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D:\4.Ban tinh\outputs\"/>
    </mc:Choice>
  </mc:AlternateContent>
  <xr:revisionPtr revIDLastSave="0" documentId="13_ncr:1_{D17E9237-EF4A-4A8F-B0D2-775C9749CA70}" xr6:coauthVersionLast="47" xr6:coauthVersionMax="47" xr10:uidLastSave="{00000000-0000-0000-0000-000000000000}"/>
  <bookViews>
    <workbookView xWindow="-108" yWindow="-108" windowWidth="23256" windowHeight="14016" firstSheet="11" activeTab="13" xr2:uid="{00000000-000D-0000-FFFF-FFFF00000000}"/>
  </bookViews>
  <sheets>
    <sheet name="HDSD" sheetId="1" r:id="rId1"/>
    <sheet name="INPUT" sheetId="2" r:id="rId2"/>
    <sheet name="TINH TAI" sheetId="3" r:id="rId3"/>
    <sheet name="HOAT TAI" sheetId="4" r:id="rId4"/>
    <sheet name="GIO-WA" sheetId="5" r:id="rId5"/>
    <sheet name="DONG DAT" sheetId="6" r:id="rId6"/>
    <sheet name="VA XE-TAU" sheetId="7" r:id="rId7"/>
    <sheet name="TO HOP" sheetId="8" r:id="rId8"/>
    <sheet name="TS-PILE" sheetId="9" r:id="rId9"/>
    <sheet name="KT THAN" sheetId="10" r:id="rId10"/>
    <sheet name="HE GOI" sheetId="14" r:id="rId11"/>
    <sheet name="XA MU" sheetId="11" r:id="rId12"/>
    <sheet name="XA MU GOI" sheetId="16" r:id="rId13"/>
    <sheet name="XA MU DUL" sheetId="17" r:id="rId14"/>
    <sheet name="KT BE" sheetId="12" r:id="rId15"/>
    <sheet name="TS-COL-CAP" sheetId="13" r:id="rId16"/>
    <sheet name="TO HOP GOI DAU" sheetId="15" r:id="rId17"/>
    <sheet name="FIBER ENGINE" sheetId="18" state="hidden" r:id="rId18"/>
    <sheet name="KT THAN FIBER" sheetId="19" state="hidden" r:id="rId19"/>
    <sheet name="TRU 2 THAN" sheetId="20" r:id="rId20"/>
    <sheet name="QA TRU" sheetId="21" r:id="rId21"/>
    <sheet name="LANE ENGINE" sheetId="22" r:id="rId22"/>
    <sheet name="TO HOP NLAN" sheetId="23" r:id="rId23"/>
    <sheet name="PILE NLAN" sheetId="24" r:id="rId24"/>
    <sheet name="GOI 1D" sheetId="25" r:id="rId25"/>
  </sheets>
  <definedNames>
    <definedName name="Add">INPUT!$F$122</definedName>
    <definedName name="Agmr">INPUT!$F$47</definedName>
    <definedName name="Agth">INPUT!$F$41</definedName>
    <definedName name="Agth2">INPUT!$F$42</definedName>
    <definedName name="alpha_">INPUT!$F$153</definedName>
    <definedName name="Aptfe">INPUT!$F$100</definedName>
    <definedName name="Arub">INPUT!$F$171</definedName>
    <definedName name="askew">INPUT!$F$28</definedName>
    <definedName name="b_xm">'XA MU'!$D$63</definedName>
    <definedName name="Bbe">INPUT!$F$54</definedName>
    <definedName name="blc_">INPUT!$F$17</definedName>
    <definedName name="bmr">INPUT!$F$45</definedName>
    <definedName name="bPL">INPUT!$F$18</definedName>
    <definedName name="BR_H">IF(AND(statT_="SLIDE",statP_="SLIDE"),0,MAX(0.25*325*nLan*IF(nLan=1,1.2,IF(nLan=2,1,IF(nLan=3,0.85,0.65))),0.05*(325+qlan*(Ls1_+Ls2_))*nLan*IF(nLan=1,1.2,IF(nLan=2,1,IF(nLan=3,0.85,0.65))),0.05*(220+qlan*(Ls1_+Ls2_))*nLan*IF(nLan=1,1.2,IF(nLan=2,1,IF(nLan=3,0.85,0.65)))))</definedName>
    <definedName name="BR_Mdb">'HOAT TAI'!$C$30</definedName>
    <definedName name="BR_Mtb">'HOAT TAI'!$D$30</definedName>
    <definedName name="bth2r">INPUT!$F$37</definedName>
    <definedName name="bthan">INPUT!$F$31</definedName>
    <definedName name="bthan2">INPUT!$F$39</definedName>
    <definedName name="Bxe">INPUT!$F$16</definedName>
    <definedName name="bxm">INPUT!$F$49</definedName>
    <definedName name="capOpt">'XA MU DUL'!$Q$33</definedName>
    <definedName name="capRmin">'XA MU DUL'!$B$711</definedName>
    <definedName name="Cbe">INPUT!$F$55</definedName>
    <definedName name="cch">INPUT!$F$34</definedName>
    <definedName name="cchy">INPUT!$F$35</definedName>
    <definedName name="Cdkcn">INPUT!$F$118</definedName>
    <definedName name="CDnc">INPUT!$F$70</definedName>
    <definedName name="Cdthan">INPUT!$F$119</definedName>
    <definedName name="CE_H">'HOAT TAI'!$C$31</definedName>
    <definedName name="CE_Mdb">'HOAT TAI'!$C$32</definedName>
    <definedName name="CE_Mtb">'HOAT TAI'!$D$32</definedName>
    <definedName name="chmode">INPUT!$F$176</definedName>
    <definedName name="CLnc">INPUT!$F$71</definedName>
    <definedName name="coefP_">'HE GOI'!$F$200</definedName>
    <definedName name="coefT_">'HE GOI'!$F$199</definedName>
    <definedName name="CS_H">'HE GOI'!$F$232</definedName>
    <definedName name="Csm_d">'DONG DAT'!$C$7</definedName>
    <definedName name="Csm_n">'DONG DAT'!$D$7</definedName>
    <definedName name="csmode">INPUT!$F$162</definedName>
    <definedName name="CT_">INPUT!$F$130</definedName>
    <definedName name="CT_H">'VA XE-TAU'!$C$4</definedName>
    <definedName name="CT_Mdb">'VA XE-TAU'!$C$5</definedName>
    <definedName name="CT_Mtb">'VA XE-TAU'!$D$5</definedName>
    <definedName name="CTon">INPUT!$F$129</definedName>
    <definedName name="curidx">'HE GOI'!$F$194</definedName>
    <definedName name="CV_">INPUT!$F$132</definedName>
    <definedName name="CV_H">'VA XE-TAU'!$C$6</definedName>
    <definedName name="CV_Mdb">'VA XE-TAU'!$C$7</definedName>
    <definedName name="CV_Mtb">'VA XE-TAU'!$D$7</definedName>
    <definedName name="DC2_G">'TINH TAI'!$C$11</definedName>
    <definedName name="DC3_G">'TINH TAI'!$C$12</definedName>
    <definedName name="Dcoc">INPUT!$F$136</definedName>
    <definedName name="dkcn">INPUT!$F$20</definedName>
    <definedName name="dLcsL_">INPUT!$F$164</definedName>
    <definedName name="dLcsR_">INPUT!$F$165</definedName>
    <definedName name="dTm_">'HE GOI'!$F$158</definedName>
    <definedName name="dTp_">'HE GOI'!$F$157</definedName>
    <definedName name="Ec_">INPUT!$F$63</definedName>
    <definedName name="ecrrem_">INPUT!$F$167</definedName>
    <definedName name="epsCS">'HE GOI'!$F$168</definedName>
    <definedName name="epsTUm">'HE GOI'!$F$160</definedName>
    <definedName name="epsTUp">'HE GOI'!$F$159</definedName>
    <definedName name="EQd_H_db">'DONG DAT'!$D$14</definedName>
    <definedName name="EQd_H_tb">'DONG DAT'!$E$14</definedName>
    <definedName name="EQd_M_db">'DONG DAT'!$F$14</definedName>
    <definedName name="EQd_M_tb">'DONG DAT'!$H$14</definedName>
    <definedName name="EQn_H_db">'DONG DAT'!$D$15</definedName>
    <definedName name="EQn_H_tb">'DONG DAT'!$E$15</definedName>
    <definedName name="EQn_M_db">'DONG DAT'!$F$15</definedName>
    <definedName name="EQn_M_tb">'DONG DAT'!$H$15</definedName>
    <definedName name="Es_">INPUT!$F$61</definedName>
    <definedName name="eshrem_">INPUT!$F$166</definedName>
    <definedName name="exL">INPUT!$F$26</definedName>
    <definedName name="exR">INPUT!$F$27</definedName>
    <definedName name="fc_">INPUT!$F$59</definedName>
    <definedName name="fibMX">'FIBER ENGINE'!$S$6:$S$125</definedName>
    <definedName name="fibMY">'FIBER ENGINE'!$AA$6:$AA$125</definedName>
    <definedName name="fibPX">'FIBER ENGINE'!$R$6:$R$125</definedName>
    <definedName name="fibPY">'FIBER ENGINE'!$Z$6:$Z$125</definedName>
    <definedName name="fms">'HE GOI'!$F$110</definedName>
    <definedName name="fms_manual">INPUT!$F$97</definedName>
    <definedName name="fms_ptfe">'HE GOI'!$F$109</definedName>
    <definedName name="fr_">INPUT!$F$64</definedName>
    <definedName name="FR_H">'HOAT TAI'!$C$33</definedName>
    <definedName name="FR_Mdb">'HOAT TAI'!$C$34</definedName>
    <definedName name="FR_Mtb">'HOAT TAI'!$D$34</definedName>
    <definedName name="FR2slide">'HE GOI'!$F$222</definedName>
    <definedName name="FRlocP">'HE GOI'!$F$221</definedName>
    <definedName name="FRlocT">'HE GOI'!$F$220</definedName>
    <definedName name="FrowP">'HE GOI'!$F$217</definedName>
    <definedName name="FrowT">'HE GOI'!$F$216</definedName>
    <definedName name="FRtrP">'HE GOI'!$F$224</definedName>
    <definedName name="FRtrT">'HE GOI'!$F$223</definedName>
    <definedName name="FRval">'HE GOI'!$F$233</definedName>
    <definedName name="fy_">INPUT!$F$60</definedName>
    <definedName name="gcbt">INPUT!$F$62</definedName>
    <definedName name="gcmode">INPUT!$F$177</definedName>
    <definedName name="gnc">INPUT!$F$72</definedName>
    <definedName name="goiClassTbl">INPUT!$B$83:$C$87</definedName>
    <definedName name="goiForceMode">INPUT!$F$206</definedName>
    <definedName name="goiListRng">INPUT!$B$83:$B$87</definedName>
    <definedName name="goiP_">'HE GOI'!$F$91</definedName>
    <definedName name="goiT_">'HE GOI'!$F$90</definedName>
    <definedName name="Grub">INPUT!$F$170</definedName>
    <definedName name="H_CR_global">INPUT!$F$209</definedName>
    <definedName name="H_extra">INPUT!$F$144</definedName>
    <definedName name="H_SE_global">INPUT!$F$211</definedName>
    <definedName name="H_SH_global">INPUT!$F$210</definedName>
    <definedName name="H_TUminus_global">INPUT!$F$208</definedName>
    <definedName name="H_TUplus_global">INPUT!$F$207</definedName>
    <definedName name="Hbe">INPUT!$F$56</definedName>
    <definedName name="Hcot">INPUT!$F$43</definedName>
    <definedName name="hdam">INPUT!$F$151</definedName>
    <definedName name="hgoi">INPUT!$F$21</definedName>
    <definedName name="hmr">INPUT!$F$46</definedName>
    <definedName name="HpCS">'HE GOI'!$F$215</definedName>
    <definedName name="HpTUm">'HE GOI'!$F$214</definedName>
    <definedName name="HpTUp">'HE GOI'!$F$213</definedName>
    <definedName name="hth2r">INPUT!$F$38</definedName>
    <definedName name="hthan">INPUT!$F$32</definedName>
    <definedName name="hthan2">INPUT!$F$40</definedName>
    <definedName name="hxm">INPUT!$F$48</definedName>
    <definedName name="IM_">INPUT!$F$75</definedName>
    <definedName name="Ithan">'HE GOI'!$F$174</definedName>
    <definedName name="Kbrow">'HE GOI'!$F$173</definedName>
    <definedName name="kL_">'HE GOI'!$F$208</definedName>
    <definedName name="kR_">'HE GOI'!$F$209</definedName>
    <definedName name="KsubAbutFactor">5</definedName>
    <definedName name="KsubPierFactor">1</definedName>
    <definedName name="Kthan">'HE GOI'!$F$175</definedName>
    <definedName name="L1_">INPUT!$F$10</definedName>
    <definedName name="L2_">INPUT!$F$11</definedName>
    <definedName name="LL1_Mx">'HOAT TAI'!$G$13:$G$18</definedName>
    <definedName name="LL1_Mx_DYN">OFFSET('LANE ENGINE'!$G$6,0,0,nLan,1)</definedName>
    <definedName name="LL1_My">'HOAT TAI'!$H$13:$H$18</definedName>
    <definedName name="LL1_My_DYN">OFFSET('LANE ENGINE'!$H$6,0,0,nLan,1)</definedName>
    <definedName name="LL1_N">'HOAT TAI'!$F$13:$F$18</definedName>
    <definedName name="LL1_N_DYN">OFFSET('LANE ENGINE'!$F$6,0,0,nLan,1)</definedName>
    <definedName name="LL2_Mx">'HOAT TAI'!$E$13:$E$18</definedName>
    <definedName name="LL2_Mx_DYN">OFFSET('LANE ENGINE'!$E$6,0,0,nLan,1)</definedName>
    <definedName name="LL2_N">'HOAT TAI'!$D$13:$D$18</definedName>
    <definedName name="LL2_N_DYN">OFFSET('LANE ENGINE'!$D$6,0,0,nLan,1)</definedName>
    <definedName name="loaiPrng">INPUT!$E$184:$E$192</definedName>
    <definedName name="loaiTrng">INPUT!$D$184:$D$192</definedName>
    <definedName name="Ls1_">INPUT!$F$13</definedName>
    <definedName name="Ls2_">INPUT!$F$14</definedName>
    <definedName name="Lxm">INPUT!$F$50</definedName>
    <definedName name="MNCN">INPUT!$F$68</definedName>
    <definedName name="MNTN">INPUT!$F$67</definedName>
    <definedName name="mumode">INPUT!$F$96</definedName>
    <definedName name="N_perm">'HE GOI'!$F$180</definedName>
    <definedName name="namerng">INPUT!$B$184:$B$192</definedName>
    <definedName name="nch1_">INPUT!$D$139</definedName>
    <definedName name="nch2_">INPUT!$D$140</definedName>
    <definedName name="nch3_">INPUT!$D$141</definedName>
    <definedName name="nch4_">INPUT!$D$142</definedName>
    <definedName name="ncoc">INPUT!$C$143</definedName>
    <definedName name="ndam">INPUT!$F$148</definedName>
    <definedName name="nFixedTotal">'HE GOI'!$F$228</definedName>
    <definedName name="ngoi">INPUT!$F$52</definedName>
    <definedName name="nhang">INPUT!$F$137</definedName>
    <definedName name="nKhoa2Dau">'HE GOI'!$F$227</definedName>
    <definedName name="nLan">INPUT!$F$19</definedName>
    <definedName name="Nleft">'HE GOI'!$F$178</definedName>
    <definedName name="Nright">'HE GOI'!$F$179</definedName>
    <definedName name="nThan">INPUT!$F$215</definedName>
    <definedName name="pileN">INPUT!$D$139:$D$142</definedName>
    <definedName name="pileS">INPUT!$E$139:$E$142</definedName>
    <definedName name="pileX">INPUT!$C$139:$C$142</definedName>
    <definedName name="Pmax_CD">'TS-PILE'!$D$119</definedName>
    <definedName name="Pmax_DB">'TS-PILE'!$E$119</definedName>
    <definedName name="Pmax_SD">'TS-PILE'!$C$119</definedName>
    <definedName name="Pmin_CD">'TS-PILE'!$D$120</definedName>
    <definedName name="pPL">INPUT!$F$77</definedName>
    <definedName name="ptfetype">INPUT!$F$99</definedName>
    <definedName name="qlan">INPUT!$F$76</definedName>
    <definedName name="Rcong">INPUT!$F$79</definedName>
    <definedName name="RDC1_">INPUT!$F$22</definedName>
    <definedName name="RDC2_">INPUT!$F$23</definedName>
    <definedName name="RDW1_">INPUT!$F$24</definedName>
    <definedName name="RDW2_">INPUT!$F$25</definedName>
    <definedName name="Rmo">INPUT!$F$126</definedName>
    <definedName name="Rtru">INPUT!$F$125</definedName>
    <definedName name="sch1_">INPUT!$E$139</definedName>
    <definedName name="sch2_">INPUT!$E$140</definedName>
    <definedName name="sch3_">INPUT!$E$141</definedName>
    <definedName name="sch4_">INPUT!$E$142</definedName>
    <definedName name="sdam">INPUT!$F$149</definedName>
    <definedName name="Sdd">INPUT!$F$124</definedName>
    <definedName name="Sgio">INPUT!$F$116</definedName>
    <definedName name="sgng">INPUT!$F$53</definedName>
    <definedName name="sgoi">INPUT!$F$12</definedName>
    <definedName name="shp">INPUT!$F$33</definedName>
    <definedName name="sigPTFE">'HE GOI'!$F$101</definedName>
    <definedName name="soildd">INPUT!$F$123</definedName>
    <definedName name="statFarL_">'HE GOI'!$F$197</definedName>
    <definedName name="statFarR_">'HE GOI'!$F$198</definedName>
    <definedName name="statP_">'HE GOI'!$F$93</definedName>
    <definedName name="statPrng">INPUT!$G$184:$G$192</definedName>
    <definedName name="statT_">'HE GOI'!$F$92</definedName>
    <definedName name="statTrng">INPUT!$F$184:$F$192</definedName>
    <definedName name="sThan">INPUT!$F$216</definedName>
    <definedName name="T0_">INPUT!$F$156</definedName>
    <definedName name="terub">INPUT!$F$172</definedName>
    <definedName name="Tmax_">INPUT!$F$154</definedName>
    <definedName name="Tmin_">INPUT!$F$155</definedName>
    <definedName name="tsban">INPUT!$F$150</definedName>
    <definedName name="TSPILE_FC">'TS-PILE'!$C$136</definedName>
    <definedName name="TSPILE_L">'TS-PILE'!$C$134</definedName>
    <definedName name="TSPILE_L0">'TS-PILE'!$C$135</definedName>
    <definedName name="TSPILE_M">'TS-PILE'!$C$138</definedName>
    <definedName name="TSPILE_MC">'TS-PILE'!$C$139</definedName>
    <definedName name="TSPILE_MD">'TS-PILE'!$C$140</definedName>
    <definedName name="TSPILE_MQ">'TS-PILE'!$C$141</definedName>
    <definedName name="TSPILE_WC">'TS-PILE'!$C$137</definedName>
    <definedName name="TU_H">'HE GOI'!$F$231</definedName>
    <definedName name="uLcs">'HE GOI'!$F$205</definedName>
    <definedName name="uLtum">'HE GOI'!$F$203</definedName>
    <definedName name="uLtup">'HE GOI'!$F$201</definedName>
    <definedName name="upcs">'HE GOI'!$F$212</definedName>
    <definedName name="uptum">'HE GOI'!$F$211</definedName>
    <definedName name="uptup">'HE GOI'!$F$210</definedName>
    <definedName name="uRcs">'HE GOI'!$F$206</definedName>
    <definedName name="uRtum">'HE GOI'!$F$204</definedName>
    <definedName name="uRtup">'HE GOI'!$F$202</definedName>
    <definedName name="USE_TSPILE">'TS-PILE'!$C$133</definedName>
    <definedName name="V_gio">INPUT!$F$117</definedName>
    <definedName name="vartiet">INPUT!$F$36</definedName>
    <definedName name="VB_">INPUT!$F$115</definedName>
    <definedName name="vgzone">INPUT!$F$114</definedName>
    <definedName name="Vnc">INPUT!$F$69</definedName>
    <definedName name="Vtk">INPUT!$F$78</definedName>
    <definedName name="Vxm">INPUT!$F$51</definedName>
    <definedName name="WAd_H">'GIO-WA'!$C$27</definedName>
    <definedName name="WAd_Mdb">'GIO-WA'!$C$30</definedName>
    <definedName name="WAd_Mtb">'GIO-WA'!$D$30</definedName>
    <definedName name="WAn_H">'GIO-WA'!$C$28</definedName>
    <definedName name="WAn_Mdb">'GIO-WA'!$C$31</definedName>
    <definedName name="WAn_Mtb">'GIO-WA'!$D$31</definedName>
    <definedName name="WB_N">'TINH TAI'!$C$16</definedName>
    <definedName name="Wcau">INPUT!$F$15</definedName>
    <definedName name="WLd_H">'GIO-WA'!$D$20</definedName>
    <definedName name="WLd_Mdb">'GIO-WA'!$C$22</definedName>
    <definedName name="WLd_Mtb">'GIO-WA'!$D$22</definedName>
    <definedName name="WLn_H">'GIO-WA'!$C$20</definedName>
    <definedName name="WLn_Mdb">'GIO-WA'!$C$21</definedName>
    <definedName name="WLn_Mtb">'GIO-WA'!$D$21</definedName>
    <definedName name="WSd_H_25">'GIO-WA'!$E$16</definedName>
    <definedName name="WSd_H_V">'GIO-WA'!$E$9</definedName>
    <definedName name="WSd_Mdb_25">'GIO-WA'!$G$16</definedName>
    <definedName name="WSd_Mdb_V">'GIO-WA'!$G$9</definedName>
    <definedName name="WSd_Mtb_25">'GIO-WA'!$I$16</definedName>
    <definedName name="WSd_Mtb_V">'GIO-WA'!$I$9</definedName>
    <definedName name="WSn_H_25">'GIO-WA'!$E$15</definedName>
    <definedName name="WSn_H_V">'GIO-WA'!$E$8</definedName>
    <definedName name="WSn_Mdb_25">'GIO-WA'!$G$15</definedName>
    <definedName name="WSn_Mdb_V">'GIO-WA'!$G$8</definedName>
    <definedName name="WSn_Mtb_25">'GIO-WA'!$I$15</definedName>
    <definedName name="WSn_Mtb_V">'GIO-WA'!$I$8</definedName>
    <definedName name="WSv_N">'GIO-WA'!$C$19</definedName>
    <definedName name="xh1_">INPUT!$C$139</definedName>
    <definedName name="xh2_">INPUT!$C$140</definedName>
    <definedName name="xh3_">INPUT!$C$141</definedName>
    <definedName name="xh4_">INPUT!$C$142</definedName>
    <definedName name="xm_nP">INPUT!$F$199</definedName>
    <definedName name="xm_nT">INPUT!$F$195</definedName>
    <definedName name="xm_sP">INPUT!$F$200</definedName>
    <definedName name="xm_sT">INPUT!$F$196</definedName>
    <definedName name="xm_xmc_override">INPUT!$F$203</definedName>
    <definedName name="xm_y0P">INPUT!$F$201</definedName>
    <definedName name="xm_y0T">INPUT!$F$197</definedName>
    <definedName name="xrng">INPUT!$H$184:$H$192</definedName>
    <definedName name="zBR">INPUT!$F$111</definedName>
    <definedName name="zCT">INPUT!$F$131</definedName>
    <definedName name="zCV">INPUT!$F$133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8" i="10" l="1"/>
  <c r="H68" i="10"/>
  <c r="K826" i="17"/>
  <c r="K825" i="17"/>
  <c r="K824" i="17"/>
  <c r="K823" i="17"/>
  <c r="K822" i="17"/>
  <c r="K821" i="17"/>
  <c r="K820" i="17"/>
  <c r="D939" i="17"/>
  <c r="C939" i="17"/>
  <c r="E939" i="17" s="1"/>
  <c r="D938" i="17"/>
  <c r="C938" i="17"/>
  <c r="D937" i="17"/>
  <c r="C937" i="17"/>
  <c r="E937" i="17" s="1"/>
  <c r="D936" i="17"/>
  <c r="C936" i="17"/>
  <c r="D935" i="17"/>
  <c r="C935" i="17"/>
  <c r="E935" i="17" s="1"/>
  <c r="D934" i="17"/>
  <c r="C934" i="17"/>
  <c r="D933" i="17"/>
  <c r="C933" i="17"/>
  <c r="E933" i="17" s="1"/>
  <c r="D932" i="17"/>
  <c r="C932" i="17"/>
  <c r="D931" i="17"/>
  <c r="C931" i="17"/>
  <c r="E931" i="17" s="1"/>
  <c r="D930" i="17"/>
  <c r="C930" i="17"/>
  <c r="D929" i="17"/>
  <c r="C929" i="17"/>
  <c r="E929" i="17" s="1"/>
  <c r="D928" i="17"/>
  <c r="C928" i="17"/>
  <c r="D927" i="17"/>
  <c r="C927" i="17"/>
  <c r="E927" i="17" s="1"/>
  <c r="D925" i="17"/>
  <c r="C925" i="17"/>
  <c r="D924" i="17"/>
  <c r="C924" i="17"/>
  <c r="D923" i="17"/>
  <c r="C923" i="17"/>
  <c r="D922" i="17"/>
  <c r="C922" i="17"/>
  <c r="D921" i="17"/>
  <c r="C921" i="17"/>
  <c r="D920" i="17"/>
  <c r="C920" i="17"/>
  <c r="D919" i="17"/>
  <c r="C919" i="17"/>
  <c r="D918" i="17"/>
  <c r="C918" i="17"/>
  <c r="D917" i="17"/>
  <c r="C917" i="17"/>
  <c r="D916" i="17"/>
  <c r="C916" i="17"/>
  <c r="D915" i="17"/>
  <c r="C915" i="17"/>
  <c r="D914" i="17"/>
  <c r="C914" i="17"/>
  <c r="D913" i="17"/>
  <c r="C913" i="17"/>
  <c r="D911" i="17"/>
  <c r="C911" i="17"/>
  <c r="D910" i="17"/>
  <c r="C910" i="17"/>
  <c r="D909" i="17"/>
  <c r="C909" i="17"/>
  <c r="D908" i="17"/>
  <c r="C908" i="17"/>
  <c r="D907" i="17"/>
  <c r="C907" i="17"/>
  <c r="D906" i="17"/>
  <c r="C906" i="17"/>
  <c r="D905" i="17"/>
  <c r="C905" i="17"/>
  <c r="D904" i="17"/>
  <c r="C904" i="17"/>
  <c r="D903" i="17"/>
  <c r="C903" i="17"/>
  <c r="D902" i="17"/>
  <c r="C902" i="17"/>
  <c r="D901" i="17"/>
  <c r="C901" i="17"/>
  <c r="D900" i="17"/>
  <c r="C900" i="17"/>
  <c r="D899" i="17"/>
  <c r="C899" i="17"/>
  <c r="D897" i="17"/>
  <c r="C897" i="17"/>
  <c r="E897" i="17" s="1"/>
  <c r="D896" i="17"/>
  <c r="C896" i="17"/>
  <c r="D895" i="17"/>
  <c r="C895" i="17"/>
  <c r="E895" i="17" s="1"/>
  <c r="D894" i="17"/>
  <c r="C894" i="17"/>
  <c r="D893" i="17"/>
  <c r="C893" i="17"/>
  <c r="E893" i="17" s="1"/>
  <c r="D892" i="17"/>
  <c r="C892" i="17"/>
  <c r="D891" i="17"/>
  <c r="C891" i="17"/>
  <c r="E891" i="17" s="1"/>
  <c r="D890" i="17"/>
  <c r="C890" i="17"/>
  <c r="D889" i="17"/>
  <c r="C889" i="17"/>
  <c r="E889" i="17" s="1"/>
  <c r="D888" i="17"/>
  <c r="C888" i="17"/>
  <c r="D887" i="17"/>
  <c r="C887" i="17"/>
  <c r="E887" i="17" s="1"/>
  <c r="D886" i="17"/>
  <c r="C886" i="17"/>
  <c r="D885" i="17"/>
  <c r="C885" i="17"/>
  <c r="E885" i="17" s="1"/>
  <c r="D883" i="17"/>
  <c r="C883" i="17"/>
  <c r="D882" i="17"/>
  <c r="C882" i="17"/>
  <c r="D881" i="17"/>
  <c r="C881" i="17"/>
  <c r="D880" i="17"/>
  <c r="C880" i="17"/>
  <c r="E880" i="17" s="1"/>
  <c r="D879" i="17"/>
  <c r="C879" i="17"/>
  <c r="D878" i="17"/>
  <c r="C878" i="17"/>
  <c r="H878" i="17" s="1"/>
  <c r="D877" i="17"/>
  <c r="C877" i="17"/>
  <c r="D876" i="17"/>
  <c r="C876" i="17"/>
  <c r="D875" i="17"/>
  <c r="C875" i="17"/>
  <c r="D874" i="17"/>
  <c r="C874" i="17"/>
  <c r="D873" i="17"/>
  <c r="C873" i="17"/>
  <c r="D872" i="17"/>
  <c r="C872" i="17"/>
  <c r="E872" i="17" s="1"/>
  <c r="D871" i="17"/>
  <c r="C871" i="17"/>
  <c r="E871" i="17" s="1"/>
  <c r="D869" i="17"/>
  <c r="C869" i="17"/>
  <c r="D868" i="17"/>
  <c r="C868" i="17"/>
  <c r="D867" i="17"/>
  <c r="C867" i="17"/>
  <c r="D866" i="17"/>
  <c r="C866" i="17"/>
  <c r="E866" i="17" s="1"/>
  <c r="D865" i="17"/>
  <c r="C865" i="17"/>
  <c r="H865" i="17" s="1"/>
  <c r="D864" i="17"/>
  <c r="C864" i="17"/>
  <c r="D863" i="17"/>
  <c r="C863" i="17"/>
  <c r="D862" i="17"/>
  <c r="C862" i="17"/>
  <c r="E862" i="17" s="1"/>
  <c r="D861" i="17"/>
  <c r="C861" i="17"/>
  <c r="D860" i="17"/>
  <c r="C860" i="17"/>
  <c r="D859" i="17"/>
  <c r="C859" i="17"/>
  <c r="H859" i="17" s="1"/>
  <c r="D858" i="17"/>
  <c r="C858" i="17"/>
  <c r="E858" i="17" s="1"/>
  <c r="D857" i="17"/>
  <c r="C857" i="17"/>
  <c r="D855" i="17"/>
  <c r="C855" i="17"/>
  <c r="E855" i="17" s="1"/>
  <c r="D854" i="17"/>
  <c r="C854" i="17"/>
  <c r="D853" i="17"/>
  <c r="C853" i="17"/>
  <c r="E853" i="17" s="1"/>
  <c r="D852" i="17"/>
  <c r="C852" i="17"/>
  <c r="H852" i="17" s="1"/>
  <c r="D851" i="17"/>
  <c r="C851" i="17"/>
  <c r="E851" i="17" s="1"/>
  <c r="D850" i="17"/>
  <c r="C850" i="17"/>
  <c r="D849" i="17"/>
  <c r="C849" i="17"/>
  <c r="E849" i="17" s="1"/>
  <c r="D848" i="17"/>
  <c r="C848" i="17"/>
  <c r="D847" i="17"/>
  <c r="C847" i="17"/>
  <c r="E847" i="17" s="1"/>
  <c r="D846" i="17"/>
  <c r="C846" i="17"/>
  <c r="H846" i="17" s="1"/>
  <c r="D845" i="17"/>
  <c r="C845" i="17"/>
  <c r="E845" i="17" s="1"/>
  <c r="D844" i="17"/>
  <c r="C844" i="17"/>
  <c r="D843" i="17"/>
  <c r="C843" i="17"/>
  <c r="E843" i="17" s="1"/>
  <c r="C797" i="17"/>
  <c r="D797" i="17"/>
  <c r="E797" i="17"/>
  <c r="F797" i="17"/>
  <c r="G797" i="17"/>
  <c r="H797" i="17"/>
  <c r="I797" i="17"/>
  <c r="P797" i="17" s="1"/>
  <c r="C796" i="17"/>
  <c r="D796" i="17"/>
  <c r="E796" i="17"/>
  <c r="F796" i="17"/>
  <c r="G796" i="17"/>
  <c r="H796" i="17"/>
  <c r="I796" i="17"/>
  <c r="P796" i="17" s="1"/>
  <c r="C795" i="17"/>
  <c r="D795" i="17"/>
  <c r="E795" i="17"/>
  <c r="F795" i="17"/>
  <c r="G795" i="17"/>
  <c r="H795" i="17"/>
  <c r="I795" i="17"/>
  <c r="P795" i="17" s="1"/>
  <c r="C794" i="17"/>
  <c r="D794" i="17"/>
  <c r="E794" i="17"/>
  <c r="F794" i="17"/>
  <c r="G794" i="17"/>
  <c r="H794" i="17"/>
  <c r="I794" i="17"/>
  <c r="P794" i="17" s="1"/>
  <c r="C793" i="17"/>
  <c r="D793" i="17"/>
  <c r="E793" i="17"/>
  <c r="F793" i="17"/>
  <c r="G793" i="17"/>
  <c r="H793" i="17"/>
  <c r="I793" i="17"/>
  <c r="P793" i="17" s="1"/>
  <c r="C792" i="17"/>
  <c r="D792" i="17"/>
  <c r="E792" i="17"/>
  <c r="F792" i="17"/>
  <c r="G792" i="17"/>
  <c r="H792" i="17"/>
  <c r="I792" i="17"/>
  <c r="P792" i="17" s="1"/>
  <c r="C791" i="17"/>
  <c r="D791" i="17"/>
  <c r="E791" i="17"/>
  <c r="F791" i="17"/>
  <c r="G791" i="17"/>
  <c r="H791" i="17"/>
  <c r="I791" i="17"/>
  <c r="P791" i="17" s="1"/>
  <c r="C790" i="17"/>
  <c r="D790" i="17"/>
  <c r="E790" i="17"/>
  <c r="F790" i="17"/>
  <c r="G790" i="17"/>
  <c r="H790" i="17"/>
  <c r="I790" i="17"/>
  <c r="P790" i="17" s="1"/>
  <c r="C789" i="17"/>
  <c r="D789" i="17"/>
  <c r="E789" i="17"/>
  <c r="F789" i="17"/>
  <c r="G789" i="17"/>
  <c r="H789" i="17"/>
  <c r="I789" i="17"/>
  <c r="P789" i="17" s="1"/>
  <c r="C788" i="17"/>
  <c r="D788" i="17"/>
  <c r="E788" i="17"/>
  <c r="F788" i="17"/>
  <c r="G788" i="17"/>
  <c r="H788" i="17"/>
  <c r="I788" i="17"/>
  <c r="P788" i="17" s="1"/>
  <c r="C787" i="17"/>
  <c r="D787" i="17"/>
  <c r="E787" i="17"/>
  <c r="F787" i="17"/>
  <c r="G787" i="17"/>
  <c r="H787" i="17"/>
  <c r="I787" i="17"/>
  <c r="P787" i="17" s="1"/>
  <c r="C785" i="17"/>
  <c r="D785" i="17"/>
  <c r="E785" i="17"/>
  <c r="F785" i="17"/>
  <c r="G785" i="17"/>
  <c r="H785" i="17"/>
  <c r="I785" i="17"/>
  <c r="P785" i="17" s="1"/>
  <c r="C784" i="17"/>
  <c r="D784" i="17"/>
  <c r="E784" i="17"/>
  <c r="F784" i="17"/>
  <c r="G784" i="17"/>
  <c r="H784" i="17"/>
  <c r="I784" i="17"/>
  <c r="P784" i="17" s="1"/>
  <c r="C783" i="17"/>
  <c r="D783" i="17"/>
  <c r="E783" i="17"/>
  <c r="F783" i="17"/>
  <c r="G783" i="17"/>
  <c r="H783" i="17"/>
  <c r="I783" i="17"/>
  <c r="P783" i="17" s="1"/>
  <c r="C782" i="17"/>
  <c r="D782" i="17"/>
  <c r="E782" i="17"/>
  <c r="F782" i="17"/>
  <c r="G782" i="17"/>
  <c r="H782" i="17"/>
  <c r="I782" i="17"/>
  <c r="P782" i="17" s="1"/>
  <c r="C781" i="17"/>
  <c r="D781" i="17"/>
  <c r="E781" i="17"/>
  <c r="F781" i="17"/>
  <c r="G781" i="17"/>
  <c r="H781" i="17"/>
  <c r="I781" i="17"/>
  <c r="P781" i="17" s="1"/>
  <c r="C780" i="17"/>
  <c r="D780" i="17"/>
  <c r="E780" i="17"/>
  <c r="F780" i="17"/>
  <c r="G780" i="17"/>
  <c r="H780" i="17"/>
  <c r="I780" i="17"/>
  <c r="P780" i="17" s="1"/>
  <c r="C779" i="17"/>
  <c r="D779" i="17"/>
  <c r="E779" i="17"/>
  <c r="F779" i="17"/>
  <c r="G779" i="17"/>
  <c r="H779" i="17"/>
  <c r="I779" i="17"/>
  <c r="P779" i="17" s="1"/>
  <c r="C778" i="17"/>
  <c r="D778" i="17"/>
  <c r="E778" i="17"/>
  <c r="F778" i="17"/>
  <c r="G778" i="17"/>
  <c r="H778" i="17"/>
  <c r="I778" i="17"/>
  <c r="P778" i="17" s="1"/>
  <c r="C777" i="17"/>
  <c r="D777" i="17"/>
  <c r="E777" i="17"/>
  <c r="F777" i="17"/>
  <c r="G777" i="17"/>
  <c r="H777" i="17"/>
  <c r="I777" i="17"/>
  <c r="P777" i="17" s="1"/>
  <c r="C776" i="17"/>
  <c r="D776" i="17"/>
  <c r="E776" i="17"/>
  <c r="F776" i="17"/>
  <c r="G776" i="17"/>
  <c r="H776" i="17"/>
  <c r="I776" i="17"/>
  <c r="P776" i="17" s="1"/>
  <c r="C775" i="17"/>
  <c r="D775" i="17"/>
  <c r="E775" i="17"/>
  <c r="F775" i="17"/>
  <c r="G775" i="17"/>
  <c r="H775" i="17"/>
  <c r="I775" i="17"/>
  <c r="P775" i="17" s="1"/>
  <c r="C773" i="17"/>
  <c r="D773" i="17"/>
  <c r="E773" i="17"/>
  <c r="F773" i="17"/>
  <c r="G773" i="17"/>
  <c r="H773" i="17"/>
  <c r="I773" i="17"/>
  <c r="P773" i="17" s="1"/>
  <c r="C772" i="17"/>
  <c r="D772" i="17"/>
  <c r="E772" i="17"/>
  <c r="F772" i="17"/>
  <c r="G772" i="17"/>
  <c r="H772" i="17"/>
  <c r="I772" i="17"/>
  <c r="P772" i="17" s="1"/>
  <c r="C771" i="17"/>
  <c r="D771" i="17"/>
  <c r="E771" i="17"/>
  <c r="F771" i="17"/>
  <c r="G771" i="17"/>
  <c r="H771" i="17"/>
  <c r="I771" i="17"/>
  <c r="P771" i="17" s="1"/>
  <c r="C770" i="17"/>
  <c r="D770" i="17"/>
  <c r="E770" i="17"/>
  <c r="F770" i="17"/>
  <c r="G770" i="17"/>
  <c r="H770" i="17"/>
  <c r="I770" i="17"/>
  <c r="P770" i="17" s="1"/>
  <c r="C769" i="17"/>
  <c r="D769" i="17"/>
  <c r="E769" i="17"/>
  <c r="F769" i="17"/>
  <c r="G769" i="17"/>
  <c r="H769" i="17"/>
  <c r="I769" i="17"/>
  <c r="P769" i="17" s="1"/>
  <c r="C768" i="17"/>
  <c r="D768" i="17"/>
  <c r="E768" i="17"/>
  <c r="F768" i="17"/>
  <c r="G768" i="17"/>
  <c r="H768" i="17"/>
  <c r="I768" i="17"/>
  <c r="P768" i="17" s="1"/>
  <c r="C767" i="17"/>
  <c r="D767" i="17"/>
  <c r="E767" i="17"/>
  <c r="F767" i="17"/>
  <c r="G767" i="17"/>
  <c r="H767" i="17"/>
  <c r="I767" i="17"/>
  <c r="P767" i="17" s="1"/>
  <c r="C766" i="17"/>
  <c r="D766" i="17"/>
  <c r="E766" i="17"/>
  <c r="F766" i="17"/>
  <c r="G766" i="17"/>
  <c r="H766" i="17"/>
  <c r="I766" i="17"/>
  <c r="P766" i="17" s="1"/>
  <c r="C765" i="17"/>
  <c r="D765" i="17"/>
  <c r="E765" i="17"/>
  <c r="F765" i="17"/>
  <c r="G765" i="17"/>
  <c r="H765" i="17"/>
  <c r="I765" i="17"/>
  <c r="P765" i="17" s="1"/>
  <c r="C764" i="17"/>
  <c r="D764" i="17"/>
  <c r="E764" i="17"/>
  <c r="F764" i="17"/>
  <c r="G764" i="17"/>
  <c r="H764" i="17"/>
  <c r="I764" i="17"/>
  <c r="P764" i="17" s="1"/>
  <c r="C763" i="17"/>
  <c r="D763" i="17"/>
  <c r="E763" i="17"/>
  <c r="F763" i="17"/>
  <c r="G763" i="17"/>
  <c r="H763" i="17"/>
  <c r="I763" i="17"/>
  <c r="P763" i="17" s="1"/>
  <c r="C761" i="17"/>
  <c r="D761" i="17"/>
  <c r="E761" i="17"/>
  <c r="F761" i="17"/>
  <c r="G761" i="17"/>
  <c r="H761" i="17"/>
  <c r="I761" i="17"/>
  <c r="P761" i="17" s="1"/>
  <c r="C760" i="17"/>
  <c r="D760" i="17"/>
  <c r="E760" i="17"/>
  <c r="F760" i="17"/>
  <c r="G760" i="17"/>
  <c r="H760" i="17"/>
  <c r="I760" i="17"/>
  <c r="P760" i="17" s="1"/>
  <c r="C759" i="17"/>
  <c r="D759" i="17"/>
  <c r="E759" i="17"/>
  <c r="F759" i="17"/>
  <c r="G759" i="17"/>
  <c r="H759" i="17"/>
  <c r="I759" i="17"/>
  <c r="P759" i="17" s="1"/>
  <c r="C758" i="17"/>
  <c r="D758" i="17"/>
  <c r="E758" i="17"/>
  <c r="F758" i="17"/>
  <c r="G758" i="17"/>
  <c r="H758" i="17"/>
  <c r="I758" i="17"/>
  <c r="P758" i="17" s="1"/>
  <c r="C757" i="17"/>
  <c r="D757" i="17"/>
  <c r="E757" i="17"/>
  <c r="F757" i="17"/>
  <c r="G757" i="17"/>
  <c r="H757" i="17"/>
  <c r="I757" i="17"/>
  <c r="P757" i="17" s="1"/>
  <c r="C756" i="17"/>
  <c r="D756" i="17"/>
  <c r="E756" i="17"/>
  <c r="F756" i="17"/>
  <c r="G756" i="17"/>
  <c r="H756" i="17"/>
  <c r="I756" i="17"/>
  <c r="P756" i="17" s="1"/>
  <c r="C755" i="17"/>
  <c r="D755" i="17"/>
  <c r="E755" i="17"/>
  <c r="F755" i="17"/>
  <c r="G755" i="17"/>
  <c r="H755" i="17"/>
  <c r="I755" i="17"/>
  <c r="P755" i="17" s="1"/>
  <c r="C754" i="17"/>
  <c r="D754" i="17"/>
  <c r="E754" i="17"/>
  <c r="F754" i="17"/>
  <c r="G754" i="17"/>
  <c r="H754" i="17"/>
  <c r="I754" i="17"/>
  <c r="P754" i="17" s="1"/>
  <c r="C753" i="17"/>
  <c r="D753" i="17"/>
  <c r="E753" i="17"/>
  <c r="F753" i="17"/>
  <c r="G753" i="17"/>
  <c r="H753" i="17"/>
  <c r="I753" i="17"/>
  <c r="P753" i="17" s="1"/>
  <c r="C752" i="17"/>
  <c r="D752" i="17"/>
  <c r="E752" i="17"/>
  <c r="F752" i="17"/>
  <c r="G752" i="17"/>
  <c r="H752" i="17"/>
  <c r="I752" i="17"/>
  <c r="P752" i="17" s="1"/>
  <c r="C751" i="17"/>
  <c r="D751" i="17"/>
  <c r="E751" i="17"/>
  <c r="F751" i="17"/>
  <c r="G751" i="17"/>
  <c r="H751" i="17"/>
  <c r="I751" i="17"/>
  <c r="P751" i="17" s="1"/>
  <c r="C749" i="17"/>
  <c r="D749" i="17"/>
  <c r="E749" i="17"/>
  <c r="F749" i="17"/>
  <c r="G749" i="17"/>
  <c r="H749" i="17"/>
  <c r="I749" i="17"/>
  <c r="P749" i="17" s="1"/>
  <c r="C748" i="17"/>
  <c r="D748" i="17"/>
  <c r="E748" i="17"/>
  <c r="F748" i="17"/>
  <c r="G748" i="17"/>
  <c r="H748" i="17"/>
  <c r="I748" i="17"/>
  <c r="P748" i="17" s="1"/>
  <c r="C747" i="17"/>
  <c r="D747" i="17"/>
  <c r="E747" i="17"/>
  <c r="F747" i="17"/>
  <c r="G747" i="17"/>
  <c r="H747" i="17"/>
  <c r="I747" i="17"/>
  <c r="P747" i="17" s="1"/>
  <c r="C746" i="17"/>
  <c r="D746" i="17"/>
  <c r="E746" i="17"/>
  <c r="F746" i="17"/>
  <c r="G746" i="17"/>
  <c r="H746" i="17"/>
  <c r="I746" i="17"/>
  <c r="P746" i="17" s="1"/>
  <c r="C745" i="17"/>
  <c r="D745" i="17"/>
  <c r="E745" i="17"/>
  <c r="F745" i="17"/>
  <c r="G745" i="17"/>
  <c r="H745" i="17"/>
  <c r="I745" i="17"/>
  <c r="P745" i="17" s="1"/>
  <c r="C744" i="17"/>
  <c r="D744" i="17"/>
  <c r="E744" i="17"/>
  <c r="F744" i="17"/>
  <c r="G744" i="17"/>
  <c r="H744" i="17"/>
  <c r="I744" i="17"/>
  <c r="P744" i="17" s="1"/>
  <c r="C743" i="17"/>
  <c r="D743" i="17"/>
  <c r="E743" i="17"/>
  <c r="F743" i="17"/>
  <c r="G743" i="17"/>
  <c r="H743" i="17"/>
  <c r="I743" i="17"/>
  <c r="P743" i="17" s="1"/>
  <c r="C742" i="17"/>
  <c r="D742" i="17"/>
  <c r="E742" i="17"/>
  <c r="F742" i="17"/>
  <c r="G742" i="17"/>
  <c r="H742" i="17"/>
  <c r="I742" i="17"/>
  <c r="P742" i="17" s="1"/>
  <c r="C741" i="17"/>
  <c r="D741" i="17"/>
  <c r="E741" i="17"/>
  <c r="F741" i="17"/>
  <c r="G741" i="17"/>
  <c r="H741" i="17"/>
  <c r="I741" i="17"/>
  <c r="P741" i="17" s="1"/>
  <c r="C740" i="17"/>
  <c r="D740" i="17"/>
  <c r="E740" i="17"/>
  <c r="F740" i="17"/>
  <c r="G740" i="17"/>
  <c r="H740" i="17"/>
  <c r="I740" i="17"/>
  <c r="P740" i="17" s="1"/>
  <c r="C739" i="17"/>
  <c r="D739" i="17"/>
  <c r="E739" i="17"/>
  <c r="F739" i="17"/>
  <c r="G739" i="17"/>
  <c r="H739" i="17"/>
  <c r="I739" i="17"/>
  <c r="P739" i="17" s="1"/>
  <c r="C737" i="17"/>
  <c r="D737" i="17"/>
  <c r="E737" i="17"/>
  <c r="F737" i="17"/>
  <c r="G737" i="17"/>
  <c r="H737" i="17"/>
  <c r="I737" i="17"/>
  <c r="P737" i="17" s="1"/>
  <c r="C736" i="17"/>
  <c r="D736" i="17"/>
  <c r="E736" i="17"/>
  <c r="F736" i="17"/>
  <c r="G736" i="17"/>
  <c r="H736" i="17"/>
  <c r="I736" i="17"/>
  <c r="P736" i="17" s="1"/>
  <c r="C735" i="17"/>
  <c r="D735" i="17"/>
  <c r="E735" i="17"/>
  <c r="F735" i="17"/>
  <c r="G735" i="17"/>
  <c r="H735" i="17"/>
  <c r="I735" i="17"/>
  <c r="P735" i="17" s="1"/>
  <c r="C734" i="17"/>
  <c r="D734" i="17"/>
  <c r="E734" i="17"/>
  <c r="F734" i="17"/>
  <c r="G734" i="17"/>
  <c r="H734" i="17"/>
  <c r="I734" i="17"/>
  <c r="P734" i="17" s="1"/>
  <c r="C733" i="17"/>
  <c r="D733" i="17"/>
  <c r="E733" i="17"/>
  <c r="F733" i="17"/>
  <c r="G733" i="17"/>
  <c r="H733" i="17"/>
  <c r="I733" i="17"/>
  <c r="P733" i="17" s="1"/>
  <c r="C732" i="17"/>
  <c r="D732" i="17"/>
  <c r="E732" i="17"/>
  <c r="F732" i="17"/>
  <c r="G732" i="17"/>
  <c r="H732" i="17"/>
  <c r="I732" i="17"/>
  <c r="P732" i="17" s="1"/>
  <c r="C731" i="17"/>
  <c r="D731" i="17"/>
  <c r="E731" i="17"/>
  <c r="F731" i="17"/>
  <c r="G731" i="17"/>
  <c r="H731" i="17"/>
  <c r="I731" i="17"/>
  <c r="P731" i="17" s="1"/>
  <c r="C730" i="17"/>
  <c r="D730" i="17"/>
  <c r="E730" i="17"/>
  <c r="F730" i="17"/>
  <c r="G730" i="17"/>
  <c r="H730" i="17"/>
  <c r="I730" i="17"/>
  <c r="P730" i="17" s="1"/>
  <c r="C729" i="17"/>
  <c r="D729" i="17"/>
  <c r="E729" i="17"/>
  <c r="F729" i="17"/>
  <c r="G729" i="17"/>
  <c r="H729" i="17"/>
  <c r="I729" i="17"/>
  <c r="P729" i="17" s="1"/>
  <c r="C728" i="17"/>
  <c r="D728" i="17"/>
  <c r="E728" i="17"/>
  <c r="F728" i="17"/>
  <c r="G728" i="17"/>
  <c r="H728" i="17"/>
  <c r="I728" i="17"/>
  <c r="P728" i="17" s="1"/>
  <c r="C727" i="17"/>
  <c r="D727" i="17"/>
  <c r="E727" i="17"/>
  <c r="F727" i="17"/>
  <c r="G727" i="17"/>
  <c r="H727" i="17"/>
  <c r="I727" i="17"/>
  <c r="P727" i="17" s="1"/>
  <c r="C725" i="17"/>
  <c r="D725" i="17"/>
  <c r="E725" i="17"/>
  <c r="F725" i="17"/>
  <c r="G725" i="17"/>
  <c r="H725" i="17"/>
  <c r="I725" i="17"/>
  <c r="P725" i="17" s="1"/>
  <c r="C724" i="17"/>
  <c r="D724" i="17"/>
  <c r="E724" i="17"/>
  <c r="F724" i="17"/>
  <c r="G724" i="17"/>
  <c r="H724" i="17"/>
  <c r="I724" i="17"/>
  <c r="P724" i="17" s="1"/>
  <c r="C723" i="17"/>
  <c r="D723" i="17"/>
  <c r="E723" i="17"/>
  <c r="F723" i="17"/>
  <c r="G723" i="17"/>
  <c r="H723" i="17"/>
  <c r="I723" i="17"/>
  <c r="P723" i="17" s="1"/>
  <c r="C722" i="17"/>
  <c r="D722" i="17"/>
  <c r="E722" i="17"/>
  <c r="F722" i="17"/>
  <c r="G722" i="17"/>
  <c r="H722" i="17"/>
  <c r="I722" i="17"/>
  <c r="P722" i="17" s="1"/>
  <c r="C721" i="17"/>
  <c r="D721" i="17"/>
  <c r="E721" i="17"/>
  <c r="F721" i="17"/>
  <c r="G721" i="17"/>
  <c r="H721" i="17"/>
  <c r="I721" i="17"/>
  <c r="P721" i="17" s="1"/>
  <c r="C720" i="17"/>
  <c r="D720" i="17"/>
  <c r="E720" i="17"/>
  <c r="F720" i="17"/>
  <c r="G720" i="17"/>
  <c r="H720" i="17"/>
  <c r="I720" i="17"/>
  <c r="P720" i="17" s="1"/>
  <c r="C719" i="17"/>
  <c r="D719" i="17"/>
  <c r="E719" i="17"/>
  <c r="F719" i="17"/>
  <c r="G719" i="17"/>
  <c r="H719" i="17"/>
  <c r="I719" i="17"/>
  <c r="C718" i="17"/>
  <c r="D718" i="17"/>
  <c r="E718" i="17"/>
  <c r="F718" i="17"/>
  <c r="G718" i="17"/>
  <c r="H718" i="17"/>
  <c r="I718" i="17"/>
  <c r="J718" i="17" s="1"/>
  <c r="C717" i="17"/>
  <c r="D717" i="17"/>
  <c r="E717" i="17"/>
  <c r="F717" i="17"/>
  <c r="G717" i="17"/>
  <c r="H717" i="17"/>
  <c r="I717" i="17"/>
  <c r="J717" i="17" s="1"/>
  <c r="C716" i="17"/>
  <c r="D716" i="17"/>
  <c r="E716" i="17"/>
  <c r="F716" i="17"/>
  <c r="G716" i="17"/>
  <c r="H716" i="17"/>
  <c r="I716" i="17"/>
  <c r="C715" i="17"/>
  <c r="D715" i="17"/>
  <c r="E715" i="17"/>
  <c r="F715" i="17"/>
  <c r="G715" i="17"/>
  <c r="H715" i="17"/>
  <c r="I715" i="17"/>
  <c r="D151" i="12"/>
  <c r="C10" i="20"/>
  <c r="B10" i="20"/>
  <c r="D161" i="12"/>
  <c r="BL192" i="9"/>
  <c r="BK192" i="9"/>
  <c r="BJ192" i="9"/>
  <c r="BI192" i="9"/>
  <c r="BH192" i="9"/>
  <c r="BG192" i="9"/>
  <c r="BF192" i="9"/>
  <c r="BE192" i="9"/>
  <c r="BD192" i="9"/>
  <c r="BC192" i="9"/>
  <c r="BB192" i="9"/>
  <c r="BA192" i="9"/>
  <c r="AZ192" i="9"/>
  <c r="AY192" i="9"/>
  <c r="AX192" i="9"/>
  <c r="AW192" i="9"/>
  <c r="AV192" i="9"/>
  <c r="AU192" i="9"/>
  <c r="AT192" i="9"/>
  <c r="AS192" i="9"/>
  <c r="AR192" i="9"/>
  <c r="AQ192" i="9"/>
  <c r="AP192" i="9"/>
  <c r="AO192" i="9"/>
  <c r="AN192" i="9"/>
  <c r="AM192"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N192" i="9"/>
  <c r="M192" i="9"/>
  <c r="L192" i="9"/>
  <c r="K192" i="9"/>
  <c r="J192" i="9"/>
  <c r="I192" i="9"/>
  <c r="H192" i="9"/>
  <c r="G192" i="9"/>
  <c r="F192" i="9"/>
  <c r="E192" i="9"/>
  <c r="D192" i="9"/>
  <c r="C192" i="9"/>
  <c r="D149" i="12"/>
  <c r="B5" i="20"/>
  <c r="B9" i="20"/>
  <c r="B8" i="20"/>
  <c r="T31" i="17"/>
  <c r="T30" i="17"/>
  <c r="T29" i="17"/>
  <c r="T28" i="17"/>
  <c r="T27" i="17"/>
  <c r="T26" i="17"/>
  <c r="T25" i="17"/>
  <c r="D152" i="12"/>
  <c r="D148" i="12"/>
  <c r="D141" i="17"/>
  <c r="D81" i="17" s="1"/>
  <c r="B140" i="17"/>
  <c r="B139" i="17"/>
  <c r="B138" i="17"/>
  <c r="D129" i="17"/>
  <c r="D83" i="17" s="1"/>
  <c r="B128" i="17"/>
  <c r="B127" i="17"/>
  <c r="B126" i="17"/>
  <c r="B125" i="17"/>
  <c r="B124" i="17"/>
  <c r="B123" i="17"/>
  <c r="D114" i="17"/>
  <c r="D82" i="17" s="1"/>
  <c r="B112" i="17"/>
  <c r="B111" i="17"/>
  <c r="B113" i="17" s="1"/>
  <c r="B109" i="17"/>
  <c r="B108" i="17"/>
  <c r="B107" i="17"/>
  <c r="B110" i="17" s="1"/>
  <c r="B26" i="10"/>
  <c r="C11" i="10" s="1"/>
  <c r="G170" i="18" s="1"/>
  <c r="I25" i="10"/>
  <c r="H25" i="10"/>
  <c r="G25" i="10"/>
  <c r="F25" i="10"/>
  <c r="I24" i="10"/>
  <c r="H24" i="10"/>
  <c r="G24" i="10"/>
  <c r="F24" i="10"/>
  <c r="I23" i="10"/>
  <c r="H23" i="10"/>
  <c r="G23" i="10"/>
  <c r="F23" i="10"/>
  <c r="I22" i="10"/>
  <c r="H22" i="10"/>
  <c r="G22" i="10"/>
  <c r="F22" i="10"/>
  <c r="I21" i="10"/>
  <c r="H21" i="10"/>
  <c r="G21" i="10"/>
  <c r="F21" i="10"/>
  <c r="I20" i="10"/>
  <c r="H20" i="10"/>
  <c r="G20" i="10"/>
  <c r="F20" i="10"/>
  <c r="I19" i="10"/>
  <c r="H19" i="10"/>
  <c r="G19" i="10"/>
  <c r="F19" i="10"/>
  <c r="I18" i="10"/>
  <c r="H18" i="10"/>
  <c r="G18" i="10"/>
  <c r="F18" i="10"/>
  <c r="I17" i="10"/>
  <c r="H17" i="10"/>
  <c r="G17" i="10"/>
  <c r="F17" i="10"/>
  <c r="I16" i="10"/>
  <c r="H16" i="10"/>
  <c r="F16" i="10"/>
  <c r="G16" i="10" s="1"/>
  <c r="D26" i="17"/>
  <c r="E26" i="17" s="1"/>
  <c r="D27" i="17"/>
  <c r="E27" i="17" s="1"/>
  <c r="Q27" i="17" s="1"/>
  <c r="D28" i="17"/>
  <c r="E28" i="17" s="1"/>
  <c r="Q28" i="17" s="1"/>
  <c r="D29" i="17"/>
  <c r="E29" i="17" s="1"/>
  <c r="N29" i="17" s="1"/>
  <c r="D30" i="17"/>
  <c r="E30" i="17" s="1"/>
  <c r="Q30" i="17" s="1"/>
  <c r="D31" i="17"/>
  <c r="E31" i="17" s="1"/>
  <c r="Q31" i="17" s="1"/>
  <c r="D25" i="17"/>
  <c r="E25" i="17" s="1"/>
  <c r="D13" i="17"/>
  <c r="D39" i="17" s="1"/>
  <c r="B18" i="25"/>
  <c r="F18" i="25" s="1"/>
  <c r="B17" i="25"/>
  <c r="F17" i="25" s="1"/>
  <c r="B16" i="25"/>
  <c r="K16" i="25" s="1"/>
  <c r="B15" i="25"/>
  <c r="H15" i="25" s="1"/>
  <c r="B14" i="25"/>
  <c r="K14" i="25" s="1"/>
  <c r="B13" i="25"/>
  <c r="K13" i="25" s="1"/>
  <c r="B12" i="25"/>
  <c r="K12" i="25" s="1"/>
  <c r="B11" i="25"/>
  <c r="K11" i="25" s="1"/>
  <c r="B10" i="25"/>
  <c r="B6" i="25"/>
  <c r="H28" i="25" s="1"/>
  <c r="B311" i="24"/>
  <c r="B310" i="24"/>
  <c r="B309" i="24"/>
  <c r="B308" i="24"/>
  <c r="B307" i="24"/>
  <c r="B306" i="24"/>
  <c r="B305" i="24"/>
  <c r="B304" i="24"/>
  <c r="B303" i="24"/>
  <c r="B302" i="24"/>
  <c r="B301" i="24"/>
  <c r="B300" i="24"/>
  <c r="B299" i="24"/>
  <c r="B298" i="24"/>
  <c r="B297" i="24"/>
  <c r="B296" i="24"/>
  <c r="B295" i="24"/>
  <c r="B294" i="24"/>
  <c r="B293" i="24"/>
  <c r="B292" i="24"/>
  <c r="B291" i="24"/>
  <c r="B290" i="24"/>
  <c r="B289" i="24"/>
  <c r="B288" i="24"/>
  <c r="B287" i="24"/>
  <c r="B286" i="24"/>
  <c r="B285" i="24"/>
  <c r="B284" i="24"/>
  <c r="B283" i="24"/>
  <c r="B282" i="24"/>
  <c r="B281" i="24"/>
  <c r="B280" i="24"/>
  <c r="B279" i="24"/>
  <c r="B278" i="24"/>
  <c r="B277" i="24"/>
  <c r="B276" i="24"/>
  <c r="B275" i="24"/>
  <c r="B274" i="24"/>
  <c r="B273" i="24"/>
  <c r="B272" i="24"/>
  <c r="B271" i="24"/>
  <c r="B270" i="24"/>
  <c r="B269" i="24"/>
  <c r="B268" i="24"/>
  <c r="B267" i="24"/>
  <c r="B266" i="24"/>
  <c r="B265" i="24"/>
  <c r="B264" i="24"/>
  <c r="B263" i="24"/>
  <c r="B262" i="24"/>
  <c r="B261" i="24"/>
  <c r="B260" i="24"/>
  <c r="B259" i="24"/>
  <c r="B258" i="24"/>
  <c r="B257" i="24"/>
  <c r="B256" i="24"/>
  <c r="B255" i="24"/>
  <c r="B254"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228" i="24"/>
  <c r="B227" i="24"/>
  <c r="B226" i="24"/>
  <c r="B225" i="24"/>
  <c r="B224" i="24"/>
  <c r="B223" i="24"/>
  <c r="B222" i="24"/>
  <c r="B221" i="24"/>
  <c r="B220" i="24"/>
  <c r="B219" i="24"/>
  <c r="B218" i="24"/>
  <c r="B217" i="24"/>
  <c r="B216" i="24"/>
  <c r="B215" i="24"/>
  <c r="B214" i="24"/>
  <c r="B213" i="24"/>
  <c r="B212" i="24"/>
  <c r="B211" i="24"/>
  <c r="B210" i="24"/>
  <c r="B209" i="24"/>
  <c r="B208" i="24"/>
  <c r="B207" i="24"/>
  <c r="B206" i="24"/>
  <c r="B205" i="24"/>
  <c r="B204" i="24"/>
  <c r="B203" i="24"/>
  <c r="B202" i="24"/>
  <c r="B201" i="24"/>
  <c r="B200" i="24"/>
  <c r="B199" i="24"/>
  <c r="B198" i="24"/>
  <c r="B197" i="24"/>
  <c r="B196" i="24"/>
  <c r="B195" i="24"/>
  <c r="B194" i="24"/>
  <c r="B193" i="24"/>
  <c r="B192" i="24"/>
  <c r="B191" i="24"/>
  <c r="B190" i="24"/>
  <c r="B189" i="24"/>
  <c r="B188" i="24"/>
  <c r="B187" i="24"/>
  <c r="B186" i="24"/>
  <c r="B185" i="24"/>
  <c r="B18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149" i="24"/>
  <c r="B148"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C9" i="21"/>
  <c r="C6" i="21"/>
  <c r="B6" i="20"/>
  <c r="D4005" i="18"/>
  <c r="C4005" i="18"/>
  <c r="B4005" i="18"/>
  <c r="D4004" i="18"/>
  <c r="C4004" i="18"/>
  <c r="B4004" i="18"/>
  <c r="D4003" i="18"/>
  <c r="C4003" i="18"/>
  <c r="B4003" i="18"/>
  <c r="D4002" i="18"/>
  <c r="C4002" i="18"/>
  <c r="B4002" i="18"/>
  <c r="D4001" i="18"/>
  <c r="C4001" i="18"/>
  <c r="B4001" i="18"/>
  <c r="D4000" i="18"/>
  <c r="C4000" i="18"/>
  <c r="B4000" i="18"/>
  <c r="D3999" i="18"/>
  <c r="C3999" i="18"/>
  <c r="B3999" i="18"/>
  <c r="D3998" i="18"/>
  <c r="C3998" i="18"/>
  <c r="B3998" i="18"/>
  <c r="D3997" i="18"/>
  <c r="C3997" i="18"/>
  <c r="B3997" i="18"/>
  <c r="D3996" i="18"/>
  <c r="C3996" i="18"/>
  <c r="B3996" i="18"/>
  <c r="D3995" i="18"/>
  <c r="C3995" i="18"/>
  <c r="B3995" i="18"/>
  <c r="D3994" i="18"/>
  <c r="C3994" i="18"/>
  <c r="B3994" i="18"/>
  <c r="D3993" i="18"/>
  <c r="C3993" i="18"/>
  <c r="B3993" i="18"/>
  <c r="D3992" i="18"/>
  <c r="C3992" i="18"/>
  <c r="B3992" i="18"/>
  <c r="D3991" i="18"/>
  <c r="C3991" i="18"/>
  <c r="B3991" i="18"/>
  <c r="D3990" i="18"/>
  <c r="C3990" i="18"/>
  <c r="B3990" i="18"/>
  <c r="D3989" i="18"/>
  <c r="C3989" i="18"/>
  <c r="B3989" i="18"/>
  <c r="D3988" i="18"/>
  <c r="C3988" i="18"/>
  <c r="B3988" i="18"/>
  <c r="D3987" i="18"/>
  <c r="C3987" i="18"/>
  <c r="B3987" i="18"/>
  <c r="D3986" i="18"/>
  <c r="C3986" i="18"/>
  <c r="B3986" i="18"/>
  <c r="D3985" i="18"/>
  <c r="C3985" i="18"/>
  <c r="B3985" i="18"/>
  <c r="D3984" i="18"/>
  <c r="C3984" i="18"/>
  <c r="B3984" i="18"/>
  <c r="D3983" i="18"/>
  <c r="C3983" i="18"/>
  <c r="B3983" i="18"/>
  <c r="D3982" i="18"/>
  <c r="C3982" i="18"/>
  <c r="B3982" i="18"/>
  <c r="D3981" i="18"/>
  <c r="C3981" i="18"/>
  <c r="B3981" i="18"/>
  <c r="D3980" i="18"/>
  <c r="C3980" i="18"/>
  <c r="B3980" i="18"/>
  <c r="D3979" i="18"/>
  <c r="C3979" i="18"/>
  <c r="B3979" i="18"/>
  <c r="D3978" i="18"/>
  <c r="C3978" i="18"/>
  <c r="B3978" i="18"/>
  <c r="D3977" i="18"/>
  <c r="C3977" i="18"/>
  <c r="B3977" i="18"/>
  <c r="D3976" i="18"/>
  <c r="C3976" i="18"/>
  <c r="B3976" i="18"/>
  <c r="D3975" i="18"/>
  <c r="C3975" i="18"/>
  <c r="B3975" i="18"/>
  <c r="D3974" i="18"/>
  <c r="C3974" i="18"/>
  <c r="B3974" i="18"/>
  <c r="D3973" i="18"/>
  <c r="C3973" i="18"/>
  <c r="B3973" i="18"/>
  <c r="D3972" i="18"/>
  <c r="C3972" i="18"/>
  <c r="B3972" i="18"/>
  <c r="D3971" i="18"/>
  <c r="C3971" i="18"/>
  <c r="B3971" i="18"/>
  <c r="D3970" i="18"/>
  <c r="C3970" i="18"/>
  <c r="B3970" i="18"/>
  <c r="D3969" i="18"/>
  <c r="C3969" i="18"/>
  <c r="B3969" i="18"/>
  <c r="D3968" i="18"/>
  <c r="C3968" i="18"/>
  <c r="B3968" i="18"/>
  <c r="D3967" i="18"/>
  <c r="C3967" i="18"/>
  <c r="B3967" i="18"/>
  <c r="D3966" i="18"/>
  <c r="C3966" i="18"/>
  <c r="B3966" i="18"/>
  <c r="D3965" i="18"/>
  <c r="C3965" i="18"/>
  <c r="B3965" i="18"/>
  <c r="D3964" i="18"/>
  <c r="C3964" i="18"/>
  <c r="B3964" i="18"/>
  <c r="D3963" i="18"/>
  <c r="C3963" i="18"/>
  <c r="B3963" i="18"/>
  <c r="D3962" i="18"/>
  <c r="C3962" i="18"/>
  <c r="B3962" i="18"/>
  <c r="D3961" i="18"/>
  <c r="C3961" i="18"/>
  <c r="B3961" i="18"/>
  <c r="D3960" i="18"/>
  <c r="C3960" i="18"/>
  <c r="B3960" i="18"/>
  <c r="D3959" i="18"/>
  <c r="C3959" i="18"/>
  <c r="B3959" i="18"/>
  <c r="D3958" i="18"/>
  <c r="C3958" i="18"/>
  <c r="B3958" i="18"/>
  <c r="D3957" i="18"/>
  <c r="C3957" i="18"/>
  <c r="B3957" i="18"/>
  <c r="D3956" i="18"/>
  <c r="C3956" i="18"/>
  <c r="B3956" i="18"/>
  <c r="D3955" i="18"/>
  <c r="C3955" i="18"/>
  <c r="B3955" i="18"/>
  <c r="D3954" i="18"/>
  <c r="C3954" i="18"/>
  <c r="B3954" i="18"/>
  <c r="D3953" i="18"/>
  <c r="C3953" i="18"/>
  <c r="B3953" i="18"/>
  <c r="D3952" i="18"/>
  <c r="C3952" i="18"/>
  <c r="B3952" i="18"/>
  <c r="D3951" i="18"/>
  <c r="C3951" i="18"/>
  <c r="B3951" i="18"/>
  <c r="D3950" i="18"/>
  <c r="C3950" i="18"/>
  <c r="B3950" i="18"/>
  <c r="D3949" i="18"/>
  <c r="C3949" i="18"/>
  <c r="B3949" i="18"/>
  <c r="D3948" i="18"/>
  <c r="C3948" i="18"/>
  <c r="B3948" i="18"/>
  <c r="D3947" i="18"/>
  <c r="C3947" i="18"/>
  <c r="B3947" i="18"/>
  <c r="D3946" i="18"/>
  <c r="C3946" i="18"/>
  <c r="B3946" i="18"/>
  <c r="D3945" i="18"/>
  <c r="C3945" i="18"/>
  <c r="B3945" i="18"/>
  <c r="D3944" i="18"/>
  <c r="C3944" i="18"/>
  <c r="B3944" i="18"/>
  <c r="D3943" i="18"/>
  <c r="C3943" i="18"/>
  <c r="B3943" i="18"/>
  <c r="D3942" i="18"/>
  <c r="C3942" i="18"/>
  <c r="B3942" i="18"/>
  <c r="D3941" i="18"/>
  <c r="C3941" i="18"/>
  <c r="B3941" i="18"/>
  <c r="D3940" i="18"/>
  <c r="C3940" i="18"/>
  <c r="B3940" i="18"/>
  <c r="D3939" i="18"/>
  <c r="C3939" i="18"/>
  <c r="B3939" i="18"/>
  <c r="D3938" i="18"/>
  <c r="C3938" i="18"/>
  <c r="B3938" i="18"/>
  <c r="D3937" i="18"/>
  <c r="C3937" i="18"/>
  <c r="B3937" i="18"/>
  <c r="D3936" i="18"/>
  <c r="C3936" i="18"/>
  <c r="B3936" i="18"/>
  <c r="D3935" i="18"/>
  <c r="C3935" i="18"/>
  <c r="B3935" i="18"/>
  <c r="D3934" i="18"/>
  <c r="C3934" i="18"/>
  <c r="B3934" i="18"/>
  <c r="D3933" i="18"/>
  <c r="C3933" i="18"/>
  <c r="B3933" i="18"/>
  <c r="D3932" i="18"/>
  <c r="C3932" i="18"/>
  <c r="B3932" i="18"/>
  <c r="D3931" i="18"/>
  <c r="C3931" i="18"/>
  <c r="B3931" i="18"/>
  <c r="D3930" i="18"/>
  <c r="C3930" i="18"/>
  <c r="B3930" i="18"/>
  <c r="D3929" i="18"/>
  <c r="C3929" i="18"/>
  <c r="B3929" i="18"/>
  <c r="D3928" i="18"/>
  <c r="C3928" i="18"/>
  <c r="B3928" i="18"/>
  <c r="D3927" i="18"/>
  <c r="C3927" i="18"/>
  <c r="B3927" i="18"/>
  <c r="D3926" i="18"/>
  <c r="C3926" i="18"/>
  <c r="B3926" i="18"/>
  <c r="D3925" i="18"/>
  <c r="C3925" i="18"/>
  <c r="B3925" i="18"/>
  <c r="D3924" i="18"/>
  <c r="C3924" i="18"/>
  <c r="B3924" i="18"/>
  <c r="D3923" i="18"/>
  <c r="C3923" i="18"/>
  <c r="B3923" i="18"/>
  <c r="D3922" i="18"/>
  <c r="C3922" i="18"/>
  <c r="B3922" i="18"/>
  <c r="D3921" i="18"/>
  <c r="C3921" i="18"/>
  <c r="B3921" i="18"/>
  <c r="D3920" i="18"/>
  <c r="C3920" i="18"/>
  <c r="B3920" i="18"/>
  <c r="D3919" i="18"/>
  <c r="C3919" i="18"/>
  <c r="B3919" i="18"/>
  <c r="D3918" i="18"/>
  <c r="C3918" i="18"/>
  <c r="B3918" i="18"/>
  <c r="D3917" i="18"/>
  <c r="C3917" i="18"/>
  <c r="B3917" i="18"/>
  <c r="D3916" i="18"/>
  <c r="C3916" i="18"/>
  <c r="B3916" i="18"/>
  <c r="D3915" i="18"/>
  <c r="C3915" i="18"/>
  <c r="B3915" i="18"/>
  <c r="D3914" i="18"/>
  <c r="C3914" i="18"/>
  <c r="B3914" i="18"/>
  <c r="D3913" i="18"/>
  <c r="C3913" i="18"/>
  <c r="B3913" i="18"/>
  <c r="D3912" i="18"/>
  <c r="C3912" i="18"/>
  <c r="B3912" i="18"/>
  <c r="D3911" i="18"/>
  <c r="C3911" i="18"/>
  <c r="B3911" i="18"/>
  <c r="D3910" i="18"/>
  <c r="C3910" i="18"/>
  <c r="B3910" i="18"/>
  <c r="D3909" i="18"/>
  <c r="C3909" i="18"/>
  <c r="B3909" i="18"/>
  <c r="D3908" i="18"/>
  <c r="C3908" i="18"/>
  <c r="B3908" i="18"/>
  <c r="D3907" i="18"/>
  <c r="C3907" i="18"/>
  <c r="B3907" i="18"/>
  <c r="D3906" i="18"/>
  <c r="C3906" i="18"/>
  <c r="B3906" i="18"/>
  <c r="D3905" i="18"/>
  <c r="C3905" i="18"/>
  <c r="B3905" i="18"/>
  <c r="D3904" i="18"/>
  <c r="C3904" i="18"/>
  <c r="B3904" i="18"/>
  <c r="D3903" i="18"/>
  <c r="C3903" i="18"/>
  <c r="B3903" i="18"/>
  <c r="D3902" i="18"/>
  <c r="C3902" i="18"/>
  <c r="B3902" i="18"/>
  <c r="D3901" i="18"/>
  <c r="C3901" i="18"/>
  <c r="B3901" i="18"/>
  <c r="D3900" i="18"/>
  <c r="C3900" i="18"/>
  <c r="B3900" i="18"/>
  <c r="D3899" i="18"/>
  <c r="C3899" i="18"/>
  <c r="B3899" i="18"/>
  <c r="D3898" i="18"/>
  <c r="C3898" i="18"/>
  <c r="B3898" i="18"/>
  <c r="D3897" i="18"/>
  <c r="C3897" i="18"/>
  <c r="B3897" i="18"/>
  <c r="D3896" i="18"/>
  <c r="C3896" i="18"/>
  <c r="B3896" i="18"/>
  <c r="D3895" i="18"/>
  <c r="C3895" i="18"/>
  <c r="B3895" i="18"/>
  <c r="D3894" i="18"/>
  <c r="C3894" i="18"/>
  <c r="B3894" i="18"/>
  <c r="D3893" i="18"/>
  <c r="C3893" i="18"/>
  <c r="B3893" i="18"/>
  <c r="D3892" i="18"/>
  <c r="C3892" i="18"/>
  <c r="B3892" i="18"/>
  <c r="D3891" i="18"/>
  <c r="C3891" i="18"/>
  <c r="B3891" i="18"/>
  <c r="D3890" i="18"/>
  <c r="C3890" i="18"/>
  <c r="B3890" i="18"/>
  <c r="D3889" i="18"/>
  <c r="C3889" i="18"/>
  <c r="B3889" i="18"/>
  <c r="D3888" i="18"/>
  <c r="C3888" i="18"/>
  <c r="B3888" i="18"/>
  <c r="D3887" i="18"/>
  <c r="C3887" i="18"/>
  <c r="B3887" i="18"/>
  <c r="D3886" i="18"/>
  <c r="C3886" i="18"/>
  <c r="B3886" i="18"/>
  <c r="D3885" i="18"/>
  <c r="C3885" i="18"/>
  <c r="B3885" i="18"/>
  <c r="D3884" i="18"/>
  <c r="C3884" i="18"/>
  <c r="B3884" i="18"/>
  <c r="D3883" i="18"/>
  <c r="C3883" i="18"/>
  <c r="B3883" i="18"/>
  <c r="D3882" i="18"/>
  <c r="C3882" i="18"/>
  <c r="B3882" i="18"/>
  <c r="D3881" i="18"/>
  <c r="C3881" i="18"/>
  <c r="B3881" i="18"/>
  <c r="D3880" i="18"/>
  <c r="C3880" i="18"/>
  <c r="B3880" i="18"/>
  <c r="D3879" i="18"/>
  <c r="C3879" i="18"/>
  <c r="B3879" i="18"/>
  <c r="D3878" i="18"/>
  <c r="C3878" i="18"/>
  <c r="B3878" i="18"/>
  <c r="D3877" i="18"/>
  <c r="C3877" i="18"/>
  <c r="B3877" i="18"/>
  <c r="D3876" i="18"/>
  <c r="C3876" i="18"/>
  <c r="B3876" i="18"/>
  <c r="D3875" i="18"/>
  <c r="C3875" i="18"/>
  <c r="B3875" i="18"/>
  <c r="D3874" i="18"/>
  <c r="C3874" i="18"/>
  <c r="B3874" i="18"/>
  <c r="D3873" i="18"/>
  <c r="C3873" i="18"/>
  <c r="B3873" i="18"/>
  <c r="D3872" i="18"/>
  <c r="C3872" i="18"/>
  <c r="B3872" i="18"/>
  <c r="D3871" i="18"/>
  <c r="C3871" i="18"/>
  <c r="B3871" i="18"/>
  <c r="D3870" i="18"/>
  <c r="C3870" i="18"/>
  <c r="B3870" i="18"/>
  <c r="D3869" i="18"/>
  <c r="C3869" i="18"/>
  <c r="B3869" i="18"/>
  <c r="D3868" i="18"/>
  <c r="C3868" i="18"/>
  <c r="B3868" i="18"/>
  <c r="D3867" i="18"/>
  <c r="C3867" i="18"/>
  <c r="B3867" i="18"/>
  <c r="D3866" i="18"/>
  <c r="C3866" i="18"/>
  <c r="B3866" i="18"/>
  <c r="D3865" i="18"/>
  <c r="C3865" i="18"/>
  <c r="B3865" i="18"/>
  <c r="D3864" i="18"/>
  <c r="C3864" i="18"/>
  <c r="B3864" i="18"/>
  <c r="D3863" i="18"/>
  <c r="C3863" i="18"/>
  <c r="B3863" i="18"/>
  <c r="D3862" i="18"/>
  <c r="C3862" i="18"/>
  <c r="B3862" i="18"/>
  <c r="D3861" i="18"/>
  <c r="C3861" i="18"/>
  <c r="B3861" i="18"/>
  <c r="D3860" i="18"/>
  <c r="C3860" i="18"/>
  <c r="B3860" i="18"/>
  <c r="D3859" i="18"/>
  <c r="C3859" i="18"/>
  <c r="B3859" i="18"/>
  <c r="D3858" i="18"/>
  <c r="C3858" i="18"/>
  <c r="B3858" i="18"/>
  <c r="D3857" i="18"/>
  <c r="C3857" i="18"/>
  <c r="B3857" i="18"/>
  <c r="D3856" i="18"/>
  <c r="C3856" i="18"/>
  <c r="B3856" i="18"/>
  <c r="D3855" i="18"/>
  <c r="C3855" i="18"/>
  <c r="B3855" i="18"/>
  <c r="D3854" i="18"/>
  <c r="C3854" i="18"/>
  <c r="B3854" i="18"/>
  <c r="D3853" i="18"/>
  <c r="C3853" i="18"/>
  <c r="B3853" i="18"/>
  <c r="D3852" i="18"/>
  <c r="C3852" i="18"/>
  <c r="B3852" i="18"/>
  <c r="D3851" i="18"/>
  <c r="C3851" i="18"/>
  <c r="B3851" i="18"/>
  <c r="D3850" i="18"/>
  <c r="C3850" i="18"/>
  <c r="B3850" i="18"/>
  <c r="D3849" i="18"/>
  <c r="C3849" i="18"/>
  <c r="B3849" i="18"/>
  <c r="D3848" i="18"/>
  <c r="C3848" i="18"/>
  <c r="B3848" i="18"/>
  <c r="D3847" i="18"/>
  <c r="C3847" i="18"/>
  <c r="B3847" i="18"/>
  <c r="D3846" i="18"/>
  <c r="C3846" i="18"/>
  <c r="B3846" i="18"/>
  <c r="D3845" i="18"/>
  <c r="C3845" i="18"/>
  <c r="B3845" i="18"/>
  <c r="D3844" i="18"/>
  <c r="C3844" i="18"/>
  <c r="B3844" i="18"/>
  <c r="D3843" i="18"/>
  <c r="C3843" i="18"/>
  <c r="B3843" i="18"/>
  <c r="D3842" i="18"/>
  <c r="C3842" i="18"/>
  <c r="B3842" i="18"/>
  <c r="D3841" i="18"/>
  <c r="C3841" i="18"/>
  <c r="B3841" i="18"/>
  <c r="D3840" i="18"/>
  <c r="C3840" i="18"/>
  <c r="B3840" i="18"/>
  <c r="D3839" i="18"/>
  <c r="C3839" i="18"/>
  <c r="B3839" i="18"/>
  <c r="D3838" i="18"/>
  <c r="C3838" i="18"/>
  <c r="B3838" i="18"/>
  <c r="D3837" i="18"/>
  <c r="C3837" i="18"/>
  <c r="B3837" i="18"/>
  <c r="D3836" i="18"/>
  <c r="C3836" i="18"/>
  <c r="B3836" i="18"/>
  <c r="D3835" i="18"/>
  <c r="C3835" i="18"/>
  <c r="B3835" i="18"/>
  <c r="D3834" i="18"/>
  <c r="C3834" i="18"/>
  <c r="B3834" i="18"/>
  <c r="D3833" i="18"/>
  <c r="C3833" i="18"/>
  <c r="B3833" i="18"/>
  <c r="D3832" i="18"/>
  <c r="C3832" i="18"/>
  <c r="B3832" i="18"/>
  <c r="D3831" i="18"/>
  <c r="C3831" i="18"/>
  <c r="B3831" i="18"/>
  <c r="D3830" i="18"/>
  <c r="C3830" i="18"/>
  <c r="B3830" i="18"/>
  <c r="D3829" i="18"/>
  <c r="C3829" i="18"/>
  <c r="B3829" i="18"/>
  <c r="D3828" i="18"/>
  <c r="C3828" i="18"/>
  <c r="B3828" i="18"/>
  <c r="D3827" i="18"/>
  <c r="C3827" i="18"/>
  <c r="B3827" i="18"/>
  <c r="D3826" i="18"/>
  <c r="C3826" i="18"/>
  <c r="B3826" i="18"/>
  <c r="D3825" i="18"/>
  <c r="C3825" i="18"/>
  <c r="B3825" i="18"/>
  <c r="D3824" i="18"/>
  <c r="C3824" i="18"/>
  <c r="B3824" i="18"/>
  <c r="D3823" i="18"/>
  <c r="C3823" i="18"/>
  <c r="B3823" i="18"/>
  <c r="D3822" i="18"/>
  <c r="C3822" i="18"/>
  <c r="B3822" i="18"/>
  <c r="D3821" i="18"/>
  <c r="C3821" i="18"/>
  <c r="B3821" i="18"/>
  <c r="D3820" i="18"/>
  <c r="C3820" i="18"/>
  <c r="B3820" i="18"/>
  <c r="D3819" i="18"/>
  <c r="C3819" i="18"/>
  <c r="B3819" i="18"/>
  <c r="D3818" i="18"/>
  <c r="C3818" i="18"/>
  <c r="B3818" i="18"/>
  <c r="D3817" i="18"/>
  <c r="C3817" i="18"/>
  <c r="B3817" i="18"/>
  <c r="D3816" i="18"/>
  <c r="C3816" i="18"/>
  <c r="B3816" i="18"/>
  <c r="D3815" i="18"/>
  <c r="C3815" i="18"/>
  <c r="B3815" i="18"/>
  <c r="D3814" i="18"/>
  <c r="C3814" i="18"/>
  <c r="B3814" i="18"/>
  <c r="D3813" i="18"/>
  <c r="C3813" i="18"/>
  <c r="B3813" i="18"/>
  <c r="D3812" i="18"/>
  <c r="C3812" i="18"/>
  <c r="B3812" i="18"/>
  <c r="D3811" i="18"/>
  <c r="C3811" i="18"/>
  <c r="B3811" i="18"/>
  <c r="D3810" i="18"/>
  <c r="C3810" i="18"/>
  <c r="B3810" i="18"/>
  <c r="D3809" i="18"/>
  <c r="C3809" i="18"/>
  <c r="B3809" i="18"/>
  <c r="D3808" i="18"/>
  <c r="C3808" i="18"/>
  <c r="B3808" i="18"/>
  <c r="D3807" i="18"/>
  <c r="C3807" i="18"/>
  <c r="B3807" i="18"/>
  <c r="D3806" i="18"/>
  <c r="C3806" i="18"/>
  <c r="B3806" i="18"/>
  <c r="D3805" i="18"/>
  <c r="C3805" i="18"/>
  <c r="B3805" i="18"/>
  <c r="D3804" i="18"/>
  <c r="C3804" i="18"/>
  <c r="B3804" i="18"/>
  <c r="D3803" i="18"/>
  <c r="C3803" i="18"/>
  <c r="B3803" i="18"/>
  <c r="D3802" i="18"/>
  <c r="C3802" i="18"/>
  <c r="B3802" i="18"/>
  <c r="D3801" i="18"/>
  <c r="C3801" i="18"/>
  <c r="B3801" i="18"/>
  <c r="D3800" i="18"/>
  <c r="C3800" i="18"/>
  <c r="B3800" i="18"/>
  <c r="D3799" i="18"/>
  <c r="C3799" i="18"/>
  <c r="B3799" i="18"/>
  <c r="D3798" i="18"/>
  <c r="C3798" i="18"/>
  <c r="B3798" i="18"/>
  <c r="D3797" i="18"/>
  <c r="C3797" i="18"/>
  <c r="B3797" i="18"/>
  <c r="D3796" i="18"/>
  <c r="C3796" i="18"/>
  <c r="B3796" i="18"/>
  <c r="D3795" i="18"/>
  <c r="C3795" i="18"/>
  <c r="B3795" i="18"/>
  <c r="D3794" i="18"/>
  <c r="C3794" i="18"/>
  <c r="B3794" i="18"/>
  <c r="D3793" i="18"/>
  <c r="C3793" i="18"/>
  <c r="B3793" i="18"/>
  <c r="D3792" i="18"/>
  <c r="C3792" i="18"/>
  <c r="B3792" i="18"/>
  <c r="D3791" i="18"/>
  <c r="C3791" i="18"/>
  <c r="B3791" i="18"/>
  <c r="D3790" i="18"/>
  <c r="C3790" i="18"/>
  <c r="B3790" i="18"/>
  <c r="D3789" i="18"/>
  <c r="C3789" i="18"/>
  <c r="B3789" i="18"/>
  <c r="D3788" i="18"/>
  <c r="C3788" i="18"/>
  <c r="B3788" i="18"/>
  <c r="D3787" i="18"/>
  <c r="C3787" i="18"/>
  <c r="B3787" i="18"/>
  <c r="D3786" i="18"/>
  <c r="C3786" i="18"/>
  <c r="B3786" i="18"/>
  <c r="D3785" i="18"/>
  <c r="C3785" i="18"/>
  <c r="B3785" i="18"/>
  <c r="D3784" i="18"/>
  <c r="C3784" i="18"/>
  <c r="B3784" i="18"/>
  <c r="D3783" i="18"/>
  <c r="C3783" i="18"/>
  <c r="B3783" i="18"/>
  <c r="D3782" i="18"/>
  <c r="C3782" i="18"/>
  <c r="B3782" i="18"/>
  <c r="D3781" i="18"/>
  <c r="C3781" i="18"/>
  <c r="B3781" i="18"/>
  <c r="D3780" i="18"/>
  <c r="C3780" i="18"/>
  <c r="B3780" i="18"/>
  <c r="D3779" i="18"/>
  <c r="C3779" i="18"/>
  <c r="B3779" i="18"/>
  <c r="D3778" i="18"/>
  <c r="C3778" i="18"/>
  <c r="B3778" i="18"/>
  <c r="D3777" i="18"/>
  <c r="C3777" i="18"/>
  <c r="B3777" i="18"/>
  <c r="D3776" i="18"/>
  <c r="C3776" i="18"/>
  <c r="B3776" i="18"/>
  <c r="D3775" i="18"/>
  <c r="C3775" i="18"/>
  <c r="B3775" i="18"/>
  <c r="D3774" i="18"/>
  <c r="C3774" i="18"/>
  <c r="B3774" i="18"/>
  <c r="D3773" i="18"/>
  <c r="C3773" i="18"/>
  <c r="B3773" i="18"/>
  <c r="D3772" i="18"/>
  <c r="C3772" i="18"/>
  <c r="B3772" i="18"/>
  <c r="D3771" i="18"/>
  <c r="C3771" i="18"/>
  <c r="B3771" i="18"/>
  <c r="D3770" i="18"/>
  <c r="C3770" i="18"/>
  <c r="B3770" i="18"/>
  <c r="D3769" i="18"/>
  <c r="C3769" i="18"/>
  <c r="B3769" i="18"/>
  <c r="D3768" i="18"/>
  <c r="C3768" i="18"/>
  <c r="B3768" i="18"/>
  <c r="D3767" i="18"/>
  <c r="C3767" i="18"/>
  <c r="B3767" i="18"/>
  <c r="D3766" i="18"/>
  <c r="C3766" i="18"/>
  <c r="B3766" i="18"/>
  <c r="D3765" i="18"/>
  <c r="C3765" i="18"/>
  <c r="B3765" i="18"/>
  <c r="D3764" i="18"/>
  <c r="C3764" i="18"/>
  <c r="B3764" i="18"/>
  <c r="D3763" i="18"/>
  <c r="C3763" i="18"/>
  <c r="B3763" i="18"/>
  <c r="D3762" i="18"/>
  <c r="C3762" i="18"/>
  <c r="B3762" i="18"/>
  <c r="D3761" i="18"/>
  <c r="C3761" i="18"/>
  <c r="B3761" i="18"/>
  <c r="D3760" i="18"/>
  <c r="C3760" i="18"/>
  <c r="B3760" i="18"/>
  <c r="D3759" i="18"/>
  <c r="C3759" i="18"/>
  <c r="B3759" i="18"/>
  <c r="D3758" i="18"/>
  <c r="C3758" i="18"/>
  <c r="B3758" i="18"/>
  <c r="D3757" i="18"/>
  <c r="C3757" i="18"/>
  <c r="B3757" i="18"/>
  <c r="D3756" i="18"/>
  <c r="C3756" i="18"/>
  <c r="B3756" i="18"/>
  <c r="D3755" i="18"/>
  <c r="C3755" i="18"/>
  <c r="B3755" i="18"/>
  <c r="D3754" i="18"/>
  <c r="C3754" i="18"/>
  <c r="B3754" i="18"/>
  <c r="D3753" i="18"/>
  <c r="C3753" i="18"/>
  <c r="B3753" i="18"/>
  <c r="D3752" i="18"/>
  <c r="C3752" i="18"/>
  <c r="B3752" i="18"/>
  <c r="D3751" i="18"/>
  <c r="C3751" i="18"/>
  <c r="B3751" i="18"/>
  <c r="D3750" i="18"/>
  <c r="C3750" i="18"/>
  <c r="B3750" i="18"/>
  <c r="D3749" i="18"/>
  <c r="C3749" i="18"/>
  <c r="B3749" i="18"/>
  <c r="D3748" i="18"/>
  <c r="C3748" i="18"/>
  <c r="B3748" i="18"/>
  <c r="D3747" i="18"/>
  <c r="C3747" i="18"/>
  <c r="B3747" i="18"/>
  <c r="D3746" i="18"/>
  <c r="C3746" i="18"/>
  <c r="B3746" i="18"/>
  <c r="D3745" i="18"/>
  <c r="C3745" i="18"/>
  <c r="B3745" i="18"/>
  <c r="D3744" i="18"/>
  <c r="C3744" i="18"/>
  <c r="B3744" i="18"/>
  <c r="D3743" i="18"/>
  <c r="C3743" i="18"/>
  <c r="B3743" i="18"/>
  <c r="D3742" i="18"/>
  <c r="C3742" i="18"/>
  <c r="B3742" i="18"/>
  <c r="D3741" i="18"/>
  <c r="C3741" i="18"/>
  <c r="B3741" i="18"/>
  <c r="D3740" i="18"/>
  <c r="C3740" i="18"/>
  <c r="B3740" i="18"/>
  <c r="D3739" i="18"/>
  <c r="C3739" i="18"/>
  <c r="B3739" i="18"/>
  <c r="D3738" i="18"/>
  <c r="C3738" i="18"/>
  <c r="B3738" i="18"/>
  <c r="D3737" i="18"/>
  <c r="C3737" i="18"/>
  <c r="B3737" i="18"/>
  <c r="D3736" i="18"/>
  <c r="C3736" i="18"/>
  <c r="B3736" i="18"/>
  <c r="D3735" i="18"/>
  <c r="C3735" i="18"/>
  <c r="B3735" i="18"/>
  <c r="D3734" i="18"/>
  <c r="C3734" i="18"/>
  <c r="B3734" i="18"/>
  <c r="D3733" i="18"/>
  <c r="C3733" i="18"/>
  <c r="B3733" i="18"/>
  <c r="D3732" i="18"/>
  <c r="C3732" i="18"/>
  <c r="B3732" i="18"/>
  <c r="D3731" i="18"/>
  <c r="C3731" i="18"/>
  <c r="B3731" i="18"/>
  <c r="D3730" i="18"/>
  <c r="C3730" i="18"/>
  <c r="B3730" i="18"/>
  <c r="D3729" i="18"/>
  <c r="C3729" i="18"/>
  <c r="B3729" i="18"/>
  <c r="D3728" i="18"/>
  <c r="C3728" i="18"/>
  <c r="B3728" i="18"/>
  <c r="D3727" i="18"/>
  <c r="C3727" i="18"/>
  <c r="B3727" i="18"/>
  <c r="D3726" i="18"/>
  <c r="C3726" i="18"/>
  <c r="B3726" i="18"/>
  <c r="D3725" i="18"/>
  <c r="C3725" i="18"/>
  <c r="B3725" i="18"/>
  <c r="D3724" i="18"/>
  <c r="C3724" i="18"/>
  <c r="B3724" i="18"/>
  <c r="D3723" i="18"/>
  <c r="C3723" i="18"/>
  <c r="B3723" i="18"/>
  <c r="D3722" i="18"/>
  <c r="C3722" i="18"/>
  <c r="B3722" i="18"/>
  <c r="D3721" i="18"/>
  <c r="C3721" i="18"/>
  <c r="B3721" i="18"/>
  <c r="D3720" i="18"/>
  <c r="C3720" i="18"/>
  <c r="B3720" i="18"/>
  <c r="D3719" i="18"/>
  <c r="C3719" i="18"/>
  <c r="B3719" i="18"/>
  <c r="D3718" i="18"/>
  <c r="C3718" i="18"/>
  <c r="B3718" i="18"/>
  <c r="D3717" i="18"/>
  <c r="C3717" i="18"/>
  <c r="B3717" i="18"/>
  <c r="D3716" i="18"/>
  <c r="C3716" i="18"/>
  <c r="B3716" i="18"/>
  <c r="D3715" i="18"/>
  <c r="C3715" i="18"/>
  <c r="B3715" i="18"/>
  <c r="D3714" i="18"/>
  <c r="C3714" i="18"/>
  <c r="B3714" i="18"/>
  <c r="D3713" i="18"/>
  <c r="C3713" i="18"/>
  <c r="B3713" i="18"/>
  <c r="D3712" i="18"/>
  <c r="C3712" i="18"/>
  <c r="B3712" i="18"/>
  <c r="D3711" i="18"/>
  <c r="C3711" i="18"/>
  <c r="B3711" i="18"/>
  <c r="D3710" i="18"/>
  <c r="C3710" i="18"/>
  <c r="B3710" i="18"/>
  <c r="D3709" i="18"/>
  <c r="C3709" i="18"/>
  <c r="B3709" i="18"/>
  <c r="D3708" i="18"/>
  <c r="C3708" i="18"/>
  <c r="B3708" i="18"/>
  <c r="D3707" i="18"/>
  <c r="C3707" i="18"/>
  <c r="B3707" i="18"/>
  <c r="D3706" i="18"/>
  <c r="C3706" i="18"/>
  <c r="B3706" i="18"/>
  <c r="D3705" i="18"/>
  <c r="C3705" i="18"/>
  <c r="B3705" i="18"/>
  <c r="D3704" i="18"/>
  <c r="C3704" i="18"/>
  <c r="B3704" i="18"/>
  <c r="D3703" i="18"/>
  <c r="C3703" i="18"/>
  <c r="B3703" i="18"/>
  <c r="D3702" i="18"/>
  <c r="C3702" i="18"/>
  <c r="B3702" i="18"/>
  <c r="D3701" i="18"/>
  <c r="C3701" i="18"/>
  <c r="B3701" i="18"/>
  <c r="D3700" i="18"/>
  <c r="C3700" i="18"/>
  <c r="B3700" i="18"/>
  <c r="D3699" i="18"/>
  <c r="C3699" i="18"/>
  <c r="B3699" i="18"/>
  <c r="D3698" i="18"/>
  <c r="C3698" i="18"/>
  <c r="B3698" i="18"/>
  <c r="D3697" i="18"/>
  <c r="C3697" i="18"/>
  <c r="B3697" i="18"/>
  <c r="D3696" i="18"/>
  <c r="C3696" i="18"/>
  <c r="B3696" i="18"/>
  <c r="D3695" i="18"/>
  <c r="C3695" i="18"/>
  <c r="B3695" i="18"/>
  <c r="D3694" i="18"/>
  <c r="C3694" i="18"/>
  <c r="B3694" i="18"/>
  <c r="D3693" i="18"/>
  <c r="C3693" i="18"/>
  <c r="B3693" i="18"/>
  <c r="D3692" i="18"/>
  <c r="C3692" i="18"/>
  <c r="B3692" i="18"/>
  <c r="D3691" i="18"/>
  <c r="C3691" i="18"/>
  <c r="B3691" i="18"/>
  <c r="D3690" i="18"/>
  <c r="C3690" i="18"/>
  <c r="B3690" i="18"/>
  <c r="D3689" i="18"/>
  <c r="C3689" i="18"/>
  <c r="B3689" i="18"/>
  <c r="D3688" i="18"/>
  <c r="C3688" i="18"/>
  <c r="B3688" i="18"/>
  <c r="D3687" i="18"/>
  <c r="C3687" i="18"/>
  <c r="B3687" i="18"/>
  <c r="D3686" i="18"/>
  <c r="C3686" i="18"/>
  <c r="B3686" i="18"/>
  <c r="D3685" i="18"/>
  <c r="C3685" i="18"/>
  <c r="B3685" i="18"/>
  <c r="D3684" i="18"/>
  <c r="C3684" i="18"/>
  <c r="B3684" i="18"/>
  <c r="D3683" i="18"/>
  <c r="C3683" i="18"/>
  <c r="B3683" i="18"/>
  <c r="D3682" i="18"/>
  <c r="C3682" i="18"/>
  <c r="B3682" i="18"/>
  <c r="D3681" i="18"/>
  <c r="C3681" i="18"/>
  <c r="B3681" i="18"/>
  <c r="D3680" i="18"/>
  <c r="C3680" i="18"/>
  <c r="B3680" i="18"/>
  <c r="D3679" i="18"/>
  <c r="C3679" i="18"/>
  <c r="B3679" i="18"/>
  <c r="D3678" i="18"/>
  <c r="C3678" i="18"/>
  <c r="B3678" i="18"/>
  <c r="D3677" i="18"/>
  <c r="C3677" i="18"/>
  <c r="B3677" i="18"/>
  <c r="D3676" i="18"/>
  <c r="C3676" i="18"/>
  <c r="B3676" i="18"/>
  <c r="D3675" i="18"/>
  <c r="C3675" i="18"/>
  <c r="B3675" i="18"/>
  <c r="D3674" i="18"/>
  <c r="C3674" i="18"/>
  <c r="B3674" i="18"/>
  <c r="D3673" i="18"/>
  <c r="C3673" i="18"/>
  <c r="B3673" i="18"/>
  <c r="D3672" i="18"/>
  <c r="C3672" i="18"/>
  <c r="B3672" i="18"/>
  <c r="D3671" i="18"/>
  <c r="C3671" i="18"/>
  <c r="B3671" i="18"/>
  <c r="D3670" i="18"/>
  <c r="C3670" i="18"/>
  <c r="B3670" i="18"/>
  <c r="D3669" i="18"/>
  <c r="C3669" i="18"/>
  <c r="B3669" i="18"/>
  <c r="D3668" i="18"/>
  <c r="C3668" i="18"/>
  <c r="B3668" i="18"/>
  <c r="D3667" i="18"/>
  <c r="C3667" i="18"/>
  <c r="B3667" i="18"/>
  <c r="D3666" i="18"/>
  <c r="C3666" i="18"/>
  <c r="B3666" i="18"/>
  <c r="D3665" i="18"/>
  <c r="C3665" i="18"/>
  <c r="B3665" i="18"/>
  <c r="D3664" i="18"/>
  <c r="C3664" i="18"/>
  <c r="B3664" i="18"/>
  <c r="D3663" i="18"/>
  <c r="C3663" i="18"/>
  <c r="B3663" i="18"/>
  <c r="D3662" i="18"/>
  <c r="C3662" i="18"/>
  <c r="B3662" i="18"/>
  <c r="D3661" i="18"/>
  <c r="C3661" i="18"/>
  <c r="B3661" i="18"/>
  <c r="D3660" i="18"/>
  <c r="C3660" i="18"/>
  <c r="B3660" i="18"/>
  <c r="D3659" i="18"/>
  <c r="C3659" i="18"/>
  <c r="B3659" i="18"/>
  <c r="D3658" i="18"/>
  <c r="C3658" i="18"/>
  <c r="B3658" i="18"/>
  <c r="D3657" i="18"/>
  <c r="C3657" i="18"/>
  <c r="B3657" i="18"/>
  <c r="D3656" i="18"/>
  <c r="C3656" i="18"/>
  <c r="B3656" i="18"/>
  <c r="D3655" i="18"/>
  <c r="C3655" i="18"/>
  <c r="B3655" i="18"/>
  <c r="D3654" i="18"/>
  <c r="C3654" i="18"/>
  <c r="B3654" i="18"/>
  <c r="D3653" i="18"/>
  <c r="C3653" i="18"/>
  <c r="B3653" i="18"/>
  <c r="D3652" i="18"/>
  <c r="C3652" i="18"/>
  <c r="B3652" i="18"/>
  <c r="D3651" i="18"/>
  <c r="C3651" i="18"/>
  <c r="B3651" i="18"/>
  <c r="D3650" i="18"/>
  <c r="C3650" i="18"/>
  <c r="B3650" i="18"/>
  <c r="D3649" i="18"/>
  <c r="C3649" i="18"/>
  <c r="B3649" i="18"/>
  <c r="D3648" i="18"/>
  <c r="C3648" i="18"/>
  <c r="B3648" i="18"/>
  <c r="D3647" i="18"/>
  <c r="C3647" i="18"/>
  <c r="B3647" i="18"/>
  <c r="D3646" i="18"/>
  <c r="C3646" i="18"/>
  <c r="B3646" i="18"/>
  <c r="D3645" i="18"/>
  <c r="C3645" i="18"/>
  <c r="B3645" i="18"/>
  <c r="D3644" i="18"/>
  <c r="C3644" i="18"/>
  <c r="B3644" i="18"/>
  <c r="D3643" i="18"/>
  <c r="C3643" i="18"/>
  <c r="B3643" i="18"/>
  <c r="D3642" i="18"/>
  <c r="C3642" i="18"/>
  <c r="B3642" i="18"/>
  <c r="D3641" i="18"/>
  <c r="C3641" i="18"/>
  <c r="B3641" i="18"/>
  <c r="D3640" i="18"/>
  <c r="C3640" i="18"/>
  <c r="B3640" i="18"/>
  <c r="D3639" i="18"/>
  <c r="C3639" i="18"/>
  <c r="B3639" i="18"/>
  <c r="D3638" i="18"/>
  <c r="C3638" i="18"/>
  <c r="B3638" i="18"/>
  <c r="D3637" i="18"/>
  <c r="C3637" i="18"/>
  <c r="B3637" i="18"/>
  <c r="D3636" i="18"/>
  <c r="C3636" i="18"/>
  <c r="B3636" i="18"/>
  <c r="D3635" i="18"/>
  <c r="C3635" i="18"/>
  <c r="B3635" i="18"/>
  <c r="D3634" i="18"/>
  <c r="C3634" i="18"/>
  <c r="B3634" i="18"/>
  <c r="D3633" i="18"/>
  <c r="C3633" i="18"/>
  <c r="B3633" i="18"/>
  <c r="D3632" i="18"/>
  <c r="C3632" i="18"/>
  <c r="B3632" i="18"/>
  <c r="D3631" i="18"/>
  <c r="C3631" i="18"/>
  <c r="B3631" i="18"/>
  <c r="D3630" i="18"/>
  <c r="C3630" i="18"/>
  <c r="B3630" i="18"/>
  <c r="D3629" i="18"/>
  <c r="C3629" i="18"/>
  <c r="B3629" i="18"/>
  <c r="D3628" i="18"/>
  <c r="C3628" i="18"/>
  <c r="B3628" i="18"/>
  <c r="D3627" i="18"/>
  <c r="C3627" i="18"/>
  <c r="B3627" i="18"/>
  <c r="D3626" i="18"/>
  <c r="C3626" i="18"/>
  <c r="B3626" i="18"/>
  <c r="D3625" i="18"/>
  <c r="C3625" i="18"/>
  <c r="B3625" i="18"/>
  <c r="D3624" i="18"/>
  <c r="C3624" i="18"/>
  <c r="B3624" i="18"/>
  <c r="D3623" i="18"/>
  <c r="C3623" i="18"/>
  <c r="B3623" i="18"/>
  <c r="D3622" i="18"/>
  <c r="C3622" i="18"/>
  <c r="B3622" i="18"/>
  <c r="D3621" i="18"/>
  <c r="C3621" i="18"/>
  <c r="B3621" i="18"/>
  <c r="D3620" i="18"/>
  <c r="C3620" i="18"/>
  <c r="B3620" i="18"/>
  <c r="D3619" i="18"/>
  <c r="C3619" i="18"/>
  <c r="B3619" i="18"/>
  <c r="D3618" i="18"/>
  <c r="C3618" i="18"/>
  <c r="B3618" i="18"/>
  <c r="D3617" i="18"/>
  <c r="C3617" i="18"/>
  <c r="B3617" i="18"/>
  <c r="D3616" i="18"/>
  <c r="C3616" i="18"/>
  <c r="B3616" i="18"/>
  <c r="D3615" i="18"/>
  <c r="C3615" i="18"/>
  <c r="B3615" i="18"/>
  <c r="D3614" i="18"/>
  <c r="C3614" i="18"/>
  <c r="B3614" i="18"/>
  <c r="D3613" i="18"/>
  <c r="C3613" i="18"/>
  <c r="B3613" i="18"/>
  <c r="D3612" i="18"/>
  <c r="C3612" i="18"/>
  <c r="B3612" i="18"/>
  <c r="D3611" i="18"/>
  <c r="C3611" i="18"/>
  <c r="B3611" i="18"/>
  <c r="D3610" i="18"/>
  <c r="C3610" i="18"/>
  <c r="B3610" i="18"/>
  <c r="D3609" i="18"/>
  <c r="C3609" i="18"/>
  <c r="B3609" i="18"/>
  <c r="D3608" i="18"/>
  <c r="C3608" i="18"/>
  <c r="B3608" i="18"/>
  <c r="D3607" i="18"/>
  <c r="C3607" i="18"/>
  <c r="B3607" i="18"/>
  <c r="D3606" i="18"/>
  <c r="C3606" i="18"/>
  <c r="B3606" i="18"/>
  <c r="D3605" i="18"/>
  <c r="C3605" i="18"/>
  <c r="B3605" i="18"/>
  <c r="D3604" i="18"/>
  <c r="C3604" i="18"/>
  <c r="B3604" i="18"/>
  <c r="D3603" i="18"/>
  <c r="C3603" i="18"/>
  <c r="B3603" i="18"/>
  <c r="D3602" i="18"/>
  <c r="C3602" i="18"/>
  <c r="B3602" i="18"/>
  <c r="D3601" i="18"/>
  <c r="C3601" i="18"/>
  <c r="B3601" i="18"/>
  <c r="D3600" i="18"/>
  <c r="C3600" i="18"/>
  <c r="B3600" i="18"/>
  <c r="D3599" i="18"/>
  <c r="C3599" i="18"/>
  <c r="B3599" i="18"/>
  <c r="D3598" i="18"/>
  <c r="C3598" i="18"/>
  <c r="B3598" i="18"/>
  <c r="D3597" i="18"/>
  <c r="C3597" i="18"/>
  <c r="B3597" i="18"/>
  <c r="D3596" i="18"/>
  <c r="C3596" i="18"/>
  <c r="B3596" i="18"/>
  <c r="D3595" i="18"/>
  <c r="C3595" i="18"/>
  <c r="B3595" i="18"/>
  <c r="D3594" i="18"/>
  <c r="C3594" i="18"/>
  <c r="B3594" i="18"/>
  <c r="D3593" i="18"/>
  <c r="C3593" i="18"/>
  <c r="B3593" i="18"/>
  <c r="D3592" i="18"/>
  <c r="C3592" i="18"/>
  <c r="B3592" i="18"/>
  <c r="D3591" i="18"/>
  <c r="C3591" i="18"/>
  <c r="B3591" i="18"/>
  <c r="D3590" i="18"/>
  <c r="C3590" i="18"/>
  <c r="B3590" i="18"/>
  <c r="D3589" i="18"/>
  <c r="C3589" i="18"/>
  <c r="B3589" i="18"/>
  <c r="D3588" i="18"/>
  <c r="C3588" i="18"/>
  <c r="B3588" i="18"/>
  <c r="D3587" i="18"/>
  <c r="C3587" i="18"/>
  <c r="B3587" i="18"/>
  <c r="D3586" i="18"/>
  <c r="C3586" i="18"/>
  <c r="B3586" i="18"/>
  <c r="D3585" i="18"/>
  <c r="C3585" i="18"/>
  <c r="B3585" i="18"/>
  <c r="D3584" i="18"/>
  <c r="C3584" i="18"/>
  <c r="B3584" i="18"/>
  <c r="D3583" i="18"/>
  <c r="C3583" i="18"/>
  <c r="B3583" i="18"/>
  <c r="D3582" i="18"/>
  <c r="C3582" i="18"/>
  <c r="B3582" i="18"/>
  <c r="D3581" i="18"/>
  <c r="C3581" i="18"/>
  <c r="B3581" i="18"/>
  <c r="D3580" i="18"/>
  <c r="C3580" i="18"/>
  <c r="B3580" i="18"/>
  <c r="D3579" i="18"/>
  <c r="C3579" i="18"/>
  <c r="B3579" i="18"/>
  <c r="D3578" i="18"/>
  <c r="C3578" i="18"/>
  <c r="B3578" i="18"/>
  <c r="D3577" i="18"/>
  <c r="C3577" i="18"/>
  <c r="B3577" i="18"/>
  <c r="D3576" i="18"/>
  <c r="C3576" i="18"/>
  <c r="B3576" i="18"/>
  <c r="D3575" i="18"/>
  <c r="C3575" i="18"/>
  <c r="B3575" i="18"/>
  <c r="D3574" i="18"/>
  <c r="C3574" i="18"/>
  <c r="B3574" i="18"/>
  <c r="D3573" i="18"/>
  <c r="C3573" i="18"/>
  <c r="B3573" i="18"/>
  <c r="D3572" i="18"/>
  <c r="C3572" i="18"/>
  <c r="B3572" i="18"/>
  <c r="D3571" i="18"/>
  <c r="C3571" i="18"/>
  <c r="B3571" i="18"/>
  <c r="D3570" i="18"/>
  <c r="C3570" i="18"/>
  <c r="B3570" i="18"/>
  <c r="D3569" i="18"/>
  <c r="C3569" i="18"/>
  <c r="B3569" i="18"/>
  <c r="D3568" i="18"/>
  <c r="C3568" i="18"/>
  <c r="B3568" i="18"/>
  <c r="D3567" i="18"/>
  <c r="C3567" i="18"/>
  <c r="B3567" i="18"/>
  <c r="D3566" i="18"/>
  <c r="C3566" i="18"/>
  <c r="B3566" i="18"/>
  <c r="D3565" i="18"/>
  <c r="C3565" i="18"/>
  <c r="B3565" i="18"/>
  <c r="D3564" i="18"/>
  <c r="C3564" i="18"/>
  <c r="B3564" i="18"/>
  <c r="D3563" i="18"/>
  <c r="C3563" i="18"/>
  <c r="B3563" i="18"/>
  <c r="D3562" i="18"/>
  <c r="C3562" i="18"/>
  <c r="B3562" i="18"/>
  <c r="D3561" i="18"/>
  <c r="C3561" i="18"/>
  <c r="B3561" i="18"/>
  <c r="D3560" i="18"/>
  <c r="C3560" i="18"/>
  <c r="B3560" i="18"/>
  <c r="D3559" i="18"/>
  <c r="C3559" i="18"/>
  <c r="B3559" i="18"/>
  <c r="D3558" i="18"/>
  <c r="C3558" i="18"/>
  <c r="B3558" i="18"/>
  <c r="D3557" i="18"/>
  <c r="C3557" i="18"/>
  <c r="B3557" i="18"/>
  <c r="D3556" i="18"/>
  <c r="C3556" i="18"/>
  <c r="B3556" i="18"/>
  <c r="D3555" i="18"/>
  <c r="C3555" i="18"/>
  <c r="B3555" i="18"/>
  <c r="D3554" i="18"/>
  <c r="C3554" i="18"/>
  <c r="B3554" i="18"/>
  <c r="D3553" i="18"/>
  <c r="C3553" i="18"/>
  <c r="B3553" i="18"/>
  <c r="D3552" i="18"/>
  <c r="C3552" i="18"/>
  <c r="B3552" i="18"/>
  <c r="D3551" i="18"/>
  <c r="C3551" i="18"/>
  <c r="B3551" i="18"/>
  <c r="D3550" i="18"/>
  <c r="C3550" i="18"/>
  <c r="B3550" i="18"/>
  <c r="D3549" i="18"/>
  <c r="C3549" i="18"/>
  <c r="B3549" i="18"/>
  <c r="D3548" i="18"/>
  <c r="C3548" i="18"/>
  <c r="B3548" i="18"/>
  <c r="D3547" i="18"/>
  <c r="C3547" i="18"/>
  <c r="B3547" i="18"/>
  <c r="D3546" i="18"/>
  <c r="C3546" i="18"/>
  <c r="B3546" i="18"/>
  <c r="D3545" i="18"/>
  <c r="C3545" i="18"/>
  <c r="B3545" i="18"/>
  <c r="D3544" i="18"/>
  <c r="C3544" i="18"/>
  <c r="B3544" i="18"/>
  <c r="D3543" i="18"/>
  <c r="C3543" i="18"/>
  <c r="B3543" i="18"/>
  <c r="D3542" i="18"/>
  <c r="C3542" i="18"/>
  <c r="B3542" i="18"/>
  <c r="D3541" i="18"/>
  <c r="C3541" i="18"/>
  <c r="B3541" i="18"/>
  <c r="D3540" i="18"/>
  <c r="C3540" i="18"/>
  <c r="B3540" i="18"/>
  <c r="D3539" i="18"/>
  <c r="C3539" i="18"/>
  <c r="B3539" i="18"/>
  <c r="D3538" i="18"/>
  <c r="C3538" i="18"/>
  <c r="B3538" i="18"/>
  <c r="D3537" i="18"/>
  <c r="C3537" i="18"/>
  <c r="B3537" i="18"/>
  <c r="D3536" i="18"/>
  <c r="C3536" i="18"/>
  <c r="B3536" i="18"/>
  <c r="D3535" i="18"/>
  <c r="C3535" i="18"/>
  <c r="B3535" i="18"/>
  <c r="D3534" i="18"/>
  <c r="C3534" i="18"/>
  <c r="B3534" i="18"/>
  <c r="D3533" i="18"/>
  <c r="C3533" i="18"/>
  <c r="B3533" i="18"/>
  <c r="D3532" i="18"/>
  <c r="C3532" i="18"/>
  <c r="B3532" i="18"/>
  <c r="D3531" i="18"/>
  <c r="C3531" i="18"/>
  <c r="B3531" i="18"/>
  <c r="D3530" i="18"/>
  <c r="C3530" i="18"/>
  <c r="B3530" i="18"/>
  <c r="D3529" i="18"/>
  <c r="C3529" i="18"/>
  <c r="B3529" i="18"/>
  <c r="D3528" i="18"/>
  <c r="C3528" i="18"/>
  <c r="B3528" i="18"/>
  <c r="D3527" i="18"/>
  <c r="C3527" i="18"/>
  <c r="B3527" i="18"/>
  <c r="D3526" i="18"/>
  <c r="C3526" i="18"/>
  <c r="B3526" i="18"/>
  <c r="D3525" i="18"/>
  <c r="C3525" i="18"/>
  <c r="B3525" i="18"/>
  <c r="D3524" i="18"/>
  <c r="C3524" i="18"/>
  <c r="B3524" i="18"/>
  <c r="D3523" i="18"/>
  <c r="C3523" i="18"/>
  <c r="B3523" i="18"/>
  <c r="D3522" i="18"/>
  <c r="C3522" i="18"/>
  <c r="B3522" i="18"/>
  <c r="D3521" i="18"/>
  <c r="C3521" i="18"/>
  <c r="B3521" i="18"/>
  <c r="D3520" i="18"/>
  <c r="C3520" i="18"/>
  <c r="B3520" i="18"/>
  <c r="D3519" i="18"/>
  <c r="C3519" i="18"/>
  <c r="B3519" i="18"/>
  <c r="D3518" i="18"/>
  <c r="C3518" i="18"/>
  <c r="B3518" i="18"/>
  <c r="D3517" i="18"/>
  <c r="C3517" i="18"/>
  <c r="B3517" i="18"/>
  <c r="D3516" i="18"/>
  <c r="C3516" i="18"/>
  <c r="B3516" i="18"/>
  <c r="D3515" i="18"/>
  <c r="C3515" i="18"/>
  <c r="B3515" i="18"/>
  <c r="D3514" i="18"/>
  <c r="C3514" i="18"/>
  <c r="B3514" i="18"/>
  <c r="D3513" i="18"/>
  <c r="C3513" i="18"/>
  <c r="B3513" i="18"/>
  <c r="D3512" i="18"/>
  <c r="C3512" i="18"/>
  <c r="B3512" i="18"/>
  <c r="D3511" i="18"/>
  <c r="C3511" i="18"/>
  <c r="B3511" i="18"/>
  <c r="D3510" i="18"/>
  <c r="C3510" i="18"/>
  <c r="B3510" i="18"/>
  <c r="D3509" i="18"/>
  <c r="C3509" i="18"/>
  <c r="B3509" i="18"/>
  <c r="D3508" i="18"/>
  <c r="C3508" i="18"/>
  <c r="B3508" i="18"/>
  <c r="D3507" i="18"/>
  <c r="C3507" i="18"/>
  <c r="B3507" i="18"/>
  <c r="D3506" i="18"/>
  <c r="C3506" i="18"/>
  <c r="B3506" i="18"/>
  <c r="D3505" i="18"/>
  <c r="C3505" i="18"/>
  <c r="B3505" i="18"/>
  <c r="D3504" i="18"/>
  <c r="C3504" i="18"/>
  <c r="B3504" i="18"/>
  <c r="D3503" i="18"/>
  <c r="C3503" i="18"/>
  <c r="B3503" i="18"/>
  <c r="D3502" i="18"/>
  <c r="C3502" i="18"/>
  <c r="B3502" i="18"/>
  <c r="D3501" i="18"/>
  <c r="C3501" i="18"/>
  <c r="B3501" i="18"/>
  <c r="D3500" i="18"/>
  <c r="C3500" i="18"/>
  <c r="B3500" i="18"/>
  <c r="D3499" i="18"/>
  <c r="C3499" i="18"/>
  <c r="B3499" i="18"/>
  <c r="D3498" i="18"/>
  <c r="C3498" i="18"/>
  <c r="B3498" i="18"/>
  <c r="D3497" i="18"/>
  <c r="C3497" i="18"/>
  <c r="B3497" i="18"/>
  <c r="D3496" i="18"/>
  <c r="C3496" i="18"/>
  <c r="B3496" i="18"/>
  <c r="D3495" i="18"/>
  <c r="C3495" i="18"/>
  <c r="B3495" i="18"/>
  <c r="D3494" i="18"/>
  <c r="C3494" i="18"/>
  <c r="B3494" i="18"/>
  <c r="D3493" i="18"/>
  <c r="C3493" i="18"/>
  <c r="B3493" i="18"/>
  <c r="D3492" i="18"/>
  <c r="C3492" i="18"/>
  <c r="B3492" i="18"/>
  <c r="D3491" i="18"/>
  <c r="C3491" i="18"/>
  <c r="B3491" i="18"/>
  <c r="D3490" i="18"/>
  <c r="C3490" i="18"/>
  <c r="B3490" i="18"/>
  <c r="D3489" i="18"/>
  <c r="C3489" i="18"/>
  <c r="B3489" i="18"/>
  <c r="D3488" i="18"/>
  <c r="C3488" i="18"/>
  <c r="B3488" i="18"/>
  <c r="D3487" i="18"/>
  <c r="C3487" i="18"/>
  <c r="B3487" i="18"/>
  <c r="D3486" i="18"/>
  <c r="C3486" i="18"/>
  <c r="B3486" i="18"/>
  <c r="D3485" i="18"/>
  <c r="C3485" i="18"/>
  <c r="B3485" i="18"/>
  <c r="D3484" i="18"/>
  <c r="C3484" i="18"/>
  <c r="B3484" i="18"/>
  <c r="D3483" i="18"/>
  <c r="C3483" i="18"/>
  <c r="B3483" i="18"/>
  <c r="D3482" i="18"/>
  <c r="C3482" i="18"/>
  <c r="B3482" i="18"/>
  <c r="D3481" i="18"/>
  <c r="C3481" i="18"/>
  <c r="B3481" i="18"/>
  <c r="D3480" i="18"/>
  <c r="C3480" i="18"/>
  <c r="B3480" i="18"/>
  <c r="D3479" i="18"/>
  <c r="C3479" i="18"/>
  <c r="B3479" i="18"/>
  <c r="D3478" i="18"/>
  <c r="C3478" i="18"/>
  <c r="B3478" i="18"/>
  <c r="D3477" i="18"/>
  <c r="C3477" i="18"/>
  <c r="B3477" i="18"/>
  <c r="D3476" i="18"/>
  <c r="C3476" i="18"/>
  <c r="B3476" i="18"/>
  <c r="D3475" i="18"/>
  <c r="C3475" i="18"/>
  <c r="B3475" i="18"/>
  <c r="D3474" i="18"/>
  <c r="C3474" i="18"/>
  <c r="B3474" i="18"/>
  <c r="D3473" i="18"/>
  <c r="C3473" i="18"/>
  <c r="B3473" i="18"/>
  <c r="D3472" i="18"/>
  <c r="C3472" i="18"/>
  <c r="B3472" i="18"/>
  <c r="D3471" i="18"/>
  <c r="C3471" i="18"/>
  <c r="B3471" i="18"/>
  <c r="D3470" i="18"/>
  <c r="C3470" i="18"/>
  <c r="B3470" i="18"/>
  <c r="D3469" i="18"/>
  <c r="C3469" i="18"/>
  <c r="B3469" i="18"/>
  <c r="D3468" i="18"/>
  <c r="C3468" i="18"/>
  <c r="B3468" i="18"/>
  <c r="D3467" i="18"/>
  <c r="C3467" i="18"/>
  <c r="B3467" i="18"/>
  <c r="D3466" i="18"/>
  <c r="C3466" i="18"/>
  <c r="B3466" i="18"/>
  <c r="D3465" i="18"/>
  <c r="C3465" i="18"/>
  <c r="B3465" i="18"/>
  <c r="D3464" i="18"/>
  <c r="C3464" i="18"/>
  <c r="B3464" i="18"/>
  <c r="D3463" i="18"/>
  <c r="C3463" i="18"/>
  <c r="B3463" i="18"/>
  <c r="D3462" i="18"/>
  <c r="C3462" i="18"/>
  <c r="B3462" i="18"/>
  <c r="D3461" i="18"/>
  <c r="C3461" i="18"/>
  <c r="B3461" i="18"/>
  <c r="D3460" i="18"/>
  <c r="C3460" i="18"/>
  <c r="B3460" i="18"/>
  <c r="D3459" i="18"/>
  <c r="C3459" i="18"/>
  <c r="B3459" i="18"/>
  <c r="D3458" i="18"/>
  <c r="C3458" i="18"/>
  <c r="B3458" i="18"/>
  <c r="D3457" i="18"/>
  <c r="C3457" i="18"/>
  <c r="B3457" i="18"/>
  <c r="D3456" i="18"/>
  <c r="C3456" i="18"/>
  <c r="B3456" i="18"/>
  <c r="D3455" i="18"/>
  <c r="C3455" i="18"/>
  <c r="B3455" i="18"/>
  <c r="D3454" i="18"/>
  <c r="C3454" i="18"/>
  <c r="B3454" i="18"/>
  <c r="D3453" i="18"/>
  <c r="C3453" i="18"/>
  <c r="B3453" i="18"/>
  <c r="D3452" i="18"/>
  <c r="C3452" i="18"/>
  <c r="B3452" i="18"/>
  <c r="D3451" i="18"/>
  <c r="C3451" i="18"/>
  <c r="B3451" i="18"/>
  <c r="D3450" i="18"/>
  <c r="C3450" i="18"/>
  <c r="B3450" i="18"/>
  <c r="D3449" i="18"/>
  <c r="C3449" i="18"/>
  <c r="B3449" i="18"/>
  <c r="D3448" i="18"/>
  <c r="C3448" i="18"/>
  <c r="B3448" i="18"/>
  <c r="D3447" i="18"/>
  <c r="C3447" i="18"/>
  <c r="B3447" i="18"/>
  <c r="D3446" i="18"/>
  <c r="C3446" i="18"/>
  <c r="B3446" i="18"/>
  <c r="D3445" i="18"/>
  <c r="C3445" i="18"/>
  <c r="B3445" i="18"/>
  <c r="D3444" i="18"/>
  <c r="C3444" i="18"/>
  <c r="B3444" i="18"/>
  <c r="D3443" i="18"/>
  <c r="C3443" i="18"/>
  <c r="B3443" i="18"/>
  <c r="D3442" i="18"/>
  <c r="C3442" i="18"/>
  <c r="B3442" i="18"/>
  <c r="D3441" i="18"/>
  <c r="C3441" i="18"/>
  <c r="B3441" i="18"/>
  <c r="D3440" i="18"/>
  <c r="C3440" i="18"/>
  <c r="B3440" i="18"/>
  <c r="D3439" i="18"/>
  <c r="C3439" i="18"/>
  <c r="B3439" i="18"/>
  <c r="D3438" i="18"/>
  <c r="C3438" i="18"/>
  <c r="B3438" i="18"/>
  <c r="D3437" i="18"/>
  <c r="C3437" i="18"/>
  <c r="B3437" i="18"/>
  <c r="D3436" i="18"/>
  <c r="C3436" i="18"/>
  <c r="B3436" i="18"/>
  <c r="D3435" i="18"/>
  <c r="C3435" i="18"/>
  <c r="B3435" i="18"/>
  <c r="D3434" i="18"/>
  <c r="C3434" i="18"/>
  <c r="B3434" i="18"/>
  <c r="D3433" i="18"/>
  <c r="C3433" i="18"/>
  <c r="B3433" i="18"/>
  <c r="D3432" i="18"/>
  <c r="C3432" i="18"/>
  <c r="B3432" i="18"/>
  <c r="D3431" i="18"/>
  <c r="C3431" i="18"/>
  <c r="B3431" i="18"/>
  <c r="D3430" i="18"/>
  <c r="C3430" i="18"/>
  <c r="B3430" i="18"/>
  <c r="D3429" i="18"/>
  <c r="C3429" i="18"/>
  <c r="B3429" i="18"/>
  <c r="D3428" i="18"/>
  <c r="C3428" i="18"/>
  <c r="B3428" i="18"/>
  <c r="D3427" i="18"/>
  <c r="C3427" i="18"/>
  <c r="B3427" i="18"/>
  <c r="D3426" i="18"/>
  <c r="C3426" i="18"/>
  <c r="B3426" i="18"/>
  <c r="D3425" i="18"/>
  <c r="C3425" i="18"/>
  <c r="B3425" i="18"/>
  <c r="D3424" i="18"/>
  <c r="C3424" i="18"/>
  <c r="B3424" i="18"/>
  <c r="D3423" i="18"/>
  <c r="C3423" i="18"/>
  <c r="B3423" i="18"/>
  <c r="D3422" i="18"/>
  <c r="C3422" i="18"/>
  <c r="B3422" i="18"/>
  <c r="D3421" i="18"/>
  <c r="C3421" i="18"/>
  <c r="B3421" i="18"/>
  <c r="D3420" i="18"/>
  <c r="C3420" i="18"/>
  <c r="B3420" i="18"/>
  <c r="D3419" i="18"/>
  <c r="C3419" i="18"/>
  <c r="B3419" i="18"/>
  <c r="D3418" i="18"/>
  <c r="C3418" i="18"/>
  <c r="B3418" i="18"/>
  <c r="D3417" i="18"/>
  <c r="C3417" i="18"/>
  <c r="B3417" i="18"/>
  <c r="D3416" i="18"/>
  <c r="C3416" i="18"/>
  <c r="B3416" i="18"/>
  <c r="D3415" i="18"/>
  <c r="C3415" i="18"/>
  <c r="B3415" i="18"/>
  <c r="D3414" i="18"/>
  <c r="C3414" i="18"/>
  <c r="B3414" i="18"/>
  <c r="D3413" i="18"/>
  <c r="C3413" i="18"/>
  <c r="B3413" i="18"/>
  <c r="D3412" i="18"/>
  <c r="C3412" i="18"/>
  <c r="B3412" i="18"/>
  <c r="D3411" i="18"/>
  <c r="C3411" i="18"/>
  <c r="B3411" i="18"/>
  <c r="D3410" i="18"/>
  <c r="C3410" i="18"/>
  <c r="B3410" i="18"/>
  <c r="D3409" i="18"/>
  <c r="C3409" i="18"/>
  <c r="B3409" i="18"/>
  <c r="D3408" i="18"/>
  <c r="C3408" i="18"/>
  <c r="B3408" i="18"/>
  <c r="D3407" i="18"/>
  <c r="C3407" i="18"/>
  <c r="B3407" i="18"/>
  <c r="D3406" i="18"/>
  <c r="C3406" i="18"/>
  <c r="B3406" i="18"/>
  <c r="D3405" i="18"/>
  <c r="C3405" i="18"/>
  <c r="B3405" i="18"/>
  <c r="D3404" i="18"/>
  <c r="C3404" i="18"/>
  <c r="B3404" i="18"/>
  <c r="D3403" i="18"/>
  <c r="C3403" i="18"/>
  <c r="B3403" i="18"/>
  <c r="D3402" i="18"/>
  <c r="C3402" i="18"/>
  <c r="B3402" i="18"/>
  <c r="D3401" i="18"/>
  <c r="C3401" i="18"/>
  <c r="B3401" i="18"/>
  <c r="D3400" i="18"/>
  <c r="C3400" i="18"/>
  <c r="B3400" i="18"/>
  <c r="D3399" i="18"/>
  <c r="C3399" i="18"/>
  <c r="B3399" i="18"/>
  <c r="D3398" i="18"/>
  <c r="C3398" i="18"/>
  <c r="B3398" i="18"/>
  <c r="D3397" i="18"/>
  <c r="C3397" i="18"/>
  <c r="B3397" i="18"/>
  <c r="D3396" i="18"/>
  <c r="C3396" i="18"/>
  <c r="B3396" i="18"/>
  <c r="D3395" i="18"/>
  <c r="C3395" i="18"/>
  <c r="B3395" i="18"/>
  <c r="D3394" i="18"/>
  <c r="C3394" i="18"/>
  <c r="B3394" i="18"/>
  <c r="D3393" i="18"/>
  <c r="C3393" i="18"/>
  <c r="B3393" i="18"/>
  <c r="D3392" i="18"/>
  <c r="C3392" i="18"/>
  <c r="B3392" i="18"/>
  <c r="D3391" i="18"/>
  <c r="C3391" i="18"/>
  <c r="B3391" i="18"/>
  <c r="D3390" i="18"/>
  <c r="C3390" i="18"/>
  <c r="B3390" i="18"/>
  <c r="D3389" i="18"/>
  <c r="C3389" i="18"/>
  <c r="B3389" i="18"/>
  <c r="D3388" i="18"/>
  <c r="C3388" i="18"/>
  <c r="B3388" i="18"/>
  <c r="D3387" i="18"/>
  <c r="C3387" i="18"/>
  <c r="B3387" i="18"/>
  <c r="D3386" i="18"/>
  <c r="C3386" i="18"/>
  <c r="B3386" i="18"/>
  <c r="D3385" i="18"/>
  <c r="C3385" i="18"/>
  <c r="B3385" i="18"/>
  <c r="D3384" i="18"/>
  <c r="C3384" i="18"/>
  <c r="B3384" i="18"/>
  <c r="D3383" i="18"/>
  <c r="C3383" i="18"/>
  <c r="B3383" i="18"/>
  <c r="D3382" i="18"/>
  <c r="C3382" i="18"/>
  <c r="B3382" i="18"/>
  <c r="D3381" i="18"/>
  <c r="C3381" i="18"/>
  <c r="B3381" i="18"/>
  <c r="D3380" i="18"/>
  <c r="C3380" i="18"/>
  <c r="B3380" i="18"/>
  <c r="D3379" i="18"/>
  <c r="C3379" i="18"/>
  <c r="B3379" i="18"/>
  <c r="D3378" i="18"/>
  <c r="C3378" i="18"/>
  <c r="B3378" i="18"/>
  <c r="D3377" i="18"/>
  <c r="C3377" i="18"/>
  <c r="B3377" i="18"/>
  <c r="D3376" i="18"/>
  <c r="C3376" i="18"/>
  <c r="B3376" i="18"/>
  <c r="D3375" i="18"/>
  <c r="C3375" i="18"/>
  <c r="B3375" i="18"/>
  <c r="D3374" i="18"/>
  <c r="C3374" i="18"/>
  <c r="B3374" i="18"/>
  <c r="D3373" i="18"/>
  <c r="C3373" i="18"/>
  <c r="B3373" i="18"/>
  <c r="D3372" i="18"/>
  <c r="C3372" i="18"/>
  <c r="B3372" i="18"/>
  <c r="D3371" i="18"/>
  <c r="C3371" i="18"/>
  <c r="B3371" i="18"/>
  <c r="D3370" i="18"/>
  <c r="C3370" i="18"/>
  <c r="B3370" i="18"/>
  <c r="D3369" i="18"/>
  <c r="C3369" i="18"/>
  <c r="B3369" i="18"/>
  <c r="D3368" i="18"/>
  <c r="C3368" i="18"/>
  <c r="B3368" i="18"/>
  <c r="D3367" i="18"/>
  <c r="C3367" i="18"/>
  <c r="B3367" i="18"/>
  <c r="D3366" i="18"/>
  <c r="C3366" i="18"/>
  <c r="B3366" i="18"/>
  <c r="D3365" i="18"/>
  <c r="C3365" i="18"/>
  <c r="B3365" i="18"/>
  <c r="D3364" i="18"/>
  <c r="C3364" i="18"/>
  <c r="B3364" i="18"/>
  <c r="D3363" i="18"/>
  <c r="C3363" i="18"/>
  <c r="B3363" i="18"/>
  <c r="D3362" i="18"/>
  <c r="C3362" i="18"/>
  <c r="B3362" i="18"/>
  <c r="D3361" i="18"/>
  <c r="C3361" i="18"/>
  <c r="B3361" i="18"/>
  <c r="D3360" i="18"/>
  <c r="C3360" i="18"/>
  <c r="B3360" i="18"/>
  <c r="D3359" i="18"/>
  <c r="C3359" i="18"/>
  <c r="B3359" i="18"/>
  <c r="D3358" i="18"/>
  <c r="C3358" i="18"/>
  <c r="B3358" i="18"/>
  <c r="D3357" i="18"/>
  <c r="C3357" i="18"/>
  <c r="B3357" i="18"/>
  <c r="D3356" i="18"/>
  <c r="C3356" i="18"/>
  <c r="B3356" i="18"/>
  <c r="D3355" i="18"/>
  <c r="C3355" i="18"/>
  <c r="B3355" i="18"/>
  <c r="D3354" i="18"/>
  <c r="C3354" i="18"/>
  <c r="B3354" i="18"/>
  <c r="D3353" i="18"/>
  <c r="C3353" i="18"/>
  <c r="B3353" i="18"/>
  <c r="D3352" i="18"/>
  <c r="C3352" i="18"/>
  <c r="B3352" i="18"/>
  <c r="D3351" i="18"/>
  <c r="C3351" i="18"/>
  <c r="B3351" i="18"/>
  <c r="D3350" i="18"/>
  <c r="C3350" i="18"/>
  <c r="B3350" i="18"/>
  <c r="D3349" i="18"/>
  <c r="C3349" i="18"/>
  <c r="B3349" i="18"/>
  <c r="D3348" i="18"/>
  <c r="C3348" i="18"/>
  <c r="B3348" i="18"/>
  <c r="D3347" i="18"/>
  <c r="C3347" i="18"/>
  <c r="B3347" i="18"/>
  <c r="D3346" i="18"/>
  <c r="C3346" i="18"/>
  <c r="B3346" i="18"/>
  <c r="D3345" i="18"/>
  <c r="C3345" i="18"/>
  <c r="B3345" i="18"/>
  <c r="D3344" i="18"/>
  <c r="C3344" i="18"/>
  <c r="B3344" i="18"/>
  <c r="D3343" i="18"/>
  <c r="C3343" i="18"/>
  <c r="B3343" i="18"/>
  <c r="D3342" i="18"/>
  <c r="C3342" i="18"/>
  <c r="B3342" i="18"/>
  <c r="D3341" i="18"/>
  <c r="C3341" i="18"/>
  <c r="B3341" i="18"/>
  <c r="D3340" i="18"/>
  <c r="C3340" i="18"/>
  <c r="B3340" i="18"/>
  <c r="D3339" i="18"/>
  <c r="C3339" i="18"/>
  <c r="B3339" i="18"/>
  <c r="D3338" i="18"/>
  <c r="C3338" i="18"/>
  <c r="B3338" i="18"/>
  <c r="D3337" i="18"/>
  <c r="C3337" i="18"/>
  <c r="B3337" i="18"/>
  <c r="D3336" i="18"/>
  <c r="C3336" i="18"/>
  <c r="B3336" i="18"/>
  <c r="D3335" i="18"/>
  <c r="C3335" i="18"/>
  <c r="B3335" i="18"/>
  <c r="D3334" i="18"/>
  <c r="C3334" i="18"/>
  <c r="B3334" i="18"/>
  <c r="D3333" i="18"/>
  <c r="C3333" i="18"/>
  <c r="B3333" i="18"/>
  <c r="D3332" i="18"/>
  <c r="C3332" i="18"/>
  <c r="B3332" i="18"/>
  <c r="D3331" i="18"/>
  <c r="C3331" i="18"/>
  <c r="B3331" i="18"/>
  <c r="D3330" i="18"/>
  <c r="C3330" i="18"/>
  <c r="B3330" i="18"/>
  <c r="D3329" i="18"/>
  <c r="C3329" i="18"/>
  <c r="B3329" i="18"/>
  <c r="D3328" i="18"/>
  <c r="C3328" i="18"/>
  <c r="B3328" i="18"/>
  <c r="D3327" i="18"/>
  <c r="C3327" i="18"/>
  <c r="B3327" i="18"/>
  <c r="D3326" i="18"/>
  <c r="C3326" i="18"/>
  <c r="B3326" i="18"/>
  <c r="D3325" i="18"/>
  <c r="C3325" i="18"/>
  <c r="B3325" i="18"/>
  <c r="D3324" i="18"/>
  <c r="C3324" i="18"/>
  <c r="B3324" i="18"/>
  <c r="D3323" i="18"/>
  <c r="C3323" i="18"/>
  <c r="B3323" i="18"/>
  <c r="D3322" i="18"/>
  <c r="C3322" i="18"/>
  <c r="B3322" i="18"/>
  <c r="D3321" i="18"/>
  <c r="C3321" i="18"/>
  <c r="B3321" i="18"/>
  <c r="D3320" i="18"/>
  <c r="C3320" i="18"/>
  <c r="B3320" i="18"/>
  <c r="D3319" i="18"/>
  <c r="C3319" i="18"/>
  <c r="B3319" i="18"/>
  <c r="D3318" i="18"/>
  <c r="C3318" i="18"/>
  <c r="B3318" i="18"/>
  <c r="D3317" i="18"/>
  <c r="C3317" i="18"/>
  <c r="B3317" i="18"/>
  <c r="D3316" i="18"/>
  <c r="C3316" i="18"/>
  <c r="B3316" i="18"/>
  <c r="D3315" i="18"/>
  <c r="C3315" i="18"/>
  <c r="B3315" i="18"/>
  <c r="D3314" i="18"/>
  <c r="C3314" i="18"/>
  <c r="B3314" i="18"/>
  <c r="D3313" i="18"/>
  <c r="C3313" i="18"/>
  <c r="B3313" i="18"/>
  <c r="D3312" i="18"/>
  <c r="C3312" i="18"/>
  <c r="B3312" i="18"/>
  <c r="D3311" i="18"/>
  <c r="C3311" i="18"/>
  <c r="B3311" i="18"/>
  <c r="D3310" i="18"/>
  <c r="C3310" i="18"/>
  <c r="B3310" i="18"/>
  <c r="D3309" i="18"/>
  <c r="C3309" i="18"/>
  <c r="B3309" i="18"/>
  <c r="D3308" i="18"/>
  <c r="C3308" i="18"/>
  <c r="B3308" i="18"/>
  <c r="D3307" i="18"/>
  <c r="C3307" i="18"/>
  <c r="B3307" i="18"/>
  <c r="D3306" i="18"/>
  <c r="C3306" i="18"/>
  <c r="B3306" i="18"/>
  <c r="D3305" i="18"/>
  <c r="C3305" i="18"/>
  <c r="B3305" i="18"/>
  <c r="D3304" i="18"/>
  <c r="C3304" i="18"/>
  <c r="B3304" i="18"/>
  <c r="D3303" i="18"/>
  <c r="C3303" i="18"/>
  <c r="B3303" i="18"/>
  <c r="D3302" i="18"/>
  <c r="C3302" i="18"/>
  <c r="B3302" i="18"/>
  <c r="D3301" i="18"/>
  <c r="C3301" i="18"/>
  <c r="B3301" i="18"/>
  <c r="D3300" i="18"/>
  <c r="C3300" i="18"/>
  <c r="B3300" i="18"/>
  <c r="D3299" i="18"/>
  <c r="C3299" i="18"/>
  <c r="B3299" i="18"/>
  <c r="D3298" i="18"/>
  <c r="C3298" i="18"/>
  <c r="B3298" i="18"/>
  <c r="D3297" i="18"/>
  <c r="C3297" i="18"/>
  <c r="B3297" i="18"/>
  <c r="D3296" i="18"/>
  <c r="C3296" i="18"/>
  <c r="B3296" i="18"/>
  <c r="D3295" i="18"/>
  <c r="C3295" i="18"/>
  <c r="B3295" i="18"/>
  <c r="D3294" i="18"/>
  <c r="C3294" i="18"/>
  <c r="B3294" i="18"/>
  <c r="D3293" i="18"/>
  <c r="C3293" i="18"/>
  <c r="B3293" i="18"/>
  <c r="D3292" i="18"/>
  <c r="C3292" i="18"/>
  <c r="B3292" i="18"/>
  <c r="D3291" i="18"/>
  <c r="C3291" i="18"/>
  <c r="B3291" i="18"/>
  <c r="D3290" i="18"/>
  <c r="C3290" i="18"/>
  <c r="B3290" i="18"/>
  <c r="D3289" i="18"/>
  <c r="C3289" i="18"/>
  <c r="B3289" i="18"/>
  <c r="D3288" i="18"/>
  <c r="C3288" i="18"/>
  <c r="B3288" i="18"/>
  <c r="D3287" i="18"/>
  <c r="C3287" i="18"/>
  <c r="B3287" i="18"/>
  <c r="D3286" i="18"/>
  <c r="C3286" i="18"/>
  <c r="B3286" i="18"/>
  <c r="D3285" i="18"/>
  <c r="C3285" i="18"/>
  <c r="B3285" i="18"/>
  <c r="D3284" i="18"/>
  <c r="C3284" i="18"/>
  <c r="B3284" i="18"/>
  <c r="D3283" i="18"/>
  <c r="C3283" i="18"/>
  <c r="B3283" i="18"/>
  <c r="D3282" i="18"/>
  <c r="C3282" i="18"/>
  <c r="B3282" i="18"/>
  <c r="D3281" i="18"/>
  <c r="C3281" i="18"/>
  <c r="B3281" i="18"/>
  <c r="D3280" i="18"/>
  <c r="C3280" i="18"/>
  <c r="B3280" i="18"/>
  <c r="D3279" i="18"/>
  <c r="C3279" i="18"/>
  <c r="B3279" i="18"/>
  <c r="D3278" i="18"/>
  <c r="C3278" i="18"/>
  <c r="B3278" i="18"/>
  <c r="D3277" i="18"/>
  <c r="C3277" i="18"/>
  <c r="B3277" i="18"/>
  <c r="D3276" i="18"/>
  <c r="C3276" i="18"/>
  <c r="B3276" i="18"/>
  <c r="D3275" i="18"/>
  <c r="C3275" i="18"/>
  <c r="B3275" i="18"/>
  <c r="D3274" i="18"/>
  <c r="C3274" i="18"/>
  <c r="B3274" i="18"/>
  <c r="D3273" i="18"/>
  <c r="C3273" i="18"/>
  <c r="B3273" i="18"/>
  <c r="D3272" i="18"/>
  <c r="C3272" i="18"/>
  <c r="B3272" i="18"/>
  <c r="D3271" i="18"/>
  <c r="C3271" i="18"/>
  <c r="B3271" i="18"/>
  <c r="D3270" i="18"/>
  <c r="C3270" i="18"/>
  <c r="B3270" i="18"/>
  <c r="D3269" i="18"/>
  <c r="C3269" i="18"/>
  <c r="B3269" i="18"/>
  <c r="D3268" i="18"/>
  <c r="C3268" i="18"/>
  <c r="B3268" i="18"/>
  <c r="D3267" i="18"/>
  <c r="C3267" i="18"/>
  <c r="B3267" i="18"/>
  <c r="D3266" i="18"/>
  <c r="C3266" i="18"/>
  <c r="B3266" i="18"/>
  <c r="D3265" i="18"/>
  <c r="C3265" i="18"/>
  <c r="B3265" i="18"/>
  <c r="D3264" i="18"/>
  <c r="C3264" i="18"/>
  <c r="B3264" i="18"/>
  <c r="D3263" i="18"/>
  <c r="C3263" i="18"/>
  <c r="B3263" i="18"/>
  <c r="D3262" i="18"/>
  <c r="C3262" i="18"/>
  <c r="B3262" i="18"/>
  <c r="D3261" i="18"/>
  <c r="C3261" i="18"/>
  <c r="B3261" i="18"/>
  <c r="D3260" i="18"/>
  <c r="C3260" i="18"/>
  <c r="B3260" i="18"/>
  <c r="D3259" i="18"/>
  <c r="C3259" i="18"/>
  <c r="B3259" i="18"/>
  <c r="D3258" i="18"/>
  <c r="C3258" i="18"/>
  <c r="B3258" i="18"/>
  <c r="D3257" i="18"/>
  <c r="C3257" i="18"/>
  <c r="B3257" i="18"/>
  <c r="D3256" i="18"/>
  <c r="C3256" i="18"/>
  <c r="B3256" i="18"/>
  <c r="D3255" i="18"/>
  <c r="C3255" i="18"/>
  <c r="B3255" i="18"/>
  <c r="D3254" i="18"/>
  <c r="C3254" i="18"/>
  <c r="B3254" i="18"/>
  <c r="D3253" i="18"/>
  <c r="C3253" i="18"/>
  <c r="B3253" i="18"/>
  <c r="D3252" i="18"/>
  <c r="C3252" i="18"/>
  <c r="B3252" i="18"/>
  <c r="D3251" i="18"/>
  <c r="C3251" i="18"/>
  <c r="B3251" i="18"/>
  <c r="D3250" i="18"/>
  <c r="C3250" i="18"/>
  <c r="B3250" i="18"/>
  <c r="D3249" i="18"/>
  <c r="C3249" i="18"/>
  <c r="B3249" i="18"/>
  <c r="D3248" i="18"/>
  <c r="C3248" i="18"/>
  <c r="B3248" i="18"/>
  <c r="D3247" i="18"/>
  <c r="C3247" i="18"/>
  <c r="B3247" i="18"/>
  <c r="D3246" i="18"/>
  <c r="C3246" i="18"/>
  <c r="B3246" i="18"/>
  <c r="D3245" i="18"/>
  <c r="C3245" i="18"/>
  <c r="B3245" i="18"/>
  <c r="D3244" i="18"/>
  <c r="C3244" i="18"/>
  <c r="B3244" i="18"/>
  <c r="D3243" i="18"/>
  <c r="C3243" i="18"/>
  <c r="B3243" i="18"/>
  <c r="D3242" i="18"/>
  <c r="C3242" i="18"/>
  <c r="B3242" i="18"/>
  <c r="D3241" i="18"/>
  <c r="C3241" i="18"/>
  <c r="B3241" i="18"/>
  <c r="D3240" i="18"/>
  <c r="C3240" i="18"/>
  <c r="B3240" i="18"/>
  <c r="D3239" i="18"/>
  <c r="C3239" i="18"/>
  <c r="B3239" i="18"/>
  <c r="D3238" i="18"/>
  <c r="C3238" i="18"/>
  <c r="B3238" i="18"/>
  <c r="D3237" i="18"/>
  <c r="C3237" i="18"/>
  <c r="B3237" i="18"/>
  <c r="D3236" i="18"/>
  <c r="C3236" i="18"/>
  <c r="B3236" i="18"/>
  <c r="D3235" i="18"/>
  <c r="C3235" i="18"/>
  <c r="B3235" i="18"/>
  <c r="D3234" i="18"/>
  <c r="C3234" i="18"/>
  <c r="B3234" i="18"/>
  <c r="D3233" i="18"/>
  <c r="C3233" i="18"/>
  <c r="B3233" i="18"/>
  <c r="D3232" i="18"/>
  <c r="C3232" i="18"/>
  <c r="B3232" i="18"/>
  <c r="D3231" i="18"/>
  <c r="C3231" i="18"/>
  <c r="B3231" i="18"/>
  <c r="D3230" i="18"/>
  <c r="C3230" i="18"/>
  <c r="B3230" i="18"/>
  <c r="D3229" i="18"/>
  <c r="C3229" i="18"/>
  <c r="B3229" i="18"/>
  <c r="D3228" i="18"/>
  <c r="C3228" i="18"/>
  <c r="B3228" i="18"/>
  <c r="D3227" i="18"/>
  <c r="C3227" i="18"/>
  <c r="B3227" i="18"/>
  <c r="D3226" i="18"/>
  <c r="C3226" i="18"/>
  <c r="B3226" i="18"/>
  <c r="D3225" i="18"/>
  <c r="C3225" i="18"/>
  <c r="B3225" i="18"/>
  <c r="D3224" i="18"/>
  <c r="C3224" i="18"/>
  <c r="B3224" i="18"/>
  <c r="D3223" i="18"/>
  <c r="C3223" i="18"/>
  <c r="B3223" i="18"/>
  <c r="D3222" i="18"/>
  <c r="C3222" i="18"/>
  <c r="B3222" i="18"/>
  <c r="D3221" i="18"/>
  <c r="C3221" i="18"/>
  <c r="B3221" i="18"/>
  <c r="D3220" i="18"/>
  <c r="C3220" i="18"/>
  <c r="B3220" i="18"/>
  <c r="D3219" i="18"/>
  <c r="C3219" i="18"/>
  <c r="B3219" i="18"/>
  <c r="D3218" i="18"/>
  <c r="C3218" i="18"/>
  <c r="B3218" i="18"/>
  <c r="D3217" i="18"/>
  <c r="C3217" i="18"/>
  <c r="B3217" i="18"/>
  <c r="D3216" i="18"/>
  <c r="C3216" i="18"/>
  <c r="B3216" i="18"/>
  <c r="D3215" i="18"/>
  <c r="C3215" i="18"/>
  <c r="B3215" i="18"/>
  <c r="D3214" i="18"/>
  <c r="C3214" i="18"/>
  <c r="B3214" i="18"/>
  <c r="D3213" i="18"/>
  <c r="C3213" i="18"/>
  <c r="B3213" i="18"/>
  <c r="D3212" i="18"/>
  <c r="C3212" i="18"/>
  <c r="B3212" i="18"/>
  <c r="D3211" i="18"/>
  <c r="C3211" i="18"/>
  <c r="B3211" i="18"/>
  <c r="D3210" i="18"/>
  <c r="C3210" i="18"/>
  <c r="B3210" i="18"/>
  <c r="D3209" i="18"/>
  <c r="C3209" i="18"/>
  <c r="B3209" i="18"/>
  <c r="D3208" i="18"/>
  <c r="C3208" i="18"/>
  <c r="B3208" i="18"/>
  <c r="D3207" i="18"/>
  <c r="C3207" i="18"/>
  <c r="B3207" i="18"/>
  <c r="D3206" i="18"/>
  <c r="C3206" i="18"/>
  <c r="B3206" i="18"/>
  <c r="D3205" i="18"/>
  <c r="C3205" i="18"/>
  <c r="B3205" i="18"/>
  <c r="D3204" i="18"/>
  <c r="C3204" i="18"/>
  <c r="B3204" i="18"/>
  <c r="D3203" i="18"/>
  <c r="C3203" i="18"/>
  <c r="B3203" i="18"/>
  <c r="D3202" i="18"/>
  <c r="C3202" i="18"/>
  <c r="B3202" i="18"/>
  <c r="D3201" i="18"/>
  <c r="C3201" i="18"/>
  <c r="B3201" i="18"/>
  <c r="D3200" i="18"/>
  <c r="C3200" i="18"/>
  <c r="B3200" i="18"/>
  <c r="D3199" i="18"/>
  <c r="C3199" i="18"/>
  <c r="B3199" i="18"/>
  <c r="D3198" i="18"/>
  <c r="C3198" i="18"/>
  <c r="B3198" i="18"/>
  <c r="D3197" i="18"/>
  <c r="C3197" i="18"/>
  <c r="B3197" i="18"/>
  <c r="D3196" i="18"/>
  <c r="C3196" i="18"/>
  <c r="B3196" i="18"/>
  <c r="D3195" i="18"/>
  <c r="C3195" i="18"/>
  <c r="B3195" i="18"/>
  <c r="D3194" i="18"/>
  <c r="C3194" i="18"/>
  <c r="B3194" i="18"/>
  <c r="D3193" i="18"/>
  <c r="C3193" i="18"/>
  <c r="B3193" i="18"/>
  <c r="D3192" i="18"/>
  <c r="C3192" i="18"/>
  <c r="B3192" i="18"/>
  <c r="D3191" i="18"/>
  <c r="C3191" i="18"/>
  <c r="B3191" i="18"/>
  <c r="D3190" i="18"/>
  <c r="C3190" i="18"/>
  <c r="B3190" i="18"/>
  <c r="D3189" i="18"/>
  <c r="C3189" i="18"/>
  <c r="B3189" i="18"/>
  <c r="D3188" i="18"/>
  <c r="C3188" i="18"/>
  <c r="B3188" i="18"/>
  <c r="D3187" i="18"/>
  <c r="C3187" i="18"/>
  <c r="B3187" i="18"/>
  <c r="D3186" i="18"/>
  <c r="C3186" i="18"/>
  <c r="B3186" i="18"/>
  <c r="D3185" i="18"/>
  <c r="C3185" i="18"/>
  <c r="B3185" i="18"/>
  <c r="D3184" i="18"/>
  <c r="C3184" i="18"/>
  <c r="B3184" i="18"/>
  <c r="D3183" i="18"/>
  <c r="C3183" i="18"/>
  <c r="B3183" i="18"/>
  <c r="D3182" i="18"/>
  <c r="C3182" i="18"/>
  <c r="B3182" i="18"/>
  <c r="D3181" i="18"/>
  <c r="C3181" i="18"/>
  <c r="B3181" i="18"/>
  <c r="D3180" i="18"/>
  <c r="C3180" i="18"/>
  <c r="B3180" i="18"/>
  <c r="D3179" i="18"/>
  <c r="C3179" i="18"/>
  <c r="B3179" i="18"/>
  <c r="D3178" i="18"/>
  <c r="C3178" i="18"/>
  <c r="B3178" i="18"/>
  <c r="D3177" i="18"/>
  <c r="C3177" i="18"/>
  <c r="B3177" i="18"/>
  <c r="D3176" i="18"/>
  <c r="C3176" i="18"/>
  <c r="B3176" i="18"/>
  <c r="D3175" i="18"/>
  <c r="C3175" i="18"/>
  <c r="B3175" i="18"/>
  <c r="D3174" i="18"/>
  <c r="C3174" i="18"/>
  <c r="B3174" i="18"/>
  <c r="D3173" i="18"/>
  <c r="C3173" i="18"/>
  <c r="B3173" i="18"/>
  <c r="D3172" i="18"/>
  <c r="C3172" i="18"/>
  <c r="B3172" i="18"/>
  <c r="D3171" i="18"/>
  <c r="C3171" i="18"/>
  <c r="B3171" i="18"/>
  <c r="D3170" i="18"/>
  <c r="C3170" i="18"/>
  <c r="B3170" i="18"/>
  <c r="D3169" i="18"/>
  <c r="C3169" i="18"/>
  <c r="B3169" i="18"/>
  <c r="D3168" i="18"/>
  <c r="C3168" i="18"/>
  <c r="B3168" i="18"/>
  <c r="D3167" i="18"/>
  <c r="C3167" i="18"/>
  <c r="B3167" i="18"/>
  <c r="D3166" i="18"/>
  <c r="C3166" i="18"/>
  <c r="B3166" i="18"/>
  <c r="D3165" i="18"/>
  <c r="C3165" i="18"/>
  <c r="B3165" i="18"/>
  <c r="D3164" i="18"/>
  <c r="C3164" i="18"/>
  <c r="B3164" i="18"/>
  <c r="D3163" i="18"/>
  <c r="C3163" i="18"/>
  <c r="B3163" i="18"/>
  <c r="D3162" i="18"/>
  <c r="C3162" i="18"/>
  <c r="B3162" i="18"/>
  <c r="D3161" i="18"/>
  <c r="C3161" i="18"/>
  <c r="B3161" i="18"/>
  <c r="D3160" i="18"/>
  <c r="C3160" i="18"/>
  <c r="B3160" i="18"/>
  <c r="D3159" i="18"/>
  <c r="C3159" i="18"/>
  <c r="B3159" i="18"/>
  <c r="D3158" i="18"/>
  <c r="C3158" i="18"/>
  <c r="B3158" i="18"/>
  <c r="D3157" i="18"/>
  <c r="C3157" i="18"/>
  <c r="B3157" i="18"/>
  <c r="D3156" i="18"/>
  <c r="C3156" i="18"/>
  <c r="B3156" i="18"/>
  <c r="D3155" i="18"/>
  <c r="C3155" i="18"/>
  <c r="B3155" i="18"/>
  <c r="D3154" i="18"/>
  <c r="C3154" i="18"/>
  <c r="B3154" i="18"/>
  <c r="D3153" i="18"/>
  <c r="C3153" i="18"/>
  <c r="B3153" i="18"/>
  <c r="D3152" i="18"/>
  <c r="C3152" i="18"/>
  <c r="B3152" i="18"/>
  <c r="D3151" i="18"/>
  <c r="C3151" i="18"/>
  <c r="B3151" i="18"/>
  <c r="D3150" i="18"/>
  <c r="C3150" i="18"/>
  <c r="B3150" i="18"/>
  <c r="D3149" i="18"/>
  <c r="C3149" i="18"/>
  <c r="B3149" i="18"/>
  <c r="D3148" i="18"/>
  <c r="C3148" i="18"/>
  <c r="B3148" i="18"/>
  <c r="D3147" i="18"/>
  <c r="C3147" i="18"/>
  <c r="B3147" i="18"/>
  <c r="D3146" i="18"/>
  <c r="C3146" i="18"/>
  <c r="B3146" i="18"/>
  <c r="D3145" i="18"/>
  <c r="C3145" i="18"/>
  <c r="B3145" i="18"/>
  <c r="D3144" i="18"/>
  <c r="C3144" i="18"/>
  <c r="B3144" i="18"/>
  <c r="D3143" i="18"/>
  <c r="C3143" i="18"/>
  <c r="B3143" i="18"/>
  <c r="D3142" i="18"/>
  <c r="C3142" i="18"/>
  <c r="B3142" i="18"/>
  <c r="D3141" i="18"/>
  <c r="C3141" i="18"/>
  <c r="B3141" i="18"/>
  <c r="D3140" i="18"/>
  <c r="C3140" i="18"/>
  <c r="B3140" i="18"/>
  <c r="D3139" i="18"/>
  <c r="C3139" i="18"/>
  <c r="B3139" i="18"/>
  <c r="D3138" i="18"/>
  <c r="C3138" i="18"/>
  <c r="B3138" i="18"/>
  <c r="D3137" i="18"/>
  <c r="C3137" i="18"/>
  <c r="B3137" i="18"/>
  <c r="D3136" i="18"/>
  <c r="C3136" i="18"/>
  <c r="B3136" i="18"/>
  <c r="D3135" i="18"/>
  <c r="C3135" i="18"/>
  <c r="B3135" i="18"/>
  <c r="D3134" i="18"/>
  <c r="C3134" i="18"/>
  <c r="B3134" i="18"/>
  <c r="D3133" i="18"/>
  <c r="C3133" i="18"/>
  <c r="B3133" i="18"/>
  <c r="D3132" i="18"/>
  <c r="C3132" i="18"/>
  <c r="B3132" i="18"/>
  <c r="D3131" i="18"/>
  <c r="C3131" i="18"/>
  <c r="B3131" i="18"/>
  <c r="D3130" i="18"/>
  <c r="C3130" i="18"/>
  <c r="B3130" i="18"/>
  <c r="D3129" i="18"/>
  <c r="C3129" i="18"/>
  <c r="B3129" i="18"/>
  <c r="D3128" i="18"/>
  <c r="C3128" i="18"/>
  <c r="B3128" i="18"/>
  <c r="D3127" i="18"/>
  <c r="C3127" i="18"/>
  <c r="B3127" i="18"/>
  <c r="D3126" i="18"/>
  <c r="C3126" i="18"/>
  <c r="B3126" i="18"/>
  <c r="D3125" i="18"/>
  <c r="C3125" i="18"/>
  <c r="B3125" i="18"/>
  <c r="D3124" i="18"/>
  <c r="C3124" i="18"/>
  <c r="B3124" i="18"/>
  <c r="D3123" i="18"/>
  <c r="C3123" i="18"/>
  <c r="B3123" i="18"/>
  <c r="D3122" i="18"/>
  <c r="C3122" i="18"/>
  <c r="B3122" i="18"/>
  <c r="D3121" i="18"/>
  <c r="C3121" i="18"/>
  <c r="B3121" i="18"/>
  <c r="D3120" i="18"/>
  <c r="C3120" i="18"/>
  <c r="B3120" i="18"/>
  <c r="D3119" i="18"/>
  <c r="C3119" i="18"/>
  <c r="B3119" i="18"/>
  <c r="D3118" i="18"/>
  <c r="C3118" i="18"/>
  <c r="B3118" i="18"/>
  <c r="D3117" i="18"/>
  <c r="C3117" i="18"/>
  <c r="B3117" i="18"/>
  <c r="D3116" i="18"/>
  <c r="C3116" i="18"/>
  <c r="B3116" i="18"/>
  <c r="D3115" i="18"/>
  <c r="C3115" i="18"/>
  <c r="B3115" i="18"/>
  <c r="D3114" i="18"/>
  <c r="C3114" i="18"/>
  <c r="B3114" i="18"/>
  <c r="D3113" i="18"/>
  <c r="C3113" i="18"/>
  <c r="B3113" i="18"/>
  <c r="D3112" i="18"/>
  <c r="C3112" i="18"/>
  <c r="B3112" i="18"/>
  <c r="D3111" i="18"/>
  <c r="C3111" i="18"/>
  <c r="B3111" i="18"/>
  <c r="D3110" i="18"/>
  <c r="C3110" i="18"/>
  <c r="B3110" i="18"/>
  <c r="D3109" i="18"/>
  <c r="C3109" i="18"/>
  <c r="B3109" i="18"/>
  <c r="D3108" i="18"/>
  <c r="C3108" i="18"/>
  <c r="B3108" i="18"/>
  <c r="D3107" i="18"/>
  <c r="C3107" i="18"/>
  <c r="B3107" i="18"/>
  <c r="D3106" i="18"/>
  <c r="C3106" i="18"/>
  <c r="B3106" i="18"/>
  <c r="D3105" i="18"/>
  <c r="C3105" i="18"/>
  <c r="B3105" i="18"/>
  <c r="D3104" i="18"/>
  <c r="C3104" i="18"/>
  <c r="B3104" i="18"/>
  <c r="D3103" i="18"/>
  <c r="C3103" i="18"/>
  <c r="B3103" i="18"/>
  <c r="D3102" i="18"/>
  <c r="C3102" i="18"/>
  <c r="B3102" i="18"/>
  <c r="D3101" i="18"/>
  <c r="C3101" i="18"/>
  <c r="B3101" i="18"/>
  <c r="D3100" i="18"/>
  <c r="C3100" i="18"/>
  <c r="B3100" i="18"/>
  <c r="D3099" i="18"/>
  <c r="C3099" i="18"/>
  <c r="B3099" i="18"/>
  <c r="D3098" i="18"/>
  <c r="C3098" i="18"/>
  <c r="B3098" i="18"/>
  <c r="D3097" i="18"/>
  <c r="C3097" i="18"/>
  <c r="B3097" i="18"/>
  <c r="D3096" i="18"/>
  <c r="C3096" i="18"/>
  <c r="B3096" i="18"/>
  <c r="D3095" i="18"/>
  <c r="C3095" i="18"/>
  <c r="B3095" i="18"/>
  <c r="D3094" i="18"/>
  <c r="C3094" i="18"/>
  <c r="B3094" i="18"/>
  <c r="D3093" i="18"/>
  <c r="C3093" i="18"/>
  <c r="B3093" i="18"/>
  <c r="D3092" i="18"/>
  <c r="C3092" i="18"/>
  <c r="B3092" i="18"/>
  <c r="D3091" i="18"/>
  <c r="C3091" i="18"/>
  <c r="B3091" i="18"/>
  <c r="D3090" i="18"/>
  <c r="C3090" i="18"/>
  <c r="B3090" i="18"/>
  <c r="D3089" i="18"/>
  <c r="C3089" i="18"/>
  <c r="B3089" i="18"/>
  <c r="D3088" i="18"/>
  <c r="C3088" i="18"/>
  <c r="B3088" i="18"/>
  <c r="D3087" i="18"/>
  <c r="C3087" i="18"/>
  <c r="B3087" i="18"/>
  <c r="D3086" i="18"/>
  <c r="C3086" i="18"/>
  <c r="B3086" i="18"/>
  <c r="D3085" i="18"/>
  <c r="C3085" i="18"/>
  <c r="B3085" i="18"/>
  <c r="D3084" i="18"/>
  <c r="C3084" i="18"/>
  <c r="B3084" i="18"/>
  <c r="D3083" i="18"/>
  <c r="C3083" i="18"/>
  <c r="B3083" i="18"/>
  <c r="D3082" i="18"/>
  <c r="C3082" i="18"/>
  <c r="B3082" i="18"/>
  <c r="D3081" i="18"/>
  <c r="C3081" i="18"/>
  <c r="B3081" i="18"/>
  <c r="D3080" i="18"/>
  <c r="C3080" i="18"/>
  <c r="B3080" i="18"/>
  <c r="D3079" i="18"/>
  <c r="C3079" i="18"/>
  <c r="B3079" i="18"/>
  <c r="D3078" i="18"/>
  <c r="C3078" i="18"/>
  <c r="B3078" i="18"/>
  <c r="D3077" i="18"/>
  <c r="C3077" i="18"/>
  <c r="B3077" i="18"/>
  <c r="D3076" i="18"/>
  <c r="C3076" i="18"/>
  <c r="B3076" i="18"/>
  <c r="D3075" i="18"/>
  <c r="C3075" i="18"/>
  <c r="B3075" i="18"/>
  <c r="D3074" i="18"/>
  <c r="C3074" i="18"/>
  <c r="B3074" i="18"/>
  <c r="D3073" i="18"/>
  <c r="C3073" i="18"/>
  <c r="B3073" i="18"/>
  <c r="D3072" i="18"/>
  <c r="C3072" i="18"/>
  <c r="B3072" i="18"/>
  <c r="D3071" i="18"/>
  <c r="C3071" i="18"/>
  <c r="B3071" i="18"/>
  <c r="D3070" i="18"/>
  <c r="C3070" i="18"/>
  <c r="B3070" i="18"/>
  <c r="D3069" i="18"/>
  <c r="C3069" i="18"/>
  <c r="B3069" i="18"/>
  <c r="D3068" i="18"/>
  <c r="C3068" i="18"/>
  <c r="B3068" i="18"/>
  <c r="D3067" i="18"/>
  <c r="C3067" i="18"/>
  <c r="B3067" i="18"/>
  <c r="D3066" i="18"/>
  <c r="C3066" i="18"/>
  <c r="B3066" i="18"/>
  <c r="D3065" i="18"/>
  <c r="C3065" i="18"/>
  <c r="B3065" i="18"/>
  <c r="D3064" i="18"/>
  <c r="C3064" i="18"/>
  <c r="B3064" i="18"/>
  <c r="D3063" i="18"/>
  <c r="C3063" i="18"/>
  <c r="B3063" i="18"/>
  <c r="D3062" i="18"/>
  <c r="C3062" i="18"/>
  <c r="B3062" i="18"/>
  <c r="D3061" i="18"/>
  <c r="C3061" i="18"/>
  <c r="B3061" i="18"/>
  <c r="D3060" i="18"/>
  <c r="C3060" i="18"/>
  <c r="B3060" i="18"/>
  <c r="D3059" i="18"/>
  <c r="C3059" i="18"/>
  <c r="B3059" i="18"/>
  <c r="D3058" i="18"/>
  <c r="C3058" i="18"/>
  <c r="B3058" i="18"/>
  <c r="D3057" i="18"/>
  <c r="C3057" i="18"/>
  <c r="B3057" i="18"/>
  <c r="D3056" i="18"/>
  <c r="C3056" i="18"/>
  <c r="B3056" i="18"/>
  <c r="D3055" i="18"/>
  <c r="C3055" i="18"/>
  <c r="B3055" i="18"/>
  <c r="D3054" i="18"/>
  <c r="C3054" i="18"/>
  <c r="B3054" i="18"/>
  <c r="D3053" i="18"/>
  <c r="C3053" i="18"/>
  <c r="B3053" i="18"/>
  <c r="D3052" i="18"/>
  <c r="C3052" i="18"/>
  <c r="B3052" i="18"/>
  <c r="D3051" i="18"/>
  <c r="C3051" i="18"/>
  <c r="B3051" i="18"/>
  <c r="D3050" i="18"/>
  <c r="C3050" i="18"/>
  <c r="B3050" i="18"/>
  <c r="D3049" i="18"/>
  <c r="C3049" i="18"/>
  <c r="B3049" i="18"/>
  <c r="D3048" i="18"/>
  <c r="C3048" i="18"/>
  <c r="B3048" i="18"/>
  <c r="D3047" i="18"/>
  <c r="C3047" i="18"/>
  <c r="B3047" i="18"/>
  <c r="D3046" i="18"/>
  <c r="C3046" i="18"/>
  <c r="B3046" i="18"/>
  <c r="D3045" i="18"/>
  <c r="C3045" i="18"/>
  <c r="B3045" i="18"/>
  <c r="D3044" i="18"/>
  <c r="C3044" i="18"/>
  <c r="B3044" i="18"/>
  <c r="D3043" i="18"/>
  <c r="C3043" i="18"/>
  <c r="B3043" i="18"/>
  <c r="D3042" i="18"/>
  <c r="C3042" i="18"/>
  <c r="B3042" i="18"/>
  <c r="D3041" i="18"/>
  <c r="C3041" i="18"/>
  <c r="B3041" i="18"/>
  <c r="D3040" i="18"/>
  <c r="C3040" i="18"/>
  <c r="B3040" i="18"/>
  <c r="D3039" i="18"/>
  <c r="C3039" i="18"/>
  <c r="B3039" i="18"/>
  <c r="D3038" i="18"/>
  <c r="C3038" i="18"/>
  <c r="B3038" i="18"/>
  <c r="D3037" i="18"/>
  <c r="C3037" i="18"/>
  <c r="B3037" i="18"/>
  <c r="D3036" i="18"/>
  <c r="C3036" i="18"/>
  <c r="B3036" i="18"/>
  <c r="D3035" i="18"/>
  <c r="C3035" i="18"/>
  <c r="B3035" i="18"/>
  <c r="D3034" i="18"/>
  <c r="C3034" i="18"/>
  <c r="B3034" i="18"/>
  <c r="D3033" i="18"/>
  <c r="C3033" i="18"/>
  <c r="B3033" i="18"/>
  <c r="D3032" i="18"/>
  <c r="C3032" i="18"/>
  <c r="B3032" i="18"/>
  <c r="D3031" i="18"/>
  <c r="C3031" i="18"/>
  <c r="B3031" i="18"/>
  <c r="D3030" i="18"/>
  <c r="C3030" i="18"/>
  <c r="B3030" i="18"/>
  <c r="D3029" i="18"/>
  <c r="C3029" i="18"/>
  <c r="B3029" i="18"/>
  <c r="D3028" i="18"/>
  <c r="C3028" i="18"/>
  <c r="B3028" i="18"/>
  <c r="D3027" i="18"/>
  <c r="C3027" i="18"/>
  <c r="B3027" i="18"/>
  <c r="D3026" i="18"/>
  <c r="C3026" i="18"/>
  <c r="B3026" i="18"/>
  <c r="D3025" i="18"/>
  <c r="C3025" i="18"/>
  <c r="B3025" i="18"/>
  <c r="D3024" i="18"/>
  <c r="C3024" i="18"/>
  <c r="B3024" i="18"/>
  <c r="D3023" i="18"/>
  <c r="C3023" i="18"/>
  <c r="B3023" i="18"/>
  <c r="D3022" i="18"/>
  <c r="C3022" i="18"/>
  <c r="B3022" i="18"/>
  <c r="D3021" i="18"/>
  <c r="C3021" i="18"/>
  <c r="B3021" i="18"/>
  <c r="D3020" i="18"/>
  <c r="C3020" i="18"/>
  <c r="B3020" i="18"/>
  <c r="D3019" i="18"/>
  <c r="C3019" i="18"/>
  <c r="B3019" i="18"/>
  <c r="D3018" i="18"/>
  <c r="C3018" i="18"/>
  <c r="B3018" i="18"/>
  <c r="D3017" i="18"/>
  <c r="C3017" i="18"/>
  <c r="B3017" i="18"/>
  <c r="D3016" i="18"/>
  <c r="C3016" i="18"/>
  <c r="B3016" i="18"/>
  <c r="D3015" i="18"/>
  <c r="C3015" i="18"/>
  <c r="B3015" i="18"/>
  <c r="D3014" i="18"/>
  <c r="C3014" i="18"/>
  <c r="B3014" i="18"/>
  <c r="D3013" i="18"/>
  <c r="C3013" i="18"/>
  <c r="B3013" i="18"/>
  <c r="D3012" i="18"/>
  <c r="C3012" i="18"/>
  <c r="B3012" i="18"/>
  <c r="D3011" i="18"/>
  <c r="C3011" i="18"/>
  <c r="B3011" i="18"/>
  <c r="D3010" i="18"/>
  <c r="C3010" i="18"/>
  <c r="B3010" i="18"/>
  <c r="D3009" i="18"/>
  <c r="C3009" i="18"/>
  <c r="B3009" i="18"/>
  <c r="D3008" i="18"/>
  <c r="C3008" i="18"/>
  <c r="B3008" i="18"/>
  <c r="D3007" i="18"/>
  <c r="C3007" i="18"/>
  <c r="B3007" i="18"/>
  <c r="D3006" i="18"/>
  <c r="C3006" i="18"/>
  <c r="B3006" i="18"/>
  <c r="D3005" i="18"/>
  <c r="C3005" i="18"/>
  <c r="B3005" i="18"/>
  <c r="D3004" i="18"/>
  <c r="C3004" i="18"/>
  <c r="B3004" i="18"/>
  <c r="D3003" i="18"/>
  <c r="C3003" i="18"/>
  <c r="B3003" i="18"/>
  <c r="D3002" i="18"/>
  <c r="C3002" i="18"/>
  <c r="B3002" i="18"/>
  <c r="D3001" i="18"/>
  <c r="C3001" i="18"/>
  <c r="B3001" i="18"/>
  <c r="D3000" i="18"/>
  <c r="C3000" i="18"/>
  <c r="B3000" i="18"/>
  <c r="D2999" i="18"/>
  <c r="C2999" i="18"/>
  <c r="B2999" i="18"/>
  <c r="D2998" i="18"/>
  <c r="C2998" i="18"/>
  <c r="B2998" i="18"/>
  <c r="D2997" i="18"/>
  <c r="C2997" i="18"/>
  <c r="B2997" i="18"/>
  <c r="D2996" i="18"/>
  <c r="C2996" i="18"/>
  <c r="B2996" i="18"/>
  <c r="D2995" i="18"/>
  <c r="C2995" i="18"/>
  <c r="B2995" i="18"/>
  <c r="D2994" i="18"/>
  <c r="C2994" i="18"/>
  <c r="B2994" i="18"/>
  <c r="D2993" i="18"/>
  <c r="C2993" i="18"/>
  <c r="B2993" i="18"/>
  <c r="D2992" i="18"/>
  <c r="C2992" i="18"/>
  <c r="B2992" i="18"/>
  <c r="D2991" i="18"/>
  <c r="C2991" i="18"/>
  <c r="B2991" i="18"/>
  <c r="D2990" i="18"/>
  <c r="C2990" i="18"/>
  <c r="B2990" i="18"/>
  <c r="D2989" i="18"/>
  <c r="C2989" i="18"/>
  <c r="B2989" i="18"/>
  <c r="D2988" i="18"/>
  <c r="C2988" i="18"/>
  <c r="B2988" i="18"/>
  <c r="D2987" i="18"/>
  <c r="C2987" i="18"/>
  <c r="B2987" i="18"/>
  <c r="D2986" i="18"/>
  <c r="C2986" i="18"/>
  <c r="B2986" i="18"/>
  <c r="D2985" i="18"/>
  <c r="C2985" i="18"/>
  <c r="B2985" i="18"/>
  <c r="D2984" i="18"/>
  <c r="C2984" i="18"/>
  <c r="B2984" i="18"/>
  <c r="D2983" i="18"/>
  <c r="C2983" i="18"/>
  <c r="B2983" i="18"/>
  <c r="D2982" i="18"/>
  <c r="C2982" i="18"/>
  <c r="B2982" i="18"/>
  <c r="D2981" i="18"/>
  <c r="C2981" i="18"/>
  <c r="B2981" i="18"/>
  <c r="D2980" i="18"/>
  <c r="C2980" i="18"/>
  <c r="B2980" i="18"/>
  <c r="D2979" i="18"/>
  <c r="C2979" i="18"/>
  <c r="B2979" i="18"/>
  <c r="D2978" i="18"/>
  <c r="C2978" i="18"/>
  <c r="B2978" i="18"/>
  <c r="D2977" i="18"/>
  <c r="C2977" i="18"/>
  <c r="B2977" i="18"/>
  <c r="D2976" i="18"/>
  <c r="C2976" i="18"/>
  <c r="B2976" i="18"/>
  <c r="D2975" i="18"/>
  <c r="C2975" i="18"/>
  <c r="B2975" i="18"/>
  <c r="D2974" i="18"/>
  <c r="C2974" i="18"/>
  <c r="B2974" i="18"/>
  <c r="D2973" i="18"/>
  <c r="C2973" i="18"/>
  <c r="B2973" i="18"/>
  <c r="D2972" i="18"/>
  <c r="C2972" i="18"/>
  <c r="B2972" i="18"/>
  <c r="D2971" i="18"/>
  <c r="C2971" i="18"/>
  <c r="B2971" i="18"/>
  <c r="D2970" i="18"/>
  <c r="C2970" i="18"/>
  <c r="B2970" i="18"/>
  <c r="D2969" i="18"/>
  <c r="C2969" i="18"/>
  <c r="B2969" i="18"/>
  <c r="D2968" i="18"/>
  <c r="C2968" i="18"/>
  <c r="B2968" i="18"/>
  <c r="D2967" i="18"/>
  <c r="C2967" i="18"/>
  <c r="B2967" i="18"/>
  <c r="D2966" i="18"/>
  <c r="C2966" i="18"/>
  <c r="B2966" i="18"/>
  <c r="D2965" i="18"/>
  <c r="C2965" i="18"/>
  <c r="B2965" i="18"/>
  <c r="D2964" i="18"/>
  <c r="C2964" i="18"/>
  <c r="B2964" i="18"/>
  <c r="D2963" i="18"/>
  <c r="C2963" i="18"/>
  <c r="B2963" i="18"/>
  <c r="D2962" i="18"/>
  <c r="C2962" i="18"/>
  <c r="B2962" i="18"/>
  <c r="D2961" i="18"/>
  <c r="C2961" i="18"/>
  <c r="B2961" i="18"/>
  <c r="D2960" i="18"/>
  <c r="C2960" i="18"/>
  <c r="B2960" i="18"/>
  <c r="D2959" i="18"/>
  <c r="C2959" i="18"/>
  <c r="B2959" i="18"/>
  <c r="D2958" i="18"/>
  <c r="C2958" i="18"/>
  <c r="B2958" i="18"/>
  <c r="D2957" i="18"/>
  <c r="C2957" i="18"/>
  <c r="B2957" i="18"/>
  <c r="D2956" i="18"/>
  <c r="C2956" i="18"/>
  <c r="B2956" i="18"/>
  <c r="D2955" i="18"/>
  <c r="C2955" i="18"/>
  <c r="B2955" i="18"/>
  <c r="D2954" i="18"/>
  <c r="C2954" i="18"/>
  <c r="B2954" i="18"/>
  <c r="D2953" i="18"/>
  <c r="C2953" i="18"/>
  <c r="B2953" i="18"/>
  <c r="D2952" i="18"/>
  <c r="C2952" i="18"/>
  <c r="B2952" i="18"/>
  <c r="D2951" i="18"/>
  <c r="C2951" i="18"/>
  <c r="B2951" i="18"/>
  <c r="D2950" i="18"/>
  <c r="C2950" i="18"/>
  <c r="B2950" i="18"/>
  <c r="D2949" i="18"/>
  <c r="C2949" i="18"/>
  <c r="B2949" i="18"/>
  <c r="D2948" i="18"/>
  <c r="C2948" i="18"/>
  <c r="B2948" i="18"/>
  <c r="D2947" i="18"/>
  <c r="C2947" i="18"/>
  <c r="B2947" i="18"/>
  <c r="D2946" i="18"/>
  <c r="C2946" i="18"/>
  <c r="B2946" i="18"/>
  <c r="D2945" i="18"/>
  <c r="C2945" i="18"/>
  <c r="B2945" i="18"/>
  <c r="D2944" i="18"/>
  <c r="C2944" i="18"/>
  <c r="B2944" i="18"/>
  <c r="D2943" i="18"/>
  <c r="C2943" i="18"/>
  <c r="B2943" i="18"/>
  <c r="D2942" i="18"/>
  <c r="C2942" i="18"/>
  <c r="B2942" i="18"/>
  <c r="D2941" i="18"/>
  <c r="C2941" i="18"/>
  <c r="B2941" i="18"/>
  <c r="D2940" i="18"/>
  <c r="C2940" i="18"/>
  <c r="B2940" i="18"/>
  <c r="D2939" i="18"/>
  <c r="C2939" i="18"/>
  <c r="B2939" i="18"/>
  <c r="D2938" i="18"/>
  <c r="C2938" i="18"/>
  <c r="B2938" i="18"/>
  <c r="D2937" i="18"/>
  <c r="C2937" i="18"/>
  <c r="B2937" i="18"/>
  <c r="D2936" i="18"/>
  <c r="C2936" i="18"/>
  <c r="B2936" i="18"/>
  <c r="D2935" i="18"/>
  <c r="C2935" i="18"/>
  <c r="B2935" i="18"/>
  <c r="D2934" i="18"/>
  <c r="C2934" i="18"/>
  <c r="B2934" i="18"/>
  <c r="D2933" i="18"/>
  <c r="C2933" i="18"/>
  <c r="B2933" i="18"/>
  <c r="D2932" i="18"/>
  <c r="C2932" i="18"/>
  <c r="B2932" i="18"/>
  <c r="D2931" i="18"/>
  <c r="C2931" i="18"/>
  <c r="B2931" i="18"/>
  <c r="D2930" i="18"/>
  <c r="C2930" i="18"/>
  <c r="B2930" i="18"/>
  <c r="D2929" i="18"/>
  <c r="C2929" i="18"/>
  <c r="B2929" i="18"/>
  <c r="D2928" i="18"/>
  <c r="C2928" i="18"/>
  <c r="B2928" i="18"/>
  <c r="D2927" i="18"/>
  <c r="C2927" i="18"/>
  <c r="B2927" i="18"/>
  <c r="D2926" i="18"/>
  <c r="C2926" i="18"/>
  <c r="B2926" i="18"/>
  <c r="D2925" i="18"/>
  <c r="C2925" i="18"/>
  <c r="B2925" i="18"/>
  <c r="D2924" i="18"/>
  <c r="C2924" i="18"/>
  <c r="B2924" i="18"/>
  <c r="D2923" i="18"/>
  <c r="C2923" i="18"/>
  <c r="B2923" i="18"/>
  <c r="D2922" i="18"/>
  <c r="C2922" i="18"/>
  <c r="B2922" i="18"/>
  <c r="D2921" i="18"/>
  <c r="C2921" i="18"/>
  <c r="B2921" i="18"/>
  <c r="D2920" i="18"/>
  <c r="C2920" i="18"/>
  <c r="B2920" i="18"/>
  <c r="D2919" i="18"/>
  <c r="C2919" i="18"/>
  <c r="B2919" i="18"/>
  <c r="D2918" i="18"/>
  <c r="C2918" i="18"/>
  <c r="B2918" i="18"/>
  <c r="D2917" i="18"/>
  <c r="C2917" i="18"/>
  <c r="B2917" i="18"/>
  <c r="D2916" i="18"/>
  <c r="C2916" i="18"/>
  <c r="B2916" i="18"/>
  <c r="D2915" i="18"/>
  <c r="C2915" i="18"/>
  <c r="B2915" i="18"/>
  <c r="D2914" i="18"/>
  <c r="C2914" i="18"/>
  <c r="B2914" i="18"/>
  <c r="D2913" i="18"/>
  <c r="C2913" i="18"/>
  <c r="B2913" i="18"/>
  <c r="D2912" i="18"/>
  <c r="C2912" i="18"/>
  <c r="B2912" i="18"/>
  <c r="D2911" i="18"/>
  <c r="C2911" i="18"/>
  <c r="B2911" i="18"/>
  <c r="D2910" i="18"/>
  <c r="C2910" i="18"/>
  <c r="B2910" i="18"/>
  <c r="D2909" i="18"/>
  <c r="C2909" i="18"/>
  <c r="B2909" i="18"/>
  <c r="D2908" i="18"/>
  <c r="C2908" i="18"/>
  <c r="B2908" i="18"/>
  <c r="D2907" i="18"/>
  <c r="C2907" i="18"/>
  <c r="B2907" i="18"/>
  <c r="D2906" i="18"/>
  <c r="C2906" i="18"/>
  <c r="B2906" i="18"/>
  <c r="D2905" i="18"/>
  <c r="C2905" i="18"/>
  <c r="B2905" i="18"/>
  <c r="D2904" i="18"/>
  <c r="C2904" i="18"/>
  <c r="B2904" i="18"/>
  <c r="D2903" i="18"/>
  <c r="C2903" i="18"/>
  <c r="B2903" i="18"/>
  <c r="D2902" i="18"/>
  <c r="C2902" i="18"/>
  <c r="B2902" i="18"/>
  <c r="D2901" i="18"/>
  <c r="C2901" i="18"/>
  <c r="B2901" i="18"/>
  <c r="D2900" i="18"/>
  <c r="C2900" i="18"/>
  <c r="B2900" i="18"/>
  <c r="D2899" i="18"/>
  <c r="C2899" i="18"/>
  <c r="B2899" i="18"/>
  <c r="D2898" i="18"/>
  <c r="C2898" i="18"/>
  <c r="B2898" i="18"/>
  <c r="D2897" i="18"/>
  <c r="C2897" i="18"/>
  <c r="B2897" i="18"/>
  <c r="D2896" i="18"/>
  <c r="C2896" i="18"/>
  <c r="B2896" i="18"/>
  <c r="D2895" i="18"/>
  <c r="C2895" i="18"/>
  <c r="B2895" i="18"/>
  <c r="D2894" i="18"/>
  <c r="C2894" i="18"/>
  <c r="B2894" i="18"/>
  <c r="D2893" i="18"/>
  <c r="C2893" i="18"/>
  <c r="B2893" i="18"/>
  <c r="D2892" i="18"/>
  <c r="C2892" i="18"/>
  <c r="B2892" i="18"/>
  <c r="D2891" i="18"/>
  <c r="C2891" i="18"/>
  <c r="B2891" i="18"/>
  <c r="D2890" i="18"/>
  <c r="C2890" i="18"/>
  <c r="B2890" i="18"/>
  <c r="D2889" i="18"/>
  <c r="C2889" i="18"/>
  <c r="B2889" i="18"/>
  <c r="D2888" i="18"/>
  <c r="C2888" i="18"/>
  <c r="B2888" i="18"/>
  <c r="D2887" i="18"/>
  <c r="C2887" i="18"/>
  <c r="B2887" i="18"/>
  <c r="D2886" i="18"/>
  <c r="C2886" i="18"/>
  <c r="B2886" i="18"/>
  <c r="D2885" i="18"/>
  <c r="C2885" i="18"/>
  <c r="B2885" i="18"/>
  <c r="D2884" i="18"/>
  <c r="C2884" i="18"/>
  <c r="B2884" i="18"/>
  <c r="D2883" i="18"/>
  <c r="C2883" i="18"/>
  <c r="B2883" i="18"/>
  <c r="D2882" i="18"/>
  <c r="C2882" i="18"/>
  <c r="B2882" i="18"/>
  <c r="D2881" i="18"/>
  <c r="C2881" i="18"/>
  <c r="B2881" i="18"/>
  <c r="D2880" i="18"/>
  <c r="C2880" i="18"/>
  <c r="B2880" i="18"/>
  <c r="D2879" i="18"/>
  <c r="C2879" i="18"/>
  <c r="B2879" i="18"/>
  <c r="D2878" i="18"/>
  <c r="C2878" i="18"/>
  <c r="B2878" i="18"/>
  <c r="D2877" i="18"/>
  <c r="C2877" i="18"/>
  <c r="B2877" i="18"/>
  <c r="D2876" i="18"/>
  <c r="C2876" i="18"/>
  <c r="B2876" i="18"/>
  <c r="D2875" i="18"/>
  <c r="C2875" i="18"/>
  <c r="B2875" i="18"/>
  <c r="D2874" i="18"/>
  <c r="C2874" i="18"/>
  <c r="B2874" i="18"/>
  <c r="D2873" i="18"/>
  <c r="C2873" i="18"/>
  <c r="B2873" i="18"/>
  <c r="D2872" i="18"/>
  <c r="C2872" i="18"/>
  <c r="B2872" i="18"/>
  <c r="D2871" i="18"/>
  <c r="C2871" i="18"/>
  <c r="B2871" i="18"/>
  <c r="D2870" i="18"/>
  <c r="C2870" i="18"/>
  <c r="B2870" i="18"/>
  <c r="D2869" i="18"/>
  <c r="C2869" i="18"/>
  <c r="B2869" i="18"/>
  <c r="D2868" i="18"/>
  <c r="C2868" i="18"/>
  <c r="B2868" i="18"/>
  <c r="D2867" i="18"/>
  <c r="C2867" i="18"/>
  <c r="B2867" i="18"/>
  <c r="D2866" i="18"/>
  <c r="C2866" i="18"/>
  <c r="B2866" i="18"/>
  <c r="D2865" i="18"/>
  <c r="C2865" i="18"/>
  <c r="B2865" i="18"/>
  <c r="D2864" i="18"/>
  <c r="C2864" i="18"/>
  <c r="B2864" i="18"/>
  <c r="D2863" i="18"/>
  <c r="C2863" i="18"/>
  <c r="B2863" i="18"/>
  <c r="D2862" i="18"/>
  <c r="C2862" i="18"/>
  <c r="B2862" i="18"/>
  <c r="D2861" i="18"/>
  <c r="C2861" i="18"/>
  <c r="B2861" i="18"/>
  <c r="D2860" i="18"/>
  <c r="C2860" i="18"/>
  <c r="B2860" i="18"/>
  <c r="D2859" i="18"/>
  <c r="C2859" i="18"/>
  <c r="B2859" i="18"/>
  <c r="D2858" i="18"/>
  <c r="C2858" i="18"/>
  <c r="B2858" i="18"/>
  <c r="D2857" i="18"/>
  <c r="C2857" i="18"/>
  <c r="B2857" i="18"/>
  <c r="D2856" i="18"/>
  <c r="C2856" i="18"/>
  <c r="B2856" i="18"/>
  <c r="D2855" i="18"/>
  <c r="C2855" i="18"/>
  <c r="B2855" i="18"/>
  <c r="D2854" i="18"/>
  <c r="C2854" i="18"/>
  <c r="B2854" i="18"/>
  <c r="D2853" i="18"/>
  <c r="C2853" i="18"/>
  <c r="B2853" i="18"/>
  <c r="D2852" i="18"/>
  <c r="C2852" i="18"/>
  <c r="B2852" i="18"/>
  <c r="D2851" i="18"/>
  <c r="C2851" i="18"/>
  <c r="B2851" i="18"/>
  <c r="D2850" i="18"/>
  <c r="C2850" i="18"/>
  <c r="B2850" i="18"/>
  <c r="D2849" i="18"/>
  <c r="C2849" i="18"/>
  <c r="B2849" i="18"/>
  <c r="D2848" i="18"/>
  <c r="C2848" i="18"/>
  <c r="B2848" i="18"/>
  <c r="D2847" i="18"/>
  <c r="C2847" i="18"/>
  <c r="B2847" i="18"/>
  <c r="D2846" i="18"/>
  <c r="C2846" i="18"/>
  <c r="B2846" i="18"/>
  <c r="D2845" i="18"/>
  <c r="C2845" i="18"/>
  <c r="B2845" i="18"/>
  <c r="D2844" i="18"/>
  <c r="C2844" i="18"/>
  <c r="B2844" i="18"/>
  <c r="D2843" i="18"/>
  <c r="C2843" i="18"/>
  <c r="B2843" i="18"/>
  <c r="D2842" i="18"/>
  <c r="C2842" i="18"/>
  <c r="B2842" i="18"/>
  <c r="D2841" i="18"/>
  <c r="C2841" i="18"/>
  <c r="B2841" i="18"/>
  <c r="D2840" i="18"/>
  <c r="C2840" i="18"/>
  <c r="B2840" i="18"/>
  <c r="D2839" i="18"/>
  <c r="C2839" i="18"/>
  <c r="B2839" i="18"/>
  <c r="D2838" i="18"/>
  <c r="C2838" i="18"/>
  <c r="B2838" i="18"/>
  <c r="D2837" i="18"/>
  <c r="C2837" i="18"/>
  <c r="B2837" i="18"/>
  <c r="D2836" i="18"/>
  <c r="C2836" i="18"/>
  <c r="B2836" i="18"/>
  <c r="D2835" i="18"/>
  <c r="C2835" i="18"/>
  <c r="B2835" i="18"/>
  <c r="D2834" i="18"/>
  <c r="C2834" i="18"/>
  <c r="B2834" i="18"/>
  <c r="D2833" i="18"/>
  <c r="C2833" i="18"/>
  <c r="B2833" i="18"/>
  <c r="D2832" i="18"/>
  <c r="C2832" i="18"/>
  <c r="B2832" i="18"/>
  <c r="D2831" i="18"/>
  <c r="C2831" i="18"/>
  <c r="B2831" i="18"/>
  <c r="D2830" i="18"/>
  <c r="C2830" i="18"/>
  <c r="B2830" i="18"/>
  <c r="D2829" i="18"/>
  <c r="C2829" i="18"/>
  <c r="B2829" i="18"/>
  <c r="D2828" i="18"/>
  <c r="C2828" i="18"/>
  <c r="B2828" i="18"/>
  <c r="D2827" i="18"/>
  <c r="C2827" i="18"/>
  <c r="B2827" i="18"/>
  <c r="D2826" i="18"/>
  <c r="C2826" i="18"/>
  <c r="B2826" i="18"/>
  <c r="D2825" i="18"/>
  <c r="C2825" i="18"/>
  <c r="B2825" i="18"/>
  <c r="D2824" i="18"/>
  <c r="C2824" i="18"/>
  <c r="B2824" i="18"/>
  <c r="D2823" i="18"/>
  <c r="C2823" i="18"/>
  <c r="B2823" i="18"/>
  <c r="D2822" i="18"/>
  <c r="C2822" i="18"/>
  <c r="B2822" i="18"/>
  <c r="D2821" i="18"/>
  <c r="C2821" i="18"/>
  <c r="B2821" i="18"/>
  <c r="D2820" i="18"/>
  <c r="C2820" i="18"/>
  <c r="B2820" i="18"/>
  <c r="D2819" i="18"/>
  <c r="C2819" i="18"/>
  <c r="B2819" i="18"/>
  <c r="D2818" i="18"/>
  <c r="C2818" i="18"/>
  <c r="B2818" i="18"/>
  <c r="D2817" i="18"/>
  <c r="C2817" i="18"/>
  <c r="B2817" i="18"/>
  <c r="D2816" i="18"/>
  <c r="C2816" i="18"/>
  <c r="B2816" i="18"/>
  <c r="D2815" i="18"/>
  <c r="C2815" i="18"/>
  <c r="B2815" i="18"/>
  <c r="D2814" i="18"/>
  <c r="C2814" i="18"/>
  <c r="B2814" i="18"/>
  <c r="D2813" i="18"/>
  <c r="C2813" i="18"/>
  <c r="B2813" i="18"/>
  <c r="D2812" i="18"/>
  <c r="C2812" i="18"/>
  <c r="B2812" i="18"/>
  <c r="D2811" i="18"/>
  <c r="C2811" i="18"/>
  <c r="B2811" i="18"/>
  <c r="D2810" i="18"/>
  <c r="C2810" i="18"/>
  <c r="B2810" i="18"/>
  <c r="D2809" i="18"/>
  <c r="C2809" i="18"/>
  <c r="B2809" i="18"/>
  <c r="D2808" i="18"/>
  <c r="C2808" i="18"/>
  <c r="B2808" i="18"/>
  <c r="D2807" i="18"/>
  <c r="C2807" i="18"/>
  <c r="B2807" i="18"/>
  <c r="D2806" i="18"/>
  <c r="C2806" i="18"/>
  <c r="B2806" i="18"/>
  <c r="D2805" i="18"/>
  <c r="C2805" i="18"/>
  <c r="B2805" i="18"/>
  <c r="D2804" i="18"/>
  <c r="C2804" i="18"/>
  <c r="B2804" i="18"/>
  <c r="D2803" i="18"/>
  <c r="C2803" i="18"/>
  <c r="B2803" i="18"/>
  <c r="D2802" i="18"/>
  <c r="C2802" i="18"/>
  <c r="B2802" i="18"/>
  <c r="D2801" i="18"/>
  <c r="C2801" i="18"/>
  <c r="B2801" i="18"/>
  <c r="D2800" i="18"/>
  <c r="C2800" i="18"/>
  <c r="B2800" i="18"/>
  <c r="D2799" i="18"/>
  <c r="C2799" i="18"/>
  <c r="B2799" i="18"/>
  <c r="D2798" i="18"/>
  <c r="C2798" i="18"/>
  <c r="B2798" i="18"/>
  <c r="D2797" i="18"/>
  <c r="C2797" i="18"/>
  <c r="B2797" i="18"/>
  <c r="D2796" i="18"/>
  <c r="C2796" i="18"/>
  <c r="B2796" i="18"/>
  <c r="D2795" i="18"/>
  <c r="C2795" i="18"/>
  <c r="B2795" i="18"/>
  <c r="D2794" i="18"/>
  <c r="C2794" i="18"/>
  <c r="B2794" i="18"/>
  <c r="D2793" i="18"/>
  <c r="C2793" i="18"/>
  <c r="B2793" i="18"/>
  <c r="D2792" i="18"/>
  <c r="C2792" i="18"/>
  <c r="B2792" i="18"/>
  <c r="D2791" i="18"/>
  <c r="C2791" i="18"/>
  <c r="B2791" i="18"/>
  <c r="D2790" i="18"/>
  <c r="C2790" i="18"/>
  <c r="B2790" i="18"/>
  <c r="D2789" i="18"/>
  <c r="C2789" i="18"/>
  <c r="B2789" i="18"/>
  <c r="D2788" i="18"/>
  <c r="C2788" i="18"/>
  <c r="B2788" i="18"/>
  <c r="D2787" i="18"/>
  <c r="C2787" i="18"/>
  <c r="B2787" i="18"/>
  <c r="D2786" i="18"/>
  <c r="C2786" i="18"/>
  <c r="B2786" i="18"/>
  <c r="D2785" i="18"/>
  <c r="C2785" i="18"/>
  <c r="B2785" i="18"/>
  <c r="D2784" i="18"/>
  <c r="C2784" i="18"/>
  <c r="B2784" i="18"/>
  <c r="D2783" i="18"/>
  <c r="C2783" i="18"/>
  <c r="B2783" i="18"/>
  <c r="D2782" i="18"/>
  <c r="C2782" i="18"/>
  <c r="B2782" i="18"/>
  <c r="D2781" i="18"/>
  <c r="C2781" i="18"/>
  <c r="B2781" i="18"/>
  <c r="D2780" i="18"/>
  <c r="C2780" i="18"/>
  <c r="B2780" i="18"/>
  <c r="D2779" i="18"/>
  <c r="C2779" i="18"/>
  <c r="B2779" i="18"/>
  <c r="D2778" i="18"/>
  <c r="C2778" i="18"/>
  <c r="B2778" i="18"/>
  <c r="D2777" i="18"/>
  <c r="C2777" i="18"/>
  <c r="B2777" i="18"/>
  <c r="D2776" i="18"/>
  <c r="C2776" i="18"/>
  <c r="B2776" i="18"/>
  <c r="D2775" i="18"/>
  <c r="C2775" i="18"/>
  <c r="B2775" i="18"/>
  <c r="D2774" i="18"/>
  <c r="C2774" i="18"/>
  <c r="B2774" i="18"/>
  <c r="D2773" i="18"/>
  <c r="C2773" i="18"/>
  <c r="B2773" i="18"/>
  <c r="D2772" i="18"/>
  <c r="C2772" i="18"/>
  <c r="B2772" i="18"/>
  <c r="D2771" i="18"/>
  <c r="C2771" i="18"/>
  <c r="B2771" i="18"/>
  <c r="D2770" i="18"/>
  <c r="C2770" i="18"/>
  <c r="B2770" i="18"/>
  <c r="D2769" i="18"/>
  <c r="C2769" i="18"/>
  <c r="B2769" i="18"/>
  <c r="D2768" i="18"/>
  <c r="C2768" i="18"/>
  <c r="B2768" i="18"/>
  <c r="D2767" i="18"/>
  <c r="C2767" i="18"/>
  <c r="B2767" i="18"/>
  <c r="D2766" i="18"/>
  <c r="C2766" i="18"/>
  <c r="B2766" i="18"/>
  <c r="D2765" i="18"/>
  <c r="C2765" i="18"/>
  <c r="B2765" i="18"/>
  <c r="D2764" i="18"/>
  <c r="C2764" i="18"/>
  <c r="B2764" i="18"/>
  <c r="D2763" i="18"/>
  <c r="C2763" i="18"/>
  <c r="B2763" i="18"/>
  <c r="D2762" i="18"/>
  <c r="C2762" i="18"/>
  <c r="B2762" i="18"/>
  <c r="D2761" i="18"/>
  <c r="C2761" i="18"/>
  <c r="B2761" i="18"/>
  <c r="D2760" i="18"/>
  <c r="C2760" i="18"/>
  <c r="B2760" i="18"/>
  <c r="D2759" i="18"/>
  <c r="C2759" i="18"/>
  <c r="B2759" i="18"/>
  <c r="D2758" i="18"/>
  <c r="C2758" i="18"/>
  <c r="B2758" i="18"/>
  <c r="D2757" i="18"/>
  <c r="C2757" i="18"/>
  <c r="B2757" i="18"/>
  <c r="D2756" i="18"/>
  <c r="C2756" i="18"/>
  <c r="B2756" i="18"/>
  <c r="D2755" i="18"/>
  <c r="C2755" i="18"/>
  <c r="B2755" i="18"/>
  <c r="D2754" i="18"/>
  <c r="C2754" i="18"/>
  <c r="B2754" i="18"/>
  <c r="D2753" i="18"/>
  <c r="C2753" i="18"/>
  <c r="B2753" i="18"/>
  <c r="D2752" i="18"/>
  <c r="C2752" i="18"/>
  <c r="B2752" i="18"/>
  <c r="D2751" i="18"/>
  <c r="C2751" i="18"/>
  <c r="B2751" i="18"/>
  <c r="D2750" i="18"/>
  <c r="C2750" i="18"/>
  <c r="B2750" i="18"/>
  <c r="D2749" i="18"/>
  <c r="C2749" i="18"/>
  <c r="B2749" i="18"/>
  <c r="D2748" i="18"/>
  <c r="C2748" i="18"/>
  <c r="B2748" i="18"/>
  <c r="D2747" i="18"/>
  <c r="C2747" i="18"/>
  <c r="B2747" i="18"/>
  <c r="D2746" i="18"/>
  <c r="C2746" i="18"/>
  <c r="B2746" i="18"/>
  <c r="D2745" i="18"/>
  <c r="C2745" i="18"/>
  <c r="B2745" i="18"/>
  <c r="D2744" i="18"/>
  <c r="C2744" i="18"/>
  <c r="B2744" i="18"/>
  <c r="D2743" i="18"/>
  <c r="C2743" i="18"/>
  <c r="B2743" i="18"/>
  <c r="D2742" i="18"/>
  <c r="C2742" i="18"/>
  <c r="B2742" i="18"/>
  <c r="D2741" i="18"/>
  <c r="C2741" i="18"/>
  <c r="B2741" i="18"/>
  <c r="D2740" i="18"/>
  <c r="C2740" i="18"/>
  <c r="B2740" i="18"/>
  <c r="D2739" i="18"/>
  <c r="C2739" i="18"/>
  <c r="B2739" i="18"/>
  <c r="D2738" i="18"/>
  <c r="C2738" i="18"/>
  <c r="B2738" i="18"/>
  <c r="D2737" i="18"/>
  <c r="C2737" i="18"/>
  <c r="B2737" i="18"/>
  <c r="D2736" i="18"/>
  <c r="C2736" i="18"/>
  <c r="B2736" i="18"/>
  <c r="D2735" i="18"/>
  <c r="C2735" i="18"/>
  <c r="B2735" i="18"/>
  <c r="D2734" i="18"/>
  <c r="C2734" i="18"/>
  <c r="B2734" i="18"/>
  <c r="D2733" i="18"/>
  <c r="C2733" i="18"/>
  <c r="B2733" i="18"/>
  <c r="D2732" i="18"/>
  <c r="C2732" i="18"/>
  <c r="B2732" i="18"/>
  <c r="D2731" i="18"/>
  <c r="C2731" i="18"/>
  <c r="B2731" i="18"/>
  <c r="D2730" i="18"/>
  <c r="C2730" i="18"/>
  <c r="B2730" i="18"/>
  <c r="D2729" i="18"/>
  <c r="C2729" i="18"/>
  <c r="B2729" i="18"/>
  <c r="D2728" i="18"/>
  <c r="C2728" i="18"/>
  <c r="B2728" i="18"/>
  <c r="D2727" i="18"/>
  <c r="C2727" i="18"/>
  <c r="B2727" i="18"/>
  <c r="D2726" i="18"/>
  <c r="C2726" i="18"/>
  <c r="B2726" i="18"/>
  <c r="D2725" i="18"/>
  <c r="C2725" i="18"/>
  <c r="B2725" i="18"/>
  <c r="D2724" i="18"/>
  <c r="C2724" i="18"/>
  <c r="B2724" i="18"/>
  <c r="D2723" i="18"/>
  <c r="C2723" i="18"/>
  <c r="B2723" i="18"/>
  <c r="D2722" i="18"/>
  <c r="C2722" i="18"/>
  <c r="B2722" i="18"/>
  <c r="D2721" i="18"/>
  <c r="C2721" i="18"/>
  <c r="B2721" i="18"/>
  <c r="D2720" i="18"/>
  <c r="C2720" i="18"/>
  <c r="B2720" i="18"/>
  <c r="D2719" i="18"/>
  <c r="C2719" i="18"/>
  <c r="B2719" i="18"/>
  <c r="D2718" i="18"/>
  <c r="C2718" i="18"/>
  <c r="B2718" i="18"/>
  <c r="D2717" i="18"/>
  <c r="C2717" i="18"/>
  <c r="B2717" i="18"/>
  <c r="D2716" i="18"/>
  <c r="C2716" i="18"/>
  <c r="B2716" i="18"/>
  <c r="D2715" i="18"/>
  <c r="C2715" i="18"/>
  <c r="B2715" i="18"/>
  <c r="D2714" i="18"/>
  <c r="C2714" i="18"/>
  <c r="B2714" i="18"/>
  <c r="D2713" i="18"/>
  <c r="C2713" i="18"/>
  <c r="B2713" i="18"/>
  <c r="D2712" i="18"/>
  <c r="C2712" i="18"/>
  <c r="B2712" i="18"/>
  <c r="D2711" i="18"/>
  <c r="C2711" i="18"/>
  <c r="B2711" i="18"/>
  <c r="D2710" i="18"/>
  <c r="C2710" i="18"/>
  <c r="B2710" i="18"/>
  <c r="D2709" i="18"/>
  <c r="C2709" i="18"/>
  <c r="B2709" i="18"/>
  <c r="D2708" i="18"/>
  <c r="C2708" i="18"/>
  <c r="B2708" i="18"/>
  <c r="D2707" i="18"/>
  <c r="C2707" i="18"/>
  <c r="B2707" i="18"/>
  <c r="D2706" i="18"/>
  <c r="C2706" i="18"/>
  <c r="B2706" i="18"/>
  <c r="D2705" i="18"/>
  <c r="C2705" i="18"/>
  <c r="B2705" i="18"/>
  <c r="D2704" i="18"/>
  <c r="C2704" i="18"/>
  <c r="B2704" i="18"/>
  <c r="D2703" i="18"/>
  <c r="C2703" i="18"/>
  <c r="B2703" i="18"/>
  <c r="D2702" i="18"/>
  <c r="C2702" i="18"/>
  <c r="B2702" i="18"/>
  <c r="D2701" i="18"/>
  <c r="C2701" i="18"/>
  <c r="B2701" i="18"/>
  <c r="D2700" i="18"/>
  <c r="C2700" i="18"/>
  <c r="B2700" i="18"/>
  <c r="D2699" i="18"/>
  <c r="C2699" i="18"/>
  <c r="B2699" i="18"/>
  <c r="D2698" i="18"/>
  <c r="C2698" i="18"/>
  <c r="B2698" i="18"/>
  <c r="D2697" i="18"/>
  <c r="C2697" i="18"/>
  <c r="B2697" i="18"/>
  <c r="D2696" i="18"/>
  <c r="C2696" i="18"/>
  <c r="B2696" i="18"/>
  <c r="D2695" i="18"/>
  <c r="C2695" i="18"/>
  <c r="B2695" i="18"/>
  <c r="D2694" i="18"/>
  <c r="C2694" i="18"/>
  <c r="B2694" i="18"/>
  <c r="D2693" i="18"/>
  <c r="C2693" i="18"/>
  <c r="B2693" i="18"/>
  <c r="D2692" i="18"/>
  <c r="C2692" i="18"/>
  <c r="B2692" i="18"/>
  <c r="D2691" i="18"/>
  <c r="C2691" i="18"/>
  <c r="B2691" i="18"/>
  <c r="D2690" i="18"/>
  <c r="C2690" i="18"/>
  <c r="B2690" i="18"/>
  <c r="D2689" i="18"/>
  <c r="C2689" i="18"/>
  <c r="B2689" i="18"/>
  <c r="D2688" i="18"/>
  <c r="C2688" i="18"/>
  <c r="B2688" i="18"/>
  <c r="D2687" i="18"/>
  <c r="C2687" i="18"/>
  <c r="B2687" i="18"/>
  <c r="D2686" i="18"/>
  <c r="C2686" i="18"/>
  <c r="B2686" i="18"/>
  <c r="D2685" i="18"/>
  <c r="C2685" i="18"/>
  <c r="B2685" i="18"/>
  <c r="D2684" i="18"/>
  <c r="C2684" i="18"/>
  <c r="B2684" i="18"/>
  <c r="D2683" i="18"/>
  <c r="C2683" i="18"/>
  <c r="B2683" i="18"/>
  <c r="D2682" i="18"/>
  <c r="C2682" i="18"/>
  <c r="B2682" i="18"/>
  <c r="D2681" i="18"/>
  <c r="C2681" i="18"/>
  <c r="B2681" i="18"/>
  <c r="D2680" i="18"/>
  <c r="C2680" i="18"/>
  <c r="B2680" i="18"/>
  <c r="D2679" i="18"/>
  <c r="C2679" i="18"/>
  <c r="B2679" i="18"/>
  <c r="D2678" i="18"/>
  <c r="C2678" i="18"/>
  <c r="B2678" i="18"/>
  <c r="D2677" i="18"/>
  <c r="C2677" i="18"/>
  <c r="B2677" i="18"/>
  <c r="D2676" i="18"/>
  <c r="C2676" i="18"/>
  <c r="B2676" i="18"/>
  <c r="D2675" i="18"/>
  <c r="C2675" i="18"/>
  <c r="B2675" i="18"/>
  <c r="D2674" i="18"/>
  <c r="C2674" i="18"/>
  <c r="B2674" i="18"/>
  <c r="D2673" i="18"/>
  <c r="C2673" i="18"/>
  <c r="B2673" i="18"/>
  <c r="D2672" i="18"/>
  <c r="C2672" i="18"/>
  <c r="B2672" i="18"/>
  <c r="D2671" i="18"/>
  <c r="C2671" i="18"/>
  <c r="B2671" i="18"/>
  <c r="D2670" i="18"/>
  <c r="C2670" i="18"/>
  <c r="B2670" i="18"/>
  <c r="D2669" i="18"/>
  <c r="C2669" i="18"/>
  <c r="B2669" i="18"/>
  <c r="D2668" i="18"/>
  <c r="C2668" i="18"/>
  <c r="B2668" i="18"/>
  <c r="D2667" i="18"/>
  <c r="C2667" i="18"/>
  <c r="B2667" i="18"/>
  <c r="D2666" i="18"/>
  <c r="C2666" i="18"/>
  <c r="B2666" i="18"/>
  <c r="D2665" i="18"/>
  <c r="C2665" i="18"/>
  <c r="B2665" i="18"/>
  <c r="D2664" i="18"/>
  <c r="C2664" i="18"/>
  <c r="B2664" i="18"/>
  <c r="D2663" i="18"/>
  <c r="C2663" i="18"/>
  <c r="B2663" i="18"/>
  <c r="D2662" i="18"/>
  <c r="C2662" i="18"/>
  <c r="B2662" i="18"/>
  <c r="D2661" i="18"/>
  <c r="C2661" i="18"/>
  <c r="B2661" i="18"/>
  <c r="D2660" i="18"/>
  <c r="C2660" i="18"/>
  <c r="B2660" i="18"/>
  <c r="D2659" i="18"/>
  <c r="C2659" i="18"/>
  <c r="B2659" i="18"/>
  <c r="D2658" i="18"/>
  <c r="C2658" i="18"/>
  <c r="B2658" i="18"/>
  <c r="D2657" i="18"/>
  <c r="C2657" i="18"/>
  <c r="B2657" i="18"/>
  <c r="D2656" i="18"/>
  <c r="C2656" i="18"/>
  <c r="B2656" i="18"/>
  <c r="D2655" i="18"/>
  <c r="C2655" i="18"/>
  <c r="B2655" i="18"/>
  <c r="D2654" i="18"/>
  <c r="C2654" i="18"/>
  <c r="B2654" i="18"/>
  <c r="D2653" i="18"/>
  <c r="C2653" i="18"/>
  <c r="B2653" i="18"/>
  <c r="D2652" i="18"/>
  <c r="C2652" i="18"/>
  <c r="B2652" i="18"/>
  <c r="D2651" i="18"/>
  <c r="C2651" i="18"/>
  <c r="B2651" i="18"/>
  <c r="D2650" i="18"/>
  <c r="C2650" i="18"/>
  <c r="B2650" i="18"/>
  <c r="D2649" i="18"/>
  <c r="C2649" i="18"/>
  <c r="B2649" i="18"/>
  <c r="D2648" i="18"/>
  <c r="C2648" i="18"/>
  <c r="B2648" i="18"/>
  <c r="D2647" i="18"/>
  <c r="C2647" i="18"/>
  <c r="B2647" i="18"/>
  <c r="D2646" i="18"/>
  <c r="C2646" i="18"/>
  <c r="B2646" i="18"/>
  <c r="D2645" i="18"/>
  <c r="C2645" i="18"/>
  <c r="B2645" i="18"/>
  <c r="D2644" i="18"/>
  <c r="C2644" i="18"/>
  <c r="B2644" i="18"/>
  <c r="D2643" i="18"/>
  <c r="C2643" i="18"/>
  <c r="B2643" i="18"/>
  <c r="D2642" i="18"/>
  <c r="C2642" i="18"/>
  <c r="B2642" i="18"/>
  <c r="D2641" i="18"/>
  <c r="C2641" i="18"/>
  <c r="B2641" i="18"/>
  <c r="D2640" i="18"/>
  <c r="C2640" i="18"/>
  <c r="B2640" i="18"/>
  <c r="D2639" i="18"/>
  <c r="C2639" i="18"/>
  <c r="B2639" i="18"/>
  <c r="D2638" i="18"/>
  <c r="C2638" i="18"/>
  <c r="B2638" i="18"/>
  <c r="D2637" i="18"/>
  <c r="C2637" i="18"/>
  <c r="B2637" i="18"/>
  <c r="D2636" i="18"/>
  <c r="C2636" i="18"/>
  <c r="B2636" i="18"/>
  <c r="D2635" i="18"/>
  <c r="C2635" i="18"/>
  <c r="B2635" i="18"/>
  <c r="D2634" i="18"/>
  <c r="C2634" i="18"/>
  <c r="B2634" i="18"/>
  <c r="D2633" i="18"/>
  <c r="C2633" i="18"/>
  <c r="B2633" i="18"/>
  <c r="D2632" i="18"/>
  <c r="C2632" i="18"/>
  <c r="B2632" i="18"/>
  <c r="D2631" i="18"/>
  <c r="C2631" i="18"/>
  <c r="B2631" i="18"/>
  <c r="D2630" i="18"/>
  <c r="C2630" i="18"/>
  <c r="B2630" i="18"/>
  <c r="D2629" i="18"/>
  <c r="C2629" i="18"/>
  <c r="B2629" i="18"/>
  <c r="D2628" i="18"/>
  <c r="C2628" i="18"/>
  <c r="B2628" i="18"/>
  <c r="D2627" i="18"/>
  <c r="C2627" i="18"/>
  <c r="B2627" i="18"/>
  <c r="D2626" i="18"/>
  <c r="C2626" i="18"/>
  <c r="B2626" i="18"/>
  <c r="D2625" i="18"/>
  <c r="C2625" i="18"/>
  <c r="B2625" i="18"/>
  <c r="D2624" i="18"/>
  <c r="C2624" i="18"/>
  <c r="B2624" i="18"/>
  <c r="D2623" i="18"/>
  <c r="C2623" i="18"/>
  <c r="B2623" i="18"/>
  <c r="D2622" i="18"/>
  <c r="C2622" i="18"/>
  <c r="B2622" i="18"/>
  <c r="D2621" i="18"/>
  <c r="C2621" i="18"/>
  <c r="B2621" i="18"/>
  <c r="D2620" i="18"/>
  <c r="C2620" i="18"/>
  <c r="B2620" i="18"/>
  <c r="D2619" i="18"/>
  <c r="C2619" i="18"/>
  <c r="B2619" i="18"/>
  <c r="D2618" i="18"/>
  <c r="C2618" i="18"/>
  <c r="B2618" i="18"/>
  <c r="D2617" i="18"/>
  <c r="C2617" i="18"/>
  <c r="B2617" i="18"/>
  <c r="D2616" i="18"/>
  <c r="C2616" i="18"/>
  <c r="B2616" i="18"/>
  <c r="D2615" i="18"/>
  <c r="C2615" i="18"/>
  <c r="B2615" i="18"/>
  <c r="D2614" i="18"/>
  <c r="C2614" i="18"/>
  <c r="B2614" i="18"/>
  <c r="D2613" i="18"/>
  <c r="C2613" i="18"/>
  <c r="B2613" i="18"/>
  <c r="D2612" i="18"/>
  <c r="C2612" i="18"/>
  <c r="B2612" i="18"/>
  <c r="D2611" i="18"/>
  <c r="C2611" i="18"/>
  <c r="B2611" i="18"/>
  <c r="D2610" i="18"/>
  <c r="C2610" i="18"/>
  <c r="B2610" i="18"/>
  <c r="D2609" i="18"/>
  <c r="C2609" i="18"/>
  <c r="B2609" i="18"/>
  <c r="D2608" i="18"/>
  <c r="C2608" i="18"/>
  <c r="B2608" i="18"/>
  <c r="D2607" i="18"/>
  <c r="C2607" i="18"/>
  <c r="B2607" i="18"/>
  <c r="D2606" i="18"/>
  <c r="C2606" i="18"/>
  <c r="B2606" i="18"/>
  <c r="D2605" i="18"/>
  <c r="C2605" i="18"/>
  <c r="B2605" i="18"/>
  <c r="D2604" i="18"/>
  <c r="C2604" i="18"/>
  <c r="B2604" i="18"/>
  <c r="D2603" i="18"/>
  <c r="C2603" i="18"/>
  <c r="B2603" i="18"/>
  <c r="D2602" i="18"/>
  <c r="C2602" i="18"/>
  <c r="B2602" i="18"/>
  <c r="D2601" i="18"/>
  <c r="C2601" i="18"/>
  <c r="B2601" i="18"/>
  <c r="D2600" i="18"/>
  <c r="C2600" i="18"/>
  <c r="B2600" i="18"/>
  <c r="D2599" i="18"/>
  <c r="C2599" i="18"/>
  <c r="B2599" i="18"/>
  <c r="D2598" i="18"/>
  <c r="C2598" i="18"/>
  <c r="B2598" i="18"/>
  <c r="D2597" i="18"/>
  <c r="C2597" i="18"/>
  <c r="B2597" i="18"/>
  <c r="D2596" i="18"/>
  <c r="C2596" i="18"/>
  <c r="B2596" i="18"/>
  <c r="D2595" i="18"/>
  <c r="C2595" i="18"/>
  <c r="B2595" i="18"/>
  <c r="D2594" i="18"/>
  <c r="C2594" i="18"/>
  <c r="B2594" i="18"/>
  <c r="D2593" i="18"/>
  <c r="C2593" i="18"/>
  <c r="B2593" i="18"/>
  <c r="D2592" i="18"/>
  <c r="C2592" i="18"/>
  <c r="B2592" i="18"/>
  <c r="D2591" i="18"/>
  <c r="C2591" i="18"/>
  <c r="B2591" i="18"/>
  <c r="D2590" i="18"/>
  <c r="C2590" i="18"/>
  <c r="B2590" i="18"/>
  <c r="D2589" i="18"/>
  <c r="C2589" i="18"/>
  <c r="B2589" i="18"/>
  <c r="D2588" i="18"/>
  <c r="C2588" i="18"/>
  <c r="B2588" i="18"/>
  <c r="D2587" i="18"/>
  <c r="C2587" i="18"/>
  <c r="B2587" i="18"/>
  <c r="D2586" i="18"/>
  <c r="C2586" i="18"/>
  <c r="B2586" i="18"/>
  <c r="D2585" i="18"/>
  <c r="C2585" i="18"/>
  <c r="B2585" i="18"/>
  <c r="D2584" i="18"/>
  <c r="C2584" i="18"/>
  <c r="B2584" i="18"/>
  <c r="D2583" i="18"/>
  <c r="C2583" i="18"/>
  <c r="B2583" i="18"/>
  <c r="D2582" i="18"/>
  <c r="C2582" i="18"/>
  <c r="B2582" i="18"/>
  <c r="D2581" i="18"/>
  <c r="C2581" i="18"/>
  <c r="B2581" i="18"/>
  <c r="D2580" i="18"/>
  <c r="C2580" i="18"/>
  <c r="B2580" i="18"/>
  <c r="D2579" i="18"/>
  <c r="C2579" i="18"/>
  <c r="B2579" i="18"/>
  <c r="D2578" i="18"/>
  <c r="C2578" i="18"/>
  <c r="B2578" i="18"/>
  <c r="D2577" i="18"/>
  <c r="C2577" i="18"/>
  <c r="B2577" i="18"/>
  <c r="D2576" i="18"/>
  <c r="C2576" i="18"/>
  <c r="B2576" i="18"/>
  <c r="D2575" i="18"/>
  <c r="C2575" i="18"/>
  <c r="B2575" i="18"/>
  <c r="D2574" i="18"/>
  <c r="C2574" i="18"/>
  <c r="B2574" i="18"/>
  <c r="D2573" i="18"/>
  <c r="C2573" i="18"/>
  <c r="B2573" i="18"/>
  <c r="D2572" i="18"/>
  <c r="C2572" i="18"/>
  <c r="B2572" i="18"/>
  <c r="D2571" i="18"/>
  <c r="C2571" i="18"/>
  <c r="B2571" i="18"/>
  <c r="D2570" i="18"/>
  <c r="C2570" i="18"/>
  <c r="B2570" i="18"/>
  <c r="D2569" i="18"/>
  <c r="C2569" i="18"/>
  <c r="B2569" i="18"/>
  <c r="D2568" i="18"/>
  <c r="C2568" i="18"/>
  <c r="B2568" i="18"/>
  <c r="D2567" i="18"/>
  <c r="C2567" i="18"/>
  <c r="B2567" i="18"/>
  <c r="D2566" i="18"/>
  <c r="C2566" i="18"/>
  <c r="B2566" i="18"/>
  <c r="D2565" i="18"/>
  <c r="C2565" i="18"/>
  <c r="B2565" i="18"/>
  <c r="D2564" i="18"/>
  <c r="C2564" i="18"/>
  <c r="B2564" i="18"/>
  <c r="D2563" i="18"/>
  <c r="C2563" i="18"/>
  <c r="B2563" i="18"/>
  <c r="D2562" i="18"/>
  <c r="C2562" i="18"/>
  <c r="B2562" i="18"/>
  <c r="D2561" i="18"/>
  <c r="C2561" i="18"/>
  <c r="B2561" i="18"/>
  <c r="D2560" i="18"/>
  <c r="C2560" i="18"/>
  <c r="B2560" i="18"/>
  <c r="D2559" i="18"/>
  <c r="C2559" i="18"/>
  <c r="B2559" i="18"/>
  <c r="D2558" i="18"/>
  <c r="C2558" i="18"/>
  <c r="B2558" i="18"/>
  <c r="D2557" i="18"/>
  <c r="C2557" i="18"/>
  <c r="B2557" i="18"/>
  <c r="D2556" i="18"/>
  <c r="C2556" i="18"/>
  <c r="B2556" i="18"/>
  <c r="D2555" i="18"/>
  <c r="C2555" i="18"/>
  <c r="B2555" i="18"/>
  <c r="D2554" i="18"/>
  <c r="C2554" i="18"/>
  <c r="B2554" i="18"/>
  <c r="D2553" i="18"/>
  <c r="C2553" i="18"/>
  <c r="B2553" i="18"/>
  <c r="D2552" i="18"/>
  <c r="C2552" i="18"/>
  <c r="B2552" i="18"/>
  <c r="D2551" i="18"/>
  <c r="C2551" i="18"/>
  <c r="B2551" i="18"/>
  <c r="D2550" i="18"/>
  <c r="C2550" i="18"/>
  <c r="B2550" i="18"/>
  <c r="D2549" i="18"/>
  <c r="C2549" i="18"/>
  <c r="B2549" i="18"/>
  <c r="D2548" i="18"/>
  <c r="C2548" i="18"/>
  <c r="B2548" i="18"/>
  <c r="D2547" i="18"/>
  <c r="C2547" i="18"/>
  <c r="B2547" i="18"/>
  <c r="D2546" i="18"/>
  <c r="C2546" i="18"/>
  <c r="B2546" i="18"/>
  <c r="D2545" i="18"/>
  <c r="C2545" i="18"/>
  <c r="B2545" i="18"/>
  <c r="D2544" i="18"/>
  <c r="C2544" i="18"/>
  <c r="B2544" i="18"/>
  <c r="D2543" i="18"/>
  <c r="C2543" i="18"/>
  <c r="B2543" i="18"/>
  <c r="D2542" i="18"/>
  <c r="C2542" i="18"/>
  <c r="B2542" i="18"/>
  <c r="D2541" i="18"/>
  <c r="C2541" i="18"/>
  <c r="B2541" i="18"/>
  <c r="D2540" i="18"/>
  <c r="C2540" i="18"/>
  <c r="B2540" i="18"/>
  <c r="D2539" i="18"/>
  <c r="C2539" i="18"/>
  <c r="B2539" i="18"/>
  <c r="D2538" i="18"/>
  <c r="C2538" i="18"/>
  <c r="B2538" i="18"/>
  <c r="D2537" i="18"/>
  <c r="C2537" i="18"/>
  <c r="B2537" i="18"/>
  <c r="D2536" i="18"/>
  <c r="C2536" i="18"/>
  <c r="B2536" i="18"/>
  <c r="D2535" i="18"/>
  <c r="C2535" i="18"/>
  <c r="B2535" i="18"/>
  <c r="D2534" i="18"/>
  <c r="C2534" i="18"/>
  <c r="B2534" i="18"/>
  <c r="D2533" i="18"/>
  <c r="C2533" i="18"/>
  <c r="B2533" i="18"/>
  <c r="D2532" i="18"/>
  <c r="C2532" i="18"/>
  <c r="B2532" i="18"/>
  <c r="D2531" i="18"/>
  <c r="C2531" i="18"/>
  <c r="B2531" i="18"/>
  <c r="D2530" i="18"/>
  <c r="C2530" i="18"/>
  <c r="B2530" i="18"/>
  <c r="D2529" i="18"/>
  <c r="C2529" i="18"/>
  <c r="B2529" i="18"/>
  <c r="D2528" i="18"/>
  <c r="C2528" i="18"/>
  <c r="B2528" i="18"/>
  <c r="D2527" i="18"/>
  <c r="C2527" i="18"/>
  <c r="B2527" i="18"/>
  <c r="D2526" i="18"/>
  <c r="C2526" i="18"/>
  <c r="B2526" i="18"/>
  <c r="D2525" i="18"/>
  <c r="C2525" i="18"/>
  <c r="B2525" i="18"/>
  <c r="D2524" i="18"/>
  <c r="C2524" i="18"/>
  <c r="B2524" i="18"/>
  <c r="D2523" i="18"/>
  <c r="C2523" i="18"/>
  <c r="B2523" i="18"/>
  <c r="D2522" i="18"/>
  <c r="C2522" i="18"/>
  <c r="B2522" i="18"/>
  <c r="D2521" i="18"/>
  <c r="C2521" i="18"/>
  <c r="B2521" i="18"/>
  <c r="D2520" i="18"/>
  <c r="C2520" i="18"/>
  <c r="B2520" i="18"/>
  <c r="D2519" i="18"/>
  <c r="C2519" i="18"/>
  <c r="B2519" i="18"/>
  <c r="D2518" i="18"/>
  <c r="C2518" i="18"/>
  <c r="B2518" i="18"/>
  <c r="D2517" i="18"/>
  <c r="C2517" i="18"/>
  <c r="B2517" i="18"/>
  <c r="D2516" i="18"/>
  <c r="C2516" i="18"/>
  <c r="B2516" i="18"/>
  <c r="D2515" i="18"/>
  <c r="C2515" i="18"/>
  <c r="B2515" i="18"/>
  <c r="D2514" i="18"/>
  <c r="C2514" i="18"/>
  <c r="B2514" i="18"/>
  <c r="D2513" i="18"/>
  <c r="C2513" i="18"/>
  <c r="B2513" i="18"/>
  <c r="D2512" i="18"/>
  <c r="C2512" i="18"/>
  <c r="B2512" i="18"/>
  <c r="D2511" i="18"/>
  <c r="C2511" i="18"/>
  <c r="B2511" i="18"/>
  <c r="D2510" i="18"/>
  <c r="C2510" i="18"/>
  <c r="B2510" i="18"/>
  <c r="D2509" i="18"/>
  <c r="C2509" i="18"/>
  <c r="B2509" i="18"/>
  <c r="D2508" i="18"/>
  <c r="C2508" i="18"/>
  <c r="B2508" i="18"/>
  <c r="D2507" i="18"/>
  <c r="C2507" i="18"/>
  <c r="B2507" i="18"/>
  <c r="D2506" i="18"/>
  <c r="C2506" i="18"/>
  <c r="B2506" i="18"/>
  <c r="D2505" i="18"/>
  <c r="C2505" i="18"/>
  <c r="B2505" i="18"/>
  <c r="D2504" i="18"/>
  <c r="C2504" i="18"/>
  <c r="B2504" i="18"/>
  <c r="D2503" i="18"/>
  <c r="C2503" i="18"/>
  <c r="B2503" i="18"/>
  <c r="D2502" i="18"/>
  <c r="C2502" i="18"/>
  <c r="B2502" i="18"/>
  <c r="D2501" i="18"/>
  <c r="C2501" i="18"/>
  <c r="B2501" i="18"/>
  <c r="D2500" i="18"/>
  <c r="C2500" i="18"/>
  <c r="B2500" i="18"/>
  <c r="D2499" i="18"/>
  <c r="C2499" i="18"/>
  <c r="B2499" i="18"/>
  <c r="D2498" i="18"/>
  <c r="C2498" i="18"/>
  <c r="B2498" i="18"/>
  <c r="D2497" i="18"/>
  <c r="C2497" i="18"/>
  <c r="B2497" i="18"/>
  <c r="D2496" i="18"/>
  <c r="C2496" i="18"/>
  <c r="B2496" i="18"/>
  <c r="D2495" i="18"/>
  <c r="C2495" i="18"/>
  <c r="B2495" i="18"/>
  <c r="D2494" i="18"/>
  <c r="C2494" i="18"/>
  <c r="B2494" i="18"/>
  <c r="D2493" i="18"/>
  <c r="C2493" i="18"/>
  <c r="B2493" i="18"/>
  <c r="D2492" i="18"/>
  <c r="C2492" i="18"/>
  <c r="B2492" i="18"/>
  <c r="D2491" i="18"/>
  <c r="C2491" i="18"/>
  <c r="B2491" i="18"/>
  <c r="D2490" i="18"/>
  <c r="C2490" i="18"/>
  <c r="B2490" i="18"/>
  <c r="D2489" i="18"/>
  <c r="C2489" i="18"/>
  <c r="B2489" i="18"/>
  <c r="D2488" i="18"/>
  <c r="C2488" i="18"/>
  <c r="B2488" i="18"/>
  <c r="D2487" i="18"/>
  <c r="C2487" i="18"/>
  <c r="B2487" i="18"/>
  <c r="D2486" i="18"/>
  <c r="C2486" i="18"/>
  <c r="B2486" i="18"/>
  <c r="D2485" i="18"/>
  <c r="C2485" i="18"/>
  <c r="B2485" i="18"/>
  <c r="D2484" i="18"/>
  <c r="C2484" i="18"/>
  <c r="B2484" i="18"/>
  <c r="D2483" i="18"/>
  <c r="C2483" i="18"/>
  <c r="B2483" i="18"/>
  <c r="D2482" i="18"/>
  <c r="C2482" i="18"/>
  <c r="B2482" i="18"/>
  <c r="D2481" i="18"/>
  <c r="C2481" i="18"/>
  <c r="B2481" i="18"/>
  <c r="D2480" i="18"/>
  <c r="C2480" i="18"/>
  <c r="B2480" i="18"/>
  <c r="D2479" i="18"/>
  <c r="C2479" i="18"/>
  <c r="B2479" i="18"/>
  <c r="D2478" i="18"/>
  <c r="C2478" i="18"/>
  <c r="B2478" i="18"/>
  <c r="D2477" i="18"/>
  <c r="C2477" i="18"/>
  <c r="B2477" i="18"/>
  <c r="D2476" i="18"/>
  <c r="C2476" i="18"/>
  <c r="B2476" i="18"/>
  <c r="D2475" i="18"/>
  <c r="C2475" i="18"/>
  <c r="B2475" i="18"/>
  <c r="D2474" i="18"/>
  <c r="C2474" i="18"/>
  <c r="B2474" i="18"/>
  <c r="D2473" i="18"/>
  <c r="C2473" i="18"/>
  <c r="B2473" i="18"/>
  <c r="D2472" i="18"/>
  <c r="C2472" i="18"/>
  <c r="B2472" i="18"/>
  <c r="D2471" i="18"/>
  <c r="C2471" i="18"/>
  <c r="B2471" i="18"/>
  <c r="D2470" i="18"/>
  <c r="C2470" i="18"/>
  <c r="B2470" i="18"/>
  <c r="D2469" i="18"/>
  <c r="C2469" i="18"/>
  <c r="B2469" i="18"/>
  <c r="D2468" i="18"/>
  <c r="C2468" i="18"/>
  <c r="B2468" i="18"/>
  <c r="D2467" i="18"/>
  <c r="C2467" i="18"/>
  <c r="B2467" i="18"/>
  <c r="D2466" i="18"/>
  <c r="C2466" i="18"/>
  <c r="B2466" i="18"/>
  <c r="D2465" i="18"/>
  <c r="C2465" i="18"/>
  <c r="B2465" i="18"/>
  <c r="D2464" i="18"/>
  <c r="C2464" i="18"/>
  <c r="B2464" i="18"/>
  <c r="D2463" i="18"/>
  <c r="C2463" i="18"/>
  <c r="B2463" i="18"/>
  <c r="D2462" i="18"/>
  <c r="C2462" i="18"/>
  <c r="B2462" i="18"/>
  <c r="D2461" i="18"/>
  <c r="C2461" i="18"/>
  <c r="B2461" i="18"/>
  <c r="D2460" i="18"/>
  <c r="C2460" i="18"/>
  <c r="B2460" i="18"/>
  <c r="D2459" i="18"/>
  <c r="C2459" i="18"/>
  <c r="B2459" i="18"/>
  <c r="D2458" i="18"/>
  <c r="C2458" i="18"/>
  <c r="B2458" i="18"/>
  <c r="D2457" i="18"/>
  <c r="C2457" i="18"/>
  <c r="B2457" i="18"/>
  <c r="D2456" i="18"/>
  <c r="C2456" i="18"/>
  <c r="B2456" i="18"/>
  <c r="D2455" i="18"/>
  <c r="C2455" i="18"/>
  <c r="B2455" i="18"/>
  <c r="D2454" i="18"/>
  <c r="C2454" i="18"/>
  <c r="B2454" i="18"/>
  <c r="D2453" i="18"/>
  <c r="C2453" i="18"/>
  <c r="B2453" i="18"/>
  <c r="D2452" i="18"/>
  <c r="C2452" i="18"/>
  <c r="B2452" i="18"/>
  <c r="D2451" i="18"/>
  <c r="C2451" i="18"/>
  <c r="B2451" i="18"/>
  <c r="D2450" i="18"/>
  <c r="C2450" i="18"/>
  <c r="B2450" i="18"/>
  <c r="D2449" i="18"/>
  <c r="C2449" i="18"/>
  <c r="B2449" i="18"/>
  <c r="D2448" i="18"/>
  <c r="C2448" i="18"/>
  <c r="B2448" i="18"/>
  <c r="D2447" i="18"/>
  <c r="C2447" i="18"/>
  <c r="B2447" i="18"/>
  <c r="D2446" i="18"/>
  <c r="C2446" i="18"/>
  <c r="B2446" i="18"/>
  <c r="D2445" i="18"/>
  <c r="C2445" i="18"/>
  <c r="B2445" i="18"/>
  <c r="D2444" i="18"/>
  <c r="C2444" i="18"/>
  <c r="B2444" i="18"/>
  <c r="D2443" i="18"/>
  <c r="C2443" i="18"/>
  <c r="B2443" i="18"/>
  <c r="D2442" i="18"/>
  <c r="C2442" i="18"/>
  <c r="B2442" i="18"/>
  <c r="D2441" i="18"/>
  <c r="C2441" i="18"/>
  <c r="B2441" i="18"/>
  <c r="D2440" i="18"/>
  <c r="C2440" i="18"/>
  <c r="B2440" i="18"/>
  <c r="D2439" i="18"/>
  <c r="C2439" i="18"/>
  <c r="B2439" i="18"/>
  <c r="D2438" i="18"/>
  <c r="C2438" i="18"/>
  <c r="B2438" i="18"/>
  <c r="D2437" i="18"/>
  <c r="C2437" i="18"/>
  <c r="B2437" i="18"/>
  <c r="D2436" i="18"/>
  <c r="C2436" i="18"/>
  <c r="B2436" i="18"/>
  <c r="D2435" i="18"/>
  <c r="C2435" i="18"/>
  <c r="B2435" i="18"/>
  <c r="D2434" i="18"/>
  <c r="C2434" i="18"/>
  <c r="B2434" i="18"/>
  <c r="D2433" i="18"/>
  <c r="C2433" i="18"/>
  <c r="B2433" i="18"/>
  <c r="D2432" i="18"/>
  <c r="C2432" i="18"/>
  <c r="B2432" i="18"/>
  <c r="D2431" i="18"/>
  <c r="C2431" i="18"/>
  <c r="B2431" i="18"/>
  <c r="D2430" i="18"/>
  <c r="C2430" i="18"/>
  <c r="B2430" i="18"/>
  <c r="D2429" i="18"/>
  <c r="C2429" i="18"/>
  <c r="B2429" i="18"/>
  <c r="D2428" i="18"/>
  <c r="C2428" i="18"/>
  <c r="B2428" i="18"/>
  <c r="D2427" i="18"/>
  <c r="C2427" i="18"/>
  <c r="B2427" i="18"/>
  <c r="D2426" i="18"/>
  <c r="C2426" i="18"/>
  <c r="B2426" i="18"/>
  <c r="D2425" i="18"/>
  <c r="C2425" i="18"/>
  <c r="B2425" i="18"/>
  <c r="D2424" i="18"/>
  <c r="C2424" i="18"/>
  <c r="B2424" i="18"/>
  <c r="D2423" i="18"/>
  <c r="C2423" i="18"/>
  <c r="B2423" i="18"/>
  <c r="D2422" i="18"/>
  <c r="C2422" i="18"/>
  <c r="B2422" i="18"/>
  <c r="D2421" i="18"/>
  <c r="C2421" i="18"/>
  <c r="B2421" i="18"/>
  <c r="D2420" i="18"/>
  <c r="C2420" i="18"/>
  <c r="B2420" i="18"/>
  <c r="D2419" i="18"/>
  <c r="C2419" i="18"/>
  <c r="B2419" i="18"/>
  <c r="D2418" i="18"/>
  <c r="C2418" i="18"/>
  <c r="B2418" i="18"/>
  <c r="D2417" i="18"/>
  <c r="C2417" i="18"/>
  <c r="B2417" i="18"/>
  <c r="D2416" i="18"/>
  <c r="C2416" i="18"/>
  <c r="B2416" i="18"/>
  <c r="D2415" i="18"/>
  <c r="C2415" i="18"/>
  <c r="B2415" i="18"/>
  <c r="D2414" i="18"/>
  <c r="C2414" i="18"/>
  <c r="B2414" i="18"/>
  <c r="D2413" i="18"/>
  <c r="C2413" i="18"/>
  <c r="B2413" i="18"/>
  <c r="D2412" i="18"/>
  <c r="C2412" i="18"/>
  <c r="B2412" i="18"/>
  <c r="D2411" i="18"/>
  <c r="C2411" i="18"/>
  <c r="B2411" i="18"/>
  <c r="D2410" i="18"/>
  <c r="C2410" i="18"/>
  <c r="B2410" i="18"/>
  <c r="D2409" i="18"/>
  <c r="C2409" i="18"/>
  <c r="B2409" i="18"/>
  <c r="D2408" i="18"/>
  <c r="C2408" i="18"/>
  <c r="B2408" i="18"/>
  <c r="D2407" i="18"/>
  <c r="C2407" i="18"/>
  <c r="B2407" i="18"/>
  <c r="D2406" i="18"/>
  <c r="C2406" i="18"/>
  <c r="B2406" i="18"/>
  <c r="D2405" i="18"/>
  <c r="C2405" i="18"/>
  <c r="B2405" i="18"/>
  <c r="D2404" i="18"/>
  <c r="C2404" i="18"/>
  <c r="B2404" i="18"/>
  <c r="D2403" i="18"/>
  <c r="C2403" i="18"/>
  <c r="B2403" i="18"/>
  <c r="D2402" i="18"/>
  <c r="C2402" i="18"/>
  <c r="B2402" i="18"/>
  <c r="D2401" i="18"/>
  <c r="C2401" i="18"/>
  <c r="B2401" i="18"/>
  <c r="D2400" i="18"/>
  <c r="C2400" i="18"/>
  <c r="B2400" i="18"/>
  <c r="D2399" i="18"/>
  <c r="C2399" i="18"/>
  <c r="B2399" i="18"/>
  <c r="D2398" i="18"/>
  <c r="C2398" i="18"/>
  <c r="B2398" i="18"/>
  <c r="D2397" i="18"/>
  <c r="C2397" i="18"/>
  <c r="B2397" i="18"/>
  <c r="D2396" i="18"/>
  <c r="C2396" i="18"/>
  <c r="B2396" i="18"/>
  <c r="D2395" i="18"/>
  <c r="C2395" i="18"/>
  <c r="B2395" i="18"/>
  <c r="D2394" i="18"/>
  <c r="C2394" i="18"/>
  <c r="B2394" i="18"/>
  <c r="D2393" i="18"/>
  <c r="C2393" i="18"/>
  <c r="B2393" i="18"/>
  <c r="D2392" i="18"/>
  <c r="C2392" i="18"/>
  <c r="B2392" i="18"/>
  <c r="D2391" i="18"/>
  <c r="C2391" i="18"/>
  <c r="B2391" i="18"/>
  <c r="D2390" i="18"/>
  <c r="C2390" i="18"/>
  <c r="B2390" i="18"/>
  <c r="D2389" i="18"/>
  <c r="C2389" i="18"/>
  <c r="B2389" i="18"/>
  <c r="D2388" i="18"/>
  <c r="C2388" i="18"/>
  <c r="B2388" i="18"/>
  <c r="D2387" i="18"/>
  <c r="C2387" i="18"/>
  <c r="B2387" i="18"/>
  <c r="D2386" i="18"/>
  <c r="C2386" i="18"/>
  <c r="B2386" i="18"/>
  <c r="D2385" i="18"/>
  <c r="C2385" i="18"/>
  <c r="B2385" i="18"/>
  <c r="D2384" i="18"/>
  <c r="C2384" i="18"/>
  <c r="B2384" i="18"/>
  <c r="D2383" i="18"/>
  <c r="C2383" i="18"/>
  <c r="B2383" i="18"/>
  <c r="D2382" i="18"/>
  <c r="C2382" i="18"/>
  <c r="B2382" i="18"/>
  <c r="D2381" i="18"/>
  <c r="C2381" i="18"/>
  <c r="B2381" i="18"/>
  <c r="D2380" i="18"/>
  <c r="C2380" i="18"/>
  <c r="B2380" i="18"/>
  <c r="D2379" i="18"/>
  <c r="C2379" i="18"/>
  <c r="B2379" i="18"/>
  <c r="D2378" i="18"/>
  <c r="C2378" i="18"/>
  <c r="B2378" i="18"/>
  <c r="D2377" i="18"/>
  <c r="C2377" i="18"/>
  <c r="B2377" i="18"/>
  <c r="D2376" i="18"/>
  <c r="C2376" i="18"/>
  <c r="B2376" i="18"/>
  <c r="D2375" i="18"/>
  <c r="C2375" i="18"/>
  <c r="B2375" i="18"/>
  <c r="D2374" i="18"/>
  <c r="C2374" i="18"/>
  <c r="B2374" i="18"/>
  <c r="D2373" i="18"/>
  <c r="C2373" i="18"/>
  <c r="B2373" i="18"/>
  <c r="D2372" i="18"/>
  <c r="C2372" i="18"/>
  <c r="B2372" i="18"/>
  <c r="D2371" i="18"/>
  <c r="C2371" i="18"/>
  <c r="B2371" i="18"/>
  <c r="D2370" i="18"/>
  <c r="C2370" i="18"/>
  <c r="B2370" i="18"/>
  <c r="D2369" i="18"/>
  <c r="C2369" i="18"/>
  <c r="B2369" i="18"/>
  <c r="D2368" i="18"/>
  <c r="C2368" i="18"/>
  <c r="B2368" i="18"/>
  <c r="D2367" i="18"/>
  <c r="C2367" i="18"/>
  <c r="B2367" i="18"/>
  <c r="D2366" i="18"/>
  <c r="C2366" i="18"/>
  <c r="B2366" i="18"/>
  <c r="D2365" i="18"/>
  <c r="C2365" i="18"/>
  <c r="B2365" i="18"/>
  <c r="D2364" i="18"/>
  <c r="C2364" i="18"/>
  <c r="B2364" i="18"/>
  <c r="D2363" i="18"/>
  <c r="C2363" i="18"/>
  <c r="B2363" i="18"/>
  <c r="D2362" i="18"/>
  <c r="C2362" i="18"/>
  <c r="B2362" i="18"/>
  <c r="D2361" i="18"/>
  <c r="C2361" i="18"/>
  <c r="B2361" i="18"/>
  <c r="D2360" i="18"/>
  <c r="C2360" i="18"/>
  <c r="B2360" i="18"/>
  <c r="D2359" i="18"/>
  <c r="C2359" i="18"/>
  <c r="B2359" i="18"/>
  <c r="D2358" i="18"/>
  <c r="C2358" i="18"/>
  <c r="B2358" i="18"/>
  <c r="D2357" i="18"/>
  <c r="C2357" i="18"/>
  <c r="B2357" i="18"/>
  <c r="D2356" i="18"/>
  <c r="C2356" i="18"/>
  <c r="B2356" i="18"/>
  <c r="D2355" i="18"/>
  <c r="C2355" i="18"/>
  <c r="B2355" i="18"/>
  <c r="D2354" i="18"/>
  <c r="C2354" i="18"/>
  <c r="B2354" i="18"/>
  <c r="D2353" i="18"/>
  <c r="C2353" i="18"/>
  <c r="B2353" i="18"/>
  <c r="D2352" i="18"/>
  <c r="C2352" i="18"/>
  <c r="B2352" i="18"/>
  <c r="D2351" i="18"/>
  <c r="C2351" i="18"/>
  <c r="B2351" i="18"/>
  <c r="D2350" i="18"/>
  <c r="C2350" i="18"/>
  <c r="B2350" i="18"/>
  <c r="D2349" i="18"/>
  <c r="C2349" i="18"/>
  <c r="B2349" i="18"/>
  <c r="D2348" i="18"/>
  <c r="C2348" i="18"/>
  <c r="B2348" i="18"/>
  <c r="D2347" i="18"/>
  <c r="C2347" i="18"/>
  <c r="B2347" i="18"/>
  <c r="D2346" i="18"/>
  <c r="C2346" i="18"/>
  <c r="B2346" i="18"/>
  <c r="D2345" i="18"/>
  <c r="C2345" i="18"/>
  <c r="B2345" i="18"/>
  <c r="D2344" i="18"/>
  <c r="C2344" i="18"/>
  <c r="B2344" i="18"/>
  <c r="D2343" i="18"/>
  <c r="C2343" i="18"/>
  <c r="B2343" i="18"/>
  <c r="D2342" i="18"/>
  <c r="C2342" i="18"/>
  <c r="B2342" i="18"/>
  <c r="D2341" i="18"/>
  <c r="C2341" i="18"/>
  <c r="B2341" i="18"/>
  <c r="D2340" i="18"/>
  <c r="C2340" i="18"/>
  <c r="B2340" i="18"/>
  <c r="D2339" i="18"/>
  <c r="C2339" i="18"/>
  <c r="B2339" i="18"/>
  <c r="D2338" i="18"/>
  <c r="C2338" i="18"/>
  <c r="B2338" i="18"/>
  <c r="D2337" i="18"/>
  <c r="C2337" i="18"/>
  <c r="B2337" i="18"/>
  <c r="D2336" i="18"/>
  <c r="C2336" i="18"/>
  <c r="B2336" i="18"/>
  <c r="D2335" i="18"/>
  <c r="C2335" i="18"/>
  <c r="B2335" i="18"/>
  <c r="D2334" i="18"/>
  <c r="C2334" i="18"/>
  <c r="B2334" i="18"/>
  <c r="D2333" i="18"/>
  <c r="C2333" i="18"/>
  <c r="B2333" i="18"/>
  <c r="D2332" i="18"/>
  <c r="C2332" i="18"/>
  <c r="B2332" i="18"/>
  <c r="D2331" i="18"/>
  <c r="C2331" i="18"/>
  <c r="B2331" i="18"/>
  <c r="D2330" i="18"/>
  <c r="C2330" i="18"/>
  <c r="B2330" i="18"/>
  <c r="D2329" i="18"/>
  <c r="C2329" i="18"/>
  <c r="B2329" i="18"/>
  <c r="D2328" i="18"/>
  <c r="C2328" i="18"/>
  <c r="B2328" i="18"/>
  <c r="D2327" i="18"/>
  <c r="C2327" i="18"/>
  <c r="B2327" i="18"/>
  <c r="D2326" i="18"/>
  <c r="C2326" i="18"/>
  <c r="B2326" i="18"/>
  <c r="D2325" i="18"/>
  <c r="C2325" i="18"/>
  <c r="B2325" i="18"/>
  <c r="D2324" i="18"/>
  <c r="C2324" i="18"/>
  <c r="B2324" i="18"/>
  <c r="D2323" i="18"/>
  <c r="C2323" i="18"/>
  <c r="B2323" i="18"/>
  <c r="D2322" i="18"/>
  <c r="C2322" i="18"/>
  <c r="B2322" i="18"/>
  <c r="D2321" i="18"/>
  <c r="C2321" i="18"/>
  <c r="B2321" i="18"/>
  <c r="D2320" i="18"/>
  <c r="C2320" i="18"/>
  <c r="B2320" i="18"/>
  <c r="D2319" i="18"/>
  <c r="C2319" i="18"/>
  <c r="B2319" i="18"/>
  <c r="D2318" i="18"/>
  <c r="C2318" i="18"/>
  <c r="B2318" i="18"/>
  <c r="D2317" i="18"/>
  <c r="C2317" i="18"/>
  <c r="B2317" i="18"/>
  <c r="D2316" i="18"/>
  <c r="C2316" i="18"/>
  <c r="B2316" i="18"/>
  <c r="D2315" i="18"/>
  <c r="C2315" i="18"/>
  <c r="B2315" i="18"/>
  <c r="D2314" i="18"/>
  <c r="C2314" i="18"/>
  <c r="B2314" i="18"/>
  <c r="D2313" i="18"/>
  <c r="C2313" i="18"/>
  <c r="B2313" i="18"/>
  <c r="D2312" i="18"/>
  <c r="C2312" i="18"/>
  <c r="B2312" i="18"/>
  <c r="D2311" i="18"/>
  <c r="C2311" i="18"/>
  <c r="B2311" i="18"/>
  <c r="D2310" i="18"/>
  <c r="C2310" i="18"/>
  <c r="B2310" i="18"/>
  <c r="D2309" i="18"/>
  <c r="C2309" i="18"/>
  <c r="B2309" i="18"/>
  <c r="D2308" i="18"/>
  <c r="C2308" i="18"/>
  <c r="B2308" i="18"/>
  <c r="D2307" i="18"/>
  <c r="C2307" i="18"/>
  <c r="B2307" i="18"/>
  <c r="D2306" i="18"/>
  <c r="C2306" i="18"/>
  <c r="B2306" i="18"/>
  <c r="D2305" i="18"/>
  <c r="C2305" i="18"/>
  <c r="B2305" i="18"/>
  <c r="D2304" i="18"/>
  <c r="C2304" i="18"/>
  <c r="B2304" i="18"/>
  <c r="D2303" i="18"/>
  <c r="C2303" i="18"/>
  <c r="B2303" i="18"/>
  <c r="D2302" i="18"/>
  <c r="C2302" i="18"/>
  <c r="B2302" i="18"/>
  <c r="D2301" i="18"/>
  <c r="C2301" i="18"/>
  <c r="B2301" i="18"/>
  <c r="D2300" i="18"/>
  <c r="C2300" i="18"/>
  <c r="B2300" i="18"/>
  <c r="D2299" i="18"/>
  <c r="C2299" i="18"/>
  <c r="B2299" i="18"/>
  <c r="D2298" i="18"/>
  <c r="C2298" i="18"/>
  <c r="B2298" i="18"/>
  <c r="D2297" i="18"/>
  <c r="C2297" i="18"/>
  <c r="B2297" i="18"/>
  <c r="D2296" i="18"/>
  <c r="C2296" i="18"/>
  <c r="B2296" i="18"/>
  <c r="D2295" i="18"/>
  <c r="C2295" i="18"/>
  <c r="B2295" i="18"/>
  <c r="D2294" i="18"/>
  <c r="C2294" i="18"/>
  <c r="B2294" i="18"/>
  <c r="D2293" i="18"/>
  <c r="C2293" i="18"/>
  <c r="B2293" i="18"/>
  <c r="D2292" i="18"/>
  <c r="C2292" i="18"/>
  <c r="B2292" i="18"/>
  <c r="D2291" i="18"/>
  <c r="C2291" i="18"/>
  <c r="B2291" i="18"/>
  <c r="D2290" i="18"/>
  <c r="C2290" i="18"/>
  <c r="B2290" i="18"/>
  <c r="D2289" i="18"/>
  <c r="C2289" i="18"/>
  <c r="B2289" i="18"/>
  <c r="D2288" i="18"/>
  <c r="C2288" i="18"/>
  <c r="B2288" i="18"/>
  <c r="D2287" i="18"/>
  <c r="C2287" i="18"/>
  <c r="B2287" i="18"/>
  <c r="D2286" i="18"/>
  <c r="C2286" i="18"/>
  <c r="B2286" i="18"/>
  <c r="D2285" i="18"/>
  <c r="C2285" i="18"/>
  <c r="B2285" i="18"/>
  <c r="D2284" i="18"/>
  <c r="C2284" i="18"/>
  <c r="B2284" i="18"/>
  <c r="D2283" i="18"/>
  <c r="C2283" i="18"/>
  <c r="B2283" i="18"/>
  <c r="D2282" i="18"/>
  <c r="C2282" i="18"/>
  <c r="B2282" i="18"/>
  <c r="D2281" i="18"/>
  <c r="C2281" i="18"/>
  <c r="B2281" i="18"/>
  <c r="D2280" i="18"/>
  <c r="C2280" i="18"/>
  <c r="B2280" i="18"/>
  <c r="D2279" i="18"/>
  <c r="C2279" i="18"/>
  <c r="B2279" i="18"/>
  <c r="D2278" i="18"/>
  <c r="C2278" i="18"/>
  <c r="B2278" i="18"/>
  <c r="D2277" i="18"/>
  <c r="C2277" i="18"/>
  <c r="B2277" i="18"/>
  <c r="D2276" i="18"/>
  <c r="C2276" i="18"/>
  <c r="B2276" i="18"/>
  <c r="D2275" i="18"/>
  <c r="C2275" i="18"/>
  <c r="B2275" i="18"/>
  <c r="D2274" i="18"/>
  <c r="C2274" i="18"/>
  <c r="B2274" i="18"/>
  <c r="D2273" i="18"/>
  <c r="C2273" i="18"/>
  <c r="B2273" i="18"/>
  <c r="D2272" i="18"/>
  <c r="C2272" i="18"/>
  <c r="B2272" i="18"/>
  <c r="D2271" i="18"/>
  <c r="C2271" i="18"/>
  <c r="B2271" i="18"/>
  <c r="D2270" i="18"/>
  <c r="C2270" i="18"/>
  <c r="B2270" i="18"/>
  <c r="D2269" i="18"/>
  <c r="C2269" i="18"/>
  <c r="B2269" i="18"/>
  <c r="D2268" i="18"/>
  <c r="C2268" i="18"/>
  <c r="B2268" i="18"/>
  <c r="D2267" i="18"/>
  <c r="C2267" i="18"/>
  <c r="B2267" i="18"/>
  <c r="D2266" i="18"/>
  <c r="C2266" i="18"/>
  <c r="B2266" i="18"/>
  <c r="D2265" i="18"/>
  <c r="C2265" i="18"/>
  <c r="B2265" i="18"/>
  <c r="D2264" i="18"/>
  <c r="C2264" i="18"/>
  <c r="B2264" i="18"/>
  <c r="D2263" i="18"/>
  <c r="C2263" i="18"/>
  <c r="B2263" i="18"/>
  <c r="D2262" i="18"/>
  <c r="C2262" i="18"/>
  <c r="B2262" i="18"/>
  <c r="D2261" i="18"/>
  <c r="C2261" i="18"/>
  <c r="B2261" i="18"/>
  <c r="D2260" i="18"/>
  <c r="C2260" i="18"/>
  <c r="B2260" i="18"/>
  <c r="D2259" i="18"/>
  <c r="C2259" i="18"/>
  <c r="B2259" i="18"/>
  <c r="D2258" i="18"/>
  <c r="C2258" i="18"/>
  <c r="B2258" i="18"/>
  <c r="D2257" i="18"/>
  <c r="C2257" i="18"/>
  <c r="B2257" i="18"/>
  <c r="D2256" i="18"/>
  <c r="C2256" i="18"/>
  <c r="B2256" i="18"/>
  <c r="D2255" i="18"/>
  <c r="C2255" i="18"/>
  <c r="B2255" i="18"/>
  <c r="D2254" i="18"/>
  <c r="C2254" i="18"/>
  <c r="B2254" i="18"/>
  <c r="D2253" i="18"/>
  <c r="C2253" i="18"/>
  <c r="B2253" i="18"/>
  <c r="D2252" i="18"/>
  <c r="C2252" i="18"/>
  <c r="B2252" i="18"/>
  <c r="D2251" i="18"/>
  <c r="C2251" i="18"/>
  <c r="B2251" i="18"/>
  <c r="D2250" i="18"/>
  <c r="C2250" i="18"/>
  <c r="B2250" i="18"/>
  <c r="D2249" i="18"/>
  <c r="C2249" i="18"/>
  <c r="B2249" i="18"/>
  <c r="D2248" i="18"/>
  <c r="C2248" i="18"/>
  <c r="B2248" i="18"/>
  <c r="D2247" i="18"/>
  <c r="C2247" i="18"/>
  <c r="B2247" i="18"/>
  <c r="D2246" i="18"/>
  <c r="C2246" i="18"/>
  <c r="B2246" i="18"/>
  <c r="D2245" i="18"/>
  <c r="C2245" i="18"/>
  <c r="B2245" i="18"/>
  <c r="D2244" i="18"/>
  <c r="C2244" i="18"/>
  <c r="B2244" i="18"/>
  <c r="D2243" i="18"/>
  <c r="C2243" i="18"/>
  <c r="B2243" i="18"/>
  <c r="D2242" i="18"/>
  <c r="C2242" i="18"/>
  <c r="B2242" i="18"/>
  <c r="D2241" i="18"/>
  <c r="C2241" i="18"/>
  <c r="B2241" i="18"/>
  <c r="D2240" i="18"/>
  <c r="C2240" i="18"/>
  <c r="B2240" i="18"/>
  <c r="D2239" i="18"/>
  <c r="C2239" i="18"/>
  <c r="B2239" i="18"/>
  <c r="D2238" i="18"/>
  <c r="C2238" i="18"/>
  <c r="B2238" i="18"/>
  <c r="D2237" i="18"/>
  <c r="C2237" i="18"/>
  <c r="B2237" i="18"/>
  <c r="D2236" i="18"/>
  <c r="C2236" i="18"/>
  <c r="B2236" i="18"/>
  <c r="D2235" i="18"/>
  <c r="C2235" i="18"/>
  <c r="B2235" i="18"/>
  <c r="D2234" i="18"/>
  <c r="C2234" i="18"/>
  <c r="B2234" i="18"/>
  <c r="D2233" i="18"/>
  <c r="C2233" i="18"/>
  <c r="B2233" i="18"/>
  <c r="D2232" i="18"/>
  <c r="C2232" i="18"/>
  <c r="B2232" i="18"/>
  <c r="D2231" i="18"/>
  <c r="C2231" i="18"/>
  <c r="B2231" i="18"/>
  <c r="D2230" i="18"/>
  <c r="C2230" i="18"/>
  <c r="B2230" i="18"/>
  <c r="D2229" i="18"/>
  <c r="C2229" i="18"/>
  <c r="B2229" i="18"/>
  <c r="D2228" i="18"/>
  <c r="C2228" i="18"/>
  <c r="B2228" i="18"/>
  <c r="D2227" i="18"/>
  <c r="C2227" i="18"/>
  <c r="B2227" i="18"/>
  <c r="D2226" i="18"/>
  <c r="C2226" i="18"/>
  <c r="B2226" i="18"/>
  <c r="D2225" i="18"/>
  <c r="C2225" i="18"/>
  <c r="B2225" i="18"/>
  <c r="D2224" i="18"/>
  <c r="C2224" i="18"/>
  <c r="B2224" i="18"/>
  <c r="D2223" i="18"/>
  <c r="C2223" i="18"/>
  <c r="B2223" i="18"/>
  <c r="D2222" i="18"/>
  <c r="C2222" i="18"/>
  <c r="B2222" i="18"/>
  <c r="D2221" i="18"/>
  <c r="C2221" i="18"/>
  <c r="B2221" i="18"/>
  <c r="D2220" i="18"/>
  <c r="C2220" i="18"/>
  <c r="B2220" i="18"/>
  <c r="D2219" i="18"/>
  <c r="C2219" i="18"/>
  <c r="B2219" i="18"/>
  <c r="D2218" i="18"/>
  <c r="C2218" i="18"/>
  <c r="B2218" i="18"/>
  <c r="D2217" i="18"/>
  <c r="C2217" i="18"/>
  <c r="B2217" i="18"/>
  <c r="D2216" i="18"/>
  <c r="C2216" i="18"/>
  <c r="B2216" i="18"/>
  <c r="D2215" i="18"/>
  <c r="C2215" i="18"/>
  <c r="B2215" i="18"/>
  <c r="D2214" i="18"/>
  <c r="C2214" i="18"/>
  <c r="B2214" i="18"/>
  <c r="D2213" i="18"/>
  <c r="C2213" i="18"/>
  <c r="B2213" i="18"/>
  <c r="D2212" i="18"/>
  <c r="C2212" i="18"/>
  <c r="B2212" i="18"/>
  <c r="D2211" i="18"/>
  <c r="C2211" i="18"/>
  <c r="B2211" i="18"/>
  <c r="D2210" i="18"/>
  <c r="C2210" i="18"/>
  <c r="B2210" i="18"/>
  <c r="D2209" i="18"/>
  <c r="C2209" i="18"/>
  <c r="B2209" i="18"/>
  <c r="D2208" i="18"/>
  <c r="C2208" i="18"/>
  <c r="B2208" i="18"/>
  <c r="D2207" i="18"/>
  <c r="C2207" i="18"/>
  <c r="B2207" i="18"/>
  <c r="D2206" i="18"/>
  <c r="C2206" i="18"/>
  <c r="B2206" i="18"/>
  <c r="D2205" i="18"/>
  <c r="C2205" i="18"/>
  <c r="B2205" i="18"/>
  <c r="D2204" i="18"/>
  <c r="C2204" i="18"/>
  <c r="B2204" i="18"/>
  <c r="D2203" i="18"/>
  <c r="C2203" i="18"/>
  <c r="B2203" i="18"/>
  <c r="D2202" i="18"/>
  <c r="C2202" i="18"/>
  <c r="B2202" i="18"/>
  <c r="D2201" i="18"/>
  <c r="C2201" i="18"/>
  <c r="B2201" i="18"/>
  <c r="D2200" i="18"/>
  <c r="C2200" i="18"/>
  <c r="B2200" i="18"/>
  <c r="D2199" i="18"/>
  <c r="C2199" i="18"/>
  <c r="B2199" i="18"/>
  <c r="D2198" i="18"/>
  <c r="C2198" i="18"/>
  <c r="B2198" i="18"/>
  <c r="D2197" i="18"/>
  <c r="C2197" i="18"/>
  <c r="B2197" i="18"/>
  <c r="D2196" i="18"/>
  <c r="C2196" i="18"/>
  <c r="B2196" i="18"/>
  <c r="D2195" i="18"/>
  <c r="C2195" i="18"/>
  <c r="B2195" i="18"/>
  <c r="D2194" i="18"/>
  <c r="C2194" i="18"/>
  <c r="B2194" i="18"/>
  <c r="D2193" i="18"/>
  <c r="C2193" i="18"/>
  <c r="B2193" i="18"/>
  <c r="D2192" i="18"/>
  <c r="C2192" i="18"/>
  <c r="B2192" i="18"/>
  <c r="D2191" i="18"/>
  <c r="C2191" i="18"/>
  <c r="B2191" i="18"/>
  <c r="D2190" i="18"/>
  <c r="C2190" i="18"/>
  <c r="B2190" i="18"/>
  <c r="D2189" i="18"/>
  <c r="C2189" i="18"/>
  <c r="B2189" i="18"/>
  <c r="D2188" i="18"/>
  <c r="C2188" i="18"/>
  <c r="B2188" i="18"/>
  <c r="D2187" i="18"/>
  <c r="C2187" i="18"/>
  <c r="B2187" i="18"/>
  <c r="D2186" i="18"/>
  <c r="C2186" i="18"/>
  <c r="B2186" i="18"/>
  <c r="D2185" i="18"/>
  <c r="C2185" i="18"/>
  <c r="B2185" i="18"/>
  <c r="D2184" i="18"/>
  <c r="C2184" i="18"/>
  <c r="B2184" i="18"/>
  <c r="D2183" i="18"/>
  <c r="C2183" i="18"/>
  <c r="B2183" i="18"/>
  <c r="D2182" i="18"/>
  <c r="C2182" i="18"/>
  <c r="B2182" i="18"/>
  <c r="D2181" i="18"/>
  <c r="C2181" i="18"/>
  <c r="B2181" i="18"/>
  <c r="D2180" i="18"/>
  <c r="C2180" i="18"/>
  <c r="B2180" i="18"/>
  <c r="D2179" i="18"/>
  <c r="C2179" i="18"/>
  <c r="B2179" i="18"/>
  <c r="D2178" i="18"/>
  <c r="C2178" i="18"/>
  <c r="B2178" i="18"/>
  <c r="D2177" i="18"/>
  <c r="C2177" i="18"/>
  <c r="B2177" i="18"/>
  <c r="D2176" i="18"/>
  <c r="C2176" i="18"/>
  <c r="B2176" i="18"/>
  <c r="D2175" i="18"/>
  <c r="C2175" i="18"/>
  <c r="B2175" i="18"/>
  <c r="D2174" i="18"/>
  <c r="C2174" i="18"/>
  <c r="B2174" i="18"/>
  <c r="D2173" i="18"/>
  <c r="C2173" i="18"/>
  <c r="B2173" i="18"/>
  <c r="D2172" i="18"/>
  <c r="C2172" i="18"/>
  <c r="B2172" i="18"/>
  <c r="D2171" i="18"/>
  <c r="C2171" i="18"/>
  <c r="B2171" i="18"/>
  <c r="D2170" i="18"/>
  <c r="C2170" i="18"/>
  <c r="B2170" i="18"/>
  <c r="D2169" i="18"/>
  <c r="C2169" i="18"/>
  <c r="B2169" i="18"/>
  <c r="D2168" i="18"/>
  <c r="C2168" i="18"/>
  <c r="B2168" i="18"/>
  <c r="D2167" i="18"/>
  <c r="C2167" i="18"/>
  <c r="B2167" i="18"/>
  <c r="D2166" i="18"/>
  <c r="C2166" i="18"/>
  <c r="B2166" i="18"/>
  <c r="D2165" i="18"/>
  <c r="C2165" i="18"/>
  <c r="B2165" i="18"/>
  <c r="D2164" i="18"/>
  <c r="C2164" i="18"/>
  <c r="B2164" i="18"/>
  <c r="D2163" i="18"/>
  <c r="C2163" i="18"/>
  <c r="B2163" i="18"/>
  <c r="D2162" i="18"/>
  <c r="C2162" i="18"/>
  <c r="B2162" i="18"/>
  <c r="D2161" i="18"/>
  <c r="C2161" i="18"/>
  <c r="B2161" i="18"/>
  <c r="D2160" i="18"/>
  <c r="C2160" i="18"/>
  <c r="B2160" i="18"/>
  <c r="D2159" i="18"/>
  <c r="C2159" i="18"/>
  <c r="B2159" i="18"/>
  <c r="D2158" i="18"/>
  <c r="C2158" i="18"/>
  <c r="B2158" i="18"/>
  <c r="D2157" i="18"/>
  <c r="C2157" i="18"/>
  <c r="B2157" i="18"/>
  <c r="D2156" i="18"/>
  <c r="C2156" i="18"/>
  <c r="B2156" i="18"/>
  <c r="D2155" i="18"/>
  <c r="C2155" i="18"/>
  <c r="B2155" i="18"/>
  <c r="D2154" i="18"/>
  <c r="C2154" i="18"/>
  <c r="B2154" i="18"/>
  <c r="D2153" i="18"/>
  <c r="C2153" i="18"/>
  <c r="B2153" i="18"/>
  <c r="D2152" i="18"/>
  <c r="C2152" i="18"/>
  <c r="B2152" i="18"/>
  <c r="D2151" i="18"/>
  <c r="C2151" i="18"/>
  <c r="B2151" i="18"/>
  <c r="D2150" i="18"/>
  <c r="C2150" i="18"/>
  <c r="B2150" i="18"/>
  <c r="D2149" i="18"/>
  <c r="C2149" i="18"/>
  <c r="B2149" i="18"/>
  <c r="D2148" i="18"/>
  <c r="C2148" i="18"/>
  <c r="B2148" i="18"/>
  <c r="D2147" i="18"/>
  <c r="C2147" i="18"/>
  <c r="B2147" i="18"/>
  <c r="D2146" i="18"/>
  <c r="C2146" i="18"/>
  <c r="B2146" i="18"/>
  <c r="D2145" i="18"/>
  <c r="C2145" i="18"/>
  <c r="B2145" i="18"/>
  <c r="D2144" i="18"/>
  <c r="C2144" i="18"/>
  <c r="B2144" i="18"/>
  <c r="D2143" i="18"/>
  <c r="C2143" i="18"/>
  <c r="B2143" i="18"/>
  <c r="D2142" i="18"/>
  <c r="C2142" i="18"/>
  <c r="B2142" i="18"/>
  <c r="D2141" i="18"/>
  <c r="C2141" i="18"/>
  <c r="B2141" i="18"/>
  <c r="D2140" i="18"/>
  <c r="C2140" i="18"/>
  <c r="B2140" i="18"/>
  <c r="D2139" i="18"/>
  <c r="C2139" i="18"/>
  <c r="B2139" i="18"/>
  <c r="D2138" i="18"/>
  <c r="C2138" i="18"/>
  <c r="B2138" i="18"/>
  <c r="D2137" i="18"/>
  <c r="C2137" i="18"/>
  <c r="B2137" i="18"/>
  <c r="D2136" i="18"/>
  <c r="C2136" i="18"/>
  <c r="B2136" i="18"/>
  <c r="D2135" i="18"/>
  <c r="C2135" i="18"/>
  <c r="B2135" i="18"/>
  <c r="D2134" i="18"/>
  <c r="C2134" i="18"/>
  <c r="B2134" i="18"/>
  <c r="D2133" i="18"/>
  <c r="C2133" i="18"/>
  <c r="B2133" i="18"/>
  <c r="D2132" i="18"/>
  <c r="C2132" i="18"/>
  <c r="B2132" i="18"/>
  <c r="D2131" i="18"/>
  <c r="C2131" i="18"/>
  <c r="B2131" i="18"/>
  <c r="D2130" i="18"/>
  <c r="C2130" i="18"/>
  <c r="B2130" i="18"/>
  <c r="D2129" i="18"/>
  <c r="C2129" i="18"/>
  <c r="B2129" i="18"/>
  <c r="D2128" i="18"/>
  <c r="C2128" i="18"/>
  <c r="B2128" i="18"/>
  <c r="D2127" i="18"/>
  <c r="C2127" i="18"/>
  <c r="B2127" i="18"/>
  <c r="D2126" i="18"/>
  <c r="C2126" i="18"/>
  <c r="B2126" i="18"/>
  <c r="D2125" i="18"/>
  <c r="C2125" i="18"/>
  <c r="B2125" i="18"/>
  <c r="D2124" i="18"/>
  <c r="C2124" i="18"/>
  <c r="B2124" i="18"/>
  <c r="D2123" i="18"/>
  <c r="C2123" i="18"/>
  <c r="B2123" i="18"/>
  <c r="D2122" i="18"/>
  <c r="C2122" i="18"/>
  <c r="B2122" i="18"/>
  <c r="D2121" i="18"/>
  <c r="C2121" i="18"/>
  <c r="B2121" i="18"/>
  <c r="D2120" i="18"/>
  <c r="C2120" i="18"/>
  <c r="B2120" i="18"/>
  <c r="D2119" i="18"/>
  <c r="C2119" i="18"/>
  <c r="B2119" i="18"/>
  <c r="D2118" i="18"/>
  <c r="C2118" i="18"/>
  <c r="B2118" i="18"/>
  <c r="D2117" i="18"/>
  <c r="C2117" i="18"/>
  <c r="B2117" i="18"/>
  <c r="D2116" i="18"/>
  <c r="C2116" i="18"/>
  <c r="B2116" i="18"/>
  <c r="D2115" i="18"/>
  <c r="C2115" i="18"/>
  <c r="B2115" i="18"/>
  <c r="D2114" i="18"/>
  <c r="C2114" i="18"/>
  <c r="B2114" i="18"/>
  <c r="D2113" i="18"/>
  <c r="C2113" i="18"/>
  <c r="B2113" i="18"/>
  <c r="D2112" i="18"/>
  <c r="C2112" i="18"/>
  <c r="B2112" i="18"/>
  <c r="D2111" i="18"/>
  <c r="C2111" i="18"/>
  <c r="B2111" i="18"/>
  <c r="D2110" i="18"/>
  <c r="C2110" i="18"/>
  <c r="B2110" i="18"/>
  <c r="D2109" i="18"/>
  <c r="C2109" i="18"/>
  <c r="B2109" i="18"/>
  <c r="D2108" i="18"/>
  <c r="C2108" i="18"/>
  <c r="B2108" i="18"/>
  <c r="D2107" i="18"/>
  <c r="C2107" i="18"/>
  <c r="B2107" i="18"/>
  <c r="D2106" i="18"/>
  <c r="C2106" i="18"/>
  <c r="B2106" i="18"/>
  <c r="D2105" i="18"/>
  <c r="C2105" i="18"/>
  <c r="B2105" i="18"/>
  <c r="D2104" i="18"/>
  <c r="C2104" i="18"/>
  <c r="B2104" i="18"/>
  <c r="D2103" i="18"/>
  <c r="C2103" i="18"/>
  <c r="B2103" i="18"/>
  <c r="D2102" i="18"/>
  <c r="C2102" i="18"/>
  <c r="B2102" i="18"/>
  <c r="D2101" i="18"/>
  <c r="C2101" i="18"/>
  <c r="B2101" i="18"/>
  <c r="D2100" i="18"/>
  <c r="C2100" i="18"/>
  <c r="B2100" i="18"/>
  <c r="D2099" i="18"/>
  <c r="C2099" i="18"/>
  <c r="B2099" i="18"/>
  <c r="D2098" i="18"/>
  <c r="C2098" i="18"/>
  <c r="B2098" i="18"/>
  <c r="D2097" i="18"/>
  <c r="C2097" i="18"/>
  <c r="B2097" i="18"/>
  <c r="D2096" i="18"/>
  <c r="C2096" i="18"/>
  <c r="B2096" i="18"/>
  <c r="D2095" i="18"/>
  <c r="C2095" i="18"/>
  <c r="B2095" i="18"/>
  <c r="D2094" i="18"/>
  <c r="C2094" i="18"/>
  <c r="B2094" i="18"/>
  <c r="D2093" i="18"/>
  <c r="C2093" i="18"/>
  <c r="B2093" i="18"/>
  <c r="D2092" i="18"/>
  <c r="C2092" i="18"/>
  <c r="B2092" i="18"/>
  <c r="D2091" i="18"/>
  <c r="C2091" i="18"/>
  <c r="B2091" i="18"/>
  <c r="D2090" i="18"/>
  <c r="C2090" i="18"/>
  <c r="B2090" i="18"/>
  <c r="D2089" i="18"/>
  <c r="C2089" i="18"/>
  <c r="B2089" i="18"/>
  <c r="D2088" i="18"/>
  <c r="C2088" i="18"/>
  <c r="B2088" i="18"/>
  <c r="D2087" i="18"/>
  <c r="C2087" i="18"/>
  <c r="B2087" i="18"/>
  <c r="D2086" i="18"/>
  <c r="C2086" i="18"/>
  <c r="B2086" i="18"/>
  <c r="D2085" i="18"/>
  <c r="C2085" i="18"/>
  <c r="B2085" i="18"/>
  <c r="D2084" i="18"/>
  <c r="C2084" i="18"/>
  <c r="B2084" i="18"/>
  <c r="D2083" i="18"/>
  <c r="C2083" i="18"/>
  <c r="B2083" i="18"/>
  <c r="D2082" i="18"/>
  <c r="C2082" i="18"/>
  <c r="B2082" i="18"/>
  <c r="D2081" i="18"/>
  <c r="C2081" i="18"/>
  <c r="B2081" i="18"/>
  <c r="D2080" i="18"/>
  <c r="C2080" i="18"/>
  <c r="B2080" i="18"/>
  <c r="D2079" i="18"/>
  <c r="C2079" i="18"/>
  <c r="B2079" i="18"/>
  <c r="D2078" i="18"/>
  <c r="C2078" i="18"/>
  <c r="B2078" i="18"/>
  <c r="D2077" i="18"/>
  <c r="C2077" i="18"/>
  <c r="B2077" i="18"/>
  <c r="D2076" i="18"/>
  <c r="C2076" i="18"/>
  <c r="B2076" i="18"/>
  <c r="D2075" i="18"/>
  <c r="C2075" i="18"/>
  <c r="B2075" i="18"/>
  <c r="D2074" i="18"/>
  <c r="C2074" i="18"/>
  <c r="B2074" i="18"/>
  <c r="D2073" i="18"/>
  <c r="C2073" i="18"/>
  <c r="B2073" i="18"/>
  <c r="D2072" i="18"/>
  <c r="C2072" i="18"/>
  <c r="B2072" i="18"/>
  <c r="D2071" i="18"/>
  <c r="C2071" i="18"/>
  <c r="B2071" i="18"/>
  <c r="D2070" i="18"/>
  <c r="C2070" i="18"/>
  <c r="B2070" i="18"/>
  <c r="D2069" i="18"/>
  <c r="C2069" i="18"/>
  <c r="B2069" i="18"/>
  <c r="D2068" i="18"/>
  <c r="C2068" i="18"/>
  <c r="B2068" i="18"/>
  <c r="D2067" i="18"/>
  <c r="C2067" i="18"/>
  <c r="B2067" i="18"/>
  <c r="D2066" i="18"/>
  <c r="C2066" i="18"/>
  <c r="B2066" i="18"/>
  <c r="D2065" i="18"/>
  <c r="C2065" i="18"/>
  <c r="B2065" i="18"/>
  <c r="D2064" i="18"/>
  <c r="C2064" i="18"/>
  <c r="B2064" i="18"/>
  <c r="D2063" i="18"/>
  <c r="C2063" i="18"/>
  <c r="B2063" i="18"/>
  <c r="D2062" i="18"/>
  <c r="C2062" i="18"/>
  <c r="B2062" i="18"/>
  <c r="D2061" i="18"/>
  <c r="C2061" i="18"/>
  <c r="B2061" i="18"/>
  <c r="D2060" i="18"/>
  <c r="C2060" i="18"/>
  <c r="B2060" i="18"/>
  <c r="D2059" i="18"/>
  <c r="C2059" i="18"/>
  <c r="B2059" i="18"/>
  <c r="D2058" i="18"/>
  <c r="C2058" i="18"/>
  <c r="B2058" i="18"/>
  <c r="D2057" i="18"/>
  <c r="C2057" i="18"/>
  <c r="B2057" i="18"/>
  <c r="D2056" i="18"/>
  <c r="C2056" i="18"/>
  <c r="B2056" i="18"/>
  <c r="D2055" i="18"/>
  <c r="C2055" i="18"/>
  <c r="B2055" i="18"/>
  <c r="D2054" i="18"/>
  <c r="C2054" i="18"/>
  <c r="B2054" i="18"/>
  <c r="D2053" i="18"/>
  <c r="C2053" i="18"/>
  <c r="B2053" i="18"/>
  <c r="D2052" i="18"/>
  <c r="C2052" i="18"/>
  <c r="B2052" i="18"/>
  <c r="D2051" i="18"/>
  <c r="C2051" i="18"/>
  <c r="B2051" i="18"/>
  <c r="D2050" i="18"/>
  <c r="C2050" i="18"/>
  <c r="B2050" i="18"/>
  <c r="D2049" i="18"/>
  <c r="C2049" i="18"/>
  <c r="B2049" i="18"/>
  <c r="D2048" i="18"/>
  <c r="C2048" i="18"/>
  <c r="B2048" i="18"/>
  <c r="D2047" i="18"/>
  <c r="C2047" i="18"/>
  <c r="B2047" i="18"/>
  <c r="D2046" i="18"/>
  <c r="C2046" i="18"/>
  <c r="B2046" i="18"/>
  <c r="D2045" i="18"/>
  <c r="C2045" i="18"/>
  <c r="B2045" i="18"/>
  <c r="D2044" i="18"/>
  <c r="C2044" i="18"/>
  <c r="B2044" i="18"/>
  <c r="D2043" i="18"/>
  <c r="C2043" i="18"/>
  <c r="B2043" i="18"/>
  <c r="D2042" i="18"/>
  <c r="C2042" i="18"/>
  <c r="B2042" i="18"/>
  <c r="D2041" i="18"/>
  <c r="C2041" i="18"/>
  <c r="B2041" i="18"/>
  <c r="D2040" i="18"/>
  <c r="C2040" i="18"/>
  <c r="B2040" i="18"/>
  <c r="D2039" i="18"/>
  <c r="C2039" i="18"/>
  <c r="B2039" i="18"/>
  <c r="D2038" i="18"/>
  <c r="C2038" i="18"/>
  <c r="B2038" i="18"/>
  <c r="D2037" i="18"/>
  <c r="C2037" i="18"/>
  <c r="B2037" i="18"/>
  <c r="D2036" i="18"/>
  <c r="C2036" i="18"/>
  <c r="B2036" i="18"/>
  <c r="D2035" i="18"/>
  <c r="C2035" i="18"/>
  <c r="B2035" i="18"/>
  <c r="D2034" i="18"/>
  <c r="C2034" i="18"/>
  <c r="B2034" i="18"/>
  <c r="D2033" i="18"/>
  <c r="C2033" i="18"/>
  <c r="B2033" i="18"/>
  <c r="D2032" i="18"/>
  <c r="C2032" i="18"/>
  <c r="B2032" i="18"/>
  <c r="D2031" i="18"/>
  <c r="C2031" i="18"/>
  <c r="B2031" i="18"/>
  <c r="D2030" i="18"/>
  <c r="C2030" i="18"/>
  <c r="B2030" i="18"/>
  <c r="D2029" i="18"/>
  <c r="C2029" i="18"/>
  <c r="B2029" i="18"/>
  <c r="D2028" i="18"/>
  <c r="C2028" i="18"/>
  <c r="B2028" i="18"/>
  <c r="D2027" i="18"/>
  <c r="C2027" i="18"/>
  <c r="B2027" i="18"/>
  <c r="D2026" i="18"/>
  <c r="C2026" i="18"/>
  <c r="B2026" i="18"/>
  <c r="D2025" i="18"/>
  <c r="C2025" i="18"/>
  <c r="B2025" i="18"/>
  <c r="D2024" i="18"/>
  <c r="C2024" i="18"/>
  <c r="B2024" i="18"/>
  <c r="D2023" i="18"/>
  <c r="C2023" i="18"/>
  <c r="B2023" i="18"/>
  <c r="D2022" i="18"/>
  <c r="C2022" i="18"/>
  <c r="B2022" i="18"/>
  <c r="D2021" i="18"/>
  <c r="C2021" i="18"/>
  <c r="B2021" i="18"/>
  <c r="D2020" i="18"/>
  <c r="C2020" i="18"/>
  <c r="B2020" i="18"/>
  <c r="D2019" i="18"/>
  <c r="C2019" i="18"/>
  <c r="B2019" i="18"/>
  <c r="D2018" i="18"/>
  <c r="C2018" i="18"/>
  <c r="B2018" i="18"/>
  <c r="D2017" i="18"/>
  <c r="C2017" i="18"/>
  <c r="B2017" i="18"/>
  <c r="D2016" i="18"/>
  <c r="C2016" i="18"/>
  <c r="B2016" i="18"/>
  <c r="D2015" i="18"/>
  <c r="C2015" i="18"/>
  <c r="B2015" i="18"/>
  <c r="D2014" i="18"/>
  <c r="C2014" i="18"/>
  <c r="B2014" i="18"/>
  <c r="D2013" i="18"/>
  <c r="C2013" i="18"/>
  <c r="B2013" i="18"/>
  <c r="D2012" i="18"/>
  <c r="C2012" i="18"/>
  <c r="B2012" i="18"/>
  <c r="D2011" i="18"/>
  <c r="C2011" i="18"/>
  <c r="B2011" i="18"/>
  <c r="D2010" i="18"/>
  <c r="C2010" i="18"/>
  <c r="B2010" i="18"/>
  <c r="D2009" i="18"/>
  <c r="C2009" i="18"/>
  <c r="B2009" i="18"/>
  <c r="D2008" i="18"/>
  <c r="C2008" i="18"/>
  <c r="B2008" i="18"/>
  <c r="D2007" i="18"/>
  <c r="C2007" i="18"/>
  <c r="B2007" i="18"/>
  <c r="D2006" i="18"/>
  <c r="C2006" i="18"/>
  <c r="B2006" i="18"/>
  <c r="D2005" i="18"/>
  <c r="C2005" i="18"/>
  <c r="B2005" i="18"/>
  <c r="D2004" i="18"/>
  <c r="C2004" i="18"/>
  <c r="B2004" i="18"/>
  <c r="D2003" i="18"/>
  <c r="C2003" i="18"/>
  <c r="B2003" i="18"/>
  <c r="D2002" i="18"/>
  <c r="C2002" i="18"/>
  <c r="B2002" i="18"/>
  <c r="D2001" i="18"/>
  <c r="C2001" i="18"/>
  <c r="B2001" i="18"/>
  <c r="D2000" i="18"/>
  <c r="C2000" i="18"/>
  <c r="B2000" i="18"/>
  <c r="D1999" i="18"/>
  <c r="C1999" i="18"/>
  <c r="B1999" i="18"/>
  <c r="D1998" i="18"/>
  <c r="C1998" i="18"/>
  <c r="B1998" i="18"/>
  <c r="D1997" i="18"/>
  <c r="C1997" i="18"/>
  <c r="B1997" i="18"/>
  <c r="D1996" i="18"/>
  <c r="C1996" i="18"/>
  <c r="B1996" i="18"/>
  <c r="D1995" i="18"/>
  <c r="C1995" i="18"/>
  <c r="B1995" i="18"/>
  <c r="D1994" i="18"/>
  <c r="C1994" i="18"/>
  <c r="B1994" i="18"/>
  <c r="D1993" i="18"/>
  <c r="C1993" i="18"/>
  <c r="B1993" i="18"/>
  <c r="D1992" i="18"/>
  <c r="C1992" i="18"/>
  <c r="B1992" i="18"/>
  <c r="D1991" i="18"/>
  <c r="C1991" i="18"/>
  <c r="B1991" i="18"/>
  <c r="D1990" i="18"/>
  <c r="C1990" i="18"/>
  <c r="B1990" i="18"/>
  <c r="D1989" i="18"/>
  <c r="C1989" i="18"/>
  <c r="B1989" i="18"/>
  <c r="D1988" i="18"/>
  <c r="C1988" i="18"/>
  <c r="B1988" i="18"/>
  <c r="D1987" i="18"/>
  <c r="C1987" i="18"/>
  <c r="B1987" i="18"/>
  <c r="D1986" i="18"/>
  <c r="C1986" i="18"/>
  <c r="B1986" i="18"/>
  <c r="D1985" i="18"/>
  <c r="C1985" i="18"/>
  <c r="B1985" i="18"/>
  <c r="D1984" i="18"/>
  <c r="C1984" i="18"/>
  <c r="B1984" i="18"/>
  <c r="D1983" i="18"/>
  <c r="C1983" i="18"/>
  <c r="B1983" i="18"/>
  <c r="D1982" i="18"/>
  <c r="C1982" i="18"/>
  <c r="B1982" i="18"/>
  <c r="D1981" i="18"/>
  <c r="C1981" i="18"/>
  <c r="B1981" i="18"/>
  <c r="D1980" i="18"/>
  <c r="C1980" i="18"/>
  <c r="B1980" i="18"/>
  <c r="D1979" i="18"/>
  <c r="C1979" i="18"/>
  <c r="B1979" i="18"/>
  <c r="D1978" i="18"/>
  <c r="C1978" i="18"/>
  <c r="B1978" i="18"/>
  <c r="D1977" i="18"/>
  <c r="C1977" i="18"/>
  <c r="B1977" i="18"/>
  <c r="D1976" i="18"/>
  <c r="C1976" i="18"/>
  <c r="B1976" i="18"/>
  <c r="D1975" i="18"/>
  <c r="C1975" i="18"/>
  <c r="B1975" i="18"/>
  <c r="D1974" i="18"/>
  <c r="C1974" i="18"/>
  <c r="B1974" i="18"/>
  <c r="D1973" i="18"/>
  <c r="C1973" i="18"/>
  <c r="B1973" i="18"/>
  <c r="D1972" i="18"/>
  <c r="C1972" i="18"/>
  <c r="B1972" i="18"/>
  <c r="D1971" i="18"/>
  <c r="C1971" i="18"/>
  <c r="B1971" i="18"/>
  <c r="D1970" i="18"/>
  <c r="C1970" i="18"/>
  <c r="B1970" i="18"/>
  <c r="D1969" i="18"/>
  <c r="C1969" i="18"/>
  <c r="B1969" i="18"/>
  <c r="D1968" i="18"/>
  <c r="C1968" i="18"/>
  <c r="B1968" i="18"/>
  <c r="D1967" i="18"/>
  <c r="C1967" i="18"/>
  <c r="B1967" i="18"/>
  <c r="D1966" i="18"/>
  <c r="C1966" i="18"/>
  <c r="B1966" i="18"/>
  <c r="D1965" i="18"/>
  <c r="C1965" i="18"/>
  <c r="B1965" i="18"/>
  <c r="D1964" i="18"/>
  <c r="C1964" i="18"/>
  <c r="B1964" i="18"/>
  <c r="D1963" i="18"/>
  <c r="C1963" i="18"/>
  <c r="B1963" i="18"/>
  <c r="D1962" i="18"/>
  <c r="C1962" i="18"/>
  <c r="B1962" i="18"/>
  <c r="D1961" i="18"/>
  <c r="C1961" i="18"/>
  <c r="B1961" i="18"/>
  <c r="D1960" i="18"/>
  <c r="C1960" i="18"/>
  <c r="B1960" i="18"/>
  <c r="D1959" i="18"/>
  <c r="C1959" i="18"/>
  <c r="B1959" i="18"/>
  <c r="D1958" i="18"/>
  <c r="C1958" i="18"/>
  <c r="B1958" i="18"/>
  <c r="D1957" i="18"/>
  <c r="C1957" i="18"/>
  <c r="B1957" i="18"/>
  <c r="D1956" i="18"/>
  <c r="C1956" i="18"/>
  <c r="B1956" i="18"/>
  <c r="D1955" i="18"/>
  <c r="C1955" i="18"/>
  <c r="B1955" i="18"/>
  <c r="D1954" i="18"/>
  <c r="C1954" i="18"/>
  <c r="B1954" i="18"/>
  <c r="D1953" i="18"/>
  <c r="C1953" i="18"/>
  <c r="B1953" i="18"/>
  <c r="D1952" i="18"/>
  <c r="C1952" i="18"/>
  <c r="B1952" i="18"/>
  <c r="D1951" i="18"/>
  <c r="C1951" i="18"/>
  <c r="B1951" i="18"/>
  <c r="D1950" i="18"/>
  <c r="C1950" i="18"/>
  <c r="B1950" i="18"/>
  <c r="D1949" i="18"/>
  <c r="C1949" i="18"/>
  <c r="B1949" i="18"/>
  <c r="D1948" i="18"/>
  <c r="C1948" i="18"/>
  <c r="B1948" i="18"/>
  <c r="D1947" i="18"/>
  <c r="C1947" i="18"/>
  <c r="B1947" i="18"/>
  <c r="D1946" i="18"/>
  <c r="C1946" i="18"/>
  <c r="B1946" i="18"/>
  <c r="D1945" i="18"/>
  <c r="C1945" i="18"/>
  <c r="B1945" i="18"/>
  <c r="D1944" i="18"/>
  <c r="C1944" i="18"/>
  <c r="B1944" i="18"/>
  <c r="D1943" i="18"/>
  <c r="C1943" i="18"/>
  <c r="B1943" i="18"/>
  <c r="D1942" i="18"/>
  <c r="C1942" i="18"/>
  <c r="B1942" i="18"/>
  <c r="D1941" i="18"/>
  <c r="C1941" i="18"/>
  <c r="B1941" i="18"/>
  <c r="D1940" i="18"/>
  <c r="C1940" i="18"/>
  <c r="B1940" i="18"/>
  <c r="D1939" i="18"/>
  <c r="C1939" i="18"/>
  <c r="B1939" i="18"/>
  <c r="D1938" i="18"/>
  <c r="C1938" i="18"/>
  <c r="B1938" i="18"/>
  <c r="D1937" i="18"/>
  <c r="C1937" i="18"/>
  <c r="B1937" i="18"/>
  <c r="D1936" i="18"/>
  <c r="C1936" i="18"/>
  <c r="B1936" i="18"/>
  <c r="D1935" i="18"/>
  <c r="C1935" i="18"/>
  <c r="B1935" i="18"/>
  <c r="D1934" i="18"/>
  <c r="C1934" i="18"/>
  <c r="B1934" i="18"/>
  <c r="D1933" i="18"/>
  <c r="C1933" i="18"/>
  <c r="B1933" i="18"/>
  <c r="D1932" i="18"/>
  <c r="C1932" i="18"/>
  <c r="B1932" i="18"/>
  <c r="D1931" i="18"/>
  <c r="C1931" i="18"/>
  <c r="B1931" i="18"/>
  <c r="D1930" i="18"/>
  <c r="C1930" i="18"/>
  <c r="B1930" i="18"/>
  <c r="D1929" i="18"/>
  <c r="C1929" i="18"/>
  <c r="B1929" i="18"/>
  <c r="D1928" i="18"/>
  <c r="C1928" i="18"/>
  <c r="B1928" i="18"/>
  <c r="D1927" i="18"/>
  <c r="C1927" i="18"/>
  <c r="B1927" i="18"/>
  <c r="D1926" i="18"/>
  <c r="C1926" i="18"/>
  <c r="B1926" i="18"/>
  <c r="D1925" i="18"/>
  <c r="C1925" i="18"/>
  <c r="B1925" i="18"/>
  <c r="D1924" i="18"/>
  <c r="C1924" i="18"/>
  <c r="B1924" i="18"/>
  <c r="D1923" i="18"/>
  <c r="C1923" i="18"/>
  <c r="B1923" i="18"/>
  <c r="D1922" i="18"/>
  <c r="C1922" i="18"/>
  <c r="B1922" i="18"/>
  <c r="D1921" i="18"/>
  <c r="C1921" i="18"/>
  <c r="B1921" i="18"/>
  <c r="D1920" i="18"/>
  <c r="C1920" i="18"/>
  <c r="B1920" i="18"/>
  <c r="D1919" i="18"/>
  <c r="C1919" i="18"/>
  <c r="B1919" i="18"/>
  <c r="D1918" i="18"/>
  <c r="C1918" i="18"/>
  <c r="B1918" i="18"/>
  <c r="D1917" i="18"/>
  <c r="C1917" i="18"/>
  <c r="B1917" i="18"/>
  <c r="D1916" i="18"/>
  <c r="C1916" i="18"/>
  <c r="B1916" i="18"/>
  <c r="D1915" i="18"/>
  <c r="C1915" i="18"/>
  <c r="B1915" i="18"/>
  <c r="D1914" i="18"/>
  <c r="C1914" i="18"/>
  <c r="B1914" i="18"/>
  <c r="D1913" i="18"/>
  <c r="C1913" i="18"/>
  <c r="B1913" i="18"/>
  <c r="D1912" i="18"/>
  <c r="C1912" i="18"/>
  <c r="B1912" i="18"/>
  <c r="D1911" i="18"/>
  <c r="C1911" i="18"/>
  <c r="B1911" i="18"/>
  <c r="D1910" i="18"/>
  <c r="C1910" i="18"/>
  <c r="B1910" i="18"/>
  <c r="D1909" i="18"/>
  <c r="C1909" i="18"/>
  <c r="B1909" i="18"/>
  <c r="D1908" i="18"/>
  <c r="C1908" i="18"/>
  <c r="B1908" i="18"/>
  <c r="D1907" i="18"/>
  <c r="C1907" i="18"/>
  <c r="B1907" i="18"/>
  <c r="D1906" i="18"/>
  <c r="C1906" i="18"/>
  <c r="B1906" i="18"/>
  <c r="D1905" i="18"/>
  <c r="C1905" i="18"/>
  <c r="B1905" i="18"/>
  <c r="D1904" i="18"/>
  <c r="C1904" i="18"/>
  <c r="B1904" i="18"/>
  <c r="D1903" i="18"/>
  <c r="C1903" i="18"/>
  <c r="B1903" i="18"/>
  <c r="D1902" i="18"/>
  <c r="C1902" i="18"/>
  <c r="B1902" i="18"/>
  <c r="D1901" i="18"/>
  <c r="C1901" i="18"/>
  <c r="B1901" i="18"/>
  <c r="D1900" i="18"/>
  <c r="C1900" i="18"/>
  <c r="B1900" i="18"/>
  <c r="D1899" i="18"/>
  <c r="C1899" i="18"/>
  <c r="B1899" i="18"/>
  <c r="D1898" i="18"/>
  <c r="C1898" i="18"/>
  <c r="B1898" i="18"/>
  <c r="D1897" i="18"/>
  <c r="C1897" i="18"/>
  <c r="B1897" i="18"/>
  <c r="D1896" i="18"/>
  <c r="C1896" i="18"/>
  <c r="B1896" i="18"/>
  <c r="D1895" i="18"/>
  <c r="C1895" i="18"/>
  <c r="B1895" i="18"/>
  <c r="D1894" i="18"/>
  <c r="C1894" i="18"/>
  <c r="B1894" i="18"/>
  <c r="D1893" i="18"/>
  <c r="C1893" i="18"/>
  <c r="B1893" i="18"/>
  <c r="D1892" i="18"/>
  <c r="C1892" i="18"/>
  <c r="B1892" i="18"/>
  <c r="D1891" i="18"/>
  <c r="C1891" i="18"/>
  <c r="B1891" i="18"/>
  <c r="D1890" i="18"/>
  <c r="C1890" i="18"/>
  <c r="B1890" i="18"/>
  <c r="D1889" i="18"/>
  <c r="C1889" i="18"/>
  <c r="B1889" i="18"/>
  <c r="D1888" i="18"/>
  <c r="C1888" i="18"/>
  <c r="B1888" i="18"/>
  <c r="D1887" i="18"/>
  <c r="C1887" i="18"/>
  <c r="B1887" i="18"/>
  <c r="D1886" i="18"/>
  <c r="C1886" i="18"/>
  <c r="B1886" i="18"/>
  <c r="D1885" i="18"/>
  <c r="C1885" i="18"/>
  <c r="B1885" i="18"/>
  <c r="D1884" i="18"/>
  <c r="C1884" i="18"/>
  <c r="B1884" i="18"/>
  <c r="D1883" i="18"/>
  <c r="C1883" i="18"/>
  <c r="B1883" i="18"/>
  <c r="D1882" i="18"/>
  <c r="C1882" i="18"/>
  <c r="B1882" i="18"/>
  <c r="D1881" i="18"/>
  <c r="C1881" i="18"/>
  <c r="B1881" i="18"/>
  <c r="D1880" i="18"/>
  <c r="C1880" i="18"/>
  <c r="B1880" i="18"/>
  <c r="D1879" i="18"/>
  <c r="C1879" i="18"/>
  <c r="B1879" i="18"/>
  <c r="D1878" i="18"/>
  <c r="C1878" i="18"/>
  <c r="B1878" i="18"/>
  <c r="D1877" i="18"/>
  <c r="C1877" i="18"/>
  <c r="B1877" i="18"/>
  <c r="D1876" i="18"/>
  <c r="C1876" i="18"/>
  <c r="B1876" i="18"/>
  <c r="D1875" i="18"/>
  <c r="C1875" i="18"/>
  <c r="B1875" i="18"/>
  <c r="D1874" i="18"/>
  <c r="C1874" i="18"/>
  <c r="B1874" i="18"/>
  <c r="D1873" i="18"/>
  <c r="C1873" i="18"/>
  <c r="B1873" i="18"/>
  <c r="D1872" i="18"/>
  <c r="C1872" i="18"/>
  <c r="B1872" i="18"/>
  <c r="D1871" i="18"/>
  <c r="C1871" i="18"/>
  <c r="B1871" i="18"/>
  <c r="D1870" i="18"/>
  <c r="C1870" i="18"/>
  <c r="B1870" i="18"/>
  <c r="D1869" i="18"/>
  <c r="C1869" i="18"/>
  <c r="B1869" i="18"/>
  <c r="D1868" i="18"/>
  <c r="C1868" i="18"/>
  <c r="B1868" i="18"/>
  <c r="D1867" i="18"/>
  <c r="C1867" i="18"/>
  <c r="B1867" i="18"/>
  <c r="D1866" i="18"/>
  <c r="C1866" i="18"/>
  <c r="B1866" i="18"/>
  <c r="D1865" i="18"/>
  <c r="C1865" i="18"/>
  <c r="B1865" i="18"/>
  <c r="D1864" i="18"/>
  <c r="C1864" i="18"/>
  <c r="B1864" i="18"/>
  <c r="D1863" i="18"/>
  <c r="C1863" i="18"/>
  <c r="B1863" i="18"/>
  <c r="D1862" i="18"/>
  <c r="C1862" i="18"/>
  <c r="B1862" i="18"/>
  <c r="D1861" i="18"/>
  <c r="C1861" i="18"/>
  <c r="B1861" i="18"/>
  <c r="D1860" i="18"/>
  <c r="C1860" i="18"/>
  <c r="B1860" i="18"/>
  <c r="D1859" i="18"/>
  <c r="C1859" i="18"/>
  <c r="B1859" i="18"/>
  <c r="D1858" i="18"/>
  <c r="C1858" i="18"/>
  <c r="B1858" i="18"/>
  <c r="D1857" i="18"/>
  <c r="C1857" i="18"/>
  <c r="B1857" i="18"/>
  <c r="D1856" i="18"/>
  <c r="C1856" i="18"/>
  <c r="B1856" i="18"/>
  <c r="D1855" i="18"/>
  <c r="C1855" i="18"/>
  <c r="B1855" i="18"/>
  <c r="D1854" i="18"/>
  <c r="C1854" i="18"/>
  <c r="B1854" i="18"/>
  <c r="D1853" i="18"/>
  <c r="C1853" i="18"/>
  <c r="B1853" i="18"/>
  <c r="D1852" i="18"/>
  <c r="C1852" i="18"/>
  <c r="B1852" i="18"/>
  <c r="D1851" i="18"/>
  <c r="C1851" i="18"/>
  <c r="B1851" i="18"/>
  <c r="D1850" i="18"/>
  <c r="C1850" i="18"/>
  <c r="B1850" i="18"/>
  <c r="D1849" i="18"/>
  <c r="C1849" i="18"/>
  <c r="B1849" i="18"/>
  <c r="D1848" i="18"/>
  <c r="C1848" i="18"/>
  <c r="B1848" i="18"/>
  <c r="D1847" i="18"/>
  <c r="C1847" i="18"/>
  <c r="B1847" i="18"/>
  <c r="D1846" i="18"/>
  <c r="C1846" i="18"/>
  <c r="B1846" i="18"/>
  <c r="D1845" i="18"/>
  <c r="C1845" i="18"/>
  <c r="B1845" i="18"/>
  <c r="D1844" i="18"/>
  <c r="C1844" i="18"/>
  <c r="B1844" i="18"/>
  <c r="D1843" i="18"/>
  <c r="C1843" i="18"/>
  <c r="B1843" i="18"/>
  <c r="D1842" i="18"/>
  <c r="C1842" i="18"/>
  <c r="B1842" i="18"/>
  <c r="D1841" i="18"/>
  <c r="C1841" i="18"/>
  <c r="B1841" i="18"/>
  <c r="D1840" i="18"/>
  <c r="C1840" i="18"/>
  <c r="B1840" i="18"/>
  <c r="D1839" i="18"/>
  <c r="C1839" i="18"/>
  <c r="B1839" i="18"/>
  <c r="D1838" i="18"/>
  <c r="C1838" i="18"/>
  <c r="B1838" i="18"/>
  <c r="D1837" i="18"/>
  <c r="C1837" i="18"/>
  <c r="B1837" i="18"/>
  <c r="D1836" i="18"/>
  <c r="C1836" i="18"/>
  <c r="B1836" i="18"/>
  <c r="D1835" i="18"/>
  <c r="C1835" i="18"/>
  <c r="B1835" i="18"/>
  <c r="D1834" i="18"/>
  <c r="C1834" i="18"/>
  <c r="B1834" i="18"/>
  <c r="D1833" i="18"/>
  <c r="C1833" i="18"/>
  <c r="B1833" i="18"/>
  <c r="D1832" i="18"/>
  <c r="C1832" i="18"/>
  <c r="B1832" i="18"/>
  <c r="D1831" i="18"/>
  <c r="C1831" i="18"/>
  <c r="B1831" i="18"/>
  <c r="D1830" i="18"/>
  <c r="C1830" i="18"/>
  <c r="B1830" i="18"/>
  <c r="D1829" i="18"/>
  <c r="C1829" i="18"/>
  <c r="B1829" i="18"/>
  <c r="D1828" i="18"/>
  <c r="C1828" i="18"/>
  <c r="B1828" i="18"/>
  <c r="D1827" i="18"/>
  <c r="C1827" i="18"/>
  <c r="B1827" i="18"/>
  <c r="D1826" i="18"/>
  <c r="C1826" i="18"/>
  <c r="B1826" i="18"/>
  <c r="D1825" i="18"/>
  <c r="C1825" i="18"/>
  <c r="B1825" i="18"/>
  <c r="D1824" i="18"/>
  <c r="C1824" i="18"/>
  <c r="B1824" i="18"/>
  <c r="D1823" i="18"/>
  <c r="C1823" i="18"/>
  <c r="B1823" i="18"/>
  <c r="D1822" i="18"/>
  <c r="C1822" i="18"/>
  <c r="B1822" i="18"/>
  <c r="D1821" i="18"/>
  <c r="C1821" i="18"/>
  <c r="B1821" i="18"/>
  <c r="D1820" i="18"/>
  <c r="C1820" i="18"/>
  <c r="B1820" i="18"/>
  <c r="D1819" i="18"/>
  <c r="C1819" i="18"/>
  <c r="B1819" i="18"/>
  <c r="D1818" i="18"/>
  <c r="C1818" i="18"/>
  <c r="B1818" i="18"/>
  <c r="D1817" i="18"/>
  <c r="C1817" i="18"/>
  <c r="B1817" i="18"/>
  <c r="D1816" i="18"/>
  <c r="C1816" i="18"/>
  <c r="B1816" i="18"/>
  <c r="D1815" i="18"/>
  <c r="C1815" i="18"/>
  <c r="B1815" i="18"/>
  <c r="D1814" i="18"/>
  <c r="C1814" i="18"/>
  <c r="B1814" i="18"/>
  <c r="D1813" i="18"/>
  <c r="C1813" i="18"/>
  <c r="B1813" i="18"/>
  <c r="D1812" i="18"/>
  <c r="C1812" i="18"/>
  <c r="B1812" i="18"/>
  <c r="D1811" i="18"/>
  <c r="C1811" i="18"/>
  <c r="B1811" i="18"/>
  <c r="D1810" i="18"/>
  <c r="C1810" i="18"/>
  <c r="B1810" i="18"/>
  <c r="D1809" i="18"/>
  <c r="C1809" i="18"/>
  <c r="B1809" i="18"/>
  <c r="D1808" i="18"/>
  <c r="C1808" i="18"/>
  <c r="B1808" i="18"/>
  <c r="D1807" i="18"/>
  <c r="C1807" i="18"/>
  <c r="B1807" i="18"/>
  <c r="D1806" i="18"/>
  <c r="C1806" i="18"/>
  <c r="B1806" i="18"/>
  <c r="D1805" i="18"/>
  <c r="C1805" i="18"/>
  <c r="B1805" i="18"/>
  <c r="D1804" i="18"/>
  <c r="C1804" i="18"/>
  <c r="B1804" i="18"/>
  <c r="D1803" i="18"/>
  <c r="C1803" i="18"/>
  <c r="B1803" i="18"/>
  <c r="D1802" i="18"/>
  <c r="C1802" i="18"/>
  <c r="B1802" i="18"/>
  <c r="D1801" i="18"/>
  <c r="C1801" i="18"/>
  <c r="B1801" i="18"/>
  <c r="D1800" i="18"/>
  <c r="C1800" i="18"/>
  <c r="B1800" i="18"/>
  <c r="D1799" i="18"/>
  <c r="C1799" i="18"/>
  <c r="B1799" i="18"/>
  <c r="D1798" i="18"/>
  <c r="C1798" i="18"/>
  <c r="B1798" i="18"/>
  <c r="D1797" i="18"/>
  <c r="C1797" i="18"/>
  <c r="B1797" i="18"/>
  <c r="D1796" i="18"/>
  <c r="C1796" i="18"/>
  <c r="B1796" i="18"/>
  <c r="D1795" i="18"/>
  <c r="C1795" i="18"/>
  <c r="B1795" i="18"/>
  <c r="D1794" i="18"/>
  <c r="C1794" i="18"/>
  <c r="B1794" i="18"/>
  <c r="D1793" i="18"/>
  <c r="C1793" i="18"/>
  <c r="B1793" i="18"/>
  <c r="D1792" i="18"/>
  <c r="C1792" i="18"/>
  <c r="B1792" i="18"/>
  <c r="D1791" i="18"/>
  <c r="C1791" i="18"/>
  <c r="B1791" i="18"/>
  <c r="D1790" i="18"/>
  <c r="C1790" i="18"/>
  <c r="B1790" i="18"/>
  <c r="D1789" i="18"/>
  <c r="C1789" i="18"/>
  <c r="B1789" i="18"/>
  <c r="D1788" i="18"/>
  <c r="C1788" i="18"/>
  <c r="B1788" i="18"/>
  <c r="D1787" i="18"/>
  <c r="C1787" i="18"/>
  <c r="B1787" i="18"/>
  <c r="D1786" i="18"/>
  <c r="C1786" i="18"/>
  <c r="B1786" i="18"/>
  <c r="D1785" i="18"/>
  <c r="C1785" i="18"/>
  <c r="B1785" i="18"/>
  <c r="D1784" i="18"/>
  <c r="C1784" i="18"/>
  <c r="B1784" i="18"/>
  <c r="D1783" i="18"/>
  <c r="C1783" i="18"/>
  <c r="B1783" i="18"/>
  <c r="D1782" i="18"/>
  <c r="C1782" i="18"/>
  <c r="B1782" i="18"/>
  <c r="D1781" i="18"/>
  <c r="C1781" i="18"/>
  <c r="B1781" i="18"/>
  <c r="D1780" i="18"/>
  <c r="C1780" i="18"/>
  <c r="B1780" i="18"/>
  <c r="D1779" i="18"/>
  <c r="C1779" i="18"/>
  <c r="B1779" i="18"/>
  <c r="D1778" i="18"/>
  <c r="C1778" i="18"/>
  <c r="B1778" i="18"/>
  <c r="D1777" i="18"/>
  <c r="C1777" i="18"/>
  <c r="B1777" i="18"/>
  <c r="D1776" i="18"/>
  <c r="C1776" i="18"/>
  <c r="B1776" i="18"/>
  <c r="D1775" i="18"/>
  <c r="C1775" i="18"/>
  <c r="B1775" i="18"/>
  <c r="D1774" i="18"/>
  <c r="C1774" i="18"/>
  <c r="B1774" i="18"/>
  <c r="D1773" i="18"/>
  <c r="C1773" i="18"/>
  <c r="B1773" i="18"/>
  <c r="D1772" i="18"/>
  <c r="C1772" i="18"/>
  <c r="B1772" i="18"/>
  <c r="D1771" i="18"/>
  <c r="C1771" i="18"/>
  <c r="B1771" i="18"/>
  <c r="D1770" i="18"/>
  <c r="C1770" i="18"/>
  <c r="B1770" i="18"/>
  <c r="D1769" i="18"/>
  <c r="C1769" i="18"/>
  <c r="B1769" i="18"/>
  <c r="D1768" i="18"/>
  <c r="C1768" i="18"/>
  <c r="B1768" i="18"/>
  <c r="D1767" i="18"/>
  <c r="C1767" i="18"/>
  <c r="B1767" i="18"/>
  <c r="D1766" i="18"/>
  <c r="C1766" i="18"/>
  <c r="B1766" i="18"/>
  <c r="D1765" i="18"/>
  <c r="C1765" i="18"/>
  <c r="B1765" i="18"/>
  <c r="D1764" i="18"/>
  <c r="C1764" i="18"/>
  <c r="B1764" i="18"/>
  <c r="D1763" i="18"/>
  <c r="C1763" i="18"/>
  <c r="B1763" i="18"/>
  <c r="D1762" i="18"/>
  <c r="C1762" i="18"/>
  <c r="B1762" i="18"/>
  <c r="D1761" i="18"/>
  <c r="C1761" i="18"/>
  <c r="B1761" i="18"/>
  <c r="D1760" i="18"/>
  <c r="C1760" i="18"/>
  <c r="B1760" i="18"/>
  <c r="D1759" i="18"/>
  <c r="C1759" i="18"/>
  <c r="B1759" i="18"/>
  <c r="D1758" i="18"/>
  <c r="C1758" i="18"/>
  <c r="B1758" i="18"/>
  <c r="D1757" i="18"/>
  <c r="C1757" i="18"/>
  <c r="B1757" i="18"/>
  <c r="D1756" i="18"/>
  <c r="C1756" i="18"/>
  <c r="B1756" i="18"/>
  <c r="D1755" i="18"/>
  <c r="C1755" i="18"/>
  <c r="B1755" i="18"/>
  <c r="D1754" i="18"/>
  <c r="C1754" i="18"/>
  <c r="B1754" i="18"/>
  <c r="D1753" i="18"/>
  <c r="C1753" i="18"/>
  <c r="B1753" i="18"/>
  <c r="D1752" i="18"/>
  <c r="C1752" i="18"/>
  <c r="B1752" i="18"/>
  <c r="D1751" i="18"/>
  <c r="C1751" i="18"/>
  <c r="B1751" i="18"/>
  <c r="D1750" i="18"/>
  <c r="C1750" i="18"/>
  <c r="B1750" i="18"/>
  <c r="D1749" i="18"/>
  <c r="C1749" i="18"/>
  <c r="B1749" i="18"/>
  <c r="D1748" i="18"/>
  <c r="C1748" i="18"/>
  <c r="B1748" i="18"/>
  <c r="D1747" i="18"/>
  <c r="C1747" i="18"/>
  <c r="B1747" i="18"/>
  <c r="D1746" i="18"/>
  <c r="C1746" i="18"/>
  <c r="B1746" i="18"/>
  <c r="D1745" i="18"/>
  <c r="C1745" i="18"/>
  <c r="B1745" i="18"/>
  <c r="D1744" i="18"/>
  <c r="C1744" i="18"/>
  <c r="B1744" i="18"/>
  <c r="D1743" i="18"/>
  <c r="C1743" i="18"/>
  <c r="B1743" i="18"/>
  <c r="D1742" i="18"/>
  <c r="C1742" i="18"/>
  <c r="B1742" i="18"/>
  <c r="D1741" i="18"/>
  <c r="C1741" i="18"/>
  <c r="B1741" i="18"/>
  <c r="D1740" i="18"/>
  <c r="C1740" i="18"/>
  <c r="B1740" i="18"/>
  <c r="D1739" i="18"/>
  <c r="C1739" i="18"/>
  <c r="B1739" i="18"/>
  <c r="D1738" i="18"/>
  <c r="C1738" i="18"/>
  <c r="B1738" i="18"/>
  <c r="D1737" i="18"/>
  <c r="C1737" i="18"/>
  <c r="B1737" i="18"/>
  <c r="D1736" i="18"/>
  <c r="C1736" i="18"/>
  <c r="B1736" i="18"/>
  <c r="D1735" i="18"/>
  <c r="C1735" i="18"/>
  <c r="B1735" i="18"/>
  <c r="D1734" i="18"/>
  <c r="C1734" i="18"/>
  <c r="B1734" i="18"/>
  <c r="D1733" i="18"/>
  <c r="C1733" i="18"/>
  <c r="B1733" i="18"/>
  <c r="D1732" i="18"/>
  <c r="C1732" i="18"/>
  <c r="B1732" i="18"/>
  <c r="D1731" i="18"/>
  <c r="C1731" i="18"/>
  <c r="B1731" i="18"/>
  <c r="D1730" i="18"/>
  <c r="C1730" i="18"/>
  <c r="B1730" i="18"/>
  <c r="D1729" i="18"/>
  <c r="C1729" i="18"/>
  <c r="B1729" i="18"/>
  <c r="D1728" i="18"/>
  <c r="C1728" i="18"/>
  <c r="B1728" i="18"/>
  <c r="D1727" i="18"/>
  <c r="C1727" i="18"/>
  <c r="B1727" i="18"/>
  <c r="D1726" i="18"/>
  <c r="C1726" i="18"/>
  <c r="B1726" i="18"/>
  <c r="D1725" i="18"/>
  <c r="C1725" i="18"/>
  <c r="B1725" i="18"/>
  <c r="D1724" i="18"/>
  <c r="C1724" i="18"/>
  <c r="B1724" i="18"/>
  <c r="D1723" i="18"/>
  <c r="C1723" i="18"/>
  <c r="B1723" i="18"/>
  <c r="D1722" i="18"/>
  <c r="C1722" i="18"/>
  <c r="B1722" i="18"/>
  <c r="D1721" i="18"/>
  <c r="C1721" i="18"/>
  <c r="B1721" i="18"/>
  <c r="D1720" i="18"/>
  <c r="C1720" i="18"/>
  <c r="B1720" i="18"/>
  <c r="D1719" i="18"/>
  <c r="C1719" i="18"/>
  <c r="B1719" i="18"/>
  <c r="D1718" i="18"/>
  <c r="C1718" i="18"/>
  <c r="B1718" i="18"/>
  <c r="D1717" i="18"/>
  <c r="C1717" i="18"/>
  <c r="B1717" i="18"/>
  <c r="D1716" i="18"/>
  <c r="C1716" i="18"/>
  <c r="B1716" i="18"/>
  <c r="D1715" i="18"/>
  <c r="C1715" i="18"/>
  <c r="B1715" i="18"/>
  <c r="D1714" i="18"/>
  <c r="C1714" i="18"/>
  <c r="B1714" i="18"/>
  <c r="D1713" i="18"/>
  <c r="C1713" i="18"/>
  <c r="B1713" i="18"/>
  <c r="D1712" i="18"/>
  <c r="C1712" i="18"/>
  <c r="B1712" i="18"/>
  <c r="D1711" i="18"/>
  <c r="C1711" i="18"/>
  <c r="B1711" i="18"/>
  <c r="D1710" i="18"/>
  <c r="C1710" i="18"/>
  <c r="B1710" i="18"/>
  <c r="D1709" i="18"/>
  <c r="C1709" i="18"/>
  <c r="B1709" i="18"/>
  <c r="D1708" i="18"/>
  <c r="C1708" i="18"/>
  <c r="B1708" i="18"/>
  <c r="D1707" i="18"/>
  <c r="C1707" i="18"/>
  <c r="B1707" i="18"/>
  <c r="D1706" i="18"/>
  <c r="C1706" i="18"/>
  <c r="B1706" i="18"/>
  <c r="D1705" i="18"/>
  <c r="C1705" i="18"/>
  <c r="B1705" i="18"/>
  <c r="D1704" i="18"/>
  <c r="C1704" i="18"/>
  <c r="B1704" i="18"/>
  <c r="D1703" i="18"/>
  <c r="C1703" i="18"/>
  <c r="B1703" i="18"/>
  <c r="D1702" i="18"/>
  <c r="C1702" i="18"/>
  <c r="B1702" i="18"/>
  <c r="D1701" i="18"/>
  <c r="C1701" i="18"/>
  <c r="B1701" i="18"/>
  <c r="D1700" i="18"/>
  <c r="C1700" i="18"/>
  <c r="B1700" i="18"/>
  <c r="D1699" i="18"/>
  <c r="C1699" i="18"/>
  <c r="B1699" i="18"/>
  <c r="D1698" i="18"/>
  <c r="C1698" i="18"/>
  <c r="B1698" i="18"/>
  <c r="D1697" i="18"/>
  <c r="C1697" i="18"/>
  <c r="B1697" i="18"/>
  <c r="D1696" i="18"/>
  <c r="C1696" i="18"/>
  <c r="B1696" i="18"/>
  <c r="D1695" i="18"/>
  <c r="C1695" i="18"/>
  <c r="B1695" i="18"/>
  <c r="D1694" i="18"/>
  <c r="C1694" i="18"/>
  <c r="B1694" i="18"/>
  <c r="D1693" i="18"/>
  <c r="C1693" i="18"/>
  <c r="B1693" i="18"/>
  <c r="D1692" i="18"/>
  <c r="C1692" i="18"/>
  <c r="B1692" i="18"/>
  <c r="D1691" i="18"/>
  <c r="C1691" i="18"/>
  <c r="B1691" i="18"/>
  <c r="D1690" i="18"/>
  <c r="C1690" i="18"/>
  <c r="B1690" i="18"/>
  <c r="D1689" i="18"/>
  <c r="C1689" i="18"/>
  <c r="B1689" i="18"/>
  <c r="D1688" i="18"/>
  <c r="C1688" i="18"/>
  <c r="B1688" i="18"/>
  <c r="D1687" i="18"/>
  <c r="C1687" i="18"/>
  <c r="B1687" i="18"/>
  <c r="D1686" i="18"/>
  <c r="C1686" i="18"/>
  <c r="B1686" i="18"/>
  <c r="D1685" i="18"/>
  <c r="C1685" i="18"/>
  <c r="B1685" i="18"/>
  <c r="D1684" i="18"/>
  <c r="C1684" i="18"/>
  <c r="B1684" i="18"/>
  <c r="D1683" i="18"/>
  <c r="C1683" i="18"/>
  <c r="B1683" i="18"/>
  <c r="D1682" i="18"/>
  <c r="C1682" i="18"/>
  <c r="B1682" i="18"/>
  <c r="D1681" i="18"/>
  <c r="C1681" i="18"/>
  <c r="B1681" i="18"/>
  <c r="D1680" i="18"/>
  <c r="C1680" i="18"/>
  <c r="B1680" i="18"/>
  <c r="D1679" i="18"/>
  <c r="C1679" i="18"/>
  <c r="B1679" i="18"/>
  <c r="D1678" i="18"/>
  <c r="C1678" i="18"/>
  <c r="B1678" i="18"/>
  <c r="D1677" i="18"/>
  <c r="C1677" i="18"/>
  <c r="B1677" i="18"/>
  <c r="D1676" i="18"/>
  <c r="C1676" i="18"/>
  <c r="B1676" i="18"/>
  <c r="D1675" i="18"/>
  <c r="C1675" i="18"/>
  <c r="B1675" i="18"/>
  <c r="D1674" i="18"/>
  <c r="C1674" i="18"/>
  <c r="B1674" i="18"/>
  <c r="D1673" i="18"/>
  <c r="C1673" i="18"/>
  <c r="B1673" i="18"/>
  <c r="D1672" i="18"/>
  <c r="C1672" i="18"/>
  <c r="B1672" i="18"/>
  <c r="D1671" i="18"/>
  <c r="C1671" i="18"/>
  <c r="B1671" i="18"/>
  <c r="D1670" i="18"/>
  <c r="C1670" i="18"/>
  <c r="B1670" i="18"/>
  <c r="D1669" i="18"/>
  <c r="C1669" i="18"/>
  <c r="B1669" i="18"/>
  <c r="D1668" i="18"/>
  <c r="C1668" i="18"/>
  <c r="B1668" i="18"/>
  <c r="D1667" i="18"/>
  <c r="C1667" i="18"/>
  <c r="B1667" i="18"/>
  <c r="D1666" i="18"/>
  <c r="C1666" i="18"/>
  <c r="B1666" i="18"/>
  <c r="D1665" i="18"/>
  <c r="C1665" i="18"/>
  <c r="B1665" i="18"/>
  <c r="D1664" i="18"/>
  <c r="C1664" i="18"/>
  <c r="B1664" i="18"/>
  <c r="D1663" i="18"/>
  <c r="C1663" i="18"/>
  <c r="B1663" i="18"/>
  <c r="D1662" i="18"/>
  <c r="C1662" i="18"/>
  <c r="B1662" i="18"/>
  <c r="D1661" i="18"/>
  <c r="C1661" i="18"/>
  <c r="B1661" i="18"/>
  <c r="D1660" i="18"/>
  <c r="C1660" i="18"/>
  <c r="B1660" i="18"/>
  <c r="D1659" i="18"/>
  <c r="C1659" i="18"/>
  <c r="B1659" i="18"/>
  <c r="D1658" i="18"/>
  <c r="C1658" i="18"/>
  <c r="B1658" i="18"/>
  <c r="D1657" i="18"/>
  <c r="C1657" i="18"/>
  <c r="B1657" i="18"/>
  <c r="D1656" i="18"/>
  <c r="C1656" i="18"/>
  <c r="B1656" i="18"/>
  <c r="D1655" i="18"/>
  <c r="C1655" i="18"/>
  <c r="B1655" i="18"/>
  <c r="D1654" i="18"/>
  <c r="C1654" i="18"/>
  <c r="B1654" i="18"/>
  <c r="D1653" i="18"/>
  <c r="C1653" i="18"/>
  <c r="B1653" i="18"/>
  <c r="D1652" i="18"/>
  <c r="C1652" i="18"/>
  <c r="B1652" i="18"/>
  <c r="D1651" i="18"/>
  <c r="C1651" i="18"/>
  <c r="B1651" i="18"/>
  <c r="D1650" i="18"/>
  <c r="C1650" i="18"/>
  <c r="B1650" i="18"/>
  <c r="D1649" i="18"/>
  <c r="C1649" i="18"/>
  <c r="B1649" i="18"/>
  <c r="D1648" i="18"/>
  <c r="C1648" i="18"/>
  <c r="B1648" i="18"/>
  <c r="D1647" i="18"/>
  <c r="C1647" i="18"/>
  <c r="B1647" i="18"/>
  <c r="D1646" i="18"/>
  <c r="C1646" i="18"/>
  <c r="B1646" i="18"/>
  <c r="D1645" i="18"/>
  <c r="C1645" i="18"/>
  <c r="B1645" i="18"/>
  <c r="D1644" i="18"/>
  <c r="C1644" i="18"/>
  <c r="B1644" i="18"/>
  <c r="D1643" i="18"/>
  <c r="C1643" i="18"/>
  <c r="B1643" i="18"/>
  <c r="D1642" i="18"/>
  <c r="C1642" i="18"/>
  <c r="B1642" i="18"/>
  <c r="D1641" i="18"/>
  <c r="C1641" i="18"/>
  <c r="B1641" i="18"/>
  <c r="D1640" i="18"/>
  <c r="C1640" i="18"/>
  <c r="B1640" i="18"/>
  <c r="D1639" i="18"/>
  <c r="C1639" i="18"/>
  <c r="B1639" i="18"/>
  <c r="D1638" i="18"/>
  <c r="C1638" i="18"/>
  <c r="B1638" i="18"/>
  <c r="D1637" i="18"/>
  <c r="C1637" i="18"/>
  <c r="B1637" i="18"/>
  <c r="D1636" i="18"/>
  <c r="C1636" i="18"/>
  <c r="B1636" i="18"/>
  <c r="D1635" i="18"/>
  <c r="C1635" i="18"/>
  <c r="B1635" i="18"/>
  <c r="D1634" i="18"/>
  <c r="C1634" i="18"/>
  <c r="B1634" i="18"/>
  <c r="D1633" i="18"/>
  <c r="C1633" i="18"/>
  <c r="B1633" i="18"/>
  <c r="D1632" i="18"/>
  <c r="C1632" i="18"/>
  <c r="B1632" i="18"/>
  <c r="D1631" i="18"/>
  <c r="C1631" i="18"/>
  <c r="B1631" i="18"/>
  <c r="D1630" i="18"/>
  <c r="C1630" i="18"/>
  <c r="B1630" i="18"/>
  <c r="D1629" i="18"/>
  <c r="C1629" i="18"/>
  <c r="B1629" i="18"/>
  <c r="D1628" i="18"/>
  <c r="C1628" i="18"/>
  <c r="B1628" i="18"/>
  <c r="D1627" i="18"/>
  <c r="C1627" i="18"/>
  <c r="B1627" i="18"/>
  <c r="D1626" i="18"/>
  <c r="C1626" i="18"/>
  <c r="B1626" i="18"/>
  <c r="D1625" i="18"/>
  <c r="C1625" i="18"/>
  <c r="B1625" i="18"/>
  <c r="D1624" i="18"/>
  <c r="C1624" i="18"/>
  <c r="B1624" i="18"/>
  <c r="D1623" i="18"/>
  <c r="C1623" i="18"/>
  <c r="B1623" i="18"/>
  <c r="D1622" i="18"/>
  <c r="C1622" i="18"/>
  <c r="B1622" i="18"/>
  <c r="D1621" i="18"/>
  <c r="C1621" i="18"/>
  <c r="B1621" i="18"/>
  <c r="D1620" i="18"/>
  <c r="C1620" i="18"/>
  <c r="B1620" i="18"/>
  <c r="D1619" i="18"/>
  <c r="C1619" i="18"/>
  <c r="B1619" i="18"/>
  <c r="D1618" i="18"/>
  <c r="C1618" i="18"/>
  <c r="B1618" i="18"/>
  <c r="D1617" i="18"/>
  <c r="C1617" i="18"/>
  <c r="B1617" i="18"/>
  <c r="D1616" i="18"/>
  <c r="C1616" i="18"/>
  <c r="B1616" i="18"/>
  <c r="D1615" i="18"/>
  <c r="C1615" i="18"/>
  <c r="B1615" i="18"/>
  <c r="D1614" i="18"/>
  <c r="C1614" i="18"/>
  <c r="B1614" i="18"/>
  <c r="D1613" i="18"/>
  <c r="C1613" i="18"/>
  <c r="B1613" i="18"/>
  <c r="D1612" i="18"/>
  <c r="C1612" i="18"/>
  <c r="B1612" i="18"/>
  <c r="D1611" i="18"/>
  <c r="C1611" i="18"/>
  <c r="B1611" i="18"/>
  <c r="D1610" i="18"/>
  <c r="C1610" i="18"/>
  <c r="B1610" i="18"/>
  <c r="D1609" i="18"/>
  <c r="C1609" i="18"/>
  <c r="B1609" i="18"/>
  <c r="D1608" i="18"/>
  <c r="C1608" i="18"/>
  <c r="B1608" i="18"/>
  <c r="D1607" i="18"/>
  <c r="C1607" i="18"/>
  <c r="B1607" i="18"/>
  <c r="D1606" i="18"/>
  <c r="C1606" i="18"/>
  <c r="B1606" i="18"/>
  <c r="D1605" i="18"/>
  <c r="C1605" i="18"/>
  <c r="B1605" i="18"/>
  <c r="D1604" i="18"/>
  <c r="C1604" i="18"/>
  <c r="B1604" i="18"/>
  <c r="D1603" i="18"/>
  <c r="C1603" i="18"/>
  <c r="B1603" i="18"/>
  <c r="D1602" i="18"/>
  <c r="C1602" i="18"/>
  <c r="B1602" i="18"/>
  <c r="D1601" i="18"/>
  <c r="C1601" i="18"/>
  <c r="B1601" i="18"/>
  <c r="D1600" i="18"/>
  <c r="C1600" i="18"/>
  <c r="B1600" i="18"/>
  <c r="D1599" i="18"/>
  <c r="C1599" i="18"/>
  <c r="B1599" i="18"/>
  <c r="D1598" i="18"/>
  <c r="C1598" i="18"/>
  <c r="B1598" i="18"/>
  <c r="D1597" i="18"/>
  <c r="C1597" i="18"/>
  <c r="B1597" i="18"/>
  <c r="D1596" i="18"/>
  <c r="C1596" i="18"/>
  <c r="B1596" i="18"/>
  <c r="D1595" i="18"/>
  <c r="C1595" i="18"/>
  <c r="B1595" i="18"/>
  <c r="D1594" i="18"/>
  <c r="C1594" i="18"/>
  <c r="B1594" i="18"/>
  <c r="D1593" i="18"/>
  <c r="C1593" i="18"/>
  <c r="B1593" i="18"/>
  <c r="D1592" i="18"/>
  <c r="C1592" i="18"/>
  <c r="B1592" i="18"/>
  <c r="D1591" i="18"/>
  <c r="C1591" i="18"/>
  <c r="B1591" i="18"/>
  <c r="D1590" i="18"/>
  <c r="C1590" i="18"/>
  <c r="B1590" i="18"/>
  <c r="D1589" i="18"/>
  <c r="C1589" i="18"/>
  <c r="B1589" i="18"/>
  <c r="D1588" i="18"/>
  <c r="C1588" i="18"/>
  <c r="B1588" i="18"/>
  <c r="D1587" i="18"/>
  <c r="C1587" i="18"/>
  <c r="B1587" i="18"/>
  <c r="D1586" i="18"/>
  <c r="C1586" i="18"/>
  <c r="B1586" i="18"/>
  <c r="D1585" i="18"/>
  <c r="C1585" i="18"/>
  <c r="B1585" i="18"/>
  <c r="D1584" i="18"/>
  <c r="C1584" i="18"/>
  <c r="B1584" i="18"/>
  <c r="D1583" i="18"/>
  <c r="C1583" i="18"/>
  <c r="B1583" i="18"/>
  <c r="D1582" i="18"/>
  <c r="C1582" i="18"/>
  <c r="B1582" i="18"/>
  <c r="D1581" i="18"/>
  <c r="C1581" i="18"/>
  <c r="B1581" i="18"/>
  <c r="D1580" i="18"/>
  <c r="C1580" i="18"/>
  <c r="B1580" i="18"/>
  <c r="D1579" i="18"/>
  <c r="C1579" i="18"/>
  <c r="B1579" i="18"/>
  <c r="D1578" i="18"/>
  <c r="C1578" i="18"/>
  <c r="B1578" i="18"/>
  <c r="D1577" i="18"/>
  <c r="C1577" i="18"/>
  <c r="B1577" i="18"/>
  <c r="D1576" i="18"/>
  <c r="C1576" i="18"/>
  <c r="B1576" i="18"/>
  <c r="D1575" i="18"/>
  <c r="C1575" i="18"/>
  <c r="B1575" i="18"/>
  <c r="D1574" i="18"/>
  <c r="C1574" i="18"/>
  <c r="B1574" i="18"/>
  <c r="D1573" i="18"/>
  <c r="C1573" i="18"/>
  <c r="B1573" i="18"/>
  <c r="D1572" i="18"/>
  <c r="C1572" i="18"/>
  <c r="B1572" i="18"/>
  <c r="D1571" i="18"/>
  <c r="C1571" i="18"/>
  <c r="B1571" i="18"/>
  <c r="D1570" i="18"/>
  <c r="C1570" i="18"/>
  <c r="B1570" i="18"/>
  <c r="D1569" i="18"/>
  <c r="C1569" i="18"/>
  <c r="B1569" i="18"/>
  <c r="D1568" i="18"/>
  <c r="C1568" i="18"/>
  <c r="B1568" i="18"/>
  <c r="D1567" i="18"/>
  <c r="C1567" i="18"/>
  <c r="B1567" i="18"/>
  <c r="D1566" i="18"/>
  <c r="C1566" i="18"/>
  <c r="B1566" i="18"/>
  <c r="D1565" i="18"/>
  <c r="C1565" i="18"/>
  <c r="B1565" i="18"/>
  <c r="D1564" i="18"/>
  <c r="C1564" i="18"/>
  <c r="B1564" i="18"/>
  <c r="D1563" i="18"/>
  <c r="C1563" i="18"/>
  <c r="B1563" i="18"/>
  <c r="D1562" i="18"/>
  <c r="C1562" i="18"/>
  <c r="B1562" i="18"/>
  <c r="D1561" i="18"/>
  <c r="C1561" i="18"/>
  <c r="B1561" i="18"/>
  <c r="D1560" i="18"/>
  <c r="C1560" i="18"/>
  <c r="B1560" i="18"/>
  <c r="D1559" i="18"/>
  <c r="C1559" i="18"/>
  <c r="B1559" i="18"/>
  <c r="D1558" i="18"/>
  <c r="C1558" i="18"/>
  <c r="B1558" i="18"/>
  <c r="D1557" i="18"/>
  <c r="C1557" i="18"/>
  <c r="B1557" i="18"/>
  <c r="D1556" i="18"/>
  <c r="C1556" i="18"/>
  <c r="B1556" i="18"/>
  <c r="D1555" i="18"/>
  <c r="C1555" i="18"/>
  <c r="B1555" i="18"/>
  <c r="D1554" i="18"/>
  <c r="C1554" i="18"/>
  <c r="B1554" i="18"/>
  <c r="D1553" i="18"/>
  <c r="C1553" i="18"/>
  <c r="B1553" i="18"/>
  <c r="D1552" i="18"/>
  <c r="C1552" i="18"/>
  <c r="B1552" i="18"/>
  <c r="D1551" i="18"/>
  <c r="C1551" i="18"/>
  <c r="B1551" i="18"/>
  <c r="D1550" i="18"/>
  <c r="C1550" i="18"/>
  <c r="B1550" i="18"/>
  <c r="D1549" i="18"/>
  <c r="C1549" i="18"/>
  <c r="B1549" i="18"/>
  <c r="D1548" i="18"/>
  <c r="C1548" i="18"/>
  <c r="B1548" i="18"/>
  <c r="D1547" i="18"/>
  <c r="C1547" i="18"/>
  <c r="B1547" i="18"/>
  <c r="D1546" i="18"/>
  <c r="C1546" i="18"/>
  <c r="B1546" i="18"/>
  <c r="D1545" i="18"/>
  <c r="C1545" i="18"/>
  <c r="B1545" i="18"/>
  <c r="D1544" i="18"/>
  <c r="C1544" i="18"/>
  <c r="B1544" i="18"/>
  <c r="D1543" i="18"/>
  <c r="C1543" i="18"/>
  <c r="B1543" i="18"/>
  <c r="D1542" i="18"/>
  <c r="C1542" i="18"/>
  <c r="B1542" i="18"/>
  <c r="D1541" i="18"/>
  <c r="C1541" i="18"/>
  <c r="B1541" i="18"/>
  <c r="D1540" i="18"/>
  <c r="C1540" i="18"/>
  <c r="B1540" i="18"/>
  <c r="D1539" i="18"/>
  <c r="C1539" i="18"/>
  <c r="B1539" i="18"/>
  <c r="D1538" i="18"/>
  <c r="C1538" i="18"/>
  <c r="B1538" i="18"/>
  <c r="D1537" i="18"/>
  <c r="C1537" i="18"/>
  <c r="B1537" i="18"/>
  <c r="D1536" i="18"/>
  <c r="C1536" i="18"/>
  <c r="B1536" i="18"/>
  <c r="D1535" i="18"/>
  <c r="C1535" i="18"/>
  <c r="B1535" i="18"/>
  <c r="D1534" i="18"/>
  <c r="C1534" i="18"/>
  <c r="B1534" i="18"/>
  <c r="D1533" i="18"/>
  <c r="C1533" i="18"/>
  <c r="B1533" i="18"/>
  <c r="D1532" i="18"/>
  <c r="C1532" i="18"/>
  <c r="B1532" i="18"/>
  <c r="D1531" i="18"/>
  <c r="C1531" i="18"/>
  <c r="B1531" i="18"/>
  <c r="D1530" i="18"/>
  <c r="C1530" i="18"/>
  <c r="B1530" i="18"/>
  <c r="D1529" i="18"/>
  <c r="C1529" i="18"/>
  <c r="B1529" i="18"/>
  <c r="D1528" i="18"/>
  <c r="C1528" i="18"/>
  <c r="B1528" i="18"/>
  <c r="D1527" i="18"/>
  <c r="C1527" i="18"/>
  <c r="B1527" i="18"/>
  <c r="D1526" i="18"/>
  <c r="C1526" i="18"/>
  <c r="B1526" i="18"/>
  <c r="D1525" i="18"/>
  <c r="C1525" i="18"/>
  <c r="B1525" i="18"/>
  <c r="D1524" i="18"/>
  <c r="C1524" i="18"/>
  <c r="B1524" i="18"/>
  <c r="D1523" i="18"/>
  <c r="C1523" i="18"/>
  <c r="B1523" i="18"/>
  <c r="D1522" i="18"/>
  <c r="C1522" i="18"/>
  <c r="B1522" i="18"/>
  <c r="D1521" i="18"/>
  <c r="C1521" i="18"/>
  <c r="B1521" i="18"/>
  <c r="D1520" i="18"/>
  <c r="C1520" i="18"/>
  <c r="B1520" i="18"/>
  <c r="D1519" i="18"/>
  <c r="C1519" i="18"/>
  <c r="B1519" i="18"/>
  <c r="D1518" i="18"/>
  <c r="C1518" i="18"/>
  <c r="B1518" i="18"/>
  <c r="D1517" i="18"/>
  <c r="C1517" i="18"/>
  <c r="B1517" i="18"/>
  <c r="D1516" i="18"/>
  <c r="C1516" i="18"/>
  <c r="B1516" i="18"/>
  <c r="D1515" i="18"/>
  <c r="C1515" i="18"/>
  <c r="B1515" i="18"/>
  <c r="D1514" i="18"/>
  <c r="C1514" i="18"/>
  <c r="B1514" i="18"/>
  <c r="D1513" i="18"/>
  <c r="C1513" i="18"/>
  <c r="B1513" i="18"/>
  <c r="D1512" i="18"/>
  <c r="C1512" i="18"/>
  <c r="B1512" i="18"/>
  <c r="D1511" i="18"/>
  <c r="C1511" i="18"/>
  <c r="B1511" i="18"/>
  <c r="D1510" i="18"/>
  <c r="C1510" i="18"/>
  <c r="B1510" i="18"/>
  <c r="D1509" i="18"/>
  <c r="C1509" i="18"/>
  <c r="B1509" i="18"/>
  <c r="D1508" i="18"/>
  <c r="C1508" i="18"/>
  <c r="B1508" i="18"/>
  <c r="D1507" i="18"/>
  <c r="C1507" i="18"/>
  <c r="B1507" i="18"/>
  <c r="D1506" i="18"/>
  <c r="C1506" i="18"/>
  <c r="B1506" i="18"/>
  <c r="D1505" i="18"/>
  <c r="C1505" i="18"/>
  <c r="B1505" i="18"/>
  <c r="D1504" i="18"/>
  <c r="C1504" i="18"/>
  <c r="B1504" i="18"/>
  <c r="D1503" i="18"/>
  <c r="C1503" i="18"/>
  <c r="B1503" i="18"/>
  <c r="D1502" i="18"/>
  <c r="C1502" i="18"/>
  <c r="B1502" i="18"/>
  <c r="D1501" i="18"/>
  <c r="C1501" i="18"/>
  <c r="B1501" i="18"/>
  <c r="D1500" i="18"/>
  <c r="C1500" i="18"/>
  <c r="B1500" i="18"/>
  <c r="D1499" i="18"/>
  <c r="C1499" i="18"/>
  <c r="B1499" i="18"/>
  <c r="D1498" i="18"/>
  <c r="C1498" i="18"/>
  <c r="B1498" i="18"/>
  <c r="D1497" i="18"/>
  <c r="C1497" i="18"/>
  <c r="B1497" i="18"/>
  <c r="D1496" i="18"/>
  <c r="C1496" i="18"/>
  <c r="B1496" i="18"/>
  <c r="D1495" i="18"/>
  <c r="C1495" i="18"/>
  <c r="B1495" i="18"/>
  <c r="D1494" i="18"/>
  <c r="C1494" i="18"/>
  <c r="B1494" i="18"/>
  <c r="D1493" i="18"/>
  <c r="C1493" i="18"/>
  <c r="B1493" i="18"/>
  <c r="D1492" i="18"/>
  <c r="C1492" i="18"/>
  <c r="B1492" i="18"/>
  <c r="D1491" i="18"/>
  <c r="C1491" i="18"/>
  <c r="B1491" i="18"/>
  <c r="D1490" i="18"/>
  <c r="C1490" i="18"/>
  <c r="B1490" i="18"/>
  <c r="D1489" i="18"/>
  <c r="C1489" i="18"/>
  <c r="B1489" i="18"/>
  <c r="D1488" i="18"/>
  <c r="C1488" i="18"/>
  <c r="B1488" i="18"/>
  <c r="D1487" i="18"/>
  <c r="C1487" i="18"/>
  <c r="B1487" i="18"/>
  <c r="D1486" i="18"/>
  <c r="C1486" i="18"/>
  <c r="B1486" i="18"/>
  <c r="D1485" i="18"/>
  <c r="C1485" i="18"/>
  <c r="B1485" i="18"/>
  <c r="D1484" i="18"/>
  <c r="C1484" i="18"/>
  <c r="B1484" i="18"/>
  <c r="D1483" i="18"/>
  <c r="C1483" i="18"/>
  <c r="B1483" i="18"/>
  <c r="D1482" i="18"/>
  <c r="C1482" i="18"/>
  <c r="B1482" i="18"/>
  <c r="D1481" i="18"/>
  <c r="C1481" i="18"/>
  <c r="B1481" i="18"/>
  <c r="D1480" i="18"/>
  <c r="C1480" i="18"/>
  <c r="B1480" i="18"/>
  <c r="D1479" i="18"/>
  <c r="C1479" i="18"/>
  <c r="B1479" i="18"/>
  <c r="D1478" i="18"/>
  <c r="C1478" i="18"/>
  <c r="B1478" i="18"/>
  <c r="D1477" i="18"/>
  <c r="C1477" i="18"/>
  <c r="B1477" i="18"/>
  <c r="D1476" i="18"/>
  <c r="C1476" i="18"/>
  <c r="B1476" i="18"/>
  <c r="D1475" i="18"/>
  <c r="C1475" i="18"/>
  <c r="B1475" i="18"/>
  <c r="D1474" i="18"/>
  <c r="C1474" i="18"/>
  <c r="B1474" i="18"/>
  <c r="D1473" i="18"/>
  <c r="C1473" i="18"/>
  <c r="B1473" i="18"/>
  <c r="D1472" i="18"/>
  <c r="C1472" i="18"/>
  <c r="B1472" i="18"/>
  <c r="D1471" i="18"/>
  <c r="C1471" i="18"/>
  <c r="B1471" i="18"/>
  <c r="D1470" i="18"/>
  <c r="C1470" i="18"/>
  <c r="B1470" i="18"/>
  <c r="D1469" i="18"/>
  <c r="C1469" i="18"/>
  <c r="B1469" i="18"/>
  <c r="D1468" i="18"/>
  <c r="C1468" i="18"/>
  <c r="B1468" i="18"/>
  <c r="D1467" i="18"/>
  <c r="C1467" i="18"/>
  <c r="B1467" i="18"/>
  <c r="D1466" i="18"/>
  <c r="C1466" i="18"/>
  <c r="B1466" i="18"/>
  <c r="D1465" i="18"/>
  <c r="C1465" i="18"/>
  <c r="B1465" i="18"/>
  <c r="D1464" i="18"/>
  <c r="C1464" i="18"/>
  <c r="B1464" i="18"/>
  <c r="D1463" i="18"/>
  <c r="C1463" i="18"/>
  <c r="B1463" i="18"/>
  <c r="D1462" i="18"/>
  <c r="C1462" i="18"/>
  <c r="B1462" i="18"/>
  <c r="D1461" i="18"/>
  <c r="C1461" i="18"/>
  <c r="B1461" i="18"/>
  <c r="D1460" i="18"/>
  <c r="C1460" i="18"/>
  <c r="B1460" i="18"/>
  <c r="D1459" i="18"/>
  <c r="C1459" i="18"/>
  <c r="B1459" i="18"/>
  <c r="D1458" i="18"/>
  <c r="C1458" i="18"/>
  <c r="B1458" i="18"/>
  <c r="D1457" i="18"/>
  <c r="C1457" i="18"/>
  <c r="B1457" i="18"/>
  <c r="D1456" i="18"/>
  <c r="C1456" i="18"/>
  <c r="B1456" i="18"/>
  <c r="D1455" i="18"/>
  <c r="C1455" i="18"/>
  <c r="B1455" i="18"/>
  <c r="D1454" i="18"/>
  <c r="C1454" i="18"/>
  <c r="B1454" i="18"/>
  <c r="D1453" i="18"/>
  <c r="C1453" i="18"/>
  <c r="B1453" i="18"/>
  <c r="D1452" i="18"/>
  <c r="C1452" i="18"/>
  <c r="B1452" i="18"/>
  <c r="D1451" i="18"/>
  <c r="C1451" i="18"/>
  <c r="B1451" i="18"/>
  <c r="D1450" i="18"/>
  <c r="C1450" i="18"/>
  <c r="B1450" i="18"/>
  <c r="D1449" i="18"/>
  <c r="C1449" i="18"/>
  <c r="B1449" i="18"/>
  <c r="D1448" i="18"/>
  <c r="C1448" i="18"/>
  <c r="B1448" i="18"/>
  <c r="D1447" i="18"/>
  <c r="C1447" i="18"/>
  <c r="B1447" i="18"/>
  <c r="D1446" i="18"/>
  <c r="C1446" i="18"/>
  <c r="B1446" i="18"/>
  <c r="D1445" i="18"/>
  <c r="C1445" i="18"/>
  <c r="B1445" i="18"/>
  <c r="D1444" i="18"/>
  <c r="C1444" i="18"/>
  <c r="B1444" i="18"/>
  <c r="D1443" i="18"/>
  <c r="C1443" i="18"/>
  <c r="B1443" i="18"/>
  <c r="D1442" i="18"/>
  <c r="C1442" i="18"/>
  <c r="B1442" i="18"/>
  <c r="D1441" i="18"/>
  <c r="C1441" i="18"/>
  <c r="B1441" i="18"/>
  <c r="D1440" i="18"/>
  <c r="C1440" i="18"/>
  <c r="B1440" i="18"/>
  <c r="D1439" i="18"/>
  <c r="C1439" i="18"/>
  <c r="B1439" i="18"/>
  <c r="D1438" i="18"/>
  <c r="C1438" i="18"/>
  <c r="B1438" i="18"/>
  <c r="D1437" i="18"/>
  <c r="C1437" i="18"/>
  <c r="B1437" i="18"/>
  <c r="D1436" i="18"/>
  <c r="C1436" i="18"/>
  <c r="B1436" i="18"/>
  <c r="D1435" i="18"/>
  <c r="C1435" i="18"/>
  <c r="B1435" i="18"/>
  <c r="D1434" i="18"/>
  <c r="C1434" i="18"/>
  <c r="B1434" i="18"/>
  <c r="D1433" i="18"/>
  <c r="C1433" i="18"/>
  <c r="B1433" i="18"/>
  <c r="D1432" i="18"/>
  <c r="C1432" i="18"/>
  <c r="B1432" i="18"/>
  <c r="D1431" i="18"/>
  <c r="C1431" i="18"/>
  <c r="B1431" i="18"/>
  <c r="D1430" i="18"/>
  <c r="C1430" i="18"/>
  <c r="B1430" i="18"/>
  <c r="D1429" i="18"/>
  <c r="C1429" i="18"/>
  <c r="B1429" i="18"/>
  <c r="D1428" i="18"/>
  <c r="C1428" i="18"/>
  <c r="B1428" i="18"/>
  <c r="D1427" i="18"/>
  <c r="C1427" i="18"/>
  <c r="B1427" i="18"/>
  <c r="D1426" i="18"/>
  <c r="C1426" i="18"/>
  <c r="B1426" i="18"/>
  <c r="D1425" i="18"/>
  <c r="C1425" i="18"/>
  <c r="B1425" i="18"/>
  <c r="D1424" i="18"/>
  <c r="C1424" i="18"/>
  <c r="B1424" i="18"/>
  <c r="D1423" i="18"/>
  <c r="C1423" i="18"/>
  <c r="B1423" i="18"/>
  <c r="D1422" i="18"/>
  <c r="C1422" i="18"/>
  <c r="B1422" i="18"/>
  <c r="D1421" i="18"/>
  <c r="C1421" i="18"/>
  <c r="B1421" i="18"/>
  <c r="D1420" i="18"/>
  <c r="C1420" i="18"/>
  <c r="B1420" i="18"/>
  <c r="D1419" i="18"/>
  <c r="C1419" i="18"/>
  <c r="B1419" i="18"/>
  <c r="D1418" i="18"/>
  <c r="C1418" i="18"/>
  <c r="B1418" i="18"/>
  <c r="D1417" i="18"/>
  <c r="C1417" i="18"/>
  <c r="B1417" i="18"/>
  <c r="D1416" i="18"/>
  <c r="C1416" i="18"/>
  <c r="B1416" i="18"/>
  <c r="D1415" i="18"/>
  <c r="C1415" i="18"/>
  <c r="B1415" i="18"/>
  <c r="D1414" i="18"/>
  <c r="C1414" i="18"/>
  <c r="B1414" i="18"/>
  <c r="D1413" i="18"/>
  <c r="C1413" i="18"/>
  <c r="B1413" i="18"/>
  <c r="D1412" i="18"/>
  <c r="C1412" i="18"/>
  <c r="B1412" i="18"/>
  <c r="D1411" i="18"/>
  <c r="C1411" i="18"/>
  <c r="B1411" i="18"/>
  <c r="D1410" i="18"/>
  <c r="C1410" i="18"/>
  <c r="B1410" i="18"/>
  <c r="D1409" i="18"/>
  <c r="C1409" i="18"/>
  <c r="B1409" i="18"/>
  <c r="D1408" i="18"/>
  <c r="C1408" i="18"/>
  <c r="B1408" i="18"/>
  <c r="D1407" i="18"/>
  <c r="C1407" i="18"/>
  <c r="B1407" i="18"/>
  <c r="D1406" i="18"/>
  <c r="C1406" i="18"/>
  <c r="B1406" i="18"/>
  <c r="D1405" i="18"/>
  <c r="C1405" i="18"/>
  <c r="B1405" i="18"/>
  <c r="D1404" i="18"/>
  <c r="C1404" i="18"/>
  <c r="B1404" i="18"/>
  <c r="D1403" i="18"/>
  <c r="C1403" i="18"/>
  <c r="B1403" i="18"/>
  <c r="D1402" i="18"/>
  <c r="C1402" i="18"/>
  <c r="B1402" i="18"/>
  <c r="D1401" i="18"/>
  <c r="C1401" i="18"/>
  <c r="B1401" i="18"/>
  <c r="D1400" i="18"/>
  <c r="C1400" i="18"/>
  <c r="B1400" i="18"/>
  <c r="D1399" i="18"/>
  <c r="C1399" i="18"/>
  <c r="B1399" i="18"/>
  <c r="D1398" i="18"/>
  <c r="C1398" i="18"/>
  <c r="B1398" i="18"/>
  <c r="D1397" i="18"/>
  <c r="C1397" i="18"/>
  <c r="B1397" i="18"/>
  <c r="D1396" i="18"/>
  <c r="C1396" i="18"/>
  <c r="B1396" i="18"/>
  <c r="D1395" i="18"/>
  <c r="C1395" i="18"/>
  <c r="B1395" i="18"/>
  <c r="D1394" i="18"/>
  <c r="C1394" i="18"/>
  <c r="B1394" i="18"/>
  <c r="D1393" i="18"/>
  <c r="C1393" i="18"/>
  <c r="B1393" i="18"/>
  <c r="D1392" i="18"/>
  <c r="C1392" i="18"/>
  <c r="B1392" i="18"/>
  <c r="D1391" i="18"/>
  <c r="C1391" i="18"/>
  <c r="B1391" i="18"/>
  <c r="D1390" i="18"/>
  <c r="C1390" i="18"/>
  <c r="B1390" i="18"/>
  <c r="D1389" i="18"/>
  <c r="C1389" i="18"/>
  <c r="B1389" i="18"/>
  <c r="D1388" i="18"/>
  <c r="C1388" i="18"/>
  <c r="B1388" i="18"/>
  <c r="D1387" i="18"/>
  <c r="C1387" i="18"/>
  <c r="B1387" i="18"/>
  <c r="D1386" i="18"/>
  <c r="C1386" i="18"/>
  <c r="B1386" i="18"/>
  <c r="D1385" i="18"/>
  <c r="C1385" i="18"/>
  <c r="B1385" i="18"/>
  <c r="D1384" i="18"/>
  <c r="C1384" i="18"/>
  <c r="B1384" i="18"/>
  <c r="D1383" i="18"/>
  <c r="C1383" i="18"/>
  <c r="B1383" i="18"/>
  <c r="D1382" i="18"/>
  <c r="C1382" i="18"/>
  <c r="B1382" i="18"/>
  <c r="D1381" i="18"/>
  <c r="C1381" i="18"/>
  <c r="B1381" i="18"/>
  <c r="D1380" i="18"/>
  <c r="C1380" i="18"/>
  <c r="B1380" i="18"/>
  <c r="D1379" i="18"/>
  <c r="C1379" i="18"/>
  <c r="B1379" i="18"/>
  <c r="D1378" i="18"/>
  <c r="C1378" i="18"/>
  <c r="B1378" i="18"/>
  <c r="D1377" i="18"/>
  <c r="C1377" i="18"/>
  <c r="B1377" i="18"/>
  <c r="D1376" i="18"/>
  <c r="C1376" i="18"/>
  <c r="B1376" i="18"/>
  <c r="D1375" i="18"/>
  <c r="C1375" i="18"/>
  <c r="B1375" i="18"/>
  <c r="D1374" i="18"/>
  <c r="C1374" i="18"/>
  <c r="B1374" i="18"/>
  <c r="D1373" i="18"/>
  <c r="C1373" i="18"/>
  <c r="B1373" i="18"/>
  <c r="D1372" i="18"/>
  <c r="C1372" i="18"/>
  <c r="B1372" i="18"/>
  <c r="D1371" i="18"/>
  <c r="C1371" i="18"/>
  <c r="B1371" i="18"/>
  <c r="D1370" i="18"/>
  <c r="C1370" i="18"/>
  <c r="B1370" i="18"/>
  <c r="D1369" i="18"/>
  <c r="C1369" i="18"/>
  <c r="B1369" i="18"/>
  <c r="D1368" i="18"/>
  <c r="C1368" i="18"/>
  <c r="B1368" i="18"/>
  <c r="D1367" i="18"/>
  <c r="C1367" i="18"/>
  <c r="B1367" i="18"/>
  <c r="D1366" i="18"/>
  <c r="C1366" i="18"/>
  <c r="B1366" i="18"/>
  <c r="D1365" i="18"/>
  <c r="C1365" i="18"/>
  <c r="B1365" i="18"/>
  <c r="D1364" i="18"/>
  <c r="C1364" i="18"/>
  <c r="B1364" i="18"/>
  <c r="D1363" i="18"/>
  <c r="C1363" i="18"/>
  <c r="B1363" i="18"/>
  <c r="D1362" i="18"/>
  <c r="C1362" i="18"/>
  <c r="B1362" i="18"/>
  <c r="D1361" i="18"/>
  <c r="C1361" i="18"/>
  <c r="B1361" i="18"/>
  <c r="D1360" i="18"/>
  <c r="C1360" i="18"/>
  <c r="B1360" i="18"/>
  <c r="D1359" i="18"/>
  <c r="C1359" i="18"/>
  <c r="B1359" i="18"/>
  <c r="D1358" i="18"/>
  <c r="C1358" i="18"/>
  <c r="B1358" i="18"/>
  <c r="D1357" i="18"/>
  <c r="C1357" i="18"/>
  <c r="B1357" i="18"/>
  <c r="D1356" i="18"/>
  <c r="C1356" i="18"/>
  <c r="B1356" i="18"/>
  <c r="D1355" i="18"/>
  <c r="C1355" i="18"/>
  <c r="B1355" i="18"/>
  <c r="D1354" i="18"/>
  <c r="C1354" i="18"/>
  <c r="B1354" i="18"/>
  <c r="D1353" i="18"/>
  <c r="C1353" i="18"/>
  <c r="B1353" i="18"/>
  <c r="D1352" i="18"/>
  <c r="C1352" i="18"/>
  <c r="B1352" i="18"/>
  <c r="D1351" i="18"/>
  <c r="C1351" i="18"/>
  <c r="B1351" i="18"/>
  <c r="D1350" i="18"/>
  <c r="C1350" i="18"/>
  <c r="B1350" i="18"/>
  <c r="D1349" i="18"/>
  <c r="C1349" i="18"/>
  <c r="B1349" i="18"/>
  <c r="D1348" i="18"/>
  <c r="C1348" i="18"/>
  <c r="B1348" i="18"/>
  <c r="D1347" i="18"/>
  <c r="C1347" i="18"/>
  <c r="B1347" i="18"/>
  <c r="D1346" i="18"/>
  <c r="C1346" i="18"/>
  <c r="B1346" i="18"/>
  <c r="D1345" i="18"/>
  <c r="C1345" i="18"/>
  <c r="B1345" i="18"/>
  <c r="D1344" i="18"/>
  <c r="C1344" i="18"/>
  <c r="B1344" i="18"/>
  <c r="D1343" i="18"/>
  <c r="C1343" i="18"/>
  <c r="B1343" i="18"/>
  <c r="D1342" i="18"/>
  <c r="C1342" i="18"/>
  <c r="B1342" i="18"/>
  <c r="D1341" i="18"/>
  <c r="C1341" i="18"/>
  <c r="B1341" i="18"/>
  <c r="D1340" i="18"/>
  <c r="C1340" i="18"/>
  <c r="B1340" i="18"/>
  <c r="D1339" i="18"/>
  <c r="C1339" i="18"/>
  <c r="B1339" i="18"/>
  <c r="D1338" i="18"/>
  <c r="C1338" i="18"/>
  <c r="B1338" i="18"/>
  <c r="D1337" i="18"/>
  <c r="C1337" i="18"/>
  <c r="B1337" i="18"/>
  <c r="D1336" i="18"/>
  <c r="C1336" i="18"/>
  <c r="B1336" i="18"/>
  <c r="D1335" i="18"/>
  <c r="C1335" i="18"/>
  <c r="B1335" i="18"/>
  <c r="D1334" i="18"/>
  <c r="C1334" i="18"/>
  <c r="B1334" i="18"/>
  <c r="D1333" i="18"/>
  <c r="C1333" i="18"/>
  <c r="B1333" i="18"/>
  <c r="D1332" i="18"/>
  <c r="C1332" i="18"/>
  <c r="B1332" i="18"/>
  <c r="D1331" i="18"/>
  <c r="C1331" i="18"/>
  <c r="B1331" i="18"/>
  <c r="D1330" i="18"/>
  <c r="C1330" i="18"/>
  <c r="B1330" i="18"/>
  <c r="D1329" i="18"/>
  <c r="C1329" i="18"/>
  <c r="B1329" i="18"/>
  <c r="D1328" i="18"/>
  <c r="C1328" i="18"/>
  <c r="B1328" i="18"/>
  <c r="D1327" i="18"/>
  <c r="C1327" i="18"/>
  <c r="B1327" i="18"/>
  <c r="D1326" i="18"/>
  <c r="C1326" i="18"/>
  <c r="B1326" i="18"/>
  <c r="D1325" i="18"/>
  <c r="C1325" i="18"/>
  <c r="B1325" i="18"/>
  <c r="D1324" i="18"/>
  <c r="C1324" i="18"/>
  <c r="B1324" i="18"/>
  <c r="D1323" i="18"/>
  <c r="C1323" i="18"/>
  <c r="B1323" i="18"/>
  <c r="D1322" i="18"/>
  <c r="C1322" i="18"/>
  <c r="B1322" i="18"/>
  <c r="D1321" i="18"/>
  <c r="C1321" i="18"/>
  <c r="B1321" i="18"/>
  <c r="D1320" i="18"/>
  <c r="C1320" i="18"/>
  <c r="B1320" i="18"/>
  <c r="D1319" i="18"/>
  <c r="C1319" i="18"/>
  <c r="B1319" i="18"/>
  <c r="D1318" i="18"/>
  <c r="C1318" i="18"/>
  <c r="B1318" i="18"/>
  <c r="D1317" i="18"/>
  <c r="C1317" i="18"/>
  <c r="B1317" i="18"/>
  <c r="D1316" i="18"/>
  <c r="C1316" i="18"/>
  <c r="B1316" i="18"/>
  <c r="D1315" i="18"/>
  <c r="C1315" i="18"/>
  <c r="B1315" i="18"/>
  <c r="D1314" i="18"/>
  <c r="C1314" i="18"/>
  <c r="B1314" i="18"/>
  <c r="D1313" i="18"/>
  <c r="C1313" i="18"/>
  <c r="B1313" i="18"/>
  <c r="D1312" i="18"/>
  <c r="C1312" i="18"/>
  <c r="B1312" i="18"/>
  <c r="D1311" i="18"/>
  <c r="C1311" i="18"/>
  <c r="B1311" i="18"/>
  <c r="D1310" i="18"/>
  <c r="C1310" i="18"/>
  <c r="B1310" i="18"/>
  <c r="D1309" i="18"/>
  <c r="C1309" i="18"/>
  <c r="B1309" i="18"/>
  <c r="D1308" i="18"/>
  <c r="C1308" i="18"/>
  <c r="B1308" i="18"/>
  <c r="D1307" i="18"/>
  <c r="C1307" i="18"/>
  <c r="B1307" i="18"/>
  <c r="D1306" i="18"/>
  <c r="C1306" i="18"/>
  <c r="B1306" i="18"/>
  <c r="D1305" i="18"/>
  <c r="C1305" i="18"/>
  <c r="B1305" i="18"/>
  <c r="D1304" i="18"/>
  <c r="C1304" i="18"/>
  <c r="B1304" i="18"/>
  <c r="D1303" i="18"/>
  <c r="C1303" i="18"/>
  <c r="B1303" i="18"/>
  <c r="D1302" i="18"/>
  <c r="C1302" i="18"/>
  <c r="B1302" i="18"/>
  <c r="D1301" i="18"/>
  <c r="C1301" i="18"/>
  <c r="B1301" i="18"/>
  <c r="D1300" i="18"/>
  <c r="C1300" i="18"/>
  <c r="B1300" i="18"/>
  <c r="D1299" i="18"/>
  <c r="C1299" i="18"/>
  <c r="B1299" i="18"/>
  <c r="D1298" i="18"/>
  <c r="C1298" i="18"/>
  <c r="B1298" i="18"/>
  <c r="D1297" i="18"/>
  <c r="C1297" i="18"/>
  <c r="B1297" i="18"/>
  <c r="D1296" i="18"/>
  <c r="C1296" i="18"/>
  <c r="B1296" i="18"/>
  <c r="D1295" i="18"/>
  <c r="C1295" i="18"/>
  <c r="B1295" i="18"/>
  <c r="D1294" i="18"/>
  <c r="C1294" i="18"/>
  <c r="B1294" i="18"/>
  <c r="D1293" i="18"/>
  <c r="C1293" i="18"/>
  <c r="B1293" i="18"/>
  <c r="D1292" i="18"/>
  <c r="C1292" i="18"/>
  <c r="B1292" i="18"/>
  <c r="D1291" i="18"/>
  <c r="C1291" i="18"/>
  <c r="B1291" i="18"/>
  <c r="D1290" i="18"/>
  <c r="C1290" i="18"/>
  <c r="B1290" i="18"/>
  <c r="D1289" i="18"/>
  <c r="C1289" i="18"/>
  <c r="B1289" i="18"/>
  <c r="D1288" i="18"/>
  <c r="C1288" i="18"/>
  <c r="B1288" i="18"/>
  <c r="D1287" i="18"/>
  <c r="C1287" i="18"/>
  <c r="B1287" i="18"/>
  <c r="D1286" i="18"/>
  <c r="C1286" i="18"/>
  <c r="B1286" i="18"/>
  <c r="D1285" i="18"/>
  <c r="C1285" i="18"/>
  <c r="B1285" i="18"/>
  <c r="D1284" i="18"/>
  <c r="C1284" i="18"/>
  <c r="B1284" i="18"/>
  <c r="D1283" i="18"/>
  <c r="C1283" i="18"/>
  <c r="B1283" i="18"/>
  <c r="D1282" i="18"/>
  <c r="C1282" i="18"/>
  <c r="B1282" i="18"/>
  <c r="D1281" i="18"/>
  <c r="C1281" i="18"/>
  <c r="B1281" i="18"/>
  <c r="D1280" i="18"/>
  <c r="C1280" i="18"/>
  <c r="B1280" i="18"/>
  <c r="D1279" i="18"/>
  <c r="C1279" i="18"/>
  <c r="B1279" i="18"/>
  <c r="D1278" i="18"/>
  <c r="C1278" i="18"/>
  <c r="B1278" i="18"/>
  <c r="D1277" i="18"/>
  <c r="C1277" i="18"/>
  <c r="B1277" i="18"/>
  <c r="D1276" i="18"/>
  <c r="C1276" i="18"/>
  <c r="B1276" i="18"/>
  <c r="D1275" i="18"/>
  <c r="C1275" i="18"/>
  <c r="B1275" i="18"/>
  <c r="D1274" i="18"/>
  <c r="C1274" i="18"/>
  <c r="B1274" i="18"/>
  <c r="D1273" i="18"/>
  <c r="C1273" i="18"/>
  <c r="B1273" i="18"/>
  <c r="D1272" i="18"/>
  <c r="C1272" i="18"/>
  <c r="B1272" i="18"/>
  <c r="D1271" i="18"/>
  <c r="C1271" i="18"/>
  <c r="B1271" i="18"/>
  <c r="D1270" i="18"/>
  <c r="C1270" i="18"/>
  <c r="B1270" i="18"/>
  <c r="D1269" i="18"/>
  <c r="C1269" i="18"/>
  <c r="B1269" i="18"/>
  <c r="D1268" i="18"/>
  <c r="C1268" i="18"/>
  <c r="B1268" i="18"/>
  <c r="D1267" i="18"/>
  <c r="C1267" i="18"/>
  <c r="B1267" i="18"/>
  <c r="D1266" i="18"/>
  <c r="C1266" i="18"/>
  <c r="B1266" i="18"/>
  <c r="D1265" i="18"/>
  <c r="C1265" i="18"/>
  <c r="B1265" i="18"/>
  <c r="D1264" i="18"/>
  <c r="C1264" i="18"/>
  <c r="B1264" i="18"/>
  <c r="D1263" i="18"/>
  <c r="C1263" i="18"/>
  <c r="B1263" i="18"/>
  <c r="D1262" i="18"/>
  <c r="C1262" i="18"/>
  <c r="B1262" i="18"/>
  <c r="D1261" i="18"/>
  <c r="C1261" i="18"/>
  <c r="B1261" i="18"/>
  <c r="D1260" i="18"/>
  <c r="C1260" i="18"/>
  <c r="B1260" i="18"/>
  <c r="D1259" i="18"/>
  <c r="C1259" i="18"/>
  <c r="B1259" i="18"/>
  <c r="D1258" i="18"/>
  <c r="C1258" i="18"/>
  <c r="B1258" i="18"/>
  <c r="D1257" i="18"/>
  <c r="C1257" i="18"/>
  <c r="B1257" i="18"/>
  <c r="D1256" i="18"/>
  <c r="C1256" i="18"/>
  <c r="B1256" i="18"/>
  <c r="D1255" i="18"/>
  <c r="C1255" i="18"/>
  <c r="B1255" i="18"/>
  <c r="D1254" i="18"/>
  <c r="C1254" i="18"/>
  <c r="B1254" i="18"/>
  <c r="D1253" i="18"/>
  <c r="C1253" i="18"/>
  <c r="B1253" i="18"/>
  <c r="D1252" i="18"/>
  <c r="C1252" i="18"/>
  <c r="B1252" i="18"/>
  <c r="D1251" i="18"/>
  <c r="C1251" i="18"/>
  <c r="B1251" i="18"/>
  <c r="D1250" i="18"/>
  <c r="C1250" i="18"/>
  <c r="B1250" i="18"/>
  <c r="D1249" i="18"/>
  <c r="C1249" i="18"/>
  <c r="B1249" i="18"/>
  <c r="D1248" i="18"/>
  <c r="C1248" i="18"/>
  <c r="B1248" i="18"/>
  <c r="D1247" i="18"/>
  <c r="C1247" i="18"/>
  <c r="B1247" i="18"/>
  <c r="D1246" i="18"/>
  <c r="C1246" i="18"/>
  <c r="B1246" i="18"/>
  <c r="D1245" i="18"/>
  <c r="C1245" i="18"/>
  <c r="B1245" i="18"/>
  <c r="D1244" i="18"/>
  <c r="C1244" i="18"/>
  <c r="B1244" i="18"/>
  <c r="D1243" i="18"/>
  <c r="C1243" i="18"/>
  <c r="B1243" i="18"/>
  <c r="D1242" i="18"/>
  <c r="C1242" i="18"/>
  <c r="B1242" i="18"/>
  <c r="D1241" i="18"/>
  <c r="C1241" i="18"/>
  <c r="B1241" i="18"/>
  <c r="D1240" i="18"/>
  <c r="C1240" i="18"/>
  <c r="B1240" i="18"/>
  <c r="D1239" i="18"/>
  <c r="C1239" i="18"/>
  <c r="B1239" i="18"/>
  <c r="D1238" i="18"/>
  <c r="C1238" i="18"/>
  <c r="B1238" i="18"/>
  <c r="D1237" i="18"/>
  <c r="C1237" i="18"/>
  <c r="B1237" i="18"/>
  <c r="D1236" i="18"/>
  <c r="C1236" i="18"/>
  <c r="B1236" i="18"/>
  <c r="D1235" i="18"/>
  <c r="C1235" i="18"/>
  <c r="B1235" i="18"/>
  <c r="D1234" i="18"/>
  <c r="C1234" i="18"/>
  <c r="B1234" i="18"/>
  <c r="D1233" i="18"/>
  <c r="C1233" i="18"/>
  <c r="B1233" i="18"/>
  <c r="D1232" i="18"/>
  <c r="C1232" i="18"/>
  <c r="B1232" i="18"/>
  <c r="D1231" i="18"/>
  <c r="C1231" i="18"/>
  <c r="B1231" i="18"/>
  <c r="D1230" i="18"/>
  <c r="C1230" i="18"/>
  <c r="B1230" i="18"/>
  <c r="D1229" i="18"/>
  <c r="C1229" i="18"/>
  <c r="B1229" i="18"/>
  <c r="D1228" i="18"/>
  <c r="C1228" i="18"/>
  <c r="B1228" i="18"/>
  <c r="D1227" i="18"/>
  <c r="C1227" i="18"/>
  <c r="B1227" i="18"/>
  <c r="D1226" i="18"/>
  <c r="C1226" i="18"/>
  <c r="B1226" i="18"/>
  <c r="D1225" i="18"/>
  <c r="C1225" i="18"/>
  <c r="B1225" i="18"/>
  <c r="D1224" i="18"/>
  <c r="C1224" i="18"/>
  <c r="B1224" i="18"/>
  <c r="D1223" i="18"/>
  <c r="C1223" i="18"/>
  <c r="B1223" i="18"/>
  <c r="D1222" i="18"/>
  <c r="C1222" i="18"/>
  <c r="B1222" i="18"/>
  <c r="D1221" i="18"/>
  <c r="C1221" i="18"/>
  <c r="B1221" i="18"/>
  <c r="D1220" i="18"/>
  <c r="C1220" i="18"/>
  <c r="B1220" i="18"/>
  <c r="D1219" i="18"/>
  <c r="C1219" i="18"/>
  <c r="B1219" i="18"/>
  <c r="D1218" i="18"/>
  <c r="C1218" i="18"/>
  <c r="B1218" i="18"/>
  <c r="D1217" i="18"/>
  <c r="C1217" i="18"/>
  <c r="B1217" i="18"/>
  <c r="D1216" i="18"/>
  <c r="C1216" i="18"/>
  <c r="B1216" i="18"/>
  <c r="D1215" i="18"/>
  <c r="C1215" i="18"/>
  <c r="B1215" i="18"/>
  <c r="D1214" i="18"/>
  <c r="C1214" i="18"/>
  <c r="B1214" i="18"/>
  <c r="D1213" i="18"/>
  <c r="C1213" i="18"/>
  <c r="B1213" i="18"/>
  <c r="D1212" i="18"/>
  <c r="C1212" i="18"/>
  <c r="B1212" i="18"/>
  <c r="D1211" i="18"/>
  <c r="C1211" i="18"/>
  <c r="B1211" i="18"/>
  <c r="D1210" i="18"/>
  <c r="C1210" i="18"/>
  <c r="B1210" i="18"/>
  <c r="D1209" i="18"/>
  <c r="C1209" i="18"/>
  <c r="B1209" i="18"/>
  <c r="D1208" i="18"/>
  <c r="C1208" i="18"/>
  <c r="B1208" i="18"/>
  <c r="D1207" i="18"/>
  <c r="C1207" i="18"/>
  <c r="B1207" i="18"/>
  <c r="D1206" i="18"/>
  <c r="C1206" i="18"/>
  <c r="B1206" i="18"/>
  <c r="D1205" i="18"/>
  <c r="C1205" i="18"/>
  <c r="B1205" i="18"/>
  <c r="D1204" i="18"/>
  <c r="C1204" i="18"/>
  <c r="B1204" i="18"/>
  <c r="D1203" i="18"/>
  <c r="C1203" i="18"/>
  <c r="B1203" i="18"/>
  <c r="D1202" i="18"/>
  <c r="C1202" i="18"/>
  <c r="B1202" i="18"/>
  <c r="D1201" i="18"/>
  <c r="C1201" i="18"/>
  <c r="B1201" i="18"/>
  <c r="D1200" i="18"/>
  <c r="C1200" i="18"/>
  <c r="B1200" i="18"/>
  <c r="D1199" i="18"/>
  <c r="C1199" i="18"/>
  <c r="B1199" i="18"/>
  <c r="D1198" i="18"/>
  <c r="C1198" i="18"/>
  <c r="B1198" i="18"/>
  <c r="D1197" i="18"/>
  <c r="C1197" i="18"/>
  <c r="B1197" i="18"/>
  <c r="D1196" i="18"/>
  <c r="C1196" i="18"/>
  <c r="B1196" i="18"/>
  <c r="D1195" i="18"/>
  <c r="C1195" i="18"/>
  <c r="B1195" i="18"/>
  <c r="D1194" i="18"/>
  <c r="C1194" i="18"/>
  <c r="B1194" i="18"/>
  <c r="D1193" i="18"/>
  <c r="C1193" i="18"/>
  <c r="B1193" i="18"/>
  <c r="D1192" i="18"/>
  <c r="C1192" i="18"/>
  <c r="B1192" i="18"/>
  <c r="D1191" i="18"/>
  <c r="C1191" i="18"/>
  <c r="B1191" i="18"/>
  <c r="D1190" i="18"/>
  <c r="C1190" i="18"/>
  <c r="B1190" i="18"/>
  <c r="D1189" i="18"/>
  <c r="C1189" i="18"/>
  <c r="B1189" i="18"/>
  <c r="D1188" i="18"/>
  <c r="C1188" i="18"/>
  <c r="B1188" i="18"/>
  <c r="D1187" i="18"/>
  <c r="C1187" i="18"/>
  <c r="B1187" i="18"/>
  <c r="D1186" i="18"/>
  <c r="C1186" i="18"/>
  <c r="B1186" i="18"/>
  <c r="D1185" i="18"/>
  <c r="C1185" i="18"/>
  <c r="B1185" i="18"/>
  <c r="D1184" i="18"/>
  <c r="C1184" i="18"/>
  <c r="B1184" i="18"/>
  <c r="D1183" i="18"/>
  <c r="C1183" i="18"/>
  <c r="B1183" i="18"/>
  <c r="D1182" i="18"/>
  <c r="C1182" i="18"/>
  <c r="B1182" i="18"/>
  <c r="D1181" i="18"/>
  <c r="C1181" i="18"/>
  <c r="B1181" i="18"/>
  <c r="D1180" i="18"/>
  <c r="C1180" i="18"/>
  <c r="B1180" i="18"/>
  <c r="D1179" i="18"/>
  <c r="C1179" i="18"/>
  <c r="B1179" i="18"/>
  <c r="D1178" i="18"/>
  <c r="C1178" i="18"/>
  <c r="B1178" i="18"/>
  <c r="D1177" i="18"/>
  <c r="C1177" i="18"/>
  <c r="B1177" i="18"/>
  <c r="D1176" i="18"/>
  <c r="C1176" i="18"/>
  <c r="B1176" i="18"/>
  <c r="D1175" i="18"/>
  <c r="C1175" i="18"/>
  <c r="B1175" i="18"/>
  <c r="D1174" i="18"/>
  <c r="C1174" i="18"/>
  <c r="B1174" i="18"/>
  <c r="D1173" i="18"/>
  <c r="C1173" i="18"/>
  <c r="B1173" i="18"/>
  <c r="D1172" i="18"/>
  <c r="C1172" i="18"/>
  <c r="B1172" i="18"/>
  <c r="D1171" i="18"/>
  <c r="C1171" i="18"/>
  <c r="B1171" i="18"/>
  <c r="D1170" i="18"/>
  <c r="C1170" i="18"/>
  <c r="B1170" i="18"/>
  <c r="D1169" i="18"/>
  <c r="C1169" i="18"/>
  <c r="B1169" i="18"/>
  <c r="D1168" i="18"/>
  <c r="C1168" i="18"/>
  <c r="B1168" i="18"/>
  <c r="D1167" i="18"/>
  <c r="C1167" i="18"/>
  <c r="B1167" i="18"/>
  <c r="D1166" i="18"/>
  <c r="C1166" i="18"/>
  <c r="B1166" i="18"/>
  <c r="D1165" i="18"/>
  <c r="C1165" i="18"/>
  <c r="B1165" i="18"/>
  <c r="D1164" i="18"/>
  <c r="C1164" i="18"/>
  <c r="B1164" i="18"/>
  <c r="D1163" i="18"/>
  <c r="C1163" i="18"/>
  <c r="B1163" i="18"/>
  <c r="D1162" i="18"/>
  <c r="C1162" i="18"/>
  <c r="B1162" i="18"/>
  <c r="D1161" i="18"/>
  <c r="C1161" i="18"/>
  <c r="B1161" i="18"/>
  <c r="D1160" i="18"/>
  <c r="C1160" i="18"/>
  <c r="B1160" i="18"/>
  <c r="D1159" i="18"/>
  <c r="C1159" i="18"/>
  <c r="B1159" i="18"/>
  <c r="D1158" i="18"/>
  <c r="C1158" i="18"/>
  <c r="B1158" i="18"/>
  <c r="D1157" i="18"/>
  <c r="C1157" i="18"/>
  <c r="B1157" i="18"/>
  <c r="D1156" i="18"/>
  <c r="C1156" i="18"/>
  <c r="B1156" i="18"/>
  <c r="D1155" i="18"/>
  <c r="C1155" i="18"/>
  <c r="B1155" i="18"/>
  <c r="D1154" i="18"/>
  <c r="C1154" i="18"/>
  <c r="B1154" i="18"/>
  <c r="D1153" i="18"/>
  <c r="C1153" i="18"/>
  <c r="B1153" i="18"/>
  <c r="D1152" i="18"/>
  <c r="C1152" i="18"/>
  <c r="B1152" i="18"/>
  <c r="D1151" i="18"/>
  <c r="C1151" i="18"/>
  <c r="B1151" i="18"/>
  <c r="D1150" i="18"/>
  <c r="C1150" i="18"/>
  <c r="B1150" i="18"/>
  <c r="D1149" i="18"/>
  <c r="C1149" i="18"/>
  <c r="B1149" i="18"/>
  <c r="D1148" i="18"/>
  <c r="C1148" i="18"/>
  <c r="B1148" i="18"/>
  <c r="D1147" i="18"/>
  <c r="C1147" i="18"/>
  <c r="B1147" i="18"/>
  <c r="D1146" i="18"/>
  <c r="C1146" i="18"/>
  <c r="B1146" i="18"/>
  <c r="D1145" i="18"/>
  <c r="C1145" i="18"/>
  <c r="B1145" i="18"/>
  <c r="D1144" i="18"/>
  <c r="C1144" i="18"/>
  <c r="B1144" i="18"/>
  <c r="D1143" i="18"/>
  <c r="C1143" i="18"/>
  <c r="B1143" i="18"/>
  <c r="D1142" i="18"/>
  <c r="C1142" i="18"/>
  <c r="B1142" i="18"/>
  <c r="D1141" i="18"/>
  <c r="C1141" i="18"/>
  <c r="B1141" i="18"/>
  <c r="D1140" i="18"/>
  <c r="C1140" i="18"/>
  <c r="B1140" i="18"/>
  <c r="D1139" i="18"/>
  <c r="C1139" i="18"/>
  <c r="B1139" i="18"/>
  <c r="D1138" i="18"/>
  <c r="C1138" i="18"/>
  <c r="B1138" i="18"/>
  <c r="D1137" i="18"/>
  <c r="C1137" i="18"/>
  <c r="B1137" i="18"/>
  <c r="D1136" i="18"/>
  <c r="C1136" i="18"/>
  <c r="B1136" i="18"/>
  <c r="D1135" i="18"/>
  <c r="C1135" i="18"/>
  <c r="B1135" i="18"/>
  <c r="D1134" i="18"/>
  <c r="C1134" i="18"/>
  <c r="B1134" i="18"/>
  <c r="D1133" i="18"/>
  <c r="C1133" i="18"/>
  <c r="B1133" i="18"/>
  <c r="D1132" i="18"/>
  <c r="C1132" i="18"/>
  <c r="B1132" i="18"/>
  <c r="D1131" i="18"/>
  <c r="C1131" i="18"/>
  <c r="B1131" i="18"/>
  <c r="D1130" i="18"/>
  <c r="C1130" i="18"/>
  <c r="B1130" i="18"/>
  <c r="D1129" i="18"/>
  <c r="C1129" i="18"/>
  <c r="B1129" i="18"/>
  <c r="D1128" i="18"/>
  <c r="C1128" i="18"/>
  <c r="B1128" i="18"/>
  <c r="D1127" i="18"/>
  <c r="C1127" i="18"/>
  <c r="B1127" i="18"/>
  <c r="D1126" i="18"/>
  <c r="C1126" i="18"/>
  <c r="B1126" i="18"/>
  <c r="D1125" i="18"/>
  <c r="C1125" i="18"/>
  <c r="B1125" i="18"/>
  <c r="D1124" i="18"/>
  <c r="C1124" i="18"/>
  <c r="B1124" i="18"/>
  <c r="D1123" i="18"/>
  <c r="C1123" i="18"/>
  <c r="B1123" i="18"/>
  <c r="D1122" i="18"/>
  <c r="C1122" i="18"/>
  <c r="B1122" i="18"/>
  <c r="D1121" i="18"/>
  <c r="C1121" i="18"/>
  <c r="B1121" i="18"/>
  <c r="D1120" i="18"/>
  <c r="C1120" i="18"/>
  <c r="B1120" i="18"/>
  <c r="D1119" i="18"/>
  <c r="C1119" i="18"/>
  <c r="B1119" i="18"/>
  <c r="D1118" i="18"/>
  <c r="C1118" i="18"/>
  <c r="B1118" i="18"/>
  <c r="D1117" i="18"/>
  <c r="C1117" i="18"/>
  <c r="B1117" i="18"/>
  <c r="D1116" i="18"/>
  <c r="C1116" i="18"/>
  <c r="B1116" i="18"/>
  <c r="D1115" i="18"/>
  <c r="C1115" i="18"/>
  <c r="B1115" i="18"/>
  <c r="D1114" i="18"/>
  <c r="C1114" i="18"/>
  <c r="B1114" i="18"/>
  <c r="D1113" i="18"/>
  <c r="C1113" i="18"/>
  <c r="B1113" i="18"/>
  <c r="D1112" i="18"/>
  <c r="C1112" i="18"/>
  <c r="B1112" i="18"/>
  <c r="D1111" i="18"/>
  <c r="C1111" i="18"/>
  <c r="B1111" i="18"/>
  <c r="D1110" i="18"/>
  <c r="C1110" i="18"/>
  <c r="B1110" i="18"/>
  <c r="D1109" i="18"/>
  <c r="C1109" i="18"/>
  <c r="B1109" i="18"/>
  <c r="D1108" i="18"/>
  <c r="C1108" i="18"/>
  <c r="B1108" i="18"/>
  <c r="D1107" i="18"/>
  <c r="C1107" i="18"/>
  <c r="B1107" i="18"/>
  <c r="D1106" i="18"/>
  <c r="C1106" i="18"/>
  <c r="B1106" i="18"/>
  <c r="D1105" i="18"/>
  <c r="C1105" i="18"/>
  <c r="B1105" i="18"/>
  <c r="D1104" i="18"/>
  <c r="C1104" i="18"/>
  <c r="B1104" i="18"/>
  <c r="D1103" i="18"/>
  <c r="C1103" i="18"/>
  <c r="B1103" i="18"/>
  <c r="D1102" i="18"/>
  <c r="C1102" i="18"/>
  <c r="B1102" i="18"/>
  <c r="D1101" i="18"/>
  <c r="C1101" i="18"/>
  <c r="B1101" i="18"/>
  <c r="D1100" i="18"/>
  <c r="C1100" i="18"/>
  <c r="B1100" i="18"/>
  <c r="D1099" i="18"/>
  <c r="C1099" i="18"/>
  <c r="B1099" i="18"/>
  <c r="D1098" i="18"/>
  <c r="C1098" i="18"/>
  <c r="B1098" i="18"/>
  <c r="D1097" i="18"/>
  <c r="C1097" i="18"/>
  <c r="B1097" i="18"/>
  <c r="D1096" i="18"/>
  <c r="C1096" i="18"/>
  <c r="B1096" i="18"/>
  <c r="D1095" i="18"/>
  <c r="C1095" i="18"/>
  <c r="B1095" i="18"/>
  <c r="D1094" i="18"/>
  <c r="C1094" i="18"/>
  <c r="B1094" i="18"/>
  <c r="D1093" i="18"/>
  <c r="C1093" i="18"/>
  <c r="B1093" i="18"/>
  <c r="D1092" i="18"/>
  <c r="C1092" i="18"/>
  <c r="B1092" i="18"/>
  <c r="D1091" i="18"/>
  <c r="C1091" i="18"/>
  <c r="B1091" i="18"/>
  <c r="D1090" i="18"/>
  <c r="C1090" i="18"/>
  <c r="B1090" i="18"/>
  <c r="D1089" i="18"/>
  <c r="C1089" i="18"/>
  <c r="B1089" i="18"/>
  <c r="D1088" i="18"/>
  <c r="C1088" i="18"/>
  <c r="B1088" i="18"/>
  <c r="D1087" i="18"/>
  <c r="C1087" i="18"/>
  <c r="B1087" i="18"/>
  <c r="D1086" i="18"/>
  <c r="C1086" i="18"/>
  <c r="B1086" i="18"/>
  <c r="D1085" i="18"/>
  <c r="C1085" i="18"/>
  <c r="B1085" i="18"/>
  <c r="D1084" i="18"/>
  <c r="C1084" i="18"/>
  <c r="B1084" i="18"/>
  <c r="D1083" i="18"/>
  <c r="C1083" i="18"/>
  <c r="B1083" i="18"/>
  <c r="D1082" i="18"/>
  <c r="C1082" i="18"/>
  <c r="B1082" i="18"/>
  <c r="D1081" i="18"/>
  <c r="C1081" i="18"/>
  <c r="B1081" i="18"/>
  <c r="D1080" i="18"/>
  <c r="C1080" i="18"/>
  <c r="B1080" i="18"/>
  <c r="D1079" i="18"/>
  <c r="C1079" i="18"/>
  <c r="B1079" i="18"/>
  <c r="D1078" i="18"/>
  <c r="C1078" i="18"/>
  <c r="B1078" i="18"/>
  <c r="D1077" i="18"/>
  <c r="C1077" i="18"/>
  <c r="B1077" i="18"/>
  <c r="D1076" i="18"/>
  <c r="C1076" i="18"/>
  <c r="B1076" i="18"/>
  <c r="D1075" i="18"/>
  <c r="C1075" i="18"/>
  <c r="B1075" i="18"/>
  <c r="D1074" i="18"/>
  <c r="C1074" i="18"/>
  <c r="B1074" i="18"/>
  <c r="D1073" i="18"/>
  <c r="C1073" i="18"/>
  <c r="B1073" i="18"/>
  <c r="D1072" i="18"/>
  <c r="C1072" i="18"/>
  <c r="B1072" i="18"/>
  <c r="D1071" i="18"/>
  <c r="C1071" i="18"/>
  <c r="B1071" i="18"/>
  <c r="D1070" i="18"/>
  <c r="C1070" i="18"/>
  <c r="B1070" i="18"/>
  <c r="D1069" i="18"/>
  <c r="C1069" i="18"/>
  <c r="B1069" i="18"/>
  <c r="D1068" i="18"/>
  <c r="C1068" i="18"/>
  <c r="B1068" i="18"/>
  <c r="D1067" i="18"/>
  <c r="C1067" i="18"/>
  <c r="B1067" i="18"/>
  <c r="D1066" i="18"/>
  <c r="C1066" i="18"/>
  <c r="B1066" i="18"/>
  <c r="D1065" i="18"/>
  <c r="C1065" i="18"/>
  <c r="B1065" i="18"/>
  <c r="D1064" i="18"/>
  <c r="C1064" i="18"/>
  <c r="B1064" i="18"/>
  <c r="D1063" i="18"/>
  <c r="C1063" i="18"/>
  <c r="B1063" i="18"/>
  <c r="D1062" i="18"/>
  <c r="C1062" i="18"/>
  <c r="B1062" i="18"/>
  <c r="D1061" i="18"/>
  <c r="C1061" i="18"/>
  <c r="B1061" i="18"/>
  <c r="D1060" i="18"/>
  <c r="C1060" i="18"/>
  <c r="B1060" i="18"/>
  <c r="D1059" i="18"/>
  <c r="C1059" i="18"/>
  <c r="B1059" i="18"/>
  <c r="D1058" i="18"/>
  <c r="C1058" i="18"/>
  <c r="B1058" i="18"/>
  <c r="D1057" i="18"/>
  <c r="C1057" i="18"/>
  <c r="B1057" i="18"/>
  <c r="D1056" i="18"/>
  <c r="C1056" i="18"/>
  <c r="B1056" i="18"/>
  <c r="D1055" i="18"/>
  <c r="C1055" i="18"/>
  <c r="B1055" i="18"/>
  <c r="D1054" i="18"/>
  <c r="C1054" i="18"/>
  <c r="B1054" i="18"/>
  <c r="D1053" i="18"/>
  <c r="C1053" i="18"/>
  <c r="B1053" i="18"/>
  <c r="D1052" i="18"/>
  <c r="C1052" i="18"/>
  <c r="B1052" i="18"/>
  <c r="D1051" i="18"/>
  <c r="C1051" i="18"/>
  <c r="B1051" i="18"/>
  <c r="D1050" i="18"/>
  <c r="C1050" i="18"/>
  <c r="B1050" i="18"/>
  <c r="D1049" i="18"/>
  <c r="C1049" i="18"/>
  <c r="B1049" i="18"/>
  <c r="D1048" i="18"/>
  <c r="C1048" i="18"/>
  <c r="B1048" i="18"/>
  <c r="D1047" i="18"/>
  <c r="C1047" i="18"/>
  <c r="B1047" i="18"/>
  <c r="D1046" i="18"/>
  <c r="C1046" i="18"/>
  <c r="B1046" i="18"/>
  <c r="D1045" i="18"/>
  <c r="C1045" i="18"/>
  <c r="B1045" i="18"/>
  <c r="D1044" i="18"/>
  <c r="C1044" i="18"/>
  <c r="B1044" i="18"/>
  <c r="D1043" i="18"/>
  <c r="C1043" i="18"/>
  <c r="B1043" i="18"/>
  <c r="D1042" i="18"/>
  <c r="C1042" i="18"/>
  <c r="B1042" i="18"/>
  <c r="D1041" i="18"/>
  <c r="C1041" i="18"/>
  <c r="B1041" i="18"/>
  <c r="D1040" i="18"/>
  <c r="C1040" i="18"/>
  <c r="B1040" i="18"/>
  <c r="D1039" i="18"/>
  <c r="C1039" i="18"/>
  <c r="B1039" i="18"/>
  <c r="D1038" i="18"/>
  <c r="C1038" i="18"/>
  <c r="B1038" i="18"/>
  <c r="D1037" i="18"/>
  <c r="C1037" i="18"/>
  <c r="B1037" i="18"/>
  <c r="D1036" i="18"/>
  <c r="C1036" i="18"/>
  <c r="B1036" i="18"/>
  <c r="D1035" i="18"/>
  <c r="C1035" i="18"/>
  <c r="B1035" i="18"/>
  <c r="D1034" i="18"/>
  <c r="C1034" i="18"/>
  <c r="B1034" i="18"/>
  <c r="D1033" i="18"/>
  <c r="C1033" i="18"/>
  <c r="B1033" i="18"/>
  <c r="D1032" i="18"/>
  <c r="C1032" i="18"/>
  <c r="B1032" i="18"/>
  <c r="D1031" i="18"/>
  <c r="C1031" i="18"/>
  <c r="B1031" i="18"/>
  <c r="D1030" i="18"/>
  <c r="C1030" i="18"/>
  <c r="B1030" i="18"/>
  <c r="D1029" i="18"/>
  <c r="C1029" i="18"/>
  <c r="B1029" i="18"/>
  <c r="D1028" i="18"/>
  <c r="C1028" i="18"/>
  <c r="B1028" i="18"/>
  <c r="D1027" i="18"/>
  <c r="C1027" i="18"/>
  <c r="B1027" i="18"/>
  <c r="D1026" i="18"/>
  <c r="C1026" i="18"/>
  <c r="B1026" i="18"/>
  <c r="D1025" i="18"/>
  <c r="C1025" i="18"/>
  <c r="B1025" i="18"/>
  <c r="D1024" i="18"/>
  <c r="C1024" i="18"/>
  <c r="B1024" i="18"/>
  <c r="D1023" i="18"/>
  <c r="C1023" i="18"/>
  <c r="B1023" i="18"/>
  <c r="D1022" i="18"/>
  <c r="C1022" i="18"/>
  <c r="B1022" i="18"/>
  <c r="D1021" i="18"/>
  <c r="C1021" i="18"/>
  <c r="B1021" i="18"/>
  <c r="D1020" i="18"/>
  <c r="C1020" i="18"/>
  <c r="B1020" i="18"/>
  <c r="D1019" i="18"/>
  <c r="C1019" i="18"/>
  <c r="B1019" i="18"/>
  <c r="D1018" i="18"/>
  <c r="C1018" i="18"/>
  <c r="B1018" i="18"/>
  <c r="D1017" i="18"/>
  <c r="C1017" i="18"/>
  <c r="B1017" i="18"/>
  <c r="D1016" i="18"/>
  <c r="C1016" i="18"/>
  <c r="B1016" i="18"/>
  <c r="D1015" i="18"/>
  <c r="C1015" i="18"/>
  <c r="B1015" i="18"/>
  <c r="D1014" i="18"/>
  <c r="C1014" i="18"/>
  <c r="B1014" i="18"/>
  <c r="D1013" i="18"/>
  <c r="C1013" i="18"/>
  <c r="B1013" i="18"/>
  <c r="D1012" i="18"/>
  <c r="C1012" i="18"/>
  <c r="B1012" i="18"/>
  <c r="D1011" i="18"/>
  <c r="C1011" i="18"/>
  <c r="B1011" i="18"/>
  <c r="D1010" i="18"/>
  <c r="C1010" i="18"/>
  <c r="B1010" i="18"/>
  <c r="D1009" i="18"/>
  <c r="C1009" i="18"/>
  <c r="B1009" i="18"/>
  <c r="D1008" i="18"/>
  <c r="C1008" i="18"/>
  <c r="B1008" i="18"/>
  <c r="D1007" i="18"/>
  <c r="C1007" i="18"/>
  <c r="B1007" i="18"/>
  <c r="D1006" i="18"/>
  <c r="C1006" i="18"/>
  <c r="B1006" i="18"/>
  <c r="D1005" i="18"/>
  <c r="C1005" i="18"/>
  <c r="B1005" i="18"/>
  <c r="D1004" i="18"/>
  <c r="C1004" i="18"/>
  <c r="B1004" i="18"/>
  <c r="D1003" i="18"/>
  <c r="C1003" i="18"/>
  <c r="B1003" i="18"/>
  <c r="D1002" i="18"/>
  <c r="C1002" i="18"/>
  <c r="B1002" i="18"/>
  <c r="D1001" i="18"/>
  <c r="C1001" i="18"/>
  <c r="B1001" i="18"/>
  <c r="D1000" i="18"/>
  <c r="C1000" i="18"/>
  <c r="B1000" i="18"/>
  <c r="D999" i="18"/>
  <c r="C999" i="18"/>
  <c r="B999" i="18"/>
  <c r="D998" i="18"/>
  <c r="C998" i="18"/>
  <c r="B998" i="18"/>
  <c r="D997" i="18"/>
  <c r="C997" i="18"/>
  <c r="B997" i="18"/>
  <c r="D996" i="18"/>
  <c r="C996" i="18"/>
  <c r="B996" i="18"/>
  <c r="D995" i="18"/>
  <c r="C995" i="18"/>
  <c r="B995" i="18"/>
  <c r="D994" i="18"/>
  <c r="C994" i="18"/>
  <c r="B994" i="18"/>
  <c r="D993" i="18"/>
  <c r="C993" i="18"/>
  <c r="B993" i="18"/>
  <c r="D992" i="18"/>
  <c r="C992" i="18"/>
  <c r="B992" i="18"/>
  <c r="D991" i="18"/>
  <c r="C991" i="18"/>
  <c r="B991" i="18"/>
  <c r="D990" i="18"/>
  <c r="C990" i="18"/>
  <c r="B990" i="18"/>
  <c r="D989" i="18"/>
  <c r="C989" i="18"/>
  <c r="B989" i="18"/>
  <c r="D988" i="18"/>
  <c r="C988" i="18"/>
  <c r="B988" i="18"/>
  <c r="D987" i="18"/>
  <c r="C987" i="18"/>
  <c r="B987" i="18"/>
  <c r="D986" i="18"/>
  <c r="C986" i="18"/>
  <c r="B986" i="18"/>
  <c r="D985" i="18"/>
  <c r="C985" i="18"/>
  <c r="B985" i="18"/>
  <c r="D984" i="18"/>
  <c r="C984" i="18"/>
  <c r="B984" i="18"/>
  <c r="D983" i="18"/>
  <c r="C983" i="18"/>
  <c r="B983" i="18"/>
  <c r="D982" i="18"/>
  <c r="C982" i="18"/>
  <c r="B982" i="18"/>
  <c r="D981" i="18"/>
  <c r="C981" i="18"/>
  <c r="B981" i="18"/>
  <c r="D980" i="18"/>
  <c r="C980" i="18"/>
  <c r="B980" i="18"/>
  <c r="D979" i="18"/>
  <c r="C979" i="18"/>
  <c r="B979" i="18"/>
  <c r="D978" i="18"/>
  <c r="C978" i="18"/>
  <c r="B978" i="18"/>
  <c r="D977" i="18"/>
  <c r="C977" i="18"/>
  <c r="B977" i="18"/>
  <c r="D976" i="18"/>
  <c r="C976" i="18"/>
  <c r="B976" i="18"/>
  <c r="D975" i="18"/>
  <c r="C975" i="18"/>
  <c r="B975" i="18"/>
  <c r="D974" i="18"/>
  <c r="C974" i="18"/>
  <c r="B974" i="18"/>
  <c r="D973" i="18"/>
  <c r="C973" i="18"/>
  <c r="B973" i="18"/>
  <c r="D972" i="18"/>
  <c r="C972" i="18"/>
  <c r="B972" i="18"/>
  <c r="D971" i="18"/>
  <c r="C971" i="18"/>
  <c r="B971" i="18"/>
  <c r="D970" i="18"/>
  <c r="C970" i="18"/>
  <c r="B970" i="18"/>
  <c r="D969" i="18"/>
  <c r="C969" i="18"/>
  <c r="B969" i="18"/>
  <c r="D968" i="18"/>
  <c r="C968" i="18"/>
  <c r="B968" i="18"/>
  <c r="D967" i="18"/>
  <c r="C967" i="18"/>
  <c r="B967" i="18"/>
  <c r="D966" i="18"/>
  <c r="C966" i="18"/>
  <c r="B966" i="18"/>
  <c r="D965" i="18"/>
  <c r="C965" i="18"/>
  <c r="B965" i="18"/>
  <c r="D964" i="18"/>
  <c r="C964" i="18"/>
  <c r="B964" i="18"/>
  <c r="D963" i="18"/>
  <c r="C963" i="18"/>
  <c r="B963" i="18"/>
  <c r="D962" i="18"/>
  <c r="C962" i="18"/>
  <c r="B962" i="18"/>
  <c r="D961" i="18"/>
  <c r="C961" i="18"/>
  <c r="B961" i="18"/>
  <c r="D960" i="18"/>
  <c r="C960" i="18"/>
  <c r="B960" i="18"/>
  <c r="D959" i="18"/>
  <c r="C959" i="18"/>
  <c r="B959" i="18"/>
  <c r="D958" i="18"/>
  <c r="C958" i="18"/>
  <c r="B958" i="18"/>
  <c r="D957" i="18"/>
  <c r="C957" i="18"/>
  <c r="B957" i="18"/>
  <c r="D956" i="18"/>
  <c r="C956" i="18"/>
  <c r="B956" i="18"/>
  <c r="D955" i="18"/>
  <c r="C955" i="18"/>
  <c r="B955" i="18"/>
  <c r="D954" i="18"/>
  <c r="C954" i="18"/>
  <c r="B954" i="18"/>
  <c r="D953" i="18"/>
  <c r="C953" i="18"/>
  <c r="B953" i="18"/>
  <c r="D952" i="18"/>
  <c r="C952" i="18"/>
  <c r="B952" i="18"/>
  <c r="D951" i="18"/>
  <c r="C951" i="18"/>
  <c r="B951" i="18"/>
  <c r="D950" i="18"/>
  <c r="C950" i="18"/>
  <c r="B950" i="18"/>
  <c r="D949" i="18"/>
  <c r="C949" i="18"/>
  <c r="B949" i="18"/>
  <c r="D948" i="18"/>
  <c r="C948" i="18"/>
  <c r="B948" i="18"/>
  <c r="D947" i="18"/>
  <c r="C947" i="18"/>
  <c r="B947" i="18"/>
  <c r="D946" i="18"/>
  <c r="C946" i="18"/>
  <c r="B946" i="18"/>
  <c r="D945" i="18"/>
  <c r="C945" i="18"/>
  <c r="B945" i="18"/>
  <c r="D944" i="18"/>
  <c r="C944" i="18"/>
  <c r="B944" i="18"/>
  <c r="D943" i="18"/>
  <c r="C943" i="18"/>
  <c r="B943" i="18"/>
  <c r="D942" i="18"/>
  <c r="C942" i="18"/>
  <c r="B942" i="18"/>
  <c r="D941" i="18"/>
  <c r="C941" i="18"/>
  <c r="B941" i="18"/>
  <c r="D940" i="18"/>
  <c r="C940" i="18"/>
  <c r="B940" i="18"/>
  <c r="D939" i="18"/>
  <c r="C939" i="18"/>
  <c r="B939" i="18"/>
  <c r="D938" i="18"/>
  <c r="C938" i="18"/>
  <c r="B938" i="18"/>
  <c r="D937" i="18"/>
  <c r="C937" i="18"/>
  <c r="B937" i="18"/>
  <c r="D936" i="18"/>
  <c r="C936" i="18"/>
  <c r="B936" i="18"/>
  <c r="D935" i="18"/>
  <c r="C935" i="18"/>
  <c r="B935" i="18"/>
  <c r="D934" i="18"/>
  <c r="C934" i="18"/>
  <c r="B934" i="18"/>
  <c r="D933" i="18"/>
  <c r="C933" i="18"/>
  <c r="B933" i="18"/>
  <c r="D932" i="18"/>
  <c r="C932" i="18"/>
  <c r="B932" i="18"/>
  <c r="D931" i="18"/>
  <c r="C931" i="18"/>
  <c r="B931" i="18"/>
  <c r="D930" i="18"/>
  <c r="C930" i="18"/>
  <c r="B930" i="18"/>
  <c r="D929" i="18"/>
  <c r="C929" i="18"/>
  <c r="B929" i="18"/>
  <c r="D928" i="18"/>
  <c r="C928" i="18"/>
  <c r="B928" i="18"/>
  <c r="D927" i="18"/>
  <c r="C927" i="18"/>
  <c r="B927" i="18"/>
  <c r="D926" i="18"/>
  <c r="C926" i="18"/>
  <c r="B926" i="18"/>
  <c r="D925" i="18"/>
  <c r="C925" i="18"/>
  <c r="B925" i="18"/>
  <c r="D924" i="18"/>
  <c r="C924" i="18"/>
  <c r="B924" i="18"/>
  <c r="D923" i="18"/>
  <c r="C923" i="18"/>
  <c r="B923" i="18"/>
  <c r="D922" i="18"/>
  <c r="C922" i="18"/>
  <c r="B922" i="18"/>
  <c r="D921" i="18"/>
  <c r="C921" i="18"/>
  <c r="B921" i="18"/>
  <c r="D920" i="18"/>
  <c r="C920" i="18"/>
  <c r="B920" i="18"/>
  <c r="D919" i="18"/>
  <c r="C919" i="18"/>
  <c r="B919" i="18"/>
  <c r="D918" i="18"/>
  <c r="C918" i="18"/>
  <c r="B918" i="18"/>
  <c r="D917" i="18"/>
  <c r="C917" i="18"/>
  <c r="B917" i="18"/>
  <c r="D916" i="18"/>
  <c r="C916" i="18"/>
  <c r="B916" i="18"/>
  <c r="D915" i="18"/>
  <c r="C915" i="18"/>
  <c r="B915" i="18"/>
  <c r="D914" i="18"/>
  <c r="C914" i="18"/>
  <c r="B914" i="18"/>
  <c r="D913" i="18"/>
  <c r="C913" i="18"/>
  <c r="B913" i="18"/>
  <c r="D912" i="18"/>
  <c r="C912" i="18"/>
  <c r="B912" i="18"/>
  <c r="D911" i="18"/>
  <c r="C911" i="18"/>
  <c r="B911" i="18"/>
  <c r="D910" i="18"/>
  <c r="C910" i="18"/>
  <c r="B910" i="18"/>
  <c r="D909" i="18"/>
  <c r="C909" i="18"/>
  <c r="B909" i="18"/>
  <c r="D908" i="18"/>
  <c r="C908" i="18"/>
  <c r="B908" i="18"/>
  <c r="D907" i="18"/>
  <c r="C907" i="18"/>
  <c r="B907" i="18"/>
  <c r="D906" i="18"/>
  <c r="C906" i="18"/>
  <c r="B906" i="18"/>
  <c r="D905" i="18"/>
  <c r="C905" i="18"/>
  <c r="B905" i="18"/>
  <c r="D904" i="18"/>
  <c r="C904" i="18"/>
  <c r="B904" i="18"/>
  <c r="D903" i="18"/>
  <c r="C903" i="18"/>
  <c r="B903" i="18"/>
  <c r="D902" i="18"/>
  <c r="C902" i="18"/>
  <c r="B902" i="18"/>
  <c r="D901" i="18"/>
  <c r="C901" i="18"/>
  <c r="B901" i="18"/>
  <c r="D900" i="18"/>
  <c r="C900" i="18"/>
  <c r="B900" i="18"/>
  <c r="D899" i="18"/>
  <c r="C899" i="18"/>
  <c r="B899" i="18"/>
  <c r="D898" i="18"/>
  <c r="C898" i="18"/>
  <c r="B898" i="18"/>
  <c r="D897" i="18"/>
  <c r="C897" i="18"/>
  <c r="B897" i="18"/>
  <c r="D896" i="18"/>
  <c r="C896" i="18"/>
  <c r="B896" i="18"/>
  <c r="D895" i="18"/>
  <c r="C895" i="18"/>
  <c r="B895" i="18"/>
  <c r="D894" i="18"/>
  <c r="C894" i="18"/>
  <c r="B894" i="18"/>
  <c r="D893" i="18"/>
  <c r="C893" i="18"/>
  <c r="B893" i="18"/>
  <c r="D892" i="18"/>
  <c r="C892" i="18"/>
  <c r="B892" i="18"/>
  <c r="D891" i="18"/>
  <c r="C891" i="18"/>
  <c r="B891" i="18"/>
  <c r="D890" i="18"/>
  <c r="C890" i="18"/>
  <c r="B890" i="18"/>
  <c r="D889" i="18"/>
  <c r="C889" i="18"/>
  <c r="B889" i="18"/>
  <c r="D888" i="18"/>
  <c r="C888" i="18"/>
  <c r="B888" i="18"/>
  <c r="D887" i="18"/>
  <c r="C887" i="18"/>
  <c r="B887" i="18"/>
  <c r="D886" i="18"/>
  <c r="C886" i="18"/>
  <c r="B886" i="18"/>
  <c r="D885" i="18"/>
  <c r="C885" i="18"/>
  <c r="B885" i="18"/>
  <c r="D884" i="18"/>
  <c r="C884" i="18"/>
  <c r="B884" i="18"/>
  <c r="D883" i="18"/>
  <c r="C883" i="18"/>
  <c r="B883" i="18"/>
  <c r="D882" i="18"/>
  <c r="C882" i="18"/>
  <c r="B882" i="18"/>
  <c r="D881" i="18"/>
  <c r="C881" i="18"/>
  <c r="B881" i="18"/>
  <c r="D880" i="18"/>
  <c r="C880" i="18"/>
  <c r="B880" i="18"/>
  <c r="D879" i="18"/>
  <c r="C879" i="18"/>
  <c r="B879" i="18"/>
  <c r="D878" i="18"/>
  <c r="C878" i="18"/>
  <c r="B878" i="18"/>
  <c r="D877" i="18"/>
  <c r="C877" i="18"/>
  <c r="B877" i="18"/>
  <c r="D876" i="18"/>
  <c r="C876" i="18"/>
  <c r="B876" i="18"/>
  <c r="D875" i="18"/>
  <c r="C875" i="18"/>
  <c r="B875" i="18"/>
  <c r="D874" i="18"/>
  <c r="C874" i="18"/>
  <c r="B874" i="18"/>
  <c r="D873" i="18"/>
  <c r="C873" i="18"/>
  <c r="B873" i="18"/>
  <c r="D872" i="18"/>
  <c r="C872" i="18"/>
  <c r="B872" i="18"/>
  <c r="D871" i="18"/>
  <c r="C871" i="18"/>
  <c r="B871" i="18"/>
  <c r="D870" i="18"/>
  <c r="C870" i="18"/>
  <c r="B870" i="18"/>
  <c r="D869" i="18"/>
  <c r="C869" i="18"/>
  <c r="B869" i="18"/>
  <c r="D868" i="18"/>
  <c r="C868" i="18"/>
  <c r="B868" i="18"/>
  <c r="D867" i="18"/>
  <c r="C867" i="18"/>
  <c r="B867" i="18"/>
  <c r="D866" i="18"/>
  <c r="C866" i="18"/>
  <c r="B866" i="18"/>
  <c r="D865" i="18"/>
  <c r="C865" i="18"/>
  <c r="B865" i="18"/>
  <c r="D864" i="18"/>
  <c r="C864" i="18"/>
  <c r="B864" i="18"/>
  <c r="D863" i="18"/>
  <c r="C863" i="18"/>
  <c r="B863" i="18"/>
  <c r="D862" i="18"/>
  <c r="C862" i="18"/>
  <c r="B862" i="18"/>
  <c r="D861" i="18"/>
  <c r="C861" i="18"/>
  <c r="B861" i="18"/>
  <c r="D860" i="18"/>
  <c r="C860" i="18"/>
  <c r="B860" i="18"/>
  <c r="D859" i="18"/>
  <c r="C859" i="18"/>
  <c r="B859" i="18"/>
  <c r="D858" i="18"/>
  <c r="C858" i="18"/>
  <c r="B858" i="18"/>
  <c r="D857" i="18"/>
  <c r="C857" i="18"/>
  <c r="B857" i="18"/>
  <c r="D856" i="18"/>
  <c r="C856" i="18"/>
  <c r="B856" i="18"/>
  <c r="D855" i="18"/>
  <c r="C855" i="18"/>
  <c r="B855" i="18"/>
  <c r="D854" i="18"/>
  <c r="C854" i="18"/>
  <c r="B854" i="18"/>
  <c r="D853" i="18"/>
  <c r="C853" i="18"/>
  <c r="B853" i="18"/>
  <c r="D852" i="18"/>
  <c r="C852" i="18"/>
  <c r="B852" i="18"/>
  <c r="D851" i="18"/>
  <c r="C851" i="18"/>
  <c r="B851" i="18"/>
  <c r="D850" i="18"/>
  <c r="C850" i="18"/>
  <c r="B850" i="18"/>
  <c r="D849" i="18"/>
  <c r="C849" i="18"/>
  <c r="B849" i="18"/>
  <c r="D848" i="18"/>
  <c r="C848" i="18"/>
  <c r="B848" i="18"/>
  <c r="D847" i="18"/>
  <c r="C847" i="18"/>
  <c r="B847" i="18"/>
  <c r="D846" i="18"/>
  <c r="C846" i="18"/>
  <c r="B846" i="18"/>
  <c r="D845" i="18"/>
  <c r="C845" i="18"/>
  <c r="B845" i="18"/>
  <c r="D844" i="18"/>
  <c r="C844" i="18"/>
  <c r="B844" i="18"/>
  <c r="D843" i="18"/>
  <c r="C843" i="18"/>
  <c r="B843" i="18"/>
  <c r="D842" i="18"/>
  <c r="C842" i="18"/>
  <c r="B842" i="18"/>
  <c r="D841" i="18"/>
  <c r="C841" i="18"/>
  <c r="B841" i="18"/>
  <c r="D840" i="18"/>
  <c r="C840" i="18"/>
  <c r="B840" i="18"/>
  <c r="D839" i="18"/>
  <c r="C839" i="18"/>
  <c r="B839" i="18"/>
  <c r="D838" i="18"/>
  <c r="C838" i="18"/>
  <c r="B838" i="18"/>
  <c r="D837" i="18"/>
  <c r="C837" i="18"/>
  <c r="B837" i="18"/>
  <c r="D836" i="18"/>
  <c r="C836" i="18"/>
  <c r="B836" i="18"/>
  <c r="D835" i="18"/>
  <c r="C835" i="18"/>
  <c r="B835" i="18"/>
  <c r="D834" i="18"/>
  <c r="C834" i="18"/>
  <c r="B834" i="18"/>
  <c r="D833" i="18"/>
  <c r="C833" i="18"/>
  <c r="B833" i="18"/>
  <c r="D832" i="18"/>
  <c r="C832" i="18"/>
  <c r="B832" i="18"/>
  <c r="D831" i="18"/>
  <c r="C831" i="18"/>
  <c r="B831" i="18"/>
  <c r="D830" i="18"/>
  <c r="C830" i="18"/>
  <c r="B830" i="18"/>
  <c r="D829" i="18"/>
  <c r="C829" i="18"/>
  <c r="B829" i="18"/>
  <c r="D828" i="18"/>
  <c r="C828" i="18"/>
  <c r="B828" i="18"/>
  <c r="D827" i="18"/>
  <c r="C827" i="18"/>
  <c r="B827" i="18"/>
  <c r="D826" i="18"/>
  <c r="C826" i="18"/>
  <c r="B826" i="18"/>
  <c r="D825" i="18"/>
  <c r="C825" i="18"/>
  <c r="B825" i="18"/>
  <c r="D824" i="18"/>
  <c r="C824" i="18"/>
  <c r="B824" i="18"/>
  <c r="D823" i="18"/>
  <c r="C823" i="18"/>
  <c r="B823" i="18"/>
  <c r="D822" i="18"/>
  <c r="C822" i="18"/>
  <c r="B822" i="18"/>
  <c r="D821" i="18"/>
  <c r="C821" i="18"/>
  <c r="B821" i="18"/>
  <c r="D820" i="18"/>
  <c r="C820" i="18"/>
  <c r="B820" i="18"/>
  <c r="D819" i="18"/>
  <c r="C819" i="18"/>
  <c r="B819" i="18"/>
  <c r="D818" i="18"/>
  <c r="C818" i="18"/>
  <c r="B818" i="18"/>
  <c r="D817" i="18"/>
  <c r="C817" i="18"/>
  <c r="B817" i="18"/>
  <c r="D816" i="18"/>
  <c r="C816" i="18"/>
  <c r="B816" i="18"/>
  <c r="D815" i="18"/>
  <c r="C815" i="18"/>
  <c r="B815" i="18"/>
  <c r="D814" i="18"/>
  <c r="C814" i="18"/>
  <c r="B814" i="18"/>
  <c r="D813" i="18"/>
  <c r="C813" i="18"/>
  <c r="B813" i="18"/>
  <c r="D812" i="18"/>
  <c r="C812" i="18"/>
  <c r="B812" i="18"/>
  <c r="D811" i="18"/>
  <c r="C811" i="18"/>
  <c r="B811" i="18"/>
  <c r="D810" i="18"/>
  <c r="C810" i="18"/>
  <c r="B810" i="18"/>
  <c r="D809" i="18"/>
  <c r="C809" i="18"/>
  <c r="B809" i="18"/>
  <c r="D808" i="18"/>
  <c r="C808" i="18"/>
  <c r="B808" i="18"/>
  <c r="D807" i="18"/>
  <c r="C807" i="18"/>
  <c r="B807" i="18"/>
  <c r="D806" i="18"/>
  <c r="C806" i="18"/>
  <c r="B806" i="18"/>
  <c r="D805" i="18"/>
  <c r="C805" i="18"/>
  <c r="B805" i="18"/>
  <c r="D804" i="18"/>
  <c r="C804" i="18"/>
  <c r="B804" i="18"/>
  <c r="D803" i="18"/>
  <c r="C803" i="18"/>
  <c r="B803" i="18"/>
  <c r="D802" i="18"/>
  <c r="C802" i="18"/>
  <c r="B802" i="18"/>
  <c r="D801" i="18"/>
  <c r="C801" i="18"/>
  <c r="B801" i="18"/>
  <c r="D800" i="18"/>
  <c r="C800" i="18"/>
  <c r="B800" i="18"/>
  <c r="D799" i="18"/>
  <c r="C799" i="18"/>
  <c r="B799" i="18"/>
  <c r="D798" i="18"/>
  <c r="C798" i="18"/>
  <c r="B798" i="18"/>
  <c r="D797" i="18"/>
  <c r="C797" i="18"/>
  <c r="B797" i="18"/>
  <c r="D796" i="18"/>
  <c r="C796" i="18"/>
  <c r="B796" i="18"/>
  <c r="D795" i="18"/>
  <c r="C795" i="18"/>
  <c r="B795" i="18"/>
  <c r="D794" i="18"/>
  <c r="C794" i="18"/>
  <c r="B794" i="18"/>
  <c r="D793" i="18"/>
  <c r="C793" i="18"/>
  <c r="B793" i="18"/>
  <c r="D792" i="18"/>
  <c r="C792" i="18"/>
  <c r="B792" i="18"/>
  <c r="D791" i="18"/>
  <c r="C791" i="18"/>
  <c r="B791" i="18"/>
  <c r="D790" i="18"/>
  <c r="C790" i="18"/>
  <c r="B790" i="18"/>
  <c r="D789" i="18"/>
  <c r="C789" i="18"/>
  <c r="B789" i="18"/>
  <c r="D788" i="18"/>
  <c r="C788" i="18"/>
  <c r="B788" i="18"/>
  <c r="D787" i="18"/>
  <c r="C787" i="18"/>
  <c r="B787" i="18"/>
  <c r="D786" i="18"/>
  <c r="C786" i="18"/>
  <c r="B786" i="18"/>
  <c r="D785" i="18"/>
  <c r="C785" i="18"/>
  <c r="B785" i="18"/>
  <c r="D784" i="18"/>
  <c r="C784" i="18"/>
  <c r="B784" i="18"/>
  <c r="D783" i="18"/>
  <c r="C783" i="18"/>
  <c r="B783" i="18"/>
  <c r="D782" i="18"/>
  <c r="C782" i="18"/>
  <c r="B782" i="18"/>
  <c r="D781" i="18"/>
  <c r="C781" i="18"/>
  <c r="B781" i="18"/>
  <c r="D780" i="18"/>
  <c r="C780" i="18"/>
  <c r="B780" i="18"/>
  <c r="D779" i="18"/>
  <c r="C779" i="18"/>
  <c r="B779" i="18"/>
  <c r="D778" i="18"/>
  <c r="C778" i="18"/>
  <c r="B778" i="18"/>
  <c r="D777" i="18"/>
  <c r="C777" i="18"/>
  <c r="B777" i="18"/>
  <c r="D776" i="18"/>
  <c r="C776" i="18"/>
  <c r="B776" i="18"/>
  <c r="D775" i="18"/>
  <c r="C775" i="18"/>
  <c r="B775" i="18"/>
  <c r="D774" i="18"/>
  <c r="C774" i="18"/>
  <c r="B774" i="18"/>
  <c r="D773" i="18"/>
  <c r="C773" i="18"/>
  <c r="B773" i="18"/>
  <c r="D772" i="18"/>
  <c r="C772" i="18"/>
  <c r="B772" i="18"/>
  <c r="D771" i="18"/>
  <c r="C771" i="18"/>
  <c r="B771" i="18"/>
  <c r="D770" i="18"/>
  <c r="C770" i="18"/>
  <c r="B770" i="18"/>
  <c r="D769" i="18"/>
  <c r="C769" i="18"/>
  <c r="B769" i="18"/>
  <c r="D768" i="18"/>
  <c r="C768" i="18"/>
  <c r="B768" i="18"/>
  <c r="D767" i="18"/>
  <c r="C767" i="18"/>
  <c r="B767" i="18"/>
  <c r="D766" i="18"/>
  <c r="C766" i="18"/>
  <c r="B766" i="18"/>
  <c r="D765" i="18"/>
  <c r="C765" i="18"/>
  <c r="B765" i="18"/>
  <c r="D764" i="18"/>
  <c r="C764" i="18"/>
  <c r="B764" i="18"/>
  <c r="D763" i="18"/>
  <c r="C763" i="18"/>
  <c r="B763" i="18"/>
  <c r="D762" i="18"/>
  <c r="C762" i="18"/>
  <c r="B762" i="18"/>
  <c r="D761" i="18"/>
  <c r="C761" i="18"/>
  <c r="B761" i="18"/>
  <c r="D760" i="18"/>
  <c r="C760" i="18"/>
  <c r="B760" i="18"/>
  <c r="D759" i="18"/>
  <c r="C759" i="18"/>
  <c r="B759" i="18"/>
  <c r="D758" i="18"/>
  <c r="C758" i="18"/>
  <c r="B758" i="18"/>
  <c r="D757" i="18"/>
  <c r="C757" i="18"/>
  <c r="B757" i="18"/>
  <c r="D756" i="18"/>
  <c r="C756" i="18"/>
  <c r="B756" i="18"/>
  <c r="D755" i="18"/>
  <c r="C755" i="18"/>
  <c r="B755" i="18"/>
  <c r="D754" i="18"/>
  <c r="C754" i="18"/>
  <c r="B754" i="18"/>
  <c r="D753" i="18"/>
  <c r="C753" i="18"/>
  <c r="B753" i="18"/>
  <c r="D752" i="18"/>
  <c r="C752" i="18"/>
  <c r="B752" i="18"/>
  <c r="D751" i="18"/>
  <c r="C751" i="18"/>
  <c r="B751" i="18"/>
  <c r="D750" i="18"/>
  <c r="C750" i="18"/>
  <c r="B750" i="18"/>
  <c r="D749" i="18"/>
  <c r="C749" i="18"/>
  <c r="B749" i="18"/>
  <c r="D748" i="18"/>
  <c r="C748" i="18"/>
  <c r="B748" i="18"/>
  <c r="D747" i="18"/>
  <c r="C747" i="18"/>
  <c r="B747" i="18"/>
  <c r="D746" i="18"/>
  <c r="C746" i="18"/>
  <c r="B746" i="18"/>
  <c r="D745" i="18"/>
  <c r="C745" i="18"/>
  <c r="B745" i="18"/>
  <c r="D744" i="18"/>
  <c r="C744" i="18"/>
  <c r="B744" i="18"/>
  <c r="D743" i="18"/>
  <c r="C743" i="18"/>
  <c r="B743" i="18"/>
  <c r="D742" i="18"/>
  <c r="C742" i="18"/>
  <c r="B742" i="18"/>
  <c r="D741" i="18"/>
  <c r="C741" i="18"/>
  <c r="B741" i="18"/>
  <c r="D740" i="18"/>
  <c r="C740" i="18"/>
  <c r="B740" i="18"/>
  <c r="D739" i="18"/>
  <c r="C739" i="18"/>
  <c r="B739" i="18"/>
  <c r="D738" i="18"/>
  <c r="C738" i="18"/>
  <c r="B738" i="18"/>
  <c r="D737" i="18"/>
  <c r="C737" i="18"/>
  <c r="B737" i="18"/>
  <c r="D736" i="18"/>
  <c r="C736" i="18"/>
  <c r="B736" i="18"/>
  <c r="D735" i="18"/>
  <c r="C735" i="18"/>
  <c r="B735" i="18"/>
  <c r="D734" i="18"/>
  <c r="C734" i="18"/>
  <c r="B734" i="18"/>
  <c r="D733" i="18"/>
  <c r="C733" i="18"/>
  <c r="B733" i="18"/>
  <c r="D732" i="18"/>
  <c r="C732" i="18"/>
  <c r="B732" i="18"/>
  <c r="D731" i="18"/>
  <c r="C731" i="18"/>
  <c r="B731" i="18"/>
  <c r="D730" i="18"/>
  <c r="C730" i="18"/>
  <c r="B730" i="18"/>
  <c r="D729" i="18"/>
  <c r="C729" i="18"/>
  <c r="B729" i="18"/>
  <c r="D728" i="18"/>
  <c r="C728" i="18"/>
  <c r="B728" i="18"/>
  <c r="D727" i="18"/>
  <c r="C727" i="18"/>
  <c r="B727" i="18"/>
  <c r="D726" i="18"/>
  <c r="C726" i="18"/>
  <c r="B726" i="18"/>
  <c r="D725" i="18"/>
  <c r="C725" i="18"/>
  <c r="B725" i="18"/>
  <c r="D724" i="18"/>
  <c r="C724" i="18"/>
  <c r="B724" i="18"/>
  <c r="D723" i="18"/>
  <c r="C723" i="18"/>
  <c r="B723" i="18"/>
  <c r="D722" i="18"/>
  <c r="C722" i="18"/>
  <c r="B722" i="18"/>
  <c r="D721" i="18"/>
  <c r="C721" i="18"/>
  <c r="B721" i="18"/>
  <c r="D720" i="18"/>
  <c r="C720" i="18"/>
  <c r="B720" i="18"/>
  <c r="D719" i="18"/>
  <c r="C719" i="18"/>
  <c r="B719" i="18"/>
  <c r="D718" i="18"/>
  <c r="C718" i="18"/>
  <c r="B718" i="18"/>
  <c r="D717" i="18"/>
  <c r="C717" i="18"/>
  <c r="B717" i="18"/>
  <c r="D716" i="18"/>
  <c r="C716" i="18"/>
  <c r="B716" i="18"/>
  <c r="D715" i="18"/>
  <c r="C715" i="18"/>
  <c r="B715" i="18"/>
  <c r="D714" i="18"/>
  <c r="C714" i="18"/>
  <c r="B714" i="18"/>
  <c r="D713" i="18"/>
  <c r="C713" i="18"/>
  <c r="B713" i="18"/>
  <c r="D712" i="18"/>
  <c r="C712" i="18"/>
  <c r="B712" i="18"/>
  <c r="D711" i="18"/>
  <c r="C711" i="18"/>
  <c r="B711" i="18"/>
  <c r="D710" i="18"/>
  <c r="C710" i="18"/>
  <c r="B710" i="18"/>
  <c r="D709" i="18"/>
  <c r="C709" i="18"/>
  <c r="B709" i="18"/>
  <c r="D708" i="18"/>
  <c r="C708" i="18"/>
  <c r="B708" i="18"/>
  <c r="D707" i="18"/>
  <c r="C707" i="18"/>
  <c r="B707" i="18"/>
  <c r="D706" i="18"/>
  <c r="C706" i="18"/>
  <c r="B706" i="18"/>
  <c r="D705" i="18"/>
  <c r="C705" i="18"/>
  <c r="B705" i="18"/>
  <c r="D704" i="18"/>
  <c r="C704" i="18"/>
  <c r="B704" i="18"/>
  <c r="D703" i="18"/>
  <c r="C703" i="18"/>
  <c r="B703" i="18"/>
  <c r="D702" i="18"/>
  <c r="C702" i="18"/>
  <c r="B702" i="18"/>
  <c r="D701" i="18"/>
  <c r="C701" i="18"/>
  <c r="B701" i="18"/>
  <c r="D700" i="18"/>
  <c r="C700" i="18"/>
  <c r="B700" i="18"/>
  <c r="D699" i="18"/>
  <c r="C699" i="18"/>
  <c r="B699" i="18"/>
  <c r="D698" i="18"/>
  <c r="C698" i="18"/>
  <c r="B698" i="18"/>
  <c r="D697" i="18"/>
  <c r="C697" i="18"/>
  <c r="B697" i="18"/>
  <c r="D696" i="18"/>
  <c r="C696" i="18"/>
  <c r="B696" i="18"/>
  <c r="D695" i="18"/>
  <c r="C695" i="18"/>
  <c r="B695" i="18"/>
  <c r="D694" i="18"/>
  <c r="C694" i="18"/>
  <c r="B694" i="18"/>
  <c r="D693" i="18"/>
  <c r="C693" i="18"/>
  <c r="B693" i="18"/>
  <c r="D692" i="18"/>
  <c r="C692" i="18"/>
  <c r="B692" i="18"/>
  <c r="D691" i="18"/>
  <c r="C691" i="18"/>
  <c r="B691" i="18"/>
  <c r="D690" i="18"/>
  <c r="C690" i="18"/>
  <c r="B690" i="18"/>
  <c r="D689" i="18"/>
  <c r="C689" i="18"/>
  <c r="B689" i="18"/>
  <c r="D688" i="18"/>
  <c r="C688" i="18"/>
  <c r="B688" i="18"/>
  <c r="D687" i="18"/>
  <c r="C687" i="18"/>
  <c r="B687" i="18"/>
  <c r="D686" i="18"/>
  <c r="C686" i="18"/>
  <c r="B686" i="18"/>
  <c r="D685" i="18"/>
  <c r="C685" i="18"/>
  <c r="B685" i="18"/>
  <c r="D684" i="18"/>
  <c r="C684" i="18"/>
  <c r="B684" i="18"/>
  <c r="D683" i="18"/>
  <c r="C683" i="18"/>
  <c r="B683" i="18"/>
  <c r="D682" i="18"/>
  <c r="C682" i="18"/>
  <c r="B682" i="18"/>
  <c r="D681" i="18"/>
  <c r="C681" i="18"/>
  <c r="B681" i="18"/>
  <c r="D680" i="18"/>
  <c r="C680" i="18"/>
  <c r="B680" i="18"/>
  <c r="D679" i="18"/>
  <c r="C679" i="18"/>
  <c r="B679" i="18"/>
  <c r="D678" i="18"/>
  <c r="C678" i="18"/>
  <c r="B678" i="18"/>
  <c r="D677" i="18"/>
  <c r="C677" i="18"/>
  <c r="B677" i="18"/>
  <c r="D676" i="18"/>
  <c r="C676" i="18"/>
  <c r="B676" i="18"/>
  <c r="D675" i="18"/>
  <c r="C675" i="18"/>
  <c r="B675" i="18"/>
  <c r="D674" i="18"/>
  <c r="C674" i="18"/>
  <c r="B674" i="18"/>
  <c r="D673" i="18"/>
  <c r="C673" i="18"/>
  <c r="B673" i="18"/>
  <c r="D672" i="18"/>
  <c r="C672" i="18"/>
  <c r="B672" i="18"/>
  <c r="D671" i="18"/>
  <c r="C671" i="18"/>
  <c r="B671" i="18"/>
  <c r="D670" i="18"/>
  <c r="C670" i="18"/>
  <c r="B670" i="18"/>
  <c r="D669" i="18"/>
  <c r="C669" i="18"/>
  <c r="B669" i="18"/>
  <c r="D668" i="18"/>
  <c r="C668" i="18"/>
  <c r="B668" i="18"/>
  <c r="D667" i="18"/>
  <c r="C667" i="18"/>
  <c r="B667" i="18"/>
  <c r="D666" i="18"/>
  <c r="C666" i="18"/>
  <c r="B666" i="18"/>
  <c r="D665" i="18"/>
  <c r="C665" i="18"/>
  <c r="B665" i="18"/>
  <c r="D664" i="18"/>
  <c r="C664" i="18"/>
  <c r="B664" i="18"/>
  <c r="D663" i="18"/>
  <c r="C663" i="18"/>
  <c r="B663" i="18"/>
  <c r="D662" i="18"/>
  <c r="C662" i="18"/>
  <c r="B662" i="18"/>
  <c r="D661" i="18"/>
  <c r="C661" i="18"/>
  <c r="B661" i="18"/>
  <c r="D660" i="18"/>
  <c r="C660" i="18"/>
  <c r="B660" i="18"/>
  <c r="D659" i="18"/>
  <c r="C659" i="18"/>
  <c r="B659" i="18"/>
  <c r="D658" i="18"/>
  <c r="C658" i="18"/>
  <c r="B658" i="18"/>
  <c r="D657" i="18"/>
  <c r="C657" i="18"/>
  <c r="B657" i="18"/>
  <c r="D656" i="18"/>
  <c r="C656" i="18"/>
  <c r="B656" i="18"/>
  <c r="D655" i="18"/>
  <c r="C655" i="18"/>
  <c r="B655" i="18"/>
  <c r="D654" i="18"/>
  <c r="C654" i="18"/>
  <c r="B654" i="18"/>
  <c r="D653" i="18"/>
  <c r="C653" i="18"/>
  <c r="B653" i="18"/>
  <c r="D652" i="18"/>
  <c r="C652" i="18"/>
  <c r="B652" i="18"/>
  <c r="D651" i="18"/>
  <c r="C651" i="18"/>
  <c r="B651" i="18"/>
  <c r="D650" i="18"/>
  <c r="C650" i="18"/>
  <c r="B650" i="18"/>
  <c r="D649" i="18"/>
  <c r="C649" i="18"/>
  <c r="B649" i="18"/>
  <c r="D648" i="18"/>
  <c r="C648" i="18"/>
  <c r="B648" i="18"/>
  <c r="D647" i="18"/>
  <c r="C647" i="18"/>
  <c r="B647" i="18"/>
  <c r="D646" i="18"/>
  <c r="C646" i="18"/>
  <c r="B646" i="18"/>
  <c r="D645" i="18"/>
  <c r="C645" i="18"/>
  <c r="B645" i="18"/>
  <c r="D644" i="18"/>
  <c r="C644" i="18"/>
  <c r="B644" i="18"/>
  <c r="D643" i="18"/>
  <c r="C643" i="18"/>
  <c r="B643" i="18"/>
  <c r="D642" i="18"/>
  <c r="C642" i="18"/>
  <c r="B642" i="18"/>
  <c r="D641" i="18"/>
  <c r="C641" i="18"/>
  <c r="B641" i="18"/>
  <c r="D640" i="18"/>
  <c r="C640" i="18"/>
  <c r="B640" i="18"/>
  <c r="D639" i="18"/>
  <c r="C639" i="18"/>
  <c r="B639" i="18"/>
  <c r="D638" i="18"/>
  <c r="C638" i="18"/>
  <c r="B638" i="18"/>
  <c r="D637" i="18"/>
  <c r="C637" i="18"/>
  <c r="B637" i="18"/>
  <c r="D636" i="18"/>
  <c r="C636" i="18"/>
  <c r="B636" i="18"/>
  <c r="D635" i="18"/>
  <c r="C635" i="18"/>
  <c r="B635" i="18"/>
  <c r="D634" i="18"/>
  <c r="C634" i="18"/>
  <c r="B634" i="18"/>
  <c r="D633" i="18"/>
  <c r="C633" i="18"/>
  <c r="B633" i="18"/>
  <c r="D632" i="18"/>
  <c r="C632" i="18"/>
  <c r="B632" i="18"/>
  <c r="D631" i="18"/>
  <c r="C631" i="18"/>
  <c r="B631" i="18"/>
  <c r="D630" i="18"/>
  <c r="C630" i="18"/>
  <c r="B630" i="18"/>
  <c r="D629" i="18"/>
  <c r="C629" i="18"/>
  <c r="B629" i="18"/>
  <c r="D628" i="18"/>
  <c r="C628" i="18"/>
  <c r="B628" i="18"/>
  <c r="D627" i="18"/>
  <c r="C627" i="18"/>
  <c r="B627" i="18"/>
  <c r="D626" i="18"/>
  <c r="C626" i="18"/>
  <c r="B626" i="18"/>
  <c r="D625" i="18"/>
  <c r="C625" i="18"/>
  <c r="B625" i="18"/>
  <c r="D624" i="18"/>
  <c r="C624" i="18"/>
  <c r="B624" i="18"/>
  <c r="D623" i="18"/>
  <c r="C623" i="18"/>
  <c r="B623" i="18"/>
  <c r="D622" i="18"/>
  <c r="C622" i="18"/>
  <c r="B622" i="18"/>
  <c r="D621" i="18"/>
  <c r="C621" i="18"/>
  <c r="B621" i="18"/>
  <c r="D620" i="18"/>
  <c r="C620" i="18"/>
  <c r="B620" i="18"/>
  <c r="D619" i="18"/>
  <c r="C619" i="18"/>
  <c r="B619" i="18"/>
  <c r="D618" i="18"/>
  <c r="C618" i="18"/>
  <c r="B618" i="18"/>
  <c r="D617" i="18"/>
  <c r="C617" i="18"/>
  <c r="B617" i="18"/>
  <c r="D616" i="18"/>
  <c r="C616" i="18"/>
  <c r="B616" i="18"/>
  <c r="D615" i="18"/>
  <c r="C615" i="18"/>
  <c r="B615" i="18"/>
  <c r="D614" i="18"/>
  <c r="C614" i="18"/>
  <c r="B614" i="18"/>
  <c r="D613" i="18"/>
  <c r="C613" i="18"/>
  <c r="B613" i="18"/>
  <c r="D612" i="18"/>
  <c r="C612" i="18"/>
  <c r="B612" i="18"/>
  <c r="D611" i="18"/>
  <c r="C611" i="18"/>
  <c r="B611" i="18"/>
  <c r="D610" i="18"/>
  <c r="C610" i="18"/>
  <c r="B610" i="18"/>
  <c r="D609" i="18"/>
  <c r="C609" i="18"/>
  <c r="B609" i="18"/>
  <c r="D608" i="18"/>
  <c r="C608" i="18"/>
  <c r="B608" i="18"/>
  <c r="D607" i="18"/>
  <c r="C607" i="18"/>
  <c r="B607" i="18"/>
  <c r="D606" i="18"/>
  <c r="C606" i="18"/>
  <c r="B606" i="18"/>
  <c r="D605" i="18"/>
  <c r="C605" i="18"/>
  <c r="B605" i="18"/>
  <c r="D604" i="18"/>
  <c r="C604" i="18"/>
  <c r="B604" i="18"/>
  <c r="D603" i="18"/>
  <c r="C603" i="18"/>
  <c r="B603" i="18"/>
  <c r="D602" i="18"/>
  <c r="C602" i="18"/>
  <c r="B602" i="18"/>
  <c r="D601" i="18"/>
  <c r="C601" i="18"/>
  <c r="B601" i="18"/>
  <c r="D600" i="18"/>
  <c r="C600" i="18"/>
  <c r="B600" i="18"/>
  <c r="D599" i="18"/>
  <c r="C599" i="18"/>
  <c r="B599" i="18"/>
  <c r="D598" i="18"/>
  <c r="C598" i="18"/>
  <c r="B598" i="18"/>
  <c r="D597" i="18"/>
  <c r="C597" i="18"/>
  <c r="B597" i="18"/>
  <c r="D596" i="18"/>
  <c r="C596" i="18"/>
  <c r="B596" i="18"/>
  <c r="D595" i="18"/>
  <c r="C595" i="18"/>
  <c r="B595" i="18"/>
  <c r="D594" i="18"/>
  <c r="C594" i="18"/>
  <c r="B594" i="18"/>
  <c r="D593" i="18"/>
  <c r="C593" i="18"/>
  <c r="B593" i="18"/>
  <c r="D592" i="18"/>
  <c r="C592" i="18"/>
  <c r="B592" i="18"/>
  <c r="D591" i="18"/>
  <c r="C591" i="18"/>
  <c r="B591" i="18"/>
  <c r="D590" i="18"/>
  <c r="C590" i="18"/>
  <c r="B590" i="18"/>
  <c r="D589" i="18"/>
  <c r="C589" i="18"/>
  <c r="B589" i="18"/>
  <c r="D588" i="18"/>
  <c r="C588" i="18"/>
  <c r="B588" i="18"/>
  <c r="D587" i="18"/>
  <c r="C587" i="18"/>
  <c r="B587" i="18"/>
  <c r="D586" i="18"/>
  <c r="C586" i="18"/>
  <c r="B586" i="18"/>
  <c r="D585" i="18"/>
  <c r="C585" i="18"/>
  <c r="B585" i="18"/>
  <c r="D584" i="18"/>
  <c r="C584" i="18"/>
  <c r="B584" i="18"/>
  <c r="D583" i="18"/>
  <c r="C583" i="18"/>
  <c r="B583" i="18"/>
  <c r="D582" i="18"/>
  <c r="C582" i="18"/>
  <c r="B582" i="18"/>
  <c r="D581" i="18"/>
  <c r="C581" i="18"/>
  <c r="B581" i="18"/>
  <c r="D580" i="18"/>
  <c r="C580" i="18"/>
  <c r="B580" i="18"/>
  <c r="D579" i="18"/>
  <c r="C579" i="18"/>
  <c r="B579" i="18"/>
  <c r="D578" i="18"/>
  <c r="C578" i="18"/>
  <c r="B578" i="18"/>
  <c r="D577" i="18"/>
  <c r="C577" i="18"/>
  <c r="B577" i="18"/>
  <c r="D576" i="18"/>
  <c r="C576" i="18"/>
  <c r="B576" i="18"/>
  <c r="D575" i="18"/>
  <c r="C575" i="18"/>
  <c r="B575" i="18"/>
  <c r="D574" i="18"/>
  <c r="C574" i="18"/>
  <c r="B574" i="18"/>
  <c r="D573" i="18"/>
  <c r="C573" i="18"/>
  <c r="B573" i="18"/>
  <c r="D572" i="18"/>
  <c r="C572" i="18"/>
  <c r="B572" i="18"/>
  <c r="D571" i="18"/>
  <c r="C571" i="18"/>
  <c r="B571" i="18"/>
  <c r="D570" i="18"/>
  <c r="C570" i="18"/>
  <c r="B570" i="18"/>
  <c r="D569" i="18"/>
  <c r="C569" i="18"/>
  <c r="B569" i="18"/>
  <c r="D568" i="18"/>
  <c r="C568" i="18"/>
  <c r="B568" i="18"/>
  <c r="D567" i="18"/>
  <c r="C567" i="18"/>
  <c r="B567" i="18"/>
  <c r="D566" i="18"/>
  <c r="C566" i="18"/>
  <c r="B566" i="18"/>
  <c r="D565" i="18"/>
  <c r="C565" i="18"/>
  <c r="B565" i="18"/>
  <c r="D564" i="18"/>
  <c r="C564" i="18"/>
  <c r="B564" i="18"/>
  <c r="D563" i="18"/>
  <c r="C563" i="18"/>
  <c r="B563" i="18"/>
  <c r="D562" i="18"/>
  <c r="C562" i="18"/>
  <c r="B562" i="18"/>
  <c r="D561" i="18"/>
  <c r="C561" i="18"/>
  <c r="B561" i="18"/>
  <c r="D560" i="18"/>
  <c r="C560" i="18"/>
  <c r="B560" i="18"/>
  <c r="D559" i="18"/>
  <c r="C559" i="18"/>
  <c r="B559" i="18"/>
  <c r="D558" i="18"/>
  <c r="C558" i="18"/>
  <c r="B558" i="18"/>
  <c r="D557" i="18"/>
  <c r="C557" i="18"/>
  <c r="B557" i="18"/>
  <c r="D556" i="18"/>
  <c r="C556" i="18"/>
  <c r="B556" i="18"/>
  <c r="D555" i="18"/>
  <c r="C555" i="18"/>
  <c r="B555" i="18"/>
  <c r="D554" i="18"/>
  <c r="C554" i="18"/>
  <c r="B554" i="18"/>
  <c r="D553" i="18"/>
  <c r="C553" i="18"/>
  <c r="B553" i="18"/>
  <c r="D552" i="18"/>
  <c r="C552" i="18"/>
  <c r="B552" i="18"/>
  <c r="D551" i="18"/>
  <c r="C551" i="18"/>
  <c r="B551" i="18"/>
  <c r="D550" i="18"/>
  <c r="C550" i="18"/>
  <c r="B550" i="18"/>
  <c r="D549" i="18"/>
  <c r="C549" i="18"/>
  <c r="B549" i="18"/>
  <c r="D548" i="18"/>
  <c r="C548" i="18"/>
  <c r="B548" i="18"/>
  <c r="D547" i="18"/>
  <c r="C547" i="18"/>
  <c r="B547" i="18"/>
  <c r="D546" i="18"/>
  <c r="C546" i="18"/>
  <c r="B546" i="18"/>
  <c r="D545" i="18"/>
  <c r="C545" i="18"/>
  <c r="B545" i="18"/>
  <c r="D544" i="18"/>
  <c r="C544" i="18"/>
  <c r="B544" i="18"/>
  <c r="D543" i="18"/>
  <c r="C543" i="18"/>
  <c r="B543" i="18"/>
  <c r="D542" i="18"/>
  <c r="C542" i="18"/>
  <c r="B542" i="18"/>
  <c r="D541" i="18"/>
  <c r="C541" i="18"/>
  <c r="B541" i="18"/>
  <c r="D540" i="18"/>
  <c r="C540" i="18"/>
  <c r="B540" i="18"/>
  <c r="D539" i="18"/>
  <c r="C539" i="18"/>
  <c r="B539" i="18"/>
  <c r="D538" i="18"/>
  <c r="C538" i="18"/>
  <c r="B538" i="18"/>
  <c r="D537" i="18"/>
  <c r="C537" i="18"/>
  <c r="B537" i="18"/>
  <c r="D536" i="18"/>
  <c r="C536" i="18"/>
  <c r="B536" i="18"/>
  <c r="D535" i="18"/>
  <c r="C535" i="18"/>
  <c r="B535" i="18"/>
  <c r="D534" i="18"/>
  <c r="C534" i="18"/>
  <c r="B534" i="18"/>
  <c r="D533" i="18"/>
  <c r="C533" i="18"/>
  <c r="B533" i="18"/>
  <c r="D532" i="18"/>
  <c r="C532" i="18"/>
  <c r="B532" i="18"/>
  <c r="D531" i="18"/>
  <c r="C531" i="18"/>
  <c r="B531" i="18"/>
  <c r="D530" i="18"/>
  <c r="C530" i="18"/>
  <c r="B530" i="18"/>
  <c r="D529" i="18"/>
  <c r="C529" i="18"/>
  <c r="B529" i="18"/>
  <c r="D528" i="18"/>
  <c r="C528" i="18"/>
  <c r="B528" i="18"/>
  <c r="D527" i="18"/>
  <c r="C527" i="18"/>
  <c r="B527" i="18"/>
  <c r="D526" i="18"/>
  <c r="C526" i="18"/>
  <c r="B526" i="18"/>
  <c r="D525" i="18"/>
  <c r="C525" i="18"/>
  <c r="B525" i="18"/>
  <c r="D524" i="18"/>
  <c r="C524" i="18"/>
  <c r="B524" i="18"/>
  <c r="D523" i="18"/>
  <c r="C523" i="18"/>
  <c r="B523" i="18"/>
  <c r="D522" i="18"/>
  <c r="C522" i="18"/>
  <c r="B522" i="18"/>
  <c r="D521" i="18"/>
  <c r="C521" i="18"/>
  <c r="B521" i="18"/>
  <c r="D520" i="18"/>
  <c r="C520" i="18"/>
  <c r="B520" i="18"/>
  <c r="D519" i="18"/>
  <c r="C519" i="18"/>
  <c r="B519" i="18"/>
  <c r="D518" i="18"/>
  <c r="C518" i="18"/>
  <c r="B518" i="18"/>
  <c r="D517" i="18"/>
  <c r="C517" i="18"/>
  <c r="B517" i="18"/>
  <c r="D516" i="18"/>
  <c r="C516" i="18"/>
  <c r="B516" i="18"/>
  <c r="D515" i="18"/>
  <c r="C515" i="18"/>
  <c r="B515" i="18"/>
  <c r="D514" i="18"/>
  <c r="C514" i="18"/>
  <c r="B514" i="18"/>
  <c r="D513" i="18"/>
  <c r="C513" i="18"/>
  <c r="B513" i="18"/>
  <c r="D512" i="18"/>
  <c r="C512" i="18"/>
  <c r="B512" i="18"/>
  <c r="D511" i="18"/>
  <c r="C511" i="18"/>
  <c r="B511" i="18"/>
  <c r="D510" i="18"/>
  <c r="C510" i="18"/>
  <c r="B510" i="18"/>
  <c r="D509" i="18"/>
  <c r="C509" i="18"/>
  <c r="B509" i="18"/>
  <c r="D508" i="18"/>
  <c r="C508" i="18"/>
  <c r="B508" i="18"/>
  <c r="D507" i="18"/>
  <c r="C507" i="18"/>
  <c r="B507" i="18"/>
  <c r="D506" i="18"/>
  <c r="C506" i="18"/>
  <c r="B506" i="18"/>
  <c r="D505" i="18"/>
  <c r="C505" i="18"/>
  <c r="B505" i="18"/>
  <c r="D504" i="18"/>
  <c r="C504" i="18"/>
  <c r="B504" i="18"/>
  <c r="D503" i="18"/>
  <c r="C503" i="18"/>
  <c r="B503" i="18"/>
  <c r="D502" i="18"/>
  <c r="C502" i="18"/>
  <c r="B502" i="18"/>
  <c r="D501" i="18"/>
  <c r="C501" i="18"/>
  <c r="B501" i="18"/>
  <c r="D500" i="18"/>
  <c r="C500" i="18"/>
  <c r="B500" i="18"/>
  <c r="D499" i="18"/>
  <c r="C499" i="18"/>
  <c r="B499" i="18"/>
  <c r="D498" i="18"/>
  <c r="C498" i="18"/>
  <c r="B498" i="18"/>
  <c r="D497" i="18"/>
  <c r="C497" i="18"/>
  <c r="B497" i="18"/>
  <c r="D496" i="18"/>
  <c r="C496" i="18"/>
  <c r="B496" i="18"/>
  <c r="D495" i="18"/>
  <c r="C495" i="18"/>
  <c r="B495" i="18"/>
  <c r="D494" i="18"/>
  <c r="C494" i="18"/>
  <c r="B494" i="18"/>
  <c r="D493" i="18"/>
  <c r="C493" i="18"/>
  <c r="B493" i="18"/>
  <c r="D492" i="18"/>
  <c r="C492" i="18"/>
  <c r="B492" i="18"/>
  <c r="D491" i="18"/>
  <c r="C491" i="18"/>
  <c r="B491" i="18"/>
  <c r="D490" i="18"/>
  <c r="C490" i="18"/>
  <c r="B490" i="18"/>
  <c r="D489" i="18"/>
  <c r="C489" i="18"/>
  <c r="B489" i="18"/>
  <c r="D488" i="18"/>
  <c r="C488" i="18"/>
  <c r="B488" i="18"/>
  <c r="D487" i="18"/>
  <c r="C487" i="18"/>
  <c r="B487" i="18"/>
  <c r="D486" i="18"/>
  <c r="C486" i="18"/>
  <c r="B486" i="18"/>
  <c r="D485" i="18"/>
  <c r="C485" i="18"/>
  <c r="B485" i="18"/>
  <c r="D484" i="18"/>
  <c r="C484" i="18"/>
  <c r="B484" i="18"/>
  <c r="D483" i="18"/>
  <c r="C483" i="18"/>
  <c r="B483" i="18"/>
  <c r="D482" i="18"/>
  <c r="C482" i="18"/>
  <c r="B482" i="18"/>
  <c r="D481" i="18"/>
  <c r="C481" i="18"/>
  <c r="B481" i="18"/>
  <c r="D480" i="18"/>
  <c r="C480" i="18"/>
  <c r="B480" i="18"/>
  <c r="D479" i="18"/>
  <c r="C479" i="18"/>
  <c r="B479" i="18"/>
  <c r="D478" i="18"/>
  <c r="C478" i="18"/>
  <c r="B478" i="18"/>
  <c r="D477" i="18"/>
  <c r="C477" i="18"/>
  <c r="B477" i="18"/>
  <c r="D476" i="18"/>
  <c r="C476" i="18"/>
  <c r="B476" i="18"/>
  <c r="D475" i="18"/>
  <c r="C475" i="18"/>
  <c r="B475" i="18"/>
  <c r="D474" i="18"/>
  <c r="C474" i="18"/>
  <c r="B474" i="18"/>
  <c r="D473" i="18"/>
  <c r="C473" i="18"/>
  <c r="B473" i="18"/>
  <c r="D472" i="18"/>
  <c r="C472" i="18"/>
  <c r="B472" i="18"/>
  <c r="D471" i="18"/>
  <c r="C471" i="18"/>
  <c r="B471" i="18"/>
  <c r="D470" i="18"/>
  <c r="C470" i="18"/>
  <c r="B470" i="18"/>
  <c r="D469" i="18"/>
  <c r="C469" i="18"/>
  <c r="B469" i="18"/>
  <c r="D468" i="18"/>
  <c r="C468" i="18"/>
  <c r="B468" i="18"/>
  <c r="D467" i="18"/>
  <c r="C467" i="18"/>
  <c r="B467" i="18"/>
  <c r="D466" i="18"/>
  <c r="C466" i="18"/>
  <c r="B466" i="18"/>
  <c r="D465" i="18"/>
  <c r="C465" i="18"/>
  <c r="B465" i="18"/>
  <c r="D464" i="18"/>
  <c r="C464" i="18"/>
  <c r="B464" i="18"/>
  <c r="D463" i="18"/>
  <c r="C463" i="18"/>
  <c r="B463" i="18"/>
  <c r="D462" i="18"/>
  <c r="C462" i="18"/>
  <c r="B462" i="18"/>
  <c r="D461" i="18"/>
  <c r="C461" i="18"/>
  <c r="B461" i="18"/>
  <c r="D460" i="18"/>
  <c r="C460" i="18"/>
  <c r="B460" i="18"/>
  <c r="D459" i="18"/>
  <c r="C459" i="18"/>
  <c r="B459" i="18"/>
  <c r="D458" i="18"/>
  <c r="C458" i="18"/>
  <c r="B458" i="18"/>
  <c r="D457" i="18"/>
  <c r="C457" i="18"/>
  <c r="B457" i="18"/>
  <c r="D456" i="18"/>
  <c r="C456" i="18"/>
  <c r="B456" i="18"/>
  <c r="D455" i="18"/>
  <c r="C455" i="18"/>
  <c r="B455" i="18"/>
  <c r="D454" i="18"/>
  <c r="C454" i="18"/>
  <c r="B454" i="18"/>
  <c r="D453" i="18"/>
  <c r="C453" i="18"/>
  <c r="B453" i="18"/>
  <c r="D452" i="18"/>
  <c r="C452" i="18"/>
  <c r="B452" i="18"/>
  <c r="D451" i="18"/>
  <c r="C451" i="18"/>
  <c r="B451" i="18"/>
  <c r="D450" i="18"/>
  <c r="C450" i="18"/>
  <c r="B450" i="18"/>
  <c r="D449" i="18"/>
  <c r="C449" i="18"/>
  <c r="B449" i="18"/>
  <c r="D448" i="18"/>
  <c r="C448" i="18"/>
  <c r="B448" i="18"/>
  <c r="D447" i="18"/>
  <c r="C447" i="18"/>
  <c r="B447" i="18"/>
  <c r="D446" i="18"/>
  <c r="C446" i="18"/>
  <c r="B446" i="18"/>
  <c r="D445" i="18"/>
  <c r="C445" i="18"/>
  <c r="B445" i="18"/>
  <c r="D444" i="18"/>
  <c r="C444" i="18"/>
  <c r="B444" i="18"/>
  <c r="D443" i="18"/>
  <c r="C443" i="18"/>
  <c r="B443" i="18"/>
  <c r="D442" i="18"/>
  <c r="C442" i="18"/>
  <c r="B442" i="18"/>
  <c r="D441" i="18"/>
  <c r="C441" i="18"/>
  <c r="B441" i="18"/>
  <c r="D440" i="18"/>
  <c r="C440" i="18"/>
  <c r="B440" i="18"/>
  <c r="D439" i="18"/>
  <c r="C439" i="18"/>
  <c r="B439" i="18"/>
  <c r="D438" i="18"/>
  <c r="C438" i="18"/>
  <c r="B438" i="18"/>
  <c r="D437" i="18"/>
  <c r="C437" i="18"/>
  <c r="B437" i="18"/>
  <c r="D436" i="18"/>
  <c r="C436" i="18"/>
  <c r="B436" i="18"/>
  <c r="D435" i="18"/>
  <c r="C435" i="18"/>
  <c r="B435" i="18"/>
  <c r="D434" i="18"/>
  <c r="C434" i="18"/>
  <c r="B434" i="18"/>
  <c r="D433" i="18"/>
  <c r="C433" i="18"/>
  <c r="B433" i="18"/>
  <c r="D432" i="18"/>
  <c r="C432" i="18"/>
  <c r="B432" i="18"/>
  <c r="D431" i="18"/>
  <c r="C431" i="18"/>
  <c r="B431" i="18"/>
  <c r="D430" i="18"/>
  <c r="C430" i="18"/>
  <c r="B430" i="18"/>
  <c r="D429" i="18"/>
  <c r="C429" i="18"/>
  <c r="B429" i="18"/>
  <c r="D428" i="18"/>
  <c r="C428" i="18"/>
  <c r="B428" i="18"/>
  <c r="D427" i="18"/>
  <c r="C427" i="18"/>
  <c r="B427" i="18"/>
  <c r="D426" i="18"/>
  <c r="C426" i="18"/>
  <c r="B426" i="18"/>
  <c r="D425" i="18"/>
  <c r="C425" i="18"/>
  <c r="B425" i="18"/>
  <c r="D424" i="18"/>
  <c r="C424" i="18"/>
  <c r="B424" i="18"/>
  <c r="D423" i="18"/>
  <c r="C423" i="18"/>
  <c r="B423" i="18"/>
  <c r="D422" i="18"/>
  <c r="C422" i="18"/>
  <c r="B422" i="18"/>
  <c r="D421" i="18"/>
  <c r="C421" i="18"/>
  <c r="B421" i="18"/>
  <c r="D420" i="18"/>
  <c r="C420" i="18"/>
  <c r="B420" i="18"/>
  <c r="D419" i="18"/>
  <c r="C419" i="18"/>
  <c r="B419" i="18"/>
  <c r="D418" i="18"/>
  <c r="C418" i="18"/>
  <c r="B418" i="18"/>
  <c r="D417" i="18"/>
  <c r="C417" i="18"/>
  <c r="B417" i="18"/>
  <c r="D416" i="18"/>
  <c r="C416" i="18"/>
  <c r="B416" i="18"/>
  <c r="D415" i="18"/>
  <c r="C415" i="18"/>
  <c r="B415" i="18"/>
  <c r="D414" i="18"/>
  <c r="C414" i="18"/>
  <c r="B414" i="18"/>
  <c r="D413" i="18"/>
  <c r="C413" i="18"/>
  <c r="B413" i="18"/>
  <c r="D412" i="18"/>
  <c r="C412" i="18"/>
  <c r="B412" i="18"/>
  <c r="D411" i="18"/>
  <c r="C411" i="18"/>
  <c r="B411" i="18"/>
  <c r="D410" i="18"/>
  <c r="C410" i="18"/>
  <c r="B410" i="18"/>
  <c r="D409" i="18"/>
  <c r="C409" i="18"/>
  <c r="B409" i="18"/>
  <c r="D408" i="18"/>
  <c r="C408" i="18"/>
  <c r="B408" i="18"/>
  <c r="D407" i="18"/>
  <c r="C407" i="18"/>
  <c r="B407" i="18"/>
  <c r="D406" i="18"/>
  <c r="C406" i="18"/>
  <c r="B406" i="18"/>
  <c r="D405" i="18"/>
  <c r="C405" i="18"/>
  <c r="B405" i="18"/>
  <c r="D404" i="18"/>
  <c r="C404" i="18"/>
  <c r="B404" i="18"/>
  <c r="D403" i="18"/>
  <c r="C403" i="18"/>
  <c r="B403" i="18"/>
  <c r="D402" i="18"/>
  <c r="C402" i="18"/>
  <c r="B402" i="18"/>
  <c r="D401" i="18"/>
  <c r="C401" i="18"/>
  <c r="B401" i="18"/>
  <c r="D400" i="18"/>
  <c r="C400" i="18"/>
  <c r="B400" i="18"/>
  <c r="D399" i="18"/>
  <c r="C399" i="18"/>
  <c r="B399" i="18"/>
  <c r="D398" i="18"/>
  <c r="C398" i="18"/>
  <c r="B398" i="18"/>
  <c r="D397" i="18"/>
  <c r="C397" i="18"/>
  <c r="B397" i="18"/>
  <c r="D396" i="18"/>
  <c r="C396" i="18"/>
  <c r="B396" i="18"/>
  <c r="D395" i="18"/>
  <c r="C395" i="18"/>
  <c r="B395" i="18"/>
  <c r="D394" i="18"/>
  <c r="C394" i="18"/>
  <c r="B394" i="18"/>
  <c r="D393" i="18"/>
  <c r="C393" i="18"/>
  <c r="B393" i="18"/>
  <c r="D392" i="18"/>
  <c r="C392" i="18"/>
  <c r="B392" i="18"/>
  <c r="D391" i="18"/>
  <c r="C391" i="18"/>
  <c r="B391" i="18"/>
  <c r="D390" i="18"/>
  <c r="C390" i="18"/>
  <c r="B390" i="18"/>
  <c r="D389" i="18"/>
  <c r="C389" i="18"/>
  <c r="B389" i="18"/>
  <c r="D388" i="18"/>
  <c r="C388" i="18"/>
  <c r="B388" i="18"/>
  <c r="D387" i="18"/>
  <c r="C387" i="18"/>
  <c r="B387" i="18"/>
  <c r="D386" i="18"/>
  <c r="C386" i="18"/>
  <c r="B386" i="18"/>
  <c r="D385" i="18"/>
  <c r="C385" i="18"/>
  <c r="B385" i="18"/>
  <c r="D384" i="18"/>
  <c r="C384" i="18"/>
  <c r="B384" i="18"/>
  <c r="D383" i="18"/>
  <c r="C383" i="18"/>
  <c r="B383" i="18"/>
  <c r="D382" i="18"/>
  <c r="C382" i="18"/>
  <c r="B382" i="18"/>
  <c r="D381" i="18"/>
  <c r="C381" i="18"/>
  <c r="B381" i="18"/>
  <c r="D380" i="18"/>
  <c r="C380" i="18"/>
  <c r="B380" i="18"/>
  <c r="D379" i="18"/>
  <c r="C379" i="18"/>
  <c r="B379" i="18"/>
  <c r="D378" i="18"/>
  <c r="C378" i="18"/>
  <c r="B378" i="18"/>
  <c r="D377" i="18"/>
  <c r="C377" i="18"/>
  <c r="B377" i="18"/>
  <c r="D376" i="18"/>
  <c r="C376" i="18"/>
  <c r="B376" i="18"/>
  <c r="D375" i="18"/>
  <c r="C375" i="18"/>
  <c r="B375" i="18"/>
  <c r="D374" i="18"/>
  <c r="C374" i="18"/>
  <c r="B374" i="18"/>
  <c r="D373" i="18"/>
  <c r="C373" i="18"/>
  <c r="B373" i="18"/>
  <c r="D372" i="18"/>
  <c r="C372" i="18"/>
  <c r="B372" i="18"/>
  <c r="D371" i="18"/>
  <c r="C371" i="18"/>
  <c r="B371" i="18"/>
  <c r="D370" i="18"/>
  <c r="C370" i="18"/>
  <c r="B370" i="18"/>
  <c r="D369" i="18"/>
  <c r="C369" i="18"/>
  <c r="B369" i="18"/>
  <c r="D368" i="18"/>
  <c r="C368" i="18"/>
  <c r="B368" i="18"/>
  <c r="D367" i="18"/>
  <c r="C367" i="18"/>
  <c r="B367" i="18"/>
  <c r="D366" i="18"/>
  <c r="C366" i="18"/>
  <c r="B366" i="18"/>
  <c r="D365" i="18"/>
  <c r="C365" i="18"/>
  <c r="B365" i="18"/>
  <c r="D364" i="18"/>
  <c r="C364" i="18"/>
  <c r="B364" i="18"/>
  <c r="D363" i="18"/>
  <c r="C363" i="18"/>
  <c r="B363" i="18"/>
  <c r="D362" i="18"/>
  <c r="C362" i="18"/>
  <c r="B362" i="18"/>
  <c r="D361" i="18"/>
  <c r="C361" i="18"/>
  <c r="B361" i="18"/>
  <c r="D360" i="18"/>
  <c r="C360" i="18"/>
  <c r="B360" i="18"/>
  <c r="D359" i="18"/>
  <c r="C359" i="18"/>
  <c r="B359" i="18"/>
  <c r="D358" i="18"/>
  <c r="C358" i="18"/>
  <c r="B358" i="18"/>
  <c r="D357" i="18"/>
  <c r="C357" i="18"/>
  <c r="B357" i="18"/>
  <c r="D356" i="18"/>
  <c r="C356" i="18"/>
  <c r="B356" i="18"/>
  <c r="D355" i="18"/>
  <c r="C355" i="18"/>
  <c r="B355" i="18"/>
  <c r="D354" i="18"/>
  <c r="C354" i="18"/>
  <c r="B354" i="18"/>
  <c r="D353" i="18"/>
  <c r="C353" i="18"/>
  <c r="B353" i="18"/>
  <c r="D352" i="18"/>
  <c r="C352" i="18"/>
  <c r="B352" i="18"/>
  <c r="D351" i="18"/>
  <c r="C351" i="18"/>
  <c r="B351" i="18"/>
  <c r="D350" i="18"/>
  <c r="C350" i="18"/>
  <c r="B350" i="18"/>
  <c r="D349" i="18"/>
  <c r="C349" i="18"/>
  <c r="B349" i="18"/>
  <c r="D348" i="18"/>
  <c r="C348" i="18"/>
  <c r="B348" i="18"/>
  <c r="D347" i="18"/>
  <c r="C347" i="18"/>
  <c r="B347" i="18"/>
  <c r="D346" i="18"/>
  <c r="C346" i="18"/>
  <c r="B346" i="18"/>
  <c r="D345" i="18"/>
  <c r="C345" i="18"/>
  <c r="B345" i="18"/>
  <c r="D344" i="18"/>
  <c r="C344" i="18"/>
  <c r="B344" i="18"/>
  <c r="D343" i="18"/>
  <c r="C343" i="18"/>
  <c r="B343" i="18"/>
  <c r="D342" i="18"/>
  <c r="C342" i="18"/>
  <c r="B342" i="18"/>
  <c r="D341" i="18"/>
  <c r="C341" i="18"/>
  <c r="B341" i="18"/>
  <c r="D340" i="18"/>
  <c r="C340" i="18"/>
  <c r="B340" i="18"/>
  <c r="D339" i="18"/>
  <c r="C339" i="18"/>
  <c r="B339" i="18"/>
  <c r="D338" i="18"/>
  <c r="C338" i="18"/>
  <c r="B338" i="18"/>
  <c r="D337" i="18"/>
  <c r="C337" i="18"/>
  <c r="B337" i="18"/>
  <c r="D336" i="18"/>
  <c r="C336" i="18"/>
  <c r="B336" i="18"/>
  <c r="D335" i="18"/>
  <c r="C335" i="18"/>
  <c r="B335" i="18"/>
  <c r="D334" i="18"/>
  <c r="C334" i="18"/>
  <c r="B334" i="18"/>
  <c r="D333" i="18"/>
  <c r="C333" i="18"/>
  <c r="B333" i="18"/>
  <c r="D332" i="18"/>
  <c r="C332" i="18"/>
  <c r="B332" i="18"/>
  <c r="D331" i="18"/>
  <c r="C331" i="18"/>
  <c r="B331" i="18"/>
  <c r="D330" i="18"/>
  <c r="C330" i="18"/>
  <c r="B330" i="18"/>
  <c r="D329" i="18"/>
  <c r="C329" i="18"/>
  <c r="B329" i="18"/>
  <c r="D328" i="18"/>
  <c r="C328" i="18"/>
  <c r="B328" i="18"/>
  <c r="D327" i="18"/>
  <c r="C327" i="18"/>
  <c r="B327" i="18"/>
  <c r="D326" i="18"/>
  <c r="C326" i="18"/>
  <c r="B326" i="18"/>
  <c r="D325" i="18"/>
  <c r="C325" i="18"/>
  <c r="B325" i="18"/>
  <c r="D324" i="18"/>
  <c r="C324" i="18"/>
  <c r="B324" i="18"/>
  <c r="D323" i="18"/>
  <c r="C323" i="18"/>
  <c r="B323" i="18"/>
  <c r="D322" i="18"/>
  <c r="C322" i="18"/>
  <c r="B322" i="18"/>
  <c r="D321" i="18"/>
  <c r="C321" i="18"/>
  <c r="B321" i="18"/>
  <c r="D320" i="18"/>
  <c r="C320" i="18"/>
  <c r="B320" i="18"/>
  <c r="D319" i="18"/>
  <c r="C319" i="18"/>
  <c r="B319" i="18"/>
  <c r="D318" i="18"/>
  <c r="C318" i="18"/>
  <c r="B318" i="18"/>
  <c r="D317" i="18"/>
  <c r="C317" i="18"/>
  <c r="B317" i="18"/>
  <c r="D316" i="18"/>
  <c r="C316" i="18"/>
  <c r="B316" i="18"/>
  <c r="D315" i="18"/>
  <c r="C315" i="18"/>
  <c r="B315" i="18"/>
  <c r="D314" i="18"/>
  <c r="C314" i="18"/>
  <c r="B314" i="18"/>
  <c r="D313" i="18"/>
  <c r="C313" i="18"/>
  <c r="B313" i="18"/>
  <c r="D312" i="18"/>
  <c r="C312" i="18"/>
  <c r="B312" i="18"/>
  <c r="D311" i="18"/>
  <c r="C311" i="18"/>
  <c r="B311" i="18"/>
  <c r="D310" i="18"/>
  <c r="C310" i="18"/>
  <c r="B310" i="18"/>
  <c r="D309" i="18"/>
  <c r="C309" i="18"/>
  <c r="B309" i="18"/>
  <c r="D308" i="18"/>
  <c r="C308" i="18"/>
  <c r="B308" i="18"/>
  <c r="D307" i="18"/>
  <c r="C307" i="18"/>
  <c r="B307" i="18"/>
  <c r="D306" i="18"/>
  <c r="C306" i="18"/>
  <c r="B306" i="18"/>
  <c r="D305" i="18"/>
  <c r="C305" i="18"/>
  <c r="B305" i="18"/>
  <c r="D304" i="18"/>
  <c r="C304" i="18"/>
  <c r="B304" i="18"/>
  <c r="D303" i="18"/>
  <c r="C303" i="18"/>
  <c r="B303" i="18"/>
  <c r="D302" i="18"/>
  <c r="C302" i="18"/>
  <c r="B302" i="18"/>
  <c r="D301" i="18"/>
  <c r="C301" i="18"/>
  <c r="B301" i="18"/>
  <c r="D300" i="18"/>
  <c r="C300" i="18"/>
  <c r="B300" i="18"/>
  <c r="D299" i="18"/>
  <c r="C299" i="18"/>
  <c r="B299" i="18"/>
  <c r="D298" i="18"/>
  <c r="C298" i="18"/>
  <c r="B298" i="18"/>
  <c r="D297" i="18"/>
  <c r="C297" i="18"/>
  <c r="B297" i="18"/>
  <c r="D296" i="18"/>
  <c r="C296" i="18"/>
  <c r="B296" i="18"/>
  <c r="D295" i="18"/>
  <c r="C295" i="18"/>
  <c r="B295" i="18"/>
  <c r="D294" i="18"/>
  <c r="C294" i="18"/>
  <c r="B294" i="18"/>
  <c r="D293" i="18"/>
  <c r="C293" i="18"/>
  <c r="B293" i="18"/>
  <c r="D292" i="18"/>
  <c r="C292" i="18"/>
  <c r="B292" i="18"/>
  <c r="D291" i="18"/>
  <c r="C291" i="18"/>
  <c r="B291" i="18"/>
  <c r="D290" i="18"/>
  <c r="C290" i="18"/>
  <c r="B290" i="18"/>
  <c r="D289" i="18"/>
  <c r="C289" i="18"/>
  <c r="B289" i="18"/>
  <c r="D288" i="18"/>
  <c r="C288" i="18"/>
  <c r="B288" i="18"/>
  <c r="D287" i="18"/>
  <c r="C287" i="18"/>
  <c r="B287" i="18"/>
  <c r="D286" i="18"/>
  <c r="C286" i="18"/>
  <c r="B286" i="18"/>
  <c r="D285" i="18"/>
  <c r="C285" i="18"/>
  <c r="B285" i="18"/>
  <c r="D284" i="18"/>
  <c r="C284" i="18"/>
  <c r="B284" i="18"/>
  <c r="D283" i="18"/>
  <c r="C283" i="18"/>
  <c r="B283" i="18"/>
  <c r="D282" i="18"/>
  <c r="C282" i="18"/>
  <c r="B282" i="18"/>
  <c r="D281" i="18"/>
  <c r="C281" i="18"/>
  <c r="B281" i="18"/>
  <c r="D280" i="18"/>
  <c r="C280" i="18"/>
  <c r="B280" i="18"/>
  <c r="D279" i="18"/>
  <c r="C279" i="18"/>
  <c r="B279" i="18"/>
  <c r="D278" i="18"/>
  <c r="C278" i="18"/>
  <c r="B278" i="18"/>
  <c r="D277" i="18"/>
  <c r="C277" i="18"/>
  <c r="B277" i="18"/>
  <c r="D276" i="18"/>
  <c r="C276" i="18"/>
  <c r="B276" i="18"/>
  <c r="D275" i="18"/>
  <c r="C275" i="18"/>
  <c r="B275" i="18"/>
  <c r="D274" i="18"/>
  <c r="C274" i="18"/>
  <c r="B274" i="18"/>
  <c r="D273" i="18"/>
  <c r="C273" i="18"/>
  <c r="B273" i="18"/>
  <c r="D272" i="18"/>
  <c r="C272" i="18"/>
  <c r="B272" i="18"/>
  <c r="D271" i="18"/>
  <c r="C271" i="18"/>
  <c r="B271" i="18"/>
  <c r="D270" i="18"/>
  <c r="C270" i="18"/>
  <c r="B270" i="18"/>
  <c r="D269" i="18"/>
  <c r="C269" i="18"/>
  <c r="B269" i="18"/>
  <c r="D268" i="18"/>
  <c r="C268" i="18"/>
  <c r="B268" i="18"/>
  <c r="D267" i="18"/>
  <c r="C267" i="18"/>
  <c r="B267" i="18"/>
  <c r="D266" i="18"/>
  <c r="C266" i="18"/>
  <c r="B266" i="18"/>
  <c r="D265" i="18"/>
  <c r="C265" i="18"/>
  <c r="B265" i="18"/>
  <c r="D264" i="18"/>
  <c r="C264" i="18"/>
  <c r="B264" i="18"/>
  <c r="D263" i="18"/>
  <c r="C263" i="18"/>
  <c r="B263" i="18"/>
  <c r="D262" i="18"/>
  <c r="C262" i="18"/>
  <c r="B262" i="18"/>
  <c r="D261" i="18"/>
  <c r="C261" i="18"/>
  <c r="B261" i="18"/>
  <c r="D260" i="18"/>
  <c r="C260" i="18"/>
  <c r="B260" i="18"/>
  <c r="D259" i="18"/>
  <c r="C259" i="18"/>
  <c r="B259" i="18"/>
  <c r="D258" i="18"/>
  <c r="C258" i="18"/>
  <c r="B258" i="18"/>
  <c r="D257" i="18"/>
  <c r="C257" i="18"/>
  <c r="B257" i="18"/>
  <c r="D256" i="18"/>
  <c r="C256" i="18"/>
  <c r="B256" i="18"/>
  <c r="D255" i="18"/>
  <c r="C255" i="18"/>
  <c r="B255" i="18"/>
  <c r="D254" i="18"/>
  <c r="C254" i="18"/>
  <c r="B254" i="18"/>
  <c r="D253" i="18"/>
  <c r="C253" i="18"/>
  <c r="B253" i="18"/>
  <c r="D252" i="18"/>
  <c r="C252" i="18"/>
  <c r="B252" i="18"/>
  <c r="D251" i="18"/>
  <c r="C251" i="18"/>
  <c r="B251" i="18"/>
  <c r="D250" i="18"/>
  <c r="C250" i="18"/>
  <c r="B250" i="18"/>
  <c r="D249" i="18"/>
  <c r="C249" i="18"/>
  <c r="B249" i="18"/>
  <c r="D248" i="18"/>
  <c r="C248" i="18"/>
  <c r="B248" i="18"/>
  <c r="D247" i="18"/>
  <c r="C247" i="18"/>
  <c r="B247" i="18"/>
  <c r="D246" i="18"/>
  <c r="C246" i="18"/>
  <c r="B246" i="18"/>
  <c r="D245" i="18"/>
  <c r="C245" i="18"/>
  <c r="B245" i="18"/>
  <c r="D244" i="18"/>
  <c r="C244" i="18"/>
  <c r="B244" i="18"/>
  <c r="D243" i="18"/>
  <c r="C243" i="18"/>
  <c r="B243" i="18"/>
  <c r="D242" i="18"/>
  <c r="C242" i="18"/>
  <c r="B242" i="18"/>
  <c r="D241" i="18"/>
  <c r="C241" i="18"/>
  <c r="B241" i="18"/>
  <c r="D240" i="18"/>
  <c r="C240" i="18"/>
  <c r="B240" i="18"/>
  <c r="D239" i="18"/>
  <c r="C239" i="18"/>
  <c r="B239" i="18"/>
  <c r="D238" i="18"/>
  <c r="C238" i="18"/>
  <c r="B238" i="18"/>
  <c r="D237" i="18"/>
  <c r="C237" i="18"/>
  <c r="B237" i="18"/>
  <c r="D236" i="18"/>
  <c r="C236" i="18"/>
  <c r="B236" i="18"/>
  <c r="D235" i="18"/>
  <c r="C235" i="18"/>
  <c r="B235" i="18"/>
  <c r="D234" i="18"/>
  <c r="C234" i="18"/>
  <c r="B234" i="18"/>
  <c r="D233" i="18"/>
  <c r="C233" i="18"/>
  <c r="B233" i="18"/>
  <c r="D232" i="18"/>
  <c r="C232" i="18"/>
  <c r="B232" i="18"/>
  <c r="D231" i="18"/>
  <c r="C231" i="18"/>
  <c r="B231" i="18"/>
  <c r="D230" i="18"/>
  <c r="C230" i="18"/>
  <c r="B230" i="18"/>
  <c r="D229" i="18"/>
  <c r="C229" i="18"/>
  <c r="B229" i="18"/>
  <c r="D228" i="18"/>
  <c r="C228" i="18"/>
  <c r="B228" i="18"/>
  <c r="D227" i="18"/>
  <c r="C227" i="18"/>
  <c r="B227" i="18"/>
  <c r="D226" i="18"/>
  <c r="C226" i="18"/>
  <c r="B226" i="18"/>
  <c r="D225" i="18"/>
  <c r="C225" i="18"/>
  <c r="B225" i="18"/>
  <c r="D224" i="18"/>
  <c r="C224" i="18"/>
  <c r="B224" i="18"/>
  <c r="D223" i="18"/>
  <c r="C223" i="18"/>
  <c r="B223" i="18"/>
  <c r="D222" i="18"/>
  <c r="C222" i="18"/>
  <c r="B222" i="18"/>
  <c r="D221" i="18"/>
  <c r="C221" i="18"/>
  <c r="B221" i="18"/>
  <c r="D220" i="18"/>
  <c r="C220" i="18"/>
  <c r="B220" i="18"/>
  <c r="D219" i="18"/>
  <c r="C219" i="18"/>
  <c r="B219" i="18"/>
  <c r="D218" i="18"/>
  <c r="C218" i="18"/>
  <c r="B218" i="18"/>
  <c r="D217" i="18"/>
  <c r="C217" i="18"/>
  <c r="B217" i="18"/>
  <c r="D216" i="18"/>
  <c r="C216" i="18"/>
  <c r="B216" i="18"/>
  <c r="D215" i="18"/>
  <c r="C215" i="18"/>
  <c r="B215" i="18"/>
  <c r="D214" i="18"/>
  <c r="C214" i="18"/>
  <c r="B214" i="18"/>
  <c r="D213" i="18"/>
  <c r="C213" i="18"/>
  <c r="B213" i="18"/>
  <c r="D212" i="18"/>
  <c r="C212" i="18"/>
  <c r="B212" i="18"/>
  <c r="D211" i="18"/>
  <c r="C211" i="18"/>
  <c r="B211" i="18"/>
  <c r="D210" i="18"/>
  <c r="C210" i="18"/>
  <c r="B210" i="18"/>
  <c r="D209" i="18"/>
  <c r="C209" i="18"/>
  <c r="B209" i="18"/>
  <c r="D208" i="18"/>
  <c r="C208" i="18"/>
  <c r="B208" i="18"/>
  <c r="D207" i="18"/>
  <c r="C207" i="18"/>
  <c r="B207" i="18"/>
  <c r="D206" i="18"/>
  <c r="C206" i="18"/>
  <c r="B206" i="18"/>
  <c r="D205" i="18"/>
  <c r="C205" i="18"/>
  <c r="B205" i="18"/>
  <c r="D204" i="18"/>
  <c r="C204" i="18"/>
  <c r="B204" i="18"/>
  <c r="D203" i="18"/>
  <c r="C203" i="18"/>
  <c r="B203" i="18"/>
  <c r="D202" i="18"/>
  <c r="C202" i="18"/>
  <c r="B202" i="18"/>
  <c r="D201" i="18"/>
  <c r="C201" i="18"/>
  <c r="B201" i="18"/>
  <c r="D200" i="18"/>
  <c r="C200" i="18"/>
  <c r="B200" i="18"/>
  <c r="D199" i="18"/>
  <c r="C199" i="18"/>
  <c r="B199" i="18"/>
  <c r="D198" i="18"/>
  <c r="C198" i="18"/>
  <c r="B198" i="18"/>
  <c r="D197" i="18"/>
  <c r="C197" i="18"/>
  <c r="B197" i="18"/>
  <c r="D196" i="18"/>
  <c r="C196" i="18"/>
  <c r="B196" i="18"/>
  <c r="D195" i="18"/>
  <c r="C195" i="18"/>
  <c r="B195" i="18"/>
  <c r="D194" i="18"/>
  <c r="C194" i="18"/>
  <c r="B194" i="18"/>
  <c r="D193" i="18"/>
  <c r="C193" i="18"/>
  <c r="B193" i="18"/>
  <c r="D192" i="18"/>
  <c r="C192" i="18"/>
  <c r="B192" i="18"/>
  <c r="D191" i="18"/>
  <c r="C191" i="18"/>
  <c r="B191" i="18"/>
  <c r="D190" i="18"/>
  <c r="C190" i="18"/>
  <c r="B190" i="18"/>
  <c r="D189" i="18"/>
  <c r="C189" i="18"/>
  <c r="B189" i="18"/>
  <c r="D188" i="18"/>
  <c r="C188" i="18"/>
  <c r="B188" i="18"/>
  <c r="D187" i="18"/>
  <c r="C187" i="18"/>
  <c r="B187" i="18"/>
  <c r="D186" i="18"/>
  <c r="C186" i="18"/>
  <c r="B186" i="18"/>
  <c r="D185" i="18"/>
  <c r="C185" i="18"/>
  <c r="B185" i="18"/>
  <c r="D184" i="18"/>
  <c r="C184" i="18"/>
  <c r="B184" i="18"/>
  <c r="D183" i="18"/>
  <c r="C183" i="18"/>
  <c r="B183" i="18"/>
  <c r="D182" i="18"/>
  <c r="C182" i="18"/>
  <c r="B182" i="18"/>
  <c r="D181" i="18"/>
  <c r="C181" i="18"/>
  <c r="B181" i="18"/>
  <c r="D180" i="18"/>
  <c r="C180" i="18"/>
  <c r="B180" i="18"/>
  <c r="D179" i="18"/>
  <c r="C179" i="18"/>
  <c r="B179" i="18"/>
  <c r="D178" i="18"/>
  <c r="C178" i="18"/>
  <c r="B178" i="18"/>
  <c r="D177" i="18"/>
  <c r="C177" i="18"/>
  <c r="B177" i="18"/>
  <c r="D176" i="18"/>
  <c r="C176" i="18"/>
  <c r="B176" i="18"/>
  <c r="D175" i="18"/>
  <c r="C175" i="18"/>
  <c r="B175" i="18"/>
  <c r="D174" i="18"/>
  <c r="C174" i="18"/>
  <c r="B174" i="18"/>
  <c r="D173" i="18"/>
  <c r="C173" i="18"/>
  <c r="B173" i="18"/>
  <c r="D172" i="18"/>
  <c r="C172" i="18"/>
  <c r="B172" i="18"/>
  <c r="D171" i="18"/>
  <c r="C171" i="18"/>
  <c r="B171" i="18"/>
  <c r="D170" i="18"/>
  <c r="C170" i="18"/>
  <c r="B170" i="18"/>
  <c r="D169" i="18"/>
  <c r="C169" i="18"/>
  <c r="B169" i="18"/>
  <c r="D168" i="18"/>
  <c r="C168" i="18"/>
  <c r="B168" i="18"/>
  <c r="D167" i="18"/>
  <c r="C167" i="18"/>
  <c r="B167" i="18"/>
  <c r="D166" i="18"/>
  <c r="C166" i="18"/>
  <c r="B166" i="18"/>
  <c r="D165" i="18"/>
  <c r="C165" i="18"/>
  <c r="B165" i="18"/>
  <c r="D164" i="18"/>
  <c r="C164" i="18"/>
  <c r="B164" i="18"/>
  <c r="D163" i="18"/>
  <c r="C163" i="18"/>
  <c r="B163" i="18"/>
  <c r="D162" i="18"/>
  <c r="C162" i="18"/>
  <c r="B162" i="18"/>
  <c r="D161" i="18"/>
  <c r="C161" i="18"/>
  <c r="B161" i="18"/>
  <c r="D160" i="18"/>
  <c r="C160" i="18"/>
  <c r="B160" i="18"/>
  <c r="D159" i="18"/>
  <c r="C159" i="18"/>
  <c r="B159" i="18"/>
  <c r="D158" i="18"/>
  <c r="C158" i="18"/>
  <c r="B158" i="18"/>
  <c r="D157" i="18"/>
  <c r="C157" i="18"/>
  <c r="B157" i="18"/>
  <c r="D156" i="18"/>
  <c r="C156" i="18"/>
  <c r="B156" i="18"/>
  <c r="D155" i="18"/>
  <c r="C155" i="18"/>
  <c r="B155" i="18"/>
  <c r="D154" i="18"/>
  <c r="C154" i="18"/>
  <c r="B154" i="18"/>
  <c r="D153" i="18"/>
  <c r="C153" i="18"/>
  <c r="B153" i="18"/>
  <c r="D152" i="18"/>
  <c r="C152" i="18"/>
  <c r="B152" i="18"/>
  <c r="D151" i="18"/>
  <c r="C151" i="18"/>
  <c r="B151" i="18"/>
  <c r="D150" i="18"/>
  <c r="C150" i="18"/>
  <c r="B150" i="18"/>
  <c r="D149" i="18"/>
  <c r="C149" i="18"/>
  <c r="B149" i="18"/>
  <c r="D148" i="18"/>
  <c r="C148" i="18"/>
  <c r="B148" i="18"/>
  <c r="D147" i="18"/>
  <c r="C147" i="18"/>
  <c r="B147" i="18"/>
  <c r="D146" i="18"/>
  <c r="C146" i="18"/>
  <c r="B146" i="18"/>
  <c r="D145" i="18"/>
  <c r="C145" i="18"/>
  <c r="B145" i="18"/>
  <c r="D144" i="18"/>
  <c r="C144" i="18"/>
  <c r="B144" i="18"/>
  <c r="D143" i="18"/>
  <c r="C143" i="18"/>
  <c r="B143" i="18"/>
  <c r="D142" i="18"/>
  <c r="C142" i="18"/>
  <c r="B142" i="18"/>
  <c r="D141" i="18"/>
  <c r="C141" i="18"/>
  <c r="B141" i="18"/>
  <c r="D140" i="18"/>
  <c r="C140" i="18"/>
  <c r="B140" i="18"/>
  <c r="D139" i="18"/>
  <c r="C139" i="18"/>
  <c r="B139" i="18"/>
  <c r="D138" i="18"/>
  <c r="C138" i="18"/>
  <c r="B138" i="18"/>
  <c r="D137" i="18"/>
  <c r="C137" i="18"/>
  <c r="B137" i="18"/>
  <c r="D136" i="18"/>
  <c r="C136" i="18"/>
  <c r="B136" i="18"/>
  <c r="D135" i="18"/>
  <c r="C135" i="18"/>
  <c r="B135" i="18"/>
  <c r="D134" i="18"/>
  <c r="C134" i="18"/>
  <c r="B134" i="18"/>
  <c r="D133" i="18"/>
  <c r="C133" i="18"/>
  <c r="B133" i="18"/>
  <c r="D132" i="18"/>
  <c r="C132" i="18"/>
  <c r="B132" i="18"/>
  <c r="D131" i="18"/>
  <c r="C131" i="18"/>
  <c r="B131" i="18"/>
  <c r="D130" i="18"/>
  <c r="C130" i="18"/>
  <c r="B130" i="18"/>
  <c r="D129" i="18"/>
  <c r="C129" i="18"/>
  <c r="B129" i="18"/>
  <c r="D128" i="18"/>
  <c r="C128" i="18"/>
  <c r="B128" i="18"/>
  <c r="D127" i="18"/>
  <c r="C127" i="18"/>
  <c r="B127" i="18"/>
  <c r="D126" i="18"/>
  <c r="C126" i="18"/>
  <c r="B126" i="18"/>
  <c r="U125" i="18"/>
  <c r="M125" i="18"/>
  <c r="D125" i="18"/>
  <c r="C125" i="18"/>
  <c r="B125" i="18"/>
  <c r="U124" i="18"/>
  <c r="M124" i="18"/>
  <c r="D124" i="18"/>
  <c r="C124" i="18"/>
  <c r="B124" i="18"/>
  <c r="U123" i="18"/>
  <c r="M123" i="18"/>
  <c r="D123" i="18"/>
  <c r="C123" i="18"/>
  <c r="B123" i="18"/>
  <c r="U122" i="18"/>
  <c r="M122" i="18"/>
  <c r="D122" i="18"/>
  <c r="C122" i="18"/>
  <c r="B122" i="18"/>
  <c r="U121" i="18"/>
  <c r="M121" i="18"/>
  <c r="D121" i="18"/>
  <c r="C121" i="18"/>
  <c r="B121" i="18"/>
  <c r="U120" i="18"/>
  <c r="M120" i="18"/>
  <c r="D120" i="18"/>
  <c r="C120" i="18"/>
  <c r="B120" i="18"/>
  <c r="U119" i="18"/>
  <c r="M119" i="18"/>
  <c r="D119" i="18"/>
  <c r="C119" i="18"/>
  <c r="B119" i="18"/>
  <c r="U118" i="18"/>
  <c r="M118" i="18"/>
  <c r="D118" i="18"/>
  <c r="C118" i="18"/>
  <c r="B118" i="18"/>
  <c r="U117" i="18"/>
  <c r="M117" i="18"/>
  <c r="D117" i="18"/>
  <c r="C117" i="18"/>
  <c r="B117" i="18"/>
  <c r="U116" i="18"/>
  <c r="M116" i="18"/>
  <c r="D116" i="18"/>
  <c r="C116" i="18"/>
  <c r="B116" i="18"/>
  <c r="U115" i="18"/>
  <c r="M115" i="18"/>
  <c r="D115" i="18"/>
  <c r="C115" i="18"/>
  <c r="B115" i="18"/>
  <c r="U114" i="18"/>
  <c r="M114" i="18"/>
  <c r="D114" i="18"/>
  <c r="C114" i="18"/>
  <c r="B114" i="18"/>
  <c r="U113" i="18"/>
  <c r="M113" i="18"/>
  <c r="D113" i="18"/>
  <c r="C113" i="18"/>
  <c r="B113" i="18"/>
  <c r="U112" i="18"/>
  <c r="M112" i="18"/>
  <c r="D112" i="18"/>
  <c r="C112" i="18"/>
  <c r="B112" i="18"/>
  <c r="U111" i="18"/>
  <c r="M111" i="18"/>
  <c r="D111" i="18"/>
  <c r="C111" i="18"/>
  <c r="B111" i="18"/>
  <c r="U110" i="18"/>
  <c r="M110" i="18"/>
  <c r="D110" i="18"/>
  <c r="C110" i="18"/>
  <c r="B110" i="18"/>
  <c r="U109" i="18"/>
  <c r="M109" i="18"/>
  <c r="D109" i="18"/>
  <c r="C109" i="18"/>
  <c r="B109" i="18"/>
  <c r="U108" i="18"/>
  <c r="M108" i="18"/>
  <c r="D108" i="18"/>
  <c r="C108" i="18"/>
  <c r="B108" i="18"/>
  <c r="U107" i="18"/>
  <c r="M107" i="18"/>
  <c r="D107" i="18"/>
  <c r="C107" i="18"/>
  <c r="B107" i="18"/>
  <c r="U106" i="18"/>
  <c r="M106" i="18"/>
  <c r="D106" i="18"/>
  <c r="C106" i="18"/>
  <c r="B106" i="18"/>
  <c r="U105" i="18"/>
  <c r="M105" i="18"/>
  <c r="D105" i="18"/>
  <c r="C105" i="18"/>
  <c r="B105" i="18"/>
  <c r="U104" i="18"/>
  <c r="M104" i="18"/>
  <c r="D104" i="18"/>
  <c r="C104" i="18"/>
  <c r="B104" i="18"/>
  <c r="U103" i="18"/>
  <c r="M103" i="18"/>
  <c r="D103" i="18"/>
  <c r="C103" i="18"/>
  <c r="B103" i="18"/>
  <c r="U102" i="18"/>
  <c r="M102" i="18"/>
  <c r="D102" i="18"/>
  <c r="C102" i="18"/>
  <c r="B102" i="18"/>
  <c r="U101" i="18"/>
  <c r="M101" i="18"/>
  <c r="D101" i="18"/>
  <c r="C101" i="18"/>
  <c r="B101" i="18"/>
  <c r="U100" i="18"/>
  <c r="M100" i="18"/>
  <c r="D100" i="18"/>
  <c r="C100" i="18"/>
  <c r="B100" i="18"/>
  <c r="U99" i="18"/>
  <c r="M99" i="18"/>
  <c r="D99" i="18"/>
  <c r="C99" i="18"/>
  <c r="B99" i="18"/>
  <c r="U98" i="18"/>
  <c r="M98" i="18"/>
  <c r="D98" i="18"/>
  <c r="C98" i="18"/>
  <c r="B98" i="18"/>
  <c r="U97" i="18"/>
  <c r="M97" i="18"/>
  <c r="D97" i="18"/>
  <c r="C97" i="18"/>
  <c r="B97" i="18"/>
  <c r="U96" i="18"/>
  <c r="M96" i="18"/>
  <c r="D96" i="18"/>
  <c r="C96" i="18"/>
  <c r="B96" i="18"/>
  <c r="U95" i="18"/>
  <c r="M95" i="18"/>
  <c r="D95" i="18"/>
  <c r="C95" i="18"/>
  <c r="B95" i="18"/>
  <c r="U94" i="18"/>
  <c r="M94" i="18"/>
  <c r="D94" i="18"/>
  <c r="C94" i="18"/>
  <c r="B94" i="18"/>
  <c r="U93" i="18"/>
  <c r="M93" i="18"/>
  <c r="D93" i="18"/>
  <c r="C93" i="18"/>
  <c r="B93" i="18"/>
  <c r="U92" i="18"/>
  <c r="M92" i="18"/>
  <c r="D92" i="18"/>
  <c r="C92" i="18"/>
  <c r="B92" i="18"/>
  <c r="U91" i="18"/>
  <c r="M91" i="18"/>
  <c r="D91" i="18"/>
  <c r="C91" i="18"/>
  <c r="B91" i="18"/>
  <c r="U90" i="18"/>
  <c r="M90" i="18"/>
  <c r="D90" i="18"/>
  <c r="C90" i="18"/>
  <c r="B90" i="18"/>
  <c r="U89" i="18"/>
  <c r="M89" i="18"/>
  <c r="D89" i="18"/>
  <c r="C89" i="18"/>
  <c r="B89" i="18"/>
  <c r="U88" i="18"/>
  <c r="M88" i="18"/>
  <c r="D88" i="18"/>
  <c r="C88" i="18"/>
  <c r="B88" i="18"/>
  <c r="U87" i="18"/>
  <c r="M87" i="18"/>
  <c r="D87" i="18"/>
  <c r="C87" i="18"/>
  <c r="B87" i="18"/>
  <c r="U86" i="18"/>
  <c r="M86" i="18"/>
  <c r="D86" i="18"/>
  <c r="C86" i="18"/>
  <c r="B86" i="18"/>
  <c r="U85" i="18"/>
  <c r="M85" i="18"/>
  <c r="D85" i="18"/>
  <c r="C85" i="18"/>
  <c r="B85" i="18"/>
  <c r="U84" i="18"/>
  <c r="M84" i="18"/>
  <c r="D84" i="18"/>
  <c r="C84" i="18"/>
  <c r="B84" i="18"/>
  <c r="U83" i="18"/>
  <c r="M83" i="18"/>
  <c r="D83" i="18"/>
  <c r="C83" i="18"/>
  <c r="B83" i="18"/>
  <c r="U82" i="18"/>
  <c r="M82" i="18"/>
  <c r="D82" i="18"/>
  <c r="C82" i="18"/>
  <c r="B82" i="18"/>
  <c r="U81" i="18"/>
  <c r="M81" i="18"/>
  <c r="D81" i="18"/>
  <c r="C81" i="18"/>
  <c r="B81" i="18"/>
  <c r="U80" i="18"/>
  <c r="M80" i="18"/>
  <c r="D80" i="18"/>
  <c r="C80" i="18"/>
  <c r="B80" i="18"/>
  <c r="U79" i="18"/>
  <c r="M79" i="18"/>
  <c r="D79" i="18"/>
  <c r="C79" i="18"/>
  <c r="B79" i="18"/>
  <c r="U78" i="18"/>
  <c r="M78" i="18"/>
  <c r="D78" i="18"/>
  <c r="C78" i="18"/>
  <c r="B78" i="18"/>
  <c r="U77" i="18"/>
  <c r="M77" i="18"/>
  <c r="D77" i="18"/>
  <c r="C77" i="18"/>
  <c r="B77" i="18"/>
  <c r="U76" i="18"/>
  <c r="M76" i="18"/>
  <c r="D76" i="18"/>
  <c r="C76" i="18"/>
  <c r="B76" i="18"/>
  <c r="U75" i="18"/>
  <c r="M75" i="18"/>
  <c r="D75" i="18"/>
  <c r="C75" i="18"/>
  <c r="B75" i="18"/>
  <c r="U74" i="18"/>
  <c r="M74" i="18"/>
  <c r="D74" i="18"/>
  <c r="C74" i="18"/>
  <c r="B74" i="18"/>
  <c r="U73" i="18"/>
  <c r="M73" i="18"/>
  <c r="D73" i="18"/>
  <c r="C73" i="18"/>
  <c r="B73" i="18"/>
  <c r="U72" i="18"/>
  <c r="M72" i="18"/>
  <c r="D72" i="18"/>
  <c r="C72" i="18"/>
  <c r="B72" i="18"/>
  <c r="U71" i="18"/>
  <c r="M71" i="18"/>
  <c r="D71" i="18"/>
  <c r="C71" i="18"/>
  <c r="B71" i="18"/>
  <c r="U70" i="18"/>
  <c r="M70" i="18"/>
  <c r="D70" i="18"/>
  <c r="C70" i="18"/>
  <c r="B70" i="18"/>
  <c r="U69" i="18"/>
  <c r="M69" i="18"/>
  <c r="D69" i="18"/>
  <c r="C69" i="18"/>
  <c r="B69" i="18"/>
  <c r="U68" i="18"/>
  <c r="M68" i="18"/>
  <c r="D68" i="18"/>
  <c r="C68" i="18"/>
  <c r="B68" i="18"/>
  <c r="U67" i="18"/>
  <c r="M67" i="18"/>
  <c r="D67" i="18"/>
  <c r="C67" i="18"/>
  <c r="B67" i="18"/>
  <c r="U66" i="18"/>
  <c r="M66" i="18"/>
  <c r="D66" i="18"/>
  <c r="C66" i="18"/>
  <c r="B66" i="18"/>
  <c r="U65" i="18"/>
  <c r="M65" i="18"/>
  <c r="D65" i="18"/>
  <c r="C65" i="18"/>
  <c r="B65" i="18"/>
  <c r="U64" i="18"/>
  <c r="M64" i="18"/>
  <c r="D64" i="18"/>
  <c r="C64" i="18"/>
  <c r="B64" i="18"/>
  <c r="U63" i="18"/>
  <c r="M63" i="18"/>
  <c r="D63" i="18"/>
  <c r="C63" i="18"/>
  <c r="B63" i="18"/>
  <c r="U62" i="18"/>
  <c r="M62" i="18"/>
  <c r="D62" i="18"/>
  <c r="C62" i="18"/>
  <c r="B62" i="18"/>
  <c r="U61" i="18"/>
  <c r="M61" i="18"/>
  <c r="D61" i="18"/>
  <c r="C61" i="18"/>
  <c r="B61" i="18"/>
  <c r="U60" i="18"/>
  <c r="M60" i="18"/>
  <c r="D60" i="18"/>
  <c r="C60" i="18"/>
  <c r="B60" i="18"/>
  <c r="U59" i="18"/>
  <c r="M59" i="18"/>
  <c r="D59" i="18"/>
  <c r="C59" i="18"/>
  <c r="B59" i="18"/>
  <c r="U58" i="18"/>
  <c r="M58" i="18"/>
  <c r="D58" i="18"/>
  <c r="C58" i="18"/>
  <c r="B58" i="18"/>
  <c r="U57" i="18"/>
  <c r="M57" i="18"/>
  <c r="D57" i="18"/>
  <c r="C57" i="18"/>
  <c r="B57" i="18"/>
  <c r="U56" i="18"/>
  <c r="M56" i="18"/>
  <c r="D56" i="18"/>
  <c r="C56" i="18"/>
  <c r="B56" i="18"/>
  <c r="U55" i="18"/>
  <c r="M55" i="18"/>
  <c r="D55" i="18"/>
  <c r="C55" i="18"/>
  <c r="B55" i="18"/>
  <c r="U54" i="18"/>
  <c r="M54" i="18"/>
  <c r="D54" i="18"/>
  <c r="C54" i="18"/>
  <c r="B54" i="18"/>
  <c r="U53" i="18"/>
  <c r="M53" i="18"/>
  <c r="D53" i="18"/>
  <c r="C53" i="18"/>
  <c r="B53" i="18"/>
  <c r="U52" i="18"/>
  <c r="M52" i="18"/>
  <c r="D52" i="18"/>
  <c r="C52" i="18"/>
  <c r="B52" i="18"/>
  <c r="U51" i="18"/>
  <c r="M51" i="18"/>
  <c r="D51" i="18"/>
  <c r="C51" i="18"/>
  <c r="B51" i="18"/>
  <c r="U50" i="18"/>
  <c r="M50" i="18"/>
  <c r="D50" i="18"/>
  <c r="C50" i="18"/>
  <c r="B50" i="18"/>
  <c r="U49" i="18"/>
  <c r="M49" i="18"/>
  <c r="D49" i="18"/>
  <c r="C49" i="18"/>
  <c r="B49" i="18"/>
  <c r="U48" i="18"/>
  <c r="M48" i="18"/>
  <c r="D48" i="18"/>
  <c r="C48" i="18"/>
  <c r="B48" i="18"/>
  <c r="U47" i="18"/>
  <c r="M47" i="18"/>
  <c r="D47" i="18"/>
  <c r="C47" i="18"/>
  <c r="B47" i="18"/>
  <c r="U46" i="18"/>
  <c r="M46" i="18"/>
  <c r="D46" i="18"/>
  <c r="C46" i="18"/>
  <c r="B46" i="18"/>
  <c r="U45" i="18"/>
  <c r="M45" i="18"/>
  <c r="D45" i="18"/>
  <c r="C45" i="18"/>
  <c r="B45" i="18"/>
  <c r="U44" i="18"/>
  <c r="M44" i="18"/>
  <c r="D44" i="18"/>
  <c r="C44" i="18"/>
  <c r="B44" i="18"/>
  <c r="U43" i="18"/>
  <c r="M43" i="18"/>
  <c r="D43" i="18"/>
  <c r="C43" i="18"/>
  <c r="B43" i="18"/>
  <c r="U42" i="18"/>
  <c r="M42" i="18"/>
  <c r="D42" i="18"/>
  <c r="C42" i="18"/>
  <c r="B42" i="18"/>
  <c r="U41" i="18"/>
  <c r="M41" i="18"/>
  <c r="D41" i="18"/>
  <c r="C41" i="18"/>
  <c r="B41" i="18"/>
  <c r="U40" i="18"/>
  <c r="M40" i="18"/>
  <c r="D40" i="18"/>
  <c r="C40" i="18"/>
  <c r="B40" i="18"/>
  <c r="U39" i="18"/>
  <c r="M39" i="18"/>
  <c r="D39" i="18"/>
  <c r="C39" i="18"/>
  <c r="B39" i="18"/>
  <c r="U38" i="18"/>
  <c r="M38" i="18"/>
  <c r="D38" i="18"/>
  <c r="C38" i="18"/>
  <c r="B38" i="18"/>
  <c r="U37" i="18"/>
  <c r="M37" i="18"/>
  <c r="D37" i="18"/>
  <c r="C37" i="18"/>
  <c r="B37" i="18"/>
  <c r="U36" i="18"/>
  <c r="M36" i="18"/>
  <c r="D36" i="18"/>
  <c r="C36" i="18"/>
  <c r="B36" i="18"/>
  <c r="U35" i="18"/>
  <c r="M35" i="18"/>
  <c r="D35" i="18"/>
  <c r="C35" i="18"/>
  <c r="B35" i="18"/>
  <c r="U34" i="18"/>
  <c r="M34" i="18"/>
  <c r="D34" i="18"/>
  <c r="C34" i="18"/>
  <c r="B34" i="18"/>
  <c r="U33" i="18"/>
  <c r="M33" i="18"/>
  <c r="D33" i="18"/>
  <c r="C33" i="18"/>
  <c r="B33" i="18"/>
  <c r="U32" i="18"/>
  <c r="M32" i="18"/>
  <c r="D32" i="18"/>
  <c r="C32" i="18"/>
  <c r="B32" i="18"/>
  <c r="U31" i="18"/>
  <c r="M31" i="18"/>
  <c r="D31" i="18"/>
  <c r="C31" i="18"/>
  <c r="B31" i="18"/>
  <c r="U30" i="18"/>
  <c r="M30" i="18"/>
  <c r="D30" i="18"/>
  <c r="C30" i="18"/>
  <c r="B30" i="18"/>
  <c r="U29" i="18"/>
  <c r="M29" i="18"/>
  <c r="D29" i="18"/>
  <c r="C29" i="18"/>
  <c r="B29" i="18"/>
  <c r="U28" i="18"/>
  <c r="M28" i="18"/>
  <c r="D28" i="18"/>
  <c r="C28" i="18"/>
  <c r="B28" i="18"/>
  <c r="U27" i="18"/>
  <c r="M27" i="18"/>
  <c r="D27" i="18"/>
  <c r="C27" i="18"/>
  <c r="B27" i="18"/>
  <c r="U26" i="18"/>
  <c r="M26" i="18"/>
  <c r="D26" i="18"/>
  <c r="C26" i="18"/>
  <c r="B26" i="18"/>
  <c r="U25" i="18"/>
  <c r="M25" i="18"/>
  <c r="D25" i="18"/>
  <c r="C25" i="18"/>
  <c r="B25" i="18"/>
  <c r="U24" i="18"/>
  <c r="M24" i="18"/>
  <c r="D24" i="18"/>
  <c r="C24" i="18"/>
  <c r="B24" i="18"/>
  <c r="U23" i="18"/>
  <c r="M23" i="18"/>
  <c r="D23" i="18"/>
  <c r="C23" i="18"/>
  <c r="B23" i="18"/>
  <c r="U22" i="18"/>
  <c r="M22" i="18"/>
  <c r="D22" i="18"/>
  <c r="C22" i="18"/>
  <c r="B22" i="18"/>
  <c r="U21" i="18"/>
  <c r="M21" i="18"/>
  <c r="D21" i="18"/>
  <c r="C21" i="18"/>
  <c r="B21" i="18"/>
  <c r="U20" i="18"/>
  <c r="M20" i="18"/>
  <c r="D20" i="18"/>
  <c r="C20" i="18"/>
  <c r="B20" i="18"/>
  <c r="U19" i="18"/>
  <c r="M19" i="18"/>
  <c r="D19" i="18"/>
  <c r="C19" i="18"/>
  <c r="B19" i="18"/>
  <c r="U18" i="18"/>
  <c r="M18" i="18"/>
  <c r="D18" i="18"/>
  <c r="C18" i="18"/>
  <c r="B18" i="18"/>
  <c r="U17" i="18"/>
  <c r="M17" i="18"/>
  <c r="D17" i="18"/>
  <c r="C17" i="18"/>
  <c r="B17" i="18"/>
  <c r="U16" i="18"/>
  <c r="M16" i="18"/>
  <c r="D16" i="18"/>
  <c r="C16" i="18"/>
  <c r="B16" i="18"/>
  <c r="U15" i="18"/>
  <c r="M15" i="18"/>
  <c r="D15" i="18"/>
  <c r="C15" i="18"/>
  <c r="B15" i="18"/>
  <c r="U14" i="18"/>
  <c r="M14" i="18"/>
  <c r="D14" i="18"/>
  <c r="C14" i="18"/>
  <c r="B14" i="18"/>
  <c r="U13" i="18"/>
  <c r="M13" i="18"/>
  <c r="D13" i="18"/>
  <c r="C13" i="18"/>
  <c r="B13" i="18"/>
  <c r="U12" i="18"/>
  <c r="M12" i="18"/>
  <c r="D12" i="18"/>
  <c r="C12" i="18"/>
  <c r="B12" i="18"/>
  <c r="U11" i="18"/>
  <c r="M11" i="18"/>
  <c r="D11" i="18"/>
  <c r="C11" i="18"/>
  <c r="B11" i="18"/>
  <c r="U10" i="18"/>
  <c r="M10" i="18"/>
  <c r="D10" i="18"/>
  <c r="C10" i="18"/>
  <c r="B10" i="18"/>
  <c r="U9" i="18"/>
  <c r="M9" i="18"/>
  <c r="D9" i="18"/>
  <c r="C9" i="18"/>
  <c r="B9" i="18"/>
  <c r="U8" i="18"/>
  <c r="M8" i="18"/>
  <c r="D8" i="18"/>
  <c r="C8" i="18"/>
  <c r="B8" i="18"/>
  <c r="U7" i="18"/>
  <c r="M7" i="18"/>
  <c r="D7" i="18"/>
  <c r="C7" i="18"/>
  <c r="B7" i="18"/>
  <c r="U6" i="18"/>
  <c r="M6" i="18"/>
  <c r="D6" i="18"/>
  <c r="C6" i="18"/>
  <c r="B6" i="18"/>
  <c r="G317" i="17"/>
  <c r="D314" i="17"/>
  <c r="H317" i="17" s="1"/>
  <c r="D313" i="17"/>
  <c r="D301" i="17"/>
  <c r="D286" i="17"/>
  <c r="E282" i="17"/>
  <c r="D282" i="17"/>
  <c r="D280" i="17"/>
  <c r="G277" i="17"/>
  <c r="E277" i="17"/>
  <c r="D277" i="17"/>
  <c r="D276" i="17"/>
  <c r="D293" i="17" s="1"/>
  <c r="D275" i="17"/>
  <c r="D274" i="17"/>
  <c r="D273" i="17"/>
  <c r="F293" i="17" s="1"/>
  <c r="D272" i="17"/>
  <c r="D270" i="17"/>
  <c r="E270" i="17" s="1"/>
  <c r="D306" i="17" s="1"/>
  <c r="D269" i="17"/>
  <c r="D267" i="17"/>
  <c r="S68" i="17"/>
  <c r="R68" i="17"/>
  <c r="Q68" i="17"/>
  <c r="P68" i="17"/>
  <c r="O68" i="17"/>
  <c r="K68" i="17"/>
  <c r="S67" i="17"/>
  <c r="R67" i="17"/>
  <c r="Q67" i="17"/>
  <c r="P67" i="17"/>
  <c r="O67" i="17"/>
  <c r="K67" i="17"/>
  <c r="R66" i="17"/>
  <c r="Q66" i="17"/>
  <c r="R65" i="17"/>
  <c r="Q65" i="17"/>
  <c r="R64" i="17"/>
  <c r="Q64" i="17"/>
  <c r="R63" i="17"/>
  <c r="Q63" i="17"/>
  <c r="R62" i="17"/>
  <c r="Q62" i="17"/>
  <c r="R61" i="17"/>
  <c r="Q61" i="17"/>
  <c r="R60" i="17"/>
  <c r="Q60" i="17"/>
  <c r="C94" i="16"/>
  <c r="N94" i="16" s="1"/>
  <c r="C93" i="16"/>
  <c r="C92" i="16"/>
  <c r="K92" i="16" s="1"/>
  <c r="C91" i="16"/>
  <c r="I91" i="16" s="1"/>
  <c r="C90" i="16"/>
  <c r="M90" i="16" s="1"/>
  <c r="C89" i="16"/>
  <c r="G89" i="16" s="1"/>
  <c r="C88" i="16"/>
  <c r="C87" i="16"/>
  <c r="K87" i="16" s="1"/>
  <c r="C86" i="16"/>
  <c r="I86" i="16" s="1"/>
  <c r="C85" i="16"/>
  <c r="J85" i="16" s="1"/>
  <c r="C84" i="16"/>
  <c r="N84" i="16" s="1"/>
  <c r="C83" i="16"/>
  <c r="C82" i="16"/>
  <c r="M82" i="16" s="1"/>
  <c r="C81" i="16"/>
  <c r="J81" i="16" s="1"/>
  <c r="C80" i="16"/>
  <c r="N80" i="16" s="1"/>
  <c r="C79" i="16"/>
  <c r="N79" i="16" s="1"/>
  <c r="C78" i="16"/>
  <c r="M78" i="16" s="1"/>
  <c r="C77" i="16"/>
  <c r="C76" i="16"/>
  <c r="N76" i="16" s="1"/>
  <c r="C75" i="16"/>
  <c r="J75" i="16" s="1"/>
  <c r="C74" i="16"/>
  <c r="N74" i="16" s="1"/>
  <c r="C73" i="16"/>
  <c r="N73" i="16" s="1"/>
  <c r="C72" i="16"/>
  <c r="M72" i="16" s="1"/>
  <c r="C71" i="16"/>
  <c r="H71" i="16" s="1"/>
  <c r="C70" i="16"/>
  <c r="J70" i="16" s="1"/>
  <c r="C69" i="16"/>
  <c r="K69" i="16" s="1"/>
  <c r="C68" i="16"/>
  <c r="K68" i="16" s="1"/>
  <c r="C67" i="16"/>
  <c r="N67" i="16" s="1"/>
  <c r="C66" i="16"/>
  <c r="I66" i="16" s="1"/>
  <c r="C65" i="16"/>
  <c r="L65" i="16" s="1"/>
  <c r="C64" i="16"/>
  <c r="D64" i="16" s="1"/>
  <c r="C63" i="16"/>
  <c r="C62" i="16"/>
  <c r="D62" i="16" s="1"/>
  <c r="C61" i="16"/>
  <c r="C60" i="16"/>
  <c r="C59" i="16"/>
  <c r="D59" i="16" s="1"/>
  <c r="C58" i="16"/>
  <c r="C57" i="16"/>
  <c r="D57" i="16" s="1"/>
  <c r="C56" i="16"/>
  <c r="D56" i="16" s="1"/>
  <c r="C55" i="16"/>
  <c r="C54" i="16"/>
  <c r="J54" i="16" s="1"/>
  <c r="C53" i="16"/>
  <c r="C52" i="16"/>
  <c r="H52" i="16" s="1"/>
  <c r="C51" i="16"/>
  <c r="J51" i="16" s="1"/>
  <c r="C50" i="16"/>
  <c r="C49" i="16"/>
  <c r="N49" i="16" s="1"/>
  <c r="C48" i="16"/>
  <c r="N48" i="16" s="1"/>
  <c r="C47" i="16"/>
  <c r="I47" i="16" s="1"/>
  <c r="C46" i="16"/>
  <c r="L46" i="16" s="1"/>
  <c r="C45" i="16"/>
  <c r="K45" i="16" s="1"/>
  <c r="C44" i="16"/>
  <c r="C43" i="16"/>
  <c r="N43" i="16" s="1"/>
  <c r="C42" i="16"/>
  <c r="N42" i="16" s="1"/>
  <c r="C41" i="16"/>
  <c r="M41" i="16" s="1"/>
  <c r="C40" i="16"/>
  <c r="J40" i="16" s="1"/>
  <c r="C39" i="16"/>
  <c r="K39" i="16" s="1"/>
  <c r="C38" i="16"/>
  <c r="N38" i="16" s="1"/>
  <c r="C37" i="16"/>
  <c r="C36" i="16"/>
  <c r="C35" i="16"/>
  <c r="J35" i="16" s="1"/>
  <c r="C34" i="16"/>
  <c r="M34" i="16" s="1"/>
  <c r="C33" i="16"/>
  <c r="L33" i="16" s="1"/>
  <c r="C32" i="16"/>
  <c r="L32" i="16" s="1"/>
  <c r="C31" i="16"/>
  <c r="C30" i="16"/>
  <c r="N30" i="16" s="1"/>
  <c r="C29" i="16"/>
  <c r="N29" i="16" s="1"/>
  <c r="C28" i="16"/>
  <c r="N28" i="16" s="1"/>
  <c r="C27" i="16"/>
  <c r="C26" i="16"/>
  <c r="L26" i="16" s="1"/>
  <c r="C25" i="16"/>
  <c r="C24" i="16"/>
  <c r="C23" i="16"/>
  <c r="D23" i="16" s="1"/>
  <c r="C22" i="16"/>
  <c r="C21" i="16"/>
  <c r="C20" i="16"/>
  <c r="C19" i="16"/>
  <c r="C18" i="16"/>
  <c r="C17" i="16"/>
  <c r="D17" i="16" s="1"/>
  <c r="C16" i="16"/>
  <c r="C15" i="16"/>
  <c r="F7" i="16"/>
  <c r="C7" i="16"/>
  <c r="B7" i="16"/>
  <c r="F6" i="16"/>
  <c r="C6" i="16"/>
  <c r="B6" i="16"/>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F194" i="14"/>
  <c r="D6" i="2" s="1"/>
  <c r="F174" i="14"/>
  <c r="F173" i="14"/>
  <c r="F168" i="14"/>
  <c r="F158" i="14"/>
  <c r="F160" i="14" s="1"/>
  <c r="F157" i="14"/>
  <c r="F159" i="14" s="1"/>
  <c r="F110" i="14"/>
  <c r="H108" i="14"/>
  <c r="G108" i="14"/>
  <c r="F108" i="14"/>
  <c r="B29" i="14"/>
  <c r="D25" i="14"/>
  <c r="E14" i="14"/>
  <c r="D14" i="14"/>
  <c r="C14" i="14"/>
  <c r="B14" i="14"/>
  <c r="H14" i="14" s="1"/>
  <c r="E13" i="14"/>
  <c r="D13" i="14"/>
  <c r="C13" i="14"/>
  <c r="B13" i="14"/>
  <c r="H13" i="14" s="1"/>
  <c r="E12" i="14"/>
  <c r="D12" i="14"/>
  <c r="C12" i="14"/>
  <c r="B12" i="14"/>
  <c r="H12" i="14" s="1"/>
  <c r="E11" i="14"/>
  <c r="D11" i="14"/>
  <c r="C11" i="14"/>
  <c r="B11" i="14"/>
  <c r="H11" i="14" s="1"/>
  <c r="E10" i="14"/>
  <c r="D10" i="14"/>
  <c r="C10" i="14"/>
  <c r="B10" i="14"/>
  <c r="H10" i="14" s="1"/>
  <c r="E9" i="14"/>
  <c r="D9" i="14"/>
  <c r="C9" i="14"/>
  <c r="B9" i="14"/>
  <c r="H9" i="14" s="1"/>
  <c r="E8" i="14"/>
  <c r="D8" i="14"/>
  <c r="C8" i="14"/>
  <c r="B8" i="14"/>
  <c r="H8" i="14" s="1"/>
  <c r="E7" i="14"/>
  <c r="D7" i="14"/>
  <c r="C7" i="14"/>
  <c r="B7" i="14"/>
  <c r="H7" i="14" s="1"/>
  <c r="E6" i="14"/>
  <c r="D6" i="14"/>
  <c r="C6" i="14"/>
  <c r="B6" i="14"/>
  <c r="H6" i="14" s="1"/>
  <c r="K170" i="13"/>
  <c r="J170" i="13"/>
  <c r="I170" i="13"/>
  <c r="H170" i="13"/>
  <c r="G170" i="13"/>
  <c r="F170" i="13"/>
  <c r="E170" i="13"/>
  <c r="D170" i="13"/>
  <c r="C170" i="13"/>
  <c r="B170" i="13"/>
  <c r="K169" i="13"/>
  <c r="J169" i="13"/>
  <c r="I169" i="13"/>
  <c r="H169" i="13"/>
  <c r="G169" i="13"/>
  <c r="F169" i="13"/>
  <c r="E169" i="13"/>
  <c r="D169" i="13"/>
  <c r="C169" i="13"/>
  <c r="B169" i="13"/>
  <c r="K168" i="13"/>
  <c r="J168" i="13"/>
  <c r="I168" i="13"/>
  <c r="H168" i="13"/>
  <c r="G168" i="13"/>
  <c r="F168" i="13"/>
  <c r="E168" i="13"/>
  <c r="D168" i="13"/>
  <c r="C168" i="13"/>
  <c r="B168" i="13"/>
  <c r="K167" i="13"/>
  <c r="J167" i="13"/>
  <c r="I167" i="13"/>
  <c r="H167" i="13"/>
  <c r="G167" i="13"/>
  <c r="F167" i="13"/>
  <c r="E167" i="13"/>
  <c r="D167" i="13"/>
  <c r="C167" i="13"/>
  <c r="B167" i="13"/>
  <c r="K166" i="13"/>
  <c r="J166" i="13"/>
  <c r="I166" i="13"/>
  <c r="H166" i="13"/>
  <c r="G166" i="13"/>
  <c r="F166" i="13"/>
  <c r="E166" i="13"/>
  <c r="D166" i="13"/>
  <c r="C166" i="13"/>
  <c r="B166" i="13"/>
  <c r="K165" i="13"/>
  <c r="J165" i="13"/>
  <c r="I165" i="13"/>
  <c r="H165" i="13"/>
  <c r="G165" i="13"/>
  <c r="F165" i="13"/>
  <c r="E165" i="13"/>
  <c r="D165" i="13"/>
  <c r="C165" i="13"/>
  <c r="B165" i="13"/>
  <c r="K164" i="13"/>
  <c r="J164" i="13"/>
  <c r="I164" i="13"/>
  <c r="H164" i="13"/>
  <c r="G164" i="13"/>
  <c r="F164" i="13"/>
  <c r="E164" i="13"/>
  <c r="D164" i="13"/>
  <c r="C164" i="13"/>
  <c r="B164" i="13"/>
  <c r="K163" i="13"/>
  <c r="J163" i="13"/>
  <c r="I163" i="13"/>
  <c r="H163" i="13"/>
  <c r="G163" i="13"/>
  <c r="F163" i="13"/>
  <c r="E163" i="13"/>
  <c r="D163" i="13"/>
  <c r="C163" i="13"/>
  <c r="B163" i="13"/>
  <c r="K162" i="13"/>
  <c r="J162" i="13"/>
  <c r="I162" i="13"/>
  <c r="H162" i="13"/>
  <c r="G162" i="13"/>
  <c r="F162" i="13"/>
  <c r="E162" i="13"/>
  <c r="D162" i="13"/>
  <c r="C162" i="13"/>
  <c r="B162" i="13"/>
  <c r="K161" i="13"/>
  <c r="J161" i="13"/>
  <c r="I161" i="13"/>
  <c r="H161" i="13"/>
  <c r="G161" i="13"/>
  <c r="F161" i="13"/>
  <c r="E161" i="13"/>
  <c r="D161" i="13"/>
  <c r="C161" i="13"/>
  <c r="B161" i="13"/>
  <c r="K160" i="13"/>
  <c r="J160" i="13"/>
  <c r="I160" i="13"/>
  <c r="H160" i="13"/>
  <c r="G160" i="13"/>
  <c r="F160" i="13"/>
  <c r="E160" i="13"/>
  <c r="D160" i="13"/>
  <c r="C160" i="13"/>
  <c r="B160" i="13"/>
  <c r="K159" i="13"/>
  <c r="J159" i="13"/>
  <c r="I159" i="13"/>
  <c r="H159" i="13"/>
  <c r="G159" i="13"/>
  <c r="F159" i="13"/>
  <c r="E159" i="13"/>
  <c r="D159" i="13"/>
  <c r="C159" i="13"/>
  <c r="B159" i="13"/>
  <c r="K158" i="13"/>
  <c r="J158" i="13"/>
  <c r="I158" i="13"/>
  <c r="H158" i="13"/>
  <c r="G158" i="13"/>
  <c r="F158" i="13"/>
  <c r="E158" i="13"/>
  <c r="D158" i="13"/>
  <c r="C158" i="13"/>
  <c r="B158" i="13"/>
  <c r="K157" i="13"/>
  <c r="J157" i="13"/>
  <c r="I157" i="13"/>
  <c r="H157" i="13"/>
  <c r="G157" i="13"/>
  <c r="F157" i="13"/>
  <c r="E157" i="13"/>
  <c r="D157" i="13"/>
  <c r="C157" i="13"/>
  <c r="B157" i="13"/>
  <c r="K156" i="13"/>
  <c r="J156" i="13"/>
  <c r="I156" i="13"/>
  <c r="H156" i="13"/>
  <c r="G156" i="13"/>
  <c r="F156" i="13"/>
  <c r="E156" i="13"/>
  <c r="D156" i="13"/>
  <c r="C156" i="13"/>
  <c r="B156" i="13"/>
  <c r="K155" i="13"/>
  <c r="J155" i="13"/>
  <c r="I155" i="13"/>
  <c r="H155" i="13"/>
  <c r="G155" i="13"/>
  <c r="F155" i="13"/>
  <c r="E155" i="13"/>
  <c r="D155" i="13"/>
  <c r="C155" i="13"/>
  <c r="B155" i="13"/>
  <c r="K154" i="13"/>
  <c r="J154" i="13"/>
  <c r="I154" i="13"/>
  <c r="H154" i="13"/>
  <c r="G154" i="13"/>
  <c r="F154" i="13"/>
  <c r="E154" i="13"/>
  <c r="D154" i="13"/>
  <c r="C154" i="13"/>
  <c r="B154" i="13"/>
  <c r="K153" i="13"/>
  <c r="J153" i="13"/>
  <c r="I153" i="13"/>
  <c r="H153" i="13"/>
  <c r="G153" i="13"/>
  <c r="F153" i="13"/>
  <c r="E153" i="13"/>
  <c r="D153" i="13"/>
  <c r="C153" i="13"/>
  <c r="B153" i="13"/>
  <c r="K152" i="13"/>
  <c r="J152" i="13"/>
  <c r="I152" i="13"/>
  <c r="H152" i="13"/>
  <c r="G152" i="13"/>
  <c r="F152" i="13"/>
  <c r="E152" i="13"/>
  <c r="D152" i="13"/>
  <c r="C152" i="13"/>
  <c r="B152" i="13"/>
  <c r="K151" i="13"/>
  <c r="J151" i="13"/>
  <c r="I151" i="13"/>
  <c r="H151" i="13"/>
  <c r="G151" i="13"/>
  <c r="F151" i="13"/>
  <c r="E151" i="13"/>
  <c r="D151" i="13"/>
  <c r="C151" i="13"/>
  <c r="B151" i="13"/>
  <c r="K150" i="13"/>
  <c r="J150" i="13"/>
  <c r="I150" i="13"/>
  <c r="H150" i="13"/>
  <c r="G150" i="13"/>
  <c r="F150" i="13"/>
  <c r="E150" i="13"/>
  <c r="D150" i="13"/>
  <c r="C150" i="13"/>
  <c r="B150" i="13"/>
  <c r="K149" i="13"/>
  <c r="J149" i="13"/>
  <c r="I149" i="13"/>
  <c r="H149" i="13"/>
  <c r="G149" i="13"/>
  <c r="F149" i="13"/>
  <c r="E149" i="13"/>
  <c r="D149" i="13"/>
  <c r="C149" i="13"/>
  <c r="B149" i="13"/>
  <c r="K148" i="13"/>
  <c r="J148" i="13"/>
  <c r="I148" i="13"/>
  <c r="H148" i="13"/>
  <c r="G148" i="13"/>
  <c r="F148" i="13"/>
  <c r="E148" i="13"/>
  <c r="D148" i="13"/>
  <c r="C148" i="13"/>
  <c r="B148" i="13"/>
  <c r="K147" i="13"/>
  <c r="J147" i="13"/>
  <c r="I147" i="13"/>
  <c r="H147" i="13"/>
  <c r="G147" i="13"/>
  <c r="F147" i="13"/>
  <c r="E147" i="13"/>
  <c r="D147" i="13"/>
  <c r="C147" i="13"/>
  <c r="B147" i="13"/>
  <c r="K146" i="13"/>
  <c r="J146" i="13"/>
  <c r="I146" i="13"/>
  <c r="H146" i="13"/>
  <c r="G146" i="13"/>
  <c r="F146" i="13"/>
  <c r="E146" i="13"/>
  <c r="D146" i="13"/>
  <c r="C146" i="13"/>
  <c r="B146" i="13"/>
  <c r="K145" i="13"/>
  <c r="J145" i="13"/>
  <c r="I145" i="13"/>
  <c r="H145" i="13"/>
  <c r="G145" i="13"/>
  <c r="F145" i="13"/>
  <c r="E145" i="13"/>
  <c r="D145" i="13"/>
  <c r="C145" i="13"/>
  <c r="B145" i="13"/>
  <c r="K144" i="13"/>
  <c r="J144" i="13"/>
  <c r="I144" i="13"/>
  <c r="H144" i="13"/>
  <c r="G144" i="13"/>
  <c r="F144" i="13"/>
  <c r="E144" i="13"/>
  <c r="D144" i="13"/>
  <c r="C144" i="13"/>
  <c r="B144" i="13"/>
  <c r="K143" i="13"/>
  <c r="J143" i="13"/>
  <c r="I143" i="13"/>
  <c r="H143" i="13"/>
  <c r="G143" i="13"/>
  <c r="F143" i="13"/>
  <c r="E143" i="13"/>
  <c r="D143" i="13"/>
  <c r="C143" i="13"/>
  <c r="B143" i="13"/>
  <c r="K142" i="13"/>
  <c r="J142" i="13"/>
  <c r="I142" i="13"/>
  <c r="H142" i="13"/>
  <c r="G142" i="13"/>
  <c r="F142" i="13"/>
  <c r="E142" i="13"/>
  <c r="D142" i="13"/>
  <c r="C142" i="13"/>
  <c r="B142" i="13"/>
  <c r="K141" i="13"/>
  <c r="J141" i="13"/>
  <c r="I141" i="13"/>
  <c r="H141" i="13"/>
  <c r="G141" i="13"/>
  <c r="F141" i="13"/>
  <c r="E141" i="13"/>
  <c r="D141" i="13"/>
  <c r="C141" i="13"/>
  <c r="B141" i="13"/>
  <c r="K140" i="13"/>
  <c r="J140" i="13"/>
  <c r="I140" i="13"/>
  <c r="H140" i="13"/>
  <c r="G140" i="13"/>
  <c r="F140" i="13"/>
  <c r="E140" i="13"/>
  <c r="D140" i="13"/>
  <c r="C140" i="13"/>
  <c r="B140" i="13"/>
  <c r="K139" i="13"/>
  <c r="J139" i="13"/>
  <c r="I139" i="13"/>
  <c r="H139" i="13"/>
  <c r="G139" i="13"/>
  <c r="F139" i="13"/>
  <c r="E139" i="13"/>
  <c r="D139" i="13"/>
  <c r="C139" i="13"/>
  <c r="B139" i="13"/>
  <c r="K138" i="13"/>
  <c r="J138" i="13"/>
  <c r="I138" i="13"/>
  <c r="H138" i="13"/>
  <c r="G138" i="13"/>
  <c r="F138" i="13"/>
  <c r="E138" i="13"/>
  <c r="D138" i="13"/>
  <c r="C138" i="13"/>
  <c r="B138" i="13"/>
  <c r="K137" i="13"/>
  <c r="J137" i="13"/>
  <c r="I137" i="13"/>
  <c r="H137" i="13"/>
  <c r="G137" i="13"/>
  <c r="F137" i="13"/>
  <c r="E137" i="13"/>
  <c r="D137" i="13"/>
  <c r="C137" i="13"/>
  <c r="B137" i="13"/>
  <c r="K136" i="13"/>
  <c r="J136" i="13"/>
  <c r="I136" i="13"/>
  <c r="H136" i="13"/>
  <c r="G136" i="13"/>
  <c r="F136" i="13"/>
  <c r="E136" i="13"/>
  <c r="D136" i="13"/>
  <c r="C136" i="13"/>
  <c r="B136" i="13"/>
  <c r="K135" i="13"/>
  <c r="J135" i="13"/>
  <c r="I135" i="13"/>
  <c r="H135" i="13"/>
  <c r="G135" i="13"/>
  <c r="F135" i="13"/>
  <c r="E135" i="13"/>
  <c r="D135" i="13"/>
  <c r="C135" i="13"/>
  <c r="B135" i="13"/>
  <c r="K134" i="13"/>
  <c r="J134" i="13"/>
  <c r="I134" i="13"/>
  <c r="H134" i="13"/>
  <c r="G134" i="13"/>
  <c r="F134" i="13"/>
  <c r="E134" i="13"/>
  <c r="D134" i="13"/>
  <c r="C134" i="13"/>
  <c r="B134" i="13"/>
  <c r="K133" i="13"/>
  <c r="J133" i="13"/>
  <c r="I133" i="13"/>
  <c r="H133" i="13"/>
  <c r="G133" i="13"/>
  <c r="F133" i="13"/>
  <c r="E133" i="13"/>
  <c r="D133" i="13"/>
  <c r="C133" i="13"/>
  <c r="B133" i="13"/>
  <c r="K132" i="13"/>
  <c r="J132" i="13"/>
  <c r="I132" i="13"/>
  <c r="H132" i="13"/>
  <c r="G132" i="13"/>
  <c r="F132" i="13"/>
  <c r="E132" i="13"/>
  <c r="D132" i="13"/>
  <c r="C132" i="13"/>
  <c r="B132" i="13"/>
  <c r="K131" i="13"/>
  <c r="J131" i="13"/>
  <c r="I131" i="13"/>
  <c r="H131" i="13"/>
  <c r="G131" i="13"/>
  <c r="F131" i="13"/>
  <c r="E131" i="13"/>
  <c r="D131" i="13"/>
  <c r="C131" i="13"/>
  <c r="B131" i="13"/>
  <c r="K130" i="13"/>
  <c r="J130" i="13"/>
  <c r="I130" i="13"/>
  <c r="H130" i="13"/>
  <c r="G130" i="13"/>
  <c r="F130" i="13"/>
  <c r="E130" i="13"/>
  <c r="D130" i="13"/>
  <c r="C130" i="13"/>
  <c r="B130" i="13"/>
  <c r="K129" i="13"/>
  <c r="J129" i="13"/>
  <c r="I129" i="13"/>
  <c r="H129" i="13"/>
  <c r="G129" i="13"/>
  <c r="F129" i="13"/>
  <c r="E129" i="13"/>
  <c r="D129" i="13"/>
  <c r="C129" i="13"/>
  <c r="B129" i="13"/>
  <c r="K128" i="13"/>
  <c r="J128" i="13"/>
  <c r="I128" i="13"/>
  <c r="H128" i="13"/>
  <c r="G128" i="13"/>
  <c r="F128" i="13"/>
  <c r="E128" i="13"/>
  <c r="D128" i="13"/>
  <c r="C128" i="13"/>
  <c r="B128" i="13"/>
  <c r="K127" i="13"/>
  <c r="J127" i="13"/>
  <c r="I127" i="13"/>
  <c r="H127" i="13"/>
  <c r="G127" i="13"/>
  <c r="F127" i="13"/>
  <c r="E127" i="13"/>
  <c r="D127" i="13"/>
  <c r="C127" i="13"/>
  <c r="B127" i="13"/>
  <c r="K126" i="13"/>
  <c r="J126" i="13"/>
  <c r="I126" i="13"/>
  <c r="H126" i="13"/>
  <c r="G126" i="13"/>
  <c r="F126" i="13"/>
  <c r="E126" i="13"/>
  <c r="D126" i="13"/>
  <c r="C126" i="13"/>
  <c r="B126" i="13"/>
  <c r="K125" i="13"/>
  <c r="J125" i="13"/>
  <c r="I125" i="13"/>
  <c r="H125" i="13"/>
  <c r="G125" i="13"/>
  <c r="F125" i="13"/>
  <c r="E125" i="13"/>
  <c r="D125" i="13"/>
  <c r="C125" i="13"/>
  <c r="B125" i="13"/>
  <c r="K124" i="13"/>
  <c r="J124" i="13"/>
  <c r="I124" i="13"/>
  <c r="H124" i="13"/>
  <c r="G124" i="13"/>
  <c r="F124" i="13"/>
  <c r="E124" i="13"/>
  <c r="D124" i="13"/>
  <c r="C124" i="13"/>
  <c r="B124" i="13"/>
  <c r="K123" i="13"/>
  <c r="J123" i="13"/>
  <c r="I123" i="13"/>
  <c r="H123" i="13"/>
  <c r="G123" i="13"/>
  <c r="F123" i="13"/>
  <c r="E123" i="13"/>
  <c r="D123" i="13"/>
  <c r="C123" i="13"/>
  <c r="B123" i="13"/>
  <c r="K122" i="13"/>
  <c r="J122" i="13"/>
  <c r="I122" i="13"/>
  <c r="H122" i="13"/>
  <c r="G122" i="13"/>
  <c r="F122" i="13"/>
  <c r="E122" i="13"/>
  <c r="D122" i="13"/>
  <c r="C122" i="13"/>
  <c r="B122" i="13"/>
  <c r="K121" i="13"/>
  <c r="J121" i="13"/>
  <c r="I121" i="13"/>
  <c r="H121" i="13"/>
  <c r="G121" i="13"/>
  <c r="F121" i="13"/>
  <c r="E121" i="13"/>
  <c r="D121" i="13"/>
  <c r="C121" i="13"/>
  <c r="B121" i="13"/>
  <c r="K120" i="13"/>
  <c r="J120" i="13"/>
  <c r="I120" i="13"/>
  <c r="H120" i="13"/>
  <c r="G120" i="13"/>
  <c r="F120" i="13"/>
  <c r="E120" i="13"/>
  <c r="D120" i="13"/>
  <c r="C120" i="13"/>
  <c r="B120" i="13"/>
  <c r="K119" i="13"/>
  <c r="J119" i="13"/>
  <c r="I119" i="13"/>
  <c r="H119" i="13"/>
  <c r="G119" i="13"/>
  <c r="F119" i="13"/>
  <c r="E119" i="13"/>
  <c r="D119" i="13"/>
  <c r="C119" i="13"/>
  <c r="B119" i="13"/>
  <c r="K118" i="13"/>
  <c r="J118" i="13"/>
  <c r="I118" i="13"/>
  <c r="H118" i="13"/>
  <c r="G118" i="13"/>
  <c r="F118" i="13"/>
  <c r="E118" i="13"/>
  <c r="D118" i="13"/>
  <c r="C118" i="13"/>
  <c r="B118" i="13"/>
  <c r="K117" i="13"/>
  <c r="J117" i="13"/>
  <c r="I117" i="13"/>
  <c r="H117" i="13"/>
  <c r="G117" i="13"/>
  <c r="F117" i="13"/>
  <c r="E117" i="13"/>
  <c r="D117" i="13"/>
  <c r="C117" i="13"/>
  <c r="B117" i="13"/>
  <c r="K116" i="13"/>
  <c r="J116" i="13"/>
  <c r="I116" i="13"/>
  <c r="H116" i="13"/>
  <c r="G116" i="13"/>
  <c r="F116" i="13"/>
  <c r="E116" i="13"/>
  <c r="D116" i="13"/>
  <c r="C116" i="13"/>
  <c r="B116" i="13"/>
  <c r="K115" i="13"/>
  <c r="J115" i="13"/>
  <c r="I115" i="13"/>
  <c r="H115" i="13"/>
  <c r="G115" i="13"/>
  <c r="F115" i="13"/>
  <c r="E115" i="13"/>
  <c r="D115" i="13"/>
  <c r="C115" i="13"/>
  <c r="B115" i="13"/>
  <c r="K114" i="13"/>
  <c r="J114" i="13"/>
  <c r="I114" i="13"/>
  <c r="H114" i="13"/>
  <c r="G114" i="13"/>
  <c r="F114" i="13"/>
  <c r="E114" i="13"/>
  <c r="D114" i="13"/>
  <c r="C114" i="13"/>
  <c r="B114" i="13"/>
  <c r="K113" i="13"/>
  <c r="J113" i="13"/>
  <c r="I113" i="13"/>
  <c r="H113" i="13"/>
  <c r="G113" i="13"/>
  <c r="F113" i="13"/>
  <c r="E113" i="13"/>
  <c r="D113" i="13"/>
  <c r="C113" i="13"/>
  <c r="B113" i="13"/>
  <c r="K112" i="13"/>
  <c r="J112" i="13"/>
  <c r="I112" i="13"/>
  <c r="H112" i="13"/>
  <c r="G112" i="13"/>
  <c r="F112" i="13"/>
  <c r="E112" i="13"/>
  <c r="D112" i="13"/>
  <c r="C112" i="13"/>
  <c r="B112" i="13"/>
  <c r="K111" i="13"/>
  <c r="J111" i="13"/>
  <c r="I111" i="13"/>
  <c r="H111" i="13"/>
  <c r="G111" i="13"/>
  <c r="F111" i="13"/>
  <c r="E111" i="13"/>
  <c r="D111" i="13"/>
  <c r="C111" i="13"/>
  <c r="B111" i="13"/>
  <c r="K110" i="13"/>
  <c r="J110" i="13"/>
  <c r="I110" i="13"/>
  <c r="H110" i="13"/>
  <c r="G110" i="13"/>
  <c r="F110" i="13"/>
  <c r="E110" i="13"/>
  <c r="D110" i="13"/>
  <c r="C110" i="13"/>
  <c r="B110" i="13"/>
  <c r="K109" i="13"/>
  <c r="J109" i="13"/>
  <c r="I109" i="13"/>
  <c r="H109" i="13"/>
  <c r="G109" i="13"/>
  <c r="F109" i="13"/>
  <c r="E109" i="13"/>
  <c r="D109" i="13"/>
  <c r="C109" i="13"/>
  <c r="B109" i="13"/>
  <c r="K108" i="13"/>
  <c r="J108" i="13"/>
  <c r="I108" i="13"/>
  <c r="H108" i="13"/>
  <c r="G108" i="13"/>
  <c r="F108" i="13"/>
  <c r="E108" i="13"/>
  <c r="D108" i="13"/>
  <c r="C108" i="13"/>
  <c r="B108" i="13"/>
  <c r="K107" i="13"/>
  <c r="J107" i="13"/>
  <c r="I107" i="13"/>
  <c r="H107" i="13"/>
  <c r="G107" i="13"/>
  <c r="F107" i="13"/>
  <c r="E107" i="13"/>
  <c r="D107" i="13"/>
  <c r="C107" i="13"/>
  <c r="B107" i="13"/>
  <c r="K106" i="13"/>
  <c r="J106" i="13"/>
  <c r="I106" i="13"/>
  <c r="H106" i="13"/>
  <c r="G106" i="13"/>
  <c r="F106" i="13"/>
  <c r="E106" i="13"/>
  <c r="D106" i="13"/>
  <c r="C106" i="13"/>
  <c r="B106" i="13"/>
  <c r="K105" i="13"/>
  <c r="J105" i="13"/>
  <c r="I105" i="13"/>
  <c r="H105" i="13"/>
  <c r="G105" i="13"/>
  <c r="F105" i="13"/>
  <c r="E105" i="13"/>
  <c r="D105" i="13"/>
  <c r="C105" i="13"/>
  <c r="B105" i="13"/>
  <c r="K104" i="13"/>
  <c r="J104" i="13"/>
  <c r="I104" i="13"/>
  <c r="H104" i="13"/>
  <c r="G104" i="13"/>
  <c r="F104" i="13"/>
  <c r="E104" i="13"/>
  <c r="D104" i="13"/>
  <c r="C104" i="13"/>
  <c r="B104" i="13"/>
  <c r="K103" i="13"/>
  <c r="J103" i="13"/>
  <c r="I103" i="13"/>
  <c r="H103" i="13"/>
  <c r="G103" i="13"/>
  <c r="F103" i="13"/>
  <c r="E103" i="13"/>
  <c r="D103" i="13"/>
  <c r="C103" i="13"/>
  <c r="B103" i="13"/>
  <c r="K102" i="13"/>
  <c r="J102" i="13"/>
  <c r="I102" i="13"/>
  <c r="H102" i="13"/>
  <c r="G102" i="13"/>
  <c r="F102" i="13"/>
  <c r="E102" i="13"/>
  <c r="D102" i="13"/>
  <c r="C102" i="13"/>
  <c r="B102" i="13"/>
  <c r="K101" i="13"/>
  <c r="J101" i="13"/>
  <c r="I101" i="13"/>
  <c r="H101" i="13"/>
  <c r="G101" i="13"/>
  <c r="F101" i="13"/>
  <c r="E101" i="13"/>
  <c r="D101" i="13"/>
  <c r="C101" i="13"/>
  <c r="B101" i="13"/>
  <c r="K100" i="13"/>
  <c r="J100" i="13"/>
  <c r="I100" i="13"/>
  <c r="H100" i="13"/>
  <c r="G100" i="13"/>
  <c r="F100" i="13"/>
  <c r="E100" i="13"/>
  <c r="D100" i="13"/>
  <c r="C100" i="13"/>
  <c r="B100" i="13"/>
  <c r="K99" i="13"/>
  <c r="J99" i="13"/>
  <c r="I99" i="13"/>
  <c r="H99" i="13"/>
  <c r="G99" i="13"/>
  <c r="F99" i="13"/>
  <c r="E99" i="13"/>
  <c r="D99" i="13"/>
  <c r="C99" i="13"/>
  <c r="B99" i="13"/>
  <c r="K98" i="13"/>
  <c r="J98" i="13"/>
  <c r="I98" i="13"/>
  <c r="H98" i="13"/>
  <c r="G98" i="13"/>
  <c r="F98" i="13"/>
  <c r="E98" i="13"/>
  <c r="D98" i="13"/>
  <c r="C98" i="13"/>
  <c r="B98" i="13"/>
  <c r="K97" i="13"/>
  <c r="J97" i="13"/>
  <c r="I97" i="13"/>
  <c r="H97" i="13"/>
  <c r="G97" i="13"/>
  <c r="F97" i="13"/>
  <c r="E97" i="13"/>
  <c r="D97" i="13"/>
  <c r="C97" i="13"/>
  <c r="B97" i="13"/>
  <c r="K96" i="13"/>
  <c r="J96" i="13"/>
  <c r="I96" i="13"/>
  <c r="H96" i="13"/>
  <c r="G96" i="13"/>
  <c r="F96" i="13"/>
  <c r="E96" i="13"/>
  <c r="D96" i="13"/>
  <c r="C96" i="13"/>
  <c r="B96" i="13"/>
  <c r="K95" i="13"/>
  <c r="J95" i="13"/>
  <c r="I95" i="13"/>
  <c r="H95" i="13"/>
  <c r="G95" i="13"/>
  <c r="F95" i="13"/>
  <c r="E95" i="13"/>
  <c r="D95" i="13"/>
  <c r="C95" i="13"/>
  <c r="B95" i="13"/>
  <c r="K94" i="13"/>
  <c r="J94" i="13"/>
  <c r="I94" i="13"/>
  <c r="H94" i="13"/>
  <c r="G94" i="13"/>
  <c r="F94" i="13"/>
  <c r="E94" i="13"/>
  <c r="D94" i="13"/>
  <c r="C94" i="13"/>
  <c r="B94" i="13"/>
  <c r="K93" i="13"/>
  <c r="J93" i="13"/>
  <c r="I93" i="13"/>
  <c r="H93" i="13"/>
  <c r="G93" i="13"/>
  <c r="F93" i="13"/>
  <c r="E93" i="13"/>
  <c r="D93" i="13"/>
  <c r="C93" i="13"/>
  <c r="B93" i="13"/>
  <c r="K92" i="13"/>
  <c r="J92" i="13"/>
  <c r="I92" i="13"/>
  <c r="H92" i="13"/>
  <c r="G92" i="13"/>
  <c r="F92" i="13"/>
  <c r="E92" i="13"/>
  <c r="D92" i="13"/>
  <c r="C92" i="13"/>
  <c r="B92" i="13"/>
  <c r="K91" i="13"/>
  <c r="J91" i="13"/>
  <c r="I91" i="13"/>
  <c r="H91" i="13"/>
  <c r="G91" i="13"/>
  <c r="F91" i="13"/>
  <c r="E91" i="13"/>
  <c r="D91" i="13"/>
  <c r="C91" i="13"/>
  <c r="B91" i="13"/>
  <c r="D85" i="12"/>
  <c r="D76" i="12"/>
  <c r="D81" i="12" s="1"/>
  <c r="D75" i="12"/>
  <c r="D104" i="12" s="1"/>
  <c r="D107" i="12" s="1"/>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E5" i="12"/>
  <c r="D5" i="12"/>
  <c r="E227" i="11"/>
  <c r="D227" i="11"/>
  <c r="D184" i="11"/>
  <c r="D162" i="11"/>
  <c r="D153" i="11"/>
  <c r="D152" i="11"/>
  <c r="D157" i="11" s="1"/>
  <c r="D129" i="11"/>
  <c r="D124" i="11"/>
  <c r="C79" i="11"/>
  <c r="D75" i="11"/>
  <c r="E70" i="11"/>
  <c r="J70" i="11" s="1"/>
  <c r="E69" i="11"/>
  <c r="I69" i="11" s="1"/>
  <c r="E68" i="11"/>
  <c r="E67" i="11"/>
  <c r="D64" i="11"/>
  <c r="D79" i="11" s="1"/>
  <c r="D63" i="11"/>
  <c r="D58" i="11"/>
  <c r="B43" i="11"/>
  <c r="B42" i="11"/>
  <c r="B41" i="11"/>
  <c r="B40" i="11"/>
  <c r="B39" i="11"/>
  <c r="B38" i="11"/>
  <c r="B37" i="11"/>
  <c r="B36" i="11"/>
  <c r="B35" i="11"/>
  <c r="B34" i="11"/>
  <c r="C30" i="11"/>
  <c r="D30" i="11" s="1"/>
  <c r="B30" i="11"/>
  <c r="C29" i="11"/>
  <c r="D29" i="11" s="1"/>
  <c r="B29" i="11"/>
  <c r="C28" i="11"/>
  <c r="D28" i="11" s="1"/>
  <c r="B28" i="11"/>
  <c r="C27" i="11"/>
  <c r="D27" i="11" s="1"/>
  <c r="B27" i="11"/>
  <c r="C26" i="11"/>
  <c r="D26" i="11" s="1"/>
  <c r="B26" i="11"/>
  <c r="C25" i="11"/>
  <c r="D25" i="11" s="1"/>
  <c r="B25" i="11"/>
  <c r="D21" i="11"/>
  <c r="C21" i="11"/>
  <c r="B21" i="11"/>
  <c r="D20" i="11"/>
  <c r="C20" i="11"/>
  <c r="B20" i="11"/>
  <c r="D19" i="11"/>
  <c r="C19" i="11"/>
  <c r="B19" i="11"/>
  <c r="D18" i="11"/>
  <c r="C18" i="11"/>
  <c r="B18" i="11"/>
  <c r="D17" i="11"/>
  <c r="C17" i="11"/>
  <c r="B17" i="11"/>
  <c r="D16" i="11"/>
  <c r="C16" i="11"/>
  <c r="B16" i="11"/>
  <c r="D15" i="11"/>
  <c r="C15" i="11"/>
  <c r="B15" i="11"/>
  <c r="D14" i="11"/>
  <c r="C14" i="11"/>
  <c r="B14" i="11"/>
  <c r="D13" i="11"/>
  <c r="C13" i="11"/>
  <c r="B13" i="11"/>
  <c r="D12" i="11"/>
  <c r="C12" i="11"/>
  <c r="B12" i="11"/>
  <c r="C9" i="11"/>
  <c r="E78" i="10"/>
  <c r="D78" i="10"/>
  <c r="C78" i="10"/>
  <c r="E73" i="10"/>
  <c r="D73" i="10"/>
  <c r="C73" i="10"/>
  <c r="O58" i="10"/>
  <c r="B58" i="10"/>
  <c r="C58" i="10" s="1"/>
  <c r="O57" i="10"/>
  <c r="B57" i="10"/>
  <c r="C57" i="10" s="1"/>
  <c r="O56" i="10"/>
  <c r="P56" i="10" s="1"/>
  <c r="B56" i="10"/>
  <c r="O55" i="10"/>
  <c r="P55" i="10" s="1"/>
  <c r="B55" i="10"/>
  <c r="O54" i="10"/>
  <c r="B54" i="10"/>
  <c r="C54" i="10" s="1"/>
  <c r="O53" i="10"/>
  <c r="P53" i="10" s="1"/>
  <c r="B53" i="10"/>
  <c r="O52" i="10"/>
  <c r="B52" i="10"/>
  <c r="O51" i="10"/>
  <c r="B51" i="10"/>
  <c r="O50" i="10"/>
  <c r="P50" i="10" s="1"/>
  <c r="B50" i="10"/>
  <c r="O49" i="10"/>
  <c r="B49" i="10"/>
  <c r="C49" i="10" s="1"/>
  <c r="O48" i="10"/>
  <c r="B48" i="10"/>
  <c r="O47" i="10"/>
  <c r="P47" i="10" s="1"/>
  <c r="B47" i="10"/>
  <c r="O46" i="10"/>
  <c r="P46" i="10" s="1"/>
  <c r="B46" i="10"/>
  <c r="O45" i="10"/>
  <c r="B45" i="10"/>
  <c r="O44" i="10"/>
  <c r="B44" i="10"/>
  <c r="C44" i="10" s="1"/>
  <c r="O43" i="10"/>
  <c r="P43" i="10" s="1"/>
  <c r="B43" i="10"/>
  <c r="O42" i="10"/>
  <c r="B42" i="10"/>
  <c r="O41" i="10"/>
  <c r="B41" i="10"/>
  <c r="O40" i="10"/>
  <c r="B40" i="10"/>
  <c r="O39" i="10"/>
  <c r="B39" i="10"/>
  <c r="O38" i="10"/>
  <c r="B38" i="10"/>
  <c r="D31" i="10"/>
  <c r="D32" i="10" s="1"/>
  <c r="C31" i="10"/>
  <c r="C79" i="9"/>
  <c r="C78" i="9"/>
  <c r="C77" i="9"/>
  <c r="C76" i="9"/>
  <c r="C75" i="9"/>
  <c r="C74" i="9"/>
  <c r="C73" i="9"/>
  <c r="C72" i="9"/>
  <c r="B192" i="8"/>
  <c r="A135" i="20" s="1"/>
  <c r="S135" i="20" s="1"/>
  <c r="B191" i="8"/>
  <c r="B190" i="8"/>
  <c r="B65" i="9" s="1"/>
  <c r="C65" i="9" s="1"/>
  <c r="B189" i="8"/>
  <c r="A129" i="20" s="1"/>
  <c r="S129" i="20" s="1"/>
  <c r="B188" i="8"/>
  <c r="B187" i="8"/>
  <c r="B62" i="9" s="1"/>
  <c r="B186" i="8"/>
  <c r="B185" i="8"/>
  <c r="A121" i="20" s="1"/>
  <c r="S121" i="20" s="1"/>
  <c r="B184" i="8"/>
  <c r="A119" i="20" s="1"/>
  <c r="S119" i="20" s="1"/>
  <c r="B183" i="8"/>
  <c r="B58" i="9" s="1"/>
  <c r="I58" i="9" s="1"/>
  <c r="B182" i="8"/>
  <c r="B136" i="10" s="1"/>
  <c r="N136" i="10" s="1"/>
  <c r="B181" i="8"/>
  <c r="A113" i="20" s="1"/>
  <c r="S113" i="20" s="1"/>
  <c r="B180" i="8"/>
  <c r="B55" i="9" s="1"/>
  <c r="B179" i="8"/>
  <c r="B178" i="8"/>
  <c r="A107" i="20" s="1"/>
  <c r="S107" i="20" s="1"/>
  <c r="B177" i="8"/>
  <c r="B52" i="9" s="1"/>
  <c r="C52" i="9" s="1"/>
  <c r="B176" i="8"/>
  <c r="A103" i="20" s="1"/>
  <c r="S103" i="20" s="1"/>
  <c r="B175" i="8"/>
  <c r="B129" i="10" s="1"/>
  <c r="N129" i="10" s="1"/>
  <c r="B174" i="8"/>
  <c r="B173" i="8"/>
  <c r="B172" i="8"/>
  <c r="B47" i="9" s="1"/>
  <c r="C47" i="9" s="1"/>
  <c r="B171" i="8"/>
  <c r="A93" i="20" s="1"/>
  <c r="S93" i="20" s="1"/>
  <c r="B170" i="8"/>
  <c r="B162" i="15" s="1"/>
  <c r="B169" i="8"/>
  <c r="A89" i="20" s="1"/>
  <c r="S89" i="20" s="1"/>
  <c r="B168" i="8"/>
  <c r="B43" i="9" s="1"/>
  <c r="B167" i="8"/>
  <c r="A85" i="20" s="1"/>
  <c r="S85" i="20" s="1"/>
  <c r="B166" i="8"/>
  <c r="A83" i="20" s="1"/>
  <c r="S83" i="20" s="1"/>
  <c r="B165" i="8"/>
  <c r="B40" i="9" s="1"/>
  <c r="I40" i="9" s="1"/>
  <c r="B164" i="8"/>
  <c r="A79" i="20" s="1"/>
  <c r="S79" i="20" s="1"/>
  <c r="B163" i="8"/>
  <c r="A77" i="20" s="1"/>
  <c r="S77" i="20" s="1"/>
  <c r="B162" i="8"/>
  <c r="B161" i="8"/>
  <c r="B160" i="8"/>
  <c r="B35" i="9" s="1"/>
  <c r="B159" i="8"/>
  <c r="B34" i="9" s="1"/>
  <c r="C34" i="9" s="1"/>
  <c r="B158" i="8"/>
  <c r="A67" i="20" s="1"/>
  <c r="S67" i="20" s="1"/>
  <c r="B157" i="8"/>
  <c r="A65" i="20" s="1"/>
  <c r="S65" i="20" s="1"/>
  <c r="B156" i="8"/>
  <c r="A63" i="20" s="1"/>
  <c r="S63" i="20" s="1"/>
  <c r="B155" i="8"/>
  <c r="B154" i="8"/>
  <c r="A59" i="20" s="1"/>
  <c r="S59" i="20" s="1"/>
  <c r="B153" i="8"/>
  <c r="A57" i="20" s="1"/>
  <c r="S57" i="20" s="1"/>
  <c r="B152" i="8"/>
  <c r="B151" i="8"/>
  <c r="A53" i="20" s="1"/>
  <c r="S53" i="20" s="1"/>
  <c r="B150" i="8"/>
  <c r="B149" i="8"/>
  <c r="B148" i="8"/>
  <c r="A47" i="20" s="1"/>
  <c r="S47" i="20" s="1"/>
  <c r="B147" i="8"/>
  <c r="B22" i="9" s="1"/>
  <c r="I22" i="9" s="1"/>
  <c r="B146" i="8"/>
  <c r="B21" i="9" s="1"/>
  <c r="B145" i="8"/>
  <c r="A41" i="20" s="1"/>
  <c r="S41" i="20" s="1"/>
  <c r="B144" i="8"/>
  <c r="A39" i="20" s="1"/>
  <c r="S39" i="20" s="1"/>
  <c r="B143" i="8"/>
  <c r="A37" i="20" s="1"/>
  <c r="S37" i="20" s="1"/>
  <c r="B142" i="8"/>
  <c r="B17" i="9" s="1"/>
  <c r="B141" i="8"/>
  <c r="A33" i="20" s="1"/>
  <c r="S33" i="20" s="1"/>
  <c r="B140" i="8"/>
  <c r="A31" i="20" s="1"/>
  <c r="S31" i="20" s="1"/>
  <c r="B139" i="8"/>
  <c r="B14" i="9" s="1"/>
  <c r="B138" i="8"/>
  <c r="A27" i="20" s="1"/>
  <c r="S27" i="20" s="1"/>
  <c r="B137" i="8"/>
  <c r="B136" i="8"/>
  <c r="B11" i="9" s="1"/>
  <c r="C11" i="9" s="1"/>
  <c r="B135" i="8"/>
  <c r="B21" i="15" s="1"/>
  <c r="B134" i="8"/>
  <c r="B9" i="9" s="1"/>
  <c r="B133" i="8"/>
  <c r="A17" i="20" s="1"/>
  <c r="S17" i="20" s="1"/>
  <c r="B132" i="8"/>
  <c r="B7" i="9" s="1"/>
  <c r="B131" i="8"/>
  <c r="AS121" i="8"/>
  <c r="AR121" i="8"/>
  <c r="AS120" i="8"/>
  <c r="AR120" i="8"/>
  <c r="AS119" i="8"/>
  <c r="AR119" i="8"/>
  <c r="AS118" i="8"/>
  <c r="AR118" i="8"/>
  <c r="AS117" i="8"/>
  <c r="AR117" i="8"/>
  <c r="AS116" i="8"/>
  <c r="AR116" i="8"/>
  <c r="AS115" i="8"/>
  <c r="AR115" i="8"/>
  <c r="AS114" i="8"/>
  <c r="AR114" i="8"/>
  <c r="AS113" i="8"/>
  <c r="AR113" i="8"/>
  <c r="AS112" i="8"/>
  <c r="AR112" i="8"/>
  <c r="AS111" i="8"/>
  <c r="AR111" i="8"/>
  <c r="AS110" i="8"/>
  <c r="AR110" i="8"/>
  <c r="AS109" i="8"/>
  <c r="AR109" i="8"/>
  <c r="AS108" i="8"/>
  <c r="AR108" i="8"/>
  <c r="AS107" i="8"/>
  <c r="AR107" i="8"/>
  <c r="AS106" i="8"/>
  <c r="AR106" i="8"/>
  <c r="AS105" i="8"/>
  <c r="AR105" i="8"/>
  <c r="AS104" i="8"/>
  <c r="AR104" i="8"/>
  <c r="AS103" i="8"/>
  <c r="AR103" i="8"/>
  <c r="AS102" i="8"/>
  <c r="AR102" i="8"/>
  <c r="AS101" i="8"/>
  <c r="AR101" i="8"/>
  <c r="AS100" i="8"/>
  <c r="AR100" i="8"/>
  <c r="AS99" i="8"/>
  <c r="AR99" i="8"/>
  <c r="AS98" i="8"/>
  <c r="AR98" i="8"/>
  <c r="AS97" i="8"/>
  <c r="AR97" i="8"/>
  <c r="AS96" i="8"/>
  <c r="AR96" i="8"/>
  <c r="AS95" i="8"/>
  <c r="AR95" i="8"/>
  <c r="AS94" i="8"/>
  <c r="AR94" i="8"/>
  <c r="AS93" i="8"/>
  <c r="AR93" i="8"/>
  <c r="AS92" i="8"/>
  <c r="AR92" i="8"/>
  <c r="AS91" i="8"/>
  <c r="AR91" i="8"/>
  <c r="AS90" i="8"/>
  <c r="AR90" i="8"/>
  <c r="AS89" i="8"/>
  <c r="AR89" i="8"/>
  <c r="AS88" i="8"/>
  <c r="AR88" i="8"/>
  <c r="AS87" i="8"/>
  <c r="AR87" i="8"/>
  <c r="AS86" i="8"/>
  <c r="AR86" i="8"/>
  <c r="AS85" i="8"/>
  <c r="AR85" i="8"/>
  <c r="AS84" i="8"/>
  <c r="AR84" i="8"/>
  <c r="AT62" i="8"/>
  <c r="AP62" i="8"/>
  <c r="AO62" i="8"/>
  <c r="AM62" i="8"/>
  <c r="AJ62" i="8"/>
  <c r="AI62" i="8"/>
  <c r="AG62" i="8"/>
  <c r="AE62" i="8"/>
  <c r="AC62" i="8"/>
  <c r="AA62" i="8"/>
  <c r="S62" i="8"/>
  <c r="R62" i="8"/>
  <c r="Q62" i="8"/>
  <c r="P62" i="8"/>
  <c r="O62" i="8"/>
  <c r="N62" i="8"/>
  <c r="M62" i="8"/>
  <c r="L62" i="8"/>
  <c r="K62" i="8"/>
  <c r="J62" i="8"/>
  <c r="I62" i="8"/>
  <c r="H62" i="8"/>
  <c r="G62" i="8"/>
  <c r="F62" i="8"/>
  <c r="E62" i="8"/>
  <c r="AS61" i="8"/>
  <c r="AR61" i="8"/>
  <c r="AQ61" i="8"/>
  <c r="AN61" i="8"/>
  <c r="AL61" i="8"/>
  <c r="AK61" i="8"/>
  <c r="AI61" i="8"/>
  <c r="AH61" i="8"/>
  <c r="AF61" i="8"/>
  <c r="AD61" i="8"/>
  <c r="AB61" i="8"/>
  <c r="Z61" i="8"/>
  <c r="S61" i="8"/>
  <c r="R61" i="8"/>
  <c r="Q61" i="8"/>
  <c r="P61" i="8"/>
  <c r="O61" i="8"/>
  <c r="N61" i="8"/>
  <c r="G61" i="8"/>
  <c r="F61" i="8"/>
  <c r="E61" i="8"/>
  <c r="D61" i="8"/>
  <c r="C61" i="8"/>
  <c r="AS60" i="8"/>
  <c r="AR60" i="8"/>
  <c r="AQ60" i="8"/>
  <c r="AP60" i="8"/>
  <c r="AO60" i="8"/>
  <c r="AN60" i="8"/>
  <c r="AM60" i="8"/>
  <c r="AL60" i="8"/>
  <c r="AK60" i="8"/>
  <c r="AJ60" i="8"/>
  <c r="AH60" i="8"/>
  <c r="AG60" i="8"/>
  <c r="AF60" i="8"/>
  <c r="AE60" i="8"/>
  <c r="AD60" i="8"/>
  <c r="AC60" i="8"/>
  <c r="AB60" i="8"/>
  <c r="AA60" i="8"/>
  <c r="Z60" i="8"/>
  <c r="F60" i="8"/>
  <c r="AT59" i="8"/>
  <c r="AS59" i="8"/>
  <c r="AR59" i="8"/>
  <c r="AQ59" i="8"/>
  <c r="AN59" i="8"/>
  <c r="AL59" i="8"/>
  <c r="AK59" i="8"/>
  <c r="AI59" i="8"/>
  <c r="AH59" i="8"/>
  <c r="AF59" i="8"/>
  <c r="AD59" i="8"/>
  <c r="AB59" i="8"/>
  <c r="Z59" i="8"/>
  <c r="Y59" i="8"/>
  <c r="X59" i="8"/>
  <c r="W59" i="8"/>
  <c r="V59" i="8"/>
  <c r="U59" i="8"/>
  <c r="T59" i="8"/>
  <c r="S59" i="8"/>
  <c r="R59" i="8"/>
  <c r="Q59" i="8"/>
  <c r="P59" i="8"/>
  <c r="O59" i="8"/>
  <c r="N59" i="8"/>
  <c r="M59" i="8"/>
  <c r="L59" i="8"/>
  <c r="K59" i="8"/>
  <c r="J59" i="8"/>
  <c r="I59" i="8"/>
  <c r="H59" i="8"/>
  <c r="G59" i="8"/>
  <c r="F59" i="8"/>
  <c r="E59" i="8"/>
  <c r="D59" i="8"/>
  <c r="C59" i="8"/>
  <c r="AT58" i="8"/>
  <c r="AP58" i="8"/>
  <c r="AO58" i="8"/>
  <c r="AM58" i="8"/>
  <c r="AJ58" i="8"/>
  <c r="AI58" i="8"/>
  <c r="AG58" i="8"/>
  <c r="AE58" i="8"/>
  <c r="AC58" i="8"/>
  <c r="AA58" i="8"/>
  <c r="Y58" i="8"/>
  <c r="X58" i="8"/>
  <c r="W58" i="8"/>
  <c r="V58" i="8"/>
  <c r="U58" i="8"/>
  <c r="T58" i="8"/>
  <c r="S58" i="8"/>
  <c r="R58" i="8"/>
  <c r="Q58" i="8"/>
  <c r="P58" i="8"/>
  <c r="O58" i="8"/>
  <c r="N58" i="8"/>
  <c r="M58" i="8"/>
  <c r="L58" i="8"/>
  <c r="K58" i="8"/>
  <c r="J58" i="8"/>
  <c r="I58" i="8"/>
  <c r="H58" i="8"/>
  <c r="G58" i="8"/>
  <c r="F58" i="8"/>
  <c r="E58" i="8"/>
  <c r="D58" i="8"/>
  <c r="C58" i="8"/>
  <c r="AT57" i="8"/>
  <c r="AP57" i="8"/>
  <c r="AO57" i="8"/>
  <c r="AM57" i="8"/>
  <c r="AJ57" i="8"/>
  <c r="AI57" i="8"/>
  <c r="AG57" i="8"/>
  <c r="AE57" i="8"/>
  <c r="AC57" i="8"/>
  <c r="AA57" i="8"/>
  <c r="S57" i="8"/>
  <c r="R57" i="8"/>
  <c r="Q57" i="8"/>
  <c r="P57" i="8"/>
  <c r="O57" i="8"/>
  <c r="N57" i="8"/>
  <c r="M57" i="8"/>
  <c r="L57" i="8"/>
  <c r="K57" i="8"/>
  <c r="J57" i="8"/>
  <c r="I57" i="8"/>
  <c r="H57" i="8"/>
  <c r="G57" i="8"/>
  <c r="F57" i="8"/>
  <c r="E57" i="8"/>
  <c r="AS56" i="8"/>
  <c r="AR56" i="8"/>
  <c r="AQ56" i="8"/>
  <c r="AN56" i="8"/>
  <c r="AL56" i="8"/>
  <c r="AK56" i="8"/>
  <c r="AI56" i="8"/>
  <c r="AH56" i="8"/>
  <c r="AF56" i="8"/>
  <c r="AD56" i="8"/>
  <c r="AB56" i="8"/>
  <c r="Z56" i="8"/>
  <c r="S56" i="8"/>
  <c r="R56" i="8"/>
  <c r="Q56" i="8"/>
  <c r="P56" i="8"/>
  <c r="O56" i="8"/>
  <c r="N56" i="8"/>
  <c r="G56" i="8"/>
  <c r="F56" i="8"/>
  <c r="E56" i="8"/>
  <c r="D56" i="8"/>
  <c r="C56" i="8"/>
  <c r="AS55" i="8"/>
  <c r="AR55" i="8"/>
  <c r="AQ55" i="8"/>
  <c r="AP55" i="8"/>
  <c r="AO55" i="8"/>
  <c r="AN55" i="8"/>
  <c r="AM55" i="8"/>
  <c r="AL55" i="8"/>
  <c r="AK55" i="8"/>
  <c r="AJ55" i="8"/>
  <c r="AH55" i="8"/>
  <c r="AG55" i="8"/>
  <c r="AF55" i="8"/>
  <c r="AE55" i="8"/>
  <c r="AD55" i="8"/>
  <c r="AC55" i="8"/>
  <c r="AB55" i="8"/>
  <c r="AA55" i="8"/>
  <c r="Z55" i="8"/>
  <c r="AT54" i="8"/>
  <c r="AS54" i="8"/>
  <c r="AR54" i="8"/>
  <c r="AQ54" i="8"/>
  <c r="AN54" i="8"/>
  <c r="AL54" i="8"/>
  <c r="AK54" i="8"/>
  <c r="AI54" i="8"/>
  <c r="AH54" i="8"/>
  <c r="AF54" i="8"/>
  <c r="AD54" i="8"/>
  <c r="AB54" i="8"/>
  <c r="Z54" i="8"/>
  <c r="Y54" i="8"/>
  <c r="X54" i="8"/>
  <c r="W54" i="8"/>
  <c r="V54" i="8"/>
  <c r="U54" i="8"/>
  <c r="T54" i="8"/>
  <c r="S54" i="8"/>
  <c r="R54" i="8"/>
  <c r="Q54" i="8"/>
  <c r="P54" i="8"/>
  <c r="O54" i="8"/>
  <c r="N54" i="8"/>
  <c r="M54" i="8"/>
  <c r="L54" i="8"/>
  <c r="K54" i="8"/>
  <c r="J54" i="8"/>
  <c r="I54" i="8"/>
  <c r="H54" i="8"/>
  <c r="G54" i="8"/>
  <c r="F54" i="8"/>
  <c r="E54" i="8"/>
  <c r="D54" i="8"/>
  <c r="C54" i="8"/>
  <c r="AT53" i="8"/>
  <c r="AP53" i="8"/>
  <c r="AO53" i="8"/>
  <c r="AM53" i="8"/>
  <c r="AJ53" i="8"/>
  <c r="AI53" i="8"/>
  <c r="AG53" i="8"/>
  <c r="AE53" i="8"/>
  <c r="AC53" i="8"/>
  <c r="AA53" i="8"/>
  <c r="Y53" i="8"/>
  <c r="X53" i="8"/>
  <c r="W53" i="8"/>
  <c r="V53" i="8"/>
  <c r="U53" i="8"/>
  <c r="T53" i="8"/>
  <c r="S53" i="8"/>
  <c r="R53" i="8"/>
  <c r="Q53" i="8"/>
  <c r="P53" i="8"/>
  <c r="O53" i="8"/>
  <c r="N53" i="8"/>
  <c r="M53" i="8"/>
  <c r="L53" i="8"/>
  <c r="K53" i="8"/>
  <c r="J53" i="8"/>
  <c r="I53" i="8"/>
  <c r="H53" i="8"/>
  <c r="G53" i="8"/>
  <c r="F53" i="8"/>
  <c r="E53" i="8"/>
  <c r="D53" i="8"/>
  <c r="C53" i="8"/>
  <c r="D7" i="7"/>
  <c r="K46" i="8" s="1"/>
  <c r="AP61" i="8" s="1"/>
  <c r="C7" i="7"/>
  <c r="G47" i="8" s="1"/>
  <c r="AQ57" i="8" s="1"/>
  <c r="C6" i="7"/>
  <c r="H13" i="6"/>
  <c r="G13" i="6"/>
  <c r="E13" i="6"/>
  <c r="C13" i="6"/>
  <c r="G12" i="6"/>
  <c r="E12" i="6"/>
  <c r="G11" i="6"/>
  <c r="E11" i="6"/>
  <c r="C11" i="6"/>
  <c r="G10" i="6"/>
  <c r="E10" i="6"/>
  <c r="D5" i="6"/>
  <c r="C5" i="6"/>
  <c r="C29" i="5"/>
  <c r="C26" i="5"/>
  <c r="C28" i="5" s="1"/>
  <c r="C25" i="5"/>
  <c r="D20" i="5"/>
  <c r="C41" i="8" s="1"/>
  <c r="AK53" i="8" s="1"/>
  <c r="C20" i="5"/>
  <c r="D40" i="8" s="1"/>
  <c r="AJ54" i="8" s="1"/>
  <c r="H14" i="5"/>
  <c r="F14" i="5"/>
  <c r="D14" i="5"/>
  <c r="C14" i="5"/>
  <c r="H13" i="5"/>
  <c r="F13" i="5"/>
  <c r="D13" i="5"/>
  <c r="C13" i="5"/>
  <c r="H7" i="5"/>
  <c r="F7" i="5"/>
  <c r="D7" i="5"/>
  <c r="C7" i="5"/>
  <c r="H6" i="5"/>
  <c r="F6" i="5"/>
  <c r="D6" i="5"/>
  <c r="C6" i="5"/>
  <c r="C31" i="4"/>
  <c r="I31" i="8" s="1"/>
  <c r="AA59" i="8" s="1"/>
  <c r="B28" i="4"/>
  <c r="B27" i="4"/>
  <c r="B26" i="4"/>
  <c r="B25" i="4"/>
  <c r="B24" i="4"/>
  <c r="B23" i="4"/>
  <c r="G33" i="3"/>
  <c r="F25" i="2" s="1"/>
  <c r="F33" i="3"/>
  <c r="F24" i="2" s="1"/>
  <c r="G31" i="3"/>
  <c r="F31" i="3"/>
  <c r="G30" i="3"/>
  <c r="F30" i="3"/>
  <c r="G29" i="3"/>
  <c r="F29" i="3"/>
  <c r="D29" i="3"/>
  <c r="C29" i="3"/>
  <c r="G28" i="3"/>
  <c r="F28" i="3"/>
  <c r="C12" i="3"/>
  <c r="E10" i="8" s="1"/>
  <c r="F55" i="8" s="1"/>
  <c r="C9" i="3"/>
  <c r="F212" i="2"/>
  <c r="H192" i="2"/>
  <c r="C18" i="25" s="1"/>
  <c r="G192" i="2"/>
  <c r="F192" i="2"/>
  <c r="H191" i="2"/>
  <c r="C17" i="25" s="1"/>
  <c r="G191" i="2"/>
  <c r="F191" i="2"/>
  <c r="H190" i="2"/>
  <c r="C16" i="25" s="1"/>
  <c r="G190" i="2"/>
  <c r="F190" i="2"/>
  <c r="H189" i="2"/>
  <c r="C15" i="25" s="1"/>
  <c r="G189" i="2"/>
  <c r="F189" i="2"/>
  <c r="H188" i="2"/>
  <c r="C14" i="25" s="1"/>
  <c r="G188" i="2"/>
  <c r="F188" i="2"/>
  <c r="H187" i="2"/>
  <c r="C13" i="25" s="1"/>
  <c r="G187" i="2"/>
  <c r="F187" i="2"/>
  <c r="H186" i="2"/>
  <c r="C12" i="25" s="1"/>
  <c r="G186" i="2"/>
  <c r="F186" i="2"/>
  <c r="H185" i="2"/>
  <c r="C11" i="25" s="1"/>
  <c r="G185" i="2"/>
  <c r="F185" i="2"/>
  <c r="H184" i="2"/>
  <c r="C10" i="25" s="1"/>
  <c r="G184" i="2"/>
  <c r="F184" i="2"/>
  <c r="C143" i="2"/>
  <c r="B113" i="9" s="1"/>
  <c r="F131" i="2"/>
  <c r="F130" i="2"/>
  <c r="F124" i="2"/>
  <c r="K116" i="2"/>
  <c r="K118" i="2" s="1"/>
  <c r="F116" i="2" s="1"/>
  <c r="F115" i="2"/>
  <c r="F111" i="2"/>
  <c r="H108" i="2"/>
  <c r="G108" i="2"/>
  <c r="F108" i="2"/>
  <c r="F64" i="2"/>
  <c r="F63" i="2"/>
  <c r="F41" i="2"/>
  <c r="C15" i="3" s="1"/>
  <c r="F40" i="2"/>
  <c r="F39" i="2"/>
  <c r="F19" i="2"/>
  <c r="F14" i="2"/>
  <c r="F13" i="2"/>
  <c r="C7" i="4" s="1"/>
  <c r="H910" i="17" l="1"/>
  <c r="H844" i="17"/>
  <c r="H850" i="17"/>
  <c r="H857" i="17"/>
  <c r="H863" i="17"/>
  <c r="H869" i="17"/>
  <c r="H876" i="17"/>
  <c r="H882" i="17"/>
  <c r="H923" i="17"/>
  <c r="H848" i="17"/>
  <c r="H854" i="17"/>
  <c r="H861" i="17"/>
  <c r="H867" i="17"/>
  <c r="H874" i="17"/>
  <c r="H900" i="17"/>
  <c r="H913" i="17"/>
  <c r="H925" i="17"/>
  <c r="H938" i="17"/>
  <c r="H936" i="17"/>
  <c r="H864" i="17"/>
  <c r="H877" i="17"/>
  <c r="H883" i="17"/>
  <c r="H890" i="17"/>
  <c r="H896" i="17"/>
  <c r="H903" i="17"/>
  <c r="H909" i="17"/>
  <c r="H916" i="17"/>
  <c r="H922" i="17"/>
  <c r="H906" i="17"/>
  <c r="H919" i="17"/>
  <c r="H932" i="17"/>
  <c r="H929" i="17"/>
  <c r="H885" i="17"/>
  <c r="H868" i="17"/>
  <c r="H875" i="17"/>
  <c r="H881" i="17"/>
  <c r="H888" i="17"/>
  <c r="H894" i="17"/>
  <c r="H901" i="17"/>
  <c r="H907" i="17"/>
  <c r="H914" i="17"/>
  <c r="H920" i="17"/>
  <c r="H887" i="17"/>
  <c r="H902" i="17"/>
  <c r="H908" i="17"/>
  <c r="H915" i="17"/>
  <c r="H921" i="17"/>
  <c r="H928" i="17"/>
  <c r="H934" i="17"/>
  <c r="H897" i="17"/>
  <c r="H851" i="17"/>
  <c r="H904" i="17"/>
  <c r="H917" i="17"/>
  <c r="H930" i="17"/>
  <c r="H860" i="17"/>
  <c r="H873" i="17"/>
  <c r="H879" i="17"/>
  <c r="H886" i="17"/>
  <c r="H892" i="17"/>
  <c r="H899" i="17"/>
  <c r="H905" i="17"/>
  <c r="H911" i="17"/>
  <c r="H918" i="17"/>
  <c r="H924" i="17"/>
  <c r="H872" i="17"/>
  <c r="H847" i="17"/>
  <c r="H937" i="17"/>
  <c r="H849" i="17"/>
  <c r="H862" i="17"/>
  <c r="H927" i="17"/>
  <c r="H939" i="17"/>
  <c r="C822" i="17"/>
  <c r="H889" i="17"/>
  <c r="C823" i="17"/>
  <c r="C824" i="17"/>
  <c r="H891" i="17"/>
  <c r="C825" i="17"/>
  <c r="H853" i="17"/>
  <c r="H866" i="17"/>
  <c r="H931" i="17"/>
  <c r="C826" i="17"/>
  <c r="H880" i="17"/>
  <c r="H893" i="17"/>
  <c r="H843" i="17"/>
  <c r="H855" i="17"/>
  <c r="H933" i="17"/>
  <c r="H895" i="17"/>
  <c r="H845" i="17"/>
  <c r="H858" i="17"/>
  <c r="H871" i="17"/>
  <c r="H935" i="17"/>
  <c r="F853" i="17"/>
  <c r="G875" i="17"/>
  <c r="G914" i="17"/>
  <c r="G920" i="17"/>
  <c r="G918" i="17"/>
  <c r="G876" i="17"/>
  <c r="G882" i="17"/>
  <c r="G860" i="17"/>
  <c r="G864" i="17"/>
  <c r="G883" i="17"/>
  <c r="G922" i="17"/>
  <c r="G879" i="17"/>
  <c r="L743" i="17"/>
  <c r="N743" i="17" s="1"/>
  <c r="R743" i="17" s="1"/>
  <c r="E922" i="17"/>
  <c r="F939" i="17"/>
  <c r="F849" i="17"/>
  <c r="F872" i="17"/>
  <c r="E882" i="17"/>
  <c r="G908" i="17"/>
  <c r="E914" i="17"/>
  <c r="F914" i="17"/>
  <c r="G924" i="17"/>
  <c r="F935" i="17"/>
  <c r="F845" i="17"/>
  <c r="G868" i="17"/>
  <c r="G874" i="17"/>
  <c r="G904" i="17"/>
  <c r="E920" i="17"/>
  <c r="E874" i="17"/>
  <c r="G916" i="17"/>
  <c r="F920" i="17"/>
  <c r="F931" i="17"/>
  <c r="F880" i="17"/>
  <c r="E916" i="17"/>
  <c r="G900" i="17"/>
  <c r="G872" i="17"/>
  <c r="F875" i="17"/>
  <c r="G880" i="17"/>
  <c r="F883" i="17"/>
  <c r="G931" i="17"/>
  <c r="G935" i="17"/>
  <c r="G939" i="17"/>
  <c r="F847" i="17"/>
  <c r="F851" i="17"/>
  <c r="F855" i="17"/>
  <c r="E860" i="17"/>
  <c r="E864" i="17"/>
  <c r="E868" i="17"/>
  <c r="E878" i="17"/>
  <c r="G902" i="17"/>
  <c r="G906" i="17"/>
  <c r="G910" i="17"/>
  <c r="G917" i="17"/>
  <c r="G923" i="17"/>
  <c r="G847" i="17"/>
  <c r="G851" i="17"/>
  <c r="G855" i="17"/>
  <c r="F878" i="17"/>
  <c r="F873" i="17"/>
  <c r="G878" i="17"/>
  <c r="F881" i="17"/>
  <c r="F889" i="17"/>
  <c r="F893" i="17"/>
  <c r="F897" i="17"/>
  <c r="E902" i="17"/>
  <c r="E906" i="17"/>
  <c r="E910" i="17"/>
  <c r="G873" i="17"/>
  <c r="E876" i="17"/>
  <c r="G881" i="17"/>
  <c r="G889" i="17"/>
  <c r="G893" i="17"/>
  <c r="G897" i="17"/>
  <c r="E918" i="17"/>
  <c r="E924" i="17"/>
  <c r="G858" i="17"/>
  <c r="G862" i="17"/>
  <c r="G866" i="17"/>
  <c r="F876" i="17"/>
  <c r="G915" i="17"/>
  <c r="F918" i="17"/>
  <c r="G921" i="17"/>
  <c r="F924" i="17"/>
  <c r="F929" i="17"/>
  <c r="F933" i="17"/>
  <c r="F937" i="17"/>
  <c r="L773" i="17"/>
  <c r="N773" i="17" s="1"/>
  <c r="F879" i="17"/>
  <c r="G929" i="17"/>
  <c r="G933" i="17"/>
  <c r="G937" i="17"/>
  <c r="E825" i="17"/>
  <c r="G845" i="17"/>
  <c r="G849" i="17"/>
  <c r="G853" i="17"/>
  <c r="F874" i="17"/>
  <c r="F882" i="17"/>
  <c r="F877" i="17"/>
  <c r="F887" i="17"/>
  <c r="F891" i="17"/>
  <c r="F895" i="17"/>
  <c r="E900" i="17"/>
  <c r="E904" i="17"/>
  <c r="E908" i="17"/>
  <c r="E913" i="17"/>
  <c r="F916" i="17"/>
  <c r="G919" i="17"/>
  <c r="F922" i="17"/>
  <c r="G925" i="17"/>
  <c r="G877" i="17"/>
  <c r="G887" i="17"/>
  <c r="G891" i="17"/>
  <c r="G895" i="17"/>
  <c r="E859" i="17"/>
  <c r="E861" i="17"/>
  <c r="E863" i="17"/>
  <c r="E865" i="17"/>
  <c r="E867" i="17"/>
  <c r="E869" i="17"/>
  <c r="E901" i="17"/>
  <c r="E903" i="17"/>
  <c r="E905" i="17"/>
  <c r="E907" i="17"/>
  <c r="E909" i="17"/>
  <c r="E911" i="17"/>
  <c r="E820" i="17"/>
  <c r="E821" i="17"/>
  <c r="E822" i="17"/>
  <c r="E823" i="17"/>
  <c r="E824" i="17"/>
  <c r="E826" i="17"/>
  <c r="F859" i="17"/>
  <c r="F861" i="17"/>
  <c r="F863" i="17"/>
  <c r="F865" i="17"/>
  <c r="F867" i="17"/>
  <c r="F869" i="17"/>
  <c r="F901" i="17"/>
  <c r="F903" i="17"/>
  <c r="F905" i="17"/>
  <c r="F907" i="17"/>
  <c r="F909" i="17"/>
  <c r="F911" i="17"/>
  <c r="E844" i="17"/>
  <c r="E846" i="17"/>
  <c r="E848" i="17"/>
  <c r="E850" i="17"/>
  <c r="E852" i="17"/>
  <c r="E854" i="17"/>
  <c r="E857" i="17"/>
  <c r="G859" i="17"/>
  <c r="G861" i="17"/>
  <c r="G863" i="17"/>
  <c r="G865" i="17"/>
  <c r="G867" i="17"/>
  <c r="G869" i="17"/>
  <c r="E886" i="17"/>
  <c r="E888" i="17"/>
  <c r="E890" i="17"/>
  <c r="E892" i="17"/>
  <c r="E894" i="17"/>
  <c r="E896" i="17"/>
  <c r="E899" i="17"/>
  <c r="G901" i="17"/>
  <c r="G903" i="17"/>
  <c r="G905" i="17"/>
  <c r="G907" i="17"/>
  <c r="G909" i="17"/>
  <c r="G911" i="17"/>
  <c r="E928" i="17"/>
  <c r="E930" i="17"/>
  <c r="E932" i="17"/>
  <c r="E934" i="17"/>
  <c r="E936" i="17"/>
  <c r="E938" i="17"/>
  <c r="X719" i="17"/>
  <c r="F844" i="17"/>
  <c r="F846" i="17"/>
  <c r="F848" i="17"/>
  <c r="F850" i="17"/>
  <c r="F852" i="17"/>
  <c r="F854" i="17"/>
  <c r="F886" i="17"/>
  <c r="F888" i="17"/>
  <c r="F890" i="17"/>
  <c r="F892" i="17"/>
  <c r="F894" i="17"/>
  <c r="F896" i="17"/>
  <c r="F928" i="17"/>
  <c r="F930" i="17"/>
  <c r="F932" i="17"/>
  <c r="F934" i="17"/>
  <c r="F936" i="17"/>
  <c r="F938" i="17"/>
  <c r="G844" i="17"/>
  <c r="G846" i="17"/>
  <c r="G848" i="17"/>
  <c r="G850" i="17"/>
  <c r="G852" i="17"/>
  <c r="G854" i="17"/>
  <c r="E873" i="17"/>
  <c r="E875" i="17"/>
  <c r="E877" i="17"/>
  <c r="E879" i="17"/>
  <c r="E881" i="17"/>
  <c r="E883" i="17"/>
  <c r="G886" i="17"/>
  <c r="G888" i="17"/>
  <c r="G890" i="17"/>
  <c r="G892" i="17"/>
  <c r="G894" i="17"/>
  <c r="G896" i="17"/>
  <c r="E915" i="17"/>
  <c r="E917" i="17"/>
  <c r="E919" i="17"/>
  <c r="E921" i="17"/>
  <c r="E923" i="17"/>
  <c r="E925" i="17"/>
  <c r="G928" i="17"/>
  <c r="G930" i="17"/>
  <c r="G932" i="17"/>
  <c r="G934" i="17"/>
  <c r="G936" i="17"/>
  <c r="G938" i="17"/>
  <c r="F915" i="17"/>
  <c r="F917" i="17"/>
  <c r="F919" i="17"/>
  <c r="F921" i="17"/>
  <c r="F923" i="17"/>
  <c r="F925" i="17"/>
  <c r="F858" i="17"/>
  <c r="F860" i="17"/>
  <c r="F862" i="17"/>
  <c r="F864" i="17"/>
  <c r="F866" i="17"/>
  <c r="F868" i="17"/>
  <c r="F900" i="17"/>
  <c r="F902" i="17"/>
  <c r="F904" i="17"/>
  <c r="F906" i="17"/>
  <c r="F908" i="17"/>
  <c r="F910" i="17"/>
  <c r="W797" i="17"/>
  <c r="L742" i="17"/>
  <c r="N742" i="17" s="1"/>
  <c r="R742" i="17" s="1"/>
  <c r="L768" i="17"/>
  <c r="X764" i="17"/>
  <c r="K727" i="17"/>
  <c r="M727" i="17" s="1"/>
  <c r="S727" i="17" s="1"/>
  <c r="L727" i="17"/>
  <c r="N727" i="17" s="1"/>
  <c r="W773" i="17"/>
  <c r="L777" i="17"/>
  <c r="N777" i="17" s="1"/>
  <c r="L734" i="17"/>
  <c r="N734" i="17" s="1"/>
  <c r="R734" i="17" s="1"/>
  <c r="L797" i="17"/>
  <c r="N797" i="17" s="1"/>
  <c r="R797" i="17" s="1"/>
  <c r="J747" i="17"/>
  <c r="W769" i="17"/>
  <c r="W749" i="17"/>
  <c r="X773" i="17"/>
  <c r="L749" i="17"/>
  <c r="N749" i="17" s="1"/>
  <c r="K719" i="17"/>
  <c r="M719" i="17" s="1"/>
  <c r="J727" i="17"/>
  <c r="W732" i="17"/>
  <c r="W785" i="17"/>
  <c r="K718" i="17"/>
  <c r="M718" i="17" s="1"/>
  <c r="K732" i="17"/>
  <c r="M732" i="17" s="1"/>
  <c r="Q732" i="17" s="1"/>
  <c r="L776" i="17"/>
  <c r="N776" i="17" s="1"/>
  <c r="K785" i="17"/>
  <c r="M785" i="17" s="1"/>
  <c r="Q785" i="17" s="1"/>
  <c r="L789" i="17"/>
  <c r="N789" i="17" s="1"/>
  <c r="L744" i="17"/>
  <c r="N744" i="17" s="1"/>
  <c r="R744" i="17" s="1"/>
  <c r="X749" i="17"/>
  <c r="X755" i="17"/>
  <c r="K768" i="17"/>
  <c r="M768" i="17" s="1"/>
  <c r="Q768" i="17" s="1"/>
  <c r="W734" i="17"/>
  <c r="L775" i="17"/>
  <c r="N775" i="17" s="1"/>
  <c r="W781" i="17"/>
  <c r="W791" i="17"/>
  <c r="X748" i="17"/>
  <c r="X760" i="17"/>
  <c r="X772" i="17"/>
  <c r="J775" i="17"/>
  <c r="L781" i="17"/>
  <c r="N781" i="17" s="1"/>
  <c r="W788" i="17"/>
  <c r="L791" i="17"/>
  <c r="W743" i="17"/>
  <c r="K746" i="17"/>
  <c r="M746" i="17" s="1"/>
  <c r="Q746" i="17" s="1"/>
  <c r="J758" i="17"/>
  <c r="L761" i="17"/>
  <c r="N761" i="17" s="1"/>
  <c r="R761" i="17" s="1"/>
  <c r="L778" i="17"/>
  <c r="N778" i="17" s="1"/>
  <c r="R778" i="17" s="1"/>
  <c r="K781" i="17"/>
  <c r="M781" i="17" s="1"/>
  <c r="Q781" i="17" s="1"/>
  <c r="K791" i="17"/>
  <c r="M791" i="17" s="1"/>
  <c r="Q791" i="17" s="1"/>
  <c r="X741" i="17"/>
  <c r="W742" i="17"/>
  <c r="X759" i="17"/>
  <c r="W772" i="17"/>
  <c r="W777" i="17"/>
  <c r="L783" i="17"/>
  <c r="N783" i="17" s="1"/>
  <c r="X785" i="17"/>
  <c r="W721" i="17"/>
  <c r="L724" i="17"/>
  <c r="N724" i="17" s="1"/>
  <c r="R724" i="17" s="1"/>
  <c r="K744" i="17"/>
  <c r="M744" i="17" s="1"/>
  <c r="S744" i="17" s="1"/>
  <c r="L769" i="17"/>
  <c r="N769" i="17" s="1"/>
  <c r="W787" i="17"/>
  <c r="K788" i="17"/>
  <c r="M788" i="17" s="1"/>
  <c r="Q788" i="17" s="1"/>
  <c r="K724" i="17"/>
  <c r="M724" i="17" s="1"/>
  <c r="Q724" i="17" s="1"/>
  <c r="K787" i="17"/>
  <c r="M787" i="17" s="1"/>
  <c r="Q787" i="17" s="1"/>
  <c r="L719" i="17"/>
  <c r="N719" i="17" s="1"/>
  <c r="J724" i="17"/>
  <c r="J787" i="17"/>
  <c r="J723" i="17"/>
  <c r="W728" i="17"/>
  <c r="L756" i="17"/>
  <c r="N756" i="17" s="1"/>
  <c r="R756" i="17" s="1"/>
  <c r="W760" i="17"/>
  <c r="L767" i="17"/>
  <c r="N767" i="17" s="1"/>
  <c r="W784" i="17"/>
  <c r="X789" i="17"/>
  <c r="L728" i="17"/>
  <c r="J756" i="17"/>
  <c r="K760" i="17"/>
  <c r="M760" i="17" s="1"/>
  <c r="Q760" i="17" s="1"/>
  <c r="K767" i="17"/>
  <c r="M767" i="17" s="1"/>
  <c r="S767" i="17" s="1"/>
  <c r="L772" i="17"/>
  <c r="N772" i="17" s="1"/>
  <c r="J773" i="17"/>
  <c r="J781" i="17"/>
  <c r="L784" i="17"/>
  <c r="N784" i="17" s="1"/>
  <c r="X795" i="17"/>
  <c r="K728" i="17"/>
  <c r="M728" i="17" s="1"/>
  <c r="Q728" i="17" s="1"/>
  <c r="W731" i="17"/>
  <c r="X736" i="17"/>
  <c r="X754" i="17"/>
  <c r="J767" i="17"/>
  <c r="W771" i="17"/>
  <c r="J772" i="17"/>
  <c r="J784" i="17"/>
  <c r="L790" i="17"/>
  <c r="N790" i="17" s="1"/>
  <c r="J728" i="17"/>
  <c r="L737" i="17"/>
  <c r="N737" i="17" s="1"/>
  <c r="R737" i="17" s="1"/>
  <c r="L759" i="17"/>
  <c r="N759" i="17" s="1"/>
  <c r="L771" i="17"/>
  <c r="K793" i="17"/>
  <c r="M793" i="17" s="1"/>
  <c r="Q793" i="17" s="1"/>
  <c r="X721" i="17"/>
  <c r="X751" i="17"/>
  <c r="X757" i="17"/>
  <c r="W770" i="17"/>
  <c r="L716" i="17"/>
  <c r="N716" i="17" s="1"/>
  <c r="J719" i="17"/>
  <c r="W744" i="17"/>
  <c r="L725" i="17"/>
  <c r="N725" i="17" s="1"/>
  <c r="R725" i="17" s="1"/>
  <c r="W730" i="17"/>
  <c r="J740" i="17"/>
  <c r="L758" i="17"/>
  <c r="N758" i="17" s="1"/>
  <c r="R758" i="17" s="1"/>
  <c r="L770" i="17"/>
  <c r="N770" i="17" s="1"/>
  <c r="R770" i="17" s="1"/>
  <c r="X787" i="17"/>
  <c r="X731" i="17"/>
  <c r="X732" i="17"/>
  <c r="K734" i="17"/>
  <c r="M734" i="17" s="1"/>
  <c r="X737" i="17"/>
  <c r="X743" i="17"/>
  <c r="W745" i="17"/>
  <c r="L752" i="17"/>
  <c r="N752" i="17" s="1"/>
  <c r="R752" i="17" s="1"/>
  <c r="W755" i="17"/>
  <c r="W756" i="17"/>
  <c r="X756" i="17"/>
  <c r="W758" i="17"/>
  <c r="X758" i="17"/>
  <c r="L760" i="17"/>
  <c r="W765" i="17"/>
  <c r="J768" i="17"/>
  <c r="K769" i="17"/>
  <c r="M769" i="17" s="1"/>
  <c r="S769" i="17" s="1"/>
  <c r="K770" i="17"/>
  <c r="M770" i="17" s="1"/>
  <c r="K771" i="17"/>
  <c r="M771" i="17" s="1"/>
  <c r="Q771" i="17" s="1"/>
  <c r="K772" i="17"/>
  <c r="M772" i="17" s="1"/>
  <c r="Q772" i="17" s="1"/>
  <c r="K773" i="17"/>
  <c r="M773" i="17" s="1"/>
  <c r="Q773" i="17" s="1"/>
  <c r="K776" i="17"/>
  <c r="M776" i="17" s="1"/>
  <c r="Q776" i="17" s="1"/>
  <c r="K777" i="17"/>
  <c r="M777" i="17" s="1"/>
  <c r="Q777" i="17" s="1"/>
  <c r="X783" i="17"/>
  <c r="X784" i="17"/>
  <c r="X788" i="17"/>
  <c r="J790" i="17"/>
  <c r="J791" i="17"/>
  <c r="L796" i="17"/>
  <c r="N796" i="17" s="1"/>
  <c r="K797" i="17"/>
  <c r="M797" i="17" s="1"/>
  <c r="J734" i="17"/>
  <c r="W739" i="17"/>
  <c r="X742" i="17"/>
  <c r="K745" i="17"/>
  <c r="M745" i="17" s="1"/>
  <c r="Q745" i="17" s="1"/>
  <c r="W757" i="17"/>
  <c r="X794" i="17"/>
  <c r="L755" i="17"/>
  <c r="L757" i="17"/>
  <c r="N757" i="17" s="1"/>
  <c r="L765" i="17"/>
  <c r="X720" i="17"/>
  <c r="X729" i="17"/>
  <c r="X730" i="17"/>
  <c r="L732" i="17"/>
  <c r="K755" i="17"/>
  <c r="M755" i="17" s="1"/>
  <c r="Q755" i="17" s="1"/>
  <c r="K756" i="17"/>
  <c r="M756" i="17" s="1"/>
  <c r="Q756" i="17" s="1"/>
  <c r="K757" i="17"/>
  <c r="M757" i="17" s="1"/>
  <c r="Q757" i="17" s="1"/>
  <c r="K758" i="17"/>
  <c r="M758" i="17" s="1"/>
  <c r="Q758" i="17" s="1"/>
  <c r="K765" i="17"/>
  <c r="M765" i="17" s="1"/>
  <c r="Q765" i="17" s="1"/>
  <c r="X782" i="17"/>
  <c r="K784" i="17"/>
  <c r="M784" i="17" s="1"/>
  <c r="Q784" i="17" s="1"/>
  <c r="L785" i="17"/>
  <c r="L787" i="17"/>
  <c r="L788" i="17"/>
  <c r="L795" i="17"/>
  <c r="N795" i="17" s="1"/>
  <c r="R795" i="17" s="1"/>
  <c r="W722" i="17"/>
  <c r="W723" i="17"/>
  <c r="X735" i="17"/>
  <c r="K749" i="17"/>
  <c r="M749" i="17" s="1"/>
  <c r="Q749" i="17" s="1"/>
  <c r="X779" i="17"/>
  <c r="X780" i="17"/>
  <c r="J785" i="17"/>
  <c r="X792" i="17"/>
  <c r="X722" i="17"/>
  <c r="L721" i="17"/>
  <c r="X723" i="17"/>
  <c r="X725" i="17"/>
  <c r="L730" i="17"/>
  <c r="L736" i="17"/>
  <c r="N736" i="17" s="1"/>
  <c r="X740" i="17"/>
  <c r="X746" i="17"/>
  <c r="X747" i="17"/>
  <c r="J749" i="17"/>
  <c r="X766" i="17"/>
  <c r="X778" i="17"/>
  <c r="W780" i="17"/>
  <c r="W793" i="17"/>
  <c r="K721" i="17"/>
  <c r="M721" i="17" s="1"/>
  <c r="Q721" i="17" s="1"/>
  <c r="L722" i="17"/>
  <c r="W724" i="17"/>
  <c r="X724" i="17"/>
  <c r="W727" i="17"/>
  <c r="X727" i="17"/>
  <c r="J729" i="17"/>
  <c r="K730" i="17"/>
  <c r="M730" i="17" s="1"/>
  <c r="Q730" i="17" s="1"/>
  <c r="W747" i="17"/>
  <c r="X761" i="17"/>
  <c r="W767" i="17"/>
  <c r="X767" i="17"/>
  <c r="X775" i="17"/>
  <c r="X781" i="17"/>
  <c r="J721" i="17"/>
  <c r="K722" i="17"/>
  <c r="M722" i="17" s="1"/>
  <c r="S722" i="17" s="1"/>
  <c r="L723" i="17"/>
  <c r="W725" i="17"/>
  <c r="X733" i="17"/>
  <c r="X752" i="17"/>
  <c r="L763" i="17"/>
  <c r="N763" i="17" s="1"/>
  <c r="R763" i="17" s="1"/>
  <c r="W768" i="17"/>
  <c r="X768" i="17"/>
  <c r="X769" i="17"/>
  <c r="X770" i="17"/>
  <c r="X771" i="17"/>
  <c r="W776" i="17"/>
  <c r="X776" i="17"/>
  <c r="X777" i="17"/>
  <c r="L779" i="17"/>
  <c r="N779" i="17" s="1"/>
  <c r="R779" i="17" s="1"/>
  <c r="L780" i="17"/>
  <c r="N780" i="17" s="1"/>
  <c r="R780" i="17" s="1"/>
  <c r="X790" i="17"/>
  <c r="X791" i="17"/>
  <c r="X796" i="17"/>
  <c r="X797" i="17"/>
  <c r="K723" i="17"/>
  <c r="M723" i="17" s="1"/>
  <c r="Q723" i="17" s="1"/>
  <c r="X734" i="17"/>
  <c r="W740" i="17"/>
  <c r="W746" i="17"/>
  <c r="L747" i="17"/>
  <c r="N747" i="17" s="1"/>
  <c r="R747" i="17" s="1"/>
  <c r="J779" i="17"/>
  <c r="J780" i="17"/>
  <c r="L792" i="17"/>
  <c r="N792" i="17" s="1"/>
  <c r="L793" i="17"/>
  <c r="J797" i="17"/>
  <c r="W796" i="17"/>
  <c r="K796" i="17"/>
  <c r="M796" i="17" s="1"/>
  <c r="Q796" i="17" s="1"/>
  <c r="J796" i="17"/>
  <c r="W795" i="17"/>
  <c r="K795" i="17"/>
  <c r="M795" i="17" s="1"/>
  <c r="J795" i="17"/>
  <c r="X793" i="17"/>
  <c r="L794" i="17"/>
  <c r="W794" i="17"/>
  <c r="K794" i="17"/>
  <c r="M794" i="17" s="1"/>
  <c r="Q794" i="17" s="1"/>
  <c r="J794" i="17"/>
  <c r="J793" i="17"/>
  <c r="W792" i="17"/>
  <c r="K792" i="17"/>
  <c r="M792" i="17" s="1"/>
  <c r="Q792" i="17" s="1"/>
  <c r="J792" i="17"/>
  <c r="R790" i="17"/>
  <c r="W790" i="17"/>
  <c r="K790" i="17"/>
  <c r="M790" i="17" s="1"/>
  <c r="W789" i="17"/>
  <c r="K789" i="17"/>
  <c r="M789" i="17" s="1"/>
  <c r="Q789" i="17" s="1"/>
  <c r="J789" i="17"/>
  <c r="J788" i="17"/>
  <c r="W783" i="17"/>
  <c r="K783" i="17"/>
  <c r="M783" i="17" s="1"/>
  <c r="Q783" i="17" s="1"/>
  <c r="J783" i="17"/>
  <c r="L782" i="17"/>
  <c r="W782" i="17"/>
  <c r="K782" i="17"/>
  <c r="M782" i="17" s="1"/>
  <c r="Q782" i="17" s="1"/>
  <c r="J782" i="17"/>
  <c r="K780" i="17"/>
  <c r="W779" i="17"/>
  <c r="K779" i="17"/>
  <c r="M779" i="17" s="1"/>
  <c r="W778" i="17"/>
  <c r="K778" i="17"/>
  <c r="M778" i="17" s="1"/>
  <c r="J778" i="17"/>
  <c r="J777" i="17"/>
  <c r="J776" i="17"/>
  <c r="W775" i="17"/>
  <c r="K775" i="17"/>
  <c r="M775" i="17" s="1"/>
  <c r="Q775" i="17" s="1"/>
  <c r="J771" i="17"/>
  <c r="J770" i="17"/>
  <c r="J769" i="17"/>
  <c r="X765" i="17"/>
  <c r="L766" i="17"/>
  <c r="W766" i="17"/>
  <c r="K766" i="17"/>
  <c r="M766" i="17" s="1"/>
  <c r="Q766" i="17" s="1"/>
  <c r="J766" i="17"/>
  <c r="J765" i="17"/>
  <c r="X763" i="17"/>
  <c r="L764" i="17"/>
  <c r="W764" i="17"/>
  <c r="K764" i="17"/>
  <c r="M764" i="17" s="1"/>
  <c r="Q764" i="17" s="1"/>
  <c r="J764" i="17"/>
  <c r="W763" i="17"/>
  <c r="K763" i="17"/>
  <c r="M763" i="17" s="1"/>
  <c r="Q763" i="17" s="1"/>
  <c r="J763" i="17"/>
  <c r="W761" i="17"/>
  <c r="K761" i="17"/>
  <c r="M761" i="17" s="1"/>
  <c r="J761" i="17"/>
  <c r="J760" i="17"/>
  <c r="W759" i="17"/>
  <c r="K759" i="17"/>
  <c r="M759" i="17" s="1"/>
  <c r="Q759" i="17" s="1"/>
  <c r="J759" i="17"/>
  <c r="J757" i="17"/>
  <c r="J755" i="17"/>
  <c r="X753" i="17"/>
  <c r="L754" i="17"/>
  <c r="W754" i="17"/>
  <c r="K754" i="17"/>
  <c r="M754" i="17" s="1"/>
  <c r="Q754" i="17" s="1"/>
  <c r="J754" i="17"/>
  <c r="L753" i="17"/>
  <c r="W753" i="17"/>
  <c r="K753" i="17"/>
  <c r="M753" i="17" s="1"/>
  <c r="Q753" i="17" s="1"/>
  <c r="J753" i="17"/>
  <c r="W752" i="17"/>
  <c r="K752" i="17"/>
  <c r="M752" i="17" s="1"/>
  <c r="J752" i="17"/>
  <c r="L751" i="17"/>
  <c r="W751" i="17"/>
  <c r="K751" i="17"/>
  <c r="M751" i="17" s="1"/>
  <c r="Q751" i="17" s="1"/>
  <c r="J751" i="17"/>
  <c r="L748" i="17"/>
  <c r="W748" i="17"/>
  <c r="K748" i="17"/>
  <c r="M748" i="17" s="1"/>
  <c r="Q748" i="17" s="1"/>
  <c r="J748" i="17"/>
  <c r="K747" i="17"/>
  <c r="M747" i="17" s="1"/>
  <c r="X745" i="17"/>
  <c r="L746" i="17"/>
  <c r="J746" i="17"/>
  <c r="X744" i="17"/>
  <c r="L745" i="17"/>
  <c r="J745" i="17"/>
  <c r="J744" i="17"/>
  <c r="K743" i="17"/>
  <c r="M743" i="17" s="1"/>
  <c r="J743" i="17"/>
  <c r="K742" i="17"/>
  <c r="M742" i="17" s="1"/>
  <c r="J742" i="17"/>
  <c r="L741" i="17"/>
  <c r="W741" i="17"/>
  <c r="K741" i="17"/>
  <c r="M741" i="17" s="1"/>
  <c r="Q741" i="17" s="1"/>
  <c r="J741" i="17"/>
  <c r="X739" i="17"/>
  <c r="L740" i="17"/>
  <c r="K740" i="17"/>
  <c r="M740" i="17" s="1"/>
  <c r="Q740" i="17" s="1"/>
  <c r="L739" i="17"/>
  <c r="K739" i="17"/>
  <c r="M739" i="17" s="1"/>
  <c r="Q739" i="17" s="1"/>
  <c r="J739" i="17"/>
  <c r="W737" i="17"/>
  <c r="K737" i="17"/>
  <c r="M737" i="17" s="1"/>
  <c r="J737" i="17"/>
  <c r="W736" i="17"/>
  <c r="K736" i="17"/>
  <c r="M736" i="17" s="1"/>
  <c r="Q736" i="17" s="1"/>
  <c r="J736" i="17"/>
  <c r="L735" i="17"/>
  <c r="W735" i="17"/>
  <c r="K735" i="17"/>
  <c r="M735" i="17" s="1"/>
  <c r="Q735" i="17" s="1"/>
  <c r="J735" i="17"/>
  <c r="L733" i="17"/>
  <c r="W733" i="17"/>
  <c r="K733" i="17"/>
  <c r="M733" i="17" s="1"/>
  <c r="Q733" i="17" s="1"/>
  <c r="J733" i="17"/>
  <c r="J732" i="17"/>
  <c r="L731" i="17"/>
  <c r="K731" i="17"/>
  <c r="M731" i="17" s="1"/>
  <c r="Q731" i="17" s="1"/>
  <c r="J731" i="17"/>
  <c r="J730" i="17"/>
  <c r="X728" i="17"/>
  <c r="L729" i="17"/>
  <c r="W729" i="17"/>
  <c r="K729" i="17"/>
  <c r="M729" i="17" s="1"/>
  <c r="Q729" i="17" s="1"/>
  <c r="Q727" i="17"/>
  <c r="K725" i="17"/>
  <c r="M725" i="17" s="1"/>
  <c r="Q725" i="17" s="1"/>
  <c r="J725" i="17"/>
  <c r="J722" i="17"/>
  <c r="L720" i="17"/>
  <c r="W720" i="17"/>
  <c r="K720" i="17"/>
  <c r="M720" i="17" s="1"/>
  <c r="Q720" i="17" s="1"/>
  <c r="J720" i="17"/>
  <c r="L718" i="17"/>
  <c r="L717" i="17"/>
  <c r="K717" i="17"/>
  <c r="M717" i="17" s="1"/>
  <c r="K716" i="17"/>
  <c r="M716" i="17" s="1"/>
  <c r="J716" i="17"/>
  <c r="L715" i="17"/>
  <c r="K715" i="17"/>
  <c r="M715" i="17" s="1"/>
  <c r="J715" i="17"/>
  <c r="D169" i="12"/>
  <c r="D165" i="12"/>
  <c r="J27" i="17"/>
  <c r="J31" i="17"/>
  <c r="J29" i="17"/>
  <c r="J28" i="17"/>
  <c r="J30" i="17"/>
  <c r="I27" i="17"/>
  <c r="I28" i="17"/>
  <c r="I29" i="17"/>
  <c r="I30" i="17"/>
  <c r="I31" i="17"/>
  <c r="Q29" i="17"/>
  <c r="V26" i="17"/>
  <c r="U27" i="17"/>
  <c r="V28" i="17"/>
  <c r="W29" i="17"/>
  <c r="X30" i="17"/>
  <c r="Y31" i="17"/>
  <c r="V27" i="17"/>
  <c r="W28" i="17"/>
  <c r="X29" i="17"/>
  <c r="Y30" i="17"/>
  <c r="Z31" i="17"/>
  <c r="W27" i="17"/>
  <c r="X28" i="17"/>
  <c r="Y29" i="17"/>
  <c r="Z30" i="17"/>
  <c r="AA31" i="17"/>
  <c r="V25" i="17"/>
  <c r="X27" i="17"/>
  <c r="Y28" i="17"/>
  <c r="Z29" i="17"/>
  <c r="AA30" i="17"/>
  <c r="AB31" i="17"/>
  <c r="Y27" i="17"/>
  <c r="Z28" i="17"/>
  <c r="AA29" i="17"/>
  <c r="AB30" i="17"/>
  <c r="Z27" i="17"/>
  <c r="AA28" i="17"/>
  <c r="AB29" i="17"/>
  <c r="AD31" i="17"/>
  <c r="AA27" i="17"/>
  <c r="AB28" i="17"/>
  <c r="AD30" i="17"/>
  <c r="R31" i="17"/>
  <c r="AB27" i="17"/>
  <c r="AD29" i="17"/>
  <c r="R30" i="17"/>
  <c r="AD28" i="17"/>
  <c r="R29" i="17"/>
  <c r="U31" i="17"/>
  <c r="AD27" i="17"/>
  <c r="R28" i="17"/>
  <c r="U30" i="17"/>
  <c r="V31" i="17"/>
  <c r="R27" i="17"/>
  <c r="U29" i="17"/>
  <c r="V30" i="17"/>
  <c r="W31" i="17"/>
  <c r="U28" i="17"/>
  <c r="V29" i="17"/>
  <c r="W30" i="17"/>
  <c r="X31" i="17"/>
  <c r="D153" i="12"/>
  <c r="P29" i="17"/>
  <c r="N28" i="17"/>
  <c r="N31" i="17"/>
  <c r="P28" i="17"/>
  <c r="P31" i="17"/>
  <c r="N27" i="17"/>
  <c r="N30" i="17"/>
  <c r="P27" i="17"/>
  <c r="P30" i="17"/>
  <c r="A81" i="20"/>
  <c r="A105" i="20"/>
  <c r="S105" i="20" s="1"/>
  <c r="G65" i="20"/>
  <c r="B246" i="15"/>
  <c r="A133" i="20"/>
  <c r="B200" i="15"/>
  <c r="A109" i="20"/>
  <c r="S109" i="20" s="1"/>
  <c r="B91" i="10"/>
  <c r="N91" i="10" s="1"/>
  <c r="A25" i="20"/>
  <c r="S25" i="20" s="1"/>
  <c r="B24" i="9"/>
  <c r="I24" i="9" s="1"/>
  <c r="A49" i="20"/>
  <c r="S49" i="20" s="1"/>
  <c r="B115" i="10"/>
  <c r="N115" i="10" s="1"/>
  <c r="A73" i="20"/>
  <c r="S73" i="20" s="1"/>
  <c r="B48" i="9"/>
  <c r="I48" i="9" s="1"/>
  <c r="A97" i="20"/>
  <c r="S97" i="20" s="1"/>
  <c r="B25" i="9"/>
  <c r="I25" i="9" s="1"/>
  <c r="A51" i="20"/>
  <c r="B61" i="9"/>
  <c r="I61" i="9" s="1"/>
  <c r="A123" i="20"/>
  <c r="S123" i="20" s="1"/>
  <c r="B37" i="9"/>
  <c r="A75" i="20"/>
  <c r="S75" i="20" s="1"/>
  <c r="B49" i="9"/>
  <c r="C49" i="9" s="1"/>
  <c r="A99" i="20"/>
  <c r="S99" i="20" s="1"/>
  <c r="C16" i="3"/>
  <c r="E11" i="8" s="1"/>
  <c r="G55" i="8" s="1"/>
  <c r="B7" i="20"/>
  <c r="B27" i="9"/>
  <c r="I27" i="9" s="1"/>
  <c r="A55" i="20"/>
  <c r="S55" i="20" s="1"/>
  <c r="B63" i="9"/>
  <c r="I63" i="9" s="1"/>
  <c r="A127" i="20"/>
  <c r="B6" i="9"/>
  <c r="I6" i="9" s="1"/>
  <c r="A13" i="20"/>
  <c r="S13" i="20" s="1"/>
  <c r="B30" i="9"/>
  <c r="I30" i="9" s="1"/>
  <c r="A61" i="20"/>
  <c r="S61" i="20" s="1"/>
  <c r="A35" i="20"/>
  <c r="S35" i="20" s="1"/>
  <c r="A131" i="20"/>
  <c r="S131" i="20" s="1"/>
  <c r="A15" i="20"/>
  <c r="S15" i="20" s="1"/>
  <c r="A87" i="20"/>
  <c r="A111" i="20"/>
  <c r="S111" i="20" s="1"/>
  <c r="A19" i="20"/>
  <c r="S19" i="20" s="1"/>
  <c r="A43" i="20"/>
  <c r="A91" i="20"/>
  <c r="A115" i="20"/>
  <c r="S115" i="20" s="1"/>
  <c r="A21" i="20"/>
  <c r="S21" i="20" s="1"/>
  <c r="A45" i="20"/>
  <c r="S45" i="20" s="1"/>
  <c r="A69" i="20"/>
  <c r="S69" i="20" s="1"/>
  <c r="A117" i="20"/>
  <c r="S117" i="20" s="1"/>
  <c r="A23" i="20"/>
  <c r="S23" i="20" s="1"/>
  <c r="A71" i="20"/>
  <c r="S71" i="20" s="1"/>
  <c r="A95" i="20"/>
  <c r="S95" i="20" s="1"/>
  <c r="A29" i="20"/>
  <c r="S29" i="20" s="1"/>
  <c r="A101" i="20"/>
  <c r="S101" i="20" s="1"/>
  <c r="A125" i="20"/>
  <c r="E284" i="18"/>
  <c r="E2188" i="18"/>
  <c r="E2644" i="18"/>
  <c r="E2716" i="18"/>
  <c r="E2732" i="18"/>
  <c r="E2740" i="18"/>
  <c r="E2744" i="18"/>
  <c r="E2748" i="18"/>
  <c r="E2752" i="18"/>
  <c r="E2772" i="18"/>
  <c r="E2776" i="18"/>
  <c r="E2920" i="18"/>
  <c r="E2924" i="18"/>
  <c r="E2928" i="18"/>
  <c r="E2932" i="18"/>
  <c r="E2988" i="18"/>
  <c r="E3436" i="18"/>
  <c r="E3440" i="18"/>
  <c r="G314" i="18"/>
  <c r="K314" i="18" s="1"/>
  <c r="G221" i="18"/>
  <c r="H221" i="18" s="1"/>
  <c r="G365" i="18"/>
  <c r="H365" i="18" s="1"/>
  <c r="G362" i="18"/>
  <c r="H362" i="18" s="1"/>
  <c r="G317" i="18"/>
  <c r="H317" i="18" s="1"/>
  <c r="G269" i="18"/>
  <c r="J269" i="18" s="1"/>
  <c r="G266" i="18"/>
  <c r="H266" i="18" s="1"/>
  <c r="G218" i="18"/>
  <c r="K218" i="18" s="1"/>
  <c r="G173" i="18"/>
  <c r="H173" i="18" s="1"/>
  <c r="G126" i="18"/>
  <c r="G138" i="18"/>
  <c r="G150" i="18"/>
  <c r="G162" i="18"/>
  <c r="G174" i="18"/>
  <c r="G186" i="18"/>
  <c r="G198" i="18"/>
  <c r="G210" i="18"/>
  <c r="G222" i="18"/>
  <c r="G234" i="18"/>
  <c r="G246" i="18"/>
  <c r="G258" i="18"/>
  <c r="G270" i="18"/>
  <c r="G282" i="18"/>
  <c r="G294" i="18"/>
  <c r="G306" i="18"/>
  <c r="G318" i="18"/>
  <c r="G330" i="18"/>
  <c r="G342" i="18"/>
  <c r="G354" i="18"/>
  <c r="G366" i="18"/>
  <c r="G378" i="18"/>
  <c r="G390" i="18"/>
  <c r="G402" i="18"/>
  <c r="G127" i="18"/>
  <c r="G139" i="18"/>
  <c r="G151" i="18"/>
  <c r="G163" i="18"/>
  <c r="G175" i="18"/>
  <c r="G187" i="18"/>
  <c r="G199" i="18"/>
  <c r="G211" i="18"/>
  <c r="G223" i="18"/>
  <c r="G235" i="18"/>
  <c r="G247" i="18"/>
  <c r="G259" i="18"/>
  <c r="G271" i="18"/>
  <c r="G283" i="18"/>
  <c r="G295" i="18"/>
  <c r="G307" i="18"/>
  <c r="G319" i="18"/>
  <c r="G331" i="18"/>
  <c r="G343" i="18"/>
  <c r="G355" i="18"/>
  <c r="G367" i="18"/>
  <c r="G379" i="18"/>
  <c r="G391" i="18"/>
  <c r="G403" i="18"/>
  <c r="G128" i="18"/>
  <c r="G140" i="18"/>
  <c r="G152" i="18"/>
  <c r="G164" i="18"/>
  <c r="G176" i="18"/>
  <c r="G188" i="18"/>
  <c r="G200" i="18"/>
  <c r="G212" i="18"/>
  <c r="G224" i="18"/>
  <c r="G236" i="18"/>
  <c r="G248" i="18"/>
  <c r="G260" i="18"/>
  <c r="G272" i="18"/>
  <c r="G284" i="18"/>
  <c r="G296" i="18"/>
  <c r="G308" i="18"/>
  <c r="G320" i="18"/>
  <c r="G332" i="18"/>
  <c r="G344" i="18"/>
  <c r="G356" i="18"/>
  <c r="G368" i="18"/>
  <c r="G380" i="18"/>
  <c r="G392" i="18"/>
  <c r="G404" i="18"/>
  <c r="G129" i="18"/>
  <c r="G141" i="18"/>
  <c r="G153" i="18"/>
  <c r="G165" i="18"/>
  <c r="G177" i="18"/>
  <c r="G189" i="18"/>
  <c r="G201" i="18"/>
  <c r="G213" i="18"/>
  <c r="G225" i="18"/>
  <c r="G237" i="18"/>
  <c r="G249" i="18"/>
  <c r="G261" i="18"/>
  <c r="G273" i="18"/>
  <c r="G285" i="18"/>
  <c r="G297" i="18"/>
  <c r="G309" i="18"/>
  <c r="G321" i="18"/>
  <c r="G333" i="18"/>
  <c r="G345" i="18"/>
  <c r="G357" i="18"/>
  <c r="G369" i="18"/>
  <c r="G381" i="18"/>
  <c r="G393" i="18"/>
  <c r="G405" i="18"/>
  <c r="G130" i="18"/>
  <c r="G142" i="18"/>
  <c r="G154" i="18"/>
  <c r="G166" i="18"/>
  <c r="G178" i="18"/>
  <c r="G190" i="18"/>
  <c r="G202" i="18"/>
  <c r="G214" i="18"/>
  <c r="G226" i="18"/>
  <c r="G238" i="18"/>
  <c r="G250" i="18"/>
  <c r="G262" i="18"/>
  <c r="G274" i="18"/>
  <c r="G286" i="18"/>
  <c r="G298" i="18"/>
  <c r="G310" i="18"/>
  <c r="G322" i="18"/>
  <c r="G334" i="18"/>
  <c r="G346" i="18"/>
  <c r="G358" i="18"/>
  <c r="G370" i="18"/>
  <c r="G382" i="18"/>
  <c r="G394" i="18"/>
  <c r="G131" i="18"/>
  <c r="G143" i="18"/>
  <c r="G155" i="18"/>
  <c r="G167" i="18"/>
  <c r="G179" i="18"/>
  <c r="G191" i="18"/>
  <c r="G203" i="18"/>
  <c r="G215" i="18"/>
  <c r="G227" i="18"/>
  <c r="G239" i="18"/>
  <c r="G251" i="18"/>
  <c r="G263" i="18"/>
  <c r="G275" i="18"/>
  <c r="G287" i="18"/>
  <c r="G299" i="18"/>
  <c r="G311" i="18"/>
  <c r="G323" i="18"/>
  <c r="G335" i="18"/>
  <c r="G347" i="18"/>
  <c r="G359" i="18"/>
  <c r="G371" i="18"/>
  <c r="G383" i="18"/>
  <c r="G395" i="18"/>
  <c r="G132" i="18"/>
  <c r="G144" i="18"/>
  <c r="G156" i="18"/>
  <c r="G168" i="18"/>
  <c r="G180" i="18"/>
  <c r="G192" i="18"/>
  <c r="G204" i="18"/>
  <c r="G216" i="18"/>
  <c r="G228" i="18"/>
  <c r="G240" i="18"/>
  <c r="G252" i="18"/>
  <c r="G264" i="18"/>
  <c r="G276" i="18"/>
  <c r="G288" i="18"/>
  <c r="G300" i="18"/>
  <c r="G312" i="18"/>
  <c r="G324" i="18"/>
  <c r="G336" i="18"/>
  <c r="G348" i="18"/>
  <c r="G360" i="18"/>
  <c r="G372" i="18"/>
  <c r="G384" i="18"/>
  <c r="G396" i="18"/>
  <c r="G133" i="18"/>
  <c r="G145" i="18"/>
  <c r="G157" i="18"/>
  <c r="G169" i="18"/>
  <c r="G181" i="18"/>
  <c r="G193" i="18"/>
  <c r="G205" i="18"/>
  <c r="G217" i="18"/>
  <c r="G229" i="18"/>
  <c r="G241" i="18"/>
  <c r="G253" i="18"/>
  <c r="G265" i="18"/>
  <c r="G277" i="18"/>
  <c r="G289" i="18"/>
  <c r="G301" i="18"/>
  <c r="G313" i="18"/>
  <c r="G325" i="18"/>
  <c r="G337" i="18"/>
  <c r="G349" i="18"/>
  <c r="G361" i="18"/>
  <c r="G373" i="18"/>
  <c r="G385" i="18"/>
  <c r="G397" i="18"/>
  <c r="G136" i="18"/>
  <c r="G148" i="18"/>
  <c r="G160" i="18"/>
  <c r="G172" i="18"/>
  <c r="G184" i="18"/>
  <c r="G196" i="18"/>
  <c r="G208" i="18"/>
  <c r="G220" i="18"/>
  <c r="G232" i="18"/>
  <c r="G244" i="18"/>
  <c r="G256" i="18"/>
  <c r="G268" i="18"/>
  <c r="G280" i="18"/>
  <c r="G292" i="18"/>
  <c r="G304" i="18"/>
  <c r="G316" i="18"/>
  <c r="G328" i="18"/>
  <c r="G340" i="18"/>
  <c r="G352" i="18"/>
  <c r="G364" i="18"/>
  <c r="G376" i="18"/>
  <c r="G388" i="18"/>
  <c r="G400" i="18"/>
  <c r="G363" i="18"/>
  <c r="H363" i="18" s="1"/>
  <c r="G315" i="18"/>
  <c r="H315" i="18" s="1"/>
  <c r="G267" i="18"/>
  <c r="H267" i="18" s="1"/>
  <c r="G219" i="18"/>
  <c r="H219" i="18" s="1"/>
  <c r="G171" i="18"/>
  <c r="H171" i="18" s="1"/>
  <c r="H170" i="18"/>
  <c r="G401" i="18"/>
  <c r="G353" i="18"/>
  <c r="G305" i="18"/>
  <c r="G257" i="18"/>
  <c r="G209" i="18"/>
  <c r="G161" i="18"/>
  <c r="G399" i="18"/>
  <c r="H399" i="18" s="1"/>
  <c r="G351" i="18"/>
  <c r="G303" i="18"/>
  <c r="H303" i="18" s="1"/>
  <c r="G255" i="18"/>
  <c r="H255" i="18" s="1"/>
  <c r="G207" i="18"/>
  <c r="H207" i="18" s="1"/>
  <c r="G159" i="18"/>
  <c r="H159" i="18" s="1"/>
  <c r="G398" i="18"/>
  <c r="G350" i="18"/>
  <c r="G302" i="18"/>
  <c r="G254" i="18"/>
  <c r="G206" i="18"/>
  <c r="G158" i="18"/>
  <c r="G389" i="18"/>
  <c r="G341" i="18"/>
  <c r="G293" i="18"/>
  <c r="G245" i="18"/>
  <c r="G197" i="18"/>
  <c r="G149" i="18"/>
  <c r="G387" i="18"/>
  <c r="H387" i="18" s="1"/>
  <c r="G339" i="18"/>
  <c r="H339" i="18" s="1"/>
  <c r="G291" i="18"/>
  <c r="H291" i="18" s="1"/>
  <c r="G243" i="18"/>
  <c r="H243" i="18" s="1"/>
  <c r="G195" i="18"/>
  <c r="H195" i="18" s="1"/>
  <c r="G147" i="18"/>
  <c r="H147" i="18" s="1"/>
  <c r="G386" i="18"/>
  <c r="G338" i="18"/>
  <c r="G290" i="18"/>
  <c r="G242" i="18"/>
  <c r="G194" i="18"/>
  <c r="G146" i="18"/>
  <c r="G377" i="18"/>
  <c r="G329" i="18"/>
  <c r="G281" i="18"/>
  <c r="G233" i="18"/>
  <c r="G185" i="18"/>
  <c r="G137" i="18"/>
  <c r="G375" i="18"/>
  <c r="H375" i="18" s="1"/>
  <c r="G327" i="18"/>
  <c r="H327" i="18" s="1"/>
  <c r="G279" i="18"/>
  <c r="H279" i="18" s="1"/>
  <c r="G231" i="18"/>
  <c r="H231" i="18" s="1"/>
  <c r="G183" i="18"/>
  <c r="H183" i="18" s="1"/>
  <c r="G135" i="18"/>
  <c r="H135" i="18" s="1"/>
  <c r="G374" i="18"/>
  <c r="G326" i="18"/>
  <c r="G278" i="18"/>
  <c r="G230" i="18"/>
  <c r="G182" i="18"/>
  <c r="G134" i="18"/>
  <c r="E3004" i="18"/>
  <c r="E3444" i="18"/>
  <c r="E3448" i="18"/>
  <c r="E3452" i="18"/>
  <c r="E3472" i="18"/>
  <c r="E3476" i="18"/>
  <c r="E3484" i="18"/>
  <c r="E3500" i="18"/>
  <c r="E3504" i="18"/>
  <c r="E3508" i="18"/>
  <c r="E3512" i="18"/>
  <c r="E3516" i="18"/>
  <c r="E3520" i="18"/>
  <c r="E3524" i="18"/>
  <c r="E3528" i="18"/>
  <c r="E3532" i="18"/>
  <c r="E3536" i="18"/>
  <c r="E3540" i="18"/>
  <c r="E3544" i="18"/>
  <c r="E3548" i="18"/>
  <c r="E3552" i="18"/>
  <c r="E3556" i="18"/>
  <c r="D42" i="17"/>
  <c r="D283" i="17"/>
  <c r="E302" i="18"/>
  <c r="E322" i="18"/>
  <c r="E2050" i="18"/>
  <c r="E2062" i="18"/>
  <c r="E2074" i="18"/>
  <c r="E2558" i="18"/>
  <c r="E2562" i="18"/>
  <c r="E2566" i="18"/>
  <c r="E2570" i="18"/>
  <c r="E2574" i="18"/>
  <c r="E2582" i="18"/>
  <c r="E2594" i="18"/>
  <c r="E2606" i="18"/>
  <c r="E2750" i="18"/>
  <c r="E2754" i="18"/>
  <c r="E2762" i="18"/>
  <c r="E2766" i="18"/>
  <c r="E2802" i="18"/>
  <c r="E2810" i="18"/>
  <c r="E2878" i="18"/>
  <c r="E2910" i="18"/>
  <c r="E2918" i="18"/>
  <c r="E3006" i="18"/>
  <c r="E3010" i="18"/>
  <c r="E3346" i="18"/>
  <c r="E3434" i="18"/>
  <c r="E3438" i="18"/>
  <c r="E3442" i="18"/>
  <c r="E3446" i="18"/>
  <c r="E3454" i="18"/>
  <c r="E3474" i="18"/>
  <c r="E3478" i="18"/>
  <c r="E3482" i="18"/>
  <c r="E3486" i="18"/>
  <c r="E3498" i="18"/>
  <c r="E3502" i="18"/>
  <c r="E3506" i="18"/>
  <c r="E3510" i="18"/>
  <c r="E3514" i="18"/>
  <c r="E3518" i="18"/>
  <c r="E3522" i="18"/>
  <c r="E3526" i="18"/>
  <c r="E3530" i="18"/>
  <c r="E3534" i="18"/>
  <c r="E3538" i="18"/>
  <c r="E3542" i="18"/>
  <c r="E3546" i="18"/>
  <c r="E3550" i="18"/>
  <c r="E3554" i="18"/>
  <c r="E3558" i="18"/>
  <c r="E3562" i="18"/>
  <c r="E3566" i="18"/>
  <c r="E3570" i="18"/>
  <c r="E3574" i="18"/>
  <c r="E3578" i="18"/>
  <c r="E3582" i="18"/>
  <c r="E3586" i="18"/>
  <c r="E3590" i="18"/>
  <c r="E3594" i="18"/>
  <c r="E3598" i="18"/>
  <c r="E3602" i="18"/>
  <c r="E3606" i="18"/>
  <c r="E3610" i="18"/>
  <c r="E3614" i="18"/>
  <c r="E3618" i="18"/>
  <c r="E3622" i="18"/>
  <c r="E3626" i="18"/>
  <c r="E3630" i="18"/>
  <c r="E3634" i="18"/>
  <c r="E3638" i="18"/>
  <c r="E3642" i="18"/>
  <c r="E3646" i="18"/>
  <c r="E3650" i="18"/>
  <c r="E3654" i="18"/>
  <c r="E3658" i="18"/>
  <c r="E3662" i="18"/>
  <c r="E3666" i="18"/>
  <c r="E3670" i="18"/>
  <c r="E3674" i="18"/>
  <c r="E3678" i="18"/>
  <c r="E3682" i="18"/>
  <c r="E3686" i="18"/>
  <c r="E3690" i="18"/>
  <c r="E3694" i="18"/>
  <c r="E3698" i="18"/>
  <c r="E3702" i="18"/>
  <c r="E3706" i="18"/>
  <c r="E3710" i="18"/>
  <c r="E3714" i="18"/>
  <c r="E3718" i="18"/>
  <c r="E3722" i="18"/>
  <c r="E3726" i="18"/>
  <c r="E3730" i="18"/>
  <c r="E3734" i="18"/>
  <c r="E3738" i="18"/>
  <c r="E3742" i="18"/>
  <c r="E3746" i="18"/>
  <c r="E3750" i="18"/>
  <c r="E3754" i="18"/>
  <c r="E3758" i="18"/>
  <c r="E3762" i="18"/>
  <c r="E3766" i="18"/>
  <c r="E3770" i="18"/>
  <c r="E3774" i="18"/>
  <c r="E3778" i="18"/>
  <c r="E3782" i="18"/>
  <c r="E3786" i="18"/>
  <c r="AO35" i="17"/>
  <c r="AC35" i="17"/>
  <c r="E2179" i="18"/>
  <c r="E2187" i="18"/>
  <c r="E2739" i="18"/>
  <c r="E2775" i="18"/>
  <c r="E2779" i="18"/>
  <c r="E2799" i="18"/>
  <c r="E2883" i="18"/>
  <c r="E2887" i="18"/>
  <c r="E2907" i="18"/>
  <c r="AN35" i="17"/>
  <c r="AB35" i="17"/>
  <c r="D40" i="17"/>
  <c r="AM35" i="17"/>
  <c r="AA35" i="17"/>
  <c r="D41" i="17"/>
  <c r="AL35" i="17"/>
  <c r="Z35" i="17"/>
  <c r="AK35" i="17"/>
  <c r="Y35" i="17"/>
  <c r="AJ35" i="17"/>
  <c r="X35" i="17"/>
  <c r="AI35" i="17"/>
  <c r="W35" i="17"/>
  <c r="AH35" i="17"/>
  <c r="V35" i="17"/>
  <c r="AG35" i="17"/>
  <c r="U35" i="17"/>
  <c r="AF35" i="17"/>
  <c r="AE35" i="17"/>
  <c r="D37" i="17"/>
  <c r="AD35" i="17"/>
  <c r="D38" i="17"/>
  <c r="E3560" i="18"/>
  <c r="E3564" i="18"/>
  <c r="E3568" i="18"/>
  <c r="E3572" i="18"/>
  <c r="E3576" i="18"/>
  <c r="E3580" i="18"/>
  <c r="E3584" i="18"/>
  <c r="E3588" i="18"/>
  <c r="E3592" i="18"/>
  <c r="E3596" i="18"/>
  <c r="E3600" i="18"/>
  <c r="E3604" i="18"/>
  <c r="E3608" i="18"/>
  <c r="E3612" i="18"/>
  <c r="E3616" i="18"/>
  <c r="E3620" i="18"/>
  <c r="E3624" i="18"/>
  <c r="E3628" i="18"/>
  <c r="E3632" i="18"/>
  <c r="E3636" i="18"/>
  <c r="E3640" i="18"/>
  <c r="G125" i="18"/>
  <c r="H125" i="18" s="1"/>
  <c r="G123" i="18"/>
  <c r="H123" i="18" s="1"/>
  <c r="G121" i="18"/>
  <c r="H121" i="18" s="1"/>
  <c r="G119" i="18"/>
  <c r="H119" i="18" s="1"/>
  <c r="G117" i="18"/>
  <c r="H117" i="18" s="1"/>
  <c r="G115" i="18"/>
  <c r="H115" i="18" s="1"/>
  <c r="G113" i="18"/>
  <c r="H113" i="18" s="1"/>
  <c r="G111" i="18"/>
  <c r="H111" i="18" s="1"/>
  <c r="G109" i="18"/>
  <c r="H109" i="18" s="1"/>
  <c r="G107" i="18"/>
  <c r="H107" i="18" s="1"/>
  <c r="G105" i="18"/>
  <c r="H105" i="18" s="1"/>
  <c r="G103" i="18"/>
  <c r="H103" i="18" s="1"/>
  <c r="G101" i="18"/>
  <c r="H101" i="18" s="1"/>
  <c r="G99" i="18"/>
  <c r="H99" i="18" s="1"/>
  <c r="G97" i="18"/>
  <c r="H97" i="18" s="1"/>
  <c r="G95" i="18"/>
  <c r="H95" i="18" s="1"/>
  <c r="G93" i="18"/>
  <c r="H93" i="18" s="1"/>
  <c r="G91" i="18"/>
  <c r="H91" i="18" s="1"/>
  <c r="G89" i="18"/>
  <c r="H89" i="18" s="1"/>
  <c r="G87" i="18"/>
  <c r="H87" i="18" s="1"/>
  <c r="G85" i="18"/>
  <c r="H85" i="18" s="1"/>
  <c r="G83" i="18"/>
  <c r="H83" i="18" s="1"/>
  <c r="G81" i="18"/>
  <c r="H81" i="18" s="1"/>
  <c r="G79" i="18"/>
  <c r="H79" i="18" s="1"/>
  <c r="G77" i="18"/>
  <c r="H77" i="18" s="1"/>
  <c r="G75" i="18"/>
  <c r="H75" i="18" s="1"/>
  <c r="G73" i="18"/>
  <c r="H73" i="18" s="1"/>
  <c r="G71" i="18"/>
  <c r="H71" i="18" s="1"/>
  <c r="G69" i="18"/>
  <c r="H69" i="18" s="1"/>
  <c r="G67" i="18"/>
  <c r="H67" i="18" s="1"/>
  <c r="G65" i="18"/>
  <c r="H65" i="18" s="1"/>
  <c r="G63" i="18"/>
  <c r="H63" i="18" s="1"/>
  <c r="G61" i="18"/>
  <c r="H61" i="18" s="1"/>
  <c r="G59" i="18"/>
  <c r="H59" i="18" s="1"/>
  <c r="G57" i="18"/>
  <c r="H57" i="18" s="1"/>
  <c r="G55" i="18"/>
  <c r="H55" i="18" s="1"/>
  <c r="G53" i="18"/>
  <c r="H53" i="18" s="1"/>
  <c r="G51" i="18"/>
  <c r="H51" i="18" s="1"/>
  <c r="G49" i="18"/>
  <c r="H49" i="18" s="1"/>
  <c r="G47" i="18"/>
  <c r="H47" i="18" s="1"/>
  <c r="G45" i="18"/>
  <c r="H45" i="18" s="1"/>
  <c r="G43" i="18"/>
  <c r="H43" i="18" s="1"/>
  <c r="G41" i="18"/>
  <c r="H41" i="18" s="1"/>
  <c r="G39" i="18"/>
  <c r="H39" i="18" s="1"/>
  <c r="G37" i="18"/>
  <c r="H37" i="18" s="1"/>
  <c r="G35" i="18"/>
  <c r="H35" i="18" s="1"/>
  <c r="G33" i="18"/>
  <c r="H33" i="18" s="1"/>
  <c r="G31" i="18"/>
  <c r="H31" i="18" s="1"/>
  <c r="G29" i="18"/>
  <c r="H29" i="18" s="1"/>
  <c r="G27" i="18"/>
  <c r="H27" i="18" s="1"/>
  <c r="G25" i="18"/>
  <c r="H25" i="18" s="1"/>
  <c r="G23" i="18"/>
  <c r="H23" i="18" s="1"/>
  <c r="G21" i="18"/>
  <c r="H21" i="18" s="1"/>
  <c r="G19" i="18"/>
  <c r="H19" i="18" s="1"/>
  <c r="G17" i="18"/>
  <c r="H17" i="18" s="1"/>
  <c r="G15" i="18"/>
  <c r="H15" i="18" s="1"/>
  <c r="G13" i="18"/>
  <c r="H13" i="18" s="1"/>
  <c r="G11" i="18"/>
  <c r="H11" i="18" s="1"/>
  <c r="G9" i="18"/>
  <c r="H9" i="18" s="1"/>
  <c r="G7" i="18"/>
  <c r="H7" i="18" s="1"/>
  <c r="G124" i="18"/>
  <c r="H124" i="18" s="1"/>
  <c r="G122" i="18"/>
  <c r="H122" i="18" s="1"/>
  <c r="G120" i="18"/>
  <c r="H120" i="18" s="1"/>
  <c r="G118" i="18"/>
  <c r="H118" i="18" s="1"/>
  <c r="G116" i="18"/>
  <c r="H116" i="18" s="1"/>
  <c r="G114" i="18"/>
  <c r="H114" i="18" s="1"/>
  <c r="G112" i="18"/>
  <c r="H112" i="18" s="1"/>
  <c r="G110" i="18"/>
  <c r="H110" i="18" s="1"/>
  <c r="G108" i="18"/>
  <c r="H108" i="18" s="1"/>
  <c r="G106" i="18"/>
  <c r="H106" i="18" s="1"/>
  <c r="G104" i="18"/>
  <c r="H104" i="18" s="1"/>
  <c r="G102" i="18"/>
  <c r="H102" i="18" s="1"/>
  <c r="G100" i="18"/>
  <c r="H100" i="18" s="1"/>
  <c r="G98" i="18"/>
  <c r="H98" i="18" s="1"/>
  <c r="G96" i="18"/>
  <c r="H96" i="18" s="1"/>
  <c r="G94" i="18"/>
  <c r="H94" i="18" s="1"/>
  <c r="G92" i="18"/>
  <c r="H92" i="18" s="1"/>
  <c r="G90" i="18"/>
  <c r="H90" i="18" s="1"/>
  <c r="G88" i="18"/>
  <c r="H88" i="18" s="1"/>
  <c r="G86" i="18"/>
  <c r="H86" i="18" s="1"/>
  <c r="G84" i="18"/>
  <c r="H84" i="18" s="1"/>
  <c r="G82" i="18"/>
  <c r="H82" i="18" s="1"/>
  <c r="G80" i="18"/>
  <c r="H80" i="18" s="1"/>
  <c r="G78" i="18"/>
  <c r="H78" i="18" s="1"/>
  <c r="G76" i="18"/>
  <c r="H76" i="18" s="1"/>
  <c r="G74" i="18"/>
  <c r="H74" i="18" s="1"/>
  <c r="G72" i="18"/>
  <c r="H72" i="18" s="1"/>
  <c r="G70" i="18"/>
  <c r="G68" i="18"/>
  <c r="H68" i="18" s="1"/>
  <c r="G66" i="18"/>
  <c r="H66" i="18" s="1"/>
  <c r="G64" i="18"/>
  <c r="H64" i="18" s="1"/>
  <c r="G62" i="18"/>
  <c r="H62" i="18" s="1"/>
  <c r="G60" i="18"/>
  <c r="H60" i="18" s="1"/>
  <c r="G58" i="18"/>
  <c r="H58" i="18" s="1"/>
  <c r="G56" i="18"/>
  <c r="H56" i="18" s="1"/>
  <c r="G54" i="18"/>
  <c r="H54" i="18" s="1"/>
  <c r="G52" i="18"/>
  <c r="H52" i="18" s="1"/>
  <c r="G50" i="18"/>
  <c r="H50" i="18" s="1"/>
  <c r="G48" i="18"/>
  <c r="H48" i="18" s="1"/>
  <c r="G46" i="18"/>
  <c r="H46" i="18" s="1"/>
  <c r="G44" i="18"/>
  <c r="H44" i="18" s="1"/>
  <c r="G42" i="18"/>
  <c r="H42" i="18" s="1"/>
  <c r="G40" i="18"/>
  <c r="H40" i="18" s="1"/>
  <c r="G38" i="18"/>
  <c r="H38" i="18" s="1"/>
  <c r="G36" i="18"/>
  <c r="H36" i="18" s="1"/>
  <c r="G34" i="18"/>
  <c r="H34" i="18" s="1"/>
  <c r="G32" i="18"/>
  <c r="H32" i="18" s="1"/>
  <c r="G30" i="18"/>
  <c r="H30" i="18" s="1"/>
  <c r="G28" i="18"/>
  <c r="H28" i="18" s="1"/>
  <c r="G26" i="18"/>
  <c r="H26" i="18" s="1"/>
  <c r="G24" i="18"/>
  <c r="H24" i="18" s="1"/>
  <c r="G22" i="18"/>
  <c r="H22" i="18" s="1"/>
  <c r="G20" i="18"/>
  <c r="H20" i="18" s="1"/>
  <c r="G18" i="18"/>
  <c r="H18" i="18" s="1"/>
  <c r="G16" i="18"/>
  <c r="H16" i="18" s="1"/>
  <c r="G14" i="18"/>
  <c r="H14" i="18" s="1"/>
  <c r="G12" i="18"/>
  <c r="H12" i="18" s="1"/>
  <c r="G10" i="18"/>
  <c r="H10" i="18" s="1"/>
  <c r="G8" i="18"/>
  <c r="H8" i="18" s="1"/>
  <c r="G6" i="18"/>
  <c r="H6" i="18" s="1"/>
  <c r="E3644" i="18"/>
  <c r="E3648" i="18"/>
  <c r="E3652" i="18"/>
  <c r="E3656" i="18"/>
  <c r="E3660" i="18"/>
  <c r="E3664" i="18"/>
  <c r="E3668" i="18"/>
  <c r="E3672" i="18"/>
  <c r="E3676" i="18"/>
  <c r="E3680" i="18"/>
  <c r="E3684" i="18"/>
  <c r="E2919" i="18"/>
  <c r="E3688" i="18"/>
  <c r="E2923" i="18"/>
  <c r="E2927" i="18"/>
  <c r="E2061" i="18"/>
  <c r="E2065" i="18"/>
  <c r="E2069" i="18"/>
  <c r="E2073" i="18"/>
  <c r="E2209" i="18"/>
  <c r="E2221" i="18"/>
  <c r="E2225" i="18"/>
  <c r="E2229" i="18"/>
  <c r="E2541" i="18"/>
  <c r="E2565" i="18"/>
  <c r="E2569" i="18"/>
  <c r="E2577" i="18"/>
  <c r="E2585" i="18"/>
  <c r="E2597" i="18"/>
  <c r="E2609" i="18"/>
  <c r="E2621" i="18"/>
  <c r="E2633" i="18"/>
  <c r="E2641" i="18"/>
  <c r="E2777" i="18"/>
  <c r="E2885" i="18"/>
  <c r="E2929" i="18"/>
  <c r="E2989" i="18"/>
  <c r="E3425" i="18"/>
  <c r="E3429" i="18"/>
  <c r="E3457" i="18"/>
  <c r="E3461" i="18"/>
  <c r="E3465" i="18"/>
  <c r="E3469" i="18"/>
  <c r="E3473" i="18"/>
  <c r="E3477" i="18"/>
  <c r="E3481" i="18"/>
  <c r="E3485" i="18"/>
  <c r="E3501" i="18"/>
  <c r="E3505" i="18"/>
  <c r="E3509" i="18"/>
  <c r="E3513" i="18"/>
  <c r="E3517" i="18"/>
  <c r="E3521" i="18"/>
  <c r="E3525" i="18"/>
  <c r="E3529" i="18"/>
  <c r="E3533" i="18"/>
  <c r="E3537" i="18"/>
  <c r="E3541" i="18"/>
  <c r="E3545" i="18"/>
  <c r="E3549" i="18"/>
  <c r="E3553" i="18"/>
  <c r="E3557" i="18"/>
  <c r="G26" i="10"/>
  <c r="E3423" i="18"/>
  <c r="E3427" i="18"/>
  <c r="E3455" i="18"/>
  <c r="E3459" i="18"/>
  <c r="E3463" i="18"/>
  <c r="E3467" i="18"/>
  <c r="E3475" i="18"/>
  <c r="E3479" i="18"/>
  <c r="E3483" i="18"/>
  <c r="E3495" i="18"/>
  <c r="E3499" i="18"/>
  <c r="E3503" i="18"/>
  <c r="E3507" i="18"/>
  <c r="E3511" i="18"/>
  <c r="E3515" i="18"/>
  <c r="E3519" i="18"/>
  <c r="E3523" i="18"/>
  <c r="E3527" i="18"/>
  <c r="E3531" i="18"/>
  <c r="E3535" i="18"/>
  <c r="E3539" i="18"/>
  <c r="E3543" i="18"/>
  <c r="E3547" i="18"/>
  <c r="E3551" i="18"/>
  <c r="E3555" i="18"/>
  <c r="E3559" i="18"/>
  <c r="E3563" i="18"/>
  <c r="E3567" i="18"/>
  <c r="E3571" i="18"/>
  <c r="E3575" i="18"/>
  <c r="E3579" i="18"/>
  <c r="E581" i="18"/>
  <c r="E589" i="18"/>
  <c r="E601" i="18"/>
  <c r="E605" i="18"/>
  <c r="E617" i="18"/>
  <c r="E637" i="18"/>
  <c r="E641" i="18"/>
  <c r="E649" i="18"/>
  <c r="E761" i="18"/>
  <c r="E781" i="18"/>
  <c r="E785" i="18"/>
  <c r="E805" i="18"/>
  <c r="E809" i="18"/>
  <c r="E817" i="18"/>
  <c r="E1049" i="18"/>
  <c r="E1057" i="18"/>
  <c r="E1081" i="18"/>
  <c r="E1145" i="18"/>
  <c r="E1573" i="18"/>
  <c r="E1577" i="18"/>
  <c r="E1865" i="18"/>
  <c r="E1869" i="18"/>
  <c r="F26" i="10"/>
  <c r="E3583" i="18"/>
  <c r="E3587" i="18"/>
  <c r="E3591" i="18"/>
  <c r="E3595" i="18"/>
  <c r="E3599" i="18"/>
  <c r="E3603" i="18"/>
  <c r="E3607" i="18"/>
  <c r="E3611" i="18"/>
  <c r="E3615" i="18"/>
  <c r="E3619" i="18"/>
  <c r="E3623" i="18"/>
  <c r="E3627" i="18"/>
  <c r="E3631" i="18"/>
  <c r="E3635" i="18"/>
  <c r="E3639" i="18"/>
  <c r="E3643" i="18"/>
  <c r="E3647" i="18"/>
  <c r="E3651" i="18"/>
  <c r="E3655" i="18"/>
  <c r="E3659" i="18"/>
  <c r="E3663" i="18"/>
  <c r="E3667" i="18"/>
  <c r="E3671" i="18"/>
  <c r="E3675" i="18"/>
  <c r="E3679" i="18"/>
  <c r="E3683" i="18"/>
  <c r="E3687" i="18"/>
  <c r="E3691" i="18"/>
  <c r="E3695" i="18"/>
  <c r="E3699" i="18"/>
  <c r="E3703" i="18"/>
  <c r="E3707" i="18"/>
  <c r="E3711" i="18"/>
  <c r="E3715" i="18"/>
  <c r="E3719" i="18"/>
  <c r="E3723" i="18"/>
  <c r="E3727" i="18"/>
  <c r="E3731" i="18"/>
  <c r="E3735" i="18"/>
  <c r="E3739" i="18"/>
  <c r="E3743" i="18"/>
  <c r="E3747" i="18"/>
  <c r="E3751" i="18"/>
  <c r="E3755" i="18"/>
  <c r="E3759" i="18"/>
  <c r="E3763" i="18"/>
  <c r="E3767" i="18"/>
  <c r="E3771" i="18"/>
  <c r="E3775" i="18"/>
  <c r="E3779" i="18"/>
  <c r="E3783" i="18"/>
  <c r="E3787" i="18"/>
  <c r="E3791" i="18"/>
  <c r="E3795" i="18"/>
  <c r="E3799" i="18"/>
  <c r="E3803" i="18"/>
  <c r="E3807" i="18"/>
  <c r="E3811" i="18"/>
  <c r="E3815" i="18"/>
  <c r="E3819" i="18"/>
  <c r="E3823" i="18"/>
  <c r="E3827" i="18"/>
  <c r="E3831" i="18"/>
  <c r="E3835" i="18"/>
  <c r="E3839" i="18"/>
  <c r="E3843" i="18"/>
  <c r="E3847" i="18"/>
  <c r="E3851" i="18"/>
  <c r="E3855" i="18"/>
  <c r="E3859" i="18"/>
  <c r="E3863" i="18"/>
  <c r="E3867" i="18"/>
  <c r="E3871" i="18"/>
  <c r="E3875" i="18"/>
  <c r="E3879" i="18"/>
  <c r="E3883" i="18"/>
  <c r="E3887" i="18"/>
  <c r="E3891" i="18"/>
  <c r="E3895" i="18"/>
  <c r="E3899" i="18"/>
  <c r="E3903" i="18"/>
  <c r="E3907" i="18"/>
  <c r="E3911" i="18"/>
  <c r="E3915" i="18"/>
  <c r="E3561" i="18"/>
  <c r="J68" i="16"/>
  <c r="E3692" i="18"/>
  <c r="E3696" i="18"/>
  <c r="E3700" i="18"/>
  <c r="E344" i="18"/>
  <c r="E524" i="18"/>
  <c r="E740" i="18"/>
  <c r="E848" i="18"/>
  <c r="E992" i="18"/>
  <c r="E1028" i="18"/>
  <c r="E1168" i="18"/>
  <c r="E1268" i="18"/>
  <c r="E1292" i="18"/>
  <c r="E1724" i="18"/>
  <c r="E1796" i="18"/>
  <c r="E1808" i="18"/>
  <c r="E1860" i="18"/>
  <c r="E1880" i="18"/>
  <c r="E197" i="18"/>
  <c r="E329" i="18"/>
  <c r="P54" i="10"/>
  <c r="K79" i="16"/>
  <c r="E338" i="18"/>
  <c r="E350" i="18"/>
  <c r="E554" i="18"/>
  <c r="E650" i="18"/>
  <c r="E662" i="18"/>
  <c r="E710" i="18"/>
  <c r="E926" i="18"/>
  <c r="E950" i="18"/>
  <c r="E958" i="18"/>
  <c r="E1682" i="18"/>
  <c r="E1754" i="18"/>
  <c r="E1962" i="18"/>
  <c r="E1986" i="18"/>
  <c r="D69" i="16"/>
  <c r="E167" i="18"/>
  <c r="E175" i="18"/>
  <c r="E179" i="18"/>
  <c r="E187" i="18"/>
  <c r="E191" i="18"/>
  <c r="E347" i="18"/>
  <c r="E511" i="18"/>
  <c r="E547" i="18"/>
  <c r="E559" i="18"/>
  <c r="E835" i="18"/>
  <c r="E863" i="18"/>
  <c r="E935" i="18"/>
  <c r="E1199" i="18"/>
  <c r="E1211" i="18"/>
  <c r="E1259" i="18"/>
  <c r="E1295" i="18"/>
  <c r="E2031" i="18"/>
  <c r="E341" i="18"/>
  <c r="E365" i="18"/>
  <c r="E517" i="18"/>
  <c r="E545" i="18"/>
  <c r="E565" i="18"/>
  <c r="E661" i="18"/>
  <c r="E685" i="18"/>
  <c r="E725" i="18"/>
  <c r="E733" i="18"/>
  <c r="E869" i="18"/>
  <c r="E901" i="18"/>
  <c r="E925" i="18"/>
  <c r="E997" i="18"/>
  <c r="E1009" i="18"/>
  <c r="E1021" i="18"/>
  <c r="E1301" i="18"/>
  <c r="E3565" i="18"/>
  <c r="E3569" i="18"/>
  <c r="E3573" i="18"/>
  <c r="E3577" i="18"/>
  <c r="E3581" i="18"/>
  <c r="E3585" i="18"/>
  <c r="E3589" i="18"/>
  <c r="E4001" i="18"/>
  <c r="E4005" i="18"/>
  <c r="E2481" i="18"/>
  <c r="M69" i="16"/>
  <c r="E158" i="18"/>
  <c r="E410" i="18"/>
  <c r="E570" i="18"/>
  <c r="E574" i="18"/>
  <c r="E590" i="18"/>
  <c r="E594" i="18"/>
  <c r="E606" i="18"/>
  <c r="E610" i="18"/>
  <c r="E614" i="18"/>
  <c r="E630" i="18"/>
  <c r="E638" i="18"/>
  <c r="E642" i="18"/>
  <c r="E646" i="18"/>
  <c r="E746" i="18"/>
  <c r="E758" i="18"/>
  <c r="E766" i="18"/>
  <c r="E786" i="18"/>
  <c r="E790" i="18"/>
  <c r="E794" i="18"/>
  <c r="E798" i="18"/>
  <c r="E802" i="18"/>
  <c r="E818" i="18"/>
  <c r="E822" i="18"/>
  <c r="E826" i="18"/>
  <c r="E830" i="18"/>
  <c r="E846" i="18"/>
  <c r="E918" i="18"/>
  <c r="E1074" i="18"/>
  <c r="E1078" i="18"/>
  <c r="E1082" i="18"/>
  <c r="E1090" i="18"/>
  <c r="E1118" i="18"/>
  <c r="E1126" i="18"/>
  <c r="E1134" i="18"/>
  <c r="E1138" i="18"/>
  <c r="E1142" i="18"/>
  <c r="E1554" i="18"/>
  <c r="E1578" i="18"/>
  <c r="E1678" i="18"/>
  <c r="E1890" i="18"/>
  <c r="E1894" i="18"/>
  <c r="E1898" i="18"/>
  <c r="E1914" i="18"/>
  <c r="E1934" i="18"/>
  <c r="E1954" i="18"/>
  <c r="E2026" i="18"/>
  <c r="P57" i="10"/>
  <c r="L29" i="16"/>
  <c r="M40" i="16"/>
  <c r="N51" i="16"/>
  <c r="E255" i="18"/>
  <c r="E275" i="18"/>
  <c r="E295" i="18"/>
  <c r="E2082" i="18"/>
  <c r="E2190" i="18"/>
  <c r="E2290" i="18"/>
  <c r="E2314" i="18"/>
  <c r="E2406" i="18"/>
  <c r="E419" i="18"/>
  <c r="E447" i="18"/>
  <c r="E451" i="18"/>
  <c r="E455" i="18"/>
  <c r="E463" i="18"/>
  <c r="E575" i="18"/>
  <c r="E607" i="18"/>
  <c r="E611" i="18"/>
  <c r="E635" i="18"/>
  <c r="E767" i="18"/>
  <c r="E803" i="18"/>
  <c r="E811" i="18"/>
  <c r="E815" i="18"/>
  <c r="E823" i="18"/>
  <c r="E1055" i="18"/>
  <c r="E1075" i="18"/>
  <c r="E1079" i="18"/>
  <c r="E1083" i="18"/>
  <c r="E1087" i="18"/>
  <c r="E1091" i="18"/>
  <c r="E1099" i="18"/>
  <c r="E1103" i="18"/>
  <c r="E1107" i="18"/>
  <c r="E1111" i="18"/>
  <c r="E1115" i="18"/>
  <c r="E1127" i="18"/>
  <c r="E1135" i="18"/>
  <c r="E1139" i="18"/>
  <c r="E1147" i="18"/>
  <c r="E1611" i="18"/>
  <c r="E1703" i="18"/>
  <c r="E1899" i="18"/>
  <c r="E1903" i="18"/>
  <c r="E1927" i="18"/>
  <c r="E1935" i="18"/>
  <c r="E1939" i="18"/>
  <c r="E1955" i="18"/>
  <c r="E3919" i="18"/>
  <c r="E3923" i="18"/>
  <c r="E4003" i="18"/>
  <c r="E2035" i="18"/>
  <c r="E2039" i="18"/>
  <c r="E2079" i="18"/>
  <c r="E2203" i="18"/>
  <c r="E2295" i="18"/>
  <c r="E2419" i="18"/>
  <c r="E176" i="18"/>
  <c r="E188" i="18"/>
  <c r="E376" i="18"/>
  <c r="E392" i="18"/>
  <c r="E416" i="18"/>
  <c r="E420" i="18"/>
  <c r="E424" i="18"/>
  <c r="E452" i="18"/>
  <c r="E456" i="18"/>
  <c r="E460" i="18"/>
  <c r="E464" i="18"/>
  <c r="E496" i="18"/>
  <c r="E508" i="18"/>
  <c r="E580" i="18"/>
  <c r="E592" i="18"/>
  <c r="E596" i="18"/>
  <c r="E616" i="18"/>
  <c r="E784" i="18"/>
  <c r="E792" i="18"/>
  <c r="E808" i="18"/>
  <c r="E816" i="18"/>
  <c r="E820" i="18"/>
  <c r="E824" i="18"/>
  <c r="E828" i="18"/>
  <c r="E1052" i="18"/>
  <c r="E1092" i="18"/>
  <c r="E1096" i="18"/>
  <c r="E1100" i="18"/>
  <c r="E1104" i="18"/>
  <c r="E1112" i="18"/>
  <c r="E1128" i="18"/>
  <c r="E1132" i="18"/>
  <c r="E1136" i="18"/>
  <c r="E1140" i="18"/>
  <c r="E1556" i="18"/>
  <c r="E1560" i="18"/>
  <c r="E1564" i="18"/>
  <c r="E1568" i="18"/>
  <c r="E1576" i="18"/>
  <c r="E1676" i="18"/>
  <c r="E1680" i="18"/>
  <c r="E1696" i="18"/>
  <c r="E1708" i="18"/>
  <c r="E1712" i="18"/>
  <c r="E1716" i="18"/>
  <c r="E2016" i="18"/>
  <c r="D68" i="16"/>
  <c r="E257" i="18"/>
  <c r="E277" i="18"/>
  <c r="E325" i="18"/>
  <c r="E2080" i="18"/>
  <c r="K27" i="16"/>
  <c r="N27" i="16"/>
  <c r="J91" i="16"/>
  <c r="H83" i="16"/>
  <c r="I83" i="16"/>
  <c r="C27" i="5"/>
  <c r="C32" i="8" s="1"/>
  <c r="AB53" i="8" s="1"/>
  <c r="N53" i="16"/>
  <c r="H53" i="16"/>
  <c r="P39" i="10"/>
  <c r="E7" i="18"/>
  <c r="E9" i="18"/>
  <c r="E33" i="18"/>
  <c r="E37" i="18"/>
  <c r="E63" i="18"/>
  <c r="E67" i="18"/>
  <c r="E69" i="18"/>
  <c r="E95" i="18"/>
  <c r="E99" i="18"/>
  <c r="E105" i="18"/>
  <c r="E111" i="18"/>
  <c r="E113" i="18"/>
  <c r="E115" i="18"/>
  <c r="E117" i="18"/>
  <c r="E128" i="18"/>
  <c r="E132" i="18"/>
  <c r="E160" i="18"/>
  <c r="E164" i="18"/>
  <c r="E200" i="18"/>
  <c r="E248" i="18"/>
  <c r="I15" i="4"/>
  <c r="C27" i="4"/>
  <c r="D27" i="4" s="1"/>
  <c r="E266" i="18"/>
  <c r="E461" i="18"/>
  <c r="E505" i="18"/>
  <c r="E652" i="18"/>
  <c r="E919" i="18"/>
  <c r="E923" i="18"/>
  <c r="E1058" i="18"/>
  <c r="E1066" i="18"/>
  <c r="E1070" i="18"/>
  <c r="E1166" i="18"/>
  <c r="E1601" i="18"/>
  <c r="E1673" i="18"/>
  <c r="E1896" i="18"/>
  <c r="E1908" i="18"/>
  <c r="E1912" i="18"/>
  <c r="E1920" i="18"/>
  <c r="E1924" i="18"/>
  <c r="E1932" i="18"/>
  <c r="E2059" i="18"/>
  <c r="E2071" i="18"/>
  <c r="E2094" i="18"/>
  <c r="E2098" i="18"/>
  <c r="E2106" i="18"/>
  <c r="E2118" i="18"/>
  <c r="E2142" i="18"/>
  <c r="E2146" i="18"/>
  <c r="E2170" i="18"/>
  <c r="E199" i="18"/>
  <c r="E207" i="18"/>
  <c r="E219" i="18"/>
  <c r="E358" i="18"/>
  <c r="E688" i="18"/>
  <c r="E704" i="18"/>
  <c r="E728" i="18"/>
  <c r="E736" i="18"/>
  <c r="E1214" i="18"/>
  <c r="E1246" i="18"/>
  <c r="E1254" i="18"/>
  <c r="E1274" i="18"/>
  <c r="E1278" i="18"/>
  <c r="E1282" i="18"/>
  <c r="E1290" i="18"/>
  <c r="E1334" i="18"/>
  <c r="E1338" i="18"/>
  <c r="E1342" i="18"/>
  <c r="E1350" i="18"/>
  <c r="E1354" i="18"/>
  <c r="E1382" i="18"/>
  <c r="E1386" i="18"/>
  <c r="E1398" i="18"/>
  <c r="E1402" i="18"/>
  <c r="E1406" i="18"/>
  <c r="E1410" i="18"/>
  <c r="E1414" i="18"/>
  <c r="E1434" i="18"/>
  <c r="E1438" i="18"/>
  <c r="E1442" i="18"/>
  <c r="E1446" i="18"/>
  <c r="E1450" i="18"/>
  <c r="E1454" i="18"/>
  <c r="E1458" i="18"/>
  <c r="E1462" i="18"/>
  <c r="E1470" i="18"/>
  <c r="E1474" i="18"/>
  <c r="E1478" i="18"/>
  <c r="E1482" i="18"/>
  <c r="E1486" i="18"/>
  <c r="E1725" i="18"/>
  <c r="E1741" i="18"/>
  <c r="E1745" i="18"/>
  <c r="E1761" i="18"/>
  <c r="E1781" i="18"/>
  <c r="E1793" i="18"/>
  <c r="E1797" i="18"/>
  <c r="E1813" i="18"/>
  <c r="E1817" i="18"/>
  <c r="E1829" i="18"/>
  <c r="E1833" i="18"/>
  <c r="E1849" i="18"/>
  <c r="E1853" i="18"/>
  <c r="E1968" i="18"/>
  <c r="E2322" i="18"/>
  <c r="E2330" i="18"/>
  <c r="E2338" i="18"/>
  <c r="E2342" i="18"/>
  <c r="E2350" i="18"/>
  <c r="E2386" i="18"/>
  <c r="E2466" i="18"/>
  <c r="E2490" i="18"/>
  <c r="E2494" i="18"/>
  <c r="E2526" i="18"/>
  <c r="E2530" i="18"/>
  <c r="E2534" i="18"/>
  <c r="E263" i="18"/>
  <c r="E311" i="18"/>
  <c r="E374" i="18"/>
  <c r="E510" i="18"/>
  <c r="E577" i="18"/>
  <c r="E653" i="18"/>
  <c r="E908" i="18"/>
  <c r="E1163" i="18"/>
  <c r="E1179" i="18"/>
  <c r="E1183" i="18"/>
  <c r="E1187" i="18"/>
  <c r="E1191" i="18"/>
  <c r="E1590" i="18"/>
  <c r="E1901" i="18"/>
  <c r="E1905" i="18"/>
  <c r="E1937" i="18"/>
  <c r="E1941" i="18"/>
  <c r="E1953" i="18"/>
  <c r="E2064" i="18"/>
  <c r="E2091" i="18"/>
  <c r="E2095" i="18"/>
  <c r="E2119" i="18"/>
  <c r="E2650" i="18"/>
  <c r="E2658" i="18"/>
  <c r="E2694" i="18"/>
  <c r="E224" i="18"/>
  <c r="E363" i="18"/>
  <c r="E542" i="18"/>
  <c r="E689" i="18"/>
  <c r="E697" i="18"/>
  <c r="E701" i="18"/>
  <c r="E928" i="18"/>
  <c r="E952" i="18"/>
  <c r="E960" i="18"/>
  <c r="E964" i="18"/>
  <c r="E968" i="18"/>
  <c r="E972" i="18"/>
  <c r="E1040" i="18"/>
  <c r="E1044" i="18"/>
  <c r="E1048" i="18"/>
  <c r="E1219" i="18"/>
  <c r="E1235" i="18"/>
  <c r="E1243" i="18"/>
  <c r="E1247" i="18"/>
  <c r="E1251" i="18"/>
  <c r="E1255" i="18"/>
  <c r="E1319" i="18"/>
  <c r="E1327" i="18"/>
  <c r="E1347" i="18"/>
  <c r="E1351" i="18"/>
  <c r="E1355" i="18"/>
  <c r="E1359" i="18"/>
  <c r="E1371" i="18"/>
  <c r="E1375" i="18"/>
  <c r="E1379" i="18"/>
  <c r="E1383" i="18"/>
  <c r="E1387" i="18"/>
  <c r="E1407" i="18"/>
  <c r="E1411" i="18"/>
  <c r="E1415" i="18"/>
  <c r="E1419" i="18"/>
  <c r="E1423" i="18"/>
  <c r="E1427" i="18"/>
  <c r="E1431" i="18"/>
  <c r="E1435" i="18"/>
  <c r="E1471" i="18"/>
  <c r="E1479" i="18"/>
  <c r="E1483" i="18"/>
  <c r="E1487" i="18"/>
  <c r="E1507" i="18"/>
  <c r="E1515" i="18"/>
  <c r="E1519" i="18"/>
  <c r="E1523" i="18"/>
  <c r="E1527" i="18"/>
  <c r="E1531" i="18"/>
  <c r="E1535" i="18"/>
  <c r="E1539" i="18"/>
  <c r="E1543" i="18"/>
  <c r="E1547" i="18"/>
  <c r="E1551" i="18"/>
  <c r="E1726" i="18"/>
  <c r="E1734" i="18"/>
  <c r="E1750" i="18"/>
  <c r="E1762" i="18"/>
  <c r="E1770" i="18"/>
  <c r="E1786" i="18"/>
  <c r="E1794" i="18"/>
  <c r="E1798" i="18"/>
  <c r="E1806" i="18"/>
  <c r="E1834" i="18"/>
  <c r="E1842" i="18"/>
  <c r="E1858" i="18"/>
  <c r="E2001" i="18"/>
  <c r="E2319" i="18"/>
  <c r="E2331" i="18"/>
  <c r="E2335" i="18"/>
  <c r="E2351" i="18"/>
  <c r="E2383" i="18"/>
  <c r="E2387" i="18"/>
  <c r="E2391" i="18"/>
  <c r="E2463" i="18"/>
  <c r="E2491" i="18"/>
  <c r="E2531" i="18"/>
  <c r="E2535" i="18"/>
  <c r="E2539" i="18"/>
  <c r="E260" i="18"/>
  <c r="E296" i="18"/>
  <c r="E371" i="18"/>
  <c r="E383" i="18"/>
  <c r="E578" i="18"/>
  <c r="E769" i="18"/>
  <c r="E833" i="18"/>
  <c r="E841" i="18"/>
  <c r="E845" i="18"/>
  <c r="E853" i="18"/>
  <c r="E905" i="18"/>
  <c r="E909" i="18"/>
  <c r="E913" i="18"/>
  <c r="E917" i="18"/>
  <c r="E1064" i="18"/>
  <c r="E1072" i="18"/>
  <c r="E2021" i="18"/>
  <c r="E2025" i="18"/>
  <c r="E2116" i="18"/>
  <c r="E2655" i="18"/>
  <c r="E2679" i="18"/>
  <c r="E129" i="18"/>
  <c r="E133" i="18"/>
  <c r="E157" i="18"/>
  <c r="E165" i="18"/>
  <c r="E241" i="18"/>
  <c r="E245" i="18"/>
  <c r="E356" i="18"/>
  <c r="E523" i="18"/>
  <c r="E527" i="18"/>
  <c r="E563" i="18"/>
  <c r="E686" i="18"/>
  <c r="E702" i="18"/>
  <c r="E706" i="18"/>
  <c r="E929" i="18"/>
  <c r="E945" i="18"/>
  <c r="E949" i="18"/>
  <c r="E953" i="18"/>
  <c r="E961" i="18"/>
  <c r="E1037" i="18"/>
  <c r="E1216" i="18"/>
  <c r="E1220" i="18"/>
  <c r="E1228" i="18"/>
  <c r="E1240" i="18"/>
  <c r="E1244" i="18"/>
  <c r="E1256" i="18"/>
  <c r="E1324" i="18"/>
  <c r="E1332" i="18"/>
  <c r="E1344" i="18"/>
  <c r="E1348" i="18"/>
  <c r="E1352" i="18"/>
  <c r="E1356" i="18"/>
  <c r="E1360" i="18"/>
  <c r="E1380" i="18"/>
  <c r="E1384" i="18"/>
  <c r="E1388" i="18"/>
  <c r="E1392" i="18"/>
  <c r="E1396" i="18"/>
  <c r="E1400" i="18"/>
  <c r="E1404" i="18"/>
  <c r="E1408" i="18"/>
  <c r="E1436" i="18"/>
  <c r="E1440" i="18"/>
  <c r="E1452" i="18"/>
  <c r="E1456" i="18"/>
  <c r="E1460" i="18"/>
  <c r="E1464" i="18"/>
  <c r="E1468" i="18"/>
  <c r="E1472" i="18"/>
  <c r="E1476" i="18"/>
  <c r="E1480" i="18"/>
  <c r="E1739" i="18"/>
  <c r="E1775" i="18"/>
  <c r="E1847" i="18"/>
  <c r="E2014" i="18"/>
  <c r="E2033" i="18"/>
  <c r="E2340" i="18"/>
  <c r="E2344" i="18"/>
  <c r="E2348" i="18"/>
  <c r="E2352" i="18"/>
  <c r="E2388" i="18"/>
  <c r="E2404" i="18"/>
  <c r="E2464" i="18"/>
  <c r="E2468" i="18"/>
  <c r="E2472" i="18"/>
  <c r="E2540" i="18"/>
  <c r="E3704" i="18"/>
  <c r="E269" i="18"/>
  <c r="E293" i="18"/>
  <c r="E770" i="18"/>
  <c r="E778" i="18"/>
  <c r="E1069" i="18"/>
  <c r="E1584" i="18"/>
  <c r="E1608" i="18"/>
  <c r="E1664" i="18"/>
  <c r="E2109" i="18"/>
  <c r="E2169" i="18"/>
  <c r="E2652" i="18"/>
  <c r="E2656" i="18"/>
  <c r="E2692" i="18"/>
  <c r="E3972" i="18"/>
  <c r="E166" i="18"/>
  <c r="E206" i="18"/>
  <c r="E210" i="18"/>
  <c r="E214" i="18"/>
  <c r="E218" i="18"/>
  <c r="E222" i="18"/>
  <c r="E361" i="18"/>
  <c r="E560" i="18"/>
  <c r="E687" i="18"/>
  <c r="E715" i="18"/>
  <c r="E731" i="18"/>
  <c r="E854" i="18"/>
  <c r="E878" i="18"/>
  <c r="E886" i="18"/>
  <c r="E902" i="18"/>
  <c r="E974" i="18"/>
  <c r="E1034" i="18"/>
  <c r="E1177" i="18"/>
  <c r="E1225" i="18"/>
  <c r="E1229" i="18"/>
  <c r="E1237" i="18"/>
  <c r="E1273" i="18"/>
  <c r="E1281" i="18"/>
  <c r="E1289" i="18"/>
  <c r="E1325" i="18"/>
  <c r="E1329" i="18"/>
  <c r="E1333" i="18"/>
  <c r="E1373" i="18"/>
  <c r="E1377" i="18"/>
  <c r="E1381" i="18"/>
  <c r="E1409" i="18"/>
  <c r="E1413" i="18"/>
  <c r="E1437" i="18"/>
  <c r="E1441" i="18"/>
  <c r="E1473" i="18"/>
  <c r="E1477" i="18"/>
  <c r="E1481" i="18"/>
  <c r="E1485" i="18"/>
  <c r="E1489" i="18"/>
  <c r="E1497" i="18"/>
  <c r="E1501" i="18"/>
  <c r="E1732" i="18"/>
  <c r="E1752" i="18"/>
  <c r="E1768" i="18"/>
  <c r="E1780" i="18"/>
  <c r="E1784" i="18"/>
  <c r="E1788" i="18"/>
  <c r="E1824" i="18"/>
  <c r="E1840" i="18"/>
  <c r="E1852" i="18"/>
  <c r="E1856" i="18"/>
  <c r="E1963" i="18"/>
  <c r="E1971" i="18"/>
  <c r="E1975" i="18"/>
  <c r="E1987" i="18"/>
  <c r="E1991" i="18"/>
  <c r="E2038" i="18"/>
  <c r="E2333" i="18"/>
  <c r="E2337" i="18"/>
  <c r="E2341" i="18"/>
  <c r="E2473" i="18"/>
  <c r="E2533" i="18"/>
  <c r="E2537" i="18"/>
  <c r="E1595" i="18"/>
  <c r="E1607" i="18"/>
  <c r="E3708" i="18"/>
  <c r="E3712" i="18"/>
  <c r="E3716" i="18"/>
  <c r="E3720" i="18"/>
  <c r="E3724" i="18"/>
  <c r="E3728" i="18"/>
  <c r="E3732" i="18"/>
  <c r="E3736" i="18"/>
  <c r="E3740" i="18"/>
  <c r="E3744" i="18"/>
  <c r="E3748" i="18"/>
  <c r="E3752" i="18"/>
  <c r="E3756" i="18"/>
  <c r="E3760" i="18"/>
  <c r="E3764" i="18"/>
  <c r="E3768" i="18"/>
  <c r="E3772" i="18"/>
  <c r="E3776" i="18"/>
  <c r="E3996" i="18"/>
  <c r="E4004" i="18"/>
  <c r="E227" i="18"/>
  <c r="E239" i="18"/>
  <c r="E247" i="18"/>
  <c r="E317" i="18"/>
  <c r="E395" i="18"/>
  <c r="E506" i="18"/>
  <c r="E632" i="18"/>
  <c r="E691" i="18"/>
  <c r="E797" i="18"/>
  <c r="E829" i="18"/>
  <c r="E920" i="18"/>
  <c r="E1043" i="18"/>
  <c r="E1844" i="18"/>
  <c r="E1943" i="18"/>
  <c r="E1947" i="18"/>
  <c r="E2010" i="18"/>
  <c r="E2184" i="18"/>
  <c r="E2832" i="18"/>
  <c r="E2868" i="18"/>
  <c r="E2872" i="18"/>
  <c r="E2880" i="18"/>
  <c r="C5" i="4"/>
  <c r="C6" i="4" s="1"/>
  <c r="D53" i="16"/>
  <c r="E152" i="18"/>
  <c r="E271" i="18"/>
  <c r="E290" i="18"/>
  <c r="E349" i="18"/>
  <c r="E368" i="18"/>
  <c r="E443" i="18"/>
  <c r="E479" i="18"/>
  <c r="E518" i="18"/>
  <c r="E668" i="18"/>
  <c r="E743" i="18"/>
  <c r="E857" i="18"/>
  <c r="E877" i="18"/>
  <c r="E881" i="18"/>
  <c r="E889" i="18"/>
  <c r="E980" i="18"/>
  <c r="E1000" i="18"/>
  <c r="E1012" i="18"/>
  <c r="E1016" i="18"/>
  <c r="E1154" i="18"/>
  <c r="E1178" i="18"/>
  <c r="E1198" i="18"/>
  <c r="E1202" i="18"/>
  <c r="E1210" i="18"/>
  <c r="E1305" i="18"/>
  <c r="E1309" i="18"/>
  <c r="E1317" i="18"/>
  <c r="E1652" i="18"/>
  <c r="E1660" i="18"/>
  <c r="E1868" i="18"/>
  <c r="E1876" i="18"/>
  <c r="E1884" i="18"/>
  <c r="E1888" i="18"/>
  <c r="E1959" i="18"/>
  <c r="E1979" i="18"/>
  <c r="E1983" i="18"/>
  <c r="E1999" i="18"/>
  <c r="E2046" i="18"/>
  <c r="E2089" i="18"/>
  <c r="E2133" i="18"/>
  <c r="E2161" i="18"/>
  <c r="E2173" i="18"/>
  <c r="E2177" i="18"/>
  <c r="E2224" i="18"/>
  <c r="E2232" i="18"/>
  <c r="E2240" i="18"/>
  <c r="E2244" i="18"/>
  <c r="E2260" i="18"/>
  <c r="E2268" i="18"/>
  <c r="E2316" i="18"/>
  <c r="E2415" i="18"/>
  <c r="E2423" i="18"/>
  <c r="E2427" i="18"/>
  <c r="E2439" i="18"/>
  <c r="E2455" i="18"/>
  <c r="E2459" i="18"/>
  <c r="E2514" i="18"/>
  <c r="E2518" i="18"/>
  <c r="E2522" i="18"/>
  <c r="D35" i="16"/>
  <c r="D83" i="16"/>
  <c r="E314" i="18"/>
  <c r="E404" i="18"/>
  <c r="E613" i="18"/>
  <c r="E625" i="18"/>
  <c r="E755" i="18"/>
  <c r="E782" i="18"/>
  <c r="E806" i="18"/>
  <c r="E814" i="18"/>
  <c r="E1036" i="18"/>
  <c r="E1226" i="18"/>
  <c r="E1238" i="18"/>
  <c r="E1892" i="18"/>
  <c r="E1916" i="18"/>
  <c r="E2003" i="18"/>
  <c r="E2181" i="18"/>
  <c r="E2185" i="18"/>
  <c r="E2368" i="18"/>
  <c r="E2380" i="18"/>
  <c r="E2841" i="18"/>
  <c r="E2845" i="18"/>
  <c r="E2853" i="18"/>
  <c r="E3073" i="18"/>
  <c r="I53" i="16"/>
  <c r="F42" i="2"/>
  <c r="D5" i="7"/>
  <c r="K45" i="8" s="1"/>
  <c r="AO61" i="8" s="1"/>
  <c r="D101" i="12"/>
  <c r="K35" i="16"/>
  <c r="G83" i="16"/>
  <c r="E145" i="18"/>
  <c r="E181" i="18"/>
  <c r="E185" i="18"/>
  <c r="E193" i="18"/>
  <c r="E268" i="18"/>
  <c r="E287" i="18"/>
  <c r="E307" i="18"/>
  <c r="E377" i="18"/>
  <c r="E385" i="18"/>
  <c r="E428" i="18"/>
  <c r="E539" i="18"/>
  <c r="E566" i="18"/>
  <c r="E673" i="18"/>
  <c r="E779" i="18"/>
  <c r="E858" i="18"/>
  <c r="E862" i="18"/>
  <c r="E866" i="18"/>
  <c r="E870" i="18"/>
  <c r="E874" i="18"/>
  <c r="E890" i="18"/>
  <c r="E894" i="18"/>
  <c r="E898" i="18"/>
  <c r="E941" i="18"/>
  <c r="E973" i="18"/>
  <c r="E977" i="18"/>
  <c r="E981" i="18"/>
  <c r="E985" i="18"/>
  <c r="E1013" i="18"/>
  <c r="E1025" i="18"/>
  <c r="E1033" i="18"/>
  <c r="E1151" i="18"/>
  <c r="E1175" i="18"/>
  <c r="E1262" i="18"/>
  <c r="E1310" i="18"/>
  <c r="E1314" i="18"/>
  <c r="E1318" i="18"/>
  <c r="E1609" i="18"/>
  <c r="E1613" i="18"/>
  <c r="E1629" i="18"/>
  <c r="E1641" i="18"/>
  <c r="E1649" i="18"/>
  <c r="E1653" i="18"/>
  <c r="E1657" i="18"/>
  <c r="E1669" i="18"/>
  <c r="E1700" i="18"/>
  <c r="E1822" i="18"/>
  <c r="E1881" i="18"/>
  <c r="E1889" i="18"/>
  <c r="E1992" i="18"/>
  <c r="E1996" i="18"/>
  <c r="E2023" i="18"/>
  <c r="E2047" i="18"/>
  <c r="E2086" i="18"/>
  <c r="E2122" i="18"/>
  <c r="E2126" i="18"/>
  <c r="E2134" i="18"/>
  <c r="E2154" i="18"/>
  <c r="E2158" i="18"/>
  <c r="E2257" i="18"/>
  <c r="E2265" i="18"/>
  <c r="E2281" i="18"/>
  <c r="E2309" i="18"/>
  <c r="E2416" i="18"/>
  <c r="E2452" i="18"/>
  <c r="E2460" i="18"/>
  <c r="E2499" i="18"/>
  <c r="E2523" i="18"/>
  <c r="E2554" i="18"/>
  <c r="E3790" i="18"/>
  <c r="E3794" i="18"/>
  <c r="E3798" i="18"/>
  <c r="E3802" i="18"/>
  <c r="E3806" i="18"/>
  <c r="E3810" i="18"/>
  <c r="E3814" i="18"/>
  <c r="E3818" i="18"/>
  <c r="E3822" i="18"/>
  <c r="E3826" i="18"/>
  <c r="E3830" i="18"/>
  <c r="E3834" i="18"/>
  <c r="E3838" i="18"/>
  <c r="E3842" i="18"/>
  <c r="E3846" i="18"/>
  <c r="E3850" i="18"/>
  <c r="E3854" i="18"/>
  <c r="E3858" i="18"/>
  <c r="E3862" i="18"/>
  <c r="E3866" i="18"/>
  <c r="E3870" i="18"/>
  <c r="E3874" i="18"/>
  <c r="N83" i="16"/>
  <c r="E10" i="18"/>
  <c r="E26" i="18"/>
  <c r="E30" i="18"/>
  <c r="E36" i="18"/>
  <c r="E38" i="18"/>
  <c r="E54" i="18"/>
  <c r="E62" i="18"/>
  <c r="E66" i="18"/>
  <c r="E72" i="18"/>
  <c r="E74" i="18"/>
  <c r="E94" i="18"/>
  <c r="E102" i="18"/>
  <c r="E114" i="18"/>
  <c r="E118" i="18"/>
  <c r="E150" i="18"/>
  <c r="E233" i="18"/>
  <c r="E253" i="18"/>
  <c r="E323" i="18"/>
  <c r="E331" i="18"/>
  <c r="E401" i="18"/>
  <c r="E417" i="18"/>
  <c r="E425" i="18"/>
  <c r="E437" i="18"/>
  <c r="E445" i="18"/>
  <c r="E493" i="18"/>
  <c r="E532" i="18"/>
  <c r="E544" i="18"/>
  <c r="E598" i="18"/>
  <c r="E602" i="18"/>
  <c r="E634" i="18"/>
  <c r="E658" i="18"/>
  <c r="E709" i="18"/>
  <c r="E713" i="18"/>
  <c r="E737" i="18"/>
  <c r="E764" i="18"/>
  <c r="E791" i="18"/>
  <c r="E847" i="18"/>
  <c r="E851" i="18"/>
  <c r="E930" i="18"/>
  <c r="E934" i="18"/>
  <c r="E938" i="18"/>
  <c r="E942" i="18"/>
  <c r="E946" i="18"/>
  <c r="E962" i="18"/>
  <c r="E1053" i="18"/>
  <c r="E1172" i="18"/>
  <c r="E1176" i="18"/>
  <c r="E1180" i="18"/>
  <c r="E1184" i="18"/>
  <c r="E1271" i="18"/>
  <c r="E1279" i="18"/>
  <c r="E1283" i="18"/>
  <c r="E1287" i="18"/>
  <c r="E1291" i="18"/>
  <c r="E1322" i="18"/>
  <c r="E1570" i="18"/>
  <c r="E1685" i="18"/>
  <c r="E1689" i="18"/>
  <c r="E1705" i="18"/>
  <c r="E1709" i="18"/>
  <c r="E1736" i="18"/>
  <c r="E1748" i="18"/>
  <c r="E1826" i="18"/>
  <c r="E1866" i="18"/>
  <c r="E1893" i="18"/>
  <c r="E1965" i="18"/>
  <c r="E1973" i="18"/>
  <c r="E1977" i="18"/>
  <c r="E1989" i="18"/>
  <c r="E2008" i="18"/>
  <c r="E2028" i="18"/>
  <c r="E2055" i="18"/>
  <c r="E2206" i="18"/>
  <c r="E2226" i="18"/>
  <c r="E2373" i="18"/>
  <c r="E2389" i="18"/>
  <c r="E2401" i="18"/>
  <c r="E2492" i="18"/>
  <c r="E2559" i="18"/>
  <c r="E2571" i="18"/>
  <c r="E2782" i="18"/>
  <c r="E3058" i="18"/>
  <c r="E3310" i="18"/>
  <c r="E13" i="5"/>
  <c r="E16" i="5" s="1"/>
  <c r="H38" i="8" s="1"/>
  <c r="AH58" i="8" s="1"/>
  <c r="E178" i="18"/>
  <c r="E182" i="18"/>
  <c r="E186" i="18"/>
  <c r="E190" i="18"/>
  <c r="E304" i="18"/>
  <c r="E670" i="18"/>
  <c r="E674" i="18"/>
  <c r="E678" i="18"/>
  <c r="E682" i="18"/>
  <c r="E745" i="18"/>
  <c r="E776" i="18"/>
  <c r="E875" i="18"/>
  <c r="E883" i="18"/>
  <c r="E887" i="18"/>
  <c r="E895" i="18"/>
  <c r="E990" i="18"/>
  <c r="E998" i="18"/>
  <c r="E1002" i="18"/>
  <c r="E1006" i="18"/>
  <c r="E1010" i="18"/>
  <c r="E1026" i="18"/>
  <c r="E1200" i="18"/>
  <c r="E1204" i="18"/>
  <c r="E1307" i="18"/>
  <c r="E1614" i="18"/>
  <c r="E1626" i="18"/>
  <c r="E1630" i="18"/>
  <c r="E1642" i="18"/>
  <c r="E1646" i="18"/>
  <c r="E1650" i="18"/>
  <c r="E1654" i="18"/>
  <c r="E1662" i="18"/>
  <c r="E1721" i="18"/>
  <c r="E1870" i="18"/>
  <c r="E1878" i="18"/>
  <c r="E1882" i="18"/>
  <c r="E2040" i="18"/>
  <c r="E2044" i="18"/>
  <c r="E2083" i="18"/>
  <c r="E2131" i="18"/>
  <c r="E2135" i="18"/>
  <c r="E2155" i="18"/>
  <c r="E2167" i="18"/>
  <c r="E2175" i="18"/>
  <c r="E2242" i="18"/>
  <c r="E2250" i="18"/>
  <c r="E2262" i="18"/>
  <c r="E2409" i="18"/>
  <c r="E2413" i="18"/>
  <c r="E2425" i="18"/>
  <c r="E2453" i="18"/>
  <c r="E2520" i="18"/>
  <c r="E2524" i="18"/>
  <c r="E2707" i="18"/>
  <c r="E2711" i="18"/>
  <c r="C28" i="4"/>
  <c r="D28" i="4" s="1"/>
  <c r="D85" i="16"/>
  <c r="E159" i="18"/>
  <c r="E163" i="18"/>
  <c r="E230" i="18"/>
  <c r="E238" i="18"/>
  <c r="E250" i="18"/>
  <c r="E320" i="18"/>
  <c r="E379" i="18"/>
  <c r="E398" i="18"/>
  <c r="E434" i="18"/>
  <c r="E438" i="18"/>
  <c r="E442" i="18"/>
  <c r="E446" i="18"/>
  <c r="E462" i="18"/>
  <c r="E509" i="18"/>
  <c r="E529" i="18"/>
  <c r="E568" i="18"/>
  <c r="E572" i="18"/>
  <c r="E583" i="18"/>
  <c r="E619" i="18"/>
  <c r="E647" i="18"/>
  <c r="E659" i="18"/>
  <c r="E714" i="18"/>
  <c r="E718" i="18"/>
  <c r="E722" i="18"/>
  <c r="E738" i="18"/>
  <c r="E757" i="18"/>
  <c r="E836" i="18"/>
  <c r="E907" i="18"/>
  <c r="E947" i="18"/>
  <c r="E967" i="18"/>
  <c r="E1046" i="18"/>
  <c r="E1050" i="18"/>
  <c r="E1054" i="18"/>
  <c r="E1181" i="18"/>
  <c r="E1189" i="18"/>
  <c r="E1193" i="18"/>
  <c r="E1232" i="18"/>
  <c r="E1272" i="18"/>
  <c r="E1276" i="18"/>
  <c r="E1555" i="18"/>
  <c r="E1575" i="18"/>
  <c r="E1690" i="18"/>
  <c r="E1698" i="18"/>
  <c r="E1714" i="18"/>
  <c r="E1772" i="18"/>
  <c r="E1804" i="18"/>
  <c r="E1966" i="18"/>
  <c r="E1970" i="18"/>
  <c r="E2056" i="18"/>
  <c r="E2207" i="18"/>
  <c r="E2215" i="18"/>
  <c r="E2219" i="18"/>
  <c r="E2227" i="18"/>
  <c r="E2362" i="18"/>
  <c r="E2402" i="18"/>
  <c r="E2489" i="18"/>
  <c r="E2560" i="18"/>
  <c r="E2588" i="18"/>
  <c r="E2823" i="18"/>
  <c r="E2847" i="18"/>
  <c r="E2871" i="18"/>
  <c r="E3295" i="18"/>
  <c r="E3343" i="18"/>
  <c r="E3987" i="18"/>
  <c r="K85" i="16"/>
  <c r="E309" i="18"/>
  <c r="E498" i="18"/>
  <c r="E502" i="18"/>
  <c r="E553" i="18"/>
  <c r="E557" i="18"/>
  <c r="E679" i="18"/>
  <c r="E742" i="18"/>
  <c r="E856" i="18"/>
  <c r="E860" i="18"/>
  <c r="E864" i="18"/>
  <c r="E880" i="18"/>
  <c r="E888" i="18"/>
  <c r="E892" i="18"/>
  <c r="E896" i="18"/>
  <c r="E900" i="18"/>
  <c r="E983" i="18"/>
  <c r="E991" i="18"/>
  <c r="E995" i="18"/>
  <c r="E1003" i="18"/>
  <c r="E1019" i="18"/>
  <c r="E1201" i="18"/>
  <c r="E1205" i="18"/>
  <c r="E1296" i="18"/>
  <c r="E1304" i="18"/>
  <c r="E1308" i="18"/>
  <c r="E1631" i="18"/>
  <c r="E1635" i="18"/>
  <c r="E1639" i="18"/>
  <c r="E1651" i="18"/>
  <c r="E1655" i="18"/>
  <c r="E1659" i="18"/>
  <c r="E1722" i="18"/>
  <c r="E1757" i="18"/>
  <c r="E1820" i="18"/>
  <c r="E2041" i="18"/>
  <c r="E2128" i="18"/>
  <c r="E2136" i="18"/>
  <c r="E2140" i="18"/>
  <c r="E2152" i="18"/>
  <c r="E2172" i="18"/>
  <c r="E2263" i="18"/>
  <c r="E2275" i="18"/>
  <c r="E2279" i="18"/>
  <c r="E2283" i="18"/>
  <c r="E2311" i="18"/>
  <c r="E2315" i="18"/>
  <c r="E2422" i="18"/>
  <c r="E2438" i="18"/>
  <c r="E2497" i="18"/>
  <c r="E2509" i="18"/>
  <c r="E2525" i="18"/>
  <c r="E2708" i="18"/>
  <c r="E2712" i="18"/>
  <c r="G32" i="3"/>
  <c r="F23" i="2" s="1"/>
  <c r="G56" i="16" s="1"/>
  <c r="I18" i="4"/>
  <c r="D65" i="16"/>
  <c r="J69" i="16"/>
  <c r="M84" i="16"/>
  <c r="E137" i="18"/>
  <c r="E141" i="18"/>
  <c r="E203" i="18"/>
  <c r="E211" i="18"/>
  <c r="E215" i="18"/>
  <c r="E223" i="18"/>
  <c r="E231" i="18"/>
  <c r="E235" i="18"/>
  <c r="E254" i="18"/>
  <c r="E281" i="18"/>
  <c r="E289" i="18"/>
  <c r="E308" i="18"/>
  <c r="E335" i="18"/>
  <c r="E343" i="18"/>
  <c r="E362" i="18"/>
  <c r="E389" i="18"/>
  <c r="E397" i="18"/>
  <c r="E471" i="18"/>
  <c r="E483" i="18"/>
  <c r="E487" i="18"/>
  <c r="E491" i="18"/>
  <c r="E521" i="18"/>
  <c r="E536" i="18"/>
  <c r="E551" i="18"/>
  <c r="E562" i="18"/>
  <c r="E599" i="18"/>
  <c r="E666" i="18"/>
  <c r="E692" i="18"/>
  <c r="E707" i="18"/>
  <c r="E748" i="18"/>
  <c r="E756" i="18"/>
  <c r="E763" i="18"/>
  <c r="E793" i="18"/>
  <c r="E812" i="18"/>
  <c r="E827" i="18"/>
  <c r="E831" i="18"/>
  <c r="E842" i="18"/>
  <c r="E850" i="18"/>
  <c r="E865" i="18"/>
  <c r="E884" i="18"/>
  <c r="E899" i="18"/>
  <c r="E903" i="18"/>
  <c r="E914" i="18"/>
  <c r="E922" i="18"/>
  <c r="E937" i="18"/>
  <c r="E956" i="18"/>
  <c r="E971" i="18"/>
  <c r="E975" i="18"/>
  <c r="E986" i="18"/>
  <c r="E994" i="18"/>
  <c r="E1017" i="18"/>
  <c r="E1051" i="18"/>
  <c r="E1063" i="18"/>
  <c r="E1067" i="18"/>
  <c r="E1098" i="18"/>
  <c r="E1102" i="18"/>
  <c r="E1114" i="18"/>
  <c r="E1149" i="18"/>
  <c r="E1157" i="18"/>
  <c r="E1196" i="18"/>
  <c r="E1270" i="18"/>
  <c r="E1616" i="18"/>
  <c r="E1624" i="18"/>
  <c r="E1628" i="18"/>
  <c r="E1644" i="18"/>
  <c r="E1718" i="18"/>
  <c r="E1862" i="18"/>
  <c r="E1929" i="18"/>
  <c r="E2043" i="18"/>
  <c r="M65" i="16"/>
  <c r="E196" i="18"/>
  <c r="E243" i="18"/>
  <c r="E274" i="18"/>
  <c r="E301" i="18"/>
  <c r="E328" i="18"/>
  <c r="E355" i="18"/>
  <c r="E382" i="18"/>
  <c r="E409" i="18"/>
  <c r="E436" i="18"/>
  <c r="E440" i="18"/>
  <c r="E444" i="18"/>
  <c r="E540" i="18"/>
  <c r="E629" i="18"/>
  <c r="E640" i="18"/>
  <c r="E651" i="18"/>
  <c r="E677" i="18"/>
  <c r="E700" i="18"/>
  <c r="E730" i="18"/>
  <c r="E760" i="18"/>
  <c r="E839" i="18"/>
  <c r="E873" i="18"/>
  <c r="E911" i="18"/>
  <c r="E1505" i="18"/>
  <c r="E1509" i="18"/>
  <c r="E1513" i="18"/>
  <c r="E1517" i="18"/>
  <c r="E1521" i="18"/>
  <c r="E1525" i="18"/>
  <c r="E1529" i="18"/>
  <c r="E1533" i="18"/>
  <c r="E1537" i="18"/>
  <c r="E1541" i="18"/>
  <c r="E1545" i="18"/>
  <c r="E1549" i="18"/>
  <c r="E1777" i="18"/>
  <c r="E2308" i="18"/>
  <c r="E979" i="18"/>
  <c r="E1349" i="18"/>
  <c r="E1397" i="18"/>
  <c r="E1421" i="18"/>
  <c r="E1457" i="18"/>
  <c r="E1469" i="18"/>
  <c r="B133" i="10"/>
  <c r="N133" i="10" s="1"/>
  <c r="K69" i="11"/>
  <c r="M28" i="16"/>
  <c r="K94" i="16"/>
  <c r="E18" i="18"/>
  <c r="E42" i="18"/>
  <c r="E70" i="18"/>
  <c r="E78" i="18"/>
  <c r="E90" i="18"/>
  <c r="E110" i="18"/>
  <c r="E120" i="18"/>
  <c r="E130" i="18"/>
  <c r="E134" i="18"/>
  <c r="E138" i="18"/>
  <c r="E161" i="18"/>
  <c r="E169" i="18"/>
  <c r="E173" i="18"/>
  <c r="E212" i="18"/>
  <c r="E232" i="18"/>
  <c r="E236" i="18"/>
  <c r="E251" i="18"/>
  <c r="E259" i="18"/>
  <c r="E278" i="18"/>
  <c r="E286" i="18"/>
  <c r="E305" i="18"/>
  <c r="E313" i="18"/>
  <c r="E332" i="18"/>
  <c r="E340" i="18"/>
  <c r="E359" i="18"/>
  <c r="E367" i="18"/>
  <c r="E386" i="18"/>
  <c r="E394" i="18"/>
  <c r="E480" i="18"/>
  <c r="E488" i="18"/>
  <c r="E492" i="18"/>
  <c r="E503" i="18"/>
  <c r="E514" i="18"/>
  <c r="E522" i="18"/>
  <c r="E548" i="18"/>
  <c r="E622" i="18"/>
  <c r="E655" i="18"/>
  <c r="E719" i="18"/>
  <c r="E723" i="18"/>
  <c r="E734" i="18"/>
  <c r="E749" i="18"/>
  <c r="E772" i="18"/>
  <c r="E832" i="18"/>
  <c r="E904" i="18"/>
  <c r="E976" i="18"/>
  <c r="E1014" i="18"/>
  <c r="E1018" i="18"/>
  <c r="E1060" i="18"/>
  <c r="E1068" i="18"/>
  <c r="E1162" i="18"/>
  <c r="E1263" i="18"/>
  <c r="E1902" i="18"/>
  <c r="E1950" i="18"/>
  <c r="J71" i="16"/>
  <c r="M94" i="16"/>
  <c r="E1883" i="18"/>
  <c r="E2013" i="18"/>
  <c r="B54" i="9"/>
  <c r="C54" i="9" s="1"/>
  <c r="I70" i="11"/>
  <c r="D29" i="16"/>
  <c r="I46" i="16"/>
  <c r="G67" i="16"/>
  <c r="E127" i="18"/>
  <c r="E146" i="18"/>
  <c r="E154" i="18"/>
  <c r="E201" i="18"/>
  <c r="E205" i="18"/>
  <c r="E209" i="18"/>
  <c r="E217" i="18"/>
  <c r="E221" i="18"/>
  <c r="E256" i="18"/>
  <c r="E283" i="18"/>
  <c r="E310" i="18"/>
  <c r="E337" i="18"/>
  <c r="E364" i="18"/>
  <c r="E391" i="18"/>
  <c r="E414" i="18"/>
  <c r="E422" i="18"/>
  <c r="E453" i="18"/>
  <c r="E500" i="18"/>
  <c r="E504" i="18"/>
  <c r="E526" i="18"/>
  <c r="E530" i="18"/>
  <c r="E541" i="18"/>
  <c r="E564" i="18"/>
  <c r="E593" i="18"/>
  <c r="E604" i="18"/>
  <c r="E615" i="18"/>
  <c r="E626" i="18"/>
  <c r="E656" i="18"/>
  <c r="E671" i="18"/>
  <c r="E712" i="18"/>
  <c r="E727" i="18"/>
  <c r="E780" i="18"/>
  <c r="E787" i="18"/>
  <c r="E810" i="18"/>
  <c r="E821" i="18"/>
  <c r="E844" i="18"/>
  <c r="E852" i="18"/>
  <c r="E859" i="18"/>
  <c r="E882" i="18"/>
  <c r="E893" i="18"/>
  <c r="E916" i="18"/>
  <c r="E924" i="18"/>
  <c r="E931" i="18"/>
  <c r="E954" i="18"/>
  <c r="E965" i="18"/>
  <c r="E988" i="18"/>
  <c r="E996" i="18"/>
  <c r="E1007" i="18"/>
  <c r="E1011" i="18"/>
  <c r="E1022" i="18"/>
  <c r="E1030" i="18"/>
  <c r="E1045" i="18"/>
  <c r="E1084" i="18"/>
  <c r="E1088" i="18"/>
  <c r="E1186" i="18"/>
  <c r="E1190" i="18"/>
  <c r="E1217" i="18"/>
  <c r="I29" i="16"/>
  <c r="M46" i="16"/>
  <c r="E135" i="18"/>
  <c r="E139" i="18"/>
  <c r="E143" i="18"/>
  <c r="E170" i="18"/>
  <c r="E174" i="18"/>
  <c r="E229" i="18"/>
  <c r="E237" i="18"/>
  <c r="E291" i="18"/>
  <c r="E345" i="18"/>
  <c r="E399" i="18"/>
  <c r="E426" i="18"/>
  <c r="E473" i="18"/>
  <c r="E477" i="18"/>
  <c r="E485" i="18"/>
  <c r="E489" i="18"/>
  <c r="E515" i="18"/>
  <c r="E534" i="18"/>
  <c r="E538" i="18"/>
  <c r="E549" i="18"/>
  <c r="E586" i="18"/>
  <c r="E623" i="18"/>
  <c r="E664" i="18"/>
  <c r="E694" i="18"/>
  <c r="E724" i="18"/>
  <c r="E750" i="18"/>
  <c r="E754" i="18"/>
  <c r="E773" i="18"/>
  <c r="E795" i="18"/>
  <c r="E867" i="18"/>
  <c r="E939" i="18"/>
  <c r="E1155" i="18"/>
  <c r="E1159" i="18"/>
  <c r="E1264" i="18"/>
  <c r="E1790" i="18"/>
  <c r="E1919" i="18"/>
  <c r="L39" i="16"/>
  <c r="H316" i="17"/>
  <c r="E151" i="18"/>
  <c r="E194" i="18"/>
  <c r="E272" i="18"/>
  <c r="E299" i="18"/>
  <c r="E326" i="18"/>
  <c r="E353" i="18"/>
  <c r="E380" i="18"/>
  <c r="E407" i="18"/>
  <c r="E683" i="18"/>
  <c r="E698" i="18"/>
  <c r="E799" i="18"/>
  <c r="E871" i="18"/>
  <c r="E1343" i="18"/>
  <c r="E1367" i="18"/>
  <c r="E1403" i="18"/>
  <c r="E1451" i="18"/>
  <c r="E2124" i="18"/>
  <c r="D89" i="16"/>
  <c r="C6" i="3"/>
  <c r="K48" i="16"/>
  <c r="M53" i="16"/>
  <c r="L68" i="16"/>
  <c r="K83" i="16"/>
  <c r="E19" i="18"/>
  <c r="E25" i="18"/>
  <c r="E41" i="18"/>
  <c r="E51" i="18"/>
  <c r="E53" i="18"/>
  <c r="E61" i="18"/>
  <c r="E81" i="18"/>
  <c r="E87" i="18"/>
  <c r="E93" i="18"/>
  <c r="E140" i="18"/>
  <c r="E144" i="18"/>
  <c r="E155" i="18"/>
  <c r="E171" i="18"/>
  <c r="E202" i="18"/>
  <c r="E226" i="18"/>
  <c r="E265" i="18"/>
  <c r="E292" i="18"/>
  <c r="E319" i="18"/>
  <c r="E346" i="18"/>
  <c r="E373" i="18"/>
  <c r="E400" i="18"/>
  <c r="E427" i="18"/>
  <c r="E470" i="18"/>
  <c r="E482" i="18"/>
  <c r="E512" i="18"/>
  <c r="E520" i="18"/>
  <c r="E535" i="18"/>
  <c r="E550" i="18"/>
  <c r="E576" i="18"/>
  <c r="E587" i="18"/>
  <c r="E665" i="18"/>
  <c r="E695" i="18"/>
  <c r="E721" i="18"/>
  <c r="E751" i="18"/>
  <c r="E774" i="18"/>
  <c r="E796" i="18"/>
  <c r="E868" i="18"/>
  <c r="E940" i="18"/>
  <c r="E1097" i="18"/>
  <c r="E1105" i="18"/>
  <c r="E1109" i="18"/>
  <c r="E1160" i="18"/>
  <c r="E1207" i="18"/>
  <c r="E1222" i="18"/>
  <c r="E1241" i="18"/>
  <c r="E1253" i="18"/>
  <c r="E1261" i="18"/>
  <c r="E1265" i="18"/>
  <c r="E1952" i="18"/>
  <c r="D22" i="5"/>
  <c r="L41" i="8" s="1"/>
  <c r="AK62" i="8" s="1"/>
  <c r="M48" i="16"/>
  <c r="E148" i="18"/>
  <c r="E183" i="18"/>
  <c r="E242" i="18"/>
  <c r="E246" i="18"/>
  <c r="E273" i="18"/>
  <c r="E327" i="18"/>
  <c r="E381" i="18"/>
  <c r="E435" i="18"/>
  <c r="E494" i="18"/>
  <c r="E528" i="18"/>
  <c r="E558" i="18"/>
  <c r="E628" i="18"/>
  <c r="E643" i="18"/>
  <c r="E676" i="18"/>
  <c r="E744" i="18"/>
  <c r="E759" i="18"/>
  <c r="E800" i="18"/>
  <c r="E834" i="18"/>
  <c r="E838" i="18"/>
  <c r="E872" i="18"/>
  <c r="E906" i="18"/>
  <c r="E910" i="18"/>
  <c r="E944" i="18"/>
  <c r="E978" i="18"/>
  <c r="E982" i="18"/>
  <c r="E1047" i="18"/>
  <c r="E1117" i="18"/>
  <c r="E1133" i="18"/>
  <c r="E1141" i="18"/>
  <c r="E1234" i="18"/>
  <c r="E1667" i="18"/>
  <c r="E1811" i="18"/>
  <c r="E2011" i="18"/>
  <c r="E2149" i="18"/>
  <c r="E1340" i="18"/>
  <c r="E1376" i="18"/>
  <c r="E1424" i="18"/>
  <c r="E1448" i="18"/>
  <c r="E1928" i="18"/>
  <c r="E2012" i="18"/>
  <c r="E2042" i="18"/>
  <c r="E2223" i="18"/>
  <c r="E2313" i="18"/>
  <c r="E2515" i="18"/>
  <c r="E2896" i="18"/>
  <c r="E2940" i="18"/>
  <c r="E2980" i="18"/>
  <c r="E1001" i="18"/>
  <c r="E1024" i="18"/>
  <c r="E1032" i="18"/>
  <c r="E1039" i="18"/>
  <c r="E1062" i="18"/>
  <c r="E1073" i="18"/>
  <c r="E1120" i="18"/>
  <c r="E1124" i="18"/>
  <c r="E1170" i="18"/>
  <c r="E1174" i="18"/>
  <c r="E1286" i="18"/>
  <c r="E1294" i="18"/>
  <c r="E1298" i="18"/>
  <c r="E1313" i="18"/>
  <c r="E1592" i="18"/>
  <c r="E1596" i="18"/>
  <c r="E1600" i="18"/>
  <c r="E1604" i="18"/>
  <c r="E1674" i="18"/>
  <c r="E1697" i="18"/>
  <c r="E1727" i="18"/>
  <c r="E1731" i="18"/>
  <c r="E1746" i="18"/>
  <c r="E1769" i="18"/>
  <c r="E1799" i="18"/>
  <c r="E1803" i="18"/>
  <c r="E1818" i="18"/>
  <c r="E1841" i="18"/>
  <c r="E1871" i="18"/>
  <c r="E1875" i="18"/>
  <c r="E1917" i="18"/>
  <c r="E1944" i="18"/>
  <c r="E1948" i="18"/>
  <c r="E1974" i="18"/>
  <c r="E2020" i="18"/>
  <c r="E2077" i="18"/>
  <c r="E2092" i="18"/>
  <c r="E2096" i="18"/>
  <c r="E2104" i="18"/>
  <c r="E2139" i="18"/>
  <c r="E2143" i="18"/>
  <c r="E2147" i="18"/>
  <c r="E2239" i="18"/>
  <c r="E2294" i="18"/>
  <c r="E2298" i="18"/>
  <c r="E2306" i="18"/>
  <c r="E2329" i="18"/>
  <c r="E2349" i="18"/>
  <c r="E2361" i="18"/>
  <c r="E2365" i="18"/>
  <c r="E2392" i="18"/>
  <c r="E2396" i="18"/>
  <c r="E2400" i="18"/>
  <c r="E2434" i="18"/>
  <c r="E2442" i="18"/>
  <c r="E2446" i="18"/>
  <c r="E2450" i="18"/>
  <c r="E2477" i="18"/>
  <c r="E2496" i="18"/>
  <c r="E2500" i="18"/>
  <c r="E2504" i="18"/>
  <c r="E2508" i="18"/>
  <c r="E2543" i="18"/>
  <c r="E2547" i="18"/>
  <c r="E2662" i="18"/>
  <c r="E2670" i="18"/>
  <c r="E2678" i="18"/>
  <c r="E2706" i="18"/>
  <c r="E2745" i="18"/>
  <c r="E2204" i="18"/>
  <c r="E2208" i="18"/>
  <c r="E2216" i="18"/>
  <c r="E2220" i="18"/>
  <c r="E2247" i="18"/>
  <c r="E2251" i="18"/>
  <c r="E2255" i="18"/>
  <c r="E3593" i="18"/>
  <c r="E3597" i="18"/>
  <c r="E3601" i="18"/>
  <c r="E3605" i="18"/>
  <c r="E3609" i="18"/>
  <c r="E3613" i="18"/>
  <c r="E3617" i="18"/>
  <c r="E3621" i="18"/>
  <c r="E3625" i="18"/>
  <c r="E3629" i="18"/>
  <c r="E3633" i="18"/>
  <c r="E3637" i="18"/>
  <c r="E3641" i="18"/>
  <c r="E3645" i="18"/>
  <c r="E3649" i="18"/>
  <c r="E3653" i="18"/>
  <c r="E3657" i="18"/>
  <c r="E2458" i="18"/>
  <c r="E2889" i="18"/>
  <c r="E2893" i="18"/>
  <c r="E2949" i="18"/>
  <c r="E2953" i="18"/>
  <c r="E2961" i="18"/>
  <c r="E3361" i="18"/>
  <c r="E1148" i="18"/>
  <c r="E1171" i="18"/>
  <c r="E1260" i="18"/>
  <c r="E1299" i="18"/>
  <c r="E1565" i="18"/>
  <c r="E1569" i="18"/>
  <c r="E1581" i="18"/>
  <c r="E1585" i="18"/>
  <c r="E1605" i="18"/>
  <c r="E1713" i="18"/>
  <c r="E1785" i="18"/>
  <c r="E1857" i="18"/>
  <c r="E1887" i="18"/>
  <c r="E1891" i="18"/>
  <c r="E1918" i="18"/>
  <c r="E1956" i="18"/>
  <c r="E1960" i="18"/>
  <c r="E1967" i="18"/>
  <c r="E1998" i="18"/>
  <c r="E2006" i="18"/>
  <c r="E2017" i="18"/>
  <c r="E2032" i="18"/>
  <c r="E2070" i="18"/>
  <c r="E2097" i="18"/>
  <c r="E2101" i="18"/>
  <c r="E2113" i="18"/>
  <c r="E2163" i="18"/>
  <c r="E2182" i="18"/>
  <c r="E2189" i="18"/>
  <c r="E2193" i="18"/>
  <c r="E2259" i="18"/>
  <c r="E2299" i="18"/>
  <c r="E2370" i="18"/>
  <c r="E2397" i="18"/>
  <c r="E2443" i="18"/>
  <c r="E2451" i="18"/>
  <c r="E2474" i="18"/>
  <c r="E2478" i="18"/>
  <c r="E2505" i="18"/>
  <c r="E2536" i="18"/>
  <c r="E2544" i="18"/>
  <c r="E2548" i="18"/>
  <c r="E2552" i="18"/>
  <c r="E2659" i="18"/>
  <c r="E2671" i="18"/>
  <c r="E2703" i="18"/>
  <c r="E2722" i="18"/>
  <c r="E2778" i="18"/>
  <c r="E1280" i="18"/>
  <c r="E1370" i="18"/>
  <c r="E1394" i="18"/>
  <c r="E1430" i="18"/>
  <c r="E1502" i="18"/>
  <c r="E1574" i="18"/>
  <c r="E1625" i="18"/>
  <c r="E1668" i="18"/>
  <c r="E1740" i="18"/>
  <c r="E1812" i="18"/>
  <c r="E1895" i="18"/>
  <c r="E1926" i="18"/>
  <c r="E1964" i="18"/>
  <c r="E2125" i="18"/>
  <c r="E2205" i="18"/>
  <c r="E2521" i="18"/>
  <c r="E2556" i="18"/>
  <c r="E2854" i="18"/>
  <c r="E2866" i="18"/>
  <c r="E2874" i="18"/>
  <c r="E2890" i="18"/>
  <c r="E2962" i="18"/>
  <c r="E2986" i="18"/>
  <c r="E1300" i="18"/>
  <c r="E1594" i="18"/>
  <c r="E1598" i="18"/>
  <c r="E1691" i="18"/>
  <c r="E1695" i="18"/>
  <c r="E1710" i="18"/>
  <c r="E1763" i="18"/>
  <c r="E1767" i="18"/>
  <c r="E1782" i="18"/>
  <c r="E1835" i="18"/>
  <c r="E1839" i="18"/>
  <c r="E1854" i="18"/>
  <c r="E1907" i="18"/>
  <c r="E1911" i="18"/>
  <c r="E1915" i="18"/>
  <c r="E1938" i="18"/>
  <c r="E1942" i="18"/>
  <c r="E1961" i="18"/>
  <c r="E1980" i="18"/>
  <c r="E1984" i="18"/>
  <c r="E1995" i="18"/>
  <c r="E2022" i="18"/>
  <c r="E2029" i="18"/>
  <c r="E2067" i="18"/>
  <c r="E2090" i="18"/>
  <c r="E2110" i="18"/>
  <c r="E2160" i="18"/>
  <c r="E2164" i="18"/>
  <c r="E2168" i="18"/>
  <c r="E2280" i="18"/>
  <c r="E2296" i="18"/>
  <c r="E2304" i="18"/>
  <c r="E2347" i="18"/>
  <c r="E2367" i="18"/>
  <c r="E2371" i="18"/>
  <c r="E2394" i="18"/>
  <c r="E2417" i="18"/>
  <c r="E2440" i="18"/>
  <c r="E2444" i="18"/>
  <c r="E2448" i="18"/>
  <c r="E2475" i="18"/>
  <c r="E2479" i="18"/>
  <c r="E2502" i="18"/>
  <c r="E2545" i="18"/>
  <c r="E2549" i="18"/>
  <c r="E2568" i="18"/>
  <c r="E2660" i="18"/>
  <c r="E2664" i="18"/>
  <c r="E2668" i="18"/>
  <c r="E2672" i="18"/>
  <c r="E2676" i="18"/>
  <c r="E2680" i="18"/>
  <c r="E2704" i="18"/>
  <c r="E1638" i="18"/>
  <c r="E1688" i="18"/>
  <c r="E1760" i="18"/>
  <c r="E1832" i="18"/>
  <c r="E1923" i="18"/>
  <c r="E1988" i="18"/>
  <c r="E2218" i="18"/>
  <c r="E2421" i="18"/>
  <c r="E2895" i="18"/>
  <c r="E2955" i="18"/>
  <c r="E2983" i="18"/>
  <c r="E932" i="18"/>
  <c r="E936" i="18"/>
  <c r="E943" i="18"/>
  <c r="E955" i="18"/>
  <c r="E959" i="18"/>
  <c r="E966" i="18"/>
  <c r="E970" i="18"/>
  <c r="E989" i="18"/>
  <c r="E1004" i="18"/>
  <c r="E1008" i="18"/>
  <c r="E1015" i="18"/>
  <c r="E1027" i="18"/>
  <c r="E1031" i="18"/>
  <c r="E1038" i="18"/>
  <c r="E1042" i="18"/>
  <c r="E1061" i="18"/>
  <c r="E1076" i="18"/>
  <c r="E1119" i="18"/>
  <c r="E1123" i="18"/>
  <c r="E1169" i="18"/>
  <c r="E1208" i="18"/>
  <c r="E1223" i="18"/>
  <c r="E1250" i="18"/>
  <c r="E1277" i="18"/>
  <c r="E1316" i="18"/>
  <c r="E1559" i="18"/>
  <c r="E1579" i="18"/>
  <c r="E1583" i="18"/>
  <c r="E1587" i="18"/>
  <c r="E1591" i="18"/>
  <c r="E1603" i="18"/>
  <c r="E1677" i="18"/>
  <c r="E1749" i="18"/>
  <c r="E1821" i="18"/>
  <c r="E1931" i="18"/>
  <c r="E2000" i="18"/>
  <c r="E2004" i="18"/>
  <c r="E2019" i="18"/>
  <c r="E2034" i="18"/>
  <c r="E2053" i="18"/>
  <c r="E2099" i="18"/>
  <c r="E2130" i="18"/>
  <c r="E2176" i="18"/>
  <c r="E2191" i="18"/>
  <c r="E2297" i="18"/>
  <c r="E2332" i="18"/>
  <c r="E2372" i="18"/>
  <c r="E2376" i="18"/>
  <c r="E2399" i="18"/>
  <c r="E2418" i="18"/>
  <c r="E2445" i="18"/>
  <c r="E2476" i="18"/>
  <c r="E2480" i="18"/>
  <c r="E2503" i="18"/>
  <c r="E2507" i="18"/>
  <c r="E2550" i="18"/>
  <c r="E2724" i="18"/>
  <c r="E2728" i="18"/>
  <c r="E3078" i="18"/>
  <c r="E3106" i="18"/>
  <c r="E3110" i="18"/>
  <c r="E3130" i="18"/>
  <c r="E3150" i="18"/>
  <c r="E3154" i="18"/>
  <c r="E3158" i="18"/>
  <c r="E3170" i="18"/>
  <c r="E3174" i="18"/>
  <c r="E3178" i="18"/>
  <c r="E3190" i="18"/>
  <c r="E3194" i="18"/>
  <c r="E3206" i="18"/>
  <c r="E3214" i="18"/>
  <c r="E3222" i="18"/>
  <c r="E3226" i="18"/>
  <c r="E3230" i="18"/>
  <c r="E3238" i="18"/>
  <c r="E3242" i="18"/>
  <c r="E3250" i="18"/>
  <c r="E3274" i="18"/>
  <c r="E3290" i="18"/>
  <c r="E3326" i="18"/>
  <c r="E2736" i="18"/>
  <c r="E2787" i="18"/>
  <c r="E2803" i="18"/>
  <c r="E2807" i="18"/>
  <c r="E2875" i="18"/>
  <c r="E2879" i="18"/>
  <c r="E3382" i="18"/>
  <c r="E3418" i="18"/>
  <c r="E3990" i="18"/>
  <c r="G39" i="20"/>
  <c r="E3019" i="18"/>
  <c r="E3079" i="18"/>
  <c r="E3091" i="18"/>
  <c r="E3095" i="18"/>
  <c r="E3151" i="18"/>
  <c r="E3155" i="18"/>
  <c r="E3159" i="18"/>
  <c r="E3163" i="18"/>
  <c r="E3175" i="18"/>
  <c r="E3179" i="18"/>
  <c r="E3191" i="18"/>
  <c r="E3195" i="18"/>
  <c r="E3199" i="18"/>
  <c r="E3211" i="18"/>
  <c r="E3223" i="18"/>
  <c r="E3227" i="18"/>
  <c r="E3231" i="18"/>
  <c r="E3235" i="18"/>
  <c r="E3239" i="18"/>
  <c r="E3247" i="18"/>
  <c r="E3251" i="18"/>
  <c r="E3311" i="18"/>
  <c r="E3323" i="18"/>
  <c r="E3927" i="18"/>
  <c r="E2618" i="18"/>
  <c r="E2630" i="18"/>
  <c r="E2812" i="18"/>
  <c r="E2816" i="18"/>
  <c r="E2820" i="18"/>
  <c r="E2824" i="18"/>
  <c r="E2876" i="18"/>
  <c r="E3379" i="18"/>
  <c r="E3415" i="18"/>
  <c r="E3096" i="18"/>
  <c r="E3112" i="18"/>
  <c r="E3128" i="18"/>
  <c r="E3148" i="18"/>
  <c r="E3152" i="18"/>
  <c r="E3160" i="18"/>
  <c r="E3172" i="18"/>
  <c r="E3176" i="18"/>
  <c r="E3184" i="18"/>
  <c r="E3188" i="18"/>
  <c r="E3192" i="18"/>
  <c r="E3196" i="18"/>
  <c r="E3208" i="18"/>
  <c r="E3212" i="18"/>
  <c r="E3220" i="18"/>
  <c r="E3224" i="18"/>
  <c r="E3228" i="18"/>
  <c r="E3232" i="18"/>
  <c r="E3240" i="18"/>
  <c r="E3244" i="18"/>
  <c r="E3248" i="18"/>
  <c r="E3256" i="18"/>
  <c r="E3272" i="18"/>
  <c r="E3292" i="18"/>
  <c r="E3328" i="18"/>
  <c r="E2730" i="18"/>
  <c r="E2781" i="18"/>
  <c r="E2785" i="18"/>
  <c r="E2821" i="18"/>
  <c r="E3017" i="18"/>
  <c r="E3077" i="18"/>
  <c r="E3097" i="18"/>
  <c r="E3109" i="18"/>
  <c r="E3149" i="18"/>
  <c r="E3157" i="18"/>
  <c r="E3161" i="18"/>
  <c r="E3173" i="18"/>
  <c r="E3177" i="18"/>
  <c r="E3181" i="18"/>
  <c r="E3193" i="18"/>
  <c r="E3197" i="18"/>
  <c r="E3205" i="18"/>
  <c r="E3209" i="18"/>
  <c r="E3213" i="18"/>
  <c r="E3221" i="18"/>
  <c r="E3229" i="18"/>
  <c r="E3241" i="18"/>
  <c r="E3245" i="18"/>
  <c r="E3249" i="18"/>
  <c r="E3253" i="18"/>
  <c r="E3277" i="18"/>
  <c r="E3313" i="18"/>
  <c r="E3325" i="18"/>
  <c r="E3341" i="18"/>
  <c r="E3661" i="18"/>
  <c r="E3665" i="18"/>
  <c r="E3669" i="18"/>
  <c r="E3673" i="18"/>
  <c r="E3677" i="18"/>
  <c r="E3681" i="18"/>
  <c r="E3685" i="18"/>
  <c r="E3689" i="18"/>
  <c r="E3693" i="18"/>
  <c r="E3697" i="18"/>
  <c r="E3701" i="18"/>
  <c r="E3705" i="18"/>
  <c r="E3709" i="18"/>
  <c r="E3713" i="18"/>
  <c r="E3717" i="18"/>
  <c r="E3721" i="18"/>
  <c r="E3725" i="18"/>
  <c r="E3729" i="18"/>
  <c r="E3733" i="18"/>
  <c r="E3737" i="18"/>
  <c r="E3741" i="18"/>
  <c r="E3745" i="18"/>
  <c r="E3749" i="18"/>
  <c r="E3753" i="18"/>
  <c r="E3757" i="18"/>
  <c r="E3761" i="18"/>
  <c r="E3765" i="18"/>
  <c r="E3769" i="18"/>
  <c r="E3773" i="18"/>
  <c r="E3777" i="18"/>
  <c r="E3781" i="18"/>
  <c r="E3785" i="18"/>
  <c r="E3789" i="18"/>
  <c r="E3793" i="18"/>
  <c r="E3797" i="18"/>
  <c r="E3801" i="18"/>
  <c r="E3805" i="18"/>
  <c r="E3809" i="18"/>
  <c r="E3813" i="18"/>
  <c r="E3817" i="18"/>
  <c r="E3821" i="18"/>
  <c r="E3825" i="18"/>
  <c r="E3829" i="18"/>
  <c r="E3833" i="18"/>
  <c r="E3837" i="18"/>
  <c r="E3841" i="18"/>
  <c r="E3845" i="18"/>
  <c r="E3849" i="18"/>
  <c r="E3853" i="18"/>
  <c r="E3857" i="18"/>
  <c r="E3861" i="18"/>
  <c r="E3865" i="18"/>
  <c r="E3869" i="18"/>
  <c r="E3873" i="18"/>
  <c r="E3877" i="18"/>
  <c r="E3881" i="18"/>
  <c r="E3885" i="18"/>
  <c r="E3889" i="18"/>
  <c r="E3893" i="18"/>
  <c r="E3897" i="18"/>
  <c r="E3901" i="18"/>
  <c r="E3905" i="18"/>
  <c r="E3909" i="18"/>
  <c r="E3913" i="18"/>
  <c r="E3917" i="18"/>
  <c r="E3921" i="18"/>
  <c r="E3925" i="18"/>
  <c r="E3929" i="18"/>
  <c r="E3933" i="18"/>
  <c r="E3937" i="18"/>
  <c r="E3941" i="18"/>
  <c r="E3945" i="18"/>
  <c r="E3949" i="18"/>
  <c r="E3953" i="18"/>
  <c r="E3957" i="18"/>
  <c r="E3961" i="18"/>
  <c r="E3965" i="18"/>
  <c r="E3969" i="18"/>
  <c r="E3973" i="18"/>
  <c r="E3977" i="18"/>
  <c r="E3989" i="18"/>
  <c r="E3993" i="18"/>
  <c r="B66" i="9"/>
  <c r="I66" i="9" s="1"/>
  <c r="P40" i="10"/>
  <c r="B145" i="10"/>
  <c r="N145" i="10" s="1"/>
  <c r="D33" i="16"/>
  <c r="D38" i="16"/>
  <c r="J46" i="16"/>
  <c r="D49" i="16"/>
  <c r="K65" i="16"/>
  <c r="G69" i="16"/>
  <c r="M79" i="16"/>
  <c r="J83" i="16"/>
  <c r="J87" i="16"/>
  <c r="E45" i="18"/>
  <c r="E86" i="18"/>
  <c r="E92" i="18"/>
  <c r="E153" i="18"/>
  <c r="E177" i="18"/>
  <c r="E184" i="18"/>
  <c r="E198" i="18"/>
  <c r="E208" i="18"/>
  <c r="E225" i="18"/>
  <c r="E249" i="18"/>
  <c r="E267" i="18"/>
  <c r="E285" i="18"/>
  <c r="E303" i="18"/>
  <c r="E321" i="18"/>
  <c r="E339" i="18"/>
  <c r="E357" i="18"/>
  <c r="E375" i="18"/>
  <c r="E393" i="18"/>
  <c r="E411" i="18"/>
  <c r="E415" i="18"/>
  <c r="E441" i="18"/>
  <c r="E467" i="18"/>
  <c r="E490" i="18"/>
  <c r="E497" i="18"/>
  <c r="E543" i="18"/>
  <c r="E582" i="18"/>
  <c r="E726" i="18"/>
  <c r="E762" i="18"/>
  <c r="I33" i="16"/>
  <c r="J38" i="16"/>
  <c r="G49" i="16"/>
  <c r="L87" i="16"/>
  <c r="G15" i="25"/>
  <c r="C16" i="4"/>
  <c r="E14" i="5"/>
  <c r="I14" i="5" s="1"/>
  <c r="D26" i="16"/>
  <c r="K33" i="16"/>
  <c r="M38" i="16"/>
  <c r="D42" i="16"/>
  <c r="N46" i="16"/>
  <c r="I49" i="16"/>
  <c r="L69" i="16"/>
  <c r="K76" i="16"/>
  <c r="J80" i="16"/>
  <c r="M83" i="16"/>
  <c r="M87" i="16"/>
  <c r="E57" i="18"/>
  <c r="E59" i="18"/>
  <c r="E98" i="18"/>
  <c r="E104" i="18"/>
  <c r="E106" i="18"/>
  <c r="E136" i="18"/>
  <c r="E195" i="18"/>
  <c r="E264" i="18"/>
  <c r="E282" i="18"/>
  <c r="E300" i="18"/>
  <c r="E318" i="18"/>
  <c r="E336" i="18"/>
  <c r="E354" i="18"/>
  <c r="E372" i="18"/>
  <c r="E390" i="18"/>
  <c r="E408" i="18"/>
  <c r="E423" i="18"/>
  <c r="E449" i="18"/>
  <c r="E533" i="18"/>
  <c r="E579" i="18"/>
  <c r="E608" i="18"/>
  <c r="E644" i="18"/>
  <c r="E680" i="18"/>
  <c r="E716" i="18"/>
  <c r="E752" i="18"/>
  <c r="E788" i="18"/>
  <c r="E837" i="18"/>
  <c r="I26" i="16"/>
  <c r="J42" i="16"/>
  <c r="J49" i="16"/>
  <c r="L76" i="16"/>
  <c r="K80" i="16"/>
  <c r="K70" i="11"/>
  <c r="J26" i="16"/>
  <c r="D39" i="16"/>
  <c r="J47" i="16"/>
  <c r="K49" i="16"/>
  <c r="M76" i="16"/>
  <c r="L80" i="16"/>
  <c r="E12" i="18"/>
  <c r="E14" i="18"/>
  <c r="E16" i="18"/>
  <c r="E22" i="18"/>
  <c r="E24" i="18"/>
  <c r="E122" i="18"/>
  <c r="E126" i="18"/>
  <c r="E147" i="18"/>
  <c r="E168" i="18"/>
  <c r="E192" i="18"/>
  <c r="E216" i="18"/>
  <c r="E240" i="18"/>
  <c r="E261" i="18"/>
  <c r="E279" i="18"/>
  <c r="E297" i="18"/>
  <c r="E315" i="18"/>
  <c r="E333" i="18"/>
  <c r="E351" i="18"/>
  <c r="E369" i="18"/>
  <c r="E387" i="18"/>
  <c r="E405" i="18"/>
  <c r="E431" i="18"/>
  <c r="E472" i="18"/>
  <c r="E476" i="18"/>
  <c r="E569" i="18"/>
  <c r="K26" i="16"/>
  <c r="I39" i="16"/>
  <c r="L49" i="16"/>
  <c r="P45" i="10"/>
  <c r="M26" i="16"/>
  <c r="M29" i="16"/>
  <c r="I35" i="16"/>
  <c r="J39" i="16"/>
  <c r="J48" i="16"/>
  <c r="M49" i="16"/>
  <c r="K53" i="16"/>
  <c r="G71" i="16"/>
  <c r="M89" i="16"/>
  <c r="E28" i="18"/>
  <c r="E44" i="18"/>
  <c r="E46" i="18"/>
  <c r="E52" i="18"/>
  <c r="E73" i="18"/>
  <c r="E75" i="18"/>
  <c r="E91" i="18"/>
  <c r="E162" i="18"/>
  <c r="E172" i="18"/>
  <c r="E189" i="18"/>
  <c r="E213" i="18"/>
  <c r="E220" i="18"/>
  <c r="E234" i="18"/>
  <c r="E244" i="18"/>
  <c r="E258" i="18"/>
  <c r="E276" i="18"/>
  <c r="E294" i="18"/>
  <c r="E312" i="18"/>
  <c r="E330" i="18"/>
  <c r="E348" i="18"/>
  <c r="E366" i="18"/>
  <c r="E384" i="18"/>
  <c r="E402" i="18"/>
  <c r="E413" i="18"/>
  <c r="E454" i="18"/>
  <c r="E465" i="18"/>
  <c r="E469" i="18"/>
  <c r="E499" i="18"/>
  <c r="E513" i="18"/>
  <c r="E595" i="18"/>
  <c r="E631" i="18"/>
  <c r="E667" i="18"/>
  <c r="E703" i="18"/>
  <c r="E739" i="18"/>
  <c r="E775" i="18"/>
  <c r="E262" i="18"/>
  <c r="E280" i="18"/>
  <c r="E298" i="18"/>
  <c r="E316" i="18"/>
  <c r="E334" i="18"/>
  <c r="E352" i="18"/>
  <c r="E370" i="18"/>
  <c r="E388" i="18"/>
  <c r="E406" i="18"/>
  <c r="E458" i="18"/>
  <c r="E556" i="18"/>
  <c r="E584" i="18"/>
  <c r="E620" i="18"/>
  <c r="G17" i="25"/>
  <c r="D27" i="16"/>
  <c r="J30" i="16"/>
  <c r="M35" i="16"/>
  <c r="M39" i="16"/>
  <c r="D46" i="16"/>
  <c r="L48" i="16"/>
  <c r="G79" i="16"/>
  <c r="N90" i="16"/>
  <c r="E107" i="18"/>
  <c r="E801" i="18"/>
  <c r="C84" i="9"/>
  <c r="J27" i="16"/>
  <c r="G46" i="16"/>
  <c r="I79" i="16"/>
  <c r="B97" i="9"/>
  <c r="H40" i="16"/>
  <c r="H46" i="16"/>
  <c r="G51" i="16"/>
  <c r="J79" i="16"/>
  <c r="G91" i="16"/>
  <c r="E293" i="17"/>
  <c r="E11" i="18"/>
  <c r="E13" i="18"/>
  <c r="E15" i="18"/>
  <c r="E23" i="18"/>
  <c r="E119" i="18"/>
  <c r="E121" i="18"/>
  <c r="E131" i="18"/>
  <c r="E142" i="18"/>
  <c r="E149" i="18"/>
  <c r="E156" i="18"/>
  <c r="E180" i="18"/>
  <c r="E204" i="18"/>
  <c r="E228" i="18"/>
  <c r="E252" i="18"/>
  <c r="E270" i="18"/>
  <c r="E288" i="18"/>
  <c r="E306" i="18"/>
  <c r="E324" i="18"/>
  <c r="E342" i="18"/>
  <c r="E360" i="18"/>
  <c r="E378" i="18"/>
  <c r="E396" i="18"/>
  <c r="E418" i="18"/>
  <c r="E429" i="18"/>
  <c r="E433" i="18"/>
  <c r="E459" i="18"/>
  <c r="E474" i="18"/>
  <c r="E478" i="18"/>
  <c r="E507" i="18"/>
  <c r="E546" i="18"/>
  <c r="E571" i="18"/>
  <c r="E585" i="18"/>
  <c r="E621" i="18"/>
  <c r="E657" i="18"/>
  <c r="E729" i="18"/>
  <c r="E765" i="18"/>
  <c r="E1661" i="18"/>
  <c r="E1733" i="18"/>
  <c r="E1805" i="18"/>
  <c r="E1877" i="18"/>
  <c r="E1976" i="18"/>
  <c r="E2007" i="18"/>
  <c r="E2037" i="18"/>
  <c r="E2241" i="18"/>
  <c r="E1904" i="18"/>
  <c r="E2157" i="18"/>
  <c r="E412" i="18"/>
  <c r="E430" i="18"/>
  <c r="E448" i="18"/>
  <c r="E466" i="18"/>
  <c r="E484" i="18"/>
  <c r="E501" i="18"/>
  <c r="E537" i="18"/>
  <c r="E573" i="18"/>
  <c r="E609" i="18"/>
  <c r="E645" i="18"/>
  <c r="E681" i="18"/>
  <c r="E717" i="18"/>
  <c r="E753" i="18"/>
  <c r="E789" i="18"/>
  <c r="E825" i="18"/>
  <c r="E861" i="18"/>
  <c r="E897" i="18"/>
  <c r="E933" i="18"/>
  <c r="E969" i="18"/>
  <c r="E1005" i="18"/>
  <c r="E1041" i="18"/>
  <c r="E1077" i="18"/>
  <c r="E1106" i="18"/>
  <c r="E1113" i="18"/>
  <c r="E1156" i="18"/>
  <c r="E1218" i="18"/>
  <c r="E1236" i="18"/>
  <c r="E1258" i="18"/>
  <c r="E1269" i="18"/>
  <c r="E1306" i="18"/>
  <c r="E1571" i="18"/>
  <c r="E1715" i="18"/>
  <c r="E1787" i="18"/>
  <c r="E1859" i="18"/>
  <c r="E2030" i="18"/>
  <c r="E2115" i="18"/>
  <c r="E2301" i="18"/>
  <c r="E2305" i="18"/>
  <c r="E2542" i="18"/>
  <c r="E2211" i="18"/>
  <c r="E481" i="18"/>
  <c r="E495" i="18"/>
  <c r="E531" i="18"/>
  <c r="E567" i="18"/>
  <c r="E747" i="18"/>
  <c r="E783" i="18"/>
  <c r="E819" i="18"/>
  <c r="E855" i="18"/>
  <c r="E891" i="18"/>
  <c r="E927" i="18"/>
  <c r="E963" i="18"/>
  <c r="E999" i="18"/>
  <c r="E1035" i="18"/>
  <c r="E1071" i="18"/>
  <c r="E1085" i="18"/>
  <c r="E1121" i="18"/>
  <c r="E1153" i="18"/>
  <c r="E1215" i="18"/>
  <c r="E1233" i="18"/>
  <c r="E1288" i="18"/>
  <c r="E1353" i="18"/>
  <c r="E1357" i="18"/>
  <c r="E1361" i="18"/>
  <c r="E1365" i="18"/>
  <c r="E1369" i="18"/>
  <c r="E1425" i="18"/>
  <c r="E1429" i="18"/>
  <c r="E1433" i="18"/>
  <c r="E1704" i="18"/>
  <c r="E1776" i="18"/>
  <c r="E1848" i="18"/>
  <c r="E1997" i="18"/>
  <c r="E525" i="18"/>
  <c r="E561" i="18"/>
  <c r="E597" i="18"/>
  <c r="E633" i="18"/>
  <c r="E669" i="18"/>
  <c r="E705" i="18"/>
  <c r="E741" i="18"/>
  <c r="E777" i="18"/>
  <c r="E813" i="18"/>
  <c r="E849" i="18"/>
  <c r="E885" i="18"/>
  <c r="E921" i="18"/>
  <c r="E957" i="18"/>
  <c r="E993" i="18"/>
  <c r="E1029" i="18"/>
  <c r="E1065" i="18"/>
  <c r="E1093" i="18"/>
  <c r="E1129" i="18"/>
  <c r="E1143" i="18"/>
  <c r="E1150" i="18"/>
  <c r="E1164" i="18"/>
  <c r="E1195" i="18"/>
  <c r="E1212" i="18"/>
  <c r="E1252" i="18"/>
  <c r="E1326" i="18"/>
  <c r="E1330" i="18"/>
  <c r="E1493" i="18"/>
  <c r="E1686" i="18"/>
  <c r="E1758" i="18"/>
  <c r="E1830" i="18"/>
  <c r="E1925" i="18"/>
  <c r="E1990" i="18"/>
  <c r="E2058" i="18"/>
  <c r="E2200" i="18"/>
  <c r="E403" i="18"/>
  <c r="E421" i="18"/>
  <c r="E439" i="18"/>
  <c r="E457" i="18"/>
  <c r="E475" i="18"/>
  <c r="E519" i="18"/>
  <c r="E555" i="18"/>
  <c r="E591" i="18"/>
  <c r="E627" i="18"/>
  <c r="E663" i="18"/>
  <c r="E699" i="18"/>
  <c r="E735" i="18"/>
  <c r="E771" i="18"/>
  <c r="E807" i="18"/>
  <c r="E843" i="18"/>
  <c r="E879" i="18"/>
  <c r="E915" i="18"/>
  <c r="E951" i="18"/>
  <c r="E987" i="18"/>
  <c r="E1023" i="18"/>
  <c r="E1059" i="18"/>
  <c r="E1108" i="18"/>
  <c r="E1192" i="18"/>
  <c r="E1346" i="18"/>
  <c r="E1679" i="18"/>
  <c r="E1751" i="18"/>
  <c r="E1823" i="18"/>
  <c r="E2178" i="18"/>
  <c r="E432" i="18"/>
  <c r="E450" i="18"/>
  <c r="E468" i="18"/>
  <c r="E486" i="18"/>
  <c r="E516" i="18"/>
  <c r="E552" i="18"/>
  <c r="E660" i="18"/>
  <c r="E696" i="18"/>
  <c r="E732" i="18"/>
  <c r="E768" i="18"/>
  <c r="E804" i="18"/>
  <c r="E840" i="18"/>
  <c r="E876" i="18"/>
  <c r="E912" i="18"/>
  <c r="E948" i="18"/>
  <c r="E984" i="18"/>
  <c r="E1020" i="18"/>
  <c r="E1056" i="18"/>
  <c r="E1094" i="18"/>
  <c r="E1130" i="18"/>
  <c r="E1144" i="18"/>
  <c r="E1165" i="18"/>
  <c r="E1185" i="18"/>
  <c r="E1206" i="18"/>
  <c r="E1213" i="18"/>
  <c r="E1231" i="18"/>
  <c r="E1312" i="18"/>
  <c r="E1323" i="18"/>
  <c r="E1637" i="18"/>
  <c r="E1672" i="18"/>
  <c r="E1744" i="18"/>
  <c r="E1816" i="18"/>
  <c r="E1949" i="18"/>
  <c r="E2171" i="18"/>
  <c r="E2252" i="18"/>
  <c r="E2256" i="18"/>
  <c r="E2405" i="18"/>
  <c r="E2420" i="18"/>
  <c r="E2424" i="18"/>
  <c r="E1620" i="18"/>
  <c r="E2027" i="18"/>
  <c r="E2076" i="18"/>
  <c r="E2398" i="18"/>
  <c r="E1466" i="18"/>
  <c r="E1553" i="18"/>
  <c r="E1665" i="18"/>
  <c r="E1683" i="18"/>
  <c r="E1694" i="18"/>
  <c r="E1701" i="18"/>
  <c r="E1719" i="18"/>
  <c r="E1730" i="18"/>
  <c r="E1737" i="18"/>
  <c r="E1755" i="18"/>
  <c r="E1766" i="18"/>
  <c r="E1773" i="18"/>
  <c r="E1791" i="18"/>
  <c r="E1802" i="18"/>
  <c r="E1809" i="18"/>
  <c r="E1827" i="18"/>
  <c r="E1838" i="18"/>
  <c r="E1845" i="18"/>
  <c r="E1863" i="18"/>
  <c r="E1874" i="18"/>
  <c r="E1922" i="18"/>
  <c r="E1946" i="18"/>
  <c r="E1994" i="18"/>
  <c r="E1230" i="18"/>
  <c r="E1248" i="18"/>
  <c r="E1266" i="18"/>
  <c r="E1284" i="18"/>
  <c r="E1302" i="18"/>
  <c r="E1320" i="18"/>
  <c r="E1331" i="18"/>
  <c r="E1335" i="18"/>
  <c r="E1339" i="18"/>
  <c r="E1358" i="18"/>
  <c r="E1362" i="18"/>
  <c r="E1366" i="18"/>
  <c r="E1385" i="18"/>
  <c r="E1389" i="18"/>
  <c r="E1393" i="18"/>
  <c r="E1412" i="18"/>
  <c r="E1416" i="18"/>
  <c r="E1420" i="18"/>
  <c r="E1439" i="18"/>
  <c r="E1443" i="18"/>
  <c r="E1447" i="18"/>
  <c r="E1490" i="18"/>
  <c r="E1494" i="18"/>
  <c r="E1498" i="18"/>
  <c r="E1557" i="18"/>
  <c r="E1561" i="18"/>
  <c r="E1572" i="18"/>
  <c r="E1602" i="18"/>
  <c r="E1606" i="18"/>
  <c r="E1617" i="18"/>
  <c r="E1621" i="18"/>
  <c r="E1632" i="18"/>
  <c r="E1636" i="18"/>
  <c r="E1643" i="18"/>
  <c r="E1647" i="18"/>
  <c r="E1658" i="18"/>
  <c r="E1687" i="18"/>
  <c r="E1723" i="18"/>
  <c r="E1759" i="18"/>
  <c r="E1795" i="18"/>
  <c r="E1831" i="18"/>
  <c r="E1867" i="18"/>
  <c r="E1936" i="18"/>
  <c r="E2024" i="18"/>
  <c r="E2105" i="18"/>
  <c r="E2112" i="18"/>
  <c r="E2151" i="18"/>
  <c r="E2183" i="18"/>
  <c r="E2310" i="18"/>
  <c r="E2317" i="18"/>
  <c r="E2358" i="18"/>
  <c r="E2369" i="18"/>
  <c r="E2410" i="18"/>
  <c r="E2414" i="18"/>
  <c r="E2467" i="18"/>
  <c r="E2471" i="18"/>
  <c r="E2532" i="18"/>
  <c r="E1374" i="18"/>
  <c r="E1378" i="18"/>
  <c r="E1401" i="18"/>
  <c r="E1405" i="18"/>
  <c r="E1428" i="18"/>
  <c r="E1432" i="18"/>
  <c r="E1455" i="18"/>
  <c r="E1459" i="18"/>
  <c r="E1463" i="18"/>
  <c r="E1467" i="18"/>
  <c r="E1506" i="18"/>
  <c r="E1510" i="18"/>
  <c r="E1514" i="18"/>
  <c r="E1518" i="18"/>
  <c r="E1522" i="18"/>
  <c r="E1526" i="18"/>
  <c r="E1530" i="18"/>
  <c r="E1534" i="18"/>
  <c r="E1538" i="18"/>
  <c r="E1542" i="18"/>
  <c r="E1546" i="18"/>
  <c r="E1550" i="18"/>
  <c r="E1580" i="18"/>
  <c r="E1588" i="18"/>
  <c r="E1610" i="18"/>
  <c r="E1640" i="18"/>
  <c r="E1666" i="18"/>
  <c r="E1684" i="18"/>
  <c r="E1702" i="18"/>
  <c r="E1720" i="18"/>
  <c r="E1738" i="18"/>
  <c r="E1756" i="18"/>
  <c r="E1774" i="18"/>
  <c r="E1792" i="18"/>
  <c r="E1810" i="18"/>
  <c r="E1828" i="18"/>
  <c r="E1846" i="18"/>
  <c r="E1864" i="18"/>
  <c r="E1885" i="18"/>
  <c r="E1909" i="18"/>
  <c r="E1933" i="18"/>
  <c r="E1957" i="18"/>
  <c r="E1981" i="18"/>
  <c r="E2005" i="18"/>
  <c r="E2063" i="18"/>
  <c r="E2137" i="18"/>
  <c r="E2325" i="18"/>
  <c r="E2366" i="18"/>
  <c r="E2384" i="18"/>
  <c r="E2403" i="18"/>
  <c r="E2437" i="18"/>
  <c r="E2456" i="18"/>
  <c r="E2517" i="18"/>
  <c r="E1249" i="18"/>
  <c r="E1267" i="18"/>
  <c r="E1285" i="18"/>
  <c r="E1303" i="18"/>
  <c r="E1321" i="18"/>
  <c r="E1328" i="18"/>
  <c r="E1336" i="18"/>
  <c r="E1363" i="18"/>
  <c r="E1390" i="18"/>
  <c r="E1417" i="18"/>
  <c r="E1444" i="18"/>
  <c r="E1475" i="18"/>
  <c r="E1491" i="18"/>
  <c r="E1495" i="18"/>
  <c r="E1499" i="18"/>
  <c r="E1503" i="18"/>
  <c r="E1558" i="18"/>
  <c r="E1562" i="18"/>
  <c r="E1618" i="18"/>
  <c r="E1622" i="18"/>
  <c r="E1633" i="18"/>
  <c r="E1648" i="18"/>
  <c r="E1663" i="18"/>
  <c r="E1670" i="18"/>
  <c r="E1681" i="18"/>
  <c r="E1699" i="18"/>
  <c r="E1706" i="18"/>
  <c r="E1717" i="18"/>
  <c r="E1735" i="18"/>
  <c r="E1742" i="18"/>
  <c r="E1753" i="18"/>
  <c r="E1771" i="18"/>
  <c r="E1778" i="18"/>
  <c r="E1789" i="18"/>
  <c r="E1807" i="18"/>
  <c r="E1814" i="18"/>
  <c r="E1825" i="18"/>
  <c r="E1843" i="18"/>
  <c r="E1850" i="18"/>
  <c r="E1861" i="18"/>
  <c r="E1879" i="18"/>
  <c r="E1906" i="18"/>
  <c r="E1913" i="18"/>
  <c r="E1930" i="18"/>
  <c r="E1940" i="18"/>
  <c r="E1951" i="18"/>
  <c r="E1978" i="18"/>
  <c r="E1985" i="18"/>
  <c r="E2002" i="18"/>
  <c r="E2015" i="18"/>
  <c r="E2049" i="18"/>
  <c r="E2060" i="18"/>
  <c r="E2081" i="18"/>
  <c r="E2088" i="18"/>
  <c r="E2127" i="18"/>
  <c r="E2166" i="18"/>
  <c r="E2243" i="18"/>
  <c r="E2254" i="18"/>
  <c r="E2258" i="18"/>
  <c r="E2269" i="18"/>
  <c r="E2273" i="18"/>
  <c r="E2288" i="18"/>
  <c r="E2292" i="18"/>
  <c r="E2355" i="18"/>
  <c r="E2359" i="18"/>
  <c r="E2363" i="18"/>
  <c r="E2381" i="18"/>
  <c r="E2449" i="18"/>
  <c r="E2529" i="18"/>
  <c r="E1511" i="18"/>
  <c r="E1566" i="18"/>
  <c r="E1589" i="18"/>
  <c r="E1692" i="18"/>
  <c r="E1728" i="18"/>
  <c r="E1764" i="18"/>
  <c r="E1800" i="18"/>
  <c r="E1836" i="18"/>
  <c r="E1872" i="18"/>
  <c r="E1886" i="18"/>
  <c r="E1910" i="18"/>
  <c r="E1958" i="18"/>
  <c r="E1982" i="18"/>
  <c r="E2009" i="18"/>
  <c r="E2145" i="18"/>
  <c r="E2236" i="18"/>
  <c r="E2277" i="18"/>
  <c r="E2326" i="18"/>
  <c r="E1239" i="18"/>
  <c r="E1257" i="18"/>
  <c r="E1275" i="18"/>
  <c r="E1293" i="18"/>
  <c r="E1311" i="18"/>
  <c r="E1337" i="18"/>
  <c r="E1341" i="18"/>
  <c r="E1364" i="18"/>
  <c r="E1368" i="18"/>
  <c r="E1391" i="18"/>
  <c r="E1395" i="18"/>
  <c r="E1418" i="18"/>
  <c r="E1422" i="18"/>
  <c r="E1445" i="18"/>
  <c r="E1449" i="18"/>
  <c r="E1484" i="18"/>
  <c r="E1488" i="18"/>
  <c r="E1492" i="18"/>
  <c r="E1496" i="18"/>
  <c r="E1500" i="18"/>
  <c r="E1504" i="18"/>
  <c r="E1563" i="18"/>
  <c r="E1593" i="18"/>
  <c r="E1615" i="18"/>
  <c r="E1619" i="18"/>
  <c r="E1623" i="18"/>
  <c r="E1634" i="18"/>
  <c r="E1645" i="18"/>
  <c r="E1656" i="18"/>
  <c r="E1671" i="18"/>
  <c r="E1675" i="18"/>
  <c r="E1707" i="18"/>
  <c r="E1711" i="18"/>
  <c r="E1743" i="18"/>
  <c r="E1747" i="18"/>
  <c r="E1779" i="18"/>
  <c r="E1783" i="18"/>
  <c r="E1815" i="18"/>
  <c r="E1819" i="18"/>
  <c r="E1851" i="18"/>
  <c r="E1855" i="18"/>
  <c r="E1900" i="18"/>
  <c r="E1972" i="18"/>
  <c r="E2036" i="18"/>
  <c r="E2068" i="18"/>
  <c r="E2075" i="18"/>
  <c r="E2085" i="18"/>
  <c r="E2107" i="18"/>
  <c r="E2214" i="18"/>
  <c r="E2270" i="18"/>
  <c r="E2274" i="18"/>
  <c r="E2293" i="18"/>
  <c r="E2360" i="18"/>
  <c r="E2364" i="18"/>
  <c r="E2382" i="18"/>
  <c r="E2412" i="18"/>
  <c r="E2469" i="18"/>
  <c r="E2488" i="18"/>
  <c r="E1297" i="18"/>
  <c r="E1315" i="18"/>
  <c r="E1345" i="18"/>
  <c r="E1372" i="18"/>
  <c r="E1399" i="18"/>
  <c r="E1426" i="18"/>
  <c r="E1453" i="18"/>
  <c r="E1461" i="18"/>
  <c r="E1465" i="18"/>
  <c r="E1508" i="18"/>
  <c r="E1512" i="18"/>
  <c r="E1516" i="18"/>
  <c r="E1520" i="18"/>
  <c r="E1524" i="18"/>
  <c r="E1528" i="18"/>
  <c r="E1532" i="18"/>
  <c r="E1536" i="18"/>
  <c r="E1540" i="18"/>
  <c r="E1544" i="18"/>
  <c r="E1548" i="18"/>
  <c r="E1552" i="18"/>
  <c r="E1567" i="18"/>
  <c r="E1582" i="18"/>
  <c r="E1597" i="18"/>
  <c r="E1612" i="18"/>
  <c r="E1627" i="18"/>
  <c r="E1693" i="18"/>
  <c r="E1729" i="18"/>
  <c r="E1765" i="18"/>
  <c r="E1801" i="18"/>
  <c r="E1837" i="18"/>
  <c r="E1873" i="18"/>
  <c r="E1897" i="18"/>
  <c r="E1921" i="18"/>
  <c r="E1945" i="18"/>
  <c r="E1969" i="18"/>
  <c r="E1993" i="18"/>
  <c r="E2054" i="18"/>
  <c r="E2100" i="18"/>
  <c r="E2153" i="18"/>
  <c r="E2222" i="18"/>
  <c r="E2233" i="18"/>
  <c r="E2237" i="18"/>
  <c r="E2278" i="18"/>
  <c r="E2334" i="18"/>
  <c r="E2435" i="18"/>
  <c r="E2519" i="18"/>
  <c r="E2557" i="18"/>
  <c r="E3421" i="18"/>
  <c r="E2482" i="18"/>
  <c r="E2486" i="18"/>
  <c r="E2493" i="18"/>
  <c r="E2512" i="18"/>
  <c r="E2527" i="18"/>
  <c r="E2575" i="18"/>
  <c r="E2583" i="18"/>
  <c r="E2587" i="18"/>
  <c r="E2595" i="18"/>
  <c r="E2599" i="18"/>
  <c r="E2607" i="18"/>
  <c r="E2611" i="18"/>
  <c r="E2619" i="18"/>
  <c r="E2623" i="18"/>
  <c r="E2631" i="18"/>
  <c r="E2635" i="18"/>
  <c r="E2674" i="18"/>
  <c r="E2682" i="18"/>
  <c r="E2690" i="18"/>
  <c r="E2702" i="18"/>
  <c r="E2709" i="18"/>
  <c r="E2717" i="18"/>
  <c r="E2721" i="18"/>
  <c r="E2725" i="18"/>
  <c r="E2729" i="18"/>
  <c r="E2760" i="18"/>
  <c r="E2768" i="18"/>
  <c r="E2791" i="18"/>
  <c r="E2795" i="18"/>
  <c r="E2826" i="18"/>
  <c r="E2834" i="18"/>
  <c r="E2838" i="18"/>
  <c r="E2858" i="18"/>
  <c r="E2881" i="18"/>
  <c r="E2897" i="18"/>
  <c r="E2901" i="18"/>
  <c r="E2905" i="18"/>
  <c r="E2952" i="18"/>
  <c r="E2956" i="18"/>
  <c r="E2960" i="18"/>
  <c r="E2964" i="18"/>
  <c r="E2968" i="18"/>
  <c r="E2972" i="18"/>
  <c r="E3055" i="18"/>
  <c r="E3059" i="18"/>
  <c r="E3385" i="18"/>
  <c r="E3389" i="18"/>
  <c r="E3393" i="18"/>
  <c r="E3397" i="18"/>
  <c r="E3401" i="18"/>
  <c r="AE26" i="25"/>
  <c r="N27" i="25"/>
  <c r="E2457" i="18"/>
  <c r="E2600" i="18"/>
  <c r="E2612" i="18"/>
  <c r="E2624" i="18"/>
  <c r="E2636" i="18"/>
  <c r="E2640" i="18"/>
  <c r="E2733" i="18"/>
  <c r="E2737" i="18"/>
  <c r="E2811" i="18"/>
  <c r="E2815" i="18"/>
  <c r="E2819" i="18"/>
  <c r="E2886" i="18"/>
  <c r="E3127" i="18"/>
  <c r="E3187" i="18"/>
  <c r="E3433" i="18"/>
  <c r="E3489" i="18"/>
  <c r="E3981" i="18"/>
  <c r="O28" i="25"/>
  <c r="E2428" i="18"/>
  <c r="E2432" i="18"/>
  <c r="E2436" i="18"/>
  <c r="E2454" i="18"/>
  <c r="E2461" i="18"/>
  <c r="E2487" i="18"/>
  <c r="E2683" i="18"/>
  <c r="E2687" i="18"/>
  <c r="E2691" i="18"/>
  <c r="E2695" i="18"/>
  <c r="E2788" i="18"/>
  <c r="E2792" i="18"/>
  <c r="E2851" i="18"/>
  <c r="E2898" i="18"/>
  <c r="E2906" i="18"/>
  <c r="E2913" i="18"/>
  <c r="E2945" i="18"/>
  <c r="E2969" i="18"/>
  <c r="E2973" i="18"/>
  <c r="E2977" i="18"/>
  <c r="E3016" i="18"/>
  <c r="E3024" i="18"/>
  <c r="E3040" i="18"/>
  <c r="E3060" i="18"/>
  <c r="E3271" i="18"/>
  <c r="E3307" i="18"/>
  <c r="E3362" i="18"/>
  <c r="E3366" i="18"/>
  <c r="E3370" i="18"/>
  <c r="E3374" i="18"/>
  <c r="E3402" i="18"/>
  <c r="E3406" i="18"/>
  <c r="E3410" i="18"/>
  <c r="G107" i="20"/>
  <c r="AG28" i="25"/>
  <c r="E3878" i="18"/>
  <c r="E3882" i="18"/>
  <c r="E3886" i="18"/>
  <c r="E3890" i="18"/>
  <c r="E3894" i="18"/>
  <c r="E3898" i="18"/>
  <c r="E3902" i="18"/>
  <c r="E3906" i="18"/>
  <c r="E3910" i="18"/>
  <c r="E3914" i="18"/>
  <c r="E3918" i="18"/>
  <c r="E3922" i="18"/>
  <c r="E3926" i="18"/>
  <c r="E3930" i="18"/>
  <c r="E3934" i="18"/>
  <c r="E3978" i="18"/>
  <c r="E3986" i="18"/>
  <c r="E2773" i="18"/>
  <c r="E2800" i="18"/>
  <c r="E3001" i="18"/>
  <c r="E3124" i="18"/>
  <c r="E3430" i="18"/>
  <c r="E3494" i="18"/>
  <c r="E2018" i="18"/>
  <c r="E2103" i="18"/>
  <c r="E2117" i="18"/>
  <c r="E2141" i="18"/>
  <c r="E2148" i="18"/>
  <c r="E2162" i="18"/>
  <c r="E2197" i="18"/>
  <c r="E2201" i="18"/>
  <c r="E2234" i="18"/>
  <c r="E2238" i="18"/>
  <c r="E2245" i="18"/>
  <c r="E2286" i="18"/>
  <c r="E2312" i="18"/>
  <c r="E2323" i="18"/>
  <c r="E2327" i="18"/>
  <c r="E2345" i="18"/>
  <c r="E2374" i="18"/>
  <c r="E2378" i="18"/>
  <c r="E2385" i="18"/>
  <c r="E2407" i="18"/>
  <c r="E2433" i="18"/>
  <c r="E2484" i="18"/>
  <c r="E2495" i="18"/>
  <c r="E2506" i="18"/>
  <c r="E2510" i="18"/>
  <c r="E2551" i="18"/>
  <c r="E2555" i="18"/>
  <c r="E2657" i="18"/>
  <c r="E2684" i="18"/>
  <c r="E2700" i="18"/>
  <c r="E2715" i="18"/>
  <c r="E2719" i="18"/>
  <c r="E2723" i="18"/>
  <c r="E2727" i="18"/>
  <c r="E2746" i="18"/>
  <c r="E2770" i="18"/>
  <c r="E2789" i="18"/>
  <c r="E2793" i="18"/>
  <c r="E2797" i="18"/>
  <c r="E2844" i="18"/>
  <c r="E2848" i="18"/>
  <c r="E2852" i="18"/>
  <c r="E2856" i="18"/>
  <c r="E2860" i="18"/>
  <c r="E2899" i="18"/>
  <c r="E2903" i="18"/>
  <c r="E2934" i="18"/>
  <c r="E2942" i="18"/>
  <c r="E2946" i="18"/>
  <c r="E2966" i="18"/>
  <c r="E2970" i="18"/>
  <c r="E2978" i="18"/>
  <c r="E3061" i="18"/>
  <c r="E3308" i="18"/>
  <c r="E3383" i="18"/>
  <c r="E3391" i="18"/>
  <c r="E3395" i="18"/>
  <c r="E3403" i="18"/>
  <c r="E3419" i="18"/>
  <c r="E4002" i="18"/>
  <c r="F15" i="25"/>
  <c r="E3931" i="18"/>
  <c r="E3935" i="18"/>
  <c r="E3939" i="18"/>
  <c r="E3943" i="18"/>
  <c r="E3947" i="18"/>
  <c r="E3951" i="18"/>
  <c r="E3955" i="18"/>
  <c r="E3959" i="18"/>
  <c r="E3963" i="18"/>
  <c r="E3971" i="18"/>
  <c r="E3975" i="18"/>
  <c r="E3983" i="18"/>
  <c r="E3995" i="18"/>
  <c r="G41" i="20"/>
  <c r="E2470" i="18"/>
  <c r="E3145" i="18"/>
  <c r="E3169" i="18"/>
  <c r="E3217" i="18"/>
  <c r="E3340" i="18"/>
  <c r="E3491" i="18"/>
  <c r="E2045" i="18"/>
  <c r="E2052" i="18"/>
  <c r="E2111" i="18"/>
  <c r="E2121" i="18"/>
  <c r="E2132" i="18"/>
  <c r="E2198" i="18"/>
  <c r="E2202" i="18"/>
  <c r="E2261" i="18"/>
  <c r="E2272" i="18"/>
  <c r="E2276" i="18"/>
  <c r="E2287" i="18"/>
  <c r="E2291" i="18"/>
  <c r="E2324" i="18"/>
  <c r="E2328" i="18"/>
  <c r="E2346" i="18"/>
  <c r="E2353" i="18"/>
  <c r="E2379" i="18"/>
  <c r="E2430" i="18"/>
  <c r="E2441" i="18"/>
  <c r="E2485" i="18"/>
  <c r="E2567" i="18"/>
  <c r="E2673" i="18"/>
  <c r="E2677" i="18"/>
  <c r="E2681" i="18"/>
  <c r="E2685" i="18"/>
  <c r="E2689" i="18"/>
  <c r="E2763" i="18"/>
  <c r="E2767" i="18"/>
  <c r="E2771" i="18"/>
  <c r="E2786" i="18"/>
  <c r="E2790" i="18"/>
  <c r="E2798" i="18"/>
  <c r="E2805" i="18"/>
  <c r="E2825" i="18"/>
  <c r="E2829" i="18"/>
  <c r="E2833" i="18"/>
  <c r="E2837" i="18"/>
  <c r="E2884" i="18"/>
  <c r="E2900" i="18"/>
  <c r="E2931" i="18"/>
  <c r="E2943" i="18"/>
  <c r="E2959" i="18"/>
  <c r="E2971" i="18"/>
  <c r="E2975" i="18"/>
  <c r="E2979" i="18"/>
  <c r="E3034" i="18"/>
  <c r="E3289" i="18"/>
  <c r="E3364" i="18"/>
  <c r="E3368" i="18"/>
  <c r="E3376" i="18"/>
  <c r="E3384" i="18"/>
  <c r="E3404" i="18"/>
  <c r="E3408" i="18"/>
  <c r="E3412" i="18"/>
  <c r="E3420" i="18"/>
  <c r="E3780" i="18"/>
  <c r="E3784" i="18"/>
  <c r="E3788" i="18"/>
  <c r="E3792" i="18"/>
  <c r="E3796" i="18"/>
  <c r="E3800" i="18"/>
  <c r="E3804" i="18"/>
  <c r="E3808" i="18"/>
  <c r="E3812" i="18"/>
  <c r="E3816" i="18"/>
  <c r="E3820" i="18"/>
  <c r="E3824" i="18"/>
  <c r="E3828" i="18"/>
  <c r="E3832" i="18"/>
  <c r="E3836" i="18"/>
  <c r="E3840" i="18"/>
  <c r="E3844" i="18"/>
  <c r="E3848" i="18"/>
  <c r="E3852" i="18"/>
  <c r="E3856" i="18"/>
  <c r="E3860" i="18"/>
  <c r="E3864" i="18"/>
  <c r="E3868" i="18"/>
  <c r="E3872" i="18"/>
  <c r="E3876" i="18"/>
  <c r="E3880" i="18"/>
  <c r="E3884" i="18"/>
  <c r="E3888" i="18"/>
  <c r="E3892" i="18"/>
  <c r="E3896" i="18"/>
  <c r="E3900" i="18"/>
  <c r="E3904" i="18"/>
  <c r="E3908" i="18"/>
  <c r="E3912" i="18"/>
  <c r="E3916" i="18"/>
  <c r="E3920" i="18"/>
  <c r="E3924" i="18"/>
  <c r="E3928" i="18"/>
  <c r="E3932" i="18"/>
  <c r="E3936" i="18"/>
  <c r="E3940" i="18"/>
  <c r="E3944" i="18"/>
  <c r="E3948" i="18"/>
  <c r="E3952" i="18"/>
  <c r="E3956" i="18"/>
  <c r="E3960" i="18"/>
  <c r="E3964" i="18"/>
  <c r="E3968" i="18"/>
  <c r="E3980" i="18"/>
  <c r="E3984" i="18"/>
  <c r="E3992" i="18"/>
  <c r="E2538" i="18"/>
  <c r="E2908" i="18"/>
  <c r="E3166" i="18"/>
  <c r="E3202" i="18"/>
  <c r="O26" i="25"/>
  <c r="BD113" i="9"/>
  <c r="AR113" i="9"/>
  <c r="AF113" i="9"/>
  <c r="T113" i="9"/>
  <c r="H113" i="9"/>
  <c r="BC113" i="9"/>
  <c r="AQ113" i="9"/>
  <c r="AE113" i="9"/>
  <c r="S113" i="9"/>
  <c r="G113" i="9"/>
  <c r="BB113" i="9"/>
  <c r="AP113" i="9"/>
  <c r="AD113" i="9"/>
  <c r="R113" i="9"/>
  <c r="F113" i="9"/>
  <c r="BA113" i="9"/>
  <c r="AO113" i="9"/>
  <c r="AC113" i="9"/>
  <c r="Q113" i="9"/>
  <c r="E113" i="9"/>
  <c r="BL113" i="9"/>
  <c r="AZ113" i="9"/>
  <c r="AN113" i="9"/>
  <c r="AB113" i="9"/>
  <c r="P113" i="9"/>
  <c r="D113" i="9"/>
  <c r="BK113" i="9"/>
  <c r="AY113" i="9"/>
  <c r="AM113" i="9"/>
  <c r="AA113" i="9"/>
  <c r="O113" i="9"/>
  <c r="C113" i="9"/>
  <c r="BJ113" i="9"/>
  <c r="AX113" i="9"/>
  <c r="AL113" i="9"/>
  <c r="Z113" i="9"/>
  <c r="N113" i="9"/>
  <c r="BI113" i="9"/>
  <c r="AW113" i="9"/>
  <c r="AK113" i="9"/>
  <c r="Y113" i="9"/>
  <c r="M113" i="9"/>
  <c r="BH113" i="9"/>
  <c r="AV113" i="9"/>
  <c r="AJ113" i="9"/>
  <c r="X113" i="9"/>
  <c r="L113" i="9"/>
  <c r="BG113" i="9"/>
  <c r="AU113" i="9"/>
  <c r="BF113" i="9"/>
  <c r="BE113" i="9"/>
  <c r="AS113" i="9"/>
  <c r="AG113" i="9"/>
  <c r="U113" i="9"/>
  <c r="I113" i="9"/>
  <c r="AT113" i="9"/>
  <c r="AI113" i="9"/>
  <c r="AH113" i="9"/>
  <c r="W113" i="9"/>
  <c r="V113" i="9"/>
  <c r="K113" i="9"/>
  <c r="J113" i="9"/>
  <c r="I16" i="4"/>
  <c r="C80" i="10"/>
  <c r="E79" i="11"/>
  <c r="F79" i="11" s="1"/>
  <c r="H79" i="11" s="1"/>
  <c r="L70" i="11"/>
  <c r="B247" i="15"/>
  <c r="K29" i="16"/>
  <c r="D32" i="16"/>
  <c r="M33" i="16"/>
  <c r="L35" i="16"/>
  <c r="N40" i="16"/>
  <c r="D43" i="16"/>
  <c r="K47" i="16"/>
  <c r="I54" i="16"/>
  <c r="I71" i="16"/>
  <c r="D73" i="16"/>
  <c r="D82" i="16"/>
  <c r="N89" i="16"/>
  <c r="K91" i="16"/>
  <c r="E20" i="18"/>
  <c r="E43" i="18"/>
  <c r="E58" i="18"/>
  <c r="E60" i="18"/>
  <c r="J67" i="11"/>
  <c r="L67" i="11" s="1"/>
  <c r="G32" i="16"/>
  <c r="H43" i="16"/>
  <c r="L47" i="16"/>
  <c r="I73" i="16"/>
  <c r="G82" i="16"/>
  <c r="D294" i="17"/>
  <c r="B81" i="9"/>
  <c r="D81" i="9" s="1"/>
  <c r="BN178" i="9" s="1"/>
  <c r="C38" i="10"/>
  <c r="P41" i="10"/>
  <c r="C51" i="10"/>
  <c r="I67" i="11"/>
  <c r="B248" i="15"/>
  <c r="H32" i="16"/>
  <c r="I34" i="16"/>
  <c r="N35" i="16"/>
  <c r="G41" i="16"/>
  <c r="K43" i="16"/>
  <c r="M47" i="16"/>
  <c r="K71" i="16"/>
  <c r="J73" i="16"/>
  <c r="J82" i="16"/>
  <c r="G84" i="16"/>
  <c r="D90" i="16"/>
  <c r="G293" i="17"/>
  <c r="E49" i="18"/>
  <c r="E97" i="18"/>
  <c r="I11" i="9"/>
  <c r="K67" i="11"/>
  <c r="D111" i="11"/>
  <c r="D113" i="11" s="1"/>
  <c r="K32" i="16"/>
  <c r="J34" i="16"/>
  <c r="H41" i="16"/>
  <c r="M43" i="16"/>
  <c r="N47" i="16"/>
  <c r="L71" i="16"/>
  <c r="K73" i="16"/>
  <c r="K82" i="16"/>
  <c r="I84" i="16"/>
  <c r="G90" i="16"/>
  <c r="C23" i="4"/>
  <c r="D23" i="4" s="1"/>
  <c r="F117" i="2"/>
  <c r="C19" i="5" s="1"/>
  <c r="J39" i="8" s="1"/>
  <c r="AI60" i="8" s="1"/>
  <c r="B88" i="9"/>
  <c r="E88" i="9" s="1"/>
  <c r="BO185" i="9" s="1"/>
  <c r="P49" i="10"/>
  <c r="H26" i="16"/>
  <c r="G28" i="16"/>
  <c r="D30" i="16"/>
  <c r="G53" i="16"/>
  <c r="M71" i="16"/>
  <c r="L73" i="16"/>
  <c r="J84" i="16"/>
  <c r="J90" i="16"/>
  <c r="E17" i="18"/>
  <c r="E34" i="18"/>
  <c r="C24" i="4"/>
  <c r="D24" i="4" s="1"/>
  <c r="C91" i="9"/>
  <c r="D122" i="12"/>
  <c r="D125" i="12" s="1"/>
  <c r="B197" i="15"/>
  <c r="H28" i="16"/>
  <c r="H30" i="16"/>
  <c r="N71" i="16"/>
  <c r="K84" i="16"/>
  <c r="E21" i="18"/>
  <c r="E55" i="18"/>
  <c r="E80" i="18"/>
  <c r="E82" i="18"/>
  <c r="D31" i="8"/>
  <c r="AA54" i="8" s="1"/>
  <c r="B98" i="9"/>
  <c r="P44" i="10"/>
  <c r="C48" i="10"/>
  <c r="L69" i="11"/>
  <c r="D80" i="12"/>
  <c r="D86" i="12" s="1"/>
  <c r="D87" i="12" s="1"/>
  <c r="D88" i="12" s="1"/>
  <c r="D89" i="12" s="1"/>
  <c r="L30" i="16"/>
  <c r="G33" i="16"/>
  <c r="G35" i="16"/>
  <c r="H38" i="16"/>
  <c r="H42" i="16"/>
  <c r="D45" i="16"/>
  <c r="D47" i="16"/>
  <c r="G65" i="16"/>
  <c r="G68" i="16"/>
  <c r="G72" i="16"/>
  <c r="J74" i="16"/>
  <c r="G78" i="16"/>
  <c r="D281" i="17"/>
  <c r="F32" i="3"/>
  <c r="F22" i="2" s="1"/>
  <c r="C25" i="4"/>
  <c r="D25" i="4" s="1"/>
  <c r="C13" i="4"/>
  <c r="I47" i="9"/>
  <c r="B75" i="9"/>
  <c r="E75" i="9" s="1"/>
  <c r="BO172" i="9" s="1"/>
  <c r="B102" i="9"/>
  <c r="P51" i="10"/>
  <c r="B199" i="15"/>
  <c r="B245" i="15"/>
  <c r="M30" i="16"/>
  <c r="H33" i="16"/>
  <c r="H35" i="16"/>
  <c r="I38" i="16"/>
  <c r="D40" i="16"/>
  <c r="I42" i="16"/>
  <c r="J45" i="16"/>
  <c r="G47" i="16"/>
  <c r="L53" i="16"/>
  <c r="I65" i="16"/>
  <c r="I68" i="16"/>
  <c r="I72" i="16"/>
  <c r="K74" i="16"/>
  <c r="L78" i="16"/>
  <c r="D91" i="16"/>
  <c r="E6" i="18"/>
  <c r="E8" i="18"/>
  <c r="E50" i="18"/>
  <c r="E65" i="18"/>
  <c r="I13" i="4"/>
  <c r="C26" i="4"/>
  <c r="D26" i="4" s="1"/>
  <c r="H47" i="16"/>
  <c r="K72" i="16"/>
  <c r="I40" i="8"/>
  <c r="AJ59" i="8" s="1"/>
  <c r="H41" i="8"/>
  <c r="AK58" i="8" s="1"/>
  <c r="C56" i="10"/>
  <c r="D185" i="11"/>
  <c r="D192" i="11" s="1"/>
  <c r="H29" i="16"/>
  <c r="J33" i="16"/>
  <c r="K38" i="16"/>
  <c r="L42" i="16"/>
  <c r="D71" i="16"/>
  <c r="L72" i="16"/>
  <c r="L83" i="16"/>
  <c r="E35" i="18"/>
  <c r="E71" i="18"/>
  <c r="E89" i="18"/>
  <c r="E108" i="18"/>
  <c r="E112" i="18"/>
  <c r="E123" i="18"/>
  <c r="E125" i="18"/>
  <c r="E603" i="18"/>
  <c r="E639" i="18"/>
  <c r="E675" i="18"/>
  <c r="E711" i="18"/>
  <c r="E600" i="18"/>
  <c r="E636" i="18"/>
  <c r="E672" i="18"/>
  <c r="E708" i="18"/>
  <c r="E101" i="18"/>
  <c r="E103" i="18"/>
  <c r="E116" i="18"/>
  <c r="E588" i="18"/>
  <c r="E624" i="18"/>
  <c r="E109" i="18"/>
  <c r="E693" i="18"/>
  <c r="E77" i="18"/>
  <c r="E79" i="18"/>
  <c r="E124" i="18"/>
  <c r="E618" i="18"/>
  <c r="E654" i="18"/>
  <c r="E690" i="18"/>
  <c r="E40" i="18"/>
  <c r="E68" i="18"/>
  <c r="E83" i="18"/>
  <c r="E85" i="18"/>
  <c r="E612" i="18"/>
  <c r="E648" i="18"/>
  <c r="E684" i="18"/>
  <c r="E720" i="18"/>
  <c r="E1080" i="18"/>
  <c r="E1116" i="18"/>
  <c r="E1152" i="18"/>
  <c r="E1188" i="18"/>
  <c r="E1110" i="18"/>
  <c r="E1146" i="18"/>
  <c r="E1182" i="18"/>
  <c r="E1101" i="18"/>
  <c r="E1137" i="18"/>
  <c r="E1173" i="18"/>
  <c r="E1209" i="18"/>
  <c r="E1227" i="18"/>
  <c r="E1245" i="18"/>
  <c r="E1095" i="18"/>
  <c r="E1131" i="18"/>
  <c r="E1167" i="18"/>
  <c r="E1203" i="18"/>
  <c r="E1224" i="18"/>
  <c r="E1242" i="18"/>
  <c r="E1089" i="18"/>
  <c r="E1125" i="18"/>
  <c r="E1161" i="18"/>
  <c r="E1197" i="18"/>
  <c r="E1221" i="18"/>
  <c r="E1086" i="18"/>
  <c r="E1122" i="18"/>
  <c r="E1158" i="18"/>
  <c r="E1194" i="18"/>
  <c r="E1599" i="18"/>
  <c r="E1586" i="18"/>
  <c r="E2048" i="18"/>
  <c r="E2084" i="18"/>
  <c r="E2120" i="18"/>
  <c r="E2156" i="18"/>
  <c r="E2196" i="18"/>
  <c r="E2431" i="18"/>
  <c r="E2698" i="18"/>
  <c r="E2078" i="18"/>
  <c r="E2114" i="18"/>
  <c r="E2150" i="18"/>
  <c r="E2186" i="18"/>
  <c r="E2395" i="18"/>
  <c r="E2377" i="18"/>
  <c r="E2513" i="18"/>
  <c r="E2072" i="18"/>
  <c r="E2108" i="18"/>
  <c r="E2144" i="18"/>
  <c r="E2180" i="18"/>
  <c r="E2066" i="18"/>
  <c r="E2102" i="18"/>
  <c r="E2138" i="18"/>
  <c r="E2174" i="18"/>
  <c r="E2194" i="18"/>
  <c r="E2212" i="18"/>
  <c r="E2230" i="18"/>
  <c r="E2248" i="18"/>
  <c r="E2266" i="18"/>
  <c r="E2284" i="18"/>
  <c r="E2302" i="18"/>
  <c r="E2320" i="18"/>
  <c r="E2356" i="18"/>
  <c r="E2581" i="18"/>
  <c r="E2589" i="18"/>
  <c r="E2593" i="18"/>
  <c r="E2601" i="18"/>
  <c r="E2605" i="18"/>
  <c r="E2613" i="18"/>
  <c r="E2617" i="18"/>
  <c r="E2625" i="18"/>
  <c r="E2629" i="18"/>
  <c r="E2637" i="18"/>
  <c r="E2563" i="18"/>
  <c r="E2057" i="18"/>
  <c r="E2093" i="18"/>
  <c r="E2129" i="18"/>
  <c r="E2165" i="18"/>
  <c r="E2199" i="18"/>
  <c r="E2217" i="18"/>
  <c r="E2235" i="18"/>
  <c r="E2253" i="18"/>
  <c r="E2271" i="18"/>
  <c r="E2289" i="18"/>
  <c r="E2307" i="18"/>
  <c r="E2343" i="18"/>
  <c r="E2408" i="18"/>
  <c r="E2051" i="18"/>
  <c r="E2087" i="18"/>
  <c r="E2123" i="18"/>
  <c r="E2159" i="18"/>
  <c r="E2192" i="18"/>
  <c r="E2210" i="18"/>
  <c r="E2228" i="18"/>
  <c r="E2246" i="18"/>
  <c r="E2264" i="18"/>
  <c r="E2282" i="18"/>
  <c r="E2300" i="18"/>
  <c r="E2336" i="18"/>
  <c r="E2553" i="18"/>
  <c r="E2713" i="18"/>
  <c r="E2699" i="18"/>
  <c r="E2578" i="18"/>
  <c r="E2586" i="18"/>
  <c r="E2590" i="18"/>
  <c r="E2598" i="18"/>
  <c r="E2602" i="18"/>
  <c r="E2610" i="18"/>
  <c r="E2614" i="18"/>
  <c r="E2622" i="18"/>
  <c r="E2626" i="18"/>
  <c r="E2634" i="18"/>
  <c r="E2638" i="18"/>
  <c r="E2661" i="18"/>
  <c r="E2764" i="18"/>
  <c r="E2213" i="18"/>
  <c r="E2249" i="18"/>
  <c r="E2285" i="18"/>
  <c r="E2321" i="18"/>
  <c r="E2357" i="18"/>
  <c r="E2393" i="18"/>
  <c r="E2429" i="18"/>
  <c r="E2465" i="18"/>
  <c r="E2501" i="18"/>
  <c r="E2511" i="18"/>
  <c r="E2561" i="18"/>
  <c r="E2646" i="18"/>
  <c r="E2654" i="18"/>
  <c r="E2665" i="18"/>
  <c r="E2718" i="18"/>
  <c r="E2726" i="18"/>
  <c r="E2749" i="18"/>
  <c r="E2814" i="18"/>
  <c r="E3400" i="18"/>
  <c r="E3451" i="18"/>
  <c r="E2318" i="18"/>
  <c r="E2354" i="18"/>
  <c r="E2390" i="18"/>
  <c r="E2426" i="18"/>
  <c r="E2462" i="18"/>
  <c r="E2498" i="18"/>
  <c r="E2579" i="18"/>
  <c r="E2591" i="18"/>
  <c r="E2603" i="18"/>
  <c r="E2615" i="18"/>
  <c r="E2627" i="18"/>
  <c r="E2639" i="18"/>
  <c r="E2696" i="18"/>
  <c r="E2738" i="18"/>
  <c r="E2857" i="18"/>
  <c r="E2965" i="18"/>
  <c r="E3094" i="18"/>
  <c r="E3322" i="18"/>
  <c r="E2769" i="18"/>
  <c r="E2830" i="18"/>
  <c r="E2938" i="18"/>
  <c r="E2580" i="18"/>
  <c r="E2584" i="18"/>
  <c r="E2592" i="18"/>
  <c r="E2596" i="18"/>
  <c r="E2604" i="18"/>
  <c r="E2608" i="18"/>
  <c r="E2616" i="18"/>
  <c r="E2620" i="18"/>
  <c r="E2628" i="18"/>
  <c r="E2632" i="18"/>
  <c r="E2667" i="18"/>
  <c r="E2697" i="18"/>
  <c r="E2758" i="18"/>
  <c r="E2804" i="18"/>
  <c r="E2808" i="18"/>
  <c r="E2835" i="18"/>
  <c r="E2912" i="18"/>
  <c r="E2916" i="18"/>
  <c r="E2195" i="18"/>
  <c r="E2231" i="18"/>
  <c r="E2267" i="18"/>
  <c r="E2303" i="18"/>
  <c r="E2339" i="18"/>
  <c r="E2375" i="18"/>
  <c r="E2411" i="18"/>
  <c r="E2447" i="18"/>
  <c r="E2483" i="18"/>
  <c r="E2516" i="18"/>
  <c r="E2573" i="18"/>
  <c r="E2705" i="18"/>
  <c r="E2743" i="18"/>
  <c r="E2747" i="18"/>
  <c r="E3037" i="18"/>
  <c r="E3076" i="18"/>
  <c r="E2528" i="18"/>
  <c r="E2564" i="18"/>
  <c r="E2645" i="18"/>
  <c r="E2649" i="18"/>
  <c r="E2653" i="18"/>
  <c r="E2675" i="18"/>
  <c r="E2686" i="18"/>
  <c r="E2701" i="18"/>
  <c r="E2731" i="18"/>
  <c r="E2735" i="18"/>
  <c r="E2742" i="18"/>
  <c r="E2753" i="18"/>
  <c r="E2757" i="18"/>
  <c r="E2761" i="18"/>
  <c r="E2783" i="18"/>
  <c r="E2794" i="18"/>
  <c r="E2809" i="18"/>
  <c r="E2839" i="18"/>
  <c r="E2843" i="18"/>
  <c r="E2850" i="18"/>
  <c r="E2861" i="18"/>
  <c r="E2865" i="18"/>
  <c r="E2869" i="18"/>
  <c r="E2891" i="18"/>
  <c r="E2902" i="18"/>
  <c r="E2917" i="18"/>
  <c r="E2947" i="18"/>
  <c r="E2951" i="18"/>
  <c r="E2958" i="18"/>
  <c r="E2981" i="18"/>
  <c r="E2992" i="18"/>
  <c r="E2996" i="18"/>
  <c r="E3023" i="18"/>
  <c r="E3031" i="18"/>
  <c r="E3042" i="18"/>
  <c r="E3046" i="18"/>
  <c r="E3050" i="18"/>
  <c r="E3065" i="18"/>
  <c r="E3069" i="18"/>
  <c r="E3080" i="18"/>
  <c r="E3084" i="18"/>
  <c r="E3088" i="18"/>
  <c r="E3103" i="18"/>
  <c r="E3114" i="18"/>
  <c r="E3118" i="18"/>
  <c r="E3122" i="18"/>
  <c r="E3133" i="18"/>
  <c r="E3137" i="18"/>
  <c r="E3141" i="18"/>
  <c r="E3164" i="18"/>
  <c r="E3293" i="18"/>
  <c r="E3312" i="18"/>
  <c r="E3365" i="18"/>
  <c r="E3373" i="18"/>
  <c r="E3377" i="18"/>
  <c r="E3388" i="18"/>
  <c r="E3392" i="18"/>
  <c r="E3407" i="18"/>
  <c r="E3411" i="18"/>
  <c r="E3422" i="18"/>
  <c r="E3437" i="18"/>
  <c r="E3441" i="18"/>
  <c r="E3445" i="18"/>
  <c r="E3456" i="18"/>
  <c r="E3460" i="18"/>
  <c r="E3464" i="18"/>
  <c r="E3974" i="18"/>
  <c r="E3985" i="18"/>
  <c r="E2720" i="18"/>
  <c r="E2765" i="18"/>
  <c r="E2806" i="18"/>
  <c r="E2813" i="18"/>
  <c r="E2828" i="18"/>
  <c r="E2873" i="18"/>
  <c r="E2914" i="18"/>
  <c r="E2921" i="18"/>
  <c r="E2936" i="18"/>
  <c r="E3012" i="18"/>
  <c r="E3035" i="18"/>
  <c r="E3092" i="18"/>
  <c r="E3107" i="18"/>
  <c r="E3168" i="18"/>
  <c r="E3236" i="18"/>
  <c r="E3259" i="18"/>
  <c r="E3263" i="18"/>
  <c r="E3267" i="18"/>
  <c r="E3278" i="18"/>
  <c r="E3282" i="18"/>
  <c r="E3286" i="18"/>
  <c r="E3301" i="18"/>
  <c r="E3305" i="18"/>
  <c r="E3316" i="18"/>
  <c r="E3320" i="18"/>
  <c r="E3331" i="18"/>
  <c r="E3335" i="18"/>
  <c r="E3339" i="18"/>
  <c r="E3350" i="18"/>
  <c r="E3358" i="18"/>
  <c r="E3449" i="18"/>
  <c r="G119" i="20"/>
  <c r="E3967" i="18"/>
  <c r="G57" i="20"/>
  <c r="E2780" i="18"/>
  <c r="E2784" i="18"/>
  <c r="E2817" i="18"/>
  <c r="E2836" i="18"/>
  <c r="E2840" i="18"/>
  <c r="E2862" i="18"/>
  <c r="E2870" i="18"/>
  <c r="E2877" i="18"/>
  <c r="E2888" i="18"/>
  <c r="E2892" i="18"/>
  <c r="E2925" i="18"/>
  <c r="E2944" i="18"/>
  <c r="E2948" i="18"/>
  <c r="E2974" i="18"/>
  <c r="E2993" i="18"/>
  <c r="E2997" i="18"/>
  <c r="E3028" i="18"/>
  <c r="E3032" i="18"/>
  <c r="E3043" i="18"/>
  <c r="E3051" i="18"/>
  <c r="E3062" i="18"/>
  <c r="E3066" i="18"/>
  <c r="E3070" i="18"/>
  <c r="E3085" i="18"/>
  <c r="E3089" i="18"/>
  <c r="E3100" i="18"/>
  <c r="E3104" i="18"/>
  <c r="E3115" i="18"/>
  <c r="E3119" i="18"/>
  <c r="E3123" i="18"/>
  <c r="E3134" i="18"/>
  <c r="E3142" i="18"/>
  <c r="E3233" i="18"/>
  <c r="E3275" i="18"/>
  <c r="E3294" i="18"/>
  <c r="G121" i="20"/>
  <c r="E2855" i="18"/>
  <c r="E2911" i="18"/>
  <c r="E2915" i="18"/>
  <c r="E2922" i="18"/>
  <c r="E2933" i="18"/>
  <c r="E2937" i="18"/>
  <c r="E2941" i="18"/>
  <c r="E2963" i="18"/>
  <c r="E3005" i="18"/>
  <c r="E3013" i="18"/>
  <c r="E3074" i="18"/>
  <c r="E3146" i="18"/>
  <c r="E3203" i="18"/>
  <c r="E3218" i="18"/>
  <c r="E3260" i="18"/>
  <c r="E3268" i="18"/>
  <c r="E3283" i="18"/>
  <c r="E3287" i="18"/>
  <c r="E3298" i="18"/>
  <c r="E3302" i="18"/>
  <c r="E3317" i="18"/>
  <c r="E3321" i="18"/>
  <c r="E3332" i="18"/>
  <c r="E3336" i="18"/>
  <c r="E3347" i="18"/>
  <c r="E3355" i="18"/>
  <c r="E3359" i="18"/>
  <c r="E3416" i="18"/>
  <c r="E3431" i="18"/>
  <c r="E3492" i="18"/>
  <c r="G103" i="20"/>
  <c r="E2546" i="18"/>
  <c r="E2572" i="18"/>
  <c r="E2576" i="18"/>
  <c r="E2643" i="18"/>
  <c r="E2647" i="18"/>
  <c r="E2666" i="18"/>
  <c r="E2688" i="18"/>
  <c r="E2710" i="18"/>
  <c r="E2714" i="18"/>
  <c r="E2751" i="18"/>
  <c r="E2755" i="18"/>
  <c r="E2759" i="18"/>
  <c r="E2774" i="18"/>
  <c r="E2796" i="18"/>
  <c r="E2818" i="18"/>
  <c r="E2822" i="18"/>
  <c r="E2859" i="18"/>
  <c r="E2863" i="18"/>
  <c r="E2867" i="18"/>
  <c r="E2882" i="18"/>
  <c r="E2904" i="18"/>
  <c r="E2926" i="18"/>
  <c r="E2930" i="18"/>
  <c r="E2967" i="18"/>
  <c r="E2994" i="18"/>
  <c r="E2998" i="18"/>
  <c r="E3002" i="18"/>
  <c r="E3025" i="18"/>
  <c r="E3033" i="18"/>
  <c r="E3052" i="18"/>
  <c r="E3067" i="18"/>
  <c r="E3071" i="18"/>
  <c r="E3082" i="18"/>
  <c r="E3086" i="18"/>
  <c r="E3101" i="18"/>
  <c r="E3105" i="18"/>
  <c r="E3116" i="18"/>
  <c r="E3120" i="18"/>
  <c r="E3131" i="18"/>
  <c r="E3139" i="18"/>
  <c r="E3143" i="18"/>
  <c r="E3200" i="18"/>
  <c r="E3215" i="18"/>
  <c r="E3276" i="18"/>
  <c r="E3344" i="18"/>
  <c r="E3367" i="18"/>
  <c r="E3371" i="18"/>
  <c r="E3375" i="18"/>
  <c r="E3386" i="18"/>
  <c r="E3390" i="18"/>
  <c r="E3394" i="18"/>
  <c r="E3405" i="18"/>
  <c r="E3409" i="18"/>
  <c r="E3413" i="18"/>
  <c r="E3424" i="18"/>
  <c r="E3428" i="18"/>
  <c r="E3439" i="18"/>
  <c r="E3443" i="18"/>
  <c r="E3447" i="18"/>
  <c r="E3458" i="18"/>
  <c r="E3466" i="18"/>
  <c r="E3998" i="18"/>
  <c r="E3014" i="18"/>
  <c r="E3056" i="18"/>
  <c r="E3185" i="18"/>
  <c r="E3204" i="18"/>
  <c r="E3257" i="18"/>
  <c r="E3265" i="18"/>
  <c r="E3269" i="18"/>
  <c r="E3280" i="18"/>
  <c r="E3284" i="18"/>
  <c r="E3299" i="18"/>
  <c r="E3303" i="18"/>
  <c r="E3314" i="18"/>
  <c r="E3329" i="18"/>
  <c r="E3337" i="18"/>
  <c r="E3348" i="18"/>
  <c r="E3352" i="18"/>
  <c r="E3356" i="18"/>
  <c r="E3398" i="18"/>
  <c r="E3470" i="18"/>
  <c r="E3493" i="18"/>
  <c r="E3991" i="18"/>
  <c r="G113" i="20"/>
  <c r="E2648" i="18"/>
  <c r="E2693" i="18"/>
  <c r="E2734" i="18"/>
  <c r="E2741" i="18"/>
  <c r="E2756" i="18"/>
  <c r="E2801" i="18"/>
  <c r="E2842" i="18"/>
  <c r="E2849" i="18"/>
  <c r="E2864" i="18"/>
  <c r="E2909" i="18"/>
  <c r="E2950" i="18"/>
  <c r="E2957" i="18"/>
  <c r="E2976" i="18"/>
  <c r="E2991" i="18"/>
  <c r="E2995" i="18"/>
  <c r="E2999" i="18"/>
  <c r="E3022" i="18"/>
  <c r="E3030" i="18"/>
  <c r="E3041" i="18"/>
  <c r="E3049" i="18"/>
  <c r="E3053" i="18"/>
  <c r="E3064" i="18"/>
  <c r="E3068" i="18"/>
  <c r="E3083" i="18"/>
  <c r="E3087" i="18"/>
  <c r="E3098" i="18"/>
  <c r="E3113" i="18"/>
  <c r="E3121" i="18"/>
  <c r="E3132" i="18"/>
  <c r="E3136" i="18"/>
  <c r="E3140" i="18"/>
  <c r="E3182" i="18"/>
  <c r="E3254" i="18"/>
  <c r="E3497" i="18"/>
  <c r="G129" i="20"/>
  <c r="E2827" i="18"/>
  <c r="E2831" i="18"/>
  <c r="E2846" i="18"/>
  <c r="E2894" i="18"/>
  <c r="E2935" i="18"/>
  <c r="E2939" i="18"/>
  <c r="E2954" i="18"/>
  <c r="E3007" i="18"/>
  <c r="E3011" i="18"/>
  <c r="E3015" i="18"/>
  <c r="E3125" i="18"/>
  <c r="E3167" i="18"/>
  <c r="E3186" i="18"/>
  <c r="E3258" i="18"/>
  <c r="E3262" i="18"/>
  <c r="E3266" i="18"/>
  <c r="E3281" i="18"/>
  <c r="E3285" i="18"/>
  <c r="E3296" i="18"/>
  <c r="E3300" i="18"/>
  <c r="E3304" i="18"/>
  <c r="E3319" i="18"/>
  <c r="E3330" i="18"/>
  <c r="E3334" i="18"/>
  <c r="E3338" i="18"/>
  <c r="E3349" i="18"/>
  <c r="E3353" i="18"/>
  <c r="E3357" i="18"/>
  <c r="E3380" i="18"/>
  <c r="E3490" i="18"/>
  <c r="E3999" i="18"/>
  <c r="G37" i="20"/>
  <c r="G53" i="20"/>
  <c r="E3938" i="18"/>
  <c r="E3942" i="18"/>
  <c r="E3946" i="18"/>
  <c r="E3950" i="18"/>
  <c r="E3954" i="18"/>
  <c r="E3958" i="18"/>
  <c r="E3962" i="18"/>
  <c r="E3966" i="18"/>
  <c r="L26" i="25"/>
  <c r="N28" i="25"/>
  <c r="G135" i="20"/>
  <c r="H16" i="25"/>
  <c r="AF26" i="25"/>
  <c r="L29" i="25"/>
  <c r="I16" i="25"/>
  <c r="G27" i="25"/>
  <c r="M29" i="25"/>
  <c r="L27" i="25"/>
  <c r="AE29" i="25"/>
  <c r="M27" i="25"/>
  <c r="AF29" i="25"/>
  <c r="H18" i="25"/>
  <c r="AF27" i="25"/>
  <c r="I18" i="25"/>
  <c r="AG27" i="25"/>
  <c r="I28" i="25"/>
  <c r="F26" i="25"/>
  <c r="J28" i="25"/>
  <c r="L68" i="17"/>
  <c r="E207" i="11"/>
  <c r="F210" i="11"/>
  <c r="B73" i="17"/>
  <c r="D268" i="17" s="1"/>
  <c r="L61" i="17"/>
  <c r="A64" i="20"/>
  <c r="A38" i="19"/>
  <c r="B112" i="15"/>
  <c r="B111" i="15"/>
  <c r="B110" i="15"/>
  <c r="B109" i="15"/>
  <c r="B111" i="10"/>
  <c r="N111" i="10" s="1"/>
  <c r="B32" i="9"/>
  <c r="C47" i="8"/>
  <c r="AQ53" i="8" s="1"/>
  <c r="I46" i="8"/>
  <c r="AP59" i="8" s="1"/>
  <c r="D46" i="8"/>
  <c r="AP54" i="8" s="1"/>
  <c r="A40" i="20"/>
  <c r="A26" i="19"/>
  <c r="B64" i="15"/>
  <c r="B61" i="15"/>
  <c r="B99" i="10"/>
  <c r="B63" i="15"/>
  <c r="B62" i="15"/>
  <c r="B20" i="9"/>
  <c r="A59" i="19"/>
  <c r="A106" i="20"/>
  <c r="B196" i="15"/>
  <c r="B195" i="15"/>
  <c r="B194" i="15"/>
  <c r="B193" i="15"/>
  <c r="B132" i="10"/>
  <c r="N132" i="10" s="1"/>
  <c r="B53" i="9"/>
  <c r="A120" i="20"/>
  <c r="A66" i="19"/>
  <c r="B222" i="15"/>
  <c r="B221" i="15"/>
  <c r="B223" i="15"/>
  <c r="B224" i="15"/>
  <c r="B139" i="10"/>
  <c r="N139" i="10" s="1"/>
  <c r="B60" i="9"/>
  <c r="A134" i="20"/>
  <c r="A73" i="19"/>
  <c r="B250" i="15"/>
  <c r="B251" i="15"/>
  <c r="B252" i="15"/>
  <c r="B146" i="10"/>
  <c r="N146" i="10" s="1"/>
  <c r="B249" i="15"/>
  <c r="B67" i="9"/>
  <c r="I34" i="9"/>
  <c r="I14" i="9"/>
  <c r="C14" i="9"/>
  <c r="C21" i="9"/>
  <c r="I21" i="9"/>
  <c r="I65" i="9"/>
  <c r="A16" i="20"/>
  <c r="A14" i="19"/>
  <c r="B15" i="15"/>
  <c r="B16" i="15"/>
  <c r="B87" i="10"/>
  <c r="B13" i="15"/>
  <c r="B14" i="15"/>
  <c r="B8" i="9"/>
  <c r="I52" i="9"/>
  <c r="E13" i="25"/>
  <c r="G9" i="14"/>
  <c r="E17" i="25"/>
  <c r="G13" i="14"/>
  <c r="I9" i="9"/>
  <c r="C9" i="9"/>
  <c r="C35" i="9"/>
  <c r="I35" i="9"/>
  <c r="I55" i="9"/>
  <c r="C55" i="9"/>
  <c r="C62" i="9"/>
  <c r="I62" i="9"/>
  <c r="H47" i="8"/>
  <c r="AQ58" i="8" s="1"/>
  <c r="I7" i="9"/>
  <c r="C7" i="9"/>
  <c r="I43" i="9"/>
  <c r="C43" i="9"/>
  <c r="D93" i="12"/>
  <c r="D170" i="11"/>
  <c r="D106" i="11"/>
  <c r="I33" i="8"/>
  <c r="AC59" i="8" s="1"/>
  <c r="D31" i="5"/>
  <c r="K33" i="8" s="1"/>
  <c r="AC61" i="8" s="1"/>
  <c r="D33" i="8"/>
  <c r="AC54" i="8" s="1"/>
  <c r="C31" i="5"/>
  <c r="F33" i="8" s="1"/>
  <c r="AC56" i="8" s="1"/>
  <c r="C17" i="9"/>
  <c r="I17" i="9"/>
  <c r="A88" i="20"/>
  <c r="A50" i="19"/>
  <c r="B160" i="15"/>
  <c r="B159" i="15"/>
  <c r="B123" i="10"/>
  <c r="N123" i="10" s="1"/>
  <c r="B158" i="15"/>
  <c r="B157" i="15"/>
  <c r="B44" i="9"/>
  <c r="P52" i="10"/>
  <c r="B85" i="10"/>
  <c r="A310" i="23"/>
  <c r="A298" i="23"/>
  <c r="A286" i="23"/>
  <c r="A274" i="23"/>
  <c r="A311" i="23"/>
  <c r="A299" i="23"/>
  <c r="A287" i="23"/>
  <c r="A275" i="23"/>
  <c r="A263" i="23"/>
  <c r="A300" i="23"/>
  <c r="A288" i="23"/>
  <c r="A276" i="23"/>
  <c r="A264" i="23"/>
  <c r="A301" i="23"/>
  <c r="A302" i="23"/>
  <c r="A290" i="23"/>
  <c r="A303" i="23"/>
  <c r="A291" i="23"/>
  <c r="A279" i="23"/>
  <c r="A267" i="23"/>
  <c r="A304" i="23"/>
  <c r="A292" i="23"/>
  <c r="A280" i="23"/>
  <c r="A268" i="23"/>
  <c r="A308" i="23"/>
  <c r="A296" i="23"/>
  <c r="A284" i="23"/>
  <c r="A272" i="23"/>
  <c r="A285" i="23"/>
  <c r="A245" i="23"/>
  <c r="A233" i="23"/>
  <c r="A221" i="23"/>
  <c r="A209" i="23"/>
  <c r="A197" i="23"/>
  <c r="A185" i="23"/>
  <c r="A173" i="23"/>
  <c r="A295" i="23"/>
  <c r="A260" i="23"/>
  <c r="A256" i="23"/>
  <c r="A246" i="23"/>
  <c r="A234" i="23"/>
  <c r="A222" i="23"/>
  <c r="A210" i="23"/>
  <c r="A198" i="23"/>
  <c r="A186" i="23"/>
  <c r="A174" i="23"/>
  <c r="A307" i="23"/>
  <c r="A278" i="23"/>
  <c r="A247" i="23"/>
  <c r="A235" i="23"/>
  <c r="A223" i="23"/>
  <c r="A211" i="23"/>
  <c r="A199" i="23"/>
  <c r="A269" i="23"/>
  <c r="A257" i="23"/>
  <c r="A248" i="23"/>
  <c r="A236" i="23"/>
  <c r="A224" i="23"/>
  <c r="A212" i="23"/>
  <c r="A297" i="23"/>
  <c r="A289" i="23"/>
  <c r="A282" i="23"/>
  <c r="A249" i="23"/>
  <c r="A237" i="23"/>
  <c r="A225" i="23"/>
  <c r="A213" i="23"/>
  <c r="A306" i="23"/>
  <c r="A294" i="23"/>
  <c r="A271" i="23"/>
  <c r="A261" i="23"/>
  <c r="A258" i="23"/>
  <c r="A250" i="23"/>
  <c r="A238" i="23"/>
  <c r="A226" i="23"/>
  <c r="A214" i="23"/>
  <c r="A273" i="23"/>
  <c r="A309" i="23"/>
  <c r="A277" i="23"/>
  <c r="A265" i="23"/>
  <c r="A252" i="23"/>
  <c r="A240" i="23"/>
  <c r="A228" i="23"/>
  <c r="A216" i="23"/>
  <c r="A305" i="23"/>
  <c r="A253" i="23"/>
  <c r="A241" i="23"/>
  <c r="A229" i="23"/>
  <c r="A217" i="23"/>
  <c r="A270" i="23"/>
  <c r="A243" i="23"/>
  <c r="A231" i="23"/>
  <c r="A219" i="23"/>
  <c r="A207" i="23"/>
  <c r="A232" i="23"/>
  <c r="A181" i="23"/>
  <c r="A177" i="23"/>
  <c r="A158" i="23"/>
  <c r="A146" i="23"/>
  <c r="A134" i="23"/>
  <c r="A227" i="23"/>
  <c r="A159" i="23"/>
  <c r="A147" i="23"/>
  <c r="A218" i="23"/>
  <c r="A196" i="23"/>
  <c r="A193" i="23"/>
  <c r="A190" i="23"/>
  <c r="A169" i="23"/>
  <c r="A160" i="23"/>
  <c r="A244" i="23"/>
  <c r="A182" i="23"/>
  <c r="A178" i="23"/>
  <c r="A161" i="23"/>
  <c r="A149" i="23"/>
  <c r="A137" i="23"/>
  <c r="A125" i="23"/>
  <c r="A239" i="23"/>
  <c r="A204" i="23"/>
  <c r="A202" i="23"/>
  <c r="A187" i="23"/>
  <c r="A262" i="23"/>
  <c r="A230" i="23"/>
  <c r="A206" i="23"/>
  <c r="A200" i="23"/>
  <c r="A170" i="23"/>
  <c r="A163" i="23"/>
  <c r="A151" i="23"/>
  <c r="A139" i="23"/>
  <c r="A208" i="23"/>
  <c r="A194" i="23"/>
  <c r="A191" i="23"/>
  <c r="A183" i="23"/>
  <c r="A179" i="23"/>
  <c r="A175" i="23"/>
  <c r="A283" i="23"/>
  <c r="A251" i="23"/>
  <c r="A188" i="23"/>
  <c r="A281" i="23"/>
  <c r="A242" i="23"/>
  <c r="A171" i="23"/>
  <c r="A166" i="23"/>
  <c r="A255" i="23"/>
  <c r="A293" i="23"/>
  <c r="A215" i="23"/>
  <c r="A205" i="23"/>
  <c r="A203" i="23"/>
  <c r="A201" i="23"/>
  <c r="A195" i="23"/>
  <c r="A192" i="23"/>
  <c r="A189" i="23"/>
  <c r="A168" i="23"/>
  <c r="A150" i="23"/>
  <c r="A133" i="23"/>
  <c r="A129" i="23"/>
  <c r="A114" i="23"/>
  <c r="A102" i="23"/>
  <c r="A90" i="23"/>
  <c r="A78" i="23"/>
  <c r="A66" i="23"/>
  <c r="A54" i="23"/>
  <c r="A42" i="23"/>
  <c r="A30" i="23"/>
  <c r="A180" i="23"/>
  <c r="A165" i="23"/>
  <c r="A140" i="23"/>
  <c r="A115" i="23"/>
  <c r="A103" i="23"/>
  <c r="A91" i="23"/>
  <c r="A79" i="23"/>
  <c r="A67" i="23"/>
  <c r="A172" i="23"/>
  <c r="A167" i="23"/>
  <c r="A145" i="23"/>
  <c r="A116" i="23"/>
  <c r="A104" i="23"/>
  <c r="A92" i="23"/>
  <c r="A80" i="23"/>
  <c r="A68" i="23"/>
  <c r="A56" i="23"/>
  <c r="A148" i="23"/>
  <c r="A130" i="23"/>
  <c r="A126" i="23"/>
  <c r="A117" i="23"/>
  <c r="A105" i="23"/>
  <c r="A93" i="23"/>
  <c r="A81" i="23"/>
  <c r="A69" i="23"/>
  <c r="A143" i="23"/>
  <c r="A138" i="23"/>
  <c r="A118" i="23"/>
  <c r="A106" i="23"/>
  <c r="A94" i="23"/>
  <c r="A82" i="23"/>
  <c r="A70" i="23"/>
  <c r="A58" i="23"/>
  <c r="A266" i="23"/>
  <c r="A220" i="23"/>
  <c r="A157" i="23"/>
  <c r="A155" i="23"/>
  <c r="A153" i="23"/>
  <c r="A135" i="23"/>
  <c r="A119" i="23"/>
  <c r="A107" i="23"/>
  <c r="A95" i="23"/>
  <c r="A83" i="23"/>
  <c r="A259" i="23"/>
  <c r="A164" i="23"/>
  <c r="A141" i="23"/>
  <c r="A131" i="23"/>
  <c r="A127" i="23"/>
  <c r="A120" i="23"/>
  <c r="A108" i="23"/>
  <c r="A96" i="23"/>
  <c r="A84" i="23"/>
  <c r="A72" i="23"/>
  <c r="A254" i="23"/>
  <c r="A184" i="23"/>
  <c r="A176" i="23"/>
  <c r="A162" i="23"/>
  <c r="A121" i="23"/>
  <c r="A109" i="23"/>
  <c r="A97" i="23"/>
  <c r="A85" i="23"/>
  <c r="A136" i="23"/>
  <c r="A122" i="23"/>
  <c r="A110" i="23"/>
  <c r="A98" i="23"/>
  <c r="A86" i="23"/>
  <c r="A144" i="23"/>
  <c r="A132" i="23"/>
  <c r="A128" i="23"/>
  <c r="A123" i="23"/>
  <c r="A111" i="23"/>
  <c r="A99" i="23"/>
  <c r="A87" i="23"/>
  <c r="A124" i="23"/>
  <c r="A112" i="23"/>
  <c r="A154" i="23"/>
  <c r="A52" i="23"/>
  <c r="A46" i="23"/>
  <c r="A26" i="23"/>
  <c r="A14" i="23"/>
  <c r="A152" i="23"/>
  <c r="A74" i="23"/>
  <c r="A57" i="23"/>
  <c r="A40" i="23"/>
  <c r="A34" i="23"/>
  <c r="A27" i="23"/>
  <c r="A15" i="23"/>
  <c r="A45" i="22"/>
  <c r="A41" i="22"/>
  <c r="A37" i="22"/>
  <c r="A33" i="22"/>
  <c r="A29" i="22"/>
  <c r="A25" i="22"/>
  <c r="A21" i="22"/>
  <c r="A17" i="22"/>
  <c r="A13" i="22"/>
  <c r="A9" i="22"/>
  <c r="A64" i="23"/>
  <c r="A62" i="23"/>
  <c r="A60" i="23"/>
  <c r="A47" i="23"/>
  <c r="A28" i="23"/>
  <c r="A16" i="23"/>
  <c r="A89" i="23"/>
  <c r="A76" i="23"/>
  <c r="A53" i="23"/>
  <c r="A41" i="23"/>
  <c r="A35" i="23"/>
  <c r="A17" i="23"/>
  <c r="A88" i="23"/>
  <c r="A48" i="23"/>
  <c r="A29" i="23"/>
  <c r="A18" i="23"/>
  <c r="A6" i="23"/>
  <c r="A42" i="22"/>
  <c r="A38" i="22"/>
  <c r="A34" i="22"/>
  <c r="A30" i="22"/>
  <c r="A26" i="22"/>
  <c r="A22" i="22"/>
  <c r="A18" i="22"/>
  <c r="A14" i="22"/>
  <c r="A10" i="22"/>
  <c r="A101" i="23"/>
  <c r="A71" i="23"/>
  <c r="A36" i="23"/>
  <c r="A19" i="23"/>
  <c r="A7" i="23"/>
  <c r="A113" i="23"/>
  <c r="A100" i="23"/>
  <c r="A73" i="23"/>
  <c r="A49" i="23"/>
  <c r="A43" i="23"/>
  <c r="A20" i="23"/>
  <c r="A8" i="23"/>
  <c r="A142" i="23"/>
  <c r="A37" i="23"/>
  <c r="A31" i="23"/>
  <c r="A21" i="23"/>
  <c r="A9" i="23"/>
  <c r="A43" i="22"/>
  <c r="A39" i="22"/>
  <c r="A35" i="22"/>
  <c r="A31" i="22"/>
  <c r="A27" i="22"/>
  <c r="A23" i="22"/>
  <c r="A19" i="22"/>
  <c r="A75" i="23"/>
  <c r="A65" i="23"/>
  <c r="A63" i="23"/>
  <c r="A61" i="23"/>
  <c r="A59" i="23"/>
  <c r="A55" i="23"/>
  <c r="A50" i="23"/>
  <c r="A44" i="23"/>
  <c r="A22" i="23"/>
  <c r="A10" i="23"/>
  <c r="A38" i="23"/>
  <c r="A32" i="23"/>
  <c r="A23" i="23"/>
  <c r="A11" i="23"/>
  <c r="A51" i="23"/>
  <c r="A45" i="23"/>
  <c r="A24" i="23"/>
  <c r="A12" i="23"/>
  <c r="A44" i="22"/>
  <c r="A40" i="22"/>
  <c r="A36" i="22"/>
  <c r="A32" i="22"/>
  <c r="A28" i="22"/>
  <c r="A24" i="22"/>
  <c r="A156" i="23"/>
  <c r="A33" i="23"/>
  <c r="A11" i="22"/>
  <c r="A6" i="22"/>
  <c r="A20" i="22"/>
  <c r="A16" i="22"/>
  <c r="A8" i="22"/>
  <c r="A77" i="23"/>
  <c r="A13" i="23"/>
  <c r="A15" i="22"/>
  <c r="A7" i="22"/>
  <c r="A39" i="23"/>
  <c r="A25" i="23"/>
  <c r="A12" i="22"/>
  <c r="H32" i="11"/>
  <c r="F32" i="11"/>
  <c r="E32" i="11"/>
  <c r="D32" i="11"/>
  <c r="G32" i="11"/>
  <c r="C32" i="11"/>
  <c r="B114" i="9"/>
  <c r="B109" i="9"/>
  <c r="B13" i="4"/>
  <c r="B16" i="4"/>
  <c r="L47" i="8"/>
  <c r="AQ62" i="8" s="1"/>
  <c r="A14" i="20"/>
  <c r="A13" i="19"/>
  <c r="B11" i="15"/>
  <c r="B9" i="15"/>
  <c r="B12" i="15"/>
  <c r="B86" i="10"/>
  <c r="N86" i="10" s="1"/>
  <c r="B10" i="15"/>
  <c r="A38" i="20"/>
  <c r="A25" i="19"/>
  <c r="B60" i="15"/>
  <c r="B98" i="10"/>
  <c r="N98" i="10" s="1"/>
  <c r="B59" i="15"/>
  <c r="B57" i="15"/>
  <c r="B58" i="15"/>
  <c r="A37" i="19"/>
  <c r="A62" i="20"/>
  <c r="B106" i="15"/>
  <c r="B105" i="15"/>
  <c r="B108" i="15"/>
  <c r="B107" i="15"/>
  <c r="B110" i="10"/>
  <c r="N110" i="10" s="1"/>
  <c r="A49" i="19"/>
  <c r="A86" i="20"/>
  <c r="B154" i="15"/>
  <c r="B155" i="15"/>
  <c r="B156" i="15"/>
  <c r="B122" i="10"/>
  <c r="N122" i="10" s="1"/>
  <c r="B153" i="15"/>
  <c r="B12" i="9"/>
  <c r="B78" i="9"/>
  <c r="C81" i="9"/>
  <c r="B91" i="9"/>
  <c r="B107" i="9"/>
  <c r="B124" i="10"/>
  <c r="N124" i="10" s="1"/>
  <c r="D14" i="25"/>
  <c r="F10" i="14"/>
  <c r="A48" i="19"/>
  <c r="A84" i="20"/>
  <c r="B151" i="15"/>
  <c r="B149" i="15"/>
  <c r="B121" i="10"/>
  <c r="N121" i="10" s="1"/>
  <c r="B150" i="15"/>
  <c r="E10" i="25"/>
  <c r="F227" i="14"/>
  <c r="G6" i="14"/>
  <c r="F197" i="14"/>
  <c r="E14" i="25"/>
  <c r="G10" i="14"/>
  <c r="E18" i="25"/>
  <c r="G14" i="14"/>
  <c r="J11" i="8"/>
  <c r="G60" i="8" s="1"/>
  <c r="A23" i="19"/>
  <c r="A34" i="20"/>
  <c r="B52" i="15"/>
  <c r="B49" i="15"/>
  <c r="B96" i="10"/>
  <c r="N96" i="10" s="1"/>
  <c r="B50" i="15"/>
  <c r="B51" i="15"/>
  <c r="A35" i="19"/>
  <c r="A58" i="20"/>
  <c r="B100" i="15"/>
  <c r="B97" i="15"/>
  <c r="B99" i="15"/>
  <c r="B108" i="10"/>
  <c r="N108" i="10" s="1"/>
  <c r="B98" i="15"/>
  <c r="A82" i="20"/>
  <c r="A47" i="19"/>
  <c r="B148" i="15"/>
  <c r="B145" i="15"/>
  <c r="B120" i="10"/>
  <c r="N120" i="10" s="1"/>
  <c r="B146" i="15"/>
  <c r="B147" i="15"/>
  <c r="C22" i="9"/>
  <c r="C40" i="9"/>
  <c r="B45" i="9"/>
  <c r="B50" i="9"/>
  <c r="C58" i="9"/>
  <c r="B72" i="9"/>
  <c r="B85" i="9"/>
  <c r="C88" i="9"/>
  <c r="B100" i="9"/>
  <c r="B105" i="9"/>
  <c r="B110" i="9"/>
  <c r="C53" i="10"/>
  <c r="B100" i="10"/>
  <c r="N100" i="10" s="1"/>
  <c r="B152" i="15"/>
  <c r="D24" i="16"/>
  <c r="H24" i="16"/>
  <c r="A36" i="20"/>
  <c r="A24" i="19"/>
  <c r="B53" i="15"/>
  <c r="B54" i="15"/>
  <c r="B55" i="15"/>
  <c r="B97" i="10"/>
  <c r="B56" i="15"/>
  <c r="H23" i="16"/>
  <c r="H17" i="16"/>
  <c r="C6" i="11"/>
  <c r="H20" i="16"/>
  <c r="I14" i="4"/>
  <c r="I17" i="4"/>
  <c r="A22" i="19"/>
  <c r="A32" i="20"/>
  <c r="B48" i="15"/>
  <c r="B95" i="10"/>
  <c r="N95" i="10" s="1"/>
  <c r="B46" i="15"/>
  <c r="B47" i="15"/>
  <c r="A34" i="19"/>
  <c r="A56" i="20"/>
  <c r="B94" i="15"/>
  <c r="B95" i="15"/>
  <c r="B107" i="10"/>
  <c r="N107" i="10" s="1"/>
  <c r="B96" i="15"/>
  <c r="B93" i="15"/>
  <c r="A46" i="19"/>
  <c r="A80" i="20"/>
  <c r="B142" i="15"/>
  <c r="B141" i="15"/>
  <c r="B119" i="10"/>
  <c r="N119" i="10" s="1"/>
  <c r="B143" i="15"/>
  <c r="B144" i="15"/>
  <c r="A102" i="20"/>
  <c r="A57" i="19"/>
  <c r="B188" i="15"/>
  <c r="B187" i="15"/>
  <c r="B186" i="15"/>
  <c r="B185" i="15"/>
  <c r="B130" i="10"/>
  <c r="N130" i="10" s="1"/>
  <c r="A116" i="20"/>
  <c r="A64" i="19"/>
  <c r="B214" i="15"/>
  <c r="B213" i="15"/>
  <c r="B216" i="15"/>
  <c r="B215" i="15"/>
  <c r="B137" i="10"/>
  <c r="N137" i="10" s="1"/>
  <c r="A128" i="20"/>
  <c r="A70" i="19"/>
  <c r="B238" i="15"/>
  <c r="B237" i="15"/>
  <c r="B143" i="10"/>
  <c r="N143" i="10" s="1"/>
  <c r="B240" i="15"/>
  <c r="B239" i="15"/>
  <c r="B19" i="9"/>
  <c r="B82" i="9"/>
  <c r="C85" i="9"/>
  <c r="B108" i="9"/>
  <c r="H57" i="16"/>
  <c r="H59" i="16"/>
  <c r="H60" i="16"/>
  <c r="H56" i="16"/>
  <c r="H61" i="16"/>
  <c r="H58" i="16"/>
  <c r="D11" i="25"/>
  <c r="F7" i="14"/>
  <c r="D15" i="25"/>
  <c r="F11" i="14"/>
  <c r="B15" i="4"/>
  <c r="B18" i="4"/>
  <c r="C32" i="4"/>
  <c r="F31" i="8" s="1"/>
  <c r="AA56" i="8" s="1"/>
  <c r="C21" i="5"/>
  <c r="F40" i="8" s="1"/>
  <c r="AJ56" i="8" s="1"/>
  <c r="A30" i="20"/>
  <c r="A21" i="19"/>
  <c r="B41" i="15"/>
  <c r="B94" i="10"/>
  <c r="B42" i="15"/>
  <c r="B44" i="15"/>
  <c r="B43" i="15"/>
  <c r="A54" i="20"/>
  <c r="A33" i="19"/>
  <c r="B92" i="15"/>
  <c r="B89" i="15"/>
  <c r="B90" i="15"/>
  <c r="B106" i="10"/>
  <c r="N106" i="10" s="1"/>
  <c r="B91" i="15"/>
  <c r="A78" i="20"/>
  <c r="A45" i="19"/>
  <c r="B140" i="15"/>
  <c r="B139" i="15"/>
  <c r="B138" i="15"/>
  <c r="B137" i="15"/>
  <c r="B118" i="10"/>
  <c r="N118" i="10" s="1"/>
  <c r="B29" i="9"/>
  <c r="B42" i="9"/>
  <c r="B79" i="9"/>
  <c r="C82" i="9"/>
  <c r="B96" i="9"/>
  <c r="B103" i="9"/>
  <c r="B112" i="9"/>
  <c r="D10" i="25"/>
  <c r="F6" i="14"/>
  <c r="F228" i="14"/>
  <c r="A118" i="20"/>
  <c r="A65" i="19"/>
  <c r="B220" i="15"/>
  <c r="B219" i="15"/>
  <c r="B218" i="15"/>
  <c r="B217" i="15"/>
  <c r="B138" i="10"/>
  <c r="N138" i="10" s="1"/>
  <c r="A130" i="20"/>
  <c r="A71" i="19"/>
  <c r="B244" i="15"/>
  <c r="B241" i="15"/>
  <c r="B243" i="15"/>
  <c r="B144" i="10"/>
  <c r="N144" i="10" s="1"/>
  <c r="B242" i="15"/>
  <c r="P48" i="10"/>
  <c r="E11" i="25"/>
  <c r="G7" i="14"/>
  <c r="E15" i="25"/>
  <c r="G11" i="14"/>
  <c r="C15" i="4"/>
  <c r="C18" i="4"/>
  <c r="D32" i="4"/>
  <c r="K31" i="8" s="1"/>
  <c r="AA61" i="8" s="1"/>
  <c r="D21" i="5"/>
  <c r="K40" i="8" s="1"/>
  <c r="AJ61" i="8" s="1"/>
  <c r="A28" i="20"/>
  <c r="A20" i="19"/>
  <c r="B40" i="15"/>
  <c r="B37" i="15"/>
  <c r="B39" i="15"/>
  <c r="B93" i="10"/>
  <c r="N93" i="10" s="1"/>
  <c r="B38" i="15"/>
  <c r="A52" i="20"/>
  <c r="A32" i="19"/>
  <c r="B88" i="15"/>
  <c r="B87" i="15"/>
  <c r="B105" i="10"/>
  <c r="N105" i="10" s="1"/>
  <c r="B85" i="15"/>
  <c r="B86" i="15"/>
  <c r="A76" i="20"/>
  <c r="A44" i="19"/>
  <c r="B136" i="15"/>
  <c r="B135" i="15"/>
  <c r="B134" i="15"/>
  <c r="B133" i="15"/>
  <c r="B117" i="10"/>
  <c r="N117" i="10" s="1"/>
  <c r="A100" i="20"/>
  <c r="A56" i="19"/>
  <c r="B184" i="15"/>
  <c r="B183" i="15"/>
  <c r="B182" i="15"/>
  <c r="B181" i="15"/>
  <c r="A114" i="20"/>
  <c r="A63" i="19"/>
  <c r="B212" i="15"/>
  <c r="B211" i="15"/>
  <c r="B210" i="15"/>
  <c r="B209" i="15"/>
  <c r="A126" i="20"/>
  <c r="A69" i="19"/>
  <c r="B234" i="15"/>
  <c r="B235" i="15"/>
  <c r="B233" i="15"/>
  <c r="B142" i="10"/>
  <c r="B236" i="15"/>
  <c r="B16" i="9"/>
  <c r="B76" i="9"/>
  <c r="B89" i="9"/>
  <c r="H66" i="16"/>
  <c r="K66" i="16"/>
  <c r="L66" i="16"/>
  <c r="J66" i="16"/>
  <c r="D66" i="16"/>
  <c r="N66" i="16"/>
  <c r="M66" i="16"/>
  <c r="G66" i="16"/>
  <c r="A58" i="19"/>
  <c r="A104" i="20"/>
  <c r="B190" i="15"/>
  <c r="B189" i="15"/>
  <c r="B192" i="15"/>
  <c r="B191" i="15"/>
  <c r="B131" i="10"/>
  <c r="N131" i="10" s="1"/>
  <c r="E144" i="11"/>
  <c r="C8" i="11"/>
  <c r="F12" i="11" s="1"/>
  <c r="D144" i="11"/>
  <c r="C22" i="5"/>
  <c r="G41" i="8" s="1"/>
  <c r="AK57" i="8" s="1"/>
  <c r="E8" i="8"/>
  <c r="D55" i="8" s="1"/>
  <c r="F46" i="8"/>
  <c r="AP56" i="8" s="1"/>
  <c r="A26" i="20"/>
  <c r="A19" i="19"/>
  <c r="B36" i="15"/>
  <c r="B35" i="15"/>
  <c r="B33" i="15"/>
  <c r="B34" i="15"/>
  <c r="B92" i="10"/>
  <c r="A31" i="19"/>
  <c r="A50" i="20"/>
  <c r="B82" i="15"/>
  <c r="B83" i="15"/>
  <c r="B84" i="15"/>
  <c r="B81" i="15"/>
  <c r="B104" i="10"/>
  <c r="N104" i="10" s="1"/>
  <c r="A74" i="20"/>
  <c r="A43" i="19"/>
  <c r="B130" i="15"/>
  <c r="B132" i="15"/>
  <c r="B131" i="15"/>
  <c r="B129" i="15"/>
  <c r="B116" i="10"/>
  <c r="N116" i="10" s="1"/>
  <c r="A98" i="20"/>
  <c r="A55" i="19"/>
  <c r="B178" i="15"/>
  <c r="B180" i="15"/>
  <c r="B179" i="15"/>
  <c r="B128" i="10"/>
  <c r="N128" i="10" s="1"/>
  <c r="B177" i="15"/>
  <c r="B26" i="9"/>
  <c r="B39" i="9"/>
  <c r="B57" i="9"/>
  <c r="B73" i="9"/>
  <c r="B86" i="9"/>
  <c r="C89" i="9"/>
  <c r="B101" i="9"/>
  <c r="D16" i="25"/>
  <c r="F12" i="14"/>
  <c r="A24" i="20"/>
  <c r="A18" i="19"/>
  <c r="B29" i="15"/>
  <c r="B30" i="15"/>
  <c r="B32" i="15"/>
  <c r="B31" i="15"/>
  <c r="A48" i="20"/>
  <c r="A30" i="19"/>
  <c r="B79" i="15"/>
  <c r="B77" i="15"/>
  <c r="B78" i="15"/>
  <c r="B80" i="15"/>
  <c r="B103" i="10"/>
  <c r="N103" i="10" s="1"/>
  <c r="A72" i="20"/>
  <c r="A42" i="19"/>
  <c r="B126" i="15"/>
  <c r="B127" i="15"/>
  <c r="B125" i="15"/>
  <c r="A54" i="19"/>
  <c r="A96" i="20"/>
  <c r="B176" i="15"/>
  <c r="B174" i="15"/>
  <c r="B173" i="15"/>
  <c r="B127" i="10"/>
  <c r="N127" i="10" s="1"/>
  <c r="A62" i="19"/>
  <c r="A112" i="20"/>
  <c r="B208" i="15"/>
  <c r="B205" i="15"/>
  <c r="B206" i="15"/>
  <c r="B207" i="15"/>
  <c r="B135" i="10"/>
  <c r="N135" i="10" s="1"/>
  <c r="A124" i="20"/>
  <c r="A68" i="19"/>
  <c r="B232" i="15"/>
  <c r="B229" i="15"/>
  <c r="B231" i="15"/>
  <c r="B141" i="10"/>
  <c r="N141" i="10" s="1"/>
  <c r="B230" i="15"/>
  <c r="B13" i="9"/>
  <c r="B31" i="9"/>
  <c r="B83" i="9"/>
  <c r="C86" i="9"/>
  <c r="B106" i="9"/>
  <c r="B115" i="9"/>
  <c r="H18" i="16"/>
  <c r="D18" i="16"/>
  <c r="M44" i="16"/>
  <c r="K44" i="16"/>
  <c r="J44" i="16"/>
  <c r="I44" i="16"/>
  <c r="D44" i="16"/>
  <c r="N44" i="16"/>
  <c r="L44" i="16"/>
  <c r="G44" i="16"/>
  <c r="H44" i="16"/>
  <c r="A12" i="20"/>
  <c r="A12" i="19"/>
  <c r="B5" i="15"/>
  <c r="B6" i="15"/>
  <c r="B7" i="15"/>
  <c r="B8" i="15"/>
  <c r="C43" i="10"/>
  <c r="D12" i="25"/>
  <c r="F8" i="14"/>
  <c r="E12" i="25"/>
  <c r="G8" i="14"/>
  <c r="E16" i="25"/>
  <c r="G12" i="14"/>
  <c r="D6" i="3"/>
  <c r="D7" i="4"/>
  <c r="B14" i="4"/>
  <c r="B17" i="4"/>
  <c r="C4" i="7"/>
  <c r="J8" i="8"/>
  <c r="D60" i="8" s="1"/>
  <c r="A17" i="19"/>
  <c r="A22" i="20"/>
  <c r="B28" i="15"/>
  <c r="B25" i="15"/>
  <c r="B26" i="15"/>
  <c r="B90" i="10"/>
  <c r="N90" i="10" s="1"/>
  <c r="A29" i="19"/>
  <c r="A46" i="20"/>
  <c r="B76" i="15"/>
  <c r="B75" i="15"/>
  <c r="B102" i="10"/>
  <c r="N102" i="10" s="1"/>
  <c r="B73" i="15"/>
  <c r="B74" i="15"/>
  <c r="A41" i="19"/>
  <c r="A70" i="20"/>
  <c r="B124" i="15"/>
  <c r="B121" i="15"/>
  <c r="B114" i="10"/>
  <c r="N114" i="10" s="1"/>
  <c r="B123" i="15"/>
  <c r="B122" i="15"/>
  <c r="A53" i="19"/>
  <c r="A94" i="20"/>
  <c r="B172" i="15"/>
  <c r="B169" i="15"/>
  <c r="B171" i="15"/>
  <c r="B170" i="15"/>
  <c r="B126" i="10"/>
  <c r="N126" i="10" s="1"/>
  <c r="B18" i="9"/>
  <c r="B23" i="9"/>
  <c r="B36" i="9"/>
  <c r="B41" i="9"/>
  <c r="B59" i="9"/>
  <c r="B80" i="9"/>
  <c r="C83" i="9"/>
  <c r="B90" i="9"/>
  <c r="C45" i="10"/>
  <c r="F198" i="14"/>
  <c r="B27" i="15"/>
  <c r="B45" i="15"/>
  <c r="B175" i="15"/>
  <c r="H19" i="16"/>
  <c r="D19" i="16"/>
  <c r="F47" i="2"/>
  <c r="C8" i="4"/>
  <c r="C14" i="4"/>
  <c r="C17" i="4"/>
  <c r="C5" i="7"/>
  <c r="A16" i="19"/>
  <c r="A20" i="20"/>
  <c r="B24" i="15"/>
  <c r="B22" i="15"/>
  <c r="B23" i="15"/>
  <c r="B89" i="10"/>
  <c r="N89" i="10" s="1"/>
  <c r="A28" i="19"/>
  <c r="A44" i="20"/>
  <c r="B72" i="15"/>
  <c r="B70" i="15"/>
  <c r="B71" i="15"/>
  <c r="B69" i="15"/>
  <c r="B101" i="10"/>
  <c r="N101" i="10" s="1"/>
  <c r="A40" i="19"/>
  <c r="A68" i="20"/>
  <c r="B118" i="15"/>
  <c r="B117" i="15"/>
  <c r="B113" i="10"/>
  <c r="N113" i="10" s="1"/>
  <c r="B120" i="15"/>
  <c r="B119" i="15"/>
  <c r="A52" i="19"/>
  <c r="A92" i="20"/>
  <c r="B166" i="15"/>
  <c r="B168" i="15"/>
  <c r="B165" i="15"/>
  <c r="B167" i="15"/>
  <c r="B125" i="10"/>
  <c r="N125" i="10" s="1"/>
  <c r="A61" i="19"/>
  <c r="A110" i="20"/>
  <c r="B202" i="15"/>
  <c r="B134" i="10"/>
  <c r="N134" i="10" s="1"/>
  <c r="B203" i="15"/>
  <c r="B201" i="15"/>
  <c r="B204" i="15"/>
  <c r="A122" i="20"/>
  <c r="A67" i="19"/>
  <c r="B226" i="15"/>
  <c r="B227" i="15"/>
  <c r="B225" i="15"/>
  <c r="B228" i="15"/>
  <c r="B140" i="10"/>
  <c r="N140" i="10" s="1"/>
  <c r="B10" i="9"/>
  <c r="B28" i="9"/>
  <c r="B46" i="9"/>
  <c r="B64" i="9"/>
  <c r="B77" i="9"/>
  <c r="C80" i="9"/>
  <c r="B87" i="9"/>
  <c r="C90" i="9"/>
  <c r="B99" i="9"/>
  <c r="B111" i="9"/>
  <c r="B128" i="15"/>
  <c r="D18" i="25"/>
  <c r="F14" i="14"/>
  <c r="A60" i="20"/>
  <c r="A36" i="19"/>
  <c r="B104" i="15"/>
  <c r="B103" i="15"/>
  <c r="B102" i="15"/>
  <c r="B101" i="15"/>
  <c r="B109" i="10"/>
  <c r="N109" i="10" s="1"/>
  <c r="F175" i="14"/>
  <c r="I14" i="25" s="1"/>
  <c r="D173" i="11"/>
  <c r="D96" i="12"/>
  <c r="D117" i="11"/>
  <c r="D13" i="25"/>
  <c r="F9" i="14"/>
  <c r="D17" i="25"/>
  <c r="F13" i="14"/>
  <c r="A18" i="20"/>
  <c r="A15" i="19"/>
  <c r="B17" i="15"/>
  <c r="B18" i="15"/>
  <c r="B20" i="15"/>
  <c r="B88" i="10"/>
  <c r="N88" i="10" s="1"/>
  <c r="B19" i="15"/>
  <c r="A42" i="20"/>
  <c r="A27" i="19"/>
  <c r="B65" i="15"/>
  <c r="B66" i="15"/>
  <c r="B68" i="15"/>
  <c r="B67" i="15"/>
  <c r="A66" i="20"/>
  <c r="A39" i="19"/>
  <c r="B116" i="15"/>
  <c r="B115" i="15"/>
  <c r="B114" i="15"/>
  <c r="B113" i="15"/>
  <c r="B112" i="10"/>
  <c r="N112" i="10" s="1"/>
  <c r="A90" i="20"/>
  <c r="A51" i="19"/>
  <c r="B163" i="15"/>
  <c r="B161" i="15"/>
  <c r="B164" i="15"/>
  <c r="B15" i="9"/>
  <c r="B33" i="9"/>
  <c r="B38" i="9"/>
  <c r="B51" i="9"/>
  <c r="B56" i="9"/>
  <c r="B74" i="9"/>
  <c r="B84" i="9"/>
  <c r="C87" i="9"/>
  <c r="B104" i="9"/>
  <c r="G50" i="16"/>
  <c r="J50" i="16"/>
  <c r="N50" i="16"/>
  <c r="M50" i="16"/>
  <c r="I50" i="16"/>
  <c r="H50" i="16"/>
  <c r="L50" i="16"/>
  <c r="K50" i="16"/>
  <c r="D50" i="16"/>
  <c r="P38" i="10"/>
  <c r="C42" i="10"/>
  <c r="L25" i="16"/>
  <c r="G25" i="16"/>
  <c r="D25" i="16"/>
  <c r="K25" i="16"/>
  <c r="I25" i="16"/>
  <c r="H25" i="16"/>
  <c r="N25" i="16"/>
  <c r="M25" i="16"/>
  <c r="C75" i="10"/>
  <c r="C74" i="10"/>
  <c r="J25" i="16"/>
  <c r="P58" i="10"/>
  <c r="H77" i="16"/>
  <c r="J77" i="16"/>
  <c r="L77" i="16"/>
  <c r="M77" i="16"/>
  <c r="K77" i="16"/>
  <c r="I77" i="16"/>
  <c r="D77" i="16"/>
  <c r="G77" i="16"/>
  <c r="N77" i="16"/>
  <c r="H93" i="16"/>
  <c r="N93" i="16"/>
  <c r="D93" i="16"/>
  <c r="M93" i="16"/>
  <c r="L93" i="16"/>
  <c r="K93" i="16"/>
  <c r="J93" i="16"/>
  <c r="I93" i="16"/>
  <c r="G93" i="16"/>
  <c r="C47" i="10"/>
  <c r="C52" i="10"/>
  <c r="D158" i="11"/>
  <c r="D174" i="11" s="1"/>
  <c r="D178" i="11"/>
  <c r="H70" i="16"/>
  <c r="K70" i="16"/>
  <c r="N70" i="16"/>
  <c r="M70" i="16"/>
  <c r="I70" i="16"/>
  <c r="G70" i="16"/>
  <c r="L70" i="16"/>
  <c r="D70" i="16"/>
  <c r="H22" i="16"/>
  <c r="D36" i="16"/>
  <c r="H36" i="16"/>
  <c r="M36" i="16"/>
  <c r="L36" i="16"/>
  <c r="I36" i="16"/>
  <c r="G36" i="16"/>
  <c r="N36" i="16"/>
  <c r="J36" i="16"/>
  <c r="I52" i="16"/>
  <c r="N52" i="16"/>
  <c r="D52" i="16"/>
  <c r="M52" i="16"/>
  <c r="L52" i="16"/>
  <c r="K52" i="16"/>
  <c r="J52" i="16"/>
  <c r="P42" i="10"/>
  <c r="C46" i="10"/>
  <c r="C50" i="10"/>
  <c r="C55" i="10"/>
  <c r="C79" i="10"/>
  <c r="K68" i="11"/>
  <c r="J68" i="11"/>
  <c r="L68" i="11" s="1"/>
  <c r="I68" i="11"/>
  <c r="E213" i="11"/>
  <c r="D22" i="16"/>
  <c r="K36" i="16"/>
  <c r="G52" i="16"/>
  <c r="H88" i="16"/>
  <c r="I88" i="16"/>
  <c r="L88" i="16"/>
  <c r="K88" i="16"/>
  <c r="D88" i="16"/>
  <c r="N88" i="16"/>
  <c r="J88" i="16"/>
  <c r="G88" i="16"/>
  <c r="M88" i="16"/>
  <c r="C39" i="10"/>
  <c r="C40" i="10"/>
  <c r="C41" i="10"/>
  <c r="J37" i="16"/>
  <c r="L37" i="16"/>
  <c r="K37" i="16"/>
  <c r="N37" i="16"/>
  <c r="M37" i="16"/>
  <c r="I37" i="16"/>
  <c r="H37" i="16"/>
  <c r="G37" i="16"/>
  <c r="D37" i="16"/>
  <c r="D74" i="11"/>
  <c r="D122" i="11" s="1"/>
  <c r="D163" i="11"/>
  <c r="D164" i="11" s="1"/>
  <c r="D199" i="11"/>
  <c r="D202" i="11" s="1"/>
  <c r="D34" i="16"/>
  <c r="H34" i="16"/>
  <c r="G34" i="16"/>
  <c r="N34" i="16"/>
  <c r="L34" i="16"/>
  <c r="K34" i="16"/>
  <c r="H76" i="16"/>
  <c r="I76" i="16"/>
  <c r="J76" i="16"/>
  <c r="G76" i="16"/>
  <c r="D76" i="16"/>
  <c r="H87" i="16"/>
  <c r="G87" i="16"/>
  <c r="D87" i="16"/>
  <c r="N87" i="16"/>
  <c r="I87" i="16"/>
  <c r="H92" i="16"/>
  <c r="M92" i="16"/>
  <c r="N92" i="16"/>
  <c r="L92" i="16"/>
  <c r="I92" i="16"/>
  <c r="G92" i="16"/>
  <c r="J92" i="16"/>
  <c r="D92" i="16"/>
  <c r="D20" i="16"/>
  <c r="L31" i="16"/>
  <c r="K31" i="16"/>
  <c r="M31" i="16"/>
  <c r="J31" i="16"/>
  <c r="G31" i="16"/>
  <c r="N31" i="16"/>
  <c r="H31" i="16"/>
  <c r="D31" i="16"/>
  <c r="D55" i="16"/>
  <c r="F92" i="14"/>
  <c r="F91" i="14"/>
  <c r="F93" i="14"/>
  <c r="F90" i="14"/>
  <c r="I31" i="16"/>
  <c r="H86" i="16"/>
  <c r="K86" i="16"/>
  <c r="M86" i="16"/>
  <c r="L86" i="16"/>
  <c r="N86" i="16"/>
  <c r="J86" i="16"/>
  <c r="G86" i="16"/>
  <c r="H94" i="16"/>
  <c r="I94" i="16"/>
  <c r="G94" i="16"/>
  <c r="L94" i="16"/>
  <c r="J94" i="16"/>
  <c r="D94" i="16"/>
  <c r="L62" i="17"/>
  <c r="L66" i="17"/>
  <c r="H15" i="16"/>
  <c r="D15" i="16"/>
  <c r="H55" i="16"/>
  <c r="H75" i="16"/>
  <c r="G75" i="16"/>
  <c r="D75" i="16"/>
  <c r="M75" i="16"/>
  <c r="L75" i="16"/>
  <c r="N75" i="16"/>
  <c r="K75" i="16"/>
  <c r="I75" i="16"/>
  <c r="D86" i="16"/>
  <c r="E129" i="11"/>
  <c r="D207" i="11"/>
  <c r="D108" i="12"/>
  <c r="I28" i="16"/>
  <c r="D28" i="16"/>
  <c r="L28" i="16"/>
  <c r="K28" i="16"/>
  <c r="J41" i="16"/>
  <c r="D41" i="16"/>
  <c r="N41" i="16"/>
  <c r="K41" i="16"/>
  <c r="I41" i="16"/>
  <c r="H51" i="16"/>
  <c r="L51" i="16"/>
  <c r="M51" i="16"/>
  <c r="K51" i="16"/>
  <c r="K54" i="16"/>
  <c r="D54" i="16"/>
  <c r="M54" i="16"/>
  <c r="L54" i="16"/>
  <c r="H54" i="16"/>
  <c r="G54" i="16"/>
  <c r="H63" i="16"/>
  <c r="H67" i="16"/>
  <c r="L67" i="16"/>
  <c r="D67" i="16"/>
  <c r="J67" i="16"/>
  <c r="K67" i="16"/>
  <c r="I67" i="16"/>
  <c r="H81" i="16"/>
  <c r="N81" i="16"/>
  <c r="K81" i="16"/>
  <c r="M81" i="16"/>
  <c r="I81" i="16"/>
  <c r="G81" i="16"/>
  <c r="L43" i="16"/>
  <c r="I43" i="16"/>
  <c r="G43" i="16"/>
  <c r="N45" i="16"/>
  <c r="M45" i="16"/>
  <c r="L45" i="16"/>
  <c r="I45" i="16"/>
  <c r="H45" i="16"/>
  <c r="D51" i="16"/>
  <c r="D63" i="16"/>
  <c r="D81" i="16"/>
  <c r="G316" i="17"/>
  <c r="D278" i="17"/>
  <c r="D210" i="11"/>
  <c r="E210" i="11" s="1"/>
  <c r="D16" i="16"/>
  <c r="D48" i="16"/>
  <c r="H48" i="16"/>
  <c r="G48" i="16"/>
  <c r="D60" i="16"/>
  <c r="H78" i="16"/>
  <c r="K78" i="16"/>
  <c r="N78" i="16"/>
  <c r="J78" i="16"/>
  <c r="I78" i="16"/>
  <c r="J69" i="11"/>
  <c r="H16" i="16"/>
  <c r="J28" i="16"/>
  <c r="M32" i="16"/>
  <c r="N32" i="16"/>
  <c r="J32" i="16"/>
  <c r="I32" i="16"/>
  <c r="L41" i="16"/>
  <c r="J43" i="16"/>
  <c r="G45" i="16"/>
  <c r="I48" i="16"/>
  <c r="I51" i="16"/>
  <c r="N54" i="16"/>
  <c r="D58" i="16"/>
  <c r="M67" i="16"/>
  <c r="D78" i="16"/>
  <c r="L81" i="16"/>
  <c r="H89" i="16"/>
  <c r="J89" i="16"/>
  <c r="I89" i="16"/>
  <c r="L89" i="16"/>
  <c r="K89" i="16"/>
  <c r="E294" i="17"/>
  <c r="H27" i="16"/>
  <c r="M27" i="16"/>
  <c r="L27" i="16"/>
  <c r="I27" i="16"/>
  <c r="G27" i="16"/>
  <c r="I40" i="16"/>
  <c r="L40" i="16"/>
  <c r="K40" i="16"/>
  <c r="G40" i="16"/>
  <c r="H74" i="16"/>
  <c r="D74" i="16"/>
  <c r="M74" i="16"/>
  <c r="L74" i="16"/>
  <c r="I74" i="16"/>
  <c r="G74" i="16"/>
  <c r="H85" i="16"/>
  <c r="N85" i="16"/>
  <c r="G85" i="16"/>
  <c r="M85" i="16"/>
  <c r="L85" i="16"/>
  <c r="I85" i="16"/>
  <c r="A60" i="19"/>
  <c r="A108" i="20"/>
  <c r="B198" i="15"/>
  <c r="A132" i="20"/>
  <c r="A72" i="19"/>
  <c r="G26" i="16"/>
  <c r="N26" i="16"/>
  <c r="M42" i="16"/>
  <c r="K46" i="16"/>
  <c r="H49" i="16"/>
  <c r="J53" i="16"/>
  <c r="H69" i="16"/>
  <c r="N69" i="16"/>
  <c r="I69" i="16"/>
  <c r="L82" i="16"/>
  <c r="H91" i="16"/>
  <c r="L91" i="16"/>
  <c r="N91" i="16"/>
  <c r="M91" i="16"/>
  <c r="D21" i="16"/>
  <c r="K30" i="16"/>
  <c r="I30" i="16"/>
  <c r="H39" i="16"/>
  <c r="N39" i="16"/>
  <c r="H62" i="16"/>
  <c r="H73" i="16"/>
  <c r="M73" i="16"/>
  <c r="H80" i="16"/>
  <c r="M80" i="16"/>
  <c r="D80" i="16"/>
  <c r="G80" i="16"/>
  <c r="L67" i="17"/>
  <c r="L63" i="17"/>
  <c r="L60" i="17"/>
  <c r="L64" i="17"/>
  <c r="L65" i="17"/>
  <c r="H21" i="16"/>
  <c r="J29" i="16"/>
  <c r="G29" i="16"/>
  <c r="G30" i="16"/>
  <c r="N33" i="16"/>
  <c r="G38" i="16"/>
  <c r="L38" i="16"/>
  <c r="G39" i="16"/>
  <c r="D61" i="16"/>
  <c r="H68" i="16"/>
  <c r="M68" i="16"/>
  <c r="N68" i="16"/>
  <c r="G73" i="16"/>
  <c r="H79" i="16"/>
  <c r="L79" i="16"/>
  <c r="D79" i="16"/>
  <c r="I80" i="16"/>
  <c r="H90" i="16"/>
  <c r="K90" i="16"/>
  <c r="L90" i="16"/>
  <c r="I90" i="16"/>
  <c r="K42" i="16"/>
  <c r="G42" i="16"/>
  <c r="H64" i="16"/>
  <c r="H72" i="16"/>
  <c r="D72" i="16"/>
  <c r="N72" i="16"/>
  <c r="J72" i="16"/>
  <c r="H82" i="16"/>
  <c r="I82" i="16"/>
  <c r="N82" i="16"/>
  <c r="H65" i="16"/>
  <c r="J65" i="16"/>
  <c r="N65" i="16"/>
  <c r="H84" i="16"/>
  <c r="D84" i="16"/>
  <c r="L84" i="16"/>
  <c r="E27" i="18"/>
  <c r="E31" i="18"/>
  <c r="E32" i="18"/>
  <c r="E29" i="18"/>
  <c r="E39" i="18"/>
  <c r="E47" i="18"/>
  <c r="E56" i="18"/>
  <c r="E48" i="18"/>
  <c r="E76" i="18"/>
  <c r="E96" i="18"/>
  <c r="E100" i="18"/>
  <c r="E88" i="18"/>
  <c r="E64" i="18"/>
  <c r="H70" i="18"/>
  <c r="E84" i="18"/>
  <c r="E2669" i="18"/>
  <c r="E2987" i="18"/>
  <c r="E2663" i="18"/>
  <c r="E2984" i="18"/>
  <c r="E3048" i="18"/>
  <c r="E3156" i="18"/>
  <c r="E3264" i="18"/>
  <c r="E3372" i="18"/>
  <c r="E3480" i="18"/>
  <c r="E3138" i="18"/>
  <c r="E3246" i="18"/>
  <c r="E3354" i="18"/>
  <c r="E3462" i="18"/>
  <c r="E2651" i="18"/>
  <c r="E2642" i="18"/>
  <c r="E3020" i="18"/>
  <c r="E3102" i="18"/>
  <c r="E3210" i="18"/>
  <c r="E3318" i="18"/>
  <c r="E3426" i="18"/>
  <c r="E3009" i="18"/>
  <c r="E3027" i="18"/>
  <c r="E3045" i="18"/>
  <c r="E3063" i="18"/>
  <c r="E3081" i="18"/>
  <c r="E3099" i="18"/>
  <c r="E3117" i="18"/>
  <c r="E3135" i="18"/>
  <c r="E3153" i="18"/>
  <c r="E3171" i="18"/>
  <c r="E3189" i="18"/>
  <c r="E3207" i="18"/>
  <c r="E3225" i="18"/>
  <c r="E3243" i="18"/>
  <c r="E3261" i="18"/>
  <c r="E3279" i="18"/>
  <c r="E3297" i="18"/>
  <c r="E3315" i="18"/>
  <c r="E3333" i="18"/>
  <c r="E3351" i="18"/>
  <c r="E3369" i="18"/>
  <c r="E3387" i="18"/>
  <c r="E3038" i="18"/>
  <c r="E3488" i="18"/>
  <c r="E2985" i="18"/>
  <c r="E3003" i="18"/>
  <c r="E3021" i="18"/>
  <c r="E3039" i="18"/>
  <c r="E3057" i="18"/>
  <c r="E3075" i="18"/>
  <c r="E3093" i="18"/>
  <c r="E3111" i="18"/>
  <c r="E3129" i="18"/>
  <c r="E3147" i="18"/>
  <c r="E3165" i="18"/>
  <c r="E3183" i="18"/>
  <c r="E3201" i="18"/>
  <c r="E3219" i="18"/>
  <c r="E3237" i="18"/>
  <c r="E3255" i="18"/>
  <c r="E3273" i="18"/>
  <c r="E3291" i="18"/>
  <c r="E3309" i="18"/>
  <c r="E3327" i="18"/>
  <c r="E3345" i="18"/>
  <c r="E3363" i="18"/>
  <c r="E3381" i="18"/>
  <c r="E3399" i="18"/>
  <c r="E3417" i="18"/>
  <c r="E3435" i="18"/>
  <c r="E3453" i="18"/>
  <c r="E3471" i="18"/>
  <c r="E2982" i="18"/>
  <c r="E3000" i="18"/>
  <c r="E3018" i="18"/>
  <c r="E3036" i="18"/>
  <c r="E3054" i="18"/>
  <c r="E3072" i="18"/>
  <c r="E3090" i="18"/>
  <c r="E3108" i="18"/>
  <c r="E3126" i="18"/>
  <c r="E3144" i="18"/>
  <c r="E3162" i="18"/>
  <c r="E3180" i="18"/>
  <c r="E3198" i="18"/>
  <c r="E3216" i="18"/>
  <c r="E3234" i="18"/>
  <c r="E3252" i="18"/>
  <c r="E3270" i="18"/>
  <c r="E3288" i="18"/>
  <c r="E3306" i="18"/>
  <c r="E3324" i="18"/>
  <c r="E3342" i="18"/>
  <c r="E3360" i="18"/>
  <c r="E3378" i="18"/>
  <c r="E3396" i="18"/>
  <c r="E3414" i="18"/>
  <c r="E3432" i="18"/>
  <c r="E3450" i="18"/>
  <c r="E3468" i="18"/>
  <c r="E3029" i="18"/>
  <c r="E3047" i="18"/>
  <c r="E2990" i="18"/>
  <c r="E3008" i="18"/>
  <c r="E3026" i="18"/>
  <c r="E3044" i="18"/>
  <c r="E3496" i="18"/>
  <c r="E3487" i="18"/>
  <c r="E3970" i="18"/>
  <c r="E3988" i="18"/>
  <c r="G79" i="20"/>
  <c r="G33" i="20"/>
  <c r="E3982" i="18"/>
  <c r="E4000" i="18"/>
  <c r="E3979" i="18"/>
  <c r="E3997" i="18"/>
  <c r="E3976" i="18"/>
  <c r="E3994" i="18"/>
  <c r="G47" i="20"/>
  <c r="G59" i="20"/>
  <c r="G63" i="20"/>
  <c r="G67" i="20"/>
  <c r="G89" i="20"/>
  <c r="G17" i="20"/>
  <c r="G27" i="20"/>
  <c r="G31" i="20"/>
  <c r="G83" i="20"/>
  <c r="G77" i="20"/>
  <c r="G85" i="20"/>
  <c r="G93" i="20"/>
  <c r="F37" i="25"/>
  <c r="F34" i="25"/>
  <c r="F36" i="25"/>
  <c r="K10" i="25"/>
  <c r="F35" i="25"/>
  <c r="K15" i="25"/>
  <c r="I15" i="25"/>
  <c r="J15" i="25" s="1"/>
  <c r="I17" i="25"/>
  <c r="H17" i="25"/>
  <c r="K17" i="25"/>
  <c r="F16" i="25"/>
  <c r="K18" i="25"/>
  <c r="AG26" i="25"/>
  <c r="O27" i="25"/>
  <c r="L28" i="25"/>
  <c r="I29" i="25"/>
  <c r="G16" i="25"/>
  <c r="AH26" i="25"/>
  <c r="AE27" i="25"/>
  <c r="M28" i="25"/>
  <c r="J29" i="25"/>
  <c r="G26" i="25"/>
  <c r="AH27" i="25"/>
  <c r="AE28" i="25"/>
  <c r="N29" i="25"/>
  <c r="AG29" i="25"/>
  <c r="G14" i="25"/>
  <c r="H26" i="25"/>
  <c r="AF28" i="25"/>
  <c r="O29" i="25"/>
  <c r="AH29" i="25"/>
  <c r="M26" i="25"/>
  <c r="H27" i="25"/>
  <c r="AH28" i="25"/>
  <c r="N26" i="25"/>
  <c r="I27" i="25"/>
  <c r="N85" i="10" l="1"/>
  <c r="S781" i="17"/>
  <c r="S732" i="17"/>
  <c r="N87" i="10"/>
  <c r="N97" i="10"/>
  <c r="N92" i="10"/>
  <c r="N99" i="10"/>
  <c r="N94" i="10"/>
  <c r="N142" i="10"/>
  <c r="S768" i="17"/>
  <c r="S788" i="17"/>
  <c r="S773" i="17"/>
  <c r="O743" i="17"/>
  <c r="S784" i="17"/>
  <c r="Q744" i="17"/>
  <c r="T768" i="17"/>
  <c r="O778" i="17"/>
  <c r="N768" i="17"/>
  <c r="O768" i="17" s="1"/>
  <c r="S723" i="17"/>
  <c r="S756" i="17"/>
  <c r="Q767" i="17"/>
  <c r="Q722" i="17"/>
  <c r="O761" i="17"/>
  <c r="S772" i="17"/>
  <c r="S755" i="17"/>
  <c r="K375" i="18"/>
  <c r="G97" i="20"/>
  <c r="G101" i="20"/>
  <c r="G55" i="20"/>
  <c r="O742" i="17"/>
  <c r="G19" i="20"/>
  <c r="G95" i="20"/>
  <c r="O727" i="17"/>
  <c r="H825" i="17"/>
  <c r="O719" i="17"/>
  <c r="T727" i="17"/>
  <c r="V727" i="17" s="1"/>
  <c r="S746" i="17"/>
  <c r="H824" i="17"/>
  <c r="I826" i="17"/>
  <c r="S771" i="17"/>
  <c r="G825" i="17"/>
  <c r="H821" i="17"/>
  <c r="T771" i="17"/>
  <c r="U771" i="17" s="1"/>
  <c r="O767" i="17"/>
  <c r="H822" i="17"/>
  <c r="F822" i="17"/>
  <c r="Z725" i="17"/>
  <c r="Y725" i="17" s="1"/>
  <c r="Z756" i="17"/>
  <c r="Y756" i="17" s="1"/>
  <c r="O790" i="17"/>
  <c r="O784" i="17"/>
  <c r="I825" i="17"/>
  <c r="J826" i="17"/>
  <c r="J823" i="17"/>
  <c r="I820" i="17"/>
  <c r="N771" i="17"/>
  <c r="O771" i="17" s="1"/>
  <c r="I822" i="17"/>
  <c r="J820" i="17"/>
  <c r="H826" i="17"/>
  <c r="H820" i="17"/>
  <c r="S791" i="17"/>
  <c r="Z724" i="17"/>
  <c r="Y724" i="17" s="1"/>
  <c r="F825" i="17"/>
  <c r="R767" i="17"/>
  <c r="O773" i="17"/>
  <c r="Z744" i="17"/>
  <c r="Y744" i="17" s="1"/>
  <c r="J825" i="17"/>
  <c r="J822" i="17"/>
  <c r="G824" i="17"/>
  <c r="G821" i="17"/>
  <c r="S728" i="17"/>
  <c r="S745" i="17"/>
  <c r="H823" i="17"/>
  <c r="G822" i="17"/>
  <c r="F821" i="17"/>
  <c r="Z758" i="17"/>
  <c r="Y758" i="17" s="1"/>
  <c r="I823" i="17"/>
  <c r="F826" i="17"/>
  <c r="F820" i="17"/>
  <c r="S785" i="17"/>
  <c r="O756" i="17"/>
  <c r="Q769" i="17"/>
  <c r="F824" i="17"/>
  <c r="J824" i="17"/>
  <c r="I824" i="17"/>
  <c r="J821" i="17"/>
  <c r="I821" i="17"/>
  <c r="Z763" i="17"/>
  <c r="S793" i="17"/>
  <c r="O777" i="17"/>
  <c r="G826" i="17"/>
  <c r="G823" i="17"/>
  <c r="G820" i="17"/>
  <c r="S777" i="17"/>
  <c r="T785" i="17"/>
  <c r="U785" i="17" s="1"/>
  <c r="F823" i="17"/>
  <c r="T719" i="17"/>
  <c r="O752" i="17"/>
  <c r="T724" i="17"/>
  <c r="U724" i="17" s="1"/>
  <c r="T788" i="17"/>
  <c r="V788" i="17" s="1"/>
  <c r="S724" i="17"/>
  <c r="O737" i="17"/>
  <c r="O734" i="17"/>
  <c r="S776" i="17"/>
  <c r="T773" i="17"/>
  <c r="T728" i="17"/>
  <c r="O781" i="17"/>
  <c r="N728" i="17"/>
  <c r="O728" i="17" s="1"/>
  <c r="O758" i="17"/>
  <c r="O747" i="17"/>
  <c r="R781" i="17"/>
  <c r="Z781" i="17" s="1"/>
  <c r="Y781" i="17" s="1"/>
  <c r="T744" i="17"/>
  <c r="U744" i="17" s="1"/>
  <c r="T781" i="17"/>
  <c r="U781" i="17" s="1"/>
  <c r="S787" i="17"/>
  <c r="O795" i="17"/>
  <c r="O776" i="17"/>
  <c r="S749" i="17"/>
  <c r="T791" i="17"/>
  <c r="U791" i="17" s="1"/>
  <c r="T767" i="17"/>
  <c r="V767" i="17" s="1"/>
  <c r="O725" i="17"/>
  <c r="S730" i="17"/>
  <c r="T787" i="17"/>
  <c r="U787" i="17" s="1"/>
  <c r="O797" i="17"/>
  <c r="O757" i="17"/>
  <c r="S757" i="17"/>
  <c r="N791" i="17"/>
  <c r="O791" i="17" s="1"/>
  <c r="T749" i="17"/>
  <c r="U749" i="17" s="1"/>
  <c r="O744" i="17"/>
  <c r="T776" i="17"/>
  <c r="T725" i="17"/>
  <c r="U725" i="17" s="1"/>
  <c r="P719" i="17"/>
  <c r="Q719" i="17" s="1"/>
  <c r="O772" i="17"/>
  <c r="O749" i="17"/>
  <c r="S760" i="17"/>
  <c r="R772" i="17"/>
  <c r="Z772" i="17" s="1"/>
  <c r="Y772" i="17" s="1"/>
  <c r="N785" i="17"/>
  <c r="O785" i="17" s="1"/>
  <c r="T784" i="17"/>
  <c r="V784" i="17" s="1"/>
  <c r="G105" i="20"/>
  <c r="T777" i="17"/>
  <c r="C27" i="9"/>
  <c r="S721" i="17"/>
  <c r="N787" i="17"/>
  <c r="O787" i="17" s="1"/>
  <c r="T756" i="17"/>
  <c r="T772" i="17"/>
  <c r="G73" i="20"/>
  <c r="S734" i="17"/>
  <c r="O770" i="17"/>
  <c r="O724" i="17"/>
  <c r="X805" i="17"/>
  <c r="X803" i="17"/>
  <c r="X801" i="17"/>
  <c r="X806" i="17"/>
  <c r="X804" i="17"/>
  <c r="X802" i="17"/>
  <c r="X800" i="17"/>
  <c r="AJ805" i="17"/>
  <c r="AJ803" i="17"/>
  <c r="AJ801" i="17"/>
  <c r="AJ806" i="17"/>
  <c r="AJ804" i="17"/>
  <c r="AJ802" i="17"/>
  <c r="AJ800" i="17"/>
  <c r="T723" i="17"/>
  <c r="N723" i="17"/>
  <c r="AD806" i="17"/>
  <c r="AD804" i="17"/>
  <c r="AD802" i="17"/>
  <c r="AD800" i="17"/>
  <c r="AD805" i="17"/>
  <c r="AD803" i="17"/>
  <c r="AD801" i="17"/>
  <c r="Y805" i="17"/>
  <c r="Y803" i="17"/>
  <c r="Y801" i="17"/>
  <c r="Y806" i="17"/>
  <c r="Y804" i="17"/>
  <c r="Y802" i="17"/>
  <c r="Y800" i="17"/>
  <c r="T793" i="17"/>
  <c r="N793" i="17"/>
  <c r="T765" i="17"/>
  <c r="U765" i="17" s="1"/>
  <c r="N765" i="17"/>
  <c r="AK805" i="17"/>
  <c r="AK803" i="17"/>
  <c r="AK801" i="17"/>
  <c r="AK806" i="17"/>
  <c r="AK804" i="17"/>
  <c r="AK802" i="17"/>
  <c r="AK800" i="17"/>
  <c r="S758" i="17"/>
  <c r="S770" i="17"/>
  <c r="T758" i="17"/>
  <c r="U758" i="17" s="1"/>
  <c r="AE806" i="17"/>
  <c r="AE804" i="17"/>
  <c r="AE802" i="17"/>
  <c r="AE800" i="17"/>
  <c r="AE805" i="17"/>
  <c r="AE803" i="17"/>
  <c r="AE801" i="17"/>
  <c r="Z805" i="17"/>
  <c r="Z803" i="17"/>
  <c r="Z801" i="17"/>
  <c r="Z806" i="17"/>
  <c r="Z804" i="17"/>
  <c r="Z802" i="17"/>
  <c r="Z800" i="17"/>
  <c r="Q734" i="17"/>
  <c r="Z734" i="17" s="1"/>
  <c r="Y734" i="17" s="1"/>
  <c r="O789" i="17"/>
  <c r="T757" i="17"/>
  <c r="U757" i="17" s="1"/>
  <c r="T760" i="17"/>
  <c r="N760" i="17"/>
  <c r="AF806" i="17"/>
  <c r="AF804" i="17"/>
  <c r="AF802" i="17"/>
  <c r="AF800" i="17"/>
  <c r="AF805" i="17"/>
  <c r="AF803" i="17"/>
  <c r="AF801" i="17"/>
  <c r="AL805" i="17"/>
  <c r="AL803" i="17"/>
  <c r="AL801" i="17"/>
  <c r="AL806" i="17"/>
  <c r="AL804" i="17"/>
  <c r="AL802" i="17"/>
  <c r="AL800" i="17"/>
  <c r="S765" i="17"/>
  <c r="Q770" i="17"/>
  <c r="Z770" i="17" s="1"/>
  <c r="Y770" i="17" s="1"/>
  <c r="U806" i="17"/>
  <c r="U804" i="17"/>
  <c r="U802" i="17"/>
  <c r="U800" i="17"/>
  <c r="U805" i="17"/>
  <c r="U803" i="17"/>
  <c r="U801" i="17"/>
  <c r="T742" i="17"/>
  <c r="V768" i="17"/>
  <c r="T722" i="17"/>
  <c r="V722" i="17" s="1"/>
  <c r="N722" i="17"/>
  <c r="T730" i="17"/>
  <c r="N730" i="17"/>
  <c r="T755" i="17"/>
  <c r="U755" i="17" s="1"/>
  <c r="N755" i="17"/>
  <c r="AG806" i="17"/>
  <c r="AG804" i="17"/>
  <c r="AG802" i="17"/>
  <c r="AG800" i="17"/>
  <c r="AG801" i="17"/>
  <c r="AG805" i="17"/>
  <c r="AG803" i="17"/>
  <c r="AA805" i="17"/>
  <c r="AA803" i="17"/>
  <c r="AA801" i="17"/>
  <c r="AA806" i="17"/>
  <c r="AA802" i="17"/>
  <c r="AA804" i="17"/>
  <c r="AA800" i="17"/>
  <c r="T732" i="17"/>
  <c r="V732" i="17" s="1"/>
  <c r="N732" i="17"/>
  <c r="T797" i="17"/>
  <c r="V803" i="17"/>
  <c r="V806" i="17"/>
  <c r="V800" i="17"/>
  <c r="V801" i="17"/>
  <c r="V804" i="17"/>
  <c r="V802" i="17"/>
  <c r="V805" i="17"/>
  <c r="AM805" i="17"/>
  <c r="AM803" i="17"/>
  <c r="AM801" i="17"/>
  <c r="AM804" i="17"/>
  <c r="AM800" i="17"/>
  <c r="AM806" i="17"/>
  <c r="AM802" i="17"/>
  <c r="U768" i="17"/>
  <c r="O779" i="17"/>
  <c r="AH804" i="17"/>
  <c r="AH805" i="17"/>
  <c r="AH803" i="17"/>
  <c r="AH806" i="17"/>
  <c r="AH802" i="17"/>
  <c r="AH800" i="17"/>
  <c r="AH801" i="17"/>
  <c r="AC806" i="17"/>
  <c r="AC804" i="17"/>
  <c r="AC802" i="17"/>
  <c r="AC800" i="17"/>
  <c r="AC805" i="17"/>
  <c r="AC803" i="17"/>
  <c r="AC801" i="17"/>
  <c r="S797" i="17"/>
  <c r="T721" i="17"/>
  <c r="U721" i="17" s="1"/>
  <c r="N721" i="17"/>
  <c r="T770" i="17"/>
  <c r="W805" i="17"/>
  <c r="W803" i="17"/>
  <c r="W801" i="17"/>
  <c r="W806" i="17"/>
  <c r="W804" i="17"/>
  <c r="W802" i="17"/>
  <c r="W800" i="17"/>
  <c r="AB805" i="17"/>
  <c r="AB801" i="17"/>
  <c r="AB804" i="17"/>
  <c r="AB800" i="17"/>
  <c r="AB802" i="17"/>
  <c r="AB803" i="17"/>
  <c r="AB806" i="17"/>
  <c r="AO806" i="17"/>
  <c r="AO804" i="17"/>
  <c r="AO802" i="17"/>
  <c r="AO800" i="17"/>
  <c r="AO805" i="17"/>
  <c r="AO803" i="17"/>
  <c r="AO801" i="17"/>
  <c r="R776" i="17"/>
  <c r="Z776" i="17" s="1"/>
  <c r="Y776" i="17" s="1"/>
  <c r="N788" i="17"/>
  <c r="O788" i="17" s="1"/>
  <c r="T734" i="17"/>
  <c r="T769" i="17"/>
  <c r="V769" i="17" s="1"/>
  <c r="AI805" i="17"/>
  <c r="AI803" i="17"/>
  <c r="AI801" i="17"/>
  <c r="AI806" i="17"/>
  <c r="AI804" i="17"/>
  <c r="AI802" i="17"/>
  <c r="AI800" i="17"/>
  <c r="AN803" i="17"/>
  <c r="AN800" i="17"/>
  <c r="AN805" i="17"/>
  <c r="AN801" i="17"/>
  <c r="AN806" i="17"/>
  <c r="AN804" i="17"/>
  <c r="AN802" i="17"/>
  <c r="O769" i="17"/>
  <c r="Q797" i="17"/>
  <c r="Z797" i="17" s="1"/>
  <c r="Y797" i="17" s="1"/>
  <c r="O796" i="17"/>
  <c r="S796" i="17"/>
  <c r="R796" i="17"/>
  <c r="Z796" i="17" s="1"/>
  <c r="Y796" i="17" s="1"/>
  <c r="T796" i="17"/>
  <c r="U796" i="17" s="1"/>
  <c r="S795" i="17"/>
  <c r="Q795" i="17"/>
  <c r="Z795" i="17" s="1"/>
  <c r="Y795" i="17" s="1"/>
  <c r="T795" i="17"/>
  <c r="T794" i="17"/>
  <c r="U794" i="17" s="1"/>
  <c r="N794" i="17"/>
  <c r="S794" i="17"/>
  <c r="O792" i="17"/>
  <c r="S792" i="17"/>
  <c r="R792" i="17"/>
  <c r="Z792" i="17" s="1"/>
  <c r="Y792" i="17" s="1"/>
  <c r="T792" i="17"/>
  <c r="U792" i="17" s="1"/>
  <c r="S790" i="17"/>
  <c r="Q790" i="17"/>
  <c r="Z790" i="17" s="1"/>
  <c r="Y790" i="17" s="1"/>
  <c r="T790" i="17"/>
  <c r="S789" i="17"/>
  <c r="R789" i="17"/>
  <c r="Z789" i="17" s="1"/>
  <c r="Y789" i="17" s="1"/>
  <c r="T789" i="17"/>
  <c r="U789" i="17" s="1"/>
  <c r="R784" i="17"/>
  <c r="Z784" i="17" s="1"/>
  <c r="Y784" i="17" s="1"/>
  <c r="O783" i="17"/>
  <c r="S783" i="17"/>
  <c r="R783" i="17"/>
  <c r="Z783" i="17" s="1"/>
  <c r="Y783" i="17" s="1"/>
  <c r="T783" i="17"/>
  <c r="U783" i="17" s="1"/>
  <c r="T782" i="17"/>
  <c r="U782" i="17" s="1"/>
  <c r="N782" i="17"/>
  <c r="S782" i="17"/>
  <c r="T780" i="17"/>
  <c r="M780" i="17"/>
  <c r="S779" i="17"/>
  <c r="Q779" i="17"/>
  <c r="Z779" i="17" s="1"/>
  <c r="Y779" i="17" s="1"/>
  <c r="T779" i="17"/>
  <c r="S778" i="17"/>
  <c r="Q778" i="17"/>
  <c r="Z778" i="17" s="1"/>
  <c r="Y778" i="17" s="1"/>
  <c r="T778" i="17"/>
  <c r="R777" i="17"/>
  <c r="Z777" i="17" s="1"/>
  <c r="Y777" i="17" s="1"/>
  <c r="O775" i="17"/>
  <c r="S775" i="17"/>
  <c r="R775" i="17"/>
  <c r="Z775" i="17" s="1"/>
  <c r="T775" i="17"/>
  <c r="U775" i="17" s="1"/>
  <c r="R773" i="17"/>
  <c r="Z773" i="17" s="1"/>
  <c r="Y773" i="17" s="1"/>
  <c r="R769" i="17"/>
  <c r="T766" i="17"/>
  <c r="U766" i="17" s="1"/>
  <c r="N766" i="17"/>
  <c r="S766" i="17"/>
  <c r="N764" i="17"/>
  <c r="T764" i="17"/>
  <c r="U764" i="17" s="1"/>
  <c r="S764" i="17"/>
  <c r="O763" i="17"/>
  <c r="S763" i="17"/>
  <c r="T763" i="17"/>
  <c r="U763" i="17" s="1"/>
  <c r="S761" i="17"/>
  <c r="Q761" i="17"/>
  <c r="Z761" i="17" s="1"/>
  <c r="Y761" i="17" s="1"/>
  <c r="T761" i="17"/>
  <c r="O759" i="17"/>
  <c r="R759" i="17"/>
  <c r="Z759" i="17" s="1"/>
  <c r="Y759" i="17" s="1"/>
  <c r="S759" i="17"/>
  <c r="T759" i="17"/>
  <c r="U759" i="17" s="1"/>
  <c r="R757" i="17"/>
  <c r="Z757" i="17" s="1"/>
  <c r="Y757" i="17" s="1"/>
  <c r="T754" i="17"/>
  <c r="U754" i="17" s="1"/>
  <c r="N754" i="17"/>
  <c r="S754" i="17"/>
  <c r="T753" i="17"/>
  <c r="U753" i="17" s="1"/>
  <c r="N753" i="17"/>
  <c r="S753" i="17"/>
  <c r="S752" i="17"/>
  <c r="Q752" i="17"/>
  <c r="Z752" i="17" s="1"/>
  <c r="Y752" i="17" s="1"/>
  <c r="T752" i="17"/>
  <c r="T751" i="17"/>
  <c r="U751" i="17" s="1"/>
  <c r="N751" i="17"/>
  <c r="S751" i="17"/>
  <c r="R749" i="17"/>
  <c r="Z749" i="17" s="1"/>
  <c r="Y749" i="17" s="1"/>
  <c r="T748" i="17"/>
  <c r="U748" i="17" s="1"/>
  <c r="N748" i="17"/>
  <c r="S748" i="17"/>
  <c r="S747" i="17"/>
  <c r="Q747" i="17"/>
  <c r="Z747" i="17" s="1"/>
  <c r="Y747" i="17" s="1"/>
  <c r="T747" i="17"/>
  <c r="T746" i="17"/>
  <c r="N746" i="17"/>
  <c r="T745" i="17"/>
  <c r="V745" i="17" s="1"/>
  <c r="N745" i="17"/>
  <c r="S743" i="17"/>
  <c r="Q743" i="17"/>
  <c r="Z743" i="17" s="1"/>
  <c r="Y743" i="17" s="1"/>
  <c r="T743" i="17"/>
  <c r="S742" i="17"/>
  <c r="Q742" i="17"/>
  <c r="Z742" i="17" s="1"/>
  <c r="Y742" i="17" s="1"/>
  <c r="T741" i="17"/>
  <c r="U741" i="17" s="1"/>
  <c r="N741" i="17"/>
  <c r="S741" i="17"/>
  <c r="N740" i="17"/>
  <c r="T740" i="17"/>
  <c r="U740" i="17" s="1"/>
  <c r="S740" i="17"/>
  <c r="T739" i="17"/>
  <c r="U739" i="17" s="1"/>
  <c r="N739" i="17"/>
  <c r="S739" i="17"/>
  <c r="S737" i="17"/>
  <c r="Q737" i="17"/>
  <c r="Z737" i="17" s="1"/>
  <c r="Y737" i="17" s="1"/>
  <c r="T737" i="17"/>
  <c r="O736" i="17"/>
  <c r="S736" i="17"/>
  <c r="R736" i="17"/>
  <c r="Z736" i="17" s="1"/>
  <c r="Y736" i="17" s="1"/>
  <c r="T736" i="17"/>
  <c r="U736" i="17" s="1"/>
  <c r="T735" i="17"/>
  <c r="U735" i="17" s="1"/>
  <c r="N735" i="17"/>
  <c r="S735" i="17"/>
  <c r="T733" i="17"/>
  <c r="U733" i="17" s="1"/>
  <c r="N733" i="17"/>
  <c r="S733" i="17"/>
  <c r="U732" i="17"/>
  <c r="T731" i="17"/>
  <c r="U731" i="17" s="1"/>
  <c r="N731" i="17"/>
  <c r="S731" i="17"/>
  <c r="T729" i="17"/>
  <c r="U729" i="17" s="1"/>
  <c r="N729" i="17"/>
  <c r="S729" i="17"/>
  <c r="R727" i="17"/>
  <c r="Z727" i="17" s="1"/>
  <c r="S725" i="17"/>
  <c r="T720" i="17"/>
  <c r="U720" i="17" s="1"/>
  <c r="N720" i="17"/>
  <c r="S720" i="17"/>
  <c r="N718" i="17"/>
  <c r="O718" i="17" s="1"/>
  <c r="P718" i="17" s="1"/>
  <c r="T718" i="17"/>
  <c r="N717" i="17"/>
  <c r="O717" i="17" s="1"/>
  <c r="P717" i="17" s="1"/>
  <c r="T717" i="17"/>
  <c r="O716" i="17"/>
  <c r="P716" i="17" s="1"/>
  <c r="T716" i="17"/>
  <c r="T715" i="17"/>
  <c r="N715" i="17"/>
  <c r="O715" i="17" s="1"/>
  <c r="P715" i="17" s="1"/>
  <c r="G91" i="20"/>
  <c r="S91" i="20"/>
  <c r="G127" i="20"/>
  <c r="S127" i="20"/>
  <c r="G51" i="20"/>
  <c r="S51" i="20"/>
  <c r="G133" i="20"/>
  <c r="S133" i="20"/>
  <c r="G125" i="20"/>
  <c r="S125" i="20"/>
  <c r="G43" i="20"/>
  <c r="S43" i="20"/>
  <c r="G87" i="20"/>
  <c r="S87" i="20"/>
  <c r="G81" i="20"/>
  <c r="S81" i="20"/>
  <c r="C25" i="9"/>
  <c r="C63" i="9"/>
  <c r="B181" i="10"/>
  <c r="E181" i="10" s="1"/>
  <c r="A471" i="20"/>
  <c r="S471" i="20" s="1"/>
  <c r="A161" i="20"/>
  <c r="S161" i="20" s="1"/>
  <c r="B304" i="10"/>
  <c r="F304" i="10" s="1"/>
  <c r="A594" i="20"/>
  <c r="S594" i="20" s="1"/>
  <c r="A284" i="20"/>
  <c r="S284" i="20" s="1"/>
  <c r="B364" i="10"/>
  <c r="J364" i="10" s="1"/>
  <c r="A654" i="20"/>
  <c r="S654" i="20" s="1"/>
  <c r="A344" i="20"/>
  <c r="S344" i="20" s="1"/>
  <c r="B164" i="10"/>
  <c r="C164" i="10" s="1"/>
  <c r="A454" i="20"/>
  <c r="S454" i="20" s="1"/>
  <c r="A144" i="20"/>
  <c r="S144" i="20" s="1"/>
  <c r="B197" i="10"/>
  <c r="I197" i="10" s="1"/>
  <c r="A487" i="20"/>
  <c r="S487" i="20" s="1"/>
  <c r="A177" i="20"/>
  <c r="S177" i="20" s="1"/>
  <c r="B171" i="10"/>
  <c r="C171" i="10" s="1"/>
  <c r="A461" i="20"/>
  <c r="S461" i="20" s="1"/>
  <c r="A151" i="20"/>
  <c r="S151" i="20" s="1"/>
  <c r="B188" i="10"/>
  <c r="C188" i="10" s="1"/>
  <c r="A478" i="20"/>
  <c r="S478" i="20" s="1"/>
  <c r="A168" i="20"/>
  <c r="S168" i="20" s="1"/>
  <c r="B241" i="10"/>
  <c r="C241" i="10" s="1"/>
  <c r="A531" i="20"/>
  <c r="S531" i="20" s="1"/>
  <c r="A221" i="20"/>
  <c r="S221" i="20" s="1"/>
  <c r="B239" i="10"/>
  <c r="J239" i="10" s="1"/>
  <c r="A529" i="20"/>
  <c r="S529" i="20" s="1"/>
  <c r="A219" i="20"/>
  <c r="S219" i="20" s="1"/>
  <c r="B274" i="10"/>
  <c r="J274" i="10" s="1"/>
  <c r="A564" i="20"/>
  <c r="S564" i="20" s="1"/>
  <c r="A254" i="20"/>
  <c r="S254" i="20" s="1"/>
  <c r="B309" i="10"/>
  <c r="D309" i="10" s="1"/>
  <c r="A599" i="20"/>
  <c r="S599" i="20" s="1"/>
  <c r="A289" i="20"/>
  <c r="S289" i="20" s="1"/>
  <c r="B223" i="10"/>
  <c r="D223" i="10" s="1"/>
  <c r="A513" i="20"/>
  <c r="S513" i="20" s="1"/>
  <c r="A203" i="20"/>
  <c r="S203" i="20" s="1"/>
  <c r="B258" i="10"/>
  <c r="I258" i="10" s="1"/>
  <c r="A548" i="20"/>
  <c r="S548" i="20" s="1"/>
  <c r="A238" i="20"/>
  <c r="S238" i="20" s="1"/>
  <c r="B334" i="10"/>
  <c r="G334" i="10" s="1"/>
  <c r="A624" i="20"/>
  <c r="S624" i="20" s="1"/>
  <c r="A314" i="20"/>
  <c r="S314" i="20" s="1"/>
  <c r="B322" i="10"/>
  <c r="I322" i="10" s="1"/>
  <c r="A612" i="20"/>
  <c r="S612" i="20" s="1"/>
  <c r="A302" i="20"/>
  <c r="S302" i="20" s="1"/>
  <c r="B396" i="10"/>
  <c r="C396" i="10" s="1"/>
  <c r="A686" i="20"/>
  <c r="S686" i="20" s="1"/>
  <c r="A376" i="20"/>
  <c r="S376" i="20" s="1"/>
  <c r="B305" i="10"/>
  <c r="H305" i="10" s="1"/>
  <c r="A595" i="20"/>
  <c r="S595" i="20" s="1"/>
  <c r="A285" i="20"/>
  <c r="S285" i="20" s="1"/>
  <c r="B291" i="10"/>
  <c r="F291" i="10" s="1"/>
  <c r="A581" i="20"/>
  <c r="S581" i="20" s="1"/>
  <c r="A271" i="20"/>
  <c r="S271" i="20" s="1"/>
  <c r="B301" i="10"/>
  <c r="C301" i="10" s="1"/>
  <c r="A591" i="20"/>
  <c r="S591" i="20" s="1"/>
  <c r="A281" i="20"/>
  <c r="S281" i="20" s="1"/>
  <c r="B397" i="10"/>
  <c r="C397" i="10" s="1"/>
  <c r="A687" i="20"/>
  <c r="S687" i="20" s="1"/>
  <c r="A377" i="20"/>
  <c r="S377" i="20" s="1"/>
  <c r="B431" i="10"/>
  <c r="J431" i="10" s="1"/>
  <c r="A721" i="20"/>
  <c r="S721" i="20" s="1"/>
  <c r="A411" i="20"/>
  <c r="S411" i="20" s="1"/>
  <c r="B367" i="10"/>
  <c r="I367" i="10" s="1"/>
  <c r="A657" i="20"/>
  <c r="S657" i="20" s="1"/>
  <c r="A347" i="20"/>
  <c r="S347" i="20" s="1"/>
  <c r="B423" i="10"/>
  <c r="M423" i="10" s="1"/>
  <c r="A713" i="20"/>
  <c r="S713" i="20" s="1"/>
  <c r="A403" i="20"/>
  <c r="S403" i="20" s="1"/>
  <c r="B376" i="10"/>
  <c r="E376" i="10" s="1"/>
  <c r="A666" i="20"/>
  <c r="S666" i="20" s="1"/>
  <c r="A356" i="20"/>
  <c r="S356" i="20" s="1"/>
  <c r="B399" i="10"/>
  <c r="C399" i="10" s="1"/>
  <c r="A689" i="20"/>
  <c r="S689" i="20" s="1"/>
  <c r="A379" i="20"/>
  <c r="S379" i="20" s="1"/>
  <c r="B445" i="10"/>
  <c r="E445" i="10" s="1"/>
  <c r="A735" i="20"/>
  <c r="S735" i="20" s="1"/>
  <c r="A425" i="20"/>
  <c r="S425" i="20" s="1"/>
  <c r="B453" i="10"/>
  <c r="J453" i="10" s="1"/>
  <c r="A743" i="20"/>
  <c r="S743" i="20" s="1"/>
  <c r="A433" i="20"/>
  <c r="S433" i="20" s="1"/>
  <c r="B218" i="10"/>
  <c r="K218" i="10" s="1"/>
  <c r="A508" i="20"/>
  <c r="S508" i="20" s="1"/>
  <c r="A198" i="20"/>
  <c r="S198" i="20" s="1"/>
  <c r="B293" i="10"/>
  <c r="E293" i="10" s="1"/>
  <c r="A583" i="20"/>
  <c r="S583" i="20" s="1"/>
  <c r="A273" i="20"/>
  <c r="S273" i="20" s="1"/>
  <c r="B167" i="10"/>
  <c r="D167" i="10" s="1"/>
  <c r="A457" i="20"/>
  <c r="S457" i="20" s="1"/>
  <c r="A147" i="20"/>
  <c r="S147" i="20" s="1"/>
  <c r="B176" i="10"/>
  <c r="D176" i="10" s="1"/>
  <c r="A466" i="20"/>
  <c r="S466" i="20" s="1"/>
  <c r="A156" i="20"/>
  <c r="S156" i="20" s="1"/>
  <c r="B203" i="10"/>
  <c r="C203" i="10" s="1"/>
  <c r="A493" i="20"/>
  <c r="S493" i="20" s="1"/>
  <c r="A183" i="20"/>
  <c r="S183" i="20" s="1"/>
  <c r="B189" i="10"/>
  <c r="E189" i="10" s="1"/>
  <c r="A479" i="20"/>
  <c r="S479" i="20" s="1"/>
  <c r="A169" i="20"/>
  <c r="S169" i="20" s="1"/>
  <c r="B194" i="10"/>
  <c r="H194" i="10" s="1"/>
  <c r="A484" i="20"/>
  <c r="S484" i="20" s="1"/>
  <c r="A174" i="20"/>
  <c r="S174" i="20" s="1"/>
  <c r="B253" i="10"/>
  <c r="F253" i="10" s="1"/>
  <c r="A543" i="20"/>
  <c r="S543" i="20" s="1"/>
  <c r="A233" i="20"/>
  <c r="S233" i="20" s="1"/>
  <c r="B251" i="10"/>
  <c r="E251" i="10" s="1"/>
  <c r="A541" i="20"/>
  <c r="S541" i="20" s="1"/>
  <c r="A231" i="20"/>
  <c r="S231" i="20" s="1"/>
  <c r="B281" i="10"/>
  <c r="M281" i="10" s="1"/>
  <c r="A571" i="20"/>
  <c r="S571" i="20" s="1"/>
  <c r="A261" i="20"/>
  <c r="S261" i="20" s="1"/>
  <c r="B311" i="10"/>
  <c r="C311" i="10" s="1"/>
  <c r="A601" i="20"/>
  <c r="S601" i="20" s="1"/>
  <c r="A291" i="20"/>
  <c r="S291" i="20" s="1"/>
  <c r="B235" i="10"/>
  <c r="E235" i="10" s="1"/>
  <c r="A525" i="20"/>
  <c r="S525" i="20" s="1"/>
  <c r="A215" i="20"/>
  <c r="S215" i="20" s="1"/>
  <c r="B270" i="10"/>
  <c r="I270" i="10" s="1"/>
  <c r="A560" i="20"/>
  <c r="S560" i="20" s="1"/>
  <c r="A250" i="20"/>
  <c r="S250" i="20" s="1"/>
  <c r="B184" i="10"/>
  <c r="F184" i="10" s="1"/>
  <c r="A474" i="20"/>
  <c r="S474" i="20" s="1"/>
  <c r="A164" i="20"/>
  <c r="S164" i="20" s="1"/>
  <c r="B343" i="10"/>
  <c r="F343" i="10" s="1"/>
  <c r="A633" i="20"/>
  <c r="S633" i="20" s="1"/>
  <c r="A323" i="20"/>
  <c r="S323" i="20" s="1"/>
  <c r="B435" i="10"/>
  <c r="G435" i="10" s="1"/>
  <c r="A725" i="20"/>
  <c r="S725" i="20" s="1"/>
  <c r="A415" i="20"/>
  <c r="S415" i="20" s="1"/>
  <c r="B317" i="10"/>
  <c r="L317" i="10" s="1"/>
  <c r="A607" i="20"/>
  <c r="S607" i="20" s="1"/>
  <c r="A297" i="20"/>
  <c r="S297" i="20" s="1"/>
  <c r="B303" i="10"/>
  <c r="C303" i="10" s="1"/>
  <c r="A593" i="20"/>
  <c r="S593" i="20" s="1"/>
  <c r="A283" i="20"/>
  <c r="S283" i="20" s="1"/>
  <c r="B313" i="10"/>
  <c r="E313" i="10" s="1"/>
  <c r="A603" i="20"/>
  <c r="S603" i="20" s="1"/>
  <c r="A293" i="20"/>
  <c r="S293" i="20" s="1"/>
  <c r="B424" i="10"/>
  <c r="C424" i="10" s="1"/>
  <c r="A714" i="20"/>
  <c r="S714" i="20" s="1"/>
  <c r="A404" i="20"/>
  <c r="S404" i="20" s="1"/>
  <c r="B463" i="10"/>
  <c r="F463" i="10" s="1"/>
  <c r="A753" i="20"/>
  <c r="S753" i="20" s="1"/>
  <c r="A443" i="20"/>
  <c r="S443" i="20" s="1"/>
  <c r="B379" i="10"/>
  <c r="M379" i="10" s="1"/>
  <c r="A669" i="20"/>
  <c r="S669" i="20" s="1"/>
  <c r="A359" i="20"/>
  <c r="S359" i="20" s="1"/>
  <c r="B353" i="10"/>
  <c r="M353" i="10" s="1"/>
  <c r="A643" i="20"/>
  <c r="S643" i="20" s="1"/>
  <c r="A333" i="20"/>
  <c r="S333" i="20" s="1"/>
  <c r="B388" i="10"/>
  <c r="I388" i="10" s="1"/>
  <c r="A678" i="20"/>
  <c r="S678" i="20" s="1"/>
  <c r="A368" i="20"/>
  <c r="S368" i="20" s="1"/>
  <c r="B439" i="10"/>
  <c r="I439" i="10" s="1"/>
  <c r="A729" i="20"/>
  <c r="S729" i="20" s="1"/>
  <c r="A419" i="20"/>
  <c r="S419" i="20" s="1"/>
  <c r="B457" i="10"/>
  <c r="G457" i="10" s="1"/>
  <c r="A747" i="20"/>
  <c r="S747" i="20" s="1"/>
  <c r="A437" i="20"/>
  <c r="S437" i="20" s="1"/>
  <c r="B465" i="10"/>
  <c r="K465" i="10" s="1"/>
  <c r="A755" i="20"/>
  <c r="S755" i="20" s="1"/>
  <c r="A445" i="20"/>
  <c r="S445" i="20" s="1"/>
  <c r="B307" i="10"/>
  <c r="M307" i="10" s="1"/>
  <c r="A597" i="20"/>
  <c r="S597" i="20" s="1"/>
  <c r="A287" i="20"/>
  <c r="S287" i="20" s="1"/>
  <c r="B411" i="10"/>
  <c r="G411" i="10" s="1"/>
  <c r="A701" i="20"/>
  <c r="S701" i="20" s="1"/>
  <c r="A391" i="20"/>
  <c r="S391" i="20" s="1"/>
  <c r="B231" i="10"/>
  <c r="G231" i="10" s="1"/>
  <c r="A521" i="20"/>
  <c r="S521" i="20" s="1"/>
  <c r="A211" i="20"/>
  <c r="S211" i="20" s="1"/>
  <c r="B198" i="10"/>
  <c r="L198" i="10" s="1"/>
  <c r="A488" i="20"/>
  <c r="S488" i="20" s="1"/>
  <c r="A178" i="20"/>
  <c r="S178" i="20" s="1"/>
  <c r="B227" i="10"/>
  <c r="J227" i="10" s="1"/>
  <c r="A517" i="20"/>
  <c r="S517" i="20" s="1"/>
  <c r="A207" i="20"/>
  <c r="S207" i="20" s="1"/>
  <c r="B195" i="10"/>
  <c r="K195" i="10" s="1"/>
  <c r="A485" i="20"/>
  <c r="S485" i="20" s="1"/>
  <c r="A175" i="20"/>
  <c r="S175" i="20" s="1"/>
  <c r="B211" i="10"/>
  <c r="E211" i="10" s="1"/>
  <c r="A501" i="20"/>
  <c r="S501" i="20" s="1"/>
  <c r="A191" i="20"/>
  <c r="S191" i="20" s="1"/>
  <c r="B265" i="10"/>
  <c r="F265" i="10" s="1"/>
  <c r="A555" i="20"/>
  <c r="S555" i="20" s="1"/>
  <c r="A245" i="20"/>
  <c r="S245" i="20" s="1"/>
  <c r="B263" i="10"/>
  <c r="G263" i="10" s="1"/>
  <c r="A553" i="20"/>
  <c r="S553" i="20" s="1"/>
  <c r="A243" i="20"/>
  <c r="S243" i="20" s="1"/>
  <c r="B285" i="10"/>
  <c r="K285" i="10" s="1"/>
  <c r="A575" i="20"/>
  <c r="S575" i="20" s="1"/>
  <c r="A265" i="20"/>
  <c r="S265" i="20" s="1"/>
  <c r="B374" i="10"/>
  <c r="D374" i="10" s="1"/>
  <c r="A664" i="20"/>
  <c r="S664" i="20" s="1"/>
  <c r="A354" i="20"/>
  <c r="S354" i="20" s="1"/>
  <c r="B247" i="10"/>
  <c r="C247" i="10" s="1"/>
  <c r="A537" i="20"/>
  <c r="S537" i="20" s="1"/>
  <c r="A227" i="20"/>
  <c r="S227" i="20" s="1"/>
  <c r="B299" i="10"/>
  <c r="K299" i="10" s="1"/>
  <c r="A589" i="20"/>
  <c r="S589" i="20" s="1"/>
  <c r="A279" i="20"/>
  <c r="S279" i="20" s="1"/>
  <c r="B196" i="10"/>
  <c r="F196" i="10" s="1"/>
  <c r="A486" i="20"/>
  <c r="S486" i="20" s="1"/>
  <c r="A176" i="20"/>
  <c r="S176" i="20" s="1"/>
  <c r="B346" i="10"/>
  <c r="F346" i="10" s="1"/>
  <c r="A636" i="20"/>
  <c r="S636" i="20" s="1"/>
  <c r="A326" i="20"/>
  <c r="S326" i="20" s="1"/>
  <c r="B342" i="10"/>
  <c r="L342" i="10" s="1"/>
  <c r="A632" i="20"/>
  <c r="S632" i="20" s="1"/>
  <c r="A322" i="20"/>
  <c r="S322" i="20" s="1"/>
  <c r="B324" i="10"/>
  <c r="G324" i="10" s="1"/>
  <c r="A614" i="20"/>
  <c r="S614" i="20" s="1"/>
  <c r="A304" i="20"/>
  <c r="S304" i="20" s="1"/>
  <c r="B315" i="10"/>
  <c r="D315" i="10" s="1"/>
  <c r="A605" i="20"/>
  <c r="S605" i="20" s="1"/>
  <c r="A295" i="20"/>
  <c r="S295" i="20" s="1"/>
  <c r="B381" i="10"/>
  <c r="L381" i="10" s="1"/>
  <c r="A671" i="20"/>
  <c r="S671" i="20" s="1"/>
  <c r="A361" i="20"/>
  <c r="S361" i="20" s="1"/>
  <c r="B371" i="10"/>
  <c r="D371" i="10" s="1"/>
  <c r="A661" i="20"/>
  <c r="S661" i="20" s="1"/>
  <c r="A351" i="20"/>
  <c r="S351" i="20" s="1"/>
  <c r="B427" i="10"/>
  <c r="I427" i="10" s="1"/>
  <c r="A717" i="20"/>
  <c r="S717" i="20" s="1"/>
  <c r="A407" i="20"/>
  <c r="S407" i="20" s="1"/>
  <c r="B391" i="10"/>
  <c r="I391" i="10" s="1"/>
  <c r="A681" i="20"/>
  <c r="S681" i="20" s="1"/>
  <c r="A371" i="20"/>
  <c r="S371" i="20" s="1"/>
  <c r="B365" i="10"/>
  <c r="F365" i="10" s="1"/>
  <c r="A655" i="20"/>
  <c r="S655" i="20" s="1"/>
  <c r="A345" i="20"/>
  <c r="S345" i="20" s="1"/>
  <c r="B400" i="10"/>
  <c r="G400" i="10" s="1"/>
  <c r="A690" i="20"/>
  <c r="S690" i="20" s="1"/>
  <c r="A380" i="20"/>
  <c r="S380" i="20" s="1"/>
  <c r="B426" i="10"/>
  <c r="C426" i="10" s="1"/>
  <c r="A716" i="20"/>
  <c r="S716" i="20" s="1"/>
  <c r="A406" i="20"/>
  <c r="S406" i="20" s="1"/>
  <c r="B444" i="10"/>
  <c r="G444" i="10" s="1"/>
  <c r="A734" i="20"/>
  <c r="S734" i="20" s="1"/>
  <c r="A424" i="20"/>
  <c r="S424" i="20" s="1"/>
  <c r="B428" i="10"/>
  <c r="F428" i="10" s="1"/>
  <c r="A718" i="20"/>
  <c r="S718" i="20" s="1"/>
  <c r="A408" i="20"/>
  <c r="S408" i="20" s="1"/>
  <c r="B246" i="10"/>
  <c r="K246" i="10" s="1"/>
  <c r="A536" i="20"/>
  <c r="S536" i="20" s="1"/>
  <c r="A226" i="20"/>
  <c r="S226" i="20" s="1"/>
  <c r="B441" i="10"/>
  <c r="I441" i="10" s="1"/>
  <c r="A731" i="20"/>
  <c r="S731" i="20" s="1"/>
  <c r="A421" i="20"/>
  <c r="S421" i="20" s="1"/>
  <c r="B204" i="10"/>
  <c r="J204" i="10" s="1"/>
  <c r="A494" i="20"/>
  <c r="S494" i="20" s="1"/>
  <c r="A184" i="20"/>
  <c r="S184" i="20" s="1"/>
  <c r="B254" i="10"/>
  <c r="K254" i="10" s="1"/>
  <c r="A544" i="20"/>
  <c r="S544" i="20" s="1"/>
  <c r="A234" i="20"/>
  <c r="S234" i="20" s="1"/>
  <c r="B207" i="10"/>
  <c r="M207" i="10" s="1"/>
  <c r="A497" i="20"/>
  <c r="S497" i="20" s="1"/>
  <c r="A187" i="20"/>
  <c r="S187" i="20" s="1"/>
  <c r="B228" i="10"/>
  <c r="K228" i="10" s="1"/>
  <c r="A518" i="20"/>
  <c r="S518" i="20" s="1"/>
  <c r="A208" i="20"/>
  <c r="S208" i="20" s="1"/>
  <c r="B277" i="10"/>
  <c r="F277" i="10" s="1"/>
  <c r="A567" i="20"/>
  <c r="S567" i="20" s="1"/>
  <c r="A257" i="20"/>
  <c r="S257" i="20" s="1"/>
  <c r="B275" i="10"/>
  <c r="E275" i="10" s="1"/>
  <c r="A565" i="20"/>
  <c r="S565" i="20" s="1"/>
  <c r="A255" i="20"/>
  <c r="S255" i="20" s="1"/>
  <c r="B295" i="10"/>
  <c r="D295" i="10" s="1"/>
  <c r="A585" i="20"/>
  <c r="S585" i="20" s="1"/>
  <c r="A275" i="20"/>
  <c r="S275" i="20" s="1"/>
  <c r="B420" i="10"/>
  <c r="G420" i="10" s="1"/>
  <c r="A710" i="20"/>
  <c r="S710" i="20" s="1"/>
  <c r="A400" i="20"/>
  <c r="S400" i="20" s="1"/>
  <c r="B259" i="10"/>
  <c r="G259" i="10" s="1"/>
  <c r="A549" i="20"/>
  <c r="S549" i="20" s="1"/>
  <c r="A239" i="20"/>
  <c r="S239" i="20" s="1"/>
  <c r="B321" i="10"/>
  <c r="C321" i="10" s="1"/>
  <c r="A611" i="20"/>
  <c r="S611" i="20" s="1"/>
  <c r="A301" i="20"/>
  <c r="S301" i="20" s="1"/>
  <c r="B208" i="10"/>
  <c r="F208" i="10" s="1"/>
  <c r="A498" i="20"/>
  <c r="S498" i="20" s="1"/>
  <c r="A188" i="20"/>
  <c r="S188" i="20" s="1"/>
  <c r="B349" i="10"/>
  <c r="L349" i="10" s="1"/>
  <c r="A639" i="20"/>
  <c r="S639" i="20" s="1"/>
  <c r="A329" i="20"/>
  <c r="S329" i="20" s="1"/>
  <c r="B405" i="10"/>
  <c r="F405" i="10" s="1"/>
  <c r="A695" i="20"/>
  <c r="S695" i="20" s="1"/>
  <c r="A385" i="20"/>
  <c r="S385" i="20" s="1"/>
  <c r="B354" i="10"/>
  <c r="G354" i="10" s="1"/>
  <c r="A644" i="20"/>
  <c r="S644" i="20" s="1"/>
  <c r="A334" i="20"/>
  <c r="S334" i="20" s="1"/>
  <c r="B332" i="10"/>
  <c r="I332" i="10" s="1"/>
  <c r="A622" i="20"/>
  <c r="S622" i="20" s="1"/>
  <c r="A312" i="20"/>
  <c r="S312" i="20" s="1"/>
  <c r="B288" i="10"/>
  <c r="G288" i="10" s="1"/>
  <c r="A578" i="20"/>
  <c r="S578" i="20" s="1"/>
  <c r="A268" i="20"/>
  <c r="S268" i="20" s="1"/>
  <c r="B383" i="10"/>
  <c r="I383" i="10" s="1"/>
  <c r="A673" i="20"/>
  <c r="S673" i="20" s="1"/>
  <c r="A363" i="20"/>
  <c r="S363" i="20" s="1"/>
  <c r="B368" i="10"/>
  <c r="C368" i="10" s="1"/>
  <c r="A658" i="20"/>
  <c r="S658" i="20" s="1"/>
  <c r="A348" i="20"/>
  <c r="S348" i="20" s="1"/>
  <c r="B403" i="10"/>
  <c r="C403" i="10" s="1"/>
  <c r="A693" i="20"/>
  <c r="S693" i="20" s="1"/>
  <c r="A383" i="20"/>
  <c r="S383" i="20" s="1"/>
  <c r="B377" i="10"/>
  <c r="G377" i="10" s="1"/>
  <c r="A667" i="20"/>
  <c r="S667" i="20" s="1"/>
  <c r="A357" i="20"/>
  <c r="S357" i="20" s="1"/>
  <c r="B410" i="10"/>
  <c r="F410" i="10" s="1"/>
  <c r="A700" i="20"/>
  <c r="S700" i="20" s="1"/>
  <c r="A390" i="20"/>
  <c r="S390" i="20" s="1"/>
  <c r="B438" i="10"/>
  <c r="D438" i="10" s="1"/>
  <c r="A728" i="20"/>
  <c r="S728" i="20" s="1"/>
  <c r="A418" i="20"/>
  <c r="S418" i="20" s="1"/>
  <c r="B456" i="10"/>
  <c r="G456" i="10" s="1"/>
  <c r="A746" i="20"/>
  <c r="S746" i="20" s="1"/>
  <c r="A436" i="20"/>
  <c r="S436" i="20" s="1"/>
  <c r="B440" i="10"/>
  <c r="J440" i="10" s="1"/>
  <c r="A730" i="20"/>
  <c r="S730" i="20" s="1"/>
  <c r="A420" i="20"/>
  <c r="S420" i="20" s="1"/>
  <c r="B174" i="10"/>
  <c r="F174" i="10" s="1"/>
  <c r="A464" i="20"/>
  <c r="S464" i="20" s="1"/>
  <c r="A154" i="20"/>
  <c r="S154" i="20" s="1"/>
  <c r="B278" i="10"/>
  <c r="E278" i="10" s="1"/>
  <c r="A568" i="20"/>
  <c r="S568" i="20" s="1"/>
  <c r="A258" i="20"/>
  <c r="S258" i="20" s="1"/>
  <c r="B325" i="10"/>
  <c r="E325" i="10" s="1"/>
  <c r="A615" i="20"/>
  <c r="S615" i="20" s="1"/>
  <c r="A305" i="20"/>
  <c r="S305" i="20" s="1"/>
  <c r="B387" i="10"/>
  <c r="E387" i="10" s="1"/>
  <c r="A677" i="20"/>
  <c r="S677" i="20" s="1"/>
  <c r="A367" i="20"/>
  <c r="S367" i="20" s="1"/>
  <c r="B166" i="10"/>
  <c r="E166" i="10" s="1"/>
  <c r="A456" i="20"/>
  <c r="S456" i="20" s="1"/>
  <c r="A146" i="20"/>
  <c r="S146" i="20" s="1"/>
  <c r="B209" i="10"/>
  <c r="I209" i="10" s="1"/>
  <c r="A499" i="20"/>
  <c r="S499" i="20" s="1"/>
  <c r="A189" i="20"/>
  <c r="S189" i="20" s="1"/>
  <c r="B267" i="10"/>
  <c r="F267" i="10" s="1"/>
  <c r="A557" i="20"/>
  <c r="S557" i="20" s="1"/>
  <c r="A247" i="20"/>
  <c r="S247" i="20" s="1"/>
  <c r="B230" i="10"/>
  <c r="C230" i="10" s="1"/>
  <c r="A520" i="20"/>
  <c r="S520" i="20" s="1"/>
  <c r="A210" i="20"/>
  <c r="S210" i="20" s="1"/>
  <c r="B306" i="10"/>
  <c r="J306" i="10" s="1"/>
  <c r="A596" i="20"/>
  <c r="S596" i="20" s="1"/>
  <c r="A286" i="20"/>
  <c r="S286" i="20" s="1"/>
  <c r="B282" i="10"/>
  <c r="M282" i="10" s="1"/>
  <c r="A572" i="20"/>
  <c r="S572" i="20" s="1"/>
  <c r="A262" i="20"/>
  <c r="S262" i="20" s="1"/>
  <c r="B316" i="10"/>
  <c r="G316" i="10" s="1"/>
  <c r="A606" i="20"/>
  <c r="S606" i="20" s="1"/>
  <c r="A296" i="20"/>
  <c r="S296" i="20" s="1"/>
  <c r="B318" i="10"/>
  <c r="I318" i="10" s="1"/>
  <c r="A608" i="20"/>
  <c r="S608" i="20" s="1"/>
  <c r="A298" i="20"/>
  <c r="S298" i="20" s="1"/>
  <c r="B212" i="10"/>
  <c r="E212" i="10" s="1"/>
  <c r="A502" i="20"/>
  <c r="S502" i="20" s="1"/>
  <c r="A192" i="20"/>
  <c r="S192" i="20" s="1"/>
  <c r="B271" i="10"/>
  <c r="D271" i="10" s="1"/>
  <c r="A561" i="20"/>
  <c r="S561" i="20" s="1"/>
  <c r="A251" i="20"/>
  <c r="S251" i="20" s="1"/>
  <c r="B326" i="10"/>
  <c r="M326" i="10" s="1"/>
  <c r="A616" i="20"/>
  <c r="S616" i="20" s="1"/>
  <c r="A306" i="20"/>
  <c r="S306" i="20" s="1"/>
  <c r="B220" i="10"/>
  <c r="C220" i="10" s="1"/>
  <c r="A510" i="20"/>
  <c r="S510" i="20" s="1"/>
  <c r="A200" i="20"/>
  <c r="S200" i="20" s="1"/>
  <c r="B355" i="10"/>
  <c r="C355" i="10" s="1"/>
  <c r="A645" i="20"/>
  <c r="S645" i="20" s="1"/>
  <c r="A335" i="20"/>
  <c r="S335" i="20" s="1"/>
  <c r="B437" i="10"/>
  <c r="C437" i="10" s="1"/>
  <c r="A727" i="20"/>
  <c r="S727" i="20" s="1"/>
  <c r="A417" i="20"/>
  <c r="S417" i="20" s="1"/>
  <c r="B360" i="10"/>
  <c r="I360" i="10" s="1"/>
  <c r="A650" i="20"/>
  <c r="S650" i="20" s="1"/>
  <c r="A340" i="20"/>
  <c r="S340" i="20" s="1"/>
  <c r="B336" i="10"/>
  <c r="E336" i="10" s="1"/>
  <c r="A626" i="20"/>
  <c r="S626" i="20" s="1"/>
  <c r="A316" i="20"/>
  <c r="S316" i="20" s="1"/>
  <c r="B300" i="10"/>
  <c r="F300" i="10" s="1"/>
  <c r="A590" i="20"/>
  <c r="S590" i="20" s="1"/>
  <c r="A280" i="20"/>
  <c r="S280" i="20" s="1"/>
  <c r="B395" i="10"/>
  <c r="K395" i="10" s="1"/>
  <c r="A685" i="20"/>
  <c r="S685" i="20" s="1"/>
  <c r="A375" i="20"/>
  <c r="S375" i="20" s="1"/>
  <c r="B380" i="10"/>
  <c r="G380" i="10" s="1"/>
  <c r="A670" i="20"/>
  <c r="S670" i="20" s="1"/>
  <c r="A360" i="20"/>
  <c r="S360" i="20" s="1"/>
  <c r="B436" i="10"/>
  <c r="C436" i="10" s="1"/>
  <c r="A726" i="20"/>
  <c r="S726" i="20" s="1"/>
  <c r="A416" i="20"/>
  <c r="S416" i="20" s="1"/>
  <c r="B389" i="10"/>
  <c r="D389" i="10" s="1"/>
  <c r="A679" i="20"/>
  <c r="S679" i="20" s="1"/>
  <c r="A369" i="20"/>
  <c r="S369" i="20" s="1"/>
  <c r="B414" i="10"/>
  <c r="F414" i="10" s="1"/>
  <c r="A704" i="20"/>
  <c r="S704" i="20" s="1"/>
  <c r="A394" i="20"/>
  <c r="S394" i="20" s="1"/>
  <c r="B450" i="10"/>
  <c r="L450" i="10" s="1"/>
  <c r="A740" i="20"/>
  <c r="S740" i="20" s="1"/>
  <c r="A430" i="20"/>
  <c r="S430" i="20" s="1"/>
  <c r="B455" i="10"/>
  <c r="D455" i="10" s="1"/>
  <c r="A745" i="20"/>
  <c r="S745" i="20" s="1"/>
  <c r="A435" i="20"/>
  <c r="S435" i="20" s="1"/>
  <c r="B452" i="10"/>
  <c r="E452" i="10" s="1"/>
  <c r="A742" i="20"/>
  <c r="S742" i="20" s="1"/>
  <c r="A432" i="20"/>
  <c r="S432" i="20" s="1"/>
  <c r="B242" i="10"/>
  <c r="J242" i="10" s="1"/>
  <c r="A532" i="20"/>
  <c r="S532" i="20" s="1"/>
  <c r="A222" i="20"/>
  <c r="S222" i="20" s="1"/>
  <c r="B419" i="10"/>
  <c r="K419" i="10" s="1"/>
  <c r="A709" i="20"/>
  <c r="S709" i="20" s="1"/>
  <c r="A399" i="20"/>
  <c r="S399" i="20" s="1"/>
  <c r="B178" i="10"/>
  <c r="E178" i="10" s="1"/>
  <c r="A468" i="20"/>
  <c r="S468" i="20" s="1"/>
  <c r="A158" i="20"/>
  <c r="S158" i="20" s="1"/>
  <c r="B168" i="10"/>
  <c r="E168" i="10" s="1"/>
  <c r="A458" i="20"/>
  <c r="S458" i="20" s="1"/>
  <c r="A148" i="20"/>
  <c r="S148" i="20" s="1"/>
  <c r="B224" i="10"/>
  <c r="C224" i="10" s="1"/>
  <c r="A514" i="20"/>
  <c r="S514" i="20" s="1"/>
  <c r="A204" i="20"/>
  <c r="S204" i="20" s="1"/>
  <c r="B384" i="10"/>
  <c r="G384" i="10" s="1"/>
  <c r="A674" i="20"/>
  <c r="S674" i="20" s="1"/>
  <c r="A364" i="20"/>
  <c r="S364" i="20" s="1"/>
  <c r="B449" i="10"/>
  <c r="F449" i="10" s="1"/>
  <c r="A739" i="20"/>
  <c r="S739" i="20" s="1"/>
  <c r="A429" i="20"/>
  <c r="S429" i="20" s="1"/>
  <c r="B290" i="10"/>
  <c r="M290" i="10" s="1"/>
  <c r="A580" i="20"/>
  <c r="S580" i="20" s="1"/>
  <c r="A270" i="20"/>
  <c r="S270" i="20" s="1"/>
  <c r="B372" i="10"/>
  <c r="J372" i="10" s="1"/>
  <c r="A662" i="20"/>
  <c r="S662" i="20" s="1"/>
  <c r="A352" i="20"/>
  <c r="S352" i="20" s="1"/>
  <c r="B213" i="10"/>
  <c r="C213" i="10" s="1"/>
  <c r="A503" i="20"/>
  <c r="S503" i="20" s="1"/>
  <c r="A193" i="20"/>
  <c r="S193" i="20" s="1"/>
  <c r="B163" i="10"/>
  <c r="D163" i="10" s="1"/>
  <c r="A453" i="20"/>
  <c r="S453" i="20" s="1"/>
  <c r="A143" i="20"/>
  <c r="S143" i="20" s="1"/>
  <c r="B161" i="10"/>
  <c r="D161" i="10" s="1"/>
  <c r="A451" i="20"/>
  <c r="S451" i="20" s="1"/>
  <c r="A141" i="20"/>
  <c r="S141" i="20" s="1"/>
  <c r="B243" i="10"/>
  <c r="C243" i="10" s="1"/>
  <c r="A533" i="20"/>
  <c r="S533" i="20" s="1"/>
  <c r="A223" i="20"/>
  <c r="S223" i="20" s="1"/>
  <c r="B286" i="10"/>
  <c r="J286" i="10" s="1"/>
  <c r="A576" i="20"/>
  <c r="S576" i="20" s="1"/>
  <c r="A266" i="20"/>
  <c r="S266" i="20" s="1"/>
  <c r="B330" i="10"/>
  <c r="C330" i="10" s="1"/>
  <c r="A620" i="20"/>
  <c r="S620" i="20" s="1"/>
  <c r="A310" i="20"/>
  <c r="S310" i="20" s="1"/>
  <c r="B413" i="10"/>
  <c r="L413" i="10" s="1"/>
  <c r="A703" i="20"/>
  <c r="S703" i="20" s="1"/>
  <c r="A393" i="20"/>
  <c r="S393" i="20" s="1"/>
  <c r="B280" i="10"/>
  <c r="D280" i="10" s="1"/>
  <c r="A570" i="20"/>
  <c r="S570" i="20" s="1"/>
  <c r="A260" i="20"/>
  <c r="S260" i="20" s="1"/>
  <c r="B221" i="10"/>
  <c r="D221" i="10" s="1"/>
  <c r="A511" i="20"/>
  <c r="S511" i="20" s="1"/>
  <c r="A201" i="20"/>
  <c r="S201" i="20" s="1"/>
  <c r="B232" i="10"/>
  <c r="F232" i="10" s="1"/>
  <c r="A522" i="20"/>
  <c r="S522" i="20" s="1"/>
  <c r="A212" i="20"/>
  <c r="S212" i="20" s="1"/>
  <c r="B357" i="10"/>
  <c r="I357" i="10" s="1"/>
  <c r="A647" i="20"/>
  <c r="S647" i="20" s="1"/>
  <c r="A337" i="20"/>
  <c r="S337" i="20" s="1"/>
  <c r="B329" i="10"/>
  <c r="G329" i="10" s="1"/>
  <c r="A619" i="20"/>
  <c r="S619" i="20" s="1"/>
  <c r="A309" i="20"/>
  <c r="S309" i="20" s="1"/>
  <c r="B398" i="10"/>
  <c r="J398" i="10" s="1"/>
  <c r="A688" i="20"/>
  <c r="S688" i="20" s="1"/>
  <c r="A378" i="20"/>
  <c r="S378" i="20" s="1"/>
  <c r="B312" i="10"/>
  <c r="E312" i="10" s="1"/>
  <c r="A602" i="20"/>
  <c r="S602" i="20" s="1"/>
  <c r="A292" i="20"/>
  <c r="S292" i="20" s="1"/>
  <c r="B407" i="10"/>
  <c r="K407" i="10" s="1"/>
  <c r="A697" i="20"/>
  <c r="S697" i="20" s="1"/>
  <c r="A387" i="20"/>
  <c r="S387" i="20" s="1"/>
  <c r="B392" i="10"/>
  <c r="D392" i="10" s="1"/>
  <c r="A682" i="20"/>
  <c r="S682" i="20" s="1"/>
  <c r="A372" i="20"/>
  <c r="S372" i="20" s="1"/>
  <c r="B443" i="10"/>
  <c r="L443" i="10" s="1"/>
  <c r="A733" i="20"/>
  <c r="S733" i="20" s="1"/>
  <c r="A423" i="20"/>
  <c r="S423" i="20" s="1"/>
  <c r="B401" i="10"/>
  <c r="M401" i="10" s="1"/>
  <c r="A691" i="20"/>
  <c r="S691" i="20" s="1"/>
  <c r="A381" i="20"/>
  <c r="S381" i="20" s="1"/>
  <c r="B462" i="10"/>
  <c r="H462" i="10" s="1"/>
  <c r="A752" i="20"/>
  <c r="S752" i="20" s="1"/>
  <c r="A442" i="20"/>
  <c r="S442" i="20" s="1"/>
  <c r="B418" i="10"/>
  <c r="C418" i="10" s="1"/>
  <c r="A708" i="20"/>
  <c r="S708" i="20" s="1"/>
  <c r="A398" i="20"/>
  <c r="S398" i="20" s="1"/>
  <c r="B464" i="10"/>
  <c r="D464" i="10" s="1"/>
  <c r="A754" i="20"/>
  <c r="S754" i="20" s="1"/>
  <c r="A444" i="20"/>
  <c r="S444" i="20" s="1"/>
  <c r="B199" i="10"/>
  <c r="E199" i="10" s="1"/>
  <c r="A489" i="20"/>
  <c r="S489" i="20" s="1"/>
  <c r="A179" i="20"/>
  <c r="S179" i="20" s="1"/>
  <c r="B215" i="10"/>
  <c r="C215" i="10" s="1"/>
  <c r="A505" i="20"/>
  <c r="S505" i="20" s="1"/>
  <c r="A195" i="20"/>
  <c r="S195" i="20" s="1"/>
  <c r="B175" i="10"/>
  <c r="F175" i="10" s="1"/>
  <c r="A465" i="20"/>
  <c r="S465" i="20" s="1"/>
  <c r="A155" i="20"/>
  <c r="S155" i="20" s="1"/>
  <c r="B173" i="10"/>
  <c r="D173" i="10" s="1"/>
  <c r="A463" i="20"/>
  <c r="S463" i="20" s="1"/>
  <c r="A153" i="20"/>
  <c r="S153" i="20" s="1"/>
  <c r="B170" i="10"/>
  <c r="D170" i="10" s="1"/>
  <c r="A460" i="20"/>
  <c r="S460" i="20" s="1"/>
  <c r="A150" i="20"/>
  <c r="S150" i="20" s="1"/>
  <c r="B180" i="10"/>
  <c r="K180" i="10" s="1"/>
  <c r="A470" i="20"/>
  <c r="S470" i="20" s="1"/>
  <c r="A160" i="20"/>
  <c r="S160" i="20" s="1"/>
  <c r="B298" i="10"/>
  <c r="D298" i="10" s="1"/>
  <c r="A588" i="20"/>
  <c r="S588" i="20" s="1"/>
  <c r="A278" i="20"/>
  <c r="S278" i="20" s="1"/>
  <c r="B338" i="10"/>
  <c r="E338" i="10" s="1"/>
  <c r="A628" i="20"/>
  <c r="S628" i="20" s="1"/>
  <c r="A318" i="20"/>
  <c r="S318" i="20" s="1"/>
  <c r="B237" i="10"/>
  <c r="I237" i="10" s="1"/>
  <c r="A527" i="20"/>
  <c r="S527" i="20" s="1"/>
  <c r="A217" i="20"/>
  <c r="S217" i="20" s="1"/>
  <c r="B236" i="10"/>
  <c r="C236" i="10" s="1"/>
  <c r="A526" i="20"/>
  <c r="S526" i="20" s="1"/>
  <c r="A216" i="20"/>
  <c r="S216" i="20" s="1"/>
  <c r="B284" i="10"/>
  <c r="L284" i="10" s="1"/>
  <c r="A574" i="20"/>
  <c r="S574" i="20" s="1"/>
  <c r="A264" i="20"/>
  <c r="S264" i="20" s="1"/>
  <c r="B233" i="10"/>
  <c r="E233" i="10" s="1"/>
  <c r="A523" i="20"/>
  <c r="S523" i="20" s="1"/>
  <c r="A213" i="20"/>
  <c r="S213" i="20" s="1"/>
  <c r="B244" i="10"/>
  <c r="C244" i="10" s="1"/>
  <c r="A534" i="20"/>
  <c r="S534" i="20" s="1"/>
  <c r="A224" i="20"/>
  <c r="S224" i="20" s="1"/>
  <c r="B359" i="10"/>
  <c r="M359" i="10" s="1"/>
  <c r="A649" i="20"/>
  <c r="S649" i="20" s="1"/>
  <c r="A339" i="20"/>
  <c r="S339" i="20" s="1"/>
  <c r="B333" i="10"/>
  <c r="M333" i="10" s="1"/>
  <c r="A623" i="20"/>
  <c r="S623" i="20" s="1"/>
  <c r="A313" i="20"/>
  <c r="S313" i="20" s="1"/>
  <c r="B416" i="10"/>
  <c r="K416" i="10" s="1"/>
  <c r="A706" i="20"/>
  <c r="S706" i="20" s="1"/>
  <c r="A396" i="20"/>
  <c r="S396" i="20" s="1"/>
  <c r="B314" i="10"/>
  <c r="F314" i="10" s="1"/>
  <c r="A604" i="20"/>
  <c r="S604" i="20" s="1"/>
  <c r="A294" i="20"/>
  <c r="S294" i="20" s="1"/>
  <c r="B331" i="10"/>
  <c r="J331" i="10" s="1"/>
  <c r="A621" i="20"/>
  <c r="S621" i="20" s="1"/>
  <c r="A311" i="20"/>
  <c r="S311" i="20" s="1"/>
  <c r="B459" i="10"/>
  <c r="I459" i="10" s="1"/>
  <c r="A749" i="20"/>
  <c r="S749" i="20" s="1"/>
  <c r="A439" i="20"/>
  <c r="S439" i="20" s="1"/>
  <c r="B404" i="10"/>
  <c r="E404" i="10" s="1"/>
  <c r="A694" i="20"/>
  <c r="S694" i="20" s="1"/>
  <c r="A384" i="20"/>
  <c r="S384" i="20" s="1"/>
  <c r="B451" i="10"/>
  <c r="J451" i="10" s="1"/>
  <c r="A741" i="20"/>
  <c r="S741" i="20" s="1"/>
  <c r="A431" i="20"/>
  <c r="S431" i="20" s="1"/>
  <c r="B432" i="10"/>
  <c r="C432" i="10" s="1"/>
  <c r="A722" i="20"/>
  <c r="S722" i="20" s="1"/>
  <c r="A412" i="20"/>
  <c r="S412" i="20" s="1"/>
  <c r="B327" i="10"/>
  <c r="G327" i="10" s="1"/>
  <c r="A617" i="20"/>
  <c r="S617" i="20" s="1"/>
  <c r="A307" i="20"/>
  <c r="S307" i="20" s="1"/>
  <c r="B422" i="10"/>
  <c r="J422" i="10" s="1"/>
  <c r="A712" i="20"/>
  <c r="S712" i="20" s="1"/>
  <c r="A402" i="20"/>
  <c r="S402" i="20" s="1"/>
  <c r="B430" i="10"/>
  <c r="H430" i="10" s="1"/>
  <c r="A720" i="20"/>
  <c r="S720" i="20" s="1"/>
  <c r="A410" i="20"/>
  <c r="S410" i="20" s="1"/>
  <c r="B279" i="10"/>
  <c r="D279" i="10" s="1"/>
  <c r="A569" i="20"/>
  <c r="S569" i="20" s="1"/>
  <c r="A259" i="20"/>
  <c r="S259" i="20" s="1"/>
  <c r="B205" i="10"/>
  <c r="C205" i="10" s="1"/>
  <c r="A495" i="20"/>
  <c r="S495" i="20" s="1"/>
  <c r="A185" i="20"/>
  <c r="S185" i="20" s="1"/>
  <c r="B217" i="10"/>
  <c r="C217" i="10" s="1"/>
  <c r="A507" i="20"/>
  <c r="S507" i="20" s="1"/>
  <c r="A197" i="20"/>
  <c r="S197" i="20" s="1"/>
  <c r="B185" i="10"/>
  <c r="H185" i="10" s="1"/>
  <c r="A475" i="20"/>
  <c r="S475" i="20" s="1"/>
  <c r="A165" i="20"/>
  <c r="S165" i="20" s="1"/>
  <c r="B190" i="10"/>
  <c r="D190" i="10" s="1"/>
  <c r="A480" i="20"/>
  <c r="S480" i="20" s="1"/>
  <c r="A170" i="20"/>
  <c r="S170" i="20" s="1"/>
  <c r="B160" i="10"/>
  <c r="G160" i="10" s="1"/>
  <c r="A450" i="20"/>
  <c r="S450" i="20" s="1"/>
  <c r="A140" i="20"/>
  <c r="S140" i="20" s="1"/>
  <c r="B182" i="10"/>
  <c r="F182" i="10" s="1"/>
  <c r="A472" i="20"/>
  <c r="S472" i="20" s="1"/>
  <c r="A162" i="20"/>
  <c r="S162" i="20" s="1"/>
  <c r="B200" i="10"/>
  <c r="I200" i="10" s="1"/>
  <c r="A490" i="20"/>
  <c r="S490" i="20" s="1"/>
  <c r="A180" i="20"/>
  <c r="S180" i="20" s="1"/>
  <c r="B240" i="10"/>
  <c r="C240" i="10" s="1"/>
  <c r="A530" i="20"/>
  <c r="S530" i="20" s="1"/>
  <c r="A220" i="20"/>
  <c r="S220" i="20" s="1"/>
  <c r="B408" i="10"/>
  <c r="L408" i="10" s="1"/>
  <c r="A698" i="20"/>
  <c r="S698" i="20" s="1"/>
  <c r="A388" i="20"/>
  <c r="S388" i="20" s="1"/>
  <c r="B249" i="10"/>
  <c r="M249" i="10" s="1"/>
  <c r="A539" i="20"/>
  <c r="S539" i="20" s="1"/>
  <c r="A229" i="20"/>
  <c r="S229" i="20" s="1"/>
  <c r="B248" i="10"/>
  <c r="L248" i="10" s="1"/>
  <c r="A538" i="20"/>
  <c r="S538" i="20" s="1"/>
  <c r="A228" i="20"/>
  <c r="S228" i="20" s="1"/>
  <c r="B302" i="10"/>
  <c r="G302" i="10" s="1"/>
  <c r="A592" i="20"/>
  <c r="S592" i="20" s="1"/>
  <c r="A282" i="20"/>
  <c r="S282" i="20" s="1"/>
  <c r="B245" i="10"/>
  <c r="C245" i="10" s="1"/>
  <c r="A535" i="20"/>
  <c r="S535" i="20" s="1"/>
  <c r="A225" i="20"/>
  <c r="S225" i="20" s="1"/>
  <c r="B256" i="10"/>
  <c r="J256" i="10" s="1"/>
  <c r="A546" i="20"/>
  <c r="S546" i="20" s="1"/>
  <c r="A236" i="20"/>
  <c r="S236" i="20" s="1"/>
  <c r="B369" i="10"/>
  <c r="F369" i="10" s="1"/>
  <c r="A659" i="20"/>
  <c r="S659" i="20" s="1"/>
  <c r="A349" i="20"/>
  <c r="S349" i="20" s="1"/>
  <c r="B337" i="10"/>
  <c r="J337" i="10" s="1"/>
  <c r="A627" i="20"/>
  <c r="S627" i="20" s="1"/>
  <c r="A317" i="20"/>
  <c r="S317" i="20" s="1"/>
  <c r="B341" i="10"/>
  <c r="K341" i="10" s="1"/>
  <c r="A631" i="20"/>
  <c r="S631" i="20" s="1"/>
  <c r="A321" i="20"/>
  <c r="S321" i="20" s="1"/>
  <c r="B323" i="10"/>
  <c r="D323" i="10" s="1"/>
  <c r="A613" i="20"/>
  <c r="S613" i="20" s="1"/>
  <c r="A303" i="20"/>
  <c r="S303" i="20" s="1"/>
  <c r="B335" i="10"/>
  <c r="G335" i="10" s="1"/>
  <c r="A625" i="20"/>
  <c r="S625" i="20" s="1"/>
  <c r="A315" i="20"/>
  <c r="S315" i="20" s="1"/>
  <c r="B370" i="10"/>
  <c r="I370" i="10" s="1"/>
  <c r="A660" i="20"/>
  <c r="S660" i="20" s="1"/>
  <c r="A350" i="20"/>
  <c r="S350" i="20" s="1"/>
  <c r="B412" i="10"/>
  <c r="K412" i="10" s="1"/>
  <c r="A702" i="20"/>
  <c r="S702" i="20" s="1"/>
  <c r="A392" i="20"/>
  <c r="S392" i="20" s="1"/>
  <c r="B366" i="10"/>
  <c r="L366" i="10" s="1"/>
  <c r="A656" i="20"/>
  <c r="S656" i="20" s="1"/>
  <c r="A346" i="20"/>
  <c r="S346" i="20" s="1"/>
  <c r="B461" i="10"/>
  <c r="D461" i="10" s="1"/>
  <c r="A751" i="20"/>
  <c r="S751" i="20" s="1"/>
  <c r="A441" i="20"/>
  <c r="S441" i="20" s="1"/>
  <c r="B339" i="10"/>
  <c r="L339" i="10" s="1"/>
  <c r="A629" i="20"/>
  <c r="S629" i="20" s="1"/>
  <c r="A319" i="20"/>
  <c r="S319" i="20" s="1"/>
  <c r="B434" i="10"/>
  <c r="M434" i="10" s="1"/>
  <c r="A724" i="20"/>
  <c r="S724" i="20" s="1"/>
  <c r="A414" i="20"/>
  <c r="S414" i="20" s="1"/>
  <c r="B442" i="10"/>
  <c r="J442" i="10" s="1"/>
  <c r="A732" i="20"/>
  <c r="S732" i="20" s="1"/>
  <c r="A422" i="20"/>
  <c r="S422" i="20" s="1"/>
  <c r="B192" i="10"/>
  <c r="K192" i="10" s="1"/>
  <c r="A482" i="20"/>
  <c r="S482" i="20" s="1"/>
  <c r="A172" i="20"/>
  <c r="S172" i="20" s="1"/>
  <c r="B297" i="10"/>
  <c r="J297" i="10" s="1"/>
  <c r="A587" i="20"/>
  <c r="S587" i="20" s="1"/>
  <c r="A277" i="20"/>
  <c r="S277" i="20" s="1"/>
  <c r="B460" i="10"/>
  <c r="I460" i="10" s="1"/>
  <c r="A750" i="20"/>
  <c r="S750" i="20" s="1"/>
  <c r="A440" i="20"/>
  <c r="S440" i="20" s="1"/>
  <c r="B187" i="10"/>
  <c r="I187" i="10" s="1"/>
  <c r="A477" i="20"/>
  <c r="S477" i="20" s="1"/>
  <c r="A167" i="20"/>
  <c r="S167" i="20" s="1"/>
  <c r="B165" i="10"/>
  <c r="D165" i="10" s="1"/>
  <c r="A455" i="20"/>
  <c r="S455" i="20" s="1"/>
  <c r="A145" i="20"/>
  <c r="S145" i="20" s="1"/>
  <c r="B219" i="10"/>
  <c r="D219" i="10" s="1"/>
  <c r="A509" i="20"/>
  <c r="S509" i="20" s="1"/>
  <c r="A199" i="20"/>
  <c r="S199" i="20" s="1"/>
  <c r="B191" i="10"/>
  <c r="H191" i="10" s="1"/>
  <c r="A481" i="20"/>
  <c r="S481" i="20" s="1"/>
  <c r="A171" i="20"/>
  <c r="S171" i="20" s="1"/>
  <c r="B225" i="10"/>
  <c r="D225" i="10" s="1"/>
  <c r="A515" i="20"/>
  <c r="S515" i="20" s="1"/>
  <c r="A205" i="20"/>
  <c r="S205" i="20" s="1"/>
  <c r="B172" i="10"/>
  <c r="D172" i="10" s="1"/>
  <c r="A462" i="20"/>
  <c r="S462" i="20" s="1"/>
  <c r="A152" i="20"/>
  <c r="S152" i="20" s="1"/>
  <c r="B201" i="10"/>
  <c r="E201" i="10" s="1"/>
  <c r="A491" i="20"/>
  <c r="S491" i="20" s="1"/>
  <c r="A181" i="20"/>
  <c r="S181" i="20" s="1"/>
  <c r="B206" i="10"/>
  <c r="E206" i="10" s="1"/>
  <c r="A496" i="20"/>
  <c r="S496" i="20" s="1"/>
  <c r="A186" i="20"/>
  <c r="S186" i="20" s="1"/>
  <c r="B252" i="10"/>
  <c r="L252" i="10" s="1"/>
  <c r="A542" i="20"/>
  <c r="S542" i="20" s="1"/>
  <c r="A232" i="20"/>
  <c r="S232" i="20" s="1"/>
  <c r="B226" i="10"/>
  <c r="C226" i="10" s="1"/>
  <c r="A516" i="20"/>
  <c r="S516" i="20" s="1"/>
  <c r="A206" i="20"/>
  <c r="S206" i="20" s="1"/>
  <c r="B261" i="10"/>
  <c r="D261" i="10" s="1"/>
  <c r="A551" i="20"/>
  <c r="S551" i="20" s="1"/>
  <c r="A241" i="20"/>
  <c r="S241" i="20" s="1"/>
  <c r="B260" i="10"/>
  <c r="G260" i="10" s="1"/>
  <c r="A550" i="20"/>
  <c r="S550" i="20" s="1"/>
  <c r="A240" i="20"/>
  <c r="S240" i="20" s="1"/>
  <c r="B210" i="10"/>
  <c r="H210" i="10" s="1"/>
  <c r="A500" i="20"/>
  <c r="S500" i="20" s="1"/>
  <c r="A190" i="20"/>
  <c r="S190" i="20" s="1"/>
  <c r="B257" i="10"/>
  <c r="G257" i="10" s="1"/>
  <c r="A547" i="20"/>
  <c r="S547" i="20" s="1"/>
  <c r="A237" i="20"/>
  <c r="S237" i="20" s="1"/>
  <c r="B268" i="10"/>
  <c r="E268" i="10" s="1"/>
  <c r="A558" i="20"/>
  <c r="S558" i="20" s="1"/>
  <c r="A248" i="20"/>
  <c r="S248" i="20" s="1"/>
  <c r="B447" i="10"/>
  <c r="K447" i="10" s="1"/>
  <c r="A737" i="20"/>
  <c r="S737" i="20" s="1"/>
  <c r="A427" i="20"/>
  <c r="S427" i="20" s="1"/>
  <c r="B345" i="10"/>
  <c r="H345" i="10" s="1"/>
  <c r="A635" i="20"/>
  <c r="S635" i="20" s="1"/>
  <c r="A325" i="20"/>
  <c r="S325" i="20" s="1"/>
  <c r="B356" i="10"/>
  <c r="H356" i="10" s="1"/>
  <c r="A646" i="20"/>
  <c r="S646" i="20" s="1"/>
  <c r="A336" i="20"/>
  <c r="S336" i="20" s="1"/>
  <c r="B344" i="10"/>
  <c r="K344" i="10" s="1"/>
  <c r="A634" i="20"/>
  <c r="S634" i="20" s="1"/>
  <c r="A324" i="20"/>
  <c r="S324" i="20" s="1"/>
  <c r="B386" i="10"/>
  <c r="M386" i="10" s="1"/>
  <c r="A676" i="20"/>
  <c r="S676" i="20" s="1"/>
  <c r="A366" i="20"/>
  <c r="S366" i="20" s="1"/>
  <c r="B382" i="10"/>
  <c r="H382" i="10" s="1"/>
  <c r="A672" i="20"/>
  <c r="S672" i="20" s="1"/>
  <c r="A362" i="20"/>
  <c r="S362" i="20" s="1"/>
  <c r="B415" i="10"/>
  <c r="L415" i="10" s="1"/>
  <c r="A705" i="20"/>
  <c r="S705" i="20" s="1"/>
  <c r="A395" i="20"/>
  <c r="S395" i="20" s="1"/>
  <c r="B378" i="10"/>
  <c r="C378" i="10" s="1"/>
  <c r="A668" i="20"/>
  <c r="S668" i="20" s="1"/>
  <c r="A358" i="20"/>
  <c r="S358" i="20" s="1"/>
  <c r="B328" i="10"/>
  <c r="G328" i="10" s="1"/>
  <c r="A618" i="20"/>
  <c r="S618" i="20" s="1"/>
  <c r="A308" i="20"/>
  <c r="S308" i="20" s="1"/>
  <c r="B351" i="10"/>
  <c r="G351" i="10" s="1"/>
  <c r="A641" i="20"/>
  <c r="S641" i="20" s="1"/>
  <c r="A331" i="20"/>
  <c r="S331" i="20" s="1"/>
  <c r="B446" i="10"/>
  <c r="D446" i="10" s="1"/>
  <c r="A736" i="20"/>
  <c r="S736" i="20" s="1"/>
  <c r="A426" i="20"/>
  <c r="S426" i="20" s="1"/>
  <c r="B454" i="10"/>
  <c r="M454" i="10" s="1"/>
  <c r="A744" i="20"/>
  <c r="S744" i="20" s="1"/>
  <c r="A434" i="20"/>
  <c r="S434" i="20" s="1"/>
  <c r="B319" i="10"/>
  <c r="D319" i="10" s="1"/>
  <c r="A609" i="20"/>
  <c r="S609" i="20" s="1"/>
  <c r="A299" i="20"/>
  <c r="S299" i="20" s="1"/>
  <c r="B433" i="10"/>
  <c r="F433" i="10" s="1"/>
  <c r="A723" i="20"/>
  <c r="S723" i="20" s="1"/>
  <c r="A413" i="20"/>
  <c r="S413" i="20" s="1"/>
  <c r="B179" i="10"/>
  <c r="D179" i="10" s="1"/>
  <c r="A469" i="20"/>
  <c r="S469" i="20" s="1"/>
  <c r="A159" i="20"/>
  <c r="S159" i="20" s="1"/>
  <c r="B310" i="10"/>
  <c r="J310" i="10" s="1"/>
  <c r="A600" i="20"/>
  <c r="S600" i="20" s="1"/>
  <c r="A290" i="20"/>
  <c r="S290" i="20" s="1"/>
  <c r="B177" i="10"/>
  <c r="F177" i="10" s="1"/>
  <c r="A467" i="20"/>
  <c r="S467" i="20" s="1"/>
  <c r="A157" i="20"/>
  <c r="S157" i="20" s="1"/>
  <c r="B229" i="10"/>
  <c r="C229" i="10" s="1"/>
  <c r="A519" i="20"/>
  <c r="S519" i="20" s="1"/>
  <c r="A209" i="20"/>
  <c r="S209" i="20" s="1"/>
  <c r="B296" i="10"/>
  <c r="E296" i="10" s="1"/>
  <c r="A586" i="20"/>
  <c r="S586" i="20" s="1"/>
  <c r="A276" i="20"/>
  <c r="S276" i="20" s="1"/>
  <c r="B255" i="10"/>
  <c r="E255" i="10" s="1"/>
  <c r="A545" i="20"/>
  <c r="S545" i="20" s="1"/>
  <c r="A235" i="20"/>
  <c r="S235" i="20" s="1"/>
  <c r="B183" i="10"/>
  <c r="M183" i="10" s="1"/>
  <c r="A473" i="20"/>
  <c r="S473" i="20" s="1"/>
  <c r="A163" i="20"/>
  <c r="S163" i="20" s="1"/>
  <c r="B214" i="10"/>
  <c r="J214" i="10" s="1"/>
  <c r="A504" i="20"/>
  <c r="S504" i="20" s="1"/>
  <c r="A194" i="20"/>
  <c r="S194" i="20" s="1"/>
  <c r="B308" i="10"/>
  <c r="E308" i="10" s="1"/>
  <c r="A598" i="20"/>
  <c r="S598" i="20" s="1"/>
  <c r="A288" i="20"/>
  <c r="S288" i="20" s="1"/>
  <c r="B264" i="10"/>
  <c r="H264" i="10" s="1"/>
  <c r="A554" i="20"/>
  <c r="S554" i="20" s="1"/>
  <c r="A244" i="20"/>
  <c r="S244" i="20" s="1"/>
  <c r="B238" i="10"/>
  <c r="K238" i="10" s="1"/>
  <c r="A528" i="20"/>
  <c r="S528" i="20" s="1"/>
  <c r="A218" i="20"/>
  <c r="S218" i="20" s="1"/>
  <c r="B273" i="10"/>
  <c r="F273" i="10" s="1"/>
  <c r="A563" i="20"/>
  <c r="S563" i="20" s="1"/>
  <c r="A253" i="20"/>
  <c r="S253" i="20" s="1"/>
  <c r="B272" i="10"/>
  <c r="E272" i="10" s="1"/>
  <c r="A562" i="20"/>
  <c r="S562" i="20" s="1"/>
  <c r="A252" i="20"/>
  <c r="S252" i="20" s="1"/>
  <c r="B222" i="10"/>
  <c r="C222" i="10" s="1"/>
  <c r="A512" i="20"/>
  <c r="S512" i="20" s="1"/>
  <c r="A202" i="20"/>
  <c r="S202" i="20" s="1"/>
  <c r="B269" i="10"/>
  <c r="K269" i="10" s="1"/>
  <c r="A559" i="20"/>
  <c r="S559" i="20" s="1"/>
  <c r="A249" i="20"/>
  <c r="S249" i="20" s="1"/>
  <c r="B283" i="10"/>
  <c r="M283" i="10" s="1"/>
  <c r="A573" i="20"/>
  <c r="S573" i="20" s="1"/>
  <c r="A263" i="20"/>
  <c r="S263" i="20" s="1"/>
  <c r="B409" i="10"/>
  <c r="J409" i="10" s="1"/>
  <c r="A699" i="20"/>
  <c r="S699" i="20" s="1"/>
  <c r="A389" i="20"/>
  <c r="S389" i="20" s="1"/>
  <c r="B348" i="10"/>
  <c r="H348" i="10" s="1"/>
  <c r="A638" i="20"/>
  <c r="S638" i="20" s="1"/>
  <c r="A328" i="20"/>
  <c r="S328" i="20" s="1"/>
  <c r="B358" i="10"/>
  <c r="J358" i="10" s="1"/>
  <c r="A648" i="20"/>
  <c r="S648" i="20" s="1"/>
  <c r="A338" i="20"/>
  <c r="S338" i="20" s="1"/>
  <c r="B347" i="10"/>
  <c r="F347" i="10" s="1"/>
  <c r="A637" i="20"/>
  <c r="S637" i="20" s="1"/>
  <c r="A327" i="20"/>
  <c r="S327" i="20" s="1"/>
  <c r="B361" i="10"/>
  <c r="L361" i="10" s="1"/>
  <c r="A651" i="20"/>
  <c r="S651" i="20" s="1"/>
  <c r="A341" i="20"/>
  <c r="S341" i="20" s="1"/>
  <c r="B394" i="10"/>
  <c r="G394" i="10" s="1"/>
  <c r="A684" i="20"/>
  <c r="S684" i="20" s="1"/>
  <c r="A374" i="20"/>
  <c r="S374" i="20" s="1"/>
  <c r="B425" i="10"/>
  <c r="K425" i="10" s="1"/>
  <c r="A715" i="20"/>
  <c r="S715" i="20" s="1"/>
  <c r="A405" i="20"/>
  <c r="S405" i="20" s="1"/>
  <c r="B390" i="10"/>
  <c r="G390" i="10" s="1"/>
  <c r="A680" i="20"/>
  <c r="S680" i="20" s="1"/>
  <c r="A370" i="20"/>
  <c r="S370" i="20" s="1"/>
  <c r="B340" i="10"/>
  <c r="D340" i="10" s="1"/>
  <c r="A630" i="20"/>
  <c r="S630" i="20" s="1"/>
  <c r="A320" i="20"/>
  <c r="S320" i="20" s="1"/>
  <c r="B363" i="10"/>
  <c r="F363" i="10" s="1"/>
  <c r="A653" i="20"/>
  <c r="S653" i="20" s="1"/>
  <c r="A343" i="20"/>
  <c r="S343" i="20" s="1"/>
  <c r="B458" i="10"/>
  <c r="H458" i="10" s="1"/>
  <c r="A748" i="20"/>
  <c r="S748" i="20" s="1"/>
  <c r="A438" i="20"/>
  <c r="S438" i="20" s="1"/>
  <c r="B417" i="10"/>
  <c r="D417" i="10" s="1"/>
  <c r="A707" i="20"/>
  <c r="S707" i="20" s="1"/>
  <c r="A397" i="20"/>
  <c r="S397" i="20" s="1"/>
  <c r="B262" i="10"/>
  <c r="M262" i="10" s="1"/>
  <c r="A552" i="20"/>
  <c r="S552" i="20" s="1"/>
  <c r="A242" i="20"/>
  <c r="S242" i="20" s="1"/>
  <c r="B385" i="10"/>
  <c r="M385" i="10" s="1"/>
  <c r="A675" i="20"/>
  <c r="S675" i="20" s="1"/>
  <c r="A365" i="20"/>
  <c r="S365" i="20" s="1"/>
  <c r="B193" i="10"/>
  <c r="E193" i="10" s="1"/>
  <c r="A483" i="20"/>
  <c r="S483" i="20" s="1"/>
  <c r="A173" i="20"/>
  <c r="S173" i="20" s="1"/>
  <c r="B186" i="10"/>
  <c r="M186" i="10" s="1"/>
  <c r="A476" i="20"/>
  <c r="S476" i="20" s="1"/>
  <c r="A166" i="20"/>
  <c r="S166" i="20" s="1"/>
  <c r="B162" i="10"/>
  <c r="D162" i="10" s="1"/>
  <c r="A452" i="20"/>
  <c r="S452" i="20" s="1"/>
  <c r="A142" i="20"/>
  <c r="S142" i="20" s="1"/>
  <c r="B202" i="10"/>
  <c r="E202" i="10" s="1"/>
  <c r="A492" i="20"/>
  <c r="S492" i="20" s="1"/>
  <c r="A182" i="20"/>
  <c r="S182" i="20" s="1"/>
  <c r="B216" i="10"/>
  <c r="C216" i="10" s="1"/>
  <c r="A506" i="20"/>
  <c r="S506" i="20" s="1"/>
  <c r="A196" i="20"/>
  <c r="S196" i="20" s="1"/>
  <c r="B169" i="10"/>
  <c r="E169" i="10" s="1"/>
  <c r="A459" i="20"/>
  <c r="S459" i="20" s="1"/>
  <c r="A149" i="20"/>
  <c r="S149" i="20" s="1"/>
  <c r="B266" i="10"/>
  <c r="H266" i="10" s="1"/>
  <c r="A556" i="20"/>
  <c r="S556" i="20" s="1"/>
  <c r="A246" i="20"/>
  <c r="S246" i="20" s="1"/>
  <c r="B276" i="10"/>
  <c r="G276" i="10" s="1"/>
  <c r="A566" i="20"/>
  <c r="S566" i="20" s="1"/>
  <c r="A256" i="20"/>
  <c r="S256" i="20" s="1"/>
  <c r="B250" i="10"/>
  <c r="I250" i="10" s="1"/>
  <c r="A540" i="20"/>
  <c r="S540" i="20" s="1"/>
  <c r="A230" i="20"/>
  <c r="S230" i="20" s="1"/>
  <c r="B289" i="10"/>
  <c r="M289" i="10" s="1"/>
  <c r="A579" i="20"/>
  <c r="S579" i="20" s="1"/>
  <c r="A269" i="20"/>
  <c r="S269" i="20" s="1"/>
  <c r="B292" i="10"/>
  <c r="J292" i="10" s="1"/>
  <c r="A582" i="20"/>
  <c r="S582" i="20" s="1"/>
  <c r="A272" i="20"/>
  <c r="S272" i="20" s="1"/>
  <c r="B234" i="10"/>
  <c r="K234" i="10" s="1"/>
  <c r="A524" i="20"/>
  <c r="S524" i="20" s="1"/>
  <c r="A214" i="20"/>
  <c r="S214" i="20" s="1"/>
  <c r="B294" i="10"/>
  <c r="C294" i="10" s="1"/>
  <c r="A584" i="20"/>
  <c r="S584" i="20" s="1"/>
  <c r="A274" i="20"/>
  <c r="S274" i="20" s="1"/>
  <c r="B287" i="10"/>
  <c r="F287" i="10" s="1"/>
  <c r="A577" i="20"/>
  <c r="S577" i="20" s="1"/>
  <c r="A267" i="20"/>
  <c r="S267" i="20" s="1"/>
  <c r="B320" i="10"/>
  <c r="K320" i="10" s="1"/>
  <c r="A610" i="20"/>
  <c r="S610" i="20" s="1"/>
  <c r="A300" i="20"/>
  <c r="S300" i="20" s="1"/>
  <c r="B362" i="10"/>
  <c r="L362" i="10" s="1"/>
  <c r="A652" i="20"/>
  <c r="S652" i="20" s="1"/>
  <c r="A342" i="20"/>
  <c r="S342" i="20" s="1"/>
  <c r="B393" i="10"/>
  <c r="J393" i="10" s="1"/>
  <c r="A683" i="20"/>
  <c r="S683" i="20" s="1"/>
  <c r="A373" i="20"/>
  <c r="S373" i="20" s="1"/>
  <c r="B350" i="10"/>
  <c r="D350" i="10" s="1"/>
  <c r="A640" i="20"/>
  <c r="S640" i="20" s="1"/>
  <c r="A330" i="20"/>
  <c r="S330" i="20" s="1"/>
  <c r="B373" i="10"/>
  <c r="D373" i="10" s="1"/>
  <c r="A663" i="20"/>
  <c r="S663" i="20" s="1"/>
  <c r="A353" i="20"/>
  <c r="S353" i="20" s="1"/>
  <c r="B406" i="10"/>
  <c r="L406" i="10" s="1"/>
  <c r="A696" i="20"/>
  <c r="S696" i="20" s="1"/>
  <c r="A386" i="20"/>
  <c r="S386" i="20" s="1"/>
  <c r="B448" i="10"/>
  <c r="I448" i="10" s="1"/>
  <c r="A738" i="20"/>
  <c r="S738" i="20" s="1"/>
  <c r="A428" i="20"/>
  <c r="S428" i="20" s="1"/>
  <c r="B402" i="10"/>
  <c r="D402" i="10" s="1"/>
  <c r="A692" i="20"/>
  <c r="S692" i="20" s="1"/>
  <c r="A382" i="20"/>
  <c r="S382" i="20" s="1"/>
  <c r="B352" i="10"/>
  <c r="H352" i="10" s="1"/>
  <c r="A642" i="20"/>
  <c r="S642" i="20" s="1"/>
  <c r="A332" i="20"/>
  <c r="S332" i="20" s="1"/>
  <c r="B375" i="10"/>
  <c r="M375" i="10" s="1"/>
  <c r="A665" i="20"/>
  <c r="S665" i="20" s="1"/>
  <c r="A355" i="20"/>
  <c r="S355" i="20" s="1"/>
  <c r="B421" i="10"/>
  <c r="K421" i="10" s="1"/>
  <c r="A711" i="20"/>
  <c r="S711" i="20" s="1"/>
  <c r="A401" i="20"/>
  <c r="S401" i="20" s="1"/>
  <c r="B429" i="10"/>
  <c r="L429" i="10" s="1"/>
  <c r="A719" i="20"/>
  <c r="S719" i="20" s="1"/>
  <c r="A409" i="20"/>
  <c r="S409" i="20" s="1"/>
  <c r="E263" i="10"/>
  <c r="F258" i="10"/>
  <c r="H372" i="10"/>
  <c r="G242" i="10"/>
  <c r="M278" i="10"/>
  <c r="W26" i="17"/>
  <c r="X25" i="17"/>
  <c r="W25" i="17"/>
  <c r="X26" i="17"/>
  <c r="AC31" i="17"/>
  <c r="AC29" i="17"/>
  <c r="AC27" i="17"/>
  <c r="AC28" i="17"/>
  <c r="AC30" i="17"/>
  <c r="G25" i="20"/>
  <c r="D228" i="11"/>
  <c r="E231" i="11" s="1"/>
  <c r="C10" i="3"/>
  <c r="C11" i="3" s="1"/>
  <c r="E9" i="8" s="1"/>
  <c r="E55" i="8" s="1"/>
  <c r="C4" i="6"/>
  <c r="D6" i="6" s="1"/>
  <c r="C12" i="6"/>
  <c r="G75" i="20"/>
  <c r="G49" i="20"/>
  <c r="G117" i="20"/>
  <c r="G35" i="20"/>
  <c r="G45" i="20"/>
  <c r="G131" i="20"/>
  <c r="G21" i="20"/>
  <c r="G13" i="20"/>
  <c r="G109" i="20"/>
  <c r="G115" i="20"/>
  <c r="G99" i="20"/>
  <c r="G23" i="20"/>
  <c r="G71" i="20"/>
  <c r="G15" i="20"/>
  <c r="F281" i="17"/>
  <c r="D287" i="17"/>
  <c r="L29" i="17"/>
  <c r="O29" i="17" s="1"/>
  <c r="L25" i="17"/>
  <c r="O25" i="17" s="1"/>
  <c r="L30" i="17"/>
  <c r="O30" i="17" s="1"/>
  <c r="L27" i="17"/>
  <c r="O27" i="17" s="1"/>
  <c r="L31" i="17"/>
  <c r="O31" i="17" s="1"/>
  <c r="L28" i="17"/>
  <c r="O28" i="17" s="1"/>
  <c r="L26" i="17"/>
  <c r="O26" i="17" s="1"/>
  <c r="C24" i="9"/>
  <c r="I49" i="9"/>
  <c r="C30" i="9"/>
  <c r="J314" i="18"/>
  <c r="I314" i="18"/>
  <c r="H314" i="18"/>
  <c r="I221" i="18"/>
  <c r="C6" i="9"/>
  <c r="C61" i="9"/>
  <c r="G29" i="20"/>
  <c r="G111" i="20"/>
  <c r="K195" i="18"/>
  <c r="C48" i="9"/>
  <c r="K365" i="18"/>
  <c r="J362" i="18"/>
  <c r="I37" i="9"/>
  <c r="C37" i="9"/>
  <c r="G123" i="20"/>
  <c r="H351" i="18"/>
  <c r="K351" i="18"/>
  <c r="J351" i="18"/>
  <c r="G69" i="20"/>
  <c r="G61" i="20"/>
  <c r="K363" i="18"/>
  <c r="J221" i="18"/>
  <c r="I195" i="18"/>
  <c r="I363" i="18"/>
  <c r="J195" i="18"/>
  <c r="I255" i="18"/>
  <c r="K221" i="18"/>
  <c r="I207" i="18"/>
  <c r="I267" i="18"/>
  <c r="I303" i="18"/>
  <c r="K267" i="18"/>
  <c r="K303" i="18"/>
  <c r="K207" i="18"/>
  <c r="K339" i="18"/>
  <c r="I339" i="18"/>
  <c r="J303" i="18"/>
  <c r="K243" i="18"/>
  <c r="G13" i="5"/>
  <c r="J339" i="18"/>
  <c r="J363" i="18"/>
  <c r="I327" i="18"/>
  <c r="J266" i="18"/>
  <c r="I351" i="18"/>
  <c r="K219" i="18"/>
  <c r="I362" i="18"/>
  <c r="K255" i="18"/>
  <c r="H218" i="18"/>
  <c r="J218" i="18"/>
  <c r="H269" i="18"/>
  <c r="J219" i="18"/>
  <c r="I266" i="18"/>
  <c r="K362" i="18"/>
  <c r="I218" i="18"/>
  <c r="K317" i="18"/>
  <c r="J255" i="18"/>
  <c r="K266" i="18"/>
  <c r="J317" i="18"/>
  <c r="I269" i="18"/>
  <c r="F25" i="4"/>
  <c r="I317" i="18"/>
  <c r="I219" i="18"/>
  <c r="J315" i="18"/>
  <c r="F207" i="11"/>
  <c r="I375" i="18"/>
  <c r="K387" i="18"/>
  <c r="D80" i="10"/>
  <c r="E80" i="10" s="1"/>
  <c r="J207" i="18"/>
  <c r="K231" i="18"/>
  <c r="I279" i="18"/>
  <c r="I291" i="18"/>
  <c r="K269" i="18"/>
  <c r="J327" i="18"/>
  <c r="K327" i="18"/>
  <c r="J365" i="18"/>
  <c r="I365" i="18"/>
  <c r="I235" i="18"/>
  <c r="J235" i="18"/>
  <c r="K235" i="18"/>
  <c r="H235" i="18"/>
  <c r="J291" i="18"/>
  <c r="I281" i="18"/>
  <c r="J281" i="18"/>
  <c r="K281" i="18"/>
  <c r="H281" i="18"/>
  <c r="H316" i="18"/>
  <c r="K316" i="18"/>
  <c r="I316" i="18"/>
  <c r="J316" i="18"/>
  <c r="H172" i="18"/>
  <c r="H301" i="18"/>
  <c r="I301" i="18"/>
  <c r="J301" i="18"/>
  <c r="K301" i="18"/>
  <c r="H157" i="18"/>
  <c r="H288" i="18"/>
  <c r="I288" i="18"/>
  <c r="J288" i="18"/>
  <c r="K288" i="18"/>
  <c r="H144" i="18"/>
  <c r="H275" i="18"/>
  <c r="I275" i="18"/>
  <c r="J275" i="18"/>
  <c r="K275" i="18"/>
  <c r="H131" i="18"/>
  <c r="H262" i="18"/>
  <c r="I262" i="18"/>
  <c r="J262" i="18"/>
  <c r="K262" i="18"/>
  <c r="H405" i="18"/>
  <c r="I405" i="18"/>
  <c r="J405" i="18"/>
  <c r="K405" i="18"/>
  <c r="I261" i="18"/>
  <c r="J261" i="18"/>
  <c r="K261" i="18"/>
  <c r="H261" i="18"/>
  <c r="J404" i="18"/>
  <c r="K404" i="18"/>
  <c r="H404" i="18"/>
  <c r="I404" i="18"/>
  <c r="H260" i="18"/>
  <c r="K260" i="18"/>
  <c r="I260" i="18"/>
  <c r="J260" i="18"/>
  <c r="H403" i="18"/>
  <c r="I403" i="18"/>
  <c r="J403" i="18"/>
  <c r="K403" i="18"/>
  <c r="H259" i="18"/>
  <c r="I259" i="18"/>
  <c r="J259" i="18"/>
  <c r="K259" i="18"/>
  <c r="H402" i="18"/>
  <c r="I402" i="18"/>
  <c r="J402" i="18"/>
  <c r="K402" i="18"/>
  <c r="I258" i="18"/>
  <c r="J258" i="18"/>
  <c r="K258" i="18"/>
  <c r="H258" i="18"/>
  <c r="J378" i="18"/>
  <c r="K378" i="18"/>
  <c r="H378" i="18"/>
  <c r="I378" i="18"/>
  <c r="K315" i="18"/>
  <c r="H329" i="18"/>
  <c r="K329" i="18"/>
  <c r="I329" i="18"/>
  <c r="J329" i="18"/>
  <c r="I304" i="18"/>
  <c r="J304" i="18"/>
  <c r="K304" i="18"/>
  <c r="H304" i="18"/>
  <c r="H160" i="18"/>
  <c r="H289" i="18"/>
  <c r="K289" i="18"/>
  <c r="I289" i="18"/>
  <c r="J289" i="18"/>
  <c r="H145" i="18"/>
  <c r="H276" i="18"/>
  <c r="K276" i="18"/>
  <c r="I276" i="18"/>
  <c r="J276" i="18"/>
  <c r="H132" i="18"/>
  <c r="H263" i="18"/>
  <c r="K263" i="18"/>
  <c r="I263" i="18"/>
  <c r="J263" i="18"/>
  <c r="J394" i="18"/>
  <c r="K394" i="18"/>
  <c r="H394" i="18"/>
  <c r="I394" i="18"/>
  <c r="H250" i="18"/>
  <c r="K250" i="18"/>
  <c r="I250" i="18"/>
  <c r="J250" i="18"/>
  <c r="H393" i="18"/>
  <c r="I393" i="18"/>
  <c r="J393" i="18"/>
  <c r="K393" i="18"/>
  <c r="H249" i="18"/>
  <c r="I249" i="18"/>
  <c r="J249" i="18"/>
  <c r="K249" i="18"/>
  <c r="H392" i="18"/>
  <c r="I392" i="18"/>
  <c r="J392" i="18"/>
  <c r="K392" i="18"/>
  <c r="I248" i="18"/>
  <c r="J248" i="18"/>
  <c r="K248" i="18"/>
  <c r="H248" i="18"/>
  <c r="J391" i="18"/>
  <c r="K391" i="18"/>
  <c r="H391" i="18"/>
  <c r="I391" i="18"/>
  <c r="H247" i="18"/>
  <c r="K247" i="18"/>
  <c r="I247" i="18"/>
  <c r="J247" i="18"/>
  <c r="H390" i="18"/>
  <c r="I390" i="18"/>
  <c r="J390" i="18"/>
  <c r="K390" i="18"/>
  <c r="H246" i="18"/>
  <c r="I246" i="18"/>
  <c r="J246" i="18"/>
  <c r="K246" i="18"/>
  <c r="H158" i="18"/>
  <c r="H292" i="18"/>
  <c r="I292" i="18"/>
  <c r="J292" i="18"/>
  <c r="K292" i="18"/>
  <c r="H148" i="18"/>
  <c r="H133" i="18"/>
  <c r="H395" i="18"/>
  <c r="I395" i="18"/>
  <c r="J395" i="18"/>
  <c r="K395" i="18"/>
  <c r="H236" i="18"/>
  <c r="I236" i="18"/>
  <c r="J236" i="18"/>
  <c r="K236" i="18"/>
  <c r="H206" i="18"/>
  <c r="I206" i="18"/>
  <c r="J206" i="18"/>
  <c r="K206" i="18"/>
  <c r="H280" i="18"/>
  <c r="K280" i="18"/>
  <c r="I280" i="18"/>
  <c r="J280" i="18"/>
  <c r="H136" i="18"/>
  <c r="H265" i="18"/>
  <c r="I265" i="18"/>
  <c r="J265" i="18"/>
  <c r="K265" i="18"/>
  <c r="H396" i="18"/>
  <c r="I396" i="18"/>
  <c r="J396" i="18"/>
  <c r="K396" i="18"/>
  <c r="H252" i="18"/>
  <c r="I252" i="18"/>
  <c r="J252" i="18"/>
  <c r="K252" i="18"/>
  <c r="H383" i="18"/>
  <c r="I383" i="18"/>
  <c r="J383" i="18"/>
  <c r="K383" i="18"/>
  <c r="H239" i="18"/>
  <c r="I239" i="18"/>
  <c r="J239" i="18"/>
  <c r="K239" i="18"/>
  <c r="H370" i="18"/>
  <c r="I370" i="18"/>
  <c r="J370" i="18"/>
  <c r="K370" i="18"/>
  <c r="H226" i="18"/>
  <c r="I226" i="18"/>
  <c r="J226" i="18"/>
  <c r="K226" i="18"/>
  <c r="H369" i="18"/>
  <c r="I369" i="18"/>
  <c r="J369" i="18"/>
  <c r="K369" i="18"/>
  <c r="I225" i="18"/>
  <c r="J225" i="18"/>
  <c r="K225" i="18"/>
  <c r="H225" i="18"/>
  <c r="J368" i="18"/>
  <c r="K368" i="18"/>
  <c r="H368" i="18"/>
  <c r="I368" i="18"/>
  <c r="H224" i="18"/>
  <c r="K224" i="18"/>
  <c r="I224" i="18"/>
  <c r="J224" i="18"/>
  <c r="H367" i="18"/>
  <c r="I367" i="18"/>
  <c r="J367" i="18"/>
  <c r="K367" i="18"/>
  <c r="H223" i="18"/>
  <c r="I223" i="18"/>
  <c r="J223" i="18"/>
  <c r="K223" i="18"/>
  <c r="H366" i="18"/>
  <c r="I366" i="18"/>
  <c r="J366" i="18"/>
  <c r="K366" i="18"/>
  <c r="I222" i="18"/>
  <c r="J222" i="18"/>
  <c r="K222" i="18"/>
  <c r="H222" i="18"/>
  <c r="I238" i="18"/>
  <c r="J238" i="18"/>
  <c r="K238" i="18"/>
  <c r="H238" i="18"/>
  <c r="I315" i="18"/>
  <c r="H146" i="18"/>
  <c r="I254" i="18"/>
  <c r="J254" i="18"/>
  <c r="K254" i="18"/>
  <c r="H254" i="18"/>
  <c r="H161" i="18"/>
  <c r="I268" i="18"/>
  <c r="J268" i="18"/>
  <c r="K268" i="18"/>
  <c r="H268" i="18"/>
  <c r="J397" i="18"/>
  <c r="K397" i="18"/>
  <c r="H397" i="18"/>
  <c r="I397" i="18"/>
  <c r="H253" i="18"/>
  <c r="K253" i="18"/>
  <c r="I253" i="18"/>
  <c r="J253" i="18"/>
  <c r="J384" i="18"/>
  <c r="K384" i="18"/>
  <c r="H384" i="18"/>
  <c r="I384" i="18"/>
  <c r="H240" i="18"/>
  <c r="K240" i="18"/>
  <c r="I240" i="18"/>
  <c r="J240" i="18"/>
  <c r="J371" i="18"/>
  <c r="K371" i="18"/>
  <c r="H371" i="18"/>
  <c r="I371" i="18"/>
  <c r="H227" i="18"/>
  <c r="K227" i="18"/>
  <c r="I227" i="18"/>
  <c r="J227" i="18"/>
  <c r="J358" i="18"/>
  <c r="K358" i="18"/>
  <c r="H358" i="18"/>
  <c r="I358" i="18"/>
  <c r="H214" i="18"/>
  <c r="K214" i="18"/>
  <c r="I214" i="18"/>
  <c r="J214" i="18"/>
  <c r="H357" i="18"/>
  <c r="I357" i="18"/>
  <c r="J357" i="18"/>
  <c r="K357" i="18"/>
  <c r="H213" i="18"/>
  <c r="I213" i="18"/>
  <c r="J213" i="18"/>
  <c r="K213" i="18"/>
  <c r="H356" i="18"/>
  <c r="I356" i="18"/>
  <c r="J356" i="18"/>
  <c r="K356" i="18"/>
  <c r="I212" i="18"/>
  <c r="J212" i="18"/>
  <c r="K212" i="18"/>
  <c r="H212" i="18"/>
  <c r="J355" i="18"/>
  <c r="K355" i="18"/>
  <c r="H355" i="18"/>
  <c r="I355" i="18"/>
  <c r="H211" i="18"/>
  <c r="K211" i="18"/>
  <c r="I211" i="18"/>
  <c r="J211" i="18"/>
  <c r="H354" i="18"/>
  <c r="I354" i="18"/>
  <c r="J354" i="18"/>
  <c r="K354" i="18"/>
  <c r="H210" i="18"/>
  <c r="I210" i="18"/>
  <c r="J210" i="18"/>
  <c r="K210" i="18"/>
  <c r="H377" i="18"/>
  <c r="I377" i="18"/>
  <c r="J377" i="18"/>
  <c r="K377" i="18"/>
  <c r="I277" i="18"/>
  <c r="J277" i="18"/>
  <c r="K277" i="18"/>
  <c r="H277" i="18"/>
  <c r="I264" i="18"/>
  <c r="J264" i="18"/>
  <c r="K264" i="18"/>
  <c r="H264" i="18"/>
  <c r="I251" i="18"/>
  <c r="J251" i="18"/>
  <c r="K251" i="18"/>
  <c r="H251" i="18"/>
  <c r="H382" i="18"/>
  <c r="I382" i="18"/>
  <c r="J382" i="18"/>
  <c r="K382" i="18"/>
  <c r="H194" i="18"/>
  <c r="K194" i="18"/>
  <c r="I194" i="18"/>
  <c r="J194" i="18"/>
  <c r="H302" i="18"/>
  <c r="K302" i="18"/>
  <c r="I302" i="18"/>
  <c r="J302" i="18"/>
  <c r="I209" i="18"/>
  <c r="J209" i="18"/>
  <c r="K209" i="18"/>
  <c r="H209" i="18"/>
  <c r="H400" i="18"/>
  <c r="I400" i="18"/>
  <c r="J400" i="18"/>
  <c r="K400" i="18"/>
  <c r="H256" i="18"/>
  <c r="I256" i="18"/>
  <c r="J256" i="18"/>
  <c r="K256" i="18"/>
  <c r="H385" i="18"/>
  <c r="I385" i="18"/>
  <c r="J385" i="18"/>
  <c r="K385" i="18"/>
  <c r="I241" i="18"/>
  <c r="J241" i="18"/>
  <c r="K241" i="18"/>
  <c r="H241" i="18"/>
  <c r="H372" i="18"/>
  <c r="I372" i="18"/>
  <c r="J372" i="18"/>
  <c r="K372" i="18"/>
  <c r="I228" i="18"/>
  <c r="J228" i="18"/>
  <c r="K228" i="18"/>
  <c r="H228" i="18"/>
  <c r="H359" i="18"/>
  <c r="I359" i="18"/>
  <c r="J359" i="18"/>
  <c r="K359" i="18"/>
  <c r="I215" i="18"/>
  <c r="J215" i="18"/>
  <c r="K215" i="18"/>
  <c r="H215" i="18"/>
  <c r="H346" i="18"/>
  <c r="I346" i="18"/>
  <c r="J346" i="18"/>
  <c r="K346" i="18"/>
  <c r="I202" i="18"/>
  <c r="J202" i="18"/>
  <c r="K202" i="18"/>
  <c r="H202" i="18"/>
  <c r="H345" i="18"/>
  <c r="K345" i="18"/>
  <c r="I345" i="18"/>
  <c r="J345" i="18"/>
  <c r="H201" i="18"/>
  <c r="K201" i="18"/>
  <c r="I201" i="18"/>
  <c r="J201" i="18"/>
  <c r="H344" i="18"/>
  <c r="I344" i="18"/>
  <c r="J344" i="18"/>
  <c r="K344" i="18"/>
  <c r="H200" i="18"/>
  <c r="I200" i="18"/>
  <c r="J200" i="18"/>
  <c r="K200" i="18"/>
  <c r="I343" i="18"/>
  <c r="J343" i="18"/>
  <c r="K343" i="18"/>
  <c r="H343" i="18"/>
  <c r="I199" i="18"/>
  <c r="J199" i="18"/>
  <c r="K199" i="18"/>
  <c r="H199" i="18"/>
  <c r="H342" i="18"/>
  <c r="K342" i="18"/>
  <c r="I342" i="18"/>
  <c r="J342" i="18"/>
  <c r="H198" i="18"/>
  <c r="K198" i="18"/>
  <c r="I198" i="18"/>
  <c r="J198" i="18"/>
  <c r="H380" i="18"/>
  <c r="I380" i="18"/>
  <c r="J380" i="18"/>
  <c r="K380" i="18"/>
  <c r="H134" i="18"/>
  <c r="H242" i="18"/>
  <c r="I242" i="18"/>
  <c r="J242" i="18"/>
  <c r="K242" i="18"/>
  <c r="H149" i="18"/>
  <c r="H350" i="18"/>
  <c r="I350" i="18"/>
  <c r="J350" i="18"/>
  <c r="K350" i="18"/>
  <c r="H257" i="18"/>
  <c r="K257" i="18"/>
  <c r="I257" i="18"/>
  <c r="J257" i="18"/>
  <c r="J388" i="18"/>
  <c r="K388" i="18"/>
  <c r="H388" i="18"/>
  <c r="I388" i="18"/>
  <c r="H244" i="18"/>
  <c r="K244" i="18"/>
  <c r="I244" i="18"/>
  <c r="J244" i="18"/>
  <c r="H373" i="18"/>
  <c r="I373" i="18"/>
  <c r="J373" i="18"/>
  <c r="K373" i="18"/>
  <c r="H229" i="18"/>
  <c r="I229" i="18"/>
  <c r="J229" i="18"/>
  <c r="K229" i="18"/>
  <c r="H360" i="18"/>
  <c r="I360" i="18"/>
  <c r="J360" i="18"/>
  <c r="K360" i="18"/>
  <c r="H216" i="18"/>
  <c r="I216" i="18"/>
  <c r="J216" i="18"/>
  <c r="K216" i="18"/>
  <c r="H347" i="18"/>
  <c r="I347" i="18"/>
  <c r="J347" i="18"/>
  <c r="K347" i="18"/>
  <c r="H203" i="18"/>
  <c r="I203" i="18"/>
  <c r="J203" i="18"/>
  <c r="K203" i="18"/>
  <c r="H334" i="18"/>
  <c r="I334" i="18"/>
  <c r="J334" i="18"/>
  <c r="K334" i="18"/>
  <c r="H190" i="18"/>
  <c r="I190" i="18"/>
  <c r="J190" i="18"/>
  <c r="K190" i="18"/>
  <c r="I333" i="18"/>
  <c r="J333" i="18"/>
  <c r="K333" i="18"/>
  <c r="H333" i="18"/>
  <c r="I189" i="18"/>
  <c r="J189" i="18"/>
  <c r="K189" i="18"/>
  <c r="H189" i="18"/>
  <c r="H332" i="18"/>
  <c r="K332" i="18"/>
  <c r="I332" i="18"/>
  <c r="J332" i="18"/>
  <c r="H188" i="18"/>
  <c r="K188" i="18"/>
  <c r="I188" i="18"/>
  <c r="J188" i="18"/>
  <c r="H331" i="18"/>
  <c r="I331" i="18"/>
  <c r="J331" i="18"/>
  <c r="K331" i="18"/>
  <c r="H187" i="18"/>
  <c r="I187" i="18"/>
  <c r="J187" i="18"/>
  <c r="K187" i="18"/>
  <c r="I330" i="18"/>
  <c r="J330" i="18"/>
  <c r="K330" i="18"/>
  <c r="H330" i="18"/>
  <c r="I186" i="18"/>
  <c r="J186" i="18"/>
  <c r="K186" i="18"/>
  <c r="H186" i="18"/>
  <c r="H379" i="18"/>
  <c r="I379" i="18"/>
  <c r="J379" i="18"/>
  <c r="K379" i="18"/>
  <c r="J231" i="18"/>
  <c r="J375" i="18"/>
  <c r="H182" i="18"/>
  <c r="I290" i="18"/>
  <c r="J290" i="18"/>
  <c r="K290" i="18"/>
  <c r="H290" i="18"/>
  <c r="H197" i="18"/>
  <c r="I197" i="18"/>
  <c r="J197" i="18"/>
  <c r="K197" i="18"/>
  <c r="H398" i="18"/>
  <c r="I398" i="18"/>
  <c r="J398" i="18"/>
  <c r="K398" i="18"/>
  <c r="H305" i="18"/>
  <c r="I305" i="18"/>
  <c r="J305" i="18"/>
  <c r="K305" i="18"/>
  <c r="H376" i="18"/>
  <c r="I376" i="18"/>
  <c r="J376" i="18"/>
  <c r="K376" i="18"/>
  <c r="I232" i="18"/>
  <c r="J232" i="18"/>
  <c r="K232" i="18"/>
  <c r="H232" i="18"/>
  <c r="J361" i="18"/>
  <c r="K361" i="18"/>
  <c r="H361" i="18"/>
  <c r="I361" i="18"/>
  <c r="H217" i="18"/>
  <c r="K217" i="18"/>
  <c r="I217" i="18"/>
  <c r="J217" i="18"/>
  <c r="J348" i="18"/>
  <c r="K348" i="18"/>
  <c r="H348" i="18"/>
  <c r="I348" i="18"/>
  <c r="H204" i="18"/>
  <c r="K204" i="18"/>
  <c r="I204" i="18"/>
  <c r="J204" i="18"/>
  <c r="H335" i="18"/>
  <c r="K335" i="18"/>
  <c r="I335" i="18"/>
  <c r="J335" i="18"/>
  <c r="H191" i="18"/>
  <c r="K191" i="18"/>
  <c r="I191" i="18"/>
  <c r="J191" i="18"/>
  <c r="H322" i="18"/>
  <c r="K322" i="18"/>
  <c r="I322" i="18"/>
  <c r="J322" i="18"/>
  <c r="H178" i="18"/>
  <c r="H321" i="18"/>
  <c r="I321" i="18"/>
  <c r="J321" i="18"/>
  <c r="K321" i="18"/>
  <c r="H177" i="18"/>
  <c r="I320" i="18"/>
  <c r="J320" i="18"/>
  <c r="K320" i="18"/>
  <c r="H320" i="18"/>
  <c r="H176" i="18"/>
  <c r="H319" i="18"/>
  <c r="K319" i="18"/>
  <c r="I319" i="18"/>
  <c r="J319" i="18"/>
  <c r="H175" i="18"/>
  <c r="H318" i="18"/>
  <c r="I318" i="18"/>
  <c r="J318" i="18"/>
  <c r="K318" i="18"/>
  <c r="H174" i="18"/>
  <c r="J243" i="18"/>
  <c r="J387" i="18"/>
  <c r="K399" i="18"/>
  <c r="H230" i="18"/>
  <c r="K230" i="18"/>
  <c r="I230" i="18"/>
  <c r="J230" i="18"/>
  <c r="H338" i="18"/>
  <c r="K338" i="18"/>
  <c r="I338" i="18"/>
  <c r="J338" i="18"/>
  <c r="I245" i="18"/>
  <c r="J245" i="18"/>
  <c r="K245" i="18"/>
  <c r="H245" i="18"/>
  <c r="H353" i="18"/>
  <c r="I353" i="18"/>
  <c r="J353" i="18"/>
  <c r="K353" i="18"/>
  <c r="H364" i="18"/>
  <c r="I364" i="18"/>
  <c r="J364" i="18"/>
  <c r="K364" i="18"/>
  <c r="H220" i="18"/>
  <c r="I220" i="18"/>
  <c r="J220" i="18"/>
  <c r="K220" i="18"/>
  <c r="H349" i="18"/>
  <c r="I349" i="18"/>
  <c r="J349" i="18"/>
  <c r="K349" i="18"/>
  <c r="I205" i="18"/>
  <c r="J205" i="18"/>
  <c r="K205" i="18"/>
  <c r="H205" i="18"/>
  <c r="I336" i="18"/>
  <c r="J336" i="18"/>
  <c r="K336" i="18"/>
  <c r="H336" i="18"/>
  <c r="I192" i="18"/>
  <c r="J192" i="18"/>
  <c r="K192" i="18"/>
  <c r="H192" i="18"/>
  <c r="I323" i="18"/>
  <c r="J323" i="18"/>
  <c r="K323" i="18"/>
  <c r="H323" i="18"/>
  <c r="H179" i="18"/>
  <c r="I310" i="18"/>
  <c r="J310" i="18"/>
  <c r="K310" i="18"/>
  <c r="H310" i="18"/>
  <c r="H166" i="18"/>
  <c r="H309" i="18"/>
  <c r="K309" i="18"/>
  <c r="I309" i="18"/>
  <c r="J309" i="18"/>
  <c r="H165" i="18"/>
  <c r="H308" i="18"/>
  <c r="I308" i="18"/>
  <c r="J308" i="18"/>
  <c r="K308" i="18"/>
  <c r="H164" i="18"/>
  <c r="I307" i="18"/>
  <c r="J307" i="18"/>
  <c r="K307" i="18"/>
  <c r="H307" i="18"/>
  <c r="H163" i="18"/>
  <c r="H306" i="18"/>
  <c r="K306" i="18"/>
  <c r="I306" i="18"/>
  <c r="J306" i="18"/>
  <c r="H162" i="18"/>
  <c r="H234" i="18"/>
  <c r="K234" i="18"/>
  <c r="I234" i="18"/>
  <c r="J234" i="18"/>
  <c r="I231" i="18"/>
  <c r="J399" i="18"/>
  <c r="H278" i="18"/>
  <c r="I278" i="18"/>
  <c r="J278" i="18"/>
  <c r="K278" i="18"/>
  <c r="H137" i="18"/>
  <c r="H386" i="18"/>
  <c r="I386" i="18"/>
  <c r="J386" i="18"/>
  <c r="K386" i="18"/>
  <c r="H293" i="18"/>
  <c r="K293" i="18"/>
  <c r="I293" i="18"/>
  <c r="J293" i="18"/>
  <c r="J401" i="18"/>
  <c r="K401" i="18"/>
  <c r="H401" i="18"/>
  <c r="I401" i="18"/>
  <c r="J352" i="18"/>
  <c r="K352" i="18"/>
  <c r="H352" i="18"/>
  <c r="I352" i="18"/>
  <c r="H208" i="18"/>
  <c r="K208" i="18"/>
  <c r="I208" i="18"/>
  <c r="J208" i="18"/>
  <c r="H337" i="18"/>
  <c r="I337" i="18"/>
  <c r="J337" i="18"/>
  <c r="K337" i="18"/>
  <c r="H193" i="18"/>
  <c r="I193" i="18"/>
  <c r="J193" i="18"/>
  <c r="K193" i="18"/>
  <c r="H324" i="18"/>
  <c r="I324" i="18"/>
  <c r="J324" i="18"/>
  <c r="K324" i="18"/>
  <c r="H180" i="18"/>
  <c r="H311" i="18"/>
  <c r="I311" i="18"/>
  <c r="J311" i="18"/>
  <c r="K311" i="18"/>
  <c r="H167" i="18"/>
  <c r="H298" i="18"/>
  <c r="I298" i="18"/>
  <c r="J298" i="18"/>
  <c r="K298" i="18"/>
  <c r="H154" i="18"/>
  <c r="I297" i="18"/>
  <c r="J297" i="18"/>
  <c r="K297" i="18"/>
  <c r="H297" i="18"/>
  <c r="H153" i="18"/>
  <c r="H296" i="18"/>
  <c r="K296" i="18"/>
  <c r="I296" i="18"/>
  <c r="J296" i="18"/>
  <c r="H152" i="18"/>
  <c r="H295" i="18"/>
  <c r="I295" i="18"/>
  <c r="J295" i="18"/>
  <c r="K295" i="18"/>
  <c r="H151" i="18"/>
  <c r="I294" i="18"/>
  <c r="J294" i="18"/>
  <c r="K294" i="18"/>
  <c r="H294" i="18"/>
  <c r="H150" i="18"/>
  <c r="J381" i="18"/>
  <c r="K381" i="18"/>
  <c r="H381" i="18"/>
  <c r="I381" i="18"/>
  <c r="I243" i="18"/>
  <c r="I387" i="18"/>
  <c r="J267" i="18"/>
  <c r="K279" i="18"/>
  <c r="I326" i="18"/>
  <c r="J326" i="18"/>
  <c r="K326" i="18"/>
  <c r="H326" i="18"/>
  <c r="H185" i="18"/>
  <c r="H341" i="18"/>
  <c r="I341" i="18"/>
  <c r="J341" i="18"/>
  <c r="K341" i="18"/>
  <c r="I340" i="18"/>
  <c r="J340" i="18"/>
  <c r="K340" i="18"/>
  <c r="H340" i="18"/>
  <c r="I196" i="18"/>
  <c r="J196" i="18"/>
  <c r="K196" i="18"/>
  <c r="H196" i="18"/>
  <c r="H325" i="18"/>
  <c r="K325" i="18"/>
  <c r="I325" i="18"/>
  <c r="J325" i="18"/>
  <c r="H181" i="18"/>
  <c r="H312" i="18"/>
  <c r="K312" i="18"/>
  <c r="I312" i="18"/>
  <c r="J312" i="18"/>
  <c r="H168" i="18"/>
  <c r="H299" i="18"/>
  <c r="K299" i="18"/>
  <c r="I299" i="18"/>
  <c r="J299" i="18"/>
  <c r="H155" i="18"/>
  <c r="H286" i="18"/>
  <c r="K286" i="18"/>
  <c r="I286" i="18"/>
  <c r="J286" i="18"/>
  <c r="H142" i="18"/>
  <c r="H285" i="18"/>
  <c r="I285" i="18"/>
  <c r="J285" i="18"/>
  <c r="K285" i="18"/>
  <c r="H141" i="18"/>
  <c r="I284" i="18"/>
  <c r="J284" i="18"/>
  <c r="K284" i="18"/>
  <c r="H284" i="18"/>
  <c r="H140" i="18"/>
  <c r="H283" i="18"/>
  <c r="K283" i="18"/>
  <c r="I283" i="18"/>
  <c r="J283" i="18"/>
  <c r="H139" i="18"/>
  <c r="H282" i="18"/>
  <c r="I282" i="18"/>
  <c r="J282" i="18"/>
  <c r="K282" i="18"/>
  <c r="H138" i="18"/>
  <c r="H237" i="18"/>
  <c r="K237" i="18"/>
  <c r="I237" i="18"/>
  <c r="J237" i="18"/>
  <c r="I399" i="18"/>
  <c r="J279" i="18"/>
  <c r="K291" i="18"/>
  <c r="J374" i="18"/>
  <c r="K374" i="18"/>
  <c r="H374" i="18"/>
  <c r="I374" i="18"/>
  <c r="H233" i="18"/>
  <c r="I233" i="18"/>
  <c r="J233" i="18"/>
  <c r="K233" i="18"/>
  <c r="H389" i="18"/>
  <c r="I389" i="18"/>
  <c r="J389" i="18"/>
  <c r="K389" i="18"/>
  <c r="H328" i="18"/>
  <c r="I328" i="18"/>
  <c r="J328" i="18"/>
  <c r="K328" i="18"/>
  <c r="H184" i="18"/>
  <c r="I313" i="18"/>
  <c r="J313" i="18"/>
  <c r="K313" i="18"/>
  <c r="H313" i="18"/>
  <c r="H169" i="18"/>
  <c r="I300" i="18"/>
  <c r="J300" i="18"/>
  <c r="K300" i="18"/>
  <c r="H300" i="18"/>
  <c r="H156" i="18"/>
  <c r="I287" i="18"/>
  <c r="J287" i="18"/>
  <c r="K287" i="18"/>
  <c r="H287" i="18"/>
  <c r="H143" i="18"/>
  <c r="I274" i="18"/>
  <c r="J274" i="18"/>
  <c r="K274" i="18"/>
  <c r="H274" i="18"/>
  <c r="H130" i="18"/>
  <c r="H273" i="18"/>
  <c r="K273" i="18"/>
  <c r="I273" i="18"/>
  <c r="J273" i="18"/>
  <c r="H129" i="18"/>
  <c r="H272" i="18"/>
  <c r="I272" i="18"/>
  <c r="J272" i="18"/>
  <c r="K272" i="18"/>
  <c r="H128" i="18"/>
  <c r="I271" i="18"/>
  <c r="J271" i="18"/>
  <c r="K271" i="18"/>
  <c r="H271" i="18"/>
  <c r="H127" i="18"/>
  <c r="H270" i="18"/>
  <c r="K270" i="18"/>
  <c r="I270" i="18"/>
  <c r="J270" i="18"/>
  <c r="H126" i="18"/>
  <c r="I13" i="5"/>
  <c r="I15" i="5" s="1"/>
  <c r="K37" i="8" s="1"/>
  <c r="AG61" i="8" s="1"/>
  <c r="C66" i="9"/>
  <c r="E27" i="4"/>
  <c r="F27" i="4"/>
  <c r="E25" i="4"/>
  <c r="F23" i="4"/>
  <c r="E23" i="4"/>
  <c r="L44" i="8"/>
  <c r="AN62" i="8" s="1"/>
  <c r="E15" i="5"/>
  <c r="I37" i="8" s="1"/>
  <c r="AG59" i="8" s="1"/>
  <c r="G14" i="5"/>
  <c r="G16" i="5"/>
  <c r="G38" i="8" s="1"/>
  <c r="AH57" i="8" s="1"/>
  <c r="G61" i="16"/>
  <c r="E6" i="5"/>
  <c r="I6" i="5" s="1"/>
  <c r="E39" i="8"/>
  <c r="AI55" i="8" s="1"/>
  <c r="I16" i="5"/>
  <c r="L38" i="8" s="1"/>
  <c r="AH62" i="8" s="1"/>
  <c r="C38" i="8"/>
  <c r="AH53" i="8" s="1"/>
  <c r="I13" i="25"/>
  <c r="G58" i="16"/>
  <c r="F26" i="4"/>
  <c r="E26" i="4"/>
  <c r="E81" i="9"/>
  <c r="BO178" i="9" s="1"/>
  <c r="J7" i="8"/>
  <c r="C60" i="8" s="1"/>
  <c r="G64" i="16"/>
  <c r="G62" i="16"/>
  <c r="G63" i="16"/>
  <c r="F179" i="14"/>
  <c r="F221" i="14" s="1"/>
  <c r="G55" i="16"/>
  <c r="G60" i="16"/>
  <c r="G59" i="16"/>
  <c r="G57" i="16"/>
  <c r="E28" i="4"/>
  <c r="I11" i="25"/>
  <c r="C9" i="4"/>
  <c r="F13" i="4" s="1"/>
  <c r="D75" i="9"/>
  <c r="BN172" i="9" s="1"/>
  <c r="C30" i="5"/>
  <c r="G32" i="8" s="1"/>
  <c r="AB57" i="8" s="1"/>
  <c r="H13" i="25"/>
  <c r="H12" i="25"/>
  <c r="D296" i="17"/>
  <c r="G18" i="16"/>
  <c r="C5" i="3"/>
  <c r="D30" i="5"/>
  <c r="L32" i="8" s="1"/>
  <c r="AB62" i="8" s="1"/>
  <c r="H10" i="25"/>
  <c r="H32" i="8"/>
  <c r="AB58" i="8" s="1"/>
  <c r="D5" i="3"/>
  <c r="L7" i="8" s="1"/>
  <c r="C62" i="8" s="1"/>
  <c r="I54" i="9"/>
  <c r="D230" i="11"/>
  <c r="G21" i="16"/>
  <c r="G15" i="16"/>
  <c r="C8" i="16"/>
  <c r="G22" i="16"/>
  <c r="G17" i="16"/>
  <c r="G16" i="16"/>
  <c r="C5" i="11"/>
  <c r="G20" i="16"/>
  <c r="G19" i="16"/>
  <c r="G23" i="16"/>
  <c r="E296" i="17"/>
  <c r="F178" i="14"/>
  <c r="D12" i="10"/>
  <c r="D11" i="10"/>
  <c r="D27" i="10"/>
  <c r="B27" i="10"/>
  <c r="G24" i="16"/>
  <c r="C10" i="6"/>
  <c r="B8" i="16"/>
  <c r="E7" i="8"/>
  <c r="C55" i="8" s="1"/>
  <c r="B4" i="25"/>
  <c r="F12" i="25" s="1"/>
  <c r="G12" i="25" s="1"/>
  <c r="D109" i="12"/>
  <c r="D90" i="12"/>
  <c r="D91" i="12" s="1"/>
  <c r="D97" i="12"/>
  <c r="D98" i="12" s="1"/>
  <c r="D99" i="12" s="1"/>
  <c r="F28" i="4"/>
  <c r="D75" i="10"/>
  <c r="E75" i="10" s="1"/>
  <c r="J17" i="25"/>
  <c r="F68" i="16"/>
  <c r="F26" i="16"/>
  <c r="F77" i="16"/>
  <c r="E7" i="5"/>
  <c r="H14" i="25"/>
  <c r="J14" i="25" s="1"/>
  <c r="D175" i="11"/>
  <c r="D176" i="11" s="1"/>
  <c r="F24" i="4"/>
  <c r="J16" i="25"/>
  <c r="E24" i="4"/>
  <c r="D7" i="2"/>
  <c r="G79" i="11"/>
  <c r="I79" i="11" s="1"/>
  <c r="D80" i="11" s="1"/>
  <c r="D30" i="4"/>
  <c r="L30" i="8" s="1"/>
  <c r="Z62" i="8" s="1"/>
  <c r="BJ104" i="9"/>
  <c r="AX104" i="9"/>
  <c r="AL104" i="9"/>
  <c r="Z104" i="9"/>
  <c r="N104" i="9"/>
  <c r="BI104" i="9"/>
  <c r="AW104" i="9"/>
  <c r="AK104" i="9"/>
  <c r="Y104" i="9"/>
  <c r="M104" i="9"/>
  <c r="BH104" i="9"/>
  <c r="AV104" i="9"/>
  <c r="AJ104" i="9"/>
  <c r="X104" i="9"/>
  <c r="L104" i="9"/>
  <c r="BD104" i="9"/>
  <c r="AO104" i="9"/>
  <c r="W104" i="9"/>
  <c r="H104" i="9"/>
  <c r="BC104" i="9"/>
  <c r="AN104" i="9"/>
  <c r="V104" i="9"/>
  <c r="G104" i="9"/>
  <c r="BB104" i="9"/>
  <c r="AM104" i="9"/>
  <c r="U104" i="9"/>
  <c r="F104" i="9"/>
  <c r="BA104" i="9"/>
  <c r="AI104" i="9"/>
  <c r="T104" i="9"/>
  <c r="E104" i="9"/>
  <c r="AZ104" i="9"/>
  <c r="AH104" i="9"/>
  <c r="S104" i="9"/>
  <c r="D104" i="9"/>
  <c r="AY104" i="9"/>
  <c r="AG104" i="9"/>
  <c r="R104" i="9"/>
  <c r="C104" i="9"/>
  <c r="AU104" i="9"/>
  <c r="AF104" i="9"/>
  <c r="Q104" i="9"/>
  <c r="BL104" i="9"/>
  <c r="AT104" i="9"/>
  <c r="AE104" i="9"/>
  <c r="P104" i="9"/>
  <c r="BK104" i="9"/>
  <c r="AS104" i="9"/>
  <c r="AD104" i="9"/>
  <c r="O104" i="9"/>
  <c r="BG104" i="9"/>
  <c r="AR104" i="9"/>
  <c r="AC104" i="9"/>
  <c r="K104" i="9"/>
  <c r="BF104" i="9"/>
  <c r="AQ104" i="9"/>
  <c r="AB104" i="9"/>
  <c r="J104" i="9"/>
  <c r="BE104" i="9"/>
  <c r="AP104" i="9"/>
  <c r="AA104" i="9"/>
  <c r="I104" i="9"/>
  <c r="BH105" i="9"/>
  <c r="AV105" i="9"/>
  <c r="AJ105" i="9"/>
  <c r="X105" i="9"/>
  <c r="L105" i="9"/>
  <c r="BG105" i="9"/>
  <c r="AU105" i="9"/>
  <c r="AI105" i="9"/>
  <c r="W105" i="9"/>
  <c r="K105" i="9"/>
  <c r="BF105" i="9"/>
  <c r="AT105" i="9"/>
  <c r="AH105" i="9"/>
  <c r="V105" i="9"/>
  <c r="J105" i="9"/>
  <c r="BC105" i="9"/>
  <c r="AQ105" i="9"/>
  <c r="AE105" i="9"/>
  <c r="S105" i="9"/>
  <c r="BL105" i="9"/>
  <c r="AS105" i="9"/>
  <c r="AB105" i="9"/>
  <c r="I105" i="9"/>
  <c r="BK105" i="9"/>
  <c r="AR105" i="9"/>
  <c r="AA105" i="9"/>
  <c r="H105" i="9"/>
  <c r="BJ105" i="9"/>
  <c r="AP105" i="9"/>
  <c r="Z105" i="9"/>
  <c r="G105" i="9"/>
  <c r="BI105" i="9"/>
  <c r="AO105" i="9"/>
  <c r="Y105" i="9"/>
  <c r="F105" i="9"/>
  <c r="BE105" i="9"/>
  <c r="AN105" i="9"/>
  <c r="U105" i="9"/>
  <c r="E105" i="9"/>
  <c r="BD105" i="9"/>
  <c r="AM105" i="9"/>
  <c r="T105" i="9"/>
  <c r="D105" i="9"/>
  <c r="BB105" i="9"/>
  <c r="AL105" i="9"/>
  <c r="R105" i="9"/>
  <c r="C105" i="9"/>
  <c r="BA105" i="9"/>
  <c r="AK105" i="9"/>
  <c r="Q105" i="9"/>
  <c r="AZ105" i="9"/>
  <c r="AG105" i="9"/>
  <c r="P105" i="9"/>
  <c r="AY105" i="9"/>
  <c r="AF105" i="9"/>
  <c r="O105" i="9"/>
  <c r="AX105" i="9"/>
  <c r="AD105" i="9"/>
  <c r="N105" i="9"/>
  <c r="AW105" i="9"/>
  <c r="AC105" i="9"/>
  <c r="M105" i="9"/>
  <c r="BB114" i="9"/>
  <c r="AP114" i="9"/>
  <c r="AD114" i="9"/>
  <c r="R114" i="9"/>
  <c r="F114" i="9"/>
  <c r="BA114" i="9"/>
  <c r="AO114" i="9"/>
  <c r="AC114" i="9"/>
  <c r="Q114" i="9"/>
  <c r="E114" i="9"/>
  <c r="BL114" i="9"/>
  <c r="AZ114" i="9"/>
  <c r="AN114" i="9"/>
  <c r="AB114" i="9"/>
  <c r="P114" i="9"/>
  <c r="D114" i="9"/>
  <c r="BK114" i="9"/>
  <c r="AY114" i="9"/>
  <c r="AM114" i="9"/>
  <c r="AA114" i="9"/>
  <c r="O114" i="9"/>
  <c r="C114" i="9"/>
  <c r="BJ114" i="9"/>
  <c r="AX114" i="9"/>
  <c r="AL114" i="9"/>
  <c r="Z114" i="9"/>
  <c r="N114" i="9"/>
  <c r="BI114" i="9"/>
  <c r="AW114" i="9"/>
  <c r="AK114" i="9"/>
  <c r="Y114" i="9"/>
  <c r="M114" i="9"/>
  <c r="BH114" i="9"/>
  <c r="AV114" i="9"/>
  <c r="AJ114" i="9"/>
  <c r="X114" i="9"/>
  <c r="L114" i="9"/>
  <c r="BG114" i="9"/>
  <c r="AU114" i="9"/>
  <c r="AI114" i="9"/>
  <c r="W114" i="9"/>
  <c r="K114" i="9"/>
  <c r="BF114" i="9"/>
  <c r="AT114" i="9"/>
  <c r="AH114" i="9"/>
  <c r="V114" i="9"/>
  <c r="J114" i="9"/>
  <c r="BE114" i="9"/>
  <c r="AS114" i="9"/>
  <c r="AG114" i="9"/>
  <c r="U114" i="9"/>
  <c r="I114" i="9"/>
  <c r="BD114" i="9"/>
  <c r="AR114" i="9"/>
  <c r="AF114" i="9"/>
  <c r="T114" i="9"/>
  <c r="H114" i="9"/>
  <c r="BC114" i="9"/>
  <c r="AQ114" i="9"/>
  <c r="AE114" i="9"/>
  <c r="S114" i="9"/>
  <c r="G114" i="9"/>
  <c r="BJ110" i="9"/>
  <c r="AX110" i="9"/>
  <c r="AL110" i="9"/>
  <c r="Z110" i="9"/>
  <c r="N110" i="9"/>
  <c r="BI110" i="9"/>
  <c r="AW110" i="9"/>
  <c r="AK110" i="9"/>
  <c r="Y110" i="9"/>
  <c r="M110" i="9"/>
  <c r="BH110" i="9"/>
  <c r="AV110" i="9"/>
  <c r="AJ110" i="9"/>
  <c r="X110" i="9"/>
  <c r="L110" i="9"/>
  <c r="BG110" i="9"/>
  <c r="AU110" i="9"/>
  <c r="AI110" i="9"/>
  <c r="W110" i="9"/>
  <c r="K110" i="9"/>
  <c r="BF110" i="9"/>
  <c r="AT110" i="9"/>
  <c r="AH110" i="9"/>
  <c r="V110" i="9"/>
  <c r="J110" i="9"/>
  <c r="BE110" i="9"/>
  <c r="AS110" i="9"/>
  <c r="AG110" i="9"/>
  <c r="U110" i="9"/>
  <c r="I110" i="9"/>
  <c r="BK110" i="9"/>
  <c r="AM110" i="9"/>
  <c r="O110" i="9"/>
  <c r="BD110" i="9"/>
  <c r="AF110" i="9"/>
  <c r="H110" i="9"/>
  <c r="BC110" i="9"/>
  <c r="AE110" i="9"/>
  <c r="G110" i="9"/>
  <c r="BB110" i="9"/>
  <c r="AD110" i="9"/>
  <c r="F110" i="9"/>
  <c r="BA110" i="9"/>
  <c r="AC110" i="9"/>
  <c r="E110" i="9"/>
  <c r="AZ110" i="9"/>
  <c r="AB110" i="9"/>
  <c r="D110" i="9"/>
  <c r="AY110" i="9"/>
  <c r="AA110" i="9"/>
  <c r="C110" i="9"/>
  <c r="AR110" i="9"/>
  <c r="T110" i="9"/>
  <c r="AQ110" i="9"/>
  <c r="S110" i="9"/>
  <c r="AP110" i="9"/>
  <c r="R110" i="9"/>
  <c r="AO110" i="9"/>
  <c r="Q110" i="9"/>
  <c r="BL110" i="9"/>
  <c r="AN110" i="9"/>
  <c r="P110" i="9"/>
  <c r="BF106" i="9"/>
  <c r="AT106" i="9"/>
  <c r="AH106" i="9"/>
  <c r="V106" i="9"/>
  <c r="J106" i="9"/>
  <c r="BE106" i="9"/>
  <c r="AS106" i="9"/>
  <c r="AG106" i="9"/>
  <c r="U106" i="9"/>
  <c r="I106" i="9"/>
  <c r="BD106" i="9"/>
  <c r="AR106" i="9"/>
  <c r="AF106" i="9"/>
  <c r="T106" i="9"/>
  <c r="H106" i="9"/>
  <c r="BC106" i="9"/>
  <c r="AQ106" i="9"/>
  <c r="AE106" i="9"/>
  <c r="S106" i="9"/>
  <c r="G106" i="9"/>
  <c r="BB106" i="9"/>
  <c r="AP106" i="9"/>
  <c r="BA106" i="9"/>
  <c r="AO106" i="9"/>
  <c r="AC106" i="9"/>
  <c r="Q106" i="9"/>
  <c r="E106" i="9"/>
  <c r="AU106" i="9"/>
  <c r="X106" i="9"/>
  <c r="BL106" i="9"/>
  <c r="AN106" i="9"/>
  <c r="W106" i="9"/>
  <c r="BK106" i="9"/>
  <c r="AM106" i="9"/>
  <c r="R106" i="9"/>
  <c r="BJ106" i="9"/>
  <c r="AL106" i="9"/>
  <c r="P106" i="9"/>
  <c r="BI106" i="9"/>
  <c r="AK106" i="9"/>
  <c r="O106" i="9"/>
  <c r="BH106" i="9"/>
  <c r="AJ106" i="9"/>
  <c r="N106" i="9"/>
  <c r="BG106" i="9"/>
  <c r="AI106" i="9"/>
  <c r="M106" i="9"/>
  <c r="AZ106" i="9"/>
  <c r="AD106" i="9"/>
  <c r="L106" i="9"/>
  <c r="AY106" i="9"/>
  <c r="AB106" i="9"/>
  <c r="K106" i="9"/>
  <c r="AX106" i="9"/>
  <c r="AA106" i="9"/>
  <c r="F106" i="9"/>
  <c r="AW106" i="9"/>
  <c r="Z106" i="9"/>
  <c r="D106" i="9"/>
  <c r="AV106" i="9"/>
  <c r="Y106" i="9"/>
  <c r="C106" i="9"/>
  <c r="BL109" i="9"/>
  <c r="AZ109" i="9"/>
  <c r="AN109" i="9"/>
  <c r="AB109" i="9"/>
  <c r="P109" i="9"/>
  <c r="D109" i="9"/>
  <c r="BK109" i="9"/>
  <c r="AY109" i="9"/>
  <c r="AM109" i="9"/>
  <c r="AA109" i="9"/>
  <c r="O109" i="9"/>
  <c r="C109" i="9"/>
  <c r="BJ109" i="9"/>
  <c r="AX109" i="9"/>
  <c r="AL109" i="9"/>
  <c r="Z109" i="9"/>
  <c r="N109" i="9"/>
  <c r="BI109" i="9"/>
  <c r="AW109" i="9"/>
  <c r="AK109" i="9"/>
  <c r="Y109" i="9"/>
  <c r="M109" i="9"/>
  <c r="BH109" i="9"/>
  <c r="AV109" i="9"/>
  <c r="AJ109" i="9"/>
  <c r="X109" i="9"/>
  <c r="L109" i="9"/>
  <c r="BG109" i="9"/>
  <c r="AU109" i="9"/>
  <c r="AI109" i="9"/>
  <c r="W109" i="9"/>
  <c r="K109" i="9"/>
  <c r="BA109" i="9"/>
  <c r="AC109" i="9"/>
  <c r="E109" i="9"/>
  <c r="AT109" i="9"/>
  <c r="V109" i="9"/>
  <c r="AS109" i="9"/>
  <c r="U109" i="9"/>
  <c r="AR109" i="9"/>
  <c r="T109" i="9"/>
  <c r="AQ109" i="9"/>
  <c r="S109" i="9"/>
  <c r="AP109" i="9"/>
  <c r="R109" i="9"/>
  <c r="AO109" i="9"/>
  <c r="Q109" i="9"/>
  <c r="BF109" i="9"/>
  <c r="AH109" i="9"/>
  <c r="J109" i="9"/>
  <c r="BE109" i="9"/>
  <c r="AG109" i="9"/>
  <c r="I109" i="9"/>
  <c r="BD109" i="9"/>
  <c r="AF109" i="9"/>
  <c r="H109" i="9"/>
  <c r="BC109" i="9"/>
  <c r="AE109" i="9"/>
  <c r="G109" i="9"/>
  <c r="BB109" i="9"/>
  <c r="AD109" i="9"/>
  <c r="F109" i="9"/>
  <c r="D88" i="9"/>
  <c r="BN185" i="9" s="1"/>
  <c r="J18" i="25"/>
  <c r="BH111" i="9"/>
  <c r="AV111" i="9"/>
  <c r="AJ111" i="9"/>
  <c r="X111" i="9"/>
  <c r="L111" i="9"/>
  <c r="BG111" i="9"/>
  <c r="AU111" i="9"/>
  <c r="AI111" i="9"/>
  <c r="W111" i="9"/>
  <c r="K111" i="9"/>
  <c r="BF111" i="9"/>
  <c r="AT111" i="9"/>
  <c r="AH111" i="9"/>
  <c r="V111" i="9"/>
  <c r="J111" i="9"/>
  <c r="BE111" i="9"/>
  <c r="AS111" i="9"/>
  <c r="AG111" i="9"/>
  <c r="U111" i="9"/>
  <c r="I111" i="9"/>
  <c r="BD111" i="9"/>
  <c r="AR111" i="9"/>
  <c r="AF111" i="9"/>
  <c r="T111" i="9"/>
  <c r="H111" i="9"/>
  <c r="BC111" i="9"/>
  <c r="AQ111" i="9"/>
  <c r="AE111" i="9"/>
  <c r="S111" i="9"/>
  <c r="G111" i="9"/>
  <c r="BB111" i="9"/>
  <c r="AP111" i="9"/>
  <c r="AD111" i="9"/>
  <c r="BA111" i="9"/>
  <c r="AO111" i="9"/>
  <c r="AC111" i="9"/>
  <c r="BL111" i="9"/>
  <c r="AZ111" i="9"/>
  <c r="AN111" i="9"/>
  <c r="AB111" i="9"/>
  <c r="P111" i="9"/>
  <c r="D111" i="9"/>
  <c r="BI111" i="9"/>
  <c r="AW111" i="9"/>
  <c r="AA111" i="9"/>
  <c r="Z111" i="9"/>
  <c r="Y111" i="9"/>
  <c r="R111" i="9"/>
  <c r="Q111" i="9"/>
  <c r="BK111" i="9"/>
  <c r="O111" i="9"/>
  <c r="BJ111" i="9"/>
  <c r="N111" i="9"/>
  <c r="AY111" i="9"/>
  <c r="M111" i="9"/>
  <c r="AX111" i="9"/>
  <c r="F111" i="9"/>
  <c r="AM111" i="9"/>
  <c r="E111" i="9"/>
  <c r="AL111" i="9"/>
  <c r="C111" i="9"/>
  <c r="AK111" i="9"/>
  <c r="BF112" i="9"/>
  <c r="AT112" i="9"/>
  <c r="AH112" i="9"/>
  <c r="V112" i="9"/>
  <c r="J112" i="9"/>
  <c r="BE112" i="9"/>
  <c r="AS112" i="9"/>
  <c r="AG112" i="9"/>
  <c r="U112" i="9"/>
  <c r="I112" i="9"/>
  <c r="BD112" i="9"/>
  <c r="AR112" i="9"/>
  <c r="AF112" i="9"/>
  <c r="T112" i="9"/>
  <c r="H112" i="9"/>
  <c r="BC112" i="9"/>
  <c r="AQ112" i="9"/>
  <c r="AE112" i="9"/>
  <c r="S112" i="9"/>
  <c r="G112" i="9"/>
  <c r="BB112" i="9"/>
  <c r="AP112" i="9"/>
  <c r="AD112" i="9"/>
  <c r="R112" i="9"/>
  <c r="F112" i="9"/>
  <c r="BA112" i="9"/>
  <c r="AO112" i="9"/>
  <c r="AC112" i="9"/>
  <c r="Q112" i="9"/>
  <c r="E112" i="9"/>
  <c r="BL112" i="9"/>
  <c r="AZ112" i="9"/>
  <c r="AN112" i="9"/>
  <c r="AB112" i="9"/>
  <c r="P112" i="9"/>
  <c r="D112" i="9"/>
  <c r="BK112" i="9"/>
  <c r="AY112" i="9"/>
  <c r="AM112" i="9"/>
  <c r="AA112" i="9"/>
  <c r="O112" i="9"/>
  <c r="C112" i="9"/>
  <c r="BJ112" i="9"/>
  <c r="AX112" i="9"/>
  <c r="AL112" i="9"/>
  <c r="Z112" i="9"/>
  <c r="N112" i="9"/>
  <c r="BG112" i="9"/>
  <c r="AU112" i="9"/>
  <c r="AI112" i="9"/>
  <c r="W112" i="9"/>
  <c r="K112" i="9"/>
  <c r="AJ112" i="9"/>
  <c r="Y112" i="9"/>
  <c r="X112" i="9"/>
  <c r="M112" i="9"/>
  <c r="L112" i="9"/>
  <c r="BI112" i="9"/>
  <c r="BH112" i="9"/>
  <c r="AW112" i="9"/>
  <c r="AV112" i="9"/>
  <c r="AK112" i="9"/>
  <c r="BB108" i="9"/>
  <c r="AP108" i="9"/>
  <c r="AD108" i="9"/>
  <c r="R108" i="9"/>
  <c r="F108" i="9"/>
  <c r="BA108" i="9"/>
  <c r="AO108" i="9"/>
  <c r="AC108" i="9"/>
  <c r="Q108" i="9"/>
  <c r="E108" i="9"/>
  <c r="BL108" i="9"/>
  <c r="AZ108" i="9"/>
  <c r="AN108" i="9"/>
  <c r="AB108" i="9"/>
  <c r="P108" i="9"/>
  <c r="D108" i="9"/>
  <c r="BK108" i="9"/>
  <c r="AY108" i="9"/>
  <c r="AM108" i="9"/>
  <c r="AA108" i="9"/>
  <c r="O108" i="9"/>
  <c r="C108" i="9"/>
  <c r="BJ108" i="9"/>
  <c r="AX108" i="9"/>
  <c r="AL108" i="9"/>
  <c r="Z108" i="9"/>
  <c r="N108" i="9"/>
  <c r="BI108" i="9"/>
  <c r="AW108" i="9"/>
  <c r="AK108" i="9"/>
  <c r="Y108" i="9"/>
  <c r="M108" i="9"/>
  <c r="AQ108" i="9"/>
  <c r="S108" i="9"/>
  <c r="BH108" i="9"/>
  <c r="AJ108" i="9"/>
  <c r="L108" i="9"/>
  <c r="BG108" i="9"/>
  <c r="AI108" i="9"/>
  <c r="K108" i="9"/>
  <c r="BF108" i="9"/>
  <c r="AH108" i="9"/>
  <c r="J108" i="9"/>
  <c r="BE108" i="9"/>
  <c r="AG108" i="9"/>
  <c r="I108" i="9"/>
  <c r="BD108" i="9"/>
  <c r="AF108" i="9"/>
  <c r="H108" i="9"/>
  <c r="BC108" i="9"/>
  <c r="AE108" i="9"/>
  <c r="G108" i="9"/>
  <c r="AV108" i="9"/>
  <c r="X108" i="9"/>
  <c r="AU108" i="9"/>
  <c r="W108" i="9"/>
  <c r="AT108" i="9"/>
  <c r="V108" i="9"/>
  <c r="AS108" i="9"/>
  <c r="U108" i="9"/>
  <c r="AR108" i="9"/>
  <c r="T108" i="9"/>
  <c r="D72" i="11"/>
  <c r="BL115" i="9"/>
  <c r="AZ115" i="9"/>
  <c r="AN115" i="9"/>
  <c r="AB115" i="9"/>
  <c r="P115" i="9"/>
  <c r="D115" i="9"/>
  <c r="BK115" i="9"/>
  <c r="AY115" i="9"/>
  <c r="AM115" i="9"/>
  <c r="AA115" i="9"/>
  <c r="O115" i="9"/>
  <c r="C115" i="9"/>
  <c r="BJ115" i="9"/>
  <c r="AX115" i="9"/>
  <c r="AL115" i="9"/>
  <c r="Z115" i="9"/>
  <c r="N115" i="9"/>
  <c r="BI115" i="9"/>
  <c r="AW115" i="9"/>
  <c r="AK115" i="9"/>
  <c r="Y115" i="9"/>
  <c r="M115" i="9"/>
  <c r="BH115" i="9"/>
  <c r="AV115" i="9"/>
  <c r="AJ115" i="9"/>
  <c r="X115" i="9"/>
  <c r="L115" i="9"/>
  <c r="BG115" i="9"/>
  <c r="AU115" i="9"/>
  <c r="AI115" i="9"/>
  <c r="W115" i="9"/>
  <c r="K115" i="9"/>
  <c r="BF115" i="9"/>
  <c r="AT115" i="9"/>
  <c r="AH115" i="9"/>
  <c r="V115" i="9"/>
  <c r="J115" i="9"/>
  <c r="BE115" i="9"/>
  <c r="AS115" i="9"/>
  <c r="AG115" i="9"/>
  <c r="U115" i="9"/>
  <c r="I115" i="9"/>
  <c r="BD115" i="9"/>
  <c r="AR115" i="9"/>
  <c r="AF115" i="9"/>
  <c r="T115" i="9"/>
  <c r="H115" i="9"/>
  <c r="BC115" i="9"/>
  <c r="AQ115" i="9"/>
  <c r="AE115" i="9"/>
  <c r="S115" i="9"/>
  <c r="G115" i="9"/>
  <c r="BB115" i="9"/>
  <c r="AP115" i="9"/>
  <c r="AD115" i="9"/>
  <c r="R115" i="9"/>
  <c r="F115" i="9"/>
  <c r="BA115" i="9"/>
  <c r="AO115" i="9"/>
  <c r="AC115" i="9"/>
  <c r="Q115" i="9"/>
  <c r="E115" i="9"/>
  <c r="BD107" i="9"/>
  <c r="AR107" i="9"/>
  <c r="AF107" i="9"/>
  <c r="T107" i="9"/>
  <c r="H107" i="9"/>
  <c r="BC107" i="9"/>
  <c r="AQ107" i="9"/>
  <c r="AE107" i="9"/>
  <c r="S107" i="9"/>
  <c r="G107" i="9"/>
  <c r="BB107" i="9"/>
  <c r="AP107" i="9"/>
  <c r="AD107" i="9"/>
  <c r="R107" i="9"/>
  <c r="F107" i="9"/>
  <c r="BA107" i="9"/>
  <c r="AO107" i="9"/>
  <c r="AC107" i="9"/>
  <c r="Q107" i="9"/>
  <c r="E107" i="9"/>
  <c r="BL107" i="9"/>
  <c r="AZ107" i="9"/>
  <c r="AN107" i="9"/>
  <c r="AB107" i="9"/>
  <c r="P107" i="9"/>
  <c r="D107" i="9"/>
  <c r="BK107" i="9"/>
  <c r="AY107" i="9"/>
  <c r="AM107" i="9"/>
  <c r="AA107" i="9"/>
  <c r="O107" i="9"/>
  <c r="C107" i="9"/>
  <c r="BE107" i="9"/>
  <c r="AG107" i="9"/>
  <c r="I107" i="9"/>
  <c r="AX107" i="9"/>
  <c r="Z107" i="9"/>
  <c r="AW107" i="9"/>
  <c r="Y107" i="9"/>
  <c r="AV107" i="9"/>
  <c r="X107" i="9"/>
  <c r="AU107" i="9"/>
  <c r="W107" i="9"/>
  <c r="AT107" i="9"/>
  <c r="V107" i="9"/>
  <c r="AS107" i="9"/>
  <c r="U107" i="9"/>
  <c r="BJ107" i="9"/>
  <c r="AL107" i="9"/>
  <c r="N107" i="9"/>
  <c r="BI107" i="9"/>
  <c r="AK107" i="9"/>
  <c r="M107" i="9"/>
  <c r="BH107" i="9"/>
  <c r="AJ107" i="9"/>
  <c r="L107" i="9"/>
  <c r="BG107" i="9"/>
  <c r="AI107" i="9"/>
  <c r="K107" i="9"/>
  <c r="BF107" i="9"/>
  <c r="AH107" i="9"/>
  <c r="J107" i="9"/>
  <c r="F17" i="16"/>
  <c r="F89" i="16"/>
  <c r="F31" i="16"/>
  <c r="E87" i="16"/>
  <c r="F93" i="16"/>
  <c r="F39" i="16"/>
  <c r="E41" i="16"/>
  <c r="E89" i="16"/>
  <c r="F17" i="11"/>
  <c r="E34" i="16"/>
  <c r="E77" i="16"/>
  <c r="E25" i="16"/>
  <c r="F29" i="16"/>
  <c r="E35" i="16"/>
  <c r="F40" i="16"/>
  <c r="E60" i="16"/>
  <c r="E55" i="16"/>
  <c r="F34" i="16"/>
  <c r="E88" i="16"/>
  <c r="E70" i="16"/>
  <c r="E44" i="16"/>
  <c r="F60" i="16"/>
  <c r="E54" i="16"/>
  <c r="E71" i="16"/>
  <c r="E18" i="11"/>
  <c r="F46" i="16"/>
  <c r="F56" i="16"/>
  <c r="F53" i="16"/>
  <c r="E83" i="16"/>
  <c r="F45" i="16"/>
  <c r="E75" i="16"/>
  <c r="E31" i="16"/>
  <c r="E85" i="16"/>
  <c r="F14" i="11"/>
  <c r="E14" i="11"/>
  <c r="F59" i="16"/>
  <c r="F30" i="16"/>
  <c r="F32" i="16"/>
  <c r="F58" i="16"/>
  <c r="F83" i="16"/>
  <c r="F54" i="16"/>
  <c r="E28" i="16"/>
  <c r="F75" i="16"/>
  <c r="E23" i="16"/>
  <c r="E43" i="16"/>
  <c r="E13" i="11"/>
  <c r="F88" i="16"/>
  <c r="F50" i="16"/>
  <c r="F47" i="16"/>
  <c r="F49" i="16"/>
  <c r="E58" i="16"/>
  <c r="E81" i="16"/>
  <c r="E39" i="16"/>
  <c r="E52" i="16"/>
  <c r="E45" i="16"/>
  <c r="E19" i="16"/>
  <c r="F35" i="16"/>
  <c r="F42" i="16"/>
  <c r="F62" i="16"/>
  <c r="E74" i="16"/>
  <c r="E65" i="16"/>
  <c r="E93" i="16"/>
  <c r="E32" i="16"/>
  <c r="E40" i="16"/>
  <c r="F23" i="16"/>
  <c r="F38" i="16"/>
  <c r="F85" i="16"/>
  <c r="F74" i="16"/>
  <c r="F27" i="16"/>
  <c r="E48" i="16"/>
  <c r="F65" i="16"/>
  <c r="F43" i="16"/>
  <c r="E21" i="11"/>
  <c r="F21" i="11"/>
  <c r="F22" i="16"/>
  <c r="E46" i="16"/>
  <c r="E50" i="16"/>
  <c r="F16" i="11"/>
  <c r="F57" i="16"/>
  <c r="F48" i="16"/>
  <c r="E63" i="16"/>
  <c r="E15" i="16"/>
  <c r="F52" i="16"/>
  <c r="E42" i="16"/>
  <c r="F19" i="16"/>
  <c r="F33" i="16"/>
  <c r="E49" i="16"/>
  <c r="E51" i="16"/>
  <c r="E86" i="16"/>
  <c r="E22" i="16"/>
  <c r="E57" i="16"/>
  <c r="F18" i="16"/>
  <c r="E66" i="16"/>
  <c r="E59" i="16"/>
  <c r="F19" i="11"/>
  <c r="F84" i="16"/>
  <c r="E84" i="16"/>
  <c r="E21" i="16"/>
  <c r="F21" i="16"/>
  <c r="G108" i="20"/>
  <c r="I15" i="9"/>
  <c r="C15" i="9"/>
  <c r="G66" i="20"/>
  <c r="F87" i="16"/>
  <c r="E16" i="16"/>
  <c r="F16" i="16"/>
  <c r="F78" i="16"/>
  <c r="E78" i="16"/>
  <c r="E37" i="16"/>
  <c r="F37" i="16"/>
  <c r="E61" i="16"/>
  <c r="F61" i="16"/>
  <c r="E20" i="16"/>
  <c r="F20" i="16"/>
  <c r="G25" i="25"/>
  <c r="E80" i="16"/>
  <c r="F80" i="16"/>
  <c r="E76" i="16"/>
  <c r="F76" i="16"/>
  <c r="E36" i="16"/>
  <c r="F36" i="16"/>
  <c r="E94" i="16"/>
  <c r="F94" i="16"/>
  <c r="D77" i="9"/>
  <c r="BN174" i="9" s="1"/>
  <c r="E77" i="9"/>
  <c r="BO174" i="9" s="1"/>
  <c r="G96" i="20"/>
  <c r="G102" i="20"/>
  <c r="G36" i="20"/>
  <c r="G84" i="20"/>
  <c r="E91" i="9"/>
  <c r="BO188" i="9" s="1"/>
  <c r="D91" i="9"/>
  <c r="BN188" i="9" s="1"/>
  <c r="B11" i="22"/>
  <c r="C11" i="22"/>
  <c r="A51" i="24"/>
  <c r="J51" i="23"/>
  <c r="K51" i="23"/>
  <c r="I51" i="23"/>
  <c r="H51" i="23"/>
  <c r="G51" i="23"/>
  <c r="F51" i="23"/>
  <c r="E51" i="23"/>
  <c r="D51" i="23"/>
  <c r="C51" i="23"/>
  <c r="B51" i="23"/>
  <c r="A63" i="24"/>
  <c r="J63" i="23"/>
  <c r="I63" i="23"/>
  <c r="H63" i="23"/>
  <c r="G63" i="23"/>
  <c r="F63" i="23"/>
  <c r="K63" i="23"/>
  <c r="E63" i="23"/>
  <c r="D63" i="23"/>
  <c r="C63" i="23"/>
  <c r="B63" i="23"/>
  <c r="A31" i="24"/>
  <c r="B31" i="23"/>
  <c r="I31" i="23"/>
  <c r="H31" i="23"/>
  <c r="G31" i="23"/>
  <c r="F31" i="23"/>
  <c r="E31" i="23"/>
  <c r="D31" i="23"/>
  <c r="C31" i="23"/>
  <c r="K31" i="23"/>
  <c r="J31" i="23"/>
  <c r="A36" i="24"/>
  <c r="G36" i="23"/>
  <c r="F36" i="23"/>
  <c r="E36" i="23"/>
  <c r="D36" i="23"/>
  <c r="C36" i="23"/>
  <c r="B36" i="23"/>
  <c r="K36" i="23"/>
  <c r="J36" i="23"/>
  <c r="I36" i="23"/>
  <c r="H36" i="23"/>
  <c r="A6" i="24"/>
  <c r="E6" i="23"/>
  <c r="D6" i="23"/>
  <c r="C6" i="23"/>
  <c r="B6" i="23"/>
  <c r="K6" i="23"/>
  <c r="J6" i="23"/>
  <c r="I6" i="23"/>
  <c r="H6" i="23"/>
  <c r="G6" i="23"/>
  <c r="F6" i="23"/>
  <c r="A28" i="24"/>
  <c r="K28" i="23"/>
  <c r="C28" i="23"/>
  <c r="B28" i="23"/>
  <c r="J28" i="23"/>
  <c r="I28" i="23"/>
  <c r="H28" i="23"/>
  <c r="G28" i="23"/>
  <c r="F28" i="23"/>
  <c r="E28" i="23"/>
  <c r="D28" i="23"/>
  <c r="B37" i="22"/>
  <c r="I37" i="22"/>
  <c r="F37" i="22"/>
  <c r="D37" i="22"/>
  <c r="C37" i="22"/>
  <c r="A46" i="24"/>
  <c r="E46" i="23"/>
  <c r="K46" i="23"/>
  <c r="J46" i="23"/>
  <c r="I46" i="23"/>
  <c r="H46" i="23"/>
  <c r="G46" i="23"/>
  <c r="F46" i="23"/>
  <c r="D46" i="23"/>
  <c r="C46" i="23"/>
  <c r="B46" i="23"/>
  <c r="A86" i="24"/>
  <c r="I86" i="23"/>
  <c r="H86" i="23"/>
  <c r="G86" i="23"/>
  <c r="F86" i="23"/>
  <c r="E86" i="23"/>
  <c r="D86" i="23"/>
  <c r="C86" i="23"/>
  <c r="B86" i="23"/>
  <c r="K86" i="23"/>
  <c r="J86" i="23"/>
  <c r="A254" i="24"/>
  <c r="D254" i="23"/>
  <c r="K254" i="23"/>
  <c r="J254" i="23"/>
  <c r="I254" i="23"/>
  <c r="H254" i="23"/>
  <c r="G254" i="23"/>
  <c r="F254" i="23"/>
  <c r="C254" i="23"/>
  <c r="B254" i="23"/>
  <c r="E254" i="23"/>
  <c r="A95" i="24"/>
  <c r="F95" i="23"/>
  <c r="E95" i="23"/>
  <c r="D95" i="23"/>
  <c r="C95" i="23"/>
  <c r="B95" i="23"/>
  <c r="K95" i="23"/>
  <c r="J95" i="23"/>
  <c r="I95" i="23"/>
  <c r="H95" i="23"/>
  <c r="G95" i="23"/>
  <c r="A94" i="24"/>
  <c r="E94" i="23"/>
  <c r="D94" i="23"/>
  <c r="C94" i="23"/>
  <c r="B94" i="23"/>
  <c r="K94" i="23"/>
  <c r="J94" i="23"/>
  <c r="I94" i="23"/>
  <c r="H94" i="23"/>
  <c r="G94" i="23"/>
  <c r="F94" i="23"/>
  <c r="A148" i="24"/>
  <c r="C148" i="23"/>
  <c r="B148" i="23"/>
  <c r="J148" i="23"/>
  <c r="F148" i="23"/>
  <c r="E148" i="23"/>
  <c r="D148" i="23"/>
  <c r="K148" i="23"/>
  <c r="I148" i="23"/>
  <c r="H148" i="23"/>
  <c r="G148" i="23"/>
  <c r="A91" i="24"/>
  <c r="B91" i="23"/>
  <c r="K91" i="23"/>
  <c r="J91" i="23"/>
  <c r="I91" i="23"/>
  <c r="H91" i="23"/>
  <c r="G91" i="23"/>
  <c r="F91" i="23"/>
  <c r="E91" i="23"/>
  <c r="D91" i="23"/>
  <c r="C91" i="23"/>
  <c r="A102" i="24"/>
  <c r="K102" i="23"/>
  <c r="J102" i="23"/>
  <c r="I102" i="23"/>
  <c r="H102" i="23"/>
  <c r="G102" i="23"/>
  <c r="F102" i="23"/>
  <c r="E102" i="23"/>
  <c r="D102" i="23"/>
  <c r="C102" i="23"/>
  <c r="B102" i="23"/>
  <c r="A215" i="24"/>
  <c r="G215" i="23"/>
  <c r="F215" i="23"/>
  <c r="E215" i="23"/>
  <c r="D215" i="23"/>
  <c r="C215" i="23"/>
  <c r="B215" i="23"/>
  <c r="K215" i="23"/>
  <c r="I215" i="23"/>
  <c r="J215" i="23"/>
  <c r="H215" i="23"/>
  <c r="A183" i="24"/>
  <c r="K183" i="23"/>
  <c r="J183" i="23"/>
  <c r="G183" i="23"/>
  <c r="F183" i="23"/>
  <c r="E183" i="23"/>
  <c r="D183" i="23"/>
  <c r="C183" i="23"/>
  <c r="B183" i="23"/>
  <c r="I183" i="23"/>
  <c r="H183" i="23"/>
  <c r="A187" i="24"/>
  <c r="C187" i="23"/>
  <c r="B187" i="23"/>
  <c r="G187" i="23"/>
  <c r="F187" i="23"/>
  <c r="E187" i="23"/>
  <c r="D187" i="23"/>
  <c r="K187" i="23"/>
  <c r="I187" i="23"/>
  <c r="J187" i="23"/>
  <c r="H187" i="23"/>
  <c r="A169" i="24"/>
  <c r="I169" i="23"/>
  <c r="H169" i="23"/>
  <c r="C169" i="23"/>
  <c r="B169" i="23"/>
  <c r="J169" i="23"/>
  <c r="G169" i="23"/>
  <c r="E169" i="23"/>
  <c r="K169" i="23"/>
  <c r="F169" i="23"/>
  <c r="D169" i="23"/>
  <c r="A181" i="24"/>
  <c r="I181" i="23"/>
  <c r="H181" i="23"/>
  <c r="K181" i="23"/>
  <c r="J181" i="23"/>
  <c r="G181" i="23"/>
  <c r="F181" i="23"/>
  <c r="E181" i="23"/>
  <c r="C181" i="23"/>
  <c r="B181" i="23"/>
  <c r="D181" i="23"/>
  <c r="A216" i="24"/>
  <c r="H216" i="23"/>
  <c r="G216" i="23"/>
  <c r="F216" i="23"/>
  <c r="E216" i="23"/>
  <c r="D216" i="23"/>
  <c r="C216" i="23"/>
  <c r="J216" i="23"/>
  <c r="K216" i="23"/>
  <c r="I216" i="23"/>
  <c r="B216" i="23"/>
  <c r="A258" i="24"/>
  <c r="H258" i="23"/>
  <c r="G258" i="23"/>
  <c r="D258" i="23"/>
  <c r="I258" i="23"/>
  <c r="F258" i="23"/>
  <c r="E258" i="23"/>
  <c r="C258" i="23"/>
  <c r="B258" i="23"/>
  <c r="K258" i="23"/>
  <c r="J258" i="23"/>
  <c r="A212" i="24"/>
  <c r="D212" i="23"/>
  <c r="C212" i="23"/>
  <c r="B212" i="23"/>
  <c r="K212" i="23"/>
  <c r="F212" i="23"/>
  <c r="J212" i="23"/>
  <c r="I212" i="23"/>
  <c r="H212" i="23"/>
  <c r="G212" i="23"/>
  <c r="E212" i="23"/>
  <c r="A307" i="24"/>
  <c r="J307" i="23"/>
  <c r="I307" i="23"/>
  <c r="H307" i="23"/>
  <c r="G307" i="23"/>
  <c r="F307" i="23"/>
  <c r="E307" i="23"/>
  <c r="D307" i="23"/>
  <c r="C307" i="23"/>
  <c r="B307" i="23"/>
  <c r="K307" i="23"/>
  <c r="A185" i="24"/>
  <c r="K185" i="23"/>
  <c r="J185" i="23"/>
  <c r="I185" i="23"/>
  <c r="H185" i="23"/>
  <c r="G185" i="23"/>
  <c r="F185" i="23"/>
  <c r="E185" i="23"/>
  <c r="C185" i="23"/>
  <c r="D185" i="23"/>
  <c r="B185" i="23"/>
  <c r="A280" i="24"/>
  <c r="G280" i="23"/>
  <c r="F280" i="23"/>
  <c r="E280" i="23"/>
  <c r="B280" i="23"/>
  <c r="I280" i="23"/>
  <c r="H280" i="23"/>
  <c r="D280" i="23"/>
  <c r="C280" i="23"/>
  <c r="K280" i="23"/>
  <c r="J280" i="23"/>
  <c r="A288" i="24"/>
  <c r="C288" i="23"/>
  <c r="B288" i="23"/>
  <c r="K288" i="23"/>
  <c r="J288" i="23"/>
  <c r="I288" i="23"/>
  <c r="E288" i="23"/>
  <c r="H288" i="23"/>
  <c r="G288" i="23"/>
  <c r="F288" i="23"/>
  <c r="D288" i="23"/>
  <c r="E67" i="16"/>
  <c r="F67" i="16"/>
  <c r="F86" i="16"/>
  <c r="D165" i="11"/>
  <c r="D166" i="11" s="1"/>
  <c r="D186" i="11"/>
  <c r="D188" i="11" s="1"/>
  <c r="G90" i="20"/>
  <c r="C64" i="9"/>
  <c r="I64" i="9"/>
  <c r="G122" i="20"/>
  <c r="L8" i="8"/>
  <c r="D62" i="8" s="1"/>
  <c r="G8" i="8"/>
  <c r="D57" i="8" s="1"/>
  <c r="B3" i="18"/>
  <c r="G74" i="20"/>
  <c r="G118" i="20"/>
  <c r="G116" i="20"/>
  <c r="I12" i="22"/>
  <c r="F12" i="22"/>
  <c r="D12" i="22"/>
  <c r="C12" i="22"/>
  <c r="B12" i="22"/>
  <c r="A33" i="24"/>
  <c r="D33" i="23"/>
  <c r="K33" i="23"/>
  <c r="J33" i="23"/>
  <c r="I33" i="23"/>
  <c r="H33" i="23"/>
  <c r="G33" i="23"/>
  <c r="F33" i="23"/>
  <c r="E33" i="23"/>
  <c r="C33" i="23"/>
  <c r="B33" i="23"/>
  <c r="A11" i="24"/>
  <c r="J11" i="23"/>
  <c r="I11" i="23"/>
  <c r="H11" i="23"/>
  <c r="G11" i="23"/>
  <c r="F11" i="23"/>
  <c r="E11" i="23"/>
  <c r="D11" i="23"/>
  <c r="C11" i="23"/>
  <c r="B11" i="23"/>
  <c r="K11" i="23"/>
  <c r="A65" i="24"/>
  <c r="K65" i="23"/>
  <c r="J65" i="23"/>
  <c r="I65" i="23"/>
  <c r="H65" i="23"/>
  <c r="G65" i="23"/>
  <c r="F65" i="23"/>
  <c r="E65" i="23"/>
  <c r="D65" i="23"/>
  <c r="C65" i="23"/>
  <c r="B65" i="23"/>
  <c r="A37" i="24"/>
  <c r="H37" i="23"/>
  <c r="I37" i="23"/>
  <c r="G37" i="23"/>
  <c r="F37" i="23"/>
  <c r="E37" i="23"/>
  <c r="D37" i="23"/>
  <c r="C37" i="23"/>
  <c r="B37" i="23"/>
  <c r="K37" i="23"/>
  <c r="J37" i="23"/>
  <c r="A71" i="24"/>
  <c r="F71" i="23"/>
  <c r="E71" i="23"/>
  <c r="D71" i="23"/>
  <c r="C71" i="23"/>
  <c r="B71" i="23"/>
  <c r="K71" i="23"/>
  <c r="J71" i="23"/>
  <c r="I71" i="23"/>
  <c r="H71" i="23"/>
  <c r="G71" i="23"/>
  <c r="A18" i="24"/>
  <c r="E18" i="23"/>
  <c r="D18" i="23"/>
  <c r="C18" i="23"/>
  <c r="B18" i="23"/>
  <c r="K18" i="23"/>
  <c r="J18" i="23"/>
  <c r="I18" i="23"/>
  <c r="H18" i="23"/>
  <c r="G18" i="23"/>
  <c r="F18" i="23"/>
  <c r="A47" i="24"/>
  <c r="F47" i="23"/>
  <c r="C47" i="23"/>
  <c r="B47" i="23"/>
  <c r="K47" i="23"/>
  <c r="J47" i="23"/>
  <c r="I47" i="23"/>
  <c r="H47" i="23"/>
  <c r="G47" i="23"/>
  <c r="E47" i="23"/>
  <c r="D47" i="23"/>
  <c r="B41" i="22"/>
  <c r="I41" i="22"/>
  <c r="F41" i="22"/>
  <c r="D41" i="22"/>
  <c r="C41" i="22"/>
  <c r="A52" i="24"/>
  <c r="K52" i="23"/>
  <c r="I52" i="23"/>
  <c r="J52" i="23"/>
  <c r="H52" i="23"/>
  <c r="G52" i="23"/>
  <c r="F52" i="23"/>
  <c r="E52" i="23"/>
  <c r="D52" i="23"/>
  <c r="C52" i="23"/>
  <c r="B52" i="23"/>
  <c r="A98" i="24"/>
  <c r="I98" i="23"/>
  <c r="H98" i="23"/>
  <c r="G98" i="23"/>
  <c r="F98" i="23"/>
  <c r="E98" i="23"/>
  <c r="D98" i="23"/>
  <c r="C98" i="23"/>
  <c r="B98" i="23"/>
  <c r="K98" i="23"/>
  <c r="J98" i="23"/>
  <c r="A72" i="24"/>
  <c r="G72" i="23"/>
  <c r="F72" i="23"/>
  <c r="E72" i="23"/>
  <c r="D72" i="23"/>
  <c r="C72" i="23"/>
  <c r="K72" i="23"/>
  <c r="J72" i="23"/>
  <c r="I72" i="23"/>
  <c r="H72" i="23"/>
  <c r="B72" i="23"/>
  <c r="A107" i="24"/>
  <c r="F107" i="23"/>
  <c r="E107" i="23"/>
  <c r="D107" i="23"/>
  <c r="C107" i="23"/>
  <c r="B107" i="23"/>
  <c r="K107" i="23"/>
  <c r="J107" i="23"/>
  <c r="I107" i="23"/>
  <c r="H107" i="23"/>
  <c r="G107" i="23"/>
  <c r="A106" i="24"/>
  <c r="E106" i="23"/>
  <c r="D106" i="23"/>
  <c r="C106" i="23"/>
  <c r="B106" i="23"/>
  <c r="K106" i="23"/>
  <c r="J106" i="23"/>
  <c r="I106" i="23"/>
  <c r="H106" i="23"/>
  <c r="G106" i="23"/>
  <c r="F106" i="23"/>
  <c r="A56" i="24"/>
  <c r="C56" i="23"/>
  <c r="K56" i="23"/>
  <c r="J56" i="23"/>
  <c r="I56" i="23"/>
  <c r="H56" i="23"/>
  <c r="G56" i="23"/>
  <c r="F56" i="23"/>
  <c r="E56" i="23"/>
  <c r="D56" i="23"/>
  <c r="B56" i="23"/>
  <c r="A103" i="24"/>
  <c r="B103" i="23"/>
  <c r="K103" i="23"/>
  <c r="J103" i="23"/>
  <c r="I103" i="23"/>
  <c r="H103" i="23"/>
  <c r="G103" i="23"/>
  <c r="F103" i="23"/>
  <c r="E103" i="23"/>
  <c r="D103" i="23"/>
  <c r="C103" i="23"/>
  <c r="A114" i="24"/>
  <c r="K114" i="23"/>
  <c r="J114" i="23"/>
  <c r="I114" i="23"/>
  <c r="H114" i="23"/>
  <c r="G114" i="23"/>
  <c r="F114" i="23"/>
  <c r="E114" i="23"/>
  <c r="D114" i="23"/>
  <c r="C114" i="23"/>
  <c r="B114" i="23"/>
  <c r="A293" i="24"/>
  <c r="H293" i="23"/>
  <c r="G293" i="23"/>
  <c r="F293" i="23"/>
  <c r="D293" i="23"/>
  <c r="C293" i="23"/>
  <c r="B293" i="23"/>
  <c r="J293" i="23"/>
  <c r="K293" i="23"/>
  <c r="I293" i="23"/>
  <c r="E293" i="23"/>
  <c r="A191" i="24"/>
  <c r="G191" i="23"/>
  <c r="F191" i="23"/>
  <c r="E191" i="23"/>
  <c r="J191" i="23"/>
  <c r="I191" i="23"/>
  <c r="H191" i="23"/>
  <c r="D191" i="23"/>
  <c r="C191" i="23"/>
  <c r="B191" i="23"/>
  <c r="K191" i="23"/>
  <c r="A202" i="24"/>
  <c r="F202" i="23"/>
  <c r="E202" i="23"/>
  <c r="D202" i="23"/>
  <c r="C202" i="23"/>
  <c r="H202" i="23"/>
  <c r="J202" i="23"/>
  <c r="I202" i="23"/>
  <c r="G202" i="23"/>
  <c r="B202" i="23"/>
  <c r="K202" i="23"/>
  <c r="A190" i="24"/>
  <c r="F190" i="23"/>
  <c r="E190" i="23"/>
  <c r="D190" i="23"/>
  <c r="C190" i="23"/>
  <c r="B190" i="23"/>
  <c r="K190" i="23"/>
  <c r="J190" i="23"/>
  <c r="H190" i="23"/>
  <c r="I190" i="23"/>
  <c r="G190" i="23"/>
  <c r="A232" i="24"/>
  <c r="K232" i="23"/>
  <c r="J232" i="23"/>
  <c r="I232" i="23"/>
  <c r="H232" i="23"/>
  <c r="G232" i="23"/>
  <c r="E232" i="23"/>
  <c r="D232" i="23"/>
  <c r="B232" i="23"/>
  <c r="F232" i="23"/>
  <c r="C232" i="23"/>
  <c r="A228" i="24"/>
  <c r="H228" i="23"/>
  <c r="G228" i="23"/>
  <c r="F228" i="23"/>
  <c r="E228" i="23"/>
  <c r="D228" i="23"/>
  <c r="C228" i="23"/>
  <c r="J228" i="23"/>
  <c r="K228" i="23"/>
  <c r="B228" i="23"/>
  <c r="I228" i="23"/>
  <c r="A261" i="24"/>
  <c r="K261" i="23"/>
  <c r="J261" i="23"/>
  <c r="G261" i="23"/>
  <c r="F261" i="23"/>
  <c r="E261" i="23"/>
  <c r="D261" i="23"/>
  <c r="C261" i="23"/>
  <c r="B261" i="23"/>
  <c r="I261" i="23"/>
  <c r="H261" i="23"/>
  <c r="A224" i="24"/>
  <c r="D224" i="23"/>
  <c r="C224" i="23"/>
  <c r="B224" i="23"/>
  <c r="K224" i="23"/>
  <c r="I224" i="23"/>
  <c r="H224" i="23"/>
  <c r="F224" i="23"/>
  <c r="J224" i="23"/>
  <c r="G224" i="23"/>
  <c r="E224" i="23"/>
  <c r="A174" i="24"/>
  <c r="B174" i="23"/>
  <c r="F174" i="23"/>
  <c r="E174" i="23"/>
  <c r="D174" i="23"/>
  <c r="C174" i="23"/>
  <c r="K174" i="23"/>
  <c r="J174" i="23"/>
  <c r="H174" i="23"/>
  <c r="I174" i="23"/>
  <c r="G174" i="23"/>
  <c r="A197" i="24"/>
  <c r="K197" i="23"/>
  <c r="G197" i="23"/>
  <c r="F197" i="23"/>
  <c r="E197" i="23"/>
  <c r="D197" i="23"/>
  <c r="C197" i="23"/>
  <c r="B197" i="23"/>
  <c r="I197" i="23"/>
  <c r="H197" i="23"/>
  <c r="J197" i="23"/>
  <c r="A292" i="24"/>
  <c r="G292" i="23"/>
  <c r="F292" i="23"/>
  <c r="E292" i="23"/>
  <c r="C292" i="23"/>
  <c r="B292" i="23"/>
  <c r="I292" i="23"/>
  <c r="H292" i="23"/>
  <c r="D292" i="23"/>
  <c r="K292" i="23"/>
  <c r="J292" i="23"/>
  <c r="A300" i="24"/>
  <c r="C300" i="23"/>
  <c r="B300" i="23"/>
  <c r="K300" i="23"/>
  <c r="J300" i="23"/>
  <c r="I300" i="23"/>
  <c r="E300" i="23"/>
  <c r="H300" i="23"/>
  <c r="G300" i="23"/>
  <c r="F300" i="23"/>
  <c r="D300" i="23"/>
  <c r="G120" i="20"/>
  <c r="G64" i="20"/>
  <c r="G60" i="20"/>
  <c r="C46" i="9"/>
  <c r="I46" i="9"/>
  <c r="G20" i="20"/>
  <c r="D90" i="9"/>
  <c r="BN187" i="9" s="1"/>
  <c r="E90" i="9"/>
  <c r="BO187" i="9" s="1"/>
  <c r="D86" i="9"/>
  <c r="BN183" i="9" s="1"/>
  <c r="E86" i="9"/>
  <c r="BO183" i="9" s="1"/>
  <c r="G98" i="20"/>
  <c r="G28" i="20"/>
  <c r="E85" i="9"/>
  <c r="BO182" i="9" s="1"/>
  <c r="D85" i="9"/>
  <c r="BN182" i="9" s="1"/>
  <c r="E78" i="9"/>
  <c r="BO175" i="9" s="1"/>
  <c r="D78" i="9"/>
  <c r="BN175" i="9" s="1"/>
  <c r="A25" i="24"/>
  <c r="K25" i="23"/>
  <c r="J25" i="23"/>
  <c r="I25" i="23"/>
  <c r="H25" i="23"/>
  <c r="G25" i="23"/>
  <c r="F25" i="23"/>
  <c r="E25" i="23"/>
  <c r="D25" i="23"/>
  <c r="C25" i="23"/>
  <c r="B25" i="23"/>
  <c r="A156" i="24"/>
  <c r="K156" i="23"/>
  <c r="J156" i="23"/>
  <c r="I156" i="23"/>
  <c r="H156" i="23"/>
  <c r="F156" i="23"/>
  <c r="G156" i="23"/>
  <c r="E156" i="23"/>
  <c r="D156" i="23"/>
  <c r="C156" i="23"/>
  <c r="B156" i="23"/>
  <c r="A23" i="24"/>
  <c r="J23" i="23"/>
  <c r="I23" i="23"/>
  <c r="H23" i="23"/>
  <c r="G23" i="23"/>
  <c r="F23" i="23"/>
  <c r="E23" i="23"/>
  <c r="D23" i="23"/>
  <c r="C23" i="23"/>
  <c r="B23" i="23"/>
  <c r="K23" i="23"/>
  <c r="A75" i="24"/>
  <c r="J75" i="23"/>
  <c r="I75" i="23"/>
  <c r="H75" i="23"/>
  <c r="G75" i="23"/>
  <c r="F75" i="23"/>
  <c r="D75" i="23"/>
  <c r="K75" i="23"/>
  <c r="E75" i="23"/>
  <c r="C75" i="23"/>
  <c r="B75" i="23"/>
  <c r="A142" i="24"/>
  <c r="I142" i="23"/>
  <c r="H142" i="23"/>
  <c r="F142" i="23"/>
  <c r="D142" i="23"/>
  <c r="K142" i="23"/>
  <c r="J142" i="23"/>
  <c r="G142" i="23"/>
  <c r="E142" i="23"/>
  <c r="C142" i="23"/>
  <c r="B142" i="23"/>
  <c r="A101" i="24"/>
  <c r="K101" i="23"/>
  <c r="J101" i="23"/>
  <c r="I101" i="23"/>
  <c r="H101" i="23"/>
  <c r="G101" i="23"/>
  <c r="F101" i="23"/>
  <c r="E101" i="23"/>
  <c r="D101" i="23"/>
  <c r="C101" i="23"/>
  <c r="B101" i="23"/>
  <c r="A29" i="24"/>
  <c r="E29" i="23"/>
  <c r="D29" i="23"/>
  <c r="C29" i="23"/>
  <c r="B29" i="23"/>
  <c r="K29" i="23"/>
  <c r="J29" i="23"/>
  <c r="I29" i="23"/>
  <c r="H29" i="23"/>
  <c r="G29" i="23"/>
  <c r="F29" i="23"/>
  <c r="A60" i="24"/>
  <c r="G60" i="23"/>
  <c r="F60" i="23"/>
  <c r="E60" i="23"/>
  <c r="D60" i="23"/>
  <c r="C60" i="23"/>
  <c r="H60" i="23"/>
  <c r="B60" i="23"/>
  <c r="K60" i="23"/>
  <c r="J60" i="23"/>
  <c r="I60" i="23"/>
  <c r="B45" i="22"/>
  <c r="I45" i="22"/>
  <c r="F45" i="22"/>
  <c r="D45" i="22"/>
  <c r="C45" i="22"/>
  <c r="A154" i="24"/>
  <c r="I154" i="23"/>
  <c r="H154" i="23"/>
  <c r="G154" i="23"/>
  <c r="F154" i="23"/>
  <c r="D154" i="23"/>
  <c r="K154" i="23"/>
  <c r="J154" i="23"/>
  <c r="E154" i="23"/>
  <c r="C154" i="23"/>
  <c r="B154" i="23"/>
  <c r="A110" i="24"/>
  <c r="I110" i="23"/>
  <c r="H110" i="23"/>
  <c r="G110" i="23"/>
  <c r="F110" i="23"/>
  <c r="E110" i="23"/>
  <c r="D110" i="23"/>
  <c r="C110" i="23"/>
  <c r="B110" i="23"/>
  <c r="K110" i="23"/>
  <c r="J110" i="23"/>
  <c r="A84" i="24"/>
  <c r="G84" i="23"/>
  <c r="F84" i="23"/>
  <c r="E84" i="23"/>
  <c r="D84" i="23"/>
  <c r="C84" i="23"/>
  <c r="B84" i="23"/>
  <c r="K84" i="23"/>
  <c r="J84" i="23"/>
  <c r="I84" i="23"/>
  <c r="H84" i="23"/>
  <c r="A119" i="24"/>
  <c r="F119" i="23"/>
  <c r="E119" i="23"/>
  <c r="D119" i="23"/>
  <c r="C119" i="23"/>
  <c r="B119" i="23"/>
  <c r="K119" i="23"/>
  <c r="J119" i="23"/>
  <c r="I119" i="23"/>
  <c r="H119" i="23"/>
  <c r="G119" i="23"/>
  <c r="A118" i="24"/>
  <c r="E118" i="23"/>
  <c r="D118" i="23"/>
  <c r="C118" i="23"/>
  <c r="B118" i="23"/>
  <c r="K118" i="23"/>
  <c r="J118" i="23"/>
  <c r="I118" i="23"/>
  <c r="H118" i="23"/>
  <c r="G118" i="23"/>
  <c r="F118" i="23"/>
  <c r="A68" i="24"/>
  <c r="C68" i="23"/>
  <c r="B68" i="23"/>
  <c r="K68" i="23"/>
  <c r="J68" i="23"/>
  <c r="I68" i="23"/>
  <c r="H68" i="23"/>
  <c r="G68" i="23"/>
  <c r="F68" i="23"/>
  <c r="E68" i="23"/>
  <c r="D68" i="23"/>
  <c r="A115" i="24"/>
  <c r="B115" i="23"/>
  <c r="K115" i="23"/>
  <c r="J115" i="23"/>
  <c r="I115" i="23"/>
  <c r="H115" i="23"/>
  <c r="G115" i="23"/>
  <c r="F115" i="23"/>
  <c r="E115" i="23"/>
  <c r="D115" i="23"/>
  <c r="C115" i="23"/>
  <c r="A129" i="24"/>
  <c r="H129" i="23"/>
  <c r="E129" i="23"/>
  <c r="K129" i="23"/>
  <c r="J129" i="23"/>
  <c r="I129" i="23"/>
  <c r="G129" i="23"/>
  <c r="F129" i="23"/>
  <c r="D129" i="23"/>
  <c r="C129" i="23"/>
  <c r="B129" i="23"/>
  <c r="A255" i="24"/>
  <c r="E255" i="23"/>
  <c r="K255" i="23"/>
  <c r="J255" i="23"/>
  <c r="I255" i="23"/>
  <c r="H255" i="23"/>
  <c r="F255" i="23"/>
  <c r="D255" i="23"/>
  <c r="B255" i="23"/>
  <c r="G255" i="23"/>
  <c r="C255" i="23"/>
  <c r="A194" i="24"/>
  <c r="J194" i="23"/>
  <c r="I194" i="23"/>
  <c r="H194" i="23"/>
  <c r="G194" i="23"/>
  <c r="F194" i="23"/>
  <c r="E194" i="23"/>
  <c r="D194" i="23"/>
  <c r="C194" i="23"/>
  <c r="B194" i="23"/>
  <c r="K194" i="23"/>
  <c r="A204" i="24"/>
  <c r="H204" i="23"/>
  <c r="G204" i="23"/>
  <c r="F204" i="23"/>
  <c r="E204" i="23"/>
  <c r="J204" i="23"/>
  <c r="I204" i="23"/>
  <c r="D204" i="23"/>
  <c r="C204" i="23"/>
  <c r="B204" i="23"/>
  <c r="K204" i="23"/>
  <c r="A193" i="24"/>
  <c r="I193" i="23"/>
  <c r="H193" i="23"/>
  <c r="G193" i="23"/>
  <c r="C193" i="23"/>
  <c r="B193" i="23"/>
  <c r="K193" i="23"/>
  <c r="J193" i="23"/>
  <c r="E193" i="23"/>
  <c r="F193" i="23"/>
  <c r="D193" i="23"/>
  <c r="A207" i="24"/>
  <c r="K207" i="23"/>
  <c r="J207" i="23"/>
  <c r="I207" i="23"/>
  <c r="H207" i="23"/>
  <c r="G207" i="23"/>
  <c r="F207" i="23"/>
  <c r="E207" i="23"/>
  <c r="C207" i="23"/>
  <c r="D207" i="23"/>
  <c r="B207" i="23"/>
  <c r="A240" i="24"/>
  <c r="H240" i="23"/>
  <c r="G240" i="23"/>
  <c r="F240" i="23"/>
  <c r="E240" i="23"/>
  <c r="D240" i="23"/>
  <c r="C240" i="23"/>
  <c r="J240" i="23"/>
  <c r="I240" i="23"/>
  <c r="B240" i="23"/>
  <c r="K240" i="23"/>
  <c r="A271" i="24"/>
  <c r="J271" i="23"/>
  <c r="I271" i="23"/>
  <c r="H271" i="23"/>
  <c r="E271" i="23"/>
  <c r="D271" i="23"/>
  <c r="K271" i="23"/>
  <c r="G271" i="23"/>
  <c r="F271" i="23"/>
  <c r="C271" i="23"/>
  <c r="B271" i="23"/>
  <c r="A236" i="24"/>
  <c r="D236" i="23"/>
  <c r="C236" i="23"/>
  <c r="B236" i="23"/>
  <c r="K236" i="23"/>
  <c r="I236" i="23"/>
  <c r="H236" i="23"/>
  <c r="F236" i="23"/>
  <c r="E236" i="23"/>
  <c r="J236" i="23"/>
  <c r="G236" i="23"/>
  <c r="A186" i="24"/>
  <c r="B186" i="23"/>
  <c r="D186" i="23"/>
  <c r="C186" i="23"/>
  <c r="K186" i="23"/>
  <c r="J186" i="23"/>
  <c r="I186" i="23"/>
  <c r="H186" i="23"/>
  <c r="F186" i="23"/>
  <c r="G186" i="23"/>
  <c r="E186" i="23"/>
  <c r="A209" i="24"/>
  <c r="K209" i="23"/>
  <c r="J209" i="23"/>
  <c r="I209" i="23"/>
  <c r="C209" i="23"/>
  <c r="B209" i="23"/>
  <c r="H209" i="23"/>
  <c r="G209" i="23"/>
  <c r="E209" i="23"/>
  <c r="D209" i="23"/>
  <c r="F209" i="23"/>
  <c r="A304" i="24"/>
  <c r="G304" i="23"/>
  <c r="F304" i="23"/>
  <c r="E304" i="23"/>
  <c r="D304" i="23"/>
  <c r="C304" i="23"/>
  <c r="B304" i="23"/>
  <c r="I304" i="23"/>
  <c r="J304" i="23"/>
  <c r="K304" i="23"/>
  <c r="H304" i="23"/>
  <c r="A263" i="24"/>
  <c r="I263" i="23"/>
  <c r="B263" i="23"/>
  <c r="K263" i="23"/>
  <c r="J263" i="23"/>
  <c r="H263" i="23"/>
  <c r="G263" i="23"/>
  <c r="F263" i="23"/>
  <c r="D263" i="23"/>
  <c r="E263" i="23"/>
  <c r="C263" i="23"/>
  <c r="I53" i="9"/>
  <c r="C53" i="9"/>
  <c r="E79" i="16"/>
  <c r="F79" i="16"/>
  <c r="E92" i="16"/>
  <c r="F92" i="16"/>
  <c r="C28" i="9"/>
  <c r="I28" i="9"/>
  <c r="G22" i="20"/>
  <c r="G112" i="20"/>
  <c r="E73" i="9"/>
  <c r="BO170" i="9" s="1"/>
  <c r="D73" i="9"/>
  <c r="BN170" i="9" s="1"/>
  <c r="G52" i="20"/>
  <c r="E82" i="9"/>
  <c r="BO179" i="9" s="1"/>
  <c r="D82" i="9"/>
  <c r="BN179" i="9" s="1"/>
  <c r="G128" i="20"/>
  <c r="E72" i="9"/>
  <c r="BO169" i="9" s="1"/>
  <c r="D72" i="9"/>
  <c r="BN169" i="9" s="1"/>
  <c r="I12" i="9"/>
  <c r="C12" i="9"/>
  <c r="G14" i="20"/>
  <c r="A39" i="24"/>
  <c r="J39" i="23"/>
  <c r="K39" i="23"/>
  <c r="I39" i="23"/>
  <c r="H39" i="23"/>
  <c r="G39" i="23"/>
  <c r="F39" i="23"/>
  <c r="E39" i="23"/>
  <c r="D39" i="23"/>
  <c r="C39" i="23"/>
  <c r="B39" i="23"/>
  <c r="I24" i="22"/>
  <c r="F24" i="22"/>
  <c r="D24" i="22"/>
  <c r="C24" i="22"/>
  <c r="B24" i="22"/>
  <c r="A32" i="24"/>
  <c r="C32" i="23"/>
  <c r="K32" i="23"/>
  <c r="J32" i="23"/>
  <c r="I32" i="23"/>
  <c r="H32" i="23"/>
  <c r="G32" i="23"/>
  <c r="F32" i="23"/>
  <c r="E32" i="23"/>
  <c r="D32" i="23"/>
  <c r="B32" i="23"/>
  <c r="F19" i="22"/>
  <c r="D19" i="22"/>
  <c r="C19" i="22"/>
  <c r="B19" i="22"/>
  <c r="I19" i="22"/>
  <c r="A8" i="24"/>
  <c r="G8" i="23"/>
  <c r="F8" i="23"/>
  <c r="E8" i="23"/>
  <c r="D8" i="23"/>
  <c r="C8" i="23"/>
  <c r="B8" i="23"/>
  <c r="K8" i="23"/>
  <c r="J8" i="23"/>
  <c r="I8" i="23"/>
  <c r="H8" i="23"/>
  <c r="C10" i="22"/>
  <c r="B10" i="22"/>
  <c r="I10" i="22" s="1"/>
  <c r="A48" i="24"/>
  <c r="G48" i="23"/>
  <c r="E48" i="23"/>
  <c r="D48" i="23"/>
  <c r="C48" i="23"/>
  <c r="B48" i="23"/>
  <c r="K48" i="23"/>
  <c r="J48" i="23"/>
  <c r="I48" i="23"/>
  <c r="H48" i="23"/>
  <c r="F48" i="23"/>
  <c r="A62" i="24"/>
  <c r="I62" i="23"/>
  <c r="H62" i="23"/>
  <c r="G62" i="23"/>
  <c r="F62" i="23"/>
  <c r="E62" i="23"/>
  <c r="C62" i="23"/>
  <c r="B62" i="23"/>
  <c r="K62" i="23"/>
  <c r="J62" i="23"/>
  <c r="D62" i="23"/>
  <c r="A15" i="24"/>
  <c r="B15" i="23"/>
  <c r="K15" i="23"/>
  <c r="J15" i="23"/>
  <c r="I15" i="23"/>
  <c r="H15" i="23"/>
  <c r="G15" i="23"/>
  <c r="F15" i="23"/>
  <c r="E15" i="23"/>
  <c r="D15" i="23"/>
  <c r="C15" i="23"/>
  <c r="A112" i="24"/>
  <c r="K112" i="23"/>
  <c r="J112" i="23"/>
  <c r="I112" i="23"/>
  <c r="H112" i="23"/>
  <c r="G112" i="23"/>
  <c r="F112" i="23"/>
  <c r="E112" i="23"/>
  <c r="D112" i="23"/>
  <c r="C112" i="23"/>
  <c r="B112" i="23"/>
  <c r="A122" i="24"/>
  <c r="I122" i="23"/>
  <c r="H122" i="23"/>
  <c r="G122" i="23"/>
  <c r="F122" i="23"/>
  <c r="E122" i="23"/>
  <c r="D122" i="23"/>
  <c r="C122" i="23"/>
  <c r="B122" i="23"/>
  <c r="K122" i="23"/>
  <c r="J122" i="23"/>
  <c r="A96" i="24"/>
  <c r="G96" i="23"/>
  <c r="F96" i="23"/>
  <c r="E96" i="23"/>
  <c r="D96" i="23"/>
  <c r="C96" i="23"/>
  <c r="B96" i="23"/>
  <c r="K96" i="23"/>
  <c r="J96" i="23"/>
  <c r="I96" i="23"/>
  <c r="H96" i="23"/>
  <c r="A135" i="24"/>
  <c r="B135" i="23"/>
  <c r="K135" i="23"/>
  <c r="G135" i="23"/>
  <c r="F135" i="23"/>
  <c r="E135" i="23"/>
  <c r="D135" i="23"/>
  <c r="C135" i="23"/>
  <c r="J135" i="23"/>
  <c r="I135" i="23"/>
  <c r="H135" i="23"/>
  <c r="A138" i="24"/>
  <c r="E138" i="23"/>
  <c r="D138" i="23"/>
  <c r="B138" i="23"/>
  <c r="H138" i="23"/>
  <c r="G138" i="23"/>
  <c r="F138" i="23"/>
  <c r="C138" i="23"/>
  <c r="K138" i="23"/>
  <c r="J138" i="23"/>
  <c r="I138" i="23"/>
  <c r="A80" i="24"/>
  <c r="C80" i="23"/>
  <c r="B80" i="23"/>
  <c r="K80" i="23"/>
  <c r="J80" i="23"/>
  <c r="I80" i="23"/>
  <c r="H80" i="23"/>
  <c r="G80" i="23"/>
  <c r="F80" i="23"/>
  <c r="E80" i="23"/>
  <c r="D80" i="23"/>
  <c r="A140" i="24"/>
  <c r="G140" i="23"/>
  <c r="F140" i="23"/>
  <c r="D140" i="23"/>
  <c r="B140" i="23"/>
  <c r="C140" i="23"/>
  <c r="K140" i="23"/>
  <c r="J140" i="23"/>
  <c r="I140" i="23"/>
  <c r="H140" i="23"/>
  <c r="E140" i="23"/>
  <c r="A133" i="24"/>
  <c r="I133" i="23"/>
  <c r="K133" i="23"/>
  <c r="J133" i="23"/>
  <c r="H133" i="23"/>
  <c r="G133" i="23"/>
  <c r="F133" i="23"/>
  <c r="E133" i="23"/>
  <c r="D133" i="23"/>
  <c r="C133" i="23"/>
  <c r="B133" i="23"/>
  <c r="A166" i="24"/>
  <c r="I166" i="23"/>
  <c r="H166" i="23"/>
  <c r="G166" i="23"/>
  <c r="F166" i="23"/>
  <c r="D166" i="23"/>
  <c r="K166" i="23"/>
  <c r="J166" i="23"/>
  <c r="E166" i="23"/>
  <c r="C166" i="23"/>
  <c r="B166" i="23"/>
  <c r="A208" i="24"/>
  <c r="K208" i="23"/>
  <c r="J208" i="23"/>
  <c r="I208" i="23"/>
  <c r="H208" i="23"/>
  <c r="B208" i="23"/>
  <c r="G208" i="23"/>
  <c r="F208" i="23"/>
  <c r="E208" i="23"/>
  <c r="D208" i="23"/>
  <c r="C208" i="23"/>
  <c r="A239" i="24"/>
  <c r="G239" i="23"/>
  <c r="F239" i="23"/>
  <c r="E239" i="23"/>
  <c r="D239" i="23"/>
  <c r="C239" i="23"/>
  <c r="B239" i="23"/>
  <c r="K239" i="23"/>
  <c r="I239" i="23"/>
  <c r="J239" i="23"/>
  <c r="H239" i="23"/>
  <c r="A196" i="24"/>
  <c r="K196" i="23"/>
  <c r="J196" i="23"/>
  <c r="C196" i="23"/>
  <c r="B196" i="23"/>
  <c r="I196" i="23"/>
  <c r="H196" i="23"/>
  <c r="G196" i="23"/>
  <c r="E196" i="23"/>
  <c r="F196" i="23"/>
  <c r="D196" i="23"/>
  <c r="A219" i="24"/>
  <c r="K219" i="23"/>
  <c r="J219" i="23"/>
  <c r="I219" i="23"/>
  <c r="H219" i="23"/>
  <c r="G219" i="23"/>
  <c r="F219" i="23"/>
  <c r="D219" i="23"/>
  <c r="C219" i="23"/>
  <c r="E219" i="23"/>
  <c r="B219" i="23"/>
  <c r="A252" i="24"/>
  <c r="H252" i="23"/>
  <c r="G252" i="23"/>
  <c r="F252" i="23"/>
  <c r="E252" i="23"/>
  <c r="D252" i="23"/>
  <c r="C252" i="23"/>
  <c r="J252" i="23"/>
  <c r="K252" i="23"/>
  <c r="I252" i="23"/>
  <c r="B252" i="23"/>
  <c r="A294" i="24"/>
  <c r="I294" i="23"/>
  <c r="H294" i="23"/>
  <c r="G294" i="23"/>
  <c r="E294" i="23"/>
  <c r="D294" i="23"/>
  <c r="C294" i="23"/>
  <c r="K294" i="23"/>
  <c r="J294" i="23"/>
  <c r="F294" i="23"/>
  <c r="B294" i="23"/>
  <c r="A248" i="24"/>
  <c r="D248" i="23"/>
  <c r="C248" i="23"/>
  <c r="B248" i="23"/>
  <c r="K248" i="23"/>
  <c r="I248" i="23"/>
  <c r="H248" i="23"/>
  <c r="F248" i="23"/>
  <c r="J248" i="23"/>
  <c r="G248" i="23"/>
  <c r="E248" i="23"/>
  <c r="A198" i="24"/>
  <c r="B198" i="23"/>
  <c r="D198" i="23"/>
  <c r="K198" i="23"/>
  <c r="J198" i="23"/>
  <c r="I198" i="23"/>
  <c r="H198" i="23"/>
  <c r="G198" i="23"/>
  <c r="F198" i="23"/>
  <c r="E198" i="23"/>
  <c r="C198" i="23"/>
  <c r="A221" i="24"/>
  <c r="K221" i="23"/>
  <c r="J221" i="23"/>
  <c r="I221" i="23"/>
  <c r="H221" i="23"/>
  <c r="F221" i="23"/>
  <c r="E221" i="23"/>
  <c r="C221" i="23"/>
  <c r="G221" i="23"/>
  <c r="D221" i="23"/>
  <c r="B221" i="23"/>
  <c r="A267" i="24"/>
  <c r="F267" i="23"/>
  <c r="E267" i="23"/>
  <c r="D267" i="23"/>
  <c r="I267" i="23"/>
  <c r="H267" i="23"/>
  <c r="G267" i="23"/>
  <c r="C267" i="23"/>
  <c r="B267" i="23"/>
  <c r="K267" i="23"/>
  <c r="J267" i="23"/>
  <c r="A275" i="24"/>
  <c r="B275" i="23"/>
  <c r="I275" i="23"/>
  <c r="H275" i="23"/>
  <c r="D275" i="23"/>
  <c r="K275" i="23"/>
  <c r="J275" i="23"/>
  <c r="G275" i="23"/>
  <c r="F275" i="23"/>
  <c r="E275" i="23"/>
  <c r="C275" i="23"/>
  <c r="F63" i="16"/>
  <c r="F25" i="16"/>
  <c r="C10" i="9"/>
  <c r="I10" i="9"/>
  <c r="G44" i="20"/>
  <c r="D80" i="9"/>
  <c r="BN177" i="9" s="1"/>
  <c r="E80" i="9"/>
  <c r="BO177" i="9" s="1"/>
  <c r="C57" i="9"/>
  <c r="I57" i="9"/>
  <c r="G76" i="20"/>
  <c r="G30" i="20"/>
  <c r="E16" i="11"/>
  <c r="G62" i="20"/>
  <c r="G38" i="20"/>
  <c r="B7" i="22"/>
  <c r="C7" i="22"/>
  <c r="I28" i="22"/>
  <c r="F28" i="22"/>
  <c r="D28" i="22"/>
  <c r="C28" i="22"/>
  <c r="B28" i="22"/>
  <c r="A38" i="24"/>
  <c r="I38" i="23"/>
  <c r="K38" i="23"/>
  <c r="J38" i="23"/>
  <c r="H38" i="23"/>
  <c r="G38" i="23"/>
  <c r="F38" i="23"/>
  <c r="E38" i="23"/>
  <c r="D38" i="23"/>
  <c r="C38" i="23"/>
  <c r="B38" i="23"/>
  <c r="F23" i="22"/>
  <c r="D23" i="22"/>
  <c r="C23" i="22"/>
  <c r="B23" i="22"/>
  <c r="I23" i="22"/>
  <c r="A20" i="24"/>
  <c r="G20" i="23"/>
  <c r="F20" i="23"/>
  <c r="E20" i="23"/>
  <c r="D20" i="23"/>
  <c r="C20" i="23"/>
  <c r="B20" i="23"/>
  <c r="K20" i="23"/>
  <c r="J20" i="23"/>
  <c r="I20" i="23"/>
  <c r="H20" i="23"/>
  <c r="D14" i="22"/>
  <c r="C14" i="22"/>
  <c r="B14" i="22"/>
  <c r="F14" i="22"/>
  <c r="I14" i="22"/>
  <c r="A88" i="24"/>
  <c r="K88" i="23"/>
  <c r="J88" i="23"/>
  <c r="I88" i="23"/>
  <c r="H88" i="23"/>
  <c r="G88" i="23"/>
  <c r="F88" i="23"/>
  <c r="E88" i="23"/>
  <c r="D88" i="23"/>
  <c r="C88" i="23"/>
  <c r="B88" i="23"/>
  <c r="A64" i="24"/>
  <c r="K64" i="23"/>
  <c r="J64" i="23"/>
  <c r="I64" i="23"/>
  <c r="H64" i="23"/>
  <c r="G64" i="23"/>
  <c r="C64" i="23"/>
  <c r="B64" i="23"/>
  <c r="F64" i="23"/>
  <c r="E64" i="23"/>
  <c r="D64" i="23"/>
  <c r="A27" i="24"/>
  <c r="B27" i="23"/>
  <c r="K27" i="23"/>
  <c r="J27" i="23"/>
  <c r="I27" i="23"/>
  <c r="H27" i="23"/>
  <c r="G27" i="23"/>
  <c r="F27" i="23"/>
  <c r="E27" i="23"/>
  <c r="D27" i="23"/>
  <c r="C27" i="23"/>
  <c r="A124" i="24"/>
  <c r="C124" i="23"/>
  <c r="K124" i="23"/>
  <c r="J124" i="23"/>
  <c r="I124" i="23"/>
  <c r="H124" i="23"/>
  <c r="G124" i="23"/>
  <c r="F124" i="23"/>
  <c r="E124" i="23"/>
  <c r="D124" i="23"/>
  <c r="B124" i="23"/>
  <c r="A136" i="24"/>
  <c r="C136" i="23"/>
  <c r="J136" i="23"/>
  <c r="K136" i="23"/>
  <c r="I136" i="23"/>
  <c r="H136" i="23"/>
  <c r="G136" i="23"/>
  <c r="F136" i="23"/>
  <c r="E136" i="23"/>
  <c r="D136" i="23"/>
  <c r="B136" i="23"/>
  <c r="A108" i="24"/>
  <c r="G108" i="23"/>
  <c r="F108" i="23"/>
  <c r="E108" i="23"/>
  <c r="D108" i="23"/>
  <c r="C108" i="23"/>
  <c r="B108" i="23"/>
  <c r="K108" i="23"/>
  <c r="J108" i="23"/>
  <c r="I108" i="23"/>
  <c r="H108" i="23"/>
  <c r="A153" i="24"/>
  <c r="H153" i="23"/>
  <c r="G153" i="23"/>
  <c r="F153" i="23"/>
  <c r="E153" i="23"/>
  <c r="C153" i="23"/>
  <c r="K153" i="23"/>
  <c r="J153" i="23"/>
  <c r="I153" i="23"/>
  <c r="D153" i="23"/>
  <c r="B153" i="23"/>
  <c r="A143" i="24"/>
  <c r="J143" i="23"/>
  <c r="I143" i="23"/>
  <c r="G143" i="23"/>
  <c r="E143" i="23"/>
  <c r="F143" i="23"/>
  <c r="D143" i="23"/>
  <c r="C143" i="23"/>
  <c r="B143" i="23"/>
  <c r="K143" i="23"/>
  <c r="H143" i="23"/>
  <c r="A92" i="24"/>
  <c r="C92" i="23"/>
  <c r="B92" i="23"/>
  <c r="K92" i="23"/>
  <c r="J92" i="23"/>
  <c r="I92" i="23"/>
  <c r="H92" i="23"/>
  <c r="G92" i="23"/>
  <c r="F92" i="23"/>
  <c r="E92" i="23"/>
  <c r="D92" i="23"/>
  <c r="A165" i="24"/>
  <c r="H165" i="23"/>
  <c r="G165" i="23"/>
  <c r="F165" i="23"/>
  <c r="E165" i="23"/>
  <c r="C165" i="23"/>
  <c r="B165" i="23"/>
  <c r="K165" i="23"/>
  <c r="J165" i="23"/>
  <c r="I165" i="23"/>
  <c r="D165" i="23"/>
  <c r="A150" i="24"/>
  <c r="E150" i="23"/>
  <c r="D150" i="23"/>
  <c r="C150" i="23"/>
  <c r="B150" i="23"/>
  <c r="K150" i="23"/>
  <c r="J150" i="23"/>
  <c r="I150" i="23"/>
  <c r="H150" i="23"/>
  <c r="G150" i="23"/>
  <c r="F150" i="23"/>
  <c r="A171" i="24"/>
  <c r="K171" i="23"/>
  <c r="J171" i="23"/>
  <c r="I171" i="23"/>
  <c r="H171" i="23"/>
  <c r="G171" i="23"/>
  <c r="F171" i="23"/>
  <c r="E171" i="23"/>
  <c r="D171" i="23"/>
  <c r="B171" i="23"/>
  <c r="C171" i="23"/>
  <c r="A139" i="24"/>
  <c r="F139" i="23"/>
  <c r="E139" i="23"/>
  <c r="C139" i="23"/>
  <c r="K139" i="23"/>
  <c r="J139" i="23"/>
  <c r="I139" i="23"/>
  <c r="H139" i="23"/>
  <c r="G139" i="23"/>
  <c r="D139" i="23"/>
  <c r="B139" i="23"/>
  <c r="A125" i="24"/>
  <c r="D125" i="23"/>
  <c r="B125" i="23"/>
  <c r="K125" i="23"/>
  <c r="J125" i="23"/>
  <c r="I125" i="23"/>
  <c r="H125" i="23"/>
  <c r="G125" i="23"/>
  <c r="F125" i="23"/>
  <c r="E125" i="23"/>
  <c r="C125" i="23"/>
  <c r="A218" i="24"/>
  <c r="J218" i="23"/>
  <c r="I218" i="23"/>
  <c r="H218" i="23"/>
  <c r="G218" i="23"/>
  <c r="F218" i="23"/>
  <c r="E218" i="23"/>
  <c r="C218" i="23"/>
  <c r="B218" i="23"/>
  <c r="K218" i="23"/>
  <c r="D218" i="23"/>
  <c r="A231" i="24"/>
  <c r="K231" i="23"/>
  <c r="J231" i="23"/>
  <c r="I231" i="23"/>
  <c r="H231" i="23"/>
  <c r="G231" i="23"/>
  <c r="F231" i="23"/>
  <c r="D231" i="23"/>
  <c r="C231" i="23"/>
  <c r="E231" i="23"/>
  <c r="B231" i="23"/>
  <c r="A265" i="24"/>
  <c r="C265" i="23"/>
  <c r="B265" i="23"/>
  <c r="K265" i="23"/>
  <c r="J265" i="23"/>
  <c r="I265" i="23"/>
  <c r="H265" i="23"/>
  <c r="G265" i="23"/>
  <c r="F265" i="23"/>
  <c r="E265" i="23"/>
  <c r="D265" i="23"/>
  <c r="A306" i="24"/>
  <c r="I306" i="23"/>
  <c r="H306" i="23"/>
  <c r="G306" i="23"/>
  <c r="F306" i="23"/>
  <c r="E306" i="23"/>
  <c r="D306" i="23"/>
  <c r="C306" i="23"/>
  <c r="K306" i="23"/>
  <c r="J306" i="23"/>
  <c r="B306" i="23"/>
  <c r="A257" i="24"/>
  <c r="G257" i="23"/>
  <c r="D257" i="23"/>
  <c r="C257" i="23"/>
  <c r="B257" i="23"/>
  <c r="J257" i="23"/>
  <c r="I257" i="23"/>
  <c r="F257" i="23"/>
  <c r="K257" i="23"/>
  <c r="H257" i="23"/>
  <c r="E257" i="23"/>
  <c r="A210" i="24"/>
  <c r="B210" i="23"/>
  <c r="K210" i="23"/>
  <c r="J210" i="23"/>
  <c r="I210" i="23"/>
  <c r="D210" i="23"/>
  <c r="H210" i="23"/>
  <c r="G210" i="23"/>
  <c r="F210" i="23"/>
  <c r="E210" i="23"/>
  <c r="C210" i="23"/>
  <c r="A233" i="24"/>
  <c r="K233" i="23"/>
  <c r="J233" i="23"/>
  <c r="I233" i="23"/>
  <c r="H233" i="23"/>
  <c r="F233" i="23"/>
  <c r="E233" i="23"/>
  <c r="C233" i="23"/>
  <c r="G233" i="23"/>
  <c r="D233" i="23"/>
  <c r="B233" i="23"/>
  <c r="A279" i="24"/>
  <c r="F279" i="23"/>
  <c r="E279" i="23"/>
  <c r="D279" i="23"/>
  <c r="H279" i="23"/>
  <c r="K279" i="23"/>
  <c r="J279" i="23"/>
  <c r="I279" i="23"/>
  <c r="G279" i="23"/>
  <c r="C279" i="23"/>
  <c r="B279" i="23"/>
  <c r="A287" i="24"/>
  <c r="B287" i="23"/>
  <c r="J287" i="23"/>
  <c r="I287" i="23"/>
  <c r="H287" i="23"/>
  <c r="D287" i="23"/>
  <c r="E287" i="23"/>
  <c r="C287" i="23"/>
  <c r="G287" i="23"/>
  <c r="K287" i="23"/>
  <c r="F287" i="23"/>
  <c r="G16" i="20"/>
  <c r="E72" i="16"/>
  <c r="F72" i="16"/>
  <c r="F41" i="16"/>
  <c r="G68" i="20"/>
  <c r="C59" i="9"/>
  <c r="I59" i="9"/>
  <c r="G46" i="20"/>
  <c r="C39" i="9"/>
  <c r="I39" i="9"/>
  <c r="F66" i="16"/>
  <c r="G100" i="20"/>
  <c r="D295" i="17"/>
  <c r="E79" i="9"/>
  <c r="BO176" i="9" s="1"/>
  <c r="D79" i="9"/>
  <c r="BN176" i="9" s="1"/>
  <c r="G54" i="20"/>
  <c r="I50" i="9"/>
  <c r="C50" i="9"/>
  <c r="G86" i="20"/>
  <c r="F15" i="22"/>
  <c r="D15" i="22"/>
  <c r="B15" i="22"/>
  <c r="I15" i="22"/>
  <c r="C15" i="22"/>
  <c r="I32" i="22"/>
  <c r="F32" i="22"/>
  <c r="D32" i="22"/>
  <c r="C32" i="22"/>
  <c r="B32" i="22"/>
  <c r="A10" i="24"/>
  <c r="I10" i="23"/>
  <c r="H10" i="23"/>
  <c r="G10" i="23"/>
  <c r="F10" i="23"/>
  <c r="E10" i="23"/>
  <c r="D10" i="23"/>
  <c r="C10" i="23"/>
  <c r="B10" i="23"/>
  <c r="K10" i="23"/>
  <c r="J10" i="23"/>
  <c r="F27" i="22"/>
  <c r="D27" i="22"/>
  <c r="C27" i="22"/>
  <c r="B27" i="22"/>
  <c r="I27" i="22"/>
  <c r="A43" i="24"/>
  <c r="B43" i="23"/>
  <c r="H43" i="23"/>
  <c r="G43" i="23"/>
  <c r="F43" i="23"/>
  <c r="E43" i="23"/>
  <c r="D43" i="23"/>
  <c r="C43" i="23"/>
  <c r="K43" i="23"/>
  <c r="J43" i="23"/>
  <c r="I43" i="23"/>
  <c r="D18" i="22"/>
  <c r="C18" i="22"/>
  <c r="B18" i="22"/>
  <c r="I18" i="22"/>
  <c r="F18" i="22"/>
  <c r="A17" i="24"/>
  <c r="D17" i="23"/>
  <c r="C17" i="23"/>
  <c r="B17" i="23"/>
  <c r="K17" i="23"/>
  <c r="J17" i="23"/>
  <c r="I17" i="23"/>
  <c r="H17" i="23"/>
  <c r="G17" i="23"/>
  <c r="F17" i="23"/>
  <c r="E17" i="23"/>
  <c r="B9" i="22"/>
  <c r="C9" i="22"/>
  <c r="A34" i="24"/>
  <c r="E34" i="23"/>
  <c r="B34" i="23"/>
  <c r="K34" i="23"/>
  <c r="J34" i="23"/>
  <c r="I34" i="23"/>
  <c r="H34" i="23"/>
  <c r="G34" i="23"/>
  <c r="F34" i="23"/>
  <c r="D34" i="23"/>
  <c r="C34" i="23"/>
  <c r="A87" i="24"/>
  <c r="J87" i="23"/>
  <c r="I87" i="23"/>
  <c r="H87" i="23"/>
  <c r="G87" i="23"/>
  <c r="F87" i="23"/>
  <c r="E87" i="23"/>
  <c r="D87" i="23"/>
  <c r="C87" i="23"/>
  <c r="B87" i="23"/>
  <c r="K87" i="23"/>
  <c r="A85" i="24"/>
  <c r="H85" i="23"/>
  <c r="G85" i="23"/>
  <c r="F85" i="23"/>
  <c r="E85" i="23"/>
  <c r="D85" i="23"/>
  <c r="C85" i="23"/>
  <c r="B85" i="23"/>
  <c r="K85" i="23"/>
  <c r="J85" i="23"/>
  <c r="I85" i="23"/>
  <c r="A120" i="24"/>
  <c r="G120" i="23"/>
  <c r="F120" i="23"/>
  <c r="E120" i="23"/>
  <c r="D120" i="23"/>
  <c r="C120" i="23"/>
  <c r="B120" i="23"/>
  <c r="K120" i="23"/>
  <c r="J120" i="23"/>
  <c r="I120" i="23"/>
  <c r="H120" i="23"/>
  <c r="A155" i="24"/>
  <c r="J155" i="23"/>
  <c r="I155" i="23"/>
  <c r="H155" i="23"/>
  <c r="G155" i="23"/>
  <c r="E155" i="23"/>
  <c r="K155" i="23"/>
  <c r="F155" i="23"/>
  <c r="D155" i="23"/>
  <c r="C155" i="23"/>
  <c r="B155" i="23"/>
  <c r="A69" i="24"/>
  <c r="D69" i="23"/>
  <c r="C69" i="23"/>
  <c r="B69" i="23"/>
  <c r="J69" i="23"/>
  <c r="I69" i="23"/>
  <c r="H69" i="23"/>
  <c r="G69" i="23"/>
  <c r="F69" i="23"/>
  <c r="E69" i="23"/>
  <c r="K69" i="23"/>
  <c r="A104" i="24"/>
  <c r="C104" i="23"/>
  <c r="B104" i="23"/>
  <c r="K104" i="23"/>
  <c r="J104" i="23"/>
  <c r="I104" i="23"/>
  <c r="H104" i="23"/>
  <c r="G104" i="23"/>
  <c r="F104" i="23"/>
  <c r="E104" i="23"/>
  <c r="D104" i="23"/>
  <c r="A180" i="24"/>
  <c r="H180" i="23"/>
  <c r="G180" i="23"/>
  <c r="K180" i="23"/>
  <c r="J180" i="23"/>
  <c r="I180" i="23"/>
  <c r="F180" i="23"/>
  <c r="E180" i="23"/>
  <c r="D180" i="23"/>
  <c r="C180" i="23"/>
  <c r="B180" i="23"/>
  <c r="A168" i="24"/>
  <c r="H168" i="23"/>
  <c r="G168" i="23"/>
  <c r="K168" i="23"/>
  <c r="J168" i="23"/>
  <c r="I168" i="23"/>
  <c r="E168" i="23"/>
  <c r="D168" i="23"/>
  <c r="F168" i="23"/>
  <c r="C168" i="23"/>
  <c r="B168" i="23"/>
  <c r="A242" i="24"/>
  <c r="J242" i="23"/>
  <c r="I242" i="23"/>
  <c r="H242" i="23"/>
  <c r="G242" i="23"/>
  <c r="F242" i="23"/>
  <c r="E242" i="23"/>
  <c r="C242" i="23"/>
  <c r="B242" i="23"/>
  <c r="K242" i="23"/>
  <c r="D242" i="23"/>
  <c r="A151" i="24"/>
  <c r="F151" i="23"/>
  <c r="E151" i="23"/>
  <c r="D151" i="23"/>
  <c r="C151" i="23"/>
  <c r="K151" i="23"/>
  <c r="J151" i="23"/>
  <c r="I151" i="23"/>
  <c r="H151" i="23"/>
  <c r="G151" i="23"/>
  <c r="B151" i="23"/>
  <c r="A137" i="24"/>
  <c r="D137" i="23"/>
  <c r="C137" i="23"/>
  <c r="K137" i="23"/>
  <c r="J137" i="23"/>
  <c r="I137" i="23"/>
  <c r="H137" i="23"/>
  <c r="G137" i="23"/>
  <c r="F137" i="23"/>
  <c r="E137" i="23"/>
  <c r="B137" i="23"/>
  <c r="A147" i="24"/>
  <c r="B147" i="23"/>
  <c r="K147" i="23"/>
  <c r="I147" i="23"/>
  <c r="J147" i="23"/>
  <c r="H147" i="23"/>
  <c r="G147" i="23"/>
  <c r="F147" i="23"/>
  <c r="E147" i="23"/>
  <c r="D147" i="23"/>
  <c r="C147" i="23"/>
  <c r="A243" i="24"/>
  <c r="K243" i="23"/>
  <c r="J243" i="23"/>
  <c r="I243" i="23"/>
  <c r="H243" i="23"/>
  <c r="G243" i="23"/>
  <c r="F243" i="23"/>
  <c r="D243" i="23"/>
  <c r="C243" i="23"/>
  <c r="E243" i="23"/>
  <c r="B243" i="23"/>
  <c r="A277" i="24"/>
  <c r="D277" i="23"/>
  <c r="C277" i="23"/>
  <c r="B277" i="23"/>
  <c r="K277" i="23"/>
  <c r="J277" i="23"/>
  <c r="F277" i="23"/>
  <c r="I277" i="23"/>
  <c r="H277" i="23"/>
  <c r="G277" i="23"/>
  <c r="E277" i="23"/>
  <c r="A213" i="24"/>
  <c r="E213" i="23"/>
  <c r="D213" i="23"/>
  <c r="C213" i="23"/>
  <c r="B213" i="23"/>
  <c r="J213" i="23"/>
  <c r="I213" i="23"/>
  <c r="G213" i="23"/>
  <c r="K213" i="23"/>
  <c r="H213" i="23"/>
  <c r="F213" i="23"/>
  <c r="A269" i="24"/>
  <c r="H269" i="23"/>
  <c r="G269" i="23"/>
  <c r="F269" i="23"/>
  <c r="C269" i="23"/>
  <c r="B269" i="23"/>
  <c r="J269" i="23"/>
  <c r="I269" i="23"/>
  <c r="E269" i="23"/>
  <c r="D269" i="23"/>
  <c r="K269" i="23"/>
  <c r="A222" i="24"/>
  <c r="B222" i="23"/>
  <c r="K222" i="23"/>
  <c r="J222" i="23"/>
  <c r="I222" i="23"/>
  <c r="G222" i="23"/>
  <c r="F222" i="23"/>
  <c r="D222" i="23"/>
  <c r="H222" i="23"/>
  <c r="E222" i="23"/>
  <c r="C222" i="23"/>
  <c r="A245" i="24"/>
  <c r="K245" i="23"/>
  <c r="J245" i="23"/>
  <c r="I245" i="23"/>
  <c r="H245" i="23"/>
  <c r="F245" i="23"/>
  <c r="E245" i="23"/>
  <c r="C245" i="23"/>
  <c r="B245" i="23"/>
  <c r="G245" i="23"/>
  <c r="D245" i="23"/>
  <c r="A291" i="24"/>
  <c r="F291" i="23"/>
  <c r="E291" i="23"/>
  <c r="D291" i="23"/>
  <c r="B291" i="23"/>
  <c r="H291" i="23"/>
  <c r="K291" i="23"/>
  <c r="J291" i="23"/>
  <c r="I291" i="23"/>
  <c r="G291" i="23"/>
  <c r="C291" i="23"/>
  <c r="A299" i="24"/>
  <c r="B299" i="23"/>
  <c r="K299" i="23"/>
  <c r="J299" i="23"/>
  <c r="I299" i="23"/>
  <c r="H299" i="23"/>
  <c r="D299" i="23"/>
  <c r="G299" i="23"/>
  <c r="F299" i="23"/>
  <c r="E299" i="23"/>
  <c r="C299" i="23"/>
  <c r="G88" i="20"/>
  <c r="G134" i="20"/>
  <c r="E84" i="9"/>
  <c r="BO181" i="9" s="1"/>
  <c r="D84" i="9"/>
  <c r="BN181" i="9" s="1"/>
  <c r="G92" i="20"/>
  <c r="C41" i="9"/>
  <c r="I41" i="9"/>
  <c r="G70" i="20"/>
  <c r="G12" i="20"/>
  <c r="D83" i="9"/>
  <c r="BN180" i="9" s="1"/>
  <c r="E83" i="9"/>
  <c r="BO180" i="9" s="1"/>
  <c r="G124" i="20"/>
  <c r="G24" i="20"/>
  <c r="C26" i="9"/>
  <c r="I26" i="9"/>
  <c r="G104" i="20"/>
  <c r="G130" i="20"/>
  <c r="I42" i="9"/>
  <c r="C42" i="9"/>
  <c r="G78" i="20"/>
  <c r="I45" i="9"/>
  <c r="C45" i="9"/>
  <c r="A13" i="24"/>
  <c r="K13" i="23"/>
  <c r="J13" i="23"/>
  <c r="I13" i="23"/>
  <c r="H13" i="23"/>
  <c r="G13" i="23"/>
  <c r="F13" i="23"/>
  <c r="E13" i="23"/>
  <c r="D13" i="23"/>
  <c r="C13" i="23"/>
  <c r="B13" i="23"/>
  <c r="I36" i="22"/>
  <c r="F36" i="22"/>
  <c r="D36" i="22"/>
  <c r="C36" i="22"/>
  <c r="B36" i="22"/>
  <c r="A22" i="24"/>
  <c r="I22" i="23"/>
  <c r="H22" i="23"/>
  <c r="G22" i="23"/>
  <c r="F22" i="23"/>
  <c r="E22" i="23"/>
  <c r="D22" i="23"/>
  <c r="C22" i="23"/>
  <c r="B22" i="23"/>
  <c r="K22" i="23"/>
  <c r="J22" i="23"/>
  <c r="F31" i="22"/>
  <c r="D31" i="22"/>
  <c r="C31" i="22"/>
  <c r="B31" i="22"/>
  <c r="I31" i="22"/>
  <c r="A49" i="24"/>
  <c r="H49" i="23"/>
  <c r="G49" i="23"/>
  <c r="F49" i="23"/>
  <c r="E49" i="23"/>
  <c r="D49" i="23"/>
  <c r="C49" i="23"/>
  <c r="B49" i="23"/>
  <c r="K49" i="23"/>
  <c r="J49" i="23"/>
  <c r="I49" i="23"/>
  <c r="D22" i="22"/>
  <c r="C22" i="22"/>
  <c r="B22" i="22"/>
  <c r="I22" i="22"/>
  <c r="F22" i="22"/>
  <c r="A35" i="24"/>
  <c r="F35" i="23"/>
  <c r="D35" i="23"/>
  <c r="C35" i="23"/>
  <c r="B35" i="23"/>
  <c r="K35" i="23"/>
  <c r="J35" i="23"/>
  <c r="I35" i="23"/>
  <c r="H35" i="23"/>
  <c r="G35" i="23"/>
  <c r="E35" i="23"/>
  <c r="B13" i="22"/>
  <c r="I13" i="22"/>
  <c r="F13" i="22"/>
  <c r="D13" i="22"/>
  <c r="C13" i="22"/>
  <c r="A40" i="24"/>
  <c r="K40" i="23"/>
  <c r="B40" i="23"/>
  <c r="J40" i="23"/>
  <c r="I40" i="23"/>
  <c r="H40" i="23"/>
  <c r="G40" i="23"/>
  <c r="F40" i="23"/>
  <c r="E40" i="23"/>
  <c r="D40" i="23"/>
  <c r="C40" i="23"/>
  <c r="A99" i="24"/>
  <c r="J99" i="23"/>
  <c r="I99" i="23"/>
  <c r="H99" i="23"/>
  <c r="G99" i="23"/>
  <c r="F99" i="23"/>
  <c r="E99" i="23"/>
  <c r="D99" i="23"/>
  <c r="C99" i="23"/>
  <c r="B99" i="23"/>
  <c r="K99" i="23"/>
  <c r="A97" i="24"/>
  <c r="H97" i="23"/>
  <c r="G97" i="23"/>
  <c r="F97" i="23"/>
  <c r="E97" i="23"/>
  <c r="D97" i="23"/>
  <c r="C97" i="23"/>
  <c r="B97" i="23"/>
  <c r="K97" i="23"/>
  <c r="J97" i="23"/>
  <c r="I97" i="23"/>
  <c r="A127" i="24"/>
  <c r="F127" i="23"/>
  <c r="C127" i="23"/>
  <c r="I127" i="23"/>
  <c r="H127" i="23"/>
  <c r="G127" i="23"/>
  <c r="E127" i="23"/>
  <c r="D127" i="23"/>
  <c r="B127" i="23"/>
  <c r="K127" i="23"/>
  <c r="J127" i="23"/>
  <c r="A157" i="24"/>
  <c r="K157" i="23"/>
  <c r="J157" i="23"/>
  <c r="I157" i="23"/>
  <c r="G157" i="23"/>
  <c r="F157" i="23"/>
  <c r="E157" i="23"/>
  <c r="D157" i="23"/>
  <c r="C157" i="23"/>
  <c r="B157" i="23"/>
  <c r="H157" i="23"/>
  <c r="A81" i="24"/>
  <c r="D81" i="23"/>
  <c r="C81" i="23"/>
  <c r="B81" i="23"/>
  <c r="K81" i="23"/>
  <c r="J81" i="23"/>
  <c r="I81" i="23"/>
  <c r="H81" i="23"/>
  <c r="G81" i="23"/>
  <c r="F81" i="23"/>
  <c r="E81" i="23"/>
  <c r="A116" i="24"/>
  <c r="C116" i="23"/>
  <c r="B116" i="23"/>
  <c r="K116" i="23"/>
  <c r="J116" i="23"/>
  <c r="I116" i="23"/>
  <c r="H116" i="23"/>
  <c r="G116" i="23"/>
  <c r="F116" i="23"/>
  <c r="E116" i="23"/>
  <c r="D116" i="23"/>
  <c r="A30" i="24"/>
  <c r="G30" i="23"/>
  <c r="F30" i="23"/>
  <c r="E30" i="23"/>
  <c r="D30" i="23"/>
  <c r="C30" i="23"/>
  <c r="B30" i="23"/>
  <c r="K30" i="23"/>
  <c r="J30" i="23"/>
  <c r="I30" i="23"/>
  <c r="H30" i="23"/>
  <c r="A189" i="24"/>
  <c r="E189" i="23"/>
  <c r="D189" i="23"/>
  <c r="C189" i="23"/>
  <c r="K189" i="23"/>
  <c r="J189" i="23"/>
  <c r="I189" i="23"/>
  <c r="H189" i="23"/>
  <c r="G189" i="23"/>
  <c r="F189" i="23"/>
  <c r="B189" i="23"/>
  <c r="A281" i="24"/>
  <c r="H281" i="23"/>
  <c r="G281" i="23"/>
  <c r="F281" i="23"/>
  <c r="C281" i="23"/>
  <c r="B281" i="23"/>
  <c r="J281" i="23"/>
  <c r="K281" i="23"/>
  <c r="I281" i="23"/>
  <c r="E281" i="23"/>
  <c r="D281" i="23"/>
  <c r="A163" i="24"/>
  <c r="F163" i="23"/>
  <c r="E163" i="23"/>
  <c r="D163" i="23"/>
  <c r="C163" i="23"/>
  <c r="B163" i="23"/>
  <c r="K163" i="23"/>
  <c r="J163" i="23"/>
  <c r="I163" i="23"/>
  <c r="H163" i="23"/>
  <c r="G163" i="23"/>
  <c r="A149" i="24"/>
  <c r="D149" i="23"/>
  <c r="C149" i="23"/>
  <c r="K149" i="23"/>
  <c r="J149" i="23"/>
  <c r="I149" i="23"/>
  <c r="H149" i="23"/>
  <c r="G149" i="23"/>
  <c r="F149" i="23"/>
  <c r="E149" i="23"/>
  <c r="B149" i="23"/>
  <c r="A159" i="24"/>
  <c r="B159" i="23"/>
  <c r="K159" i="23"/>
  <c r="I159" i="23"/>
  <c r="F159" i="23"/>
  <c r="E159" i="23"/>
  <c r="D159" i="23"/>
  <c r="C159" i="23"/>
  <c r="J159" i="23"/>
  <c r="H159" i="23"/>
  <c r="G159" i="23"/>
  <c r="A270" i="24"/>
  <c r="I270" i="23"/>
  <c r="H270" i="23"/>
  <c r="G270" i="23"/>
  <c r="D270" i="23"/>
  <c r="C270" i="23"/>
  <c r="K270" i="23"/>
  <c r="J270" i="23"/>
  <c r="F270" i="23"/>
  <c r="E270" i="23"/>
  <c r="B270" i="23"/>
  <c r="A309" i="24"/>
  <c r="K309" i="23"/>
  <c r="J309" i="23"/>
  <c r="I309" i="23"/>
  <c r="H309" i="23"/>
  <c r="G309" i="23"/>
  <c r="F309" i="23"/>
  <c r="B309" i="23"/>
  <c r="E309" i="23"/>
  <c r="D309" i="23"/>
  <c r="C309" i="23"/>
  <c r="A225" i="24"/>
  <c r="E225" i="23"/>
  <c r="D225" i="23"/>
  <c r="C225" i="23"/>
  <c r="B225" i="23"/>
  <c r="J225" i="23"/>
  <c r="I225" i="23"/>
  <c r="G225" i="23"/>
  <c r="K225" i="23"/>
  <c r="H225" i="23"/>
  <c r="F225" i="23"/>
  <c r="A199" i="24"/>
  <c r="C199" i="23"/>
  <c r="B199" i="23"/>
  <c r="E199" i="23"/>
  <c r="D199" i="23"/>
  <c r="K199" i="23"/>
  <c r="J199" i="23"/>
  <c r="I199" i="23"/>
  <c r="G199" i="23"/>
  <c r="H199" i="23"/>
  <c r="F199" i="23"/>
  <c r="A234" i="24"/>
  <c r="B234" i="23"/>
  <c r="K234" i="23"/>
  <c r="J234" i="23"/>
  <c r="I234" i="23"/>
  <c r="G234" i="23"/>
  <c r="F234" i="23"/>
  <c r="D234" i="23"/>
  <c r="H234" i="23"/>
  <c r="E234" i="23"/>
  <c r="C234" i="23"/>
  <c r="A285" i="24"/>
  <c r="K285" i="23"/>
  <c r="J285" i="23"/>
  <c r="G285" i="23"/>
  <c r="F285" i="23"/>
  <c r="B285" i="23"/>
  <c r="I285" i="23"/>
  <c r="H285" i="23"/>
  <c r="D285" i="23"/>
  <c r="E285" i="23"/>
  <c r="C285" i="23"/>
  <c r="A303" i="24"/>
  <c r="F303" i="23"/>
  <c r="E303" i="23"/>
  <c r="D303" i="23"/>
  <c r="C303" i="23"/>
  <c r="B303" i="23"/>
  <c r="H303" i="23"/>
  <c r="K303" i="23"/>
  <c r="J303" i="23"/>
  <c r="I303" i="23"/>
  <c r="G303" i="23"/>
  <c r="A311" i="24"/>
  <c r="B311" i="23"/>
  <c r="K311" i="23"/>
  <c r="J311" i="23"/>
  <c r="I311" i="23"/>
  <c r="H311" i="23"/>
  <c r="D311" i="23"/>
  <c r="G311" i="23"/>
  <c r="E311" i="23"/>
  <c r="F311" i="23"/>
  <c r="C311" i="23"/>
  <c r="I60" i="9"/>
  <c r="C60" i="9"/>
  <c r="G40" i="20"/>
  <c r="I32" i="9"/>
  <c r="C32" i="9"/>
  <c r="F81" i="16"/>
  <c r="F15" i="16"/>
  <c r="F217" i="14"/>
  <c r="F200" i="14"/>
  <c r="F209" i="14"/>
  <c r="F224" i="14"/>
  <c r="C24" i="14"/>
  <c r="D74" i="9"/>
  <c r="BN171" i="9" s="1"/>
  <c r="E74" i="9"/>
  <c r="BO171" i="9" s="1"/>
  <c r="G44" i="8"/>
  <c r="AN57" i="8" s="1"/>
  <c r="F45" i="8"/>
  <c r="AO56" i="8" s="1"/>
  <c r="C36" i="9"/>
  <c r="I36" i="9"/>
  <c r="G94" i="20"/>
  <c r="F44" i="16"/>
  <c r="I31" i="9"/>
  <c r="C31" i="9"/>
  <c r="E47" i="16"/>
  <c r="E69" i="16"/>
  <c r="E53" i="16"/>
  <c r="E38" i="16"/>
  <c r="C47" i="11"/>
  <c r="F20" i="11"/>
  <c r="F15" i="11"/>
  <c r="F90" i="16"/>
  <c r="E33" i="16"/>
  <c r="E90" i="16"/>
  <c r="E17" i="16"/>
  <c r="F69" i="16"/>
  <c r="E26" i="16"/>
  <c r="E20" i="11"/>
  <c r="F91" i="16"/>
  <c r="E91" i="16"/>
  <c r="F71" i="16"/>
  <c r="F82" i="16"/>
  <c r="E62" i="16"/>
  <c r="E27" i="16"/>
  <c r="E82" i="16"/>
  <c r="E29" i="16"/>
  <c r="E68" i="16"/>
  <c r="E30" i="16"/>
  <c r="E12" i="11"/>
  <c r="E17" i="11"/>
  <c r="E56" i="16"/>
  <c r="E19" i="11"/>
  <c r="F13" i="11"/>
  <c r="F64" i="16"/>
  <c r="E15" i="11"/>
  <c r="E64" i="16"/>
  <c r="F18" i="11"/>
  <c r="G114" i="20"/>
  <c r="C29" i="9"/>
  <c r="I29" i="9"/>
  <c r="I19" i="9"/>
  <c r="C19" i="9"/>
  <c r="G32" i="20"/>
  <c r="G34" i="20"/>
  <c r="A77" i="24"/>
  <c r="K77" i="23"/>
  <c r="J77" i="23"/>
  <c r="I77" i="23"/>
  <c r="H77" i="23"/>
  <c r="G77" i="23"/>
  <c r="F77" i="23"/>
  <c r="D77" i="23"/>
  <c r="E77" i="23"/>
  <c r="C77" i="23"/>
  <c r="B77" i="23"/>
  <c r="I40" i="22"/>
  <c r="F40" i="22"/>
  <c r="D40" i="22"/>
  <c r="C40" i="22"/>
  <c r="B40" i="22"/>
  <c r="A44" i="24"/>
  <c r="C44" i="23"/>
  <c r="J44" i="23"/>
  <c r="I44" i="23"/>
  <c r="H44" i="23"/>
  <c r="G44" i="23"/>
  <c r="F44" i="23"/>
  <c r="E44" i="23"/>
  <c r="D44" i="23"/>
  <c r="B44" i="23"/>
  <c r="K44" i="23"/>
  <c r="F35" i="22"/>
  <c r="D35" i="22"/>
  <c r="C35" i="22"/>
  <c r="B35" i="22"/>
  <c r="I35" i="22"/>
  <c r="A73" i="24"/>
  <c r="H73" i="23"/>
  <c r="G73" i="23"/>
  <c r="F73" i="23"/>
  <c r="E73" i="23"/>
  <c r="D73" i="23"/>
  <c r="B73" i="23"/>
  <c r="K73" i="23"/>
  <c r="J73" i="23"/>
  <c r="I73" i="23"/>
  <c r="C73" i="23"/>
  <c r="D26" i="22"/>
  <c r="C26" i="22"/>
  <c r="B26" i="22"/>
  <c r="I26" i="22"/>
  <c r="F26" i="22"/>
  <c r="A41" i="24"/>
  <c r="D41" i="23"/>
  <c r="C41" i="23"/>
  <c r="B41" i="23"/>
  <c r="K41" i="23"/>
  <c r="J41" i="23"/>
  <c r="I41" i="23"/>
  <c r="H41" i="23"/>
  <c r="G41" i="23"/>
  <c r="F41" i="23"/>
  <c r="E41" i="23"/>
  <c r="B17" i="22"/>
  <c r="I17" i="22"/>
  <c r="D17" i="22"/>
  <c r="C17" i="22"/>
  <c r="F17" i="22"/>
  <c r="A57" i="24"/>
  <c r="D57" i="23"/>
  <c r="B57" i="23"/>
  <c r="C57" i="23"/>
  <c r="K57" i="23"/>
  <c r="J57" i="23"/>
  <c r="I57" i="23"/>
  <c r="H57" i="23"/>
  <c r="G57" i="23"/>
  <c r="F57" i="23"/>
  <c r="E57" i="23"/>
  <c r="A111" i="24"/>
  <c r="J111" i="23"/>
  <c r="I111" i="23"/>
  <c r="H111" i="23"/>
  <c r="G111" i="23"/>
  <c r="F111" i="23"/>
  <c r="E111" i="23"/>
  <c r="D111" i="23"/>
  <c r="C111" i="23"/>
  <c r="B111" i="23"/>
  <c r="K111" i="23"/>
  <c r="A109" i="24"/>
  <c r="H109" i="23"/>
  <c r="G109" i="23"/>
  <c r="F109" i="23"/>
  <c r="E109" i="23"/>
  <c r="D109" i="23"/>
  <c r="C109" i="23"/>
  <c r="B109" i="23"/>
  <c r="K109" i="23"/>
  <c r="J109" i="23"/>
  <c r="I109" i="23"/>
  <c r="A131" i="24"/>
  <c r="J131" i="23"/>
  <c r="G131" i="23"/>
  <c r="H131" i="23"/>
  <c r="F131" i="23"/>
  <c r="E131" i="23"/>
  <c r="D131" i="23"/>
  <c r="C131" i="23"/>
  <c r="B131" i="23"/>
  <c r="K131" i="23"/>
  <c r="I131" i="23"/>
  <c r="A220" i="24"/>
  <c r="K220" i="23"/>
  <c r="J220" i="23"/>
  <c r="I220" i="23"/>
  <c r="H220" i="23"/>
  <c r="G220" i="23"/>
  <c r="E220" i="23"/>
  <c r="D220" i="23"/>
  <c r="B220" i="23"/>
  <c r="F220" i="23"/>
  <c r="C220" i="23"/>
  <c r="A93" i="24"/>
  <c r="D93" i="23"/>
  <c r="C93" i="23"/>
  <c r="B93" i="23"/>
  <c r="K93" i="23"/>
  <c r="J93" i="23"/>
  <c r="I93" i="23"/>
  <c r="H93" i="23"/>
  <c r="G93" i="23"/>
  <c r="F93" i="23"/>
  <c r="E93" i="23"/>
  <c r="A145" i="24"/>
  <c r="K145" i="23"/>
  <c r="I145" i="23"/>
  <c r="G145" i="23"/>
  <c r="C145" i="23"/>
  <c r="B145" i="23"/>
  <c r="J145" i="23"/>
  <c r="H145" i="23"/>
  <c r="F145" i="23"/>
  <c r="E145" i="23"/>
  <c r="D145" i="23"/>
  <c r="A42" i="24"/>
  <c r="F42" i="23"/>
  <c r="E42" i="23"/>
  <c r="D42" i="23"/>
  <c r="C42" i="23"/>
  <c r="B42" i="23"/>
  <c r="K42" i="23"/>
  <c r="J42" i="23"/>
  <c r="I42" i="23"/>
  <c r="H42" i="23"/>
  <c r="G42" i="23"/>
  <c r="A192" i="24"/>
  <c r="H192" i="23"/>
  <c r="G192" i="23"/>
  <c r="F192" i="23"/>
  <c r="K192" i="23"/>
  <c r="J192" i="23"/>
  <c r="I192" i="23"/>
  <c r="E192" i="23"/>
  <c r="D192" i="23"/>
  <c r="C192" i="23"/>
  <c r="B192" i="23"/>
  <c r="A188" i="24"/>
  <c r="D188" i="23"/>
  <c r="C188" i="23"/>
  <c r="J188" i="23"/>
  <c r="I188" i="23"/>
  <c r="H188" i="23"/>
  <c r="G188" i="23"/>
  <c r="F188" i="23"/>
  <c r="E188" i="23"/>
  <c r="B188" i="23"/>
  <c r="K188" i="23"/>
  <c r="A170" i="24"/>
  <c r="J170" i="23"/>
  <c r="I170" i="23"/>
  <c r="F170" i="23"/>
  <c r="E170" i="23"/>
  <c r="D170" i="23"/>
  <c r="C170" i="23"/>
  <c r="B170" i="23"/>
  <c r="H170" i="23"/>
  <c r="K170" i="23"/>
  <c r="G170" i="23"/>
  <c r="A161" i="24"/>
  <c r="D161" i="23"/>
  <c r="C161" i="23"/>
  <c r="B161" i="23"/>
  <c r="K161" i="23"/>
  <c r="F161" i="23"/>
  <c r="E161" i="23"/>
  <c r="J161" i="23"/>
  <c r="I161" i="23"/>
  <c r="H161" i="23"/>
  <c r="G161" i="23"/>
  <c r="A227" i="24"/>
  <c r="G227" i="23"/>
  <c r="F227" i="23"/>
  <c r="E227" i="23"/>
  <c r="D227" i="23"/>
  <c r="C227" i="23"/>
  <c r="B227" i="23"/>
  <c r="K227" i="23"/>
  <c r="I227" i="23"/>
  <c r="H227" i="23"/>
  <c r="J227" i="23"/>
  <c r="A217" i="24"/>
  <c r="I217" i="23"/>
  <c r="H217" i="23"/>
  <c r="G217" i="23"/>
  <c r="F217" i="23"/>
  <c r="E217" i="23"/>
  <c r="D217" i="23"/>
  <c r="B217" i="23"/>
  <c r="K217" i="23"/>
  <c r="J217" i="23"/>
  <c r="C217" i="23"/>
  <c r="A273" i="24"/>
  <c r="K273" i="23"/>
  <c r="J273" i="23"/>
  <c r="G273" i="23"/>
  <c r="F273" i="23"/>
  <c r="B273" i="23"/>
  <c r="I273" i="23"/>
  <c r="H273" i="23"/>
  <c r="E273" i="23"/>
  <c r="D273" i="23"/>
  <c r="C273" i="23"/>
  <c r="A237" i="24"/>
  <c r="E237" i="23"/>
  <c r="D237" i="23"/>
  <c r="C237" i="23"/>
  <c r="B237" i="23"/>
  <c r="J237" i="23"/>
  <c r="I237" i="23"/>
  <c r="G237" i="23"/>
  <c r="K237" i="23"/>
  <c r="H237" i="23"/>
  <c r="F237" i="23"/>
  <c r="A211" i="24"/>
  <c r="C211" i="23"/>
  <c r="B211" i="23"/>
  <c r="K211" i="23"/>
  <c r="J211" i="23"/>
  <c r="E211" i="23"/>
  <c r="F211" i="23"/>
  <c r="D211" i="23"/>
  <c r="H211" i="23"/>
  <c r="I211" i="23"/>
  <c r="G211" i="23"/>
  <c r="A246" i="24"/>
  <c r="B246" i="23"/>
  <c r="K246" i="23"/>
  <c r="J246" i="23"/>
  <c r="I246" i="23"/>
  <c r="G246" i="23"/>
  <c r="F246" i="23"/>
  <c r="D246" i="23"/>
  <c r="H246" i="23"/>
  <c r="E246" i="23"/>
  <c r="C246" i="23"/>
  <c r="A272" i="24"/>
  <c r="K272" i="23"/>
  <c r="J272" i="23"/>
  <c r="I272" i="23"/>
  <c r="F272" i="23"/>
  <c r="E272" i="23"/>
  <c r="H272" i="23"/>
  <c r="G272" i="23"/>
  <c r="C272" i="23"/>
  <c r="D272" i="23"/>
  <c r="B272" i="23"/>
  <c r="A290" i="24"/>
  <c r="E290" i="23"/>
  <c r="D290" i="23"/>
  <c r="C290" i="23"/>
  <c r="K290" i="23"/>
  <c r="G290" i="23"/>
  <c r="J290" i="23"/>
  <c r="I290" i="23"/>
  <c r="F290" i="23"/>
  <c r="H290" i="23"/>
  <c r="B290" i="23"/>
  <c r="A274" i="24"/>
  <c r="K274" i="23"/>
  <c r="H274" i="23"/>
  <c r="G274" i="23"/>
  <c r="C274" i="23"/>
  <c r="B274" i="23"/>
  <c r="J274" i="23"/>
  <c r="I274" i="23"/>
  <c r="E274" i="23"/>
  <c r="F274" i="23"/>
  <c r="D274" i="23"/>
  <c r="F55" i="16"/>
  <c r="D167" i="11"/>
  <c r="I56" i="9"/>
  <c r="C56" i="9"/>
  <c r="C23" i="9"/>
  <c r="I23" i="9"/>
  <c r="C44" i="8"/>
  <c r="AN53" i="8" s="1"/>
  <c r="D45" i="8"/>
  <c r="AO54" i="8" s="1"/>
  <c r="I45" i="8"/>
  <c r="AO59" i="8" s="1"/>
  <c r="H44" i="8"/>
  <c r="AN58" i="8" s="1"/>
  <c r="C13" i="9"/>
  <c r="I13" i="9"/>
  <c r="H11" i="25"/>
  <c r="G58" i="20"/>
  <c r="C8" i="22"/>
  <c r="B8" i="22"/>
  <c r="I44" i="22"/>
  <c r="F44" i="22"/>
  <c r="D44" i="22"/>
  <c r="C44" i="22"/>
  <c r="B44" i="22"/>
  <c r="A50" i="24"/>
  <c r="I50" i="23"/>
  <c r="J50" i="23"/>
  <c r="H50" i="23"/>
  <c r="G50" i="23"/>
  <c r="F50" i="23"/>
  <c r="E50" i="23"/>
  <c r="D50" i="23"/>
  <c r="C50" i="23"/>
  <c r="B50" i="23"/>
  <c r="K50" i="23"/>
  <c r="F39" i="22"/>
  <c r="D39" i="22"/>
  <c r="C39" i="22"/>
  <c r="B39" i="22"/>
  <c r="I39" i="22"/>
  <c r="A100" i="24"/>
  <c r="K100" i="23"/>
  <c r="J100" i="23"/>
  <c r="I100" i="23"/>
  <c r="H100" i="23"/>
  <c r="G100" i="23"/>
  <c r="F100" i="23"/>
  <c r="E100" i="23"/>
  <c r="D100" i="23"/>
  <c r="C100" i="23"/>
  <c r="B100" i="23"/>
  <c r="D30" i="22"/>
  <c r="C30" i="22"/>
  <c r="B30" i="22"/>
  <c r="I30" i="22"/>
  <c r="F30" i="22"/>
  <c r="A53" i="24"/>
  <c r="J53" i="23"/>
  <c r="D53" i="23"/>
  <c r="C53" i="23"/>
  <c r="B53" i="23"/>
  <c r="K53" i="23"/>
  <c r="I53" i="23"/>
  <c r="H53" i="23"/>
  <c r="G53" i="23"/>
  <c r="F53" i="23"/>
  <c r="E53" i="23"/>
  <c r="B21" i="22"/>
  <c r="I21" i="22"/>
  <c r="F21" i="22"/>
  <c r="D21" i="22"/>
  <c r="C21" i="22"/>
  <c r="A74" i="24"/>
  <c r="I74" i="23"/>
  <c r="H74" i="23"/>
  <c r="G74" i="23"/>
  <c r="F74" i="23"/>
  <c r="E74" i="23"/>
  <c r="C74" i="23"/>
  <c r="B74" i="23"/>
  <c r="K74" i="23"/>
  <c r="J74" i="23"/>
  <c r="D74" i="23"/>
  <c r="A123" i="24"/>
  <c r="J123" i="23"/>
  <c r="I123" i="23"/>
  <c r="H123" i="23"/>
  <c r="G123" i="23"/>
  <c r="F123" i="23"/>
  <c r="E123" i="23"/>
  <c r="D123" i="23"/>
  <c r="C123" i="23"/>
  <c r="B123" i="23"/>
  <c r="K123" i="23"/>
  <c r="A121" i="24"/>
  <c r="H121" i="23"/>
  <c r="G121" i="23"/>
  <c r="F121" i="23"/>
  <c r="E121" i="23"/>
  <c r="D121" i="23"/>
  <c r="C121" i="23"/>
  <c r="B121" i="23"/>
  <c r="K121" i="23"/>
  <c r="J121" i="23"/>
  <c r="I121" i="23"/>
  <c r="A141" i="24"/>
  <c r="H141" i="23"/>
  <c r="G141" i="23"/>
  <c r="E141" i="23"/>
  <c r="C141" i="23"/>
  <c r="K141" i="23"/>
  <c r="J141" i="23"/>
  <c r="I141" i="23"/>
  <c r="F141" i="23"/>
  <c r="D141" i="23"/>
  <c r="B141" i="23"/>
  <c r="A266" i="24"/>
  <c r="E266" i="23"/>
  <c r="D266" i="23"/>
  <c r="C266" i="23"/>
  <c r="K266" i="23"/>
  <c r="J266" i="23"/>
  <c r="I266" i="23"/>
  <c r="H266" i="23"/>
  <c r="G266" i="23"/>
  <c r="B266" i="23"/>
  <c r="F266" i="23"/>
  <c r="A105" i="24"/>
  <c r="D105" i="23"/>
  <c r="C105" i="23"/>
  <c r="B105" i="23"/>
  <c r="K105" i="23"/>
  <c r="J105" i="23"/>
  <c r="I105" i="23"/>
  <c r="H105" i="23"/>
  <c r="G105" i="23"/>
  <c r="F105" i="23"/>
  <c r="E105" i="23"/>
  <c r="A167" i="24"/>
  <c r="G167" i="23"/>
  <c r="K167" i="23"/>
  <c r="J167" i="23"/>
  <c r="I167" i="23"/>
  <c r="H167" i="23"/>
  <c r="F167" i="23"/>
  <c r="E167" i="23"/>
  <c r="C167" i="23"/>
  <c r="B167" i="23"/>
  <c r="D167" i="23"/>
  <c r="A54" i="24"/>
  <c r="K54" i="23"/>
  <c r="G54" i="23"/>
  <c r="F54" i="23"/>
  <c r="E54" i="23"/>
  <c r="D54" i="23"/>
  <c r="C54" i="23"/>
  <c r="B54" i="23"/>
  <c r="J54" i="23"/>
  <c r="I54" i="23"/>
  <c r="H54" i="23"/>
  <c r="A195" i="24"/>
  <c r="K195" i="23"/>
  <c r="J195" i="23"/>
  <c r="I195" i="23"/>
  <c r="H195" i="23"/>
  <c r="G195" i="23"/>
  <c r="F195" i="23"/>
  <c r="E195" i="23"/>
  <c r="D195" i="23"/>
  <c r="C195" i="23"/>
  <c r="B195" i="23"/>
  <c r="A251" i="24"/>
  <c r="G251" i="23"/>
  <c r="F251" i="23"/>
  <c r="E251" i="23"/>
  <c r="D251" i="23"/>
  <c r="C251" i="23"/>
  <c r="B251" i="23"/>
  <c r="K251" i="23"/>
  <c r="I251" i="23"/>
  <c r="J251" i="23"/>
  <c r="H251" i="23"/>
  <c r="A200" i="24"/>
  <c r="D200" i="23"/>
  <c r="C200" i="23"/>
  <c r="B200" i="23"/>
  <c r="F200" i="23"/>
  <c r="J200" i="23"/>
  <c r="I200" i="23"/>
  <c r="H200" i="23"/>
  <c r="G200" i="23"/>
  <c r="E200" i="23"/>
  <c r="K200" i="23"/>
  <c r="A178" i="24"/>
  <c r="F178" i="23"/>
  <c r="E178" i="23"/>
  <c r="D178" i="23"/>
  <c r="C178" i="23"/>
  <c r="B178" i="23"/>
  <c r="K178" i="23"/>
  <c r="J178" i="23"/>
  <c r="H178" i="23"/>
  <c r="I178" i="23"/>
  <c r="G178" i="23"/>
  <c r="A134" i="24"/>
  <c r="J134" i="23"/>
  <c r="D134" i="23"/>
  <c r="C134" i="23"/>
  <c r="B134" i="23"/>
  <c r="K134" i="23"/>
  <c r="I134" i="23"/>
  <c r="H134" i="23"/>
  <c r="G134" i="23"/>
  <c r="F134" i="23"/>
  <c r="E134" i="23"/>
  <c r="A229" i="24"/>
  <c r="I229" i="23"/>
  <c r="H229" i="23"/>
  <c r="G229" i="23"/>
  <c r="F229" i="23"/>
  <c r="E229" i="23"/>
  <c r="D229" i="23"/>
  <c r="B229" i="23"/>
  <c r="K229" i="23"/>
  <c r="J229" i="23"/>
  <c r="C229" i="23"/>
  <c r="A214" i="24"/>
  <c r="F214" i="23"/>
  <c r="E214" i="23"/>
  <c r="D214" i="23"/>
  <c r="C214" i="23"/>
  <c r="B214" i="23"/>
  <c r="K214" i="23"/>
  <c r="J214" i="23"/>
  <c r="H214" i="23"/>
  <c r="G214" i="23"/>
  <c r="I214" i="23"/>
  <c r="A249" i="24"/>
  <c r="E249" i="23"/>
  <c r="D249" i="23"/>
  <c r="C249" i="23"/>
  <c r="B249" i="23"/>
  <c r="J249" i="23"/>
  <c r="I249" i="23"/>
  <c r="G249" i="23"/>
  <c r="F249" i="23"/>
  <c r="K249" i="23"/>
  <c r="H249" i="23"/>
  <c r="A223" i="24"/>
  <c r="C223" i="23"/>
  <c r="B223" i="23"/>
  <c r="K223" i="23"/>
  <c r="J223" i="23"/>
  <c r="H223" i="23"/>
  <c r="G223" i="23"/>
  <c r="E223" i="23"/>
  <c r="D223" i="23"/>
  <c r="I223" i="23"/>
  <c r="F223" i="23"/>
  <c r="A256" i="24"/>
  <c r="F256" i="23"/>
  <c r="B256" i="23"/>
  <c r="K256" i="23"/>
  <c r="J256" i="23"/>
  <c r="H256" i="23"/>
  <c r="G256" i="23"/>
  <c r="D256" i="23"/>
  <c r="I256" i="23"/>
  <c r="E256" i="23"/>
  <c r="C256" i="23"/>
  <c r="A284" i="24"/>
  <c r="K284" i="23"/>
  <c r="J284" i="23"/>
  <c r="I284" i="23"/>
  <c r="F284" i="23"/>
  <c r="E284" i="23"/>
  <c r="H284" i="23"/>
  <c r="G284" i="23"/>
  <c r="D284" i="23"/>
  <c r="C284" i="23"/>
  <c r="B284" i="23"/>
  <c r="A302" i="24"/>
  <c r="E302" i="23"/>
  <c r="D302" i="23"/>
  <c r="C302" i="23"/>
  <c r="B302" i="23"/>
  <c r="K302" i="23"/>
  <c r="G302" i="23"/>
  <c r="J302" i="23"/>
  <c r="I302" i="23"/>
  <c r="H302" i="23"/>
  <c r="F302" i="23"/>
  <c r="A286" i="24"/>
  <c r="K286" i="23"/>
  <c r="I286" i="23"/>
  <c r="H286" i="23"/>
  <c r="G286" i="23"/>
  <c r="C286" i="23"/>
  <c r="J286" i="23"/>
  <c r="F286" i="23"/>
  <c r="E286" i="23"/>
  <c r="D286" i="23"/>
  <c r="B286" i="23"/>
  <c r="G106" i="20"/>
  <c r="J6" i="22"/>
  <c r="F220" i="14"/>
  <c r="B24" i="14"/>
  <c r="F216" i="14"/>
  <c r="F208" i="14"/>
  <c r="F199" i="14"/>
  <c r="B30" i="14"/>
  <c r="H30" i="8"/>
  <c r="Z58" i="8" s="1"/>
  <c r="C30" i="8"/>
  <c r="Z53" i="8" s="1"/>
  <c r="C30" i="4"/>
  <c r="G30" i="8" s="1"/>
  <c r="Z57" i="8" s="1"/>
  <c r="F70" i="16"/>
  <c r="I51" i="9"/>
  <c r="C51" i="9"/>
  <c r="G18" i="20"/>
  <c r="G110" i="20"/>
  <c r="C18" i="9"/>
  <c r="I18" i="9"/>
  <c r="G48" i="20"/>
  <c r="F73" i="16"/>
  <c r="D89" i="9"/>
  <c r="BN186" i="9" s="1"/>
  <c r="E89" i="9"/>
  <c r="BO186" i="9" s="1"/>
  <c r="G126" i="20"/>
  <c r="G56" i="20"/>
  <c r="E24" i="16"/>
  <c r="D229" i="14"/>
  <c r="I16" i="22"/>
  <c r="F16" i="22"/>
  <c r="D16" i="22"/>
  <c r="C16" i="22"/>
  <c r="B16" i="22"/>
  <c r="A12" i="24"/>
  <c r="K12" i="23"/>
  <c r="J12" i="23"/>
  <c r="I12" i="23"/>
  <c r="H12" i="23"/>
  <c r="G12" i="23"/>
  <c r="F12" i="23"/>
  <c r="E12" i="23"/>
  <c r="D12" i="23"/>
  <c r="C12" i="23"/>
  <c r="B12" i="23"/>
  <c r="A55" i="24"/>
  <c r="B55" i="23"/>
  <c r="J55" i="23"/>
  <c r="I55" i="23"/>
  <c r="H55" i="23"/>
  <c r="G55" i="23"/>
  <c r="F55" i="23"/>
  <c r="E55" i="23"/>
  <c r="D55" i="23"/>
  <c r="C55" i="23"/>
  <c r="K55" i="23"/>
  <c r="F43" i="22"/>
  <c r="D43" i="22"/>
  <c r="C43" i="22"/>
  <c r="B43" i="22"/>
  <c r="I43" i="22"/>
  <c r="A113" i="24"/>
  <c r="K113" i="23"/>
  <c r="J113" i="23"/>
  <c r="I113" i="23"/>
  <c r="H113" i="23"/>
  <c r="G113" i="23"/>
  <c r="F113" i="23"/>
  <c r="E113" i="23"/>
  <c r="D113" i="23"/>
  <c r="C113" i="23"/>
  <c r="B113" i="23"/>
  <c r="D34" i="22"/>
  <c r="C34" i="22"/>
  <c r="B34" i="22"/>
  <c r="I34" i="22"/>
  <c r="F34" i="22"/>
  <c r="A76" i="24"/>
  <c r="K76" i="23"/>
  <c r="J76" i="23"/>
  <c r="I76" i="23"/>
  <c r="H76" i="23"/>
  <c r="G76" i="23"/>
  <c r="E76" i="23"/>
  <c r="C76" i="23"/>
  <c r="F76" i="23"/>
  <c r="D76" i="23"/>
  <c r="B76" i="23"/>
  <c r="B25" i="22"/>
  <c r="I25" i="22"/>
  <c r="F25" i="22"/>
  <c r="D25" i="22"/>
  <c r="C25" i="22"/>
  <c r="A152" i="24"/>
  <c r="G152" i="23"/>
  <c r="F152" i="23"/>
  <c r="E152" i="23"/>
  <c r="D152" i="23"/>
  <c r="B152" i="23"/>
  <c r="K152" i="23"/>
  <c r="J152" i="23"/>
  <c r="I152" i="23"/>
  <c r="H152" i="23"/>
  <c r="C152" i="23"/>
  <c r="A128" i="24"/>
  <c r="G128" i="23"/>
  <c r="D128" i="23"/>
  <c r="K128" i="23"/>
  <c r="J128" i="23"/>
  <c r="I128" i="23"/>
  <c r="H128" i="23"/>
  <c r="F128" i="23"/>
  <c r="E128" i="23"/>
  <c r="C128" i="23"/>
  <c r="B128" i="23"/>
  <c r="A162" i="24"/>
  <c r="E162" i="23"/>
  <c r="D162" i="23"/>
  <c r="C162" i="23"/>
  <c r="B162" i="23"/>
  <c r="K162" i="23"/>
  <c r="J162" i="23"/>
  <c r="I162" i="23"/>
  <c r="H162" i="23"/>
  <c r="G162" i="23"/>
  <c r="F162" i="23"/>
  <c r="A164" i="24"/>
  <c r="G164" i="23"/>
  <c r="F164" i="23"/>
  <c r="E164" i="23"/>
  <c r="D164" i="23"/>
  <c r="B164" i="23"/>
  <c r="K164" i="23"/>
  <c r="J164" i="23"/>
  <c r="I164" i="23"/>
  <c r="H164" i="23"/>
  <c r="C164" i="23"/>
  <c r="A58" i="24"/>
  <c r="E58" i="23"/>
  <c r="C58" i="23"/>
  <c r="H58" i="23"/>
  <c r="G58" i="23"/>
  <c r="F58" i="23"/>
  <c r="D58" i="23"/>
  <c r="B58" i="23"/>
  <c r="K58" i="23"/>
  <c r="J58" i="23"/>
  <c r="I58" i="23"/>
  <c r="A117" i="24"/>
  <c r="D117" i="23"/>
  <c r="C117" i="23"/>
  <c r="B117" i="23"/>
  <c r="K117" i="23"/>
  <c r="J117" i="23"/>
  <c r="I117" i="23"/>
  <c r="H117" i="23"/>
  <c r="G117" i="23"/>
  <c r="F117" i="23"/>
  <c r="E117" i="23"/>
  <c r="A172" i="24"/>
  <c r="K172" i="23"/>
  <c r="J172" i="23"/>
  <c r="I172" i="23"/>
  <c r="H172" i="23"/>
  <c r="G172" i="23"/>
  <c r="F172" i="23"/>
  <c r="E172" i="23"/>
  <c r="D172" i="23"/>
  <c r="B172" i="23"/>
  <c r="C172" i="23"/>
  <c r="A66" i="24"/>
  <c r="K66" i="23"/>
  <c r="J66" i="23"/>
  <c r="I66" i="23"/>
  <c r="C66" i="23"/>
  <c r="B66" i="23"/>
  <c r="H66" i="23"/>
  <c r="G66" i="23"/>
  <c r="F66" i="23"/>
  <c r="E66" i="23"/>
  <c r="D66" i="23"/>
  <c r="A201" i="24"/>
  <c r="E201" i="23"/>
  <c r="D201" i="23"/>
  <c r="C201" i="23"/>
  <c r="B201" i="23"/>
  <c r="G201" i="23"/>
  <c r="K201" i="23"/>
  <c r="J201" i="23"/>
  <c r="I201" i="23"/>
  <c r="H201" i="23"/>
  <c r="F201" i="23"/>
  <c r="A283" i="24"/>
  <c r="J283" i="23"/>
  <c r="I283" i="23"/>
  <c r="H283" i="23"/>
  <c r="E283" i="23"/>
  <c r="D283" i="23"/>
  <c r="K283" i="23"/>
  <c r="G283" i="23"/>
  <c r="F283" i="23"/>
  <c r="B283" i="23"/>
  <c r="C283" i="23"/>
  <c r="A206" i="24"/>
  <c r="J206" i="23"/>
  <c r="I206" i="23"/>
  <c r="H206" i="23"/>
  <c r="G206" i="23"/>
  <c r="F206" i="23"/>
  <c r="K206" i="23"/>
  <c r="E206" i="23"/>
  <c r="D206" i="23"/>
  <c r="C206" i="23"/>
  <c r="B206" i="23"/>
  <c r="A182" i="24"/>
  <c r="J182" i="23"/>
  <c r="I182" i="23"/>
  <c r="D182" i="23"/>
  <c r="C182" i="23"/>
  <c r="B182" i="23"/>
  <c r="K182" i="23"/>
  <c r="H182" i="23"/>
  <c r="F182" i="23"/>
  <c r="G182" i="23"/>
  <c r="E182" i="23"/>
  <c r="A146" i="24"/>
  <c r="J146" i="23"/>
  <c r="H146" i="23"/>
  <c r="I146" i="23"/>
  <c r="G146" i="23"/>
  <c r="F146" i="23"/>
  <c r="E146" i="23"/>
  <c r="D146" i="23"/>
  <c r="C146" i="23"/>
  <c r="B146" i="23"/>
  <c r="K146" i="23"/>
  <c r="A241" i="24"/>
  <c r="I241" i="23"/>
  <c r="H241" i="23"/>
  <c r="G241" i="23"/>
  <c r="F241" i="23"/>
  <c r="E241" i="23"/>
  <c r="D241" i="23"/>
  <c r="B241" i="23"/>
  <c r="K241" i="23"/>
  <c r="J241" i="23"/>
  <c r="C241" i="23"/>
  <c r="A226" i="24"/>
  <c r="F226" i="23"/>
  <c r="E226" i="23"/>
  <c r="D226" i="23"/>
  <c r="C226" i="23"/>
  <c r="B226" i="23"/>
  <c r="K226" i="23"/>
  <c r="J226" i="23"/>
  <c r="H226" i="23"/>
  <c r="I226" i="23"/>
  <c r="G226" i="23"/>
  <c r="A282" i="24"/>
  <c r="I282" i="23"/>
  <c r="H282" i="23"/>
  <c r="G282" i="23"/>
  <c r="D282" i="23"/>
  <c r="C282" i="23"/>
  <c r="K282" i="23"/>
  <c r="J282" i="23"/>
  <c r="F282" i="23"/>
  <c r="E282" i="23"/>
  <c r="B282" i="23"/>
  <c r="A235" i="24"/>
  <c r="C235" i="23"/>
  <c r="B235" i="23"/>
  <c r="K235" i="23"/>
  <c r="J235" i="23"/>
  <c r="H235" i="23"/>
  <c r="G235" i="23"/>
  <c r="E235" i="23"/>
  <c r="I235" i="23"/>
  <c r="F235" i="23"/>
  <c r="D235" i="23"/>
  <c r="A260" i="24"/>
  <c r="J260" i="23"/>
  <c r="I260" i="23"/>
  <c r="F260" i="23"/>
  <c r="B260" i="23"/>
  <c r="H260" i="23"/>
  <c r="G260" i="23"/>
  <c r="D260" i="23"/>
  <c r="K260" i="23"/>
  <c r="E260" i="23"/>
  <c r="C260" i="23"/>
  <c r="A296" i="24"/>
  <c r="K296" i="23"/>
  <c r="J296" i="23"/>
  <c r="I296" i="23"/>
  <c r="G296" i="23"/>
  <c r="F296" i="23"/>
  <c r="E296" i="23"/>
  <c r="H296" i="23"/>
  <c r="D296" i="23"/>
  <c r="C296" i="23"/>
  <c r="B296" i="23"/>
  <c r="A301" i="24"/>
  <c r="D301" i="23"/>
  <c r="C301" i="23"/>
  <c r="B301" i="23"/>
  <c r="K301" i="23"/>
  <c r="J301" i="23"/>
  <c r="F301" i="23"/>
  <c r="I301" i="23"/>
  <c r="G301" i="23"/>
  <c r="H301" i="23"/>
  <c r="E301" i="23"/>
  <c r="A298" i="24"/>
  <c r="K298" i="23"/>
  <c r="J298" i="23"/>
  <c r="I298" i="23"/>
  <c r="H298" i="23"/>
  <c r="G298" i="23"/>
  <c r="C298" i="23"/>
  <c r="F298" i="23"/>
  <c r="D298" i="23"/>
  <c r="E298" i="23"/>
  <c r="B298" i="23"/>
  <c r="C8" i="9"/>
  <c r="I8" i="9"/>
  <c r="G132" i="20"/>
  <c r="F28" i="16"/>
  <c r="I38" i="9"/>
  <c r="C38" i="9"/>
  <c r="G42" i="20"/>
  <c r="I10" i="25"/>
  <c r="I12" i="25"/>
  <c r="B31" i="14"/>
  <c r="E87" i="9"/>
  <c r="BO184" i="9" s="1"/>
  <c r="D87" i="9"/>
  <c r="BN184" i="9" s="1"/>
  <c r="E18" i="16"/>
  <c r="G72" i="20"/>
  <c r="E73" i="16"/>
  <c r="E76" i="9"/>
  <c r="BO173" i="9" s="1"/>
  <c r="D76" i="9"/>
  <c r="BN173" i="9" s="1"/>
  <c r="G80" i="20"/>
  <c r="F24" i="16"/>
  <c r="G82" i="20"/>
  <c r="I20" i="22"/>
  <c r="F20" i="22"/>
  <c r="D20" i="22"/>
  <c r="C20" i="22"/>
  <c r="B20" i="22"/>
  <c r="A24" i="24"/>
  <c r="K24" i="23"/>
  <c r="J24" i="23"/>
  <c r="I24" i="23"/>
  <c r="H24" i="23"/>
  <c r="G24" i="23"/>
  <c r="F24" i="23"/>
  <c r="E24" i="23"/>
  <c r="D24" i="23"/>
  <c r="C24" i="23"/>
  <c r="B24" i="23"/>
  <c r="A59" i="24"/>
  <c r="F59" i="23"/>
  <c r="E59" i="23"/>
  <c r="D59" i="23"/>
  <c r="C59" i="23"/>
  <c r="B59" i="23"/>
  <c r="K59" i="23"/>
  <c r="J59" i="23"/>
  <c r="I59" i="23"/>
  <c r="H59" i="23"/>
  <c r="G59" i="23"/>
  <c r="A9" i="24"/>
  <c r="H9" i="23"/>
  <c r="G9" i="23"/>
  <c r="F9" i="23"/>
  <c r="E9" i="23"/>
  <c r="D9" i="23"/>
  <c r="C9" i="23"/>
  <c r="B9" i="23"/>
  <c r="K9" i="23"/>
  <c r="J9" i="23"/>
  <c r="I9" i="23"/>
  <c r="A7" i="24"/>
  <c r="F7" i="23"/>
  <c r="E7" i="23"/>
  <c r="D7" i="23"/>
  <c r="C7" i="23"/>
  <c r="B7" i="23"/>
  <c r="K7" i="23"/>
  <c r="J7" i="23"/>
  <c r="I7" i="23"/>
  <c r="H7" i="23"/>
  <c r="G7" i="23"/>
  <c r="D38" i="22"/>
  <c r="C38" i="22"/>
  <c r="B38" i="22"/>
  <c r="I38" i="22"/>
  <c r="F38" i="22"/>
  <c r="A89" i="24"/>
  <c r="K89" i="23"/>
  <c r="J89" i="23"/>
  <c r="I89" i="23"/>
  <c r="H89" i="23"/>
  <c r="G89" i="23"/>
  <c r="F89" i="23"/>
  <c r="E89" i="23"/>
  <c r="D89" i="23"/>
  <c r="C89" i="23"/>
  <c r="B89" i="23"/>
  <c r="B29" i="22"/>
  <c r="I29" i="22"/>
  <c r="F29" i="22"/>
  <c r="D29" i="22"/>
  <c r="C29" i="22"/>
  <c r="A14" i="24"/>
  <c r="K14" i="23"/>
  <c r="J14" i="23"/>
  <c r="I14" i="23"/>
  <c r="H14" i="23"/>
  <c r="G14" i="23"/>
  <c r="F14" i="23"/>
  <c r="E14" i="23"/>
  <c r="D14" i="23"/>
  <c r="C14" i="23"/>
  <c r="B14" i="23"/>
  <c r="A132" i="24"/>
  <c r="K132" i="23"/>
  <c r="H132" i="23"/>
  <c r="J132" i="23"/>
  <c r="I132" i="23"/>
  <c r="G132" i="23"/>
  <c r="F132" i="23"/>
  <c r="E132" i="23"/>
  <c r="D132" i="23"/>
  <c r="C132" i="23"/>
  <c r="B132" i="23"/>
  <c r="A176" i="24"/>
  <c r="D176" i="23"/>
  <c r="C176" i="23"/>
  <c r="K176" i="23"/>
  <c r="J176" i="23"/>
  <c r="I176" i="23"/>
  <c r="H176" i="23"/>
  <c r="G176" i="23"/>
  <c r="F176" i="23"/>
  <c r="E176" i="23"/>
  <c r="B176" i="23"/>
  <c r="A259" i="24"/>
  <c r="I259" i="23"/>
  <c r="H259" i="23"/>
  <c r="E259" i="23"/>
  <c r="K259" i="23"/>
  <c r="J259" i="23"/>
  <c r="G259" i="23"/>
  <c r="F259" i="23"/>
  <c r="C259" i="23"/>
  <c r="B259" i="23"/>
  <c r="D259" i="23"/>
  <c r="A70" i="24"/>
  <c r="E70" i="23"/>
  <c r="D70" i="23"/>
  <c r="C70" i="23"/>
  <c r="B70" i="23"/>
  <c r="K70" i="23"/>
  <c r="J70" i="23"/>
  <c r="I70" i="23"/>
  <c r="H70" i="23"/>
  <c r="G70" i="23"/>
  <c r="F70" i="23"/>
  <c r="A126" i="24"/>
  <c r="E126" i="23"/>
  <c r="B126" i="23"/>
  <c r="F126" i="23"/>
  <c r="D126" i="23"/>
  <c r="C126" i="23"/>
  <c r="K126" i="23"/>
  <c r="J126" i="23"/>
  <c r="I126" i="23"/>
  <c r="H126" i="23"/>
  <c r="G126" i="23"/>
  <c r="A67" i="24"/>
  <c r="B67" i="23"/>
  <c r="K67" i="23"/>
  <c r="J67" i="23"/>
  <c r="I67" i="23"/>
  <c r="H67" i="23"/>
  <c r="G67" i="23"/>
  <c r="F67" i="23"/>
  <c r="E67" i="23"/>
  <c r="D67" i="23"/>
  <c r="C67" i="23"/>
  <c r="A78" i="24"/>
  <c r="K78" i="23"/>
  <c r="J78" i="23"/>
  <c r="I78" i="23"/>
  <c r="H78" i="23"/>
  <c r="G78" i="23"/>
  <c r="E78" i="23"/>
  <c r="F78" i="23"/>
  <c r="D78" i="23"/>
  <c r="C78" i="23"/>
  <c r="B78" i="23"/>
  <c r="A203" i="24"/>
  <c r="G203" i="23"/>
  <c r="F203" i="23"/>
  <c r="E203" i="23"/>
  <c r="D203" i="23"/>
  <c r="I203" i="23"/>
  <c r="K203" i="23"/>
  <c r="J203" i="23"/>
  <c r="H203" i="23"/>
  <c r="C203" i="23"/>
  <c r="B203" i="23"/>
  <c r="A175" i="24"/>
  <c r="C175" i="23"/>
  <c r="B175" i="23"/>
  <c r="I175" i="23"/>
  <c r="H175" i="23"/>
  <c r="G175" i="23"/>
  <c r="F175" i="23"/>
  <c r="E175" i="23"/>
  <c r="D175" i="23"/>
  <c r="K175" i="23"/>
  <c r="J175" i="23"/>
  <c r="A230" i="24"/>
  <c r="J230" i="23"/>
  <c r="I230" i="23"/>
  <c r="H230" i="23"/>
  <c r="G230" i="23"/>
  <c r="F230" i="23"/>
  <c r="E230" i="23"/>
  <c r="C230" i="23"/>
  <c r="B230" i="23"/>
  <c r="K230" i="23"/>
  <c r="D230" i="23"/>
  <c r="A244" i="24"/>
  <c r="K244" i="23"/>
  <c r="J244" i="23"/>
  <c r="I244" i="23"/>
  <c r="H244" i="23"/>
  <c r="G244" i="23"/>
  <c r="E244" i="23"/>
  <c r="D244" i="23"/>
  <c r="B244" i="23"/>
  <c r="F244" i="23"/>
  <c r="C244" i="23"/>
  <c r="A158" i="24"/>
  <c r="K158" i="23"/>
  <c r="J158" i="23"/>
  <c r="H158" i="23"/>
  <c r="I158" i="23"/>
  <c r="G158" i="23"/>
  <c r="F158" i="23"/>
  <c r="E158" i="23"/>
  <c r="D158" i="23"/>
  <c r="C158" i="23"/>
  <c r="B158" i="23"/>
  <c r="A253" i="24"/>
  <c r="I253" i="23"/>
  <c r="H253" i="23"/>
  <c r="G253" i="23"/>
  <c r="F253" i="23"/>
  <c r="E253" i="23"/>
  <c r="D253" i="23"/>
  <c r="B253" i="23"/>
  <c r="K253" i="23"/>
  <c r="J253" i="23"/>
  <c r="C253" i="23"/>
  <c r="A238" i="24"/>
  <c r="F238" i="23"/>
  <c r="E238" i="23"/>
  <c r="D238" i="23"/>
  <c r="C238" i="23"/>
  <c r="B238" i="23"/>
  <c r="K238" i="23"/>
  <c r="J238" i="23"/>
  <c r="H238" i="23"/>
  <c r="I238" i="23"/>
  <c r="G238" i="23"/>
  <c r="A289" i="24"/>
  <c r="D289" i="23"/>
  <c r="C289" i="23"/>
  <c r="B289" i="23"/>
  <c r="K289" i="23"/>
  <c r="J289" i="23"/>
  <c r="F289" i="23"/>
  <c r="I289" i="23"/>
  <c r="H289" i="23"/>
  <c r="G289" i="23"/>
  <c r="E289" i="23"/>
  <c r="A247" i="24"/>
  <c r="C247" i="23"/>
  <c r="B247" i="23"/>
  <c r="K247" i="23"/>
  <c r="J247" i="23"/>
  <c r="H247" i="23"/>
  <c r="G247" i="23"/>
  <c r="E247" i="23"/>
  <c r="I247" i="23"/>
  <c r="F247" i="23"/>
  <c r="D247" i="23"/>
  <c r="A295" i="24"/>
  <c r="J295" i="23"/>
  <c r="I295" i="23"/>
  <c r="H295" i="23"/>
  <c r="F295" i="23"/>
  <c r="E295" i="23"/>
  <c r="D295" i="23"/>
  <c r="B295" i="23"/>
  <c r="G295" i="23"/>
  <c r="K295" i="23"/>
  <c r="C295" i="23"/>
  <c r="A308" i="24"/>
  <c r="K308" i="23"/>
  <c r="J308" i="23"/>
  <c r="I308" i="23"/>
  <c r="H308" i="23"/>
  <c r="G308" i="23"/>
  <c r="F308" i="23"/>
  <c r="E308" i="23"/>
  <c r="D308" i="23"/>
  <c r="B308" i="23"/>
  <c r="C308" i="23"/>
  <c r="A264" i="24"/>
  <c r="B264" i="23"/>
  <c r="J264" i="23"/>
  <c r="F264" i="23"/>
  <c r="E264" i="23"/>
  <c r="D264" i="23"/>
  <c r="C264" i="23"/>
  <c r="K264" i="23"/>
  <c r="H264" i="23"/>
  <c r="I264" i="23"/>
  <c r="G264" i="23"/>
  <c r="A310" i="24"/>
  <c r="K310" i="23"/>
  <c r="J310" i="23"/>
  <c r="I310" i="23"/>
  <c r="H310" i="23"/>
  <c r="G310" i="23"/>
  <c r="C310" i="23"/>
  <c r="F310" i="23"/>
  <c r="E310" i="23"/>
  <c r="D310" i="23"/>
  <c r="B310" i="23"/>
  <c r="C44" i="9"/>
  <c r="I44" i="9"/>
  <c r="C67" i="9"/>
  <c r="I67" i="9"/>
  <c r="F51" i="16"/>
  <c r="I33" i="9"/>
  <c r="C33" i="9"/>
  <c r="G50" i="20"/>
  <c r="G26" i="20"/>
  <c r="C16" i="9"/>
  <c r="I16" i="9"/>
  <c r="C6" i="22"/>
  <c r="B6" i="22"/>
  <c r="I6" i="22" s="1"/>
  <c r="A45" i="24"/>
  <c r="D45" i="23"/>
  <c r="K45" i="23"/>
  <c r="J45" i="23"/>
  <c r="I45" i="23"/>
  <c r="H45" i="23"/>
  <c r="G45" i="23"/>
  <c r="F45" i="23"/>
  <c r="E45" i="23"/>
  <c r="C45" i="23"/>
  <c r="B45" i="23"/>
  <c r="A61" i="24"/>
  <c r="H61" i="23"/>
  <c r="G61" i="23"/>
  <c r="F61" i="23"/>
  <c r="E61" i="23"/>
  <c r="D61" i="23"/>
  <c r="K61" i="23"/>
  <c r="J61" i="23"/>
  <c r="I61" i="23"/>
  <c r="C61" i="23"/>
  <c r="B61" i="23"/>
  <c r="A21" i="24"/>
  <c r="H21" i="23"/>
  <c r="G21" i="23"/>
  <c r="F21" i="23"/>
  <c r="E21" i="23"/>
  <c r="D21" i="23"/>
  <c r="C21" i="23"/>
  <c r="B21" i="23"/>
  <c r="K21" i="23"/>
  <c r="J21" i="23"/>
  <c r="I21" i="23"/>
  <c r="A19" i="24"/>
  <c r="F19" i="23"/>
  <c r="E19" i="23"/>
  <c r="D19" i="23"/>
  <c r="C19" i="23"/>
  <c r="B19" i="23"/>
  <c r="K19" i="23"/>
  <c r="J19" i="23"/>
  <c r="I19" i="23"/>
  <c r="H19" i="23"/>
  <c r="G19" i="23"/>
  <c r="D42" i="22"/>
  <c r="C42" i="22"/>
  <c r="B42" i="22"/>
  <c r="I42" i="22"/>
  <c r="F42" i="22"/>
  <c r="A16" i="24"/>
  <c r="C16" i="23"/>
  <c r="B16" i="23"/>
  <c r="K16" i="23"/>
  <c r="J16" i="23"/>
  <c r="I16" i="23"/>
  <c r="H16" i="23"/>
  <c r="G16" i="23"/>
  <c r="F16" i="23"/>
  <c r="E16" i="23"/>
  <c r="D16" i="23"/>
  <c r="B33" i="22"/>
  <c r="I33" i="22"/>
  <c r="F33" i="22"/>
  <c r="D33" i="22"/>
  <c r="C33" i="22"/>
  <c r="A26" i="24"/>
  <c r="K26" i="23"/>
  <c r="J26" i="23"/>
  <c r="I26" i="23"/>
  <c r="H26" i="23"/>
  <c r="G26" i="23"/>
  <c r="F26" i="23"/>
  <c r="E26" i="23"/>
  <c r="D26" i="23"/>
  <c r="C26" i="23"/>
  <c r="B26" i="23"/>
  <c r="A144" i="24"/>
  <c r="K144" i="23"/>
  <c r="J144" i="23"/>
  <c r="H144" i="23"/>
  <c r="F144" i="23"/>
  <c r="I144" i="23"/>
  <c r="G144" i="23"/>
  <c r="E144" i="23"/>
  <c r="D144" i="23"/>
  <c r="C144" i="23"/>
  <c r="B144" i="23"/>
  <c r="A184" i="24"/>
  <c r="K184" i="23"/>
  <c r="J184" i="23"/>
  <c r="I184" i="23"/>
  <c r="H184" i="23"/>
  <c r="G184" i="23"/>
  <c r="F184" i="23"/>
  <c r="E184" i="23"/>
  <c r="D184" i="23"/>
  <c r="C184" i="23"/>
  <c r="B184" i="23"/>
  <c r="A83" i="24"/>
  <c r="F83" i="23"/>
  <c r="E83" i="23"/>
  <c r="D83" i="23"/>
  <c r="C83" i="23"/>
  <c r="B83" i="23"/>
  <c r="K83" i="23"/>
  <c r="J83" i="23"/>
  <c r="I83" i="23"/>
  <c r="H83" i="23"/>
  <c r="G83" i="23"/>
  <c r="A82" i="24"/>
  <c r="E82" i="23"/>
  <c r="D82" i="23"/>
  <c r="C82" i="23"/>
  <c r="B82" i="23"/>
  <c r="K82" i="23"/>
  <c r="J82" i="23"/>
  <c r="I82" i="23"/>
  <c r="H82" i="23"/>
  <c r="G82" i="23"/>
  <c r="F82" i="23"/>
  <c r="A130" i="24"/>
  <c r="I130" i="23"/>
  <c r="F130" i="23"/>
  <c r="D130" i="23"/>
  <c r="C130" i="23"/>
  <c r="B130" i="23"/>
  <c r="K130" i="23"/>
  <c r="J130" i="23"/>
  <c r="H130" i="23"/>
  <c r="G130" i="23"/>
  <c r="E130" i="23"/>
  <c r="A79" i="24"/>
  <c r="B79" i="23"/>
  <c r="K79" i="23"/>
  <c r="J79" i="23"/>
  <c r="I79" i="23"/>
  <c r="H79" i="23"/>
  <c r="F79" i="23"/>
  <c r="G79" i="23"/>
  <c r="E79" i="23"/>
  <c r="D79" i="23"/>
  <c r="C79" i="23"/>
  <c r="A90" i="24"/>
  <c r="K90" i="23"/>
  <c r="J90" i="23"/>
  <c r="I90" i="23"/>
  <c r="H90" i="23"/>
  <c r="G90" i="23"/>
  <c r="F90" i="23"/>
  <c r="E90" i="23"/>
  <c r="D90" i="23"/>
  <c r="C90" i="23"/>
  <c r="B90" i="23"/>
  <c r="A205" i="24"/>
  <c r="I205" i="23"/>
  <c r="H205" i="23"/>
  <c r="G205" i="23"/>
  <c r="F205" i="23"/>
  <c r="E205" i="23"/>
  <c r="K205" i="23"/>
  <c r="J205" i="23"/>
  <c r="D205" i="23"/>
  <c r="C205" i="23"/>
  <c r="B205" i="23"/>
  <c r="A179" i="24"/>
  <c r="G179" i="23"/>
  <c r="F179" i="23"/>
  <c r="I179" i="23"/>
  <c r="H179" i="23"/>
  <c r="E179" i="23"/>
  <c r="D179" i="23"/>
  <c r="C179" i="23"/>
  <c r="B179" i="23"/>
  <c r="K179" i="23"/>
  <c r="J179" i="23"/>
  <c r="A262" i="24"/>
  <c r="K262" i="23"/>
  <c r="H262" i="23"/>
  <c r="J262" i="23"/>
  <c r="I262" i="23"/>
  <c r="G262" i="23"/>
  <c r="F262" i="23"/>
  <c r="E262" i="23"/>
  <c r="C262" i="23"/>
  <c r="B262" i="23"/>
  <c r="D262" i="23"/>
  <c r="A160" i="24"/>
  <c r="C160" i="23"/>
  <c r="B160" i="23"/>
  <c r="J160" i="23"/>
  <c r="K160" i="23"/>
  <c r="I160" i="23"/>
  <c r="H160" i="23"/>
  <c r="G160" i="23"/>
  <c r="F160" i="23"/>
  <c r="E160" i="23"/>
  <c r="D160" i="23"/>
  <c r="A177" i="24"/>
  <c r="E177" i="23"/>
  <c r="D177" i="23"/>
  <c r="K177" i="23"/>
  <c r="J177" i="23"/>
  <c r="I177" i="23"/>
  <c r="H177" i="23"/>
  <c r="G177" i="23"/>
  <c r="C177" i="23"/>
  <c r="F177" i="23"/>
  <c r="B177" i="23"/>
  <c r="A305" i="24"/>
  <c r="H305" i="23"/>
  <c r="G305" i="23"/>
  <c r="F305" i="23"/>
  <c r="E305" i="23"/>
  <c r="D305" i="23"/>
  <c r="C305" i="23"/>
  <c r="B305" i="23"/>
  <c r="J305" i="23"/>
  <c r="K305" i="23"/>
  <c r="I305" i="23"/>
  <c r="A250" i="24"/>
  <c r="F250" i="23"/>
  <c r="E250" i="23"/>
  <c r="D250" i="23"/>
  <c r="C250" i="23"/>
  <c r="B250" i="23"/>
  <c r="K250" i="23"/>
  <c r="J250" i="23"/>
  <c r="H250" i="23"/>
  <c r="I250" i="23"/>
  <c r="G250" i="23"/>
  <c r="A297" i="24"/>
  <c r="K297" i="23"/>
  <c r="J297" i="23"/>
  <c r="H297" i="23"/>
  <c r="G297" i="23"/>
  <c r="F297" i="23"/>
  <c r="B297" i="23"/>
  <c r="I297" i="23"/>
  <c r="E297" i="23"/>
  <c r="D297" i="23"/>
  <c r="C297" i="23"/>
  <c r="A278" i="24"/>
  <c r="E278" i="23"/>
  <c r="D278" i="23"/>
  <c r="C278" i="23"/>
  <c r="K278" i="23"/>
  <c r="G278" i="23"/>
  <c r="F278" i="23"/>
  <c r="B278" i="23"/>
  <c r="I278" i="23"/>
  <c r="J278" i="23"/>
  <c r="H278" i="23"/>
  <c r="A173" i="24"/>
  <c r="C173" i="23"/>
  <c r="B173" i="23"/>
  <c r="K173" i="23"/>
  <c r="J173" i="23"/>
  <c r="I173" i="23"/>
  <c r="H173" i="23"/>
  <c r="G173" i="23"/>
  <c r="E173" i="23"/>
  <c r="D173" i="23"/>
  <c r="F173" i="23"/>
  <c r="A268" i="24"/>
  <c r="G268" i="23"/>
  <c r="F268" i="23"/>
  <c r="E268" i="23"/>
  <c r="B268" i="23"/>
  <c r="K268" i="23"/>
  <c r="J268" i="23"/>
  <c r="I268" i="23"/>
  <c r="H268" i="23"/>
  <c r="D268" i="23"/>
  <c r="C268" i="23"/>
  <c r="A276" i="24"/>
  <c r="C276" i="23"/>
  <c r="B276" i="23"/>
  <c r="J276" i="23"/>
  <c r="I276" i="23"/>
  <c r="E276" i="23"/>
  <c r="D276" i="23"/>
  <c r="K276" i="23"/>
  <c r="G276" i="23"/>
  <c r="H276" i="23"/>
  <c r="F276" i="23"/>
  <c r="I20" i="9"/>
  <c r="C20" i="9"/>
  <c r="V772" i="17" l="1"/>
  <c r="V773" i="17"/>
  <c r="H237" i="10"/>
  <c r="F188" i="10"/>
  <c r="H427" i="10"/>
  <c r="D409" i="10"/>
  <c r="V723" i="17"/>
  <c r="M308" i="10"/>
  <c r="L318" i="10"/>
  <c r="C170" i="10"/>
  <c r="H220" i="10"/>
  <c r="K324" i="10"/>
  <c r="V728" i="17"/>
  <c r="J296" i="10"/>
  <c r="D178" i="10"/>
  <c r="J176" i="10"/>
  <c r="F318" i="10"/>
  <c r="F299" i="10"/>
  <c r="J179" i="10"/>
  <c r="C461" i="10"/>
  <c r="F441" i="10"/>
  <c r="G388" i="10"/>
  <c r="C263" i="10"/>
  <c r="L369" i="10"/>
  <c r="C335" i="10"/>
  <c r="C228" i="10"/>
  <c r="I440" i="10"/>
  <c r="I288" i="10"/>
  <c r="J336" i="10"/>
  <c r="J185" i="10"/>
  <c r="E449" i="10"/>
  <c r="D377" i="10"/>
  <c r="I453" i="10"/>
  <c r="C237" i="10"/>
  <c r="M446" i="10"/>
  <c r="F401" i="10"/>
  <c r="J288" i="10"/>
  <c r="J423" i="10"/>
  <c r="L266" i="10"/>
  <c r="I415" i="10"/>
  <c r="H257" i="10"/>
  <c r="C312" i="10"/>
  <c r="C349" i="10"/>
  <c r="M301" i="10"/>
  <c r="Z767" i="17"/>
  <c r="Y767" i="17" s="1"/>
  <c r="C162" i="10"/>
  <c r="F257" i="10"/>
  <c r="K430" i="10"/>
  <c r="J163" i="10"/>
  <c r="E420" i="10"/>
  <c r="F322" i="10"/>
  <c r="D387" i="10"/>
  <c r="M172" i="10"/>
  <c r="M451" i="10"/>
  <c r="I178" i="10"/>
  <c r="G424" i="10"/>
  <c r="E220" i="10"/>
  <c r="J165" i="10"/>
  <c r="M314" i="10"/>
  <c r="I235" i="10"/>
  <c r="D226" i="10"/>
  <c r="C309" i="10"/>
  <c r="G340" i="10"/>
  <c r="H435" i="10"/>
  <c r="J244" i="10"/>
  <c r="L307" i="10"/>
  <c r="E426" i="10"/>
  <c r="H263" i="10"/>
  <c r="C282" i="10"/>
  <c r="F298" i="10"/>
  <c r="M329" i="10"/>
  <c r="I271" i="10"/>
  <c r="L275" i="10"/>
  <c r="F374" i="10"/>
  <c r="R771" i="17"/>
  <c r="Z771" i="17" s="1"/>
  <c r="Y771" i="17" s="1"/>
  <c r="G458" i="10"/>
  <c r="E197" i="10"/>
  <c r="J224" i="10"/>
  <c r="E239" i="10"/>
  <c r="U728" i="17"/>
  <c r="F386" i="10"/>
  <c r="F189" i="10"/>
  <c r="L175" i="10"/>
  <c r="F243" i="10"/>
  <c r="G282" i="10"/>
  <c r="F231" i="10"/>
  <c r="L197" i="10"/>
  <c r="I358" i="10"/>
  <c r="G447" i="10"/>
  <c r="E434" i="10"/>
  <c r="L239" i="10"/>
  <c r="E191" i="10"/>
  <c r="H327" i="10"/>
  <c r="E428" i="10"/>
  <c r="H275" i="10"/>
  <c r="G275" i="10"/>
  <c r="C269" i="10"/>
  <c r="L206" i="10"/>
  <c r="I412" i="10"/>
  <c r="L181" i="10"/>
  <c r="M438" i="10"/>
  <c r="V725" i="17"/>
  <c r="M421" i="10"/>
  <c r="H459" i="10"/>
  <c r="C293" i="10"/>
  <c r="I365" i="10"/>
  <c r="M399" i="10"/>
  <c r="I294" i="10"/>
  <c r="E341" i="10"/>
  <c r="G418" i="10"/>
  <c r="L368" i="10"/>
  <c r="R768" i="17"/>
  <c r="Z768" i="17" s="1"/>
  <c r="Y768" i="17" s="1"/>
  <c r="M177" i="10"/>
  <c r="D408" i="10"/>
  <c r="I245" i="10"/>
  <c r="C333" i="10"/>
  <c r="K381" i="10"/>
  <c r="I431" i="10"/>
  <c r="E414" i="10"/>
  <c r="M354" i="10"/>
  <c r="V791" i="17"/>
  <c r="L379" i="10"/>
  <c r="E460" i="10"/>
  <c r="L281" i="10"/>
  <c r="J284" i="10"/>
  <c r="L392" i="10"/>
  <c r="F395" i="10"/>
  <c r="E346" i="10"/>
  <c r="V756" i="17"/>
  <c r="F448" i="10"/>
  <c r="C208" i="10"/>
  <c r="E417" i="10"/>
  <c r="M400" i="10"/>
  <c r="C352" i="10"/>
  <c r="H425" i="10"/>
  <c r="E373" i="10"/>
  <c r="V771" i="17"/>
  <c r="V755" i="17"/>
  <c r="K350" i="10"/>
  <c r="G353" i="10"/>
  <c r="D252" i="10"/>
  <c r="G267" i="10"/>
  <c r="E353" i="10"/>
  <c r="C295" i="10"/>
  <c r="D390" i="10"/>
  <c r="J443" i="10"/>
  <c r="L325" i="10"/>
  <c r="J371" i="10"/>
  <c r="J171" i="10"/>
  <c r="I422" i="10"/>
  <c r="K422" i="10"/>
  <c r="J207" i="10"/>
  <c r="F445" i="10"/>
  <c r="J173" i="10"/>
  <c r="D194" i="10"/>
  <c r="C304" i="10"/>
  <c r="V793" i="17"/>
  <c r="M194" i="10"/>
  <c r="M351" i="10"/>
  <c r="C173" i="10"/>
  <c r="I398" i="10"/>
  <c r="M311" i="10"/>
  <c r="J323" i="10"/>
  <c r="I404" i="10"/>
  <c r="D311" i="10"/>
  <c r="K367" i="10"/>
  <c r="H214" i="10"/>
  <c r="C382" i="10"/>
  <c r="K217" i="10"/>
  <c r="M221" i="10"/>
  <c r="L247" i="10"/>
  <c r="D210" i="10"/>
  <c r="F217" i="10"/>
  <c r="C332" i="10"/>
  <c r="V744" i="17"/>
  <c r="I402" i="10"/>
  <c r="I229" i="10"/>
  <c r="D345" i="10"/>
  <c r="K186" i="10"/>
  <c r="G416" i="10"/>
  <c r="D286" i="10"/>
  <c r="E173" i="10"/>
  <c r="G198" i="10"/>
  <c r="C334" i="10"/>
  <c r="C320" i="10"/>
  <c r="I429" i="10"/>
  <c r="V776" i="17"/>
  <c r="V749" i="17"/>
  <c r="U722" i="17"/>
  <c r="V746" i="17"/>
  <c r="D361" i="10"/>
  <c r="F352" i="10"/>
  <c r="U727" i="17"/>
  <c r="V765" i="17"/>
  <c r="L823" i="17"/>
  <c r="L821" i="17"/>
  <c r="C821" i="17" s="1"/>
  <c r="L822" i="17"/>
  <c r="V724" i="17"/>
  <c r="D237" i="10"/>
  <c r="M356" i="10"/>
  <c r="M185" i="10"/>
  <c r="M436" i="10"/>
  <c r="E349" i="10"/>
  <c r="J272" i="10"/>
  <c r="J230" i="10"/>
  <c r="L292" i="10"/>
  <c r="F266" i="10"/>
  <c r="H192" i="10"/>
  <c r="M199" i="10"/>
  <c r="K340" i="10"/>
  <c r="K361" i="10"/>
  <c r="H409" i="10"/>
  <c r="J308" i="10"/>
  <c r="H296" i="10"/>
  <c r="H179" i="10"/>
  <c r="I266" i="10"/>
  <c r="J446" i="10"/>
  <c r="K415" i="10"/>
  <c r="L356" i="10"/>
  <c r="E257" i="10"/>
  <c r="L172" i="10"/>
  <c r="H165" i="10"/>
  <c r="E435" i="10"/>
  <c r="K322" i="10"/>
  <c r="K461" i="10"/>
  <c r="M335" i="10"/>
  <c r="J369" i="10"/>
  <c r="M248" i="10"/>
  <c r="L185" i="10"/>
  <c r="C235" i="10"/>
  <c r="J430" i="10"/>
  <c r="H451" i="10"/>
  <c r="I314" i="10"/>
  <c r="G244" i="10"/>
  <c r="F237" i="10"/>
  <c r="H176" i="10"/>
  <c r="D441" i="10"/>
  <c r="E188" i="10"/>
  <c r="C449" i="10"/>
  <c r="I330" i="10"/>
  <c r="I163" i="10"/>
  <c r="G178" i="10"/>
  <c r="G235" i="10"/>
  <c r="I307" i="10"/>
  <c r="J455" i="10"/>
  <c r="D436" i="10"/>
  <c r="H336" i="10"/>
  <c r="M220" i="10"/>
  <c r="C318" i="10"/>
  <c r="C388" i="10"/>
  <c r="J248" i="10"/>
  <c r="H440" i="10"/>
  <c r="L377" i="10"/>
  <c r="L424" i="10"/>
  <c r="H364" i="10"/>
  <c r="K253" i="10"/>
  <c r="K426" i="10"/>
  <c r="E427" i="10"/>
  <c r="D324" i="10"/>
  <c r="D299" i="10"/>
  <c r="I227" i="10"/>
  <c r="I226" i="10"/>
  <c r="F453" i="10"/>
  <c r="H423" i="10"/>
  <c r="H301" i="10"/>
  <c r="C322" i="10"/>
  <c r="J188" i="10"/>
  <c r="E200" i="10"/>
  <c r="U770" i="17"/>
  <c r="L336" i="10"/>
  <c r="C361" i="10"/>
  <c r="F435" i="10"/>
  <c r="H235" i="10"/>
  <c r="K309" i="10"/>
  <c r="F427" i="10"/>
  <c r="H200" i="10"/>
  <c r="L272" i="10"/>
  <c r="F373" i="10"/>
  <c r="E320" i="10"/>
  <c r="I292" i="10"/>
  <c r="C266" i="10"/>
  <c r="I387" i="10"/>
  <c r="G192" i="10"/>
  <c r="F179" i="10"/>
  <c r="F340" i="10"/>
  <c r="H361" i="10"/>
  <c r="E409" i="10"/>
  <c r="I308" i="10"/>
  <c r="G296" i="10"/>
  <c r="G179" i="10"/>
  <c r="C227" i="10"/>
  <c r="I446" i="10"/>
  <c r="J415" i="10"/>
  <c r="J356" i="10"/>
  <c r="I257" i="10"/>
  <c r="J172" i="10"/>
  <c r="G165" i="10"/>
  <c r="C435" i="10"/>
  <c r="D227" i="10"/>
  <c r="L461" i="10"/>
  <c r="K335" i="10"/>
  <c r="I369" i="10"/>
  <c r="K248" i="10"/>
  <c r="G185" i="10"/>
  <c r="L253" i="10"/>
  <c r="M430" i="10"/>
  <c r="G451" i="10"/>
  <c r="H314" i="10"/>
  <c r="F244" i="10"/>
  <c r="G176" i="10"/>
  <c r="C441" i="10"/>
  <c r="I401" i="10"/>
  <c r="L312" i="10"/>
  <c r="M232" i="10"/>
  <c r="M330" i="10"/>
  <c r="G163" i="10"/>
  <c r="M178" i="10"/>
  <c r="L420" i="10"/>
  <c r="I455" i="10"/>
  <c r="F436" i="10"/>
  <c r="G336" i="10"/>
  <c r="L220" i="10"/>
  <c r="M388" i="10"/>
  <c r="I248" i="10"/>
  <c r="K440" i="10"/>
  <c r="J377" i="10"/>
  <c r="M420" i="10"/>
  <c r="J228" i="10"/>
  <c r="J424" i="10"/>
  <c r="M364" i="10"/>
  <c r="D248" i="10"/>
  <c r="F426" i="10"/>
  <c r="D427" i="10"/>
  <c r="F324" i="10"/>
  <c r="G227" i="10"/>
  <c r="E453" i="10"/>
  <c r="E423" i="10"/>
  <c r="K301" i="10"/>
  <c r="I188" i="10"/>
  <c r="F185" i="10"/>
  <c r="E162" i="10"/>
  <c r="L340" i="10"/>
  <c r="E415" i="10"/>
  <c r="G430" i="10"/>
  <c r="G237" i="10"/>
  <c r="H188" i="10"/>
  <c r="H178" i="10"/>
  <c r="F220" i="10"/>
  <c r="D288" i="10"/>
  <c r="M324" i="10"/>
  <c r="I423" i="10"/>
  <c r="G266" i="10"/>
  <c r="M352" i="10"/>
  <c r="M373" i="10"/>
  <c r="L320" i="10"/>
  <c r="G292" i="10"/>
  <c r="G162" i="10"/>
  <c r="G387" i="10"/>
  <c r="G322" i="10"/>
  <c r="E340" i="10"/>
  <c r="E361" i="10"/>
  <c r="F409" i="10"/>
  <c r="H308" i="10"/>
  <c r="K296" i="10"/>
  <c r="C179" i="10"/>
  <c r="E262" i="10"/>
  <c r="F446" i="10"/>
  <c r="H415" i="10"/>
  <c r="F356" i="10"/>
  <c r="D257" i="10"/>
  <c r="I172" i="10"/>
  <c r="F165" i="10"/>
  <c r="M435" i="10"/>
  <c r="D262" i="10"/>
  <c r="H461" i="10"/>
  <c r="L335" i="10"/>
  <c r="G369" i="10"/>
  <c r="C248" i="10"/>
  <c r="F430" i="10"/>
  <c r="F451" i="10"/>
  <c r="G314" i="10"/>
  <c r="M244" i="10"/>
  <c r="G170" i="10"/>
  <c r="J199" i="10"/>
  <c r="C176" i="10"/>
  <c r="G449" i="10"/>
  <c r="H401" i="10"/>
  <c r="M312" i="10"/>
  <c r="K232" i="10"/>
  <c r="K330" i="10"/>
  <c r="F163" i="10"/>
  <c r="C178" i="10"/>
  <c r="C307" i="10"/>
  <c r="H253" i="10"/>
  <c r="E455" i="10"/>
  <c r="L436" i="10"/>
  <c r="M336" i="10"/>
  <c r="K220" i="10"/>
  <c r="L230" i="10"/>
  <c r="L388" i="10"/>
  <c r="E244" i="10"/>
  <c r="E440" i="10"/>
  <c r="M377" i="10"/>
  <c r="M349" i="10"/>
  <c r="H420" i="10"/>
  <c r="H228" i="10"/>
  <c r="I424" i="10"/>
  <c r="K364" i="10"/>
  <c r="H199" i="10"/>
  <c r="C427" i="10"/>
  <c r="C324" i="10"/>
  <c r="F227" i="10"/>
  <c r="D192" i="10"/>
  <c r="D453" i="10"/>
  <c r="D423" i="10"/>
  <c r="F301" i="10"/>
  <c r="M188" i="10"/>
  <c r="E163" i="10"/>
  <c r="C387" i="10"/>
  <c r="I179" i="10"/>
  <c r="I165" i="10"/>
  <c r="E227" i="10"/>
  <c r="I176" i="10"/>
  <c r="J307" i="10"/>
  <c r="G440" i="10"/>
  <c r="E299" i="10"/>
  <c r="D322" i="10"/>
  <c r="K226" i="10"/>
  <c r="I352" i="10"/>
  <c r="K373" i="10"/>
  <c r="J320" i="10"/>
  <c r="E292" i="10"/>
  <c r="F162" i="10"/>
  <c r="M387" i="10"/>
  <c r="G308" i="10"/>
  <c r="C340" i="10"/>
  <c r="K308" i="10"/>
  <c r="F296" i="10"/>
  <c r="L257" i="10"/>
  <c r="K446" i="10"/>
  <c r="F415" i="10"/>
  <c r="I356" i="10"/>
  <c r="C257" i="10"/>
  <c r="H172" i="10"/>
  <c r="C165" i="10"/>
  <c r="D435" i="10"/>
  <c r="M257" i="10"/>
  <c r="I461" i="10"/>
  <c r="F335" i="10"/>
  <c r="M369" i="10"/>
  <c r="M200" i="10"/>
  <c r="D199" i="10"/>
  <c r="E430" i="10"/>
  <c r="E451" i="10"/>
  <c r="J314" i="10"/>
  <c r="L244" i="10"/>
  <c r="F170" i="10"/>
  <c r="I199" i="10"/>
  <c r="G441" i="10"/>
  <c r="E309" i="10"/>
  <c r="M449" i="10"/>
  <c r="E401" i="10"/>
  <c r="J312" i="10"/>
  <c r="L232" i="10"/>
  <c r="F330" i="10"/>
  <c r="M163" i="10"/>
  <c r="C192" i="10"/>
  <c r="K307" i="10"/>
  <c r="L227" i="10"/>
  <c r="C455" i="10"/>
  <c r="E436" i="10"/>
  <c r="C336" i="10"/>
  <c r="J220" i="10"/>
  <c r="H230" i="10"/>
  <c r="K388" i="10"/>
  <c r="E228" i="10"/>
  <c r="C440" i="10"/>
  <c r="K377" i="10"/>
  <c r="I349" i="10"/>
  <c r="C420" i="10"/>
  <c r="I228" i="10"/>
  <c r="K424" i="10"/>
  <c r="L364" i="10"/>
  <c r="C185" i="10"/>
  <c r="F263" i="10"/>
  <c r="D200" i="10"/>
  <c r="C453" i="10"/>
  <c r="K423" i="10"/>
  <c r="D301" i="10"/>
  <c r="M309" i="10"/>
  <c r="L188" i="10"/>
  <c r="E226" i="10"/>
  <c r="J266" i="10"/>
  <c r="C409" i="10"/>
  <c r="K257" i="10"/>
  <c r="J301" i="10"/>
  <c r="K451" i="10"/>
  <c r="E441" i="10"/>
  <c r="L455" i="10"/>
  <c r="C377" i="10"/>
  <c r="M227" i="10"/>
  <c r="F272" i="10"/>
  <c r="L352" i="10"/>
  <c r="L373" i="10"/>
  <c r="I320" i="10"/>
  <c r="C292" i="10"/>
  <c r="M162" i="10"/>
  <c r="L387" i="10"/>
  <c r="E248" i="10"/>
  <c r="I409" i="10"/>
  <c r="H272" i="10"/>
  <c r="F308" i="10"/>
  <c r="D296" i="10"/>
  <c r="H446" i="10"/>
  <c r="G415" i="10"/>
  <c r="G356" i="10"/>
  <c r="H226" i="10"/>
  <c r="G172" i="10"/>
  <c r="J257" i="10"/>
  <c r="J461" i="10"/>
  <c r="E335" i="10"/>
  <c r="K369" i="10"/>
  <c r="L200" i="10"/>
  <c r="E232" i="10"/>
  <c r="D430" i="10"/>
  <c r="C451" i="10"/>
  <c r="D314" i="10"/>
  <c r="M170" i="10"/>
  <c r="L199" i="10"/>
  <c r="H441" i="10"/>
  <c r="K318" i="10"/>
  <c r="L449" i="10"/>
  <c r="D401" i="10"/>
  <c r="I312" i="10"/>
  <c r="J232" i="10"/>
  <c r="E330" i="10"/>
  <c r="L163" i="10"/>
  <c r="J192" i="10"/>
  <c r="H307" i="10"/>
  <c r="D272" i="10"/>
  <c r="M455" i="10"/>
  <c r="H436" i="10"/>
  <c r="K336" i="10"/>
  <c r="E230" i="10"/>
  <c r="J388" i="10"/>
  <c r="E179" i="10"/>
  <c r="G349" i="10"/>
  <c r="J420" i="10"/>
  <c r="G228" i="10"/>
  <c r="H424" i="10"/>
  <c r="G364" i="10"/>
  <c r="M427" i="10"/>
  <c r="J299" i="10"/>
  <c r="D263" i="10"/>
  <c r="E185" i="10"/>
  <c r="G423" i="10"/>
  <c r="E322" i="10"/>
  <c r="H309" i="10"/>
  <c r="K188" i="10"/>
  <c r="H288" i="10"/>
  <c r="V760" i="17"/>
  <c r="L446" i="10"/>
  <c r="G248" i="10"/>
  <c r="I336" i="10"/>
  <c r="M424" i="10"/>
  <c r="L301" i="10"/>
  <c r="F192" i="10"/>
  <c r="G352" i="10"/>
  <c r="J373" i="10"/>
  <c r="H320" i="10"/>
  <c r="H292" i="10"/>
  <c r="L162" i="10"/>
  <c r="K387" i="10"/>
  <c r="K230" i="10"/>
  <c r="M340" i="10"/>
  <c r="K409" i="10"/>
  <c r="G272" i="10"/>
  <c r="D308" i="10"/>
  <c r="I426" i="10"/>
  <c r="C232" i="10"/>
  <c r="G446" i="10"/>
  <c r="D415" i="10"/>
  <c r="E356" i="10"/>
  <c r="M226" i="10"/>
  <c r="F172" i="10"/>
  <c r="L435" i="10"/>
  <c r="C199" i="10"/>
  <c r="M461" i="10"/>
  <c r="D335" i="10"/>
  <c r="H369" i="10"/>
  <c r="K200" i="10"/>
  <c r="D188" i="10"/>
  <c r="C430" i="10"/>
  <c r="D451" i="10"/>
  <c r="C314" i="10"/>
  <c r="M237" i="10"/>
  <c r="L170" i="10"/>
  <c r="K199" i="10"/>
  <c r="K441" i="10"/>
  <c r="H227" i="10"/>
  <c r="J449" i="10"/>
  <c r="G401" i="10"/>
  <c r="H312" i="10"/>
  <c r="I232" i="10"/>
  <c r="D330" i="10"/>
  <c r="K163" i="10"/>
  <c r="M235" i="10"/>
  <c r="G307" i="10"/>
  <c r="J253" i="10"/>
  <c r="K455" i="10"/>
  <c r="J436" i="10"/>
  <c r="F336" i="10"/>
  <c r="H318" i="10"/>
  <c r="D230" i="10"/>
  <c r="H388" i="10"/>
  <c r="D440" i="10"/>
  <c r="H377" i="10"/>
  <c r="K288" i="10"/>
  <c r="F349" i="10"/>
  <c r="D420" i="10"/>
  <c r="F228" i="10"/>
  <c r="F424" i="10"/>
  <c r="E364" i="10"/>
  <c r="J426" i="10"/>
  <c r="L427" i="10"/>
  <c r="E324" i="10"/>
  <c r="C299" i="10"/>
  <c r="M263" i="10"/>
  <c r="G253" i="10"/>
  <c r="E176" i="10"/>
  <c r="M322" i="10"/>
  <c r="G309" i="10"/>
  <c r="G188" i="10"/>
  <c r="C200" i="10"/>
  <c r="U756" i="17"/>
  <c r="L825" i="17"/>
  <c r="K172" i="10"/>
  <c r="D449" i="10"/>
  <c r="I364" i="10"/>
  <c r="M192" i="10"/>
  <c r="K352" i="10"/>
  <c r="H373" i="10"/>
  <c r="G320" i="10"/>
  <c r="K292" i="10"/>
  <c r="K162" i="10"/>
  <c r="J387" i="10"/>
  <c r="J340" i="10"/>
  <c r="I361" i="10"/>
  <c r="M409" i="10"/>
  <c r="M272" i="10"/>
  <c r="C308" i="10"/>
  <c r="I299" i="10"/>
  <c r="L192" i="10"/>
  <c r="E446" i="10"/>
  <c r="M415" i="10"/>
  <c r="D356" i="10"/>
  <c r="F226" i="10"/>
  <c r="C172" i="10"/>
  <c r="J435" i="10"/>
  <c r="L430" i="10"/>
  <c r="D232" i="10"/>
  <c r="G461" i="10"/>
  <c r="J335" i="10"/>
  <c r="E369" i="10"/>
  <c r="J200" i="10"/>
  <c r="L309" i="10"/>
  <c r="I192" i="10"/>
  <c r="L237" i="10"/>
  <c r="K170" i="10"/>
  <c r="G199" i="10"/>
  <c r="L441" i="10"/>
  <c r="E253" i="10"/>
  <c r="I449" i="10"/>
  <c r="J401" i="10"/>
  <c r="G312" i="10"/>
  <c r="H232" i="10"/>
  <c r="H330" i="10"/>
  <c r="C163" i="10"/>
  <c r="L235" i="10"/>
  <c r="F307" i="10"/>
  <c r="F199" i="10"/>
  <c r="H455" i="10"/>
  <c r="I436" i="10"/>
  <c r="D336" i="10"/>
  <c r="M318" i="10"/>
  <c r="G230" i="10"/>
  <c r="F388" i="10"/>
  <c r="M440" i="10"/>
  <c r="F377" i="10"/>
  <c r="F288" i="10"/>
  <c r="J349" i="10"/>
  <c r="I420" i="10"/>
  <c r="M228" i="10"/>
  <c r="E424" i="10"/>
  <c r="D364" i="10"/>
  <c r="G426" i="10"/>
  <c r="J427" i="10"/>
  <c r="J324" i="10"/>
  <c r="M299" i="10"/>
  <c r="L263" i="10"/>
  <c r="I253" i="10"/>
  <c r="G453" i="10"/>
  <c r="F423" i="10"/>
  <c r="L322" i="10"/>
  <c r="J309" i="10"/>
  <c r="L288" i="10"/>
  <c r="U793" i="17"/>
  <c r="V787" i="17"/>
  <c r="V785" i="17"/>
  <c r="H248" i="10"/>
  <c r="D220" i="10"/>
  <c r="J352" i="10"/>
  <c r="I373" i="10"/>
  <c r="M320" i="10"/>
  <c r="F292" i="10"/>
  <c r="J162" i="10"/>
  <c r="H387" i="10"/>
  <c r="L226" i="10"/>
  <c r="I340" i="10"/>
  <c r="G361" i="10"/>
  <c r="L409" i="10"/>
  <c r="K272" i="10"/>
  <c r="M296" i="10"/>
  <c r="M179" i="10"/>
  <c r="J330" i="10"/>
  <c r="E237" i="10"/>
  <c r="C446" i="10"/>
  <c r="C415" i="10"/>
  <c r="C356" i="10"/>
  <c r="G226" i="10"/>
  <c r="M165" i="10"/>
  <c r="I435" i="10"/>
  <c r="L426" i="10"/>
  <c r="F461" i="10"/>
  <c r="I335" i="10"/>
  <c r="C369" i="10"/>
  <c r="G200" i="10"/>
  <c r="F176" i="10"/>
  <c r="K237" i="10"/>
  <c r="J170" i="10"/>
  <c r="M176" i="10"/>
  <c r="J441" i="10"/>
  <c r="K227" i="10"/>
  <c r="K449" i="10"/>
  <c r="C401" i="10"/>
  <c r="K312" i="10"/>
  <c r="G232" i="10"/>
  <c r="G330" i="10"/>
  <c r="L178" i="10"/>
  <c r="K235" i="10"/>
  <c r="D307" i="10"/>
  <c r="D244" i="10"/>
  <c r="G455" i="10"/>
  <c r="G436" i="10"/>
  <c r="E318" i="10"/>
  <c r="F230" i="10"/>
  <c r="D388" i="10"/>
  <c r="L440" i="10"/>
  <c r="E377" i="10"/>
  <c r="E288" i="10"/>
  <c r="K349" i="10"/>
  <c r="K420" i="10"/>
  <c r="L228" i="10"/>
  <c r="D424" i="10"/>
  <c r="C364" i="10"/>
  <c r="M426" i="10"/>
  <c r="G427" i="10"/>
  <c r="I324" i="10"/>
  <c r="H299" i="10"/>
  <c r="K263" i="10"/>
  <c r="D253" i="10"/>
  <c r="M453" i="10"/>
  <c r="C423" i="10"/>
  <c r="I301" i="10"/>
  <c r="H322" i="10"/>
  <c r="I309" i="10"/>
  <c r="I230" i="10"/>
  <c r="L308" i="10"/>
  <c r="H244" i="10"/>
  <c r="H163" i="10"/>
  <c r="E388" i="10"/>
  <c r="D426" i="10"/>
  <c r="F200" i="10"/>
  <c r="E352" i="10"/>
  <c r="G373" i="10"/>
  <c r="F320" i="10"/>
  <c r="D292" i="10"/>
  <c r="I162" i="10"/>
  <c r="F387" i="10"/>
  <c r="F248" i="10"/>
  <c r="H340" i="10"/>
  <c r="M361" i="10"/>
  <c r="G409" i="10"/>
  <c r="C272" i="10"/>
  <c r="C296" i="10"/>
  <c r="L179" i="10"/>
  <c r="G318" i="10"/>
  <c r="F178" i="10"/>
  <c r="L165" i="10"/>
  <c r="K435" i="10"/>
  <c r="L299" i="10"/>
  <c r="E461" i="10"/>
  <c r="H335" i="10"/>
  <c r="D369" i="10"/>
  <c r="K185" i="10"/>
  <c r="F364" i="10"/>
  <c r="E170" i="10"/>
  <c r="I451" i="10"/>
  <c r="K314" i="10"/>
  <c r="K244" i="10"/>
  <c r="J237" i="10"/>
  <c r="I170" i="10"/>
  <c r="L176" i="10"/>
  <c r="M441" i="10"/>
  <c r="M253" i="10"/>
  <c r="H449" i="10"/>
  <c r="L401" i="10"/>
  <c r="F312" i="10"/>
  <c r="J178" i="10"/>
  <c r="F235" i="10"/>
  <c r="E307" i="10"/>
  <c r="D228" i="10"/>
  <c r="F455" i="10"/>
  <c r="K436" i="10"/>
  <c r="I220" i="10"/>
  <c r="J318" i="10"/>
  <c r="F440" i="10"/>
  <c r="I377" i="10"/>
  <c r="C288" i="10"/>
  <c r="H349" i="10"/>
  <c r="F420" i="10"/>
  <c r="H453" i="10"/>
  <c r="H426" i="10"/>
  <c r="K427" i="10"/>
  <c r="H324" i="10"/>
  <c r="G299" i="10"/>
  <c r="J263" i="10"/>
  <c r="C253" i="10"/>
  <c r="L453" i="10"/>
  <c r="L423" i="10"/>
  <c r="E301" i="10"/>
  <c r="J322" i="10"/>
  <c r="F309" i="10"/>
  <c r="D185" i="10"/>
  <c r="V781" i="17"/>
  <c r="L820" i="17"/>
  <c r="C373" i="10"/>
  <c r="I296" i="10"/>
  <c r="L314" i="10"/>
  <c r="L330" i="10"/>
  <c r="D318" i="10"/>
  <c r="K453" i="10"/>
  <c r="L324" i="10"/>
  <c r="D352" i="10"/>
  <c r="D320" i="10"/>
  <c r="D266" i="10"/>
  <c r="H162" i="10"/>
  <c r="F361" i="10"/>
  <c r="L296" i="10"/>
  <c r="K179" i="10"/>
  <c r="G301" i="10"/>
  <c r="E172" i="10"/>
  <c r="K165" i="10"/>
  <c r="I185" i="10"/>
  <c r="M230" i="10"/>
  <c r="I430" i="10"/>
  <c r="L451" i="10"/>
  <c r="E314" i="10"/>
  <c r="I244" i="10"/>
  <c r="H170" i="10"/>
  <c r="K176" i="10"/>
  <c r="D235" i="10"/>
  <c r="K401" i="10"/>
  <c r="D312" i="10"/>
  <c r="K178" i="10"/>
  <c r="J235" i="10"/>
  <c r="G220" i="10"/>
  <c r="M292" i="10"/>
  <c r="M288" i="10"/>
  <c r="D349" i="10"/>
  <c r="J361" i="10"/>
  <c r="I263" i="10"/>
  <c r="G262" i="10"/>
  <c r="V730" i="17"/>
  <c r="D187" i="10"/>
  <c r="L824" i="17"/>
  <c r="R791" i="17"/>
  <c r="Z791" i="17" s="1"/>
  <c r="Y791" i="17" s="1"/>
  <c r="Z769" i="17"/>
  <c r="Y769" i="17" s="1"/>
  <c r="L826" i="17"/>
  <c r="V777" i="17"/>
  <c r="U788" i="17"/>
  <c r="Y727" i="17"/>
  <c r="Y775" i="17"/>
  <c r="U776" i="17"/>
  <c r="U777" i="17"/>
  <c r="Y763" i="17"/>
  <c r="U797" i="17"/>
  <c r="R728" i="17"/>
  <c r="Z728" i="17" s="1"/>
  <c r="Y728" i="17" s="1"/>
  <c r="U773" i="17"/>
  <c r="U742" i="17"/>
  <c r="V742" i="17"/>
  <c r="V748" i="17"/>
  <c r="V797" i="17"/>
  <c r="M284" i="10"/>
  <c r="J183" i="10"/>
  <c r="F421" i="10"/>
  <c r="C393" i="10"/>
  <c r="H294" i="10"/>
  <c r="L216" i="10"/>
  <c r="J379" i="10"/>
  <c r="G319" i="10"/>
  <c r="D260" i="10"/>
  <c r="E458" i="10"/>
  <c r="G425" i="10"/>
  <c r="G358" i="10"/>
  <c r="L177" i="10"/>
  <c r="E231" i="10"/>
  <c r="M258" i="10"/>
  <c r="K160" i="10"/>
  <c r="J386" i="10"/>
  <c r="H447" i="10"/>
  <c r="J260" i="10"/>
  <c r="K206" i="10"/>
  <c r="M191" i="10"/>
  <c r="G408" i="10"/>
  <c r="H189" i="10"/>
  <c r="C460" i="10"/>
  <c r="C434" i="10"/>
  <c r="F341" i="10"/>
  <c r="H245" i="10"/>
  <c r="C160" i="10"/>
  <c r="H205" i="10"/>
  <c r="J281" i="10"/>
  <c r="D372" i="10"/>
  <c r="D177" i="10"/>
  <c r="D327" i="10"/>
  <c r="M459" i="10"/>
  <c r="K284" i="10"/>
  <c r="J175" i="10"/>
  <c r="H457" i="10"/>
  <c r="K181" i="10"/>
  <c r="D239" i="10"/>
  <c r="H418" i="10"/>
  <c r="K392" i="10"/>
  <c r="K329" i="10"/>
  <c r="H224" i="10"/>
  <c r="G243" i="10"/>
  <c r="M293" i="10"/>
  <c r="I184" i="10"/>
  <c r="G414" i="10"/>
  <c r="E395" i="10"/>
  <c r="F271" i="10"/>
  <c r="K282" i="10"/>
  <c r="F269" i="10"/>
  <c r="L438" i="10"/>
  <c r="K368" i="10"/>
  <c r="C354" i="10"/>
  <c r="D321" i="10"/>
  <c r="J275" i="10"/>
  <c r="E245" i="10"/>
  <c r="G365" i="10"/>
  <c r="J381" i="10"/>
  <c r="C346" i="10"/>
  <c r="I374" i="10"/>
  <c r="M231" i="10"/>
  <c r="G205" i="10"/>
  <c r="L399" i="10"/>
  <c r="C431" i="10"/>
  <c r="L258" i="10"/>
  <c r="H239" i="10"/>
  <c r="K197" i="10"/>
  <c r="E183" i="10"/>
  <c r="V741" i="17"/>
  <c r="J346" i="10"/>
  <c r="E421" i="10"/>
  <c r="E393" i="10"/>
  <c r="G294" i="10"/>
  <c r="J216" i="10"/>
  <c r="H379" i="10"/>
  <c r="F333" i="10"/>
  <c r="C458" i="10"/>
  <c r="F425" i="10"/>
  <c r="D358" i="10"/>
  <c r="K177" i="10"/>
  <c r="H319" i="10"/>
  <c r="D189" i="10"/>
  <c r="F328" i="10"/>
  <c r="L386" i="10"/>
  <c r="F447" i="10"/>
  <c r="E260" i="10"/>
  <c r="J206" i="10"/>
  <c r="L191" i="10"/>
  <c r="G189" i="10"/>
  <c r="H242" i="10"/>
  <c r="G258" i="10"/>
  <c r="M193" i="10"/>
  <c r="D434" i="10"/>
  <c r="D412" i="10"/>
  <c r="D341" i="10"/>
  <c r="G245" i="10"/>
  <c r="D160" i="10"/>
  <c r="K205" i="10"/>
  <c r="I281" i="10"/>
  <c r="C372" i="10"/>
  <c r="H260" i="10"/>
  <c r="D181" i="10"/>
  <c r="L327" i="10"/>
  <c r="K459" i="10"/>
  <c r="I284" i="10"/>
  <c r="K175" i="10"/>
  <c r="M457" i="10"/>
  <c r="J181" i="10"/>
  <c r="K418" i="10"/>
  <c r="I392" i="10"/>
  <c r="F329" i="10"/>
  <c r="I224" i="10"/>
  <c r="L293" i="10"/>
  <c r="K414" i="10"/>
  <c r="D395" i="10"/>
  <c r="H437" i="10"/>
  <c r="C271" i="10"/>
  <c r="J282" i="10"/>
  <c r="M209" i="10"/>
  <c r="M239" i="10"/>
  <c r="J438" i="10"/>
  <c r="H368" i="10"/>
  <c r="L321" i="10"/>
  <c r="I275" i="10"/>
  <c r="G254" i="10"/>
  <c r="F205" i="10"/>
  <c r="I428" i="10"/>
  <c r="M365" i="10"/>
  <c r="H381" i="10"/>
  <c r="G374" i="10"/>
  <c r="D303" i="10"/>
  <c r="I239" i="10"/>
  <c r="K399" i="10"/>
  <c r="K431" i="10"/>
  <c r="J258" i="10"/>
  <c r="F239" i="10"/>
  <c r="J197" i="10"/>
  <c r="E209" i="10"/>
  <c r="D224" i="10"/>
  <c r="E321" i="10"/>
  <c r="F183" i="10"/>
  <c r="D421" i="10"/>
  <c r="D448" i="10"/>
  <c r="M393" i="10"/>
  <c r="F294" i="10"/>
  <c r="D250" i="10"/>
  <c r="K216" i="10"/>
  <c r="I379" i="10"/>
  <c r="K278" i="10"/>
  <c r="C189" i="10"/>
  <c r="J160" i="10"/>
  <c r="D458" i="10"/>
  <c r="L358" i="10"/>
  <c r="J177" i="10"/>
  <c r="F193" i="10"/>
  <c r="M328" i="10"/>
  <c r="H386" i="10"/>
  <c r="E447" i="10"/>
  <c r="C260" i="10"/>
  <c r="G206" i="10"/>
  <c r="K191" i="10"/>
  <c r="F460" i="10"/>
  <c r="D242" i="10"/>
  <c r="C412" i="10"/>
  <c r="J341" i="10"/>
  <c r="F245" i="10"/>
  <c r="E160" i="10"/>
  <c r="I205" i="10"/>
  <c r="G281" i="10"/>
  <c r="H278" i="10"/>
  <c r="J327" i="10"/>
  <c r="G459" i="10"/>
  <c r="G284" i="10"/>
  <c r="E298" i="10"/>
  <c r="I175" i="10"/>
  <c r="L457" i="10"/>
  <c r="I181" i="10"/>
  <c r="M418" i="10"/>
  <c r="E392" i="10"/>
  <c r="E329" i="10"/>
  <c r="F280" i="10"/>
  <c r="G224" i="10"/>
  <c r="J293" i="10"/>
  <c r="F181" i="10"/>
  <c r="D414" i="10"/>
  <c r="C395" i="10"/>
  <c r="G437" i="10"/>
  <c r="I282" i="10"/>
  <c r="L209" i="10"/>
  <c r="I238" i="10"/>
  <c r="I438" i="10"/>
  <c r="F368" i="10"/>
  <c r="J321" i="10"/>
  <c r="F275" i="10"/>
  <c r="I254" i="10"/>
  <c r="J269" i="10"/>
  <c r="M428" i="10"/>
  <c r="J365" i="10"/>
  <c r="F381" i="10"/>
  <c r="J374" i="10"/>
  <c r="L303" i="10"/>
  <c r="J399" i="10"/>
  <c r="H431" i="10"/>
  <c r="C258" i="10"/>
  <c r="G239" i="10"/>
  <c r="G197" i="10"/>
  <c r="K211" i="10"/>
  <c r="D275" i="10"/>
  <c r="M381" i="10"/>
  <c r="D193" i="10"/>
  <c r="I160" i="10"/>
  <c r="C421" i="10"/>
  <c r="K448" i="10"/>
  <c r="L393" i="10"/>
  <c r="K294" i="10"/>
  <c r="L250" i="10"/>
  <c r="I216" i="10"/>
  <c r="K379" i="10"/>
  <c r="H184" i="10"/>
  <c r="M425" i="10"/>
  <c r="M358" i="10"/>
  <c r="I177" i="10"/>
  <c r="L184" i="10"/>
  <c r="H328" i="10"/>
  <c r="K386" i="10"/>
  <c r="C447" i="10"/>
  <c r="M260" i="10"/>
  <c r="J191" i="10"/>
  <c r="C408" i="10"/>
  <c r="K460" i="10"/>
  <c r="E242" i="10"/>
  <c r="L238" i="10"/>
  <c r="L160" i="10"/>
  <c r="G412" i="10"/>
  <c r="I341" i="10"/>
  <c r="M160" i="10"/>
  <c r="J205" i="10"/>
  <c r="D281" i="10"/>
  <c r="G278" i="10"/>
  <c r="C239" i="10"/>
  <c r="E216" i="10"/>
  <c r="K327" i="10"/>
  <c r="F459" i="10"/>
  <c r="F284" i="10"/>
  <c r="L298" i="10"/>
  <c r="H175" i="10"/>
  <c r="J457" i="10"/>
  <c r="H181" i="10"/>
  <c r="D254" i="10"/>
  <c r="L418" i="10"/>
  <c r="H392" i="10"/>
  <c r="D329" i="10"/>
  <c r="C280" i="10"/>
  <c r="F224" i="10"/>
  <c r="I293" i="10"/>
  <c r="H414" i="10"/>
  <c r="G395" i="10"/>
  <c r="L437" i="10"/>
  <c r="H282" i="10"/>
  <c r="K209" i="10"/>
  <c r="E250" i="10"/>
  <c r="F438" i="10"/>
  <c r="J368" i="10"/>
  <c r="I321" i="10"/>
  <c r="C275" i="10"/>
  <c r="L254" i="10"/>
  <c r="L428" i="10"/>
  <c r="K365" i="10"/>
  <c r="E381" i="10"/>
  <c r="M374" i="10"/>
  <c r="J303" i="10"/>
  <c r="H333" i="10"/>
  <c r="E224" i="10"/>
  <c r="I399" i="10"/>
  <c r="G431" i="10"/>
  <c r="M181" i="10"/>
  <c r="E269" i="10"/>
  <c r="E305" i="10"/>
  <c r="D184" i="10"/>
  <c r="G448" i="10"/>
  <c r="I393" i="10"/>
  <c r="D294" i="10"/>
  <c r="F250" i="10"/>
  <c r="H216" i="10"/>
  <c r="G379" i="10"/>
  <c r="E184" i="10"/>
  <c r="F458" i="10"/>
  <c r="L425" i="10"/>
  <c r="K358" i="10"/>
  <c r="C177" i="10"/>
  <c r="K184" i="10"/>
  <c r="E328" i="10"/>
  <c r="E386" i="10"/>
  <c r="M447" i="10"/>
  <c r="K260" i="10"/>
  <c r="I191" i="10"/>
  <c r="M408" i="10"/>
  <c r="H460" i="10"/>
  <c r="C242" i="10"/>
  <c r="H271" i="10"/>
  <c r="L434" i="10"/>
  <c r="H412" i="10"/>
  <c r="H341" i="10"/>
  <c r="L205" i="10"/>
  <c r="I372" i="10"/>
  <c r="L278" i="10"/>
  <c r="L189" i="10"/>
  <c r="M327" i="10"/>
  <c r="E459" i="10"/>
  <c r="D284" i="10"/>
  <c r="J298" i="10"/>
  <c r="G175" i="10"/>
  <c r="I457" i="10"/>
  <c r="I319" i="10"/>
  <c r="G181" i="10"/>
  <c r="E254" i="10"/>
  <c r="J418" i="10"/>
  <c r="M392" i="10"/>
  <c r="C329" i="10"/>
  <c r="H280" i="10"/>
  <c r="M224" i="10"/>
  <c r="D293" i="10"/>
  <c r="C414" i="10"/>
  <c r="J437" i="10"/>
  <c r="E282" i="10"/>
  <c r="J209" i="10"/>
  <c r="H438" i="10"/>
  <c r="I368" i="10"/>
  <c r="I354" i="10"/>
  <c r="H321" i="10"/>
  <c r="J254" i="10"/>
  <c r="J428" i="10"/>
  <c r="C365" i="10"/>
  <c r="D381" i="10"/>
  <c r="I346" i="10"/>
  <c r="L374" i="10"/>
  <c r="K231" i="10"/>
  <c r="I303" i="10"/>
  <c r="D209" i="10"/>
  <c r="H399" i="10"/>
  <c r="F431" i="10"/>
  <c r="M305" i="10"/>
  <c r="J333" i="10"/>
  <c r="E175" i="10"/>
  <c r="M205" i="10"/>
  <c r="L421" i="10"/>
  <c r="L448" i="10"/>
  <c r="H393" i="10"/>
  <c r="J250" i="10"/>
  <c r="G216" i="10"/>
  <c r="K193" i="10"/>
  <c r="E379" i="10"/>
  <c r="M189" i="10"/>
  <c r="L458" i="10"/>
  <c r="J425" i="10"/>
  <c r="H358" i="10"/>
  <c r="J238" i="10"/>
  <c r="J184" i="10"/>
  <c r="K189" i="10"/>
  <c r="J328" i="10"/>
  <c r="I386" i="10"/>
  <c r="D447" i="10"/>
  <c r="G191" i="10"/>
  <c r="K408" i="10"/>
  <c r="M460" i="10"/>
  <c r="F242" i="10"/>
  <c r="J434" i="10"/>
  <c r="F412" i="10"/>
  <c r="G341" i="10"/>
  <c r="F281" i="10"/>
  <c r="G372" i="10"/>
  <c r="J278" i="10"/>
  <c r="K183" i="10"/>
  <c r="F327" i="10"/>
  <c r="C459" i="10"/>
  <c r="I333" i="10"/>
  <c r="C284" i="10"/>
  <c r="I298" i="10"/>
  <c r="M175" i="10"/>
  <c r="E457" i="10"/>
  <c r="E319" i="10"/>
  <c r="K437" i="10"/>
  <c r="I418" i="10"/>
  <c r="J392" i="10"/>
  <c r="M280" i="10"/>
  <c r="L224" i="10"/>
  <c r="M243" i="10"/>
  <c r="K239" i="10"/>
  <c r="M414" i="10"/>
  <c r="I437" i="10"/>
  <c r="D282" i="10"/>
  <c r="G209" i="10"/>
  <c r="E438" i="10"/>
  <c r="G368" i="10"/>
  <c r="D354" i="10"/>
  <c r="G321" i="10"/>
  <c r="F254" i="10"/>
  <c r="C211" i="10"/>
  <c r="D428" i="10"/>
  <c r="H365" i="10"/>
  <c r="C381" i="10"/>
  <c r="G346" i="10"/>
  <c r="K374" i="10"/>
  <c r="D231" i="10"/>
  <c r="H303" i="10"/>
  <c r="I305" i="10"/>
  <c r="F399" i="10"/>
  <c r="E431" i="10"/>
  <c r="L305" i="10"/>
  <c r="H160" i="10"/>
  <c r="F160" i="10"/>
  <c r="E177" i="10"/>
  <c r="H421" i="10"/>
  <c r="J448" i="10"/>
  <c r="G393" i="10"/>
  <c r="C250" i="10"/>
  <c r="F216" i="10"/>
  <c r="I193" i="10"/>
  <c r="C379" i="10"/>
  <c r="H238" i="10"/>
  <c r="J458" i="10"/>
  <c r="I425" i="10"/>
  <c r="F358" i="10"/>
  <c r="C238" i="10"/>
  <c r="G184" i="10"/>
  <c r="D278" i="10"/>
  <c r="D206" i="10"/>
  <c r="I328" i="10"/>
  <c r="G386" i="10"/>
  <c r="J408" i="10"/>
  <c r="L460" i="10"/>
  <c r="M242" i="10"/>
  <c r="D346" i="10"/>
  <c r="I434" i="10"/>
  <c r="J412" i="10"/>
  <c r="M341" i="10"/>
  <c r="E281" i="10"/>
  <c r="E372" i="10"/>
  <c r="F278" i="10"/>
  <c r="D258" i="10"/>
  <c r="F206" i="10"/>
  <c r="E327" i="10"/>
  <c r="G333" i="10"/>
  <c r="H298" i="10"/>
  <c r="C175" i="10"/>
  <c r="F457" i="10"/>
  <c r="L319" i="10"/>
  <c r="F418" i="10"/>
  <c r="C392" i="10"/>
  <c r="L329" i="10"/>
  <c r="K280" i="10"/>
  <c r="K224" i="10"/>
  <c r="K243" i="10"/>
  <c r="E303" i="10"/>
  <c r="H293" i="10"/>
  <c r="L414" i="10"/>
  <c r="L395" i="10"/>
  <c r="M437" i="10"/>
  <c r="L328" i="10"/>
  <c r="E205" i="10"/>
  <c r="G438" i="10"/>
  <c r="E368" i="10"/>
  <c r="L354" i="10"/>
  <c r="K321" i="10"/>
  <c r="C254" i="10"/>
  <c r="C428" i="10"/>
  <c r="D365" i="10"/>
  <c r="L346" i="10"/>
  <c r="H374" i="10"/>
  <c r="H211" i="10"/>
  <c r="C231" i="10"/>
  <c r="G303" i="10"/>
  <c r="H269" i="10"/>
  <c r="C191" i="10"/>
  <c r="E399" i="10"/>
  <c r="D431" i="10"/>
  <c r="J305" i="10"/>
  <c r="K250" i="10"/>
  <c r="J354" i="10"/>
  <c r="U767" i="17"/>
  <c r="H197" i="10"/>
  <c r="I421" i="10"/>
  <c r="M448" i="10"/>
  <c r="K393" i="10"/>
  <c r="M216" i="10"/>
  <c r="J193" i="10"/>
  <c r="F379" i="10"/>
  <c r="C206" i="10"/>
  <c r="I458" i="10"/>
  <c r="E425" i="10"/>
  <c r="E358" i="10"/>
  <c r="M238" i="10"/>
  <c r="L260" i="10"/>
  <c r="D197" i="10"/>
  <c r="K328" i="10"/>
  <c r="D386" i="10"/>
  <c r="J447" i="10"/>
  <c r="I408" i="10"/>
  <c r="G460" i="10"/>
  <c r="L242" i="10"/>
  <c r="L231" i="10"/>
  <c r="C181" i="10"/>
  <c r="F434" i="10"/>
  <c r="E412" i="10"/>
  <c r="L341" i="10"/>
  <c r="L245" i="10"/>
  <c r="H281" i="10"/>
  <c r="F372" i="10"/>
  <c r="C278" i="10"/>
  <c r="H258" i="10"/>
  <c r="F197" i="10"/>
  <c r="C327" i="10"/>
  <c r="L459" i="10"/>
  <c r="K333" i="10"/>
  <c r="G298" i="10"/>
  <c r="D457" i="10"/>
  <c r="M319" i="10"/>
  <c r="E294" i="10"/>
  <c r="M254" i="10"/>
  <c r="E418" i="10"/>
  <c r="J329" i="10"/>
  <c r="J280" i="10"/>
  <c r="L243" i="10"/>
  <c r="G293" i="10"/>
  <c r="I189" i="10"/>
  <c r="M395" i="10"/>
  <c r="F437" i="10"/>
  <c r="M271" i="10"/>
  <c r="G280" i="10"/>
  <c r="M250" i="10"/>
  <c r="C438" i="10"/>
  <c r="D368" i="10"/>
  <c r="K354" i="10"/>
  <c r="F321" i="10"/>
  <c r="M303" i="10"/>
  <c r="I206" i="10"/>
  <c r="K428" i="10"/>
  <c r="E365" i="10"/>
  <c r="M346" i="10"/>
  <c r="E374" i="10"/>
  <c r="F211" i="10"/>
  <c r="J231" i="10"/>
  <c r="F303" i="10"/>
  <c r="G399" i="10"/>
  <c r="K305" i="10"/>
  <c r="I278" i="10"/>
  <c r="D243" i="10"/>
  <c r="D211" i="10"/>
  <c r="M269" i="10"/>
  <c r="M211" i="10"/>
  <c r="J421" i="10"/>
  <c r="H448" i="10"/>
  <c r="F393" i="10"/>
  <c r="M294" i="10"/>
  <c r="L193" i="10"/>
  <c r="I260" i="10"/>
  <c r="C197" i="10"/>
  <c r="M458" i="10"/>
  <c r="C425" i="10"/>
  <c r="C358" i="10"/>
  <c r="G269" i="10"/>
  <c r="F238" i="10"/>
  <c r="H183" i="10"/>
  <c r="J189" i="10"/>
  <c r="D328" i="10"/>
  <c r="C386" i="10"/>
  <c r="L447" i="10"/>
  <c r="H408" i="10"/>
  <c r="J460" i="10"/>
  <c r="I242" i="10"/>
  <c r="J319" i="10"/>
  <c r="K434" i="10"/>
  <c r="M412" i="10"/>
  <c r="C341" i="10"/>
  <c r="M245" i="10"/>
  <c r="K281" i="10"/>
  <c r="K372" i="10"/>
  <c r="K457" i="10"/>
  <c r="D459" i="10"/>
  <c r="L333" i="10"/>
  <c r="H284" i="10"/>
  <c r="M298" i="10"/>
  <c r="C457" i="10"/>
  <c r="K319" i="10"/>
  <c r="F282" i="10"/>
  <c r="D418" i="10"/>
  <c r="G392" i="10"/>
  <c r="I329" i="10"/>
  <c r="E280" i="10"/>
  <c r="J243" i="10"/>
  <c r="K293" i="10"/>
  <c r="H254" i="10"/>
  <c r="D175" i="10"/>
  <c r="J414" i="10"/>
  <c r="J395" i="10"/>
  <c r="E437" i="10"/>
  <c r="L271" i="10"/>
  <c r="K438" i="10"/>
  <c r="H354" i="10"/>
  <c r="M321" i="10"/>
  <c r="G305" i="10"/>
  <c r="H209" i="10"/>
  <c r="H428" i="10"/>
  <c r="I381" i="10"/>
  <c r="K346" i="10"/>
  <c r="C374" i="10"/>
  <c r="G211" i="10"/>
  <c r="I231" i="10"/>
  <c r="K303" i="10"/>
  <c r="E243" i="10"/>
  <c r="I183" i="10"/>
  <c r="M431" i="10"/>
  <c r="D305" i="10"/>
  <c r="C183" i="10"/>
  <c r="D191" i="10"/>
  <c r="E238" i="10"/>
  <c r="F209" i="10"/>
  <c r="G421" i="10"/>
  <c r="E448" i="10"/>
  <c r="D393" i="10"/>
  <c r="L294" i="10"/>
  <c r="G193" i="10"/>
  <c r="E271" i="10"/>
  <c r="F191" i="10"/>
  <c r="K458" i="10"/>
  <c r="D425" i="10"/>
  <c r="I269" i="10"/>
  <c r="G238" i="10"/>
  <c r="G183" i="10"/>
  <c r="H177" i="10"/>
  <c r="C328" i="10"/>
  <c r="I447" i="10"/>
  <c r="F408" i="10"/>
  <c r="D460" i="10"/>
  <c r="K242" i="10"/>
  <c r="L365" i="10"/>
  <c r="D216" i="10"/>
  <c r="H434" i="10"/>
  <c r="L412" i="10"/>
  <c r="K245" i="10"/>
  <c r="C281" i="10"/>
  <c r="M372" i="10"/>
  <c r="J459" i="10"/>
  <c r="D333" i="10"/>
  <c r="E284" i="10"/>
  <c r="K298" i="10"/>
  <c r="F319" i="10"/>
  <c r="F392" i="10"/>
  <c r="H329" i="10"/>
  <c r="L280" i="10"/>
  <c r="I243" i="10"/>
  <c r="M184" i="10"/>
  <c r="F293" i="10"/>
  <c r="D205" i="10"/>
  <c r="I414" i="10"/>
  <c r="I395" i="10"/>
  <c r="D437" i="10"/>
  <c r="K271" i="10"/>
  <c r="I327" i="10"/>
  <c r="M368" i="10"/>
  <c r="F354" i="10"/>
  <c r="M275" i="10"/>
  <c r="G250" i="10"/>
  <c r="L183" i="10"/>
  <c r="G428" i="10"/>
  <c r="G381" i="10"/>
  <c r="H346" i="10"/>
  <c r="J211" i="10"/>
  <c r="H231" i="10"/>
  <c r="D399" i="10"/>
  <c r="L431" i="10"/>
  <c r="C305" i="10"/>
  <c r="E258" i="10"/>
  <c r="C193" i="10"/>
  <c r="C209" i="10"/>
  <c r="V751" i="17"/>
  <c r="D379" i="10"/>
  <c r="C448" i="10"/>
  <c r="J294" i="10"/>
  <c r="F260" i="10"/>
  <c r="D269" i="10"/>
  <c r="G177" i="10"/>
  <c r="G271" i="10"/>
  <c r="M206" i="10"/>
  <c r="E408" i="10"/>
  <c r="G434" i="10"/>
  <c r="J245" i="10"/>
  <c r="L372" i="10"/>
  <c r="C298" i="10"/>
  <c r="E333" i="10"/>
  <c r="C319" i="10"/>
  <c r="K258" i="10"/>
  <c r="I280" i="10"/>
  <c r="H243" i="10"/>
  <c r="H395" i="10"/>
  <c r="J271" i="10"/>
  <c r="L282" i="10"/>
  <c r="D245" i="10"/>
  <c r="E354" i="10"/>
  <c r="K275" i="10"/>
  <c r="L211" i="10"/>
  <c r="I211" i="10"/>
  <c r="L269" i="10"/>
  <c r="F305" i="10"/>
  <c r="M197" i="10"/>
  <c r="C184" i="10"/>
  <c r="V794" i="17"/>
  <c r="V770" i="17"/>
  <c r="V734" i="17"/>
  <c r="W719" i="17"/>
  <c r="S719" i="17"/>
  <c r="V719" i="17" s="1"/>
  <c r="R785" i="17"/>
  <c r="Z785" i="17" s="1"/>
  <c r="Y785" i="17" s="1"/>
  <c r="U723" i="17"/>
  <c r="R719" i="17"/>
  <c r="U760" i="17"/>
  <c r="V782" i="17"/>
  <c r="V764" i="17"/>
  <c r="V720" i="17"/>
  <c r="U784" i="17"/>
  <c r="U769" i="17"/>
  <c r="U772" i="17"/>
  <c r="U730" i="17"/>
  <c r="E165" i="10"/>
  <c r="I272" i="10"/>
  <c r="U746" i="17"/>
  <c r="V731" i="17"/>
  <c r="H262" i="10"/>
  <c r="K262" i="10"/>
  <c r="V758" i="17"/>
  <c r="L262" i="10"/>
  <c r="V733" i="17"/>
  <c r="C262" i="10"/>
  <c r="R787" i="17"/>
  <c r="Z787" i="17" s="1"/>
  <c r="O730" i="17"/>
  <c r="R730" i="17"/>
  <c r="Z730" i="17" s="1"/>
  <c r="Y730" i="17" s="1"/>
  <c r="O723" i="17"/>
  <c r="R723" i="17"/>
  <c r="Z723" i="17" s="1"/>
  <c r="Y723" i="17" s="1"/>
  <c r="U734" i="17"/>
  <c r="O765" i="17"/>
  <c r="R765" i="17"/>
  <c r="Z765" i="17" s="1"/>
  <c r="Y765" i="17" s="1"/>
  <c r="O722" i="17"/>
  <c r="R722" i="17"/>
  <c r="Z722" i="17" s="1"/>
  <c r="Y722" i="17" s="1"/>
  <c r="V757" i="17"/>
  <c r="U778" i="17"/>
  <c r="O732" i="17"/>
  <c r="R732" i="17"/>
  <c r="Z732" i="17" s="1"/>
  <c r="Y732" i="17" s="1"/>
  <c r="O793" i="17"/>
  <c r="R793" i="17"/>
  <c r="Z793" i="17" s="1"/>
  <c r="Y793" i="17" s="1"/>
  <c r="V739" i="17"/>
  <c r="V753" i="17"/>
  <c r="O721" i="17"/>
  <c r="R721" i="17"/>
  <c r="Z721" i="17" s="1"/>
  <c r="Y721" i="17" s="1"/>
  <c r="O755" i="17"/>
  <c r="R755" i="17"/>
  <c r="Z755" i="17" s="1"/>
  <c r="Y755" i="17" s="1"/>
  <c r="V729" i="17"/>
  <c r="V735" i="17"/>
  <c r="V766" i="17"/>
  <c r="V740" i="17"/>
  <c r="V721" i="17"/>
  <c r="O760" i="17"/>
  <c r="R760" i="17"/>
  <c r="Z760" i="17" s="1"/>
  <c r="Y760" i="17" s="1"/>
  <c r="U745" i="17"/>
  <c r="V754" i="17"/>
  <c r="R788" i="17"/>
  <c r="Z788" i="17" s="1"/>
  <c r="Y788" i="17" s="1"/>
  <c r="V796" i="17"/>
  <c r="U795" i="17"/>
  <c r="V795" i="17"/>
  <c r="O794" i="17"/>
  <c r="R794" i="17"/>
  <c r="Z794" i="17" s="1"/>
  <c r="Y794" i="17" s="1"/>
  <c r="V792" i="17"/>
  <c r="U790" i="17"/>
  <c r="V790" i="17"/>
  <c r="V789" i="17"/>
  <c r="V783" i="17"/>
  <c r="O782" i="17"/>
  <c r="R782" i="17"/>
  <c r="Z782" i="17" s="1"/>
  <c r="Y782" i="17" s="1"/>
  <c r="O780" i="17"/>
  <c r="Q780" i="17"/>
  <c r="S780" i="17"/>
  <c r="V780" i="17" s="1"/>
  <c r="U779" i="17"/>
  <c r="V779" i="17"/>
  <c r="V778" i="17"/>
  <c r="V775" i="17"/>
  <c r="O766" i="17"/>
  <c r="R766" i="17"/>
  <c r="Z766" i="17" s="1"/>
  <c r="Y766" i="17" s="1"/>
  <c r="O764" i="17"/>
  <c r="R764" i="17"/>
  <c r="Z764" i="17" s="1"/>
  <c r="Y764" i="17" s="1"/>
  <c r="V763" i="17"/>
  <c r="U761" i="17"/>
  <c r="V761" i="17"/>
  <c r="V759" i="17"/>
  <c r="O754" i="17"/>
  <c r="R754" i="17"/>
  <c r="Z754" i="17" s="1"/>
  <c r="Y754" i="17" s="1"/>
  <c r="O753" i="17"/>
  <c r="R753" i="17"/>
  <c r="Z753" i="17" s="1"/>
  <c r="Y753" i="17" s="1"/>
  <c r="U752" i="17"/>
  <c r="V752" i="17"/>
  <c r="O751" i="17"/>
  <c r="R751" i="17"/>
  <c r="Z751" i="17" s="1"/>
  <c r="O748" i="17"/>
  <c r="R748" i="17"/>
  <c r="Z748" i="17" s="1"/>
  <c r="Y748" i="17" s="1"/>
  <c r="U747" i="17"/>
  <c r="V747" i="17"/>
  <c r="O746" i="17"/>
  <c r="R746" i="17"/>
  <c r="Z746" i="17" s="1"/>
  <c r="Y746" i="17" s="1"/>
  <c r="O745" i="17"/>
  <c r="R745" i="17"/>
  <c r="Z745" i="17" s="1"/>
  <c r="Y745" i="17" s="1"/>
  <c r="U743" i="17"/>
  <c r="V743" i="17"/>
  <c r="O741" i="17"/>
  <c r="R741" i="17"/>
  <c r="Z741" i="17" s="1"/>
  <c r="Y741" i="17" s="1"/>
  <c r="O740" i="17"/>
  <c r="R740" i="17"/>
  <c r="Z740" i="17" s="1"/>
  <c r="Y740" i="17" s="1"/>
  <c r="O739" i="17"/>
  <c r="R739" i="17"/>
  <c r="Z739" i="17" s="1"/>
  <c r="U737" i="17"/>
  <c r="V737" i="17"/>
  <c r="V736" i="17"/>
  <c r="O735" i="17"/>
  <c r="R735" i="17"/>
  <c r="Z735" i="17" s="1"/>
  <c r="Y735" i="17" s="1"/>
  <c r="O733" i="17"/>
  <c r="R733" i="17"/>
  <c r="Z733" i="17" s="1"/>
  <c r="Y733" i="17" s="1"/>
  <c r="O731" i="17"/>
  <c r="R731" i="17"/>
  <c r="Z731" i="17" s="1"/>
  <c r="Y731" i="17" s="1"/>
  <c r="O729" i="17"/>
  <c r="R729" i="17"/>
  <c r="Z729" i="17" s="1"/>
  <c r="Y729" i="17" s="1"/>
  <c r="O720" i="17"/>
  <c r="R720" i="17"/>
  <c r="Z720" i="17" s="1"/>
  <c r="Y720" i="17" s="1"/>
  <c r="U719" i="17"/>
  <c r="Q718" i="17"/>
  <c r="R718" i="17"/>
  <c r="X718" i="17" s="1"/>
  <c r="S718" i="17"/>
  <c r="V718" i="17" s="1"/>
  <c r="W718" i="17"/>
  <c r="Q717" i="17"/>
  <c r="R717" i="17"/>
  <c r="S717" i="17"/>
  <c r="V717" i="17" s="1"/>
  <c r="W717" i="17"/>
  <c r="Q716" i="17"/>
  <c r="S716" i="17"/>
  <c r="V716" i="17" s="1"/>
  <c r="R716" i="17"/>
  <c r="W716" i="17"/>
  <c r="Q715" i="17"/>
  <c r="U715" i="17" s="1"/>
  <c r="S715" i="17"/>
  <c r="V715" i="17" s="1"/>
  <c r="R715" i="17"/>
  <c r="W715" i="17"/>
  <c r="N140" i="20"/>
  <c r="O140" i="20" s="1"/>
  <c r="P140" i="20" s="1"/>
  <c r="H429" i="10"/>
  <c r="G402" i="10"/>
  <c r="E350" i="10"/>
  <c r="C273" i="10"/>
  <c r="H353" i="10"/>
  <c r="H343" i="10"/>
  <c r="F382" i="10"/>
  <c r="E345" i="10"/>
  <c r="L182" i="10"/>
  <c r="I217" i="10"/>
  <c r="H416" i="10"/>
  <c r="H173" i="10"/>
  <c r="I289" i="10"/>
  <c r="M286" i="10"/>
  <c r="H325" i="10"/>
  <c r="J295" i="10"/>
  <c r="K311" i="10"/>
  <c r="M247" i="10"/>
  <c r="D429" i="10"/>
  <c r="J194" i="10"/>
  <c r="E347" i="10"/>
  <c r="D283" i="10"/>
  <c r="K351" i="10"/>
  <c r="K187" i="10"/>
  <c r="L465" i="10"/>
  <c r="D404" i="10"/>
  <c r="L416" i="10"/>
  <c r="H338" i="10"/>
  <c r="D267" i="10"/>
  <c r="K265" i="10"/>
  <c r="L208" i="10"/>
  <c r="M342" i="10"/>
  <c r="E246" i="10"/>
  <c r="F274" i="10"/>
  <c r="I171" i="10"/>
  <c r="C225" i="10"/>
  <c r="J390" i="10"/>
  <c r="H169" i="10"/>
  <c r="F167" i="10"/>
  <c r="H265" i="10"/>
  <c r="J417" i="10"/>
  <c r="C347" i="10"/>
  <c r="D351" i="10"/>
  <c r="G187" i="10"/>
  <c r="J465" i="10"/>
  <c r="L422" i="10"/>
  <c r="D338" i="10"/>
  <c r="G366" i="10"/>
  <c r="H326" i="10"/>
  <c r="G249" i="10"/>
  <c r="G342" i="10"/>
  <c r="L291" i="10"/>
  <c r="M171" i="10"/>
  <c r="G433" i="10"/>
  <c r="F289" i="10"/>
  <c r="F169" i="10"/>
  <c r="L167" i="10"/>
  <c r="G246" i="10"/>
  <c r="K417" i="10"/>
  <c r="I390" i="10"/>
  <c r="G347" i="10"/>
  <c r="C214" i="10"/>
  <c r="J252" i="10"/>
  <c r="E182" i="10"/>
  <c r="D422" i="10"/>
  <c r="C194" i="10"/>
  <c r="C326" i="10"/>
  <c r="J366" i="10"/>
  <c r="F332" i="10"/>
  <c r="G207" i="10"/>
  <c r="E400" i="10"/>
  <c r="M371" i="10"/>
  <c r="C342" i="10"/>
  <c r="I445" i="10"/>
  <c r="K291" i="10"/>
  <c r="E265" i="10"/>
  <c r="C210" i="10"/>
  <c r="G229" i="10"/>
  <c r="M210" i="10"/>
  <c r="K256" i="10"/>
  <c r="L233" i="10"/>
  <c r="F464" i="10"/>
  <c r="E443" i="10"/>
  <c r="F398" i="10"/>
  <c r="L221" i="10"/>
  <c r="L213" i="10"/>
  <c r="G360" i="10"/>
  <c r="D400" i="10"/>
  <c r="C445" i="10"/>
  <c r="E367" i="10"/>
  <c r="D213" i="10"/>
  <c r="K371" i="10"/>
  <c r="M313" i="10"/>
  <c r="I233" i="10"/>
  <c r="I464" i="10"/>
  <c r="K443" i="10"/>
  <c r="G398" i="10"/>
  <c r="G221" i="10"/>
  <c r="I213" i="10"/>
  <c r="K360" i="10"/>
  <c r="E343" i="10"/>
  <c r="G323" i="10"/>
  <c r="H249" i="10"/>
  <c r="D289" i="10"/>
  <c r="M225" i="10"/>
  <c r="I442" i="10"/>
  <c r="M366" i="10"/>
  <c r="E323" i="10"/>
  <c r="J313" i="10"/>
  <c r="G464" i="10"/>
  <c r="M384" i="10"/>
  <c r="H267" i="10"/>
  <c r="J450" i="10"/>
  <c r="J360" i="10"/>
  <c r="E316" i="10"/>
  <c r="M419" i="10"/>
  <c r="M456" i="10"/>
  <c r="K403" i="10"/>
  <c r="I274" i="10"/>
  <c r="H187" i="10"/>
  <c r="C221" i="10"/>
  <c r="M287" i="10"/>
  <c r="L225" i="10"/>
  <c r="F442" i="10"/>
  <c r="C366" i="10"/>
  <c r="K323" i="10"/>
  <c r="G313" i="10"/>
  <c r="J289" i="10"/>
  <c r="H384" i="10"/>
  <c r="H450" i="10"/>
  <c r="H380" i="10"/>
  <c r="F316" i="10"/>
  <c r="I419" i="10"/>
  <c r="J456" i="10"/>
  <c r="E403" i="10"/>
  <c r="H433" i="10"/>
  <c r="M334" i="10"/>
  <c r="D304" i="10"/>
  <c r="G350" i="10"/>
  <c r="G343" i="10"/>
  <c r="H289" i="10"/>
  <c r="I345" i="10"/>
  <c r="H225" i="10"/>
  <c r="H442" i="10"/>
  <c r="G295" i="10"/>
  <c r="G286" i="10"/>
  <c r="C450" i="10"/>
  <c r="J380" i="10"/>
  <c r="C316" i="10"/>
  <c r="H419" i="10"/>
  <c r="F334" i="10"/>
  <c r="J304" i="10"/>
  <c r="J402" i="10"/>
  <c r="F249" i="10"/>
  <c r="J429" i="10"/>
  <c r="M350" i="10"/>
  <c r="G169" i="10"/>
  <c r="M167" i="10"/>
  <c r="M422" i="10"/>
  <c r="H417" i="10"/>
  <c r="F390" i="10"/>
  <c r="D347" i="10"/>
  <c r="H229" i="10"/>
  <c r="K353" i="10"/>
  <c r="L351" i="10"/>
  <c r="E382" i="10"/>
  <c r="G345" i="10"/>
  <c r="K225" i="10"/>
  <c r="J187" i="10"/>
  <c r="G465" i="10"/>
  <c r="L256" i="10"/>
  <c r="M442" i="10"/>
  <c r="K366" i="10"/>
  <c r="I323" i="10"/>
  <c r="J217" i="10"/>
  <c r="L313" i="10"/>
  <c r="F422" i="10"/>
  <c r="C404" i="10"/>
  <c r="I416" i="10"/>
  <c r="M233" i="10"/>
  <c r="C338" i="10"/>
  <c r="I173" i="10"/>
  <c r="C464" i="10"/>
  <c r="I443" i="10"/>
  <c r="H398" i="10"/>
  <c r="L384" i="10"/>
  <c r="K221" i="10"/>
  <c r="F286" i="10"/>
  <c r="M213" i="10"/>
  <c r="D246" i="10"/>
  <c r="I450" i="10"/>
  <c r="C380" i="10"/>
  <c r="H360" i="10"/>
  <c r="D316" i="10"/>
  <c r="C267" i="10"/>
  <c r="C343" i="10"/>
  <c r="D325" i="10"/>
  <c r="G274" i="10"/>
  <c r="E194" i="10"/>
  <c r="L456" i="10"/>
  <c r="D403" i="10"/>
  <c r="E332" i="10"/>
  <c r="K208" i="10"/>
  <c r="E295" i="10"/>
  <c r="F311" i="10"/>
  <c r="E229" i="10"/>
  <c r="K400" i="10"/>
  <c r="G371" i="10"/>
  <c r="J342" i="10"/>
  <c r="H198" i="10"/>
  <c r="D445" i="10"/>
  <c r="G367" i="10"/>
  <c r="J291" i="10"/>
  <c r="K334" i="10"/>
  <c r="C274" i="10"/>
  <c r="H171" i="10"/>
  <c r="G265" i="10"/>
  <c r="C429" i="10"/>
  <c r="F402" i="10"/>
  <c r="H350" i="10"/>
  <c r="G287" i="10"/>
  <c r="C169" i="10"/>
  <c r="L194" i="10"/>
  <c r="K167" i="10"/>
  <c r="E390" i="10"/>
  <c r="J347" i="10"/>
  <c r="H283" i="10"/>
  <c r="F229" i="10"/>
  <c r="D353" i="10"/>
  <c r="M265" i="10"/>
  <c r="H351" i="10"/>
  <c r="D382" i="10"/>
  <c r="L345" i="10"/>
  <c r="G210" i="10"/>
  <c r="H252" i="10"/>
  <c r="J225" i="10"/>
  <c r="I465" i="10"/>
  <c r="K214" i="10"/>
  <c r="L442" i="10"/>
  <c r="L323" i="10"/>
  <c r="H217" i="10"/>
  <c r="I313" i="10"/>
  <c r="L214" i="10"/>
  <c r="E422" i="10"/>
  <c r="L404" i="10"/>
  <c r="D416" i="10"/>
  <c r="K233" i="10"/>
  <c r="J338" i="10"/>
  <c r="G173" i="10"/>
  <c r="C443" i="10"/>
  <c r="E398" i="10"/>
  <c r="D384" i="10"/>
  <c r="J221" i="10"/>
  <c r="C286" i="10"/>
  <c r="K213" i="10"/>
  <c r="L249" i="10"/>
  <c r="E450" i="10"/>
  <c r="E380" i="10"/>
  <c r="M360" i="10"/>
  <c r="E326" i="10"/>
  <c r="L419" i="10"/>
  <c r="J325" i="10"/>
  <c r="D229" i="10"/>
  <c r="I456" i="10"/>
  <c r="M403" i="10"/>
  <c r="D332" i="10"/>
  <c r="J208" i="10"/>
  <c r="M295" i="10"/>
  <c r="L207" i="10"/>
  <c r="H400" i="10"/>
  <c r="L371" i="10"/>
  <c r="I342" i="10"/>
  <c r="E213" i="10"/>
  <c r="H367" i="10"/>
  <c r="D291" i="10"/>
  <c r="E334" i="10"/>
  <c r="G171" i="10"/>
  <c r="M304" i="10"/>
  <c r="E225" i="10"/>
  <c r="E429" i="10"/>
  <c r="E402" i="10"/>
  <c r="F350" i="10"/>
  <c r="D287" i="10"/>
  <c r="K194" i="10"/>
  <c r="C167" i="10"/>
  <c r="H246" i="10"/>
  <c r="L417" i="10"/>
  <c r="H390" i="10"/>
  <c r="I347" i="10"/>
  <c r="E283" i="10"/>
  <c r="I214" i="10"/>
  <c r="C353" i="10"/>
  <c r="F351" i="10"/>
  <c r="M345" i="10"/>
  <c r="F210" i="10"/>
  <c r="G252" i="10"/>
  <c r="I225" i="10"/>
  <c r="H465" i="10"/>
  <c r="K442" i="10"/>
  <c r="M323" i="10"/>
  <c r="M256" i="10"/>
  <c r="G217" i="10"/>
  <c r="H313" i="10"/>
  <c r="C422" i="10"/>
  <c r="K404" i="10"/>
  <c r="E416" i="10"/>
  <c r="J233" i="10"/>
  <c r="I338" i="10"/>
  <c r="F173" i="10"/>
  <c r="D217" i="10"/>
  <c r="M443" i="10"/>
  <c r="C398" i="10"/>
  <c r="C384" i="10"/>
  <c r="I221" i="10"/>
  <c r="E286" i="10"/>
  <c r="J213" i="10"/>
  <c r="L283" i="10"/>
  <c r="L186" i="10"/>
  <c r="G450" i="10"/>
  <c r="D380" i="10"/>
  <c r="L360" i="10"/>
  <c r="L326" i="10"/>
  <c r="K316" i="10"/>
  <c r="J419" i="10"/>
  <c r="I325" i="10"/>
  <c r="I291" i="10"/>
  <c r="M187" i="10"/>
  <c r="C456" i="10"/>
  <c r="L403" i="10"/>
  <c r="I208" i="10"/>
  <c r="L295" i="10"/>
  <c r="K207" i="10"/>
  <c r="E311" i="10"/>
  <c r="H256" i="10"/>
  <c r="F400" i="10"/>
  <c r="H342" i="10"/>
  <c r="E247" i="10"/>
  <c r="F367" i="10"/>
  <c r="D334" i="10"/>
  <c r="F171" i="10"/>
  <c r="L304" i="10"/>
  <c r="J332" i="10"/>
  <c r="L334" i="10"/>
  <c r="M402" i="10"/>
  <c r="C350" i="10"/>
  <c r="L287" i="10"/>
  <c r="C289" i="10"/>
  <c r="I194" i="10"/>
  <c r="L246" i="10"/>
  <c r="H208" i="10"/>
  <c r="I417" i="10"/>
  <c r="C390" i="10"/>
  <c r="C283" i="10"/>
  <c r="M214" i="10"/>
  <c r="C351" i="10"/>
  <c r="F345" i="10"/>
  <c r="E252" i="10"/>
  <c r="G225" i="10"/>
  <c r="M465" i="10"/>
  <c r="J343" i="10"/>
  <c r="I256" i="10"/>
  <c r="C233" i="10"/>
  <c r="G442" i="10"/>
  <c r="F323" i="10"/>
  <c r="C256" i="10"/>
  <c r="J182" i="10"/>
  <c r="K313" i="10"/>
  <c r="K274" i="10"/>
  <c r="F256" i="10"/>
  <c r="H422" i="10"/>
  <c r="H404" i="10"/>
  <c r="M416" i="10"/>
  <c r="H233" i="10"/>
  <c r="G338" i="10"/>
  <c r="I252" i="10"/>
  <c r="E464" i="10"/>
  <c r="H443" i="10"/>
  <c r="K384" i="10"/>
  <c r="F221" i="10"/>
  <c r="H286" i="10"/>
  <c r="H213" i="10"/>
  <c r="M246" i="10"/>
  <c r="G291" i="10"/>
  <c r="K450" i="10"/>
  <c r="F380" i="10"/>
  <c r="E360" i="10"/>
  <c r="K326" i="10"/>
  <c r="L316" i="10"/>
  <c r="M267" i="10"/>
  <c r="I343" i="10"/>
  <c r="G419" i="10"/>
  <c r="G325" i="10"/>
  <c r="E167" i="10"/>
  <c r="F456" i="10"/>
  <c r="I403" i="10"/>
  <c r="I295" i="10"/>
  <c r="I207" i="10"/>
  <c r="L311" i="10"/>
  <c r="G214" i="10"/>
  <c r="J400" i="10"/>
  <c r="H371" i="10"/>
  <c r="K342" i="10"/>
  <c r="J247" i="10"/>
  <c r="D171" i="10"/>
  <c r="M445" i="10"/>
  <c r="D367" i="10"/>
  <c r="L171" i="10"/>
  <c r="I304" i="10"/>
  <c r="L265" i="10"/>
  <c r="L433" i="10"/>
  <c r="D208" i="10"/>
  <c r="E214" i="10"/>
  <c r="D169" i="10"/>
  <c r="L402" i="10"/>
  <c r="K287" i="10"/>
  <c r="K289" i="10"/>
  <c r="M169" i="10"/>
  <c r="G194" i="10"/>
  <c r="J246" i="10"/>
  <c r="I382" i="10"/>
  <c r="G417" i="10"/>
  <c r="M390" i="10"/>
  <c r="M347" i="10"/>
  <c r="J283" i="10"/>
  <c r="F214" i="10"/>
  <c r="G247" i="10"/>
  <c r="D182" i="10"/>
  <c r="J351" i="10"/>
  <c r="M382" i="10"/>
  <c r="K345" i="10"/>
  <c r="M252" i="10"/>
  <c r="F225" i="10"/>
  <c r="E465" i="10"/>
  <c r="E442" i="10"/>
  <c r="I366" i="10"/>
  <c r="C323" i="10"/>
  <c r="J249" i="10"/>
  <c r="K182" i="10"/>
  <c r="F313" i="10"/>
  <c r="G422" i="10"/>
  <c r="G404" i="10"/>
  <c r="J416" i="10"/>
  <c r="G233" i="10"/>
  <c r="M338" i="10"/>
  <c r="E267" i="10"/>
  <c r="K464" i="10"/>
  <c r="G443" i="10"/>
  <c r="D398" i="10"/>
  <c r="F384" i="10"/>
  <c r="H221" i="10"/>
  <c r="K286" i="10"/>
  <c r="G213" i="10"/>
  <c r="F360" i="10"/>
  <c r="E217" i="10"/>
  <c r="D450" i="10"/>
  <c r="M380" i="10"/>
  <c r="D360" i="10"/>
  <c r="G326" i="10"/>
  <c r="M316" i="10"/>
  <c r="K267" i="10"/>
  <c r="M343" i="10"/>
  <c r="E419" i="10"/>
  <c r="M325" i="10"/>
  <c r="H456" i="10"/>
  <c r="J403" i="10"/>
  <c r="H295" i="10"/>
  <c r="D207" i="10"/>
  <c r="J311" i="10"/>
  <c r="H274" i="10"/>
  <c r="C400" i="10"/>
  <c r="F371" i="10"/>
  <c r="F342" i="10"/>
  <c r="K247" i="10"/>
  <c r="H323" i="10"/>
  <c r="J445" i="10"/>
  <c r="C367" i="10"/>
  <c r="H291" i="10"/>
  <c r="K171" i="10"/>
  <c r="H304" i="10"/>
  <c r="M433" i="10"/>
  <c r="K402" i="10"/>
  <c r="I287" i="10"/>
  <c r="E289" i="10"/>
  <c r="L169" i="10"/>
  <c r="J167" i="10"/>
  <c r="I246" i="10"/>
  <c r="M417" i="10"/>
  <c r="L390" i="10"/>
  <c r="K347" i="10"/>
  <c r="G283" i="10"/>
  <c r="M273" i="10"/>
  <c r="M229" i="10"/>
  <c r="J353" i="10"/>
  <c r="E351" i="10"/>
  <c r="L382" i="10"/>
  <c r="C345" i="10"/>
  <c r="C252" i="10"/>
  <c r="D465" i="10"/>
  <c r="H247" i="10"/>
  <c r="E171" i="10"/>
  <c r="C442" i="10"/>
  <c r="D366" i="10"/>
  <c r="K249" i="10"/>
  <c r="I182" i="10"/>
  <c r="D313" i="10"/>
  <c r="M274" i="10"/>
  <c r="M404" i="10"/>
  <c r="F416" i="10"/>
  <c r="F233" i="10"/>
  <c r="L338" i="10"/>
  <c r="J273" i="10"/>
  <c r="L464" i="10"/>
  <c r="F443" i="10"/>
  <c r="M398" i="10"/>
  <c r="J384" i="10"/>
  <c r="F213" i="10"/>
  <c r="E256" i="10"/>
  <c r="L380" i="10"/>
  <c r="C360" i="10"/>
  <c r="J326" i="10"/>
  <c r="J316" i="10"/>
  <c r="L267" i="10"/>
  <c r="D343" i="10"/>
  <c r="F419" i="10"/>
  <c r="K325" i="10"/>
  <c r="G256" i="10"/>
  <c r="L210" i="10"/>
  <c r="K456" i="10"/>
  <c r="H403" i="10"/>
  <c r="H332" i="10"/>
  <c r="K295" i="10"/>
  <c r="C207" i="10"/>
  <c r="I311" i="10"/>
  <c r="L400" i="10"/>
  <c r="C371" i="10"/>
  <c r="D342" i="10"/>
  <c r="I247" i="10"/>
  <c r="J265" i="10"/>
  <c r="H445" i="10"/>
  <c r="J367" i="10"/>
  <c r="E291" i="10"/>
  <c r="J334" i="10"/>
  <c r="E274" i="10"/>
  <c r="G304" i="10"/>
  <c r="C433" i="10"/>
  <c r="H207" i="10"/>
  <c r="G382" i="10"/>
  <c r="M429" i="10"/>
  <c r="H402" i="10"/>
  <c r="J350" i="10"/>
  <c r="C287" i="10"/>
  <c r="K169" i="10"/>
  <c r="H186" i="10"/>
  <c r="H167" i="10"/>
  <c r="F246" i="10"/>
  <c r="C182" i="10"/>
  <c r="F417" i="10"/>
  <c r="K390" i="10"/>
  <c r="L347" i="10"/>
  <c r="F283" i="10"/>
  <c r="E273" i="10"/>
  <c r="K229" i="10"/>
  <c r="L353" i="10"/>
  <c r="E221" i="10"/>
  <c r="I351" i="10"/>
  <c r="K382" i="10"/>
  <c r="K252" i="10"/>
  <c r="F465" i="10"/>
  <c r="D442" i="10"/>
  <c r="H366" i="10"/>
  <c r="I249" i="10"/>
  <c r="G182" i="10"/>
  <c r="C313" i="10"/>
  <c r="D256" i="10"/>
  <c r="D233" i="10"/>
  <c r="J404" i="10"/>
  <c r="C416" i="10"/>
  <c r="K338" i="10"/>
  <c r="M173" i="10"/>
  <c r="J198" i="10"/>
  <c r="M464" i="10"/>
  <c r="D443" i="10"/>
  <c r="L398" i="10"/>
  <c r="E384" i="10"/>
  <c r="K210" i="10"/>
  <c r="M450" i="10"/>
  <c r="K380" i="10"/>
  <c r="I326" i="10"/>
  <c r="I316" i="10"/>
  <c r="J267" i="10"/>
  <c r="L343" i="10"/>
  <c r="D419" i="10"/>
  <c r="F325" i="10"/>
  <c r="E186" i="10"/>
  <c r="D456" i="10"/>
  <c r="F403" i="10"/>
  <c r="G332" i="10"/>
  <c r="F295" i="10"/>
  <c r="F207" i="10"/>
  <c r="H311" i="10"/>
  <c r="I371" i="10"/>
  <c r="E342" i="10"/>
  <c r="F247" i="10"/>
  <c r="I265" i="10"/>
  <c r="D198" i="10"/>
  <c r="L332" i="10"/>
  <c r="F187" i="10"/>
  <c r="K445" i="10"/>
  <c r="L367" i="10"/>
  <c r="C291" i="10"/>
  <c r="I334" i="10"/>
  <c r="D274" i="10"/>
  <c r="E304" i="10"/>
  <c r="M208" i="10"/>
  <c r="F429" i="10"/>
  <c r="C402" i="10"/>
  <c r="L350" i="10"/>
  <c r="E287" i="10"/>
  <c r="J169" i="10"/>
  <c r="G186" i="10"/>
  <c r="I167" i="10"/>
  <c r="C246" i="10"/>
  <c r="K283" i="10"/>
  <c r="C417" i="10"/>
  <c r="H347" i="10"/>
  <c r="I283" i="10"/>
  <c r="D273" i="10"/>
  <c r="L229" i="10"/>
  <c r="I353" i="10"/>
  <c r="L445" i="10"/>
  <c r="E198" i="10"/>
  <c r="E210" i="10"/>
  <c r="J382" i="10"/>
  <c r="C465" i="10"/>
  <c r="F198" i="10"/>
  <c r="F366" i="10"/>
  <c r="D249" i="10"/>
  <c r="M182" i="10"/>
  <c r="M217" i="10"/>
  <c r="I198" i="10"/>
  <c r="I210" i="10"/>
  <c r="F404" i="10"/>
  <c r="F338" i="10"/>
  <c r="L173" i="10"/>
  <c r="J210" i="10"/>
  <c r="J464" i="10"/>
  <c r="K398" i="10"/>
  <c r="I384" i="10"/>
  <c r="L286" i="10"/>
  <c r="K198" i="10"/>
  <c r="D186" i="10"/>
  <c r="F450" i="10"/>
  <c r="I380" i="10"/>
  <c r="F326" i="10"/>
  <c r="H316" i="10"/>
  <c r="I267" i="10"/>
  <c r="K343" i="10"/>
  <c r="C419" i="10"/>
  <c r="C325" i="10"/>
  <c r="G273" i="10"/>
  <c r="C187" i="10"/>
  <c r="E456" i="10"/>
  <c r="G403" i="10"/>
  <c r="M332" i="10"/>
  <c r="E207" i="10"/>
  <c r="G311" i="10"/>
  <c r="F194" i="10"/>
  <c r="I400" i="10"/>
  <c r="E371" i="10"/>
  <c r="D247" i="10"/>
  <c r="D265" i="10"/>
  <c r="M198" i="10"/>
  <c r="G445" i="10"/>
  <c r="M367" i="10"/>
  <c r="M291" i="10"/>
  <c r="H334" i="10"/>
  <c r="L274" i="10"/>
  <c r="K304" i="10"/>
  <c r="E187" i="10"/>
  <c r="G208" i="10"/>
  <c r="G429" i="10"/>
  <c r="I350" i="10"/>
  <c r="I169" i="10"/>
  <c r="G167" i="10"/>
  <c r="C198" i="10"/>
  <c r="I273" i="10"/>
  <c r="J229" i="10"/>
  <c r="F353" i="10"/>
  <c r="L187" i="10"/>
  <c r="E366" i="10"/>
  <c r="C249" i="10"/>
  <c r="H182" i="10"/>
  <c r="L217" i="10"/>
  <c r="K173" i="10"/>
  <c r="C186" i="10"/>
  <c r="H464" i="10"/>
  <c r="I286" i="10"/>
  <c r="D326" i="10"/>
  <c r="E249" i="10"/>
  <c r="K332" i="10"/>
  <c r="E208" i="10"/>
  <c r="C265" i="10"/>
  <c r="I262" i="10"/>
  <c r="J226" i="10"/>
  <c r="F262" i="10"/>
  <c r="D183" i="10"/>
  <c r="E192" i="10"/>
  <c r="I433" i="10"/>
  <c r="F252" i="10"/>
  <c r="D111" i="12"/>
  <c r="D164" i="12"/>
  <c r="D166" i="12" s="1"/>
  <c r="D167" i="12" s="1"/>
  <c r="D163" i="12"/>
  <c r="D162" i="12"/>
  <c r="K266" i="10"/>
  <c r="H193" i="10"/>
  <c r="J433" i="10"/>
  <c r="J262" i="10"/>
  <c r="D433" i="10"/>
  <c r="K356" i="10"/>
  <c r="D238" i="10"/>
  <c r="J345" i="10"/>
  <c r="H206" i="10"/>
  <c r="D462" i="10"/>
  <c r="L405" i="10"/>
  <c r="M222" i="10"/>
  <c r="C297" i="10"/>
  <c r="D180" i="10"/>
  <c r="K190" i="10"/>
  <c r="L463" i="10"/>
  <c r="E410" i="10"/>
  <c r="L273" i="10"/>
  <c r="C195" i="10"/>
  <c r="C363" i="10"/>
  <c r="C261" i="10"/>
  <c r="J180" i="10"/>
  <c r="F264" i="10"/>
  <c r="M397" i="10"/>
  <c r="D214" i="10"/>
  <c r="J161" i="10"/>
  <c r="L277" i="10"/>
  <c r="D241" i="10"/>
  <c r="C376" i="10"/>
  <c r="G344" i="10"/>
  <c r="H287" i="10"/>
  <c r="H273" i="10"/>
  <c r="G297" i="10"/>
  <c r="F186" i="10"/>
  <c r="I186" i="10"/>
  <c r="C375" i="10"/>
  <c r="M370" i="10"/>
  <c r="K315" i="10"/>
  <c r="J290" i="10"/>
  <c r="L174" i="10"/>
  <c r="K429" i="10"/>
  <c r="F407" i="10"/>
  <c r="J186" i="10"/>
  <c r="H202" i="10"/>
  <c r="J378" i="10"/>
  <c r="G255" i="10"/>
  <c r="H383" i="10"/>
  <c r="H250" i="10"/>
  <c r="I385" i="10"/>
  <c r="E433" i="10"/>
  <c r="K273" i="10"/>
  <c r="J287" i="10"/>
  <c r="E266" i="10"/>
  <c r="M266" i="10"/>
  <c r="L385" i="10"/>
  <c r="C344" i="10"/>
  <c r="L190" i="10"/>
  <c r="E462" i="10"/>
  <c r="E463" i="10"/>
  <c r="C204" i="10"/>
  <c r="L212" i="10"/>
  <c r="G410" i="10"/>
  <c r="F383" i="10"/>
  <c r="C277" i="10"/>
  <c r="L315" i="10"/>
  <c r="G195" i="10"/>
  <c r="H385" i="10"/>
  <c r="G397" i="10"/>
  <c r="M297" i="10"/>
  <c r="L261" i="10"/>
  <c r="L202" i="10"/>
  <c r="I378" i="10"/>
  <c r="C370" i="10"/>
  <c r="J174" i="10"/>
  <c r="K359" i="10"/>
  <c r="H161" i="10"/>
  <c r="J166" i="10"/>
  <c r="E215" i="10"/>
  <c r="G405" i="10"/>
  <c r="J277" i="10"/>
  <c r="D204" i="10"/>
  <c r="F315" i="10"/>
  <c r="M396" i="10"/>
  <c r="M164" i="10"/>
  <c r="E297" i="10"/>
  <c r="E264" i="10"/>
  <c r="I362" i="10"/>
  <c r="L454" i="10"/>
  <c r="I174" i="10"/>
  <c r="F359" i="10"/>
  <c r="H180" i="10"/>
  <c r="H285" i="10"/>
  <c r="G161" i="10"/>
  <c r="H166" i="10"/>
  <c r="H405" i="10"/>
  <c r="L391" i="10"/>
  <c r="J285" i="10"/>
  <c r="J396" i="10"/>
  <c r="L241" i="10"/>
  <c r="C411" i="10"/>
  <c r="M306" i="10"/>
  <c r="G362" i="10"/>
  <c r="H454" i="10"/>
  <c r="E180" i="10"/>
  <c r="E359" i="10"/>
  <c r="C168" i="10"/>
  <c r="H300" i="10"/>
  <c r="L306" i="10"/>
  <c r="C166" i="10"/>
  <c r="C218" i="10"/>
  <c r="E391" i="10"/>
  <c r="G285" i="10"/>
  <c r="I396" i="10"/>
  <c r="J241" i="10"/>
  <c r="L411" i="10"/>
  <c r="G251" i="10"/>
  <c r="E406" i="10"/>
  <c r="L397" i="10"/>
  <c r="J348" i="10"/>
  <c r="G454" i="10"/>
  <c r="D201" i="10"/>
  <c r="J339" i="10"/>
  <c r="I452" i="10"/>
  <c r="C389" i="10"/>
  <c r="I306" i="10"/>
  <c r="J315" i="10"/>
  <c r="F285" i="10"/>
  <c r="E218" i="10"/>
  <c r="I241" i="10"/>
  <c r="K411" i="10"/>
  <c r="H218" i="10"/>
  <c r="G289" i="10"/>
  <c r="H406" i="10"/>
  <c r="K348" i="10"/>
  <c r="L310" i="10"/>
  <c r="M251" i="10"/>
  <c r="I268" i="10"/>
  <c r="I201" i="10"/>
  <c r="C190" i="10"/>
  <c r="D166" i="10"/>
  <c r="I339" i="10"/>
  <c r="M203" i="10"/>
  <c r="I413" i="10"/>
  <c r="G452" i="10"/>
  <c r="I389" i="10"/>
  <c r="M259" i="10"/>
  <c r="E444" i="10"/>
  <c r="J223" i="10"/>
  <c r="M218" i="10"/>
  <c r="H196" i="10"/>
  <c r="F406" i="10"/>
  <c r="L348" i="10"/>
  <c r="J222" i="10"/>
  <c r="G310" i="10"/>
  <c r="L251" i="10"/>
  <c r="K268" i="10"/>
  <c r="F201" i="10"/>
  <c r="L337" i="10"/>
  <c r="K302" i="10"/>
  <c r="K203" i="10"/>
  <c r="H331" i="10"/>
  <c r="K236" i="10"/>
  <c r="G357" i="10"/>
  <c r="E413" i="10"/>
  <c r="K452" i="10"/>
  <c r="J389" i="10"/>
  <c r="E222" i="10"/>
  <c r="K259" i="10"/>
  <c r="F444" i="10"/>
  <c r="M439" i="10"/>
  <c r="H223" i="10"/>
  <c r="G218" i="10"/>
  <c r="H234" i="10"/>
  <c r="I331" i="10"/>
  <c r="D394" i="10"/>
  <c r="H222" i="10"/>
  <c r="F279" i="10"/>
  <c r="C268" i="10"/>
  <c r="F337" i="10"/>
  <c r="F302" i="10"/>
  <c r="J203" i="10"/>
  <c r="F331" i="10"/>
  <c r="J236" i="10"/>
  <c r="J317" i="10"/>
  <c r="E357" i="10"/>
  <c r="D413" i="10"/>
  <c r="I203" i="10"/>
  <c r="J259" i="10"/>
  <c r="L444" i="10"/>
  <c r="L196" i="10"/>
  <c r="H439" i="10"/>
  <c r="F223" i="10"/>
  <c r="I234" i="10"/>
  <c r="D168" i="10"/>
  <c r="D363" i="10"/>
  <c r="I394" i="10"/>
  <c r="L279" i="10"/>
  <c r="E337" i="10"/>
  <c r="D302" i="10"/>
  <c r="E285" i="10"/>
  <c r="D432" i="10"/>
  <c r="D331" i="10"/>
  <c r="I236" i="10"/>
  <c r="H317" i="10"/>
  <c r="J407" i="10"/>
  <c r="M355" i="10"/>
  <c r="L290" i="10"/>
  <c r="G196" i="10"/>
  <c r="G439" i="10"/>
  <c r="D202" i="10"/>
  <c r="E375" i="10"/>
  <c r="E236" i="10"/>
  <c r="E363" i="10"/>
  <c r="H394" i="10"/>
  <c r="K279" i="10"/>
  <c r="I344" i="10"/>
  <c r="M432" i="10"/>
  <c r="G317" i="10"/>
  <c r="H407" i="10"/>
  <c r="D212" i="10"/>
  <c r="J355" i="10"/>
  <c r="G290" i="10"/>
  <c r="K215" i="10"/>
  <c r="L383" i="10"/>
  <c r="K397" i="10"/>
  <c r="L289" i="10"/>
  <c r="D375" i="10"/>
  <c r="G406" i="10"/>
  <c r="J362" i="10"/>
  <c r="G202" i="10"/>
  <c r="G264" i="10"/>
  <c r="M363" i="10"/>
  <c r="L394" i="10"/>
  <c r="I348" i="10"/>
  <c r="I222" i="10"/>
  <c r="M279" i="10"/>
  <c r="K454" i="10"/>
  <c r="H344" i="10"/>
  <c r="M268" i="10"/>
  <c r="C201" i="10"/>
  <c r="H370" i="10"/>
  <c r="K337" i="10"/>
  <c r="L203" i="10"/>
  <c r="K174" i="10"/>
  <c r="K331" i="10"/>
  <c r="H359" i="10"/>
  <c r="L236" i="10"/>
  <c r="G180" i="10"/>
  <c r="I317" i="10"/>
  <c r="C462" i="10"/>
  <c r="I407" i="10"/>
  <c r="H413" i="10"/>
  <c r="I161" i="10"/>
  <c r="C463" i="10"/>
  <c r="D452" i="10"/>
  <c r="K389" i="10"/>
  <c r="L355" i="10"/>
  <c r="I166" i="10"/>
  <c r="H290" i="10"/>
  <c r="C410" i="10"/>
  <c r="G383" i="10"/>
  <c r="I405" i="10"/>
  <c r="L259" i="10"/>
  <c r="M277" i="10"/>
  <c r="G204" i="10"/>
  <c r="M444" i="10"/>
  <c r="M391" i="10"/>
  <c r="M315" i="10"/>
  <c r="K196" i="10"/>
  <c r="I285" i="10"/>
  <c r="H195" i="10"/>
  <c r="K439" i="10"/>
  <c r="J385" i="10"/>
  <c r="M204" i="10"/>
  <c r="D264" i="10"/>
  <c r="D376" i="10"/>
  <c r="D397" i="10"/>
  <c r="K396" i="10"/>
  <c r="I223" i="10"/>
  <c r="K241" i="10"/>
  <c r="M411" i="10"/>
  <c r="F218" i="10"/>
  <c r="H297" i="10"/>
  <c r="E196" i="10"/>
  <c r="D240" i="10"/>
  <c r="M202" i="10"/>
  <c r="I406" i="10"/>
  <c r="D362" i="10"/>
  <c r="E234" i="10"/>
  <c r="G270" i="10"/>
  <c r="K378" i="10"/>
  <c r="J363" i="10"/>
  <c r="C394" i="10"/>
  <c r="G348" i="10"/>
  <c r="J255" i="10"/>
  <c r="E310" i="10"/>
  <c r="M240" i="10"/>
  <c r="K251" i="10"/>
  <c r="J279" i="10"/>
  <c r="L297" i="10"/>
  <c r="C219" i="10"/>
  <c r="M196" i="10"/>
  <c r="E454" i="10"/>
  <c r="G378" i="10"/>
  <c r="H201" i="10"/>
  <c r="J219" i="10"/>
  <c r="I376" i="10"/>
  <c r="H339" i="10"/>
  <c r="C337" i="10"/>
  <c r="E302" i="10"/>
  <c r="J190" i="10"/>
  <c r="G203" i="10"/>
  <c r="C174" i="10"/>
  <c r="L432" i="10"/>
  <c r="C331" i="10"/>
  <c r="D359" i="10"/>
  <c r="H236" i="10"/>
  <c r="F215" i="10"/>
  <c r="D317" i="10"/>
  <c r="M462" i="10"/>
  <c r="E407" i="10"/>
  <c r="M357" i="10"/>
  <c r="G413" i="10"/>
  <c r="M168" i="10"/>
  <c r="F161" i="10"/>
  <c r="J463" i="10"/>
  <c r="M452" i="10"/>
  <c r="G389" i="10"/>
  <c r="E300" i="10"/>
  <c r="I355" i="10"/>
  <c r="M212" i="10"/>
  <c r="H306" i="10"/>
  <c r="I290" i="10"/>
  <c r="I276" i="10"/>
  <c r="C196" i="10"/>
  <c r="D410" i="10"/>
  <c r="D383" i="10"/>
  <c r="J405" i="10"/>
  <c r="I259" i="10"/>
  <c r="H277" i="10"/>
  <c r="J444" i="10"/>
  <c r="D391" i="10"/>
  <c r="C315" i="10"/>
  <c r="C285" i="10"/>
  <c r="F439" i="10"/>
  <c r="G385" i="10"/>
  <c r="G376" i="10"/>
  <c r="I397" i="10"/>
  <c r="H396" i="10"/>
  <c r="G223" i="10"/>
  <c r="H241" i="10"/>
  <c r="K164" i="10"/>
  <c r="J411" i="10"/>
  <c r="F297" i="10"/>
  <c r="I195" i="10"/>
  <c r="F348" i="10"/>
  <c r="BL191" i="9"/>
  <c r="AZ191" i="9"/>
  <c r="AN191" i="9"/>
  <c r="AB191" i="9"/>
  <c r="P191" i="9"/>
  <c r="D191" i="9"/>
  <c r="BA190" i="9"/>
  <c r="AO190" i="9"/>
  <c r="AC190" i="9"/>
  <c r="Q190" i="9"/>
  <c r="E190" i="9"/>
  <c r="BK191" i="9"/>
  <c r="AY191" i="9"/>
  <c r="AM191" i="9"/>
  <c r="AA191" i="9"/>
  <c r="O191" i="9"/>
  <c r="BL190" i="9"/>
  <c r="AZ190" i="9"/>
  <c r="AN190" i="9"/>
  <c r="AB190" i="9"/>
  <c r="P190" i="9"/>
  <c r="D190" i="9"/>
  <c r="AE191" i="9"/>
  <c r="BJ191" i="9"/>
  <c r="AX191" i="9"/>
  <c r="AL191" i="9"/>
  <c r="Z191" i="9"/>
  <c r="N191" i="9"/>
  <c r="BK190" i="9"/>
  <c r="AY190" i="9"/>
  <c r="AM190" i="9"/>
  <c r="AA190" i="9"/>
  <c r="O190" i="9"/>
  <c r="C191" i="9"/>
  <c r="BC191" i="9"/>
  <c r="BI191" i="9"/>
  <c r="AW191" i="9"/>
  <c r="AK191" i="9"/>
  <c r="Y191" i="9"/>
  <c r="M191" i="9"/>
  <c r="BJ190" i="9"/>
  <c r="AX190" i="9"/>
  <c r="AL190" i="9"/>
  <c r="Z190" i="9"/>
  <c r="N190" i="9"/>
  <c r="C190" i="9"/>
  <c r="AR190" i="9"/>
  <c r="BH191" i="9"/>
  <c r="AV191" i="9"/>
  <c r="AJ191" i="9"/>
  <c r="X191" i="9"/>
  <c r="L191" i="9"/>
  <c r="BI190" i="9"/>
  <c r="AW190" i="9"/>
  <c r="AK190" i="9"/>
  <c r="Y190" i="9"/>
  <c r="M190" i="9"/>
  <c r="G191" i="9"/>
  <c r="BG191" i="9"/>
  <c r="AU191" i="9"/>
  <c r="AI191" i="9"/>
  <c r="W191" i="9"/>
  <c r="K191" i="9"/>
  <c r="BH190" i="9"/>
  <c r="AV190" i="9"/>
  <c r="AJ190" i="9"/>
  <c r="X190" i="9"/>
  <c r="L190" i="9"/>
  <c r="S191" i="9"/>
  <c r="BF191" i="9"/>
  <c r="AT191" i="9"/>
  <c r="AH191" i="9"/>
  <c r="V191" i="9"/>
  <c r="J191" i="9"/>
  <c r="BG190" i="9"/>
  <c r="AU190" i="9"/>
  <c r="AI190" i="9"/>
  <c r="W190" i="9"/>
  <c r="K190" i="9"/>
  <c r="AQ191" i="9"/>
  <c r="T190" i="9"/>
  <c r="H190" i="9"/>
  <c r="BE191" i="9"/>
  <c r="AS191" i="9"/>
  <c r="AG191" i="9"/>
  <c r="U191" i="9"/>
  <c r="I191" i="9"/>
  <c r="BF190" i="9"/>
  <c r="AT190" i="9"/>
  <c r="AH190" i="9"/>
  <c r="V190" i="9"/>
  <c r="J190" i="9"/>
  <c r="AF190" i="9"/>
  <c r="BD191" i="9"/>
  <c r="AR191" i="9"/>
  <c r="AF191" i="9"/>
  <c r="T191" i="9"/>
  <c r="H191" i="9"/>
  <c r="BE190" i="9"/>
  <c r="AS190" i="9"/>
  <c r="AG190" i="9"/>
  <c r="U190" i="9"/>
  <c r="I190" i="9"/>
  <c r="BD190" i="9"/>
  <c r="BB191" i="9"/>
  <c r="AP191" i="9"/>
  <c r="AD191" i="9"/>
  <c r="R191" i="9"/>
  <c r="F191" i="9"/>
  <c r="BC190" i="9"/>
  <c r="AQ190" i="9"/>
  <c r="AE190" i="9"/>
  <c r="S190" i="9"/>
  <c r="G190" i="9"/>
  <c r="BA191" i="9"/>
  <c r="AO191" i="9"/>
  <c r="AC191" i="9"/>
  <c r="Q191" i="9"/>
  <c r="E191" i="9"/>
  <c r="BB190" i="9"/>
  <c r="AP190" i="9"/>
  <c r="AD190" i="9"/>
  <c r="R190" i="9"/>
  <c r="F190" i="9"/>
  <c r="L218" i="10"/>
  <c r="I180" i="10"/>
  <c r="C406" i="10"/>
  <c r="M362" i="10"/>
  <c r="D234" i="10"/>
  <c r="K270" i="10"/>
  <c r="I363" i="10"/>
  <c r="D348" i="10"/>
  <c r="F255" i="10"/>
  <c r="K310" i="10"/>
  <c r="K240" i="10"/>
  <c r="J251" i="10"/>
  <c r="I279" i="10"/>
  <c r="F378" i="10"/>
  <c r="C223" i="10"/>
  <c r="F202" i="10"/>
  <c r="C454" i="10"/>
  <c r="E378" i="10"/>
  <c r="I219" i="10"/>
  <c r="M310" i="10"/>
  <c r="L223" i="10"/>
  <c r="M339" i="10"/>
  <c r="C302" i="10"/>
  <c r="I190" i="10"/>
  <c r="G432" i="10"/>
  <c r="E331" i="10"/>
  <c r="C359" i="10"/>
  <c r="G236" i="10"/>
  <c r="J215" i="10"/>
  <c r="K317" i="10"/>
  <c r="M190" i="10"/>
  <c r="F462" i="10"/>
  <c r="D407" i="10"/>
  <c r="L357" i="10"/>
  <c r="K413" i="10"/>
  <c r="K168" i="10"/>
  <c r="C161" i="10"/>
  <c r="I463" i="10"/>
  <c r="L219" i="10"/>
  <c r="L452" i="10"/>
  <c r="E389" i="10"/>
  <c r="C300" i="10"/>
  <c r="G355" i="10"/>
  <c r="K212" i="10"/>
  <c r="G306" i="10"/>
  <c r="K290" i="10"/>
  <c r="M410" i="10"/>
  <c r="C383" i="10"/>
  <c r="E405" i="10"/>
  <c r="F259" i="10"/>
  <c r="G277" i="10"/>
  <c r="F203" i="10"/>
  <c r="D444" i="10"/>
  <c r="C391" i="10"/>
  <c r="E439" i="10"/>
  <c r="F385" i="10"/>
  <c r="H270" i="10"/>
  <c r="M376" i="10"/>
  <c r="H397" i="10"/>
  <c r="F396" i="10"/>
  <c r="G241" i="10"/>
  <c r="L164" i="10"/>
  <c r="I411" i="10"/>
  <c r="H190" i="10"/>
  <c r="K297" i="10"/>
  <c r="K261" i="10"/>
  <c r="D236" i="10"/>
  <c r="E174" i="10"/>
  <c r="I375" i="10"/>
  <c r="K362" i="10"/>
  <c r="C234" i="10"/>
  <c r="E276" i="10"/>
  <c r="D270" i="10"/>
  <c r="L268" i="10"/>
  <c r="G363" i="10"/>
  <c r="M394" i="10"/>
  <c r="E348" i="10"/>
  <c r="L264" i="10"/>
  <c r="I255" i="10"/>
  <c r="C310" i="10"/>
  <c r="L240" i="10"/>
  <c r="I251" i="10"/>
  <c r="C279" i="10"/>
  <c r="D454" i="10"/>
  <c r="M378" i="10"/>
  <c r="L344" i="10"/>
  <c r="M261" i="10"/>
  <c r="G201" i="10"/>
  <c r="H219" i="10"/>
  <c r="G339" i="10"/>
  <c r="G370" i="10"/>
  <c r="M302" i="10"/>
  <c r="G190" i="10"/>
  <c r="I432" i="10"/>
  <c r="J359" i="10"/>
  <c r="F236" i="10"/>
  <c r="I215" i="10"/>
  <c r="M317" i="10"/>
  <c r="D164" i="10"/>
  <c r="L462" i="10"/>
  <c r="C407" i="10"/>
  <c r="J357" i="10"/>
  <c r="J413" i="10"/>
  <c r="L168" i="10"/>
  <c r="D463" i="10"/>
  <c r="D203" i="10"/>
  <c r="F452" i="10"/>
  <c r="L389" i="10"/>
  <c r="M300" i="10"/>
  <c r="K355" i="10"/>
  <c r="J212" i="10"/>
  <c r="K306" i="10"/>
  <c r="D290" i="10"/>
  <c r="H279" i="10"/>
  <c r="D174" i="10"/>
  <c r="L410" i="10"/>
  <c r="M383" i="10"/>
  <c r="M405" i="10"/>
  <c r="D259" i="10"/>
  <c r="E277" i="10"/>
  <c r="F195" i="10"/>
  <c r="I444" i="10"/>
  <c r="K391" i="10"/>
  <c r="C439" i="10"/>
  <c r="C385" i="10"/>
  <c r="G375" i="10"/>
  <c r="L376" i="10"/>
  <c r="F397" i="10"/>
  <c r="E396" i="10"/>
  <c r="F241" i="10"/>
  <c r="J164" i="10"/>
  <c r="H411" i="10"/>
  <c r="D297" i="10"/>
  <c r="I300" i="10"/>
  <c r="H251" i="10"/>
  <c r="L375" i="10"/>
  <c r="H362" i="10"/>
  <c r="M234" i="10"/>
  <c r="F276" i="10"/>
  <c r="J270" i="10"/>
  <c r="K363" i="10"/>
  <c r="F394" i="10"/>
  <c r="C348" i="10"/>
  <c r="D222" i="10"/>
  <c r="I264" i="10"/>
  <c r="D255" i="10"/>
  <c r="D310" i="10"/>
  <c r="J240" i="10"/>
  <c r="F251" i="10"/>
  <c r="M331" i="10"/>
  <c r="L378" i="10"/>
  <c r="F344" i="10"/>
  <c r="H261" i="10"/>
  <c r="M201" i="10"/>
  <c r="G219" i="10"/>
  <c r="C339" i="10"/>
  <c r="D370" i="10"/>
  <c r="M337" i="10"/>
  <c r="L302" i="10"/>
  <c r="F180" i="10"/>
  <c r="E432" i="10"/>
  <c r="I359" i="10"/>
  <c r="H215" i="10"/>
  <c r="F317" i="10"/>
  <c r="J462" i="10"/>
  <c r="G407" i="10"/>
  <c r="F357" i="10"/>
  <c r="F413" i="10"/>
  <c r="J168" i="10"/>
  <c r="M463" i="10"/>
  <c r="H452" i="10"/>
  <c r="L300" i="10"/>
  <c r="H355" i="10"/>
  <c r="I212" i="10"/>
  <c r="E306" i="10"/>
  <c r="G166" i="10"/>
  <c r="I204" i="10"/>
  <c r="K410" i="10"/>
  <c r="K383" i="10"/>
  <c r="C405" i="10"/>
  <c r="C259" i="10"/>
  <c r="K277" i="10"/>
  <c r="H204" i="10"/>
  <c r="K444" i="10"/>
  <c r="J391" i="10"/>
  <c r="D439" i="10"/>
  <c r="E385" i="10"/>
  <c r="E240" i="10"/>
  <c r="E164" i="10"/>
  <c r="K376" i="10"/>
  <c r="E397" i="10"/>
  <c r="G396" i="10"/>
  <c r="I164" i="10"/>
  <c r="F411" i="10"/>
  <c r="K204" i="10"/>
  <c r="I297" i="10"/>
  <c r="M195" i="10"/>
  <c r="K375" i="10"/>
  <c r="D406" i="10"/>
  <c r="F362" i="10"/>
  <c r="G234" i="10"/>
  <c r="M276" i="10"/>
  <c r="L270" i="10"/>
  <c r="J268" i="10"/>
  <c r="C180" i="10"/>
  <c r="L363" i="10"/>
  <c r="K394" i="10"/>
  <c r="G222" i="10"/>
  <c r="J264" i="10"/>
  <c r="M255" i="10"/>
  <c r="I240" i="10"/>
  <c r="D251" i="10"/>
  <c r="J454" i="10"/>
  <c r="H378" i="10"/>
  <c r="M344" i="10"/>
  <c r="F261" i="10"/>
  <c r="L201" i="10"/>
  <c r="F219" i="10"/>
  <c r="H276" i="10"/>
  <c r="H259" i="10"/>
  <c r="K339" i="10"/>
  <c r="L370" i="10"/>
  <c r="I337" i="10"/>
  <c r="J302" i="10"/>
  <c r="E317" i="10"/>
  <c r="E219" i="10"/>
  <c r="K432" i="10"/>
  <c r="L359" i="10"/>
  <c r="G215" i="10"/>
  <c r="C317" i="10"/>
  <c r="I462" i="10"/>
  <c r="K357" i="10"/>
  <c r="C413" i="10"/>
  <c r="I168" i="10"/>
  <c r="D218" i="10"/>
  <c r="K463" i="10"/>
  <c r="J452" i="10"/>
  <c r="M389" i="10"/>
  <c r="J300" i="10"/>
  <c r="F355" i="10"/>
  <c r="H212" i="10"/>
  <c r="F306" i="10"/>
  <c r="F166" i="10"/>
  <c r="F290" i="10"/>
  <c r="H255" i="10"/>
  <c r="L215" i="10"/>
  <c r="J410" i="10"/>
  <c r="E383" i="10"/>
  <c r="K405" i="10"/>
  <c r="I277" i="10"/>
  <c r="C444" i="10"/>
  <c r="H391" i="10"/>
  <c r="D285" i="10"/>
  <c r="G300" i="10"/>
  <c r="J376" i="10"/>
  <c r="H164" i="10"/>
  <c r="E411" i="10"/>
  <c r="G268" i="10"/>
  <c r="J261" i="10"/>
  <c r="J375" i="10"/>
  <c r="M406" i="10"/>
  <c r="E362" i="10"/>
  <c r="F234" i="10"/>
  <c r="K276" i="10"/>
  <c r="K202" i="10"/>
  <c r="F270" i="10"/>
  <c r="H363" i="10"/>
  <c r="E394" i="10"/>
  <c r="F222" i="10"/>
  <c r="M264" i="10"/>
  <c r="L255" i="10"/>
  <c r="H240" i="10"/>
  <c r="C251" i="10"/>
  <c r="E259" i="10"/>
  <c r="I454" i="10"/>
  <c r="D378" i="10"/>
  <c r="E344" i="10"/>
  <c r="H268" i="10"/>
  <c r="G261" i="10"/>
  <c r="K201" i="10"/>
  <c r="F339" i="10"/>
  <c r="K370" i="10"/>
  <c r="H337" i="10"/>
  <c r="I302" i="10"/>
  <c r="H174" i="10"/>
  <c r="J432" i="10"/>
  <c r="G331" i="10"/>
  <c r="J370" i="10"/>
  <c r="E190" i="10"/>
  <c r="K462" i="10"/>
  <c r="H357" i="10"/>
  <c r="H168" i="10"/>
  <c r="M161" i="10"/>
  <c r="E270" i="10"/>
  <c r="H463" i="10"/>
  <c r="F310" i="10"/>
  <c r="D215" i="10"/>
  <c r="C452" i="10"/>
  <c r="H389" i="10"/>
  <c r="K300" i="10"/>
  <c r="E355" i="10"/>
  <c r="G212" i="10"/>
  <c r="D306" i="10"/>
  <c r="M166" i="10"/>
  <c r="E290" i="10"/>
  <c r="E203" i="10"/>
  <c r="I410" i="10"/>
  <c r="J383" i="10"/>
  <c r="D277" i="10"/>
  <c r="L204" i="10"/>
  <c r="F391" i="10"/>
  <c r="I315" i="10"/>
  <c r="M285" i="10"/>
  <c r="L439" i="10"/>
  <c r="D385" i="10"/>
  <c r="H203" i="10"/>
  <c r="H376" i="10"/>
  <c r="L396" i="10"/>
  <c r="K223" i="10"/>
  <c r="G164" i="10"/>
  <c r="D411" i="10"/>
  <c r="L195" i="10"/>
  <c r="M215" i="10"/>
  <c r="J234" i="10"/>
  <c r="H310" i="10"/>
  <c r="H375" i="10"/>
  <c r="K406" i="10"/>
  <c r="C362" i="10"/>
  <c r="L234" i="10"/>
  <c r="C276" i="10"/>
  <c r="I202" i="10"/>
  <c r="C270" i="10"/>
  <c r="I310" i="10"/>
  <c r="J394" i="10"/>
  <c r="L222" i="10"/>
  <c r="K264" i="10"/>
  <c r="K255" i="10"/>
  <c r="G240" i="10"/>
  <c r="G279" i="10"/>
  <c r="F454" i="10"/>
  <c r="D344" i="10"/>
  <c r="D268" i="10"/>
  <c r="I261" i="10"/>
  <c r="J201" i="10"/>
  <c r="D276" i="10"/>
  <c r="D339" i="10"/>
  <c r="F370" i="10"/>
  <c r="G337" i="10"/>
  <c r="H302" i="10"/>
  <c r="G174" i="10"/>
  <c r="M223" i="10"/>
  <c r="F432" i="10"/>
  <c r="L331" i="10"/>
  <c r="G359" i="10"/>
  <c r="G315" i="10"/>
  <c r="G462" i="10"/>
  <c r="L407" i="10"/>
  <c r="D357" i="10"/>
  <c r="M413" i="10"/>
  <c r="G168" i="10"/>
  <c r="L161" i="10"/>
  <c r="G463" i="10"/>
  <c r="F389" i="10"/>
  <c r="D300" i="10"/>
  <c r="D355" i="10"/>
  <c r="F212" i="10"/>
  <c r="C306" i="10"/>
  <c r="L166" i="10"/>
  <c r="C290" i="10"/>
  <c r="M270" i="10"/>
  <c r="H410" i="10"/>
  <c r="D405" i="10"/>
  <c r="F204" i="10"/>
  <c r="J276" i="10"/>
  <c r="H444" i="10"/>
  <c r="G391" i="10"/>
  <c r="E315" i="10"/>
  <c r="J196" i="10"/>
  <c r="L285" i="10"/>
  <c r="J195" i="10"/>
  <c r="J439" i="10"/>
  <c r="K385" i="10"/>
  <c r="M219" i="10"/>
  <c r="F376" i="10"/>
  <c r="J397" i="10"/>
  <c r="D396" i="10"/>
  <c r="E223" i="10"/>
  <c r="F164" i="10"/>
  <c r="J218" i="10"/>
  <c r="L276" i="10"/>
  <c r="E241" i="10"/>
  <c r="F375" i="10"/>
  <c r="J406" i="10"/>
  <c r="J202" i="10"/>
  <c r="E161" i="10"/>
  <c r="M348" i="10"/>
  <c r="K222" i="10"/>
  <c r="C264" i="10"/>
  <c r="C255" i="10"/>
  <c r="F240" i="10"/>
  <c r="E279" i="10"/>
  <c r="E261" i="10"/>
  <c r="J344" i="10"/>
  <c r="F268" i="10"/>
  <c r="K219" i="10"/>
  <c r="E339" i="10"/>
  <c r="E370" i="10"/>
  <c r="D337" i="10"/>
  <c r="M174" i="10"/>
  <c r="M180" i="10"/>
  <c r="H432" i="10"/>
  <c r="M236" i="10"/>
  <c r="C212" i="10"/>
  <c r="M407" i="10"/>
  <c r="C357" i="10"/>
  <c r="F168" i="10"/>
  <c r="K161" i="10"/>
  <c r="H315" i="10"/>
  <c r="F190" i="10"/>
  <c r="K166" i="10"/>
  <c r="E195" i="10"/>
  <c r="E204" i="10"/>
  <c r="D196" i="10"/>
  <c r="I196" i="10"/>
  <c r="D195" i="10"/>
  <c r="M241" i="10"/>
  <c r="I218" i="10"/>
  <c r="L180" i="10"/>
  <c r="Q256" i="20"/>
  <c r="B256" i="20"/>
  <c r="P256" i="20"/>
  <c r="O256" i="20"/>
  <c r="C256" i="20"/>
  <c r="E256" i="20"/>
  <c r="D256" i="20"/>
  <c r="R256" i="20"/>
  <c r="F256" i="20"/>
  <c r="G256" i="20"/>
  <c r="H256" i="20"/>
  <c r="I256" i="20"/>
  <c r="K256" i="20"/>
  <c r="L256" i="20"/>
  <c r="M256" i="20"/>
  <c r="J256" i="20"/>
  <c r="N256" i="20"/>
  <c r="B358" i="20"/>
  <c r="I358" i="20"/>
  <c r="O358" i="20"/>
  <c r="C358" i="20"/>
  <c r="N358" i="20"/>
  <c r="L358" i="20"/>
  <c r="J358" i="20"/>
  <c r="K358" i="20"/>
  <c r="P358" i="20"/>
  <c r="E358" i="20"/>
  <c r="Q358" i="20"/>
  <c r="M358" i="20"/>
  <c r="D358" i="20"/>
  <c r="H358" i="20"/>
  <c r="R358" i="20"/>
  <c r="G358" i="20"/>
  <c r="F358" i="20"/>
  <c r="D220" i="20"/>
  <c r="P220" i="20"/>
  <c r="H220" i="20"/>
  <c r="L220" i="20"/>
  <c r="M220" i="20"/>
  <c r="N220" i="20"/>
  <c r="F220" i="20"/>
  <c r="Q220" i="20"/>
  <c r="R220" i="20"/>
  <c r="B220" i="20"/>
  <c r="O220" i="20"/>
  <c r="C220" i="20"/>
  <c r="I220" i="20"/>
  <c r="G220" i="20"/>
  <c r="J220" i="20"/>
  <c r="E220" i="20"/>
  <c r="K220" i="20"/>
  <c r="G148" i="20"/>
  <c r="C148" i="20"/>
  <c r="D148" i="20"/>
  <c r="M148" i="20"/>
  <c r="O148" i="20"/>
  <c r="P148" i="20"/>
  <c r="R148" i="20"/>
  <c r="F148" i="20"/>
  <c r="L148" i="20"/>
  <c r="J148" i="20"/>
  <c r="B148" i="20"/>
  <c r="H148" i="20"/>
  <c r="Q148" i="20"/>
  <c r="E148" i="20"/>
  <c r="K148" i="20"/>
  <c r="I148" i="20"/>
  <c r="N148" i="20"/>
  <c r="C377" i="20"/>
  <c r="D377" i="20"/>
  <c r="I377" i="20"/>
  <c r="Q377" i="20"/>
  <c r="B377" i="20"/>
  <c r="O377" i="20"/>
  <c r="H377" i="20"/>
  <c r="E377" i="20"/>
  <c r="L377" i="20"/>
  <c r="K377" i="20"/>
  <c r="M377" i="20"/>
  <c r="P377" i="20"/>
  <c r="N377" i="20"/>
  <c r="J377" i="20"/>
  <c r="G377" i="20"/>
  <c r="F377" i="20"/>
  <c r="R377" i="20"/>
  <c r="N665" i="20"/>
  <c r="B665" i="20"/>
  <c r="E665" i="20"/>
  <c r="L665" i="20"/>
  <c r="P665" i="20"/>
  <c r="R665" i="20"/>
  <c r="K665" i="20"/>
  <c r="M665" i="20"/>
  <c r="C665" i="20"/>
  <c r="O665" i="20"/>
  <c r="D665" i="20"/>
  <c r="Q665" i="20"/>
  <c r="F665" i="20"/>
  <c r="G665" i="20"/>
  <c r="H665" i="20"/>
  <c r="I665" i="20"/>
  <c r="J665" i="20"/>
  <c r="B696" i="20"/>
  <c r="N696" i="20"/>
  <c r="C696" i="20"/>
  <c r="O696" i="20"/>
  <c r="F696" i="20"/>
  <c r="R696" i="20"/>
  <c r="H696" i="20"/>
  <c r="E696" i="20"/>
  <c r="G696" i="20"/>
  <c r="I696" i="20"/>
  <c r="J696" i="20"/>
  <c r="K696" i="20"/>
  <c r="L696" i="20"/>
  <c r="M696" i="20"/>
  <c r="P696" i="20"/>
  <c r="Q696" i="20"/>
  <c r="D696" i="20"/>
  <c r="K652" i="20"/>
  <c r="M652" i="20"/>
  <c r="P652" i="20"/>
  <c r="D652" i="20"/>
  <c r="Q652" i="20"/>
  <c r="E652" i="20"/>
  <c r="N652" i="20"/>
  <c r="R652" i="20"/>
  <c r="F652" i="20"/>
  <c r="G652" i="20"/>
  <c r="H652" i="20"/>
  <c r="I652" i="20"/>
  <c r="J652" i="20"/>
  <c r="B652" i="20"/>
  <c r="L652" i="20"/>
  <c r="O652" i="20"/>
  <c r="C652" i="20"/>
  <c r="C524" i="20"/>
  <c r="D524" i="20"/>
  <c r="F524" i="20"/>
  <c r="M524" i="20"/>
  <c r="H524" i="20"/>
  <c r="I524" i="20"/>
  <c r="K524" i="20"/>
  <c r="L524" i="20"/>
  <c r="O524" i="20"/>
  <c r="E524" i="20"/>
  <c r="J524" i="20"/>
  <c r="P524" i="20"/>
  <c r="Q524" i="20"/>
  <c r="B524" i="20"/>
  <c r="N524" i="20"/>
  <c r="R524" i="20"/>
  <c r="G524" i="20"/>
  <c r="C566" i="20"/>
  <c r="E566" i="20"/>
  <c r="L566" i="20"/>
  <c r="M566" i="20"/>
  <c r="O566" i="20"/>
  <c r="D566" i="20"/>
  <c r="B566" i="20"/>
  <c r="N566" i="20"/>
  <c r="F566" i="20"/>
  <c r="R566" i="20"/>
  <c r="I566" i="20"/>
  <c r="H566" i="20"/>
  <c r="J566" i="20"/>
  <c r="G566" i="20"/>
  <c r="K566" i="20"/>
  <c r="Q566" i="20"/>
  <c r="P566" i="20"/>
  <c r="B492" i="20"/>
  <c r="E492" i="20"/>
  <c r="F492" i="20"/>
  <c r="G492" i="20"/>
  <c r="O492" i="20"/>
  <c r="P492" i="20"/>
  <c r="C492" i="20"/>
  <c r="K492" i="20"/>
  <c r="Q492" i="20"/>
  <c r="M492" i="20"/>
  <c r="L492" i="20"/>
  <c r="D492" i="20"/>
  <c r="R492" i="20"/>
  <c r="H492" i="20"/>
  <c r="N492" i="20"/>
  <c r="I492" i="20"/>
  <c r="J492" i="20"/>
  <c r="C675" i="20"/>
  <c r="Q675" i="20"/>
  <c r="R675" i="20"/>
  <c r="B675" i="20"/>
  <c r="N675" i="20"/>
  <c r="D675" i="20"/>
  <c r="H675" i="20"/>
  <c r="P675" i="20"/>
  <c r="M675" i="20"/>
  <c r="O675" i="20"/>
  <c r="E675" i="20"/>
  <c r="F675" i="20"/>
  <c r="G675" i="20"/>
  <c r="I675" i="20"/>
  <c r="L675" i="20"/>
  <c r="J675" i="20"/>
  <c r="K675" i="20"/>
  <c r="M653" i="20"/>
  <c r="N653" i="20"/>
  <c r="D653" i="20"/>
  <c r="R653" i="20"/>
  <c r="K653" i="20"/>
  <c r="L653" i="20"/>
  <c r="P653" i="20"/>
  <c r="Q653" i="20"/>
  <c r="B653" i="20"/>
  <c r="E653" i="20"/>
  <c r="F653" i="20"/>
  <c r="G653" i="20"/>
  <c r="H653" i="20"/>
  <c r="I653" i="20"/>
  <c r="O653" i="20"/>
  <c r="C653" i="20"/>
  <c r="J653" i="20"/>
  <c r="C684" i="20"/>
  <c r="O684" i="20"/>
  <c r="D684" i="20"/>
  <c r="P684" i="20"/>
  <c r="E684" i="20"/>
  <c r="Q684" i="20"/>
  <c r="F684" i="20"/>
  <c r="R684" i="20"/>
  <c r="G684" i="20"/>
  <c r="I684" i="20"/>
  <c r="B684" i="20"/>
  <c r="H684" i="20"/>
  <c r="J684" i="20"/>
  <c r="K684" i="20"/>
  <c r="L684" i="20"/>
  <c r="M684" i="20"/>
  <c r="N684" i="20"/>
  <c r="I638" i="20"/>
  <c r="C638" i="20"/>
  <c r="N638" i="20"/>
  <c r="D638" i="20"/>
  <c r="P638" i="20"/>
  <c r="Q638" i="20"/>
  <c r="L638" i="20"/>
  <c r="M638" i="20"/>
  <c r="K638" i="20"/>
  <c r="O638" i="20"/>
  <c r="B638" i="20"/>
  <c r="R638" i="20"/>
  <c r="G638" i="20"/>
  <c r="E638" i="20"/>
  <c r="H638" i="20"/>
  <c r="J638" i="20"/>
  <c r="F638" i="20"/>
  <c r="J512" i="20"/>
  <c r="G512" i="20"/>
  <c r="H512" i="20"/>
  <c r="I512" i="20"/>
  <c r="L512" i="20"/>
  <c r="M512" i="20"/>
  <c r="N512" i="20"/>
  <c r="P512" i="20"/>
  <c r="Q512" i="20"/>
  <c r="C512" i="20"/>
  <c r="R512" i="20"/>
  <c r="D512" i="20"/>
  <c r="E512" i="20"/>
  <c r="F512" i="20"/>
  <c r="O512" i="20"/>
  <c r="B512" i="20"/>
  <c r="K512" i="20"/>
  <c r="D554" i="20"/>
  <c r="C554" i="20"/>
  <c r="G554" i="20"/>
  <c r="H554" i="20"/>
  <c r="K554" i="20"/>
  <c r="Q554" i="20"/>
  <c r="E554" i="20"/>
  <c r="P554" i="20"/>
  <c r="O554" i="20"/>
  <c r="M554" i="20"/>
  <c r="J554" i="20"/>
  <c r="L554" i="20"/>
  <c r="B554" i="20"/>
  <c r="N554" i="20"/>
  <c r="F554" i="20"/>
  <c r="I554" i="20"/>
  <c r="R554" i="20"/>
  <c r="C545" i="20"/>
  <c r="B545" i="20"/>
  <c r="D545" i="20"/>
  <c r="E545" i="20"/>
  <c r="F545" i="20"/>
  <c r="G545" i="20"/>
  <c r="I545" i="20"/>
  <c r="J545" i="20"/>
  <c r="K545" i="20"/>
  <c r="O545" i="20"/>
  <c r="P545" i="20"/>
  <c r="R545" i="20"/>
  <c r="H545" i="20"/>
  <c r="M545" i="20"/>
  <c r="L545" i="20"/>
  <c r="N545" i="20"/>
  <c r="Q545" i="20"/>
  <c r="E600" i="20"/>
  <c r="R600" i="20"/>
  <c r="C600" i="20"/>
  <c r="P600" i="20"/>
  <c r="O600" i="20"/>
  <c r="M600" i="20"/>
  <c r="B600" i="20"/>
  <c r="N600" i="20"/>
  <c r="D600" i="20"/>
  <c r="Q600" i="20"/>
  <c r="H600" i="20"/>
  <c r="J600" i="20"/>
  <c r="I600" i="20"/>
  <c r="L600" i="20"/>
  <c r="G600" i="20"/>
  <c r="F600" i="20"/>
  <c r="K600" i="20"/>
  <c r="D744" i="20"/>
  <c r="O744" i="20"/>
  <c r="P744" i="20"/>
  <c r="B744" i="20"/>
  <c r="C744" i="20"/>
  <c r="F744" i="20"/>
  <c r="I744" i="20"/>
  <c r="J744" i="20"/>
  <c r="K744" i="20"/>
  <c r="L744" i="20"/>
  <c r="N744" i="20"/>
  <c r="H744" i="20"/>
  <c r="M744" i="20"/>
  <c r="G744" i="20"/>
  <c r="E744" i="20"/>
  <c r="Q744" i="20"/>
  <c r="R744" i="20"/>
  <c r="G668" i="20"/>
  <c r="K668" i="20"/>
  <c r="F668" i="20"/>
  <c r="H668" i="20"/>
  <c r="I668" i="20"/>
  <c r="J668" i="20"/>
  <c r="L668" i="20"/>
  <c r="M668" i="20"/>
  <c r="N668" i="20"/>
  <c r="O668" i="20"/>
  <c r="B668" i="20"/>
  <c r="P668" i="20"/>
  <c r="C668" i="20"/>
  <c r="Q668" i="20"/>
  <c r="D668" i="20"/>
  <c r="R668" i="20"/>
  <c r="E668" i="20"/>
  <c r="H634" i="20"/>
  <c r="J634" i="20"/>
  <c r="L634" i="20"/>
  <c r="N634" i="20"/>
  <c r="P634" i="20"/>
  <c r="B634" i="20"/>
  <c r="R634" i="20"/>
  <c r="F634" i="20"/>
  <c r="C634" i="20"/>
  <c r="D634" i="20"/>
  <c r="G634" i="20"/>
  <c r="M634" i="20"/>
  <c r="O634" i="20"/>
  <c r="K634" i="20"/>
  <c r="E634" i="20"/>
  <c r="Q634" i="20"/>
  <c r="I634" i="20"/>
  <c r="D558" i="20"/>
  <c r="E558" i="20"/>
  <c r="G558" i="20"/>
  <c r="H558" i="20"/>
  <c r="P558" i="20"/>
  <c r="C558" i="20"/>
  <c r="K558" i="20"/>
  <c r="Q558" i="20"/>
  <c r="B558" i="20"/>
  <c r="N558" i="20"/>
  <c r="L558" i="20"/>
  <c r="I558" i="20"/>
  <c r="F558" i="20"/>
  <c r="R558" i="20"/>
  <c r="O558" i="20"/>
  <c r="M558" i="20"/>
  <c r="J558" i="20"/>
  <c r="C551" i="20"/>
  <c r="D551" i="20"/>
  <c r="G551" i="20"/>
  <c r="M551" i="20"/>
  <c r="N551" i="20"/>
  <c r="P551" i="20"/>
  <c r="Q551" i="20"/>
  <c r="R551" i="20"/>
  <c r="B551" i="20"/>
  <c r="O551" i="20"/>
  <c r="F551" i="20"/>
  <c r="K551" i="20"/>
  <c r="J551" i="20"/>
  <c r="H551" i="20"/>
  <c r="I551" i="20"/>
  <c r="L551" i="20"/>
  <c r="E551" i="20"/>
  <c r="F491" i="20"/>
  <c r="I491" i="20"/>
  <c r="Q491" i="20"/>
  <c r="R491" i="20"/>
  <c r="B491" i="20"/>
  <c r="E491" i="20"/>
  <c r="K491" i="20"/>
  <c r="M491" i="20"/>
  <c r="L491" i="20"/>
  <c r="C491" i="20"/>
  <c r="O491" i="20"/>
  <c r="J491" i="20"/>
  <c r="D491" i="20"/>
  <c r="P491" i="20"/>
  <c r="G491" i="20"/>
  <c r="N491" i="20"/>
  <c r="H491" i="20"/>
  <c r="F509" i="20"/>
  <c r="H509" i="20"/>
  <c r="I509" i="20"/>
  <c r="J509" i="20"/>
  <c r="K509" i="20"/>
  <c r="M509" i="20"/>
  <c r="N509" i="20"/>
  <c r="E509" i="20"/>
  <c r="G509" i="20"/>
  <c r="O509" i="20"/>
  <c r="C509" i="20"/>
  <c r="D509" i="20"/>
  <c r="P509" i="20"/>
  <c r="L509" i="20"/>
  <c r="B509" i="20"/>
  <c r="Q509" i="20"/>
  <c r="R509" i="20"/>
  <c r="C587" i="20"/>
  <c r="D587" i="20"/>
  <c r="B587" i="20"/>
  <c r="L587" i="20"/>
  <c r="E587" i="20"/>
  <c r="Q587" i="20"/>
  <c r="I587" i="20"/>
  <c r="J587" i="20"/>
  <c r="K587" i="20"/>
  <c r="R587" i="20"/>
  <c r="H587" i="20"/>
  <c r="N587" i="20"/>
  <c r="M587" i="20"/>
  <c r="G587" i="20"/>
  <c r="O587" i="20"/>
  <c r="F587" i="20"/>
  <c r="P587" i="20"/>
  <c r="B629" i="20"/>
  <c r="G629" i="20"/>
  <c r="I629" i="20"/>
  <c r="J629" i="20"/>
  <c r="L629" i="20"/>
  <c r="M629" i="20"/>
  <c r="F629" i="20"/>
  <c r="P629" i="20"/>
  <c r="H629" i="20"/>
  <c r="K629" i="20"/>
  <c r="C629" i="20"/>
  <c r="O629" i="20"/>
  <c r="E629" i="20"/>
  <c r="Q629" i="20"/>
  <c r="R629" i="20"/>
  <c r="D629" i="20"/>
  <c r="N629" i="20"/>
  <c r="K660" i="20"/>
  <c r="M660" i="20"/>
  <c r="Q660" i="20"/>
  <c r="E660" i="20"/>
  <c r="R660" i="20"/>
  <c r="N660" i="20"/>
  <c r="F660" i="20"/>
  <c r="G660" i="20"/>
  <c r="H660" i="20"/>
  <c r="I660" i="20"/>
  <c r="J660" i="20"/>
  <c r="B660" i="20"/>
  <c r="L660" i="20"/>
  <c r="O660" i="20"/>
  <c r="C660" i="20"/>
  <c r="P660" i="20"/>
  <c r="D660" i="20"/>
  <c r="J627" i="20"/>
  <c r="M627" i="20"/>
  <c r="N627" i="20"/>
  <c r="P627" i="20"/>
  <c r="Q627" i="20"/>
  <c r="B627" i="20"/>
  <c r="D627" i="20"/>
  <c r="E627" i="20"/>
  <c r="F627" i="20"/>
  <c r="H627" i="20"/>
  <c r="R627" i="20"/>
  <c r="I627" i="20"/>
  <c r="K627" i="20"/>
  <c r="C627" i="20"/>
  <c r="O627" i="20"/>
  <c r="G627" i="20"/>
  <c r="L627" i="20"/>
  <c r="G592" i="20"/>
  <c r="H592" i="20"/>
  <c r="I592" i="20"/>
  <c r="J592" i="20"/>
  <c r="K592" i="20"/>
  <c r="L592" i="20"/>
  <c r="M592" i="20"/>
  <c r="O592" i="20"/>
  <c r="P592" i="20"/>
  <c r="Q592" i="20"/>
  <c r="C592" i="20"/>
  <c r="D592" i="20"/>
  <c r="E592" i="20"/>
  <c r="B592" i="20"/>
  <c r="N592" i="20"/>
  <c r="F592" i="20"/>
  <c r="R592" i="20"/>
  <c r="D530" i="20"/>
  <c r="C530" i="20"/>
  <c r="E530" i="20"/>
  <c r="G530" i="20"/>
  <c r="I530" i="20"/>
  <c r="J530" i="20"/>
  <c r="K530" i="20"/>
  <c r="L530" i="20"/>
  <c r="P530" i="20"/>
  <c r="Q530" i="20"/>
  <c r="R530" i="20"/>
  <c r="H530" i="20"/>
  <c r="B530" i="20"/>
  <c r="N530" i="20"/>
  <c r="O530" i="20"/>
  <c r="F530" i="20"/>
  <c r="M530" i="20"/>
  <c r="M480" i="20"/>
  <c r="P480" i="20"/>
  <c r="F480" i="20"/>
  <c r="I480" i="20"/>
  <c r="N480" i="20"/>
  <c r="D480" i="20"/>
  <c r="E480" i="20"/>
  <c r="G480" i="20"/>
  <c r="K480" i="20"/>
  <c r="L480" i="20"/>
  <c r="O480" i="20"/>
  <c r="H480" i="20"/>
  <c r="J480" i="20"/>
  <c r="B480" i="20"/>
  <c r="Q480" i="20"/>
  <c r="C480" i="20"/>
  <c r="R480" i="20"/>
  <c r="F569" i="20"/>
  <c r="E569" i="20"/>
  <c r="J569" i="20"/>
  <c r="I569" i="20"/>
  <c r="K569" i="20"/>
  <c r="D569" i="20"/>
  <c r="G569" i="20"/>
  <c r="R569" i="20"/>
  <c r="H569" i="20"/>
  <c r="N569" i="20"/>
  <c r="L569" i="20"/>
  <c r="M569" i="20"/>
  <c r="B569" i="20"/>
  <c r="P569" i="20"/>
  <c r="O569" i="20"/>
  <c r="C569" i="20"/>
  <c r="Q569" i="20"/>
  <c r="E722" i="20"/>
  <c r="D722" i="20"/>
  <c r="R722" i="20"/>
  <c r="K722" i="20"/>
  <c r="L722" i="20"/>
  <c r="M722" i="20"/>
  <c r="N722" i="20"/>
  <c r="O722" i="20"/>
  <c r="B722" i="20"/>
  <c r="P722" i="20"/>
  <c r="C722" i="20"/>
  <c r="F722" i="20"/>
  <c r="G722" i="20"/>
  <c r="H722" i="20"/>
  <c r="I722" i="20"/>
  <c r="J722" i="20"/>
  <c r="Q722" i="20"/>
  <c r="B621" i="20"/>
  <c r="C621" i="20"/>
  <c r="F621" i="20"/>
  <c r="G621" i="20"/>
  <c r="P621" i="20"/>
  <c r="D621" i="20"/>
  <c r="O621" i="20"/>
  <c r="M621" i="20"/>
  <c r="L621" i="20"/>
  <c r="H621" i="20"/>
  <c r="Q621" i="20"/>
  <c r="E621" i="20"/>
  <c r="N621" i="20"/>
  <c r="R621" i="20"/>
  <c r="J621" i="20"/>
  <c r="K621" i="20"/>
  <c r="I621" i="20"/>
  <c r="B649" i="20"/>
  <c r="P649" i="20"/>
  <c r="E649" i="20"/>
  <c r="R649" i="20"/>
  <c r="F649" i="20"/>
  <c r="G649" i="20"/>
  <c r="H649" i="20"/>
  <c r="L649" i="20"/>
  <c r="I649" i="20"/>
  <c r="J649" i="20"/>
  <c r="K649" i="20"/>
  <c r="C649" i="20"/>
  <c r="M649" i="20"/>
  <c r="O649" i="20"/>
  <c r="D649" i="20"/>
  <c r="N649" i="20"/>
  <c r="Q649" i="20"/>
  <c r="D526" i="20"/>
  <c r="E526" i="20"/>
  <c r="G526" i="20"/>
  <c r="I526" i="20"/>
  <c r="J526" i="20"/>
  <c r="K526" i="20"/>
  <c r="L526" i="20"/>
  <c r="O526" i="20"/>
  <c r="P526" i="20"/>
  <c r="Q526" i="20"/>
  <c r="C526" i="20"/>
  <c r="B526" i="20"/>
  <c r="H526" i="20"/>
  <c r="N526" i="20"/>
  <c r="F526" i="20"/>
  <c r="R526" i="20"/>
  <c r="M526" i="20"/>
  <c r="C470" i="20"/>
  <c r="B470" i="20"/>
  <c r="D470" i="20"/>
  <c r="M470" i="20"/>
  <c r="G470" i="20"/>
  <c r="I470" i="20"/>
  <c r="J470" i="20"/>
  <c r="E470" i="20"/>
  <c r="F470" i="20"/>
  <c r="L470" i="20"/>
  <c r="R470" i="20"/>
  <c r="Q470" i="20"/>
  <c r="P470" i="20"/>
  <c r="O470" i="20"/>
  <c r="N470" i="20"/>
  <c r="K470" i="20"/>
  <c r="H470" i="20"/>
  <c r="H505" i="20"/>
  <c r="I505" i="20"/>
  <c r="J505" i="20"/>
  <c r="K505" i="20"/>
  <c r="L505" i="20"/>
  <c r="N505" i="20"/>
  <c r="P505" i="20"/>
  <c r="B505" i="20"/>
  <c r="Q505" i="20"/>
  <c r="D505" i="20"/>
  <c r="R505" i="20"/>
  <c r="E505" i="20"/>
  <c r="F505" i="20"/>
  <c r="G505" i="20"/>
  <c r="M505" i="20"/>
  <c r="C505" i="20"/>
  <c r="O505" i="20"/>
  <c r="D752" i="20"/>
  <c r="J752" i="20"/>
  <c r="K752" i="20"/>
  <c r="L752" i="20"/>
  <c r="N752" i="20"/>
  <c r="O752" i="20"/>
  <c r="P752" i="20"/>
  <c r="B752" i="20"/>
  <c r="C752" i="20"/>
  <c r="F752" i="20"/>
  <c r="I752" i="20"/>
  <c r="E752" i="20"/>
  <c r="R752" i="20"/>
  <c r="Q752" i="20"/>
  <c r="M752" i="20"/>
  <c r="H752" i="20"/>
  <c r="G752" i="20"/>
  <c r="I697" i="20"/>
  <c r="B697" i="20"/>
  <c r="P697" i="20"/>
  <c r="E697" i="20"/>
  <c r="F697" i="20"/>
  <c r="H697" i="20"/>
  <c r="J697" i="20"/>
  <c r="L697" i="20"/>
  <c r="M697" i="20"/>
  <c r="N697" i="20"/>
  <c r="O697" i="20"/>
  <c r="Q697" i="20"/>
  <c r="R697" i="20"/>
  <c r="C697" i="20"/>
  <c r="D697" i="20"/>
  <c r="G697" i="20"/>
  <c r="K697" i="20"/>
  <c r="B647" i="20"/>
  <c r="K647" i="20"/>
  <c r="L647" i="20"/>
  <c r="N647" i="20"/>
  <c r="I647" i="20"/>
  <c r="J647" i="20"/>
  <c r="H647" i="20"/>
  <c r="G647" i="20"/>
  <c r="C647" i="20"/>
  <c r="O647" i="20"/>
  <c r="M647" i="20"/>
  <c r="F647" i="20"/>
  <c r="R647" i="20"/>
  <c r="E647" i="20"/>
  <c r="Q647" i="20"/>
  <c r="P647" i="20"/>
  <c r="D647" i="20"/>
  <c r="B703" i="20"/>
  <c r="N703" i="20"/>
  <c r="D703" i="20"/>
  <c r="L703" i="20"/>
  <c r="O703" i="20"/>
  <c r="Q703" i="20"/>
  <c r="R703" i="20"/>
  <c r="C703" i="20"/>
  <c r="E703" i="20"/>
  <c r="F703" i="20"/>
  <c r="I703" i="20"/>
  <c r="J703" i="20"/>
  <c r="P703" i="20"/>
  <c r="G703" i="20"/>
  <c r="K703" i="20"/>
  <c r="H703" i="20"/>
  <c r="M703" i="20"/>
  <c r="B451" i="20"/>
  <c r="E451" i="20"/>
  <c r="F451" i="20"/>
  <c r="G451" i="20"/>
  <c r="H451" i="20"/>
  <c r="I451" i="20"/>
  <c r="J451" i="20"/>
  <c r="K451" i="20"/>
  <c r="L451" i="20"/>
  <c r="M451" i="20"/>
  <c r="Q451" i="20"/>
  <c r="R451" i="20"/>
  <c r="P451" i="20"/>
  <c r="N451" i="20"/>
  <c r="D451" i="20"/>
  <c r="O451" i="20"/>
  <c r="C451" i="20"/>
  <c r="G580" i="20"/>
  <c r="D580" i="20"/>
  <c r="E580" i="20"/>
  <c r="I580" i="20"/>
  <c r="J580" i="20"/>
  <c r="L580" i="20"/>
  <c r="O580" i="20"/>
  <c r="P580" i="20"/>
  <c r="Q580" i="20"/>
  <c r="C580" i="20"/>
  <c r="H580" i="20"/>
  <c r="K580" i="20"/>
  <c r="M580" i="20"/>
  <c r="B580" i="20"/>
  <c r="N580" i="20"/>
  <c r="F580" i="20"/>
  <c r="R580" i="20"/>
  <c r="C458" i="20"/>
  <c r="B458" i="20"/>
  <c r="D458" i="20"/>
  <c r="E458" i="20"/>
  <c r="F458" i="20"/>
  <c r="G458" i="20"/>
  <c r="K458" i="20"/>
  <c r="L458" i="20"/>
  <c r="M458" i="20"/>
  <c r="P458" i="20"/>
  <c r="Q458" i="20"/>
  <c r="O458" i="20"/>
  <c r="H458" i="20"/>
  <c r="I458" i="20"/>
  <c r="J458" i="20"/>
  <c r="R458" i="20"/>
  <c r="N458" i="20"/>
  <c r="F742" i="20"/>
  <c r="G742" i="20"/>
  <c r="H742" i="20"/>
  <c r="I742" i="20"/>
  <c r="K742" i="20"/>
  <c r="L742" i="20"/>
  <c r="M742" i="20"/>
  <c r="N742" i="20"/>
  <c r="O742" i="20"/>
  <c r="B742" i="20"/>
  <c r="P742" i="20"/>
  <c r="C742" i="20"/>
  <c r="R742" i="20"/>
  <c r="D742" i="20"/>
  <c r="E742" i="20"/>
  <c r="Q742" i="20"/>
  <c r="J742" i="20"/>
  <c r="C679" i="20"/>
  <c r="Q679" i="20"/>
  <c r="R679" i="20"/>
  <c r="D679" i="20"/>
  <c r="G679" i="20"/>
  <c r="L679" i="20"/>
  <c r="H679" i="20"/>
  <c r="I679" i="20"/>
  <c r="P679" i="20"/>
  <c r="M679" i="20"/>
  <c r="J679" i="20"/>
  <c r="O679" i="20"/>
  <c r="K679" i="20"/>
  <c r="E679" i="20"/>
  <c r="B679" i="20"/>
  <c r="F679" i="20"/>
  <c r="N679" i="20"/>
  <c r="C590" i="20"/>
  <c r="D590" i="20"/>
  <c r="E590" i="20"/>
  <c r="B590" i="20"/>
  <c r="F590" i="20"/>
  <c r="R590" i="20"/>
  <c r="I590" i="20"/>
  <c r="L590" i="20"/>
  <c r="M590" i="20"/>
  <c r="H590" i="20"/>
  <c r="O590" i="20"/>
  <c r="G590" i="20"/>
  <c r="P590" i="20"/>
  <c r="Q590" i="20"/>
  <c r="K590" i="20"/>
  <c r="N590" i="20"/>
  <c r="J590" i="20"/>
  <c r="G645" i="20"/>
  <c r="H645" i="20"/>
  <c r="I645" i="20"/>
  <c r="L645" i="20"/>
  <c r="F645" i="20"/>
  <c r="K645" i="20"/>
  <c r="M645" i="20"/>
  <c r="N645" i="20"/>
  <c r="P645" i="20"/>
  <c r="Q645" i="20"/>
  <c r="R645" i="20"/>
  <c r="B645" i="20"/>
  <c r="D645" i="20"/>
  <c r="E645" i="20"/>
  <c r="J645" i="20"/>
  <c r="C645" i="20"/>
  <c r="O645" i="20"/>
  <c r="D502" i="20"/>
  <c r="E502" i="20"/>
  <c r="F502" i="20"/>
  <c r="G502" i="20"/>
  <c r="R502" i="20"/>
  <c r="J502" i="20"/>
  <c r="L502" i="20"/>
  <c r="K502" i="20"/>
  <c r="M502" i="20"/>
  <c r="N502" i="20"/>
  <c r="I502" i="20"/>
  <c r="B502" i="20"/>
  <c r="O502" i="20"/>
  <c r="C502" i="20"/>
  <c r="Q502" i="20"/>
  <c r="H502" i="20"/>
  <c r="P502" i="20"/>
  <c r="G596" i="20"/>
  <c r="H596" i="20"/>
  <c r="I596" i="20"/>
  <c r="J596" i="20"/>
  <c r="K596" i="20"/>
  <c r="L596" i="20"/>
  <c r="M596" i="20"/>
  <c r="O596" i="20"/>
  <c r="C596" i="20"/>
  <c r="P596" i="20"/>
  <c r="D596" i="20"/>
  <c r="Q596" i="20"/>
  <c r="E596" i="20"/>
  <c r="R596" i="20"/>
  <c r="F596" i="20"/>
  <c r="B596" i="20"/>
  <c r="N596" i="20"/>
  <c r="C456" i="20"/>
  <c r="M456" i="20"/>
  <c r="N456" i="20"/>
  <c r="O456" i="20"/>
  <c r="B456" i="20"/>
  <c r="D456" i="20"/>
  <c r="F456" i="20"/>
  <c r="G456" i="20"/>
  <c r="L456" i="20"/>
  <c r="H456" i="20"/>
  <c r="I456" i="20"/>
  <c r="R456" i="20"/>
  <c r="J456" i="20"/>
  <c r="K456" i="20"/>
  <c r="E456" i="20"/>
  <c r="Q456" i="20"/>
  <c r="P456" i="20"/>
  <c r="E464" i="20"/>
  <c r="G464" i="20"/>
  <c r="M464" i="20"/>
  <c r="O464" i="20"/>
  <c r="L464" i="20"/>
  <c r="K464" i="20"/>
  <c r="H464" i="20"/>
  <c r="I464" i="20"/>
  <c r="J464" i="20"/>
  <c r="B464" i="20"/>
  <c r="Q464" i="20"/>
  <c r="C464" i="20"/>
  <c r="R464" i="20"/>
  <c r="N464" i="20"/>
  <c r="D464" i="20"/>
  <c r="F464" i="20"/>
  <c r="P464" i="20"/>
  <c r="C700" i="20"/>
  <c r="O700" i="20"/>
  <c r="I700" i="20"/>
  <c r="G700" i="20"/>
  <c r="H700" i="20"/>
  <c r="J700" i="20"/>
  <c r="K700" i="20"/>
  <c r="L700" i="20"/>
  <c r="M700" i="20"/>
  <c r="N700" i="20"/>
  <c r="P700" i="20"/>
  <c r="B700" i="20"/>
  <c r="Q700" i="20"/>
  <c r="D700" i="20"/>
  <c r="R700" i="20"/>
  <c r="E700" i="20"/>
  <c r="F700" i="20"/>
  <c r="G673" i="20"/>
  <c r="F673" i="20"/>
  <c r="C673" i="20"/>
  <c r="D673" i="20"/>
  <c r="E673" i="20"/>
  <c r="H673" i="20"/>
  <c r="L673" i="20"/>
  <c r="M673" i="20"/>
  <c r="O673" i="20"/>
  <c r="R673" i="20"/>
  <c r="P673" i="20"/>
  <c r="Q673" i="20"/>
  <c r="I673" i="20"/>
  <c r="N673" i="20"/>
  <c r="B673" i="20"/>
  <c r="J673" i="20"/>
  <c r="K673" i="20"/>
  <c r="C695" i="20"/>
  <c r="H695" i="20"/>
  <c r="J695" i="20"/>
  <c r="B695" i="20"/>
  <c r="D695" i="20"/>
  <c r="I695" i="20"/>
  <c r="L695" i="20"/>
  <c r="O695" i="20"/>
  <c r="P695" i="20"/>
  <c r="R695" i="20"/>
  <c r="Q695" i="20"/>
  <c r="M695" i="20"/>
  <c r="F695" i="20"/>
  <c r="G695" i="20"/>
  <c r="K695" i="20"/>
  <c r="E695" i="20"/>
  <c r="N695" i="20"/>
  <c r="B549" i="20"/>
  <c r="K549" i="20"/>
  <c r="O549" i="20"/>
  <c r="I549" i="20"/>
  <c r="J549" i="20"/>
  <c r="H549" i="20"/>
  <c r="L549" i="20"/>
  <c r="F549" i="20"/>
  <c r="E549" i="20"/>
  <c r="N549" i="20"/>
  <c r="R549" i="20"/>
  <c r="Q549" i="20"/>
  <c r="M549" i="20"/>
  <c r="D549" i="20"/>
  <c r="C549" i="20"/>
  <c r="G549" i="20"/>
  <c r="P549" i="20"/>
  <c r="M567" i="20"/>
  <c r="N567" i="20"/>
  <c r="O567" i="20"/>
  <c r="P567" i="20"/>
  <c r="Q567" i="20"/>
  <c r="B567" i="20"/>
  <c r="D567" i="20"/>
  <c r="C567" i="20"/>
  <c r="G567" i="20"/>
  <c r="R567" i="20"/>
  <c r="L567" i="20"/>
  <c r="I567" i="20"/>
  <c r="E567" i="20"/>
  <c r="K567" i="20"/>
  <c r="J567" i="20"/>
  <c r="F567" i="20"/>
  <c r="H567" i="20"/>
  <c r="P494" i="20"/>
  <c r="Q494" i="20"/>
  <c r="R494" i="20"/>
  <c r="B494" i="20"/>
  <c r="C494" i="20"/>
  <c r="D494" i="20"/>
  <c r="E494" i="20"/>
  <c r="O494" i="20"/>
  <c r="I494" i="20"/>
  <c r="J494" i="20"/>
  <c r="K494" i="20"/>
  <c r="F494" i="20"/>
  <c r="L494" i="20"/>
  <c r="N494" i="20"/>
  <c r="G494" i="20"/>
  <c r="M494" i="20"/>
  <c r="H494" i="20"/>
  <c r="M734" i="20"/>
  <c r="N734" i="20"/>
  <c r="O734" i="20"/>
  <c r="B734" i="20"/>
  <c r="P734" i="20"/>
  <c r="C734" i="20"/>
  <c r="R734" i="20"/>
  <c r="D734" i="20"/>
  <c r="F734" i="20"/>
  <c r="G734" i="20"/>
  <c r="H734" i="20"/>
  <c r="I734" i="20"/>
  <c r="K734" i="20"/>
  <c r="L734" i="20"/>
  <c r="E734" i="20"/>
  <c r="Q734" i="20"/>
  <c r="J734" i="20"/>
  <c r="C681" i="20"/>
  <c r="D681" i="20"/>
  <c r="E681" i="20"/>
  <c r="F681" i="20"/>
  <c r="L681" i="20"/>
  <c r="M681" i="20"/>
  <c r="H681" i="20"/>
  <c r="P681" i="20"/>
  <c r="Q681" i="20"/>
  <c r="R681" i="20"/>
  <c r="B681" i="20"/>
  <c r="N681" i="20"/>
  <c r="G681" i="20"/>
  <c r="I681" i="20"/>
  <c r="J681" i="20"/>
  <c r="K681" i="20"/>
  <c r="O681" i="20"/>
  <c r="B605" i="20"/>
  <c r="C605" i="20"/>
  <c r="D605" i="20"/>
  <c r="P605" i="20"/>
  <c r="Q605" i="20"/>
  <c r="O605" i="20"/>
  <c r="N605" i="20"/>
  <c r="H605" i="20"/>
  <c r="E605" i="20"/>
  <c r="R605" i="20"/>
  <c r="J605" i="20"/>
  <c r="K605" i="20"/>
  <c r="M605" i="20"/>
  <c r="F605" i="20"/>
  <c r="G605" i="20"/>
  <c r="I605" i="20"/>
  <c r="L605" i="20"/>
  <c r="M486" i="20"/>
  <c r="P486" i="20"/>
  <c r="L486" i="20"/>
  <c r="B486" i="20"/>
  <c r="Q486" i="20"/>
  <c r="O486" i="20"/>
  <c r="H486" i="20"/>
  <c r="R486" i="20"/>
  <c r="K486" i="20"/>
  <c r="I486" i="20"/>
  <c r="J486" i="20"/>
  <c r="N486" i="20"/>
  <c r="E486" i="20"/>
  <c r="F486" i="20"/>
  <c r="C486" i="20"/>
  <c r="D486" i="20"/>
  <c r="G486" i="20"/>
  <c r="B575" i="20"/>
  <c r="C575" i="20"/>
  <c r="D575" i="20"/>
  <c r="M575" i="20"/>
  <c r="O575" i="20"/>
  <c r="R575" i="20"/>
  <c r="N575" i="20"/>
  <c r="P575" i="20"/>
  <c r="F575" i="20"/>
  <c r="G575" i="20"/>
  <c r="Q575" i="20"/>
  <c r="H575" i="20"/>
  <c r="L575" i="20"/>
  <c r="E575" i="20"/>
  <c r="I575" i="20"/>
  <c r="J575" i="20"/>
  <c r="K575" i="20"/>
  <c r="E485" i="20"/>
  <c r="G485" i="20"/>
  <c r="J485" i="20"/>
  <c r="M485" i="20"/>
  <c r="Q485" i="20"/>
  <c r="R485" i="20"/>
  <c r="B485" i="20"/>
  <c r="N485" i="20"/>
  <c r="C485" i="20"/>
  <c r="O485" i="20"/>
  <c r="D485" i="20"/>
  <c r="P485" i="20"/>
  <c r="F485" i="20"/>
  <c r="H485" i="20"/>
  <c r="K485" i="20"/>
  <c r="I485" i="20"/>
  <c r="L485" i="20"/>
  <c r="C701" i="20"/>
  <c r="D701" i="20"/>
  <c r="O701" i="20"/>
  <c r="P701" i="20"/>
  <c r="R701" i="20"/>
  <c r="B701" i="20"/>
  <c r="Q701" i="20"/>
  <c r="N701" i="20"/>
  <c r="L701" i="20"/>
  <c r="H701" i="20"/>
  <c r="G701" i="20"/>
  <c r="I701" i="20"/>
  <c r="F701" i="20"/>
  <c r="K701" i="20"/>
  <c r="M701" i="20"/>
  <c r="E701" i="20"/>
  <c r="J701" i="20"/>
  <c r="K729" i="20"/>
  <c r="D729" i="20"/>
  <c r="E729" i="20"/>
  <c r="G729" i="20"/>
  <c r="N729" i="20"/>
  <c r="Q729" i="20"/>
  <c r="R729" i="20"/>
  <c r="B729" i="20"/>
  <c r="J729" i="20"/>
  <c r="I729" i="20"/>
  <c r="L729" i="20"/>
  <c r="H729" i="20"/>
  <c r="M729" i="20"/>
  <c r="F729" i="20"/>
  <c r="P729" i="20"/>
  <c r="C729" i="20"/>
  <c r="O729" i="20"/>
  <c r="K753" i="20"/>
  <c r="D753" i="20"/>
  <c r="G753" i="20"/>
  <c r="N753" i="20"/>
  <c r="Q753" i="20"/>
  <c r="M753" i="20"/>
  <c r="F753" i="20"/>
  <c r="R753" i="20"/>
  <c r="E753" i="20"/>
  <c r="P753" i="20"/>
  <c r="H753" i="20"/>
  <c r="C753" i="20"/>
  <c r="O753" i="20"/>
  <c r="L753" i="20"/>
  <c r="J753" i="20"/>
  <c r="B753" i="20"/>
  <c r="I753" i="20"/>
  <c r="P607" i="20"/>
  <c r="D607" i="20"/>
  <c r="E607" i="20"/>
  <c r="F607" i="20"/>
  <c r="G607" i="20"/>
  <c r="J607" i="20"/>
  <c r="H607" i="20"/>
  <c r="K607" i="20"/>
  <c r="I607" i="20"/>
  <c r="L607" i="20"/>
  <c r="M607" i="20"/>
  <c r="N607" i="20"/>
  <c r="B607" i="20"/>
  <c r="O607" i="20"/>
  <c r="Q607" i="20"/>
  <c r="C607" i="20"/>
  <c r="R607" i="20"/>
  <c r="G560" i="20"/>
  <c r="C560" i="20"/>
  <c r="D560" i="20"/>
  <c r="E560" i="20"/>
  <c r="H560" i="20"/>
  <c r="I560" i="20"/>
  <c r="K560" i="20"/>
  <c r="L560" i="20"/>
  <c r="M560" i="20"/>
  <c r="P560" i="20"/>
  <c r="O560" i="20"/>
  <c r="Q560" i="20"/>
  <c r="J560" i="20"/>
  <c r="N560" i="20"/>
  <c r="F560" i="20"/>
  <c r="R560" i="20"/>
  <c r="B560" i="20"/>
  <c r="E541" i="20"/>
  <c r="M541" i="20"/>
  <c r="N541" i="20"/>
  <c r="P541" i="20"/>
  <c r="Q541" i="20"/>
  <c r="R541" i="20"/>
  <c r="B541" i="20"/>
  <c r="D541" i="20"/>
  <c r="K541" i="20"/>
  <c r="H541" i="20"/>
  <c r="J541" i="20"/>
  <c r="L541" i="20"/>
  <c r="G541" i="20"/>
  <c r="C541" i="20"/>
  <c r="O541" i="20"/>
  <c r="F541" i="20"/>
  <c r="I541" i="20"/>
  <c r="B493" i="20"/>
  <c r="E493" i="20"/>
  <c r="F493" i="20"/>
  <c r="G493" i="20"/>
  <c r="Q493" i="20"/>
  <c r="R493" i="20"/>
  <c r="K493" i="20"/>
  <c r="J493" i="20"/>
  <c r="H493" i="20"/>
  <c r="C493" i="20"/>
  <c r="O493" i="20"/>
  <c r="D493" i="20"/>
  <c r="L493" i="20"/>
  <c r="P493" i="20"/>
  <c r="M493" i="20"/>
  <c r="N493" i="20"/>
  <c r="I493" i="20"/>
  <c r="B508" i="20"/>
  <c r="C508" i="20"/>
  <c r="F508" i="20"/>
  <c r="I508" i="20"/>
  <c r="L508" i="20"/>
  <c r="M508" i="20"/>
  <c r="N508" i="20"/>
  <c r="O508" i="20"/>
  <c r="R508" i="20"/>
  <c r="Q508" i="20"/>
  <c r="G508" i="20"/>
  <c r="H508" i="20"/>
  <c r="K508" i="20"/>
  <c r="E508" i="20"/>
  <c r="J508" i="20"/>
  <c r="D508" i="20"/>
  <c r="P508" i="20"/>
  <c r="I666" i="20"/>
  <c r="M666" i="20"/>
  <c r="B666" i="20"/>
  <c r="R666" i="20"/>
  <c r="F666" i="20"/>
  <c r="G666" i="20"/>
  <c r="H666" i="20"/>
  <c r="J666" i="20"/>
  <c r="K666" i="20"/>
  <c r="N666" i="20"/>
  <c r="O666" i="20"/>
  <c r="Q666" i="20"/>
  <c r="D666" i="20"/>
  <c r="E666" i="20"/>
  <c r="L666" i="20"/>
  <c r="P666" i="20"/>
  <c r="C666" i="20"/>
  <c r="C687" i="20"/>
  <c r="P687" i="20"/>
  <c r="Q687" i="20"/>
  <c r="B687" i="20"/>
  <c r="E687" i="20"/>
  <c r="H687" i="20"/>
  <c r="J687" i="20"/>
  <c r="L687" i="20"/>
  <c r="M687" i="20"/>
  <c r="O687" i="20"/>
  <c r="D687" i="20"/>
  <c r="G687" i="20"/>
  <c r="I687" i="20"/>
  <c r="K687" i="20"/>
  <c r="R687" i="20"/>
  <c r="N687" i="20"/>
  <c r="F687" i="20"/>
  <c r="D686" i="20"/>
  <c r="P686" i="20"/>
  <c r="E686" i="20"/>
  <c r="Q686" i="20"/>
  <c r="F686" i="20"/>
  <c r="R686" i="20"/>
  <c r="G686" i="20"/>
  <c r="H686" i="20"/>
  <c r="J686" i="20"/>
  <c r="B686" i="20"/>
  <c r="C686" i="20"/>
  <c r="I686" i="20"/>
  <c r="K686" i="20"/>
  <c r="L686" i="20"/>
  <c r="M686" i="20"/>
  <c r="N686" i="20"/>
  <c r="O686" i="20"/>
  <c r="C513" i="20"/>
  <c r="G513" i="20"/>
  <c r="H513" i="20"/>
  <c r="I513" i="20"/>
  <c r="N513" i="20"/>
  <c r="Q513" i="20"/>
  <c r="R513" i="20"/>
  <c r="B513" i="20"/>
  <c r="E513" i="20"/>
  <c r="P513" i="20"/>
  <c r="F513" i="20"/>
  <c r="O513" i="20"/>
  <c r="J513" i="20"/>
  <c r="M513" i="20"/>
  <c r="L513" i="20"/>
  <c r="K513" i="20"/>
  <c r="D513" i="20"/>
  <c r="B531" i="20"/>
  <c r="Q531" i="20"/>
  <c r="C531" i="20"/>
  <c r="R531" i="20"/>
  <c r="D531" i="20"/>
  <c r="E531" i="20"/>
  <c r="F531" i="20"/>
  <c r="G531" i="20"/>
  <c r="I531" i="20"/>
  <c r="K531" i="20"/>
  <c r="M531" i="20"/>
  <c r="N531" i="20"/>
  <c r="O531" i="20"/>
  <c r="P531" i="20"/>
  <c r="H531" i="20"/>
  <c r="L531" i="20"/>
  <c r="J531" i="20"/>
  <c r="B454" i="20"/>
  <c r="D454" i="20"/>
  <c r="I454" i="20"/>
  <c r="J454" i="20"/>
  <c r="K454" i="20"/>
  <c r="L454" i="20"/>
  <c r="C454" i="20"/>
  <c r="E454" i="20"/>
  <c r="Q454" i="20"/>
  <c r="F454" i="20"/>
  <c r="M454" i="20"/>
  <c r="N454" i="20"/>
  <c r="O454" i="20"/>
  <c r="G454" i="20"/>
  <c r="P454" i="20"/>
  <c r="H454" i="20"/>
  <c r="R454" i="20"/>
  <c r="B214" i="20"/>
  <c r="C214" i="20"/>
  <c r="D214" i="20"/>
  <c r="H214" i="20"/>
  <c r="I214" i="20"/>
  <c r="M214" i="20"/>
  <c r="N214" i="20"/>
  <c r="O214" i="20"/>
  <c r="P214" i="20"/>
  <c r="Q214" i="20"/>
  <c r="L214" i="20"/>
  <c r="K214" i="20"/>
  <c r="F214" i="20"/>
  <c r="J214" i="20"/>
  <c r="R214" i="20"/>
  <c r="G214" i="20"/>
  <c r="E214" i="20"/>
  <c r="F202" i="20"/>
  <c r="I202" i="20"/>
  <c r="M202" i="20"/>
  <c r="C202" i="20"/>
  <c r="D202" i="20"/>
  <c r="E202" i="20"/>
  <c r="H202" i="20"/>
  <c r="J202" i="20"/>
  <c r="K202" i="20"/>
  <c r="L202" i="20"/>
  <c r="N202" i="20"/>
  <c r="O202" i="20"/>
  <c r="P202" i="20"/>
  <c r="Q202" i="20"/>
  <c r="B202" i="20"/>
  <c r="R202" i="20"/>
  <c r="G202" i="20"/>
  <c r="B248" i="20"/>
  <c r="P248" i="20"/>
  <c r="Q248" i="20"/>
  <c r="O248" i="20"/>
  <c r="F248" i="20"/>
  <c r="K248" i="20"/>
  <c r="G248" i="20"/>
  <c r="M248" i="20"/>
  <c r="L248" i="20"/>
  <c r="I248" i="20"/>
  <c r="E248" i="20"/>
  <c r="H248" i="20"/>
  <c r="D248" i="20"/>
  <c r="N248" i="20"/>
  <c r="R248" i="20"/>
  <c r="C248" i="20"/>
  <c r="J248" i="20"/>
  <c r="G317" i="20"/>
  <c r="J317" i="20"/>
  <c r="Q317" i="20"/>
  <c r="R317" i="20"/>
  <c r="N317" i="20"/>
  <c r="D317" i="20"/>
  <c r="P317" i="20"/>
  <c r="O317" i="20"/>
  <c r="C317" i="20"/>
  <c r="E317" i="20"/>
  <c r="F317" i="20"/>
  <c r="H317" i="20"/>
  <c r="I317" i="20"/>
  <c r="K317" i="20"/>
  <c r="L317" i="20"/>
  <c r="M317" i="20"/>
  <c r="B317" i="20"/>
  <c r="H412" i="20"/>
  <c r="R412" i="20"/>
  <c r="B412" i="20"/>
  <c r="D412" i="20"/>
  <c r="E412" i="20"/>
  <c r="F412" i="20"/>
  <c r="G412" i="20"/>
  <c r="I412" i="20"/>
  <c r="J412" i="20"/>
  <c r="L412" i="20"/>
  <c r="N412" i="20"/>
  <c r="P412" i="20"/>
  <c r="Q412" i="20"/>
  <c r="C412" i="20"/>
  <c r="O412" i="20"/>
  <c r="M412" i="20"/>
  <c r="K412" i="20"/>
  <c r="B442" i="20"/>
  <c r="L442" i="20"/>
  <c r="O442" i="20"/>
  <c r="G442" i="20"/>
  <c r="J442" i="20"/>
  <c r="K442" i="20"/>
  <c r="C442" i="20"/>
  <c r="F442" i="20"/>
  <c r="N442" i="20"/>
  <c r="I442" i="20"/>
  <c r="E442" i="20"/>
  <c r="R442" i="20"/>
  <c r="D442" i="20"/>
  <c r="P442" i="20"/>
  <c r="M442" i="20"/>
  <c r="Q442" i="20"/>
  <c r="H442" i="20"/>
  <c r="B141" i="20"/>
  <c r="H141" i="20"/>
  <c r="I141" i="20"/>
  <c r="J141" i="20"/>
  <c r="K141" i="20"/>
  <c r="L141" i="20"/>
  <c r="M141" i="20"/>
  <c r="P141" i="20"/>
  <c r="Q141" i="20"/>
  <c r="D141" i="20"/>
  <c r="R141" i="20"/>
  <c r="E141" i="20"/>
  <c r="F141" i="20"/>
  <c r="G141" i="20"/>
  <c r="N141" i="20"/>
  <c r="O141" i="20"/>
  <c r="C141" i="20"/>
  <c r="H280" i="20"/>
  <c r="I280" i="20"/>
  <c r="J280" i="20"/>
  <c r="L280" i="20"/>
  <c r="M280" i="20"/>
  <c r="N280" i="20"/>
  <c r="P280" i="20"/>
  <c r="B280" i="20"/>
  <c r="Q280" i="20"/>
  <c r="D280" i="20"/>
  <c r="R280" i="20"/>
  <c r="E280" i="20"/>
  <c r="F280" i="20"/>
  <c r="G280" i="20"/>
  <c r="C280" i="20"/>
  <c r="O280" i="20"/>
  <c r="K280" i="20"/>
  <c r="D192" i="20"/>
  <c r="K192" i="20"/>
  <c r="O192" i="20"/>
  <c r="L192" i="20"/>
  <c r="R192" i="20"/>
  <c r="B192" i="20"/>
  <c r="P192" i="20"/>
  <c r="C192" i="20"/>
  <c r="Q192" i="20"/>
  <c r="E192" i="20"/>
  <c r="F192" i="20"/>
  <c r="G192" i="20"/>
  <c r="J192" i="20"/>
  <c r="H192" i="20"/>
  <c r="M192" i="20"/>
  <c r="N192" i="20"/>
  <c r="I192" i="20"/>
  <c r="C154" i="20"/>
  <c r="D154" i="20"/>
  <c r="F154" i="20"/>
  <c r="J154" i="20"/>
  <c r="H154" i="20"/>
  <c r="O154" i="20"/>
  <c r="I154" i="20"/>
  <c r="K154" i="20"/>
  <c r="R154" i="20"/>
  <c r="L154" i="20"/>
  <c r="B154" i="20"/>
  <c r="M154" i="20"/>
  <c r="N154" i="20"/>
  <c r="E154" i="20"/>
  <c r="Q154" i="20"/>
  <c r="P154" i="20"/>
  <c r="G154" i="20"/>
  <c r="R363" i="20"/>
  <c r="C363" i="20"/>
  <c r="E363" i="20"/>
  <c r="I363" i="20"/>
  <c r="G363" i="20"/>
  <c r="J363" i="20"/>
  <c r="L363" i="20"/>
  <c r="M363" i="20"/>
  <c r="N363" i="20"/>
  <c r="Q363" i="20"/>
  <c r="D363" i="20"/>
  <c r="O363" i="20"/>
  <c r="F363" i="20"/>
  <c r="H363" i="20"/>
  <c r="P363" i="20"/>
  <c r="K363" i="20"/>
  <c r="B363" i="20"/>
  <c r="B257" i="20"/>
  <c r="O257" i="20"/>
  <c r="Q257" i="20"/>
  <c r="L257" i="20"/>
  <c r="J257" i="20"/>
  <c r="M257" i="20"/>
  <c r="K257" i="20"/>
  <c r="E257" i="20"/>
  <c r="N257" i="20"/>
  <c r="G257" i="20"/>
  <c r="F257" i="20"/>
  <c r="R257" i="20"/>
  <c r="D257" i="20"/>
  <c r="H257" i="20"/>
  <c r="C257" i="20"/>
  <c r="P257" i="20"/>
  <c r="I257" i="20"/>
  <c r="B184" i="20"/>
  <c r="C184" i="20"/>
  <c r="D184" i="20"/>
  <c r="E184" i="20"/>
  <c r="M184" i="20"/>
  <c r="N184" i="20"/>
  <c r="R184" i="20"/>
  <c r="O184" i="20"/>
  <c r="Q184" i="20"/>
  <c r="P184" i="20"/>
  <c r="H184" i="20"/>
  <c r="I184" i="20"/>
  <c r="K184" i="20"/>
  <c r="F184" i="20"/>
  <c r="G184" i="20"/>
  <c r="J184" i="20"/>
  <c r="L184" i="20"/>
  <c r="E424" i="20"/>
  <c r="B424" i="20"/>
  <c r="D424" i="20"/>
  <c r="F424" i="20"/>
  <c r="H424" i="20"/>
  <c r="I424" i="20"/>
  <c r="J424" i="20"/>
  <c r="K424" i="20"/>
  <c r="L424" i="20"/>
  <c r="M424" i="20"/>
  <c r="N424" i="20"/>
  <c r="P424" i="20"/>
  <c r="Q424" i="20"/>
  <c r="O424" i="20"/>
  <c r="R424" i="20"/>
  <c r="C424" i="20"/>
  <c r="G424" i="20"/>
  <c r="D371" i="20"/>
  <c r="F371" i="20"/>
  <c r="I371" i="20"/>
  <c r="Q371" i="20"/>
  <c r="B371" i="20"/>
  <c r="C371" i="20"/>
  <c r="G371" i="20"/>
  <c r="H371" i="20"/>
  <c r="N371" i="20"/>
  <c r="O371" i="20"/>
  <c r="P371" i="20"/>
  <c r="E371" i="20"/>
  <c r="K371" i="20"/>
  <c r="J371" i="20"/>
  <c r="R371" i="20"/>
  <c r="L371" i="20"/>
  <c r="M371" i="20"/>
  <c r="C295" i="20"/>
  <c r="E295" i="20"/>
  <c r="F295" i="20"/>
  <c r="G295" i="20"/>
  <c r="H295" i="20"/>
  <c r="M295" i="20"/>
  <c r="O295" i="20"/>
  <c r="L295" i="20"/>
  <c r="Q295" i="20"/>
  <c r="B295" i="20"/>
  <c r="J295" i="20"/>
  <c r="N295" i="20"/>
  <c r="D295" i="20"/>
  <c r="P295" i="20"/>
  <c r="R295" i="20"/>
  <c r="I295" i="20"/>
  <c r="K295" i="20"/>
  <c r="E176" i="20"/>
  <c r="P176" i="20"/>
  <c r="B176" i="20"/>
  <c r="C176" i="20"/>
  <c r="D176" i="20"/>
  <c r="Q176" i="20"/>
  <c r="R176" i="20"/>
  <c r="M176" i="20"/>
  <c r="H176" i="20"/>
  <c r="I176" i="20"/>
  <c r="N176" i="20"/>
  <c r="K176" i="20"/>
  <c r="J176" i="20"/>
  <c r="F176" i="20"/>
  <c r="O176" i="20"/>
  <c r="G176" i="20"/>
  <c r="L176" i="20"/>
  <c r="E265" i="20"/>
  <c r="G265" i="20"/>
  <c r="J265" i="20"/>
  <c r="M265" i="20"/>
  <c r="N265" i="20"/>
  <c r="B265" i="20"/>
  <c r="Q265" i="20"/>
  <c r="P265" i="20"/>
  <c r="C265" i="20"/>
  <c r="D265" i="20"/>
  <c r="H265" i="20"/>
  <c r="K265" i="20"/>
  <c r="O265" i="20"/>
  <c r="R265" i="20"/>
  <c r="F265" i="20"/>
  <c r="I265" i="20"/>
  <c r="L265" i="20"/>
  <c r="D175" i="20"/>
  <c r="F175" i="20"/>
  <c r="G175" i="20"/>
  <c r="H175" i="20"/>
  <c r="E175" i="20"/>
  <c r="Q175" i="20"/>
  <c r="M175" i="20"/>
  <c r="P175" i="20"/>
  <c r="B175" i="20"/>
  <c r="K175" i="20"/>
  <c r="I175" i="20"/>
  <c r="N175" i="20"/>
  <c r="R175" i="20"/>
  <c r="C175" i="20"/>
  <c r="J175" i="20"/>
  <c r="O175" i="20"/>
  <c r="L175" i="20"/>
  <c r="B391" i="20"/>
  <c r="H391" i="20"/>
  <c r="C391" i="20"/>
  <c r="G391" i="20"/>
  <c r="P391" i="20"/>
  <c r="O391" i="20"/>
  <c r="N391" i="20"/>
  <c r="L391" i="20"/>
  <c r="J391" i="20"/>
  <c r="I391" i="20"/>
  <c r="E391" i="20"/>
  <c r="R391" i="20"/>
  <c r="M391" i="20"/>
  <c r="Q391" i="20"/>
  <c r="F391" i="20"/>
  <c r="K391" i="20"/>
  <c r="D391" i="20"/>
  <c r="E419" i="20"/>
  <c r="K419" i="20"/>
  <c r="R419" i="20"/>
  <c r="G419" i="20"/>
  <c r="F419" i="20"/>
  <c r="H419" i="20"/>
  <c r="J419" i="20"/>
  <c r="M419" i="20"/>
  <c r="L419" i="20"/>
  <c r="C419" i="20"/>
  <c r="P419" i="20"/>
  <c r="N419" i="20"/>
  <c r="Q419" i="20"/>
  <c r="O419" i="20"/>
  <c r="B419" i="20"/>
  <c r="D419" i="20"/>
  <c r="I419" i="20"/>
  <c r="P443" i="20"/>
  <c r="Q443" i="20"/>
  <c r="R443" i="20"/>
  <c r="C443" i="20"/>
  <c r="D443" i="20"/>
  <c r="E443" i="20"/>
  <c r="F443" i="20"/>
  <c r="G443" i="20"/>
  <c r="J443" i="20"/>
  <c r="K443" i="20"/>
  <c r="L443" i="20"/>
  <c r="O443" i="20"/>
  <c r="I443" i="20"/>
  <c r="B443" i="20"/>
  <c r="N443" i="20"/>
  <c r="H443" i="20"/>
  <c r="M443" i="20"/>
  <c r="C297" i="20"/>
  <c r="E297" i="20"/>
  <c r="F297" i="20"/>
  <c r="G297" i="20"/>
  <c r="H297" i="20"/>
  <c r="M297" i="20"/>
  <c r="O297" i="20"/>
  <c r="L297" i="20"/>
  <c r="B297" i="20"/>
  <c r="N297" i="20"/>
  <c r="D297" i="20"/>
  <c r="P297" i="20"/>
  <c r="R297" i="20"/>
  <c r="Q297" i="20"/>
  <c r="J297" i="20"/>
  <c r="K297" i="20"/>
  <c r="I297" i="20"/>
  <c r="G144" i="20"/>
  <c r="O144" i="20"/>
  <c r="P144" i="20"/>
  <c r="R144" i="20"/>
  <c r="C144" i="20"/>
  <c r="D144" i="20"/>
  <c r="F144" i="20"/>
  <c r="M144" i="20"/>
  <c r="E144" i="20"/>
  <c r="K144" i="20"/>
  <c r="L144" i="20"/>
  <c r="I144" i="20"/>
  <c r="N144" i="20"/>
  <c r="B144" i="20"/>
  <c r="H144" i="20"/>
  <c r="Q144" i="20"/>
  <c r="J144" i="20"/>
  <c r="B182" i="20"/>
  <c r="O182" i="20"/>
  <c r="P182" i="20"/>
  <c r="D182" i="20"/>
  <c r="E182" i="20"/>
  <c r="F182" i="20"/>
  <c r="G182" i="20"/>
  <c r="J182" i="20"/>
  <c r="N182" i="20"/>
  <c r="R182" i="20"/>
  <c r="L182" i="20"/>
  <c r="C182" i="20"/>
  <c r="H182" i="20"/>
  <c r="Q182" i="20"/>
  <c r="K182" i="20"/>
  <c r="M182" i="20"/>
  <c r="I182" i="20"/>
  <c r="B244" i="20"/>
  <c r="D244" i="20"/>
  <c r="P244" i="20"/>
  <c r="R244" i="20"/>
  <c r="C244" i="20"/>
  <c r="M244" i="20"/>
  <c r="J244" i="20"/>
  <c r="K244" i="20"/>
  <c r="G244" i="20"/>
  <c r="L244" i="20"/>
  <c r="O244" i="20"/>
  <c r="H244" i="20"/>
  <c r="N244" i="20"/>
  <c r="I244" i="20"/>
  <c r="F244" i="20"/>
  <c r="Q244" i="20"/>
  <c r="E244" i="20"/>
  <c r="G241" i="20"/>
  <c r="H241" i="20"/>
  <c r="J241" i="20"/>
  <c r="K241" i="20"/>
  <c r="L241" i="20"/>
  <c r="N241" i="20"/>
  <c r="B241" i="20"/>
  <c r="M241" i="20"/>
  <c r="R241" i="20"/>
  <c r="D241" i="20"/>
  <c r="P241" i="20"/>
  <c r="E241" i="20"/>
  <c r="Q241" i="20"/>
  <c r="I241" i="20"/>
  <c r="O241" i="20"/>
  <c r="C241" i="20"/>
  <c r="F241" i="20"/>
  <c r="M282" i="20"/>
  <c r="N282" i="20"/>
  <c r="B282" i="20"/>
  <c r="P282" i="20"/>
  <c r="D282" i="20"/>
  <c r="Q282" i="20"/>
  <c r="E282" i="20"/>
  <c r="R282" i="20"/>
  <c r="F282" i="20"/>
  <c r="G282" i="20"/>
  <c r="H282" i="20"/>
  <c r="I282" i="20"/>
  <c r="J282" i="20"/>
  <c r="K282" i="20"/>
  <c r="L282" i="20"/>
  <c r="C282" i="20"/>
  <c r="O282" i="20"/>
  <c r="D339" i="20"/>
  <c r="E339" i="20"/>
  <c r="H339" i="20"/>
  <c r="J339" i="20"/>
  <c r="M339" i="20"/>
  <c r="N339" i="20"/>
  <c r="K339" i="20"/>
  <c r="B339" i="20"/>
  <c r="O339" i="20"/>
  <c r="R339" i="20"/>
  <c r="C339" i="20"/>
  <c r="Q339" i="20"/>
  <c r="P339" i="20"/>
  <c r="F339" i="20"/>
  <c r="I339" i="20"/>
  <c r="G339" i="20"/>
  <c r="L339" i="20"/>
  <c r="B337" i="20"/>
  <c r="E337" i="20"/>
  <c r="G337" i="20"/>
  <c r="I337" i="20"/>
  <c r="J337" i="20"/>
  <c r="D337" i="20"/>
  <c r="Q337" i="20"/>
  <c r="O337" i="20"/>
  <c r="N337" i="20"/>
  <c r="K337" i="20"/>
  <c r="F337" i="20"/>
  <c r="L337" i="20"/>
  <c r="M337" i="20"/>
  <c r="C337" i="20"/>
  <c r="H337" i="20"/>
  <c r="R337" i="20"/>
  <c r="P337" i="20"/>
  <c r="K335" i="20"/>
  <c r="C335" i="20"/>
  <c r="D335" i="20"/>
  <c r="E335" i="20"/>
  <c r="F335" i="20"/>
  <c r="G335" i="20"/>
  <c r="J335" i="20"/>
  <c r="L335" i="20"/>
  <c r="N335" i="20"/>
  <c r="O335" i="20"/>
  <c r="P335" i="20"/>
  <c r="Q335" i="20"/>
  <c r="B335" i="20"/>
  <c r="R335" i="20"/>
  <c r="M335" i="20"/>
  <c r="I335" i="20"/>
  <c r="H335" i="20"/>
  <c r="C385" i="20"/>
  <c r="R385" i="20"/>
  <c r="D385" i="20"/>
  <c r="E385" i="20"/>
  <c r="F385" i="20"/>
  <c r="G385" i="20"/>
  <c r="I385" i="20"/>
  <c r="K385" i="20"/>
  <c r="J385" i="20"/>
  <c r="L385" i="20"/>
  <c r="B385" i="20"/>
  <c r="M385" i="20"/>
  <c r="O385" i="20"/>
  <c r="N385" i="20"/>
  <c r="P385" i="20"/>
  <c r="Q385" i="20"/>
  <c r="H385" i="20"/>
  <c r="L203" i="20"/>
  <c r="D203" i="20"/>
  <c r="Q203" i="20"/>
  <c r="H203" i="20"/>
  <c r="B203" i="20"/>
  <c r="R203" i="20"/>
  <c r="C203" i="20"/>
  <c r="E203" i="20"/>
  <c r="F203" i="20"/>
  <c r="G203" i="20"/>
  <c r="I203" i="20"/>
  <c r="J203" i="20"/>
  <c r="K203" i="20"/>
  <c r="M203" i="20"/>
  <c r="N203" i="20"/>
  <c r="O203" i="20"/>
  <c r="P203" i="20"/>
  <c r="C202" i="10"/>
  <c r="K433" i="10"/>
  <c r="B332" i="20"/>
  <c r="P332" i="20"/>
  <c r="C332" i="20"/>
  <c r="R332" i="20"/>
  <c r="D332" i="20"/>
  <c r="F332" i="20"/>
  <c r="G332" i="20"/>
  <c r="H332" i="20"/>
  <c r="I332" i="20"/>
  <c r="K332" i="20"/>
  <c r="L332" i="20"/>
  <c r="M332" i="20"/>
  <c r="N332" i="20"/>
  <c r="O332" i="20"/>
  <c r="E332" i="20"/>
  <c r="Q332" i="20"/>
  <c r="J332" i="20"/>
  <c r="G353" i="20"/>
  <c r="D353" i="20"/>
  <c r="F353" i="20"/>
  <c r="N353" i="20"/>
  <c r="C353" i="20"/>
  <c r="E353" i="20"/>
  <c r="K353" i="20"/>
  <c r="L353" i="20"/>
  <c r="P353" i="20"/>
  <c r="O353" i="20"/>
  <c r="B353" i="20"/>
  <c r="Q353" i="20"/>
  <c r="R353" i="20"/>
  <c r="H353" i="20"/>
  <c r="I353" i="20"/>
  <c r="J353" i="20"/>
  <c r="M353" i="20"/>
  <c r="B300" i="20"/>
  <c r="C300" i="20"/>
  <c r="D300" i="20"/>
  <c r="G300" i="20"/>
  <c r="I300" i="20"/>
  <c r="M300" i="20"/>
  <c r="N300" i="20"/>
  <c r="P300" i="20"/>
  <c r="Q300" i="20"/>
  <c r="K300" i="20"/>
  <c r="F300" i="20"/>
  <c r="O300" i="20"/>
  <c r="R300" i="20"/>
  <c r="H300" i="20"/>
  <c r="J300" i="20"/>
  <c r="E300" i="20"/>
  <c r="L300" i="20"/>
  <c r="H272" i="20"/>
  <c r="N272" i="20"/>
  <c r="P272" i="20"/>
  <c r="G272" i="20"/>
  <c r="I272" i="20"/>
  <c r="J272" i="20"/>
  <c r="L272" i="20"/>
  <c r="M272" i="20"/>
  <c r="Q272" i="20"/>
  <c r="R272" i="20"/>
  <c r="B272" i="20"/>
  <c r="D272" i="20"/>
  <c r="E272" i="20"/>
  <c r="F272" i="20"/>
  <c r="C272" i="20"/>
  <c r="O272" i="20"/>
  <c r="K272" i="20"/>
  <c r="D246" i="20"/>
  <c r="F246" i="20"/>
  <c r="G246" i="20"/>
  <c r="H246" i="20"/>
  <c r="L246" i="20"/>
  <c r="M246" i="20"/>
  <c r="N246" i="20"/>
  <c r="O246" i="20"/>
  <c r="P246" i="20"/>
  <c r="C246" i="20"/>
  <c r="B246" i="20"/>
  <c r="E246" i="20"/>
  <c r="I246" i="20"/>
  <c r="Q246" i="20"/>
  <c r="J246" i="20"/>
  <c r="K246" i="20"/>
  <c r="R246" i="20"/>
  <c r="G142" i="20"/>
  <c r="F142" i="20"/>
  <c r="M142" i="20"/>
  <c r="O142" i="20"/>
  <c r="P142" i="20"/>
  <c r="R142" i="20"/>
  <c r="C142" i="20"/>
  <c r="D142" i="20"/>
  <c r="B142" i="20"/>
  <c r="H142" i="20"/>
  <c r="Q142" i="20"/>
  <c r="K142" i="20"/>
  <c r="E142" i="20"/>
  <c r="J142" i="20"/>
  <c r="I142" i="20"/>
  <c r="N142" i="20"/>
  <c r="L142" i="20"/>
  <c r="E242" i="20"/>
  <c r="R242" i="20"/>
  <c r="D242" i="20"/>
  <c r="J242" i="20"/>
  <c r="P242" i="20"/>
  <c r="K242" i="20"/>
  <c r="F242" i="20"/>
  <c r="C242" i="20"/>
  <c r="M242" i="20"/>
  <c r="H242" i="20"/>
  <c r="O242" i="20"/>
  <c r="N242" i="20"/>
  <c r="L242" i="20"/>
  <c r="I242" i="20"/>
  <c r="G242" i="20"/>
  <c r="B242" i="20"/>
  <c r="Q242" i="20"/>
  <c r="K320" i="20"/>
  <c r="B320" i="20"/>
  <c r="P320" i="20"/>
  <c r="C320" i="20"/>
  <c r="R320" i="20"/>
  <c r="O320" i="20"/>
  <c r="D320" i="20"/>
  <c r="F320" i="20"/>
  <c r="E320" i="20"/>
  <c r="G320" i="20"/>
  <c r="Q320" i="20"/>
  <c r="H320" i="20"/>
  <c r="J320" i="20"/>
  <c r="I320" i="20"/>
  <c r="L320" i="20"/>
  <c r="N320" i="20"/>
  <c r="M320" i="20"/>
  <c r="B341" i="20"/>
  <c r="H341" i="20"/>
  <c r="J341" i="20"/>
  <c r="C341" i="20"/>
  <c r="G341" i="20"/>
  <c r="M341" i="20"/>
  <c r="N341" i="20"/>
  <c r="L341" i="20"/>
  <c r="O341" i="20"/>
  <c r="P341" i="20"/>
  <c r="K341" i="20"/>
  <c r="E341" i="20"/>
  <c r="R341" i="20"/>
  <c r="Q341" i="20"/>
  <c r="F341" i="20"/>
  <c r="D341" i="20"/>
  <c r="I341" i="20"/>
  <c r="C389" i="20"/>
  <c r="Q389" i="20"/>
  <c r="G389" i="20"/>
  <c r="L389" i="20"/>
  <c r="M389" i="20"/>
  <c r="P389" i="20"/>
  <c r="E389" i="20"/>
  <c r="F389" i="20"/>
  <c r="R389" i="20"/>
  <c r="I389" i="20"/>
  <c r="D389" i="20"/>
  <c r="N389" i="20"/>
  <c r="J389" i="20"/>
  <c r="H389" i="20"/>
  <c r="B389" i="20"/>
  <c r="O389" i="20"/>
  <c r="K389" i="20"/>
  <c r="B252" i="20"/>
  <c r="D252" i="20"/>
  <c r="F252" i="20"/>
  <c r="I252" i="20"/>
  <c r="M252" i="20"/>
  <c r="N252" i="20"/>
  <c r="E252" i="20"/>
  <c r="H252" i="20"/>
  <c r="Q252" i="20"/>
  <c r="O252" i="20"/>
  <c r="C252" i="20"/>
  <c r="P252" i="20"/>
  <c r="R252" i="20"/>
  <c r="J252" i="20"/>
  <c r="K252" i="20"/>
  <c r="G252" i="20"/>
  <c r="L252" i="20"/>
  <c r="E288" i="20"/>
  <c r="C288" i="20"/>
  <c r="D288" i="20"/>
  <c r="I288" i="20"/>
  <c r="K288" i="20"/>
  <c r="L288" i="20"/>
  <c r="M288" i="20"/>
  <c r="N288" i="20"/>
  <c r="O288" i="20"/>
  <c r="P288" i="20"/>
  <c r="B288" i="20"/>
  <c r="H288" i="20"/>
  <c r="G288" i="20"/>
  <c r="Q288" i="20"/>
  <c r="J288" i="20"/>
  <c r="R288" i="20"/>
  <c r="F288" i="20"/>
  <c r="B276" i="20"/>
  <c r="L276" i="20"/>
  <c r="N276" i="20"/>
  <c r="O276" i="20"/>
  <c r="E276" i="20"/>
  <c r="R276" i="20"/>
  <c r="P276" i="20"/>
  <c r="F276" i="20"/>
  <c r="G276" i="20"/>
  <c r="H276" i="20"/>
  <c r="I276" i="20"/>
  <c r="J276" i="20"/>
  <c r="K276" i="20"/>
  <c r="M276" i="20"/>
  <c r="D276" i="20"/>
  <c r="C276" i="20"/>
  <c r="Q276" i="20"/>
  <c r="B159" i="20"/>
  <c r="D159" i="20"/>
  <c r="F159" i="20"/>
  <c r="G159" i="20"/>
  <c r="H159" i="20"/>
  <c r="J159" i="20"/>
  <c r="K159" i="20"/>
  <c r="P159" i="20"/>
  <c r="I159" i="20"/>
  <c r="L159" i="20"/>
  <c r="M159" i="20"/>
  <c r="R159" i="20"/>
  <c r="Q159" i="20"/>
  <c r="E159" i="20"/>
  <c r="O159" i="20"/>
  <c r="C159" i="20"/>
  <c r="N159" i="20"/>
  <c r="B426" i="20"/>
  <c r="K426" i="20"/>
  <c r="L426" i="20"/>
  <c r="P426" i="20"/>
  <c r="F426" i="20"/>
  <c r="I426" i="20"/>
  <c r="D426" i="20"/>
  <c r="O426" i="20"/>
  <c r="J426" i="20"/>
  <c r="Q426" i="20"/>
  <c r="G426" i="20"/>
  <c r="E426" i="20"/>
  <c r="R426" i="20"/>
  <c r="H426" i="20"/>
  <c r="N426" i="20"/>
  <c r="C426" i="20"/>
  <c r="M426" i="20"/>
  <c r="D395" i="20"/>
  <c r="N395" i="20"/>
  <c r="Q395" i="20"/>
  <c r="B395" i="20"/>
  <c r="C395" i="20"/>
  <c r="F395" i="20"/>
  <c r="G395" i="20"/>
  <c r="I395" i="20"/>
  <c r="O395" i="20"/>
  <c r="P395" i="20"/>
  <c r="J395" i="20"/>
  <c r="E395" i="20"/>
  <c r="R395" i="20"/>
  <c r="L395" i="20"/>
  <c r="M395" i="20"/>
  <c r="H395" i="20"/>
  <c r="K395" i="20"/>
  <c r="F336" i="20"/>
  <c r="K336" i="20"/>
  <c r="B336" i="20"/>
  <c r="G336" i="20"/>
  <c r="J336" i="20"/>
  <c r="L336" i="20"/>
  <c r="E336" i="20"/>
  <c r="M336" i="20"/>
  <c r="Q336" i="20"/>
  <c r="N336" i="20"/>
  <c r="C336" i="20"/>
  <c r="O336" i="20"/>
  <c r="P336" i="20"/>
  <c r="D336" i="20"/>
  <c r="R336" i="20"/>
  <c r="H336" i="20"/>
  <c r="I336" i="20"/>
  <c r="F237" i="20"/>
  <c r="G237" i="20"/>
  <c r="B237" i="20"/>
  <c r="C237" i="20"/>
  <c r="Q237" i="20"/>
  <c r="I237" i="20"/>
  <c r="P237" i="20"/>
  <c r="K237" i="20"/>
  <c r="E237" i="20"/>
  <c r="H237" i="20"/>
  <c r="L237" i="20"/>
  <c r="M237" i="20"/>
  <c r="R237" i="20"/>
  <c r="N237" i="20"/>
  <c r="D237" i="20"/>
  <c r="J237" i="20"/>
  <c r="O237" i="20"/>
  <c r="C206" i="20"/>
  <c r="N206" i="20"/>
  <c r="B206" i="20"/>
  <c r="D206" i="20"/>
  <c r="H206" i="20"/>
  <c r="M206" i="20"/>
  <c r="O206" i="20"/>
  <c r="P206" i="20"/>
  <c r="Q206" i="20"/>
  <c r="G206" i="20"/>
  <c r="E206" i="20"/>
  <c r="L206" i="20"/>
  <c r="F206" i="20"/>
  <c r="I206" i="20"/>
  <c r="K206" i="20"/>
  <c r="J206" i="20"/>
  <c r="R206" i="20"/>
  <c r="H152" i="20"/>
  <c r="M152" i="20"/>
  <c r="I152" i="20"/>
  <c r="O152" i="20"/>
  <c r="N152" i="20"/>
  <c r="E152" i="20"/>
  <c r="K152" i="20"/>
  <c r="L152" i="20"/>
  <c r="B152" i="20"/>
  <c r="Q152" i="20"/>
  <c r="C152" i="20"/>
  <c r="D152" i="20"/>
  <c r="F152" i="20"/>
  <c r="P152" i="20"/>
  <c r="R152" i="20"/>
  <c r="G152" i="20"/>
  <c r="J152" i="20"/>
  <c r="B145" i="20"/>
  <c r="L145" i="20"/>
  <c r="M145" i="20"/>
  <c r="P145" i="20"/>
  <c r="Q145" i="20"/>
  <c r="D145" i="20"/>
  <c r="R145" i="20"/>
  <c r="F145" i="20"/>
  <c r="G145" i="20"/>
  <c r="H145" i="20"/>
  <c r="I145" i="20"/>
  <c r="J145" i="20"/>
  <c r="E145" i="20"/>
  <c r="K145" i="20"/>
  <c r="O145" i="20"/>
  <c r="C145" i="20"/>
  <c r="N145" i="20"/>
  <c r="E172" i="20"/>
  <c r="C172" i="20"/>
  <c r="D172" i="20"/>
  <c r="L172" i="20"/>
  <c r="B172" i="20"/>
  <c r="G172" i="20"/>
  <c r="J172" i="20"/>
  <c r="M172" i="20"/>
  <c r="N172" i="20"/>
  <c r="P172" i="20"/>
  <c r="Q172" i="20"/>
  <c r="R172" i="20"/>
  <c r="F172" i="20"/>
  <c r="H172" i="20"/>
  <c r="I172" i="20"/>
  <c r="K172" i="20"/>
  <c r="O172" i="20"/>
  <c r="P441" i="20"/>
  <c r="C441" i="20"/>
  <c r="O441" i="20"/>
  <c r="G441" i="20"/>
  <c r="E441" i="20"/>
  <c r="B441" i="20"/>
  <c r="R441" i="20"/>
  <c r="N441" i="20"/>
  <c r="K441" i="20"/>
  <c r="D441" i="20"/>
  <c r="L441" i="20"/>
  <c r="I441" i="20"/>
  <c r="H441" i="20"/>
  <c r="F441" i="20"/>
  <c r="M441" i="20"/>
  <c r="Q441" i="20"/>
  <c r="J441" i="20"/>
  <c r="E315" i="20"/>
  <c r="C315" i="20"/>
  <c r="J315" i="20"/>
  <c r="O315" i="20"/>
  <c r="Q315" i="20"/>
  <c r="R315" i="20"/>
  <c r="D315" i="20"/>
  <c r="P315" i="20"/>
  <c r="G315" i="20"/>
  <c r="H315" i="20"/>
  <c r="I315" i="20"/>
  <c r="F315" i="20"/>
  <c r="L315" i="20"/>
  <c r="M315" i="20"/>
  <c r="K315" i="20"/>
  <c r="B315" i="20"/>
  <c r="N315" i="20"/>
  <c r="B349" i="20"/>
  <c r="D349" i="20"/>
  <c r="G349" i="20"/>
  <c r="H349" i="20"/>
  <c r="J349" i="20"/>
  <c r="M349" i="20"/>
  <c r="N349" i="20"/>
  <c r="O349" i="20"/>
  <c r="P349" i="20"/>
  <c r="Q349" i="20"/>
  <c r="R349" i="20"/>
  <c r="F349" i="20"/>
  <c r="I349" i="20"/>
  <c r="C349" i="20"/>
  <c r="K349" i="20"/>
  <c r="L349" i="20"/>
  <c r="E349" i="20"/>
  <c r="E228" i="20"/>
  <c r="R228" i="20"/>
  <c r="B228" i="20"/>
  <c r="D228" i="20"/>
  <c r="F228" i="20"/>
  <c r="G228" i="20"/>
  <c r="H228" i="20"/>
  <c r="Q228" i="20"/>
  <c r="I228" i="20"/>
  <c r="J228" i="20"/>
  <c r="N228" i="20"/>
  <c r="M228" i="20"/>
  <c r="K228" i="20"/>
  <c r="C228" i="20"/>
  <c r="L228" i="20"/>
  <c r="O228" i="20"/>
  <c r="P228" i="20"/>
  <c r="E180" i="20"/>
  <c r="D180" i="20"/>
  <c r="G180" i="20"/>
  <c r="M180" i="20"/>
  <c r="C180" i="20"/>
  <c r="J180" i="20"/>
  <c r="L180" i="20"/>
  <c r="N180" i="20"/>
  <c r="P180" i="20"/>
  <c r="Q180" i="20"/>
  <c r="R180" i="20"/>
  <c r="B180" i="20"/>
  <c r="H180" i="20"/>
  <c r="I180" i="20"/>
  <c r="K180" i="20"/>
  <c r="F180" i="20"/>
  <c r="O180" i="20"/>
  <c r="D165" i="20"/>
  <c r="H165" i="20"/>
  <c r="I165" i="20"/>
  <c r="P165" i="20"/>
  <c r="G165" i="20"/>
  <c r="J165" i="20"/>
  <c r="K165" i="20"/>
  <c r="R165" i="20"/>
  <c r="M165" i="20"/>
  <c r="L165" i="20"/>
  <c r="N165" i="20"/>
  <c r="F165" i="20"/>
  <c r="C165" i="20"/>
  <c r="O165" i="20"/>
  <c r="E165" i="20"/>
  <c r="Q165" i="20"/>
  <c r="B165" i="20"/>
  <c r="E410" i="20"/>
  <c r="P410" i="20"/>
  <c r="Q410" i="20"/>
  <c r="B410" i="20"/>
  <c r="D410" i="20"/>
  <c r="F410" i="20"/>
  <c r="G410" i="20"/>
  <c r="I410" i="20"/>
  <c r="L410" i="20"/>
  <c r="M410" i="20"/>
  <c r="N410" i="20"/>
  <c r="R410" i="20"/>
  <c r="K410" i="20"/>
  <c r="C410" i="20"/>
  <c r="O410" i="20"/>
  <c r="J410" i="20"/>
  <c r="H410" i="20"/>
  <c r="R431" i="20"/>
  <c r="B431" i="20"/>
  <c r="C431" i="20"/>
  <c r="D431" i="20"/>
  <c r="H431" i="20"/>
  <c r="M431" i="20"/>
  <c r="P431" i="20"/>
  <c r="Q431" i="20"/>
  <c r="G431" i="20"/>
  <c r="O431" i="20"/>
  <c r="I431" i="20"/>
  <c r="L431" i="20"/>
  <c r="F431" i="20"/>
  <c r="K431" i="20"/>
  <c r="J431" i="20"/>
  <c r="N431" i="20"/>
  <c r="E431" i="20"/>
  <c r="B294" i="20"/>
  <c r="C294" i="20"/>
  <c r="D294" i="20"/>
  <c r="G294" i="20"/>
  <c r="I294" i="20"/>
  <c r="M294" i="20"/>
  <c r="N294" i="20"/>
  <c r="K294" i="20"/>
  <c r="O294" i="20"/>
  <c r="L294" i="20"/>
  <c r="Q294" i="20"/>
  <c r="F294" i="20"/>
  <c r="R294" i="20"/>
  <c r="H294" i="20"/>
  <c r="P294" i="20"/>
  <c r="J294" i="20"/>
  <c r="E294" i="20"/>
  <c r="P224" i="20"/>
  <c r="B224" i="20"/>
  <c r="Q224" i="20"/>
  <c r="C224" i="20"/>
  <c r="D224" i="20"/>
  <c r="E224" i="20"/>
  <c r="G224" i="20"/>
  <c r="H224" i="20"/>
  <c r="K224" i="20"/>
  <c r="L224" i="20"/>
  <c r="M224" i="20"/>
  <c r="N224" i="20"/>
  <c r="O224" i="20"/>
  <c r="J224" i="20"/>
  <c r="I224" i="20"/>
  <c r="F224" i="20"/>
  <c r="R224" i="20"/>
  <c r="B217" i="20"/>
  <c r="C217" i="20"/>
  <c r="R217" i="20"/>
  <c r="J217" i="20"/>
  <c r="F217" i="20"/>
  <c r="G217" i="20"/>
  <c r="H217" i="20"/>
  <c r="K217" i="20"/>
  <c r="M217" i="20"/>
  <c r="N217" i="20"/>
  <c r="L217" i="20"/>
  <c r="O217" i="20"/>
  <c r="D217" i="20"/>
  <c r="P217" i="20"/>
  <c r="Q217" i="20"/>
  <c r="E217" i="20"/>
  <c r="I217" i="20"/>
  <c r="G150" i="20"/>
  <c r="D150" i="20"/>
  <c r="F150" i="20"/>
  <c r="M150" i="20"/>
  <c r="O150" i="20"/>
  <c r="P150" i="20"/>
  <c r="C150" i="20"/>
  <c r="R150" i="20"/>
  <c r="L150" i="20"/>
  <c r="J150" i="20"/>
  <c r="N150" i="20"/>
  <c r="B150" i="20"/>
  <c r="H150" i="20"/>
  <c r="E150" i="20"/>
  <c r="K150" i="20"/>
  <c r="I150" i="20"/>
  <c r="Q150" i="20"/>
  <c r="H179" i="20"/>
  <c r="D179" i="20"/>
  <c r="J179" i="20"/>
  <c r="F179" i="20"/>
  <c r="G179" i="20"/>
  <c r="K179" i="20"/>
  <c r="L179" i="20"/>
  <c r="M179" i="20"/>
  <c r="P179" i="20"/>
  <c r="B179" i="20"/>
  <c r="N179" i="20"/>
  <c r="O179" i="20"/>
  <c r="R179" i="20"/>
  <c r="I179" i="20"/>
  <c r="E179" i="20"/>
  <c r="Q179" i="20"/>
  <c r="C179" i="20"/>
  <c r="P381" i="20"/>
  <c r="D381" i="20"/>
  <c r="M381" i="20"/>
  <c r="N381" i="20"/>
  <c r="Q381" i="20"/>
  <c r="R381" i="20"/>
  <c r="C381" i="20"/>
  <c r="E381" i="20"/>
  <c r="F381" i="20"/>
  <c r="G381" i="20"/>
  <c r="I381" i="20"/>
  <c r="K381" i="20"/>
  <c r="H381" i="20"/>
  <c r="B381" i="20"/>
  <c r="O381" i="20"/>
  <c r="L381" i="20"/>
  <c r="J381" i="20"/>
  <c r="B292" i="20"/>
  <c r="C292" i="20"/>
  <c r="D292" i="20"/>
  <c r="G292" i="20"/>
  <c r="I292" i="20"/>
  <c r="M292" i="20"/>
  <c r="N292" i="20"/>
  <c r="K292" i="20"/>
  <c r="O292" i="20"/>
  <c r="L292" i="20"/>
  <c r="Q292" i="20"/>
  <c r="F292" i="20"/>
  <c r="R292" i="20"/>
  <c r="H292" i="20"/>
  <c r="J292" i="20"/>
  <c r="E292" i="20"/>
  <c r="P292" i="20"/>
  <c r="J212" i="20"/>
  <c r="L212" i="20"/>
  <c r="M212" i="20"/>
  <c r="N212" i="20"/>
  <c r="Q212" i="20"/>
  <c r="D212" i="20"/>
  <c r="P212" i="20"/>
  <c r="E212" i="20"/>
  <c r="G212" i="20"/>
  <c r="H212" i="20"/>
  <c r="I212" i="20"/>
  <c r="K212" i="20"/>
  <c r="F212" i="20"/>
  <c r="R212" i="20"/>
  <c r="B212" i="20"/>
  <c r="O212" i="20"/>
  <c r="C212" i="20"/>
  <c r="K310" i="20"/>
  <c r="L310" i="20"/>
  <c r="M310" i="20"/>
  <c r="N310" i="20"/>
  <c r="O310" i="20"/>
  <c r="P310" i="20"/>
  <c r="B310" i="20"/>
  <c r="R310" i="20"/>
  <c r="C310" i="20"/>
  <c r="D310" i="20"/>
  <c r="F310" i="20"/>
  <c r="G310" i="20"/>
  <c r="I310" i="20"/>
  <c r="E310" i="20"/>
  <c r="Q310" i="20"/>
  <c r="H310" i="20"/>
  <c r="J310" i="20"/>
  <c r="B143" i="20"/>
  <c r="J143" i="20"/>
  <c r="K143" i="20"/>
  <c r="L143" i="20"/>
  <c r="M143" i="20"/>
  <c r="P143" i="20"/>
  <c r="D143" i="20"/>
  <c r="R143" i="20"/>
  <c r="E143" i="20"/>
  <c r="F143" i="20"/>
  <c r="G143" i="20"/>
  <c r="H143" i="20"/>
  <c r="I143" i="20"/>
  <c r="Q143" i="20"/>
  <c r="C143" i="20"/>
  <c r="N143" i="20"/>
  <c r="O143" i="20"/>
  <c r="Q429" i="20"/>
  <c r="R429" i="20"/>
  <c r="B429" i="20"/>
  <c r="D429" i="20"/>
  <c r="E429" i="20"/>
  <c r="G429" i="20"/>
  <c r="J429" i="20"/>
  <c r="K429" i="20"/>
  <c r="M429" i="20"/>
  <c r="N429" i="20"/>
  <c r="O429" i="20"/>
  <c r="C429" i="20"/>
  <c r="L429" i="20"/>
  <c r="P429" i="20"/>
  <c r="F429" i="20"/>
  <c r="I429" i="20"/>
  <c r="H429" i="20"/>
  <c r="C158" i="20"/>
  <c r="L158" i="20"/>
  <c r="P158" i="20"/>
  <c r="M158" i="20"/>
  <c r="O158" i="20"/>
  <c r="R158" i="20"/>
  <c r="F158" i="20"/>
  <c r="H158" i="20"/>
  <c r="I158" i="20"/>
  <c r="K158" i="20"/>
  <c r="B158" i="20"/>
  <c r="N158" i="20"/>
  <c r="Q158" i="20"/>
  <c r="J158" i="20"/>
  <c r="E158" i="20"/>
  <c r="D158" i="20"/>
  <c r="G158" i="20"/>
  <c r="Q435" i="20"/>
  <c r="C435" i="20"/>
  <c r="R435" i="20"/>
  <c r="D435" i="20"/>
  <c r="E435" i="20"/>
  <c r="F435" i="20"/>
  <c r="G435" i="20"/>
  <c r="H435" i="20"/>
  <c r="J435" i="20"/>
  <c r="K435" i="20"/>
  <c r="M435" i="20"/>
  <c r="O435" i="20"/>
  <c r="P435" i="20"/>
  <c r="B435" i="20"/>
  <c r="L435" i="20"/>
  <c r="I435" i="20"/>
  <c r="N435" i="20"/>
  <c r="E416" i="20"/>
  <c r="H416" i="20"/>
  <c r="I416" i="20"/>
  <c r="J416" i="20"/>
  <c r="K416" i="20"/>
  <c r="L416" i="20"/>
  <c r="M416" i="20"/>
  <c r="N416" i="20"/>
  <c r="P416" i="20"/>
  <c r="Q416" i="20"/>
  <c r="B416" i="20"/>
  <c r="D416" i="20"/>
  <c r="F416" i="20"/>
  <c r="R416" i="20"/>
  <c r="G416" i="20"/>
  <c r="C416" i="20"/>
  <c r="O416" i="20"/>
  <c r="P316" i="20"/>
  <c r="R316" i="20"/>
  <c r="B316" i="20"/>
  <c r="C316" i="20"/>
  <c r="I316" i="20"/>
  <c r="M316" i="20"/>
  <c r="N316" i="20"/>
  <c r="O316" i="20"/>
  <c r="Q316" i="20"/>
  <c r="H316" i="20"/>
  <c r="J316" i="20"/>
  <c r="D316" i="20"/>
  <c r="F316" i="20"/>
  <c r="G316" i="20"/>
  <c r="K316" i="20"/>
  <c r="L316" i="20"/>
  <c r="E316" i="20"/>
  <c r="F200" i="20"/>
  <c r="C200" i="20"/>
  <c r="Q200" i="20"/>
  <c r="I200" i="20"/>
  <c r="H200" i="20"/>
  <c r="J200" i="20"/>
  <c r="K200" i="20"/>
  <c r="L200" i="20"/>
  <c r="M200" i="20"/>
  <c r="N200" i="20"/>
  <c r="O200" i="20"/>
  <c r="P200" i="20"/>
  <c r="B200" i="20"/>
  <c r="D200" i="20"/>
  <c r="E200" i="20"/>
  <c r="R200" i="20"/>
  <c r="G200" i="20"/>
  <c r="B298" i="20"/>
  <c r="C298" i="20"/>
  <c r="D298" i="20"/>
  <c r="G298" i="20"/>
  <c r="I298" i="20"/>
  <c r="M298" i="20"/>
  <c r="N298" i="20"/>
  <c r="Q298" i="20"/>
  <c r="F298" i="20"/>
  <c r="R298" i="20"/>
  <c r="H298" i="20"/>
  <c r="O298" i="20"/>
  <c r="J298" i="20"/>
  <c r="L298" i="20"/>
  <c r="P298" i="20"/>
  <c r="E298" i="20"/>
  <c r="K298" i="20"/>
  <c r="B210" i="20"/>
  <c r="G210" i="20"/>
  <c r="I210" i="20"/>
  <c r="J210" i="20"/>
  <c r="K210" i="20"/>
  <c r="N210" i="20"/>
  <c r="L210" i="20"/>
  <c r="F210" i="20"/>
  <c r="R210" i="20"/>
  <c r="E210" i="20"/>
  <c r="Q210" i="20"/>
  <c r="D210" i="20"/>
  <c r="H210" i="20"/>
  <c r="P210" i="20"/>
  <c r="O210" i="20"/>
  <c r="C210" i="20"/>
  <c r="M210" i="20"/>
  <c r="B367" i="20"/>
  <c r="G367" i="20"/>
  <c r="L367" i="20"/>
  <c r="P367" i="20"/>
  <c r="O367" i="20"/>
  <c r="I367" i="20"/>
  <c r="K367" i="20"/>
  <c r="Q367" i="20"/>
  <c r="H367" i="20"/>
  <c r="J367" i="20"/>
  <c r="C367" i="20"/>
  <c r="N367" i="20"/>
  <c r="D367" i="20"/>
  <c r="R367" i="20"/>
  <c r="E367" i="20"/>
  <c r="F367" i="20"/>
  <c r="M367" i="20"/>
  <c r="H420" i="20"/>
  <c r="P420" i="20"/>
  <c r="Q420" i="20"/>
  <c r="R420" i="20"/>
  <c r="B420" i="20"/>
  <c r="D420" i="20"/>
  <c r="E420" i="20"/>
  <c r="F420" i="20"/>
  <c r="G420" i="20"/>
  <c r="I420" i="20"/>
  <c r="J420" i="20"/>
  <c r="L420" i="20"/>
  <c r="N420" i="20"/>
  <c r="O420" i="20"/>
  <c r="K420" i="20"/>
  <c r="M420" i="20"/>
  <c r="C420" i="20"/>
  <c r="Q357" i="20"/>
  <c r="C357" i="20"/>
  <c r="D357" i="20"/>
  <c r="L357" i="20"/>
  <c r="B357" i="20"/>
  <c r="G357" i="20"/>
  <c r="J357" i="20"/>
  <c r="P357" i="20"/>
  <c r="H357" i="20"/>
  <c r="O357" i="20"/>
  <c r="K357" i="20"/>
  <c r="F357" i="20"/>
  <c r="E357" i="20"/>
  <c r="M357" i="20"/>
  <c r="R357" i="20"/>
  <c r="N357" i="20"/>
  <c r="I357" i="20"/>
  <c r="H268" i="20"/>
  <c r="K268" i="20"/>
  <c r="N268" i="20"/>
  <c r="P268" i="20"/>
  <c r="J268" i="20"/>
  <c r="M268" i="20"/>
  <c r="Q268" i="20"/>
  <c r="R268" i="20"/>
  <c r="B268" i="20"/>
  <c r="D268" i="20"/>
  <c r="E268" i="20"/>
  <c r="F268" i="20"/>
  <c r="G268" i="20"/>
  <c r="I268" i="20"/>
  <c r="L268" i="20"/>
  <c r="C268" i="20"/>
  <c r="O268" i="20"/>
  <c r="O329" i="20"/>
  <c r="R329" i="20"/>
  <c r="B329" i="20"/>
  <c r="E329" i="20"/>
  <c r="F329" i="20"/>
  <c r="G329" i="20"/>
  <c r="I329" i="20"/>
  <c r="J329" i="20"/>
  <c r="N329" i="20"/>
  <c r="K329" i="20"/>
  <c r="L329" i="20"/>
  <c r="M329" i="20"/>
  <c r="C329" i="20"/>
  <c r="P329" i="20"/>
  <c r="D329" i="20"/>
  <c r="Q329" i="20"/>
  <c r="H329" i="20"/>
  <c r="I400" i="20"/>
  <c r="B400" i="20"/>
  <c r="C400" i="20"/>
  <c r="E400" i="20"/>
  <c r="F400" i="20"/>
  <c r="H400" i="20"/>
  <c r="J400" i="20"/>
  <c r="K400" i="20"/>
  <c r="N400" i="20"/>
  <c r="Q400" i="20"/>
  <c r="R400" i="20"/>
  <c r="L400" i="20"/>
  <c r="M400" i="20"/>
  <c r="O400" i="20"/>
  <c r="D400" i="20"/>
  <c r="P400" i="20"/>
  <c r="G400" i="20"/>
  <c r="O208" i="20"/>
  <c r="D208" i="20"/>
  <c r="P208" i="20"/>
  <c r="Q208" i="20"/>
  <c r="B208" i="20"/>
  <c r="C208" i="20"/>
  <c r="E208" i="20"/>
  <c r="G208" i="20"/>
  <c r="H208" i="20"/>
  <c r="K208" i="20"/>
  <c r="L208" i="20"/>
  <c r="M208" i="20"/>
  <c r="N208" i="20"/>
  <c r="J208" i="20"/>
  <c r="I208" i="20"/>
  <c r="F208" i="20"/>
  <c r="R208" i="20"/>
  <c r="B421" i="20"/>
  <c r="O421" i="20"/>
  <c r="R421" i="20"/>
  <c r="G421" i="20"/>
  <c r="K421" i="20"/>
  <c r="M421" i="20"/>
  <c r="I421" i="20"/>
  <c r="H421" i="20"/>
  <c r="N421" i="20"/>
  <c r="J421" i="20"/>
  <c r="C421" i="20"/>
  <c r="P421" i="20"/>
  <c r="Q421" i="20"/>
  <c r="F421" i="20"/>
  <c r="D421" i="20"/>
  <c r="E421" i="20"/>
  <c r="L421" i="20"/>
  <c r="M406" i="20"/>
  <c r="N406" i="20"/>
  <c r="P406" i="20"/>
  <c r="B406" i="20"/>
  <c r="Q406" i="20"/>
  <c r="D406" i="20"/>
  <c r="R406" i="20"/>
  <c r="E406" i="20"/>
  <c r="F406" i="20"/>
  <c r="G406" i="20"/>
  <c r="H406" i="20"/>
  <c r="J406" i="20"/>
  <c r="K406" i="20"/>
  <c r="L406" i="20"/>
  <c r="C406" i="20"/>
  <c r="O406" i="20"/>
  <c r="I406" i="20"/>
  <c r="D407" i="20"/>
  <c r="C407" i="20"/>
  <c r="L407" i="20"/>
  <c r="H407" i="20"/>
  <c r="M407" i="20"/>
  <c r="B407" i="20"/>
  <c r="Q407" i="20"/>
  <c r="O407" i="20"/>
  <c r="P407" i="20"/>
  <c r="E407" i="20"/>
  <c r="R407" i="20"/>
  <c r="F407" i="20"/>
  <c r="G407" i="20"/>
  <c r="J407" i="20"/>
  <c r="I407" i="20"/>
  <c r="N407" i="20"/>
  <c r="K407" i="20"/>
  <c r="B304" i="20"/>
  <c r="C304" i="20"/>
  <c r="D304" i="20"/>
  <c r="G304" i="20"/>
  <c r="I304" i="20"/>
  <c r="M304" i="20"/>
  <c r="N304" i="20"/>
  <c r="K304" i="20"/>
  <c r="O304" i="20"/>
  <c r="L304" i="20"/>
  <c r="Q304" i="20"/>
  <c r="F304" i="20"/>
  <c r="R304" i="20"/>
  <c r="H304" i="20"/>
  <c r="J304" i="20"/>
  <c r="E304" i="20"/>
  <c r="P304" i="20"/>
  <c r="J279" i="20"/>
  <c r="K279" i="20"/>
  <c r="P279" i="20"/>
  <c r="D279" i="20"/>
  <c r="N279" i="20"/>
  <c r="Q279" i="20"/>
  <c r="E279" i="20"/>
  <c r="R279" i="20"/>
  <c r="M279" i="20"/>
  <c r="F279" i="20"/>
  <c r="G279" i="20"/>
  <c r="H279" i="20"/>
  <c r="L279" i="20"/>
  <c r="B279" i="20"/>
  <c r="I279" i="20"/>
  <c r="O279" i="20"/>
  <c r="C279" i="20"/>
  <c r="R243" i="20"/>
  <c r="B243" i="20"/>
  <c r="F243" i="20"/>
  <c r="G243" i="20"/>
  <c r="H243" i="20"/>
  <c r="I243" i="20"/>
  <c r="J243" i="20"/>
  <c r="M243" i="20"/>
  <c r="C243" i="20"/>
  <c r="L243" i="20"/>
  <c r="O243" i="20"/>
  <c r="E243" i="20"/>
  <c r="Q243" i="20"/>
  <c r="K243" i="20"/>
  <c r="D243" i="20"/>
  <c r="N243" i="20"/>
  <c r="P243" i="20"/>
  <c r="L207" i="20"/>
  <c r="E207" i="20"/>
  <c r="R207" i="20"/>
  <c r="I207" i="20"/>
  <c r="P207" i="20"/>
  <c r="B207" i="20"/>
  <c r="Q207" i="20"/>
  <c r="C207" i="20"/>
  <c r="D207" i="20"/>
  <c r="F207" i="20"/>
  <c r="G207" i="20"/>
  <c r="H207" i="20"/>
  <c r="J207" i="20"/>
  <c r="K207" i="20"/>
  <c r="M207" i="20"/>
  <c r="N207" i="20"/>
  <c r="O207" i="20"/>
  <c r="K287" i="20"/>
  <c r="E287" i="20"/>
  <c r="F287" i="20"/>
  <c r="G287" i="20"/>
  <c r="H287" i="20"/>
  <c r="I287" i="20"/>
  <c r="J287" i="20"/>
  <c r="M287" i="20"/>
  <c r="O287" i="20"/>
  <c r="Q287" i="20"/>
  <c r="R287" i="20"/>
  <c r="C287" i="20"/>
  <c r="L287" i="20"/>
  <c r="N287" i="20"/>
  <c r="B287" i="20"/>
  <c r="P287" i="20"/>
  <c r="D287" i="20"/>
  <c r="K368" i="20"/>
  <c r="O368" i="20"/>
  <c r="J368" i="20"/>
  <c r="Q368" i="20"/>
  <c r="R368" i="20"/>
  <c r="B368" i="20"/>
  <c r="D368" i="20"/>
  <c r="F368" i="20"/>
  <c r="H368" i="20"/>
  <c r="I368" i="20"/>
  <c r="G368" i="20"/>
  <c r="E368" i="20"/>
  <c r="C368" i="20"/>
  <c r="P368" i="20"/>
  <c r="M368" i="20"/>
  <c r="N368" i="20"/>
  <c r="L368" i="20"/>
  <c r="C404" i="20"/>
  <c r="R404" i="20"/>
  <c r="B404" i="20"/>
  <c r="E404" i="20"/>
  <c r="I404" i="20"/>
  <c r="J404" i="20"/>
  <c r="L404" i="20"/>
  <c r="N404" i="20"/>
  <c r="Q404" i="20"/>
  <c r="D404" i="20"/>
  <c r="G404" i="20"/>
  <c r="F404" i="20"/>
  <c r="P404" i="20"/>
  <c r="M404" i="20"/>
  <c r="H404" i="20"/>
  <c r="O404" i="20"/>
  <c r="K404" i="20"/>
  <c r="B415" i="20"/>
  <c r="H415" i="20"/>
  <c r="K415" i="20"/>
  <c r="N415" i="20"/>
  <c r="O415" i="20"/>
  <c r="Q415" i="20"/>
  <c r="M415" i="20"/>
  <c r="C415" i="20"/>
  <c r="D415" i="20"/>
  <c r="P415" i="20"/>
  <c r="F415" i="20"/>
  <c r="J415" i="20"/>
  <c r="E415" i="20"/>
  <c r="G415" i="20"/>
  <c r="I415" i="20"/>
  <c r="L415" i="20"/>
  <c r="R415" i="20"/>
  <c r="L215" i="20"/>
  <c r="N215" i="20"/>
  <c r="B215" i="20"/>
  <c r="O215" i="20"/>
  <c r="C215" i="20"/>
  <c r="P215" i="20"/>
  <c r="D215" i="20"/>
  <c r="Q215" i="20"/>
  <c r="E215" i="20"/>
  <c r="R215" i="20"/>
  <c r="F215" i="20"/>
  <c r="G215" i="20"/>
  <c r="H215" i="20"/>
  <c r="I215" i="20"/>
  <c r="J215" i="20"/>
  <c r="K215" i="20"/>
  <c r="M215" i="20"/>
  <c r="B233" i="20"/>
  <c r="G233" i="20"/>
  <c r="H233" i="20"/>
  <c r="J233" i="20"/>
  <c r="K233" i="20"/>
  <c r="L233" i="20"/>
  <c r="M233" i="20"/>
  <c r="N233" i="20"/>
  <c r="R233" i="20"/>
  <c r="D233" i="20"/>
  <c r="C233" i="20"/>
  <c r="P233" i="20"/>
  <c r="E233" i="20"/>
  <c r="Q233" i="20"/>
  <c r="I233" i="20"/>
  <c r="F233" i="20"/>
  <c r="O233" i="20"/>
  <c r="C156" i="20"/>
  <c r="F156" i="20"/>
  <c r="J156" i="20"/>
  <c r="L156" i="20"/>
  <c r="M156" i="20"/>
  <c r="O156" i="20"/>
  <c r="G156" i="20"/>
  <c r="H156" i="20"/>
  <c r="I156" i="20"/>
  <c r="K156" i="20"/>
  <c r="P156" i="20"/>
  <c r="B156" i="20"/>
  <c r="E156" i="20"/>
  <c r="Q156" i="20"/>
  <c r="D156" i="20"/>
  <c r="R156" i="20"/>
  <c r="N156" i="20"/>
  <c r="P433" i="20"/>
  <c r="M433" i="20"/>
  <c r="I433" i="20"/>
  <c r="K433" i="20"/>
  <c r="J433" i="20"/>
  <c r="F433" i="20"/>
  <c r="O433" i="20"/>
  <c r="B433" i="20"/>
  <c r="H433" i="20"/>
  <c r="N433" i="20"/>
  <c r="E433" i="20"/>
  <c r="L433" i="20"/>
  <c r="R433" i="20"/>
  <c r="D433" i="20"/>
  <c r="G433" i="20"/>
  <c r="Q433" i="20"/>
  <c r="C433" i="20"/>
  <c r="B403" i="20"/>
  <c r="K403" i="20"/>
  <c r="M403" i="20"/>
  <c r="O403" i="20"/>
  <c r="P403" i="20"/>
  <c r="D403" i="20"/>
  <c r="G403" i="20"/>
  <c r="F403" i="20"/>
  <c r="R403" i="20"/>
  <c r="N403" i="20"/>
  <c r="E403" i="20"/>
  <c r="L403" i="20"/>
  <c r="H403" i="20"/>
  <c r="C403" i="20"/>
  <c r="I403" i="20"/>
  <c r="Q403" i="20"/>
  <c r="J403" i="20"/>
  <c r="C281" i="20"/>
  <c r="Q281" i="20"/>
  <c r="N281" i="20"/>
  <c r="P281" i="20"/>
  <c r="F281" i="20"/>
  <c r="D281" i="20"/>
  <c r="G281" i="20"/>
  <c r="H281" i="20"/>
  <c r="J281" i="20"/>
  <c r="K281" i="20"/>
  <c r="B281" i="20"/>
  <c r="O281" i="20"/>
  <c r="E281" i="20"/>
  <c r="M281" i="20"/>
  <c r="I281" i="20"/>
  <c r="L281" i="20"/>
  <c r="R281" i="20"/>
  <c r="I302" i="20"/>
  <c r="M302" i="20"/>
  <c r="N302" i="20"/>
  <c r="B302" i="20"/>
  <c r="C302" i="20"/>
  <c r="D302" i="20"/>
  <c r="G302" i="20"/>
  <c r="P302" i="20"/>
  <c r="Q302" i="20"/>
  <c r="L302" i="20"/>
  <c r="F302" i="20"/>
  <c r="R302" i="20"/>
  <c r="H302" i="20"/>
  <c r="J302" i="20"/>
  <c r="E302" i="20"/>
  <c r="K302" i="20"/>
  <c r="O302" i="20"/>
  <c r="K289" i="20"/>
  <c r="F289" i="20"/>
  <c r="G289" i="20"/>
  <c r="H289" i="20"/>
  <c r="I289" i="20"/>
  <c r="J289" i="20"/>
  <c r="M289" i="20"/>
  <c r="O289" i="20"/>
  <c r="Q289" i="20"/>
  <c r="R289" i="20"/>
  <c r="C289" i="20"/>
  <c r="E289" i="20"/>
  <c r="P289" i="20"/>
  <c r="D289" i="20"/>
  <c r="L289" i="20"/>
  <c r="N289" i="20"/>
  <c r="B289" i="20"/>
  <c r="E168" i="20"/>
  <c r="P168" i="20"/>
  <c r="B168" i="20"/>
  <c r="C168" i="20"/>
  <c r="D168" i="20"/>
  <c r="Q168" i="20"/>
  <c r="R168" i="20"/>
  <c r="M168" i="20"/>
  <c r="L168" i="20"/>
  <c r="F168" i="20"/>
  <c r="H168" i="20"/>
  <c r="I168" i="20"/>
  <c r="O168" i="20"/>
  <c r="K168" i="20"/>
  <c r="N168" i="20"/>
  <c r="J168" i="20"/>
  <c r="G168" i="20"/>
  <c r="D344" i="20"/>
  <c r="O344" i="20"/>
  <c r="R344" i="20"/>
  <c r="H344" i="20"/>
  <c r="B344" i="20"/>
  <c r="I344" i="20"/>
  <c r="J344" i="20"/>
  <c r="K344" i="20"/>
  <c r="L344" i="20"/>
  <c r="E344" i="20"/>
  <c r="F344" i="20"/>
  <c r="Q344" i="20"/>
  <c r="G344" i="20"/>
  <c r="C344" i="20"/>
  <c r="M344" i="20"/>
  <c r="P344" i="20"/>
  <c r="N344" i="20"/>
  <c r="D342" i="20"/>
  <c r="K342" i="20"/>
  <c r="L342" i="20"/>
  <c r="N342" i="20"/>
  <c r="O342" i="20"/>
  <c r="P342" i="20"/>
  <c r="B342" i="20"/>
  <c r="C342" i="20"/>
  <c r="F342" i="20"/>
  <c r="G342" i="20"/>
  <c r="H342" i="20"/>
  <c r="I342" i="20"/>
  <c r="J342" i="20"/>
  <c r="E342" i="20"/>
  <c r="M342" i="20"/>
  <c r="Q342" i="20"/>
  <c r="R342" i="20"/>
  <c r="K235" i="20"/>
  <c r="M235" i="20"/>
  <c r="N235" i="20"/>
  <c r="B235" i="20"/>
  <c r="C235" i="20"/>
  <c r="F235" i="20"/>
  <c r="G235" i="20"/>
  <c r="H235" i="20"/>
  <c r="J235" i="20"/>
  <c r="R235" i="20"/>
  <c r="D235" i="20"/>
  <c r="P235" i="20"/>
  <c r="E235" i="20"/>
  <c r="Q235" i="20"/>
  <c r="I235" i="20"/>
  <c r="L235" i="20"/>
  <c r="O235" i="20"/>
  <c r="H319" i="20"/>
  <c r="I319" i="20"/>
  <c r="R319" i="20"/>
  <c r="C319" i="20"/>
  <c r="G319" i="20"/>
  <c r="P319" i="20"/>
  <c r="O319" i="20"/>
  <c r="M319" i="20"/>
  <c r="Q319" i="20"/>
  <c r="E319" i="20"/>
  <c r="F319" i="20"/>
  <c r="K319" i="20"/>
  <c r="B319" i="20"/>
  <c r="J319" i="20"/>
  <c r="N319" i="20"/>
  <c r="L319" i="20"/>
  <c r="D319" i="20"/>
  <c r="C160" i="20"/>
  <c r="D160" i="20"/>
  <c r="F160" i="20"/>
  <c r="J160" i="20"/>
  <c r="L160" i="20"/>
  <c r="O160" i="20"/>
  <c r="P160" i="20"/>
  <c r="M160" i="20"/>
  <c r="R160" i="20"/>
  <c r="N160" i="20"/>
  <c r="E160" i="20"/>
  <c r="Q160" i="20"/>
  <c r="G160" i="20"/>
  <c r="H160" i="20"/>
  <c r="I160" i="20"/>
  <c r="K160" i="20"/>
  <c r="B160" i="20"/>
  <c r="E286" i="20"/>
  <c r="B286" i="20"/>
  <c r="C286" i="20"/>
  <c r="D286" i="20"/>
  <c r="I286" i="20"/>
  <c r="K286" i="20"/>
  <c r="L286" i="20"/>
  <c r="M286" i="20"/>
  <c r="N286" i="20"/>
  <c r="O286" i="20"/>
  <c r="P286" i="20"/>
  <c r="R286" i="20"/>
  <c r="F286" i="20"/>
  <c r="H286" i="20"/>
  <c r="G286" i="20"/>
  <c r="Q286" i="20"/>
  <c r="J286" i="20"/>
  <c r="B221" i="20"/>
  <c r="F221" i="20"/>
  <c r="G221" i="20"/>
  <c r="E221" i="20"/>
  <c r="P221" i="20"/>
  <c r="D221" i="20"/>
  <c r="I221" i="20"/>
  <c r="Q221" i="20"/>
  <c r="H221" i="20"/>
  <c r="O221" i="20"/>
  <c r="L221" i="20"/>
  <c r="J221" i="20"/>
  <c r="R221" i="20"/>
  <c r="N221" i="20"/>
  <c r="K221" i="20"/>
  <c r="M221" i="20"/>
  <c r="C221" i="20"/>
  <c r="I642" i="20"/>
  <c r="K642" i="20"/>
  <c r="M642" i="20"/>
  <c r="N642" i="20"/>
  <c r="Q642" i="20"/>
  <c r="E642" i="20"/>
  <c r="R642" i="20"/>
  <c r="B642" i="20"/>
  <c r="D642" i="20"/>
  <c r="F642" i="20"/>
  <c r="G642" i="20"/>
  <c r="H642" i="20"/>
  <c r="J642" i="20"/>
  <c r="O642" i="20"/>
  <c r="C642" i="20"/>
  <c r="P642" i="20"/>
  <c r="L642" i="20"/>
  <c r="B663" i="20"/>
  <c r="I663" i="20"/>
  <c r="K663" i="20"/>
  <c r="L663" i="20"/>
  <c r="N663" i="20"/>
  <c r="F663" i="20"/>
  <c r="R663" i="20"/>
  <c r="G663" i="20"/>
  <c r="J663" i="20"/>
  <c r="D663" i="20"/>
  <c r="H663" i="20"/>
  <c r="P663" i="20"/>
  <c r="Q663" i="20"/>
  <c r="M663" i="20"/>
  <c r="E663" i="20"/>
  <c r="C663" i="20"/>
  <c r="O663" i="20"/>
  <c r="D610" i="20"/>
  <c r="R610" i="20"/>
  <c r="C610" i="20"/>
  <c r="E610" i="20"/>
  <c r="F610" i="20"/>
  <c r="H610" i="20"/>
  <c r="I610" i="20"/>
  <c r="Q610" i="20"/>
  <c r="P610" i="20"/>
  <c r="B610" i="20"/>
  <c r="K610" i="20"/>
  <c r="N610" i="20"/>
  <c r="G610" i="20"/>
  <c r="M610" i="20"/>
  <c r="L610" i="20"/>
  <c r="O610" i="20"/>
  <c r="J610" i="20"/>
  <c r="C582" i="20"/>
  <c r="D582" i="20"/>
  <c r="E582" i="20"/>
  <c r="G582" i="20"/>
  <c r="H582" i="20"/>
  <c r="K582" i="20"/>
  <c r="P582" i="20"/>
  <c r="J582" i="20"/>
  <c r="N582" i="20"/>
  <c r="F582" i="20"/>
  <c r="R582" i="20"/>
  <c r="I582" i="20"/>
  <c r="L582" i="20"/>
  <c r="M582" i="20"/>
  <c r="O582" i="20"/>
  <c r="Q582" i="20"/>
  <c r="B582" i="20"/>
  <c r="D556" i="20"/>
  <c r="E556" i="20"/>
  <c r="G556" i="20"/>
  <c r="H556" i="20"/>
  <c r="I556" i="20"/>
  <c r="K556" i="20"/>
  <c r="L556" i="20"/>
  <c r="M556" i="20"/>
  <c r="P556" i="20"/>
  <c r="C556" i="20"/>
  <c r="J556" i="20"/>
  <c r="O556" i="20"/>
  <c r="Q556" i="20"/>
  <c r="B556" i="20"/>
  <c r="N556" i="20"/>
  <c r="F556" i="20"/>
  <c r="R556" i="20"/>
  <c r="G452" i="20"/>
  <c r="C452" i="20"/>
  <c r="D452" i="20"/>
  <c r="F452" i="20"/>
  <c r="M452" i="20"/>
  <c r="O452" i="20"/>
  <c r="P452" i="20"/>
  <c r="R452" i="20"/>
  <c r="Q452" i="20"/>
  <c r="E452" i="20"/>
  <c r="J452" i="20"/>
  <c r="H452" i="20"/>
  <c r="N452" i="20"/>
  <c r="B452" i="20"/>
  <c r="L452" i="20"/>
  <c r="K452" i="20"/>
  <c r="I452" i="20"/>
  <c r="E552" i="20"/>
  <c r="G552" i="20"/>
  <c r="H552" i="20"/>
  <c r="I552" i="20"/>
  <c r="J552" i="20"/>
  <c r="L552" i="20"/>
  <c r="M552" i="20"/>
  <c r="O552" i="20"/>
  <c r="C552" i="20"/>
  <c r="Q552" i="20"/>
  <c r="D552" i="20"/>
  <c r="K552" i="20"/>
  <c r="P552" i="20"/>
  <c r="B552" i="20"/>
  <c r="N552" i="20"/>
  <c r="F552" i="20"/>
  <c r="R552" i="20"/>
  <c r="H630" i="20"/>
  <c r="J630" i="20"/>
  <c r="L630" i="20"/>
  <c r="N630" i="20"/>
  <c r="P630" i="20"/>
  <c r="B630" i="20"/>
  <c r="R630" i="20"/>
  <c r="C630" i="20"/>
  <c r="F630" i="20"/>
  <c r="D630" i="20"/>
  <c r="G630" i="20"/>
  <c r="M630" i="20"/>
  <c r="O630" i="20"/>
  <c r="Q630" i="20"/>
  <c r="E630" i="20"/>
  <c r="I630" i="20"/>
  <c r="K630" i="20"/>
  <c r="B651" i="20"/>
  <c r="D651" i="20"/>
  <c r="E651" i="20"/>
  <c r="H651" i="20"/>
  <c r="M651" i="20"/>
  <c r="N651" i="20"/>
  <c r="P651" i="20"/>
  <c r="Q651" i="20"/>
  <c r="R651" i="20"/>
  <c r="F651" i="20"/>
  <c r="J651" i="20"/>
  <c r="L651" i="20"/>
  <c r="K651" i="20"/>
  <c r="C651" i="20"/>
  <c r="O651" i="20"/>
  <c r="I651" i="20"/>
  <c r="G651" i="20"/>
  <c r="M699" i="20"/>
  <c r="B699" i="20"/>
  <c r="I699" i="20"/>
  <c r="N699" i="20"/>
  <c r="O699" i="20"/>
  <c r="P699" i="20"/>
  <c r="H699" i="20"/>
  <c r="C699" i="20"/>
  <c r="G699" i="20"/>
  <c r="K699" i="20"/>
  <c r="L699" i="20"/>
  <c r="E699" i="20"/>
  <c r="F699" i="20"/>
  <c r="R699" i="20"/>
  <c r="J699" i="20"/>
  <c r="D699" i="20"/>
  <c r="Q699" i="20"/>
  <c r="D562" i="20"/>
  <c r="Q562" i="20"/>
  <c r="C562" i="20"/>
  <c r="E562" i="20"/>
  <c r="G562" i="20"/>
  <c r="K562" i="20"/>
  <c r="H562" i="20"/>
  <c r="P562" i="20"/>
  <c r="N562" i="20"/>
  <c r="F562" i="20"/>
  <c r="R562" i="20"/>
  <c r="L562" i="20"/>
  <c r="O562" i="20"/>
  <c r="M562" i="20"/>
  <c r="J562" i="20"/>
  <c r="I562" i="20"/>
  <c r="B562" i="20"/>
  <c r="D598" i="20"/>
  <c r="H598" i="20"/>
  <c r="I598" i="20"/>
  <c r="Q598" i="20"/>
  <c r="C598" i="20"/>
  <c r="F598" i="20"/>
  <c r="G598" i="20"/>
  <c r="B598" i="20"/>
  <c r="N598" i="20"/>
  <c r="E598" i="20"/>
  <c r="J598" i="20"/>
  <c r="P598" i="20"/>
  <c r="M598" i="20"/>
  <c r="O598" i="20"/>
  <c r="L598" i="20"/>
  <c r="R598" i="20"/>
  <c r="K598" i="20"/>
  <c r="C586" i="20"/>
  <c r="N586" i="20"/>
  <c r="K586" i="20"/>
  <c r="F586" i="20"/>
  <c r="R586" i="20"/>
  <c r="P586" i="20"/>
  <c r="I586" i="20"/>
  <c r="L586" i="20"/>
  <c r="J586" i="20"/>
  <c r="M586" i="20"/>
  <c r="O586" i="20"/>
  <c r="H586" i="20"/>
  <c r="G586" i="20"/>
  <c r="Q586" i="20"/>
  <c r="E586" i="20"/>
  <c r="B586" i="20"/>
  <c r="D586" i="20"/>
  <c r="E469" i="20"/>
  <c r="G469" i="20"/>
  <c r="N469" i="20"/>
  <c r="I469" i="20"/>
  <c r="F469" i="20"/>
  <c r="B469" i="20"/>
  <c r="C469" i="20"/>
  <c r="O469" i="20"/>
  <c r="D469" i="20"/>
  <c r="R469" i="20"/>
  <c r="P469" i="20"/>
  <c r="Q469" i="20"/>
  <c r="H469" i="20"/>
  <c r="L469" i="20"/>
  <c r="M469" i="20"/>
  <c r="K469" i="20"/>
  <c r="J469" i="20"/>
  <c r="B736" i="20"/>
  <c r="J736" i="20"/>
  <c r="K736" i="20"/>
  <c r="L736" i="20"/>
  <c r="N736" i="20"/>
  <c r="P736" i="20"/>
  <c r="F736" i="20"/>
  <c r="I736" i="20"/>
  <c r="H736" i="20"/>
  <c r="G736" i="20"/>
  <c r="M736" i="20"/>
  <c r="E736" i="20"/>
  <c r="Q736" i="20"/>
  <c r="O736" i="20"/>
  <c r="R736" i="20"/>
  <c r="C736" i="20"/>
  <c r="D736" i="20"/>
  <c r="C705" i="20"/>
  <c r="R705" i="20"/>
  <c r="L705" i="20"/>
  <c r="H705" i="20"/>
  <c r="I705" i="20"/>
  <c r="M705" i="20"/>
  <c r="N705" i="20"/>
  <c r="O705" i="20"/>
  <c r="P705" i="20"/>
  <c r="Q705" i="20"/>
  <c r="B705" i="20"/>
  <c r="D705" i="20"/>
  <c r="E705" i="20"/>
  <c r="F705" i="20"/>
  <c r="G705" i="20"/>
  <c r="J705" i="20"/>
  <c r="K705" i="20"/>
  <c r="I646" i="20"/>
  <c r="D646" i="20"/>
  <c r="N646" i="20"/>
  <c r="P646" i="20"/>
  <c r="C646" i="20"/>
  <c r="Q646" i="20"/>
  <c r="G646" i="20"/>
  <c r="K646" i="20"/>
  <c r="B646" i="20"/>
  <c r="M646" i="20"/>
  <c r="F646" i="20"/>
  <c r="R646" i="20"/>
  <c r="E646" i="20"/>
  <c r="L646" i="20"/>
  <c r="J646" i="20"/>
  <c r="O646" i="20"/>
  <c r="H646" i="20"/>
  <c r="K547" i="20"/>
  <c r="M547" i="20"/>
  <c r="N547" i="20"/>
  <c r="O547" i="20"/>
  <c r="P547" i="20"/>
  <c r="Q547" i="20"/>
  <c r="R547" i="20"/>
  <c r="B547" i="20"/>
  <c r="C547" i="20"/>
  <c r="D547" i="20"/>
  <c r="G547" i="20"/>
  <c r="H547" i="20"/>
  <c r="I547" i="20"/>
  <c r="E547" i="20"/>
  <c r="L547" i="20"/>
  <c r="F547" i="20"/>
  <c r="J547" i="20"/>
  <c r="C516" i="20"/>
  <c r="B516" i="20"/>
  <c r="E516" i="20"/>
  <c r="F516" i="20"/>
  <c r="I516" i="20"/>
  <c r="K516" i="20"/>
  <c r="L516" i="20"/>
  <c r="M516" i="20"/>
  <c r="O516" i="20"/>
  <c r="P516" i="20"/>
  <c r="R516" i="20"/>
  <c r="N516" i="20"/>
  <c r="J516" i="20"/>
  <c r="G516" i="20"/>
  <c r="D516" i="20"/>
  <c r="Q516" i="20"/>
  <c r="H516" i="20"/>
  <c r="B462" i="20"/>
  <c r="M462" i="20"/>
  <c r="N462" i="20"/>
  <c r="O462" i="20"/>
  <c r="P462" i="20"/>
  <c r="Q462" i="20"/>
  <c r="R462" i="20"/>
  <c r="H462" i="20"/>
  <c r="I462" i="20"/>
  <c r="J462" i="20"/>
  <c r="E462" i="20"/>
  <c r="F462" i="20"/>
  <c r="G462" i="20"/>
  <c r="K462" i="20"/>
  <c r="D462" i="20"/>
  <c r="L462" i="20"/>
  <c r="C462" i="20"/>
  <c r="B455" i="20"/>
  <c r="H455" i="20"/>
  <c r="I455" i="20"/>
  <c r="J455" i="20"/>
  <c r="L455" i="20"/>
  <c r="M455" i="20"/>
  <c r="R455" i="20"/>
  <c r="G455" i="20"/>
  <c r="F455" i="20"/>
  <c r="O455" i="20"/>
  <c r="C455" i="20"/>
  <c r="Q455" i="20"/>
  <c r="E455" i="20"/>
  <c r="P455" i="20"/>
  <c r="D455" i="20"/>
  <c r="K455" i="20"/>
  <c r="N455" i="20"/>
  <c r="B482" i="20"/>
  <c r="D482" i="20"/>
  <c r="E482" i="20"/>
  <c r="G482" i="20"/>
  <c r="F482" i="20"/>
  <c r="P482" i="20"/>
  <c r="L482" i="20"/>
  <c r="H482" i="20"/>
  <c r="I482" i="20"/>
  <c r="M482" i="20"/>
  <c r="J482" i="20"/>
  <c r="K482" i="20"/>
  <c r="N482" i="20"/>
  <c r="O482" i="20"/>
  <c r="C482" i="20"/>
  <c r="Q482" i="20"/>
  <c r="R482" i="20"/>
  <c r="K751" i="20"/>
  <c r="D751" i="20"/>
  <c r="N751" i="20"/>
  <c r="Q751" i="20"/>
  <c r="I751" i="20"/>
  <c r="F751" i="20"/>
  <c r="P751" i="20"/>
  <c r="C751" i="20"/>
  <c r="O751" i="20"/>
  <c r="B751" i="20"/>
  <c r="J751" i="20"/>
  <c r="R751" i="20"/>
  <c r="M751" i="20"/>
  <c r="E751" i="20"/>
  <c r="H751" i="20"/>
  <c r="G751" i="20"/>
  <c r="L751" i="20"/>
  <c r="B625" i="20"/>
  <c r="J625" i="20"/>
  <c r="L625" i="20"/>
  <c r="M625" i="20"/>
  <c r="P625" i="20"/>
  <c r="F625" i="20"/>
  <c r="G625" i="20"/>
  <c r="I625" i="20"/>
  <c r="E625" i="20"/>
  <c r="R625" i="20"/>
  <c r="H625" i="20"/>
  <c r="N625" i="20"/>
  <c r="K625" i="20"/>
  <c r="C625" i="20"/>
  <c r="O625" i="20"/>
  <c r="Q625" i="20"/>
  <c r="D625" i="20"/>
  <c r="J659" i="20"/>
  <c r="P659" i="20"/>
  <c r="E659" i="20"/>
  <c r="F659" i="20"/>
  <c r="H659" i="20"/>
  <c r="L659" i="20"/>
  <c r="M659" i="20"/>
  <c r="N659" i="20"/>
  <c r="Q659" i="20"/>
  <c r="R659" i="20"/>
  <c r="B659" i="20"/>
  <c r="D659" i="20"/>
  <c r="O659" i="20"/>
  <c r="I659" i="20"/>
  <c r="C659" i="20"/>
  <c r="G659" i="20"/>
  <c r="K659" i="20"/>
  <c r="C538" i="20"/>
  <c r="Q538" i="20"/>
  <c r="D538" i="20"/>
  <c r="E538" i="20"/>
  <c r="G538" i="20"/>
  <c r="H538" i="20"/>
  <c r="I538" i="20"/>
  <c r="K538" i="20"/>
  <c r="L538" i="20"/>
  <c r="M538" i="20"/>
  <c r="N538" i="20"/>
  <c r="O538" i="20"/>
  <c r="B538" i="20"/>
  <c r="P538" i="20"/>
  <c r="J538" i="20"/>
  <c r="F538" i="20"/>
  <c r="R538" i="20"/>
  <c r="F490" i="20"/>
  <c r="G490" i="20"/>
  <c r="H490" i="20"/>
  <c r="M490" i="20"/>
  <c r="N490" i="20"/>
  <c r="O490" i="20"/>
  <c r="P490" i="20"/>
  <c r="Q490" i="20"/>
  <c r="B490" i="20"/>
  <c r="R490" i="20"/>
  <c r="C490" i="20"/>
  <c r="D490" i="20"/>
  <c r="E490" i="20"/>
  <c r="I490" i="20"/>
  <c r="K490" i="20"/>
  <c r="J490" i="20"/>
  <c r="L490" i="20"/>
  <c r="G475" i="20"/>
  <c r="D475" i="20"/>
  <c r="I475" i="20"/>
  <c r="L475" i="20"/>
  <c r="R475" i="20"/>
  <c r="H475" i="20"/>
  <c r="J475" i="20"/>
  <c r="M475" i="20"/>
  <c r="Q475" i="20"/>
  <c r="B475" i="20"/>
  <c r="E475" i="20"/>
  <c r="N475" i="20"/>
  <c r="F475" i="20"/>
  <c r="C475" i="20"/>
  <c r="O475" i="20"/>
  <c r="P475" i="20"/>
  <c r="K475" i="20"/>
  <c r="E720" i="20"/>
  <c r="B720" i="20"/>
  <c r="O720" i="20"/>
  <c r="G720" i="20"/>
  <c r="H720" i="20"/>
  <c r="I720" i="20"/>
  <c r="J720" i="20"/>
  <c r="K720" i="20"/>
  <c r="L720" i="20"/>
  <c r="M720" i="20"/>
  <c r="N720" i="20"/>
  <c r="P720" i="20"/>
  <c r="C720" i="20"/>
  <c r="R720" i="20"/>
  <c r="D720" i="20"/>
  <c r="F720" i="20"/>
  <c r="Q720" i="20"/>
  <c r="K741" i="20"/>
  <c r="P741" i="20"/>
  <c r="L741" i="20"/>
  <c r="C741" i="20"/>
  <c r="F741" i="20"/>
  <c r="Q741" i="20"/>
  <c r="D741" i="20"/>
  <c r="R741" i="20"/>
  <c r="I741" i="20"/>
  <c r="E741" i="20"/>
  <c r="N741" i="20"/>
  <c r="H741" i="20"/>
  <c r="O741" i="20"/>
  <c r="G741" i="20"/>
  <c r="B741" i="20"/>
  <c r="M741" i="20"/>
  <c r="J741" i="20"/>
  <c r="G604" i="20"/>
  <c r="H604" i="20"/>
  <c r="I604" i="20"/>
  <c r="J604" i="20"/>
  <c r="K604" i="20"/>
  <c r="L604" i="20"/>
  <c r="M604" i="20"/>
  <c r="O604" i="20"/>
  <c r="C604" i="20"/>
  <c r="P604" i="20"/>
  <c r="D604" i="20"/>
  <c r="Q604" i="20"/>
  <c r="E604" i="20"/>
  <c r="R604" i="20"/>
  <c r="F604" i="20"/>
  <c r="B604" i="20"/>
  <c r="N604" i="20"/>
  <c r="D534" i="20"/>
  <c r="C534" i="20"/>
  <c r="E534" i="20"/>
  <c r="G534" i="20"/>
  <c r="I534" i="20"/>
  <c r="J534" i="20"/>
  <c r="K534" i="20"/>
  <c r="L534" i="20"/>
  <c r="P534" i="20"/>
  <c r="Q534" i="20"/>
  <c r="N534" i="20"/>
  <c r="F534" i="20"/>
  <c r="H534" i="20"/>
  <c r="B534" i="20"/>
  <c r="R534" i="20"/>
  <c r="O534" i="20"/>
  <c r="M534" i="20"/>
  <c r="D527" i="20"/>
  <c r="E527" i="20"/>
  <c r="F527" i="20"/>
  <c r="G527" i="20"/>
  <c r="I527" i="20"/>
  <c r="K527" i="20"/>
  <c r="M527" i="20"/>
  <c r="N527" i="20"/>
  <c r="O527" i="20"/>
  <c r="P527" i="20"/>
  <c r="B527" i="20"/>
  <c r="Q527" i="20"/>
  <c r="C527" i="20"/>
  <c r="R527" i="20"/>
  <c r="H527" i="20"/>
  <c r="J527" i="20"/>
  <c r="L527" i="20"/>
  <c r="B460" i="20"/>
  <c r="D460" i="20"/>
  <c r="L460" i="20"/>
  <c r="G460" i="20"/>
  <c r="C460" i="20"/>
  <c r="H460" i="20"/>
  <c r="I460" i="20"/>
  <c r="J460" i="20"/>
  <c r="K460" i="20"/>
  <c r="R460" i="20"/>
  <c r="M460" i="20"/>
  <c r="N460" i="20"/>
  <c r="O460" i="20"/>
  <c r="Q460" i="20"/>
  <c r="F460" i="20"/>
  <c r="P460" i="20"/>
  <c r="E460" i="20"/>
  <c r="F489" i="20"/>
  <c r="I489" i="20"/>
  <c r="J489" i="20"/>
  <c r="K489" i="20"/>
  <c r="O489" i="20"/>
  <c r="H489" i="20"/>
  <c r="D489" i="20"/>
  <c r="E489" i="20"/>
  <c r="L489" i="20"/>
  <c r="Q489" i="20"/>
  <c r="R489" i="20"/>
  <c r="B489" i="20"/>
  <c r="G489" i="20"/>
  <c r="C489" i="20"/>
  <c r="P489" i="20"/>
  <c r="M489" i="20"/>
  <c r="N489" i="20"/>
  <c r="C691" i="20"/>
  <c r="B691" i="20"/>
  <c r="P691" i="20"/>
  <c r="Q691" i="20"/>
  <c r="D691" i="20"/>
  <c r="N691" i="20"/>
  <c r="F691" i="20"/>
  <c r="L691" i="20"/>
  <c r="E691" i="20"/>
  <c r="R691" i="20"/>
  <c r="G691" i="20"/>
  <c r="O691" i="20"/>
  <c r="M691" i="20"/>
  <c r="I691" i="20"/>
  <c r="J691" i="20"/>
  <c r="K691" i="20"/>
  <c r="H691" i="20"/>
  <c r="I602" i="20"/>
  <c r="J602" i="20"/>
  <c r="L602" i="20"/>
  <c r="M602" i="20"/>
  <c r="O602" i="20"/>
  <c r="P602" i="20"/>
  <c r="Q602" i="20"/>
  <c r="C602" i="20"/>
  <c r="R602" i="20"/>
  <c r="D602" i="20"/>
  <c r="E602" i="20"/>
  <c r="F602" i="20"/>
  <c r="H602" i="20"/>
  <c r="B602" i="20"/>
  <c r="N602" i="20"/>
  <c r="G602" i="20"/>
  <c r="K602" i="20"/>
  <c r="J522" i="20"/>
  <c r="B522" i="20"/>
  <c r="P522" i="20"/>
  <c r="C522" i="20"/>
  <c r="Q522" i="20"/>
  <c r="D522" i="20"/>
  <c r="F522" i="20"/>
  <c r="G522" i="20"/>
  <c r="H522" i="20"/>
  <c r="I522" i="20"/>
  <c r="K522" i="20"/>
  <c r="L522" i="20"/>
  <c r="M522" i="20"/>
  <c r="N522" i="20"/>
  <c r="O522" i="20"/>
  <c r="R522" i="20"/>
  <c r="E522" i="20"/>
  <c r="C620" i="20"/>
  <c r="P620" i="20"/>
  <c r="D620" i="20"/>
  <c r="Q620" i="20"/>
  <c r="E620" i="20"/>
  <c r="R620" i="20"/>
  <c r="F620" i="20"/>
  <c r="G620" i="20"/>
  <c r="I620" i="20"/>
  <c r="J620" i="20"/>
  <c r="K620" i="20"/>
  <c r="L620" i="20"/>
  <c r="M620" i="20"/>
  <c r="H620" i="20"/>
  <c r="O620" i="20"/>
  <c r="B620" i="20"/>
  <c r="N620" i="20"/>
  <c r="B453" i="20"/>
  <c r="H453" i="20"/>
  <c r="I453" i="20"/>
  <c r="J453" i="20"/>
  <c r="K453" i="20"/>
  <c r="L453" i="20"/>
  <c r="M453" i="20"/>
  <c r="Q453" i="20"/>
  <c r="R453" i="20"/>
  <c r="E453" i="20"/>
  <c r="F453" i="20"/>
  <c r="G453" i="20"/>
  <c r="D453" i="20"/>
  <c r="N453" i="20"/>
  <c r="O453" i="20"/>
  <c r="C453" i="20"/>
  <c r="P453" i="20"/>
  <c r="K739" i="20"/>
  <c r="I739" i="20"/>
  <c r="J739" i="20"/>
  <c r="M739" i="20"/>
  <c r="N739" i="20"/>
  <c r="O739" i="20"/>
  <c r="Q739" i="20"/>
  <c r="B739" i="20"/>
  <c r="D739" i="20"/>
  <c r="G739" i="20"/>
  <c r="H739" i="20"/>
  <c r="E739" i="20"/>
  <c r="L739" i="20"/>
  <c r="P739" i="20"/>
  <c r="C739" i="20"/>
  <c r="F739" i="20"/>
  <c r="R739" i="20"/>
  <c r="B468" i="20"/>
  <c r="D468" i="20"/>
  <c r="L468" i="20"/>
  <c r="C468" i="20"/>
  <c r="J468" i="20"/>
  <c r="E468" i="20"/>
  <c r="K468" i="20"/>
  <c r="Q468" i="20"/>
  <c r="O468" i="20"/>
  <c r="R468" i="20"/>
  <c r="P468" i="20"/>
  <c r="N468" i="20"/>
  <c r="M468" i="20"/>
  <c r="H468" i="20"/>
  <c r="G468" i="20"/>
  <c r="I468" i="20"/>
  <c r="F468" i="20"/>
  <c r="K745" i="20"/>
  <c r="D745" i="20"/>
  <c r="G745" i="20"/>
  <c r="N745" i="20"/>
  <c r="Q745" i="20"/>
  <c r="J745" i="20"/>
  <c r="P745" i="20"/>
  <c r="C745" i="20"/>
  <c r="L745" i="20"/>
  <c r="H745" i="20"/>
  <c r="O745" i="20"/>
  <c r="B745" i="20"/>
  <c r="F745" i="20"/>
  <c r="I745" i="20"/>
  <c r="R745" i="20"/>
  <c r="E745" i="20"/>
  <c r="M745" i="20"/>
  <c r="E726" i="20"/>
  <c r="J726" i="20"/>
  <c r="K726" i="20"/>
  <c r="L726" i="20"/>
  <c r="M726" i="20"/>
  <c r="N726" i="20"/>
  <c r="B726" i="20"/>
  <c r="O726" i="20"/>
  <c r="C726" i="20"/>
  <c r="P726" i="20"/>
  <c r="D726" i="20"/>
  <c r="R726" i="20"/>
  <c r="F726" i="20"/>
  <c r="G726" i="20"/>
  <c r="H726" i="20"/>
  <c r="I726" i="20"/>
  <c r="Q726" i="20"/>
  <c r="L626" i="20"/>
  <c r="M626" i="20"/>
  <c r="N626" i="20"/>
  <c r="O626" i="20"/>
  <c r="P626" i="20"/>
  <c r="C626" i="20"/>
  <c r="D626" i="20"/>
  <c r="F626" i="20"/>
  <c r="G626" i="20"/>
  <c r="H626" i="20"/>
  <c r="R626" i="20"/>
  <c r="B626" i="20"/>
  <c r="J626" i="20"/>
  <c r="K626" i="20"/>
  <c r="E626" i="20"/>
  <c r="Q626" i="20"/>
  <c r="I626" i="20"/>
  <c r="B510" i="20"/>
  <c r="N510" i="20"/>
  <c r="O510" i="20"/>
  <c r="Q510" i="20"/>
  <c r="C510" i="20"/>
  <c r="E510" i="20"/>
  <c r="F510" i="20"/>
  <c r="I510" i="20"/>
  <c r="M510" i="20"/>
  <c r="L510" i="20"/>
  <c r="D510" i="20"/>
  <c r="H510" i="20"/>
  <c r="R510" i="20"/>
  <c r="J510" i="20"/>
  <c r="G510" i="20"/>
  <c r="K510" i="20"/>
  <c r="P510" i="20"/>
  <c r="E608" i="20"/>
  <c r="F608" i="20"/>
  <c r="G608" i="20"/>
  <c r="J608" i="20"/>
  <c r="K608" i="20"/>
  <c r="L608" i="20"/>
  <c r="M608" i="20"/>
  <c r="P608" i="20"/>
  <c r="R608" i="20"/>
  <c r="C608" i="20"/>
  <c r="N608" i="20"/>
  <c r="O608" i="20"/>
  <c r="B608" i="20"/>
  <c r="D608" i="20"/>
  <c r="Q608" i="20"/>
  <c r="H608" i="20"/>
  <c r="I608" i="20"/>
  <c r="D520" i="20"/>
  <c r="C520" i="20"/>
  <c r="H520" i="20"/>
  <c r="M520" i="20"/>
  <c r="P520" i="20"/>
  <c r="Q520" i="20"/>
  <c r="R520" i="20"/>
  <c r="O520" i="20"/>
  <c r="E520" i="20"/>
  <c r="F520" i="20"/>
  <c r="G520" i="20"/>
  <c r="I520" i="20"/>
  <c r="N520" i="20"/>
  <c r="J520" i="20"/>
  <c r="K520" i="20"/>
  <c r="L520" i="20"/>
  <c r="B520" i="20"/>
  <c r="D677" i="20"/>
  <c r="E677" i="20"/>
  <c r="F677" i="20"/>
  <c r="H677" i="20"/>
  <c r="L677" i="20"/>
  <c r="P677" i="20"/>
  <c r="Q677" i="20"/>
  <c r="C677" i="20"/>
  <c r="M677" i="20"/>
  <c r="R677" i="20"/>
  <c r="O677" i="20"/>
  <c r="G677" i="20"/>
  <c r="I677" i="20"/>
  <c r="J677" i="20"/>
  <c r="K677" i="20"/>
  <c r="B677" i="20"/>
  <c r="N677" i="20"/>
  <c r="O730" i="20"/>
  <c r="B730" i="20"/>
  <c r="I730" i="20"/>
  <c r="L730" i="20"/>
  <c r="M730" i="20"/>
  <c r="N730" i="20"/>
  <c r="P730" i="20"/>
  <c r="G730" i="20"/>
  <c r="C730" i="20"/>
  <c r="E730" i="20"/>
  <c r="H730" i="20"/>
  <c r="Q730" i="20"/>
  <c r="K730" i="20"/>
  <c r="J730" i="20"/>
  <c r="R730" i="20"/>
  <c r="D730" i="20"/>
  <c r="F730" i="20"/>
  <c r="C667" i="20"/>
  <c r="M667" i="20"/>
  <c r="Q667" i="20"/>
  <c r="F667" i="20"/>
  <c r="H667" i="20"/>
  <c r="L667" i="20"/>
  <c r="N667" i="20"/>
  <c r="O667" i="20"/>
  <c r="P667" i="20"/>
  <c r="R667" i="20"/>
  <c r="B667" i="20"/>
  <c r="D667" i="20"/>
  <c r="E667" i="20"/>
  <c r="G667" i="20"/>
  <c r="J667" i="20"/>
  <c r="I667" i="20"/>
  <c r="K667" i="20"/>
  <c r="B578" i="20"/>
  <c r="G578" i="20"/>
  <c r="N578" i="20"/>
  <c r="H578" i="20"/>
  <c r="F578" i="20"/>
  <c r="K578" i="20"/>
  <c r="R578" i="20"/>
  <c r="P578" i="20"/>
  <c r="I578" i="20"/>
  <c r="Q578" i="20"/>
  <c r="J578" i="20"/>
  <c r="L578" i="20"/>
  <c r="M578" i="20"/>
  <c r="O578" i="20"/>
  <c r="C578" i="20"/>
  <c r="D578" i="20"/>
  <c r="E578" i="20"/>
  <c r="B639" i="20"/>
  <c r="N639" i="20"/>
  <c r="I639" i="20"/>
  <c r="J639" i="20"/>
  <c r="K639" i="20"/>
  <c r="L639" i="20"/>
  <c r="G639" i="20"/>
  <c r="H639" i="20"/>
  <c r="E639" i="20"/>
  <c r="D639" i="20"/>
  <c r="P639" i="20"/>
  <c r="Q639" i="20"/>
  <c r="R639" i="20"/>
  <c r="C639" i="20"/>
  <c r="O639" i="20"/>
  <c r="F639" i="20"/>
  <c r="M639" i="20"/>
  <c r="E710" i="20"/>
  <c r="G710" i="20"/>
  <c r="K710" i="20"/>
  <c r="L710" i="20"/>
  <c r="M710" i="20"/>
  <c r="N710" i="20"/>
  <c r="O710" i="20"/>
  <c r="B710" i="20"/>
  <c r="P710" i="20"/>
  <c r="C710" i="20"/>
  <c r="R710" i="20"/>
  <c r="D710" i="20"/>
  <c r="F710" i="20"/>
  <c r="H710" i="20"/>
  <c r="I710" i="20"/>
  <c r="J710" i="20"/>
  <c r="Q710" i="20"/>
  <c r="C518" i="20"/>
  <c r="B518" i="20"/>
  <c r="D518" i="20"/>
  <c r="E518" i="20"/>
  <c r="F518" i="20"/>
  <c r="H518" i="20"/>
  <c r="N518" i="20"/>
  <c r="P518" i="20"/>
  <c r="Q518" i="20"/>
  <c r="M518" i="20"/>
  <c r="R518" i="20"/>
  <c r="K518" i="20"/>
  <c r="O518" i="20"/>
  <c r="L518" i="20"/>
  <c r="I518" i="20"/>
  <c r="J518" i="20"/>
  <c r="G518" i="20"/>
  <c r="K731" i="20"/>
  <c r="B731" i="20"/>
  <c r="D731" i="20"/>
  <c r="G731" i="20"/>
  <c r="H731" i="20"/>
  <c r="I731" i="20"/>
  <c r="J731" i="20"/>
  <c r="M731" i="20"/>
  <c r="N731" i="20"/>
  <c r="O731" i="20"/>
  <c r="Q731" i="20"/>
  <c r="P731" i="20"/>
  <c r="C731" i="20"/>
  <c r="F731" i="20"/>
  <c r="R731" i="20"/>
  <c r="E731" i="20"/>
  <c r="L731" i="20"/>
  <c r="E716" i="20"/>
  <c r="F716" i="20"/>
  <c r="C716" i="20"/>
  <c r="R716" i="20"/>
  <c r="D716" i="20"/>
  <c r="G716" i="20"/>
  <c r="H716" i="20"/>
  <c r="I716" i="20"/>
  <c r="J716" i="20"/>
  <c r="K716" i="20"/>
  <c r="L716" i="20"/>
  <c r="M716" i="20"/>
  <c r="N716" i="20"/>
  <c r="O716" i="20"/>
  <c r="B716" i="20"/>
  <c r="P716" i="20"/>
  <c r="Q716" i="20"/>
  <c r="P717" i="20"/>
  <c r="Q717" i="20"/>
  <c r="B717" i="20"/>
  <c r="R717" i="20"/>
  <c r="C717" i="20"/>
  <c r="D717" i="20"/>
  <c r="E717" i="20"/>
  <c r="F717" i="20"/>
  <c r="H717" i="20"/>
  <c r="I717" i="20"/>
  <c r="L717" i="20"/>
  <c r="M717" i="20"/>
  <c r="N717" i="20"/>
  <c r="O717" i="20"/>
  <c r="J717" i="20"/>
  <c r="G717" i="20"/>
  <c r="K717" i="20"/>
  <c r="C614" i="20"/>
  <c r="D614" i="20"/>
  <c r="F614" i="20"/>
  <c r="H614" i="20"/>
  <c r="I614" i="20"/>
  <c r="J614" i="20"/>
  <c r="K614" i="20"/>
  <c r="O614" i="20"/>
  <c r="Q614" i="20"/>
  <c r="G614" i="20"/>
  <c r="P614" i="20"/>
  <c r="B614" i="20"/>
  <c r="N614" i="20"/>
  <c r="M614" i="20"/>
  <c r="E614" i="20"/>
  <c r="R614" i="20"/>
  <c r="L614" i="20"/>
  <c r="D589" i="20"/>
  <c r="E589" i="20"/>
  <c r="L589" i="20"/>
  <c r="O589" i="20"/>
  <c r="M589" i="20"/>
  <c r="B589" i="20"/>
  <c r="P589" i="20"/>
  <c r="R589" i="20"/>
  <c r="C589" i="20"/>
  <c r="J589" i="20"/>
  <c r="I589" i="20"/>
  <c r="G589" i="20"/>
  <c r="H589" i="20"/>
  <c r="Q589" i="20"/>
  <c r="K589" i="20"/>
  <c r="F589" i="20"/>
  <c r="N589" i="20"/>
  <c r="B553" i="20"/>
  <c r="I553" i="20"/>
  <c r="K553" i="20"/>
  <c r="O553" i="20"/>
  <c r="E553" i="20"/>
  <c r="M553" i="20"/>
  <c r="F553" i="20"/>
  <c r="R553" i="20"/>
  <c r="Q553" i="20"/>
  <c r="N553" i="20"/>
  <c r="D553" i="20"/>
  <c r="C553" i="20"/>
  <c r="J553" i="20"/>
  <c r="G553" i="20"/>
  <c r="P553" i="20"/>
  <c r="H553" i="20"/>
  <c r="L553" i="20"/>
  <c r="B517" i="20"/>
  <c r="E517" i="20"/>
  <c r="F517" i="20"/>
  <c r="G517" i="20"/>
  <c r="H517" i="20"/>
  <c r="I517" i="20"/>
  <c r="J517" i="20"/>
  <c r="M517" i="20"/>
  <c r="N517" i="20"/>
  <c r="O517" i="20"/>
  <c r="R517" i="20"/>
  <c r="Q517" i="20"/>
  <c r="D517" i="20"/>
  <c r="K517" i="20"/>
  <c r="P517" i="20"/>
  <c r="L517" i="20"/>
  <c r="C517" i="20"/>
  <c r="B597" i="20"/>
  <c r="C597" i="20"/>
  <c r="D597" i="20"/>
  <c r="G597" i="20"/>
  <c r="I597" i="20"/>
  <c r="K597" i="20"/>
  <c r="L597" i="20"/>
  <c r="N597" i="20"/>
  <c r="P597" i="20"/>
  <c r="H597" i="20"/>
  <c r="F597" i="20"/>
  <c r="M597" i="20"/>
  <c r="Q597" i="20"/>
  <c r="E597" i="20"/>
  <c r="O597" i="20"/>
  <c r="R597" i="20"/>
  <c r="J597" i="20"/>
  <c r="B678" i="20"/>
  <c r="E678" i="20"/>
  <c r="Q678" i="20"/>
  <c r="F678" i="20"/>
  <c r="R678" i="20"/>
  <c r="G678" i="20"/>
  <c r="H678" i="20"/>
  <c r="I678" i="20"/>
  <c r="K678" i="20"/>
  <c r="L678" i="20"/>
  <c r="C678" i="20"/>
  <c r="O678" i="20"/>
  <c r="J678" i="20"/>
  <c r="M678" i="20"/>
  <c r="N678" i="20"/>
  <c r="P678" i="20"/>
  <c r="D678" i="20"/>
  <c r="E714" i="20"/>
  <c r="C714" i="20"/>
  <c r="P714" i="20"/>
  <c r="M714" i="20"/>
  <c r="N714" i="20"/>
  <c r="O714" i="20"/>
  <c r="B714" i="20"/>
  <c r="R714" i="20"/>
  <c r="D714" i="20"/>
  <c r="F714" i="20"/>
  <c r="G714" i="20"/>
  <c r="H714" i="20"/>
  <c r="I714" i="20"/>
  <c r="J714" i="20"/>
  <c r="K714" i="20"/>
  <c r="L714" i="20"/>
  <c r="Q714" i="20"/>
  <c r="O725" i="20"/>
  <c r="B725" i="20"/>
  <c r="P725" i="20"/>
  <c r="C725" i="20"/>
  <c r="Q725" i="20"/>
  <c r="D725" i="20"/>
  <c r="R725" i="20"/>
  <c r="E725" i="20"/>
  <c r="F725" i="20"/>
  <c r="H725" i="20"/>
  <c r="I725" i="20"/>
  <c r="J725" i="20"/>
  <c r="L725" i="20"/>
  <c r="M725" i="20"/>
  <c r="N725" i="20"/>
  <c r="G725" i="20"/>
  <c r="K725" i="20"/>
  <c r="B525" i="20"/>
  <c r="F525" i="20"/>
  <c r="J525" i="20"/>
  <c r="M525" i="20"/>
  <c r="H525" i="20"/>
  <c r="L525" i="20"/>
  <c r="C525" i="20"/>
  <c r="Q525" i="20"/>
  <c r="D525" i="20"/>
  <c r="R525" i="20"/>
  <c r="E525" i="20"/>
  <c r="P525" i="20"/>
  <c r="G525" i="20"/>
  <c r="N525" i="20"/>
  <c r="I525" i="20"/>
  <c r="K525" i="20"/>
  <c r="O525" i="20"/>
  <c r="Q543" i="20"/>
  <c r="H543" i="20"/>
  <c r="K543" i="20"/>
  <c r="L543" i="20"/>
  <c r="M543" i="20"/>
  <c r="C543" i="20"/>
  <c r="N543" i="20"/>
  <c r="O543" i="20"/>
  <c r="P543" i="20"/>
  <c r="B543" i="20"/>
  <c r="D543" i="20"/>
  <c r="E543" i="20"/>
  <c r="F543" i="20"/>
  <c r="G543" i="20"/>
  <c r="I543" i="20"/>
  <c r="R543" i="20"/>
  <c r="J543" i="20"/>
  <c r="G466" i="20"/>
  <c r="K466" i="20"/>
  <c r="L466" i="20"/>
  <c r="M466" i="20"/>
  <c r="P466" i="20"/>
  <c r="Q466" i="20"/>
  <c r="B466" i="20"/>
  <c r="D466" i="20"/>
  <c r="E466" i="20"/>
  <c r="F466" i="20"/>
  <c r="H466" i="20"/>
  <c r="I466" i="20"/>
  <c r="J466" i="20"/>
  <c r="N466" i="20"/>
  <c r="O466" i="20"/>
  <c r="C466" i="20"/>
  <c r="R466" i="20"/>
  <c r="K743" i="20"/>
  <c r="D743" i="20"/>
  <c r="N743" i="20"/>
  <c r="Q743" i="20"/>
  <c r="B743" i="20"/>
  <c r="I743" i="20"/>
  <c r="G743" i="20"/>
  <c r="H743" i="20"/>
  <c r="M743" i="20"/>
  <c r="R743" i="20"/>
  <c r="E743" i="20"/>
  <c r="L743" i="20"/>
  <c r="P743" i="20"/>
  <c r="J743" i="20"/>
  <c r="C743" i="20"/>
  <c r="F743" i="20"/>
  <c r="O743" i="20"/>
  <c r="H713" i="20"/>
  <c r="B713" i="20"/>
  <c r="Q713" i="20"/>
  <c r="C713" i="20"/>
  <c r="R713" i="20"/>
  <c r="D713" i="20"/>
  <c r="E713" i="20"/>
  <c r="F713" i="20"/>
  <c r="I713" i="20"/>
  <c r="J713" i="20"/>
  <c r="L713" i="20"/>
  <c r="M713" i="20"/>
  <c r="N713" i="20"/>
  <c r="O713" i="20"/>
  <c r="P713" i="20"/>
  <c r="G713" i="20"/>
  <c r="K713" i="20"/>
  <c r="C591" i="20"/>
  <c r="D591" i="20"/>
  <c r="F591" i="20"/>
  <c r="K591" i="20"/>
  <c r="N591" i="20"/>
  <c r="P591" i="20"/>
  <c r="Q591" i="20"/>
  <c r="R591" i="20"/>
  <c r="B591" i="20"/>
  <c r="E591" i="20"/>
  <c r="O591" i="20"/>
  <c r="I591" i="20"/>
  <c r="J591" i="20"/>
  <c r="H591" i="20"/>
  <c r="L591" i="20"/>
  <c r="G591" i="20"/>
  <c r="M591" i="20"/>
  <c r="M612" i="20"/>
  <c r="O612" i="20"/>
  <c r="C612" i="20"/>
  <c r="P612" i="20"/>
  <c r="D612" i="20"/>
  <c r="Q612" i="20"/>
  <c r="E612" i="20"/>
  <c r="R612" i="20"/>
  <c r="F612" i="20"/>
  <c r="G612" i="20"/>
  <c r="H612" i="20"/>
  <c r="I612" i="20"/>
  <c r="J612" i="20"/>
  <c r="K612" i="20"/>
  <c r="L612" i="20"/>
  <c r="B612" i="20"/>
  <c r="N612" i="20"/>
  <c r="B599" i="20"/>
  <c r="C599" i="20"/>
  <c r="D599" i="20"/>
  <c r="E599" i="20"/>
  <c r="F599" i="20"/>
  <c r="P599" i="20"/>
  <c r="R599" i="20"/>
  <c r="O599" i="20"/>
  <c r="M599" i="20"/>
  <c r="N599" i="20"/>
  <c r="L599" i="20"/>
  <c r="K599" i="20"/>
  <c r="H599" i="20"/>
  <c r="I599" i="20"/>
  <c r="J599" i="20"/>
  <c r="Q599" i="20"/>
  <c r="G599" i="20"/>
  <c r="B478" i="20"/>
  <c r="K478" i="20"/>
  <c r="M478" i="20"/>
  <c r="N478" i="20"/>
  <c r="O478" i="20"/>
  <c r="P478" i="20"/>
  <c r="D478" i="20"/>
  <c r="G478" i="20"/>
  <c r="C478" i="20"/>
  <c r="H478" i="20"/>
  <c r="R478" i="20"/>
  <c r="I478" i="20"/>
  <c r="J478" i="20"/>
  <c r="E478" i="20"/>
  <c r="F478" i="20"/>
  <c r="Q478" i="20"/>
  <c r="L478" i="20"/>
  <c r="C654" i="20"/>
  <c r="D654" i="20"/>
  <c r="N654" i="20"/>
  <c r="P654" i="20"/>
  <c r="Q654" i="20"/>
  <c r="E654" i="20"/>
  <c r="R654" i="20"/>
  <c r="F654" i="20"/>
  <c r="G654" i="20"/>
  <c r="H654" i="20"/>
  <c r="J654" i="20"/>
  <c r="K654" i="20"/>
  <c r="L654" i="20"/>
  <c r="M654" i="20"/>
  <c r="B654" i="20"/>
  <c r="O654" i="20"/>
  <c r="I654" i="20"/>
  <c r="B374" i="20"/>
  <c r="M374" i="20"/>
  <c r="N374" i="20"/>
  <c r="H374" i="20"/>
  <c r="R374" i="20"/>
  <c r="F374" i="20"/>
  <c r="O374" i="20"/>
  <c r="E374" i="20"/>
  <c r="Q374" i="20"/>
  <c r="G374" i="20"/>
  <c r="J374" i="20"/>
  <c r="K374" i="20"/>
  <c r="I374" i="20"/>
  <c r="D374" i="20"/>
  <c r="P374" i="20"/>
  <c r="L374" i="20"/>
  <c r="C374" i="20"/>
  <c r="I277" i="20"/>
  <c r="J277" i="20"/>
  <c r="B277" i="20"/>
  <c r="D277" i="20"/>
  <c r="F277" i="20"/>
  <c r="G277" i="20"/>
  <c r="H277" i="20"/>
  <c r="K277" i="20"/>
  <c r="L277" i="20"/>
  <c r="N277" i="20"/>
  <c r="O277" i="20"/>
  <c r="Q277" i="20"/>
  <c r="P277" i="20"/>
  <c r="R277" i="20"/>
  <c r="E277" i="20"/>
  <c r="C277" i="20"/>
  <c r="M277" i="20"/>
  <c r="E393" i="20"/>
  <c r="Q393" i="20"/>
  <c r="C393" i="20"/>
  <c r="R393" i="20"/>
  <c r="D393" i="20"/>
  <c r="F393" i="20"/>
  <c r="G393" i="20"/>
  <c r="I393" i="20"/>
  <c r="K393" i="20"/>
  <c r="L393" i="20"/>
  <c r="N393" i="20"/>
  <c r="J393" i="20"/>
  <c r="B393" i="20"/>
  <c r="O393" i="20"/>
  <c r="M393" i="20"/>
  <c r="H393" i="20"/>
  <c r="P393" i="20"/>
  <c r="C376" i="20"/>
  <c r="I376" i="20"/>
  <c r="H376" i="20"/>
  <c r="J376" i="20"/>
  <c r="K376" i="20"/>
  <c r="L376" i="20"/>
  <c r="N376" i="20"/>
  <c r="O376" i="20"/>
  <c r="Q376" i="20"/>
  <c r="R376" i="20"/>
  <c r="B376" i="20"/>
  <c r="E376" i="20"/>
  <c r="F376" i="20"/>
  <c r="G376" i="20"/>
  <c r="M376" i="20"/>
  <c r="D376" i="20"/>
  <c r="P376" i="20"/>
  <c r="D183" i="20"/>
  <c r="M183" i="20"/>
  <c r="P183" i="20"/>
  <c r="B183" i="20"/>
  <c r="R183" i="20"/>
  <c r="G183" i="20"/>
  <c r="N183" i="20"/>
  <c r="C183" i="20"/>
  <c r="O183" i="20"/>
  <c r="E183" i="20"/>
  <c r="F183" i="20"/>
  <c r="Q183" i="20"/>
  <c r="H183" i="20"/>
  <c r="I183" i="20"/>
  <c r="J183" i="20"/>
  <c r="K183" i="20"/>
  <c r="L183" i="20"/>
  <c r="H409" i="20"/>
  <c r="L409" i="20"/>
  <c r="R409" i="20"/>
  <c r="D409" i="20"/>
  <c r="E409" i="20"/>
  <c r="G409" i="20"/>
  <c r="O409" i="20"/>
  <c r="N409" i="20"/>
  <c r="C409" i="20"/>
  <c r="P409" i="20"/>
  <c r="Q409" i="20"/>
  <c r="F409" i="20"/>
  <c r="J409" i="20"/>
  <c r="K409" i="20"/>
  <c r="M409" i="20"/>
  <c r="I409" i="20"/>
  <c r="B409" i="20"/>
  <c r="B382" i="20"/>
  <c r="F382" i="20"/>
  <c r="H382" i="20"/>
  <c r="L382" i="20"/>
  <c r="M382" i="20"/>
  <c r="O382" i="20"/>
  <c r="R382" i="20"/>
  <c r="G382" i="20"/>
  <c r="Q382" i="20"/>
  <c r="P382" i="20"/>
  <c r="C382" i="20"/>
  <c r="J382" i="20"/>
  <c r="E382" i="20"/>
  <c r="I382" i="20"/>
  <c r="K382" i="20"/>
  <c r="N382" i="20"/>
  <c r="D382" i="20"/>
  <c r="R330" i="20"/>
  <c r="B330" i="20"/>
  <c r="C330" i="20"/>
  <c r="D330" i="20"/>
  <c r="F330" i="20"/>
  <c r="I330" i="20"/>
  <c r="M330" i="20"/>
  <c r="N330" i="20"/>
  <c r="O330" i="20"/>
  <c r="P330" i="20"/>
  <c r="E330" i="20"/>
  <c r="Q330" i="20"/>
  <c r="G330" i="20"/>
  <c r="H330" i="20"/>
  <c r="K330" i="20"/>
  <c r="L330" i="20"/>
  <c r="J330" i="20"/>
  <c r="B267" i="20"/>
  <c r="P267" i="20"/>
  <c r="O267" i="20"/>
  <c r="L267" i="20"/>
  <c r="M267" i="20"/>
  <c r="N267" i="20"/>
  <c r="D267" i="20"/>
  <c r="E267" i="20"/>
  <c r="G267" i="20"/>
  <c r="H267" i="20"/>
  <c r="J267" i="20"/>
  <c r="K267" i="20"/>
  <c r="C267" i="20"/>
  <c r="Q267" i="20"/>
  <c r="F267" i="20"/>
  <c r="R267" i="20"/>
  <c r="I267" i="20"/>
  <c r="D269" i="20"/>
  <c r="K269" i="20"/>
  <c r="M269" i="20"/>
  <c r="O269" i="20"/>
  <c r="P269" i="20"/>
  <c r="Q269" i="20"/>
  <c r="B269" i="20"/>
  <c r="C269" i="20"/>
  <c r="E269" i="20"/>
  <c r="G269" i="20"/>
  <c r="H269" i="20"/>
  <c r="J269" i="20"/>
  <c r="N269" i="20"/>
  <c r="F269" i="20"/>
  <c r="R269" i="20"/>
  <c r="L269" i="20"/>
  <c r="I269" i="20"/>
  <c r="B149" i="20"/>
  <c r="F149" i="20"/>
  <c r="G149" i="20"/>
  <c r="H149" i="20"/>
  <c r="I149" i="20"/>
  <c r="J149" i="20"/>
  <c r="L149" i="20"/>
  <c r="M149" i="20"/>
  <c r="P149" i="20"/>
  <c r="R149" i="20"/>
  <c r="D149" i="20"/>
  <c r="K149" i="20"/>
  <c r="Q149" i="20"/>
  <c r="E149" i="20"/>
  <c r="O149" i="20"/>
  <c r="C149" i="20"/>
  <c r="N149" i="20"/>
  <c r="B166" i="20"/>
  <c r="N166" i="20"/>
  <c r="O166" i="20"/>
  <c r="J166" i="20"/>
  <c r="P166" i="20"/>
  <c r="D166" i="20"/>
  <c r="E166" i="20"/>
  <c r="F166" i="20"/>
  <c r="G166" i="20"/>
  <c r="M166" i="20"/>
  <c r="H166" i="20"/>
  <c r="I166" i="20"/>
  <c r="L166" i="20"/>
  <c r="K166" i="20"/>
  <c r="R166" i="20"/>
  <c r="C166" i="20"/>
  <c r="Q166" i="20"/>
  <c r="D397" i="20"/>
  <c r="C397" i="20"/>
  <c r="M397" i="20"/>
  <c r="Q397" i="20"/>
  <c r="R397" i="20"/>
  <c r="E397" i="20"/>
  <c r="I397" i="20"/>
  <c r="K397" i="20"/>
  <c r="N397" i="20"/>
  <c r="J397" i="20"/>
  <c r="G397" i="20"/>
  <c r="F397" i="20"/>
  <c r="H397" i="20"/>
  <c r="B397" i="20"/>
  <c r="O397" i="20"/>
  <c r="P397" i="20"/>
  <c r="L397" i="20"/>
  <c r="B370" i="20"/>
  <c r="H370" i="20"/>
  <c r="K370" i="20"/>
  <c r="N370" i="20"/>
  <c r="O370" i="20"/>
  <c r="G370" i="20"/>
  <c r="R370" i="20"/>
  <c r="I370" i="20"/>
  <c r="M370" i="20"/>
  <c r="D370" i="20"/>
  <c r="F370" i="20"/>
  <c r="P370" i="20"/>
  <c r="L370" i="20"/>
  <c r="J370" i="20"/>
  <c r="C370" i="20"/>
  <c r="Q370" i="20"/>
  <c r="E370" i="20"/>
  <c r="K327" i="20"/>
  <c r="D327" i="20"/>
  <c r="E327" i="20"/>
  <c r="F327" i="20"/>
  <c r="G327" i="20"/>
  <c r="J327" i="20"/>
  <c r="L327" i="20"/>
  <c r="N327" i="20"/>
  <c r="O327" i="20"/>
  <c r="P327" i="20"/>
  <c r="Q327" i="20"/>
  <c r="B327" i="20"/>
  <c r="R327" i="20"/>
  <c r="C327" i="20"/>
  <c r="I327" i="20"/>
  <c r="H327" i="20"/>
  <c r="M327" i="20"/>
  <c r="O263" i="20"/>
  <c r="K263" i="20"/>
  <c r="L263" i="20"/>
  <c r="M263" i="20"/>
  <c r="N263" i="20"/>
  <c r="I263" i="20"/>
  <c r="C263" i="20"/>
  <c r="D263" i="20"/>
  <c r="Q263" i="20"/>
  <c r="P263" i="20"/>
  <c r="F263" i="20"/>
  <c r="R263" i="20"/>
  <c r="E263" i="20"/>
  <c r="G263" i="20"/>
  <c r="H263" i="20"/>
  <c r="J263" i="20"/>
  <c r="B263" i="20"/>
  <c r="E253" i="20"/>
  <c r="F253" i="20"/>
  <c r="H253" i="20"/>
  <c r="J253" i="20"/>
  <c r="N253" i="20"/>
  <c r="R253" i="20"/>
  <c r="B253" i="20"/>
  <c r="I253" i="20"/>
  <c r="K253" i="20"/>
  <c r="P253" i="20"/>
  <c r="D253" i="20"/>
  <c r="L253" i="20"/>
  <c r="C253" i="20"/>
  <c r="Q253" i="20"/>
  <c r="G253" i="20"/>
  <c r="M253" i="20"/>
  <c r="O253" i="20"/>
  <c r="L194" i="20"/>
  <c r="B194" i="20"/>
  <c r="E194" i="20"/>
  <c r="F194" i="20"/>
  <c r="G194" i="20"/>
  <c r="O194" i="20"/>
  <c r="P194" i="20"/>
  <c r="C194" i="20"/>
  <c r="Q194" i="20"/>
  <c r="D194" i="20"/>
  <c r="R194" i="20"/>
  <c r="N194" i="20"/>
  <c r="J194" i="20"/>
  <c r="K194" i="20"/>
  <c r="H194" i="20"/>
  <c r="I194" i="20"/>
  <c r="M194" i="20"/>
  <c r="B209" i="20"/>
  <c r="C209" i="20"/>
  <c r="J209" i="20"/>
  <c r="M209" i="20"/>
  <c r="E209" i="20"/>
  <c r="L209" i="20"/>
  <c r="D209" i="20"/>
  <c r="Q209" i="20"/>
  <c r="R209" i="20"/>
  <c r="F209" i="20"/>
  <c r="G209" i="20"/>
  <c r="H209" i="20"/>
  <c r="I209" i="20"/>
  <c r="K209" i="20"/>
  <c r="N209" i="20"/>
  <c r="O209" i="20"/>
  <c r="P209" i="20"/>
  <c r="B413" i="20"/>
  <c r="D413" i="20"/>
  <c r="E413" i="20"/>
  <c r="G413" i="20"/>
  <c r="K413" i="20"/>
  <c r="L413" i="20"/>
  <c r="N413" i="20"/>
  <c r="O413" i="20"/>
  <c r="Q413" i="20"/>
  <c r="R413" i="20"/>
  <c r="P413" i="20"/>
  <c r="F413" i="20"/>
  <c r="I413" i="20"/>
  <c r="H413" i="20"/>
  <c r="J413" i="20"/>
  <c r="M413" i="20"/>
  <c r="C413" i="20"/>
  <c r="D331" i="20"/>
  <c r="E331" i="20"/>
  <c r="H331" i="20"/>
  <c r="I331" i="20"/>
  <c r="J331" i="20"/>
  <c r="M331" i="20"/>
  <c r="N331" i="20"/>
  <c r="Q331" i="20"/>
  <c r="R331" i="20"/>
  <c r="G331" i="20"/>
  <c r="K331" i="20"/>
  <c r="B331" i="20"/>
  <c r="O331" i="20"/>
  <c r="C331" i="20"/>
  <c r="L331" i="20"/>
  <c r="P331" i="20"/>
  <c r="F331" i="20"/>
  <c r="B362" i="20"/>
  <c r="P362" i="20"/>
  <c r="D362" i="20"/>
  <c r="H362" i="20"/>
  <c r="N362" i="20"/>
  <c r="F362" i="20"/>
  <c r="I362" i="20"/>
  <c r="L362" i="20"/>
  <c r="M362" i="20"/>
  <c r="O362" i="20"/>
  <c r="C362" i="20"/>
  <c r="E362" i="20"/>
  <c r="Q362" i="20"/>
  <c r="J362" i="20"/>
  <c r="G362" i="20"/>
  <c r="K362" i="20"/>
  <c r="R362" i="20"/>
  <c r="D325" i="20"/>
  <c r="G325" i="20"/>
  <c r="H325" i="20"/>
  <c r="M325" i="20"/>
  <c r="N325" i="20"/>
  <c r="O325" i="20"/>
  <c r="P325" i="20"/>
  <c r="Q325" i="20"/>
  <c r="B325" i="20"/>
  <c r="C325" i="20"/>
  <c r="I325" i="20"/>
  <c r="J325" i="20"/>
  <c r="L325" i="20"/>
  <c r="K325" i="20"/>
  <c r="E325" i="20"/>
  <c r="R325" i="20"/>
  <c r="F325" i="20"/>
  <c r="B190" i="20"/>
  <c r="L190" i="20"/>
  <c r="M190" i="20"/>
  <c r="N190" i="20"/>
  <c r="O190" i="20"/>
  <c r="G190" i="20"/>
  <c r="C190" i="20"/>
  <c r="Q190" i="20"/>
  <c r="P190" i="20"/>
  <c r="D190" i="20"/>
  <c r="R190" i="20"/>
  <c r="F190" i="20"/>
  <c r="J190" i="20"/>
  <c r="E190" i="20"/>
  <c r="K190" i="20"/>
  <c r="H190" i="20"/>
  <c r="I190" i="20"/>
  <c r="L232" i="20"/>
  <c r="H232" i="20"/>
  <c r="I232" i="20"/>
  <c r="B232" i="20"/>
  <c r="R232" i="20"/>
  <c r="K232" i="20"/>
  <c r="C232" i="20"/>
  <c r="Q232" i="20"/>
  <c r="M232" i="20"/>
  <c r="O232" i="20"/>
  <c r="N232" i="20"/>
  <c r="D232" i="20"/>
  <c r="E232" i="20"/>
  <c r="F232" i="20"/>
  <c r="G232" i="20"/>
  <c r="P232" i="20"/>
  <c r="J232" i="20"/>
  <c r="L205" i="20"/>
  <c r="H205" i="20"/>
  <c r="M205" i="20"/>
  <c r="O205" i="20"/>
  <c r="P205" i="20"/>
  <c r="B205" i="20"/>
  <c r="Q205" i="20"/>
  <c r="C205" i="20"/>
  <c r="R205" i="20"/>
  <c r="D205" i="20"/>
  <c r="E205" i="20"/>
  <c r="F205" i="20"/>
  <c r="G205" i="20"/>
  <c r="I205" i="20"/>
  <c r="J205" i="20"/>
  <c r="K205" i="20"/>
  <c r="N205" i="20"/>
  <c r="D167" i="20"/>
  <c r="F167" i="20"/>
  <c r="G167" i="20"/>
  <c r="H167" i="20"/>
  <c r="M167" i="20"/>
  <c r="L167" i="20"/>
  <c r="I167" i="20"/>
  <c r="R167" i="20"/>
  <c r="B167" i="20"/>
  <c r="N167" i="20"/>
  <c r="C167" i="20"/>
  <c r="O167" i="20"/>
  <c r="E167" i="20"/>
  <c r="Q167" i="20"/>
  <c r="P167" i="20"/>
  <c r="K167" i="20"/>
  <c r="J167" i="20"/>
  <c r="H422" i="20"/>
  <c r="I422" i="20"/>
  <c r="J422" i="20"/>
  <c r="K422" i="20"/>
  <c r="L422" i="20"/>
  <c r="M422" i="20"/>
  <c r="N422" i="20"/>
  <c r="P422" i="20"/>
  <c r="B422" i="20"/>
  <c r="R422" i="20"/>
  <c r="E422" i="20"/>
  <c r="F422" i="20"/>
  <c r="G422" i="20"/>
  <c r="C422" i="20"/>
  <c r="O422" i="20"/>
  <c r="Q422" i="20"/>
  <c r="D422" i="20"/>
  <c r="C346" i="20"/>
  <c r="M346" i="20"/>
  <c r="O346" i="20"/>
  <c r="L346" i="20"/>
  <c r="N346" i="20"/>
  <c r="G346" i="20"/>
  <c r="P346" i="20"/>
  <c r="B346" i="20"/>
  <c r="F346" i="20"/>
  <c r="I346" i="20"/>
  <c r="R346" i="20"/>
  <c r="J346" i="20"/>
  <c r="E346" i="20"/>
  <c r="Q346" i="20"/>
  <c r="H346" i="20"/>
  <c r="D346" i="20"/>
  <c r="K346" i="20"/>
  <c r="C303" i="20"/>
  <c r="E303" i="20"/>
  <c r="F303" i="20"/>
  <c r="G303" i="20"/>
  <c r="H303" i="20"/>
  <c r="M303" i="20"/>
  <c r="O303" i="20"/>
  <c r="L303" i="20"/>
  <c r="R303" i="20"/>
  <c r="B303" i="20"/>
  <c r="N303" i="20"/>
  <c r="D303" i="20"/>
  <c r="P303" i="20"/>
  <c r="Q303" i="20"/>
  <c r="K303" i="20"/>
  <c r="I303" i="20"/>
  <c r="J303" i="20"/>
  <c r="B236" i="20"/>
  <c r="D236" i="20"/>
  <c r="E236" i="20"/>
  <c r="R236" i="20"/>
  <c r="N236" i="20"/>
  <c r="Q236" i="20"/>
  <c r="P236" i="20"/>
  <c r="J236" i="20"/>
  <c r="L236" i="20"/>
  <c r="F236" i="20"/>
  <c r="G236" i="20"/>
  <c r="M236" i="20"/>
  <c r="H236" i="20"/>
  <c r="K236" i="20"/>
  <c r="C236" i="20"/>
  <c r="O236" i="20"/>
  <c r="I236" i="20"/>
  <c r="B229" i="20"/>
  <c r="C229" i="20"/>
  <c r="F229" i="20"/>
  <c r="G229" i="20"/>
  <c r="R229" i="20"/>
  <c r="D229" i="20"/>
  <c r="O229" i="20"/>
  <c r="N229" i="20"/>
  <c r="L229" i="20"/>
  <c r="K229" i="20"/>
  <c r="P229" i="20"/>
  <c r="E229" i="20"/>
  <c r="J229" i="20"/>
  <c r="Q229" i="20"/>
  <c r="I229" i="20"/>
  <c r="M229" i="20"/>
  <c r="H229" i="20"/>
  <c r="B162" i="20"/>
  <c r="Q162" i="20"/>
  <c r="F162" i="20"/>
  <c r="G162" i="20"/>
  <c r="J162" i="20"/>
  <c r="L162" i="20"/>
  <c r="M162" i="20"/>
  <c r="O162" i="20"/>
  <c r="H162" i="20"/>
  <c r="I162" i="20"/>
  <c r="K162" i="20"/>
  <c r="N162" i="20"/>
  <c r="C162" i="20"/>
  <c r="P162" i="20"/>
  <c r="R162" i="20"/>
  <c r="D162" i="20"/>
  <c r="E162" i="20"/>
  <c r="Q197" i="20"/>
  <c r="E197" i="20"/>
  <c r="K197" i="20"/>
  <c r="N197" i="20"/>
  <c r="O197" i="20"/>
  <c r="P197" i="20"/>
  <c r="R197" i="20"/>
  <c r="D197" i="20"/>
  <c r="F197" i="20"/>
  <c r="I197" i="20"/>
  <c r="J197" i="20"/>
  <c r="B197" i="20"/>
  <c r="C197" i="20"/>
  <c r="G197" i="20"/>
  <c r="H197" i="20"/>
  <c r="L197" i="20"/>
  <c r="M197" i="20"/>
  <c r="B402" i="20"/>
  <c r="G402" i="20"/>
  <c r="I402" i="20"/>
  <c r="M402" i="20"/>
  <c r="N402" i="20"/>
  <c r="R402" i="20"/>
  <c r="H402" i="20"/>
  <c r="J402" i="20"/>
  <c r="K402" i="20"/>
  <c r="F402" i="20"/>
  <c r="D402" i="20"/>
  <c r="P402" i="20"/>
  <c r="C402" i="20"/>
  <c r="L402" i="20"/>
  <c r="E402" i="20"/>
  <c r="Q402" i="20"/>
  <c r="O402" i="20"/>
  <c r="B384" i="20"/>
  <c r="C384" i="20"/>
  <c r="I384" i="20"/>
  <c r="Q384" i="20"/>
  <c r="L384" i="20"/>
  <c r="H384" i="20"/>
  <c r="D384" i="20"/>
  <c r="P384" i="20"/>
  <c r="K384" i="20"/>
  <c r="N384" i="20"/>
  <c r="O384" i="20"/>
  <c r="E384" i="20"/>
  <c r="F384" i="20"/>
  <c r="G384" i="20"/>
  <c r="M384" i="20"/>
  <c r="R384" i="20"/>
  <c r="J384" i="20"/>
  <c r="B396" i="20"/>
  <c r="E396" i="20"/>
  <c r="H396" i="20"/>
  <c r="K396" i="20"/>
  <c r="L396" i="20"/>
  <c r="O396" i="20"/>
  <c r="Q396" i="20"/>
  <c r="R396" i="20"/>
  <c r="M396" i="20"/>
  <c r="F396" i="20"/>
  <c r="D396" i="20"/>
  <c r="J396" i="20"/>
  <c r="P396" i="20"/>
  <c r="G396" i="20"/>
  <c r="I396" i="20"/>
  <c r="C396" i="20"/>
  <c r="N396" i="20"/>
  <c r="L213" i="20"/>
  <c r="R213" i="20"/>
  <c r="E213" i="20"/>
  <c r="G213" i="20"/>
  <c r="H213" i="20"/>
  <c r="I213" i="20"/>
  <c r="M213" i="20"/>
  <c r="N213" i="20"/>
  <c r="Q213" i="20"/>
  <c r="P213" i="20"/>
  <c r="D213" i="20"/>
  <c r="C213" i="20"/>
  <c r="O213" i="20"/>
  <c r="F213" i="20"/>
  <c r="B213" i="20"/>
  <c r="K213" i="20"/>
  <c r="J213" i="20"/>
  <c r="G318" i="20"/>
  <c r="I318" i="20"/>
  <c r="K318" i="20"/>
  <c r="L318" i="20"/>
  <c r="M318" i="20"/>
  <c r="N318" i="20"/>
  <c r="O318" i="20"/>
  <c r="P318" i="20"/>
  <c r="B318" i="20"/>
  <c r="R318" i="20"/>
  <c r="C318" i="20"/>
  <c r="D318" i="20"/>
  <c r="F318" i="20"/>
  <c r="Q318" i="20"/>
  <c r="H318" i="20"/>
  <c r="J318" i="20"/>
  <c r="E318" i="20"/>
  <c r="B153" i="20"/>
  <c r="I153" i="20"/>
  <c r="J153" i="20"/>
  <c r="K153" i="20"/>
  <c r="L153" i="20"/>
  <c r="M153" i="20"/>
  <c r="R153" i="20"/>
  <c r="D153" i="20"/>
  <c r="F153" i="20"/>
  <c r="G153" i="20"/>
  <c r="P153" i="20"/>
  <c r="H153" i="20"/>
  <c r="Q153" i="20"/>
  <c r="N153" i="20"/>
  <c r="E153" i="20"/>
  <c r="O153" i="20"/>
  <c r="C153" i="20"/>
  <c r="H444" i="20"/>
  <c r="B444" i="20"/>
  <c r="E444" i="20"/>
  <c r="K444" i="20"/>
  <c r="M444" i="20"/>
  <c r="N444" i="20"/>
  <c r="O444" i="20"/>
  <c r="R444" i="20"/>
  <c r="L444" i="20"/>
  <c r="J444" i="20"/>
  <c r="I444" i="20"/>
  <c r="F444" i="20"/>
  <c r="P444" i="20"/>
  <c r="C444" i="20"/>
  <c r="G444" i="20"/>
  <c r="Q444" i="20"/>
  <c r="D444" i="20"/>
  <c r="D423" i="20"/>
  <c r="E423" i="20"/>
  <c r="G423" i="20"/>
  <c r="H423" i="20"/>
  <c r="K423" i="20"/>
  <c r="M423" i="20"/>
  <c r="N423" i="20"/>
  <c r="O423" i="20"/>
  <c r="P423" i="20"/>
  <c r="Q423" i="20"/>
  <c r="B423" i="20"/>
  <c r="R423" i="20"/>
  <c r="C423" i="20"/>
  <c r="F423" i="20"/>
  <c r="J423" i="20"/>
  <c r="I423" i="20"/>
  <c r="L423" i="20"/>
  <c r="R378" i="20"/>
  <c r="E378" i="20"/>
  <c r="F378" i="20"/>
  <c r="G378" i="20"/>
  <c r="H378" i="20"/>
  <c r="I378" i="20"/>
  <c r="D378" i="20"/>
  <c r="L378" i="20"/>
  <c r="P378" i="20"/>
  <c r="M378" i="20"/>
  <c r="J378" i="20"/>
  <c r="N378" i="20"/>
  <c r="C378" i="20"/>
  <c r="O378" i="20"/>
  <c r="Q378" i="20"/>
  <c r="B378" i="20"/>
  <c r="K378" i="20"/>
  <c r="L201" i="20"/>
  <c r="M201" i="20"/>
  <c r="D201" i="20"/>
  <c r="Q201" i="20"/>
  <c r="F201" i="20"/>
  <c r="G201" i="20"/>
  <c r="H201" i="20"/>
  <c r="I201" i="20"/>
  <c r="J201" i="20"/>
  <c r="K201" i="20"/>
  <c r="N201" i="20"/>
  <c r="O201" i="20"/>
  <c r="P201" i="20"/>
  <c r="B201" i="20"/>
  <c r="R201" i="20"/>
  <c r="C201" i="20"/>
  <c r="E201" i="20"/>
  <c r="B266" i="20"/>
  <c r="F266" i="20"/>
  <c r="E266" i="20"/>
  <c r="P266" i="20"/>
  <c r="R266" i="20"/>
  <c r="D266" i="20"/>
  <c r="Q266" i="20"/>
  <c r="M266" i="20"/>
  <c r="L266" i="20"/>
  <c r="K266" i="20"/>
  <c r="G266" i="20"/>
  <c r="C266" i="20"/>
  <c r="J266" i="20"/>
  <c r="O266" i="20"/>
  <c r="N266" i="20"/>
  <c r="I266" i="20"/>
  <c r="H266" i="20"/>
  <c r="E193" i="20"/>
  <c r="D193" i="20"/>
  <c r="F193" i="20"/>
  <c r="K193" i="20"/>
  <c r="I193" i="20"/>
  <c r="B193" i="20"/>
  <c r="R193" i="20"/>
  <c r="N193" i="20"/>
  <c r="C193" i="20"/>
  <c r="O193" i="20"/>
  <c r="J193" i="20"/>
  <c r="G193" i="20"/>
  <c r="H193" i="20"/>
  <c r="L193" i="20"/>
  <c r="M193" i="20"/>
  <c r="Q193" i="20"/>
  <c r="P193" i="20"/>
  <c r="N364" i="20"/>
  <c r="O364" i="20"/>
  <c r="B364" i="20"/>
  <c r="P364" i="20"/>
  <c r="D364" i="20"/>
  <c r="G364" i="20"/>
  <c r="M364" i="20"/>
  <c r="R364" i="20"/>
  <c r="C364" i="20"/>
  <c r="F364" i="20"/>
  <c r="H364" i="20"/>
  <c r="I364" i="20"/>
  <c r="K364" i="20"/>
  <c r="L364" i="20"/>
  <c r="E364" i="20"/>
  <c r="Q364" i="20"/>
  <c r="J364" i="20"/>
  <c r="Q399" i="20"/>
  <c r="C399" i="20"/>
  <c r="G399" i="20"/>
  <c r="D399" i="20"/>
  <c r="H399" i="20"/>
  <c r="I399" i="20"/>
  <c r="F399" i="20"/>
  <c r="K399" i="20"/>
  <c r="M399" i="20"/>
  <c r="J399" i="20"/>
  <c r="O399" i="20"/>
  <c r="L399" i="20"/>
  <c r="E399" i="20"/>
  <c r="R399" i="20"/>
  <c r="P399" i="20"/>
  <c r="N399" i="20"/>
  <c r="B399" i="20"/>
  <c r="M430" i="20"/>
  <c r="N430" i="20"/>
  <c r="P430" i="20"/>
  <c r="B430" i="20"/>
  <c r="R430" i="20"/>
  <c r="E430" i="20"/>
  <c r="F430" i="20"/>
  <c r="G430" i="20"/>
  <c r="H430" i="20"/>
  <c r="I430" i="20"/>
  <c r="J430" i="20"/>
  <c r="K430" i="20"/>
  <c r="L430" i="20"/>
  <c r="C430" i="20"/>
  <c r="O430" i="20"/>
  <c r="Q430" i="20"/>
  <c r="D430" i="20"/>
  <c r="F360" i="20"/>
  <c r="B360" i="20"/>
  <c r="D360" i="20"/>
  <c r="J360" i="20"/>
  <c r="K360" i="20"/>
  <c r="M360" i="20"/>
  <c r="O360" i="20"/>
  <c r="L360" i="20"/>
  <c r="R360" i="20"/>
  <c r="H360" i="20"/>
  <c r="I360" i="20"/>
  <c r="N360" i="20"/>
  <c r="E360" i="20"/>
  <c r="Q360" i="20"/>
  <c r="G360" i="20"/>
  <c r="C360" i="20"/>
  <c r="P360" i="20"/>
  <c r="B340" i="20"/>
  <c r="P340" i="20"/>
  <c r="C340" i="20"/>
  <c r="R340" i="20"/>
  <c r="D340" i="20"/>
  <c r="F340" i="20"/>
  <c r="G340" i="20"/>
  <c r="H340" i="20"/>
  <c r="I340" i="20"/>
  <c r="K340" i="20"/>
  <c r="L340" i="20"/>
  <c r="M340" i="20"/>
  <c r="N340" i="20"/>
  <c r="O340" i="20"/>
  <c r="Q340" i="20"/>
  <c r="J340" i="20"/>
  <c r="E340" i="20"/>
  <c r="R306" i="20"/>
  <c r="B306" i="20"/>
  <c r="C306" i="20"/>
  <c r="D306" i="20"/>
  <c r="F306" i="20"/>
  <c r="G306" i="20"/>
  <c r="L306" i="20"/>
  <c r="M306" i="20"/>
  <c r="P306" i="20"/>
  <c r="I306" i="20"/>
  <c r="N306" i="20"/>
  <c r="K306" i="20"/>
  <c r="E306" i="20"/>
  <c r="Q306" i="20"/>
  <c r="H306" i="20"/>
  <c r="O306" i="20"/>
  <c r="J306" i="20"/>
  <c r="I296" i="20"/>
  <c r="M296" i="20"/>
  <c r="N296" i="20"/>
  <c r="B296" i="20"/>
  <c r="C296" i="20"/>
  <c r="D296" i="20"/>
  <c r="G296" i="20"/>
  <c r="L296" i="20"/>
  <c r="Q296" i="20"/>
  <c r="F296" i="20"/>
  <c r="P296" i="20"/>
  <c r="R296" i="20"/>
  <c r="H296" i="20"/>
  <c r="J296" i="20"/>
  <c r="O296" i="20"/>
  <c r="K296" i="20"/>
  <c r="E296" i="20"/>
  <c r="B247" i="20"/>
  <c r="R247" i="20"/>
  <c r="D247" i="20"/>
  <c r="P247" i="20"/>
  <c r="O247" i="20"/>
  <c r="M247" i="20"/>
  <c r="L247" i="20"/>
  <c r="E247" i="20"/>
  <c r="Q247" i="20"/>
  <c r="K247" i="20"/>
  <c r="J247" i="20"/>
  <c r="G247" i="20"/>
  <c r="N247" i="20"/>
  <c r="I247" i="20"/>
  <c r="H247" i="20"/>
  <c r="F247" i="20"/>
  <c r="C247" i="20"/>
  <c r="H305" i="20"/>
  <c r="M305" i="20"/>
  <c r="O305" i="20"/>
  <c r="C305" i="20"/>
  <c r="E305" i="20"/>
  <c r="F305" i="20"/>
  <c r="G305" i="20"/>
  <c r="L305" i="20"/>
  <c r="B305" i="20"/>
  <c r="I305" i="20"/>
  <c r="N305" i="20"/>
  <c r="Q305" i="20"/>
  <c r="D305" i="20"/>
  <c r="J305" i="20"/>
  <c r="P305" i="20"/>
  <c r="R305" i="20"/>
  <c r="K305" i="20"/>
  <c r="B436" i="20"/>
  <c r="C436" i="20"/>
  <c r="D436" i="20"/>
  <c r="I436" i="20"/>
  <c r="K436" i="20"/>
  <c r="N436" i="20"/>
  <c r="O436" i="20"/>
  <c r="P436" i="20"/>
  <c r="Q436" i="20"/>
  <c r="J436" i="20"/>
  <c r="L436" i="20"/>
  <c r="G436" i="20"/>
  <c r="H436" i="20"/>
  <c r="F436" i="20"/>
  <c r="M436" i="20"/>
  <c r="R436" i="20"/>
  <c r="E436" i="20"/>
  <c r="D383" i="20"/>
  <c r="C383" i="20"/>
  <c r="N383" i="20"/>
  <c r="F383" i="20"/>
  <c r="I383" i="20"/>
  <c r="K383" i="20"/>
  <c r="O383" i="20"/>
  <c r="P383" i="20"/>
  <c r="Q383" i="20"/>
  <c r="B383" i="20"/>
  <c r="M383" i="20"/>
  <c r="L383" i="20"/>
  <c r="J383" i="20"/>
  <c r="E383" i="20"/>
  <c r="R383" i="20"/>
  <c r="G383" i="20"/>
  <c r="H383" i="20"/>
  <c r="F312" i="20"/>
  <c r="M312" i="20"/>
  <c r="N312" i="20"/>
  <c r="I312" i="20"/>
  <c r="O312" i="20"/>
  <c r="B312" i="20"/>
  <c r="R312" i="20"/>
  <c r="C312" i="20"/>
  <c r="K312" i="20"/>
  <c r="D312" i="20"/>
  <c r="P312" i="20"/>
  <c r="L312" i="20"/>
  <c r="G312" i="20"/>
  <c r="E312" i="20"/>
  <c r="Q312" i="20"/>
  <c r="H312" i="20"/>
  <c r="J312" i="20"/>
  <c r="B188" i="20"/>
  <c r="F188" i="20"/>
  <c r="O188" i="20"/>
  <c r="D188" i="20"/>
  <c r="E188" i="20"/>
  <c r="G188" i="20"/>
  <c r="J188" i="20"/>
  <c r="M188" i="20"/>
  <c r="R188" i="20"/>
  <c r="Q188" i="20"/>
  <c r="C188" i="20"/>
  <c r="H188" i="20"/>
  <c r="K188" i="20"/>
  <c r="I188" i="20"/>
  <c r="P188" i="20"/>
  <c r="N188" i="20"/>
  <c r="L188" i="20"/>
  <c r="I275" i="20"/>
  <c r="F275" i="20"/>
  <c r="P275" i="20"/>
  <c r="Q275" i="20"/>
  <c r="C275" i="20"/>
  <c r="D275" i="20"/>
  <c r="E275" i="20"/>
  <c r="G275" i="20"/>
  <c r="H275" i="20"/>
  <c r="L275" i="20"/>
  <c r="N275" i="20"/>
  <c r="R275" i="20"/>
  <c r="O275" i="20"/>
  <c r="B275" i="20"/>
  <c r="K275" i="20"/>
  <c r="M275" i="20"/>
  <c r="J275" i="20"/>
  <c r="D187" i="20"/>
  <c r="I187" i="20"/>
  <c r="H187" i="20"/>
  <c r="J187" i="20"/>
  <c r="K187" i="20"/>
  <c r="L187" i="20"/>
  <c r="Q187" i="20"/>
  <c r="G187" i="20"/>
  <c r="M187" i="20"/>
  <c r="E187" i="20"/>
  <c r="B187" i="20"/>
  <c r="F187" i="20"/>
  <c r="N187" i="20"/>
  <c r="O187" i="20"/>
  <c r="R187" i="20"/>
  <c r="P187" i="20"/>
  <c r="C187" i="20"/>
  <c r="B226" i="20"/>
  <c r="F226" i="20"/>
  <c r="G226" i="20"/>
  <c r="I226" i="20"/>
  <c r="L226" i="20"/>
  <c r="M226" i="20"/>
  <c r="P226" i="20"/>
  <c r="Q226" i="20"/>
  <c r="E226" i="20"/>
  <c r="N226" i="20"/>
  <c r="D226" i="20"/>
  <c r="J226" i="20"/>
  <c r="H226" i="20"/>
  <c r="R226" i="20"/>
  <c r="K226" i="20"/>
  <c r="C226" i="20"/>
  <c r="O226" i="20"/>
  <c r="C380" i="20"/>
  <c r="Q380" i="20"/>
  <c r="B380" i="20"/>
  <c r="J380" i="20"/>
  <c r="L380" i="20"/>
  <c r="R380" i="20"/>
  <c r="E380" i="20"/>
  <c r="F380" i="20"/>
  <c r="D380" i="20"/>
  <c r="I380" i="20"/>
  <c r="H380" i="20"/>
  <c r="P380" i="20"/>
  <c r="M380" i="20"/>
  <c r="G380" i="20"/>
  <c r="O380" i="20"/>
  <c r="N380" i="20"/>
  <c r="K380" i="20"/>
  <c r="C351" i="20"/>
  <c r="D351" i="20"/>
  <c r="E351" i="20"/>
  <c r="G351" i="20"/>
  <c r="I351" i="20"/>
  <c r="J351" i="20"/>
  <c r="L351" i="20"/>
  <c r="N351" i="20"/>
  <c r="P351" i="20"/>
  <c r="R351" i="20"/>
  <c r="B351" i="20"/>
  <c r="Q351" i="20"/>
  <c r="O351" i="20"/>
  <c r="K351" i="20"/>
  <c r="H351" i="20"/>
  <c r="M351" i="20"/>
  <c r="F351" i="20"/>
  <c r="P322" i="20"/>
  <c r="R322" i="20"/>
  <c r="B322" i="20"/>
  <c r="C322" i="20"/>
  <c r="G322" i="20"/>
  <c r="H322" i="20"/>
  <c r="L322" i="20"/>
  <c r="M322" i="20"/>
  <c r="N322" i="20"/>
  <c r="O322" i="20"/>
  <c r="E322" i="20"/>
  <c r="Q322" i="20"/>
  <c r="J322" i="20"/>
  <c r="D322" i="20"/>
  <c r="F322" i="20"/>
  <c r="I322" i="20"/>
  <c r="K322" i="20"/>
  <c r="G227" i="20"/>
  <c r="J227" i="20"/>
  <c r="K227" i="20"/>
  <c r="M227" i="20"/>
  <c r="N227" i="20"/>
  <c r="R227" i="20"/>
  <c r="B227" i="20"/>
  <c r="C227" i="20"/>
  <c r="F227" i="20"/>
  <c r="H227" i="20"/>
  <c r="P227" i="20"/>
  <c r="E227" i="20"/>
  <c r="L227" i="20"/>
  <c r="Q227" i="20"/>
  <c r="I227" i="20"/>
  <c r="O227" i="20"/>
  <c r="D227" i="20"/>
  <c r="G245" i="20"/>
  <c r="J245" i="20"/>
  <c r="K245" i="20"/>
  <c r="L245" i="20"/>
  <c r="M245" i="20"/>
  <c r="P245" i="20"/>
  <c r="O245" i="20"/>
  <c r="E245" i="20"/>
  <c r="R245" i="20"/>
  <c r="Q245" i="20"/>
  <c r="B245" i="20"/>
  <c r="C245" i="20"/>
  <c r="H245" i="20"/>
  <c r="D245" i="20"/>
  <c r="I245" i="20"/>
  <c r="N245" i="20"/>
  <c r="F245" i="20"/>
  <c r="N178" i="20"/>
  <c r="O178" i="20"/>
  <c r="P178" i="20"/>
  <c r="Q178" i="20"/>
  <c r="B178" i="20"/>
  <c r="C178" i="20"/>
  <c r="R178" i="20"/>
  <c r="D178" i="20"/>
  <c r="E178" i="20"/>
  <c r="F178" i="20"/>
  <c r="G178" i="20"/>
  <c r="J178" i="20"/>
  <c r="L178" i="20"/>
  <c r="M178" i="20"/>
  <c r="H178" i="20"/>
  <c r="I178" i="20"/>
  <c r="K178" i="20"/>
  <c r="D445" i="20"/>
  <c r="C445" i="20"/>
  <c r="F445" i="20"/>
  <c r="G445" i="20"/>
  <c r="H445" i="20"/>
  <c r="I445" i="20"/>
  <c r="J445" i="20"/>
  <c r="M445" i="20"/>
  <c r="O445" i="20"/>
  <c r="P445" i="20"/>
  <c r="R445" i="20"/>
  <c r="E445" i="20"/>
  <c r="Q445" i="20"/>
  <c r="N445" i="20"/>
  <c r="L445" i="20"/>
  <c r="B445" i="20"/>
  <c r="K445" i="20"/>
  <c r="B333" i="20"/>
  <c r="C333" i="20"/>
  <c r="D333" i="20"/>
  <c r="H333" i="20"/>
  <c r="M333" i="20"/>
  <c r="N333" i="20"/>
  <c r="Q333" i="20"/>
  <c r="K333" i="20"/>
  <c r="E333" i="20"/>
  <c r="R333" i="20"/>
  <c r="F333" i="20"/>
  <c r="I333" i="20"/>
  <c r="P333" i="20"/>
  <c r="J333" i="20"/>
  <c r="O333" i="20"/>
  <c r="G333" i="20"/>
  <c r="L333" i="20"/>
  <c r="H293" i="20"/>
  <c r="M293" i="20"/>
  <c r="O293" i="20"/>
  <c r="C293" i="20"/>
  <c r="E293" i="20"/>
  <c r="F293" i="20"/>
  <c r="G293" i="20"/>
  <c r="L293" i="20"/>
  <c r="B293" i="20"/>
  <c r="I293" i="20"/>
  <c r="N293" i="20"/>
  <c r="Q293" i="20"/>
  <c r="D293" i="20"/>
  <c r="J293" i="20"/>
  <c r="P293" i="20"/>
  <c r="R293" i="20"/>
  <c r="K293" i="20"/>
  <c r="M323" i="20"/>
  <c r="N323" i="20"/>
  <c r="O323" i="20"/>
  <c r="B323" i="20"/>
  <c r="P323" i="20"/>
  <c r="C323" i="20"/>
  <c r="Q323" i="20"/>
  <c r="E323" i="20"/>
  <c r="R323" i="20"/>
  <c r="F323" i="20"/>
  <c r="G323" i="20"/>
  <c r="H323" i="20"/>
  <c r="I323" i="20"/>
  <c r="J323" i="20"/>
  <c r="L323" i="20"/>
  <c r="K323" i="20"/>
  <c r="D323" i="20"/>
  <c r="K291" i="20"/>
  <c r="C291" i="20"/>
  <c r="E291" i="20"/>
  <c r="F291" i="20"/>
  <c r="G291" i="20"/>
  <c r="H291" i="20"/>
  <c r="I291" i="20"/>
  <c r="J291" i="20"/>
  <c r="M291" i="20"/>
  <c r="O291" i="20"/>
  <c r="Q291" i="20"/>
  <c r="R291" i="20"/>
  <c r="B291" i="20"/>
  <c r="P291" i="20"/>
  <c r="D291" i="20"/>
  <c r="L291" i="20"/>
  <c r="N291" i="20"/>
  <c r="B174" i="20"/>
  <c r="N174" i="20"/>
  <c r="O174" i="20"/>
  <c r="D174" i="20"/>
  <c r="E174" i="20"/>
  <c r="F174" i="20"/>
  <c r="G174" i="20"/>
  <c r="J174" i="20"/>
  <c r="P174" i="20"/>
  <c r="H174" i="20"/>
  <c r="I174" i="20"/>
  <c r="Q174" i="20"/>
  <c r="L174" i="20"/>
  <c r="R174" i="20"/>
  <c r="M174" i="20"/>
  <c r="K174" i="20"/>
  <c r="C174" i="20"/>
  <c r="B147" i="20"/>
  <c r="Q147" i="20"/>
  <c r="R147" i="20"/>
  <c r="D147" i="20"/>
  <c r="F147" i="20"/>
  <c r="G147" i="20"/>
  <c r="I147" i="20"/>
  <c r="J147" i="20"/>
  <c r="K147" i="20"/>
  <c r="L147" i="20"/>
  <c r="M147" i="20"/>
  <c r="H147" i="20"/>
  <c r="P147" i="20"/>
  <c r="C147" i="20"/>
  <c r="N147" i="20"/>
  <c r="E147" i="20"/>
  <c r="O147" i="20"/>
  <c r="D425" i="20"/>
  <c r="C425" i="20"/>
  <c r="F425" i="20"/>
  <c r="G425" i="20"/>
  <c r="H425" i="20"/>
  <c r="K425" i="20"/>
  <c r="L425" i="20"/>
  <c r="Q425" i="20"/>
  <c r="R425" i="20"/>
  <c r="M425" i="20"/>
  <c r="P425" i="20"/>
  <c r="N425" i="20"/>
  <c r="E425" i="20"/>
  <c r="I425" i="20"/>
  <c r="B425" i="20"/>
  <c r="O425" i="20"/>
  <c r="J425" i="20"/>
  <c r="G347" i="20"/>
  <c r="D347" i="20"/>
  <c r="E347" i="20"/>
  <c r="J347" i="20"/>
  <c r="L347" i="20"/>
  <c r="M347" i="20"/>
  <c r="N347" i="20"/>
  <c r="R347" i="20"/>
  <c r="H347" i="20"/>
  <c r="K347" i="20"/>
  <c r="B347" i="20"/>
  <c r="O347" i="20"/>
  <c r="C347" i="20"/>
  <c r="P347" i="20"/>
  <c r="F347" i="20"/>
  <c r="I347" i="20"/>
  <c r="Q347" i="20"/>
  <c r="N271" i="20"/>
  <c r="M271" i="20"/>
  <c r="E271" i="20"/>
  <c r="R271" i="20"/>
  <c r="F271" i="20"/>
  <c r="G271" i="20"/>
  <c r="H271" i="20"/>
  <c r="K271" i="20"/>
  <c r="I271" i="20"/>
  <c r="L271" i="20"/>
  <c r="D271" i="20"/>
  <c r="Q271" i="20"/>
  <c r="J271" i="20"/>
  <c r="B271" i="20"/>
  <c r="O271" i="20"/>
  <c r="C271" i="20"/>
  <c r="P271" i="20"/>
  <c r="B314" i="20"/>
  <c r="C314" i="20"/>
  <c r="D314" i="20"/>
  <c r="F314" i="20"/>
  <c r="G314" i="20"/>
  <c r="M314" i="20"/>
  <c r="P314" i="20"/>
  <c r="R314" i="20"/>
  <c r="E314" i="20"/>
  <c r="O314" i="20"/>
  <c r="Q314" i="20"/>
  <c r="H314" i="20"/>
  <c r="J314" i="20"/>
  <c r="N314" i="20"/>
  <c r="L314" i="20"/>
  <c r="I314" i="20"/>
  <c r="K314" i="20"/>
  <c r="F254" i="20"/>
  <c r="G254" i="20"/>
  <c r="H254" i="20"/>
  <c r="R254" i="20"/>
  <c r="D254" i="20"/>
  <c r="C254" i="20"/>
  <c r="E254" i="20"/>
  <c r="Q254" i="20"/>
  <c r="O254" i="20"/>
  <c r="J254" i="20"/>
  <c r="L254" i="20"/>
  <c r="K254" i="20"/>
  <c r="B254" i="20"/>
  <c r="N254" i="20"/>
  <c r="M254" i="20"/>
  <c r="P254" i="20"/>
  <c r="I254" i="20"/>
  <c r="B151" i="20"/>
  <c r="J151" i="20"/>
  <c r="K151" i="20"/>
  <c r="L151" i="20"/>
  <c r="M151" i="20"/>
  <c r="P151" i="20"/>
  <c r="D151" i="20"/>
  <c r="F151" i="20"/>
  <c r="G151" i="20"/>
  <c r="H151" i="20"/>
  <c r="I151" i="20"/>
  <c r="R151" i="20"/>
  <c r="N151" i="20"/>
  <c r="Q151" i="20"/>
  <c r="C151" i="20"/>
  <c r="E151" i="20"/>
  <c r="O151" i="20"/>
  <c r="K284" i="20"/>
  <c r="B284" i="20"/>
  <c r="D284" i="20"/>
  <c r="L284" i="20"/>
  <c r="N284" i="20"/>
  <c r="O284" i="20"/>
  <c r="P284" i="20"/>
  <c r="H284" i="20"/>
  <c r="I284" i="20"/>
  <c r="J284" i="20"/>
  <c r="M284" i="20"/>
  <c r="C284" i="20"/>
  <c r="E284" i="20"/>
  <c r="R284" i="20"/>
  <c r="Q284" i="20"/>
  <c r="F284" i="20"/>
  <c r="G284" i="20"/>
  <c r="L365" i="20"/>
  <c r="M365" i="20"/>
  <c r="N365" i="20"/>
  <c r="P365" i="20"/>
  <c r="B365" i="20"/>
  <c r="C365" i="20"/>
  <c r="D365" i="20"/>
  <c r="F365" i="20"/>
  <c r="G365" i="20"/>
  <c r="H365" i="20"/>
  <c r="J365" i="20"/>
  <c r="O365" i="20"/>
  <c r="Q365" i="20"/>
  <c r="K365" i="20"/>
  <c r="E365" i="20"/>
  <c r="R365" i="20"/>
  <c r="I365" i="20"/>
  <c r="B290" i="20"/>
  <c r="C290" i="20"/>
  <c r="P290" i="20"/>
  <c r="I290" i="20"/>
  <c r="E290" i="20"/>
  <c r="D290" i="20"/>
  <c r="Q290" i="20"/>
  <c r="O290" i="20"/>
  <c r="F290" i="20"/>
  <c r="R290" i="20"/>
  <c r="M290" i="20"/>
  <c r="G290" i="20"/>
  <c r="H290" i="20"/>
  <c r="J290" i="20"/>
  <c r="N290" i="20"/>
  <c r="L290" i="20"/>
  <c r="K290" i="20"/>
  <c r="L199" i="20"/>
  <c r="H199" i="20"/>
  <c r="M199" i="20"/>
  <c r="I199" i="20"/>
  <c r="J199" i="20"/>
  <c r="K199" i="20"/>
  <c r="N199" i="20"/>
  <c r="O199" i="20"/>
  <c r="P199" i="20"/>
  <c r="B199" i="20"/>
  <c r="Q199" i="20"/>
  <c r="C199" i="20"/>
  <c r="R199" i="20"/>
  <c r="D199" i="20"/>
  <c r="E199" i="20"/>
  <c r="F199" i="20"/>
  <c r="G199" i="20"/>
  <c r="E311" i="20"/>
  <c r="L311" i="20"/>
  <c r="M311" i="20"/>
  <c r="R311" i="20"/>
  <c r="C311" i="20"/>
  <c r="H311" i="20"/>
  <c r="I311" i="20"/>
  <c r="J311" i="20"/>
  <c r="B311" i="20"/>
  <c r="N311" i="20"/>
  <c r="D311" i="20"/>
  <c r="P311" i="20"/>
  <c r="G311" i="20"/>
  <c r="F311" i="20"/>
  <c r="O311" i="20"/>
  <c r="K311" i="20"/>
  <c r="Q311" i="20"/>
  <c r="N369" i="20"/>
  <c r="P369" i="20"/>
  <c r="C369" i="20"/>
  <c r="D369" i="20"/>
  <c r="E369" i="20"/>
  <c r="F369" i="20"/>
  <c r="G369" i="20"/>
  <c r="K369" i="20"/>
  <c r="L369" i="20"/>
  <c r="Q369" i="20"/>
  <c r="R369" i="20"/>
  <c r="I369" i="20"/>
  <c r="B369" i="20"/>
  <c r="O369" i="20"/>
  <c r="H369" i="20"/>
  <c r="M369" i="20"/>
  <c r="J369" i="20"/>
  <c r="D250" i="20"/>
  <c r="M250" i="20"/>
  <c r="N250" i="20"/>
  <c r="O250" i="20"/>
  <c r="B250" i="20"/>
  <c r="Q250" i="20"/>
  <c r="C250" i="20"/>
  <c r="E250" i="20"/>
  <c r="F250" i="20"/>
  <c r="G250" i="20"/>
  <c r="I250" i="20"/>
  <c r="H250" i="20"/>
  <c r="L250" i="20"/>
  <c r="P250" i="20"/>
  <c r="J250" i="20"/>
  <c r="K250" i="20"/>
  <c r="R250" i="20"/>
  <c r="F719" i="20"/>
  <c r="J719" i="20"/>
  <c r="L719" i="20"/>
  <c r="M719" i="20"/>
  <c r="N719" i="20"/>
  <c r="O719" i="20"/>
  <c r="P719" i="20"/>
  <c r="B719" i="20"/>
  <c r="Q719" i="20"/>
  <c r="C719" i="20"/>
  <c r="R719" i="20"/>
  <c r="D719" i="20"/>
  <c r="E719" i="20"/>
  <c r="H719" i="20"/>
  <c r="I719" i="20"/>
  <c r="G719" i="20"/>
  <c r="K719" i="20"/>
  <c r="E692" i="20"/>
  <c r="Q692" i="20"/>
  <c r="F692" i="20"/>
  <c r="R692" i="20"/>
  <c r="G692" i="20"/>
  <c r="I692" i="20"/>
  <c r="K692" i="20"/>
  <c r="B692" i="20"/>
  <c r="C692" i="20"/>
  <c r="D692" i="20"/>
  <c r="H692" i="20"/>
  <c r="J692" i="20"/>
  <c r="L692" i="20"/>
  <c r="M692" i="20"/>
  <c r="N692" i="20"/>
  <c r="O692" i="20"/>
  <c r="P692" i="20"/>
  <c r="I640" i="20"/>
  <c r="B640" i="20"/>
  <c r="E640" i="20"/>
  <c r="J640" i="20"/>
  <c r="N640" i="20"/>
  <c r="O640" i="20"/>
  <c r="Q640" i="20"/>
  <c r="R640" i="20"/>
  <c r="D640" i="20"/>
  <c r="F640" i="20"/>
  <c r="G640" i="20"/>
  <c r="P640" i="20"/>
  <c r="C640" i="20"/>
  <c r="K640" i="20"/>
  <c r="L640" i="20"/>
  <c r="M640" i="20"/>
  <c r="H640" i="20"/>
  <c r="E577" i="20"/>
  <c r="G577" i="20"/>
  <c r="J577" i="20"/>
  <c r="O577" i="20"/>
  <c r="F577" i="20"/>
  <c r="K577" i="20"/>
  <c r="R577" i="20"/>
  <c r="L577" i="20"/>
  <c r="I577" i="20"/>
  <c r="Q577" i="20"/>
  <c r="D577" i="20"/>
  <c r="H577" i="20"/>
  <c r="M577" i="20"/>
  <c r="N577" i="20"/>
  <c r="B577" i="20"/>
  <c r="P577" i="20"/>
  <c r="C577" i="20"/>
  <c r="B579" i="20"/>
  <c r="C579" i="20"/>
  <c r="D579" i="20"/>
  <c r="R579" i="20"/>
  <c r="Q579" i="20"/>
  <c r="H579" i="20"/>
  <c r="L579" i="20"/>
  <c r="P579" i="20"/>
  <c r="F579" i="20"/>
  <c r="I579" i="20"/>
  <c r="J579" i="20"/>
  <c r="K579" i="20"/>
  <c r="G579" i="20"/>
  <c r="E579" i="20"/>
  <c r="N579" i="20"/>
  <c r="O579" i="20"/>
  <c r="M579" i="20"/>
  <c r="E459" i="20"/>
  <c r="F459" i="20"/>
  <c r="G459" i="20"/>
  <c r="H459" i="20"/>
  <c r="I459" i="20"/>
  <c r="J459" i="20"/>
  <c r="N459" i="20"/>
  <c r="L459" i="20"/>
  <c r="C459" i="20"/>
  <c r="O459" i="20"/>
  <c r="D459" i="20"/>
  <c r="P459" i="20"/>
  <c r="M459" i="20"/>
  <c r="R459" i="20"/>
  <c r="K459" i="20"/>
  <c r="Q459" i="20"/>
  <c r="B459" i="20"/>
  <c r="B476" i="20"/>
  <c r="D476" i="20"/>
  <c r="E476" i="20"/>
  <c r="G476" i="20"/>
  <c r="O476" i="20"/>
  <c r="C476" i="20"/>
  <c r="R476" i="20"/>
  <c r="Q476" i="20"/>
  <c r="N476" i="20"/>
  <c r="H476" i="20"/>
  <c r="I476" i="20"/>
  <c r="F476" i="20"/>
  <c r="J476" i="20"/>
  <c r="K476" i="20"/>
  <c r="P476" i="20"/>
  <c r="M476" i="20"/>
  <c r="L476" i="20"/>
  <c r="I707" i="20"/>
  <c r="B707" i="20"/>
  <c r="P707" i="20"/>
  <c r="E707" i="20"/>
  <c r="F707" i="20"/>
  <c r="H707" i="20"/>
  <c r="J707" i="20"/>
  <c r="L707" i="20"/>
  <c r="M707" i="20"/>
  <c r="N707" i="20"/>
  <c r="O707" i="20"/>
  <c r="Q707" i="20"/>
  <c r="R707" i="20"/>
  <c r="C707" i="20"/>
  <c r="D707" i="20"/>
  <c r="G707" i="20"/>
  <c r="K707" i="20"/>
  <c r="G680" i="20"/>
  <c r="H680" i="20"/>
  <c r="I680" i="20"/>
  <c r="J680" i="20"/>
  <c r="K680" i="20"/>
  <c r="M680" i="20"/>
  <c r="B680" i="20"/>
  <c r="N680" i="20"/>
  <c r="Q680" i="20"/>
  <c r="R680" i="20"/>
  <c r="C680" i="20"/>
  <c r="D680" i="20"/>
  <c r="E680" i="20"/>
  <c r="F680" i="20"/>
  <c r="L680" i="20"/>
  <c r="O680" i="20"/>
  <c r="P680" i="20"/>
  <c r="D637" i="20"/>
  <c r="R637" i="20"/>
  <c r="E637" i="20"/>
  <c r="F637" i="20"/>
  <c r="H637" i="20"/>
  <c r="K637" i="20"/>
  <c r="L637" i="20"/>
  <c r="P637" i="20"/>
  <c r="Q637" i="20"/>
  <c r="B637" i="20"/>
  <c r="G637" i="20"/>
  <c r="I637" i="20"/>
  <c r="M637" i="20"/>
  <c r="N637" i="20"/>
  <c r="J637" i="20"/>
  <c r="C637" i="20"/>
  <c r="O637" i="20"/>
  <c r="E573" i="20"/>
  <c r="P573" i="20"/>
  <c r="C573" i="20"/>
  <c r="Q573" i="20"/>
  <c r="D573" i="20"/>
  <c r="R573" i="20"/>
  <c r="H573" i="20"/>
  <c r="L573" i="20"/>
  <c r="M573" i="20"/>
  <c r="N573" i="20"/>
  <c r="O573" i="20"/>
  <c r="G573" i="20"/>
  <c r="F573" i="20"/>
  <c r="I573" i="20"/>
  <c r="B573" i="20"/>
  <c r="K573" i="20"/>
  <c r="J573" i="20"/>
  <c r="B563" i="20"/>
  <c r="C563" i="20"/>
  <c r="D563" i="20"/>
  <c r="M563" i="20"/>
  <c r="N563" i="20"/>
  <c r="O563" i="20"/>
  <c r="Q563" i="20"/>
  <c r="G563" i="20"/>
  <c r="P563" i="20"/>
  <c r="R563" i="20"/>
  <c r="H563" i="20"/>
  <c r="I563" i="20"/>
  <c r="L563" i="20"/>
  <c r="K563" i="20"/>
  <c r="J563" i="20"/>
  <c r="F563" i="20"/>
  <c r="E563" i="20"/>
  <c r="C504" i="20"/>
  <c r="L504" i="20"/>
  <c r="M504" i="20"/>
  <c r="N504" i="20"/>
  <c r="O504" i="20"/>
  <c r="P504" i="20"/>
  <c r="Q504" i="20"/>
  <c r="B504" i="20"/>
  <c r="H504" i="20"/>
  <c r="F504" i="20"/>
  <c r="D504" i="20"/>
  <c r="I504" i="20"/>
  <c r="E504" i="20"/>
  <c r="R504" i="20"/>
  <c r="G504" i="20"/>
  <c r="J504" i="20"/>
  <c r="K504" i="20"/>
  <c r="K519" i="20"/>
  <c r="R519" i="20"/>
  <c r="C519" i="20"/>
  <c r="E519" i="20"/>
  <c r="F519" i="20"/>
  <c r="P519" i="20"/>
  <c r="Q519" i="20"/>
  <c r="B519" i="20"/>
  <c r="O519" i="20"/>
  <c r="G519" i="20"/>
  <c r="L519" i="20"/>
  <c r="N519" i="20"/>
  <c r="M519" i="20"/>
  <c r="H519" i="20"/>
  <c r="I519" i="20"/>
  <c r="J519" i="20"/>
  <c r="D519" i="20"/>
  <c r="O723" i="20"/>
  <c r="H723" i="20"/>
  <c r="I723" i="20"/>
  <c r="L723" i="20"/>
  <c r="M723" i="20"/>
  <c r="N723" i="20"/>
  <c r="P723" i="20"/>
  <c r="Q723" i="20"/>
  <c r="B723" i="20"/>
  <c r="R723" i="20"/>
  <c r="C723" i="20"/>
  <c r="D723" i="20"/>
  <c r="E723" i="20"/>
  <c r="F723" i="20"/>
  <c r="K723" i="20"/>
  <c r="J723" i="20"/>
  <c r="G723" i="20"/>
  <c r="B641" i="20"/>
  <c r="N641" i="20"/>
  <c r="P641" i="20"/>
  <c r="K641" i="20"/>
  <c r="L641" i="20"/>
  <c r="M641" i="20"/>
  <c r="C641" i="20"/>
  <c r="O641" i="20"/>
  <c r="G641" i="20"/>
  <c r="H641" i="20"/>
  <c r="R641" i="20"/>
  <c r="E641" i="20"/>
  <c r="I641" i="20"/>
  <c r="Q641" i="20"/>
  <c r="D641" i="20"/>
  <c r="J641" i="20"/>
  <c r="F641" i="20"/>
  <c r="G672" i="20"/>
  <c r="K672" i="20"/>
  <c r="D672" i="20"/>
  <c r="R672" i="20"/>
  <c r="E672" i="20"/>
  <c r="F672" i="20"/>
  <c r="H672" i="20"/>
  <c r="I672" i="20"/>
  <c r="J672" i="20"/>
  <c r="L672" i="20"/>
  <c r="M672" i="20"/>
  <c r="N672" i="20"/>
  <c r="B672" i="20"/>
  <c r="P672" i="20"/>
  <c r="C672" i="20"/>
  <c r="O672" i="20"/>
  <c r="Q672" i="20"/>
  <c r="F635" i="20"/>
  <c r="H635" i="20"/>
  <c r="J635" i="20"/>
  <c r="M635" i="20"/>
  <c r="P635" i="20"/>
  <c r="Q635" i="20"/>
  <c r="D635" i="20"/>
  <c r="B635" i="20"/>
  <c r="E635" i="20"/>
  <c r="L635" i="20"/>
  <c r="N635" i="20"/>
  <c r="R635" i="20"/>
  <c r="O635" i="20"/>
  <c r="I635" i="20"/>
  <c r="G635" i="20"/>
  <c r="K635" i="20"/>
  <c r="C635" i="20"/>
  <c r="C500" i="20"/>
  <c r="J500" i="20"/>
  <c r="K500" i="20"/>
  <c r="N500" i="20"/>
  <c r="P500" i="20"/>
  <c r="Q500" i="20"/>
  <c r="B500" i="20"/>
  <c r="E500" i="20"/>
  <c r="F500" i="20"/>
  <c r="G500" i="20"/>
  <c r="H500" i="20"/>
  <c r="O500" i="20"/>
  <c r="I500" i="20"/>
  <c r="L500" i="20"/>
  <c r="D500" i="20"/>
  <c r="M500" i="20"/>
  <c r="R500" i="20"/>
  <c r="C542" i="20"/>
  <c r="P542" i="20"/>
  <c r="Q542" i="20"/>
  <c r="R542" i="20"/>
  <c r="J542" i="20"/>
  <c r="I542" i="20"/>
  <c r="O542" i="20"/>
  <c r="H542" i="20"/>
  <c r="E542" i="20"/>
  <c r="G542" i="20"/>
  <c r="D542" i="20"/>
  <c r="M542" i="20"/>
  <c r="B542" i="20"/>
  <c r="N542" i="20"/>
  <c r="L542" i="20"/>
  <c r="K542" i="20"/>
  <c r="F542" i="20"/>
  <c r="F515" i="20"/>
  <c r="B515" i="20"/>
  <c r="C515" i="20"/>
  <c r="E515" i="20"/>
  <c r="G515" i="20"/>
  <c r="H515" i="20"/>
  <c r="J515" i="20"/>
  <c r="K515" i="20"/>
  <c r="L515" i="20"/>
  <c r="N515" i="20"/>
  <c r="O515" i="20"/>
  <c r="Q515" i="20"/>
  <c r="R515" i="20"/>
  <c r="D515" i="20"/>
  <c r="P515" i="20"/>
  <c r="I515" i="20"/>
  <c r="M515" i="20"/>
  <c r="E477" i="20"/>
  <c r="G477" i="20"/>
  <c r="M477" i="20"/>
  <c r="F477" i="20"/>
  <c r="C477" i="20"/>
  <c r="O477" i="20"/>
  <c r="D477" i="20"/>
  <c r="P477" i="20"/>
  <c r="H477" i="20"/>
  <c r="J477" i="20"/>
  <c r="I477" i="20"/>
  <c r="R477" i="20"/>
  <c r="L477" i="20"/>
  <c r="K477" i="20"/>
  <c r="Q477" i="20"/>
  <c r="B477" i="20"/>
  <c r="N477" i="20"/>
  <c r="R732" i="20"/>
  <c r="B732" i="20"/>
  <c r="C732" i="20"/>
  <c r="D732" i="20"/>
  <c r="F732" i="20"/>
  <c r="H732" i="20"/>
  <c r="I732" i="20"/>
  <c r="J732" i="20"/>
  <c r="L732" i="20"/>
  <c r="N732" i="20"/>
  <c r="O732" i="20"/>
  <c r="P732" i="20"/>
  <c r="K732" i="20"/>
  <c r="E732" i="20"/>
  <c r="Q732" i="20"/>
  <c r="M732" i="20"/>
  <c r="G732" i="20"/>
  <c r="I656" i="20"/>
  <c r="Q656" i="20"/>
  <c r="R656" i="20"/>
  <c r="D656" i="20"/>
  <c r="E656" i="20"/>
  <c r="F656" i="20"/>
  <c r="G656" i="20"/>
  <c r="J656" i="20"/>
  <c r="N656" i="20"/>
  <c r="P656" i="20"/>
  <c r="C656" i="20"/>
  <c r="O656" i="20"/>
  <c r="M656" i="20"/>
  <c r="L656" i="20"/>
  <c r="K656" i="20"/>
  <c r="B656" i="20"/>
  <c r="H656" i="20"/>
  <c r="B613" i="20"/>
  <c r="P613" i="20"/>
  <c r="F613" i="20"/>
  <c r="G613" i="20"/>
  <c r="K613" i="20"/>
  <c r="L613" i="20"/>
  <c r="M613" i="20"/>
  <c r="N613" i="20"/>
  <c r="C613" i="20"/>
  <c r="H613" i="20"/>
  <c r="E613" i="20"/>
  <c r="Q613" i="20"/>
  <c r="R613" i="20"/>
  <c r="J613" i="20"/>
  <c r="D613" i="20"/>
  <c r="I613" i="20"/>
  <c r="O613" i="20"/>
  <c r="D546" i="20"/>
  <c r="C546" i="20"/>
  <c r="E546" i="20"/>
  <c r="G546" i="20"/>
  <c r="H546" i="20"/>
  <c r="K546" i="20"/>
  <c r="P546" i="20"/>
  <c r="Q546" i="20"/>
  <c r="L546" i="20"/>
  <c r="I546" i="20"/>
  <c r="B546" i="20"/>
  <c r="N546" i="20"/>
  <c r="F546" i="20"/>
  <c r="J546" i="20"/>
  <c r="R546" i="20"/>
  <c r="O546" i="20"/>
  <c r="M546" i="20"/>
  <c r="B539" i="20"/>
  <c r="C539" i="20"/>
  <c r="D539" i="20"/>
  <c r="K539" i="20"/>
  <c r="O539" i="20"/>
  <c r="P539" i="20"/>
  <c r="Q539" i="20"/>
  <c r="M539" i="20"/>
  <c r="N539" i="20"/>
  <c r="J539" i="20"/>
  <c r="G539" i="20"/>
  <c r="L539" i="20"/>
  <c r="E539" i="20"/>
  <c r="R539" i="20"/>
  <c r="F539" i="20"/>
  <c r="I539" i="20"/>
  <c r="H539" i="20"/>
  <c r="D472" i="20"/>
  <c r="O472" i="20"/>
  <c r="P472" i="20"/>
  <c r="G472" i="20"/>
  <c r="K472" i="20"/>
  <c r="L472" i="20"/>
  <c r="M472" i="20"/>
  <c r="N472" i="20"/>
  <c r="H472" i="20"/>
  <c r="I472" i="20"/>
  <c r="J472" i="20"/>
  <c r="B472" i="20"/>
  <c r="E472" i="20"/>
  <c r="Q472" i="20"/>
  <c r="C472" i="20"/>
  <c r="R472" i="20"/>
  <c r="F472" i="20"/>
  <c r="B507" i="20"/>
  <c r="E507" i="20"/>
  <c r="G507" i="20"/>
  <c r="H507" i="20"/>
  <c r="J507" i="20"/>
  <c r="K507" i="20"/>
  <c r="N507" i="20"/>
  <c r="O507" i="20"/>
  <c r="Q507" i="20"/>
  <c r="C507" i="20"/>
  <c r="R507" i="20"/>
  <c r="D507" i="20"/>
  <c r="P507" i="20"/>
  <c r="I507" i="20"/>
  <c r="L507" i="20"/>
  <c r="M507" i="20"/>
  <c r="F507" i="20"/>
  <c r="E712" i="20"/>
  <c r="L712" i="20"/>
  <c r="F712" i="20"/>
  <c r="G712" i="20"/>
  <c r="H712" i="20"/>
  <c r="I712" i="20"/>
  <c r="J712" i="20"/>
  <c r="K712" i="20"/>
  <c r="M712" i="20"/>
  <c r="N712" i="20"/>
  <c r="O712" i="20"/>
  <c r="B712" i="20"/>
  <c r="P712" i="20"/>
  <c r="C712" i="20"/>
  <c r="R712" i="20"/>
  <c r="D712" i="20"/>
  <c r="Q712" i="20"/>
  <c r="F694" i="20"/>
  <c r="R694" i="20"/>
  <c r="G694" i="20"/>
  <c r="J694" i="20"/>
  <c r="L694" i="20"/>
  <c r="O694" i="20"/>
  <c r="P694" i="20"/>
  <c r="Q694" i="20"/>
  <c r="B694" i="20"/>
  <c r="C694" i="20"/>
  <c r="D694" i="20"/>
  <c r="E694" i="20"/>
  <c r="H694" i="20"/>
  <c r="I694" i="20"/>
  <c r="K694" i="20"/>
  <c r="M694" i="20"/>
  <c r="N694" i="20"/>
  <c r="E706" i="20"/>
  <c r="M706" i="20"/>
  <c r="G706" i="20"/>
  <c r="H706" i="20"/>
  <c r="I706" i="20"/>
  <c r="J706" i="20"/>
  <c r="K706" i="20"/>
  <c r="L706" i="20"/>
  <c r="N706" i="20"/>
  <c r="O706" i="20"/>
  <c r="P706" i="20"/>
  <c r="B706" i="20"/>
  <c r="R706" i="20"/>
  <c r="C706" i="20"/>
  <c r="D706" i="20"/>
  <c r="F706" i="20"/>
  <c r="Q706" i="20"/>
  <c r="N523" i="20"/>
  <c r="O523" i="20"/>
  <c r="P523" i="20"/>
  <c r="B523" i="20"/>
  <c r="Q523" i="20"/>
  <c r="C523" i="20"/>
  <c r="R523" i="20"/>
  <c r="D523" i="20"/>
  <c r="E523" i="20"/>
  <c r="F523" i="20"/>
  <c r="G523" i="20"/>
  <c r="I523" i="20"/>
  <c r="K523" i="20"/>
  <c r="M523" i="20"/>
  <c r="J523" i="20"/>
  <c r="H523" i="20"/>
  <c r="L523" i="20"/>
  <c r="B628" i="20"/>
  <c r="O628" i="20"/>
  <c r="P628" i="20"/>
  <c r="L628" i="20"/>
  <c r="E628" i="20"/>
  <c r="Q628" i="20"/>
  <c r="I628" i="20"/>
  <c r="K628" i="20"/>
  <c r="M628" i="20"/>
  <c r="N628" i="20"/>
  <c r="C628" i="20"/>
  <c r="D628" i="20"/>
  <c r="H628" i="20"/>
  <c r="F628" i="20"/>
  <c r="J628" i="20"/>
  <c r="G628" i="20"/>
  <c r="R628" i="20"/>
  <c r="I463" i="20"/>
  <c r="J463" i="20"/>
  <c r="B463" i="20"/>
  <c r="K463" i="20"/>
  <c r="C463" i="20"/>
  <c r="M463" i="20"/>
  <c r="D463" i="20"/>
  <c r="R463" i="20"/>
  <c r="P463" i="20"/>
  <c r="E463" i="20"/>
  <c r="G463" i="20"/>
  <c r="N463" i="20"/>
  <c r="O463" i="20"/>
  <c r="F463" i="20"/>
  <c r="H463" i="20"/>
  <c r="L463" i="20"/>
  <c r="Q463" i="20"/>
  <c r="B754" i="20"/>
  <c r="I754" i="20"/>
  <c r="L754" i="20"/>
  <c r="N754" i="20"/>
  <c r="O754" i="20"/>
  <c r="E754" i="20"/>
  <c r="Q754" i="20"/>
  <c r="M754" i="20"/>
  <c r="P754" i="20"/>
  <c r="K754" i="20"/>
  <c r="C754" i="20"/>
  <c r="J754" i="20"/>
  <c r="G754" i="20"/>
  <c r="F754" i="20"/>
  <c r="R754" i="20"/>
  <c r="D754" i="20"/>
  <c r="H754" i="20"/>
  <c r="K733" i="20"/>
  <c r="J733" i="20"/>
  <c r="G733" i="20"/>
  <c r="E733" i="20"/>
  <c r="F733" i="20"/>
  <c r="I733" i="20"/>
  <c r="L733" i="20"/>
  <c r="M733" i="20"/>
  <c r="H733" i="20"/>
  <c r="N733" i="20"/>
  <c r="P733" i="20"/>
  <c r="O733" i="20"/>
  <c r="Q733" i="20"/>
  <c r="C733" i="20"/>
  <c r="B733" i="20"/>
  <c r="D733" i="20"/>
  <c r="R733" i="20"/>
  <c r="K688" i="20"/>
  <c r="L688" i="20"/>
  <c r="M688" i="20"/>
  <c r="B688" i="20"/>
  <c r="N688" i="20"/>
  <c r="C688" i="20"/>
  <c r="O688" i="20"/>
  <c r="E688" i="20"/>
  <c r="Q688" i="20"/>
  <c r="R688" i="20"/>
  <c r="D688" i="20"/>
  <c r="F688" i="20"/>
  <c r="G688" i="20"/>
  <c r="H688" i="20"/>
  <c r="I688" i="20"/>
  <c r="J688" i="20"/>
  <c r="P688" i="20"/>
  <c r="C511" i="20"/>
  <c r="K511" i="20"/>
  <c r="L511" i="20"/>
  <c r="M511" i="20"/>
  <c r="I511" i="20"/>
  <c r="J511" i="20"/>
  <c r="O511" i="20"/>
  <c r="R511" i="20"/>
  <c r="N511" i="20"/>
  <c r="F511" i="20"/>
  <c r="H511" i="20"/>
  <c r="D511" i="20"/>
  <c r="P511" i="20"/>
  <c r="B511" i="20"/>
  <c r="G511" i="20"/>
  <c r="Q511" i="20"/>
  <c r="E511" i="20"/>
  <c r="G576" i="20"/>
  <c r="E576" i="20"/>
  <c r="H576" i="20"/>
  <c r="J576" i="20"/>
  <c r="K576" i="20"/>
  <c r="M576" i="20"/>
  <c r="C576" i="20"/>
  <c r="D576" i="20"/>
  <c r="I576" i="20"/>
  <c r="L576" i="20"/>
  <c r="O576" i="20"/>
  <c r="P576" i="20"/>
  <c r="Q576" i="20"/>
  <c r="B576" i="20"/>
  <c r="F576" i="20"/>
  <c r="R576" i="20"/>
  <c r="N576" i="20"/>
  <c r="B503" i="20"/>
  <c r="D503" i="20"/>
  <c r="E503" i="20"/>
  <c r="F503" i="20"/>
  <c r="I503" i="20"/>
  <c r="N503" i="20"/>
  <c r="P503" i="20"/>
  <c r="R503" i="20"/>
  <c r="M503" i="20"/>
  <c r="Q503" i="20"/>
  <c r="O503" i="20"/>
  <c r="J503" i="20"/>
  <c r="H503" i="20"/>
  <c r="L503" i="20"/>
  <c r="C503" i="20"/>
  <c r="K503" i="20"/>
  <c r="G503" i="20"/>
  <c r="E674" i="20"/>
  <c r="Q674" i="20"/>
  <c r="C674" i="20"/>
  <c r="P674" i="20"/>
  <c r="D674" i="20"/>
  <c r="R674" i="20"/>
  <c r="F674" i="20"/>
  <c r="G674" i="20"/>
  <c r="H674" i="20"/>
  <c r="I674" i="20"/>
  <c r="J674" i="20"/>
  <c r="K674" i="20"/>
  <c r="N674" i="20"/>
  <c r="O674" i="20"/>
  <c r="B674" i="20"/>
  <c r="L674" i="20"/>
  <c r="M674" i="20"/>
  <c r="C709" i="20"/>
  <c r="R709" i="20"/>
  <c r="B709" i="20"/>
  <c r="D709" i="20"/>
  <c r="O709" i="20"/>
  <c r="P709" i="20"/>
  <c r="Q709" i="20"/>
  <c r="N709" i="20"/>
  <c r="L709" i="20"/>
  <c r="G709" i="20"/>
  <c r="M709" i="20"/>
  <c r="H709" i="20"/>
  <c r="E709" i="20"/>
  <c r="K709" i="20"/>
  <c r="I709" i="20"/>
  <c r="F709" i="20"/>
  <c r="J709" i="20"/>
  <c r="I740" i="20"/>
  <c r="J740" i="20"/>
  <c r="L740" i="20"/>
  <c r="N740" i="20"/>
  <c r="O740" i="20"/>
  <c r="P740" i="20"/>
  <c r="R740" i="20"/>
  <c r="B740" i="20"/>
  <c r="C740" i="20"/>
  <c r="D740" i="20"/>
  <c r="F740" i="20"/>
  <c r="H740" i="20"/>
  <c r="K740" i="20"/>
  <c r="E740" i="20"/>
  <c r="Q740" i="20"/>
  <c r="M740" i="20"/>
  <c r="G740" i="20"/>
  <c r="M670" i="20"/>
  <c r="E670" i="20"/>
  <c r="Q670" i="20"/>
  <c r="F670" i="20"/>
  <c r="G670" i="20"/>
  <c r="H670" i="20"/>
  <c r="I670" i="20"/>
  <c r="J670" i="20"/>
  <c r="K670" i="20"/>
  <c r="L670" i="20"/>
  <c r="N670" i="20"/>
  <c r="O670" i="20"/>
  <c r="B670" i="20"/>
  <c r="C670" i="20"/>
  <c r="R670" i="20"/>
  <c r="D670" i="20"/>
  <c r="P670" i="20"/>
  <c r="I650" i="20"/>
  <c r="E650" i="20"/>
  <c r="F650" i="20"/>
  <c r="G650" i="20"/>
  <c r="J650" i="20"/>
  <c r="D650" i="20"/>
  <c r="H650" i="20"/>
  <c r="K650" i="20"/>
  <c r="M650" i="20"/>
  <c r="N650" i="20"/>
  <c r="O650" i="20"/>
  <c r="Q650" i="20"/>
  <c r="R650" i="20"/>
  <c r="B650" i="20"/>
  <c r="L650" i="20"/>
  <c r="P650" i="20"/>
  <c r="C650" i="20"/>
  <c r="C616" i="20"/>
  <c r="E616" i="20"/>
  <c r="F616" i="20"/>
  <c r="G616" i="20"/>
  <c r="J616" i="20"/>
  <c r="K616" i="20"/>
  <c r="L616" i="20"/>
  <c r="O616" i="20"/>
  <c r="P616" i="20"/>
  <c r="R616" i="20"/>
  <c r="N616" i="20"/>
  <c r="D616" i="20"/>
  <c r="Q616" i="20"/>
  <c r="H616" i="20"/>
  <c r="M616" i="20"/>
  <c r="B616" i="20"/>
  <c r="I616" i="20"/>
  <c r="C606" i="20"/>
  <c r="Q606" i="20"/>
  <c r="E606" i="20"/>
  <c r="L606" i="20"/>
  <c r="R606" i="20"/>
  <c r="K606" i="20"/>
  <c r="P606" i="20"/>
  <c r="G606" i="20"/>
  <c r="O606" i="20"/>
  <c r="J606" i="20"/>
  <c r="B606" i="20"/>
  <c r="N606" i="20"/>
  <c r="H606" i="20"/>
  <c r="D606" i="20"/>
  <c r="M606" i="20"/>
  <c r="F606" i="20"/>
  <c r="I606" i="20"/>
  <c r="B557" i="20"/>
  <c r="I557" i="20"/>
  <c r="K557" i="20"/>
  <c r="O557" i="20"/>
  <c r="D557" i="20"/>
  <c r="C557" i="20"/>
  <c r="N557" i="20"/>
  <c r="F557" i="20"/>
  <c r="G557" i="20"/>
  <c r="J557" i="20"/>
  <c r="E557" i="20"/>
  <c r="H557" i="20"/>
  <c r="L557" i="20"/>
  <c r="M557" i="20"/>
  <c r="P557" i="20"/>
  <c r="R557" i="20"/>
  <c r="Q557" i="20"/>
  <c r="C615" i="20"/>
  <c r="D615" i="20"/>
  <c r="E615" i="20"/>
  <c r="F615" i="20"/>
  <c r="G615" i="20"/>
  <c r="J615" i="20"/>
  <c r="L615" i="20"/>
  <c r="N615" i="20"/>
  <c r="O615" i="20"/>
  <c r="P615" i="20"/>
  <c r="Q615" i="20"/>
  <c r="B615" i="20"/>
  <c r="R615" i="20"/>
  <c r="H615" i="20"/>
  <c r="I615" i="20"/>
  <c r="M615" i="20"/>
  <c r="K615" i="20"/>
  <c r="N746" i="20"/>
  <c r="O746" i="20"/>
  <c r="B746" i="20"/>
  <c r="I746" i="20"/>
  <c r="L746" i="20"/>
  <c r="M746" i="20"/>
  <c r="F746" i="20"/>
  <c r="K746" i="20"/>
  <c r="G746" i="20"/>
  <c r="P746" i="20"/>
  <c r="C746" i="20"/>
  <c r="J746" i="20"/>
  <c r="E746" i="20"/>
  <c r="R746" i="20"/>
  <c r="Q746" i="20"/>
  <c r="D746" i="20"/>
  <c r="H746" i="20"/>
  <c r="B693" i="20"/>
  <c r="E693" i="20"/>
  <c r="P693" i="20"/>
  <c r="D693" i="20"/>
  <c r="H693" i="20"/>
  <c r="O693" i="20"/>
  <c r="J693" i="20"/>
  <c r="F693" i="20"/>
  <c r="G693" i="20"/>
  <c r="R693" i="20"/>
  <c r="I693" i="20"/>
  <c r="C693" i="20"/>
  <c r="K693" i="20"/>
  <c r="N693" i="20"/>
  <c r="M693" i="20"/>
  <c r="L693" i="20"/>
  <c r="Q693" i="20"/>
  <c r="F622" i="20"/>
  <c r="Q622" i="20"/>
  <c r="C622" i="20"/>
  <c r="D622" i="20"/>
  <c r="R622" i="20"/>
  <c r="L622" i="20"/>
  <c r="P622" i="20"/>
  <c r="B622" i="20"/>
  <c r="N622" i="20"/>
  <c r="M622" i="20"/>
  <c r="J622" i="20"/>
  <c r="O622" i="20"/>
  <c r="E622" i="20"/>
  <c r="H622" i="20"/>
  <c r="I622" i="20"/>
  <c r="G622" i="20"/>
  <c r="K622" i="20"/>
  <c r="B498" i="20"/>
  <c r="K498" i="20"/>
  <c r="M498" i="20"/>
  <c r="N498" i="20"/>
  <c r="P498" i="20"/>
  <c r="Q498" i="20"/>
  <c r="L498" i="20"/>
  <c r="O498" i="20"/>
  <c r="D498" i="20"/>
  <c r="R498" i="20"/>
  <c r="E498" i="20"/>
  <c r="F498" i="20"/>
  <c r="G498" i="20"/>
  <c r="I498" i="20"/>
  <c r="H498" i="20"/>
  <c r="J498" i="20"/>
  <c r="C498" i="20"/>
  <c r="E585" i="20"/>
  <c r="I585" i="20"/>
  <c r="J585" i="20"/>
  <c r="N585" i="20"/>
  <c r="O585" i="20"/>
  <c r="Q585" i="20"/>
  <c r="D585" i="20"/>
  <c r="R585" i="20"/>
  <c r="F585" i="20"/>
  <c r="K585" i="20"/>
  <c r="H585" i="20"/>
  <c r="L585" i="20"/>
  <c r="M585" i="20"/>
  <c r="G585" i="20"/>
  <c r="B585" i="20"/>
  <c r="P585" i="20"/>
  <c r="C585" i="20"/>
  <c r="E497" i="20"/>
  <c r="L497" i="20"/>
  <c r="P497" i="20"/>
  <c r="Q497" i="20"/>
  <c r="B497" i="20"/>
  <c r="K497" i="20"/>
  <c r="H497" i="20"/>
  <c r="I497" i="20"/>
  <c r="J497" i="20"/>
  <c r="O497" i="20"/>
  <c r="D497" i="20"/>
  <c r="C497" i="20"/>
  <c r="M497" i="20"/>
  <c r="N497" i="20"/>
  <c r="F497" i="20"/>
  <c r="R497" i="20"/>
  <c r="G497" i="20"/>
  <c r="C536" i="20"/>
  <c r="D536" i="20"/>
  <c r="I536" i="20"/>
  <c r="N536" i="20"/>
  <c r="E536" i="20"/>
  <c r="P536" i="20"/>
  <c r="B536" i="20"/>
  <c r="F536" i="20"/>
  <c r="L536" i="20"/>
  <c r="R536" i="20"/>
  <c r="M536" i="20"/>
  <c r="J536" i="20"/>
  <c r="G536" i="20"/>
  <c r="H536" i="20"/>
  <c r="K536" i="20"/>
  <c r="O536" i="20"/>
  <c r="Q536" i="20"/>
  <c r="D690" i="20"/>
  <c r="P690" i="20"/>
  <c r="E690" i="20"/>
  <c r="Q690" i="20"/>
  <c r="F690" i="20"/>
  <c r="R690" i="20"/>
  <c r="G690" i="20"/>
  <c r="H690" i="20"/>
  <c r="J690" i="20"/>
  <c r="B690" i="20"/>
  <c r="C690" i="20"/>
  <c r="I690" i="20"/>
  <c r="K690" i="20"/>
  <c r="L690" i="20"/>
  <c r="M690" i="20"/>
  <c r="N690" i="20"/>
  <c r="O690" i="20"/>
  <c r="E661" i="20"/>
  <c r="I661" i="20"/>
  <c r="D661" i="20"/>
  <c r="F661" i="20"/>
  <c r="G661" i="20"/>
  <c r="H661" i="20"/>
  <c r="K661" i="20"/>
  <c r="L661" i="20"/>
  <c r="M661" i="20"/>
  <c r="N661" i="20"/>
  <c r="P661" i="20"/>
  <c r="Q661" i="20"/>
  <c r="R661" i="20"/>
  <c r="B661" i="20"/>
  <c r="O661" i="20"/>
  <c r="J661" i="20"/>
  <c r="C661" i="20"/>
  <c r="O632" i="20"/>
  <c r="B632" i="20"/>
  <c r="P632" i="20"/>
  <c r="Q632" i="20"/>
  <c r="I632" i="20"/>
  <c r="L632" i="20"/>
  <c r="N632" i="20"/>
  <c r="H632" i="20"/>
  <c r="E632" i="20"/>
  <c r="F632" i="20"/>
  <c r="G632" i="20"/>
  <c r="R632" i="20"/>
  <c r="M632" i="20"/>
  <c r="C632" i="20"/>
  <c r="J632" i="20"/>
  <c r="K632" i="20"/>
  <c r="D632" i="20"/>
  <c r="E537" i="20"/>
  <c r="D537" i="20"/>
  <c r="G537" i="20"/>
  <c r="H537" i="20"/>
  <c r="J537" i="20"/>
  <c r="B537" i="20"/>
  <c r="O537" i="20"/>
  <c r="C537" i="20"/>
  <c r="P537" i="20"/>
  <c r="R537" i="20"/>
  <c r="F537" i="20"/>
  <c r="Q537" i="20"/>
  <c r="I537" i="20"/>
  <c r="M537" i="20"/>
  <c r="N537" i="20"/>
  <c r="K537" i="20"/>
  <c r="L537" i="20"/>
  <c r="B555" i="20"/>
  <c r="C555" i="20"/>
  <c r="D555" i="20"/>
  <c r="G555" i="20"/>
  <c r="M555" i="20"/>
  <c r="O555" i="20"/>
  <c r="P555" i="20"/>
  <c r="Q555" i="20"/>
  <c r="R555" i="20"/>
  <c r="N555" i="20"/>
  <c r="K555" i="20"/>
  <c r="J555" i="20"/>
  <c r="F555" i="20"/>
  <c r="H555" i="20"/>
  <c r="I555" i="20"/>
  <c r="L555" i="20"/>
  <c r="E555" i="20"/>
  <c r="C488" i="20"/>
  <c r="R488" i="20"/>
  <c r="F488" i="20"/>
  <c r="K488" i="20"/>
  <c r="L488" i="20"/>
  <c r="N488" i="20"/>
  <c r="H488" i="20"/>
  <c r="O488" i="20"/>
  <c r="I488" i="20"/>
  <c r="E488" i="20"/>
  <c r="J488" i="20"/>
  <c r="D488" i="20"/>
  <c r="B488" i="20"/>
  <c r="G488" i="20"/>
  <c r="Q488" i="20"/>
  <c r="M488" i="20"/>
  <c r="P488" i="20"/>
  <c r="K755" i="20"/>
  <c r="Q755" i="20"/>
  <c r="D755" i="20"/>
  <c r="G755" i="20"/>
  <c r="H755" i="20"/>
  <c r="I755" i="20"/>
  <c r="J755" i="20"/>
  <c r="N755" i="20"/>
  <c r="L755" i="20"/>
  <c r="F755" i="20"/>
  <c r="R755" i="20"/>
  <c r="O755" i="20"/>
  <c r="E755" i="20"/>
  <c r="B755" i="20"/>
  <c r="M755" i="20"/>
  <c r="P755" i="20"/>
  <c r="C755" i="20"/>
  <c r="L643" i="20"/>
  <c r="M643" i="20"/>
  <c r="N643" i="20"/>
  <c r="Q643" i="20"/>
  <c r="B643" i="20"/>
  <c r="D643" i="20"/>
  <c r="E643" i="20"/>
  <c r="F643" i="20"/>
  <c r="H643" i="20"/>
  <c r="P643" i="20"/>
  <c r="R643" i="20"/>
  <c r="J643" i="20"/>
  <c r="K643" i="20"/>
  <c r="G643" i="20"/>
  <c r="C643" i="20"/>
  <c r="O643" i="20"/>
  <c r="I643" i="20"/>
  <c r="D603" i="20"/>
  <c r="J603" i="20"/>
  <c r="K603" i="20"/>
  <c r="L603" i="20"/>
  <c r="M603" i="20"/>
  <c r="P603" i="20"/>
  <c r="Q603" i="20"/>
  <c r="R603" i="20"/>
  <c r="C603" i="20"/>
  <c r="E603" i="20"/>
  <c r="G603" i="20"/>
  <c r="I603" i="20"/>
  <c r="O603" i="20"/>
  <c r="F603" i="20"/>
  <c r="N603" i="20"/>
  <c r="H603" i="20"/>
  <c r="B603" i="20"/>
  <c r="B633" i="20"/>
  <c r="I633" i="20"/>
  <c r="J633" i="20"/>
  <c r="M633" i="20"/>
  <c r="L633" i="20"/>
  <c r="P633" i="20"/>
  <c r="E633" i="20"/>
  <c r="G633" i="20"/>
  <c r="H633" i="20"/>
  <c r="F633" i="20"/>
  <c r="Q633" i="20"/>
  <c r="R633" i="20"/>
  <c r="D633" i="20"/>
  <c r="N633" i="20"/>
  <c r="K633" i="20"/>
  <c r="C633" i="20"/>
  <c r="O633" i="20"/>
  <c r="B601" i="20"/>
  <c r="Q601" i="20"/>
  <c r="R601" i="20"/>
  <c r="H601" i="20"/>
  <c r="L601" i="20"/>
  <c r="M601" i="20"/>
  <c r="C601" i="20"/>
  <c r="I601" i="20"/>
  <c r="P601" i="20"/>
  <c r="O601" i="20"/>
  <c r="G601" i="20"/>
  <c r="F601" i="20"/>
  <c r="J601" i="20"/>
  <c r="K601" i="20"/>
  <c r="E601" i="20"/>
  <c r="D601" i="20"/>
  <c r="N601" i="20"/>
  <c r="B484" i="20"/>
  <c r="E484" i="20"/>
  <c r="G484" i="20"/>
  <c r="M484" i="20"/>
  <c r="N484" i="20"/>
  <c r="P484" i="20"/>
  <c r="D484" i="20"/>
  <c r="H484" i="20"/>
  <c r="I484" i="20"/>
  <c r="J484" i="20"/>
  <c r="R484" i="20"/>
  <c r="K484" i="20"/>
  <c r="L484" i="20"/>
  <c r="O484" i="20"/>
  <c r="Q484" i="20"/>
  <c r="C484" i="20"/>
  <c r="F484" i="20"/>
  <c r="F457" i="20"/>
  <c r="E457" i="20"/>
  <c r="G457" i="20"/>
  <c r="H457" i="20"/>
  <c r="I457" i="20"/>
  <c r="J457" i="20"/>
  <c r="K457" i="20"/>
  <c r="L457" i="20"/>
  <c r="M457" i="20"/>
  <c r="D457" i="20"/>
  <c r="P457" i="20"/>
  <c r="R457" i="20"/>
  <c r="B457" i="20"/>
  <c r="N457" i="20"/>
  <c r="Q457" i="20"/>
  <c r="C457" i="20"/>
  <c r="O457" i="20"/>
  <c r="K735" i="20"/>
  <c r="D735" i="20"/>
  <c r="N735" i="20"/>
  <c r="Q735" i="20"/>
  <c r="O735" i="20"/>
  <c r="M735" i="20"/>
  <c r="P735" i="20"/>
  <c r="B735" i="20"/>
  <c r="C735" i="20"/>
  <c r="L735" i="20"/>
  <c r="R735" i="20"/>
  <c r="E735" i="20"/>
  <c r="F735" i="20"/>
  <c r="G735" i="20"/>
  <c r="H735" i="20"/>
  <c r="J735" i="20"/>
  <c r="I735" i="20"/>
  <c r="B657" i="20"/>
  <c r="P657" i="20"/>
  <c r="R657" i="20"/>
  <c r="F657" i="20"/>
  <c r="G657" i="20"/>
  <c r="H657" i="20"/>
  <c r="L657" i="20"/>
  <c r="I657" i="20"/>
  <c r="J657" i="20"/>
  <c r="K657" i="20"/>
  <c r="C657" i="20"/>
  <c r="M657" i="20"/>
  <c r="O657" i="20"/>
  <c r="D657" i="20"/>
  <c r="N657" i="20"/>
  <c r="Q657" i="20"/>
  <c r="E657" i="20"/>
  <c r="E581" i="20"/>
  <c r="F581" i="20"/>
  <c r="G581" i="20"/>
  <c r="Q581" i="20"/>
  <c r="D581" i="20"/>
  <c r="R581" i="20"/>
  <c r="L581" i="20"/>
  <c r="M581" i="20"/>
  <c r="N581" i="20"/>
  <c r="B581" i="20"/>
  <c r="P581" i="20"/>
  <c r="H581" i="20"/>
  <c r="C581" i="20"/>
  <c r="K581" i="20"/>
  <c r="O581" i="20"/>
  <c r="J581" i="20"/>
  <c r="I581" i="20"/>
  <c r="G624" i="20"/>
  <c r="I624" i="20"/>
  <c r="J624" i="20"/>
  <c r="K624" i="20"/>
  <c r="L624" i="20"/>
  <c r="M624" i="20"/>
  <c r="P624" i="20"/>
  <c r="R624" i="20"/>
  <c r="C624" i="20"/>
  <c r="E624" i="20"/>
  <c r="F624" i="20"/>
  <c r="O624" i="20"/>
  <c r="B624" i="20"/>
  <c r="N624" i="20"/>
  <c r="D624" i="20"/>
  <c r="Q624" i="20"/>
  <c r="H624" i="20"/>
  <c r="G564" i="20"/>
  <c r="Q564" i="20"/>
  <c r="C564" i="20"/>
  <c r="D564" i="20"/>
  <c r="E564" i="20"/>
  <c r="H564" i="20"/>
  <c r="J564" i="20"/>
  <c r="K564" i="20"/>
  <c r="L564" i="20"/>
  <c r="O564" i="20"/>
  <c r="I564" i="20"/>
  <c r="M564" i="20"/>
  <c r="P564" i="20"/>
  <c r="N564" i="20"/>
  <c r="F564" i="20"/>
  <c r="R564" i="20"/>
  <c r="B564" i="20"/>
  <c r="E461" i="20"/>
  <c r="F461" i="20"/>
  <c r="Q461" i="20"/>
  <c r="N461" i="20"/>
  <c r="C461" i="20"/>
  <c r="M461" i="20"/>
  <c r="G461" i="20"/>
  <c r="O461" i="20"/>
  <c r="D461" i="20"/>
  <c r="P461" i="20"/>
  <c r="H461" i="20"/>
  <c r="I461" i="20"/>
  <c r="J461" i="20"/>
  <c r="K461" i="20"/>
  <c r="L461" i="20"/>
  <c r="R461" i="20"/>
  <c r="B461" i="20"/>
  <c r="C594" i="20"/>
  <c r="D594" i="20"/>
  <c r="R594" i="20"/>
  <c r="B594" i="20"/>
  <c r="N594" i="20"/>
  <c r="G594" i="20"/>
  <c r="Q594" i="20"/>
  <c r="J594" i="20"/>
  <c r="K594" i="20"/>
  <c r="M594" i="20"/>
  <c r="P594" i="20"/>
  <c r="F594" i="20"/>
  <c r="E594" i="20"/>
  <c r="L594" i="20"/>
  <c r="O594" i="20"/>
  <c r="H594" i="20"/>
  <c r="I594" i="20"/>
  <c r="B231" i="20"/>
  <c r="M231" i="20"/>
  <c r="O231" i="20"/>
  <c r="R231" i="20"/>
  <c r="L231" i="20"/>
  <c r="J231" i="20"/>
  <c r="K231" i="20"/>
  <c r="N231" i="20"/>
  <c r="D231" i="20"/>
  <c r="P231" i="20"/>
  <c r="E231" i="20"/>
  <c r="Q231" i="20"/>
  <c r="I231" i="20"/>
  <c r="C231" i="20"/>
  <c r="F231" i="20"/>
  <c r="G231" i="20"/>
  <c r="H231" i="20"/>
  <c r="F386" i="20"/>
  <c r="G386" i="20"/>
  <c r="E386" i="20"/>
  <c r="H386" i="20"/>
  <c r="I386" i="20"/>
  <c r="K386" i="20"/>
  <c r="L386" i="20"/>
  <c r="N386" i="20"/>
  <c r="R386" i="20"/>
  <c r="B386" i="20"/>
  <c r="M386" i="20"/>
  <c r="D386" i="20"/>
  <c r="P386" i="20"/>
  <c r="J386" i="20"/>
  <c r="C386" i="20"/>
  <c r="O386" i="20"/>
  <c r="Q386" i="20"/>
  <c r="B328" i="20"/>
  <c r="F328" i="20"/>
  <c r="J328" i="20"/>
  <c r="M328" i="20"/>
  <c r="K328" i="20"/>
  <c r="G328" i="20"/>
  <c r="E328" i="20"/>
  <c r="Q328" i="20"/>
  <c r="C328" i="20"/>
  <c r="P328" i="20"/>
  <c r="D328" i="20"/>
  <c r="R328" i="20"/>
  <c r="O328" i="20"/>
  <c r="N328" i="20"/>
  <c r="L328" i="20"/>
  <c r="H328" i="20"/>
  <c r="I328" i="20"/>
  <c r="H324" i="20"/>
  <c r="I324" i="20"/>
  <c r="K324" i="20"/>
  <c r="L324" i="20"/>
  <c r="M324" i="20"/>
  <c r="N324" i="20"/>
  <c r="O324" i="20"/>
  <c r="B324" i="20"/>
  <c r="P324" i="20"/>
  <c r="C324" i="20"/>
  <c r="R324" i="20"/>
  <c r="D324" i="20"/>
  <c r="F324" i="20"/>
  <c r="G324" i="20"/>
  <c r="E324" i="20"/>
  <c r="Q324" i="20"/>
  <c r="J324" i="20"/>
  <c r="D350" i="20"/>
  <c r="F350" i="20"/>
  <c r="G350" i="20"/>
  <c r="H350" i="20"/>
  <c r="I350" i="20"/>
  <c r="J350" i="20"/>
  <c r="K350" i="20"/>
  <c r="L350" i="20"/>
  <c r="N350" i="20"/>
  <c r="O350" i="20"/>
  <c r="B350" i="20"/>
  <c r="C350" i="20"/>
  <c r="P350" i="20"/>
  <c r="R350" i="20"/>
  <c r="E350" i="20"/>
  <c r="M350" i="20"/>
  <c r="Q350" i="20"/>
  <c r="B170" i="20"/>
  <c r="Q170" i="20"/>
  <c r="N170" i="20"/>
  <c r="O170" i="20"/>
  <c r="P170" i="20"/>
  <c r="F170" i="20"/>
  <c r="G170" i="20"/>
  <c r="J170" i="20"/>
  <c r="L170" i="20"/>
  <c r="M170" i="20"/>
  <c r="H170" i="20"/>
  <c r="I170" i="20"/>
  <c r="K170" i="20"/>
  <c r="C170" i="20"/>
  <c r="R170" i="20"/>
  <c r="D170" i="20"/>
  <c r="E170" i="20"/>
  <c r="K216" i="20"/>
  <c r="L216" i="20"/>
  <c r="M216" i="20"/>
  <c r="N216" i="20"/>
  <c r="O216" i="20"/>
  <c r="P216" i="20"/>
  <c r="B216" i="20"/>
  <c r="Q216" i="20"/>
  <c r="C216" i="20"/>
  <c r="D216" i="20"/>
  <c r="E216" i="20"/>
  <c r="G216" i="20"/>
  <c r="H216" i="20"/>
  <c r="F216" i="20"/>
  <c r="R216" i="20"/>
  <c r="J216" i="20"/>
  <c r="I216" i="20"/>
  <c r="C387" i="20"/>
  <c r="B387" i="20"/>
  <c r="Q387" i="20"/>
  <c r="I387" i="20"/>
  <c r="M387" i="20"/>
  <c r="P387" i="20"/>
  <c r="J387" i="20"/>
  <c r="K387" i="20"/>
  <c r="G387" i="20"/>
  <c r="H387" i="20"/>
  <c r="E387" i="20"/>
  <c r="R387" i="20"/>
  <c r="N387" i="20"/>
  <c r="L387" i="20"/>
  <c r="F387" i="20"/>
  <c r="D387" i="20"/>
  <c r="O387" i="20"/>
  <c r="E432" i="20"/>
  <c r="P432" i="20"/>
  <c r="Q432" i="20"/>
  <c r="B432" i="20"/>
  <c r="D432" i="20"/>
  <c r="F432" i="20"/>
  <c r="H432" i="20"/>
  <c r="I432" i="20"/>
  <c r="J432" i="20"/>
  <c r="K432" i="20"/>
  <c r="L432" i="20"/>
  <c r="M432" i="20"/>
  <c r="N432" i="20"/>
  <c r="R432" i="20"/>
  <c r="C432" i="20"/>
  <c r="O432" i="20"/>
  <c r="G432" i="20"/>
  <c r="G146" i="20"/>
  <c r="R146" i="20"/>
  <c r="C146" i="20"/>
  <c r="D146" i="20"/>
  <c r="F146" i="20"/>
  <c r="M146" i="20"/>
  <c r="O146" i="20"/>
  <c r="P146" i="20"/>
  <c r="I146" i="20"/>
  <c r="L146" i="20"/>
  <c r="J146" i="20"/>
  <c r="N146" i="20"/>
  <c r="B146" i="20"/>
  <c r="H146" i="20"/>
  <c r="Q146" i="20"/>
  <c r="E146" i="20"/>
  <c r="K146" i="20"/>
  <c r="G239" i="20"/>
  <c r="K239" i="20"/>
  <c r="L239" i="20"/>
  <c r="N239" i="20"/>
  <c r="B239" i="20"/>
  <c r="F239" i="20"/>
  <c r="M239" i="20"/>
  <c r="E239" i="20"/>
  <c r="Q239" i="20"/>
  <c r="I239" i="20"/>
  <c r="C239" i="20"/>
  <c r="H239" i="20"/>
  <c r="J239" i="20"/>
  <c r="O239" i="20"/>
  <c r="D239" i="20"/>
  <c r="R239" i="20"/>
  <c r="P239" i="20"/>
  <c r="N356" i="20"/>
  <c r="O356" i="20"/>
  <c r="B356" i="20"/>
  <c r="P356" i="20"/>
  <c r="C356" i="20"/>
  <c r="R356" i="20"/>
  <c r="D356" i="20"/>
  <c r="G356" i="20"/>
  <c r="H356" i="20"/>
  <c r="L356" i="20"/>
  <c r="F356" i="20"/>
  <c r="I356" i="20"/>
  <c r="K356" i="20"/>
  <c r="M356" i="20"/>
  <c r="E356" i="20"/>
  <c r="J356" i="20"/>
  <c r="Q356" i="20"/>
  <c r="L401" i="20"/>
  <c r="I401" i="20"/>
  <c r="Q401" i="20"/>
  <c r="D401" i="20"/>
  <c r="E401" i="20"/>
  <c r="F401" i="20"/>
  <c r="G401" i="20"/>
  <c r="J401" i="20"/>
  <c r="K401" i="20"/>
  <c r="O401" i="20"/>
  <c r="P401" i="20"/>
  <c r="H401" i="20"/>
  <c r="M401" i="20"/>
  <c r="N401" i="20"/>
  <c r="C401" i="20"/>
  <c r="B401" i="20"/>
  <c r="R401" i="20"/>
  <c r="B428" i="20"/>
  <c r="J428" i="20"/>
  <c r="R428" i="20"/>
  <c r="E428" i="20"/>
  <c r="G428" i="20"/>
  <c r="I428" i="20"/>
  <c r="N428" i="20"/>
  <c r="L428" i="20"/>
  <c r="D428" i="20"/>
  <c r="F428" i="20"/>
  <c r="C428" i="20"/>
  <c r="O428" i="20"/>
  <c r="M428" i="20"/>
  <c r="H428" i="20"/>
  <c r="K428" i="20"/>
  <c r="P428" i="20"/>
  <c r="Q428" i="20"/>
  <c r="D373" i="20"/>
  <c r="F373" i="20"/>
  <c r="I373" i="20"/>
  <c r="M373" i="20"/>
  <c r="N373" i="20"/>
  <c r="R373" i="20"/>
  <c r="P373" i="20"/>
  <c r="G373" i="20"/>
  <c r="L373" i="20"/>
  <c r="J373" i="20"/>
  <c r="H373" i="20"/>
  <c r="B373" i="20"/>
  <c r="K373" i="20"/>
  <c r="O373" i="20"/>
  <c r="Q373" i="20"/>
  <c r="C373" i="20"/>
  <c r="E373" i="20"/>
  <c r="J274" i="20"/>
  <c r="B274" i="20"/>
  <c r="P274" i="20"/>
  <c r="D274" i="20"/>
  <c r="Q274" i="20"/>
  <c r="E274" i="20"/>
  <c r="F274" i="20"/>
  <c r="G274" i="20"/>
  <c r="H274" i="20"/>
  <c r="I274" i="20"/>
  <c r="K274" i="20"/>
  <c r="L274" i="20"/>
  <c r="M274" i="20"/>
  <c r="N274" i="20"/>
  <c r="R274" i="20"/>
  <c r="O274" i="20"/>
  <c r="C274" i="20"/>
  <c r="L230" i="20"/>
  <c r="M230" i="20"/>
  <c r="N230" i="20"/>
  <c r="P230" i="20"/>
  <c r="Q230" i="20"/>
  <c r="R230" i="20"/>
  <c r="B230" i="20"/>
  <c r="D230" i="20"/>
  <c r="E230" i="20"/>
  <c r="G230" i="20"/>
  <c r="H230" i="20"/>
  <c r="J230" i="20"/>
  <c r="I230" i="20"/>
  <c r="K230" i="20"/>
  <c r="C230" i="20"/>
  <c r="O230" i="20"/>
  <c r="F230" i="20"/>
  <c r="D196" i="20"/>
  <c r="O196" i="20"/>
  <c r="J196" i="20"/>
  <c r="N196" i="20"/>
  <c r="R196" i="20"/>
  <c r="M196" i="20"/>
  <c r="F196" i="20"/>
  <c r="E196" i="20"/>
  <c r="H196" i="20"/>
  <c r="I196" i="20"/>
  <c r="K196" i="20"/>
  <c r="L196" i="20"/>
  <c r="G196" i="20"/>
  <c r="B196" i="20"/>
  <c r="P196" i="20"/>
  <c r="C196" i="20"/>
  <c r="Q196" i="20"/>
  <c r="D173" i="20"/>
  <c r="H173" i="20"/>
  <c r="I173" i="20"/>
  <c r="P173" i="20"/>
  <c r="G173" i="20"/>
  <c r="J173" i="20"/>
  <c r="K173" i="20"/>
  <c r="R173" i="20"/>
  <c r="F173" i="20"/>
  <c r="M173" i="20"/>
  <c r="B173" i="20"/>
  <c r="N173" i="20"/>
  <c r="C173" i="20"/>
  <c r="O173" i="20"/>
  <c r="E173" i="20"/>
  <c r="L173" i="20"/>
  <c r="Q173" i="20"/>
  <c r="B438" i="20"/>
  <c r="G438" i="20"/>
  <c r="J438" i="20"/>
  <c r="L438" i="20"/>
  <c r="O438" i="20"/>
  <c r="D438" i="20"/>
  <c r="K438" i="20"/>
  <c r="Q438" i="20"/>
  <c r="H438" i="20"/>
  <c r="C438" i="20"/>
  <c r="F438" i="20"/>
  <c r="R438" i="20"/>
  <c r="I438" i="20"/>
  <c r="E438" i="20"/>
  <c r="M438" i="20"/>
  <c r="P438" i="20"/>
  <c r="N438" i="20"/>
  <c r="Q405" i="20"/>
  <c r="R405" i="20"/>
  <c r="C405" i="20"/>
  <c r="E405" i="20"/>
  <c r="F405" i="20"/>
  <c r="G405" i="20"/>
  <c r="I405" i="20"/>
  <c r="K405" i="20"/>
  <c r="L405" i="20"/>
  <c r="M405" i="20"/>
  <c r="N405" i="20"/>
  <c r="P405" i="20"/>
  <c r="J405" i="20"/>
  <c r="H405" i="20"/>
  <c r="D405" i="20"/>
  <c r="B405" i="20"/>
  <c r="O405" i="20"/>
  <c r="D338" i="20"/>
  <c r="I338" i="20"/>
  <c r="M338" i="20"/>
  <c r="N338" i="20"/>
  <c r="B338" i="20"/>
  <c r="C338" i="20"/>
  <c r="L338" i="20"/>
  <c r="P338" i="20"/>
  <c r="O338" i="20"/>
  <c r="F338" i="20"/>
  <c r="E338" i="20"/>
  <c r="Q338" i="20"/>
  <c r="G338" i="20"/>
  <c r="J338" i="20"/>
  <c r="H338" i="20"/>
  <c r="R338" i="20"/>
  <c r="K338" i="20"/>
  <c r="N249" i="20"/>
  <c r="O249" i="20"/>
  <c r="R249" i="20"/>
  <c r="B249" i="20"/>
  <c r="F249" i="20"/>
  <c r="G249" i="20"/>
  <c r="I249" i="20"/>
  <c r="J249" i="20"/>
  <c r="L249" i="20"/>
  <c r="K249" i="20"/>
  <c r="M249" i="20"/>
  <c r="D249" i="20"/>
  <c r="P249" i="20"/>
  <c r="E249" i="20"/>
  <c r="Q249" i="20"/>
  <c r="C249" i="20"/>
  <c r="H249" i="20"/>
  <c r="C218" i="20"/>
  <c r="G218" i="20"/>
  <c r="I218" i="20"/>
  <c r="J218" i="20"/>
  <c r="N218" i="20"/>
  <c r="O218" i="20"/>
  <c r="P218" i="20"/>
  <c r="B218" i="20"/>
  <c r="D218" i="20"/>
  <c r="Q218" i="20"/>
  <c r="E218" i="20"/>
  <c r="H218" i="20"/>
  <c r="F218" i="20"/>
  <c r="R218" i="20"/>
  <c r="L218" i="20"/>
  <c r="K218" i="20"/>
  <c r="M218" i="20"/>
  <c r="D163" i="20"/>
  <c r="F163" i="20"/>
  <c r="I163" i="20"/>
  <c r="L163" i="20"/>
  <c r="G163" i="20"/>
  <c r="H163" i="20"/>
  <c r="J163" i="20"/>
  <c r="K163" i="20"/>
  <c r="M163" i="20"/>
  <c r="P163" i="20"/>
  <c r="N163" i="20"/>
  <c r="R163" i="20"/>
  <c r="C163" i="20"/>
  <c r="O163" i="20"/>
  <c r="E163" i="20"/>
  <c r="Q163" i="20"/>
  <c r="B163" i="20"/>
  <c r="B157" i="20"/>
  <c r="J157" i="20"/>
  <c r="K157" i="20"/>
  <c r="L157" i="20"/>
  <c r="M157" i="20"/>
  <c r="P157" i="20"/>
  <c r="D157" i="20"/>
  <c r="H157" i="20"/>
  <c r="F157" i="20"/>
  <c r="G157" i="20"/>
  <c r="I157" i="20"/>
  <c r="R157" i="20"/>
  <c r="C157" i="20"/>
  <c r="N157" i="20"/>
  <c r="Q157" i="20"/>
  <c r="E157" i="20"/>
  <c r="O157" i="20"/>
  <c r="H299" i="20"/>
  <c r="M299" i="20"/>
  <c r="O299" i="20"/>
  <c r="C299" i="20"/>
  <c r="E299" i="20"/>
  <c r="F299" i="20"/>
  <c r="G299" i="20"/>
  <c r="L299" i="20"/>
  <c r="B299" i="20"/>
  <c r="N299" i="20"/>
  <c r="D299" i="20"/>
  <c r="P299" i="20"/>
  <c r="R299" i="20"/>
  <c r="I299" i="20"/>
  <c r="Q299" i="20"/>
  <c r="K299" i="20"/>
  <c r="J299" i="20"/>
  <c r="I308" i="20"/>
  <c r="N308" i="20"/>
  <c r="P308" i="20"/>
  <c r="M308" i="20"/>
  <c r="O308" i="20"/>
  <c r="B308" i="20"/>
  <c r="E308" i="20"/>
  <c r="R308" i="20"/>
  <c r="Q308" i="20"/>
  <c r="C308" i="20"/>
  <c r="H308" i="20"/>
  <c r="J308" i="20"/>
  <c r="D308" i="20"/>
  <c r="F308" i="20"/>
  <c r="G308" i="20"/>
  <c r="K308" i="20"/>
  <c r="L308" i="20"/>
  <c r="I366" i="20"/>
  <c r="B366" i="20"/>
  <c r="C366" i="20"/>
  <c r="J366" i="20"/>
  <c r="O366" i="20"/>
  <c r="P366" i="20"/>
  <c r="Q366" i="20"/>
  <c r="N366" i="20"/>
  <c r="F366" i="20"/>
  <c r="G366" i="20"/>
  <c r="H366" i="20"/>
  <c r="L366" i="20"/>
  <c r="R366" i="20"/>
  <c r="E366" i="20"/>
  <c r="M366" i="20"/>
  <c r="D366" i="20"/>
  <c r="K366" i="20"/>
  <c r="B427" i="20"/>
  <c r="F427" i="20"/>
  <c r="H427" i="20"/>
  <c r="J427" i="20"/>
  <c r="K427" i="20"/>
  <c r="E427" i="20"/>
  <c r="R427" i="20"/>
  <c r="M427" i="20"/>
  <c r="N427" i="20"/>
  <c r="L427" i="20"/>
  <c r="D427" i="20"/>
  <c r="C427" i="20"/>
  <c r="P427" i="20"/>
  <c r="Q427" i="20"/>
  <c r="G427" i="20"/>
  <c r="I427" i="20"/>
  <c r="O427" i="20"/>
  <c r="D240" i="20"/>
  <c r="P240" i="20"/>
  <c r="Q240" i="20"/>
  <c r="E240" i="20"/>
  <c r="H240" i="20"/>
  <c r="I240" i="20"/>
  <c r="M240" i="20"/>
  <c r="L240" i="20"/>
  <c r="N240" i="20"/>
  <c r="B240" i="20"/>
  <c r="R240" i="20"/>
  <c r="F240" i="20"/>
  <c r="G240" i="20"/>
  <c r="J240" i="20"/>
  <c r="K240" i="20"/>
  <c r="C240" i="20"/>
  <c r="O240" i="20"/>
  <c r="M186" i="20"/>
  <c r="B186" i="20"/>
  <c r="L186" i="20"/>
  <c r="P186" i="20"/>
  <c r="Q186" i="20"/>
  <c r="D186" i="20"/>
  <c r="R186" i="20"/>
  <c r="E186" i="20"/>
  <c r="O186" i="20"/>
  <c r="N186" i="20"/>
  <c r="F186" i="20"/>
  <c r="G186" i="20"/>
  <c r="J186" i="20"/>
  <c r="K186" i="20"/>
  <c r="H186" i="20"/>
  <c r="I186" i="20"/>
  <c r="C186" i="20"/>
  <c r="H171" i="20"/>
  <c r="G171" i="20"/>
  <c r="M171" i="20"/>
  <c r="P171" i="20"/>
  <c r="D171" i="20"/>
  <c r="F171" i="20"/>
  <c r="J171" i="20"/>
  <c r="K171" i="20"/>
  <c r="L171" i="20"/>
  <c r="R171" i="20"/>
  <c r="I171" i="20"/>
  <c r="B171" i="20"/>
  <c r="C171" i="20"/>
  <c r="O171" i="20"/>
  <c r="E171" i="20"/>
  <c r="Q171" i="20"/>
  <c r="N171" i="20"/>
  <c r="D440" i="20"/>
  <c r="I440" i="20"/>
  <c r="K440" i="20"/>
  <c r="N440" i="20"/>
  <c r="O440" i="20"/>
  <c r="P440" i="20"/>
  <c r="Q440" i="20"/>
  <c r="B440" i="20"/>
  <c r="C440" i="20"/>
  <c r="E440" i="20"/>
  <c r="H440" i="20"/>
  <c r="G440" i="20"/>
  <c r="F440" i="20"/>
  <c r="R440" i="20"/>
  <c r="M440" i="20"/>
  <c r="L440" i="20"/>
  <c r="J440" i="20"/>
  <c r="P414" i="20"/>
  <c r="B414" i="20"/>
  <c r="R414" i="20"/>
  <c r="E414" i="20"/>
  <c r="F414" i="20"/>
  <c r="G414" i="20"/>
  <c r="H414" i="20"/>
  <c r="I414" i="20"/>
  <c r="J414" i="20"/>
  <c r="K414" i="20"/>
  <c r="L414" i="20"/>
  <c r="M414" i="20"/>
  <c r="N414" i="20"/>
  <c r="C414" i="20"/>
  <c r="O414" i="20"/>
  <c r="Q414" i="20"/>
  <c r="D414" i="20"/>
  <c r="E392" i="20"/>
  <c r="R392" i="20"/>
  <c r="C392" i="20"/>
  <c r="H392" i="20"/>
  <c r="I392" i="20"/>
  <c r="F392" i="20"/>
  <c r="J392" i="20"/>
  <c r="D392" i="20"/>
  <c r="N392" i="20"/>
  <c r="P392" i="20"/>
  <c r="O392" i="20"/>
  <c r="Q392" i="20"/>
  <c r="G392" i="20"/>
  <c r="M392" i="20"/>
  <c r="B392" i="20"/>
  <c r="K392" i="20"/>
  <c r="L392" i="20"/>
  <c r="O321" i="20"/>
  <c r="Q321" i="20"/>
  <c r="R321" i="20"/>
  <c r="B321" i="20"/>
  <c r="C321" i="20"/>
  <c r="E321" i="20"/>
  <c r="F321" i="20"/>
  <c r="G321" i="20"/>
  <c r="J321" i="20"/>
  <c r="L321" i="20"/>
  <c r="K321" i="20"/>
  <c r="D321" i="20"/>
  <c r="P321" i="20"/>
  <c r="H321" i="20"/>
  <c r="I321" i="20"/>
  <c r="M321" i="20"/>
  <c r="N321" i="20"/>
  <c r="B225" i="20"/>
  <c r="G225" i="20"/>
  <c r="H225" i="20"/>
  <c r="J225" i="20"/>
  <c r="L225" i="20"/>
  <c r="M225" i="20"/>
  <c r="N225" i="20"/>
  <c r="R225" i="20"/>
  <c r="O225" i="20"/>
  <c r="F225" i="20"/>
  <c r="K225" i="20"/>
  <c r="C225" i="20"/>
  <c r="D225" i="20"/>
  <c r="P225" i="20"/>
  <c r="E225" i="20"/>
  <c r="Q225" i="20"/>
  <c r="I225" i="20"/>
  <c r="J388" i="20"/>
  <c r="Q388" i="20"/>
  <c r="B388" i="20"/>
  <c r="C388" i="20"/>
  <c r="E388" i="20"/>
  <c r="F388" i="20"/>
  <c r="H388" i="20"/>
  <c r="I388" i="20"/>
  <c r="L388" i="20"/>
  <c r="N388" i="20"/>
  <c r="O388" i="20"/>
  <c r="R388" i="20"/>
  <c r="P388" i="20"/>
  <c r="K388" i="20"/>
  <c r="D388" i="20"/>
  <c r="M388" i="20"/>
  <c r="G388" i="20"/>
  <c r="G140" i="20"/>
  <c r="C140" i="20"/>
  <c r="B140" i="20"/>
  <c r="F140" i="20"/>
  <c r="E140" i="20"/>
  <c r="D140" i="20"/>
  <c r="H140" i="20"/>
  <c r="M140" i="20" s="1"/>
  <c r="I140" i="20"/>
  <c r="R140" i="20" s="1"/>
  <c r="J140" i="20"/>
  <c r="Q140" i="20" s="1"/>
  <c r="L140" i="20"/>
  <c r="K140" i="20"/>
  <c r="D185" i="20"/>
  <c r="R185" i="20"/>
  <c r="K185" i="20"/>
  <c r="B185" i="20"/>
  <c r="L185" i="20"/>
  <c r="M185" i="20"/>
  <c r="N185" i="20"/>
  <c r="C185" i="20"/>
  <c r="O185" i="20"/>
  <c r="E185" i="20"/>
  <c r="Q185" i="20"/>
  <c r="P185" i="20"/>
  <c r="F185" i="20"/>
  <c r="G185" i="20"/>
  <c r="H185" i="20"/>
  <c r="I185" i="20"/>
  <c r="J185" i="20"/>
  <c r="F307" i="20"/>
  <c r="C307" i="20"/>
  <c r="E307" i="20"/>
  <c r="J307" i="20"/>
  <c r="Q307" i="20"/>
  <c r="R307" i="20"/>
  <c r="L307" i="20"/>
  <c r="H307" i="20"/>
  <c r="K307" i="20"/>
  <c r="O307" i="20"/>
  <c r="B307" i="20"/>
  <c r="N307" i="20"/>
  <c r="M307" i="20"/>
  <c r="D307" i="20"/>
  <c r="P307" i="20"/>
  <c r="G307" i="20"/>
  <c r="I307" i="20"/>
  <c r="G439" i="20"/>
  <c r="H439" i="20"/>
  <c r="J439" i="20"/>
  <c r="K439" i="20"/>
  <c r="M439" i="20"/>
  <c r="O439" i="20"/>
  <c r="P439" i="20"/>
  <c r="Q439" i="20"/>
  <c r="C439" i="20"/>
  <c r="R439" i="20"/>
  <c r="D439" i="20"/>
  <c r="E439" i="20"/>
  <c r="F439" i="20"/>
  <c r="L439" i="20"/>
  <c r="I439" i="20"/>
  <c r="B439" i="20"/>
  <c r="N439" i="20"/>
  <c r="O313" i="20"/>
  <c r="R313" i="20"/>
  <c r="C313" i="20"/>
  <c r="E313" i="20"/>
  <c r="F313" i="20"/>
  <c r="G313" i="20"/>
  <c r="H313" i="20"/>
  <c r="I313" i="20"/>
  <c r="M313" i="20"/>
  <c r="K313" i="20"/>
  <c r="B313" i="20"/>
  <c r="N313" i="20"/>
  <c r="D313" i="20"/>
  <c r="Q313" i="20"/>
  <c r="L313" i="20"/>
  <c r="J313" i="20"/>
  <c r="P313" i="20"/>
  <c r="I264" i="20"/>
  <c r="J264" i="20"/>
  <c r="M264" i="20"/>
  <c r="P264" i="20"/>
  <c r="B264" i="20"/>
  <c r="Q264" i="20"/>
  <c r="D264" i="20"/>
  <c r="R264" i="20"/>
  <c r="F264" i="20"/>
  <c r="E264" i="20"/>
  <c r="G264" i="20"/>
  <c r="H264" i="20"/>
  <c r="K264" i="20"/>
  <c r="N264" i="20"/>
  <c r="O264" i="20"/>
  <c r="L264" i="20"/>
  <c r="C264" i="20"/>
  <c r="N278" i="20"/>
  <c r="B278" i="20"/>
  <c r="E278" i="20"/>
  <c r="F278" i="20"/>
  <c r="P278" i="20"/>
  <c r="R278" i="20"/>
  <c r="D278" i="20"/>
  <c r="Q278" i="20"/>
  <c r="G278" i="20"/>
  <c r="H278" i="20"/>
  <c r="I278" i="20"/>
  <c r="C278" i="20"/>
  <c r="O278" i="20"/>
  <c r="J278" i="20"/>
  <c r="K278" i="20"/>
  <c r="L278" i="20"/>
  <c r="M278" i="20"/>
  <c r="B155" i="20"/>
  <c r="D155" i="20"/>
  <c r="F155" i="20"/>
  <c r="G155" i="20"/>
  <c r="H155" i="20"/>
  <c r="J155" i="20"/>
  <c r="K155" i="20"/>
  <c r="L155" i="20"/>
  <c r="M155" i="20"/>
  <c r="P155" i="20"/>
  <c r="I155" i="20"/>
  <c r="R155" i="20"/>
  <c r="Q155" i="20"/>
  <c r="E155" i="20"/>
  <c r="O155" i="20"/>
  <c r="N155" i="20"/>
  <c r="C155" i="20"/>
  <c r="H398" i="20"/>
  <c r="M398" i="20"/>
  <c r="B398" i="20"/>
  <c r="F398" i="20"/>
  <c r="G398" i="20"/>
  <c r="I398" i="20"/>
  <c r="K398" i="20"/>
  <c r="L398" i="20"/>
  <c r="N398" i="20"/>
  <c r="O398" i="20"/>
  <c r="R398" i="20"/>
  <c r="P398" i="20"/>
  <c r="J398" i="20"/>
  <c r="D398" i="20"/>
  <c r="C398" i="20"/>
  <c r="Q398" i="20"/>
  <c r="E398" i="20"/>
  <c r="B372" i="20"/>
  <c r="N372" i="20"/>
  <c r="O372" i="20"/>
  <c r="F372" i="20"/>
  <c r="J372" i="20"/>
  <c r="R372" i="20"/>
  <c r="C372" i="20"/>
  <c r="D372" i="20"/>
  <c r="H372" i="20"/>
  <c r="I372" i="20"/>
  <c r="L372" i="20"/>
  <c r="P372" i="20"/>
  <c r="M372" i="20"/>
  <c r="G372" i="20"/>
  <c r="K372" i="20"/>
  <c r="Q372" i="20"/>
  <c r="E372" i="20"/>
  <c r="L309" i="20"/>
  <c r="M309" i="20"/>
  <c r="O309" i="20"/>
  <c r="Q309" i="20"/>
  <c r="R309" i="20"/>
  <c r="G309" i="20"/>
  <c r="P309" i="20"/>
  <c r="E309" i="20"/>
  <c r="F309" i="20"/>
  <c r="I309" i="20"/>
  <c r="K309" i="20"/>
  <c r="B309" i="20"/>
  <c r="N309" i="20"/>
  <c r="D309" i="20"/>
  <c r="C309" i="20"/>
  <c r="H309" i="20"/>
  <c r="J309" i="20"/>
  <c r="O260" i="20"/>
  <c r="P260" i="20"/>
  <c r="B260" i="20"/>
  <c r="R260" i="20"/>
  <c r="D260" i="20"/>
  <c r="E260" i="20"/>
  <c r="F260" i="20"/>
  <c r="I260" i="20"/>
  <c r="C260" i="20"/>
  <c r="G260" i="20"/>
  <c r="K260" i="20"/>
  <c r="N260" i="20"/>
  <c r="Q260" i="20"/>
  <c r="H260" i="20"/>
  <c r="L260" i="20"/>
  <c r="M260" i="20"/>
  <c r="J260" i="20"/>
  <c r="L223" i="20"/>
  <c r="F223" i="20"/>
  <c r="G223" i="20"/>
  <c r="H223" i="20"/>
  <c r="I223" i="20"/>
  <c r="J223" i="20"/>
  <c r="K223" i="20"/>
  <c r="M223" i="20"/>
  <c r="N223" i="20"/>
  <c r="B223" i="20"/>
  <c r="O223" i="20"/>
  <c r="C223" i="20"/>
  <c r="P223" i="20"/>
  <c r="D223" i="20"/>
  <c r="Q223" i="20"/>
  <c r="E223" i="20"/>
  <c r="R223" i="20"/>
  <c r="B352" i="20"/>
  <c r="F352" i="20"/>
  <c r="I352" i="20"/>
  <c r="J352" i="20"/>
  <c r="O352" i="20"/>
  <c r="R352" i="20"/>
  <c r="L352" i="20"/>
  <c r="M352" i="20"/>
  <c r="N352" i="20"/>
  <c r="E352" i="20"/>
  <c r="Q352" i="20"/>
  <c r="C352" i="20"/>
  <c r="P352" i="20"/>
  <c r="H352" i="20"/>
  <c r="D352" i="20"/>
  <c r="G352" i="20"/>
  <c r="K352" i="20"/>
  <c r="F204" i="20"/>
  <c r="M204" i="20"/>
  <c r="C204" i="20"/>
  <c r="Q204" i="20"/>
  <c r="P204" i="20"/>
  <c r="B204" i="20"/>
  <c r="D204" i="20"/>
  <c r="E204" i="20"/>
  <c r="H204" i="20"/>
  <c r="I204" i="20"/>
  <c r="J204" i="20"/>
  <c r="K204" i="20"/>
  <c r="L204" i="20"/>
  <c r="N204" i="20"/>
  <c r="O204" i="20"/>
  <c r="G204" i="20"/>
  <c r="R204" i="20"/>
  <c r="C222" i="20"/>
  <c r="B222" i="20"/>
  <c r="D222" i="20"/>
  <c r="H222" i="20"/>
  <c r="I222" i="20"/>
  <c r="M222" i="20"/>
  <c r="F222" i="20"/>
  <c r="J222" i="20"/>
  <c r="R222" i="20"/>
  <c r="E222" i="20"/>
  <c r="P222" i="20"/>
  <c r="G222" i="20"/>
  <c r="K222" i="20"/>
  <c r="Q222" i="20"/>
  <c r="O222" i="20"/>
  <c r="L222" i="20"/>
  <c r="N222" i="20"/>
  <c r="O394" i="20"/>
  <c r="L394" i="20"/>
  <c r="R394" i="20"/>
  <c r="M394" i="20"/>
  <c r="N394" i="20"/>
  <c r="B394" i="20"/>
  <c r="E394" i="20"/>
  <c r="F394" i="20"/>
  <c r="H394" i="20"/>
  <c r="D394" i="20"/>
  <c r="I394" i="20"/>
  <c r="P394" i="20"/>
  <c r="K394" i="20"/>
  <c r="J394" i="20"/>
  <c r="C394" i="20"/>
  <c r="Q394" i="20"/>
  <c r="G394" i="20"/>
  <c r="B375" i="20"/>
  <c r="D375" i="20"/>
  <c r="H375" i="20"/>
  <c r="M375" i="20"/>
  <c r="N375" i="20"/>
  <c r="P375" i="20"/>
  <c r="Q375" i="20"/>
  <c r="C375" i="20"/>
  <c r="F375" i="20"/>
  <c r="G375" i="20"/>
  <c r="I375" i="20"/>
  <c r="O375" i="20"/>
  <c r="J375" i="20"/>
  <c r="L375" i="20"/>
  <c r="E375" i="20"/>
  <c r="R375" i="20"/>
  <c r="K375" i="20"/>
  <c r="D417" i="20"/>
  <c r="Q417" i="20"/>
  <c r="R417" i="20"/>
  <c r="K417" i="20"/>
  <c r="N417" i="20"/>
  <c r="E417" i="20"/>
  <c r="I417" i="20"/>
  <c r="B417" i="20"/>
  <c r="O417" i="20"/>
  <c r="F417" i="20"/>
  <c r="H417" i="20"/>
  <c r="J417" i="20"/>
  <c r="M417" i="20"/>
  <c r="P417" i="20"/>
  <c r="G417" i="20"/>
  <c r="L417" i="20"/>
  <c r="C417" i="20"/>
  <c r="B251" i="20"/>
  <c r="M251" i="20"/>
  <c r="F251" i="20"/>
  <c r="G251" i="20"/>
  <c r="H251" i="20"/>
  <c r="J251" i="20"/>
  <c r="I251" i="20"/>
  <c r="L251" i="20"/>
  <c r="E251" i="20"/>
  <c r="Q251" i="20"/>
  <c r="K251" i="20"/>
  <c r="O251" i="20"/>
  <c r="N251" i="20"/>
  <c r="C251" i="20"/>
  <c r="R251" i="20"/>
  <c r="D251" i="20"/>
  <c r="P251" i="20"/>
  <c r="C262" i="20"/>
  <c r="F262" i="20"/>
  <c r="P262" i="20"/>
  <c r="D262" i="20"/>
  <c r="E262" i="20"/>
  <c r="Q262" i="20"/>
  <c r="J262" i="20"/>
  <c r="G262" i="20"/>
  <c r="L262" i="20"/>
  <c r="B262" i="20"/>
  <c r="O262" i="20"/>
  <c r="M262" i="20"/>
  <c r="I262" i="20"/>
  <c r="N262" i="20"/>
  <c r="K262" i="20"/>
  <c r="H262" i="20"/>
  <c r="R262" i="20"/>
  <c r="D189" i="20"/>
  <c r="E189" i="20"/>
  <c r="F189" i="20"/>
  <c r="I189" i="20"/>
  <c r="G189" i="20"/>
  <c r="R189" i="20"/>
  <c r="Q189" i="20"/>
  <c r="H189" i="20"/>
  <c r="J189" i="20"/>
  <c r="P189" i="20"/>
  <c r="K189" i="20"/>
  <c r="L189" i="20"/>
  <c r="M189" i="20"/>
  <c r="B189" i="20"/>
  <c r="N189" i="20"/>
  <c r="C189" i="20"/>
  <c r="O189" i="20"/>
  <c r="M258" i="20"/>
  <c r="N258" i="20"/>
  <c r="P258" i="20"/>
  <c r="C258" i="20"/>
  <c r="D258" i="20"/>
  <c r="F258" i="20"/>
  <c r="I258" i="20"/>
  <c r="B258" i="20"/>
  <c r="G258" i="20"/>
  <c r="K258" i="20"/>
  <c r="L258" i="20"/>
  <c r="O258" i="20"/>
  <c r="Q258" i="20"/>
  <c r="J258" i="20"/>
  <c r="E258" i="20"/>
  <c r="R258" i="20"/>
  <c r="H258" i="20"/>
  <c r="E418" i="20"/>
  <c r="Q418" i="20"/>
  <c r="B418" i="20"/>
  <c r="D418" i="20"/>
  <c r="F418" i="20"/>
  <c r="G418" i="20"/>
  <c r="I418" i="20"/>
  <c r="L418" i="20"/>
  <c r="M418" i="20"/>
  <c r="N418" i="20"/>
  <c r="P418" i="20"/>
  <c r="R418" i="20"/>
  <c r="J418" i="20"/>
  <c r="K418" i="20"/>
  <c r="C418" i="20"/>
  <c r="O418" i="20"/>
  <c r="H418" i="20"/>
  <c r="F348" i="20"/>
  <c r="G348" i="20"/>
  <c r="H348" i="20"/>
  <c r="I348" i="20"/>
  <c r="K348" i="20"/>
  <c r="L348" i="20"/>
  <c r="M348" i="20"/>
  <c r="N348" i="20"/>
  <c r="O348" i="20"/>
  <c r="C348" i="20"/>
  <c r="R348" i="20"/>
  <c r="B348" i="20"/>
  <c r="D348" i="20"/>
  <c r="P348" i="20"/>
  <c r="E348" i="20"/>
  <c r="Q348" i="20"/>
  <c r="J348" i="20"/>
  <c r="D334" i="20"/>
  <c r="F334" i="20"/>
  <c r="G334" i="20"/>
  <c r="H334" i="20"/>
  <c r="I334" i="20"/>
  <c r="J334" i="20"/>
  <c r="K334" i="20"/>
  <c r="L334" i="20"/>
  <c r="N334" i="20"/>
  <c r="O334" i="20"/>
  <c r="P334" i="20"/>
  <c r="B334" i="20"/>
  <c r="C334" i="20"/>
  <c r="R334" i="20"/>
  <c r="E334" i="20"/>
  <c r="Q334" i="20"/>
  <c r="M334" i="20"/>
  <c r="C301" i="20"/>
  <c r="E301" i="20"/>
  <c r="F301" i="20"/>
  <c r="G301" i="20"/>
  <c r="H301" i="20"/>
  <c r="M301" i="20"/>
  <c r="O301" i="20"/>
  <c r="L301" i="20"/>
  <c r="B301" i="20"/>
  <c r="N301" i="20"/>
  <c r="R301" i="20"/>
  <c r="D301" i="20"/>
  <c r="P301" i="20"/>
  <c r="Q301" i="20"/>
  <c r="J301" i="20"/>
  <c r="K301" i="20"/>
  <c r="I301" i="20"/>
  <c r="B255" i="20"/>
  <c r="C255" i="20"/>
  <c r="E255" i="20"/>
  <c r="F255" i="20"/>
  <c r="Q255" i="20"/>
  <c r="O255" i="20"/>
  <c r="D255" i="20"/>
  <c r="N255" i="20"/>
  <c r="I255" i="20"/>
  <c r="R255" i="20"/>
  <c r="L255" i="20"/>
  <c r="K255" i="20"/>
  <c r="P255" i="20"/>
  <c r="G255" i="20"/>
  <c r="J255" i="20"/>
  <c r="M255" i="20"/>
  <c r="H255" i="20"/>
  <c r="B234" i="20"/>
  <c r="H234" i="20"/>
  <c r="I234" i="20"/>
  <c r="L234" i="20"/>
  <c r="Q234" i="20"/>
  <c r="F234" i="20"/>
  <c r="G234" i="20"/>
  <c r="M234" i="20"/>
  <c r="R234" i="20"/>
  <c r="K234" i="20"/>
  <c r="C234" i="20"/>
  <c r="E234" i="20"/>
  <c r="O234" i="20"/>
  <c r="D234" i="20"/>
  <c r="N234" i="20"/>
  <c r="J234" i="20"/>
  <c r="P234" i="20"/>
  <c r="E408" i="20"/>
  <c r="I408" i="20"/>
  <c r="J408" i="20"/>
  <c r="K408" i="20"/>
  <c r="L408" i="20"/>
  <c r="M408" i="20"/>
  <c r="N408" i="20"/>
  <c r="P408" i="20"/>
  <c r="Q408" i="20"/>
  <c r="B408" i="20"/>
  <c r="D408" i="20"/>
  <c r="F408" i="20"/>
  <c r="H408" i="20"/>
  <c r="R408" i="20"/>
  <c r="O408" i="20"/>
  <c r="C408" i="20"/>
  <c r="G408" i="20"/>
  <c r="F345" i="20"/>
  <c r="G345" i="20"/>
  <c r="H345" i="20"/>
  <c r="I345" i="20"/>
  <c r="J345" i="20"/>
  <c r="N345" i="20"/>
  <c r="O345" i="20"/>
  <c r="Q345" i="20"/>
  <c r="R345" i="20"/>
  <c r="D345" i="20"/>
  <c r="B345" i="20"/>
  <c r="E345" i="20"/>
  <c r="K345" i="20"/>
  <c r="L345" i="20"/>
  <c r="M345" i="20"/>
  <c r="C345" i="20"/>
  <c r="P345" i="20"/>
  <c r="H361" i="20"/>
  <c r="I361" i="20"/>
  <c r="Q361" i="20"/>
  <c r="R361" i="20"/>
  <c r="B361" i="20"/>
  <c r="G361" i="20"/>
  <c r="L361" i="20"/>
  <c r="O361" i="20"/>
  <c r="J361" i="20"/>
  <c r="K361" i="20"/>
  <c r="C361" i="20"/>
  <c r="N361" i="20"/>
  <c r="P361" i="20"/>
  <c r="M361" i="20"/>
  <c r="D361" i="20"/>
  <c r="E361" i="20"/>
  <c r="F361" i="20"/>
  <c r="D326" i="20"/>
  <c r="G326" i="20"/>
  <c r="H326" i="20"/>
  <c r="I326" i="20"/>
  <c r="J326" i="20"/>
  <c r="K326" i="20"/>
  <c r="L326" i="20"/>
  <c r="N326" i="20"/>
  <c r="O326" i="20"/>
  <c r="P326" i="20"/>
  <c r="B326" i="20"/>
  <c r="C326" i="20"/>
  <c r="F326" i="20"/>
  <c r="R326" i="20"/>
  <c r="E326" i="20"/>
  <c r="M326" i="20"/>
  <c r="Q326" i="20"/>
  <c r="C354" i="20"/>
  <c r="Q354" i="20"/>
  <c r="B354" i="20"/>
  <c r="P354" i="20"/>
  <c r="N354" i="20"/>
  <c r="K354" i="20"/>
  <c r="O354" i="20"/>
  <c r="L354" i="20"/>
  <c r="R354" i="20"/>
  <c r="F354" i="20"/>
  <c r="H354" i="20"/>
  <c r="I354" i="20"/>
  <c r="J354" i="20"/>
  <c r="M354" i="20"/>
  <c r="D354" i="20"/>
  <c r="E354" i="20"/>
  <c r="G354" i="20"/>
  <c r="R191" i="20"/>
  <c r="E191" i="20"/>
  <c r="H191" i="20"/>
  <c r="I191" i="20"/>
  <c r="J191" i="20"/>
  <c r="K191" i="20"/>
  <c r="L191" i="20"/>
  <c r="Q191" i="20"/>
  <c r="F191" i="20"/>
  <c r="G191" i="20"/>
  <c r="B191" i="20"/>
  <c r="N191" i="20"/>
  <c r="C191" i="20"/>
  <c r="O191" i="20"/>
  <c r="M191" i="20"/>
  <c r="P191" i="20"/>
  <c r="D191" i="20"/>
  <c r="L211" i="20"/>
  <c r="E211" i="20"/>
  <c r="D211" i="20"/>
  <c r="F211" i="20"/>
  <c r="I211" i="20"/>
  <c r="J211" i="20"/>
  <c r="K211" i="20"/>
  <c r="N211" i="20"/>
  <c r="O211" i="20"/>
  <c r="P211" i="20"/>
  <c r="Q211" i="20"/>
  <c r="R211" i="20"/>
  <c r="B211" i="20"/>
  <c r="C211" i="20"/>
  <c r="G211" i="20"/>
  <c r="M211" i="20"/>
  <c r="H211" i="20"/>
  <c r="P437" i="20"/>
  <c r="F437" i="20"/>
  <c r="J437" i="20"/>
  <c r="H437" i="20"/>
  <c r="O437" i="20"/>
  <c r="G437" i="20"/>
  <c r="Q437" i="20"/>
  <c r="B437" i="20"/>
  <c r="N437" i="20"/>
  <c r="L437" i="20"/>
  <c r="D437" i="20"/>
  <c r="K437" i="20"/>
  <c r="I437" i="20"/>
  <c r="R437" i="20"/>
  <c r="M437" i="20"/>
  <c r="C437" i="20"/>
  <c r="E437" i="20"/>
  <c r="F359" i="20"/>
  <c r="E359" i="20"/>
  <c r="L359" i="20"/>
  <c r="P359" i="20"/>
  <c r="R359" i="20"/>
  <c r="C359" i="20"/>
  <c r="N359" i="20"/>
  <c r="O359" i="20"/>
  <c r="G359" i="20"/>
  <c r="I359" i="20"/>
  <c r="J359" i="20"/>
  <c r="K359" i="20"/>
  <c r="H359" i="20"/>
  <c r="M359" i="20"/>
  <c r="B359" i="20"/>
  <c r="Q359" i="20"/>
  <c r="D359" i="20"/>
  <c r="I283" i="20"/>
  <c r="N283" i="20"/>
  <c r="P283" i="20"/>
  <c r="Q283" i="20"/>
  <c r="R283" i="20"/>
  <c r="C283" i="20"/>
  <c r="D283" i="20"/>
  <c r="E283" i="20"/>
  <c r="F283" i="20"/>
  <c r="G283" i="20"/>
  <c r="H283" i="20"/>
  <c r="O283" i="20"/>
  <c r="B283" i="20"/>
  <c r="L283" i="20"/>
  <c r="K283" i="20"/>
  <c r="J283" i="20"/>
  <c r="M283" i="20"/>
  <c r="E164" i="20"/>
  <c r="C164" i="20"/>
  <c r="D164" i="20"/>
  <c r="L164" i="20"/>
  <c r="P164" i="20"/>
  <c r="N164" i="20"/>
  <c r="Q164" i="20"/>
  <c r="R164" i="20"/>
  <c r="B164" i="20"/>
  <c r="G164" i="20"/>
  <c r="J164" i="20"/>
  <c r="M164" i="20"/>
  <c r="H164" i="20"/>
  <c r="I164" i="20"/>
  <c r="K164" i="20"/>
  <c r="F164" i="20"/>
  <c r="O164" i="20"/>
  <c r="B261" i="20"/>
  <c r="F261" i="20"/>
  <c r="H261" i="20"/>
  <c r="I261" i="20"/>
  <c r="R261" i="20"/>
  <c r="C261" i="20"/>
  <c r="Q261" i="20"/>
  <c r="E261" i="20"/>
  <c r="J261" i="20"/>
  <c r="N261" i="20"/>
  <c r="D261" i="20"/>
  <c r="L261" i="20"/>
  <c r="P261" i="20"/>
  <c r="O261" i="20"/>
  <c r="M261" i="20"/>
  <c r="K261" i="20"/>
  <c r="G261" i="20"/>
  <c r="D169" i="20"/>
  <c r="P169" i="20"/>
  <c r="R169" i="20"/>
  <c r="G169" i="20"/>
  <c r="H169" i="20"/>
  <c r="I169" i="20"/>
  <c r="J169" i="20"/>
  <c r="K169" i="20"/>
  <c r="B169" i="20"/>
  <c r="L169" i="20"/>
  <c r="N169" i="20"/>
  <c r="M169" i="20"/>
  <c r="C169" i="20"/>
  <c r="O169" i="20"/>
  <c r="E169" i="20"/>
  <c r="Q169" i="20"/>
  <c r="F169" i="20"/>
  <c r="I273" i="20"/>
  <c r="M273" i="20"/>
  <c r="Q273" i="20"/>
  <c r="C273" i="20"/>
  <c r="D273" i="20"/>
  <c r="N273" i="20"/>
  <c r="P273" i="20"/>
  <c r="E273" i="20"/>
  <c r="F273" i="20"/>
  <c r="K273" i="20"/>
  <c r="H273" i="20"/>
  <c r="R273" i="20"/>
  <c r="L273" i="20"/>
  <c r="G273" i="20"/>
  <c r="O273" i="20"/>
  <c r="B273" i="20"/>
  <c r="J273" i="20"/>
  <c r="H379" i="20"/>
  <c r="N379" i="20"/>
  <c r="B379" i="20"/>
  <c r="C379" i="20"/>
  <c r="D379" i="20"/>
  <c r="F379" i="20"/>
  <c r="G379" i="20"/>
  <c r="I379" i="20"/>
  <c r="K379" i="20"/>
  <c r="M379" i="20"/>
  <c r="O379" i="20"/>
  <c r="P379" i="20"/>
  <c r="Q379" i="20"/>
  <c r="L379" i="20"/>
  <c r="J379" i="20"/>
  <c r="E379" i="20"/>
  <c r="R379" i="20"/>
  <c r="I411" i="20"/>
  <c r="B411" i="20"/>
  <c r="D411" i="20"/>
  <c r="G411" i="20"/>
  <c r="H411" i="20"/>
  <c r="K411" i="20"/>
  <c r="L411" i="20"/>
  <c r="N411" i="20"/>
  <c r="O411" i="20"/>
  <c r="Q411" i="20"/>
  <c r="P411" i="20"/>
  <c r="M411" i="20"/>
  <c r="F411" i="20"/>
  <c r="J411" i="20"/>
  <c r="R411" i="20"/>
  <c r="E411" i="20"/>
  <c r="C411" i="20"/>
  <c r="K285" i="20"/>
  <c r="C285" i="20"/>
  <c r="E285" i="20"/>
  <c r="F285" i="20"/>
  <c r="G285" i="20"/>
  <c r="H285" i="20"/>
  <c r="I285" i="20"/>
  <c r="J285" i="20"/>
  <c r="M285" i="20"/>
  <c r="O285" i="20"/>
  <c r="Q285" i="20"/>
  <c r="R285" i="20"/>
  <c r="D285" i="20"/>
  <c r="L285" i="20"/>
  <c r="N285" i="20"/>
  <c r="B285" i="20"/>
  <c r="P285" i="20"/>
  <c r="D238" i="20"/>
  <c r="E238" i="20"/>
  <c r="G238" i="20"/>
  <c r="H238" i="20"/>
  <c r="M238" i="20"/>
  <c r="B238" i="20"/>
  <c r="F238" i="20"/>
  <c r="I238" i="20"/>
  <c r="L238" i="20"/>
  <c r="Q238" i="20"/>
  <c r="J238" i="20"/>
  <c r="K238" i="20"/>
  <c r="C238" i="20"/>
  <c r="R238" i="20"/>
  <c r="N238" i="20"/>
  <c r="O238" i="20"/>
  <c r="P238" i="20"/>
  <c r="L219" i="20"/>
  <c r="F219" i="20"/>
  <c r="I219" i="20"/>
  <c r="J219" i="20"/>
  <c r="K219" i="20"/>
  <c r="N219" i="20"/>
  <c r="O219" i="20"/>
  <c r="P219" i="20"/>
  <c r="Q219" i="20"/>
  <c r="B219" i="20"/>
  <c r="R219" i="20"/>
  <c r="C219" i="20"/>
  <c r="D219" i="20"/>
  <c r="E219" i="20"/>
  <c r="M219" i="20"/>
  <c r="H219" i="20"/>
  <c r="G219" i="20"/>
  <c r="P177" i="20"/>
  <c r="D177" i="20"/>
  <c r="I177" i="20"/>
  <c r="J177" i="20"/>
  <c r="K177" i="20"/>
  <c r="B177" i="20"/>
  <c r="L177" i="20"/>
  <c r="R177" i="20"/>
  <c r="N177" i="20"/>
  <c r="M177" i="20"/>
  <c r="C177" i="20"/>
  <c r="O177" i="20"/>
  <c r="E177" i="20"/>
  <c r="Q177" i="20"/>
  <c r="F177" i="20"/>
  <c r="G177" i="20"/>
  <c r="H177" i="20"/>
  <c r="B161" i="20"/>
  <c r="G161" i="20"/>
  <c r="H161" i="20"/>
  <c r="K161" i="20"/>
  <c r="M161" i="20"/>
  <c r="P161" i="20"/>
  <c r="D161" i="20"/>
  <c r="F161" i="20"/>
  <c r="I161" i="20"/>
  <c r="J161" i="20"/>
  <c r="L161" i="20"/>
  <c r="R161" i="20"/>
  <c r="Q161" i="20"/>
  <c r="E161" i="20"/>
  <c r="O161" i="20"/>
  <c r="C161" i="20"/>
  <c r="N161" i="20"/>
  <c r="C355" i="20"/>
  <c r="I355" i="20"/>
  <c r="H355" i="20"/>
  <c r="B355" i="20"/>
  <c r="M355" i="20"/>
  <c r="P355" i="20"/>
  <c r="D355" i="20"/>
  <c r="Q355" i="20"/>
  <c r="E355" i="20"/>
  <c r="G355" i="20"/>
  <c r="J355" i="20"/>
  <c r="L355" i="20"/>
  <c r="K355" i="20"/>
  <c r="R355" i="20"/>
  <c r="N355" i="20"/>
  <c r="O355" i="20"/>
  <c r="F355" i="20"/>
  <c r="K343" i="20"/>
  <c r="J343" i="20"/>
  <c r="L343" i="20"/>
  <c r="N343" i="20"/>
  <c r="O343" i="20"/>
  <c r="P343" i="20"/>
  <c r="Q343" i="20"/>
  <c r="B343" i="20"/>
  <c r="R343" i="20"/>
  <c r="C343" i="20"/>
  <c r="D343" i="20"/>
  <c r="F343" i="20"/>
  <c r="E343" i="20"/>
  <c r="G343" i="20"/>
  <c r="I343" i="20"/>
  <c r="H343" i="20"/>
  <c r="M343" i="20"/>
  <c r="B434" i="20"/>
  <c r="C434" i="20"/>
  <c r="G434" i="20"/>
  <c r="J434" i="20"/>
  <c r="K434" i="20"/>
  <c r="L434" i="20"/>
  <c r="O434" i="20"/>
  <c r="Q434" i="20"/>
  <c r="I434" i="20"/>
  <c r="P434" i="20"/>
  <c r="D434" i="20"/>
  <c r="F434" i="20"/>
  <c r="R434" i="20"/>
  <c r="M434" i="20"/>
  <c r="N434" i="20"/>
  <c r="E434" i="20"/>
  <c r="H434" i="20"/>
  <c r="D181" i="20"/>
  <c r="I181" i="20"/>
  <c r="J181" i="20"/>
  <c r="R181" i="20"/>
  <c r="G181" i="20"/>
  <c r="H181" i="20"/>
  <c r="K181" i="20"/>
  <c r="P181" i="20"/>
  <c r="Q181" i="20"/>
  <c r="L181" i="20"/>
  <c r="F181" i="20"/>
  <c r="B181" i="20"/>
  <c r="N181" i="20"/>
  <c r="C181" i="20"/>
  <c r="O181" i="20"/>
  <c r="M181" i="20"/>
  <c r="E181" i="20"/>
  <c r="B259" i="20"/>
  <c r="L259" i="20"/>
  <c r="R259" i="20"/>
  <c r="F259" i="20"/>
  <c r="G259" i="20"/>
  <c r="I259" i="20"/>
  <c r="K259" i="20"/>
  <c r="H259" i="20"/>
  <c r="J259" i="20"/>
  <c r="M259" i="20"/>
  <c r="C259" i="20"/>
  <c r="Q259" i="20"/>
  <c r="N259" i="20"/>
  <c r="E259" i="20"/>
  <c r="D259" i="20"/>
  <c r="O259" i="20"/>
  <c r="P259" i="20"/>
  <c r="D195" i="20"/>
  <c r="H195" i="20"/>
  <c r="J195" i="20"/>
  <c r="K195" i="20"/>
  <c r="L195" i="20"/>
  <c r="I195" i="20"/>
  <c r="B195" i="20"/>
  <c r="N195" i="20"/>
  <c r="R195" i="20"/>
  <c r="C195" i="20"/>
  <c r="O195" i="20"/>
  <c r="M195" i="20"/>
  <c r="P195" i="20"/>
  <c r="F195" i="20"/>
  <c r="G195" i="20"/>
  <c r="E195" i="20"/>
  <c r="Q195" i="20"/>
  <c r="B270" i="20"/>
  <c r="E270" i="20"/>
  <c r="F270" i="20"/>
  <c r="N270" i="20"/>
  <c r="R270" i="20"/>
  <c r="P270" i="20"/>
  <c r="O270" i="20"/>
  <c r="G270" i="20"/>
  <c r="K270" i="20"/>
  <c r="H270" i="20"/>
  <c r="L270" i="20"/>
  <c r="C270" i="20"/>
  <c r="J270" i="20"/>
  <c r="M270" i="20"/>
  <c r="I270" i="20"/>
  <c r="Q270" i="20"/>
  <c r="D270" i="20"/>
  <c r="E390" i="20"/>
  <c r="I390" i="20"/>
  <c r="B390" i="20"/>
  <c r="F390" i="20"/>
  <c r="K390" i="20"/>
  <c r="M390" i="20"/>
  <c r="N390" i="20"/>
  <c r="R390" i="20"/>
  <c r="D390" i="20"/>
  <c r="Q390" i="20"/>
  <c r="C390" i="20"/>
  <c r="J390" i="20"/>
  <c r="L390" i="20"/>
  <c r="H390" i="20"/>
  <c r="P390" i="20"/>
  <c r="O390" i="20"/>
  <c r="G390" i="20"/>
  <c r="F198" i="20"/>
  <c r="M198" i="20"/>
  <c r="C198" i="20"/>
  <c r="Q198" i="20"/>
  <c r="K198" i="20"/>
  <c r="L198" i="20"/>
  <c r="N198" i="20"/>
  <c r="O198" i="20"/>
  <c r="P198" i="20"/>
  <c r="B198" i="20"/>
  <c r="D198" i="20"/>
  <c r="E198" i="20"/>
  <c r="H198" i="20"/>
  <c r="I198" i="20"/>
  <c r="J198" i="20"/>
  <c r="R198" i="20"/>
  <c r="G198" i="20"/>
  <c r="B711" i="20"/>
  <c r="Q711" i="20"/>
  <c r="H711" i="20"/>
  <c r="I711" i="20"/>
  <c r="L711" i="20"/>
  <c r="M711" i="20"/>
  <c r="N711" i="20"/>
  <c r="O711" i="20"/>
  <c r="P711" i="20"/>
  <c r="R711" i="20"/>
  <c r="C711" i="20"/>
  <c r="D711" i="20"/>
  <c r="E711" i="20"/>
  <c r="F711" i="20"/>
  <c r="J711" i="20"/>
  <c r="G711" i="20"/>
  <c r="K711" i="20"/>
  <c r="B738" i="20"/>
  <c r="I738" i="20"/>
  <c r="L738" i="20"/>
  <c r="M738" i="20"/>
  <c r="N738" i="20"/>
  <c r="O738" i="20"/>
  <c r="E738" i="20"/>
  <c r="Q738" i="20"/>
  <c r="J738" i="20"/>
  <c r="P738" i="20"/>
  <c r="R738" i="20"/>
  <c r="C738" i="20"/>
  <c r="D738" i="20"/>
  <c r="F738" i="20"/>
  <c r="H738" i="20"/>
  <c r="G738" i="20"/>
  <c r="K738" i="20"/>
  <c r="C683" i="20"/>
  <c r="P683" i="20"/>
  <c r="Q683" i="20"/>
  <c r="R683" i="20"/>
  <c r="B683" i="20"/>
  <c r="N683" i="20"/>
  <c r="H683" i="20"/>
  <c r="O683" i="20"/>
  <c r="L683" i="20"/>
  <c r="M683" i="20"/>
  <c r="E683" i="20"/>
  <c r="F683" i="20"/>
  <c r="J683" i="20"/>
  <c r="G683" i="20"/>
  <c r="I683" i="20"/>
  <c r="D683" i="20"/>
  <c r="K683" i="20"/>
  <c r="G584" i="20"/>
  <c r="J584" i="20"/>
  <c r="K584" i="20"/>
  <c r="O584" i="20"/>
  <c r="P584" i="20"/>
  <c r="Q584" i="20"/>
  <c r="C584" i="20"/>
  <c r="D584" i="20"/>
  <c r="E584" i="20"/>
  <c r="H584" i="20"/>
  <c r="I584" i="20"/>
  <c r="L584" i="20"/>
  <c r="M584" i="20"/>
  <c r="B584" i="20"/>
  <c r="N584" i="20"/>
  <c r="F584" i="20"/>
  <c r="R584" i="20"/>
  <c r="D540" i="20"/>
  <c r="E540" i="20"/>
  <c r="G540" i="20"/>
  <c r="I540" i="20"/>
  <c r="J540" i="20"/>
  <c r="K540" i="20"/>
  <c r="L540" i="20"/>
  <c r="N540" i="20"/>
  <c r="O540" i="20"/>
  <c r="P540" i="20"/>
  <c r="B540" i="20"/>
  <c r="C540" i="20"/>
  <c r="M540" i="20"/>
  <c r="F540" i="20"/>
  <c r="Q540" i="20"/>
  <c r="H540" i="20"/>
  <c r="R540" i="20"/>
  <c r="D506" i="20"/>
  <c r="K506" i="20"/>
  <c r="L506" i="20"/>
  <c r="O506" i="20"/>
  <c r="F506" i="20"/>
  <c r="J506" i="20"/>
  <c r="N506" i="20"/>
  <c r="B506" i="20"/>
  <c r="G506" i="20"/>
  <c r="R506" i="20"/>
  <c r="I506" i="20"/>
  <c r="H506" i="20"/>
  <c r="M506" i="20"/>
  <c r="P506" i="20"/>
  <c r="C506" i="20"/>
  <c r="Q506" i="20"/>
  <c r="E506" i="20"/>
  <c r="G483" i="20"/>
  <c r="O483" i="20"/>
  <c r="D483" i="20"/>
  <c r="P483" i="20"/>
  <c r="K483" i="20"/>
  <c r="L483" i="20"/>
  <c r="M483" i="20"/>
  <c r="Q483" i="20"/>
  <c r="E483" i="20"/>
  <c r="B483" i="20"/>
  <c r="F483" i="20"/>
  <c r="N483" i="20"/>
  <c r="I483" i="20"/>
  <c r="J483" i="20"/>
  <c r="H483" i="20"/>
  <c r="C483" i="20"/>
  <c r="R483" i="20"/>
  <c r="C748" i="20"/>
  <c r="D748" i="20"/>
  <c r="F748" i="20"/>
  <c r="H748" i="20"/>
  <c r="I748" i="20"/>
  <c r="J748" i="20"/>
  <c r="L748" i="20"/>
  <c r="N748" i="20"/>
  <c r="O748" i="20"/>
  <c r="P748" i="20"/>
  <c r="R748" i="20"/>
  <c r="B748" i="20"/>
  <c r="G748" i="20"/>
  <c r="M748" i="20"/>
  <c r="K748" i="20"/>
  <c r="E748" i="20"/>
  <c r="Q748" i="20"/>
  <c r="C715" i="20"/>
  <c r="B715" i="20"/>
  <c r="D715" i="20"/>
  <c r="O715" i="20"/>
  <c r="P715" i="20"/>
  <c r="R715" i="20"/>
  <c r="Q715" i="20"/>
  <c r="N715" i="20"/>
  <c r="E715" i="20"/>
  <c r="G715" i="20"/>
  <c r="L715" i="20"/>
  <c r="K715" i="20"/>
  <c r="M715" i="20"/>
  <c r="J715" i="20"/>
  <c r="H715" i="20"/>
  <c r="I715" i="20"/>
  <c r="F715" i="20"/>
  <c r="I648" i="20"/>
  <c r="E648" i="20"/>
  <c r="F648" i="20"/>
  <c r="G648" i="20"/>
  <c r="N648" i="20"/>
  <c r="D648" i="20"/>
  <c r="J648" i="20"/>
  <c r="Q648" i="20"/>
  <c r="R648" i="20"/>
  <c r="M648" i="20"/>
  <c r="C648" i="20"/>
  <c r="O648" i="20"/>
  <c r="B648" i="20"/>
  <c r="H648" i="20"/>
  <c r="P648" i="20"/>
  <c r="L648" i="20"/>
  <c r="K648" i="20"/>
  <c r="B559" i="20"/>
  <c r="C559" i="20"/>
  <c r="D559" i="20"/>
  <c r="G559" i="20"/>
  <c r="N559" i="20"/>
  <c r="O559" i="20"/>
  <c r="P559" i="20"/>
  <c r="R559" i="20"/>
  <c r="M559" i="20"/>
  <c r="Q559" i="20"/>
  <c r="H559" i="20"/>
  <c r="I559" i="20"/>
  <c r="E559" i="20"/>
  <c r="L559" i="20"/>
  <c r="K559" i="20"/>
  <c r="J559" i="20"/>
  <c r="F559" i="20"/>
  <c r="E528" i="20"/>
  <c r="C528" i="20"/>
  <c r="D528" i="20"/>
  <c r="J528" i="20"/>
  <c r="L528" i="20"/>
  <c r="M528" i="20"/>
  <c r="B528" i="20"/>
  <c r="N528" i="20"/>
  <c r="F528" i="20"/>
  <c r="R528" i="20"/>
  <c r="G528" i="20"/>
  <c r="H528" i="20"/>
  <c r="I528" i="20"/>
  <c r="P528" i="20"/>
  <c r="K528" i="20"/>
  <c r="O528" i="20"/>
  <c r="Q528" i="20"/>
  <c r="I473" i="20"/>
  <c r="E473" i="20"/>
  <c r="G473" i="20"/>
  <c r="H473" i="20"/>
  <c r="J473" i="20"/>
  <c r="K473" i="20"/>
  <c r="L473" i="20"/>
  <c r="M473" i="20"/>
  <c r="B473" i="20"/>
  <c r="N473" i="20"/>
  <c r="C473" i="20"/>
  <c r="O473" i="20"/>
  <c r="D473" i="20"/>
  <c r="P473" i="20"/>
  <c r="Q473" i="20"/>
  <c r="R473" i="20"/>
  <c r="F473" i="20"/>
  <c r="O467" i="20"/>
  <c r="M467" i="20"/>
  <c r="D467" i="20"/>
  <c r="Q467" i="20"/>
  <c r="P467" i="20"/>
  <c r="L467" i="20"/>
  <c r="E467" i="20"/>
  <c r="F467" i="20"/>
  <c r="G467" i="20"/>
  <c r="N467" i="20"/>
  <c r="I467" i="20"/>
  <c r="J467" i="20"/>
  <c r="B467" i="20"/>
  <c r="C467" i="20"/>
  <c r="K467" i="20"/>
  <c r="R467" i="20"/>
  <c r="H467" i="20"/>
  <c r="B609" i="20"/>
  <c r="I609" i="20"/>
  <c r="J609" i="20"/>
  <c r="K609" i="20"/>
  <c r="N609" i="20"/>
  <c r="Q609" i="20"/>
  <c r="D609" i="20"/>
  <c r="E609" i="20"/>
  <c r="G609" i="20"/>
  <c r="C609" i="20"/>
  <c r="M609" i="20"/>
  <c r="O609" i="20"/>
  <c r="R609" i="20"/>
  <c r="F609" i="20"/>
  <c r="H609" i="20"/>
  <c r="L609" i="20"/>
  <c r="P609" i="20"/>
  <c r="C618" i="20"/>
  <c r="Q618" i="20"/>
  <c r="R618" i="20"/>
  <c r="O618" i="20"/>
  <c r="J618" i="20"/>
  <c r="P618" i="20"/>
  <c r="I618" i="20"/>
  <c r="B618" i="20"/>
  <c r="N618" i="20"/>
  <c r="G618" i="20"/>
  <c r="K618" i="20"/>
  <c r="M618" i="20"/>
  <c r="H618" i="20"/>
  <c r="L618" i="20"/>
  <c r="D618" i="20"/>
  <c r="E618" i="20"/>
  <c r="F618" i="20"/>
  <c r="G676" i="20"/>
  <c r="H676" i="20"/>
  <c r="I676" i="20"/>
  <c r="J676" i="20"/>
  <c r="K676" i="20"/>
  <c r="L676" i="20"/>
  <c r="N676" i="20"/>
  <c r="B676" i="20"/>
  <c r="O676" i="20"/>
  <c r="E676" i="20"/>
  <c r="R676" i="20"/>
  <c r="C676" i="20"/>
  <c r="D676" i="20"/>
  <c r="F676" i="20"/>
  <c r="M676" i="20"/>
  <c r="P676" i="20"/>
  <c r="Q676" i="20"/>
  <c r="K737" i="20"/>
  <c r="D737" i="20"/>
  <c r="E737" i="20"/>
  <c r="G737" i="20"/>
  <c r="N737" i="20"/>
  <c r="Q737" i="20"/>
  <c r="R737" i="20"/>
  <c r="C737" i="20"/>
  <c r="F737" i="20"/>
  <c r="O737" i="20"/>
  <c r="B737" i="20"/>
  <c r="H737" i="20"/>
  <c r="I737" i="20"/>
  <c r="J737" i="20"/>
  <c r="M737" i="20"/>
  <c r="L737" i="20"/>
  <c r="P737" i="20"/>
  <c r="D550" i="20"/>
  <c r="C550" i="20"/>
  <c r="E550" i="20"/>
  <c r="G550" i="20"/>
  <c r="H550" i="20"/>
  <c r="K550" i="20"/>
  <c r="P550" i="20"/>
  <c r="Q550" i="20"/>
  <c r="B550" i="20"/>
  <c r="N550" i="20"/>
  <c r="F550" i="20"/>
  <c r="R550" i="20"/>
  <c r="O550" i="20"/>
  <c r="M550" i="20"/>
  <c r="I550" i="20"/>
  <c r="L550" i="20"/>
  <c r="J550" i="20"/>
  <c r="B496" i="20"/>
  <c r="C496" i="20"/>
  <c r="N496" i="20"/>
  <c r="Q496" i="20"/>
  <c r="D496" i="20"/>
  <c r="P496" i="20"/>
  <c r="R496" i="20"/>
  <c r="F496" i="20"/>
  <c r="H496" i="20"/>
  <c r="K496" i="20"/>
  <c r="L496" i="20"/>
  <c r="I496" i="20"/>
  <c r="O496" i="20"/>
  <c r="M496" i="20"/>
  <c r="E496" i="20"/>
  <c r="J496" i="20"/>
  <c r="G496" i="20"/>
  <c r="G481" i="20"/>
  <c r="D481" i="20"/>
  <c r="P481" i="20"/>
  <c r="M481" i="20"/>
  <c r="I481" i="20"/>
  <c r="J481" i="20"/>
  <c r="B481" i="20"/>
  <c r="N481" i="20"/>
  <c r="C481" i="20"/>
  <c r="O481" i="20"/>
  <c r="Q481" i="20"/>
  <c r="R481" i="20"/>
  <c r="F481" i="20"/>
  <c r="H481" i="20"/>
  <c r="K481" i="20"/>
  <c r="L481" i="20"/>
  <c r="E481" i="20"/>
  <c r="O750" i="20"/>
  <c r="B750" i="20"/>
  <c r="P750" i="20"/>
  <c r="C750" i="20"/>
  <c r="R750" i="20"/>
  <c r="D750" i="20"/>
  <c r="F750" i="20"/>
  <c r="G750" i="20"/>
  <c r="H750" i="20"/>
  <c r="I750" i="20"/>
  <c r="K750" i="20"/>
  <c r="L750" i="20"/>
  <c r="M750" i="20"/>
  <c r="N750" i="20"/>
  <c r="E750" i="20"/>
  <c r="Q750" i="20"/>
  <c r="J750" i="20"/>
  <c r="E724" i="20"/>
  <c r="F724" i="20"/>
  <c r="G724" i="20"/>
  <c r="H724" i="20"/>
  <c r="I724" i="20"/>
  <c r="J724" i="20"/>
  <c r="K724" i="20"/>
  <c r="L724" i="20"/>
  <c r="M724" i="20"/>
  <c r="N724" i="20"/>
  <c r="B724" i="20"/>
  <c r="O724" i="20"/>
  <c r="C724" i="20"/>
  <c r="P724" i="20"/>
  <c r="D724" i="20"/>
  <c r="R724" i="20"/>
  <c r="Q724" i="20"/>
  <c r="C702" i="20"/>
  <c r="O702" i="20"/>
  <c r="I702" i="20"/>
  <c r="L702" i="20"/>
  <c r="M702" i="20"/>
  <c r="N702" i="20"/>
  <c r="P702" i="20"/>
  <c r="B702" i="20"/>
  <c r="Q702" i="20"/>
  <c r="D702" i="20"/>
  <c r="R702" i="20"/>
  <c r="E702" i="20"/>
  <c r="F702" i="20"/>
  <c r="G702" i="20"/>
  <c r="H702" i="20"/>
  <c r="J702" i="20"/>
  <c r="K702" i="20"/>
  <c r="F631" i="20"/>
  <c r="H631" i="20"/>
  <c r="J631" i="20"/>
  <c r="N631" i="20"/>
  <c r="Q631" i="20"/>
  <c r="R631" i="20"/>
  <c r="D631" i="20"/>
  <c r="M631" i="20"/>
  <c r="P631" i="20"/>
  <c r="B631" i="20"/>
  <c r="E631" i="20"/>
  <c r="K631" i="20"/>
  <c r="C631" i="20"/>
  <c r="L631" i="20"/>
  <c r="O631" i="20"/>
  <c r="I631" i="20"/>
  <c r="G631" i="20"/>
  <c r="B535" i="20"/>
  <c r="Q535" i="20"/>
  <c r="C535" i="20"/>
  <c r="R535" i="20"/>
  <c r="D535" i="20"/>
  <c r="E535" i="20"/>
  <c r="F535" i="20"/>
  <c r="G535" i="20"/>
  <c r="I535" i="20"/>
  <c r="K535" i="20"/>
  <c r="M535" i="20"/>
  <c r="N535" i="20"/>
  <c r="O535" i="20"/>
  <c r="P535" i="20"/>
  <c r="J535" i="20"/>
  <c r="H535" i="20"/>
  <c r="L535" i="20"/>
  <c r="D698" i="20"/>
  <c r="P698" i="20"/>
  <c r="J698" i="20"/>
  <c r="C698" i="20"/>
  <c r="R698" i="20"/>
  <c r="E698" i="20"/>
  <c r="F698" i="20"/>
  <c r="G698" i="20"/>
  <c r="H698" i="20"/>
  <c r="I698" i="20"/>
  <c r="K698" i="20"/>
  <c r="L698" i="20"/>
  <c r="M698" i="20"/>
  <c r="N698" i="20"/>
  <c r="O698" i="20"/>
  <c r="B698" i="20"/>
  <c r="Q698" i="20"/>
  <c r="J450" i="20"/>
  <c r="F450" i="20"/>
  <c r="E450" i="20"/>
  <c r="D450" i="20"/>
  <c r="C450" i="20"/>
  <c r="B450" i="20"/>
  <c r="P450" i="20"/>
  <c r="Q450" i="20"/>
  <c r="R450" i="20"/>
  <c r="I450" i="20"/>
  <c r="G450" i="20"/>
  <c r="H450" i="20"/>
  <c r="K450" i="20"/>
  <c r="L450" i="20"/>
  <c r="M450" i="20"/>
  <c r="N450" i="20"/>
  <c r="O450" i="20"/>
  <c r="B495" i="20"/>
  <c r="M495" i="20"/>
  <c r="Q495" i="20"/>
  <c r="R495" i="20"/>
  <c r="F495" i="20"/>
  <c r="I495" i="20"/>
  <c r="C495" i="20"/>
  <c r="O495" i="20"/>
  <c r="D495" i="20"/>
  <c r="P495" i="20"/>
  <c r="G495" i="20"/>
  <c r="H495" i="20"/>
  <c r="E495" i="20"/>
  <c r="J495" i="20"/>
  <c r="N495" i="20"/>
  <c r="K495" i="20"/>
  <c r="L495" i="20"/>
  <c r="B617" i="20"/>
  <c r="D617" i="20"/>
  <c r="E617" i="20"/>
  <c r="Q617" i="20"/>
  <c r="R617" i="20"/>
  <c r="N617" i="20"/>
  <c r="H617" i="20"/>
  <c r="L617" i="20"/>
  <c r="C617" i="20"/>
  <c r="I617" i="20"/>
  <c r="K617" i="20"/>
  <c r="J617" i="20"/>
  <c r="O617" i="20"/>
  <c r="F617" i="20"/>
  <c r="P617" i="20"/>
  <c r="M617" i="20"/>
  <c r="G617" i="20"/>
  <c r="K749" i="20"/>
  <c r="H749" i="20"/>
  <c r="N749" i="20"/>
  <c r="P749" i="20"/>
  <c r="C749" i="20"/>
  <c r="M749" i="20"/>
  <c r="F749" i="20"/>
  <c r="L749" i="20"/>
  <c r="G749" i="20"/>
  <c r="I749" i="20"/>
  <c r="J749" i="20"/>
  <c r="R749" i="20"/>
  <c r="Q749" i="20"/>
  <c r="O749" i="20"/>
  <c r="E749" i="20"/>
  <c r="B749" i="20"/>
  <c r="D749" i="20"/>
  <c r="B623" i="20"/>
  <c r="C623" i="20"/>
  <c r="Q623" i="20"/>
  <c r="R623" i="20"/>
  <c r="P623" i="20"/>
  <c r="H623" i="20"/>
  <c r="I623" i="20"/>
  <c r="M623" i="20"/>
  <c r="O623" i="20"/>
  <c r="L623" i="20"/>
  <c r="N623" i="20"/>
  <c r="E623" i="20"/>
  <c r="F623" i="20"/>
  <c r="D623" i="20"/>
  <c r="K623" i="20"/>
  <c r="J623" i="20"/>
  <c r="G623" i="20"/>
  <c r="C574" i="20"/>
  <c r="H574" i="20"/>
  <c r="E574" i="20"/>
  <c r="G574" i="20"/>
  <c r="N574" i="20"/>
  <c r="I574" i="20"/>
  <c r="J574" i="20"/>
  <c r="D574" i="20"/>
  <c r="F574" i="20"/>
  <c r="P574" i="20"/>
  <c r="R574" i="20"/>
  <c r="L574" i="20"/>
  <c r="K574" i="20"/>
  <c r="M574" i="20"/>
  <c r="O574" i="20"/>
  <c r="Q574" i="20"/>
  <c r="B574" i="20"/>
  <c r="G588" i="20"/>
  <c r="O588" i="20"/>
  <c r="P588" i="20"/>
  <c r="Q588" i="20"/>
  <c r="C588" i="20"/>
  <c r="D588" i="20"/>
  <c r="E588" i="20"/>
  <c r="H588" i="20"/>
  <c r="I588" i="20"/>
  <c r="J588" i="20"/>
  <c r="K588" i="20"/>
  <c r="L588" i="20"/>
  <c r="M588" i="20"/>
  <c r="B588" i="20"/>
  <c r="F588" i="20"/>
  <c r="R588" i="20"/>
  <c r="N588" i="20"/>
  <c r="F465" i="20"/>
  <c r="G465" i="20"/>
  <c r="H465" i="20"/>
  <c r="I465" i="20"/>
  <c r="J465" i="20"/>
  <c r="K465" i="20"/>
  <c r="L465" i="20"/>
  <c r="M465" i="20"/>
  <c r="E465" i="20"/>
  <c r="C465" i="20"/>
  <c r="O465" i="20"/>
  <c r="D465" i="20"/>
  <c r="P465" i="20"/>
  <c r="Q465" i="20"/>
  <c r="B465" i="20"/>
  <c r="N465" i="20"/>
  <c r="R465" i="20"/>
  <c r="E708" i="20"/>
  <c r="D708" i="20"/>
  <c r="R708" i="20"/>
  <c r="K708" i="20"/>
  <c r="C708" i="20"/>
  <c r="F708" i="20"/>
  <c r="G708" i="20"/>
  <c r="H708" i="20"/>
  <c r="I708" i="20"/>
  <c r="J708" i="20"/>
  <c r="L708" i="20"/>
  <c r="M708" i="20"/>
  <c r="N708" i="20"/>
  <c r="O708" i="20"/>
  <c r="P708" i="20"/>
  <c r="B708" i="20"/>
  <c r="Q708" i="20"/>
  <c r="B682" i="20"/>
  <c r="N682" i="20"/>
  <c r="C682" i="20"/>
  <c r="O682" i="20"/>
  <c r="D682" i="20"/>
  <c r="P682" i="20"/>
  <c r="E682" i="20"/>
  <c r="Q682" i="20"/>
  <c r="F682" i="20"/>
  <c r="R682" i="20"/>
  <c r="H682" i="20"/>
  <c r="I682" i="20"/>
  <c r="G682" i="20"/>
  <c r="J682" i="20"/>
  <c r="K682" i="20"/>
  <c r="L682" i="20"/>
  <c r="M682" i="20"/>
  <c r="E619" i="20"/>
  <c r="G619" i="20"/>
  <c r="I619" i="20"/>
  <c r="J619" i="20"/>
  <c r="K619" i="20"/>
  <c r="M619" i="20"/>
  <c r="N619" i="20"/>
  <c r="P619" i="20"/>
  <c r="Q619" i="20"/>
  <c r="C619" i="20"/>
  <c r="R619" i="20"/>
  <c r="L619" i="20"/>
  <c r="D619" i="20"/>
  <c r="H619" i="20"/>
  <c r="B619" i="20"/>
  <c r="O619" i="20"/>
  <c r="F619" i="20"/>
  <c r="C570" i="20"/>
  <c r="G570" i="20"/>
  <c r="H570" i="20"/>
  <c r="Q570" i="20"/>
  <c r="P570" i="20"/>
  <c r="B570" i="20"/>
  <c r="N570" i="20"/>
  <c r="F570" i="20"/>
  <c r="K570" i="20"/>
  <c r="R570" i="20"/>
  <c r="I570" i="20"/>
  <c r="J570" i="20"/>
  <c r="E570" i="20"/>
  <c r="L570" i="20"/>
  <c r="D570" i="20"/>
  <c r="M570" i="20"/>
  <c r="O570" i="20"/>
  <c r="B533" i="20"/>
  <c r="F533" i="20"/>
  <c r="P533" i="20"/>
  <c r="H533" i="20"/>
  <c r="L533" i="20"/>
  <c r="C533" i="20"/>
  <c r="Q533" i="20"/>
  <c r="O533" i="20"/>
  <c r="D533" i="20"/>
  <c r="N533" i="20"/>
  <c r="R533" i="20"/>
  <c r="E533" i="20"/>
  <c r="J533" i="20"/>
  <c r="G533" i="20"/>
  <c r="M533" i="20"/>
  <c r="I533" i="20"/>
  <c r="K533" i="20"/>
  <c r="P662" i="20"/>
  <c r="D662" i="20"/>
  <c r="N662" i="20"/>
  <c r="Q662" i="20"/>
  <c r="C662" i="20"/>
  <c r="R662" i="20"/>
  <c r="F662" i="20"/>
  <c r="G662" i="20"/>
  <c r="H662" i="20"/>
  <c r="J662" i="20"/>
  <c r="K662" i="20"/>
  <c r="L662" i="20"/>
  <c r="M662" i="20"/>
  <c r="B662" i="20"/>
  <c r="O662" i="20"/>
  <c r="I662" i="20"/>
  <c r="E662" i="20"/>
  <c r="J514" i="20"/>
  <c r="G514" i="20"/>
  <c r="H514" i="20"/>
  <c r="I514" i="20"/>
  <c r="K514" i="20"/>
  <c r="L514" i="20"/>
  <c r="M514" i="20"/>
  <c r="N514" i="20"/>
  <c r="B514" i="20"/>
  <c r="O514" i="20"/>
  <c r="C514" i="20"/>
  <c r="P514" i="20"/>
  <c r="D514" i="20"/>
  <c r="Q514" i="20"/>
  <c r="E514" i="20"/>
  <c r="R514" i="20"/>
  <c r="F514" i="20"/>
  <c r="C532" i="20"/>
  <c r="D532" i="20"/>
  <c r="E532" i="20"/>
  <c r="J532" i="20"/>
  <c r="L532" i="20"/>
  <c r="M532" i="20"/>
  <c r="P532" i="20"/>
  <c r="Q532" i="20"/>
  <c r="F532" i="20"/>
  <c r="R532" i="20"/>
  <c r="G532" i="20"/>
  <c r="H532" i="20"/>
  <c r="I532" i="20"/>
  <c r="O532" i="20"/>
  <c r="B532" i="20"/>
  <c r="N532" i="20"/>
  <c r="K532" i="20"/>
  <c r="I704" i="20"/>
  <c r="C704" i="20"/>
  <c r="O704" i="20"/>
  <c r="K704" i="20"/>
  <c r="L704" i="20"/>
  <c r="M704" i="20"/>
  <c r="N704" i="20"/>
  <c r="P704" i="20"/>
  <c r="B704" i="20"/>
  <c r="Q704" i="20"/>
  <c r="D704" i="20"/>
  <c r="R704" i="20"/>
  <c r="E704" i="20"/>
  <c r="F704" i="20"/>
  <c r="G704" i="20"/>
  <c r="H704" i="20"/>
  <c r="J704" i="20"/>
  <c r="B685" i="20"/>
  <c r="E685" i="20"/>
  <c r="H685" i="20"/>
  <c r="P685" i="20"/>
  <c r="D685" i="20"/>
  <c r="R685" i="20"/>
  <c r="I685" i="20"/>
  <c r="N685" i="20"/>
  <c r="C685" i="20"/>
  <c r="K685" i="20"/>
  <c r="Q685" i="20"/>
  <c r="L685" i="20"/>
  <c r="M685" i="20"/>
  <c r="O685" i="20"/>
  <c r="F685" i="20"/>
  <c r="J685" i="20"/>
  <c r="G685" i="20"/>
  <c r="K727" i="20"/>
  <c r="O727" i="20"/>
  <c r="Q727" i="20"/>
  <c r="B727" i="20"/>
  <c r="D727" i="20"/>
  <c r="N727" i="20"/>
  <c r="J727" i="20"/>
  <c r="L727" i="20"/>
  <c r="G727" i="20"/>
  <c r="H727" i="20"/>
  <c r="F727" i="20"/>
  <c r="R727" i="20"/>
  <c r="E727" i="20"/>
  <c r="P727" i="20"/>
  <c r="C727" i="20"/>
  <c r="I727" i="20"/>
  <c r="M727" i="20"/>
  <c r="K561" i="20"/>
  <c r="F561" i="20"/>
  <c r="I561" i="20"/>
  <c r="J561" i="20"/>
  <c r="O561" i="20"/>
  <c r="P561" i="20"/>
  <c r="C561" i="20"/>
  <c r="Q561" i="20"/>
  <c r="D561" i="20"/>
  <c r="R561" i="20"/>
  <c r="E561" i="20"/>
  <c r="G561" i="20"/>
  <c r="H561" i="20"/>
  <c r="L561" i="20"/>
  <c r="M561" i="20"/>
  <c r="N561" i="20"/>
  <c r="B561" i="20"/>
  <c r="G572" i="20"/>
  <c r="J572" i="20"/>
  <c r="K572" i="20"/>
  <c r="L572" i="20"/>
  <c r="M572" i="20"/>
  <c r="O572" i="20"/>
  <c r="Q572" i="20"/>
  <c r="C572" i="20"/>
  <c r="D572" i="20"/>
  <c r="H572" i="20"/>
  <c r="E572" i="20"/>
  <c r="I572" i="20"/>
  <c r="P572" i="20"/>
  <c r="B572" i="20"/>
  <c r="N572" i="20"/>
  <c r="F572" i="20"/>
  <c r="R572" i="20"/>
  <c r="F499" i="20"/>
  <c r="I499" i="20"/>
  <c r="J499" i="20"/>
  <c r="K499" i="20"/>
  <c r="L499" i="20"/>
  <c r="M499" i="20"/>
  <c r="N499" i="20"/>
  <c r="B499" i="20"/>
  <c r="H499" i="20"/>
  <c r="P499" i="20"/>
  <c r="G499" i="20"/>
  <c r="C499" i="20"/>
  <c r="O499" i="20"/>
  <c r="D499" i="20"/>
  <c r="Q499" i="20"/>
  <c r="E499" i="20"/>
  <c r="R499" i="20"/>
  <c r="G568" i="20"/>
  <c r="J568" i="20"/>
  <c r="K568" i="20"/>
  <c r="L568" i="20"/>
  <c r="M568" i="20"/>
  <c r="O568" i="20"/>
  <c r="Q568" i="20"/>
  <c r="C568" i="20"/>
  <c r="D568" i="20"/>
  <c r="H568" i="20"/>
  <c r="E568" i="20"/>
  <c r="I568" i="20"/>
  <c r="P568" i="20"/>
  <c r="B568" i="20"/>
  <c r="N568" i="20"/>
  <c r="F568" i="20"/>
  <c r="R568" i="20"/>
  <c r="B728" i="20"/>
  <c r="C728" i="20"/>
  <c r="F728" i="20"/>
  <c r="I728" i="20"/>
  <c r="J728" i="20"/>
  <c r="K728" i="20"/>
  <c r="L728" i="20"/>
  <c r="N728" i="20"/>
  <c r="P728" i="20"/>
  <c r="G728" i="20"/>
  <c r="O728" i="20"/>
  <c r="E728" i="20"/>
  <c r="Q728" i="20"/>
  <c r="M728" i="20"/>
  <c r="R728" i="20"/>
  <c r="D728" i="20"/>
  <c r="H728" i="20"/>
  <c r="I658" i="20"/>
  <c r="K658" i="20"/>
  <c r="Q658" i="20"/>
  <c r="E658" i="20"/>
  <c r="F658" i="20"/>
  <c r="G658" i="20"/>
  <c r="H658" i="20"/>
  <c r="J658" i="20"/>
  <c r="M658" i="20"/>
  <c r="N658" i="20"/>
  <c r="O658" i="20"/>
  <c r="R658" i="20"/>
  <c r="B658" i="20"/>
  <c r="D658" i="20"/>
  <c r="C658" i="20"/>
  <c r="L658" i="20"/>
  <c r="P658" i="20"/>
  <c r="E644" i="20"/>
  <c r="R644" i="20"/>
  <c r="F644" i="20"/>
  <c r="G644" i="20"/>
  <c r="H644" i="20"/>
  <c r="N644" i="20"/>
  <c r="I644" i="20"/>
  <c r="J644" i="20"/>
  <c r="B644" i="20"/>
  <c r="K644" i="20"/>
  <c r="O644" i="20"/>
  <c r="L644" i="20"/>
  <c r="C644" i="20"/>
  <c r="M644" i="20"/>
  <c r="P644" i="20"/>
  <c r="D644" i="20"/>
  <c r="Q644" i="20"/>
  <c r="R611" i="20"/>
  <c r="C611" i="20"/>
  <c r="D611" i="20"/>
  <c r="E611" i="20"/>
  <c r="G611" i="20"/>
  <c r="J611" i="20"/>
  <c r="K611" i="20"/>
  <c r="L611" i="20"/>
  <c r="N611" i="20"/>
  <c r="P611" i="20"/>
  <c r="Q611" i="20"/>
  <c r="B611" i="20"/>
  <c r="O611" i="20"/>
  <c r="F611" i="20"/>
  <c r="M611" i="20"/>
  <c r="H611" i="20"/>
  <c r="I611" i="20"/>
  <c r="E565" i="20"/>
  <c r="I565" i="20"/>
  <c r="J565" i="20"/>
  <c r="O565" i="20"/>
  <c r="K565" i="20"/>
  <c r="N565" i="20"/>
  <c r="B565" i="20"/>
  <c r="P565" i="20"/>
  <c r="C565" i="20"/>
  <c r="Q565" i="20"/>
  <c r="D565" i="20"/>
  <c r="R565" i="20"/>
  <c r="G565" i="20"/>
  <c r="H565" i="20"/>
  <c r="L565" i="20"/>
  <c r="M565" i="20"/>
  <c r="F565" i="20"/>
  <c r="E544" i="20"/>
  <c r="C544" i="20"/>
  <c r="D544" i="20"/>
  <c r="G544" i="20"/>
  <c r="H544" i="20"/>
  <c r="J544" i="20"/>
  <c r="K544" i="20"/>
  <c r="L544" i="20"/>
  <c r="M544" i="20"/>
  <c r="O544" i="20"/>
  <c r="Q544" i="20"/>
  <c r="F544" i="20"/>
  <c r="R544" i="20"/>
  <c r="I544" i="20"/>
  <c r="P544" i="20"/>
  <c r="B544" i="20"/>
  <c r="N544" i="20"/>
  <c r="E718" i="20"/>
  <c r="K718" i="20"/>
  <c r="M718" i="20"/>
  <c r="N718" i="20"/>
  <c r="O718" i="20"/>
  <c r="B718" i="20"/>
  <c r="P718" i="20"/>
  <c r="C718" i="20"/>
  <c r="R718" i="20"/>
  <c r="D718" i="20"/>
  <c r="F718" i="20"/>
  <c r="G718" i="20"/>
  <c r="H718" i="20"/>
  <c r="I718" i="20"/>
  <c r="J718" i="20"/>
  <c r="L718" i="20"/>
  <c r="Q718" i="20"/>
  <c r="B655" i="20"/>
  <c r="I655" i="20"/>
  <c r="J655" i="20"/>
  <c r="N655" i="20"/>
  <c r="L655" i="20"/>
  <c r="K655" i="20"/>
  <c r="F655" i="20"/>
  <c r="H655" i="20"/>
  <c r="R655" i="20"/>
  <c r="E655" i="20"/>
  <c r="Q655" i="20"/>
  <c r="P655" i="20"/>
  <c r="D655" i="20"/>
  <c r="G655" i="20"/>
  <c r="M655" i="20"/>
  <c r="C655" i="20"/>
  <c r="O655" i="20"/>
  <c r="G671" i="20"/>
  <c r="L671" i="20"/>
  <c r="Q671" i="20"/>
  <c r="C671" i="20"/>
  <c r="D671" i="20"/>
  <c r="E671" i="20"/>
  <c r="F671" i="20"/>
  <c r="H671" i="20"/>
  <c r="M671" i="20"/>
  <c r="O671" i="20"/>
  <c r="P671" i="20"/>
  <c r="R671" i="20"/>
  <c r="N671" i="20"/>
  <c r="K671" i="20"/>
  <c r="I671" i="20"/>
  <c r="J671" i="20"/>
  <c r="B671" i="20"/>
  <c r="N636" i="20"/>
  <c r="C636" i="20"/>
  <c r="M636" i="20"/>
  <c r="P636" i="20"/>
  <c r="D636" i="20"/>
  <c r="Q636" i="20"/>
  <c r="E636" i="20"/>
  <c r="R636" i="20"/>
  <c r="F636" i="20"/>
  <c r="G636" i="20"/>
  <c r="H636" i="20"/>
  <c r="I636" i="20"/>
  <c r="J636" i="20"/>
  <c r="B636" i="20"/>
  <c r="K636" i="20"/>
  <c r="O636" i="20"/>
  <c r="L636" i="20"/>
  <c r="I664" i="20"/>
  <c r="D664" i="20"/>
  <c r="J664" i="20"/>
  <c r="N664" i="20"/>
  <c r="Q664" i="20"/>
  <c r="R664" i="20"/>
  <c r="E664" i="20"/>
  <c r="F664" i="20"/>
  <c r="G664" i="20"/>
  <c r="M664" i="20"/>
  <c r="O664" i="20"/>
  <c r="B664" i="20"/>
  <c r="K664" i="20"/>
  <c r="P664" i="20"/>
  <c r="C664" i="20"/>
  <c r="L664" i="20"/>
  <c r="H664" i="20"/>
  <c r="K501" i="20"/>
  <c r="M501" i="20"/>
  <c r="N501" i="20"/>
  <c r="P501" i="20"/>
  <c r="Q501" i="20"/>
  <c r="R501" i="20"/>
  <c r="B501" i="20"/>
  <c r="D501" i="20"/>
  <c r="E501" i="20"/>
  <c r="F501" i="20"/>
  <c r="I501" i="20"/>
  <c r="J501" i="20"/>
  <c r="O501" i="20"/>
  <c r="G501" i="20"/>
  <c r="H501" i="20"/>
  <c r="C501" i="20"/>
  <c r="L501" i="20"/>
  <c r="G521" i="20"/>
  <c r="I521" i="20"/>
  <c r="L521" i="20"/>
  <c r="D521" i="20"/>
  <c r="P521" i="20"/>
  <c r="F521" i="20"/>
  <c r="J521" i="20"/>
  <c r="Q521" i="20"/>
  <c r="B521" i="20"/>
  <c r="O521" i="20"/>
  <c r="R521" i="20"/>
  <c r="N521" i="20"/>
  <c r="C521" i="20"/>
  <c r="K521" i="20"/>
  <c r="E521" i="20"/>
  <c r="H521" i="20"/>
  <c r="M521" i="20"/>
  <c r="K747" i="20"/>
  <c r="D747" i="20"/>
  <c r="G747" i="20"/>
  <c r="H747" i="20"/>
  <c r="I747" i="20"/>
  <c r="J747" i="20"/>
  <c r="N747" i="20"/>
  <c r="Q747" i="20"/>
  <c r="F747" i="20"/>
  <c r="O747" i="20"/>
  <c r="B747" i="20"/>
  <c r="L747" i="20"/>
  <c r="R747" i="20"/>
  <c r="E747" i="20"/>
  <c r="M747" i="20"/>
  <c r="P747" i="20"/>
  <c r="C747" i="20"/>
  <c r="G669" i="20"/>
  <c r="F669" i="20"/>
  <c r="D669" i="20"/>
  <c r="E669" i="20"/>
  <c r="H669" i="20"/>
  <c r="L669" i="20"/>
  <c r="M669" i="20"/>
  <c r="O669" i="20"/>
  <c r="P669" i="20"/>
  <c r="Q669" i="20"/>
  <c r="R669" i="20"/>
  <c r="C669" i="20"/>
  <c r="J669" i="20"/>
  <c r="N669" i="20"/>
  <c r="B669" i="20"/>
  <c r="I669" i="20"/>
  <c r="K669" i="20"/>
  <c r="D593" i="20"/>
  <c r="E593" i="20"/>
  <c r="R593" i="20"/>
  <c r="L593" i="20"/>
  <c r="B593" i="20"/>
  <c r="O593" i="20"/>
  <c r="C593" i="20"/>
  <c r="Q593" i="20"/>
  <c r="P593" i="20"/>
  <c r="G593" i="20"/>
  <c r="H593" i="20"/>
  <c r="F593" i="20"/>
  <c r="K593" i="20"/>
  <c r="M593" i="20"/>
  <c r="N593" i="20"/>
  <c r="I593" i="20"/>
  <c r="J593" i="20"/>
  <c r="B474" i="20"/>
  <c r="D474" i="20"/>
  <c r="H474" i="20"/>
  <c r="R474" i="20"/>
  <c r="P474" i="20"/>
  <c r="M474" i="20"/>
  <c r="Q474" i="20"/>
  <c r="L474" i="20"/>
  <c r="K474" i="20"/>
  <c r="I474" i="20"/>
  <c r="J474" i="20"/>
  <c r="F474" i="20"/>
  <c r="N474" i="20"/>
  <c r="O474" i="20"/>
  <c r="C474" i="20"/>
  <c r="G474" i="20"/>
  <c r="E474" i="20"/>
  <c r="B571" i="20"/>
  <c r="P571" i="20"/>
  <c r="H571" i="20"/>
  <c r="L571" i="20"/>
  <c r="E571" i="20"/>
  <c r="F571" i="20"/>
  <c r="I571" i="20"/>
  <c r="J571" i="20"/>
  <c r="O571" i="20"/>
  <c r="D571" i="20"/>
  <c r="R571" i="20"/>
  <c r="C571" i="20"/>
  <c r="Q571" i="20"/>
  <c r="G571" i="20"/>
  <c r="K571" i="20"/>
  <c r="N571" i="20"/>
  <c r="M571" i="20"/>
  <c r="G479" i="20"/>
  <c r="J479" i="20"/>
  <c r="K479" i="20"/>
  <c r="L479" i="20"/>
  <c r="M479" i="20"/>
  <c r="Q479" i="20"/>
  <c r="R479" i="20"/>
  <c r="H479" i="20"/>
  <c r="P479" i="20"/>
  <c r="E479" i="20"/>
  <c r="F479" i="20"/>
  <c r="I479" i="20"/>
  <c r="B479" i="20"/>
  <c r="N479" i="20"/>
  <c r="C479" i="20"/>
  <c r="O479" i="20"/>
  <c r="D479" i="20"/>
  <c r="B583" i="20"/>
  <c r="G583" i="20"/>
  <c r="M583" i="20"/>
  <c r="Q583" i="20"/>
  <c r="O583" i="20"/>
  <c r="P583" i="20"/>
  <c r="R583" i="20"/>
  <c r="C583" i="20"/>
  <c r="N583" i="20"/>
  <c r="H583" i="20"/>
  <c r="L583" i="20"/>
  <c r="E583" i="20"/>
  <c r="F583" i="20"/>
  <c r="I583" i="20"/>
  <c r="J583" i="20"/>
  <c r="K583" i="20"/>
  <c r="D583" i="20"/>
  <c r="M689" i="20"/>
  <c r="G689" i="20"/>
  <c r="D689" i="20"/>
  <c r="I689" i="20"/>
  <c r="J689" i="20"/>
  <c r="R689" i="20"/>
  <c r="P689" i="20"/>
  <c r="K689" i="20"/>
  <c r="C689" i="20"/>
  <c r="F689" i="20"/>
  <c r="N689" i="20"/>
  <c r="Q689" i="20"/>
  <c r="O689" i="20"/>
  <c r="B689" i="20"/>
  <c r="L689" i="20"/>
  <c r="H689" i="20"/>
  <c r="E689" i="20"/>
  <c r="C721" i="20"/>
  <c r="D721" i="20"/>
  <c r="O721" i="20"/>
  <c r="P721" i="20"/>
  <c r="R721" i="20"/>
  <c r="B721" i="20"/>
  <c r="N721" i="20"/>
  <c r="G721" i="20"/>
  <c r="J721" i="20"/>
  <c r="K721" i="20"/>
  <c r="L721" i="20"/>
  <c r="M721" i="20"/>
  <c r="H721" i="20"/>
  <c r="I721" i="20"/>
  <c r="F721" i="20"/>
  <c r="E721" i="20"/>
  <c r="Q721" i="20"/>
  <c r="C595" i="20"/>
  <c r="R595" i="20"/>
  <c r="P595" i="20"/>
  <c r="J595" i="20"/>
  <c r="H595" i="20"/>
  <c r="B595" i="20"/>
  <c r="N595" i="20"/>
  <c r="O595" i="20"/>
  <c r="M595" i="20"/>
  <c r="E595" i="20"/>
  <c r="F595" i="20"/>
  <c r="Q595" i="20"/>
  <c r="D595" i="20"/>
  <c r="K595" i="20"/>
  <c r="L595" i="20"/>
  <c r="I595" i="20"/>
  <c r="G595" i="20"/>
  <c r="H548" i="20"/>
  <c r="I548" i="20"/>
  <c r="J548" i="20"/>
  <c r="K548" i="20"/>
  <c r="L548" i="20"/>
  <c r="M548" i="20"/>
  <c r="O548" i="20"/>
  <c r="P548" i="20"/>
  <c r="C548" i="20"/>
  <c r="Q548" i="20"/>
  <c r="D548" i="20"/>
  <c r="E548" i="20"/>
  <c r="G548" i="20"/>
  <c r="B548" i="20"/>
  <c r="N548" i="20"/>
  <c r="F548" i="20"/>
  <c r="R548" i="20"/>
  <c r="F529" i="20"/>
  <c r="P529" i="20"/>
  <c r="B529" i="20"/>
  <c r="I529" i="20"/>
  <c r="J529" i="20"/>
  <c r="M529" i="20"/>
  <c r="O529" i="20"/>
  <c r="C529" i="20"/>
  <c r="N529" i="20"/>
  <c r="Q529" i="20"/>
  <c r="D529" i="20"/>
  <c r="R529" i="20"/>
  <c r="E529" i="20"/>
  <c r="K529" i="20"/>
  <c r="H529" i="20"/>
  <c r="L529" i="20"/>
  <c r="G529" i="20"/>
  <c r="M487" i="20"/>
  <c r="Q487" i="20"/>
  <c r="F487" i="20"/>
  <c r="I487" i="20"/>
  <c r="G487" i="20"/>
  <c r="H487" i="20"/>
  <c r="J487" i="20"/>
  <c r="N487" i="20"/>
  <c r="L487" i="20"/>
  <c r="C487" i="20"/>
  <c r="R487" i="20"/>
  <c r="O487" i="20"/>
  <c r="D487" i="20"/>
  <c r="P487" i="20"/>
  <c r="B487" i="20"/>
  <c r="E487" i="20"/>
  <c r="K487" i="20"/>
  <c r="G471" i="20"/>
  <c r="J471" i="20"/>
  <c r="M471" i="20"/>
  <c r="B471" i="20"/>
  <c r="H471" i="20"/>
  <c r="N471" i="20"/>
  <c r="C471" i="20"/>
  <c r="O471" i="20"/>
  <c r="D471" i="20"/>
  <c r="P471" i="20"/>
  <c r="E471" i="20"/>
  <c r="R471" i="20"/>
  <c r="F471" i="20"/>
  <c r="Q471" i="20"/>
  <c r="L471" i="20"/>
  <c r="I471" i="20"/>
  <c r="K471" i="20"/>
  <c r="K152" i="18"/>
  <c r="C69" i="10"/>
  <c r="D18" i="6"/>
  <c r="D19" i="6" s="1"/>
  <c r="D17" i="6"/>
  <c r="G15" i="5"/>
  <c r="F37" i="8" s="1"/>
  <c r="AG56" i="8" s="1"/>
  <c r="G26" i="4"/>
  <c r="G6" i="5"/>
  <c r="G25" i="4"/>
  <c r="I152" i="18"/>
  <c r="J126" i="18"/>
  <c r="J174" i="18"/>
  <c r="J152" i="18"/>
  <c r="J128" i="18"/>
  <c r="I182" i="18"/>
  <c r="J148" i="18"/>
  <c r="G23" i="4"/>
  <c r="I149" i="18"/>
  <c r="K131" i="18"/>
  <c r="K143" i="18"/>
  <c r="K129" i="18"/>
  <c r="J143" i="18"/>
  <c r="K142" i="18"/>
  <c r="K164" i="18"/>
  <c r="K161" i="18"/>
  <c r="I158" i="18"/>
  <c r="I140" i="18"/>
  <c r="I137" i="18"/>
  <c r="K162" i="18"/>
  <c r="J158" i="18"/>
  <c r="J140" i="18"/>
  <c r="J137" i="18"/>
  <c r="J176" i="18"/>
  <c r="I134" i="18"/>
  <c r="I180" i="18"/>
  <c r="J179" i="18"/>
  <c r="I129" i="18"/>
  <c r="J129" i="18"/>
  <c r="I143" i="18"/>
  <c r="I142" i="18"/>
  <c r="J142" i="18"/>
  <c r="K151" i="18"/>
  <c r="K180" i="18"/>
  <c r="I162" i="18"/>
  <c r="J162" i="18"/>
  <c r="J164" i="18"/>
  <c r="I174" i="18"/>
  <c r="I176" i="18"/>
  <c r="K134" i="18"/>
  <c r="J161" i="18"/>
  <c r="K133" i="18"/>
  <c r="J131" i="18"/>
  <c r="K169" i="18"/>
  <c r="J133" i="18"/>
  <c r="K168" i="18"/>
  <c r="J185" i="18"/>
  <c r="I151" i="18"/>
  <c r="J151" i="18"/>
  <c r="I164" i="18"/>
  <c r="K166" i="18"/>
  <c r="K176" i="18"/>
  <c r="J134" i="18"/>
  <c r="I161" i="18"/>
  <c r="I133" i="18"/>
  <c r="I131" i="18"/>
  <c r="K157" i="18"/>
  <c r="I126" i="18"/>
  <c r="I169" i="18"/>
  <c r="J169" i="18"/>
  <c r="I168" i="18"/>
  <c r="J168" i="18"/>
  <c r="I185" i="18"/>
  <c r="K153" i="18"/>
  <c r="K167" i="18"/>
  <c r="I166" i="18"/>
  <c r="J166" i="18"/>
  <c r="K178" i="18"/>
  <c r="K148" i="18"/>
  <c r="K145" i="18"/>
  <c r="I157" i="18"/>
  <c r="J157" i="18"/>
  <c r="K128" i="18"/>
  <c r="K139" i="18"/>
  <c r="K185" i="18"/>
  <c r="I153" i="18"/>
  <c r="J153" i="18"/>
  <c r="I167" i="18"/>
  <c r="I178" i="18"/>
  <c r="J178" i="18"/>
  <c r="J183" i="18"/>
  <c r="I148" i="18"/>
  <c r="I145" i="18"/>
  <c r="J145" i="18"/>
  <c r="K126" i="18"/>
  <c r="I139" i="18"/>
  <c r="J139" i="18"/>
  <c r="K149" i="18"/>
  <c r="I128" i="18"/>
  <c r="K130" i="18"/>
  <c r="K141" i="18"/>
  <c r="K155" i="18"/>
  <c r="J167" i="18"/>
  <c r="K163" i="18"/>
  <c r="K175" i="18"/>
  <c r="J149" i="18"/>
  <c r="K136" i="18"/>
  <c r="I130" i="18"/>
  <c r="J130" i="18"/>
  <c r="I141" i="18"/>
  <c r="J141" i="18"/>
  <c r="J155" i="18"/>
  <c r="K150" i="18"/>
  <c r="I163" i="18"/>
  <c r="J163" i="18"/>
  <c r="I175" i="18"/>
  <c r="J175" i="18"/>
  <c r="I183" i="18"/>
  <c r="I136" i="18"/>
  <c r="J136" i="18"/>
  <c r="K147" i="18"/>
  <c r="K170" i="18"/>
  <c r="K183" i="18"/>
  <c r="K173" i="18"/>
  <c r="K171" i="18"/>
  <c r="K159" i="18"/>
  <c r="K156" i="18"/>
  <c r="K184" i="18"/>
  <c r="I155" i="18"/>
  <c r="I181" i="18"/>
  <c r="J181" i="18"/>
  <c r="I150" i="18"/>
  <c r="J150" i="18"/>
  <c r="K165" i="18"/>
  <c r="K179" i="18"/>
  <c r="I177" i="18"/>
  <c r="K146" i="18"/>
  <c r="K144" i="18"/>
  <c r="K172" i="18"/>
  <c r="J88" i="18"/>
  <c r="J159" i="18"/>
  <c r="J173" i="18"/>
  <c r="J147" i="18"/>
  <c r="J171" i="18"/>
  <c r="I171" i="18"/>
  <c r="I173" i="18"/>
  <c r="I159" i="18"/>
  <c r="J135" i="18"/>
  <c r="I147" i="18"/>
  <c r="I135" i="18"/>
  <c r="I170" i="18"/>
  <c r="I156" i="18"/>
  <c r="J156" i="18"/>
  <c r="I184" i="18"/>
  <c r="J184" i="18"/>
  <c r="K181" i="18"/>
  <c r="K154" i="18"/>
  <c r="I165" i="18"/>
  <c r="J165" i="18"/>
  <c r="K177" i="18"/>
  <c r="K182" i="18"/>
  <c r="J146" i="18"/>
  <c r="K132" i="18"/>
  <c r="K160" i="18"/>
  <c r="I144" i="18"/>
  <c r="J144" i="18"/>
  <c r="I172" i="18"/>
  <c r="J172" i="18"/>
  <c r="K127" i="18"/>
  <c r="K138" i="18"/>
  <c r="K140" i="18"/>
  <c r="I154" i="18"/>
  <c r="J154" i="18"/>
  <c r="K137" i="18"/>
  <c r="I179" i="18"/>
  <c r="J177" i="18"/>
  <c r="J182" i="18"/>
  <c r="I146" i="18"/>
  <c r="I132" i="18"/>
  <c r="J132" i="18"/>
  <c r="I160" i="18"/>
  <c r="J160" i="18"/>
  <c r="D129" i="12"/>
  <c r="I127" i="18"/>
  <c r="J127" i="18"/>
  <c r="I138" i="18"/>
  <c r="J138" i="18"/>
  <c r="K135" i="18"/>
  <c r="J180" i="18"/>
  <c r="K174" i="18"/>
  <c r="K158" i="18"/>
  <c r="J170" i="18"/>
  <c r="J12" i="25"/>
  <c r="G27" i="4"/>
  <c r="D37" i="8"/>
  <c r="AG54" i="8" s="1"/>
  <c r="E8" i="5"/>
  <c r="I35" i="8" s="1"/>
  <c r="AE59" i="8" s="1"/>
  <c r="E9" i="5"/>
  <c r="I9" i="5" s="1"/>
  <c r="L36" i="8" s="1"/>
  <c r="AF62" i="8" s="1"/>
  <c r="G28" i="4"/>
  <c r="G7" i="8"/>
  <c r="C57" i="8" s="1"/>
  <c r="J13" i="25"/>
  <c r="J10" i="25"/>
  <c r="J11" i="25"/>
  <c r="F180" i="14"/>
  <c r="F101" i="14" s="1"/>
  <c r="F109" i="14" s="1"/>
  <c r="D297" i="17"/>
  <c r="B32" i="14"/>
  <c r="F18" i="4"/>
  <c r="J29" i="8" s="1"/>
  <c r="Y60" i="8" s="1"/>
  <c r="F14" i="25"/>
  <c r="F15" i="4"/>
  <c r="H15" i="4" s="1"/>
  <c r="F11" i="25"/>
  <c r="G11" i="25" s="1"/>
  <c r="F14" i="4"/>
  <c r="G14" i="4" s="1"/>
  <c r="D9" i="4"/>
  <c r="C7" i="11" s="1"/>
  <c r="E27" i="11" s="1"/>
  <c r="F11" i="22"/>
  <c r="H11" i="22" s="1"/>
  <c r="F17" i="4"/>
  <c r="E28" i="8" s="1"/>
  <c r="X55" i="8" s="1"/>
  <c r="F8" i="22"/>
  <c r="G8" i="22" s="1"/>
  <c r="F9" i="22"/>
  <c r="H9" i="22" s="1"/>
  <c r="F7" i="22"/>
  <c r="H7" i="22" s="1"/>
  <c r="F16" i="4"/>
  <c r="J27" i="8" s="1"/>
  <c r="W60" i="8" s="1"/>
  <c r="C6" i="6"/>
  <c r="F223" i="14"/>
  <c r="B22" i="14" s="1"/>
  <c r="B23" i="14" s="1"/>
  <c r="J58" i="18"/>
  <c r="I72" i="18"/>
  <c r="I12" i="18"/>
  <c r="I91" i="18"/>
  <c r="I122" i="18"/>
  <c r="I62" i="18"/>
  <c r="J14" i="18"/>
  <c r="I49" i="18"/>
  <c r="I10" i="18"/>
  <c r="I43" i="18"/>
  <c r="J61" i="18"/>
  <c r="I88" i="18"/>
  <c r="I47" i="18"/>
  <c r="J17" i="18"/>
  <c r="J92" i="18"/>
  <c r="I24" i="18"/>
  <c r="I87" i="18"/>
  <c r="J43" i="18"/>
  <c r="I97" i="18"/>
  <c r="J124" i="18"/>
  <c r="J82" i="18"/>
  <c r="I64" i="18"/>
  <c r="J72" i="18"/>
  <c r="J31" i="18"/>
  <c r="I96" i="18"/>
  <c r="J44" i="18"/>
  <c r="I110" i="18"/>
  <c r="I55" i="18"/>
  <c r="J119" i="18"/>
  <c r="I31" i="18"/>
  <c r="I103" i="18"/>
  <c r="I38" i="18"/>
  <c r="I71" i="18"/>
  <c r="I94" i="18"/>
  <c r="I28" i="18"/>
  <c r="J25" i="18"/>
  <c r="J111" i="18"/>
  <c r="I101" i="18"/>
  <c r="I106" i="18"/>
  <c r="I84" i="18"/>
  <c r="I48" i="18"/>
  <c r="J46" i="18"/>
  <c r="J101" i="18"/>
  <c r="I11" i="18"/>
  <c r="J45" i="18"/>
  <c r="I32" i="18"/>
  <c r="J6" i="18"/>
  <c r="I8" i="18"/>
  <c r="I123" i="18"/>
  <c r="J11" i="18"/>
  <c r="I36" i="18"/>
  <c r="I63" i="18"/>
  <c r="I86" i="18"/>
  <c r="I9" i="18"/>
  <c r="J51" i="18"/>
  <c r="I125" i="18"/>
  <c r="I124" i="18"/>
  <c r="J83" i="18"/>
  <c r="J36" i="18"/>
  <c r="I98" i="18"/>
  <c r="I107" i="18"/>
  <c r="J30" i="18"/>
  <c r="I115" i="18"/>
  <c r="J105" i="18"/>
  <c r="I33" i="18"/>
  <c r="J12" i="18"/>
  <c r="I18" i="18"/>
  <c r="I79" i="18"/>
  <c r="I57" i="18"/>
  <c r="I118" i="18"/>
  <c r="J27" i="18"/>
  <c r="J39" i="18"/>
  <c r="J67" i="18"/>
  <c r="I75" i="18"/>
  <c r="I68" i="18"/>
  <c r="I23" i="18"/>
  <c r="J52" i="18"/>
  <c r="I70" i="18"/>
  <c r="J68" i="18"/>
  <c r="I20" i="18"/>
  <c r="I113" i="18"/>
  <c r="I26" i="18"/>
  <c r="I95" i="18"/>
  <c r="J99" i="18"/>
  <c r="J29" i="18"/>
  <c r="J117" i="18"/>
  <c r="I99" i="18"/>
  <c r="I52" i="18"/>
  <c r="I14" i="18"/>
  <c r="J70" i="18"/>
  <c r="I58" i="18"/>
  <c r="J108" i="18"/>
  <c r="J34" i="18"/>
  <c r="I85" i="18"/>
  <c r="I21" i="18"/>
  <c r="J33" i="18"/>
  <c r="I19" i="18"/>
  <c r="J94" i="18"/>
  <c r="J122" i="18"/>
  <c r="J9" i="18"/>
  <c r="I6" i="18"/>
  <c r="I92" i="18"/>
  <c r="J26" i="18"/>
  <c r="I44" i="18"/>
  <c r="I35" i="18"/>
  <c r="I61" i="18"/>
  <c r="J75" i="18"/>
  <c r="J125" i="18"/>
  <c r="J38" i="18"/>
  <c r="I46" i="18"/>
  <c r="J57" i="18"/>
  <c r="J87" i="18"/>
  <c r="I111" i="18"/>
  <c r="J55" i="18"/>
  <c r="J64" i="18"/>
  <c r="I67" i="18"/>
  <c r="J113" i="18"/>
  <c r="J49" i="18"/>
  <c r="J62" i="18"/>
  <c r="J91" i="18"/>
  <c r="I117" i="18"/>
  <c r="J63" i="18"/>
  <c r="J115" i="18"/>
  <c r="J32" i="18"/>
  <c r="I34" i="18"/>
  <c r="J98" i="18"/>
  <c r="J8" i="18"/>
  <c r="J18" i="18"/>
  <c r="J85" i="18"/>
  <c r="I51" i="18"/>
  <c r="I83" i="18"/>
  <c r="J84" i="18"/>
  <c r="I45" i="18"/>
  <c r="J21" i="18"/>
  <c r="J24" i="18"/>
  <c r="I25" i="18"/>
  <c r="J28" i="18"/>
  <c r="J71" i="18"/>
  <c r="J96" i="18"/>
  <c r="J103" i="18"/>
  <c r="J123" i="18"/>
  <c r="J10" i="18"/>
  <c r="J107" i="18"/>
  <c r="I30" i="18"/>
  <c r="I105" i="18"/>
  <c r="I119" i="18"/>
  <c r="I17" i="18"/>
  <c r="I39" i="18"/>
  <c r="J95" i="18"/>
  <c r="J86" i="18"/>
  <c r="J97" i="18"/>
  <c r="K95" i="18"/>
  <c r="K114" i="18"/>
  <c r="K72" i="18"/>
  <c r="K34" i="18"/>
  <c r="K29" i="18"/>
  <c r="K31" i="18"/>
  <c r="K69" i="18"/>
  <c r="K70" i="18"/>
  <c r="K25" i="18"/>
  <c r="K59" i="18"/>
  <c r="K28" i="18"/>
  <c r="K57" i="18"/>
  <c r="K71" i="18"/>
  <c r="K13" i="18"/>
  <c r="K11" i="18"/>
  <c r="K12" i="18"/>
  <c r="K56" i="18"/>
  <c r="K87" i="18"/>
  <c r="K62" i="18"/>
  <c r="K58" i="18"/>
  <c r="K50" i="18"/>
  <c r="K48" i="18"/>
  <c r="K81" i="18"/>
  <c r="K96" i="18"/>
  <c r="K97" i="18"/>
  <c r="K89" i="18"/>
  <c r="K80" i="18"/>
  <c r="K22" i="18"/>
  <c r="K44" i="18"/>
  <c r="K46" i="18"/>
  <c r="K61" i="18"/>
  <c r="K119" i="18"/>
  <c r="K18" i="18"/>
  <c r="K88" i="18"/>
  <c r="K104" i="18"/>
  <c r="K110" i="18"/>
  <c r="K99" i="18"/>
  <c r="K77" i="18"/>
  <c r="K66" i="18"/>
  <c r="K19" i="18"/>
  <c r="K38" i="18"/>
  <c r="K67" i="18"/>
  <c r="K74" i="18"/>
  <c r="K20" i="18"/>
  <c r="K109" i="18"/>
  <c r="K120" i="18"/>
  <c r="K113" i="18"/>
  <c r="K101" i="18"/>
  <c r="K116" i="18"/>
  <c r="K65" i="18"/>
  <c r="K54" i="18"/>
  <c r="K23" i="18"/>
  <c r="K17" i="18"/>
  <c r="K21" i="18"/>
  <c r="K39" i="18"/>
  <c r="K111" i="18"/>
  <c r="K51" i="18"/>
  <c r="K79" i="18"/>
  <c r="K85" i="18"/>
  <c r="K83" i="18"/>
  <c r="K123" i="18"/>
  <c r="K84" i="18"/>
  <c r="K107" i="18"/>
  <c r="K115" i="18"/>
  <c r="K124" i="18"/>
  <c r="K105" i="18"/>
  <c r="K78" i="18"/>
  <c r="K55" i="18"/>
  <c r="K9" i="18"/>
  <c r="K8" i="18"/>
  <c r="K24" i="18"/>
  <c r="K122" i="18"/>
  <c r="K37" i="18"/>
  <c r="K91" i="18"/>
  <c r="K108" i="18"/>
  <c r="K92" i="18"/>
  <c r="K86" i="18"/>
  <c r="K7" i="18"/>
  <c r="K10" i="18"/>
  <c r="K36" i="18"/>
  <c r="K43" i="18"/>
  <c r="K49" i="18"/>
  <c r="K82" i="18"/>
  <c r="K35" i="18"/>
  <c r="K33" i="18"/>
  <c r="K94" i="18"/>
  <c r="K112" i="18"/>
  <c r="K118" i="18"/>
  <c r="K102" i="18"/>
  <c r="K125" i="18"/>
  <c r="K76" i="18"/>
  <c r="K41" i="18"/>
  <c r="K15" i="18"/>
  <c r="C30" i="10"/>
  <c r="D30" i="10" s="1"/>
  <c r="K30" i="18"/>
  <c r="K100" i="18"/>
  <c r="K75" i="18"/>
  <c r="K40" i="18"/>
  <c r="D229" i="11"/>
  <c r="D231" i="11" s="1"/>
  <c r="D232" i="11" s="1"/>
  <c r="K14" i="18"/>
  <c r="K64" i="18"/>
  <c r="K103" i="18"/>
  <c r="K98" i="18"/>
  <c r="K117" i="18"/>
  <c r="C62" i="10"/>
  <c r="K90" i="18"/>
  <c r="K27" i="18"/>
  <c r="K6" i="18"/>
  <c r="K45" i="18"/>
  <c r="K52" i="18"/>
  <c r="K60" i="18"/>
  <c r="K73" i="18"/>
  <c r="K63" i="18"/>
  <c r="K106" i="18"/>
  <c r="K53" i="18"/>
  <c r="K26" i="18"/>
  <c r="K16" i="18"/>
  <c r="K32" i="18"/>
  <c r="K47" i="18"/>
  <c r="K68" i="18"/>
  <c r="K93" i="18"/>
  <c r="K121" i="18"/>
  <c r="K42" i="18"/>
  <c r="J48" i="18"/>
  <c r="J47" i="18"/>
  <c r="J106" i="18"/>
  <c r="I41" i="10"/>
  <c r="D50" i="10"/>
  <c r="J15" i="18"/>
  <c r="R39" i="10"/>
  <c r="D44" i="10"/>
  <c r="Q45" i="10"/>
  <c r="E56" i="10"/>
  <c r="E44" i="10"/>
  <c r="I66" i="18"/>
  <c r="R38" i="10"/>
  <c r="R40" i="10"/>
  <c r="I40" i="10"/>
  <c r="I56" i="18"/>
  <c r="J100" i="18"/>
  <c r="I104" i="18"/>
  <c r="D42" i="10"/>
  <c r="I47" i="10"/>
  <c r="I56" i="10"/>
  <c r="J37" i="18"/>
  <c r="V47" i="10"/>
  <c r="D49" i="10"/>
  <c r="V43" i="10"/>
  <c r="I58" i="10"/>
  <c r="V57" i="10"/>
  <c r="R47" i="10"/>
  <c r="R44" i="10"/>
  <c r="R48" i="10"/>
  <c r="V49" i="10"/>
  <c r="Q58" i="10"/>
  <c r="D46" i="10"/>
  <c r="E40" i="10"/>
  <c r="I37" i="18"/>
  <c r="J73" i="18"/>
  <c r="I74" i="18"/>
  <c r="I7" i="18"/>
  <c r="V41" i="10"/>
  <c r="I16" i="18"/>
  <c r="V38" i="10"/>
  <c r="J69" i="18"/>
  <c r="I57" i="10"/>
  <c r="Q43" i="10"/>
  <c r="J116" i="18"/>
  <c r="Q49" i="10"/>
  <c r="V58" i="10"/>
  <c r="I52" i="10"/>
  <c r="E41" i="10"/>
  <c r="I73" i="18"/>
  <c r="I78" i="18"/>
  <c r="I116" i="18"/>
  <c r="I38" i="10"/>
  <c r="J93" i="18"/>
  <c r="E42" i="10"/>
  <c r="J54" i="18"/>
  <c r="E39" i="10"/>
  <c r="J89" i="18"/>
  <c r="D38" i="10"/>
  <c r="E51" i="10"/>
  <c r="J109" i="18"/>
  <c r="J102" i="18"/>
  <c r="Q46" i="10"/>
  <c r="V55" i="10"/>
  <c r="R58" i="10"/>
  <c r="E52" i="10"/>
  <c r="V40" i="10"/>
  <c r="D55" i="10"/>
  <c r="J7" i="18"/>
  <c r="I50" i="18"/>
  <c r="J81" i="18"/>
  <c r="I112" i="18"/>
  <c r="I40" i="18"/>
  <c r="E57" i="10"/>
  <c r="I48" i="10"/>
  <c r="J78" i="18"/>
  <c r="I51" i="10"/>
  <c r="I93" i="18"/>
  <c r="I54" i="10"/>
  <c r="Q41" i="10"/>
  <c r="E58" i="10"/>
  <c r="D39" i="10"/>
  <c r="E53" i="10"/>
  <c r="V46" i="10"/>
  <c r="I43" i="10"/>
  <c r="R55" i="10"/>
  <c r="D52" i="10"/>
  <c r="V42" i="10"/>
  <c r="Q42" i="10"/>
  <c r="I15" i="18"/>
  <c r="J40" i="18"/>
  <c r="I81" i="18"/>
  <c r="J80" i="18"/>
  <c r="I80" i="18"/>
  <c r="V50" i="10"/>
  <c r="R41" i="10"/>
  <c r="E45" i="10"/>
  <c r="J56" i="18"/>
  <c r="V54" i="10"/>
  <c r="J90" i="18"/>
  <c r="V45" i="10"/>
  <c r="R54" i="10"/>
  <c r="I39" i="10"/>
  <c r="R43" i="10"/>
  <c r="D51" i="10"/>
  <c r="Q50" i="10"/>
  <c r="J114" i="18"/>
  <c r="I53" i="10"/>
  <c r="R46" i="10"/>
  <c r="D43" i="10"/>
  <c r="Q55" i="10"/>
  <c r="R42" i="10"/>
  <c r="E46" i="10"/>
  <c r="I90" i="18"/>
  <c r="I65" i="18"/>
  <c r="Q40" i="10"/>
  <c r="R49" i="10"/>
  <c r="R51" i="10"/>
  <c r="R50" i="10"/>
  <c r="D47" i="10"/>
  <c r="Q53" i="10"/>
  <c r="D41" i="10"/>
  <c r="Q44" i="10"/>
  <c r="E54" i="10"/>
  <c r="I121" i="18"/>
  <c r="D53" i="10"/>
  <c r="Q56" i="10"/>
  <c r="E43" i="10"/>
  <c r="I49" i="10"/>
  <c r="J35" i="18"/>
  <c r="I59" i="18"/>
  <c r="J74" i="18"/>
  <c r="J112" i="18"/>
  <c r="J76" i="18"/>
  <c r="Q48" i="10"/>
  <c r="I69" i="18"/>
  <c r="I55" i="10"/>
  <c r="Q57" i="10"/>
  <c r="R57" i="10"/>
  <c r="I44" i="10"/>
  <c r="D54" i="10"/>
  <c r="E50" i="10"/>
  <c r="D48" i="10"/>
  <c r="I13" i="18"/>
  <c r="J41" i="18"/>
  <c r="R52" i="10"/>
  <c r="V56" i="10"/>
  <c r="E49" i="10"/>
  <c r="V39" i="10"/>
  <c r="I41" i="18"/>
  <c r="E47" i="10"/>
  <c r="I22" i="18"/>
  <c r="V44" i="10"/>
  <c r="V51" i="10"/>
  <c r="V53" i="10"/>
  <c r="Q39" i="10"/>
  <c r="I50" i="10"/>
  <c r="J13" i="18"/>
  <c r="J121" i="18"/>
  <c r="I114" i="18"/>
  <c r="Q52" i="10"/>
  <c r="R56" i="10"/>
  <c r="D45" i="10"/>
  <c r="I42" i="18"/>
  <c r="J50" i="18"/>
  <c r="J59" i="18"/>
  <c r="J60" i="18"/>
  <c r="I76" i="18"/>
  <c r="D40" i="10"/>
  <c r="Q47" i="10"/>
  <c r="D57" i="10"/>
  <c r="D56" i="10"/>
  <c r="Q51" i="10"/>
  <c r="R45" i="10"/>
  <c r="E48" i="10"/>
  <c r="I53" i="18"/>
  <c r="J66" i="18"/>
  <c r="I102" i="18"/>
  <c r="I89" i="18"/>
  <c r="E55" i="10"/>
  <c r="J16" i="18"/>
  <c r="J42" i="18"/>
  <c r="J77" i="18"/>
  <c r="I54" i="18"/>
  <c r="J120" i="18"/>
  <c r="I100" i="18"/>
  <c r="I46" i="10"/>
  <c r="R53" i="10"/>
  <c r="D58" i="10"/>
  <c r="Q54" i="10"/>
  <c r="E38" i="10"/>
  <c r="J53" i="18"/>
  <c r="I120" i="18"/>
  <c r="V52" i="10"/>
  <c r="V48" i="10"/>
  <c r="I45" i="10"/>
  <c r="Q38" i="10"/>
  <c r="I42" i="10"/>
  <c r="J22" i="18"/>
  <c r="J65" i="18"/>
  <c r="I77" i="18"/>
  <c r="I60" i="18"/>
  <c r="I109" i="18"/>
  <c r="J110" i="18"/>
  <c r="J118" i="18"/>
  <c r="J79" i="18"/>
  <c r="J104" i="18"/>
  <c r="J20" i="18"/>
  <c r="J23" i="18"/>
  <c r="I29" i="18"/>
  <c r="F10" i="25"/>
  <c r="G10" i="25" s="1"/>
  <c r="F13" i="25"/>
  <c r="G13" i="25" s="1"/>
  <c r="L24" i="25" s="1"/>
  <c r="I27" i="18"/>
  <c r="I82" i="18"/>
  <c r="I108" i="18"/>
  <c r="J19" i="18"/>
  <c r="E37" i="22"/>
  <c r="E21" i="22"/>
  <c r="G24" i="4"/>
  <c r="I8" i="22"/>
  <c r="F10" i="22"/>
  <c r="H10" i="22" s="1"/>
  <c r="I7" i="5"/>
  <c r="I8" i="5" s="1"/>
  <c r="K35" i="8" s="1"/>
  <c r="AE61" i="8" s="1"/>
  <c r="G7" i="5"/>
  <c r="D73" i="11"/>
  <c r="D139" i="11" s="1"/>
  <c r="D140" i="11" s="1"/>
  <c r="C80" i="11"/>
  <c r="E80" i="11" s="1"/>
  <c r="F80" i="11" s="1"/>
  <c r="H80" i="11" s="1"/>
  <c r="C22" i="14"/>
  <c r="C23" i="14" s="1"/>
  <c r="E12" i="22"/>
  <c r="E43" i="22"/>
  <c r="J9" i="8"/>
  <c r="E60" i="8" s="1"/>
  <c r="I9" i="22"/>
  <c r="E32" i="22"/>
  <c r="E42" i="22"/>
  <c r="E36" i="22"/>
  <c r="E28" i="22"/>
  <c r="E20" i="22"/>
  <c r="E39" i="22"/>
  <c r="E33" i="22"/>
  <c r="E38" i="22"/>
  <c r="E34" i="22"/>
  <c r="E17" i="22"/>
  <c r="E40" i="22"/>
  <c r="E14" i="22"/>
  <c r="E19" i="22"/>
  <c r="E25" i="22"/>
  <c r="E16" i="22"/>
  <c r="F222" i="14"/>
  <c r="E31" i="22"/>
  <c r="E23" i="22"/>
  <c r="E24" i="22"/>
  <c r="F22" i="11"/>
  <c r="H311" i="24"/>
  <c r="D311" i="24"/>
  <c r="F311" i="24"/>
  <c r="E311" i="24"/>
  <c r="C311" i="24"/>
  <c r="G311" i="24"/>
  <c r="H189" i="24"/>
  <c r="G189" i="24"/>
  <c r="E189" i="24"/>
  <c r="C189" i="24"/>
  <c r="F189" i="24"/>
  <c r="D189" i="24"/>
  <c r="G49" i="24"/>
  <c r="F49" i="24"/>
  <c r="E49" i="24"/>
  <c r="D49" i="24"/>
  <c r="H49" i="24"/>
  <c r="C49" i="24"/>
  <c r="D286" i="24"/>
  <c r="E286" i="24"/>
  <c r="C286" i="24"/>
  <c r="H286" i="24"/>
  <c r="G286" i="24"/>
  <c r="F286" i="24"/>
  <c r="H195" i="24"/>
  <c r="E195" i="24"/>
  <c r="D195" i="24"/>
  <c r="C195" i="24"/>
  <c r="G195" i="24"/>
  <c r="F195" i="24"/>
  <c r="H100" i="24"/>
  <c r="G100" i="24"/>
  <c r="F100" i="24"/>
  <c r="D100" i="24"/>
  <c r="C100" i="24"/>
  <c r="E100" i="24"/>
  <c r="H186" i="24"/>
  <c r="F186" i="24"/>
  <c r="E186" i="24"/>
  <c r="D186" i="24"/>
  <c r="C186" i="24"/>
  <c r="G186" i="24"/>
  <c r="H118" i="24"/>
  <c r="G118" i="24"/>
  <c r="F118" i="24"/>
  <c r="E118" i="24"/>
  <c r="D118" i="24"/>
  <c r="C118" i="24"/>
  <c r="C60" i="24"/>
  <c r="G60" i="24"/>
  <c r="E60" i="24"/>
  <c r="H60" i="24"/>
  <c r="F60" i="24"/>
  <c r="D60" i="24"/>
  <c r="H160" i="24"/>
  <c r="G160" i="24"/>
  <c r="E160" i="24"/>
  <c r="F160" i="24"/>
  <c r="D160" i="24"/>
  <c r="C160" i="24"/>
  <c r="D310" i="24"/>
  <c r="H310" i="24"/>
  <c r="G310" i="24"/>
  <c r="E310" i="24"/>
  <c r="C310" i="24"/>
  <c r="F310" i="24"/>
  <c r="H203" i="24"/>
  <c r="G203" i="24"/>
  <c r="E203" i="24"/>
  <c r="D203" i="24"/>
  <c r="F203" i="24"/>
  <c r="C203" i="24"/>
  <c r="G7" i="24"/>
  <c r="F7" i="24"/>
  <c r="E7" i="24"/>
  <c r="D7" i="24"/>
  <c r="C7" i="24"/>
  <c r="H7" i="24"/>
  <c r="E161" i="24"/>
  <c r="D161" i="24"/>
  <c r="C161" i="24"/>
  <c r="F161" i="24"/>
  <c r="H161" i="24"/>
  <c r="G161" i="24"/>
  <c r="H139" i="24"/>
  <c r="G139" i="24"/>
  <c r="E139" i="24"/>
  <c r="F139" i="24"/>
  <c r="D139" i="24"/>
  <c r="C139" i="24"/>
  <c r="G88" i="24"/>
  <c r="F88" i="24"/>
  <c r="E88" i="24"/>
  <c r="D88" i="24"/>
  <c r="C88" i="24"/>
  <c r="H88" i="24"/>
  <c r="H28" i="22"/>
  <c r="G28" i="22"/>
  <c r="C21" i="24"/>
  <c r="G21" i="24"/>
  <c r="F21" i="24"/>
  <c r="E21" i="24"/>
  <c r="D21" i="24"/>
  <c r="H21" i="24"/>
  <c r="H177" i="24"/>
  <c r="G177" i="24"/>
  <c r="F177" i="24"/>
  <c r="D177" i="24"/>
  <c r="E177" i="24"/>
  <c r="C177" i="24"/>
  <c r="H26" i="24"/>
  <c r="G26" i="24"/>
  <c r="F26" i="24"/>
  <c r="E26" i="24"/>
  <c r="D26" i="24"/>
  <c r="C26" i="24"/>
  <c r="H175" i="24"/>
  <c r="G175" i="24"/>
  <c r="E175" i="24"/>
  <c r="C175" i="24"/>
  <c r="F175" i="24"/>
  <c r="D175" i="24"/>
  <c r="H20" i="22"/>
  <c r="G20" i="22"/>
  <c r="I7" i="16"/>
  <c r="C48" i="11" s="1"/>
  <c r="G10" i="17" s="1"/>
  <c r="H293" i="24"/>
  <c r="D293" i="24"/>
  <c r="F293" i="24"/>
  <c r="E293" i="24"/>
  <c r="C293" i="24"/>
  <c r="G293" i="24"/>
  <c r="H296" i="24"/>
  <c r="D296" i="24"/>
  <c r="G296" i="24"/>
  <c r="F296" i="24"/>
  <c r="E296" i="24"/>
  <c r="C296" i="24"/>
  <c r="H172" i="24"/>
  <c r="G172" i="24"/>
  <c r="E172" i="24"/>
  <c r="C172" i="24"/>
  <c r="F172" i="24"/>
  <c r="D172" i="24"/>
  <c r="E137" i="24"/>
  <c r="D137" i="24"/>
  <c r="C137" i="24"/>
  <c r="H137" i="24"/>
  <c r="F137" i="24"/>
  <c r="G137" i="24"/>
  <c r="H179" i="24"/>
  <c r="G179" i="24"/>
  <c r="D179" i="24"/>
  <c r="F179" i="24"/>
  <c r="C179" i="24"/>
  <c r="E179" i="24"/>
  <c r="D262" i="24"/>
  <c r="H262" i="24"/>
  <c r="F262" i="24"/>
  <c r="E262" i="24"/>
  <c r="C262" i="24"/>
  <c r="G262" i="24"/>
  <c r="F6" i="22"/>
  <c r="D301" i="24"/>
  <c r="H301" i="24"/>
  <c r="G301" i="24"/>
  <c r="E301" i="24"/>
  <c r="C301" i="24"/>
  <c r="F301" i="24"/>
  <c r="C66" i="24"/>
  <c r="G66" i="24"/>
  <c r="E66" i="24"/>
  <c r="H66" i="24"/>
  <c r="F66" i="24"/>
  <c r="D66" i="24"/>
  <c r="E134" i="24"/>
  <c r="D134" i="24"/>
  <c r="C134" i="24"/>
  <c r="G134" i="24"/>
  <c r="H134" i="24"/>
  <c r="F134" i="24"/>
  <c r="H74" i="24"/>
  <c r="G74" i="24"/>
  <c r="F74" i="24"/>
  <c r="E74" i="24"/>
  <c r="C74" i="24"/>
  <c r="D74" i="24"/>
  <c r="H50" i="24"/>
  <c r="F50" i="24"/>
  <c r="E50" i="24"/>
  <c r="C50" i="24"/>
  <c r="G50" i="24"/>
  <c r="D50" i="24"/>
  <c r="H297" i="24"/>
  <c r="C297" i="24"/>
  <c r="G297" i="24"/>
  <c r="F297" i="24"/>
  <c r="E297" i="24"/>
  <c r="D297" i="24"/>
  <c r="H83" i="24"/>
  <c r="G83" i="24"/>
  <c r="F83" i="24"/>
  <c r="E83" i="24"/>
  <c r="C83" i="24"/>
  <c r="D83" i="24"/>
  <c r="H33" i="22"/>
  <c r="G33" i="22"/>
  <c r="E158" i="24"/>
  <c r="D158" i="24"/>
  <c r="C158" i="24"/>
  <c r="G158" i="24"/>
  <c r="H158" i="24"/>
  <c r="F158" i="24"/>
  <c r="H14" i="24"/>
  <c r="E14" i="24"/>
  <c r="D14" i="24"/>
  <c r="C14" i="24"/>
  <c r="G14" i="24"/>
  <c r="F14" i="24"/>
  <c r="D229" i="24"/>
  <c r="H229" i="24"/>
  <c r="G229" i="24"/>
  <c r="E229" i="24"/>
  <c r="C229" i="24"/>
  <c r="F229" i="24"/>
  <c r="H123" i="24"/>
  <c r="G123" i="24"/>
  <c r="D123" i="24"/>
  <c r="C123" i="24"/>
  <c r="F123" i="24"/>
  <c r="E123" i="24"/>
  <c r="H39" i="22"/>
  <c r="G39" i="22"/>
  <c r="H237" i="24"/>
  <c r="D237" i="24"/>
  <c r="C237" i="24"/>
  <c r="G237" i="24"/>
  <c r="F237" i="24"/>
  <c r="E237" i="24"/>
  <c r="E131" i="24"/>
  <c r="D131" i="24"/>
  <c r="C131" i="24"/>
  <c r="G131" i="24"/>
  <c r="F131" i="24"/>
  <c r="H131" i="24"/>
  <c r="H166" i="24"/>
  <c r="G166" i="24"/>
  <c r="E166" i="24"/>
  <c r="C166" i="24"/>
  <c r="F166" i="24"/>
  <c r="D166" i="24"/>
  <c r="D253" i="24"/>
  <c r="F253" i="24"/>
  <c r="E253" i="24"/>
  <c r="C253" i="24"/>
  <c r="H253" i="24"/>
  <c r="G253" i="24"/>
  <c r="H132" i="24"/>
  <c r="G132" i="24"/>
  <c r="D132" i="24"/>
  <c r="C132" i="24"/>
  <c r="F132" i="24"/>
  <c r="E132" i="24"/>
  <c r="F214" i="24"/>
  <c r="E214" i="24"/>
  <c r="D214" i="24"/>
  <c r="C214" i="24"/>
  <c r="H214" i="24"/>
  <c r="G214" i="24"/>
  <c r="H121" i="24"/>
  <c r="G121" i="24"/>
  <c r="D121" i="24"/>
  <c r="C121" i="24"/>
  <c r="F121" i="24"/>
  <c r="E121" i="24"/>
  <c r="H276" i="24"/>
  <c r="G276" i="24"/>
  <c r="F276" i="24"/>
  <c r="E276" i="24"/>
  <c r="C276" i="24"/>
  <c r="D276" i="24"/>
  <c r="C90" i="24"/>
  <c r="G90" i="24"/>
  <c r="E90" i="24"/>
  <c r="D90" i="24"/>
  <c r="H90" i="24"/>
  <c r="F90" i="24"/>
  <c r="E173" i="24"/>
  <c r="D173" i="24"/>
  <c r="C173" i="24"/>
  <c r="G173" i="24"/>
  <c r="H173" i="24"/>
  <c r="F173" i="24"/>
  <c r="H130" i="24"/>
  <c r="G130" i="24"/>
  <c r="F130" i="24"/>
  <c r="E130" i="24"/>
  <c r="D130" i="24"/>
  <c r="C130" i="24"/>
  <c r="H42" i="22"/>
  <c r="G42" i="22"/>
  <c r="C45" i="24"/>
  <c r="G45" i="24"/>
  <c r="E45" i="24"/>
  <c r="H45" i="24"/>
  <c r="F45" i="24"/>
  <c r="D45" i="24"/>
  <c r="D238" i="24"/>
  <c r="H238" i="24"/>
  <c r="G238" i="24"/>
  <c r="E238" i="24"/>
  <c r="C238" i="24"/>
  <c r="F238" i="24"/>
  <c r="H176" i="24"/>
  <c r="G176" i="24"/>
  <c r="D176" i="24"/>
  <c r="F176" i="24"/>
  <c r="E176" i="24"/>
  <c r="C176" i="24"/>
  <c r="E29" i="22"/>
  <c r="H206" i="24"/>
  <c r="G206" i="24"/>
  <c r="E206" i="24"/>
  <c r="D206" i="24"/>
  <c r="C206" i="24"/>
  <c r="F206" i="24"/>
  <c r="D268" i="24"/>
  <c r="E268" i="24"/>
  <c r="C268" i="24"/>
  <c r="H268" i="24"/>
  <c r="G268" i="24"/>
  <c r="F268" i="24"/>
  <c r="G79" i="24"/>
  <c r="F79" i="24"/>
  <c r="E79" i="24"/>
  <c r="D79" i="24"/>
  <c r="C79" i="24"/>
  <c r="H79" i="24"/>
  <c r="G61" i="24"/>
  <c r="F61" i="24"/>
  <c r="E61" i="24"/>
  <c r="D61" i="24"/>
  <c r="C61" i="24"/>
  <c r="H61" i="24"/>
  <c r="H182" i="24"/>
  <c r="G182" i="24"/>
  <c r="D182" i="24"/>
  <c r="F182" i="24"/>
  <c r="E182" i="24"/>
  <c r="C182" i="24"/>
  <c r="C12" i="24"/>
  <c r="G12" i="24"/>
  <c r="F12" i="24"/>
  <c r="E12" i="24"/>
  <c r="D12" i="24"/>
  <c r="H12" i="24"/>
  <c r="E146" i="24"/>
  <c r="D146" i="24"/>
  <c r="C146" i="24"/>
  <c r="H146" i="24"/>
  <c r="F146" i="24"/>
  <c r="G146" i="24"/>
  <c r="E152" i="24"/>
  <c r="D152" i="24"/>
  <c r="C152" i="24"/>
  <c r="H152" i="24"/>
  <c r="F152" i="24"/>
  <c r="G152" i="24"/>
  <c r="G55" i="24"/>
  <c r="F55" i="24"/>
  <c r="E55" i="24"/>
  <c r="D55" i="24"/>
  <c r="C55" i="24"/>
  <c r="H55" i="24"/>
  <c r="D280" i="24"/>
  <c r="H280" i="24"/>
  <c r="F280" i="24"/>
  <c r="E280" i="24"/>
  <c r="C280" i="24"/>
  <c r="G280" i="24"/>
  <c r="G91" i="24"/>
  <c r="F91" i="24"/>
  <c r="E91" i="24"/>
  <c r="D91" i="24"/>
  <c r="C91" i="24"/>
  <c r="H91" i="24"/>
  <c r="F211" i="24"/>
  <c r="E211" i="24"/>
  <c r="D211" i="24"/>
  <c r="C211" i="24"/>
  <c r="H211" i="24"/>
  <c r="G211" i="24"/>
  <c r="F220" i="24"/>
  <c r="E220" i="24"/>
  <c r="D220" i="24"/>
  <c r="C220" i="24"/>
  <c r="H220" i="24"/>
  <c r="G220" i="24"/>
  <c r="H41" i="24"/>
  <c r="F41" i="24"/>
  <c r="E41" i="24"/>
  <c r="C41" i="24"/>
  <c r="G41" i="24"/>
  <c r="D41" i="24"/>
  <c r="H40" i="22"/>
  <c r="G40" i="22"/>
  <c r="H77" i="24"/>
  <c r="G77" i="24"/>
  <c r="F77" i="24"/>
  <c r="E77" i="24"/>
  <c r="C77" i="24"/>
  <c r="D77" i="24"/>
  <c r="H281" i="24"/>
  <c r="D281" i="24"/>
  <c r="F281" i="24"/>
  <c r="E281" i="24"/>
  <c r="C281" i="24"/>
  <c r="G281" i="24"/>
  <c r="E22" i="22"/>
  <c r="H147" i="24"/>
  <c r="G147" i="24"/>
  <c r="D147" i="24"/>
  <c r="C147" i="24"/>
  <c r="F147" i="24"/>
  <c r="E147" i="24"/>
  <c r="G34" i="24"/>
  <c r="F34" i="24"/>
  <c r="E34" i="24"/>
  <c r="D34" i="24"/>
  <c r="H34" i="24"/>
  <c r="C34" i="24"/>
  <c r="E27" i="22"/>
  <c r="G10" i="24"/>
  <c r="D10" i="24"/>
  <c r="H10" i="24"/>
  <c r="F10" i="24"/>
  <c r="E10" i="24"/>
  <c r="C10" i="24"/>
  <c r="E125" i="24"/>
  <c r="D125" i="24"/>
  <c r="C125" i="24"/>
  <c r="H125" i="24"/>
  <c r="G125" i="24"/>
  <c r="F125" i="24"/>
  <c r="G64" i="24"/>
  <c r="F64" i="24"/>
  <c r="E64" i="24"/>
  <c r="D64" i="24"/>
  <c r="C64" i="24"/>
  <c r="H64" i="24"/>
  <c r="F208" i="24"/>
  <c r="E208" i="24"/>
  <c r="D208" i="24"/>
  <c r="C208" i="24"/>
  <c r="H208" i="24"/>
  <c r="G208" i="24"/>
  <c r="C48" i="24"/>
  <c r="G48" i="24"/>
  <c r="E48" i="24"/>
  <c r="H48" i="24"/>
  <c r="F48" i="24"/>
  <c r="D48" i="24"/>
  <c r="H24" i="22"/>
  <c r="G24" i="22"/>
  <c r="C39" i="24"/>
  <c r="E39" i="24"/>
  <c r="F39" i="24"/>
  <c r="D39" i="24"/>
  <c r="H39" i="24"/>
  <c r="G39" i="24"/>
  <c r="H209" i="24"/>
  <c r="G209" i="24"/>
  <c r="E209" i="24"/>
  <c r="D209" i="24"/>
  <c r="F209" i="24"/>
  <c r="C209" i="24"/>
  <c r="H68" i="24"/>
  <c r="G68" i="24"/>
  <c r="F68" i="24"/>
  <c r="E68" i="24"/>
  <c r="C68" i="24"/>
  <c r="D68" i="24"/>
  <c r="H191" i="24"/>
  <c r="G191" i="24"/>
  <c r="D191" i="24"/>
  <c r="F191" i="24"/>
  <c r="C191" i="24"/>
  <c r="E191" i="24"/>
  <c r="H288" i="24"/>
  <c r="C288" i="24"/>
  <c r="G288" i="24"/>
  <c r="F288" i="24"/>
  <c r="E288" i="24"/>
  <c r="D288" i="24"/>
  <c r="H102" i="24"/>
  <c r="D102" i="24"/>
  <c r="C102" i="24"/>
  <c r="G102" i="24"/>
  <c r="E102" i="24"/>
  <c r="F102" i="24"/>
  <c r="J24" i="8"/>
  <c r="T60" i="8" s="1"/>
  <c r="H13" i="4"/>
  <c r="G13" i="4"/>
  <c r="E24" i="8"/>
  <c r="T55" i="8" s="1"/>
  <c r="D304" i="24"/>
  <c r="E304" i="24"/>
  <c r="C304" i="24"/>
  <c r="H304" i="24"/>
  <c r="G304" i="24"/>
  <c r="F304" i="24"/>
  <c r="H115" i="24"/>
  <c r="G115" i="24"/>
  <c r="F115" i="24"/>
  <c r="E115" i="24"/>
  <c r="D115" i="24"/>
  <c r="C115" i="24"/>
  <c r="F202" i="24"/>
  <c r="E202" i="24"/>
  <c r="D202" i="24"/>
  <c r="C202" i="24"/>
  <c r="H202" i="24"/>
  <c r="G202" i="24"/>
  <c r="C33" i="24"/>
  <c r="E33" i="24"/>
  <c r="G33" i="24"/>
  <c r="F33" i="24"/>
  <c r="D33" i="24"/>
  <c r="H33" i="24"/>
  <c r="H246" i="24"/>
  <c r="D246" i="24"/>
  <c r="C246" i="24"/>
  <c r="G246" i="24"/>
  <c r="F246" i="24"/>
  <c r="E246" i="24"/>
  <c r="C93" i="24"/>
  <c r="G93" i="24"/>
  <c r="E93" i="24"/>
  <c r="H93" i="24"/>
  <c r="F93" i="24"/>
  <c r="D93" i="24"/>
  <c r="G26" i="22"/>
  <c r="H26" i="22"/>
  <c r="H218" i="24"/>
  <c r="G218" i="24"/>
  <c r="E218" i="24"/>
  <c r="D218" i="24"/>
  <c r="F218" i="24"/>
  <c r="C218" i="24"/>
  <c r="C27" i="24"/>
  <c r="G27" i="24"/>
  <c r="E27" i="24"/>
  <c r="F27" i="24"/>
  <c r="D27" i="24"/>
  <c r="H27" i="24"/>
  <c r="H14" i="22"/>
  <c r="G14" i="22"/>
  <c r="H239" i="24"/>
  <c r="D239" i="24"/>
  <c r="G239" i="24"/>
  <c r="F239" i="24"/>
  <c r="E239" i="24"/>
  <c r="C239" i="24"/>
  <c r="H62" i="24"/>
  <c r="G62" i="24"/>
  <c r="F62" i="24"/>
  <c r="E62" i="24"/>
  <c r="C62" i="24"/>
  <c r="D62" i="24"/>
  <c r="H215" i="24"/>
  <c r="G215" i="24"/>
  <c r="E215" i="24"/>
  <c r="D215" i="24"/>
  <c r="F215" i="24"/>
  <c r="C215" i="24"/>
  <c r="H305" i="24"/>
  <c r="D305" i="24"/>
  <c r="G305" i="24"/>
  <c r="F305" i="24"/>
  <c r="E305" i="24"/>
  <c r="C305" i="24"/>
  <c r="H144" i="24"/>
  <c r="G144" i="24"/>
  <c r="D144" i="24"/>
  <c r="C144" i="24"/>
  <c r="F144" i="24"/>
  <c r="E144" i="24"/>
  <c r="D289" i="24"/>
  <c r="H289" i="24"/>
  <c r="G289" i="24"/>
  <c r="F289" i="24"/>
  <c r="E289" i="24"/>
  <c r="C289" i="24"/>
  <c r="D259" i="24"/>
  <c r="E259" i="24"/>
  <c r="H259" i="24"/>
  <c r="G259" i="24"/>
  <c r="F259" i="24"/>
  <c r="C259" i="24"/>
  <c r="H29" i="22"/>
  <c r="G29" i="22"/>
  <c r="D241" i="24"/>
  <c r="H241" i="24"/>
  <c r="E241" i="24"/>
  <c r="C241" i="24"/>
  <c r="G241" i="24"/>
  <c r="F241" i="24"/>
  <c r="E128" i="24"/>
  <c r="D128" i="24"/>
  <c r="C128" i="24"/>
  <c r="H128" i="24"/>
  <c r="G128" i="24"/>
  <c r="F128" i="24"/>
  <c r="H43" i="22"/>
  <c r="G43" i="22"/>
  <c r="F205" i="14"/>
  <c r="F201" i="14"/>
  <c r="F203" i="14"/>
  <c r="H249" i="24"/>
  <c r="G249" i="24"/>
  <c r="F249" i="24"/>
  <c r="E249" i="24"/>
  <c r="C249" i="24"/>
  <c r="D249" i="24"/>
  <c r="H141" i="24"/>
  <c r="G141" i="24"/>
  <c r="D141" i="24"/>
  <c r="C141" i="24"/>
  <c r="F141" i="24"/>
  <c r="E141" i="24"/>
  <c r="H21" i="22"/>
  <c r="G21" i="22"/>
  <c r="E44" i="22"/>
  <c r="H272" i="24"/>
  <c r="D272" i="24"/>
  <c r="F272" i="24"/>
  <c r="E272" i="24"/>
  <c r="C272" i="24"/>
  <c r="G272" i="24"/>
  <c r="H145" i="24"/>
  <c r="G145" i="24"/>
  <c r="E145" i="24"/>
  <c r="F145" i="24"/>
  <c r="D145" i="24"/>
  <c r="C145" i="24"/>
  <c r="E149" i="24"/>
  <c r="D149" i="24"/>
  <c r="C149" i="24"/>
  <c r="H149" i="24"/>
  <c r="F149" i="24"/>
  <c r="G149" i="24"/>
  <c r="D277" i="24"/>
  <c r="E277" i="24"/>
  <c r="C277" i="24"/>
  <c r="H277" i="24"/>
  <c r="G277" i="24"/>
  <c r="F277" i="24"/>
  <c r="G85" i="24"/>
  <c r="F85" i="24"/>
  <c r="E85" i="24"/>
  <c r="D85" i="24"/>
  <c r="C85" i="24"/>
  <c r="H85" i="24"/>
  <c r="H231" i="24"/>
  <c r="G231" i="24"/>
  <c r="F231" i="24"/>
  <c r="E231" i="24"/>
  <c r="C231" i="24"/>
  <c r="D231" i="24"/>
  <c r="H124" i="24"/>
  <c r="G124" i="24"/>
  <c r="F124" i="24"/>
  <c r="D124" i="24"/>
  <c r="E124" i="24"/>
  <c r="C124" i="24"/>
  <c r="I7" i="22"/>
  <c r="E196" i="24"/>
  <c r="D196" i="24"/>
  <c r="C196" i="24"/>
  <c r="H196" i="24"/>
  <c r="F196" i="24"/>
  <c r="G196" i="24"/>
  <c r="C15" i="24"/>
  <c r="H15" i="24"/>
  <c r="G15" i="24"/>
  <c r="F15" i="24"/>
  <c r="E15" i="24"/>
  <c r="D15" i="24"/>
  <c r="H263" i="24"/>
  <c r="D263" i="24"/>
  <c r="F263" i="24"/>
  <c r="E263" i="24"/>
  <c r="C263" i="24"/>
  <c r="G263" i="24"/>
  <c r="H129" i="24"/>
  <c r="G129" i="24"/>
  <c r="D129" i="24"/>
  <c r="C129" i="24"/>
  <c r="E129" i="24"/>
  <c r="F129" i="24"/>
  <c r="E190" i="24"/>
  <c r="D190" i="24"/>
  <c r="C190" i="24"/>
  <c r="H190" i="24"/>
  <c r="G190" i="24"/>
  <c r="F190" i="24"/>
  <c r="H11" i="24"/>
  <c r="G11" i="24"/>
  <c r="E11" i="24"/>
  <c r="C11" i="24"/>
  <c r="F11" i="24"/>
  <c r="D11" i="24"/>
  <c r="H183" i="24"/>
  <c r="G183" i="24"/>
  <c r="F183" i="24"/>
  <c r="D183" i="24"/>
  <c r="E183" i="24"/>
  <c r="C183" i="24"/>
  <c r="H163" i="24"/>
  <c r="G163" i="24"/>
  <c r="E163" i="24"/>
  <c r="F163" i="24"/>
  <c r="D163" i="24"/>
  <c r="C163" i="24"/>
  <c r="H243" i="24"/>
  <c r="G243" i="24"/>
  <c r="F243" i="24"/>
  <c r="E243" i="24"/>
  <c r="D243" i="24"/>
  <c r="C243" i="24"/>
  <c r="C87" i="24"/>
  <c r="G87" i="24"/>
  <c r="E87" i="24"/>
  <c r="H87" i="24"/>
  <c r="F87" i="24"/>
  <c r="D87" i="24"/>
  <c r="H27" i="22"/>
  <c r="G27" i="22"/>
  <c r="D250" i="24"/>
  <c r="H250" i="24"/>
  <c r="G250" i="24"/>
  <c r="F250" i="24"/>
  <c r="E250" i="24"/>
  <c r="C250" i="24"/>
  <c r="D184" i="24"/>
  <c r="C184" i="24"/>
  <c r="G184" i="24"/>
  <c r="F184" i="24"/>
  <c r="E184" i="24"/>
  <c r="H184" i="24"/>
  <c r="D247" i="24"/>
  <c r="H247" i="24"/>
  <c r="G247" i="24"/>
  <c r="E247" i="24"/>
  <c r="C247" i="24"/>
  <c r="F247" i="24"/>
  <c r="G70" i="24"/>
  <c r="F70" i="24"/>
  <c r="E70" i="24"/>
  <c r="D70" i="24"/>
  <c r="C70" i="24"/>
  <c r="H70" i="24"/>
  <c r="H89" i="24"/>
  <c r="G89" i="24"/>
  <c r="F89" i="24"/>
  <c r="E89" i="24"/>
  <c r="C89" i="24"/>
  <c r="D89" i="24"/>
  <c r="F226" i="24"/>
  <c r="E226" i="24"/>
  <c r="D226" i="24"/>
  <c r="C226" i="24"/>
  <c r="H226" i="24"/>
  <c r="G226" i="24"/>
  <c r="H162" i="24"/>
  <c r="G162" i="24"/>
  <c r="F162" i="24"/>
  <c r="D162" i="24"/>
  <c r="C162" i="24"/>
  <c r="E162" i="24"/>
  <c r="F210" i="14"/>
  <c r="F213" i="14" s="1"/>
  <c r="C35" i="14"/>
  <c r="C37" i="14" s="1"/>
  <c r="C34" i="14"/>
  <c r="C36" i="14" s="1"/>
  <c r="F212" i="14"/>
  <c r="F215" i="14" s="1"/>
  <c r="F232" i="14" s="1"/>
  <c r="F211" i="14"/>
  <c r="F214" i="14" s="1"/>
  <c r="F223" i="24"/>
  <c r="E223" i="24"/>
  <c r="D223" i="24"/>
  <c r="C223" i="24"/>
  <c r="G223" i="24"/>
  <c r="H223" i="24"/>
  <c r="H266" i="24"/>
  <c r="D266" i="24"/>
  <c r="F266" i="24"/>
  <c r="E266" i="24"/>
  <c r="G266" i="24"/>
  <c r="C266" i="24"/>
  <c r="H53" i="24"/>
  <c r="G53" i="24"/>
  <c r="F53" i="24"/>
  <c r="E53" i="24"/>
  <c r="C53" i="24"/>
  <c r="D53" i="24"/>
  <c r="H44" i="22"/>
  <c r="G44" i="22"/>
  <c r="H290" i="24"/>
  <c r="D290" i="24"/>
  <c r="F290" i="24"/>
  <c r="E290" i="24"/>
  <c r="C290" i="24"/>
  <c r="G290" i="24"/>
  <c r="C42" i="24"/>
  <c r="G42" i="24"/>
  <c r="E42" i="24"/>
  <c r="H42" i="24"/>
  <c r="F42" i="24"/>
  <c r="D42" i="24"/>
  <c r="F206" i="14"/>
  <c r="F202" i="14"/>
  <c r="C33" i="14"/>
  <c r="F204" i="14"/>
  <c r="H159" i="24"/>
  <c r="G159" i="24"/>
  <c r="F159" i="24"/>
  <c r="D159" i="24"/>
  <c r="C159" i="24"/>
  <c r="E159" i="24"/>
  <c r="G40" i="24"/>
  <c r="F40" i="24"/>
  <c r="E40" i="24"/>
  <c r="D40" i="24"/>
  <c r="C40" i="24"/>
  <c r="H40" i="24"/>
  <c r="G22" i="24"/>
  <c r="D22" i="24"/>
  <c r="H22" i="24"/>
  <c r="F22" i="24"/>
  <c r="C22" i="24"/>
  <c r="E22" i="24"/>
  <c r="H213" i="24"/>
  <c r="G213" i="24"/>
  <c r="F213" i="24"/>
  <c r="E213" i="24"/>
  <c r="D213" i="24"/>
  <c r="C213" i="24"/>
  <c r="H120" i="24"/>
  <c r="G120" i="24"/>
  <c r="D120" i="24"/>
  <c r="C120" i="24"/>
  <c r="F120" i="24"/>
  <c r="E120" i="24"/>
  <c r="D24" i="25"/>
  <c r="E23" i="25"/>
  <c r="D265" i="24"/>
  <c r="H265" i="24"/>
  <c r="G265" i="24"/>
  <c r="E265" i="24"/>
  <c r="C265" i="24"/>
  <c r="F265" i="24"/>
  <c r="H136" i="24"/>
  <c r="G136" i="24"/>
  <c r="E136" i="24"/>
  <c r="F136" i="24"/>
  <c r="D136" i="24"/>
  <c r="C136" i="24"/>
  <c r="H20" i="24"/>
  <c r="G20" i="24"/>
  <c r="E20" i="24"/>
  <c r="C20" i="24"/>
  <c r="F20" i="24"/>
  <c r="D20" i="24"/>
  <c r="H219" i="24"/>
  <c r="G219" i="24"/>
  <c r="F219" i="24"/>
  <c r="E219" i="24"/>
  <c r="D219" i="24"/>
  <c r="C219" i="24"/>
  <c r="H112" i="24"/>
  <c r="G112" i="24"/>
  <c r="F112" i="24"/>
  <c r="E112" i="24"/>
  <c r="D112" i="24"/>
  <c r="C112" i="24"/>
  <c r="H255" i="24"/>
  <c r="G255" i="24"/>
  <c r="D255" i="24"/>
  <c r="C255" i="24"/>
  <c r="F255" i="24"/>
  <c r="E255" i="24"/>
  <c r="D232" i="24"/>
  <c r="H232" i="24"/>
  <c r="G232" i="24"/>
  <c r="E232" i="24"/>
  <c r="F232" i="24"/>
  <c r="C232" i="24"/>
  <c r="G52" i="24"/>
  <c r="F52" i="24"/>
  <c r="E52" i="24"/>
  <c r="D52" i="24"/>
  <c r="C52" i="24"/>
  <c r="H52" i="24"/>
  <c r="H65" i="24"/>
  <c r="G65" i="24"/>
  <c r="F65" i="24"/>
  <c r="E65" i="24"/>
  <c r="C65" i="24"/>
  <c r="D65" i="24"/>
  <c r="D187" i="24"/>
  <c r="C187" i="24"/>
  <c r="H187" i="24"/>
  <c r="G187" i="24"/>
  <c r="E187" i="24"/>
  <c r="F187" i="24"/>
  <c r="D256" i="24"/>
  <c r="H256" i="24"/>
  <c r="G256" i="24"/>
  <c r="E256" i="24"/>
  <c r="C256" i="24"/>
  <c r="F256" i="24"/>
  <c r="H105" i="24"/>
  <c r="G105" i="24"/>
  <c r="D105" i="24"/>
  <c r="C105" i="24"/>
  <c r="F105" i="24"/>
  <c r="E105" i="24"/>
  <c r="G30" i="22"/>
  <c r="H30" i="22"/>
  <c r="D274" i="24"/>
  <c r="H274" i="24"/>
  <c r="G274" i="24"/>
  <c r="E274" i="24"/>
  <c r="C274" i="24"/>
  <c r="F274" i="24"/>
  <c r="H192" i="24"/>
  <c r="G192" i="24"/>
  <c r="F192" i="24"/>
  <c r="E192" i="24"/>
  <c r="D192" i="24"/>
  <c r="C192" i="24"/>
  <c r="G73" i="24"/>
  <c r="F73" i="24"/>
  <c r="E73" i="24"/>
  <c r="D73" i="24"/>
  <c r="C73" i="24"/>
  <c r="H73" i="24"/>
  <c r="H270" i="24"/>
  <c r="C270" i="24"/>
  <c r="G270" i="24"/>
  <c r="F270" i="24"/>
  <c r="E270" i="24"/>
  <c r="D270" i="24"/>
  <c r="H99" i="24"/>
  <c r="D99" i="24"/>
  <c r="C99" i="24"/>
  <c r="G99" i="24"/>
  <c r="F99" i="24"/>
  <c r="E99" i="24"/>
  <c r="H31" i="22"/>
  <c r="G31" i="22"/>
  <c r="H269" i="24"/>
  <c r="D269" i="24"/>
  <c r="G269" i="24"/>
  <c r="F269" i="24"/>
  <c r="E269" i="24"/>
  <c r="C269" i="24"/>
  <c r="E155" i="24"/>
  <c r="D155" i="24"/>
  <c r="C155" i="24"/>
  <c r="H155" i="24"/>
  <c r="F155" i="24"/>
  <c r="G155" i="24"/>
  <c r="H17" i="24"/>
  <c r="G17" i="24"/>
  <c r="F17" i="24"/>
  <c r="E17" i="24"/>
  <c r="D17" i="24"/>
  <c r="C17" i="24"/>
  <c r="H32" i="22"/>
  <c r="G32" i="22"/>
  <c r="H306" i="24"/>
  <c r="C306" i="24"/>
  <c r="G306" i="24"/>
  <c r="F306" i="24"/>
  <c r="E306" i="24"/>
  <c r="D306" i="24"/>
  <c r="H108" i="24"/>
  <c r="G108" i="24"/>
  <c r="D108" i="24"/>
  <c r="C108" i="24"/>
  <c r="E108" i="24"/>
  <c r="F108" i="24"/>
  <c r="H252" i="24"/>
  <c r="G252" i="24"/>
  <c r="F252" i="24"/>
  <c r="E252" i="24"/>
  <c r="D252" i="24"/>
  <c r="C252" i="24"/>
  <c r="E122" i="24"/>
  <c r="D122" i="24"/>
  <c r="C122" i="24"/>
  <c r="H122" i="24"/>
  <c r="G122" i="24"/>
  <c r="F122" i="24"/>
  <c r="H8" i="24"/>
  <c r="G8" i="24"/>
  <c r="F8" i="24"/>
  <c r="E8" i="24"/>
  <c r="D8" i="24"/>
  <c r="C8" i="24"/>
  <c r="H194" i="24"/>
  <c r="G194" i="24"/>
  <c r="D194" i="24"/>
  <c r="F194" i="24"/>
  <c r="E194" i="24"/>
  <c r="C194" i="24"/>
  <c r="G25" i="24"/>
  <c r="D25" i="24"/>
  <c r="C25" i="24"/>
  <c r="F25" i="24"/>
  <c r="H25" i="24"/>
  <c r="E25" i="24"/>
  <c r="H228" i="24"/>
  <c r="D228" i="24"/>
  <c r="C228" i="24"/>
  <c r="G228" i="24"/>
  <c r="F228" i="24"/>
  <c r="E228" i="24"/>
  <c r="H98" i="24"/>
  <c r="G98" i="24"/>
  <c r="E98" i="24"/>
  <c r="C98" i="24"/>
  <c r="F98" i="24"/>
  <c r="D98" i="24"/>
  <c r="G37" i="24"/>
  <c r="F37" i="24"/>
  <c r="E37" i="24"/>
  <c r="D37" i="24"/>
  <c r="C37" i="24"/>
  <c r="H37" i="24"/>
  <c r="H169" i="24"/>
  <c r="G169" i="24"/>
  <c r="E169" i="24"/>
  <c r="C169" i="24"/>
  <c r="F169" i="24"/>
  <c r="D169" i="24"/>
  <c r="C51" i="24"/>
  <c r="G51" i="24"/>
  <c r="E51" i="24"/>
  <c r="H51" i="24"/>
  <c r="F51" i="24"/>
  <c r="D51" i="24"/>
  <c r="D295" i="24"/>
  <c r="E295" i="24"/>
  <c r="C295" i="24"/>
  <c r="H295" i="24"/>
  <c r="G295" i="24"/>
  <c r="F295" i="24"/>
  <c r="H126" i="24"/>
  <c r="G126" i="24"/>
  <c r="D126" i="24"/>
  <c r="C126" i="24"/>
  <c r="E126" i="24"/>
  <c r="F126" i="24"/>
  <c r="G38" i="22"/>
  <c r="H38" i="22"/>
  <c r="C24" i="24"/>
  <c r="H24" i="24"/>
  <c r="G24" i="24"/>
  <c r="F24" i="24"/>
  <c r="E24" i="24"/>
  <c r="D24" i="24"/>
  <c r="H282" i="24"/>
  <c r="G282" i="24"/>
  <c r="F282" i="24"/>
  <c r="D282" i="24"/>
  <c r="C282" i="24"/>
  <c r="E282" i="24"/>
  <c r="E164" i="24"/>
  <c r="D164" i="24"/>
  <c r="C164" i="24"/>
  <c r="G164" i="24"/>
  <c r="H164" i="24"/>
  <c r="F164" i="24"/>
  <c r="H25" i="22"/>
  <c r="G25" i="22"/>
  <c r="H16" i="22"/>
  <c r="G16" i="22"/>
  <c r="H278" i="24"/>
  <c r="D278" i="24"/>
  <c r="G278" i="24"/>
  <c r="F278" i="24"/>
  <c r="E278" i="24"/>
  <c r="C278" i="24"/>
  <c r="G82" i="24"/>
  <c r="F82" i="24"/>
  <c r="E82" i="24"/>
  <c r="D82" i="24"/>
  <c r="C82" i="24"/>
  <c r="H82" i="24"/>
  <c r="G16" i="24"/>
  <c r="D16" i="24"/>
  <c r="C16" i="24"/>
  <c r="F16" i="24"/>
  <c r="H16" i="24"/>
  <c r="E16" i="24"/>
  <c r="H308" i="24"/>
  <c r="D308" i="24"/>
  <c r="F308" i="24"/>
  <c r="E308" i="24"/>
  <c r="C308" i="24"/>
  <c r="G308" i="24"/>
  <c r="G67" i="24"/>
  <c r="F67" i="24"/>
  <c r="E67" i="24"/>
  <c r="D67" i="24"/>
  <c r="C67" i="24"/>
  <c r="H67" i="24"/>
  <c r="H59" i="24"/>
  <c r="G59" i="24"/>
  <c r="F59" i="24"/>
  <c r="E59" i="24"/>
  <c r="C59" i="24"/>
  <c r="D59" i="24"/>
  <c r="D235" i="24"/>
  <c r="F235" i="24"/>
  <c r="E235" i="24"/>
  <c r="C235" i="24"/>
  <c r="H235" i="24"/>
  <c r="G235" i="24"/>
  <c r="G58" i="24"/>
  <c r="F58" i="24"/>
  <c r="E58" i="24"/>
  <c r="D58" i="24"/>
  <c r="C58" i="24"/>
  <c r="H58" i="24"/>
  <c r="G76" i="24"/>
  <c r="F76" i="24"/>
  <c r="E76" i="24"/>
  <c r="D76" i="24"/>
  <c r="C76" i="24"/>
  <c r="H76" i="24"/>
  <c r="H284" i="24"/>
  <c r="D284" i="24"/>
  <c r="F284" i="24"/>
  <c r="E284" i="24"/>
  <c r="C284" i="24"/>
  <c r="G284" i="24"/>
  <c r="E167" i="24"/>
  <c r="D167" i="24"/>
  <c r="C167" i="24"/>
  <c r="G167" i="24"/>
  <c r="H167" i="24"/>
  <c r="F167" i="24"/>
  <c r="H188" i="24"/>
  <c r="G188" i="24"/>
  <c r="D188" i="24"/>
  <c r="F188" i="24"/>
  <c r="E188" i="24"/>
  <c r="C188" i="24"/>
  <c r="E26" i="22"/>
  <c r="I9" i="16"/>
  <c r="D49" i="11" s="1"/>
  <c r="I8" i="16"/>
  <c r="C49" i="11" s="1"/>
  <c r="H309" i="24"/>
  <c r="G309" i="24"/>
  <c r="F309" i="24"/>
  <c r="E309" i="24"/>
  <c r="D309" i="24"/>
  <c r="C309" i="24"/>
  <c r="H97" i="24"/>
  <c r="G97" i="24"/>
  <c r="F97" i="24"/>
  <c r="E97" i="24"/>
  <c r="D97" i="24"/>
  <c r="C97" i="24"/>
  <c r="E13" i="22"/>
  <c r="H222" i="24"/>
  <c r="G222" i="24"/>
  <c r="F222" i="24"/>
  <c r="E222" i="24"/>
  <c r="D222" i="24"/>
  <c r="C222" i="24"/>
  <c r="C69" i="24"/>
  <c r="G69" i="24"/>
  <c r="E69" i="24"/>
  <c r="H69" i="24"/>
  <c r="F69" i="24"/>
  <c r="D69" i="24"/>
  <c r="H18" i="22"/>
  <c r="G18" i="22"/>
  <c r="H257" i="24"/>
  <c r="D257" i="24"/>
  <c r="F257" i="24"/>
  <c r="G257" i="24"/>
  <c r="E257" i="24"/>
  <c r="C257" i="24"/>
  <c r="H153" i="24"/>
  <c r="G153" i="24"/>
  <c r="D153" i="24"/>
  <c r="C153" i="24"/>
  <c r="F153" i="24"/>
  <c r="E153" i="24"/>
  <c r="H294" i="24"/>
  <c r="G294" i="24"/>
  <c r="F294" i="24"/>
  <c r="E294" i="24"/>
  <c r="C294" i="24"/>
  <c r="D294" i="24"/>
  <c r="C96" i="24"/>
  <c r="G96" i="24"/>
  <c r="E96" i="24"/>
  <c r="H96" i="24"/>
  <c r="F96" i="24"/>
  <c r="D96" i="24"/>
  <c r="E177" i="13"/>
  <c r="D177" i="13"/>
  <c r="H204" i="24"/>
  <c r="G204" i="24"/>
  <c r="E204" i="24"/>
  <c r="C204" i="24"/>
  <c r="D204" i="24"/>
  <c r="F204" i="24"/>
  <c r="H156" i="24"/>
  <c r="G156" i="24"/>
  <c r="F156" i="24"/>
  <c r="D156" i="24"/>
  <c r="C156" i="24"/>
  <c r="E156" i="24"/>
  <c r="H261" i="24"/>
  <c r="C261" i="24"/>
  <c r="G261" i="24"/>
  <c r="F261" i="24"/>
  <c r="E261" i="24"/>
  <c r="D261" i="24"/>
  <c r="C72" i="24"/>
  <c r="G72" i="24"/>
  <c r="E72" i="24"/>
  <c r="D72" i="24"/>
  <c r="H72" i="24"/>
  <c r="F72" i="24"/>
  <c r="E41" i="22"/>
  <c r="H71" i="24"/>
  <c r="G71" i="24"/>
  <c r="F71" i="24"/>
  <c r="E71" i="24"/>
  <c r="C71" i="24"/>
  <c r="D71" i="24"/>
  <c r="H12" i="22"/>
  <c r="G12" i="22"/>
  <c r="D181" i="24"/>
  <c r="C181" i="24"/>
  <c r="H181" i="24"/>
  <c r="G181" i="24"/>
  <c r="E181" i="24"/>
  <c r="F181" i="24"/>
  <c r="G46" i="24"/>
  <c r="F46" i="24"/>
  <c r="E46" i="24"/>
  <c r="D46" i="24"/>
  <c r="C46" i="24"/>
  <c r="H46" i="24"/>
  <c r="C63" i="24"/>
  <c r="G63" i="24"/>
  <c r="E63" i="24"/>
  <c r="D63" i="24"/>
  <c r="H63" i="24"/>
  <c r="F63" i="24"/>
  <c r="H264" i="24"/>
  <c r="G264" i="24"/>
  <c r="F264" i="24"/>
  <c r="D264" i="24"/>
  <c r="C264" i="24"/>
  <c r="E264" i="24"/>
  <c r="C78" i="24"/>
  <c r="G78" i="24"/>
  <c r="E78" i="24"/>
  <c r="H78" i="24"/>
  <c r="F78" i="24"/>
  <c r="D78" i="24"/>
  <c r="C9" i="24"/>
  <c r="E9" i="24"/>
  <c r="H9" i="24"/>
  <c r="G9" i="24"/>
  <c r="F9" i="24"/>
  <c r="D9" i="24"/>
  <c r="H260" i="24"/>
  <c r="D260" i="24"/>
  <c r="G260" i="24"/>
  <c r="F260" i="24"/>
  <c r="E260" i="24"/>
  <c r="C260" i="24"/>
  <c r="H117" i="24"/>
  <c r="G117" i="24"/>
  <c r="D117" i="24"/>
  <c r="C117" i="24"/>
  <c r="F117" i="24"/>
  <c r="E117" i="24"/>
  <c r="G34" i="22"/>
  <c r="H34" i="22"/>
  <c r="H302" i="24"/>
  <c r="D302" i="24"/>
  <c r="F302" i="24"/>
  <c r="E302" i="24"/>
  <c r="C302" i="24"/>
  <c r="G302" i="24"/>
  <c r="C54" i="24"/>
  <c r="G54" i="24"/>
  <c r="E54" i="24"/>
  <c r="D54" i="24"/>
  <c r="H54" i="24"/>
  <c r="F54" i="24"/>
  <c r="E170" i="24"/>
  <c r="D170" i="24"/>
  <c r="C170" i="24"/>
  <c r="G170" i="24"/>
  <c r="H170" i="24"/>
  <c r="F170" i="24"/>
  <c r="C316" i="17"/>
  <c r="G6" i="17"/>
  <c r="H225" i="24"/>
  <c r="F225" i="24"/>
  <c r="E225" i="24"/>
  <c r="D225" i="24"/>
  <c r="C225" i="24"/>
  <c r="G225" i="24"/>
  <c r="H127" i="24"/>
  <c r="G127" i="24"/>
  <c r="F127" i="24"/>
  <c r="E127" i="24"/>
  <c r="D127" i="24"/>
  <c r="C127" i="24"/>
  <c r="H13" i="22"/>
  <c r="G13" i="22"/>
  <c r="H245" i="24"/>
  <c r="D245" i="24"/>
  <c r="F245" i="24"/>
  <c r="E245" i="24"/>
  <c r="G245" i="24"/>
  <c r="C245" i="24"/>
  <c r="D104" i="24"/>
  <c r="H104" i="24"/>
  <c r="G104" i="24"/>
  <c r="E104" i="24"/>
  <c r="F104" i="24"/>
  <c r="C104" i="24"/>
  <c r="I12" i="16"/>
  <c r="C58" i="11" s="1"/>
  <c r="H210" i="24"/>
  <c r="G210" i="24"/>
  <c r="F210" i="24"/>
  <c r="E210" i="24"/>
  <c r="D210" i="24"/>
  <c r="C210" i="24"/>
  <c r="E143" i="24"/>
  <c r="D143" i="24"/>
  <c r="C143" i="24"/>
  <c r="H143" i="24"/>
  <c r="F143" i="24"/>
  <c r="G143" i="24"/>
  <c r="H248" i="24"/>
  <c r="D248" i="24"/>
  <c r="G248" i="24"/>
  <c r="E248" i="24"/>
  <c r="F248" i="24"/>
  <c r="C248" i="24"/>
  <c r="H135" i="24"/>
  <c r="G135" i="24"/>
  <c r="D135" i="24"/>
  <c r="C135" i="24"/>
  <c r="F135" i="24"/>
  <c r="E135" i="24"/>
  <c r="E193" i="24"/>
  <c r="D193" i="24"/>
  <c r="C193" i="24"/>
  <c r="G193" i="24"/>
  <c r="H193" i="24"/>
  <c r="F193" i="24"/>
  <c r="H23" i="24"/>
  <c r="E23" i="24"/>
  <c r="D23" i="24"/>
  <c r="C23" i="24"/>
  <c r="G23" i="24"/>
  <c r="F23" i="24"/>
  <c r="H224" i="24"/>
  <c r="G224" i="24"/>
  <c r="E224" i="24"/>
  <c r="D224" i="24"/>
  <c r="F224" i="24"/>
  <c r="C224" i="24"/>
  <c r="E107" i="24"/>
  <c r="D107" i="24"/>
  <c r="C107" i="24"/>
  <c r="H107" i="24"/>
  <c r="G107" i="24"/>
  <c r="F107" i="24"/>
  <c r="H41" i="22"/>
  <c r="G41" i="22"/>
  <c r="C18" i="24"/>
  <c r="G18" i="24"/>
  <c r="E18" i="24"/>
  <c r="H18" i="24"/>
  <c r="D18" i="24"/>
  <c r="F18" i="24"/>
  <c r="H216" i="24"/>
  <c r="G216" i="24"/>
  <c r="F216" i="24"/>
  <c r="E216" i="24"/>
  <c r="D216" i="24"/>
  <c r="C216" i="24"/>
  <c r="H86" i="24"/>
  <c r="G86" i="24"/>
  <c r="F86" i="24"/>
  <c r="E86" i="24"/>
  <c r="C86" i="24"/>
  <c r="D86" i="24"/>
  <c r="G31" i="24"/>
  <c r="E31" i="24"/>
  <c r="D31" i="24"/>
  <c r="F31" i="24"/>
  <c r="H31" i="24"/>
  <c r="C31" i="24"/>
  <c r="I11" i="22"/>
  <c r="F199" i="24"/>
  <c r="E199" i="24"/>
  <c r="D199" i="24"/>
  <c r="C199" i="24"/>
  <c r="H199" i="24"/>
  <c r="G199" i="24"/>
  <c r="H157" i="24"/>
  <c r="G157" i="24"/>
  <c r="E157" i="24"/>
  <c r="F157" i="24"/>
  <c r="D157" i="24"/>
  <c r="C157" i="24"/>
  <c r="H35" i="24"/>
  <c r="E35" i="24"/>
  <c r="G35" i="24"/>
  <c r="F35" i="24"/>
  <c r="D35" i="24"/>
  <c r="C35" i="24"/>
  <c r="H36" i="22"/>
  <c r="G36" i="22"/>
  <c r="G13" i="24"/>
  <c r="D13" i="24"/>
  <c r="H13" i="24"/>
  <c r="F13" i="24"/>
  <c r="C13" i="24"/>
  <c r="E13" i="24"/>
  <c r="H291" i="24"/>
  <c r="G291" i="24"/>
  <c r="F291" i="24"/>
  <c r="E291" i="24"/>
  <c r="D291" i="24"/>
  <c r="C291" i="24"/>
  <c r="H180" i="24"/>
  <c r="F180" i="24"/>
  <c r="E180" i="24"/>
  <c r="D180" i="24"/>
  <c r="C180" i="24"/>
  <c r="G180" i="24"/>
  <c r="I6" i="16"/>
  <c r="C46" i="11" s="1"/>
  <c r="H233" i="24"/>
  <c r="D233" i="24"/>
  <c r="G233" i="24"/>
  <c r="F233" i="24"/>
  <c r="E233" i="24"/>
  <c r="C233" i="24"/>
  <c r="H92" i="24"/>
  <c r="G92" i="24"/>
  <c r="F92" i="24"/>
  <c r="E92" i="24"/>
  <c r="C92" i="24"/>
  <c r="D92" i="24"/>
  <c r="H38" i="24"/>
  <c r="F38" i="24"/>
  <c r="E38" i="24"/>
  <c r="G38" i="24"/>
  <c r="D38" i="24"/>
  <c r="C38" i="24"/>
  <c r="H198" i="24"/>
  <c r="C198" i="24"/>
  <c r="G198" i="24"/>
  <c r="E198" i="24"/>
  <c r="F198" i="24"/>
  <c r="D198" i="24"/>
  <c r="H138" i="24"/>
  <c r="G138" i="24"/>
  <c r="D138" i="24"/>
  <c r="C138" i="24"/>
  <c r="F138" i="24"/>
  <c r="E138" i="24"/>
  <c r="H207" i="24"/>
  <c r="G207" i="24"/>
  <c r="F207" i="24"/>
  <c r="E207" i="24"/>
  <c r="D207" i="24"/>
  <c r="C207" i="24"/>
  <c r="H154" i="24"/>
  <c r="G154" i="24"/>
  <c r="E154" i="24"/>
  <c r="F154" i="24"/>
  <c r="D154" i="24"/>
  <c r="C154" i="24"/>
  <c r="C75" i="24"/>
  <c r="G75" i="24"/>
  <c r="E75" i="24"/>
  <c r="H75" i="24"/>
  <c r="F75" i="24"/>
  <c r="D75" i="24"/>
  <c r="H174" i="24"/>
  <c r="G174" i="24"/>
  <c r="F174" i="24"/>
  <c r="E174" i="24"/>
  <c r="D174" i="24"/>
  <c r="C174" i="24"/>
  <c r="H106" i="24"/>
  <c r="G106" i="24"/>
  <c r="F106" i="24"/>
  <c r="D106" i="24"/>
  <c r="E106" i="24"/>
  <c r="C106" i="24"/>
  <c r="H47" i="24"/>
  <c r="F47" i="24"/>
  <c r="E47" i="24"/>
  <c r="C47" i="24"/>
  <c r="G47" i="24"/>
  <c r="D47" i="24"/>
  <c r="H258" i="24"/>
  <c r="G258" i="24"/>
  <c r="F258" i="24"/>
  <c r="E258" i="24"/>
  <c r="C258" i="24"/>
  <c r="D258" i="24"/>
  <c r="H254" i="24"/>
  <c r="D254" i="24"/>
  <c r="F254" i="24"/>
  <c r="E254" i="24"/>
  <c r="C254" i="24"/>
  <c r="G254" i="24"/>
  <c r="C36" i="24"/>
  <c r="E36" i="24"/>
  <c r="F36" i="24"/>
  <c r="D36" i="24"/>
  <c r="H36" i="24"/>
  <c r="G36" i="24"/>
  <c r="H227" i="24"/>
  <c r="D227" i="24"/>
  <c r="F227" i="24"/>
  <c r="E227" i="24"/>
  <c r="G227" i="24"/>
  <c r="C227" i="24"/>
  <c r="C57" i="24"/>
  <c r="G57" i="24"/>
  <c r="E57" i="24"/>
  <c r="H57" i="24"/>
  <c r="F57" i="24"/>
  <c r="D57" i="24"/>
  <c r="E35" i="22"/>
  <c r="H44" i="24"/>
  <c r="F44" i="24"/>
  <c r="E44" i="24"/>
  <c r="C44" i="24"/>
  <c r="G44" i="24"/>
  <c r="D44" i="24"/>
  <c r="H234" i="24"/>
  <c r="G234" i="24"/>
  <c r="F234" i="24"/>
  <c r="E234" i="24"/>
  <c r="D234" i="24"/>
  <c r="C234" i="24"/>
  <c r="C81" i="24"/>
  <c r="G81" i="24"/>
  <c r="E81" i="24"/>
  <c r="D81" i="24"/>
  <c r="H81" i="24"/>
  <c r="F81" i="24"/>
  <c r="H22" i="22"/>
  <c r="G22" i="22"/>
  <c r="H299" i="24"/>
  <c r="D299" i="24"/>
  <c r="F299" i="24"/>
  <c r="E299" i="24"/>
  <c r="C299" i="24"/>
  <c r="G299" i="24"/>
  <c r="H168" i="24"/>
  <c r="G168" i="24"/>
  <c r="F168" i="24"/>
  <c r="D168" i="24"/>
  <c r="C168" i="24"/>
  <c r="E168" i="24"/>
  <c r="G43" i="24"/>
  <c r="F43" i="24"/>
  <c r="E43" i="24"/>
  <c r="D43" i="24"/>
  <c r="C43" i="24"/>
  <c r="H43" i="24"/>
  <c r="H279" i="24"/>
  <c r="C279" i="24"/>
  <c r="G279" i="24"/>
  <c r="F279" i="24"/>
  <c r="E279" i="24"/>
  <c r="D279" i="24"/>
  <c r="H165" i="24"/>
  <c r="G165" i="24"/>
  <c r="F165" i="24"/>
  <c r="D165" i="24"/>
  <c r="C165" i="24"/>
  <c r="E165" i="24"/>
  <c r="H23" i="22"/>
  <c r="G23" i="22"/>
  <c r="H221" i="24"/>
  <c r="G221" i="24"/>
  <c r="E221" i="24"/>
  <c r="D221" i="24"/>
  <c r="F221" i="24"/>
  <c r="C221" i="24"/>
  <c r="H80" i="24"/>
  <c r="G80" i="24"/>
  <c r="F80" i="24"/>
  <c r="E80" i="24"/>
  <c r="C80" i="24"/>
  <c r="D80" i="24"/>
  <c r="H32" i="24"/>
  <c r="E32" i="24"/>
  <c r="G32" i="24"/>
  <c r="F32" i="24"/>
  <c r="D32" i="24"/>
  <c r="C32" i="24"/>
  <c r="H240" i="24"/>
  <c r="G240" i="24"/>
  <c r="F240" i="24"/>
  <c r="E240" i="24"/>
  <c r="C240" i="24"/>
  <c r="D240" i="24"/>
  <c r="E110" i="24"/>
  <c r="D110" i="24"/>
  <c r="C110" i="24"/>
  <c r="H110" i="24"/>
  <c r="G110" i="24"/>
  <c r="F110" i="24"/>
  <c r="H142" i="24"/>
  <c r="G142" i="24"/>
  <c r="E142" i="24"/>
  <c r="F142" i="24"/>
  <c r="D142" i="24"/>
  <c r="C142" i="24"/>
  <c r="H197" i="24"/>
  <c r="G197" i="24"/>
  <c r="E197" i="24"/>
  <c r="D197" i="24"/>
  <c r="F197" i="24"/>
  <c r="C197" i="24"/>
  <c r="H56" i="24"/>
  <c r="G56" i="24"/>
  <c r="F56" i="24"/>
  <c r="E56" i="24"/>
  <c r="C56" i="24"/>
  <c r="D56" i="24"/>
  <c r="D168" i="11"/>
  <c r="H212" i="24"/>
  <c r="G212" i="24"/>
  <c r="E212" i="24"/>
  <c r="D212" i="24"/>
  <c r="C212" i="24"/>
  <c r="F212" i="24"/>
  <c r="H95" i="24"/>
  <c r="G95" i="24"/>
  <c r="F95" i="24"/>
  <c r="E95" i="24"/>
  <c r="C95" i="24"/>
  <c r="D95" i="24"/>
  <c r="H37" i="22"/>
  <c r="G37" i="22"/>
  <c r="C6" i="24"/>
  <c r="E6" i="24"/>
  <c r="H6" i="24"/>
  <c r="G6" i="24"/>
  <c r="F6" i="24"/>
  <c r="D6" i="24"/>
  <c r="H251" i="24"/>
  <c r="D251" i="24"/>
  <c r="G251" i="24"/>
  <c r="F251" i="24"/>
  <c r="E251" i="24"/>
  <c r="C251" i="24"/>
  <c r="E30" i="22"/>
  <c r="F205" i="24"/>
  <c r="E205" i="24"/>
  <c r="D205" i="24"/>
  <c r="C205" i="24"/>
  <c r="H205" i="24"/>
  <c r="G205" i="24"/>
  <c r="G19" i="24"/>
  <c r="D19" i="24"/>
  <c r="H19" i="24"/>
  <c r="F19" i="24"/>
  <c r="E19" i="24"/>
  <c r="C19" i="24"/>
  <c r="H230" i="24"/>
  <c r="D230" i="24"/>
  <c r="G230" i="24"/>
  <c r="F230" i="24"/>
  <c r="E230" i="24"/>
  <c r="C230" i="24"/>
  <c r="D298" i="24"/>
  <c r="H298" i="24"/>
  <c r="G298" i="24"/>
  <c r="F298" i="24"/>
  <c r="E298" i="24"/>
  <c r="C298" i="24"/>
  <c r="H201" i="24"/>
  <c r="F201" i="24"/>
  <c r="D201" i="24"/>
  <c r="G201" i="24"/>
  <c r="E201" i="24"/>
  <c r="C201" i="24"/>
  <c r="E113" i="24"/>
  <c r="D113" i="24"/>
  <c r="C113" i="24"/>
  <c r="G113" i="24"/>
  <c r="F113" i="24"/>
  <c r="H113" i="24"/>
  <c r="H200" i="24"/>
  <c r="G200" i="24"/>
  <c r="E200" i="24"/>
  <c r="D200" i="24"/>
  <c r="F200" i="24"/>
  <c r="C200" i="24"/>
  <c r="F217" i="24"/>
  <c r="E217" i="24"/>
  <c r="D217" i="24"/>
  <c r="C217" i="24"/>
  <c r="G217" i="24"/>
  <c r="H217" i="24"/>
  <c r="H111" i="24"/>
  <c r="G111" i="24"/>
  <c r="D111" i="24"/>
  <c r="C111" i="24"/>
  <c r="E111" i="24"/>
  <c r="F111" i="24"/>
  <c r="H17" i="22"/>
  <c r="G17" i="22"/>
  <c r="H35" i="22"/>
  <c r="G35" i="22"/>
  <c r="H285" i="24"/>
  <c r="G285" i="24"/>
  <c r="F285" i="24"/>
  <c r="E285" i="24"/>
  <c r="C285" i="24"/>
  <c r="D285" i="24"/>
  <c r="E116" i="24"/>
  <c r="D116" i="24"/>
  <c r="C116" i="24"/>
  <c r="G116" i="24"/>
  <c r="H116" i="24"/>
  <c r="F116" i="24"/>
  <c r="H242" i="24"/>
  <c r="D242" i="24"/>
  <c r="G242" i="24"/>
  <c r="F242" i="24"/>
  <c r="E242" i="24"/>
  <c r="C242" i="24"/>
  <c r="E18" i="22"/>
  <c r="E15" i="22"/>
  <c r="H287" i="24"/>
  <c r="D287" i="24"/>
  <c r="G287" i="24"/>
  <c r="F287" i="24"/>
  <c r="E287" i="24"/>
  <c r="C287" i="24"/>
  <c r="H150" i="24"/>
  <c r="G150" i="24"/>
  <c r="D150" i="24"/>
  <c r="C150" i="24"/>
  <c r="F150" i="24"/>
  <c r="E150" i="24"/>
  <c r="H267" i="24"/>
  <c r="G267" i="24"/>
  <c r="F267" i="24"/>
  <c r="E267" i="24"/>
  <c r="C267" i="24"/>
  <c r="D267" i="24"/>
  <c r="E140" i="24"/>
  <c r="D140" i="24"/>
  <c r="C140" i="24"/>
  <c r="H140" i="24"/>
  <c r="F140" i="24"/>
  <c r="G140" i="24"/>
  <c r="H19" i="22"/>
  <c r="G19" i="22"/>
  <c r="D271" i="24"/>
  <c r="H271" i="24"/>
  <c r="F271" i="24"/>
  <c r="E271" i="24"/>
  <c r="C271" i="24"/>
  <c r="G271" i="24"/>
  <c r="C84" i="24"/>
  <c r="G84" i="24"/>
  <c r="E84" i="24"/>
  <c r="H84" i="24"/>
  <c r="F84" i="24"/>
  <c r="D84" i="24"/>
  <c r="E45" i="22"/>
  <c r="D101" i="24"/>
  <c r="G101" i="24"/>
  <c r="F101" i="24"/>
  <c r="E101" i="24"/>
  <c r="C101" i="24"/>
  <c r="H101" i="24"/>
  <c r="D292" i="24"/>
  <c r="H292" i="24"/>
  <c r="G292" i="24"/>
  <c r="E292" i="24"/>
  <c r="C292" i="24"/>
  <c r="F292" i="24"/>
  <c r="H103" i="24"/>
  <c r="G103" i="24"/>
  <c r="F103" i="24"/>
  <c r="E103" i="24"/>
  <c r="D103" i="24"/>
  <c r="C103" i="24"/>
  <c r="D307" i="24"/>
  <c r="H307" i="24"/>
  <c r="G307" i="24"/>
  <c r="F307" i="24"/>
  <c r="E307" i="24"/>
  <c r="C307" i="24"/>
  <c r="G94" i="24"/>
  <c r="F94" i="24"/>
  <c r="E94" i="24"/>
  <c r="D94" i="24"/>
  <c r="C94" i="24"/>
  <c r="H94" i="24"/>
  <c r="G28" i="24"/>
  <c r="D28" i="24"/>
  <c r="H28" i="24"/>
  <c r="F28" i="24"/>
  <c r="E28" i="24"/>
  <c r="C28" i="24"/>
  <c r="D244" i="24"/>
  <c r="F244" i="24"/>
  <c r="E244" i="24"/>
  <c r="C244" i="24"/>
  <c r="H244" i="24"/>
  <c r="G244" i="24"/>
  <c r="D283" i="24"/>
  <c r="H283" i="24"/>
  <c r="G283" i="24"/>
  <c r="E283" i="24"/>
  <c r="C283" i="24"/>
  <c r="F283" i="24"/>
  <c r="D178" i="24"/>
  <c r="C178" i="24"/>
  <c r="G178" i="24"/>
  <c r="F178" i="24"/>
  <c r="E178" i="24"/>
  <c r="H178" i="24"/>
  <c r="H273" i="24"/>
  <c r="G273" i="24"/>
  <c r="F273" i="24"/>
  <c r="D273" i="24"/>
  <c r="C273" i="24"/>
  <c r="E273" i="24"/>
  <c r="H109" i="24"/>
  <c r="G109" i="24"/>
  <c r="F109" i="24"/>
  <c r="D109" i="24"/>
  <c r="E109" i="24"/>
  <c r="C109" i="24"/>
  <c r="E22" i="11"/>
  <c r="H303" i="24"/>
  <c r="G303" i="24"/>
  <c r="F303" i="24"/>
  <c r="E303" i="24"/>
  <c r="C303" i="24"/>
  <c r="D303" i="24"/>
  <c r="C30" i="24"/>
  <c r="H30" i="24"/>
  <c r="G30" i="24"/>
  <c r="F30" i="24"/>
  <c r="E30" i="24"/>
  <c r="D30" i="24"/>
  <c r="H151" i="24"/>
  <c r="G151" i="24"/>
  <c r="E151" i="24"/>
  <c r="F151" i="24"/>
  <c r="D151" i="24"/>
  <c r="C151" i="24"/>
  <c r="H15" i="22"/>
  <c r="G15" i="22"/>
  <c r="H171" i="24"/>
  <c r="G171" i="24"/>
  <c r="F171" i="24"/>
  <c r="D171" i="24"/>
  <c r="C171" i="24"/>
  <c r="E171" i="24"/>
  <c r="H275" i="24"/>
  <c r="D275" i="24"/>
  <c r="F275" i="24"/>
  <c r="E275" i="24"/>
  <c r="G275" i="24"/>
  <c r="C275" i="24"/>
  <c r="H133" i="24"/>
  <c r="G133" i="24"/>
  <c r="F133" i="24"/>
  <c r="E133" i="24"/>
  <c r="D133" i="24"/>
  <c r="C133" i="24"/>
  <c r="H236" i="24"/>
  <c r="D236" i="24"/>
  <c r="F236" i="24"/>
  <c r="E236" i="24"/>
  <c r="G236" i="24"/>
  <c r="C236" i="24"/>
  <c r="E119" i="24"/>
  <c r="D119" i="24"/>
  <c r="C119" i="24"/>
  <c r="G119" i="24"/>
  <c r="H119" i="24"/>
  <c r="F119" i="24"/>
  <c r="H45" i="22"/>
  <c r="G45" i="22"/>
  <c r="H29" i="24"/>
  <c r="E29" i="24"/>
  <c r="G29" i="24"/>
  <c r="D29" i="24"/>
  <c r="F29" i="24"/>
  <c r="C29" i="24"/>
  <c r="H300" i="24"/>
  <c r="G300" i="24"/>
  <c r="F300" i="24"/>
  <c r="E300" i="24"/>
  <c r="D300" i="24"/>
  <c r="C300" i="24"/>
  <c r="H114" i="24"/>
  <c r="G114" i="24"/>
  <c r="D114" i="24"/>
  <c r="C114" i="24"/>
  <c r="E114" i="24"/>
  <c r="F114" i="24"/>
  <c r="H185" i="24"/>
  <c r="G185" i="24"/>
  <c r="D185" i="24"/>
  <c r="F185" i="24"/>
  <c r="C185" i="24"/>
  <c r="E185" i="24"/>
  <c r="H148" i="24"/>
  <c r="G148" i="24"/>
  <c r="E148" i="24"/>
  <c r="F148" i="24"/>
  <c r="D148" i="24"/>
  <c r="C148" i="24"/>
  <c r="D23" i="25" l="1"/>
  <c r="Z716" i="17"/>
  <c r="Y716" i="17" s="1"/>
  <c r="Z718" i="17"/>
  <c r="Y718" i="17" s="1"/>
  <c r="Z715" i="17"/>
  <c r="N824" i="17"/>
  <c r="Z719" i="17"/>
  <c r="Y719" i="17" s="1"/>
  <c r="M824" i="17"/>
  <c r="M826" i="17"/>
  <c r="Y787" i="17"/>
  <c r="N826" i="17" s="1"/>
  <c r="M822" i="17"/>
  <c r="Y739" i="17"/>
  <c r="N822" i="17" s="1"/>
  <c r="U780" i="17"/>
  <c r="Z780" i="17"/>
  <c r="Z717" i="17"/>
  <c r="N821" i="17"/>
  <c r="M823" i="17"/>
  <c r="Y751" i="17"/>
  <c r="N823" i="17" s="1"/>
  <c r="M821" i="17"/>
  <c r="X814" i="17"/>
  <c r="X40" i="17" s="1"/>
  <c r="B826" i="17"/>
  <c r="Y815" i="17"/>
  <c r="Y41" i="17" s="1"/>
  <c r="AN812" i="17"/>
  <c r="AN38" i="17" s="1"/>
  <c r="Z816" i="17"/>
  <c r="Z42" i="17" s="1"/>
  <c r="AJ815" i="17"/>
  <c r="AJ41" i="17" s="1"/>
  <c r="AH811" i="17"/>
  <c r="AH37" i="17" s="1"/>
  <c r="AE815" i="17"/>
  <c r="AE41" i="17" s="1"/>
  <c r="U813" i="17"/>
  <c r="U39" i="17" s="1"/>
  <c r="B825" i="17"/>
  <c r="AC816" i="17"/>
  <c r="AC42" i="17" s="1"/>
  <c r="AI811" i="17"/>
  <c r="AI37" i="17" s="1"/>
  <c r="AN815" i="17"/>
  <c r="AN41" i="17" s="1"/>
  <c r="AM814" i="17"/>
  <c r="AM40" i="17" s="1"/>
  <c r="U816" i="17"/>
  <c r="U42" i="17" s="1"/>
  <c r="B824" i="17"/>
  <c r="AA811" i="17"/>
  <c r="AA37" i="17" s="1"/>
  <c r="X816" i="17"/>
  <c r="X42" i="17" s="1"/>
  <c r="AG816" i="17"/>
  <c r="AG42" i="17" s="1"/>
  <c r="AG812" i="17"/>
  <c r="AG38" i="17" s="1"/>
  <c r="AF811" i="17"/>
  <c r="AF37" i="17" s="1"/>
  <c r="AF815" i="17"/>
  <c r="AF41" i="17" s="1"/>
  <c r="Z815" i="17"/>
  <c r="Z41" i="17" s="1"/>
  <c r="AF812" i="17"/>
  <c r="AF38" i="17" s="1"/>
  <c r="AG811" i="17"/>
  <c r="AG37" i="17" s="1"/>
  <c r="AC815" i="17"/>
  <c r="AC41" i="17" s="1"/>
  <c r="AK813" i="17"/>
  <c r="AK39" i="17" s="1"/>
  <c r="AM815" i="17"/>
  <c r="AM41" i="17" s="1"/>
  <c r="AF816" i="17"/>
  <c r="AF42" i="17" s="1"/>
  <c r="AD816" i="17"/>
  <c r="AD42" i="17" s="1"/>
  <c r="X812" i="17"/>
  <c r="X38" i="17" s="1"/>
  <c r="AL814" i="17"/>
  <c r="AL40" i="17" s="1"/>
  <c r="AE814" i="17"/>
  <c r="AE40" i="17" s="1"/>
  <c r="V816" i="17"/>
  <c r="V42" i="17" s="1"/>
  <c r="AK814" i="17"/>
  <c r="AK40" i="17" s="1"/>
  <c r="W813" i="17"/>
  <c r="AK812" i="17"/>
  <c r="AK38" i="17" s="1"/>
  <c r="B820" i="17"/>
  <c r="B823" i="17"/>
  <c r="Y810" i="17"/>
  <c r="Y36" i="17" s="1"/>
  <c r="AJ816" i="17"/>
  <c r="AJ42" i="17" s="1"/>
  <c r="AI814" i="17"/>
  <c r="AI40" i="17" s="1"/>
  <c r="Y811" i="17"/>
  <c r="Y37" i="17" s="1"/>
  <c r="U814" i="17"/>
  <c r="U40" i="17" s="1"/>
  <c r="Z812" i="17"/>
  <c r="Z38" i="17" s="1"/>
  <c r="X811" i="17"/>
  <c r="X37" i="17" s="1"/>
  <c r="AO815" i="17"/>
  <c r="AO41" i="17" s="1"/>
  <c r="Z813" i="17"/>
  <c r="Z39" i="17" s="1"/>
  <c r="AN813" i="17"/>
  <c r="AN39" i="17" s="1"/>
  <c r="AD814" i="17"/>
  <c r="AD40" i="17" s="1"/>
  <c r="AA812" i="17"/>
  <c r="AA38" i="17" s="1"/>
  <c r="AK811" i="17"/>
  <c r="AK37" i="17" s="1"/>
  <c r="AL816" i="17"/>
  <c r="AL42" i="17" s="1"/>
  <c r="AM811" i="17"/>
  <c r="AM37" i="17" s="1"/>
  <c r="U812" i="17"/>
  <c r="U38" i="17" s="1"/>
  <c r="AC811" i="17"/>
  <c r="AL815" i="17"/>
  <c r="AL41" i="17" s="1"/>
  <c r="U811" i="17"/>
  <c r="U37" i="17" s="1"/>
  <c r="AL813" i="17"/>
  <c r="AL39" i="17" s="1"/>
  <c r="V813" i="17"/>
  <c r="AN810" i="17"/>
  <c r="AN36" i="17" s="1"/>
  <c r="V810" i="17"/>
  <c r="V36" i="17" s="1"/>
  <c r="AE813" i="17"/>
  <c r="AE39" i="17" s="1"/>
  <c r="AG813" i="17"/>
  <c r="AG39" i="17" s="1"/>
  <c r="AG814" i="17"/>
  <c r="AG40" i="17" s="1"/>
  <c r="AK816" i="17"/>
  <c r="AK42" i="17" s="1"/>
  <c r="W815" i="17"/>
  <c r="W41" i="17" s="1"/>
  <c r="AC810" i="17"/>
  <c r="AC36" i="17" s="1"/>
  <c r="U815" i="17"/>
  <c r="U41" i="17" s="1"/>
  <c r="AM812" i="17"/>
  <c r="AM38" i="17" s="1"/>
  <c r="AF813" i="17"/>
  <c r="AF39" i="17" s="1"/>
  <c r="Y812" i="17"/>
  <c r="Y38" i="17" s="1"/>
  <c r="V812" i="17"/>
  <c r="V38" i="17" s="1"/>
  <c r="AL812" i="17"/>
  <c r="AL38" i="17" s="1"/>
  <c r="AH812" i="17"/>
  <c r="AH38" i="17" s="1"/>
  <c r="AA814" i="17"/>
  <c r="AA40" i="17" s="1"/>
  <c r="AH816" i="17"/>
  <c r="AH42" i="17" s="1"/>
  <c r="W812" i="17"/>
  <c r="W38" i="17" s="1"/>
  <c r="V814" i="17"/>
  <c r="V40" i="17" s="1"/>
  <c r="AB815" i="17"/>
  <c r="V815" i="17"/>
  <c r="V41" i="17" s="1"/>
  <c r="AE812" i="17"/>
  <c r="AE38" i="17" s="1"/>
  <c r="AB816" i="17"/>
  <c r="AA816" i="17"/>
  <c r="AA42" i="17" s="1"/>
  <c r="AA813" i="17"/>
  <c r="AA39" i="17" s="1"/>
  <c r="AD811" i="17"/>
  <c r="AD37" i="17" s="1"/>
  <c r="AH813" i="17"/>
  <c r="AH39" i="17" s="1"/>
  <c r="W816" i="17"/>
  <c r="V811" i="17"/>
  <c r="V37" i="17" s="1"/>
  <c r="X810" i="17"/>
  <c r="AM813" i="17"/>
  <c r="AM39" i="17" s="1"/>
  <c r="X815" i="17"/>
  <c r="X41" i="17" s="1"/>
  <c r="AC813" i="17"/>
  <c r="AC39" i="17" s="1"/>
  <c r="Z810" i="17"/>
  <c r="Z36" i="17" s="1"/>
  <c r="AI813" i="17"/>
  <c r="AI39" i="17" s="1"/>
  <c r="AG810" i="17"/>
  <c r="AG36" i="17" s="1"/>
  <c r="AO814" i="17"/>
  <c r="AO40" i="17" s="1"/>
  <c r="AM816" i="17"/>
  <c r="AM42" i="17" s="1"/>
  <c r="Y816" i="17"/>
  <c r="Y42" i="17" s="1"/>
  <c r="AC812" i="17"/>
  <c r="AB811" i="17"/>
  <c r="AB37" i="17" s="1"/>
  <c r="AJ814" i="17"/>
  <c r="AJ40" i="17" s="1"/>
  <c r="AI812" i="17"/>
  <c r="AI38" i="17" s="1"/>
  <c r="W810" i="17"/>
  <c r="W36" i="17" s="1"/>
  <c r="AJ810" i="17"/>
  <c r="AJ36" i="17" s="1"/>
  <c r="AN814" i="17"/>
  <c r="AN40" i="17" s="1"/>
  <c r="AB813" i="17"/>
  <c r="AB39" i="17" s="1"/>
  <c r="AF814" i="17"/>
  <c r="AF40" i="17" s="1"/>
  <c r="AA815" i="17"/>
  <c r="AJ811" i="17"/>
  <c r="AJ37" i="17" s="1"/>
  <c r="AH815" i="17"/>
  <c r="AH41" i="17" s="1"/>
  <c r="AK810" i="17"/>
  <c r="AK36" i="17" s="1"/>
  <c r="AO811" i="17"/>
  <c r="AO37" i="17" s="1"/>
  <c r="B822" i="17"/>
  <c r="AO812" i="17"/>
  <c r="AO38" i="17" s="1"/>
  <c r="W814" i="17"/>
  <c r="AD812" i="17"/>
  <c r="AD38" i="17" s="1"/>
  <c r="AN811" i="17"/>
  <c r="AN37" i="17" s="1"/>
  <c r="AB812" i="17"/>
  <c r="AE816" i="17"/>
  <c r="AE42" i="17" s="1"/>
  <c r="AI815" i="17"/>
  <c r="AI41" i="17" s="1"/>
  <c r="AL810" i="17"/>
  <c r="AL36" i="17" s="1"/>
  <c r="AJ813" i="17"/>
  <c r="AJ39" i="17" s="1"/>
  <c r="AM810" i="17"/>
  <c r="AM36" i="17" s="1"/>
  <c r="AD813" i="17"/>
  <c r="AD39" i="17" s="1"/>
  <c r="AC814" i="17"/>
  <c r="Z811" i="17"/>
  <c r="AG815" i="17"/>
  <c r="AG41" i="17" s="1"/>
  <c r="B821" i="17"/>
  <c r="AI816" i="17"/>
  <c r="AI42" i="17" s="1"/>
  <c r="AB814" i="17"/>
  <c r="AB40" i="17" s="1"/>
  <c r="Y813" i="17"/>
  <c r="Z814" i="17"/>
  <c r="Y814" i="17"/>
  <c r="Y40" i="17" s="1"/>
  <c r="U810" i="17"/>
  <c r="U36" i="17" s="1"/>
  <c r="AH814" i="17"/>
  <c r="AH40" i="17" s="1"/>
  <c r="W811" i="17"/>
  <c r="W37" i="17" s="1"/>
  <c r="AL811" i="17"/>
  <c r="AL37" i="17" s="1"/>
  <c r="AK815" i="17"/>
  <c r="AK41" i="17" s="1"/>
  <c r="AO810" i="17"/>
  <c r="AO36" i="17" s="1"/>
  <c r="AE811" i="17"/>
  <c r="AE37" i="17" s="1"/>
  <c r="AJ812" i="17"/>
  <c r="AJ38" i="17" s="1"/>
  <c r="AN816" i="17"/>
  <c r="AN42" i="17" s="1"/>
  <c r="X813" i="17"/>
  <c r="X39" i="17" s="1"/>
  <c r="AO816" i="17"/>
  <c r="AO42" i="17" s="1"/>
  <c r="AD815" i="17"/>
  <c r="AD41" i="17" s="1"/>
  <c r="AO813" i="17"/>
  <c r="AO39" i="17" s="1"/>
  <c r="U718" i="17"/>
  <c r="AH810" i="17" s="1"/>
  <c r="AH36" i="17" s="1"/>
  <c r="X717" i="17"/>
  <c r="U717" i="17"/>
  <c r="AF810" i="17" s="1"/>
  <c r="AF36" i="17" s="1"/>
  <c r="X716" i="17"/>
  <c r="X715" i="17"/>
  <c r="U716" i="17"/>
  <c r="AA810" i="17" s="1"/>
  <c r="BP186" i="9"/>
  <c r="BP185" i="9"/>
  <c r="BP178" i="9"/>
  <c r="BP179" i="9"/>
  <c r="BP169" i="9"/>
  <c r="BP172" i="9"/>
  <c r="BP184" i="9"/>
  <c r="BP187" i="9"/>
  <c r="BP174" i="9"/>
  <c r="BP177" i="9"/>
  <c r="BP181" i="9"/>
  <c r="BP176" i="9"/>
  <c r="BP180" i="9"/>
  <c r="BP171" i="9"/>
  <c r="BP175" i="9"/>
  <c r="BP188" i="9"/>
  <c r="BP173" i="9"/>
  <c r="BP183" i="9"/>
  <c r="BP182" i="9"/>
  <c r="BP170" i="9"/>
  <c r="D467" i="10"/>
  <c r="E467" i="10" s="1"/>
  <c r="D7" i="6"/>
  <c r="C18" i="6"/>
  <c r="C19" i="6" s="1"/>
  <c r="C17" i="6"/>
  <c r="G17" i="4"/>
  <c r="B21" i="25"/>
  <c r="G8" i="5"/>
  <c r="F35" i="8" s="1"/>
  <c r="AE56" i="8" s="1"/>
  <c r="G9" i="5"/>
  <c r="G36" i="8" s="1"/>
  <c r="AF57" i="8" s="1"/>
  <c r="D139" i="12"/>
  <c r="D137" i="12"/>
  <c r="L23" i="25"/>
  <c r="M23" i="25"/>
  <c r="N23" i="25"/>
  <c r="N22" i="25"/>
  <c r="O23" i="25"/>
  <c r="D22" i="25"/>
  <c r="E28" i="11"/>
  <c r="D10" i="22"/>
  <c r="E10" i="22" s="1"/>
  <c r="V102" i="18"/>
  <c r="W102" i="18"/>
  <c r="O103" i="18"/>
  <c r="N103" i="18"/>
  <c r="W11" i="18"/>
  <c r="V11" i="18"/>
  <c r="N7" i="18"/>
  <c r="O7" i="18"/>
  <c r="N8" i="18"/>
  <c r="O8" i="18"/>
  <c r="V103" i="18"/>
  <c r="W103" i="18"/>
  <c r="D8" i="22"/>
  <c r="E8" i="22" s="1"/>
  <c r="N65" i="18"/>
  <c r="O65" i="18"/>
  <c r="V53" i="18"/>
  <c r="W53" i="18"/>
  <c r="W42" i="18"/>
  <c r="V42" i="18"/>
  <c r="V22" i="18"/>
  <c r="W22" i="18"/>
  <c r="V81" i="18"/>
  <c r="W81" i="18"/>
  <c r="O54" i="18"/>
  <c r="N54" i="18"/>
  <c r="N86" i="18"/>
  <c r="O86" i="18"/>
  <c r="N71" i="18"/>
  <c r="O71" i="18"/>
  <c r="N98" i="18"/>
  <c r="O98" i="18"/>
  <c r="O55" i="18"/>
  <c r="N55" i="18"/>
  <c r="V92" i="18"/>
  <c r="W92" i="18"/>
  <c r="O70" i="18"/>
  <c r="N70" i="18"/>
  <c r="V70" i="18"/>
  <c r="W70" i="18"/>
  <c r="O12" i="18"/>
  <c r="N12" i="18"/>
  <c r="V9" i="18"/>
  <c r="W9" i="18"/>
  <c r="O46" i="18"/>
  <c r="N46" i="18"/>
  <c r="V31" i="18"/>
  <c r="W31" i="18"/>
  <c r="O43" i="18"/>
  <c r="N43" i="18"/>
  <c r="V62" i="18"/>
  <c r="W62" i="18"/>
  <c r="C23" i="25"/>
  <c r="D9" i="22"/>
  <c r="E9" i="22" s="1"/>
  <c r="C22" i="25"/>
  <c r="N22" i="18"/>
  <c r="O22" i="18"/>
  <c r="V65" i="18"/>
  <c r="W65" i="18"/>
  <c r="N40" i="18"/>
  <c r="O40" i="18"/>
  <c r="O95" i="18"/>
  <c r="N95" i="18"/>
  <c r="N28" i="18"/>
  <c r="O28" i="18"/>
  <c r="V34" i="18"/>
  <c r="W34" i="18"/>
  <c r="V111" i="18"/>
  <c r="W111" i="18"/>
  <c r="W6" i="18"/>
  <c r="V6" i="18"/>
  <c r="V14" i="18"/>
  <c r="W14" i="18"/>
  <c r="N52" i="18"/>
  <c r="O52" i="18"/>
  <c r="V33" i="18"/>
  <c r="W33" i="18"/>
  <c r="V86" i="18"/>
  <c r="W86" i="18"/>
  <c r="V48" i="18"/>
  <c r="W48" i="18"/>
  <c r="O119" i="18"/>
  <c r="N119" i="18"/>
  <c r="V87" i="18"/>
  <c r="W87" i="18"/>
  <c r="V122" i="18"/>
  <c r="W122" i="18"/>
  <c r="N59" i="18"/>
  <c r="O59" i="18"/>
  <c r="V44" i="18"/>
  <c r="W44" i="18"/>
  <c r="V49" i="18"/>
  <c r="W49" i="18"/>
  <c r="N66" i="18"/>
  <c r="O66" i="18"/>
  <c r="N97" i="18"/>
  <c r="O97" i="18"/>
  <c r="N101" i="18"/>
  <c r="O101" i="18"/>
  <c r="V100" i="18"/>
  <c r="W100" i="18"/>
  <c r="V104" i="18"/>
  <c r="W104" i="18"/>
  <c r="V25" i="18"/>
  <c r="W25" i="18"/>
  <c r="V63" i="18"/>
  <c r="W63" i="18"/>
  <c r="V60" i="18"/>
  <c r="W60" i="18"/>
  <c r="N35" i="18"/>
  <c r="O35" i="18"/>
  <c r="N108" i="18"/>
  <c r="O108" i="18"/>
  <c r="O124" i="18"/>
  <c r="N124" i="18"/>
  <c r="N88" i="18"/>
  <c r="O88" i="18"/>
  <c r="N50" i="18"/>
  <c r="O50" i="18"/>
  <c r="N96" i="18"/>
  <c r="O96" i="18"/>
  <c r="N68" i="18"/>
  <c r="O68" i="18"/>
  <c r="W29" i="18"/>
  <c r="V29" i="18"/>
  <c r="V93" i="18"/>
  <c r="W93" i="18"/>
  <c r="O32" i="18"/>
  <c r="N32" i="18"/>
  <c r="V52" i="18"/>
  <c r="W52" i="18"/>
  <c r="W84" i="18"/>
  <c r="V84" i="18"/>
  <c r="V121" i="18"/>
  <c r="W121" i="18"/>
  <c r="O24" i="18"/>
  <c r="N24" i="18"/>
  <c r="W68" i="18"/>
  <c r="V68" i="18"/>
  <c r="N92" i="18"/>
  <c r="O92" i="18"/>
  <c r="V114" i="18"/>
  <c r="W114" i="18"/>
  <c r="W56" i="18"/>
  <c r="V56" i="18"/>
  <c r="O94" i="18"/>
  <c r="N94" i="18"/>
  <c r="O30" i="18"/>
  <c r="N30" i="18"/>
  <c r="N44" i="18"/>
  <c r="O44" i="18"/>
  <c r="N104" i="18"/>
  <c r="O104" i="18"/>
  <c r="N77" i="18"/>
  <c r="O77" i="18"/>
  <c r="N121" i="18"/>
  <c r="O121" i="18"/>
  <c r="V78" i="18"/>
  <c r="W78" i="18"/>
  <c r="N106" i="18"/>
  <c r="O106" i="18"/>
  <c r="W105" i="18"/>
  <c r="V105" i="18"/>
  <c r="V45" i="18"/>
  <c r="W45" i="18"/>
  <c r="V117" i="18"/>
  <c r="W117" i="18"/>
  <c r="N38" i="18"/>
  <c r="O38" i="18"/>
  <c r="V19" i="18"/>
  <c r="W19" i="18"/>
  <c r="N29" i="18"/>
  <c r="O29" i="18"/>
  <c r="O67" i="18"/>
  <c r="N67" i="18"/>
  <c r="V107" i="18"/>
  <c r="W107" i="18"/>
  <c r="V123" i="18"/>
  <c r="W123" i="18"/>
  <c r="O111" i="18"/>
  <c r="N111" i="18"/>
  <c r="V96" i="18"/>
  <c r="W96" i="18"/>
  <c r="V47" i="18"/>
  <c r="W47" i="18"/>
  <c r="O58" i="18"/>
  <c r="N58" i="18"/>
  <c r="V82" i="18"/>
  <c r="W82" i="18"/>
  <c r="V50" i="18"/>
  <c r="W50" i="18"/>
  <c r="O18" i="18"/>
  <c r="N18" i="18"/>
  <c r="W79" i="18"/>
  <c r="V79" i="18"/>
  <c r="V77" i="18"/>
  <c r="W77" i="18"/>
  <c r="N64" i="18"/>
  <c r="O64" i="18"/>
  <c r="V97" i="18"/>
  <c r="W97" i="18"/>
  <c r="O93" i="18"/>
  <c r="N93" i="18"/>
  <c r="V39" i="18"/>
  <c r="W39" i="18"/>
  <c r="O105" i="18"/>
  <c r="N105" i="18"/>
  <c r="N115" i="18"/>
  <c r="O115" i="18"/>
  <c r="W115" i="18"/>
  <c r="V115" i="18"/>
  <c r="V12" i="18"/>
  <c r="W12" i="18"/>
  <c r="H8" i="22"/>
  <c r="O20" i="18"/>
  <c r="N20" i="18"/>
  <c r="N78" i="18"/>
  <c r="O78" i="18"/>
  <c r="O21" i="18"/>
  <c r="N21" i="18"/>
  <c r="O11" i="18"/>
  <c r="N11" i="18"/>
  <c r="N79" i="18"/>
  <c r="O79" i="18"/>
  <c r="O42" i="18"/>
  <c r="N42" i="18"/>
  <c r="O13" i="18"/>
  <c r="N13" i="18"/>
  <c r="N76" i="18"/>
  <c r="O76" i="18"/>
  <c r="O56" i="18"/>
  <c r="N56" i="18"/>
  <c r="N102" i="18"/>
  <c r="O102" i="18"/>
  <c r="W73" i="18"/>
  <c r="V73" i="18"/>
  <c r="W7" i="18"/>
  <c r="V7" i="18"/>
  <c r="N47" i="18"/>
  <c r="O47" i="18"/>
  <c r="W30" i="18"/>
  <c r="V30" i="18"/>
  <c r="N84" i="18"/>
  <c r="O84" i="18"/>
  <c r="N91" i="18"/>
  <c r="O91" i="18"/>
  <c r="O125" i="18"/>
  <c r="N125" i="18"/>
  <c r="O33" i="18"/>
  <c r="N33" i="18"/>
  <c r="O99" i="18"/>
  <c r="N99" i="18"/>
  <c r="N39" i="18"/>
  <c r="O39" i="18"/>
  <c r="V98" i="18"/>
  <c r="W98" i="18"/>
  <c r="V8" i="18"/>
  <c r="W8" i="18"/>
  <c r="O25" i="18"/>
  <c r="N25" i="18"/>
  <c r="N31" i="18"/>
  <c r="O31" i="18"/>
  <c r="V88" i="18"/>
  <c r="W88" i="18"/>
  <c r="N89" i="18"/>
  <c r="O89" i="18"/>
  <c r="V125" i="18"/>
  <c r="W125" i="18"/>
  <c r="N51" i="18"/>
  <c r="O51" i="18"/>
  <c r="W15" i="18"/>
  <c r="V15" i="18"/>
  <c r="V55" i="18"/>
  <c r="W55" i="18"/>
  <c r="N120" i="18"/>
  <c r="O120" i="18"/>
  <c r="N100" i="18"/>
  <c r="O100" i="18"/>
  <c r="N57" i="18"/>
  <c r="O57" i="18"/>
  <c r="V106" i="18"/>
  <c r="W106" i="18"/>
  <c r="W69" i="18"/>
  <c r="V69" i="18"/>
  <c r="V116" i="18"/>
  <c r="W116" i="18"/>
  <c r="V119" i="18"/>
  <c r="W119" i="18"/>
  <c r="O117" i="18"/>
  <c r="N117" i="18"/>
  <c r="W72" i="18"/>
  <c r="V72" i="18"/>
  <c r="N118" i="18"/>
  <c r="O118" i="18"/>
  <c r="V120" i="18"/>
  <c r="W120" i="18"/>
  <c r="N16" i="18"/>
  <c r="O16" i="18"/>
  <c r="N41" i="18"/>
  <c r="O41" i="18"/>
  <c r="N112" i="18"/>
  <c r="O112" i="18"/>
  <c r="W40" i="18"/>
  <c r="V40" i="18"/>
  <c r="N109" i="18"/>
  <c r="O109" i="18"/>
  <c r="V74" i="18"/>
  <c r="W74" i="18"/>
  <c r="N48" i="18"/>
  <c r="O48" i="18"/>
  <c r="O107" i="18"/>
  <c r="N107" i="18"/>
  <c r="V83" i="18"/>
  <c r="W83" i="18"/>
  <c r="N62" i="18"/>
  <c r="O62" i="18"/>
  <c r="N75" i="18"/>
  <c r="O75" i="18"/>
  <c r="V21" i="18"/>
  <c r="W21" i="18"/>
  <c r="V95" i="18"/>
  <c r="W95" i="18"/>
  <c r="N27" i="18"/>
  <c r="O27" i="18"/>
  <c r="O36" i="18"/>
  <c r="N36" i="18"/>
  <c r="O6" i="18"/>
  <c r="N6" i="18"/>
  <c r="W28" i="18"/>
  <c r="V28" i="18"/>
  <c r="N72" i="18"/>
  <c r="O72" i="18"/>
  <c r="N61" i="18"/>
  <c r="O61" i="18"/>
  <c r="N37" i="18"/>
  <c r="O37" i="18"/>
  <c r="V20" i="18"/>
  <c r="W20" i="18"/>
  <c r="V27" i="18"/>
  <c r="W27" i="18"/>
  <c r="N80" i="18"/>
  <c r="O80" i="18"/>
  <c r="V58" i="18"/>
  <c r="W58" i="18"/>
  <c r="N14" i="18"/>
  <c r="O14" i="18"/>
  <c r="V90" i="18"/>
  <c r="W90" i="18"/>
  <c r="N15" i="18"/>
  <c r="O15" i="18"/>
  <c r="O9" i="18"/>
  <c r="N9" i="18"/>
  <c r="W91" i="18"/>
  <c r="V91" i="18"/>
  <c r="V99" i="18"/>
  <c r="W99" i="18"/>
  <c r="V110" i="18"/>
  <c r="W110" i="18"/>
  <c r="O90" i="18"/>
  <c r="N90" i="18"/>
  <c r="N63" i="18"/>
  <c r="O63" i="18"/>
  <c r="V101" i="18"/>
  <c r="W101" i="18"/>
  <c r="H36" i="8"/>
  <c r="AF58" i="8" s="1"/>
  <c r="N19" i="18"/>
  <c r="O19" i="18"/>
  <c r="N110" i="18"/>
  <c r="O110" i="18"/>
  <c r="N53" i="18"/>
  <c r="O53" i="18"/>
  <c r="V76" i="18"/>
  <c r="W76" i="18"/>
  <c r="V13" i="18"/>
  <c r="W13" i="18"/>
  <c r="N74" i="18"/>
  <c r="O74" i="18"/>
  <c r="V112" i="18"/>
  <c r="W112" i="18"/>
  <c r="N73" i="18"/>
  <c r="O73" i="18"/>
  <c r="W66" i="18"/>
  <c r="V66" i="18"/>
  <c r="N10" i="18"/>
  <c r="O10" i="18"/>
  <c r="V51" i="18"/>
  <c r="W51" i="18"/>
  <c r="N49" i="18"/>
  <c r="O49" i="18"/>
  <c r="W61" i="18"/>
  <c r="V61" i="18"/>
  <c r="V85" i="18"/>
  <c r="W85" i="18"/>
  <c r="W26" i="18"/>
  <c r="V26" i="18"/>
  <c r="V118" i="18"/>
  <c r="W118" i="18"/>
  <c r="N83" i="18"/>
  <c r="O83" i="18"/>
  <c r="V32" i="18"/>
  <c r="W32" i="18"/>
  <c r="V94" i="18"/>
  <c r="W94" i="18"/>
  <c r="V64" i="18"/>
  <c r="W64" i="18"/>
  <c r="V43" i="18"/>
  <c r="W43" i="18"/>
  <c r="V80" i="18"/>
  <c r="W80" i="18"/>
  <c r="W67" i="18"/>
  <c r="V67" i="18"/>
  <c r="W38" i="18"/>
  <c r="V38" i="18"/>
  <c r="N116" i="18"/>
  <c r="O116" i="18"/>
  <c r="N26" i="18"/>
  <c r="O26" i="18"/>
  <c r="V18" i="18"/>
  <c r="W18" i="18"/>
  <c r="W41" i="18"/>
  <c r="V41" i="18"/>
  <c r="N69" i="18"/>
  <c r="O69" i="18"/>
  <c r="N87" i="18"/>
  <c r="O87" i="18"/>
  <c r="W23" i="18"/>
  <c r="V23" i="18"/>
  <c r="V24" i="18"/>
  <c r="W24" i="18"/>
  <c r="N23" i="18"/>
  <c r="O23" i="18"/>
  <c r="V17" i="18"/>
  <c r="W17" i="18"/>
  <c r="O122" i="18"/>
  <c r="N122" i="18"/>
  <c r="V36" i="18"/>
  <c r="W36" i="18"/>
  <c r="W54" i="18"/>
  <c r="V54" i="18"/>
  <c r="V16" i="18"/>
  <c r="W16" i="18"/>
  <c r="V46" i="18"/>
  <c r="W46" i="18"/>
  <c r="V75" i="18"/>
  <c r="W75" i="18"/>
  <c r="N17" i="18"/>
  <c r="O17" i="18"/>
  <c r="V108" i="18"/>
  <c r="W108" i="18"/>
  <c r="V109" i="18"/>
  <c r="W109" i="18"/>
  <c r="V89" i="18"/>
  <c r="W89" i="18"/>
  <c r="N60" i="18"/>
  <c r="O60" i="18"/>
  <c r="V59" i="18"/>
  <c r="W59" i="18"/>
  <c r="N114" i="18"/>
  <c r="O114" i="18"/>
  <c r="N81" i="18"/>
  <c r="O81" i="18"/>
  <c r="V37" i="18"/>
  <c r="W37" i="18"/>
  <c r="N123" i="18"/>
  <c r="O123" i="18"/>
  <c r="N85" i="18"/>
  <c r="O85" i="18"/>
  <c r="N113" i="18"/>
  <c r="O113" i="18"/>
  <c r="V35" i="18"/>
  <c r="W35" i="18"/>
  <c r="N34" i="18"/>
  <c r="O34" i="18"/>
  <c r="V113" i="18"/>
  <c r="W113" i="18"/>
  <c r="W57" i="18"/>
  <c r="V57" i="18"/>
  <c r="V124" i="18"/>
  <c r="W124" i="18"/>
  <c r="N45" i="18"/>
  <c r="O45" i="18"/>
  <c r="V71" i="18"/>
  <c r="W71" i="18"/>
  <c r="O82" i="18"/>
  <c r="N82" i="18"/>
  <c r="V10" i="18"/>
  <c r="W10" i="18"/>
  <c r="P60" i="18"/>
  <c r="Q60" i="18" s="1"/>
  <c r="P83" i="18"/>
  <c r="Q83" i="18" s="1"/>
  <c r="P84" i="18"/>
  <c r="Q84" i="18" s="1"/>
  <c r="P6" i="18"/>
  <c r="Q6" i="18" s="1"/>
  <c r="P112" i="18"/>
  <c r="Q112" i="18" s="1"/>
  <c r="P50" i="18"/>
  <c r="Q50" i="18" s="1"/>
  <c r="P115" i="18"/>
  <c r="Q115" i="18" s="1"/>
  <c r="P37" i="18"/>
  <c r="Q37" i="18" s="1"/>
  <c r="P20" i="18"/>
  <c r="Q20" i="18" s="1"/>
  <c r="P58" i="18"/>
  <c r="Q58" i="18" s="1"/>
  <c r="P12" i="18"/>
  <c r="Q12" i="18" s="1"/>
  <c r="P74" i="18"/>
  <c r="Q74" i="18" s="1"/>
  <c r="P40" i="18"/>
  <c r="Q40" i="18" s="1"/>
  <c r="P111" i="18"/>
  <c r="Q111" i="18" s="1"/>
  <c r="P43" i="18"/>
  <c r="Q43" i="18" s="1"/>
  <c r="P82" i="18"/>
  <c r="Q82" i="18" s="1"/>
  <c r="P56" i="18"/>
  <c r="Q56" i="18" s="1"/>
  <c r="P119" i="18"/>
  <c r="Q119" i="18" s="1"/>
  <c r="P80" i="18"/>
  <c r="Q80" i="18" s="1"/>
  <c r="P101" i="18"/>
  <c r="Q101" i="18" s="1"/>
  <c r="P105" i="18"/>
  <c r="Q105" i="18" s="1"/>
  <c r="P39" i="18"/>
  <c r="Q39" i="18" s="1"/>
  <c r="P77" i="18"/>
  <c r="Q77" i="18" s="1"/>
  <c r="P121" i="18"/>
  <c r="Q121" i="18" s="1"/>
  <c r="P88" i="18"/>
  <c r="Q88" i="18" s="1"/>
  <c r="P10" i="18"/>
  <c r="Q10" i="18" s="1"/>
  <c r="P81" i="18"/>
  <c r="Q81" i="18" s="1"/>
  <c r="P102" i="18"/>
  <c r="Q102" i="18" s="1"/>
  <c r="P98" i="18"/>
  <c r="Q98" i="18" s="1"/>
  <c r="S98" i="18" s="1"/>
  <c r="P47" i="18"/>
  <c r="Q47" i="18" s="1"/>
  <c r="P107" i="18"/>
  <c r="Q107" i="18" s="1"/>
  <c r="P8" i="18"/>
  <c r="Q8" i="18" s="1"/>
  <c r="P29" i="18"/>
  <c r="Q29" i="18" s="1"/>
  <c r="P117" i="18"/>
  <c r="Q117" i="18" s="1"/>
  <c r="P49" i="18"/>
  <c r="Q49" i="18" s="1"/>
  <c r="P16" i="18"/>
  <c r="Q16" i="18" s="1"/>
  <c r="P9" i="18"/>
  <c r="Q9" i="18" s="1"/>
  <c r="P30" i="18"/>
  <c r="Q30" i="18" s="1"/>
  <c r="P26" i="18"/>
  <c r="Q26" i="18" s="1"/>
  <c r="P91" i="18"/>
  <c r="Q91" i="18" s="1"/>
  <c r="P35" i="18"/>
  <c r="Q35" i="18" s="1"/>
  <c r="R35" i="18" s="1"/>
  <c r="P73" i="18"/>
  <c r="Q73" i="18" s="1"/>
  <c r="P45" i="18"/>
  <c r="Q45" i="18" s="1"/>
  <c r="P66" i="18"/>
  <c r="Q66" i="18" s="1"/>
  <c r="R66" i="18" s="1"/>
  <c r="P11" i="18"/>
  <c r="Q11" i="18" s="1"/>
  <c r="P108" i="18"/>
  <c r="Q108" i="18" s="1"/>
  <c r="P125" i="18"/>
  <c r="Q125" i="18" s="1"/>
  <c r="P19" i="18"/>
  <c r="Q19" i="18" s="1"/>
  <c r="P118" i="18"/>
  <c r="Q118" i="18" s="1"/>
  <c r="P62" i="18"/>
  <c r="Q62" i="18" s="1"/>
  <c r="P94" i="18"/>
  <c r="Q94" i="18" s="1"/>
  <c r="P87" i="18"/>
  <c r="Q87" i="18" s="1"/>
  <c r="P36" i="18"/>
  <c r="Q36" i="18" s="1"/>
  <c r="P104" i="18"/>
  <c r="Q104" i="18" s="1"/>
  <c r="P53" i="18"/>
  <c r="Q53" i="18" s="1"/>
  <c r="P64" i="18"/>
  <c r="Q64" i="18" s="1"/>
  <c r="P86" i="18"/>
  <c r="Q86" i="18" s="1"/>
  <c r="P79" i="18"/>
  <c r="Q79" i="18" s="1"/>
  <c r="P46" i="18"/>
  <c r="Q46" i="18" s="1"/>
  <c r="R46" i="18" s="1"/>
  <c r="P72" i="18"/>
  <c r="Q72" i="18" s="1"/>
  <c r="P22" i="18"/>
  <c r="Q22" i="18" s="1"/>
  <c r="S22" i="18" s="1"/>
  <c r="P28" i="18"/>
  <c r="Q28" i="18" s="1"/>
  <c r="P93" i="18"/>
  <c r="Q93" i="18" s="1"/>
  <c r="P114" i="18"/>
  <c r="Q114" i="18" s="1"/>
  <c r="P15" i="18"/>
  <c r="Q15" i="18" s="1"/>
  <c r="P32" i="18"/>
  <c r="Q32" i="18" s="1"/>
  <c r="S32" i="18" s="1"/>
  <c r="P97" i="18"/>
  <c r="Q97" i="18" s="1"/>
  <c r="P120" i="18"/>
  <c r="Q120" i="18" s="1"/>
  <c r="P14" i="18"/>
  <c r="Q14" i="18" s="1"/>
  <c r="P124" i="18"/>
  <c r="Q124" i="18" s="1"/>
  <c r="P7" i="18"/>
  <c r="Q7" i="18" s="1"/>
  <c r="P68" i="18"/>
  <c r="Q68" i="18" s="1"/>
  <c r="P89" i="18"/>
  <c r="Q89" i="18" s="1"/>
  <c r="P21" i="18"/>
  <c r="Q21" i="18" s="1"/>
  <c r="P42" i="18"/>
  <c r="Q42" i="18" s="1"/>
  <c r="R42" i="18" s="1"/>
  <c r="P25" i="18"/>
  <c r="Q25" i="18" s="1"/>
  <c r="P90" i="18"/>
  <c r="Q90" i="18" s="1"/>
  <c r="P52" i="18"/>
  <c r="Q52" i="18" s="1"/>
  <c r="P17" i="18"/>
  <c r="Q17" i="18" s="1"/>
  <c r="P61" i="18"/>
  <c r="Q61" i="18" s="1"/>
  <c r="P99" i="18"/>
  <c r="Q99" i="18" s="1"/>
  <c r="P48" i="18"/>
  <c r="Q48" i="18" s="1"/>
  <c r="P110" i="18"/>
  <c r="Q110" i="18" s="1"/>
  <c r="P59" i="18"/>
  <c r="Q59" i="18" s="1"/>
  <c r="S59" i="18" s="1"/>
  <c r="P103" i="18"/>
  <c r="Q103" i="18" s="1"/>
  <c r="P70" i="18"/>
  <c r="Q70" i="18" s="1"/>
  <c r="P69" i="18"/>
  <c r="Q69" i="18" s="1"/>
  <c r="P18" i="18"/>
  <c r="Q18" i="18" s="1"/>
  <c r="P100" i="18"/>
  <c r="Q100" i="18" s="1"/>
  <c r="P123" i="18"/>
  <c r="Q123" i="18" s="1"/>
  <c r="P95" i="18"/>
  <c r="Q95" i="18" s="1"/>
  <c r="P27" i="18"/>
  <c r="Q27" i="18" s="1"/>
  <c r="P116" i="18"/>
  <c r="Q116" i="18" s="1"/>
  <c r="P38" i="18"/>
  <c r="Q38" i="18" s="1"/>
  <c r="P31" i="18"/>
  <c r="Q31" i="18" s="1"/>
  <c r="P113" i="18"/>
  <c r="Q113" i="18" s="1"/>
  <c r="P85" i="18"/>
  <c r="Q85" i="18" s="1"/>
  <c r="P51" i="18"/>
  <c r="Q51" i="18" s="1"/>
  <c r="P23" i="18"/>
  <c r="Q23" i="18" s="1"/>
  <c r="P67" i="18"/>
  <c r="Q67" i="18" s="1"/>
  <c r="P106" i="18"/>
  <c r="Q106" i="18" s="1"/>
  <c r="R106" i="18" s="1"/>
  <c r="P44" i="18"/>
  <c r="Q44" i="18" s="1"/>
  <c r="P65" i="18"/>
  <c r="Q65" i="18" s="1"/>
  <c r="P96" i="18"/>
  <c r="Q96" i="18" s="1"/>
  <c r="P33" i="18"/>
  <c r="Q33" i="18" s="1"/>
  <c r="P57" i="18"/>
  <c r="Q57" i="18" s="1"/>
  <c r="P78" i="18"/>
  <c r="Q78" i="18" s="1"/>
  <c r="P34" i="18"/>
  <c r="Q34" i="18" s="1"/>
  <c r="P54" i="18"/>
  <c r="Q54" i="18" s="1"/>
  <c r="R54" i="18" s="1"/>
  <c r="P122" i="18"/>
  <c r="Q122" i="18" s="1"/>
  <c r="P71" i="18"/>
  <c r="Q71" i="18" s="1"/>
  <c r="P109" i="18"/>
  <c r="Q109" i="18" s="1"/>
  <c r="P76" i="18"/>
  <c r="Q76" i="18" s="1"/>
  <c r="P75" i="18"/>
  <c r="Q75" i="18" s="1"/>
  <c r="P24" i="18"/>
  <c r="Q24" i="18" s="1"/>
  <c r="R24" i="18" s="1"/>
  <c r="P92" i="18"/>
  <c r="Q92" i="18" s="1"/>
  <c r="X77" i="18"/>
  <c r="Y77" i="18" s="1"/>
  <c r="P41" i="18"/>
  <c r="Q41" i="18" s="1"/>
  <c r="D3" i="18"/>
  <c r="B8" i="19" s="1"/>
  <c r="G34" i="25"/>
  <c r="B28" i="14" s="1"/>
  <c r="C7" i="21" s="1"/>
  <c r="X125" i="18"/>
  <c r="Y125" i="18" s="1"/>
  <c r="X107" i="18"/>
  <c r="Y107" i="18" s="1"/>
  <c r="X79" i="18"/>
  <c r="Y79" i="18" s="1"/>
  <c r="X104" i="18"/>
  <c r="Y104" i="18" s="1"/>
  <c r="X26" i="18"/>
  <c r="Y26" i="18" s="1"/>
  <c r="X78" i="18"/>
  <c r="Y78" i="18" s="1"/>
  <c r="X69" i="18"/>
  <c r="Y69" i="18" s="1"/>
  <c r="X101" i="18"/>
  <c r="Y101" i="18" s="1"/>
  <c r="Z101" i="18" s="1"/>
  <c r="X118" i="18"/>
  <c r="Y118" i="18" s="1"/>
  <c r="X40" i="18"/>
  <c r="Y40" i="18" s="1"/>
  <c r="X111" i="18"/>
  <c r="Y111" i="18" s="1"/>
  <c r="X35" i="18"/>
  <c r="Y35" i="18" s="1"/>
  <c r="X122" i="18"/>
  <c r="Y122" i="18" s="1"/>
  <c r="X71" i="18"/>
  <c r="Y71" i="18" s="1"/>
  <c r="X32" i="18"/>
  <c r="Y32" i="18" s="1"/>
  <c r="X53" i="18"/>
  <c r="Y53" i="18" s="1"/>
  <c r="X58" i="18"/>
  <c r="Y58" i="18" s="1"/>
  <c r="X29" i="18"/>
  <c r="Y29" i="18" s="1"/>
  <c r="X73" i="18"/>
  <c r="Y73" i="18" s="1"/>
  <c r="X46" i="18"/>
  <c r="Y46" i="18" s="1"/>
  <c r="X24" i="18"/>
  <c r="Y24" i="18" s="1"/>
  <c r="X39" i="18"/>
  <c r="Y39" i="18" s="1"/>
  <c r="X50" i="18"/>
  <c r="Y50" i="18" s="1"/>
  <c r="X115" i="18"/>
  <c r="Y115" i="18" s="1"/>
  <c r="X93" i="18"/>
  <c r="Y93" i="18" s="1"/>
  <c r="X59" i="18"/>
  <c r="Y59" i="18" s="1"/>
  <c r="X97" i="18"/>
  <c r="Y97" i="18" s="1"/>
  <c r="X75" i="18"/>
  <c r="Y75" i="18" s="1"/>
  <c r="X96" i="18"/>
  <c r="Y96" i="18" s="1"/>
  <c r="X72" i="18"/>
  <c r="Y72" i="18" s="1"/>
  <c r="X43" i="18"/>
  <c r="Y43" i="18" s="1"/>
  <c r="X21" i="18"/>
  <c r="Y21" i="18" s="1"/>
  <c r="X25" i="18"/>
  <c r="Y25" i="18" s="1"/>
  <c r="X80" i="18"/>
  <c r="Y80" i="18" s="1"/>
  <c r="X86" i="18"/>
  <c r="Y86" i="18" s="1"/>
  <c r="Z86" i="18" s="1"/>
  <c r="X124" i="18"/>
  <c r="Y124" i="18" s="1"/>
  <c r="X12" i="18"/>
  <c r="Y12" i="18" s="1"/>
  <c r="X117" i="18"/>
  <c r="Y117" i="18" s="1"/>
  <c r="X7" i="18"/>
  <c r="Y7" i="18" s="1"/>
  <c r="X94" i="18"/>
  <c r="Y94" i="18" s="1"/>
  <c r="X110" i="18"/>
  <c r="Y110" i="18" s="1"/>
  <c r="X103" i="18"/>
  <c r="Y103" i="18" s="1"/>
  <c r="Z103" i="18" s="1"/>
  <c r="X76" i="18"/>
  <c r="Y76" i="18" s="1"/>
  <c r="X14" i="18"/>
  <c r="Y14" i="18" s="1"/>
  <c r="X52" i="18"/>
  <c r="Y52" i="18" s="1"/>
  <c r="X18" i="18"/>
  <c r="Y18" i="18" s="1"/>
  <c r="X123" i="18"/>
  <c r="Y123" i="18" s="1"/>
  <c r="X45" i="18"/>
  <c r="Y45" i="18" s="1"/>
  <c r="X56" i="18"/>
  <c r="Y56" i="18" s="1"/>
  <c r="X121" i="18"/>
  <c r="Y121" i="18" s="1"/>
  <c r="AA121" i="18" s="1"/>
  <c r="X22" i="18"/>
  <c r="Y22" i="18" s="1"/>
  <c r="Z22" i="18" s="1"/>
  <c r="X38" i="18"/>
  <c r="Y38" i="18" s="1"/>
  <c r="X82" i="18"/>
  <c r="Y82" i="18" s="1"/>
  <c r="X31" i="18"/>
  <c r="Y31" i="18" s="1"/>
  <c r="X108" i="18"/>
  <c r="Y108" i="18" s="1"/>
  <c r="X92" i="18"/>
  <c r="Y92" i="18" s="1"/>
  <c r="X113" i="18"/>
  <c r="Y113" i="18" s="1"/>
  <c r="X66" i="18"/>
  <c r="Y66" i="18" s="1"/>
  <c r="X51" i="18"/>
  <c r="Y51" i="18" s="1"/>
  <c r="X114" i="18"/>
  <c r="Y114" i="18" s="1"/>
  <c r="X49" i="18"/>
  <c r="Y49" i="18" s="1"/>
  <c r="X48" i="18"/>
  <c r="Y48" i="18" s="1"/>
  <c r="X10" i="18"/>
  <c r="Y10" i="18" s="1"/>
  <c r="X20" i="18"/>
  <c r="Y20" i="18" s="1"/>
  <c r="X41" i="18"/>
  <c r="Y41" i="18" s="1"/>
  <c r="X85" i="18"/>
  <c r="Y85" i="18" s="1"/>
  <c r="X83" i="18"/>
  <c r="Y83" i="18" s="1"/>
  <c r="X100" i="18"/>
  <c r="Y100" i="18" s="1"/>
  <c r="X99" i="18"/>
  <c r="Y99" i="18" s="1"/>
  <c r="X81" i="18"/>
  <c r="Y81" i="18" s="1"/>
  <c r="X119" i="18"/>
  <c r="Y119" i="18" s="1"/>
  <c r="X13" i="18"/>
  <c r="Y13" i="18" s="1"/>
  <c r="X57" i="18"/>
  <c r="Y57" i="18" s="1"/>
  <c r="X54" i="18"/>
  <c r="Y54" i="18" s="1"/>
  <c r="X62" i="18"/>
  <c r="Y62" i="18" s="1"/>
  <c r="AA62" i="18" s="1"/>
  <c r="X11" i="18"/>
  <c r="Y11" i="18" s="1"/>
  <c r="X55" i="18"/>
  <c r="Y55" i="18" s="1"/>
  <c r="X28" i="18"/>
  <c r="Y28" i="18" s="1"/>
  <c r="X27" i="18"/>
  <c r="Y27" i="18" s="1"/>
  <c r="X109" i="18"/>
  <c r="Y109" i="18" s="1"/>
  <c r="X84" i="18"/>
  <c r="Y84" i="18" s="1"/>
  <c r="X9" i="18"/>
  <c r="Y9" i="18" s="1"/>
  <c r="X47" i="18"/>
  <c r="Y47" i="18" s="1"/>
  <c r="X91" i="18"/>
  <c r="Y91" i="18" s="1"/>
  <c r="X68" i="18"/>
  <c r="Y68" i="18" s="1"/>
  <c r="X89" i="18"/>
  <c r="Y89" i="18" s="1"/>
  <c r="X30" i="18"/>
  <c r="Y30" i="18" s="1"/>
  <c r="X37" i="18"/>
  <c r="Y37" i="18" s="1"/>
  <c r="X87" i="18"/>
  <c r="Y87" i="18" s="1"/>
  <c r="X19" i="18"/>
  <c r="Y19" i="18" s="1"/>
  <c r="X64" i="18"/>
  <c r="Y64" i="18" s="1"/>
  <c r="X42" i="18"/>
  <c r="Y42" i="18" s="1"/>
  <c r="X95" i="18"/>
  <c r="Y95" i="18" s="1"/>
  <c r="X17" i="18"/>
  <c r="Y17" i="18" s="1"/>
  <c r="X106" i="18"/>
  <c r="Y106" i="18" s="1"/>
  <c r="X105" i="18"/>
  <c r="Y105" i="18" s="1"/>
  <c r="Z105" i="18" s="1"/>
  <c r="X60" i="18"/>
  <c r="Y60" i="18" s="1"/>
  <c r="X116" i="18"/>
  <c r="Y116" i="18" s="1"/>
  <c r="X63" i="18"/>
  <c r="Y63" i="18" s="1"/>
  <c r="Z63" i="18" s="1"/>
  <c r="X15" i="18"/>
  <c r="Y15" i="18" s="1"/>
  <c r="X8" i="18"/>
  <c r="Y8" i="18" s="1"/>
  <c r="X36" i="18"/>
  <c r="Y36" i="18" s="1"/>
  <c r="X74" i="18"/>
  <c r="Y74" i="18" s="1"/>
  <c r="X23" i="18"/>
  <c r="Y23" i="18" s="1"/>
  <c r="X61" i="18"/>
  <c r="Y61" i="18" s="1"/>
  <c r="X34" i="18"/>
  <c r="Y34" i="18" s="1"/>
  <c r="X90" i="18"/>
  <c r="Y90" i="18" s="1"/>
  <c r="X33" i="18"/>
  <c r="Y33" i="18" s="1"/>
  <c r="X44" i="18"/>
  <c r="Y44" i="18" s="1"/>
  <c r="Z44" i="18" s="1"/>
  <c r="X88" i="18"/>
  <c r="Y88" i="18" s="1"/>
  <c r="X120" i="18"/>
  <c r="Y120" i="18" s="1"/>
  <c r="X98" i="18"/>
  <c r="Y98" i="18" s="1"/>
  <c r="X70" i="18"/>
  <c r="Y70" i="18" s="1"/>
  <c r="X6" i="18"/>
  <c r="Y6" i="18" s="1"/>
  <c r="X67" i="18"/>
  <c r="Y67" i="18" s="1"/>
  <c r="X112" i="18"/>
  <c r="Y112" i="18" s="1"/>
  <c r="X102" i="18"/>
  <c r="Y102" i="18" s="1"/>
  <c r="X16" i="18"/>
  <c r="Y16" i="18" s="1"/>
  <c r="P13" i="18"/>
  <c r="Q13" i="18" s="1"/>
  <c r="X65" i="18"/>
  <c r="Y65" i="18" s="1"/>
  <c r="P55" i="18"/>
  <c r="Q55" i="18" s="1"/>
  <c r="P63" i="18"/>
  <c r="Q63" i="18" s="1"/>
  <c r="F233" i="14"/>
  <c r="D22" i="14" s="1"/>
  <c r="G237" i="15" s="1"/>
  <c r="K58" i="10"/>
  <c r="C36" i="8"/>
  <c r="AF53" i="8" s="1"/>
  <c r="O24" i="25"/>
  <c r="D7" i="22"/>
  <c r="E7" i="22" s="1"/>
  <c r="C29" i="4"/>
  <c r="D35" i="8"/>
  <c r="AE54" i="8" s="1"/>
  <c r="O22" i="25"/>
  <c r="D16" i="4"/>
  <c r="E15" i="8" s="1"/>
  <c r="K55" i="8" s="1"/>
  <c r="D6" i="22"/>
  <c r="E6" i="22" s="1"/>
  <c r="M24" i="25"/>
  <c r="M22" i="25"/>
  <c r="E30" i="11"/>
  <c r="H17" i="4"/>
  <c r="L28" i="8" s="1"/>
  <c r="X62" i="8" s="1"/>
  <c r="G18" i="4"/>
  <c r="K29" i="8" s="1"/>
  <c r="Y61" i="8" s="1"/>
  <c r="E29" i="8"/>
  <c r="Y55" i="8" s="1"/>
  <c r="H18" i="4"/>
  <c r="G29" i="8" s="1"/>
  <c r="Y57" i="8" s="1"/>
  <c r="G10" i="22"/>
  <c r="E25" i="11"/>
  <c r="I62" i="16" s="1"/>
  <c r="D17" i="4"/>
  <c r="E17" i="4" s="1"/>
  <c r="D13" i="4"/>
  <c r="E12" i="8" s="1"/>
  <c r="H55" i="8" s="1"/>
  <c r="D15" i="4"/>
  <c r="E15" i="4" s="1"/>
  <c r="D18" i="4"/>
  <c r="E18" i="4" s="1"/>
  <c r="D11" i="22"/>
  <c r="J50" i="8" s="1"/>
  <c r="AT60" i="8" s="1"/>
  <c r="E29" i="11"/>
  <c r="E26" i="11"/>
  <c r="D14" i="4"/>
  <c r="E14" i="4" s="1"/>
  <c r="J25" i="8"/>
  <c r="U60" i="8" s="1"/>
  <c r="W40" i="10"/>
  <c r="J26" i="8"/>
  <c r="V60" i="8" s="1"/>
  <c r="E26" i="8"/>
  <c r="V55" i="8" s="1"/>
  <c r="G15" i="4"/>
  <c r="K26" i="8" s="1"/>
  <c r="V61" i="8" s="1"/>
  <c r="H14" i="4"/>
  <c r="L25" i="8" s="1"/>
  <c r="U62" i="8" s="1"/>
  <c r="E25" i="8"/>
  <c r="U55" i="8" s="1"/>
  <c r="G11" i="22"/>
  <c r="X39" i="10"/>
  <c r="J28" i="8"/>
  <c r="X60" i="8" s="1"/>
  <c r="E24" i="25"/>
  <c r="G9" i="22"/>
  <c r="N24" i="25"/>
  <c r="G7" i="22"/>
  <c r="D145" i="11"/>
  <c r="E146" i="11" s="1"/>
  <c r="G16" i="4"/>
  <c r="K27" i="8" s="1"/>
  <c r="W61" i="8" s="1"/>
  <c r="H16" i="4"/>
  <c r="G27" i="8" s="1"/>
  <c r="W57" i="8" s="1"/>
  <c r="E27" i="8"/>
  <c r="W55" i="8" s="1"/>
  <c r="X57" i="10"/>
  <c r="D118" i="11"/>
  <c r="D119" i="11" s="1"/>
  <c r="D120" i="11" s="1"/>
  <c r="J44" i="10"/>
  <c r="X51" i="10"/>
  <c r="X43" i="10"/>
  <c r="K54" i="10"/>
  <c r="W54" i="10"/>
  <c r="W50" i="10"/>
  <c r="W57" i="10"/>
  <c r="X45" i="10"/>
  <c r="W43" i="10"/>
  <c r="W51" i="10"/>
  <c r="X53" i="10"/>
  <c r="K48" i="10"/>
  <c r="J48" i="10"/>
  <c r="K38" i="10"/>
  <c r="J38" i="10"/>
  <c r="M25" i="25"/>
  <c r="F24" i="25"/>
  <c r="O25" i="25"/>
  <c r="L25" i="25"/>
  <c r="E25" i="25"/>
  <c r="N25" i="25"/>
  <c r="J39" i="10"/>
  <c r="K39" i="10"/>
  <c r="X49" i="10"/>
  <c r="W49" i="10"/>
  <c r="O21" i="25"/>
  <c r="X21" i="25" s="1"/>
  <c r="B22" i="25"/>
  <c r="C21" i="25"/>
  <c r="N21" i="25"/>
  <c r="V21" i="25" s="1"/>
  <c r="L21" i="25"/>
  <c r="R21" i="25" s="1"/>
  <c r="M21" i="25"/>
  <c r="T21" i="25" s="1"/>
  <c r="J54" i="10"/>
  <c r="J51" i="10"/>
  <c r="K51" i="10"/>
  <c r="J58" i="10"/>
  <c r="K46" i="10"/>
  <c r="J46" i="10"/>
  <c r="W45" i="10"/>
  <c r="X50" i="10"/>
  <c r="L22" i="25"/>
  <c r="X41" i="10"/>
  <c r="W41" i="10"/>
  <c r="J55" i="10"/>
  <c r="K55" i="10"/>
  <c r="W58" i="10"/>
  <c r="X58" i="10"/>
  <c r="W53" i="10"/>
  <c r="K45" i="10"/>
  <c r="J45" i="10"/>
  <c r="X56" i="10"/>
  <c r="W56" i="10"/>
  <c r="K42" i="10"/>
  <c r="J42" i="10"/>
  <c r="W39" i="10"/>
  <c r="J53" i="10"/>
  <c r="K53" i="10"/>
  <c r="X38" i="10"/>
  <c r="W38" i="10"/>
  <c r="X52" i="10"/>
  <c r="W52" i="10"/>
  <c r="W42" i="10"/>
  <c r="X42" i="10"/>
  <c r="K50" i="10"/>
  <c r="J50" i="10"/>
  <c r="F25" i="25"/>
  <c r="J56" i="10"/>
  <c r="K56" i="10"/>
  <c r="J57" i="10"/>
  <c r="K57" i="10"/>
  <c r="X48" i="10"/>
  <c r="W48" i="10"/>
  <c r="W44" i="10"/>
  <c r="X44" i="10"/>
  <c r="W55" i="10"/>
  <c r="X55" i="10"/>
  <c r="K52" i="10"/>
  <c r="J52" i="10"/>
  <c r="W46" i="10"/>
  <c r="X46" i="10"/>
  <c r="X54" i="10"/>
  <c r="K44" i="10"/>
  <c r="X47" i="10"/>
  <c r="W47" i="10"/>
  <c r="K41" i="10"/>
  <c r="J41" i="10"/>
  <c r="K43" i="10"/>
  <c r="J43" i="10"/>
  <c r="X40" i="10"/>
  <c r="K40" i="10"/>
  <c r="J40" i="10"/>
  <c r="J47" i="10"/>
  <c r="K47" i="10"/>
  <c r="K49" i="10"/>
  <c r="J49" i="10"/>
  <c r="F231" i="14"/>
  <c r="L48" i="8" s="1"/>
  <c r="AR62" i="8" s="1"/>
  <c r="K28" i="8"/>
  <c r="X61" i="8" s="1"/>
  <c r="F28" i="8"/>
  <c r="X56" i="8" s="1"/>
  <c r="G6" i="22"/>
  <c r="H6" i="22"/>
  <c r="G7" i="17"/>
  <c r="G8" i="17"/>
  <c r="G9" i="17"/>
  <c r="F58" i="11"/>
  <c r="C59" i="11" s="1"/>
  <c r="L26" i="8"/>
  <c r="V62" i="8" s="1"/>
  <c r="G26" i="8"/>
  <c r="V57" i="8" s="1"/>
  <c r="L49" i="8"/>
  <c r="AS62" i="8" s="1"/>
  <c r="H49" i="8"/>
  <c r="AS58" i="8" s="1"/>
  <c r="G49" i="8"/>
  <c r="AS57" i="8" s="1"/>
  <c r="C49" i="8"/>
  <c r="AS53" i="8" s="1"/>
  <c r="K24" i="8"/>
  <c r="T61" i="8" s="1"/>
  <c r="F24" i="8"/>
  <c r="T56" i="8" s="1"/>
  <c r="G80" i="11"/>
  <c r="I80" i="11" s="1"/>
  <c r="L24" i="8"/>
  <c r="T62" i="8" s="1"/>
  <c r="G24" i="8"/>
  <c r="T57" i="8" s="1"/>
  <c r="F25" i="8"/>
  <c r="U56" i="8" s="1"/>
  <c r="K25" i="8"/>
  <c r="U61" i="8" s="1"/>
  <c r="R21" i="18" l="1"/>
  <c r="C820" i="17"/>
  <c r="P819" i="17" s="1"/>
  <c r="Z37" i="17"/>
  <c r="AU37" i="17" s="1"/>
  <c r="AC40" i="17"/>
  <c r="AX40" i="17" s="1"/>
  <c r="X36" i="17"/>
  <c r="AS36" i="17" s="1"/>
  <c r="AC38" i="17"/>
  <c r="AX38" i="17" s="1"/>
  <c r="W42" i="17"/>
  <c r="AT42" i="17" s="1"/>
  <c r="Z40" i="17"/>
  <c r="AW40" i="17" s="1"/>
  <c r="AA41" i="17"/>
  <c r="AV41" i="17" s="1"/>
  <c r="Y39" i="17"/>
  <c r="V39" i="17"/>
  <c r="AQ39" i="17" s="1"/>
  <c r="W39" i="17"/>
  <c r="AR39" i="17" s="1"/>
  <c r="AB38" i="17"/>
  <c r="AY38" i="17" s="1"/>
  <c r="AB42" i="17"/>
  <c r="AW42" i="17" s="1"/>
  <c r="AA36" i="17"/>
  <c r="AV36" i="17" s="1"/>
  <c r="W40" i="17"/>
  <c r="AR40" i="17" s="1"/>
  <c r="AB41" i="17"/>
  <c r="AW41" i="17" s="1"/>
  <c r="AC37" i="17"/>
  <c r="AX37" i="17" s="1"/>
  <c r="Y780" i="17"/>
  <c r="N825" i="17" s="1"/>
  <c r="M825" i="17"/>
  <c r="O825" i="17" s="1"/>
  <c r="R41" i="17" s="1"/>
  <c r="H30" i="17" s="1"/>
  <c r="O822" i="17"/>
  <c r="R38" i="17" s="1"/>
  <c r="H27" i="17" s="1"/>
  <c r="O826" i="17"/>
  <c r="R42" i="17" s="1"/>
  <c r="H31" i="17" s="1"/>
  <c r="O821" i="17"/>
  <c r="R37" i="17" s="1"/>
  <c r="H26" i="17" s="1"/>
  <c r="O824" i="17"/>
  <c r="R40" i="17" s="1"/>
  <c r="H29" i="17" s="1"/>
  <c r="O823" i="17"/>
  <c r="R39" i="17" s="1"/>
  <c r="H28" i="17" s="1"/>
  <c r="Y717" i="17"/>
  <c r="M820" i="17"/>
  <c r="Y715" i="17"/>
  <c r="AR38" i="17"/>
  <c r="AQ38" i="17"/>
  <c r="AX39" i="17"/>
  <c r="AW39" i="17"/>
  <c r="AU38" i="17"/>
  <c r="AY39" i="17"/>
  <c r="AT38" i="17"/>
  <c r="AQ41" i="17"/>
  <c r="AQ37" i="17"/>
  <c r="AR37" i="17"/>
  <c r="D822" i="17"/>
  <c r="AR36" i="17"/>
  <c r="AS41" i="17"/>
  <c r="BA39" i="17"/>
  <c r="AU39" i="17"/>
  <c r="AQ40" i="17"/>
  <c r="AS40" i="17"/>
  <c r="BA38" i="17"/>
  <c r="AS37" i="17"/>
  <c r="AQ42" i="17"/>
  <c r="AU41" i="17"/>
  <c r="AX42" i="17"/>
  <c r="AW37" i="17"/>
  <c r="D824" i="17"/>
  <c r="BA41" i="17"/>
  <c r="AV40" i="17"/>
  <c r="AR41" i="17"/>
  <c r="BA37" i="17"/>
  <c r="AT37" i="17"/>
  <c r="AS38" i="17"/>
  <c r="D825" i="17"/>
  <c r="AY37" i="17"/>
  <c r="D826" i="17"/>
  <c r="AS42" i="17"/>
  <c r="BA40" i="17"/>
  <c r="AV42" i="17"/>
  <c r="D823" i="17"/>
  <c r="AV38" i="17"/>
  <c r="AT36" i="17"/>
  <c r="BA42" i="17"/>
  <c r="AV37" i="17"/>
  <c r="AU42" i="17"/>
  <c r="D821" i="17"/>
  <c r="AQ36" i="17"/>
  <c r="AY40" i="17"/>
  <c r="AT41" i="17"/>
  <c r="AE810" i="17"/>
  <c r="AE36" i="17" s="1"/>
  <c r="AI810" i="17"/>
  <c r="AI36" i="17" s="1"/>
  <c r="AB810" i="17"/>
  <c r="AD810" i="17"/>
  <c r="AD36" i="17" s="1"/>
  <c r="X193" i="9"/>
  <c r="AC193" i="9"/>
  <c r="Q193" i="9"/>
  <c r="BD193" i="9"/>
  <c r="L193" i="9"/>
  <c r="AU193" i="9"/>
  <c r="V193" i="9"/>
  <c r="J193" i="9"/>
  <c r="AQ193" i="9"/>
  <c r="AZ193" i="9"/>
  <c r="AN193" i="9"/>
  <c r="O193" i="9"/>
  <c r="C193" i="9"/>
  <c r="AD193" i="9"/>
  <c r="AS193" i="9"/>
  <c r="AG193" i="9"/>
  <c r="H193" i="9"/>
  <c r="BC193" i="9"/>
  <c r="BL193" i="9"/>
  <c r="AL193" i="9"/>
  <c r="Z193" i="9"/>
  <c r="BB193" i="9"/>
  <c r="AP193" i="9"/>
  <c r="BE193" i="9"/>
  <c r="Y193" i="9"/>
  <c r="M193" i="9"/>
  <c r="N193" i="9"/>
  <c r="K193" i="9"/>
  <c r="AX193" i="9"/>
  <c r="F193" i="9"/>
  <c r="AO193" i="9"/>
  <c r="W193" i="9"/>
  <c r="D193" i="9"/>
  <c r="AK193" i="9"/>
  <c r="BA193" i="9"/>
  <c r="AH193" i="9"/>
  <c r="P193" i="9"/>
  <c r="BJ193" i="9"/>
  <c r="R193" i="9"/>
  <c r="AT193" i="9"/>
  <c r="AA193" i="9"/>
  <c r="I193" i="9"/>
  <c r="AW193" i="9"/>
  <c r="BF193" i="9"/>
  <c r="AM193" i="9"/>
  <c r="T193" i="9"/>
  <c r="AI193" i="9"/>
  <c r="BI193" i="9"/>
  <c r="AJ193" i="9"/>
  <c r="AY193" i="9"/>
  <c r="AF193" i="9"/>
  <c r="G193" i="9"/>
  <c r="AB193" i="9"/>
  <c r="AV193" i="9"/>
  <c r="E193" i="9"/>
  <c r="AR193" i="9"/>
  <c r="S193" i="9"/>
  <c r="D170" i="12"/>
  <c r="BH193" i="9"/>
  <c r="U193" i="9"/>
  <c r="BK193" i="9"/>
  <c r="AE193" i="9"/>
  <c r="BG193" i="9"/>
  <c r="AA93" i="18"/>
  <c r="R25" i="18"/>
  <c r="Z55" i="18"/>
  <c r="C7" i="6"/>
  <c r="AA7" i="18"/>
  <c r="S33" i="18"/>
  <c r="D138" i="12"/>
  <c r="D132" i="12" s="1"/>
  <c r="AA95" i="18"/>
  <c r="Z30" i="18"/>
  <c r="G33" i="15"/>
  <c r="R68" i="18"/>
  <c r="S105" i="18"/>
  <c r="AA60" i="18"/>
  <c r="R76" i="18"/>
  <c r="S121" i="18"/>
  <c r="Z84" i="18"/>
  <c r="AA12" i="18"/>
  <c r="G117" i="15"/>
  <c r="G101" i="15"/>
  <c r="S100" i="18"/>
  <c r="S15" i="18"/>
  <c r="S115" i="18"/>
  <c r="G147" i="15"/>
  <c r="G15" i="15"/>
  <c r="G145" i="15"/>
  <c r="G131" i="15"/>
  <c r="S117" i="18"/>
  <c r="G209" i="15"/>
  <c r="R112" i="18"/>
  <c r="G53" i="15"/>
  <c r="S27" i="18"/>
  <c r="G165" i="15"/>
  <c r="G59" i="15"/>
  <c r="G63" i="15"/>
  <c r="G87" i="15"/>
  <c r="G159" i="15"/>
  <c r="AA116" i="18"/>
  <c r="G195" i="15"/>
  <c r="G77" i="15"/>
  <c r="G47" i="15"/>
  <c r="G239" i="15"/>
  <c r="G127" i="15"/>
  <c r="G89" i="15"/>
  <c r="G91" i="15"/>
  <c r="G229" i="15"/>
  <c r="G153" i="15"/>
  <c r="G233" i="15"/>
  <c r="G125" i="15"/>
  <c r="G113" i="15"/>
  <c r="G65" i="15"/>
  <c r="G109" i="15"/>
  <c r="G67" i="15"/>
  <c r="G223" i="15"/>
  <c r="G85" i="15"/>
  <c r="G231" i="15"/>
  <c r="G61" i="15"/>
  <c r="G5" i="15"/>
  <c r="G71" i="15"/>
  <c r="G35" i="15"/>
  <c r="G105" i="15"/>
  <c r="G81" i="15"/>
  <c r="G155" i="15"/>
  <c r="G235" i="15"/>
  <c r="G129" i="15"/>
  <c r="G187" i="15"/>
  <c r="G23" i="15"/>
  <c r="G177" i="15"/>
  <c r="G103" i="15"/>
  <c r="G173" i="15"/>
  <c r="G119" i="15"/>
  <c r="G161" i="15"/>
  <c r="G211" i="15"/>
  <c r="G133" i="15"/>
  <c r="G203" i="15"/>
  <c r="G245" i="15"/>
  <c r="G201" i="15"/>
  <c r="G167" i="15"/>
  <c r="G221" i="15"/>
  <c r="G175" i="15"/>
  <c r="G7" i="15"/>
  <c r="G213" i="15"/>
  <c r="G207" i="15"/>
  <c r="AA72" i="18"/>
  <c r="G27" i="15"/>
  <c r="G51" i="15"/>
  <c r="G241" i="15"/>
  <c r="G247" i="15"/>
  <c r="G73" i="15"/>
  <c r="G199" i="15"/>
  <c r="G13" i="15"/>
  <c r="G215" i="15"/>
  <c r="G93" i="15"/>
  <c r="G95" i="15"/>
  <c r="G143" i="15"/>
  <c r="G29" i="15"/>
  <c r="G39" i="15"/>
  <c r="G97" i="15"/>
  <c r="G21" i="15"/>
  <c r="G75" i="15"/>
  <c r="G217" i="15"/>
  <c r="G121" i="15"/>
  <c r="S6" i="18"/>
  <c r="G137" i="15"/>
  <c r="G219" i="15"/>
  <c r="G111" i="15"/>
  <c r="G189" i="15"/>
  <c r="G197" i="15"/>
  <c r="G45" i="15"/>
  <c r="G157" i="15"/>
  <c r="G25" i="15"/>
  <c r="G179" i="15"/>
  <c r="C33" i="4"/>
  <c r="C34" i="8" s="1"/>
  <c r="AD53" i="8" s="1"/>
  <c r="R62" i="18"/>
  <c r="G171" i="15"/>
  <c r="G17" i="15"/>
  <c r="G11" i="15"/>
  <c r="G19" i="15"/>
  <c r="G169" i="15"/>
  <c r="G69" i="15"/>
  <c r="G225" i="15"/>
  <c r="G37" i="15"/>
  <c r="G193" i="15"/>
  <c r="G141" i="15"/>
  <c r="G41" i="15"/>
  <c r="G99" i="15"/>
  <c r="G43" i="15"/>
  <c r="G191" i="15"/>
  <c r="G79" i="15"/>
  <c r="G227" i="15"/>
  <c r="G49" i="15"/>
  <c r="G251" i="15"/>
  <c r="D23" i="14"/>
  <c r="G236" i="15" s="1"/>
  <c r="G205" i="15"/>
  <c r="G181" i="15"/>
  <c r="G83" i="15"/>
  <c r="G55" i="15"/>
  <c r="G183" i="15"/>
  <c r="G57" i="15"/>
  <c r="G151" i="15"/>
  <c r="G9" i="15"/>
  <c r="G107" i="15"/>
  <c r="AA76" i="18"/>
  <c r="Z94" i="18"/>
  <c r="AA85" i="18"/>
  <c r="Z38" i="18"/>
  <c r="Z110" i="18"/>
  <c r="R91" i="18"/>
  <c r="L27" i="8"/>
  <c r="W62" i="8" s="1"/>
  <c r="I61" i="16"/>
  <c r="S69" i="18"/>
  <c r="AA113" i="18"/>
  <c r="E19" i="8"/>
  <c r="O55" i="8" s="1"/>
  <c r="Z67" i="18"/>
  <c r="AA112" i="18"/>
  <c r="Z28" i="18"/>
  <c r="I17" i="16"/>
  <c r="J21" i="8"/>
  <c r="Q60" i="8" s="1"/>
  <c r="I63" i="16"/>
  <c r="I58" i="16"/>
  <c r="G115" i="15"/>
  <c r="G139" i="15"/>
  <c r="G185" i="15"/>
  <c r="G249" i="15"/>
  <c r="G31" i="15"/>
  <c r="G149" i="15"/>
  <c r="G243" i="15"/>
  <c r="G163" i="15"/>
  <c r="G135" i="15"/>
  <c r="G123" i="15"/>
  <c r="N55" i="16"/>
  <c r="I23" i="16"/>
  <c r="E20" i="8"/>
  <c r="P55" i="8" s="1"/>
  <c r="I24" i="16"/>
  <c r="J20" i="8"/>
  <c r="P60" i="8" s="1"/>
  <c r="L15" i="16"/>
  <c r="M59" i="16"/>
  <c r="G28" i="8"/>
  <c r="X57" i="8" s="1"/>
  <c r="I59" i="16"/>
  <c r="I18" i="16"/>
  <c r="L58" i="10"/>
  <c r="J15" i="8"/>
  <c r="K60" i="8" s="1"/>
  <c r="F27" i="8"/>
  <c r="W56" i="8" s="1"/>
  <c r="I15" i="16"/>
  <c r="E21" i="8"/>
  <c r="Q55" i="8" s="1"/>
  <c r="L29" i="8"/>
  <c r="Y62" i="8" s="1"/>
  <c r="S53" i="18"/>
  <c r="K24" i="16"/>
  <c r="L17" i="16"/>
  <c r="M57" i="16"/>
  <c r="L58" i="16"/>
  <c r="R110" i="18"/>
  <c r="E17" i="8"/>
  <c r="M55" i="8" s="1"/>
  <c r="K64" i="16"/>
  <c r="M62" i="16"/>
  <c r="J23" i="8"/>
  <c r="S60" i="8" s="1"/>
  <c r="E50" i="8"/>
  <c r="AT55" i="8" s="1"/>
  <c r="K21" i="16"/>
  <c r="L54" i="10"/>
  <c r="R53" i="18"/>
  <c r="N58" i="16"/>
  <c r="J17" i="8"/>
  <c r="M60" i="8" s="1"/>
  <c r="E11" i="22"/>
  <c r="F50" i="8" s="1"/>
  <c r="AT56" i="8" s="1"/>
  <c r="J64" i="16"/>
  <c r="J57" i="16"/>
  <c r="E14" i="8"/>
  <c r="J55" i="8" s="1"/>
  <c r="E23" i="8"/>
  <c r="S55" i="8" s="1"/>
  <c r="Z7" i="18"/>
  <c r="F29" i="8"/>
  <c r="Y56" i="8" s="1"/>
  <c r="I56" i="16"/>
  <c r="I16" i="16"/>
  <c r="J14" i="8"/>
  <c r="J60" i="8" s="1"/>
  <c r="M64" i="16"/>
  <c r="N57" i="16"/>
  <c r="Z10" i="18"/>
  <c r="K20" i="16"/>
  <c r="D148" i="11"/>
  <c r="K15" i="16"/>
  <c r="M21" i="16"/>
  <c r="E148" i="11"/>
  <c r="K18" i="16"/>
  <c r="N23" i="16"/>
  <c r="E22" i="8"/>
  <c r="R55" i="8" s="1"/>
  <c r="J62" i="16"/>
  <c r="L56" i="16"/>
  <c r="Z122" i="18"/>
  <c r="AA122" i="18"/>
  <c r="D147" i="11"/>
  <c r="J19" i="8"/>
  <c r="O60" i="8" s="1"/>
  <c r="J15" i="16"/>
  <c r="M63" i="16"/>
  <c r="K59" i="16"/>
  <c r="N15" i="16"/>
  <c r="J22" i="8"/>
  <c r="R60" i="8" s="1"/>
  <c r="D146" i="11"/>
  <c r="D149" i="11" s="1"/>
  <c r="D159" i="11" s="1"/>
  <c r="E16" i="4"/>
  <c r="F15" i="8" s="1"/>
  <c r="K56" i="8" s="1"/>
  <c r="G25" i="8"/>
  <c r="U57" i="8" s="1"/>
  <c r="E13" i="8"/>
  <c r="I55" i="8" s="1"/>
  <c r="N20" i="16"/>
  <c r="K57" i="16"/>
  <c r="M15" i="16"/>
  <c r="N62" i="16"/>
  <c r="J63" i="16"/>
  <c r="L62" i="16"/>
  <c r="K58" i="16"/>
  <c r="F26" i="8"/>
  <c r="V56" i="8" s="1"/>
  <c r="E16" i="8"/>
  <c r="L55" i="8" s="1"/>
  <c r="E147" i="11"/>
  <c r="J13" i="8"/>
  <c r="I60" i="8" s="1"/>
  <c r="L22" i="16"/>
  <c r="N21" i="16"/>
  <c r="J55" i="16"/>
  <c r="N17" i="16"/>
  <c r="J22" i="16"/>
  <c r="L57" i="16"/>
  <c r="N56" i="16"/>
  <c r="J16" i="8"/>
  <c r="L60" i="8" s="1"/>
  <c r="M17" i="16"/>
  <c r="M55" i="16"/>
  <c r="K60" i="16"/>
  <c r="L16" i="16"/>
  <c r="J58" i="16"/>
  <c r="L64" i="16"/>
  <c r="L21" i="16"/>
  <c r="J19" i="16"/>
  <c r="N19" i="16"/>
  <c r="L18" i="16"/>
  <c r="L63" i="16"/>
  <c r="J20" i="16"/>
  <c r="M60" i="16"/>
  <c r="K62" i="16"/>
  <c r="M16" i="16"/>
  <c r="N18" i="16"/>
  <c r="I55" i="16"/>
  <c r="K55" i="16"/>
  <c r="L55" i="16"/>
  <c r="I20" i="16"/>
  <c r="J59" i="16"/>
  <c r="AA110" i="18"/>
  <c r="L60" i="16"/>
  <c r="M58" i="16"/>
  <c r="L19" i="16"/>
  <c r="J24" i="16"/>
  <c r="K56" i="16"/>
  <c r="N24" i="16"/>
  <c r="M24" i="16"/>
  <c r="N64" i="16"/>
  <c r="L23" i="16"/>
  <c r="Y39" i="10"/>
  <c r="M20" i="16"/>
  <c r="L59" i="16"/>
  <c r="N59" i="16"/>
  <c r="J16" i="16"/>
  <c r="M56" i="16"/>
  <c r="J60" i="16"/>
  <c r="N60" i="16"/>
  <c r="J18" i="16"/>
  <c r="AA65" i="18"/>
  <c r="Z124" i="18"/>
  <c r="AA35" i="18"/>
  <c r="AA9" i="18"/>
  <c r="AA18" i="18"/>
  <c r="S38" i="18"/>
  <c r="S39" i="18"/>
  <c r="Z61" i="18"/>
  <c r="AA16" i="18"/>
  <c r="AA108" i="18"/>
  <c r="R98" i="18"/>
  <c r="AA71" i="18"/>
  <c r="R59" i="18"/>
  <c r="S58" i="18"/>
  <c r="Z79" i="18"/>
  <c r="R79" i="18"/>
  <c r="S19" i="18"/>
  <c r="Z18" i="18"/>
  <c r="R19" i="18"/>
  <c r="Z82" i="18"/>
  <c r="J56" i="16"/>
  <c r="S79" i="18"/>
  <c r="AA100" i="18"/>
  <c r="S37" i="18"/>
  <c r="AA123" i="18"/>
  <c r="Z72" i="18"/>
  <c r="Z14" i="18"/>
  <c r="R113" i="18"/>
  <c r="S54" i="18"/>
  <c r="AA6" i="18"/>
  <c r="S113" i="18"/>
  <c r="Z6" i="18"/>
  <c r="J12" i="8"/>
  <c r="H60" i="8" s="1"/>
  <c r="AA75" i="18"/>
  <c r="Z53" i="18"/>
  <c r="R80" i="18"/>
  <c r="R26" i="18"/>
  <c r="AA63" i="18"/>
  <c r="AA101" i="18"/>
  <c r="N63" i="16"/>
  <c r="K19" i="16"/>
  <c r="M61" i="16"/>
  <c r="M23" i="16"/>
  <c r="L61" i="16"/>
  <c r="K16" i="16"/>
  <c r="N61" i="16"/>
  <c r="AA111" i="18"/>
  <c r="AA59" i="18"/>
  <c r="K23" i="16"/>
  <c r="N16" i="16"/>
  <c r="N22" i="16"/>
  <c r="AA51" i="18"/>
  <c r="J17" i="16"/>
  <c r="M18" i="16"/>
  <c r="J21" i="16"/>
  <c r="I57" i="16"/>
  <c r="I60" i="16"/>
  <c r="L24" i="16"/>
  <c r="K17" i="16"/>
  <c r="I21" i="16"/>
  <c r="I19" i="16"/>
  <c r="M19" i="16"/>
  <c r="K22" i="16"/>
  <c r="J61" i="16"/>
  <c r="J23" i="16"/>
  <c r="K61" i="16"/>
  <c r="K63" i="16"/>
  <c r="I22" i="16"/>
  <c r="I64" i="16"/>
  <c r="M22" i="16"/>
  <c r="L20" i="16"/>
  <c r="Z125" i="18"/>
  <c r="AA97" i="18"/>
  <c r="R96" i="18"/>
  <c r="S8" i="18"/>
  <c r="Z78" i="18"/>
  <c r="Z59" i="18"/>
  <c r="S48" i="18"/>
  <c r="R116" i="18"/>
  <c r="Z113" i="18"/>
  <c r="Z65" i="18"/>
  <c r="R84" i="18"/>
  <c r="S108" i="18"/>
  <c r="AA105" i="18"/>
  <c r="AA77" i="18"/>
  <c r="R63" i="18"/>
  <c r="S26" i="18"/>
  <c r="AA20" i="18"/>
  <c r="R100" i="18"/>
  <c r="S24" i="18"/>
  <c r="S91" i="18"/>
  <c r="J18" i="8"/>
  <c r="N60" i="8" s="1"/>
  <c r="Z77" i="18"/>
  <c r="AA61" i="18"/>
  <c r="AA104" i="18"/>
  <c r="Y57" i="10"/>
  <c r="R121" i="18"/>
  <c r="Z69" i="18"/>
  <c r="R94" i="18"/>
  <c r="S84" i="18"/>
  <c r="AA106" i="18"/>
  <c r="AA120" i="18"/>
  <c r="R117" i="18"/>
  <c r="S124" i="18"/>
  <c r="AA27" i="18"/>
  <c r="AA91" i="18"/>
  <c r="S77" i="18"/>
  <c r="R50" i="18"/>
  <c r="AA49" i="18"/>
  <c r="R67" i="18"/>
  <c r="E13" i="4"/>
  <c r="Z108" i="18"/>
  <c r="E18" i="8"/>
  <c r="N55" i="8" s="1"/>
  <c r="R37" i="18"/>
  <c r="AA94" i="18"/>
  <c r="Z115" i="18"/>
  <c r="R7" i="18"/>
  <c r="S109" i="18"/>
  <c r="S125" i="18"/>
  <c r="R39" i="18"/>
  <c r="AA45" i="18"/>
  <c r="AA11" i="18"/>
  <c r="Z45" i="18"/>
  <c r="AA96" i="18"/>
  <c r="S93" i="18"/>
  <c r="R33" i="18"/>
  <c r="R30" i="18"/>
  <c r="Z96" i="18"/>
  <c r="S30" i="18"/>
  <c r="S90" i="18"/>
  <c r="AA74" i="18"/>
  <c r="Z29" i="18"/>
  <c r="AA47" i="18"/>
  <c r="Z100" i="18"/>
  <c r="Y40" i="10"/>
  <c r="R36" i="18"/>
  <c r="AA88" i="18"/>
  <c r="R87" i="18"/>
  <c r="S73" i="18"/>
  <c r="AA19" i="18"/>
  <c r="S28" i="18"/>
  <c r="R90" i="18"/>
  <c r="R105" i="18"/>
  <c r="R82" i="18"/>
  <c r="Z70" i="18"/>
  <c r="R122" i="18"/>
  <c r="Z8" i="18"/>
  <c r="AA36" i="18"/>
  <c r="S18" i="18"/>
  <c r="S72" i="18"/>
  <c r="S47" i="18"/>
  <c r="S35" i="18"/>
  <c r="Z89" i="18"/>
  <c r="AA70" i="18"/>
  <c r="Z17" i="18"/>
  <c r="AA78" i="18"/>
  <c r="S104" i="18"/>
  <c r="R109" i="18"/>
  <c r="Z91" i="18"/>
  <c r="AA17" i="18"/>
  <c r="Z68" i="18"/>
  <c r="AA22" i="18"/>
  <c r="AA39" i="18"/>
  <c r="Z97" i="18"/>
  <c r="Z90" i="18"/>
  <c r="Z50" i="18"/>
  <c r="Z102" i="18"/>
  <c r="AA41" i="18"/>
  <c r="S122" i="18"/>
  <c r="Z24" i="18"/>
  <c r="Z9" i="18"/>
  <c r="AA14" i="18"/>
  <c r="Z31" i="18"/>
  <c r="Z120" i="18"/>
  <c r="Z39" i="18"/>
  <c r="Z47" i="18"/>
  <c r="R45" i="18"/>
  <c r="R34" i="18"/>
  <c r="Z26" i="18"/>
  <c r="AA52" i="18"/>
  <c r="S97" i="18"/>
  <c r="Z56" i="18"/>
  <c r="AA34" i="18"/>
  <c r="S46" i="18"/>
  <c r="Z37" i="18"/>
  <c r="AA82" i="18"/>
  <c r="R41" i="18"/>
  <c r="Z121" i="18"/>
  <c r="AA117" i="18"/>
  <c r="Z25" i="18"/>
  <c r="R118" i="18"/>
  <c r="Z21" i="18"/>
  <c r="R61" i="18"/>
  <c r="S89" i="18"/>
  <c r="AA56" i="18"/>
  <c r="S112" i="18"/>
  <c r="Z112" i="18"/>
  <c r="Z73" i="18"/>
  <c r="S52" i="18"/>
  <c r="Z66" i="18"/>
  <c r="AA83" i="18"/>
  <c r="AA53" i="18"/>
  <c r="R89" i="18"/>
  <c r="Z118" i="18"/>
  <c r="AA25" i="18"/>
  <c r="S45" i="18"/>
  <c r="AA28" i="18"/>
  <c r="Z51" i="18"/>
  <c r="AA118" i="18"/>
  <c r="Z16" i="18"/>
  <c r="Y43" i="10"/>
  <c r="AA66" i="18"/>
  <c r="Z62" i="18"/>
  <c r="AA89" i="18"/>
  <c r="R8" i="18"/>
  <c r="S42" i="18"/>
  <c r="S110" i="18"/>
  <c r="R99" i="18"/>
  <c r="Z54" i="18"/>
  <c r="S81" i="18"/>
  <c r="Z33" i="18"/>
  <c r="R70" i="18"/>
  <c r="R52" i="18"/>
  <c r="Z117" i="18"/>
  <c r="AA125" i="18"/>
  <c r="S87" i="18"/>
  <c r="AA107" i="18"/>
  <c r="Z119" i="18"/>
  <c r="R93" i="18"/>
  <c r="Z46" i="18"/>
  <c r="Z57" i="18"/>
  <c r="AA58" i="18"/>
  <c r="AA31" i="18"/>
  <c r="Z107" i="18"/>
  <c r="AA50" i="18"/>
  <c r="AA98" i="18"/>
  <c r="S49" i="18"/>
  <c r="AA30" i="18"/>
  <c r="R27" i="18"/>
  <c r="AA54" i="18"/>
  <c r="R18" i="18"/>
  <c r="R85" i="18"/>
  <c r="AA23" i="18"/>
  <c r="AA103" i="18"/>
  <c r="S25" i="18"/>
  <c r="AA8" i="18"/>
  <c r="R75" i="18"/>
  <c r="R81" i="18"/>
  <c r="G48" i="8"/>
  <c r="AR57" i="8" s="1"/>
  <c r="Y45" i="10"/>
  <c r="R40" i="18"/>
  <c r="C48" i="8"/>
  <c r="AR53" i="8" s="1"/>
  <c r="H48" i="8"/>
  <c r="AR58" i="8" s="1"/>
  <c r="AA102" i="18"/>
  <c r="S106" i="18"/>
  <c r="S120" i="18"/>
  <c r="AA21" i="18"/>
  <c r="R71" i="18"/>
  <c r="S103" i="18"/>
  <c r="S85" i="18"/>
  <c r="AA69" i="18"/>
  <c r="R104" i="18"/>
  <c r="Z111" i="18"/>
  <c r="S96" i="18"/>
  <c r="R125" i="18"/>
  <c r="R14" i="18"/>
  <c r="R31" i="18"/>
  <c r="Z98" i="18"/>
  <c r="R101" i="18"/>
  <c r="AA79" i="18"/>
  <c r="S43" i="18"/>
  <c r="Z95" i="18"/>
  <c r="S40" i="18"/>
  <c r="S63" i="18"/>
  <c r="S56" i="18"/>
  <c r="Z58" i="18"/>
  <c r="S102" i="18"/>
  <c r="S14" i="18"/>
  <c r="Z81" i="18"/>
  <c r="AA57" i="18"/>
  <c r="Z88" i="18"/>
  <c r="S31" i="18"/>
  <c r="R56" i="18"/>
  <c r="Z43" i="18"/>
  <c r="Z71" i="18"/>
  <c r="S101" i="18"/>
  <c r="AA87" i="18"/>
  <c r="S55" i="18"/>
  <c r="S65" i="18"/>
  <c r="R72" i="18"/>
  <c r="R49" i="18"/>
  <c r="R6" i="18"/>
  <c r="Z20" i="18"/>
  <c r="AA55" i="18"/>
  <c r="R51" i="18"/>
  <c r="R22" i="18"/>
  <c r="Z75" i="18"/>
  <c r="L43" i="10"/>
  <c r="R119" i="18"/>
  <c r="AA92" i="18"/>
  <c r="Z93" i="18"/>
  <c r="R28" i="18"/>
  <c r="AA13" i="18"/>
  <c r="R69" i="18"/>
  <c r="S116" i="18"/>
  <c r="AA81" i="18"/>
  <c r="Z106" i="18"/>
  <c r="R108" i="18"/>
  <c r="R32" i="18"/>
  <c r="Z19" i="18"/>
  <c r="S23" i="18"/>
  <c r="AA64" i="18"/>
  <c r="AA99" i="18"/>
  <c r="R38" i="18"/>
  <c r="Z32" i="18"/>
  <c r="AA43" i="18"/>
  <c r="L44" i="10"/>
  <c r="S36" i="18"/>
  <c r="Z92" i="18"/>
  <c r="S62" i="18"/>
  <c r="S51" i="18"/>
  <c r="Z74" i="18"/>
  <c r="S75" i="18"/>
  <c r="R120" i="18"/>
  <c r="Z48" i="18"/>
  <c r="S118" i="18"/>
  <c r="L42" i="10"/>
  <c r="AA48" i="18"/>
  <c r="AA84" i="18"/>
  <c r="S76" i="18"/>
  <c r="AA10" i="18"/>
  <c r="R77" i="18"/>
  <c r="S7" i="18"/>
  <c r="Z11" i="18"/>
  <c r="AA32" i="18"/>
  <c r="R64" i="18"/>
  <c r="Z85" i="18"/>
  <c r="Z49" i="18"/>
  <c r="R73" i="18"/>
  <c r="S70" i="18"/>
  <c r="R102" i="18"/>
  <c r="R124" i="18"/>
  <c r="Z116" i="18"/>
  <c r="Z99" i="18"/>
  <c r="S66" i="18"/>
  <c r="Z104" i="18"/>
  <c r="Z35" i="18"/>
  <c r="Z83" i="18"/>
  <c r="R9" i="18"/>
  <c r="Z109" i="18"/>
  <c r="Z12" i="18"/>
  <c r="AA115" i="18"/>
  <c r="Z76" i="18"/>
  <c r="AA119" i="18"/>
  <c r="R17" i="18"/>
  <c r="S68" i="18"/>
  <c r="S44" i="18"/>
  <c r="AA68" i="18"/>
  <c r="AA46" i="18"/>
  <c r="S80" i="18"/>
  <c r="AA73" i="18"/>
  <c r="S50" i="18"/>
  <c r="R11" i="18"/>
  <c r="S119" i="18"/>
  <c r="S57" i="18"/>
  <c r="R58" i="18"/>
  <c r="S99" i="18"/>
  <c r="R114" i="18"/>
  <c r="R47" i="18"/>
  <c r="AA114" i="18"/>
  <c r="R55" i="18"/>
  <c r="Z80" i="18"/>
  <c r="S21" i="18"/>
  <c r="R57" i="18"/>
  <c r="Z87" i="18"/>
  <c r="Z13" i="18"/>
  <c r="Z40" i="18"/>
  <c r="AA90" i="18"/>
  <c r="S29" i="18"/>
  <c r="AA124" i="18"/>
  <c r="Z123" i="18"/>
  <c r="S88" i="18"/>
  <c r="S10" i="18"/>
  <c r="AA38" i="18"/>
  <c r="R65" i="18"/>
  <c r="Z64" i="18"/>
  <c r="S61" i="18"/>
  <c r="L38" i="10"/>
  <c r="S92" i="18"/>
  <c r="AA29" i="18"/>
  <c r="AA15" i="18"/>
  <c r="Z27" i="18"/>
  <c r="R43" i="18"/>
  <c r="S41" i="18"/>
  <c r="Z52" i="18"/>
  <c r="AA80" i="18"/>
  <c r="Z42" i="18"/>
  <c r="S95" i="18"/>
  <c r="AA67" i="18"/>
  <c r="S9" i="18"/>
  <c r="Z34" i="18"/>
  <c r="AA40" i="18"/>
  <c r="Y54" i="10"/>
  <c r="S82" i="18"/>
  <c r="S34" i="18"/>
  <c r="R103" i="18"/>
  <c r="R95" i="18"/>
  <c r="Z23" i="18"/>
  <c r="R48" i="18"/>
  <c r="R13" i="18"/>
  <c r="R88" i="18"/>
  <c r="R44" i="18"/>
  <c r="Z15" i="18"/>
  <c r="R115" i="18"/>
  <c r="Z36" i="18"/>
  <c r="S67" i="18"/>
  <c r="AA109" i="18"/>
  <c r="R97" i="18"/>
  <c r="S71" i="18"/>
  <c r="S111" i="18"/>
  <c r="R86" i="18"/>
  <c r="S86" i="18"/>
  <c r="R10" i="18"/>
  <c r="S13" i="18"/>
  <c r="S64" i="18"/>
  <c r="S12" i="18"/>
  <c r="R12" i="18"/>
  <c r="AA44" i="18"/>
  <c r="S11" i="18"/>
  <c r="AA33" i="18"/>
  <c r="Z114" i="18"/>
  <c r="Z60" i="18"/>
  <c r="R92" i="18"/>
  <c r="AA24" i="18"/>
  <c r="Z41" i="18"/>
  <c r="L41" i="10"/>
  <c r="Y50" i="10"/>
  <c r="R60" i="18"/>
  <c r="R23" i="18"/>
  <c r="S17" i="18"/>
  <c r="S114" i="18"/>
  <c r="R20" i="18"/>
  <c r="AA37" i="18"/>
  <c r="R29" i="18"/>
  <c r="S60" i="18"/>
  <c r="AA42" i="18"/>
  <c r="R15" i="18"/>
  <c r="L49" i="10"/>
  <c r="Y47" i="10"/>
  <c r="Y52" i="10"/>
  <c r="S123" i="18"/>
  <c r="R83" i="18"/>
  <c r="R78" i="18"/>
  <c r="S78" i="18"/>
  <c r="AA26" i="18"/>
  <c r="R111" i="18"/>
  <c r="R107" i="18"/>
  <c r="S107" i="18"/>
  <c r="AA86" i="18"/>
  <c r="R16" i="18"/>
  <c r="S16" i="18"/>
  <c r="S20" i="18"/>
  <c r="L39" i="10"/>
  <c r="Y49" i="10"/>
  <c r="Y56" i="10"/>
  <c r="Y42" i="10"/>
  <c r="L45" i="10"/>
  <c r="Y51" i="10"/>
  <c r="Y53" i="10"/>
  <c r="L57" i="10"/>
  <c r="Y38" i="10"/>
  <c r="L53" i="10"/>
  <c r="S74" i="18"/>
  <c r="R74" i="18"/>
  <c r="L40" i="10"/>
  <c r="S83" i="18"/>
  <c r="L51" i="10"/>
  <c r="S94" i="18"/>
  <c r="Y46" i="10"/>
  <c r="L47" i="10"/>
  <c r="L46" i="10"/>
  <c r="R123" i="18"/>
  <c r="Y48" i="10"/>
  <c r="D68" i="10"/>
  <c r="L52" i="10"/>
  <c r="L56" i="10"/>
  <c r="Y58" i="10"/>
  <c r="L55" i="10"/>
  <c r="C68" i="10"/>
  <c r="L48" i="10"/>
  <c r="Y55" i="10"/>
  <c r="L50" i="10"/>
  <c r="Y41" i="10"/>
  <c r="Y44" i="10"/>
  <c r="Q21" i="25"/>
  <c r="S21" i="25"/>
  <c r="S22" i="25" s="1"/>
  <c r="S23" i="25" s="1"/>
  <c r="S24" i="25" s="1"/>
  <c r="S25" i="25" s="1"/>
  <c r="S26" i="25" s="1"/>
  <c r="S27" i="25" s="1"/>
  <c r="S28" i="25" s="1"/>
  <c r="W21" i="25"/>
  <c r="U21" i="25"/>
  <c r="K16" i="8"/>
  <c r="L61" i="8" s="1"/>
  <c r="F16" i="8"/>
  <c r="L56" i="8" s="1"/>
  <c r="K13" i="8"/>
  <c r="I61" i="8" s="1"/>
  <c r="F13" i="8"/>
  <c r="I56" i="8" s="1"/>
  <c r="K14" i="8"/>
  <c r="J61" i="8" s="1"/>
  <c r="F14" i="8"/>
  <c r="J56" i="8" s="1"/>
  <c r="D81" i="11"/>
  <c r="C81" i="11"/>
  <c r="K17" i="8"/>
  <c r="M61" i="8" s="1"/>
  <c r="F17" i="8"/>
  <c r="M56" i="8" s="1"/>
  <c r="AX36" i="17" l="1"/>
  <c r="AU36" i="17"/>
  <c r="AT40" i="17"/>
  <c r="AX41" i="17"/>
  <c r="AY42" i="17"/>
  <c r="AT39" i="17"/>
  <c r="AY41" i="17"/>
  <c r="AV39" i="17"/>
  <c r="AS39" i="17"/>
  <c r="AU40" i="17"/>
  <c r="Q34" i="17"/>
  <c r="AW38" i="17"/>
  <c r="AR42" i="17"/>
  <c r="AB36" i="17"/>
  <c r="AW36" i="17" s="1"/>
  <c r="N820" i="17"/>
  <c r="O820" i="17" s="1"/>
  <c r="R36" i="17" s="1"/>
  <c r="H25" i="17" s="1"/>
  <c r="AZ40" i="17"/>
  <c r="Q40" i="17"/>
  <c r="F29" i="17" s="1"/>
  <c r="D820" i="17"/>
  <c r="Q39" i="17"/>
  <c r="F28" i="17" s="1"/>
  <c r="AZ39" i="17"/>
  <c r="AZ41" i="17"/>
  <c r="Q41" i="17"/>
  <c r="F30" i="17" s="1"/>
  <c r="Q37" i="17"/>
  <c r="F26" i="17" s="1"/>
  <c r="AZ37" i="17"/>
  <c r="BA36" i="17"/>
  <c r="AZ42" i="17"/>
  <c r="Q42" i="17"/>
  <c r="F31" i="17" s="1"/>
  <c r="AZ38" i="17"/>
  <c r="Q38" i="17"/>
  <c r="F27" i="17" s="1"/>
  <c r="D168" i="12"/>
  <c r="D171" i="12" s="1"/>
  <c r="D130" i="12"/>
  <c r="D12" i="6"/>
  <c r="D13" i="6"/>
  <c r="F13" i="6" s="1"/>
  <c r="D11" i="6"/>
  <c r="D10" i="6"/>
  <c r="G216" i="15"/>
  <c r="G190" i="15"/>
  <c r="G164" i="15"/>
  <c r="G38" i="15"/>
  <c r="G228" i="15"/>
  <c r="G26" i="15"/>
  <c r="G100" i="15"/>
  <c r="G152" i="15"/>
  <c r="G84" i="15"/>
  <c r="G44" i="15"/>
  <c r="G214" i="15"/>
  <c r="G92" i="15"/>
  <c r="G180" i="15"/>
  <c r="G76" i="15"/>
  <c r="G90" i="15"/>
  <c r="G42" i="15"/>
  <c r="G52" i="15"/>
  <c r="G106" i="15"/>
  <c r="G28" i="15"/>
  <c r="G126" i="15"/>
  <c r="G202" i="15"/>
  <c r="G226" i="15"/>
  <c r="G162" i="15"/>
  <c r="G62" i="15"/>
  <c r="G212" i="15"/>
  <c r="G172" i="15"/>
  <c r="G78" i="15"/>
  <c r="G30" i="15"/>
  <c r="G108" i="15"/>
  <c r="G98" i="15"/>
  <c r="G56" i="15"/>
  <c r="G142" i="15"/>
  <c r="G206" i="15"/>
  <c r="G234" i="15"/>
  <c r="G174" i="15"/>
  <c r="G208" i="15"/>
  <c r="G232" i="15"/>
  <c r="G222" i="15"/>
  <c r="G224" i="15"/>
  <c r="G146" i="15"/>
  <c r="G64" i="15"/>
  <c r="G60" i="15"/>
  <c r="G120" i="15"/>
  <c r="G20" i="15"/>
  <c r="G240" i="15"/>
  <c r="G200" i="15"/>
  <c r="G102" i="15"/>
  <c r="G196" i="15"/>
  <c r="G168" i="15"/>
  <c r="G68" i="15"/>
  <c r="G248" i="15"/>
  <c r="G46" i="15"/>
  <c r="G220" i="15"/>
  <c r="G94" i="15"/>
  <c r="G148" i="15"/>
  <c r="G96" i="15"/>
  <c r="G218" i="15"/>
  <c r="G12" i="15"/>
  <c r="G176" i="15"/>
  <c r="G166" i="15"/>
  <c r="G24" i="15"/>
  <c r="G144" i="15"/>
  <c r="G122" i="15"/>
  <c r="G50" i="15"/>
  <c r="G134" i="15"/>
  <c r="G184" i="15"/>
  <c r="G186" i="15"/>
  <c r="G114" i="15"/>
  <c r="G74" i="15"/>
  <c r="G14" i="15"/>
  <c r="G182" i="15"/>
  <c r="G104" i="15"/>
  <c r="G72" i="15"/>
  <c r="G194" i="15"/>
  <c r="G88" i="15"/>
  <c r="G154" i="15"/>
  <c r="G242" i="15"/>
  <c r="G58" i="15"/>
  <c r="G82" i="15"/>
  <c r="G138" i="15"/>
  <c r="G156" i="15"/>
  <c r="G110" i="15"/>
  <c r="G130" i="15"/>
  <c r="G210" i="15"/>
  <c r="G10" i="15"/>
  <c r="G6" i="15"/>
  <c r="G204" i="15"/>
  <c r="G230" i="15"/>
  <c r="G178" i="15"/>
  <c r="G70" i="15"/>
  <c r="G132" i="15"/>
  <c r="G36" i="15"/>
  <c r="G136" i="15"/>
  <c r="G22" i="15"/>
  <c r="G34" i="15"/>
  <c r="K15" i="8"/>
  <c r="K61" i="8" s="1"/>
  <c r="G124" i="15"/>
  <c r="G40" i="15"/>
  <c r="G158" i="15"/>
  <c r="G244" i="15"/>
  <c r="G118" i="15"/>
  <c r="G188" i="15"/>
  <c r="G48" i="15"/>
  <c r="G246" i="15"/>
  <c r="G150" i="15"/>
  <c r="G54" i="15"/>
  <c r="G112" i="15"/>
  <c r="G128" i="15"/>
  <c r="G80" i="15"/>
  <c r="G198" i="15"/>
  <c r="G8" i="15"/>
  <c r="G170" i="15"/>
  <c r="G238" i="15"/>
  <c r="G86" i="15"/>
  <c r="G140" i="15"/>
  <c r="G116" i="15"/>
  <c r="G252" i="15"/>
  <c r="G18" i="15"/>
  <c r="G66" i="15"/>
  <c r="G32" i="15"/>
  <c r="G160" i="15"/>
  <c r="D34" i="4"/>
  <c r="L34" i="8" s="1"/>
  <c r="AD62" i="8" s="1"/>
  <c r="G192" i="15"/>
  <c r="H34" i="8"/>
  <c r="AD58" i="8" s="1"/>
  <c r="G250" i="15"/>
  <c r="C34" i="4"/>
  <c r="G34" i="8" s="1"/>
  <c r="AD57" i="8" s="1"/>
  <c r="G16" i="15"/>
  <c r="E170" i="8"/>
  <c r="B91" i="20" s="1"/>
  <c r="K50" i="8"/>
  <c r="AT61" i="8" s="1"/>
  <c r="E149" i="11"/>
  <c r="D160" i="11" s="1"/>
  <c r="D196" i="11" s="1"/>
  <c r="D197" i="11" s="1"/>
  <c r="D198" i="11" s="1"/>
  <c r="E181" i="8"/>
  <c r="F56" i="9" s="1"/>
  <c r="E154" i="8"/>
  <c r="B58" i="20" s="1"/>
  <c r="F149" i="11"/>
  <c r="D161" i="11" s="1"/>
  <c r="D177" i="11" s="1"/>
  <c r="E180" i="11" s="1"/>
  <c r="B98" i="16"/>
  <c r="C51" i="11" s="1"/>
  <c r="E164" i="8"/>
  <c r="E175" i="8"/>
  <c r="B56" i="19" s="1"/>
  <c r="E157" i="8"/>
  <c r="B65" i="20" s="1"/>
  <c r="E192" i="8"/>
  <c r="E167" i="8"/>
  <c r="B85" i="20" s="1"/>
  <c r="E161" i="8"/>
  <c r="B42" i="19" s="1"/>
  <c r="E179" i="8"/>
  <c r="E173" i="8"/>
  <c r="E185" i="8"/>
  <c r="B66" i="19" s="1"/>
  <c r="E168" i="8"/>
  <c r="E183" i="8"/>
  <c r="B64" i="19" s="1"/>
  <c r="E141" i="8"/>
  <c r="B32" i="20" s="1"/>
  <c r="E165" i="8"/>
  <c r="E156" i="8"/>
  <c r="B37" i="19" s="1"/>
  <c r="E186" i="8"/>
  <c r="B123" i="20" s="1"/>
  <c r="E133" i="8"/>
  <c r="E152" i="8"/>
  <c r="B55" i="20" s="1"/>
  <c r="E135" i="8"/>
  <c r="J184" i="8"/>
  <c r="E138" i="8"/>
  <c r="E172" i="8"/>
  <c r="B95" i="20" s="1"/>
  <c r="E144" i="8"/>
  <c r="E151" i="8"/>
  <c r="B53" i="20" s="1"/>
  <c r="E160" i="8"/>
  <c r="E131" i="8"/>
  <c r="E188" i="8"/>
  <c r="B69" i="19" s="1"/>
  <c r="E155" i="8"/>
  <c r="B36" i="19" s="1"/>
  <c r="E149" i="8"/>
  <c r="B48" i="20" s="1"/>
  <c r="E159" i="8"/>
  <c r="B69" i="20" s="1"/>
  <c r="E169" i="8"/>
  <c r="E174" i="8"/>
  <c r="E148" i="8"/>
  <c r="E190" i="8"/>
  <c r="B71" i="19" s="1"/>
  <c r="E189" i="8"/>
  <c r="E171" i="8"/>
  <c r="B52" i="19" s="1"/>
  <c r="E146" i="8"/>
  <c r="B42" i="20" s="1"/>
  <c r="E158" i="8"/>
  <c r="E162" i="8"/>
  <c r="F37" i="9" s="1"/>
  <c r="E147" i="8"/>
  <c r="B45" i="20" s="1"/>
  <c r="E184" i="8"/>
  <c r="E178" i="8"/>
  <c r="B107" i="20" s="1"/>
  <c r="E176" i="8"/>
  <c r="E136" i="8"/>
  <c r="E191" i="8"/>
  <c r="E139" i="8"/>
  <c r="B28" i="20" s="1"/>
  <c r="E153" i="8"/>
  <c r="E187" i="8"/>
  <c r="B68" i="19" s="1"/>
  <c r="E143" i="8"/>
  <c r="E134" i="8"/>
  <c r="E145" i="8"/>
  <c r="C99" i="10" s="1"/>
  <c r="E150" i="8"/>
  <c r="B31" i="19" s="1"/>
  <c r="E142" i="8"/>
  <c r="E177" i="8"/>
  <c r="B105" i="20" s="1"/>
  <c r="E163" i="8"/>
  <c r="B44" i="19" s="1"/>
  <c r="E137" i="8"/>
  <c r="C91" i="10" s="1"/>
  <c r="E140" i="8"/>
  <c r="E166" i="8"/>
  <c r="B82" i="20" s="1"/>
  <c r="E132" i="8"/>
  <c r="E180" i="8"/>
  <c r="E182" i="8"/>
  <c r="F57" i="9" s="1"/>
  <c r="J169" i="8"/>
  <c r="J180" i="8"/>
  <c r="J173" i="8"/>
  <c r="C97" i="16"/>
  <c r="D50" i="11" s="1"/>
  <c r="J150" i="8"/>
  <c r="J179" i="8"/>
  <c r="J147" i="8"/>
  <c r="J145" i="8"/>
  <c r="J138" i="8"/>
  <c r="J139" i="8"/>
  <c r="J182" i="8"/>
  <c r="J162" i="8"/>
  <c r="J143" i="8"/>
  <c r="J178" i="8"/>
  <c r="J151" i="8"/>
  <c r="J154" i="8"/>
  <c r="J133" i="8"/>
  <c r="J146" i="8"/>
  <c r="J149" i="8"/>
  <c r="J132" i="8"/>
  <c r="J135" i="8"/>
  <c r="J168" i="8"/>
  <c r="J188" i="8"/>
  <c r="J190" i="8"/>
  <c r="J166" i="8"/>
  <c r="J181" i="8"/>
  <c r="J170" i="8"/>
  <c r="J157" i="8"/>
  <c r="J183" i="8"/>
  <c r="J174" i="8"/>
  <c r="J159" i="8"/>
  <c r="J136" i="8"/>
  <c r="J189" i="8"/>
  <c r="J141" i="8"/>
  <c r="J165" i="8"/>
  <c r="J176" i="8"/>
  <c r="J137" i="8"/>
  <c r="J185" i="8"/>
  <c r="J163" i="8"/>
  <c r="J144" i="8"/>
  <c r="J140" i="8"/>
  <c r="J167" i="8"/>
  <c r="J152" i="8"/>
  <c r="E97" i="16"/>
  <c r="F50" i="11" s="1"/>
  <c r="D97" i="16"/>
  <c r="E50" i="11" s="1"/>
  <c r="J172" i="8"/>
  <c r="J142" i="8"/>
  <c r="J186" i="8"/>
  <c r="F97" i="16"/>
  <c r="G50" i="11" s="1"/>
  <c r="G97" i="16"/>
  <c r="H50" i="11" s="1"/>
  <c r="J177" i="8"/>
  <c r="J175" i="8"/>
  <c r="J191" i="8"/>
  <c r="B97" i="16"/>
  <c r="C50" i="11" s="1"/>
  <c r="D98" i="16"/>
  <c r="E51" i="11" s="1"/>
  <c r="G98" i="16"/>
  <c r="H51" i="11" s="1"/>
  <c r="E98" i="16"/>
  <c r="F51" i="11" s="1"/>
  <c r="J131" i="8"/>
  <c r="J156" i="8"/>
  <c r="J158" i="8"/>
  <c r="J164" i="8"/>
  <c r="J134" i="8"/>
  <c r="C98" i="16"/>
  <c r="D51" i="11" s="1"/>
  <c r="J171" i="8"/>
  <c r="J153" i="8"/>
  <c r="J161" i="8"/>
  <c r="J160" i="8"/>
  <c r="J155" i="8"/>
  <c r="F98" i="16"/>
  <c r="G51" i="11" s="1"/>
  <c r="J192" i="8"/>
  <c r="J187" i="8"/>
  <c r="J148" i="8"/>
  <c r="K12" i="8"/>
  <c r="H61" i="8" s="1"/>
  <c r="F12" i="8"/>
  <c r="H56" i="8" s="1"/>
  <c r="AE97" i="18"/>
  <c r="AF97" i="18" s="1"/>
  <c r="AN15" i="18"/>
  <c r="AL15" i="18" s="1"/>
  <c r="AE14" i="18"/>
  <c r="AF14" i="18" s="1"/>
  <c r="AE19" i="18"/>
  <c r="AF19" i="18" s="1"/>
  <c r="AE24" i="18"/>
  <c r="AF24" i="18" s="1"/>
  <c r="AE82" i="18"/>
  <c r="AF82" i="18" s="1"/>
  <c r="AE39" i="18"/>
  <c r="AF39" i="18" s="1"/>
  <c r="AE33" i="18"/>
  <c r="AF33" i="18" s="1"/>
  <c r="AE57" i="18"/>
  <c r="AF57" i="18" s="1"/>
  <c r="AE36" i="18"/>
  <c r="AF36" i="18" s="1"/>
  <c r="AE6" i="18"/>
  <c r="AF6" i="18" s="1"/>
  <c r="AE125" i="18"/>
  <c r="AF125" i="18" s="1"/>
  <c r="AE43" i="18"/>
  <c r="AF43" i="18" s="1"/>
  <c r="AE45" i="18"/>
  <c r="AF45" i="18" s="1"/>
  <c r="AE98" i="18"/>
  <c r="AF98" i="18" s="1"/>
  <c r="AN38" i="18"/>
  <c r="AL38" i="18" s="1"/>
  <c r="AE47" i="18"/>
  <c r="AF47" i="18" s="1"/>
  <c r="AE29" i="18"/>
  <c r="AF29" i="18" s="1"/>
  <c r="AE37" i="18"/>
  <c r="AF37" i="18" s="1"/>
  <c r="AE60" i="18"/>
  <c r="AF60" i="18" s="1"/>
  <c r="AE54" i="18"/>
  <c r="AF54" i="18" s="1"/>
  <c r="AE124" i="18"/>
  <c r="AF124" i="18" s="1"/>
  <c r="AE110" i="18"/>
  <c r="AF110" i="18" s="1"/>
  <c r="AE118" i="18"/>
  <c r="AF118" i="18" s="1"/>
  <c r="AM78" i="18"/>
  <c r="AK78" i="18" s="1"/>
  <c r="AE103" i="18"/>
  <c r="AF103" i="18" s="1"/>
  <c r="AE94" i="18"/>
  <c r="AF94" i="18" s="1"/>
  <c r="AE17" i="18"/>
  <c r="AF17" i="18" s="1"/>
  <c r="AN8" i="18"/>
  <c r="AL8" i="18" s="1"/>
  <c r="AE18" i="18"/>
  <c r="AF18" i="18" s="1"/>
  <c r="AE42" i="18"/>
  <c r="AF42" i="18" s="1"/>
  <c r="AE8" i="18"/>
  <c r="AF8" i="18" s="1"/>
  <c r="AE52" i="18"/>
  <c r="AF52" i="18" s="1"/>
  <c r="AE32" i="18"/>
  <c r="AF32" i="18" s="1"/>
  <c r="AE49" i="18"/>
  <c r="AF49" i="18" s="1"/>
  <c r="AE68" i="18"/>
  <c r="AF68" i="18" s="1"/>
  <c r="AE66" i="18"/>
  <c r="AF66" i="18" s="1"/>
  <c r="AE63" i="18"/>
  <c r="AF63" i="18" s="1"/>
  <c r="AE122" i="18"/>
  <c r="AF122" i="18" s="1"/>
  <c r="AE93" i="18"/>
  <c r="AF93" i="18" s="1"/>
  <c r="AN32" i="18"/>
  <c r="AL32" i="18" s="1"/>
  <c r="AE61" i="18"/>
  <c r="AF61" i="18" s="1"/>
  <c r="AE112" i="18"/>
  <c r="AF112" i="18" s="1"/>
  <c r="AN11" i="18"/>
  <c r="AL11" i="18" s="1"/>
  <c r="AE55" i="18"/>
  <c r="AF55" i="18" s="1"/>
  <c r="AE44" i="18"/>
  <c r="AF44" i="18" s="1"/>
  <c r="AE56" i="18"/>
  <c r="AF56" i="18" s="1"/>
  <c r="AE59" i="18"/>
  <c r="AF59" i="18" s="1"/>
  <c r="AE78" i="18"/>
  <c r="AF78" i="18" s="1"/>
  <c r="AE75" i="18"/>
  <c r="AF75" i="18" s="1"/>
  <c r="AE109" i="18"/>
  <c r="AF109" i="18" s="1"/>
  <c r="AE105" i="18"/>
  <c r="AF105" i="18" s="1"/>
  <c r="AM96" i="18"/>
  <c r="AK96" i="18" s="1"/>
  <c r="AE11" i="18"/>
  <c r="AF11" i="18" s="1"/>
  <c r="AE16" i="18"/>
  <c r="AF16" i="18" s="1"/>
  <c r="AE15" i="18"/>
  <c r="AF15" i="18" s="1"/>
  <c r="AE20" i="18"/>
  <c r="AF20" i="18" s="1"/>
  <c r="AE23" i="18"/>
  <c r="AF23" i="18" s="1"/>
  <c r="AE41" i="18"/>
  <c r="AF41" i="18" s="1"/>
  <c r="AE12" i="18"/>
  <c r="AF12" i="18" s="1"/>
  <c r="AE92" i="18"/>
  <c r="AF92" i="18" s="1"/>
  <c r="AE71" i="18"/>
  <c r="AF71" i="18" s="1"/>
  <c r="AE84" i="18"/>
  <c r="AF84" i="18" s="1"/>
  <c r="AE67" i="18"/>
  <c r="AF67" i="18" s="1"/>
  <c r="AE90" i="18"/>
  <c r="AF90" i="18" s="1"/>
  <c r="AE87" i="18"/>
  <c r="AF87" i="18" s="1"/>
  <c r="AE121" i="18"/>
  <c r="AF121" i="18" s="1"/>
  <c r="AE117" i="18"/>
  <c r="AF117" i="18" s="1"/>
  <c r="AN109" i="18"/>
  <c r="AL109" i="18" s="1"/>
  <c r="AE86" i="18"/>
  <c r="AF86" i="18" s="1"/>
  <c r="AE34" i="18"/>
  <c r="AF34" i="18" s="1"/>
  <c r="AE25" i="18"/>
  <c r="AF25" i="18" s="1"/>
  <c r="AE115" i="18"/>
  <c r="AF115" i="18" s="1"/>
  <c r="AE106" i="18"/>
  <c r="AF106" i="18" s="1"/>
  <c r="AN114" i="18"/>
  <c r="AL114" i="18" s="1"/>
  <c r="AE46" i="18"/>
  <c r="AF46" i="18" s="1"/>
  <c r="AE27" i="18"/>
  <c r="AF27" i="18" s="1"/>
  <c r="AE7" i="18"/>
  <c r="AF7" i="18" s="1"/>
  <c r="AE21" i="18"/>
  <c r="AF21" i="18" s="1"/>
  <c r="AE38" i="18"/>
  <c r="AF38" i="18" s="1"/>
  <c r="AE80" i="18"/>
  <c r="AF80" i="18" s="1"/>
  <c r="AE51" i="18"/>
  <c r="AF51" i="18" s="1"/>
  <c r="AE79" i="18"/>
  <c r="AF79" i="18" s="1"/>
  <c r="AE65" i="18"/>
  <c r="AF65" i="18" s="1"/>
  <c r="AE77" i="18"/>
  <c r="AF77" i="18" s="1"/>
  <c r="AE102" i="18"/>
  <c r="AF102" i="18" s="1"/>
  <c r="AE99" i="18"/>
  <c r="AF99" i="18" s="1"/>
  <c r="AE120" i="18"/>
  <c r="AF120" i="18" s="1"/>
  <c r="AN6" i="18"/>
  <c r="AL6" i="18" s="1"/>
  <c r="AN44" i="18"/>
  <c r="AL44" i="18" s="1"/>
  <c r="AE28" i="18"/>
  <c r="AF28" i="18" s="1"/>
  <c r="AE53" i="18"/>
  <c r="AF53" i="18" s="1"/>
  <c r="AE73" i="18"/>
  <c r="AF73" i="18" s="1"/>
  <c r="AE83" i="18"/>
  <c r="AF83" i="18" s="1"/>
  <c r="AE95" i="18"/>
  <c r="AF95" i="18" s="1"/>
  <c r="AE114" i="18"/>
  <c r="AF114" i="18" s="1"/>
  <c r="AE111" i="18"/>
  <c r="AF111" i="18" s="1"/>
  <c r="AE107" i="18"/>
  <c r="AF107" i="18" s="1"/>
  <c r="AN14" i="18"/>
  <c r="AL14" i="18" s="1"/>
  <c r="AN25" i="18"/>
  <c r="AL25" i="18" s="1"/>
  <c r="AE31" i="18"/>
  <c r="AF31" i="18" s="1"/>
  <c r="AE72" i="18"/>
  <c r="AF72" i="18" s="1"/>
  <c r="AE81" i="18"/>
  <c r="AF81" i="18" s="1"/>
  <c r="AE85" i="18"/>
  <c r="AF85" i="18" s="1"/>
  <c r="AE116" i="18"/>
  <c r="AF116" i="18" s="1"/>
  <c r="AE89" i="18"/>
  <c r="AF89" i="18" s="1"/>
  <c r="AE123" i="18"/>
  <c r="AF123" i="18" s="1"/>
  <c r="AE119" i="18"/>
  <c r="AF119" i="18" s="1"/>
  <c r="AE13" i="18"/>
  <c r="AF13" i="18" s="1"/>
  <c r="AE9" i="18"/>
  <c r="AF9" i="18" s="1"/>
  <c r="AN13" i="18"/>
  <c r="AL13" i="18" s="1"/>
  <c r="AE35" i="18"/>
  <c r="AF35" i="18" s="1"/>
  <c r="AE30" i="18"/>
  <c r="AF30" i="18" s="1"/>
  <c r="AE48" i="18"/>
  <c r="AF48" i="18" s="1"/>
  <c r="AE10" i="18"/>
  <c r="AF10" i="18" s="1"/>
  <c r="AE100" i="18"/>
  <c r="AF100" i="18" s="1"/>
  <c r="AE96" i="18"/>
  <c r="AF96" i="18" s="1"/>
  <c r="AE69" i="18"/>
  <c r="AF69" i="18" s="1"/>
  <c r="AE101" i="18"/>
  <c r="AF101" i="18" s="1"/>
  <c r="AE50" i="18"/>
  <c r="AF50" i="18" s="1"/>
  <c r="AE58" i="18"/>
  <c r="AF58" i="18" s="1"/>
  <c r="AN80" i="18"/>
  <c r="AL80" i="18" s="1"/>
  <c r="AE22" i="18"/>
  <c r="AF22" i="18" s="1"/>
  <c r="AE108" i="18"/>
  <c r="AF108" i="18" s="1"/>
  <c r="AE104" i="18"/>
  <c r="AF104" i="18" s="1"/>
  <c r="AE91" i="18"/>
  <c r="AF91" i="18" s="1"/>
  <c r="AN110" i="18"/>
  <c r="AL110" i="18" s="1"/>
  <c r="AE62" i="18"/>
  <c r="AF62" i="18" s="1"/>
  <c r="AE70" i="18"/>
  <c r="AF70" i="18" s="1"/>
  <c r="AN39" i="18"/>
  <c r="AL39" i="18" s="1"/>
  <c r="AE40" i="18"/>
  <c r="AF40" i="18" s="1"/>
  <c r="AE88" i="18"/>
  <c r="AF88" i="18" s="1"/>
  <c r="AE26" i="18"/>
  <c r="AF26" i="18" s="1"/>
  <c r="AE64" i="18"/>
  <c r="AF64" i="18" s="1"/>
  <c r="AE76" i="18"/>
  <c r="AF76" i="18" s="1"/>
  <c r="AN92" i="18"/>
  <c r="AL92" i="18" s="1"/>
  <c r="AE113" i="18"/>
  <c r="AF113" i="18" s="1"/>
  <c r="AE74" i="18"/>
  <c r="AF74" i="18" s="1"/>
  <c r="AN105" i="18"/>
  <c r="AL105" i="18" s="1"/>
  <c r="AN87" i="18"/>
  <c r="AL87" i="18" s="1"/>
  <c r="AN96" i="18"/>
  <c r="AL96" i="18" s="1"/>
  <c r="AN83" i="18"/>
  <c r="AL83" i="18" s="1"/>
  <c r="AN117" i="18"/>
  <c r="AL117" i="18" s="1"/>
  <c r="AN91" i="18"/>
  <c r="AL91" i="18" s="1"/>
  <c r="AN31" i="18"/>
  <c r="AL31" i="18" s="1"/>
  <c r="AN42" i="18"/>
  <c r="AL42" i="18" s="1"/>
  <c r="AN89" i="18"/>
  <c r="AL89" i="18" s="1"/>
  <c r="AN125" i="18"/>
  <c r="AL125" i="18" s="1"/>
  <c r="AN122" i="18"/>
  <c r="AL122" i="18" s="1"/>
  <c r="AN69" i="18"/>
  <c r="AL69" i="18" s="1"/>
  <c r="AN10" i="18"/>
  <c r="AL10" i="18" s="1"/>
  <c r="AN19" i="18"/>
  <c r="AL19" i="18" s="1"/>
  <c r="AN41" i="18"/>
  <c r="AL41" i="18" s="1"/>
  <c r="AN24" i="18"/>
  <c r="AL24" i="18" s="1"/>
  <c r="AN33" i="18"/>
  <c r="AL33" i="18" s="1"/>
  <c r="AN45" i="18"/>
  <c r="AL45" i="18" s="1"/>
  <c r="AN7" i="18"/>
  <c r="AL7" i="18" s="1"/>
  <c r="AN61" i="18"/>
  <c r="AL61" i="18" s="1"/>
  <c r="AN93" i="18"/>
  <c r="AL93" i="18" s="1"/>
  <c r="AN99" i="18"/>
  <c r="AL99" i="18" s="1"/>
  <c r="AN108" i="18"/>
  <c r="AL108" i="18" s="1"/>
  <c r="AN95" i="18"/>
  <c r="AL95" i="18" s="1"/>
  <c r="AN104" i="18"/>
  <c r="AL104" i="18" s="1"/>
  <c r="AN103" i="18"/>
  <c r="AL103" i="18" s="1"/>
  <c r="AM75" i="18"/>
  <c r="AK75" i="18" s="1"/>
  <c r="AN57" i="18"/>
  <c r="AL57" i="18" s="1"/>
  <c r="AN82" i="18"/>
  <c r="AL82" i="18" s="1"/>
  <c r="AN23" i="18"/>
  <c r="AL23" i="18" s="1"/>
  <c r="AN12" i="18"/>
  <c r="AL12" i="18" s="1"/>
  <c r="AN29" i="18"/>
  <c r="AL29" i="18" s="1"/>
  <c r="AN50" i="18"/>
  <c r="AL50" i="18" s="1"/>
  <c r="AN53" i="18"/>
  <c r="AL53" i="18" s="1"/>
  <c r="AN49" i="18"/>
  <c r="AL49" i="18" s="1"/>
  <c r="AN77" i="18"/>
  <c r="AL77" i="18" s="1"/>
  <c r="AN112" i="18"/>
  <c r="AL112" i="18" s="1"/>
  <c r="AC121" i="18"/>
  <c r="AD121" i="18" s="1"/>
  <c r="AM56" i="18"/>
  <c r="AK56" i="18" s="1"/>
  <c r="AM13" i="18"/>
  <c r="AK13" i="18" s="1"/>
  <c r="AN21" i="18"/>
  <c r="AL21" i="18" s="1"/>
  <c r="AN70" i="18"/>
  <c r="AL70" i="18" s="1"/>
  <c r="AN113" i="18"/>
  <c r="AL113" i="18" s="1"/>
  <c r="AN111" i="18"/>
  <c r="AL111" i="18" s="1"/>
  <c r="AN121" i="18"/>
  <c r="AL121" i="18" s="1"/>
  <c r="AN120" i="18"/>
  <c r="AL120" i="18" s="1"/>
  <c r="AN107" i="18"/>
  <c r="AL107" i="18" s="1"/>
  <c r="AN116" i="18"/>
  <c r="AL116" i="18" s="1"/>
  <c r="AN115" i="18"/>
  <c r="AL115" i="18" s="1"/>
  <c r="AM49" i="18"/>
  <c r="AK49" i="18" s="1"/>
  <c r="AM108" i="18"/>
  <c r="AK108" i="18" s="1"/>
  <c r="AN16" i="18"/>
  <c r="AL16" i="18" s="1"/>
  <c r="AN56" i="18"/>
  <c r="AL56" i="18" s="1"/>
  <c r="AN58" i="18"/>
  <c r="AL58" i="18" s="1"/>
  <c r="AN22" i="18"/>
  <c r="AL22" i="18" s="1"/>
  <c r="AN97" i="18"/>
  <c r="AL97" i="18" s="1"/>
  <c r="AN124" i="18"/>
  <c r="AL124" i="18" s="1"/>
  <c r="AM70" i="18"/>
  <c r="AK70" i="18" s="1"/>
  <c r="AC54" i="18"/>
  <c r="AD54" i="18" s="1"/>
  <c r="AN65" i="18"/>
  <c r="AL65" i="18" s="1"/>
  <c r="AN68" i="18"/>
  <c r="AL68" i="18" s="1"/>
  <c r="AN81" i="18"/>
  <c r="AL81" i="18" s="1"/>
  <c r="AN18" i="18"/>
  <c r="AL18" i="18" s="1"/>
  <c r="AN27" i="18"/>
  <c r="AL27" i="18" s="1"/>
  <c r="AN62" i="18"/>
  <c r="AL62" i="18" s="1"/>
  <c r="AN54" i="18"/>
  <c r="AL54" i="18" s="1"/>
  <c r="AN51" i="18"/>
  <c r="AL51" i="18" s="1"/>
  <c r="AN123" i="18"/>
  <c r="AL123" i="18" s="1"/>
  <c r="AN60" i="18"/>
  <c r="AL60" i="18" s="1"/>
  <c r="AN47" i="18"/>
  <c r="AL47" i="18" s="1"/>
  <c r="AN119" i="18"/>
  <c r="AL119" i="18" s="1"/>
  <c r="AN55" i="18"/>
  <c r="AL55" i="18" s="1"/>
  <c r="AN90" i="18"/>
  <c r="AL90" i="18" s="1"/>
  <c r="AM28" i="18"/>
  <c r="AK28" i="18" s="1"/>
  <c r="AC80" i="18"/>
  <c r="AD80" i="18" s="1"/>
  <c r="AM53" i="18"/>
  <c r="AK53" i="18" s="1"/>
  <c r="AC75" i="18"/>
  <c r="AD75" i="18" s="1"/>
  <c r="AC109" i="18"/>
  <c r="AD109" i="18" s="1"/>
  <c r="AC101" i="18"/>
  <c r="AD101" i="18" s="1"/>
  <c r="AN36" i="18"/>
  <c r="AL36" i="18" s="1"/>
  <c r="AN9" i="18"/>
  <c r="AL9" i="18" s="1"/>
  <c r="AN20" i="18"/>
  <c r="AL20" i="18" s="1"/>
  <c r="AM65" i="18"/>
  <c r="AK65" i="18" s="1"/>
  <c r="AN26" i="18"/>
  <c r="AL26" i="18" s="1"/>
  <c r="AN43" i="18"/>
  <c r="AL43" i="18" s="1"/>
  <c r="AN30" i="18"/>
  <c r="AL30" i="18" s="1"/>
  <c r="AN35" i="18"/>
  <c r="AL35" i="18" s="1"/>
  <c r="AN76" i="18"/>
  <c r="AL76" i="18" s="1"/>
  <c r="AN34" i="18"/>
  <c r="AL34" i="18" s="1"/>
  <c r="AN94" i="18"/>
  <c r="AL94" i="18" s="1"/>
  <c r="AN86" i="18"/>
  <c r="AL86" i="18" s="1"/>
  <c r="AC25" i="18"/>
  <c r="AD25" i="18" s="1"/>
  <c r="AC7" i="18"/>
  <c r="AD7" i="18" s="1"/>
  <c r="AN64" i="18"/>
  <c r="AL64" i="18" s="1"/>
  <c r="AN74" i="18"/>
  <c r="AL74" i="18" s="1"/>
  <c r="AN63" i="18"/>
  <c r="AL63" i="18" s="1"/>
  <c r="AN72" i="18"/>
  <c r="AL72" i="18" s="1"/>
  <c r="AN59" i="18"/>
  <c r="AL59" i="18" s="1"/>
  <c r="AN106" i="18"/>
  <c r="AL106" i="18" s="1"/>
  <c r="AN67" i="18"/>
  <c r="AL67" i="18" s="1"/>
  <c r="AN102" i="18"/>
  <c r="AL102" i="18" s="1"/>
  <c r="AN66" i="18"/>
  <c r="AL66" i="18" s="1"/>
  <c r="AN17" i="18"/>
  <c r="AL17" i="18" s="1"/>
  <c r="AN100" i="18"/>
  <c r="AL100" i="18" s="1"/>
  <c r="AN48" i="18"/>
  <c r="AL48" i="18" s="1"/>
  <c r="AN40" i="18"/>
  <c r="AL40" i="18" s="1"/>
  <c r="AN37" i="18"/>
  <c r="AL37" i="18" s="1"/>
  <c r="AN101" i="18"/>
  <c r="AL101" i="18" s="1"/>
  <c r="AN46" i="18"/>
  <c r="AL46" i="18" s="1"/>
  <c r="AN85" i="18"/>
  <c r="AL85" i="18" s="1"/>
  <c r="AN98" i="18"/>
  <c r="AL98" i="18" s="1"/>
  <c r="AN52" i="18"/>
  <c r="AL52" i="18" s="1"/>
  <c r="AN78" i="18"/>
  <c r="AL78" i="18" s="1"/>
  <c r="AN28" i="18"/>
  <c r="AL28" i="18" s="1"/>
  <c r="AN73" i="18"/>
  <c r="AL73" i="18" s="1"/>
  <c r="AN88" i="18"/>
  <c r="AL88" i="18" s="1"/>
  <c r="AN75" i="18"/>
  <c r="AL75" i="18" s="1"/>
  <c r="AN84" i="18"/>
  <c r="AL84" i="18" s="1"/>
  <c r="AN71" i="18"/>
  <c r="AL71" i="18" s="1"/>
  <c r="AN118" i="18"/>
  <c r="AL118" i="18" s="1"/>
  <c r="AN79" i="18"/>
  <c r="AL79" i="18" s="1"/>
  <c r="AM84" i="18"/>
  <c r="AK84" i="18" s="1"/>
  <c r="AM37" i="18"/>
  <c r="AK37" i="18" s="1"/>
  <c r="AM61" i="18"/>
  <c r="AK61" i="18" s="1"/>
  <c r="AM91" i="18"/>
  <c r="AK91" i="18" s="1"/>
  <c r="AC51" i="18"/>
  <c r="AD51" i="18" s="1"/>
  <c r="AC65" i="18"/>
  <c r="AD65" i="18" s="1"/>
  <c r="AM97" i="18"/>
  <c r="AK97" i="18" s="1"/>
  <c r="AC21" i="18"/>
  <c r="AD21" i="18" s="1"/>
  <c r="AC60" i="18"/>
  <c r="AD60" i="18" s="1"/>
  <c r="AC6" i="18"/>
  <c r="AD6" i="18" s="1"/>
  <c r="AC13" i="18"/>
  <c r="AD13" i="18" s="1"/>
  <c r="AC61" i="18"/>
  <c r="AD61" i="18" s="1"/>
  <c r="AM68" i="18"/>
  <c r="AK68" i="18" s="1"/>
  <c r="AC112" i="18"/>
  <c r="AD112" i="18" s="1"/>
  <c r="AM20" i="18"/>
  <c r="AK20" i="18" s="1"/>
  <c r="AM55" i="18"/>
  <c r="AK55" i="18" s="1"/>
  <c r="AC100" i="18"/>
  <c r="AD100" i="18" s="1"/>
  <c r="AM23" i="18"/>
  <c r="AK23" i="18" s="1"/>
  <c r="AM115" i="18"/>
  <c r="AK115" i="18" s="1"/>
  <c r="AC43" i="18"/>
  <c r="AD43" i="18" s="1"/>
  <c r="AM63" i="18"/>
  <c r="AK63" i="18" s="1"/>
  <c r="AM87" i="18"/>
  <c r="AK87" i="18" s="1"/>
  <c r="AM122" i="18"/>
  <c r="AK122" i="18" s="1"/>
  <c r="AC90" i="18"/>
  <c r="AD90" i="18" s="1"/>
  <c r="AC86" i="18"/>
  <c r="AD86" i="18" s="1"/>
  <c r="AC26" i="18"/>
  <c r="AD26" i="18" s="1"/>
  <c r="AC64" i="18"/>
  <c r="AD64" i="18" s="1"/>
  <c r="AM11" i="18"/>
  <c r="AK11" i="18" s="1"/>
  <c r="AM71" i="18"/>
  <c r="AK71" i="18" s="1"/>
  <c r="AC24" i="18"/>
  <c r="AD24" i="18" s="1"/>
  <c r="AM16" i="18"/>
  <c r="AK16" i="18" s="1"/>
  <c r="AC124" i="18"/>
  <c r="AD124" i="18" s="1"/>
  <c r="AM6" i="18"/>
  <c r="AK6" i="18" s="1"/>
  <c r="AC125" i="18"/>
  <c r="AD125" i="18" s="1"/>
  <c r="AC66" i="18"/>
  <c r="AD66" i="18" s="1"/>
  <c r="AC113" i="18"/>
  <c r="AD113" i="18" s="1"/>
  <c r="AC19" i="18"/>
  <c r="AD19" i="18" s="1"/>
  <c r="AC96" i="18"/>
  <c r="AD96" i="18" s="1"/>
  <c r="AC74" i="18"/>
  <c r="AD74" i="18" s="1"/>
  <c r="AM27" i="18"/>
  <c r="AK27" i="18" s="1"/>
  <c r="AM85" i="18"/>
  <c r="AK85" i="18" s="1"/>
  <c r="AC79" i="18"/>
  <c r="AD79" i="18" s="1"/>
  <c r="AC10" i="18"/>
  <c r="AD10" i="18" s="1"/>
  <c r="AC87" i="18"/>
  <c r="AD87" i="18" s="1"/>
  <c r="AC9" i="18"/>
  <c r="AD9" i="18" s="1"/>
  <c r="AC70" i="18"/>
  <c r="AD70" i="18" s="1"/>
  <c r="AC52" i="18"/>
  <c r="AD52" i="18" s="1"/>
  <c r="AC47" i="18"/>
  <c r="AD47" i="18" s="1"/>
  <c r="AM103" i="18"/>
  <c r="AK103" i="18" s="1"/>
  <c r="AC114" i="18"/>
  <c r="AD114" i="18" s="1"/>
  <c r="AC91" i="18"/>
  <c r="AD91" i="18" s="1"/>
  <c r="AC94" i="18"/>
  <c r="AD94" i="18" s="1"/>
  <c r="AC93" i="18"/>
  <c r="AD93" i="18" s="1"/>
  <c r="AM10" i="18"/>
  <c r="AK10" i="18" s="1"/>
  <c r="AM107" i="18"/>
  <c r="AK107" i="18" s="1"/>
  <c r="AM72" i="18"/>
  <c r="AK72" i="18" s="1"/>
  <c r="AM44" i="18"/>
  <c r="AK44" i="18" s="1"/>
  <c r="AM9" i="18"/>
  <c r="AK9" i="18" s="1"/>
  <c r="AM113" i="18"/>
  <c r="AK113" i="18" s="1"/>
  <c r="AC95" i="18"/>
  <c r="AD95" i="18" s="1"/>
  <c r="AC107" i="18"/>
  <c r="AD107" i="18" s="1"/>
  <c r="AC23" i="18"/>
  <c r="AD23" i="18" s="1"/>
  <c r="AC38" i="18"/>
  <c r="AD38" i="18" s="1"/>
  <c r="AC110" i="18"/>
  <c r="AD110" i="18" s="1"/>
  <c r="AC116" i="18"/>
  <c r="AD116" i="18" s="1"/>
  <c r="AC58" i="18"/>
  <c r="AD58" i="18" s="1"/>
  <c r="AM48" i="18"/>
  <c r="AK48" i="18" s="1"/>
  <c r="AM102" i="18"/>
  <c r="AK102" i="18" s="1"/>
  <c r="AM79" i="18"/>
  <c r="AK79" i="18" s="1"/>
  <c r="AC92" i="18"/>
  <c r="AD92" i="18" s="1"/>
  <c r="AC49" i="18"/>
  <c r="AD49" i="18" s="1"/>
  <c r="AC69" i="18"/>
  <c r="AD69" i="18" s="1"/>
  <c r="AM8" i="18"/>
  <c r="AK8" i="18" s="1"/>
  <c r="AM62" i="18"/>
  <c r="AK62" i="18" s="1"/>
  <c r="AC39" i="18"/>
  <c r="AD39" i="18" s="1"/>
  <c r="AC71" i="18"/>
  <c r="AD71" i="18" s="1"/>
  <c r="AM32" i="18"/>
  <c r="AK32" i="18" s="1"/>
  <c r="AC103" i="18"/>
  <c r="AD103" i="18" s="1"/>
  <c r="AC15" i="18"/>
  <c r="AD15" i="18" s="1"/>
  <c r="AM73" i="18"/>
  <c r="AK73" i="18" s="1"/>
  <c r="AC56" i="18"/>
  <c r="AD56" i="18" s="1"/>
  <c r="AC33" i="18"/>
  <c r="AD33" i="18" s="1"/>
  <c r="AC46" i="18"/>
  <c r="AD46" i="18" s="1"/>
  <c r="AC84" i="18"/>
  <c r="AD84" i="18" s="1"/>
  <c r="AC123" i="18"/>
  <c r="AD123" i="18" s="1"/>
  <c r="AC53" i="18"/>
  <c r="AD53" i="18" s="1"/>
  <c r="AM40" i="18"/>
  <c r="AK40" i="18" s="1"/>
  <c r="AM51" i="18"/>
  <c r="AK51" i="18" s="1"/>
  <c r="AC30" i="18"/>
  <c r="AD30" i="18" s="1"/>
  <c r="AC102" i="18"/>
  <c r="AD102" i="18" s="1"/>
  <c r="AC118" i="18"/>
  <c r="AD118" i="18" s="1"/>
  <c r="AM112" i="18"/>
  <c r="AK112" i="18" s="1"/>
  <c r="AM104" i="18"/>
  <c r="AK104" i="18" s="1"/>
  <c r="AC78" i="18"/>
  <c r="AD78" i="18" s="1"/>
  <c r="AM93" i="18"/>
  <c r="AK93" i="18" s="1"/>
  <c r="AC68" i="18"/>
  <c r="AD68" i="18" s="1"/>
  <c r="AM42" i="18"/>
  <c r="AK42" i="18" s="1"/>
  <c r="AC57" i="18"/>
  <c r="AD57" i="18" s="1"/>
  <c r="AC108" i="18"/>
  <c r="AD108" i="18" s="1"/>
  <c r="AM34" i="18"/>
  <c r="AK34" i="18" s="1"/>
  <c r="AM57" i="18"/>
  <c r="AK57" i="18" s="1"/>
  <c r="AC62" i="18"/>
  <c r="AD62" i="18" s="1"/>
  <c r="AM111" i="18"/>
  <c r="AK111" i="18" s="1"/>
  <c r="AM114" i="18"/>
  <c r="AK114" i="18" s="1"/>
  <c r="AM29" i="18"/>
  <c r="AK29" i="18" s="1"/>
  <c r="AM95" i="18"/>
  <c r="AK95" i="18" s="1"/>
  <c r="AM88" i="18"/>
  <c r="AK88" i="18" s="1"/>
  <c r="AM19" i="18"/>
  <c r="AK19" i="18" s="1"/>
  <c r="AC42" i="18"/>
  <c r="AD42" i="18" s="1"/>
  <c r="AC119" i="18"/>
  <c r="AD119" i="18" s="1"/>
  <c r="AM82" i="18"/>
  <c r="AK82" i="18" s="1"/>
  <c r="AM41" i="18"/>
  <c r="AK41" i="18" s="1"/>
  <c r="AC72" i="18"/>
  <c r="AD72" i="18" s="1"/>
  <c r="AC34" i="18"/>
  <c r="AD34" i="18" s="1"/>
  <c r="AM45" i="18"/>
  <c r="AK45" i="18" s="1"/>
  <c r="AC35" i="18"/>
  <c r="AD35" i="18" s="1"/>
  <c r="AM80" i="18"/>
  <c r="AK80" i="18" s="1"/>
  <c r="AC120" i="18"/>
  <c r="AD120" i="18" s="1"/>
  <c r="AC36" i="18"/>
  <c r="AD36" i="18" s="1"/>
  <c r="AM21" i="18"/>
  <c r="AK21" i="18" s="1"/>
  <c r="AM120" i="18"/>
  <c r="AK120" i="18" s="1"/>
  <c r="AC27" i="18"/>
  <c r="AD27" i="18" s="1"/>
  <c r="AM15" i="18"/>
  <c r="AK15" i="18" s="1"/>
  <c r="AM54" i="18"/>
  <c r="AK54" i="18" s="1"/>
  <c r="AC105" i="18"/>
  <c r="AD105" i="18" s="1"/>
  <c r="AC40" i="18"/>
  <c r="AD40" i="18" s="1"/>
  <c r="AC104" i="18"/>
  <c r="AD104" i="18" s="1"/>
  <c r="AM52" i="18"/>
  <c r="AK52" i="18" s="1"/>
  <c r="AM100" i="18"/>
  <c r="AK100" i="18" s="1"/>
  <c r="AM81" i="18"/>
  <c r="AK81" i="18" s="1"/>
  <c r="AC31" i="18"/>
  <c r="AD31" i="18" s="1"/>
  <c r="AC11" i="18"/>
  <c r="AD11" i="18" s="1"/>
  <c r="AM47" i="18"/>
  <c r="AK47" i="18" s="1"/>
  <c r="AM46" i="18"/>
  <c r="AK46" i="18" s="1"/>
  <c r="AC82" i="18"/>
  <c r="AD82" i="18" s="1"/>
  <c r="AM77" i="18"/>
  <c r="AK77" i="18" s="1"/>
  <c r="AC81" i="18"/>
  <c r="AD81" i="18" s="1"/>
  <c r="AC48" i="18"/>
  <c r="AD48" i="18" s="1"/>
  <c r="AM17" i="18"/>
  <c r="AK17" i="18" s="1"/>
  <c r="AC63" i="18"/>
  <c r="AD63" i="18" s="1"/>
  <c r="AC67" i="18"/>
  <c r="AD67" i="18" s="1"/>
  <c r="AM110" i="18"/>
  <c r="AK110" i="18" s="1"/>
  <c r="AC59" i="18"/>
  <c r="AD59" i="18" s="1"/>
  <c r="AM36" i="18"/>
  <c r="AK36" i="18" s="1"/>
  <c r="AM94" i="18"/>
  <c r="AK94" i="18" s="1"/>
  <c r="AC22" i="18"/>
  <c r="AD22" i="18" s="1"/>
  <c r="AM67" i="18"/>
  <c r="AK67" i="18" s="1"/>
  <c r="AM35" i="18"/>
  <c r="AK35" i="18" s="1"/>
  <c r="AM38" i="18"/>
  <c r="AK38" i="18" s="1"/>
  <c r="AM58" i="18"/>
  <c r="AK58" i="18" s="1"/>
  <c r="AC122" i="18"/>
  <c r="AD122" i="18" s="1"/>
  <c r="AC85" i="18"/>
  <c r="AD85" i="18" s="1"/>
  <c r="AM22" i="18"/>
  <c r="AK22" i="18" s="1"/>
  <c r="AM125" i="18"/>
  <c r="AK125" i="18" s="1"/>
  <c r="AC32" i="18"/>
  <c r="AD32" i="18" s="1"/>
  <c r="AC29" i="18"/>
  <c r="AD29" i="18" s="1"/>
  <c r="AC8" i="18"/>
  <c r="AD8" i="18" s="1"/>
  <c r="AM59" i="18"/>
  <c r="AK59" i="18" s="1"/>
  <c r="AM14" i="18"/>
  <c r="AK14" i="18" s="1"/>
  <c r="AM101" i="18"/>
  <c r="AK101" i="18" s="1"/>
  <c r="AM60" i="18"/>
  <c r="AK60" i="18" s="1"/>
  <c r="AC44" i="18"/>
  <c r="AD44" i="18" s="1"/>
  <c r="AM123" i="18"/>
  <c r="AK123" i="18" s="1"/>
  <c r="AM89" i="18"/>
  <c r="AK89" i="18" s="1"/>
  <c r="AM24" i="18"/>
  <c r="AK24" i="18" s="1"/>
  <c r="AM26" i="18"/>
  <c r="AK26" i="18" s="1"/>
  <c r="AC97" i="18"/>
  <c r="AD97" i="18" s="1"/>
  <c r="AM25" i="18"/>
  <c r="AK25" i="18" s="1"/>
  <c r="AM33" i="18"/>
  <c r="AK33" i="18" s="1"/>
  <c r="AM98" i="18"/>
  <c r="AK98" i="18" s="1"/>
  <c r="AM76" i="18"/>
  <c r="AK76" i="18" s="1"/>
  <c r="AC73" i="18"/>
  <c r="AD73" i="18" s="1"/>
  <c r="AM39" i="18"/>
  <c r="AK39" i="18" s="1"/>
  <c r="AM83" i="18"/>
  <c r="AK83" i="18" s="1"/>
  <c r="AC76" i="18"/>
  <c r="AD76" i="18" s="1"/>
  <c r="AC20" i="18"/>
  <c r="AD20" i="18" s="1"/>
  <c r="AM74" i="18"/>
  <c r="AK74" i="18" s="1"/>
  <c r="AM18" i="18"/>
  <c r="AK18" i="18" s="1"/>
  <c r="AM90" i="18"/>
  <c r="AK90" i="18" s="1"/>
  <c r="AC45" i="18"/>
  <c r="AD45" i="18" s="1"/>
  <c r="AC55" i="18"/>
  <c r="AD55" i="18" s="1"/>
  <c r="AC50" i="18"/>
  <c r="AD50" i="18" s="1"/>
  <c r="AC111" i="18"/>
  <c r="AD111" i="18" s="1"/>
  <c r="AM50" i="18"/>
  <c r="AK50" i="18" s="1"/>
  <c r="AM66" i="18"/>
  <c r="AK66" i="18" s="1"/>
  <c r="AC41" i="18"/>
  <c r="AD41" i="18" s="1"/>
  <c r="AM92" i="18"/>
  <c r="AK92" i="18" s="1"/>
  <c r="AC117" i="18"/>
  <c r="AD117" i="18" s="1"/>
  <c r="AC28" i="18"/>
  <c r="AD28" i="18" s="1"/>
  <c r="AC89" i="18"/>
  <c r="AD89" i="18" s="1"/>
  <c r="AM86" i="18"/>
  <c r="AK86" i="18" s="1"/>
  <c r="AM121" i="18"/>
  <c r="AK121" i="18" s="1"/>
  <c r="AC17" i="18"/>
  <c r="AD17" i="18" s="1"/>
  <c r="AM69" i="18"/>
  <c r="AK69" i="18" s="1"/>
  <c r="AM119" i="18"/>
  <c r="AK119" i="18" s="1"/>
  <c r="AM116" i="18"/>
  <c r="AK116" i="18" s="1"/>
  <c r="AM99" i="18"/>
  <c r="AK99" i="18" s="1"/>
  <c r="AM109" i="18"/>
  <c r="AK109" i="18" s="1"/>
  <c r="AC37" i="18"/>
  <c r="AD37" i="18" s="1"/>
  <c r="AC99" i="18"/>
  <c r="AD99" i="18" s="1"/>
  <c r="AC106" i="18"/>
  <c r="AD106" i="18" s="1"/>
  <c r="AC16" i="18"/>
  <c r="AD16" i="18" s="1"/>
  <c r="AC98" i="18"/>
  <c r="AD98" i="18" s="1"/>
  <c r="AM12" i="18"/>
  <c r="AK12" i="18" s="1"/>
  <c r="AM117" i="18"/>
  <c r="AK117" i="18" s="1"/>
  <c r="AM31" i="18"/>
  <c r="AK31" i="18" s="1"/>
  <c r="AC115" i="18"/>
  <c r="AD115" i="18" s="1"/>
  <c r="AM30" i="18"/>
  <c r="AK30" i="18" s="1"/>
  <c r="AC18" i="18"/>
  <c r="AD18" i="18" s="1"/>
  <c r="AM43" i="18"/>
  <c r="AK43" i="18" s="1"/>
  <c r="AC77" i="18"/>
  <c r="AD77" i="18" s="1"/>
  <c r="AM118" i="18"/>
  <c r="AK118" i="18" s="1"/>
  <c r="AM7" i="18"/>
  <c r="AK7" i="18" s="1"/>
  <c r="AM64" i="18"/>
  <c r="AK64" i="18" s="1"/>
  <c r="AM106" i="18"/>
  <c r="AK106" i="18" s="1"/>
  <c r="AC12" i="18"/>
  <c r="AD12" i="18" s="1"/>
  <c r="AC83" i="18"/>
  <c r="AD83" i="18" s="1"/>
  <c r="AC88" i="18"/>
  <c r="AD88" i="18" s="1"/>
  <c r="AC14" i="18"/>
  <c r="AD14" i="18" s="1"/>
  <c r="AM124" i="18"/>
  <c r="AK124" i="18" s="1"/>
  <c r="AM105" i="18"/>
  <c r="AK105" i="18" s="1"/>
  <c r="U22" i="25"/>
  <c r="U23" i="25" s="1"/>
  <c r="U24" i="25" s="1"/>
  <c r="U25" i="25" s="1"/>
  <c r="U26" i="25" s="1"/>
  <c r="U27" i="25" s="1"/>
  <c r="U28" i="25" s="1"/>
  <c r="V22" i="25"/>
  <c r="W22" i="25"/>
  <c r="X22" i="25"/>
  <c r="R22" i="25"/>
  <c r="Q22" i="25"/>
  <c r="Q23" i="25" s="1"/>
  <c r="Q24" i="25" s="1"/>
  <c r="Q25" i="25" s="1"/>
  <c r="Q26" i="25" s="1"/>
  <c r="Q27" i="25" s="1"/>
  <c r="Q28" i="25" s="1"/>
  <c r="T22" i="25"/>
  <c r="T23" i="25" s="1"/>
  <c r="T24" i="25" s="1"/>
  <c r="T25" i="25" s="1"/>
  <c r="E81" i="11"/>
  <c r="E169" i="11"/>
  <c r="D169" i="11"/>
  <c r="D171" i="11"/>
  <c r="C113" i="10" l="1"/>
  <c r="S41" i="17"/>
  <c r="M30" i="17" s="1"/>
  <c r="S38" i="17"/>
  <c r="M27" i="17" s="1"/>
  <c r="B40" i="20"/>
  <c r="AY36" i="17"/>
  <c r="S37" i="17"/>
  <c r="M26" i="17" s="1"/>
  <c r="N26" i="17" s="1"/>
  <c r="P26" i="17" s="1"/>
  <c r="S42" i="17"/>
  <c r="M31" i="17" s="1"/>
  <c r="S39" i="17"/>
  <c r="M28" i="17" s="1"/>
  <c r="S40" i="17"/>
  <c r="M29" i="17" s="1"/>
  <c r="Q36" i="17"/>
  <c r="F25" i="17" s="1"/>
  <c r="AZ36" i="17"/>
  <c r="S36" i="17" s="1"/>
  <c r="C140" i="10"/>
  <c r="C101" i="10"/>
  <c r="B44" i="20"/>
  <c r="F46" i="9"/>
  <c r="F16" i="9"/>
  <c r="F32" i="9"/>
  <c r="F30" i="9"/>
  <c r="B38" i="19"/>
  <c r="B122" i="20"/>
  <c r="F61" i="9"/>
  <c r="B28" i="19"/>
  <c r="B67" i="19"/>
  <c r="B50" i="20"/>
  <c r="F22" i="9"/>
  <c r="C104" i="10"/>
  <c r="C109" i="10"/>
  <c r="C111" i="10"/>
  <c r="B64" i="20"/>
  <c r="B104" i="20"/>
  <c r="H10" i="6"/>
  <c r="E14" i="6"/>
  <c r="F10" i="6"/>
  <c r="D14" i="6"/>
  <c r="F11" i="6"/>
  <c r="H11" i="6"/>
  <c r="H12" i="6"/>
  <c r="F12" i="6"/>
  <c r="C131" i="10"/>
  <c r="F65" i="9"/>
  <c r="B68" i="20"/>
  <c r="F47" i="9"/>
  <c r="C126" i="10"/>
  <c r="D187" i="11"/>
  <c r="D189" i="11" s="1"/>
  <c r="D191" i="11" s="1"/>
  <c r="D193" i="11" s="1"/>
  <c r="D194" i="11" s="1"/>
  <c r="C108" i="10"/>
  <c r="C93" i="10"/>
  <c r="B24" i="20"/>
  <c r="C120" i="10"/>
  <c r="B106" i="20"/>
  <c r="B33" i="19"/>
  <c r="B90" i="20"/>
  <c r="F45" i="9"/>
  <c r="B51" i="19"/>
  <c r="F52" i="9"/>
  <c r="F34" i="9"/>
  <c r="B40" i="19"/>
  <c r="C132" i="10"/>
  <c r="B58" i="19"/>
  <c r="C106" i="10"/>
  <c r="C121" i="10"/>
  <c r="C124" i="10"/>
  <c r="F53" i="9"/>
  <c r="F42" i="9"/>
  <c r="B54" i="20"/>
  <c r="B84" i="20"/>
  <c r="F27" i="9"/>
  <c r="B59" i="19"/>
  <c r="B48" i="19"/>
  <c r="B53" i="19"/>
  <c r="B94" i="20"/>
  <c r="F7" i="9"/>
  <c r="B15" i="20"/>
  <c r="B56" i="20"/>
  <c r="B57" i="20"/>
  <c r="B70" i="19"/>
  <c r="B129" i="20"/>
  <c r="B25" i="19"/>
  <c r="B39" i="20"/>
  <c r="B49" i="19"/>
  <c r="B87" i="20"/>
  <c r="B62" i="19"/>
  <c r="B113" i="20"/>
  <c r="B47" i="19"/>
  <c r="B83" i="20"/>
  <c r="B20" i="19"/>
  <c r="B29" i="20"/>
  <c r="C144" i="10"/>
  <c r="B131" i="20"/>
  <c r="F60" i="9"/>
  <c r="B121" i="20"/>
  <c r="B35" i="19"/>
  <c r="B59" i="20"/>
  <c r="B112" i="20"/>
  <c r="B18" i="19"/>
  <c r="B25" i="20"/>
  <c r="B17" i="19"/>
  <c r="B23" i="20"/>
  <c r="F49" i="9"/>
  <c r="B99" i="20"/>
  <c r="B60" i="19"/>
  <c r="B109" i="20"/>
  <c r="B54" i="19"/>
  <c r="B97" i="20"/>
  <c r="F38" i="9"/>
  <c r="B77" i="20"/>
  <c r="F51" i="9"/>
  <c r="B103" i="20"/>
  <c r="B50" i="19"/>
  <c r="B89" i="20"/>
  <c r="F10" i="9"/>
  <c r="B21" i="20"/>
  <c r="F36" i="9"/>
  <c r="B73" i="20"/>
  <c r="B29" i="19"/>
  <c r="B47" i="20"/>
  <c r="B23" i="19"/>
  <c r="B35" i="20"/>
  <c r="F59" i="9"/>
  <c r="B119" i="20"/>
  <c r="F24" i="9"/>
  <c r="B49" i="20"/>
  <c r="C87" i="10"/>
  <c r="B17" i="20"/>
  <c r="B73" i="19"/>
  <c r="B135" i="20"/>
  <c r="F15" i="9"/>
  <c r="B31" i="20"/>
  <c r="F25" i="9"/>
  <c r="B51" i="20"/>
  <c r="B60" i="20"/>
  <c r="B61" i="20"/>
  <c r="B26" i="19"/>
  <c r="B41" i="20"/>
  <c r="B43" i="19"/>
  <c r="B75" i="20"/>
  <c r="F63" i="9"/>
  <c r="B127" i="20"/>
  <c r="F31" i="9"/>
  <c r="B63" i="20"/>
  <c r="F50" i="9"/>
  <c r="B101" i="20"/>
  <c r="C92" i="10"/>
  <c r="B27" i="20"/>
  <c r="C88" i="10"/>
  <c r="B19" i="20"/>
  <c r="B39" i="19"/>
  <c r="B67" i="20"/>
  <c r="B12" i="20"/>
  <c r="B13" i="20"/>
  <c r="B46" i="19"/>
  <c r="B81" i="20"/>
  <c r="B45" i="19"/>
  <c r="B79" i="20"/>
  <c r="B26" i="20"/>
  <c r="B63" i="19"/>
  <c r="B115" i="20"/>
  <c r="B24" i="19"/>
  <c r="B37" i="20"/>
  <c r="B27" i="19"/>
  <c r="B43" i="20"/>
  <c r="B41" i="19"/>
  <c r="B71" i="20"/>
  <c r="C95" i="10"/>
  <c r="B33" i="20"/>
  <c r="B72" i="19"/>
  <c r="B133" i="20"/>
  <c r="B61" i="19"/>
  <c r="B111" i="20"/>
  <c r="F62" i="9"/>
  <c r="B125" i="20"/>
  <c r="C125" i="10"/>
  <c r="B93" i="20"/>
  <c r="C137" i="10"/>
  <c r="B117" i="20"/>
  <c r="C135" i="10"/>
  <c r="F43" i="9"/>
  <c r="B38" i="20"/>
  <c r="F14" i="9"/>
  <c r="F41" i="9"/>
  <c r="B130" i="20"/>
  <c r="C98" i="10"/>
  <c r="D179" i="11"/>
  <c r="D180" i="11" s="1"/>
  <c r="B102" i="20"/>
  <c r="B72" i="20"/>
  <c r="F64" i="9"/>
  <c r="C130" i="10"/>
  <c r="B86" i="20"/>
  <c r="C139" i="10"/>
  <c r="C115" i="10"/>
  <c r="B16" i="19"/>
  <c r="B120" i="20"/>
  <c r="C122" i="10"/>
  <c r="B13" i="19"/>
  <c r="F29" i="9"/>
  <c r="F39" i="9"/>
  <c r="C118" i="10"/>
  <c r="B78" i="20"/>
  <c r="F67" i="9"/>
  <c r="C103" i="10"/>
  <c r="B118" i="20"/>
  <c r="C138" i="10"/>
  <c r="F8" i="9"/>
  <c r="B65" i="19"/>
  <c r="C146" i="10"/>
  <c r="B16" i="20"/>
  <c r="B30" i="19"/>
  <c r="B34" i="20"/>
  <c r="B134" i="20"/>
  <c r="B14" i="19"/>
  <c r="B62" i="20"/>
  <c r="C116" i="10"/>
  <c r="C129" i="10"/>
  <c r="C114" i="10"/>
  <c r="B126" i="20"/>
  <c r="B100" i="20"/>
  <c r="C142" i="10"/>
  <c r="C110" i="10"/>
  <c r="C96" i="10"/>
  <c r="B74" i="20"/>
  <c r="F17" i="9"/>
  <c r="B70" i="20"/>
  <c r="F20" i="9"/>
  <c r="F12" i="9"/>
  <c r="C133" i="10"/>
  <c r="B55" i="19"/>
  <c r="C145" i="10"/>
  <c r="F66" i="9"/>
  <c r="C94" i="10"/>
  <c r="B21" i="19"/>
  <c r="B96" i="20"/>
  <c r="F48" i="9"/>
  <c r="B30" i="20"/>
  <c r="C127" i="10"/>
  <c r="B132" i="20"/>
  <c r="F44" i="9"/>
  <c r="C102" i="10"/>
  <c r="F23" i="9"/>
  <c r="C107" i="10"/>
  <c r="F13" i="9"/>
  <c r="B46" i="20"/>
  <c r="F19" i="9"/>
  <c r="B19" i="19"/>
  <c r="B128" i="20"/>
  <c r="F28" i="9"/>
  <c r="B34" i="19"/>
  <c r="C143" i="10"/>
  <c r="E197" i="8"/>
  <c r="J200" i="8"/>
  <c r="E199" i="8"/>
  <c r="C85" i="10"/>
  <c r="B18" i="20"/>
  <c r="F6" i="9"/>
  <c r="F21" i="9"/>
  <c r="C105" i="10"/>
  <c r="B66" i="20"/>
  <c r="E196" i="8"/>
  <c r="J201" i="8"/>
  <c r="F54" i="9"/>
  <c r="C123" i="10"/>
  <c r="F9" i="9"/>
  <c r="B36" i="20"/>
  <c r="B15" i="19"/>
  <c r="B52" i="20"/>
  <c r="C97" i="10"/>
  <c r="F33" i="9"/>
  <c r="B12" i="19"/>
  <c r="B114" i="20"/>
  <c r="B88" i="20"/>
  <c r="C112" i="10"/>
  <c r="C136" i="10"/>
  <c r="B110" i="20"/>
  <c r="F26" i="9"/>
  <c r="F18" i="9"/>
  <c r="C100" i="10"/>
  <c r="B22" i="19"/>
  <c r="C134" i="10"/>
  <c r="B32" i="19"/>
  <c r="C90" i="10"/>
  <c r="B116" i="20"/>
  <c r="C117" i="10"/>
  <c r="E198" i="8"/>
  <c r="C119" i="10"/>
  <c r="F55" i="9"/>
  <c r="B22" i="20"/>
  <c r="C141" i="10"/>
  <c r="C86" i="10"/>
  <c r="C89" i="10"/>
  <c r="B108" i="20"/>
  <c r="B76" i="20"/>
  <c r="C128" i="10"/>
  <c r="B80" i="20"/>
  <c r="F11" i="9"/>
  <c r="E200" i="8"/>
  <c r="B14" i="20"/>
  <c r="B20" i="20"/>
  <c r="B98" i="20"/>
  <c r="F40" i="9"/>
  <c r="E201" i="8"/>
  <c r="B92" i="20"/>
  <c r="B57" i="19"/>
  <c r="F35" i="9"/>
  <c r="B124" i="20"/>
  <c r="F58" i="9"/>
  <c r="C52" i="11"/>
  <c r="C53" i="11" s="1"/>
  <c r="J196" i="8"/>
  <c r="I10" i="16"/>
  <c r="J10" i="16" s="1"/>
  <c r="I11" i="16" s="1"/>
  <c r="J197" i="8"/>
  <c r="J199" i="8"/>
  <c r="J198" i="8"/>
  <c r="R23" i="25"/>
  <c r="R24" i="25" s="1"/>
  <c r="R25" i="25" s="1"/>
  <c r="R26" i="25" s="1"/>
  <c r="V23" i="25"/>
  <c r="V24" i="25" s="1"/>
  <c r="V25" i="25" s="1"/>
  <c r="V26" i="25" s="1"/>
  <c r="V27" i="25" s="1"/>
  <c r="AI63" i="18"/>
  <c r="AJ63" i="18" s="1"/>
  <c r="AI82" i="18"/>
  <c r="AJ82" i="18" s="1"/>
  <c r="AI30" i="18"/>
  <c r="AJ30" i="18" s="1"/>
  <c r="AI57" i="18"/>
  <c r="AJ57" i="18" s="1"/>
  <c r="AI103" i="18"/>
  <c r="AJ103" i="18" s="1"/>
  <c r="AI123" i="18"/>
  <c r="AJ123" i="18" s="1"/>
  <c r="D7" i="19"/>
  <c r="AI17" i="18"/>
  <c r="AJ17" i="18" s="1"/>
  <c r="AI21" i="18"/>
  <c r="AJ21" i="18" s="1"/>
  <c r="AI40" i="18"/>
  <c r="AJ40" i="18" s="1"/>
  <c r="AI42" i="18"/>
  <c r="AJ42" i="18" s="1"/>
  <c r="AI61" i="18"/>
  <c r="AJ61" i="18" s="1"/>
  <c r="AI111" i="18"/>
  <c r="AJ111" i="18" s="1"/>
  <c r="AI28" i="18"/>
  <c r="AJ28" i="18" s="1"/>
  <c r="AI46" i="18"/>
  <c r="AJ46" i="18" s="1"/>
  <c r="AI75" i="18"/>
  <c r="AJ75" i="18" s="1"/>
  <c r="AI62" i="18"/>
  <c r="AJ62" i="18" s="1"/>
  <c r="AI12" i="18"/>
  <c r="AJ12" i="18" s="1"/>
  <c r="AI20" i="18"/>
  <c r="AJ20" i="18" s="1"/>
  <c r="AI45" i="18"/>
  <c r="AJ45" i="18" s="1"/>
  <c r="AI59" i="18"/>
  <c r="AJ59" i="18" s="1"/>
  <c r="AI69" i="18"/>
  <c r="AJ69" i="18" s="1"/>
  <c r="AI73" i="18"/>
  <c r="AJ73" i="18" s="1"/>
  <c r="AI76" i="18"/>
  <c r="AJ76" i="18" s="1"/>
  <c r="AI106" i="18"/>
  <c r="AJ106" i="18" s="1"/>
  <c r="AI54" i="18"/>
  <c r="AJ54" i="18" s="1"/>
  <c r="AI74" i="18"/>
  <c r="AJ74" i="18" s="1"/>
  <c r="AI10" i="18"/>
  <c r="AJ10" i="18" s="1"/>
  <c r="AI25" i="18"/>
  <c r="AJ25" i="18" s="1"/>
  <c r="AI65" i="18"/>
  <c r="AJ65" i="18" s="1"/>
  <c r="AI60" i="18"/>
  <c r="AJ60" i="18" s="1"/>
  <c r="AI87" i="18"/>
  <c r="AJ87" i="18" s="1"/>
  <c r="AI81" i="18"/>
  <c r="AJ81" i="18" s="1"/>
  <c r="AI99" i="18"/>
  <c r="AJ99" i="18" s="1"/>
  <c r="AI118" i="18"/>
  <c r="AJ118" i="18" s="1"/>
  <c r="AI66" i="18"/>
  <c r="AJ66" i="18" s="1"/>
  <c r="AI86" i="18"/>
  <c r="AJ86" i="18" s="1"/>
  <c r="AI31" i="18"/>
  <c r="AJ31" i="18" s="1"/>
  <c r="AI64" i="18"/>
  <c r="AJ64" i="18" s="1"/>
  <c r="AI94" i="18"/>
  <c r="AJ94" i="18" s="1"/>
  <c r="AI115" i="18"/>
  <c r="AJ115" i="18" s="1"/>
  <c r="AI27" i="18"/>
  <c r="AJ27" i="18" s="1"/>
  <c r="AI48" i="18"/>
  <c r="AJ48" i="18" s="1"/>
  <c r="AI84" i="18"/>
  <c r="AJ84" i="18" s="1"/>
  <c r="AI78" i="18"/>
  <c r="AJ78" i="18" s="1"/>
  <c r="AI8" i="18"/>
  <c r="AJ8" i="18" s="1"/>
  <c r="AI6" i="18"/>
  <c r="AJ6" i="18" s="1"/>
  <c r="AI72" i="18"/>
  <c r="AJ72" i="18" s="1"/>
  <c r="AI77" i="18"/>
  <c r="AJ77" i="18" s="1"/>
  <c r="AI93" i="18"/>
  <c r="AJ93" i="18" s="1"/>
  <c r="AI98" i="18"/>
  <c r="AJ98" i="18" s="1"/>
  <c r="AI22" i="18"/>
  <c r="AJ22" i="18" s="1"/>
  <c r="AI34" i="18"/>
  <c r="AJ34" i="18" s="1"/>
  <c r="AI19" i="18"/>
  <c r="AJ19" i="18" s="1"/>
  <c r="AI52" i="18"/>
  <c r="AJ52" i="18" s="1"/>
  <c r="AI80" i="18"/>
  <c r="AJ80" i="18" s="1"/>
  <c r="AI96" i="18"/>
  <c r="AJ96" i="18" s="1"/>
  <c r="AI95" i="18"/>
  <c r="AJ95" i="18" s="1"/>
  <c r="AI105" i="18"/>
  <c r="AJ105" i="18" s="1"/>
  <c r="AI90" i="18"/>
  <c r="AJ90" i="18" s="1"/>
  <c r="AI110" i="18"/>
  <c r="AJ110" i="18" s="1"/>
  <c r="AI9" i="18"/>
  <c r="AJ9" i="18" s="1"/>
  <c r="AI36" i="18"/>
  <c r="AJ36" i="18" s="1"/>
  <c r="AI89" i="18"/>
  <c r="AJ89" i="18" s="1"/>
  <c r="AI23" i="18"/>
  <c r="AJ23" i="18" s="1"/>
  <c r="AI29" i="18"/>
  <c r="AJ29" i="18" s="1"/>
  <c r="AI83" i="18"/>
  <c r="AJ83" i="18" s="1"/>
  <c r="AI120" i="18"/>
  <c r="AJ120" i="18" s="1"/>
  <c r="AI116" i="18"/>
  <c r="AJ116" i="18" s="1"/>
  <c r="AI114" i="18"/>
  <c r="AJ114" i="18" s="1"/>
  <c r="AI85" i="18"/>
  <c r="AJ85" i="18" s="1"/>
  <c r="AI56" i="18"/>
  <c r="AJ56" i="18" s="1"/>
  <c r="AI49" i="18"/>
  <c r="AJ49" i="18" s="1"/>
  <c r="AI102" i="18"/>
  <c r="AJ102" i="18" s="1"/>
  <c r="AI35" i="18"/>
  <c r="AJ35" i="18" s="1"/>
  <c r="AI24" i="18"/>
  <c r="AJ24" i="18" s="1"/>
  <c r="AI104" i="18"/>
  <c r="AJ104" i="18" s="1"/>
  <c r="AI43" i="18"/>
  <c r="AJ43" i="18" s="1"/>
  <c r="AI41" i="18"/>
  <c r="AJ41" i="18" s="1"/>
  <c r="AI88" i="18"/>
  <c r="AJ88" i="18" s="1"/>
  <c r="AI107" i="18"/>
  <c r="AJ107" i="18" s="1"/>
  <c r="AI55" i="18"/>
  <c r="AJ55" i="18" s="1"/>
  <c r="AI113" i="18"/>
  <c r="AJ113" i="18" s="1"/>
  <c r="AI97" i="18"/>
  <c r="AJ97" i="18" s="1"/>
  <c r="AI18" i="18"/>
  <c r="AJ18" i="18" s="1"/>
  <c r="AI33" i="18"/>
  <c r="AJ33" i="18" s="1"/>
  <c r="AI108" i="18"/>
  <c r="AJ108" i="18" s="1"/>
  <c r="AI101" i="18"/>
  <c r="AJ101" i="18" s="1"/>
  <c r="AI122" i="18"/>
  <c r="AJ122" i="18" s="1"/>
  <c r="AI11" i="18"/>
  <c r="AJ11" i="18" s="1"/>
  <c r="AI37" i="18"/>
  <c r="AJ37" i="18" s="1"/>
  <c r="AI32" i="18"/>
  <c r="AJ32" i="18" s="1"/>
  <c r="AI50" i="18"/>
  <c r="AJ50" i="18" s="1"/>
  <c r="AI71" i="18"/>
  <c r="AJ71" i="18" s="1"/>
  <c r="AI92" i="18"/>
  <c r="AJ92" i="18" s="1"/>
  <c r="AI119" i="18"/>
  <c r="AJ119" i="18" s="1"/>
  <c r="AI67" i="18"/>
  <c r="AJ67" i="18" s="1"/>
  <c r="AI125" i="18"/>
  <c r="AJ125" i="18" s="1"/>
  <c r="AI109" i="18"/>
  <c r="AJ109" i="18" s="1"/>
  <c r="AI14" i="18"/>
  <c r="AJ14" i="18" s="1"/>
  <c r="AI117" i="18"/>
  <c r="AJ117" i="18" s="1"/>
  <c r="AI38" i="18"/>
  <c r="AJ38" i="18" s="1"/>
  <c r="AI53" i="18"/>
  <c r="AJ53" i="18" s="1"/>
  <c r="AI47" i="18"/>
  <c r="AJ47" i="18" s="1"/>
  <c r="AI79" i="18"/>
  <c r="AJ79" i="18" s="1"/>
  <c r="AI124" i="18"/>
  <c r="AJ124" i="18" s="1"/>
  <c r="AI121" i="18"/>
  <c r="AJ121" i="18" s="1"/>
  <c r="AI7" i="18"/>
  <c r="AJ7" i="18" s="1"/>
  <c r="AI13" i="18"/>
  <c r="AJ13" i="18" s="1"/>
  <c r="AI39" i="18"/>
  <c r="AJ39" i="18" s="1"/>
  <c r="AI100" i="18"/>
  <c r="AJ100" i="18" s="1"/>
  <c r="AI58" i="18"/>
  <c r="AJ58" i="18" s="1"/>
  <c r="AI16" i="18"/>
  <c r="AJ16" i="18" s="1"/>
  <c r="AI15" i="18"/>
  <c r="AJ15" i="18" s="1"/>
  <c r="AI26" i="18"/>
  <c r="AJ26" i="18" s="1"/>
  <c r="AI44" i="18"/>
  <c r="AJ44" i="18" s="1"/>
  <c r="AI68" i="18"/>
  <c r="AJ68" i="18" s="1"/>
  <c r="AI112" i="18"/>
  <c r="AJ112" i="18" s="1"/>
  <c r="AI51" i="18"/>
  <c r="AJ51" i="18" s="1"/>
  <c r="AI70" i="18"/>
  <c r="AJ70" i="18" s="1"/>
  <c r="AI91" i="18"/>
  <c r="AJ91" i="18" s="1"/>
  <c r="AG60" i="18"/>
  <c r="AH60" i="18" s="1"/>
  <c r="AG10" i="18"/>
  <c r="AH10" i="18" s="1"/>
  <c r="AG30" i="18"/>
  <c r="AH30" i="18" s="1"/>
  <c r="AG72" i="18"/>
  <c r="AH72" i="18" s="1"/>
  <c r="AG20" i="18"/>
  <c r="AH20" i="18" s="1"/>
  <c r="AG23" i="18"/>
  <c r="AH23" i="18" s="1"/>
  <c r="AG31" i="18"/>
  <c r="AH31" i="18" s="1"/>
  <c r="AG93" i="18"/>
  <c r="AH93" i="18" s="1"/>
  <c r="AG36" i="18"/>
  <c r="AH36" i="18" s="1"/>
  <c r="AG86" i="18"/>
  <c r="AH86" i="18" s="1"/>
  <c r="AG58" i="18"/>
  <c r="AH58" i="18" s="1"/>
  <c r="AG91" i="18"/>
  <c r="AH91" i="18" s="1"/>
  <c r="AG76" i="18"/>
  <c r="AH76" i="18" s="1"/>
  <c r="AG84" i="18"/>
  <c r="AH84" i="18" s="1"/>
  <c r="AG11" i="18"/>
  <c r="AH11" i="18" s="1"/>
  <c r="AG24" i="18"/>
  <c r="AH24" i="18" s="1"/>
  <c r="AG40" i="18"/>
  <c r="AH40" i="18" s="1"/>
  <c r="AG74" i="18"/>
  <c r="AH74" i="18" s="1"/>
  <c r="AG70" i="18"/>
  <c r="AH70" i="18" s="1"/>
  <c r="AG90" i="18"/>
  <c r="AH90" i="18" s="1"/>
  <c r="AG66" i="18"/>
  <c r="AH66" i="18" s="1"/>
  <c r="AG103" i="18"/>
  <c r="AH103" i="18" s="1"/>
  <c r="AG88" i="18"/>
  <c r="AH88" i="18" s="1"/>
  <c r="AG96" i="18"/>
  <c r="AH96" i="18" s="1"/>
  <c r="AG14" i="18"/>
  <c r="AH14" i="18" s="1"/>
  <c r="AG32" i="18"/>
  <c r="AH32" i="18" s="1"/>
  <c r="AG98" i="18"/>
  <c r="AH98" i="18" s="1"/>
  <c r="AG67" i="18"/>
  <c r="AH67" i="18" s="1"/>
  <c r="AG115" i="18"/>
  <c r="AH115" i="18" s="1"/>
  <c r="AG108" i="18"/>
  <c r="AH108" i="18" s="1"/>
  <c r="AG17" i="18"/>
  <c r="AH17" i="18" s="1"/>
  <c r="AG29" i="18"/>
  <c r="AH29" i="18" s="1"/>
  <c r="AG45" i="18"/>
  <c r="AH45" i="18" s="1"/>
  <c r="AG55" i="18"/>
  <c r="AH55" i="18" s="1"/>
  <c r="AG71" i="18"/>
  <c r="AH71" i="18" s="1"/>
  <c r="AG82" i="18"/>
  <c r="AH82" i="18" s="1"/>
  <c r="AG87" i="18"/>
  <c r="AH87" i="18" s="1"/>
  <c r="AG114" i="18"/>
  <c r="AH114" i="18" s="1"/>
  <c r="AG112" i="18"/>
  <c r="AH112" i="18" s="1"/>
  <c r="AG120" i="18"/>
  <c r="AH120" i="18" s="1"/>
  <c r="AG37" i="18"/>
  <c r="AH37" i="18" s="1"/>
  <c r="AG48" i="18"/>
  <c r="AH48" i="18" s="1"/>
  <c r="AG102" i="18"/>
  <c r="AH102" i="18" s="1"/>
  <c r="AG100" i="18"/>
  <c r="AH100" i="18" s="1"/>
  <c r="AG95" i="18"/>
  <c r="AH95" i="18" s="1"/>
  <c r="AG62" i="18"/>
  <c r="AH62" i="18" s="1"/>
  <c r="AG116" i="18"/>
  <c r="AH116" i="18" s="1"/>
  <c r="AG18" i="18"/>
  <c r="AH18" i="18" s="1"/>
  <c r="AG61" i="18"/>
  <c r="AH61" i="18" s="1"/>
  <c r="AG13" i="18"/>
  <c r="AH13" i="18" s="1"/>
  <c r="AG47" i="18"/>
  <c r="AH47" i="18" s="1"/>
  <c r="AG78" i="18"/>
  <c r="AH78" i="18" s="1"/>
  <c r="AG97" i="18"/>
  <c r="AH97" i="18" s="1"/>
  <c r="AG105" i="18"/>
  <c r="AH105" i="18" s="1"/>
  <c r="AG65" i="18"/>
  <c r="AH65" i="18" s="1"/>
  <c r="AG124" i="18"/>
  <c r="AH124" i="18" s="1"/>
  <c r="AG19" i="18"/>
  <c r="AH19" i="18" s="1"/>
  <c r="AG28" i="18"/>
  <c r="AH28" i="18" s="1"/>
  <c r="AG16" i="18"/>
  <c r="AH16" i="18" s="1"/>
  <c r="AG49" i="18"/>
  <c r="AH49" i="18" s="1"/>
  <c r="AG79" i="18"/>
  <c r="AH79" i="18" s="1"/>
  <c r="AG75" i="18"/>
  <c r="AH75" i="18" s="1"/>
  <c r="AG117" i="18"/>
  <c r="AH117" i="18" s="1"/>
  <c r="AG77" i="18"/>
  <c r="AH77" i="18" s="1"/>
  <c r="AG111" i="18"/>
  <c r="AH111" i="18" s="1"/>
  <c r="AG107" i="18"/>
  <c r="AH107" i="18" s="1"/>
  <c r="AG25" i="18"/>
  <c r="AH25" i="18" s="1"/>
  <c r="D6" i="19"/>
  <c r="AG7" i="18"/>
  <c r="AH7" i="18" s="1"/>
  <c r="AG50" i="18"/>
  <c r="AH50" i="18" s="1"/>
  <c r="AG85" i="18"/>
  <c r="AH85" i="18" s="1"/>
  <c r="AG89" i="18"/>
  <c r="AH89" i="18" s="1"/>
  <c r="AG119" i="18"/>
  <c r="AH119" i="18" s="1"/>
  <c r="AG21" i="18"/>
  <c r="AH21" i="18" s="1"/>
  <c r="AG83" i="18"/>
  <c r="AH83" i="18" s="1"/>
  <c r="AG110" i="18"/>
  <c r="AH110" i="18" s="1"/>
  <c r="AG68" i="18"/>
  <c r="AH68" i="18" s="1"/>
  <c r="AG101" i="18"/>
  <c r="AH101" i="18" s="1"/>
  <c r="AG122" i="18"/>
  <c r="AH122" i="18" s="1"/>
  <c r="AG33" i="18"/>
  <c r="AH33" i="18" s="1"/>
  <c r="AG64" i="18"/>
  <c r="AH64" i="18" s="1"/>
  <c r="AG38" i="18"/>
  <c r="AH38" i="18" s="1"/>
  <c r="AG94" i="18"/>
  <c r="AH94" i="18" s="1"/>
  <c r="AG56" i="18"/>
  <c r="AH56" i="18" s="1"/>
  <c r="AG123" i="18"/>
  <c r="AH123" i="18" s="1"/>
  <c r="AG34" i="18"/>
  <c r="AH34" i="18" s="1"/>
  <c r="AG6" i="18"/>
  <c r="AH6" i="18" s="1"/>
  <c r="AG22" i="18"/>
  <c r="AH22" i="18" s="1"/>
  <c r="AG43" i="18"/>
  <c r="AH43" i="18" s="1"/>
  <c r="AG42" i="18"/>
  <c r="AH42" i="18" s="1"/>
  <c r="AG51" i="18"/>
  <c r="AH51" i="18" s="1"/>
  <c r="AG27" i="18"/>
  <c r="AH27" i="18" s="1"/>
  <c r="AG118" i="18"/>
  <c r="AH118" i="18" s="1"/>
  <c r="AG80" i="18"/>
  <c r="AH80" i="18" s="1"/>
  <c r="AG113" i="18"/>
  <c r="AH113" i="18" s="1"/>
  <c r="AG109" i="18"/>
  <c r="AH109" i="18" s="1"/>
  <c r="AG81" i="18"/>
  <c r="AH81" i="18" s="1"/>
  <c r="AG9" i="18"/>
  <c r="AH9" i="18" s="1"/>
  <c r="AG41" i="18"/>
  <c r="AH41" i="18" s="1"/>
  <c r="AG63" i="18"/>
  <c r="AH63" i="18" s="1"/>
  <c r="AG8" i="18"/>
  <c r="AH8" i="18" s="1"/>
  <c r="AG35" i="18"/>
  <c r="AH35" i="18" s="1"/>
  <c r="AG69" i="18"/>
  <c r="AH69" i="18" s="1"/>
  <c r="AG46" i="18"/>
  <c r="AH46" i="18" s="1"/>
  <c r="AG106" i="18"/>
  <c r="AH106" i="18" s="1"/>
  <c r="AG39" i="18"/>
  <c r="AH39" i="18" s="1"/>
  <c r="AG57" i="18"/>
  <c r="AH57" i="18" s="1"/>
  <c r="AG92" i="18"/>
  <c r="AH92" i="18" s="1"/>
  <c r="AG125" i="18"/>
  <c r="AH125" i="18" s="1"/>
  <c r="AG121" i="18"/>
  <c r="AH121" i="18" s="1"/>
  <c r="AG54" i="18"/>
  <c r="AH54" i="18" s="1"/>
  <c r="AG53" i="18"/>
  <c r="AH53" i="18" s="1"/>
  <c r="AG15" i="18"/>
  <c r="AH15" i="18" s="1"/>
  <c r="AG44" i="18"/>
  <c r="AH44" i="18" s="1"/>
  <c r="AG26" i="18"/>
  <c r="AH26" i="18" s="1"/>
  <c r="AG59" i="18"/>
  <c r="AH59" i="18" s="1"/>
  <c r="AG12" i="18"/>
  <c r="AH12" i="18" s="1"/>
  <c r="AG73" i="18"/>
  <c r="AH73" i="18" s="1"/>
  <c r="AG99" i="18"/>
  <c r="AH99" i="18" s="1"/>
  <c r="AG104" i="18"/>
  <c r="AH104" i="18" s="1"/>
  <c r="AG52" i="18"/>
  <c r="AH52" i="18" s="1"/>
  <c r="X23" i="25"/>
  <c r="W23" i="25"/>
  <c r="W24" i="25" s="1"/>
  <c r="W25" i="25" s="1"/>
  <c r="W26" i="25" s="1"/>
  <c r="W27" i="25" s="1"/>
  <c r="W28" i="25" s="1"/>
  <c r="T26" i="25"/>
  <c r="F81" i="11"/>
  <c r="H81" i="11" s="1"/>
  <c r="D190" i="11" l="1"/>
  <c r="M25" i="17"/>
  <c r="N25" i="17" s="1"/>
  <c r="P25" i="17" s="1"/>
  <c r="D288" i="17" s="1"/>
  <c r="D14" i="17"/>
  <c r="D284" i="17" s="1"/>
  <c r="D285" i="17" s="1"/>
  <c r="B74" i="17"/>
  <c r="D271" i="17" s="1"/>
  <c r="U25" i="17"/>
  <c r="U26" i="17"/>
  <c r="AB26" i="17" s="1"/>
  <c r="F14" i="6"/>
  <c r="G42" i="8" s="1"/>
  <c r="AL57" i="8" s="1"/>
  <c r="H14" i="6"/>
  <c r="D15" i="6"/>
  <c r="D43" i="8" s="1"/>
  <c r="AM54" i="8" s="1"/>
  <c r="C42" i="8"/>
  <c r="AL53" i="8" s="1"/>
  <c r="H42" i="8"/>
  <c r="AL58" i="8" s="1"/>
  <c r="E15" i="6"/>
  <c r="I43" i="8" s="1"/>
  <c r="AM59" i="8" s="1"/>
  <c r="D223" i="11"/>
  <c r="C55" i="11"/>
  <c r="D121" i="11" s="1"/>
  <c r="D52" i="11"/>
  <c r="E52" i="11" s="1"/>
  <c r="D206" i="11" s="1"/>
  <c r="G11" i="17"/>
  <c r="K65" i="17" s="1"/>
  <c r="D5" i="10"/>
  <c r="C5" i="10"/>
  <c r="C65" i="10" s="1"/>
  <c r="X24" i="25"/>
  <c r="X25" i="25" s="1"/>
  <c r="X26" i="25" s="1"/>
  <c r="X27" i="25" s="1"/>
  <c r="R27" i="25"/>
  <c r="T27" i="25"/>
  <c r="G12" i="17"/>
  <c r="G81" i="11"/>
  <c r="I81" i="11" s="1"/>
  <c r="V28" i="25"/>
  <c r="D195" i="11"/>
  <c r="E195" i="11"/>
  <c r="F15" i="6" l="1"/>
  <c r="F43" i="8" s="1"/>
  <c r="AM56" i="8" s="1"/>
  <c r="E326" i="17"/>
  <c r="AB25" i="17"/>
  <c r="F277" i="17"/>
  <c r="D307" i="17"/>
  <c r="I148" i="8"/>
  <c r="I156" i="8"/>
  <c r="I183" i="8"/>
  <c r="I172" i="8"/>
  <c r="I186" i="8"/>
  <c r="I135" i="8"/>
  <c r="I142" i="8"/>
  <c r="I177" i="8"/>
  <c r="I176" i="8"/>
  <c r="I158" i="8"/>
  <c r="I137" i="8"/>
  <c r="I170" i="8"/>
  <c r="I164" i="8"/>
  <c r="I187" i="8"/>
  <c r="I171" i="8"/>
  <c r="I140" i="8"/>
  <c r="I189" i="8"/>
  <c r="I175" i="8"/>
  <c r="I145" i="8"/>
  <c r="I168" i="8"/>
  <c r="I173" i="8"/>
  <c r="I141" i="8"/>
  <c r="I146" i="8"/>
  <c r="I151" i="8"/>
  <c r="I182" i="8"/>
  <c r="I166" i="8"/>
  <c r="I149" i="8"/>
  <c r="I136" i="8"/>
  <c r="I184" i="8"/>
  <c r="I179" i="8"/>
  <c r="I180" i="8"/>
  <c r="I165" i="8"/>
  <c r="I150" i="8"/>
  <c r="I147" i="8"/>
  <c r="I174" i="8"/>
  <c r="I133" i="8"/>
  <c r="I143" i="8"/>
  <c r="I178" i="8"/>
  <c r="I192" i="8"/>
  <c r="I188" i="8"/>
  <c r="I162" i="8"/>
  <c r="I132" i="8"/>
  <c r="I139" i="8"/>
  <c r="I131" i="8"/>
  <c r="I159" i="8"/>
  <c r="I152" i="8"/>
  <c r="I169" i="8"/>
  <c r="I190" i="8"/>
  <c r="I191" i="8"/>
  <c r="I138" i="8"/>
  <c r="I144" i="8"/>
  <c r="I155" i="8"/>
  <c r="I163" i="8"/>
  <c r="I167" i="8"/>
  <c r="I161" i="8"/>
  <c r="I154" i="8"/>
  <c r="I160" i="8"/>
  <c r="I134" i="8"/>
  <c r="I185" i="8"/>
  <c r="I157" i="8"/>
  <c r="I153" i="8"/>
  <c r="I181" i="8"/>
  <c r="F179" i="8"/>
  <c r="F178" i="8"/>
  <c r="F147" i="8"/>
  <c r="F165" i="8"/>
  <c r="C81" i="20" s="1"/>
  <c r="I81" i="20" s="1"/>
  <c r="F190" i="8"/>
  <c r="C131" i="20" s="1"/>
  <c r="I131" i="20" s="1"/>
  <c r="F149" i="8"/>
  <c r="C49" i="20" s="1"/>
  <c r="I49" i="20" s="1"/>
  <c r="F162" i="8"/>
  <c r="C75" i="20" s="1"/>
  <c r="I75" i="20" s="1"/>
  <c r="F134" i="8"/>
  <c r="C19" i="20" s="1"/>
  <c r="I19" i="20" s="1"/>
  <c r="F175" i="8"/>
  <c r="F157" i="8"/>
  <c r="F144" i="8"/>
  <c r="F183" i="8"/>
  <c r="C117" i="20" s="1"/>
  <c r="I117" i="20" s="1"/>
  <c r="F159" i="8"/>
  <c r="C69" i="20" s="1"/>
  <c r="F172" i="8"/>
  <c r="C95" i="20" s="1"/>
  <c r="F164" i="8"/>
  <c r="C79" i="20" s="1"/>
  <c r="I79" i="20" s="1"/>
  <c r="F146" i="8"/>
  <c r="C43" i="20" s="1"/>
  <c r="I43" i="20" s="1"/>
  <c r="F143" i="8"/>
  <c r="C37" i="20" s="1"/>
  <c r="I37" i="20" s="1"/>
  <c r="F173" i="8"/>
  <c r="C97" i="20" s="1"/>
  <c r="I97" i="20" s="1"/>
  <c r="F191" i="8"/>
  <c r="C133" i="20" s="1"/>
  <c r="I133" i="20" s="1"/>
  <c r="F169" i="8"/>
  <c r="C89" i="20" s="1"/>
  <c r="I89" i="20" s="1"/>
  <c r="F186" i="8"/>
  <c r="C123" i="20" s="1"/>
  <c r="F161" i="8"/>
  <c r="C73" i="20" s="1"/>
  <c r="I73" i="20" s="1"/>
  <c r="F137" i="8"/>
  <c r="C25" i="20" s="1"/>
  <c r="I25" i="20" s="1"/>
  <c r="F141" i="8"/>
  <c r="C33" i="20" s="1"/>
  <c r="I33" i="20" s="1"/>
  <c r="F184" i="8"/>
  <c r="C119" i="20" s="1"/>
  <c r="I119" i="20" s="1"/>
  <c r="F131" i="8"/>
  <c r="C13" i="20" s="1"/>
  <c r="I13" i="20" s="1"/>
  <c r="F167" i="8"/>
  <c r="C85" i="20" s="1"/>
  <c r="F135" i="8"/>
  <c r="C21" i="20" s="1"/>
  <c r="I21" i="20" s="1"/>
  <c r="F174" i="8"/>
  <c r="C99" i="20" s="1"/>
  <c r="I99" i="20" s="1"/>
  <c r="F139" i="8"/>
  <c r="C29" i="20" s="1"/>
  <c r="I29" i="20" s="1"/>
  <c r="F185" i="8"/>
  <c r="F170" i="8"/>
  <c r="F180" i="8"/>
  <c r="C111" i="20" s="1"/>
  <c r="I111" i="20" s="1"/>
  <c r="F177" i="8"/>
  <c r="C105" i="20" s="1"/>
  <c r="I105" i="20" s="1"/>
  <c r="F158" i="8"/>
  <c r="C67" i="20" s="1"/>
  <c r="I67" i="20" s="1"/>
  <c r="F192" i="8"/>
  <c r="C135" i="20" s="1"/>
  <c r="I135" i="20" s="1"/>
  <c r="F160" i="8"/>
  <c r="C71" i="20" s="1"/>
  <c r="I71" i="20" s="1"/>
  <c r="F155" i="8"/>
  <c r="C61" i="20" s="1"/>
  <c r="I61" i="20" s="1"/>
  <c r="F133" i="8"/>
  <c r="C17" i="20" s="1"/>
  <c r="I17" i="20" s="1"/>
  <c r="F150" i="8"/>
  <c r="C51" i="20" s="1"/>
  <c r="I51" i="20" s="1"/>
  <c r="F166" i="8"/>
  <c r="C83" i="20" s="1"/>
  <c r="I83" i="20" s="1"/>
  <c r="F145" i="8"/>
  <c r="C41" i="20" s="1"/>
  <c r="I41" i="20" s="1"/>
  <c r="F140" i="8"/>
  <c r="C31" i="20" s="1"/>
  <c r="F153" i="8"/>
  <c r="C57" i="20" s="1"/>
  <c r="I57" i="20" s="1"/>
  <c r="F163" i="8"/>
  <c r="C77" i="20" s="1"/>
  <c r="I77" i="20" s="1"/>
  <c r="F138" i="8"/>
  <c r="C27" i="20" s="1"/>
  <c r="I27" i="20" s="1"/>
  <c r="F168" i="8"/>
  <c r="C87" i="20" s="1"/>
  <c r="I87" i="20" s="1"/>
  <c r="F142" i="8"/>
  <c r="C35" i="20" s="1"/>
  <c r="F188" i="8"/>
  <c r="C127" i="20" s="1"/>
  <c r="I127" i="20" s="1"/>
  <c r="F148" i="8"/>
  <c r="C47" i="20" s="1"/>
  <c r="I47" i="20" s="1"/>
  <c r="F151" i="8"/>
  <c r="C53" i="20" s="1"/>
  <c r="I53" i="20" s="1"/>
  <c r="F156" i="8"/>
  <c r="F182" i="8"/>
  <c r="F171" i="8"/>
  <c r="F181" i="8"/>
  <c r="C113" i="20" s="1"/>
  <c r="I113" i="20" s="1"/>
  <c r="F189" i="8"/>
  <c r="F154" i="8"/>
  <c r="C59" i="20" s="1"/>
  <c r="F176" i="8"/>
  <c r="C103" i="20" s="1"/>
  <c r="I103" i="20" s="1"/>
  <c r="F152" i="8"/>
  <c r="C55" i="20" s="1"/>
  <c r="F132" i="8"/>
  <c r="C15" i="20" s="1"/>
  <c r="I15" i="20" s="1"/>
  <c r="F136" i="8"/>
  <c r="C23" i="20" s="1"/>
  <c r="I23" i="20" s="1"/>
  <c r="F187" i="8"/>
  <c r="C125" i="20" s="1"/>
  <c r="I125" i="20" s="1"/>
  <c r="D144" i="8"/>
  <c r="D140" i="8"/>
  <c r="D165" i="8"/>
  <c r="D157" i="8"/>
  <c r="D191" i="8"/>
  <c r="D169" i="8"/>
  <c r="D134" i="8"/>
  <c r="D146" i="8"/>
  <c r="D147" i="8"/>
  <c r="D148" i="8"/>
  <c r="D164" i="8"/>
  <c r="D152" i="8"/>
  <c r="D174" i="8"/>
  <c r="D170" i="8"/>
  <c r="D131" i="8"/>
  <c r="D138" i="8"/>
  <c r="D168" i="8"/>
  <c r="D137" i="8"/>
  <c r="D190" i="8"/>
  <c r="D162" i="8"/>
  <c r="D139" i="8"/>
  <c r="D167" i="8"/>
  <c r="D182" i="8"/>
  <c r="D132" i="8"/>
  <c r="D155" i="8"/>
  <c r="D143" i="8"/>
  <c r="D135" i="8"/>
  <c r="D180" i="8"/>
  <c r="D184" i="8"/>
  <c r="D181" i="8"/>
  <c r="D133" i="8"/>
  <c r="D177" i="8"/>
  <c r="D153" i="8"/>
  <c r="D185" i="8"/>
  <c r="D150" i="8"/>
  <c r="D179" i="8"/>
  <c r="D178" i="8"/>
  <c r="D158" i="8"/>
  <c r="D145" i="8"/>
  <c r="D166" i="8"/>
  <c r="D186" i="8"/>
  <c r="D183" i="8"/>
  <c r="D161" i="8"/>
  <c r="D149" i="8"/>
  <c r="D173" i="8"/>
  <c r="D187" i="8"/>
  <c r="D154" i="8"/>
  <c r="D151" i="8"/>
  <c r="D172" i="8"/>
  <c r="D142" i="8"/>
  <c r="D163" i="8"/>
  <c r="D136" i="8"/>
  <c r="D156" i="8"/>
  <c r="D171" i="8"/>
  <c r="D192" i="8"/>
  <c r="D141" i="8"/>
  <c r="D188" i="8"/>
  <c r="D160" i="8"/>
  <c r="D159" i="8"/>
  <c r="D189" i="8"/>
  <c r="D176" i="8"/>
  <c r="D175" i="8"/>
  <c r="L42" i="8"/>
  <c r="AL62" i="8" s="1"/>
  <c r="H15" i="6"/>
  <c r="K43" i="8" s="1"/>
  <c r="AM61" i="8" s="1"/>
  <c r="H79" i="20"/>
  <c r="H87" i="20"/>
  <c r="C54" i="11"/>
  <c r="D218" i="11" s="1"/>
  <c r="H23" i="20"/>
  <c r="H67" i="20"/>
  <c r="K62" i="17"/>
  <c r="K64" i="17"/>
  <c r="K63" i="17"/>
  <c r="C317" i="17"/>
  <c r="K61" i="17"/>
  <c r="H77" i="20"/>
  <c r="H127" i="20"/>
  <c r="H47" i="20"/>
  <c r="H17" i="20"/>
  <c r="I95" i="20"/>
  <c r="H95" i="20"/>
  <c r="H13" i="20"/>
  <c r="H111" i="20"/>
  <c r="I123" i="20"/>
  <c r="H123" i="20"/>
  <c r="H105" i="20"/>
  <c r="K66" i="17"/>
  <c r="H71" i="20"/>
  <c r="H117" i="20"/>
  <c r="I55" i="20"/>
  <c r="H55" i="20"/>
  <c r="R127" i="20"/>
  <c r="K60" i="17"/>
  <c r="H125" i="20"/>
  <c r="I85" i="20"/>
  <c r="H85" i="20"/>
  <c r="H61" i="20"/>
  <c r="H33" i="20"/>
  <c r="H119" i="20"/>
  <c r="H131" i="20"/>
  <c r="R23" i="20"/>
  <c r="N23" i="20" s="1"/>
  <c r="I69" i="20"/>
  <c r="H69" i="20"/>
  <c r="H25" i="20"/>
  <c r="H43" i="20"/>
  <c r="C32" i="10"/>
  <c r="K31" i="17"/>
  <c r="K30" i="17"/>
  <c r="K27" i="17"/>
  <c r="K29" i="17"/>
  <c r="K28" i="17"/>
  <c r="X28" i="25"/>
  <c r="R28" i="25"/>
  <c r="E125" i="11"/>
  <c r="D123" i="11"/>
  <c r="D125" i="11" s="1"/>
  <c r="D82" i="11"/>
  <c r="C82" i="11"/>
  <c r="T28" i="25"/>
  <c r="V29" i="25"/>
  <c r="AB29" i="25" s="1"/>
  <c r="AB28" i="25" s="1"/>
  <c r="B79" i="17"/>
  <c r="D208" i="11"/>
  <c r="D308" i="17" l="1"/>
  <c r="D309" i="17"/>
  <c r="D298" i="17"/>
  <c r="D299" i="17" s="1"/>
  <c r="Y25" i="17"/>
  <c r="Z25" i="17" s="1"/>
  <c r="Y26" i="17"/>
  <c r="Z26" i="17" s="1"/>
  <c r="D289" i="17"/>
  <c r="G13" i="17"/>
  <c r="H51" i="20"/>
  <c r="H81" i="20"/>
  <c r="H53" i="20"/>
  <c r="H21" i="20"/>
  <c r="R21" i="20" s="1"/>
  <c r="N21" i="20" s="1"/>
  <c r="H29" i="20"/>
  <c r="H97" i="20"/>
  <c r="H99" i="20"/>
  <c r="H37" i="20"/>
  <c r="H49" i="20"/>
  <c r="R49" i="20" s="1"/>
  <c r="N49" i="20" s="1"/>
  <c r="H83" i="20"/>
  <c r="R83" i="20" s="1"/>
  <c r="N83" i="20" s="1"/>
  <c r="H41" i="20"/>
  <c r="R41" i="20" s="1"/>
  <c r="N41" i="20" s="1"/>
  <c r="R13" i="20"/>
  <c r="N13" i="20" s="1"/>
  <c r="H133" i="20"/>
  <c r="R67" i="20"/>
  <c r="N67" i="20" s="1"/>
  <c r="R29" i="20"/>
  <c r="N29" i="20" s="1"/>
  <c r="H113" i="20"/>
  <c r="H75" i="20"/>
  <c r="R77" i="20"/>
  <c r="R79" i="20"/>
  <c r="N79" i="20" s="1"/>
  <c r="R87" i="20"/>
  <c r="N87" i="20" s="1"/>
  <c r="H19" i="20"/>
  <c r="H135" i="20"/>
  <c r="H57" i="20"/>
  <c r="H89" i="20"/>
  <c r="H15" i="20"/>
  <c r="I59" i="20"/>
  <c r="H59" i="20"/>
  <c r="H103" i="20"/>
  <c r="I31" i="20"/>
  <c r="H31" i="20"/>
  <c r="H73" i="20"/>
  <c r="H27" i="20"/>
  <c r="I35" i="20"/>
  <c r="H35" i="20"/>
  <c r="F75" i="20"/>
  <c r="L75" i="20" s="1"/>
  <c r="F74" i="20"/>
  <c r="L74" i="20" s="1"/>
  <c r="E37" i="9"/>
  <c r="F93" i="20"/>
  <c r="L93" i="20" s="1"/>
  <c r="F92" i="20"/>
  <c r="L92" i="20" s="1"/>
  <c r="E46" i="9"/>
  <c r="F117" i="20"/>
  <c r="L117" i="20" s="1"/>
  <c r="E58" i="9"/>
  <c r="F116" i="20"/>
  <c r="L116" i="20" s="1"/>
  <c r="F113" i="20"/>
  <c r="L113" i="20" s="1"/>
  <c r="E56" i="9"/>
  <c r="F112" i="20"/>
  <c r="L112" i="20" s="1"/>
  <c r="F25" i="20"/>
  <c r="L25" i="20" s="1"/>
  <c r="F24" i="20"/>
  <c r="L24" i="20" s="1"/>
  <c r="E12" i="9"/>
  <c r="F89" i="20"/>
  <c r="L89" i="20" s="1"/>
  <c r="F88" i="20"/>
  <c r="L88" i="20" s="1"/>
  <c r="E44" i="9"/>
  <c r="C129" i="20"/>
  <c r="C70" i="19"/>
  <c r="J70" i="19" s="1"/>
  <c r="F70" i="19" s="1"/>
  <c r="G64" i="9"/>
  <c r="C128" i="20"/>
  <c r="E143" i="10"/>
  <c r="G143" i="10" s="1"/>
  <c r="I143" i="10" s="1"/>
  <c r="C56" i="20"/>
  <c r="G28" i="9"/>
  <c r="E107" i="10"/>
  <c r="G107" i="10" s="1"/>
  <c r="I107" i="10" s="1"/>
  <c r="C34" i="19"/>
  <c r="J34" i="19" s="1"/>
  <c r="F34" i="19" s="1"/>
  <c r="C91" i="20"/>
  <c r="E124" i="10"/>
  <c r="G124" i="10" s="1"/>
  <c r="I124" i="10" s="1"/>
  <c r="C51" i="19"/>
  <c r="J51" i="19" s="1"/>
  <c r="F51" i="19" s="1"/>
  <c r="C90" i="20"/>
  <c r="G45" i="9"/>
  <c r="C88" i="20"/>
  <c r="G44" i="9"/>
  <c r="E123" i="10"/>
  <c r="G123" i="10" s="1"/>
  <c r="I123" i="10" s="1"/>
  <c r="C50" i="19"/>
  <c r="J50" i="19" s="1"/>
  <c r="F50" i="19" s="1"/>
  <c r="G9" i="9"/>
  <c r="C18" i="20"/>
  <c r="E88" i="10"/>
  <c r="G88" i="10" s="1"/>
  <c r="I88" i="10" s="1"/>
  <c r="C15" i="19"/>
  <c r="J15" i="19" s="1"/>
  <c r="F15" i="19" s="1"/>
  <c r="F17" i="20"/>
  <c r="L17" i="20" s="1"/>
  <c r="F16" i="20"/>
  <c r="L16" i="20" s="1"/>
  <c r="E8" i="9"/>
  <c r="F19" i="20"/>
  <c r="L19" i="20" s="1"/>
  <c r="E9" i="9"/>
  <c r="F18" i="20"/>
  <c r="L18" i="20" s="1"/>
  <c r="F63" i="20"/>
  <c r="L63" i="20" s="1"/>
  <c r="E31" i="9"/>
  <c r="F62" i="20"/>
  <c r="L62" i="20" s="1"/>
  <c r="F123" i="20"/>
  <c r="L123" i="20" s="1"/>
  <c r="E61" i="9"/>
  <c r="F122" i="20"/>
  <c r="L122" i="20" s="1"/>
  <c r="F119" i="20"/>
  <c r="L119" i="20" s="1"/>
  <c r="E59" i="9"/>
  <c r="F118" i="20"/>
  <c r="L118" i="20" s="1"/>
  <c r="F87" i="20"/>
  <c r="L87" i="20" s="1"/>
  <c r="F86" i="20"/>
  <c r="L86" i="20" s="1"/>
  <c r="E43" i="9"/>
  <c r="F133" i="20"/>
  <c r="L133" i="20" s="1"/>
  <c r="E66" i="9"/>
  <c r="F132" i="20"/>
  <c r="L132" i="20" s="1"/>
  <c r="E135" i="10"/>
  <c r="G135" i="10" s="1"/>
  <c r="I135" i="10" s="1"/>
  <c r="C112" i="20"/>
  <c r="C62" i="19"/>
  <c r="J62" i="19" s="1"/>
  <c r="F62" i="19" s="1"/>
  <c r="G56" i="9"/>
  <c r="C21" i="19"/>
  <c r="J21" i="19" s="1"/>
  <c r="F21" i="19" s="1"/>
  <c r="G15" i="9"/>
  <c r="C30" i="20"/>
  <c r="E94" i="10"/>
  <c r="G94" i="10" s="1"/>
  <c r="I94" i="10" s="1"/>
  <c r="C121" i="20"/>
  <c r="C120" i="20"/>
  <c r="E139" i="10"/>
  <c r="G139" i="10" s="1"/>
  <c r="I139" i="10" s="1"/>
  <c r="G60" i="9"/>
  <c r="C66" i="19"/>
  <c r="J66" i="19" s="1"/>
  <c r="F66" i="19" s="1"/>
  <c r="C72" i="19"/>
  <c r="J72" i="19" s="1"/>
  <c r="F72" i="19" s="1"/>
  <c r="C132" i="20"/>
  <c r="G66" i="9"/>
  <c r="E145" i="10"/>
  <c r="G145" i="10" s="1"/>
  <c r="I145" i="10" s="1"/>
  <c r="C43" i="19"/>
  <c r="J43" i="19" s="1"/>
  <c r="F43" i="19" s="1"/>
  <c r="G37" i="9"/>
  <c r="E116" i="10"/>
  <c r="G116" i="10" s="1"/>
  <c r="I116" i="10" s="1"/>
  <c r="C74" i="20"/>
  <c r="F43" i="20"/>
  <c r="L43" i="20" s="1"/>
  <c r="E21" i="9"/>
  <c r="F42" i="20"/>
  <c r="L42" i="20" s="1"/>
  <c r="F135" i="20"/>
  <c r="L135" i="20" s="1"/>
  <c r="F134" i="20"/>
  <c r="L134" i="20" s="1"/>
  <c r="E67" i="9"/>
  <c r="K188" i="8"/>
  <c r="K163" i="8"/>
  <c r="K131" i="8"/>
  <c r="K168" i="8"/>
  <c r="K175" i="8"/>
  <c r="K147" i="8"/>
  <c r="K161" i="8"/>
  <c r="K184" i="8"/>
  <c r="K146" i="8"/>
  <c r="K149" i="8"/>
  <c r="K157" i="8"/>
  <c r="K165" i="8"/>
  <c r="K191" i="8"/>
  <c r="K145" i="8"/>
  <c r="K169" i="8"/>
  <c r="K155" i="8"/>
  <c r="K170" i="8"/>
  <c r="K152" i="8"/>
  <c r="K180" i="8"/>
  <c r="K186" i="8"/>
  <c r="K148" i="8"/>
  <c r="K139" i="8"/>
  <c r="K166" i="8"/>
  <c r="K167" i="8"/>
  <c r="K136" i="8"/>
  <c r="K160" i="8"/>
  <c r="K141" i="8"/>
  <c r="K159" i="8"/>
  <c r="K178" i="8"/>
  <c r="K192" i="8"/>
  <c r="K179" i="8"/>
  <c r="K154" i="8"/>
  <c r="K174" i="8"/>
  <c r="K132" i="8"/>
  <c r="K190" i="8"/>
  <c r="K182" i="8"/>
  <c r="K183" i="8"/>
  <c r="K177" i="8"/>
  <c r="K187" i="8"/>
  <c r="K162" i="8"/>
  <c r="K189" i="8"/>
  <c r="K134" i="8"/>
  <c r="K133" i="8"/>
  <c r="K173" i="8"/>
  <c r="K176" i="8"/>
  <c r="K172" i="8"/>
  <c r="K135" i="8"/>
  <c r="K151" i="8"/>
  <c r="K142" i="8"/>
  <c r="K153" i="8"/>
  <c r="K143" i="8"/>
  <c r="K164" i="8"/>
  <c r="K150" i="8"/>
  <c r="K140" i="8"/>
  <c r="K181" i="8"/>
  <c r="K137" i="8"/>
  <c r="K171" i="8"/>
  <c r="K156" i="8"/>
  <c r="K158" i="8"/>
  <c r="K144" i="8"/>
  <c r="K138" i="8"/>
  <c r="K185" i="8"/>
  <c r="F23" i="20"/>
  <c r="L23" i="20" s="1"/>
  <c r="E11" i="9"/>
  <c r="F22" i="20"/>
  <c r="L22" i="20" s="1"/>
  <c r="F83" i="20"/>
  <c r="L83" i="20" s="1"/>
  <c r="E41" i="9"/>
  <c r="F82" i="20"/>
  <c r="L82" i="20" s="1"/>
  <c r="F111" i="20"/>
  <c r="L111" i="20" s="1"/>
  <c r="E55" i="9"/>
  <c r="F110" i="20"/>
  <c r="L110" i="20" s="1"/>
  <c r="F27" i="20"/>
  <c r="L27" i="20" s="1"/>
  <c r="E13" i="9"/>
  <c r="F26" i="20"/>
  <c r="L26" i="20" s="1"/>
  <c r="F65" i="20"/>
  <c r="L65" i="20" s="1"/>
  <c r="E32" i="9"/>
  <c r="F64" i="20"/>
  <c r="L64" i="20" s="1"/>
  <c r="C93" i="20"/>
  <c r="C52" i="19"/>
  <c r="J52" i="19" s="1"/>
  <c r="F52" i="19" s="1"/>
  <c r="E125" i="10"/>
  <c r="G125" i="10" s="1"/>
  <c r="I125" i="10" s="1"/>
  <c r="C92" i="20"/>
  <c r="G46" i="9"/>
  <c r="G20" i="9"/>
  <c r="C26" i="19"/>
  <c r="J26" i="19" s="1"/>
  <c r="F26" i="19" s="1"/>
  <c r="C40" i="20"/>
  <c r="E99" i="10"/>
  <c r="G99" i="10" s="1"/>
  <c r="I99" i="10" s="1"/>
  <c r="C20" i="19"/>
  <c r="J20" i="19" s="1"/>
  <c r="F20" i="19" s="1"/>
  <c r="E93" i="10"/>
  <c r="G93" i="10" s="1"/>
  <c r="I93" i="10" s="1"/>
  <c r="G14" i="9"/>
  <c r="C28" i="20"/>
  <c r="C96" i="20"/>
  <c r="C54" i="19"/>
  <c r="J54" i="19" s="1"/>
  <c r="F54" i="19" s="1"/>
  <c r="G48" i="9"/>
  <c r="E127" i="10"/>
  <c r="G127" i="10" s="1"/>
  <c r="I127" i="10" s="1"/>
  <c r="C30" i="19"/>
  <c r="J30" i="19" s="1"/>
  <c r="F30" i="19" s="1"/>
  <c r="F198" i="8"/>
  <c r="G24" i="9"/>
  <c r="C48" i="20"/>
  <c r="F199" i="8"/>
  <c r="E103" i="10"/>
  <c r="G103" i="10" s="1"/>
  <c r="I103" i="10" s="1"/>
  <c r="I196" i="8"/>
  <c r="I197" i="8"/>
  <c r="F33" i="20"/>
  <c r="L33" i="20" s="1"/>
  <c r="E16" i="9"/>
  <c r="F32" i="20"/>
  <c r="L32" i="20" s="1"/>
  <c r="G52" i="9"/>
  <c r="E131" i="10"/>
  <c r="G131" i="10" s="1"/>
  <c r="I131" i="10" s="1"/>
  <c r="C58" i="19"/>
  <c r="J58" i="19" s="1"/>
  <c r="F58" i="19" s="1"/>
  <c r="C104" i="20"/>
  <c r="F77" i="20"/>
  <c r="L77" i="20" s="1"/>
  <c r="E38" i="9"/>
  <c r="F76" i="20"/>
  <c r="L76" i="20" s="1"/>
  <c r="F41" i="20"/>
  <c r="L41" i="20" s="1"/>
  <c r="E20" i="9"/>
  <c r="F40" i="20"/>
  <c r="L40" i="20" s="1"/>
  <c r="F21" i="20"/>
  <c r="L21" i="20" s="1"/>
  <c r="E10" i="9"/>
  <c r="F20" i="20"/>
  <c r="L20" i="20" s="1"/>
  <c r="F13" i="20"/>
  <c r="L13" i="20" s="1"/>
  <c r="D196" i="8"/>
  <c r="D197" i="8"/>
  <c r="E6" i="9"/>
  <c r="F12" i="20"/>
  <c r="L12" i="20" s="1"/>
  <c r="F81" i="20"/>
  <c r="L81" i="20" s="1"/>
  <c r="F80" i="20"/>
  <c r="L80" i="20" s="1"/>
  <c r="E40" i="9"/>
  <c r="C115" i="20"/>
  <c r="C63" i="19"/>
  <c r="J63" i="19" s="1"/>
  <c r="F63" i="19" s="1"/>
  <c r="G57" i="9"/>
  <c r="C114" i="20"/>
  <c r="E136" i="10"/>
  <c r="G136" i="10" s="1"/>
  <c r="I136" i="10" s="1"/>
  <c r="G41" i="9"/>
  <c r="C47" i="19"/>
  <c r="J47" i="19" s="1"/>
  <c r="F47" i="19" s="1"/>
  <c r="E120" i="10"/>
  <c r="G120" i="10" s="1"/>
  <c r="I120" i="10" s="1"/>
  <c r="C82" i="20"/>
  <c r="E128" i="10"/>
  <c r="G128" i="10" s="1"/>
  <c r="I128" i="10" s="1"/>
  <c r="G49" i="9"/>
  <c r="C55" i="19"/>
  <c r="J55" i="19" s="1"/>
  <c r="F55" i="19" s="1"/>
  <c r="C98" i="20"/>
  <c r="C24" i="19"/>
  <c r="J24" i="19" s="1"/>
  <c r="F24" i="19" s="1"/>
  <c r="G18" i="9"/>
  <c r="E97" i="10"/>
  <c r="G97" i="10" s="1"/>
  <c r="I97" i="10" s="1"/>
  <c r="C36" i="20"/>
  <c r="C130" i="20"/>
  <c r="C71" i="19"/>
  <c r="J71" i="19" s="1"/>
  <c r="F71" i="19" s="1"/>
  <c r="G65" i="9"/>
  <c r="E144" i="10"/>
  <c r="G144" i="10" s="1"/>
  <c r="I144" i="10" s="1"/>
  <c r="F49" i="20"/>
  <c r="L49" i="20" s="1"/>
  <c r="E24" i="9"/>
  <c r="D198" i="8"/>
  <c r="F48" i="20"/>
  <c r="L48" i="20" s="1"/>
  <c r="D199" i="8"/>
  <c r="C72" i="20"/>
  <c r="E115" i="10"/>
  <c r="G115" i="10" s="1"/>
  <c r="I115" i="10" s="1"/>
  <c r="G36" i="9"/>
  <c r="C42" i="19"/>
  <c r="J42" i="19" s="1"/>
  <c r="F42" i="19" s="1"/>
  <c r="E134" i="10"/>
  <c r="G134" i="10" s="1"/>
  <c r="I134" i="10" s="1"/>
  <c r="C110" i="20"/>
  <c r="G55" i="9"/>
  <c r="C61" i="19"/>
  <c r="J61" i="19" s="1"/>
  <c r="F61" i="19" s="1"/>
  <c r="F101" i="20"/>
  <c r="L101" i="20" s="1"/>
  <c r="E50" i="9"/>
  <c r="F100" i="20"/>
  <c r="L100" i="20" s="1"/>
  <c r="F35" i="20"/>
  <c r="L35" i="20" s="1"/>
  <c r="E17" i="9"/>
  <c r="F34" i="20"/>
  <c r="L34" i="20" s="1"/>
  <c r="F67" i="20"/>
  <c r="L67" i="20" s="1"/>
  <c r="E33" i="9"/>
  <c r="F66" i="20"/>
  <c r="L66" i="20" s="1"/>
  <c r="F37" i="20"/>
  <c r="L37" i="20" s="1"/>
  <c r="E18" i="9"/>
  <c r="F36" i="20"/>
  <c r="L36" i="20" s="1"/>
  <c r="F91" i="20"/>
  <c r="L91" i="20" s="1"/>
  <c r="F90" i="20"/>
  <c r="L90" i="20" s="1"/>
  <c r="E45" i="9"/>
  <c r="F31" i="20"/>
  <c r="L31" i="20" s="1"/>
  <c r="E15" i="9"/>
  <c r="F30" i="20"/>
  <c r="L30" i="20" s="1"/>
  <c r="C63" i="20"/>
  <c r="G31" i="9"/>
  <c r="E110" i="10"/>
  <c r="G110" i="10" s="1"/>
  <c r="I110" i="10" s="1"/>
  <c r="C62" i="20"/>
  <c r="C37" i="19"/>
  <c r="J37" i="19" s="1"/>
  <c r="F37" i="19" s="1"/>
  <c r="E104" i="10"/>
  <c r="G104" i="10" s="1"/>
  <c r="I104" i="10" s="1"/>
  <c r="C50" i="20"/>
  <c r="C31" i="19"/>
  <c r="J31" i="19" s="1"/>
  <c r="F31" i="19" s="1"/>
  <c r="G25" i="9"/>
  <c r="G10" i="9"/>
  <c r="C20" i="20"/>
  <c r="C16" i="19"/>
  <c r="J16" i="19" s="1"/>
  <c r="F16" i="19" s="1"/>
  <c r="E89" i="10"/>
  <c r="G89" i="10" s="1"/>
  <c r="I89" i="10" s="1"/>
  <c r="C42" i="20"/>
  <c r="E100" i="10"/>
  <c r="G100" i="10" s="1"/>
  <c r="I100" i="10" s="1"/>
  <c r="C27" i="19"/>
  <c r="J27" i="19" s="1"/>
  <c r="F27" i="19" s="1"/>
  <c r="G21" i="9"/>
  <c r="E119" i="10"/>
  <c r="G119" i="10" s="1"/>
  <c r="I119" i="10" s="1"/>
  <c r="C80" i="20"/>
  <c r="C46" i="19"/>
  <c r="J46" i="19" s="1"/>
  <c r="F46" i="19" s="1"/>
  <c r="G40" i="9"/>
  <c r="C26" i="20"/>
  <c r="C19" i="19"/>
  <c r="J19" i="19" s="1"/>
  <c r="F19" i="19" s="1"/>
  <c r="E92" i="10"/>
  <c r="G92" i="10" s="1"/>
  <c r="I92" i="10" s="1"/>
  <c r="G13" i="9"/>
  <c r="F103" i="20"/>
  <c r="L103" i="20" s="1"/>
  <c r="F102" i="20"/>
  <c r="L102" i="20" s="1"/>
  <c r="E51" i="9"/>
  <c r="F95" i="20"/>
  <c r="L95" i="20" s="1"/>
  <c r="F94" i="20"/>
  <c r="L94" i="20" s="1"/>
  <c r="E47" i="9"/>
  <c r="F107" i="20"/>
  <c r="L107" i="20" s="1"/>
  <c r="E53" i="9"/>
  <c r="F106" i="20"/>
  <c r="L106" i="20" s="1"/>
  <c r="F61" i="20"/>
  <c r="L61" i="20" s="1"/>
  <c r="E30" i="9"/>
  <c r="F60" i="20"/>
  <c r="L60" i="20" s="1"/>
  <c r="F99" i="20"/>
  <c r="L99" i="20" s="1"/>
  <c r="E49" i="9"/>
  <c r="F98" i="20"/>
  <c r="L98" i="20" s="1"/>
  <c r="F39" i="20"/>
  <c r="L39" i="20" s="1"/>
  <c r="F38" i="20"/>
  <c r="L38" i="20" s="1"/>
  <c r="E19" i="9"/>
  <c r="G26" i="9"/>
  <c r="C32" i="19"/>
  <c r="J32" i="19" s="1"/>
  <c r="F32" i="19" s="1"/>
  <c r="E105" i="10"/>
  <c r="G105" i="10" s="1"/>
  <c r="I105" i="10" s="1"/>
  <c r="C52" i="20"/>
  <c r="C16" i="20"/>
  <c r="E87" i="10"/>
  <c r="G87" i="10" s="1"/>
  <c r="I87" i="10" s="1"/>
  <c r="G8" i="9"/>
  <c r="C14" i="19"/>
  <c r="J14" i="19" s="1"/>
  <c r="F14" i="19" s="1"/>
  <c r="E121" i="10"/>
  <c r="G121" i="10" s="1"/>
  <c r="I121" i="10" s="1"/>
  <c r="C48" i="19"/>
  <c r="J48" i="19" s="1"/>
  <c r="F48" i="19" s="1"/>
  <c r="C84" i="20"/>
  <c r="G42" i="9"/>
  <c r="G39" i="9"/>
  <c r="C45" i="19"/>
  <c r="J45" i="19" s="1"/>
  <c r="F45" i="19" s="1"/>
  <c r="C78" i="20"/>
  <c r="E118" i="10"/>
  <c r="G118" i="10" s="1"/>
  <c r="I118" i="10" s="1"/>
  <c r="C45" i="20"/>
  <c r="C28" i="19"/>
  <c r="J28" i="19" s="1"/>
  <c r="F28" i="19" s="1"/>
  <c r="G22" i="9"/>
  <c r="C44" i="20"/>
  <c r="E101" i="10"/>
  <c r="G101" i="10" s="1"/>
  <c r="I101" i="10" s="1"/>
  <c r="F131" i="20"/>
  <c r="L131" i="20" s="1"/>
  <c r="E65" i="9"/>
  <c r="F130" i="20"/>
  <c r="L130" i="20" s="1"/>
  <c r="C101" i="20"/>
  <c r="C56" i="19"/>
  <c r="J56" i="19" s="1"/>
  <c r="F56" i="19" s="1"/>
  <c r="G50" i="9"/>
  <c r="C100" i="20"/>
  <c r="E129" i="10"/>
  <c r="G129" i="10" s="1"/>
  <c r="I129" i="10" s="1"/>
  <c r="F129" i="20"/>
  <c r="L129" i="20" s="1"/>
  <c r="E64" i="9"/>
  <c r="F128" i="20"/>
  <c r="L128" i="20" s="1"/>
  <c r="F53" i="20"/>
  <c r="L53" i="20" s="1"/>
  <c r="E26" i="9"/>
  <c r="F52" i="20"/>
  <c r="L52" i="20" s="1"/>
  <c r="F109" i="20"/>
  <c r="L109" i="20" s="1"/>
  <c r="E54" i="9"/>
  <c r="F108" i="20"/>
  <c r="L108" i="20" s="1"/>
  <c r="F15" i="20"/>
  <c r="L15" i="20" s="1"/>
  <c r="E7" i="9"/>
  <c r="F14" i="20"/>
  <c r="L14" i="20" s="1"/>
  <c r="F55" i="20"/>
  <c r="L55" i="20" s="1"/>
  <c r="E27" i="9"/>
  <c r="F54" i="20"/>
  <c r="L54" i="20" s="1"/>
  <c r="F201" i="8"/>
  <c r="F200" i="8"/>
  <c r="C68" i="19"/>
  <c r="J68" i="19" s="1"/>
  <c r="F68" i="19" s="1"/>
  <c r="E141" i="10"/>
  <c r="G141" i="10" s="1"/>
  <c r="I141" i="10" s="1"/>
  <c r="C124" i="20"/>
  <c r="G62" i="9"/>
  <c r="C29" i="19"/>
  <c r="J29" i="19" s="1"/>
  <c r="F29" i="19" s="1"/>
  <c r="C46" i="20"/>
  <c r="E102" i="10"/>
  <c r="G102" i="10" s="1"/>
  <c r="I102" i="10" s="1"/>
  <c r="G23" i="9"/>
  <c r="C60" i="20"/>
  <c r="G30" i="9"/>
  <c r="E109" i="10"/>
  <c r="G109" i="10" s="1"/>
  <c r="I109" i="10" s="1"/>
  <c r="C36" i="19"/>
  <c r="J36" i="19" s="1"/>
  <c r="F36" i="19" s="1"/>
  <c r="G6" i="9"/>
  <c r="C12" i="19"/>
  <c r="J12" i="19" s="1"/>
  <c r="F12" i="19" s="1"/>
  <c r="C12" i="20"/>
  <c r="E85" i="10"/>
  <c r="G85" i="10" s="1"/>
  <c r="I85" i="10" s="1"/>
  <c r="F196" i="8"/>
  <c r="F197" i="8"/>
  <c r="G47" i="9"/>
  <c r="C53" i="19"/>
  <c r="J53" i="19" s="1"/>
  <c r="F53" i="19" s="1"/>
  <c r="C94" i="20"/>
  <c r="E126" i="10"/>
  <c r="G126" i="10" s="1"/>
  <c r="I126" i="10" s="1"/>
  <c r="C107" i="20"/>
  <c r="E132" i="10"/>
  <c r="G132" i="10" s="1"/>
  <c r="I132" i="10" s="1"/>
  <c r="C59" i="19"/>
  <c r="J59" i="19" s="1"/>
  <c r="F59" i="19" s="1"/>
  <c r="G53" i="9"/>
  <c r="C106" i="20"/>
  <c r="F105" i="20"/>
  <c r="L105" i="20" s="1"/>
  <c r="E52" i="9"/>
  <c r="F104" i="20"/>
  <c r="L104" i="20" s="1"/>
  <c r="F73" i="20"/>
  <c r="L73" i="20" s="1"/>
  <c r="F72" i="20"/>
  <c r="L72" i="20" s="1"/>
  <c r="E36" i="9"/>
  <c r="C67" i="19"/>
  <c r="J67" i="19" s="1"/>
  <c r="F67" i="19" s="1"/>
  <c r="E140" i="10"/>
  <c r="G140" i="10" s="1"/>
  <c r="I140" i="10" s="1"/>
  <c r="G61" i="9"/>
  <c r="C122" i="20"/>
  <c r="F69" i="20"/>
  <c r="L69" i="20" s="1"/>
  <c r="E34" i="9"/>
  <c r="F68" i="20"/>
  <c r="L68" i="20" s="1"/>
  <c r="F59" i="20"/>
  <c r="L59" i="20" s="1"/>
  <c r="E29" i="9"/>
  <c r="F58" i="20"/>
  <c r="L58" i="20" s="1"/>
  <c r="F51" i="20"/>
  <c r="L51" i="20" s="1"/>
  <c r="F50" i="20"/>
  <c r="L50" i="20" s="1"/>
  <c r="E25" i="9"/>
  <c r="F115" i="20"/>
  <c r="L115" i="20" s="1"/>
  <c r="E57" i="9"/>
  <c r="F114" i="20"/>
  <c r="L114" i="20" s="1"/>
  <c r="F79" i="20"/>
  <c r="L79" i="20" s="1"/>
  <c r="F78" i="20"/>
  <c r="L78" i="20" s="1"/>
  <c r="E39" i="9"/>
  <c r="C22" i="20"/>
  <c r="E90" i="10"/>
  <c r="G90" i="10" s="1"/>
  <c r="I90" i="10" s="1"/>
  <c r="G11" i="9"/>
  <c r="C17" i="19"/>
  <c r="J17" i="19" s="1"/>
  <c r="F17" i="19" s="1"/>
  <c r="C126" i="20"/>
  <c r="C69" i="19"/>
  <c r="J69" i="19" s="1"/>
  <c r="F69" i="19" s="1"/>
  <c r="E142" i="10"/>
  <c r="G142" i="10" s="1"/>
  <c r="I142" i="10" s="1"/>
  <c r="G63" i="9"/>
  <c r="C70" i="20"/>
  <c r="E114" i="10"/>
  <c r="G114" i="10" s="1"/>
  <c r="I114" i="10" s="1"/>
  <c r="C41" i="19"/>
  <c r="J41" i="19" s="1"/>
  <c r="F41" i="19" s="1"/>
  <c r="G35" i="9"/>
  <c r="G59" i="9"/>
  <c r="E138" i="10"/>
  <c r="G138" i="10" s="1"/>
  <c r="I138" i="10" s="1"/>
  <c r="C118" i="20"/>
  <c r="C65" i="19"/>
  <c r="J65" i="19" s="1"/>
  <c r="F65" i="19" s="1"/>
  <c r="C68" i="20"/>
  <c r="G34" i="9"/>
  <c r="E113" i="10"/>
  <c r="G113" i="10" s="1"/>
  <c r="I113" i="10" s="1"/>
  <c r="C40" i="19"/>
  <c r="J40" i="19" s="1"/>
  <c r="F40" i="19" s="1"/>
  <c r="C109" i="20"/>
  <c r="C60" i="19"/>
  <c r="J60" i="19" s="1"/>
  <c r="F60" i="19" s="1"/>
  <c r="G54" i="9"/>
  <c r="E133" i="10"/>
  <c r="G133" i="10" s="1"/>
  <c r="I133" i="10" s="1"/>
  <c r="C108" i="20"/>
  <c r="I199" i="8"/>
  <c r="I198" i="8"/>
  <c r="G51" i="9"/>
  <c r="C57" i="19"/>
  <c r="J57" i="19" s="1"/>
  <c r="F57" i="19" s="1"/>
  <c r="E130" i="10"/>
  <c r="G130" i="10" s="1"/>
  <c r="I130" i="10" s="1"/>
  <c r="C102" i="20"/>
  <c r="C35" i="19"/>
  <c r="J35" i="19" s="1"/>
  <c r="F35" i="19" s="1"/>
  <c r="E108" i="10"/>
  <c r="G108" i="10" s="1"/>
  <c r="I108" i="10" s="1"/>
  <c r="G29" i="9"/>
  <c r="C58" i="20"/>
  <c r="F71" i="20"/>
  <c r="L71" i="20" s="1"/>
  <c r="E35" i="9"/>
  <c r="F70" i="20"/>
  <c r="L70" i="20" s="1"/>
  <c r="F125" i="20"/>
  <c r="L125" i="20" s="1"/>
  <c r="D200" i="8"/>
  <c r="E62" i="9"/>
  <c r="D201" i="8"/>
  <c r="F124" i="20"/>
  <c r="L124" i="20" s="1"/>
  <c r="F121" i="20"/>
  <c r="L121" i="20" s="1"/>
  <c r="E60" i="9"/>
  <c r="F120" i="20"/>
  <c r="L120" i="20" s="1"/>
  <c r="F85" i="20"/>
  <c r="L85" i="20" s="1"/>
  <c r="E42" i="9"/>
  <c r="F84" i="20"/>
  <c r="L84" i="20" s="1"/>
  <c r="F47" i="20"/>
  <c r="L47" i="20" s="1"/>
  <c r="E23" i="9"/>
  <c r="F46" i="20"/>
  <c r="L46" i="20" s="1"/>
  <c r="C13" i="19"/>
  <c r="J13" i="19" s="1"/>
  <c r="F13" i="19" s="1"/>
  <c r="C14" i="20"/>
  <c r="G7" i="9"/>
  <c r="E86" i="10"/>
  <c r="G86" i="10" s="1"/>
  <c r="I86" i="10" s="1"/>
  <c r="C34" i="20"/>
  <c r="C23" i="19"/>
  <c r="J23" i="19" s="1"/>
  <c r="F23" i="19" s="1"/>
  <c r="G17" i="9"/>
  <c r="E96" i="10"/>
  <c r="G96" i="10" s="1"/>
  <c r="I96" i="10" s="1"/>
  <c r="E146" i="10"/>
  <c r="G146" i="10" s="1"/>
  <c r="I146" i="10" s="1"/>
  <c r="C73" i="19"/>
  <c r="J73" i="19" s="1"/>
  <c r="F73" i="19" s="1"/>
  <c r="G67" i="9"/>
  <c r="C134" i="20"/>
  <c r="G16" i="9"/>
  <c r="C22" i="19"/>
  <c r="J22" i="19" s="1"/>
  <c r="F22" i="19" s="1"/>
  <c r="E95" i="10"/>
  <c r="G95" i="10" s="1"/>
  <c r="I95" i="10" s="1"/>
  <c r="C32" i="20"/>
  <c r="C116" i="20"/>
  <c r="E137" i="10"/>
  <c r="G137" i="10" s="1"/>
  <c r="I137" i="10" s="1"/>
  <c r="G58" i="9"/>
  <c r="C64" i="19"/>
  <c r="J64" i="19" s="1"/>
  <c r="F64" i="19" s="1"/>
  <c r="I200" i="8"/>
  <c r="I201" i="8"/>
  <c r="C65" i="20"/>
  <c r="E111" i="10"/>
  <c r="G111" i="10" s="1"/>
  <c r="I111" i="10" s="1"/>
  <c r="C64" i="20"/>
  <c r="C38" i="19"/>
  <c r="J38" i="19" s="1"/>
  <c r="F38" i="19" s="1"/>
  <c r="G32" i="9"/>
  <c r="G38" i="9"/>
  <c r="C76" i="20"/>
  <c r="C44" i="19"/>
  <c r="J44" i="19" s="1"/>
  <c r="F44" i="19" s="1"/>
  <c r="E117" i="10"/>
  <c r="G117" i="10" s="1"/>
  <c r="I117" i="10" s="1"/>
  <c r="F127" i="20"/>
  <c r="L127" i="20" s="1"/>
  <c r="E63" i="9"/>
  <c r="F126" i="20"/>
  <c r="L126" i="20" s="1"/>
  <c r="F97" i="20"/>
  <c r="L97" i="20" s="1"/>
  <c r="E48" i="9"/>
  <c r="F96" i="20"/>
  <c r="L96" i="20" s="1"/>
  <c r="F57" i="20"/>
  <c r="L57" i="20" s="1"/>
  <c r="E28" i="9"/>
  <c r="F56" i="20"/>
  <c r="L56" i="20" s="1"/>
  <c r="F29" i="20"/>
  <c r="L29" i="20" s="1"/>
  <c r="E14" i="9"/>
  <c r="F28" i="20"/>
  <c r="L28" i="20" s="1"/>
  <c r="F45" i="20"/>
  <c r="L45" i="20" s="1"/>
  <c r="F44" i="20"/>
  <c r="L44" i="20" s="1"/>
  <c r="E22" i="9"/>
  <c r="G27" i="9"/>
  <c r="C33" i="19"/>
  <c r="J33" i="19" s="1"/>
  <c r="F33" i="19" s="1"/>
  <c r="C54" i="20"/>
  <c r="E106" i="10"/>
  <c r="G106" i="10" s="1"/>
  <c r="I106" i="10" s="1"/>
  <c r="E122" i="10"/>
  <c r="G122" i="10" s="1"/>
  <c r="I122" i="10" s="1"/>
  <c r="C49" i="19"/>
  <c r="J49" i="19" s="1"/>
  <c r="F49" i="19" s="1"/>
  <c r="C86" i="20"/>
  <c r="G43" i="9"/>
  <c r="E112" i="10"/>
  <c r="G112" i="10" s="1"/>
  <c r="I112" i="10" s="1"/>
  <c r="G33" i="9"/>
  <c r="C39" i="19"/>
  <c r="J39" i="19" s="1"/>
  <c r="F39" i="19" s="1"/>
  <c r="C66" i="20"/>
  <c r="E91" i="10"/>
  <c r="G91" i="10" s="1"/>
  <c r="I91" i="10" s="1"/>
  <c r="G12" i="9"/>
  <c r="C18" i="19"/>
  <c r="J18" i="19" s="1"/>
  <c r="F18" i="19" s="1"/>
  <c r="C24" i="20"/>
  <c r="C39" i="20"/>
  <c r="G19" i="9"/>
  <c r="C38" i="20"/>
  <c r="E98" i="10"/>
  <c r="G98" i="10" s="1"/>
  <c r="I98" i="10" s="1"/>
  <c r="C25" i="19"/>
  <c r="J25" i="19" s="1"/>
  <c r="F25" i="19" s="1"/>
  <c r="R123" i="20"/>
  <c r="N123" i="20" s="1"/>
  <c r="R53" i="20"/>
  <c r="N53" i="20" s="1"/>
  <c r="R81" i="20"/>
  <c r="R75" i="20"/>
  <c r="N75" i="20" s="1"/>
  <c r="R61" i="20"/>
  <c r="N61" i="20" s="1"/>
  <c r="R17" i="20"/>
  <c r="N17" i="20" s="1"/>
  <c r="N77" i="20"/>
  <c r="R33" i="20"/>
  <c r="N33" i="20" s="1"/>
  <c r="R51" i="20"/>
  <c r="N51" i="20" s="1"/>
  <c r="R43" i="20"/>
  <c r="N43" i="20" s="1"/>
  <c r="R95" i="20"/>
  <c r="N95" i="20" s="1"/>
  <c r="N127" i="20"/>
  <c r="R119" i="20"/>
  <c r="N119" i="20" s="1"/>
  <c r="N81" i="20"/>
  <c r="R117" i="20"/>
  <c r="N117" i="20" s="1"/>
  <c r="R111" i="20"/>
  <c r="N111" i="20" s="1"/>
  <c r="R47" i="20"/>
  <c r="N47" i="20" s="1"/>
  <c r="R99" i="20"/>
  <c r="N99" i="20" s="1"/>
  <c r="R55" i="20"/>
  <c r="N55" i="20" s="1"/>
  <c r="R85" i="20"/>
  <c r="N85" i="20" s="1"/>
  <c r="R71" i="20"/>
  <c r="N71" i="20" s="1"/>
  <c r="R97" i="20"/>
  <c r="N97" i="20" s="1"/>
  <c r="R25" i="20"/>
  <c r="N25" i="20" s="1"/>
  <c r="R131" i="20"/>
  <c r="N131" i="20" s="1"/>
  <c r="R113" i="20"/>
  <c r="N113" i="20" s="1"/>
  <c r="R37" i="20"/>
  <c r="N37" i="20" s="1"/>
  <c r="R125" i="20"/>
  <c r="N125" i="20" s="1"/>
  <c r="R69" i="20"/>
  <c r="N69" i="20" s="1"/>
  <c r="R105" i="20"/>
  <c r="N105" i="20" s="1"/>
  <c r="AB27" i="25"/>
  <c r="T29" i="25"/>
  <c r="AA29" i="25" s="1"/>
  <c r="R29" i="25"/>
  <c r="Z29" i="25" s="1"/>
  <c r="X29" i="25"/>
  <c r="AC29" i="25" s="1"/>
  <c r="E82" i="11"/>
  <c r="AK28" i="25"/>
  <c r="D300" i="17" l="1"/>
  <c r="D290" i="17"/>
  <c r="AA25" i="17"/>
  <c r="AC25" i="17" s="1"/>
  <c r="AD25" i="17" s="1"/>
  <c r="AA26" i="17"/>
  <c r="AC26" i="17" s="1"/>
  <c r="AD26" i="17" s="1"/>
  <c r="D310" i="17"/>
  <c r="R35" i="20"/>
  <c r="N35" i="20" s="1"/>
  <c r="R59" i="20"/>
  <c r="N59" i="20" s="1"/>
  <c r="R31" i="20"/>
  <c r="N31" i="20" s="1"/>
  <c r="R73" i="20"/>
  <c r="N73" i="20" s="1"/>
  <c r="R103" i="20"/>
  <c r="N103" i="20" s="1"/>
  <c r="R15" i="20"/>
  <c r="N15" i="20" s="1"/>
  <c r="R89" i="20"/>
  <c r="N89" i="20" s="1"/>
  <c r="R57" i="20"/>
  <c r="N57" i="20" s="1"/>
  <c r="R135" i="20"/>
  <c r="N135" i="20" s="1"/>
  <c r="R19" i="20"/>
  <c r="N19" i="20" s="1"/>
  <c r="R27" i="20"/>
  <c r="N27" i="20" s="1"/>
  <c r="R133" i="20"/>
  <c r="N133" i="20" s="1"/>
  <c r="I126" i="20"/>
  <c r="H126" i="20"/>
  <c r="S126" i="20" s="1"/>
  <c r="I94" i="20"/>
  <c r="H94" i="20"/>
  <c r="S94" i="20" s="1"/>
  <c r="I46" i="20"/>
  <c r="H46" i="20"/>
  <c r="S46" i="20" s="1"/>
  <c r="I100" i="20"/>
  <c r="H100" i="20"/>
  <c r="S100" i="20" s="1"/>
  <c r="I108" i="20"/>
  <c r="H108" i="20"/>
  <c r="S108" i="20" s="1"/>
  <c r="I22" i="20"/>
  <c r="H22" i="20"/>
  <c r="S22" i="20" s="1"/>
  <c r="I78" i="20"/>
  <c r="H78" i="20"/>
  <c r="S78" i="20" s="1"/>
  <c r="I26" i="20"/>
  <c r="H26" i="20"/>
  <c r="S26" i="20" s="1"/>
  <c r="I56" i="20"/>
  <c r="H56" i="20"/>
  <c r="S56" i="20" s="1"/>
  <c r="I60" i="20"/>
  <c r="H60" i="20"/>
  <c r="S60" i="20" s="1"/>
  <c r="I134" i="20"/>
  <c r="H134" i="20"/>
  <c r="S134" i="20" s="1"/>
  <c r="I66" i="20"/>
  <c r="H66" i="20"/>
  <c r="S66" i="20" s="1"/>
  <c r="I52" i="20"/>
  <c r="H52" i="20"/>
  <c r="S52" i="20" s="1"/>
  <c r="I20" i="20"/>
  <c r="H20" i="20"/>
  <c r="S20" i="20" s="1"/>
  <c r="I98" i="20"/>
  <c r="H98" i="20"/>
  <c r="S98" i="20" s="1"/>
  <c r="I115" i="20"/>
  <c r="H115" i="20"/>
  <c r="I96" i="20"/>
  <c r="H96" i="20"/>
  <c r="S96" i="20" s="1"/>
  <c r="I120" i="20"/>
  <c r="H120" i="20"/>
  <c r="S120" i="20" s="1"/>
  <c r="I72" i="20"/>
  <c r="H72" i="20"/>
  <c r="S72" i="20" s="1"/>
  <c r="I92" i="20"/>
  <c r="H92" i="20"/>
  <c r="S92" i="20" s="1"/>
  <c r="I58" i="20"/>
  <c r="H58" i="20"/>
  <c r="S58" i="20" s="1"/>
  <c r="I106" i="20"/>
  <c r="H106" i="20"/>
  <c r="S106" i="20" s="1"/>
  <c r="I12" i="20"/>
  <c r="H12" i="20"/>
  <c r="S12" i="20" s="1"/>
  <c r="I124" i="20"/>
  <c r="H124" i="20"/>
  <c r="S124" i="20" s="1"/>
  <c r="I101" i="20"/>
  <c r="H101" i="20"/>
  <c r="I28" i="20"/>
  <c r="H28" i="20"/>
  <c r="S28" i="20" s="1"/>
  <c r="I93" i="20"/>
  <c r="H93" i="20"/>
  <c r="I74" i="20"/>
  <c r="H74" i="20"/>
  <c r="S74" i="20" s="1"/>
  <c r="I121" i="20"/>
  <c r="H121" i="20"/>
  <c r="I128" i="20"/>
  <c r="H128" i="20"/>
  <c r="S128" i="20" s="1"/>
  <c r="I80" i="20"/>
  <c r="H80" i="20"/>
  <c r="S80" i="20" s="1"/>
  <c r="I50" i="20"/>
  <c r="H50" i="20"/>
  <c r="S50" i="20" s="1"/>
  <c r="I88" i="20"/>
  <c r="H88" i="20"/>
  <c r="S88" i="20" s="1"/>
  <c r="I54" i="20"/>
  <c r="H54" i="20"/>
  <c r="S54" i="20" s="1"/>
  <c r="I64" i="20"/>
  <c r="H64" i="20"/>
  <c r="S64" i="20" s="1"/>
  <c r="I84" i="20"/>
  <c r="H84" i="20"/>
  <c r="S84" i="20" s="1"/>
  <c r="I30" i="20"/>
  <c r="H30" i="20"/>
  <c r="S30" i="20" s="1"/>
  <c r="I38" i="20"/>
  <c r="H38" i="20"/>
  <c r="S38" i="20" s="1"/>
  <c r="I86" i="20"/>
  <c r="H86" i="20"/>
  <c r="S86" i="20" s="1"/>
  <c r="I76" i="20"/>
  <c r="H76" i="20"/>
  <c r="S76" i="20" s="1"/>
  <c r="I116" i="20"/>
  <c r="H116" i="20"/>
  <c r="S116" i="20" s="1"/>
  <c r="I34" i="20"/>
  <c r="H34" i="20"/>
  <c r="S34" i="20" s="1"/>
  <c r="I70" i="20"/>
  <c r="H70" i="20"/>
  <c r="S70" i="20" s="1"/>
  <c r="I32" i="20"/>
  <c r="H32" i="20"/>
  <c r="S32" i="20" s="1"/>
  <c r="I82" i="20"/>
  <c r="H82" i="20"/>
  <c r="S82" i="20" s="1"/>
  <c r="I90" i="20"/>
  <c r="H90" i="20"/>
  <c r="S90" i="20" s="1"/>
  <c r="I129" i="20"/>
  <c r="H129" i="20"/>
  <c r="I68" i="20"/>
  <c r="H68" i="20"/>
  <c r="S68" i="20" s="1"/>
  <c r="I42" i="20"/>
  <c r="H42" i="20"/>
  <c r="S42" i="20" s="1"/>
  <c r="I109" i="20"/>
  <c r="H109" i="20"/>
  <c r="I122" i="20"/>
  <c r="H122" i="20"/>
  <c r="S122" i="20" s="1"/>
  <c r="I39" i="20"/>
  <c r="H39" i="20"/>
  <c r="I102" i="20"/>
  <c r="H102" i="20"/>
  <c r="S102" i="20" s="1"/>
  <c r="I107" i="20"/>
  <c r="H107" i="20"/>
  <c r="I62" i="20"/>
  <c r="H62" i="20"/>
  <c r="S62" i="20" s="1"/>
  <c r="I110" i="20"/>
  <c r="H110" i="20"/>
  <c r="S110" i="20" s="1"/>
  <c r="I48" i="20"/>
  <c r="H48" i="20"/>
  <c r="S48" i="20" s="1"/>
  <c r="I24" i="20"/>
  <c r="H24" i="20"/>
  <c r="S24" i="20" s="1"/>
  <c r="I14" i="20"/>
  <c r="H14" i="20"/>
  <c r="S14" i="20" s="1"/>
  <c r="I44" i="20"/>
  <c r="H44" i="20"/>
  <c r="S44" i="20" s="1"/>
  <c r="I104" i="20"/>
  <c r="H104" i="20"/>
  <c r="S104" i="20" s="1"/>
  <c r="I40" i="20"/>
  <c r="H40" i="20"/>
  <c r="S40" i="20" s="1"/>
  <c r="I130" i="20"/>
  <c r="H130" i="20"/>
  <c r="S130" i="20" s="1"/>
  <c r="I132" i="20"/>
  <c r="H132" i="20"/>
  <c r="S132" i="20" s="1"/>
  <c r="I91" i="20"/>
  <c r="H91" i="20"/>
  <c r="I63" i="20"/>
  <c r="H63" i="20"/>
  <c r="I36" i="20"/>
  <c r="H36" i="20"/>
  <c r="S36" i="20" s="1"/>
  <c r="I112" i="20"/>
  <c r="H112" i="20"/>
  <c r="S112" i="20" s="1"/>
  <c r="I65" i="20"/>
  <c r="H65" i="20"/>
  <c r="I118" i="20"/>
  <c r="H118" i="20"/>
  <c r="S118" i="20" s="1"/>
  <c r="I45" i="20"/>
  <c r="H45" i="20"/>
  <c r="I16" i="20"/>
  <c r="H16" i="20"/>
  <c r="S16" i="20" s="1"/>
  <c r="I114" i="20"/>
  <c r="H114" i="20"/>
  <c r="S114" i="20" s="1"/>
  <c r="I18" i="20"/>
  <c r="H18" i="20"/>
  <c r="S18" i="20" s="1"/>
  <c r="D7" i="10"/>
  <c r="K200" i="8"/>
  <c r="K201" i="8"/>
  <c r="K197" i="8"/>
  <c r="K196" i="8"/>
  <c r="D6" i="10"/>
  <c r="D33" i="10" s="1"/>
  <c r="D63" i="10" s="1"/>
  <c r="D64" i="10" s="1"/>
  <c r="K199" i="8"/>
  <c r="K198" i="8"/>
  <c r="F82" i="11"/>
  <c r="H82" i="11" s="1"/>
  <c r="AC28" i="25"/>
  <c r="AL28" i="25" s="1"/>
  <c r="Z28" i="25"/>
  <c r="AA28" i="25"/>
  <c r="AB26" i="25"/>
  <c r="AK26" i="25" s="1"/>
  <c r="AK27" i="25"/>
  <c r="B76" i="17" l="1"/>
  <c r="D76" i="17" s="1"/>
  <c r="D311" i="17"/>
  <c r="D325" i="17"/>
  <c r="I25" i="17"/>
  <c r="I26" i="17"/>
  <c r="D291" i="17"/>
  <c r="R109" i="20"/>
  <c r="N109" i="20" s="1"/>
  <c r="R93" i="20"/>
  <c r="N93" i="20" s="1"/>
  <c r="R114" i="20"/>
  <c r="N114" i="20" s="1"/>
  <c r="R36" i="20"/>
  <c r="N36" i="20" s="1"/>
  <c r="R104" i="20"/>
  <c r="N104" i="20" s="1"/>
  <c r="R62" i="20"/>
  <c r="N62" i="20" s="1"/>
  <c r="R42" i="20"/>
  <c r="N42" i="20" s="1"/>
  <c r="R70" i="20"/>
  <c r="N70" i="20" s="1"/>
  <c r="R30" i="20"/>
  <c r="N30" i="20" s="1"/>
  <c r="R80" i="20"/>
  <c r="N80" i="20" s="1"/>
  <c r="R101" i="20"/>
  <c r="N101" i="20" s="1"/>
  <c r="R18" i="20"/>
  <c r="N18" i="20" s="1"/>
  <c r="R112" i="20"/>
  <c r="N112" i="20" s="1"/>
  <c r="R40" i="20"/>
  <c r="N40" i="20" s="1"/>
  <c r="R110" i="20"/>
  <c r="N110" i="20" s="1"/>
  <c r="R32" i="20"/>
  <c r="N32" i="20" s="1"/>
  <c r="R38" i="20"/>
  <c r="N38" i="20" s="1"/>
  <c r="R50" i="20"/>
  <c r="N50" i="20" s="1"/>
  <c r="R72" i="20"/>
  <c r="N72" i="20" s="1"/>
  <c r="R52" i="20"/>
  <c r="N52" i="20" s="1"/>
  <c r="R28" i="20"/>
  <c r="N28" i="20" s="1"/>
  <c r="R92" i="20"/>
  <c r="N92" i="20" s="1"/>
  <c r="R20" i="20"/>
  <c r="N20" i="20" s="1"/>
  <c r="R26" i="20"/>
  <c r="N26" i="20" s="1"/>
  <c r="R94" i="20"/>
  <c r="N94" i="20" s="1"/>
  <c r="R130" i="20"/>
  <c r="N130" i="20" s="1"/>
  <c r="R48" i="20"/>
  <c r="N48" i="20" s="1"/>
  <c r="R82" i="20"/>
  <c r="N82" i="20" s="1"/>
  <c r="R86" i="20"/>
  <c r="N86" i="20" s="1"/>
  <c r="R58" i="20"/>
  <c r="N58" i="20" s="1"/>
  <c r="R98" i="20"/>
  <c r="N98" i="20" s="1"/>
  <c r="R122" i="20"/>
  <c r="N122" i="20" s="1"/>
  <c r="R88" i="20"/>
  <c r="N88" i="20" s="1"/>
  <c r="R78" i="20"/>
  <c r="N78" i="20" s="1"/>
  <c r="R126" i="20"/>
  <c r="N126" i="20" s="1"/>
  <c r="R45" i="20"/>
  <c r="N45" i="20" s="1"/>
  <c r="R91" i="20"/>
  <c r="N91" i="20" s="1"/>
  <c r="R14" i="20"/>
  <c r="N14" i="20" s="1"/>
  <c r="R102" i="20"/>
  <c r="N102" i="20" s="1"/>
  <c r="R129" i="20"/>
  <c r="N129" i="20" s="1"/>
  <c r="R116" i="20"/>
  <c r="N116" i="20" s="1"/>
  <c r="R64" i="20"/>
  <c r="N64" i="20" s="1"/>
  <c r="R121" i="20"/>
  <c r="N121" i="20" s="1"/>
  <c r="R12" i="20"/>
  <c r="N12" i="20" s="1"/>
  <c r="R96" i="20"/>
  <c r="N96" i="20" s="1"/>
  <c r="R134" i="20"/>
  <c r="N134" i="20" s="1"/>
  <c r="R108" i="20"/>
  <c r="N108" i="20" s="1"/>
  <c r="R118" i="20"/>
  <c r="N118" i="20" s="1"/>
  <c r="R132" i="20"/>
  <c r="N132" i="20" s="1"/>
  <c r="R24" i="20"/>
  <c r="N24" i="20" s="1"/>
  <c r="R39" i="20"/>
  <c r="N39" i="20" s="1"/>
  <c r="R90" i="20"/>
  <c r="N90" i="20" s="1"/>
  <c r="R76" i="20"/>
  <c r="N76" i="20" s="1"/>
  <c r="R54" i="20"/>
  <c r="N54" i="20" s="1"/>
  <c r="R74" i="20"/>
  <c r="N74" i="20" s="1"/>
  <c r="R106" i="20"/>
  <c r="N106" i="20" s="1"/>
  <c r="R115" i="20"/>
  <c r="N115" i="20" s="1"/>
  <c r="R60" i="20"/>
  <c r="N60" i="20" s="1"/>
  <c r="R63" i="20"/>
  <c r="N63" i="20" s="1"/>
  <c r="R16" i="20"/>
  <c r="N16" i="20" s="1"/>
  <c r="R44" i="20"/>
  <c r="N44" i="20" s="1"/>
  <c r="R107" i="20"/>
  <c r="N107" i="20" s="1"/>
  <c r="R68" i="20"/>
  <c r="N68" i="20" s="1"/>
  <c r="R34" i="20"/>
  <c r="N34" i="20" s="1"/>
  <c r="R84" i="20"/>
  <c r="N84" i="20" s="1"/>
  <c r="R128" i="20"/>
  <c r="N128" i="20" s="1"/>
  <c r="R124" i="20"/>
  <c r="N124" i="20" s="1"/>
  <c r="R120" i="20"/>
  <c r="N120" i="20" s="1"/>
  <c r="R66" i="20"/>
  <c r="N66" i="20" s="1"/>
  <c r="R22" i="20"/>
  <c r="N22" i="20" s="1"/>
  <c r="R100" i="20"/>
  <c r="N100" i="20" s="1"/>
  <c r="R65" i="20"/>
  <c r="N65" i="20" s="1"/>
  <c r="R56" i="20"/>
  <c r="N56" i="20" s="1"/>
  <c r="R46" i="20"/>
  <c r="N46" i="20" s="1"/>
  <c r="C81" i="10"/>
  <c r="D81" i="10"/>
  <c r="G82" i="11"/>
  <c r="I82" i="11" s="1"/>
  <c r="D83" i="11" s="1"/>
  <c r="AA27" i="25"/>
  <c r="AC27" i="25"/>
  <c r="AL27" i="25" s="1"/>
  <c r="Z27" i="25"/>
  <c r="AJ28" i="25"/>
  <c r="AB25" i="25"/>
  <c r="AI28" i="25"/>
  <c r="E301" i="17" l="1"/>
  <c r="D302" i="17" s="1"/>
  <c r="D303" i="17" s="1"/>
  <c r="F291" i="17"/>
  <c r="D316" i="17"/>
  <c r="M68" i="17"/>
  <c r="N63" i="17"/>
  <c r="N68" i="17"/>
  <c r="M63" i="17"/>
  <c r="M60" i="17"/>
  <c r="N64" i="17"/>
  <c r="N61" i="17"/>
  <c r="M67" i="17"/>
  <c r="M64" i="17"/>
  <c r="M62" i="17"/>
  <c r="N67" i="17"/>
  <c r="N60" i="17"/>
  <c r="N62" i="17"/>
  <c r="M61" i="17"/>
  <c r="C83" i="11"/>
  <c r="E83" i="11" s="1"/>
  <c r="Z26" i="25"/>
  <c r="AG25" i="25"/>
  <c r="AB24" i="25"/>
  <c r="AK25" i="25"/>
  <c r="AI27" i="25"/>
  <c r="AC26" i="25"/>
  <c r="AL26" i="25" s="1"/>
  <c r="AA26" i="25"/>
  <c r="AJ27" i="25"/>
  <c r="D324" i="17" l="1"/>
  <c r="D326" i="17" s="1"/>
  <c r="P60" i="17"/>
  <c r="O60" i="17"/>
  <c r="P61" i="17"/>
  <c r="O61" i="17"/>
  <c r="B75" i="17"/>
  <c r="B81" i="17" s="1"/>
  <c r="B133" i="17" s="1"/>
  <c r="F303" i="17"/>
  <c r="D304" i="17"/>
  <c r="E304" i="17"/>
  <c r="D317" i="17"/>
  <c r="O62" i="17"/>
  <c r="P62" i="17"/>
  <c r="F316" i="17"/>
  <c r="E316" i="17"/>
  <c r="P64" i="17"/>
  <c r="O64" i="17"/>
  <c r="O63" i="17"/>
  <c r="P63" i="17"/>
  <c r="J25" i="17"/>
  <c r="Q25" i="17"/>
  <c r="R25" i="17" s="1"/>
  <c r="J26" i="17"/>
  <c r="K26" i="17" s="1"/>
  <c r="Q26" i="17"/>
  <c r="R26" i="17" s="1"/>
  <c r="AG24" i="25"/>
  <c r="AB23" i="25"/>
  <c r="AK24" i="25"/>
  <c r="AA25" i="25"/>
  <c r="AJ25" i="25" s="1"/>
  <c r="AJ26" i="25"/>
  <c r="Z25" i="25"/>
  <c r="AI26" i="25"/>
  <c r="AC25" i="25"/>
  <c r="F83" i="11"/>
  <c r="H83" i="11" s="1"/>
  <c r="S61" i="17" l="1"/>
  <c r="S60" i="17"/>
  <c r="S63" i="17"/>
  <c r="I317" i="17"/>
  <c r="E317" i="17"/>
  <c r="F317" i="17"/>
  <c r="D32" i="17"/>
  <c r="E32" i="17" s="1"/>
  <c r="K25" i="17"/>
  <c r="B77" i="17" s="1"/>
  <c r="N65" i="17"/>
  <c r="N66" i="17"/>
  <c r="M65" i="17"/>
  <c r="M66" i="17"/>
  <c r="S62" i="17"/>
  <c r="S64" i="17"/>
  <c r="I316" i="17"/>
  <c r="J316" i="17"/>
  <c r="G83" i="11"/>
  <c r="I83" i="11" s="1"/>
  <c r="C84" i="11" s="1"/>
  <c r="AH25" i="25"/>
  <c r="AC24" i="25"/>
  <c r="AL25" i="25"/>
  <c r="AE25" i="25"/>
  <c r="Z24" i="25"/>
  <c r="AI24" i="25" s="1"/>
  <c r="AI25" i="25"/>
  <c r="AF25" i="25"/>
  <c r="AA24" i="25"/>
  <c r="AJ24" i="25" s="1"/>
  <c r="AG23" i="25"/>
  <c r="AB22" i="25"/>
  <c r="AK22" i="25" s="1"/>
  <c r="C36" i="25" s="1"/>
  <c r="C20" i="14" s="1"/>
  <c r="AK23" i="25"/>
  <c r="O65" i="17" l="1"/>
  <c r="P65" i="17"/>
  <c r="P66" i="17"/>
  <c r="O66" i="17"/>
  <c r="J317" i="17"/>
  <c r="D319" i="17" s="1"/>
  <c r="D84" i="11"/>
  <c r="E84" i="11" s="1"/>
  <c r="AF24" i="25"/>
  <c r="AA23" i="25"/>
  <c r="AH24" i="25"/>
  <c r="AC23" i="25"/>
  <c r="AE24" i="25"/>
  <c r="Z23" i="25"/>
  <c r="AG22" i="25"/>
  <c r="D36" i="25" s="1"/>
  <c r="D20" i="14" s="1"/>
  <c r="AB21" i="25"/>
  <c r="AG21" i="25" s="1"/>
  <c r="AL24" i="25"/>
  <c r="S66" i="17" l="1"/>
  <c r="S65" i="17"/>
  <c r="D80" i="17" s="1"/>
  <c r="AK21" i="25"/>
  <c r="B36" i="25" s="1"/>
  <c r="B20" i="14" s="1"/>
  <c r="E249" i="15"/>
  <c r="E243" i="15"/>
  <c r="E237" i="15"/>
  <c r="E231" i="15"/>
  <c r="E225" i="15"/>
  <c r="E219" i="15"/>
  <c r="E213" i="15"/>
  <c r="E207" i="15"/>
  <c r="E201" i="15"/>
  <c r="E195" i="15"/>
  <c r="E189" i="15"/>
  <c r="E183" i="15"/>
  <c r="E177" i="15"/>
  <c r="E171" i="15"/>
  <c r="E165" i="15"/>
  <c r="E159" i="15"/>
  <c r="E153" i="15"/>
  <c r="E147" i="15"/>
  <c r="E141" i="15"/>
  <c r="E135" i="15"/>
  <c r="E129" i="15"/>
  <c r="E123" i="15"/>
  <c r="E117" i="15"/>
  <c r="E111" i="15"/>
  <c r="E105" i="15"/>
  <c r="E99" i="15"/>
  <c r="E93" i="15"/>
  <c r="E87" i="15"/>
  <c r="E81" i="15"/>
  <c r="E75" i="15"/>
  <c r="E239" i="15"/>
  <c r="E224" i="15"/>
  <c r="E210" i="15"/>
  <c r="E196" i="15"/>
  <c r="E181" i="15"/>
  <c r="E167" i="15"/>
  <c r="E152" i="15"/>
  <c r="E138" i="15"/>
  <c r="E124" i="15"/>
  <c r="E109" i="15"/>
  <c r="E95" i="15"/>
  <c r="E80" i="15"/>
  <c r="E200" i="15"/>
  <c r="E199" i="15"/>
  <c r="E122" i="15"/>
  <c r="E121" i="15"/>
  <c r="E120" i="15"/>
  <c r="E119" i="15"/>
  <c r="E118" i="15"/>
  <c r="E112" i="15"/>
  <c r="E110" i="15"/>
  <c r="E16" i="15"/>
  <c r="E10" i="15"/>
  <c r="E206" i="15"/>
  <c r="E205" i="15"/>
  <c r="E204" i="15"/>
  <c r="E203" i="15"/>
  <c r="E202" i="15"/>
  <c r="E198" i="15"/>
  <c r="E197" i="15"/>
  <c r="E128" i="15"/>
  <c r="E127" i="15"/>
  <c r="E63" i="15"/>
  <c r="E62" i="15"/>
  <c r="E51" i="15"/>
  <c r="E50" i="15"/>
  <c r="E39" i="15"/>
  <c r="E38" i="15"/>
  <c r="E27" i="15"/>
  <c r="E26" i="15"/>
  <c r="E223" i="15"/>
  <c r="E222" i="15"/>
  <c r="E221" i="15"/>
  <c r="E220" i="15"/>
  <c r="E146" i="15"/>
  <c r="E145" i="15"/>
  <c r="E144" i="15"/>
  <c r="E143" i="15"/>
  <c r="E142" i="15"/>
  <c r="E140" i="15"/>
  <c r="E139" i="15"/>
  <c r="E59" i="15"/>
  <c r="E47" i="15"/>
  <c r="E35" i="15"/>
  <c r="E23" i="15"/>
  <c r="E14" i="15"/>
  <c r="E8" i="15"/>
  <c r="E230" i="15"/>
  <c r="E229" i="15"/>
  <c r="E228" i="15"/>
  <c r="E151" i="15"/>
  <c r="E150" i="15"/>
  <c r="E149" i="15"/>
  <c r="E148" i="15"/>
  <c r="E74" i="15"/>
  <c r="E73" i="15"/>
  <c r="E72" i="15"/>
  <c r="E71" i="15"/>
  <c r="E70" i="15"/>
  <c r="E58" i="15"/>
  <c r="E46" i="15"/>
  <c r="E34" i="15"/>
  <c r="E22" i="15"/>
  <c r="E234" i="15"/>
  <c r="E186" i="15"/>
  <c r="E178" i="15"/>
  <c r="E246" i="15"/>
  <c r="E240" i="15"/>
  <c r="E175" i="15"/>
  <c r="E157" i="15"/>
  <c r="E78" i="15"/>
  <c r="E217" i="15"/>
  <c r="E214" i="15"/>
  <c r="E187" i="15"/>
  <c r="E179" i="15"/>
  <c r="E163" i="15"/>
  <c r="E160" i="15"/>
  <c r="E154" i="15"/>
  <c r="E133" i="15"/>
  <c r="E125" i="15"/>
  <c r="E116" i="15"/>
  <c r="E113" i="15"/>
  <c r="E107" i="15"/>
  <c r="E84" i="15"/>
  <c r="E69" i="15"/>
  <c r="E65" i="15"/>
  <c r="E61" i="15"/>
  <c r="E57" i="15"/>
  <c r="E53" i="15"/>
  <c r="E49" i="15"/>
  <c r="E45" i="15"/>
  <c r="E41" i="15"/>
  <c r="E37" i="15"/>
  <c r="E33" i="15"/>
  <c r="E29" i="15"/>
  <c r="E25" i="15"/>
  <c r="E21" i="15"/>
  <c r="E17" i="15"/>
  <c r="E12" i="15"/>
  <c r="E7" i="15"/>
  <c r="E238" i="15"/>
  <c r="E194" i="15"/>
  <c r="E191" i="15"/>
  <c r="E176" i="15"/>
  <c r="E172" i="15"/>
  <c r="E169" i="15"/>
  <c r="E137" i="15"/>
  <c r="E66" i="15"/>
  <c r="E54" i="15"/>
  <c r="E42" i="15"/>
  <c r="E30" i="15"/>
  <c r="E18" i="15"/>
  <c r="E13" i="15"/>
  <c r="E247" i="15"/>
  <c r="E244" i="15"/>
  <c r="E241" i="15"/>
  <c r="E211" i="15"/>
  <c r="E188" i="15"/>
  <c r="E180" i="15"/>
  <c r="E158" i="15"/>
  <c r="E134" i="15"/>
  <c r="E130" i="15"/>
  <c r="E126" i="15"/>
  <c r="E79" i="15"/>
  <c r="E76" i="15"/>
  <c r="E233" i="15"/>
  <c r="E185" i="15"/>
  <c r="E114" i="15"/>
  <c r="E94" i="15"/>
  <c r="E252" i="15"/>
  <c r="E245" i="15"/>
  <c r="E226" i="15"/>
  <c r="E77" i="15"/>
  <c r="E52" i="15"/>
  <c r="E28" i="15"/>
  <c r="E15" i="15"/>
  <c r="E235" i="15"/>
  <c r="E136" i="15"/>
  <c r="E101" i="15"/>
  <c r="E85" i="15"/>
  <c r="E242" i="15"/>
  <c r="E216" i="15"/>
  <c r="E209" i="15"/>
  <c r="E174" i="15"/>
  <c r="E155" i="15"/>
  <c r="E132" i="15"/>
  <c r="E103" i="15"/>
  <c r="E68" i="15"/>
  <c r="E55" i="15"/>
  <c r="E48" i="15"/>
  <c r="E44" i="15"/>
  <c r="E31" i="15"/>
  <c r="E24" i="15"/>
  <c r="E20" i="15"/>
  <c r="E6" i="15"/>
  <c r="E218" i="15"/>
  <c r="E193" i="15"/>
  <c r="E97" i="15"/>
  <c r="E91" i="15"/>
  <c r="E89" i="15"/>
  <c r="E83" i="15"/>
  <c r="E227" i="15"/>
  <c r="E190" i="15"/>
  <c r="E173" i="15"/>
  <c r="E115" i="15"/>
  <c r="E108" i="15"/>
  <c r="E106" i="15"/>
  <c r="E250" i="15"/>
  <c r="E168" i="15"/>
  <c r="E98" i="15"/>
  <c r="E90" i="15"/>
  <c r="E232" i="15"/>
  <c r="E182" i="15"/>
  <c r="E164" i="15"/>
  <c r="E102" i="15"/>
  <c r="E86" i="15"/>
  <c r="E82" i="15"/>
  <c r="E9" i="15"/>
  <c r="E236" i="15"/>
  <c r="E156" i="15"/>
  <c r="E131" i="15"/>
  <c r="E248" i="15"/>
  <c r="E19" i="15"/>
  <c r="E40" i="15"/>
  <c r="E104" i="15"/>
  <c r="E43" i="15"/>
  <c r="E5" i="15"/>
  <c r="E251" i="15"/>
  <c r="E184" i="15"/>
  <c r="E64" i="15"/>
  <c r="E36" i="15"/>
  <c r="E192" i="15"/>
  <c r="E100" i="15"/>
  <c r="E88" i="15"/>
  <c r="E67" i="15"/>
  <c r="E32" i="15"/>
  <c r="E11" i="15"/>
  <c r="E212" i="15"/>
  <c r="E208" i="15"/>
  <c r="E166" i="15"/>
  <c r="E162" i="15"/>
  <c r="E96" i="15"/>
  <c r="E60" i="15"/>
  <c r="E161" i="15"/>
  <c r="E170" i="15"/>
  <c r="E215" i="15"/>
  <c r="E56" i="15"/>
  <c r="E92" i="15"/>
  <c r="AH23" i="25"/>
  <c r="AC22" i="25"/>
  <c r="AL22" i="25" s="1"/>
  <c r="C37" i="25" s="1"/>
  <c r="C21" i="14" s="1"/>
  <c r="AF23" i="25"/>
  <c r="AA22" i="25"/>
  <c r="AJ23" i="25"/>
  <c r="F84" i="11"/>
  <c r="H84" i="11" s="1"/>
  <c r="AE23" i="25"/>
  <c r="Z22" i="25"/>
  <c r="AI23" i="25"/>
  <c r="AL23" i="25"/>
  <c r="G84" i="11" l="1"/>
  <c r="I84" i="11" s="1"/>
  <c r="D85" i="11" s="1"/>
  <c r="AE22" i="25"/>
  <c r="D34" i="25" s="1"/>
  <c r="D18" i="14" s="1"/>
  <c r="Z21" i="25"/>
  <c r="AE21" i="25" s="1"/>
  <c r="AI22" i="25"/>
  <c r="C34" i="25" s="1"/>
  <c r="C18" i="14" s="1"/>
  <c r="AH22" i="25"/>
  <c r="D37" i="25" s="1"/>
  <c r="D21" i="14" s="1"/>
  <c r="AC21" i="25"/>
  <c r="AH21" i="25" s="1"/>
  <c r="AF22" i="25"/>
  <c r="D35" i="25" s="1"/>
  <c r="D19" i="14" s="1"/>
  <c r="AA21" i="25"/>
  <c r="AF21" i="25" s="1"/>
  <c r="AJ22" i="25"/>
  <c r="C35" i="25" s="1"/>
  <c r="C19" i="14" s="1"/>
  <c r="C85" i="11" l="1"/>
  <c r="E85" i="11" s="1"/>
  <c r="F85" i="11" s="1"/>
  <c r="H85" i="11" s="1"/>
  <c r="AJ21" i="25"/>
  <c r="B35" i="25" s="1"/>
  <c r="B19" i="14" s="1"/>
  <c r="F252" i="15"/>
  <c r="F238" i="15"/>
  <c r="F223" i="15"/>
  <c r="F209" i="15"/>
  <c r="F195" i="15"/>
  <c r="F194" i="15"/>
  <c r="F180" i="15"/>
  <c r="F166" i="15"/>
  <c r="F151" i="15"/>
  <c r="F137" i="15"/>
  <c r="F123" i="15"/>
  <c r="F122" i="15"/>
  <c r="F108" i="15"/>
  <c r="F94" i="15"/>
  <c r="F79" i="15"/>
  <c r="F68" i="15"/>
  <c r="F62" i="15"/>
  <c r="F56" i="15"/>
  <c r="F50" i="15"/>
  <c r="F44" i="15"/>
  <c r="F38" i="15"/>
  <c r="F32" i="15"/>
  <c r="F26" i="15"/>
  <c r="F20" i="15"/>
  <c r="F206" i="15"/>
  <c r="F205" i="15"/>
  <c r="F204" i="15"/>
  <c r="F203" i="15"/>
  <c r="F202" i="15"/>
  <c r="F201" i="15"/>
  <c r="F198" i="15"/>
  <c r="F197" i="15"/>
  <c r="F196" i="15"/>
  <c r="F128" i="15"/>
  <c r="F127" i="15"/>
  <c r="F111" i="15"/>
  <c r="F63" i="15"/>
  <c r="F51" i="15"/>
  <c r="F39" i="15"/>
  <c r="F27" i="15"/>
  <c r="F208" i="15"/>
  <c r="F207" i="15"/>
  <c r="F134" i="15"/>
  <c r="F133" i="15"/>
  <c r="F132" i="15"/>
  <c r="F131" i="15"/>
  <c r="F130" i="15"/>
  <c r="F129" i="15"/>
  <c r="F126" i="15"/>
  <c r="F125" i="15"/>
  <c r="F124" i="15"/>
  <c r="F61" i="15"/>
  <c r="F49" i="15"/>
  <c r="F37" i="15"/>
  <c r="F25" i="15"/>
  <c r="F15" i="15"/>
  <c r="F9" i="15"/>
  <c r="F230" i="15"/>
  <c r="F229" i="15"/>
  <c r="F228" i="15"/>
  <c r="F224" i="15"/>
  <c r="F150" i="15"/>
  <c r="F149" i="15"/>
  <c r="F148" i="15"/>
  <c r="F147" i="15"/>
  <c r="F74" i="15"/>
  <c r="F73" i="15"/>
  <c r="F72" i="15"/>
  <c r="F71" i="15"/>
  <c r="F70" i="15"/>
  <c r="F58" i="15"/>
  <c r="F46" i="15"/>
  <c r="F34" i="15"/>
  <c r="F22" i="15"/>
  <c r="F236" i="15"/>
  <c r="F235" i="15"/>
  <c r="F234" i="15"/>
  <c r="F233" i="15"/>
  <c r="F232" i="15"/>
  <c r="F231" i="15"/>
  <c r="F227" i="15"/>
  <c r="F226" i="15"/>
  <c r="F225" i="15"/>
  <c r="F158" i="15"/>
  <c r="F157" i="15"/>
  <c r="F156" i="15"/>
  <c r="F152" i="15"/>
  <c r="F78" i="15"/>
  <c r="F77" i="15"/>
  <c r="F76" i="15"/>
  <c r="F75" i="15"/>
  <c r="F13" i="15"/>
  <c r="F7" i="15"/>
  <c r="F237" i="15"/>
  <c r="F193" i="15"/>
  <c r="F190" i="15"/>
  <c r="F182" i="15"/>
  <c r="F171" i="15"/>
  <c r="F168" i="15"/>
  <c r="F249" i="15"/>
  <c r="F217" i="15"/>
  <c r="F214" i="15"/>
  <c r="F210" i="15"/>
  <c r="F187" i="15"/>
  <c r="F179" i="15"/>
  <c r="F163" i="15"/>
  <c r="F160" i="15"/>
  <c r="F154" i="15"/>
  <c r="F116" i="15"/>
  <c r="F113" i="15"/>
  <c r="F107" i="15"/>
  <c r="F84" i="15"/>
  <c r="F69" i="15"/>
  <c r="F65" i="15"/>
  <c r="F57" i="15"/>
  <c r="F53" i="15"/>
  <c r="F45" i="15"/>
  <c r="F41" i="15"/>
  <c r="F33" i="15"/>
  <c r="F29" i="15"/>
  <c r="F21" i="15"/>
  <c r="F17" i="15"/>
  <c r="F12" i="15"/>
  <c r="F220" i="15"/>
  <c r="F119" i="15"/>
  <c r="F110" i="15"/>
  <c r="F104" i="15"/>
  <c r="F100" i="15"/>
  <c r="F96" i="15"/>
  <c r="F90" i="15"/>
  <c r="F87" i="15"/>
  <c r="F81" i="15"/>
  <c r="F247" i="15"/>
  <c r="F244" i="15"/>
  <c r="F241" i="15"/>
  <c r="F211" i="15"/>
  <c r="F200" i="15"/>
  <c r="F188" i="15"/>
  <c r="F146" i="15"/>
  <c r="F143" i="15"/>
  <c r="F140" i="15"/>
  <c r="F250" i="15"/>
  <c r="F218" i="15"/>
  <c r="F215" i="15"/>
  <c r="F184" i="15"/>
  <c r="F164" i="15"/>
  <c r="F161" i="15"/>
  <c r="F155" i="15"/>
  <c r="F114" i="15"/>
  <c r="F101" i="15"/>
  <c r="F97" i="15"/>
  <c r="F85" i="15"/>
  <c r="F8" i="15"/>
  <c r="F245" i="15"/>
  <c r="F219" i="15"/>
  <c r="F112" i="15"/>
  <c r="F105" i="15"/>
  <c r="F52" i="15"/>
  <c r="F28" i="15"/>
  <c r="F10" i="15"/>
  <c r="F221" i="15"/>
  <c r="F191" i="15"/>
  <c r="F189" i="15"/>
  <c r="F172" i="15"/>
  <c r="F165" i="15"/>
  <c r="F153" i="15"/>
  <c r="F138" i="15"/>
  <c r="F136" i="15"/>
  <c r="F242" i="15"/>
  <c r="F240" i="15"/>
  <c r="F216" i="15"/>
  <c r="F176" i="15"/>
  <c r="F174" i="15"/>
  <c r="F167" i="15"/>
  <c r="F144" i="15"/>
  <c r="F142" i="15"/>
  <c r="F103" i="15"/>
  <c r="F59" i="15"/>
  <c r="F55" i="15"/>
  <c r="F48" i="15"/>
  <c r="F35" i="15"/>
  <c r="F31" i="15"/>
  <c r="F24" i="15"/>
  <c r="F6" i="15"/>
  <c r="F120" i="15"/>
  <c r="F91" i="15"/>
  <c r="F89" i="15"/>
  <c r="F83" i="15"/>
  <c r="F66" i="15"/>
  <c r="F42" i="15"/>
  <c r="F18" i="15"/>
  <c r="F178" i="15"/>
  <c r="F169" i="15"/>
  <c r="F162" i="15"/>
  <c r="F118" i="15"/>
  <c r="F109" i="15"/>
  <c r="F99" i="15"/>
  <c r="F11" i="15"/>
  <c r="F248" i="15"/>
  <c r="F192" i="15"/>
  <c r="F175" i="15"/>
  <c r="F159" i="15"/>
  <c r="F139" i="15"/>
  <c r="F117" i="15"/>
  <c r="F102" i="15"/>
  <c r="F88" i="15"/>
  <c r="F86" i="15"/>
  <c r="F82" i="15"/>
  <c r="F80" i="15"/>
  <c r="F67" i="15"/>
  <c r="F60" i="15"/>
  <c r="F47" i="15"/>
  <c r="F43" i="15"/>
  <c r="F36" i="15"/>
  <c r="F23" i="15"/>
  <c r="F19" i="15"/>
  <c r="F5" i="15"/>
  <c r="F222" i="15"/>
  <c r="F212" i="15"/>
  <c r="F170" i="15"/>
  <c r="F92" i="15"/>
  <c r="F186" i="15"/>
  <c r="F115" i="15"/>
  <c r="F98" i="15"/>
  <c r="F30" i="15"/>
  <c r="F177" i="15"/>
  <c r="F173" i="15"/>
  <c r="F135" i="15"/>
  <c r="F16" i="15"/>
  <c r="F54" i="15"/>
  <c r="F40" i="15"/>
  <c r="F185" i="15"/>
  <c r="F181" i="15"/>
  <c r="F251" i="15"/>
  <c r="F213" i="15"/>
  <c r="F93" i="15"/>
  <c r="F64" i="15"/>
  <c r="F239" i="15"/>
  <c r="F145" i="15"/>
  <c r="F141" i="15"/>
  <c r="F243" i="15"/>
  <c r="F246" i="15"/>
  <c r="F183" i="15"/>
  <c r="F199" i="15"/>
  <c r="F106" i="15"/>
  <c r="F95" i="15"/>
  <c r="F14" i="15"/>
  <c r="F121" i="15"/>
  <c r="D24" i="14"/>
  <c r="AL21" i="25"/>
  <c r="B37" i="25" s="1"/>
  <c r="B21" i="14" s="1"/>
  <c r="D240" i="15"/>
  <c r="D211" i="15"/>
  <c r="D168" i="15"/>
  <c r="D139" i="15"/>
  <c r="D96" i="15"/>
  <c r="D63" i="15"/>
  <c r="D51" i="15"/>
  <c r="H51" i="15" s="1"/>
  <c r="D39" i="15"/>
  <c r="D27" i="15"/>
  <c r="D195" i="15"/>
  <c r="D192" i="15"/>
  <c r="D191" i="15"/>
  <c r="D184" i="15"/>
  <c r="D183" i="15"/>
  <c r="D116" i="15"/>
  <c r="H116" i="15" s="1"/>
  <c r="D115" i="15"/>
  <c r="D108" i="15"/>
  <c r="H108" i="15" s="1"/>
  <c r="D107" i="15"/>
  <c r="H107" i="15" s="1"/>
  <c r="D64" i="15"/>
  <c r="D52" i="15"/>
  <c r="D40" i="15"/>
  <c r="D28" i="15"/>
  <c r="H28" i="15" s="1"/>
  <c r="D200" i="15"/>
  <c r="D199" i="15"/>
  <c r="H199" i="15" s="1"/>
  <c r="D196" i="15"/>
  <c r="D123" i="15"/>
  <c r="H123" i="15" s="1"/>
  <c r="D120" i="15"/>
  <c r="D119" i="15"/>
  <c r="D112" i="15"/>
  <c r="D111" i="15"/>
  <c r="D16" i="15"/>
  <c r="D219" i="15"/>
  <c r="H219" i="15" s="1"/>
  <c r="D216" i="15"/>
  <c r="D215" i="15"/>
  <c r="D212" i="15"/>
  <c r="D136" i="15"/>
  <c r="H136" i="15" s="1"/>
  <c r="D60" i="15"/>
  <c r="D48" i="15"/>
  <c r="H48" i="15" s="1"/>
  <c r="D36" i="15"/>
  <c r="D24" i="15"/>
  <c r="D224" i="15"/>
  <c r="H224" i="15" s="1"/>
  <c r="D223" i="15"/>
  <c r="H223" i="15" s="1"/>
  <c r="D220" i="15"/>
  <c r="D147" i="15"/>
  <c r="D144" i="15"/>
  <c r="H144" i="15" s="1"/>
  <c r="D143" i="15"/>
  <c r="D140" i="15"/>
  <c r="D59" i="15"/>
  <c r="D47" i="15"/>
  <c r="D35" i="15"/>
  <c r="D23" i="15"/>
  <c r="D8" i="15"/>
  <c r="D231" i="15"/>
  <c r="D228" i="15"/>
  <c r="D252" i="15"/>
  <c r="H252" i="15" s="1"/>
  <c r="D243" i="15"/>
  <c r="H243" i="15" s="1"/>
  <c r="D151" i="15"/>
  <c r="D148" i="15"/>
  <c r="D103" i="15"/>
  <c r="D75" i="15"/>
  <c r="D72" i="15"/>
  <c r="D11" i="15"/>
  <c r="D175" i="15"/>
  <c r="D235" i="15"/>
  <c r="D232" i="15"/>
  <c r="D207" i="15"/>
  <c r="D203" i="15"/>
  <c r="D104" i="15"/>
  <c r="D100" i="15"/>
  <c r="D176" i="15"/>
  <c r="D172" i="15"/>
  <c r="D152" i="15"/>
  <c r="H152" i="15" s="1"/>
  <c r="D187" i="15"/>
  <c r="D156" i="15"/>
  <c r="H156" i="15" s="1"/>
  <c r="D92" i="15"/>
  <c r="D79" i="15"/>
  <c r="D247" i="15"/>
  <c r="H247" i="15" s="1"/>
  <c r="D15" i="15"/>
  <c r="D167" i="15"/>
  <c r="D160" i="15"/>
  <c r="H160" i="15" s="1"/>
  <c r="D87" i="15"/>
  <c r="D204" i="15"/>
  <c r="H204" i="15" s="1"/>
  <c r="D180" i="15"/>
  <c r="D155" i="15"/>
  <c r="H155" i="15" s="1"/>
  <c r="D132" i="15"/>
  <c r="D68" i="15"/>
  <c r="D55" i="15"/>
  <c r="D44" i="15"/>
  <c r="D31" i="15"/>
  <c r="H31" i="15" s="1"/>
  <c r="D20" i="15"/>
  <c r="H20" i="15" s="1"/>
  <c r="D208" i="15"/>
  <c r="H208" i="15" s="1"/>
  <c r="D135" i="15"/>
  <c r="D248" i="15"/>
  <c r="D236" i="15"/>
  <c r="H236" i="15" s="1"/>
  <c r="D179" i="15"/>
  <c r="D131" i="15"/>
  <c r="D88" i="15"/>
  <c r="D67" i="15"/>
  <c r="D56" i="15"/>
  <c r="D43" i="15"/>
  <c r="D32" i="15"/>
  <c r="D19" i="15"/>
  <c r="D124" i="15"/>
  <c r="D95" i="15"/>
  <c r="H95" i="15" s="1"/>
  <c r="D164" i="15"/>
  <c r="H164" i="15" s="1"/>
  <c r="D127" i="15"/>
  <c r="H127" i="15" s="1"/>
  <c r="D227" i="15"/>
  <c r="D12" i="15"/>
  <c r="H12" i="15" s="1"/>
  <c r="D244" i="15"/>
  <c r="D188" i="15"/>
  <c r="D163" i="15"/>
  <c r="D159" i="15"/>
  <c r="D76" i="15"/>
  <c r="D251" i="15"/>
  <c r="D239" i="15"/>
  <c r="D84" i="15"/>
  <c r="D71" i="15"/>
  <c r="D171" i="15"/>
  <c r="H171" i="15" s="1"/>
  <c r="D80" i="15"/>
  <c r="D128" i="15"/>
  <c r="D99" i="15"/>
  <c r="D83" i="15"/>
  <c r="D91" i="15"/>
  <c r="D7" i="15"/>
  <c r="D226" i="15"/>
  <c r="D225" i="15"/>
  <c r="H225" i="15" s="1"/>
  <c r="D197" i="15"/>
  <c r="D182" i="15"/>
  <c r="H182" i="15" s="1"/>
  <c r="D154" i="15"/>
  <c r="D153" i="15"/>
  <c r="D125" i="15"/>
  <c r="H125" i="15" s="1"/>
  <c r="D110" i="15"/>
  <c r="D82" i="15"/>
  <c r="D81" i="15"/>
  <c r="H81" i="15" s="1"/>
  <c r="D69" i="15"/>
  <c r="D57" i="15"/>
  <c r="D45" i="15"/>
  <c r="D33" i="15"/>
  <c r="H33" i="15" s="1"/>
  <c r="D21" i="15"/>
  <c r="H21" i="15" s="1"/>
  <c r="D194" i="15"/>
  <c r="H194" i="15" s="1"/>
  <c r="D193" i="15"/>
  <c r="H193" i="15" s="1"/>
  <c r="D190" i="15"/>
  <c r="H190" i="15" s="1"/>
  <c r="D117" i="15"/>
  <c r="D114" i="15"/>
  <c r="D113" i="15"/>
  <c r="H113" i="15" s="1"/>
  <c r="D109" i="15"/>
  <c r="D106" i="15"/>
  <c r="D201" i="15"/>
  <c r="D122" i="15"/>
  <c r="H122" i="15" s="1"/>
  <c r="D121" i="15"/>
  <c r="D118" i="15"/>
  <c r="D10" i="15"/>
  <c r="D218" i="15"/>
  <c r="D217" i="15"/>
  <c r="D214" i="15"/>
  <c r="D141" i="15"/>
  <c r="H141" i="15" s="1"/>
  <c r="D138" i="15"/>
  <c r="H138" i="15" s="1"/>
  <c r="D137" i="15"/>
  <c r="D222" i="15"/>
  <c r="H222" i="15" s="1"/>
  <c r="D221" i="15"/>
  <c r="D146" i="15"/>
  <c r="D145" i="15"/>
  <c r="H145" i="15" s="1"/>
  <c r="D142" i="15"/>
  <c r="D14" i="15"/>
  <c r="D213" i="15"/>
  <c r="H213" i="15" s="1"/>
  <c r="D209" i="15"/>
  <c r="D174" i="15"/>
  <c r="D165" i="15"/>
  <c r="D162" i="15"/>
  <c r="H162" i="15" s="1"/>
  <c r="D206" i="15"/>
  <c r="H206" i="15" s="1"/>
  <c r="D202" i="15"/>
  <c r="D6" i="15"/>
  <c r="D249" i="15"/>
  <c r="D246" i="15"/>
  <c r="H246" i="15" s="1"/>
  <c r="D210" i="15"/>
  <c r="D157" i="15"/>
  <c r="H157" i="15" s="1"/>
  <c r="D129" i="15"/>
  <c r="H129" i="15" s="1"/>
  <c r="D78" i="15"/>
  <c r="D166" i="15"/>
  <c r="D93" i="15"/>
  <c r="D90" i="15"/>
  <c r="D238" i="15"/>
  <c r="H238" i="15" s="1"/>
  <c r="D169" i="15"/>
  <c r="H169" i="15" s="1"/>
  <c r="D149" i="15"/>
  <c r="D73" i="15"/>
  <c r="D70" i="15"/>
  <c r="D66" i="15"/>
  <c r="D62" i="15"/>
  <c r="H62" i="15" s="1"/>
  <c r="D58" i="15"/>
  <c r="H58" i="15" s="1"/>
  <c r="D54" i="15"/>
  <c r="H54" i="15" s="1"/>
  <c r="D50" i="15"/>
  <c r="D46" i="15"/>
  <c r="H46" i="15" s="1"/>
  <c r="D42" i="15"/>
  <c r="D38" i="15"/>
  <c r="D34" i="15"/>
  <c r="H34" i="15" s="1"/>
  <c r="D30" i="15"/>
  <c r="D26" i="15"/>
  <c r="H26" i="15" s="1"/>
  <c r="D22" i="15"/>
  <c r="H22" i="15" s="1"/>
  <c r="D18" i="15"/>
  <c r="D13" i="15"/>
  <c r="D205" i="15"/>
  <c r="H205" i="15" s="1"/>
  <c r="D181" i="15"/>
  <c r="H181" i="15" s="1"/>
  <c r="D170" i="15"/>
  <c r="H170" i="15" s="1"/>
  <c r="D158" i="15"/>
  <c r="H158" i="15" s="1"/>
  <c r="D233" i="15"/>
  <c r="D185" i="15"/>
  <c r="D134" i="15"/>
  <c r="D105" i="15"/>
  <c r="H105" i="15" s="1"/>
  <c r="D94" i="15"/>
  <c r="H94" i="15" s="1"/>
  <c r="D61" i="15"/>
  <c r="H61" i="15" s="1"/>
  <c r="D37" i="15"/>
  <c r="D245" i="15"/>
  <c r="D198" i="15"/>
  <c r="H198" i="15" s="1"/>
  <c r="D189" i="15"/>
  <c r="H189" i="15" s="1"/>
  <c r="D77" i="15"/>
  <c r="D130" i="15"/>
  <c r="H130" i="15" s="1"/>
  <c r="D101" i="15"/>
  <c r="D85" i="15"/>
  <c r="D242" i="15"/>
  <c r="H242" i="15" s="1"/>
  <c r="D230" i="15"/>
  <c r="D234" i="15"/>
  <c r="D133" i="15"/>
  <c r="D177" i="15"/>
  <c r="D161" i="15"/>
  <c r="H161" i="15" s="1"/>
  <c r="D102" i="15"/>
  <c r="H102" i="15" s="1"/>
  <c r="D86" i="15"/>
  <c r="H86" i="15" s="1"/>
  <c r="D5" i="15"/>
  <c r="H5" i="15" s="1"/>
  <c r="D41" i="15"/>
  <c r="D241" i="15"/>
  <c r="D186" i="15"/>
  <c r="D98" i="15"/>
  <c r="D65" i="15"/>
  <c r="D9" i="15"/>
  <c r="D173" i="15"/>
  <c r="H173" i="15" s="1"/>
  <c r="D29" i="15"/>
  <c r="H29" i="15" s="1"/>
  <c r="D150" i="15"/>
  <c r="H150" i="15" s="1"/>
  <c r="D126" i="15"/>
  <c r="H126" i="15" s="1"/>
  <c r="D97" i="15"/>
  <c r="H97" i="15" s="1"/>
  <c r="D89" i="15"/>
  <c r="D53" i="15"/>
  <c r="D25" i="15"/>
  <c r="D49" i="15"/>
  <c r="D250" i="15"/>
  <c r="D17" i="15"/>
  <c r="H17" i="15" s="1"/>
  <c r="D237" i="15"/>
  <c r="D229" i="15"/>
  <c r="H229" i="15" s="1"/>
  <c r="D178" i="15"/>
  <c r="H178" i="15" s="1"/>
  <c r="D74" i="15"/>
  <c r="H74" i="15" s="1"/>
  <c r="AI21" i="25"/>
  <c r="B34" i="25" s="1"/>
  <c r="B18" i="14" s="1"/>
  <c r="H154" i="15" l="1"/>
  <c r="H19" i="15"/>
  <c r="H228" i="15"/>
  <c r="H78" i="15"/>
  <c r="H209" i="15"/>
  <c r="H217" i="15"/>
  <c r="I217" i="15" s="1"/>
  <c r="M217" i="15" s="1"/>
  <c r="H114" i="15"/>
  <c r="H212" i="15"/>
  <c r="I212" i="15" s="1"/>
  <c r="M212" i="15" s="1"/>
  <c r="H117" i="15"/>
  <c r="J117" i="15" s="1"/>
  <c r="N117" i="15" s="1"/>
  <c r="H215" i="15"/>
  <c r="K215" i="15" s="1"/>
  <c r="O215" i="15" s="1"/>
  <c r="H135" i="15"/>
  <c r="L135" i="15" s="1"/>
  <c r="H111" i="15"/>
  <c r="L111" i="15" s="1"/>
  <c r="H112" i="15"/>
  <c r="L112" i="15" s="1"/>
  <c r="H195" i="15"/>
  <c r="L195" i="15" s="1"/>
  <c r="H218" i="15"/>
  <c r="I218" i="15" s="1"/>
  <c r="M218" i="15" s="1"/>
  <c r="H87" i="15"/>
  <c r="K87" i="15" s="1"/>
  <c r="O87" i="15" s="1"/>
  <c r="H18" i="15"/>
  <c r="I18" i="15" s="1"/>
  <c r="M18" i="15" s="1"/>
  <c r="H55" i="15"/>
  <c r="L55" i="15" s="1"/>
  <c r="H23" i="15"/>
  <c r="L23" i="15" s="1"/>
  <c r="H248" i="15"/>
  <c r="J248" i="15" s="1"/>
  <c r="N248" i="15" s="1"/>
  <c r="H52" i="15"/>
  <c r="L52" i="15" s="1"/>
  <c r="H244" i="15"/>
  <c r="L244" i="15" s="1"/>
  <c r="H176" i="15"/>
  <c r="K176" i="15" s="1"/>
  <c r="O176" i="15" s="1"/>
  <c r="H148" i="15"/>
  <c r="I148" i="15" s="1"/>
  <c r="M148" i="15" s="1"/>
  <c r="H216" i="15"/>
  <c r="J216" i="15" s="1"/>
  <c r="N216" i="15" s="1"/>
  <c r="H40" i="15"/>
  <c r="L40" i="15" s="1"/>
  <c r="H110" i="15"/>
  <c r="K110" i="15" s="1"/>
  <c r="O110" i="15" s="1"/>
  <c r="H77" i="15"/>
  <c r="I77" i="15" s="1"/>
  <c r="M77" i="15" s="1"/>
  <c r="H174" i="15"/>
  <c r="J174" i="15" s="1"/>
  <c r="N174" i="15" s="1"/>
  <c r="H221" i="15"/>
  <c r="J221" i="15" s="1"/>
  <c r="N221" i="15" s="1"/>
  <c r="H234" i="15"/>
  <c r="K234" i="15" s="1"/>
  <c r="O234" i="15" s="1"/>
  <c r="H202" i="15"/>
  <c r="L202" i="15" s="1"/>
  <c r="H49" i="15"/>
  <c r="I49" i="15" s="1"/>
  <c r="M49" i="15" s="1"/>
  <c r="H99" i="15"/>
  <c r="K99" i="15" s="1"/>
  <c r="O99" i="15" s="1"/>
  <c r="H89" i="15"/>
  <c r="J89" i="15" s="1"/>
  <c r="N89" i="15" s="1"/>
  <c r="H50" i="15"/>
  <c r="K50" i="15" s="1"/>
  <c r="O50" i="15" s="1"/>
  <c r="H73" i="15"/>
  <c r="I73" i="15" s="1"/>
  <c r="M73" i="15" s="1"/>
  <c r="H75" i="15"/>
  <c r="J75" i="15" s="1"/>
  <c r="N75" i="15" s="1"/>
  <c r="H180" i="15"/>
  <c r="K180" i="15" s="1"/>
  <c r="O180" i="15" s="1"/>
  <c r="H191" i="15"/>
  <c r="I191" i="15" s="1"/>
  <c r="M191" i="15" s="1"/>
  <c r="H214" i="15"/>
  <c r="J214" i="15" s="1"/>
  <c r="N214" i="15" s="1"/>
  <c r="H14" i="15"/>
  <c r="I14" i="15" s="1"/>
  <c r="M14" i="15" s="1"/>
  <c r="H10" i="15"/>
  <c r="L10" i="15" s="1"/>
  <c r="H84" i="15"/>
  <c r="I84" i="15" s="1"/>
  <c r="M84" i="15" s="1"/>
  <c r="H104" i="15"/>
  <c r="J104" i="15" s="1"/>
  <c r="N104" i="15" s="1"/>
  <c r="H39" i="15"/>
  <c r="K39" i="15" s="1"/>
  <c r="O39" i="15" s="1"/>
  <c r="H27" i="15"/>
  <c r="I27" i="15" s="1"/>
  <c r="M27" i="15" s="1"/>
  <c r="H210" i="15"/>
  <c r="L210" i="15" s="1"/>
  <c r="H118" i="15"/>
  <c r="J118" i="15" s="1"/>
  <c r="N118" i="15" s="1"/>
  <c r="H124" i="15"/>
  <c r="L124" i="15" s="1"/>
  <c r="H203" i="15"/>
  <c r="I203" i="15" s="1"/>
  <c r="M203" i="15" s="1"/>
  <c r="H220" i="15"/>
  <c r="I220" i="15" s="1"/>
  <c r="M220" i="15" s="1"/>
  <c r="H149" i="15"/>
  <c r="J149" i="15" s="1"/>
  <c r="N149" i="15" s="1"/>
  <c r="H6" i="15"/>
  <c r="L6" i="15" s="1"/>
  <c r="H57" i="15"/>
  <c r="L57" i="15" s="1"/>
  <c r="H79" i="15"/>
  <c r="L79" i="15" s="1"/>
  <c r="H235" i="15"/>
  <c r="I235" i="15" s="1"/>
  <c r="M235" i="15" s="1"/>
  <c r="H24" i="15"/>
  <c r="L24" i="15" s="1"/>
  <c r="H134" i="15"/>
  <c r="L134" i="15" s="1"/>
  <c r="H168" i="15"/>
  <c r="K168" i="15" s="1"/>
  <c r="O168" i="15" s="1"/>
  <c r="H232" i="15"/>
  <c r="K232" i="15" s="1"/>
  <c r="O232" i="15" s="1"/>
  <c r="H185" i="15"/>
  <c r="J185" i="15" s="1"/>
  <c r="N185" i="15" s="1"/>
  <c r="H109" i="15"/>
  <c r="L109" i="15" s="1"/>
  <c r="H68" i="15"/>
  <c r="I68" i="15" s="1"/>
  <c r="M68" i="15" s="1"/>
  <c r="H249" i="15"/>
  <c r="I249" i="15" s="1"/>
  <c r="M249" i="15" s="1"/>
  <c r="H146" i="15"/>
  <c r="K146" i="15" s="1"/>
  <c r="O146" i="15" s="1"/>
  <c r="H25" i="15"/>
  <c r="L25" i="15" s="1"/>
  <c r="H241" i="15"/>
  <c r="L241" i="15" s="1"/>
  <c r="H82" i="15"/>
  <c r="L82" i="15" s="1"/>
  <c r="H88" i="15"/>
  <c r="K88" i="15" s="1"/>
  <c r="O88" i="15" s="1"/>
  <c r="H166" i="15"/>
  <c r="J166" i="15" s="1"/>
  <c r="N166" i="15" s="1"/>
  <c r="H172" i="15"/>
  <c r="J172" i="15" s="1"/>
  <c r="N172" i="15" s="1"/>
  <c r="H100" i="15"/>
  <c r="K100" i="15" s="1"/>
  <c r="O100" i="15" s="1"/>
  <c r="H60" i="15"/>
  <c r="J60" i="15" s="1"/>
  <c r="N60" i="15" s="1"/>
  <c r="H240" i="15"/>
  <c r="K240" i="15" s="1"/>
  <c r="O240" i="15" s="1"/>
  <c r="H37" i="15"/>
  <c r="I37" i="15" s="1"/>
  <c r="M37" i="15" s="1"/>
  <c r="H167" i="15"/>
  <c r="J167" i="15" s="1"/>
  <c r="N167" i="15" s="1"/>
  <c r="H16" i="15"/>
  <c r="L16" i="15" s="1"/>
  <c r="H251" i="15"/>
  <c r="K251" i="15" s="1"/>
  <c r="O251" i="15" s="1"/>
  <c r="H207" i="15"/>
  <c r="I207" i="15" s="1"/>
  <c r="M207" i="15" s="1"/>
  <c r="H63" i="15"/>
  <c r="K63" i="15" s="1"/>
  <c r="O63" i="15" s="1"/>
  <c r="H76" i="15"/>
  <c r="L76" i="15" s="1"/>
  <c r="H65" i="15"/>
  <c r="L65" i="15" s="1"/>
  <c r="H201" i="15"/>
  <c r="K201" i="15" s="1"/>
  <c r="O201" i="15" s="1"/>
  <c r="H91" i="15"/>
  <c r="K91" i="15" s="1"/>
  <c r="O91" i="15" s="1"/>
  <c r="H56" i="15"/>
  <c r="L56" i="15" s="1"/>
  <c r="H186" i="15"/>
  <c r="L186" i="15" s="1"/>
  <c r="H188" i="15"/>
  <c r="L188" i="15" s="1"/>
  <c r="H67" i="15"/>
  <c r="I67" i="15" s="1"/>
  <c r="M67" i="15" s="1"/>
  <c r="H11" i="15"/>
  <c r="K11" i="15" s="1"/>
  <c r="O11" i="15" s="1"/>
  <c r="H35" i="15"/>
  <c r="L35" i="15" s="1"/>
  <c r="H101" i="15"/>
  <c r="L101" i="15" s="1"/>
  <c r="H233" i="15"/>
  <c r="J233" i="15" s="1"/>
  <c r="N233" i="15" s="1"/>
  <c r="H184" i="15"/>
  <c r="I184" i="15" s="1"/>
  <c r="M184" i="15" s="1"/>
  <c r="H183" i="15"/>
  <c r="L183" i="15" s="1"/>
  <c r="H147" i="15"/>
  <c r="J147" i="15" s="1"/>
  <c r="N147" i="15" s="1"/>
  <c r="H119" i="15"/>
  <c r="I119" i="15" s="1"/>
  <c r="M119" i="15" s="1"/>
  <c r="H106" i="15"/>
  <c r="L106" i="15" s="1"/>
  <c r="H69" i="15"/>
  <c r="L69" i="15" s="1"/>
  <c r="H92" i="15"/>
  <c r="K92" i="15" s="1"/>
  <c r="O92" i="15" s="1"/>
  <c r="H120" i="15"/>
  <c r="J120" i="15" s="1"/>
  <c r="N120" i="15" s="1"/>
  <c r="H211" i="15"/>
  <c r="K211" i="15" s="1"/>
  <c r="O211" i="15" s="1"/>
  <c r="H80" i="15"/>
  <c r="L80" i="15" s="1"/>
  <c r="H200" i="15"/>
  <c r="L200" i="15" s="1"/>
  <c r="H227" i="15"/>
  <c r="I227" i="15" s="1"/>
  <c r="M227" i="15" s="1"/>
  <c r="H179" i="15"/>
  <c r="L179" i="15" s="1"/>
  <c r="H103" i="15"/>
  <c r="I103" i="15" s="1"/>
  <c r="M103" i="15" s="1"/>
  <c r="H140" i="15"/>
  <c r="J140" i="15" s="1"/>
  <c r="N140" i="15" s="1"/>
  <c r="H143" i="15"/>
  <c r="L143" i="15" s="1"/>
  <c r="H142" i="15"/>
  <c r="I142" i="15" s="1"/>
  <c r="M142" i="15" s="1"/>
  <c r="H197" i="15"/>
  <c r="I197" i="15" s="1"/>
  <c r="M197" i="15" s="1"/>
  <c r="H133" i="15"/>
  <c r="J133" i="15" s="1"/>
  <c r="N133" i="15" s="1"/>
  <c r="H121" i="15"/>
  <c r="I121" i="15" s="1"/>
  <c r="M121" i="15" s="1"/>
  <c r="H15" i="15"/>
  <c r="L15" i="15" s="1"/>
  <c r="H13" i="15"/>
  <c r="J13" i="15" s="1"/>
  <c r="N13" i="15" s="1"/>
  <c r="H231" i="15"/>
  <c r="J231" i="15" s="1"/>
  <c r="N231" i="15" s="1"/>
  <c r="H44" i="15"/>
  <c r="I44" i="15" s="1"/>
  <c r="M44" i="15" s="1"/>
  <c r="H115" i="15"/>
  <c r="I115" i="15" s="1"/>
  <c r="M115" i="15" s="1"/>
  <c r="H83" i="15"/>
  <c r="L83" i="15" s="1"/>
  <c r="H98" i="15"/>
  <c r="L98" i="15" s="1"/>
  <c r="H187" i="15"/>
  <c r="I187" i="15" s="1"/>
  <c r="M187" i="15" s="1"/>
  <c r="H72" i="15"/>
  <c r="K72" i="15" s="1"/>
  <c r="O72" i="15" s="1"/>
  <c r="H47" i="15"/>
  <c r="J47" i="15" s="1"/>
  <c r="N47" i="15" s="1"/>
  <c r="H85" i="15"/>
  <c r="I85" i="15" s="1"/>
  <c r="M85" i="15" s="1"/>
  <c r="H53" i="15"/>
  <c r="L53" i="15" s="1"/>
  <c r="H93" i="15"/>
  <c r="I93" i="15" s="1"/>
  <c r="M93" i="15" s="1"/>
  <c r="H153" i="15"/>
  <c r="L153" i="15" s="1"/>
  <c r="H71" i="15"/>
  <c r="J71" i="15" s="1"/>
  <c r="N71" i="15" s="1"/>
  <c r="H151" i="15"/>
  <c r="I151" i="15" s="1"/>
  <c r="M151" i="15" s="1"/>
  <c r="H245" i="15"/>
  <c r="L245" i="15" s="1"/>
  <c r="H177" i="15"/>
  <c r="I177" i="15" s="1"/>
  <c r="M177" i="15" s="1"/>
  <c r="H66" i="15"/>
  <c r="J66" i="15" s="1"/>
  <c r="N66" i="15" s="1"/>
  <c r="H239" i="15"/>
  <c r="J239" i="15" s="1"/>
  <c r="N239" i="15" s="1"/>
  <c r="H64" i="15"/>
  <c r="L64" i="15" s="1"/>
  <c r="H70" i="15"/>
  <c r="L70" i="15" s="1"/>
  <c r="H237" i="15"/>
  <c r="L237" i="15" s="1"/>
  <c r="H9" i="15"/>
  <c r="L9" i="15" s="1"/>
  <c r="H45" i="15"/>
  <c r="L45" i="15" s="1"/>
  <c r="H226" i="15"/>
  <c r="I226" i="15" s="1"/>
  <c r="M226" i="15" s="1"/>
  <c r="H32" i="15"/>
  <c r="L32" i="15" s="1"/>
  <c r="H230" i="15"/>
  <c r="K230" i="15" s="1"/>
  <c r="O230" i="15" s="1"/>
  <c r="H30" i="15"/>
  <c r="J30" i="15" s="1"/>
  <c r="N30" i="15" s="1"/>
  <c r="H7" i="15"/>
  <c r="K7" i="15" s="1"/>
  <c r="O7" i="15" s="1"/>
  <c r="H159" i="15"/>
  <c r="K159" i="15" s="1"/>
  <c r="O159" i="15" s="1"/>
  <c r="H43" i="15"/>
  <c r="L43" i="15" s="1"/>
  <c r="H8" i="15"/>
  <c r="I8" i="15" s="1"/>
  <c r="M8" i="15" s="1"/>
  <c r="H163" i="15"/>
  <c r="I163" i="15" s="1"/>
  <c r="M163" i="15" s="1"/>
  <c r="H175" i="15"/>
  <c r="J175" i="15" s="1"/>
  <c r="N175" i="15" s="1"/>
  <c r="H36" i="15"/>
  <c r="L36" i="15" s="1"/>
  <c r="H38" i="15"/>
  <c r="K38" i="15" s="1"/>
  <c r="O38" i="15" s="1"/>
  <c r="H137" i="15"/>
  <c r="J137" i="15" s="1"/>
  <c r="N137" i="15" s="1"/>
  <c r="H250" i="15"/>
  <c r="K250" i="15" s="1"/>
  <c r="O250" i="15" s="1"/>
  <c r="H42" i="15"/>
  <c r="J42" i="15" s="1"/>
  <c r="N42" i="15" s="1"/>
  <c r="H90" i="15"/>
  <c r="I90" i="15" s="1"/>
  <c r="M90" i="15" s="1"/>
  <c r="H132" i="15"/>
  <c r="L132" i="15" s="1"/>
  <c r="H196" i="15"/>
  <c r="L196" i="15" s="1"/>
  <c r="H41" i="15"/>
  <c r="L41" i="15" s="1"/>
  <c r="H165" i="15"/>
  <c r="K165" i="15" s="1"/>
  <c r="O165" i="15" s="1"/>
  <c r="H128" i="15"/>
  <c r="L128" i="15" s="1"/>
  <c r="H131" i="15"/>
  <c r="I131" i="15" s="1"/>
  <c r="M131" i="15" s="1"/>
  <c r="H59" i="15"/>
  <c r="I59" i="15" s="1"/>
  <c r="M59" i="15" s="1"/>
  <c r="H192" i="15"/>
  <c r="L192" i="15" s="1"/>
  <c r="G85" i="11"/>
  <c r="I85" i="11" s="1"/>
  <c r="C86" i="11" s="1"/>
  <c r="K189" i="15"/>
  <c r="O189" i="15" s="1"/>
  <c r="L189" i="15"/>
  <c r="J189" i="15"/>
  <c r="N189" i="15" s="1"/>
  <c r="I189" i="15"/>
  <c r="M189" i="15" s="1"/>
  <c r="K5" i="15"/>
  <c r="O5" i="15" s="1"/>
  <c r="J5" i="15"/>
  <c r="N5" i="15" s="1"/>
  <c r="L5" i="15"/>
  <c r="I5" i="15"/>
  <c r="M5" i="15" s="1"/>
  <c r="L77" i="15"/>
  <c r="J170" i="15"/>
  <c r="N170" i="15" s="1"/>
  <c r="I170" i="15"/>
  <c r="M170" i="15" s="1"/>
  <c r="K170" i="15"/>
  <c r="O170" i="15" s="1"/>
  <c r="L170" i="15"/>
  <c r="K117" i="15"/>
  <c r="O117" i="15" s="1"/>
  <c r="L117" i="15"/>
  <c r="I117" i="15"/>
  <c r="M117" i="15" s="1"/>
  <c r="L125" i="15"/>
  <c r="J125" i="15"/>
  <c r="N125" i="15" s="1"/>
  <c r="K125" i="15"/>
  <c r="O125" i="15" s="1"/>
  <c r="I125" i="15"/>
  <c r="M125" i="15" s="1"/>
  <c r="L28" i="15"/>
  <c r="K28" i="15"/>
  <c r="O28" i="15" s="1"/>
  <c r="J28" i="15"/>
  <c r="N28" i="15" s="1"/>
  <c r="I28" i="15"/>
  <c r="M28" i="15" s="1"/>
  <c r="J195" i="15"/>
  <c r="N195" i="15" s="1"/>
  <c r="L236" i="15"/>
  <c r="I236" i="15"/>
  <c r="M236" i="15" s="1"/>
  <c r="K236" i="15"/>
  <c r="O236" i="15" s="1"/>
  <c r="J236" i="15"/>
  <c r="N236" i="15" s="1"/>
  <c r="J58" i="15"/>
  <c r="N58" i="15" s="1"/>
  <c r="I58" i="15"/>
  <c r="M58" i="15" s="1"/>
  <c r="L58" i="15"/>
  <c r="K58" i="15"/>
  <c r="O58" i="15" s="1"/>
  <c r="J129" i="15"/>
  <c r="N129" i="15" s="1"/>
  <c r="L129" i="15"/>
  <c r="K129" i="15"/>
  <c r="O129" i="15" s="1"/>
  <c r="I129" i="15"/>
  <c r="M129" i="15" s="1"/>
  <c r="L213" i="15"/>
  <c r="K213" i="15"/>
  <c r="O213" i="15" s="1"/>
  <c r="J213" i="15"/>
  <c r="N213" i="15" s="1"/>
  <c r="I213" i="15"/>
  <c r="M213" i="15" s="1"/>
  <c r="I193" i="15"/>
  <c r="M193" i="15" s="1"/>
  <c r="L193" i="15"/>
  <c r="K193" i="15"/>
  <c r="O193" i="15" s="1"/>
  <c r="J193" i="15"/>
  <c r="N193" i="15" s="1"/>
  <c r="L154" i="15"/>
  <c r="K154" i="15"/>
  <c r="O154" i="15" s="1"/>
  <c r="J154" i="15"/>
  <c r="N154" i="15" s="1"/>
  <c r="I154" i="15"/>
  <c r="M154" i="15" s="1"/>
  <c r="J164" i="15"/>
  <c r="N164" i="15" s="1"/>
  <c r="I164" i="15"/>
  <c r="M164" i="15" s="1"/>
  <c r="K164" i="15"/>
  <c r="O164" i="15" s="1"/>
  <c r="L164" i="15"/>
  <c r="K144" i="15"/>
  <c r="O144" i="15" s="1"/>
  <c r="I144" i="15"/>
  <c r="M144" i="15" s="1"/>
  <c r="L144" i="15"/>
  <c r="J144" i="15"/>
  <c r="N144" i="15" s="1"/>
  <c r="J190" i="15"/>
  <c r="N190" i="15" s="1"/>
  <c r="L190" i="15"/>
  <c r="K190" i="15"/>
  <c r="O190" i="15" s="1"/>
  <c r="I190" i="15"/>
  <c r="M190" i="15" s="1"/>
  <c r="K126" i="15"/>
  <c r="O126" i="15" s="1"/>
  <c r="L126" i="15"/>
  <c r="J126" i="15"/>
  <c r="N126" i="15" s="1"/>
  <c r="I126" i="15"/>
  <c r="M126" i="15" s="1"/>
  <c r="J161" i="15"/>
  <c r="N161" i="15" s="1"/>
  <c r="L161" i="15"/>
  <c r="I161" i="15"/>
  <c r="M161" i="15" s="1"/>
  <c r="K161" i="15"/>
  <c r="O161" i="15" s="1"/>
  <c r="K62" i="15"/>
  <c r="O62" i="15" s="1"/>
  <c r="J62" i="15"/>
  <c r="N62" i="15" s="1"/>
  <c r="L62" i="15"/>
  <c r="I62" i="15"/>
  <c r="M62" i="15" s="1"/>
  <c r="I157" i="15"/>
  <c r="M157" i="15" s="1"/>
  <c r="L157" i="15"/>
  <c r="K157" i="15"/>
  <c r="O157" i="15" s="1"/>
  <c r="J157" i="15"/>
  <c r="N157" i="15" s="1"/>
  <c r="L194" i="15"/>
  <c r="J194" i="15"/>
  <c r="N194" i="15" s="1"/>
  <c r="I194" i="15"/>
  <c r="M194" i="15" s="1"/>
  <c r="K194" i="15"/>
  <c r="O194" i="15" s="1"/>
  <c r="L182" i="15"/>
  <c r="K182" i="15"/>
  <c r="O182" i="15" s="1"/>
  <c r="J182" i="15"/>
  <c r="N182" i="15" s="1"/>
  <c r="I182" i="15"/>
  <c r="M182" i="15" s="1"/>
  <c r="K95" i="15"/>
  <c r="O95" i="15" s="1"/>
  <c r="J95" i="15"/>
  <c r="N95" i="15" s="1"/>
  <c r="L95" i="15"/>
  <c r="I95" i="15"/>
  <c r="M95" i="15" s="1"/>
  <c r="K160" i="15"/>
  <c r="O160" i="15" s="1"/>
  <c r="L160" i="15"/>
  <c r="J160" i="15"/>
  <c r="N160" i="15" s="1"/>
  <c r="I160" i="15"/>
  <c r="M160" i="15" s="1"/>
  <c r="L243" i="15"/>
  <c r="I243" i="15"/>
  <c r="M243" i="15" s="1"/>
  <c r="J243" i="15"/>
  <c r="N243" i="15" s="1"/>
  <c r="K243" i="15"/>
  <c r="O243" i="15" s="1"/>
  <c r="J219" i="15"/>
  <c r="N219" i="15" s="1"/>
  <c r="I219" i="15"/>
  <c r="M219" i="15" s="1"/>
  <c r="K219" i="15"/>
  <c r="O219" i="15" s="1"/>
  <c r="L219" i="15"/>
  <c r="J54" i="15"/>
  <c r="N54" i="15" s="1"/>
  <c r="K54" i="15"/>
  <c r="O54" i="15" s="1"/>
  <c r="I54" i="15"/>
  <c r="M54" i="15" s="1"/>
  <c r="L54" i="15"/>
  <c r="K74" i="15"/>
  <c r="O74" i="15" s="1"/>
  <c r="L74" i="15"/>
  <c r="J74" i="15"/>
  <c r="N74" i="15" s="1"/>
  <c r="I74" i="15"/>
  <c r="M74" i="15" s="1"/>
  <c r="L29" i="15"/>
  <c r="K29" i="15"/>
  <c r="O29" i="15" s="1"/>
  <c r="J29" i="15"/>
  <c r="N29" i="15" s="1"/>
  <c r="I29" i="15"/>
  <c r="M29" i="15" s="1"/>
  <c r="L21" i="15"/>
  <c r="K21" i="15"/>
  <c r="O21" i="15" s="1"/>
  <c r="I21" i="15"/>
  <c r="M21" i="15" s="1"/>
  <c r="J21" i="15"/>
  <c r="N21" i="15" s="1"/>
  <c r="K208" i="15"/>
  <c r="O208" i="15" s="1"/>
  <c r="J208" i="15"/>
  <c r="N208" i="15" s="1"/>
  <c r="L208" i="15"/>
  <c r="I208" i="15"/>
  <c r="M208" i="15" s="1"/>
  <c r="K252" i="15"/>
  <c r="O252" i="15" s="1"/>
  <c r="L252" i="15"/>
  <c r="J252" i="15"/>
  <c r="N252" i="15" s="1"/>
  <c r="I252" i="15"/>
  <c r="M252" i="15" s="1"/>
  <c r="K51" i="15"/>
  <c r="O51" i="15" s="1"/>
  <c r="J51" i="15"/>
  <c r="N51" i="15" s="1"/>
  <c r="L51" i="15"/>
  <c r="I51" i="15"/>
  <c r="M51" i="15" s="1"/>
  <c r="I97" i="15"/>
  <c r="M97" i="15" s="1"/>
  <c r="L97" i="15"/>
  <c r="K97" i="15"/>
  <c r="O97" i="15" s="1"/>
  <c r="J97" i="15"/>
  <c r="N97" i="15" s="1"/>
  <c r="I205" i="15"/>
  <c r="M205" i="15" s="1"/>
  <c r="J205" i="15"/>
  <c r="N205" i="15" s="1"/>
  <c r="L205" i="15"/>
  <c r="K205" i="15"/>
  <c r="O205" i="15" s="1"/>
  <c r="L178" i="15"/>
  <c r="K178" i="15"/>
  <c r="O178" i="15" s="1"/>
  <c r="J178" i="15"/>
  <c r="N178" i="15" s="1"/>
  <c r="I178" i="15"/>
  <c r="M178" i="15" s="1"/>
  <c r="I229" i="15"/>
  <c r="M229" i="15" s="1"/>
  <c r="K229" i="15"/>
  <c r="O229" i="15" s="1"/>
  <c r="J229" i="15"/>
  <c r="N229" i="15" s="1"/>
  <c r="L229" i="15"/>
  <c r="L173" i="15"/>
  <c r="J173" i="15"/>
  <c r="N173" i="15" s="1"/>
  <c r="I173" i="15"/>
  <c r="M173" i="15" s="1"/>
  <c r="K173" i="15"/>
  <c r="O173" i="15" s="1"/>
  <c r="I61" i="15"/>
  <c r="M61" i="15" s="1"/>
  <c r="J61" i="15"/>
  <c r="N61" i="15" s="1"/>
  <c r="L61" i="15"/>
  <c r="K61" i="15"/>
  <c r="O61" i="15" s="1"/>
  <c r="J22" i="15"/>
  <c r="N22" i="15" s="1"/>
  <c r="I22" i="15"/>
  <c r="M22" i="15" s="1"/>
  <c r="L22" i="15"/>
  <c r="K22" i="15"/>
  <c r="O22" i="15" s="1"/>
  <c r="K246" i="15"/>
  <c r="O246" i="15" s="1"/>
  <c r="L246" i="15"/>
  <c r="I246" i="15"/>
  <c r="M246" i="15" s="1"/>
  <c r="J246" i="15"/>
  <c r="N246" i="15" s="1"/>
  <c r="I145" i="15"/>
  <c r="M145" i="15" s="1"/>
  <c r="L145" i="15"/>
  <c r="J145" i="15"/>
  <c r="N145" i="15" s="1"/>
  <c r="K145" i="15"/>
  <c r="O145" i="15" s="1"/>
  <c r="L33" i="15"/>
  <c r="K33" i="15"/>
  <c r="O33" i="15" s="1"/>
  <c r="J33" i="15"/>
  <c r="N33" i="15" s="1"/>
  <c r="I33" i="15"/>
  <c r="M33" i="15" s="1"/>
  <c r="K225" i="15"/>
  <c r="O225" i="15" s="1"/>
  <c r="J225" i="15"/>
  <c r="N225" i="15" s="1"/>
  <c r="L225" i="15"/>
  <c r="I225" i="15"/>
  <c r="M225" i="15" s="1"/>
  <c r="J19" i="15"/>
  <c r="N19" i="15" s="1"/>
  <c r="I19" i="15"/>
  <c r="M19" i="15" s="1"/>
  <c r="K19" i="15"/>
  <c r="O19" i="15" s="1"/>
  <c r="L19" i="15"/>
  <c r="L20" i="15"/>
  <c r="I20" i="15"/>
  <c r="M20" i="15" s="1"/>
  <c r="K20" i="15"/>
  <c r="O20" i="15" s="1"/>
  <c r="J20" i="15"/>
  <c r="N20" i="15" s="1"/>
  <c r="K228" i="15"/>
  <c r="O228" i="15" s="1"/>
  <c r="J228" i="15"/>
  <c r="N228" i="15" s="1"/>
  <c r="I228" i="15"/>
  <c r="M228" i="15" s="1"/>
  <c r="L228" i="15"/>
  <c r="I223" i="15"/>
  <c r="M223" i="15" s="1"/>
  <c r="K223" i="15"/>
  <c r="O223" i="15" s="1"/>
  <c r="J223" i="15"/>
  <c r="N223" i="15" s="1"/>
  <c r="L223" i="15"/>
  <c r="L107" i="15"/>
  <c r="J107" i="15"/>
  <c r="N107" i="15" s="1"/>
  <c r="I107" i="15"/>
  <c r="M107" i="15" s="1"/>
  <c r="K107" i="15"/>
  <c r="O107" i="15" s="1"/>
  <c r="K78" i="15"/>
  <c r="O78" i="15" s="1"/>
  <c r="L78" i="15"/>
  <c r="J78" i="15"/>
  <c r="N78" i="15" s="1"/>
  <c r="I78" i="15"/>
  <c r="M78" i="15" s="1"/>
  <c r="K150" i="15"/>
  <c r="O150" i="15" s="1"/>
  <c r="L150" i="15"/>
  <c r="J150" i="15"/>
  <c r="N150" i="15" s="1"/>
  <c r="I150" i="15"/>
  <c r="M150" i="15" s="1"/>
  <c r="K94" i="15"/>
  <c r="O94" i="15" s="1"/>
  <c r="J94" i="15"/>
  <c r="N94" i="15" s="1"/>
  <c r="L94" i="15"/>
  <c r="I94" i="15"/>
  <c r="M94" i="15" s="1"/>
  <c r="K26" i="15"/>
  <c r="O26" i="15" s="1"/>
  <c r="J26" i="15"/>
  <c r="N26" i="15" s="1"/>
  <c r="L26" i="15"/>
  <c r="I26" i="15"/>
  <c r="M26" i="15" s="1"/>
  <c r="I122" i="15"/>
  <c r="M122" i="15" s="1"/>
  <c r="L122" i="15"/>
  <c r="K122" i="15"/>
  <c r="O122" i="15" s="1"/>
  <c r="J122" i="15"/>
  <c r="N122" i="15" s="1"/>
  <c r="J31" i="15"/>
  <c r="N31" i="15" s="1"/>
  <c r="I31" i="15"/>
  <c r="M31" i="15" s="1"/>
  <c r="K31" i="15"/>
  <c r="O31" i="15" s="1"/>
  <c r="L31" i="15"/>
  <c r="I247" i="15"/>
  <c r="M247" i="15" s="1"/>
  <c r="K247" i="15"/>
  <c r="O247" i="15" s="1"/>
  <c r="J247" i="15"/>
  <c r="N247" i="15" s="1"/>
  <c r="L247" i="15"/>
  <c r="K224" i="15"/>
  <c r="O224" i="15" s="1"/>
  <c r="J224" i="15"/>
  <c r="N224" i="15" s="1"/>
  <c r="L224" i="15"/>
  <c r="I224" i="15"/>
  <c r="M224" i="15" s="1"/>
  <c r="K108" i="15"/>
  <c r="O108" i="15" s="1"/>
  <c r="L108" i="15"/>
  <c r="J108" i="15"/>
  <c r="N108" i="15" s="1"/>
  <c r="I108" i="15"/>
  <c r="M108" i="15" s="1"/>
  <c r="H96" i="15"/>
  <c r="J171" i="15"/>
  <c r="N171" i="15" s="1"/>
  <c r="I171" i="15"/>
  <c r="M171" i="15" s="1"/>
  <c r="L171" i="15"/>
  <c r="K171" i="15"/>
  <c r="O171" i="15" s="1"/>
  <c r="L17" i="15"/>
  <c r="K17" i="15"/>
  <c r="O17" i="15" s="1"/>
  <c r="J17" i="15"/>
  <c r="N17" i="15" s="1"/>
  <c r="I17" i="15"/>
  <c r="M17" i="15" s="1"/>
  <c r="I105" i="15"/>
  <c r="M105" i="15" s="1"/>
  <c r="L105" i="15"/>
  <c r="K105" i="15"/>
  <c r="O105" i="15" s="1"/>
  <c r="J105" i="15"/>
  <c r="N105" i="15" s="1"/>
  <c r="H139" i="15"/>
  <c r="J217" i="15"/>
  <c r="N217" i="15" s="1"/>
  <c r="K198" i="15"/>
  <c r="O198" i="15" s="1"/>
  <c r="L198" i="15"/>
  <c r="J198" i="15"/>
  <c r="N198" i="15" s="1"/>
  <c r="I198" i="15"/>
  <c r="M198" i="15" s="1"/>
  <c r="L242" i="15"/>
  <c r="I242" i="15"/>
  <c r="M242" i="15" s="1"/>
  <c r="K242" i="15"/>
  <c r="O242" i="15" s="1"/>
  <c r="J242" i="15"/>
  <c r="N242" i="15" s="1"/>
  <c r="J34" i="15"/>
  <c r="N34" i="15" s="1"/>
  <c r="I34" i="15"/>
  <c r="M34" i="15" s="1"/>
  <c r="L34" i="15"/>
  <c r="K34" i="15"/>
  <c r="O34" i="15" s="1"/>
  <c r="I169" i="15"/>
  <c r="M169" i="15" s="1"/>
  <c r="K169" i="15"/>
  <c r="O169" i="15" s="1"/>
  <c r="J169" i="15"/>
  <c r="N169" i="15" s="1"/>
  <c r="L169" i="15"/>
  <c r="K222" i="15"/>
  <c r="O222" i="15" s="1"/>
  <c r="J222" i="15"/>
  <c r="N222" i="15" s="1"/>
  <c r="I222" i="15"/>
  <c r="M222" i="15" s="1"/>
  <c r="L222" i="15"/>
  <c r="L116" i="15"/>
  <c r="J116" i="15"/>
  <c r="N116" i="15" s="1"/>
  <c r="I116" i="15"/>
  <c r="M116" i="15" s="1"/>
  <c r="K116" i="15"/>
  <c r="O116" i="15" s="1"/>
  <c r="K209" i="15"/>
  <c r="O209" i="15" s="1"/>
  <c r="J209" i="15"/>
  <c r="N209" i="15" s="1"/>
  <c r="I209" i="15"/>
  <c r="M209" i="15" s="1"/>
  <c r="L209" i="15"/>
  <c r="K102" i="15"/>
  <c r="O102" i="15" s="1"/>
  <c r="L102" i="15"/>
  <c r="J102" i="15"/>
  <c r="N102" i="15" s="1"/>
  <c r="I102" i="15"/>
  <c r="M102" i="15" s="1"/>
  <c r="L238" i="15"/>
  <c r="I238" i="15"/>
  <c r="M238" i="15" s="1"/>
  <c r="K238" i="15"/>
  <c r="O238" i="15" s="1"/>
  <c r="J238" i="15"/>
  <c r="N238" i="15" s="1"/>
  <c r="I206" i="15"/>
  <c r="M206" i="15" s="1"/>
  <c r="J206" i="15"/>
  <c r="N206" i="15" s="1"/>
  <c r="L206" i="15"/>
  <c r="K206" i="15"/>
  <c r="O206" i="15" s="1"/>
  <c r="L81" i="15"/>
  <c r="I81" i="15"/>
  <c r="M81" i="15" s="1"/>
  <c r="K81" i="15"/>
  <c r="O81" i="15" s="1"/>
  <c r="J81" i="15"/>
  <c r="N81" i="15" s="1"/>
  <c r="K156" i="15"/>
  <c r="O156" i="15" s="1"/>
  <c r="L156" i="15"/>
  <c r="J156" i="15"/>
  <c r="N156" i="15" s="1"/>
  <c r="I156" i="15"/>
  <c r="M156" i="15" s="1"/>
  <c r="J48" i="15"/>
  <c r="N48" i="15" s="1"/>
  <c r="K48" i="15"/>
  <c r="O48" i="15" s="1"/>
  <c r="I48" i="15"/>
  <c r="M48" i="15" s="1"/>
  <c r="L48" i="15"/>
  <c r="L123" i="15"/>
  <c r="J123" i="15"/>
  <c r="N123" i="15" s="1"/>
  <c r="I123" i="15"/>
  <c r="M123" i="15" s="1"/>
  <c r="K123" i="15"/>
  <c r="O123" i="15" s="1"/>
  <c r="I181" i="15"/>
  <c r="M181" i="15" s="1"/>
  <c r="L181" i="15"/>
  <c r="K181" i="15"/>
  <c r="O181" i="15" s="1"/>
  <c r="J181" i="15"/>
  <c r="N181" i="15" s="1"/>
  <c r="K204" i="15"/>
  <c r="O204" i="15" s="1"/>
  <c r="J204" i="15"/>
  <c r="N204" i="15" s="1"/>
  <c r="I204" i="15"/>
  <c r="M204" i="15" s="1"/>
  <c r="L204" i="15"/>
  <c r="K162" i="15"/>
  <c r="O162" i="15" s="1"/>
  <c r="I162" i="15"/>
  <c r="M162" i="15" s="1"/>
  <c r="L162" i="15"/>
  <c r="J162" i="15"/>
  <c r="N162" i="15" s="1"/>
  <c r="K138" i="15"/>
  <c r="O138" i="15" s="1"/>
  <c r="I138" i="15"/>
  <c r="M138" i="15" s="1"/>
  <c r="L138" i="15"/>
  <c r="J138" i="15"/>
  <c r="N138" i="15" s="1"/>
  <c r="L113" i="15"/>
  <c r="K113" i="15"/>
  <c r="O113" i="15" s="1"/>
  <c r="J113" i="15"/>
  <c r="N113" i="15" s="1"/>
  <c r="I113" i="15"/>
  <c r="M113" i="15" s="1"/>
  <c r="L86" i="15"/>
  <c r="I86" i="15"/>
  <c r="M86" i="15" s="1"/>
  <c r="J86" i="15"/>
  <c r="N86" i="15" s="1"/>
  <c r="K86" i="15"/>
  <c r="O86" i="15" s="1"/>
  <c r="I127" i="15"/>
  <c r="M127" i="15" s="1"/>
  <c r="K127" i="15"/>
  <c r="O127" i="15" s="1"/>
  <c r="J127" i="15"/>
  <c r="N127" i="15" s="1"/>
  <c r="L127" i="15"/>
  <c r="L130" i="15"/>
  <c r="K130" i="15"/>
  <c r="O130" i="15" s="1"/>
  <c r="J130" i="15"/>
  <c r="N130" i="15" s="1"/>
  <c r="I130" i="15"/>
  <c r="M130" i="15" s="1"/>
  <c r="L158" i="15"/>
  <c r="K158" i="15"/>
  <c r="O158" i="15" s="1"/>
  <c r="I158" i="15"/>
  <c r="M158" i="15" s="1"/>
  <c r="J158" i="15"/>
  <c r="N158" i="15" s="1"/>
  <c r="J46" i="15"/>
  <c r="N46" i="15" s="1"/>
  <c r="I46" i="15"/>
  <c r="M46" i="15" s="1"/>
  <c r="L46" i="15"/>
  <c r="K46" i="15"/>
  <c r="O46" i="15" s="1"/>
  <c r="I141" i="15"/>
  <c r="M141" i="15" s="1"/>
  <c r="L141" i="15"/>
  <c r="K141" i="15"/>
  <c r="O141" i="15" s="1"/>
  <c r="J141" i="15"/>
  <c r="N141" i="15" s="1"/>
  <c r="K114" i="15"/>
  <c r="O114" i="15" s="1"/>
  <c r="L114" i="15"/>
  <c r="J114" i="15"/>
  <c r="N114" i="15" s="1"/>
  <c r="I114" i="15"/>
  <c r="M114" i="15" s="1"/>
  <c r="L12" i="15"/>
  <c r="I12" i="15"/>
  <c r="M12" i="15" s="1"/>
  <c r="K12" i="15"/>
  <c r="O12" i="15" s="1"/>
  <c r="J12" i="15"/>
  <c r="N12" i="15" s="1"/>
  <c r="L155" i="15"/>
  <c r="K155" i="15"/>
  <c r="O155" i="15" s="1"/>
  <c r="I155" i="15"/>
  <c r="M155" i="15" s="1"/>
  <c r="J155" i="15"/>
  <c r="N155" i="15" s="1"/>
  <c r="L152" i="15"/>
  <c r="K152" i="15"/>
  <c r="O152" i="15" s="1"/>
  <c r="I152" i="15"/>
  <c r="M152" i="15" s="1"/>
  <c r="J152" i="15"/>
  <c r="N152" i="15" s="1"/>
  <c r="I136" i="15"/>
  <c r="M136" i="15" s="1"/>
  <c r="J136" i="15"/>
  <c r="N136" i="15" s="1"/>
  <c r="L136" i="15"/>
  <c r="K136" i="15"/>
  <c r="O136" i="15" s="1"/>
  <c r="I199" i="15"/>
  <c r="M199" i="15" s="1"/>
  <c r="L199" i="15"/>
  <c r="K199" i="15"/>
  <c r="O199" i="15" s="1"/>
  <c r="J199" i="15"/>
  <c r="N199" i="15" s="1"/>
  <c r="J244" i="15" l="1"/>
  <c r="N244" i="15" s="1"/>
  <c r="J215" i="15"/>
  <c r="N215" i="15" s="1"/>
  <c r="I215" i="15"/>
  <c r="M215" i="15" s="1"/>
  <c r="L215" i="15"/>
  <c r="K217" i="15"/>
  <c r="O217" i="15" s="1"/>
  <c r="L217" i="15"/>
  <c r="I135" i="15"/>
  <c r="M135" i="15" s="1"/>
  <c r="J212" i="15"/>
  <c r="N212" i="15" s="1"/>
  <c r="K212" i="15"/>
  <c r="O212" i="15" s="1"/>
  <c r="J111" i="15"/>
  <c r="N111" i="15" s="1"/>
  <c r="L212" i="15"/>
  <c r="I111" i="15"/>
  <c r="M111" i="15" s="1"/>
  <c r="K111" i="15"/>
  <c r="O111" i="15" s="1"/>
  <c r="I112" i="15"/>
  <c r="M112" i="15" s="1"/>
  <c r="J112" i="15"/>
  <c r="N112" i="15" s="1"/>
  <c r="K112" i="15"/>
  <c r="O112" i="15" s="1"/>
  <c r="K218" i="15"/>
  <c r="O218" i="15" s="1"/>
  <c r="J135" i="15"/>
  <c r="N135" i="15" s="1"/>
  <c r="K135" i="15"/>
  <c r="O135" i="15" s="1"/>
  <c r="K195" i="15"/>
  <c r="O195" i="15" s="1"/>
  <c r="K77" i="15"/>
  <c r="O77" i="15" s="1"/>
  <c r="J77" i="15"/>
  <c r="N77" i="15" s="1"/>
  <c r="L191" i="15"/>
  <c r="C177" i="8" s="1"/>
  <c r="E105" i="20" s="1"/>
  <c r="K105" i="20" s="1"/>
  <c r="J23" i="15"/>
  <c r="N23" i="15" s="1"/>
  <c r="K23" i="15"/>
  <c r="O23" i="15" s="1"/>
  <c r="I23" i="15"/>
  <c r="M23" i="15" s="1"/>
  <c r="L218" i="15"/>
  <c r="J218" i="15"/>
  <c r="N218" i="15" s="1"/>
  <c r="J110" i="15"/>
  <c r="N110" i="15" s="1"/>
  <c r="I110" i="15"/>
  <c r="M110" i="15" s="1"/>
  <c r="L110" i="15"/>
  <c r="C157" i="8" s="1"/>
  <c r="E65" i="20" s="1"/>
  <c r="K65" i="20" s="1"/>
  <c r="I195" i="15"/>
  <c r="M195" i="15" s="1"/>
  <c r="K18" i="15"/>
  <c r="O18" i="15" s="1"/>
  <c r="L134" i="8" s="1"/>
  <c r="I87" i="15"/>
  <c r="M87" i="15" s="1"/>
  <c r="K133" i="15"/>
  <c r="O133" i="15" s="1"/>
  <c r="J18" i="15"/>
  <c r="N18" i="15" s="1"/>
  <c r="H134" i="8" s="1"/>
  <c r="L87" i="15"/>
  <c r="K55" i="15"/>
  <c r="O55" i="15" s="1"/>
  <c r="I55" i="15"/>
  <c r="M55" i="15" s="1"/>
  <c r="J191" i="15"/>
  <c r="N191" i="15" s="1"/>
  <c r="K191" i="15"/>
  <c r="O191" i="15" s="1"/>
  <c r="J55" i="15"/>
  <c r="N55" i="15" s="1"/>
  <c r="L18" i="15"/>
  <c r="C134" i="8" s="1"/>
  <c r="J87" i="15"/>
  <c r="N87" i="15" s="1"/>
  <c r="L68" i="15"/>
  <c r="I52" i="15"/>
  <c r="M52" i="15" s="1"/>
  <c r="J52" i="15"/>
  <c r="N52" i="15" s="1"/>
  <c r="K52" i="15"/>
  <c r="O52" i="15" s="1"/>
  <c r="L50" i="15"/>
  <c r="J50" i="15"/>
  <c r="N50" i="15" s="1"/>
  <c r="L148" i="15"/>
  <c r="K140" i="15"/>
  <c r="O140" i="15" s="1"/>
  <c r="K148" i="15"/>
  <c r="O148" i="15" s="1"/>
  <c r="J148" i="15"/>
  <c r="N148" i="15" s="1"/>
  <c r="J210" i="15"/>
  <c r="N210" i="15" s="1"/>
  <c r="I40" i="15"/>
  <c r="M40" i="15" s="1"/>
  <c r="K244" i="15"/>
  <c r="O244" i="15" s="1"/>
  <c r="I244" i="15"/>
  <c r="M244" i="15" s="1"/>
  <c r="L174" i="15"/>
  <c r="I50" i="15"/>
  <c r="M50" i="15" s="1"/>
  <c r="K210" i="15"/>
  <c r="O210" i="15" s="1"/>
  <c r="L182" i="8" s="1"/>
  <c r="L216" i="15"/>
  <c r="L248" i="15"/>
  <c r="C191" i="8" s="1"/>
  <c r="E133" i="20" s="1"/>
  <c r="K133" i="20" s="1"/>
  <c r="I248" i="15"/>
  <c r="M248" i="15" s="1"/>
  <c r="K248" i="15"/>
  <c r="O248" i="15" s="1"/>
  <c r="L207" i="15"/>
  <c r="C181" i="8" s="1"/>
  <c r="E113" i="20" s="1"/>
  <c r="K113" i="20" s="1"/>
  <c r="L133" i="15"/>
  <c r="C163" i="8" s="1"/>
  <c r="E77" i="20" s="1"/>
  <c r="K77" i="20" s="1"/>
  <c r="K174" i="15"/>
  <c r="O174" i="15" s="1"/>
  <c r="J176" i="15"/>
  <c r="N176" i="15" s="1"/>
  <c r="H173" i="8" s="1"/>
  <c r="L176" i="15"/>
  <c r="K166" i="15"/>
  <c r="O166" i="15" s="1"/>
  <c r="K89" i="15"/>
  <c r="O89" i="15" s="1"/>
  <c r="I134" i="15"/>
  <c r="M134" i="15" s="1"/>
  <c r="L89" i="15"/>
  <c r="I89" i="15"/>
  <c r="M89" i="15" s="1"/>
  <c r="I176" i="15"/>
  <c r="M176" i="15" s="1"/>
  <c r="K27" i="15"/>
  <c r="O27" i="15" s="1"/>
  <c r="J40" i="15"/>
  <c r="N40" i="15" s="1"/>
  <c r="K40" i="15"/>
  <c r="O40" i="15" s="1"/>
  <c r="I174" i="15"/>
  <c r="M174" i="15" s="1"/>
  <c r="J49" i="15"/>
  <c r="N49" i="15" s="1"/>
  <c r="K221" i="15"/>
  <c r="O221" i="15" s="1"/>
  <c r="L185" i="8" s="1"/>
  <c r="K216" i="15"/>
  <c r="O216" i="15" s="1"/>
  <c r="I216" i="15"/>
  <c r="M216" i="15" s="1"/>
  <c r="L251" i="15"/>
  <c r="K82" i="15"/>
  <c r="O82" i="15" s="1"/>
  <c r="K202" i="15"/>
  <c r="O202" i="15" s="1"/>
  <c r="K79" i="15"/>
  <c r="O79" i="15" s="1"/>
  <c r="K241" i="15"/>
  <c r="O241" i="15" s="1"/>
  <c r="K25" i="15"/>
  <c r="O25" i="15" s="1"/>
  <c r="I202" i="15"/>
  <c r="M202" i="15" s="1"/>
  <c r="J202" i="15"/>
  <c r="N202" i="15" s="1"/>
  <c r="J79" i="15"/>
  <c r="N79" i="15" s="1"/>
  <c r="J207" i="15"/>
  <c r="N207" i="15" s="1"/>
  <c r="H181" i="8" s="1"/>
  <c r="J241" i="15"/>
  <c r="N241" i="15" s="1"/>
  <c r="H190" i="8" s="1"/>
  <c r="I35" i="15"/>
  <c r="M35" i="15" s="1"/>
  <c r="I79" i="15"/>
  <c r="M79" i="15" s="1"/>
  <c r="K207" i="15"/>
  <c r="O207" i="15" s="1"/>
  <c r="L181" i="8" s="1"/>
  <c r="L84" i="15"/>
  <c r="C150" i="8" s="1"/>
  <c r="K200" i="15"/>
  <c r="O200" i="15" s="1"/>
  <c r="J84" i="15"/>
  <c r="N84" i="15" s="1"/>
  <c r="I241" i="15"/>
  <c r="M241" i="15" s="1"/>
  <c r="K57" i="15"/>
  <c r="O57" i="15" s="1"/>
  <c r="J234" i="15"/>
  <c r="N234" i="15" s="1"/>
  <c r="K84" i="15"/>
  <c r="O84" i="15" s="1"/>
  <c r="I200" i="15"/>
  <c r="M200" i="15" s="1"/>
  <c r="G179" i="8" s="1"/>
  <c r="D109" i="20" s="1"/>
  <c r="J109" i="20" s="1"/>
  <c r="Q109" i="20" s="1"/>
  <c r="L234" i="15"/>
  <c r="J200" i="15"/>
  <c r="N200" i="15" s="1"/>
  <c r="I234" i="15"/>
  <c r="M234" i="15" s="1"/>
  <c r="I101" i="15"/>
  <c r="M101" i="15" s="1"/>
  <c r="J101" i="15"/>
  <c r="N101" i="15" s="1"/>
  <c r="K231" i="15"/>
  <c r="O231" i="15" s="1"/>
  <c r="L187" i="8" s="1"/>
  <c r="K101" i="15"/>
  <c r="O101" i="15" s="1"/>
  <c r="K13" i="15"/>
  <c r="O13" i="15" s="1"/>
  <c r="L93" i="15"/>
  <c r="L221" i="15"/>
  <c r="C185" i="8" s="1"/>
  <c r="E121" i="20" s="1"/>
  <c r="K121" i="20" s="1"/>
  <c r="K49" i="15"/>
  <c r="O49" i="15" s="1"/>
  <c r="I221" i="15"/>
  <c r="M221" i="15" s="1"/>
  <c r="G185" i="8" s="1"/>
  <c r="D121" i="20" s="1"/>
  <c r="J121" i="20" s="1"/>
  <c r="Q121" i="20" s="1"/>
  <c r="L49" i="15"/>
  <c r="I6" i="15"/>
  <c r="M6" i="15" s="1"/>
  <c r="I99" i="15"/>
  <c r="M99" i="15" s="1"/>
  <c r="L99" i="15"/>
  <c r="J99" i="15"/>
  <c r="N99" i="15" s="1"/>
  <c r="I75" i="15"/>
  <c r="M75" i="15" s="1"/>
  <c r="I180" i="15"/>
  <c r="M180" i="15" s="1"/>
  <c r="J180" i="15"/>
  <c r="N180" i="15" s="1"/>
  <c r="L75" i="15"/>
  <c r="J73" i="15"/>
  <c r="N73" i="15" s="1"/>
  <c r="L180" i="15"/>
  <c r="K75" i="15"/>
  <c r="O75" i="15" s="1"/>
  <c r="K73" i="15"/>
  <c r="O73" i="15" s="1"/>
  <c r="J124" i="15"/>
  <c r="N124" i="15" s="1"/>
  <c r="L73" i="15"/>
  <c r="K239" i="15"/>
  <c r="O239" i="15" s="1"/>
  <c r="J187" i="15"/>
  <c r="N187" i="15" s="1"/>
  <c r="K43" i="15"/>
  <c r="O43" i="15" s="1"/>
  <c r="I91" i="15"/>
  <c r="M91" i="15" s="1"/>
  <c r="J82" i="15"/>
  <c r="N82" i="15" s="1"/>
  <c r="I82" i="15"/>
  <c r="M82" i="15" s="1"/>
  <c r="J235" i="15"/>
  <c r="N235" i="15" s="1"/>
  <c r="K235" i="15"/>
  <c r="O235" i="15" s="1"/>
  <c r="L235" i="15"/>
  <c r="I104" i="15"/>
  <c r="M104" i="15" s="1"/>
  <c r="K104" i="15"/>
  <c r="O104" i="15" s="1"/>
  <c r="L104" i="15"/>
  <c r="K6" i="15"/>
  <c r="O6" i="15" s="1"/>
  <c r="J6" i="15"/>
  <c r="N6" i="15" s="1"/>
  <c r="I16" i="15"/>
  <c r="M16" i="15" s="1"/>
  <c r="K93" i="15"/>
  <c r="O93" i="15" s="1"/>
  <c r="J16" i="15"/>
  <c r="N16" i="15" s="1"/>
  <c r="K16" i="15"/>
  <c r="O16" i="15" s="1"/>
  <c r="L14" i="15"/>
  <c r="I11" i="15"/>
  <c r="M11" i="15" s="1"/>
  <c r="L146" i="15"/>
  <c r="J14" i="15"/>
  <c r="N14" i="15" s="1"/>
  <c r="J93" i="15"/>
  <c r="N93" i="15" s="1"/>
  <c r="L211" i="15"/>
  <c r="L11" i="15"/>
  <c r="C132" i="8" s="1"/>
  <c r="E15" i="20" s="1"/>
  <c r="K15" i="20" s="1"/>
  <c r="I146" i="15"/>
  <c r="M146" i="15" s="1"/>
  <c r="K14" i="15"/>
  <c r="O14" i="15" s="1"/>
  <c r="I211" i="15"/>
  <c r="M211" i="15" s="1"/>
  <c r="J11" i="15"/>
  <c r="N11" i="15" s="1"/>
  <c r="J146" i="15"/>
  <c r="N146" i="15" s="1"/>
  <c r="I88" i="15"/>
  <c r="M88" i="15" s="1"/>
  <c r="I24" i="15"/>
  <c r="M24" i="15" s="1"/>
  <c r="G135" i="8" s="1"/>
  <c r="D21" i="20" s="1"/>
  <c r="J21" i="20" s="1"/>
  <c r="Q21" i="20" s="1"/>
  <c r="K24" i="15"/>
  <c r="O24" i="15" s="1"/>
  <c r="J24" i="15"/>
  <c r="N24" i="15" s="1"/>
  <c r="L88" i="15"/>
  <c r="J88" i="15"/>
  <c r="N88" i="15" s="1"/>
  <c r="K214" i="15"/>
  <c r="O214" i="15" s="1"/>
  <c r="I76" i="15"/>
  <c r="M76" i="15" s="1"/>
  <c r="L39" i="15"/>
  <c r="L214" i="15"/>
  <c r="C183" i="8" s="1"/>
  <c r="E117" i="20" s="1"/>
  <c r="K117" i="20" s="1"/>
  <c r="I39" i="15"/>
  <c r="M39" i="15" s="1"/>
  <c r="I214" i="15"/>
  <c r="M214" i="15" s="1"/>
  <c r="J39" i="15"/>
  <c r="N39" i="15" s="1"/>
  <c r="L187" i="15"/>
  <c r="J43" i="15"/>
  <c r="N43" i="15" s="1"/>
  <c r="L239" i="15"/>
  <c r="J143" i="15"/>
  <c r="N143" i="15" s="1"/>
  <c r="L140" i="15"/>
  <c r="K187" i="15"/>
  <c r="O187" i="15" s="1"/>
  <c r="I239" i="15"/>
  <c r="M239" i="15" s="1"/>
  <c r="L147" i="15"/>
  <c r="K143" i="15"/>
  <c r="O143" i="15" s="1"/>
  <c r="I140" i="15"/>
  <c r="M140" i="15" s="1"/>
  <c r="I201" i="15"/>
  <c r="M201" i="15" s="1"/>
  <c r="I147" i="15"/>
  <c r="M147" i="15" s="1"/>
  <c r="I143" i="15"/>
  <c r="M143" i="15" s="1"/>
  <c r="G165" i="8" s="1"/>
  <c r="L168" i="15"/>
  <c r="L201" i="15"/>
  <c r="K147" i="15"/>
  <c r="O147" i="15" s="1"/>
  <c r="I100" i="15"/>
  <c r="M100" i="15" s="1"/>
  <c r="K172" i="15"/>
  <c r="O172" i="15" s="1"/>
  <c r="L172" i="8" s="1"/>
  <c r="I43" i="15"/>
  <c r="M43" i="15" s="1"/>
  <c r="J201" i="15"/>
  <c r="N201" i="15" s="1"/>
  <c r="I232" i="15"/>
  <c r="M232" i="15" s="1"/>
  <c r="L100" i="15"/>
  <c r="L172" i="15"/>
  <c r="C172" i="8" s="1"/>
  <c r="I168" i="15"/>
  <c r="M168" i="15" s="1"/>
  <c r="J168" i="15"/>
  <c r="N168" i="15" s="1"/>
  <c r="K119" i="15"/>
  <c r="O119" i="15" s="1"/>
  <c r="J232" i="15"/>
  <c r="N232" i="15" s="1"/>
  <c r="I118" i="15"/>
  <c r="M118" i="15" s="1"/>
  <c r="J100" i="15"/>
  <c r="N100" i="15" s="1"/>
  <c r="I172" i="15"/>
  <c r="M172" i="15" s="1"/>
  <c r="G172" i="8" s="1"/>
  <c r="L119" i="15"/>
  <c r="L232" i="15"/>
  <c r="K118" i="15"/>
  <c r="O118" i="15" s="1"/>
  <c r="L91" i="15"/>
  <c r="J119" i="15"/>
  <c r="N119" i="15" s="1"/>
  <c r="H159" i="8" s="1"/>
  <c r="L118" i="15"/>
  <c r="J41" i="15"/>
  <c r="N41" i="15" s="1"/>
  <c r="K41" i="15"/>
  <c r="O41" i="15" s="1"/>
  <c r="J91" i="15"/>
  <c r="N91" i="15" s="1"/>
  <c r="I210" i="15"/>
  <c r="M210" i="15" s="1"/>
  <c r="I41" i="15"/>
  <c r="M41" i="15" s="1"/>
  <c r="L185" i="15"/>
  <c r="K185" i="15"/>
  <c r="O185" i="15" s="1"/>
  <c r="L240" i="15"/>
  <c r="K109" i="15"/>
  <c r="O109" i="15" s="1"/>
  <c r="K60" i="15"/>
  <c r="O60" i="15" s="1"/>
  <c r="L60" i="15"/>
  <c r="I64" i="15"/>
  <c r="M64" i="15" s="1"/>
  <c r="L165" i="15"/>
  <c r="J64" i="15"/>
  <c r="N64" i="15" s="1"/>
  <c r="I124" i="15"/>
  <c r="M124" i="15" s="1"/>
  <c r="G160" i="8" s="1"/>
  <c r="D71" i="20" s="1"/>
  <c r="J71" i="20" s="1"/>
  <c r="Q71" i="20" s="1"/>
  <c r="J53" i="15"/>
  <c r="N53" i="15" s="1"/>
  <c r="I25" i="15"/>
  <c r="M25" i="15" s="1"/>
  <c r="G136" i="8" s="1"/>
  <c r="K226" i="15"/>
  <c r="O226" i="15" s="1"/>
  <c r="L27" i="15"/>
  <c r="C136" i="8" s="1"/>
  <c r="E23" i="20" s="1"/>
  <c r="K23" i="20" s="1"/>
  <c r="J80" i="15"/>
  <c r="N80" i="15" s="1"/>
  <c r="J65" i="15"/>
  <c r="N65" i="15" s="1"/>
  <c r="J109" i="15"/>
  <c r="N109" i="15" s="1"/>
  <c r="J27" i="15"/>
  <c r="N27" i="15" s="1"/>
  <c r="K80" i="15"/>
  <c r="O80" i="15" s="1"/>
  <c r="K137" i="15"/>
  <c r="O137" i="15" s="1"/>
  <c r="K134" i="15"/>
  <c r="O134" i="15" s="1"/>
  <c r="D86" i="11"/>
  <c r="E86" i="11" s="1"/>
  <c r="I137" i="15"/>
  <c r="M137" i="15" s="1"/>
  <c r="J134" i="15"/>
  <c r="N134" i="15" s="1"/>
  <c r="I57" i="15"/>
  <c r="M57" i="15" s="1"/>
  <c r="I10" i="15"/>
  <c r="M10" i="15" s="1"/>
  <c r="J240" i="15"/>
  <c r="N240" i="15" s="1"/>
  <c r="J57" i="15"/>
  <c r="N57" i="15" s="1"/>
  <c r="I251" i="15"/>
  <c r="M251" i="15" s="1"/>
  <c r="J203" i="15"/>
  <c r="N203" i="15" s="1"/>
  <c r="J10" i="15"/>
  <c r="N10" i="15" s="1"/>
  <c r="K10" i="15"/>
  <c r="O10" i="15" s="1"/>
  <c r="J251" i="15"/>
  <c r="N251" i="15" s="1"/>
  <c r="L166" i="15"/>
  <c r="J35" i="15"/>
  <c r="N35" i="15" s="1"/>
  <c r="I13" i="15"/>
  <c r="M13" i="15" s="1"/>
  <c r="I166" i="15"/>
  <c r="M166" i="15" s="1"/>
  <c r="J25" i="15"/>
  <c r="N25" i="15" s="1"/>
  <c r="K35" i="15"/>
  <c r="O35" i="15" s="1"/>
  <c r="L13" i="15"/>
  <c r="J226" i="15"/>
  <c r="N226" i="15" s="1"/>
  <c r="L149" i="15"/>
  <c r="I240" i="15"/>
  <c r="M240" i="15" s="1"/>
  <c r="I133" i="15"/>
  <c r="M133" i="15" s="1"/>
  <c r="I165" i="15"/>
  <c r="M165" i="15" s="1"/>
  <c r="J67" i="15"/>
  <c r="N67" i="15" s="1"/>
  <c r="I109" i="15"/>
  <c r="M109" i="15" s="1"/>
  <c r="I185" i="15"/>
  <c r="M185" i="15" s="1"/>
  <c r="I92" i="15"/>
  <c r="M92" i="15" s="1"/>
  <c r="K149" i="15"/>
  <c r="O149" i="15" s="1"/>
  <c r="L203" i="15"/>
  <c r="K124" i="15"/>
  <c r="O124" i="15" s="1"/>
  <c r="I149" i="15"/>
  <c r="M149" i="15" s="1"/>
  <c r="G167" i="8" s="1"/>
  <c r="D85" i="20" s="1"/>
  <c r="J85" i="20" s="1"/>
  <c r="Q85" i="20" s="1"/>
  <c r="L175" i="15"/>
  <c r="I60" i="15"/>
  <c r="M60" i="15" s="1"/>
  <c r="I188" i="15"/>
  <c r="M188" i="15" s="1"/>
  <c r="L92" i="15"/>
  <c r="K203" i="15"/>
  <c r="O203" i="15" s="1"/>
  <c r="K67" i="15"/>
  <c r="O67" i="15" s="1"/>
  <c r="J188" i="15"/>
  <c r="N188" i="15" s="1"/>
  <c r="J92" i="15"/>
  <c r="N92" i="15" s="1"/>
  <c r="L249" i="15"/>
  <c r="K220" i="15"/>
  <c r="O220" i="15" s="1"/>
  <c r="L167" i="15"/>
  <c r="K142" i="15"/>
  <c r="O142" i="15" s="1"/>
  <c r="K188" i="15"/>
  <c r="O188" i="15" s="1"/>
  <c r="K85" i="15"/>
  <c r="O85" i="15" s="1"/>
  <c r="L151" i="8" s="1"/>
  <c r="I120" i="15"/>
  <c r="M120" i="15" s="1"/>
  <c r="J249" i="15"/>
  <c r="N249" i="15" s="1"/>
  <c r="L121" i="15"/>
  <c r="C160" i="8" s="1"/>
  <c r="E71" i="20" s="1"/>
  <c r="K71" i="20" s="1"/>
  <c r="L220" i="15"/>
  <c r="K167" i="15"/>
  <c r="O167" i="15" s="1"/>
  <c r="L142" i="15"/>
  <c r="C165" i="8" s="1"/>
  <c r="L67" i="15"/>
  <c r="I175" i="15"/>
  <c r="M175" i="15" s="1"/>
  <c r="J85" i="15"/>
  <c r="N85" i="15" s="1"/>
  <c r="L120" i="15"/>
  <c r="K249" i="15"/>
  <c r="O249" i="15" s="1"/>
  <c r="L192" i="8" s="1"/>
  <c r="J220" i="15"/>
  <c r="N220" i="15" s="1"/>
  <c r="I167" i="15"/>
  <c r="M167" i="15" s="1"/>
  <c r="K37" i="15"/>
  <c r="O37" i="15" s="1"/>
  <c r="K9" i="15"/>
  <c r="O9" i="15" s="1"/>
  <c r="J131" i="15"/>
  <c r="N131" i="15" s="1"/>
  <c r="L72" i="15"/>
  <c r="J68" i="15"/>
  <c r="N68" i="15" s="1"/>
  <c r="L85" i="15"/>
  <c r="J36" i="15"/>
  <c r="N36" i="15" s="1"/>
  <c r="L37" i="15"/>
  <c r="L59" i="15"/>
  <c r="K68" i="15"/>
  <c r="O68" i="15" s="1"/>
  <c r="J37" i="15"/>
  <c r="N37" i="15" s="1"/>
  <c r="K131" i="15"/>
  <c r="O131" i="15" s="1"/>
  <c r="K184" i="15"/>
  <c r="O184" i="15" s="1"/>
  <c r="L184" i="15"/>
  <c r="C175" i="8" s="1"/>
  <c r="E101" i="20" s="1"/>
  <c r="K101" i="20" s="1"/>
  <c r="J184" i="15"/>
  <c r="N184" i="15" s="1"/>
  <c r="K233" i="15"/>
  <c r="O233" i="15" s="1"/>
  <c r="K44" i="15"/>
  <c r="O44" i="15" s="1"/>
  <c r="J76" i="15"/>
  <c r="N76" i="15" s="1"/>
  <c r="K76" i="15"/>
  <c r="O76" i="15" s="1"/>
  <c r="I233" i="15"/>
  <c r="M233" i="15" s="1"/>
  <c r="I65" i="15"/>
  <c r="M65" i="15" s="1"/>
  <c r="L44" i="15"/>
  <c r="L233" i="15"/>
  <c r="K65" i="15"/>
  <c r="O65" i="15" s="1"/>
  <c r="K183" i="15"/>
  <c r="O183" i="15" s="1"/>
  <c r="L63" i="15"/>
  <c r="C145" i="8" s="1"/>
  <c r="E41" i="20" s="1"/>
  <c r="K41" i="20" s="1"/>
  <c r="I63" i="15"/>
  <c r="M63" i="15" s="1"/>
  <c r="L227" i="15"/>
  <c r="I183" i="15"/>
  <c r="M183" i="15" s="1"/>
  <c r="G175" i="8" s="1"/>
  <c r="D101" i="20" s="1"/>
  <c r="J101" i="20" s="1"/>
  <c r="Q101" i="20" s="1"/>
  <c r="J183" i="15"/>
  <c r="N183" i="15" s="1"/>
  <c r="J63" i="15"/>
  <c r="N63" i="15" s="1"/>
  <c r="J227" i="15"/>
  <c r="N227" i="15" s="1"/>
  <c r="L230" i="15"/>
  <c r="J230" i="15"/>
  <c r="N230" i="15" s="1"/>
  <c r="J44" i="15"/>
  <c r="N44" i="15" s="1"/>
  <c r="K197" i="15"/>
  <c r="O197" i="15" s="1"/>
  <c r="K186" i="15"/>
  <c r="O186" i="15" s="1"/>
  <c r="K70" i="15"/>
  <c r="O70" i="15" s="1"/>
  <c r="J165" i="15"/>
  <c r="N165" i="15" s="1"/>
  <c r="K47" i="15"/>
  <c r="O47" i="15" s="1"/>
  <c r="J56" i="15"/>
  <c r="N56" i="15" s="1"/>
  <c r="J69" i="15"/>
  <c r="N69" i="15" s="1"/>
  <c r="I70" i="15"/>
  <c r="M70" i="15" s="1"/>
  <c r="K64" i="15"/>
  <c r="O64" i="15" s="1"/>
  <c r="L145" i="8" s="1"/>
  <c r="J197" i="15"/>
  <c r="N197" i="15" s="1"/>
  <c r="J142" i="15"/>
  <c r="N142" i="15" s="1"/>
  <c r="I47" i="15"/>
  <c r="M47" i="15" s="1"/>
  <c r="K56" i="15"/>
  <c r="O56" i="15" s="1"/>
  <c r="I69" i="15"/>
  <c r="M69" i="15" s="1"/>
  <c r="J8" i="15"/>
  <c r="N8" i="15" s="1"/>
  <c r="J70" i="15"/>
  <c r="N70" i="15" s="1"/>
  <c r="L197" i="15"/>
  <c r="C179" i="8" s="1"/>
  <c r="E109" i="20" s="1"/>
  <c r="K109" i="20" s="1"/>
  <c r="I56" i="15"/>
  <c r="M56" i="15" s="1"/>
  <c r="K69" i="15"/>
  <c r="O69" i="15" s="1"/>
  <c r="K8" i="15"/>
  <c r="O8" i="15" s="1"/>
  <c r="L8" i="15"/>
  <c r="L47" i="15"/>
  <c r="C141" i="8" s="1"/>
  <c r="E33" i="20" s="1"/>
  <c r="K33" i="20" s="1"/>
  <c r="I72" i="15"/>
  <c r="M72" i="15" s="1"/>
  <c r="K163" i="15"/>
  <c r="O163" i="15" s="1"/>
  <c r="L170" i="8" s="1"/>
  <c r="I106" i="15"/>
  <c r="M106" i="15" s="1"/>
  <c r="G156" i="8" s="1"/>
  <c r="D63" i="20" s="1"/>
  <c r="J63" i="20" s="1"/>
  <c r="Q63" i="20" s="1"/>
  <c r="J72" i="15"/>
  <c r="N72" i="15" s="1"/>
  <c r="L163" i="15"/>
  <c r="C170" i="8" s="1"/>
  <c r="E91" i="20" s="1"/>
  <c r="K91" i="20" s="1"/>
  <c r="J106" i="15"/>
  <c r="N106" i="15" s="1"/>
  <c r="H156" i="8" s="1"/>
  <c r="I128" i="15"/>
  <c r="M128" i="15" s="1"/>
  <c r="G161" i="8" s="1"/>
  <c r="D73" i="20" s="1"/>
  <c r="J73" i="20" s="1"/>
  <c r="Q73" i="20" s="1"/>
  <c r="J163" i="15"/>
  <c r="N163" i="15" s="1"/>
  <c r="H170" i="8" s="1"/>
  <c r="K106" i="15"/>
  <c r="O106" i="15" s="1"/>
  <c r="L156" i="8" s="1"/>
  <c r="J128" i="15"/>
  <c r="N128" i="15" s="1"/>
  <c r="H161" i="8" s="1"/>
  <c r="K128" i="15"/>
  <c r="O128" i="15" s="1"/>
  <c r="L161" i="8" s="1"/>
  <c r="I186" i="15"/>
  <c r="M186" i="15" s="1"/>
  <c r="J186" i="15"/>
  <c r="N186" i="15" s="1"/>
  <c r="I230" i="15"/>
  <c r="M230" i="15" s="1"/>
  <c r="I192" i="15"/>
  <c r="M192" i="15" s="1"/>
  <c r="G177" i="8" s="1"/>
  <c r="D105" i="20" s="1"/>
  <c r="J105" i="20" s="1"/>
  <c r="Q105" i="20" s="1"/>
  <c r="K227" i="15"/>
  <c r="O227" i="15" s="1"/>
  <c r="I80" i="15"/>
  <c r="M80" i="15" s="1"/>
  <c r="L42" i="15"/>
  <c r="I42" i="15"/>
  <c r="M42" i="15" s="1"/>
  <c r="I15" i="15"/>
  <c r="M15" i="15" s="1"/>
  <c r="K42" i="15"/>
  <c r="O42" i="15" s="1"/>
  <c r="J15" i="15"/>
  <c r="N15" i="15" s="1"/>
  <c r="J153" i="15"/>
  <c r="N153" i="15" s="1"/>
  <c r="H168" i="8" s="1"/>
  <c r="J151" i="15"/>
  <c r="N151" i="15" s="1"/>
  <c r="H167" i="8" s="1"/>
  <c r="K15" i="15"/>
  <c r="O15" i="15" s="1"/>
  <c r="I153" i="15"/>
  <c r="M153" i="15" s="1"/>
  <c r="G168" i="8" s="1"/>
  <c r="D87" i="20" s="1"/>
  <c r="J87" i="20" s="1"/>
  <c r="Q87" i="20" s="1"/>
  <c r="K151" i="15"/>
  <c r="O151" i="15" s="1"/>
  <c r="J211" i="15"/>
  <c r="N211" i="15" s="1"/>
  <c r="L137" i="15"/>
  <c r="L226" i="15"/>
  <c r="K153" i="15"/>
  <c r="O153" i="15" s="1"/>
  <c r="L168" i="8" s="1"/>
  <c r="L151" i="15"/>
  <c r="K245" i="15"/>
  <c r="O245" i="15" s="1"/>
  <c r="K90" i="15"/>
  <c r="O90" i="15" s="1"/>
  <c r="J132" i="15"/>
  <c r="N132" i="15" s="1"/>
  <c r="K132" i="15"/>
  <c r="O132" i="15" s="1"/>
  <c r="K120" i="15"/>
  <c r="O120" i="15" s="1"/>
  <c r="J115" i="15"/>
  <c r="N115" i="15" s="1"/>
  <c r="H158" i="8" s="1"/>
  <c r="I9" i="15"/>
  <c r="M9" i="15" s="1"/>
  <c r="K115" i="15"/>
  <c r="O115" i="15" s="1"/>
  <c r="L158" i="8" s="1"/>
  <c r="J9" i="15"/>
  <c r="N9" i="15" s="1"/>
  <c r="J59" i="15"/>
  <c r="N59" i="15" s="1"/>
  <c r="I36" i="15"/>
  <c r="M36" i="15" s="1"/>
  <c r="K59" i="15"/>
  <c r="O59" i="15" s="1"/>
  <c r="K36" i="15"/>
  <c r="O36" i="15" s="1"/>
  <c r="L115" i="15"/>
  <c r="C158" i="8" s="1"/>
  <c r="E67" i="20" s="1"/>
  <c r="K67" i="20" s="1"/>
  <c r="I53" i="15"/>
  <c r="M53" i="15" s="1"/>
  <c r="J121" i="15"/>
  <c r="N121" i="15" s="1"/>
  <c r="J245" i="15"/>
  <c r="N245" i="15" s="1"/>
  <c r="H191" i="8" s="1"/>
  <c r="K53" i="15"/>
  <c r="O53" i="15" s="1"/>
  <c r="L90" i="15"/>
  <c r="L30" i="15"/>
  <c r="C137" i="8" s="1"/>
  <c r="E25" i="20" s="1"/>
  <c r="K25" i="20" s="1"/>
  <c r="K121" i="15"/>
  <c r="O121" i="15" s="1"/>
  <c r="I245" i="15"/>
  <c r="M245" i="15" s="1"/>
  <c r="J90" i="15"/>
  <c r="N90" i="15" s="1"/>
  <c r="I30" i="15"/>
  <c r="M30" i="15" s="1"/>
  <c r="J103" i="15"/>
  <c r="N103" i="15" s="1"/>
  <c r="H155" i="8" s="1"/>
  <c r="J179" i="15"/>
  <c r="N179" i="15" s="1"/>
  <c r="K30" i="15"/>
  <c r="O30" i="15" s="1"/>
  <c r="L103" i="15"/>
  <c r="I179" i="15"/>
  <c r="M179" i="15" s="1"/>
  <c r="I7" i="15"/>
  <c r="M7" i="15" s="1"/>
  <c r="K103" i="15"/>
  <c r="O103" i="15" s="1"/>
  <c r="K179" i="15"/>
  <c r="O179" i="15" s="1"/>
  <c r="I250" i="15"/>
  <c r="M250" i="15" s="1"/>
  <c r="L231" i="15"/>
  <c r="L250" i="15"/>
  <c r="J32" i="15"/>
  <c r="N32" i="15" s="1"/>
  <c r="H137" i="8" s="1"/>
  <c r="K71" i="15"/>
  <c r="O71" i="15" s="1"/>
  <c r="J250" i="15"/>
  <c r="N250" i="15" s="1"/>
  <c r="K32" i="15"/>
  <c r="O32" i="15" s="1"/>
  <c r="L71" i="15"/>
  <c r="I32" i="15"/>
  <c r="M32" i="15" s="1"/>
  <c r="I71" i="15"/>
  <c r="M71" i="15" s="1"/>
  <c r="I231" i="15"/>
  <c r="M231" i="15" s="1"/>
  <c r="I98" i="15"/>
  <c r="M98" i="15" s="1"/>
  <c r="L159" i="15"/>
  <c r="C169" i="8" s="1"/>
  <c r="E89" i="20" s="1"/>
  <c r="K89" i="20" s="1"/>
  <c r="I196" i="15"/>
  <c r="M196" i="15" s="1"/>
  <c r="J98" i="15"/>
  <c r="N98" i="15" s="1"/>
  <c r="L7" i="15"/>
  <c r="J177" i="15"/>
  <c r="N177" i="15" s="1"/>
  <c r="C190" i="8"/>
  <c r="K196" i="15"/>
  <c r="O196" i="15" s="1"/>
  <c r="K98" i="15"/>
  <c r="O98" i="15" s="1"/>
  <c r="L154" i="8" s="1"/>
  <c r="J7" i="15"/>
  <c r="N7" i="15" s="1"/>
  <c r="K177" i="15"/>
  <c r="O177" i="15" s="1"/>
  <c r="J196" i="15"/>
  <c r="N196" i="15" s="1"/>
  <c r="H178" i="8" s="1"/>
  <c r="L177" i="15"/>
  <c r="J83" i="15"/>
  <c r="N83" i="15" s="1"/>
  <c r="L66" i="15"/>
  <c r="K83" i="15"/>
  <c r="O83" i="15" s="1"/>
  <c r="I66" i="15"/>
  <c r="M66" i="15" s="1"/>
  <c r="I83" i="15"/>
  <c r="M83" i="15" s="1"/>
  <c r="K66" i="15"/>
  <c r="O66" i="15" s="1"/>
  <c r="I159" i="15"/>
  <c r="M159" i="15" s="1"/>
  <c r="G169" i="8" s="1"/>
  <c r="D89" i="20" s="1"/>
  <c r="J89" i="20" s="1"/>
  <c r="Q89" i="20" s="1"/>
  <c r="I132" i="15"/>
  <c r="M132" i="15" s="1"/>
  <c r="G162" i="8" s="1"/>
  <c r="D75" i="20" s="1"/>
  <c r="J75" i="20" s="1"/>
  <c r="Q75" i="20" s="1"/>
  <c r="J159" i="15"/>
  <c r="N159" i="15" s="1"/>
  <c r="H169" i="8" s="1"/>
  <c r="L131" i="15"/>
  <c r="C162" i="8" s="1"/>
  <c r="E75" i="20" s="1"/>
  <c r="K75" i="20" s="1"/>
  <c r="K175" i="15"/>
  <c r="O175" i="15" s="1"/>
  <c r="J192" i="15"/>
  <c r="N192" i="15" s="1"/>
  <c r="J45" i="15"/>
  <c r="N45" i="15" s="1"/>
  <c r="H141" i="8" s="1"/>
  <c r="J237" i="15"/>
  <c r="N237" i="15" s="1"/>
  <c r="I45" i="15"/>
  <c r="M45" i="15" s="1"/>
  <c r="K237" i="15"/>
  <c r="O237" i="15" s="1"/>
  <c r="L189" i="8" s="1"/>
  <c r="I38" i="15"/>
  <c r="M38" i="15" s="1"/>
  <c r="K45" i="15"/>
  <c r="O45" i="15" s="1"/>
  <c r="I237" i="15"/>
  <c r="M237" i="15" s="1"/>
  <c r="L38" i="15"/>
  <c r="J38" i="15"/>
  <c r="N38" i="15" s="1"/>
  <c r="K192" i="15"/>
  <c r="O192" i="15" s="1"/>
  <c r="O97" i="9"/>
  <c r="O102" i="9"/>
  <c r="O100" i="9"/>
  <c r="O99" i="9"/>
  <c r="O96" i="9"/>
  <c r="O103" i="9"/>
  <c r="O98" i="9"/>
  <c r="O101" i="9"/>
  <c r="C143" i="8"/>
  <c r="C135" i="8"/>
  <c r="H183" i="8"/>
  <c r="H172" i="8"/>
  <c r="G134" i="8"/>
  <c r="D19" i="20" s="1"/>
  <c r="J19" i="20" s="1"/>
  <c r="Q19" i="20" s="1"/>
  <c r="G184" i="8"/>
  <c r="G158" i="8"/>
  <c r="G186" i="8"/>
  <c r="D123" i="20" s="1"/>
  <c r="J123" i="20" s="1"/>
  <c r="Q123" i="20" s="1"/>
  <c r="C156" i="8"/>
  <c r="E63" i="20" s="1"/>
  <c r="K63" i="20" s="1"/>
  <c r="K96" i="15"/>
  <c r="O96" i="15" s="1"/>
  <c r="L96" i="15"/>
  <c r="J96" i="15"/>
  <c r="N96" i="15" s="1"/>
  <c r="I96" i="15"/>
  <c r="M96" i="15" s="1"/>
  <c r="G153" i="8" s="1"/>
  <c r="D57" i="20" s="1"/>
  <c r="J57" i="20" s="1"/>
  <c r="Q57" i="20" s="1"/>
  <c r="C8" i="21"/>
  <c r="G181" i="8"/>
  <c r="D113" i="20" s="1"/>
  <c r="J113" i="20" s="1"/>
  <c r="Q113" i="20" s="1"/>
  <c r="L169" i="8"/>
  <c r="C161" i="8"/>
  <c r="E73" i="20" s="1"/>
  <c r="K73" i="20" s="1"/>
  <c r="I139" i="15"/>
  <c r="M139" i="15" s="1"/>
  <c r="J139" i="15"/>
  <c r="N139" i="15" s="1"/>
  <c r="H164" i="8" s="1"/>
  <c r="L139" i="15"/>
  <c r="K139" i="15"/>
  <c r="O139" i="15" s="1"/>
  <c r="C178" i="8"/>
  <c r="E107" i="20" s="1"/>
  <c r="K107" i="20" s="1"/>
  <c r="C138" i="8"/>
  <c r="E27" i="20" s="1"/>
  <c r="K27" i="20" s="1"/>
  <c r="C168" i="8"/>
  <c r="E87" i="20" s="1"/>
  <c r="K87" i="20" s="1"/>
  <c r="G170" i="8"/>
  <c r="D91" i="20" s="1"/>
  <c r="J91" i="20" s="1"/>
  <c r="Q91" i="20" s="1"/>
  <c r="C149" i="8"/>
  <c r="E49" i="20" s="1"/>
  <c r="K49" i="20" s="1"/>
  <c r="H185" i="8"/>
  <c r="L175" i="8" l="1"/>
  <c r="C182" i="8"/>
  <c r="L157" i="8"/>
  <c r="H163" i="8"/>
  <c r="L184" i="8"/>
  <c r="L178" i="8"/>
  <c r="H177" i="8"/>
  <c r="H184" i="8"/>
  <c r="H135" i="8"/>
  <c r="L135" i="8"/>
  <c r="L177" i="8"/>
  <c r="H154" i="8"/>
  <c r="C184" i="8"/>
  <c r="E118" i="20" s="1"/>
  <c r="K118" i="20" s="1"/>
  <c r="L180" i="8"/>
  <c r="G178" i="8"/>
  <c r="D107" i="20" s="1"/>
  <c r="J107" i="20" s="1"/>
  <c r="Q107" i="20" s="1"/>
  <c r="G157" i="8"/>
  <c r="D65" i="20" s="1"/>
  <c r="J65" i="20" s="1"/>
  <c r="Q65" i="20" s="1"/>
  <c r="G180" i="8"/>
  <c r="D111" i="20" s="1"/>
  <c r="J111" i="20" s="1"/>
  <c r="Q111" i="20" s="1"/>
  <c r="H157" i="8"/>
  <c r="H142" i="8"/>
  <c r="G151" i="8"/>
  <c r="D53" i="20" s="1"/>
  <c r="J53" i="20" s="1"/>
  <c r="Q53" i="20" s="1"/>
  <c r="G190" i="8"/>
  <c r="D131" i="20" s="1"/>
  <c r="J131" i="20" s="1"/>
  <c r="Q131" i="20" s="1"/>
  <c r="G142" i="8"/>
  <c r="D35" i="20" s="1"/>
  <c r="J35" i="20" s="1"/>
  <c r="Q35" i="20" s="1"/>
  <c r="L163" i="8"/>
  <c r="L142" i="8"/>
  <c r="H166" i="8"/>
  <c r="C142" i="8"/>
  <c r="E35" i="20" s="1"/>
  <c r="K35" i="20" s="1"/>
  <c r="L166" i="8"/>
  <c r="H182" i="8"/>
  <c r="L136" i="8"/>
  <c r="L190" i="8"/>
  <c r="G163" i="8"/>
  <c r="D76" i="20" s="1"/>
  <c r="J76" i="20" s="1"/>
  <c r="Q76" i="20" s="1"/>
  <c r="L152" i="8"/>
  <c r="G191" i="8"/>
  <c r="D133" i="20" s="1"/>
  <c r="J133" i="20" s="1"/>
  <c r="Q133" i="20" s="1"/>
  <c r="M133" i="20" s="1"/>
  <c r="O133" i="20" s="1"/>
  <c r="L191" i="8"/>
  <c r="L139" i="8"/>
  <c r="L173" i="8"/>
  <c r="C173" i="8"/>
  <c r="E97" i="20" s="1"/>
  <c r="K97" i="20" s="1"/>
  <c r="H149" i="8"/>
  <c r="L150" i="8"/>
  <c r="L188" i="8"/>
  <c r="L171" i="8"/>
  <c r="M53" i="20"/>
  <c r="O53" i="20" s="1"/>
  <c r="M123" i="20"/>
  <c r="O123" i="20" s="1"/>
  <c r="M111" i="20"/>
  <c r="O111" i="20" s="1"/>
  <c r="M131" i="20"/>
  <c r="O131" i="20" s="1"/>
  <c r="M89" i="20"/>
  <c r="O89" i="20" s="1"/>
  <c r="G173" i="8"/>
  <c r="D97" i="20" s="1"/>
  <c r="J97" i="20" s="1"/>
  <c r="Q97" i="20" s="1"/>
  <c r="M75" i="20"/>
  <c r="M113" i="20"/>
  <c r="O113" i="20" s="1"/>
  <c r="M57" i="20"/>
  <c r="O57" i="20" s="1"/>
  <c r="M101" i="20"/>
  <c r="O101" i="20" s="1"/>
  <c r="M73" i="20"/>
  <c r="M85" i="20"/>
  <c r="O85" i="20" s="1"/>
  <c r="M107" i="20"/>
  <c r="M65" i="20"/>
  <c r="O65" i="20" s="1"/>
  <c r="M91" i="20"/>
  <c r="O91" i="20" s="1"/>
  <c r="M19" i="20"/>
  <c r="O19" i="20" s="1"/>
  <c r="M71" i="20"/>
  <c r="O71" i="20" s="1"/>
  <c r="M87" i="20"/>
  <c r="M35" i="20"/>
  <c r="O35" i="20" s="1"/>
  <c r="M121" i="20"/>
  <c r="O121" i="20" s="1"/>
  <c r="M109" i="20"/>
  <c r="O109" i="20" s="1"/>
  <c r="M105" i="20"/>
  <c r="O105" i="20" s="1"/>
  <c r="M63" i="20"/>
  <c r="O63" i="20" s="1"/>
  <c r="M21" i="20"/>
  <c r="D65" i="9"/>
  <c r="E131" i="20"/>
  <c r="K131" i="20" s="1"/>
  <c r="D39" i="19"/>
  <c r="I39" i="19" s="1"/>
  <c r="E39" i="19" s="1"/>
  <c r="G39" i="19" s="1"/>
  <c r="H39" i="19" s="1"/>
  <c r="D67" i="20"/>
  <c r="J67" i="20" s="1"/>
  <c r="Q67" i="20" s="1"/>
  <c r="D65" i="19"/>
  <c r="I65" i="19" s="1"/>
  <c r="E65" i="19" s="1"/>
  <c r="G65" i="19" s="1"/>
  <c r="H65" i="19" s="1"/>
  <c r="D119" i="20"/>
  <c r="J119" i="20" s="1"/>
  <c r="Q119" i="20" s="1"/>
  <c r="E80" i="20"/>
  <c r="K80" i="20" s="1"/>
  <c r="E81" i="20"/>
  <c r="K81" i="20" s="1"/>
  <c r="D53" i="19"/>
  <c r="I53" i="19" s="1"/>
  <c r="E53" i="19" s="1"/>
  <c r="G53" i="19" s="1"/>
  <c r="H53" i="19" s="1"/>
  <c r="D95" i="20"/>
  <c r="J95" i="20" s="1"/>
  <c r="Q95" i="20" s="1"/>
  <c r="H11" i="9"/>
  <c r="D23" i="20"/>
  <c r="J23" i="20" s="1"/>
  <c r="Q23" i="20" s="1"/>
  <c r="D57" i="9"/>
  <c r="E115" i="20"/>
  <c r="K115" i="20" s="1"/>
  <c r="E119" i="20"/>
  <c r="K119" i="20" s="1"/>
  <c r="D77" i="20"/>
  <c r="J77" i="20" s="1"/>
  <c r="Q77" i="20" s="1"/>
  <c r="D80" i="20"/>
  <c r="J80" i="20" s="1"/>
  <c r="Q80" i="20" s="1"/>
  <c r="D81" i="20"/>
  <c r="J81" i="20" s="1"/>
  <c r="Q81" i="20" s="1"/>
  <c r="D10" i="9"/>
  <c r="E21" i="20"/>
  <c r="K21" i="20" s="1"/>
  <c r="D47" i="9"/>
  <c r="E95" i="20"/>
  <c r="K95" i="20" s="1"/>
  <c r="D25" i="9"/>
  <c r="E51" i="20"/>
  <c r="K51" i="20" s="1"/>
  <c r="D9" i="9"/>
  <c r="E19" i="20"/>
  <c r="K19" i="20" s="1"/>
  <c r="D18" i="9"/>
  <c r="E37" i="20"/>
  <c r="K37" i="20" s="1"/>
  <c r="L153" i="8"/>
  <c r="L149" i="8"/>
  <c r="H188" i="8"/>
  <c r="L179" i="8"/>
  <c r="C133" i="8"/>
  <c r="E17" i="20" s="1"/>
  <c r="K17" i="20" s="1"/>
  <c r="G150" i="8"/>
  <c r="D51" i="20" s="1"/>
  <c r="J51" i="20" s="1"/>
  <c r="Q51" i="20" s="1"/>
  <c r="H148" i="8"/>
  <c r="C148" i="8"/>
  <c r="C153" i="8"/>
  <c r="E57" i="20" s="1"/>
  <c r="K57" i="20" s="1"/>
  <c r="G174" i="8"/>
  <c r="D99" i="20" s="1"/>
  <c r="J99" i="20" s="1"/>
  <c r="Q99" i="20" s="1"/>
  <c r="G183" i="8"/>
  <c r="D117" i="20" s="1"/>
  <c r="J117" i="20" s="1"/>
  <c r="Q117" i="20" s="1"/>
  <c r="H143" i="8"/>
  <c r="G152" i="8"/>
  <c r="D55" i="20" s="1"/>
  <c r="J55" i="20" s="1"/>
  <c r="Q55" i="20" s="1"/>
  <c r="L183" i="8"/>
  <c r="L155" i="8"/>
  <c r="L174" i="8"/>
  <c r="C188" i="8"/>
  <c r="E127" i="20" s="1"/>
  <c r="K127" i="20" s="1"/>
  <c r="H145" i="8"/>
  <c r="C166" i="8"/>
  <c r="E83" i="20" s="1"/>
  <c r="K83" i="20" s="1"/>
  <c r="C154" i="8"/>
  <c r="D29" i="9" s="1"/>
  <c r="G138" i="8"/>
  <c r="D27" i="20" s="1"/>
  <c r="J27" i="20" s="1"/>
  <c r="Q27" i="20" s="1"/>
  <c r="G131" i="8"/>
  <c r="D13" i="20" s="1"/>
  <c r="J13" i="20" s="1"/>
  <c r="Q13" i="20" s="1"/>
  <c r="H165" i="8"/>
  <c r="G159" i="8"/>
  <c r="H153" i="8"/>
  <c r="H160" i="8"/>
  <c r="H179" i="8"/>
  <c r="C151" i="8"/>
  <c r="L138" i="8"/>
  <c r="G148" i="8"/>
  <c r="H189" i="8"/>
  <c r="G149" i="8"/>
  <c r="C189" i="8"/>
  <c r="E129" i="20" s="1"/>
  <c r="K129" i="20" s="1"/>
  <c r="G155" i="8"/>
  <c r="D36" i="19" s="1"/>
  <c r="I36" i="19" s="1"/>
  <c r="E36" i="19" s="1"/>
  <c r="G36" i="19" s="1"/>
  <c r="H36" i="19" s="1"/>
  <c r="L133" i="8"/>
  <c r="H180" i="8"/>
  <c r="H186" i="8"/>
  <c r="G188" i="8"/>
  <c r="G139" i="8"/>
  <c r="L144" i="8"/>
  <c r="H150" i="8"/>
  <c r="G192" i="8"/>
  <c r="L148" i="8"/>
  <c r="L140" i="8"/>
  <c r="G166" i="8"/>
  <c r="D83" i="20" s="1"/>
  <c r="J83" i="20" s="1"/>
  <c r="Q83" i="20" s="1"/>
  <c r="H187" i="8"/>
  <c r="H133" i="8"/>
  <c r="C180" i="8"/>
  <c r="L131" i="8"/>
  <c r="G133" i="8"/>
  <c r="H152" i="8"/>
  <c r="C174" i="8"/>
  <c r="L186" i="8"/>
  <c r="G132" i="8"/>
  <c r="G144" i="8"/>
  <c r="C155" i="8"/>
  <c r="G182" i="8"/>
  <c r="H57" i="9" s="1"/>
  <c r="G140" i="8"/>
  <c r="D94" i="10" s="1"/>
  <c r="K94" i="10" s="1"/>
  <c r="H151" i="8"/>
  <c r="H144" i="8"/>
  <c r="L159" i="8"/>
  <c r="L165" i="8"/>
  <c r="C186" i="8"/>
  <c r="G154" i="8"/>
  <c r="H176" i="8"/>
  <c r="C147" i="8"/>
  <c r="L141" i="8"/>
  <c r="G189" i="8"/>
  <c r="L176" i="8"/>
  <c r="C176" i="8"/>
  <c r="E103" i="20" s="1"/>
  <c r="K103" i="20" s="1"/>
  <c r="H140" i="8"/>
  <c r="C167" i="8"/>
  <c r="H136" i="8"/>
  <c r="H171" i="8"/>
  <c r="C144" i="8"/>
  <c r="C159" i="8"/>
  <c r="C140" i="8"/>
  <c r="E31" i="20" s="1"/>
  <c r="K31" i="20" s="1"/>
  <c r="G145" i="8"/>
  <c r="H132" i="8"/>
  <c r="H139" i="8"/>
  <c r="L132" i="8"/>
  <c r="L143" i="8"/>
  <c r="L162" i="8"/>
  <c r="G176" i="8"/>
  <c r="L164" i="8"/>
  <c r="D126" i="10"/>
  <c r="G171" i="8"/>
  <c r="H47" i="9"/>
  <c r="C164" i="8"/>
  <c r="E79" i="20" s="1"/>
  <c r="K79" i="20" s="1"/>
  <c r="H146" i="8"/>
  <c r="C152" i="8"/>
  <c r="H192" i="8"/>
  <c r="G164" i="8"/>
  <c r="D79" i="20" s="1"/>
  <c r="J79" i="20" s="1"/>
  <c r="Q79" i="20" s="1"/>
  <c r="E114" i="20"/>
  <c r="K114" i="20" s="1"/>
  <c r="L137" i="8"/>
  <c r="H162" i="8"/>
  <c r="C171" i="8"/>
  <c r="L160" i="8"/>
  <c r="H138" i="8"/>
  <c r="L147" i="8"/>
  <c r="H175" i="8"/>
  <c r="C192" i="8"/>
  <c r="E135" i="20" s="1"/>
  <c r="K135" i="20" s="1"/>
  <c r="C146" i="8"/>
  <c r="G146" i="8"/>
  <c r="C131" i="8"/>
  <c r="C187" i="8"/>
  <c r="C139" i="8"/>
  <c r="D14" i="9" s="1"/>
  <c r="H147" i="8"/>
  <c r="L167" i="8"/>
  <c r="D40" i="9"/>
  <c r="G137" i="8"/>
  <c r="L146" i="8"/>
  <c r="D17" i="19"/>
  <c r="I17" i="19" s="1"/>
  <c r="E17" i="19" s="1"/>
  <c r="G17" i="19" s="1"/>
  <c r="H17" i="19" s="1"/>
  <c r="H50" i="9"/>
  <c r="D100" i="20"/>
  <c r="J100" i="20" s="1"/>
  <c r="Q100" i="20" s="1"/>
  <c r="G141" i="8"/>
  <c r="G143" i="8"/>
  <c r="D37" i="20" s="1"/>
  <c r="J37" i="20" s="1"/>
  <c r="Q37" i="20" s="1"/>
  <c r="G187" i="8"/>
  <c r="D124" i="20" s="1"/>
  <c r="J124" i="20" s="1"/>
  <c r="Q124" i="20" s="1"/>
  <c r="G147" i="8"/>
  <c r="D118" i="20"/>
  <c r="J118" i="20" s="1"/>
  <c r="Q118" i="20" s="1"/>
  <c r="H131" i="8"/>
  <c r="D94" i="20"/>
  <c r="J94" i="20" s="1"/>
  <c r="Q94" i="20" s="1"/>
  <c r="D129" i="10"/>
  <c r="H174" i="8"/>
  <c r="D90" i="10"/>
  <c r="D22" i="20"/>
  <c r="J22" i="20" s="1"/>
  <c r="Q22" i="20" s="1"/>
  <c r="D112" i="10"/>
  <c r="K112" i="10" s="1"/>
  <c r="D66" i="20"/>
  <c r="J66" i="20" s="1"/>
  <c r="Q66" i="20" s="1"/>
  <c r="H33" i="9"/>
  <c r="E50" i="20"/>
  <c r="K50" i="20" s="1"/>
  <c r="E94" i="20"/>
  <c r="K94" i="20" s="1"/>
  <c r="E130" i="20"/>
  <c r="K130" i="20" s="1"/>
  <c r="D56" i="19"/>
  <c r="I56" i="19" s="1"/>
  <c r="E56" i="19" s="1"/>
  <c r="G56" i="19" s="1"/>
  <c r="H56" i="19" s="1"/>
  <c r="E36" i="20"/>
  <c r="K36" i="20" s="1"/>
  <c r="D138" i="10"/>
  <c r="H59" i="9"/>
  <c r="U97" i="9"/>
  <c r="U103" i="9"/>
  <c r="U98" i="9"/>
  <c r="U100" i="9"/>
  <c r="U102" i="9"/>
  <c r="U96" i="9"/>
  <c r="U101" i="9"/>
  <c r="U99" i="9"/>
  <c r="BA103" i="9"/>
  <c r="BA100" i="9"/>
  <c r="BA97" i="9"/>
  <c r="BA98" i="9"/>
  <c r="BA102" i="9"/>
  <c r="BA99" i="9"/>
  <c r="BA101" i="9"/>
  <c r="BA96" i="9"/>
  <c r="H96" i="9"/>
  <c r="H99" i="9"/>
  <c r="H102" i="9"/>
  <c r="H97" i="9"/>
  <c r="H101" i="9"/>
  <c r="H100" i="9"/>
  <c r="H98" i="9"/>
  <c r="H103" i="9"/>
  <c r="AV96" i="9"/>
  <c r="AV103" i="9"/>
  <c r="AV99" i="9"/>
  <c r="AV97" i="9"/>
  <c r="AV98" i="9"/>
  <c r="AV100" i="9"/>
  <c r="AV101" i="9"/>
  <c r="AV102" i="9"/>
  <c r="AR100" i="9"/>
  <c r="AR102" i="9"/>
  <c r="AR101" i="9"/>
  <c r="AR96" i="9"/>
  <c r="AR98" i="9"/>
  <c r="AR103" i="9"/>
  <c r="AR97" i="9"/>
  <c r="AR99" i="9"/>
  <c r="J97" i="9"/>
  <c r="J96" i="9"/>
  <c r="J98" i="9"/>
  <c r="J100" i="9"/>
  <c r="J102" i="9"/>
  <c r="J101" i="9"/>
  <c r="J99" i="9"/>
  <c r="J103" i="9"/>
  <c r="BE96" i="9"/>
  <c r="BE98" i="9"/>
  <c r="BE99" i="9"/>
  <c r="BE102" i="9"/>
  <c r="BE100" i="9"/>
  <c r="BE103" i="9"/>
  <c r="BE101" i="9"/>
  <c r="BE97" i="9"/>
  <c r="AL101" i="9"/>
  <c r="AL97" i="9"/>
  <c r="AL103" i="9"/>
  <c r="AL100" i="9"/>
  <c r="AL102" i="9"/>
  <c r="AL98" i="9"/>
  <c r="AL99" i="9"/>
  <c r="AL96" i="9"/>
  <c r="AB101" i="9"/>
  <c r="AB96" i="9"/>
  <c r="AB103" i="9"/>
  <c r="AB97" i="9"/>
  <c r="AB98" i="9"/>
  <c r="AB99" i="9"/>
  <c r="AB100" i="9"/>
  <c r="AB102" i="9"/>
  <c r="AF100" i="9"/>
  <c r="AF102" i="9"/>
  <c r="AF101" i="9"/>
  <c r="AF96" i="9"/>
  <c r="AF98" i="9"/>
  <c r="AF103" i="9"/>
  <c r="AF97" i="9"/>
  <c r="AF99" i="9"/>
  <c r="D101" i="9"/>
  <c r="D100" i="9"/>
  <c r="D96" i="9"/>
  <c r="D102" i="9"/>
  <c r="D97" i="9"/>
  <c r="D99" i="9"/>
  <c r="D98" i="9"/>
  <c r="D103" i="9"/>
  <c r="BD99" i="9"/>
  <c r="BD97" i="9"/>
  <c r="BD103" i="9"/>
  <c r="BD102" i="9"/>
  <c r="BD96" i="9"/>
  <c r="BD100" i="9"/>
  <c r="BD101" i="9"/>
  <c r="BD98" i="9"/>
  <c r="AY97" i="9"/>
  <c r="AY100" i="9"/>
  <c r="AY103" i="9"/>
  <c r="AY96" i="9"/>
  <c r="AY99" i="9"/>
  <c r="AY102" i="9"/>
  <c r="AY101" i="9"/>
  <c r="AY98" i="9"/>
  <c r="AH101" i="9"/>
  <c r="AH100" i="9"/>
  <c r="AH97" i="9"/>
  <c r="AH102" i="9"/>
  <c r="AH98" i="9"/>
  <c r="AH103" i="9"/>
  <c r="AH96" i="9"/>
  <c r="AH99" i="9"/>
  <c r="Y103" i="9"/>
  <c r="Y96" i="9"/>
  <c r="Y100" i="9"/>
  <c r="Y102" i="9"/>
  <c r="Y98" i="9"/>
  <c r="Y97" i="9"/>
  <c r="Y101" i="9"/>
  <c r="Y99" i="9"/>
  <c r="BI100" i="9"/>
  <c r="BI98" i="9"/>
  <c r="BI102" i="9"/>
  <c r="BI101" i="9"/>
  <c r="BI103" i="9"/>
  <c r="BI96" i="9"/>
  <c r="BI97" i="9"/>
  <c r="BI99" i="9"/>
  <c r="AK99" i="9"/>
  <c r="AK96" i="9"/>
  <c r="AK103" i="9"/>
  <c r="AK102" i="9"/>
  <c r="AK100" i="9"/>
  <c r="AK101" i="9"/>
  <c r="AK97" i="9"/>
  <c r="AK98" i="9"/>
  <c r="BJ99" i="9"/>
  <c r="BJ98" i="9"/>
  <c r="BJ101" i="9"/>
  <c r="BJ100" i="9"/>
  <c r="BJ102" i="9"/>
  <c r="BJ97" i="9"/>
  <c r="BJ103" i="9"/>
  <c r="BJ96" i="9"/>
  <c r="Z100" i="9"/>
  <c r="Z103" i="9"/>
  <c r="Z96" i="9"/>
  <c r="Z99" i="9"/>
  <c r="Z97" i="9"/>
  <c r="Z102" i="9"/>
  <c r="Z101" i="9"/>
  <c r="Z98" i="9"/>
  <c r="BK103" i="9"/>
  <c r="BK100" i="9"/>
  <c r="BK98" i="9"/>
  <c r="BK97" i="9"/>
  <c r="BK96" i="9"/>
  <c r="BK101" i="9"/>
  <c r="BK99" i="9"/>
  <c r="BK102" i="9"/>
  <c r="L100" i="9"/>
  <c r="L101" i="9"/>
  <c r="L102" i="9"/>
  <c r="L103" i="9"/>
  <c r="L96" i="9"/>
  <c r="L98" i="9"/>
  <c r="L99" i="9"/>
  <c r="L97" i="9"/>
  <c r="AN99" i="9"/>
  <c r="AN98" i="9"/>
  <c r="AN101" i="9"/>
  <c r="AN96" i="9"/>
  <c r="AN102" i="9"/>
  <c r="AN100" i="9"/>
  <c r="AN103" i="9"/>
  <c r="AN97" i="9"/>
  <c r="AP96" i="9"/>
  <c r="AP97" i="9"/>
  <c r="AP101" i="9"/>
  <c r="AP102" i="9"/>
  <c r="AP98" i="9"/>
  <c r="AP99" i="9"/>
  <c r="AP100" i="9"/>
  <c r="AP103" i="9"/>
  <c r="AO97" i="9"/>
  <c r="AO99" i="9"/>
  <c r="AO102" i="9"/>
  <c r="AO100" i="9"/>
  <c r="AO96" i="9"/>
  <c r="AO103" i="9"/>
  <c r="AO98" i="9"/>
  <c r="AO101" i="9"/>
  <c r="BL100" i="9"/>
  <c r="BL103" i="9"/>
  <c r="BL96" i="9"/>
  <c r="BL101" i="9"/>
  <c r="BL97" i="9"/>
  <c r="BL99" i="9"/>
  <c r="BL102" i="9"/>
  <c r="BL98" i="9"/>
  <c r="AM103" i="9"/>
  <c r="AM98" i="9"/>
  <c r="AM100" i="9"/>
  <c r="AM102" i="9"/>
  <c r="AM97" i="9"/>
  <c r="AM96" i="9"/>
  <c r="AM99" i="9"/>
  <c r="AM101" i="9"/>
  <c r="AG99" i="9"/>
  <c r="AG101" i="9"/>
  <c r="AG98" i="9"/>
  <c r="AG96" i="9"/>
  <c r="AG100" i="9"/>
  <c r="AG97" i="9"/>
  <c r="AG102" i="9"/>
  <c r="AG103" i="9"/>
  <c r="BC103" i="9"/>
  <c r="BC100" i="9"/>
  <c r="BC97" i="9"/>
  <c r="BC98" i="9"/>
  <c r="BC96" i="9"/>
  <c r="BC99" i="9"/>
  <c r="BC101" i="9"/>
  <c r="BC102" i="9"/>
  <c r="AI102" i="9"/>
  <c r="AI99" i="9"/>
  <c r="AI96" i="9"/>
  <c r="AI97" i="9"/>
  <c r="AI101" i="9"/>
  <c r="AI100" i="9"/>
  <c r="AI98" i="9"/>
  <c r="AI103" i="9"/>
  <c r="AW102" i="9"/>
  <c r="AW99" i="9"/>
  <c r="AW98" i="9"/>
  <c r="AW97" i="9"/>
  <c r="AW103" i="9"/>
  <c r="AW101" i="9"/>
  <c r="AW96" i="9"/>
  <c r="AW100" i="9"/>
  <c r="AZ103" i="9"/>
  <c r="AZ101" i="9"/>
  <c r="AZ102" i="9"/>
  <c r="AZ98" i="9"/>
  <c r="AZ100" i="9"/>
  <c r="AZ96" i="9"/>
  <c r="AZ97" i="9"/>
  <c r="AZ99" i="9"/>
  <c r="E103" i="9"/>
  <c r="E97" i="9"/>
  <c r="E96" i="9"/>
  <c r="E100" i="9"/>
  <c r="E98" i="9"/>
  <c r="E101" i="9"/>
  <c r="E99" i="9"/>
  <c r="E102" i="9"/>
  <c r="D88" i="10"/>
  <c r="F97" i="9"/>
  <c r="F100" i="9"/>
  <c r="F98" i="9"/>
  <c r="F103" i="9"/>
  <c r="F102" i="9"/>
  <c r="F96" i="9"/>
  <c r="F101" i="9"/>
  <c r="F99" i="9"/>
  <c r="T99" i="9"/>
  <c r="T102" i="9"/>
  <c r="T100" i="9"/>
  <c r="T101" i="9"/>
  <c r="T96" i="9"/>
  <c r="T98" i="9"/>
  <c r="T103" i="9"/>
  <c r="T97" i="9"/>
  <c r="Q102" i="9"/>
  <c r="Q103" i="9"/>
  <c r="Q99" i="9"/>
  <c r="Q97" i="9"/>
  <c r="Q96" i="9"/>
  <c r="Q100" i="9"/>
  <c r="Q98" i="9"/>
  <c r="Q101" i="9"/>
  <c r="AX103" i="9"/>
  <c r="AX102" i="9"/>
  <c r="AX99" i="9"/>
  <c r="AX101" i="9"/>
  <c r="AX96" i="9"/>
  <c r="AX98" i="9"/>
  <c r="AX100" i="9"/>
  <c r="AX97" i="9"/>
  <c r="C97" i="9"/>
  <c r="C102" i="9"/>
  <c r="C101" i="9"/>
  <c r="C96" i="9"/>
  <c r="C99" i="9"/>
  <c r="C103" i="9"/>
  <c r="C100" i="9"/>
  <c r="C98" i="9"/>
  <c r="G99" i="9"/>
  <c r="G101" i="9"/>
  <c r="G103" i="9"/>
  <c r="G96" i="9"/>
  <c r="G98" i="9"/>
  <c r="G100" i="9"/>
  <c r="G97" i="9"/>
  <c r="G102" i="9"/>
  <c r="AJ100" i="9"/>
  <c r="AJ96" i="9"/>
  <c r="AJ101" i="9"/>
  <c r="AJ97" i="9"/>
  <c r="AJ102" i="9"/>
  <c r="AJ99" i="9"/>
  <c r="AJ98" i="9"/>
  <c r="AJ103" i="9"/>
  <c r="I98" i="9"/>
  <c r="I100" i="9"/>
  <c r="I101" i="9"/>
  <c r="I99" i="9"/>
  <c r="I97" i="9"/>
  <c r="I96" i="9"/>
  <c r="I102" i="9"/>
  <c r="I103" i="9"/>
  <c r="V100" i="9"/>
  <c r="V103" i="9"/>
  <c r="V102" i="9"/>
  <c r="V97" i="9"/>
  <c r="V98" i="9"/>
  <c r="V99" i="9"/>
  <c r="V101" i="9"/>
  <c r="V96" i="9"/>
  <c r="BH99" i="9"/>
  <c r="BH103" i="9"/>
  <c r="BH100" i="9"/>
  <c r="BH96" i="9"/>
  <c r="BH98" i="9"/>
  <c r="BH97" i="9"/>
  <c r="BH102" i="9"/>
  <c r="BH101" i="9"/>
  <c r="X97" i="9"/>
  <c r="X102" i="9"/>
  <c r="X99" i="9"/>
  <c r="X100" i="9"/>
  <c r="X96" i="9"/>
  <c r="X101" i="9"/>
  <c r="X103" i="9"/>
  <c r="X98" i="9"/>
  <c r="P97" i="9"/>
  <c r="P103" i="9"/>
  <c r="P98" i="9"/>
  <c r="P102" i="9"/>
  <c r="P99" i="9"/>
  <c r="P100" i="9"/>
  <c r="P101" i="9"/>
  <c r="P96" i="9"/>
  <c r="AQ103" i="9"/>
  <c r="AQ97" i="9"/>
  <c r="AQ100" i="9"/>
  <c r="AQ98" i="9"/>
  <c r="AQ96" i="9"/>
  <c r="AQ102" i="9"/>
  <c r="AQ101" i="9"/>
  <c r="AQ99" i="9"/>
  <c r="AE97" i="9"/>
  <c r="AE101" i="9"/>
  <c r="AE100" i="9"/>
  <c r="AE96" i="9"/>
  <c r="AE98" i="9"/>
  <c r="AE99" i="9"/>
  <c r="AE103" i="9"/>
  <c r="AE102" i="9"/>
  <c r="W101" i="9"/>
  <c r="W96" i="9"/>
  <c r="W98" i="9"/>
  <c r="W97" i="9"/>
  <c r="W100" i="9"/>
  <c r="W102" i="9"/>
  <c r="W99" i="9"/>
  <c r="W103" i="9"/>
  <c r="N102" i="9"/>
  <c r="N103" i="9"/>
  <c r="N97" i="9"/>
  <c r="N98" i="9"/>
  <c r="N96" i="9"/>
  <c r="N101" i="9"/>
  <c r="N99" i="9"/>
  <c r="N100" i="9"/>
  <c r="S96" i="9"/>
  <c r="S100" i="9"/>
  <c r="S101" i="9"/>
  <c r="S99" i="9"/>
  <c r="S98" i="9"/>
  <c r="S102" i="9"/>
  <c r="S103" i="9"/>
  <c r="S97" i="9"/>
  <c r="AT102" i="9"/>
  <c r="AT97" i="9"/>
  <c r="AT99" i="9"/>
  <c r="AT103" i="9"/>
  <c r="AT96" i="9"/>
  <c r="AT100" i="9"/>
  <c r="AT98" i="9"/>
  <c r="AT101" i="9"/>
  <c r="BG97" i="9"/>
  <c r="BG102" i="9"/>
  <c r="BG96" i="9"/>
  <c r="BG100" i="9"/>
  <c r="BG99" i="9"/>
  <c r="BG101" i="9"/>
  <c r="BG103" i="9"/>
  <c r="BG98" i="9"/>
  <c r="M99" i="9"/>
  <c r="M102" i="9"/>
  <c r="M101" i="9"/>
  <c r="M96" i="9"/>
  <c r="M98" i="9"/>
  <c r="M103" i="9"/>
  <c r="M100" i="9"/>
  <c r="M97" i="9"/>
  <c r="AC103" i="9"/>
  <c r="AC98" i="9"/>
  <c r="AC96" i="9"/>
  <c r="AC99" i="9"/>
  <c r="AC100" i="9"/>
  <c r="AC102" i="9"/>
  <c r="AC97" i="9"/>
  <c r="AC101" i="9"/>
  <c r="AD99" i="9"/>
  <c r="AD103" i="9"/>
  <c r="AD97" i="9"/>
  <c r="AD100" i="9"/>
  <c r="AD101" i="9"/>
  <c r="AD98" i="9"/>
  <c r="AD96" i="9"/>
  <c r="AD102" i="9"/>
  <c r="BB101" i="9"/>
  <c r="BB99" i="9"/>
  <c r="BB98" i="9"/>
  <c r="BB102" i="9"/>
  <c r="BB97" i="9"/>
  <c r="BB100" i="9"/>
  <c r="BB96" i="9"/>
  <c r="BB103" i="9"/>
  <c r="K102" i="9"/>
  <c r="K97" i="9"/>
  <c r="K99" i="9"/>
  <c r="K100" i="9"/>
  <c r="K101" i="9"/>
  <c r="K103" i="9"/>
  <c r="K98" i="9"/>
  <c r="K96" i="9"/>
  <c r="AS98" i="9"/>
  <c r="AS97" i="9"/>
  <c r="AS101" i="9"/>
  <c r="AS96" i="9"/>
  <c r="AS99" i="9"/>
  <c r="AS100" i="9"/>
  <c r="AS102" i="9"/>
  <c r="AS103" i="9"/>
  <c r="BF102" i="9"/>
  <c r="BF96" i="9"/>
  <c r="BF98" i="9"/>
  <c r="BF99" i="9"/>
  <c r="BF103" i="9"/>
  <c r="BF100" i="9"/>
  <c r="BF97" i="9"/>
  <c r="BF101" i="9"/>
  <c r="R99" i="9"/>
  <c r="R98" i="9"/>
  <c r="R103" i="9"/>
  <c r="R96" i="9"/>
  <c r="R100" i="9"/>
  <c r="R101" i="9"/>
  <c r="R102" i="9"/>
  <c r="R97" i="9"/>
  <c r="AU102" i="9"/>
  <c r="AU97" i="9"/>
  <c r="AU103" i="9"/>
  <c r="AU101" i="9"/>
  <c r="AU98" i="9"/>
  <c r="AU99" i="9"/>
  <c r="AU100" i="9"/>
  <c r="AU96" i="9"/>
  <c r="AA97" i="9"/>
  <c r="AA103" i="9"/>
  <c r="AA102" i="9"/>
  <c r="AA96" i="9"/>
  <c r="AA98" i="9"/>
  <c r="AA101" i="9"/>
  <c r="AA100" i="9"/>
  <c r="AA99" i="9"/>
  <c r="D119" i="10"/>
  <c r="K119" i="10" s="1"/>
  <c r="H40" i="9"/>
  <c r="D46" i="19"/>
  <c r="I46" i="19" s="1"/>
  <c r="E46" i="19" s="1"/>
  <c r="G46" i="19" s="1"/>
  <c r="H46" i="19" s="1"/>
  <c r="E20" i="20"/>
  <c r="K20" i="20" s="1"/>
  <c r="E18" i="20"/>
  <c r="K18" i="20" s="1"/>
  <c r="D18" i="20"/>
  <c r="J18" i="20" s="1"/>
  <c r="Q18" i="20" s="1"/>
  <c r="H9" i="9"/>
  <c r="D15" i="19"/>
  <c r="I15" i="19" s="1"/>
  <c r="E15" i="19" s="1"/>
  <c r="G15" i="19" s="1"/>
  <c r="H15" i="19" s="1"/>
  <c r="D53" i="9"/>
  <c r="E106" i="20"/>
  <c r="K106" i="20" s="1"/>
  <c r="D38" i="9"/>
  <c r="E76" i="20"/>
  <c r="K76" i="20" s="1"/>
  <c r="D44" i="9"/>
  <c r="E88" i="20"/>
  <c r="K88" i="20" s="1"/>
  <c r="D58" i="19"/>
  <c r="I58" i="19" s="1"/>
  <c r="E58" i="19" s="1"/>
  <c r="G58" i="19" s="1"/>
  <c r="H58" i="19" s="1"/>
  <c r="H52" i="9"/>
  <c r="D104" i="20"/>
  <c r="J104" i="20" s="1"/>
  <c r="Q104" i="20" s="1"/>
  <c r="D131" i="10"/>
  <c r="K131" i="10" s="1"/>
  <c r="D35" i="9"/>
  <c r="E70" i="20"/>
  <c r="K70" i="20" s="1"/>
  <c r="D24" i="9"/>
  <c r="E48" i="20"/>
  <c r="K48" i="20" s="1"/>
  <c r="D45" i="9"/>
  <c r="E90" i="20"/>
  <c r="K90" i="20" s="1"/>
  <c r="D16" i="9"/>
  <c r="E32" i="20"/>
  <c r="K32" i="20" s="1"/>
  <c r="D58" i="9"/>
  <c r="E116" i="20"/>
  <c r="K116" i="20" s="1"/>
  <c r="D41" i="19"/>
  <c r="I41" i="19" s="1"/>
  <c r="E41" i="19" s="1"/>
  <c r="G41" i="19" s="1"/>
  <c r="H41" i="19" s="1"/>
  <c r="H35" i="9"/>
  <c r="D70" i="20"/>
  <c r="J70" i="20" s="1"/>
  <c r="Q70" i="20" s="1"/>
  <c r="D114" i="10"/>
  <c r="K114" i="10" s="1"/>
  <c r="D12" i="9"/>
  <c r="E24" i="20"/>
  <c r="K24" i="20" s="1"/>
  <c r="D54" i="9"/>
  <c r="E108" i="20"/>
  <c r="K108" i="20" s="1"/>
  <c r="D16" i="19"/>
  <c r="I16" i="19" s="1"/>
  <c r="E16" i="19" s="1"/>
  <c r="G16" i="19" s="1"/>
  <c r="H16" i="19" s="1"/>
  <c r="H10" i="9"/>
  <c r="D20" i="20"/>
  <c r="J20" i="20" s="1"/>
  <c r="Q20" i="20" s="1"/>
  <c r="D89" i="10"/>
  <c r="K89" i="10" s="1"/>
  <c r="D13" i="9"/>
  <c r="E26" i="20"/>
  <c r="K26" i="20" s="1"/>
  <c r="D60" i="9"/>
  <c r="E120" i="20"/>
  <c r="K120" i="20" s="1"/>
  <c r="D60" i="19"/>
  <c r="I60" i="19" s="1"/>
  <c r="E60" i="19" s="1"/>
  <c r="G60" i="19" s="1"/>
  <c r="H60" i="19" s="1"/>
  <c r="H54" i="9"/>
  <c r="D108" i="20"/>
  <c r="J108" i="20" s="1"/>
  <c r="Q108" i="20" s="1"/>
  <c r="D133" i="10"/>
  <c r="K133" i="10" s="1"/>
  <c r="D31" i="9"/>
  <c r="E62" i="20"/>
  <c r="K62" i="20" s="1"/>
  <c r="D66" i="19"/>
  <c r="I66" i="19" s="1"/>
  <c r="E66" i="19" s="1"/>
  <c r="G66" i="19" s="1"/>
  <c r="H66" i="19" s="1"/>
  <c r="H60" i="9"/>
  <c r="D120" i="20"/>
  <c r="J120" i="20" s="1"/>
  <c r="Q120" i="20" s="1"/>
  <c r="D139" i="10"/>
  <c r="K139" i="10" s="1"/>
  <c r="D66" i="9"/>
  <c r="E132" i="20"/>
  <c r="K132" i="20" s="1"/>
  <c r="D49" i="19"/>
  <c r="I49" i="19" s="1"/>
  <c r="E49" i="19" s="1"/>
  <c r="G49" i="19" s="1"/>
  <c r="H49" i="19" s="1"/>
  <c r="H43" i="9"/>
  <c r="D86" i="20"/>
  <c r="J86" i="20" s="1"/>
  <c r="Q86" i="20" s="1"/>
  <c r="D122" i="10"/>
  <c r="K122" i="10" s="1"/>
  <c r="D50" i="9"/>
  <c r="E100" i="20"/>
  <c r="K100" i="20" s="1"/>
  <c r="D50" i="19"/>
  <c r="I50" i="19" s="1"/>
  <c r="E50" i="19" s="1"/>
  <c r="G50" i="19" s="1"/>
  <c r="H50" i="19" s="1"/>
  <c r="H44" i="9"/>
  <c r="D88" i="20"/>
  <c r="J88" i="20" s="1"/>
  <c r="Q88" i="20" s="1"/>
  <c r="D123" i="10"/>
  <c r="K123" i="10" s="1"/>
  <c r="D32" i="9"/>
  <c r="E64" i="20"/>
  <c r="K64" i="20" s="1"/>
  <c r="D62" i="19"/>
  <c r="I62" i="19" s="1"/>
  <c r="E62" i="19" s="1"/>
  <c r="G62" i="19" s="1"/>
  <c r="H62" i="19" s="1"/>
  <c r="H56" i="9"/>
  <c r="D112" i="20"/>
  <c r="J112" i="20" s="1"/>
  <c r="Q112" i="20" s="1"/>
  <c r="D135" i="10"/>
  <c r="K135" i="10" s="1"/>
  <c r="D11" i="9"/>
  <c r="E22" i="20"/>
  <c r="K22" i="20" s="1"/>
  <c r="D33" i="9"/>
  <c r="E66" i="20"/>
  <c r="K66" i="20" s="1"/>
  <c r="D34" i="19"/>
  <c r="I34" i="19" s="1"/>
  <c r="E34" i="19" s="1"/>
  <c r="G34" i="19" s="1"/>
  <c r="H34" i="19" s="1"/>
  <c r="H28" i="9"/>
  <c r="D56" i="20"/>
  <c r="J56" i="20" s="1"/>
  <c r="Q56" i="20" s="1"/>
  <c r="D107" i="10"/>
  <c r="K107" i="10" s="1"/>
  <c r="D37" i="19"/>
  <c r="I37" i="19" s="1"/>
  <c r="E37" i="19" s="1"/>
  <c r="G37" i="19" s="1"/>
  <c r="H37" i="19" s="1"/>
  <c r="H31" i="9"/>
  <c r="D62" i="20"/>
  <c r="J62" i="20" s="1"/>
  <c r="Q62" i="20" s="1"/>
  <c r="D110" i="10"/>
  <c r="K110" i="10" s="1"/>
  <c r="D67" i="19"/>
  <c r="I67" i="19" s="1"/>
  <c r="E67" i="19" s="1"/>
  <c r="G67" i="19" s="1"/>
  <c r="H67" i="19" s="1"/>
  <c r="H61" i="9"/>
  <c r="D122" i="20"/>
  <c r="J122" i="20" s="1"/>
  <c r="Q122" i="20" s="1"/>
  <c r="D140" i="10"/>
  <c r="K140" i="10" s="1"/>
  <c r="F86" i="11"/>
  <c r="H86" i="11" s="1"/>
  <c r="D43" i="9"/>
  <c r="E86" i="20"/>
  <c r="K86" i="20" s="1"/>
  <c r="D51" i="19"/>
  <c r="I51" i="19" s="1"/>
  <c r="E51" i="19" s="1"/>
  <c r="G51" i="19" s="1"/>
  <c r="H51" i="19" s="1"/>
  <c r="H45" i="9"/>
  <c r="D90" i="20"/>
  <c r="J90" i="20" s="1"/>
  <c r="Q90" i="20" s="1"/>
  <c r="D124" i="10"/>
  <c r="K124" i="10" s="1"/>
  <c r="D37" i="9"/>
  <c r="E74" i="20"/>
  <c r="K74" i="20" s="1"/>
  <c r="D36" i="9"/>
  <c r="E72" i="20"/>
  <c r="K72" i="20" s="1"/>
  <c r="D43" i="19"/>
  <c r="I43" i="19" s="1"/>
  <c r="E43" i="19" s="1"/>
  <c r="G43" i="19" s="1"/>
  <c r="H43" i="19" s="1"/>
  <c r="H37" i="9"/>
  <c r="D74" i="20"/>
  <c r="J74" i="20" s="1"/>
  <c r="Q74" i="20" s="1"/>
  <c r="D116" i="10"/>
  <c r="K116" i="10" s="1"/>
  <c r="D7" i="9"/>
  <c r="E14" i="20"/>
  <c r="K14" i="20" s="1"/>
  <c r="O127" i="9"/>
  <c r="O125" i="9"/>
  <c r="O126" i="9"/>
  <c r="O124" i="9"/>
  <c r="D52" i="9"/>
  <c r="E104" i="20"/>
  <c r="K104" i="20" s="1"/>
  <c r="D20" i="9"/>
  <c r="E40" i="20"/>
  <c r="K40" i="20" s="1"/>
  <c r="D48" i="19"/>
  <c r="I48" i="19" s="1"/>
  <c r="E48" i="19" s="1"/>
  <c r="G48" i="19" s="1"/>
  <c r="H48" i="19" s="1"/>
  <c r="H42" i="9"/>
  <c r="D84" i="20"/>
  <c r="J84" i="20" s="1"/>
  <c r="Q84" i="20" s="1"/>
  <c r="D121" i="10"/>
  <c r="K121" i="10" s="1"/>
  <c r="D42" i="19"/>
  <c r="I42" i="19" s="1"/>
  <c r="E42" i="19" s="1"/>
  <c r="G42" i="19" s="1"/>
  <c r="H42" i="19" s="1"/>
  <c r="H36" i="9"/>
  <c r="D72" i="20"/>
  <c r="J72" i="20" s="1"/>
  <c r="Q72" i="20" s="1"/>
  <c r="D115" i="10"/>
  <c r="K115" i="10" s="1"/>
  <c r="D56" i="9"/>
  <c r="E112" i="20"/>
  <c r="K112" i="20" s="1"/>
  <c r="F126" i="10" l="1"/>
  <c r="K126" i="10"/>
  <c r="F88" i="10"/>
  <c r="K88" i="10"/>
  <c r="F129" i="10"/>
  <c r="K129" i="10"/>
  <c r="F138" i="10"/>
  <c r="K138" i="10"/>
  <c r="F90" i="10"/>
  <c r="K90" i="10"/>
  <c r="D59" i="9"/>
  <c r="D34" i="20"/>
  <c r="J34" i="20" s="1"/>
  <c r="Q34" i="20" s="1"/>
  <c r="M34" i="20" s="1"/>
  <c r="O34" i="20" s="1"/>
  <c r="H53" i="9"/>
  <c r="D132" i="10"/>
  <c r="K132" i="10" s="1"/>
  <c r="D59" i="19"/>
  <c r="I59" i="19" s="1"/>
  <c r="E59" i="19" s="1"/>
  <c r="G59" i="19" s="1"/>
  <c r="H59" i="19" s="1"/>
  <c r="D106" i="20"/>
  <c r="J106" i="20" s="1"/>
  <c r="Q106" i="20" s="1"/>
  <c r="D111" i="10"/>
  <c r="K111" i="10" s="1"/>
  <c r="D134" i="10"/>
  <c r="K134" i="10" s="1"/>
  <c r="D64" i="20"/>
  <c r="J64" i="20" s="1"/>
  <c r="Q64" i="20" s="1"/>
  <c r="M64" i="20" s="1"/>
  <c r="O64" i="20" s="1"/>
  <c r="D110" i="20"/>
  <c r="J110" i="20" s="1"/>
  <c r="Q110" i="20" s="1"/>
  <c r="M110" i="20" s="1"/>
  <c r="O110" i="20" s="1"/>
  <c r="H32" i="9"/>
  <c r="H55" i="9"/>
  <c r="D38" i="19"/>
  <c r="I38" i="19" s="1"/>
  <c r="E38" i="19" s="1"/>
  <c r="G38" i="19" s="1"/>
  <c r="H38" i="19" s="1"/>
  <c r="D61" i="19"/>
  <c r="I61" i="19" s="1"/>
  <c r="E61" i="19" s="1"/>
  <c r="G61" i="19" s="1"/>
  <c r="H61" i="19" s="1"/>
  <c r="H26" i="9"/>
  <c r="D105" i="10"/>
  <c r="D52" i="20"/>
  <c r="J52" i="20" s="1"/>
  <c r="Q52" i="20" s="1"/>
  <c r="M52" i="20" s="1"/>
  <c r="O52" i="20" s="1"/>
  <c r="H65" i="9"/>
  <c r="D71" i="19"/>
  <c r="I71" i="19" s="1"/>
  <c r="E71" i="19" s="1"/>
  <c r="G71" i="19" s="1"/>
  <c r="H71" i="19" s="1"/>
  <c r="D130" i="20"/>
  <c r="J130" i="20" s="1"/>
  <c r="Q130" i="20" s="1"/>
  <c r="M130" i="20" s="1"/>
  <c r="O130" i="20" s="1"/>
  <c r="D144" i="10"/>
  <c r="K144" i="10" s="1"/>
  <c r="D32" i="19"/>
  <c r="I32" i="19" s="1"/>
  <c r="E32" i="19" s="1"/>
  <c r="G32" i="19" s="1"/>
  <c r="H32" i="19" s="1"/>
  <c r="D96" i="10"/>
  <c r="K96" i="10" s="1"/>
  <c r="D23" i="19"/>
  <c r="I23" i="19" s="1"/>
  <c r="E23" i="19" s="1"/>
  <c r="G23" i="19" s="1"/>
  <c r="H23" i="19" s="1"/>
  <c r="H17" i="9"/>
  <c r="E34" i="20"/>
  <c r="K34" i="20" s="1"/>
  <c r="D17" i="9"/>
  <c r="D117" i="10"/>
  <c r="D44" i="19"/>
  <c r="I44" i="19" s="1"/>
  <c r="E44" i="19" s="1"/>
  <c r="G44" i="19" s="1"/>
  <c r="H44" i="19" s="1"/>
  <c r="D132" i="20"/>
  <c r="J132" i="20" s="1"/>
  <c r="Q132" i="20" s="1"/>
  <c r="D145" i="10"/>
  <c r="K145" i="10" s="1"/>
  <c r="H66" i="9"/>
  <c r="D72" i="19"/>
  <c r="I72" i="19" s="1"/>
  <c r="E72" i="19" s="1"/>
  <c r="G72" i="19" s="1"/>
  <c r="H72" i="19" s="1"/>
  <c r="O75" i="20"/>
  <c r="P75" i="20" s="1"/>
  <c r="O87" i="20"/>
  <c r="P87" i="20" s="1"/>
  <c r="O107" i="20"/>
  <c r="P107" i="20" s="1"/>
  <c r="O21" i="20"/>
  <c r="P21" i="20" s="1"/>
  <c r="O73" i="20"/>
  <c r="P73" i="20" s="1"/>
  <c r="H38" i="9"/>
  <c r="D128" i="10"/>
  <c r="P113" i="20"/>
  <c r="P19" i="20"/>
  <c r="P71" i="20"/>
  <c r="P65" i="20"/>
  <c r="P133" i="20"/>
  <c r="P89" i="20"/>
  <c r="P63" i="20"/>
  <c r="P131" i="20"/>
  <c r="P105" i="20"/>
  <c r="P111" i="20"/>
  <c r="P109" i="20"/>
  <c r="P85" i="20"/>
  <c r="P123" i="20"/>
  <c r="P91" i="20"/>
  <c r="P121" i="20"/>
  <c r="P53" i="20"/>
  <c r="P35" i="20"/>
  <c r="P101" i="20"/>
  <c r="P57" i="20"/>
  <c r="D26" i="20"/>
  <c r="J26" i="20" s="1"/>
  <c r="Q26" i="20" s="1"/>
  <c r="M26" i="20" s="1"/>
  <c r="O26" i="20" s="1"/>
  <c r="D19" i="19"/>
  <c r="I19" i="19" s="1"/>
  <c r="E19" i="19" s="1"/>
  <c r="G19" i="19" s="1"/>
  <c r="H19" i="19" s="1"/>
  <c r="D48" i="9"/>
  <c r="E96" i="20"/>
  <c r="K96" i="20" s="1"/>
  <c r="L200" i="8"/>
  <c r="D98" i="20"/>
  <c r="J98" i="20" s="1"/>
  <c r="Q98" i="20" s="1"/>
  <c r="M98" i="20" s="1"/>
  <c r="O98" i="20" s="1"/>
  <c r="L201" i="8"/>
  <c r="D51" i="9"/>
  <c r="E128" i="20"/>
  <c r="K128" i="20" s="1"/>
  <c r="H13" i="9"/>
  <c r="D106" i="10"/>
  <c r="H27" i="9"/>
  <c r="D33" i="19"/>
  <c r="I33" i="19" s="1"/>
  <c r="E33" i="19" s="1"/>
  <c r="G33" i="19" s="1"/>
  <c r="H33" i="19" s="1"/>
  <c r="D54" i="20"/>
  <c r="J54" i="20" s="1"/>
  <c r="Q54" i="20" s="1"/>
  <c r="M54" i="20" s="1"/>
  <c r="O54" i="20" s="1"/>
  <c r="H49" i="9"/>
  <c r="D30" i="20"/>
  <c r="J30" i="20" s="1"/>
  <c r="Q30" i="20" s="1"/>
  <c r="M30" i="20" s="1"/>
  <c r="O30" i="20" s="1"/>
  <c r="D85" i="10"/>
  <c r="D12" i="20"/>
  <c r="J12" i="20" s="1"/>
  <c r="Q12" i="20" s="1"/>
  <c r="M12" i="20" s="1"/>
  <c r="O12" i="20" s="1"/>
  <c r="D55" i="19"/>
  <c r="I55" i="19" s="1"/>
  <c r="E55" i="19" s="1"/>
  <c r="G55" i="19" s="1"/>
  <c r="H55" i="19" s="1"/>
  <c r="H15" i="9"/>
  <c r="H6" i="9"/>
  <c r="D82" i="20"/>
  <c r="J82" i="20" s="1"/>
  <c r="Q82" i="20" s="1"/>
  <c r="M82" i="20" s="1"/>
  <c r="O82" i="20" s="1"/>
  <c r="D12" i="19"/>
  <c r="I12" i="19" s="1"/>
  <c r="E12" i="19" s="1"/>
  <c r="G12" i="19" s="1"/>
  <c r="H12" i="19" s="1"/>
  <c r="E82" i="20"/>
  <c r="K82" i="20" s="1"/>
  <c r="D41" i="9"/>
  <c r="D64" i="19"/>
  <c r="I64" i="19" s="1"/>
  <c r="E64" i="19" s="1"/>
  <c r="G64" i="19" s="1"/>
  <c r="H64" i="19" s="1"/>
  <c r="E102" i="20"/>
  <c r="K102" i="20" s="1"/>
  <c r="M86" i="20"/>
  <c r="O86" i="20" s="1"/>
  <c r="M94" i="20"/>
  <c r="O94" i="20" s="1"/>
  <c r="M81" i="20"/>
  <c r="O81" i="20" s="1"/>
  <c r="M20" i="20"/>
  <c r="O20" i="20" s="1"/>
  <c r="M74" i="20"/>
  <c r="O74" i="20" s="1"/>
  <c r="M90" i="20"/>
  <c r="O90" i="20" s="1"/>
  <c r="M88" i="20"/>
  <c r="O88" i="20" s="1"/>
  <c r="E78" i="20"/>
  <c r="K78" i="20" s="1"/>
  <c r="M55" i="20"/>
  <c r="O55" i="20" s="1"/>
  <c r="M80" i="20"/>
  <c r="O80" i="20" s="1"/>
  <c r="M70" i="20"/>
  <c r="O70" i="20" s="1"/>
  <c r="M95" i="20"/>
  <c r="M56" i="20"/>
  <c r="O56" i="20" s="1"/>
  <c r="M108" i="20"/>
  <c r="O108" i="20" s="1"/>
  <c r="M132" i="20"/>
  <c r="O132" i="20" s="1"/>
  <c r="M118" i="20"/>
  <c r="O118" i="20" s="1"/>
  <c r="M77" i="20"/>
  <c r="O77" i="20" s="1"/>
  <c r="M119" i="20"/>
  <c r="M117" i="20"/>
  <c r="O117" i="20" s="1"/>
  <c r="M62" i="20"/>
  <c r="O62" i="20" s="1"/>
  <c r="E16" i="20"/>
  <c r="K16" i="20" s="1"/>
  <c r="M106" i="20"/>
  <c r="O106" i="20" s="1"/>
  <c r="M124" i="20"/>
  <c r="O124" i="20" s="1"/>
  <c r="M13" i="20"/>
  <c r="M99" i="20"/>
  <c r="O99" i="20" s="1"/>
  <c r="M67" i="20"/>
  <c r="O67" i="20" s="1"/>
  <c r="M97" i="20"/>
  <c r="O97" i="20" s="1"/>
  <c r="M84" i="20"/>
  <c r="O84" i="20" s="1"/>
  <c r="D8" i="9"/>
  <c r="D15" i="9"/>
  <c r="M66" i="20"/>
  <c r="O66" i="20" s="1"/>
  <c r="M79" i="20"/>
  <c r="O79" i="20" s="1"/>
  <c r="M27" i="20"/>
  <c r="O27" i="20" s="1"/>
  <c r="E30" i="20"/>
  <c r="K30" i="20" s="1"/>
  <c r="D96" i="20"/>
  <c r="J96" i="20" s="1"/>
  <c r="Q96" i="20" s="1"/>
  <c r="M104" i="20"/>
  <c r="O104" i="20" s="1"/>
  <c r="M76" i="20"/>
  <c r="O76" i="20" s="1"/>
  <c r="D127" i="10"/>
  <c r="K127" i="10" s="1"/>
  <c r="M37" i="20"/>
  <c r="O37" i="20" s="1"/>
  <c r="M83" i="20"/>
  <c r="O83" i="20" s="1"/>
  <c r="E56" i="20"/>
  <c r="K56" i="20" s="1"/>
  <c r="M122" i="20"/>
  <c r="O122" i="20" s="1"/>
  <c r="H41" i="9"/>
  <c r="M72" i="20"/>
  <c r="O72" i="20" s="1"/>
  <c r="D28" i="9"/>
  <c r="E126" i="20"/>
  <c r="K126" i="20" s="1"/>
  <c r="M112" i="20"/>
  <c r="O112" i="20" s="1"/>
  <c r="H48" i="9"/>
  <c r="M18" i="20"/>
  <c r="O18" i="20" s="1"/>
  <c r="M22" i="20"/>
  <c r="O22" i="20" s="1"/>
  <c r="M100" i="20"/>
  <c r="O100" i="20" s="1"/>
  <c r="D63" i="9"/>
  <c r="M120" i="20"/>
  <c r="O120" i="20" s="1"/>
  <c r="D54" i="19"/>
  <c r="I54" i="19" s="1"/>
  <c r="E54" i="19" s="1"/>
  <c r="G54" i="19" s="1"/>
  <c r="H54" i="19" s="1"/>
  <c r="M51" i="20"/>
  <c r="M23" i="20"/>
  <c r="O23" i="20" s="1"/>
  <c r="D50" i="20"/>
  <c r="J50" i="20" s="1"/>
  <c r="Q50" i="20" s="1"/>
  <c r="D39" i="9"/>
  <c r="D92" i="10"/>
  <c r="K92" i="10" s="1"/>
  <c r="D26" i="19"/>
  <c r="I26" i="19" s="1"/>
  <c r="E26" i="19" s="1"/>
  <c r="G26" i="19" s="1"/>
  <c r="H26" i="19" s="1"/>
  <c r="D41" i="20"/>
  <c r="J41" i="20" s="1"/>
  <c r="Q41" i="20" s="1"/>
  <c r="D22" i="9"/>
  <c r="E45" i="20"/>
  <c r="K45" i="20" s="1"/>
  <c r="D13" i="19"/>
  <c r="I13" i="19" s="1"/>
  <c r="E13" i="19" s="1"/>
  <c r="G13" i="19" s="1"/>
  <c r="H13" i="19" s="1"/>
  <c r="D15" i="20"/>
  <c r="J15" i="20" s="1"/>
  <c r="Q15" i="20" s="1"/>
  <c r="D73" i="19"/>
  <c r="I73" i="19" s="1"/>
  <c r="E73" i="19" s="1"/>
  <c r="G73" i="19" s="1"/>
  <c r="H73" i="19" s="1"/>
  <c r="D135" i="20"/>
  <c r="J135" i="20" s="1"/>
  <c r="Q135" i="20" s="1"/>
  <c r="D102" i="10"/>
  <c r="D47" i="20"/>
  <c r="J47" i="20" s="1"/>
  <c r="Q47" i="20" s="1"/>
  <c r="H25" i="9"/>
  <c r="D141" i="10"/>
  <c r="D120" i="10"/>
  <c r="D31" i="19"/>
  <c r="I31" i="19" s="1"/>
  <c r="E31" i="19" s="1"/>
  <c r="G31" i="19" s="1"/>
  <c r="H31" i="19" s="1"/>
  <c r="D34" i="9"/>
  <c r="E69" i="20"/>
  <c r="K69" i="20" s="1"/>
  <c r="D35" i="19"/>
  <c r="I35" i="19" s="1"/>
  <c r="E35" i="19" s="1"/>
  <c r="G35" i="19" s="1"/>
  <c r="H35" i="19" s="1"/>
  <c r="D59" i="20"/>
  <c r="J59" i="20" s="1"/>
  <c r="Q59" i="20" s="1"/>
  <c r="D49" i="9"/>
  <c r="E99" i="20"/>
  <c r="K99" i="20" s="1"/>
  <c r="D26" i="9"/>
  <c r="E53" i="20"/>
  <c r="K53" i="20" s="1"/>
  <c r="H12" i="9"/>
  <c r="D25" i="20"/>
  <c r="J25" i="20" s="1"/>
  <c r="Q25" i="20" s="1"/>
  <c r="D52" i="19"/>
  <c r="I52" i="19" s="1"/>
  <c r="E52" i="19" s="1"/>
  <c r="G52" i="19" s="1"/>
  <c r="H52" i="19" s="1"/>
  <c r="D93" i="20"/>
  <c r="J93" i="20" s="1"/>
  <c r="Q93" i="20" s="1"/>
  <c r="D19" i="9"/>
  <c r="E39" i="20"/>
  <c r="K39" i="20" s="1"/>
  <c r="D61" i="9"/>
  <c r="E123" i="20"/>
  <c r="K123" i="20" s="1"/>
  <c r="H14" i="9"/>
  <c r="D29" i="20"/>
  <c r="J29" i="20" s="1"/>
  <c r="Q29" i="20" s="1"/>
  <c r="D16" i="20"/>
  <c r="J16" i="20" s="1"/>
  <c r="Q16" i="20" s="1"/>
  <c r="D17" i="20"/>
  <c r="J17" i="20" s="1"/>
  <c r="Q17" i="20" s="1"/>
  <c r="H63" i="9"/>
  <c r="D127" i="20"/>
  <c r="J127" i="20" s="1"/>
  <c r="Q127" i="20" s="1"/>
  <c r="D47" i="19"/>
  <c r="I47" i="19" s="1"/>
  <c r="E47" i="19" s="1"/>
  <c r="G47" i="19" s="1"/>
  <c r="H47" i="19" s="1"/>
  <c r="D46" i="9"/>
  <c r="E93" i="20"/>
  <c r="K93" i="20" s="1"/>
  <c r="D101" i="10"/>
  <c r="K101" i="10" s="1"/>
  <c r="D45" i="20"/>
  <c r="J45" i="20" s="1"/>
  <c r="Q45" i="20" s="1"/>
  <c r="D130" i="10"/>
  <c r="D103" i="20"/>
  <c r="J103" i="20" s="1"/>
  <c r="Q103" i="20" s="1"/>
  <c r="D42" i="9"/>
  <c r="E85" i="20"/>
  <c r="K85" i="20" s="1"/>
  <c r="D55" i="9"/>
  <c r="E111" i="20"/>
  <c r="K111" i="20" s="1"/>
  <c r="H34" i="9"/>
  <c r="D69" i="20"/>
  <c r="J69" i="20" s="1"/>
  <c r="Q69" i="20" s="1"/>
  <c r="D68" i="19"/>
  <c r="I68" i="19" s="1"/>
  <c r="E68" i="19" s="1"/>
  <c r="G68" i="19" s="1"/>
  <c r="H68" i="19" s="1"/>
  <c r="D125" i="20"/>
  <c r="J125" i="20" s="1"/>
  <c r="Q125" i="20" s="1"/>
  <c r="E28" i="20"/>
  <c r="K28" i="20" s="1"/>
  <c r="E29" i="20"/>
  <c r="K29" i="20" s="1"/>
  <c r="D64" i="9"/>
  <c r="D62" i="9"/>
  <c r="E125" i="20"/>
  <c r="K125" i="20" s="1"/>
  <c r="D21" i="19"/>
  <c r="I21" i="19" s="1"/>
  <c r="E21" i="19" s="1"/>
  <c r="G21" i="19" s="1"/>
  <c r="H21" i="19" s="1"/>
  <c r="D31" i="20"/>
  <c r="J31" i="20" s="1"/>
  <c r="Q31" i="20" s="1"/>
  <c r="H30" i="9"/>
  <c r="D61" i="20"/>
  <c r="J61" i="20" s="1"/>
  <c r="Q61" i="20" s="1"/>
  <c r="D137" i="10"/>
  <c r="D22" i="19"/>
  <c r="I22" i="19" s="1"/>
  <c r="E22" i="19" s="1"/>
  <c r="G22" i="19" s="1"/>
  <c r="H22" i="19" s="1"/>
  <c r="D33" i="20"/>
  <c r="J33" i="20" s="1"/>
  <c r="Q33" i="20" s="1"/>
  <c r="D6" i="9"/>
  <c r="E13" i="20"/>
  <c r="K13" i="20" s="1"/>
  <c r="D63" i="19"/>
  <c r="I63" i="19" s="1"/>
  <c r="E63" i="19" s="1"/>
  <c r="G63" i="19" s="1"/>
  <c r="H63" i="19" s="1"/>
  <c r="D115" i="20"/>
  <c r="J115" i="20" s="1"/>
  <c r="Q115" i="20" s="1"/>
  <c r="D116" i="20"/>
  <c r="J116" i="20" s="1"/>
  <c r="Q116" i="20" s="1"/>
  <c r="D114" i="20"/>
  <c r="J114" i="20" s="1"/>
  <c r="Q114" i="20" s="1"/>
  <c r="D60" i="20"/>
  <c r="J60" i="20" s="1"/>
  <c r="Q60" i="20" s="1"/>
  <c r="H21" i="9"/>
  <c r="D43" i="20"/>
  <c r="J43" i="20" s="1"/>
  <c r="Q43" i="20" s="1"/>
  <c r="D143" i="10"/>
  <c r="K143" i="10" s="1"/>
  <c r="D129" i="20"/>
  <c r="J129" i="20" s="1"/>
  <c r="Q129" i="20" s="1"/>
  <c r="D30" i="9"/>
  <c r="E61" i="20"/>
  <c r="K61" i="20" s="1"/>
  <c r="D30" i="19"/>
  <c r="I30" i="19" s="1"/>
  <c r="E30" i="19" s="1"/>
  <c r="G30" i="19" s="1"/>
  <c r="H30" i="19" s="1"/>
  <c r="D49" i="20"/>
  <c r="J49" i="20" s="1"/>
  <c r="Q49" i="20" s="1"/>
  <c r="E58" i="20"/>
  <c r="K58" i="20" s="1"/>
  <c r="E59" i="20"/>
  <c r="K59" i="20" s="1"/>
  <c r="D23" i="9"/>
  <c r="E47" i="20"/>
  <c r="K47" i="20" s="1"/>
  <c r="D104" i="10"/>
  <c r="K104" i="10" s="1"/>
  <c r="H58" i="9"/>
  <c r="D109" i="10"/>
  <c r="K109" i="10" s="1"/>
  <c r="D21" i="9"/>
  <c r="E43" i="20"/>
  <c r="K43" i="20" s="1"/>
  <c r="E54" i="20"/>
  <c r="K54" i="20" s="1"/>
  <c r="E55" i="20"/>
  <c r="K55" i="20" s="1"/>
  <c r="D25" i="19"/>
  <c r="I25" i="19" s="1"/>
  <c r="E25" i="19" s="1"/>
  <c r="G25" i="19" s="1"/>
  <c r="H25" i="19" s="1"/>
  <c r="D39" i="20"/>
  <c r="J39" i="20" s="1"/>
  <c r="Q39" i="20" s="1"/>
  <c r="E46" i="20"/>
  <c r="K46" i="20" s="1"/>
  <c r="D103" i="10"/>
  <c r="D40" i="19"/>
  <c r="I40" i="19" s="1"/>
  <c r="E40" i="19" s="1"/>
  <c r="G40" i="19" s="1"/>
  <c r="H40" i="19" s="1"/>
  <c r="E110" i="20"/>
  <c r="K110" i="20" s="1"/>
  <c r="D68" i="20"/>
  <c r="J68" i="20" s="1"/>
  <c r="Q68" i="20" s="1"/>
  <c r="H29" i="9"/>
  <c r="E68" i="20"/>
  <c r="K68" i="20" s="1"/>
  <c r="D108" i="10"/>
  <c r="E52" i="20"/>
  <c r="K52" i="20" s="1"/>
  <c r="D48" i="20"/>
  <c r="J48" i="20" s="1"/>
  <c r="Q48" i="20" s="1"/>
  <c r="H24" i="9"/>
  <c r="D29" i="19"/>
  <c r="I29" i="19" s="1"/>
  <c r="E29" i="19" s="1"/>
  <c r="G29" i="19" s="1"/>
  <c r="H29" i="19" s="1"/>
  <c r="E60" i="20"/>
  <c r="K60" i="20" s="1"/>
  <c r="D113" i="10"/>
  <c r="D125" i="10"/>
  <c r="K125" i="10" s="1"/>
  <c r="D20" i="19"/>
  <c r="I20" i="19" s="1"/>
  <c r="E20" i="19" s="1"/>
  <c r="G20" i="19" s="1"/>
  <c r="H20" i="19" s="1"/>
  <c r="D142" i="10"/>
  <c r="D91" i="10"/>
  <c r="H19" i="9"/>
  <c r="H198" i="8"/>
  <c r="E44" i="20"/>
  <c r="K44" i="20" s="1"/>
  <c r="D38" i="20"/>
  <c r="J38" i="20" s="1"/>
  <c r="Q38" i="20" s="1"/>
  <c r="D146" i="10"/>
  <c r="K146" i="10" s="1"/>
  <c r="H23" i="9"/>
  <c r="D86" i="10"/>
  <c r="D134" i="20"/>
  <c r="J134" i="20" s="1"/>
  <c r="Q134" i="20" s="1"/>
  <c r="D46" i="20"/>
  <c r="J46" i="20" s="1"/>
  <c r="D14" i="20"/>
  <c r="J14" i="20" s="1"/>
  <c r="H67" i="9"/>
  <c r="D98" i="10"/>
  <c r="K98" i="10" s="1"/>
  <c r="H7" i="9"/>
  <c r="D27" i="9"/>
  <c r="H201" i="8"/>
  <c r="D24" i="20"/>
  <c r="J24" i="20" s="1"/>
  <c r="D58" i="20"/>
  <c r="J58" i="20" s="1"/>
  <c r="H8" i="9"/>
  <c r="D69" i="19"/>
  <c r="I69" i="19" s="1"/>
  <c r="E69" i="19" s="1"/>
  <c r="G69" i="19" s="1"/>
  <c r="H69" i="19" s="1"/>
  <c r="D92" i="20"/>
  <c r="J92" i="20" s="1"/>
  <c r="Q92" i="20" s="1"/>
  <c r="H46" i="9"/>
  <c r="E38" i="20"/>
  <c r="K38" i="20" s="1"/>
  <c r="D126" i="20"/>
  <c r="J126" i="20" s="1"/>
  <c r="E98" i="20"/>
  <c r="K98" i="20" s="1"/>
  <c r="D136" i="10"/>
  <c r="K136" i="10" s="1"/>
  <c r="D93" i="10"/>
  <c r="D28" i="20"/>
  <c r="J28" i="20" s="1"/>
  <c r="Q28" i="20" s="1"/>
  <c r="E122" i="20"/>
  <c r="K122" i="20" s="1"/>
  <c r="D14" i="19"/>
  <c r="I14" i="19" s="1"/>
  <c r="E14" i="19" s="1"/>
  <c r="G14" i="19" s="1"/>
  <c r="H14" i="19" s="1"/>
  <c r="D87" i="10"/>
  <c r="H62" i="9"/>
  <c r="G201" i="8"/>
  <c r="E84" i="20"/>
  <c r="K84" i="20" s="1"/>
  <c r="H64" i="9"/>
  <c r="D70" i="19"/>
  <c r="I70" i="19" s="1"/>
  <c r="E70" i="19" s="1"/>
  <c r="G70" i="19" s="1"/>
  <c r="H70" i="19" s="1"/>
  <c r="D128" i="20"/>
  <c r="J128" i="20" s="1"/>
  <c r="H200" i="8"/>
  <c r="E42" i="20"/>
  <c r="K42" i="20" s="1"/>
  <c r="G200" i="8"/>
  <c r="L199" i="8"/>
  <c r="E92" i="20"/>
  <c r="K92" i="20" s="1"/>
  <c r="L198" i="8"/>
  <c r="H20" i="9"/>
  <c r="D40" i="20"/>
  <c r="J40" i="20" s="1"/>
  <c r="D99" i="10"/>
  <c r="K99" i="10" s="1"/>
  <c r="G198" i="8"/>
  <c r="D118" i="10"/>
  <c r="K118" i="10" s="1"/>
  <c r="D78" i="20"/>
  <c r="J78" i="20" s="1"/>
  <c r="H39" i="9"/>
  <c r="D45" i="19"/>
  <c r="I45" i="19" s="1"/>
  <c r="E45" i="19" s="1"/>
  <c r="G45" i="19" s="1"/>
  <c r="H45" i="19" s="1"/>
  <c r="L196" i="8"/>
  <c r="E124" i="20"/>
  <c r="K124" i="20" s="1"/>
  <c r="H199" i="8"/>
  <c r="D102" i="20"/>
  <c r="J102" i="20" s="1"/>
  <c r="H51" i="9"/>
  <c r="C201" i="8"/>
  <c r="D100" i="10"/>
  <c r="K100" i="10" s="1"/>
  <c r="G199" i="8"/>
  <c r="D42" i="20"/>
  <c r="J42" i="20" s="1"/>
  <c r="Q42" i="20" s="1"/>
  <c r="E134" i="20"/>
  <c r="K134" i="20" s="1"/>
  <c r="D67" i="9"/>
  <c r="C200" i="8"/>
  <c r="D57" i="19"/>
  <c r="I57" i="19" s="1"/>
  <c r="E57" i="19" s="1"/>
  <c r="G57" i="19" s="1"/>
  <c r="H57" i="19" s="1"/>
  <c r="C197" i="8"/>
  <c r="C199" i="8"/>
  <c r="C196" i="8"/>
  <c r="C198" i="8"/>
  <c r="D27" i="19"/>
  <c r="I27" i="19" s="1"/>
  <c r="E27" i="19" s="1"/>
  <c r="G27" i="19" s="1"/>
  <c r="H27" i="19" s="1"/>
  <c r="D95" i="10"/>
  <c r="E12" i="20"/>
  <c r="K12" i="20" s="1"/>
  <c r="D32" i="20"/>
  <c r="J32" i="20" s="1"/>
  <c r="H16" i="9"/>
  <c r="H197" i="8"/>
  <c r="D18" i="19"/>
  <c r="I18" i="19" s="1"/>
  <c r="E18" i="19" s="1"/>
  <c r="G18" i="19" s="1"/>
  <c r="H18" i="19" s="1"/>
  <c r="L197" i="8"/>
  <c r="H22" i="9"/>
  <c r="H196" i="8"/>
  <c r="D44" i="20"/>
  <c r="J44" i="20" s="1"/>
  <c r="G196" i="8"/>
  <c r="D28" i="19"/>
  <c r="I28" i="19" s="1"/>
  <c r="E28" i="19" s="1"/>
  <c r="G28" i="19" s="1"/>
  <c r="H28" i="19" s="1"/>
  <c r="G197" i="8"/>
  <c r="D97" i="10"/>
  <c r="K97" i="10" s="1"/>
  <c r="D24" i="19"/>
  <c r="I24" i="19" s="1"/>
  <c r="E24" i="19" s="1"/>
  <c r="G24" i="19" s="1"/>
  <c r="H24" i="19" s="1"/>
  <c r="D36" i="20"/>
  <c r="J36" i="20" s="1"/>
  <c r="H18" i="9"/>
  <c r="F119" i="10"/>
  <c r="F112" i="10"/>
  <c r="AV126" i="9"/>
  <c r="Q125" i="9"/>
  <c r="AV124" i="9"/>
  <c r="R124" i="9"/>
  <c r="Q127" i="9"/>
  <c r="BJ127" i="9"/>
  <c r="AV127" i="9"/>
  <c r="R127" i="9"/>
  <c r="AI124" i="9"/>
  <c r="Q126" i="9"/>
  <c r="AV125" i="9"/>
  <c r="AA125" i="9"/>
  <c r="AU125" i="9"/>
  <c r="BB124" i="9"/>
  <c r="AD127" i="9"/>
  <c r="S127" i="9"/>
  <c r="N124" i="9"/>
  <c r="AQ127" i="9"/>
  <c r="BH124" i="9"/>
  <c r="AI127" i="9"/>
  <c r="AK124" i="9"/>
  <c r="BD124" i="9"/>
  <c r="AR126" i="9"/>
  <c r="H124" i="9"/>
  <c r="R126" i="9"/>
  <c r="R125" i="9"/>
  <c r="Q124" i="9"/>
  <c r="H127" i="9"/>
  <c r="AR124" i="9"/>
  <c r="H125" i="9"/>
  <c r="AQ126" i="9"/>
  <c r="AR127" i="9"/>
  <c r="H126" i="9"/>
  <c r="AQ124" i="9"/>
  <c r="AR125" i="9"/>
  <c r="BH127" i="9"/>
  <c r="AQ125" i="9"/>
  <c r="AA126" i="9"/>
  <c r="BB126" i="9"/>
  <c r="AD126" i="9"/>
  <c r="BD125" i="9"/>
  <c r="BH126" i="9"/>
  <c r="BB125" i="9"/>
  <c r="AD124" i="9"/>
  <c r="AD125" i="9"/>
  <c r="BD127" i="9"/>
  <c r="BH125" i="9"/>
  <c r="AU124" i="9"/>
  <c r="AA124" i="9"/>
  <c r="BB127" i="9"/>
  <c r="BD126" i="9"/>
  <c r="AU126" i="9"/>
  <c r="AU127" i="9"/>
  <c r="AI125" i="9"/>
  <c r="AI126" i="9"/>
  <c r="AA127" i="9"/>
  <c r="N125" i="9"/>
  <c r="AK126" i="9"/>
  <c r="Z124" i="9"/>
  <c r="BJ124" i="9"/>
  <c r="BJ125" i="9"/>
  <c r="AK125" i="9"/>
  <c r="Z127" i="9"/>
  <c r="Z126" i="9"/>
  <c r="BJ126" i="9"/>
  <c r="AK127" i="9"/>
  <c r="Z125" i="9"/>
  <c r="F124" i="9"/>
  <c r="P127" i="9"/>
  <c r="S125" i="9"/>
  <c r="S124" i="9"/>
  <c r="S126" i="9"/>
  <c r="T125" i="9"/>
  <c r="N126" i="9"/>
  <c r="P125" i="9"/>
  <c r="F125" i="9"/>
  <c r="F126" i="9"/>
  <c r="N127" i="9"/>
  <c r="T127" i="9"/>
  <c r="P124" i="9"/>
  <c r="T124" i="9"/>
  <c r="P126" i="9"/>
  <c r="T126" i="9"/>
  <c r="F127" i="9"/>
  <c r="AM124" i="9"/>
  <c r="AM125" i="9"/>
  <c r="AM127" i="9"/>
  <c r="AM126" i="9"/>
  <c r="AH124" i="9"/>
  <c r="AH125" i="9"/>
  <c r="AH126" i="9"/>
  <c r="AH127" i="9"/>
  <c r="AP125" i="9"/>
  <c r="AP124" i="9"/>
  <c r="AP126" i="9"/>
  <c r="AP127" i="9"/>
  <c r="F94" i="10"/>
  <c r="F135" i="10"/>
  <c r="F133" i="10"/>
  <c r="AW127" i="9"/>
  <c r="AW124" i="9"/>
  <c r="AW126" i="9"/>
  <c r="AW125" i="9"/>
  <c r="AG126" i="9"/>
  <c r="AG124" i="9"/>
  <c r="AG125" i="9"/>
  <c r="AG127" i="9"/>
  <c r="AC125" i="9"/>
  <c r="AC127" i="9"/>
  <c r="AC126" i="9"/>
  <c r="AC124" i="9"/>
  <c r="BI126" i="9"/>
  <c r="BI125" i="9"/>
  <c r="BI127" i="9"/>
  <c r="BI124" i="9"/>
  <c r="BA126" i="9"/>
  <c r="BA127" i="9"/>
  <c r="BA124" i="9"/>
  <c r="BA125" i="9"/>
  <c r="D20" i="12"/>
  <c r="F20" i="12"/>
  <c r="E20" i="12"/>
  <c r="C20" i="12"/>
  <c r="G86" i="11"/>
  <c r="I86" i="11" s="1"/>
  <c r="V124" i="9"/>
  <c r="V125" i="9"/>
  <c r="V127" i="9"/>
  <c r="V126" i="9"/>
  <c r="F89" i="10"/>
  <c r="AJ124" i="9"/>
  <c r="AJ127" i="9"/>
  <c r="AJ125" i="9"/>
  <c r="AJ126" i="9"/>
  <c r="AX124" i="9"/>
  <c r="AX125" i="9"/>
  <c r="AX127" i="9"/>
  <c r="AX126" i="9"/>
  <c r="F110" i="10"/>
  <c r="F107" i="10"/>
  <c r="F123" i="10"/>
  <c r="AZ124" i="9"/>
  <c r="AZ126" i="9"/>
  <c r="AZ127" i="9"/>
  <c r="AZ125" i="9"/>
  <c r="F116" i="10"/>
  <c r="F124" i="10"/>
  <c r="F122" i="10"/>
  <c r="F114" i="10"/>
  <c r="BE127" i="9"/>
  <c r="BE125" i="9"/>
  <c r="BE126" i="9"/>
  <c r="BE124" i="9"/>
  <c r="K126" i="9"/>
  <c r="K124" i="9"/>
  <c r="K125" i="9"/>
  <c r="K127" i="9"/>
  <c r="D124" i="9"/>
  <c r="D126" i="9"/>
  <c r="D125" i="9"/>
  <c r="D127" i="9"/>
  <c r="Y125" i="9"/>
  <c r="Y124" i="9"/>
  <c r="Y126" i="9"/>
  <c r="Y127" i="9"/>
  <c r="AN124" i="9"/>
  <c r="AN126" i="9"/>
  <c r="AN125" i="9"/>
  <c r="AN127" i="9"/>
  <c r="F115" i="10"/>
  <c r="F121" i="10"/>
  <c r="L124" i="9"/>
  <c r="L126" i="9"/>
  <c r="L127" i="9"/>
  <c r="L125" i="9"/>
  <c r="F140" i="10"/>
  <c r="AB126" i="9"/>
  <c r="AB125" i="9"/>
  <c r="AB124" i="9"/>
  <c r="AB127" i="9"/>
  <c r="AL125" i="9"/>
  <c r="AL124" i="9"/>
  <c r="AL126" i="9"/>
  <c r="AL127" i="9"/>
  <c r="AO126" i="9"/>
  <c r="AO127" i="9"/>
  <c r="AO125" i="9"/>
  <c r="AO124" i="9"/>
  <c r="F131" i="10"/>
  <c r="I127" i="9"/>
  <c r="I126" i="9"/>
  <c r="I124" i="9"/>
  <c r="I125" i="9"/>
  <c r="AS125" i="9"/>
  <c r="AS127" i="9"/>
  <c r="AS126" i="9"/>
  <c r="AS124" i="9"/>
  <c r="D120" i="9"/>
  <c r="D119" i="9"/>
  <c r="U126" i="9"/>
  <c r="U127" i="9"/>
  <c r="U125" i="9"/>
  <c r="U124" i="9"/>
  <c r="AT127" i="9"/>
  <c r="AT126" i="9"/>
  <c r="AT125" i="9"/>
  <c r="AT124" i="9"/>
  <c r="J124" i="9"/>
  <c r="J125" i="9"/>
  <c r="J126" i="9"/>
  <c r="J127" i="9"/>
  <c r="AY125" i="9"/>
  <c r="AY124" i="9"/>
  <c r="AY126" i="9"/>
  <c r="AY127" i="9"/>
  <c r="M124" i="9"/>
  <c r="M125" i="9"/>
  <c r="M127" i="9"/>
  <c r="M126" i="9"/>
  <c r="AF127" i="9"/>
  <c r="AF124" i="9"/>
  <c r="AF126" i="9"/>
  <c r="AF125" i="9"/>
  <c r="BK124" i="9"/>
  <c r="BK126" i="9"/>
  <c r="BK125" i="9"/>
  <c r="BK127" i="9"/>
  <c r="AE126" i="9"/>
  <c r="AE124" i="9"/>
  <c r="AE125" i="9"/>
  <c r="AE127" i="9"/>
  <c r="BC125" i="9"/>
  <c r="BC124" i="9"/>
  <c r="BC127" i="9"/>
  <c r="BC126" i="9"/>
  <c r="W127" i="9"/>
  <c r="W126" i="9"/>
  <c r="W124" i="9"/>
  <c r="W125" i="9"/>
  <c r="BL124" i="9"/>
  <c r="BL126" i="9"/>
  <c r="BL127" i="9"/>
  <c r="BL125" i="9"/>
  <c r="G127" i="9"/>
  <c r="G126" i="9"/>
  <c r="G124" i="9"/>
  <c r="G125" i="9"/>
  <c r="X127" i="9"/>
  <c r="X125" i="9"/>
  <c r="X124" i="9"/>
  <c r="X126" i="9"/>
  <c r="BF125" i="9"/>
  <c r="BF124" i="9"/>
  <c r="BF127" i="9"/>
  <c r="BF126" i="9"/>
  <c r="F132" i="10"/>
  <c r="F139" i="10"/>
  <c r="E124" i="9"/>
  <c r="E125" i="9"/>
  <c r="E126" i="9"/>
  <c r="E127" i="9"/>
  <c r="F111" i="10"/>
  <c r="C13" i="21"/>
  <c r="C119" i="9"/>
  <c r="C125" i="9"/>
  <c r="C127" i="9"/>
  <c r="C126" i="9"/>
  <c r="C120" i="9"/>
  <c r="C124" i="9"/>
  <c r="E119" i="9"/>
  <c r="E120" i="9"/>
  <c r="BG127" i="9"/>
  <c r="BG125" i="9"/>
  <c r="BG124" i="9"/>
  <c r="BG126" i="9"/>
  <c r="H110" i="10" l="1"/>
  <c r="J110" i="10" s="1"/>
  <c r="L110" i="10" s="1"/>
  <c r="M110" i="10" s="1"/>
  <c r="F95" i="10"/>
  <c r="K95" i="10"/>
  <c r="F113" i="10"/>
  <c r="K113" i="10"/>
  <c r="F103" i="10"/>
  <c r="K103" i="10"/>
  <c r="F102" i="10"/>
  <c r="K102" i="10"/>
  <c r="H90" i="10"/>
  <c r="J90" i="10" s="1"/>
  <c r="L90" i="10" s="1"/>
  <c r="M90" i="10" s="1"/>
  <c r="H139" i="10"/>
  <c r="J139" i="10" s="1"/>
  <c r="L139" i="10" s="1"/>
  <c r="M139" i="10" s="1"/>
  <c r="H114" i="10"/>
  <c r="J114" i="10" s="1"/>
  <c r="L114" i="10" s="1"/>
  <c r="M114" i="10" s="1"/>
  <c r="F86" i="10"/>
  <c r="K86" i="10"/>
  <c r="F106" i="10"/>
  <c r="K106" i="10"/>
  <c r="H132" i="10"/>
  <c r="J132" i="10" s="1"/>
  <c r="L132" i="10" s="1"/>
  <c r="M132" i="10" s="1"/>
  <c r="H133" i="10"/>
  <c r="J133" i="10" s="1"/>
  <c r="L133" i="10" s="1"/>
  <c r="M133" i="10" s="1"/>
  <c r="H138" i="10"/>
  <c r="J138" i="10" s="1"/>
  <c r="L138" i="10" s="1"/>
  <c r="M138" i="10" s="1"/>
  <c r="F87" i="10"/>
  <c r="K87" i="10"/>
  <c r="H121" i="10"/>
  <c r="J121" i="10" s="1"/>
  <c r="L121" i="10" s="1"/>
  <c r="M121" i="10" s="1"/>
  <c r="H124" i="10"/>
  <c r="J124" i="10" s="1"/>
  <c r="L124" i="10" s="1"/>
  <c r="M124" i="10" s="1"/>
  <c r="H135" i="10"/>
  <c r="J135" i="10" s="1"/>
  <c r="L135" i="10" s="1"/>
  <c r="M135" i="10" s="1"/>
  <c r="F130" i="10"/>
  <c r="K130" i="10"/>
  <c r="H131" i="10"/>
  <c r="J131" i="10" s="1"/>
  <c r="L131" i="10" s="1"/>
  <c r="M131" i="10" s="1"/>
  <c r="H115" i="10"/>
  <c r="J115" i="10" s="1"/>
  <c r="L115" i="10" s="1"/>
  <c r="M115" i="10" s="1"/>
  <c r="H116" i="10"/>
  <c r="J116" i="10" s="1"/>
  <c r="L116" i="10" s="1"/>
  <c r="M116" i="10" s="1"/>
  <c r="H94" i="10"/>
  <c r="J94" i="10" s="1"/>
  <c r="L94" i="10" s="1"/>
  <c r="M94" i="10" s="1"/>
  <c r="H129" i="10"/>
  <c r="J129" i="10" s="1"/>
  <c r="L129" i="10" s="1"/>
  <c r="M129" i="10" s="1"/>
  <c r="H122" i="10"/>
  <c r="J122" i="10" s="1"/>
  <c r="L122" i="10" s="1"/>
  <c r="M122" i="10" s="1"/>
  <c r="H112" i="10"/>
  <c r="J112" i="10" s="1"/>
  <c r="L112" i="10" s="1"/>
  <c r="M112" i="10" s="1"/>
  <c r="F142" i="10"/>
  <c r="K142" i="10"/>
  <c r="F141" i="10"/>
  <c r="K141" i="10"/>
  <c r="H140" i="10"/>
  <c r="J140" i="10" s="1"/>
  <c r="L140" i="10" s="1"/>
  <c r="M140" i="10" s="1"/>
  <c r="H107" i="10"/>
  <c r="J107" i="10" s="1"/>
  <c r="L107" i="10" s="1"/>
  <c r="M107" i="10" s="1"/>
  <c r="F93" i="10"/>
  <c r="K93" i="10"/>
  <c r="F108" i="10"/>
  <c r="K108" i="10"/>
  <c r="H88" i="10"/>
  <c r="J88" i="10" s="1"/>
  <c r="L88" i="10" s="1"/>
  <c r="M88" i="10" s="1"/>
  <c r="F85" i="10"/>
  <c r="K85" i="10"/>
  <c r="F128" i="10"/>
  <c r="K128" i="10"/>
  <c r="F117" i="10"/>
  <c r="K117" i="10"/>
  <c r="F105" i="10"/>
  <c r="K105" i="10"/>
  <c r="H123" i="10"/>
  <c r="J123" i="10" s="1"/>
  <c r="L123" i="10" s="1"/>
  <c r="M123" i="10" s="1"/>
  <c r="H119" i="10"/>
  <c r="J119" i="10" s="1"/>
  <c r="L119" i="10" s="1"/>
  <c r="M119" i="10" s="1"/>
  <c r="H111" i="10"/>
  <c r="J111" i="10" s="1"/>
  <c r="L111" i="10" s="1"/>
  <c r="M111" i="10" s="1"/>
  <c r="H89" i="10"/>
  <c r="J89" i="10" s="1"/>
  <c r="L89" i="10" s="1"/>
  <c r="M89" i="10" s="1"/>
  <c r="F91" i="10"/>
  <c r="K91" i="10"/>
  <c r="F137" i="10"/>
  <c r="K137" i="10"/>
  <c r="F120" i="10"/>
  <c r="K120" i="10"/>
  <c r="H126" i="10"/>
  <c r="J126" i="10" s="1"/>
  <c r="L126" i="10" s="1"/>
  <c r="M126" i="10" s="1"/>
  <c r="F134" i="10"/>
  <c r="H134" i="10" s="1"/>
  <c r="J134" i="10" s="1"/>
  <c r="F144" i="10"/>
  <c r="F96" i="10"/>
  <c r="F145" i="10"/>
  <c r="O51" i="20"/>
  <c r="P51" i="20" s="1"/>
  <c r="O95" i="20"/>
  <c r="P95" i="20" s="1"/>
  <c r="O119" i="20"/>
  <c r="P119" i="20" s="1"/>
  <c r="O13" i="20"/>
  <c r="P13" i="20" s="1"/>
  <c r="L134" i="10"/>
  <c r="M134" i="10" s="1"/>
  <c r="P27" i="20"/>
  <c r="P81" i="20"/>
  <c r="P23" i="20"/>
  <c r="P83" i="20"/>
  <c r="P37" i="20"/>
  <c r="P79" i="20"/>
  <c r="P117" i="20"/>
  <c r="P97" i="20"/>
  <c r="P55" i="20"/>
  <c r="P99" i="20"/>
  <c r="P67" i="20"/>
  <c r="P77" i="20"/>
  <c r="P112" i="20"/>
  <c r="P88" i="20"/>
  <c r="P52" i="20"/>
  <c r="P118" i="20"/>
  <c r="P90" i="20"/>
  <c r="P82" i="20"/>
  <c r="P104" i="20"/>
  <c r="P72" i="20"/>
  <c r="P130" i="20"/>
  <c r="P74" i="20"/>
  <c r="P26" i="20"/>
  <c r="P132" i="20"/>
  <c r="P34" i="20"/>
  <c r="P122" i="20"/>
  <c r="P108" i="20"/>
  <c r="P20" i="20"/>
  <c r="P120" i="20"/>
  <c r="P106" i="20"/>
  <c r="P56" i="20"/>
  <c r="P66" i="20"/>
  <c r="P94" i="20"/>
  <c r="P100" i="20"/>
  <c r="P62" i="20"/>
  <c r="P86" i="20"/>
  <c r="P30" i="20"/>
  <c r="P22" i="20"/>
  <c r="P70" i="20"/>
  <c r="P18" i="20"/>
  <c r="P110" i="20"/>
  <c r="P84" i="20"/>
  <c r="P64" i="20"/>
  <c r="P80" i="20"/>
  <c r="P54" i="20"/>
  <c r="P76" i="20"/>
  <c r="F104" i="10"/>
  <c r="F92" i="10"/>
  <c r="F127" i="10"/>
  <c r="F101" i="10"/>
  <c r="F146" i="10"/>
  <c r="M116" i="20"/>
  <c r="O116" i="20" s="1"/>
  <c r="M29" i="20"/>
  <c r="O29" i="20" s="1"/>
  <c r="M135" i="20"/>
  <c r="O135" i="20" s="1"/>
  <c r="P12" i="20"/>
  <c r="M39" i="20"/>
  <c r="O39" i="20" s="1"/>
  <c r="M115" i="20"/>
  <c r="M103" i="20"/>
  <c r="M42" i="20"/>
  <c r="O42" i="20" s="1"/>
  <c r="M28" i="20"/>
  <c r="O28" i="20" s="1"/>
  <c r="M38" i="20"/>
  <c r="O38" i="20" s="1"/>
  <c r="M48" i="20"/>
  <c r="O48" i="20" s="1"/>
  <c r="M49" i="20"/>
  <c r="M59" i="20"/>
  <c r="M15" i="20"/>
  <c r="O15" i="20" s="1"/>
  <c r="M96" i="20"/>
  <c r="O96" i="20" s="1"/>
  <c r="M45" i="20"/>
  <c r="O45" i="20" s="1"/>
  <c r="P98" i="20"/>
  <c r="M33" i="20"/>
  <c r="O33" i="20" s="1"/>
  <c r="M125" i="20"/>
  <c r="M114" i="20"/>
  <c r="O114" i="20" s="1"/>
  <c r="M129" i="20"/>
  <c r="O129" i="20" s="1"/>
  <c r="M93" i="20"/>
  <c r="O93" i="20" s="1"/>
  <c r="M41" i="20"/>
  <c r="M16" i="20"/>
  <c r="O16" i="20" s="1"/>
  <c r="M68" i="20"/>
  <c r="O68" i="20" s="1"/>
  <c r="M43" i="20"/>
  <c r="O43" i="20" s="1"/>
  <c r="M61" i="20"/>
  <c r="M127" i="20"/>
  <c r="O127" i="20" s="1"/>
  <c r="M25" i="20"/>
  <c r="O25" i="20" s="1"/>
  <c r="M69" i="20"/>
  <c r="F143" i="10"/>
  <c r="P124" i="20"/>
  <c r="M92" i="20"/>
  <c r="O92" i="20" s="1"/>
  <c r="M134" i="20"/>
  <c r="O134" i="20" s="1"/>
  <c r="M60" i="20"/>
  <c r="O60" i="20" s="1"/>
  <c r="M31" i="20"/>
  <c r="O31" i="20" s="1"/>
  <c r="M17" i="20"/>
  <c r="M47" i="20"/>
  <c r="M50" i="20"/>
  <c r="O50" i="20" s="1"/>
  <c r="F99" i="10"/>
  <c r="F109" i="10"/>
  <c r="Q44" i="20"/>
  <c r="F118" i="10"/>
  <c r="Q78" i="20"/>
  <c r="Q58" i="20"/>
  <c r="Q24" i="20"/>
  <c r="Q36" i="20"/>
  <c r="Q128" i="20"/>
  <c r="Q102" i="20"/>
  <c r="Q40" i="20"/>
  <c r="Q126" i="20"/>
  <c r="Q14" i="20"/>
  <c r="Q32" i="20"/>
  <c r="Q46" i="20"/>
  <c r="F125" i="10"/>
  <c r="F98" i="10"/>
  <c r="C6" i="10"/>
  <c r="C33" i="10" s="1"/>
  <c r="E68" i="10" s="1"/>
  <c r="F68" i="10" s="1"/>
  <c r="F136" i="10"/>
  <c r="C7" i="10"/>
  <c r="D76" i="10" s="1"/>
  <c r="F100" i="10"/>
  <c r="D222" i="11"/>
  <c r="E233" i="11" s="1"/>
  <c r="D52" i="12"/>
  <c r="F97" i="10"/>
  <c r="B6" i="19"/>
  <c r="B7" i="19" s="1"/>
  <c r="E61" i="12"/>
  <c r="C22" i="12"/>
  <c r="C52" i="12"/>
  <c r="E22" i="12"/>
  <c r="F22" i="12"/>
  <c r="D22" i="12"/>
  <c r="C53" i="12"/>
  <c r="F53" i="12"/>
  <c r="E53" i="12"/>
  <c r="F52" i="12"/>
  <c r="D53" i="12"/>
  <c r="E52" i="12"/>
  <c r="D32" i="12"/>
  <c r="C23" i="12"/>
  <c r="C32" i="12"/>
  <c r="F32" i="12"/>
  <c r="E32" i="12"/>
  <c r="D13" i="12"/>
  <c r="E65" i="12"/>
  <c r="C35" i="12"/>
  <c r="D48" i="12"/>
  <c r="E23" i="12"/>
  <c r="D23" i="12"/>
  <c r="F65" i="12"/>
  <c r="F23" i="12"/>
  <c r="C49" i="12"/>
  <c r="C65" i="12"/>
  <c r="E49" i="12"/>
  <c r="D40" i="12"/>
  <c r="C61" i="12"/>
  <c r="C13" i="12"/>
  <c r="F13" i="12"/>
  <c r="D65" i="12"/>
  <c r="E13" i="12"/>
  <c r="F40" i="12"/>
  <c r="E40" i="12"/>
  <c r="C40" i="12"/>
  <c r="D59" i="12"/>
  <c r="F48" i="12"/>
  <c r="E35" i="12"/>
  <c r="D49" i="12"/>
  <c r="F35" i="12"/>
  <c r="C48" i="12"/>
  <c r="D35" i="12"/>
  <c r="E48" i="12"/>
  <c r="F49" i="12"/>
  <c r="F61" i="12"/>
  <c r="D61" i="12"/>
  <c r="F59" i="12"/>
  <c r="E59" i="12"/>
  <c r="C59" i="12"/>
  <c r="C42" i="12"/>
  <c r="E67" i="12"/>
  <c r="F31" i="12"/>
  <c r="C67" i="12"/>
  <c r="D21" i="12"/>
  <c r="F67" i="12"/>
  <c r="D42" i="12"/>
  <c r="D31" i="12"/>
  <c r="C19" i="12"/>
  <c r="F42" i="12"/>
  <c r="E42" i="12"/>
  <c r="D67" i="12"/>
  <c r="F24" i="12"/>
  <c r="E31" i="12"/>
  <c r="C31" i="12"/>
  <c r="C24" i="12"/>
  <c r="D24" i="12"/>
  <c r="E24" i="12"/>
  <c r="C11" i="12"/>
  <c r="C21" i="12"/>
  <c r="C25" i="12"/>
  <c r="E11" i="12"/>
  <c r="F11" i="12"/>
  <c r="D11" i="12"/>
  <c r="F25" i="12"/>
  <c r="D19" i="12"/>
  <c r="E25" i="12"/>
  <c r="D25" i="12"/>
  <c r="F19" i="12"/>
  <c r="E19" i="12"/>
  <c r="E21" i="12"/>
  <c r="F21" i="12"/>
  <c r="D34" i="12"/>
  <c r="C34" i="12"/>
  <c r="E34" i="12"/>
  <c r="F34" i="12"/>
  <c r="C27" i="12"/>
  <c r="E27" i="12"/>
  <c r="D27" i="12"/>
  <c r="F27" i="12"/>
  <c r="C39" i="12"/>
  <c r="F39" i="12"/>
  <c r="D39" i="12"/>
  <c r="E39" i="12"/>
  <c r="D16" i="12"/>
  <c r="C16" i="12"/>
  <c r="F16" i="12"/>
  <c r="E16" i="12"/>
  <c r="C55" i="12"/>
  <c r="D55" i="12"/>
  <c r="F55" i="12"/>
  <c r="E55" i="12"/>
  <c r="C54" i="12"/>
  <c r="D54" i="12"/>
  <c r="F54" i="12"/>
  <c r="E54" i="12"/>
  <c r="D14" i="12"/>
  <c r="C14" i="12"/>
  <c r="E14" i="12"/>
  <c r="F14" i="12"/>
  <c r="D176" i="13"/>
  <c r="E176" i="13"/>
  <c r="D12" i="12"/>
  <c r="C12" i="12"/>
  <c r="F12" i="12"/>
  <c r="E12" i="12"/>
  <c r="C28" i="12"/>
  <c r="D28" i="12"/>
  <c r="E28" i="12"/>
  <c r="F28" i="12"/>
  <c r="D26" i="12"/>
  <c r="C26" i="12"/>
  <c r="E26" i="12"/>
  <c r="F26" i="12"/>
  <c r="C45" i="12"/>
  <c r="D45" i="12"/>
  <c r="E45" i="12"/>
  <c r="F45" i="12"/>
  <c r="D62" i="12"/>
  <c r="C62" i="12"/>
  <c r="F62" i="12"/>
  <c r="E62" i="12"/>
  <c r="C58" i="12"/>
  <c r="D58" i="12"/>
  <c r="E58" i="12"/>
  <c r="F58" i="12"/>
  <c r="D36" i="12"/>
  <c r="C36" i="12"/>
  <c r="E36" i="12"/>
  <c r="F36" i="12"/>
  <c r="D18" i="12"/>
  <c r="C18" i="12"/>
  <c r="E18" i="12"/>
  <c r="F18" i="12"/>
  <c r="C15" i="12"/>
  <c r="E15" i="12"/>
  <c r="F15" i="12"/>
  <c r="D15" i="12"/>
  <c r="D44" i="12"/>
  <c r="F44" i="12"/>
  <c r="C44" i="12"/>
  <c r="E44" i="12"/>
  <c r="C87" i="11"/>
  <c r="D87" i="11"/>
  <c r="D38" i="12"/>
  <c r="C38" i="12"/>
  <c r="F38" i="12"/>
  <c r="E38" i="12"/>
  <c r="F68" i="12"/>
  <c r="D68" i="12"/>
  <c r="E68" i="12"/>
  <c r="C68" i="12"/>
  <c r="D17" i="12"/>
  <c r="C17" i="12"/>
  <c r="F17" i="12"/>
  <c r="E17" i="12"/>
  <c r="D30" i="12"/>
  <c r="C30" i="12"/>
  <c r="F30" i="12"/>
  <c r="E30" i="12"/>
  <c r="C9" i="12"/>
  <c r="D9" i="12"/>
  <c r="F9" i="12"/>
  <c r="E9" i="12"/>
  <c r="D66" i="12"/>
  <c r="C66" i="12"/>
  <c r="F66" i="12"/>
  <c r="E66" i="12"/>
  <c r="D37" i="12"/>
  <c r="C37" i="12"/>
  <c r="F37" i="12"/>
  <c r="E37" i="12"/>
  <c r="D174" i="13"/>
  <c r="D131" i="12"/>
  <c r="E174" i="13"/>
  <c r="C43" i="12"/>
  <c r="F43" i="12"/>
  <c r="D43" i="12"/>
  <c r="E43" i="12"/>
  <c r="D41" i="12"/>
  <c r="C41" i="12"/>
  <c r="F41" i="12"/>
  <c r="E41" i="12"/>
  <c r="C47" i="12"/>
  <c r="D47" i="12"/>
  <c r="F47" i="12"/>
  <c r="E47" i="12"/>
  <c r="E175" i="13"/>
  <c r="D175" i="13"/>
  <c r="C63" i="12"/>
  <c r="D63" i="12"/>
  <c r="F63" i="12"/>
  <c r="E63" i="12"/>
  <c r="F60" i="12"/>
  <c r="D60" i="12"/>
  <c r="E60" i="12"/>
  <c r="C60" i="12"/>
  <c r="C51" i="12"/>
  <c r="D51" i="12"/>
  <c r="F51" i="12"/>
  <c r="E51" i="12"/>
  <c r="D56" i="12"/>
  <c r="E56" i="12"/>
  <c r="C56" i="12"/>
  <c r="F56" i="12"/>
  <c r="C64" i="12"/>
  <c r="D64" i="12"/>
  <c r="E64" i="12"/>
  <c r="F64" i="12"/>
  <c r="C50" i="12"/>
  <c r="D50" i="12"/>
  <c r="F50" i="12"/>
  <c r="E50" i="12"/>
  <c r="C46" i="12"/>
  <c r="D46" i="12"/>
  <c r="F46" i="12"/>
  <c r="E46" i="12"/>
  <c r="D29" i="12"/>
  <c r="C29" i="12"/>
  <c r="E29" i="12"/>
  <c r="F29" i="12"/>
  <c r="C69" i="12"/>
  <c r="D69" i="12"/>
  <c r="F69" i="12"/>
  <c r="E69" i="12"/>
  <c r="D8" i="12"/>
  <c r="E8" i="12"/>
  <c r="F8" i="12"/>
  <c r="C8" i="12"/>
  <c r="C10" i="12"/>
  <c r="E10" i="12"/>
  <c r="D10" i="12"/>
  <c r="F10" i="12"/>
  <c r="C33" i="12"/>
  <c r="D33" i="12"/>
  <c r="E33" i="12"/>
  <c r="F33" i="12"/>
  <c r="E57" i="12"/>
  <c r="D57" i="12"/>
  <c r="C57" i="12"/>
  <c r="F57" i="12"/>
  <c r="H125" i="10" l="1"/>
  <c r="J125" i="10" s="1"/>
  <c r="L125" i="10" s="1"/>
  <c r="M125" i="10" s="1"/>
  <c r="H105" i="10"/>
  <c r="J105" i="10" s="1"/>
  <c r="L105" i="10" s="1"/>
  <c r="M105" i="10" s="1"/>
  <c r="H93" i="10"/>
  <c r="J93" i="10" s="1"/>
  <c r="L93" i="10" s="1"/>
  <c r="M93" i="10" s="1"/>
  <c r="H130" i="10"/>
  <c r="J130" i="10" s="1"/>
  <c r="L130" i="10" s="1"/>
  <c r="M130" i="10" s="1"/>
  <c r="H137" i="10"/>
  <c r="J137" i="10" s="1"/>
  <c r="L137" i="10" s="1"/>
  <c r="M137" i="10" s="1"/>
  <c r="H109" i="10"/>
  <c r="J109" i="10" s="1"/>
  <c r="L109" i="10" s="1"/>
  <c r="M109" i="10" s="1"/>
  <c r="H91" i="10"/>
  <c r="J91" i="10" s="1"/>
  <c r="L91" i="10" s="1"/>
  <c r="M91" i="10" s="1"/>
  <c r="H117" i="10"/>
  <c r="J117" i="10" s="1"/>
  <c r="L117" i="10" s="1"/>
  <c r="M117" i="10" s="1"/>
  <c r="H102" i="10"/>
  <c r="J102" i="10" s="1"/>
  <c r="L102" i="10" s="1"/>
  <c r="M102" i="10" s="1"/>
  <c r="H99" i="10"/>
  <c r="J99" i="10" s="1"/>
  <c r="L99" i="10" s="1"/>
  <c r="M99" i="10" s="1"/>
  <c r="H145" i="10"/>
  <c r="J145" i="10" s="1"/>
  <c r="L145" i="10" s="1"/>
  <c r="M145" i="10" s="1"/>
  <c r="H97" i="10"/>
  <c r="J97" i="10" s="1"/>
  <c r="L97" i="10" s="1"/>
  <c r="M97" i="10" s="1"/>
  <c r="H96" i="10"/>
  <c r="J96" i="10" s="1"/>
  <c r="L96" i="10" s="1"/>
  <c r="M96" i="10" s="1"/>
  <c r="H128" i="10"/>
  <c r="J128" i="10" s="1"/>
  <c r="L128" i="10" s="1"/>
  <c r="M128" i="10" s="1"/>
  <c r="H106" i="10"/>
  <c r="J106" i="10" s="1"/>
  <c r="L106" i="10" s="1"/>
  <c r="M106" i="10" s="1"/>
  <c r="H103" i="10"/>
  <c r="J103" i="10" s="1"/>
  <c r="L103" i="10" s="1"/>
  <c r="M103" i="10" s="1"/>
  <c r="H144" i="10"/>
  <c r="J144" i="10" s="1"/>
  <c r="L144" i="10" s="1"/>
  <c r="M144" i="10" s="1"/>
  <c r="H85" i="10"/>
  <c r="J85" i="10" s="1"/>
  <c r="L85" i="10" s="1"/>
  <c r="H141" i="10"/>
  <c r="J141" i="10" s="1"/>
  <c r="L141" i="10" s="1"/>
  <c r="M141" i="10" s="1"/>
  <c r="H86" i="10"/>
  <c r="J86" i="10" s="1"/>
  <c r="L86" i="10" s="1"/>
  <c r="M86" i="10" s="1"/>
  <c r="H113" i="10"/>
  <c r="J113" i="10" s="1"/>
  <c r="L113" i="10" s="1"/>
  <c r="M113" i="10" s="1"/>
  <c r="H98" i="10"/>
  <c r="J98" i="10" s="1"/>
  <c r="L98" i="10" s="1"/>
  <c r="M98" i="10" s="1"/>
  <c r="H100" i="10"/>
  <c r="J100" i="10" s="1"/>
  <c r="L100" i="10" s="1"/>
  <c r="M100" i="10" s="1"/>
  <c r="H146" i="10"/>
  <c r="J146" i="10" s="1"/>
  <c r="L146" i="10" s="1"/>
  <c r="M146" i="10" s="1"/>
  <c r="H118" i="10"/>
  <c r="J118" i="10" s="1"/>
  <c r="L118" i="10" s="1"/>
  <c r="M118" i="10" s="1"/>
  <c r="H101" i="10"/>
  <c r="J101" i="10" s="1"/>
  <c r="L101" i="10" s="1"/>
  <c r="M101" i="10" s="1"/>
  <c r="H142" i="10"/>
  <c r="J142" i="10" s="1"/>
  <c r="L142" i="10" s="1"/>
  <c r="M142" i="10" s="1"/>
  <c r="H87" i="10"/>
  <c r="J87" i="10" s="1"/>
  <c r="L87" i="10" s="1"/>
  <c r="M87" i="10" s="1"/>
  <c r="H95" i="10"/>
  <c r="J95" i="10" s="1"/>
  <c r="L95" i="10" s="1"/>
  <c r="M95" i="10" s="1"/>
  <c r="H104" i="10"/>
  <c r="J104" i="10" s="1"/>
  <c r="L104" i="10" s="1"/>
  <c r="M104" i="10" s="1"/>
  <c r="H143" i="10"/>
  <c r="J143" i="10" s="1"/>
  <c r="L143" i="10" s="1"/>
  <c r="M143" i="10" s="1"/>
  <c r="H136" i="10"/>
  <c r="J136" i="10" s="1"/>
  <c r="L136" i="10" s="1"/>
  <c r="M136" i="10" s="1"/>
  <c r="H127" i="10"/>
  <c r="J127" i="10" s="1"/>
  <c r="L127" i="10" s="1"/>
  <c r="M127" i="10" s="1"/>
  <c r="H92" i="10"/>
  <c r="J92" i="10" s="1"/>
  <c r="L92" i="10" s="1"/>
  <c r="M92" i="10" s="1"/>
  <c r="H120" i="10"/>
  <c r="J120" i="10" s="1"/>
  <c r="L120" i="10" s="1"/>
  <c r="M120" i="10" s="1"/>
  <c r="H108" i="10"/>
  <c r="J108" i="10" s="1"/>
  <c r="L108" i="10" s="1"/>
  <c r="M108" i="10" s="1"/>
  <c r="E150" i="12"/>
  <c r="D150" i="12"/>
  <c r="E154" i="12"/>
  <c r="D154" i="12"/>
  <c r="O49" i="20"/>
  <c r="P49" i="20" s="1"/>
  <c r="O41" i="20"/>
  <c r="P41" i="20" s="1"/>
  <c r="O17" i="20"/>
  <c r="P17" i="20" s="1"/>
  <c r="O69" i="20"/>
  <c r="P69" i="20" s="1"/>
  <c r="O125" i="20"/>
  <c r="P125" i="20" s="1"/>
  <c r="O103" i="20"/>
  <c r="P103" i="20" s="1"/>
  <c r="O115" i="20"/>
  <c r="P115" i="20" s="1"/>
  <c r="O59" i="20"/>
  <c r="P59" i="20" s="1"/>
  <c r="O61" i="20"/>
  <c r="P61" i="20" s="1"/>
  <c r="O47" i="20"/>
  <c r="P47" i="20" s="1"/>
  <c r="P39" i="20"/>
  <c r="P15" i="20"/>
  <c r="P93" i="20"/>
  <c r="P135" i="20"/>
  <c r="P129" i="20"/>
  <c r="P29" i="20"/>
  <c r="P25" i="20"/>
  <c r="P127" i="20"/>
  <c r="P33" i="20"/>
  <c r="P43" i="20"/>
  <c r="P31" i="20"/>
  <c r="P45" i="20"/>
  <c r="P50" i="20"/>
  <c r="P114" i="20"/>
  <c r="P48" i="20"/>
  <c r="P116" i="20"/>
  <c r="P38" i="20"/>
  <c r="P28" i="20"/>
  <c r="P42" i="20"/>
  <c r="P60" i="20"/>
  <c r="P68" i="20"/>
  <c r="P134" i="20"/>
  <c r="P96" i="20"/>
  <c r="P92" i="20"/>
  <c r="P16" i="20"/>
  <c r="C76" i="10"/>
  <c r="C63" i="10"/>
  <c r="C64" i="10" s="1"/>
  <c r="C66" i="10" s="1"/>
  <c r="D67" i="10" s="1"/>
  <c r="M46" i="20"/>
  <c r="O46" i="20" s="1"/>
  <c r="M32" i="20"/>
  <c r="O32" i="20" s="1"/>
  <c r="M44" i="20"/>
  <c r="O44" i="20" s="1"/>
  <c r="M126" i="20"/>
  <c r="O126" i="20" s="1"/>
  <c r="M40" i="20"/>
  <c r="O40" i="20" s="1"/>
  <c r="M102" i="20"/>
  <c r="O102" i="20" s="1"/>
  <c r="M128" i="20"/>
  <c r="O128" i="20" s="1"/>
  <c r="M14" i="20"/>
  <c r="O14" i="20" s="1"/>
  <c r="M36" i="20"/>
  <c r="O36" i="20" s="1"/>
  <c r="M24" i="20"/>
  <c r="O24" i="20" s="1"/>
  <c r="M58" i="20"/>
  <c r="O58" i="20" s="1"/>
  <c r="M78" i="20"/>
  <c r="O78" i="20" s="1"/>
  <c r="D233" i="11"/>
  <c r="E87" i="11"/>
  <c r="F87" i="11" s="1"/>
  <c r="H87" i="11" s="1"/>
  <c r="F72" i="12"/>
  <c r="D72" i="12"/>
  <c r="F71" i="12"/>
  <c r="E71" i="12"/>
  <c r="C71" i="12"/>
  <c r="D71" i="12"/>
  <c r="M85" i="10" l="1"/>
  <c r="D148" i="10"/>
  <c r="E148" i="10" s="1"/>
  <c r="D156" i="12"/>
  <c r="P128" i="20"/>
  <c r="P40" i="20"/>
  <c r="P126" i="20"/>
  <c r="P44" i="20"/>
  <c r="P102" i="20"/>
  <c r="C67" i="10"/>
  <c r="P32" i="20"/>
  <c r="P78" i="20"/>
  <c r="P58" i="20"/>
  <c r="P24" i="20"/>
  <c r="P36" i="20"/>
  <c r="P14" i="20"/>
  <c r="D84" i="12"/>
  <c r="D100" i="12" s="1"/>
  <c r="D102" i="12" s="1"/>
  <c r="D103" i="12" s="1"/>
  <c r="D82" i="12"/>
  <c r="D92" i="12" s="1"/>
  <c r="D83" i="12"/>
  <c r="D119" i="12" s="1"/>
  <c r="D120" i="12" s="1"/>
  <c r="D121" i="12" s="1"/>
  <c r="G87" i="11"/>
  <c r="I87" i="11" s="1"/>
  <c r="D149" i="10" l="1"/>
  <c r="C11" i="21" s="1"/>
  <c r="P46" i="20"/>
  <c r="C12" i="21"/>
  <c r="E103" i="12"/>
  <c r="D94" i="12"/>
  <c r="E92" i="12"/>
  <c r="D110" i="12"/>
  <c r="D113" i="12" s="1"/>
  <c r="D115" i="12" s="1"/>
  <c r="D88" i="11"/>
  <c r="C88" i="11"/>
  <c r="E88" i="11" l="1"/>
  <c r="F88" i="11" s="1"/>
  <c r="D112" i="12"/>
  <c r="D114" i="12" s="1"/>
  <c r="D116" i="12" s="1"/>
  <c r="D117" i="12" s="1"/>
  <c r="D118" i="12" l="1"/>
  <c r="H88" i="11"/>
  <c r="G88" i="11"/>
  <c r="I88" i="11" s="1"/>
  <c r="C89" i="11" s="1"/>
  <c r="E118" i="12"/>
  <c r="D172" i="12" l="1"/>
  <c r="C14" i="21" s="1"/>
  <c r="D89" i="11"/>
  <c r="E89" i="11" s="1"/>
  <c r="F89" i="11" s="1"/>
  <c r="H89" i="11" l="1"/>
  <c r="G89" i="11"/>
  <c r="I89" i="11" s="1"/>
  <c r="D90" i="11" s="1"/>
  <c r="C90" i="11" l="1"/>
  <c r="E90" i="11" s="1"/>
  <c r="F90" i="11" s="1"/>
  <c r="H90" i="11" s="1"/>
  <c r="G90" i="11" l="1"/>
  <c r="I90" i="11" s="1"/>
  <c r="D91" i="11" l="1"/>
  <c r="C91" i="11"/>
  <c r="E91" i="11" l="1"/>
  <c r="F91" i="11" s="1"/>
  <c r="H91" i="11" l="1"/>
  <c r="G91" i="11"/>
  <c r="I91" i="11" s="1"/>
  <c r="C92" i="11" s="1"/>
  <c r="D92" i="11" l="1"/>
  <c r="E92" i="11"/>
  <c r="F92" i="11" l="1"/>
  <c r="H92" i="11" s="1"/>
  <c r="G92" i="11" l="1"/>
  <c r="I92" i="11" s="1"/>
  <c r="D93" i="11" s="1"/>
  <c r="C93" i="11" l="1"/>
  <c r="E93" i="11" s="1"/>
  <c r="F93" i="11" s="1"/>
  <c r="H93" i="11" s="1"/>
  <c r="G93" i="11" l="1"/>
  <c r="I93" i="11" s="1"/>
  <c r="D94" i="11" s="1"/>
  <c r="C94" i="11" l="1"/>
  <c r="E94" i="11" s="1"/>
  <c r="F94" i="11" s="1"/>
  <c r="H94" i="11" s="1"/>
  <c r="G94" i="11" l="1"/>
  <c r="I94" i="11" s="1"/>
  <c r="D95" i="11" s="1"/>
  <c r="C95" i="11" l="1"/>
  <c r="E95" i="11" s="1"/>
  <c r="F95" i="11" s="1"/>
  <c r="H95" i="11" l="1"/>
  <c r="G95" i="11"/>
  <c r="I95" i="11" l="1"/>
  <c r="C96" i="11" s="1"/>
  <c r="D96" i="11" l="1"/>
  <c r="E96" i="11" s="1"/>
  <c r="F96" i="11" s="1"/>
  <c r="H96" i="11" s="1"/>
  <c r="G96" i="11" l="1"/>
  <c r="I96" i="11" s="1"/>
  <c r="D97" i="11" s="1"/>
  <c r="C97" i="11" l="1"/>
  <c r="E97" i="11" s="1"/>
  <c r="F97" i="11" s="1"/>
  <c r="H97" i="11" s="1"/>
  <c r="G97" i="11" l="1"/>
  <c r="I97" i="11" s="1"/>
  <c r="C98" i="11" s="1"/>
  <c r="D98" i="11" l="1"/>
  <c r="E98" i="11" s="1"/>
  <c r="D99" i="11" l="1"/>
  <c r="F98" i="11"/>
  <c r="G98" i="11" s="1"/>
  <c r="H98" i="11" l="1"/>
  <c r="I98" i="11" s="1"/>
  <c r="E99" i="11"/>
  <c r="D128" i="11" s="1"/>
  <c r="D100" i="11"/>
  <c r="D102" i="11" l="1"/>
  <c r="D101" i="11"/>
  <c r="D105" i="11"/>
  <c r="D131" i="11"/>
  <c r="D219" i="11"/>
  <c r="D130" i="11"/>
  <c r="D103" i="11" l="1"/>
  <c r="D133" i="11"/>
  <c r="D132" i="11"/>
  <c r="D134" i="11" s="1"/>
  <c r="D104" i="11"/>
  <c r="D107" i="11"/>
  <c r="E104" i="11"/>
  <c r="D212" i="11" l="1"/>
  <c r="E212" i="11" s="1"/>
  <c r="D211" i="11"/>
  <c r="D215" i="11"/>
  <c r="D217" i="11" s="1"/>
  <c r="D135" i="11"/>
  <c r="D136" i="11" s="1"/>
  <c r="D213" i="11" l="1"/>
  <c r="D214" i="11" s="1"/>
  <c r="D79" i="17" s="1"/>
  <c r="B78" i="17"/>
  <c r="D78" i="17" s="1"/>
  <c r="E137" i="11"/>
  <c r="D137" i="11"/>
  <c r="D84" i="17" l="1"/>
  <c r="C10" i="21" s="1"/>
  <c r="C15"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N2Dung</author>
  </authors>
  <commentList>
    <comment ref="C11" authorId="0" shapeId="0" xr:uid="{365D8CCE-C3BB-4C91-8252-7E9C3ACE29E8}">
      <text>
        <r>
          <rPr>
            <b/>
            <sz val="9"/>
            <color indexed="81"/>
            <rFont val="Tahoma"/>
            <family val="2"/>
          </rPr>
          <t>Chỉ dùng khi công tắc B150=0. Khi =1, số thanh/Ф lấy từ BẢNG THÉP bên dưới.</t>
        </r>
      </text>
    </comment>
    <comment ref="D11" authorId="0" shapeId="0" xr:uid="{A74445C6-D25E-4BB6-884F-19A67BC3822D}">
      <text>
        <r>
          <rPr>
            <b/>
            <sz val="9"/>
            <color indexed="81"/>
            <rFont val="Tahoma"/>
            <family val="2"/>
          </rPr>
          <t>Ast: nếu công tắc B150=1 → lấy Σ từ BẢNG THÉP (hàng 138–147); nếu =0 → C11·π·G11²/4 như cũ.</t>
        </r>
      </text>
    </comment>
    <comment ref="D12" authorId="0" shapeId="0" xr:uid="{E15ED9A2-0242-47C3-9EE2-8F8CC42D08B1}">
      <text>
        <r>
          <rPr>
            <b/>
            <sz val="9"/>
            <color indexed="81"/>
            <rFont val="Tahoma"/>
            <family val="2"/>
          </rPr>
          <t>d' = trọng tâm thép Σ(A·y)/ΣA từ BẢNG THÉP (B150=1); nếu =0 → ô B151 thủ công. Đừng gõ trực tiếp.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N2Dung</author>
  </authors>
  <commentList>
    <comment ref="D14" authorId="0" shapeId="0" xr:uid="{0F48D35A-D97F-4B8F-A67D-AAAEC0C050EA}">
      <text>
        <r>
          <rPr>
            <b/>
            <sz val="9"/>
            <color indexed="81"/>
            <rFont val="Tahoma"/>
            <family val="2"/>
          </rPr>
          <t>= bình quân theo Aps của 'α ma sát' các nhóm (khối đường cáp).</t>
        </r>
      </text>
    </comment>
    <comment ref="F25" authorId="0" shapeId="0" xr:uid="{4280DC33-4FDE-4221-9712-815C992BAF48}">
      <text>
        <r>
          <rPr>
            <b/>
            <sz val="9"/>
            <color indexed="81"/>
            <rFont val="Tahoma"/>
            <family val="2"/>
          </rPr>
          <t>Được điều khiển bởi KHỐI ĐƯỜNG CÁP (hàng 66–72), cột 'e dùng'. Đừng gõ trực tiếp.</t>
        </r>
      </text>
    </comment>
    <comment ref="H25" authorId="0" shapeId="0" xr:uid="{DEAF5E33-B7FF-4081-A145-BE790962BA58}">
      <text>
        <r>
          <rPr>
            <b/>
            <sz val="9"/>
            <color indexed="81"/>
            <rFont val="Tahoma"/>
            <family val="2"/>
          </rPr>
          <t>Được điều khiển bởi KHỐI ĐƯỜNG CÁP (hàng 66–72), cột 'αv mặt cắt'. Đừng gõ trực tiếp.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N2Dung</author>
  </authors>
  <commentList>
    <comment ref="D131" authorId="0" shapeId="0" xr:uid="{8BFB89CA-5DCE-4B76-A7D2-198125F1CEBB}">
      <text>
        <r>
          <rPr>
            <b/>
            <sz val="9"/>
            <color indexed="81"/>
            <rFont val="Tahoma"/>
            <charset val="1"/>
          </rPr>
          <t>Vu = Pmax cọc NGUYÊN (thiên an toàn) — bỏ qua phần phản lực nằm TRONG chu vi nguy hiểm theo 13.3.6.1. Nếu cần chính xác, trừ tỷ phần phản lực trong chu vi.</t>
        </r>
      </text>
    </comment>
  </commentList>
</comments>
</file>

<file path=xl/sharedStrings.xml><?xml version="1.0" encoding="utf-8"?>
<sst xmlns="http://schemas.openxmlformats.org/spreadsheetml/2006/main" count="3850" uniqueCount="2134">
  <si>
    <t>BẢN TÍNH TRỤ CẦU 1 THÂN THEO TCVN 11823:2017 — FILE MẪU THAM SỐ HÓA</t>
  </si>
  <si>
    <t>QUY TRÌNH: INPUT → TINH TAI/HOAT TAI/GIO-WA/DONG DAT/VA XE-TAU → TO HOP (đỉnh bệ + đáy bệ) → TS-PILE (dán tổ hợp đáy bệ, nhận phản lực cọc) → KT THAN (nội lực đỉnh bệ), XA MU, KT BE (phản lực cọc) → TS-COL-CAP (kiểm cọc).</t>
  </si>
  <si>
    <t>QUY ƯỚC: X = dọc cầu, Y = ngang cầu, N = đứng (+nén). Mx = mô men do lực NGANG; My = do lực DỌC/lệch tâm. Ô vàng chữ xanh = NHẬP; kết luận tự đổi màu. Đơn vị kN, m, MPa; bảng TS-PILE/TS-COL: tấn (/9,81).</t>
  </si>
  <si>
    <t>GIẢ THIẾT MÔ HÌNH: (1) Phản lực KCN nhập trực tiếp theo từng nhịp. (2) Hoạt tải xét 2 kiểu chất: 2 nhịp (làn 2 bên + 90% hai xe tải — Điều 6.1.3.1) và 1 nhịp (gây My lệch tâm). (3) Gió đứng chỉ vào CĐ III (Điều 8.2). (4) Va xe CT = 1800 kN @1,2 m trên mặt đất (Điều 6.5.2); va tàu CV nhập từ tính riêng (Điều 14). (5) Thân trụ: kiểm nén–uốn 2 phương bằng bảng tương tác tiết diện chữ nhật tương đương + Điều 7.4.5; độ mảnh khuếch đại δb. (6) Xà mũ phương ngang: mô hình công-xon, uốn giải TƯƠNG THÍCH BIẾN DẠNG từng lớp (không giả thiết chảy dẻo); a_v/d≤1 → công-xôn ngắn (ma sát cắt), 1–2 → bắt buộc STM, ≥2 → PP mặt cắt thường. (7) Xà mũ phương dọc: công-xôn + xoắn do gối lệch tâm + ma sát cắt mặt tiếp giáp thân (mục 11, tổng hợp 3 điều khoản, KHÔNG có điều riêng gộp sẵn trong TCVN/AASHTO).</t>
  </si>
  <si>
    <t>Đặc biệt I dùng hệ số 1,0 cho tải thường xuyên; có đủ nhánh γp min; động đất 100%+30%; WA (dòng chảy, đẩy nổi) hệ số 1,0 mọi tổ hợp.</t>
  </si>
  <si>
    <t>★ NHẬT KÝ SỬA v26 — các ô/mục có tiền tố ★SỬA/★MỚI trong file là nội dung đã chỉnh:</t>
  </si>
  <si>
    <t>• INPUT!F26/F37 — SỬA lỗi TRÙNG TÊN hthan (cạnh dọc 1,6 m) và Hthan (chiều cao 8,4 m): đổi chiều cao thành "Hcot". Trước đây Excel gộp 2 tên → thân bị hiểu dày 8,4 m, sai Ag, I, động đất, KT THAN, KT BE.</t>
  </si>
  <si>
    <t>• INPUT mục 2c — DỰNG LẠI khối gối theo MÔ HÌNH CÓ DẤU từng hàng: u_p=Σk·u/(Kp+2k), H_p=Kp·u_p. Hệ đối xứng → H_p≈0 (từng hàng vẫn có lực để kiểm gối). Tách TU+ và TU−.</t>
  </si>
  <si>
    <t>• INPUT mục 2c — Nhiệt theo Tmax/Tmin/T0 (nhiệt lắp đặt); co ngót+từ biến chỉ phần CÒN LẠI sau lắp gối, có chế độ NHẬP ΔL từ RM Bridge.</t>
  </si>
  <si>
    <t>• INPUT mục 2c — chế độ lực NET (có dấu, vật lý) / ENVELOPE (bao, không triệt tiêu). Bảng SƠ ĐỒ LIÊN tính lực dồn CÓ DẤU (bỏ ABS).</t>
  </si>
  <si>
    <t>• INPUT mục 2 — vị trí DỌC hàng gối trái/phải nhập RIÊNG (e_trái, e_phải) + góc chéo; trước giả thiết đối xứng ±e_g.</t>
  </si>
  <si>
    <t>• INPUT/KT THAN — hàm lượng &amp; bảng P–M dùng Ag tại ĐÁY; thêm công tắc không đổi tiết diện; N &amp; độ cứng liên tự tính.</t>
  </si>
  <si>
    <t>• XA MU mục 6 — STM xét gối GẦN thân NHẤT (trước dùng gối ngoài cùng → sai; nay a_v nhỏ → cảnh báo STM đúng).</t>
  </si>
  <si>
    <t>• XA MU mục 7 — thép chủ NHIỀU LỚP, số thanh NGUYÊN, bó đôi/ba/tư, kiểm bó &amp; cự ly (bỏ cách As=Abar·b/s).</t>
  </si>
  <si>
    <t>• XA MU mục 8 &amp; check_block — fss KHÔNG cap ở 0,6fy (lộ đúng quá ứng suất); kiểm nứt yêu cầu fss ≤ 0,6fy.</t>
  </si>
  <si>
    <t>• XA MU mục 9 &amp; check_block — bắt buộc đai tối thiểu khi Vu &gt; 0,5φVc; cắt tính tại dv.</t>
  </si>
  <si>
    <t>• TS-COL-CAP — ngưỡng phân loại TTGH theo nLan (3n/9n+2), bỏ hard-code 18/56.</t>
  </si>
  <si>
    <t>• TINH TAI — bỏ magic number 10 dầm &amp; 0,2 m (dùng ndam, tsban).</t>
  </si>
  <si>
    <t>• ★MỚI (v23) INPUT mục gối — μ ma sát PTFE tự tính theo LOẠI mặt trượt + áp suất tiếp xúc σ (nội suy Bảng 14.7.2.5-1), có chế độ MANUAL dự phòng (mumode=1). Bảng μ mặc định là THAM KHẢO — đối chiếu bảng gốc trước khi dùng (mumode=2).</t>
  </si>
  <si>
    <t>• ★MỚI (v23) INPUT/TO HOP — công tắc gcmode (1=tiết diện NGUYÊN/Gross, 2=NỨT/Cracked) tự chuyển γTU/CR/SH giữa 0,5 và 1,0 trong CÁC Ô tổ hợp CĐ đang dùng 0,5 (không đụng tổ hợp SD, vốn đã cố định 1,0).</t>
  </si>
  <si>
    <t>• ★MỚI (v23) XA MU mục 7 — thêm chế độ bố trí thép THEO BƯỚC (nhập bước mục tiêu s; số thanh n = CEILING tự tính để s thực tế ≤ s mục tiêu), song song chế độ đếm thủ công cũ (Chế độ=0/1).</t>
  </si>
  <si>
    <t>• ★MỚI (v23) XA MU mục 1 — x_face_eff: cho phép NHẬP TAY vị trí mặt cắt nguy hiểm khi cần (mặc định 0 = tự tính như cũ theo hình dạng vai/chamfer).</t>
  </si>
  <si>
    <t>• ★SỬA (v23) XA MU mục 6 — mở rộng cảnh báo STM thành 3 vùng theo a_v/d: ≤1 công-xôn ngắn (PP ma sát cắt, Điều 5.13.2.4), 1–2 bắt buộc STM (Điều 5.6.3/8.1.1), ≥2 PP mặt cắt thông thường (8.3.4.2) đủ dùng — trước chỉ có 1 ngưỡng nhị phân a_v&lt;2d.</t>
  </si>
  <si>
    <t>• ★MỚI (v23) XA MU mục 7b — chiều dài triển khai Ld tính RIÊNG từng lớp thép, tự nhân hệ số bó thanh (Điều 5.11.2.3: +20% bó 3, +33% bó 4) và hệ số thanh trên (Điều 5.11.2.1.2 — hệ số mặc định 1,4 ★ CẦN kỹ sư xác minh lại), so với chiều dài neo bố trí thực tế nhập tay.</t>
  </si>
  <si>
    <t>• ★SỬA (v23) XA MU mục 7 — THAY công thức uốn cũ (giả thiết MỌI lớp thép đều CHẢY DẺO tại fy) bằng GIẢI TƯƠNG THÍCH BIẾN DẠNG từng lớp bằng CHIA ĐÔI 20 vòng (bảng tường minh, không dùng lặp vòng tròn/circular ref): mỗi lớp tính đúng εᵢ = 0,003(dᵢ−c)/c, fsᵢ = Es·εᵢ kẹp ±fy — xử lý ĐÚNG thép CHƯA CHẢY (dưới fy) và thép nằm trong VÙNG NÉN (trừ đúng phần bê tông choán chỗ 0,85f'c·As cho lớp trong khối ứng suất a). Đã kiểm chứng bằng ca thử riêng ép 1 lớp vào vùng nén + 1 lớp chưa chảy, khớp tuyệt đối với tính tay Python.</t>
  </si>
  <si>
    <t>• ★MỚI (v23) XA MU mục 11 — KIỂM TOÁN XÀ MŨ PHƯƠNG DỌC CẦU (TCVN/AASHTO không có điều riêng gộp sẵn — tổng hợp 3 kiểm toán từ 3 điều khoản liên quan, ghi rõ trong file): (a) công-xôn dọc do hàng gối lệch tâm ngoài mép thân; (b) xoắn dọc (PP tổng quát cắt+xoắn, dùng lại θ mục 9) do CHÍNH lực lệch tâm đó; (c) ma sát cắt truyền lực ngang dọc cầu (BR/TU/CR/SH) qua mặt tiếp giáp xà mũ–thân (Điều 5.7.4.3). Toàn bộ số liệu VẾ TẢI TRỌNG lấy lại từ các ô đã có, không nhập tay; chỉ số liệu vế SỨC KHÁNG mới (loại mặt tiếp giáp, c/μ, AL bố trí) là input mới bắt buộc vì đây là quyết định thiết kế thật sự.</t>
  </si>
  <si>
    <t>• ★SỬA LỖI (v24) INPUT mục 2c — ΔL co ngót+từ biến (chế độ 1) trước đây CHỈ có 1 ô dùng chung, code tự lấy ĐÚNG BẰNG giá trị đó gán ngược dấu cho 2 hàng gối → luôn triệt tiêu 100%, H_CS LUÔN = 0 dù nhập bất kỳ số nào (đã kiểm tra bằng số: nhập ΔL=15mm, kể cả nhịp trái/phải khác chiều dài, H_CS vẫn = 0 tuyệt đối). Nay TÁCH thành 2 ô ĐỘC LẬP "ΔL_CS,T" và "ΔL_CS,P" — mỗi nhịp lấy từ RM Bridge riêng, không còn ép triệt tiêu. Đã kiểm tra lại: nhập 2 giá trị KHÁC nhau (10 &amp; 25mm) → H_CS = 540 kN (đúng, khác 0); nhập 2 giá trị BẰNG nhau (15=15mm, đúng trường hợp 2 nhịp thật sự đối xứng) → H_CS = 0 (đúng vật lý, không phải lỗi).</t>
  </si>
  <si>
    <t>• ★MỚI (v24) INPUT — banner "BẠN ĐANG TÍNH TRỤ NÀO" ngay đầu sheet INPUT (dòng 4-6), tự dò dòng có chữ "đang tính" trong bảng SƠ ĐỒ LIÊN (mục 2c) và hiển thị lại vị trí (thứ mấy/9, cách điểm cố định bao nhiêu m) — trả lời trực tiếp việc không biết trụ đang tính nằm ở đâu trong chuỗi mà không phải kéo xuống mục 2c tìm. Kèm ô ĐỐI CHIẾU tự động giữa LOẠI ghi trong bảng SƠ ĐỒ LIÊN và ô LOẠI GỐI ở mục 5 (2 ô này mô tả CÙNG 1 trụ nhưng trước đây không có gì ràng buộc, có thể lệch nhau âm thầm) — báo ⚠ LỆCH nếu 2 ô không khớp.</t>
  </si>
  <si>
    <t>• ★MỚI (v25) INPUT mục 2c/5 — PHÂN LOẠI GỐI THEO TỪNG HÀNG (trái/phải riêng biệt, không còn 1 ô chung cho cả trụ): chọn theo LIST 5 loại (Cao su, Chậu di động 2 phương, Chậu di động 1 phương dọc, Chậu di động 1 phương ngang, Cố định) tự map sang SLIDE/FIXED/ELASTIC qua bảng tra. ★LƯU Ý: người dùng liệt kê 4 loại, đã CHỦ ĐỘNG THÊM "Cố định" thành lựa chọn thứ 5 — bắt buộc phải có vì cơ chế chuỗi cần ÍT NHẤT 1 điểm khóa cứng làm mốc, nếu không cả chuỗi trôi tự do (vô nghiệm vật lý); có thể xóa khỏi danh mục nếu dự án chắc chắn không dùng gối cố định. Dựng lại toàn bộ động cơ truyền lực THEO TỪNG NHỊP/TỪNG ĐẦU gối (tham khảo kiến trúc "ENGINE GỐI V26" người dùng cung cấp, đã rà soát và SỬA 2 điểm trước khi dùng: (1) hệ số phân bổ chuyển vị nhiệt/từ biến/co ngót mỗi nhịp theo trạng thái 2 đầu — đầu FIXED nhận 0%, đầu kia nhận 100%, khi cả 2 đầu đều không FIXED thì chia đôi 50/50; (2) cảnh báo "nhiều điểm cố định" bản gốc chỉ so 2 phía CÙNG 1 trụ — sai, không phát hiện đúng trường hợp 1 NHỊP bị khóa cứng ở CẢ 2 ĐẦU thuộc 2 trụ liền kề khác nhau; nay kiểm đúng theo từng nhịp giữa 2 trụ liền kề). Đã kiểm chứng bằng 6 kịch bản số độc lập (cả 2 gối trượt; gối trái cố định + phải đàn hồi; nhịp khóa cứng 2 đầu → cảnh báo đúng kích hoạt; toàn chuỗi không có điểm cố định nào → cảnh báo đúng kích hoạt; v.v.), các công thức khớp tuyệt đối với tính tay.</t>
  </si>
  <si>
    <t>• ★MỚI (v25) XA MU mục 9 — DỰNG LẠI HOÀN TOÀN phương án xà mũ DỰ ỨNG LỰC: từ 1 khối tính 1 lần (fpe nhập tay ước lượng) thành CHUỖI GIAI ĐOẠN đúng trình tự thi công theo Điều 9.4/9.5 TCVN 11823-5: (9a) mất mát TỨC THỜI — ma sát tuột ống gen (PT123), tụt neo (PT124), co ngắn đàn hồi kéo sau (PT126, có hệ số (N−1)/2N theo số bó cáp giống nhau N); (9b) mất mát DÀI HẠN theo PHƯƠNG PHÁP CHÍNH XÁC (Điều 9.5.4, PT130-138: hệ số từ biến ψ và co ngót εsh theo Điều 4.2.3, hệ số Kdf) — riêng cho trường hợp cáp kéo sau KHÔNG phân đoạn/KHÔNG có bản liên hợp, áp dụng đúng Điều 9.5.4.5 (bỏ phần mất mát giai đoạn "từ lúc căng đến khi đổ bản" vì không có bản, chỉ tính phần dài hạn còn lại); fpe nay là GIÁ TRỊ TỰ TÍNH (fpj trừ dần từng mất mát), không còn là ô nhập tay ước lượng như bản v24; (9d) kiểm ỨNG SUẤT TÁCH RIÊNG 2 giai đoạn — TRUYỀN LỰC dùng fpt/f'ci/giới hạn Bảng 7 (kéo tạm thời), KHAI THÁC dùng fpe/f'c/giới hạn Bảng 8 (nén, dùng mô men THƯỜNG XUYÊN không kể hoạt tải theo đúng lời văn Bảng 8) và Bảng 9 (kéo, tùy điều kiện ăn mòn). Đã kiểm tra bằng Python ĐỘC LẬP toàn bộ chuỗi (từ fpj đến fpe, cả bảng ứng suất 2 giai đoạn) theo đúng công thức TCVN 11823-5 — khớp tuyệt đối (sai số chỉ do làm tròn dấu phẩy động, ~1e-15) với Excel; qua đó PHÁT HIỆN VÀ SỬA 1 lỗi trước khi bàn giao: công thức ứng suất mép trên/dưới bản nháp đầu tiên dùng NHẦM độ lệch tâm cáp "e" (635 mm) làm khoảng cách trọng tâm→mép tiết diện (đúng ra phải là h/2 = 865 mm, 2 đại lượng khác nhau) — đã tách riêng thành 2 ô "e" (lệch tâm cáp) và "yb" (khoảng cách trọng tâm→mép, ô mới), kiểm lại bằng công thức mô men kháng uốn W=I/yb cho kết quả giống hệt.</t>
  </si>
  <si>
    <t>• ★SỬA (v26) INPUT mục 0/2c — ĐỔI cách chọn "trụ đang tính": thay vì gõ chèn chữ "(đang tính)" vào TÊN trong bảng SƠ ĐỒ LIÊN (dễ gõ sai/gõ trùng/quên xóa ở dòng cũ khi đổi trụ), nay CHỌN TÊN qua Ô LIST RIÊNG ngay đầu sheet (mục 0), khớp bằng MATCH chính xác với cột TÊN trong bảng SƠ ĐỒ LIÊN — đối chiếu ý tưởng từ 1 bản kiểm QA khác của người dùng (v28A_CLEAN_GATE1) thấy cách chọn theo ô-list này rõ ràng và khó gõ sai hơn nên ĐỔI THEO. Không đổi bất kỳ công thức nội lực/gối nào khác — curidx vẫn cùng 1 công thức MATCH, chỉ đổi NGUỒN khớp từ "tìm chữ đang tính trong tên" sang "khớp đúng tên đã chọn".</t>
  </si>
  <si>
    <t>CÒN LẠI (chưa làm ở bản này): kiểm STM chi tiết bằng mô hình giàn (mục 6 chỉ phân vùng CẢNH BÁO, chưa dựng giàn ảo); động đất mố (kh, ±100/±30); chốt chặn khi chưa dán phản lực cọc.</t>
  </si>
  <si>
    <t>★ CẦN KỸ SƯ TỰ XÁC MINH trước khi dùng (số liệu tham khảo, chưa đối chiếu trực tiếp bản gốc TCVN/AASHTO còn hiệu lực): bảng μ PTFE theo áp suất (mục gối, Bảng 14.7.2.5-1); hệ số thanh trên Ld=1,4 (XA MU 7b, Điều 5.11.2.1.2); c/μ ma sát cắt dọc cầu (XA MU 11c, Điều 5.7.4.4); công thức Vu,hiệu dụng gộp cắt+xoắn khi kiểm ép vỡ (XA MU 11b — suy từ ví dụ mẫu AASHTO, KHÔNG phải trích nguyên văn); XA MU mục 9 — hệ số K/μ ma sát ống gen (Bảng 10), Δa tụt neo, tỉ số kích fpj/fpu, độ ẩm H, tuổi bê tông ti/tf: TOÀN BỘ là số liệu THIẾT BỊ NEO-ỐNG GEN/KHÍ TƯỢNG THỰC TẾ của dự án, giá trị mặc định chỉ để MINH HỌA; giả thiết cáp THẲNG (α=0) và CĂNG 2 ĐẦU (x=Lxm/2) cũng cần sửa lại nếu cáp có vuốt cong hoặc chỉ căng 1 đầu.</t>
  </si>
  <si>
    <t>SỐ LIỆU ĐẦU VÀO</t>
  </si>
  <si>
    <t>Cầu / Hạng mục:</t>
  </si>
  <si>
    <t>Km19+000 / Trụ T1</t>
  </si>
  <si>
    <t>★SỬA (v26) BẠN ĐANG TÍNH TRỤ/MỐ NÀO? — CHỌN TÊN Ở Ô VÀNG DƯỚI ĐÂY (list lấy từ bảng "SƠ ĐỒ LIÊN" mục 2c)</t>
  </si>
  <si>
    <t>• Tên trụ/mố ĐANG TÍNH (chọn từ danh sách):</t>
  </si>
  <si>
    <t>Trụ T1</t>
  </si>
  <si>
    <t>• Vị trí trong chuỗi:</t>
  </si>
  <si>
    <t>• Gối của trụ đang tính &amp; cảnh báo:</t>
  </si>
  <si>
    <t>1. KẾT CẤU NHỊP</t>
  </si>
  <si>
    <t>Chiều dài nhịp TRÁI</t>
  </si>
  <si>
    <t>L1</t>
  </si>
  <si>
    <t>m</t>
  </si>
  <si>
    <t>Chiều dài nhịp PHẢI</t>
  </si>
  <si>
    <t>L2</t>
  </si>
  <si>
    <t>Nhịp trái/phải có thể khác chiều dài</t>
  </si>
  <si>
    <t>K/c đầu dầm đến tim gối</t>
  </si>
  <si>
    <t>a₀</t>
  </si>
  <si>
    <t>Nhịp tính toán trái</t>
  </si>
  <si>
    <t>Ls1</t>
  </si>
  <si>
    <t>Nhịp tính toán phải</t>
  </si>
  <si>
    <t>Ls2</t>
  </si>
  <si>
    <t>Bề rộng toàn cầu</t>
  </si>
  <si>
    <t>W</t>
  </si>
  <si>
    <t>Bề rộng phần xe chạy</t>
  </si>
  <si>
    <t>Bxe</t>
  </si>
  <si>
    <t>Bề rộng lan can (một bên)</t>
  </si>
  <si>
    <t>blc</t>
  </si>
  <si>
    <t>Bề rộng lề bộ hành (tổng)</t>
  </si>
  <si>
    <t>bpl</t>
  </si>
  <si>
    <t>Số làn xe</t>
  </si>
  <si>
    <t>nl</t>
  </si>
  <si>
    <t>làn</t>
  </si>
  <si>
    <t>Điều 6.1.1.1: INT(w/3600); 6,0–7,2 m → 2 làn</t>
  </si>
  <si>
    <t>Chiều cao dầm + bản + lan can (chắn gió)</t>
  </si>
  <si>
    <t>dkcn</t>
  </si>
  <si>
    <t>Chiều cao gối + đá kê</t>
  </si>
  <si>
    <t>hgối</t>
  </si>
  <si>
    <t>Phản lực DC KCN — nhịp trái</t>
  </si>
  <si>
    <t>DC1t</t>
  </si>
  <si>
    <t>kN</t>
  </si>
  <si>
    <t>Tự tính ở TINH TAI mục 0</t>
  </si>
  <si>
    <t>Phản lực DC KCN — nhịp phải</t>
  </si>
  <si>
    <t>DC1p</t>
  </si>
  <si>
    <t>Phản lực DW — nhịp trái</t>
  </si>
  <si>
    <t>DWt</t>
  </si>
  <si>
    <t>Phản lực DW — nhịp phải</t>
  </si>
  <si>
    <t>DWp</t>
  </si>
  <si>
    <t>★SỬA Vị trí DỌC hàng gối nhịp TRÁI so tim trụ (có dấu)</t>
  </si>
  <si>
    <t>e_trái</t>
  </si>
  <si>
    <t>2 hàng có thể LỆCH khác nhau (cầu chéo)</t>
  </si>
  <si>
    <t>★SỬA Vị trí DỌC hàng gối nhịp PHẢI so tim trụ (có dấu)</t>
  </si>
  <si>
    <t>e_phải</t>
  </si>
  <si>
    <t>Dấu + hướng nhịp phải; nhập riêng từng hàng</t>
  </si>
  <si>
    <t>Góc chéo cầu (90° = vuông góc)</t>
  </si>
  <si>
    <t>α_skew</t>
  </si>
  <si>
    <t>độ</t>
  </si>
  <si>
    <t>Cầu chéo: 2 hàng gối lệch cả phương ngang (khai ở bảng gối XÀ MŨ)</t>
  </si>
  <si>
    <t>2. KÍCH THƯỚC TRỤ (mặt cắt kiểm toán nén–uốn thân là ĐÁY thân = đỉnh bệ)</t>
  </si>
  <si>
    <t>Thân trụ tại ĐÁY (chân): cạnh NGANG cầu</t>
  </si>
  <si>
    <t>bth1</t>
  </si>
  <si>
    <t>TIẾT DIỆN KIỂM TOÁN thân trụ</t>
  </si>
  <si>
    <t>Thân trụ tại ĐÁY (chân): cạnh DỌC cầu</t>
  </si>
  <si>
    <t>hth1</t>
  </si>
  <si>
    <t>Dạng tiết diện (0 chữ nhật; 1 đầu tròn; 2 vát góc)</t>
  </si>
  <si>
    <t>dạng</t>
  </si>
  <si>
    <t>-</t>
  </si>
  <si>
    <t>Xem sơ đồ</t>
  </si>
  <si>
    <t>Cạnh vát chamfer phương NGANG cx (dạng 2)</t>
  </si>
  <si>
    <t>cx</t>
  </si>
  <si>
    <t>Cạnh vát chamfer phương DỌC cy (dạng 2)</t>
  </si>
  <si>
    <t>cy</t>
  </si>
  <si>
    <t>Có thể khác cx</t>
  </si>
  <si>
    <t>Thân ĐỔI tiết diện theo chiều cao? 0 = KHÔNG (đỉnh = đáy); 1 = CÓ</t>
  </si>
  <si>
    <t>đổi</t>
  </si>
  <si>
    <t>0 → đỉnh giữ nguyên = đáy, Ag đỉnh = Ag đáy</t>
  </si>
  <si>
    <t>(Chỉ khi đổi tiết diện = 1) cạnh NGANG tại ĐỈNH</t>
  </si>
  <si>
    <t>bth2</t>
  </si>
  <si>
    <t>Bỏ qua nếu không đổi tiết diện</t>
  </si>
  <si>
    <t>(Chỉ khi đổi tiết diện = 1) cạnh DỌC tại ĐỈNH</t>
  </si>
  <si>
    <t>hth2</t>
  </si>
  <si>
    <t>Cạnh NGANG tại đỉnh dùng để tính</t>
  </si>
  <si>
    <t>bth2*</t>
  </si>
  <si>
    <t>đỉnh = đáy khi không đổi tiết diện</t>
  </si>
  <si>
    <t>Cạnh DỌC tại đỉnh dùng để tính</t>
  </si>
  <si>
    <t>hth2*</t>
  </si>
  <si>
    <t>Ag tại ĐÁY (dùng kiểm nén–uốn &amp; hàm lượng thép thân)</t>
  </si>
  <si>
    <t>Ag_đáy</t>
  </si>
  <si>
    <t>m²</t>
  </si>
  <si>
    <t>TIẾT DIỆN KIỂM TOÁN</t>
  </si>
  <si>
    <t>Ag tại ĐỈNH</t>
  </si>
  <si>
    <t>Ag_đỉnh</t>
  </si>
  <si>
    <t>bằng Ag đáy khi không đổi tiết diện</t>
  </si>
  <si>
    <t>Chiều cao thân trụ (đỉnh bệ → đáy xà mũ)</t>
  </si>
  <si>
    <t>Hth</t>
  </si>
  <si>
    <t>↓ Phần MỞ RỘNG ĐỈNH THÂN (đầu búa — vát thẳng phương NGANG cầu, đỡ xà mũ). Chỉ ảnh hưởng trọng lượng &amp; bề rộng đỡ xà mũ, KHÔNG dùng cho kiểm nén–uốn thân.</t>
  </si>
  <si>
    <t>Bề rộng NGANG tại đỉnh mở rộng bmr (= bth2* nếu không loe)</t>
  </si>
  <si>
    <t>bmr</t>
  </si>
  <si>
    <t>đáy xà mũ</t>
  </si>
  <si>
    <t>Chiều cao đoạn vát mở rộng hmr (0 = không loe)</t>
  </si>
  <si>
    <t>hmr</t>
  </si>
  <si>
    <t>từ đáy xà mũ xuống</t>
  </si>
  <si>
    <t>Ag tại đỉnh mở rộng</t>
  </si>
  <si>
    <t>Agmr</t>
  </si>
  <si>
    <t>Xà mũ: chiều cao tại ngàm</t>
  </si>
  <si>
    <t>hxm</t>
  </si>
  <si>
    <t>Xà mũ: bề rộng (dọc cầu)</t>
  </si>
  <si>
    <t>bxm</t>
  </si>
  <si>
    <t>Xà mũ: chiều dài toàn bộ (ngang cầu)</t>
  </si>
  <si>
    <t>Lxm</t>
  </si>
  <si>
    <t>Xà mũ: thể tích (kể vút)</t>
  </si>
  <si>
    <t>Vxm</t>
  </si>
  <si>
    <t>m³</t>
  </si>
  <si>
    <t>Tính tay theo bản vẽ</t>
  </si>
  <si>
    <t>Số gối trên MỖI hàng gối</t>
  </si>
  <si>
    <t>ng</t>
  </si>
  <si>
    <t>gối</t>
  </si>
  <si>
    <t>Trụ 2 hàng → tổng gối = 2·ng (các mục khác tự lấy theo)</t>
  </si>
  <si>
    <t>Khoảng cách các gối (ngang cầu)</t>
  </si>
  <si>
    <t>sg</t>
  </si>
  <si>
    <t>Bệ: kích thước DỌC cầu</t>
  </si>
  <si>
    <t>Bbe</t>
  </si>
  <si>
    <t>Bệ: kích thước NGANG cầu</t>
  </si>
  <si>
    <t>Cbe</t>
  </si>
  <si>
    <t>Bệ: chiều cao</t>
  </si>
  <si>
    <t>Hbe</t>
  </si>
  <si>
    <t>3. VẬT LIỆU</t>
  </si>
  <si>
    <t>f'c</t>
  </si>
  <si>
    <t>MPa</t>
  </si>
  <si>
    <t>fy</t>
  </si>
  <si>
    <t>Es</t>
  </si>
  <si>
    <t>γ BTCT</t>
  </si>
  <si>
    <t>γc</t>
  </si>
  <si>
    <t>kN/m³</t>
  </si>
  <si>
    <t>Ec</t>
  </si>
  <si>
    <t>Điều 4.2.4</t>
  </si>
  <si>
    <t>fr</t>
  </si>
  <si>
    <t>4. NƯỚC &amp; DÒNG CHẢY (TCVN 11823-3 Điều 7)</t>
  </si>
  <si>
    <t>MNTN (đo từ ĐÁY BỆ, 0 = không ngập)</t>
  </si>
  <si>
    <t>hn1</t>
  </si>
  <si>
    <t>MNCN (đo từ ĐÁY BỆ)</t>
  </si>
  <si>
    <t>hn2</t>
  </si>
  <si>
    <t>Vận tốc dòng chảy thiết kế</t>
  </si>
  <si>
    <t>Vnc</t>
  </si>
  <si>
    <t>m/s</t>
  </si>
  <si>
    <t>Hệ số cản dọc CD (đầu tròn 0,7; vuông 1,4)</t>
  </si>
  <si>
    <t>CD</t>
  </si>
  <si>
    <t>Bảng 8</t>
  </si>
  <si>
    <t>Hệ số cản ngang CL (góc lệch dòng)</t>
  </si>
  <si>
    <t>CL</t>
  </si>
  <si>
    <t>Bảng 9</t>
  </si>
  <si>
    <t>γ nước</t>
  </si>
  <si>
    <t>γn</t>
  </si>
  <si>
    <t>5. HOẠT TẢI, GỐI</t>
  </si>
  <si>
    <t>IM</t>
  </si>
  <si>
    <t>Tải làn</t>
  </si>
  <si>
    <t>qlan</t>
  </si>
  <si>
    <t>kN/m</t>
  </si>
  <si>
    <t>Người đi bộ</t>
  </si>
  <si>
    <t>pPL</t>
  </si>
  <si>
    <t>kN/m²</t>
  </si>
  <si>
    <t>V thiết kế đường</t>
  </si>
  <si>
    <t>Vtk</t>
  </si>
  <si>
    <t>km/h</t>
  </si>
  <si>
    <t>Bán kính cong (0 = thẳng)</t>
  </si>
  <si>
    <t>R</t>
  </si>
  <si>
    <t>★MỚI (v25) DANH MỤC LOẠI GỐI — dùng CHUNG cho MỌI ô chọn loại gối trong file (list sổ xuống); sửa cột "Trạng thái DỌC CẦU" ở đây nếu quy ước công trình khác</t>
  </si>
  <si>
    <t>Trạng thái DỌC CẦU quyết định lực TU/CR/SH/FR: ELASTIC = làm việc như lò xo (sinh lực k·Δ); SLIDE = tự do trượt dọc cầu (không sinh lực đàn hồi, chỉ ma sát FR=μN); FIXED = khóa dọc cầu (không chuyển vị; nhận lực truyền từ đầu kia của nhịp nếu đầu đó SLIDE).</t>
  </si>
  <si>
    <t>Loại gối (chọn trong list này ở mọi nơi)</t>
  </si>
  <si>
    <t>Trạng thái DỌC CẦU</t>
  </si>
  <si>
    <t>Cao su</t>
  </si>
  <si>
    <t>ELASTIC</t>
  </si>
  <si>
    <t>Chậu di động 2 phương</t>
  </si>
  <si>
    <t>SLIDE</t>
  </si>
  <si>
    <t>Chậu di động 1 phương dọc</t>
  </si>
  <si>
    <t>Chậu di động 1 phương ngang</t>
  </si>
  <si>
    <t>FIXED</t>
  </si>
  <si>
    <t>Cố định</t>
  </si>
  <si>
    <t>★ "1 phương DỌC" = tự do trượt THEO DỌC cầu (chỉ khóa ngang) → SLIDE dọc cầu. "1 phương NGANG" = tự do trượt THEO NGANG cầu (khóa dọc) → FIXED dọc cầu. "Cố định" = thêm mới so với yêu cầu gốc (danh mục gốc chỉ có 4 loại, thiếu điểm khóa dọc) — BẮT BUỘC phải có ít nhất 1 hàng gối CỐ ĐỊNH trong toàn liên để có điểm tựa dọc cầu, nên đã bổ sung; xem cảnh báo tự động ở mục 2c nếu thiếu.</t>
  </si>
  <si>
    <t>GỐI CỦA TRỤ ĐANG TÍNH — tự lấy từ bảng SƠ ĐỒ LIÊN theo TÊN đã chọn ở mục 0; KHÔNG có ô nhập riêng ở đây (tránh 2 nơi lệch nhau như bản v24)</t>
  </si>
  <si>
    <t>Kết quả và công thức hệ gối đã chuyển sang sheet HE GOI. INPUT chỉ còn dữ liệu dự án nhập một lần.</t>
  </si>
  <si>
    <t>Muốn đổi loại gối của trụ đang tính: sửa 2 ô "Loại gối TRÁI/PHẢI" NGAY TẠI DÒNG có TÊN đang chọn ở mục 0, trong bảng SƠ ĐỒ LIÊN (mục 2c).</t>
  </si>
  <si>
    <t>★MỚI Hệ số ma sát μ — NHẬP TAY hoặc TÍNH từ loại PTFE + áp lực (Bảng 14.7.2.5-1)</t>
  </si>
  <si>
    <t>Chế độ μ: 1 = NHẬP TAY; 2 = TÍNH từ loại PTFE + áp lực</t>
  </si>
  <si>
    <t>mu_mode</t>
  </si>
  <si>
    <t>Mặc định 1 = giữ hành vi cũ (khuyến nghị nếu chưa kiểm tra bảng bên dưới)</t>
  </si>
  <si>
    <t>μ NHẬP TAY (dùng khi chế độ = 1)</t>
  </si>
  <si>
    <t>f_tay</t>
  </si>
  <si>
    <t>PTFE ~0,03–0,10 (Điều 14)</t>
  </si>
  <si>
    <t>★ (Chế độ 2) Bảng μ theo loại PTFE — CÁC SỐ Ở BẢNG DƯỚI LÀ THAM KHẢO (chưa đối chiếu được bản gốc TCVN 11823-14 do giới hạn tra cứu), PHẢI SO LẠI VỚI BẢNG 14.7.2.5-1 THẬT TRƯỚC KHI DÙNG CHẾ ĐỘ NÀY.</t>
  </si>
  <si>
    <t>Loại mặt PTFE: 1 lõm-bôi trơn; 2 tấm trơn (unfilled); 3 tấm trơn có độn (filled); 4 dệt (woven)</t>
  </si>
  <si>
    <t>loại</t>
  </si>
  <si>
    <t>Diện tích tiếp xúc PTFE 1 gối A_PTFE</t>
  </si>
  <si>
    <t>A_PTFE</t>
  </si>
  <si>
    <t>mm²</t>
  </si>
  <si>
    <t>Lấy theo catalogue gối chậu thực tế (vd 300×300)</t>
  </si>
  <si>
    <t>Loại PTFE</t>
  </si>
  <si>
    <t>μ @ σ1</t>
  </si>
  <si>
    <t>μ @ σ2</t>
  </si>
  <si>
    <t>μ @ σ3</t>
  </si>
  <si>
    <t>σ (MPa) →</t>
  </si>
  <si>
    <t>1 Lõm-bôi trơn (dimpled lub.)</t>
  </si>
  <si>
    <t>2 Tấm trơn (unfilled)</t>
  </si>
  <si>
    <t>3 Tấm trơn có độn (filled)</t>
  </si>
  <si>
    <t>4 Dệt (woven)</t>
  </si>
  <si>
    <t>μ tại σ1/σ2/σ3 theo loại đã chọn (INDEX)</t>
  </si>
  <si>
    <t>Cao độ đặt BR/WL trên ĐỈNH BỆ</t>
  </si>
  <si>
    <t>zBR</t>
  </si>
  <si>
    <t>Mặt đường + 1,8 m (sửa nếu khác)</t>
  </si>
  <si>
    <t>6. GIÓ</t>
  </si>
  <si>
    <t>Vùng gió</t>
  </si>
  <si>
    <t>vg</t>
  </si>
  <si>
    <t>II</t>
  </si>
  <si>
    <t>VB</t>
  </si>
  <si>
    <t>Hệ số S</t>
  </si>
  <si>
    <t>S</t>
  </si>
  <si>
    <t>V = VB·S</t>
  </si>
  <si>
    <t>V</t>
  </si>
  <si>
    <t>Cd KCN</t>
  </si>
  <si>
    <t>Cd</t>
  </si>
  <si>
    <t>Cd thân trụ (tròn 0,8 / chữ nhật 1,4)</t>
  </si>
  <si>
    <t>Cdt</t>
  </si>
  <si>
    <t>7. ĐỘNG ĐẤT</t>
  </si>
  <si>
    <t>Hệ số gia tốc A</t>
  </si>
  <si>
    <t>A</t>
  </si>
  <si>
    <t>Loại đất nền</t>
  </si>
  <si>
    <t>đất</t>
  </si>
  <si>
    <t>Sđđ</t>
  </si>
  <si>
    <t>R trụ đơn (Bảng 18: cầu khác 3,0; chủ yếu 2,0)</t>
  </si>
  <si>
    <t>R cho khối lượng bản thân</t>
  </si>
  <si>
    <t>R1</t>
  </si>
  <si>
    <t>8. VA XE / VA TÀU (Điều 6.5.2 &amp; Điều 14)</t>
  </si>
  <si>
    <t>Trụ có nguy cơ va xe? (1 = có)</t>
  </si>
  <si>
    <t>va</t>
  </si>
  <si>
    <t>&lt;9 m mép đường / &lt;15 m tim ray, không bảo vệ</t>
  </si>
  <si>
    <t>Lực va xe CT</t>
  </si>
  <si>
    <t>CT</t>
  </si>
  <si>
    <t>1.800.000 N @1,2 m trên mặt đất</t>
  </si>
  <si>
    <t>Cao độ đặt CT trên đáy bệ</t>
  </si>
  <si>
    <t>zCT</t>
  </si>
  <si>
    <t>Lực va tàu CV (0 = không thông thuyền)</t>
  </si>
  <si>
    <t>CV</t>
  </si>
  <si>
    <t>Tính theo Điều 14 (PS=1,2·10⁵·V·√DWT)</t>
  </si>
  <si>
    <t>Cao độ đặt CV trên đáy bệ</t>
  </si>
  <si>
    <t>zCV</t>
  </si>
  <si>
    <t>MNCN + boong tàu</t>
  </si>
  <si>
    <t>9. MÓNG CỌC</t>
  </si>
  <si>
    <t>Đường kính cọc</t>
  </si>
  <si>
    <t>D</t>
  </si>
  <si>
    <t>Số hàng cọc (dọc cầu, tối đa 4)</t>
  </si>
  <si>
    <t>nh</t>
  </si>
  <si>
    <t>hàng</t>
  </si>
  <si>
    <t>Hàng</t>
  </si>
  <si>
    <t>x (m)</t>
  </si>
  <si>
    <t>số cọc</t>
  </si>
  <si>
    <t>k/c cọc (m)</t>
  </si>
  <si>
    <t>Tổng cọc</t>
  </si>
  <si>
    <t>Lực ngang KHÁC cộng thêm vào TU (vd lực kích):</t>
  </si>
  <si>
    <t>Thường = 0; TU/CR/SH &amp; ma sát tính tự động ở mục 2c</t>
  </si>
  <si>
    <t>★SỬA 2c. LỰC DỌC CẦU DO BIẾN DẠNG CƯỠNG BỨC — mô hình CÓ DẤU từng hàng gối (TU±, CR, SH)</t>
  </si>
  <si>
    <t>★ Hai hàng gối của trụ giữa 2 nhịp GIẢN ĐƠN dịch NGƯỢC chiều khi giãn/co. Tính u CÓ DẤU từng hàng, cân bằng độ cứng thân: u_p = Σk·u_i/(Kp+Σk); H_p = Kp·u_p. Hệ đối xứng → H_p ≈ 0 nhưng từng hàng vẫn có lực để kiểm gối.</t>
  </si>
  <si>
    <t>Số dầm chủ</t>
  </si>
  <si>
    <t>ndầm</t>
  </si>
  <si>
    <t>dầm</t>
  </si>
  <si>
    <t>Khoảng cách dầm chủ</t>
  </si>
  <si>
    <t>s_dầm</t>
  </si>
  <si>
    <t>Chiều dày bản mặt cầu</t>
  </si>
  <si>
    <t>t_bản</t>
  </si>
  <si>
    <t>Chiều cao dầm chủ</t>
  </si>
  <si>
    <t>h_dầm</t>
  </si>
  <si>
    <t>★SỬA Nhiệt độ theo nhiệt CƠ SỞ/LẮP ĐẶT T0 (Điều 11.2) — tách 2 trường hợp TU+ và TU−</t>
  </si>
  <si>
    <t>Hệ số giãn nở nhiệt α</t>
  </si>
  <si>
    <t>α</t>
  </si>
  <si>
    <t>×10⁻⁶/°C</t>
  </si>
  <si>
    <t>BT ~10,8 (Điều 4.2.2)</t>
  </si>
  <si>
    <t>Nhiệt độ cực đại Tmax</t>
  </si>
  <si>
    <t>Tmax</t>
  </si>
  <si>
    <t>°C</t>
  </si>
  <si>
    <t>Bắc vĩ 16°: +5…+47 (Phần 3)</t>
  </si>
  <si>
    <t>Nhiệt độ cực tiểu Tmin</t>
  </si>
  <si>
    <t>Tmin</t>
  </si>
  <si>
    <t>Nhiệt độ LẮP ĐẶT / cơ sở T0</t>
  </si>
  <si>
    <t>T0</t>
  </si>
  <si>
    <t>Lúc lắp gối</t>
  </si>
  <si>
    <t>★SỬA Co ngót + từ biến — CHỈ phần CÒN LẠI sau khi lắp gối mới truyền xuống trụ</t>
  </si>
  <si>
    <t>Chế độ CR+SH: 1 = NHẬP ΔL còn lại (từ RM Bridge…); 2 = nhập biến dạng còn lại</t>
  </si>
  <si>
    <t>chế độ</t>
  </si>
  <si>
    <t>Chuyên nghiệp nên dùng 1</t>
  </si>
  <si>
    <t>★SỬA (v24) (Chế độ 1) NHẬP RIÊNG 2 bên — 2 nhịp cạnh trụ thường khác thời điểm đúc/căng cáp nên ΔL còn lại KHÔNG bằng nhau dù chiều dài nhịp bằng nhau. Trước đây chỉ có 1 ô dùng chung cho cả 2 bên → luôn triệt tiêu, H_CS luôn = 0 dù nhập gì. Nếu đúng 2 nhịp giống hệt nhau về thời gian thi công thì nhập 2 số bằng nhau.</t>
  </si>
  <si>
    <t>(Chế độ 1) ΔL co ngót + từ biến còn lại — nhịp TRÁI</t>
  </si>
  <si>
    <t>ΔL_CS,T</t>
  </si>
  <si>
    <t>mm</t>
  </si>
  <si>
    <t>Từ phân tích time-dependent KCN, đầu nhịp TRÁI (giáp trụ)</t>
  </si>
  <si>
    <t>(Chế độ 1) ΔL co ngót + từ biến còn lại — nhịp PHẢI</t>
  </si>
  <si>
    <t>ΔL_CS,P</t>
  </si>
  <si>
    <t>Từ phân tích time-dependent KCN, đầu nhịp PHẢI (giáp trụ)</t>
  </si>
  <si>
    <t>(Chế độ 2) ε co ngót CÒN LẠI</t>
  </si>
  <si>
    <t>ε_sh,r</t>
  </si>
  <si>
    <t>×10⁻⁶</t>
  </si>
  <si>
    <t>ε_sh(∞) trừ ε_sh lúc lắp gối</t>
  </si>
  <si>
    <t>(Chế độ 2) ε từ biến CÒN LẠI</t>
  </si>
  <si>
    <t>ε_cr,r</t>
  </si>
  <si>
    <t>Ước lượng theo ứng suất/thời gian</t>
  </si>
  <si>
    <t>Độ cứng gối CAO SU (1 HÀNG = ng gối) và thân trụ</t>
  </si>
  <si>
    <t>G cao su</t>
  </si>
  <si>
    <t>G</t>
  </si>
  <si>
    <t>A 1 gối cao su</t>
  </si>
  <si>
    <t>t_e cao su hữu hiệu</t>
  </si>
  <si>
    <t>t_e</t>
  </si>
  <si>
    <t>★ Chế độ lực gối: 1 = NET có dấu (vật lý); 2 = ENVELOPE (bao, không triệt tiêu)</t>
  </si>
  <si>
    <t>chế độ lực</t>
  </si>
  <si>
    <t>NET cho phép 2 hàng triệt tiêu; ENVELOPE cộng |·| (μ 2 bên chênh — AASHTO 14.6.3.1)</t>
  </si>
  <si>
    <t>★MỚI Chế độ phân tích KCD dưới: 1 = tiết diện NGUYÊN (Gross/chưa nứt); 2 = tiết diện NỨT (Cracked)</t>
  </si>
  <si>
    <t>gcmode</t>
  </si>
  <si>
    <t>γTU/CR/SH: Gross→0,5 ở CĐ (EI chưa nứt, biến dạng cưỡng bức tự giảm ứng suất); Nứt→1,0 ở CĐ. SD luôn 1,0 (áp ở TO HOP)</t>
  </si>
  <si>
    <t>★SỬA (v25) SƠ ĐỒ LIÊN — khai TỪNG HÀNG GỐI (trái/phải) của MỌI mố/trụ; trạng thái ELASTIC/SLIDE/FIXED tự suy từ DANH MỤC LOẠI GỐI ở mục 5. Trụ đang tính LẤY GỐI TẠI ĐÂY.</t>
  </si>
  <si>
    <t>Mỗi dòng = 1 mố/trụ, TỪ TRÁI SANG PHẢI. "L nhịp bên trái" = nhịp ngay bên trái (mố đầu = 0). TÊN mỗi dòng PHẢI DUY NHẤT (không trùng) — chọn đúng 1 tên ở Ô CHỌN đầu sheet (mục 0) để báo trụ đang tính. Mố đầu/cuối chỉ có 1 phía — để trống ô Loại phía không tồn tại. Đủ 8 nhịp (9 gối).</t>
  </si>
  <si>
    <t>Mố/Trụ</t>
  </si>
  <si>
    <t>L nhịp TRÁI (m)</t>
  </si>
  <si>
    <t>Loại gối TRÁI</t>
  </si>
  <si>
    <t>Loại gối PHẢI</t>
  </si>
  <si>
    <t>Trạng thái TRÁI</t>
  </si>
  <si>
    <t>Trạng thái PHẢI</t>
  </si>
  <si>
    <t>x (m) tự tính</t>
  </si>
  <si>
    <t>Mố A</t>
  </si>
  <si>
    <t>Trụ T2</t>
  </si>
  <si>
    <t>Trụ T3</t>
  </si>
  <si>
    <t>Mố B</t>
  </si>
  <si>
    <t>2d. HAI HÀNG GỐI XÀ MŨ — NHẬP HÌNH HỌC, KHÔNG NHẬP KẾT QUẢ TÍNH</t>
  </si>
  <si>
    <t>Hàng gối phía nhịp TRÁI</t>
  </si>
  <si>
    <t>Số gối nT (1…40)</t>
  </si>
  <si>
    <t>Mỗi hàng độc lập; không còn giới hạn 10 gối chung</t>
  </si>
  <si>
    <t>Khoảng cách đều sT</t>
  </si>
  <si>
    <t>Khoảng cách tim gối theo phương ngang cầu</t>
  </si>
  <si>
    <t>Độ lệch tâm cả hàng y0T</t>
  </si>
  <si>
    <t>Dương về phía công-xon đang kiểm toán</t>
  </si>
  <si>
    <t>Hàng gối phía nhịp PHẢI</t>
  </si>
  <si>
    <t>Số gối nP (1…40)</t>
  </si>
  <si>
    <t>Có thể khác hàng trái</t>
  </si>
  <si>
    <t>Khoảng cách đều sP</t>
  </si>
  <si>
    <t>Độ lệch tâm cả hàng y0P</t>
  </si>
  <si>
    <t>MẶT CẮT KIỂM TOÁN XÀ MŨ</t>
  </si>
  <si>
    <t>x_mc ghi đè (&gt;0); 0 = tự tính theo Điều 8.3.2</t>
  </si>
  <si>
    <t>Nguồn duy nhất thay cho ô ghi đè cũ ở XA MU</t>
  </si>
  <si>
    <t>2e. PHẢN LỰC GLOBAL CÓ DẤU — CHỈ DÙNG KHI GỐI FIXED / MÔ HÌNH CỤC BỘ KHÔNG XÁC ĐỊNH ĐƯỢC</t>
  </si>
  <si>
    <t>Chế độ lực gối dọc cầu</t>
  </si>
  <si>
    <t>TU+ có dấu tại trụ đang tính</t>
  </si>
  <si>
    <t>Lấy từ RM/Midas hoặc mô hình toàn cầu</t>
  </si>
  <si>
    <t>TU− có dấu tại trụ đang tính</t>
  </si>
  <si>
    <t>Không nhập trị tuyệt đối</t>
  </si>
  <si>
    <t>CR có dấu tại trụ đang tính</t>
  </si>
  <si>
    <t>SH có dấu tại trụ đang tính</t>
  </si>
  <si>
    <t>SE có dấu tại trụ đang tính</t>
  </si>
  <si>
    <t>Lún cưỡng bức nếu dự án có xét</t>
  </si>
  <si>
    <t>Kiểm soát nhập</t>
  </si>
  <si>
    <t>GLOBAL phải đủ 5 giá trị số; không tự rơi về AUTO</t>
  </si>
  <si>
    <t>2f. SƠ ĐỒ THÂN TRỤ — 1 THÂN HOẶC 2 THÂN GIỐNG NHAU</t>
  </si>
  <si>
    <t>Số thân trụ</t>
  </si>
  <si>
    <t>1/2</t>
  </si>
  <si>
    <t>Khoảng cách tim hai thân theo phương ngang cầu</t>
  </si>
  <si>
    <t>Chỉ dùng khi số thân = 2</t>
  </si>
  <si>
    <t>Giả thiết hai thân</t>
  </si>
  <si>
    <t>GIỐNG NHAU</t>
  </si>
  <si>
    <t>—</t>
  </si>
  <si>
    <t>Cùng tiết diện, thép, chiều cao; xà mũ cứng</t>
  </si>
  <si>
    <t>TĨNH TẢI DC, DW VÀ ĐẨY NỔI WB (kN, kN·m)</t>
  </si>
  <si>
    <t>1. Kết cấu phần trên</t>
  </si>
  <si>
    <t>★SỬA DC KCN tổng / My = RDC_trái·e_trái + RDC_phải·e_phải</t>
  </si>
  <si>
    <t>DW tổng / My [kN / kN·m]</t>
  </si>
  <si>
    <t>2. Kết cấu phần dưới</t>
  </si>
  <si>
    <t>Xà mũ: G = V·γc [kN]</t>
  </si>
  <si>
    <t>DC2 (thân + xà mũ) [kN]</t>
  </si>
  <si>
    <t>Bệ: G = B·C·H·γc [kN]</t>
  </si>
  <si>
    <t>3. Đẩy nổi WB (MNTN) — hệ số 1,0 mọi tổ hợp (WA)</t>
  </si>
  <si>
    <t>V ngập = bệ + thân dưới MNTN</t>
  </si>
  <si>
    <t>WB = −γn·V ngập [kN]</t>
  </si>
  <si>
    <t>0. Tĩnh tải KCN từng nhịp (tính từ cấu kiện — sửa ô vàng)</t>
  </si>
  <si>
    <t>Cấu kiện</t>
  </si>
  <si>
    <t>Nhập (nhịp trái)</t>
  </si>
  <si>
    <t>Nhập (nhịp phải)</t>
  </si>
  <si>
    <t>Diễn giải</t>
  </si>
  <si>
    <t>R trái (kN)</t>
  </si>
  <si>
    <t>R phải (kN)</t>
  </si>
  <si>
    <t>Dầm chủ: V 1 dầm × số dầm /2</t>
  </si>
  <si>
    <t>V·γc·ndam/2</t>
  </si>
  <si>
    <t>Bản mặt cầu</t>
  </si>
  <si>
    <t>W·tsban·L·γc/2</t>
  </si>
  <si>
    <t>Dầm ngang + ván khuôn (V thuộc trụ)</t>
  </si>
  <si>
    <t>V·γc</t>
  </si>
  <si>
    <t>Gờ lan can + lan can (kN/m 2 bên)</t>
  </si>
  <si>
    <t>q·L/2</t>
  </si>
  <si>
    <t>TỔNG DC KCN trái / phải</t>
  </si>
  <si>
    <t>DW (asphalt 0,07 m γ=22,5 + tiện ích)</t>
  </si>
  <si>
    <t>Số dầm chủ mặc định 10 — sửa công thức cột F/G nếu khác.</t>
  </si>
  <si>
    <t>HOẠT TẢI TRÊN TRỤ (Điều 6.1.3.1)</t>
  </si>
  <si>
    <t>1. Phản lực 1 làn lên trụ</t>
  </si>
  <si>
    <t>ĐAH phản lực trụ 2 nhịp: đỉnh 1 tại trụ; xe tải 3 trục đặt bất lợi 1 nhịp:</t>
  </si>
  <si>
    <t>R xe 1 nhịp [kN]</t>
  </si>
  <si>
    <t>Hai xe tải cách 15 m trên 2 nhịp (90%) — Điều 6.1.3.1:</t>
  </si>
  <si>
    <t>Tải làn 1 nhịp / 2 nhịp [kN]</t>
  </si>
  <si>
    <t>Xe 2 trục 1 nhịp [kN]</t>
  </si>
  <si>
    <t>R xe 1 nhịp = MAX(3 trục; 2 trục) / R xe 2 nhịp = MAX(90% 2 xe; 1 xe)</t>
  </si>
  <si>
    <t>2. Bảng k làn: chất 2 NHỊP (N max) và chất 1 NHỊP (My max)</t>
  </si>
  <si>
    <t>k</t>
  </si>
  <si>
    <t>N 2 nhịp (kN)</t>
  </si>
  <si>
    <t>Mx 2 nhịp</t>
  </si>
  <si>
    <t>N 1 nhịp (kN)</t>
  </si>
  <si>
    <t>Mx 1 nhịp</t>
  </si>
  <si>
    <t>My 1 nhịp</t>
  </si>
  <si>
    <t>Yt (m)</t>
  </si>
  <si>
    <t>★SỬA Chất 1 nhịp: LL trên hàng gối lệch nhất → My = N·max(|e_trái|,|e_phải|); Yt = lệch tâm ngang nhóm làn.</t>
  </si>
  <si>
    <t>3. Lực hãm BR (Điều 6.4) và ly tâm CE (Điều 6.3)</t>
  </si>
  <si>
    <t>25%·325·k·m</t>
  </si>
  <si>
    <t>5%(325+9,3·ΣLs)·k·m</t>
  </si>
  <si>
    <t>5%(220+9,3·ΣLs)·k·m</t>
  </si>
  <si>
    <t>BR_k</t>
  </si>
  <si>
    <t>BR truyền qua trụ trừ khi CẢ 2 hàng gối đều SLIDE (khi đó chỉ tới mức ma sát → FR)</t>
  </si>
  <si>
    <t>My BR đáy bệ / đỉnh bệ</t>
  </si>
  <si>
    <t>CE (ngang cầu)</t>
  </si>
  <si>
    <t>Mx CE đáy / đỉnh bệ</t>
  </si>
  <si>
    <t>FR = μ·N ma sát hàng gối DI ĐỘNG (loại 2 &amp; 4):</t>
  </si>
  <si>
    <t>(tự lấy từ INPUT mục 2c theo trạng thái từng hàng gối TRÁI/PHẢI — hàng FIXED vẫn có thể có FR truyền từ đầu xa SLIDE)</t>
  </si>
  <si>
    <t>My FR đáy / đỉnh</t>
  </si>
  <si>
    <t>GIÓ WS/WL (Điều 8) VÀ ÁP LỰC DÒNG CHẢY WA (Điều 7)</t>
  </si>
  <si>
    <t>1. Gió với V thiết kế (CĐ III)</t>
  </si>
  <si>
    <t>Bộ phận</t>
  </si>
  <si>
    <t>At (m²)</t>
  </si>
  <si>
    <t>PD (kN)</t>
  </si>
  <si>
    <t>z đáy (m)</t>
  </si>
  <si>
    <t>M đáy</t>
  </si>
  <si>
    <t>z đỉnh (m)</t>
  </si>
  <si>
    <t>M đỉnh</t>
  </si>
  <si>
    <t>KCN (2 nửa nhịp)</t>
  </si>
  <si>
    <t>Thân trụ + xà mũ (ngang)</t>
  </si>
  <si>
    <t>TỔNG NGANG</t>
  </si>
  <si>
    <t>DỌC = 0,25·PD KCN + gió thân (dọc)</t>
  </si>
  <si>
    <t>2. Gió với V = 25 m/s (CĐ V, SD I)</t>
  </si>
  <si>
    <t>3. Gió đứng (CĐ III, dấu − trong tổ hợp) và WL</t>
  </si>
  <si>
    <t>Pv = 0,00045·V²·W·(L1+L2)/2 [kN]</t>
  </si>
  <si>
    <t>WL ngang = 1,46·(L1+L2)/2 / WL dọc = 0,55·(L1+L2)/2</t>
  </si>
  <si>
    <t>WL ngang: M đáy / đỉnh [kN·m]</t>
  </si>
  <si>
    <t>WL dọc: M đáy / đỉnh [kN·m]</t>
  </si>
  <si>
    <t>4. Áp lực dòng chảy WA (Điều 7.3) — p = 5,14·10⁻⁴·CD·V² (MPa)</t>
  </si>
  <si>
    <t>p dọc (kN/m²) = 514·CD·V²/1000</t>
  </si>
  <si>
    <t>Chiều sâu ngập thân (MNCN) [m]</t>
  </si>
  <si>
    <t>WA dọc = p·hthan·h ngập (+ bệ) [kN]</t>
  </si>
  <si>
    <t>WA ngang = 514·CL·V²/1000·(bthan·h ngập + Cbe·h bệ)</t>
  </si>
  <si>
    <t>z đặt (nửa chiều sâu ngập) [m]</t>
  </si>
  <si>
    <t>WA dọc: M đáy / đỉnh [kN·m]</t>
  </si>
  <si>
    <t>WA ngang: M đáy / đỉnh [kN·m]</t>
  </si>
  <si>
    <t>ĐỘNG ĐẤT EQ (Điều 9) — phổ đơn mode, tổ hợp 100%+30% ở TO HOP</t>
  </si>
  <si>
    <t>I thân dọc / ngang (m⁴)</t>
  </si>
  <si>
    <t>T dọc / ngang (s)</t>
  </si>
  <si>
    <t>Thành phần</t>
  </si>
  <si>
    <t>W (kN)</t>
  </si>
  <si>
    <t>Fh=Csm·W/R (dọc)</t>
  </si>
  <si>
    <t>z đỉnh</t>
  </si>
  <si>
    <t>KCN+DW (R=Rtru)</t>
  </si>
  <si>
    <t>Xà mũ (R=Rtrụ)</t>
  </si>
  <si>
    <t>Bệ (R=1)</t>
  </si>
  <si>
    <t>TỔNG EQ DỌC (đáy | đỉnh — đỉnh không kể bệ)</t>
  </si>
  <si>
    <t>TỔNG EQ NGANG (Csm ngang thay Csm dọc)</t>
  </si>
  <si>
    <t>VA XE CT (Điều 6.5.2) VÀ VA TÀU CV (Điều 14)</t>
  </si>
  <si>
    <t>CT = 1800 kN (nếu có nguy cơ), tác dụng MỌI HƯỚNG ngang, @1,2 m trên mặt đất</t>
  </si>
  <si>
    <t>M đáy bệ = CT·zCT / M đỉnh bệ = CT·(zCT−Hbe)</t>
  </si>
  <si>
    <t>CV (nhập từ tính va tàu riêng) [kN]</t>
  </si>
  <si>
    <t>M đáy / đỉnh</t>
  </si>
  <si>
    <t>Va tàu: 100% theo hướng luồng (ngang cầu), 50% hướng vuông góc — Điều 14.14 (đã xét ở TO HOP).</t>
  </si>
  <si>
    <t>TỔ HỢP TẢI TRỌNG (Bảng 3 &amp; 4 TCVN 11823-3:2017)</t>
  </si>
  <si>
    <t>1. Bảng tải trọng tại 2 mặt cắt (kN, kN·m)</t>
  </si>
  <si>
    <t>Tải trọng</t>
  </si>
  <si>
    <t>Hx đáy</t>
  </si>
  <si>
    <t>Hy đáy</t>
  </si>
  <si>
    <t>N đáy</t>
  </si>
  <si>
    <t>Mx đáy</t>
  </si>
  <si>
    <t>My đáy</t>
  </si>
  <si>
    <t>Hx đỉnh</t>
  </si>
  <si>
    <t>Hy đỉnh</t>
  </si>
  <si>
    <t>N đỉnh</t>
  </si>
  <si>
    <t>Mx đỉnh</t>
  </si>
  <si>
    <t>My đỉnh</t>
  </si>
  <si>
    <t>DC1 - KCN</t>
  </si>
  <si>
    <t>0</t>
  </si>
  <si>
    <t>DW</t>
  </si>
  <si>
    <t>DC2 - thân + xà mũ</t>
  </si>
  <si>
    <t>DC3 - bệ</t>
  </si>
  <si>
    <t>WB - đẩy nổi</t>
  </si>
  <si>
    <t>LL 2 nhịp (1 làn, lệch tâm)</t>
  </si>
  <si>
    <t>LL 2 nhịp (2 làn, lệch tâm)</t>
  </si>
  <si>
    <t>LL 2 nhịp (3 làn, lệch tâm)</t>
  </si>
  <si>
    <t>LL 2 nhịp (4 làn, lệch tâm)</t>
  </si>
  <si>
    <t>LL 2 nhịp (5 làn, lệch tâm)</t>
  </si>
  <si>
    <t>LL 2 nhịp (6 làn, lệch tâm)</t>
  </si>
  <si>
    <t>LL 2 nhịp (1 làn, đúng tâm)</t>
  </si>
  <si>
    <t>LL 2 nhịp (2 làn, đúng tâm)</t>
  </si>
  <si>
    <t>LL 2 nhịp (3 làn, đúng tâm)</t>
  </si>
  <si>
    <t>LL 2 nhịp (4 làn, đúng tâm)</t>
  </si>
  <si>
    <t>LL 2 nhịp (5 làn, đúng tâm)</t>
  </si>
  <si>
    <t>LL 2 nhịp (6 làn, đúng tâm)</t>
  </si>
  <si>
    <t>LL 1 nhịp (1 làn)</t>
  </si>
  <si>
    <t>LL 1 nhịp (2 làn)</t>
  </si>
  <si>
    <t>LL 1 nhịp (3 làn)</t>
  </si>
  <si>
    <t>LL 1 nhịp (4 làn)</t>
  </si>
  <si>
    <t>LL 1 nhịp (5 làn)</t>
  </si>
  <si>
    <t>LL 1 nhịp (6 làn)</t>
  </si>
  <si>
    <t>BR</t>
  </si>
  <si>
    <t>CE</t>
  </si>
  <si>
    <t>WA dọc</t>
  </si>
  <si>
    <t>WA ngang</t>
  </si>
  <si>
    <t>FR</t>
  </si>
  <si>
    <t>WS ngang (V)</t>
  </si>
  <si>
    <t>WS dọc (V)</t>
  </si>
  <si>
    <t>WS ngang (25)</t>
  </si>
  <si>
    <t>WS dọc (25)</t>
  </si>
  <si>
    <t>WS đứng</t>
  </si>
  <si>
    <t>WL ngang</t>
  </si>
  <si>
    <t>WL dọc</t>
  </si>
  <si>
    <t>EQ dọc</t>
  </si>
  <si>
    <t>EQ ngang</t>
  </si>
  <si>
    <t>CT dọc</t>
  </si>
  <si>
    <t>CT ngang</t>
  </si>
  <si>
    <t>CV ngang (100%)</t>
  </si>
  <si>
    <t>CV dọc (50%)</t>
  </si>
  <si>
    <t>TU nhiệt (qua gối)</t>
  </si>
  <si>
    <t>CR+SH (qua gối)</t>
  </si>
  <si>
    <t>LL cho EQ (2 nhịp, nl làn)</t>
  </si>
  <si>
    <t>(Bảng phụ chuyển vị hàng — không sửa)</t>
  </si>
  <si>
    <t>2. Ma trận hệ số tải trọng</t>
  </si>
  <si>
    <t>Tổ hợp</t>
  </si>
  <si>
    <t>SD I - 2 nhịp lệch tâm 1 làn</t>
  </si>
  <si>
    <t>SD I - 2 nhịp lệch tâm 2 làn</t>
  </si>
  <si>
    <t>SD I - 2 nhịp lệch tâm 3 làn</t>
  </si>
  <si>
    <t>SD I - 2 nhịp lệch tâm 4 làn</t>
  </si>
  <si>
    <t>SD I - 2 nhịp lệch tâm 5 làn</t>
  </si>
  <si>
    <t>SD I - 2 nhịp lệch tâm 6 làn</t>
  </si>
  <si>
    <t>SD I - 2 nhịp đúng tâm 1 làn</t>
  </si>
  <si>
    <t>SD I - 2 nhịp đúng tâm 2 làn</t>
  </si>
  <si>
    <t>SD I - 2 nhịp đúng tâm 3 làn</t>
  </si>
  <si>
    <t>SD I - 2 nhịp đúng tâm 4 làn</t>
  </si>
  <si>
    <t>SD I - 2 nhịp đúng tâm 5 làn</t>
  </si>
  <si>
    <t>SD I - 2 nhịp đúng tâm 6 làn</t>
  </si>
  <si>
    <t>SD I - 1 nhịp 1 làn</t>
  </si>
  <si>
    <t>SD I - 1 nhịp 2 làn</t>
  </si>
  <si>
    <t>SD I - 1 nhịp 3 làn</t>
  </si>
  <si>
    <t>SD I - 1 nhịp 4 làn</t>
  </si>
  <si>
    <t>SD I - 1 nhịp 5 làn</t>
  </si>
  <si>
    <t>SD I - 1 nhịp 6 làn</t>
  </si>
  <si>
    <t>CĐ I(a) max - 2 nhịp lệch tâm 1 làn</t>
  </si>
  <si>
    <t>CĐ I(a) max - 2 nhịp lệch tâm 2 làn</t>
  </si>
  <si>
    <t>CĐ I(a) max - 2 nhịp lệch tâm 3 làn</t>
  </si>
  <si>
    <t>CĐ I(a) max - 2 nhịp lệch tâm 4 làn</t>
  </si>
  <si>
    <t>CĐ I(a) max - 2 nhịp lệch tâm 5 làn</t>
  </si>
  <si>
    <t>CĐ I(a) max - 2 nhịp lệch tâm 6 làn</t>
  </si>
  <si>
    <t>CĐ I(a) max - 2 nhịp đúng tâm 1 làn</t>
  </si>
  <si>
    <t>CĐ I(a) max - 2 nhịp đúng tâm 2 làn</t>
  </si>
  <si>
    <t>CĐ I(a) max - 2 nhịp đúng tâm 3 làn</t>
  </si>
  <si>
    <t>CĐ I(a) max - 2 nhịp đúng tâm 4 làn</t>
  </si>
  <si>
    <t>CĐ I(a) max - 2 nhịp đúng tâm 5 làn</t>
  </si>
  <si>
    <t>CĐ I(a) max - 2 nhịp đúng tâm 6 làn</t>
  </si>
  <si>
    <t>CĐ I(a) max - 1 nhịp 1 làn</t>
  </si>
  <si>
    <t>CĐ I(a) max - 1 nhịp 2 làn</t>
  </si>
  <si>
    <t>CĐ I(a) max - 1 nhịp 3 làn</t>
  </si>
  <si>
    <t>CĐ I(a) max - 1 nhịp 4 làn</t>
  </si>
  <si>
    <t>CĐ I(a) max - 1 nhịp 5 làn</t>
  </si>
  <si>
    <t>CĐ I(a) max - 1 nhịp 6 làn</t>
  </si>
  <si>
    <t>CĐ I(b) min - 2 nhịp 1 làn</t>
  </si>
  <si>
    <t>CĐ I(b) min - 2 nhịp 2 làn</t>
  </si>
  <si>
    <t>CĐ I(b) min - 2 nhịp 3 làn</t>
  </si>
  <si>
    <t>CĐ I(b) min - 2 nhịp 4 làn</t>
  </si>
  <si>
    <t>CĐ I(b) min - 2 nhịp 5 làn</t>
  </si>
  <si>
    <t>CĐ I(b) min - 2 nhịp 6 làn</t>
  </si>
  <si>
    <t>CĐ I(b) min - 1 nhịp 1 làn</t>
  </si>
  <si>
    <t>CĐ I(b) min - 1 nhịp 2 làn</t>
  </si>
  <si>
    <t>CĐ I(b) min - 1 nhịp 3 làn</t>
  </si>
  <si>
    <t>CĐ I(b) min - 1 nhịp 4 làn</t>
  </si>
  <si>
    <t>CĐ I(b) min - 1 nhịp 5 làn</t>
  </si>
  <si>
    <t>CĐ I(b) min - 1 nhịp 6 làn</t>
  </si>
  <si>
    <t>CĐ III(a) max</t>
  </si>
  <si>
    <t>CĐ III(b) min</t>
  </si>
  <si>
    <t>CĐ V(a) max - 2 nhịp 1 làn</t>
  </si>
  <si>
    <t>CĐ V(a) max - 2 nhịp 2 làn</t>
  </si>
  <si>
    <t>CĐ V(a) max - 2 nhịp 3 làn</t>
  </si>
  <si>
    <t>CĐ V(a) max - 2 nhịp 4 làn</t>
  </si>
  <si>
    <t>CĐ V(a) max - 2 nhịp 5 làn</t>
  </si>
  <si>
    <t>CĐ V(a) max - 2 nhịp 6 làn</t>
  </si>
  <si>
    <t>ĐB I - dọc chủ đạo</t>
  </si>
  <si>
    <t>ĐB I - ngang chủ đạo</t>
  </si>
  <si>
    <t>ĐB II - va xe dọc</t>
  </si>
  <si>
    <t>ĐB II - va xe ngang</t>
  </si>
  <si>
    <t>ĐB II - va tàu ngang</t>
  </si>
  <si>
    <t>ĐB II - va tàu dọc</t>
  </si>
  <si>
    <t>Bảng dưới TỰ CO GIÃN theo số làn nLan: cột N = chỉ số dòng hệ số gốc; dòng thừa để trống.</t>
  </si>
  <si>
    <t>4. Bao nội lực</t>
  </si>
  <si>
    <t>Nhóm</t>
  </si>
  <si>
    <t>SD I — MAX</t>
  </si>
  <si>
    <t>SD I — MIN</t>
  </si>
  <si>
    <t>Cường độ — MAX</t>
  </si>
  <si>
    <t>Cường độ — MIN</t>
  </si>
  <si>
    <t>Đặc biệt — MAX</t>
  </si>
  <si>
    <t>Đặc biệt — MIN</t>
  </si>
  <si>
    <t>GIAO TIẾP TS-PILE — tổ hợp ĐÁY BỆ (tấn, tấn·m)</t>
  </si>
  <si>
    <t>1. BẢNG XUẤT SANG TS-PILE — copy C6:I67 dán vào tab "Tổ hợp tải trọng"</t>
  </si>
  <si>
    <t>TH</t>
  </si>
  <si>
    <t>Hx</t>
  </si>
  <si>
    <t>Hy</t>
  </si>
  <si>
    <t>N</t>
  </si>
  <si>
    <t>Mx</t>
  </si>
  <si>
    <t>My</t>
  </si>
  <si>
    <t>Mz</t>
  </si>
  <si>
    <t>2. TỌA ĐỘ CỌC (dán vào TS-PILE)</t>
  </si>
  <si>
    <t>Cọc</t>
  </si>
  <si>
    <t>X (m)</t>
  </si>
  <si>
    <t>Y (m)</t>
  </si>
  <si>
    <t>3. PHẢN LỰC DỌC CỌC TỰ ĐỘNG — ĐÀI CỨNG, CỌC ĐỨNG CÓ ĐỘ CỨNG DỌC TƯƠNG ĐƯƠNG</t>
  </si>
  <si>
    <t>Cọc \ TH</t>
  </si>
  <si>
    <t>TH1</t>
  </si>
  <si>
    <t>TH2</t>
  </si>
  <si>
    <t>TH3</t>
  </si>
  <si>
    <t>TH4</t>
  </si>
  <si>
    <t>TH5</t>
  </si>
  <si>
    <t>TH6</t>
  </si>
  <si>
    <t>TH7</t>
  </si>
  <si>
    <t>TH8</t>
  </si>
  <si>
    <t>TH9</t>
  </si>
  <si>
    <t>TH10</t>
  </si>
  <si>
    <t>TH11</t>
  </si>
  <si>
    <t>TH12</t>
  </si>
  <si>
    <t>TH13</t>
  </si>
  <si>
    <t>TH14</t>
  </si>
  <si>
    <t>TH15</t>
  </si>
  <si>
    <t>TH16</t>
  </si>
  <si>
    <t>TH17</t>
  </si>
  <si>
    <t>TH18</t>
  </si>
  <si>
    <t>TH19</t>
  </si>
  <si>
    <t>TH20</t>
  </si>
  <si>
    <t>TH21</t>
  </si>
  <si>
    <t>TH22</t>
  </si>
  <si>
    <t>TH23</t>
  </si>
  <si>
    <t>TH24</t>
  </si>
  <si>
    <t>TH25</t>
  </si>
  <si>
    <t>TH26</t>
  </si>
  <si>
    <t>TH27</t>
  </si>
  <si>
    <t>TH28</t>
  </si>
  <si>
    <t>TH29</t>
  </si>
  <si>
    <t>TH30</t>
  </si>
  <si>
    <t>TH31</t>
  </si>
  <si>
    <t>TH32</t>
  </si>
  <si>
    <t>TH33</t>
  </si>
  <si>
    <t>TH34</t>
  </si>
  <si>
    <t>TH35</t>
  </si>
  <si>
    <t>TH36</t>
  </si>
  <si>
    <t>TH37</t>
  </si>
  <si>
    <t>TH38</t>
  </si>
  <si>
    <t>TH39</t>
  </si>
  <si>
    <t>TH40</t>
  </si>
  <si>
    <t>TH41</t>
  </si>
  <si>
    <t>TH42</t>
  </si>
  <si>
    <t>TH43</t>
  </si>
  <si>
    <t>TH44</t>
  </si>
  <si>
    <t>TH45</t>
  </si>
  <si>
    <t>TH46</t>
  </si>
  <si>
    <t>TH47</t>
  </si>
  <si>
    <t>TH48</t>
  </si>
  <si>
    <t>TH49</t>
  </si>
  <si>
    <t>TH50</t>
  </si>
  <si>
    <t>TH51</t>
  </si>
  <si>
    <t>TH52</t>
  </si>
  <si>
    <t>TH53</t>
  </si>
  <si>
    <t>TH54</t>
  </si>
  <si>
    <t>TH55</t>
  </si>
  <si>
    <t>TH56</t>
  </si>
  <si>
    <t>TH57</t>
  </si>
  <si>
    <t>TH58</t>
  </si>
  <si>
    <t>TH59</t>
  </si>
  <si>
    <t>TH60</t>
  </si>
  <si>
    <t>TH61</t>
  </si>
  <si>
    <t>TH62</t>
  </si>
  <si>
    <t>Pi = N/n + Mx·yi/Σy² + My·xi/Σx², tính riêng cho từng tổ hợp đồng thời. Nếu cọc nghiêng/độ cứng khác nhau/tương tác nền đáng kể: thay bằng phản lực từ mô hình nền–cọc.</t>
  </si>
  <si>
    <t>4. TỔNG HỢP (kN) — nhóm TH co giãn theo nLan: SD = TH1..3n; CĐ = 3n+1..9n+2; ĐB = 9n+3..9n+8</t>
  </si>
  <si>
    <t>Trị số</t>
  </si>
  <si>
    <t>SD</t>
  </si>
  <si>
    <t>CĐ</t>
  </si>
  <si>
    <t>ĐB</t>
  </si>
  <si>
    <t>P max 1 cọc</t>
  </si>
  <si>
    <t>P min 1 cọc (âm = nhổ)</t>
  </si>
  <si>
    <t>5. TỔNG PHẢN LỰC THEO HÀNG CỌC (kN)</t>
  </si>
  <si>
    <t>Hàng \ TH</t>
  </si>
  <si>
    <t>Hàng 1</t>
  </si>
  <si>
    <t>Hàng 2</t>
  </si>
  <si>
    <t>Hàng 3</t>
  </si>
  <si>
    <t>Hàng 4</t>
  </si>
  <si>
    <t>KIỂM TOÁN THÂN TRỤ (mặt cắt ĐỈNH BỆ) — nén–uốn 2 phương + cắt, TCVN 11823-5</t>
  </si>
  <si>
    <t>1. Nội lực tham chiếu (bao CĐ + ĐB, đỉnh bệ) — kiểm chính thức theo TỪNG TỔ HỢP ở mục 6</t>
  </si>
  <si>
    <t>Pu max / Pu min (kN)</t>
  </si>
  <si>
    <t>Mux = max |My đỉnh| (dọc) / Muy = max |Mx đỉnh| (ngang) [kN·m]</t>
  </si>
  <si>
    <t>Vu dọc = max |Hx| / Vu ngang = max |Hy| (kN)</t>
  </si>
  <si>
    <t>Mục 6 kiểm nén–uốn 2 phương cho TẤT CẢ tổ hợp (từng cặp N–Mx–My), không chỉ trị bao.</t>
  </si>
  <si>
    <t>ĐÃ SỬA V30: mặt cắt đỉnh bệ dùng đồng thời N, Mx, My, Hx, Hy tại ĐÁY thân (TO HOP C:G), không dùng nội lực đỉnh thân H:L.</t>
  </si>
  <si>
    <t>2. Thép dọc và độ mảnh</t>
  </si>
  <si>
    <t>Ast = n·π·Ф²/4</t>
  </si>
  <si>
    <t>K/c trọng tâm lớp thép đến mặt d'</t>
  </si>
  <si>
    <t>Kiểm hàm lượng: 0,135·f'c/fy ≤ Ast/Ag_ĐÁY ≤ 0,08 (Điều 7.4.2) — Ag tại ĐÁY thân (tiết diện kiểm toán)</t>
  </si>
  <si>
    <t>klu/r dọc = 2,1·(H+hxm/2)/(0,3·h) / ngang</t>
  </si>
  <si>
    <t>δb = 1/(1−Pu/(0,75Pe)), EI = EcIg/2,5/(1+βd), βd = 0,4; bỏ qua nếu klu/r ≤ 22</t>
  </si>
  <si>
    <t>Mô men thiết kế δ·Mu: dọc / ngang</t>
  </si>
  <si>
    <t>3. Bảng tương tác P–M (tiết diện chữ nhật tương đương beq = Ag/h, thép 2 lớp As/2)</t>
  </si>
  <si>
    <t>Phương DỌC: h = hthan, beq = Ag/hthan | Phương NGANG: h = bthan, beq = Ag/bthan</t>
  </si>
  <si>
    <t>c (mm)</t>
  </si>
  <si>
    <t>a</t>
  </si>
  <si>
    <t>fs1</t>
  </si>
  <si>
    <t>fs2</t>
  </si>
  <si>
    <t>Pn (kN)</t>
  </si>
  <si>
    <t>Mn (kN·m)</t>
  </si>
  <si>
    <t>εt</t>
  </si>
  <si>
    <t>φ</t>
  </si>
  <si>
    <t>φPn</t>
  </si>
  <si>
    <t>φMn</t>
  </si>
  <si>
    <t>e=φMn/φPn (m)</t>
  </si>
  <si>
    <t>4. Sức kháng theo Điều 7.4.5</t>
  </si>
  <si>
    <t>Po = 0,85f'c(Ag−Ast)+fy·Ast (kN); φ = 0,75</t>
  </si>
  <si>
    <t>e* dọc = δ·Mux/Pu (m) / e* ngang</t>
  </si>
  <si>
    <t>Prx (nội suy bảng dọc) / Pry (bảng ngang) — đã chặn ≤ 0,8φPo</t>
  </si>
  <si>
    <t>Pu ≥ 0,1φf'cAg?</t>
  </si>
  <si>
    <t>Prxy = 1/(1/Prx+1/Pry−1/(φPo))</t>
  </si>
  <si>
    <t>KIỂM NÉN–UỐN 2 PHƯƠNG (PT 46)</t>
  </si>
  <si>
    <t>φMnx0 / φMny0 (P=0, nội suy) và kiểm PT 48 (khi Pu nhỏ)</t>
  </si>
  <si>
    <t>5. Kiểm cắt 2 phương (Điều 8.3.4.1: β=2, θ=45° khi đai ≥ tối thiểu)</t>
  </si>
  <si>
    <t>Đai: số nhánh / Ф / bước</t>
  </si>
  <si>
    <t>Phương DỌC (Vu=Hx)</t>
  </si>
  <si>
    <t>Av / Av,min / dv = 0,72h (mm)</t>
  </si>
  <si>
    <t>Vc = 0,083·β·√f'c·bv·dv; β=2 nếu đai đạt, ngược lại 1,0 (an toàn)</t>
  </si>
  <si>
    <t>Vs = Av·fy·dv/s (θ=45°); Vn ≤ 0,25f'c·bv·dv; Vr = 0,9Vn</t>
  </si>
  <si>
    <t>KIỂM CẮT</t>
  </si>
  <si>
    <t>Phương NGANG (Vu=Hy)</t>
  </si>
  <si>
    <t>6. KIỂM NÉN–UỐN 2 PHƯƠNG CHO TỪNG TỔ HỢP (Điều 7.4.5) — δb lấy theo mục 2 (thiên an toàn)</t>
  </si>
  <si>
    <t>Pu (kN)</t>
  </si>
  <si>
    <t>Mux=δ·|My| (kN·m)</t>
  </si>
  <si>
    <t>Muy=δ·|Mx| (kN·m)</t>
  </si>
  <si>
    <t>e*x (m)</t>
  </si>
  <si>
    <t>e*y (m)</t>
  </si>
  <si>
    <t>Prx (kN)</t>
  </si>
  <si>
    <t>Pry (kN)</t>
  </si>
  <si>
    <t>Prxy PT46 (kN)</t>
  </si>
  <si>
    <t>PT48</t>
  </si>
  <si>
    <t>Hệ số SD</t>
  </si>
  <si>
    <t>Kiểm</t>
  </si>
  <si>
    <t>Hệ số sử dụng LỚN NHẤT / tổ hợp quyết định</t>
  </si>
  <si>
    <t>KẾT LUẬN THÂN TRỤ (mọi tổ hợp)</t>
  </si>
  <si>
    <t>KIỂM TOÁN XÀ MŨ — công-xon từ mặt cắt kiểm toán; LL phân bố ĐÒN BẨY, so sánh k làn bất lợi</t>
  </si>
  <si>
    <t>1. Dữ liệu phản lực gối</t>
  </si>
  <si>
    <t>R_DC 1 gối = (DC1t+DC1p)/ng</t>
  </si>
  <si>
    <t>R_DW 1 gối = (DWt+DWp)/ng</t>
  </si>
  <si>
    <t>LL 1 làn tại trụ = R xe·(1+IM) + R làn</t>
  </si>
  <si>
    <t>x mặt cắt kiểm toán = bmr/2 − (R/3 | c/3) (Điều 8.3.2)</t>
  </si>
  <si>
    <t>★MỚI x_mc chỉnh tay (&gt;0 để ghi đè):</t>
  </si>
  <si>
    <t>ĐÃ CHUYỂN SANG INPUT</t>
  </si>
  <si>
    <t>y gối ngoài cùng</t>
  </si>
  <si>
    <t>2. Bảng gối (y từ tim trụ) và cánh tay đòn về mặt cắt (phía +y)</t>
  </si>
  <si>
    <t>Gối</t>
  </si>
  <si>
    <t>y (m)</t>
  </si>
  <si>
    <t>dùng</t>
  </si>
  <si>
    <t>arm = max(0; y−x_mc) (m)</t>
  </si>
  <si>
    <t>ngoài mặt cắt?</t>
  </si>
  <si>
    <t>TỔNG</t>
  </si>
  <si>
    <t>3. Bánh xe các làn — xếp lệch hết về phía +y, bánh ngoài cách mép làn 0,6 m; làn 3,6 m</t>
  </si>
  <si>
    <t>Làn</t>
  </si>
  <si>
    <t>y bánh 1 (m)</t>
  </si>
  <si>
    <t>y bánh 2 (m)</t>
  </si>
  <si>
    <t>P 1 vệt bánh (kN)</t>
  </si>
  <si>
    <t>4. Phản lực LL từng gối theo số làn chất k (đòn bẩy tam giác, hiệu chỉnh gối biên), đã nhân hệ số làn m</t>
  </si>
  <si>
    <t>Hệ số làn m(k); k &gt; nLan → 0</t>
  </si>
  <si>
    <t>Gối \ k làn</t>
  </si>
  <si>
    <t>k=1</t>
  </si>
  <si>
    <t>k=2</t>
  </si>
  <si>
    <t>k=3</t>
  </si>
  <si>
    <t>k=4</t>
  </si>
  <si>
    <t>k=5</t>
  </si>
  <si>
    <t>k=6</t>
  </si>
  <si>
    <t>Gối biên: bánh xe nằm ngoài gối ngoài cùng phân về gối biên theo đòn bẩy hẫng (hệ số 1+(y−y_gối)/s).</t>
  </si>
  <si>
    <t>5. Nội lực tại mặt cắt kiểm toán (công-xon phía +y)</t>
  </si>
  <si>
    <t>M_DC gối = R_DC·Σarm</t>
  </si>
  <si>
    <t>kN·m</t>
  </si>
  <si>
    <t>M_DC bản thân = w·(Lxm/2−x_mc)²/2, w = Vxm·γc/Lxm</t>
  </si>
  <si>
    <t>M_DW = R_DW·Σarm</t>
  </si>
  <si>
    <t>V_DC (gối + bản thân) / V_DW</t>
  </si>
  <si>
    <t>M_LL(k) = Σ R_LL,i(k)·arm_i</t>
  </si>
  <si>
    <t>V_LL(k) = Σ R_LL,i(k) (gối ngoài mặt cắt)</t>
  </si>
  <si>
    <t>M_LL max / tại k làn / V_LL tương ứng</t>
  </si>
  <si>
    <t>Mu = 1,25·(M_DCgối+M_DCbt) + 1,5·M_DW + 1,75·M_LLmax</t>
  </si>
  <si>
    <t>Vu = 1,25·V_DC + 1,5·V_DW + 1,75·V_LL</t>
  </si>
  <si>
    <t>Ms (SD I) = M_DC + M_DW + M_LLmax</t>
  </si>
  <si>
    <t>★SỬA 6. Điều kiện dầm cao / chống-giằng (Điều 8.1.1, 5.6.3, 5.13.2.4) — xét gối GẦN thân NHẤT</t>
  </si>
  <si>
    <t>★SỬA a_v = (gối gần thân nhất, ngoài mặt cắt) − x_mc; d = 0,9·(hxm+hmr)</t>
  </si>
  <si>
    <t>a_v/d =</t>
  </si>
  <si>
    <t>★MỚI Mở rộng điều kiện theo a_v/d: ≤1 → công xôn ngắn (PP corbel); 1–2 → PHẢI KIỂM STM; ≥2 → dầm thường (Điều 5.13.2.4 + 5.6.3/8.1.1)</t>
  </si>
  <si>
    <t>★SỬA 7. CỐT THÉP CHỦ NHIỀU LỚP + KIỂM UỐN (số thanh NGUYÊN; bó đôi/ba/tư; kiểm cự ly &amp; bó thanh)</t>
  </si>
  <si>
    <t>Tiết diện b = bxm, h = hxm+hmr. Thép kéo ở MẶT TRÊN (mô men âm công-xon). Mỗi lớp nhập: số vị trí (nguyên), số thanh/bó, Ф, dc (tâm lớp → mép kéo).</t>
  </si>
  <si>
    <t>b (mm)</t>
  </si>
  <si>
    <t>h (mm)</t>
  </si>
  <si>
    <t>Lớp bảo vệ cạnh a_side / cỡ cốt liệu ag (mm)</t>
  </si>
  <si>
    <t>Lớp</t>
  </si>
  <si>
    <t>★MỚI Chế độ (0=đếm/1=bước)</t>
  </si>
  <si>
    <t>★MỚI Giá trị nhập (số thanh HOẶC bước s mm)</t>
  </si>
  <si>
    <t>n TỰ TÍNH</t>
  </si>
  <si>
    <t>thanh/bó m</t>
  </si>
  <si>
    <t>Ф (mm)</t>
  </si>
  <si>
    <t>dc (mm)</t>
  </si>
  <si>
    <t>As lớp (mm²)</t>
  </si>
  <si>
    <t>s bố trí (mm)</t>
  </si>
  <si>
    <t>KIỂM bó</t>
  </si>
  <si>
    <t>KIỂM cự ly</t>
  </si>
  <si>
    <t>★MỚI Chế độ=1 (theo bước): nhập bước s MỤC TIÊU (mm) ở cột "Giá trị nhập"; n tự tính = CEILING(số khoảng)+1 để s thực tế bố trí ≤ s mục tiêu — khỏi tự đếm/nhập tay số thanh.</t>
  </si>
  <si>
    <t>As tổng (mm²)</t>
  </si>
  <si>
    <t>d trọng tâm = h − Σ(As·dc)/As (mm)</t>
  </si>
  <si>
    <t>dc lớp NGOÀI cùng (nhỏ nhất) — kiểm nứt</t>
  </si>
  <si>
    <t>β1</t>
  </si>
  <si>
    <t>★MỚI Giải TƯƠNG THÍCH BIẾN DẠNG từng lớp (thay vì giả thiết mọi lớp đều chảy dẻo)</t>
  </si>
  <si>
    <t>Mỗi lớp i: εi=0,003·((h−dci)−c)/c; fsi=Es·εi kẹp ±fy (lớp chưa chảy dùng đúng Es·ε, lớp trong vùng nén trừ phần bê tông choán chỗ 0,85f'c). Cân bằng g(c)=ΣAsi·fsi(đã trừ choán chỗ)−0,85f'c·b·a=0; g giảm đơn điệu theo c → dò nghiệm bằng CHIA ĐÔI (bisection), không cần lặp vòng tròn (circular ref).</t>
  </si>
  <si>
    <t># vòng</t>
  </si>
  <si>
    <t>lo (mm)</t>
  </si>
  <si>
    <t>hi (mm)</t>
  </si>
  <si>
    <t>mid = c thử (mm)</t>
  </si>
  <si>
    <t>a=β1·c thử (mm)</t>
  </si>
  <si>
    <t>T=Σ lực thép (N)</t>
  </si>
  <si>
    <t>C=0,85f'c·b·a (N)</t>
  </si>
  <si>
    <t>g=T−C</t>
  </si>
  <si>
    <t>c HỘI TỤ sau 20 vòng chia đôi (mm) / a=β1·c (mm) — khoảng ban đầu [1;h] chia đôi 20 lần, sai số &lt;0,01mm</t>
  </si>
  <si>
    <t>εt lớp ngoài = 0,003(d_ext−c)/c ; d_ext = h−dc_ngoài</t>
  </si>
  <si>
    <t>φ theo εt</t>
  </si>
  <si>
    <t>Mn = Σ[lực lớp i (có dấu) × cánh tay đòn tới trọng tâm khối nén a/2] — TƯƠNG THÍCH BIẾN DẠNG thực, không giả thiết chảy dẻo (kN·m)</t>
  </si>
  <si>
    <t>Mr = φ·Mn (kN·m)</t>
  </si>
  <si>
    <t>KIỂM UỐN: Mr ≥ Mu</t>
  </si>
  <si>
    <t>Cảnh báo: εt ≥ 0,005 (kéo khống chế)?</t>
  </si>
  <si>
    <t>Mcr = 1,07·fr·b·h²/6 (kN·m)</t>
  </si>
  <si>
    <t>THÉP TỐI THIỂU: Mr ≥ min(Mcr; 1,33Mu)</t>
  </si>
  <si>
    <t>★MỚI 7b. CHIỀU DÀI TRIỂN KHAI Ld — tăng theo bó thanh (Điều 5.11.2.3: +20% bó 3 thanh, +33% bó 4 thanh)</t>
  </si>
  <si>
    <t>Ld cơ bản 1 thanh = MAX(0,02·Ab·fy/√f'c; 0,06·Ф·fy) (Điều 5.11.2.1.1), nhân hệ số bó (5.11.2.3) và hệ số thanh trên (5.11.2.1.2)</t>
  </si>
  <si>
    <t>Hệ số thanh TRÊN áp dụng? (thép chủ ở MẶT TRÊN, &gt;300mm BT đổ dưới → mặc định CÓ)</t>
  </si>
  <si>
    <t>Hệ số =</t>
  </si>
  <si>
    <t>★ xác minh lại Điều 5.11.2.1.2 trước khi dùng — số tham khảo</t>
  </si>
  <si>
    <t>Ld YÊU CẦU — lớn nhất trong các lớp đang dùng, đã nhân hệ số bó + thanh trên (mm)</t>
  </si>
  <si>
    <t>Chiều dài neo BỐ TRÍ thực tế (đầu thanh → mép tự do/điểm cắt lý thuyết) (mm)</t>
  </si>
  <si>
    <t>KIỂM NEO: L bố trí ≥ Ld yêu cầu</t>
  </si>
  <si>
    <t>Ghi chú: CHƯA gồm hệ số bọc epoxy, hệ số cự ly/lớp bảo vệ nhỏ có đai xác nhận, hệ số dư thép As,yc/As,bố trí. Các hệ số này có thể làm TĂNG Ld — kỹ sư tự bổ sung nếu áp dụng cho công trình cụ thể.</t>
  </si>
  <si>
    <t>★SỬA 8. KIỂM NỨT (Điều 7.3.4) — dc tới LỚP NGOÀI cùng, fss KHÔNG cap</t>
  </si>
  <si>
    <t>γe (1,0 cấp 1; 0,75 cấp 2)</t>
  </si>
  <si>
    <t>n = Es/Ec</t>
  </si>
  <si>
    <t>ρ = As/(b·d)</t>
  </si>
  <si>
    <t>k = √(2ρn+(ρn)²)−ρn</t>
  </si>
  <si>
    <t>j = 1−k/3</t>
  </si>
  <si>
    <t>fss = Ms/(As·j·d) [THỰC, không cap] (MPa)</t>
  </si>
  <si>
    <t>βs = 1 + dc/(0,7(h−dc))</t>
  </si>
  <si>
    <t>s cho phép = 123000γe/(βs·fss) − 2dc (mm)</t>
  </si>
  <si>
    <t>s bố trí lớp ngoài = (b−2a_side)/(n−1) (mm)</t>
  </si>
  <si>
    <t>KIỂM NỨT: fss ≤ 0,6fy VÀ s ≤ s cho phép</t>
  </si>
  <si>
    <t>★SỬA 9. KIỂM CẮT (PP tổng quát 8.3.4.2) tại dv — Vu tại mặt thân (thiên an toàn)</t>
  </si>
  <si>
    <t>Đai: số nhánh / Ф / bước (mm)</t>
  </si>
  <si>
    <t>dv = max(d−a/2; 0,9d; 0,72h) (mm)</t>
  </si>
  <si>
    <t>Av / Av,min = 0,083√f'c·b·s/fy (mm²)</t>
  </si>
  <si>
    <t>εs = (Mu/dv + Vu)/(Es·As) [Nu≈0 cho xà mũ]</t>
  </si>
  <si>
    <t>sxe = dv·35/(16+ag)</t>
  </si>
  <si>
    <t>β (77/78 tùy Av≥Av,min)</t>
  </si>
  <si>
    <t>θ = 29+3500εs (độ)</t>
  </si>
  <si>
    <t>Vc = 0,083β√f'c·b·dv (kN)</t>
  </si>
  <si>
    <t>Vs = Av·fy·dv·cotθ/s (kN)</t>
  </si>
  <si>
    <t>Vr = 0,9·min(Vc+Vs; 0,25f'c·b·dv) (kN)</t>
  </si>
  <si>
    <t>KIỂM CẮT: Vr ≥ Vu VÀ đủ đai tối thiểu khi Vu&gt;0,5φVc</t>
  </si>
  <si>
    <t>10. Thép da (Điều 7.3.4 — h &gt; 900 mm)</t>
  </si>
  <si>
    <t>Ask ≥ 0,001(de−760) mm²/mm mỗi mặt; chọn Ф/bước</t>
  </si>
  <si>
    <t>KIỂM THÉP DA</t>
  </si>
  <si>
    <t>★MỚI 11. KIỂM TOÁN XÀ MŨ THEO PHƯƠNG DỌC CẦU</t>
  </si>
  <si>
    <t>TCVN 11823/AASHTO LRFD KHÔNG có điều riêng "xà mũ phương dọc" — đây là TỔNG HỢP 3 kiểm toán từ các điều khoản liên quan: (a) công-xôn dọc do hàng gối exL/exR nằm ngoài mép thân; (b) xoắn dọc xà mũ do CHÍNH lực lệch tâm đó (PP tổng quát cắt+xoắn, Điều 8.6 mã cũ /5.8.2-3); (c) ma sát cắt truyền lực ngang dọc cầu (BR/TU/CR/SH) qua mặt tiếp giáp xà mũ–thân (Điều 5.7.4.3 mã cũ). Đã đọc kỹ các điều khoản trước khi lập — không có 1 điều duy nhất bao trùm cả 3 mục.</t>
  </si>
  <si>
    <t>11a. Công-xôn phương DỌC (hàng gối cách tim thân xa hơn hthan2/2)</t>
  </si>
  <si>
    <t>L côngxôn trái/phải = MAX(0,|exL,R|−hthan2/2) (m) — không cộng r/3, c/3 (mép thân phẳng theo phương dọc)</t>
  </si>
  <si>
    <t>LL 1 hàng bao (dồn hết về 1 hàng khi chất "1 nhịp") = MAX(LL1_N) — lấy lại, không nhập tay (kN)</t>
  </si>
  <si>
    <t>Mu trái/phải = Lc·(1,25·RDC+1,5·RDW+1,75·LLhàng) (kN·m)</t>
  </si>
  <si>
    <t>Vu trái/phải = 1,25·RDC+1,5·RDW+1,75·LLhàng, chỉ tính nếu Lc&gt;0 (kN)</t>
  </si>
  <si>
    <t>Ms trái/phải (SD, không hệ số) (kN·m)</t>
  </si>
  <si>
    <t>GOVERNING (max trái/phải): Mu / Vu / Ms</t>
  </si>
  <si>
    <t>Nếu cả 2 Lc = 0 (hàng gối nằm trong bề rộng thân): Mu/Vu = 0 → mục dưới tự ĐẠT, chỉ còn 11b/11c thực sự chi phối.</t>
  </si>
  <si>
    <t>11a (tiếp). Kiểm mặt cắt công-xôn dọc — b=Lxm, h=hxm+hmr; thép NGANG/dưới RIÊNG cho phương này (không dùng chung thép mục 7)</t>
  </si>
  <si>
    <t>Bề rộng tính toán b</t>
  </si>
  <si>
    <t>Chiều cao tiết diện h</t>
  </si>
  <si>
    <t>K/c trọng tâm thép chịu kéo đến mép kéo dc</t>
  </si>
  <si>
    <t>Đường kính thanh thép chủ</t>
  </si>
  <si>
    <t>Bước thép chủ</t>
  </si>
  <si>
    <t>Diện tích thép chịu kéo As</t>
  </si>
  <si>
    <t>Chiều cao có hiệu d = h − dc</t>
  </si>
  <si>
    <t>Mô men tính toán Mu</t>
  </si>
  <si>
    <t>Lực cắt tính toán Vu</t>
  </si>
  <si>
    <t>Mô men TTGH sử dụng Ms</t>
  </si>
  <si>
    <t>β1 (Điều 7.2.2)</t>
  </si>
  <si>
    <t>a = As·fy/(0,85·f'c·b)</t>
  </si>
  <si>
    <t>c = a/β1</t>
  </si>
  <si>
    <t>εt = 0,003·(d−c)/c</t>
  </si>
  <si>
    <t>φ theo εt (Điều 5.4.2.1)</t>
  </si>
  <si>
    <t>Mn = As·fy·(d−a/2)</t>
  </si>
  <si>
    <t>Mr = φ·Mn</t>
  </si>
  <si>
    <t>Mcr = γ3·γ1·fr·Ig/(h/2) = 1,07·fr·S</t>
  </si>
  <si>
    <t>Điều 7.3.3.2 (γ1=1,6; γ3=0,67)</t>
  </si>
  <si>
    <t>γe (cấp lộ thiên: 1,0 cấp 1; 0,75 cấp 2)</t>
  </si>
  <si>
    <t>fss = Ms/(As·j·d) [ứng suất THỰC, KHÔNG chặn]</t>
  </si>
  <si>
    <t>So với 0,6fy ở dòng KIỂM NỨT — không cap để lộ quá ứng suất</t>
  </si>
  <si>
    <t>βs = 1+dc/(0,7(h−dc))</t>
  </si>
  <si>
    <t>s cho phép = 123000·γe/(βs·fss)−2dc</t>
  </si>
  <si>
    <t>Điều 7.3.4</t>
  </si>
  <si>
    <t>KIỂM NỨT: fss ≤ 0,6fy VÀ s bố trí ≤ s cho phép</t>
  </si>
  <si>
    <t>Số nhánh đai trên bề rộng b</t>
  </si>
  <si>
    <t>nhánh</t>
  </si>
  <si>
    <t>0 = không kể Vs</t>
  </si>
  <si>
    <t>Đường kính đai</t>
  </si>
  <si>
    <t>Bước đai (dọc)</t>
  </si>
  <si>
    <t>Av = n·π·Dv²/4</t>
  </si>
  <si>
    <t>Av,min = 0,083·√f'c·b·s/fy (Điều 8.2.5)</t>
  </si>
  <si>
    <t>dv = max(d−a/2; 0,9d; 0,72h)</t>
  </si>
  <si>
    <t>εs = (max(|Mu|;Vu·dv)/dv+Vu)/(Es·As)</t>
  </si>
  <si>
    <t>Điều 8.3.4.2 PT 81</t>
  </si>
  <si>
    <t>sxe = dv·35/(16+ag), ag = 20 mm</t>
  </si>
  <si>
    <t>β (PT 77/78 tùy Av ≥ Av,min)</t>
  </si>
  <si>
    <t>θ = 29+3500·εs</t>
  </si>
  <si>
    <t>Vc = 0,083·β·√f'c·bv·dv</t>
  </si>
  <si>
    <t>Vs = Av·fy·dv·cotθ/s</t>
  </si>
  <si>
    <t>Chỉ kể Vs khi đai ≥ tối thiểu</t>
  </si>
  <si>
    <t>Vn = min(Vc+Vs; 0,25·f'c·bv·dv)</t>
  </si>
  <si>
    <t>Vr = 0,9·Vn</t>
  </si>
  <si>
    <t>KIỂM CẮT: Vr ≥ Vu VÀ đủ đai tối thiểu khi Vu &gt; 0,5φVc</t>
  </si>
  <si>
    <t>vu = Vu/(0,9·bv·dv)</t>
  </si>
  <si>
    <t>s max = 0,8dv≤600 (vu&lt;0,125f'c) / 0,4dv≤300</t>
  </si>
  <si>
    <t>Điều 8.2.7</t>
  </si>
  <si>
    <t>BƯỚC ĐAI (khi kể Vs): s ≤ s max</t>
  </si>
  <si>
    <t>As co ngót–nhiệt độ y/c = 0,75bh/(2(b+h)fy), chặn 0,233–1,27</t>
  </si>
  <si>
    <t>Điều 10.8</t>
  </si>
  <si>
    <t>Thép cấu tạo mặt: đường kính / bước</t>
  </si>
  <si>
    <t>CO NGÓT–NHIỆT ĐỘ: As cấp ≥ yêu cầu</t>
  </si>
  <si>
    <t>11b. XOẮN dọc xà mũ (PP tổng quát cắt+xoắn, Điều 8.6/5.8.2-3 — cùng nguồn lực lệch tâm với 11a)</t>
  </si>
  <si>
    <t>Tu = 1,25·(gối ngoài m.cắt)·(exL·RDC1_+exR·RDC2_)/ng + 1,5·(...)·(exL·RDW1_+exR·RDW2_)/ng + 1,75·V_LL bao·max(|exL|,|exR|) — lấy lại $F$22 (số gối ngoài m.cắt) và $E$52 (V_LL bao), không nhập tay</t>
  </si>
  <si>
    <t>Tu (kN·m)</t>
  </si>
  <si>
    <t>Acp=b·h (mm²); pc=2(b+h) (mm); Tcr=0,328·√f'c·(Acp²/pc) (fpc=0) (kN·m)</t>
  </si>
  <si>
    <t>Ngưỡng bỏ qua xoắn: Tu ≤ 0,25·φ·Tcr (φ=0,9)</t>
  </si>
  <si>
    <t>Cover tim đai kín xoắn (giả thiết) (mm)</t>
  </si>
  <si>
    <t>Aoh=(b−2c)(h−2c); Ao=0,85Aoh (mm²); ph=2[(b−2c)+(h−2c)] (mm)</t>
  </si>
  <si>
    <t>At/s YÊU CẦU (1 nhánh) = Tu/(φ·2·Ao·fy·cotθ); θ lấy lại từ mục 9 (mm²/mm)</t>
  </si>
  <si>
    <t>Vs cần cho CẮT riêng = MAX(0,Vu/φ−Vc) (kN); (Av/s) cần cho cắt = Vs·1000/(fy·dv·cotθ)</t>
  </si>
  <si>
    <t>(Av/s) TỔNG YÊU CẦU = (Av/s)cắt + 2·(At/s)xoắn  so với (Av/s) ĐÃ BỐ TRÍ ở mục 9</t>
  </si>
  <si>
    <t>KIỂM ĐAI TỔ HỢP CẮT+XOẮN: (Av/s) bố trí ≥ (Av/s) tổng yêu cầu</t>
  </si>
  <si>
    <t>AL YÊU CẦU (thép dọc bổ sung quanh chu vi cho xoắn) = Tu·ph/(2·Ao·φ·fy)·cotθ (mm²)</t>
  </si>
  <si>
    <t>AL đã bố trí bổ sung quanh chu vi (mm²) — thép RIÊNG cho xoắn, cộng thêm ngoài thép chủ mục 7</t>
  </si>
  <si>
    <t>KIỂM THÉP DỌC XOẮN: AL bố trí ≥ AL yêu cầu</t>
  </si>
  <si>
    <t>Vu,hiệu dụng gộp cắt+xoắn (PP AASHTO: gộp vào Vu trước khi kiểm ép vỡ — KHÔNG dùng công thức elip ACI) = √(Vu²+(0,9·ph·Tu/(2·Ao))²) (kN)</t>
  </si>
  <si>
    <t>KIỂM ÉP VỠ (thay Vu bằng Vu,hiệu dụng, so 0,25f'c·b·dv của mục 9)</t>
  </si>
  <si>
    <t>★ Độ tin cậy TRUNG BÌNH cho công thức Vu,hiệu dụng và AL (chưa đối chiếu trực tiếp bản TCVN gốc, suy từ ví dụ tính mẫu AASHTO) — kỹ sư kiểm tra lại nếu Tu lớn/chi phối.</t>
  </si>
  <si>
    <t>11c. MA SÁT CẮT truyền lực NGANG DỌC CẦU qua mặt tiếp giáp xà mũ–thân (Điều 5.7.4.3 mã cũ AASHTO; TCVN 11823-5 tương ứng)</t>
  </si>
  <si>
    <t>Vu (bao CĐ I(a) dọc: BR+TU+CS+FR — lấy lại các cột đã tính sẵn, không nhập tay) (kN)</t>
  </si>
  <si>
    <t>Bao Hx đáy sau khi tổ hợp TU/CR/SH/FR có dấu; không cộng trị tuyệt đối trước tổ hợp</t>
  </si>
  <si>
    <t>Vu (ĐB I dọc chủ đạo — có động đất, tham khảo thêm) (kN)</t>
  </si>
  <si>
    <t>Loại mặt tiếp giáp: 1 liền khối; 2 nhám chủ động; 3 không xử lý nhám</t>
  </si>
  <si>
    <t>c theo loại 1/2/3 (MPa) — ★ giá trị THAM KHẢO, xác minh lại Điều 5.7.4.4 trước khi dùng</t>
  </si>
  <si>
    <t>μ (λ=1) theo loại 1/2/3 — ★ giá trị THAM KHẢO</t>
  </si>
  <si>
    <t>c / μ SỬ DỤNG (theo loại đã chọn, tự chọn — không nhập tay)</t>
  </si>
  <si>
    <t>Acv = diện tích tiếp giáp = Ag ĐỈNH thân (mm²) — lấy lại Agth2, không phải cả xà mũ</t>
  </si>
  <si>
    <t>Avf = thép chủ thân xuyên qua mặt tiếp giáp (mm²) — lấy lại thép chủ thân đã kiểm ở KT THAN (giả thiết neo thẳng lên xà mũ)</t>
  </si>
  <si>
    <t>Pc = nén thường xuyên KẸP mặt tiếp giáp (γDC,min=0,9, thiên an toàn) (kN)</t>
  </si>
  <si>
    <t>Vni = c·Acv + μ(Avf·fy + Pc·1000), chặn trên MIN(0,3f'cAcv; 25·Acv) (K1,K2 ★ tham khảo) (kN)</t>
  </si>
  <si>
    <t>Vr = φ·MIN(Vni, chặn trên), φ=0,9 (kN)</t>
  </si>
  <si>
    <t>KIỂM MA SÁT CẮT: Vr ≥ Vu (bao CĐ I(a) dọc; ĐB chỉ tham khảo)</t>
  </si>
  <si>
    <t>Ghi chú: giả thiết mặt tiếp giáp có xử lý nhám + thép thân neo liên tục lên xà mũ (thực hành phổ biến khi đổ xà mũ sau thân). Nếu đổ LIỀN KHỐI 1 lần, ứng xử liên tục đã gộp trong P–M–M thân (KT THAN) — có thể bỏ qua mục 11c.</t>
  </si>
  <si>
    <t>PHƯƠNG ÁN DƯL ĐÃ CHUYỂN SANG SHEET XA MU DUL — XA MU CHỈ CÒN KIỂM TOÁN BTCT</t>
  </si>
  <si>
    <t>KIỂM TOÁN BỆ TRỤ theo phản lực cọc (TS-PILE)</t>
  </si>
  <si>
    <t>1. Nội lực tại mép thân trụ (x mép = ±hthan/2, tiết diện CHÂN)</t>
  </si>
  <si>
    <t>x mép phía nhịp / phía kia (m)</t>
  </si>
  <si>
    <t>ΣP ngoài mép + (kN)</t>
  </si>
  <si>
    <t>M mép + (kN·m)</t>
  </si>
  <si>
    <t>ΣP ngoài mép − (kN)</t>
  </si>
  <si>
    <t>M mép − (kN·m)</t>
  </si>
  <si>
    <t>BAO CĐ+ĐB (nhóm co giãn theo nLan)</t>
  </si>
  <si>
    <t>BAO SD (TH1..3·nLan)</t>
  </si>
  <si>
    <t>2. Kiểm toán mặt cắt bệ tại mép thân (b = Cbe)</t>
  </si>
  <si>
    <t>3. Chọc thủng cọc (Điều 13.3.6.1) — b0 = π(D+dv)</t>
  </si>
  <si>
    <t>dv (từ mục 2)</t>
  </si>
  <si>
    <t>Vu = P max cọc (CĐ)</t>
  </si>
  <si>
    <t>KIỂM CHỌC THỦNG</t>
  </si>
  <si>
    <t>GIAO TIẾP TS-COL / TS-CAP</t>
  </si>
  <si>
    <t>1. DÁN nội lực đầu cọc từ TS-PILE (tấn, tấn·m)</t>
  </si>
  <si>
    <t>P=N (t)</t>
  </si>
  <si>
    <t>Qx (t)</t>
  </si>
  <si>
    <t>Qy (t)</t>
  </si>
  <si>
    <t>Mx (t·m)</t>
  </si>
  <si>
    <t>My (t·m)</t>
  </si>
  <si>
    <t>2. BẢNG DÁN VÀO TS-COL — copy B91:K170</t>
  </si>
  <si>
    <t>Item</t>
  </si>
  <si>
    <t>Pile</t>
  </si>
  <si>
    <t>Combo</t>
  </si>
  <si>
    <t>TTGH</t>
  </si>
  <si>
    <t>N (t)</t>
  </si>
  <si>
    <t>Q2 (t)</t>
  </si>
  <si>
    <t>Q3 (t)</t>
  </si>
  <si>
    <t>T (t·m)</t>
  </si>
  <si>
    <t>Mux (t·m)</t>
  </si>
  <si>
    <t>Muy (t·m)</t>
  </si>
  <si>
    <t>3. TỔNG HỢP CHO TS-CAP</t>
  </si>
  <si>
    <t>P max — CĐ (kN / t)</t>
  </si>
  <si>
    <t>P max — ĐB (kN / t)</t>
  </si>
  <si>
    <t>P max — SD (kN / t)</t>
  </si>
  <si>
    <t>P min — CĐ (kN / t)</t>
  </si>
  <si>
    <t>φ theo Bảng 10 TCVN 11823-10 (CĐ); φ = 1,0 (ĐB); nhổ φ = 0,35.</t>
  </si>
  <si>
    <t>HỆ GỐI DỌC CẦU — INPUT MỘT LẦN, TÍNH VÀ TRÌNH BÀY TẠI ĐÂY</t>
  </si>
  <si>
    <t>Sơ đồ lấy duy nhất từ INPUT 184:192. ELASTIC dùng mô hình cục bộ V26; FIXED không được trả 0 giả mà bắt buộc phản lực có dấu từ mô hình GLOBAL.</t>
  </si>
  <si>
    <t>SƠ ĐỒ NHỊP VÀ GỐI — CHỈ ĐỌC TỪ INPUT</t>
  </si>
  <si>
    <t>Node</t>
  </si>
  <si>
    <t>Tên</t>
  </si>
  <si>
    <t>L nhịp kế tiếp (m)</t>
  </si>
  <si>
    <t>Loại trái</t>
  </si>
  <si>
    <t>Loại phải</t>
  </si>
  <si>
    <t>Trạng thái trái</t>
  </si>
  <si>
    <t>Trạng thái phải</t>
  </si>
  <si>
    <t>Trụ đang tính</t>
  </si>
  <si>
    <t>KẾT QUẢ CÓ DẤU TẠI TRỤ ĐANG TÍNH</t>
  </si>
  <si>
    <t>Tác động</t>
  </si>
  <si>
    <t>Nhánh trái / gối trái</t>
  </si>
  <si>
    <t>Nhánh phải / gối phải</t>
  </si>
  <si>
    <t>Lực vào trụ</t>
  </si>
  <si>
    <t>Đơn vị</t>
  </si>
  <si>
    <t>Ghi chú</t>
  </si>
  <si>
    <t>TU+</t>
  </si>
  <si>
    <t>H_extra cộng có dấu trước khi bao</t>
  </si>
  <si>
    <t>TU−</t>
  </si>
  <si>
    <t>CR</t>
  </si>
  <si>
    <t>AUTO chỉ tách CR khi dùng biến dạng riêng</t>
  </si>
  <si>
    <t>SH</t>
  </si>
  <si>
    <t>AUTO chỉ tách SH khi dùng biến dạng riêng</t>
  </si>
  <si>
    <t>FR+</t>
  </si>
  <si>
    <t>Ma sát dùng bao hai chiều</t>
  </si>
  <si>
    <t>FR−</t>
  </si>
  <si>
    <t>Đổi dấu để tổ hợp</t>
  </si>
  <si>
    <t>CR+SH</t>
  </si>
  <si>
    <t>Dùng cho chế độ ΔL gộp</t>
  </si>
  <si>
    <t>SE</t>
  </si>
  <si>
    <t>Chỉ có khi GLOBAL</t>
  </si>
  <si>
    <t>CỔNG PHƯƠNG PHÁP</t>
  </si>
  <si>
    <t>Trạng thái</t>
  </si>
  <si>
    <t>Kiểm soát</t>
  </si>
  <si>
    <t>Độ cứng thân cục bộ</t>
  </si>
  <si>
    <t>Lực hàng gối lớn nhất</t>
  </si>
  <si>
    <t>Loại gối TRÁI (trụ đang tính)</t>
  </si>
  <si>
    <t>goiT</t>
  </si>
  <si>
    <t>Loại gối PHẢI (trụ đang tính)</t>
  </si>
  <si>
    <t>goiP</t>
  </si>
  <si>
    <t>→ Trạng thái dọc cầu TRÁI</t>
  </si>
  <si>
    <t>statT</t>
  </si>
  <si>
    <t>→ Trạng thái dọc cầu PHẢI</t>
  </si>
  <si>
    <t>statP</t>
  </si>
  <si>
    <t>Áp lực σ_PTFE = N_thường_xuyên 1 gối / A_PTFE</t>
  </si>
  <si>
    <t>σ_PTFE</t>
  </si>
  <si>
    <t>N thường xuyên (DC+DW) trung bình 1 gối — CHƯA kể LL</t>
  </si>
  <si>
    <t>μ_PTFE nội suy theo σ_PTFE (nội suy 2 đoạn, kẹp ngoài biên)</t>
  </si>
  <si>
    <t>μ_PTFE</t>
  </si>
  <si>
    <t>μ SỬ DỤNG cho toàn bộ tính toán (theo chế độ đã chọn)</t>
  </si>
  <si>
    <t>μ</t>
  </si>
  <si>
    <t>Mọi công thức FR/ma sát dùng ô này (tên "fms") — không đổi tên tham chiếu</t>
  </si>
  <si>
    <t>ΔT⁺ = Tmax − T0 (giãn)</t>
  </si>
  <si>
    <t>ΔT⁺</t>
  </si>
  <si>
    <t>ΔT⁻ = T0 − Tmin (co)</t>
  </si>
  <si>
    <t>ΔT⁻</t>
  </si>
  <si>
    <t>ε_TU⁺ = α·ΔT⁺</t>
  </si>
  <si>
    <t>ε_TU⁺</t>
  </si>
  <si>
    <t>ε_TU⁻ = α·ΔT⁻</t>
  </si>
  <si>
    <t>ε_TU⁻</t>
  </si>
  <si>
    <t>ε_CS còn lại (chế độ 2)</t>
  </si>
  <si>
    <t>ε_CS</t>
  </si>
  <si>
    <t>★SỬA k gối 1 HÀNG = ng·G·A/t_e</t>
  </si>
  <si>
    <t>k_hàng</t>
  </si>
  <si>
    <t>Mỗi hàng ng gối (trước gộp cả 2 hàng)</t>
  </si>
  <si>
    <t>I thân (uốn dọc) = b·h³/12</t>
  </si>
  <si>
    <t>I_thân</t>
  </si>
  <si>
    <t>m⁴</t>
  </si>
  <si>
    <t>K thân = 3·Ec·I/H³</t>
  </si>
  <si>
    <t>K_thân</t>
  </si>
  <si>
    <t>N thường xuyên nhịp TRÁI</t>
  </si>
  <si>
    <t>N_trái</t>
  </si>
  <si>
    <t>N thường xuyên nhịp PHẢI</t>
  </si>
  <si>
    <t>N_phải</t>
  </si>
  <si>
    <t>N tổng 2 hàng</t>
  </si>
  <si>
    <t>Dòng ĐANG TÍNH (khớp theo tên đã chọn ở mục 0)</t>
  </si>
  <si>
    <t>dòng</t>
  </si>
  <si>
    <t>Đổi trụ đang tính: chọn lại TÊN ở ô vàng đầu sheet (mục 0) — KHÔNG sửa số này tay, và KHÔNG cần gõ "(đang tính)" vào bảng dưới nữa.</t>
  </si>
  <si>
    <t>★MỚI (v25) Chuyển vị tự do CÓ DẤU đầu nhịp — hệ số phân bổ THEO TRẠNG THÁI 2 ĐẦU của MỖI NHỊP (không còn giả thiết mọi gối đều ELASTIC)</t>
  </si>
  <si>
    <t>Với mỗi nhịp kề trụ: đầu XA là FIXED → 100% biến dạng dồn về đầu GẦN (trụ đang tính); đầu GẦN (trụ đang tính) là FIXED → 0% (đầu này không chuyển vị); còn lại (không đầu nào FIXED) → chia đôi 50/50 (giả thiết độ mềm 2 đầu gần bằng nhau — PP tay không có công thức chính xác hơn; đây cũng là logic đã tham khảo và xác nhận đúng từ v27, khắc phục lỗi cú pháp gốc của v27 trước khi dùng).</t>
  </si>
  <si>
    <t>Trạng thái đầu XA nhịp TRÁI (= gối PHẢI của mố/trụ liền TRƯỚC)</t>
  </si>
  <si>
    <t>stFarT</t>
  </si>
  <si>
    <t>Trạng thái đầu XA nhịp PHẢI (= gối TRÁI của mố/trụ liền SAU)</t>
  </si>
  <si>
    <t>stFarP</t>
  </si>
  <si>
    <t>Hệ số phân bổ về hàng TRÁI (0/0,5/1)</t>
  </si>
  <si>
    <t>kT</t>
  </si>
  <si>
    <t>Hệ số phân bổ về hàng PHẢI (0/0,5/1)</t>
  </si>
  <si>
    <t>kP</t>
  </si>
  <si>
    <t>u hàng TRÁI (giãn TU+)</t>
  </si>
  <si>
    <t>u_L,T+</t>
  </si>
  <si>
    <t>Toàn bộ giãn nở nhịp trái × hệ số phân bổ (0 nếu hàng này FIXED)</t>
  </si>
  <si>
    <t>u hàng PHẢI (giãn TU+)</t>
  </si>
  <si>
    <t>u_R,T+</t>
  </si>
  <si>
    <t>u hàng TRÁI (co ngắn TU−)</t>
  </si>
  <si>
    <t>u_L,T-</t>
  </si>
  <si>
    <t>u hàng PHẢI (co ngắn TU−)</t>
  </si>
  <si>
    <t>u_R,T-</t>
  </si>
  <si>
    <t>u hàng TRÁI (CS còn lại)</t>
  </si>
  <si>
    <t>u_L,CS</t>
  </si>
  <si>
    <t>Chế độ 1 (ΔL nhập tay) cũng tự ép về 0 nếu hàng này khai FIXED</t>
  </si>
  <si>
    <t>u hàng PHẢI (CS còn lại)</t>
  </si>
  <si>
    <t>u_R,CS</t>
  </si>
  <si>
    <t>★SỬA (v25) Cân bằng độ cứng thân TỔNG QUÁT — chỉ hàng ELASTIC mới tham gia lò xo; hàng SLIDE/FIXED có k=0</t>
  </si>
  <si>
    <t>Độ cứng hàng TRÁI vào cân bằng (Kbrow nếu ELASTIC, 0 nếu không)</t>
  </si>
  <si>
    <t>kL</t>
  </si>
  <si>
    <t>Độ cứng hàng PHẢI vào cân bằng</t>
  </si>
  <si>
    <t>kR</t>
  </si>
  <si>
    <t>u_p (TU+) = (kL·uL+kR·uR)/(Kthan+kL+kR)</t>
  </si>
  <si>
    <t>u_p,T+</t>
  </si>
  <si>
    <t>0 nếu KHÔNG hàng nào ELASTIC</t>
  </si>
  <si>
    <t>u_p (TU−)</t>
  </si>
  <si>
    <t>u_p,T-</t>
  </si>
  <si>
    <t>u_p (CS)</t>
  </si>
  <si>
    <t>u_p,CS</t>
  </si>
  <si>
    <t>H_p TU+ = Kthan·u_p</t>
  </si>
  <si>
    <t>H TU+</t>
  </si>
  <si>
    <t>H_p TU−</t>
  </si>
  <si>
    <t>H TU−</t>
  </si>
  <si>
    <t>H_p CS</t>
  </si>
  <si>
    <t>H CS</t>
  </si>
  <si>
    <t>Lực hàng TRÁI (chỉ có nếu ELASTIC) = kL·max|u_i−u_p|</t>
  </si>
  <si>
    <t>F hàng T</t>
  </si>
  <si>
    <t>Lực hàng PHẢI (chỉ có nếu ELASTIC)</t>
  </si>
  <si>
    <t>F hàng P</t>
  </si>
  <si>
    <t>★ Khi 2 hàng đều ELASTIC &amp; đối xứng (L1=L2), H_p≈0 nhưng F hàng T/P ≠ 0 → dùng kiểm bản thân gối cao su &amp; đá kê.</t>
  </si>
  <si>
    <t>★MỚI (v25) MA SÁT (SLIDE) VÀ LỰC TRUYỀN VỀ HÀNG FIXED</t>
  </si>
  <si>
    <t>FR cục bộ hàng TRÁI (nếu SLIDE) = μ·N trái</t>
  </si>
  <si>
    <t>FR_T</t>
  </si>
  <si>
    <t>FR cục bộ hàng PHẢI (nếu SLIDE) = μ·N phải</t>
  </si>
  <si>
    <t>FR_P</t>
  </si>
  <si>
    <t>FR khi CẢ 2 hàng cùng SLIDE — NET (triệt tiêu 1 phần) hoặc ENVELOPE theo chế độ lực</t>
  </si>
  <si>
    <t>FR_2sl</t>
  </si>
  <si>
    <t>Chỉ khác FRlocT+FRlocP khi CẢ 2 hàng đều SLIDE (mới xét triệt tiêu NET)</t>
  </si>
  <si>
    <t>FR TRUYỀN về hàng TRÁI (nếu TRÁI=FIXED và đầu xa nhịp trái=SLIDE) ≈ μ·N trái</t>
  </si>
  <si>
    <t>FR_trT</t>
  </si>
  <si>
    <t>Ước lượng bằng N của CHÍNH trụ đang tính cho nhịp đó (2 đầu 1 nhịp giản đơn chịu tải ~ bằng nhau)</t>
  </si>
  <si>
    <t>FR TRUYỀN về hàng PHẢI (nếu PHẢI=FIXED và đầu xa nhịp phải=SLIDE)</t>
  </si>
  <si>
    <t>FR_trP</t>
  </si>
  <si>
    <t>★ Tổ hợp KHÁC trường hợp "cả 2 SLIDE" (vd 1 FIXED nhận truyền + 1 SLIDE cục bộ) CỘNG THẲNG các thành phần — thiên an toàn, không xét triệt tiêu chéo giữa các cơ chế khác nhau.</t>
  </si>
  <si>
    <t>CẢNH BÁO HỆ GỐI TOÀN LIÊN (quét cả 9 dòng bảng SƠ ĐỒ LIÊN)</t>
  </si>
  <si>
    <t>Số nhịp bị KHÓA DỌC CẢ 2 ĐẦU (cần mô hình KCN/global — PP tay không tính được)</t>
  </si>
  <si>
    <t>n2đầu</t>
  </si>
  <si>
    <t>Tổng số hàng FIXED trong toàn liên (cần ≥1 để liên có điểm tựa dọc cầu)</t>
  </si>
  <si>
    <t>n_fix</t>
  </si>
  <si>
    <t>★SỬA (v25) LỰC DỌC CẦU vào trụ (đưa sang TỔ HỢP) — tổng hợp trực tiếp từ trạng thái 2 hàng gối, thay cho 4 loại cũ</t>
  </si>
  <si>
    <t>H_TU (nhiệt) đưa sang tổ hợp</t>
  </si>
  <si>
    <t>H_TU</t>
  </si>
  <si>
    <t>Chỉ khác 0 khi có ít nhất 1 hàng ELASTIC — TU không sinh lực đàn hồi ở hàng SLIDE/FIXED</t>
  </si>
  <si>
    <t>H_CS (co ngót+từ biến) đưa sang tổ hợp</t>
  </si>
  <si>
    <t>H_CS</t>
  </si>
  <si>
    <t>FR ma sát đưa sang tổ hợp</t>
  </si>
  <si>
    <t>TỔ HỢP TU / CR / SH / FR CÓ DẤU</t>
  </si>
  <si>
    <t>Bốn biến thể TU± và FR± được tổ hợp trước; chỉ bao đáp ứng sau tổ hợp. CR, SH và SE giữ dấu theo mô hình/giá trị GLOBAL.</t>
  </si>
  <si>
    <t>Index</t>
  </si>
  <si>
    <t>Tên tổ hợp</t>
  </si>
  <si>
    <t>Biến thể</t>
  </si>
  <si>
    <t>TU</t>
  </si>
  <si>
    <t>|Hx đáy|</t>
  </si>
  <si>
    <t>|My đáy|</t>
  </si>
  <si>
    <t>|Hx đỉnh|</t>
  </si>
  <si>
    <t>|My đỉnh|</t>
  </si>
  <si>
    <t>TU+ / FR+</t>
  </si>
  <si>
    <t>TU+ / FR−</t>
  </si>
  <si>
    <t>TU− / FR+</t>
  </si>
  <si>
    <t>TU− / FR−</t>
  </si>
  <si>
    <t>XÀ MŨ — HAI HÀNG GỐI ĐỘC LẬP</t>
  </si>
  <si>
    <t>Mỗi phía nhịp có số gối, bước gối và lệch tâm riêng; tối đa 40 gối/hàng. Nội lực được tổng hợp từ từng gối vật lý.</t>
  </si>
  <si>
    <t>TÓM TẮT DỮ LIỆU VÀ NỘI LỰC</t>
  </si>
  <si>
    <t>Đại lượng</t>
  </si>
  <si>
    <t>Hàng trái</t>
  </si>
  <si>
    <t>Hàng phải</t>
  </si>
  <si>
    <t>Nguồn</t>
  </si>
  <si>
    <t>Nội lực</t>
  </si>
  <si>
    <t>Giá trị</t>
  </si>
  <si>
    <t>Số gối</t>
  </si>
  <si>
    <t>INPUT</t>
  </si>
  <si>
    <t>M_DC gối</t>
  </si>
  <si>
    <t>Σ từng gối</t>
  </si>
  <si>
    <t>Khoảng cách / lệch tâm</t>
  </si>
  <si>
    <t>M_DW</t>
  </si>
  <si>
    <t>Tỷ phần LL theo phản lực DC</t>
  </si>
  <si>
    <t>Tự động</t>
  </si>
  <si>
    <t>V_DC gối + bản thân</t>
  </si>
  <si>
    <t>V_DW</t>
  </si>
  <si>
    <t>M_LL max</t>
  </si>
  <si>
    <t>bao k làn</t>
  </si>
  <si>
    <t>V_LL tương ứng</t>
  </si>
  <si>
    <t>cùng k với M_LL</t>
  </si>
  <si>
    <t>a_v gần nhất</t>
  </si>
  <si>
    <t>DANH SÁCH TỪNG GỐI VẬT LÝ VÀ PHÂN BỐ HOẠT TẢI</t>
  </si>
  <si>
    <t>i</t>
  </si>
  <si>
    <t>Dùng</t>
  </si>
  <si>
    <t>arm (m)</t>
  </si>
  <si>
    <t>Ngoài MC</t>
  </si>
  <si>
    <t>R_DC</t>
  </si>
  <si>
    <t>R_DW</t>
  </si>
  <si>
    <t>TRÁI</t>
  </si>
  <si>
    <t>PHẢI</t>
  </si>
  <si>
    <t>M_LL(k)</t>
  </si>
  <si>
    <t>V_LL(k)</t>
  </si>
  <si>
    <t>9. PHƯƠNG ÁN XÀ MŨ DỰ ỨNG LỰC THEO GIAI ĐOẠN (tùy chọn — Điều 7.3, 9.4 &amp; 9.5 TCVN 11823-5)</t>
  </si>
  <si>
    <t>Dùng DƯL? (1 = có)</t>
  </si>
  <si>
    <t>Khi = 1, kiểm uốn + ứng suất thay bằng khối này; cáp DÍNH BÁM (bonded), kéo sau, KHÔNG thi công phân đoạn, không có bản liên hợp</t>
  </si>
  <si>
    <t>Diện tích cáp Aps (tổng)</t>
  </si>
  <si>
    <t>VD 5 bó 12 tao 15,2 mm (140 mm²/tao)</t>
  </si>
  <si>
    <t>Số bó cáp GIỐNG NHAU N (hệ số co ngắn đàn hồi kéo sau)</t>
  </si>
  <si>
    <t>fpu / fpy = 0,9fpu</t>
  </si>
  <si>
    <t>MPa — tao thép độ chùng thấp (Bảng 1)</t>
  </si>
  <si>
    <t>dp (trọng tâm cáp → mép nén)</t>
  </si>
  <si>
    <t>f'ci xà mũ lúc căng = 0,8f'c (Điều 4.2.3.2, khi chưa xác định tuổi cường độ riêng)</t>
  </si>
  <si>
    <t>Độ ẩm tương đối trung bình năm H (Điều 4.2.3.2 — TRA SỐ LIỆU KHÍ TƯỢNG khu vực dự án)</t>
  </si>
  <si>
    <t>%</t>
  </si>
  <si>
    <t>★ Mặc định 80% — PHẢI sửa theo số liệu khí tượng thực tế của vùng dự án</t>
  </si>
  <si>
    <t>Tuổi bê tông lúc căng cáp ti</t>
  </si>
  <si>
    <t>ngày</t>
  </si>
  <si>
    <t>Tuổi bê tông cuối tf (đại diện dài hạn — 30 năm)</t>
  </si>
  <si>
    <t>V/S xà mũ (thể tích/bề mặt, tiết diện chữ nhật b×h dài) = b·h/[2(b+h)]</t>
  </si>
  <si>
    <t>Ag xà mũ (mm²) / Ig xà mũ (mm⁴) / e = dp − h/2 (mm, lệch tâm cáp) / yb=yt = h/2 (mm, mép dưới/trên → TT, tiết diện chữ nhật đối xứng)</t>
  </si>
  <si>
    <t>Eci xà mũ (Điều 4.2.4, dùng f'ci)</t>
  </si>
  <si>
    <t>9a. MẤT MÁT TỨC THỜI — tại kích &amp; truyền lực (Điều 9.5.2)</t>
  </si>
  <si>
    <t>fpj/fpu (ứng suất khi kích, thường 0,70–0,80fpu, ≤0,90fpy — Bảng 6)</t>
  </si>
  <si>
    <t>fpj = kfpj·fpu</t>
  </si>
  <si>
    <t>K ma sát lắc / μ ma sát cong (Bảng 10 — ống thép mạ, tao thép)</t>
  </si>
  <si>
    <t>x (chiều dài cáp đầu kích → mặt cắt xét — mặc định giữa nhịp xà mũ nếu căng 2 đầu; SỬA nếu căng 1 đầu)</t>
  </si>
  <si>
    <t>α tổng góc đổi hướng cáp (rad) — cáp THẲNG trong xà mũ → mặc định 0, SỬA nếu cáp có vuốt cong</t>
  </si>
  <si>
    <t>Δa tụt neo (mm, theo thiết bị neo thực tế)</t>
  </si>
  <si>
    <t>ΔfpA = (Δa/x)·Ep  — giả thiết tụt neo ảnh hưởng SUỐT chiều dài x (thiên an toàn cho cáp ngắn trong xà mũ)</t>
  </si>
  <si>
    <t>fcgp = P0/Ag + P0·e²/Ig − Msw(mục 8, C47)·e/Ig  (P0 = Aps·fpt0)</t>
  </si>
  <si>
    <t>ΔfpES = (N−1)/(2N)·(Ep/Eci)·fcgp  (PT 126, kéo sau)</t>
  </si>
  <si>
    <t>fpt = fpt0 − ΔfpES  (ứng suất NGAY SAU KHI TRUYỀN LỰC)</t>
  </si>
  <si>
    <t>9b. MẤT MÁT DÀI HẠN — từ truyền lực đến khai thác (Điều 9.5.4, PP chính xác; kéo sau không phân đoạn/không bản liên hợp → 9.5.4.5: bỏ phần (id), chỉ tính phần (df) với t_d≈ti)</t>
  </si>
  <si>
    <t>ks=MAX(1,45−0,0051·V/S;1,0) / khc=1,56−0,008H / khs=2,00−0,014H / kf=35/(7+f'ci)</t>
  </si>
  <si>
    <t>ktd(ti) / ktd(tf) = t/[12(100−0,58f'ci)/(0,145f'ci+20)+t]</t>
  </si>
  <si>
    <t>ψb(tf,ti) = 1,9·ks·khc·kf·ktd(tf)·ti^−0,118  (PT 1, hệ số từ biến TỪ LÚC CĂNG ĐẾN CUỐI)</t>
  </si>
  <si>
    <t>εsh(ti) / εsh(tf) = ks·khs·kf·ktd·0,48e−3  (PT 6)</t>
  </si>
  <si>
    <t>εbdf = εsh(tf) − εsh(ti)  (co ngót PHÁT SINH từ lúc căng đến cuối)</t>
  </si>
  <si>
    <t>Kdf = 1/{1+(Ep/Eci)(Aps/Ag)[1+Ag·e²/Ig][1+0,7ψb]}  (PT 136, Ac=Ag/Ic=Ig do KHÔNG có bản liên hợp)</t>
  </si>
  <si>
    <t>ΔfpSD = εbdf·Ep·Kdf  (PT 135, co ngót dài hạn)</t>
  </si>
  <si>
    <t>ΔfpCD = (Ep/Eci)·fcgp·ψb·Kdf  (PT 137, từ biến dài hạn; bỏ số hạng 2 do không có tải bổ sung giai đoạn sau)</t>
  </si>
  <si>
    <t>KL (30 = tự chùng thấp) / ΔfpR2 = MAX(0;(fpt/KL)(fpt/fpy−0,55))  (PT 134/138, tự chùng dài hạn)</t>
  </si>
  <si>
    <t>ΔfpLT = ΔfpSD+ΔfpCD+ΔfpR2 (Điều 9.5.4.5: bỏ phần từ lúc căng→"đổ bản" vì không có bản/không phân đoạn)</t>
  </si>
  <si>
    <t>fpe = fpt − ΔfpLT  (ứng suất HỮU HIỆU cuối cùng, TỰ TÍNH — không nhập tay)</t>
  </si>
  <si>
    <t>Tổng mất mát ΔfpT = fpj−fpe / % mất mát (tham khảo: PT kéo sau thường 15–25%)</t>
  </si>
  <si>
    <t>9c. KIỂM UỐN CƯỜNG ĐỘ (Điều 7.3, dùng fpu/fpy — KHÔNG phụ thuộc fpe)</t>
  </si>
  <si>
    <t>k = 2(1,04 − fpy/fpu)</t>
  </si>
  <si>
    <t>c = (Aps·fpu + As·fy)/(0,85f'c·β1·b + k·Aps·fpu/dp)</t>
  </si>
  <si>
    <t>fps = fpu(1 − k·c/dp)</t>
  </si>
  <si>
    <t>a = β1·c</t>
  </si>
  <si>
    <t>Mr = φ(Aps·fps(dp−a/2)+As·fy(ds−a/2)), φ = 1,0 (kéo khống chế DƯL)</t>
  </si>
  <si>
    <t>KIỂM UỐN DƯL: Mr ≥ Mu (mục 8, C53)</t>
  </si>
  <si>
    <t>9d. KIỂM ỨNG SUẤT THEO GIAI ĐOẠN (Điều 9.4) — TRUYỀN LỰC (fpt, f'ci, chỉ tải bản thân) và KHAI THÁC (fpe, f'c, đủ tải)</t>
  </si>
  <si>
    <t>Có đủ cốt thép dính bám ở vùng kéo lúc truyền? (1=có, ảnh hưởng giới hạn kéo tạm thời Bảng 7)</t>
  </si>
  <si>
    <t>Điều kiện môi trường ăn mòn (khai thác, Bảng 9)? 0=bình thường; 1=ăn mòn</t>
  </si>
  <si>
    <t>Giai đoạn</t>
  </si>
  <si>
    <t>M (kN·m)</t>
  </si>
  <si>
    <t>P=Aps·f (kN)</t>
  </si>
  <si>
    <t>σ đáy (MPa)</t>
  </si>
  <si>
    <t>σ đỉnh (MPa)</t>
  </si>
  <si>
    <t>Nén cp</t>
  </si>
  <si>
    <t>Kéo cp</t>
  </si>
  <si>
    <t>KL nén</t>
  </si>
  <si>
    <t>KL kéo</t>
  </si>
  <si>
    <t>Truyền lực (TEMP)</t>
  </si>
  <si>
    <t>Khai thác (SERVICE, sau mất mát)</t>
  </si>
  <si>
    <t>σ đáy/đỉnh: kéo (+) / nén (−) theo quy ước σ=M·y/I−P/A−P·e·y/I (đáy), dấu ngược lại (đỉnh); "Nén cp" áp cho GIAI ĐOẠN KHAI THÁC dùng M THƯỜNG XUYÊN (không LL) theo Bảng 8, cột σ đáy/đỉnh hiển thị vẫn dùng M đầy đủ (bao gồm LL) để tham khảo.</t>
  </si>
  <si>
    <t>Ghi chú: (1) Cắt: cộng Vp nếu cáp cong (nhập tay α ở mục 9a nếu cần). (2) K,μ (Bảng 10), Δa, kfpj, H, ti/tf là số liệu DỰ ÁN/THIẾT BỊ THỰC TẾ — kỹ sư PHẢI xác minh/sửa theo hồ sơ neo-ống gen và số liệu khí tượng thực tế, không dùng mặc định cho thiết kế cuối. (3) fpe nay là GIÁ TRỊ TỰ TÍNH theo TCVN 11823-5 Điều 9.5 (mất mát tức thời + dài hạn theo giai đoạn) — không còn là ô nhập tay như bản trước.</t>
  </si>
  <si>
    <t>ENGINE FIBER THÂN TRỤ — TÍCH PHÂN BÊ TÔNG VÀ TỪNG THANH THÉP</t>
  </si>
  <si>
    <t>Tiết diện stadium được mô tả đúng hình học; tiết diện vát góc dùng lưới polygon, thanh thép bố trí đều trên đường bao phía trong lớp bảo vệ.</t>
  </si>
  <si>
    <t>Sai số diện tích bê tông fiber</t>
  </si>
  <si>
    <t>Sai số diện tích thép fiber</t>
  </si>
  <si>
    <t>Fiber</t>
  </si>
  <si>
    <t>x (mm)</t>
  </si>
  <si>
    <t>y (mm)</t>
  </si>
  <si>
    <t>dA (mm²)</t>
  </si>
  <si>
    <t>Trong tiết diện</t>
  </si>
  <si>
    <t>Thanh</t>
  </si>
  <si>
    <t>θ</t>
  </si>
  <si>
    <t>xs (mm)</t>
  </si>
  <si>
    <t>ys (mm)</t>
  </si>
  <si>
    <t>As/thanh</t>
  </si>
  <si>
    <t>cX</t>
  </si>
  <si>
    <t>PnX</t>
  </si>
  <si>
    <t>MnX</t>
  </si>
  <si>
    <t>PrX</t>
  </si>
  <si>
    <t>MrX</t>
  </si>
  <si>
    <t>cY</t>
  </si>
  <si>
    <t>PnY</t>
  </si>
  <si>
    <t>MnY</t>
  </si>
  <si>
    <t>PrY</t>
  </si>
  <si>
    <t>MrY</t>
  </si>
  <si>
    <t>PrX sắp</t>
  </si>
  <si>
    <t>MrX bao</t>
  </si>
  <si>
    <t>PrY sắp</t>
  </si>
  <si>
    <t>MrY bao</t>
  </si>
  <si>
    <t>eX sắp</t>
  </si>
  <si>
    <t>PrX(e)</t>
  </si>
  <si>
    <t>eY sắp</t>
  </si>
  <si>
    <t>PrY(e)</t>
  </si>
  <si>
    <t>eX thô</t>
  </si>
  <si>
    <t>eY thô</t>
  </si>
  <si>
    <t>Bao X</t>
  </si>
  <si>
    <t>Bao Y</t>
  </si>
  <si>
    <t>Tích phân 4.000 fiber bê tông + từng thanh thép; lấy sức kháng theo đúng tia M/P rồi áp dụng tương tác biaxial cho từng tổ hợp đồng thời.</t>
  </si>
  <si>
    <t>TÓM TẮT</t>
  </si>
  <si>
    <t>Kết luận</t>
  </si>
  <si>
    <t>Hệ số sử dụng lớn nhất</t>
  </si>
  <si>
    <t>φMn dọc (My, chiều h)</t>
  </si>
  <si>
    <t>Tổ hợp khống chế</t>
  </si>
  <si>
    <t>φMn ngang (Mx, chiều b)</t>
  </si>
  <si>
    <t>Kiểm đơn điệu đường cong</t>
  </si>
  <si>
    <t>Phạm vi</t>
  </si>
  <si>
    <t>1 thân; 2 thân xem sheet TRU 2 THAN</t>
  </si>
  <si>
    <t>Pu</t>
  </si>
  <si>
    <t>Pr dọc (e=My/P)</t>
  </si>
  <si>
    <t>Pr ngang (e=Mx/P)</t>
  </si>
  <si>
    <t>Hệ số sử dụng</t>
  </si>
  <si>
    <t>e dọc</t>
  </si>
  <si>
    <t>e ngang</t>
  </si>
  <si>
    <t>TRỤ HAI THÂN — PHÂN PHỐI XÀ MŨ CỨNG</t>
  </si>
  <si>
    <t>TÓM TẮT PHƯƠNG PHÁP</t>
  </si>
  <si>
    <t>Tỷ phần Mx tạo cặp lực dọc ρ</t>
  </si>
  <si>
    <t>ρ=(A·s²/2)/(A·s²/2+4I)</t>
  </si>
  <si>
    <t>Tổ hợp / thân khống chế</t>
  </si>
  <si>
    <t>N tổng</t>
  </si>
  <si>
    <t>Mx tổng</t>
  </si>
  <si>
    <t>My tổng</t>
  </si>
  <si>
    <t>Thân</t>
  </si>
  <si>
    <t>Ni</t>
  </si>
  <si>
    <t>Mxi cục bộ</t>
  </si>
  <si>
    <t>Myi</t>
  </si>
  <si>
    <t>Hxi</t>
  </si>
  <si>
    <t>Hyi</t>
  </si>
  <si>
    <t>QA TRỤ — CỔNG PHÁT HÀNH VÀ PHẠM VI ĐÃ KIỂM</t>
  </si>
  <si>
    <t>Các phần đúng của V26 được giữ. Mục chưa đủ dữ liệu hoặc chưa có mô hình không được báo ĐẠT giả.</t>
  </si>
  <si>
    <t>KẾT QUẢ RÀ SOÁT</t>
  </si>
  <si>
    <t>ID</t>
  </si>
  <si>
    <t>Hạng mục</t>
  </si>
  <si>
    <t>Đã sửa/giữ</t>
  </si>
  <si>
    <t>Cổng</t>
  </si>
  <si>
    <t>Ảnh hưởng</t>
  </si>
  <si>
    <t>T-01</t>
  </si>
  <si>
    <t>INPUT duy nhất cho hệ gối</t>
  </si>
  <si>
    <t>INPUT 184:212</t>
  </si>
  <si>
    <t>Đã chuyển engine sang HE GOI</t>
  </si>
  <si>
    <t>Bắt buộc</t>
  </si>
  <si>
    <t>Tránh hai nơi nhập</t>
  </si>
  <si>
    <t>T-02</t>
  </si>
  <si>
    <t>FIXED — TU/CR/SH</t>
  </si>
  <si>
    <t>HE GOI</t>
  </si>
  <si>
    <t>Không trả 0 giả</t>
  </si>
  <si>
    <t>GLOBAL có dấu</t>
  </si>
  <si>
    <t>TO HOP, thân, móng</t>
  </si>
  <si>
    <t>T-03</t>
  </si>
  <si>
    <t>Tổ hợp có dấu</t>
  </si>
  <si>
    <t>TO HOP GOI DAU</t>
  </si>
  <si>
    <t>TU±, FR±; CR/SH giữ dấu</t>
  </si>
  <si>
    <t>Trước bao</t>
  </si>
  <si>
    <t>Tất cả consumers</t>
  </si>
  <si>
    <t>62×4 biến thể</t>
  </si>
  <si>
    <t>T-04</t>
  </si>
  <si>
    <t>Hai hàng gối xà mũ</t>
  </si>
  <si>
    <t>XA MU GOI</t>
  </si>
  <si>
    <t>n/s/y0 riêng từng hàng</t>
  </si>
  <si>
    <t>1…40 gối/hàng</t>
  </si>
  <si>
    <t>Mu, Vu xà mũ</t>
  </si>
  <si>
    <t>Không giới hạn 10 gối</t>
  </si>
  <si>
    <t>T-05</t>
  </si>
  <si>
    <t>DƯL xà mũ</t>
  </si>
  <si>
    <t>XA MU DUL</t>
  </si>
  <si>
    <t>Tách khỏi XA MU</t>
  </si>
  <si>
    <t>Chưa phát hành</t>
  </si>
  <si>
    <t>Uốn/ứng suất</t>
  </si>
  <si>
    <t>T-06</t>
  </si>
  <si>
    <t>Thân trụ 1 thân</t>
  </si>
  <si>
    <t>P-M-M + cắt</t>
  </si>
  <si>
    <t>Sức kháng thân</t>
  </si>
  <si>
    <t>Kiểm từng tổ hợp đồng thời</t>
  </si>
  <si>
    <t>T-07</t>
  </si>
  <si>
    <t>Trụ hai thân</t>
  </si>
  <si>
    <t>TRU 2 THAN</t>
  </si>
  <si>
    <t>Phân phối xà mũ cứng theo độ cứng</t>
  </si>
  <si>
    <t>P-M-M + cắt từng thân</t>
  </si>
  <si>
    <t>Thân/xà mũ/móng</t>
  </si>
  <si>
    <t>Không chia đôi Mx máy móc</t>
  </si>
  <si>
    <t>T-08</t>
  </si>
  <si>
    <t>Nội lực cọc vào KT BỆ</t>
  </si>
  <si>
    <t>TS-PILE → KT BE</t>
  </si>
  <si>
    <t>Tự tính đài cứng theo từng TH</t>
  </si>
  <si>
    <t>Không được toàn 0</t>
  </si>
  <si>
    <t>Bệ móng</t>
  </si>
  <si>
    <t>N, Mx, My đồng thời; cọc có độ cứng dọc tương đương</t>
  </si>
  <si>
    <t>T-09</t>
  </si>
  <si>
    <t>Kết quả kiểm toán bệ</t>
  </si>
  <si>
    <t>KT BE</t>
  </si>
  <si>
    <t>Dùng demand cọc tự động</t>
  </si>
  <si>
    <t>Uốn/nứt/cắt</t>
  </si>
  <si>
    <t>Không báo đạt khi phản lực cọc bằng 0</t>
  </si>
  <si>
    <t>T-10</t>
  </si>
  <si>
    <t>Tổng thể</t>
  </si>
  <si>
    <t>QA TRU</t>
  </si>
  <si>
    <t>Bao các cổng trên</t>
  </si>
  <si>
    <t>Phát hành</t>
  </si>
  <si>
    <t>Toàn workbook</t>
  </si>
  <si>
    <t>ĐẠT chỉ khi mọi hạng mục áp dụng đều đạt</t>
  </si>
  <si>
    <t>TRA GIÓ TỰ ĐỘNG — TCVN 11823-3:2017, Bảng 13–14</t>
  </si>
  <si>
    <t>Cao độ mặt cầu z</t>
  </si>
  <si>
    <t>Bảng 13: I=38; II=45; III=53; IV=59 m/s.</t>
  </si>
  <si>
    <t>Loại địa hình (1/2/3)</t>
  </si>
  <si>
    <t>Tự nội suy Bảng 14; ô ghi đè chỉ dùng khi hồ sơ khí tượng/quy định dự án có giá trị riêng.</t>
  </si>
  <si>
    <t>S tự tra</t>
  </si>
  <si>
    <t>S ghi đè (0 = tự tra)</t>
  </si>
  <si>
    <t>Kết quả dùng</t>
  </si>
  <si>
    <t>Địa hình 1: lộ thiên/mặt nước; 2: rừng/nhà ≤10 m; 3: đa số nhà &gt;10 m. Cao độ ngoài 10–50 m được chặn tại biên bảng.</t>
  </si>
  <si>
    <t>Aeq nhịp kế tiếp (m²; 0=AUTO)</t>
  </si>
  <si>
    <t>Ksub node (kN/m; 0=AUTO)</t>
  </si>
  <si>
    <t>APPROX 1D</t>
  </si>
  <si>
    <t>AUTO / APPROX 1D / GLOBAL</t>
  </si>
  <si>
    <t>APPROX 1D giải chuỗi dọc cầu có FIXED/ELASTIC và độ cứng thân; GLOBAL dùng phản lực có dấu từ RM/MIDAS.</t>
  </si>
  <si>
    <t>Bảng gốc giữ các trường hợp k=1…6 để tương thích các sheet cũ; k=7…n được tạo bằng vùng spill có vector đồng thời tại TO HOP NLAN.</t>
  </si>
  <si>
    <t>APPROX 1D: xem lực từng hàng và net tại GOI 1D; GLOBAL vẫn là cấp chính xác cao hơn.</t>
  </si>
  <si>
    <t>XÀ MŨ DỰ ỨNG LỰC — NHÓM CÁP VÀ GIAI ĐOẠN THI CÔNG</t>
  </si>
  <si>
    <t>Khôi phục cách tổ chức của V27: nhiều nhóm cáp, stage căng riêng, tải tích lũy và kiểm ứng suất từng stage; dùng tiếp engine mất mát chi tiết V26 tại vùng kỹ thuật phía dưới.</t>
  </si>
  <si>
    <t>THAM SỐ CHUNG / ENGINE MẤT MÁT</t>
  </si>
  <si>
    <t>Dùng DƯL? (1=có)</t>
  </si>
  <si>
    <t>1/0</t>
  </si>
  <si>
    <t>Tải thành phần</t>
  </si>
  <si>
    <t>fpu</t>
  </si>
  <si>
    <t>Xà mũ tự trọng</t>
  </si>
  <si>
    <t>XA MU C47</t>
  </si>
  <si>
    <t>kfpj</t>
  </si>
  <si>
    <t>Dầm chủ</t>
  </si>
  <si>
    <t>TINH TAI 28</t>
  </si>
  <si>
    <t>Độ ẩm H</t>
  </si>
  <si>
    <t>TINH TAI 29</t>
  </si>
  <si>
    <t>Tuổi căng ti</t>
  </si>
  <si>
    <t>DC khác</t>
  </si>
  <si>
    <t>TINH TAI 30+31</t>
  </si>
  <si>
    <t>Tuổi cuối tf</t>
  </si>
  <si>
    <t>DW/lớp phủ</t>
  </si>
  <si>
    <t>XA MU C48</t>
  </si>
  <si>
    <t>K ma sát lắc</t>
  </si>
  <si>
    <t>1/mm</t>
  </si>
  <si>
    <t>LL khai thác</t>
  </si>
  <si>
    <t>XA MU C52</t>
  </si>
  <si>
    <t>μ ma sát cong</t>
  </si>
  <si>
    <t>Mu Strength I</t>
  </si>
  <si>
    <t>XA MU C53</t>
  </si>
  <si>
    <t>x từ đầu kích</t>
  </si>
  <si>
    <t>Vu Strength I</t>
  </si>
  <si>
    <t>XA MU C54</t>
  </si>
  <si>
    <t>Tổng góc đổi hướng α</t>
  </si>
  <si>
    <t>rad</t>
  </si>
  <si>
    <t>Tụt neo Δa</t>
  </si>
  <si>
    <t>KL tự chùng</t>
  </si>
  <si>
    <t>Đủ thép dính bám vùng kéo?</t>
  </si>
  <si>
    <t>Môi trường ăn mòn?</t>
  </si>
  <si>
    <t>Diện tích 1 tao</t>
  </si>
  <si>
    <t>Nhập nhóm cáp và stage bên dưới; không nhập lại Aps tổng.</t>
  </si>
  <si>
    <t>NHÓM CÁP — TỐI ĐA 7 NHÓM, MỖI NHÓM CÓ THỂ CĂNG Ở STAGE KHÁC</t>
  </si>
  <si>
    <t>Số bó</t>
  </si>
  <si>
    <t>Tao/bó</t>
  </si>
  <si>
    <t>A tao</t>
  </si>
  <si>
    <t>Aps nhóm</t>
  </si>
  <si>
    <t>e +TOP</t>
  </si>
  <si>
    <t>Stage căng</t>
  </si>
  <si>
    <t>αv đứng</t>
  </si>
  <si>
    <t>P0</t>
  </si>
  <si>
    <t>Pe</t>
  </si>
  <si>
    <t>Vp=Pe·sinαv</t>
  </si>
  <si>
    <t>G1</t>
  </si>
  <si>
    <t>G2</t>
  </si>
  <si>
    <t>G3</t>
  </si>
  <si>
    <t>G4</t>
  </si>
  <si>
    <t>G5</t>
  </si>
  <si>
    <t>G6</t>
  </si>
  <si>
    <t>G7</t>
  </si>
  <si>
    <t>GIAI ĐOẠN THI CÔNG — TẢI TÍCH LŨY VÀ ỨNG SUẤT THỚ</t>
  </si>
  <si>
    <t>Stage</t>
  </si>
  <si>
    <t>Loại</t>
  </si>
  <si>
    <t>Cap</t>
  </si>
  <si>
    <t>Dầm</t>
  </si>
  <si>
    <t>Bản</t>
  </si>
  <si>
    <t>LL</t>
  </si>
  <si>
    <t>M ext</t>
  </si>
  <si>
    <t>Aps active</t>
  </si>
  <si>
    <t>P active</t>
  </si>
  <si>
    <t>Mp</t>
  </si>
  <si>
    <t>σ TOP</t>
  </si>
  <si>
    <t>σ BOT</t>
  </si>
  <si>
    <t>KẾT LUẬN</t>
  </si>
  <si>
    <t>Căng đợt 1</t>
  </si>
  <si>
    <t>TEMP</t>
  </si>
  <si>
    <t>Gác dầm</t>
  </si>
  <si>
    <t>Căng đợt 2</t>
  </si>
  <si>
    <t>Đổ bản mặt cầu</t>
  </si>
  <si>
    <t>Lan can + lớp phủ</t>
  </si>
  <si>
    <t>Khai thác</t>
  </si>
  <si>
    <t>SERVICE</t>
  </si>
  <si>
    <t>Dài hạn cuối</t>
  </si>
  <si>
    <t>KIỂM CUỐI VÀ PHẠM VI CÒN THIẾU</t>
  </si>
  <si>
    <t>Chỉ tiêu</t>
  </si>
  <si>
    <t>Aps tổng</t>
  </si>
  <si>
    <t>Từ các nhóm cáp</t>
  </si>
  <si>
    <t>e trọng tâm +TOP</t>
  </si>
  <si>
    <t>Theo Aps nhóm</t>
  </si>
  <si>
    <t>fpe cuối</t>
  </si>
  <si>
    <t>Engine mất mát chung</t>
  </si>
  <si>
    <t>Mr DƯL</t>
  </si>
  <si>
    <t>Điều 7.3</t>
  </si>
  <si>
    <t>Vu sau Vp</t>
  </si>
  <si>
    <t>Trừ thành phần đứng của cáp theo từng nhóm</t>
  </si>
  <si>
    <t>Sức kháng cắt Vr</t>
  </si>
  <si>
    <t>Dùng engine cắt hiện hữu; bảo thủ vì Vc/Vs tính với Vu chưa trừ Vp</t>
  </si>
  <si>
    <t>Xoắn Tu</t>
  </si>
  <si>
    <t>Kiểm At/s, Al và giới hạn nghiền theo engine XA MU</t>
  </si>
  <si>
    <t>Ứng suất theo stage</t>
  </si>
  <si>
    <t>Kiểm toàn bộ stage có tên</t>
  </si>
  <si>
    <t>Độ vồng sơ bộ</t>
  </si>
  <si>
    <t>Chỉ tham khảo theo sơ đồ giản đơn và tải phân bố đều</t>
  </si>
  <si>
    <t>Neo đầu cáp / vùng D / STM</t>
  </si>
  <si>
    <t>Cần kích thước bản neo, quỹ đạo cáp và cốt cấu tạo dự án</t>
  </si>
  <si>
    <t>Mỏi cáp và cốt thường</t>
  </si>
  <si>
    <t>Cần phổ ứng suất hoạt tải và chi tiết cáp</t>
  </si>
  <si>
    <t>Cổng phát hành</t>
  </si>
  <si>
    <t>Không báo ĐẠT giả khi còn thiếu dữ liệu dự án</t>
  </si>
  <si>
    <t>INPUT duy nhất; cột I/J của sơ đồ cho Aeq/Ksub override.</t>
  </si>
  <si>
    <t>AUTO cho ELASTIC/SLIDE; APPROX 1D cho FIXED khi chưa có RM/MIDAS; GLOBAL là cấp cao hơn.</t>
  </si>
  <si>
    <t>DƯL đã khôi phục nhóm cáp + stage V27; engine mất mát chi tiết vẫn giữ ở vùng kỹ thuật.</t>
  </si>
  <si>
    <t>HOẠT TẢI n LÀN — VÙNG DỮ LIỆU ĐỘNG</t>
  </si>
  <si>
    <t>Vùng tên động OFFSET lấy đúng nLan; hệ số hiện diện nhiều làn theo TCVN 11823-3 Bảng 7. Không còn giới hạn nguồn 6 làn.</t>
  </si>
  <si>
    <t>BẢNG TẢI LÀN ĐỘNG</t>
  </si>
  <si>
    <t>N 2 nhịp</t>
  </si>
  <si>
    <t>N 1 nhịp</t>
  </si>
  <si>
    <t>BRk</t>
  </si>
  <si>
    <t>BR thiết kế</t>
  </si>
  <si>
    <t>A:I tự mở đến nLan (tối đa 40 theo INPUT); các tên vùng dùng OFFSET động.</t>
  </si>
  <si>
    <t>TỔ HỢP BỔ SUNG CHO LÀN 7…n</t>
  </si>
  <si>
    <t>Mỗi dòng giữ nguyên vector N–Mx–My đồng thời của đúng k làn. Dòng tự kích hoạt theo nLan; không nội suy/bao từng thành phần trước tổ hợp.</t>
  </si>
  <si>
    <t>Số nhóm làn nhận diện: 9</t>
  </si>
  <si>
    <t>CÁC TRƯỜNG HỢP ĐỘNG BỔ SUNG</t>
  </si>
  <si>
    <t>STRENGTH</t>
  </si>
  <si>
    <t>PHẢN LỰC CỌC — TỔ HỢP LÀN 7…n</t>
  </si>
  <si>
    <t>Phân phối từng vector N–Mx–My đồng thời theo giả thiết bệ cứng; kết quả được bao chung với bảng cọc gốc.</t>
  </si>
  <si>
    <t>BAO PHẢN LỰC TỪNG TỔ HỢP BỔ SUNG</t>
  </si>
  <si>
    <t>Pmax (kN)</t>
  </si>
  <si>
    <t>Pmin (kN)</t>
  </si>
  <si>
    <t>Pmax SD</t>
  </si>
  <si>
    <t>Pmin SD</t>
  </si>
  <si>
    <t>Pmax CĐ</t>
  </si>
  <si>
    <t>Pmin CĐ</t>
  </si>
  <si>
    <t>GỐI FIXED — MÔ HÌNH DỌC CẦU GẦN ĐÚNG 1D</t>
  </si>
  <si>
    <t>Giải chuỗi thanh dọc EA/L + lò xo gối/thân bằng thuật toán tam-diagonal ổn định. Đây là mô hình gần đúng khi chưa có RM/MIDAS; lực hàng trái/phải và lực net được trình bày riêng.</t>
  </si>
  <si>
    <t>Tham số</t>
  </si>
  <si>
    <t>Aeq AUTO</t>
  </si>
  <si>
    <t>Từ phản lực thường xuyên và γ bê tông</t>
  </si>
  <si>
    <t>K FIXED số</t>
  </si>
  <si>
    <t>Dùng như liên kết cứng; phản lực bị giới hạn bởi Ksub</t>
  </si>
  <si>
    <t>Số node</t>
  </si>
  <si>
    <t>node</t>
  </si>
  <si>
    <t>Từ INPUT 184:192</t>
  </si>
  <si>
    <t>SƠ ĐỒ — CHỈ ĐỌC TỪ INPUT</t>
  </si>
  <si>
    <t>Trái</t>
  </si>
  <si>
    <t>Phải</t>
  </si>
  <si>
    <t>Aeq span</t>
  </si>
  <si>
    <t>EA/L span</t>
  </si>
  <si>
    <t>K bearing //</t>
  </si>
  <si>
    <t>Ksub</t>
  </si>
  <si>
    <t>K node dùng</t>
  </si>
  <si>
    <t>Chất lượng</t>
  </si>
  <si>
    <t>MA TRẬN ĐỘ CỨNG K (kN/m)</t>
  </si>
  <si>
    <t>c TU+</t>
  </si>
  <si>
    <t>d TU+</t>
  </si>
  <si>
    <t>c TU−</t>
  </si>
  <si>
    <t>d TU−</t>
  </si>
  <si>
    <t>c CR</t>
  </si>
  <si>
    <t>d CR</t>
  </si>
  <si>
    <t>c SH</t>
  </si>
  <si>
    <t>d SH</t>
  </si>
  <si>
    <t>u TU+ (m)</t>
  </si>
  <si>
    <t>u TU−</t>
  </si>
  <si>
    <t>u CR</t>
  </si>
  <si>
    <t>u SH</t>
  </si>
  <si>
    <t>R TU+</t>
  </si>
  <si>
    <t>R TU−</t>
  </si>
  <si>
    <t>R CR</t>
  </si>
  <si>
    <t>R SH</t>
  </si>
  <si>
    <t>N span TU+</t>
  </si>
  <si>
    <t>N span TU−</t>
  </si>
  <si>
    <t>N span CR</t>
  </si>
  <si>
    <t>N span SH</t>
  </si>
  <si>
    <t>KẾT QUẢ TẠI TRỤ ĐANG TÍNH — HÀNG TRÁI / HÀNG PHẢI / NET</t>
  </si>
  <si>
    <t>H trái</t>
  </si>
  <si>
    <t>H phải</t>
  </si>
  <si>
    <t>H net</t>
  </si>
  <si>
    <t>Chỉ số node</t>
  </si>
  <si>
    <t>Nếu B và C lớn, trái dấu nhưng D≈0: hai hàng gối chịu lực và triệt tiêu tại thân trụ — không phải “không có tác động”.</t>
  </si>
  <si>
    <t>6. MÔ HÌNH NỀN–CỌC TS-PILE (TỰ ĐỘNG)</t>
  </si>
  <si>
    <t>6.1 Ô NHẬP (màu xanh — sửa được; chương trình đọc)</t>
  </si>
  <si>
    <t>Thông số</t>
  </si>
  <si>
    <t>USE_TSPILE (1=TS-PILE / 0=CT tắt)</t>
  </si>
  <si>
    <t>Công tắc nguồn Mục 3</t>
  </si>
  <si>
    <t>L — chiều dài cọc</t>
  </si>
  <si>
    <t>mặc định 40</t>
  </si>
  <si>
    <t>L0 — chiều dài tự do (trên MĐTN)</t>
  </si>
  <si>
    <t>mặc định 0</t>
  </si>
  <si>
    <t>f'c — cường độ BT cọc</t>
  </si>
  <si>
    <t>mặc định 30</t>
  </si>
  <si>
    <t>γc — khối lượng riêng BT</t>
  </si>
  <si>
    <t>kg/m³</t>
  </si>
  <si>
    <t>m — hệ số nền thân cọc</t>
  </si>
  <si>
    <t>T/m⁴</t>
  </si>
  <si>
    <t>m_c — hệ số nền mũi cọc</t>
  </si>
  <si>
    <t>md — hệ số nền quanh bệ</t>
  </si>
  <si>
    <t>mq — hệ số nền đáy bệ</t>
  </si>
  <si>
    <t>6.2 THÔNG SỐ DẪN XUẤT (chương trình tự tính &amp; ghi — không sửa)</t>
  </si>
  <si>
    <t>D — đường kính cọc (từ INPUT!F136)</t>
  </si>
  <si>
    <t>Loại cọc</t>
  </si>
  <si>
    <t>H = L − L0</t>
  </si>
  <si>
    <t>Diện tích tiết diện A</t>
  </si>
  <si>
    <t>Mô men quán tính J</t>
  </si>
  <si>
    <t>Bề rộng quy đổi Bp</t>
  </si>
  <si>
    <t>Co (hệ số nền mũi)</t>
  </si>
  <si>
    <t>Ct</t>
  </si>
  <si>
    <t>Ec — mô đun đàn hồi BT</t>
  </si>
  <si>
    <t>EA_nén = Ec</t>
  </si>
  <si>
    <t>T/m²</t>
  </si>
  <si>
    <t>EI_uốn = 0,8·Ec</t>
  </si>
  <si>
    <t>Po — sức kháng đơn vị</t>
  </si>
  <si>
    <t>T</t>
  </si>
  <si>
    <t>Kn</t>
  </si>
  <si>
    <t>α — hệ số biến dạng</t>
  </si>
  <si>
    <t>1/m</t>
  </si>
  <si>
    <t>α·H (≥4: cọc dài)</t>
  </si>
  <si>
    <t>Số cọc / Số tổ hợp</t>
  </si>
  <si>
    <t>Trạng thái chạy bridge</t>
  </si>
  <si>
    <t>6.3 PHẢN LỰC DỌC N TỪ TS-PILE (tấn) — chương trình ghi, KHÔNG sửa tay</t>
  </si>
  <si>
    <t>khoan nhồi tròn</t>
  </si>
  <si>
    <t>8 cọc / 62 TH</t>
  </si>
  <si>
    <t>BỐ TRÍ THÉP DỌC (NHIỀU LỚP / BÓ)  →  TỰ TÍNH Ast (D11) &amp; d' (D12)</t>
  </si>
  <si>
    <t>n thanh</t>
  </si>
  <si>
    <t>m th/bó</t>
  </si>
  <si>
    <t>y từ mép (mm)</t>
  </si>
  <si>
    <t>A_lớp (mm²)</t>
  </si>
  <si>
    <t>A·y</t>
  </si>
  <si>
    <t>Ф_bó (mm)</t>
  </si>
  <si>
    <t>Kiểm bó≤4</t>
  </si>
  <si>
    <t>L3</t>
  </si>
  <si>
    <t>L4</t>
  </si>
  <si>
    <t>L5</t>
  </si>
  <si>
    <t>L6</t>
  </si>
  <si>
    <t>L7</t>
  </si>
  <si>
    <t>L8</t>
  </si>
  <si>
    <t>L9</t>
  </si>
  <si>
    <t>L10</t>
  </si>
  <si>
    <t>→ nạp engine:  Ast (mm²) =</t>
  </si>
  <si>
    <t>d' (mm) =</t>
  </si>
  <si>
    <t>CÔNG TẮC USE_BANGTHEP  (1=dùng bảng, 0=dùng C11/G11/D12 cũ):</t>
  </si>
  <si>
    <t>d' thủ công (mm) — dùng khi công tắc = 0:</t>
  </si>
  <si>
    <t>P0 (nhập) — sức kháng mũi đơn vị</t>
  </si>
  <si>
    <t>tấn</t>
  </si>
  <si>
    <t>mặc định theo D: 1.0→450; 1.2→650; 1.5→900; 2.0→1500 (sửa tay được)</t>
  </si>
  <si>
    <t>Kn (nhập) — hệ số đàn hồi mũi cọc</t>
  </si>
  <si>
    <t>0 nếu D≤1.0; 1 nếu D≥1.2 (sửa tay được)</t>
  </si>
  <si>
    <t>OK — 2026-08-12 18:28 (DÙNG TS-PILE)</t>
  </si>
  <si>
    <t>Thép dọc: số thanh (=Σ bảng dưới, tự tính) / Ф (mm) → Ast</t>
  </si>
  <si>
    <t>Bật công tắc (B28=1) để dùng bảng này thay ô C11/G11/D12. d' = trọng tâm thép = Σ(A·y)/ΣA. Bó: nhập m thanh/bó (≤4), diện tích KHÔNG đổi. Mặc định Lớp 1 = 180Ф32 @ y=100 ⇒ trùng khít file gốc.</t>
  </si>
  <si>
    <t>KHAI BÁO ĐƯỜNG CÁP DƯL — HÌNH HỌC NHIỀU ĐOẠN (≤5 điểm/nhóm)  →  TỰ TÍNH e dùng, αv, α ma sát</t>
  </si>
  <si>
    <t>x1</t>
  </si>
  <si>
    <t>e1</t>
  </si>
  <si>
    <t>x2</t>
  </si>
  <si>
    <t>e2</t>
  </si>
  <si>
    <t>x3</t>
  </si>
  <si>
    <t>e3</t>
  </si>
  <si>
    <t>x4</t>
  </si>
  <si>
    <t>e4</t>
  </si>
  <si>
    <t>x5</t>
  </si>
  <si>
    <t>e5</t>
  </si>
  <si>
    <t>đoạn1</t>
  </si>
  <si>
    <t>đoạn2</t>
  </si>
  <si>
    <t>đoạn3</t>
  </si>
  <si>
    <t>đoạn4</t>
  </si>
  <si>
    <t>e dùng</t>
  </si>
  <si>
    <t>αv(rad)</t>
  </si>
  <si>
    <t>α ma sát</t>
  </si>
  <si>
    <t>lưới e(x): U..AO (x*=trạm10=cột AE) · φ: AQ..BA</t>
  </si>
  <si>
    <t>(Khối khai báo đường cáp cũ đã chuyển LÊN hàng 33 — bảng điểm nhiều đoạn.)</t>
  </si>
  <si>
    <t>KHUNG TÍNH BỔ SUNG DƯL (Item 3) — NEO/STM · MỎI · VỒNG DÀI HẠN</t>
  </si>
  <si>
    <t>Ô VÀNG = số liệu người dùng nhập (lực, hình học, ứng suất). Để trống ⇒ cổng giữ BLOCKED/THAM KHẢO; chỉ báo ĐẠT/KHÔNG ĐẠT khi đã nhập đủ. Cơ sở: TCVN 11823-2017.</t>
  </si>
  <si>
    <t>A. NEO ĐẦU CÁP — VÙNG D / GIÀN ẢO (STM)  [§5.10.9]</t>
  </si>
  <si>
    <t>TT</t>
  </si>
  <si>
    <t>Ghi chú / nguồn</t>
  </si>
  <si>
    <t>Lực kéo cáp có hệ số / 1 neo  Pu</t>
  </si>
  <si>
    <t>≈ 0,8·fpu·Aps(nhóm)/1000 hoặc lực kích lớn nhất</t>
  </si>
  <si>
    <t>Cạnh bản neo theo phương xét  a</t>
  </si>
  <si>
    <t>theo phương tính lực bung</t>
  </si>
  <si>
    <t>Chiều cao tiết diện tại neo  h</t>
  </si>
  <si>
    <t>phương tương ứng</t>
  </si>
  <si>
    <t>Độ lệch tâm neo  e</t>
  </si>
  <si>
    <t>Góc nghiêng cáp tại neo  α</t>
  </si>
  <si>
    <t>0 nếu cáp thẳng tại neo</t>
  </si>
  <si>
    <t>Diện tích bê tông đỡ (đồng dạng)  A</t>
  </si>
  <si>
    <t>vùng đỡ đồng dạng, đồng tâm bản neo</t>
  </si>
  <si>
    <t>Diện tích bản neo chịu ép  Ag</t>
  </si>
  <si>
    <t>diện tích ép thực của bản neo</t>
  </si>
  <si>
    <t>Cường độ bê tông lúc truyền  f'ci</t>
  </si>
  <si>
    <t>tại thời điểm căng</t>
  </si>
  <si>
    <t>Cốt chống nứt bố trí  As</t>
  </si>
  <si>
    <t>cốt đai/ngang trong vùng bung</t>
  </si>
  <si>
    <t>Giới hạn chảy cốt neo  fy</t>
  </si>
  <si>
    <t>thường 400</t>
  </si>
  <si>
    <t>Hệ số sức kháng kéo cốt  φ</t>
  </si>
  <si>
    <t>§5.5.4.2: kéo cốt vùng neo = 1,0</t>
  </si>
  <si>
    <t>Hệ số sức kháng ép mặt  φ_b</t>
  </si>
  <si>
    <t>§5.5.4.2: ép bê tông = 0,80</t>
  </si>
  <si>
    <t>Lực bung  Tburst = 0,25·Pu·(1−a/h)</t>
  </si>
  <si>
    <t>§5.10.9.6.3</t>
  </si>
  <si>
    <t>Vị trí dburst = 0,5(h−2e)+5e·sinα</t>
  </si>
  <si>
    <t>tham khảo bố trí cốt</t>
  </si>
  <si>
    <t>Sức kháng cốt  Tr = φ·As·fy</t>
  </si>
  <si>
    <t>Kiểm lực bung:  Tr ≥ Tburst</t>
  </si>
  <si>
    <t>Ứng suất ép  f_ep = Pu/Ag</t>
  </si>
  <si>
    <t>Giới hạn ép = min(0,7φ_b·f'ci·√(A/Ag); 2,25φ_b·f'ci)</t>
  </si>
  <si>
    <t>§5.10.9.7.2</t>
  </si>
  <si>
    <t>Kiểm ép mặt:  f_ep ≤ giới hạn</t>
  </si>
  <si>
    <t>KẾT LUẬN KHỐI A  (→ cổng D82)</t>
  </si>
  <si>
    <t>neo + ép mặt sau neo</t>
  </si>
  <si>
    <t>B. MỎI — TỔ HỢP FATIGUE I  [§5.5.3]</t>
  </si>
  <si>
    <t>Biên ứng suất cáp do hoạt tải  Δf_ps</t>
  </si>
  <si>
    <t>từ phổ mỏi (xe mỏi, IM=15%)</t>
  </si>
  <si>
    <t>Bán kính cong cáp tại tiết diện  R</t>
  </si>
  <si>
    <t>≥9000 ⇒ 125; ≤3600 ⇒ 70 MPa</t>
  </si>
  <si>
    <t>Biên ứng suất cốt thường  Δf_s</t>
  </si>
  <si>
    <t>tại tiết diện xét</t>
  </si>
  <si>
    <t>Ứng suất nhỏ nhất cốt thường  f_min (kéo +)</t>
  </si>
  <si>
    <t>âm nếu nén; để trống ⇒ 0</t>
  </si>
  <si>
    <t>Hệ số tải mỏi  γ (Fatigue I)</t>
  </si>
  <si>
    <t>§3.4.1 Fatigue I = 1,5</t>
  </si>
  <si>
    <t>Giới hạn cáp = f(R)  [70…125]</t>
  </si>
  <si>
    <t>§5.5.3.3</t>
  </si>
  <si>
    <t>Nhu cầu cáp = γ·Δf_ps</t>
  </si>
  <si>
    <t>Kiểm mỏi cáp</t>
  </si>
  <si>
    <t>Giới hạn cốt = 166 − 0,33·f_min</t>
  </si>
  <si>
    <t>§5.5.3.2 (thanh thẳng)</t>
  </si>
  <si>
    <t>Nhu cầu cốt = γ·Δf_s</t>
  </si>
  <si>
    <t>Kiểm mỏi cốt thường</t>
  </si>
  <si>
    <t>KẾT LUẬN KHỐI B  (→ cổng D83)</t>
  </si>
  <si>
    <t>cáp + cốt thường</t>
  </si>
  <si>
    <t>C. VỒNG / VÕNG DÀI HẠN  [§2.5.2.6 &amp; §5.6.3.5]</t>
  </si>
  <si>
    <t>Vồng tức thời (lấy từ B81)</t>
  </si>
  <si>
    <t>DƯL − tự trọng, sơ đồ giản lược</t>
  </si>
  <si>
    <t>Hệ số khuếch đại dài hạn  λ (từ biến)</t>
  </si>
  <si>
    <t>vd 2,5–3,5 theo ψ(t,ti); từ engine mất mát</t>
  </si>
  <si>
    <t>Độ võng do hoạt tải  Δ_LL</t>
  </si>
  <si>
    <t>từ sơ đồ kết cấu thực</t>
  </si>
  <si>
    <t>Nhịp tính võng  L</t>
  </si>
  <si>
    <t>nhịp nhịp tính võng hoạt tải</t>
  </si>
  <si>
    <t>Giới hạn võng LL: L / __</t>
  </si>
  <si>
    <t>§2.5.2.6.2 (tùy chọn) thường 800</t>
  </si>
  <si>
    <t>Vồng dài hạn ≈ λ·(vồng tức thời)</t>
  </si>
  <si>
    <t>tham khảo</t>
  </si>
  <si>
    <t>Giới hạn võng = L / div</t>
  </si>
  <si>
    <t>Kiểm võng hoạt tải:  |Δ_LL| ≤ giới hạn</t>
  </si>
  <si>
    <t>KẾT LUẬN KHỐI C  (→ cổng D81)</t>
  </si>
  <si>
    <t>võng hoạt tải + vồng dài hạn</t>
  </si>
  <si>
    <t>tâm cáp tới trọng tâm tiết diện</t>
  </si>
  <si>
    <t>KT THAN (engine chính)</t>
  </si>
  <si>
    <t>[KHÔNG DÙNG NGHIỆM THU] KIỂM CHÉO THÂN TRỤ BẰNG FIBER</t>
  </si>
  <si>
    <t>KHÔNG DÙNG NGHIỆM THU — mô hình fiber cho M kháng lệch ~6× so với engine chính (KT THAN). Cơ sở phát hành thân trụ: DUY NHẤT KT THAN.</t>
  </si>
  <si>
    <t>ĐÃ GỠ KHỎI BỘ NGHIỆM THU (quyết định 2026-08-13): sheet fiber ước lượng mô-men kháng chỉ ~1/6 engine chính -&gt; KHÔNG tin cậy, chỉ giữ lại để truy vết. Nghiệm thu thân trụ căn cứ DUY NHẤT vào KT THAN.</t>
  </si>
  <si>
    <t>KHAI DƯL xà mũ — mỗi nhóm 1 hàng, tối đa 5 điểm (x1..x5, e1..e5). Cột đoạn1..đoạn4 (L..O) = KIỂU đường trong từng đoạn: 1=thẳng · 2=parabol phẳng ở ĐIỂM SAU (cuối đoạn) · 3=parabol phẳng ở ĐIỂM TRƯỚC (đầu đoạn). ĐỂ ĐỐI XỨNG QUA TIM: đoạn phải phải là GƯƠNG của đoạn trái — cặp quanh đỉnh dùng 2 (bên trái) và 3 (bên phải); đoạn thẳng đối thẳng (1↔1). VÍ DỤ đối xứng đã điền sẵn ở G1: dạng [1,2,3,1]. LƯU Ý: bỏ trống cột đoạn → mặc định =2 (phẳng ở điểm sau) nên hình sẽ KHÔNG đối xứng. 5 điểm đủ cho 1 parabol đối xứng.</t>
  </si>
  <si>
    <t>Hai thân giống nhau tại y = ±s/2. Nội lực xà mũ phân phối cho từng thân; mỗi thân kiểm nén–uốn 2 phương theo CÙNG cơ sở bảng tương tác P–M của KT THAN (Bresler PT46, §7.4.5).</t>
  </si>
  <si>
    <t>Pr dọc (Prx,kN)</t>
  </si>
  <si>
    <t>Pr ngang (Pry,kN)</t>
  </si>
  <si>
    <t>e* dọc (m)</t>
  </si>
  <si>
    <t>e* ngang (m)</t>
  </si>
  <si>
    <t>Kiểm 2 phương theo bảng tương tác P–M (KT THAN, Bresler PT46, §7.4.5). Nhánh 2 thân dùng cùng cơ sở bảng tương tác P–M (ĐÃ thay fiber).</t>
  </si>
  <si>
    <t>1: một thân — kiểm KT THAN. 2: hai thân — phân phối nội lực rồi kiểm từng thân theo bảng tương tác P–M (KT THAN). (Engine 2 thân: phân phối nội lực + kiểm bảng tương tác P–M từng thân.)</t>
  </si>
  <si>
    <t>Lưu ý: hệ số khuếch đại độ mảnh δ (dọc='KT THAN'!C32, ngang=D32) dùng CHUNG theo độ mảnh 1 thân. Nếu từng thân mảnh hơn cột đơn, cần khai lại độ mảnh cho tiết diện thân.</t>
  </si>
  <si>
    <t>3b. Hiệu chỉnh chu vi chọc thủng theo vị trí cọc (13.3.6 — cọc biên/góc)</t>
  </si>
  <si>
    <t>Vị trí cọc bất lợi (TRONG/BIÊN/GÓC):</t>
  </si>
  <si>
    <t>c1 = k/c tim cọc → mép gần nhất (m):</t>
  </si>
  <si>
    <t>c2 = k/c mép phương 2 (chỉ cọc GÓC) (m):</t>
  </si>
  <si>
    <t>a = (D+dv)/2 (m)</t>
  </si>
  <si>
    <t>Cờ chặn (1 = chặn/kiểm tay)</t>
  </si>
  <si>
    <t>b0 chu vi hiệu chỉnh (m)</t>
  </si>
  <si>
    <t>Vr = 0,9·0,33√f'c·b0_hc·dv (b0_hc tại D139) (kN)</t>
  </si>
  <si>
    <t>x_i ma sát (mm)</t>
  </si>
  <si>
    <t>α_i (rad, h.học)</t>
  </si>
  <si>
    <t>ΔfpF_i (MPa)</t>
  </si>
  <si>
    <t>ΔfpA_i (MPa)</t>
  </si>
  <si>
    <t>fpt0_i (MPa)</t>
  </si>
  <si>
    <t>fpe_i (MPa)</t>
  </si>
  <si>
    <t>ΔfpF (α gộp D284 — chỉ tham chiếu)</t>
  </si>
  <si>
    <t>fpt0 = TB-Aps fpt0_i theo NHÓM (cột P; ma sát per-group)</t>
  </si>
  <si>
    <t>Chênh fpe lớn nhất giữa các nhóm so với TB (MPa) / cờ:</t>
  </si>
  <si>
    <t>Ghi chú engine: ma sát &amp; tụt neo tính RIÊNG từng nhóm (cột S hình học); co ngắn đàn hồi (N−1)/2N và mất mát dài hạn tính ở CẤP TIẾT DIỆN theo Aps trung bình (đúng thông lệ AASHTO). Xem chênh lệch fpe theo nhóm tại D32.</t>
  </si>
  <si>
    <t>|fpe_i−TB| (MPa)</t>
  </si>
  <si>
    <t>Thân trụ ×nThan: G = nThan·[(Agchân+Agđỉnh)/2·(H−hmr)+(Agđỉnh+Agmr)/2·hmr]·γc</t>
  </si>
  <si>
    <t>W dao động = DC KCN + DW + xà mũ + nThan·(nửa thân) [kN]</t>
  </si>
  <si>
    <t>Thân trụ ×nThan (R=Rtrụ)</t>
  </si>
  <si>
    <t>Csm 1 thân (dọc | ngang) — tham chiếu</t>
  </si>
  <si>
    <t>T 2 thân = T₁/√nThan (độ cứng ∥ nThan cột) [s]</t>
  </si>
  <si>
    <t>Csm 2 thân (dọc | ngang)</t>
  </si>
  <si>
    <t>Csm DÙNG = MAX(1 thân, 2 thân) — envelope: độ cứng 2 thân KHÔNG được phép giảm hệ số ĐĐ (bảo toàn nhánh đất mềm tăng theo T).</t>
  </si>
  <si>
    <t>Csm dọc | ngang = MAX(1 thân, 2 thân)  [xem rows 17-20]</t>
  </si>
  <si>
    <t>φPnt = φ·Ast·fy (kéo dẻo, φ=0,9) [kN] — dùng cho kiểm KÉO–UỐN 2 thân</t>
  </si>
  <si>
    <t>Hệ số sử dụng lớn nhất (bao nén-uốn &amp; kéo-uốn 2 cột × 124 tổ hợp)</t>
  </si>
  <si>
    <t>MAX(O12:O135); O&lt;0? không — U luôn ≥0</t>
  </si>
  <si>
    <t>4bis. HỆ 2 THÂN — KIỂM BỆ LIÊN HỢP (chỉ khi nThan=2)</t>
  </si>
  <si>
    <t>Mặt cánh hẫng NGOÀI: x = ±(sThan/2 + hthan/2) [m]</t>
  </si>
  <si>
    <t>M cánh hẫng ngoài (bao 2 bên, Pmax mọi cọc — thiên an toàn) [kN·m]</t>
  </si>
  <si>
    <t>KIỂM cánh hẫng ngoài: Mr (mục 2) ≥ M — (đối chiếu: mô hình 1 thân đã bao)</t>
  </si>
  <si>
    <t>M UỐN ÂM giữa 2 thân (ước tính đối xứng: N cột=Σcọc/bên, Pmax) [kN·m]</t>
  </si>
  <si>
    <t>As thép mặt TRÊN hiện có = π·Ф²/4·(Cbe·1000/bước) [mm²]  (Ф,bước ở D123/D124)</t>
  </si>
  <si>
    <t>Mr mặt trên = φ·As·fy·(d−a/2), d=D81 [kN·m]</t>
  </si>
  <si>
    <t>KIỂM UỐN ÂM: Mr_top ≥ M_hog</t>
  </si>
  <si>
    <t>KẾT LUẬN BỆ 2 THÂN</t>
  </si>
  <si>
    <t>Tuổi căng ti_i (ngày) ★</t>
  </si>
  <si>
    <t>ES_i trình tự</t>
  </si>
  <si>
    <t>ktd(ti_i)</t>
  </si>
  <si>
    <t>ψb_i</t>
  </si>
  <si>
    <t>εbdf_i</t>
  </si>
  <si>
    <t>Kdf_i</t>
  </si>
  <si>
    <t>ΔfpSD_i</t>
  </si>
  <si>
    <t>ΔfpCD_i</t>
  </si>
  <si>
    <t>relax_i</t>
  </si>
  <si>
    <t>ΔfpLT_i</t>
  </si>
  <si>
    <t>fpe_i</t>
  </si>
  <si>
    <t>9e. HIỆU CHỈNH ES THEO TRÌNH TỰ CĂNG + TUỔI TỪNG NHÓM</t>
  </si>
  <si>
    <t>Bật engine trình tự+tuổi? (1=dùng cho thiết kế; 0=giữ mô hình gộp AASHTO đã nghiệm thu) ★</t>
  </si>
  <si>
    <t>fpe TB trọng số — mô hình GỘP (N−1)/(2N), 1 tuổi [MPa]</t>
  </si>
  <si>
    <t>fpe TB trọng số — TRÌNH TỰ + TUỔI từng nhóm [MPa]</t>
  </si>
  <si>
    <t>Chênh (trình tự − gộp) [MPa] ; ES nhóm căng đầu (max)</t>
  </si>
  <si>
    <t>Ghi chú: engine trình tự cho nhóm căng SAU CÙNG ES≈0, nhóm căng ĐẦU chịu ES từ mọi nhóm sau. Giới hạn mọi nhóm cùng stage + cùng tuổi -&gt; khớp đúng (N−1)/(2N) = D290. Nhập tuổi ti_i (cột M) và Stage căng (cột G) trước khi bật D323=1. Khi bật, D303/ứng suất khai thác dùng giá trị trình tự.</t>
  </si>
  <si>
    <t>6b. KIỂM NÉN–UỐN THEO TỪNG TỔ HỢP n-LÀN (TO HOP NLAN 6:311) — giữ N/Mx/My ĐỒNG THỜI</t>
  </si>
  <si>
    <t>(rỗng khi nLan≤6; mỗi dòng = 1 tổ hợp thực, KHÔNG phải cực trị độc lập)</t>
  </si>
  <si>
    <t>Hệ số sử dụng LỚN NHẤT — khối n-làn</t>
  </si>
  <si>
    <t>KHỐI n-LÀN: kiểm 2 thân theo TỪNG tổ hợp n-làn ('TO HOP NLAN' 6:311) — giữ N/Mx/My ĐỒNG THỜI (rỗng khi nLan≤6)</t>
  </si>
  <si>
    <t>— THÂN 1 (G=1) —</t>
  </si>
  <si>
    <t>— THÂN 2 (G=2) —</t>
  </si>
  <si>
    <t>x cọc (m)</t>
  </si>
  <si>
    <t>6.4 MÔ MEN BỆ 2 THÂN — ĐỒNG THỜI TỪNG TỔ HỢP (kN·m)</t>
  </si>
  <si>
    <t>M cánh hẫng ngoài / tổ hợp</t>
  </si>
  <si>
    <t>M uốn âm giữa 2 thân / tổ hợp</t>
  </si>
  <si>
    <t>GHI CHÚ PP (item#2): M cánh hẫng &amp; uốn âm bệ 2 thân lấy phản lực ĐỒNG THỜI TỪNG TỔ HỢP (TS-PILE C190:BL191, per-cọc theo tọa độ x, tổ hợp CĐ U:BF). Tổ hợp n-làn dùng cận trên bảo toàn (PILE NLAN chỉ lưu envelope 1-cọc). Thay Pmax_CD áp cho mọi cọc.</t>
  </si>
  <si>
    <t>GHI CHÚ: cọc ~dưới thân -&gt; cánh hẫng ngoài, CẮT (mục 2) &amp; NỨT theo mô hình 1 thân (thân ở tâm) BAO TRÙM demand 2 thân (thiên an toàn). UỐN ÂM giữa 2 thân: nay lấy phản lực ĐỒNG THỜI TỪNG TỔ HỢP (per-cọc, CĐ) — xem B158. Nếu sát ngưỡng: phân tích bệ liên hợp / khai thép mặt trên.</t>
  </si>
  <si>
    <t>Item#3: khi D323=1, P0(I)/Pe(J)/fpe_i(Q) dùng mất mát PER-NHÓM (ES=U, ΔfpLT=AC) → lan vào bảng giai đoạn M60:S68 (M=IF(SERVICE,ΣJ,ΣI) theo nhóm active). Phạm vi: dùng P0/Pe HỮU HIỆU CUỐI per-nhóm cho mọi GĐ (quy ước như mô hình gộp), KHÔNG phải phân tích thi công tăng dần từng bước.</t>
  </si>
  <si>
    <t>y cọc (m)</t>
  </si>
  <si>
    <t>frac §13.3.6.1</t>
  </si>
  <si>
    <t>6.5 N chân cột — ĐỒNG THỜI TỪNG TỔ HỢP (kN)</t>
  </si>
  <si>
    <t>6.6 Vu CỘT chọc thủng §13.3.6.1 — TỪNG TỔ HỢP (kN)</t>
  </si>
  <si>
    <t>4. KIỂM CHỌC THỦNG CỘT QUA BỆ §13.3.6.1 (mặt cắt tới hạn cách mặt cột dv/2; xét cọc trong/ngoài &amp; CẮT QUA cọc; có xét TÍNH ÁP DỤNG)</t>
  </si>
  <si>
    <t>βc = cạnh dài / cạnh ngắn thân</t>
  </si>
  <si>
    <t>ax = hthan/2 + dv/2 (m)</t>
  </si>
  <si>
    <t>ay = bthan/2 + dv/2 (m)</t>
  </si>
  <si>
    <t>Chu vi tới hạn b0 (mm)</t>
  </si>
  <si>
    <t>kc = min(0,126 ; 0,063+0,126/βc)  [§13.3.6.3]</t>
  </si>
  <si>
    <t>Vn = kc·√f'c·b0·dv (kN)</t>
  </si>
  <si>
    <t>Vr = φ·Vn (φ=0,9)</t>
  </si>
  <si>
    <t>Vu §13.3.6.1 (đồng thời từng TH CĐ; trừ cọc trong &amp; phân bổ cọc cắt qua) (kN)</t>
  </si>
  <si>
    <t>Vu bảo toàn (toàn bộ N chân cột, không giảm) (kN)</t>
  </si>
  <si>
    <t>Số cọc bị mặt cắt CẮT QUA (0&lt;frac&lt;1)</t>
  </si>
  <si>
    <t>Kiểm 2 chiều THÔ (nếu áp dụng): Vr ≥ Vu</t>
  </si>
  <si>
    <t>KẾT LUẬN (xét tính áp dụng)</t>
  </si>
  <si>
    <t>GHI CHÚ: Cọc trong chu vi tới hạn không gây chọc thủng; cọc bị mặt cắt CẮT QUA tính phản lực TỪNG PHẦN nội suy tuyến tính §13.3.6.1 (frac=0,5+(k/c tâm cọc ra ngoài mặt cắt)/Dcoc, chặn [0;1]). Capacity §13.3.6.3 (βc, giới hạn 0,126√f'c). TÍNH ÁP DỤNG: thân dạng TƯỜNG (βc≥2, ranh giới quy ước cột↔tường) → phản lực cọc ngoài chủ yếu do UỐN/CẮT 1 CHIỀU của bệ gánh (mục 2, đã ĐẠT), chọc thủng 2 chiều quanh chu vi tường KHÔNG phải cơ chế khống chế nên không áp dụng verdict D171. Tổ hợp n-làn tải nhỏ hơn nên không khống chế N chân cột.</t>
  </si>
  <si>
    <t>O|Ni&lt;0 (item#5)</t>
  </si>
  <si>
    <t>Kiểm KÉO-UỐN (item#5): SD lớn nhất (chỉ Ni&lt;0) | số (tổ hợp×thân) Ni&lt;0</t>
  </si>
  <si>
    <t>KHAI BÁO CÁP — OPTION 2: ĐƯỜNG GẤP KHÚC + BÁN KÍNH CONG R (fillet). e dương LÊN, x tăng từ neo (0).</t>
  </si>
  <si>
    <t>Nhập tối đa 13 điểm (x1..x13 cột chẵn B,D,..,Z ; e1..e13 cột lẻ C,E,..,AA). R1..R11 (AB..AL) — mỗi R nằm GIỮA 2 đoạn thẳng. Bỏ trống điểm thừa. R trống =&gt; mặc định 10000. VÍ DỤ: hàng G1.</t>
  </si>
  <si>
    <t>KIỂU KHAI CÁP → capOpt:</t>
  </si>
  <si>
    <t>Trạng thái fillet:</t>
  </si>
  <si>
    <t>(1=parabol cũ · 2=fillet R mới)</t>
  </si>
  <si>
    <t>nhóm</t>
  </si>
  <si>
    <t>x6</t>
  </si>
  <si>
    <t>e6</t>
  </si>
  <si>
    <t>x7</t>
  </si>
  <si>
    <t>e7</t>
  </si>
  <si>
    <t>x8</t>
  </si>
  <si>
    <t>e8</t>
  </si>
  <si>
    <t>x9</t>
  </si>
  <si>
    <t>e9</t>
  </si>
  <si>
    <t>x10</t>
  </si>
  <si>
    <t>e10</t>
  </si>
  <si>
    <t>x11</t>
  </si>
  <si>
    <t>e11</t>
  </si>
  <si>
    <t>x12</t>
  </si>
  <si>
    <t>e12</t>
  </si>
  <si>
    <t>x13</t>
  </si>
  <si>
    <t>e13</t>
  </si>
  <si>
    <t>R2</t>
  </si>
  <si>
    <t>R3</t>
  </si>
  <si>
    <t>R4</t>
  </si>
  <si>
    <t>R5</t>
  </si>
  <si>
    <t>R6</t>
  </si>
  <si>
    <t>R7</t>
  </si>
  <si>
    <t>R8</t>
  </si>
  <si>
    <t>R9</t>
  </si>
  <si>
    <t>R10</t>
  </si>
  <si>
    <t>R11</t>
  </si>
  <si>
    <t>— HÌNH HỌC CUNG G1 (đỉnh trong: điểm 2..12) —</t>
  </si>
  <si>
    <t>G1-đỉnh2</t>
  </si>
  <si>
    <t>G1-đỉnh3</t>
  </si>
  <si>
    <t>G1-đỉnh4</t>
  </si>
  <si>
    <t>G1-đỉnh5</t>
  </si>
  <si>
    <t>G1-đỉnh6</t>
  </si>
  <si>
    <t>G1-đỉnh7</t>
  </si>
  <si>
    <t>G1-đỉnh8</t>
  </si>
  <si>
    <t>G1-đỉnh9</t>
  </si>
  <si>
    <t>G1-đỉnh10</t>
  </si>
  <si>
    <t>G1-đỉnh11</t>
  </si>
  <si>
    <t>G1-đỉnh12</t>
  </si>
  <si>
    <t>— HÌNH HỌC CUNG G2 (đỉnh trong: điểm 2..12) —</t>
  </si>
  <si>
    <t>G2-đỉnh2</t>
  </si>
  <si>
    <t>G2-đỉnh3</t>
  </si>
  <si>
    <t>G2-đỉnh4</t>
  </si>
  <si>
    <t>G2-đỉnh5</t>
  </si>
  <si>
    <t>G2-đỉnh6</t>
  </si>
  <si>
    <t>G2-đỉnh7</t>
  </si>
  <si>
    <t>G2-đỉnh8</t>
  </si>
  <si>
    <t>G2-đỉnh9</t>
  </si>
  <si>
    <t>G2-đỉnh10</t>
  </si>
  <si>
    <t>G2-đỉnh11</t>
  </si>
  <si>
    <t>G2-đỉnh12</t>
  </si>
  <si>
    <t>— HÌNH HỌC CUNG G3 (đỉnh trong: điểm 2..12) —</t>
  </si>
  <si>
    <t>G3-đỉnh2</t>
  </si>
  <si>
    <t>G3-đỉnh3</t>
  </si>
  <si>
    <t>G3-đỉnh4</t>
  </si>
  <si>
    <t>G3-đỉnh5</t>
  </si>
  <si>
    <t>G3-đỉnh6</t>
  </si>
  <si>
    <t>G3-đỉnh7</t>
  </si>
  <si>
    <t>G3-đỉnh8</t>
  </si>
  <si>
    <t>G3-đỉnh9</t>
  </si>
  <si>
    <t>G3-đỉnh10</t>
  </si>
  <si>
    <t>G3-đỉnh11</t>
  </si>
  <si>
    <t>G3-đỉnh12</t>
  </si>
  <si>
    <t>— HÌNH HỌC CUNG G4 (đỉnh trong: điểm 2..12) —</t>
  </si>
  <si>
    <t>G4-đỉnh2</t>
  </si>
  <si>
    <t>G4-đỉnh3</t>
  </si>
  <si>
    <t>G4-đỉnh4</t>
  </si>
  <si>
    <t>G4-đỉnh5</t>
  </si>
  <si>
    <t>G4-đỉnh6</t>
  </si>
  <si>
    <t>G4-đỉnh7</t>
  </si>
  <si>
    <t>G4-đỉnh8</t>
  </si>
  <si>
    <t>G4-đỉnh9</t>
  </si>
  <si>
    <t>G4-đỉnh10</t>
  </si>
  <si>
    <t>G4-đỉnh11</t>
  </si>
  <si>
    <t>G4-đỉnh12</t>
  </si>
  <si>
    <t>— HÌNH HỌC CUNG G5 (đỉnh trong: điểm 2..12) —</t>
  </si>
  <si>
    <t>G5-đỉnh2</t>
  </si>
  <si>
    <t>G5-đỉnh3</t>
  </si>
  <si>
    <t>G5-đỉnh4</t>
  </si>
  <si>
    <t>G5-đỉnh5</t>
  </si>
  <si>
    <t>G5-đỉnh6</t>
  </si>
  <si>
    <t>G5-đỉnh7</t>
  </si>
  <si>
    <t>G5-đỉnh8</t>
  </si>
  <si>
    <t>G5-đỉnh9</t>
  </si>
  <si>
    <t>G5-đỉnh10</t>
  </si>
  <si>
    <t>G5-đỉnh11</t>
  </si>
  <si>
    <t>G5-đỉnh12</t>
  </si>
  <si>
    <t>— HÌNH HỌC CUNG G6 (đỉnh trong: điểm 2..12) —</t>
  </si>
  <si>
    <t>G6-đỉnh2</t>
  </si>
  <si>
    <t>G6-đỉnh3</t>
  </si>
  <si>
    <t>G6-đỉnh4</t>
  </si>
  <si>
    <t>G6-đỉnh5</t>
  </si>
  <si>
    <t>G6-đỉnh6</t>
  </si>
  <si>
    <t>G6-đỉnh7</t>
  </si>
  <si>
    <t>G6-đỉnh8</t>
  </si>
  <si>
    <t>G6-đỉnh9</t>
  </si>
  <si>
    <t>G6-đỉnh10</t>
  </si>
  <si>
    <t>G6-đỉnh11</t>
  </si>
  <si>
    <t>G6-đỉnh12</t>
  </si>
  <si>
    <t>— HÌNH HỌC CUNG G7 (đỉnh trong: điểm 2..12) —</t>
  </si>
  <si>
    <t>G7-đỉnh2</t>
  </si>
  <si>
    <t>G7-đỉnh3</t>
  </si>
  <si>
    <t>G7-đỉnh4</t>
  </si>
  <si>
    <t>G7-đỉnh5</t>
  </si>
  <si>
    <t>G7-đỉnh6</t>
  </si>
  <si>
    <t>G7-đỉnh7</t>
  </si>
  <si>
    <t>G7-đỉnh8</t>
  </si>
  <si>
    <t>G7-đỉnh9</t>
  </si>
  <si>
    <t>G7-đỉnh10</t>
  </si>
  <si>
    <t>G7-đỉnh11</t>
  </si>
  <si>
    <t>G7-đỉnh12</t>
  </si>
  <si>
    <t>— TỔNG HỢP OPTION-2 (B=Σ|Δ| ma sát tới giữa nhịp rad · C=hợp lệ · D=e giữa nhịp) —</t>
  </si>
  <si>
    <t>Rmin — bán kính uốn tối thiểu ống gen/neo (mm) → chỉnh theo hệ cáp:</t>
  </si>
  <si>
    <t>— Kiểm nhập nhóm G1 (đỉnh liên tục, x tăng, R≥Rmin) —</t>
  </si>
  <si>
    <t>G1-p1</t>
  </si>
  <si>
    <t>G1-p2</t>
  </si>
  <si>
    <t>G1-p3</t>
  </si>
  <si>
    <t>G1-p4</t>
  </si>
  <si>
    <t>G1-p5</t>
  </si>
  <si>
    <t>G1-p6</t>
  </si>
  <si>
    <t>G1-p7</t>
  </si>
  <si>
    <t>G1-p8</t>
  </si>
  <si>
    <t>G1-p9</t>
  </si>
  <si>
    <t>G1-p10</t>
  </si>
  <si>
    <t>G1-p11</t>
  </si>
  <si>
    <t>G1-p12</t>
  </si>
  <si>
    <t>G1-p13</t>
  </si>
  <si>
    <t>— Kiểm nhập nhóm G2 (đỉnh liên tục, x tăng, R≥Rmin) —</t>
  </si>
  <si>
    <t>G2-p1</t>
  </si>
  <si>
    <t>G2-p2</t>
  </si>
  <si>
    <t>G2-p3</t>
  </si>
  <si>
    <t>G2-p4</t>
  </si>
  <si>
    <t>G2-p5</t>
  </si>
  <si>
    <t>G2-p6</t>
  </si>
  <si>
    <t>G2-p7</t>
  </si>
  <si>
    <t>G2-p8</t>
  </si>
  <si>
    <t>G2-p9</t>
  </si>
  <si>
    <t>G2-p10</t>
  </si>
  <si>
    <t>G2-p11</t>
  </si>
  <si>
    <t>G2-p12</t>
  </si>
  <si>
    <t>G2-p13</t>
  </si>
  <si>
    <t>— Kiểm nhập nhóm G3 (đỉnh liên tục, x tăng, R≥Rmin) —</t>
  </si>
  <si>
    <t>G3-p1</t>
  </si>
  <si>
    <t>G3-p2</t>
  </si>
  <si>
    <t>G3-p3</t>
  </si>
  <si>
    <t>G3-p4</t>
  </si>
  <si>
    <t>G3-p5</t>
  </si>
  <si>
    <t>G3-p6</t>
  </si>
  <si>
    <t>G3-p7</t>
  </si>
  <si>
    <t>G3-p8</t>
  </si>
  <si>
    <t>G3-p9</t>
  </si>
  <si>
    <t>G3-p10</t>
  </si>
  <si>
    <t>G3-p11</t>
  </si>
  <si>
    <t>G3-p12</t>
  </si>
  <si>
    <t>G3-p13</t>
  </si>
  <si>
    <t>— Kiểm nhập nhóm G4 (đỉnh liên tục, x tăng, R≥Rmin) —</t>
  </si>
  <si>
    <t>G4-p1</t>
  </si>
  <si>
    <t>G4-p2</t>
  </si>
  <si>
    <t>G4-p3</t>
  </si>
  <si>
    <t>G4-p4</t>
  </si>
  <si>
    <t>G4-p5</t>
  </si>
  <si>
    <t>G4-p6</t>
  </si>
  <si>
    <t>G4-p7</t>
  </si>
  <si>
    <t>G4-p8</t>
  </si>
  <si>
    <t>G4-p9</t>
  </si>
  <si>
    <t>G4-p10</t>
  </si>
  <si>
    <t>G4-p11</t>
  </si>
  <si>
    <t>G4-p12</t>
  </si>
  <si>
    <t>G4-p13</t>
  </si>
  <si>
    <t>— Kiểm nhập nhóm G5 (đỉnh liên tục, x tăng, R≥Rmin) —</t>
  </si>
  <si>
    <t>G5-p1</t>
  </si>
  <si>
    <t>G5-p2</t>
  </si>
  <si>
    <t>G5-p3</t>
  </si>
  <si>
    <t>G5-p4</t>
  </si>
  <si>
    <t>G5-p5</t>
  </si>
  <si>
    <t>G5-p6</t>
  </si>
  <si>
    <t>G5-p7</t>
  </si>
  <si>
    <t>G5-p8</t>
  </si>
  <si>
    <t>G5-p9</t>
  </si>
  <si>
    <t>G5-p10</t>
  </si>
  <si>
    <t>G5-p11</t>
  </si>
  <si>
    <t>G5-p12</t>
  </si>
  <si>
    <t>G5-p13</t>
  </si>
  <si>
    <t>— Kiểm nhập nhóm G6 (đỉnh liên tục, x tăng, R≥Rmin) —</t>
  </si>
  <si>
    <t>G6-p1</t>
  </si>
  <si>
    <t>G6-p2</t>
  </si>
  <si>
    <t>G6-p3</t>
  </si>
  <si>
    <t>G6-p4</t>
  </si>
  <si>
    <t>G6-p5</t>
  </si>
  <si>
    <t>G6-p6</t>
  </si>
  <si>
    <t>G6-p7</t>
  </si>
  <si>
    <t>G6-p8</t>
  </si>
  <si>
    <t>G6-p9</t>
  </si>
  <si>
    <t>G6-p10</t>
  </si>
  <si>
    <t>G6-p11</t>
  </si>
  <si>
    <t>G6-p12</t>
  </si>
  <si>
    <t>G6-p13</t>
  </si>
  <si>
    <t>— Kiểm nhập nhóm G7 (đỉnh liên tục, x tăng, R≥Rmin) —</t>
  </si>
  <si>
    <t>G7-p1</t>
  </si>
  <si>
    <t>G7-p2</t>
  </si>
  <si>
    <t>G7-p3</t>
  </si>
  <si>
    <t>G7-p4</t>
  </si>
  <si>
    <t>G7-p5</t>
  </si>
  <si>
    <t>G7-p6</t>
  </si>
  <si>
    <t>G7-p7</t>
  </si>
  <si>
    <t>G7-p8</t>
  </si>
  <si>
    <t>G7-p9</t>
  </si>
  <si>
    <t>G7-p10</t>
  </si>
  <si>
    <t>G7-p11</t>
  </si>
  <si>
    <t>G7-p12</t>
  </si>
  <si>
    <t>G7-p13</t>
  </si>
  <si>
    <t>nĐiểm</t>
  </si>
  <si>
    <t>gap</t>
  </si>
  <si>
    <t>x↓</t>
  </si>
  <si>
    <t>eThiếu</t>
  </si>
  <si>
    <t>xmin</t>
  </si>
  <si>
    <t>xmax</t>
  </si>
  <si>
    <t>Rxấu</t>
  </si>
  <si>
    <t>nhậpOK</t>
  </si>
  <si>
    <t>inArc</t>
  </si>
  <si>
    <t>slope</t>
  </si>
  <si>
    <t>Cổng fillet:</t>
  </si>
  <si>
    <t>Mn0 danh nghĩa (φ=1)→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</si>
</sst>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
    <numFmt numFmtId="165" formatCode="0.0"/>
    <numFmt numFmtId="166" formatCode="0.0000"/>
    <numFmt numFmtId="167" formatCode="0.00000"/>
    <numFmt numFmtId="168" formatCode="#,##0.000"/>
    <numFmt numFmtId="169" formatCode="#,##0.000;\-#,##0.000;;"/>
    <numFmt numFmtId="170" formatCode="#,##0.0"/>
    <numFmt numFmtId="171" formatCode="0.000000"/>
  </numFmts>
  <fonts count="36" x14ac:knownFonts="1">
    <font>
      <sz val="11"/>
      <color theme="1"/>
      <name val="Calibri"/>
    </font>
    <font>
      <sz val="10"/>
      <name val="Arial"/>
    </font>
    <font>
      <b/>
      <sz val="13"/>
      <color rgb="FF1F3864"/>
      <name val="Times New Roman"/>
    </font>
    <font>
      <b/>
      <sz val="11"/>
      <name val="Times New Roman"/>
    </font>
    <font>
      <sz val="11"/>
      <name val="Times New Roman"/>
    </font>
    <font>
      <b/>
      <sz val="11"/>
      <color rgb="FF2E5395"/>
      <name val="Times New Roman"/>
    </font>
    <font>
      <i/>
      <sz val="10"/>
      <color rgb="FF7F7F7F"/>
      <name val="Times New Roman"/>
    </font>
    <font>
      <sz val="11"/>
      <color rgb="FF0000FF"/>
      <name val="Times New Roman"/>
    </font>
    <font>
      <b/>
      <sz val="11"/>
      <color rgb="FF006100"/>
      <name val="Times New Roman"/>
    </font>
    <font>
      <b/>
      <sz val="15"/>
      <color rgb="FFFFFFFF"/>
      <name val="Calibri"/>
    </font>
    <font>
      <i/>
      <sz val="9"/>
      <color rgb="FF333333"/>
      <name val="Calibri"/>
    </font>
    <font>
      <b/>
      <sz val="11"/>
      <color rgb="FFFFFFFF"/>
      <name val="Calibri"/>
    </font>
    <font>
      <i/>
      <sz val="11"/>
      <color theme="1"/>
      <name val="Calibri"/>
    </font>
    <font>
      <sz val="10"/>
      <color rgb="FF000000"/>
      <name val="Calibri"/>
    </font>
    <font>
      <b/>
      <sz val="10"/>
      <color rgb="FFFFFFFF"/>
      <name val="Calibri"/>
    </font>
    <font>
      <sz val="10"/>
      <color rgb="FF0000FF"/>
      <name val="Calibri"/>
    </font>
    <font>
      <sz val="11"/>
      <color rgb="FF0000FF"/>
      <name val="Calibri"/>
    </font>
    <font>
      <b/>
      <sz val="11"/>
      <color theme="1"/>
      <name val="Calibri"/>
    </font>
    <font>
      <b/>
      <sz val="11"/>
      <color theme="1"/>
      <name val="Calibri"/>
      <family val="2"/>
    </font>
    <font>
      <sz val="11"/>
      <color rgb="FF0000FF"/>
      <name val="Calibri"/>
      <family val="2"/>
    </font>
    <font>
      <sz val="11"/>
      <color rgb="FF787878"/>
      <name val="Calibri"/>
      <family val="2"/>
    </font>
    <font>
      <i/>
      <sz val="11"/>
      <color rgb="FF787878"/>
      <name val="Calibri"/>
      <family val="2"/>
    </font>
    <font>
      <i/>
      <sz val="11"/>
      <color theme="1"/>
      <name val="Calibri"/>
      <family val="2"/>
    </font>
    <font>
      <i/>
      <sz val="9"/>
      <color theme="1"/>
      <name val="Calibri"/>
      <family val="2"/>
    </font>
    <font>
      <sz val="11"/>
      <color rgb="FF000000"/>
      <name val="Calibri"/>
      <family val="2"/>
    </font>
    <font>
      <b/>
      <i/>
      <sz val="9"/>
      <color theme="1"/>
      <name val="Calibri"/>
      <family val="2"/>
    </font>
    <font>
      <b/>
      <sz val="9"/>
      <color indexed="81"/>
      <name val="Tahoma"/>
      <family val="2"/>
    </font>
    <font>
      <b/>
      <sz val="11"/>
      <color rgb="FF000000"/>
      <name val="Calibri"/>
      <family val="2"/>
    </font>
    <font>
      <b/>
      <sz val="11"/>
      <color rgb="FF0000FF"/>
      <name val="Calibri"/>
      <family val="2"/>
    </font>
    <font>
      <sz val="11"/>
      <color rgb="FF000000"/>
      <name val="Times New Roman"/>
      <family val="1"/>
    </font>
    <font>
      <sz val="11"/>
      <color rgb="FF000000"/>
      <name val="Times New Roman"/>
    </font>
    <font>
      <i/>
      <sz val="11"/>
      <color rgb="FFC00000"/>
      <name val="Calibri"/>
      <family val="2"/>
    </font>
    <font>
      <b/>
      <sz val="12"/>
      <color rgb="FFFFFFFF"/>
      <name val="Calibri"/>
      <family val="2"/>
    </font>
    <font>
      <b/>
      <i/>
      <sz val="9"/>
      <color rgb="FF787878"/>
      <name val="Calibri"/>
      <family val="2"/>
    </font>
    <font>
      <i/>
      <sz val="9"/>
      <color rgb="FF787878"/>
      <name val="Calibri"/>
      <family val="2"/>
    </font>
    <font>
      <b/>
      <sz val="9"/>
      <color indexed="81"/>
      <name val="Tahoma"/>
      <charset val="1"/>
    </font>
  </fonts>
  <fills count="26">
    <fill>
      <patternFill patternType="none"/>
    </fill>
    <fill>
      <patternFill patternType="gray125"/>
    </fill>
    <fill>
      <patternFill patternType="solid">
        <fgColor rgb="FFFFF2CC"/>
      </patternFill>
    </fill>
    <fill>
      <patternFill patternType="solid">
        <fgColor rgb="FFD9E2F3"/>
      </patternFill>
    </fill>
    <fill>
      <patternFill patternType="solid">
        <fgColor rgb="FF17365D"/>
      </patternFill>
    </fill>
    <fill>
      <patternFill patternType="solid">
        <fgColor rgb="FFDDEBF7"/>
      </patternFill>
    </fill>
    <fill>
      <patternFill patternType="solid">
        <fgColor rgb="FF2F75B5"/>
      </patternFill>
    </fill>
    <fill>
      <patternFill patternType="solid">
        <fgColor rgb="FFE2F0D9"/>
      </patternFill>
    </fill>
    <fill>
      <patternFill patternType="solid">
        <fgColor rgb="FFF2F2F2"/>
      </patternFill>
    </fill>
    <fill>
      <patternFill patternType="solid">
        <fgColor rgb="FFFFFFFF"/>
      </patternFill>
    </fill>
    <fill>
      <patternFill patternType="solid">
        <fgColor rgb="FFFFF2CC"/>
      </patternFill>
    </fill>
    <fill>
      <patternFill patternType="solid">
        <fgColor rgb="FF2F75B5"/>
      </patternFill>
    </fill>
    <fill>
      <patternFill patternType="solid">
        <fgColor rgb="FFFFF2CC"/>
      </patternFill>
    </fill>
    <fill>
      <patternFill patternType="solid">
        <fgColor rgb="FFE2F0D9"/>
      </patternFill>
    </fill>
    <fill>
      <patternFill patternType="solid">
        <fgColor rgb="FFF2F2F2"/>
      </patternFill>
    </fill>
    <fill>
      <patternFill patternType="solid">
        <fgColor rgb="FF17365D"/>
      </patternFill>
    </fill>
    <fill>
      <patternFill patternType="solid">
        <fgColor rgb="FFDDEBF7"/>
      </patternFill>
    </fill>
    <fill>
      <patternFill patternType="solid">
        <fgColor rgb="FFDBE5F1"/>
        <bgColor indexed="64"/>
      </patternFill>
    </fill>
    <fill>
      <patternFill patternType="solid">
        <fgColor rgb="FFFFFFCC"/>
        <bgColor indexed="64"/>
      </patternFill>
    </fill>
    <fill>
      <patternFill patternType="solid">
        <fgColor rgb="FFF2F2CC"/>
        <bgColor indexed="64"/>
      </patternFill>
    </fill>
    <fill>
      <patternFill patternType="solid">
        <fgColor rgb="FFE2F0D9"/>
        <bgColor indexed="64"/>
      </patternFill>
    </fill>
    <fill>
      <patternFill patternType="solid">
        <fgColor rgb="FF1F4E78"/>
        <bgColor indexed="64"/>
      </patternFill>
    </fill>
    <fill>
      <patternFill patternType="solid">
        <fgColor rgb="FFC6D9F1"/>
        <bgColor indexed="64"/>
      </patternFill>
    </fill>
    <fill>
      <patternFill patternType="solid">
        <fgColor rgb="FFF2F2F2"/>
        <bgColor indexed="64"/>
      </patternFill>
    </fill>
    <fill>
      <patternFill patternType="solid">
        <fgColor rgb="FFFFFF00"/>
        <bgColor indexed="64"/>
      </patternFill>
    </fill>
    <fill>
      <patternFill patternType="solid">
        <fgColor rgb="FFC0FFC0"/>
        <bgColor indexed="64"/>
      </patternFill>
    </fill>
  </fills>
  <borders count="7">
    <border>
      <left/>
      <right/>
      <top/>
      <bottom/>
      <diagonal/>
    </border>
    <border>
      <left style="thin">
        <color rgb="FFBFBFBF"/>
      </left>
      <right style="thin">
        <color rgb="FFBFBFBF"/>
      </right>
      <top style="thin">
        <color rgb="FFBFBFBF"/>
      </top>
      <bottom style="thin">
        <color rgb="FFBFBFBF"/>
      </bottom>
      <diagonal/>
    </border>
    <border>
      <left style="thin">
        <color rgb="FFB4C6E7"/>
      </left>
      <right style="thin">
        <color rgb="FFB4C6E7"/>
      </right>
      <top style="thin">
        <color rgb="FFB4C6E7"/>
      </top>
      <bottom style="thin">
        <color rgb="FFB4C6E7"/>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1" fillId="0" borderId="0" applyBorder="0" applyAlignment="0" applyProtection="0"/>
    <xf numFmtId="41" fontId="1" fillId="0" borderId="0" applyBorder="0" applyAlignment="0" applyProtection="0"/>
    <xf numFmtId="44" fontId="1" fillId="0" borderId="0" applyBorder="0" applyAlignment="0" applyProtection="0"/>
    <xf numFmtId="42" fontId="1" fillId="0" borderId="0" applyBorder="0" applyAlignment="0" applyProtection="0"/>
    <xf numFmtId="9" fontId="1" fillId="0" borderId="0" applyBorder="0" applyAlignment="0" applyProtection="0"/>
  </cellStyleXfs>
  <cellXfs count="156">
    <xf numFmtId="0" fontId="0" fillId="0" borderId="0" xfId="0"/>
    <xf numFmtId="0" fontId="11" fillId="6" borderId="0" xfId="0" applyFont="1" applyFill="1" applyAlignment="1">
      <alignment wrapText="1"/>
    </xf>
    <xf numFmtId="0" fontId="2" fillId="0" borderId="0" xfId="0" applyFont="1"/>
    <xf numFmtId="0" fontId="3"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xf numFmtId="0" fontId="6" fillId="0" borderId="0" xfId="0" applyFont="1" applyAlignment="1">
      <alignment horizontal="left" vertical="center" wrapText="1"/>
    </xf>
    <xf numFmtId="0" fontId="4" fillId="0" borderId="0" xfId="0" applyFont="1"/>
    <xf numFmtId="0" fontId="7" fillId="2" borderId="1" xfId="0" applyFont="1" applyFill="1" applyBorder="1" applyAlignment="1">
      <alignment horizontal="center" vertical="center" wrapText="1"/>
    </xf>
    <xf numFmtId="49" fontId="3" fillId="0" borderId="1" xfId="0" applyNumberFormat="1" applyFont="1" applyBorder="1" applyAlignment="1">
      <alignment horizontal="center" vertical="center" wrapText="1"/>
    </xf>
    <xf numFmtId="0" fontId="3" fillId="0" borderId="0" xfId="0" applyFont="1" applyAlignment="1">
      <alignment horizontal="center" vertical="center" wrapText="1"/>
    </xf>
    <xf numFmtId="2" fontId="7" fillId="2" borderId="1" xfId="0" applyNumberFormat="1" applyFont="1" applyFill="1" applyBorder="1" applyAlignment="1">
      <alignment horizontal="center" vertical="center" wrapText="1"/>
    </xf>
    <xf numFmtId="0" fontId="6" fillId="0" borderId="0" xfId="0" applyFont="1"/>
    <xf numFmtId="2" fontId="4" fillId="0" borderId="1" xfId="0" applyNumberFormat="1" applyFont="1" applyBorder="1" applyAlignment="1">
      <alignment horizontal="center" vertical="center" wrapText="1"/>
    </xf>
    <xf numFmtId="1" fontId="4" fillId="0" borderId="1" xfId="0" applyNumberFormat="1" applyFont="1" applyBorder="1" applyAlignment="1">
      <alignment horizontal="center" vertical="center" wrapText="1"/>
    </xf>
    <xf numFmtId="1" fontId="7" fillId="2" borderId="1" xfId="0" applyNumberFormat="1" applyFont="1" applyFill="1" applyBorder="1" applyAlignment="1">
      <alignment horizontal="center" vertical="center" wrapText="1"/>
    </xf>
    <xf numFmtId="164" fontId="4" fillId="0" borderId="1" xfId="0" applyNumberFormat="1" applyFont="1" applyBorder="1" applyAlignment="1">
      <alignment horizontal="center" vertical="center" wrapText="1"/>
    </xf>
    <xf numFmtId="165" fontId="7" fillId="2" borderId="1" xfId="0" applyNumberFormat="1" applyFont="1" applyFill="1" applyBorder="1" applyAlignment="1">
      <alignment horizontal="center" vertical="center" wrapText="1"/>
    </xf>
    <xf numFmtId="0" fontId="3" fillId="3" borderId="1" xfId="0" applyFont="1" applyFill="1" applyBorder="1" applyAlignment="1">
      <alignment horizontal="center" vertical="center" wrapText="1"/>
    </xf>
    <xf numFmtId="49" fontId="4" fillId="0" borderId="1" xfId="0" applyNumberFormat="1" applyFont="1" applyBorder="1" applyAlignment="1">
      <alignment horizontal="center" vertical="center" wrapText="1"/>
    </xf>
    <xf numFmtId="164" fontId="7"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166" fontId="7" fillId="2" borderId="1" xfId="0" applyNumberFormat="1" applyFont="1" applyFill="1" applyBorder="1" applyAlignment="1">
      <alignment horizontal="center" vertical="center" wrapText="1"/>
    </xf>
    <xf numFmtId="165" fontId="4"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1" fontId="3" fillId="0" borderId="1" xfId="0" applyNumberFormat="1" applyFont="1" applyBorder="1" applyAlignment="1">
      <alignment horizontal="center" vertical="center" wrapText="1"/>
    </xf>
    <xf numFmtId="166" fontId="4" fillId="0" borderId="1" xfId="0" applyNumberFormat="1" applyFont="1" applyBorder="1" applyAlignment="1">
      <alignment horizontal="center" vertical="center" wrapText="1"/>
    </xf>
    <xf numFmtId="165"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2" fontId="8" fillId="0" borderId="1" xfId="0" applyNumberFormat="1" applyFont="1" applyBorder="1" applyAlignment="1">
      <alignment horizontal="center" vertical="center" wrapText="1"/>
    </xf>
    <xf numFmtId="2" fontId="3" fillId="0" borderId="1" xfId="0" applyNumberFormat="1" applyFont="1" applyBorder="1" applyAlignment="1">
      <alignment horizontal="center" vertical="center" wrapText="1"/>
    </xf>
    <xf numFmtId="166" fontId="3" fillId="0" borderId="1" xfId="0" applyNumberFormat="1" applyFont="1" applyBorder="1" applyAlignment="1">
      <alignment horizontal="center" vertical="center" wrapText="1"/>
    </xf>
    <xf numFmtId="165" fontId="8" fillId="0" borderId="1" xfId="0" applyNumberFormat="1" applyFont="1" applyBorder="1" applyAlignment="1">
      <alignment horizontal="center" vertical="center" wrapText="1"/>
    </xf>
    <xf numFmtId="164" fontId="3" fillId="0" borderId="1" xfId="0" applyNumberFormat="1" applyFont="1" applyBorder="1" applyAlignment="1">
      <alignment horizontal="center" vertical="center" wrapText="1"/>
    </xf>
    <xf numFmtId="167" fontId="4" fillId="0" borderId="1" xfId="0" applyNumberFormat="1" applyFont="1" applyBorder="1" applyAlignment="1">
      <alignment horizontal="center" vertical="center" wrapText="1"/>
    </xf>
    <xf numFmtId="0" fontId="3" fillId="0" borderId="0" xfId="0" applyFont="1"/>
    <xf numFmtId="0" fontId="11" fillId="6" borderId="2" xfId="0" applyFont="1" applyFill="1" applyBorder="1" applyAlignment="1">
      <alignment wrapText="1"/>
    </xf>
    <xf numFmtId="0" fontId="0" fillId="0" borderId="2" xfId="0" applyBorder="1"/>
    <xf numFmtId="0" fontId="0" fillId="7" borderId="2" xfId="0" applyFill="1" applyBorder="1"/>
    <xf numFmtId="168" fontId="0" fillId="7" borderId="2" xfId="0" applyNumberFormat="1" applyFill="1" applyBorder="1"/>
    <xf numFmtId="0" fontId="0" fillId="7" borderId="2" xfId="0" applyFill="1" applyBorder="1" applyAlignment="1">
      <alignment wrapText="1"/>
    </xf>
    <xf numFmtId="0" fontId="0" fillId="0" borderId="0" xfId="0" applyAlignment="1">
      <alignment wrapText="1"/>
    </xf>
    <xf numFmtId="0" fontId="0" fillId="0" borderId="2" xfId="0" applyBorder="1" applyAlignment="1">
      <alignment wrapText="1"/>
    </xf>
    <xf numFmtId="164" fontId="0" fillId="7" borderId="2" xfId="0" applyNumberFormat="1" applyFill="1" applyBorder="1" applyAlignment="1">
      <alignment wrapText="1"/>
    </xf>
    <xf numFmtId="168" fontId="0" fillId="7" borderId="2" xfId="0" applyNumberFormat="1" applyFill="1" applyBorder="1" applyAlignment="1">
      <alignment wrapText="1"/>
    </xf>
    <xf numFmtId="0" fontId="13" fillId="9" borderId="0" xfId="0" applyFont="1" applyFill="1"/>
    <xf numFmtId="0" fontId="13" fillId="9" borderId="2" xfId="0" applyFont="1" applyFill="1" applyBorder="1"/>
    <xf numFmtId="164" fontId="15" fillId="10" borderId="2" xfId="0" applyNumberFormat="1" applyFont="1" applyFill="1" applyBorder="1"/>
    <xf numFmtId="0" fontId="13" fillId="9" borderId="2" xfId="0" applyFont="1" applyFill="1" applyBorder="1" applyAlignment="1">
      <alignment wrapText="1"/>
    </xf>
    <xf numFmtId="164" fontId="15" fillId="10" borderId="2" xfId="0" applyNumberFormat="1" applyFont="1" applyFill="1" applyBorder="1" applyAlignment="1">
      <alignment wrapText="1"/>
    </xf>
    <xf numFmtId="168" fontId="15" fillId="10" borderId="2" xfId="0" applyNumberFormat="1" applyFont="1" applyFill="1" applyBorder="1" applyAlignment="1">
      <alignment wrapText="1"/>
    </xf>
    <xf numFmtId="168" fontId="7" fillId="7" borderId="1" xfId="0" applyNumberFormat="1" applyFont="1" applyFill="1" applyBorder="1" applyAlignment="1">
      <alignment horizontal="center" vertical="center" wrapText="1"/>
    </xf>
    <xf numFmtId="168" fontId="0" fillId="0" borderId="0" xfId="0" applyNumberFormat="1"/>
    <xf numFmtId="164" fontId="16" fillId="12" borderId="2" xfId="0" applyNumberFormat="1" applyFont="1" applyFill="1" applyBorder="1" applyAlignment="1">
      <alignment wrapText="1"/>
    </xf>
    <xf numFmtId="164" fontId="0" fillId="13" borderId="2" xfId="0" applyNumberFormat="1" applyFill="1" applyBorder="1" applyAlignment="1">
      <alignment wrapText="1"/>
    </xf>
    <xf numFmtId="0" fontId="11" fillId="11" borderId="2" xfId="0" applyFont="1" applyFill="1" applyBorder="1" applyAlignment="1">
      <alignment vertical="center" wrapText="1"/>
    </xf>
    <xf numFmtId="169" fontId="0" fillId="0" borderId="2" xfId="0" applyNumberFormat="1" applyBorder="1" applyAlignment="1">
      <alignment wrapText="1"/>
    </xf>
    <xf numFmtId="169" fontId="0" fillId="0" borderId="0" xfId="0" applyNumberFormat="1"/>
    <xf numFmtId="168" fontId="0" fillId="0" borderId="2" xfId="0" applyNumberFormat="1" applyBorder="1" applyAlignment="1">
      <alignment wrapText="1"/>
    </xf>
    <xf numFmtId="168" fontId="16" fillId="12" borderId="2" xfId="0" applyNumberFormat="1" applyFont="1" applyFill="1" applyBorder="1" applyAlignment="1">
      <alignment wrapText="1"/>
    </xf>
    <xf numFmtId="168" fontId="11" fillId="11" borderId="2" xfId="0" applyNumberFormat="1" applyFont="1" applyFill="1" applyBorder="1" applyAlignment="1">
      <alignment vertical="center" wrapText="1"/>
    </xf>
    <xf numFmtId="168" fontId="0" fillId="13" borderId="2" xfId="0" applyNumberFormat="1" applyFill="1" applyBorder="1" applyAlignment="1">
      <alignment wrapText="1"/>
    </xf>
    <xf numFmtId="0" fontId="16" fillId="12" borderId="2" xfId="0" applyFont="1" applyFill="1" applyBorder="1" applyAlignment="1">
      <alignment wrapText="1"/>
    </xf>
    <xf numFmtId="0" fontId="0" fillId="13" borderId="2" xfId="0" applyFill="1" applyBorder="1" applyAlignment="1">
      <alignment wrapText="1"/>
    </xf>
    <xf numFmtId="0" fontId="18" fillId="0" borderId="0" xfId="0" applyFont="1"/>
    <xf numFmtId="0" fontId="18" fillId="17" borderId="0" xfId="0" applyFont="1" applyFill="1"/>
    <xf numFmtId="0" fontId="19" fillId="18" borderId="0" xfId="0" applyFont="1" applyFill="1"/>
    <xf numFmtId="0" fontId="20" fillId="0" borderId="0" xfId="0" applyFont="1"/>
    <xf numFmtId="0" fontId="21" fillId="0" borderId="0" xfId="0" applyFont="1"/>
    <xf numFmtId="0" fontId="22" fillId="0" borderId="0" xfId="0" applyFont="1"/>
    <xf numFmtId="2" fontId="0" fillId="0" borderId="0" xfId="0" applyNumberFormat="1"/>
    <xf numFmtId="49" fontId="21" fillId="0" borderId="0" xfId="0" applyNumberFormat="1" applyFont="1"/>
    <xf numFmtId="0" fontId="18" fillId="17" borderId="3" xfId="0" applyFont="1" applyFill="1" applyBorder="1" applyAlignment="1">
      <alignment horizontal="center" wrapText="1"/>
    </xf>
    <xf numFmtId="0" fontId="18" fillId="0" borderId="3" xfId="0" applyFont="1" applyBorder="1" applyAlignment="1">
      <alignment horizontal="center" wrapText="1"/>
    </xf>
    <xf numFmtId="170" fontId="19" fillId="19" borderId="3" xfId="0" applyNumberFormat="1" applyFont="1" applyFill="1" applyBorder="1" applyAlignment="1">
      <alignment horizontal="center" wrapText="1"/>
    </xf>
    <xf numFmtId="3" fontId="19" fillId="19" borderId="3" xfId="0" applyNumberFormat="1" applyFont="1" applyFill="1" applyBorder="1" applyAlignment="1">
      <alignment horizontal="center" wrapText="1"/>
    </xf>
    <xf numFmtId="1" fontId="19" fillId="19" borderId="3" xfId="0" applyNumberFormat="1" applyFont="1" applyFill="1" applyBorder="1" applyAlignment="1">
      <alignment horizontal="center" wrapText="1"/>
    </xf>
    <xf numFmtId="170" fontId="24" fillId="20" borderId="3" xfId="0" applyNumberFormat="1" applyFont="1" applyFill="1" applyBorder="1" applyAlignment="1">
      <alignment horizontal="center" wrapText="1"/>
    </xf>
    <xf numFmtId="1" fontId="24" fillId="20" borderId="3" xfId="0" applyNumberFormat="1" applyFont="1" applyFill="1" applyBorder="1" applyAlignment="1">
      <alignment horizontal="center" wrapText="1"/>
    </xf>
    <xf numFmtId="171" fontId="24" fillId="20" borderId="3" xfId="0" applyNumberFormat="1" applyFont="1" applyFill="1" applyBorder="1" applyAlignment="1">
      <alignment horizontal="center" wrapText="1"/>
    </xf>
    <xf numFmtId="168" fontId="24" fillId="20" borderId="2" xfId="0" applyNumberFormat="1" applyFont="1" applyFill="1" applyBorder="1" applyAlignment="1">
      <alignment wrapText="1"/>
    </xf>
    <xf numFmtId="0" fontId="18" fillId="0" borderId="0" xfId="0" applyFont="1" applyAlignment="1">
      <alignment horizontal="left"/>
    </xf>
    <xf numFmtId="3" fontId="27" fillId="20" borderId="0" xfId="0" applyNumberFormat="1" applyFont="1" applyFill="1"/>
    <xf numFmtId="170" fontId="27" fillId="20" borderId="0" xfId="0" applyNumberFormat="1" applyFont="1" applyFill="1"/>
    <xf numFmtId="0" fontId="18" fillId="0" borderId="3" xfId="0" applyFont="1" applyBorder="1" applyAlignment="1">
      <alignment horizontal="center"/>
    </xf>
    <xf numFmtId="1" fontId="19" fillId="19" borderId="3" xfId="0" applyNumberFormat="1" applyFont="1" applyFill="1" applyBorder="1" applyAlignment="1">
      <alignment horizontal="center"/>
    </xf>
    <xf numFmtId="3" fontId="19" fillId="19" borderId="3" xfId="0" applyNumberFormat="1" applyFont="1" applyFill="1" applyBorder="1" applyAlignment="1">
      <alignment horizontal="center"/>
    </xf>
    <xf numFmtId="3" fontId="24" fillId="20" borderId="3" xfId="0" applyNumberFormat="1" applyFont="1" applyFill="1" applyBorder="1" applyAlignment="1">
      <alignment horizontal="center"/>
    </xf>
    <xf numFmtId="170" fontId="24" fillId="20" borderId="3" xfId="0" applyNumberFormat="1" applyFont="1" applyFill="1" applyBorder="1" applyAlignment="1">
      <alignment horizontal="center"/>
    </xf>
    <xf numFmtId="0" fontId="24" fillId="20" borderId="3" xfId="0" applyFont="1" applyFill="1" applyBorder="1" applyAlignment="1">
      <alignment horizontal="center"/>
    </xf>
    <xf numFmtId="0" fontId="18" fillId="0" borderId="3" xfId="0" applyFont="1" applyBorder="1"/>
    <xf numFmtId="1" fontId="27" fillId="20" borderId="3" xfId="0" applyNumberFormat="1" applyFont="1" applyFill="1" applyBorder="1" applyAlignment="1">
      <alignment horizontal="center"/>
    </xf>
    <xf numFmtId="0" fontId="0" fillId="0" borderId="3" xfId="0" applyBorder="1"/>
    <xf numFmtId="3" fontId="18" fillId="0" borderId="3" xfId="0" applyNumberFormat="1" applyFont="1" applyBorder="1"/>
    <xf numFmtId="1" fontId="28" fillId="19" borderId="3" xfId="0" applyNumberFormat="1" applyFont="1" applyFill="1" applyBorder="1" applyAlignment="1">
      <alignment horizontal="center"/>
    </xf>
    <xf numFmtId="1" fontId="29" fillId="20" borderId="1" xfId="0" applyNumberFormat="1" applyFont="1" applyFill="1" applyBorder="1" applyAlignment="1">
      <alignment horizontal="center" vertical="center" wrapText="1"/>
    </xf>
    <xf numFmtId="1" fontId="30" fillId="0" borderId="1" xfId="0" applyNumberFormat="1" applyFont="1" applyBorder="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31" fillId="0" borderId="0" xfId="0" applyFont="1"/>
    <xf numFmtId="0" fontId="25" fillId="0" borderId="0" xfId="0" applyFont="1" applyAlignment="1">
      <alignment wrapText="1"/>
    </xf>
    <xf numFmtId="0" fontId="18" fillId="23" borderId="3" xfId="0" applyFont="1" applyFill="1" applyBorder="1" applyAlignment="1">
      <alignment horizontal="center" wrapText="1"/>
    </xf>
    <xf numFmtId="170" fontId="28" fillId="23" borderId="3" xfId="0" applyNumberFormat="1" applyFont="1" applyFill="1" applyBorder="1" applyAlignment="1">
      <alignment horizontal="center" wrapText="1"/>
    </xf>
    <xf numFmtId="3" fontId="28" fillId="23" borderId="3" xfId="0" applyNumberFormat="1" applyFont="1" applyFill="1" applyBorder="1" applyAlignment="1">
      <alignment horizontal="center" wrapText="1"/>
    </xf>
    <xf numFmtId="1" fontId="28" fillId="23" borderId="3" xfId="0" applyNumberFormat="1" applyFont="1" applyFill="1" applyBorder="1" applyAlignment="1">
      <alignment horizontal="center" wrapText="1"/>
    </xf>
    <xf numFmtId="1" fontId="34" fillId="19" borderId="3" xfId="0" applyNumberFormat="1" applyFont="1" applyFill="1" applyBorder="1" applyAlignment="1">
      <alignment horizontal="center" wrapText="1"/>
    </xf>
    <xf numFmtId="170" fontId="19" fillId="24" borderId="3" xfId="0" applyNumberFormat="1" applyFont="1" applyFill="1" applyBorder="1" applyAlignment="1">
      <alignment horizontal="center" wrapText="1"/>
    </xf>
    <xf numFmtId="0" fontId="34" fillId="0" borderId="0" xfId="0" applyFont="1" applyAlignment="1">
      <alignment wrapText="1"/>
    </xf>
    <xf numFmtId="0" fontId="19" fillId="24" borderId="3" xfId="0" applyFont="1" applyFill="1" applyBorder="1" applyAlignment="1">
      <alignment wrapText="1"/>
    </xf>
    <xf numFmtId="170" fontId="0" fillId="0" borderId="0" xfId="0" applyNumberFormat="1" applyAlignment="1">
      <alignment wrapText="1"/>
    </xf>
    <xf numFmtId="3" fontId="0" fillId="0" borderId="0" xfId="0" applyNumberFormat="1" applyAlignment="1">
      <alignment wrapText="1"/>
    </xf>
    <xf numFmtId="0" fontId="18" fillId="0" borderId="0" xfId="0" applyFont="1" applyAlignment="1">
      <alignment wrapText="1"/>
    </xf>
    <xf numFmtId="4" fontId="0" fillId="0" borderId="0" xfId="0" applyNumberFormat="1" applyAlignment="1">
      <alignment wrapText="1"/>
    </xf>
    <xf numFmtId="0" fontId="18" fillId="23" borderId="0" xfId="0" applyFont="1" applyFill="1" applyAlignment="1">
      <alignment wrapText="1"/>
    </xf>
    <xf numFmtId="0" fontId="18" fillId="23" borderId="0" xfId="0" applyFont="1" applyFill="1"/>
    <xf numFmtId="0" fontId="34" fillId="0" borderId="0" xfId="0" applyFont="1"/>
    <xf numFmtId="0" fontId="19" fillId="24" borderId="3" xfId="0" applyFont="1" applyFill="1" applyBorder="1"/>
    <xf numFmtId="170" fontId="0" fillId="0" borderId="0" xfId="0" applyNumberFormat="1"/>
    <xf numFmtId="4" fontId="0" fillId="0" borderId="0" xfId="0" applyNumberFormat="1"/>
    <xf numFmtId="0" fontId="0" fillId="24" borderId="0" xfId="0" applyFill="1"/>
    <xf numFmtId="0" fontId="0" fillId="24" borderId="0" xfId="0" applyFill="1" applyAlignment="1">
      <alignment wrapText="1"/>
    </xf>
    <xf numFmtId="0" fontId="0" fillId="25" borderId="0" xfId="0" applyFill="1" applyAlignment="1">
      <alignment wrapText="1"/>
    </xf>
    <xf numFmtId="0" fontId="11" fillId="11" borderId="0" xfId="0" applyFont="1" applyFill="1" applyAlignment="1">
      <alignment wrapText="1"/>
    </xf>
    <xf numFmtId="0" fontId="9" fillId="15" borderId="0" xfId="0" applyFont="1" applyFill="1" applyAlignment="1">
      <alignment vertical="center" wrapText="1"/>
    </xf>
    <xf numFmtId="0" fontId="10" fillId="16" borderId="0" xfId="0" applyFont="1" applyFill="1" applyAlignment="1">
      <alignment vertical="center" wrapText="1"/>
    </xf>
    <xf numFmtId="0" fontId="18" fillId="22" borderId="0" xfId="0" applyFont="1" applyFill="1"/>
    <xf numFmtId="0" fontId="0" fillId="22" borderId="0" xfId="0" applyFill="1"/>
    <xf numFmtId="0" fontId="18" fillId="17" borderId="0" xfId="0" applyFont="1" applyFill="1" applyAlignment="1">
      <alignment wrapText="1"/>
    </xf>
    <xf numFmtId="0" fontId="0" fillId="0" borderId="0" xfId="0" applyAlignment="1">
      <alignment wrapText="1"/>
    </xf>
    <xf numFmtId="0" fontId="23" fillId="0" borderId="0" xfId="0" applyFont="1" applyAlignment="1">
      <alignment wrapText="1"/>
    </xf>
    <xf numFmtId="0" fontId="32" fillId="21" borderId="4" xfId="0" applyFont="1" applyFill="1" applyBorder="1" applyAlignment="1">
      <alignment horizontal="center" wrapText="1"/>
    </xf>
    <xf numFmtId="0" fontId="0" fillId="21" borderId="5" xfId="0" applyFill="1" applyBorder="1" applyAlignment="1">
      <alignment horizontal="center" wrapText="1"/>
    </xf>
    <xf numFmtId="0" fontId="0" fillId="21" borderId="6" xfId="0" applyFill="1" applyBorder="1" applyAlignment="1">
      <alignment horizontal="center" wrapText="1"/>
    </xf>
    <xf numFmtId="0" fontId="33" fillId="0" borderId="4" xfId="0" applyFont="1" applyBorder="1"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18" fillId="22" borderId="4" xfId="0" applyFont="1" applyFill="1" applyBorder="1" applyAlignment="1">
      <alignment horizontal="center" wrapText="1"/>
    </xf>
    <xf numFmtId="0" fontId="0" fillId="22" borderId="5" xfId="0" applyFill="1" applyBorder="1" applyAlignment="1">
      <alignment horizontal="center" wrapText="1"/>
    </xf>
    <xf numFmtId="0" fontId="0" fillId="22" borderId="6" xfId="0" applyFill="1" applyBorder="1" applyAlignment="1">
      <alignment horizontal="center" wrapText="1"/>
    </xf>
    <xf numFmtId="0" fontId="14" fillId="6" borderId="0" xfId="0" applyFont="1" applyFill="1" applyAlignment="1">
      <alignment wrapText="1"/>
    </xf>
    <xf numFmtId="0" fontId="14" fillId="6" borderId="0" xfId="0" applyFont="1" applyFill="1"/>
    <xf numFmtId="0" fontId="11" fillId="11" borderId="0" xfId="0" applyFont="1" applyFill="1"/>
    <xf numFmtId="0" fontId="12" fillId="14" borderId="0" xfId="0" applyFont="1" applyFill="1" applyAlignment="1">
      <alignment wrapText="1"/>
    </xf>
    <xf numFmtId="0" fontId="12" fillId="8" borderId="0" xfId="0" applyFont="1" applyFill="1" applyAlignment="1">
      <alignment wrapText="1"/>
    </xf>
    <xf numFmtId="0" fontId="18" fillId="17" borderId="0" xfId="0" applyFont="1" applyFill="1"/>
    <xf numFmtId="0" fontId="0" fillId="0" borderId="0" xfId="0"/>
    <xf numFmtId="0" fontId="9" fillId="4" borderId="0" xfId="0" applyFont="1" applyFill="1" applyAlignment="1">
      <alignment vertical="center" wrapText="1"/>
    </xf>
    <xf numFmtId="0" fontId="10" fillId="5" borderId="0" xfId="0" applyFont="1" applyFill="1" applyAlignment="1">
      <alignment vertical="center" wrapText="1"/>
    </xf>
    <xf numFmtId="0" fontId="11" fillId="6" borderId="0" xfId="0" applyFont="1" applyFill="1" applyAlignment="1">
      <alignment wrapText="1"/>
    </xf>
    <xf numFmtId="0" fontId="17" fillId="5" borderId="0" xfId="0" applyFont="1" applyFill="1"/>
    <xf numFmtId="0" fontId="9" fillId="4" borderId="0" xfId="0" applyFont="1" applyFill="1" applyAlignment="1">
      <alignment vertical="center"/>
    </xf>
    <xf numFmtId="0" fontId="11" fillId="6" borderId="0" xfId="0" applyFont="1" applyFill="1"/>
    <xf numFmtId="0" fontId="9" fillId="15" borderId="0" xfId="0" applyFont="1" applyFill="1" applyAlignment="1">
      <alignment vertical="center"/>
    </xf>
    <xf numFmtId="168" fontId="0" fillId="14" borderId="2" xfId="0" applyNumberFormat="1" applyFill="1" applyBorder="1" applyAlignment="1">
      <alignment vertical="center" wrapText="1"/>
    </xf>
    <xf numFmtId="0" fontId="11" fillId="11" borderId="2" xfId="0" applyFont="1" applyFill="1" applyBorder="1" applyAlignment="1">
      <alignment vertical="center" wrapText="1"/>
    </xf>
    <xf numFmtId="168" fontId="11" fillId="11" borderId="0" xfId="0" applyNumberFormat="1" applyFont="1" applyFill="1"/>
  </cellXfs>
  <cellStyles count="6">
    <cellStyle name="Comma" xfId="1" xr:uid="{00000000-0005-0000-0000-000000000000}"/>
    <cellStyle name="Comma [0]" xfId="2" xr:uid="{00000000-0005-0000-0000-000001000000}"/>
    <cellStyle name="Currency" xfId="3" xr:uid="{00000000-0005-0000-0000-000002000000}"/>
    <cellStyle name="Currency [0]" xfId="4" xr:uid="{00000000-0005-0000-0000-000003000000}"/>
    <cellStyle name="Normal" xfId="0" builtinId="0"/>
    <cellStyle name="Percent" xfId="5" xr:uid="{00000000-0005-0000-0000-000005000000}"/>
  </cellStyles>
  <dxfs count="79">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9C0006"/>
        <name val="Times New Roman"/>
      </font>
      <fill>
        <patternFill>
          <bgColor rgb="FFFFC7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
      <font>
        <b/>
        <color rgb="FF006100"/>
        <name val="Times New Roman"/>
      </font>
      <fill>
        <patternFill>
          <bgColor rgb="FFC6EFCE"/>
        </patternFill>
      </fill>
    </dxf>
    <dxf>
      <font>
        <b/>
        <color rgb="FF9C0006"/>
        <name val="Times New Roman"/>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6100"/>
      <rgbColor rgb="FF000080"/>
      <rgbColor rgb="FF808000"/>
      <rgbColor rgb="FF800080"/>
      <rgbColor rgb="FF008080"/>
      <rgbColor rgb="FFBFBFBF"/>
      <rgbColor rgb="FF7F7F7F"/>
      <rgbColor rgb="FF9999FF"/>
      <rgbColor rgb="FF993366"/>
      <rgbColor rgb="FFFFF2CC"/>
      <rgbColor rgb="FFCCFFFF"/>
      <rgbColor rgb="FF660066"/>
      <rgbColor rgb="FFFF8080"/>
      <rgbColor rgb="FF0066CC"/>
      <rgbColor rgb="FFD9E2F3"/>
      <rgbColor rgb="FF000080"/>
      <rgbColor rgb="FFFF00FF"/>
      <rgbColor rgb="FFFFFF00"/>
      <rgbColor rgb="FF00FFFF"/>
      <rgbColor rgb="FF800080"/>
      <rgbColor rgb="FF800000"/>
      <rgbColor rgb="FF008080"/>
      <rgbColor rgb="FF0000FF"/>
      <rgbColor rgb="FF00CCFF"/>
      <rgbColor rgb="FFCCFFFF"/>
      <rgbColor rgb="FFC6EFCE"/>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1F3864"/>
      <rgbColor rgb="FF339966"/>
      <rgbColor rgb="FF003300"/>
      <rgbColor rgb="FF333300"/>
      <rgbColor rgb="FF993300"/>
      <rgbColor rgb="FF993366"/>
      <rgbColor rgb="FF2E5395"/>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a:t>MẶT ĐỨNG ĐƯỜNG CÁP DƯL (e +TOP theo x từ neo)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G1</c:v>
          </c:tx>
          <c:spPr>
            <a:ln w="19050" cap="rnd">
              <a:solidFill>
                <a:schemeClr val="accent1"/>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DUL'!$U$36:$AO$36</c:f>
              <c:numCache>
                <c:formatCode>General</c:formatCode>
                <c:ptCount val="21"/>
                <c:pt idx="0">
                  <c:v>600</c:v>
                </c:pt>
                <c:pt idx="1">
                  <c:v>639.25</c:v>
                </c:pt>
                <c:pt idx="2">
                  <c:v>678.5</c:v>
                </c:pt>
                <c:pt idx="3">
                  <c:v>717.75</c:v>
                </c:pt>
                <c:pt idx="4">
                  <c:v>757</c:v>
                </c:pt>
                <c:pt idx="5">
                  <c:v>796.25</c:v>
                </c:pt>
                <c:pt idx="6">
                  <c:v>866.96441221116538</c:v>
                </c:pt>
                <c:pt idx="7">
                  <c:v>925.16748186878056</c:v>
                </c:pt>
                <c:pt idx="8">
                  <c:v>966.74110305279135</c:v>
                </c:pt>
                <c:pt idx="9">
                  <c:v>991.68527576319786</c:v>
                </c:pt>
                <c:pt idx="10">
                  <c:v>1000</c:v>
                </c:pt>
                <c:pt idx="11">
                  <c:v>991.68527576319786</c:v>
                </c:pt>
                <c:pt idx="12">
                  <c:v>966.74110305279135</c:v>
                </c:pt>
                <c:pt idx="13">
                  <c:v>925.16748186878056</c:v>
                </c:pt>
                <c:pt idx="14">
                  <c:v>866.96441221116538</c:v>
                </c:pt>
                <c:pt idx="15">
                  <c:v>796.25</c:v>
                </c:pt>
                <c:pt idx="16">
                  <c:v>757</c:v>
                </c:pt>
                <c:pt idx="17">
                  <c:v>717.75</c:v>
                </c:pt>
                <c:pt idx="18">
                  <c:v>678.5</c:v>
                </c:pt>
                <c:pt idx="19">
                  <c:v>639.25</c:v>
                </c:pt>
                <c:pt idx="20">
                  <c:v>600</c:v>
                </c:pt>
              </c:numCache>
            </c:numRef>
          </c:yVal>
          <c:smooth val="0"/>
          <c:extLst>
            <c:ext xmlns:c16="http://schemas.microsoft.com/office/drawing/2014/chart" uri="{C3380CC4-5D6E-409C-BE32-E72D297353CC}">
              <c16:uniqueId val="{00000009-200F-466D-A12D-D6E67233059E}"/>
            </c:ext>
          </c:extLst>
        </c:ser>
        <c:ser>
          <c:idx val="1"/>
          <c:order val="1"/>
          <c:tx>
            <c:v>G2</c:v>
          </c:tx>
          <c:spPr>
            <a:ln w="19050" cap="rnd">
              <a:solidFill>
                <a:schemeClr val="accent2"/>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DUL'!$U$37:$AO$37</c:f>
              <c:numCache>
                <c:formatCode>General</c:formatCode>
                <c:ptCount val="21"/>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pt idx="16">
                  <c:v>600</c:v>
                </c:pt>
                <c:pt idx="17">
                  <c:v>600</c:v>
                </c:pt>
                <c:pt idx="18">
                  <c:v>600</c:v>
                </c:pt>
                <c:pt idx="19">
                  <c:v>600</c:v>
                </c:pt>
                <c:pt idx="20">
                  <c:v>600</c:v>
                </c:pt>
              </c:numCache>
            </c:numRef>
          </c:yVal>
          <c:smooth val="0"/>
          <c:extLst>
            <c:ext xmlns:c16="http://schemas.microsoft.com/office/drawing/2014/chart" uri="{C3380CC4-5D6E-409C-BE32-E72D297353CC}">
              <c16:uniqueId val="{0000000A-200F-466D-A12D-D6E67233059E}"/>
            </c:ext>
          </c:extLst>
        </c:ser>
        <c:ser>
          <c:idx val="2"/>
          <c:order val="2"/>
          <c:tx>
            <c:v>G3</c:v>
          </c:tx>
          <c:spPr>
            <a:ln w="19050" cap="rnd">
              <a:solidFill>
                <a:schemeClr val="accent3"/>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DUL'!$U$38:$AO$38</c:f>
              <c:numCache>
                <c:formatCode>General</c:formatCode>
                <c:ptCount val="21"/>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pt idx="16">
                  <c:v>600</c:v>
                </c:pt>
                <c:pt idx="17">
                  <c:v>600</c:v>
                </c:pt>
                <c:pt idx="18">
                  <c:v>600</c:v>
                </c:pt>
                <c:pt idx="19">
                  <c:v>600</c:v>
                </c:pt>
                <c:pt idx="20">
                  <c:v>600</c:v>
                </c:pt>
              </c:numCache>
            </c:numRef>
          </c:yVal>
          <c:smooth val="0"/>
          <c:extLst>
            <c:ext xmlns:c16="http://schemas.microsoft.com/office/drawing/2014/chart" uri="{C3380CC4-5D6E-409C-BE32-E72D297353CC}">
              <c16:uniqueId val="{0000000B-200F-466D-A12D-D6E67233059E}"/>
            </c:ext>
          </c:extLst>
        </c:ser>
        <c:ser>
          <c:idx val="3"/>
          <c:order val="3"/>
          <c:tx>
            <c:v>G4</c:v>
          </c:tx>
          <c:spPr>
            <a:ln w="19050" cap="rnd">
              <a:solidFill>
                <a:schemeClr val="accent4"/>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DUL'!$U$39:$AO$39</c:f>
              <c:numCache>
                <c:formatCode>General</c:formatCode>
                <c:ptCount val="21"/>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pt idx="16">
                  <c:v>600</c:v>
                </c:pt>
                <c:pt idx="17">
                  <c:v>600</c:v>
                </c:pt>
                <c:pt idx="18">
                  <c:v>600</c:v>
                </c:pt>
                <c:pt idx="19">
                  <c:v>600</c:v>
                </c:pt>
                <c:pt idx="20">
                  <c:v>600</c:v>
                </c:pt>
              </c:numCache>
            </c:numRef>
          </c:yVal>
          <c:smooth val="0"/>
          <c:extLst>
            <c:ext xmlns:c16="http://schemas.microsoft.com/office/drawing/2014/chart" uri="{C3380CC4-5D6E-409C-BE32-E72D297353CC}">
              <c16:uniqueId val="{0000000C-200F-466D-A12D-D6E67233059E}"/>
            </c:ext>
          </c:extLst>
        </c:ser>
        <c:ser>
          <c:idx val="4"/>
          <c:order val="4"/>
          <c:tx>
            <c:v>G5</c:v>
          </c:tx>
          <c:spPr>
            <a:ln w="19050" cap="rnd">
              <a:solidFill>
                <a:schemeClr val="accent5"/>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DUL'!$U$40:$AO$40</c:f>
              <c:numCache>
                <c:formatCode>General</c:formatCode>
                <c:ptCount val="21"/>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pt idx="16">
                  <c:v>600</c:v>
                </c:pt>
                <c:pt idx="17">
                  <c:v>600</c:v>
                </c:pt>
                <c:pt idx="18">
                  <c:v>600</c:v>
                </c:pt>
                <c:pt idx="19">
                  <c:v>600</c:v>
                </c:pt>
                <c:pt idx="20">
                  <c:v>600</c:v>
                </c:pt>
              </c:numCache>
            </c:numRef>
          </c:yVal>
          <c:smooth val="0"/>
          <c:extLst>
            <c:ext xmlns:c16="http://schemas.microsoft.com/office/drawing/2014/chart" uri="{C3380CC4-5D6E-409C-BE32-E72D297353CC}">
              <c16:uniqueId val="{0000000D-200F-466D-A12D-D6E67233059E}"/>
            </c:ext>
          </c:extLst>
        </c:ser>
        <c:ser>
          <c:idx val="5"/>
          <c:order val="5"/>
          <c:tx>
            <c:v>G6</c:v>
          </c:tx>
          <c:spPr>
            <a:ln w="19050" cap="rnd">
              <a:solidFill>
                <a:schemeClr val="accent6"/>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DUL'!$U$41:$AO$41</c:f>
              <c:numCache>
                <c:formatCode>General</c:formatCode>
                <c:ptCount val="21"/>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pt idx="16">
                  <c:v>600</c:v>
                </c:pt>
                <c:pt idx="17">
                  <c:v>600</c:v>
                </c:pt>
                <c:pt idx="18">
                  <c:v>600</c:v>
                </c:pt>
                <c:pt idx="19">
                  <c:v>600</c:v>
                </c:pt>
                <c:pt idx="20">
                  <c:v>600</c:v>
                </c:pt>
              </c:numCache>
            </c:numRef>
          </c:yVal>
          <c:smooth val="0"/>
          <c:extLst>
            <c:ext xmlns:c16="http://schemas.microsoft.com/office/drawing/2014/chart" uri="{C3380CC4-5D6E-409C-BE32-E72D297353CC}">
              <c16:uniqueId val="{0000000E-200F-466D-A12D-D6E67233059E}"/>
            </c:ext>
          </c:extLst>
        </c:ser>
        <c:ser>
          <c:idx val="6"/>
          <c:order val="6"/>
          <c:tx>
            <c:v>G7</c:v>
          </c:tx>
          <c:spPr>
            <a:ln w="19050" cap="rnd">
              <a:solidFill>
                <a:schemeClr val="accent1">
                  <a:lumMod val="60000"/>
                </a:schemeClr>
              </a:solidFill>
              <a:round/>
            </a:ln>
            <a:effectLst/>
          </c:spPr>
          <c:marker>
            <c:symbol val="none"/>
          </c:marker>
          <c:xVal>
            <c:numRef>
              <c:f>'XA MU DUL'!$U$35:$AO$35</c:f>
              <c:numCache>
                <c:formatCode>General</c:formatCode>
                <c:ptCount val="21"/>
                <c:pt idx="0">
                  <c:v>0</c:v>
                </c:pt>
                <c:pt idx="1">
                  <c:v>1177.5</c:v>
                </c:pt>
                <c:pt idx="2">
                  <c:v>2355</c:v>
                </c:pt>
                <c:pt idx="3">
                  <c:v>3532.5</c:v>
                </c:pt>
                <c:pt idx="4">
                  <c:v>4710</c:v>
                </c:pt>
                <c:pt idx="5">
                  <c:v>5887.5</c:v>
                </c:pt>
                <c:pt idx="6">
                  <c:v>7065</c:v>
                </c:pt>
                <c:pt idx="7">
                  <c:v>8242.5</c:v>
                </c:pt>
                <c:pt idx="8">
                  <c:v>9420</c:v>
                </c:pt>
                <c:pt idx="9">
                  <c:v>10597.5</c:v>
                </c:pt>
                <c:pt idx="10">
                  <c:v>11775</c:v>
                </c:pt>
                <c:pt idx="11">
                  <c:v>12952.5</c:v>
                </c:pt>
                <c:pt idx="12">
                  <c:v>14130</c:v>
                </c:pt>
                <c:pt idx="13">
                  <c:v>15307.5</c:v>
                </c:pt>
                <c:pt idx="14">
                  <c:v>16485</c:v>
                </c:pt>
                <c:pt idx="15">
                  <c:v>17662.5</c:v>
                </c:pt>
                <c:pt idx="16">
                  <c:v>18840</c:v>
                </c:pt>
                <c:pt idx="17">
                  <c:v>20017.5</c:v>
                </c:pt>
                <c:pt idx="18">
                  <c:v>21195</c:v>
                </c:pt>
                <c:pt idx="19">
                  <c:v>22372.5</c:v>
                </c:pt>
                <c:pt idx="20">
                  <c:v>23550</c:v>
                </c:pt>
              </c:numCache>
            </c:numRef>
          </c:xVal>
          <c:yVal>
            <c:numRef>
              <c:f>'XA MU DUL'!$U$42:$AO$42</c:f>
              <c:numCache>
                <c:formatCode>General</c:formatCode>
                <c:ptCount val="21"/>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pt idx="16">
                  <c:v>600</c:v>
                </c:pt>
                <c:pt idx="17">
                  <c:v>600</c:v>
                </c:pt>
                <c:pt idx="18">
                  <c:v>600</c:v>
                </c:pt>
                <c:pt idx="19">
                  <c:v>600</c:v>
                </c:pt>
                <c:pt idx="20">
                  <c:v>600</c:v>
                </c:pt>
              </c:numCache>
            </c:numRef>
          </c:yVal>
          <c:smooth val="0"/>
          <c:extLst>
            <c:ext xmlns:c16="http://schemas.microsoft.com/office/drawing/2014/chart" uri="{C3380CC4-5D6E-409C-BE32-E72D297353CC}">
              <c16:uniqueId val="{0000000F-200F-466D-A12D-D6E67233059E}"/>
            </c:ext>
          </c:extLst>
        </c:ser>
        <c:dLbls>
          <c:showLegendKey val="0"/>
          <c:showVal val="0"/>
          <c:showCatName val="0"/>
          <c:showSerName val="0"/>
          <c:showPercent val="0"/>
          <c:showBubbleSize val="0"/>
        </c:dLbls>
        <c:axId val="1890575328"/>
        <c:axId val="1895977120"/>
      </c:scatterChart>
      <c:valAx>
        <c:axId val="18905753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từ neo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5977120"/>
        <c:crosses val="autoZero"/>
        <c:crossBetween val="midCat"/>
      </c:valAx>
      <c:valAx>
        <c:axId val="1895977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 +TOP (mm)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5753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205740</xdr:colOff>
      <xdr:row>132</xdr:row>
      <xdr:rowOff>83819</xdr:rowOff>
    </xdr:from>
    <xdr:to>
      <xdr:col>10</xdr:col>
      <xdr:colOff>378460</xdr:colOff>
      <xdr:row>134</xdr:row>
      <xdr:rowOff>149859</xdr:rowOff>
    </xdr:to>
    <xdr:sp macro="ChayTSPile" textlink="">
      <xdr:nvSpPr>
        <xdr:cNvPr id="2" name="btnChayTSPile">
          <a:extLst>
            <a:ext uri="{FF2B5EF4-FFF2-40B4-BE49-F238E27FC236}">
              <a16:creationId xmlns:a16="http://schemas.microsoft.com/office/drawing/2014/main" id="{878253D3-7386-3771-6551-CBA9593A8190}"/>
            </a:ext>
          </a:extLst>
        </xdr:cNvPr>
        <xdr:cNvSpPr/>
      </xdr:nvSpPr>
      <xdr:spPr>
        <a:xfrm>
          <a:off x="4472940" y="32438339"/>
          <a:ext cx="2794000" cy="431800"/>
        </a:xfrm>
        <a:prstGeom prst="roundRect">
          <a:avLst/>
        </a:prstGeom>
        <a:solidFill>
          <a:srgbClr val="368A3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FFFFFF"/>
              </a:solidFill>
            </a:rPr>
            <a:t>▶ CHẠY TS-PILE — điền kết quả</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42</xdr:row>
      <xdr:rowOff>45720</xdr:rowOff>
    </xdr:from>
    <xdr:to>
      <xdr:col>6</xdr:col>
      <xdr:colOff>20320</xdr:colOff>
      <xdr:row>56</xdr:row>
      <xdr:rowOff>88900</xdr:rowOff>
    </xdr:to>
    <xdr:graphicFrame macro="">
      <xdr:nvGraphicFramePr>
        <xdr:cNvPr id="2" name="CAP_MATDUNG">
          <a:extLst>
            <a:ext uri="{FF2B5EF4-FFF2-40B4-BE49-F238E27FC236}">
              <a16:creationId xmlns:a16="http://schemas.microsoft.com/office/drawing/2014/main" id="{C479B61A-A8FF-2F57-738B-B00CBBA70E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Calibri Light"/>
        <a:cs typeface="Calibri Light"/>
      </a:majorFont>
      <a:minorFont>
        <a:latin typeface="Calibri"/>
        <a:ea typeface="Calibri"/>
        <a:cs typeface="Calibri"/>
      </a:minorFont>
    </a:fontScheme>
    <a:fmtScheme name="Offic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a:prstDash val="solid"/>
        </a:ln>
        <a:ln w="25400">
          <a:prstDash val="solid"/>
        </a:ln>
        <a:ln w="38100">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40"/>
  <sheetViews>
    <sheetView workbookViewId="0">
      <selection activeCell="B8" sqref="B8"/>
    </sheetView>
  </sheetViews>
  <sheetFormatPr defaultColWidth="8.6640625" defaultRowHeight="14.4" x14ac:dyDescent="0.3"/>
  <cols>
    <col min="1" max="1" width="3" customWidth="1"/>
    <col min="2" max="2" width="120" customWidth="1"/>
  </cols>
  <sheetData>
    <row r="2" spans="2:2" ht="16.8" x14ac:dyDescent="0.3">
      <c r="B2" s="2" t="s">
        <v>0</v>
      </c>
    </row>
    <row r="4" spans="2:2" ht="27.6" x14ac:dyDescent="0.3">
      <c r="B4" s="3" t="s">
        <v>1</v>
      </c>
    </row>
    <row r="6" spans="2:2" ht="27.6" x14ac:dyDescent="0.3">
      <c r="B6" s="4" t="s">
        <v>2</v>
      </c>
    </row>
    <row r="8" spans="2:2" ht="82.8" x14ac:dyDescent="0.3">
      <c r="B8" s="4" t="s">
        <v>3</v>
      </c>
    </row>
    <row r="10" spans="2:2" x14ac:dyDescent="0.3">
      <c r="B10" s="4" t="s">
        <v>4</v>
      </c>
    </row>
    <row r="13" spans="2:2" x14ac:dyDescent="0.3">
      <c r="B13" s="5" t="s">
        <v>5</v>
      </c>
    </row>
    <row r="14" spans="2:2" ht="27.6" x14ac:dyDescent="0.3">
      <c r="B14" s="4" t="s">
        <v>6</v>
      </c>
    </row>
    <row r="15" spans="2:2" ht="27.6" x14ac:dyDescent="0.3">
      <c r="B15" s="4" t="s">
        <v>7</v>
      </c>
    </row>
    <row r="16" spans="2:2" ht="27.6" x14ac:dyDescent="0.3">
      <c r="B16" s="4" t="s">
        <v>8</v>
      </c>
    </row>
    <row r="17" spans="2:2" ht="27.6" x14ac:dyDescent="0.3">
      <c r="B17" s="4" t="s">
        <v>9</v>
      </c>
    </row>
    <row r="18" spans="2:2" x14ac:dyDescent="0.3">
      <c r="B18" s="4" t="s">
        <v>10</v>
      </c>
    </row>
    <row r="19" spans="2:2" x14ac:dyDescent="0.3">
      <c r="B19" s="4" t="s">
        <v>11</v>
      </c>
    </row>
    <row r="20" spans="2:2" x14ac:dyDescent="0.3">
      <c r="B20" s="4" t="s">
        <v>12</v>
      </c>
    </row>
    <row r="21" spans="2:2" x14ac:dyDescent="0.3">
      <c r="B21" s="4" t="s">
        <v>13</v>
      </c>
    </row>
    <row r="22" spans="2:2" x14ac:dyDescent="0.3">
      <c r="B22" s="4" t="s">
        <v>14</v>
      </c>
    </row>
    <row r="23" spans="2:2" x14ac:dyDescent="0.3">
      <c r="B23" s="4" t="s">
        <v>15</v>
      </c>
    </row>
    <row r="24" spans="2:2" x14ac:dyDescent="0.3">
      <c r="B24" s="4" t="s">
        <v>16</v>
      </c>
    </row>
    <row r="25" spans="2:2" x14ac:dyDescent="0.3">
      <c r="B25" s="4" t="s">
        <v>17</v>
      </c>
    </row>
    <row r="26" spans="2:2" ht="27.6" x14ac:dyDescent="0.3">
      <c r="B26" s="4" t="s">
        <v>18</v>
      </c>
    </row>
    <row r="27" spans="2:2" ht="27.6" x14ac:dyDescent="0.3">
      <c r="B27" s="4" t="s">
        <v>19</v>
      </c>
    </row>
    <row r="28" spans="2:2" ht="27.6" x14ac:dyDescent="0.3">
      <c r="B28" s="4" t="s">
        <v>20</v>
      </c>
    </row>
    <row r="29" spans="2:2" ht="27.6" x14ac:dyDescent="0.3">
      <c r="B29" s="4" t="s">
        <v>21</v>
      </c>
    </row>
    <row r="30" spans="2:2" ht="27.6" x14ac:dyDescent="0.3">
      <c r="B30" s="4" t="s">
        <v>22</v>
      </c>
    </row>
    <row r="31" spans="2:2" ht="27.6" x14ac:dyDescent="0.3">
      <c r="B31" s="4" t="s">
        <v>23</v>
      </c>
    </row>
    <row r="32" spans="2:2" ht="55.2" x14ac:dyDescent="0.3">
      <c r="B32" s="4" t="s">
        <v>24</v>
      </c>
    </row>
    <row r="33" spans="2:2" ht="69" x14ac:dyDescent="0.3">
      <c r="B33" s="4" t="s">
        <v>25</v>
      </c>
    </row>
    <row r="34" spans="2:2" ht="69" x14ac:dyDescent="0.3">
      <c r="B34" s="4" t="s">
        <v>26</v>
      </c>
    </row>
    <row r="35" spans="2:2" ht="69" x14ac:dyDescent="0.3">
      <c r="B35" s="4" t="s">
        <v>27</v>
      </c>
    </row>
    <row r="36" spans="2:2" ht="151.80000000000001" x14ac:dyDescent="0.3">
      <c r="B36" s="4" t="s">
        <v>28</v>
      </c>
    </row>
    <row r="37" spans="2:2" ht="179.4" x14ac:dyDescent="0.3">
      <c r="B37" s="4" t="s">
        <v>29</v>
      </c>
    </row>
    <row r="38" spans="2:2" ht="69" x14ac:dyDescent="0.3">
      <c r="B38" s="4" t="s">
        <v>30</v>
      </c>
    </row>
    <row r="39" spans="2:2" ht="26.4" x14ac:dyDescent="0.3">
      <c r="B39" s="6" t="s">
        <v>31</v>
      </c>
    </row>
    <row r="40" spans="2:2" ht="79.2" x14ac:dyDescent="0.3">
      <c r="B40" s="6" t="s">
        <v>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O235"/>
  <sheetViews>
    <sheetView topLeftCell="A48" workbookViewId="0">
      <selection activeCell="D224" sqref="D224"/>
    </sheetView>
  </sheetViews>
  <sheetFormatPr defaultColWidth="8.6640625" defaultRowHeight="14.4" x14ac:dyDescent="0.3"/>
  <cols>
    <col min="1" max="1" width="2" customWidth="1"/>
    <col min="2" max="2" width="53" customWidth="1"/>
    <col min="3" max="3" width="11" customWidth="1"/>
    <col min="4" max="4" width="6" customWidth="1"/>
    <col min="5" max="5" width="10" customWidth="1"/>
    <col min="6" max="6" width="18" customWidth="1"/>
    <col min="7" max="7" width="14" customWidth="1"/>
    <col min="8" max="8" width="48" customWidth="1"/>
    <col min="9" max="10" width="24" customWidth="1"/>
    <col min="11" max="11" width="18" customWidth="1"/>
    <col min="12" max="15" width="11" customWidth="1"/>
  </cols>
  <sheetData>
    <row r="2" spans="2:8" ht="16.8" x14ac:dyDescent="0.3">
      <c r="B2" s="2" t="s">
        <v>33</v>
      </c>
    </row>
    <row r="3" spans="2:8" x14ac:dyDescent="0.3">
      <c r="B3" s="7" t="s">
        <v>34</v>
      </c>
      <c r="F3" s="8" t="s">
        <v>35</v>
      </c>
    </row>
    <row r="4" spans="2:8" x14ac:dyDescent="0.3">
      <c r="B4" s="5" t="s">
        <v>36</v>
      </c>
    </row>
    <row r="5" spans="2:8" ht="27.6" x14ac:dyDescent="0.3">
      <c r="B5" s="7" t="s">
        <v>37</v>
      </c>
      <c r="D5" s="8" t="s">
        <v>38</v>
      </c>
    </row>
    <row r="6" spans="2:8" ht="234.6" hidden="1" x14ac:dyDescent="0.3">
      <c r="B6" s="7" t="s">
        <v>39</v>
      </c>
      <c r="D6" s="9" t="str">
        <f>IF(curidx=0,"⚠ Tên """&amp;D5&amp;""" không khớp dòng nào trong bảng SƠ ĐỒ LIÊN (mục 2c) — kiểm tra lại chính tả hoặc chọn lại từ list ở ô trên","Trụ/mố thứ "&amp;curidx&amp;"/9 tính từ trái = "&amp;INDEX(namerng,curidx)&amp;"; nhịp trái "&amp;TEXT(L1_,"0.0")&amp;" m, nhịp phải "&amp;TEXT(L2_,"0.0")&amp;" m")</f>
        <v>Trụ/mố thứ 2/9 tính từ trái = Trụ T1; nhịp trái 38.2 m, nhịp phải 38.2 m</v>
      </c>
    </row>
    <row r="7" spans="2:8" ht="331.2" hidden="1" x14ac:dyDescent="0.3">
      <c r="B7" s="7" t="s">
        <v>40</v>
      </c>
      <c r="D7" s="9" t="str">
        <f>IF(curidx=0,"—","Gối TRÁI = "&amp;goiT_&amp;" ("&amp;statT_&amp;")   |   PHẢI = "&amp;goiP_&amp;" ("&amp;statP_&amp;")"&amp;IF(OR(nKhoa2Dau&gt;0,nFixedTotal=0)," — xem CẢNH BÁO ở mục 2c",""))</f>
        <v>Gối TRÁI = Chậu di động 1 phương ngang (FIXED)   |   PHẢI = Chậu di động 2 phương (SLIDE)</v>
      </c>
    </row>
    <row r="9" spans="2:8" x14ac:dyDescent="0.3">
      <c r="B9" s="5" t="s">
        <v>41</v>
      </c>
    </row>
    <row r="10" spans="2:8" x14ac:dyDescent="0.3">
      <c r="B10" s="7" t="s">
        <v>42</v>
      </c>
      <c r="E10" s="10" t="s">
        <v>43</v>
      </c>
      <c r="F10" s="11">
        <v>38.200000000000003</v>
      </c>
      <c r="G10" s="7" t="s">
        <v>44</v>
      </c>
    </row>
    <row r="11" spans="2:8" x14ac:dyDescent="0.3">
      <c r="B11" s="7" t="s">
        <v>45</v>
      </c>
      <c r="E11" s="10" t="s">
        <v>46</v>
      </c>
      <c r="F11" s="11">
        <v>38.200000000000003</v>
      </c>
      <c r="G11" s="7" t="s">
        <v>44</v>
      </c>
      <c r="H11" s="12" t="s">
        <v>47</v>
      </c>
    </row>
    <row r="12" spans="2:8" x14ac:dyDescent="0.3">
      <c r="B12" s="7" t="s">
        <v>48</v>
      </c>
      <c r="E12" s="10" t="s">
        <v>49</v>
      </c>
      <c r="F12" s="11">
        <v>0.35</v>
      </c>
      <c r="G12" s="7" t="s">
        <v>44</v>
      </c>
    </row>
    <row r="13" spans="2:8" x14ac:dyDescent="0.3">
      <c r="B13" s="7" t="s">
        <v>50</v>
      </c>
      <c r="E13" s="10" t="s">
        <v>51</v>
      </c>
      <c r="F13" s="13">
        <f>L1_-2*sgoi</f>
        <v>37.5</v>
      </c>
      <c r="G13" s="7" t="s">
        <v>44</v>
      </c>
    </row>
    <row r="14" spans="2:8" x14ac:dyDescent="0.3">
      <c r="B14" s="7" t="s">
        <v>52</v>
      </c>
      <c r="E14" s="10" t="s">
        <v>53</v>
      </c>
      <c r="F14" s="13">
        <f>L2_-2*sgoi</f>
        <v>37.5</v>
      </c>
      <c r="G14" s="7" t="s">
        <v>44</v>
      </c>
    </row>
    <row r="15" spans="2:8" x14ac:dyDescent="0.3">
      <c r="B15" s="7" t="s">
        <v>54</v>
      </c>
      <c r="E15" s="10" t="s">
        <v>55</v>
      </c>
      <c r="F15" s="11">
        <v>23.75</v>
      </c>
      <c r="G15" s="7" t="s">
        <v>44</v>
      </c>
    </row>
    <row r="16" spans="2:8" x14ac:dyDescent="0.3">
      <c r="B16" s="7" t="s">
        <v>56</v>
      </c>
      <c r="E16" s="10" t="s">
        <v>57</v>
      </c>
      <c r="F16" s="11">
        <v>22.75</v>
      </c>
      <c r="G16" s="7" t="s">
        <v>44</v>
      </c>
    </row>
    <row r="17" spans="2:8" x14ac:dyDescent="0.3">
      <c r="B17" s="7" t="s">
        <v>58</v>
      </c>
      <c r="E17" s="10" t="s">
        <v>59</v>
      </c>
      <c r="F17" s="11">
        <v>0.5</v>
      </c>
      <c r="G17" s="7" t="s">
        <v>44</v>
      </c>
    </row>
    <row r="18" spans="2:8" x14ac:dyDescent="0.3">
      <c r="B18" s="7" t="s">
        <v>60</v>
      </c>
      <c r="E18" s="10" t="s">
        <v>61</v>
      </c>
      <c r="F18" s="11">
        <v>0</v>
      </c>
      <c r="G18" s="7" t="s">
        <v>44</v>
      </c>
    </row>
    <row r="19" spans="2:8" x14ac:dyDescent="0.3">
      <c r="B19" s="7" t="s">
        <v>62</v>
      </c>
      <c r="E19" s="10" t="s">
        <v>63</v>
      </c>
      <c r="F19" s="14">
        <f>IF(AND(Bxe&gt;=6,Bxe&lt;=7.2),2,MAX(1,INT(Bxe/3.6)))</f>
        <v>6</v>
      </c>
      <c r="G19" s="7" t="s">
        <v>64</v>
      </c>
      <c r="H19" s="12" t="s">
        <v>65</v>
      </c>
    </row>
    <row r="20" spans="2:8" x14ac:dyDescent="0.3">
      <c r="B20" s="7" t="s">
        <v>66</v>
      </c>
      <c r="E20" s="10" t="s">
        <v>67</v>
      </c>
      <c r="F20" s="11">
        <v>3.05</v>
      </c>
      <c r="G20" s="7" t="s">
        <v>44</v>
      </c>
    </row>
    <row r="21" spans="2:8" x14ac:dyDescent="0.3">
      <c r="B21" s="7" t="s">
        <v>68</v>
      </c>
      <c r="E21" s="10" t="s">
        <v>69</v>
      </c>
      <c r="F21" s="11">
        <v>0.15</v>
      </c>
      <c r="G21" s="7" t="s">
        <v>44</v>
      </c>
    </row>
    <row r="22" spans="2:8" x14ac:dyDescent="0.3">
      <c r="B22" s="7" t="s">
        <v>70</v>
      </c>
      <c r="E22" s="10" t="s">
        <v>71</v>
      </c>
      <c r="F22" s="13">
        <f>'TINH TAI'!F32</f>
        <v>6706.0125000000007</v>
      </c>
      <c r="G22" s="7" t="s">
        <v>72</v>
      </c>
      <c r="H22" s="12" t="s">
        <v>73</v>
      </c>
    </row>
    <row r="23" spans="2:8" x14ac:dyDescent="0.3">
      <c r="B23" s="7" t="s">
        <v>74</v>
      </c>
      <c r="E23" s="10" t="s">
        <v>75</v>
      </c>
      <c r="F23" s="13">
        <f>'TINH TAI'!G32</f>
        <v>6706.0125000000007</v>
      </c>
      <c r="G23" s="7" t="s">
        <v>72</v>
      </c>
    </row>
    <row r="24" spans="2:8" x14ac:dyDescent="0.3">
      <c r="B24" s="7" t="s">
        <v>76</v>
      </c>
      <c r="E24" s="10" t="s">
        <v>77</v>
      </c>
      <c r="F24" s="13">
        <f>'TINH TAI'!F33</f>
        <v>684.37687500000015</v>
      </c>
      <c r="G24" s="7" t="s">
        <v>72</v>
      </c>
    </row>
    <row r="25" spans="2:8" x14ac:dyDescent="0.3">
      <c r="B25" s="7" t="s">
        <v>78</v>
      </c>
      <c r="E25" s="10" t="s">
        <v>79</v>
      </c>
      <c r="F25" s="13">
        <f>'TINH TAI'!G33</f>
        <v>684.37687500000015</v>
      </c>
      <c r="G25" s="7" t="s">
        <v>72</v>
      </c>
    </row>
    <row r="26" spans="2:8" x14ac:dyDescent="0.3">
      <c r="B26" s="7" t="s">
        <v>80</v>
      </c>
      <c r="E26" s="10" t="s">
        <v>81</v>
      </c>
      <c r="F26" s="11">
        <v>-0.9</v>
      </c>
      <c r="G26" s="7" t="s">
        <v>44</v>
      </c>
      <c r="H26" s="12" t="s">
        <v>82</v>
      </c>
    </row>
    <row r="27" spans="2:8" x14ac:dyDescent="0.3">
      <c r="B27" s="7" t="s">
        <v>83</v>
      </c>
      <c r="E27" s="10" t="s">
        <v>84</v>
      </c>
      <c r="F27" s="11">
        <v>0.9</v>
      </c>
      <c r="G27" s="7" t="s">
        <v>44</v>
      </c>
      <c r="H27" s="12" t="s">
        <v>85</v>
      </c>
    </row>
    <row r="28" spans="2:8" x14ac:dyDescent="0.3">
      <c r="B28" s="7" t="s">
        <v>86</v>
      </c>
      <c r="E28" s="10" t="s">
        <v>87</v>
      </c>
      <c r="F28" s="15">
        <v>90</v>
      </c>
      <c r="G28" s="7" t="s">
        <v>88</v>
      </c>
      <c r="H28" s="12" t="s">
        <v>89</v>
      </c>
    </row>
    <row r="30" spans="2:8" x14ac:dyDescent="0.3">
      <c r="B30" s="5" t="s">
        <v>90</v>
      </c>
    </row>
    <row r="31" spans="2:8" x14ac:dyDescent="0.3">
      <c r="B31" s="7" t="s">
        <v>91</v>
      </c>
      <c r="E31" s="10" t="s">
        <v>92</v>
      </c>
      <c r="F31" s="11">
        <v>5.5</v>
      </c>
      <c r="G31" s="7" t="s">
        <v>44</v>
      </c>
      <c r="H31" s="12" t="s">
        <v>93</v>
      </c>
    </row>
    <row r="32" spans="2:8" x14ac:dyDescent="0.3">
      <c r="B32" s="7" t="s">
        <v>94</v>
      </c>
      <c r="E32" s="10" t="s">
        <v>95</v>
      </c>
      <c r="F32" s="11">
        <v>1.6</v>
      </c>
      <c r="G32" s="7" t="s">
        <v>44</v>
      </c>
    </row>
    <row r="33" spans="2:8" x14ac:dyDescent="0.3">
      <c r="B33" s="7" t="s">
        <v>96</v>
      </c>
      <c r="E33" s="10" t="s">
        <v>97</v>
      </c>
      <c r="F33" s="15">
        <v>1</v>
      </c>
      <c r="G33" s="7" t="s">
        <v>98</v>
      </c>
      <c r="H33" s="12" t="s">
        <v>99</v>
      </c>
    </row>
    <row r="34" spans="2:8" x14ac:dyDescent="0.3">
      <c r="B34" s="7" t="s">
        <v>100</v>
      </c>
      <c r="E34" s="10" t="s">
        <v>101</v>
      </c>
      <c r="F34" s="11">
        <v>0.3</v>
      </c>
      <c r="G34" s="7" t="s">
        <v>44</v>
      </c>
    </row>
    <row r="35" spans="2:8" x14ac:dyDescent="0.3">
      <c r="B35" s="7" t="s">
        <v>102</v>
      </c>
      <c r="E35" s="10" t="s">
        <v>103</v>
      </c>
      <c r="F35" s="11">
        <v>0.3</v>
      </c>
      <c r="G35" s="7" t="s">
        <v>44</v>
      </c>
      <c r="H35" s="12" t="s">
        <v>104</v>
      </c>
    </row>
    <row r="36" spans="2:8" x14ac:dyDescent="0.3">
      <c r="B36" s="7" t="s">
        <v>105</v>
      </c>
      <c r="E36" s="10" t="s">
        <v>106</v>
      </c>
      <c r="F36" s="15">
        <v>1</v>
      </c>
      <c r="G36" s="7" t="s">
        <v>98</v>
      </c>
      <c r="H36" s="12" t="s">
        <v>107</v>
      </c>
    </row>
    <row r="37" spans="2:8" x14ac:dyDescent="0.3">
      <c r="B37" s="7" t="s">
        <v>108</v>
      </c>
      <c r="E37" s="10" t="s">
        <v>109</v>
      </c>
      <c r="F37" s="11">
        <v>9.5</v>
      </c>
      <c r="G37" s="7" t="s">
        <v>44</v>
      </c>
      <c r="H37" s="12" t="s">
        <v>110</v>
      </c>
    </row>
    <row r="38" spans="2:8" x14ac:dyDescent="0.3">
      <c r="B38" s="7" t="s">
        <v>111</v>
      </c>
      <c r="E38" s="10" t="s">
        <v>112</v>
      </c>
      <c r="F38" s="11">
        <v>1.6</v>
      </c>
      <c r="G38" s="7" t="s">
        <v>44</v>
      </c>
      <c r="H38" s="12" t="s">
        <v>110</v>
      </c>
    </row>
    <row r="39" spans="2:8" x14ac:dyDescent="0.3">
      <c r="B39" s="7" t="s">
        <v>113</v>
      </c>
      <c r="E39" s="10" t="s">
        <v>114</v>
      </c>
      <c r="F39" s="13">
        <f>IF(vartiet=0,bthan,bth2r)</f>
        <v>9.5</v>
      </c>
      <c r="G39" s="7" t="s">
        <v>44</v>
      </c>
      <c r="H39" s="12" t="s">
        <v>115</v>
      </c>
    </row>
    <row r="40" spans="2:8" x14ac:dyDescent="0.3">
      <c r="B40" s="7" t="s">
        <v>116</v>
      </c>
      <c r="E40" s="10" t="s">
        <v>117</v>
      </c>
      <c r="F40" s="13">
        <f>IF(vartiet=0,hthan,hth2r)</f>
        <v>1.6</v>
      </c>
      <c r="G40" s="7" t="s">
        <v>44</v>
      </c>
      <c r="H40" s="12" t="s">
        <v>115</v>
      </c>
    </row>
    <row r="41" spans="2:8" x14ac:dyDescent="0.3">
      <c r="B41" s="7" t="s">
        <v>118</v>
      </c>
      <c r="E41" s="10" t="s">
        <v>119</v>
      </c>
      <c r="F41" s="16">
        <f>bthan*hthan-IF(shp=1,hthan^2*(1-PI()/4),IF(shp=2,2*cch*cchy,0))</f>
        <v>8.2506192982974689</v>
      </c>
      <c r="G41" s="7" t="s">
        <v>120</v>
      </c>
      <c r="H41" s="12" t="s">
        <v>121</v>
      </c>
    </row>
    <row r="42" spans="2:8" x14ac:dyDescent="0.3">
      <c r="B42" s="7" t="s">
        <v>122</v>
      </c>
      <c r="E42" s="10" t="s">
        <v>123</v>
      </c>
      <c r="F42" s="16">
        <f>bthan2*hthan2-IF(shp=1,hthan2^2*(1-PI()/4),IF(shp=2,2*cch*cchy,0))</f>
        <v>14.650619298297469</v>
      </c>
      <c r="G42" s="7" t="s">
        <v>120</v>
      </c>
      <c r="H42" s="12" t="s">
        <v>124</v>
      </c>
    </row>
    <row r="43" spans="2:8" x14ac:dyDescent="0.3">
      <c r="B43" s="7" t="s">
        <v>125</v>
      </c>
      <c r="E43" s="10" t="s">
        <v>126</v>
      </c>
      <c r="F43" s="11">
        <v>8.4</v>
      </c>
      <c r="G43" s="7" t="s">
        <v>44</v>
      </c>
    </row>
    <row r="44" spans="2:8" x14ac:dyDescent="0.3">
      <c r="B44" s="7" t="s">
        <v>127</v>
      </c>
    </row>
    <row r="45" spans="2:8" x14ac:dyDescent="0.3">
      <c r="B45" s="7" t="s">
        <v>128</v>
      </c>
      <c r="E45" s="10" t="s">
        <v>129</v>
      </c>
      <c r="F45" s="11">
        <v>7.5</v>
      </c>
      <c r="G45" s="7" t="s">
        <v>44</v>
      </c>
      <c r="H45" s="12" t="s">
        <v>130</v>
      </c>
    </row>
    <row r="46" spans="2:8" x14ac:dyDescent="0.3">
      <c r="B46" s="7" t="s">
        <v>131</v>
      </c>
      <c r="E46" s="10" t="s">
        <v>132</v>
      </c>
      <c r="F46" s="11">
        <v>2.84</v>
      </c>
      <c r="G46" s="7" t="s">
        <v>44</v>
      </c>
      <c r="H46" s="12" t="s">
        <v>133</v>
      </c>
    </row>
    <row r="47" spans="2:8" x14ac:dyDescent="0.3">
      <c r="B47" s="7" t="s">
        <v>134</v>
      </c>
      <c r="E47" s="10" t="s">
        <v>135</v>
      </c>
      <c r="F47" s="16">
        <f>bmr*hthan2-IF(shp=1,hthan2^2*(1-PI()/4),IF(shp=2,2*cch*cchy,0))</f>
        <v>11.450619298297468</v>
      </c>
      <c r="G47" s="7" t="s">
        <v>120</v>
      </c>
    </row>
    <row r="48" spans="2:8" x14ac:dyDescent="0.3">
      <c r="B48" s="7" t="s">
        <v>136</v>
      </c>
      <c r="E48" s="10" t="s">
        <v>137</v>
      </c>
      <c r="F48" s="11">
        <v>1.73</v>
      </c>
      <c r="G48" s="7" t="s">
        <v>44</v>
      </c>
    </row>
    <row r="49" spans="2:8" x14ac:dyDescent="0.3">
      <c r="B49" s="7" t="s">
        <v>138</v>
      </c>
      <c r="E49" s="10" t="s">
        <v>139</v>
      </c>
      <c r="F49" s="11">
        <v>2.5</v>
      </c>
      <c r="G49" s="7" t="s">
        <v>44</v>
      </c>
    </row>
    <row r="50" spans="2:8" x14ac:dyDescent="0.3">
      <c r="B50" s="7" t="s">
        <v>140</v>
      </c>
      <c r="E50" s="10" t="s">
        <v>141</v>
      </c>
      <c r="F50" s="11">
        <v>23.55</v>
      </c>
      <c r="G50" s="7" t="s">
        <v>44</v>
      </c>
    </row>
    <row r="51" spans="2:8" x14ac:dyDescent="0.3">
      <c r="B51" s="7" t="s">
        <v>142</v>
      </c>
      <c r="E51" s="10" t="s">
        <v>143</v>
      </c>
      <c r="F51" s="17">
        <v>70</v>
      </c>
      <c r="G51" s="7" t="s">
        <v>144</v>
      </c>
      <c r="H51" s="12" t="s">
        <v>145</v>
      </c>
    </row>
    <row r="52" spans="2:8" x14ac:dyDescent="0.3">
      <c r="B52" s="7" t="s">
        <v>146</v>
      </c>
      <c r="E52" s="10" t="s">
        <v>147</v>
      </c>
      <c r="F52" s="15">
        <v>10</v>
      </c>
      <c r="G52" s="7" t="s">
        <v>148</v>
      </c>
      <c r="H52" s="12" t="s">
        <v>149</v>
      </c>
    </row>
    <row r="53" spans="2:8" x14ac:dyDescent="0.3">
      <c r="B53" s="7" t="s">
        <v>150</v>
      </c>
      <c r="E53" s="10" t="s">
        <v>151</v>
      </c>
      <c r="F53" s="11">
        <v>2.35</v>
      </c>
      <c r="G53" s="7" t="s">
        <v>44</v>
      </c>
    </row>
    <row r="54" spans="2:8" x14ac:dyDescent="0.3">
      <c r="B54" s="7" t="s">
        <v>152</v>
      </c>
      <c r="E54" s="10" t="s">
        <v>153</v>
      </c>
      <c r="F54" s="11">
        <v>6</v>
      </c>
      <c r="G54" s="7" t="s">
        <v>44</v>
      </c>
    </row>
    <row r="55" spans="2:8" x14ac:dyDescent="0.3">
      <c r="B55" s="7" t="s">
        <v>154</v>
      </c>
      <c r="E55" s="10" t="s">
        <v>155</v>
      </c>
      <c r="F55" s="11">
        <v>11.4</v>
      </c>
      <c r="G55" s="7" t="s">
        <v>44</v>
      </c>
    </row>
    <row r="56" spans="2:8" x14ac:dyDescent="0.3">
      <c r="B56" s="7" t="s">
        <v>156</v>
      </c>
      <c r="E56" s="10" t="s">
        <v>157</v>
      </c>
      <c r="F56" s="11">
        <v>2</v>
      </c>
      <c r="G56" s="7" t="s">
        <v>44</v>
      </c>
    </row>
    <row r="58" spans="2:8" x14ac:dyDescent="0.3">
      <c r="B58" s="5" t="s">
        <v>158</v>
      </c>
    </row>
    <row r="59" spans="2:8" x14ac:dyDescent="0.3">
      <c r="B59" s="7" t="s">
        <v>159</v>
      </c>
      <c r="E59" s="10" t="s">
        <v>159</v>
      </c>
      <c r="F59" s="17">
        <v>30</v>
      </c>
      <c r="G59" s="7" t="s">
        <v>160</v>
      </c>
    </row>
    <row r="60" spans="2:8" x14ac:dyDescent="0.3">
      <c r="B60" s="7" t="s">
        <v>161</v>
      </c>
      <c r="E60" s="10" t="s">
        <v>161</v>
      </c>
      <c r="F60" s="15">
        <v>400</v>
      </c>
      <c r="G60" s="7" t="s">
        <v>160</v>
      </c>
    </row>
    <row r="61" spans="2:8" x14ac:dyDescent="0.3">
      <c r="B61" s="7" t="s">
        <v>162</v>
      </c>
      <c r="E61" s="10" t="s">
        <v>162</v>
      </c>
      <c r="F61" s="15">
        <v>200000</v>
      </c>
      <c r="G61" s="7" t="s">
        <v>160</v>
      </c>
    </row>
    <row r="62" spans="2:8" x14ac:dyDescent="0.3">
      <c r="B62" s="7" t="s">
        <v>163</v>
      </c>
      <c r="E62" s="10" t="s">
        <v>164</v>
      </c>
      <c r="F62" s="17">
        <v>24.5</v>
      </c>
      <c r="G62" s="7" t="s">
        <v>165</v>
      </c>
    </row>
    <row r="63" spans="2:8" x14ac:dyDescent="0.3">
      <c r="B63" s="7" t="s">
        <v>166</v>
      </c>
      <c r="E63" s="10" t="s">
        <v>166</v>
      </c>
      <c r="F63" s="14">
        <f>0.0017*1*(gcbt*100)^2*fc_^0.33</f>
        <v>31349.535053009291</v>
      </c>
      <c r="G63" s="7" t="s">
        <v>160</v>
      </c>
      <c r="H63" s="12" t="s">
        <v>167</v>
      </c>
    </row>
    <row r="64" spans="2:8" x14ac:dyDescent="0.3">
      <c r="B64" s="7" t="s">
        <v>168</v>
      </c>
      <c r="E64" s="10" t="s">
        <v>168</v>
      </c>
      <c r="F64" s="16">
        <f>0.63*SQRT(fc_)</f>
        <v>3.4506521122825466</v>
      </c>
      <c r="G64" s="7" t="s">
        <v>160</v>
      </c>
    </row>
    <row r="66" spans="2:8" x14ac:dyDescent="0.3">
      <c r="B66" s="5" t="s">
        <v>169</v>
      </c>
    </row>
    <row r="67" spans="2:8" x14ac:dyDescent="0.3">
      <c r="B67" s="7" t="s">
        <v>170</v>
      </c>
      <c r="E67" s="10" t="s">
        <v>171</v>
      </c>
      <c r="F67" s="11">
        <v>0</v>
      </c>
      <c r="G67" s="7" t="s">
        <v>44</v>
      </c>
    </row>
    <row r="68" spans="2:8" x14ac:dyDescent="0.3">
      <c r="B68" s="7" t="s">
        <v>172</v>
      </c>
      <c r="E68" s="10" t="s">
        <v>173</v>
      </c>
      <c r="F68" s="11">
        <v>0</v>
      </c>
      <c r="G68" s="7" t="s">
        <v>44</v>
      </c>
    </row>
    <row r="69" spans="2:8" x14ac:dyDescent="0.3">
      <c r="B69" s="7" t="s">
        <v>174</v>
      </c>
      <c r="E69" s="10" t="s">
        <v>175</v>
      </c>
      <c r="F69" s="11">
        <v>0</v>
      </c>
      <c r="G69" s="7" t="s">
        <v>176</v>
      </c>
    </row>
    <row r="70" spans="2:8" x14ac:dyDescent="0.3">
      <c r="B70" s="7" t="s">
        <v>177</v>
      </c>
      <c r="E70" s="10" t="s">
        <v>178</v>
      </c>
      <c r="F70" s="11">
        <v>0.7</v>
      </c>
      <c r="G70" s="7" t="s">
        <v>98</v>
      </c>
      <c r="H70" s="12" t="s">
        <v>179</v>
      </c>
    </row>
    <row r="71" spans="2:8" x14ac:dyDescent="0.3">
      <c r="B71" s="7" t="s">
        <v>180</v>
      </c>
      <c r="E71" s="10" t="s">
        <v>181</v>
      </c>
      <c r="F71" s="11">
        <v>0</v>
      </c>
      <c r="G71" s="7" t="s">
        <v>98</v>
      </c>
      <c r="H71" s="12" t="s">
        <v>182</v>
      </c>
    </row>
    <row r="72" spans="2:8" x14ac:dyDescent="0.3">
      <c r="B72" s="7" t="s">
        <v>183</v>
      </c>
      <c r="E72" s="10" t="s">
        <v>184</v>
      </c>
      <c r="F72" s="17">
        <v>10</v>
      </c>
      <c r="G72" s="7" t="s">
        <v>165</v>
      </c>
    </row>
    <row r="74" spans="2:8" x14ac:dyDescent="0.3">
      <c r="B74" s="5" t="s">
        <v>185</v>
      </c>
    </row>
    <row r="75" spans="2:8" x14ac:dyDescent="0.3">
      <c r="B75" s="7" t="s">
        <v>186</v>
      </c>
      <c r="E75" s="10" t="s">
        <v>186</v>
      </c>
      <c r="F75" s="11">
        <v>0.33</v>
      </c>
      <c r="G75" s="7" t="s">
        <v>98</v>
      </c>
    </row>
    <row r="76" spans="2:8" x14ac:dyDescent="0.3">
      <c r="B76" s="7" t="s">
        <v>187</v>
      </c>
      <c r="E76" s="10" t="s">
        <v>188</v>
      </c>
      <c r="F76" s="11">
        <v>9.3000000000000007</v>
      </c>
      <c r="G76" s="7" t="s">
        <v>189</v>
      </c>
    </row>
    <row r="77" spans="2:8" x14ac:dyDescent="0.3">
      <c r="B77" s="7" t="s">
        <v>190</v>
      </c>
      <c r="E77" s="10" t="s">
        <v>191</v>
      </c>
      <c r="F77" s="17">
        <v>3</v>
      </c>
      <c r="G77" s="7" t="s">
        <v>192</v>
      </c>
    </row>
    <row r="78" spans="2:8" x14ac:dyDescent="0.3">
      <c r="B78" s="7" t="s">
        <v>193</v>
      </c>
      <c r="E78" s="10" t="s">
        <v>194</v>
      </c>
      <c r="F78" s="15">
        <v>80</v>
      </c>
      <c r="G78" s="7" t="s">
        <v>195</v>
      </c>
    </row>
    <row r="79" spans="2:8" x14ac:dyDescent="0.3">
      <c r="B79" s="7" t="s">
        <v>196</v>
      </c>
      <c r="E79" s="10" t="s">
        <v>197</v>
      </c>
      <c r="F79" s="15">
        <v>0</v>
      </c>
      <c r="G79" s="7" t="s">
        <v>44</v>
      </c>
    </row>
    <row r="80" spans="2:8" x14ac:dyDescent="0.3">
      <c r="B80" s="5" t="s">
        <v>198</v>
      </c>
    </row>
    <row r="81" spans="2:8" x14ac:dyDescent="0.3">
      <c r="B81" s="12" t="s">
        <v>199</v>
      </c>
    </row>
    <row r="82" spans="2:8" ht="27.6" x14ac:dyDescent="0.3">
      <c r="B82" s="18" t="s">
        <v>200</v>
      </c>
      <c r="C82" s="18" t="s">
        <v>201</v>
      </c>
    </row>
    <row r="83" spans="2:8" x14ac:dyDescent="0.3">
      <c r="B83" s="8" t="s">
        <v>202</v>
      </c>
      <c r="C83" s="8" t="s">
        <v>203</v>
      </c>
    </row>
    <row r="84" spans="2:8" x14ac:dyDescent="0.3">
      <c r="B84" s="8" t="s">
        <v>204</v>
      </c>
      <c r="C84" s="8" t="s">
        <v>205</v>
      </c>
    </row>
    <row r="85" spans="2:8" x14ac:dyDescent="0.3">
      <c r="B85" s="8" t="s">
        <v>206</v>
      </c>
      <c r="C85" s="8" t="s">
        <v>205</v>
      </c>
    </row>
    <row r="86" spans="2:8" x14ac:dyDescent="0.3">
      <c r="B86" s="8" t="s">
        <v>207</v>
      </c>
      <c r="C86" s="8" t="s">
        <v>208</v>
      </c>
    </row>
    <row r="87" spans="2:8" x14ac:dyDescent="0.3">
      <c r="B87" s="8" t="s">
        <v>209</v>
      </c>
      <c r="C87" s="8" t="s">
        <v>208</v>
      </c>
    </row>
    <row r="88" spans="2:8" x14ac:dyDescent="0.3">
      <c r="B88" s="12" t="s">
        <v>210</v>
      </c>
    </row>
    <row r="89" spans="2:8" x14ac:dyDescent="0.3">
      <c r="B89" s="5" t="s">
        <v>211</v>
      </c>
    </row>
    <row r="90" spans="2:8" ht="22.35" customHeight="1" x14ac:dyDescent="0.3">
      <c r="B90" s="143" t="s">
        <v>212</v>
      </c>
      <c r="C90" s="143"/>
      <c r="D90" s="143"/>
      <c r="E90" s="143"/>
      <c r="F90" s="143"/>
      <c r="G90" s="143"/>
      <c r="H90" s="143"/>
    </row>
    <row r="94" spans="2:8" x14ac:dyDescent="0.3">
      <c r="B94" s="12" t="s">
        <v>213</v>
      </c>
    </row>
    <row r="95" spans="2:8" x14ac:dyDescent="0.3">
      <c r="B95" s="5" t="s">
        <v>214</v>
      </c>
    </row>
    <row r="96" spans="2:8" x14ac:dyDescent="0.3">
      <c r="B96" s="7" t="s">
        <v>215</v>
      </c>
      <c r="E96" s="10" t="s">
        <v>216</v>
      </c>
      <c r="F96" s="15">
        <v>1</v>
      </c>
      <c r="G96" s="7" t="s">
        <v>98</v>
      </c>
      <c r="H96" s="12" t="s">
        <v>217</v>
      </c>
    </row>
    <row r="97" spans="2:8" x14ac:dyDescent="0.3">
      <c r="B97" s="7" t="s">
        <v>218</v>
      </c>
      <c r="E97" s="10" t="s">
        <v>219</v>
      </c>
      <c r="F97" s="11">
        <v>7.0000000000000007E-2</v>
      </c>
      <c r="G97" s="7" t="s">
        <v>98</v>
      </c>
      <c r="H97" s="12" t="s">
        <v>220</v>
      </c>
    </row>
    <row r="98" spans="2:8" x14ac:dyDescent="0.3">
      <c r="B98" s="12" t="s">
        <v>221</v>
      </c>
    </row>
    <row r="99" spans="2:8" x14ac:dyDescent="0.3">
      <c r="B99" s="7" t="s">
        <v>222</v>
      </c>
      <c r="E99" s="10" t="s">
        <v>223</v>
      </c>
      <c r="F99" s="15">
        <v>2</v>
      </c>
      <c r="G99" s="7" t="s">
        <v>98</v>
      </c>
    </row>
    <row r="100" spans="2:8" x14ac:dyDescent="0.3">
      <c r="B100" s="7" t="s">
        <v>224</v>
      </c>
      <c r="E100" s="10" t="s">
        <v>225</v>
      </c>
      <c r="F100" s="15">
        <v>90000</v>
      </c>
      <c r="G100" s="7" t="s">
        <v>226</v>
      </c>
      <c r="H100" s="12" t="s">
        <v>227</v>
      </c>
    </row>
    <row r="102" spans="2:8" ht="27.6" x14ac:dyDescent="0.3">
      <c r="E102" s="18" t="s">
        <v>228</v>
      </c>
      <c r="F102" s="18" t="s">
        <v>229</v>
      </c>
      <c r="G102" s="18" t="s">
        <v>230</v>
      </c>
      <c r="H102" s="18" t="s">
        <v>231</v>
      </c>
    </row>
    <row r="103" spans="2:8" x14ac:dyDescent="0.3">
      <c r="E103" s="7" t="s">
        <v>232</v>
      </c>
      <c r="F103" s="11">
        <v>3.5</v>
      </c>
      <c r="G103" s="11">
        <v>14</v>
      </c>
      <c r="H103" s="11">
        <v>35</v>
      </c>
    </row>
    <row r="104" spans="2:8" x14ac:dyDescent="0.3">
      <c r="E104" s="7" t="s">
        <v>233</v>
      </c>
      <c r="F104" s="20">
        <v>0.04</v>
      </c>
      <c r="G104" s="20">
        <v>0.03</v>
      </c>
      <c r="H104" s="20">
        <v>0.03</v>
      </c>
    </row>
    <row r="105" spans="2:8" x14ac:dyDescent="0.3">
      <c r="E105" s="7" t="s">
        <v>234</v>
      </c>
      <c r="F105" s="20">
        <v>0.2</v>
      </c>
      <c r="G105" s="20">
        <v>0.1</v>
      </c>
      <c r="H105" s="20">
        <v>0.06</v>
      </c>
    </row>
    <row r="106" spans="2:8" x14ac:dyDescent="0.3">
      <c r="E106" s="7" t="s">
        <v>235</v>
      </c>
      <c r="F106" s="20">
        <v>0.24</v>
      </c>
      <c r="G106" s="20">
        <v>0.12</v>
      </c>
      <c r="H106" s="20">
        <v>0.09</v>
      </c>
    </row>
    <row r="107" spans="2:8" x14ac:dyDescent="0.3">
      <c r="E107" s="7" t="s">
        <v>236</v>
      </c>
      <c r="F107" s="20">
        <v>0.08</v>
      </c>
      <c r="G107" s="20">
        <v>0.05</v>
      </c>
      <c r="H107" s="20">
        <v>0.03</v>
      </c>
    </row>
    <row r="108" spans="2:8" x14ac:dyDescent="0.3">
      <c r="B108" s="7" t="s">
        <v>237</v>
      </c>
      <c r="F108" s="16">
        <f>INDEX($F$104:$F$107,ptfetype)</f>
        <v>0.2</v>
      </c>
      <c r="G108" s="16">
        <f>INDEX($G$104:$G$107,ptfetype)</f>
        <v>0.1</v>
      </c>
      <c r="H108" s="16">
        <f>INDEX($H$104:$H$107,ptfetype)</f>
        <v>0.06</v>
      </c>
    </row>
    <row r="111" spans="2:8" x14ac:dyDescent="0.3">
      <c r="B111" s="7" t="s">
        <v>238</v>
      </c>
      <c r="E111" s="10" t="s">
        <v>239</v>
      </c>
      <c r="F111" s="21">
        <f>Hcot+hxm+hgoi+dkcn-1.1+1.8</f>
        <v>14.030000000000003</v>
      </c>
      <c r="G111" s="7" t="s">
        <v>44</v>
      </c>
      <c r="H111" s="12" t="s">
        <v>240</v>
      </c>
    </row>
    <row r="113" spans="2:15" ht="18.45" customHeight="1" x14ac:dyDescent="0.3">
      <c r="B113" s="5" t="s">
        <v>241</v>
      </c>
      <c r="I113" s="141" t="s">
        <v>1443</v>
      </c>
      <c r="J113" s="141"/>
      <c r="K113" s="141"/>
      <c r="L113" s="141"/>
      <c r="M113" s="141"/>
      <c r="N113" s="141"/>
      <c r="O113" s="141"/>
    </row>
    <row r="114" spans="2:15" x14ac:dyDescent="0.3">
      <c r="B114" s="7" t="s">
        <v>242</v>
      </c>
      <c r="E114" s="10" t="s">
        <v>243</v>
      </c>
      <c r="F114" s="8" t="s">
        <v>244</v>
      </c>
      <c r="G114" s="7" t="s">
        <v>98</v>
      </c>
      <c r="I114" s="42" t="s">
        <v>1444</v>
      </c>
      <c r="J114" s="42"/>
      <c r="K114" s="53">
        <v>15</v>
      </c>
      <c r="L114" s="42"/>
      <c r="M114" s="42"/>
      <c r="N114" s="42"/>
      <c r="O114" s="42"/>
    </row>
    <row r="115" spans="2:15" x14ac:dyDescent="0.3">
      <c r="B115" s="7" t="s">
        <v>245</v>
      </c>
      <c r="E115" s="10" t="s">
        <v>245</v>
      </c>
      <c r="F115" s="14">
        <f>IF(vgzone="I",38,IF(vgzone="II",45,IF(vgzone="III",53,59)))</f>
        <v>45</v>
      </c>
      <c r="G115" s="7" t="s">
        <v>176</v>
      </c>
      <c r="H115" t="s">
        <v>1445</v>
      </c>
      <c r="I115" s="42" t="s">
        <v>1446</v>
      </c>
      <c r="J115" s="42"/>
      <c r="K115" s="53">
        <v>1</v>
      </c>
      <c r="L115" s="42">
        <v>10</v>
      </c>
      <c r="M115" s="42">
        <v>1.0900000000000001</v>
      </c>
      <c r="N115" s="42">
        <v>1</v>
      </c>
      <c r="O115" s="42">
        <v>0.81</v>
      </c>
    </row>
    <row r="116" spans="2:15" x14ac:dyDescent="0.3">
      <c r="B116" s="7" t="s">
        <v>246</v>
      </c>
      <c r="E116" s="10" t="s">
        <v>247</v>
      </c>
      <c r="F116" s="20">
        <f>K118</f>
        <v>1.115</v>
      </c>
      <c r="G116" s="7" t="s">
        <v>98</v>
      </c>
      <c r="H116" s="12" t="s">
        <v>1447</v>
      </c>
      <c r="I116" s="42" t="s">
        <v>1448</v>
      </c>
      <c r="J116" s="42"/>
      <c r="K116" s="54">
        <f>IF(K114&lt;=10,INDEX($M$115:$O$119,1,K115),IF(K114&gt;=50,INDEX($M$115:$O$119,5,K115),INDEX($M$115:$O$119,MATCH(K114,$L$115:$L$119,1),K115)+(K114-INDEX($L$115:$L$119,MATCH(K114,$L$115:$L$119,1)))*(INDEX($M$115:$O$119,MATCH(K114,$L$115:$L$119,1)+1,K115)-INDEX($M$115:$O$119,MATCH(K114,$L$115:$L$119,1),K115))/(INDEX($L$115:$L$119,MATCH(K114,$L$115:$L$119,1)+1)-INDEX($L$115:$L$119,MATCH(K114,$L$115:$L$119,1)))))</f>
        <v>1.115</v>
      </c>
      <c r="L116" s="42">
        <v>20</v>
      </c>
      <c r="M116" s="42">
        <v>1.1399999999999999</v>
      </c>
      <c r="N116" s="42">
        <v>1.06</v>
      </c>
      <c r="O116" s="42">
        <v>0.89</v>
      </c>
    </row>
    <row r="117" spans="2:15" x14ac:dyDescent="0.3">
      <c r="B117" s="7" t="s">
        <v>248</v>
      </c>
      <c r="E117" s="10" t="s">
        <v>249</v>
      </c>
      <c r="F117" s="13">
        <f>VB_*Sgio</f>
        <v>50.174999999999997</v>
      </c>
      <c r="G117" s="7" t="s">
        <v>176</v>
      </c>
      <c r="I117" s="42" t="s">
        <v>1449</v>
      </c>
      <c r="J117" s="42"/>
      <c r="K117" s="54">
        <v>0</v>
      </c>
      <c r="L117" s="42">
        <v>30</v>
      </c>
      <c r="M117" s="42">
        <v>1.17</v>
      </c>
      <c r="N117" s="42">
        <v>1.1000000000000001</v>
      </c>
      <c r="O117" s="42">
        <v>0.94</v>
      </c>
    </row>
    <row r="118" spans="2:15" x14ac:dyDescent="0.3">
      <c r="B118" s="7" t="s">
        <v>250</v>
      </c>
      <c r="E118" s="10" t="s">
        <v>251</v>
      </c>
      <c r="F118" s="11">
        <v>1.25</v>
      </c>
      <c r="G118" s="7" t="s">
        <v>98</v>
      </c>
      <c r="I118" s="42" t="s">
        <v>1450</v>
      </c>
      <c r="J118" s="42"/>
      <c r="K118" s="54">
        <f>IF(K117&gt;0,K117,K116)</f>
        <v>1.115</v>
      </c>
      <c r="L118" s="42">
        <v>40</v>
      </c>
      <c r="M118" s="42">
        <v>1.2</v>
      </c>
      <c r="N118" s="42">
        <v>1.1299999999999999</v>
      </c>
      <c r="O118" s="42">
        <v>0.98</v>
      </c>
    </row>
    <row r="119" spans="2:15" x14ac:dyDescent="0.3">
      <c r="B119" s="7" t="s">
        <v>252</v>
      </c>
      <c r="E119" s="10" t="s">
        <v>253</v>
      </c>
      <c r="F119" s="11">
        <v>0.8</v>
      </c>
      <c r="G119" s="7" t="s">
        <v>98</v>
      </c>
      <c r="L119">
        <v>50</v>
      </c>
      <c r="M119">
        <v>1.21</v>
      </c>
      <c r="N119">
        <v>1.1599999999999999</v>
      </c>
      <c r="O119">
        <v>1.01</v>
      </c>
    </row>
    <row r="120" spans="2:15" ht="24" customHeight="1" x14ac:dyDescent="0.3">
      <c r="I120" s="142" t="s">
        <v>1451</v>
      </c>
      <c r="J120" s="142"/>
      <c r="K120" s="142"/>
      <c r="L120" s="142"/>
      <c r="M120" s="142"/>
      <c r="N120" s="142"/>
      <c r="O120" s="142"/>
    </row>
    <row r="121" spans="2:15" ht="24" customHeight="1" x14ac:dyDescent="0.3">
      <c r="B121" s="5" t="s">
        <v>254</v>
      </c>
      <c r="I121" s="142"/>
      <c r="J121" s="142"/>
      <c r="K121" s="142"/>
      <c r="L121" s="142"/>
      <c r="M121" s="142"/>
      <c r="N121" s="142"/>
      <c r="O121" s="142"/>
    </row>
    <row r="122" spans="2:15" x14ac:dyDescent="0.3">
      <c r="B122" s="7" t="s">
        <v>255</v>
      </c>
      <c r="E122" s="10" t="s">
        <v>256</v>
      </c>
      <c r="F122" s="22">
        <v>0.1108</v>
      </c>
      <c r="G122" s="7" t="s">
        <v>98</v>
      </c>
    </row>
    <row r="123" spans="2:15" x14ac:dyDescent="0.3">
      <c r="B123" s="7" t="s">
        <v>257</v>
      </c>
      <c r="E123" s="10" t="s">
        <v>258</v>
      </c>
      <c r="F123" s="8" t="s">
        <v>244</v>
      </c>
      <c r="G123" s="7" t="s">
        <v>98</v>
      </c>
    </row>
    <row r="124" spans="2:15" x14ac:dyDescent="0.3">
      <c r="B124" s="7" t="s">
        <v>247</v>
      </c>
      <c r="E124" s="10" t="s">
        <v>259</v>
      </c>
      <c r="F124" s="23">
        <f>IF(soildd="I",1,IF(soildd="II",1.2,IF(soildd="III",1.5,2)))</f>
        <v>1.2</v>
      </c>
      <c r="G124" s="7" t="s">
        <v>98</v>
      </c>
    </row>
    <row r="125" spans="2:15" x14ac:dyDescent="0.3">
      <c r="B125" s="7" t="s">
        <v>260</v>
      </c>
      <c r="E125" s="10" t="s">
        <v>197</v>
      </c>
      <c r="F125" s="17">
        <v>3</v>
      </c>
      <c r="G125" s="7" t="s">
        <v>98</v>
      </c>
    </row>
    <row r="126" spans="2:15" x14ac:dyDescent="0.3">
      <c r="B126" s="7" t="s">
        <v>261</v>
      </c>
      <c r="E126" s="10" t="s">
        <v>262</v>
      </c>
      <c r="F126" s="17">
        <v>1</v>
      </c>
      <c r="G126" s="7" t="s">
        <v>98</v>
      </c>
    </row>
    <row r="128" spans="2:15" x14ac:dyDescent="0.3">
      <c r="B128" s="5" t="s">
        <v>263</v>
      </c>
    </row>
    <row r="129" spans="2:8" x14ac:dyDescent="0.3">
      <c r="B129" s="7" t="s">
        <v>264</v>
      </c>
      <c r="E129" s="10" t="s">
        <v>265</v>
      </c>
      <c r="F129" s="15">
        <v>1</v>
      </c>
      <c r="G129" s="7" t="s">
        <v>98</v>
      </c>
      <c r="H129" s="12" t="s">
        <v>266</v>
      </c>
    </row>
    <row r="130" spans="2:8" x14ac:dyDescent="0.3">
      <c r="B130" s="7" t="s">
        <v>267</v>
      </c>
      <c r="E130" s="10" t="s">
        <v>268</v>
      </c>
      <c r="F130" s="14">
        <f>1800*CTon</f>
        <v>1800</v>
      </c>
      <c r="G130" s="7" t="s">
        <v>72</v>
      </c>
      <c r="H130" s="12" t="s">
        <v>269</v>
      </c>
    </row>
    <row r="131" spans="2:8" x14ac:dyDescent="0.3">
      <c r="B131" s="7" t="s">
        <v>270</v>
      </c>
      <c r="E131" s="10" t="s">
        <v>271</v>
      </c>
      <c r="F131" s="21">
        <f>Hbe+1.2</f>
        <v>3.2</v>
      </c>
      <c r="G131" s="7" t="s">
        <v>44</v>
      </c>
    </row>
    <row r="132" spans="2:8" x14ac:dyDescent="0.3">
      <c r="B132" s="7" t="s">
        <v>272</v>
      </c>
      <c r="E132" s="10" t="s">
        <v>273</v>
      </c>
      <c r="F132" s="15">
        <v>0</v>
      </c>
      <c r="G132" s="7" t="s">
        <v>72</v>
      </c>
      <c r="H132" s="12" t="s">
        <v>274</v>
      </c>
    </row>
    <row r="133" spans="2:8" x14ac:dyDescent="0.3">
      <c r="B133" s="7" t="s">
        <v>275</v>
      </c>
      <c r="E133" s="10" t="s">
        <v>276</v>
      </c>
      <c r="F133" s="11">
        <v>0</v>
      </c>
      <c r="G133" s="7" t="s">
        <v>44</v>
      </c>
      <c r="H133" s="12" t="s">
        <v>277</v>
      </c>
    </row>
    <row r="135" spans="2:8" x14ac:dyDescent="0.3">
      <c r="B135" s="5" t="s">
        <v>278</v>
      </c>
    </row>
    <row r="136" spans="2:8" x14ac:dyDescent="0.3">
      <c r="B136" s="7" t="s">
        <v>279</v>
      </c>
      <c r="E136" s="10" t="s">
        <v>280</v>
      </c>
      <c r="F136" s="11">
        <v>1.2</v>
      </c>
      <c r="G136" s="7" t="s">
        <v>44</v>
      </c>
    </row>
    <row r="137" spans="2:8" x14ac:dyDescent="0.3">
      <c r="B137" s="7" t="s">
        <v>281</v>
      </c>
      <c r="E137" s="10" t="s">
        <v>282</v>
      </c>
      <c r="F137" s="15">
        <v>2</v>
      </c>
      <c r="G137" s="7" t="s">
        <v>283</v>
      </c>
    </row>
    <row r="138" spans="2:8" ht="27.6" x14ac:dyDescent="0.3">
      <c r="B138" s="18" t="s">
        <v>284</v>
      </c>
      <c r="C138" s="18" t="s">
        <v>285</v>
      </c>
      <c r="D138" s="18" t="s">
        <v>286</v>
      </c>
      <c r="E138" s="18" t="s">
        <v>287</v>
      </c>
    </row>
    <row r="139" spans="2:8" x14ac:dyDescent="0.3">
      <c r="B139" s="24">
        <v>1</v>
      </c>
      <c r="C139" s="11">
        <v>-1.8</v>
      </c>
      <c r="D139" s="15">
        <v>4</v>
      </c>
      <c r="E139" s="11">
        <v>3.2</v>
      </c>
    </row>
    <row r="140" spans="2:8" x14ac:dyDescent="0.3">
      <c r="B140" s="24">
        <v>2</v>
      </c>
      <c r="C140" s="11">
        <v>1.8</v>
      </c>
      <c r="D140" s="15">
        <v>4</v>
      </c>
      <c r="E140" s="11">
        <v>3.2</v>
      </c>
    </row>
    <row r="141" spans="2:8" x14ac:dyDescent="0.3">
      <c r="B141" s="24">
        <v>3</v>
      </c>
      <c r="C141" s="11">
        <v>0</v>
      </c>
      <c r="D141" s="15">
        <v>0</v>
      </c>
      <c r="E141" s="11">
        <v>0</v>
      </c>
    </row>
    <row r="142" spans="2:8" x14ac:dyDescent="0.3">
      <c r="B142" s="24">
        <v>4</v>
      </c>
      <c r="C142" s="11">
        <v>0</v>
      </c>
      <c r="D142" s="15">
        <v>0</v>
      </c>
      <c r="E142" s="11">
        <v>0</v>
      </c>
    </row>
    <row r="143" spans="2:8" x14ac:dyDescent="0.3">
      <c r="B143" s="7" t="s">
        <v>288</v>
      </c>
      <c r="C143" s="25">
        <f>SUM(D139:D142)</f>
        <v>8</v>
      </c>
    </row>
    <row r="144" spans="2:8" x14ac:dyDescent="0.3">
      <c r="B144" s="7" t="s">
        <v>289</v>
      </c>
      <c r="F144" s="17">
        <v>0</v>
      </c>
      <c r="G144" s="7" t="s">
        <v>72</v>
      </c>
      <c r="H144" s="12" t="s">
        <v>290</v>
      </c>
    </row>
    <row r="146" spans="2:8" x14ac:dyDescent="0.3">
      <c r="B146" s="5" t="s">
        <v>291</v>
      </c>
    </row>
    <row r="147" spans="2:8" x14ac:dyDescent="0.3">
      <c r="B147" s="12" t="s">
        <v>292</v>
      </c>
    </row>
    <row r="148" spans="2:8" x14ac:dyDescent="0.3">
      <c r="B148" s="7" t="s">
        <v>293</v>
      </c>
      <c r="E148" s="10" t="s">
        <v>294</v>
      </c>
      <c r="F148" s="15">
        <v>10</v>
      </c>
      <c r="G148" s="7" t="s">
        <v>295</v>
      </c>
    </row>
    <row r="149" spans="2:8" x14ac:dyDescent="0.3">
      <c r="B149" s="7" t="s">
        <v>296</v>
      </c>
      <c r="E149" s="10" t="s">
        <v>297</v>
      </c>
      <c r="F149" s="11">
        <v>2.4</v>
      </c>
      <c r="G149" s="7" t="s">
        <v>44</v>
      </c>
    </row>
    <row r="150" spans="2:8" x14ac:dyDescent="0.3">
      <c r="B150" s="7" t="s">
        <v>298</v>
      </c>
      <c r="E150" s="10" t="s">
        <v>299</v>
      </c>
      <c r="F150" s="20">
        <v>0.2</v>
      </c>
      <c r="G150" s="7" t="s">
        <v>44</v>
      </c>
    </row>
    <row r="151" spans="2:8" x14ac:dyDescent="0.3">
      <c r="B151" s="7" t="s">
        <v>300</v>
      </c>
      <c r="E151" s="10" t="s">
        <v>301</v>
      </c>
      <c r="F151" s="11">
        <v>1.75</v>
      </c>
      <c r="G151" s="7" t="s">
        <v>44</v>
      </c>
    </row>
    <row r="152" spans="2:8" x14ac:dyDescent="0.3">
      <c r="B152" s="5" t="s">
        <v>302</v>
      </c>
    </row>
    <row r="153" spans="2:8" x14ac:dyDescent="0.3">
      <c r="B153" s="7" t="s">
        <v>303</v>
      </c>
      <c r="E153" s="10" t="s">
        <v>304</v>
      </c>
      <c r="F153" s="17">
        <v>10.8</v>
      </c>
      <c r="G153" s="7" t="s">
        <v>305</v>
      </c>
      <c r="H153" s="12" t="s">
        <v>306</v>
      </c>
    </row>
    <row r="154" spans="2:8" x14ac:dyDescent="0.3">
      <c r="B154" s="7" t="s">
        <v>307</v>
      </c>
      <c r="E154" s="10" t="s">
        <v>308</v>
      </c>
      <c r="F154" s="15">
        <v>47</v>
      </c>
      <c r="G154" s="7" t="s">
        <v>309</v>
      </c>
      <c r="H154" s="12" t="s">
        <v>310</v>
      </c>
    </row>
    <row r="155" spans="2:8" x14ac:dyDescent="0.3">
      <c r="B155" s="7" t="s">
        <v>311</v>
      </c>
      <c r="E155" s="10" t="s">
        <v>312</v>
      </c>
      <c r="F155" s="15">
        <v>5</v>
      </c>
      <c r="G155" s="7" t="s">
        <v>309</v>
      </c>
    </row>
    <row r="156" spans="2:8" x14ac:dyDescent="0.3">
      <c r="B156" s="7" t="s">
        <v>313</v>
      </c>
      <c r="E156" s="10" t="s">
        <v>314</v>
      </c>
      <c r="F156" s="15">
        <v>25</v>
      </c>
      <c r="G156" s="7" t="s">
        <v>309</v>
      </c>
      <c r="H156" s="12" t="s">
        <v>315</v>
      </c>
    </row>
    <row r="161" spans="2:8" x14ac:dyDescent="0.3">
      <c r="B161" s="5" t="s">
        <v>316</v>
      </c>
    </row>
    <row r="162" spans="2:8" x14ac:dyDescent="0.3">
      <c r="B162" s="7" t="s">
        <v>317</v>
      </c>
      <c r="E162" s="10" t="s">
        <v>318</v>
      </c>
      <c r="F162" s="15">
        <v>2</v>
      </c>
      <c r="G162" s="7" t="s">
        <v>98</v>
      </c>
      <c r="H162" s="12" t="s">
        <v>319</v>
      </c>
    </row>
    <row r="163" spans="2:8" x14ac:dyDescent="0.3">
      <c r="B163" s="12" t="s">
        <v>320</v>
      </c>
    </row>
    <row r="164" spans="2:8" x14ac:dyDescent="0.3">
      <c r="B164" s="7" t="s">
        <v>321</v>
      </c>
      <c r="E164" s="10" t="s">
        <v>322</v>
      </c>
      <c r="F164" s="17">
        <v>0</v>
      </c>
      <c r="G164" s="7" t="s">
        <v>323</v>
      </c>
      <c r="H164" s="12" t="s">
        <v>324</v>
      </c>
    </row>
    <row r="165" spans="2:8" x14ac:dyDescent="0.3">
      <c r="B165" s="7" t="s">
        <v>325</v>
      </c>
      <c r="E165" s="10" t="s">
        <v>326</v>
      </c>
      <c r="F165" s="17">
        <v>0</v>
      </c>
      <c r="G165" s="7" t="s">
        <v>323</v>
      </c>
      <c r="H165" s="12" t="s">
        <v>327</v>
      </c>
    </row>
    <row r="166" spans="2:8" x14ac:dyDescent="0.3">
      <c r="B166" s="7" t="s">
        <v>328</v>
      </c>
      <c r="E166" s="10" t="s">
        <v>329</v>
      </c>
      <c r="F166" s="15">
        <v>50</v>
      </c>
      <c r="G166" s="7" t="s">
        <v>330</v>
      </c>
      <c r="H166" s="12" t="s">
        <v>331</v>
      </c>
    </row>
    <row r="167" spans="2:8" x14ac:dyDescent="0.3">
      <c r="B167" s="7" t="s">
        <v>332</v>
      </c>
      <c r="E167" s="10" t="s">
        <v>333</v>
      </c>
      <c r="F167" s="15">
        <v>80</v>
      </c>
      <c r="G167" s="7" t="s">
        <v>330</v>
      </c>
      <c r="H167" s="12" t="s">
        <v>334</v>
      </c>
    </row>
    <row r="169" spans="2:8" x14ac:dyDescent="0.3">
      <c r="B169" s="5" t="s">
        <v>335</v>
      </c>
    </row>
    <row r="170" spans="2:8" x14ac:dyDescent="0.3">
      <c r="B170" s="7" t="s">
        <v>336</v>
      </c>
      <c r="E170" s="10" t="s">
        <v>337</v>
      </c>
      <c r="F170" s="11">
        <v>1</v>
      </c>
      <c r="G170" s="7" t="s">
        <v>160</v>
      </c>
    </row>
    <row r="171" spans="2:8" x14ac:dyDescent="0.3">
      <c r="B171" s="7" t="s">
        <v>338</v>
      </c>
      <c r="E171" s="10" t="s">
        <v>256</v>
      </c>
      <c r="F171" s="20">
        <v>0.3</v>
      </c>
      <c r="G171" s="7" t="s">
        <v>120</v>
      </c>
    </row>
    <row r="172" spans="2:8" x14ac:dyDescent="0.3">
      <c r="B172" s="7" t="s">
        <v>339</v>
      </c>
      <c r="E172" s="10" t="s">
        <v>340</v>
      </c>
      <c r="F172" s="20">
        <v>4.8000000000000001E-2</v>
      </c>
      <c r="G172" s="7" t="s">
        <v>44</v>
      </c>
    </row>
    <row r="176" spans="2:8" x14ac:dyDescent="0.3">
      <c r="B176" s="7" t="s">
        <v>341</v>
      </c>
      <c r="E176" s="10" t="s">
        <v>342</v>
      </c>
      <c r="F176" s="15">
        <v>1</v>
      </c>
      <c r="G176" s="7" t="s">
        <v>98</v>
      </c>
      <c r="H176" s="12" t="s">
        <v>343</v>
      </c>
    </row>
    <row r="177" spans="2:10" x14ac:dyDescent="0.3">
      <c r="B177" s="7" t="s">
        <v>344</v>
      </c>
      <c r="E177" s="10" t="s">
        <v>345</v>
      </c>
      <c r="F177" s="15">
        <v>1</v>
      </c>
      <c r="G177" s="7" t="s">
        <v>98</v>
      </c>
      <c r="H177" s="12" t="s">
        <v>346</v>
      </c>
    </row>
    <row r="181" spans="2:10" x14ac:dyDescent="0.3">
      <c r="B181" s="5" t="s">
        <v>347</v>
      </c>
    </row>
    <row r="182" spans="2:10" x14ac:dyDescent="0.3">
      <c r="B182" s="12" t="s">
        <v>348</v>
      </c>
    </row>
    <row r="183" spans="2:10" ht="41.4" x14ac:dyDescent="0.3">
      <c r="B183" s="18" t="s">
        <v>349</v>
      </c>
      <c r="C183" s="18" t="s">
        <v>350</v>
      </c>
      <c r="D183" s="18" t="s">
        <v>351</v>
      </c>
      <c r="E183" s="18" t="s">
        <v>352</v>
      </c>
      <c r="F183" s="18" t="s">
        <v>353</v>
      </c>
      <c r="G183" s="18" t="s">
        <v>354</v>
      </c>
      <c r="H183" s="18" t="s">
        <v>355</v>
      </c>
      <c r="I183" s="55" t="s">
        <v>1452</v>
      </c>
      <c r="J183" s="55" t="s">
        <v>1453</v>
      </c>
    </row>
    <row r="184" spans="2:10" ht="41.4" x14ac:dyDescent="0.3">
      <c r="B184" s="8" t="s">
        <v>356</v>
      </c>
      <c r="C184" s="11">
        <v>0</v>
      </c>
      <c r="D184" s="8"/>
      <c r="E184" s="8" t="s">
        <v>204</v>
      </c>
      <c r="F184" s="19" t="str">
        <f t="shared" ref="F184:F192" si="0">IF(D184="","—",IFERROR(VLOOKUP(D184,goiClassTbl,2,0),"?"))</f>
        <v>—</v>
      </c>
      <c r="G184" s="19" t="str">
        <f t="shared" ref="G184:G192" si="1">IF(E184="","—",IFERROR(VLOOKUP(E184,goiClassTbl,2,0),"?"))</f>
        <v>SLIDE</v>
      </c>
      <c r="H184" s="13">
        <f>SUM(C184:C184)</f>
        <v>0</v>
      </c>
      <c r="I184" s="59">
        <v>0</v>
      </c>
      <c r="J184" s="59">
        <v>0</v>
      </c>
    </row>
    <row r="185" spans="2:10" ht="96.6" x14ac:dyDescent="0.3">
      <c r="B185" s="8" t="s">
        <v>38</v>
      </c>
      <c r="C185" s="11">
        <v>38.200000000000003</v>
      </c>
      <c r="D185" s="8" t="s">
        <v>207</v>
      </c>
      <c r="E185" s="8" t="s">
        <v>204</v>
      </c>
      <c r="F185" s="19" t="str">
        <f t="shared" si="0"/>
        <v>FIXED</v>
      </c>
      <c r="G185" s="19" t="str">
        <f t="shared" si="1"/>
        <v>SLIDE</v>
      </c>
      <c r="H185" s="13">
        <f>SUM(C184:C185)</f>
        <v>38.200000000000003</v>
      </c>
      <c r="I185" s="59">
        <v>0</v>
      </c>
      <c r="J185" s="59">
        <v>0</v>
      </c>
    </row>
    <row r="186" spans="2:10" ht="96.6" x14ac:dyDescent="0.3">
      <c r="B186" s="8" t="s">
        <v>357</v>
      </c>
      <c r="C186" s="11">
        <v>38.200000000000003</v>
      </c>
      <c r="D186" s="8" t="s">
        <v>207</v>
      </c>
      <c r="E186" s="8" t="s">
        <v>207</v>
      </c>
      <c r="F186" s="19" t="str">
        <f t="shared" si="0"/>
        <v>FIXED</v>
      </c>
      <c r="G186" s="19" t="str">
        <f t="shared" si="1"/>
        <v>FIXED</v>
      </c>
      <c r="H186" s="13">
        <f>SUM(C184:C186)</f>
        <v>76.400000000000006</v>
      </c>
      <c r="I186" s="59">
        <v>0</v>
      </c>
      <c r="J186" s="59">
        <v>0</v>
      </c>
    </row>
    <row r="187" spans="2:10" ht="82.8" x14ac:dyDescent="0.3">
      <c r="B187" s="8" t="s">
        <v>358</v>
      </c>
      <c r="C187" s="11">
        <v>38.200000000000003</v>
      </c>
      <c r="D187" s="8" t="s">
        <v>204</v>
      </c>
      <c r="E187" s="8" t="s">
        <v>207</v>
      </c>
      <c r="F187" s="19" t="str">
        <f t="shared" si="0"/>
        <v>SLIDE</v>
      </c>
      <c r="G187" s="19" t="str">
        <f t="shared" si="1"/>
        <v>FIXED</v>
      </c>
      <c r="H187" s="13">
        <f>SUM(C184:C187)</f>
        <v>114.60000000000001</v>
      </c>
      <c r="I187" s="59">
        <v>0</v>
      </c>
      <c r="J187" s="59">
        <v>0</v>
      </c>
    </row>
    <row r="188" spans="2:10" ht="82.8" x14ac:dyDescent="0.3">
      <c r="B188" s="8" t="s">
        <v>359</v>
      </c>
      <c r="C188" s="11">
        <v>38.200000000000003</v>
      </c>
      <c r="D188" s="8" t="s">
        <v>204</v>
      </c>
      <c r="E188" s="8"/>
      <c r="F188" s="19" t="str">
        <f t="shared" si="0"/>
        <v>SLIDE</v>
      </c>
      <c r="G188" s="19" t="str">
        <f t="shared" si="1"/>
        <v>—</v>
      </c>
      <c r="H188" s="13">
        <f>SUM(C184:C188)</f>
        <v>152.80000000000001</v>
      </c>
      <c r="I188" s="59">
        <v>0</v>
      </c>
      <c r="J188" s="59">
        <v>0</v>
      </c>
    </row>
    <row r="189" spans="2:10" x14ac:dyDescent="0.3">
      <c r="B189" s="8"/>
      <c r="C189" s="11">
        <v>0</v>
      </c>
      <c r="D189" s="8"/>
      <c r="E189" s="8"/>
      <c r="F189" s="19" t="str">
        <f t="shared" si="0"/>
        <v>—</v>
      </c>
      <c r="G189" s="19" t="str">
        <f t="shared" si="1"/>
        <v>—</v>
      </c>
      <c r="H189" s="13">
        <f>SUM(C184:C189)</f>
        <v>152.80000000000001</v>
      </c>
      <c r="I189" s="59">
        <v>0</v>
      </c>
      <c r="J189" s="59">
        <v>0</v>
      </c>
    </row>
    <row r="190" spans="2:10" x14ac:dyDescent="0.3">
      <c r="B190" s="8"/>
      <c r="C190" s="11">
        <v>0</v>
      </c>
      <c r="D190" s="8"/>
      <c r="E190" s="8"/>
      <c r="F190" s="19" t="str">
        <f t="shared" si="0"/>
        <v>—</v>
      </c>
      <c r="G190" s="19" t="str">
        <f t="shared" si="1"/>
        <v>—</v>
      </c>
      <c r="H190" s="13">
        <f>SUM(C184:C190)</f>
        <v>152.80000000000001</v>
      </c>
      <c r="I190" s="59">
        <v>0</v>
      </c>
      <c r="J190" s="59">
        <v>0</v>
      </c>
    </row>
    <row r="191" spans="2:10" x14ac:dyDescent="0.3">
      <c r="B191" s="8"/>
      <c r="C191" s="11">
        <v>0</v>
      </c>
      <c r="D191" s="8"/>
      <c r="E191" s="8"/>
      <c r="F191" s="19" t="str">
        <f t="shared" si="0"/>
        <v>—</v>
      </c>
      <c r="G191" s="19" t="str">
        <f t="shared" si="1"/>
        <v>—</v>
      </c>
      <c r="H191" s="13">
        <f>SUM(C184:C191)</f>
        <v>152.80000000000001</v>
      </c>
      <c r="I191" s="59">
        <v>0</v>
      </c>
      <c r="J191" s="59">
        <v>0</v>
      </c>
    </row>
    <row r="192" spans="2:10" x14ac:dyDescent="0.3">
      <c r="B192" s="8"/>
      <c r="C192" s="11">
        <v>0</v>
      </c>
      <c r="D192" s="8"/>
      <c r="E192" s="8"/>
      <c r="F192" s="19" t="str">
        <f t="shared" si="0"/>
        <v>—</v>
      </c>
      <c r="G192" s="19" t="str">
        <f t="shared" si="1"/>
        <v>—</v>
      </c>
      <c r="H192" s="13">
        <f>SUM(C184:C192)</f>
        <v>152.80000000000001</v>
      </c>
      <c r="I192" s="59">
        <v>0</v>
      </c>
      <c r="J192" s="59">
        <v>0</v>
      </c>
    </row>
    <row r="193" spans="1:12" ht="18.3" customHeight="1" x14ac:dyDescent="0.3">
      <c r="A193" s="45"/>
      <c r="B193" s="140" t="s">
        <v>360</v>
      </c>
      <c r="C193" s="140"/>
      <c r="D193" s="140"/>
      <c r="E193" s="140"/>
      <c r="F193" s="140"/>
      <c r="G193" s="140"/>
      <c r="H193" s="140"/>
      <c r="I193" s="45"/>
      <c r="J193" s="45"/>
      <c r="K193" s="45"/>
      <c r="L193" s="45"/>
    </row>
    <row r="194" spans="1:12" ht="15.9" customHeight="1" x14ac:dyDescent="0.3">
      <c r="A194" s="45"/>
      <c r="B194" s="48" t="s">
        <v>361</v>
      </c>
      <c r="C194" s="48"/>
      <c r="D194" s="48"/>
      <c r="E194" s="48"/>
      <c r="F194" s="48"/>
      <c r="G194" s="48"/>
      <c r="H194" s="48"/>
      <c r="I194" s="45"/>
      <c r="J194" s="45"/>
      <c r="K194" s="45"/>
      <c r="L194" s="45"/>
    </row>
    <row r="195" spans="1:12" ht="15.9" customHeight="1" x14ac:dyDescent="0.3">
      <c r="A195" s="45"/>
      <c r="B195" s="48" t="s">
        <v>362</v>
      </c>
      <c r="C195" s="48"/>
      <c r="D195" s="48"/>
      <c r="E195" s="48"/>
      <c r="F195" s="49">
        <v>10</v>
      </c>
      <c r="G195" s="48" t="s">
        <v>148</v>
      </c>
      <c r="H195" s="48" t="s">
        <v>363</v>
      </c>
      <c r="I195" s="45"/>
      <c r="J195" s="45"/>
      <c r="K195" s="45"/>
      <c r="L195" s="45"/>
    </row>
    <row r="196" spans="1:12" ht="15.9" customHeight="1" x14ac:dyDescent="0.3">
      <c r="A196" s="45"/>
      <c r="B196" s="48" t="s">
        <v>364</v>
      </c>
      <c r="C196" s="48"/>
      <c r="D196" s="48"/>
      <c r="E196" s="48"/>
      <c r="F196" s="49">
        <v>2.35</v>
      </c>
      <c r="G196" s="48" t="s">
        <v>44</v>
      </c>
      <c r="H196" s="48" t="s">
        <v>365</v>
      </c>
      <c r="I196" s="45"/>
      <c r="J196" s="45"/>
      <c r="K196" s="45"/>
      <c r="L196" s="45"/>
    </row>
    <row r="197" spans="1:12" ht="15.9" customHeight="1" x14ac:dyDescent="0.3">
      <c r="A197" s="45"/>
      <c r="B197" s="48" t="s">
        <v>366</v>
      </c>
      <c r="C197" s="48"/>
      <c r="D197" s="48"/>
      <c r="E197" s="48"/>
      <c r="F197" s="49">
        <v>0</v>
      </c>
      <c r="G197" s="48" t="s">
        <v>44</v>
      </c>
      <c r="H197" s="48" t="s">
        <v>367</v>
      </c>
      <c r="I197" s="45"/>
      <c r="J197" s="45"/>
      <c r="K197" s="45"/>
      <c r="L197" s="45"/>
    </row>
    <row r="198" spans="1:12" ht="15.9" customHeight="1" x14ac:dyDescent="0.3">
      <c r="A198" s="45"/>
      <c r="B198" s="48" t="s">
        <v>368</v>
      </c>
      <c r="C198" s="48"/>
      <c r="D198" s="48"/>
      <c r="E198" s="48"/>
      <c r="F198" s="49"/>
      <c r="G198" s="48"/>
      <c r="H198" s="48"/>
      <c r="I198" s="45"/>
      <c r="J198" s="45"/>
      <c r="K198" s="45"/>
      <c r="L198" s="45"/>
    </row>
    <row r="199" spans="1:12" ht="15.9" customHeight="1" x14ac:dyDescent="0.3">
      <c r="A199" s="45"/>
      <c r="B199" s="48" t="s">
        <v>369</v>
      </c>
      <c r="C199" s="48"/>
      <c r="D199" s="48"/>
      <c r="E199" s="48"/>
      <c r="F199" s="49">
        <v>10</v>
      </c>
      <c r="G199" s="48" t="s">
        <v>148</v>
      </c>
      <c r="H199" s="48" t="s">
        <v>370</v>
      </c>
      <c r="I199" s="45"/>
      <c r="J199" s="45"/>
      <c r="K199" s="45"/>
      <c r="L199" s="45"/>
    </row>
    <row r="200" spans="1:12" ht="15.9" customHeight="1" x14ac:dyDescent="0.3">
      <c r="A200" s="45"/>
      <c r="B200" s="48" t="s">
        <v>371</v>
      </c>
      <c r="C200" s="48"/>
      <c r="D200" s="48"/>
      <c r="E200" s="48"/>
      <c r="F200" s="49">
        <v>2.35</v>
      </c>
      <c r="G200" s="48" t="s">
        <v>44</v>
      </c>
      <c r="H200" s="48" t="s">
        <v>370</v>
      </c>
      <c r="I200" s="45"/>
      <c r="J200" s="45"/>
      <c r="K200" s="45"/>
      <c r="L200" s="45"/>
    </row>
    <row r="201" spans="1:12" ht="15.9" customHeight="1" x14ac:dyDescent="0.3">
      <c r="A201" s="45"/>
      <c r="B201" s="48" t="s">
        <v>372</v>
      </c>
      <c r="C201" s="48"/>
      <c r="D201" s="48"/>
      <c r="E201" s="48"/>
      <c r="F201" s="48">
        <v>0</v>
      </c>
      <c r="G201" s="48" t="s">
        <v>44</v>
      </c>
      <c r="H201" s="48" t="s">
        <v>370</v>
      </c>
      <c r="I201" s="45"/>
      <c r="J201" s="45"/>
      <c r="K201" s="45"/>
      <c r="L201" s="45"/>
    </row>
    <row r="202" spans="1:12" ht="15.9" customHeight="1" x14ac:dyDescent="0.3">
      <c r="A202" s="45"/>
      <c r="B202" s="140" t="s">
        <v>373</v>
      </c>
      <c r="C202" s="140"/>
      <c r="D202" s="140"/>
      <c r="E202" s="140"/>
      <c r="F202" s="140"/>
      <c r="G202" s="140"/>
      <c r="H202" s="140"/>
      <c r="I202" s="45"/>
      <c r="J202" s="45"/>
      <c r="K202" s="45"/>
      <c r="L202" s="45"/>
    </row>
    <row r="203" spans="1:12" ht="15.9" customHeight="1" x14ac:dyDescent="0.3">
      <c r="A203" s="45"/>
      <c r="B203" s="46" t="s">
        <v>374</v>
      </c>
      <c r="C203" s="46"/>
      <c r="D203" s="46"/>
      <c r="E203" s="46"/>
      <c r="F203" s="47">
        <v>0</v>
      </c>
      <c r="G203" s="46" t="s">
        <v>44</v>
      </c>
      <c r="H203" s="46" t="s">
        <v>375</v>
      </c>
      <c r="I203" s="45"/>
      <c r="J203" s="45"/>
      <c r="K203" s="45"/>
      <c r="L203" s="45"/>
    </row>
    <row r="204" spans="1:12" ht="15.9" customHeight="1" x14ac:dyDescent="0.3">
      <c r="A204" s="45"/>
      <c r="B204" s="45"/>
      <c r="C204" s="45"/>
      <c r="D204" s="45"/>
      <c r="E204" s="45"/>
      <c r="F204" s="45"/>
      <c r="G204" s="45"/>
      <c r="H204" s="45"/>
      <c r="I204" s="45"/>
      <c r="J204" s="45"/>
      <c r="K204" s="45"/>
      <c r="L204" s="45"/>
    </row>
    <row r="205" spans="1:12" ht="24" customHeight="1" x14ac:dyDescent="0.3">
      <c r="A205" s="45"/>
      <c r="B205" s="139" t="s">
        <v>376</v>
      </c>
      <c r="C205" s="139"/>
      <c r="D205" s="139"/>
      <c r="E205" s="139"/>
      <c r="F205" s="139"/>
      <c r="G205" s="139"/>
      <c r="H205" s="139"/>
      <c r="I205" s="45"/>
      <c r="J205" s="45"/>
      <c r="K205" s="45"/>
      <c r="L205" s="45"/>
    </row>
    <row r="206" spans="1:12" ht="15.9" customHeight="1" x14ac:dyDescent="0.3">
      <c r="A206" s="45"/>
      <c r="B206" s="48" t="s">
        <v>377</v>
      </c>
      <c r="C206" s="48"/>
      <c r="D206" s="48"/>
      <c r="E206" s="48"/>
      <c r="F206" s="50" t="s">
        <v>1454</v>
      </c>
      <c r="G206" s="48" t="s">
        <v>1455</v>
      </c>
      <c r="H206" s="48" t="s">
        <v>1456</v>
      </c>
      <c r="I206" s="45"/>
      <c r="J206" s="45"/>
      <c r="K206" s="45"/>
      <c r="L206" s="45"/>
    </row>
    <row r="207" spans="1:12" ht="15.9" customHeight="1" x14ac:dyDescent="0.3">
      <c r="A207" s="45"/>
      <c r="B207" s="48" t="s">
        <v>378</v>
      </c>
      <c r="C207" s="48"/>
      <c r="D207" s="48"/>
      <c r="E207" s="48"/>
      <c r="F207" s="50"/>
      <c r="G207" s="48" t="s">
        <v>72</v>
      </c>
      <c r="H207" s="48" t="s">
        <v>379</v>
      </c>
      <c r="I207" s="45"/>
      <c r="J207" s="45"/>
      <c r="K207" s="45"/>
      <c r="L207" s="45"/>
    </row>
    <row r="208" spans="1:12" ht="15.9" customHeight="1" x14ac:dyDescent="0.3">
      <c r="A208" s="45"/>
      <c r="B208" s="48" t="s">
        <v>380</v>
      </c>
      <c r="C208" s="48"/>
      <c r="D208" s="48"/>
      <c r="E208" s="48"/>
      <c r="F208" s="50"/>
      <c r="G208" s="48" t="s">
        <v>72</v>
      </c>
      <c r="H208" s="48" t="s">
        <v>381</v>
      </c>
      <c r="I208" s="45"/>
      <c r="J208" s="45"/>
      <c r="K208" s="45"/>
      <c r="L208" s="45"/>
    </row>
    <row r="209" spans="1:12" ht="15.9" customHeight="1" x14ac:dyDescent="0.3">
      <c r="A209" s="45"/>
      <c r="B209" s="48" t="s">
        <v>382</v>
      </c>
      <c r="C209" s="48"/>
      <c r="D209" s="48"/>
      <c r="E209" s="48"/>
      <c r="F209" s="50"/>
      <c r="G209" s="48" t="s">
        <v>72</v>
      </c>
      <c r="H209" s="48" t="s">
        <v>381</v>
      </c>
      <c r="I209" s="45"/>
      <c r="J209" s="45"/>
      <c r="K209" s="45"/>
      <c r="L209" s="45"/>
    </row>
    <row r="210" spans="1:12" ht="15.9" customHeight="1" x14ac:dyDescent="0.3">
      <c r="A210" s="45"/>
      <c r="B210" s="48" t="s">
        <v>383</v>
      </c>
      <c r="C210" s="48"/>
      <c r="D210" s="48"/>
      <c r="E210" s="48"/>
      <c r="F210" s="50"/>
      <c r="G210" s="48" t="s">
        <v>72</v>
      </c>
      <c r="H210" s="48" t="s">
        <v>381</v>
      </c>
      <c r="I210" s="45"/>
      <c r="J210" s="45"/>
      <c r="K210" s="45"/>
      <c r="L210" s="45"/>
    </row>
    <row r="211" spans="1:12" ht="15.9" customHeight="1" x14ac:dyDescent="0.3">
      <c r="A211" s="45"/>
      <c r="B211" s="48" t="s">
        <v>384</v>
      </c>
      <c r="C211" s="48"/>
      <c r="D211" s="48"/>
      <c r="E211" s="48"/>
      <c r="F211" s="50"/>
      <c r="G211" s="48" t="s">
        <v>72</v>
      </c>
      <c r="H211" s="48" t="s">
        <v>385</v>
      </c>
      <c r="I211" s="45"/>
      <c r="J211" s="45"/>
      <c r="K211" s="45"/>
      <c r="L211" s="45"/>
    </row>
    <row r="212" spans="1:12" ht="15.9" customHeight="1" x14ac:dyDescent="0.3">
      <c r="A212" s="45"/>
      <c r="B212" s="48" t="s">
        <v>386</v>
      </c>
      <c r="C212" s="48"/>
      <c r="D212" s="48"/>
      <c r="E212" s="48"/>
      <c r="F212" s="48" t="str">
        <f>IF(F206="GLOBAL",IF(COUNT(F207:F211)=5,"ĐỦ DỮ LIỆU","THIẾU DỮ LIỆU — BLOCKED"),IF(F206="APPROX 1D","TỰ GIẢI CHUỖI 1D","AUTO CỤC BỘ"))</f>
        <v>TỰ GIẢI CHUỖI 1D</v>
      </c>
      <c r="G212" s="48"/>
      <c r="H212" s="48" t="s">
        <v>387</v>
      </c>
      <c r="I212" s="45"/>
      <c r="J212" s="45"/>
      <c r="K212" s="45"/>
      <c r="L212" s="45"/>
    </row>
    <row r="213" spans="1:12" ht="15.9" customHeight="1" x14ac:dyDescent="0.3">
      <c r="A213" s="45"/>
      <c r="B213" s="45"/>
      <c r="C213" s="45"/>
      <c r="D213" s="45"/>
      <c r="E213" s="45"/>
      <c r="F213" s="45"/>
      <c r="G213" s="45"/>
      <c r="H213" s="45"/>
      <c r="I213" s="45"/>
      <c r="J213" s="45"/>
      <c r="K213" s="45"/>
      <c r="L213" s="45"/>
    </row>
    <row r="214" spans="1:12" ht="18.3" customHeight="1" x14ac:dyDescent="0.3">
      <c r="A214" s="45"/>
      <c r="B214" s="140" t="s">
        <v>388</v>
      </c>
      <c r="C214" s="140"/>
      <c r="D214" s="140"/>
      <c r="E214" s="140"/>
      <c r="F214" s="140"/>
      <c r="G214" s="140"/>
      <c r="H214" s="140"/>
      <c r="I214" s="45"/>
      <c r="J214" s="45"/>
      <c r="K214" s="45"/>
      <c r="L214" s="45"/>
    </row>
    <row r="215" spans="1:12" ht="15.9" customHeight="1" x14ac:dyDescent="0.3">
      <c r="A215" s="45"/>
      <c r="B215" s="48" t="s">
        <v>389</v>
      </c>
      <c r="C215" s="48"/>
      <c r="D215" s="48"/>
      <c r="E215" s="48"/>
      <c r="F215" s="50">
        <v>1</v>
      </c>
      <c r="G215" s="48" t="s">
        <v>390</v>
      </c>
      <c r="H215" s="48" t="s">
        <v>1815</v>
      </c>
      <c r="I215" s="45"/>
      <c r="J215" s="45"/>
      <c r="K215" s="45"/>
      <c r="L215" s="45"/>
    </row>
    <row r="216" spans="1:12" ht="15.9" customHeight="1" x14ac:dyDescent="0.3">
      <c r="A216" s="45"/>
      <c r="B216" s="48" t="s">
        <v>391</v>
      </c>
      <c r="C216" s="48"/>
      <c r="D216" s="48"/>
      <c r="E216" s="48"/>
      <c r="F216" s="50">
        <v>4</v>
      </c>
      <c r="G216" s="48" t="s">
        <v>44</v>
      </c>
      <c r="H216" s="48" t="s">
        <v>392</v>
      </c>
      <c r="I216" s="45"/>
      <c r="J216" s="45"/>
      <c r="K216" s="45"/>
      <c r="L216" s="45"/>
    </row>
    <row r="217" spans="1:12" ht="15.9" customHeight="1" x14ac:dyDescent="0.3">
      <c r="A217" s="45"/>
      <c r="B217" s="48" t="s">
        <v>393</v>
      </c>
      <c r="C217" s="48"/>
      <c r="D217" s="48"/>
      <c r="E217" s="48"/>
      <c r="F217" s="50" t="s">
        <v>394</v>
      </c>
      <c r="G217" s="48" t="s">
        <v>395</v>
      </c>
      <c r="H217" s="48" t="s">
        <v>396</v>
      </c>
      <c r="I217" s="45"/>
      <c r="J217" s="45"/>
      <c r="K217" s="45"/>
      <c r="L217" s="45"/>
    </row>
    <row r="218" spans="1:12" ht="15.9" customHeight="1" x14ac:dyDescent="0.3">
      <c r="A218" s="45"/>
      <c r="B218" s="45"/>
      <c r="C218" s="45"/>
      <c r="D218" s="45"/>
      <c r="E218" s="45"/>
      <c r="F218" s="45"/>
      <c r="G218" s="45"/>
      <c r="H218" s="45"/>
      <c r="I218" s="45"/>
      <c r="J218" s="45"/>
      <c r="K218" s="45"/>
      <c r="L218" s="45"/>
    </row>
    <row r="219" spans="1:12" ht="15.9" customHeight="1" x14ac:dyDescent="0.3">
      <c r="A219" s="45"/>
      <c r="B219" s="45"/>
      <c r="C219" s="45"/>
      <c r="D219" s="45"/>
      <c r="E219" s="45"/>
      <c r="F219" s="45"/>
      <c r="G219" s="45"/>
      <c r="H219" s="45"/>
      <c r="I219" s="45"/>
      <c r="J219" s="45"/>
      <c r="K219" s="45"/>
      <c r="L219" s="45"/>
    </row>
    <row r="220" spans="1:12" ht="15.9" customHeight="1" x14ac:dyDescent="0.3">
      <c r="A220" s="45"/>
      <c r="B220" s="45"/>
      <c r="C220" s="45"/>
      <c r="D220" s="45"/>
      <c r="E220" s="45"/>
      <c r="F220" s="45"/>
      <c r="G220" s="45"/>
      <c r="H220" s="45"/>
      <c r="I220" s="45"/>
      <c r="J220" s="45"/>
      <c r="K220" s="45"/>
      <c r="L220" s="45"/>
    </row>
    <row r="221" spans="1:12" ht="15.9" customHeight="1" x14ac:dyDescent="0.3">
      <c r="A221" s="45"/>
      <c r="B221" s="45"/>
      <c r="C221" s="45"/>
      <c r="D221" s="45"/>
      <c r="E221" s="45"/>
      <c r="F221" s="45"/>
      <c r="G221" s="45"/>
      <c r="H221" s="45"/>
      <c r="I221" s="45"/>
      <c r="J221" s="45"/>
      <c r="K221" s="45"/>
      <c r="L221" s="45"/>
    </row>
    <row r="222" spans="1:12" ht="15.9" customHeight="1" x14ac:dyDescent="0.3">
      <c r="A222" s="45"/>
      <c r="B222" s="45"/>
      <c r="C222" s="45"/>
      <c r="D222" s="45"/>
      <c r="E222" s="45"/>
      <c r="F222" s="45"/>
      <c r="G222" s="45"/>
      <c r="H222" s="45"/>
      <c r="I222" s="45"/>
      <c r="J222" s="45"/>
      <c r="K222" s="45"/>
      <c r="L222" s="45"/>
    </row>
    <row r="223" spans="1:12" ht="15.9" customHeight="1" x14ac:dyDescent="0.3">
      <c r="A223" s="45"/>
      <c r="B223" s="45"/>
      <c r="C223" s="45"/>
      <c r="D223" s="45"/>
      <c r="E223" s="45"/>
      <c r="F223" s="45"/>
      <c r="G223" s="45"/>
      <c r="H223" s="45"/>
      <c r="I223" s="45"/>
      <c r="J223" s="45"/>
      <c r="K223" s="45"/>
      <c r="L223" s="45"/>
    </row>
    <row r="224" spans="1:12" ht="15.9" customHeight="1" x14ac:dyDescent="0.3">
      <c r="A224" s="45"/>
      <c r="B224" s="45"/>
      <c r="C224" s="45"/>
      <c r="D224" s="45"/>
      <c r="E224" s="45"/>
      <c r="F224" s="45"/>
      <c r="G224" s="45"/>
      <c r="H224" s="45"/>
      <c r="I224" s="45"/>
      <c r="J224" s="45"/>
      <c r="K224" s="45"/>
      <c r="L224" s="45"/>
    </row>
    <row r="225" spans="1:12" ht="15.9" customHeight="1" x14ac:dyDescent="0.3">
      <c r="A225" s="45"/>
      <c r="B225" s="45"/>
      <c r="C225" s="45"/>
      <c r="D225" s="45"/>
      <c r="E225" s="45"/>
      <c r="F225" s="45"/>
      <c r="G225" s="45"/>
      <c r="H225" s="45"/>
      <c r="I225" s="45"/>
      <c r="J225" s="45"/>
      <c r="K225" s="45"/>
      <c r="L225" s="45"/>
    </row>
    <row r="226" spans="1:12" ht="15.9" customHeight="1" x14ac:dyDescent="0.3">
      <c r="A226" s="45"/>
      <c r="B226" s="45"/>
      <c r="C226" s="45"/>
      <c r="D226" s="45"/>
      <c r="E226" s="45"/>
      <c r="F226" s="45"/>
      <c r="G226" s="45"/>
      <c r="H226" s="45"/>
      <c r="I226" s="45"/>
      <c r="J226" s="45"/>
      <c r="K226" s="45"/>
      <c r="L226" s="45"/>
    </row>
    <row r="227" spans="1:12" ht="15.9" customHeight="1" x14ac:dyDescent="0.3">
      <c r="A227" s="45"/>
      <c r="B227" s="45"/>
      <c r="C227" s="45"/>
      <c r="D227" s="45"/>
      <c r="E227" s="45"/>
      <c r="F227" s="45"/>
      <c r="G227" s="45"/>
      <c r="H227" s="45"/>
      <c r="I227" s="45"/>
      <c r="J227" s="45"/>
      <c r="K227" s="45"/>
      <c r="L227" s="45"/>
    </row>
    <row r="228" spans="1:12" ht="15.9" customHeight="1" x14ac:dyDescent="0.3">
      <c r="A228" s="45"/>
      <c r="B228" s="45"/>
      <c r="C228" s="45"/>
      <c r="D228" s="45"/>
      <c r="E228" s="45"/>
      <c r="F228" s="45"/>
      <c r="G228" s="45"/>
      <c r="H228" s="45"/>
      <c r="I228" s="45"/>
      <c r="J228" s="45"/>
      <c r="K228" s="45"/>
      <c r="L228" s="45"/>
    </row>
    <row r="229" spans="1:12" ht="15.9" customHeight="1" x14ac:dyDescent="0.3">
      <c r="A229" s="45"/>
      <c r="B229" s="45"/>
      <c r="C229" s="45"/>
      <c r="D229" s="45"/>
      <c r="E229" s="45"/>
      <c r="F229" s="45"/>
      <c r="G229" s="45"/>
      <c r="H229" s="45"/>
      <c r="I229" s="45"/>
      <c r="J229" s="45"/>
      <c r="K229" s="45"/>
      <c r="L229" s="45"/>
    </row>
    <row r="230" spans="1:12" ht="15.9" customHeight="1" x14ac:dyDescent="0.3">
      <c r="A230" s="45"/>
      <c r="B230" s="45"/>
      <c r="C230" s="45"/>
      <c r="D230" s="45"/>
      <c r="E230" s="45"/>
      <c r="F230" s="45"/>
      <c r="G230" s="45"/>
      <c r="H230" s="45"/>
      <c r="I230" s="45"/>
      <c r="J230" s="45"/>
      <c r="K230" s="45"/>
      <c r="L230" s="45"/>
    </row>
    <row r="231" spans="1:12" ht="15.9" customHeight="1" x14ac:dyDescent="0.3">
      <c r="A231" s="45"/>
      <c r="B231" s="45"/>
      <c r="C231" s="45"/>
      <c r="D231" s="45"/>
      <c r="E231" s="45"/>
      <c r="F231" s="45"/>
      <c r="G231" s="45"/>
      <c r="H231" s="45"/>
      <c r="I231" s="45"/>
      <c r="J231" s="45"/>
      <c r="K231" s="45"/>
      <c r="L231" s="45"/>
    </row>
    <row r="232" spans="1:12" ht="15.9" customHeight="1" x14ac:dyDescent="0.3">
      <c r="A232" s="45"/>
      <c r="B232" s="45"/>
      <c r="C232" s="45"/>
      <c r="D232" s="45"/>
      <c r="E232" s="45"/>
      <c r="F232" s="45"/>
      <c r="G232" s="45"/>
      <c r="H232" s="45"/>
      <c r="I232" s="45"/>
      <c r="J232" s="45"/>
      <c r="K232" s="45"/>
      <c r="L232" s="45"/>
    </row>
    <row r="233" spans="1:12" ht="15.9" customHeight="1" x14ac:dyDescent="0.3">
      <c r="A233" s="45"/>
      <c r="B233" s="45"/>
      <c r="C233" s="45"/>
      <c r="D233" s="45"/>
      <c r="E233" s="45"/>
      <c r="F233" s="45"/>
      <c r="G233" s="45"/>
      <c r="H233" s="45"/>
      <c r="I233" s="45"/>
      <c r="J233" s="45"/>
      <c r="K233" s="45"/>
      <c r="L233" s="45"/>
    </row>
    <row r="234" spans="1:12" ht="15.9" customHeight="1" x14ac:dyDescent="0.3">
      <c r="A234" s="45"/>
      <c r="B234" s="45"/>
      <c r="C234" s="45"/>
      <c r="D234" s="45"/>
      <c r="E234" s="45"/>
      <c r="F234" s="45"/>
      <c r="G234" s="45"/>
      <c r="H234" s="45"/>
      <c r="I234" s="45"/>
      <c r="J234" s="45"/>
      <c r="K234" s="45"/>
      <c r="L234" s="45"/>
    </row>
    <row r="235" spans="1:12" ht="15.9" customHeight="1" x14ac:dyDescent="0.3">
      <c r="A235" s="45"/>
      <c r="B235" s="45"/>
      <c r="C235" s="45"/>
      <c r="D235" s="45"/>
      <c r="E235" s="45"/>
      <c r="F235" s="45"/>
      <c r="G235" s="45"/>
      <c r="H235" s="45"/>
      <c r="I235" s="45"/>
      <c r="J235" s="45"/>
      <c r="K235" s="45"/>
      <c r="L235" s="45"/>
    </row>
  </sheetData>
  <mergeCells count="7">
    <mergeCell ref="B205:H205"/>
    <mergeCell ref="B214:H214"/>
    <mergeCell ref="I113:O113"/>
    <mergeCell ref="I120:O121"/>
    <mergeCell ref="B90:H90"/>
    <mergeCell ref="B193:H193"/>
    <mergeCell ref="B202:H202"/>
  </mergeCells>
  <conditionalFormatting sqref="D229">
    <cfRule type="expression" dxfId="78" priority="2">
      <formula>LEFT(D229,1)="⚠"</formula>
    </cfRule>
  </conditionalFormatting>
  <dataValidations count="7">
    <dataValidation type="list" allowBlank="1" showErrorMessage="1" errorTitle="Loại gối không hợp lệ" error="Chỉ chọn 1 loại trong bảng DANH MỤC LOẠI GỐI (mục 5)." sqref="D184:E192" xr:uid="{00000000-0002-0000-0100-000000000000}">
      <formula1>goiListRng</formula1>
      <formula2>0</formula2>
    </dataValidation>
    <dataValidation type="list" allowBlank="1" showErrorMessage="1" errorTitle="Tên không có trong bảng SƠ ĐỒ LIÊN" error="Chỉ chọn 1 tên đã khai ở bảng SƠ ĐỒ LIÊN (mục 2c) bên dưới — gõ thêm tên mới ở bảng đó trước rồi mới chọn được ở đây." sqref="D5" xr:uid="{00000000-0002-0000-0100-000001000000}">
      <formula1>namerng</formula1>
      <formula2>0</formula2>
    </dataValidation>
    <dataValidation type="list" sqref="F206" xr:uid="{00000000-0002-0000-0100-000002000000}">
      <formula1>"AUTO,APPROX 1D,GLOBAL"</formula1>
    </dataValidation>
    <dataValidation type="list" sqref="F215" xr:uid="{00000000-0002-0000-0100-000003000000}">
      <formula1>"1,2"</formula1>
    </dataValidation>
    <dataValidation type="list" sqref="K115" xr:uid="{00000000-0002-0000-0100-000004000000}">
      <formula1>"1,2,3"</formula1>
    </dataValidation>
    <dataValidation type="list" sqref="F114" xr:uid="{00000000-0002-0000-0100-000005000000}">
      <formula1>"I,II,III,IV"</formula1>
    </dataValidation>
    <dataValidation type="whole" allowBlank="1" showDropDown="1" showInputMessage="1" showErrorMessage="1" errorTitle="nLan ngoài phạm vi" error="Số làn nLan phải là số nguyên trong [1..40]. Engine chỉ có tổ hợp bổ sung tới 40 làn." promptTitle="Số làn thiết kế (nLan)" prompt="Nhập số nguyên 1..40." sqref="F19" xr:uid="{968305FD-E95A-4236-899F-5377FE4AF695}">
      <formula1>1</formula1>
      <formula2>40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G34"/>
  <sheetViews>
    <sheetView topLeftCell="A12" workbookViewId="0">
      <selection activeCell="E9" sqref="E9"/>
    </sheetView>
  </sheetViews>
  <sheetFormatPr defaultColWidth="8.6640625" defaultRowHeight="14.4" x14ac:dyDescent="0.3"/>
  <cols>
    <col min="1" max="1" width="2" customWidth="1"/>
    <col min="2" max="2" width="30" customWidth="1"/>
    <col min="3" max="4" width="15" customWidth="1"/>
    <col min="5" max="5" width="30" customWidth="1"/>
    <col min="6" max="7" width="13" customWidth="1"/>
  </cols>
  <sheetData>
    <row r="2" spans="2:4" ht="16.8" x14ac:dyDescent="0.3">
      <c r="B2" s="2" t="s">
        <v>397</v>
      </c>
    </row>
    <row r="4" spans="2:4" x14ac:dyDescent="0.3">
      <c r="B4" s="5" t="s">
        <v>398</v>
      </c>
    </row>
    <row r="5" spans="2:4" x14ac:dyDescent="0.3">
      <c r="B5" s="7" t="s">
        <v>399</v>
      </c>
      <c r="C5" s="27">
        <f>RDC1_+RDC2_</f>
        <v>13412.025000000001</v>
      </c>
      <c r="D5" s="27">
        <f>RDC1_*exL+RDC2_*exR</f>
        <v>0</v>
      </c>
    </row>
    <row r="6" spans="2:4" x14ac:dyDescent="0.3">
      <c r="B6" s="7" t="s">
        <v>400</v>
      </c>
      <c r="C6" s="27">
        <f>RDW1_+RDW2_</f>
        <v>1368.7537500000003</v>
      </c>
      <c r="D6" s="27">
        <f>RDW1_*exL+RDW2_*exR</f>
        <v>0</v>
      </c>
    </row>
    <row r="8" spans="2:4" x14ac:dyDescent="0.3">
      <c r="B8" s="5" t="s">
        <v>401</v>
      </c>
    </row>
    <row r="9" spans="2:4" x14ac:dyDescent="0.3">
      <c r="B9" s="7" t="s">
        <v>402</v>
      </c>
      <c r="C9" s="23">
        <f>Vxm*gcbt</f>
        <v>1715</v>
      </c>
    </row>
    <row r="10" spans="2:4" x14ac:dyDescent="0.3">
      <c r="B10" s="7" t="s">
        <v>1836</v>
      </c>
      <c r="C10" s="23">
        <f>nThan*((Agth+Agth2)/2*(Hcot-hmr)+(Agth2+Agmr)/2*hmr)*gcbt</f>
        <v>2467.8654515896187</v>
      </c>
    </row>
    <row r="11" spans="2:4" x14ac:dyDescent="0.3">
      <c r="B11" s="7" t="s">
        <v>403</v>
      </c>
      <c r="C11" s="27">
        <f>C9+C10</f>
        <v>4182.8654515896187</v>
      </c>
    </row>
    <row r="12" spans="2:4" x14ac:dyDescent="0.3">
      <c r="B12" s="7" t="s">
        <v>404</v>
      </c>
      <c r="C12" s="27">
        <f>Bbe*Cbe*Hbe*gcbt</f>
        <v>3351.6000000000004</v>
      </c>
    </row>
    <row r="14" spans="2:4" x14ac:dyDescent="0.3">
      <c r="B14" s="5" t="s">
        <v>405</v>
      </c>
    </row>
    <row r="15" spans="2:4" x14ac:dyDescent="0.3">
      <c r="B15" s="7" t="s">
        <v>406</v>
      </c>
      <c r="C15" s="13">
        <f>Bbe*Cbe*MIN(MNTN,Hbe)+nThan*Agth*MAX(0,MNTN-Hbe)</f>
        <v>0</v>
      </c>
    </row>
    <row r="16" spans="2:4" x14ac:dyDescent="0.3">
      <c r="B16" s="7" t="s">
        <v>407</v>
      </c>
      <c r="C16" s="27">
        <f>-gnc*C15</f>
        <v>0</v>
      </c>
    </row>
    <row r="26" spans="2:7" x14ac:dyDescent="0.3">
      <c r="B26" s="5" t="s">
        <v>408</v>
      </c>
    </row>
    <row r="27" spans="2:7" ht="27.6" x14ac:dyDescent="0.3">
      <c r="B27" s="18" t="s">
        <v>409</v>
      </c>
      <c r="C27" s="18" t="s">
        <v>410</v>
      </c>
      <c r="D27" s="18" t="s">
        <v>411</v>
      </c>
      <c r="E27" s="18" t="s">
        <v>412</v>
      </c>
      <c r="F27" s="18" t="s">
        <v>413</v>
      </c>
      <c r="G27" s="18" t="s">
        <v>414</v>
      </c>
    </row>
    <row r="28" spans="2:7" x14ac:dyDescent="0.3">
      <c r="B28" s="24" t="s">
        <v>415</v>
      </c>
      <c r="C28" s="11">
        <v>30</v>
      </c>
      <c r="D28" s="11">
        <v>30</v>
      </c>
      <c r="E28" s="12" t="s">
        <v>416</v>
      </c>
      <c r="F28" s="23">
        <f>C28*gcbt*ndam/2</f>
        <v>3675</v>
      </c>
      <c r="G28" s="23">
        <f>D28*gcbt*ndam/2</f>
        <v>3675</v>
      </c>
    </row>
    <row r="29" spans="2:7" x14ac:dyDescent="0.3">
      <c r="B29" s="24" t="s">
        <v>417</v>
      </c>
      <c r="C29" s="19" t="str">
        <f>"-"</f>
        <v>-</v>
      </c>
      <c r="D29" s="19" t="str">
        <f>"-"</f>
        <v>-</v>
      </c>
      <c r="E29" s="12" t="s">
        <v>418</v>
      </c>
      <c r="F29" s="23">
        <f>Wcau*tsban*L1_*gcbt/2</f>
        <v>2222.7625000000003</v>
      </c>
      <c r="G29" s="23">
        <f>Wcau*tsban*L2_*gcbt/2</f>
        <v>2222.7625000000003</v>
      </c>
    </row>
    <row r="30" spans="2:7" ht="27.6" x14ac:dyDescent="0.3">
      <c r="B30" s="24" t="s">
        <v>419</v>
      </c>
      <c r="C30" s="11">
        <v>13.5</v>
      </c>
      <c r="D30" s="11">
        <v>13.5</v>
      </c>
      <c r="E30" s="12" t="s">
        <v>420</v>
      </c>
      <c r="F30" s="23">
        <f>C30*gcbt</f>
        <v>330.75</v>
      </c>
      <c r="G30" s="23">
        <f>D30*gcbt</f>
        <v>330.75</v>
      </c>
    </row>
    <row r="31" spans="2:7" x14ac:dyDescent="0.3">
      <c r="B31" s="24" t="s">
        <v>421</v>
      </c>
      <c r="C31" s="11">
        <v>25</v>
      </c>
      <c r="D31" s="11">
        <v>25</v>
      </c>
      <c r="E31" s="12" t="s">
        <v>422</v>
      </c>
      <c r="F31" s="23">
        <f>C31*L1_/2</f>
        <v>477.50000000000006</v>
      </c>
      <c r="G31" s="23">
        <f>D31*L2_/2</f>
        <v>477.50000000000006</v>
      </c>
    </row>
    <row r="32" spans="2:7" x14ac:dyDescent="0.3">
      <c r="B32" s="28" t="s">
        <v>423</v>
      </c>
      <c r="F32" s="29">
        <f>SUM(F28:F31)</f>
        <v>6706.0125000000007</v>
      </c>
      <c r="G32" s="29">
        <f>SUM(G28:G31)</f>
        <v>6706.0125000000007</v>
      </c>
    </row>
    <row r="33" spans="2:7" ht="27.6" x14ac:dyDescent="0.3">
      <c r="B33" s="28" t="s">
        <v>424</v>
      </c>
      <c r="C33" s="20">
        <v>7.0000000000000007E-2</v>
      </c>
      <c r="D33" s="17">
        <v>0</v>
      </c>
      <c r="F33" s="29">
        <f>Bxe*C33*22.5*L1_/2+D33/2</f>
        <v>684.37687500000015</v>
      </c>
      <c r="G33" s="29">
        <f>Bxe*C33*22.5*L2_/2+D33/2</f>
        <v>684.37687500000015</v>
      </c>
    </row>
    <row r="34" spans="2:7" x14ac:dyDescent="0.3">
      <c r="B34" s="12" t="s">
        <v>425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I34"/>
  <sheetViews>
    <sheetView workbookViewId="0"/>
  </sheetViews>
  <sheetFormatPr defaultColWidth="8.6640625" defaultRowHeight="14.4" x14ac:dyDescent="0.3"/>
  <cols>
    <col min="1" max="1" width="2" customWidth="1"/>
    <col min="2" max="2" width="34" customWidth="1"/>
    <col min="3" max="12" width="13" customWidth="1"/>
  </cols>
  <sheetData>
    <row r="2" spans="2:9" ht="16.8" x14ac:dyDescent="0.3">
      <c r="B2" s="2" t="s">
        <v>426</v>
      </c>
    </row>
    <row r="4" spans="2:9" x14ac:dyDescent="0.3">
      <c r="B4" s="5" t="s">
        <v>427</v>
      </c>
    </row>
    <row r="5" spans="2:9" x14ac:dyDescent="0.3">
      <c r="B5" s="7" t="s">
        <v>428</v>
      </c>
      <c r="C5" s="13">
        <f>145+145*(Ls1_-4.3)/Ls1_+35*(Ls1_-8.6)/Ls1_</f>
        <v>300.34666666666669</v>
      </c>
      <c r="D5" s="7" t="s">
        <v>429</v>
      </c>
    </row>
    <row r="6" spans="2:9" x14ac:dyDescent="0.3">
      <c r="B6" s="7" t="s">
        <v>430</v>
      </c>
      <c r="C6" s="13">
        <f>0.9*(C5+145*MAX(0,(Ls2_-10.7))/Ls2_+145*MAX(0,(Ls2_-15))/Ls2_+35*MAX(0,(Ls2_-19.3))/Ls2_)</f>
        <v>457.16400000000004</v>
      </c>
    </row>
    <row r="7" spans="2:9" x14ac:dyDescent="0.3">
      <c r="B7" s="7" t="s">
        <v>431</v>
      </c>
      <c r="C7" s="13">
        <f>qlan*0.5*Ls1_</f>
        <v>174.375</v>
      </c>
      <c r="D7" s="13">
        <f>qlan*0.5*(Ls1_+Ls2_)</f>
        <v>348.75</v>
      </c>
    </row>
    <row r="8" spans="2:9" x14ac:dyDescent="0.3">
      <c r="B8" s="7" t="s">
        <v>432</v>
      </c>
      <c r="C8" s="13">
        <f>110+110*(Ls1_-1.2)/Ls1_</f>
        <v>216.48</v>
      </c>
    </row>
    <row r="9" spans="2:9" x14ac:dyDescent="0.3">
      <c r="B9" s="7" t="s">
        <v>433</v>
      </c>
      <c r="C9" s="30">
        <f>MAX(C5,C8)</f>
        <v>300.34666666666669</v>
      </c>
      <c r="D9" s="30">
        <f>MAX(C6,C9)</f>
        <v>457.16400000000004</v>
      </c>
    </row>
    <row r="11" spans="2:9" x14ac:dyDescent="0.3">
      <c r="B11" s="5" t="s">
        <v>434</v>
      </c>
    </row>
    <row r="12" spans="2:9" x14ac:dyDescent="0.3">
      <c r="B12" s="18" t="s">
        <v>435</v>
      </c>
      <c r="C12" s="18" t="s">
        <v>44</v>
      </c>
      <c r="D12" s="18" t="s">
        <v>436</v>
      </c>
      <c r="E12" s="18" t="s">
        <v>437</v>
      </c>
      <c r="F12" s="18" t="s">
        <v>438</v>
      </c>
      <c r="G12" s="18" t="s">
        <v>439</v>
      </c>
      <c r="H12" s="18" t="s">
        <v>440</v>
      </c>
      <c r="I12" s="18" t="s">
        <v>441</v>
      </c>
    </row>
    <row r="13" spans="2:9" x14ac:dyDescent="0.3">
      <c r="B13" s="14">
        <f>IF(1&lt;=nLan,1,"")</f>
        <v>1</v>
      </c>
      <c r="C13" s="13">
        <f>IF(1&gt;nLan,0,IF(1=1,1.2,IF(1=2,1,IF(1=3,0.85,0.65))))</f>
        <v>1.2</v>
      </c>
      <c r="D13" s="27">
        <f>(D$7+D$9*(1+IM_))*1*C13+IF(1&lt;=nLan,pPL*bPL*0.5*(Ls1_+Ls2_),0)</f>
        <v>1148.133744</v>
      </c>
      <c r="E13" s="23">
        <f t="shared" ref="E13:E18" si="0">D13*I13</f>
        <v>11337.820722</v>
      </c>
      <c r="F13" s="27">
        <f>(C$7+C$9*(1+IM_))*1*C13+IF(1&lt;=nLan,pPL*bPL*0.5*Ls1_,0)</f>
        <v>688.60328000000004</v>
      </c>
      <c r="G13" s="23">
        <f t="shared" ref="G13:G18" si="1">F13*I13</f>
        <v>6799.9573900000005</v>
      </c>
      <c r="H13" s="23">
        <f t="shared" ref="H13:H18" si="2">F13*MAX(ABS(exL),ABS(exR))</f>
        <v>619.74295200000006</v>
      </c>
      <c r="I13" s="13">
        <f>IF(1&lt;=nLan,Wcau/2-blc_-bPL-1.5*1,0)</f>
        <v>9.875</v>
      </c>
    </row>
    <row r="14" spans="2:9" x14ac:dyDescent="0.3">
      <c r="B14" s="14">
        <f>IF(2&lt;=nLan,2,"")</f>
        <v>2</v>
      </c>
      <c r="C14" s="13">
        <f>IF(2&gt;nLan,0,IF(2=1,1.2,IF(2=2,1,IF(2=3,0.85,0.65))))</f>
        <v>1</v>
      </c>
      <c r="D14" s="27">
        <f>(D$7+D$9*(1+IM_))*2*C14+IF(2&lt;=nLan,pPL*bPL*0.5*(Ls1_+Ls2_),0)</f>
        <v>1913.5562400000001</v>
      </c>
      <c r="E14" s="23">
        <f t="shared" si="0"/>
        <v>16026.033510000001</v>
      </c>
      <c r="F14" s="27">
        <f>(C$7+C$9*(1+IM_))*2*C14+IF(2&lt;=nLan,pPL*bPL*0.5*Ls1_,0)</f>
        <v>1147.6721333333335</v>
      </c>
      <c r="G14" s="23">
        <f t="shared" si="1"/>
        <v>9611.754116666667</v>
      </c>
      <c r="H14" s="23">
        <f t="shared" si="2"/>
        <v>1032.9049200000002</v>
      </c>
      <c r="I14" s="13">
        <f>IF(2&lt;=nLan,Wcau/2-blc_-bPL-1.5*2,0)</f>
        <v>8.375</v>
      </c>
    </row>
    <row r="15" spans="2:9" x14ac:dyDescent="0.3">
      <c r="B15" s="14">
        <f>IF(3&lt;=nLan,3,"")</f>
        <v>3</v>
      </c>
      <c r="C15" s="13">
        <f>IF(3&gt;nLan,0,IF(3=1,1.2,IF(3=2,1,IF(3=3,0.85,0.65))))</f>
        <v>0.85</v>
      </c>
      <c r="D15" s="27">
        <f>(D$7+D$9*(1+IM_))*3*C15+IF(3&lt;=nLan,pPL*bPL*0.5*(Ls1_+Ls2_),0)</f>
        <v>2439.7842060000003</v>
      </c>
      <c r="E15" s="23">
        <f t="shared" si="0"/>
        <v>16773.51641625</v>
      </c>
      <c r="F15" s="27">
        <f>(C$7+C$9*(1+IM_))*3*C15+IF(3&lt;=nLan,pPL*bPL*0.5*Ls1_,0)</f>
        <v>1463.2819700000002</v>
      </c>
      <c r="G15" s="23">
        <f t="shared" si="1"/>
        <v>10060.063543750002</v>
      </c>
      <c r="H15" s="23">
        <f t="shared" si="2"/>
        <v>1316.9537730000002</v>
      </c>
      <c r="I15" s="13">
        <f>IF(3&lt;=nLan,Wcau/2-blc_-bPL-1.5*3,0)</f>
        <v>6.875</v>
      </c>
    </row>
    <row r="16" spans="2:9" x14ac:dyDescent="0.3">
      <c r="B16" s="14">
        <f>IF(4&lt;=nLan,4,"")</f>
        <v>4</v>
      </c>
      <c r="C16" s="13">
        <f>IF(4&gt;nLan,0,IF(4=1,1.2,IF(4=2,1,IF(4=3,0.85,0.65))))</f>
        <v>0.65</v>
      </c>
      <c r="D16" s="27">
        <f>(D$7+D$9*(1+IM_))*4*C16+IF(4&lt;=nLan,pPL*bPL*0.5*(Ls1_+Ls2_),0)</f>
        <v>2487.6231120000002</v>
      </c>
      <c r="E16" s="23">
        <f t="shared" si="0"/>
        <v>13370.974227000001</v>
      </c>
      <c r="F16" s="27">
        <f>(C$7+C$9*(1+IM_))*4*C16+IF(4&lt;=nLan,pPL*bPL*0.5*Ls1_,0)</f>
        <v>1491.9737733333336</v>
      </c>
      <c r="G16" s="23">
        <f t="shared" si="1"/>
        <v>8019.3590316666678</v>
      </c>
      <c r="H16" s="23">
        <f t="shared" si="2"/>
        <v>1342.7763960000002</v>
      </c>
      <c r="I16" s="13">
        <f>IF(4&lt;=nLan,Wcau/2-blc_-bPL-1.5*4,0)</f>
        <v>5.375</v>
      </c>
    </row>
    <row r="17" spans="2:9" x14ac:dyDescent="0.3">
      <c r="B17" s="14">
        <f>IF(5&lt;=nLan,5,"")</f>
        <v>5</v>
      </c>
      <c r="C17" s="13">
        <f>IF(5&gt;nLan,0,IF(5=1,1.2,IF(5=2,1,IF(5=3,0.85,0.65))))</f>
        <v>0.65</v>
      </c>
      <c r="D17" s="27">
        <f>(D$7+D$9*(1+IM_))*5*C17+IF(5&lt;=nLan,pPL*bPL*0.5*(Ls1_+Ls2_),0)</f>
        <v>3109.5288900000005</v>
      </c>
      <c r="E17" s="23">
        <f t="shared" si="0"/>
        <v>12049.424448750002</v>
      </c>
      <c r="F17" s="27">
        <f>(C$7+C$9*(1+IM_))*5*C17+IF(5&lt;=nLan,pPL*bPL*0.5*Ls1_,0)</f>
        <v>1864.9672166666669</v>
      </c>
      <c r="G17" s="23">
        <f t="shared" si="1"/>
        <v>7226.7479645833346</v>
      </c>
      <c r="H17" s="23">
        <f t="shared" si="2"/>
        <v>1678.4704950000003</v>
      </c>
      <c r="I17" s="13">
        <f>IF(5&lt;=nLan,Wcau/2-blc_-bPL-1.5*5,0)</f>
        <v>3.875</v>
      </c>
    </row>
    <row r="18" spans="2:9" x14ac:dyDescent="0.3">
      <c r="B18" s="14">
        <f>IF(6&lt;=nLan,6,"")</f>
        <v>6</v>
      </c>
      <c r="C18" s="13">
        <f>IF(6&gt;nLan,0,IF(6=1,1.2,IF(6=2,1,IF(6=3,0.85,0.65))))</f>
        <v>0.65</v>
      </c>
      <c r="D18" s="27">
        <f>(D$7+D$9*(1+IM_))*6*C18+IF(6&lt;=nLan,pPL*bPL*0.5*(Ls1_+Ls2_),0)</f>
        <v>3731.4346680000003</v>
      </c>
      <c r="E18" s="23">
        <f t="shared" si="0"/>
        <v>8862.1573365000004</v>
      </c>
      <c r="F18" s="27">
        <f>(C$7+C$9*(1+IM_))*6*C18+IF(6&lt;=nLan,pPL*bPL*0.5*Ls1_,0)</f>
        <v>2237.9606600000002</v>
      </c>
      <c r="G18" s="23">
        <f t="shared" si="1"/>
        <v>5315.1565675000002</v>
      </c>
      <c r="H18" s="23">
        <f t="shared" si="2"/>
        <v>2014.1645940000003</v>
      </c>
      <c r="I18" s="13">
        <f>IF(6&lt;=nLan,Wcau/2-blc_-bPL-1.5*6,0)</f>
        <v>2.375</v>
      </c>
    </row>
    <row r="19" spans="2:9" x14ac:dyDescent="0.3">
      <c r="B19" s="12" t="s">
        <v>442</v>
      </c>
    </row>
    <row r="21" spans="2:9" x14ac:dyDescent="0.3">
      <c r="B21" s="5" t="s">
        <v>443</v>
      </c>
    </row>
    <row r="22" spans="2:9" ht="27.6" x14ac:dyDescent="0.3">
      <c r="B22" s="18" t="s">
        <v>435</v>
      </c>
      <c r="C22" s="18" t="s">
        <v>44</v>
      </c>
      <c r="D22" s="18" t="s">
        <v>444</v>
      </c>
      <c r="E22" s="18" t="s">
        <v>445</v>
      </c>
      <c r="F22" s="18" t="s">
        <v>446</v>
      </c>
      <c r="G22" s="18" t="s">
        <v>447</v>
      </c>
    </row>
    <row r="23" spans="2:9" x14ac:dyDescent="0.3">
      <c r="B23" s="14">
        <f>1</f>
        <v>1</v>
      </c>
      <c r="C23" s="13">
        <f>IF(1&gt;nLan,0,IF(1=1,1.2,IF(1=2,1,IF(1=3,0.85,0.65))))</f>
        <v>1.2</v>
      </c>
      <c r="D23" s="23">
        <f>0.25*325*1*C23</f>
        <v>97.5</v>
      </c>
      <c r="E23" s="23">
        <f>0.05*(325+qlan*(Ls1_+Ls2_))*1*C23</f>
        <v>61.349999999999994</v>
      </c>
      <c r="F23" s="23">
        <f>0.05*(220+qlan*(Ls1_+Ls2_))*1*C23</f>
        <v>55.05</v>
      </c>
      <c r="G23" s="23">
        <f t="shared" ref="G23:G28" si="3">MAX(D23:F23)</f>
        <v>97.5</v>
      </c>
    </row>
    <row r="24" spans="2:9" x14ac:dyDescent="0.3">
      <c r="B24" s="14">
        <f>2</f>
        <v>2</v>
      </c>
      <c r="C24" s="13">
        <f>IF(2&gt;nLan,0,IF(2=1,1.2,IF(2=2,1,IF(2=3,0.85,0.65))))</f>
        <v>1</v>
      </c>
      <c r="D24" s="23">
        <f>0.25*325*2*C24</f>
        <v>162.5</v>
      </c>
      <c r="E24" s="23">
        <f>0.05*(325+qlan*(Ls1_+Ls2_))*2*C24</f>
        <v>102.25</v>
      </c>
      <c r="F24" s="23">
        <f>0.05*(220+qlan*(Ls1_+Ls2_))*2*C24</f>
        <v>91.75</v>
      </c>
      <c r="G24" s="23">
        <f t="shared" si="3"/>
        <v>162.5</v>
      </c>
    </row>
    <row r="25" spans="2:9" x14ac:dyDescent="0.3">
      <c r="B25" s="14">
        <f>3</f>
        <v>3</v>
      </c>
      <c r="C25" s="13">
        <f>IF(3&gt;nLan,0,IF(3=1,1.2,IF(3=2,1,IF(3=3,0.85,0.65))))</f>
        <v>0.85</v>
      </c>
      <c r="D25" s="23">
        <f>0.25*325*3*C25</f>
        <v>207.1875</v>
      </c>
      <c r="E25" s="23">
        <f>0.05*(325+qlan*(Ls1_+Ls2_))*3*C25</f>
        <v>130.36875000000001</v>
      </c>
      <c r="F25" s="23">
        <f>0.05*(220+qlan*(Ls1_+Ls2_))*3*C25</f>
        <v>116.98125</v>
      </c>
      <c r="G25" s="23">
        <f t="shared" si="3"/>
        <v>207.1875</v>
      </c>
    </row>
    <row r="26" spans="2:9" x14ac:dyDescent="0.3">
      <c r="B26" s="14">
        <f>4</f>
        <v>4</v>
      </c>
      <c r="C26" s="13">
        <f>IF(4&gt;nLan,0,IF(4=1,1.2,IF(4=2,1,IF(4=3,0.85,0.65))))</f>
        <v>0.65</v>
      </c>
      <c r="D26" s="23">
        <f>0.25*325*4*C26</f>
        <v>211.25</v>
      </c>
      <c r="E26" s="23">
        <f>0.05*(325+qlan*(Ls1_+Ls2_))*4*C26</f>
        <v>132.92500000000001</v>
      </c>
      <c r="F26" s="23">
        <f>0.05*(220+qlan*(Ls1_+Ls2_))*4*C26</f>
        <v>119.27500000000001</v>
      </c>
      <c r="G26" s="23">
        <f t="shared" si="3"/>
        <v>211.25</v>
      </c>
    </row>
    <row r="27" spans="2:9" x14ac:dyDescent="0.3">
      <c r="B27" s="14">
        <f>5</f>
        <v>5</v>
      </c>
      <c r="C27" s="13">
        <f>IF(5&gt;nLan,0,IF(5=1,1.2,IF(5=2,1,IF(5=3,0.85,0.65))))</f>
        <v>0.65</v>
      </c>
      <c r="D27" s="23">
        <f>0.25*325*5*C27</f>
        <v>264.0625</v>
      </c>
      <c r="E27" s="23">
        <f>0.05*(325+qlan*(Ls1_+Ls2_))*5*C27</f>
        <v>166.15625</v>
      </c>
      <c r="F27" s="23">
        <f>0.05*(220+qlan*(Ls1_+Ls2_))*5*C27</f>
        <v>149.09375</v>
      </c>
      <c r="G27" s="23">
        <f t="shared" si="3"/>
        <v>264.0625</v>
      </c>
    </row>
    <row r="28" spans="2:9" x14ac:dyDescent="0.3">
      <c r="B28" s="14">
        <f>6</f>
        <v>6</v>
      </c>
      <c r="C28" s="13">
        <f>IF(6&gt;nLan,0,IF(6=1,1.2,IF(6=2,1,IF(6=3,0.85,0.65))))</f>
        <v>0.65</v>
      </c>
      <c r="D28" s="23">
        <f>0.25*325*6*C28</f>
        <v>316.875</v>
      </c>
      <c r="E28" s="23">
        <f>0.05*(325+qlan*(Ls1_+Ls2_))*6*C28</f>
        <v>199.38750000000002</v>
      </c>
      <c r="F28" s="23">
        <f>0.05*(220+qlan*(Ls1_+Ls2_))*6*C28</f>
        <v>178.91249999999999</v>
      </c>
      <c r="G28" s="23">
        <f t="shared" si="3"/>
        <v>316.875</v>
      </c>
    </row>
    <row r="29" spans="2:9" ht="41.4" x14ac:dyDescent="0.3">
      <c r="B29" s="28" t="s">
        <v>448</v>
      </c>
      <c r="C29" s="27">
        <f>IF(AND(statT_="SLIDE",statP_="SLIDE"),0,MAX(G23:G28))</f>
        <v>316.875</v>
      </c>
    </row>
    <row r="30" spans="2:9" x14ac:dyDescent="0.3">
      <c r="B30" s="28" t="s">
        <v>449</v>
      </c>
      <c r="C30" s="23">
        <f>BR_H*zBR</f>
        <v>4445.7562500000013</v>
      </c>
      <c r="D30" s="23">
        <f>BR_H*(zBR-Hbe)</f>
        <v>3812.0062500000008</v>
      </c>
    </row>
    <row r="31" spans="2:9" x14ac:dyDescent="0.3">
      <c r="B31" s="28" t="s">
        <v>450</v>
      </c>
      <c r="C31" s="27">
        <f>IF(Rcong=0,0,4*(Vtk/3.6)^2/(3*9.81*Rcong)*325*nLan*IF(nLan=1,1.2,IF(nLan=2,1,IF(nLan=3,0.85,0.65))))</f>
        <v>0</v>
      </c>
    </row>
    <row r="32" spans="2:9" x14ac:dyDescent="0.3">
      <c r="B32" s="28" t="s">
        <v>451</v>
      </c>
      <c r="C32" s="23">
        <f>CE_H*zBR</f>
        <v>0</v>
      </c>
      <c r="D32" s="23">
        <f>CE_H*(zBR-Hbe)</f>
        <v>0</v>
      </c>
    </row>
    <row r="33" spans="2:5" x14ac:dyDescent="0.3">
      <c r="B33" s="12" t="s">
        <v>452</v>
      </c>
      <c r="C33" s="27">
        <f>FRval</f>
        <v>1034.6545125000002</v>
      </c>
      <c r="E33" s="7" t="s">
        <v>453</v>
      </c>
    </row>
    <row r="34" spans="2:5" x14ac:dyDescent="0.3">
      <c r="B34" s="28" t="s">
        <v>454</v>
      </c>
      <c r="C34" s="23">
        <f>FR_H*(Hbe+Hcot+hxm+hgoi)</f>
        <v>12705.557413500004</v>
      </c>
      <c r="D34" s="23">
        <f>FR_H*(Hcot+hxm+hgoi)</f>
        <v>10636.248388500004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I31"/>
  <sheetViews>
    <sheetView workbookViewId="0"/>
  </sheetViews>
  <sheetFormatPr defaultColWidth="8.6640625" defaultRowHeight="14.4" x14ac:dyDescent="0.3"/>
  <cols>
    <col min="1" max="1" width="2" customWidth="1"/>
    <col min="2" max="2" width="38" customWidth="1"/>
    <col min="3" max="3" width="13" customWidth="1"/>
    <col min="4" max="4" width="12" customWidth="1"/>
    <col min="5" max="9" width="13" customWidth="1"/>
  </cols>
  <sheetData>
    <row r="2" spans="2:9" ht="16.8" x14ac:dyDescent="0.3">
      <c r="B2" s="2" t="s">
        <v>455</v>
      </c>
    </row>
    <row r="4" spans="2:9" x14ac:dyDescent="0.3">
      <c r="B4" s="5" t="s">
        <v>456</v>
      </c>
    </row>
    <row r="5" spans="2:9" x14ac:dyDescent="0.3">
      <c r="B5" s="18" t="s">
        <v>457</v>
      </c>
      <c r="C5" s="18" t="s">
        <v>458</v>
      </c>
      <c r="D5" s="18" t="s">
        <v>251</v>
      </c>
      <c r="E5" s="18" t="s">
        <v>459</v>
      </c>
      <c r="F5" s="18" t="s">
        <v>460</v>
      </c>
      <c r="G5" s="18" t="s">
        <v>461</v>
      </c>
      <c r="H5" s="18" t="s">
        <v>462</v>
      </c>
      <c r="I5" s="18" t="s">
        <v>463</v>
      </c>
    </row>
    <row r="6" spans="2:9" x14ac:dyDescent="0.3">
      <c r="B6" s="24" t="s">
        <v>464</v>
      </c>
      <c r="C6" s="13">
        <f>dkcn*(L1_+L2_)/2</f>
        <v>116.51</v>
      </c>
      <c r="D6" s="13">
        <f>Cdkcn</f>
        <v>1.25</v>
      </c>
      <c r="E6" s="27">
        <f>MAX(1.8*C6,0.0006*V_gio^2*C6*D6)</f>
        <v>219.98811983906248</v>
      </c>
      <c r="F6" s="16">
        <f>Hbe+Hcot+hxm+hgoi+dkcn/2</f>
        <v>13.805000000000001</v>
      </c>
      <c r="G6" s="23">
        <f>E6*F6</f>
        <v>3036.9359943782579</v>
      </c>
      <c r="H6" s="16">
        <f>Hcot+hxm+hgoi+dkcn/2</f>
        <v>11.805000000000001</v>
      </c>
      <c r="I6" s="23">
        <f>E6*H6</f>
        <v>2596.9597547001331</v>
      </c>
    </row>
    <row r="7" spans="2:9" x14ac:dyDescent="0.3">
      <c r="B7" s="24" t="s">
        <v>465</v>
      </c>
      <c r="C7" s="13">
        <f>bthan*Hcot+Lxm*hxm</f>
        <v>86.941500000000005</v>
      </c>
      <c r="D7" s="13">
        <f>Cdthan</f>
        <v>0.8</v>
      </c>
      <c r="E7" s="27">
        <f>MAX(1.8*C7,0.0006*V_gio^2*C7*D7)</f>
        <v>156.49470000000002</v>
      </c>
      <c r="F7" s="16">
        <f>Hbe+(Hcot+hxm)/2</f>
        <v>7.0650000000000004</v>
      </c>
      <c r="G7" s="23">
        <f>E7*F7</f>
        <v>1105.6350555000001</v>
      </c>
      <c r="H7" s="16">
        <f>(Hcot+hxm)/2</f>
        <v>5.0650000000000004</v>
      </c>
      <c r="I7" s="23">
        <f>E7*H7</f>
        <v>792.6456555000002</v>
      </c>
    </row>
    <row r="8" spans="2:9" x14ac:dyDescent="0.3">
      <c r="B8" s="28" t="s">
        <v>466</v>
      </c>
      <c r="E8" s="27">
        <f>SUM(E6:E7)</f>
        <v>376.48281983906247</v>
      </c>
      <c r="G8" s="27">
        <f>SUM(G6:G7)</f>
        <v>4142.5710498782582</v>
      </c>
      <c r="I8" s="27">
        <f>SUM(I6:I7)</f>
        <v>3389.6054102001335</v>
      </c>
    </row>
    <row r="9" spans="2:9" x14ac:dyDescent="0.3">
      <c r="B9" s="28" t="s">
        <v>467</v>
      </c>
      <c r="E9" s="27">
        <f>0.25*E6+MAX(1.8*hthan*Hcot,0.0006*V_gio^2*hthan*Hcot*Cdthan)</f>
        <v>79.18902995976562</v>
      </c>
      <c r="G9" s="27">
        <f>0.25*E6*F6+(E9-0.25*E6)*(Hbe+Hcot/2)</f>
        <v>909.22439859456449</v>
      </c>
      <c r="I9" s="27">
        <f>0.25*E6*H6+(E9-0.25*E6)*Hcot/2</f>
        <v>750.84633867503328</v>
      </c>
    </row>
    <row r="11" spans="2:9" x14ac:dyDescent="0.3">
      <c r="B11" s="5" t="s">
        <v>468</v>
      </c>
    </row>
    <row r="12" spans="2:9" x14ac:dyDescent="0.3">
      <c r="B12" s="18" t="s">
        <v>457</v>
      </c>
      <c r="C12" s="18" t="s">
        <v>458</v>
      </c>
      <c r="D12" s="18" t="s">
        <v>251</v>
      </c>
      <c r="E12" s="18" t="s">
        <v>459</v>
      </c>
      <c r="F12" s="18" t="s">
        <v>460</v>
      </c>
      <c r="G12" s="18" t="s">
        <v>461</v>
      </c>
      <c r="H12" s="18" t="s">
        <v>462</v>
      </c>
      <c r="I12" s="18" t="s">
        <v>463</v>
      </c>
    </row>
    <row r="13" spans="2:9" x14ac:dyDescent="0.3">
      <c r="B13" s="24" t="s">
        <v>464</v>
      </c>
      <c r="C13" s="13">
        <f>dkcn*(L1_+L2_)/2</f>
        <v>116.51</v>
      </c>
      <c r="D13" s="13">
        <f>Cdkcn</f>
        <v>1.25</v>
      </c>
      <c r="E13" s="27">
        <f>MAX(1.8*C13,0.0006*25^2*C13*D13)</f>
        <v>209.71800000000002</v>
      </c>
      <c r="F13" s="16">
        <f>Hbe+Hcot+hxm+hgoi+dkcn/2</f>
        <v>13.805000000000001</v>
      </c>
      <c r="G13" s="23">
        <f>E13*F13</f>
        <v>2895.1569900000004</v>
      </c>
      <c r="H13" s="16">
        <f>Hcot+hxm+hgoi+dkcn/2</f>
        <v>11.805000000000001</v>
      </c>
      <c r="I13" s="23">
        <f>E13*H13</f>
        <v>2475.7209900000007</v>
      </c>
    </row>
    <row r="14" spans="2:9" x14ac:dyDescent="0.3">
      <c r="B14" s="24" t="s">
        <v>465</v>
      </c>
      <c r="C14" s="13">
        <f>bthan*Hcot+Lxm*hxm</f>
        <v>86.941500000000005</v>
      </c>
      <c r="D14" s="13">
        <f>Cdthan</f>
        <v>0.8</v>
      </c>
      <c r="E14" s="27">
        <f>MAX(1.8*C14,0.0006*25^2*C14*D14)</f>
        <v>156.49470000000002</v>
      </c>
      <c r="F14" s="16">
        <f>Hbe+(Hcot+hxm)/2</f>
        <v>7.0650000000000004</v>
      </c>
      <c r="G14" s="23">
        <f>E14*F14</f>
        <v>1105.6350555000001</v>
      </c>
      <c r="H14" s="16">
        <f>(Hcot+hxm)/2</f>
        <v>5.0650000000000004</v>
      </c>
      <c r="I14" s="23">
        <f>E14*H14</f>
        <v>792.6456555000002</v>
      </c>
    </row>
    <row r="15" spans="2:9" x14ac:dyDescent="0.3">
      <c r="B15" s="28" t="s">
        <v>466</v>
      </c>
      <c r="E15" s="27">
        <f>SUM(E13:E14)</f>
        <v>366.21270000000004</v>
      </c>
      <c r="G15" s="27">
        <f>SUM(G13:G14)</f>
        <v>4000.7920455000003</v>
      </c>
      <c r="I15" s="27">
        <f>SUM(I13:I14)</f>
        <v>3268.3666455000011</v>
      </c>
    </row>
    <row r="16" spans="2:9" x14ac:dyDescent="0.3">
      <c r="B16" s="28" t="s">
        <v>467</v>
      </c>
      <c r="E16" s="27">
        <f>0.25*E13+MAX(1.8*hthan*Hcot,0.0006*25^2*hthan*Hcot*Cdthan)</f>
        <v>76.621500000000012</v>
      </c>
      <c r="G16" s="27">
        <f>0.25*E13*F13+(E16-0.25*E13)*(Hbe+Hcot/2)</f>
        <v>873.77964750000012</v>
      </c>
      <c r="I16" s="27">
        <f>0.25*E13*H13+(E16-0.25*E13)*Hcot/2</f>
        <v>720.53664750000019</v>
      </c>
    </row>
    <row r="18" spans="2:4" x14ac:dyDescent="0.3">
      <c r="B18" s="5" t="s">
        <v>469</v>
      </c>
    </row>
    <row r="19" spans="2:4" x14ac:dyDescent="0.3">
      <c r="B19" s="7" t="s">
        <v>470</v>
      </c>
      <c r="C19" s="27">
        <f>0.00045*V_gio^2*Wcau*(L1_+L2_)/2</f>
        <v>1027.8133467890625</v>
      </c>
    </row>
    <row r="20" spans="2:4" x14ac:dyDescent="0.3">
      <c r="B20" s="7" t="s">
        <v>471</v>
      </c>
      <c r="C20" s="27">
        <f>1.46*(L1_+L2_)/2</f>
        <v>55.772000000000006</v>
      </c>
      <c r="D20" s="27">
        <f>0.55*(L1_+L2_)/2</f>
        <v>21.01</v>
      </c>
    </row>
    <row r="21" spans="2:4" x14ac:dyDescent="0.3">
      <c r="B21" s="7" t="s">
        <v>472</v>
      </c>
      <c r="C21" s="23">
        <f>C20*zBR</f>
        <v>782.48116000000027</v>
      </c>
      <c r="D21" s="23">
        <f>C20*(zBR-Hbe)</f>
        <v>670.93716000000018</v>
      </c>
    </row>
    <row r="22" spans="2:4" x14ac:dyDescent="0.3">
      <c r="B22" s="7" t="s">
        <v>473</v>
      </c>
      <c r="C22" s="23">
        <f>D20*zBR</f>
        <v>294.77030000000008</v>
      </c>
      <c r="D22" s="23">
        <f>D20*(zBR-Hbe)</f>
        <v>252.75030000000007</v>
      </c>
    </row>
    <row r="24" spans="2:4" x14ac:dyDescent="0.3">
      <c r="B24" s="5" t="s">
        <v>474</v>
      </c>
    </row>
    <row r="25" spans="2:4" x14ac:dyDescent="0.3">
      <c r="B25" s="7" t="s">
        <v>475</v>
      </c>
      <c r="C25" s="16">
        <f>514*CDnc*Vnc^2/1000</f>
        <v>0</v>
      </c>
    </row>
    <row r="26" spans="2:4" x14ac:dyDescent="0.3">
      <c r="B26" s="7" t="s">
        <v>476</v>
      </c>
      <c r="C26" s="13">
        <f>MAX(0,MNCN-Hbe)</f>
        <v>0</v>
      </c>
    </row>
    <row r="27" spans="2:4" x14ac:dyDescent="0.3">
      <c r="B27" s="7" t="s">
        <v>477</v>
      </c>
      <c r="C27" s="27">
        <f>C25*(hthan*C26+Bbe*MIN(MNCN,Hbe))</f>
        <v>0</v>
      </c>
    </row>
    <row r="28" spans="2:4" x14ac:dyDescent="0.3">
      <c r="B28" s="7" t="s">
        <v>478</v>
      </c>
      <c r="C28" s="27">
        <f>514*CLnc*Vnc^2/1000*(bthan*C26+Cbe*MIN(MNCN,Hbe))</f>
        <v>0</v>
      </c>
    </row>
    <row r="29" spans="2:4" x14ac:dyDescent="0.3">
      <c r="B29" s="7" t="s">
        <v>479</v>
      </c>
      <c r="C29" s="13">
        <f>MNCN/2</f>
        <v>0</v>
      </c>
    </row>
    <row r="30" spans="2:4" x14ac:dyDescent="0.3">
      <c r="B30" s="7" t="s">
        <v>480</v>
      </c>
      <c r="C30" s="23">
        <f>C27*C29</f>
        <v>0</v>
      </c>
      <c r="D30" s="23">
        <f>C27*MAX(0,C29-Hbe)</f>
        <v>0</v>
      </c>
    </row>
    <row r="31" spans="2:4" x14ac:dyDescent="0.3">
      <c r="B31" s="7" t="s">
        <v>481</v>
      </c>
      <c r="C31" s="23">
        <f>C28*C29</f>
        <v>0</v>
      </c>
      <c r="D31" s="23">
        <f>C28*MAX(0,C29-Hbe)</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H20"/>
  <sheetViews>
    <sheetView workbookViewId="0"/>
  </sheetViews>
  <sheetFormatPr defaultColWidth="8.6640625" defaultRowHeight="14.4" x14ac:dyDescent="0.3"/>
  <cols>
    <col min="1" max="1" width="2" customWidth="1"/>
    <col min="2" max="2" width="44" customWidth="1"/>
    <col min="3" max="4" width="14" customWidth="1"/>
    <col min="5" max="5" width="44" customWidth="1"/>
  </cols>
  <sheetData>
    <row r="2" spans="2:8" ht="16.8" x14ac:dyDescent="0.3">
      <c r="B2" s="2" t="s">
        <v>482</v>
      </c>
    </row>
    <row r="4" spans="2:8" x14ac:dyDescent="0.3">
      <c r="B4" s="7" t="s">
        <v>1837</v>
      </c>
      <c r="C4" s="23">
        <f>RDC1_+RDC2_+RDW1_+RDW2_+Vxm*gcbt+nThan*0.5*((Agth+Agth2)/2*(Hcot-hmr)+(Agth2+Agmr)/2*hmr)*gcbt</f>
        <v>17729.711475794811</v>
      </c>
    </row>
    <row r="5" spans="2:8" x14ac:dyDescent="0.3">
      <c r="B5" s="7" t="s">
        <v>483</v>
      </c>
      <c r="C5" s="16">
        <f>bthan*hthan^3/12</f>
        <v>1.8773333333333337</v>
      </c>
      <c r="D5" s="23">
        <f>hthan*bthan^3/12</f>
        <v>22.183333333333334</v>
      </c>
    </row>
    <row r="6" spans="2:8" x14ac:dyDescent="0.3">
      <c r="B6" s="7" t="s">
        <v>484</v>
      </c>
      <c r="C6" s="26">
        <f>2*PI()*SQRT(C4/9.81*(Hcot+hxm/2)^3/(3*Ec_*1000*C5))</f>
        <v>0.56691436160933029</v>
      </c>
      <c r="D6" s="26">
        <f>2*PI()*SQRT(C4/9.81*(Hcot+hxm/2)^3/(3*Ec_*1000*D5))</f>
        <v>0.16492054155907795</v>
      </c>
    </row>
    <row r="7" spans="2:8" x14ac:dyDescent="0.3">
      <c r="B7" s="7" t="s">
        <v>1843</v>
      </c>
      <c r="C7" s="31">
        <f>MAX(C17,C19)</f>
        <v>0.23292920607878495</v>
      </c>
      <c r="D7" s="31">
        <f>MAX(D17,D19)</f>
        <v>0.27699999999999997</v>
      </c>
    </row>
    <row r="9" spans="2:8" ht="27.6" x14ac:dyDescent="0.3">
      <c r="B9" s="18" t="s">
        <v>485</v>
      </c>
      <c r="C9" s="18" t="s">
        <v>486</v>
      </c>
      <c r="D9" s="18" t="s">
        <v>487</v>
      </c>
      <c r="E9" s="18" t="s">
        <v>460</v>
      </c>
      <c r="F9" s="18" t="s">
        <v>461</v>
      </c>
      <c r="G9" s="18" t="s">
        <v>488</v>
      </c>
      <c r="H9" s="18" t="s">
        <v>463</v>
      </c>
    </row>
    <row r="10" spans="2:8" x14ac:dyDescent="0.3">
      <c r="B10" s="24" t="s">
        <v>489</v>
      </c>
      <c r="C10" s="23">
        <f>RDC1_+RDC2_+RDW1_+RDW2_</f>
        <v>14780.778750000001</v>
      </c>
      <c r="D10" s="23">
        <f>Csm_d*C10/Rtru</f>
        <v>1147.6250198212254</v>
      </c>
      <c r="E10" s="16">
        <f>Hbe+Hcot+hxm+hgoi</f>
        <v>12.280000000000001</v>
      </c>
      <c r="F10" s="23">
        <f>D10*E10</f>
        <v>14092.835243404648</v>
      </c>
      <c r="G10" s="16">
        <f>Hcot+hxm+hgoi</f>
        <v>10.280000000000001</v>
      </c>
      <c r="H10" s="23">
        <f>D10*G10</f>
        <v>11797.585203762197</v>
      </c>
    </row>
    <row r="11" spans="2:8" x14ac:dyDescent="0.3">
      <c r="B11" s="24" t="s">
        <v>490</v>
      </c>
      <c r="C11" s="23">
        <f>Vxm*gcbt</f>
        <v>1715</v>
      </c>
      <c r="D11" s="23">
        <f>Csm_d*C11/Rtru</f>
        <v>133.15786280837207</v>
      </c>
      <c r="E11" s="16">
        <f>Hbe+Hcot+hxm/2</f>
        <v>11.265000000000001</v>
      </c>
      <c r="F11" s="23">
        <f>D11*E11</f>
        <v>1500.0233245363115</v>
      </c>
      <c r="G11" s="16">
        <f>Hcot+hxm/2</f>
        <v>9.2650000000000006</v>
      </c>
      <c r="H11" s="23">
        <f>D11*G11</f>
        <v>1233.7075989195673</v>
      </c>
    </row>
    <row r="12" spans="2:8" x14ac:dyDescent="0.3">
      <c r="B12" s="24" t="s">
        <v>1838</v>
      </c>
      <c r="C12" s="23">
        <f>nThan*((Agth+Agth2)/2*(Hcot-hmr)+(Agth2+Agmr)/2*hmr)*gcbt</f>
        <v>2467.8654515896187</v>
      </c>
      <c r="D12" s="23">
        <f>Csm_d*C12/Rtru</f>
        <v>191.61264678267733</v>
      </c>
      <c r="E12" s="16">
        <f>Hbe+Hcot/2</f>
        <v>6.2</v>
      </c>
      <c r="F12" s="23">
        <f>D12*E12</f>
        <v>1187.9984100525994</v>
      </c>
      <c r="G12" s="16">
        <f>Hcot/2</f>
        <v>4.2</v>
      </c>
      <c r="H12" s="23">
        <f>D12*G12</f>
        <v>804.77311648724481</v>
      </c>
    </row>
    <row r="13" spans="2:8" x14ac:dyDescent="0.3">
      <c r="B13" s="24" t="s">
        <v>491</v>
      </c>
      <c r="C13" s="23">
        <f>Bbe*Cbe*Hbe*gcbt</f>
        <v>3351.6000000000004</v>
      </c>
      <c r="D13" s="23">
        <f>Csm_d*C13/Rmo</f>
        <v>780.68552709365576</v>
      </c>
      <c r="E13" s="16">
        <f>Hbe/2</f>
        <v>1</v>
      </c>
      <c r="F13" s="23">
        <f>D13*E13</f>
        <v>780.68552709365576</v>
      </c>
      <c r="G13" s="23">
        <f>0</f>
        <v>0</v>
      </c>
      <c r="H13" s="23">
        <f>0</f>
        <v>0</v>
      </c>
    </row>
    <row r="14" spans="2:8" ht="27.6" x14ac:dyDescent="0.3">
      <c r="B14" s="28" t="s">
        <v>492</v>
      </c>
      <c r="D14" s="27">
        <f>SUM(D10:D13)</f>
        <v>2253.0810565059305</v>
      </c>
      <c r="E14" s="27">
        <f>SUM(D10:D12)</f>
        <v>1472.3955294122748</v>
      </c>
      <c r="F14" s="27">
        <f>SUM(F10:F13)</f>
        <v>17561.542505087215</v>
      </c>
      <c r="H14" s="27">
        <f>SUM(H10:H13)</f>
        <v>13836.06591916901</v>
      </c>
    </row>
    <row r="15" spans="2:8" x14ac:dyDescent="0.3">
      <c r="B15" s="28" t="s">
        <v>493</v>
      </c>
      <c r="D15" s="27">
        <f>D14*Csm_n/Csm_d</f>
        <v>2679.3696812801081</v>
      </c>
      <c r="E15" s="27">
        <f>E14*Csm_n/Csm_d</f>
        <v>1750.9764812801084</v>
      </c>
      <c r="F15" s="27">
        <f>F14*Csm_n/Csm_d</f>
        <v>20884.230688803342</v>
      </c>
      <c r="H15" s="27">
        <f>H14*Csm_n/Csm_d</f>
        <v>16453.884526243124</v>
      </c>
    </row>
    <row r="17" spans="2:4" x14ac:dyDescent="0.3">
      <c r="B17" t="s">
        <v>1839</v>
      </c>
      <c r="C17">
        <f>IF(AND(OR(soildd="III",soildd="IV"),C6&lt;0.3),(0.8+4*C6)*Add,IF(C6&gt;4,3*Add*Sdd/C6^(4/3),MIN(2.5*Add,1.2*Add*Sdd/C6^(2/3))))</f>
        <v>0.23292920607878495</v>
      </c>
      <c r="D17">
        <f>IF(AND(OR(soildd="III",soildd="IV"),D6&lt;0.3),(0.8+4*D6)*Add,IF(D6&gt;4,3*Add*Sdd/D6^(4/3),MIN(2.5*Add,1.2*Add*Sdd/D6^(2/3))))</f>
        <v>0.27699999999999997</v>
      </c>
    </row>
    <row r="18" spans="2:4" x14ac:dyDescent="0.3">
      <c r="B18" t="s">
        <v>1840</v>
      </c>
      <c r="C18">
        <f>C6/SQRT(nThan)</f>
        <v>0.56691436160933029</v>
      </c>
      <c r="D18">
        <f>D6/SQRT(nThan)</f>
        <v>0.16492054155907795</v>
      </c>
    </row>
    <row r="19" spans="2:4" x14ac:dyDescent="0.3">
      <c r="B19" t="s">
        <v>1841</v>
      </c>
      <c r="C19">
        <f>IF(AND(OR(soildd="III",soildd="IV"),C18&lt;0.3),(0.8+4*C18)*Add,IF(C18&gt;4,3*Add*Sdd/C18^(4/3),MIN(2.5*Add,1.2*Add*Sdd/C18^(2/3))))</f>
        <v>0.23292920607878495</v>
      </c>
      <c r="D19">
        <f>IF(AND(OR(soildd="III",soildd="IV"),D18&lt;0.3),(0.8+4*D18)*Add,IF(D18&gt;4,3*Add*Sdd/D18^(4/3),MIN(2.5*Add,1.2*Add*Sdd/D18^(2/3))))</f>
        <v>0.27699999999999997</v>
      </c>
    </row>
    <row r="20" spans="2:4" x14ac:dyDescent="0.3">
      <c r="B20" t="s">
        <v>1842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heetViews>
  <sheetFormatPr defaultColWidth="8.6640625" defaultRowHeight="14.4" x14ac:dyDescent="0.3"/>
  <cols>
    <col min="1" max="1" width="2" customWidth="1"/>
    <col min="2" max="2" width="44" customWidth="1"/>
    <col min="3" max="4" width="14" customWidth="1"/>
    <col min="5" max="5" width="44" customWidth="1"/>
  </cols>
  <sheetData>
    <row r="2" spans="2:4" ht="16.8" x14ac:dyDescent="0.3">
      <c r="B2" s="2" t="s">
        <v>494</v>
      </c>
    </row>
    <row r="4" spans="2:4" x14ac:dyDescent="0.3">
      <c r="B4" s="7" t="s">
        <v>495</v>
      </c>
      <c r="C4" s="27">
        <f>CT_</f>
        <v>1800</v>
      </c>
    </row>
    <row r="5" spans="2:4" x14ac:dyDescent="0.3">
      <c r="B5" s="7" t="s">
        <v>496</v>
      </c>
      <c r="C5" s="23">
        <f>CT_*zCT</f>
        <v>5760</v>
      </c>
      <c r="D5" s="23">
        <f>CT_*MAX(0,zCT-Hbe)</f>
        <v>2160.0000000000005</v>
      </c>
    </row>
    <row r="6" spans="2:4" x14ac:dyDescent="0.3">
      <c r="B6" s="7" t="s">
        <v>497</v>
      </c>
      <c r="C6" s="27">
        <f>CV_</f>
        <v>0</v>
      </c>
    </row>
    <row r="7" spans="2:4" x14ac:dyDescent="0.3">
      <c r="B7" s="7" t="s">
        <v>498</v>
      </c>
      <c r="C7" s="23">
        <f>CV_*zCV</f>
        <v>0</v>
      </c>
      <c r="D7" s="23">
        <f>CV_*MAX(0,zCV-Hbe)</f>
        <v>0</v>
      </c>
    </row>
    <row r="8" spans="2:4" x14ac:dyDescent="0.3">
      <c r="B8" s="12" t="s">
        <v>499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AT201"/>
  <sheetViews>
    <sheetView topLeftCell="A178" workbookViewId="0">
      <selection activeCell="F210" sqref="F210"/>
    </sheetView>
  </sheetViews>
  <sheetFormatPr defaultColWidth="8.6640625" defaultRowHeight="14.4" x14ac:dyDescent="0.3"/>
  <cols>
    <col min="1" max="1" width="2" customWidth="1"/>
    <col min="2" max="2" width="30" customWidth="1"/>
    <col min="3" max="39" width="10.5546875" customWidth="1"/>
  </cols>
  <sheetData>
    <row r="2" spans="2:12" ht="16.8" x14ac:dyDescent="0.3">
      <c r="B2" s="2" t="s">
        <v>500</v>
      </c>
    </row>
    <row r="5" spans="2:12" x14ac:dyDescent="0.3">
      <c r="B5" s="5" t="s">
        <v>501</v>
      </c>
    </row>
    <row r="6" spans="2:12" x14ac:dyDescent="0.3">
      <c r="B6" s="18" t="s">
        <v>502</v>
      </c>
      <c r="C6" s="18" t="s">
        <v>503</v>
      </c>
      <c r="D6" s="18" t="s">
        <v>504</v>
      </c>
      <c r="E6" s="18" t="s">
        <v>505</v>
      </c>
      <c r="F6" s="18" t="s">
        <v>506</v>
      </c>
      <c r="G6" s="18" t="s">
        <v>507</v>
      </c>
      <c r="H6" s="18" t="s">
        <v>508</v>
      </c>
      <c r="I6" s="18" t="s">
        <v>509</v>
      </c>
      <c r="J6" s="18" t="s">
        <v>510</v>
      </c>
      <c r="K6" s="18" t="s">
        <v>511</v>
      </c>
      <c r="L6" s="18" t="s">
        <v>512</v>
      </c>
    </row>
    <row r="7" spans="2:12" x14ac:dyDescent="0.3">
      <c r="B7" s="24" t="s">
        <v>513</v>
      </c>
      <c r="C7" s="23" t="s">
        <v>514</v>
      </c>
      <c r="D7" s="23" t="s">
        <v>514</v>
      </c>
      <c r="E7" s="23">
        <f>RDC1_+RDC2_</f>
        <v>13412.025000000001</v>
      </c>
      <c r="F7" s="23" t="s">
        <v>514</v>
      </c>
      <c r="G7" s="23">
        <f>'TINH TAI'!D5</f>
        <v>0</v>
      </c>
      <c r="H7" s="23" t="s">
        <v>514</v>
      </c>
      <c r="I7" s="23" t="s">
        <v>514</v>
      </c>
      <c r="J7" s="23">
        <f>RDC1_+RDC2_</f>
        <v>13412.025000000001</v>
      </c>
      <c r="K7" s="23" t="s">
        <v>514</v>
      </c>
      <c r="L7" s="23">
        <f>'TINH TAI'!D5</f>
        <v>0</v>
      </c>
    </row>
    <row r="8" spans="2:12" x14ac:dyDescent="0.3">
      <c r="B8" s="24" t="s">
        <v>515</v>
      </c>
      <c r="C8" s="23" t="s">
        <v>514</v>
      </c>
      <c r="D8" s="23" t="s">
        <v>514</v>
      </c>
      <c r="E8" s="23">
        <f>RDW1_+RDW2_</f>
        <v>1368.7537500000003</v>
      </c>
      <c r="F8" s="23" t="s">
        <v>514</v>
      </c>
      <c r="G8" s="23">
        <f>'TINH TAI'!D6</f>
        <v>0</v>
      </c>
      <c r="H8" s="23" t="s">
        <v>514</v>
      </c>
      <c r="I8" s="23" t="s">
        <v>514</v>
      </c>
      <c r="J8" s="23">
        <f>RDW1_+RDW2_</f>
        <v>1368.7537500000003</v>
      </c>
      <c r="K8" s="23" t="s">
        <v>514</v>
      </c>
      <c r="L8" s="23">
        <f>'TINH TAI'!D6</f>
        <v>0</v>
      </c>
    </row>
    <row r="9" spans="2:12" x14ac:dyDescent="0.3">
      <c r="B9" s="24" t="s">
        <v>516</v>
      </c>
      <c r="C9" s="23" t="s">
        <v>514</v>
      </c>
      <c r="D9" s="23" t="s">
        <v>514</v>
      </c>
      <c r="E9" s="23">
        <f>DC2_G</f>
        <v>4182.8654515896187</v>
      </c>
      <c r="F9" s="23" t="s">
        <v>514</v>
      </c>
      <c r="G9" s="23" t="s">
        <v>514</v>
      </c>
      <c r="H9" s="23" t="s">
        <v>514</v>
      </c>
      <c r="I9" s="23" t="s">
        <v>514</v>
      </c>
      <c r="J9" s="23">
        <f>DC2_G</f>
        <v>4182.8654515896187</v>
      </c>
      <c r="K9" s="23" t="s">
        <v>514</v>
      </c>
      <c r="L9" s="23" t="s">
        <v>514</v>
      </c>
    </row>
    <row r="10" spans="2:12" x14ac:dyDescent="0.3">
      <c r="B10" s="24" t="s">
        <v>517</v>
      </c>
      <c r="C10" s="23" t="s">
        <v>514</v>
      </c>
      <c r="D10" s="23" t="s">
        <v>514</v>
      </c>
      <c r="E10" s="23">
        <f>DC3_G</f>
        <v>3351.6000000000004</v>
      </c>
      <c r="F10" s="23" t="s">
        <v>514</v>
      </c>
      <c r="G10" s="23" t="s">
        <v>514</v>
      </c>
      <c r="H10" s="23" t="s">
        <v>514</v>
      </c>
      <c r="I10" s="23" t="s">
        <v>514</v>
      </c>
      <c r="J10" s="23" t="s">
        <v>514</v>
      </c>
      <c r="K10" s="23" t="s">
        <v>514</v>
      </c>
      <c r="L10" s="23" t="s">
        <v>514</v>
      </c>
    </row>
    <row r="11" spans="2:12" x14ac:dyDescent="0.3">
      <c r="B11" s="24" t="s">
        <v>518</v>
      </c>
      <c r="C11" s="23" t="s">
        <v>514</v>
      </c>
      <c r="D11" s="23" t="s">
        <v>514</v>
      </c>
      <c r="E11" s="23">
        <f>WB_N</f>
        <v>0</v>
      </c>
      <c r="F11" s="23" t="s">
        <v>514</v>
      </c>
      <c r="G11" s="23" t="s">
        <v>514</v>
      </c>
      <c r="H11" s="23" t="s">
        <v>514</v>
      </c>
      <c r="I11" s="23" t="s">
        <v>514</v>
      </c>
      <c r="J11" s="23">
        <f>MIN(0,-gnc*Agth*MAX(0,MNTN-Hbe))</f>
        <v>0</v>
      </c>
      <c r="K11" s="23" t="s">
        <v>514</v>
      </c>
      <c r="L11" s="23" t="s">
        <v>514</v>
      </c>
    </row>
    <row r="12" spans="2:12" x14ac:dyDescent="0.3">
      <c r="B12" s="24" t="s">
        <v>519</v>
      </c>
      <c r="C12" s="23" t="s">
        <v>514</v>
      </c>
      <c r="D12" s="23" t="s">
        <v>514</v>
      </c>
      <c r="E12" s="23">
        <f>INDEX(LL2_N,1)</f>
        <v>1148.133744</v>
      </c>
      <c r="F12" s="23">
        <f>INDEX(LL2_Mx,1)</f>
        <v>11337.820722</v>
      </c>
      <c r="G12" s="23" t="s">
        <v>514</v>
      </c>
      <c r="H12" s="23" t="s">
        <v>514</v>
      </c>
      <c r="I12" s="23" t="s">
        <v>514</v>
      </c>
      <c r="J12" s="23">
        <f>INDEX(LL2_N,1)</f>
        <v>1148.133744</v>
      </c>
      <c r="K12" s="23">
        <f>INDEX(LL2_Mx,1)</f>
        <v>11337.820722</v>
      </c>
      <c r="L12" s="23" t="s">
        <v>514</v>
      </c>
    </row>
    <row r="13" spans="2:12" x14ac:dyDescent="0.3">
      <c r="B13" s="24" t="s">
        <v>520</v>
      </c>
      <c r="C13" s="23" t="s">
        <v>514</v>
      </c>
      <c r="D13" s="23" t="s">
        <v>514</v>
      </c>
      <c r="E13" s="23">
        <f>INDEX(LL2_N,2)</f>
        <v>1913.5562400000001</v>
      </c>
      <c r="F13" s="23">
        <f>INDEX(LL2_Mx,2)</f>
        <v>16026.033510000001</v>
      </c>
      <c r="G13" s="23" t="s">
        <v>514</v>
      </c>
      <c r="H13" s="23" t="s">
        <v>514</v>
      </c>
      <c r="I13" s="23" t="s">
        <v>514</v>
      </c>
      <c r="J13" s="23">
        <f>INDEX(LL2_N,2)</f>
        <v>1913.5562400000001</v>
      </c>
      <c r="K13" s="23">
        <f>INDEX(LL2_Mx,2)</f>
        <v>16026.033510000001</v>
      </c>
      <c r="L13" s="23" t="s">
        <v>514</v>
      </c>
    </row>
    <row r="14" spans="2:12" x14ac:dyDescent="0.3">
      <c r="B14" s="24" t="s">
        <v>521</v>
      </c>
      <c r="C14" s="23" t="s">
        <v>514</v>
      </c>
      <c r="D14" s="23" t="s">
        <v>514</v>
      </c>
      <c r="E14" s="23">
        <f>INDEX(LL2_N,3)</f>
        <v>2439.7842060000003</v>
      </c>
      <c r="F14" s="23">
        <f>INDEX(LL2_Mx,3)</f>
        <v>16773.51641625</v>
      </c>
      <c r="G14" s="23" t="s">
        <v>514</v>
      </c>
      <c r="H14" s="23" t="s">
        <v>514</v>
      </c>
      <c r="I14" s="23" t="s">
        <v>514</v>
      </c>
      <c r="J14" s="23">
        <f>INDEX(LL2_N,3)</f>
        <v>2439.7842060000003</v>
      </c>
      <c r="K14" s="23">
        <f>INDEX(LL2_Mx,3)</f>
        <v>16773.51641625</v>
      </c>
      <c r="L14" s="23" t="s">
        <v>514</v>
      </c>
    </row>
    <row r="15" spans="2:12" x14ac:dyDescent="0.3">
      <c r="B15" s="24" t="s">
        <v>522</v>
      </c>
      <c r="C15" s="23" t="s">
        <v>514</v>
      </c>
      <c r="D15" s="23" t="s">
        <v>514</v>
      </c>
      <c r="E15" s="23">
        <f>INDEX(LL2_N,4)</f>
        <v>2487.6231120000002</v>
      </c>
      <c r="F15" s="23">
        <f>INDEX(LL2_Mx,4)</f>
        <v>13370.974227000001</v>
      </c>
      <c r="G15" s="23" t="s">
        <v>514</v>
      </c>
      <c r="H15" s="23" t="s">
        <v>514</v>
      </c>
      <c r="I15" s="23" t="s">
        <v>514</v>
      </c>
      <c r="J15" s="23">
        <f>INDEX(LL2_N,4)</f>
        <v>2487.6231120000002</v>
      </c>
      <c r="K15" s="23">
        <f>INDEX(LL2_Mx,4)</f>
        <v>13370.974227000001</v>
      </c>
      <c r="L15" s="23" t="s">
        <v>514</v>
      </c>
    </row>
    <row r="16" spans="2:12" x14ac:dyDescent="0.3">
      <c r="B16" s="24" t="s">
        <v>523</v>
      </c>
      <c r="C16" s="23" t="s">
        <v>514</v>
      </c>
      <c r="D16" s="23" t="s">
        <v>514</v>
      </c>
      <c r="E16" s="23">
        <f>INDEX(LL2_N,5)</f>
        <v>3109.5288900000005</v>
      </c>
      <c r="F16" s="23">
        <f>INDEX(LL2_Mx,5)</f>
        <v>12049.424448750002</v>
      </c>
      <c r="G16" s="23" t="s">
        <v>514</v>
      </c>
      <c r="H16" s="23" t="s">
        <v>514</v>
      </c>
      <c r="I16" s="23" t="s">
        <v>514</v>
      </c>
      <c r="J16" s="23">
        <f>INDEX(LL2_N,5)</f>
        <v>3109.5288900000005</v>
      </c>
      <c r="K16" s="23">
        <f>INDEX(LL2_Mx,5)</f>
        <v>12049.424448750002</v>
      </c>
      <c r="L16" s="23" t="s">
        <v>514</v>
      </c>
    </row>
    <row r="17" spans="2:12" x14ac:dyDescent="0.3">
      <c r="B17" s="24" t="s">
        <v>524</v>
      </c>
      <c r="C17" s="23" t="s">
        <v>514</v>
      </c>
      <c r="D17" s="23" t="s">
        <v>514</v>
      </c>
      <c r="E17" s="23">
        <f>INDEX(LL2_N,6)</f>
        <v>3731.4346680000003</v>
      </c>
      <c r="F17" s="23">
        <f>INDEX(LL2_Mx,6)</f>
        <v>8862.1573365000004</v>
      </c>
      <c r="G17" s="23" t="s">
        <v>514</v>
      </c>
      <c r="H17" s="23" t="s">
        <v>514</v>
      </c>
      <c r="I17" s="23" t="s">
        <v>514</v>
      </c>
      <c r="J17" s="23">
        <f>INDEX(LL2_N,6)</f>
        <v>3731.4346680000003</v>
      </c>
      <c r="K17" s="23">
        <f>INDEX(LL2_Mx,6)</f>
        <v>8862.1573365000004</v>
      </c>
      <c r="L17" s="23" t="s">
        <v>514</v>
      </c>
    </row>
    <row r="18" spans="2:12" x14ac:dyDescent="0.3">
      <c r="B18" s="24" t="s">
        <v>525</v>
      </c>
      <c r="C18" s="23" t="s">
        <v>514</v>
      </c>
      <c r="D18" s="23" t="s">
        <v>514</v>
      </c>
      <c r="E18" s="23">
        <f>INDEX(LL2_N,1)</f>
        <v>1148.133744</v>
      </c>
      <c r="F18" s="23" t="s">
        <v>514</v>
      </c>
      <c r="G18" s="23" t="s">
        <v>514</v>
      </c>
      <c r="H18" s="23" t="s">
        <v>514</v>
      </c>
      <c r="I18" s="23" t="s">
        <v>514</v>
      </c>
      <c r="J18" s="23">
        <f>INDEX(LL2_N,1)</f>
        <v>1148.133744</v>
      </c>
      <c r="K18" s="23" t="s">
        <v>514</v>
      </c>
      <c r="L18" s="23" t="s">
        <v>514</v>
      </c>
    </row>
    <row r="19" spans="2:12" x14ac:dyDescent="0.3">
      <c r="B19" s="24" t="s">
        <v>526</v>
      </c>
      <c r="C19" s="23" t="s">
        <v>514</v>
      </c>
      <c r="D19" s="23" t="s">
        <v>514</v>
      </c>
      <c r="E19" s="23">
        <f>INDEX(LL2_N,2)</f>
        <v>1913.5562400000001</v>
      </c>
      <c r="F19" s="23" t="s">
        <v>514</v>
      </c>
      <c r="G19" s="23" t="s">
        <v>514</v>
      </c>
      <c r="H19" s="23" t="s">
        <v>514</v>
      </c>
      <c r="I19" s="23" t="s">
        <v>514</v>
      </c>
      <c r="J19" s="23">
        <f>INDEX(LL2_N,2)</f>
        <v>1913.5562400000001</v>
      </c>
      <c r="K19" s="23" t="s">
        <v>514</v>
      </c>
      <c r="L19" s="23" t="s">
        <v>514</v>
      </c>
    </row>
    <row r="20" spans="2:12" x14ac:dyDescent="0.3">
      <c r="B20" s="24" t="s">
        <v>527</v>
      </c>
      <c r="C20" s="23" t="s">
        <v>514</v>
      </c>
      <c r="D20" s="23" t="s">
        <v>514</v>
      </c>
      <c r="E20" s="23">
        <f>INDEX(LL2_N,3)</f>
        <v>2439.7842060000003</v>
      </c>
      <c r="F20" s="23" t="s">
        <v>514</v>
      </c>
      <c r="G20" s="23" t="s">
        <v>514</v>
      </c>
      <c r="H20" s="23" t="s">
        <v>514</v>
      </c>
      <c r="I20" s="23" t="s">
        <v>514</v>
      </c>
      <c r="J20" s="23">
        <f>INDEX(LL2_N,3)</f>
        <v>2439.7842060000003</v>
      </c>
      <c r="K20" s="23" t="s">
        <v>514</v>
      </c>
      <c r="L20" s="23" t="s">
        <v>514</v>
      </c>
    </row>
    <row r="21" spans="2:12" x14ac:dyDescent="0.3">
      <c r="B21" s="24" t="s">
        <v>528</v>
      </c>
      <c r="C21" s="23" t="s">
        <v>514</v>
      </c>
      <c r="D21" s="23" t="s">
        <v>514</v>
      </c>
      <c r="E21" s="23">
        <f>INDEX(LL2_N,4)</f>
        <v>2487.6231120000002</v>
      </c>
      <c r="F21" s="23" t="s">
        <v>514</v>
      </c>
      <c r="G21" s="23" t="s">
        <v>514</v>
      </c>
      <c r="H21" s="23" t="s">
        <v>514</v>
      </c>
      <c r="I21" s="23" t="s">
        <v>514</v>
      </c>
      <c r="J21" s="23">
        <f>INDEX(LL2_N,4)</f>
        <v>2487.6231120000002</v>
      </c>
      <c r="K21" s="23" t="s">
        <v>514</v>
      </c>
      <c r="L21" s="23" t="s">
        <v>514</v>
      </c>
    </row>
    <row r="22" spans="2:12" x14ac:dyDescent="0.3">
      <c r="B22" s="24" t="s">
        <v>529</v>
      </c>
      <c r="C22" s="23" t="s">
        <v>514</v>
      </c>
      <c r="D22" s="23" t="s">
        <v>514</v>
      </c>
      <c r="E22" s="23">
        <f>INDEX(LL2_N,5)</f>
        <v>3109.5288900000005</v>
      </c>
      <c r="F22" s="23" t="s">
        <v>514</v>
      </c>
      <c r="G22" s="23" t="s">
        <v>514</v>
      </c>
      <c r="H22" s="23" t="s">
        <v>514</v>
      </c>
      <c r="I22" s="23" t="s">
        <v>514</v>
      </c>
      <c r="J22" s="23">
        <f>INDEX(LL2_N,5)</f>
        <v>3109.5288900000005</v>
      </c>
      <c r="K22" s="23" t="s">
        <v>514</v>
      </c>
      <c r="L22" s="23" t="s">
        <v>514</v>
      </c>
    </row>
    <row r="23" spans="2:12" x14ac:dyDescent="0.3">
      <c r="B23" s="24" t="s">
        <v>530</v>
      </c>
      <c r="C23" s="23" t="s">
        <v>514</v>
      </c>
      <c r="D23" s="23" t="s">
        <v>514</v>
      </c>
      <c r="E23" s="23">
        <f>INDEX(LL2_N,6)</f>
        <v>3731.4346680000003</v>
      </c>
      <c r="F23" s="23" t="s">
        <v>514</v>
      </c>
      <c r="G23" s="23" t="s">
        <v>514</v>
      </c>
      <c r="H23" s="23" t="s">
        <v>514</v>
      </c>
      <c r="I23" s="23" t="s">
        <v>514</v>
      </c>
      <c r="J23" s="23">
        <f>INDEX(LL2_N,6)</f>
        <v>3731.4346680000003</v>
      </c>
      <c r="K23" s="23" t="s">
        <v>514</v>
      </c>
      <c r="L23" s="23" t="s">
        <v>514</v>
      </c>
    </row>
    <row r="24" spans="2:12" x14ac:dyDescent="0.3">
      <c r="B24" s="24" t="s">
        <v>531</v>
      </c>
      <c r="C24" s="23" t="s">
        <v>514</v>
      </c>
      <c r="D24" s="23" t="s">
        <v>514</v>
      </c>
      <c r="E24" s="23">
        <f>INDEX(LL1_N,1)</f>
        <v>688.60328000000004</v>
      </c>
      <c r="F24" s="23">
        <f>INDEX(LL1_Mx,1)</f>
        <v>6799.9573900000005</v>
      </c>
      <c r="G24" s="23">
        <f>INDEX(LL1_My,1)</f>
        <v>619.74295200000006</v>
      </c>
      <c r="H24" s="23" t="s">
        <v>514</v>
      </c>
      <c r="I24" s="23" t="s">
        <v>514</v>
      </c>
      <c r="J24" s="23">
        <f>INDEX(LL1_N,1)</f>
        <v>688.60328000000004</v>
      </c>
      <c r="K24" s="23">
        <f>INDEX(LL1_Mx,1)</f>
        <v>6799.9573900000005</v>
      </c>
      <c r="L24" s="23">
        <f>INDEX(LL1_My,1)</f>
        <v>619.74295200000006</v>
      </c>
    </row>
    <row r="25" spans="2:12" x14ac:dyDescent="0.3">
      <c r="B25" s="24" t="s">
        <v>532</v>
      </c>
      <c r="C25" s="23" t="s">
        <v>514</v>
      </c>
      <c r="D25" s="23" t="s">
        <v>514</v>
      </c>
      <c r="E25" s="23">
        <f>INDEX(LL1_N,2)</f>
        <v>1147.6721333333335</v>
      </c>
      <c r="F25" s="23">
        <f>INDEX(LL1_Mx,2)</f>
        <v>9611.754116666667</v>
      </c>
      <c r="G25" s="23">
        <f>INDEX(LL1_My,2)</f>
        <v>1032.9049200000002</v>
      </c>
      <c r="H25" s="23" t="s">
        <v>514</v>
      </c>
      <c r="I25" s="23" t="s">
        <v>514</v>
      </c>
      <c r="J25" s="23">
        <f>INDEX(LL1_N,2)</f>
        <v>1147.6721333333335</v>
      </c>
      <c r="K25" s="23">
        <f>INDEX(LL1_Mx,2)</f>
        <v>9611.754116666667</v>
      </c>
      <c r="L25" s="23">
        <f>INDEX(LL1_My,2)</f>
        <v>1032.9049200000002</v>
      </c>
    </row>
    <row r="26" spans="2:12" x14ac:dyDescent="0.3">
      <c r="B26" s="24" t="s">
        <v>533</v>
      </c>
      <c r="C26" s="23" t="s">
        <v>514</v>
      </c>
      <c r="D26" s="23" t="s">
        <v>514</v>
      </c>
      <c r="E26" s="23">
        <f>INDEX(LL1_N,3)</f>
        <v>1463.2819700000002</v>
      </c>
      <c r="F26" s="23">
        <f>INDEX(LL1_Mx,3)</f>
        <v>10060.063543750002</v>
      </c>
      <c r="G26" s="23">
        <f>INDEX(LL1_My,3)</f>
        <v>1316.9537730000002</v>
      </c>
      <c r="H26" s="23" t="s">
        <v>514</v>
      </c>
      <c r="I26" s="23" t="s">
        <v>514</v>
      </c>
      <c r="J26" s="23">
        <f>INDEX(LL1_N,3)</f>
        <v>1463.2819700000002</v>
      </c>
      <c r="K26" s="23">
        <f>INDEX(LL1_Mx,3)</f>
        <v>10060.063543750002</v>
      </c>
      <c r="L26" s="23">
        <f>INDEX(LL1_My,3)</f>
        <v>1316.9537730000002</v>
      </c>
    </row>
    <row r="27" spans="2:12" x14ac:dyDescent="0.3">
      <c r="B27" s="24" t="s">
        <v>534</v>
      </c>
      <c r="C27" s="23" t="s">
        <v>514</v>
      </c>
      <c r="D27" s="23" t="s">
        <v>514</v>
      </c>
      <c r="E27" s="23">
        <f>INDEX(LL1_N,4)</f>
        <v>1491.9737733333336</v>
      </c>
      <c r="F27" s="23">
        <f>INDEX(LL1_Mx,4)</f>
        <v>8019.3590316666678</v>
      </c>
      <c r="G27" s="23">
        <f>INDEX(LL1_My,4)</f>
        <v>1342.7763960000002</v>
      </c>
      <c r="H27" s="23" t="s">
        <v>514</v>
      </c>
      <c r="I27" s="23" t="s">
        <v>514</v>
      </c>
      <c r="J27" s="23">
        <f>INDEX(LL1_N,4)</f>
        <v>1491.9737733333336</v>
      </c>
      <c r="K27" s="23">
        <f>INDEX(LL1_Mx,4)</f>
        <v>8019.3590316666678</v>
      </c>
      <c r="L27" s="23">
        <f>INDEX(LL1_My,4)</f>
        <v>1342.7763960000002</v>
      </c>
    </row>
    <row r="28" spans="2:12" x14ac:dyDescent="0.3">
      <c r="B28" s="24" t="s">
        <v>535</v>
      </c>
      <c r="C28" s="23" t="s">
        <v>514</v>
      </c>
      <c r="D28" s="23" t="s">
        <v>514</v>
      </c>
      <c r="E28" s="23">
        <f>INDEX(LL1_N,5)</f>
        <v>1864.9672166666669</v>
      </c>
      <c r="F28" s="23">
        <f>INDEX(LL1_Mx,5)</f>
        <v>7226.7479645833346</v>
      </c>
      <c r="G28" s="23">
        <f>INDEX(LL1_My,5)</f>
        <v>1678.4704950000003</v>
      </c>
      <c r="H28" s="23" t="s">
        <v>514</v>
      </c>
      <c r="I28" s="23" t="s">
        <v>514</v>
      </c>
      <c r="J28" s="23">
        <f>INDEX(LL1_N,5)</f>
        <v>1864.9672166666669</v>
      </c>
      <c r="K28" s="23">
        <f>INDEX(LL1_Mx,5)</f>
        <v>7226.7479645833346</v>
      </c>
      <c r="L28" s="23">
        <f>INDEX(LL1_My,5)</f>
        <v>1678.4704950000003</v>
      </c>
    </row>
    <row r="29" spans="2:12" x14ac:dyDescent="0.3">
      <c r="B29" s="24" t="s">
        <v>536</v>
      </c>
      <c r="C29" s="23" t="s">
        <v>514</v>
      </c>
      <c r="D29" s="23" t="s">
        <v>514</v>
      </c>
      <c r="E29" s="23">
        <f>INDEX(LL1_N,6)</f>
        <v>2237.9606600000002</v>
      </c>
      <c r="F29" s="23">
        <f>INDEX(LL1_Mx,6)</f>
        <v>5315.1565675000002</v>
      </c>
      <c r="G29" s="23">
        <f>INDEX(LL1_My,6)</f>
        <v>2014.1645940000003</v>
      </c>
      <c r="H29" s="23" t="s">
        <v>514</v>
      </c>
      <c r="I29" s="23" t="s">
        <v>514</v>
      </c>
      <c r="J29" s="23">
        <f>INDEX(LL1_N,6)</f>
        <v>2237.9606600000002</v>
      </c>
      <c r="K29" s="23">
        <f>INDEX(LL1_Mx,6)</f>
        <v>5315.1565675000002</v>
      </c>
      <c r="L29" s="23">
        <f>INDEX(LL1_My,6)</f>
        <v>2014.1645940000003</v>
      </c>
    </row>
    <row r="30" spans="2:12" x14ac:dyDescent="0.3">
      <c r="B30" s="24" t="s">
        <v>537</v>
      </c>
      <c r="C30" s="23">
        <f>BR_H</f>
        <v>316.875</v>
      </c>
      <c r="D30" s="23" t="s">
        <v>514</v>
      </c>
      <c r="E30" s="23" t="s">
        <v>514</v>
      </c>
      <c r="F30" s="23" t="s">
        <v>514</v>
      </c>
      <c r="G30" s="23">
        <f>BR_Mdb</f>
        <v>4445.7562500000013</v>
      </c>
      <c r="H30" s="23">
        <f>BR_H</f>
        <v>316.875</v>
      </c>
      <c r="I30" s="23" t="s">
        <v>514</v>
      </c>
      <c r="J30" s="23" t="s">
        <v>514</v>
      </c>
      <c r="K30" s="23" t="s">
        <v>514</v>
      </c>
      <c r="L30" s="23">
        <f>BR_Mtb</f>
        <v>3812.0062500000008</v>
      </c>
    </row>
    <row r="31" spans="2:12" x14ac:dyDescent="0.3">
      <c r="B31" s="24" t="s">
        <v>538</v>
      </c>
      <c r="C31" s="23" t="s">
        <v>514</v>
      </c>
      <c r="D31" s="23">
        <f>CE_H</f>
        <v>0</v>
      </c>
      <c r="E31" s="23" t="s">
        <v>514</v>
      </c>
      <c r="F31" s="23">
        <f>CE_Mdb</f>
        <v>0</v>
      </c>
      <c r="G31" s="23" t="s">
        <v>514</v>
      </c>
      <c r="H31" s="23" t="s">
        <v>514</v>
      </c>
      <c r="I31" s="23">
        <f>CE_H</f>
        <v>0</v>
      </c>
      <c r="J31" s="23" t="s">
        <v>514</v>
      </c>
      <c r="K31" s="23">
        <f>CE_Mtb</f>
        <v>0</v>
      </c>
      <c r="L31" s="23" t="s">
        <v>514</v>
      </c>
    </row>
    <row r="32" spans="2:12" x14ac:dyDescent="0.3">
      <c r="B32" s="24" t="s">
        <v>539</v>
      </c>
      <c r="C32" s="23">
        <f>WAd_H</f>
        <v>0</v>
      </c>
      <c r="D32" s="23" t="s">
        <v>514</v>
      </c>
      <c r="E32" s="23" t="s">
        <v>514</v>
      </c>
      <c r="F32" s="23" t="s">
        <v>514</v>
      </c>
      <c r="G32" s="23">
        <f>WAd_Mdb</f>
        <v>0</v>
      </c>
      <c r="H32" s="23">
        <f>WAd_H</f>
        <v>0</v>
      </c>
      <c r="I32" s="23" t="s">
        <v>514</v>
      </c>
      <c r="J32" s="23" t="s">
        <v>514</v>
      </c>
      <c r="K32" s="23" t="s">
        <v>514</v>
      </c>
      <c r="L32" s="23">
        <f>WAd_Mtb</f>
        <v>0</v>
      </c>
    </row>
    <row r="33" spans="2:12" x14ac:dyDescent="0.3">
      <c r="B33" s="24" t="s">
        <v>540</v>
      </c>
      <c r="C33" s="23" t="s">
        <v>514</v>
      </c>
      <c r="D33" s="23">
        <f>WAn_H</f>
        <v>0</v>
      </c>
      <c r="E33" s="23" t="s">
        <v>514</v>
      </c>
      <c r="F33" s="23">
        <f>WAn_Mdb</f>
        <v>0</v>
      </c>
      <c r="G33" s="23" t="s">
        <v>514</v>
      </c>
      <c r="H33" s="23" t="s">
        <v>514</v>
      </c>
      <c r="I33" s="23">
        <f>WAn_H</f>
        <v>0</v>
      </c>
      <c r="J33" s="23" t="s">
        <v>514</v>
      </c>
      <c r="K33" s="23">
        <f>WAn_Mtb</f>
        <v>0</v>
      </c>
      <c r="L33" s="23" t="s">
        <v>514</v>
      </c>
    </row>
    <row r="34" spans="2:12" x14ac:dyDescent="0.3">
      <c r="B34" s="24" t="s">
        <v>541</v>
      </c>
      <c r="C34" s="23">
        <f>FR_H</f>
        <v>1034.6545125000002</v>
      </c>
      <c r="D34" s="23" t="s">
        <v>514</v>
      </c>
      <c r="E34" s="23" t="s">
        <v>514</v>
      </c>
      <c r="F34" s="23" t="s">
        <v>514</v>
      </c>
      <c r="G34" s="23">
        <f>FR_Mdb</f>
        <v>12705.557413500004</v>
      </c>
      <c r="H34" s="23">
        <f>FR_H</f>
        <v>1034.6545125000002</v>
      </c>
      <c r="I34" s="23" t="s">
        <v>514</v>
      </c>
      <c r="J34" s="23" t="s">
        <v>514</v>
      </c>
      <c r="K34" s="23" t="s">
        <v>514</v>
      </c>
      <c r="L34" s="23">
        <f>FR_Mtb</f>
        <v>10636.248388500004</v>
      </c>
    </row>
    <row r="35" spans="2:12" x14ac:dyDescent="0.3">
      <c r="B35" s="24" t="s">
        <v>542</v>
      </c>
      <c r="C35" s="23" t="s">
        <v>514</v>
      </c>
      <c r="D35" s="23">
        <f>WSn_H_V</f>
        <v>376.48281983906247</v>
      </c>
      <c r="E35" s="23" t="s">
        <v>514</v>
      </c>
      <c r="F35" s="23">
        <f>WSn_Mdb_V</f>
        <v>4142.5710498782582</v>
      </c>
      <c r="G35" s="23" t="s">
        <v>514</v>
      </c>
      <c r="H35" s="23" t="s">
        <v>514</v>
      </c>
      <c r="I35" s="23">
        <f>WSn_H_V</f>
        <v>376.48281983906247</v>
      </c>
      <c r="J35" s="23" t="s">
        <v>514</v>
      </c>
      <c r="K35" s="23">
        <f>WSn_Mtb_V</f>
        <v>3389.6054102001335</v>
      </c>
      <c r="L35" s="23" t="s">
        <v>514</v>
      </c>
    </row>
    <row r="36" spans="2:12" x14ac:dyDescent="0.3">
      <c r="B36" s="24" t="s">
        <v>543</v>
      </c>
      <c r="C36" s="23">
        <f>WSd_H_V</f>
        <v>79.18902995976562</v>
      </c>
      <c r="D36" s="23" t="s">
        <v>514</v>
      </c>
      <c r="E36" s="23" t="s">
        <v>514</v>
      </c>
      <c r="F36" s="23" t="s">
        <v>514</v>
      </c>
      <c r="G36" s="23">
        <f>WSd_Mdb_V</f>
        <v>909.22439859456449</v>
      </c>
      <c r="H36" s="23">
        <f>WSd_H_V</f>
        <v>79.18902995976562</v>
      </c>
      <c r="I36" s="23" t="s">
        <v>514</v>
      </c>
      <c r="J36" s="23" t="s">
        <v>514</v>
      </c>
      <c r="K36" s="23" t="s">
        <v>514</v>
      </c>
      <c r="L36" s="23">
        <f>WSd_Mtb_V</f>
        <v>750.84633867503328</v>
      </c>
    </row>
    <row r="37" spans="2:12" x14ac:dyDescent="0.3">
      <c r="B37" s="24" t="s">
        <v>544</v>
      </c>
      <c r="C37" s="23" t="s">
        <v>514</v>
      </c>
      <c r="D37" s="23">
        <f>WSn_H_25</f>
        <v>366.21270000000004</v>
      </c>
      <c r="E37" s="23" t="s">
        <v>514</v>
      </c>
      <c r="F37" s="23">
        <f>WSn_Mdb_25</f>
        <v>4000.7920455000003</v>
      </c>
      <c r="G37" s="23" t="s">
        <v>514</v>
      </c>
      <c r="H37" s="23" t="s">
        <v>514</v>
      </c>
      <c r="I37" s="23">
        <f>WSn_H_25</f>
        <v>366.21270000000004</v>
      </c>
      <c r="J37" s="23" t="s">
        <v>514</v>
      </c>
      <c r="K37" s="23">
        <f>WSn_Mtb_25</f>
        <v>3268.3666455000011</v>
      </c>
      <c r="L37" s="23" t="s">
        <v>514</v>
      </c>
    </row>
    <row r="38" spans="2:12" x14ac:dyDescent="0.3">
      <c r="B38" s="24" t="s">
        <v>545</v>
      </c>
      <c r="C38" s="23">
        <f>WSd_H_25</f>
        <v>76.621500000000012</v>
      </c>
      <c r="D38" s="23" t="s">
        <v>514</v>
      </c>
      <c r="E38" s="23" t="s">
        <v>514</v>
      </c>
      <c r="F38" s="23" t="s">
        <v>514</v>
      </c>
      <c r="G38" s="23">
        <f>WSd_Mdb_25</f>
        <v>873.77964750000012</v>
      </c>
      <c r="H38" s="23">
        <f>WSd_H_25</f>
        <v>76.621500000000012</v>
      </c>
      <c r="I38" s="23" t="s">
        <v>514</v>
      </c>
      <c r="J38" s="23" t="s">
        <v>514</v>
      </c>
      <c r="K38" s="23" t="s">
        <v>514</v>
      </c>
      <c r="L38" s="23">
        <f>WSd_Mtb_25</f>
        <v>720.53664750000019</v>
      </c>
    </row>
    <row r="39" spans="2:12" x14ac:dyDescent="0.3">
      <c r="B39" s="24" t="s">
        <v>546</v>
      </c>
      <c r="C39" s="23" t="s">
        <v>514</v>
      </c>
      <c r="D39" s="23" t="s">
        <v>514</v>
      </c>
      <c r="E39" s="23">
        <f>WSv_N</f>
        <v>1027.8133467890625</v>
      </c>
      <c r="F39" s="23" t="s">
        <v>514</v>
      </c>
      <c r="G39" s="23" t="s">
        <v>514</v>
      </c>
      <c r="H39" s="23" t="s">
        <v>514</v>
      </c>
      <c r="I39" s="23" t="s">
        <v>514</v>
      </c>
      <c r="J39" s="23">
        <f>WSv_N</f>
        <v>1027.8133467890625</v>
      </c>
      <c r="K39" s="23" t="s">
        <v>514</v>
      </c>
      <c r="L39" s="23" t="s">
        <v>514</v>
      </c>
    </row>
    <row r="40" spans="2:12" x14ac:dyDescent="0.3">
      <c r="B40" s="24" t="s">
        <v>547</v>
      </c>
      <c r="C40" s="23" t="s">
        <v>514</v>
      </c>
      <c r="D40" s="23">
        <f>WLn_H</f>
        <v>55.772000000000006</v>
      </c>
      <c r="E40" s="23" t="s">
        <v>514</v>
      </c>
      <c r="F40" s="23">
        <f>WLn_Mdb</f>
        <v>782.48116000000027</v>
      </c>
      <c r="G40" s="23" t="s">
        <v>514</v>
      </c>
      <c r="H40" s="23" t="s">
        <v>514</v>
      </c>
      <c r="I40" s="23">
        <f>WLn_H</f>
        <v>55.772000000000006</v>
      </c>
      <c r="J40" s="23" t="s">
        <v>514</v>
      </c>
      <c r="K40" s="23">
        <f>WLn_Mtb</f>
        <v>670.93716000000018</v>
      </c>
      <c r="L40" s="23" t="s">
        <v>514</v>
      </c>
    </row>
    <row r="41" spans="2:12" x14ac:dyDescent="0.3">
      <c r="B41" s="24" t="s">
        <v>548</v>
      </c>
      <c r="C41" s="23">
        <f>WLd_H</f>
        <v>21.01</v>
      </c>
      <c r="D41" s="23" t="s">
        <v>514</v>
      </c>
      <c r="E41" s="23" t="s">
        <v>514</v>
      </c>
      <c r="F41" s="23" t="s">
        <v>514</v>
      </c>
      <c r="G41" s="23">
        <f>WLd_Mdb</f>
        <v>294.77030000000008</v>
      </c>
      <c r="H41" s="23">
        <f>WLd_H</f>
        <v>21.01</v>
      </c>
      <c r="I41" s="23" t="s">
        <v>514</v>
      </c>
      <c r="J41" s="23" t="s">
        <v>514</v>
      </c>
      <c r="K41" s="23" t="s">
        <v>514</v>
      </c>
      <c r="L41" s="23">
        <f>WLd_Mtb</f>
        <v>252.75030000000007</v>
      </c>
    </row>
    <row r="42" spans="2:12" x14ac:dyDescent="0.3">
      <c r="B42" s="24" t="s">
        <v>549</v>
      </c>
      <c r="C42" s="23">
        <f>EQd_H_db</f>
        <v>2253.0810565059305</v>
      </c>
      <c r="D42" s="23" t="s">
        <v>514</v>
      </c>
      <c r="E42" s="23" t="s">
        <v>514</v>
      </c>
      <c r="F42" s="23" t="s">
        <v>514</v>
      </c>
      <c r="G42" s="23">
        <f>EQd_M_db</f>
        <v>17561.542505087215</v>
      </c>
      <c r="H42" s="23">
        <f>EQd_H_tb</f>
        <v>1472.3955294122748</v>
      </c>
      <c r="I42" s="23" t="s">
        <v>514</v>
      </c>
      <c r="J42" s="23" t="s">
        <v>514</v>
      </c>
      <c r="K42" s="23" t="s">
        <v>514</v>
      </c>
      <c r="L42" s="23">
        <f>EQd_M_tb</f>
        <v>13836.06591916901</v>
      </c>
    </row>
    <row r="43" spans="2:12" x14ac:dyDescent="0.3">
      <c r="B43" s="24" t="s">
        <v>550</v>
      </c>
      <c r="C43" s="23" t="s">
        <v>514</v>
      </c>
      <c r="D43" s="23">
        <f>EQn_H_db</f>
        <v>2679.3696812801081</v>
      </c>
      <c r="E43" s="23" t="s">
        <v>514</v>
      </c>
      <c r="F43" s="23">
        <f>EQn_M_db</f>
        <v>20884.230688803342</v>
      </c>
      <c r="G43" s="23" t="s">
        <v>514</v>
      </c>
      <c r="H43" s="23" t="s">
        <v>514</v>
      </c>
      <c r="I43" s="23">
        <f>EQn_H_tb</f>
        <v>1750.9764812801084</v>
      </c>
      <c r="J43" s="23" t="s">
        <v>514</v>
      </c>
      <c r="K43" s="23">
        <f>EQn_M_tb</f>
        <v>16453.884526243124</v>
      </c>
      <c r="L43" s="23" t="s">
        <v>514</v>
      </c>
    </row>
    <row r="44" spans="2:12" x14ac:dyDescent="0.3">
      <c r="B44" s="24" t="s">
        <v>551</v>
      </c>
      <c r="C44" s="23">
        <f>CT_H</f>
        <v>1800</v>
      </c>
      <c r="D44" s="23" t="s">
        <v>514</v>
      </c>
      <c r="E44" s="23" t="s">
        <v>514</v>
      </c>
      <c r="F44" s="23" t="s">
        <v>514</v>
      </c>
      <c r="G44" s="23">
        <f>CT_Mdb</f>
        <v>5760</v>
      </c>
      <c r="H44" s="23">
        <f>CT_H</f>
        <v>1800</v>
      </c>
      <c r="I44" s="23" t="s">
        <v>514</v>
      </c>
      <c r="J44" s="23" t="s">
        <v>514</v>
      </c>
      <c r="K44" s="23" t="s">
        <v>514</v>
      </c>
      <c r="L44" s="23">
        <f>CT_Mtb</f>
        <v>2160.0000000000005</v>
      </c>
    </row>
    <row r="45" spans="2:12" x14ac:dyDescent="0.3">
      <c r="B45" s="24" t="s">
        <v>552</v>
      </c>
      <c r="C45" s="23" t="s">
        <v>514</v>
      </c>
      <c r="D45" s="23">
        <f>CT_H</f>
        <v>1800</v>
      </c>
      <c r="E45" s="23" t="s">
        <v>514</v>
      </c>
      <c r="F45" s="23">
        <f>CT_Mdb</f>
        <v>5760</v>
      </c>
      <c r="G45" s="23" t="s">
        <v>514</v>
      </c>
      <c r="H45" s="23" t="s">
        <v>514</v>
      </c>
      <c r="I45" s="23">
        <f>CT_H</f>
        <v>1800</v>
      </c>
      <c r="J45" s="23" t="s">
        <v>514</v>
      </c>
      <c r="K45" s="23">
        <f>CT_Mtb</f>
        <v>2160.0000000000005</v>
      </c>
      <c r="L45" s="23" t="s">
        <v>514</v>
      </c>
    </row>
    <row r="46" spans="2:12" x14ac:dyDescent="0.3">
      <c r="B46" s="24" t="s">
        <v>553</v>
      </c>
      <c r="C46" s="23" t="s">
        <v>514</v>
      </c>
      <c r="D46" s="23">
        <f>CV_H</f>
        <v>0</v>
      </c>
      <c r="E46" s="23" t="s">
        <v>514</v>
      </c>
      <c r="F46" s="23">
        <f>CV_Mdb</f>
        <v>0</v>
      </c>
      <c r="G46" s="23" t="s">
        <v>514</v>
      </c>
      <c r="H46" s="23" t="s">
        <v>514</v>
      </c>
      <c r="I46" s="23">
        <f>CV_H</f>
        <v>0</v>
      </c>
      <c r="J46" s="23" t="s">
        <v>514</v>
      </c>
      <c r="K46" s="23">
        <f>CV_Mtb</f>
        <v>0</v>
      </c>
      <c r="L46" s="23" t="s">
        <v>514</v>
      </c>
    </row>
    <row r="47" spans="2:12" x14ac:dyDescent="0.3">
      <c r="B47" s="24" t="s">
        <v>554</v>
      </c>
      <c r="C47" s="23">
        <f>0.5*CV_H</f>
        <v>0</v>
      </c>
      <c r="D47" s="23" t="s">
        <v>514</v>
      </c>
      <c r="E47" s="23" t="s">
        <v>514</v>
      </c>
      <c r="F47" s="23" t="s">
        <v>514</v>
      </c>
      <c r="G47" s="23">
        <f>0.5*CV_Mdb</f>
        <v>0</v>
      </c>
      <c r="H47" s="23">
        <f>0.5*CV_H</f>
        <v>0</v>
      </c>
      <c r="I47" s="23" t="s">
        <v>514</v>
      </c>
      <c r="J47" s="23" t="s">
        <v>514</v>
      </c>
      <c r="K47" s="23" t="s">
        <v>514</v>
      </c>
      <c r="L47" s="23">
        <f>0.5*CV_Mtb</f>
        <v>0</v>
      </c>
    </row>
    <row r="48" spans="2:12" x14ac:dyDescent="0.3">
      <c r="B48" s="24" t="s">
        <v>555</v>
      </c>
      <c r="C48" s="23">
        <f>TU_H</f>
        <v>0</v>
      </c>
      <c r="D48" s="23" t="s">
        <v>514</v>
      </c>
      <c r="E48" s="23" t="s">
        <v>514</v>
      </c>
      <c r="F48" s="23" t="s">
        <v>514</v>
      </c>
      <c r="G48" s="23">
        <f>TU_H*(Hbe+Hcot+hxm+hgoi)</f>
        <v>0</v>
      </c>
      <c r="H48" s="23">
        <f>TU_H</f>
        <v>0</v>
      </c>
      <c r="I48" s="23" t="s">
        <v>514</v>
      </c>
      <c r="J48" s="23" t="s">
        <v>514</v>
      </c>
      <c r="K48" s="23" t="s">
        <v>514</v>
      </c>
      <c r="L48" s="23">
        <f>TU_H*(Hcot+hxm+hgoi)</f>
        <v>0</v>
      </c>
    </row>
    <row r="49" spans="2:46" x14ac:dyDescent="0.3">
      <c r="B49" s="24" t="s">
        <v>556</v>
      </c>
      <c r="C49" s="23">
        <f>CS_H</f>
        <v>0</v>
      </c>
      <c r="D49" s="23" t="s">
        <v>514</v>
      </c>
      <c r="E49" s="23" t="s">
        <v>514</v>
      </c>
      <c r="F49" s="23" t="s">
        <v>514</v>
      </c>
      <c r="G49" s="23">
        <f>CS_H*(Hbe+Hcot+hxm+hgoi)</f>
        <v>0</v>
      </c>
      <c r="H49" s="23">
        <f>CS_H</f>
        <v>0</v>
      </c>
      <c r="I49" s="23" t="s">
        <v>514</v>
      </c>
      <c r="J49" s="23" t="s">
        <v>514</v>
      </c>
      <c r="K49" s="23" t="s">
        <v>514</v>
      </c>
      <c r="L49" s="23">
        <f>CS_H*(Hcot+hxm+hgoi)</f>
        <v>0</v>
      </c>
    </row>
    <row r="50" spans="2:46" x14ac:dyDescent="0.3">
      <c r="B50" s="24" t="s">
        <v>557</v>
      </c>
      <c r="C50" s="23" t="s">
        <v>514</v>
      </c>
      <c r="D50" s="23" t="s">
        <v>514</v>
      </c>
      <c r="E50" s="23">
        <f>INDEX('LANE ENGINE'!$D$6:$D$45,nLan)</f>
        <v>3731.4346680000003</v>
      </c>
      <c r="F50" s="23">
        <f>INDEX('LANE ENGINE'!$E$6:$E$45,nLan)</f>
        <v>8862.1573365000004</v>
      </c>
      <c r="G50" s="23" t="s">
        <v>514</v>
      </c>
      <c r="H50" s="23" t="s">
        <v>514</v>
      </c>
      <c r="I50" s="23" t="s">
        <v>514</v>
      </c>
      <c r="J50" s="23">
        <f>INDEX('LANE ENGINE'!$D$6:$D$45,nLan)</f>
        <v>3731.4346680000003</v>
      </c>
      <c r="K50" s="23">
        <f>INDEX('LANE ENGINE'!$E$6:$E$45,nLan)</f>
        <v>8862.1573365000004</v>
      </c>
      <c r="L50" s="23" t="s">
        <v>514</v>
      </c>
    </row>
    <row r="52" spans="2:46" x14ac:dyDescent="0.3">
      <c r="B52" s="12" t="s">
        <v>558</v>
      </c>
    </row>
    <row r="53" spans="2:46" x14ac:dyDescent="0.3">
      <c r="B53" s="24" t="s">
        <v>503</v>
      </c>
      <c r="C53" s="23" t="str">
        <f>C7</f>
        <v>0</v>
      </c>
      <c r="D53" s="23" t="str">
        <f>C8</f>
        <v>0</v>
      </c>
      <c r="E53" s="23" t="str">
        <f>C9</f>
        <v>0</v>
      </c>
      <c r="F53" s="23" t="str">
        <f>C10</f>
        <v>0</v>
      </c>
      <c r="G53" s="23" t="str">
        <f>C11</f>
        <v>0</v>
      </c>
      <c r="H53" s="23" t="str">
        <f>C12</f>
        <v>0</v>
      </c>
      <c r="I53" s="23" t="str">
        <f>C13</f>
        <v>0</v>
      </c>
      <c r="J53" s="23" t="str">
        <f>C14</f>
        <v>0</v>
      </c>
      <c r="K53" s="23" t="str">
        <f>C15</f>
        <v>0</v>
      </c>
      <c r="L53" s="23" t="str">
        <f>C16</f>
        <v>0</v>
      </c>
      <c r="M53" s="23" t="str">
        <f>C17</f>
        <v>0</v>
      </c>
      <c r="N53" s="23" t="str">
        <f>C18</f>
        <v>0</v>
      </c>
      <c r="O53" s="23" t="str">
        <f>C19</f>
        <v>0</v>
      </c>
      <c r="P53" s="23" t="str">
        <f>C20</f>
        <v>0</v>
      </c>
      <c r="Q53" s="23" t="str">
        <f>C21</f>
        <v>0</v>
      </c>
      <c r="R53" s="23" t="str">
        <f>C22</f>
        <v>0</v>
      </c>
      <c r="S53" s="23" t="str">
        <f>C23</f>
        <v>0</v>
      </c>
      <c r="T53" s="23" t="str">
        <f>C24</f>
        <v>0</v>
      </c>
      <c r="U53" s="23" t="str">
        <f>C25</f>
        <v>0</v>
      </c>
      <c r="V53" s="23" t="str">
        <f>C26</f>
        <v>0</v>
      </c>
      <c r="W53" s="23" t="str">
        <f>C27</f>
        <v>0</v>
      </c>
      <c r="X53" s="23" t="str">
        <f>C28</f>
        <v>0</v>
      </c>
      <c r="Y53" s="23" t="str">
        <f>C29</f>
        <v>0</v>
      </c>
      <c r="Z53" s="23">
        <f>C30</f>
        <v>316.875</v>
      </c>
      <c r="AA53" s="23" t="str">
        <f>C31</f>
        <v>0</v>
      </c>
      <c r="AB53" s="23">
        <f>C32</f>
        <v>0</v>
      </c>
      <c r="AC53" s="23" t="str">
        <f>C33</f>
        <v>0</v>
      </c>
      <c r="AD53" s="23">
        <f>C34</f>
        <v>1034.6545125000002</v>
      </c>
      <c r="AE53" s="23" t="str">
        <f>C35</f>
        <v>0</v>
      </c>
      <c r="AF53" s="23">
        <f>C36</f>
        <v>79.18902995976562</v>
      </c>
      <c r="AG53" s="23" t="str">
        <f>C37</f>
        <v>0</v>
      </c>
      <c r="AH53" s="23">
        <f>C38</f>
        <v>76.621500000000012</v>
      </c>
      <c r="AI53" s="23" t="str">
        <f>C39</f>
        <v>0</v>
      </c>
      <c r="AJ53" s="23" t="str">
        <f>C40</f>
        <v>0</v>
      </c>
      <c r="AK53" s="23">
        <f>C41</f>
        <v>21.01</v>
      </c>
      <c r="AL53" s="23">
        <f>C42</f>
        <v>2253.0810565059305</v>
      </c>
      <c r="AM53" s="23" t="str">
        <f>C43</f>
        <v>0</v>
      </c>
      <c r="AN53" s="23">
        <f>C44</f>
        <v>1800</v>
      </c>
      <c r="AO53" s="23" t="str">
        <f>C45</f>
        <v>0</v>
      </c>
      <c r="AP53" s="23" t="str">
        <f>C46</f>
        <v>0</v>
      </c>
      <c r="AQ53" s="23">
        <f>C47</f>
        <v>0</v>
      </c>
      <c r="AR53" s="23">
        <f>C48</f>
        <v>0</v>
      </c>
      <c r="AS53" s="23">
        <f>C49</f>
        <v>0</v>
      </c>
      <c r="AT53" s="23" t="str">
        <f>C50</f>
        <v>0</v>
      </c>
    </row>
    <row r="54" spans="2:46" x14ac:dyDescent="0.3">
      <c r="B54" s="24" t="s">
        <v>504</v>
      </c>
      <c r="C54" s="23" t="str">
        <f>D7</f>
        <v>0</v>
      </c>
      <c r="D54" s="23" t="str">
        <f>D8</f>
        <v>0</v>
      </c>
      <c r="E54" s="23" t="str">
        <f>D9</f>
        <v>0</v>
      </c>
      <c r="F54" s="23" t="str">
        <f>D10</f>
        <v>0</v>
      </c>
      <c r="G54" s="23" t="str">
        <f>D11</f>
        <v>0</v>
      </c>
      <c r="H54" s="23" t="str">
        <f>D12</f>
        <v>0</v>
      </c>
      <c r="I54" s="23" t="str">
        <f>D13</f>
        <v>0</v>
      </c>
      <c r="J54" s="23" t="str">
        <f>D14</f>
        <v>0</v>
      </c>
      <c r="K54" s="23" t="str">
        <f>D15</f>
        <v>0</v>
      </c>
      <c r="L54" s="23" t="str">
        <f>D16</f>
        <v>0</v>
      </c>
      <c r="M54" s="23" t="str">
        <f>D17</f>
        <v>0</v>
      </c>
      <c r="N54" s="23" t="str">
        <f>D18</f>
        <v>0</v>
      </c>
      <c r="O54" s="23" t="str">
        <f>D19</f>
        <v>0</v>
      </c>
      <c r="P54" s="23" t="str">
        <f>D20</f>
        <v>0</v>
      </c>
      <c r="Q54" s="23" t="str">
        <f>D21</f>
        <v>0</v>
      </c>
      <c r="R54" s="23" t="str">
        <f>D22</f>
        <v>0</v>
      </c>
      <c r="S54" s="23" t="str">
        <f>D23</f>
        <v>0</v>
      </c>
      <c r="T54" s="23" t="str">
        <f>D24</f>
        <v>0</v>
      </c>
      <c r="U54" s="23" t="str">
        <f>D25</f>
        <v>0</v>
      </c>
      <c r="V54" s="23" t="str">
        <f>D26</f>
        <v>0</v>
      </c>
      <c r="W54" s="23" t="str">
        <f>D27</f>
        <v>0</v>
      </c>
      <c r="X54" s="23" t="str">
        <f>D28</f>
        <v>0</v>
      </c>
      <c r="Y54" s="23" t="str">
        <f>D29</f>
        <v>0</v>
      </c>
      <c r="Z54" s="23" t="str">
        <f>D30</f>
        <v>0</v>
      </c>
      <c r="AA54" s="23">
        <f>D31</f>
        <v>0</v>
      </c>
      <c r="AB54" s="23" t="str">
        <f>D32</f>
        <v>0</v>
      </c>
      <c r="AC54" s="23">
        <f>D33</f>
        <v>0</v>
      </c>
      <c r="AD54" s="23" t="str">
        <f>D34</f>
        <v>0</v>
      </c>
      <c r="AE54" s="23">
        <f>D35</f>
        <v>376.48281983906247</v>
      </c>
      <c r="AF54" s="23" t="str">
        <f>D36</f>
        <v>0</v>
      </c>
      <c r="AG54" s="23">
        <f>D37</f>
        <v>366.21270000000004</v>
      </c>
      <c r="AH54" s="23" t="str">
        <f>D38</f>
        <v>0</v>
      </c>
      <c r="AI54" s="23" t="str">
        <f>D39</f>
        <v>0</v>
      </c>
      <c r="AJ54" s="23">
        <f>D40</f>
        <v>55.772000000000006</v>
      </c>
      <c r="AK54" s="23" t="str">
        <f>D41</f>
        <v>0</v>
      </c>
      <c r="AL54" s="23" t="str">
        <f>D42</f>
        <v>0</v>
      </c>
      <c r="AM54" s="23">
        <f>D43</f>
        <v>2679.3696812801081</v>
      </c>
      <c r="AN54" s="23" t="str">
        <f>D44</f>
        <v>0</v>
      </c>
      <c r="AO54" s="23">
        <f>D45</f>
        <v>1800</v>
      </c>
      <c r="AP54" s="23">
        <f>D46</f>
        <v>0</v>
      </c>
      <c r="AQ54" s="23" t="str">
        <f>D47</f>
        <v>0</v>
      </c>
      <c r="AR54" s="23" t="str">
        <f>D48</f>
        <v>0</v>
      </c>
      <c r="AS54" s="23" t="str">
        <f>D49</f>
        <v>0</v>
      </c>
      <c r="AT54" s="23" t="str">
        <f>D50</f>
        <v>0</v>
      </c>
    </row>
    <row r="55" spans="2:46" x14ac:dyDescent="0.3">
      <c r="B55" s="24" t="s">
        <v>505</v>
      </c>
      <c r="C55" s="23">
        <f>E7</f>
        <v>13412.025000000001</v>
      </c>
      <c r="D55" s="23">
        <f>E8</f>
        <v>1368.7537500000003</v>
      </c>
      <c r="E55" s="23">
        <f>E9</f>
        <v>4182.8654515896187</v>
      </c>
      <c r="F55" s="23">
        <f>E10</f>
        <v>3351.6000000000004</v>
      </c>
      <c r="G55" s="23">
        <f>E11</f>
        <v>0</v>
      </c>
      <c r="H55" s="23">
        <f>E12</f>
        <v>1148.133744</v>
      </c>
      <c r="I55" s="23">
        <f>E13</f>
        <v>1913.5562400000001</v>
      </c>
      <c r="J55" s="23">
        <f>E14</f>
        <v>2439.7842060000003</v>
      </c>
      <c r="K55" s="23">
        <f>E15</f>
        <v>2487.6231120000002</v>
      </c>
      <c r="L55" s="23">
        <f>E16</f>
        <v>3109.5288900000005</v>
      </c>
      <c r="M55" s="23">
        <f>E17</f>
        <v>3731.4346680000003</v>
      </c>
      <c r="N55" s="23">
        <f>E18</f>
        <v>1148.133744</v>
      </c>
      <c r="O55" s="23">
        <f>E19</f>
        <v>1913.5562400000001</v>
      </c>
      <c r="P55" s="23">
        <f>E20</f>
        <v>2439.7842060000003</v>
      </c>
      <c r="Q55" s="23">
        <f>E21</f>
        <v>2487.6231120000002</v>
      </c>
      <c r="R55" s="23">
        <f>E22</f>
        <v>3109.5288900000005</v>
      </c>
      <c r="S55" s="23">
        <f>E23</f>
        <v>3731.4346680000003</v>
      </c>
      <c r="T55" s="23">
        <f>E24</f>
        <v>688.60328000000004</v>
      </c>
      <c r="U55" s="23">
        <f>E25</f>
        <v>1147.6721333333335</v>
      </c>
      <c r="V55" s="23">
        <f>E26</f>
        <v>1463.2819700000002</v>
      </c>
      <c r="W55" s="23">
        <f>E27</f>
        <v>1491.9737733333336</v>
      </c>
      <c r="X55" s="23">
        <f>E28</f>
        <v>1864.9672166666669</v>
      </c>
      <c r="Y55" s="23">
        <f>E29</f>
        <v>2237.9606600000002</v>
      </c>
      <c r="Z55" s="23" t="str">
        <f>E30</f>
        <v>0</v>
      </c>
      <c r="AA55" s="23" t="str">
        <f>E31</f>
        <v>0</v>
      </c>
      <c r="AB55" s="23" t="str">
        <f>E32</f>
        <v>0</v>
      </c>
      <c r="AC55" s="23" t="str">
        <f>E33</f>
        <v>0</v>
      </c>
      <c r="AD55" s="23" t="str">
        <f>E34</f>
        <v>0</v>
      </c>
      <c r="AE55" s="23" t="str">
        <f>E35</f>
        <v>0</v>
      </c>
      <c r="AF55" s="23" t="str">
        <f>E36</f>
        <v>0</v>
      </c>
      <c r="AG55" s="23" t="str">
        <f>E37</f>
        <v>0</v>
      </c>
      <c r="AH55" s="23" t="str">
        <f>E38</f>
        <v>0</v>
      </c>
      <c r="AI55" s="23">
        <f>E39</f>
        <v>1027.8133467890625</v>
      </c>
      <c r="AJ55" s="23" t="str">
        <f>E40</f>
        <v>0</v>
      </c>
      <c r="AK55" s="23" t="str">
        <f>E41</f>
        <v>0</v>
      </c>
      <c r="AL55" s="23" t="str">
        <f>E42</f>
        <v>0</v>
      </c>
      <c r="AM55" s="23" t="str">
        <f>E43</f>
        <v>0</v>
      </c>
      <c r="AN55" s="23" t="str">
        <f>E44</f>
        <v>0</v>
      </c>
      <c r="AO55" s="23" t="str">
        <f>E45</f>
        <v>0</v>
      </c>
      <c r="AP55" s="23" t="str">
        <f>E46</f>
        <v>0</v>
      </c>
      <c r="AQ55" s="23" t="str">
        <f>E47</f>
        <v>0</v>
      </c>
      <c r="AR55" s="23" t="str">
        <f>E48</f>
        <v>0</v>
      </c>
      <c r="AS55" s="23" t="str">
        <f>E49</f>
        <v>0</v>
      </c>
      <c r="AT55" s="23">
        <f>E50</f>
        <v>3731.4346680000003</v>
      </c>
    </row>
    <row r="56" spans="2:46" x14ac:dyDescent="0.3">
      <c r="B56" s="24" t="s">
        <v>506</v>
      </c>
      <c r="C56" s="23" t="str">
        <f>F7</f>
        <v>0</v>
      </c>
      <c r="D56" s="23" t="str">
        <f>F8</f>
        <v>0</v>
      </c>
      <c r="E56" s="23" t="str">
        <f>F9</f>
        <v>0</v>
      </c>
      <c r="F56" s="23" t="str">
        <f>F10</f>
        <v>0</v>
      </c>
      <c r="G56" s="23" t="str">
        <f>F11</f>
        <v>0</v>
      </c>
      <c r="H56" s="23">
        <f>F12</f>
        <v>11337.820722</v>
      </c>
      <c r="I56" s="23">
        <f>F13</f>
        <v>16026.033510000001</v>
      </c>
      <c r="J56" s="23">
        <f>F14</f>
        <v>16773.51641625</v>
      </c>
      <c r="K56" s="23">
        <f>F15</f>
        <v>13370.974227000001</v>
      </c>
      <c r="L56" s="23">
        <f>F16</f>
        <v>12049.424448750002</v>
      </c>
      <c r="M56" s="23">
        <f>F17</f>
        <v>8862.1573365000004</v>
      </c>
      <c r="N56" s="23" t="str">
        <f>F18</f>
        <v>0</v>
      </c>
      <c r="O56" s="23" t="str">
        <f>F19</f>
        <v>0</v>
      </c>
      <c r="P56" s="23" t="str">
        <f>F20</f>
        <v>0</v>
      </c>
      <c r="Q56" s="23" t="str">
        <f>F21</f>
        <v>0</v>
      </c>
      <c r="R56" s="23" t="str">
        <f>F22</f>
        <v>0</v>
      </c>
      <c r="S56" s="23" t="str">
        <f>F23</f>
        <v>0</v>
      </c>
      <c r="T56" s="23">
        <f>F24</f>
        <v>6799.9573900000005</v>
      </c>
      <c r="U56" s="23">
        <f>F25</f>
        <v>9611.754116666667</v>
      </c>
      <c r="V56" s="23">
        <f>F26</f>
        <v>10060.063543750002</v>
      </c>
      <c r="W56" s="23">
        <f>F27</f>
        <v>8019.3590316666678</v>
      </c>
      <c r="X56" s="23">
        <f>F28</f>
        <v>7226.7479645833346</v>
      </c>
      <c r="Y56" s="23">
        <f>F29</f>
        <v>5315.1565675000002</v>
      </c>
      <c r="Z56" s="23" t="str">
        <f>F30</f>
        <v>0</v>
      </c>
      <c r="AA56" s="23">
        <f>F31</f>
        <v>0</v>
      </c>
      <c r="AB56" s="23" t="str">
        <f>F32</f>
        <v>0</v>
      </c>
      <c r="AC56" s="23">
        <f>F33</f>
        <v>0</v>
      </c>
      <c r="AD56" s="23" t="str">
        <f>F34</f>
        <v>0</v>
      </c>
      <c r="AE56" s="23">
        <f>F35</f>
        <v>4142.5710498782582</v>
      </c>
      <c r="AF56" s="23" t="str">
        <f>F36</f>
        <v>0</v>
      </c>
      <c r="AG56" s="23">
        <f>F37</f>
        <v>4000.7920455000003</v>
      </c>
      <c r="AH56" s="23" t="str">
        <f>F38</f>
        <v>0</v>
      </c>
      <c r="AI56" s="23" t="str">
        <f>F39</f>
        <v>0</v>
      </c>
      <c r="AJ56" s="23">
        <f>F40</f>
        <v>782.48116000000027</v>
      </c>
      <c r="AK56" s="23" t="str">
        <f>F41</f>
        <v>0</v>
      </c>
      <c r="AL56" s="23" t="str">
        <f>F42</f>
        <v>0</v>
      </c>
      <c r="AM56" s="23">
        <f>F43</f>
        <v>20884.230688803342</v>
      </c>
      <c r="AN56" s="23" t="str">
        <f>F44</f>
        <v>0</v>
      </c>
      <c r="AO56" s="23">
        <f>F45</f>
        <v>5760</v>
      </c>
      <c r="AP56" s="23">
        <f>F46</f>
        <v>0</v>
      </c>
      <c r="AQ56" s="23" t="str">
        <f>F47</f>
        <v>0</v>
      </c>
      <c r="AR56" s="23" t="str">
        <f>F48</f>
        <v>0</v>
      </c>
      <c r="AS56" s="23" t="str">
        <f>F49</f>
        <v>0</v>
      </c>
      <c r="AT56" s="23">
        <f>F50</f>
        <v>8862.1573365000004</v>
      </c>
    </row>
    <row r="57" spans="2:46" x14ac:dyDescent="0.3">
      <c r="B57" s="24" t="s">
        <v>507</v>
      </c>
      <c r="C57" s="23">
        <f>G7</f>
        <v>0</v>
      </c>
      <c r="D57" s="23">
        <f>G8</f>
        <v>0</v>
      </c>
      <c r="E57" s="23" t="str">
        <f>G9</f>
        <v>0</v>
      </c>
      <c r="F57" s="23" t="str">
        <f>G10</f>
        <v>0</v>
      </c>
      <c r="G57" s="23" t="str">
        <f>G11</f>
        <v>0</v>
      </c>
      <c r="H57" s="23" t="str">
        <f>G12</f>
        <v>0</v>
      </c>
      <c r="I57" s="23" t="str">
        <f>G13</f>
        <v>0</v>
      </c>
      <c r="J57" s="23" t="str">
        <f>G14</f>
        <v>0</v>
      </c>
      <c r="K57" s="23" t="str">
        <f>G15</f>
        <v>0</v>
      </c>
      <c r="L57" s="23" t="str">
        <f>G16</f>
        <v>0</v>
      </c>
      <c r="M57" s="23" t="str">
        <f>G17</f>
        <v>0</v>
      </c>
      <c r="N57" s="23" t="str">
        <f>G18</f>
        <v>0</v>
      </c>
      <c r="O57" s="23" t="str">
        <f>G19</f>
        <v>0</v>
      </c>
      <c r="P57" s="23" t="str">
        <f>G20</f>
        <v>0</v>
      </c>
      <c r="Q57" s="23" t="str">
        <f>G21</f>
        <v>0</v>
      </c>
      <c r="R57" s="23" t="str">
        <f>G22</f>
        <v>0</v>
      </c>
      <c r="S57" s="23" t="str">
        <f>G23</f>
        <v>0</v>
      </c>
      <c r="T57" s="23">
        <f>G24</f>
        <v>619.74295200000006</v>
      </c>
      <c r="U57" s="23">
        <f>G25</f>
        <v>1032.9049200000002</v>
      </c>
      <c r="V57" s="23">
        <f>G26</f>
        <v>1316.9537730000002</v>
      </c>
      <c r="W57" s="23">
        <f>G27</f>
        <v>1342.7763960000002</v>
      </c>
      <c r="X57" s="23">
        <f>G28</f>
        <v>1678.4704950000003</v>
      </c>
      <c r="Y57" s="23">
        <f>G29</f>
        <v>2014.1645940000003</v>
      </c>
      <c r="Z57" s="23">
        <f>G30</f>
        <v>4445.7562500000013</v>
      </c>
      <c r="AA57" s="23" t="str">
        <f>G31</f>
        <v>0</v>
      </c>
      <c r="AB57" s="23">
        <f>G32</f>
        <v>0</v>
      </c>
      <c r="AC57" s="23" t="str">
        <f>G33</f>
        <v>0</v>
      </c>
      <c r="AD57" s="23">
        <f>G34</f>
        <v>12705.557413500004</v>
      </c>
      <c r="AE57" s="23" t="str">
        <f>G35</f>
        <v>0</v>
      </c>
      <c r="AF57" s="23">
        <f>G36</f>
        <v>909.22439859456449</v>
      </c>
      <c r="AG57" s="23" t="str">
        <f>G37</f>
        <v>0</v>
      </c>
      <c r="AH57" s="23">
        <f>G38</f>
        <v>873.77964750000012</v>
      </c>
      <c r="AI57" s="23" t="str">
        <f>G39</f>
        <v>0</v>
      </c>
      <c r="AJ57" s="23" t="str">
        <f>G40</f>
        <v>0</v>
      </c>
      <c r="AK57" s="23">
        <f>G41</f>
        <v>294.77030000000008</v>
      </c>
      <c r="AL57" s="23">
        <f>G42</f>
        <v>17561.542505087215</v>
      </c>
      <c r="AM57" s="23" t="str">
        <f>G43</f>
        <v>0</v>
      </c>
      <c r="AN57" s="23">
        <f>G44</f>
        <v>5760</v>
      </c>
      <c r="AO57" s="23" t="str">
        <f>G45</f>
        <v>0</v>
      </c>
      <c r="AP57" s="23" t="str">
        <f>G46</f>
        <v>0</v>
      </c>
      <c r="AQ57" s="23">
        <f>G47</f>
        <v>0</v>
      </c>
      <c r="AR57" s="23">
        <f>G48</f>
        <v>0</v>
      </c>
      <c r="AS57" s="23">
        <f>G49</f>
        <v>0</v>
      </c>
      <c r="AT57" s="23" t="str">
        <f>G50</f>
        <v>0</v>
      </c>
    </row>
    <row r="58" spans="2:46" x14ac:dyDescent="0.3">
      <c r="B58" s="24" t="s">
        <v>508</v>
      </c>
      <c r="C58" s="23" t="str">
        <f>H7</f>
        <v>0</v>
      </c>
      <c r="D58" s="23" t="str">
        <f>H8</f>
        <v>0</v>
      </c>
      <c r="E58" s="23" t="str">
        <f>H9</f>
        <v>0</v>
      </c>
      <c r="F58" s="23" t="str">
        <f>H10</f>
        <v>0</v>
      </c>
      <c r="G58" s="23" t="str">
        <f>H11</f>
        <v>0</v>
      </c>
      <c r="H58" s="23" t="str">
        <f>H12</f>
        <v>0</v>
      </c>
      <c r="I58" s="23" t="str">
        <f>H13</f>
        <v>0</v>
      </c>
      <c r="J58" s="23" t="str">
        <f>H14</f>
        <v>0</v>
      </c>
      <c r="K58" s="23" t="str">
        <f>H15</f>
        <v>0</v>
      </c>
      <c r="L58" s="23" t="str">
        <f>H16</f>
        <v>0</v>
      </c>
      <c r="M58" s="23" t="str">
        <f>H17</f>
        <v>0</v>
      </c>
      <c r="N58" s="23" t="str">
        <f>H18</f>
        <v>0</v>
      </c>
      <c r="O58" s="23" t="str">
        <f>H19</f>
        <v>0</v>
      </c>
      <c r="P58" s="23" t="str">
        <f>H20</f>
        <v>0</v>
      </c>
      <c r="Q58" s="23" t="str">
        <f>H21</f>
        <v>0</v>
      </c>
      <c r="R58" s="23" t="str">
        <f>H22</f>
        <v>0</v>
      </c>
      <c r="S58" s="23" t="str">
        <f>H23</f>
        <v>0</v>
      </c>
      <c r="T58" s="23" t="str">
        <f>H24</f>
        <v>0</v>
      </c>
      <c r="U58" s="23" t="str">
        <f>H25</f>
        <v>0</v>
      </c>
      <c r="V58" s="23" t="str">
        <f>H26</f>
        <v>0</v>
      </c>
      <c r="W58" s="23" t="str">
        <f>H27</f>
        <v>0</v>
      </c>
      <c r="X58" s="23" t="str">
        <f>H28</f>
        <v>0</v>
      </c>
      <c r="Y58" s="23" t="str">
        <f>H29</f>
        <v>0</v>
      </c>
      <c r="Z58" s="23">
        <f>H30</f>
        <v>316.875</v>
      </c>
      <c r="AA58" s="23" t="str">
        <f>H31</f>
        <v>0</v>
      </c>
      <c r="AB58" s="23">
        <f>H32</f>
        <v>0</v>
      </c>
      <c r="AC58" s="23" t="str">
        <f>H33</f>
        <v>0</v>
      </c>
      <c r="AD58" s="23">
        <f>H34</f>
        <v>1034.6545125000002</v>
      </c>
      <c r="AE58" s="23" t="str">
        <f>H35</f>
        <v>0</v>
      </c>
      <c r="AF58" s="23">
        <f>H36</f>
        <v>79.18902995976562</v>
      </c>
      <c r="AG58" s="23" t="str">
        <f>H37</f>
        <v>0</v>
      </c>
      <c r="AH58" s="23">
        <f>H38</f>
        <v>76.621500000000012</v>
      </c>
      <c r="AI58" s="23" t="str">
        <f>H39</f>
        <v>0</v>
      </c>
      <c r="AJ58" s="23" t="str">
        <f>H40</f>
        <v>0</v>
      </c>
      <c r="AK58" s="23">
        <f>H41</f>
        <v>21.01</v>
      </c>
      <c r="AL58" s="23">
        <f>H42</f>
        <v>1472.3955294122748</v>
      </c>
      <c r="AM58" s="23" t="str">
        <f>H43</f>
        <v>0</v>
      </c>
      <c r="AN58" s="23">
        <f>H44</f>
        <v>1800</v>
      </c>
      <c r="AO58" s="23" t="str">
        <f>H45</f>
        <v>0</v>
      </c>
      <c r="AP58" s="23" t="str">
        <f>H46</f>
        <v>0</v>
      </c>
      <c r="AQ58" s="23">
        <f>H47</f>
        <v>0</v>
      </c>
      <c r="AR58" s="23">
        <f>H48</f>
        <v>0</v>
      </c>
      <c r="AS58" s="23">
        <f>H49</f>
        <v>0</v>
      </c>
      <c r="AT58" s="23" t="str">
        <f>H50</f>
        <v>0</v>
      </c>
    </row>
    <row r="59" spans="2:46" x14ac:dyDescent="0.3">
      <c r="B59" s="24" t="s">
        <v>509</v>
      </c>
      <c r="C59" s="23" t="str">
        <f>I7</f>
        <v>0</v>
      </c>
      <c r="D59" s="23" t="str">
        <f>I8</f>
        <v>0</v>
      </c>
      <c r="E59" s="23" t="str">
        <f>I9</f>
        <v>0</v>
      </c>
      <c r="F59" s="23" t="str">
        <f>I10</f>
        <v>0</v>
      </c>
      <c r="G59" s="23" t="str">
        <f>I11</f>
        <v>0</v>
      </c>
      <c r="H59" s="23" t="str">
        <f>I12</f>
        <v>0</v>
      </c>
      <c r="I59" s="23" t="str">
        <f>I13</f>
        <v>0</v>
      </c>
      <c r="J59" s="23" t="str">
        <f>I14</f>
        <v>0</v>
      </c>
      <c r="K59" s="23" t="str">
        <f>I15</f>
        <v>0</v>
      </c>
      <c r="L59" s="23" t="str">
        <f>I16</f>
        <v>0</v>
      </c>
      <c r="M59" s="23" t="str">
        <f>I17</f>
        <v>0</v>
      </c>
      <c r="N59" s="23" t="str">
        <f>I18</f>
        <v>0</v>
      </c>
      <c r="O59" s="23" t="str">
        <f>I19</f>
        <v>0</v>
      </c>
      <c r="P59" s="23" t="str">
        <f>I20</f>
        <v>0</v>
      </c>
      <c r="Q59" s="23" t="str">
        <f>I21</f>
        <v>0</v>
      </c>
      <c r="R59" s="23" t="str">
        <f>I22</f>
        <v>0</v>
      </c>
      <c r="S59" s="23" t="str">
        <f>I23</f>
        <v>0</v>
      </c>
      <c r="T59" s="23" t="str">
        <f>I24</f>
        <v>0</v>
      </c>
      <c r="U59" s="23" t="str">
        <f>I25</f>
        <v>0</v>
      </c>
      <c r="V59" s="23" t="str">
        <f>I26</f>
        <v>0</v>
      </c>
      <c r="W59" s="23" t="str">
        <f>I27</f>
        <v>0</v>
      </c>
      <c r="X59" s="23" t="str">
        <f>I28</f>
        <v>0</v>
      </c>
      <c r="Y59" s="23" t="str">
        <f>I29</f>
        <v>0</v>
      </c>
      <c r="Z59" s="23" t="str">
        <f>I30</f>
        <v>0</v>
      </c>
      <c r="AA59" s="23">
        <f>I31</f>
        <v>0</v>
      </c>
      <c r="AB59" s="23" t="str">
        <f>I32</f>
        <v>0</v>
      </c>
      <c r="AC59" s="23">
        <f>I33</f>
        <v>0</v>
      </c>
      <c r="AD59" s="23" t="str">
        <f>I34</f>
        <v>0</v>
      </c>
      <c r="AE59" s="23">
        <f>I35</f>
        <v>376.48281983906247</v>
      </c>
      <c r="AF59" s="23" t="str">
        <f>I36</f>
        <v>0</v>
      </c>
      <c r="AG59" s="23">
        <f>I37</f>
        <v>366.21270000000004</v>
      </c>
      <c r="AH59" s="23" t="str">
        <f>I38</f>
        <v>0</v>
      </c>
      <c r="AI59" s="23" t="str">
        <f>I39</f>
        <v>0</v>
      </c>
      <c r="AJ59" s="23">
        <f>I40</f>
        <v>55.772000000000006</v>
      </c>
      <c r="AK59" s="23" t="str">
        <f>I41</f>
        <v>0</v>
      </c>
      <c r="AL59" s="23" t="str">
        <f>I42</f>
        <v>0</v>
      </c>
      <c r="AM59" s="23">
        <f>I43</f>
        <v>1750.9764812801084</v>
      </c>
      <c r="AN59" s="23" t="str">
        <f>I44</f>
        <v>0</v>
      </c>
      <c r="AO59" s="23">
        <f>I45</f>
        <v>1800</v>
      </c>
      <c r="AP59" s="23">
        <f>I46</f>
        <v>0</v>
      </c>
      <c r="AQ59" s="23" t="str">
        <f>I47</f>
        <v>0</v>
      </c>
      <c r="AR59" s="23" t="str">
        <f>I48</f>
        <v>0</v>
      </c>
      <c r="AS59" s="23" t="str">
        <f>I49</f>
        <v>0</v>
      </c>
      <c r="AT59" s="23" t="str">
        <f>I50</f>
        <v>0</v>
      </c>
    </row>
    <row r="60" spans="2:46" x14ac:dyDescent="0.3">
      <c r="B60" s="24" t="s">
        <v>510</v>
      </c>
      <c r="C60" s="23">
        <f>J7</f>
        <v>13412.025000000001</v>
      </c>
      <c r="D60" s="23">
        <f>J8</f>
        <v>1368.7537500000003</v>
      </c>
      <c r="E60" s="23">
        <f>J9</f>
        <v>4182.8654515896187</v>
      </c>
      <c r="F60" s="23" t="str">
        <f>J10</f>
        <v>0</v>
      </c>
      <c r="G60" s="23">
        <f>J11</f>
        <v>0</v>
      </c>
      <c r="H60" s="23">
        <f>J12</f>
        <v>1148.133744</v>
      </c>
      <c r="I60" s="23">
        <f>J13</f>
        <v>1913.5562400000001</v>
      </c>
      <c r="J60" s="23">
        <f>J14</f>
        <v>2439.7842060000003</v>
      </c>
      <c r="K60" s="23">
        <f>J15</f>
        <v>2487.6231120000002</v>
      </c>
      <c r="L60" s="23">
        <f>J16</f>
        <v>3109.5288900000005</v>
      </c>
      <c r="M60" s="23">
        <f>J17</f>
        <v>3731.4346680000003</v>
      </c>
      <c r="N60" s="23">
        <f>J18</f>
        <v>1148.133744</v>
      </c>
      <c r="O60" s="23">
        <f>J19</f>
        <v>1913.5562400000001</v>
      </c>
      <c r="P60" s="23">
        <f>J20</f>
        <v>2439.7842060000003</v>
      </c>
      <c r="Q60" s="23">
        <f>J21</f>
        <v>2487.6231120000002</v>
      </c>
      <c r="R60" s="23">
        <f>J22</f>
        <v>3109.5288900000005</v>
      </c>
      <c r="S60" s="23">
        <f>J23</f>
        <v>3731.4346680000003</v>
      </c>
      <c r="T60" s="23">
        <f>J24</f>
        <v>688.60328000000004</v>
      </c>
      <c r="U60" s="23">
        <f>J25</f>
        <v>1147.6721333333335</v>
      </c>
      <c r="V60" s="23">
        <f>J26</f>
        <v>1463.2819700000002</v>
      </c>
      <c r="W60" s="23">
        <f>J27</f>
        <v>1491.9737733333336</v>
      </c>
      <c r="X60" s="23">
        <f>J28</f>
        <v>1864.9672166666669</v>
      </c>
      <c r="Y60" s="23">
        <f>J29</f>
        <v>2237.9606600000002</v>
      </c>
      <c r="Z60" s="23" t="str">
        <f>J30</f>
        <v>0</v>
      </c>
      <c r="AA60" s="23" t="str">
        <f>J31</f>
        <v>0</v>
      </c>
      <c r="AB60" s="23" t="str">
        <f>J32</f>
        <v>0</v>
      </c>
      <c r="AC60" s="23" t="str">
        <f>J33</f>
        <v>0</v>
      </c>
      <c r="AD60" s="23" t="str">
        <f>J34</f>
        <v>0</v>
      </c>
      <c r="AE60" s="23" t="str">
        <f>J35</f>
        <v>0</v>
      </c>
      <c r="AF60" s="23" t="str">
        <f>J36</f>
        <v>0</v>
      </c>
      <c r="AG60" s="23" t="str">
        <f>J37</f>
        <v>0</v>
      </c>
      <c r="AH60" s="23" t="str">
        <f>J38</f>
        <v>0</v>
      </c>
      <c r="AI60" s="23">
        <f>J39</f>
        <v>1027.8133467890625</v>
      </c>
      <c r="AJ60" s="23" t="str">
        <f>J40</f>
        <v>0</v>
      </c>
      <c r="AK60" s="23" t="str">
        <f>J41</f>
        <v>0</v>
      </c>
      <c r="AL60" s="23" t="str">
        <f>J42</f>
        <v>0</v>
      </c>
      <c r="AM60" s="23" t="str">
        <f>J43</f>
        <v>0</v>
      </c>
      <c r="AN60" s="23" t="str">
        <f>J44</f>
        <v>0</v>
      </c>
      <c r="AO60" s="23" t="str">
        <f>J45</f>
        <v>0</v>
      </c>
      <c r="AP60" s="23" t="str">
        <f>J46</f>
        <v>0</v>
      </c>
      <c r="AQ60" s="23" t="str">
        <f>J47</f>
        <v>0</v>
      </c>
      <c r="AR60" s="23" t="str">
        <f>J48</f>
        <v>0</v>
      </c>
      <c r="AS60" s="23" t="str">
        <f>J49</f>
        <v>0</v>
      </c>
      <c r="AT60" s="23">
        <f>J50</f>
        <v>3731.4346680000003</v>
      </c>
    </row>
    <row r="61" spans="2:46" x14ac:dyDescent="0.3">
      <c r="B61" s="24" t="s">
        <v>511</v>
      </c>
      <c r="C61" s="23" t="str">
        <f>K7</f>
        <v>0</v>
      </c>
      <c r="D61" s="23" t="str">
        <f>K8</f>
        <v>0</v>
      </c>
      <c r="E61" s="23" t="str">
        <f>K9</f>
        <v>0</v>
      </c>
      <c r="F61" s="23" t="str">
        <f>K10</f>
        <v>0</v>
      </c>
      <c r="G61" s="23" t="str">
        <f>K11</f>
        <v>0</v>
      </c>
      <c r="H61" s="23">
        <f>K12</f>
        <v>11337.820722</v>
      </c>
      <c r="I61" s="23">
        <f>K13</f>
        <v>16026.033510000001</v>
      </c>
      <c r="J61" s="23">
        <f>K14</f>
        <v>16773.51641625</v>
      </c>
      <c r="K61" s="23">
        <f>K15</f>
        <v>13370.974227000001</v>
      </c>
      <c r="L61" s="23">
        <f>K16</f>
        <v>12049.424448750002</v>
      </c>
      <c r="M61" s="23">
        <f>K17</f>
        <v>8862.1573365000004</v>
      </c>
      <c r="N61" s="23" t="str">
        <f>K18</f>
        <v>0</v>
      </c>
      <c r="O61" s="23" t="str">
        <f>K19</f>
        <v>0</v>
      </c>
      <c r="P61" s="23" t="str">
        <f>K20</f>
        <v>0</v>
      </c>
      <c r="Q61" s="23" t="str">
        <f>K21</f>
        <v>0</v>
      </c>
      <c r="R61" s="23" t="str">
        <f>K22</f>
        <v>0</v>
      </c>
      <c r="S61" s="23" t="str">
        <f>K23</f>
        <v>0</v>
      </c>
      <c r="T61" s="23">
        <f>K24</f>
        <v>6799.9573900000005</v>
      </c>
      <c r="U61" s="23">
        <f>K25</f>
        <v>9611.754116666667</v>
      </c>
      <c r="V61" s="23">
        <f>K26</f>
        <v>10060.063543750002</v>
      </c>
      <c r="W61" s="23">
        <f>K27</f>
        <v>8019.3590316666678</v>
      </c>
      <c r="X61" s="23">
        <f>K28</f>
        <v>7226.7479645833346</v>
      </c>
      <c r="Y61" s="23">
        <f>K29</f>
        <v>5315.1565675000002</v>
      </c>
      <c r="Z61" s="23" t="str">
        <f>K30</f>
        <v>0</v>
      </c>
      <c r="AA61" s="23">
        <f>K31</f>
        <v>0</v>
      </c>
      <c r="AB61" s="23" t="str">
        <f>K32</f>
        <v>0</v>
      </c>
      <c r="AC61" s="23">
        <f>K33</f>
        <v>0</v>
      </c>
      <c r="AD61" s="23" t="str">
        <f>K34</f>
        <v>0</v>
      </c>
      <c r="AE61" s="23">
        <f>K35</f>
        <v>3389.6054102001335</v>
      </c>
      <c r="AF61" s="23" t="str">
        <f>K36</f>
        <v>0</v>
      </c>
      <c r="AG61" s="23">
        <f>K37</f>
        <v>3268.3666455000011</v>
      </c>
      <c r="AH61" s="23" t="str">
        <f>K38</f>
        <v>0</v>
      </c>
      <c r="AI61" s="23" t="str">
        <f>K39</f>
        <v>0</v>
      </c>
      <c r="AJ61" s="23">
        <f>K40</f>
        <v>670.93716000000018</v>
      </c>
      <c r="AK61" s="23" t="str">
        <f>K41</f>
        <v>0</v>
      </c>
      <c r="AL61" s="23" t="str">
        <f>K42</f>
        <v>0</v>
      </c>
      <c r="AM61" s="23">
        <f>K43</f>
        <v>16453.884526243124</v>
      </c>
      <c r="AN61" s="23" t="str">
        <f>K44</f>
        <v>0</v>
      </c>
      <c r="AO61" s="23">
        <f>K45</f>
        <v>2160.0000000000005</v>
      </c>
      <c r="AP61" s="23">
        <f>K46</f>
        <v>0</v>
      </c>
      <c r="AQ61" s="23" t="str">
        <f>K47</f>
        <v>0</v>
      </c>
      <c r="AR61" s="23" t="str">
        <f>K48</f>
        <v>0</v>
      </c>
      <c r="AS61" s="23" t="str">
        <f>K49</f>
        <v>0</v>
      </c>
      <c r="AT61" s="23">
        <f>K50</f>
        <v>8862.1573365000004</v>
      </c>
    </row>
    <row r="62" spans="2:46" x14ac:dyDescent="0.3">
      <c r="B62" s="24" t="s">
        <v>512</v>
      </c>
      <c r="C62" s="23">
        <f>L7</f>
        <v>0</v>
      </c>
      <c r="D62" s="23">
        <f>L8</f>
        <v>0</v>
      </c>
      <c r="E62" s="23" t="str">
        <f>L9</f>
        <v>0</v>
      </c>
      <c r="F62" s="23" t="str">
        <f>L10</f>
        <v>0</v>
      </c>
      <c r="G62" s="23" t="str">
        <f>L11</f>
        <v>0</v>
      </c>
      <c r="H62" s="23" t="str">
        <f>L12</f>
        <v>0</v>
      </c>
      <c r="I62" s="23" t="str">
        <f>L13</f>
        <v>0</v>
      </c>
      <c r="J62" s="23" t="str">
        <f>L14</f>
        <v>0</v>
      </c>
      <c r="K62" s="23" t="str">
        <f>L15</f>
        <v>0</v>
      </c>
      <c r="L62" s="23" t="str">
        <f>L16</f>
        <v>0</v>
      </c>
      <c r="M62" s="23" t="str">
        <f>L17</f>
        <v>0</v>
      </c>
      <c r="N62" s="23" t="str">
        <f>L18</f>
        <v>0</v>
      </c>
      <c r="O62" s="23" t="str">
        <f>L19</f>
        <v>0</v>
      </c>
      <c r="P62" s="23" t="str">
        <f>L20</f>
        <v>0</v>
      </c>
      <c r="Q62" s="23" t="str">
        <f>L21</f>
        <v>0</v>
      </c>
      <c r="R62" s="23" t="str">
        <f>L22</f>
        <v>0</v>
      </c>
      <c r="S62" s="23" t="str">
        <f>L23</f>
        <v>0</v>
      </c>
      <c r="T62" s="23">
        <f>L24</f>
        <v>619.74295200000006</v>
      </c>
      <c r="U62" s="23">
        <f>L25</f>
        <v>1032.9049200000002</v>
      </c>
      <c r="V62" s="23">
        <f>L26</f>
        <v>1316.9537730000002</v>
      </c>
      <c r="W62" s="23">
        <f>L27</f>
        <v>1342.7763960000002</v>
      </c>
      <c r="X62" s="23">
        <f>L28</f>
        <v>1678.4704950000003</v>
      </c>
      <c r="Y62" s="23">
        <f>L29</f>
        <v>2014.1645940000003</v>
      </c>
      <c r="Z62" s="23">
        <f>L30</f>
        <v>3812.0062500000008</v>
      </c>
      <c r="AA62" s="23" t="str">
        <f>L31</f>
        <v>0</v>
      </c>
      <c r="AB62" s="23">
        <f>L32</f>
        <v>0</v>
      </c>
      <c r="AC62" s="23" t="str">
        <f>L33</f>
        <v>0</v>
      </c>
      <c r="AD62" s="23">
        <f>L34</f>
        <v>10636.248388500004</v>
      </c>
      <c r="AE62" s="23" t="str">
        <f>L35</f>
        <v>0</v>
      </c>
      <c r="AF62" s="23">
        <f>L36</f>
        <v>750.84633867503328</v>
      </c>
      <c r="AG62" s="23" t="str">
        <f>L37</f>
        <v>0</v>
      </c>
      <c r="AH62" s="23">
        <f>L38</f>
        <v>720.53664750000019</v>
      </c>
      <c r="AI62" s="23" t="str">
        <f>L39</f>
        <v>0</v>
      </c>
      <c r="AJ62" s="23" t="str">
        <f>L40</f>
        <v>0</v>
      </c>
      <c r="AK62" s="23">
        <f>L41</f>
        <v>252.75030000000007</v>
      </c>
      <c r="AL62" s="23">
        <f>L42</f>
        <v>13836.06591916901</v>
      </c>
      <c r="AM62" s="23" t="str">
        <f>L43</f>
        <v>0</v>
      </c>
      <c r="AN62" s="23">
        <f>L44</f>
        <v>2160.0000000000005</v>
      </c>
      <c r="AO62" s="23" t="str">
        <f>L45</f>
        <v>0</v>
      </c>
      <c r="AP62" s="23" t="str">
        <f>L46</f>
        <v>0</v>
      </c>
      <c r="AQ62" s="23">
        <f>L47</f>
        <v>0</v>
      </c>
      <c r="AR62" s="23">
        <f>L48</f>
        <v>0</v>
      </c>
      <c r="AS62" s="23">
        <f>L49</f>
        <v>0</v>
      </c>
      <c r="AT62" s="23" t="str">
        <f>L50</f>
        <v>0</v>
      </c>
    </row>
    <row r="64" spans="2:46" x14ac:dyDescent="0.3">
      <c r="B64" s="5" t="s">
        <v>559</v>
      </c>
    </row>
    <row r="65" spans="2:46" ht="33.6" customHeight="1" x14ac:dyDescent="0.3">
      <c r="B65" s="18" t="s">
        <v>560</v>
      </c>
      <c r="C65" s="18" t="s">
        <v>513</v>
      </c>
      <c r="D65" s="18" t="s">
        <v>515</v>
      </c>
      <c r="E65" s="18" t="s">
        <v>516</v>
      </c>
      <c r="F65" s="18" t="s">
        <v>517</v>
      </c>
      <c r="G65" s="18" t="s">
        <v>518</v>
      </c>
      <c r="H65" s="18" t="s">
        <v>519</v>
      </c>
      <c r="I65" s="18" t="s">
        <v>520</v>
      </c>
      <c r="J65" s="18" t="s">
        <v>521</v>
      </c>
      <c r="K65" s="18" t="s">
        <v>522</v>
      </c>
      <c r="L65" s="18" t="s">
        <v>523</v>
      </c>
      <c r="M65" s="18" t="s">
        <v>524</v>
      </c>
      <c r="N65" s="18" t="s">
        <v>525</v>
      </c>
      <c r="O65" s="18" t="s">
        <v>526</v>
      </c>
      <c r="P65" s="18" t="s">
        <v>527</v>
      </c>
      <c r="Q65" s="18" t="s">
        <v>528</v>
      </c>
      <c r="R65" s="18" t="s">
        <v>529</v>
      </c>
      <c r="S65" s="18" t="s">
        <v>530</v>
      </c>
      <c r="T65" s="18" t="s">
        <v>531</v>
      </c>
      <c r="U65" s="18" t="s">
        <v>532</v>
      </c>
      <c r="V65" s="18" t="s">
        <v>533</v>
      </c>
      <c r="W65" s="18" t="s">
        <v>534</v>
      </c>
      <c r="X65" s="18" t="s">
        <v>535</v>
      </c>
      <c r="Y65" s="18" t="s">
        <v>536</v>
      </c>
      <c r="Z65" s="18" t="s">
        <v>537</v>
      </c>
      <c r="AA65" s="18" t="s">
        <v>538</v>
      </c>
      <c r="AB65" s="18" t="s">
        <v>539</v>
      </c>
      <c r="AC65" s="18" t="s">
        <v>540</v>
      </c>
      <c r="AD65" s="18" t="s">
        <v>541</v>
      </c>
      <c r="AE65" s="18" t="s">
        <v>542</v>
      </c>
      <c r="AF65" s="18" t="s">
        <v>543</v>
      </c>
      <c r="AG65" s="18" t="s">
        <v>544</v>
      </c>
      <c r="AH65" s="18" t="s">
        <v>545</v>
      </c>
      <c r="AI65" s="18" t="s">
        <v>546</v>
      </c>
      <c r="AJ65" s="18" t="s">
        <v>547</v>
      </c>
      <c r="AK65" s="18" t="s">
        <v>548</v>
      </c>
      <c r="AL65" s="18" t="s">
        <v>549</v>
      </c>
      <c r="AM65" s="18" t="s">
        <v>550</v>
      </c>
      <c r="AN65" s="18" t="s">
        <v>551</v>
      </c>
      <c r="AO65" s="18" t="s">
        <v>552</v>
      </c>
      <c r="AP65" s="18" t="s">
        <v>553</v>
      </c>
      <c r="AQ65" s="18" t="s">
        <v>554</v>
      </c>
      <c r="AR65" s="18" t="s">
        <v>555</v>
      </c>
      <c r="AS65" s="18" t="s">
        <v>556</v>
      </c>
      <c r="AT65" s="18" t="s">
        <v>557</v>
      </c>
    </row>
    <row r="66" spans="2:46" x14ac:dyDescent="0.3">
      <c r="B66" s="28" t="s">
        <v>561</v>
      </c>
      <c r="C66" s="13">
        <v>1</v>
      </c>
      <c r="D66" s="13">
        <v>1</v>
      </c>
      <c r="E66" s="13">
        <v>1</v>
      </c>
      <c r="F66" s="13">
        <v>1</v>
      </c>
      <c r="G66" s="13">
        <v>1</v>
      </c>
      <c r="H66" s="13">
        <v>1</v>
      </c>
      <c r="I66" s="13">
        <v>0</v>
      </c>
      <c r="J66" s="13">
        <v>0</v>
      </c>
      <c r="K66" s="13">
        <v>0</v>
      </c>
      <c r="L66" s="13">
        <v>0</v>
      </c>
      <c r="M66" s="13">
        <v>0</v>
      </c>
      <c r="N66" s="13">
        <v>0</v>
      </c>
      <c r="O66" s="13">
        <v>0</v>
      </c>
      <c r="P66" s="13">
        <v>0</v>
      </c>
      <c r="Q66" s="13">
        <v>0</v>
      </c>
      <c r="R66" s="13">
        <v>0</v>
      </c>
      <c r="S66" s="13">
        <v>0</v>
      </c>
      <c r="T66" s="13">
        <v>0</v>
      </c>
      <c r="U66" s="13">
        <v>0</v>
      </c>
      <c r="V66" s="13">
        <v>0</v>
      </c>
      <c r="W66" s="13">
        <v>0</v>
      </c>
      <c r="X66" s="13">
        <v>0</v>
      </c>
      <c r="Y66" s="13">
        <v>0</v>
      </c>
      <c r="Z66" s="13">
        <v>1</v>
      </c>
      <c r="AA66" s="13">
        <v>1</v>
      </c>
      <c r="AB66" s="13">
        <v>1</v>
      </c>
      <c r="AC66" s="13">
        <v>1</v>
      </c>
      <c r="AD66" s="13">
        <v>1</v>
      </c>
      <c r="AE66" s="13">
        <v>0</v>
      </c>
      <c r="AF66" s="13">
        <v>0</v>
      </c>
      <c r="AG66" s="13">
        <v>0.3</v>
      </c>
      <c r="AH66" s="13">
        <v>0.3</v>
      </c>
      <c r="AI66" s="13">
        <v>0</v>
      </c>
      <c r="AJ66" s="13">
        <v>1</v>
      </c>
      <c r="AK66" s="13">
        <v>1</v>
      </c>
      <c r="AL66" s="13">
        <v>0</v>
      </c>
      <c r="AM66" s="13">
        <v>0</v>
      </c>
      <c r="AN66" s="13">
        <v>0</v>
      </c>
      <c r="AO66" s="13">
        <v>0</v>
      </c>
      <c r="AP66" s="13">
        <v>0</v>
      </c>
      <c r="AQ66" s="13">
        <v>0</v>
      </c>
      <c r="AR66" s="13">
        <v>1</v>
      </c>
      <c r="AS66" s="13">
        <v>1</v>
      </c>
      <c r="AT66" s="13">
        <v>0</v>
      </c>
    </row>
    <row r="67" spans="2:46" x14ac:dyDescent="0.3">
      <c r="B67" s="28" t="s">
        <v>562</v>
      </c>
      <c r="C67" s="13">
        <v>1</v>
      </c>
      <c r="D67" s="13">
        <v>1</v>
      </c>
      <c r="E67" s="13">
        <v>1</v>
      </c>
      <c r="F67" s="13">
        <v>1</v>
      </c>
      <c r="G67" s="13">
        <v>1</v>
      </c>
      <c r="H67" s="13">
        <v>0</v>
      </c>
      <c r="I67" s="13">
        <v>1</v>
      </c>
      <c r="J67" s="13">
        <v>0</v>
      </c>
      <c r="K67" s="13">
        <v>0</v>
      </c>
      <c r="L67" s="13">
        <v>0</v>
      </c>
      <c r="M67" s="13">
        <v>0</v>
      </c>
      <c r="N67" s="13">
        <v>0</v>
      </c>
      <c r="O67" s="13">
        <v>0</v>
      </c>
      <c r="P67" s="13">
        <v>0</v>
      </c>
      <c r="Q67" s="13">
        <v>0</v>
      </c>
      <c r="R67" s="13">
        <v>0</v>
      </c>
      <c r="S67" s="13">
        <v>0</v>
      </c>
      <c r="T67" s="13">
        <v>0</v>
      </c>
      <c r="U67" s="13">
        <v>0</v>
      </c>
      <c r="V67" s="13">
        <v>0</v>
      </c>
      <c r="W67" s="13">
        <v>0</v>
      </c>
      <c r="X67" s="13">
        <v>0</v>
      </c>
      <c r="Y67" s="13">
        <v>0</v>
      </c>
      <c r="Z67" s="13">
        <v>1</v>
      </c>
      <c r="AA67" s="13">
        <v>1</v>
      </c>
      <c r="AB67" s="13">
        <v>1</v>
      </c>
      <c r="AC67" s="13">
        <v>1</v>
      </c>
      <c r="AD67" s="13">
        <v>1</v>
      </c>
      <c r="AE67" s="13">
        <v>0</v>
      </c>
      <c r="AF67" s="13">
        <v>0</v>
      </c>
      <c r="AG67" s="13">
        <v>0.3</v>
      </c>
      <c r="AH67" s="13">
        <v>0.3</v>
      </c>
      <c r="AI67" s="13">
        <v>0</v>
      </c>
      <c r="AJ67" s="13">
        <v>1</v>
      </c>
      <c r="AK67" s="13">
        <v>1</v>
      </c>
      <c r="AL67" s="13">
        <v>0</v>
      </c>
      <c r="AM67" s="13">
        <v>0</v>
      </c>
      <c r="AN67" s="13">
        <v>0</v>
      </c>
      <c r="AO67" s="13">
        <v>0</v>
      </c>
      <c r="AP67" s="13">
        <v>0</v>
      </c>
      <c r="AQ67" s="13">
        <v>0</v>
      </c>
      <c r="AR67" s="13">
        <v>1</v>
      </c>
      <c r="AS67" s="13">
        <v>1</v>
      </c>
      <c r="AT67" s="13">
        <v>0</v>
      </c>
    </row>
    <row r="68" spans="2:46" x14ac:dyDescent="0.3">
      <c r="B68" s="28" t="s">
        <v>563</v>
      </c>
      <c r="C68" s="13">
        <v>1</v>
      </c>
      <c r="D68" s="13">
        <v>1</v>
      </c>
      <c r="E68" s="13">
        <v>1</v>
      </c>
      <c r="F68" s="13">
        <v>1</v>
      </c>
      <c r="G68" s="13">
        <v>1</v>
      </c>
      <c r="H68" s="13">
        <v>0</v>
      </c>
      <c r="I68" s="13">
        <v>0</v>
      </c>
      <c r="J68" s="13">
        <v>1</v>
      </c>
      <c r="K68" s="13">
        <v>0</v>
      </c>
      <c r="L68" s="13">
        <v>0</v>
      </c>
      <c r="M68" s="13">
        <v>0</v>
      </c>
      <c r="N68" s="13">
        <v>0</v>
      </c>
      <c r="O68" s="13">
        <v>0</v>
      </c>
      <c r="P68" s="13">
        <v>0</v>
      </c>
      <c r="Q68" s="13">
        <v>0</v>
      </c>
      <c r="R68" s="13">
        <v>0</v>
      </c>
      <c r="S68" s="13">
        <v>0</v>
      </c>
      <c r="T68" s="13">
        <v>0</v>
      </c>
      <c r="U68" s="13">
        <v>0</v>
      </c>
      <c r="V68" s="13">
        <v>0</v>
      </c>
      <c r="W68" s="13">
        <v>0</v>
      </c>
      <c r="X68" s="13">
        <v>0</v>
      </c>
      <c r="Y68" s="13">
        <v>0</v>
      </c>
      <c r="Z68" s="13">
        <v>1</v>
      </c>
      <c r="AA68" s="13">
        <v>1</v>
      </c>
      <c r="AB68" s="13">
        <v>1</v>
      </c>
      <c r="AC68" s="13">
        <v>1</v>
      </c>
      <c r="AD68" s="13">
        <v>1</v>
      </c>
      <c r="AE68" s="13">
        <v>0</v>
      </c>
      <c r="AF68" s="13">
        <v>0</v>
      </c>
      <c r="AG68" s="13">
        <v>0.3</v>
      </c>
      <c r="AH68" s="13">
        <v>0.3</v>
      </c>
      <c r="AI68" s="13">
        <v>0</v>
      </c>
      <c r="AJ68" s="13">
        <v>1</v>
      </c>
      <c r="AK68" s="13">
        <v>1</v>
      </c>
      <c r="AL68" s="13">
        <v>0</v>
      </c>
      <c r="AM68" s="13">
        <v>0</v>
      </c>
      <c r="AN68" s="13">
        <v>0</v>
      </c>
      <c r="AO68" s="13">
        <v>0</v>
      </c>
      <c r="AP68" s="13">
        <v>0</v>
      </c>
      <c r="AQ68" s="13">
        <v>0</v>
      </c>
      <c r="AR68" s="13">
        <v>1</v>
      </c>
      <c r="AS68" s="13">
        <v>1</v>
      </c>
      <c r="AT68" s="13">
        <v>0</v>
      </c>
    </row>
    <row r="69" spans="2:46" x14ac:dyDescent="0.3">
      <c r="B69" s="28" t="s">
        <v>564</v>
      </c>
      <c r="C69" s="13">
        <v>1</v>
      </c>
      <c r="D69" s="13">
        <v>1</v>
      </c>
      <c r="E69" s="13">
        <v>1</v>
      </c>
      <c r="F69" s="13">
        <v>1</v>
      </c>
      <c r="G69" s="13">
        <v>1</v>
      </c>
      <c r="H69" s="13">
        <v>0</v>
      </c>
      <c r="I69" s="13">
        <v>0</v>
      </c>
      <c r="J69" s="13">
        <v>0</v>
      </c>
      <c r="K69" s="13">
        <v>1</v>
      </c>
      <c r="L69" s="13">
        <v>0</v>
      </c>
      <c r="M69" s="13">
        <v>0</v>
      </c>
      <c r="N69" s="13">
        <v>0</v>
      </c>
      <c r="O69" s="13">
        <v>0</v>
      </c>
      <c r="P69" s="13">
        <v>0</v>
      </c>
      <c r="Q69" s="13">
        <v>0</v>
      </c>
      <c r="R69" s="13">
        <v>0</v>
      </c>
      <c r="S69" s="13">
        <v>0</v>
      </c>
      <c r="T69" s="13">
        <v>0</v>
      </c>
      <c r="U69" s="13">
        <v>0</v>
      </c>
      <c r="V69" s="13">
        <v>0</v>
      </c>
      <c r="W69" s="13">
        <v>0</v>
      </c>
      <c r="X69" s="13">
        <v>0</v>
      </c>
      <c r="Y69" s="13">
        <v>0</v>
      </c>
      <c r="Z69" s="13">
        <v>1</v>
      </c>
      <c r="AA69" s="13">
        <v>1</v>
      </c>
      <c r="AB69" s="13">
        <v>1</v>
      </c>
      <c r="AC69" s="13">
        <v>1</v>
      </c>
      <c r="AD69" s="13">
        <v>1</v>
      </c>
      <c r="AE69" s="13">
        <v>0</v>
      </c>
      <c r="AF69" s="13">
        <v>0</v>
      </c>
      <c r="AG69" s="13">
        <v>0.3</v>
      </c>
      <c r="AH69" s="13">
        <v>0.3</v>
      </c>
      <c r="AI69" s="13">
        <v>0</v>
      </c>
      <c r="AJ69" s="13">
        <v>1</v>
      </c>
      <c r="AK69" s="13">
        <v>1</v>
      </c>
      <c r="AL69" s="13">
        <v>0</v>
      </c>
      <c r="AM69" s="13">
        <v>0</v>
      </c>
      <c r="AN69" s="13">
        <v>0</v>
      </c>
      <c r="AO69" s="13">
        <v>0</v>
      </c>
      <c r="AP69" s="13">
        <v>0</v>
      </c>
      <c r="AQ69" s="13">
        <v>0</v>
      </c>
      <c r="AR69" s="13">
        <v>1</v>
      </c>
      <c r="AS69" s="13">
        <v>1</v>
      </c>
      <c r="AT69" s="13">
        <v>0</v>
      </c>
    </row>
    <row r="70" spans="2:46" x14ac:dyDescent="0.3">
      <c r="B70" s="28" t="s">
        <v>565</v>
      </c>
      <c r="C70" s="13">
        <v>1</v>
      </c>
      <c r="D70" s="13">
        <v>1</v>
      </c>
      <c r="E70" s="13">
        <v>1</v>
      </c>
      <c r="F70" s="13">
        <v>1</v>
      </c>
      <c r="G70" s="13">
        <v>1</v>
      </c>
      <c r="H70" s="13">
        <v>0</v>
      </c>
      <c r="I70" s="13">
        <v>0</v>
      </c>
      <c r="J70" s="13">
        <v>0</v>
      </c>
      <c r="K70" s="13">
        <v>0</v>
      </c>
      <c r="L70" s="13">
        <v>1</v>
      </c>
      <c r="M70" s="13">
        <v>0</v>
      </c>
      <c r="N70" s="13">
        <v>0</v>
      </c>
      <c r="O70" s="13">
        <v>0</v>
      </c>
      <c r="P70" s="13">
        <v>0</v>
      </c>
      <c r="Q70" s="13">
        <v>0</v>
      </c>
      <c r="R70" s="13">
        <v>0</v>
      </c>
      <c r="S70" s="13">
        <v>0</v>
      </c>
      <c r="T70" s="13">
        <v>0</v>
      </c>
      <c r="U70" s="13">
        <v>0</v>
      </c>
      <c r="V70" s="13">
        <v>0</v>
      </c>
      <c r="W70" s="13">
        <v>0</v>
      </c>
      <c r="X70" s="13">
        <v>0</v>
      </c>
      <c r="Y70" s="13">
        <v>0</v>
      </c>
      <c r="Z70" s="13">
        <v>1</v>
      </c>
      <c r="AA70" s="13">
        <v>1</v>
      </c>
      <c r="AB70" s="13">
        <v>1</v>
      </c>
      <c r="AC70" s="13">
        <v>1</v>
      </c>
      <c r="AD70" s="13">
        <v>1</v>
      </c>
      <c r="AE70" s="13">
        <v>0</v>
      </c>
      <c r="AF70" s="13">
        <v>0</v>
      </c>
      <c r="AG70" s="13">
        <v>0.3</v>
      </c>
      <c r="AH70" s="13">
        <v>0.3</v>
      </c>
      <c r="AI70" s="13">
        <v>0</v>
      </c>
      <c r="AJ70" s="13">
        <v>1</v>
      </c>
      <c r="AK70" s="13">
        <v>1</v>
      </c>
      <c r="AL70" s="13">
        <v>0</v>
      </c>
      <c r="AM70" s="13">
        <v>0</v>
      </c>
      <c r="AN70" s="13">
        <v>0</v>
      </c>
      <c r="AO70" s="13">
        <v>0</v>
      </c>
      <c r="AP70" s="13">
        <v>0</v>
      </c>
      <c r="AQ70" s="13">
        <v>0</v>
      </c>
      <c r="AR70" s="13">
        <v>1</v>
      </c>
      <c r="AS70" s="13">
        <v>1</v>
      </c>
      <c r="AT70" s="13">
        <v>0</v>
      </c>
    </row>
    <row r="71" spans="2:46" x14ac:dyDescent="0.3">
      <c r="B71" s="28" t="s">
        <v>566</v>
      </c>
      <c r="C71" s="13">
        <v>1</v>
      </c>
      <c r="D71" s="13">
        <v>1</v>
      </c>
      <c r="E71" s="13">
        <v>1</v>
      </c>
      <c r="F71" s="13">
        <v>1</v>
      </c>
      <c r="G71" s="13">
        <v>1</v>
      </c>
      <c r="H71" s="13">
        <v>0</v>
      </c>
      <c r="I71" s="13">
        <v>0</v>
      </c>
      <c r="J71" s="13">
        <v>0</v>
      </c>
      <c r="K71" s="13">
        <v>0</v>
      </c>
      <c r="L71" s="13">
        <v>0</v>
      </c>
      <c r="M71" s="13">
        <v>1</v>
      </c>
      <c r="N71" s="13">
        <v>0</v>
      </c>
      <c r="O71" s="13">
        <v>0</v>
      </c>
      <c r="P71" s="13">
        <v>0</v>
      </c>
      <c r="Q71" s="13">
        <v>0</v>
      </c>
      <c r="R71" s="13">
        <v>0</v>
      </c>
      <c r="S71" s="13">
        <v>0</v>
      </c>
      <c r="T71" s="13">
        <v>0</v>
      </c>
      <c r="U71" s="13">
        <v>0</v>
      </c>
      <c r="V71" s="13">
        <v>0</v>
      </c>
      <c r="W71" s="13">
        <v>0</v>
      </c>
      <c r="X71" s="13">
        <v>0</v>
      </c>
      <c r="Y71" s="13">
        <v>0</v>
      </c>
      <c r="Z71" s="13">
        <v>1</v>
      </c>
      <c r="AA71" s="13">
        <v>1</v>
      </c>
      <c r="AB71" s="13">
        <v>1</v>
      </c>
      <c r="AC71" s="13">
        <v>1</v>
      </c>
      <c r="AD71" s="13">
        <v>1</v>
      </c>
      <c r="AE71" s="13">
        <v>0</v>
      </c>
      <c r="AF71" s="13">
        <v>0</v>
      </c>
      <c r="AG71" s="13">
        <v>0.3</v>
      </c>
      <c r="AH71" s="13">
        <v>0.3</v>
      </c>
      <c r="AI71" s="13">
        <v>0</v>
      </c>
      <c r="AJ71" s="13">
        <v>1</v>
      </c>
      <c r="AK71" s="13">
        <v>1</v>
      </c>
      <c r="AL71" s="13">
        <v>0</v>
      </c>
      <c r="AM71" s="13">
        <v>0</v>
      </c>
      <c r="AN71" s="13">
        <v>0</v>
      </c>
      <c r="AO71" s="13">
        <v>0</v>
      </c>
      <c r="AP71" s="13">
        <v>0</v>
      </c>
      <c r="AQ71" s="13">
        <v>0</v>
      </c>
      <c r="AR71" s="13">
        <v>1</v>
      </c>
      <c r="AS71" s="13">
        <v>1</v>
      </c>
      <c r="AT71" s="13">
        <v>0</v>
      </c>
    </row>
    <row r="72" spans="2:46" x14ac:dyDescent="0.3">
      <c r="B72" s="28" t="s">
        <v>567</v>
      </c>
      <c r="C72" s="13">
        <v>1</v>
      </c>
      <c r="D72" s="13">
        <v>1</v>
      </c>
      <c r="E72" s="13">
        <v>1</v>
      </c>
      <c r="F72" s="13">
        <v>1</v>
      </c>
      <c r="G72" s="13">
        <v>1</v>
      </c>
      <c r="H72" s="13">
        <v>0</v>
      </c>
      <c r="I72" s="13">
        <v>0</v>
      </c>
      <c r="J72" s="13">
        <v>0</v>
      </c>
      <c r="K72" s="13">
        <v>0</v>
      </c>
      <c r="L72" s="13">
        <v>0</v>
      </c>
      <c r="M72" s="13">
        <v>0</v>
      </c>
      <c r="N72" s="13">
        <v>1</v>
      </c>
      <c r="O72" s="13">
        <v>0</v>
      </c>
      <c r="P72" s="13">
        <v>0</v>
      </c>
      <c r="Q72" s="13">
        <v>0</v>
      </c>
      <c r="R72" s="13">
        <v>0</v>
      </c>
      <c r="S72" s="13">
        <v>0</v>
      </c>
      <c r="T72" s="13">
        <v>0</v>
      </c>
      <c r="U72" s="13">
        <v>0</v>
      </c>
      <c r="V72" s="13">
        <v>0</v>
      </c>
      <c r="W72" s="13">
        <v>0</v>
      </c>
      <c r="X72" s="13">
        <v>0</v>
      </c>
      <c r="Y72" s="13">
        <v>0</v>
      </c>
      <c r="Z72" s="13">
        <v>1</v>
      </c>
      <c r="AA72" s="13">
        <v>1</v>
      </c>
      <c r="AB72" s="13">
        <v>1</v>
      </c>
      <c r="AC72" s="13">
        <v>1</v>
      </c>
      <c r="AD72" s="13">
        <v>1</v>
      </c>
      <c r="AE72" s="13">
        <v>0</v>
      </c>
      <c r="AF72" s="13">
        <v>0</v>
      </c>
      <c r="AG72" s="13">
        <v>0.3</v>
      </c>
      <c r="AH72" s="13">
        <v>0.3</v>
      </c>
      <c r="AI72" s="13">
        <v>0</v>
      </c>
      <c r="AJ72" s="13">
        <v>1</v>
      </c>
      <c r="AK72" s="13">
        <v>1</v>
      </c>
      <c r="AL72" s="13">
        <v>0</v>
      </c>
      <c r="AM72" s="13">
        <v>0</v>
      </c>
      <c r="AN72" s="13">
        <v>0</v>
      </c>
      <c r="AO72" s="13">
        <v>0</v>
      </c>
      <c r="AP72" s="13">
        <v>0</v>
      </c>
      <c r="AQ72" s="13">
        <v>0</v>
      </c>
      <c r="AR72" s="13">
        <v>1</v>
      </c>
      <c r="AS72" s="13">
        <v>1</v>
      </c>
      <c r="AT72" s="13">
        <v>0</v>
      </c>
    </row>
    <row r="73" spans="2:46" x14ac:dyDescent="0.3">
      <c r="B73" s="28" t="s">
        <v>568</v>
      </c>
      <c r="C73" s="13">
        <v>1</v>
      </c>
      <c r="D73" s="13">
        <v>1</v>
      </c>
      <c r="E73" s="13">
        <v>1</v>
      </c>
      <c r="F73" s="13">
        <v>1</v>
      </c>
      <c r="G73" s="13">
        <v>1</v>
      </c>
      <c r="H73" s="13">
        <v>0</v>
      </c>
      <c r="I73" s="13">
        <v>0</v>
      </c>
      <c r="J73" s="13">
        <v>0</v>
      </c>
      <c r="K73" s="13">
        <v>0</v>
      </c>
      <c r="L73" s="13">
        <v>0</v>
      </c>
      <c r="M73" s="13">
        <v>0</v>
      </c>
      <c r="N73" s="13">
        <v>0</v>
      </c>
      <c r="O73" s="13">
        <v>1</v>
      </c>
      <c r="P73" s="13">
        <v>0</v>
      </c>
      <c r="Q73" s="13">
        <v>0</v>
      </c>
      <c r="R73" s="13">
        <v>0</v>
      </c>
      <c r="S73" s="13">
        <v>0</v>
      </c>
      <c r="T73" s="13">
        <v>0</v>
      </c>
      <c r="U73" s="13">
        <v>0</v>
      </c>
      <c r="V73" s="13">
        <v>0</v>
      </c>
      <c r="W73" s="13">
        <v>0</v>
      </c>
      <c r="X73" s="13">
        <v>0</v>
      </c>
      <c r="Y73" s="13">
        <v>0</v>
      </c>
      <c r="Z73" s="13">
        <v>1</v>
      </c>
      <c r="AA73" s="13">
        <v>1</v>
      </c>
      <c r="AB73" s="13">
        <v>1</v>
      </c>
      <c r="AC73" s="13">
        <v>1</v>
      </c>
      <c r="AD73" s="13">
        <v>1</v>
      </c>
      <c r="AE73" s="13">
        <v>0</v>
      </c>
      <c r="AF73" s="13">
        <v>0</v>
      </c>
      <c r="AG73" s="13">
        <v>0.3</v>
      </c>
      <c r="AH73" s="13">
        <v>0.3</v>
      </c>
      <c r="AI73" s="13">
        <v>0</v>
      </c>
      <c r="AJ73" s="13">
        <v>1</v>
      </c>
      <c r="AK73" s="13">
        <v>1</v>
      </c>
      <c r="AL73" s="13">
        <v>0</v>
      </c>
      <c r="AM73" s="13">
        <v>0</v>
      </c>
      <c r="AN73" s="13">
        <v>0</v>
      </c>
      <c r="AO73" s="13">
        <v>0</v>
      </c>
      <c r="AP73" s="13">
        <v>0</v>
      </c>
      <c r="AQ73" s="13">
        <v>0</v>
      </c>
      <c r="AR73" s="13">
        <v>1</v>
      </c>
      <c r="AS73" s="13">
        <v>1</v>
      </c>
      <c r="AT73" s="13">
        <v>0</v>
      </c>
    </row>
    <row r="74" spans="2:46" x14ac:dyDescent="0.3">
      <c r="B74" s="28" t="s">
        <v>569</v>
      </c>
      <c r="C74" s="13">
        <v>1</v>
      </c>
      <c r="D74" s="13">
        <v>1</v>
      </c>
      <c r="E74" s="13">
        <v>1</v>
      </c>
      <c r="F74" s="13">
        <v>1</v>
      </c>
      <c r="G74" s="13">
        <v>1</v>
      </c>
      <c r="H74" s="13">
        <v>0</v>
      </c>
      <c r="I74" s="13">
        <v>0</v>
      </c>
      <c r="J74" s="13">
        <v>0</v>
      </c>
      <c r="K74" s="13">
        <v>0</v>
      </c>
      <c r="L74" s="13">
        <v>0</v>
      </c>
      <c r="M74" s="13">
        <v>0</v>
      </c>
      <c r="N74" s="13">
        <v>0</v>
      </c>
      <c r="O74" s="13">
        <v>0</v>
      </c>
      <c r="P74" s="13">
        <v>1</v>
      </c>
      <c r="Q74" s="13">
        <v>0</v>
      </c>
      <c r="R74" s="13">
        <v>0</v>
      </c>
      <c r="S74" s="13">
        <v>0</v>
      </c>
      <c r="T74" s="13">
        <v>0</v>
      </c>
      <c r="U74" s="13">
        <v>0</v>
      </c>
      <c r="V74" s="13">
        <v>0</v>
      </c>
      <c r="W74" s="13">
        <v>0</v>
      </c>
      <c r="X74" s="13">
        <v>0</v>
      </c>
      <c r="Y74" s="13">
        <v>0</v>
      </c>
      <c r="Z74" s="13">
        <v>1</v>
      </c>
      <c r="AA74" s="13">
        <v>1</v>
      </c>
      <c r="AB74" s="13">
        <v>1</v>
      </c>
      <c r="AC74" s="13">
        <v>1</v>
      </c>
      <c r="AD74" s="13">
        <v>1</v>
      </c>
      <c r="AE74" s="13">
        <v>0</v>
      </c>
      <c r="AF74" s="13">
        <v>0</v>
      </c>
      <c r="AG74" s="13">
        <v>0.3</v>
      </c>
      <c r="AH74" s="13">
        <v>0.3</v>
      </c>
      <c r="AI74" s="13">
        <v>0</v>
      </c>
      <c r="AJ74" s="13">
        <v>1</v>
      </c>
      <c r="AK74" s="13">
        <v>1</v>
      </c>
      <c r="AL74" s="13">
        <v>0</v>
      </c>
      <c r="AM74" s="13">
        <v>0</v>
      </c>
      <c r="AN74" s="13">
        <v>0</v>
      </c>
      <c r="AO74" s="13">
        <v>0</v>
      </c>
      <c r="AP74" s="13">
        <v>0</v>
      </c>
      <c r="AQ74" s="13">
        <v>0</v>
      </c>
      <c r="AR74" s="13">
        <v>1</v>
      </c>
      <c r="AS74" s="13">
        <v>1</v>
      </c>
      <c r="AT74" s="13">
        <v>0</v>
      </c>
    </row>
    <row r="75" spans="2:46" x14ac:dyDescent="0.3">
      <c r="B75" s="28" t="s">
        <v>570</v>
      </c>
      <c r="C75" s="13">
        <v>1</v>
      </c>
      <c r="D75" s="13">
        <v>1</v>
      </c>
      <c r="E75" s="13">
        <v>1</v>
      </c>
      <c r="F75" s="13">
        <v>1</v>
      </c>
      <c r="G75" s="13">
        <v>1</v>
      </c>
      <c r="H75" s="13">
        <v>0</v>
      </c>
      <c r="I75" s="13">
        <v>0</v>
      </c>
      <c r="J75" s="13">
        <v>0</v>
      </c>
      <c r="K75" s="13">
        <v>0</v>
      </c>
      <c r="L75" s="13">
        <v>0</v>
      </c>
      <c r="M75" s="13">
        <v>0</v>
      </c>
      <c r="N75" s="13">
        <v>0</v>
      </c>
      <c r="O75" s="13">
        <v>0</v>
      </c>
      <c r="P75" s="13">
        <v>0</v>
      </c>
      <c r="Q75" s="13">
        <v>1</v>
      </c>
      <c r="R75" s="13">
        <v>0</v>
      </c>
      <c r="S75" s="13">
        <v>0</v>
      </c>
      <c r="T75" s="13">
        <v>0</v>
      </c>
      <c r="U75" s="13">
        <v>0</v>
      </c>
      <c r="V75" s="13">
        <v>0</v>
      </c>
      <c r="W75" s="13">
        <v>0</v>
      </c>
      <c r="X75" s="13">
        <v>0</v>
      </c>
      <c r="Y75" s="13">
        <v>0</v>
      </c>
      <c r="Z75" s="13">
        <v>1</v>
      </c>
      <c r="AA75" s="13">
        <v>1</v>
      </c>
      <c r="AB75" s="13">
        <v>1</v>
      </c>
      <c r="AC75" s="13">
        <v>1</v>
      </c>
      <c r="AD75" s="13">
        <v>1</v>
      </c>
      <c r="AE75" s="13">
        <v>0</v>
      </c>
      <c r="AF75" s="13">
        <v>0</v>
      </c>
      <c r="AG75" s="13">
        <v>0.3</v>
      </c>
      <c r="AH75" s="13">
        <v>0.3</v>
      </c>
      <c r="AI75" s="13">
        <v>0</v>
      </c>
      <c r="AJ75" s="13">
        <v>1</v>
      </c>
      <c r="AK75" s="13">
        <v>1</v>
      </c>
      <c r="AL75" s="13">
        <v>0</v>
      </c>
      <c r="AM75" s="13">
        <v>0</v>
      </c>
      <c r="AN75" s="13">
        <v>0</v>
      </c>
      <c r="AO75" s="13">
        <v>0</v>
      </c>
      <c r="AP75" s="13">
        <v>0</v>
      </c>
      <c r="AQ75" s="13">
        <v>0</v>
      </c>
      <c r="AR75" s="13">
        <v>1</v>
      </c>
      <c r="AS75" s="13">
        <v>1</v>
      </c>
      <c r="AT75" s="13">
        <v>0</v>
      </c>
    </row>
    <row r="76" spans="2:46" x14ac:dyDescent="0.3">
      <c r="B76" s="28" t="s">
        <v>571</v>
      </c>
      <c r="C76" s="13">
        <v>1</v>
      </c>
      <c r="D76" s="13">
        <v>1</v>
      </c>
      <c r="E76" s="13">
        <v>1</v>
      </c>
      <c r="F76" s="13">
        <v>1</v>
      </c>
      <c r="G76" s="13">
        <v>1</v>
      </c>
      <c r="H76" s="13">
        <v>0</v>
      </c>
      <c r="I76" s="13">
        <v>0</v>
      </c>
      <c r="J76" s="13">
        <v>0</v>
      </c>
      <c r="K76" s="13">
        <v>0</v>
      </c>
      <c r="L76" s="13">
        <v>0</v>
      </c>
      <c r="M76" s="13">
        <v>0</v>
      </c>
      <c r="N76" s="13">
        <v>0</v>
      </c>
      <c r="O76" s="13">
        <v>0</v>
      </c>
      <c r="P76" s="13">
        <v>0</v>
      </c>
      <c r="Q76" s="13">
        <v>0</v>
      </c>
      <c r="R76" s="13">
        <v>1</v>
      </c>
      <c r="S76" s="13">
        <v>0</v>
      </c>
      <c r="T76" s="13">
        <v>0</v>
      </c>
      <c r="U76" s="13">
        <v>0</v>
      </c>
      <c r="V76" s="13">
        <v>0</v>
      </c>
      <c r="W76" s="13">
        <v>0</v>
      </c>
      <c r="X76" s="13">
        <v>0</v>
      </c>
      <c r="Y76" s="13">
        <v>0</v>
      </c>
      <c r="Z76" s="13">
        <v>1</v>
      </c>
      <c r="AA76" s="13">
        <v>1</v>
      </c>
      <c r="AB76" s="13">
        <v>1</v>
      </c>
      <c r="AC76" s="13">
        <v>1</v>
      </c>
      <c r="AD76" s="13">
        <v>1</v>
      </c>
      <c r="AE76" s="13">
        <v>0</v>
      </c>
      <c r="AF76" s="13">
        <v>0</v>
      </c>
      <c r="AG76" s="13">
        <v>0.3</v>
      </c>
      <c r="AH76" s="13">
        <v>0.3</v>
      </c>
      <c r="AI76" s="13">
        <v>0</v>
      </c>
      <c r="AJ76" s="13">
        <v>1</v>
      </c>
      <c r="AK76" s="13">
        <v>1</v>
      </c>
      <c r="AL76" s="13">
        <v>0</v>
      </c>
      <c r="AM76" s="13">
        <v>0</v>
      </c>
      <c r="AN76" s="13">
        <v>0</v>
      </c>
      <c r="AO76" s="13">
        <v>0</v>
      </c>
      <c r="AP76" s="13">
        <v>0</v>
      </c>
      <c r="AQ76" s="13">
        <v>0</v>
      </c>
      <c r="AR76" s="13">
        <v>1</v>
      </c>
      <c r="AS76" s="13">
        <v>1</v>
      </c>
      <c r="AT76" s="13">
        <v>0</v>
      </c>
    </row>
    <row r="77" spans="2:46" x14ac:dyDescent="0.3">
      <c r="B77" s="28" t="s">
        <v>572</v>
      </c>
      <c r="C77" s="13">
        <v>1</v>
      </c>
      <c r="D77" s="13">
        <v>1</v>
      </c>
      <c r="E77" s="13">
        <v>1</v>
      </c>
      <c r="F77" s="13">
        <v>1</v>
      </c>
      <c r="G77" s="13">
        <v>1</v>
      </c>
      <c r="H77" s="13">
        <v>0</v>
      </c>
      <c r="I77" s="13">
        <v>0</v>
      </c>
      <c r="J77" s="13">
        <v>0</v>
      </c>
      <c r="K77" s="13">
        <v>0</v>
      </c>
      <c r="L77" s="13">
        <v>0</v>
      </c>
      <c r="M77" s="13">
        <v>0</v>
      </c>
      <c r="N77" s="13">
        <v>0</v>
      </c>
      <c r="O77" s="13">
        <v>0</v>
      </c>
      <c r="P77" s="13">
        <v>0</v>
      </c>
      <c r="Q77" s="13">
        <v>0</v>
      </c>
      <c r="R77" s="13">
        <v>0</v>
      </c>
      <c r="S77" s="13">
        <v>1</v>
      </c>
      <c r="T77" s="13">
        <v>0</v>
      </c>
      <c r="U77" s="13">
        <v>0</v>
      </c>
      <c r="V77" s="13">
        <v>0</v>
      </c>
      <c r="W77" s="13">
        <v>0</v>
      </c>
      <c r="X77" s="13">
        <v>0</v>
      </c>
      <c r="Y77" s="13">
        <v>0</v>
      </c>
      <c r="Z77" s="13">
        <v>1</v>
      </c>
      <c r="AA77" s="13">
        <v>1</v>
      </c>
      <c r="AB77" s="13">
        <v>1</v>
      </c>
      <c r="AC77" s="13">
        <v>1</v>
      </c>
      <c r="AD77" s="13">
        <v>1</v>
      </c>
      <c r="AE77" s="13">
        <v>0</v>
      </c>
      <c r="AF77" s="13">
        <v>0</v>
      </c>
      <c r="AG77" s="13">
        <v>0.3</v>
      </c>
      <c r="AH77" s="13">
        <v>0.3</v>
      </c>
      <c r="AI77" s="13">
        <v>0</v>
      </c>
      <c r="AJ77" s="13">
        <v>1</v>
      </c>
      <c r="AK77" s="13">
        <v>1</v>
      </c>
      <c r="AL77" s="13">
        <v>0</v>
      </c>
      <c r="AM77" s="13">
        <v>0</v>
      </c>
      <c r="AN77" s="13">
        <v>0</v>
      </c>
      <c r="AO77" s="13">
        <v>0</v>
      </c>
      <c r="AP77" s="13">
        <v>0</v>
      </c>
      <c r="AQ77" s="13">
        <v>0</v>
      </c>
      <c r="AR77" s="13">
        <v>1</v>
      </c>
      <c r="AS77" s="13">
        <v>1</v>
      </c>
      <c r="AT77" s="13">
        <v>0</v>
      </c>
    </row>
    <row r="78" spans="2:46" x14ac:dyDescent="0.3">
      <c r="B78" s="28" t="s">
        <v>573</v>
      </c>
      <c r="C78" s="13">
        <v>1</v>
      </c>
      <c r="D78" s="13">
        <v>1</v>
      </c>
      <c r="E78" s="13">
        <v>1</v>
      </c>
      <c r="F78" s="13">
        <v>1</v>
      </c>
      <c r="G78" s="13">
        <v>1</v>
      </c>
      <c r="H78" s="13">
        <v>0</v>
      </c>
      <c r="I78" s="13">
        <v>0</v>
      </c>
      <c r="J78" s="13">
        <v>0</v>
      </c>
      <c r="K78" s="13">
        <v>0</v>
      </c>
      <c r="L78" s="13">
        <v>0</v>
      </c>
      <c r="M78" s="13">
        <v>0</v>
      </c>
      <c r="N78" s="13">
        <v>0</v>
      </c>
      <c r="O78" s="13">
        <v>0</v>
      </c>
      <c r="P78" s="13">
        <v>0</v>
      </c>
      <c r="Q78" s="13">
        <v>0</v>
      </c>
      <c r="R78" s="13">
        <v>0</v>
      </c>
      <c r="S78" s="13">
        <v>0</v>
      </c>
      <c r="T78" s="13">
        <v>1</v>
      </c>
      <c r="U78" s="13">
        <v>0</v>
      </c>
      <c r="V78" s="13">
        <v>0</v>
      </c>
      <c r="W78" s="13">
        <v>0</v>
      </c>
      <c r="X78" s="13">
        <v>0</v>
      </c>
      <c r="Y78" s="13">
        <v>0</v>
      </c>
      <c r="Z78" s="13">
        <v>1</v>
      </c>
      <c r="AA78" s="13">
        <v>1</v>
      </c>
      <c r="AB78" s="13">
        <v>1</v>
      </c>
      <c r="AC78" s="13">
        <v>1</v>
      </c>
      <c r="AD78" s="13">
        <v>1</v>
      </c>
      <c r="AE78" s="13">
        <v>0</v>
      </c>
      <c r="AF78" s="13">
        <v>0</v>
      </c>
      <c r="AG78" s="13">
        <v>0.3</v>
      </c>
      <c r="AH78" s="13">
        <v>0.3</v>
      </c>
      <c r="AI78" s="13">
        <v>0</v>
      </c>
      <c r="AJ78" s="13">
        <v>1</v>
      </c>
      <c r="AK78" s="13">
        <v>1</v>
      </c>
      <c r="AL78" s="13">
        <v>0</v>
      </c>
      <c r="AM78" s="13">
        <v>0</v>
      </c>
      <c r="AN78" s="13">
        <v>0</v>
      </c>
      <c r="AO78" s="13">
        <v>0</v>
      </c>
      <c r="AP78" s="13">
        <v>0</v>
      </c>
      <c r="AQ78" s="13">
        <v>0</v>
      </c>
      <c r="AR78" s="13">
        <v>1</v>
      </c>
      <c r="AS78" s="13">
        <v>1</v>
      </c>
      <c r="AT78" s="13">
        <v>0</v>
      </c>
    </row>
    <row r="79" spans="2:46" x14ac:dyDescent="0.3">
      <c r="B79" s="28" t="s">
        <v>574</v>
      </c>
      <c r="C79" s="13">
        <v>1</v>
      </c>
      <c r="D79" s="13">
        <v>1</v>
      </c>
      <c r="E79" s="13">
        <v>1</v>
      </c>
      <c r="F79" s="13">
        <v>1</v>
      </c>
      <c r="G79" s="13">
        <v>1</v>
      </c>
      <c r="H79" s="13">
        <v>0</v>
      </c>
      <c r="I79" s="13">
        <v>0</v>
      </c>
      <c r="J79" s="13">
        <v>0</v>
      </c>
      <c r="K79" s="13">
        <v>0</v>
      </c>
      <c r="L79" s="13">
        <v>0</v>
      </c>
      <c r="M79" s="13">
        <v>0</v>
      </c>
      <c r="N79" s="13">
        <v>0</v>
      </c>
      <c r="O79" s="13">
        <v>0</v>
      </c>
      <c r="P79" s="13">
        <v>0</v>
      </c>
      <c r="Q79" s="13">
        <v>0</v>
      </c>
      <c r="R79" s="13">
        <v>0</v>
      </c>
      <c r="S79" s="13">
        <v>0</v>
      </c>
      <c r="T79" s="13">
        <v>0</v>
      </c>
      <c r="U79" s="13">
        <v>1</v>
      </c>
      <c r="V79" s="13">
        <v>0</v>
      </c>
      <c r="W79" s="13">
        <v>0</v>
      </c>
      <c r="X79" s="13">
        <v>0</v>
      </c>
      <c r="Y79" s="13">
        <v>0</v>
      </c>
      <c r="Z79" s="13">
        <v>1</v>
      </c>
      <c r="AA79" s="13">
        <v>1</v>
      </c>
      <c r="AB79" s="13">
        <v>1</v>
      </c>
      <c r="AC79" s="13">
        <v>1</v>
      </c>
      <c r="AD79" s="13">
        <v>1</v>
      </c>
      <c r="AE79" s="13">
        <v>0</v>
      </c>
      <c r="AF79" s="13">
        <v>0</v>
      </c>
      <c r="AG79" s="13">
        <v>0.3</v>
      </c>
      <c r="AH79" s="13">
        <v>0.3</v>
      </c>
      <c r="AI79" s="13">
        <v>0</v>
      </c>
      <c r="AJ79" s="13">
        <v>1</v>
      </c>
      <c r="AK79" s="13">
        <v>1</v>
      </c>
      <c r="AL79" s="13">
        <v>0</v>
      </c>
      <c r="AM79" s="13">
        <v>0</v>
      </c>
      <c r="AN79" s="13">
        <v>0</v>
      </c>
      <c r="AO79" s="13">
        <v>0</v>
      </c>
      <c r="AP79" s="13">
        <v>0</v>
      </c>
      <c r="AQ79" s="13">
        <v>0</v>
      </c>
      <c r="AR79" s="13">
        <v>1</v>
      </c>
      <c r="AS79" s="13">
        <v>1</v>
      </c>
      <c r="AT79" s="13">
        <v>0</v>
      </c>
    </row>
    <row r="80" spans="2:46" x14ac:dyDescent="0.3">
      <c r="B80" s="28" t="s">
        <v>575</v>
      </c>
      <c r="C80" s="13">
        <v>1</v>
      </c>
      <c r="D80" s="13">
        <v>1</v>
      </c>
      <c r="E80" s="13">
        <v>1</v>
      </c>
      <c r="F80" s="13">
        <v>1</v>
      </c>
      <c r="G80" s="13">
        <v>1</v>
      </c>
      <c r="H80" s="13">
        <v>0</v>
      </c>
      <c r="I80" s="13">
        <v>0</v>
      </c>
      <c r="J80" s="13">
        <v>0</v>
      </c>
      <c r="K80" s="13">
        <v>0</v>
      </c>
      <c r="L80" s="13">
        <v>0</v>
      </c>
      <c r="M80" s="13">
        <v>0</v>
      </c>
      <c r="N80" s="13">
        <v>0</v>
      </c>
      <c r="O80" s="13">
        <v>0</v>
      </c>
      <c r="P80" s="13">
        <v>0</v>
      </c>
      <c r="Q80" s="13">
        <v>0</v>
      </c>
      <c r="R80" s="13">
        <v>0</v>
      </c>
      <c r="S80" s="13">
        <v>0</v>
      </c>
      <c r="T80" s="13">
        <v>0</v>
      </c>
      <c r="U80" s="13">
        <v>0</v>
      </c>
      <c r="V80" s="13">
        <v>1</v>
      </c>
      <c r="W80" s="13">
        <v>0</v>
      </c>
      <c r="X80" s="13">
        <v>0</v>
      </c>
      <c r="Y80" s="13">
        <v>0</v>
      </c>
      <c r="Z80" s="13">
        <v>1</v>
      </c>
      <c r="AA80" s="13">
        <v>1</v>
      </c>
      <c r="AB80" s="13">
        <v>1</v>
      </c>
      <c r="AC80" s="13">
        <v>1</v>
      </c>
      <c r="AD80" s="13">
        <v>1</v>
      </c>
      <c r="AE80" s="13">
        <v>0</v>
      </c>
      <c r="AF80" s="13">
        <v>0</v>
      </c>
      <c r="AG80" s="13">
        <v>0.3</v>
      </c>
      <c r="AH80" s="13">
        <v>0.3</v>
      </c>
      <c r="AI80" s="13">
        <v>0</v>
      </c>
      <c r="AJ80" s="13">
        <v>1</v>
      </c>
      <c r="AK80" s="13">
        <v>1</v>
      </c>
      <c r="AL80" s="13">
        <v>0</v>
      </c>
      <c r="AM80" s="13">
        <v>0</v>
      </c>
      <c r="AN80" s="13">
        <v>0</v>
      </c>
      <c r="AO80" s="13">
        <v>0</v>
      </c>
      <c r="AP80" s="13">
        <v>0</v>
      </c>
      <c r="AQ80" s="13">
        <v>0</v>
      </c>
      <c r="AR80" s="13">
        <v>1</v>
      </c>
      <c r="AS80" s="13">
        <v>1</v>
      </c>
      <c r="AT80" s="13">
        <v>0</v>
      </c>
    </row>
    <row r="81" spans="2:46" x14ac:dyDescent="0.3">
      <c r="B81" s="28" t="s">
        <v>576</v>
      </c>
      <c r="C81" s="13">
        <v>1</v>
      </c>
      <c r="D81" s="13">
        <v>1</v>
      </c>
      <c r="E81" s="13">
        <v>1</v>
      </c>
      <c r="F81" s="13">
        <v>1</v>
      </c>
      <c r="G81" s="13">
        <v>1</v>
      </c>
      <c r="H81" s="13">
        <v>0</v>
      </c>
      <c r="I81" s="13">
        <v>0</v>
      </c>
      <c r="J81" s="13">
        <v>0</v>
      </c>
      <c r="K81" s="13">
        <v>0</v>
      </c>
      <c r="L81" s="13">
        <v>0</v>
      </c>
      <c r="M81" s="13">
        <v>0</v>
      </c>
      <c r="N81" s="13">
        <v>0</v>
      </c>
      <c r="O81" s="13">
        <v>0</v>
      </c>
      <c r="P81" s="13">
        <v>0</v>
      </c>
      <c r="Q81" s="13">
        <v>0</v>
      </c>
      <c r="R81" s="13">
        <v>0</v>
      </c>
      <c r="S81" s="13">
        <v>0</v>
      </c>
      <c r="T81" s="13">
        <v>0</v>
      </c>
      <c r="U81" s="13">
        <v>0</v>
      </c>
      <c r="V81" s="13">
        <v>0</v>
      </c>
      <c r="W81" s="13">
        <v>1</v>
      </c>
      <c r="X81" s="13">
        <v>0</v>
      </c>
      <c r="Y81" s="13">
        <v>0</v>
      </c>
      <c r="Z81" s="13">
        <v>1</v>
      </c>
      <c r="AA81" s="13">
        <v>1</v>
      </c>
      <c r="AB81" s="13">
        <v>1</v>
      </c>
      <c r="AC81" s="13">
        <v>1</v>
      </c>
      <c r="AD81" s="13">
        <v>1</v>
      </c>
      <c r="AE81" s="13">
        <v>0</v>
      </c>
      <c r="AF81" s="13">
        <v>0</v>
      </c>
      <c r="AG81" s="13">
        <v>0.3</v>
      </c>
      <c r="AH81" s="13">
        <v>0.3</v>
      </c>
      <c r="AI81" s="13">
        <v>0</v>
      </c>
      <c r="AJ81" s="13">
        <v>1</v>
      </c>
      <c r="AK81" s="13">
        <v>1</v>
      </c>
      <c r="AL81" s="13">
        <v>0</v>
      </c>
      <c r="AM81" s="13">
        <v>0</v>
      </c>
      <c r="AN81" s="13">
        <v>0</v>
      </c>
      <c r="AO81" s="13">
        <v>0</v>
      </c>
      <c r="AP81" s="13">
        <v>0</v>
      </c>
      <c r="AQ81" s="13">
        <v>0</v>
      </c>
      <c r="AR81" s="13">
        <v>1</v>
      </c>
      <c r="AS81" s="13">
        <v>1</v>
      </c>
      <c r="AT81" s="13">
        <v>0</v>
      </c>
    </row>
    <row r="82" spans="2:46" x14ac:dyDescent="0.3">
      <c r="B82" s="28" t="s">
        <v>577</v>
      </c>
      <c r="C82" s="13">
        <v>1</v>
      </c>
      <c r="D82" s="13">
        <v>1</v>
      </c>
      <c r="E82" s="13">
        <v>1</v>
      </c>
      <c r="F82" s="13">
        <v>1</v>
      </c>
      <c r="G82" s="13">
        <v>1</v>
      </c>
      <c r="H82" s="13">
        <v>0</v>
      </c>
      <c r="I82" s="13">
        <v>0</v>
      </c>
      <c r="J82" s="13">
        <v>0</v>
      </c>
      <c r="K82" s="13">
        <v>0</v>
      </c>
      <c r="L82" s="13">
        <v>0</v>
      </c>
      <c r="M82" s="13">
        <v>0</v>
      </c>
      <c r="N82" s="13">
        <v>0</v>
      </c>
      <c r="O82" s="13">
        <v>0</v>
      </c>
      <c r="P82" s="13">
        <v>0</v>
      </c>
      <c r="Q82" s="13">
        <v>0</v>
      </c>
      <c r="R82" s="13">
        <v>0</v>
      </c>
      <c r="S82" s="13">
        <v>0</v>
      </c>
      <c r="T82" s="13">
        <v>0</v>
      </c>
      <c r="U82" s="13">
        <v>0</v>
      </c>
      <c r="V82" s="13">
        <v>0</v>
      </c>
      <c r="W82" s="13">
        <v>0</v>
      </c>
      <c r="X82" s="13">
        <v>1</v>
      </c>
      <c r="Y82" s="13">
        <v>0</v>
      </c>
      <c r="Z82" s="13">
        <v>1</v>
      </c>
      <c r="AA82" s="13">
        <v>1</v>
      </c>
      <c r="AB82" s="13">
        <v>1</v>
      </c>
      <c r="AC82" s="13">
        <v>1</v>
      </c>
      <c r="AD82" s="13">
        <v>1</v>
      </c>
      <c r="AE82" s="13">
        <v>0</v>
      </c>
      <c r="AF82" s="13">
        <v>0</v>
      </c>
      <c r="AG82" s="13">
        <v>0.3</v>
      </c>
      <c r="AH82" s="13">
        <v>0.3</v>
      </c>
      <c r="AI82" s="13">
        <v>0</v>
      </c>
      <c r="AJ82" s="13">
        <v>1</v>
      </c>
      <c r="AK82" s="13">
        <v>1</v>
      </c>
      <c r="AL82" s="13">
        <v>0</v>
      </c>
      <c r="AM82" s="13">
        <v>0</v>
      </c>
      <c r="AN82" s="13">
        <v>0</v>
      </c>
      <c r="AO82" s="13">
        <v>0</v>
      </c>
      <c r="AP82" s="13">
        <v>0</v>
      </c>
      <c r="AQ82" s="13">
        <v>0</v>
      </c>
      <c r="AR82" s="13">
        <v>1</v>
      </c>
      <c r="AS82" s="13">
        <v>1</v>
      </c>
      <c r="AT82" s="13">
        <v>0</v>
      </c>
    </row>
    <row r="83" spans="2:46" x14ac:dyDescent="0.3">
      <c r="B83" s="28" t="s">
        <v>578</v>
      </c>
      <c r="C83" s="13">
        <v>1</v>
      </c>
      <c r="D83" s="13">
        <v>1</v>
      </c>
      <c r="E83" s="13">
        <v>1</v>
      </c>
      <c r="F83" s="13">
        <v>1</v>
      </c>
      <c r="G83" s="13">
        <v>1</v>
      </c>
      <c r="H83" s="13">
        <v>0</v>
      </c>
      <c r="I83" s="13">
        <v>0</v>
      </c>
      <c r="J83" s="13">
        <v>0</v>
      </c>
      <c r="K83" s="13">
        <v>0</v>
      </c>
      <c r="L83" s="13">
        <v>0</v>
      </c>
      <c r="M83" s="13">
        <v>0</v>
      </c>
      <c r="N83" s="13">
        <v>0</v>
      </c>
      <c r="O83" s="13">
        <v>0</v>
      </c>
      <c r="P83" s="13">
        <v>0</v>
      </c>
      <c r="Q83" s="13">
        <v>0</v>
      </c>
      <c r="R83" s="13">
        <v>0</v>
      </c>
      <c r="S83" s="13">
        <v>0</v>
      </c>
      <c r="T83" s="13">
        <v>0</v>
      </c>
      <c r="U83" s="13">
        <v>0</v>
      </c>
      <c r="V83" s="13">
        <v>0</v>
      </c>
      <c r="W83" s="13">
        <v>0</v>
      </c>
      <c r="X83" s="13">
        <v>0</v>
      </c>
      <c r="Y83" s="13">
        <v>1</v>
      </c>
      <c r="Z83" s="13">
        <v>1</v>
      </c>
      <c r="AA83" s="13">
        <v>1</v>
      </c>
      <c r="AB83" s="13">
        <v>1</v>
      </c>
      <c r="AC83" s="13">
        <v>1</v>
      </c>
      <c r="AD83" s="13">
        <v>1</v>
      </c>
      <c r="AE83" s="13">
        <v>0</v>
      </c>
      <c r="AF83" s="13">
        <v>0</v>
      </c>
      <c r="AG83" s="13">
        <v>0.3</v>
      </c>
      <c r="AH83" s="13">
        <v>0.3</v>
      </c>
      <c r="AI83" s="13">
        <v>0</v>
      </c>
      <c r="AJ83" s="13">
        <v>1</v>
      </c>
      <c r="AK83" s="13">
        <v>1</v>
      </c>
      <c r="AL83" s="13">
        <v>0</v>
      </c>
      <c r="AM83" s="13">
        <v>0</v>
      </c>
      <c r="AN83" s="13">
        <v>0</v>
      </c>
      <c r="AO83" s="13">
        <v>0</v>
      </c>
      <c r="AP83" s="13">
        <v>0</v>
      </c>
      <c r="AQ83" s="13">
        <v>0</v>
      </c>
      <c r="AR83" s="13">
        <v>1</v>
      </c>
      <c r="AS83" s="13">
        <v>1</v>
      </c>
      <c r="AT83" s="13">
        <v>0</v>
      </c>
    </row>
    <row r="84" spans="2:46" ht="27.6" x14ac:dyDescent="0.3">
      <c r="B84" s="28" t="s">
        <v>579</v>
      </c>
      <c r="C84" s="13">
        <v>1.25</v>
      </c>
      <c r="D84" s="13">
        <v>1.5</v>
      </c>
      <c r="E84" s="13">
        <v>1.25</v>
      </c>
      <c r="F84" s="13">
        <v>1.25</v>
      </c>
      <c r="G84" s="13">
        <v>1</v>
      </c>
      <c r="H84" s="13">
        <v>1.75</v>
      </c>
      <c r="I84" s="13">
        <v>0</v>
      </c>
      <c r="J84" s="13">
        <v>0</v>
      </c>
      <c r="K84" s="13">
        <v>0</v>
      </c>
      <c r="L84" s="13">
        <v>0</v>
      </c>
      <c r="M84" s="13">
        <v>0</v>
      </c>
      <c r="N84" s="13">
        <v>0</v>
      </c>
      <c r="O84" s="13">
        <v>0</v>
      </c>
      <c r="P84" s="13">
        <v>0</v>
      </c>
      <c r="Q84" s="13">
        <v>0</v>
      </c>
      <c r="R84" s="13">
        <v>0</v>
      </c>
      <c r="S84" s="13">
        <v>0</v>
      </c>
      <c r="T84" s="13">
        <v>0</v>
      </c>
      <c r="U84" s="13">
        <v>0</v>
      </c>
      <c r="V84" s="13">
        <v>0</v>
      </c>
      <c r="W84" s="13">
        <v>0</v>
      </c>
      <c r="X84" s="13">
        <v>0</v>
      </c>
      <c r="Y84" s="13">
        <v>0</v>
      </c>
      <c r="Z84" s="13">
        <v>1.75</v>
      </c>
      <c r="AA84" s="13">
        <v>1.75</v>
      </c>
      <c r="AB84" s="13">
        <v>1</v>
      </c>
      <c r="AC84" s="13">
        <v>1</v>
      </c>
      <c r="AD84" s="13">
        <v>1</v>
      </c>
      <c r="AE84" s="13">
        <v>0</v>
      </c>
      <c r="AF84" s="13">
        <v>0</v>
      </c>
      <c r="AG84" s="13">
        <v>0</v>
      </c>
      <c r="AH84" s="13">
        <v>0</v>
      </c>
      <c r="AI84" s="13">
        <v>0</v>
      </c>
      <c r="AJ84" s="13">
        <v>0</v>
      </c>
      <c r="AK84" s="13">
        <v>0</v>
      </c>
      <c r="AL84" s="13">
        <v>0</v>
      </c>
      <c r="AM84" s="13">
        <v>0</v>
      </c>
      <c r="AN84" s="13">
        <v>0</v>
      </c>
      <c r="AO84" s="13">
        <v>0</v>
      </c>
      <c r="AP84" s="13">
        <v>0</v>
      </c>
      <c r="AQ84" s="13">
        <v>0</v>
      </c>
      <c r="AR84" s="13">
        <f t="shared" ref="AR84:AS103" si="0">IF(gcmode=1,0.5,1)</f>
        <v>0.5</v>
      </c>
      <c r="AS84" s="13">
        <f t="shared" si="0"/>
        <v>0.5</v>
      </c>
      <c r="AT84" s="13">
        <v>0</v>
      </c>
    </row>
    <row r="85" spans="2:46" ht="27.6" x14ac:dyDescent="0.3">
      <c r="B85" s="28" t="s">
        <v>580</v>
      </c>
      <c r="C85" s="13">
        <v>1.25</v>
      </c>
      <c r="D85" s="13">
        <v>1.5</v>
      </c>
      <c r="E85" s="13">
        <v>1.25</v>
      </c>
      <c r="F85" s="13">
        <v>1.25</v>
      </c>
      <c r="G85" s="13">
        <v>1</v>
      </c>
      <c r="H85" s="13">
        <v>0</v>
      </c>
      <c r="I85" s="13">
        <v>1.75</v>
      </c>
      <c r="J85" s="13">
        <v>0</v>
      </c>
      <c r="K85" s="13">
        <v>0</v>
      </c>
      <c r="L85" s="13">
        <v>0</v>
      </c>
      <c r="M85" s="13">
        <v>0</v>
      </c>
      <c r="N85" s="13">
        <v>0</v>
      </c>
      <c r="O85" s="13">
        <v>0</v>
      </c>
      <c r="P85" s="13">
        <v>0</v>
      </c>
      <c r="Q85" s="13">
        <v>0</v>
      </c>
      <c r="R85" s="13">
        <v>0</v>
      </c>
      <c r="S85" s="13">
        <v>0</v>
      </c>
      <c r="T85" s="13">
        <v>0</v>
      </c>
      <c r="U85" s="13">
        <v>0</v>
      </c>
      <c r="V85" s="13">
        <v>0</v>
      </c>
      <c r="W85" s="13">
        <v>0</v>
      </c>
      <c r="X85" s="13">
        <v>0</v>
      </c>
      <c r="Y85" s="13">
        <v>0</v>
      </c>
      <c r="Z85" s="13">
        <v>1.75</v>
      </c>
      <c r="AA85" s="13">
        <v>1.75</v>
      </c>
      <c r="AB85" s="13">
        <v>1</v>
      </c>
      <c r="AC85" s="13">
        <v>1</v>
      </c>
      <c r="AD85" s="13">
        <v>1</v>
      </c>
      <c r="AE85" s="13">
        <v>0</v>
      </c>
      <c r="AF85" s="13">
        <v>0</v>
      </c>
      <c r="AG85" s="13">
        <v>0</v>
      </c>
      <c r="AH85" s="13">
        <v>0</v>
      </c>
      <c r="AI85" s="13">
        <v>0</v>
      </c>
      <c r="AJ85" s="13">
        <v>0</v>
      </c>
      <c r="AK85" s="13">
        <v>0</v>
      </c>
      <c r="AL85" s="13">
        <v>0</v>
      </c>
      <c r="AM85" s="13">
        <v>0</v>
      </c>
      <c r="AN85" s="13">
        <v>0</v>
      </c>
      <c r="AO85" s="13">
        <v>0</v>
      </c>
      <c r="AP85" s="13">
        <v>0</v>
      </c>
      <c r="AQ85" s="13">
        <v>0</v>
      </c>
      <c r="AR85" s="13">
        <f t="shared" si="0"/>
        <v>0.5</v>
      </c>
      <c r="AS85" s="13">
        <f t="shared" si="0"/>
        <v>0.5</v>
      </c>
      <c r="AT85" s="13">
        <v>0</v>
      </c>
    </row>
    <row r="86" spans="2:46" ht="27.6" x14ac:dyDescent="0.3">
      <c r="B86" s="28" t="s">
        <v>581</v>
      </c>
      <c r="C86" s="13">
        <v>1.25</v>
      </c>
      <c r="D86" s="13">
        <v>1.5</v>
      </c>
      <c r="E86" s="13">
        <v>1.25</v>
      </c>
      <c r="F86" s="13">
        <v>1.25</v>
      </c>
      <c r="G86" s="13">
        <v>1</v>
      </c>
      <c r="H86" s="13">
        <v>0</v>
      </c>
      <c r="I86" s="13">
        <v>0</v>
      </c>
      <c r="J86" s="13">
        <v>1.75</v>
      </c>
      <c r="K86" s="13">
        <v>0</v>
      </c>
      <c r="L86" s="13">
        <v>0</v>
      </c>
      <c r="M86" s="13">
        <v>0</v>
      </c>
      <c r="N86" s="13">
        <v>0</v>
      </c>
      <c r="O86" s="13">
        <v>0</v>
      </c>
      <c r="P86" s="13">
        <v>0</v>
      </c>
      <c r="Q86" s="13">
        <v>0</v>
      </c>
      <c r="R86" s="13">
        <v>0</v>
      </c>
      <c r="S86" s="13">
        <v>0</v>
      </c>
      <c r="T86" s="13">
        <v>0</v>
      </c>
      <c r="U86" s="13">
        <v>0</v>
      </c>
      <c r="V86" s="13">
        <v>0</v>
      </c>
      <c r="W86" s="13">
        <v>0</v>
      </c>
      <c r="X86" s="13">
        <v>0</v>
      </c>
      <c r="Y86" s="13">
        <v>0</v>
      </c>
      <c r="Z86" s="13">
        <v>1.75</v>
      </c>
      <c r="AA86" s="13">
        <v>1.75</v>
      </c>
      <c r="AB86" s="13">
        <v>1</v>
      </c>
      <c r="AC86" s="13">
        <v>1</v>
      </c>
      <c r="AD86" s="13">
        <v>1</v>
      </c>
      <c r="AE86" s="13">
        <v>0</v>
      </c>
      <c r="AF86" s="13">
        <v>0</v>
      </c>
      <c r="AG86" s="13">
        <v>0</v>
      </c>
      <c r="AH86" s="13">
        <v>0</v>
      </c>
      <c r="AI86" s="13">
        <v>0</v>
      </c>
      <c r="AJ86" s="13">
        <v>0</v>
      </c>
      <c r="AK86" s="13">
        <v>0</v>
      </c>
      <c r="AL86" s="13">
        <v>0</v>
      </c>
      <c r="AM86" s="13">
        <v>0</v>
      </c>
      <c r="AN86" s="13">
        <v>0</v>
      </c>
      <c r="AO86" s="13">
        <v>0</v>
      </c>
      <c r="AP86" s="13">
        <v>0</v>
      </c>
      <c r="AQ86" s="13">
        <v>0</v>
      </c>
      <c r="AR86" s="13">
        <f t="shared" si="0"/>
        <v>0.5</v>
      </c>
      <c r="AS86" s="13">
        <f t="shared" si="0"/>
        <v>0.5</v>
      </c>
      <c r="AT86" s="13">
        <v>0</v>
      </c>
    </row>
    <row r="87" spans="2:46" ht="27.6" x14ac:dyDescent="0.3">
      <c r="B87" s="28" t="s">
        <v>582</v>
      </c>
      <c r="C87" s="13">
        <v>1.25</v>
      </c>
      <c r="D87" s="13">
        <v>1.5</v>
      </c>
      <c r="E87" s="13">
        <v>1.25</v>
      </c>
      <c r="F87" s="13">
        <v>1.25</v>
      </c>
      <c r="G87" s="13">
        <v>1</v>
      </c>
      <c r="H87" s="13">
        <v>0</v>
      </c>
      <c r="I87" s="13">
        <v>0</v>
      </c>
      <c r="J87" s="13">
        <v>0</v>
      </c>
      <c r="K87" s="13">
        <v>1.75</v>
      </c>
      <c r="L87" s="13">
        <v>0</v>
      </c>
      <c r="M87" s="13">
        <v>0</v>
      </c>
      <c r="N87" s="13">
        <v>0</v>
      </c>
      <c r="O87" s="13">
        <v>0</v>
      </c>
      <c r="P87" s="13">
        <v>0</v>
      </c>
      <c r="Q87" s="13">
        <v>0</v>
      </c>
      <c r="R87" s="13">
        <v>0</v>
      </c>
      <c r="S87" s="13">
        <v>0</v>
      </c>
      <c r="T87" s="13">
        <v>0</v>
      </c>
      <c r="U87" s="13">
        <v>0</v>
      </c>
      <c r="V87" s="13">
        <v>0</v>
      </c>
      <c r="W87" s="13">
        <v>0</v>
      </c>
      <c r="X87" s="13">
        <v>0</v>
      </c>
      <c r="Y87" s="13">
        <v>0</v>
      </c>
      <c r="Z87" s="13">
        <v>1.75</v>
      </c>
      <c r="AA87" s="13">
        <v>1.75</v>
      </c>
      <c r="AB87" s="13">
        <v>1</v>
      </c>
      <c r="AC87" s="13">
        <v>1</v>
      </c>
      <c r="AD87" s="13">
        <v>1</v>
      </c>
      <c r="AE87" s="13">
        <v>0</v>
      </c>
      <c r="AF87" s="13">
        <v>0</v>
      </c>
      <c r="AG87" s="13">
        <v>0</v>
      </c>
      <c r="AH87" s="13">
        <v>0</v>
      </c>
      <c r="AI87" s="13">
        <v>0</v>
      </c>
      <c r="AJ87" s="13">
        <v>0</v>
      </c>
      <c r="AK87" s="13">
        <v>0</v>
      </c>
      <c r="AL87" s="13">
        <v>0</v>
      </c>
      <c r="AM87" s="13">
        <v>0</v>
      </c>
      <c r="AN87" s="13">
        <v>0</v>
      </c>
      <c r="AO87" s="13">
        <v>0</v>
      </c>
      <c r="AP87" s="13">
        <v>0</v>
      </c>
      <c r="AQ87" s="13">
        <v>0</v>
      </c>
      <c r="AR87" s="13">
        <f t="shared" si="0"/>
        <v>0.5</v>
      </c>
      <c r="AS87" s="13">
        <f t="shared" si="0"/>
        <v>0.5</v>
      </c>
      <c r="AT87" s="13">
        <v>0</v>
      </c>
    </row>
    <row r="88" spans="2:46" ht="27.6" x14ac:dyDescent="0.3">
      <c r="B88" s="28" t="s">
        <v>583</v>
      </c>
      <c r="C88" s="13">
        <v>1.25</v>
      </c>
      <c r="D88" s="13">
        <v>1.5</v>
      </c>
      <c r="E88" s="13">
        <v>1.25</v>
      </c>
      <c r="F88" s="13">
        <v>1.25</v>
      </c>
      <c r="G88" s="13">
        <v>1</v>
      </c>
      <c r="H88" s="13">
        <v>0</v>
      </c>
      <c r="I88" s="13">
        <v>0</v>
      </c>
      <c r="J88" s="13">
        <v>0</v>
      </c>
      <c r="K88" s="13">
        <v>0</v>
      </c>
      <c r="L88" s="13">
        <v>1.75</v>
      </c>
      <c r="M88" s="13">
        <v>0</v>
      </c>
      <c r="N88" s="13">
        <v>0</v>
      </c>
      <c r="O88" s="13">
        <v>0</v>
      </c>
      <c r="P88" s="13">
        <v>0</v>
      </c>
      <c r="Q88" s="13">
        <v>0</v>
      </c>
      <c r="R88" s="13">
        <v>0</v>
      </c>
      <c r="S88" s="13">
        <v>0</v>
      </c>
      <c r="T88" s="13">
        <v>0</v>
      </c>
      <c r="U88" s="13">
        <v>0</v>
      </c>
      <c r="V88" s="13">
        <v>0</v>
      </c>
      <c r="W88" s="13">
        <v>0</v>
      </c>
      <c r="X88" s="13">
        <v>0</v>
      </c>
      <c r="Y88" s="13">
        <v>0</v>
      </c>
      <c r="Z88" s="13">
        <v>1.75</v>
      </c>
      <c r="AA88" s="13">
        <v>1.75</v>
      </c>
      <c r="AB88" s="13">
        <v>1</v>
      </c>
      <c r="AC88" s="13">
        <v>1</v>
      </c>
      <c r="AD88" s="13">
        <v>1</v>
      </c>
      <c r="AE88" s="13">
        <v>0</v>
      </c>
      <c r="AF88" s="13">
        <v>0</v>
      </c>
      <c r="AG88" s="13">
        <v>0</v>
      </c>
      <c r="AH88" s="13">
        <v>0</v>
      </c>
      <c r="AI88" s="13">
        <v>0</v>
      </c>
      <c r="AJ88" s="13">
        <v>0</v>
      </c>
      <c r="AK88" s="13">
        <v>0</v>
      </c>
      <c r="AL88" s="13">
        <v>0</v>
      </c>
      <c r="AM88" s="13">
        <v>0</v>
      </c>
      <c r="AN88" s="13">
        <v>0</v>
      </c>
      <c r="AO88" s="13">
        <v>0</v>
      </c>
      <c r="AP88" s="13">
        <v>0</v>
      </c>
      <c r="AQ88" s="13">
        <v>0</v>
      </c>
      <c r="AR88" s="13">
        <f t="shared" si="0"/>
        <v>0.5</v>
      </c>
      <c r="AS88" s="13">
        <f t="shared" si="0"/>
        <v>0.5</v>
      </c>
      <c r="AT88" s="13">
        <v>0</v>
      </c>
    </row>
    <row r="89" spans="2:46" ht="27.6" x14ac:dyDescent="0.3">
      <c r="B89" s="28" t="s">
        <v>584</v>
      </c>
      <c r="C89" s="13">
        <v>1.25</v>
      </c>
      <c r="D89" s="13">
        <v>1.5</v>
      </c>
      <c r="E89" s="13">
        <v>1.25</v>
      </c>
      <c r="F89" s="13">
        <v>1.25</v>
      </c>
      <c r="G89" s="13">
        <v>1</v>
      </c>
      <c r="H89" s="13">
        <v>0</v>
      </c>
      <c r="I89" s="13">
        <v>0</v>
      </c>
      <c r="J89" s="13">
        <v>0</v>
      </c>
      <c r="K89" s="13">
        <v>0</v>
      </c>
      <c r="L89" s="13">
        <v>0</v>
      </c>
      <c r="M89" s="13">
        <v>1.75</v>
      </c>
      <c r="N89" s="13">
        <v>0</v>
      </c>
      <c r="O89" s="13">
        <v>0</v>
      </c>
      <c r="P89" s="13">
        <v>0</v>
      </c>
      <c r="Q89" s="13">
        <v>0</v>
      </c>
      <c r="R89" s="13">
        <v>0</v>
      </c>
      <c r="S89" s="13">
        <v>0</v>
      </c>
      <c r="T89" s="13">
        <v>0</v>
      </c>
      <c r="U89" s="13">
        <v>0</v>
      </c>
      <c r="V89" s="13">
        <v>0</v>
      </c>
      <c r="W89" s="13">
        <v>0</v>
      </c>
      <c r="X89" s="13">
        <v>0</v>
      </c>
      <c r="Y89" s="13">
        <v>0</v>
      </c>
      <c r="Z89" s="13">
        <v>1.75</v>
      </c>
      <c r="AA89" s="13">
        <v>1.75</v>
      </c>
      <c r="AB89" s="13">
        <v>1</v>
      </c>
      <c r="AC89" s="13">
        <v>1</v>
      </c>
      <c r="AD89" s="13">
        <v>1</v>
      </c>
      <c r="AE89" s="13">
        <v>0</v>
      </c>
      <c r="AF89" s="13">
        <v>0</v>
      </c>
      <c r="AG89" s="13">
        <v>0</v>
      </c>
      <c r="AH89" s="13">
        <v>0</v>
      </c>
      <c r="AI89" s="13">
        <v>0</v>
      </c>
      <c r="AJ89" s="13">
        <v>0</v>
      </c>
      <c r="AK89" s="13">
        <v>0</v>
      </c>
      <c r="AL89" s="13">
        <v>0</v>
      </c>
      <c r="AM89" s="13">
        <v>0</v>
      </c>
      <c r="AN89" s="13">
        <v>0</v>
      </c>
      <c r="AO89" s="13">
        <v>0</v>
      </c>
      <c r="AP89" s="13">
        <v>0</v>
      </c>
      <c r="AQ89" s="13">
        <v>0</v>
      </c>
      <c r="AR89" s="13">
        <f t="shared" si="0"/>
        <v>0.5</v>
      </c>
      <c r="AS89" s="13">
        <f t="shared" si="0"/>
        <v>0.5</v>
      </c>
      <c r="AT89" s="13">
        <v>0</v>
      </c>
    </row>
    <row r="90" spans="2:46" ht="27.6" x14ac:dyDescent="0.3">
      <c r="B90" s="28" t="s">
        <v>585</v>
      </c>
      <c r="C90" s="13">
        <v>1.25</v>
      </c>
      <c r="D90" s="13">
        <v>1.5</v>
      </c>
      <c r="E90" s="13">
        <v>1.25</v>
      </c>
      <c r="F90" s="13">
        <v>1.25</v>
      </c>
      <c r="G90" s="13">
        <v>1</v>
      </c>
      <c r="H90" s="13">
        <v>0</v>
      </c>
      <c r="I90" s="13">
        <v>0</v>
      </c>
      <c r="J90" s="13">
        <v>0</v>
      </c>
      <c r="K90" s="13">
        <v>0</v>
      </c>
      <c r="L90" s="13">
        <v>0</v>
      </c>
      <c r="M90" s="13">
        <v>0</v>
      </c>
      <c r="N90" s="13">
        <v>1.75</v>
      </c>
      <c r="O90" s="13">
        <v>0</v>
      </c>
      <c r="P90" s="13">
        <v>0</v>
      </c>
      <c r="Q90" s="13">
        <v>0</v>
      </c>
      <c r="R90" s="13">
        <v>0</v>
      </c>
      <c r="S90" s="13">
        <v>0</v>
      </c>
      <c r="T90" s="13">
        <v>0</v>
      </c>
      <c r="U90" s="13">
        <v>0</v>
      </c>
      <c r="V90" s="13">
        <v>0</v>
      </c>
      <c r="W90" s="13">
        <v>0</v>
      </c>
      <c r="X90" s="13">
        <v>0</v>
      </c>
      <c r="Y90" s="13">
        <v>0</v>
      </c>
      <c r="Z90" s="13">
        <v>1.75</v>
      </c>
      <c r="AA90" s="13">
        <v>1.75</v>
      </c>
      <c r="AB90" s="13">
        <v>1</v>
      </c>
      <c r="AC90" s="13">
        <v>1</v>
      </c>
      <c r="AD90" s="13">
        <v>1</v>
      </c>
      <c r="AE90" s="13">
        <v>0</v>
      </c>
      <c r="AF90" s="13">
        <v>0</v>
      </c>
      <c r="AG90" s="13">
        <v>0</v>
      </c>
      <c r="AH90" s="13">
        <v>0</v>
      </c>
      <c r="AI90" s="13">
        <v>0</v>
      </c>
      <c r="AJ90" s="13">
        <v>0</v>
      </c>
      <c r="AK90" s="13">
        <v>0</v>
      </c>
      <c r="AL90" s="13">
        <v>0</v>
      </c>
      <c r="AM90" s="13">
        <v>0</v>
      </c>
      <c r="AN90" s="13">
        <v>0</v>
      </c>
      <c r="AO90" s="13">
        <v>0</v>
      </c>
      <c r="AP90" s="13">
        <v>0</v>
      </c>
      <c r="AQ90" s="13">
        <v>0</v>
      </c>
      <c r="AR90" s="13">
        <f t="shared" si="0"/>
        <v>0.5</v>
      </c>
      <c r="AS90" s="13">
        <f t="shared" si="0"/>
        <v>0.5</v>
      </c>
      <c r="AT90" s="13">
        <v>0</v>
      </c>
    </row>
    <row r="91" spans="2:46" ht="27.6" x14ac:dyDescent="0.3">
      <c r="B91" s="28" t="s">
        <v>586</v>
      </c>
      <c r="C91" s="13">
        <v>1.25</v>
      </c>
      <c r="D91" s="13">
        <v>1.5</v>
      </c>
      <c r="E91" s="13">
        <v>1.25</v>
      </c>
      <c r="F91" s="13">
        <v>1.25</v>
      </c>
      <c r="G91" s="13">
        <v>1</v>
      </c>
      <c r="H91" s="13">
        <v>0</v>
      </c>
      <c r="I91" s="13">
        <v>0</v>
      </c>
      <c r="J91" s="13">
        <v>0</v>
      </c>
      <c r="K91" s="13">
        <v>0</v>
      </c>
      <c r="L91" s="13">
        <v>0</v>
      </c>
      <c r="M91" s="13">
        <v>0</v>
      </c>
      <c r="N91" s="13">
        <v>0</v>
      </c>
      <c r="O91" s="13">
        <v>1.75</v>
      </c>
      <c r="P91" s="13">
        <v>0</v>
      </c>
      <c r="Q91" s="13">
        <v>0</v>
      </c>
      <c r="R91" s="13">
        <v>0</v>
      </c>
      <c r="S91" s="13">
        <v>0</v>
      </c>
      <c r="T91" s="13">
        <v>0</v>
      </c>
      <c r="U91" s="13">
        <v>0</v>
      </c>
      <c r="V91" s="13">
        <v>0</v>
      </c>
      <c r="W91" s="13">
        <v>0</v>
      </c>
      <c r="X91" s="13">
        <v>0</v>
      </c>
      <c r="Y91" s="13">
        <v>0</v>
      </c>
      <c r="Z91" s="13">
        <v>1.75</v>
      </c>
      <c r="AA91" s="13">
        <v>1.75</v>
      </c>
      <c r="AB91" s="13">
        <v>1</v>
      </c>
      <c r="AC91" s="13">
        <v>1</v>
      </c>
      <c r="AD91" s="13">
        <v>1</v>
      </c>
      <c r="AE91" s="13">
        <v>0</v>
      </c>
      <c r="AF91" s="13">
        <v>0</v>
      </c>
      <c r="AG91" s="13">
        <v>0</v>
      </c>
      <c r="AH91" s="13">
        <v>0</v>
      </c>
      <c r="AI91" s="13">
        <v>0</v>
      </c>
      <c r="AJ91" s="13">
        <v>0</v>
      </c>
      <c r="AK91" s="13">
        <v>0</v>
      </c>
      <c r="AL91" s="13">
        <v>0</v>
      </c>
      <c r="AM91" s="13">
        <v>0</v>
      </c>
      <c r="AN91" s="13">
        <v>0</v>
      </c>
      <c r="AO91" s="13">
        <v>0</v>
      </c>
      <c r="AP91" s="13">
        <v>0</v>
      </c>
      <c r="AQ91" s="13">
        <v>0</v>
      </c>
      <c r="AR91" s="13">
        <f t="shared" si="0"/>
        <v>0.5</v>
      </c>
      <c r="AS91" s="13">
        <f t="shared" si="0"/>
        <v>0.5</v>
      </c>
      <c r="AT91" s="13">
        <v>0</v>
      </c>
    </row>
    <row r="92" spans="2:46" ht="27.6" x14ac:dyDescent="0.3">
      <c r="B92" s="28" t="s">
        <v>587</v>
      </c>
      <c r="C92" s="13">
        <v>1.25</v>
      </c>
      <c r="D92" s="13">
        <v>1.5</v>
      </c>
      <c r="E92" s="13">
        <v>1.25</v>
      </c>
      <c r="F92" s="13">
        <v>1.25</v>
      </c>
      <c r="G92" s="13">
        <v>1</v>
      </c>
      <c r="H92" s="13">
        <v>0</v>
      </c>
      <c r="I92" s="13">
        <v>0</v>
      </c>
      <c r="J92" s="13">
        <v>0</v>
      </c>
      <c r="K92" s="13">
        <v>0</v>
      </c>
      <c r="L92" s="13">
        <v>0</v>
      </c>
      <c r="M92" s="13">
        <v>0</v>
      </c>
      <c r="N92" s="13">
        <v>0</v>
      </c>
      <c r="O92" s="13">
        <v>0</v>
      </c>
      <c r="P92" s="13">
        <v>1.75</v>
      </c>
      <c r="Q92" s="13">
        <v>0</v>
      </c>
      <c r="R92" s="13">
        <v>0</v>
      </c>
      <c r="S92" s="13">
        <v>0</v>
      </c>
      <c r="T92" s="13">
        <v>0</v>
      </c>
      <c r="U92" s="13">
        <v>0</v>
      </c>
      <c r="V92" s="13">
        <v>0</v>
      </c>
      <c r="W92" s="13">
        <v>0</v>
      </c>
      <c r="X92" s="13">
        <v>0</v>
      </c>
      <c r="Y92" s="13">
        <v>0</v>
      </c>
      <c r="Z92" s="13">
        <v>1.75</v>
      </c>
      <c r="AA92" s="13">
        <v>1.75</v>
      </c>
      <c r="AB92" s="13">
        <v>1</v>
      </c>
      <c r="AC92" s="13">
        <v>1</v>
      </c>
      <c r="AD92" s="13">
        <v>1</v>
      </c>
      <c r="AE92" s="13">
        <v>0</v>
      </c>
      <c r="AF92" s="13">
        <v>0</v>
      </c>
      <c r="AG92" s="13">
        <v>0</v>
      </c>
      <c r="AH92" s="13">
        <v>0</v>
      </c>
      <c r="AI92" s="13">
        <v>0</v>
      </c>
      <c r="AJ92" s="13">
        <v>0</v>
      </c>
      <c r="AK92" s="13">
        <v>0</v>
      </c>
      <c r="AL92" s="13">
        <v>0</v>
      </c>
      <c r="AM92" s="13">
        <v>0</v>
      </c>
      <c r="AN92" s="13">
        <v>0</v>
      </c>
      <c r="AO92" s="13">
        <v>0</v>
      </c>
      <c r="AP92" s="13">
        <v>0</v>
      </c>
      <c r="AQ92" s="13">
        <v>0</v>
      </c>
      <c r="AR92" s="13">
        <f t="shared" si="0"/>
        <v>0.5</v>
      </c>
      <c r="AS92" s="13">
        <f t="shared" si="0"/>
        <v>0.5</v>
      </c>
      <c r="AT92" s="13">
        <v>0</v>
      </c>
    </row>
    <row r="93" spans="2:46" ht="27.6" x14ac:dyDescent="0.3">
      <c r="B93" s="28" t="s">
        <v>588</v>
      </c>
      <c r="C93" s="13">
        <v>1.25</v>
      </c>
      <c r="D93" s="13">
        <v>1.5</v>
      </c>
      <c r="E93" s="13">
        <v>1.25</v>
      </c>
      <c r="F93" s="13">
        <v>1.25</v>
      </c>
      <c r="G93" s="13">
        <v>1</v>
      </c>
      <c r="H93" s="13">
        <v>0</v>
      </c>
      <c r="I93" s="13">
        <v>0</v>
      </c>
      <c r="J93" s="13">
        <v>0</v>
      </c>
      <c r="K93" s="13">
        <v>0</v>
      </c>
      <c r="L93" s="13">
        <v>0</v>
      </c>
      <c r="M93" s="13">
        <v>0</v>
      </c>
      <c r="N93" s="13">
        <v>0</v>
      </c>
      <c r="O93" s="13">
        <v>0</v>
      </c>
      <c r="P93" s="13">
        <v>0</v>
      </c>
      <c r="Q93" s="13">
        <v>1.75</v>
      </c>
      <c r="R93" s="13">
        <v>0</v>
      </c>
      <c r="S93" s="13">
        <v>0</v>
      </c>
      <c r="T93" s="13">
        <v>0</v>
      </c>
      <c r="U93" s="13">
        <v>0</v>
      </c>
      <c r="V93" s="13">
        <v>0</v>
      </c>
      <c r="W93" s="13">
        <v>0</v>
      </c>
      <c r="X93" s="13">
        <v>0</v>
      </c>
      <c r="Y93" s="13">
        <v>0</v>
      </c>
      <c r="Z93" s="13">
        <v>1.75</v>
      </c>
      <c r="AA93" s="13">
        <v>1.75</v>
      </c>
      <c r="AB93" s="13">
        <v>1</v>
      </c>
      <c r="AC93" s="13">
        <v>1</v>
      </c>
      <c r="AD93" s="13">
        <v>1</v>
      </c>
      <c r="AE93" s="13">
        <v>0</v>
      </c>
      <c r="AF93" s="13">
        <v>0</v>
      </c>
      <c r="AG93" s="13">
        <v>0</v>
      </c>
      <c r="AH93" s="13">
        <v>0</v>
      </c>
      <c r="AI93" s="13">
        <v>0</v>
      </c>
      <c r="AJ93" s="13">
        <v>0</v>
      </c>
      <c r="AK93" s="13">
        <v>0</v>
      </c>
      <c r="AL93" s="13">
        <v>0</v>
      </c>
      <c r="AM93" s="13">
        <v>0</v>
      </c>
      <c r="AN93" s="13">
        <v>0</v>
      </c>
      <c r="AO93" s="13">
        <v>0</v>
      </c>
      <c r="AP93" s="13">
        <v>0</v>
      </c>
      <c r="AQ93" s="13">
        <v>0</v>
      </c>
      <c r="AR93" s="13">
        <f t="shared" si="0"/>
        <v>0.5</v>
      </c>
      <c r="AS93" s="13">
        <f t="shared" si="0"/>
        <v>0.5</v>
      </c>
      <c r="AT93" s="13">
        <v>0</v>
      </c>
    </row>
    <row r="94" spans="2:46" ht="27.6" x14ac:dyDescent="0.3">
      <c r="B94" s="28" t="s">
        <v>589</v>
      </c>
      <c r="C94" s="13">
        <v>1.25</v>
      </c>
      <c r="D94" s="13">
        <v>1.5</v>
      </c>
      <c r="E94" s="13">
        <v>1.25</v>
      </c>
      <c r="F94" s="13">
        <v>1.25</v>
      </c>
      <c r="G94" s="13">
        <v>1</v>
      </c>
      <c r="H94" s="13">
        <v>0</v>
      </c>
      <c r="I94" s="13">
        <v>0</v>
      </c>
      <c r="J94" s="13">
        <v>0</v>
      </c>
      <c r="K94" s="13">
        <v>0</v>
      </c>
      <c r="L94" s="13">
        <v>0</v>
      </c>
      <c r="M94" s="13">
        <v>0</v>
      </c>
      <c r="N94" s="13">
        <v>0</v>
      </c>
      <c r="O94" s="13">
        <v>0</v>
      </c>
      <c r="P94" s="13">
        <v>0</v>
      </c>
      <c r="Q94" s="13">
        <v>0</v>
      </c>
      <c r="R94" s="13">
        <v>1.75</v>
      </c>
      <c r="S94" s="13">
        <v>0</v>
      </c>
      <c r="T94" s="13">
        <v>0</v>
      </c>
      <c r="U94" s="13">
        <v>0</v>
      </c>
      <c r="V94" s="13">
        <v>0</v>
      </c>
      <c r="W94" s="13">
        <v>0</v>
      </c>
      <c r="X94" s="13">
        <v>0</v>
      </c>
      <c r="Y94" s="13">
        <v>0</v>
      </c>
      <c r="Z94" s="13">
        <v>1.75</v>
      </c>
      <c r="AA94" s="13">
        <v>1.75</v>
      </c>
      <c r="AB94" s="13">
        <v>1</v>
      </c>
      <c r="AC94" s="13">
        <v>1</v>
      </c>
      <c r="AD94" s="13">
        <v>1</v>
      </c>
      <c r="AE94" s="13">
        <v>0</v>
      </c>
      <c r="AF94" s="13">
        <v>0</v>
      </c>
      <c r="AG94" s="13">
        <v>0</v>
      </c>
      <c r="AH94" s="13">
        <v>0</v>
      </c>
      <c r="AI94" s="13">
        <v>0</v>
      </c>
      <c r="AJ94" s="13">
        <v>0</v>
      </c>
      <c r="AK94" s="13">
        <v>0</v>
      </c>
      <c r="AL94" s="13">
        <v>0</v>
      </c>
      <c r="AM94" s="13">
        <v>0</v>
      </c>
      <c r="AN94" s="13">
        <v>0</v>
      </c>
      <c r="AO94" s="13">
        <v>0</v>
      </c>
      <c r="AP94" s="13">
        <v>0</v>
      </c>
      <c r="AQ94" s="13">
        <v>0</v>
      </c>
      <c r="AR94" s="13">
        <f t="shared" si="0"/>
        <v>0.5</v>
      </c>
      <c r="AS94" s="13">
        <f t="shared" si="0"/>
        <v>0.5</v>
      </c>
      <c r="AT94" s="13">
        <v>0</v>
      </c>
    </row>
    <row r="95" spans="2:46" ht="27.6" x14ac:dyDescent="0.3">
      <c r="B95" s="28" t="s">
        <v>590</v>
      </c>
      <c r="C95" s="13">
        <v>1.25</v>
      </c>
      <c r="D95" s="13">
        <v>1.5</v>
      </c>
      <c r="E95" s="13">
        <v>1.25</v>
      </c>
      <c r="F95" s="13">
        <v>1.25</v>
      </c>
      <c r="G95" s="13">
        <v>1</v>
      </c>
      <c r="H95" s="13">
        <v>0</v>
      </c>
      <c r="I95" s="13">
        <v>0</v>
      </c>
      <c r="J95" s="13">
        <v>0</v>
      </c>
      <c r="K95" s="13">
        <v>0</v>
      </c>
      <c r="L95" s="13">
        <v>0</v>
      </c>
      <c r="M95" s="13">
        <v>0</v>
      </c>
      <c r="N95" s="13">
        <v>0</v>
      </c>
      <c r="O95" s="13">
        <v>0</v>
      </c>
      <c r="P95" s="13">
        <v>0</v>
      </c>
      <c r="Q95" s="13">
        <v>0</v>
      </c>
      <c r="R95" s="13">
        <v>0</v>
      </c>
      <c r="S95" s="13">
        <v>1.75</v>
      </c>
      <c r="T95" s="13">
        <v>0</v>
      </c>
      <c r="U95" s="13">
        <v>0</v>
      </c>
      <c r="V95" s="13">
        <v>0</v>
      </c>
      <c r="W95" s="13">
        <v>0</v>
      </c>
      <c r="X95" s="13">
        <v>0</v>
      </c>
      <c r="Y95" s="13">
        <v>0</v>
      </c>
      <c r="Z95" s="13">
        <v>1.75</v>
      </c>
      <c r="AA95" s="13">
        <v>1.75</v>
      </c>
      <c r="AB95" s="13">
        <v>1</v>
      </c>
      <c r="AC95" s="13">
        <v>1</v>
      </c>
      <c r="AD95" s="13">
        <v>1</v>
      </c>
      <c r="AE95" s="13">
        <v>0</v>
      </c>
      <c r="AF95" s="13">
        <v>0</v>
      </c>
      <c r="AG95" s="13">
        <v>0</v>
      </c>
      <c r="AH95" s="13">
        <v>0</v>
      </c>
      <c r="AI95" s="13">
        <v>0</v>
      </c>
      <c r="AJ95" s="13">
        <v>0</v>
      </c>
      <c r="AK95" s="13">
        <v>0</v>
      </c>
      <c r="AL95" s="13">
        <v>0</v>
      </c>
      <c r="AM95" s="13">
        <v>0</v>
      </c>
      <c r="AN95" s="13">
        <v>0</v>
      </c>
      <c r="AO95" s="13">
        <v>0</v>
      </c>
      <c r="AP95" s="13">
        <v>0</v>
      </c>
      <c r="AQ95" s="13">
        <v>0</v>
      </c>
      <c r="AR95" s="13">
        <f t="shared" si="0"/>
        <v>0.5</v>
      </c>
      <c r="AS95" s="13">
        <f t="shared" si="0"/>
        <v>0.5</v>
      </c>
      <c r="AT95" s="13">
        <v>0</v>
      </c>
    </row>
    <row r="96" spans="2:46" x14ac:dyDescent="0.3">
      <c r="B96" s="28" t="s">
        <v>591</v>
      </c>
      <c r="C96" s="13">
        <v>1.25</v>
      </c>
      <c r="D96" s="13">
        <v>1.5</v>
      </c>
      <c r="E96" s="13">
        <v>1.25</v>
      </c>
      <c r="F96" s="13">
        <v>1.25</v>
      </c>
      <c r="G96" s="13">
        <v>1</v>
      </c>
      <c r="H96" s="13">
        <v>0</v>
      </c>
      <c r="I96" s="13">
        <v>0</v>
      </c>
      <c r="J96" s="13">
        <v>0</v>
      </c>
      <c r="K96" s="13">
        <v>0</v>
      </c>
      <c r="L96" s="13">
        <v>0</v>
      </c>
      <c r="M96" s="13">
        <v>0</v>
      </c>
      <c r="N96" s="13">
        <v>0</v>
      </c>
      <c r="O96" s="13">
        <v>0</v>
      </c>
      <c r="P96" s="13">
        <v>0</v>
      </c>
      <c r="Q96" s="13">
        <v>0</v>
      </c>
      <c r="R96" s="13">
        <v>0</v>
      </c>
      <c r="S96" s="13">
        <v>0</v>
      </c>
      <c r="T96" s="13">
        <v>1.75</v>
      </c>
      <c r="U96" s="13">
        <v>0</v>
      </c>
      <c r="V96" s="13">
        <v>0</v>
      </c>
      <c r="W96" s="13">
        <v>0</v>
      </c>
      <c r="X96" s="13">
        <v>0</v>
      </c>
      <c r="Y96" s="13">
        <v>0</v>
      </c>
      <c r="Z96" s="13">
        <v>1.75</v>
      </c>
      <c r="AA96" s="13">
        <v>1.75</v>
      </c>
      <c r="AB96" s="13">
        <v>1</v>
      </c>
      <c r="AC96" s="13">
        <v>1</v>
      </c>
      <c r="AD96" s="13">
        <v>1</v>
      </c>
      <c r="AE96" s="13">
        <v>0</v>
      </c>
      <c r="AF96" s="13">
        <v>0</v>
      </c>
      <c r="AG96" s="13">
        <v>0</v>
      </c>
      <c r="AH96" s="13">
        <v>0</v>
      </c>
      <c r="AI96" s="13">
        <v>0</v>
      </c>
      <c r="AJ96" s="13">
        <v>0</v>
      </c>
      <c r="AK96" s="13">
        <v>0</v>
      </c>
      <c r="AL96" s="13">
        <v>0</v>
      </c>
      <c r="AM96" s="13">
        <v>0</v>
      </c>
      <c r="AN96" s="13">
        <v>0</v>
      </c>
      <c r="AO96" s="13">
        <v>0</v>
      </c>
      <c r="AP96" s="13">
        <v>0</v>
      </c>
      <c r="AQ96" s="13">
        <v>0</v>
      </c>
      <c r="AR96" s="13">
        <f t="shared" si="0"/>
        <v>0.5</v>
      </c>
      <c r="AS96" s="13">
        <f t="shared" si="0"/>
        <v>0.5</v>
      </c>
      <c r="AT96" s="13">
        <v>0</v>
      </c>
    </row>
    <row r="97" spans="2:46" x14ac:dyDescent="0.3">
      <c r="B97" s="28" t="s">
        <v>592</v>
      </c>
      <c r="C97" s="13">
        <v>1.25</v>
      </c>
      <c r="D97" s="13">
        <v>1.5</v>
      </c>
      <c r="E97" s="13">
        <v>1.25</v>
      </c>
      <c r="F97" s="13">
        <v>1.25</v>
      </c>
      <c r="G97" s="13">
        <v>1</v>
      </c>
      <c r="H97" s="13">
        <v>0</v>
      </c>
      <c r="I97" s="13">
        <v>0</v>
      </c>
      <c r="J97" s="13">
        <v>0</v>
      </c>
      <c r="K97" s="13">
        <v>0</v>
      </c>
      <c r="L97" s="13">
        <v>0</v>
      </c>
      <c r="M97" s="13">
        <v>0</v>
      </c>
      <c r="N97" s="13">
        <v>0</v>
      </c>
      <c r="O97" s="13">
        <v>0</v>
      </c>
      <c r="P97" s="13">
        <v>0</v>
      </c>
      <c r="Q97" s="13">
        <v>0</v>
      </c>
      <c r="R97" s="13">
        <v>0</v>
      </c>
      <c r="S97" s="13">
        <v>0</v>
      </c>
      <c r="T97" s="13">
        <v>0</v>
      </c>
      <c r="U97" s="13">
        <v>1.75</v>
      </c>
      <c r="V97" s="13">
        <v>0</v>
      </c>
      <c r="W97" s="13">
        <v>0</v>
      </c>
      <c r="X97" s="13">
        <v>0</v>
      </c>
      <c r="Y97" s="13">
        <v>0</v>
      </c>
      <c r="Z97" s="13">
        <v>1.75</v>
      </c>
      <c r="AA97" s="13">
        <v>1.75</v>
      </c>
      <c r="AB97" s="13">
        <v>1</v>
      </c>
      <c r="AC97" s="13">
        <v>1</v>
      </c>
      <c r="AD97" s="13">
        <v>1</v>
      </c>
      <c r="AE97" s="13">
        <v>0</v>
      </c>
      <c r="AF97" s="13">
        <v>0</v>
      </c>
      <c r="AG97" s="13">
        <v>0</v>
      </c>
      <c r="AH97" s="13">
        <v>0</v>
      </c>
      <c r="AI97" s="13">
        <v>0</v>
      </c>
      <c r="AJ97" s="13">
        <v>0</v>
      </c>
      <c r="AK97" s="13">
        <v>0</v>
      </c>
      <c r="AL97" s="13">
        <v>0</v>
      </c>
      <c r="AM97" s="13">
        <v>0</v>
      </c>
      <c r="AN97" s="13">
        <v>0</v>
      </c>
      <c r="AO97" s="13">
        <v>0</v>
      </c>
      <c r="AP97" s="13">
        <v>0</v>
      </c>
      <c r="AQ97" s="13">
        <v>0</v>
      </c>
      <c r="AR97" s="13">
        <f t="shared" si="0"/>
        <v>0.5</v>
      </c>
      <c r="AS97" s="13">
        <f t="shared" si="0"/>
        <v>0.5</v>
      </c>
      <c r="AT97" s="13">
        <v>0</v>
      </c>
    </row>
    <row r="98" spans="2:46" x14ac:dyDescent="0.3">
      <c r="B98" s="28" t="s">
        <v>593</v>
      </c>
      <c r="C98" s="13">
        <v>1.25</v>
      </c>
      <c r="D98" s="13">
        <v>1.5</v>
      </c>
      <c r="E98" s="13">
        <v>1.25</v>
      </c>
      <c r="F98" s="13">
        <v>1.25</v>
      </c>
      <c r="G98" s="13">
        <v>1</v>
      </c>
      <c r="H98" s="13">
        <v>0</v>
      </c>
      <c r="I98" s="13">
        <v>0</v>
      </c>
      <c r="J98" s="13">
        <v>0</v>
      </c>
      <c r="K98" s="13">
        <v>0</v>
      </c>
      <c r="L98" s="13">
        <v>0</v>
      </c>
      <c r="M98" s="13">
        <v>0</v>
      </c>
      <c r="N98" s="13">
        <v>0</v>
      </c>
      <c r="O98" s="13">
        <v>0</v>
      </c>
      <c r="P98" s="13">
        <v>0</v>
      </c>
      <c r="Q98" s="13">
        <v>0</v>
      </c>
      <c r="R98" s="13">
        <v>0</v>
      </c>
      <c r="S98" s="13">
        <v>0</v>
      </c>
      <c r="T98" s="13">
        <v>0</v>
      </c>
      <c r="U98" s="13">
        <v>0</v>
      </c>
      <c r="V98" s="13">
        <v>1.75</v>
      </c>
      <c r="W98" s="13">
        <v>0</v>
      </c>
      <c r="X98" s="13">
        <v>0</v>
      </c>
      <c r="Y98" s="13">
        <v>0</v>
      </c>
      <c r="Z98" s="13">
        <v>1.75</v>
      </c>
      <c r="AA98" s="13">
        <v>1.75</v>
      </c>
      <c r="AB98" s="13">
        <v>1</v>
      </c>
      <c r="AC98" s="13">
        <v>1</v>
      </c>
      <c r="AD98" s="13">
        <v>1</v>
      </c>
      <c r="AE98" s="13">
        <v>0</v>
      </c>
      <c r="AF98" s="13">
        <v>0</v>
      </c>
      <c r="AG98" s="13">
        <v>0</v>
      </c>
      <c r="AH98" s="13">
        <v>0</v>
      </c>
      <c r="AI98" s="13">
        <v>0</v>
      </c>
      <c r="AJ98" s="13">
        <v>0</v>
      </c>
      <c r="AK98" s="13">
        <v>0</v>
      </c>
      <c r="AL98" s="13">
        <v>0</v>
      </c>
      <c r="AM98" s="13">
        <v>0</v>
      </c>
      <c r="AN98" s="13">
        <v>0</v>
      </c>
      <c r="AO98" s="13">
        <v>0</v>
      </c>
      <c r="AP98" s="13">
        <v>0</v>
      </c>
      <c r="AQ98" s="13">
        <v>0</v>
      </c>
      <c r="AR98" s="13">
        <f t="shared" si="0"/>
        <v>0.5</v>
      </c>
      <c r="AS98" s="13">
        <f t="shared" si="0"/>
        <v>0.5</v>
      </c>
      <c r="AT98" s="13">
        <v>0</v>
      </c>
    </row>
    <row r="99" spans="2:46" x14ac:dyDescent="0.3">
      <c r="B99" s="28" t="s">
        <v>594</v>
      </c>
      <c r="C99" s="13">
        <v>1.25</v>
      </c>
      <c r="D99" s="13">
        <v>1.5</v>
      </c>
      <c r="E99" s="13">
        <v>1.25</v>
      </c>
      <c r="F99" s="13">
        <v>1.25</v>
      </c>
      <c r="G99" s="13">
        <v>1</v>
      </c>
      <c r="H99" s="13">
        <v>0</v>
      </c>
      <c r="I99" s="13">
        <v>0</v>
      </c>
      <c r="J99" s="13">
        <v>0</v>
      </c>
      <c r="K99" s="13">
        <v>0</v>
      </c>
      <c r="L99" s="13">
        <v>0</v>
      </c>
      <c r="M99" s="13">
        <v>0</v>
      </c>
      <c r="N99" s="13">
        <v>0</v>
      </c>
      <c r="O99" s="13">
        <v>0</v>
      </c>
      <c r="P99" s="13">
        <v>0</v>
      </c>
      <c r="Q99" s="13">
        <v>0</v>
      </c>
      <c r="R99" s="13">
        <v>0</v>
      </c>
      <c r="S99" s="13">
        <v>0</v>
      </c>
      <c r="T99" s="13">
        <v>0</v>
      </c>
      <c r="U99" s="13">
        <v>0</v>
      </c>
      <c r="V99" s="13">
        <v>0</v>
      </c>
      <c r="W99" s="13">
        <v>1.75</v>
      </c>
      <c r="X99" s="13">
        <v>0</v>
      </c>
      <c r="Y99" s="13">
        <v>0</v>
      </c>
      <c r="Z99" s="13">
        <v>1.75</v>
      </c>
      <c r="AA99" s="13">
        <v>1.75</v>
      </c>
      <c r="AB99" s="13">
        <v>1</v>
      </c>
      <c r="AC99" s="13">
        <v>1</v>
      </c>
      <c r="AD99" s="13">
        <v>1</v>
      </c>
      <c r="AE99" s="13">
        <v>0</v>
      </c>
      <c r="AF99" s="13">
        <v>0</v>
      </c>
      <c r="AG99" s="13">
        <v>0</v>
      </c>
      <c r="AH99" s="13">
        <v>0</v>
      </c>
      <c r="AI99" s="13">
        <v>0</v>
      </c>
      <c r="AJ99" s="13">
        <v>0</v>
      </c>
      <c r="AK99" s="13">
        <v>0</v>
      </c>
      <c r="AL99" s="13">
        <v>0</v>
      </c>
      <c r="AM99" s="13">
        <v>0</v>
      </c>
      <c r="AN99" s="13">
        <v>0</v>
      </c>
      <c r="AO99" s="13">
        <v>0</v>
      </c>
      <c r="AP99" s="13">
        <v>0</v>
      </c>
      <c r="AQ99" s="13">
        <v>0</v>
      </c>
      <c r="AR99" s="13">
        <f t="shared" si="0"/>
        <v>0.5</v>
      </c>
      <c r="AS99" s="13">
        <f t="shared" si="0"/>
        <v>0.5</v>
      </c>
      <c r="AT99" s="13">
        <v>0</v>
      </c>
    </row>
    <row r="100" spans="2:46" x14ac:dyDescent="0.3">
      <c r="B100" s="28" t="s">
        <v>595</v>
      </c>
      <c r="C100" s="13">
        <v>1.25</v>
      </c>
      <c r="D100" s="13">
        <v>1.5</v>
      </c>
      <c r="E100" s="13">
        <v>1.25</v>
      </c>
      <c r="F100" s="13">
        <v>1.25</v>
      </c>
      <c r="G100" s="13">
        <v>1</v>
      </c>
      <c r="H100" s="13">
        <v>0</v>
      </c>
      <c r="I100" s="13">
        <v>0</v>
      </c>
      <c r="J100" s="13">
        <v>0</v>
      </c>
      <c r="K100" s="13">
        <v>0</v>
      </c>
      <c r="L100" s="13">
        <v>0</v>
      </c>
      <c r="M100" s="13">
        <v>0</v>
      </c>
      <c r="N100" s="13">
        <v>0</v>
      </c>
      <c r="O100" s="13">
        <v>0</v>
      </c>
      <c r="P100" s="13">
        <v>0</v>
      </c>
      <c r="Q100" s="13">
        <v>0</v>
      </c>
      <c r="R100" s="13">
        <v>0</v>
      </c>
      <c r="S100" s="13">
        <v>0</v>
      </c>
      <c r="T100" s="13">
        <v>0</v>
      </c>
      <c r="U100" s="13">
        <v>0</v>
      </c>
      <c r="V100" s="13">
        <v>0</v>
      </c>
      <c r="W100" s="13">
        <v>0</v>
      </c>
      <c r="X100" s="13">
        <v>1.75</v>
      </c>
      <c r="Y100" s="13">
        <v>0</v>
      </c>
      <c r="Z100" s="13">
        <v>1.75</v>
      </c>
      <c r="AA100" s="13">
        <v>1.75</v>
      </c>
      <c r="AB100" s="13">
        <v>1</v>
      </c>
      <c r="AC100" s="13">
        <v>1</v>
      </c>
      <c r="AD100" s="13">
        <v>1</v>
      </c>
      <c r="AE100" s="13">
        <v>0</v>
      </c>
      <c r="AF100" s="13">
        <v>0</v>
      </c>
      <c r="AG100" s="13">
        <v>0</v>
      </c>
      <c r="AH100" s="13">
        <v>0</v>
      </c>
      <c r="AI100" s="13">
        <v>0</v>
      </c>
      <c r="AJ100" s="13">
        <v>0</v>
      </c>
      <c r="AK100" s="13">
        <v>0</v>
      </c>
      <c r="AL100" s="13">
        <v>0</v>
      </c>
      <c r="AM100" s="13">
        <v>0</v>
      </c>
      <c r="AN100" s="13">
        <v>0</v>
      </c>
      <c r="AO100" s="13">
        <v>0</v>
      </c>
      <c r="AP100" s="13">
        <v>0</v>
      </c>
      <c r="AQ100" s="13">
        <v>0</v>
      </c>
      <c r="AR100" s="13">
        <f t="shared" si="0"/>
        <v>0.5</v>
      </c>
      <c r="AS100" s="13">
        <f t="shared" si="0"/>
        <v>0.5</v>
      </c>
      <c r="AT100" s="13">
        <v>0</v>
      </c>
    </row>
    <row r="101" spans="2:46" x14ac:dyDescent="0.3">
      <c r="B101" s="28" t="s">
        <v>596</v>
      </c>
      <c r="C101" s="13">
        <v>1.25</v>
      </c>
      <c r="D101" s="13">
        <v>1.5</v>
      </c>
      <c r="E101" s="13">
        <v>1.25</v>
      </c>
      <c r="F101" s="13">
        <v>1.25</v>
      </c>
      <c r="G101" s="13">
        <v>1</v>
      </c>
      <c r="H101" s="13">
        <v>0</v>
      </c>
      <c r="I101" s="13">
        <v>0</v>
      </c>
      <c r="J101" s="13">
        <v>0</v>
      </c>
      <c r="K101" s="13">
        <v>0</v>
      </c>
      <c r="L101" s="13">
        <v>0</v>
      </c>
      <c r="M101" s="13">
        <v>0</v>
      </c>
      <c r="N101" s="13">
        <v>0</v>
      </c>
      <c r="O101" s="13">
        <v>0</v>
      </c>
      <c r="P101" s="13">
        <v>0</v>
      </c>
      <c r="Q101" s="13">
        <v>0</v>
      </c>
      <c r="R101" s="13">
        <v>0</v>
      </c>
      <c r="S101" s="13">
        <v>0</v>
      </c>
      <c r="T101" s="13">
        <v>0</v>
      </c>
      <c r="U101" s="13">
        <v>0</v>
      </c>
      <c r="V101" s="13">
        <v>0</v>
      </c>
      <c r="W101" s="13">
        <v>0</v>
      </c>
      <c r="X101" s="13">
        <v>0</v>
      </c>
      <c r="Y101" s="13">
        <v>1.75</v>
      </c>
      <c r="Z101" s="13">
        <v>1.75</v>
      </c>
      <c r="AA101" s="13">
        <v>1.75</v>
      </c>
      <c r="AB101" s="13">
        <v>1</v>
      </c>
      <c r="AC101" s="13">
        <v>1</v>
      </c>
      <c r="AD101" s="13">
        <v>1</v>
      </c>
      <c r="AE101" s="13">
        <v>0</v>
      </c>
      <c r="AF101" s="13">
        <v>0</v>
      </c>
      <c r="AG101" s="13">
        <v>0</v>
      </c>
      <c r="AH101" s="13">
        <v>0</v>
      </c>
      <c r="AI101" s="13">
        <v>0</v>
      </c>
      <c r="AJ101" s="13">
        <v>0</v>
      </c>
      <c r="AK101" s="13">
        <v>0</v>
      </c>
      <c r="AL101" s="13">
        <v>0</v>
      </c>
      <c r="AM101" s="13">
        <v>0</v>
      </c>
      <c r="AN101" s="13">
        <v>0</v>
      </c>
      <c r="AO101" s="13">
        <v>0</v>
      </c>
      <c r="AP101" s="13">
        <v>0</v>
      </c>
      <c r="AQ101" s="13">
        <v>0</v>
      </c>
      <c r="AR101" s="13">
        <f t="shared" si="0"/>
        <v>0.5</v>
      </c>
      <c r="AS101" s="13">
        <f t="shared" si="0"/>
        <v>0.5</v>
      </c>
      <c r="AT101" s="13">
        <v>0</v>
      </c>
    </row>
    <row r="102" spans="2:46" x14ac:dyDescent="0.3">
      <c r="B102" s="28" t="s">
        <v>597</v>
      </c>
      <c r="C102" s="13">
        <v>0.9</v>
      </c>
      <c r="D102" s="13">
        <v>0.65</v>
      </c>
      <c r="E102" s="13">
        <v>0.9</v>
      </c>
      <c r="F102" s="13">
        <v>0.9</v>
      </c>
      <c r="G102" s="13">
        <v>1</v>
      </c>
      <c r="H102" s="13">
        <v>1.75</v>
      </c>
      <c r="I102" s="13">
        <v>0</v>
      </c>
      <c r="J102" s="13">
        <v>0</v>
      </c>
      <c r="K102" s="13">
        <v>0</v>
      </c>
      <c r="L102" s="13">
        <v>0</v>
      </c>
      <c r="M102" s="13">
        <v>0</v>
      </c>
      <c r="N102" s="13">
        <v>0</v>
      </c>
      <c r="O102" s="13">
        <v>0</v>
      </c>
      <c r="P102" s="13">
        <v>0</v>
      </c>
      <c r="Q102" s="13">
        <v>0</v>
      </c>
      <c r="R102" s="13">
        <v>0</v>
      </c>
      <c r="S102" s="13">
        <v>0</v>
      </c>
      <c r="T102" s="13">
        <v>0</v>
      </c>
      <c r="U102" s="13">
        <v>0</v>
      </c>
      <c r="V102" s="13">
        <v>0</v>
      </c>
      <c r="W102" s="13">
        <v>0</v>
      </c>
      <c r="X102" s="13">
        <v>0</v>
      </c>
      <c r="Y102" s="13">
        <v>0</v>
      </c>
      <c r="Z102" s="13">
        <v>1.75</v>
      </c>
      <c r="AA102" s="13">
        <v>1.75</v>
      </c>
      <c r="AB102" s="13">
        <v>1</v>
      </c>
      <c r="AC102" s="13">
        <v>1</v>
      </c>
      <c r="AD102" s="13">
        <v>1</v>
      </c>
      <c r="AE102" s="13">
        <v>0</v>
      </c>
      <c r="AF102" s="13">
        <v>0</v>
      </c>
      <c r="AG102" s="13">
        <v>0</v>
      </c>
      <c r="AH102" s="13">
        <v>0</v>
      </c>
      <c r="AI102" s="13">
        <v>0</v>
      </c>
      <c r="AJ102" s="13">
        <v>0</v>
      </c>
      <c r="AK102" s="13">
        <v>0</v>
      </c>
      <c r="AL102" s="13">
        <v>0</v>
      </c>
      <c r="AM102" s="13">
        <v>0</v>
      </c>
      <c r="AN102" s="13">
        <v>0</v>
      </c>
      <c r="AO102" s="13">
        <v>0</v>
      </c>
      <c r="AP102" s="13">
        <v>0</v>
      </c>
      <c r="AQ102" s="13">
        <v>0</v>
      </c>
      <c r="AR102" s="13">
        <f t="shared" si="0"/>
        <v>0.5</v>
      </c>
      <c r="AS102" s="13">
        <f t="shared" si="0"/>
        <v>0.5</v>
      </c>
      <c r="AT102" s="13">
        <v>0</v>
      </c>
    </row>
    <row r="103" spans="2:46" x14ac:dyDescent="0.3">
      <c r="B103" s="28" t="s">
        <v>598</v>
      </c>
      <c r="C103" s="13">
        <v>0.9</v>
      </c>
      <c r="D103" s="13">
        <v>0.65</v>
      </c>
      <c r="E103" s="13">
        <v>0.9</v>
      </c>
      <c r="F103" s="13">
        <v>0.9</v>
      </c>
      <c r="G103" s="13">
        <v>1</v>
      </c>
      <c r="H103" s="13">
        <v>0</v>
      </c>
      <c r="I103" s="13">
        <v>1.75</v>
      </c>
      <c r="J103" s="13">
        <v>0</v>
      </c>
      <c r="K103" s="13">
        <v>0</v>
      </c>
      <c r="L103" s="13">
        <v>0</v>
      </c>
      <c r="M103" s="13">
        <v>0</v>
      </c>
      <c r="N103" s="13">
        <v>0</v>
      </c>
      <c r="O103" s="13">
        <v>0</v>
      </c>
      <c r="P103" s="13">
        <v>0</v>
      </c>
      <c r="Q103" s="13">
        <v>0</v>
      </c>
      <c r="R103" s="13">
        <v>0</v>
      </c>
      <c r="S103" s="13">
        <v>0</v>
      </c>
      <c r="T103" s="13">
        <v>0</v>
      </c>
      <c r="U103" s="13">
        <v>0</v>
      </c>
      <c r="V103" s="13">
        <v>0</v>
      </c>
      <c r="W103" s="13">
        <v>0</v>
      </c>
      <c r="X103" s="13">
        <v>0</v>
      </c>
      <c r="Y103" s="13">
        <v>0</v>
      </c>
      <c r="Z103" s="13">
        <v>1.75</v>
      </c>
      <c r="AA103" s="13">
        <v>1.75</v>
      </c>
      <c r="AB103" s="13">
        <v>1</v>
      </c>
      <c r="AC103" s="13">
        <v>1</v>
      </c>
      <c r="AD103" s="13">
        <v>1</v>
      </c>
      <c r="AE103" s="13">
        <v>0</v>
      </c>
      <c r="AF103" s="13">
        <v>0</v>
      </c>
      <c r="AG103" s="13">
        <v>0</v>
      </c>
      <c r="AH103" s="13">
        <v>0</v>
      </c>
      <c r="AI103" s="13">
        <v>0</v>
      </c>
      <c r="AJ103" s="13">
        <v>0</v>
      </c>
      <c r="AK103" s="13">
        <v>0</v>
      </c>
      <c r="AL103" s="13">
        <v>0</v>
      </c>
      <c r="AM103" s="13">
        <v>0</v>
      </c>
      <c r="AN103" s="13">
        <v>0</v>
      </c>
      <c r="AO103" s="13">
        <v>0</v>
      </c>
      <c r="AP103" s="13">
        <v>0</v>
      </c>
      <c r="AQ103" s="13">
        <v>0</v>
      </c>
      <c r="AR103" s="13">
        <f t="shared" si="0"/>
        <v>0.5</v>
      </c>
      <c r="AS103" s="13">
        <f t="shared" si="0"/>
        <v>0.5</v>
      </c>
      <c r="AT103" s="13">
        <v>0</v>
      </c>
    </row>
    <row r="104" spans="2:46" x14ac:dyDescent="0.3">
      <c r="B104" s="28" t="s">
        <v>599</v>
      </c>
      <c r="C104" s="13">
        <v>0.9</v>
      </c>
      <c r="D104" s="13">
        <v>0.65</v>
      </c>
      <c r="E104" s="13">
        <v>0.9</v>
      </c>
      <c r="F104" s="13">
        <v>0.9</v>
      </c>
      <c r="G104" s="13">
        <v>1</v>
      </c>
      <c r="H104" s="13">
        <v>0</v>
      </c>
      <c r="I104" s="13">
        <v>0</v>
      </c>
      <c r="J104" s="13">
        <v>1.75</v>
      </c>
      <c r="K104" s="13">
        <v>0</v>
      </c>
      <c r="L104" s="13">
        <v>0</v>
      </c>
      <c r="M104" s="13">
        <v>0</v>
      </c>
      <c r="N104" s="13">
        <v>0</v>
      </c>
      <c r="O104" s="13">
        <v>0</v>
      </c>
      <c r="P104" s="13">
        <v>0</v>
      </c>
      <c r="Q104" s="13">
        <v>0</v>
      </c>
      <c r="R104" s="13">
        <v>0</v>
      </c>
      <c r="S104" s="13">
        <v>0</v>
      </c>
      <c r="T104" s="13">
        <v>0</v>
      </c>
      <c r="U104" s="13">
        <v>0</v>
      </c>
      <c r="V104" s="13">
        <v>0</v>
      </c>
      <c r="W104" s="13">
        <v>0</v>
      </c>
      <c r="X104" s="13">
        <v>0</v>
      </c>
      <c r="Y104" s="13">
        <v>0</v>
      </c>
      <c r="Z104" s="13">
        <v>1.75</v>
      </c>
      <c r="AA104" s="13">
        <v>1.75</v>
      </c>
      <c r="AB104" s="13">
        <v>1</v>
      </c>
      <c r="AC104" s="13">
        <v>1</v>
      </c>
      <c r="AD104" s="13">
        <v>1</v>
      </c>
      <c r="AE104" s="13">
        <v>0</v>
      </c>
      <c r="AF104" s="13">
        <v>0</v>
      </c>
      <c r="AG104" s="13">
        <v>0</v>
      </c>
      <c r="AH104" s="13">
        <v>0</v>
      </c>
      <c r="AI104" s="13">
        <v>0</v>
      </c>
      <c r="AJ104" s="13">
        <v>0</v>
      </c>
      <c r="AK104" s="13">
        <v>0</v>
      </c>
      <c r="AL104" s="13">
        <v>0</v>
      </c>
      <c r="AM104" s="13">
        <v>0</v>
      </c>
      <c r="AN104" s="13">
        <v>0</v>
      </c>
      <c r="AO104" s="13">
        <v>0</v>
      </c>
      <c r="AP104" s="13">
        <v>0</v>
      </c>
      <c r="AQ104" s="13">
        <v>0</v>
      </c>
      <c r="AR104" s="13">
        <f t="shared" ref="AR104:AS121" si="1">IF(gcmode=1,0.5,1)</f>
        <v>0.5</v>
      </c>
      <c r="AS104" s="13">
        <f t="shared" si="1"/>
        <v>0.5</v>
      </c>
      <c r="AT104" s="13">
        <v>0</v>
      </c>
    </row>
    <row r="105" spans="2:46" x14ac:dyDescent="0.3">
      <c r="B105" s="28" t="s">
        <v>600</v>
      </c>
      <c r="C105" s="13">
        <v>0.9</v>
      </c>
      <c r="D105" s="13">
        <v>0.65</v>
      </c>
      <c r="E105" s="13">
        <v>0.9</v>
      </c>
      <c r="F105" s="13">
        <v>0.9</v>
      </c>
      <c r="G105" s="13">
        <v>1</v>
      </c>
      <c r="H105" s="13">
        <v>0</v>
      </c>
      <c r="I105" s="13">
        <v>0</v>
      </c>
      <c r="J105" s="13">
        <v>0</v>
      </c>
      <c r="K105" s="13">
        <v>1.75</v>
      </c>
      <c r="L105" s="13">
        <v>0</v>
      </c>
      <c r="M105" s="13">
        <v>0</v>
      </c>
      <c r="N105" s="13">
        <v>0</v>
      </c>
      <c r="O105" s="13">
        <v>0</v>
      </c>
      <c r="P105" s="13">
        <v>0</v>
      </c>
      <c r="Q105" s="13">
        <v>0</v>
      </c>
      <c r="R105" s="13">
        <v>0</v>
      </c>
      <c r="S105" s="13">
        <v>0</v>
      </c>
      <c r="T105" s="13">
        <v>0</v>
      </c>
      <c r="U105" s="13">
        <v>0</v>
      </c>
      <c r="V105" s="13">
        <v>0</v>
      </c>
      <c r="W105" s="13">
        <v>0</v>
      </c>
      <c r="X105" s="13">
        <v>0</v>
      </c>
      <c r="Y105" s="13">
        <v>0</v>
      </c>
      <c r="Z105" s="13">
        <v>1.75</v>
      </c>
      <c r="AA105" s="13">
        <v>1.75</v>
      </c>
      <c r="AB105" s="13">
        <v>1</v>
      </c>
      <c r="AC105" s="13">
        <v>1</v>
      </c>
      <c r="AD105" s="13">
        <v>1</v>
      </c>
      <c r="AE105" s="13">
        <v>0</v>
      </c>
      <c r="AF105" s="13">
        <v>0</v>
      </c>
      <c r="AG105" s="13">
        <v>0</v>
      </c>
      <c r="AH105" s="13">
        <v>0</v>
      </c>
      <c r="AI105" s="13">
        <v>0</v>
      </c>
      <c r="AJ105" s="13">
        <v>0</v>
      </c>
      <c r="AK105" s="13">
        <v>0</v>
      </c>
      <c r="AL105" s="13">
        <v>0</v>
      </c>
      <c r="AM105" s="13">
        <v>0</v>
      </c>
      <c r="AN105" s="13">
        <v>0</v>
      </c>
      <c r="AO105" s="13">
        <v>0</v>
      </c>
      <c r="AP105" s="13">
        <v>0</v>
      </c>
      <c r="AQ105" s="13">
        <v>0</v>
      </c>
      <c r="AR105" s="13">
        <f t="shared" si="1"/>
        <v>0.5</v>
      </c>
      <c r="AS105" s="13">
        <f t="shared" si="1"/>
        <v>0.5</v>
      </c>
      <c r="AT105" s="13">
        <v>0</v>
      </c>
    </row>
    <row r="106" spans="2:46" x14ac:dyDescent="0.3">
      <c r="B106" s="28" t="s">
        <v>601</v>
      </c>
      <c r="C106" s="13">
        <v>0.9</v>
      </c>
      <c r="D106" s="13">
        <v>0.65</v>
      </c>
      <c r="E106" s="13">
        <v>0.9</v>
      </c>
      <c r="F106" s="13">
        <v>0.9</v>
      </c>
      <c r="G106" s="13">
        <v>1</v>
      </c>
      <c r="H106" s="13">
        <v>0</v>
      </c>
      <c r="I106" s="13">
        <v>0</v>
      </c>
      <c r="J106" s="13">
        <v>0</v>
      </c>
      <c r="K106" s="13">
        <v>0</v>
      </c>
      <c r="L106" s="13">
        <v>1.75</v>
      </c>
      <c r="M106" s="13">
        <v>0</v>
      </c>
      <c r="N106" s="13">
        <v>0</v>
      </c>
      <c r="O106" s="13">
        <v>0</v>
      </c>
      <c r="P106" s="13">
        <v>0</v>
      </c>
      <c r="Q106" s="13">
        <v>0</v>
      </c>
      <c r="R106" s="13">
        <v>0</v>
      </c>
      <c r="S106" s="13">
        <v>0</v>
      </c>
      <c r="T106" s="13">
        <v>0</v>
      </c>
      <c r="U106" s="13">
        <v>0</v>
      </c>
      <c r="V106" s="13">
        <v>0</v>
      </c>
      <c r="W106" s="13">
        <v>0</v>
      </c>
      <c r="X106" s="13">
        <v>0</v>
      </c>
      <c r="Y106" s="13">
        <v>0</v>
      </c>
      <c r="Z106" s="13">
        <v>1.75</v>
      </c>
      <c r="AA106" s="13">
        <v>1.75</v>
      </c>
      <c r="AB106" s="13">
        <v>1</v>
      </c>
      <c r="AC106" s="13">
        <v>1</v>
      </c>
      <c r="AD106" s="13">
        <v>1</v>
      </c>
      <c r="AE106" s="13">
        <v>0</v>
      </c>
      <c r="AF106" s="13">
        <v>0</v>
      </c>
      <c r="AG106" s="13">
        <v>0</v>
      </c>
      <c r="AH106" s="13">
        <v>0</v>
      </c>
      <c r="AI106" s="13">
        <v>0</v>
      </c>
      <c r="AJ106" s="13">
        <v>0</v>
      </c>
      <c r="AK106" s="13">
        <v>0</v>
      </c>
      <c r="AL106" s="13">
        <v>0</v>
      </c>
      <c r="AM106" s="13">
        <v>0</v>
      </c>
      <c r="AN106" s="13">
        <v>0</v>
      </c>
      <c r="AO106" s="13">
        <v>0</v>
      </c>
      <c r="AP106" s="13">
        <v>0</v>
      </c>
      <c r="AQ106" s="13">
        <v>0</v>
      </c>
      <c r="AR106" s="13">
        <f t="shared" si="1"/>
        <v>0.5</v>
      </c>
      <c r="AS106" s="13">
        <f t="shared" si="1"/>
        <v>0.5</v>
      </c>
      <c r="AT106" s="13">
        <v>0</v>
      </c>
    </row>
    <row r="107" spans="2:46" x14ac:dyDescent="0.3">
      <c r="B107" s="28" t="s">
        <v>602</v>
      </c>
      <c r="C107" s="13">
        <v>0.9</v>
      </c>
      <c r="D107" s="13">
        <v>0.65</v>
      </c>
      <c r="E107" s="13">
        <v>0.9</v>
      </c>
      <c r="F107" s="13">
        <v>0.9</v>
      </c>
      <c r="G107" s="13">
        <v>1</v>
      </c>
      <c r="H107" s="13">
        <v>0</v>
      </c>
      <c r="I107" s="13">
        <v>0</v>
      </c>
      <c r="J107" s="13">
        <v>0</v>
      </c>
      <c r="K107" s="13">
        <v>0</v>
      </c>
      <c r="L107" s="13">
        <v>0</v>
      </c>
      <c r="M107" s="13">
        <v>1.75</v>
      </c>
      <c r="N107" s="13">
        <v>0</v>
      </c>
      <c r="O107" s="13">
        <v>0</v>
      </c>
      <c r="P107" s="13">
        <v>0</v>
      </c>
      <c r="Q107" s="13">
        <v>0</v>
      </c>
      <c r="R107" s="13">
        <v>0</v>
      </c>
      <c r="S107" s="13">
        <v>0</v>
      </c>
      <c r="T107" s="13">
        <v>0</v>
      </c>
      <c r="U107" s="13">
        <v>0</v>
      </c>
      <c r="V107" s="13">
        <v>0</v>
      </c>
      <c r="W107" s="13">
        <v>0</v>
      </c>
      <c r="X107" s="13">
        <v>0</v>
      </c>
      <c r="Y107" s="13">
        <v>0</v>
      </c>
      <c r="Z107" s="13">
        <v>1.75</v>
      </c>
      <c r="AA107" s="13">
        <v>1.75</v>
      </c>
      <c r="AB107" s="13">
        <v>1</v>
      </c>
      <c r="AC107" s="13">
        <v>1</v>
      </c>
      <c r="AD107" s="13">
        <v>1</v>
      </c>
      <c r="AE107" s="13">
        <v>0</v>
      </c>
      <c r="AF107" s="13">
        <v>0</v>
      </c>
      <c r="AG107" s="13">
        <v>0</v>
      </c>
      <c r="AH107" s="13">
        <v>0</v>
      </c>
      <c r="AI107" s="13">
        <v>0</v>
      </c>
      <c r="AJ107" s="13">
        <v>0</v>
      </c>
      <c r="AK107" s="13">
        <v>0</v>
      </c>
      <c r="AL107" s="13">
        <v>0</v>
      </c>
      <c r="AM107" s="13">
        <v>0</v>
      </c>
      <c r="AN107" s="13">
        <v>0</v>
      </c>
      <c r="AO107" s="13">
        <v>0</v>
      </c>
      <c r="AP107" s="13">
        <v>0</v>
      </c>
      <c r="AQ107" s="13">
        <v>0</v>
      </c>
      <c r="AR107" s="13">
        <f t="shared" si="1"/>
        <v>0.5</v>
      </c>
      <c r="AS107" s="13">
        <f t="shared" si="1"/>
        <v>0.5</v>
      </c>
      <c r="AT107" s="13">
        <v>0</v>
      </c>
    </row>
    <row r="108" spans="2:46" x14ac:dyDescent="0.3">
      <c r="B108" s="28" t="s">
        <v>603</v>
      </c>
      <c r="C108" s="13">
        <v>0.9</v>
      </c>
      <c r="D108" s="13">
        <v>0.65</v>
      </c>
      <c r="E108" s="13">
        <v>0.9</v>
      </c>
      <c r="F108" s="13">
        <v>0.9</v>
      </c>
      <c r="G108" s="13">
        <v>1</v>
      </c>
      <c r="H108" s="13">
        <v>0</v>
      </c>
      <c r="I108" s="13">
        <v>0</v>
      </c>
      <c r="J108" s="13">
        <v>0</v>
      </c>
      <c r="K108" s="13">
        <v>0</v>
      </c>
      <c r="L108" s="13">
        <v>0</v>
      </c>
      <c r="M108" s="13">
        <v>0</v>
      </c>
      <c r="N108" s="13">
        <v>0</v>
      </c>
      <c r="O108" s="13">
        <v>0</v>
      </c>
      <c r="P108" s="13">
        <v>0</v>
      </c>
      <c r="Q108" s="13">
        <v>0</v>
      </c>
      <c r="R108" s="13">
        <v>0</v>
      </c>
      <c r="S108" s="13">
        <v>0</v>
      </c>
      <c r="T108" s="13">
        <v>1.75</v>
      </c>
      <c r="U108" s="13">
        <v>0</v>
      </c>
      <c r="V108" s="13">
        <v>0</v>
      </c>
      <c r="W108" s="13">
        <v>0</v>
      </c>
      <c r="X108" s="13">
        <v>0</v>
      </c>
      <c r="Y108" s="13">
        <v>0</v>
      </c>
      <c r="Z108" s="13">
        <v>1.75</v>
      </c>
      <c r="AA108" s="13">
        <v>1.75</v>
      </c>
      <c r="AB108" s="13">
        <v>1</v>
      </c>
      <c r="AC108" s="13">
        <v>1</v>
      </c>
      <c r="AD108" s="13">
        <v>1</v>
      </c>
      <c r="AE108" s="13">
        <v>0</v>
      </c>
      <c r="AF108" s="13">
        <v>0</v>
      </c>
      <c r="AG108" s="13">
        <v>0</v>
      </c>
      <c r="AH108" s="13">
        <v>0</v>
      </c>
      <c r="AI108" s="13">
        <v>0</v>
      </c>
      <c r="AJ108" s="13">
        <v>0</v>
      </c>
      <c r="AK108" s="13">
        <v>0</v>
      </c>
      <c r="AL108" s="13">
        <v>0</v>
      </c>
      <c r="AM108" s="13">
        <v>0</v>
      </c>
      <c r="AN108" s="13">
        <v>0</v>
      </c>
      <c r="AO108" s="13">
        <v>0</v>
      </c>
      <c r="AP108" s="13">
        <v>0</v>
      </c>
      <c r="AQ108" s="13">
        <v>0</v>
      </c>
      <c r="AR108" s="13">
        <f t="shared" si="1"/>
        <v>0.5</v>
      </c>
      <c r="AS108" s="13">
        <f t="shared" si="1"/>
        <v>0.5</v>
      </c>
      <c r="AT108" s="13">
        <v>0</v>
      </c>
    </row>
    <row r="109" spans="2:46" x14ac:dyDescent="0.3">
      <c r="B109" s="28" t="s">
        <v>604</v>
      </c>
      <c r="C109" s="13">
        <v>0.9</v>
      </c>
      <c r="D109" s="13">
        <v>0.65</v>
      </c>
      <c r="E109" s="13">
        <v>0.9</v>
      </c>
      <c r="F109" s="13">
        <v>0.9</v>
      </c>
      <c r="G109" s="13">
        <v>1</v>
      </c>
      <c r="H109" s="13">
        <v>0</v>
      </c>
      <c r="I109" s="13">
        <v>0</v>
      </c>
      <c r="J109" s="13">
        <v>0</v>
      </c>
      <c r="K109" s="13">
        <v>0</v>
      </c>
      <c r="L109" s="13">
        <v>0</v>
      </c>
      <c r="M109" s="13">
        <v>0</v>
      </c>
      <c r="N109" s="13">
        <v>0</v>
      </c>
      <c r="O109" s="13">
        <v>0</v>
      </c>
      <c r="P109" s="13">
        <v>0</v>
      </c>
      <c r="Q109" s="13">
        <v>0</v>
      </c>
      <c r="R109" s="13">
        <v>0</v>
      </c>
      <c r="S109" s="13">
        <v>0</v>
      </c>
      <c r="T109" s="13">
        <v>0</v>
      </c>
      <c r="U109" s="13">
        <v>1.75</v>
      </c>
      <c r="V109" s="13">
        <v>0</v>
      </c>
      <c r="W109" s="13">
        <v>0</v>
      </c>
      <c r="X109" s="13">
        <v>0</v>
      </c>
      <c r="Y109" s="13">
        <v>0</v>
      </c>
      <c r="Z109" s="13">
        <v>1.75</v>
      </c>
      <c r="AA109" s="13">
        <v>1.75</v>
      </c>
      <c r="AB109" s="13">
        <v>1</v>
      </c>
      <c r="AC109" s="13">
        <v>1</v>
      </c>
      <c r="AD109" s="13">
        <v>1</v>
      </c>
      <c r="AE109" s="13">
        <v>0</v>
      </c>
      <c r="AF109" s="13">
        <v>0</v>
      </c>
      <c r="AG109" s="13">
        <v>0</v>
      </c>
      <c r="AH109" s="13">
        <v>0</v>
      </c>
      <c r="AI109" s="13">
        <v>0</v>
      </c>
      <c r="AJ109" s="13">
        <v>0</v>
      </c>
      <c r="AK109" s="13">
        <v>0</v>
      </c>
      <c r="AL109" s="13">
        <v>0</v>
      </c>
      <c r="AM109" s="13">
        <v>0</v>
      </c>
      <c r="AN109" s="13">
        <v>0</v>
      </c>
      <c r="AO109" s="13">
        <v>0</v>
      </c>
      <c r="AP109" s="13">
        <v>0</v>
      </c>
      <c r="AQ109" s="13">
        <v>0</v>
      </c>
      <c r="AR109" s="13">
        <f t="shared" si="1"/>
        <v>0.5</v>
      </c>
      <c r="AS109" s="13">
        <f t="shared" si="1"/>
        <v>0.5</v>
      </c>
      <c r="AT109" s="13">
        <v>0</v>
      </c>
    </row>
    <row r="110" spans="2:46" x14ac:dyDescent="0.3">
      <c r="B110" s="28" t="s">
        <v>605</v>
      </c>
      <c r="C110" s="13">
        <v>0.9</v>
      </c>
      <c r="D110" s="13">
        <v>0.65</v>
      </c>
      <c r="E110" s="13">
        <v>0.9</v>
      </c>
      <c r="F110" s="13">
        <v>0.9</v>
      </c>
      <c r="G110" s="13">
        <v>1</v>
      </c>
      <c r="H110" s="13">
        <v>0</v>
      </c>
      <c r="I110" s="13">
        <v>0</v>
      </c>
      <c r="J110" s="13">
        <v>0</v>
      </c>
      <c r="K110" s="13">
        <v>0</v>
      </c>
      <c r="L110" s="13">
        <v>0</v>
      </c>
      <c r="M110" s="13">
        <v>0</v>
      </c>
      <c r="N110" s="13">
        <v>0</v>
      </c>
      <c r="O110" s="13">
        <v>0</v>
      </c>
      <c r="P110" s="13">
        <v>0</v>
      </c>
      <c r="Q110" s="13">
        <v>0</v>
      </c>
      <c r="R110" s="13">
        <v>0</v>
      </c>
      <c r="S110" s="13">
        <v>0</v>
      </c>
      <c r="T110" s="13">
        <v>0</v>
      </c>
      <c r="U110" s="13">
        <v>0</v>
      </c>
      <c r="V110" s="13">
        <v>1.75</v>
      </c>
      <c r="W110" s="13">
        <v>0</v>
      </c>
      <c r="X110" s="13">
        <v>0</v>
      </c>
      <c r="Y110" s="13">
        <v>0</v>
      </c>
      <c r="Z110" s="13">
        <v>1.75</v>
      </c>
      <c r="AA110" s="13">
        <v>1.75</v>
      </c>
      <c r="AB110" s="13">
        <v>1</v>
      </c>
      <c r="AC110" s="13">
        <v>1</v>
      </c>
      <c r="AD110" s="13">
        <v>1</v>
      </c>
      <c r="AE110" s="13">
        <v>0</v>
      </c>
      <c r="AF110" s="13">
        <v>0</v>
      </c>
      <c r="AG110" s="13">
        <v>0</v>
      </c>
      <c r="AH110" s="13">
        <v>0</v>
      </c>
      <c r="AI110" s="13">
        <v>0</v>
      </c>
      <c r="AJ110" s="13">
        <v>0</v>
      </c>
      <c r="AK110" s="13">
        <v>0</v>
      </c>
      <c r="AL110" s="13">
        <v>0</v>
      </c>
      <c r="AM110" s="13">
        <v>0</v>
      </c>
      <c r="AN110" s="13">
        <v>0</v>
      </c>
      <c r="AO110" s="13">
        <v>0</v>
      </c>
      <c r="AP110" s="13">
        <v>0</v>
      </c>
      <c r="AQ110" s="13">
        <v>0</v>
      </c>
      <c r="AR110" s="13">
        <f t="shared" si="1"/>
        <v>0.5</v>
      </c>
      <c r="AS110" s="13">
        <f t="shared" si="1"/>
        <v>0.5</v>
      </c>
      <c r="AT110" s="13">
        <v>0</v>
      </c>
    </row>
    <row r="111" spans="2:46" x14ac:dyDescent="0.3">
      <c r="B111" s="28" t="s">
        <v>606</v>
      </c>
      <c r="C111" s="13">
        <v>0.9</v>
      </c>
      <c r="D111" s="13">
        <v>0.65</v>
      </c>
      <c r="E111" s="13">
        <v>0.9</v>
      </c>
      <c r="F111" s="13">
        <v>0.9</v>
      </c>
      <c r="G111" s="13">
        <v>1</v>
      </c>
      <c r="H111" s="13">
        <v>0</v>
      </c>
      <c r="I111" s="13">
        <v>0</v>
      </c>
      <c r="J111" s="13">
        <v>0</v>
      </c>
      <c r="K111" s="13">
        <v>0</v>
      </c>
      <c r="L111" s="13">
        <v>0</v>
      </c>
      <c r="M111" s="13">
        <v>0</v>
      </c>
      <c r="N111" s="13">
        <v>0</v>
      </c>
      <c r="O111" s="13">
        <v>0</v>
      </c>
      <c r="P111" s="13">
        <v>0</v>
      </c>
      <c r="Q111" s="13">
        <v>0</v>
      </c>
      <c r="R111" s="13">
        <v>0</v>
      </c>
      <c r="S111" s="13">
        <v>0</v>
      </c>
      <c r="T111" s="13">
        <v>0</v>
      </c>
      <c r="U111" s="13">
        <v>0</v>
      </c>
      <c r="V111" s="13">
        <v>0</v>
      </c>
      <c r="W111" s="13">
        <v>1.75</v>
      </c>
      <c r="X111" s="13">
        <v>0</v>
      </c>
      <c r="Y111" s="13">
        <v>0</v>
      </c>
      <c r="Z111" s="13">
        <v>1.75</v>
      </c>
      <c r="AA111" s="13">
        <v>1.75</v>
      </c>
      <c r="AB111" s="13">
        <v>1</v>
      </c>
      <c r="AC111" s="13">
        <v>1</v>
      </c>
      <c r="AD111" s="13">
        <v>1</v>
      </c>
      <c r="AE111" s="13">
        <v>0</v>
      </c>
      <c r="AF111" s="13">
        <v>0</v>
      </c>
      <c r="AG111" s="13">
        <v>0</v>
      </c>
      <c r="AH111" s="13">
        <v>0</v>
      </c>
      <c r="AI111" s="13">
        <v>0</v>
      </c>
      <c r="AJ111" s="13">
        <v>0</v>
      </c>
      <c r="AK111" s="13">
        <v>0</v>
      </c>
      <c r="AL111" s="13">
        <v>0</v>
      </c>
      <c r="AM111" s="13">
        <v>0</v>
      </c>
      <c r="AN111" s="13">
        <v>0</v>
      </c>
      <c r="AO111" s="13">
        <v>0</v>
      </c>
      <c r="AP111" s="13">
        <v>0</v>
      </c>
      <c r="AQ111" s="13">
        <v>0</v>
      </c>
      <c r="AR111" s="13">
        <f t="shared" si="1"/>
        <v>0.5</v>
      </c>
      <c r="AS111" s="13">
        <f t="shared" si="1"/>
        <v>0.5</v>
      </c>
      <c r="AT111" s="13">
        <v>0</v>
      </c>
    </row>
    <row r="112" spans="2:46" x14ac:dyDescent="0.3">
      <c r="B112" s="28" t="s">
        <v>607</v>
      </c>
      <c r="C112" s="13">
        <v>0.9</v>
      </c>
      <c r="D112" s="13">
        <v>0.65</v>
      </c>
      <c r="E112" s="13">
        <v>0.9</v>
      </c>
      <c r="F112" s="13">
        <v>0.9</v>
      </c>
      <c r="G112" s="13">
        <v>1</v>
      </c>
      <c r="H112" s="13">
        <v>0</v>
      </c>
      <c r="I112" s="13">
        <v>0</v>
      </c>
      <c r="J112" s="13">
        <v>0</v>
      </c>
      <c r="K112" s="13">
        <v>0</v>
      </c>
      <c r="L112" s="13">
        <v>0</v>
      </c>
      <c r="M112" s="13">
        <v>0</v>
      </c>
      <c r="N112" s="13">
        <v>0</v>
      </c>
      <c r="O112" s="13">
        <v>0</v>
      </c>
      <c r="P112" s="13">
        <v>0</v>
      </c>
      <c r="Q112" s="13">
        <v>0</v>
      </c>
      <c r="R112" s="13">
        <v>0</v>
      </c>
      <c r="S112" s="13">
        <v>0</v>
      </c>
      <c r="T112" s="13">
        <v>0</v>
      </c>
      <c r="U112" s="13">
        <v>0</v>
      </c>
      <c r="V112" s="13">
        <v>0</v>
      </c>
      <c r="W112" s="13">
        <v>0</v>
      </c>
      <c r="X112" s="13">
        <v>1.75</v>
      </c>
      <c r="Y112" s="13">
        <v>0</v>
      </c>
      <c r="Z112" s="13">
        <v>1.75</v>
      </c>
      <c r="AA112" s="13">
        <v>1.75</v>
      </c>
      <c r="AB112" s="13">
        <v>1</v>
      </c>
      <c r="AC112" s="13">
        <v>1</v>
      </c>
      <c r="AD112" s="13">
        <v>1</v>
      </c>
      <c r="AE112" s="13">
        <v>0</v>
      </c>
      <c r="AF112" s="13">
        <v>0</v>
      </c>
      <c r="AG112" s="13">
        <v>0</v>
      </c>
      <c r="AH112" s="13">
        <v>0</v>
      </c>
      <c r="AI112" s="13">
        <v>0</v>
      </c>
      <c r="AJ112" s="13">
        <v>0</v>
      </c>
      <c r="AK112" s="13">
        <v>0</v>
      </c>
      <c r="AL112" s="13">
        <v>0</v>
      </c>
      <c r="AM112" s="13">
        <v>0</v>
      </c>
      <c r="AN112" s="13">
        <v>0</v>
      </c>
      <c r="AO112" s="13">
        <v>0</v>
      </c>
      <c r="AP112" s="13">
        <v>0</v>
      </c>
      <c r="AQ112" s="13">
        <v>0</v>
      </c>
      <c r="AR112" s="13">
        <f t="shared" si="1"/>
        <v>0.5</v>
      </c>
      <c r="AS112" s="13">
        <f t="shared" si="1"/>
        <v>0.5</v>
      </c>
      <c r="AT112" s="13">
        <v>0</v>
      </c>
    </row>
    <row r="113" spans="2:46" x14ac:dyDescent="0.3">
      <c r="B113" s="28" t="s">
        <v>608</v>
      </c>
      <c r="C113" s="13">
        <v>0.9</v>
      </c>
      <c r="D113" s="13">
        <v>0.65</v>
      </c>
      <c r="E113" s="13">
        <v>0.9</v>
      </c>
      <c r="F113" s="13">
        <v>0.9</v>
      </c>
      <c r="G113" s="13">
        <v>1</v>
      </c>
      <c r="H113" s="13">
        <v>0</v>
      </c>
      <c r="I113" s="13">
        <v>0</v>
      </c>
      <c r="J113" s="13">
        <v>0</v>
      </c>
      <c r="K113" s="13">
        <v>0</v>
      </c>
      <c r="L113" s="13">
        <v>0</v>
      </c>
      <c r="M113" s="13">
        <v>0</v>
      </c>
      <c r="N113" s="13">
        <v>0</v>
      </c>
      <c r="O113" s="13">
        <v>0</v>
      </c>
      <c r="P113" s="13">
        <v>0</v>
      </c>
      <c r="Q113" s="13">
        <v>0</v>
      </c>
      <c r="R113" s="13">
        <v>0</v>
      </c>
      <c r="S113" s="13">
        <v>0</v>
      </c>
      <c r="T113" s="13">
        <v>0</v>
      </c>
      <c r="U113" s="13">
        <v>0</v>
      </c>
      <c r="V113" s="13">
        <v>0</v>
      </c>
      <c r="W113" s="13">
        <v>0</v>
      </c>
      <c r="X113" s="13">
        <v>0</v>
      </c>
      <c r="Y113" s="13">
        <v>1.75</v>
      </c>
      <c r="Z113" s="13">
        <v>1.75</v>
      </c>
      <c r="AA113" s="13">
        <v>1.75</v>
      </c>
      <c r="AB113" s="13">
        <v>1</v>
      </c>
      <c r="AC113" s="13">
        <v>1</v>
      </c>
      <c r="AD113" s="13">
        <v>1</v>
      </c>
      <c r="AE113" s="13">
        <v>0</v>
      </c>
      <c r="AF113" s="13">
        <v>0</v>
      </c>
      <c r="AG113" s="13">
        <v>0</v>
      </c>
      <c r="AH113" s="13">
        <v>0</v>
      </c>
      <c r="AI113" s="13">
        <v>0</v>
      </c>
      <c r="AJ113" s="13">
        <v>0</v>
      </c>
      <c r="AK113" s="13">
        <v>0</v>
      </c>
      <c r="AL113" s="13">
        <v>0</v>
      </c>
      <c r="AM113" s="13">
        <v>0</v>
      </c>
      <c r="AN113" s="13">
        <v>0</v>
      </c>
      <c r="AO113" s="13">
        <v>0</v>
      </c>
      <c r="AP113" s="13">
        <v>0</v>
      </c>
      <c r="AQ113" s="13">
        <v>0</v>
      </c>
      <c r="AR113" s="13">
        <f t="shared" si="1"/>
        <v>0.5</v>
      </c>
      <c r="AS113" s="13">
        <f t="shared" si="1"/>
        <v>0.5</v>
      </c>
      <c r="AT113" s="13">
        <v>0</v>
      </c>
    </row>
    <row r="114" spans="2:46" x14ac:dyDescent="0.3">
      <c r="B114" s="28" t="s">
        <v>609</v>
      </c>
      <c r="C114" s="13">
        <v>1.25</v>
      </c>
      <c r="D114" s="13">
        <v>1.5</v>
      </c>
      <c r="E114" s="13">
        <v>1.25</v>
      </c>
      <c r="F114" s="13">
        <v>1.25</v>
      </c>
      <c r="G114" s="13">
        <v>1</v>
      </c>
      <c r="H114" s="13">
        <v>0</v>
      </c>
      <c r="I114" s="13">
        <v>0</v>
      </c>
      <c r="J114" s="13">
        <v>0</v>
      </c>
      <c r="K114" s="13">
        <v>0</v>
      </c>
      <c r="L114" s="13">
        <v>0</v>
      </c>
      <c r="M114" s="13">
        <v>0</v>
      </c>
      <c r="N114" s="13">
        <v>0</v>
      </c>
      <c r="O114" s="13">
        <v>0</v>
      </c>
      <c r="P114" s="13">
        <v>0</v>
      </c>
      <c r="Q114" s="13">
        <v>0</v>
      </c>
      <c r="R114" s="13">
        <v>0</v>
      </c>
      <c r="S114" s="13">
        <v>0</v>
      </c>
      <c r="T114" s="13">
        <v>0</v>
      </c>
      <c r="U114" s="13">
        <v>0</v>
      </c>
      <c r="V114" s="13">
        <v>0</v>
      </c>
      <c r="W114" s="13">
        <v>0</v>
      </c>
      <c r="X114" s="13">
        <v>0</v>
      </c>
      <c r="Y114" s="13">
        <v>0</v>
      </c>
      <c r="Z114" s="13">
        <v>0</v>
      </c>
      <c r="AA114" s="13">
        <v>0</v>
      </c>
      <c r="AB114" s="13">
        <v>1</v>
      </c>
      <c r="AC114" s="13">
        <v>1</v>
      </c>
      <c r="AD114" s="13">
        <v>1</v>
      </c>
      <c r="AE114" s="13">
        <v>1.4</v>
      </c>
      <c r="AF114" s="13">
        <v>1.4</v>
      </c>
      <c r="AG114" s="13">
        <v>0</v>
      </c>
      <c r="AH114" s="13">
        <v>0</v>
      </c>
      <c r="AI114" s="13">
        <v>-1.4</v>
      </c>
      <c r="AJ114" s="13">
        <v>0</v>
      </c>
      <c r="AK114" s="13">
        <v>0</v>
      </c>
      <c r="AL114" s="13">
        <v>0</v>
      </c>
      <c r="AM114" s="13">
        <v>0</v>
      </c>
      <c r="AN114" s="13">
        <v>0</v>
      </c>
      <c r="AO114" s="13">
        <v>0</v>
      </c>
      <c r="AP114" s="13">
        <v>0</v>
      </c>
      <c r="AQ114" s="13">
        <v>0</v>
      </c>
      <c r="AR114" s="13">
        <f t="shared" si="1"/>
        <v>0.5</v>
      </c>
      <c r="AS114" s="13">
        <f t="shared" si="1"/>
        <v>0.5</v>
      </c>
      <c r="AT114" s="13">
        <v>0</v>
      </c>
    </row>
    <row r="115" spans="2:46" x14ac:dyDescent="0.3">
      <c r="B115" s="28" t="s">
        <v>610</v>
      </c>
      <c r="C115" s="13">
        <v>0.9</v>
      </c>
      <c r="D115" s="13">
        <v>0.65</v>
      </c>
      <c r="E115" s="13">
        <v>0.9</v>
      </c>
      <c r="F115" s="13">
        <v>0.9</v>
      </c>
      <c r="G115" s="13">
        <v>1</v>
      </c>
      <c r="H115" s="13">
        <v>0</v>
      </c>
      <c r="I115" s="13">
        <v>0</v>
      </c>
      <c r="J115" s="13">
        <v>0</v>
      </c>
      <c r="K115" s="13">
        <v>0</v>
      </c>
      <c r="L115" s="13">
        <v>0</v>
      </c>
      <c r="M115" s="13">
        <v>0</v>
      </c>
      <c r="N115" s="13">
        <v>0</v>
      </c>
      <c r="O115" s="13">
        <v>0</v>
      </c>
      <c r="P115" s="13">
        <v>0</v>
      </c>
      <c r="Q115" s="13">
        <v>0</v>
      </c>
      <c r="R115" s="13">
        <v>0</v>
      </c>
      <c r="S115" s="13">
        <v>0</v>
      </c>
      <c r="T115" s="13">
        <v>0</v>
      </c>
      <c r="U115" s="13">
        <v>0</v>
      </c>
      <c r="V115" s="13">
        <v>0</v>
      </c>
      <c r="W115" s="13">
        <v>0</v>
      </c>
      <c r="X115" s="13">
        <v>0</v>
      </c>
      <c r="Y115" s="13">
        <v>0</v>
      </c>
      <c r="Z115" s="13">
        <v>0</v>
      </c>
      <c r="AA115" s="13">
        <v>0</v>
      </c>
      <c r="AB115" s="13">
        <v>1</v>
      </c>
      <c r="AC115" s="13">
        <v>1</v>
      </c>
      <c r="AD115" s="13">
        <v>1</v>
      </c>
      <c r="AE115" s="13">
        <v>1.4</v>
      </c>
      <c r="AF115" s="13">
        <v>1.4</v>
      </c>
      <c r="AG115" s="13">
        <v>0</v>
      </c>
      <c r="AH115" s="13">
        <v>0</v>
      </c>
      <c r="AI115" s="13">
        <v>-1.4</v>
      </c>
      <c r="AJ115" s="13">
        <v>0</v>
      </c>
      <c r="AK115" s="13">
        <v>0</v>
      </c>
      <c r="AL115" s="13">
        <v>0</v>
      </c>
      <c r="AM115" s="13">
        <v>0</v>
      </c>
      <c r="AN115" s="13">
        <v>0</v>
      </c>
      <c r="AO115" s="13">
        <v>0</v>
      </c>
      <c r="AP115" s="13">
        <v>0</v>
      </c>
      <c r="AQ115" s="13">
        <v>0</v>
      </c>
      <c r="AR115" s="13">
        <f t="shared" si="1"/>
        <v>0.5</v>
      </c>
      <c r="AS115" s="13">
        <f t="shared" si="1"/>
        <v>0.5</v>
      </c>
      <c r="AT115" s="13">
        <v>0</v>
      </c>
    </row>
    <row r="116" spans="2:46" x14ac:dyDescent="0.3">
      <c r="B116" s="28" t="s">
        <v>611</v>
      </c>
      <c r="C116" s="13">
        <v>1.25</v>
      </c>
      <c r="D116" s="13">
        <v>1.5</v>
      </c>
      <c r="E116" s="13">
        <v>1.25</v>
      </c>
      <c r="F116" s="13">
        <v>1.25</v>
      </c>
      <c r="G116" s="13">
        <v>1</v>
      </c>
      <c r="H116" s="13">
        <v>1.35</v>
      </c>
      <c r="I116" s="13">
        <v>0</v>
      </c>
      <c r="J116" s="13">
        <v>0</v>
      </c>
      <c r="K116" s="13">
        <v>0</v>
      </c>
      <c r="L116" s="13">
        <v>0</v>
      </c>
      <c r="M116" s="13">
        <v>0</v>
      </c>
      <c r="N116" s="13">
        <v>0</v>
      </c>
      <c r="O116" s="13">
        <v>0</v>
      </c>
      <c r="P116" s="13">
        <v>0</v>
      </c>
      <c r="Q116" s="13">
        <v>0</v>
      </c>
      <c r="R116" s="13">
        <v>0</v>
      </c>
      <c r="S116" s="13">
        <v>0</v>
      </c>
      <c r="T116" s="13">
        <v>0</v>
      </c>
      <c r="U116" s="13">
        <v>0</v>
      </c>
      <c r="V116" s="13">
        <v>0</v>
      </c>
      <c r="W116" s="13">
        <v>0</v>
      </c>
      <c r="X116" s="13">
        <v>0</v>
      </c>
      <c r="Y116" s="13">
        <v>0</v>
      </c>
      <c r="Z116" s="13">
        <v>1.35</v>
      </c>
      <c r="AA116" s="13">
        <v>1.35</v>
      </c>
      <c r="AB116" s="13">
        <v>1</v>
      </c>
      <c r="AC116" s="13">
        <v>1</v>
      </c>
      <c r="AD116" s="13">
        <v>1</v>
      </c>
      <c r="AE116" s="13">
        <v>0</v>
      </c>
      <c r="AF116" s="13">
        <v>0</v>
      </c>
      <c r="AG116" s="13">
        <v>0.4</v>
      </c>
      <c r="AH116" s="13">
        <v>0.4</v>
      </c>
      <c r="AI116" s="13">
        <v>0</v>
      </c>
      <c r="AJ116" s="13">
        <v>1</v>
      </c>
      <c r="AK116" s="13">
        <v>1</v>
      </c>
      <c r="AL116" s="13">
        <v>0</v>
      </c>
      <c r="AM116" s="13">
        <v>0</v>
      </c>
      <c r="AN116" s="13">
        <v>0</v>
      </c>
      <c r="AO116" s="13">
        <v>0</v>
      </c>
      <c r="AP116" s="13">
        <v>0</v>
      </c>
      <c r="AQ116" s="13">
        <v>0</v>
      </c>
      <c r="AR116" s="13">
        <f t="shared" si="1"/>
        <v>0.5</v>
      </c>
      <c r="AS116" s="13">
        <f t="shared" si="1"/>
        <v>0.5</v>
      </c>
      <c r="AT116" s="13">
        <v>0</v>
      </c>
    </row>
    <row r="117" spans="2:46" x14ac:dyDescent="0.3">
      <c r="B117" s="28" t="s">
        <v>612</v>
      </c>
      <c r="C117" s="13">
        <v>1.25</v>
      </c>
      <c r="D117" s="13">
        <v>1.5</v>
      </c>
      <c r="E117" s="13">
        <v>1.25</v>
      </c>
      <c r="F117" s="13">
        <v>1.25</v>
      </c>
      <c r="G117" s="13">
        <v>1</v>
      </c>
      <c r="H117" s="13">
        <v>0</v>
      </c>
      <c r="I117" s="13">
        <v>1.35</v>
      </c>
      <c r="J117" s="13">
        <v>0</v>
      </c>
      <c r="K117" s="13">
        <v>0</v>
      </c>
      <c r="L117" s="13">
        <v>0</v>
      </c>
      <c r="M117" s="13">
        <v>0</v>
      </c>
      <c r="N117" s="13">
        <v>0</v>
      </c>
      <c r="O117" s="13">
        <v>0</v>
      </c>
      <c r="P117" s="13">
        <v>0</v>
      </c>
      <c r="Q117" s="13">
        <v>0</v>
      </c>
      <c r="R117" s="13">
        <v>0</v>
      </c>
      <c r="S117" s="13">
        <v>0</v>
      </c>
      <c r="T117" s="13">
        <v>0</v>
      </c>
      <c r="U117" s="13">
        <v>0</v>
      </c>
      <c r="V117" s="13">
        <v>0</v>
      </c>
      <c r="W117" s="13">
        <v>0</v>
      </c>
      <c r="X117" s="13">
        <v>0</v>
      </c>
      <c r="Y117" s="13">
        <v>0</v>
      </c>
      <c r="Z117" s="13">
        <v>1.35</v>
      </c>
      <c r="AA117" s="13">
        <v>1.35</v>
      </c>
      <c r="AB117" s="13">
        <v>1</v>
      </c>
      <c r="AC117" s="13">
        <v>1</v>
      </c>
      <c r="AD117" s="13">
        <v>1</v>
      </c>
      <c r="AE117" s="13">
        <v>0</v>
      </c>
      <c r="AF117" s="13">
        <v>0</v>
      </c>
      <c r="AG117" s="13">
        <v>0.4</v>
      </c>
      <c r="AH117" s="13">
        <v>0.4</v>
      </c>
      <c r="AI117" s="13">
        <v>0</v>
      </c>
      <c r="AJ117" s="13">
        <v>1</v>
      </c>
      <c r="AK117" s="13">
        <v>1</v>
      </c>
      <c r="AL117" s="13">
        <v>0</v>
      </c>
      <c r="AM117" s="13">
        <v>0</v>
      </c>
      <c r="AN117" s="13">
        <v>0</v>
      </c>
      <c r="AO117" s="13">
        <v>0</v>
      </c>
      <c r="AP117" s="13">
        <v>0</v>
      </c>
      <c r="AQ117" s="13">
        <v>0</v>
      </c>
      <c r="AR117" s="13">
        <f t="shared" si="1"/>
        <v>0.5</v>
      </c>
      <c r="AS117" s="13">
        <f t="shared" si="1"/>
        <v>0.5</v>
      </c>
      <c r="AT117" s="13">
        <v>0</v>
      </c>
    </row>
    <row r="118" spans="2:46" x14ac:dyDescent="0.3">
      <c r="B118" s="28" t="s">
        <v>613</v>
      </c>
      <c r="C118" s="13">
        <v>1.25</v>
      </c>
      <c r="D118" s="13">
        <v>1.5</v>
      </c>
      <c r="E118" s="13">
        <v>1.25</v>
      </c>
      <c r="F118" s="13">
        <v>1.25</v>
      </c>
      <c r="G118" s="13">
        <v>1</v>
      </c>
      <c r="H118" s="13">
        <v>0</v>
      </c>
      <c r="I118" s="13">
        <v>0</v>
      </c>
      <c r="J118" s="13">
        <v>1.35</v>
      </c>
      <c r="K118" s="13">
        <v>0</v>
      </c>
      <c r="L118" s="13">
        <v>0</v>
      </c>
      <c r="M118" s="13">
        <v>0</v>
      </c>
      <c r="N118" s="13">
        <v>0</v>
      </c>
      <c r="O118" s="13">
        <v>0</v>
      </c>
      <c r="P118" s="13">
        <v>0</v>
      </c>
      <c r="Q118" s="13">
        <v>0</v>
      </c>
      <c r="R118" s="13">
        <v>0</v>
      </c>
      <c r="S118" s="13">
        <v>0</v>
      </c>
      <c r="T118" s="13">
        <v>0</v>
      </c>
      <c r="U118" s="13">
        <v>0</v>
      </c>
      <c r="V118" s="13">
        <v>0</v>
      </c>
      <c r="W118" s="13">
        <v>0</v>
      </c>
      <c r="X118" s="13">
        <v>0</v>
      </c>
      <c r="Y118" s="13">
        <v>0</v>
      </c>
      <c r="Z118" s="13">
        <v>1.35</v>
      </c>
      <c r="AA118" s="13">
        <v>1.35</v>
      </c>
      <c r="AB118" s="13">
        <v>1</v>
      </c>
      <c r="AC118" s="13">
        <v>1</v>
      </c>
      <c r="AD118" s="13">
        <v>1</v>
      </c>
      <c r="AE118" s="13">
        <v>0</v>
      </c>
      <c r="AF118" s="13">
        <v>0</v>
      </c>
      <c r="AG118" s="13">
        <v>0.4</v>
      </c>
      <c r="AH118" s="13">
        <v>0.4</v>
      </c>
      <c r="AI118" s="13">
        <v>0</v>
      </c>
      <c r="AJ118" s="13">
        <v>1</v>
      </c>
      <c r="AK118" s="13">
        <v>1</v>
      </c>
      <c r="AL118" s="13">
        <v>0</v>
      </c>
      <c r="AM118" s="13">
        <v>0</v>
      </c>
      <c r="AN118" s="13">
        <v>0</v>
      </c>
      <c r="AO118" s="13">
        <v>0</v>
      </c>
      <c r="AP118" s="13">
        <v>0</v>
      </c>
      <c r="AQ118" s="13">
        <v>0</v>
      </c>
      <c r="AR118" s="13">
        <f t="shared" si="1"/>
        <v>0.5</v>
      </c>
      <c r="AS118" s="13">
        <f t="shared" si="1"/>
        <v>0.5</v>
      </c>
      <c r="AT118" s="13">
        <v>0</v>
      </c>
    </row>
    <row r="119" spans="2:46" x14ac:dyDescent="0.3">
      <c r="B119" s="28" t="s">
        <v>614</v>
      </c>
      <c r="C119" s="13">
        <v>1.25</v>
      </c>
      <c r="D119" s="13">
        <v>1.5</v>
      </c>
      <c r="E119" s="13">
        <v>1.25</v>
      </c>
      <c r="F119" s="13">
        <v>1.25</v>
      </c>
      <c r="G119" s="13">
        <v>1</v>
      </c>
      <c r="H119" s="13">
        <v>0</v>
      </c>
      <c r="I119" s="13">
        <v>0</v>
      </c>
      <c r="J119" s="13">
        <v>0</v>
      </c>
      <c r="K119" s="13">
        <v>1.35</v>
      </c>
      <c r="L119" s="13">
        <v>0</v>
      </c>
      <c r="M119" s="13">
        <v>0</v>
      </c>
      <c r="N119" s="13">
        <v>0</v>
      </c>
      <c r="O119" s="13">
        <v>0</v>
      </c>
      <c r="P119" s="13">
        <v>0</v>
      </c>
      <c r="Q119" s="13">
        <v>0</v>
      </c>
      <c r="R119" s="13">
        <v>0</v>
      </c>
      <c r="S119" s="13">
        <v>0</v>
      </c>
      <c r="T119" s="13">
        <v>0</v>
      </c>
      <c r="U119" s="13">
        <v>0</v>
      </c>
      <c r="V119" s="13">
        <v>0</v>
      </c>
      <c r="W119" s="13">
        <v>0</v>
      </c>
      <c r="X119" s="13">
        <v>0</v>
      </c>
      <c r="Y119" s="13">
        <v>0</v>
      </c>
      <c r="Z119" s="13">
        <v>1.35</v>
      </c>
      <c r="AA119" s="13">
        <v>1.35</v>
      </c>
      <c r="AB119" s="13">
        <v>1</v>
      </c>
      <c r="AC119" s="13">
        <v>1</v>
      </c>
      <c r="AD119" s="13">
        <v>1</v>
      </c>
      <c r="AE119" s="13">
        <v>0</v>
      </c>
      <c r="AF119" s="13">
        <v>0</v>
      </c>
      <c r="AG119" s="13">
        <v>0.4</v>
      </c>
      <c r="AH119" s="13">
        <v>0.4</v>
      </c>
      <c r="AI119" s="13">
        <v>0</v>
      </c>
      <c r="AJ119" s="13">
        <v>1</v>
      </c>
      <c r="AK119" s="13">
        <v>1</v>
      </c>
      <c r="AL119" s="13">
        <v>0</v>
      </c>
      <c r="AM119" s="13">
        <v>0</v>
      </c>
      <c r="AN119" s="13">
        <v>0</v>
      </c>
      <c r="AO119" s="13">
        <v>0</v>
      </c>
      <c r="AP119" s="13">
        <v>0</v>
      </c>
      <c r="AQ119" s="13">
        <v>0</v>
      </c>
      <c r="AR119" s="13">
        <f t="shared" si="1"/>
        <v>0.5</v>
      </c>
      <c r="AS119" s="13">
        <f t="shared" si="1"/>
        <v>0.5</v>
      </c>
      <c r="AT119" s="13">
        <v>0</v>
      </c>
    </row>
    <row r="120" spans="2:46" x14ac:dyDescent="0.3">
      <c r="B120" s="28" t="s">
        <v>615</v>
      </c>
      <c r="C120" s="13">
        <v>1.25</v>
      </c>
      <c r="D120" s="13">
        <v>1.5</v>
      </c>
      <c r="E120" s="13">
        <v>1.25</v>
      </c>
      <c r="F120" s="13">
        <v>1.25</v>
      </c>
      <c r="G120" s="13">
        <v>1</v>
      </c>
      <c r="H120" s="13">
        <v>0</v>
      </c>
      <c r="I120" s="13">
        <v>0</v>
      </c>
      <c r="J120" s="13">
        <v>0</v>
      </c>
      <c r="K120" s="13">
        <v>0</v>
      </c>
      <c r="L120" s="13">
        <v>1.35</v>
      </c>
      <c r="M120" s="13">
        <v>0</v>
      </c>
      <c r="N120" s="13">
        <v>0</v>
      </c>
      <c r="O120" s="13">
        <v>0</v>
      </c>
      <c r="P120" s="13">
        <v>0</v>
      </c>
      <c r="Q120" s="13">
        <v>0</v>
      </c>
      <c r="R120" s="13">
        <v>0</v>
      </c>
      <c r="S120" s="13">
        <v>0</v>
      </c>
      <c r="T120" s="13">
        <v>0</v>
      </c>
      <c r="U120" s="13">
        <v>0</v>
      </c>
      <c r="V120" s="13">
        <v>0</v>
      </c>
      <c r="W120" s="13">
        <v>0</v>
      </c>
      <c r="X120" s="13">
        <v>0</v>
      </c>
      <c r="Y120" s="13">
        <v>0</v>
      </c>
      <c r="Z120" s="13">
        <v>1.35</v>
      </c>
      <c r="AA120" s="13">
        <v>1.35</v>
      </c>
      <c r="AB120" s="13">
        <v>1</v>
      </c>
      <c r="AC120" s="13">
        <v>1</v>
      </c>
      <c r="AD120" s="13">
        <v>1</v>
      </c>
      <c r="AE120" s="13">
        <v>0</v>
      </c>
      <c r="AF120" s="13">
        <v>0</v>
      </c>
      <c r="AG120" s="13">
        <v>0.4</v>
      </c>
      <c r="AH120" s="13">
        <v>0.4</v>
      </c>
      <c r="AI120" s="13">
        <v>0</v>
      </c>
      <c r="AJ120" s="13">
        <v>1</v>
      </c>
      <c r="AK120" s="13">
        <v>1</v>
      </c>
      <c r="AL120" s="13">
        <v>0</v>
      </c>
      <c r="AM120" s="13">
        <v>0</v>
      </c>
      <c r="AN120" s="13">
        <v>0</v>
      </c>
      <c r="AO120" s="13">
        <v>0</v>
      </c>
      <c r="AP120" s="13">
        <v>0</v>
      </c>
      <c r="AQ120" s="13">
        <v>0</v>
      </c>
      <c r="AR120" s="13">
        <f t="shared" si="1"/>
        <v>0.5</v>
      </c>
      <c r="AS120" s="13">
        <f t="shared" si="1"/>
        <v>0.5</v>
      </c>
      <c r="AT120" s="13">
        <v>0</v>
      </c>
    </row>
    <row r="121" spans="2:46" x14ac:dyDescent="0.3">
      <c r="B121" s="28" t="s">
        <v>616</v>
      </c>
      <c r="C121" s="13">
        <v>1.25</v>
      </c>
      <c r="D121" s="13">
        <v>1.5</v>
      </c>
      <c r="E121" s="13">
        <v>1.25</v>
      </c>
      <c r="F121" s="13">
        <v>1.25</v>
      </c>
      <c r="G121" s="13">
        <v>1</v>
      </c>
      <c r="H121" s="13">
        <v>0</v>
      </c>
      <c r="I121" s="13">
        <v>0</v>
      </c>
      <c r="J121" s="13">
        <v>0</v>
      </c>
      <c r="K121" s="13">
        <v>0</v>
      </c>
      <c r="L121" s="13">
        <v>0</v>
      </c>
      <c r="M121" s="13">
        <v>1.35</v>
      </c>
      <c r="N121" s="13">
        <v>0</v>
      </c>
      <c r="O121" s="13">
        <v>0</v>
      </c>
      <c r="P121" s="13">
        <v>0</v>
      </c>
      <c r="Q121" s="13">
        <v>0</v>
      </c>
      <c r="R121" s="13">
        <v>0</v>
      </c>
      <c r="S121" s="13">
        <v>0</v>
      </c>
      <c r="T121" s="13">
        <v>0</v>
      </c>
      <c r="U121" s="13">
        <v>0</v>
      </c>
      <c r="V121" s="13">
        <v>0</v>
      </c>
      <c r="W121" s="13">
        <v>0</v>
      </c>
      <c r="X121" s="13">
        <v>0</v>
      </c>
      <c r="Y121" s="13">
        <v>0</v>
      </c>
      <c r="Z121" s="13">
        <v>1.35</v>
      </c>
      <c r="AA121" s="13">
        <v>1.35</v>
      </c>
      <c r="AB121" s="13">
        <v>1</v>
      </c>
      <c r="AC121" s="13">
        <v>1</v>
      </c>
      <c r="AD121" s="13">
        <v>1</v>
      </c>
      <c r="AE121" s="13">
        <v>0</v>
      </c>
      <c r="AF121" s="13">
        <v>0</v>
      </c>
      <c r="AG121" s="13">
        <v>0.4</v>
      </c>
      <c r="AH121" s="13">
        <v>0.4</v>
      </c>
      <c r="AI121" s="13">
        <v>0</v>
      </c>
      <c r="AJ121" s="13">
        <v>1</v>
      </c>
      <c r="AK121" s="13">
        <v>1</v>
      </c>
      <c r="AL121" s="13">
        <v>0</v>
      </c>
      <c r="AM121" s="13">
        <v>0</v>
      </c>
      <c r="AN121" s="13">
        <v>0</v>
      </c>
      <c r="AO121" s="13">
        <v>0</v>
      </c>
      <c r="AP121" s="13">
        <v>0</v>
      </c>
      <c r="AQ121" s="13">
        <v>0</v>
      </c>
      <c r="AR121" s="13">
        <f t="shared" si="1"/>
        <v>0.5</v>
      </c>
      <c r="AS121" s="13">
        <f t="shared" si="1"/>
        <v>0.5</v>
      </c>
      <c r="AT121" s="13">
        <v>0</v>
      </c>
    </row>
    <row r="122" spans="2:46" x14ac:dyDescent="0.3">
      <c r="B122" s="28" t="s">
        <v>617</v>
      </c>
      <c r="C122" s="13">
        <v>1</v>
      </c>
      <c r="D122" s="13">
        <v>1</v>
      </c>
      <c r="E122" s="13">
        <v>1</v>
      </c>
      <c r="F122" s="13">
        <v>1</v>
      </c>
      <c r="G122" s="13">
        <v>1</v>
      </c>
      <c r="H122" s="13">
        <v>0</v>
      </c>
      <c r="I122" s="13">
        <v>0</v>
      </c>
      <c r="J122" s="13">
        <v>0</v>
      </c>
      <c r="K122" s="13">
        <v>0</v>
      </c>
      <c r="L122" s="13">
        <v>0</v>
      </c>
      <c r="M122" s="13">
        <v>0</v>
      </c>
      <c r="N122" s="13">
        <v>0</v>
      </c>
      <c r="O122" s="13">
        <v>0</v>
      </c>
      <c r="P122" s="13">
        <v>0</v>
      </c>
      <c r="Q122" s="13">
        <v>0</v>
      </c>
      <c r="R122" s="13">
        <v>0</v>
      </c>
      <c r="S122" s="13">
        <v>0</v>
      </c>
      <c r="T122" s="13">
        <v>0</v>
      </c>
      <c r="U122" s="13">
        <v>0</v>
      </c>
      <c r="V122" s="13">
        <v>0</v>
      </c>
      <c r="W122" s="13">
        <v>0</v>
      </c>
      <c r="X122" s="13">
        <v>0</v>
      </c>
      <c r="Y122" s="13">
        <v>0</v>
      </c>
      <c r="Z122" s="13">
        <v>0.5</v>
      </c>
      <c r="AA122" s="13">
        <v>0.5</v>
      </c>
      <c r="AB122" s="13">
        <v>1</v>
      </c>
      <c r="AC122" s="13">
        <v>1</v>
      </c>
      <c r="AD122" s="13">
        <v>1</v>
      </c>
      <c r="AE122" s="13">
        <v>0</v>
      </c>
      <c r="AF122" s="13">
        <v>0</v>
      </c>
      <c r="AG122" s="13">
        <v>0</v>
      </c>
      <c r="AH122" s="13">
        <v>0</v>
      </c>
      <c r="AI122" s="13">
        <v>0</v>
      </c>
      <c r="AJ122" s="13">
        <v>0</v>
      </c>
      <c r="AK122" s="13">
        <v>0</v>
      </c>
      <c r="AL122" s="13">
        <v>1</v>
      </c>
      <c r="AM122" s="13">
        <v>0.3</v>
      </c>
      <c r="AN122" s="13">
        <v>0</v>
      </c>
      <c r="AO122" s="13">
        <v>0</v>
      </c>
      <c r="AP122" s="13">
        <v>0</v>
      </c>
      <c r="AQ122" s="13">
        <v>0</v>
      </c>
      <c r="AR122" s="13">
        <v>0</v>
      </c>
      <c r="AS122" s="13">
        <v>0</v>
      </c>
      <c r="AT122" s="13">
        <v>0.5</v>
      </c>
    </row>
    <row r="123" spans="2:46" x14ac:dyDescent="0.3">
      <c r="B123" s="28" t="s">
        <v>618</v>
      </c>
      <c r="C123" s="13">
        <v>1</v>
      </c>
      <c r="D123" s="13">
        <v>1</v>
      </c>
      <c r="E123" s="13">
        <v>1</v>
      </c>
      <c r="F123" s="13">
        <v>1</v>
      </c>
      <c r="G123" s="13">
        <v>1</v>
      </c>
      <c r="H123" s="13">
        <v>0</v>
      </c>
      <c r="I123" s="13">
        <v>0</v>
      </c>
      <c r="J123" s="13">
        <v>0</v>
      </c>
      <c r="K123" s="13">
        <v>0</v>
      </c>
      <c r="L123" s="13">
        <v>0</v>
      </c>
      <c r="M123" s="13">
        <v>0</v>
      </c>
      <c r="N123" s="13">
        <v>0</v>
      </c>
      <c r="O123" s="13">
        <v>0</v>
      </c>
      <c r="P123" s="13">
        <v>0</v>
      </c>
      <c r="Q123" s="13">
        <v>0</v>
      </c>
      <c r="R123" s="13">
        <v>0</v>
      </c>
      <c r="S123" s="13">
        <v>0</v>
      </c>
      <c r="T123" s="13">
        <v>0</v>
      </c>
      <c r="U123" s="13">
        <v>0</v>
      </c>
      <c r="V123" s="13">
        <v>0</v>
      </c>
      <c r="W123" s="13">
        <v>0</v>
      </c>
      <c r="X123" s="13">
        <v>0</v>
      </c>
      <c r="Y123" s="13">
        <v>0</v>
      </c>
      <c r="Z123" s="13">
        <v>0.5</v>
      </c>
      <c r="AA123" s="13">
        <v>0.5</v>
      </c>
      <c r="AB123" s="13">
        <v>1</v>
      </c>
      <c r="AC123" s="13">
        <v>1</v>
      </c>
      <c r="AD123" s="13">
        <v>1</v>
      </c>
      <c r="AE123" s="13">
        <v>0</v>
      </c>
      <c r="AF123" s="13">
        <v>0</v>
      </c>
      <c r="AG123" s="13">
        <v>0</v>
      </c>
      <c r="AH123" s="13">
        <v>0</v>
      </c>
      <c r="AI123" s="13">
        <v>0</v>
      </c>
      <c r="AJ123" s="13">
        <v>0</v>
      </c>
      <c r="AK123" s="13">
        <v>0</v>
      </c>
      <c r="AL123" s="13">
        <v>0.3</v>
      </c>
      <c r="AM123" s="13">
        <v>1</v>
      </c>
      <c r="AN123" s="13">
        <v>0</v>
      </c>
      <c r="AO123" s="13">
        <v>0</v>
      </c>
      <c r="AP123" s="13">
        <v>0</v>
      </c>
      <c r="AQ123" s="13">
        <v>0</v>
      </c>
      <c r="AR123" s="13">
        <v>0</v>
      </c>
      <c r="AS123" s="13">
        <v>0</v>
      </c>
      <c r="AT123" s="13">
        <v>0.5</v>
      </c>
    </row>
    <row r="124" spans="2:46" x14ac:dyDescent="0.3">
      <c r="B124" s="28" t="s">
        <v>619</v>
      </c>
      <c r="C124" s="13">
        <v>1.25</v>
      </c>
      <c r="D124" s="13">
        <v>1.5</v>
      </c>
      <c r="E124" s="13">
        <v>1.25</v>
      </c>
      <c r="F124" s="13">
        <v>1.25</v>
      </c>
      <c r="G124" s="13">
        <v>1</v>
      </c>
      <c r="H124" s="13">
        <v>0</v>
      </c>
      <c r="I124" s="13">
        <v>0</v>
      </c>
      <c r="J124" s="13">
        <v>0</v>
      </c>
      <c r="K124" s="13">
        <v>0</v>
      </c>
      <c r="L124" s="13">
        <v>0</v>
      </c>
      <c r="M124" s="13">
        <v>0</v>
      </c>
      <c r="N124" s="13">
        <v>0</v>
      </c>
      <c r="O124" s="13">
        <v>0</v>
      </c>
      <c r="P124" s="13">
        <v>0</v>
      </c>
      <c r="Q124" s="13">
        <v>0</v>
      </c>
      <c r="R124" s="13">
        <v>0</v>
      </c>
      <c r="S124" s="13">
        <v>0</v>
      </c>
      <c r="T124" s="13">
        <v>0</v>
      </c>
      <c r="U124" s="13">
        <v>0</v>
      </c>
      <c r="V124" s="13">
        <v>0</v>
      </c>
      <c r="W124" s="13">
        <v>0</v>
      </c>
      <c r="X124" s="13">
        <v>0</v>
      </c>
      <c r="Y124" s="13">
        <v>0</v>
      </c>
      <c r="Z124" s="13">
        <v>0</v>
      </c>
      <c r="AA124" s="13">
        <v>0</v>
      </c>
      <c r="AB124" s="13">
        <v>1</v>
      </c>
      <c r="AC124" s="13">
        <v>1</v>
      </c>
      <c r="AD124" s="13">
        <v>1</v>
      </c>
      <c r="AE124" s="13">
        <v>0</v>
      </c>
      <c r="AF124" s="13">
        <v>0</v>
      </c>
      <c r="AG124" s="13">
        <v>0</v>
      </c>
      <c r="AH124" s="13">
        <v>0</v>
      </c>
      <c r="AI124" s="13">
        <v>0</v>
      </c>
      <c r="AJ124" s="13">
        <v>0</v>
      </c>
      <c r="AK124" s="13">
        <v>0</v>
      </c>
      <c r="AL124" s="13">
        <v>0</v>
      </c>
      <c r="AM124" s="13">
        <v>0</v>
      </c>
      <c r="AN124" s="13">
        <v>1</v>
      </c>
      <c r="AO124" s="13">
        <v>0</v>
      </c>
      <c r="AP124" s="13">
        <v>0</v>
      </c>
      <c r="AQ124" s="13">
        <v>0</v>
      </c>
      <c r="AR124" s="13">
        <v>0</v>
      </c>
      <c r="AS124" s="13">
        <v>0</v>
      </c>
      <c r="AT124" s="13">
        <v>0.5</v>
      </c>
    </row>
    <row r="125" spans="2:46" x14ac:dyDescent="0.3">
      <c r="B125" s="28" t="s">
        <v>620</v>
      </c>
      <c r="C125" s="13">
        <v>1.25</v>
      </c>
      <c r="D125" s="13">
        <v>1.5</v>
      </c>
      <c r="E125" s="13">
        <v>1.25</v>
      </c>
      <c r="F125" s="13">
        <v>1.25</v>
      </c>
      <c r="G125" s="13">
        <v>1</v>
      </c>
      <c r="H125" s="13">
        <v>0</v>
      </c>
      <c r="I125" s="13">
        <v>0</v>
      </c>
      <c r="J125" s="13">
        <v>0</v>
      </c>
      <c r="K125" s="13">
        <v>0</v>
      </c>
      <c r="L125" s="13">
        <v>0</v>
      </c>
      <c r="M125" s="13">
        <v>0</v>
      </c>
      <c r="N125" s="13">
        <v>0</v>
      </c>
      <c r="O125" s="13">
        <v>0</v>
      </c>
      <c r="P125" s="13">
        <v>0</v>
      </c>
      <c r="Q125" s="13">
        <v>0</v>
      </c>
      <c r="R125" s="13">
        <v>0</v>
      </c>
      <c r="S125" s="13">
        <v>0</v>
      </c>
      <c r="T125" s="13">
        <v>0</v>
      </c>
      <c r="U125" s="13">
        <v>0</v>
      </c>
      <c r="V125" s="13">
        <v>0</v>
      </c>
      <c r="W125" s="13">
        <v>0</v>
      </c>
      <c r="X125" s="13">
        <v>0</v>
      </c>
      <c r="Y125" s="13">
        <v>0</v>
      </c>
      <c r="Z125" s="13">
        <v>0</v>
      </c>
      <c r="AA125" s="13">
        <v>0</v>
      </c>
      <c r="AB125" s="13">
        <v>1</v>
      </c>
      <c r="AC125" s="13">
        <v>1</v>
      </c>
      <c r="AD125" s="13">
        <v>1</v>
      </c>
      <c r="AE125" s="13">
        <v>0</v>
      </c>
      <c r="AF125" s="13">
        <v>0</v>
      </c>
      <c r="AG125" s="13">
        <v>0</v>
      </c>
      <c r="AH125" s="13">
        <v>0</v>
      </c>
      <c r="AI125" s="13">
        <v>0</v>
      </c>
      <c r="AJ125" s="13">
        <v>0</v>
      </c>
      <c r="AK125" s="13">
        <v>0</v>
      </c>
      <c r="AL125" s="13">
        <v>0</v>
      </c>
      <c r="AM125" s="13">
        <v>0</v>
      </c>
      <c r="AN125" s="13">
        <v>0</v>
      </c>
      <c r="AO125" s="13">
        <v>1</v>
      </c>
      <c r="AP125" s="13">
        <v>0</v>
      </c>
      <c r="AQ125" s="13">
        <v>0</v>
      </c>
      <c r="AR125" s="13">
        <v>0</v>
      </c>
      <c r="AS125" s="13">
        <v>0</v>
      </c>
      <c r="AT125" s="13">
        <v>0.5</v>
      </c>
    </row>
    <row r="126" spans="2:46" x14ac:dyDescent="0.3">
      <c r="B126" s="28" t="s">
        <v>621</v>
      </c>
      <c r="C126" s="13">
        <v>1.25</v>
      </c>
      <c r="D126" s="13">
        <v>1.5</v>
      </c>
      <c r="E126" s="13">
        <v>1.25</v>
      </c>
      <c r="F126" s="13">
        <v>1.25</v>
      </c>
      <c r="G126" s="13">
        <v>1</v>
      </c>
      <c r="H126" s="13">
        <v>0</v>
      </c>
      <c r="I126" s="13">
        <v>0</v>
      </c>
      <c r="J126" s="13">
        <v>0</v>
      </c>
      <c r="K126" s="13">
        <v>0</v>
      </c>
      <c r="L126" s="13">
        <v>0</v>
      </c>
      <c r="M126" s="13">
        <v>0</v>
      </c>
      <c r="N126" s="13">
        <v>0</v>
      </c>
      <c r="O126" s="13">
        <v>0</v>
      </c>
      <c r="P126" s="13">
        <v>0</v>
      </c>
      <c r="Q126" s="13">
        <v>0</v>
      </c>
      <c r="R126" s="13">
        <v>0</v>
      </c>
      <c r="S126" s="13">
        <v>0</v>
      </c>
      <c r="T126" s="13">
        <v>0</v>
      </c>
      <c r="U126" s="13">
        <v>0</v>
      </c>
      <c r="V126" s="13">
        <v>0</v>
      </c>
      <c r="W126" s="13">
        <v>0</v>
      </c>
      <c r="X126" s="13">
        <v>0</v>
      </c>
      <c r="Y126" s="13">
        <v>0</v>
      </c>
      <c r="Z126" s="13">
        <v>0</v>
      </c>
      <c r="AA126" s="13">
        <v>0</v>
      </c>
      <c r="AB126" s="13">
        <v>1</v>
      </c>
      <c r="AC126" s="13">
        <v>1</v>
      </c>
      <c r="AD126" s="13">
        <v>1</v>
      </c>
      <c r="AE126" s="13">
        <v>0</v>
      </c>
      <c r="AF126" s="13">
        <v>0</v>
      </c>
      <c r="AG126" s="13">
        <v>0</v>
      </c>
      <c r="AH126" s="13">
        <v>0</v>
      </c>
      <c r="AI126" s="13">
        <v>0</v>
      </c>
      <c r="AJ126" s="13">
        <v>0</v>
      </c>
      <c r="AK126" s="13">
        <v>0</v>
      </c>
      <c r="AL126" s="13">
        <v>0</v>
      </c>
      <c r="AM126" s="13">
        <v>0</v>
      </c>
      <c r="AN126" s="13">
        <v>0</v>
      </c>
      <c r="AO126" s="13">
        <v>0</v>
      </c>
      <c r="AP126" s="13">
        <v>1</v>
      </c>
      <c r="AQ126" s="13">
        <v>0</v>
      </c>
      <c r="AR126" s="13">
        <v>0</v>
      </c>
      <c r="AS126" s="13">
        <v>0</v>
      </c>
      <c r="AT126" s="13">
        <v>0.5</v>
      </c>
    </row>
    <row r="127" spans="2:46" x14ac:dyDescent="0.3">
      <c r="B127" s="28" t="s">
        <v>622</v>
      </c>
      <c r="C127" s="13">
        <v>1.25</v>
      </c>
      <c r="D127" s="13">
        <v>1.5</v>
      </c>
      <c r="E127" s="13">
        <v>1.25</v>
      </c>
      <c r="F127" s="13">
        <v>1.25</v>
      </c>
      <c r="G127" s="13">
        <v>1</v>
      </c>
      <c r="H127" s="13">
        <v>0</v>
      </c>
      <c r="I127" s="13">
        <v>0</v>
      </c>
      <c r="J127" s="13">
        <v>0</v>
      </c>
      <c r="K127" s="13">
        <v>0</v>
      </c>
      <c r="L127" s="13">
        <v>0</v>
      </c>
      <c r="M127" s="13">
        <v>0</v>
      </c>
      <c r="N127" s="13">
        <v>0</v>
      </c>
      <c r="O127" s="13">
        <v>0</v>
      </c>
      <c r="P127" s="13">
        <v>0</v>
      </c>
      <c r="Q127" s="13">
        <v>0</v>
      </c>
      <c r="R127" s="13">
        <v>0</v>
      </c>
      <c r="S127" s="13">
        <v>0</v>
      </c>
      <c r="T127" s="13">
        <v>0</v>
      </c>
      <c r="U127" s="13">
        <v>0</v>
      </c>
      <c r="V127" s="13">
        <v>0</v>
      </c>
      <c r="W127" s="13">
        <v>0</v>
      </c>
      <c r="X127" s="13">
        <v>0</v>
      </c>
      <c r="Y127" s="13">
        <v>0</v>
      </c>
      <c r="Z127" s="13">
        <v>0</v>
      </c>
      <c r="AA127" s="13">
        <v>0</v>
      </c>
      <c r="AB127" s="13">
        <v>1</v>
      </c>
      <c r="AC127" s="13">
        <v>1</v>
      </c>
      <c r="AD127" s="13">
        <v>1</v>
      </c>
      <c r="AE127" s="13">
        <v>0</v>
      </c>
      <c r="AF127" s="13">
        <v>0</v>
      </c>
      <c r="AG127" s="13">
        <v>0</v>
      </c>
      <c r="AH127" s="13">
        <v>0</v>
      </c>
      <c r="AI127" s="13">
        <v>0</v>
      </c>
      <c r="AJ127" s="13">
        <v>0</v>
      </c>
      <c r="AK127" s="13">
        <v>0</v>
      </c>
      <c r="AL127" s="13">
        <v>0</v>
      </c>
      <c r="AM127" s="13">
        <v>0</v>
      </c>
      <c r="AN127" s="13">
        <v>0</v>
      </c>
      <c r="AO127" s="13">
        <v>0</v>
      </c>
      <c r="AP127" s="13">
        <v>0</v>
      </c>
      <c r="AQ127" s="13">
        <v>1</v>
      </c>
      <c r="AR127" s="13">
        <v>0</v>
      </c>
      <c r="AS127" s="13">
        <v>0</v>
      </c>
      <c r="AT127" s="13">
        <v>0.5</v>
      </c>
    </row>
    <row r="128" spans="2:46" x14ac:dyDescent="0.3">
      <c r="B128" s="12" t="s">
        <v>623</v>
      </c>
    </row>
    <row r="129" spans="2:14" x14ac:dyDescent="0.3">
      <c r="B129" s="5" t="s">
        <v>1457</v>
      </c>
    </row>
    <row r="130" spans="2:14" x14ac:dyDescent="0.3">
      <c r="B130" s="18" t="s">
        <v>560</v>
      </c>
      <c r="C130" s="18" t="s">
        <v>503</v>
      </c>
      <c r="D130" s="18" t="s">
        <v>504</v>
      </c>
      <c r="E130" s="18" t="s">
        <v>505</v>
      </c>
      <c r="F130" s="18" t="s">
        <v>506</v>
      </c>
      <c r="G130" s="18" t="s">
        <v>507</v>
      </c>
      <c r="H130" s="18" t="s">
        <v>508</v>
      </c>
      <c r="I130" s="18" t="s">
        <v>509</v>
      </c>
      <c r="J130" s="18" t="s">
        <v>510</v>
      </c>
      <c r="K130" s="18" t="s">
        <v>511</v>
      </c>
      <c r="L130" s="18" t="s">
        <v>512</v>
      </c>
    </row>
    <row r="131" spans="2:14" x14ac:dyDescent="0.3">
      <c r="B131" s="19" t="str">
        <f t="shared" ref="B131:B162" si="2">IF($N131=0,"",INDEX($B$66:$B$127,$N131))</f>
        <v>SD I - 2 nhịp lệch tâm 1 làn</v>
      </c>
      <c r="C131" s="23">
        <f>IF(OR($N131=0,COUNT('TO HOP GOI DAU'!$L$5:$L$8)=0),0,INDEX('TO HOP GOI DAU'!$H$5:$H$8,MATCH(MAX('TO HOP GOI DAU'!$L$5:$L$8),'TO HOP GOI DAU'!$L$5:$L$8,0)))</f>
        <v>3611.4273926220267</v>
      </c>
      <c r="D131" s="23">
        <f t="shared" ref="D131:D162" si="3">IF($N131=0,0,SUMPRODUCT(INDEX($C$66:$AT$127,$N131,0),$C$54:$AT$54))</f>
        <v>165.63581000000002</v>
      </c>
      <c r="E131" s="23">
        <f t="shared" ref="E131:E162" si="4">IF($N131=0,0,SUMPRODUCT(INDEX($C$66:$AT$127,$N131,0),$C$55:$AT$55))</f>
        <v>23463.377945589622</v>
      </c>
      <c r="F131" s="23">
        <f t="shared" ref="F131:F162" si="5">IF($N131=0,0,SUMPRODUCT(INDEX($C$66:$AT$127,$N131,0),$C$56:$AT$56))</f>
        <v>13320.539495650002</v>
      </c>
      <c r="G131" s="23">
        <f>IF(OR($N131=0,COUNT('TO HOP GOI DAU'!$M$5:$M$8)=0),0,INDEX('TO HOP GOI DAU'!$I$5:$I$8,MATCH(MAX('TO HOP GOI DAU'!$M$5:$M$8),'TO HOP GOI DAU'!$M$5:$M$8,0)))</f>
        <v>44919.487419648496</v>
      </c>
      <c r="H131" s="23">
        <f>IF(OR($N131=0,COUNT('TO HOP GOI DAU'!$N$5:$N$8)=0),0,INDEX('TO HOP GOI DAU'!$J$5:$J$8,MATCH(MAX('TO HOP GOI DAU'!$N$5:$N$8),'TO HOP GOI DAU'!$N$5:$N$8,0)))</f>
        <v>3611.4273926220267</v>
      </c>
      <c r="I131" s="23">
        <f t="shared" ref="I131:I162" si="6">IF($N131=0,0,SUMPRODUCT(INDEX($C$66:$AT$127,$N131,0),$C$59:$AT$59))</f>
        <v>165.63581000000002</v>
      </c>
      <c r="J131" s="23">
        <f t="shared" ref="J131:J162" si="7">IF($N131=0,0,SUMPRODUCT(INDEX($C$66:$AT$127,$N131,0),$C$60:$AT$60))</f>
        <v>20111.77794558962</v>
      </c>
      <c r="K131" s="23">
        <f t="shared" ref="K131:K162" si="8">IF($N131=0,0,SUMPRODUCT(INDEX($C$66:$AT$127,$N131,0),$C$61:$AT$61))</f>
        <v>12989.267875650001</v>
      </c>
      <c r="L131" s="23">
        <f>IF(OR($N131=0,COUNT('TO HOP GOI DAU'!$O$5:$O$8)=0),0,INDEX('TO HOP GOI DAU'!$K$5:$K$8,MATCH(MAX('TO HOP GOI DAU'!$O$5:$O$8),'TO HOP GOI DAU'!$O$5:$O$8,0)))</f>
        <v>37696.632634404443</v>
      </c>
      <c r="N131" s="14">
        <v>1</v>
      </c>
    </row>
    <row r="132" spans="2:14" x14ac:dyDescent="0.3">
      <c r="B132" s="19" t="str">
        <f t="shared" si="2"/>
        <v>SD I - 2 nhịp lệch tâm 2 làn</v>
      </c>
      <c r="C132" s="23">
        <f>IF(OR($N132=0,COUNT('TO HOP GOI DAU'!$L$9:$L$12)=0),0,INDEX('TO HOP GOI DAU'!$H$9:$H$12,MATCH(MAX('TO HOP GOI DAU'!$L$9:$L$12),'TO HOP GOI DAU'!$L$9:$L$12,0)))</f>
        <v>3611.4273926220267</v>
      </c>
      <c r="D132" s="23">
        <f t="shared" si="3"/>
        <v>165.63581000000002</v>
      </c>
      <c r="E132" s="23">
        <f t="shared" si="4"/>
        <v>24228.800441589625</v>
      </c>
      <c r="F132" s="23">
        <f t="shared" si="5"/>
        <v>18008.752283649999</v>
      </c>
      <c r="G132" s="23">
        <f>IF(OR($N132=0,COUNT('TO HOP GOI DAU'!$M$9:$M$12)=0),0,INDEX('TO HOP GOI DAU'!$I$9:$I$12,MATCH(MAX('TO HOP GOI DAU'!$M$9:$M$12),'TO HOP GOI DAU'!$M$9:$M$12,0)))</f>
        <v>44919.487419648496</v>
      </c>
      <c r="H132" s="23">
        <f>IF(OR($N132=0,COUNT('TO HOP GOI DAU'!$N$9:$N$12)=0),0,INDEX('TO HOP GOI DAU'!$J$9:$J$12,MATCH(MAX('TO HOP GOI DAU'!$N$9:$N$12),'TO HOP GOI DAU'!$N$9:$N$12,0)))</f>
        <v>3611.4273926220267</v>
      </c>
      <c r="I132" s="23">
        <f t="shared" si="6"/>
        <v>165.63581000000002</v>
      </c>
      <c r="J132" s="23">
        <f t="shared" si="7"/>
        <v>20877.200441589623</v>
      </c>
      <c r="K132" s="23">
        <f t="shared" si="8"/>
        <v>17677.480663650003</v>
      </c>
      <c r="L132" s="23">
        <f>IF(OR($N132=0,COUNT('TO HOP GOI DAU'!$O$9:$O$12)=0),0,INDEX('TO HOP GOI DAU'!$K$9:$K$12,MATCH(MAX('TO HOP GOI DAU'!$O$9:$O$12),'TO HOP GOI DAU'!$O$9:$O$12,0)))</f>
        <v>37696.632634404443</v>
      </c>
      <c r="N132" s="14">
        <v>2</v>
      </c>
    </row>
    <row r="133" spans="2:14" x14ac:dyDescent="0.3">
      <c r="B133" s="19" t="str">
        <f t="shared" si="2"/>
        <v>SD I - 2 nhịp lệch tâm 3 làn</v>
      </c>
      <c r="C133" s="23">
        <f>IF(OR($N133=0,COUNT('TO HOP GOI DAU'!$L$13:$L$16)=0),0,INDEX('TO HOP GOI DAU'!$H$13:$H$16,MATCH(MAX('TO HOP GOI DAU'!$L$13:$L$16),'TO HOP GOI DAU'!$L$13:$L$16,0)))</f>
        <v>3611.4273926220267</v>
      </c>
      <c r="D133" s="23">
        <f t="shared" si="3"/>
        <v>165.63581000000002</v>
      </c>
      <c r="E133" s="23">
        <f t="shared" si="4"/>
        <v>24755.028407589623</v>
      </c>
      <c r="F133" s="23">
        <f t="shared" si="5"/>
        <v>18756.235189899999</v>
      </c>
      <c r="G133" s="23">
        <f>IF(OR($N133=0,COUNT('TO HOP GOI DAU'!$M$13:$M$16)=0),0,INDEX('TO HOP GOI DAU'!$I$13:$I$16,MATCH(MAX('TO HOP GOI DAU'!$M$13:$M$16),'TO HOP GOI DAU'!$M$13:$M$16,0)))</f>
        <v>44919.487419648496</v>
      </c>
      <c r="H133" s="23">
        <f>IF(OR($N133=0,COUNT('TO HOP GOI DAU'!$N$13:$N$16)=0),0,INDEX('TO HOP GOI DAU'!$J$13:$J$16,MATCH(MAX('TO HOP GOI DAU'!$N$13:$N$16),'TO HOP GOI DAU'!$N$13:$N$16,0)))</f>
        <v>3611.4273926220267</v>
      </c>
      <c r="I133" s="23">
        <f t="shared" si="6"/>
        <v>165.63581000000002</v>
      </c>
      <c r="J133" s="23">
        <f t="shared" si="7"/>
        <v>21403.428407589621</v>
      </c>
      <c r="K133" s="23">
        <f t="shared" si="8"/>
        <v>18424.963569900003</v>
      </c>
      <c r="L133" s="23">
        <f>IF(OR($N133=0,COUNT('TO HOP GOI DAU'!$O$13:$O$16)=0),0,INDEX('TO HOP GOI DAU'!$K$13:$K$16,MATCH(MAX('TO HOP GOI DAU'!$O$13:$O$16),'TO HOP GOI DAU'!$O$13:$O$16,0)))</f>
        <v>37696.632634404443</v>
      </c>
      <c r="N133" s="14">
        <v>3</v>
      </c>
    </row>
    <row r="134" spans="2:14" x14ac:dyDescent="0.3">
      <c r="B134" s="19" t="str">
        <f t="shared" si="2"/>
        <v>SD I - 2 nhịp lệch tâm 4 làn</v>
      </c>
      <c r="C134" s="23">
        <f>IF(OR($N134=0,COUNT('TO HOP GOI DAU'!$L$17:$L$20)=0),0,INDEX('TO HOP GOI DAU'!$H$17:$H$20,MATCH(MAX('TO HOP GOI DAU'!$L$17:$L$20),'TO HOP GOI DAU'!$L$17:$L$20,0)))</f>
        <v>3611.4273926220267</v>
      </c>
      <c r="D134" s="23">
        <f t="shared" si="3"/>
        <v>165.63581000000002</v>
      </c>
      <c r="E134" s="23">
        <f t="shared" si="4"/>
        <v>24802.867313589624</v>
      </c>
      <c r="F134" s="23">
        <f t="shared" si="5"/>
        <v>15353.693000650001</v>
      </c>
      <c r="G134" s="23">
        <f>IF(OR($N134=0,COUNT('TO HOP GOI DAU'!$M$17:$M$20)=0),0,INDEX('TO HOP GOI DAU'!$I$17:$I$20,MATCH(MAX('TO HOP GOI DAU'!$M$17:$M$20),'TO HOP GOI DAU'!$M$17:$M$20,0)))</f>
        <v>44919.487419648496</v>
      </c>
      <c r="H134" s="23">
        <f>IF(OR($N134=0,COUNT('TO HOP GOI DAU'!$N$17:$N$20)=0),0,INDEX('TO HOP GOI DAU'!$J$17:$J$20,MATCH(MAX('TO HOP GOI DAU'!$N$17:$N$20),'TO HOP GOI DAU'!$N$17:$N$20,0)))</f>
        <v>3611.4273926220267</v>
      </c>
      <c r="I134" s="23">
        <f t="shared" si="6"/>
        <v>165.63581000000002</v>
      </c>
      <c r="J134" s="23">
        <f t="shared" si="7"/>
        <v>21451.267313589622</v>
      </c>
      <c r="K134" s="23">
        <f t="shared" si="8"/>
        <v>15022.421380650001</v>
      </c>
      <c r="L134" s="23">
        <f>IF(OR($N134=0,COUNT('TO HOP GOI DAU'!$O$17:$O$20)=0),0,INDEX('TO HOP GOI DAU'!$K$17:$K$20,MATCH(MAX('TO HOP GOI DAU'!$O$17:$O$20),'TO HOP GOI DAU'!$O$17:$O$20,0)))</f>
        <v>37696.632634404443</v>
      </c>
      <c r="N134" s="14">
        <v>4</v>
      </c>
    </row>
    <row r="135" spans="2:14" x14ac:dyDescent="0.3">
      <c r="B135" s="19" t="str">
        <f t="shared" si="2"/>
        <v>SD I - 2 nhịp lệch tâm 5 làn</v>
      </c>
      <c r="C135" s="23">
        <f>IF(OR($N135=0,COUNT('TO HOP GOI DAU'!$L$21:$L$24)=0),0,INDEX('TO HOP GOI DAU'!$H$21:$H$24,MATCH(MAX('TO HOP GOI DAU'!$L$21:$L$24),'TO HOP GOI DAU'!$L$21:$L$24,0)))</f>
        <v>3611.4273926220267</v>
      </c>
      <c r="D135" s="23">
        <f t="shared" si="3"/>
        <v>165.63581000000002</v>
      </c>
      <c r="E135" s="23">
        <f t="shared" si="4"/>
        <v>25424.773091589625</v>
      </c>
      <c r="F135" s="23">
        <f t="shared" si="5"/>
        <v>14032.143222400002</v>
      </c>
      <c r="G135" s="23">
        <f>IF(OR($N135=0,COUNT('TO HOP GOI DAU'!$M$21:$M$24)=0),0,INDEX('TO HOP GOI DAU'!$I$21:$I$24,MATCH(MAX('TO HOP GOI DAU'!$M$21:$M$24),'TO HOP GOI DAU'!$M$21:$M$24,0)))</f>
        <v>44919.487419648496</v>
      </c>
      <c r="H135" s="23">
        <f>IF(OR($N135=0,COUNT('TO HOP GOI DAU'!$N$21:$N$24)=0),0,INDEX('TO HOP GOI DAU'!$J$21:$J$24,MATCH(MAX('TO HOP GOI DAU'!$N$21:$N$24),'TO HOP GOI DAU'!$N$21:$N$24,0)))</f>
        <v>3611.4273926220267</v>
      </c>
      <c r="I135" s="23">
        <f t="shared" si="6"/>
        <v>165.63581000000002</v>
      </c>
      <c r="J135" s="23">
        <f t="shared" si="7"/>
        <v>22073.173091589622</v>
      </c>
      <c r="K135" s="23">
        <f t="shared" si="8"/>
        <v>13700.871602400002</v>
      </c>
      <c r="L135" s="23">
        <f>IF(OR($N135=0,COUNT('TO HOP GOI DAU'!$O$21:$O$24)=0),0,INDEX('TO HOP GOI DAU'!$K$21:$K$24,MATCH(MAX('TO HOP GOI DAU'!$O$21:$O$24),'TO HOP GOI DAU'!$O$21:$O$24,0)))</f>
        <v>37696.632634404443</v>
      </c>
      <c r="N135" s="14">
        <v>5</v>
      </c>
    </row>
    <row r="136" spans="2:14" x14ac:dyDescent="0.3">
      <c r="B136" s="19" t="str">
        <f t="shared" si="2"/>
        <v>SD I - 2 nhịp lệch tâm 6 làn</v>
      </c>
      <c r="C136" s="23">
        <f>IF(OR($N136=0,COUNT('TO HOP GOI DAU'!$L$25:$L$28)=0),0,INDEX('TO HOP GOI DAU'!$H$25:$H$28,MATCH(MAX('TO HOP GOI DAU'!$L$25:$L$28),'TO HOP GOI DAU'!$L$25:$L$28,0)))</f>
        <v>3611.4273926220267</v>
      </c>
      <c r="D136" s="23">
        <f t="shared" si="3"/>
        <v>165.63581000000002</v>
      </c>
      <c r="E136" s="23">
        <f t="shared" si="4"/>
        <v>26046.678869589625</v>
      </c>
      <c r="F136" s="23">
        <f t="shared" si="5"/>
        <v>10844.876110150002</v>
      </c>
      <c r="G136" s="23">
        <f>IF(OR($N136=0,COUNT('TO HOP GOI DAU'!$M$25:$M$28)=0),0,INDEX('TO HOP GOI DAU'!$I$25:$I$28,MATCH(MAX('TO HOP GOI DAU'!$M$25:$M$28),'TO HOP GOI DAU'!$M$25:$M$28,0)))</f>
        <v>44919.487419648496</v>
      </c>
      <c r="H136" s="23">
        <f>IF(OR($N136=0,COUNT('TO HOP GOI DAU'!$N$25:$N$28)=0),0,INDEX('TO HOP GOI DAU'!$J$25:$J$28,MATCH(MAX('TO HOP GOI DAU'!$N$25:$N$28),'TO HOP GOI DAU'!$N$25:$N$28,0)))</f>
        <v>3611.4273926220267</v>
      </c>
      <c r="I136" s="23">
        <f t="shared" si="6"/>
        <v>165.63581000000002</v>
      </c>
      <c r="J136" s="23">
        <f t="shared" si="7"/>
        <v>22695.078869589623</v>
      </c>
      <c r="K136" s="23">
        <f t="shared" si="8"/>
        <v>10513.604490150001</v>
      </c>
      <c r="L136" s="23">
        <f>IF(OR($N136=0,COUNT('TO HOP GOI DAU'!$O$25:$O$28)=0),0,INDEX('TO HOP GOI DAU'!$K$25:$K$28,MATCH(MAX('TO HOP GOI DAU'!$O$25:$O$28),'TO HOP GOI DAU'!$O$25:$O$28,0)))</f>
        <v>37696.632634404443</v>
      </c>
      <c r="N136" s="14">
        <v>6</v>
      </c>
    </row>
    <row r="137" spans="2:14" x14ac:dyDescent="0.3">
      <c r="B137" s="19" t="str">
        <f t="shared" si="2"/>
        <v>SD I - 2 nhịp đúng tâm 1 làn</v>
      </c>
      <c r="C137" s="23">
        <f>IF(OR($N137=0,COUNT('TO HOP GOI DAU'!$L$29:$L$32)=0),0,INDEX('TO HOP GOI DAU'!$H$29:$H$32,MATCH(MAX('TO HOP GOI DAU'!$L$29:$L$32),'TO HOP GOI DAU'!$L$29:$L$32,0)))</f>
        <v>3611.4273926220267</v>
      </c>
      <c r="D137" s="23">
        <f t="shared" si="3"/>
        <v>165.63581000000002</v>
      </c>
      <c r="E137" s="23">
        <f t="shared" si="4"/>
        <v>23463.377945589622</v>
      </c>
      <c r="F137" s="23">
        <f t="shared" si="5"/>
        <v>1982.7187736500002</v>
      </c>
      <c r="G137" s="23">
        <f>IF(OR($N137=0,COUNT('TO HOP GOI DAU'!$M$29:$M$32)=0),0,INDEX('TO HOP GOI DAU'!$I$29:$I$32,MATCH(MAX('TO HOP GOI DAU'!$M$29:$M$32),'TO HOP GOI DAU'!$M$29:$M$32,0)))</f>
        <v>44919.487419648496</v>
      </c>
      <c r="H137" s="23">
        <f>IF(OR($N137=0,COUNT('TO HOP GOI DAU'!$N$29:$N$32)=0),0,INDEX('TO HOP GOI DAU'!$J$29:$J$32,MATCH(MAX('TO HOP GOI DAU'!$N$29:$N$32),'TO HOP GOI DAU'!$N$29:$N$32,0)))</f>
        <v>3611.4273926220267</v>
      </c>
      <c r="I137" s="23">
        <f t="shared" si="6"/>
        <v>165.63581000000002</v>
      </c>
      <c r="J137" s="23">
        <f t="shared" si="7"/>
        <v>20111.77794558962</v>
      </c>
      <c r="K137" s="23">
        <f t="shared" si="8"/>
        <v>1651.4471536500005</v>
      </c>
      <c r="L137" s="23">
        <f>IF(OR($N137=0,COUNT('TO HOP GOI DAU'!$O$29:$O$32)=0),0,INDEX('TO HOP GOI DAU'!$K$29:$K$32,MATCH(MAX('TO HOP GOI DAU'!$O$29:$O$32),'TO HOP GOI DAU'!$O$29:$O$32,0)))</f>
        <v>37696.632634404443</v>
      </c>
      <c r="N137" s="14">
        <v>7</v>
      </c>
    </row>
    <row r="138" spans="2:14" x14ac:dyDescent="0.3">
      <c r="B138" s="19" t="str">
        <f t="shared" si="2"/>
        <v>SD I - 2 nhịp đúng tâm 2 làn</v>
      </c>
      <c r="C138" s="23">
        <f>IF(OR($N138=0,COUNT('TO HOP GOI DAU'!$L$33:$L$36)=0),0,INDEX('TO HOP GOI DAU'!$H$33:$H$36,MATCH(MAX('TO HOP GOI DAU'!$L$33:$L$36),'TO HOP GOI DAU'!$L$33:$L$36,0)))</f>
        <v>3611.4273926220267</v>
      </c>
      <c r="D138" s="23">
        <f t="shared" si="3"/>
        <v>165.63581000000002</v>
      </c>
      <c r="E138" s="23">
        <f t="shared" si="4"/>
        <v>24228.800441589625</v>
      </c>
      <c r="F138" s="23">
        <f t="shared" si="5"/>
        <v>1982.7187736500002</v>
      </c>
      <c r="G138" s="23">
        <f>IF(OR($N138=0,COUNT('TO HOP GOI DAU'!$M$33:$M$36)=0),0,INDEX('TO HOP GOI DAU'!$I$33:$I$36,MATCH(MAX('TO HOP GOI DAU'!$M$33:$M$36),'TO HOP GOI DAU'!$M$33:$M$36,0)))</f>
        <v>44919.487419648496</v>
      </c>
      <c r="H138" s="23">
        <f>IF(OR($N138=0,COUNT('TO HOP GOI DAU'!$N$33:$N$36)=0),0,INDEX('TO HOP GOI DAU'!$J$33:$J$36,MATCH(MAX('TO HOP GOI DAU'!$N$33:$N$36),'TO HOP GOI DAU'!$N$33:$N$36,0)))</f>
        <v>3611.4273926220267</v>
      </c>
      <c r="I138" s="23">
        <f t="shared" si="6"/>
        <v>165.63581000000002</v>
      </c>
      <c r="J138" s="23">
        <f t="shared" si="7"/>
        <v>20877.200441589623</v>
      </c>
      <c r="K138" s="23">
        <f t="shared" si="8"/>
        <v>1651.4471536500005</v>
      </c>
      <c r="L138" s="23">
        <f>IF(OR($N138=0,COUNT('TO HOP GOI DAU'!$O$33:$O$36)=0),0,INDEX('TO HOP GOI DAU'!$K$33:$K$36,MATCH(MAX('TO HOP GOI DAU'!$O$33:$O$36),'TO HOP GOI DAU'!$O$33:$O$36,0)))</f>
        <v>37696.632634404443</v>
      </c>
      <c r="N138" s="14">
        <v>8</v>
      </c>
    </row>
    <row r="139" spans="2:14" x14ac:dyDescent="0.3">
      <c r="B139" s="19" t="str">
        <f t="shared" si="2"/>
        <v>SD I - 2 nhịp đúng tâm 3 làn</v>
      </c>
      <c r="C139" s="23">
        <f>IF(OR($N139=0,COUNT('TO HOP GOI DAU'!$L$37:$L$40)=0),0,INDEX('TO HOP GOI DAU'!$H$37:$H$40,MATCH(MAX('TO HOP GOI DAU'!$L$37:$L$40),'TO HOP GOI DAU'!$L$37:$L$40,0)))</f>
        <v>3611.4273926220267</v>
      </c>
      <c r="D139" s="23">
        <f t="shared" si="3"/>
        <v>165.63581000000002</v>
      </c>
      <c r="E139" s="23">
        <f t="shared" si="4"/>
        <v>24755.028407589623</v>
      </c>
      <c r="F139" s="23">
        <f t="shared" si="5"/>
        <v>1982.7187736500002</v>
      </c>
      <c r="G139" s="23">
        <f>IF(OR($N139=0,COUNT('TO HOP GOI DAU'!$M$37:$M$40)=0),0,INDEX('TO HOP GOI DAU'!$I$37:$I$40,MATCH(MAX('TO HOP GOI DAU'!$M$37:$M$40),'TO HOP GOI DAU'!$M$37:$M$40,0)))</f>
        <v>44919.487419648496</v>
      </c>
      <c r="H139" s="23">
        <f>IF(OR($N139=0,COUNT('TO HOP GOI DAU'!$N$37:$N$40)=0),0,INDEX('TO HOP GOI DAU'!$J$37:$J$40,MATCH(MAX('TO HOP GOI DAU'!$N$37:$N$40),'TO HOP GOI DAU'!$N$37:$N$40,0)))</f>
        <v>3611.4273926220267</v>
      </c>
      <c r="I139" s="23">
        <f t="shared" si="6"/>
        <v>165.63581000000002</v>
      </c>
      <c r="J139" s="23">
        <f t="shared" si="7"/>
        <v>21403.428407589621</v>
      </c>
      <c r="K139" s="23">
        <f t="shared" si="8"/>
        <v>1651.4471536500005</v>
      </c>
      <c r="L139" s="23">
        <f>IF(OR($N139=0,COUNT('TO HOP GOI DAU'!$O$37:$O$40)=0),0,INDEX('TO HOP GOI DAU'!$K$37:$K$40,MATCH(MAX('TO HOP GOI DAU'!$O$37:$O$40),'TO HOP GOI DAU'!$O$37:$O$40,0)))</f>
        <v>37696.632634404443</v>
      </c>
      <c r="N139" s="14">
        <v>9</v>
      </c>
    </row>
    <row r="140" spans="2:14" x14ac:dyDescent="0.3">
      <c r="B140" s="19" t="str">
        <f t="shared" si="2"/>
        <v>SD I - 2 nhịp đúng tâm 4 làn</v>
      </c>
      <c r="C140" s="23">
        <f>IF(OR($N140=0,COUNT('TO HOP GOI DAU'!$L$41:$L$44)=0),0,INDEX('TO HOP GOI DAU'!$H$41:$H$44,MATCH(MAX('TO HOP GOI DAU'!$L$41:$L$44),'TO HOP GOI DAU'!$L$41:$L$44,0)))</f>
        <v>3611.4273926220267</v>
      </c>
      <c r="D140" s="23">
        <f t="shared" si="3"/>
        <v>165.63581000000002</v>
      </c>
      <c r="E140" s="23">
        <f t="shared" si="4"/>
        <v>24802.867313589624</v>
      </c>
      <c r="F140" s="23">
        <f t="shared" si="5"/>
        <v>1982.7187736500002</v>
      </c>
      <c r="G140" s="23">
        <f>IF(OR($N140=0,COUNT('TO HOP GOI DAU'!$M$41:$M$44)=0),0,INDEX('TO HOP GOI DAU'!$I$41:$I$44,MATCH(MAX('TO HOP GOI DAU'!$M$41:$M$44),'TO HOP GOI DAU'!$M$41:$M$44,0)))</f>
        <v>44919.487419648496</v>
      </c>
      <c r="H140" s="23">
        <f>IF(OR($N140=0,COUNT('TO HOP GOI DAU'!$N$41:$N$44)=0),0,INDEX('TO HOP GOI DAU'!$J$41:$J$44,MATCH(MAX('TO HOP GOI DAU'!$N$41:$N$44),'TO HOP GOI DAU'!$N$41:$N$44,0)))</f>
        <v>3611.4273926220267</v>
      </c>
      <c r="I140" s="23">
        <f t="shared" si="6"/>
        <v>165.63581000000002</v>
      </c>
      <c r="J140" s="23">
        <f t="shared" si="7"/>
        <v>21451.267313589622</v>
      </c>
      <c r="K140" s="23">
        <f t="shared" si="8"/>
        <v>1651.4471536500005</v>
      </c>
      <c r="L140" s="23">
        <f>IF(OR($N140=0,COUNT('TO HOP GOI DAU'!$O$41:$O$44)=0),0,INDEX('TO HOP GOI DAU'!$K$41:$K$44,MATCH(MAX('TO HOP GOI DAU'!$O$41:$O$44),'TO HOP GOI DAU'!$O$41:$O$44,0)))</f>
        <v>37696.632634404443</v>
      </c>
      <c r="N140" s="14">
        <v>10</v>
      </c>
    </row>
    <row r="141" spans="2:14" x14ac:dyDescent="0.3">
      <c r="B141" s="19" t="str">
        <f t="shared" si="2"/>
        <v>SD I - 2 nhịp đúng tâm 5 làn</v>
      </c>
      <c r="C141" s="23">
        <f>IF(OR($N141=0,COUNT('TO HOP GOI DAU'!$L$45:$L$48)=0),0,INDEX('TO HOP GOI DAU'!$H$45:$H$48,MATCH(MAX('TO HOP GOI DAU'!$L$45:$L$48),'TO HOP GOI DAU'!$L$45:$L$48,0)))</f>
        <v>3611.4273926220267</v>
      </c>
      <c r="D141" s="23">
        <f t="shared" si="3"/>
        <v>165.63581000000002</v>
      </c>
      <c r="E141" s="23">
        <f t="shared" si="4"/>
        <v>25424.773091589625</v>
      </c>
      <c r="F141" s="23">
        <f t="shared" si="5"/>
        <v>1982.7187736500002</v>
      </c>
      <c r="G141" s="23">
        <f>IF(OR($N141=0,COUNT('TO HOP GOI DAU'!$M$45:$M$48)=0),0,INDEX('TO HOP GOI DAU'!$I$45:$I$48,MATCH(MAX('TO HOP GOI DAU'!$M$45:$M$48),'TO HOP GOI DAU'!$M$45:$M$48,0)))</f>
        <v>44919.487419648496</v>
      </c>
      <c r="H141" s="23">
        <f>IF(OR($N141=0,COUNT('TO HOP GOI DAU'!$N$45:$N$48)=0),0,INDEX('TO HOP GOI DAU'!$J$45:$J$48,MATCH(MAX('TO HOP GOI DAU'!$N$45:$N$48),'TO HOP GOI DAU'!$N$45:$N$48,0)))</f>
        <v>3611.4273926220267</v>
      </c>
      <c r="I141" s="23">
        <f t="shared" si="6"/>
        <v>165.63581000000002</v>
      </c>
      <c r="J141" s="23">
        <f t="shared" si="7"/>
        <v>22073.173091589622</v>
      </c>
      <c r="K141" s="23">
        <f t="shared" si="8"/>
        <v>1651.4471536500005</v>
      </c>
      <c r="L141" s="23">
        <f>IF(OR($N141=0,COUNT('TO HOP GOI DAU'!$O$45:$O$48)=0),0,INDEX('TO HOP GOI DAU'!$K$45:$K$48,MATCH(MAX('TO HOP GOI DAU'!$O$45:$O$48),'TO HOP GOI DAU'!$O$45:$O$48,0)))</f>
        <v>37696.632634404443</v>
      </c>
      <c r="N141" s="14">
        <v>11</v>
      </c>
    </row>
    <row r="142" spans="2:14" x14ac:dyDescent="0.3">
      <c r="B142" s="19" t="str">
        <f t="shared" si="2"/>
        <v>SD I - 2 nhịp đúng tâm 6 làn</v>
      </c>
      <c r="C142" s="23">
        <f>IF(OR($N142=0,COUNT('TO HOP GOI DAU'!$L$49:$L$52)=0),0,INDEX('TO HOP GOI DAU'!$H$49:$H$52,MATCH(MAX('TO HOP GOI DAU'!$L$49:$L$52),'TO HOP GOI DAU'!$L$49:$L$52,0)))</f>
        <v>3611.4273926220267</v>
      </c>
      <c r="D142" s="23">
        <f t="shared" si="3"/>
        <v>165.63581000000002</v>
      </c>
      <c r="E142" s="23">
        <f t="shared" si="4"/>
        <v>26046.678869589625</v>
      </c>
      <c r="F142" s="23">
        <f t="shared" si="5"/>
        <v>1982.7187736500002</v>
      </c>
      <c r="G142" s="23">
        <f>IF(OR($N142=0,COUNT('TO HOP GOI DAU'!$M$49:$M$52)=0),0,INDEX('TO HOP GOI DAU'!$I$49:$I$52,MATCH(MAX('TO HOP GOI DAU'!$M$49:$M$52),'TO HOP GOI DAU'!$M$49:$M$52,0)))</f>
        <v>44919.487419648496</v>
      </c>
      <c r="H142" s="23">
        <f>IF(OR($N142=0,COUNT('TO HOP GOI DAU'!$N$49:$N$52)=0),0,INDEX('TO HOP GOI DAU'!$J$49:$J$52,MATCH(MAX('TO HOP GOI DAU'!$N$49:$N$52),'TO HOP GOI DAU'!$N$49:$N$52,0)))</f>
        <v>3611.4273926220267</v>
      </c>
      <c r="I142" s="23">
        <f t="shared" si="6"/>
        <v>165.63581000000002</v>
      </c>
      <c r="J142" s="23">
        <f t="shared" si="7"/>
        <v>22695.078869589623</v>
      </c>
      <c r="K142" s="23">
        <f t="shared" si="8"/>
        <v>1651.4471536500005</v>
      </c>
      <c r="L142" s="23">
        <f>IF(OR($N142=0,COUNT('TO HOP GOI DAU'!$O$49:$O$52)=0),0,INDEX('TO HOP GOI DAU'!$K$49:$K$52,MATCH(MAX('TO HOP GOI DAU'!$O$49:$O$52),'TO HOP GOI DAU'!$O$49:$O$52,0)))</f>
        <v>37696.632634404443</v>
      </c>
      <c r="N142" s="14">
        <v>12</v>
      </c>
    </row>
    <row r="143" spans="2:14" x14ac:dyDescent="0.3">
      <c r="B143" s="19" t="str">
        <f t="shared" si="2"/>
        <v>SD I - 1 nhịp 1 làn</v>
      </c>
      <c r="C143" s="23">
        <f>IF(OR($N143=0,COUNT('TO HOP GOI DAU'!$L$53:$L$56)=0),0,INDEX('TO HOP GOI DAU'!$H$53:$H$56,MATCH(MAX('TO HOP GOI DAU'!$L$53:$L$56),'TO HOP GOI DAU'!$L$53:$L$56,0)))</f>
        <v>3611.4273926220267</v>
      </c>
      <c r="D143" s="23">
        <f t="shared" si="3"/>
        <v>165.63581000000002</v>
      </c>
      <c r="E143" s="23">
        <f t="shared" si="4"/>
        <v>23003.847481589622</v>
      </c>
      <c r="F143" s="23">
        <f t="shared" si="5"/>
        <v>8782.6761636500014</v>
      </c>
      <c r="G143" s="23">
        <f>IF(OR($N143=0,COUNT('TO HOP GOI DAU'!$M$53:$M$56)=0),0,INDEX('TO HOP GOI DAU'!$I$53:$I$56,MATCH(MAX('TO HOP GOI DAU'!$M$53:$M$56),'TO HOP GOI DAU'!$M$53:$M$56,0)))</f>
        <v>45539.230371648497</v>
      </c>
      <c r="H143" s="23">
        <f>IF(OR($N143=0,COUNT('TO HOP GOI DAU'!$N$53:$N$56)=0),0,INDEX('TO HOP GOI DAU'!$J$53:$J$56,MATCH(MAX('TO HOP GOI DAU'!$N$53:$N$56),'TO HOP GOI DAU'!$N$53:$N$56,0)))</f>
        <v>3611.4273926220267</v>
      </c>
      <c r="I143" s="23">
        <f t="shared" si="6"/>
        <v>165.63581000000002</v>
      </c>
      <c r="J143" s="23">
        <f t="shared" si="7"/>
        <v>19652.24748158962</v>
      </c>
      <c r="K143" s="23">
        <f t="shared" si="8"/>
        <v>8451.4045436500001</v>
      </c>
      <c r="L143" s="23">
        <f>IF(OR($N143=0,COUNT('TO HOP GOI DAU'!$O$53:$O$56)=0),0,INDEX('TO HOP GOI DAU'!$K$53:$K$56,MATCH(MAX('TO HOP GOI DAU'!$O$53:$O$56),'TO HOP GOI DAU'!$O$53:$O$56,0)))</f>
        <v>38316.375586404443</v>
      </c>
      <c r="N143" s="14">
        <v>13</v>
      </c>
    </row>
    <row r="144" spans="2:14" x14ac:dyDescent="0.3">
      <c r="B144" s="19" t="str">
        <f t="shared" si="2"/>
        <v>SD I - 1 nhịp 2 làn</v>
      </c>
      <c r="C144" s="23">
        <f>IF(OR($N144=0,COUNT('TO HOP GOI DAU'!$L$57:$L$60)=0),0,INDEX('TO HOP GOI DAU'!$H$57:$H$60,MATCH(MAX('TO HOP GOI DAU'!$L$57:$L$60),'TO HOP GOI DAU'!$L$57:$L$60,0)))</f>
        <v>3611.4273926220267</v>
      </c>
      <c r="D144" s="23">
        <f t="shared" si="3"/>
        <v>165.63581000000002</v>
      </c>
      <c r="E144" s="23">
        <f t="shared" si="4"/>
        <v>23462.916334922957</v>
      </c>
      <c r="F144" s="23">
        <f t="shared" si="5"/>
        <v>11594.472890316669</v>
      </c>
      <c r="G144" s="23">
        <f>IF(OR($N144=0,COUNT('TO HOP GOI DAU'!$M$57:$M$60)=0),0,INDEX('TO HOP GOI DAU'!$I$57:$I$60,MATCH(MAX('TO HOP GOI DAU'!$M$57:$M$60),'TO HOP GOI DAU'!$M$57:$M$60,0)))</f>
        <v>45952.392339648497</v>
      </c>
      <c r="H144" s="23">
        <f>IF(OR($N144=0,COUNT('TO HOP GOI DAU'!$N$57:$N$60)=0),0,INDEX('TO HOP GOI DAU'!$J$57:$J$60,MATCH(MAX('TO HOP GOI DAU'!$N$57:$N$60),'TO HOP GOI DAU'!$N$57:$N$60,0)))</f>
        <v>3611.4273926220267</v>
      </c>
      <c r="I144" s="23">
        <f t="shared" si="6"/>
        <v>165.63581000000002</v>
      </c>
      <c r="J144" s="23">
        <f t="shared" si="7"/>
        <v>20111.316334922954</v>
      </c>
      <c r="K144" s="23">
        <f t="shared" si="8"/>
        <v>11263.201270316667</v>
      </c>
      <c r="L144" s="23">
        <f>IF(OR($N144=0,COUNT('TO HOP GOI DAU'!$O$57:$O$60)=0),0,INDEX('TO HOP GOI DAU'!$K$57:$K$60,MATCH(MAX('TO HOP GOI DAU'!$O$57:$O$60),'TO HOP GOI DAU'!$O$57:$O$60,0)))</f>
        <v>38729.537554404444</v>
      </c>
      <c r="N144" s="14">
        <v>14</v>
      </c>
    </row>
    <row r="145" spans="2:14" x14ac:dyDescent="0.3">
      <c r="B145" s="19" t="str">
        <f t="shared" si="2"/>
        <v>SD I - 1 nhịp 3 làn</v>
      </c>
      <c r="C145" s="23">
        <f>IF(OR($N145=0,COUNT('TO HOP GOI DAU'!$L$61:$L$64)=0),0,INDEX('TO HOP GOI DAU'!$H$61:$H$64,MATCH(MAX('TO HOP GOI DAU'!$L$61:$L$64),'TO HOP GOI DAU'!$L$61:$L$64,0)))</f>
        <v>3611.4273926220267</v>
      </c>
      <c r="D145" s="23">
        <f t="shared" si="3"/>
        <v>165.63581000000002</v>
      </c>
      <c r="E145" s="23">
        <f t="shared" si="4"/>
        <v>23778.526171589623</v>
      </c>
      <c r="F145" s="23">
        <f t="shared" si="5"/>
        <v>12042.782317400004</v>
      </c>
      <c r="G145" s="23">
        <f>IF(OR($N145=0,COUNT('TO HOP GOI DAU'!$M$61:$M$64)=0),0,INDEX('TO HOP GOI DAU'!$I$61:$I$64,MATCH(MAX('TO HOP GOI DAU'!$M$61:$M$64),'TO HOP GOI DAU'!$M$61:$M$64,0)))</f>
        <v>46236.441192648497</v>
      </c>
      <c r="H145" s="23">
        <f>IF(OR($N145=0,COUNT('TO HOP GOI DAU'!$N$61:$N$64)=0),0,INDEX('TO HOP GOI DAU'!$J$61:$J$64,MATCH(MAX('TO HOP GOI DAU'!$N$61:$N$64),'TO HOP GOI DAU'!$N$61:$N$64,0)))</f>
        <v>3611.4273926220267</v>
      </c>
      <c r="I145" s="23">
        <f t="shared" si="6"/>
        <v>165.63581000000002</v>
      </c>
      <c r="J145" s="23">
        <f t="shared" si="7"/>
        <v>20426.926171589621</v>
      </c>
      <c r="K145" s="23">
        <f t="shared" si="8"/>
        <v>11711.510697400003</v>
      </c>
      <c r="L145" s="23">
        <f>IF(OR($N145=0,COUNT('TO HOP GOI DAU'!$O$61:$O$64)=0),0,INDEX('TO HOP GOI DAU'!$K$61:$K$64,MATCH(MAX('TO HOP GOI DAU'!$O$61:$O$64),'TO HOP GOI DAU'!$O$61:$O$64,0)))</f>
        <v>39013.586407404444</v>
      </c>
      <c r="N145" s="14">
        <v>15</v>
      </c>
    </row>
    <row r="146" spans="2:14" x14ac:dyDescent="0.3">
      <c r="B146" s="19" t="str">
        <f t="shared" si="2"/>
        <v>SD I - 1 nhịp 4 làn</v>
      </c>
      <c r="C146" s="23">
        <f>IF(OR($N146=0,COUNT('TO HOP GOI DAU'!$L$65:$L$68)=0),0,INDEX('TO HOP GOI DAU'!$H$65:$H$68,MATCH(MAX('TO HOP GOI DAU'!$L$65:$L$68),'TO HOP GOI DAU'!$L$65:$L$68,0)))</f>
        <v>3611.4273926220267</v>
      </c>
      <c r="D146" s="23">
        <f t="shared" si="3"/>
        <v>165.63581000000002</v>
      </c>
      <c r="E146" s="23">
        <f t="shared" si="4"/>
        <v>23807.217974922958</v>
      </c>
      <c r="F146" s="23">
        <f t="shared" si="5"/>
        <v>10002.077805316669</v>
      </c>
      <c r="G146" s="23">
        <f>IF(OR($N146=0,COUNT('TO HOP GOI DAU'!$M$65:$M$68)=0),0,INDEX('TO HOP GOI DAU'!$I$65:$I$68,MATCH(MAX('TO HOP GOI DAU'!$M$65:$M$68),'TO HOP GOI DAU'!$M$65:$M$68,0)))</f>
        <v>46262.263815648497</v>
      </c>
      <c r="H146" s="23">
        <f>IF(OR($N146=0,COUNT('TO HOP GOI DAU'!$N$65:$N$68)=0),0,INDEX('TO HOP GOI DAU'!$J$65:$J$68,MATCH(MAX('TO HOP GOI DAU'!$N$65:$N$68),'TO HOP GOI DAU'!$N$65:$N$68,0)))</f>
        <v>3611.4273926220267</v>
      </c>
      <c r="I146" s="23">
        <f t="shared" si="6"/>
        <v>165.63581000000002</v>
      </c>
      <c r="J146" s="23">
        <f t="shared" si="7"/>
        <v>20455.617974922956</v>
      </c>
      <c r="K146" s="23">
        <f t="shared" si="8"/>
        <v>9670.8061853166673</v>
      </c>
      <c r="L146" s="23">
        <f>IF(OR($N146=0,COUNT('TO HOP GOI DAU'!$O$65:$O$68)=0),0,INDEX('TO HOP GOI DAU'!$K$65:$K$68,MATCH(MAX('TO HOP GOI DAU'!$O$65:$O$68),'TO HOP GOI DAU'!$O$65:$O$68,0)))</f>
        <v>39039.409030404444</v>
      </c>
      <c r="N146" s="14">
        <v>16</v>
      </c>
    </row>
    <row r="147" spans="2:14" x14ac:dyDescent="0.3">
      <c r="B147" s="19" t="str">
        <f t="shared" si="2"/>
        <v>SD I - 1 nhịp 5 làn</v>
      </c>
      <c r="C147" s="23">
        <f>IF(OR($N147=0,COUNT('TO HOP GOI DAU'!$L$69:$L$72)=0),0,INDEX('TO HOP GOI DAU'!$H$69:$H$72,MATCH(MAX('TO HOP GOI DAU'!$L$69:$L$72),'TO HOP GOI DAU'!$L$69:$L$72,0)))</f>
        <v>3611.4273926220267</v>
      </c>
      <c r="D147" s="23">
        <f t="shared" si="3"/>
        <v>165.63581000000002</v>
      </c>
      <c r="E147" s="23">
        <f t="shared" si="4"/>
        <v>24180.211418256291</v>
      </c>
      <c r="F147" s="23">
        <f t="shared" si="5"/>
        <v>9209.4667382333355</v>
      </c>
      <c r="G147" s="23">
        <f>IF(OR($N147=0,COUNT('TO HOP GOI DAU'!$M$69:$M$72)=0),0,INDEX('TO HOP GOI DAU'!$I$69:$I$72,MATCH(MAX('TO HOP GOI DAU'!$M$69:$M$72),'TO HOP GOI DAU'!$M$69:$M$72,0)))</f>
        <v>46597.957914648498</v>
      </c>
      <c r="H147" s="23">
        <f>IF(OR($N147=0,COUNT('TO HOP GOI DAU'!$N$69:$N$72)=0),0,INDEX('TO HOP GOI DAU'!$J$69:$J$72,MATCH(MAX('TO HOP GOI DAU'!$N$69:$N$72),'TO HOP GOI DAU'!$N$69:$N$72,0)))</f>
        <v>3611.4273926220267</v>
      </c>
      <c r="I147" s="23">
        <f t="shared" si="6"/>
        <v>165.63581000000002</v>
      </c>
      <c r="J147" s="23">
        <f t="shared" si="7"/>
        <v>20828.611418256289</v>
      </c>
      <c r="K147" s="23">
        <f t="shared" si="8"/>
        <v>8878.1951182333341</v>
      </c>
      <c r="L147" s="23">
        <f>IF(OR($N147=0,COUNT('TO HOP GOI DAU'!$O$69:$O$72)=0),0,INDEX('TO HOP GOI DAU'!$K$69:$K$72,MATCH(MAX('TO HOP GOI DAU'!$O$69:$O$72),'TO HOP GOI DAU'!$O$69:$O$72,0)))</f>
        <v>39375.103129404444</v>
      </c>
      <c r="N147" s="14">
        <v>17</v>
      </c>
    </row>
    <row r="148" spans="2:14" x14ac:dyDescent="0.3">
      <c r="B148" s="19" t="str">
        <f t="shared" si="2"/>
        <v>SD I - 1 nhịp 6 làn</v>
      </c>
      <c r="C148" s="23">
        <f>IF(OR($N148=0,COUNT('TO HOP GOI DAU'!$L$73:$L$76)=0),0,INDEX('TO HOP GOI DAU'!$H$73:$H$76,MATCH(MAX('TO HOP GOI DAU'!$L$73:$L$76),'TO HOP GOI DAU'!$L$73:$L$76,0)))</f>
        <v>3611.4273926220267</v>
      </c>
      <c r="D148" s="23">
        <f t="shared" si="3"/>
        <v>165.63581000000002</v>
      </c>
      <c r="E148" s="23">
        <f t="shared" si="4"/>
        <v>24553.204861589624</v>
      </c>
      <c r="F148" s="23">
        <f t="shared" si="5"/>
        <v>7297.8753411500002</v>
      </c>
      <c r="G148" s="23">
        <f>IF(OR($N148=0,COUNT('TO HOP GOI DAU'!$M$73:$M$76)=0),0,INDEX('TO HOP GOI DAU'!$I$73:$I$76,MATCH(MAX('TO HOP GOI DAU'!$M$73:$M$76),'TO HOP GOI DAU'!$M$73:$M$76,0)))</f>
        <v>46933.652013648498</v>
      </c>
      <c r="H148" s="23">
        <f>IF(OR($N148=0,COUNT('TO HOP GOI DAU'!$N$73:$N$76)=0),0,INDEX('TO HOP GOI DAU'!$J$73:$J$76,MATCH(MAX('TO HOP GOI DAU'!$N$73:$N$76),'TO HOP GOI DAU'!$N$73:$N$76,0)))</f>
        <v>3611.4273926220267</v>
      </c>
      <c r="I148" s="23">
        <f t="shared" si="6"/>
        <v>165.63581000000002</v>
      </c>
      <c r="J148" s="23">
        <f t="shared" si="7"/>
        <v>21201.604861589622</v>
      </c>
      <c r="K148" s="23">
        <f t="shared" si="8"/>
        <v>6966.6037211500006</v>
      </c>
      <c r="L148" s="23">
        <f>IF(OR($N148=0,COUNT('TO HOP GOI DAU'!$O$73:$O$76)=0),0,INDEX('TO HOP GOI DAU'!$K$73:$K$76,MATCH(MAX('TO HOP GOI DAU'!$O$73:$O$76),'TO HOP GOI DAU'!$O$73:$O$76,0)))</f>
        <v>39710.797228404444</v>
      </c>
      <c r="N148" s="14">
        <v>18</v>
      </c>
    </row>
    <row r="149" spans="2:14" ht="27.6" x14ac:dyDescent="0.3">
      <c r="B149" s="19" t="str">
        <f t="shared" si="2"/>
        <v>CĐ I(a) max - 2 nhịp lệch tâm 1 làn</v>
      </c>
      <c r="C149" s="23">
        <f>IF(OR($N149=0,COUNT('TO HOP GOI DAU'!$L$77:$L$80)=0),0,INDEX('TO HOP GOI DAU'!$H$77:$H$80,MATCH(MAX('TO HOP GOI DAU'!$L$77:$L$80),'TO HOP GOI DAU'!$L$77:$L$80,0)))</f>
        <v>2697.1364775610136</v>
      </c>
      <c r="D149" s="23">
        <f t="shared" si="3"/>
        <v>0</v>
      </c>
      <c r="E149" s="23">
        <f t="shared" si="4"/>
        <v>30245.477741487026</v>
      </c>
      <c r="F149" s="23">
        <f t="shared" si="5"/>
        <v>19841.1862635</v>
      </c>
      <c r="G149" s="23">
        <f>IF(OR($N149=0,COUNT('TO HOP GOI DAU'!$M$77:$M$80)=0),0,INDEX('TO HOP GOI DAU'!$I$77:$I$80,MATCH(MAX('TO HOP GOI DAU'!$M$77:$M$80),'TO HOP GOI DAU'!$M$77:$M$80,0)))</f>
        <v>34091.265631949253</v>
      </c>
      <c r="H149" s="23">
        <f>IF(OR($N149=0,COUNT('TO HOP GOI DAU'!$N$77:$N$80)=0),0,INDEX('TO HOP GOI DAU'!$J$77:$J$80,MATCH(MAX('TO HOP GOI DAU'!$N$77:$N$80),'TO HOP GOI DAU'!$N$77:$N$80,0)))</f>
        <v>2697.1364775610136</v>
      </c>
      <c r="I149" s="23">
        <f t="shared" si="6"/>
        <v>0</v>
      </c>
      <c r="J149" s="23">
        <f t="shared" si="7"/>
        <v>26055.977741487026</v>
      </c>
      <c r="K149" s="23">
        <f t="shared" si="8"/>
        <v>19841.1862635</v>
      </c>
      <c r="L149" s="23">
        <f>IF(OR($N149=0,COUNT('TO HOP GOI DAU'!$O$77:$O$80)=0),0,INDEX('TO HOP GOI DAU'!$K$77:$K$80,MATCH(MAX('TO HOP GOI DAU'!$O$77:$O$80),'TO HOP GOI DAU'!$O$77:$O$80,0)))</f>
        <v>28696.992676827227</v>
      </c>
      <c r="N149" s="14">
        <v>19</v>
      </c>
    </row>
    <row r="150" spans="2:14" ht="27.6" x14ac:dyDescent="0.3">
      <c r="B150" s="19" t="str">
        <f t="shared" si="2"/>
        <v>CĐ I(a) max - 2 nhịp lệch tâm 2 làn</v>
      </c>
      <c r="C150" s="23">
        <f>IF(OR($N150=0,COUNT('TO HOP GOI DAU'!$L$81:$L$84)=0),0,INDEX('TO HOP GOI DAU'!$H$81:$H$84,MATCH(MAX('TO HOP GOI DAU'!$L$81:$L$84),'TO HOP GOI DAU'!$L$81:$L$84,0)))</f>
        <v>2697.1364775610136</v>
      </c>
      <c r="D150" s="23">
        <f t="shared" si="3"/>
        <v>0</v>
      </c>
      <c r="E150" s="23">
        <f t="shared" si="4"/>
        <v>31584.967109487028</v>
      </c>
      <c r="F150" s="23">
        <f t="shared" si="5"/>
        <v>28045.5586425</v>
      </c>
      <c r="G150" s="23">
        <f>IF(OR($N150=0,COUNT('TO HOP GOI DAU'!$M$81:$M$84)=0),0,INDEX('TO HOP GOI DAU'!$I$81:$I$84,MATCH(MAX('TO HOP GOI DAU'!$M$81:$M$84),'TO HOP GOI DAU'!$M$81:$M$84,0)))</f>
        <v>34091.265631949253</v>
      </c>
      <c r="H150" s="23">
        <f>IF(OR($N150=0,COUNT('TO HOP GOI DAU'!$N$81:$N$84)=0),0,INDEX('TO HOP GOI DAU'!$J$81:$J$84,MATCH(MAX('TO HOP GOI DAU'!$N$81:$N$84),'TO HOP GOI DAU'!$N$81:$N$84,0)))</f>
        <v>2697.1364775610136</v>
      </c>
      <c r="I150" s="23">
        <f t="shared" si="6"/>
        <v>0</v>
      </c>
      <c r="J150" s="23">
        <f t="shared" si="7"/>
        <v>27395.467109487028</v>
      </c>
      <c r="K150" s="23">
        <f t="shared" si="8"/>
        <v>28045.5586425</v>
      </c>
      <c r="L150" s="23">
        <f>IF(OR($N150=0,COUNT('TO HOP GOI DAU'!$O$81:$O$84)=0),0,INDEX('TO HOP GOI DAU'!$K$81:$K$84,MATCH(MAX('TO HOP GOI DAU'!$O$81:$O$84),'TO HOP GOI DAU'!$O$81:$O$84,0)))</f>
        <v>28696.992676827227</v>
      </c>
      <c r="N150" s="14">
        <v>20</v>
      </c>
    </row>
    <row r="151" spans="2:14" ht="27.6" x14ac:dyDescent="0.3">
      <c r="B151" s="19" t="str">
        <f t="shared" si="2"/>
        <v>CĐ I(a) max - 2 nhịp lệch tâm 3 làn</v>
      </c>
      <c r="C151" s="23">
        <f>IF(OR($N151=0,COUNT('TO HOP GOI DAU'!$L$85:$L$88)=0),0,INDEX('TO HOP GOI DAU'!$H$85:$H$88,MATCH(MAX('TO HOP GOI DAU'!$L$85:$L$88),'TO HOP GOI DAU'!$L$85:$L$88,0)))</f>
        <v>2697.1364775610136</v>
      </c>
      <c r="D151" s="23">
        <f t="shared" si="3"/>
        <v>0</v>
      </c>
      <c r="E151" s="23">
        <f t="shared" si="4"/>
        <v>32505.866049987028</v>
      </c>
      <c r="F151" s="23">
        <f t="shared" si="5"/>
        <v>29353.653728437501</v>
      </c>
      <c r="G151" s="23">
        <f>IF(OR($N151=0,COUNT('TO HOP GOI DAU'!$M$85:$M$88)=0),0,INDEX('TO HOP GOI DAU'!$I$85:$I$88,MATCH(MAX('TO HOP GOI DAU'!$M$85:$M$88),'TO HOP GOI DAU'!$M$85:$M$88,0)))</f>
        <v>34091.265631949253</v>
      </c>
      <c r="H151" s="23">
        <f>IF(OR($N151=0,COUNT('TO HOP GOI DAU'!$N$85:$N$88)=0),0,INDEX('TO HOP GOI DAU'!$J$85:$J$88,MATCH(MAX('TO HOP GOI DAU'!$N$85:$N$88),'TO HOP GOI DAU'!$N$85:$N$88,0)))</f>
        <v>2697.1364775610136</v>
      </c>
      <c r="I151" s="23">
        <f t="shared" si="6"/>
        <v>0</v>
      </c>
      <c r="J151" s="23">
        <f t="shared" si="7"/>
        <v>28316.366049987028</v>
      </c>
      <c r="K151" s="23">
        <f t="shared" si="8"/>
        <v>29353.653728437501</v>
      </c>
      <c r="L151" s="23">
        <f>IF(OR($N151=0,COUNT('TO HOP GOI DAU'!$O$85:$O$88)=0),0,INDEX('TO HOP GOI DAU'!$K$85:$K$88,MATCH(MAX('TO HOP GOI DAU'!$O$85:$O$88),'TO HOP GOI DAU'!$O$85:$O$88,0)))</f>
        <v>28696.992676827227</v>
      </c>
      <c r="N151" s="14">
        <v>21</v>
      </c>
    </row>
    <row r="152" spans="2:14" ht="27.6" x14ac:dyDescent="0.3">
      <c r="B152" s="19" t="str">
        <f t="shared" si="2"/>
        <v>CĐ I(a) max - 2 nhịp lệch tâm 4 làn</v>
      </c>
      <c r="C152" s="23">
        <f>IF(OR($N152=0,COUNT('TO HOP GOI DAU'!$L$89:$L$92)=0),0,INDEX('TO HOP GOI DAU'!$H$89:$H$92,MATCH(MAX('TO HOP GOI DAU'!$L$89:$L$92),'TO HOP GOI DAU'!$L$89:$L$92,0)))</f>
        <v>2697.1364775610136</v>
      </c>
      <c r="D152" s="23">
        <f t="shared" si="3"/>
        <v>0</v>
      </c>
      <c r="E152" s="23">
        <f t="shared" si="4"/>
        <v>32589.584135487028</v>
      </c>
      <c r="F152" s="23">
        <f t="shared" si="5"/>
        <v>23399.204897250002</v>
      </c>
      <c r="G152" s="23">
        <f>IF(OR($N152=0,COUNT('TO HOP GOI DAU'!$M$89:$M$92)=0),0,INDEX('TO HOP GOI DAU'!$I$89:$I$92,MATCH(MAX('TO HOP GOI DAU'!$M$89:$M$92),'TO HOP GOI DAU'!$M$89:$M$92,0)))</f>
        <v>34091.265631949253</v>
      </c>
      <c r="H152" s="23">
        <f>IF(OR($N152=0,COUNT('TO HOP GOI DAU'!$N$89:$N$92)=0),0,INDEX('TO HOP GOI DAU'!$J$89:$J$92,MATCH(MAX('TO HOP GOI DAU'!$N$89:$N$92),'TO HOP GOI DAU'!$N$89:$N$92,0)))</f>
        <v>2697.1364775610136</v>
      </c>
      <c r="I152" s="23">
        <f t="shared" si="6"/>
        <v>0</v>
      </c>
      <c r="J152" s="23">
        <f t="shared" si="7"/>
        <v>28400.084135487028</v>
      </c>
      <c r="K152" s="23">
        <f t="shared" si="8"/>
        <v>23399.204897250002</v>
      </c>
      <c r="L152" s="23">
        <f>IF(OR($N152=0,COUNT('TO HOP GOI DAU'!$O$89:$O$92)=0),0,INDEX('TO HOP GOI DAU'!$K$89:$K$92,MATCH(MAX('TO HOP GOI DAU'!$O$89:$O$92),'TO HOP GOI DAU'!$O$89:$O$92,0)))</f>
        <v>28696.992676827227</v>
      </c>
      <c r="N152" s="14">
        <v>22</v>
      </c>
    </row>
    <row r="153" spans="2:14" ht="27.6" x14ac:dyDescent="0.3">
      <c r="B153" s="19" t="str">
        <f t="shared" si="2"/>
        <v>CĐ I(a) max - 2 nhịp lệch tâm 5 làn</v>
      </c>
      <c r="C153" s="23">
        <f>IF(OR($N153=0,COUNT('TO HOP GOI DAU'!$L$93:$L$96)=0),0,INDEX('TO HOP GOI DAU'!$H$93:$H$96,MATCH(MAX('TO HOP GOI DAU'!$L$93:$L$96),'TO HOP GOI DAU'!$L$93:$L$96,0)))</f>
        <v>2697.1364775610136</v>
      </c>
      <c r="D153" s="23">
        <f t="shared" si="3"/>
        <v>0</v>
      </c>
      <c r="E153" s="23">
        <f t="shared" si="4"/>
        <v>33677.919246987025</v>
      </c>
      <c r="F153" s="23">
        <f t="shared" si="5"/>
        <v>21086.492785312505</v>
      </c>
      <c r="G153" s="23">
        <f>IF(OR($N153=0,COUNT('TO HOP GOI DAU'!$M$93:$M$96)=0),0,INDEX('TO HOP GOI DAU'!$I$93:$I$96,MATCH(MAX('TO HOP GOI DAU'!$M$93:$M$96),'TO HOP GOI DAU'!$M$93:$M$96,0)))</f>
        <v>34091.265631949253</v>
      </c>
      <c r="H153" s="23">
        <f>IF(OR($N153=0,COUNT('TO HOP GOI DAU'!$N$93:$N$96)=0),0,INDEX('TO HOP GOI DAU'!$J$93:$J$96,MATCH(MAX('TO HOP GOI DAU'!$N$93:$N$96),'TO HOP GOI DAU'!$N$93:$N$96,0)))</f>
        <v>2697.1364775610136</v>
      </c>
      <c r="I153" s="23">
        <f t="shared" si="6"/>
        <v>0</v>
      </c>
      <c r="J153" s="23">
        <f t="shared" si="7"/>
        <v>29488.419246987025</v>
      </c>
      <c r="K153" s="23">
        <f t="shared" si="8"/>
        <v>21086.492785312505</v>
      </c>
      <c r="L153" s="23">
        <f>IF(OR($N153=0,COUNT('TO HOP GOI DAU'!$O$93:$O$96)=0),0,INDEX('TO HOP GOI DAU'!$K$93:$K$96,MATCH(MAX('TO HOP GOI DAU'!$O$93:$O$96),'TO HOP GOI DAU'!$O$93:$O$96,0)))</f>
        <v>28696.992676827227</v>
      </c>
      <c r="N153" s="14">
        <v>23</v>
      </c>
    </row>
    <row r="154" spans="2:14" ht="27.6" x14ac:dyDescent="0.3">
      <c r="B154" s="19" t="str">
        <f t="shared" si="2"/>
        <v>CĐ I(a) max - 2 nhịp lệch tâm 6 làn</v>
      </c>
      <c r="C154" s="23">
        <f>IF(OR($N154=0,COUNT('TO HOP GOI DAU'!$L$97:$L$100)=0),0,INDEX('TO HOP GOI DAU'!$H$97:$H$100,MATCH(MAX('TO HOP GOI DAU'!$L$97:$L$100),'TO HOP GOI DAU'!$L$97:$L$100,0)))</f>
        <v>2697.1364775610136</v>
      </c>
      <c r="D154" s="23">
        <f t="shared" si="3"/>
        <v>0</v>
      </c>
      <c r="E154" s="23">
        <f t="shared" si="4"/>
        <v>34766.254358487029</v>
      </c>
      <c r="F154" s="23">
        <f t="shared" si="5"/>
        <v>15508.775338875001</v>
      </c>
      <c r="G154" s="23">
        <f>IF(OR($N154=0,COUNT('TO HOP GOI DAU'!$M$97:$M$100)=0),0,INDEX('TO HOP GOI DAU'!$I$97:$I$100,MATCH(MAX('TO HOP GOI DAU'!$M$97:$M$100),'TO HOP GOI DAU'!$M$97:$M$100,0)))</f>
        <v>34091.265631949253</v>
      </c>
      <c r="H154" s="23">
        <f>IF(OR($N154=0,COUNT('TO HOP GOI DAU'!$N$97:$N$100)=0),0,INDEX('TO HOP GOI DAU'!$J$97:$J$100,MATCH(MAX('TO HOP GOI DAU'!$N$97:$N$100),'TO HOP GOI DAU'!$N$97:$N$100,0)))</f>
        <v>2697.1364775610136</v>
      </c>
      <c r="I154" s="23">
        <f t="shared" si="6"/>
        <v>0</v>
      </c>
      <c r="J154" s="23">
        <f t="shared" si="7"/>
        <v>30576.754358487025</v>
      </c>
      <c r="K154" s="23">
        <f t="shared" si="8"/>
        <v>15508.775338875001</v>
      </c>
      <c r="L154" s="23">
        <f>IF(OR($N154=0,COUNT('TO HOP GOI DAU'!$O$97:$O$100)=0),0,INDEX('TO HOP GOI DAU'!$K$97:$K$100,MATCH(MAX('TO HOP GOI DAU'!$O$97:$O$100),'TO HOP GOI DAU'!$O$97:$O$100,0)))</f>
        <v>28696.992676827227</v>
      </c>
      <c r="N154" s="14">
        <v>24</v>
      </c>
    </row>
    <row r="155" spans="2:14" ht="27.6" x14ac:dyDescent="0.3">
      <c r="B155" s="19" t="str">
        <f t="shared" si="2"/>
        <v>CĐ I(a) max - 2 nhịp đúng tâm 1 làn</v>
      </c>
      <c r="C155" s="23">
        <f>IF(OR($N155=0,COUNT('TO HOP GOI DAU'!$L$101:$L$104)=0),0,INDEX('TO HOP GOI DAU'!$H$101:$H$104,MATCH(MAX('TO HOP GOI DAU'!$L$101:$L$104),'TO HOP GOI DAU'!$L$101:$L$104,0)))</f>
        <v>2697.1364775610136</v>
      </c>
      <c r="D155" s="23">
        <f t="shared" si="3"/>
        <v>0</v>
      </c>
      <c r="E155" s="23">
        <f t="shared" si="4"/>
        <v>30245.477741487026</v>
      </c>
      <c r="F155" s="23">
        <f t="shared" si="5"/>
        <v>0</v>
      </c>
      <c r="G155" s="23">
        <f>IF(OR($N155=0,COUNT('TO HOP GOI DAU'!$M$101:$M$104)=0),0,INDEX('TO HOP GOI DAU'!$I$101:$I$104,MATCH(MAX('TO HOP GOI DAU'!$M$101:$M$104),'TO HOP GOI DAU'!$M$101:$M$104,0)))</f>
        <v>34091.265631949253</v>
      </c>
      <c r="H155" s="23">
        <f>IF(OR($N155=0,COUNT('TO HOP GOI DAU'!$N$101:$N$104)=0),0,INDEX('TO HOP GOI DAU'!$J$101:$J$104,MATCH(MAX('TO HOP GOI DAU'!$N$101:$N$104),'TO HOP GOI DAU'!$N$101:$N$104,0)))</f>
        <v>2697.1364775610136</v>
      </c>
      <c r="I155" s="23">
        <f t="shared" si="6"/>
        <v>0</v>
      </c>
      <c r="J155" s="23">
        <f t="shared" si="7"/>
        <v>26055.977741487026</v>
      </c>
      <c r="K155" s="23">
        <f t="shared" si="8"/>
        <v>0</v>
      </c>
      <c r="L155" s="23">
        <f>IF(OR($N155=0,COUNT('TO HOP GOI DAU'!$O$101:$O$104)=0),0,INDEX('TO HOP GOI DAU'!$K$101:$K$104,MATCH(MAX('TO HOP GOI DAU'!$O$101:$O$104),'TO HOP GOI DAU'!$O$101:$O$104,0)))</f>
        <v>28696.992676827227</v>
      </c>
      <c r="N155" s="14">
        <v>25</v>
      </c>
    </row>
    <row r="156" spans="2:14" ht="27.6" x14ac:dyDescent="0.3">
      <c r="B156" s="19" t="str">
        <f t="shared" si="2"/>
        <v>CĐ I(a) max - 2 nhịp đúng tâm 2 làn</v>
      </c>
      <c r="C156" s="23">
        <f>IF(OR($N156=0,COUNT('TO HOP GOI DAU'!$L$105:$L$108)=0),0,INDEX('TO HOP GOI DAU'!$H$105:$H$108,MATCH(MAX('TO HOP GOI DAU'!$L$105:$L$108),'TO HOP GOI DAU'!$L$105:$L$108,0)))</f>
        <v>2697.1364775610136</v>
      </c>
      <c r="D156" s="23">
        <f t="shared" si="3"/>
        <v>0</v>
      </c>
      <c r="E156" s="23">
        <f t="shared" si="4"/>
        <v>31584.967109487028</v>
      </c>
      <c r="F156" s="23">
        <f t="shared" si="5"/>
        <v>0</v>
      </c>
      <c r="G156" s="23">
        <f>IF(OR($N156=0,COUNT('TO HOP GOI DAU'!$M$105:$M$108)=0),0,INDEX('TO HOP GOI DAU'!$I$105:$I$108,MATCH(MAX('TO HOP GOI DAU'!$M$105:$M$108),'TO HOP GOI DAU'!$M$105:$M$108,0)))</f>
        <v>34091.265631949253</v>
      </c>
      <c r="H156" s="23">
        <f>IF(OR($N156=0,COUNT('TO HOP GOI DAU'!$N$105:$N$108)=0),0,INDEX('TO HOP GOI DAU'!$J$105:$J$108,MATCH(MAX('TO HOP GOI DAU'!$N$105:$N$108),'TO HOP GOI DAU'!$N$105:$N$108,0)))</f>
        <v>2697.1364775610136</v>
      </c>
      <c r="I156" s="23">
        <f t="shared" si="6"/>
        <v>0</v>
      </c>
      <c r="J156" s="23">
        <f t="shared" si="7"/>
        <v>27395.467109487028</v>
      </c>
      <c r="K156" s="23">
        <f t="shared" si="8"/>
        <v>0</v>
      </c>
      <c r="L156" s="23">
        <f>IF(OR($N156=0,COUNT('TO HOP GOI DAU'!$O$105:$O$108)=0),0,INDEX('TO HOP GOI DAU'!$K$105:$K$108,MATCH(MAX('TO HOP GOI DAU'!$O$105:$O$108),'TO HOP GOI DAU'!$O$105:$O$108,0)))</f>
        <v>28696.992676827227</v>
      </c>
      <c r="N156" s="14">
        <v>26</v>
      </c>
    </row>
    <row r="157" spans="2:14" ht="27.6" x14ac:dyDescent="0.3">
      <c r="B157" s="19" t="str">
        <f t="shared" si="2"/>
        <v>CĐ I(a) max - 2 nhịp đúng tâm 3 làn</v>
      </c>
      <c r="C157" s="23">
        <f>IF(OR($N157=0,COUNT('TO HOP GOI DAU'!$L$109:$L$112)=0),0,INDEX('TO HOP GOI DAU'!$H$109:$H$112,MATCH(MAX('TO HOP GOI DAU'!$L$109:$L$112),'TO HOP GOI DAU'!$L$109:$L$112,0)))</f>
        <v>2697.1364775610136</v>
      </c>
      <c r="D157" s="23">
        <f t="shared" si="3"/>
        <v>0</v>
      </c>
      <c r="E157" s="23">
        <f t="shared" si="4"/>
        <v>32505.866049987028</v>
      </c>
      <c r="F157" s="23">
        <f t="shared" si="5"/>
        <v>0</v>
      </c>
      <c r="G157" s="23">
        <f>IF(OR($N157=0,COUNT('TO HOP GOI DAU'!$M$109:$M$112)=0),0,INDEX('TO HOP GOI DAU'!$I$109:$I$112,MATCH(MAX('TO HOP GOI DAU'!$M$109:$M$112),'TO HOP GOI DAU'!$M$109:$M$112,0)))</f>
        <v>34091.265631949253</v>
      </c>
      <c r="H157" s="23">
        <f>IF(OR($N157=0,COUNT('TO HOP GOI DAU'!$N$109:$N$112)=0),0,INDEX('TO HOP GOI DAU'!$J$109:$J$112,MATCH(MAX('TO HOP GOI DAU'!$N$109:$N$112),'TO HOP GOI DAU'!$N$109:$N$112,0)))</f>
        <v>2697.1364775610136</v>
      </c>
      <c r="I157" s="23">
        <f t="shared" si="6"/>
        <v>0</v>
      </c>
      <c r="J157" s="23">
        <f t="shared" si="7"/>
        <v>28316.366049987028</v>
      </c>
      <c r="K157" s="23">
        <f t="shared" si="8"/>
        <v>0</v>
      </c>
      <c r="L157" s="23">
        <f>IF(OR($N157=0,COUNT('TO HOP GOI DAU'!$O$109:$O$112)=0),0,INDEX('TO HOP GOI DAU'!$K$109:$K$112,MATCH(MAX('TO HOP GOI DAU'!$O$109:$O$112),'TO HOP GOI DAU'!$O$109:$O$112,0)))</f>
        <v>28696.992676827227</v>
      </c>
      <c r="N157" s="14">
        <v>27</v>
      </c>
    </row>
    <row r="158" spans="2:14" ht="27.6" x14ac:dyDescent="0.3">
      <c r="B158" s="19" t="str">
        <f t="shared" si="2"/>
        <v>CĐ I(a) max - 2 nhịp đúng tâm 4 làn</v>
      </c>
      <c r="C158" s="23">
        <f>IF(OR($N158=0,COUNT('TO HOP GOI DAU'!$L$113:$L$116)=0),0,INDEX('TO HOP GOI DAU'!$H$113:$H$116,MATCH(MAX('TO HOP GOI DAU'!$L$113:$L$116),'TO HOP GOI DAU'!$L$113:$L$116,0)))</f>
        <v>2697.1364775610136</v>
      </c>
      <c r="D158" s="23">
        <f t="shared" si="3"/>
        <v>0</v>
      </c>
      <c r="E158" s="23">
        <f t="shared" si="4"/>
        <v>32589.584135487028</v>
      </c>
      <c r="F158" s="23">
        <f t="shared" si="5"/>
        <v>0</v>
      </c>
      <c r="G158" s="23">
        <f>IF(OR($N158=0,COUNT('TO HOP GOI DAU'!$M$113:$M$116)=0),0,INDEX('TO HOP GOI DAU'!$I$113:$I$116,MATCH(MAX('TO HOP GOI DAU'!$M$113:$M$116),'TO HOP GOI DAU'!$M$113:$M$116,0)))</f>
        <v>34091.265631949253</v>
      </c>
      <c r="H158" s="23">
        <f>IF(OR($N158=0,COUNT('TO HOP GOI DAU'!$N$113:$N$116)=0),0,INDEX('TO HOP GOI DAU'!$J$113:$J$116,MATCH(MAX('TO HOP GOI DAU'!$N$113:$N$116),'TO HOP GOI DAU'!$N$113:$N$116,0)))</f>
        <v>2697.1364775610136</v>
      </c>
      <c r="I158" s="23">
        <f t="shared" si="6"/>
        <v>0</v>
      </c>
      <c r="J158" s="23">
        <f t="shared" si="7"/>
        <v>28400.084135487028</v>
      </c>
      <c r="K158" s="23">
        <f t="shared" si="8"/>
        <v>0</v>
      </c>
      <c r="L158" s="23">
        <f>IF(OR($N158=0,COUNT('TO HOP GOI DAU'!$O$113:$O$116)=0),0,INDEX('TO HOP GOI DAU'!$K$113:$K$116,MATCH(MAX('TO HOP GOI DAU'!$O$113:$O$116),'TO HOP GOI DAU'!$O$113:$O$116,0)))</f>
        <v>28696.992676827227</v>
      </c>
      <c r="N158" s="14">
        <v>28</v>
      </c>
    </row>
    <row r="159" spans="2:14" ht="27.6" x14ac:dyDescent="0.3">
      <c r="B159" s="19" t="str">
        <f t="shared" si="2"/>
        <v>CĐ I(a) max - 2 nhịp đúng tâm 5 làn</v>
      </c>
      <c r="C159" s="23">
        <f>IF(OR($N159=0,COUNT('TO HOP GOI DAU'!$L$117:$L$120)=0),0,INDEX('TO HOP GOI DAU'!$H$117:$H$120,MATCH(MAX('TO HOP GOI DAU'!$L$117:$L$120),'TO HOP GOI DAU'!$L$117:$L$120,0)))</f>
        <v>2697.1364775610136</v>
      </c>
      <c r="D159" s="23">
        <f t="shared" si="3"/>
        <v>0</v>
      </c>
      <c r="E159" s="23">
        <f t="shared" si="4"/>
        <v>33677.919246987025</v>
      </c>
      <c r="F159" s="23">
        <f t="shared" si="5"/>
        <v>0</v>
      </c>
      <c r="G159" s="23">
        <f>IF(OR($N159=0,COUNT('TO HOP GOI DAU'!$M$117:$M$120)=0),0,INDEX('TO HOP GOI DAU'!$I$117:$I$120,MATCH(MAX('TO HOP GOI DAU'!$M$117:$M$120),'TO HOP GOI DAU'!$M$117:$M$120,0)))</f>
        <v>34091.265631949253</v>
      </c>
      <c r="H159" s="23">
        <f>IF(OR($N159=0,COUNT('TO HOP GOI DAU'!$N$117:$N$120)=0),0,INDEX('TO HOP GOI DAU'!$J$117:$J$120,MATCH(MAX('TO HOP GOI DAU'!$N$117:$N$120),'TO HOP GOI DAU'!$N$117:$N$120,0)))</f>
        <v>2697.1364775610136</v>
      </c>
      <c r="I159" s="23">
        <f t="shared" si="6"/>
        <v>0</v>
      </c>
      <c r="J159" s="23">
        <f t="shared" si="7"/>
        <v>29488.419246987025</v>
      </c>
      <c r="K159" s="23">
        <f t="shared" si="8"/>
        <v>0</v>
      </c>
      <c r="L159" s="23">
        <f>IF(OR($N159=0,COUNT('TO HOP GOI DAU'!$O$117:$O$120)=0),0,INDEX('TO HOP GOI DAU'!$K$117:$K$120,MATCH(MAX('TO HOP GOI DAU'!$O$117:$O$120),'TO HOP GOI DAU'!$O$117:$O$120,0)))</f>
        <v>28696.992676827227</v>
      </c>
      <c r="N159" s="14">
        <v>29</v>
      </c>
    </row>
    <row r="160" spans="2:14" ht="27.6" x14ac:dyDescent="0.3">
      <c r="B160" s="19" t="str">
        <f t="shared" si="2"/>
        <v>CĐ I(a) max - 2 nhịp đúng tâm 6 làn</v>
      </c>
      <c r="C160" s="23">
        <f>IF(OR($N160=0,COUNT('TO HOP GOI DAU'!$L$121:$L$124)=0),0,INDEX('TO HOP GOI DAU'!$H$121:$H$124,MATCH(MAX('TO HOP GOI DAU'!$L$121:$L$124),'TO HOP GOI DAU'!$L$121:$L$124,0)))</f>
        <v>2697.1364775610136</v>
      </c>
      <c r="D160" s="23">
        <f t="shared" si="3"/>
        <v>0</v>
      </c>
      <c r="E160" s="23">
        <f t="shared" si="4"/>
        <v>34766.254358487029</v>
      </c>
      <c r="F160" s="23">
        <f t="shared" si="5"/>
        <v>0</v>
      </c>
      <c r="G160" s="23">
        <f>IF(OR($N160=0,COUNT('TO HOP GOI DAU'!$M$121:$M$124)=0),0,INDEX('TO HOP GOI DAU'!$I$121:$I$124,MATCH(MAX('TO HOP GOI DAU'!$M$121:$M$124),'TO HOP GOI DAU'!$M$121:$M$124,0)))</f>
        <v>34091.265631949253</v>
      </c>
      <c r="H160" s="23">
        <f>IF(OR($N160=0,COUNT('TO HOP GOI DAU'!$N$121:$N$124)=0),0,INDEX('TO HOP GOI DAU'!$J$121:$J$124,MATCH(MAX('TO HOP GOI DAU'!$N$121:$N$124),'TO HOP GOI DAU'!$N$121:$N$124,0)))</f>
        <v>2697.1364775610136</v>
      </c>
      <c r="I160" s="23">
        <f t="shared" si="6"/>
        <v>0</v>
      </c>
      <c r="J160" s="23">
        <f t="shared" si="7"/>
        <v>30576.754358487025</v>
      </c>
      <c r="K160" s="23">
        <f t="shared" si="8"/>
        <v>0</v>
      </c>
      <c r="L160" s="23">
        <f>IF(OR($N160=0,COUNT('TO HOP GOI DAU'!$O$121:$O$124)=0),0,INDEX('TO HOP GOI DAU'!$K$121:$K$124,MATCH(MAX('TO HOP GOI DAU'!$O$121:$O$124),'TO HOP GOI DAU'!$O$121:$O$124,0)))</f>
        <v>28696.992676827227</v>
      </c>
      <c r="N160" s="14">
        <v>30</v>
      </c>
    </row>
    <row r="161" spans="2:14" x14ac:dyDescent="0.3">
      <c r="B161" s="19" t="str">
        <f t="shared" si="2"/>
        <v>CĐ I(a) max - 1 nhịp 1 làn</v>
      </c>
      <c r="C161" s="23">
        <f>IF(OR($N161=0,COUNT('TO HOP GOI DAU'!$L$125:$L$128)=0),0,INDEX('TO HOP GOI DAU'!$H$125:$H$128,MATCH(MAX('TO HOP GOI DAU'!$L$125:$L$128),'TO HOP GOI DAU'!$L$125:$L$128,0)))</f>
        <v>2697.1364775610136</v>
      </c>
      <c r="D161" s="23">
        <f t="shared" si="3"/>
        <v>0</v>
      </c>
      <c r="E161" s="23">
        <f t="shared" si="4"/>
        <v>29441.299429487026</v>
      </c>
      <c r="F161" s="23">
        <f t="shared" si="5"/>
        <v>11899.9254325</v>
      </c>
      <c r="G161" s="23">
        <f>IF(OR($N161=0,COUNT('TO HOP GOI DAU'!$M$125:$M$128)=0),0,INDEX('TO HOP GOI DAU'!$I$125:$I$128,MATCH(MAX('TO HOP GOI DAU'!$M$125:$M$128),'TO HOP GOI DAU'!$M$125:$M$128,0)))</f>
        <v>35175.815797949253</v>
      </c>
      <c r="H161" s="23">
        <f>IF(OR($N161=0,COUNT('TO HOP GOI DAU'!$N$125:$N$128)=0),0,INDEX('TO HOP GOI DAU'!$J$125:$J$128,MATCH(MAX('TO HOP GOI DAU'!$N$125:$N$128),'TO HOP GOI DAU'!$N$125:$N$128,0)))</f>
        <v>2697.1364775610136</v>
      </c>
      <c r="I161" s="23">
        <f t="shared" si="6"/>
        <v>0</v>
      </c>
      <c r="J161" s="23">
        <f t="shared" si="7"/>
        <v>25251.799429487026</v>
      </c>
      <c r="K161" s="23">
        <f t="shared" si="8"/>
        <v>11899.9254325</v>
      </c>
      <c r="L161" s="23">
        <f>IF(OR($N161=0,COUNT('TO HOP GOI DAU'!$O$125:$O$128)=0),0,INDEX('TO HOP GOI DAU'!$K$125:$K$128,MATCH(MAX('TO HOP GOI DAU'!$O$125:$O$128),'TO HOP GOI DAU'!$O$125:$O$128,0)))</f>
        <v>29781.542842827224</v>
      </c>
      <c r="N161" s="14">
        <v>31</v>
      </c>
    </row>
    <row r="162" spans="2:14" x14ac:dyDescent="0.3">
      <c r="B162" s="19" t="str">
        <f t="shared" si="2"/>
        <v>CĐ I(a) max - 1 nhịp 2 làn</v>
      </c>
      <c r="C162" s="23">
        <f>IF(OR($N162=0,COUNT('TO HOP GOI DAU'!$L$129:$L$132)=0),0,INDEX('TO HOP GOI DAU'!$H$129:$H$132,MATCH(MAX('TO HOP GOI DAU'!$L$129:$L$132),'TO HOP GOI DAU'!$L$129:$L$132,0)))</f>
        <v>2697.1364775610136</v>
      </c>
      <c r="D162" s="23">
        <f t="shared" si="3"/>
        <v>0</v>
      </c>
      <c r="E162" s="23">
        <f t="shared" si="4"/>
        <v>30244.669922820358</v>
      </c>
      <c r="F162" s="23">
        <f t="shared" si="5"/>
        <v>16820.569704166668</v>
      </c>
      <c r="G162" s="23">
        <f>IF(OR($N162=0,COUNT('TO HOP GOI DAU'!$M$129:$M$132)=0),0,INDEX('TO HOP GOI DAU'!$I$129:$I$132,MATCH(MAX('TO HOP GOI DAU'!$M$129:$M$132),'TO HOP GOI DAU'!$M$129:$M$132,0)))</f>
        <v>35898.849241949254</v>
      </c>
      <c r="H162" s="23">
        <f>IF(OR($N162=0,COUNT('TO HOP GOI DAU'!$N$129:$N$132)=0),0,INDEX('TO HOP GOI DAU'!$J$129:$J$132,MATCH(MAX('TO HOP GOI DAU'!$N$129:$N$132),'TO HOP GOI DAU'!$N$129:$N$132,0)))</f>
        <v>2697.1364775610136</v>
      </c>
      <c r="I162" s="23">
        <f t="shared" si="6"/>
        <v>0</v>
      </c>
      <c r="J162" s="23">
        <f t="shared" si="7"/>
        <v>26055.169922820358</v>
      </c>
      <c r="K162" s="23">
        <f t="shared" si="8"/>
        <v>16820.569704166668</v>
      </c>
      <c r="L162" s="23">
        <f>IF(OR($N162=0,COUNT('TO HOP GOI DAU'!$O$129:$O$132)=0),0,INDEX('TO HOP GOI DAU'!$K$129:$K$132,MATCH(MAX('TO HOP GOI DAU'!$O$129:$O$132),'TO HOP GOI DAU'!$O$129:$O$132,0)))</f>
        <v>30504.576286827225</v>
      </c>
      <c r="N162" s="14">
        <v>32</v>
      </c>
    </row>
    <row r="163" spans="2:14" x14ac:dyDescent="0.3">
      <c r="B163" s="19" t="str">
        <f t="shared" ref="B163:B192" si="9">IF($N163=0,"",INDEX($B$66:$B$127,$N163))</f>
        <v>CĐ I(a) max - 1 nhịp 3 làn</v>
      </c>
      <c r="C163" s="23">
        <f>IF(OR($N163=0,COUNT('TO HOP GOI DAU'!$L$133:$L$136)=0),0,INDEX('TO HOP GOI DAU'!$H$133:$H$136,MATCH(MAX('TO HOP GOI DAU'!$L$133:$L$136),'TO HOP GOI DAU'!$L$133:$L$136,0)))</f>
        <v>2697.1364775610136</v>
      </c>
      <c r="D163" s="23">
        <f t="shared" ref="D163:D192" si="10">IF($N163=0,0,SUMPRODUCT(INDEX($C$66:$AT$127,$N163,0),$C$54:$AT$54))</f>
        <v>0</v>
      </c>
      <c r="E163" s="23">
        <f t="shared" ref="E163:E192" si="11">IF($N163=0,0,SUMPRODUCT(INDEX($C$66:$AT$127,$N163,0),$C$55:$AT$55))</f>
        <v>30796.987136987027</v>
      </c>
      <c r="F163" s="23">
        <f t="shared" ref="F163:F192" si="12">IF($N163=0,0,SUMPRODUCT(INDEX($C$66:$AT$127,$N163,0),$C$56:$AT$56))</f>
        <v>17605.111201562504</v>
      </c>
      <c r="G163" s="23">
        <f>IF(OR($N163=0,COUNT('TO HOP GOI DAU'!$M$133:$M$136)=0),0,INDEX('TO HOP GOI DAU'!$I$133:$I$136,MATCH(MAX('TO HOP GOI DAU'!$M$133:$M$136),'TO HOP GOI DAU'!$M$133:$M$136,0)))</f>
        <v>36395.934734699251</v>
      </c>
      <c r="H163" s="23">
        <f>IF(OR($N163=0,COUNT('TO HOP GOI DAU'!$N$133:$N$136)=0),0,INDEX('TO HOP GOI DAU'!$J$133:$J$136,MATCH(MAX('TO HOP GOI DAU'!$N$133:$N$136),'TO HOP GOI DAU'!$N$133:$N$136,0)))</f>
        <v>2697.1364775610136</v>
      </c>
      <c r="I163" s="23">
        <f t="shared" ref="I163:I192" si="13">IF($N163=0,0,SUMPRODUCT(INDEX($C$66:$AT$127,$N163,0),$C$59:$AT$59))</f>
        <v>0</v>
      </c>
      <c r="J163" s="23">
        <f t="shared" ref="J163:J192" si="14">IF($N163=0,0,SUMPRODUCT(INDEX($C$66:$AT$127,$N163,0),$C$60:$AT$60))</f>
        <v>26607.487136987027</v>
      </c>
      <c r="K163" s="23">
        <f t="shared" ref="K163:K192" si="15">IF($N163=0,0,SUMPRODUCT(INDEX($C$66:$AT$127,$N163,0),$C$61:$AT$61))</f>
        <v>17605.111201562504</v>
      </c>
      <c r="L163" s="23">
        <f>IF(OR($N163=0,COUNT('TO HOP GOI DAU'!$O$133:$O$136)=0),0,INDEX('TO HOP GOI DAU'!$K$133:$K$136,MATCH(MAX('TO HOP GOI DAU'!$O$133:$O$136),'TO HOP GOI DAU'!$O$133:$O$136,0)))</f>
        <v>31001.661779577225</v>
      </c>
      <c r="N163" s="14">
        <v>33</v>
      </c>
    </row>
    <row r="164" spans="2:14" x14ac:dyDescent="0.3">
      <c r="B164" s="19" t="str">
        <f t="shared" si="9"/>
        <v>CĐ I(a) max - 1 nhịp 4 làn</v>
      </c>
      <c r="C164" s="23">
        <f>IF(OR($N164=0,COUNT('TO HOP GOI DAU'!$L$137:$L$140)=0),0,INDEX('TO HOP GOI DAU'!$H$137:$H$140,MATCH(MAX('TO HOP GOI DAU'!$L$137:$L$140),'TO HOP GOI DAU'!$L$137:$L$140,0)))</f>
        <v>2697.1364775610136</v>
      </c>
      <c r="D164" s="23">
        <f t="shared" si="10"/>
        <v>0</v>
      </c>
      <c r="E164" s="23">
        <f t="shared" si="11"/>
        <v>30847.19779282036</v>
      </c>
      <c r="F164" s="23">
        <f t="shared" si="12"/>
        <v>14033.878305416669</v>
      </c>
      <c r="G164" s="23">
        <f>IF(OR($N164=0,COUNT('TO HOP GOI DAU'!$M$137:$M$140)=0),0,INDEX('TO HOP GOI DAU'!$I$137:$I$140,MATCH(MAX('TO HOP GOI DAU'!$M$137:$M$140),'TO HOP GOI DAU'!$M$137:$M$140,0)))</f>
        <v>36441.124324949247</v>
      </c>
      <c r="H164" s="23">
        <f>IF(OR($N164=0,COUNT('TO HOP GOI DAU'!$N$137:$N$140)=0),0,INDEX('TO HOP GOI DAU'!$J$137:$J$140,MATCH(MAX('TO HOP GOI DAU'!$N$137:$N$140),'TO HOP GOI DAU'!$N$137:$N$140,0)))</f>
        <v>2697.1364775610136</v>
      </c>
      <c r="I164" s="23">
        <f t="shared" si="13"/>
        <v>0</v>
      </c>
      <c r="J164" s="23">
        <f t="shared" si="14"/>
        <v>26657.69779282036</v>
      </c>
      <c r="K164" s="23">
        <f t="shared" si="15"/>
        <v>14033.878305416669</v>
      </c>
      <c r="L164" s="23">
        <f>IF(OR($N164=0,COUNT('TO HOP GOI DAU'!$O$137:$O$140)=0),0,INDEX('TO HOP GOI DAU'!$K$137:$K$140,MATCH(MAX('TO HOP GOI DAU'!$O$137:$O$140),'TO HOP GOI DAU'!$O$137:$O$140,0)))</f>
        <v>31046.851369827225</v>
      </c>
      <c r="N164" s="14">
        <v>34</v>
      </c>
    </row>
    <row r="165" spans="2:14" x14ac:dyDescent="0.3">
      <c r="B165" s="19" t="str">
        <f t="shared" si="9"/>
        <v>CĐ I(a) max - 1 nhịp 5 làn</v>
      </c>
      <c r="C165" s="23">
        <f>IF(OR($N165=0,COUNT('TO HOP GOI DAU'!$L$141:$L$144)=0),0,INDEX('TO HOP GOI DAU'!$H$141:$H$144,MATCH(MAX('TO HOP GOI DAU'!$L$141:$L$144),'TO HOP GOI DAU'!$L$141:$L$144,0)))</f>
        <v>2697.1364775610136</v>
      </c>
      <c r="D165" s="23">
        <f t="shared" si="10"/>
        <v>0</v>
      </c>
      <c r="E165" s="23">
        <f t="shared" si="11"/>
        <v>31499.936318653694</v>
      </c>
      <c r="F165" s="23">
        <f t="shared" si="12"/>
        <v>12646.808938020835</v>
      </c>
      <c r="G165" s="23">
        <f>IF(OR($N165=0,COUNT('TO HOP GOI DAU'!$M$141:$M$144)=0),0,INDEX('TO HOP GOI DAU'!$I$141:$I$144,MATCH(MAX('TO HOP GOI DAU'!$M$141:$M$144),'TO HOP GOI DAU'!$M$141:$M$144,0)))</f>
        <v>37028.588998199251</v>
      </c>
      <c r="H165" s="23">
        <f>IF(OR($N165=0,COUNT('TO HOP GOI DAU'!$N$141:$N$144)=0),0,INDEX('TO HOP GOI DAU'!$J$141:$J$144,MATCH(MAX('TO HOP GOI DAU'!$N$141:$N$144),'TO HOP GOI DAU'!$N$141:$N$144,0)))</f>
        <v>2697.1364775610136</v>
      </c>
      <c r="I165" s="23">
        <f t="shared" si="13"/>
        <v>0</v>
      </c>
      <c r="J165" s="23">
        <f t="shared" si="14"/>
        <v>27310.436318653694</v>
      </c>
      <c r="K165" s="23">
        <f t="shared" si="15"/>
        <v>12646.808938020835</v>
      </c>
      <c r="L165" s="23">
        <f>IF(OR($N165=0,COUNT('TO HOP GOI DAU'!$O$141:$O$144)=0),0,INDEX('TO HOP GOI DAU'!$K$141:$K$144,MATCH(MAX('TO HOP GOI DAU'!$O$141:$O$144),'TO HOP GOI DAU'!$O$141:$O$144,0)))</f>
        <v>31634.316043077226</v>
      </c>
      <c r="N165" s="14">
        <v>35</v>
      </c>
    </row>
    <row r="166" spans="2:14" x14ac:dyDescent="0.3">
      <c r="B166" s="19" t="str">
        <f t="shared" si="9"/>
        <v>CĐ I(a) max - 1 nhịp 6 làn</v>
      </c>
      <c r="C166" s="23">
        <f>IF(OR($N166=0,COUNT('TO HOP GOI DAU'!$L$145:$L$148)=0),0,INDEX('TO HOP GOI DAU'!$H$145:$H$148,MATCH(MAX('TO HOP GOI DAU'!$L$145:$L$148),'TO HOP GOI DAU'!$L$145:$L$148,0)))</f>
        <v>2697.1364775610136</v>
      </c>
      <c r="D166" s="23">
        <f t="shared" si="10"/>
        <v>0</v>
      </c>
      <c r="E166" s="23">
        <f t="shared" si="11"/>
        <v>32152.674844487025</v>
      </c>
      <c r="F166" s="23">
        <f t="shared" si="12"/>
        <v>9301.5239931249998</v>
      </c>
      <c r="G166" s="23">
        <f>IF(OR($N166=0,COUNT('TO HOP GOI DAU'!$M$145:$M$148)=0),0,INDEX('TO HOP GOI DAU'!$I$145:$I$148,MATCH(MAX('TO HOP GOI DAU'!$M$145:$M$148),'TO HOP GOI DAU'!$M$145:$M$148,0)))</f>
        <v>37616.053671449248</v>
      </c>
      <c r="H166" s="23">
        <f>IF(OR($N166=0,COUNT('TO HOP GOI DAU'!$N$145:$N$148)=0),0,INDEX('TO HOP GOI DAU'!$J$145:$J$148,MATCH(MAX('TO HOP GOI DAU'!$N$145:$N$148),'TO HOP GOI DAU'!$N$145:$N$148,0)))</f>
        <v>2697.1364775610136</v>
      </c>
      <c r="I166" s="23">
        <f t="shared" si="13"/>
        <v>0</v>
      </c>
      <c r="J166" s="23">
        <f t="shared" si="14"/>
        <v>27963.174844487025</v>
      </c>
      <c r="K166" s="23">
        <f t="shared" si="15"/>
        <v>9301.5239931249998</v>
      </c>
      <c r="L166" s="23">
        <f>IF(OR($N166=0,COUNT('TO HOP GOI DAU'!$O$145:$O$148)=0),0,INDEX('TO HOP GOI DAU'!$K$145:$K$148,MATCH(MAX('TO HOP GOI DAU'!$O$145:$O$148),'TO HOP GOI DAU'!$O$145:$O$148,0)))</f>
        <v>32221.780716327226</v>
      </c>
      <c r="N166" s="14">
        <v>36</v>
      </c>
    </row>
    <row r="167" spans="2:14" x14ac:dyDescent="0.3">
      <c r="B167" s="19" t="str">
        <f t="shared" si="9"/>
        <v>CĐ I(b) min - 2 nhịp 1 làn</v>
      </c>
      <c r="C167" s="23">
        <f>IF(OR($N167=0,COUNT('TO HOP GOI DAU'!$L$149:$L$152)=0),0,INDEX('TO HOP GOI DAU'!$H$149:$H$152,MATCH(MAX('TO HOP GOI DAU'!$L$149:$L$152),'TO HOP GOI DAU'!$L$149:$L$152,0)))</f>
        <v>2697.1364775610136</v>
      </c>
      <c r="D167" s="23">
        <f t="shared" si="10"/>
        <v>0</v>
      </c>
      <c r="E167" s="23">
        <f t="shared" si="11"/>
        <v>21750.765395930655</v>
      </c>
      <c r="F167" s="23">
        <f t="shared" si="12"/>
        <v>19841.1862635</v>
      </c>
      <c r="G167" s="23">
        <f>IF(OR($N167=0,COUNT('TO HOP GOI DAU'!$M$149:$M$152)=0),0,INDEX('TO HOP GOI DAU'!$I$149:$I$152,MATCH(MAX('TO HOP GOI DAU'!$M$149:$M$152),'TO HOP GOI DAU'!$M$149:$M$152,0)))</f>
        <v>34091.265631949253</v>
      </c>
      <c r="H167" s="23">
        <f>IF(OR($N167=0,COUNT('TO HOP GOI DAU'!$N$149:$N$152)=0),0,INDEX('TO HOP GOI DAU'!$J$149:$J$152,MATCH(MAX('TO HOP GOI DAU'!$N$149:$N$152),'TO HOP GOI DAU'!$N$149:$N$152,0)))</f>
        <v>2697.1364775610136</v>
      </c>
      <c r="I167" s="23">
        <f t="shared" si="13"/>
        <v>0</v>
      </c>
      <c r="J167" s="23">
        <f t="shared" si="14"/>
        <v>18734.325395930657</v>
      </c>
      <c r="K167" s="23">
        <f t="shared" si="15"/>
        <v>19841.1862635</v>
      </c>
      <c r="L167" s="23">
        <f>IF(OR($N167=0,COUNT('TO HOP GOI DAU'!$O$149:$O$152)=0),0,INDEX('TO HOP GOI DAU'!$K$149:$K$152,MATCH(MAX('TO HOP GOI DAU'!$O$149:$O$152),'TO HOP GOI DAU'!$O$149:$O$152,0)))</f>
        <v>28696.992676827227</v>
      </c>
      <c r="N167" s="14">
        <v>37</v>
      </c>
    </row>
    <row r="168" spans="2:14" x14ac:dyDescent="0.3">
      <c r="B168" s="19" t="str">
        <f t="shared" si="9"/>
        <v>CĐ I(b) min - 2 nhịp 2 làn</v>
      </c>
      <c r="C168" s="23">
        <f>IF(OR($N168=0,COUNT('TO HOP GOI DAU'!$L$153:$L$156)=0),0,INDEX('TO HOP GOI DAU'!$H$153:$H$156,MATCH(MAX('TO HOP GOI DAU'!$L$153:$L$156),'TO HOP GOI DAU'!$L$153:$L$156,0)))</f>
        <v>2697.1364775610136</v>
      </c>
      <c r="D168" s="23">
        <f t="shared" si="10"/>
        <v>0</v>
      </c>
      <c r="E168" s="23">
        <f t="shared" si="11"/>
        <v>23090.254763930658</v>
      </c>
      <c r="F168" s="23">
        <f t="shared" si="12"/>
        <v>28045.5586425</v>
      </c>
      <c r="G168" s="23">
        <f>IF(OR($N168=0,COUNT('TO HOP GOI DAU'!$M$153:$M$156)=0),0,INDEX('TO HOP GOI DAU'!$I$153:$I$156,MATCH(MAX('TO HOP GOI DAU'!$M$153:$M$156),'TO HOP GOI DAU'!$M$153:$M$156,0)))</f>
        <v>34091.265631949253</v>
      </c>
      <c r="H168" s="23">
        <f>IF(OR($N168=0,COUNT('TO HOP GOI DAU'!$N$153:$N$156)=0),0,INDEX('TO HOP GOI DAU'!$J$153:$J$156,MATCH(MAX('TO HOP GOI DAU'!$N$153:$N$156),'TO HOP GOI DAU'!$N$153:$N$156,0)))</f>
        <v>2697.1364775610136</v>
      </c>
      <c r="I168" s="23">
        <f t="shared" si="13"/>
        <v>0</v>
      </c>
      <c r="J168" s="23">
        <f t="shared" si="14"/>
        <v>20073.814763930655</v>
      </c>
      <c r="K168" s="23">
        <f t="shared" si="15"/>
        <v>28045.5586425</v>
      </c>
      <c r="L168" s="23">
        <f>IF(OR($N168=0,COUNT('TO HOP GOI DAU'!$O$153:$O$156)=0),0,INDEX('TO HOP GOI DAU'!$K$153:$K$156,MATCH(MAX('TO HOP GOI DAU'!$O$153:$O$156),'TO HOP GOI DAU'!$O$153:$O$156,0)))</f>
        <v>28696.992676827227</v>
      </c>
      <c r="N168" s="14">
        <v>38</v>
      </c>
    </row>
    <row r="169" spans="2:14" x14ac:dyDescent="0.3">
      <c r="B169" s="19" t="str">
        <f t="shared" si="9"/>
        <v>CĐ I(b) min - 2 nhịp 3 làn</v>
      </c>
      <c r="C169" s="23">
        <f>IF(OR($N169=0,COUNT('TO HOP GOI DAU'!$L$157:$L$160)=0),0,INDEX('TO HOP GOI DAU'!$H$157:$H$160,MATCH(MAX('TO HOP GOI DAU'!$L$157:$L$160),'TO HOP GOI DAU'!$L$157:$L$160,0)))</f>
        <v>2697.1364775610136</v>
      </c>
      <c r="D169" s="23">
        <f t="shared" si="10"/>
        <v>0</v>
      </c>
      <c r="E169" s="23">
        <f t="shared" si="11"/>
        <v>24011.153704430657</v>
      </c>
      <c r="F169" s="23">
        <f t="shared" si="12"/>
        <v>29353.653728437501</v>
      </c>
      <c r="G169" s="23">
        <f>IF(OR($N169=0,COUNT('TO HOP GOI DAU'!$M$157:$M$160)=0),0,INDEX('TO HOP GOI DAU'!$I$157:$I$160,MATCH(MAX('TO HOP GOI DAU'!$M$157:$M$160),'TO HOP GOI DAU'!$M$157:$M$160,0)))</f>
        <v>34091.265631949253</v>
      </c>
      <c r="H169" s="23">
        <f>IF(OR($N169=0,COUNT('TO HOP GOI DAU'!$N$157:$N$160)=0),0,INDEX('TO HOP GOI DAU'!$J$157:$J$160,MATCH(MAX('TO HOP GOI DAU'!$N$157:$N$160),'TO HOP GOI DAU'!$N$157:$N$160,0)))</f>
        <v>2697.1364775610136</v>
      </c>
      <c r="I169" s="23">
        <f t="shared" si="13"/>
        <v>0</v>
      </c>
      <c r="J169" s="23">
        <f t="shared" si="14"/>
        <v>20994.713704430658</v>
      </c>
      <c r="K169" s="23">
        <f t="shared" si="15"/>
        <v>29353.653728437501</v>
      </c>
      <c r="L169" s="23">
        <f>IF(OR($N169=0,COUNT('TO HOP GOI DAU'!$O$157:$O$160)=0),0,INDEX('TO HOP GOI DAU'!$K$157:$K$160,MATCH(MAX('TO HOP GOI DAU'!$O$157:$O$160),'TO HOP GOI DAU'!$O$157:$O$160,0)))</f>
        <v>28696.992676827227</v>
      </c>
      <c r="N169" s="14">
        <v>39</v>
      </c>
    </row>
    <row r="170" spans="2:14" x14ac:dyDescent="0.3">
      <c r="B170" s="19" t="str">
        <f t="shared" si="9"/>
        <v>CĐ I(b) min - 2 nhịp 4 làn</v>
      </c>
      <c r="C170" s="23">
        <f>IF(OR($N170=0,COUNT('TO HOP GOI DAU'!$L$161:$L$164)=0),0,INDEX('TO HOP GOI DAU'!$H$161:$H$164,MATCH(MAX('TO HOP GOI DAU'!$L$161:$L$164),'TO HOP GOI DAU'!$L$161:$L$164,0)))</f>
        <v>2697.1364775610136</v>
      </c>
      <c r="D170" s="23">
        <f t="shared" si="10"/>
        <v>0</v>
      </c>
      <c r="E170" s="23">
        <f t="shared" si="11"/>
        <v>24094.871789930658</v>
      </c>
      <c r="F170" s="23">
        <f t="shared" si="12"/>
        <v>23399.204897250002</v>
      </c>
      <c r="G170" s="23">
        <f>IF(OR($N170=0,COUNT('TO HOP GOI DAU'!$M$161:$M$164)=0),0,INDEX('TO HOP GOI DAU'!$I$161:$I$164,MATCH(MAX('TO HOP GOI DAU'!$M$161:$M$164),'TO HOP GOI DAU'!$M$161:$M$164,0)))</f>
        <v>34091.265631949253</v>
      </c>
      <c r="H170" s="23">
        <f>IF(OR($N170=0,COUNT('TO HOP GOI DAU'!$N$161:$N$164)=0),0,INDEX('TO HOP GOI DAU'!$J$161:$J$164,MATCH(MAX('TO HOP GOI DAU'!$N$161:$N$164),'TO HOP GOI DAU'!$N$161:$N$164,0)))</f>
        <v>2697.1364775610136</v>
      </c>
      <c r="I170" s="23">
        <f t="shared" si="13"/>
        <v>0</v>
      </c>
      <c r="J170" s="23">
        <f t="shared" si="14"/>
        <v>21078.431789930655</v>
      </c>
      <c r="K170" s="23">
        <f t="shared" si="15"/>
        <v>23399.204897250002</v>
      </c>
      <c r="L170" s="23">
        <f>IF(OR($N170=0,COUNT('TO HOP GOI DAU'!$O$161:$O$164)=0),0,INDEX('TO HOP GOI DAU'!$K$161:$K$164,MATCH(MAX('TO HOP GOI DAU'!$O$161:$O$164),'TO HOP GOI DAU'!$O$161:$O$164,0)))</f>
        <v>28696.992676827227</v>
      </c>
      <c r="N170" s="14">
        <v>40</v>
      </c>
    </row>
    <row r="171" spans="2:14" x14ac:dyDescent="0.3">
      <c r="B171" s="19" t="str">
        <f t="shared" si="9"/>
        <v>CĐ I(b) min - 2 nhịp 5 làn</v>
      </c>
      <c r="C171" s="23">
        <f>IF(OR($N171=0,COUNT('TO HOP GOI DAU'!$L$165:$L$168)=0),0,INDEX('TO HOP GOI DAU'!$H$165:$H$168,MATCH(MAX('TO HOP GOI DAU'!$L$165:$L$168),'TO HOP GOI DAU'!$L$165:$L$168,0)))</f>
        <v>2697.1364775610136</v>
      </c>
      <c r="D171" s="23">
        <f t="shared" si="10"/>
        <v>0</v>
      </c>
      <c r="E171" s="23">
        <f t="shared" si="11"/>
        <v>25183.206901430654</v>
      </c>
      <c r="F171" s="23">
        <f t="shared" si="12"/>
        <v>21086.492785312505</v>
      </c>
      <c r="G171" s="23">
        <f>IF(OR($N171=0,COUNT('TO HOP GOI DAU'!$M$165:$M$168)=0),0,INDEX('TO HOP GOI DAU'!$I$165:$I$168,MATCH(MAX('TO HOP GOI DAU'!$M$165:$M$168),'TO HOP GOI DAU'!$M$165:$M$168,0)))</f>
        <v>34091.265631949253</v>
      </c>
      <c r="H171" s="23">
        <f>IF(OR($N171=0,COUNT('TO HOP GOI DAU'!$N$165:$N$168)=0),0,INDEX('TO HOP GOI DAU'!$J$165:$J$168,MATCH(MAX('TO HOP GOI DAU'!$N$165:$N$168),'TO HOP GOI DAU'!$N$165:$N$168,0)))</f>
        <v>2697.1364775610136</v>
      </c>
      <c r="I171" s="23">
        <f t="shared" si="13"/>
        <v>0</v>
      </c>
      <c r="J171" s="23">
        <f t="shared" si="14"/>
        <v>22166.766901430659</v>
      </c>
      <c r="K171" s="23">
        <f t="shared" si="15"/>
        <v>21086.492785312505</v>
      </c>
      <c r="L171" s="23">
        <f>IF(OR($N171=0,COUNT('TO HOP GOI DAU'!$O$165:$O$168)=0),0,INDEX('TO HOP GOI DAU'!$K$165:$K$168,MATCH(MAX('TO HOP GOI DAU'!$O$165:$O$168),'TO HOP GOI DAU'!$O$165:$O$168,0)))</f>
        <v>28696.992676827227</v>
      </c>
      <c r="N171" s="14">
        <v>41</v>
      </c>
    </row>
    <row r="172" spans="2:14" x14ac:dyDescent="0.3">
      <c r="B172" s="19" t="str">
        <f t="shared" si="9"/>
        <v>CĐ I(b) min - 2 nhịp 6 làn</v>
      </c>
      <c r="C172" s="23">
        <f>IF(OR($N172=0,COUNT('TO HOP GOI DAU'!$L$169:$L$172)=0),0,INDEX('TO HOP GOI DAU'!$H$169:$H$172,MATCH(MAX('TO HOP GOI DAU'!$L$169:$L$172),'TO HOP GOI DAU'!$L$169:$L$172,0)))</f>
        <v>2697.1364775610136</v>
      </c>
      <c r="D172" s="23">
        <f t="shared" si="10"/>
        <v>0</v>
      </c>
      <c r="E172" s="23">
        <f t="shared" si="11"/>
        <v>26271.542012930655</v>
      </c>
      <c r="F172" s="23">
        <f t="shared" si="12"/>
        <v>15508.775338875001</v>
      </c>
      <c r="G172" s="23">
        <f>IF(OR($N172=0,COUNT('TO HOP GOI DAU'!$M$169:$M$172)=0),0,INDEX('TO HOP GOI DAU'!$I$169:$I$172,MATCH(MAX('TO HOP GOI DAU'!$M$169:$M$172),'TO HOP GOI DAU'!$M$169:$M$172,0)))</f>
        <v>34091.265631949253</v>
      </c>
      <c r="H172" s="23">
        <f>IF(OR($N172=0,COUNT('TO HOP GOI DAU'!$N$169:$N$172)=0),0,INDEX('TO HOP GOI DAU'!$J$169:$J$172,MATCH(MAX('TO HOP GOI DAU'!$N$169:$N$172),'TO HOP GOI DAU'!$N$169:$N$172,0)))</f>
        <v>2697.1364775610136</v>
      </c>
      <c r="I172" s="23">
        <f t="shared" si="13"/>
        <v>0</v>
      </c>
      <c r="J172" s="23">
        <f t="shared" si="14"/>
        <v>23255.102012930656</v>
      </c>
      <c r="K172" s="23">
        <f t="shared" si="15"/>
        <v>15508.775338875001</v>
      </c>
      <c r="L172" s="23">
        <f>IF(OR($N172=0,COUNT('TO HOP GOI DAU'!$O$169:$O$172)=0),0,INDEX('TO HOP GOI DAU'!$K$169:$K$172,MATCH(MAX('TO HOP GOI DAU'!$O$169:$O$172),'TO HOP GOI DAU'!$O$169:$O$172,0)))</f>
        <v>28696.992676827227</v>
      </c>
      <c r="N172" s="14">
        <v>42</v>
      </c>
    </row>
    <row r="173" spans="2:14" x14ac:dyDescent="0.3">
      <c r="B173" s="19" t="str">
        <f t="shared" si="9"/>
        <v>CĐ I(b) min - 1 nhịp 1 làn</v>
      </c>
      <c r="C173" s="23">
        <f>IF(OR($N173=0,COUNT('TO HOP GOI DAU'!$L$173:$L$176)=0),0,INDEX('TO HOP GOI DAU'!$H$173:$H$176,MATCH(MAX('TO HOP GOI DAU'!$L$173:$L$176),'TO HOP GOI DAU'!$L$173:$L$176,0)))</f>
        <v>2697.1364775610136</v>
      </c>
      <c r="D173" s="23">
        <f t="shared" si="10"/>
        <v>0</v>
      </c>
      <c r="E173" s="23">
        <f t="shared" si="11"/>
        <v>20946.587083930655</v>
      </c>
      <c r="F173" s="23">
        <f t="shared" si="12"/>
        <v>11899.9254325</v>
      </c>
      <c r="G173" s="23">
        <f>IF(OR($N173=0,COUNT('TO HOP GOI DAU'!$M$173:$M$176)=0),0,INDEX('TO HOP GOI DAU'!$I$173:$I$176,MATCH(MAX('TO HOP GOI DAU'!$M$173:$M$176),'TO HOP GOI DAU'!$M$173:$M$176,0)))</f>
        <v>35175.815797949253</v>
      </c>
      <c r="H173" s="23">
        <f>IF(OR($N173=0,COUNT('TO HOP GOI DAU'!$N$173:$N$176)=0),0,INDEX('TO HOP GOI DAU'!$J$173:$J$176,MATCH(MAX('TO HOP GOI DAU'!$N$173:$N$176),'TO HOP GOI DAU'!$N$173:$N$176,0)))</f>
        <v>2697.1364775610136</v>
      </c>
      <c r="I173" s="23">
        <f t="shared" si="13"/>
        <v>0</v>
      </c>
      <c r="J173" s="23">
        <f t="shared" si="14"/>
        <v>17930.147083930657</v>
      </c>
      <c r="K173" s="23">
        <f t="shared" si="15"/>
        <v>11899.9254325</v>
      </c>
      <c r="L173" s="23">
        <f>IF(OR($N173=0,COUNT('TO HOP GOI DAU'!$O$173:$O$176)=0),0,INDEX('TO HOP GOI DAU'!$K$173:$K$176,MATCH(MAX('TO HOP GOI DAU'!$O$173:$O$176),'TO HOP GOI DAU'!$O$173:$O$176,0)))</f>
        <v>29781.542842827224</v>
      </c>
      <c r="N173" s="14">
        <v>43</v>
      </c>
    </row>
    <row r="174" spans="2:14" x14ac:dyDescent="0.3">
      <c r="B174" s="19" t="str">
        <f t="shared" si="9"/>
        <v>CĐ I(b) min - 1 nhịp 2 làn</v>
      </c>
      <c r="C174" s="23">
        <f>IF(OR($N174=0,COUNT('TO HOP GOI DAU'!$L$177:$L$180)=0),0,INDEX('TO HOP GOI DAU'!$H$177:$H$180,MATCH(MAX('TO HOP GOI DAU'!$L$177:$L$180),'TO HOP GOI DAU'!$L$177:$L$180,0)))</f>
        <v>2697.1364775610136</v>
      </c>
      <c r="D174" s="23">
        <f t="shared" si="10"/>
        <v>0</v>
      </c>
      <c r="E174" s="23">
        <f t="shared" si="11"/>
        <v>21749.957577263987</v>
      </c>
      <c r="F174" s="23">
        <f t="shared" si="12"/>
        <v>16820.569704166668</v>
      </c>
      <c r="G174" s="23">
        <f>IF(OR($N174=0,COUNT('TO HOP GOI DAU'!$M$177:$M$180)=0),0,INDEX('TO HOP GOI DAU'!$I$177:$I$180,MATCH(MAX('TO HOP GOI DAU'!$M$177:$M$180),'TO HOP GOI DAU'!$M$177:$M$180,0)))</f>
        <v>35898.849241949254</v>
      </c>
      <c r="H174" s="23">
        <f>IF(OR($N174=0,COUNT('TO HOP GOI DAU'!$N$177:$N$180)=0),0,INDEX('TO HOP GOI DAU'!$J$177:$J$180,MATCH(MAX('TO HOP GOI DAU'!$N$177:$N$180),'TO HOP GOI DAU'!$N$177:$N$180,0)))</f>
        <v>2697.1364775610136</v>
      </c>
      <c r="I174" s="23">
        <f t="shared" si="13"/>
        <v>0</v>
      </c>
      <c r="J174" s="23">
        <f t="shared" si="14"/>
        <v>18733.517577263992</v>
      </c>
      <c r="K174" s="23">
        <f t="shared" si="15"/>
        <v>16820.569704166668</v>
      </c>
      <c r="L174" s="23">
        <f>IF(OR($N174=0,COUNT('TO HOP GOI DAU'!$O$177:$O$180)=0),0,INDEX('TO HOP GOI DAU'!$K$177:$K$180,MATCH(MAX('TO HOP GOI DAU'!$O$177:$O$180),'TO HOP GOI DAU'!$O$177:$O$180,0)))</f>
        <v>30504.576286827225</v>
      </c>
      <c r="N174" s="14">
        <v>44</v>
      </c>
    </row>
    <row r="175" spans="2:14" x14ac:dyDescent="0.3">
      <c r="B175" s="19" t="str">
        <f t="shared" si="9"/>
        <v>CĐ I(b) min - 1 nhịp 3 làn</v>
      </c>
      <c r="C175" s="23">
        <f>IF(OR($N175=0,COUNT('TO HOP GOI DAU'!$L$181:$L$184)=0),0,INDEX('TO HOP GOI DAU'!$H$181:$H$184,MATCH(MAX('TO HOP GOI DAU'!$L$181:$L$184),'TO HOP GOI DAU'!$L$181:$L$184,0)))</f>
        <v>2697.1364775610136</v>
      </c>
      <c r="D175" s="23">
        <f t="shared" si="10"/>
        <v>0</v>
      </c>
      <c r="E175" s="23">
        <f t="shared" si="11"/>
        <v>22302.274791430656</v>
      </c>
      <c r="F175" s="23">
        <f t="shared" si="12"/>
        <v>17605.111201562504</v>
      </c>
      <c r="G175" s="23">
        <f>IF(OR($N175=0,COUNT('TO HOP GOI DAU'!$M$181:$M$184)=0),0,INDEX('TO HOP GOI DAU'!$I$181:$I$184,MATCH(MAX('TO HOP GOI DAU'!$M$181:$M$184),'TO HOP GOI DAU'!$M$181:$M$184,0)))</f>
        <v>36395.934734699251</v>
      </c>
      <c r="H175" s="23">
        <f>IF(OR($N175=0,COUNT('TO HOP GOI DAU'!$N$181:$N$184)=0),0,INDEX('TO HOP GOI DAU'!$J$181:$J$184,MATCH(MAX('TO HOP GOI DAU'!$N$181:$N$184),'TO HOP GOI DAU'!$N$181:$N$184,0)))</f>
        <v>2697.1364775610136</v>
      </c>
      <c r="I175" s="23">
        <f t="shared" si="13"/>
        <v>0</v>
      </c>
      <c r="J175" s="23">
        <f t="shared" si="14"/>
        <v>19285.834791430658</v>
      </c>
      <c r="K175" s="23">
        <f t="shared" si="15"/>
        <v>17605.111201562504</v>
      </c>
      <c r="L175" s="23">
        <f>IF(OR($N175=0,COUNT('TO HOP GOI DAU'!$O$181:$O$184)=0),0,INDEX('TO HOP GOI DAU'!$K$181:$K$184,MATCH(MAX('TO HOP GOI DAU'!$O$181:$O$184),'TO HOP GOI DAU'!$O$181:$O$184,0)))</f>
        <v>31001.661779577225</v>
      </c>
      <c r="N175" s="14">
        <v>45</v>
      </c>
    </row>
    <row r="176" spans="2:14" x14ac:dyDescent="0.3">
      <c r="B176" s="19" t="str">
        <f t="shared" si="9"/>
        <v>CĐ I(b) min - 1 nhịp 4 làn</v>
      </c>
      <c r="C176" s="23">
        <f>IF(OR($N176=0,COUNT('TO HOP GOI DAU'!$L$185:$L$188)=0),0,INDEX('TO HOP GOI DAU'!$H$185:$H$188,MATCH(MAX('TO HOP GOI DAU'!$L$185:$L$188),'TO HOP GOI DAU'!$L$185:$L$188,0)))</f>
        <v>2697.1364775610136</v>
      </c>
      <c r="D176" s="23">
        <f t="shared" si="10"/>
        <v>0</v>
      </c>
      <c r="E176" s="23">
        <f t="shared" si="11"/>
        <v>22352.485447263989</v>
      </c>
      <c r="F176" s="23">
        <f t="shared" si="12"/>
        <v>14033.878305416669</v>
      </c>
      <c r="G176" s="23">
        <f>IF(OR($N176=0,COUNT('TO HOP GOI DAU'!$M$185:$M$188)=0),0,INDEX('TO HOP GOI DAU'!$I$185:$I$188,MATCH(MAX('TO HOP GOI DAU'!$M$185:$M$188),'TO HOP GOI DAU'!$M$185:$M$188,0)))</f>
        <v>36441.124324949247</v>
      </c>
      <c r="H176" s="23">
        <f>IF(OR($N176=0,COUNT('TO HOP GOI DAU'!$N$185:$N$188)=0),0,INDEX('TO HOP GOI DAU'!$J$185:$J$188,MATCH(MAX('TO HOP GOI DAU'!$N$185:$N$188),'TO HOP GOI DAU'!$N$185:$N$188,0)))</f>
        <v>2697.1364775610136</v>
      </c>
      <c r="I176" s="23">
        <f t="shared" si="13"/>
        <v>0</v>
      </c>
      <c r="J176" s="23">
        <f t="shared" si="14"/>
        <v>19336.04544726399</v>
      </c>
      <c r="K176" s="23">
        <f t="shared" si="15"/>
        <v>14033.878305416669</v>
      </c>
      <c r="L176" s="23">
        <f>IF(OR($N176=0,COUNT('TO HOP GOI DAU'!$O$185:$O$188)=0),0,INDEX('TO HOP GOI DAU'!$K$185:$K$188,MATCH(MAX('TO HOP GOI DAU'!$O$185:$O$188),'TO HOP GOI DAU'!$O$185:$O$188,0)))</f>
        <v>31046.851369827225</v>
      </c>
      <c r="N176" s="14">
        <v>46</v>
      </c>
    </row>
    <row r="177" spans="2:14" x14ac:dyDescent="0.3">
      <c r="B177" s="19" t="str">
        <f t="shared" si="9"/>
        <v>CĐ I(b) min - 1 nhịp 5 làn</v>
      </c>
      <c r="C177" s="23">
        <f>IF(OR($N177=0,COUNT('TO HOP GOI DAU'!$L$189:$L$192)=0),0,INDEX('TO HOP GOI DAU'!$H$189:$H$192,MATCH(MAX('TO HOP GOI DAU'!$L$189:$L$192),'TO HOP GOI DAU'!$L$189:$L$192,0)))</f>
        <v>2697.1364775610136</v>
      </c>
      <c r="D177" s="23">
        <f t="shared" si="10"/>
        <v>0</v>
      </c>
      <c r="E177" s="23">
        <f t="shared" si="11"/>
        <v>23005.223973097323</v>
      </c>
      <c r="F177" s="23">
        <f t="shared" si="12"/>
        <v>12646.808938020835</v>
      </c>
      <c r="G177" s="23">
        <f>IF(OR($N177=0,COUNT('TO HOP GOI DAU'!$M$189:$M$192)=0),0,INDEX('TO HOP GOI DAU'!$I$189:$I$192,MATCH(MAX('TO HOP GOI DAU'!$M$189:$M$192),'TO HOP GOI DAU'!$M$189:$M$192,0)))</f>
        <v>37028.588998199251</v>
      </c>
      <c r="H177" s="23">
        <f>IF(OR($N177=0,COUNT('TO HOP GOI DAU'!$N$189:$N$192)=0),0,INDEX('TO HOP GOI DAU'!$J$189:$J$192,MATCH(MAX('TO HOP GOI DAU'!$N$189:$N$192),'TO HOP GOI DAU'!$N$189:$N$192,0)))</f>
        <v>2697.1364775610136</v>
      </c>
      <c r="I177" s="23">
        <f t="shared" si="13"/>
        <v>0</v>
      </c>
      <c r="J177" s="23">
        <f t="shared" si="14"/>
        <v>19988.783973097325</v>
      </c>
      <c r="K177" s="23">
        <f t="shared" si="15"/>
        <v>12646.808938020835</v>
      </c>
      <c r="L177" s="23">
        <f>IF(OR($N177=0,COUNT('TO HOP GOI DAU'!$O$189:$O$192)=0),0,INDEX('TO HOP GOI DAU'!$K$189:$K$192,MATCH(MAX('TO HOP GOI DAU'!$O$189:$O$192),'TO HOP GOI DAU'!$O$189:$O$192,0)))</f>
        <v>31634.316043077226</v>
      </c>
      <c r="N177" s="14">
        <v>47</v>
      </c>
    </row>
    <row r="178" spans="2:14" x14ac:dyDescent="0.3">
      <c r="B178" s="19" t="str">
        <f t="shared" si="9"/>
        <v>CĐ I(b) min - 1 nhịp 6 làn</v>
      </c>
      <c r="C178" s="23">
        <f>IF(OR($N178=0,COUNT('TO HOP GOI DAU'!$L$193:$L$196)=0),0,INDEX('TO HOP GOI DAU'!$H$193:$H$196,MATCH(MAX('TO HOP GOI DAU'!$L$193:$L$196),'TO HOP GOI DAU'!$L$193:$L$196,0)))</f>
        <v>2697.1364775610136</v>
      </c>
      <c r="D178" s="23">
        <f t="shared" si="10"/>
        <v>0</v>
      </c>
      <c r="E178" s="23">
        <f t="shared" si="11"/>
        <v>23657.962498930654</v>
      </c>
      <c r="F178" s="23">
        <f t="shared" si="12"/>
        <v>9301.5239931249998</v>
      </c>
      <c r="G178" s="23">
        <f>IF(OR($N178=0,COUNT('TO HOP GOI DAU'!$M$193:$M$196)=0),0,INDEX('TO HOP GOI DAU'!$I$193:$I$196,MATCH(MAX('TO HOP GOI DAU'!$M$193:$M$196),'TO HOP GOI DAU'!$M$193:$M$196,0)))</f>
        <v>37616.053671449248</v>
      </c>
      <c r="H178" s="23">
        <f>IF(OR($N178=0,COUNT('TO HOP GOI DAU'!$N$193:$N$196)=0),0,INDEX('TO HOP GOI DAU'!$J$193:$J$196,MATCH(MAX('TO HOP GOI DAU'!$N$193:$N$196),'TO HOP GOI DAU'!$N$193:$N$196,0)))</f>
        <v>2697.1364775610136</v>
      </c>
      <c r="I178" s="23">
        <f t="shared" si="13"/>
        <v>0</v>
      </c>
      <c r="J178" s="23">
        <f t="shared" si="14"/>
        <v>20641.522498930659</v>
      </c>
      <c r="K178" s="23">
        <f t="shared" si="15"/>
        <v>9301.5239931249998</v>
      </c>
      <c r="L178" s="23">
        <f>IF(OR($N178=0,COUNT('TO HOP GOI DAU'!$O$193:$O$196)=0),0,INDEX('TO HOP GOI DAU'!$K$193:$K$196,MATCH(MAX('TO HOP GOI DAU'!$O$193:$O$196),'TO HOP GOI DAU'!$O$193:$O$196,0)))</f>
        <v>32221.780716327226</v>
      </c>
      <c r="N178" s="14">
        <v>48</v>
      </c>
    </row>
    <row r="179" spans="2:14" x14ac:dyDescent="0.3">
      <c r="B179" s="19" t="str">
        <f t="shared" si="9"/>
        <v>CĐ III(a) max</v>
      </c>
      <c r="C179" s="23">
        <f>IF(OR($N179=0,COUNT('TO HOP GOI DAU'!$L$197:$L$200)=0),0,INDEX('TO HOP GOI DAU'!$H$197:$H$200,MATCH(MAX('TO HOP GOI DAU'!$L$197:$L$200),'TO HOP GOI DAU'!$L$197:$L$200,0)))</f>
        <v>2253.4698695046854</v>
      </c>
      <c r="D179" s="23">
        <f t="shared" si="10"/>
        <v>527.07594777468739</v>
      </c>
      <c r="E179" s="23">
        <f t="shared" si="11"/>
        <v>26797.305003982339</v>
      </c>
      <c r="F179" s="23">
        <f t="shared" si="12"/>
        <v>5799.5994698295608</v>
      </c>
      <c r="G179" s="23">
        <f>IF(OR($N179=0,COUNT('TO HOP GOI DAU'!$M$197:$M$200)=0),0,INDEX('TO HOP GOI DAU'!$I$197:$I$200,MATCH(MAX('TO HOP GOI DAU'!$M$197:$M$200),'TO HOP GOI DAU'!$M$197:$M$200,0)))</f>
        <v>27584.106352481642</v>
      </c>
      <c r="H179" s="23">
        <f>IF(OR($N179=0,COUNT('TO HOP GOI DAU'!$N$197:$N$200)=0),0,INDEX('TO HOP GOI DAU'!$J$197:$J$200,MATCH(MAX('TO HOP GOI DAU'!$N$197:$N$200),'TO HOP GOI DAU'!$N$197:$N$200,0)))</f>
        <v>2253.4698695046854</v>
      </c>
      <c r="I179" s="23">
        <f t="shared" si="13"/>
        <v>527.07594777468739</v>
      </c>
      <c r="J179" s="23">
        <f t="shared" si="14"/>
        <v>22607.805003982339</v>
      </c>
      <c r="K179" s="23">
        <f t="shared" si="15"/>
        <v>4745.4475742801869</v>
      </c>
      <c r="L179" s="23">
        <f>IF(OR($N179=0,COUNT('TO HOP GOI DAU'!$O$197:$O$200)=0),0,INDEX('TO HOP GOI DAU'!$K$197:$K$200,MATCH(MAX('TO HOP GOI DAU'!$O$197:$O$200),'TO HOP GOI DAU'!$O$197:$O$200,0)))</f>
        <v>23077.166613472269</v>
      </c>
      <c r="N179" s="14">
        <v>49</v>
      </c>
    </row>
    <row r="180" spans="2:14" x14ac:dyDescent="0.3">
      <c r="B180" s="19" t="str">
        <f t="shared" si="9"/>
        <v>CĐ III(b) min</v>
      </c>
      <c r="C180" s="23">
        <f>IF(OR($N180=0,COUNT('TO HOP GOI DAU'!$L$201:$L$204)=0),0,INDEX('TO HOP GOI DAU'!$H$201:$H$204,MATCH(MAX('TO HOP GOI DAU'!$L$201:$L$204),'TO HOP GOI DAU'!$L$201:$L$204,0)))</f>
        <v>2253.4698695046854</v>
      </c>
      <c r="D180" s="23">
        <f t="shared" si="10"/>
        <v>527.07594777468739</v>
      </c>
      <c r="E180" s="23">
        <f t="shared" si="11"/>
        <v>18302.592658425969</v>
      </c>
      <c r="F180" s="23">
        <f t="shared" si="12"/>
        <v>5799.5994698295608</v>
      </c>
      <c r="G180" s="23">
        <f>IF(OR($N180=0,COUNT('TO HOP GOI DAU'!$M$201:$M$204)=0),0,INDEX('TO HOP GOI DAU'!$I$201:$I$204,MATCH(MAX('TO HOP GOI DAU'!$M$201:$M$204),'TO HOP GOI DAU'!$M$201:$M$204,0)))</f>
        <v>27584.106352481642</v>
      </c>
      <c r="H180" s="23">
        <f>IF(OR($N180=0,COUNT('TO HOP GOI DAU'!$N$201:$N$204)=0),0,INDEX('TO HOP GOI DAU'!$J$201:$J$204,MATCH(MAX('TO HOP GOI DAU'!$N$201:$N$204),'TO HOP GOI DAU'!$N$201:$N$204,0)))</f>
        <v>2253.4698695046854</v>
      </c>
      <c r="I180" s="23">
        <f t="shared" si="13"/>
        <v>527.07594777468739</v>
      </c>
      <c r="J180" s="23">
        <f t="shared" si="14"/>
        <v>15286.15265842597</v>
      </c>
      <c r="K180" s="23">
        <f t="shared" si="15"/>
        <v>4745.4475742801869</v>
      </c>
      <c r="L180" s="23">
        <f>IF(OR($N180=0,COUNT('TO HOP GOI DAU'!$O$201:$O$204)=0),0,INDEX('TO HOP GOI DAU'!$K$201:$K$204,MATCH(MAX('TO HOP GOI DAU'!$O$201:$O$204),'TO HOP GOI DAU'!$O$201:$O$204,0)))</f>
        <v>23077.166613472269</v>
      </c>
      <c r="N180" s="14">
        <v>50</v>
      </c>
    </row>
    <row r="181" spans="2:14" x14ac:dyDescent="0.3">
      <c r="B181" s="19" t="str">
        <f t="shared" si="9"/>
        <v>CĐ V(a) max - 2 nhịp 1 làn</v>
      </c>
      <c r="C181" s="23">
        <f>IF(OR($N181=0,COUNT('TO HOP GOI DAU'!$L$205:$L$208)=0),0,INDEX('TO HOP GOI DAU'!$H$205:$H$208,MATCH(MAX('TO HOP GOI DAU'!$L$205:$L$208),'TO HOP GOI DAU'!$L$205:$L$208,0)))</f>
        <v>2622.0450775610134</v>
      </c>
      <c r="D181" s="23">
        <f t="shared" si="10"/>
        <v>202.25708000000003</v>
      </c>
      <c r="E181" s="23">
        <f t="shared" si="11"/>
        <v>29786.224243887027</v>
      </c>
      <c r="F181" s="23">
        <f t="shared" si="12"/>
        <v>17688.855952900001</v>
      </c>
      <c r="G181" s="23">
        <f>IF(OR($N181=0,COUNT('TO HOP GOI DAU'!$M$205:$M$208)=0),0,INDEX('TO HOP GOI DAU'!$I$205:$I$208,MATCH(MAX('TO HOP GOI DAU'!$M$205:$M$208),'TO HOP GOI DAU'!$M$205:$M$208,0)))</f>
        <v>32957.245290949249</v>
      </c>
      <c r="H181" s="23">
        <f>IF(OR($N181=0,COUNT('TO HOP GOI DAU'!$N$205:$N$208)=0),0,INDEX('TO HOP GOI DAU'!$J$205:$J$208,MATCH(MAX('TO HOP GOI DAU'!$N$205:$N$208),'TO HOP GOI DAU'!$N$205:$N$208,0)))</f>
        <v>2622.0450775610134</v>
      </c>
      <c r="I181" s="23">
        <f t="shared" si="13"/>
        <v>202.25708000000003</v>
      </c>
      <c r="J181" s="23">
        <f t="shared" si="14"/>
        <v>25596.724243887027</v>
      </c>
      <c r="K181" s="23">
        <f t="shared" si="15"/>
        <v>17284.341792900002</v>
      </c>
      <c r="L181" s="23">
        <f>IF(OR($N181=0,COUNT('TO HOP GOI DAU'!$O$205:$O$208)=0),0,INDEX('TO HOP GOI DAU'!$K$205:$K$208,MATCH(MAX('TO HOP GOI DAU'!$O$205:$O$208),'TO HOP GOI DAU'!$O$205:$O$208,0)))</f>
        <v>27713.155135827226</v>
      </c>
      <c r="N181" s="14">
        <v>51</v>
      </c>
    </row>
    <row r="182" spans="2:14" x14ac:dyDescent="0.3">
      <c r="B182" s="19" t="str">
        <f t="shared" si="9"/>
        <v>CĐ V(a) max - 2 nhịp 2 làn</v>
      </c>
      <c r="C182" s="23">
        <f>IF(OR($N182=0,COUNT('TO HOP GOI DAU'!$L$209:$L$212)=0),0,INDEX('TO HOP GOI DAU'!$H$209:$H$212,MATCH(MAX('TO HOP GOI DAU'!$L$209:$L$212),'TO HOP GOI DAU'!$L$209:$L$212,0)))</f>
        <v>2622.0450775610134</v>
      </c>
      <c r="D182" s="23">
        <f t="shared" si="10"/>
        <v>202.25708000000003</v>
      </c>
      <c r="E182" s="23">
        <f t="shared" si="11"/>
        <v>30819.544613487025</v>
      </c>
      <c r="F182" s="23">
        <f t="shared" si="12"/>
        <v>24017.943216700001</v>
      </c>
      <c r="G182" s="23">
        <f>IF(OR($N182=0,COUNT('TO HOP GOI DAU'!$M$209:$M$212)=0),0,INDEX('TO HOP GOI DAU'!$I$209:$I$212,MATCH(MAX('TO HOP GOI DAU'!$M$209:$M$212),'TO HOP GOI DAU'!$M$209:$M$212,0)))</f>
        <v>32957.245290949249</v>
      </c>
      <c r="H182" s="23">
        <f>IF(OR($N182=0,COUNT('TO HOP GOI DAU'!$N$209:$N$212)=0),0,INDEX('TO HOP GOI DAU'!$J$209:$J$212,MATCH(MAX('TO HOP GOI DAU'!$N$209:$N$212),'TO HOP GOI DAU'!$N$209:$N$212,0)))</f>
        <v>2622.0450775610134</v>
      </c>
      <c r="I182" s="23">
        <f t="shared" si="13"/>
        <v>202.25708000000003</v>
      </c>
      <c r="J182" s="23">
        <f t="shared" si="14"/>
        <v>26630.044613487025</v>
      </c>
      <c r="K182" s="23">
        <f t="shared" si="15"/>
        <v>23613.429056700003</v>
      </c>
      <c r="L182" s="23">
        <f>IF(OR($N182=0,COUNT('TO HOP GOI DAU'!$O$209:$O$212)=0),0,INDEX('TO HOP GOI DAU'!$K$209:$K$212,MATCH(MAX('TO HOP GOI DAU'!$O$209:$O$212),'TO HOP GOI DAU'!$O$209:$O$212,0)))</f>
        <v>27713.155135827226</v>
      </c>
      <c r="N182" s="14">
        <v>52</v>
      </c>
    </row>
    <row r="183" spans="2:14" x14ac:dyDescent="0.3">
      <c r="B183" s="19" t="str">
        <f t="shared" si="9"/>
        <v>CĐ V(a) max - 2 nhịp 3 làn</v>
      </c>
      <c r="C183" s="23">
        <f>IF(OR($N183=0,COUNT('TO HOP GOI DAU'!$L$213:$L$216)=0),0,INDEX('TO HOP GOI DAU'!$H$213:$H$216,MATCH(MAX('TO HOP GOI DAU'!$L$213:$L$216),'TO HOP GOI DAU'!$L$213:$L$216,0)))</f>
        <v>2622.0450775610134</v>
      </c>
      <c r="D183" s="23">
        <f t="shared" si="10"/>
        <v>202.25708000000003</v>
      </c>
      <c r="E183" s="23">
        <f t="shared" si="11"/>
        <v>31529.952367587026</v>
      </c>
      <c r="F183" s="23">
        <f t="shared" si="12"/>
        <v>25027.045140137503</v>
      </c>
      <c r="G183" s="23">
        <f>IF(OR($N183=0,COUNT('TO HOP GOI DAU'!$M$213:$M$216)=0),0,INDEX('TO HOP GOI DAU'!$I$213:$I$216,MATCH(MAX('TO HOP GOI DAU'!$M$213:$M$216),'TO HOP GOI DAU'!$M$213:$M$216,0)))</f>
        <v>32957.245290949249</v>
      </c>
      <c r="H183" s="23">
        <f>IF(OR($N183=0,COUNT('TO HOP GOI DAU'!$N$213:$N$216)=0),0,INDEX('TO HOP GOI DAU'!$J$213:$J$216,MATCH(MAX('TO HOP GOI DAU'!$N$213:$N$216),'TO HOP GOI DAU'!$N$213:$N$216,0)))</f>
        <v>2622.0450775610134</v>
      </c>
      <c r="I183" s="23">
        <f t="shared" si="13"/>
        <v>202.25708000000003</v>
      </c>
      <c r="J183" s="23">
        <f t="shared" si="14"/>
        <v>27340.452367587026</v>
      </c>
      <c r="K183" s="23">
        <f t="shared" si="15"/>
        <v>24622.530980137504</v>
      </c>
      <c r="L183" s="23">
        <f>IF(OR($N183=0,COUNT('TO HOP GOI DAU'!$O$213:$O$216)=0),0,INDEX('TO HOP GOI DAU'!$K$213:$K$216,MATCH(MAX('TO HOP GOI DAU'!$O$213:$O$216),'TO HOP GOI DAU'!$O$213:$O$216,0)))</f>
        <v>27713.155135827226</v>
      </c>
      <c r="N183" s="14">
        <v>53</v>
      </c>
    </row>
    <row r="184" spans="2:14" x14ac:dyDescent="0.3">
      <c r="B184" s="19" t="str">
        <f t="shared" si="9"/>
        <v>CĐ V(a) max - 2 nhịp 4 làn</v>
      </c>
      <c r="C184" s="23">
        <f>IF(OR($N184=0,COUNT('TO HOP GOI DAU'!$L$217:$L$220)=0),0,INDEX('TO HOP GOI DAU'!$H$217:$H$220,MATCH(MAX('TO HOP GOI DAU'!$L$217:$L$220),'TO HOP GOI DAU'!$L$217:$L$220,0)))</f>
        <v>2622.0450775610134</v>
      </c>
      <c r="D184" s="23">
        <f t="shared" si="10"/>
        <v>202.25708000000003</v>
      </c>
      <c r="E184" s="23">
        <f t="shared" si="11"/>
        <v>31594.534890687028</v>
      </c>
      <c r="F184" s="23">
        <f t="shared" si="12"/>
        <v>20433.613184650003</v>
      </c>
      <c r="G184" s="23">
        <f>IF(OR($N184=0,COUNT('TO HOP GOI DAU'!$M$217:$M$220)=0),0,INDEX('TO HOP GOI DAU'!$I$217:$I$220,MATCH(MAX('TO HOP GOI DAU'!$M$217:$M$220),'TO HOP GOI DAU'!$M$217:$M$220,0)))</f>
        <v>32957.245290949249</v>
      </c>
      <c r="H184" s="23">
        <f>IF(OR($N184=0,COUNT('TO HOP GOI DAU'!$N$217:$N$220)=0),0,INDEX('TO HOP GOI DAU'!$J$217:$J$220,MATCH(MAX('TO HOP GOI DAU'!$N$217:$N$220),'TO HOP GOI DAU'!$N$217:$N$220,0)))</f>
        <v>2622.0450775610134</v>
      </c>
      <c r="I184" s="23">
        <f t="shared" si="13"/>
        <v>202.25708000000003</v>
      </c>
      <c r="J184" s="23">
        <f t="shared" si="14"/>
        <v>27405.034890687028</v>
      </c>
      <c r="K184" s="23">
        <f t="shared" si="15"/>
        <v>20029.099024650004</v>
      </c>
      <c r="L184" s="23">
        <f>IF(OR($N184=0,COUNT('TO HOP GOI DAU'!$O$217:$O$220)=0),0,INDEX('TO HOP GOI DAU'!$K$217:$K$220,MATCH(MAX('TO HOP GOI DAU'!$O$217:$O$220),'TO HOP GOI DAU'!$O$217:$O$220,0)))</f>
        <v>27713.155135827226</v>
      </c>
      <c r="N184" s="14">
        <v>54</v>
      </c>
    </row>
    <row r="185" spans="2:14" x14ac:dyDescent="0.3">
      <c r="B185" s="19" t="str">
        <f t="shared" si="9"/>
        <v>CĐ V(a) max - 2 nhịp 5 làn</v>
      </c>
      <c r="C185" s="23">
        <f>IF(OR($N185=0,COUNT('TO HOP GOI DAU'!$L$221:$L$224)=0),0,INDEX('TO HOP GOI DAU'!$H$221:$H$224,MATCH(MAX('TO HOP GOI DAU'!$L$221:$L$224),'TO HOP GOI DAU'!$L$221:$L$224,0)))</f>
        <v>2622.0450775610134</v>
      </c>
      <c r="D185" s="23">
        <f t="shared" si="10"/>
        <v>202.25708000000003</v>
      </c>
      <c r="E185" s="23">
        <f t="shared" si="11"/>
        <v>32434.107690987028</v>
      </c>
      <c r="F185" s="23">
        <f t="shared" si="12"/>
        <v>18649.520984012503</v>
      </c>
      <c r="G185" s="23">
        <f>IF(OR($N185=0,COUNT('TO HOP GOI DAU'!$M$221:$M$224)=0),0,INDEX('TO HOP GOI DAU'!$I$221:$I$224,MATCH(MAX('TO HOP GOI DAU'!$M$221:$M$224),'TO HOP GOI DAU'!$M$221:$M$224,0)))</f>
        <v>32957.245290949249</v>
      </c>
      <c r="H185" s="23">
        <f>IF(OR($N185=0,COUNT('TO HOP GOI DAU'!$N$221:$N$224)=0),0,INDEX('TO HOP GOI DAU'!$J$221:$J$224,MATCH(MAX('TO HOP GOI DAU'!$N$221:$N$224),'TO HOP GOI DAU'!$N$221:$N$224,0)))</f>
        <v>2622.0450775610134</v>
      </c>
      <c r="I185" s="23">
        <f t="shared" si="13"/>
        <v>202.25708000000003</v>
      </c>
      <c r="J185" s="23">
        <f t="shared" si="14"/>
        <v>28244.607690987028</v>
      </c>
      <c r="K185" s="23">
        <f t="shared" si="15"/>
        <v>18245.006824012507</v>
      </c>
      <c r="L185" s="23">
        <f>IF(OR($N185=0,COUNT('TO HOP GOI DAU'!$O$221:$O$224)=0),0,INDEX('TO HOP GOI DAU'!$K$221:$K$224,MATCH(MAX('TO HOP GOI DAU'!$O$221:$O$224),'TO HOP GOI DAU'!$O$221:$O$224,0)))</f>
        <v>27713.155135827226</v>
      </c>
      <c r="N185" s="14">
        <v>55</v>
      </c>
    </row>
    <row r="186" spans="2:14" x14ac:dyDescent="0.3">
      <c r="B186" s="19" t="str">
        <f t="shared" si="9"/>
        <v>CĐ V(a) max - 2 nhịp 6 làn</v>
      </c>
      <c r="C186" s="23">
        <f>IF(OR($N186=0,COUNT('TO HOP GOI DAU'!$L$225:$L$228)=0),0,INDEX('TO HOP GOI DAU'!$H$225:$H$228,MATCH(MAX('TO HOP GOI DAU'!$L$225:$L$228),'TO HOP GOI DAU'!$L$225:$L$228,0)))</f>
        <v>2622.0450775610134</v>
      </c>
      <c r="D186" s="23">
        <f t="shared" si="10"/>
        <v>202.25708000000003</v>
      </c>
      <c r="E186" s="23">
        <f t="shared" si="11"/>
        <v>33273.680491287028</v>
      </c>
      <c r="F186" s="23">
        <f t="shared" si="12"/>
        <v>14346.710382475001</v>
      </c>
      <c r="G186" s="23">
        <f>IF(OR($N186=0,COUNT('TO HOP GOI DAU'!$M$225:$M$228)=0),0,INDEX('TO HOP GOI DAU'!$I$225:$I$228,MATCH(MAX('TO HOP GOI DAU'!$M$225:$M$228),'TO HOP GOI DAU'!$M$225:$M$228,0)))</f>
        <v>32957.245290949249</v>
      </c>
      <c r="H186" s="23">
        <f>IF(OR($N186=0,COUNT('TO HOP GOI DAU'!$N$225:$N$228)=0),0,INDEX('TO HOP GOI DAU'!$J$225:$J$228,MATCH(MAX('TO HOP GOI DAU'!$N$225:$N$228),'TO HOP GOI DAU'!$N$225:$N$228,0)))</f>
        <v>2622.0450775610134</v>
      </c>
      <c r="I186" s="23">
        <f t="shared" si="13"/>
        <v>202.25708000000003</v>
      </c>
      <c r="J186" s="23">
        <f t="shared" si="14"/>
        <v>29084.180491287028</v>
      </c>
      <c r="K186" s="23">
        <f t="shared" si="15"/>
        <v>13942.196222475</v>
      </c>
      <c r="L186" s="23">
        <f>IF(OR($N186=0,COUNT('TO HOP GOI DAU'!$O$225:$O$228)=0),0,INDEX('TO HOP GOI DAU'!$K$225:$K$228,MATCH(MAX('TO HOP GOI DAU'!$O$225:$O$228),'TO HOP GOI DAU'!$O$225:$O$228,0)))</f>
        <v>27713.155135827226</v>
      </c>
      <c r="N186" s="14">
        <v>56</v>
      </c>
    </row>
    <row r="187" spans="2:14" x14ac:dyDescent="0.3">
      <c r="B187" s="19" t="str">
        <f t="shared" si="9"/>
        <v>ĐB I - dọc chủ đạo</v>
      </c>
      <c r="C187" s="23">
        <f>IF(OR($N187=0,COUNT('TO HOP GOI DAU'!$L$229:$L$232)=0),0,INDEX('TO HOP GOI DAU'!$H$229:$H$232,MATCH(MAX('TO HOP GOI DAU'!$L$229:$L$232),'TO HOP GOI DAU'!$L$229:$L$232,0)))</f>
        <v>3446.1730690059308</v>
      </c>
      <c r="D187" s="23">
        <f t="shared" si="10"/>
        <v>803.81090438403237</v>
      </c>
      <c r="E187" s="23">
        <f t="shared" si="11"/>
        <v>24180.961535589624</v>
      </c>
      <c r="F187" s="23">
        <f t="shared" si="12"/>
        <v>10696.347874891002</v>
      </c>
      <c r="G187" s="23">
        <f>IF(OR($N187=0,COUNT('TO HOP GOI DAU'!$M$229:$M$232)=0),0,INDEX('TO HOP GOI DAU'!$I$229:$I$232,MATCH(MAX('TO HOP GOI DAU'!$M$229:$M$232),'TO HOP GOI DAU'!$M$229:$M$232,0)))</f>
        <v>32489.978043587224</v>
      </c>
      <c r="H187" s="23">
        <f>IF(OR($N187=0,COUNT('TO HOP GOI DAU'!$N$229:$N$232)=0),0,INDEX('TO HOP GOI DAU'!$J$229:$J$232,MATCH(MAX('TO HOP GOI DAU'!$N$229:$N$232),'TO HOP GOI DAU'!$N$229:$N$232,0)))</f>
        <v>2665.487541912275</v>
      </c>
      <c r="I187" s="23">
        <f t="shared" si="13"/>
        <v>525.29294438403247</v>
      </c>
      <c r="J187" s="23">
        <f t="shared" si="14"/>
        <v>20829.361535589622</v>
      </c>
      <c r="K187" s="23">
        <f t="shared" si="15"/>
        <v>9367.2440261229385</v>
      </c>
      <c r="L187" s="23">
        <f>IF(OR($N187=0,COUNT('TO HOP GOI DAU'!$O$229:$O$232)=0),0,INDEX('TO HOP GOI DAU'!$K$229:$K$232,MATCH(MAX('TO HOP GOI DAU'!$O$229:$O$232),'TO HOP GOI DAU'!$O$229:$O$232,0)))</f>
        <v>26378.317432669013</v>
      </c>
      <c r="N187" s="14">
        <v>57</v>
      </c>
    </row>
    <row r="188" spans="2:14" x14ac:dyDescent="0.3">
      <c r="B188" s="19" t="str">
        <f t="shared" si="9"/>
        <v>ĐB I - ngang chủ đạo</v>
      </c>
      <c r="C188" s="23">
        <f>IF(OR($N188=0,COUNT('TO HOP GOI DAU'!$L$233:$L$236)=0),0,INDEX('TO HOP GOI DAU'!$H$233:$H$236,MATCH(MAX('TO HOP GOI DAU'!$L$233:$L$236),'TO HOP GOI DAU'!$L$233:$L$236,0)))</f>
        <v>1869.0163294517793</v>
      </c>
      <c r="D188" s="23">
        <f t="shared" si="10"/>
        <v>2679.3696812801081</v>
      </c>
      <c r="E188" s="23">
        <f t="shared" si="11"/>
        <v>24180.961535589624</v>
      </c>
      <c r="F188" s="23">
        <f t="shared" si="12"/>
        <v>25315.309357053342</v>
      </c>
      <c r="G188" s="23">
        <f>IF(OR($N188=0,COUNT('TO HOP GOI DAU'!$M$233:$M$236)=0),0,INDEX('TO HOP GOI DAU'!$I$233:$I$236,MATCH(MAX('TO HOP GOI DAU'!$M$233:$M$236),'TO HOP GOI DAU'!$M$233:$M$236,0)))</f>
        <v>20196.898290026169</v>
      </c>
      <c r="H188" s="23">
        <f>IF(OR($N188=0,COUNT('TO HOP GOI DAU'!$N$233:$N$236)=0),0,INDEX('TO HOP GOI DAU'!$J$233:$J$236,MATCH(MAX('TO HOP GOI DAU'!$N$233:$N$236),'TO HOP GOI DAU'!$N$233:$N$236,0)))</f>
        <v>1634.8106713236825</v>
      </c>
      <c r="I188" s="23">
        <f t="shared" si="13"/>
        <v>1750.9764812801084</v>
      </c>
      <c r="J188" s="23">
        <f t="shared" si="14"/>
        <v>20829.361535589622</v>
      </c>
      <c r="K188" s="23">
        <f t="shared" si="15"/>
        <v>20884.963194493124</v>
      </c>
      <c r="L188" s="23">
        <f>IF(OR($N188=0,COUNT('TO HOP GOI DAU'!$O$233:$O$236)=0),0,INDEX('TO HOP GOI DAU'!$K$233:$K$236,MATCH(MAX('TO HOP GOI DAU'!$O$233:$O$236),'TO HOP GOI DAU'!$O$233:$O$236,0)))</f>
        <v>16693.071289250707</v>
      </c>
      <c r="N188" s="14">
        <v>58</v>
      </c>
    </row>
    <row r="189" spans="2:14" x14ac:dyDescent="0.3">
      <c r="B189" s="19" t="str">
        <f t="shared" si="9"/>
        <v>ĐB II - va xe dọc</v>
      </c>
      <c r="C189" s="23">
        <f>IF(OR($N189=0,COUNT('TO HOP GOI DAU'!$L$237:$L$240)=0),0,INDEX('TO HOP GOI DAU'!$H$237:$H$240,MATCH(MAX('TO HOP GOI DAU'!$L$237:$L$240),'TO HOP GOI DAU'!$L$237:$L$240,0)))</f>
        <v>2834.6545125000002</v>
      </c>
      <c r="D189" s="23">
        <f t="shared" si="10"/>
        <v>0</v>
      </c>
      <c r="E189" s="23">
        <f t="shared" si="11"/>
        <v>30101.961023487027</v>
      </c>
      <c r="F189" s="23">
        <f t="shared" si="12"/>
        <v>4431.0786682500002</v>
      </c>
      <c r="G189" s="23">
        <f>IF(OR($N189=0,COUNT('TO HOP GOI DAU'!$M$237:$M$240)=0),0,INDEX('TO HOP GOI DAU'!$I$237:$I$240,MATCH(MAX('TO HOP GOI DAU'!$M$237:$M$240),'TO HOP GOI DAU'!$M$237:$M$240,0)))</f>
        <v>18465.557413500006</v>
      </c>
      <c r="H189" s="23">
        <f>IF(OR($N189=0,COUNT('TO HOP GOI DAU'!$N$237:$N$240)=0),0,INDEX('TO HOP GOI DAU'!$J$237:$J$240,MATCH(MAX('TO HOP GOI DAU'!$N$237:$N$240),'TO HOP GOI DAU'!$N$237:$N$240,0)))</f>
        <v>2834.6545125000002</v>
      </c>
      <c r="I189" s="23">
        <f t="shared" si="13"/>
        <v>0</v>
      </c>
      <c r="J189" s="23">
        <f t="shared" si="14"/>
        <v>25912.461023487027</v>
      </c>
      <c r="K189" s="23">
        <f t="shared" si="15"/>
        <v>4431.0786682500002</v>
      </c>
      <c r="L189" s="23">
        <f>IF(OR($N189=0,COUNT('TO HOP GOI DAU'!$O$237:$O$240)=0),0,INDEX('TO HOP GOI DAU'!$K$237:$K$240,MATCH(MAX('TO HOP GOI DAU'!$O$237:$O$240),'TO HOP GOI DAU'!$O$237:$O$240,0)))</f>
        <v>12796.248388500004</v>
      </c>
      <c r="N189" s="14">
        <v>59</v>
      </c>
    </row>
    <row r="190" spans="2:14" x14ac:dyDescent="0.3">
      <c r="B190" s="19" t="str">
        <f t="shared" si="9"/>
        <v>ĐB II - va xe ngang</v>
      </c>
      <c r="C190" s="23">
        <f>IF(OR($N190=0,COUNT('TO HOP GOI DAU'!$L$241:$L$244)=0),0,INDEX('TO HOP GOI DAU'!$H$241:$H$244,MATCH(MAX('TO HOP GOI DAU'!$L$241:$L$244),'TO HOP GOI DAU'!$L$241:$L$244,0)))</f>
        <v>1034.6545125000002</v>
      </c>
      <c r="D190" s="23">
        <f t="shared" si="10"/>
        <v>1800</v>
      </c>
      <c r="E190" s="23">
        <f t="shared" si="11"/>
        <v>30101.961023487027</v>
      </c>
      <c r="F190" s="23">
        <f t="shared" si="12"/>
        <v>10191.07866825</v>
      </c>
      <c r="G190" s="23">
        <f>IF(OR($N190=0,COUNT('TO HOP GOI DAU'!$M$241:$M$244)=0),0,INDEX('TO HOP GOI DAU'!$I$241:$I$244,MATCH(MAX('TO HOP GOI DAU'!$M$241:$M$244),'TO HOP GOI DAU'!$M$241:$M$244,0)))</f>
        <v>12705.557413500004</v>
      </c>
      <c r="H190" s="23">
        <f>IF(OR($N190=0,COUNT('TO HOP GOI DAU'!$N$241:$N$244)=0),0,INDEX('TO HOP GOI DAU'!$J$241:$J$244,MATCH(MAX('TO HOP GOI DAU'!$N$241:$N$244),'TO HOP GOI DAU'!$N$241:$N$244,0)))</f>
        <v>1034.6545125000002</v>
      </c>
      <c r="I190" s="23">
        <f t="shared" si="13"/>
        <v>1800</v>
      </c>
      <c r="J190" s="23">
        <f t="shared" si="14"/>
        <v>25912.461023487027</v>
      </c>
      <c r="K190" s="23">
        <f t="shared" si="15"/>
        <v>6591.0786682500002</v>
      </c>
      <c r="L190" s="23">
        <f>IF(OR($N190=0,COUNT('TO HOP GOI DAU'!$O$241:$O$244)=0),0,INDEX('TO HOP GOI DAU'!$K$241:$K$244,MATCH(MAX('TO HOP GOI DAU'!$O$241:$O$244),'TO HOP GOI DAU'!$O$241:$O$244,0)))</f>
        <v>10636.248388500004</v>
      </c>
      <c r="N190" s="14">
        <v>60</v>
      </c>
    </row>
    <row r="191" spans="2:14" x14ac:dyDescent="0.3">
      <c r="B191" s="19" t="str">
        <f t="shared" si="9"/>
        <v>ĐB II - va tàu ngang</v>
      </c>
      <c r="C191" s="23">
        <f>IF(OR($N191=0,COUNT('TO HOP GOI DAU'!$L$245:$L$248)=0),0,INDEX('TO HOP GOI DAU'!$H$245:$H$248,MATCH(MAX('TO HOP GOI DAU'!$L$245:$L$248),'TO HOP GOI DAU'!$L$245:$L$248,0)))</f>
        <v>1034.6545125000002</v>
      </c>
      <c r="D191" s="23">
        <f t="shared" si="10"/>
        <v>0</v>
      </c>
      <c r="E191" s="23">
        <f t="shared" si="11"/>
        <v>30101.961023487027</v>
      </c>
      <c r="F191" s="23">
        <f t="shared" si="12"/>
        <v>4431.0786682500002</v>
      </c>
      <c r="G191" s="23">
        <f>IF(OR($N191=0,COUNT('TO HOP GOI DAU'!$M$245:$M$248)=0),0,INDEX('TO HOP GOI DAU'!$I$245:$I$248,MATCH(MAX('TO HOP GOI DAU'!$M$245:$M$248),'TO HOP GOI DAU'!$M$245:$M$248,0)))</f>
        <v>12705.557413500004</v>
      </c>
      <c r="H191" s="23">
        <f>IF(OR($N191=0,COUNT('TO HOP GOI DAU'!$N$245:$N$248)=0),0,INDEX('TO HOP GOI DAU'!$J$245:$J$248,MATCH(MAX('TO HOP GOI DAU'!$N$245:$N$248),'TO HOP GOI DAU'!$N$245:$N$248,0)))</f>
        <v>1034.6545125000002</v>
      </c>
      <c r="I191" s="23">
        <f t="shared" si="13"/>
        <v>0</v>
      </c>
      <c r="J191" s="23">
        <f t="shared" si="14"/>
        <v>25912.461023487027</v>
      </c>
      <c r="K191" s="23">
        <f t="shared" si="15"/>
        <v>4431.0786682500002</v>
      </c>
      <c r="L191" s="23">
        <f>IF(OR($N191=0,COUNT('TO HOP GOI DAU'!$O$245:$O$248)=0),0,INDEX('TO HOP GOI DAU'!$K$245:$K$248,MATCH(MAX('TO HOP GOI DAU'!$O$245:$O$248),'TO HOP GOI DAU'!$O$245:$O$248,0)))</f>
        <v>10636.248388500004</v>
      </c>
      <c r="N191" s="14">
        <v>61</v>
      </c>
    </row>
    <row r="192" spans="2:14" x14ac:dyDescent="0.3">
      <c r="B192" s="19" t="str">
        <f t="shared" si="9"/>
        <v>ĐB II - va tàu dọc</v>
      </c>
      <c r="C192" s="23">
        <f>IF(OR($N192=0,COUNT('TO HOP GOI DAU'!$L$249:$L$252)=0),0,INDEX('TO HOP GOI DAU'!$H$249:$H$252,MATCH(MAX('TO HOP GOI DAU'!$L$249:$L$252),'TO HOP GOI DAU'!$L$249:$L$252,0)))</f>
        <v>1034.6545125000002</v>
      </c>
      <c r="D192" s="23">
        <f t="shared" si="10"/>
        <v>0</v>
      </c>
      <c r="E192" s="23">
        <f t="shared" si="11"/>
        <v>30101.961023487027</v>
      </c>
      <c r="F192" s="23">
        <f t="shared" si="12"/>
        <v>4431.0786682500002</v>
      </c>
      <c r="G192" s="23">
        <f>IF(OR($N192=0,COUNT('TO HOP GOI DAU'!$M$249:$M$252)=0),0,INDEX('TO HOP GOI DAU'!$I$249:$I$252,MATCH(MAX('TO HOP GOI DAU'!$M$249:$M$252),'TO HOP GOI DAU'!$M$249:$M$252,0)))</f>
        <v>12705.557413500004</v>
      </c>
      <c r="H192" s="23">
        <f>IF(OR($N192=0,COUNT('TO HOP GOI DAU'!$N$249:$N$252)=0),0,INDEX('TO HOP GOI DAU'!$J$249:$J$252,MATCH(MAX('TO HOP GOI DAU'!$N$249:$N$252),'TO HOP GOI DAU'!$N$249:$N$252,0)))</f>
        <v>1034.6545125000002</v>
      </c>
      <c r="I192" s="23">
        <f t="shared" si="13"/>
        <v>0</v>
      </c>
      <c r="J192" s="23">
        <f t="shared" si="14"/>
        <v>25912.461023487027</v>
      </c>
      <c r="K192" s="23">
        <f t="shared" si="15"/>
        <v>4431.0786682500002</v>
      </c>
      <c r="L192" s="23">
        <f>IF(OR($N192=0,COUNT('TO HOP GOI DAU'!$O$249:$O$252)=0),0,INDEX('TO HOP GOI DAU'!$K$249:$K$252,MATCH(MAX('TO HOP GOI DAU'!$O$249:$O$252),'TO HOP GOI DAU'!$O$249:$O$252,0)))</f>
        <v>10636.248388500004</v>
      </c>
      <c r="N192" s="14">
        <v>62</v>
      </c>
    </row>
    <row r="194" spans="2:12" x14ac:dyDescent="0.3">
      <c r="B194" s="5" t="s">
        <v>624</v>
      </c>
    </row>
    <row r="195" spans="2:12" x14ac:dyDescent="0.3">
      <c r="B195" s="18" t="s">
        <v>625</v>
      </c>
      <c r="C195" s="18" t="s">
        <v>503</v>
      </c>
      <c r="D195" s="18" t="s">
        <v>504</v>
      </c>
      <c r="E195" s="18" t="s">
        <v>505</v>
      </c>
      <c r="F195" s="18" t="s">
        <v>506</v>
      </c>
      <c r="G195" s="18" t="s">
        <v>507</v>
      </c>
      <c r="H195" s="18" t="s">
        <v>508</v>
      </c>
      <c r="I195" s="18" t="s">
        <v>509</v>
      </c>
      <c r="J195" s="18" t="s">
        <v>510</v>
      </c>
      <c r="K195" s="18" t="s">
        <v>511</v>
      </c>
      <c r="L195" s="18" t="s">
        <v>512</v>
      </c>
    </row>
    <row r="196" spans="2:12" x14ac:dyDescent="0.3">
      <c r="B196" s="28" t="s">
        <v>626</v>
      </c>
      <c r="C196" s="27">
        <f>MAX(C$131:C$148,'TO HOP NLAN'!B$6:B$107)</f>
        <v>3611.4273926220267</v>
      </c>
      <c r="D196" s="27">
        <f>MAX(D$131:D$148,'TO HOP NLAN'!C$6:C$107)</f>
        <v>165.63581000000002</v>
      </c>
      <c r="E196" s="27">
        <f>MAX(E$131:E$148,'TO HOP NLAN'!D$6:D$107)</f>
        <v>26046.678869589625</v>
      </c>
      <c r="F196" s="27">
        <f>MAX(F$131:F$148,'TO HOP NLAN'!E$6:E$107)</f>
        <v>18756.235189899999</v>
      </c>
      <c r="G196" s="27">
        <f>MAX(G$131:G$148,'TO HOP NLAN'!F$6:F$107)</f>
        <v>46933.652013648498</v>
      </c>
      <c r="H196" s="27">
        <f>MAX(H$131:H$148,'TO HOP NLAN'!G$6:G$107)</f>
        <v>3611.4273926220267</v>
      </c>
      <c r="I196" s="27">
        <f>MAX(I$131:I$148,'TO HOP NLAN'!H$6:H$107)</f>
        <v>165.63581000000002</v>
      </c>
      <c r="J196" s="27">
        <f>MAX(J$131:J$148,'TO HOP NLAN'!I$6:I$107)</f>
        <v>22695.078869589623</v>
      </c>
      <c r="K196" s="27">
        <f>MAX(K$131:K$148,'TO HOP NLAN'!J$6:J$107)</f>
        <v>18424.963569900003</v>
      </c>
      <c r="L196" s="27">
        <f>MAX(L$131:L$148,'TO HOP NLAN'!K$6:K$107)</f>
        <v>39710.797228404444</v>
      </c>
    </row>
    <row r="197" spans="2:12" x14ac:dyDescent="0.3">
      <c r="B197" s="28" t="s">
        <v>627</v>
      </c>
      <c r="C197" s="27">
        <f>MIN(C$131:C$148,'TO HOP NLAN'!B$6:B$107)</f>
        <v>3611.4273926220267</v>
      </c>
      <c r="D197" s="27">
        <f>MIN(D$131:D$148,'TO HOP NLAN'!C$6:C$107)</f>
        <v>165.63581000000002</v>
      </c>
      <c r="E197" s="27">
        <f>MIN(E$131:E$148,'TO HOP NLAN'!D$6:D$107)</f>
        <v>23003.847481589622</v>
      </c>
      <c r="F197" s="27">
        <f>MIN(F$131:F$148,'TO HOP NLAN'!E$6:E$107)</f>
        <v>1982.7187736500002</v>
      </c>
      <c r="G197" s="27">
        <f>MIN(G$131:G$148,'TO HOP NLAN'!F$6:F$107)</f>
        <v>44919.487419648496</v>
      </c>
      <c r="H197" s="27">
        <f>MIN(H$131:H$148,'TO HOP NLAN'!G$6:G$107)</f>
        <v>3611.4273926220267</v>
      </c>
      <c r="I197" s="27">
        <f>MIN(I$131:I$148,'TO HOP NLAN'!H$6:H$107)</f>
        <v>165.63581000000002</v>
      </c>
      <c r="J197" s="27">
        <f>MIN(J$131:J$148,'TO HOP NLAN'!I$6:I$107)</f>
        <v>19652.24748158962</v>
      </c>
      <c r="K197" s="27">
        <f>MIN(K$131:K$148,'TO HOP NLAN'!J$6:J$107)</f>
        <v>1651.4471536500005</v>
      </c>
      <c r="L197" s="27">
        <f>MIN(L$131:L$148,'TO HOP NLAN'!K$6:K$107)</f>
        <v>37696.632634404443</v>
      </c>
    </row>
    <row r="198" spans="2:12" x14ac:dyDescent="0.3">
      <c r="B198" s="28" t="s">
        <v>628</v>
      </c>
      <c r="C198" s="27">
        <f>MAX(C$149:C$186,'TO HOP NLAN'!B$108:B$311)</f>
        <v>2697.1364775610136</v>
      </c>
      <c r="D198" s="27">
        <f>MAX(D$149:D$186,'TO HOP NLAN'!C$108:C$311)</f>
        <v>527.07594777468739</v>
      </c>
      <c r="E198" s="27">
        <f>MAX(E$149:E$186,'TO HOP NLAN'!D$108:D$311)</f>
        <v>34766.254358487029</v>
      </c>
      <c r="F198" s="27">
        <f>MAX(F$149:F$186,'TO HOP NLAN'!E$108:E$311)</f>
        <v>29353.653728437501</v>
      </c>
      <c r="G198" s="27">
        <f>MAX(G$149:G$186,'TO HOP NLAN'!F$108:F$311)</f>
        <v>37616.053671449248</v>
      </c>
      <c r="H198" s="27">
        <f>MAX(H$149:H$186,'TO HOP NLAN'!G$108:G$311)</f>
        <v>2697.1364775610136</v>
      </c>
      <c r="I198" s="27">
        <f>MAX(I$149:I$186,'TO HOP NLAN'!H$108:H$311)</f>
        <v>527.07594777468739</v>
      </c>
      <c r="J198" s="27">
        <f>MAX(J$149:J$186,'TO HOP NLAN'!I$108:I$311)</f>
        <v>30576.754358487025</v>
      </c>
      <c r="K198" s="27">
        <f>MAX(K$149:K$186,'TO HOP NLAN'!J$108:J$311)</f>
        <v>29353.653728437501</v>
      </c>
      <c r="L198" s="27">
        <f>MAX(L$149:L$186,'TO HOP NLAN'!K$108:K$311)</f>
        <v>32221.780716327226</v>
      </c>
    </row>
    <row r="199" spans="2:12" x14ac:dyDescent="0.3">
      <c r="B199" s="28" t="s">
        <v>629</v>
      </c>
      <c r="C199" s="27">
        <f>MIN(C$149:C$186,'TO HOP NLAN'!B$108:B$311)</f>
        <v>2253.4698695046854</v>
      </c>
      <c r="D199" s="27">
        <f>MIN(D$149:D$186,'TO HOP NLAN'!C$108:C$311)</f>
        <v>0</v>
      </c>
      <c r="E199" s="27">
        <f>MIN(E$149:E$186,'TO HOP NLAN'!D$108:D$311)</f>
        <v>18302.592658425969</v>
      </c>
      <c r="F199" s="27">
        <f>MIN(F$149:F$186,'TO HOP NLAN'!E$108:E$311)</f>
        <v>0</v>
      </c>
      <c r="G199" s="27">
        <f>MIN(G$149:G$186,'TO HOP NLAN'!F$108:F$311)</f>
        <v>27584.106352481642</v>
      </c>
      <c r="H199" s="27">
        <f>MIN(H$149:H$186,'TO HOP NLAN'!G$108:G$311)</f>
        <v>2253.4698695046854</v>
      </c>
      <c r="I199" s="27">
        <f>MIN(I$149:I$186,'TO HOP NLAN'!H$108:H$311)</f>
        <v>0</v>
      </c>
      <c r="J199" s="27">
        <f>MIN(J$149:J$186,'TO HOP NLAN'!I$108:I$311)</f>
        <v>15286.15265842597</v>
      </c>
      <c r="K199" s="27">
        <f>MIN(K$149:K$186,'TO HOP NLAN'!J$108:J$311)</f>
        <v>0</v>
      </c>
      <c r="L199" s="27">
        <f>MIN(L$149:L$186,'TO HOP NLAN'!K$108:K$311)</f>
        <v>23077.166613472269</v>
      </c>
    </row>
    <row r="200" spans="2:12" x14ac:dyDescent="0.3">
      <c r="B200" s="28" t="s">
        <v>630</v>
      </c>
      <c r="C200" s="27">
        <f t="shared" ref="C200:L200" si="16">MAX(C$187:C$192)</f>
        <v>3446.1730690059308</v>
      </c>
      <c r="D200" s="27">
        <f t="shared" si="16"/>
        <v>2679.3696812801081</v>
      </c>
      <c r="E200" s="27">
        <f t="shared" si="16"/>
        <v>30101.961023487027</v>
      </c>
      <c r="F200" s="27">
        <f t="shared" si="16"/>
        <v>25315.309357053342</v>
      </c>
      <c r="G200" s="27">
        <f t="shared" si="16"/>
        <v>32489.978043587224</v>
      </c>
      <c r="H200" s="27">
        <f t="shared" si="16"/>
        <v>2834.6545125000002</v>
      </c>
      <c r="I200" s="27">
        <f t="shared" si="16"/>
        <v>1800</v>
      </c>
      <c r="J200" s="27">
        <f t="shared" si="16"/>
        <v>25912.461023487027</v>
      </c>
      <c r="K200" s="27">
        <f t="shared" si="16"/>
        <v>20884.963194493124</v>
      </c>
      <c r="L200" s="27">
        <f t="shared" si="16"/>
        <v>26378.317432669013</v>
      </c>
    </row>
    <row r="201" spans="2:12" x14ac:dyDescent="0.3">
      <c r="B201" s="28" t="s">
        <v>631</v>
      </c>
      <c r="C201" s="27">
        <f t="shared" ref="C201:L201" si="17">MIN(C$187:C$192)</f>
        <v>1034.6545125000002</v>
      </c>
      <c r="D201" s="27">
        <f t="shared" si="17"/>
        <v>0</v>
      </c>
      <c r="E201" s="27">
        <f t="shared" si="17"/>
        <v>24180.961535589624</v>
      </c>
      <c r="F201" s="27">
        <f t="shared" si="17"/>
        <v>4431.0786682500002</v>
      </c>
      <c r="G201" s="27">
        <f t="shared" si="17"/>
        <v>12705.557413500004</v>
      </c>
      <c r="H201" s="27">
        <f t="shared" si="17"/>
        <v>1034.6545125000002</v>
      </c>
      <c r="I201" s="27">
        <f t="shared" si="17"/>
        <v>0</v>
      </c>
      <c r="J201" s="27">
        <f t="shared" si="17"/>
        <v>20829.361535589622</v>
      </c>
      <c r="K201" s="27">
        <f t="shared" si="17"/>
        <v>4431.0786682500002</v>
      </c>
      <c r="L201" s="27">
        <f t="shared" si="17"/>
        <v>10636.248388500004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BQ194"/>
  <sheetViews>
    <sheetView topLeftCell="A108" workbookViewId="0">
      <selection activeCell="B142" sqref="B142:E143"/>
    </sheetView>
  </sheetViews>
  <sheetFormatPr defaultColWidth="8.6640625" defaultRowHeight="14.4" outlineLevelRow="1" outlineLevelCol="1" x14ac:dyDescent="0.3"/>
  <cols>
    <col min="1" max="1" width="2" customWidth="1"/>
    <col min="2" max="2" width="22" customWidth="1"/>
    <col min="3" max="65" width="9.5546875" customWidth="1"/>
    <col min="66" max="66" width="9.5546875" hidden="1" customWidth="1" outlineLevel="1"/>
    <col min="67" max="68" width="0" hidden="1" customWidth="1" outlineLevel="1"/>
    <col min="69" max="69" width="8.6640625" collapsed="1"/>
  </cols>
  <sheetData>
    <row r="2" spans="2:9" ht="16.8" x14ac:dyDescent="0.3">
      <c r="B2" s="2" t="s">
        <v>632</v>
      </c>
    </row>
    <row r="4" spans="2:9" x14ac:dyDescent="0.3">
      <c r="B4" s="5" t="s">
        <v>633</v>
      </c>
    </row>
    <row r="5" spans="2:9" x14ac:dyDescent="0.3">
      <c r="C5" s="18" t="s">
        <v>634</v>
      </c>
      <c r="D5" s="18" t="s">
        <v>635</v>
      </c>
      <c r="E5" s="18" t="s">
        <v>636</v>
      </c>
      <c r="F5" s="18" t="s">
        <v>637</v>
      </c>
      <c r="G5" s="18" t="s">
        <v>638</v>
      </c>
      <c r="H5" s="18" t="s">
        <v>639</v>
      </c>
      <c r="I5" s="18" t="s">
        <v>640</v>
      </c>
    </row>
    <row r="6" spans="2:9" ht="27.6" x14ac:dyDescent="0.3">
      <c r="B6" s="19" t="str">
        <f>'TO HOP'!B131</f>
        <v>SD I - 2 nhịp lệch tâm 1 làn</v>
      </c>
      <c r="C6" s="14">
        <f>IF(B6="","",1)</f>
        <v>1</v>
      </c>
      <c r="D6" s="13">
        <f>IF('TO HOP'!C131="","",'TO HOP'!C131/9.81)</f>
        <v>368.1373488911342</v>
      </c>
      <c r="E6" s="13">
        <f>IF('TO HOP'!D131="","",'TO HOP'!D131/9.81)</f>
        <v>16.884384301732926</v>
      </c>
      <c r="F6" s="13">
        <f>IF('TO HOP'!E131="","",'TO HOP'!E131/9.81)</f>
        <v>2391.781645829727</v>
      </c>
      <c r="G6" s="13">
        <f>IF('TO HOP'!F131="","",'TO HOP'!F131/9.81)</f>
        <v>1357.8531595973498</v>
      </c>
      <c r="H6" s="13">
        <f>IF('TO HOP'!G131="","",'TO HOP'!G131/9.81)</f>
        <v>4578.948768567634</v>
      </c>
      <c r="I6" s="13">
        <f t="shared" ref="I6:I37" si="0">IF(B6="","",0)</f>
        <v>0</v>
      </c>
    </row>
    <row r="7" spans="2:9" ht="27.6" x14ac:dyDescent="0.3">
      <c r="B7" s="19" t="str">
        <f>'TO HOP'!B132</f>
        <v>SD I - 2 nhịp lệch tâm 2 làn</v>
      </c>
      <c r="C7" s="14">
        <f>IF(B7="","",2)</f>
        <v>2</v>
      </c>
      <c r="D7" s="13">
        <f>IF('TO HOP'!C132="","",'TO HOP'!C132/9.81)</f>
        <v>368.1373488911342</v>
      </c>
      <c r="E7" s="13">
        <f>IF('TO HOP'!D132="","",'TO HOP'!D132/9.81)</f>
        <v>16.884384301732926</v>
      </c>
      <c r="F7" s="13">
        <f>IF('TO HOP'!E132="","",'TO HOP'!E132/9.81)</f>
        <v>2469.8063650957824</v>
      </c>
      <c r="G7" s="13">
        <f>IF('TO HOP'!F132="","",'TO HOP'!F132/9.81)</f>
        <v>1835.7545651019366</v>
      </c>
      <c r="H7" s="13">
        <f>IF('TO HOP'!G132="","",'TO HOP'!G132/9.81)</f>
        <v>4578.948768567634</v>
      </c>
      <c r="I7" s="13">
        <f t="shared" si="0"/>
        <v>0</v>
      </c>
    </row>
    <row r="8" spans="2:9" ht="27.6" x14ac:dyDescent="0.3">
      <c r="B8" s="19" t="str">
        <f>'TO HOP'!B133</f>
        <v>SD I - 2 nhịp lệch tâm 3 làn</v>
      </c>
      <c r="C8" s="14">
        <f>IF(B8="","",3)</f>
        <v>3</v>
      </c>
      <c r="D8" s="13">
        <f>IF('TO HOP'!C133="","",'TO HOP'!C133/9.81)</f>
        <v>368.1373488911342</v>
      </c>
      <c r="E8" s="13">
        <f>IF('TO HOP'!D133="","",'TO HOP'!D133/9.81)</f>
        <v>16.884384301732926</v>
      </c>
      <c r="F8" s="13">
        <f>IF('TO HOP'!E133="","",'TO HOP'!E133/9.81)</f>
        <v>2523.4483595911947</v>
      </c>
      <c r="G8" s="13">
        <f>IF('TO HOP'!F133="","",'TO HOP'!F133/9.81)</f>
        <v>1911.9505800101933</v>
      </c>
      <c r="H8" s="13">
        <f>IF('TO HOP'!G133="","",'TO HOP'!G133/9.81)</f>
        <v>4578.948768567634</v>
      </c>
      <c r="I8" s="13">
        <f t="shared" si="0"/>
        <v>0</v>
      </c>
    </row>
    <row r="9" spans="2:9" ht="27.6" x14ac:dyDescent="0.3">
      <c r="B9" s="19" t="str">
        <f>'TO HOP'!B134</f>
        <v>SD I - 2 nhịp lệch tâm 4 làn</v>
      </c>
      <c r="C9" s="14">
        <f>IF(B9="","",4)</f>
        <v>4</v>
      </c>
      <c r="D9" s="13">
        <f>IF('TO HOP'!C134="","",'TO HOP'!C134/9.81)</f>
        <v>368.1373488911342</v>
      </c>
      <c r="E9" s="13">
        <f>IF('TO HOP'!D134="","",'TO HOP'!D134/9.81)</f>
        <v>16.884384301732926</v>
      </c>
      <c r="F9" s="13">
        <f>IF('TO HOP'!E134="","",'TO HOP'!E134/9.81)</f>
        <v>2528.3249045453235</v>
      </c>
      <c r="G9" s="13">
        <f>IF('TO HOP'!F134="","",'TO HOP'!F134/9.81)</f>
        <v>1565.1063201478084</v>
      </c>
      <c r="H9" s="13">
        <f>IF('TO HOP'!G134="","",'TO HOP'!G134/9.81)</f>
        <v>4578.948768567634</v>
      </c>
      <c r="I9" s="13">
        <f t="shared" si="0"/>
        <v>0</v>
      </c>
    </row>
    <row r="10" spans="2:9" ht="27.6" x14ac:dyDescent="0.3">
      <c r="B10" s="19" t="str">
        <f>'TO HOP'!B135</f>
        <v>SD I - 2 nhịp lệch tâm 5 làn</v>
      </c>
      <c r="C10" s="14">
        <f>IF(B10="","",5)</f>
        <v>5</v>
      </c>
      <c r="D10" s="13">
        <f>IF('TO HOP'!C135="","",'TO HOP'!C135/9.81)</f>
        <v>368.1373488911342</v>
      </c>
      <c r="E10" s="13">
        <f>IF('TO HOP'!D135="","",'TO HOP'!D135/9.81)</f>
        <v>16.884384301732926</v>
      </c>
      <c r="F10" s="13">
        <f>IF('TO HOP'!E135="","",'TO HOP'!E135/9.81)</f>
        <v>2591.719988948993</v>
      </c>
      <c r="G10" s="13">
        <f>IF('TO HOP'!F135="","",'TO HOP'!F135/9.81)</f>
        <v>1430.3917657900104</v>
      </c>
      <c r="H10" s="13">
        <f>IF('TO HOP'!G135="","",'TO HOP'!G135/9.81)</f>
        <v>4578.948768567634</v>
      </c>
      <c r="I10" s="13">
        <f t="shared" si="0"/>
        <v>0</v>
      </c>
    </row>
    <row r="11" spans="2:9" ht="27.6" x14ac:dyDescent="0.3">
      <c r="B11" s="19" t="str">
        <f>'TO HOP'!B136</f>
        <v>SD I - 2 nhịp lệch tâm 6 làn</v>
      </c>
      <c r="C11" s="14">
        <f>IF(B11="","",6)</f>
        <v>6</v>
      </c>
      <c r="D11" s="13">
        <f>IF('TO HOP'!C136="","",'TO HOP'!C136/9.81)</f>
        <v>368.1373488911342</v>
      </c>
      <c r="E11" s="13">
        <f>IF('TO HOP'!D136="","",'TO HOP'!D136/9.81)</f>
        <v>16.884384301732926</v>
      </c>
      <c r="F11" s="13">
        <f>IF('TO HOP'!E136="","",'TO HOP'!E136/9.81)</f>
        <v>2655.1150733526629</v>
      </c>
      <c r="G11" s="13">
        <f>IF('TO HOP'!F136="","",'TO HOP'!F136/9.81)</f>
        <v>1105.491958221203</v>
      </c>
      <c r="H11" s="13">
        <f>IF('TO HOP'!G136="","",'TO HOP'!G136/9.81)</f>
        <v>4578.948768567634</v>
      </c>
      <c r="I11" s="13">
        <f t="shared" si="0"/>
        <v>0</v>
      </c>
    </row>
    <row r="12" spans="2:9" ht="27.6" x14ac:dyDescent="0.3">
      <c r="B12" s="19" t="str">
        <f>'TO HOP'!B137</f>
        <v>SD I - 2 nhịp đúng tâm 1 làn</v>
      </c>
      <c r="C12" s="14">
        <f>IF(B12="","",7)</f>
        <v>7</v>
      </c>
      <c r="D12" s="13">
        <f>IF('TO HOP'!C137="","",'TO HOP'!C137/9.81)</f>
        <v>368.1373488911342</v>
      </c>
      <c r="E12" s="13">
        <f>IF('TO HOP'!D137="","",'TO HOP'!D137/9.81)</f>
        <v>16.884384301732926</v>
      </c>
      <c r="F12" s="13">
        <f>IF('TO HOP'!E137="","",'TO HOP'!E137/9.81)</f>
        <v>2391.781645829727</v>
      </c>
      <c r="G12" s="13">
        <f>IF('TO HOP'!F137="","",'TO HOP'!F137/9.81)</f>
        <v>202.1120054689093</v>
      </c>
      <c r="H12" s="13">
        <f>IF('TO HOP'!G137="","",'TO HOP'!G137/9.81)</f>
        <v>4578.948768567634</v>
      </c>
      <c r="I12" s="13">
        <f t="shared" si="0"/>
        <v>0</v>
      </c>
    </row>
    <row r="13" spans="2:9" ht="27.6" x14ac:dyDescent="0.3">
      <c r="B13" s="19" t="str">
        <f>'TO HOP'!B138</f>
        <v>SD I - 2 nhịp đúng tâm 2 làn</v>
      </c>
      <c r="C13" s="14">
        <f>IF(B13="","",8)</f>
        <v>8</v>
      </c>
      <c r="D13" s="13">
        <f>IF('TO HOP'!C138="","",'TO HOP'!C138/9.81)</f>
        <v>368.1373488911342</v>
      </c>
      <c r="E13" s="13">
        <f>IF('TO HOP'!D138="","",'TO HOP'!D138/9.81)</f>
        <v>16.884384301732926</v>
      </c>
      <c r="F13" s="13">
        <f>IF('TO HOP'!E138="","",'TO HOP'!E138/9.81)</f>
        <v>2469.8063650957824</v>
      </c>
      <c r="G13" s="13">
        <f>IF('TO HOP'!F138="","",'TO HOP'!F138/9.81)</f>
        <v>202.1120054689093</v>
      </c>
      <c r="H13" s="13">
        <f>IF('TO HOP'!G138="","",'TO HOP'!G138/9.81)</f>
        <v>4578.948768567634</v>
      </c>
      <c r="I13" s="13">
        <f t="shared" si="0"/>
        <v>0</v>
      </c>
    </row>
    <row r="14" spans="2:9" ht="27.6" x14ac:dyDescent="0.3">
      <c r="B14" s="19" t="str">
        <f>'TO HOP'!B139</f>
        <v>SD I - 2 nhịp đúng tâm 3 làn</v>
      </c>
      <c r="C14" s="14">
        <f>IF(B14="","",9)</f>
        <v>9</v>
      </c>
      <c r="D14" s="13">
        <f>IF('TO HOP'!C139="","",'TO HOP'!C139/9.81)</f>
        <v>368.1373488911342</v>
      </c>
      <c r="E14" s="13">
        <f>IF('TO HOP'!D139="","",'TO HOP'!D139/9.81)</f>
        <v>16.884384301732926</v>
      </c>
      <c r="F14" s="13">
        <f>IF('TO HOP'!E139="","",'TO HOP'!E139/9.81)</f>
        <v>2523.4483595911947</v>
      </c>
      <c r="G14" s="13">
        <f>IF('TO HOP'!F139="","",'TO HOP'!F139/9.81)</f>
        <v>202.1120054689093</v>
      </c>
      <c r="H14" s="13">
        <f>IF('TO HOP'!G139="","",'TO HOP'!G139/9.81)</f>
        <v>4578.948768567634</v>
      </c>
      <c r="I14" s="13">
        <f t="shared" si="0"/>
        <v>0</v>
      </c>
    </row>
    <row r="15" spans="2:9" ht="27.6" x14ac:dyDescent="0.3">
      <c r="B15" s="19" t="str">
        <f>'TO HOP'!B140</f>
        <v>SD I - 2 nhịp đúng tâm 4 làn</v>
      </c>
      <c r="C15" s="14">
        <f>IF(B15="","",10)</f>
        <v>10</v>
      </c>
      <c r="D15" s="13">
        <f>IF('TO HOP'!C140="","",'TO HOP'!C140/9.81)</f>
        <v>368.1373488911342</v>
      </c>
      <c r="E15" s="13">
        <f>IF('TO HOP'!D140="","",'TO HOP'!D140/9.81)</f>
        <v>16.884384301732926</v>
      </c>
      <c r="F15" s="13">
        <f>IF('TO HOP'!E140="","",'TO HOP'!E140/9.81)</f>
        <v>2528.3249045453235</v>
      </c>
      <c r="G15" s="13">
        <f>IF('TO HOP'!F140="","",'TO HOP'!F140/9.81)</f>
        <v>202.1120054689093</v>
      </c>
      <c r="H15" s="13">
        <f>IF('TO HOP'!G140="","",'TO HOP'!G140/9.81)</f>
        <v>4578.948768567634</v>
      </c>
      <c r="I15" s="13">
        <f t="shared" si="0"/>
        <v>0</v>
      </c>
    </row>
    <row r="16" spans="2:9" ht="27.6" x14ac:dyDescent="0.3">
      <c r="B16" s="19" t="str">
        <f>'TO HOP'!B141</f>
        <v>SD I - 2 nhịp đúng tâm 5 làn</v>
      </c>
      <c r="C16" s="14">
        <f>IF(B16="","",11)</f>
        <v>11</v>
      </c>
      <c r="D16" s="13">
        <f>IF('TO HOP'!C141="","",'TO HOP'!C141/9.81)</f>
        <v>368.1373488911342</v>
      </c>
      <c r="E16" s="13">
        <f>IF('TO HOP'!D141="","",'TO HOP'!D141/9.81)</f>
        <v>16.884384301732926</v>
      </c>
      <c r="F16" s="13">
        <f>IF('TO HOP'!E141="","",'TO HOP'!E141/9.81)</f>
        <v>2591.719988948993</v>
      </c>
      <c r="G16" s="13">
        <f>IF('TO HOP'!F141="","",'TO HOP'!F141/9.81)</f>
        <v>202.1120054689093</v>
      </c>
      <c r="H16" s="13">
        <f>IF('TO HOP'!G141="","",'TO HOP'!G141/9.81)</f>
        <v>4578.948768567634</v>
      </c>
      <c r="I16" s="13">
        <f t="shared" si="0"/>
        <v>0</v>
      </c>
    </row>
    <row r="17" spans="2:9" ht="27.6" x14ac:dyDescent="0.3">
      <c r="B17" s="19" t="str">
        <f>'TO HOP'!B142</f>
        <v>SD I - 2 nhịp đúng tâm 6 làn</v>
      </c>
      <c r="C17" s="14">
        <f>IF(B17="","",12)</f>
        <v>12</v>
      </c>
      <c r="D17" s="13">
        <f>IF('TO HOP'!C142="","",'TO HOP'!C142/9.81)</f>
        <v>368.1373488911342</v>
      </c>
      <c r="E17" s="13">
        <f>IF('TO HOP'!D142="","",'TO HOP'!D142/9.81)</f>
        <v>16.884384301732926</v>
      </c>
      <c r="F17" s="13">
        <f>IF('TO HOP'!E142="","",'TO HOP'!E142/9.81)</f>
        <v>2655.1150733526629</v>
      </c>
      <c r="G17" s="13">
        <f>IF('TO HOP'!F142="","",'TO HOP'!F142/9.81)</f>
        <v>202.1120054689093</v>
      </c>
      <c r="H17" s="13">
        <f>IF('TO HOP'!G142="","",'TO HOP'!G142/9.81)</f>
        <v>4578.948768567634</v>
      </c>
      <c r="I17" s="13">
        <f t="shared" si="0"/>
        <v>0</v>
      </c>
    </row>
    <row r="18" spans="2:9" x14ac:dyDescent="0.3">
      <c r="B18" s="19" t="str">
        <f>'TO HOP'!B143</f>
        <v>SD I - 1 nhịp 1 làn</v>
      </c>
      <c r="C18" s="14">
        <f>IF(B18="","",13)</f>
        <v>13</v>
      </c>
      <c r="D18" s="13">
        <f>IF('TO HOP'!C143="","",'TO HOP'!C143/9.81)</f>
        <v>368.1373488911342</v>
      </c>
      <c r="E18" s="13">
        <f>IF('TO HOP'!D143="","",'TO HOP'!D143/9.81)</f>
        <v>16.884384301732926</v>
      </c>
      <c r="F18" s="13">
        <f>IF('TO HOP'!E143="","",'TO HOP'!E143/9.81)</f>
        <v>2344.9385812017963</v>
      </c>
      <c r="G18" s="13">
        <f>IF('TO HOP'!F143="","",'TO HOP'!F143/9.81)</f>
        <v>895.27789639653429</v>
      </c>
      <c r="H18" s="13">
        <f>IF('TO HOP'!G143="","",'TO HOP'!G143/9.81)</f>
        <v>4642.1233814116713</v>
      </c>
      <c r="I18" s="13">
        <f t="shared" si="0"/>
        <v>0</v>
      </c>
    </row>
    <row r="19" spans="2:9" x14ac:dyDescent="0.3">
      <c r="B19" s="19" t="str">
        <f>'TO HOP'!B144</f>
        <v>SD I - 1 nhịp 2 làn</v>
      </c>
      <c r="C19" s="14">
        <f>IF(B19="","",14)</f>
        <v>14</v>
      </c>
      <c r="D19" s="13">
        <f>IF('TO HOP'!C144="","",'TO HOP'!C144/9.81)</f>
        <v>368.1373488911342</v>
      </c>
      <c r="E19" s="13">
        <f>IF('TO HOP'!D144="","",'TO HOP'!D144/9.81)</f>
        <v>16.884384301732926</v>
      </c>
      <c r="F19" s="13">
        <f>IF('TO HOP'!E144="","",'TO HOP'!E144/9.81)</f>
        <v>2391.7345907158974</v>
      </c>
      <c r="G19" s="13">
        <f>IF('TO HOP'!F144="","",'TO HOP'!F144/9.81)</f>
        <v>1181.9034546704045</v>
      </c>
      <c r="H19" s="13">
        <f>IF('TO HOP'!G144="","",'TO HOP'!G144/9.81)</f>
        <v>4684.2397899743628</v>
      </c>
      <c r="I19" s="13">
        <f t="shared" si="0"/>
        <v>0</v>
      </c>
    </row>
    <row r="20" spans="2:9" x14ac:dyDescent="0.3">
      <c r="B20" s="19" t="str">
        <f>'TO HOP'!B145</f>
        <v>SD I - 1 nhịp 3 làn</v>
      </c>
      <c r="C20" s="14">
        <f>IF(B20="","",15)</f>
        <v>15</v>
      </c>
      <c r="D20" s="13">
        <f>IF('TO HOP'!C145="","",'TO HOP'!C145/9.81)</f>
        <v>368.1373488911342</v>
      </c>
      <c r="E20" s="13">
        <f>IF('TO HOP'!D145="","",'TO HOP'!D145/9.81)</f>
        <v>16.884384301732926</v>
      </c>
      <c r="F20" s="13">
        <f>IF('TO HOP'!E145="","",'TO HOP'!E145/9.81)</f>
        <v>2423.9068472568424</v>
      </c>
      <c r="G20" s="13">
        <f>IF('TO HOP'!F145="","",'TO HOP'!F145/9.81)</f>
        <v>1227.6026827115193</v>
      </c>
      <c r="H20" s="13">
        <f>IF('TO HOP'!G145="","",'TO HOP'!G145/9.81)</f>
        <v>4713.194820861213</v>
      </c>
      <c r="I20" s="13">
        <f t="shared" si="0"/>
        <v>0</v>
      </c>
    </row>
    <row r="21" spans="2:9" x14ac:dyDescent="0.3">
      <c r="B21" s="19" t="str">
        <f>'TO HOP'!B146</f>
        <v>SD I - 1 nhịp 4 làn</v>
      </c>
      <c r="C21" s="14">
        <f>IF(B21="","",16)</f>
        <v>16</v>
      </c>
      <c r="D21" s="13">
        <f>IF('TO HOP'!C146="","",'TO HOP'!C146/9.81)</f>
        <v>368.1373488911342</v>
      </c>
      <c r="E21" s="13">
        <f>IF('TO HOP'!D146="","",'TO HOP'!D146/9.81)</f>
        <v>16.884384301732926</v>
      </c>
      <c r="F21" s="13">
        <f>IF('TO HOP'!E146="","",'TO HOP'!E146/9.81)</f>
        <v>2426.8315978514738</v>
      </c>
      <c r="G21" s="13">
        <f>IF('TO HOP'!F146="","",'TO HOP'!F146/9.81)</f>
        <v>1019.5797966683658</v>
      </c>
      <c r="H21" s="13">
        <f>IF('TO HOP'!G146="","",'TO HOP'!G146/9.81)</f>
        <v>4715.8270963963805</v>
      </c>
      <c r="I21" s="13">
        <f t="shared" si="0"/>
        <v>0</v>
      </c>
    </row>
    <row r="22" spans="2:9" x14ac:dyDescent="0.3">
      <c r="B22" s="19" t="str">
        <f>'TO HOP'!B147</f>
        <v>SD I - 1 nhịp 5 làn</v>
      </c>
      <c r="C22" s="14">
        <f>IF(B22="","",17)</f>
        <v>17</v>
      </c>
      <c r="D22" s="13">
        <f>IF('TO HOP'!C147="","",'TO HOP'!C147/9.81)</f>
        <v>368.1373488911342</v>
      </c>
      <c r="E22" s="13">
        <f>IF('TO HOP'!D147="","",'TO HOP'!D147/9.81)</f>
        <v>16.884384301732926</v>
      </c>
      <c r="F22" s="13">
        <f>IF('TO HOP'!E147="","",'TO HOP'!E147/9.81)</f>
        <v>2464.8533555816807</v>
      </c>
      <c r="G22" s="13">
        <f>IF('TO HOP'!F147="","",'TO HOP'!F147/9.81)</f>
        <v>938.7835614916753</v>
      </c>
      <c r="H22" s="13">
        <f>IF('TO HOP'!G147="","",'TO HOP'!G147/9.81)</f>
        <v>4750.0466783535676</v>
      </c>
      <c r="I22" s="13">
        <f t="shared" si="0"/>
        <v>0</v>
      </c>
    </row>
    <row r="23" spans="2:9" x14ac:dyDescent="0.3">
      <c r="B23" s="19" t="str">
        <f>'TO HOP'!B148</f>
        <v>SD I - 1 nhịp 6 làn</v>
      </c>
      <c r="C23" s="14">
        <f>IF(B23="","",18)</f>
        <v>18</v>
      </c>
      <c r="D23" s="13">
        <f>IF('TO HOP'!C148="","",'TO HOP'!C148/9.81)</f>
        <v>368.1373488911342</v>
      </c>
      <c r="E23" s="13">
        <f>IF('TO HOP'!D148="","",'TO HOP'!D148/9.81)</f>
        <v>16.884384301732926</v>
      </c>
      <c r="F23" s="13">
        <f>IF('TO HOP'!E148="","",'TO HOP'!E148/9.81)</f>
        <v>2502.8751133118881</v>
      </c>
      <c r="G23" s="13">
        <f>IF('TO HOP'!F148="","",'TO HOP'!F148/9.81)</f>
        <v>743.92205312436283</v>
      </c>
      <c r="H23" s="13">
        <f>IF('TO HOP'!G148="","",'TO HOP'!G148/9.81)</f>
        <v>4784.2662603107538</v>
      </c>
      <c r="I23" s="13">
        <f t="shared" si="0"/>
        <v>0</v>
      </c>
    </row>
    <row r="24" spans="2:9" ht="27.6" x14ac:dyDescent="0.3">
      <c r="B24" s="19" t="str">
        <f>'TO HOP'!B149</f>
        <v>CĐ I(a) max - 2 nhịp lệch tâm 1 làn</v>
      </c>
      <c r="C24" s="14">
        <f>IF(B24="","",19)</f>
        <v>19</v>
      </c>
      <c r="D24" s="13">
        <f>IF('TO HOP'!C149="","",'TO HOP'!C149/9.81)</f>
        <v>274.93745948634182</v>
      </c>
      <c r="E24" s="13">
        <f>IF('TO HOP'!D149="","",'TO HOP'!D149/9.81)</f>
        <v>0</v>
      </c>
      <c r="F24" s="13">
        <f>IF('TO HOP'!E149="","",'TO HOP'!E149/9.81)</f>
        <v>3083.1271907733972</v>
      </c>
      <c r="G24" s="13">
        <f>IF('TO HOP'!F149="","",'TO HOP'!F149/9.81)</f>
        <v>2022.5470197247705</v>
      </c>
      <c r="H24" s="13">
        <f>IF('TO HOP'!G149="","",'TO HOP'!G149/9.81)</f>
        <v>3475.1544986696485</v>
      </c>
      <c r="I24" s="13">
        <f t="shared" si="0"/>
        <v>0</v>
      </c>
    </row>
    <row r="25" spans="2:9" ht="27.6" x14ac:dyDescent="0.3">
      <c r="B25" s="19" t="str">
        <f>'TO HOP'!B150</f>
        <v>CĐ I(a) max - 2 nhịp lệch tâm 2 làn</v>
      </c>
      <c r="C25" s="14">
        <f>IF(B25="","",20)</f>
        <v>20</v>
      </c>
      <c r="D25" s="13">
        <f>IF('TO HOP'!C150="","",'TO HOP'!C150/9.81)</f>
        <v>274.93745948634182</v>
      </c>
      <c r="E25" s="13">
        <f>IF('TO HOP'!D150="","",'TO HOP'!D150/9.81)</f>
        <v>0</v>
      </c>
      <c r="F25" s="13">
        <f>IF('TO HOP'!E150="","",'TO HOP'!E150/9.81)</f>
        <v>3219.6704494889937</v>
      </c>
      <c r="G25" s="13">
        <f>IF('TO HOP'!F150="","",'TO HOP'!F150/9.81)</f>
        <v>2858.874479357798</v>
      </c>
      <c r="H25" s="13">
        <f>IF('TO HOP'!G150="","",'TO HOP'!G150/9.81)</f>
        <v>3475.1544986696485</v>
      </c>
      <c r="I25" s="13">
        <f t="shared" si="0"/>
        <v>0</v>
      </c>
    </row>
    <row r="26" spans="2:9" ht="27.6" x14ac:dyDescent="0.3">
      <c r="B26" s="19" t="str">
        <f>'TO HOP'!B151</f>
        <v>CĐ I(a) max - 2 nhịp lệch tâm 3 làn</v>
      </c>
      <c r="C26" s="14">
        <f>IF(B26="","",21)</f>
        <v>21</v>
      </c>
      <c r="D26" s="13">
        <f>IF('TO HOP'!C151="","",'TO HOP'!C151/9.81)</f>
        <v>274.93745948634182</v>
      </c>
      <c r="E26" s="13">
        <f>IF('TO HOP'!D151="","",'TO HOP'!D151/9.81)</f>
        <v>0</v>
      </c>
      <c r="F26" s="13">
        <f>IF('TO HOP'!E151="","",'TO HOP'!E151/9.81)</f>
        <v>3313.5439398559661</v>
      </c>
      <c r="G26" s="13">
        <f>IF('TO HOP'!F151="","",'TO HOP'!F151/9.81)</f>
        <v>2992.2175054472477</v>
      </c>
      <c r="H26" s="13">
        <f>IF('TO HOP'!G151="","",'TO HOP'!G151/9.81)</f>
        <v>3475.1544986696485</v>
      </c>
      <c r="I26" s="13">
        <f t="shared" si="0"/>
        <v>0</v>
      </c>
    </row>
    <row r="27" spans="2:9" ht="27.6" x14ac:dyDescent="0.3">
      <c r="B27" s="19" t="str">
        <f>'TO HOP'!B152</f>
        <v>CĐ I(a) max - 2 nhịp lệch tâm 4 làn</v>
      </c>
      <c r="C27" s="14">
        <f>IF(B27="","",22)</f>
        <v>22</v>
      </c>
      <c r="D27" s="13">
        <f>IF('TO HOP'!C152="","",'TO HOP'!C152/9.81)</f>
        <v>274.93745948634182</v>
      </c>
      <c r="E27" s="13">
        <f>IF('TO HOP'!D152="","",'TO HOP'!D152/9.81)</f>
        <v>0</v>
      </c>
      <c r="F27" s="13">
        <f>IF('TO HOP'!E152="","",'TO HOP'!E152/9.81)</f>
        <v>3322.0778935256908</v>
      </c>
      <c r="G27" s="13">
        <f>IF('TO HOP'!F152="","",'TO HOP'!F152/9.81)</f>
        <v>2385.2400506880736</v>
      </c>
      <c r="H27" s="13">
        <f>IF('TO HOP'!G152="","",'TO HOP'!G152/9.81)</f>
        <v>3475.1544986696485</v>
      </c>
      <c r="I27" s="13">
        <f t="shared" si="0"/>
        <v>0</v>
      </c>
    </row>
    <row r="28" spans="2:9" ht="27.6" x14ac:dyDescent="0.3">
      <c r="B28" s="19" t="str">
        <f>'TO HOP'!B153</f>
        <v>CĐ I(a) max - 2 nhịp lệch tâm 5 làn</v>
      </c>
      <c r="C28" s="14">
        <f>IF(B28="","",23)</f>
        <v>23</v>
      </c>
      <c r="D28" s="13">
        <f>IF('TO HOP'!C153="","",'TO HOP'!C153/9.81)</f>
        <v>274.93745948634182</v>
      </c>
      <c r="E28" s="13">
        <f>IF('TO HOP'!D153="","",'TO HOP'!D153/9.81)</f>
        <v>0</v>
      </c>
      <c r="F28" s="13">
        <f>IF('TO HOP'!E153="","",'TO HOP'!E153/9.81)</f>
        <v>3433.0192912321127</v>
      </c>
      <c r="G28" s="13">
        <f>IF('TO HOP'!F153="","",'TO HOP'!F153/9.81)</f>
        <v>2149.4895805619271</v>
      </c>
      <c r="H28" s="13">
        <f>IF('TO HOP'!G153="","",'TO HOP'!G153/9.81)</f>
        <v>3475.1544986696485</v>
      </c>
      <c r="I28" s="13">
        <f t="shared" si="0"/>
        <v>0</v>
      </c>
    </row>
    <row r="29" spans="2:9" ht="27.6" x14ac:dyDescent="0.3">
      <c r="B29" s="19" t="str">
        <f>'TO HOP'!B154</f>
        <v>CĐ I(a) max - 2 nhịp lệch tâm 6 làn</v>
      </c>
      <c r="C29" s="14">
        <f>IF(B29="","",24)</f>
        <v>24</v>
      </c>
      <c r="D29" s="13">
        <f>IF('TO HOP'!C154="","",'TO HOP'!C154/9.81)</f>
        <v>274.93745948634182</v>
      </c>
      <c r="E29" s="13">
        <f>IF('TO HOP'!D154="","",'TO HOP'!D154/9.81)</f>
        <v>0</v>
      </c>
      <c r="F29" s="13">
        <f>IF('TO HOP'!E154="","",'TO HOP'!E154/9.81)</f>
        <v>3543.960688938535</v>
      </c>
      <c r="G29" s="13">
        <f>IF('TO HOP'!F154="","",'TO HOP'!F154/9.81)</f>
        <v>1580.9149173165138</v>
      </c>
      <c r="H29" s="13">
        <f>IF('TO HOP'!G154="","",'TO HOP'!G154/9.81)</f>
        <v>3475.1544986696485</v>
      </c>
      <c r="I29" s="13">
        <f t="shared" si="0"/>
        <v>0</v>
      </c>
    </row>
    <row r="30" spans="2:9" ht="27.6" x14ac:dyDescent="0.3">
      <c r="B30" s="19" t="str">
        <f>'TO HOP'!B155</f>
        <v>CĐ I(a) max - 2 nhịp đúng tâm 1 làn</v>
      </c>
      <c r="C30" s="14">
        <f>IF(B30="","",25)</f>
        <v>25</v>
      </c>
      <c r="D30" s="13">
        <f>IF('TO HOP'!C155="","",'TO HOP'!C155/9.81)</f>
        <v>274.93745948634182</v>
      </c>
      <c r="E30" s="13">
        <f>IF('TO HOP'!D155="","",'TO HOP'!D155/9.81)</f>
        <v>0</v>
      </c>
      <c r="F30" s="13">
        <f>IF('TO HOP'!E155="","",'TO HOP'!E155/9.81)</f>
        <v>3083.1271907733972</v>
      </c>
      <c r="G30" s="13">
        <f>IF('TO HOP'!F155="","",'TO HOP'!F155/9.81)</f>
        <v>0</v>
      </c>
      <c r="H30" s="13">
        <f>IF('TO HOP'!G155="","",'TO HOP'!G155/9.81)</f>
        <v>3475.1544986696485</v>
      </c>
      <c r="I30" s="13">
        <f t="shared" si="0"/>
        <v>0</v>
      </c>
    </row>
    <row r="31" spans="2:9" ht="27.6" x14ac:dyDescent="0.3">
      <c r="B31" s="19" t="str">
        <f>'TO HOP'!B156</f>
        <v>CĐ I(a) max - 2 nhịp đúng tâm 2 làn</v>
      </c>
      <c r="C31" s="14">
        <f>IF(B31="","",26)</f>
        <v>26</v>
      </c>
      <c r="D31" s="13">
        <f>IF('TO HOP'!C156="","",'TO HOP'!C156/9.81)</f>
        <v>274.93745948634182</v>
      </c>
      <c r="E31" s="13">
        <f>IF('TO HOP'!D156="","",'TO HOP'!D156/9.81)</f>
        <v>0</v>
      </c>
      <c r="F31" s="13">
        <f>IF('TO HOP'!E156="","",'TO HOP'!E156/9.81)</f>
        <v>3219.6704494889937</v>
      </c>
      <c r="G31" s="13">
        <f>IF('TO HOP'!F156="","",'TO HOP'!F156/9.81)</f>
        <v>0</v>
      </c>
      <c r="H31" s="13">
        <f>IF('TO HOP'!G156="","",'TO HOP'!G156/9.81)</f>
        <v>3475.1544986696485</v>
      </c>
      <c r="I31" s="13">
        <f t="shared" si="0"/>
        <v>0</v>
      </c>
    </row>
    <row r="32" spans="2:9" ht="27.6" x14ac:dyDescent="0.3">
      <c r="B32" s="19" t="str">
        <f>'TO HOP'!B157</f>
        <v>CĐ I(a) max - 2 nhịp đúng tâm 3 làn</v>
      </c>
      <c r="C32" s="14">
        <f>IF(B32="","",27)</f>
        <v>27</v>
      </c>
      <c r="D32" s="13">
        <f>IF('TO HOP'!C157="","",'TO HOP'!C157/9.81)</f>
        <v>274.93745948634182</v>
      </c>
      <c r="E32" s="13">
        <f>IF('TO HOP'!D157="","",'TO HOP'!D157/9.81)</f>
        <v>0</v>
      </c>
      <c r="F32" s="13">
        <f>IF('TO HOP'!E157="","",'TO HOP'!E157/9.81)</f>
        <v>3313.5439398559661</v>
      </c>
      <c r="G32" s="13">
        <f>IF('TO HOP'!F157="","",'TO HOP'!F157/9.81)</f>
        <v>0</v>
      </c>
      <c r="H32" s="13">
        <f>IF('TO HOP'!G157="","",'TO HOP'!G157/9.81)</f>
        <v>3475.1544986696485</v>
      </c>
      <c r="I32" s="13">
        <f t="shared" si="0"/>
        <v>0</v>
      </c>
    </row>
    <row r="33" spans="2:9" ht="27.6" x14ac:dyDescent="0.3">
      <c r="B33" s="19" t="str">
        <f>'TO HOP'!B158</f>
        <v>CĐ I(a) max - 2 nhịp đúng tâm 4 làn</v>
      </c>
      <c r="C33" s="14">
        <f>IF(B33="","",28)</f>
        <v>28</v>
      </c>
      <c r="D33" s="13">
        <f>IF('TO HOP'!C158="","",'TO HOP'!C158/9.81)</f>
        <v>274.93745948634182</v>
      </c>
      <c r="E33" s="13">
        <f>IF('TO HOP'!D158="","",'TO HOP'!D158/9.81)</f>
        <v>0</v>
      </c>
      <c r="F33" s="13">
        <f>IF('TO HOP'!E158="","",'TO HOP'!E158/9.81)</f>
        <v>3322.0778935256908</v>
      </c>
      <c r="G33" s="13">
        <f>IF('TO HOP'!F158="","",'TO HOP'!F158/9.81)</f>
        <v>0</v>
      </c>
      <c r="H33" s="13">
        <f>IF('TO HOP'!G158="","",'TO HOP'!G158/9.81)</f>
        <v>3475.1544986696485</v>
      </c>
      <c r="I33" s="13">
        <f t="shared" si="0"/>
        <v>0</v>
      </c>
    </row>
    <row r="34" spans="2:9" ht="27.6" x14ac:dyDescent="0.3">
      <c r="B34" s="19" t="str">
        <f>'TO HOP'!B159</f>
        <v>CĐ I(a) max - 2 nhịp đúng tâm 5 làn</v>
      </c>
      <c r="C34" s="14">
        <f>IF(B34="","",29)</f>
        <v>29</v>
      </c>
      <c r="D34" s="13">
        <f>IF('TO HOP'!C159="","",'TO HOP'!C159/9.81)</f>
        <v>274.93745948634182</v>
      </c>
      <c r="E34" s="13">
        <f>IF('TO HOP'!D159="","",'TO HOP'!D159/9.81)</f>
        <v>0</v>
      </c>
      <c r="F34" s="13">
        <f>IF('TO HOP'!E159="","",'TO HOP'!E159/9.81)</f>
        <v>3433.0192912321127</v>
      </c>
      <c r="G34" s="13">
        <f>IF('TO HOP'!F159="","",'TO HOP'!F159/9.81)</f>
        <v>0</v>
      </c>
      <c r="H34" s="13">
        <f>IF('TO HOP'!G159="","",'TO HOP'!G159/9.81)</f>
        <v>3475.1544986696485</v>
      </c>
      <c r="I34" s="13">
        <f t="shared" si="0"/>
        <v>0</v>
      </c>
    </row>
    <row r="35" spans="2:9" ht="27.6" x14ac:dyDescent="0.3">
      <c r="B35" s="19" t="str">
        <f>'TO HOP'!B160</f>
        <v>CĐ I(a) max - 2 nhịp đúng tâm 6 làn</v>
      </c>
      <c r="C35" s="14">
        <f>IF(B35="","",30)</f>
        <v>30</v>
      </c>
      <c r="D35" s="13">
        <f>IF('TO HOP'!C160="","",'TO HOP'!C160/9.81)</f>
        <v>274.93745948634182</v>
      </c>
      <c r="E35" s="13">
        <f>IF('TO HOP'!D160="","",'TO HOP'!D160/9.81)</f>
        <v>0</v>
      </c>
      <c r="F35" s="13">
        <f>IF('TO HOP'!E160="","",'TO HOP'!E160/9.81)</f>
        <v>3543.960688938535</v>
      </c>
      <c r="G35" s="13">
        <f>IF('TO HOP'!F160="","",'TO HOP'!F160/9.81)</f>
        <v>0</v>
      </c>
      <c r="H35" s="13">
        <f>IF('TO HOP'!G160="","",'TO HOP'!G160/9.81)</f>
        <v>3475.1544986696485</v>
      </c>
      <c r="I35" s="13">
        <f t="shared" si="0"/>
        <v>0</v>
      </c>
    </row>
    <row r="36" spans="2:9" ht="27.6" x14ac:dyDescent="0.3">
      <c r="B36" s="19" t="str">
        <f>'TO HOP'!B161</f>
        <v>CĐ I(a) max - 1 nhịp 1 làn</v>
      </c>
      <c r="C36" s="14">
        <f>IF(B36="","",31)</f>
        <v>31</v>
      </c>
      <c r="D36" s="13">
        <f>IF('TO HOP'!C161="","",'TO HOP'!C161/9.81)</f>
        <v>274.93745948634182</v>
      </c>
      <c r="E36" s="13">
        <f>IF('TO HOP'!D161="","",'TO HOP'!D161/9.81)</f>
        <v>0</v>
      </c>
      <c r="F36" s="13">
        <f>IF('TO HOP'!E161="","",'TO HOP'!E161/9.81)</f>
        <v>3001.1518276745182</v>
      </c>
      <c r="G36" s="13">
        <f>IF('TO HOP'!F161="","",'TO HOP'!F161/9.81)</f>
        <v>1213.0403091233434</v>
      </c>
      <c r="H36" s="13">
        <f>IF('TO HOP'!G161="","",'TO HOP'!G161/9.81)</f>
        <v>3585.7100711467128</v>
      </c>
      <c r="I36" s="13">
        <f t="shared" si="0"/>
        <v>0</v>
      </c>
    </row>
    <row r="37" spans="2:9" ht="27.6" x14ac:dyDescent="0.3">
      <c r="B37" s="19" t="str">
        <f>'TO HOP'!B162</f>
        <v>CĐ I(a) max - 1 nhịp 2 làn</v>
      </c>
      <c r="C37" s="14">
        <f>IF(B37="","",32)</f>
        <v>32</v>
      </c>
      <c r="D37" s="13">
        <f>IF('TO HOP'!C162="","",'TO HOP'!C162/9.81)</f>
        <v>274.93745948634182</v>
      </c>
      <c r="E37" s="13">
        <f>IF('TO HOP'!D162="","",'TO HOP'!D162/9.81)</f>
        <v>0</v>
      </c>
      <c r="F37" s="13">
        <f>IF('TO HOP'!E162="","",'TO HOP'!E162/9.81)</f>
        <v>3083.0448443241953</v>
      </c>
      <c r="G37" s="13">
        <f>IF('TO HOP'!F162="","",'TO HOP'!F162/9.81)</f>
        <v>1714.6350361026164</v>
      </c>
      <c r="H37" s="13">
        <f>IF('TO HOP'!G162="","",'TO HOP'!G162/9.81)</f>
        <v>3659.4137861314221</v>
      </c>
      <c r="I37" s="13">
        <f t="shared" si="0"/>
        <v>0</v>
      </c>
    </row>
    <row r="38" spans="2:9" ht="27.6" x14ac:dyDescent="0.3">
      <c r="B38" s="19" t="str">
        <f>'TO HOP'!B163</f>
        <v>CĐ I(a) max - 1 nhịp 3 làn</v>
      </c>
      <c r="C38" s="14">
        <f>IF(B38="","",33)</f>
        <v>33</v>
      </c>
      <c r="D38" s="13">
        <f>IF('TO HOP'!C163="","",'TO HOP'!C163/9.81)</f>
        <v>274.93745948634182</v>
      </c>
      <c r="E38" s="13">
        <f>IF('TO HOP'!D163="","",'TO HOP'!D163/9.81)</f>
        <v>0</v>
      </c>
      <c r="F38" s="13">
        <f>IF('TO HOP'!E163="","",'TO HOP'!E163/9.81)</f>
        <v>3139.3462932708485</v>
      </c>
      <c r="G38" s="13">
        <f>IF('TO HOP'!F163="","",'TO HOP'!F163/9.81)</f>
        <v>1794.608685174567</v>
      </c>
      <c r="H38" s="13">
        <f>IF('TO HOP'!G163="","",'TO HOP'!G163/9.81)</f>
        <v>3710.0850901834096</v>
      </c>
      <c r="I38" s="13">
        <f t="shared" ref="I38:I67" si="1">IF(B38="","",0)</f>
        <v>0</v>
      </c>
    </row>
    <row r="39" spans="2:9" ht="27.6" x14ac:dyDescent="0.3">
      <c r="B39" s="19" t="str">
        <f>'TO HOP'!B164</f>
        <v>CĐ I(a) max - 1 nhịp 4 làn</v>
      </c>
      <c r="C39" s="14">
        <f>IF(B39="","",34)</f>
        <v>34</v>
      </c>
      <c r="D39" s="13">
        <f>IF('TO HOP'!C164="","",'TO HOP'!C164/9.81)</f>
        <v>274.93745948634182</v>
      </c>
      <c r="E39" s="13">
        <f>IF('TO HOP'!D164="","",'TO HOP'!D164/9.81)</f>
        <v>0</v>
      </c>
      <c r="F39" s="13">
        <f>IF('TO HOP'!E164="","",'TO HOP'!E164/9.81)</f>
        <v>3144.4646068114535</v>
      </c>
      <c r="G39" s="13">
        <f>IF('TO HOP'!F164="","",'TO HOP'!F164/9.81)</f>
        <v>1430.5686345990487</v>
      </c>
      <c r="H39" s="13">
        <f>IF('TO HOP'!G164="","",'TO HOP'!G164/9.81)</f>
        <v>3714.6915723699535</v>
      </c>
      <c r="I39" s="13">
        <f t="shared" si="1"/>
        <v>0</v>
      </c>
    </row>
    <row r="40" spans="2:9" ht="27.6" x14ac:dyDescent="0.3">
      <c r="B40" s="19" t="str">
        <f>'TO HOP'!B165</f>
        <v>CĐ I(a) max - 1 nhịp 5 làn</v>
      </c>
      <c r="C40" s="14">
        <f>IF(B40="","",35)</f>
        <v>35</v>
      </c>
      <c r="D40" s="13">
        <f>IF('TO HOP'!C165="","",'TO HOP'!C165/9.81)</f>
        <v>274.93745948634182</v>
      </c>
      <c r="E40" s="13">
        <f>IF('TO HOP'!D165="","",'TO HOP'!D165/9.81)</f>
        <v>0</v>
      </c>
      <c r="F40" s="13">
        <f>IF('TO HOP'!E165="","",'TO HOP'!E165/9.81)</f>
        <v>3211.0026828393161</v>
      </c>
      <c r="G40" s="13">
        <f>IF('TO HOP'!F165="","",'TO HOP'!F165/9.81)</f>
        <v>1289.1752230398404</v>
      </c>
      <c r="H40" s="13">
        <f>IF('TO HOP'!G165="","",'TO HOP'!G165/9.81)</f>
        <v>3774.5758407950307</v>
      </c>
      <c r="I40" s="13">
        <f t="shared" si="1"/>
        <v>0</v>
      </c>
    </row>
    <row r="41" spans="2:9" ht="27.6" x14ac:dyDescent="0.3">
      <c r="B41" s="19" t="str">
        <f>'TO HOP'!B166</f>
        <v>CĐ I(a) max - 1 nhịp 6 làn</v>
      </c>
      <c r="C41" s="14">
        <f>IF(B41="","",36)</f>
        <v>36</v>
      </c>
      <c r="D41" s="13">
        <f>IF('TO HOP'!C166="","",'TO HOP'!C166/9.81)</f>
        <v>274.93745948634182</v>
      </c>
      <c r="E41" s="13">
        <f>IF('TO HOP'!D166="","",'TO HOP'!D166/9.81)</f>
        <v>0</v>
      </c>
      <c r="F41" s="13">
        <f>IF('TO HOP'!E166="","",'TO HOP'!E166/9.81)</f>
        <v>3277.5407588671787</v>
      </c>
      <c r="G41" s="13">
        <f>IF('TO HOP'!F166="","",'TO HOP'!F166/9.81)</f>
        <v>948.16758339704381</v>
      </c>
      <c r="H41" s="13">
        <f>IF('TO HOP'!G166="","",'TO HOP'!G166/9.81)</f>
        <v>3834.4601092201065</v>
      </c>
      <c r="I41" s="13">
        <f t="shared" si="1"/>
        <v>0</v>
      </c>
    </row>
    <row r="42" spans="2:9" ht="27.6" x14ac:dyDescent="0.3">
      <c r="B42" s="19" t="str">
        <f>'TO HOP'!B167</f>
        <v>CĐ I(b) min - 2 nhịp 1 làn</v>
      </c>
      <c r="C42" s="14">
        <f>IF(B42="","",37)</f>
        <v>37</v>
      </c>
      <c r="D42" s="13">
        <f>IF('TO HOP'!C167="","",'TO HOP'!C167/9.81)</f>
        <v>274.93745948634182</v>
      </c>
      <c r="E42" s="13">
        <f>IF('TO HOP'!D167="","",'TO HOP'!D167/9.81)</f>
        <v>0</v>
      </c>
      <c r="F42" s="13">
        <f>IF('TO HOP'!E167="","",'TO HOP'!E167/9.81)</f>
        <v>2217.2034042742766</v>
      </c>
      <c r="G42" s="13">
        <f>IF('TO HOP'!F167="","",'TO HOP'!F167/9.81)</f>
        <v>2022.5470197247705</v>
      </c>
      <c r="H42" s="13">
        <f>IF('TO HOP'!G167="","",'TO HOP'!G167/9.81)</f>
        <v>3475.1544986696485</v>
      </c>
      <c r="I42" s="13">
        <f t="shared" si="1"/>
        <v>0</v>
      </c>
    </row>
    <row r="43" spans="2:9" ht="27.6" x14ac:dyDescent="0.3">
      <c r="B43" s="19" t="str">
        <f>'TO HOP'!B168</f>
        <v>CĐ I(b) min - 2 nhịp 2 làn</v>
      </c>
      <c r="C43" s="14">
        <f>IF(B43="","",38)</f>
        <v>38</v>
      </c>
      <c r="D43" s="13">
        <f>IF('TO HOP'!C168="","",'TO HOP'!C168/9.81)</f>
        <v>274.93745948634182</v>
      </c>
      <c r="E43" s="13">
        <f>IF('TO HOP'!D168="","",'TO HOP'!D168/9.81)</f>
        <v>0</v>
      </c>
      <c r="F43" s="13">
        <f>IF('TO HOP'!E168="","",'TO HOP'!E168/9.81)</f>
        <v>2353.7466629898731</v>
      </c>
      <c r="G43" s="13">
        <f>IF('TO HOP'!F168="","",'TO HOP'!F168/9.81)</f>
        <v>2858.874479357798</v>
      </c>
      <c r="H43" s="13">
        <f>IF('TO HOP'!G168="","",'TO HOP'!G168/9.81)</f>
        <v>3475.1544986696485</v>
      </c>
      <c r="I43" s="13">
        <f t="shared" si="1"/>
        <v>0</v>
      </c>
    </row>
    <row r="44" spans="2:9" ht="27.6" x14ac:dyDescent="0.3">
      <c r="B44" s="19" t="str">
        <f>'TO HOP'!B169</f>
        <v>CĐ I(b) min - 2 nhịp 3 làn</v>
      </c>
      <c r="C44" s="14">
        <f>IF(B44="","",39)</f>
        <v>39</v>
      </c>
      <c r="D44" s="13">
        <f>IF('TO HOP'!C169="","",'TO HOP'!C169/9.81)</f>
        <v>274.93745948634182</v>
      </c>
      <c r="E44" s="13">
        <f>IF('TO HOP'!D169="","",'TO HOP'!D169/9.81)</f>
        <v>0</v>
      </c>
      <c r="F44" s="13">
        <f>IF('TO HOP'!E169="","",'TO HOP'!E169/9.81)</f>
        <v>2447.6201533568455</v>
      </c>
      <c r="G44" s="13">
        <f>IF('TO HOP'!F169="","",'TO HOP'!F169/9.81)</f>
        <v>2992.2175054472477</v>
      </c>
      <c r="H44" s="13">
        <f>IF('TO HOP'!G169="","",'TO HOP'!G169/9.81)</f>
        <v>3475.1544986696485</v>
      </c>
      <c r="I44" s="13">
        <f t="shared" si="1"/>
        <v>0</v>
      </c>
    </row>
    <row r="45" spans="2:9" ht="27.6" x14ac:dyDescent="0.3">
      <c r="B45" s="19" t="str">
        <f>'TO HOP'!B170</f>
        <v>CĐ I(b) min - 2 nhịp 4 làn</v>
      </c>
      <c r="C45" s="14">
        <f>IF(B45="","",40)</f>
        <v>40</v>
      </c>
      <c r="D45" s="13">
        <f>IF('TO HOP'!C170="","",'TO HOP'!C170/9.81)</f>
        <v>274.93745948634182</v>
      </c>
      <c r="E45" s="13">
        <f>IF('TO HOP'!D170="","",'TO HOP'!D170/9.81)</f>
        <v>0</v>
      </c>
      <c r="F45" s="13">
        <f>IF('TO HOP'!E170="","",'TO HOP'!E170/9.81)</f>
        <v>2456.1541070265703</v>
      </c>
      <c r="G45" s="13">
        <f>IF('TO HOP'!F170="","",'TO HOP'!F170/9.81)</f>
        <v>2385.2400506880736</v>
      </c>
      <c r="H45" s="13">
        <f>IF('TO HOP'!G170="","",'TO HOP'!G170/9.81)</f>
        <v>3475.1544986696485</v>
      </c>
      <c r="I45" s="13">
        <f t="shared" si="1"/>
        <v>0</v>
      </c>
    </row>
    <row r="46" spans="2:9" ht="27.6" x14ac:dyDescent="0.3">
      <c r="B46" s="19" t="str">
        <f>'TO HOP'!B171</f>
        <v>CĐ I(b) min - 2 nhịp 5 làn</v>
      </c>
      <c r="C46" s="14">
        <f>IF(B46="","",41)</f>
        <v>41</v>
      </c>
      <c r="D46" s="13">
        <f>IF('TO HOP'!C171="","",'TO HOP'!C171/9.81)</f>
        <v>274.93745948634182</v>
      </c>
      <c r="E46" s="13">
        <f>IF('TO HOP'!D171="","",'TO HOP'!D171/9.81)</f>
        <v>0</v>
      </c>
      <c r="F46" s="13">
        <f>IF('TO HOP'!E171="","",'TO HOP'!E171/9.81)</f>
        <v>2567.0955047329921</v>
      </c>
      <c r="G46" s="13">
        <f>IF('TO HOP'!F171="","",'TO HOP'!F171/9.81)</f>
        <v>2149.4895805619271</v>
      </c>
      <c r="H46" s="13">
        <f>IF('TO HOP'!G171="","",'TO HOP'!G171/9.81)</f>
        <v>3475.1544986696485</v>
      </c>
      <c r="I46" s="13">
        <f t="shared" si="1"/>
        <v>0</v>
      </c>
    </row>
    <row r="47" spans="2:9" ht="27.6" x14ac:dyDescent="0.3">
      <c r="B47" s="19" t="str">
        <f>'TO HOP'!B172</f>
        <v>CĐ I(b) min - 2 nhịp 6 làn</v>
      </c>
      <c r="C47" s="14">
        <f>IF(B47="","",42)</f>
        <v>42</v>
      </c>
      <c r="D47" s="13">
        <f>IF('TO HOP'!C172="","",'TO HOP'!C172/9.81)</f>
        <v>274.93745948634182</v>
      </c>
      <c r="E47" s="13">
        <f>IF('TO HOP'!D172="","",'TO HOP'!D172/9.81)</f>
        <v>0</v>
      </c>
      <c r="F47" s="13">
        <f>IF('TO HOP'!E172="","",'TO HOP'!E172/9.81)</f>
        <v>2678.036902439414</v>
      </c>
      <c r="G47" s="13">
        <f>IF('TO HOP'!F172="","",'TO HOP'!F172/9.81)</f>
        <v>1580.9149173165138</v>
      </c>
      <c r="H47" s="13">
        <f>IF('TO HOP'!G172="","",'TO HOP'!G172/9.81)</f>
        <v>3475.1544986696485</v>
      </c>
      <c r="I47" s="13">
        <f t="shared" si="1"/>
        <v>0</v>
      </c>
    </row>
    <row r="48" spans="2:9" ht="27.6" x14ac:dyDescent="0.3">
      <c r="B48" s="19" t="str">
        <f>'TO HOP'!B173</f>
        <v>CĐ I(b) min - 1 nhịp 1 làn</v>
      </c>
      <c r="C48" s="14">
        <f>IF(B48="","",43)</f>
        <v>43</v>
      </c>
      <c r="D48" s="13">
        <f>IF('TO HOP'!C173="","",'TO HOP'!C173/9.81)</f>
        <v>274.93745948634182</v>
      </c>
      <c r="E48" s="13">
        <f>IF('TO HOP'!D173="","",'TO HOP'!D173/9.81)</f>
        <v>0</v>
      </c>
      <c r="F48" s="13">
        <f>IF('TO HOP'!E173="","",'TO HOP'!E173/9.81)</f>
        <v>2135.2280411753982</v>
      </c>
      <c r="G48" s="13">
        <f>IF('TO HOP'!F173="","",'TO HOP'!F173/9.81)</f>
        <v>1213.0403091233434</v>
      </c>
      <c r="H48" s="13">
        <f>IF('TO HOP'!G173="","",'TO HOP'!G173/9.81)</f>
        <v>3585.7100711467128</v>
      </c>
      <c r="I48" s="13">
        <f t="shared" si="1"/>
        <v>0</v>
      </c>
    </row>
    <row r="49" spans="2:9" ht="27.6" x14ac:dyDescent="0.3">
      <c r="B49" s="19" t="str">
        <f>'TO HOP'!B174</f>
        <v>CĐ I(b) min - 1 nhịp 2 làn</v>
      </c>
      <c r="C49" s="14">
        <f>IF(B49="","",44)</f>
        <v>44</v>
      </c>
      <c r="D49" s="13">
        <f>IF('TO HOP'!C174="","",'TO HOP'!C174/9.81)</f>
        <v>274.93745948634182</v>
      </c>
      <c r="E49" s="13">
        <f>IF('TO HOP'!D174="","",'TO HOP'!D174/9.81)</f>
        <v>0</v>
      </c>
      <c r="F49" s="13">
        <f>IF('TO HOP'!E174="","",'TO HOP'!E174/9.81)</f>
        <v>2217.1210578250752</v>
      </c>
      <c r="G49" s="13">
        <f>IF('TO HOP'!F174="","",'TO HOP'!F174/9.81)</f>
        <v>1714.6350361026164</v>
      </c>
      <c r="H49" s="13">
        <f>IF('TO HOP'!G174="","",'TO HOP'!G174/9.81)</f>
        <v>3659.4137861314221</v>
      </c>
      <c r="I49" s="13">
        <f t="shared" si="1"/>
        <v>0</v>
      </c>
    </row>
    <row r="50" spans="2:9" ht="27.6" x14ac:dyDescent="0.3">
      <c r="B50" s="19" t="str">
        <f>'TO HOP'!B175</f>
        <v>CĐ I(b) min - 1 nhịp 3 làn</v>
      </c>
      <c r="C50" s="14">
        <f>IF(B50="","",45)</f>
        <v>45</v>
      </c>
      <c r="D50" s="13">
        <f>IF('TO HOP'!C175="","",'TO HOP'!C175/9.81)</f>
        <v>274.93745948634182</v>
      </c>
      <c r="E50" s="13">
        <f>IF('TO HOP'!D175="","",'TO HOP'!D175/9.81)</f>
        <v>0</v>
      </c>
      <c r="F50" s="13">
        <f>IF('TO HOP'!E175="","",'TO HOP'!E175/9.81)</f>
        <v>2273.4225067717284</v>
      </c>
      <c r="G50" s="13">
        <f>IF('TO HOP'!F175="","",'TO HOP'!F175/9.81)</f>
        <v>1794.608685174567</v>
      </c>
      <c r="H50" s="13">
        <f>IF('TO HOP'!G175="","",'TO HOP'!G175/9.81)</f>
        <v>3710.0850901834096</v>
      </c>
      <c r="I50" s="13">
        <f t="shared" si="1"/>
        <v>0</v>
      </c>
    </row>
    <row r="51" spans="2:9" ht="27.6" x14ac:dyDescent="0.3">
      <c r="B51" s="19" t="str">
        <f>'TO HOP'!B176</f>
        <v>CĐ I(b) min - 1 nhịp 4 làn</v>
      </c>
      <c r="C51" s="14">
        <f>IF(B51="","",46)</f>
        <v>46</v>
      </c>
      <c r="D51" s="13">
        <f>IF('TO HOP'!C176="","",'TO HOP'!C176/9.81)</f>
        <v>274.93745948634182</v>
      </c>
      <c r="E51" s="13">
        <f>IF('TO HOP'!D176="","",'TO HOP'!D176/9.81)</f>
        <v>0</v>
      </c>
      <c r="F51" s="13">
        <f>IF('TO HOP'!E176="","",'TO HOP'!E176/9.81)</f>
        <v>2278.5408203123329</v>
      </c>
      <c r="G51" s="13">
        <f>IF('TO HOP'!F176="","",'TO HOP'!F176/9.81)</f>
        <v>1430.5686345990487</v>
      </c>
      <c r="H51" s="13">
        <f>IF('TO HOP'!G176="","",'TO HOP'!G176/9.81)</f>
        <v>3714.6915723699535</v>
      </c>
      <c r="I51" s="13">
        <f t="shared" si="1"/>
        <v>0</v>
      </c>
    </row>
    <row r="52" spans="2:9" ht="27.6" x14ac:dyDescent="0.3">
      <c r="B52" s="19" t="str">
        <f>'TO HOP'!B177</f>
        <v>CĐ I(b) min - 1 nhịp 5 làn</v>
      </c>
      <c r="C52" s="14">
        <f>IF(B52="","",47)</f>
        <v>47</v>
      </c>
      <c r="D52" s="13">
        <f>IF('TO HOP'!C177="","",'TO HOP'!C177/9.81)</f>
        <v>274.93745948634182</v>
      </c>
      <c r="E52" s="13">
        <f>IF('TO HOP'!D177="","",'TO HOP'!D177/9.81)</f>
        <v>0</v>
      </c>
      <c r="F52" s="13">
        <f>IF('TO HOP'!E177="","",'TO HOP'!E177/9.81)</f>
        <v>2345.078896340196</v>
      </c>
      <c r="G52" s="13">
        <f>IF('TO HOP'!F177="","",'TO HOP'!F177/9.81)</f>
        <v>1289.1752230398404</v>
      </c>
      <c r="H52" s="13">
        <f>IF('TO HOP'!G177="","",'TO HOP'!G177/9.81)</f>
        <v>3774.5758407950307</v>
      </c>
      <c r="I52" s="13">
        <f t="shared" si="1"/>
        <v>0</v>
      </c>
    </row>
    <row r="53" spans="2:9" ht="27.6" x14ac:dyDescent="0.3">
      <c r="B53" s="19" t="str">
        <f>'TO HOP'!B178</f>
        <v>CĐ I(b) min - 1 nhịp 6 làn</v>
      </c>
      <c r="C53" s="14">
        <f>IF(B53="","",48)</f>
        <v>48</v>
      </c>
      <c r="D53" s="13">
        <f>IF('TO HOP'!C178="","",'TO HOP'!C178/9.81)</f>
        <v>274.93745948634182</v>
      </c>
      <c r="E53" s="13">
        <f>IF('TO HOP'!D178="","",'TO HOP'!D178/9.81)</f>
        <v>0</v>
      </c>
      <c r="F53" s="13">
        <f>IF('TO HOP'!E178="","",'TO HOP'!E178/9.81)</f>
        <v>2411.6169723680582</v>
      </c>
      <c r="G53" s="13">
        <f>IF('TO HOP'!F178="","",'TO HOP'!F178/9.81)</f>
        <v>948.16758339704381</v>
      </c>
      <c r="H53" s="13">
        <f>IF('TO HOP'!G178="","",'TO HOP'!G178/9.81)</f>
        <v>3834.4601092201065</v>
      </c>
      <c r="I53" s="13">
        <f t="shared" si="1"/>
        <v>0</v>
      </c>
    </row>
    <row r="54" spans="2:9" x14ac:dyDescent="0.3">
      <c r="B54" s="19" t="str">
        <f>'TO HOP'!B179</f>
        <v>CĐ III(a) max</v>
      </c>
      <c r="C54" s="14">
        <f>IF(B54="","",49)</f>
        <v>49</v>
      </c>
      <c r="D54" s="13">
        <f>IF('TO HOP'!C179="","",'TO HOP'!C179/9.81)</f>
        <v>229.71150555603316</v>
      </c>
      <c r="E54" s="13">
        <f>IF('TO HOP'!D179="","",'TO HOP'!D179/9.81)</f>
        <v>53.72843504329127</v>
      </c>
      <c r="F54" s="13">
        <f>IF('TO HOP'!E179="","",'TO HOP'!E179/9.81)</f>
        <v>2731.631498876895</v>
      </c>
      <c r="G54" s="13">
        <f>IF('TO HOP'!F179="","",'TO HOP'!F179/9.81)</f>
        <v>591.19260650658111</v>
      </c>
      <c r="H54" s="13">
        <f>IF('TO HOP'!G179="","",'TO HOP'!G179/9.81)</f>
        <v>2811.8355099369664</v>
      </c>
      <c r="I54" s="13">
        <f t="shared" si="1"/>
        <v>0</v>
      </c>
    </row>
    <row r="55" spans="2:9" x14ac:dyDescent="0.3">
      <c r="B55" s="19" t="str">
        <f>'TO HOP'!B180</f>
        <v>CĐ III(b) min</v>
      </c>
      <c r="C55" s="14">
        <f>IF(B55="","",50)</f>
        <v>50</v>
      </c>
      <c r="D55" s="13">
        <f>IF('TO HOP'!C180="","",'TO HOP'!C180/9.81)</f>
        <v>229.71150555603316</v>
      </c>
      <c r="E55" s="13">
        <f>IF('TO HOP'!D180="","",'TO HOP'!D180/9.81)</f>
        <v>53.72843504329127</v>
      </c>
      <c r="F55" s="13">
        <f>IF('TO HOP'!E180="","",'TO HOP'!E180/9.81)</f>
        <v>1865.7077123777744</v>
      </c>
      <c r="G55" s="13">
        <f>IF('TO HOP'!F180="","",'TO HOP'!F180/9.81)</f>
        <v>591.19260650658111</v>
      </c>
      <c r="H55" s="13">
        <f>IF('TO HOP'!G180="","",'TO HOP'!G180/9.81)</f>
        <v>2811.8355099369664</v>
      </c>
      <c r="I55" s="13">
        <f t="shared" si="1"/>
        <v>0</v>
      </c>
    </row>
    <row r="56" spans="2:9" ht="27.6" x14ac:dyDescent="0.3">
      <c r="B56" s="19" t="str">
        <f>'TO HOP'!B181</f>
        <v>CĐ V(a) max - 2 nhịp 1 làn</v>
      </c>
      <c r="C56" s="14">
        <f>IF(B56="","",51)</f>
        <v>51</v>
      </c>
      <c r="D56" s="13">
        <f>IF('TO HOP'!C181="","",'TO HOP'!C181/9.81)</f>
        <v>267.28288252405844</v>
      </c>
      <c r="E56" s="13">
        <f>IF('TO HOP'!D181="","",'TO HOP'!D181/9.81)</f>
        <v>20.617439347604488</v>
      </c>
      <c r="F56" s="13">
        <f>IF('TO HOP'!E181="","",'TO HOP'!E181/9.81)</f>
        <v>3036.312359213764</v>
      </c>
      <c r="G56" s="13">
        <f>IF('TO HOP'!F181="","",'TO HOP'!F181/9.81)</f>
        <v>1803.1453570744138</v>
      </c>
      <c r="H56" s="13">
        <f>IF('TO HOP'!G181="","",'TO HOP'!G181/9.81)</f>
        <v>3359.5560948979864</v>
      </c>
      <c r="I56" s="13">
        <f t="shared" si="1"/>
        <v>0</v>
      </c>
    </row>
    <row r="57" spans="2:9" ht="27.6" x14ac:dyDescent="0.3">
      <c r="B57" s="19" t="str">
        <f>'TO HOP'!B182</f>
        <v>CĐ V(a) max - 2 nhịp 2 làn</v>
      </c>
      <c r="C57" s="14">
        <f>IF(B57="","",52)</f>
        <v>52</v>
      </c>
      <c r="D57" s="13">
        <f>IF('TO HOP'!C182="","",'TO HOP'!C182/9.81)</f>
        <v>267.28288252405844</v>
      </c>
      <c r="E57" s="13">
        <f>IF('TO HOP'!D182="","",'TO HOP'!D182/9.81)</f>
        <v>20.617439347604488</v>
      </c>
      <c r="F57" s="13">
        <f>IF('TO HOP'!E182="","",'TO HOP'!E182/9.81)</f>
        <v>3141.6457302229383</v>
      </c>
      <c r="G57" s="13">
        <f>IF('TO HOP'!F182="","",'TO HOP'!F182/9.81)</f>
        <v>2448.3122545056067</v>
      </c>
      <c r="H57" s="13">
        <f>IF('TO HOP'!G182="","",'TO HOP'!G182/9.81)</f>
        <v>3359.5560948979864</v>
      </c>
      <c r="I57" s="13">
        <f t="shared" si="1"/>
        <v>0</v>
      </c>
    </row>
    <row r="58" spans="2:9" ht="27.6" x14ac:dyDescent="0.3">
      <c r="B58" s="19" t="str">
        <f>'TO HOP'!B183</f>
        <v>CĐ V(a) max - 2 nhịp 3 làn</v>
      </c>
      <c r="C58" s="14">
        <f>IF(B58="","",53)</f>
        <v>53</v>
      </c>
      <c r="D58" s="13">
        <f>IF('TO HOP'!C183="","",'TO HOP'!C183/9.81)</f>
        <v>267.28288252405844</v>
      </c>
      <c r="E58" s="13">
        <f>IF('TO HOP'!D183="","",'TO HOP'!D183/9.81)</f>
        <v>20.617439347604488</v>
      </c>
      <c r="F58" s="13">
        <f>IF('TO HOP'!E183="","",'TO HOP'!E183/9.81)</f>
        <v>3214.0624227917456</v>
      </c>
      <c r="G58" s="13">
        <f>IF('TO HOP'!F183="","",'TO HOP'!F183/9.81)</f>
        <v>2551.1768746317534</v>
      </c>
      <c r="H58" s="13">
        <f>IF('TO HOP'!G183="","",'TO HOP'!G183/9.81)</f>
        <v>3359.5560948979864</v>
      </c>
      <c r="I58" s="13">
        <f t="shared" si="1"/>
        <v>0</v>
      </c>
    </row>
    <row r="59" spans="2:9" ht="27.6" x14ac:dyDescent="0.3">
      <c r="B59" s="19" t="str">
        <f>'TO HOP'!B184</f>
        <v>CĐ V(a) max - 2 nhịp 4 làn</v>
      </c>
      <c r="C59" s="14">
        <f>IF(B59="","",54)</f>
        <v>54</v>
      </c>
      <c r="D59" s="13">
        <f>IF('TO HOP'!C184="","",'TO HOP'!C184/9.81)</f>
        <v>267.28288252405844</v>
      </c>
      <c r="E59" s="13">
        <f>IF('TO HOP'!D184="","",'TO HOP'!D184/9.81)</f>
        <v>20.617439347604488</v>
      </c>
      <c r="F59" s="13">
        <f>IF('TO HOP'!E184="","",'TO HOP'!E184/9.81)</f>
        <v>3220.6457584798191</v>
      </c>
      <c r="G59" s="13">
        <f>IF('TO HOP'!F184="","",'TO HOP'!F184/9.81)</f>
        <v>2082.9371238175331</v>
      </c>
      <c r="H59" s="13">
        <f>IF('TO HOP'!G184="","",'TO HOP'!G184/9.81)</f>
        <v>3359.5560948979864</v>
      </c>
      <c r="I59" s="13">
        <f t="shared" si="1"/>
        <v>0</v>
      </c>
    </row>
    <row r="60" spans="2:9" ht="27.6" x14ac:dyDescent="0.3">
      <c r="B60" s="19" t="str">
        <f>'TO HOP'!B185</f>
        <v>CĐ V(a) max - 2 nhịp 5 làn</v>
      </c>
      <c r="C60" s="14">
        <f>IF(B60="","",55)</f>
        <v>55</v>
      </c>
      <c r="D60" s="13">
        <f>IF('TO HOP'!C185="","",'TO HOP'!C185/9.81)</f>
        <v>267.28288252405844</v>
      </c>
      <c r="E60" s="13">
        <f>IF('TO HOP'!D185="","",'TO HOP'!D185/9.81)</f>
        <v>20.617439347604488</v>
      </c>
      <c r="F60" s="13">
        <f>IF('TO HOP'!E185="","",'TO HOP'!E185/9.81)</f>
        <v>3306.2291224247733</v>
      </c>
      <c r="G60" s="13">
        <f>IF('TO HOP'!F185="","",'TO HOP'!F185/9.81)</f>
        <v>1901.0724754345058</v>
      </c>
      <c r="H60" s="13">
        <f>IF('TO HOP'!G185="","",'TO HOP'!G185/9.81)</f>
        <v>3359.5560948979864</v>
      </c>
      <c r="I60" s="13">
        <f t="shared" si="1"/>
        <v>0</v>
      </c>
    </row>
    <row r="61" spans="2:9" ht="27.6" x14ac:dyDescent="0.3">
      <c r="B61" s="19" t="str">
        <f>'TO HOP'!B186</f>
        <v>CĐ V(a) max - 2 nhịp 6 làn</v>
      </c>
      <c r="C61" s="14">
        <f>IF(B61="","",56)</f>
        <v>56</v>
      </c>
      <c r="D61" s="13">
        <f>IF('TO HOP'!C186="","",'TO HOP'!C186/9.81)</f>
        <v>267.28288252405844</v>
      </c>
      <c r="E61" s="13">
        <f>IF('TO HOP'!D186="","",'TO HOP'!D186/9.81)</f>
        <v>20.617439347604488</v>
      </c>
      <c r="F61" s="13">
        <f>IF('TO HOP'!E186="","",'TO HOP'!E186/9.81)</f>
        <v>3391.8124863697276</v>
      </c>
      <c r="G61" s="13">
        <f>IF('TO HOP'!F186="","",'TO HOP'!F186/9.81)</f>
        <v>1462.4577352166157</v>
      </c>
      <c r="H61" s="13">
        <f>IF('TO HOP'!G186="","",'TO HOP'!G186/9.81)</f>
        <v>3359.5560948979864</v>
      </c>
      <c r="I61" s="13">
        <f t="shared" si="1"/>
        <v>0</v>
      </c>
    </row>
    <row r="62" spans="2:9" x14ac:dyDescent="0.3">
      <c r="B62" s="19" t="str">
        <f>'TO HOP'!B187</f>
        <v>ĐB I - dọc chủ đạo</v>
      </c>
      <c r="C62" s="14">
        <f>IF(B62="","",57)</f>
        <v>57</v>
      </c>
      <c r="D62" s="13">
        <f>IF('TO HOP'!C187="","",'TO HOP'!C187/9.81)</f>
        <v>351.29185209030891</v>
      </c>
      <c r="E62" s="13">
        <f>IF('TO HOP'!D187="","",'TO HOP'!D187/9.81)</f>
        <v>81.937910742510937</v>
      </c>
      <c r="F62" s="13">
        <f>IF('TO HOP'!E187="","",'TO HOP'!E187/9.81)</f>
        <v>2464.9298201416536</v>
      </c>
      <c r="G62" s="13">
        <f>IF('TO HOP'!F187="","",'TO HOP'!F187/9.81)</f>
        <v>1090.3514653303773</v>
      </c>
      <c r="H62" s="13">
        <f>IF('TO HOP'!G187="","",'TO HOP'!G187/9.81)</f>
        <v>3311.924367338147</v>
      </c>
      <c r="I62" s="13">
        <f t="shared" si="1"/>
        <v>0</v>
      </c>
    </row>
    <row r="63" spans="2:9" x14ac:dyDescent="0.3">
      <c r="B63" s="19" t="str">
        <f>'TO HOP'!B188</f>
        <v>ĐB I - ngang chủ đạo</v>
      </c>
      <c r="C63" s="14">
        <f>IF(B63="","",58)</f>
        <v>58</v>
      </c>
      <c r="D63" s="13">
        <f>IF('TO HOP'!C188="","",'TO HOP'!C188/9.81)</f>
        <v>190.52154224788779</v>
      </c>
      <c r="E63" s="13">
        <f>IF('TO HOP'!D188="","",'TO HOP'!D188/9.81)</f>
        <v>273.12636914170315</v>
      </c>
      <c r="F63" s="13">
        <f>IF('TO HOP'!E188="","",'TO HOP'!E188/9.81)</f>
        <v>2464.9298201416536</v>
      </c>
      <c r="G63" s="13">
        <f>IF('TO HOP'!F188="","",'TO HOP'!F188/9.81)</f>
        <v>2580.5616062235822</v>
      </c>
      <c r="H63" s="13">
        <f>IF('TO HOP'!G188="","",'TO HOP'!G188/9.81)</f>
        <v>2058.807165140282</v>
      </c>
      <c r="I63" s="13">
        <f t="shared" si="1"/>
        <v>0</v>
      </c>
    </row>
    <row r="64" spans="2:9" x14ac:dyDescent="0.3">
      <c r="B64" s="19" t="str">
        <f>'TO HOP'!B189</f>
        <v>ĐB II - va xe dọc</v>
      </c>
      <c r="C64" s="14">
        <f>IF(B64="","",59)</f>
        <v>59</v>
      </c>
      <c r="D64" s="13">
        <f>IF('TO HOP'!C189="","",'TO HOP'!C189/9.81)</f>
        <v>288.95560779816515</v>
      </c>
      <c r="E64" s="13">
        <f>IF('TO HOP'!D189="","",'TO HOP'!D189/9.81)</f>
        <v>0</v>
      </c>
      <c r="F64" s="13">
        <f>IF('TO HOP'!E189="","",'TO HOP'!E189/9.81)</f>
        <v>3068.4975559110117</v>
      </c>
      <c r="G64" s="13">
        <f>IF('TO HOP'!F189="","",'TO HOP'!F189/9.81)</f>
        <v>451.68997637614677</v>
      </c>
      <c r="H64" s="13">
        <f>IF('TO HOP'!G189="","",'TO HOP'!G189/9.81)</f>
        <v>1882.3198178899088</v>
      </c>
      <c r="I64" s="13">
        <f t="shared" si="1"/>
        <v>0</v>
      </c>
    </row>
    <row r="65" spans="2:9" x14ac:dyDescent="0.3">
      <c r="B65" s="19" t="str">
        <f>'TO HOP'!B190</f>
        <v>ĐB II - va xe ngang</v>
      </c>
      <c r="C65" s="14">
        <f>IF(B65="","",60)</f>
        <v>60</v>
      </c>
      <c r="D65" s="13">
        <f>IF('TO HOP'!C190="","",'TO HOP'!C190/9.81)</f>
        <v>105.46936926605507</v>
      </c>
      <c r="E65" s="13">
        <f>IF('TO HOP'!D190="","",'TO HOP'!D190/9.81)</f>
        <v>183.48623853211009</v>
      </c>
      <c r="F65" s="13">
        <f>IF('TO HOP'!E190="","",'TO HOP'!E190/9.81)</f>
        <v>3068.4975559110117</v>
      </c>
      <c r="G65" s="13">
        <f>IF('TO HOP'!F190="","",'TO HOP'!F190/9.81)</f>
        <v>1038.845939678899</v>
      </c>
      <c r="H65" s="13">
        <f>IF('TO HOP'!G190="","",'TO HOP'!G190/9.81)</f>
        <v>1295.1638545871563</v>
      </c>
      <c r="I65" s="13">
        <f t="shared" si="1"/>
        <v>0</v>
      </c>
    </row>
    <row r="66" spans="2:9" x14ac:dyDescent="0.3">
      <c r="B66" s="19" t="str">
        <f>'TO HOP'!B191</f>
        <v>ĐB II - va tàu ngang</v>
      </c>
      <c r="C66" s="14">
        <f>IF(B66="","",61)</f>
        <v>61</v>
      </c>
      <c r="D66" s="13">
        <f>IF('TO HOP'!C191="","",'TO HOP'!C191/9.81)</f>
        <v>105.46936926605507</v>
      </c>
      <c r="E66" s="13">
        <f>IF('TO HOP'!D191="","",'TO HOP'!D191/9.81)</f>
        <v>0</v>
      </c>
      <c r="F66" s="13">
        <f>IF('TO HOP'!E191="","",'TO HOP'!E191/9.81)</f>
        <v>3068.4975559110117</v>
      </c>
      <c r="G66" s="13">
        <f>IF('TO HOP'!F191="","",'TO HOP'!F191/9.81)</f>
        <v>451.68997637614677</v>
      </c>
      <c r="H66" s="13">
        <f>IF('TO HOP'!G191="","",'TO HOP'!G191/9.81)</f>
        <v>1295.1638545871563</v>
      </c>
      <c r="I66" s="13">
        <f t="shared" si="1"/>
        <v>0</v>
      </c>
    </row>
    <row r="67" spans="2:9" x14ac:dyDescent="0.3">
      <c r="B67" s="19" t="str">
        <f>'TO HOP'!B192</f>
        <v>ĐB II - va tàu dọc</v>
      </c>
      <c r="C67" s="14">
        <f>IF(B67="","",62)</f>
        <v>62</v>
      </c>
      <c r="D67" s="13">
        <f>IF('TO HOP'!C192="","",'TO HOP'!C192/9.81)</f>
        <v>105.46936926605507</v>
      </c>
      <c r="E67" s="13">
        <f>IF('TO HOP'!D192="","",'TO HOP'!D192/9.81)</f>
        <v>0</v>
      </c>
      <c r="F67" s="13">
        <f>IF('TO HOP'!E192="","",'TO HOP'!E192/9.81)</f>
        <v>3068.4975559110117</v>
      </c>
      <c r="G67" s="13">
        <f>IF('TO HOP'!F192="","",'TO HOP'!F192/9.81)</f>
        <v>451.68997637614677</v>
      </c>
      <c r="H67" s="13">
        <f>IF('TO HOP'!G192="","",'TO HOP'!G192/9.81)</f>
        <v>1295.1638545871563</v>
      </c>
      <c r="I67" s="13">
        <f t="shared" si="1"/>
        <v>0</v>
      </c>
    </row>
    <row r="70" spans="2:9" x14ac:dyDescent="0.3">
      <c r="B70" s="5" t="s">
        <v>641</v>
      </c>
    </row>
    <row r="71" spans="2:9" x14ac:dyDescent="0.3">
      <c r="B71" s="18" t="s">
        <v>642</v>
      </c>
      <c r="C71" s="18" t="s">
        <v>284</v>
      </c>
      <c r="D71" s="18" t="s">
        <v>643</v>
      </c>
      <c r="E71" s="18" t="s">
        <v>644</v>
      </c>
    </row>
    <row r="72" spans="2:9" x14ac:dyDescent="0.3">
      <c r="B72" s="14">
        <f>IF(1&lt;=ncoc,1,"")</f>
        <v>1</v>
      </c>
      <c r="C72" s="14">
        <f>IF(1&lt;=nch1_,1,IF(1&lt;=nch1_+nch2_,2,IF(1&lt;=nch1_+nch2_+nch3_,3,IF(1&lt;=ncoc,4,""))))</f>
        <v>1</v>
      </c>
      <c r="D72" s="13">
        <f t="shared" ref="D72:D91" si="2">IF(B72="","",INDEX(pileX,C72))</f>
        <v>-1.8</v>
      </c>
      <c r="E72" s="13">
        <f>IF(B72="","",(1-IF(C72=1,0,IF(C72=2,nch1_,IF(C72=3,nch1_+nch2_,nch1_+nch2_+nch3_)))-(INDEX(pileN,C72)+1)/2)*INDEX(pileS,C72))</f>
        <v>-4.8000000000000007</v>
      </c>
    </row>
    <row r="73" spans="2:9" x14ac:dyDescent="0.3">
      <c r="B73" s="14">
        <f>IF(2&lt;=ncoc,2,"")</f>
        <v>2</v>
      </c>
      <c r="C73" s="14">
        <f>IF(2&lt;=nch1_,1,IF(2&lt;=nch1_+nch2_,2,IF(2&lt;=nch1_+nch2_+nch3_,3,IF(2&lt;=ncoc,4,""))))</f>
        <v>1</v>
      </c>
      <c r="D73" s="13">
        <f t="shared" si="2"/>
        <v>-1.8</v>
      </c>
      <c r="E73" s="13">
        <f>IF(B73="","",(2-IF(C73=1,0,IF(C73=2,nch1_,IF(C73=3,nch1_+nch2_,nch1_+nch2_+nch3_)))-(INDEX(pileN,C73)+1)/2)*INDEX(pileS,C73))</f>
        <v>-1.6</v>
      </c>
    </row>
    <row r="74" spans="2:9" x14ac:dyDescent="0.3">
      <c r="B74" s="14">
        <f>IF(3&lt;=ncoc,3,"")</f>
        <v>3</v>
      </c>
      <c r="C74" s="14">
        <f>IF(3&lt;=nch1_,1,IF(3&lt;=nch1_+nch2_,2,IF(3&lt;=nch1_+nch2_+nch3_,3,IF(3&lt;=ncoc,4,""))))</f>
        <v>1</v>
      </c>
      <c r="D74" s="13">
        <f t="shared" si="2"/>
        <v>-1.8</v>
      </c>
      <c r="E74" s="13">
        <f>IF(B74="","",(3-IF(C74=1,0,IF(C74=2,nch1_,IF(C74=3,nch1_+nch2_,nch1_+nch2_+nch3_)))-(INDEX(pileN,C74)+1)/2)*INDEX(pileS,C74))</f>
        <v>1.6</v>
      </c>
    </row>
    <row r="75" spans="2:9" x14ac:dyDescent="0.3">
      <c r="B75" s="14">
        <f>IF(4&lt;=ncoc,4,"")</f>
        <v>4</v>
      </c>
      <c r="C75" s="14">
        <f>IF(4&lt;=nch1_,1,IF(4&lt;=nch1_+nch2_,2,IF(4&lt;=nch1_+nch2_+nch3_,3,IF(4&lt;=ncoc,4,""))))</f>
        <v>1</v>
      </c>
      <c r="D75" s="13">
        <f t="shared" si="2"/>
        <v>-1.8</v>
      </c>
      <c r="E75" s="13">
        <f>IF(B75="","",(4-IF(C75=1,0,IF(C75=2,nch1_,IF(C75=3,nch1_+nch2_,nch1_+nch2_+nch3_)))-(INDEX(pileN,C75)+1)/2)*INDEX(pileS,C75))</f>
        <v>4.8000000000000007</v>
      </c>
    </row>
    <row r="76" spans="2:9" x14ac:dyDescent="0.3">
      <c r="B76" s="14">
        <f>IF(5&lt;=ncoc,5,"")</f>
        <v>5</v>
      </c>
      <c r="C76" s="14">
        <f>IF(5&lt;=nch1_,1,IF(5&lt;=nch1_+nch2_,2,IF(5&lt;=nch1_+nch2_+nch3_,3,IF(5&lt;=ncoc,4,""))))</f>
        <v>2</v>
      </c>
      <c r="D76" s="13">
        <f t="shared" si="2"/>
        <v>1.8</v>
      </c>
      <c r="E76" s="13">
        <f>IF(B76="","",(5-IF(C76=1,0,IF(C76=2,nch1_,IF(C76=3,nch1_+nch2_,nch1_+nch2_+nch3_)))-(INDEX(pileN,C76)+1)/2)*INDEX(pileS,C76))</f>
        <v>-4.8000000000000007</v>
      </c>
    </row>
    <row r="77" spans="2:9" x14ac:dyDescent="0.3">
      <c r="B77" s="14">
        <f>IF(6&lt;=ncoc,6,"")</f>
        <v>6</v>
      </c>
      <c r="C77" s="14">
        <f>IF(6&lt;=nch1_,1,IF(6&lt;=nch1_+nch2_,2,IF(6&lt;=nch1_+nch2_+nch3_,3,IF(6&lt;=ncoc,4,""))))</f>
        <v>2</v>
      </c>
      <c r="D77" s="13">
        <f t="shared" si="2"/>
        <v>1.8</v>
      </c>
      <c r="E77" s="13">
        <f>IF(B77="","",(6-IF(C77=1,0,IF(C77=2,nch1_,IF(C77=3,nch1_+nch2_,nch1_+nch2_+nch3_)))-(INDEX(pileN,C77)+1)/2)*INDEX(pileS,C77))</f>
        <v>-1.6</v>
      </c>
    </row>
    <row r="78" spans="2:9" x14ac:dyDescent="0.3">
      <c r="B78" s="14">
        <f>IF(7&lt;=ncoc,7,"")</f>
        <v>7</v>
      </c>
      <c r="C78" s="14">
        <f>IF(7&lt;=nch1_,1,IF(7&lt;=nch1_+nch2_,2,IF(7&lt;=nch1_+nch2_+nch3_,3,IF(7&lt;=ncoc,4,""))))</f>
        <v>2</v>
      </c>
      <c r="D78" s="13">
        <f t="shared" si="2"/>
        <v>1.8</v>
      </c>
      <c r="E78" s="13">
        <f>IF(B78="","",(7-IF(C78=1,0,IF(C78=2,nch1_,IF(C78=3,nch1_+nch2_,nch1_+nch2_+nch3_)))-(INDEX(pileN,C78)+1)/2)*INDEX(pileS,C78))</f>
        <v>1.6</v>
      </c>
    </row>
    <row r="79" spans="2:9" x14ac:dyDescent="0.3">
      <c r="B79" s="14">
        <f>IF(8&lt;=ncoc,8,"")</f>
        <v>8</v>
      </c>
      <c r="C79" s="14">
        <f>IF(8&lt;=nch1_,1,IF(8&lt;=nch1_+nch2_,2,IF(8&lt;=nch1_+nch2_+nch3_,3,IF(8&lt;=ncoc,4,""))))</f>
        <v>2</v>
      </c>
      <c r="D79" s="13">
        <f t="shared" si="2"/>
        <v>1.8</v>
      </c>
      <c r="E79" s="13">
        <f>IF(B79="","",(8-IF(C79=1,0,IF(C79=2,nch1_,IF(C79=3,nch1_+nch2_,nch1_+nch2_+nch3_)))-(INDEX(pileN,C79)+1)/2)*INDEX(pileS,C79))</f>
        <v>4.8000000000000007</v>
      </c>
    </row>
    <row r="80" spans="2:9" x14ac:dyDescent="0.3">
      <c r="B80" s="14" t="str">
        <f>IF(9&lt;=ncoc,9,"")</f>
        <v/>
      </c>
      <c r="C80" s="14" t="str">
        <f>IF(9&lt;=nch1_,1,IF(9&lt;=nch1_+nch2_,2,IF(9&lt;=nch1_+nch2_+nch3_,3,IF(9&lt;=ncoc,4,""))))</f>
        <v/>
      </c>
      <c r="D80" s="13" t="str">
        <f t="shared" si="2"/>
        <v/>
      </c>
      <c r="E80" s="13" t="str">
        <f>IF(B80="","",(9-IF(C80=1,0,IF(C80=2,nch1_,IF(C80=3,nch1_+nch2_,nch1_+nch2_+nch3_)))-(INDEX(pileN,C80)+1)/2)*INDEX(pileS,C80))</f>
        <v/>
      </c>
    </row>
    <row r="81" spans="2:64" x14ac:dyDescent="0.3">
      <c r="B81" s="14" t="str">
        <f>IF(10&lt;=ncoc,10,"")</f>
        <v/>
      </c>
      <c r="C81" s="14" t="str">
        <f>IF(10&lt;=nch1_,1,IF(10&lt;=nch1_+nch2_,2,IF(10&lt;=nch1_+nch2_+nch3_,3,IF(10&lt;=ncoc,4,""))))</f>
        <v/>
      </c>
      <c r="D81" s="13" t="str">
        <f t="shared" si="2"/>
        <v/>
      </c>
      <c r="E81" s="13" t="str">
        <f>IF(B81="","",(10-IF(C81=1,0,IF(C81=2,nch1_,IF(C81=3,nch1_+nch2_,nch1_+nch2_+nch3_)))-(INDEX(pileN,C81)+1)/2)*INDEX(pileS,C81))</f>
        <v/>
      </c>
    </row>
    <row r="82" spans="2:64" x14ac:dyDescent="0.3">
      <c r="B82" s="14" t="str">
        <f>IF(11&lt;=ncoc,11,"")</f>
        <v/>
      </c>
      <c r="C82" s="14" t="str">
        <f>IF(11&lt;=nch1_,1,IF(11&lt;=nch1_+nch2_,2,IF(11&lt;=nch1_+nch2_+nch3_,3,IF(11&lt;=ncoc,4,""))))</f>
        <v/>
      </c>
      <c r="D82" s="13" t="str">
        <f t="shared" si="2"/>
        <v/>
      </c>
      <c r="E82" s="13" t="str">
        <f>IF(B82="","",(11-IF(C82=1,0,IF(C82=2,nch1_,IF(C82=3,nch1_+nch2_,nch1_+nch2_+nch3_)))-(INDEX(pileN,C82)+1)/2)*INDEX(pileS,C82))</f>
        <v/>
      </c>
    </row>
    <row r="83" spans="2:64" x14ac:dyDescent="0.3">
      <c r="B83" s="14" t="str">
        <f>IF(12&lt;=ncoc,12,"")</f>
        <v/>
      </c>
      <c r="C83" s="14" t="str">
        <f>IF(12&lt;=nch1_,1,IF(12&lt;=nch1_+nch2_,2,IF(12&lt;=nch1_+nch2_+nch3_,3,IF(12&lt;=ncoc,4,""))))</f>
        <v/>
      </c>
      <c r="D83" s="13" t="str">
        <f t="shared" si="2"/>
        <v/>
      </c>
      <c r="E83" s="13" t="str">
        <f>IF(B83="","",(12-IF(C83=1,0,IF(C83=2,nch1_,IF(C83=3,nch1_+nch2_,nch1_+nch2_+nch3_)))-(INDEX(pileN,C83)+1)/2)*INDEX(pileS,C83))</f>
        <v/>
      </c>
    </row>
    <row r="84" spans="2:64" x14ac:dyDescent="0.3">
      <c r="B84" s="14" t="str">
        <f>IF(13&lt;=ncoc,13,"")</f>
        <v/>
      </c>
      <c r="C84" s="14" t="str">
        <f>IF(13&lt;=nch1_,1,IF(13&lt;=nch1_+nch2_,2,IF(13&lt;=nch1_+nch2_+nch3_,3,IF(13&lt;=ncoc,4,""))))</f>
        <v/>
      </c>
      <c r="D84" s="13" t="str">
        <f t="shared" si="2"/>
        <v/>
      </c>
      <c r="E84" s="13" t="str">
        <f>IF(B84="","",(13-IF(C84=1,0,IF(C84=2,nch1_,IF(C84=3,nch1_+nch2_,nch1_+nch2_+nch3_)))-(INDEX(pileN,C84)+1)/2)*INDEX(pileS,C84))</f>
        <v/>
      </c>
    </row>
    <row r="85" spans="2:64" x14ac:dyDescent="0.3">
      <c r="B85" s="14" t="str">
        <f>IF(14&lt;=ncoc,14,"")</f>
        <v/>
      </c>
      <c r="C85" s="14" t="str">
        <f>IF(14&lt;=nch1_,1,IF(14&lt;=nch1_+nch2_,2,IF(14&lt;=nch1_+nch2_+nch3_,3,IF(14&lt;=ncoc,4,""))))</f>
        <v/>
      </c>
      <c r="D85" s="13" t="str">
        <f t="shared" si="2"/>
        <v/>
      </c>
      <c r="E85" s="13" t="str">
        <f>IF(B85="","",(14-IF(C85=1,0,IF(C85=2,nch1_,IF(C85=3,nch1_+nch2_,nch1_+nch2_+nch3_)))-(INDEX(pileN,C85)+1)/2)*INDEX(pileS,C85))</f>
        <v/>
      </c>
    </row>
    <row r="86" spans="2:64" x14ac:dyDescent="0.3">
      <c r="B86" s="14" t="str">
        <f>IF(15&lt;=ncoc,15,"")</f>
        <v/>
      </c>
      <c r="C86" s="14" t="str">
        <f>IF(15&lt;=nch1_,1,IF(15&lt;=nch1_+nch2_,2,IF(15&lt;=nch1_+nch2_+nch3_,3,IF(15&lt;=ncoc,4,""))))</f>
        <v/>
      </c>
      <c r="D86" s="13" t="str">
        <f t="shared" si="2"/>
        <v/>
      </c>
      <c r="E86" s="13" t="str">
        <f>IF(B86="","",(15-IF(C86=1,0,IF(C86=2,nch1_,IF(C86=3,nch1_+nch2_,nch1_+nch2_+nch3_)))-(INDEX(pileN,C86)+1)/2)*INDEX(pileS,C86))</f>
        <v/>
      </c>
    </row>
    <row r="87" spans="2:64" x14ac:dyDescent="0.3">
      <c r="B87" s="14" t="str">
        <f>IF(16&lt;=ncoc,16,"")</f>
        <v/>
      </c>
      <c r="C87" s="14" t="str">
        <f>IF(16&lt;=nch1_,1,IF(16&lt;=nch1_+nch2_,2,IF(16&lt;=nch1_+nch2_+nch3_,3,IF(16&lt;=ncoc,4,""))))</f>
        <v/>
      </c>
      <c r="D87" s="13" t="str">
        <f t="shared" si="2"/>
        <v/>
      </c>
      <c r="E87" s="13" t="str">
        <f>IF(B87="","",(16-IF(C87=1,0,IF(C87=2,nch1_,IF(C87=3,nch1_+nch2_,nch1_+nch2_+nch3_)))-(INDEX(pileN,C87)+1)/2)*INDEX(pileS,C87))</f>
        <v/>
      </c>
    </row>
    <row r="88" spans="2:64" x14ac:dyDescent="0.3">
      <c r="B88" s="14" t="str">
        <f>IF(17&lt;=ncoc,17,"")</f>
        <v/>
      </c>
      <c r="C88" s="14" t="str">
        <f>IF(17&lt;=nch1_,1,IF(17&lt;=nch1_+nch2_,2,IF(17&lt;=nch1_+nch2_+nch3_,3,IF(17&lt;=ncoc,4,""))))</f>
        <v/>
      </c>
      <c r="D88" s="13" t="str">
        <f t="shared" si="2"/>
        <v/>
      </c>
      <c r="E88" s="13" t="str">
        <f>IF(B88="","",(17-IF(C88=1,0,IF(C88=2,nch1_,IF(C88=3,nch1_+nch2_,nch1_+nch2_+nch3_)))-(INDEX(pileN,C88)+1)/2)*INDEX(pileS,C88))</f>
        <v/>
      </c>
    </row>
    <row r="89" spans="2:64" x14ac:dyDescent="0.3">
      <c r="B89" s="14" t="str">
        <f>IF(18&lt;=ncoc,18,"")</f>
        <v/>
      </c>
      <c r="C89" s="14" t="str">
        <f>IF(18&lt;=nch1_,1,IF(18&lt;=nch1_+nch2_,2,IF(18&lt;=nch1_+nch2_+nch3_,3,IF(18&lt;=ncoc,4,""))))</f>
        <v/>
      </c>
      <c r="D89" s="13" t="str">
        <f t="shared" si="2"/>
        <v/>
      </c>
      <c r="E89" s="13" t="str">
        <f>IF(B89="","",(18-IF(C89=1,0,IF(C89=2,nch1_,IF(C89=3,nch1_+nch2_,nch1_+nch2_+nch3_)))-(INDEX(pileN,C89)+1)/2)*INDEX(pileS,C89))</f>
        <v/>
      </c>
    </row>
    <row r="90" spans="2:64" x14ac:dyDescent="0.3">
      <c r="B90" s="14" t="str">
        <f>IF(19&lt;=ncoc,19,"")</f>
        <v/>
      </c>
      <c r="C90" s="14" t="str">
        <f>IF(19&lt;=nch1_,1,IF(19&lt;=nch1_+nch2_,2,IF(19&lt;=nch1_+nch2_+nch3_,3,IF(19&lt;=ncoc,4,""))))</f>
        <v/>
      </c>
      <c r="D90" s="13" t="str">
        <f t="shared" si="2"/>
        <v/>
      </c>
      <c r="E90" s="13" t="str">
        <f>IF(B90="","",(19-IF(C90=1,0,IF(C90=2,nch1_,IF(C90=3,nch1_+nch2_,nch1_+nch2_+nch3_)))-(INDEX(pileN,C90)+1)/2)*INDEX(pileS,C90))</f>
        <v/>
      </c>
    </row>
    <row r="91" spans="2:64" x14ac:dyDescent="0.3">
      <c r="B91" s="14" t="str">
        <f>IF(20&lt;=ncoc,20,"")</f>
        <v/>
      </c>
      <c r="C91" s="14" t="str">
        <f>IF(20&lt;=nch1_,1,IF(20&lt;=nch1_+nch2_,2,IF(20&lt;=nch1_+nch2_+nch3_,3,IF(20&lt;=ncoc,4,""))))</f>
        <v/>
      </c>
      <c r="D91" s="13" t="str">
        <f t="shared" si="2"/>
        <v/>
      </c>
      <c r="E91" s="13" t="str">
        <f>IF(B91="","",(20-IF(C91=1,0,IF(C91=2,nch1_,IF(C91=3,nch1_+nch2_,nch1_+nch2_+nch3_)))-(INDEX(pileN,C91)+1)/2)*INDEX(pileS,C91))</f>
        <v/>
      </c>
    </row>
    <row r="94" spans="2:64" x14ac:dyDescent="0.3">
      <c r="B94" s="5" t="s">
        <v>645</v>
      </c>
    </row>
    <row r="95" spans="2:64" x14ac:dyDescent="0.3">
      <c r="B95" s="18" t="s">
        <v>646</v>
      </c>
      <c r="C95" s="18" t="s">
        <v>647</v>
      </c>
      <c r="D95" s="18" t="s">
        <v>648</v>
      </c>
      <c r="E95" s="18" t="s">
        <v>649</v>
      </c>
      <c r="F95" s="18" t="s">
        <v>650</v>
      </c>
      <c r="G95" s="18" t="s">
        <v>651</v>
      </c>
      <c r="H95" s="18" t="s">
        <v>652</v>
      </c>
      <c r="I95" s="18" t="s">
        <v>653</v>
      </c>
      <c r="J95" s="18" t="s">
        <v>654</v>
      </c>
      <c r="K95" s="18" t="s">
        <v>655</v>
      </c>
      <c r="L95" s="18" t="s">
        <v>656</v>
      </c>
      <c r="M95" s="18" t="s">
        <v>657</v>
      </c>
      <c r="N95" s="18" t="s">
        <v>658</v>
      </c>
      <c r="O95" s="18" t="s">
        <v>659</v>
      </c>
      <c r="P95" s="18" t="s">
        <v>660</v>
      </c>
      <c r="Q95" s="18" t="s">
        <v>661</v>
      </c>
      <c r="R95" s="18" t="s">
        <v>662</v>
      </c>
      <c r="S95" s="18" t="s">
        <v>663</v>
      </c>
      <c r="T95" s="18" t="s">
        <v>664</v>
      </c>
      <c r="U95" s="18" t="s">
        <v>665</v>
      </c>
      <c r="V95" s="18" t="s">
        <v>666</v>
      </c>
      <c r="W95" s="18" t="s">
        <v>667</v>
      </c>
      <c r="X95" s="18" t="s">
        <v>668</v>
      </c>
      <c r="Y95" s="18" t="s">
        <v>669</v>
      </c>
      <c r="Z95" s="18" t="s">
        <v>670</v>
      </c>
      <c r="AA95" s="18" t="s">
        <v>671</v>
      </c>
      <c r="AB95" s="18" t="s">
        <v>672</v>
      </c>
      <c r="AC95" s="18" t="s">
        <v>673</v>
      </c>
      <c r="AD95" s="18" t="s">
        <v>674</v>
      </c>
      <c r="AE95" s="18" t="s">
        <v>675</v>
      </c>
      <c r="AF95" s="18" t="s">
        <v>676</v>
      </c>
      <c r="AG95" s="18" t="s">
        <v>677</v>
      </c>
      <c r="AH95" s="18" t="s">
        <v>678</v>
      </c>
      <c r="AI95" s="18" t="s">
        <v>679</v>
      </c>
      <c r="AJ95" s="18" t="s">
        <v>680</v>
      </c>
      <c r="AK95" s="18" t="s">
        <v>681</v>
      </c>
      <c r="AL95" s="18" t="s">
        <v>682</v>
      </c>
      <c r="AM95" s="18" t="s">
        <v>683</v>
      </c>
      <c r="AN95" s="18" t="s">
        <v>684</v>
      </c>
      <c r="AO95" s="18" t="s">
        <v>685</v>
      </c>
      <c r="AP95" s="18" t="s">
        <v>686</v>
      </c>
      <c r="AQ95" s="18" t="s">
        <v>687</v>
      </c>
      <c r="AR95" s="18" t="s">
        <v>688</v>
      </c>
      <c r="AS95" s="18" t="s">
        <v>689</v>
      </c>
      <c r="AT95" s="18" t="s">
        <v>690</v>
      </c>
      <c r="AU95" s="18" t="s">
        <v>691</v>
      </c>
      <c r="AV95" s="18" t="s">
        <v>692</v>
      </c>
      <c r="AW95" s="18" t="s">
        <v>693</v>
      </c>
      <c r="AX95" s="18" t="s">
        <v>694</v>
      </c>
      <c r="AY95" s="18" t="s">
        <v>695</v>
      </c>
      <c r="AZ95" s="18" t="s">
        <v>696</v>
      </c>
      <c r="BA95" s="18" t="s">
        <v>697</v>
      </c>
      <c r="BB95" s="18" t="s">
        <v>698</v>
      </c>
      <c r="BC95" s="18" t="s">
        <v>699</v>
      </c>
      <c r="BD95" s="18" t="s">
        <v>700</v>
      </c>
      <c r="BE95" s="18" t="s">
        <v>701</v>
      </c>
      <c r="BF95" s="18" t="s">
        <v>702</v>
      </c>
      <c r="BG95" s="18" t="s">
        <v>703</v>
      </c>
      <c r="BH95" s="18" t="s">
        <v>704</v>
      </c>
      <c r="BI95" s="18" t="s">
        <v>705</v>
      </c>
      <c r="BJ95" s="18" t="s">
        <v>706</v>
      </c>
      <c r="BK95" s="18" t="s">
        <v>707</v>
      </c>
      <c r="BL95" s="18" t="s">
        <v>708</v>
      </c>
    </row>
    <row r="96" spans="2:64" x14ac:dyDescent="0.3">
      <c r="B96" s="14">
        <f>IF(1&lt;=ncoc,1,"")</f>
        <v>1</v>
      </c>
      <c r="C96" s="51">
        <f>IF($B96="",0,IF(USE_TSPILE=1,C169,('TO HOP'!$E$131/ncoc+IF(SUMSQ($E$72:$E$91)=0,0,'TO HOP'!$F$131*$E72/SUMSQ($E$72:$E$91))+IF(SUMSQ($D$72:$D$91)=0,0,'TO HOP'!$G$131*$D72/SUMSQ($D$72:$D$91)))/9.81))</f>
        <v>45.498770757900218</v>
      </c>
      <c r="D96" s="51">
        <f>IF($B96="",0,IF(USE_TSPILE=1,D169,('TO HOP'!$E$132/ncoc+IF(SUMSQ($E$72:$E$91)=0,0,'TO HOP'!$F$132*$E72/SUMSQ($E$72:$E$91))+IF(SUMSQ($D$72:$D$91)=0,0,'TO HOP'!$G$132*$D72/SUMSQ($D$72:$D$91)))/9.81))</f>
        <v>76.048361327718226</v>
      </c>
      <c r="E96" s="51">
        <f>IF($B96="",0,IF(USE_TSPILE=1,E169,('TO HOP'!$E$133/ncoc+IF(SUMSQ($E$72:$E$91)=0,0,'TO HOP'!$F$133*$E72/SUMSQ($E$72:$E$91))+IF(SUMSQ($D$72:$D$91)=0,0,'TO HOP'!$G$133*$D72/SUMSQ($D$72:$D$91)))/9.81))</f>
        <v>86.069379240021249</v>
      </c>
      <c r="F96" s="51">
        <f>IF($B96="",0,IF(USE_TSPILE=1,F169,('TO HOP'!$E$134/ncoc+IF(SUMSQ($E$72:$E$91)=0,0,'TO HOP'!$F$134*$E72/SUMSQ($E$72:$E$91))+IF(SUMSQ($D$72:$D$91)=0,0,'TO HOP'!$G$134*$D72/SUMSQ($D$72:$D$91)))/9.81))</f>
        <v>71.585568690373748</v>
      </c>
      <c r="G96" s="51">
        <f>IF($B96="",0,IF(USE_TSPILE=1,G169,('TO HOP'!$E$135/ncoc+IF(SUMSQ($E$72:$E$91)=0,0,'TO HOP'!$F$135*$E72/SUMSQ($E$72:$E$91))+IF(SUMSQ($D$72:$D$91)=0,0,'TO HOP'!$G$135*$D72/SUMSQ($D$72:$D$91)))/9.81))</f>
        <v>73.647675355366857</v>
      </c>
      <c r="H96" s="51">
        <f>IF($B96="",0,IF(USE_TSPILE=1,H169,('TO HOP'!$E$136/ncoc+IF(SUMSQ($E$72:$E$91)=0,0,'TO HOP'!$F$136*$E72/SUMSQ($E$72:$E$91))+IF(SUMSQ($D$72:$D$91)=0,0,'TO HOP'!$G$136*$D72/SUMSQ($D$72:$D$91)))/9.81))</f>
        <v>67.433623593820414</v>
      </c>
      <c r="I96" s="51">
        <f>IF($B96="",0,IF(USE_TSPILE=1,I169,('TO HOP'!$E$137/ncoc+IF(SUMSQ($E$72:$E$91)=0,0,'TO HOP'!$F$137*$E72/SUMSQ($E$72:$E$91))+IF(SUMSQ($D$72:$D$91)=0,0,'TO HOP'!$G$137*$D72/SUMSQ($D$72:$D$91)))/9.81))</f>
        <v>-4.7948073726097391</v>
      </c>
      <c r="J96" s="51">
        <f>IF($B96="",0,IF(USE_TSPILE=1,J169,('TO HOP'!$E$138/ncoc+IF(SUMSQ($E$72:$E$91)=0,0,'TO HOP'!$F$138*$E72/SUMSQ($E$72:$E$91))+IF(SUMSQ($D$72:$D$91)=0,0,'TO HOP'!$G$138*$D72/SUMSQ($D$72:$D$91)))/9.81))</f>
        <v>4.9582825356471858</v>
      </c>
      <c r="K96" s="51">
        <f>IF($B96="",0,IF(USE_TSPILE=1,K169,('TO HOP'!$E$139/ncoc+IF(SUMSQ($E$72:$E$91)=0,0,'TO HOP'!$F$139*$E72/SUMSQ($E$72:$E$91))+IF(SUMSQ($D$72:$D$91)=0,0,'TO HOP'!$G$139*$D72/SUMSQ($D$72:$D$91)))/9.81))</f>
        <v>11.663531847573722</v>
      </c>
      <c r="L96" s="51">
        <f>IF($B96="",0,IF(USE_TSPILE=1,L169,('TO HOP'!$E$140/ncoc+IF(SUMSQ($E$72:$E$91)=0,0,'TO HOP'!$F$140*$E72/SUMSQ($E$72:$E$91))+IF(SUMSQ($D$72:$D$91)=0,0,'TO HOP'!$G$140*$D72/SUMSQ($D$72:$D$91)))/9.81))</f>
        <v>12.273099966839823</v>
      </c>
      <c r="M96" s="51">
        <f>IF($B96="",0,IF(USE_TSPILE=1,M169,('TO HOP'!$E$141/ncoc+IF(SUMSQ($E$72:$E$91)=0,0,'TO HOP'!$F$141*$E72/SUMSQ($E$72:$E$91))+IF(SUMSQ($D$72:$D$91)=0,0,'TO HOP'!$G$141*$D72/SUMSQ($D$72:$D$91)))/9.81))</f>
        <v>20.197485517298503</v>
      </c>
      <c r="N96" s="51">
        <f>IF($B96="",0,IF(USE_TSPILE=1,N169,('TO HOP'!$E$142/ncoc+IF(SUMSQ($E$72:$E$91)=0,0,'TO HOP'!$F$142*$E72/SUMSQ($E$72:$E$91))+IF(SUMSQ($D$72:$D$91)=0,0,'TO HOP'!$G$142*$D72/SUMSQ($D$72:$D$91)))/9.81))</f>
        <v>28.12187106775724</v>
      </c>
      <c r="O96" s="51">
        <f>IF($B96="",0,IF(USE_TSPILE=1,O169,('TO HOP'!$E$143/ncoc+IF(SUMSQ($E$72:$E$91)=0,0,'TO HOP'!$F$143*$E72/SUMSQ($E$72:$E$91))+IF(SUMSQ($D$72:$D$91)=0,0,'TO HOP'!$G$143*$D72/SUMSQ($D$72:$D$91)))/9.81))</f>
        <v>16.151832692476887</v>
      </c>
      <c r="P96" s="51">
        <f>IF($B96="",0,IF(USE_TSPILE=1,P169,('TO HOP'!$E$144/ncoc+IF(SUMSQ($E$72:$E$91)=0,0,'TO HOP'!$F$144*$E72/SUMSQ($E$72:$E$91))+IF(SUMSQ($D$72:$D$91)=0,0,'TO HOP'!$G$144*$D72/SUMSQ($D$72:$D$91)))/9.81))</f>
        <v>32.232889952158985</v>
      </c>
      <c r="Q96" s="51">
        <f>IF($B96="",0,IF(USE_TSPILE=1,Q169,('TO HOP'!$E$145/ncoc+IF(SUMSQ($E$72:$E$91)=0,0,'TO HOP'!$F$145*$E72/SUMSQ($E$72:$E$91))+IF(SUMSQ($D$72:$D$91)=0,0,'TO HOP'!$G$145*$D72/SUMSQ($D$72:$D$91)))/9.81))</f>
        <v>36.702170621370101</v>
      </c>
      <c r="R96" s="51">
        <f>IF($B96="",0,IF(USE_TSPILE=1,R169,('TO HOP'!$E$146/ncoc+IF(SUMSQ($E$72:$E$91)=0,0,'TO HOP'!$F$146*$E72/SUMSQ($E$72:$E$91))+IF(SUMSQ($D$72:$D$91)=0,0,'TO HOP'!$G$146*$D72/SUMSQ($D$72:$D$91)))/9.81))</f>
        <v>27.875295275860992</v>
      </c>
      <c r="S96" s="51">
        <f>IF($B96="",0,IF(USE_TSPILE=1,S169,('TO HOP'!$E$147/ncoc+IF(SUMSQ($E$72:$E$91)=0,0,'TO HOP'!$F$147*$E72/SUMSQ($E$72:$E$91))+IF(SUMSQ($D$72:$D$91)=0,0,'TO HOP'!$G$147*$D72/SUMSQ($D$72:$D$91)))/9.81))</f>
        <v>27.290983195797253</v>
      </c>
      <c r="T96" s="51">
        <f>IF($B96="",0,IF(USE_TSPILE=1,T169,('TO HOP'!$E$148/ncoc+IF(SUMSQ($E$72:$E$91)=0,0,'TO HOP'!$F$148*$E72/SUMSQ($E$72:$E$91))+IF(SUMSQ($D$72:$D$91)=0,0,'TO HOP'!$G$148*$D72/SUMSQ($D$72:$D$91)))/9.81))</f>
        <v>21.742972532622446</v>
      </c>
      <c r="U96" s="51">
        <f>IF($B96="",0,IF(USE_TSPILE=1,U169,('TO HOP'!$E$149/ncoc+IF(SUMSQ($E$72:$E$91)=0,0,'TO HOP'!$F$149*$E72/SUMSQ($E$72:$E$91))+IF(SUMSQ($D$72:$D$91)=0,0,'TO HOP'!$G$149*$D72/SUMSQ($D$72:$D$91)))/9.81))</f>
        <v>238.88145535602732</v>
      </c>
      <c r="V96" s="51">
        <f>IF($B96="",0,IF(USE_TSPILE=1,V169,('TO HOP'!$E$150/ncoc+IF(SUMSQ($E$72:$E$91)=0,0,'TO HOP'!$F$150*$E72/SUMSQ($E$72:$E$91))+IF(SUMSQ($D$72:$D$91)=0,0,'TO HOP'!$G$150*$D72/SUMSQ($D$72:$D$91)))/9.81))</f>
        <v>292.34323885320885</v>
      </c>
      <c r="W96" s="51">
        <f>IF($B96="",0,IF(USE_TSPILE=1,W169,('TO HOP'!$E$151/ncoc+IF(SUMSQ($E$72:$E$91)=0,0,'TO HOP'!$F$151*$E72/SUMSQ($E$72:$E$91))+IF(SUMSQ($D$72:$D$91)=0,0,'TO HOP'!$G$151*$D72/SUMSQ($D$72:$D$91)))/9.81))</f>
        <v>309.88002019973908</v>
      </c>
      <c r="X96" s="51">
        <f>IF($B96="",0,IF(USE_TSPILE=1,X169,('TO HOP'!$E$152/ncoc+IF(SUMSQ($E$72:$E$91)=0,0,'TO HOP'!$F$152*$E72/SUMSQ($E$72:$E$91))+IF(SUMSQ($D$72:$D$91)=0,0,'TO HOP'!$G$152*$D72/SUMSQ($D$72:$D$91)))/9.81))</f>
        <v>284.53335173785592</v>
      </c>
      <c r="Y96" s="51">
        <f>IF($B96="",0,IF(USE_TSPILE=1,Y169,('TO HOP'!$E$153/ncoc+IF(SUMSQ($E$72:$E$91)=0,0,'TO HOP'!$F$153*$E72/SUMSQ($E$72:$E$91))+IF(SUMSQ($D$72:$D$91)=0,0,'TO HOP'!$G$153*$D72/SUMSQ($D$72:$D$91)))/9.81))</f>
        <v>288.14203840159394</v>
      </c>
      <c r="Z96" s="51">
        <f>IF($B96="",0,IF(USE_TSPILE=1,Z169,('TO HOP'!$E$154/ncoc+IF(SUMSQ($E$72:$E$91)=0,0,'TO HOP'!$F$154*$E72/SUMSQ($E$72:$E$91))+IF(SUMSQ($D$72:$D$91)=0,0,'TO HOP'!$G$154*$D72/SUMSQ($D$72:$D$91)))/9.81))</f>
        <v>277.2674478188876</v>
      </c>
      <c r="AA96" s="51">
        <f>IF($B96="",0,IF(USE_TSPILE=1,AA169,('TO HOP'!$E$155/ncoc+IF(SUMSQ($E$72:$E$91)=0,0,'TO HOP'!$F$155*$E72/SUMSQ($E$72:$E$91))+IF(SUMSQ($D$72:$D$91)=0,0,'TO HOP'!$G$155*$D72/SUMSQ($D$72:$D$91)))/9.81))</f>
        <v>150.86769362763479</v>
      </c>
      <c r="AB96" s="51">
        <f>IF($B96="",0,IF(USE_TSPILE=1,AB169,('TO HOP'!$E$156/ncoc+IF(SUMSQ($E$72:$E$91)=0,0,'TO HOP'!$F$156*$E72/SUMSQ($E$72:$E$91))+IF(SUMSQ($D$72:$D$91)=0,0,'TO HOP'!$G$156*$D72/SUMSQ($D$72:$D$91)))/9.81))</f>
        <v>167.93560096708435</v>
      </c>
      <c r="AC96" s="51">
        <f>IF($B96="",0,IF(USE_TSPILE=1,AC169,('TO HOP'!$E$157/ncoc+IF(SUMSQ($E$72:$E$91)=0,0,'TO HOP'!$F$157*$E72/SUMSQ($E$72:$E$91))+IF(SUMSQ($D$72:$D$91)=0,0,'TO HOP'!$G$157*$D72/SUMSQ($D$72:$D$91)))/9.81))</f>
        <v>179.66978726295591</v>
      </c>
      <c r="AD96" s="51">
        <f>IF($B96="",0,IF(USE_TSPILE=1,AD169,('TO HOP'!$E$158/ncoc+IF(SUMSQ($E$72:$E$91)=0,0,'TO HOP'!$F$158*$E72/SUMSQ($E$72:$E$91))+IF(SUMSQ($D$72:$D$91)=0,0,'TO HOP'!$G$158*$D72/SUMSQ($D$72:$D$91)))/9.81))</f>
        <v>180.7365314716715</v>
      </c>
      <c r="AE96" s="51">
        <f>IF($B96="",0,IF(USE_TSPILE=1,AE169,('TO HOP'!$E$159/ncoc+IF(SUMSQ($E$72:$E$91)=0,0,'TO HOP'!$F$159*$E72/SUMSQ($E$72:$E$91))+IF(SUMSQ($D$72:$D$91)=0,0,'TO HOP'!$G$159*$D72/SUMSQ($D$72:$D$91)))/9.81))</f>
        <v>194.60420618497423</v>
      </c>
      <c r="AF96" s="51">
        <f>IF($B96="",0,IF(USE_TSPILE=1,AF169,('TO HOP'!$E$160/ncoc+IF(SUMSQ($E$72:$E$91)=0,0,'TO HOP'!$F$160*$E72/SUMSQ($E$72:$E$91))+IF(SUMSQ($D$72:$D$91)=0,0,'TO HOP'!$G$160*$D72/SUMSQ($D$72:$D$91)))/9.81))</f>
        <v>208.47188089827696</v>
      </c>
      <c r="AG96" s="51">
        <f>IF($B96="",0,IF(USE_TSPILE=1,AG169,('TO HOP'!$E$161/ncoc+IF(SUMSQ($E$72:$E$91)=0,0,'TO HOP'!$F$161*$E72/SUMSQ($E$72:$E$91))+IF(SUMSQ($D$72:$D$91)=0,0,'TO HOP'!$G$161*$D72/SUMSQ($D$72:$D$91)))/9.81))</f>
        <v>187.52431374153633</v>
      </c>
      <c r="AH96" s="51">
        <f>IF($B96="",0,IF(USE_TSPILE=1,AH169,('TO HOP'!$E$162/ncoc+IF(SUMSQ($E$72:$E$91)=0,0,'TO HOP'!$F$162*$E72/SUMSQ($E$72:$E$91))+IF(SUMSQ($D$72:$D$91)=0,0,'TO HOP'!$G$162*$D72/SUMSQ($D$72:$D$91)))/9.81))</f>
        <v>215.66616394598017</v>
      </c>
      <c r="AI96" s="51">
        <f>IF($B96="",0,IF(USE_TSPILE=1,AI169,('TO HOP'!$E$163/ncoc+IF(SUMSQ($E$72:$E$91)=0,0,'TO HOP'!$F$163*$E72/SUMSQ($E$72:$E$91))+IF(SUMSQ($D$72:$D$91)=0,0,'TO HOP'!$G$163*$D72/SUMSQ($D$72:$D$91)))/9.81))</f>
        <v>223.48740511709954</v>
      </c>
      <c r="AJ96" s="51">
        <f>IF($B96="",0,IF(USE_TSPILE=1,AJ169,('TO HOP'!$E$164/ncoc+IF(SUMSQ($E$72:$E$91)=0,0,'TO HOP'!$F$164*$E72/SUMSQ($E$72:$E$91))+IF(SUMSQ($D$72:$D$91)=0,0,'TO HOP'!$G$164*$D72/SUMSQ($D$72:$D$91)))/9.81))</f>
        <v>208.04037326245859</v>
      </c>
      <c r="AK96" s="51">
        <f>IF($B96="",0,IF(USE_TSPILE=1,AK169,('TO HOP'!$E$165/ncoc+IF(SUMSQ($E$72:$E$91)=0,0,'TO HOP'!$F$165*$E72/SUMSQ($E$72:$E$91))+IF(SUMSQ($D$72:$D$91)=0,0,'TO HOP'!$G$165*$D72/SUMSQ($D$72:$D$91)))/9.81))</f>
        <v>207.01782712234714</v>
      </c>
      <c r="AL96" s="51">
        <f>IF($B96="",0,IF(USE_TSPILE=1,AL169,('TO HOP'!$E$166/ncoc+IF(SUMSQ($E$72:$E$91)=0,0,'TO HOP'!$F$166*$E72/SUMSQ($E$72:$E$91))+IF(SUMSQ($D$72:$D$91)=0,0,'TO HOP'!$G$166*$D72/SUMSQ($D$72:$D$91)))/9.81))</f>
        <v>197.30880846179119</v>
      </c>
      <c r="AM96" s="51">
        <f>IF($B96="",0,IF(USE_TSPILE=1,AM169,('TO HOP'!$E$167/ncoc+IF(SUMSQ($E$72:$E$91)=0,0,'TO HOP'!$F$167*$E72/SUMSQ($E$72:$E$91))+IF(SUMSQ($D$72:$D$91)=0,0,'TO HOP'!$G$167*$D72/SUMSQ($D$72:$D$91)))/9.81))</f>
        <v>130.64098204363719</v>
      </c>
      <c r="AN96" s="51">
        <f>IF($B96="",0,IF(USE_TSPILE=1,AN169,('TO HOP'!$E$168/ncoc+IF(SUMSQ($E$72:$E$91)=0,0,'TO HOP'!$F$168*$E72/SUMSQ($E$72:$E$91))+IF(SUMSQ($D$72:$D$91)=0,0,'TO HOP'!$G$168*$D72/SUMSQ($D$72:$D$91)))/9.81))</f>
        <v>184.10276554081869</v>
      </c>
      <c r="AO96" s="51">
        <f>IF($B96="",0,IF(USE_TSPILE=1,AO169,('TO HOP'!$E$169/ncoc+IF(SUMSQ($E$72:$E$91)=0,0,'TO HOP'!$F$169*$E72/SUMSQ($E$72:$E$91))+IF(SUMSQ($D$72:$D$91)=0,0,'TO HOP'!$G$169*$D72/SUMSQ($D$72:$D$91)))/9.81))</f>
        <v>201.63954688734904</v>
      </c>
      <c r="AP96" s="51">
        <f>IF($B96="",0,IF(USE_TSPILE=1,AP169,('TO HOP'!$E$170/ncoc+IF(SUMSQ($E$72:$E$91)=0,0,'TO HOP'!$F$170*$E72/SUMSQ($E$72:$E$91))+IF(SUMSQ($D$72:$D$91)=0,0,'TO HOP'!$G$170*$D72/SUMSQ($D$72:$D$91)))/9.81))</f>
        <v>176.29287842546583</v>
      </c>
      <c r="AQ96" s="51">
        <f>IF($B96="",0,IF(USE_TSPILE=1,AQ169,('TO HOP'!$E$171/ncoc+IF(SUMSQ($E$72:$E$91)=0,0,'TO HOP'!$F$171*$E72/SUMSQ($E$72:$E$91))+IF(SUMSQ($D$72:$D$91)=0,0,'TO HOP'!$G$171*$D72/SUMSQ($D$72:$D$91)))/9.81))</f>
        <v>179.90156508920384</v>
      </c>
      <c r="AR96" s="51">
        <f>IF($B96="",0,IF(USE_TSPILE=1,AR169,('TO HOP'!$E$172/ncoc+IF(SUMSQ($E$72:$E$91)=0,0,'TO HOP'!$F$172*$E72/SUMSQ($E$72:$E$91))+IF(SUMSQ($D$72:$D$91)=0,0,'TO HOP'!$G$172*$D72/SUMSQ($D$72:$D$91)))/9.81))</f>
        <v>169.02697450649745</v>
      </c>
      <c r="AS96" s="51">
        <f>IF($B96="",0,IF(USE_TSPILE=1,AS169,('TO HOP'!$E$173/ncoc+IF(SUMSQ($E$72:$E$91)=0,0,'TO HOP'!$F$173*$E72/SUMSQ($E$72:$E$91))+IF(SUMSQ($D$72:$D$91)=0,0,'TO HOP'!$G$173*$D72/SUMSQ($D$72:$D$91)))/9.81))</f>
        <v>79.283840429146323</v>
      </c>
      <c r="AT96" s="51">
        <f>IF($B96="",0,IF(USE_TSPILE=1,AT169,('TO HOP'!$E$174/ncoc+IF(SUMSQ($E$72:$E$91)=0,0,'TO HOP'!$F$174*$E72/SUMSQ($E$72:$E$91))+IF(SUMSQ($D$72:$D$91)=0,0,'TO HOP'!$G$174*$D72/SUMSQ($D$72:$D$91)))/9.81))</f>
        <v>107.42569063359016</v>
      </c>
      <c r="AU96" s="51">
        <f>IF($B96="",0,IF(USE_TSPILE=1,AU169,('TO HOP'!$E$175/ncoc+IF(SUMSQ($E$72:$E$91)=0,0,'TO HOP'!$F$175*$E72/SUMSQ($E$72:$E$91))+IF(SUMSQ($D$72:$D$91)=0,0,'TO HOP'!$G$175*$D72/SUMSQ($D$72:$D$91)))/9.81))</f>
        <v>115.24693180470953</v>
      </c>
      <c r="AV96" s="51">
        <f>IF($B96="",0,IF(USE_TSPILE=1,AV169,('TO HOP'!$E$176/ncoc+IF(SUMSQ($E$72:$E$91)=0,0,'TO HOP'!$F$176*$E72/SUMSQ($E$72:$E$91))+IF(SUMSQ($D$72:$D$91)=0,0,'TO HOP'!$G$176*$D72/SUMSQ($D$72:$D$91)))/9.81))</f>
        <v>99.799899950068522</v>
      </c>
      <c r="AW96" s="51">
        <f>IF($B96="",0,IF(USE_TSPILE=1,AW169,('TO HOP'!$E$177/ncoc+IF(SUMSQ($E$72:$E$91)=0,0,'TO HOP'!$F$177*$E72/SUMSQ($E$72:$E$91))+IF(SUMSQ($D$72:$D$91)=0,0,'TO HOP'!$G$177*$D72/SUMSQ($D$72:$D$91)))/9.81))</f>
        <v>98.777353809957134</v>
      </c>
      <c r="AX96" s="51">
        <f>IF($B96="",0,IF(USE_TSPILE=1,AX169,('TO HOP'!$E$178/ncoc+IF(SUMSQ($E$72:$E$91)=0,0,'TO HOP'!$F$178*$E72/SUMSQ($E$72:$E$91))+IF(SUMSQ($D$72:$D$91)=0,0,'TO HOP'!$G$178*$D72/SUMSQ($D$72:$D$91)))/9.81))</f>
        <v>89.068335149401122</v>
      </c>
      <c r="AY96" s="51">
        <f>IF($B96="",0,IF(USE_TSPILE=1,AY169,('TO HOP'!$E$179/ncoc+IF(SUMSQ($E$72:$E$91)=0,0,'TO HOP'!$F$179*$E72/SUMSQ($E$72:$E$91))+IF(SUMSQ($D$72:$D$91)=0,0,'TO HOP'!$G$179*$D72/SUMSQ($D$72:$D$91)))/9.81))</f>
        <v>168.19036221542362</v>
      </c>
      <c r="AZ96" s="51">
        <f>IF($B96="",0,IF(USE_TSPILE=1,AZ169,('TO HOP'!$E$180/ncoc+IF(SUMSQ($E$72:$E$91)=0,0,'TO HOP'!$F$180*$E72/SUMSQ($E$72:$E$91))+IF(SUMSQ($D$72:$D$91)=0,0,'TO HOP'!$G$180*$D72/SUMSQ($D$72:$D$91)))/9.81))</f>
        <v>59.949888903033525</v>
      </c>
      <c r="BA96" s="51">
        <f>IF($B96="",0,IF(USE_TSPILE=1,BA169,('TO HOP'!$E$181/ncoc+IF(SUMSQ($E$72:$E$91)=0,0,'TO HOP'!$F$181*$E72/SUMSQ($E$72:$E$91))+IF(SUMSQ($D$72:$D$91)=0,0,'TO HOP'!$G$181*$D72/SUMSQ($D$72:$D$91)))/9.81))</f>
        <v>227.97390065175574</v>
      </c>
      <c r="BB96" s="51">
        <f>IF($B96="",0,IF(USE_TSPILE=1,BB169,('TO HOP'!$E$182/ncoc+IF(SUMSQ($E$72:$E$91)=0,0,'TO HOP'!$F$182*$E72/SUMSQ($E$72:$E$91))+IF(SUMSQ($D$72:$D$91)=0,0,'TO HOP'!$G$182*$D72/SUMSQ($D$72:$D$91)))/9.81))</f>
        <v>269.21584792100998</v>
      </c>
      <c r="BC96" s="51">
        <f>IF($B96="",0,IF(USE_TSPILE=1,BC169,('TO HOP'!$E$183/ncoc+IF(SUMSQ($E$72:$E$91)=0,0,'TO HOP'!$F$183*$E72/SUMSQ($E$72:$E$91))+IF(SUMSQ($D$72:$D$91)=0,0,'TO HOP'!$G$183*$D72/SUMSQ($D$72:$D$91)))/9.81))</f>
        <v>282.74422210261912</v>
      </c>
      <c r="BD96" s="51">
        <f>IF($B96="",0,IF(USE_TSPILE=1,BD169,('TO HOP'!$E$184/ncoc+IF(SUMSQ($E$72:$E$91)=0,0,'TO HOP'!$F$184*$E72/SUMSQ($E$72:$E$91))+IF(SUMSQ($D$72:$D$91)=0,0,'TO HOP'!$G$184*$D72/SUMSQ($D$72:$D$91)))/9.81))</f>
        <v>263.19107786059493</v>
      </c>
      <c r="BE96" s="51">
        <f>IF($B96="",0,IF(USE_TSPILE=1,BE169,('TO HOP'!$E$185/ncoc+IF(SUMSQ($E$72:$E$91)=0,0,'TO HOP'!$F$185*$E72/SUMSQ($E$72:$E$91))+IF(SUMSQ($D$72:$D$91)=0,0,'TO HOP'!$G$185*$D72/SUMSQ($D$72:$D$91)))/9.81))</f>
        <v>265.97492185833579</v>
      </c>
      <c r="BF96" s="51">
        <f>IF($B96="",0,IF(USE_TSPILE=1,BF169,('TO HOP'!$E$186/ncoc+IF(SUMSQ($E$72:$E$91)=0,0,'TO HOP'!$F$186*$E72/SUMSQ($E$72:$E$91))+IF(SUMSQ($D$72:$D$91)=0,0,'TO HOP'!$G$186*$D72/SUMSQ($D$72:$D$91)))/9.81))</f>
        <v>257.58595198024801</v>
      </c>
      <c r="BG96" s="51">
        <f>IF($B96="",0,IF(USE_TSPILE=1,BG169,('TO HOP'!$E$187/ncoc+IF(SUMSQ($E$72:$E$91)=0,0,'TO HOP'!$F$187*$E72/SUMSQ($E$72:$E$91))+IF(SUMSQ($D$72:$D$91)=0,0,'TO HOP'!$G$187*$D72/SUMSQ($D$72:$D$91)))/9.81))</f>
        <v>103.87389775468051</v>
      </c>
      <c r="BH96" s="51">
        <f>IF($B96="",0,IF(USE_TSPILE=1,BH169,('TO HOP'!$E$188/ncoc+IF(SUMSQ($E$72:$E$91)=0,0,'TO HOP'!$F$188*$E72/SUMSQ($E$72:$E$91))+IF(SUMSQ($D$72:$D$91)=0,0,'TO HOP'!$G$188*$D72/SUMSQ($D$72:$D$91)))/9.81))</f>
        <v>236.20969807105749</v>
      </c>
      <c r="BI96" s="51">
        <f>IF($B96="",0,IF(USE_TSPILE=1,BI169,('TO HOP'!$E$189/ncoc+IF(SUMSQ($E$72:$E$91)=0,0,'TO HOP'!$F$189*$E72/SUMSQ($E$72:$E$91))+IF(SUMSQ($D$72:$D$91)=0,0,'TO HOP'!$G$189*$D72/SUMSQ($D$72:$D$91)))/9.81))</f>
        <v>250.93331103195018</v>
      </c>
      <c r="BJ96" s="51">
        <f>IF($B96="",0,IF(USE_TSPILE=1,BJ169,('TO HOP'!$E$190/ncoc+IF(SUMSQ($E$72:$E$91)=0,0,'TO HOP'!$F$190*$E72/SUMSQ($E$72:$E$91))+IF(SUMSQ($D$72:$D$91)=0,0,'TO HOP'!$G$190*$D72/SUMSQ($D$72:$D$91)))/9.81))</f>
        <v>313.76340948494351</v>
      </c>
      <c r="BK96" s="51">
        <f>IF($B96="",0,IF(USE_TSPILE=1,BK169,('TO HOP'!$E$191/ncoc+IF(SUMSQ($E$72:$E$91)=0,0,'TO HOP'!$F$191*$E72/SUMSQ($E$72:$E$91))+IF(SUMSQ($D$72:$D$91)=0,0,'TO HOP'!$G$191*$D72/SUMSQ($D$72:$D$91)))/9.81))</f>
        <v>315.27159232971547</v>
      </c>
      <c r="BL96" s="51">
        <f>IF($B96="",0,IF(USE_TSPILE=1,BL169,('TO HOP'!$E$192/ncoc+IF(SUMSQ($E$72:$E$91)=0,0,'TO HOP'!$F$192*$E72/SUMSQ($E$72:$E$91))+IF(SUMSQ($D$72:$D$91)=0,0,'TO HOP'!$G$192*$D72/SUMSQ($D$72:$D$91)))/9.81))</f>
        <v>315.27159232971547</v>
      </c>
    </row>
    <row r="97" spans="2:64" x14ac:dyDescent="0.3">
      <c r="B97" s="14">
        <f>IF(2&lt;=ncoc,2,"")</f>
        <v>2</v>
      </c>
      <c r="C97" s="51">
        <f>IF($B97="",0,IF(USE_TSPILE=1,C170,('TO HOP'!$E$131/ncoc+IF(SUMSQ($E$72:$E$91)=0,0,'TO HOP'!$F$131*$E73/SUMSQ($E$72:$E$91))+IF(SUMSQ($D$72:$D$91)=0,0,'TO HOP'!$G$131*$D73/SUMSQ($D$72:$D$91)))/9.81))</f>
        <v>7.7662541580854167</v>
      </c>
      <c r="D97" s="51">
        <f>IF($B97="",0,IF(USE_TSPILE=1,D170,('TO HOP'!$E$132/ncoc+IF(SUMSQ($E$72:$E$91)=0,0,'TO HOP'!$F$132*$E73/SUMSQ($E$72:$E$91))+IF(SUMSQ($D$72:$D$91)=0,0,'TO HOP'!$G$132*$D73/SUMSQ($D$72:$D$91)))/9.81))</f>
        <v>24.45151095352935</v>
      </c>
      <c r="E97" s="51">
        <f>IF($B97="",0,IF(USE_TSPILE=1,E170,('TO HOP'!$E$133/ncoc+IF(SUMSQ($E$72:$E$91)=0,0,'TO HOP'!$F$133*$E73/SUMSQ($E$72:$E$91))+IF(SUMSQ($D$72:$D$91)=0,0,'TO HOP'!$G$133*$D73/SUMSQ($D$72:$D$91)))/9.81))</f>
        <v>32.262016465581382</v>
      </c>
      <c r="F97" s="51">
        <f>IF($B97="",0,IF(USE_TSPILE=1,F170,('TO HOP'!$E$134/ncoc+IF(SUMSQ($E$72:$E$91)=0,0,'TO HOP'!$F$134*$E73/SUMSQ($E$72:$E$91))+IF(SUMSQ($D$72:$D$91)=0,0,'TO HOP'!$G$134*$D73/SUMSQ($D$72:$D$91)))/9.81))</f>
        <v>27.840458361876301</v>
      </c>
      <c r="G97" s="51">
        <f>IF($B97="",0,IF(USE_TSPILE=1,G170,('TO HOP'!$E$135/ncoc+IF(SUMSQ($E$72:$E$91)=0,0,'TO HOP'!$F$135*$E73/SUMSQ($E$72:$E$91))+IF(SUMSQ($D$72:$D$91)=0,0,'TO HOP'!$G$135*$D73/SUMSQ($D$72:$D$91)))/9.81))</f>
        <v>33.810750950513125</v>
      </c>
      <c r="H97" s="51">
        <f>IF($B97="",0,IF(USE_TSPILE=1,H170,('TO HOP'!$E$136/ncoc+IF(SUMSQ($E$72:$E$91)=0,0,'TO HOP'!$F$136*$E73/SUMSQ($E$72:$E$91))+IF(SUMSQ($D$72:$D$91)=0,0,'TO HOP'!$G$136*$D73/SUMSQ($D$72:$D$91)))/9.81))</f>
        <v>37.022324063636802</v>
      </c>
      <c r="I97" s="51">
        <f>IF($B97="",0,IF(USE_TSPILE=1,I170,('TO HOP'!$E$137/ncoc+IF(SUMSQ($E$72:$E$91)=0,0,'TO HOP'!$F$137*$E73/SUMSQ($E$72:$E$91))+IF(SUMSQ($D$72:$D$91)=0,0,'TO HOP'!$G$137*$D73/SUMSQ($D$72:$D$91)))/9.81))</f>
        <v>-8.9982718854179211</v>
      </c>
      <c r="J97" s="51">
        <f>IF($B97="",0,IF(USE_TSPILE=1,J170,('TO HOP'!$E$138/ncoc+IF(SUMSQ($E$72:$E$91)=0,0,'TO HOP'!$F$138*$E73/SUMSQ($E$72:$E$91))+IF(SUMSQ($D$72:$D$91)=0,0,'TO HOP'!$G$138*$D73/SUMSQ($D$72:$D$91)))/9.81))</f>
        <v>0.75481802283900379</v>
      </c>
      <c r="K97" s="51">
        <f>IF($B97="",0,IF(USE_TSPILE=1,K170,('TO HOP'!$E$139/ncoc+IF(SUMSQ($E$72:$E$91)=0,0,'TO HOP'!$F$139*$E73/SUMSQ($E$72:$E$91))+IF(SUMSQ($D$72:$D$91)=0,0,'TO HOP'!$G$139*$D73/SUMSQ($D$72:$D$91)))/9.81))</f>
        <v>7.4600673347655402</v>
      </c>
      <c r="L97" s="51">
        <f>IF($B97="",0,IF(USE_TSPILE=1,L170,('TO HOP'!$E$140/ncoc+IF(SUMSQ($E$72:$E$91)=0,0,'TO HOP'!$F$140*$E73/SUMSQ($E$72:$E$91))+IF(SUMSQ($D$72:$D$91)=0,0,'TO HOP'!$G$140*$D73/SUMSQ($D$72:$D$91)))/9.81))</f>
        <v>8.0696354540316406</v>
      </c>
      <c r="M97" s="51">
        <f>IF($B97="",0,IF(USE_TSPILE=1,M170,('TO HOP'!$E$141/ncoc+IF(SUMSQ($E$72:$E$91)=0,0,'TO HOP'!$F$141*$E73/SUMSQ($E$72:$E$91))+IF(SUMSQ($D$72:$D$91)=0,0,'TO HOP'!$G$141*$D73/SUMSQ($D$72:$D$91)))/9.81))</f>
        <v>15.994021004490321</v>
      </c>
      <c r="N97" s="51">
        <f>IF($B97="",0,IF(USE_TSPILE=1,N170,('TO HOP'!$E$142/ncoc+IF(SUMSQ($E$72:$E$91)=0,0,'TO HOP'!$F$142*$E73/SUMSQ($E$72:$E$91))+IF(SUMSQ($D$72:$D$91)=0,0,'TO HOP'!$G$142*$D73/SUMSQ($D$72:$D$91)))/9.81))</f>
        <v>23.918406554949058</v>
      </c>
      <c r="O97" s="51">
        <f>IF($B97="",0,IF(USE_TSPILE=1,O170,('TO HOP'!$E$143/ncoc+IF(SUMSQ($E$72:$E$91)=0,0,'TO HOP'!$F$143*$E73/SUMSQ($E$72:$E$91))+IF(SUMSQ($D$72:$D$91)=0,0,'TO HOP'!$G$143*$D73/SUMSQ($D$72:$D$91)))/9.81))</f>
        <v>-8.1609747980633642</v>
      </c>
      <c r="P97" s="51">
        <f>IF($B97="",0,IF(USE_TSPILE=1,P170,('TO HOP'!$E$144/ncoc+IF(SUMSQ($E$72:$E$91)=0,0,'TO HOP'!$F$144*$E73/SUMSQ($E$72:$E$91))+IF(SUMSQ($D$72:$D$91)=0,0,'TO HOP'!$G$144*$D73/SUMSQ($D$72:$D$91)))/9.81))</f>
        <v>-0.39517328444770783</v>
      </c>
      <c r="Q97" s="51">
        <f>IF($B97="",0,IF(USE_TSPILE=1,Q170,('TO HOP'!$E$145/ncoc+IF(SUMSQ($E$72:$E$91)=0,0,'TO HOP'!$F$145*$E73/SUMSQ($E$72:$E$91))+IF(SUMSQ($D$72:$D$91)=0,0,'TO HOP'!$G$145*$D73/SUMSQ($D$72:$D$91)))/9.81))</f>
        <v>2.7483331905563659</v>
      </c>
      <c r="R97" s="51">
        <f>IF($B97="",0,IF(USE_TSPILE=1,R170,('TO HOP'!$E$146/ncoc+IF(SUMSQ($E$72:$E$91)=0,0,'TO HOP'!$F$146*$E73/SUMSQ($E$72:$E$91))+IF(SUMSQ($D$72:$D$91)=0,0,'TO HOP'!$G$146*$D73/SUMSQ($D$72:$D$91)))/9.81))</f>
        <v>-4.3618022922373711E-2</v>
      </c>
      <c r="S97" s="51">
        <f>IF($B97="",0,IF(USE_TSPILE=1,S170,('TO HOP'!$E$147/ncoc+IF(SUMSQ($E$72:$E$91)=0,0,'TO HOP'!$F$147*$E73/SUMSQ($E$72:$E$91))+IF(SUMSQ($D$72:$D$91)=0,0,'TO HOP'!$G$147*$D73/SUMSQ($D$72:$D$91)))/9.81))</f>
        <v>1.7160386723718943</v>
      </c>
      <c r="T97" s="51">
        <f>IF($B97="",0,IF(USE_TSPILE=1,T170,('TO HOP'!$E$148/ncoc+IF(SUMSQ($E$72:$E$91)=0,0,'TO HOP'!$F$148*$E73/SUMSQ($E$72:$E$91))+IF(SUMSQ($D$72:$D$91)=0,0,'TO HOP'!$G$148*$D73/SUMSQ($D$72:$D$91)))/9.81))</f>
        <v>1.8211291732958443</v>
      </c>
      <c r="U97" s="51">
        <f>IF($B97="",0,IF(USE_TSPILE=1,U170,('TO HOP'!$E$149/ncoc+IF(SUMSQ($E$72:$E$91)=0,0,'TO HOP'!$F$149*$E73/SUMSQ($E$72:$E$91))+IF(SUMSQ($D$72:$D$91)=0,0,'TO HOP'!$G$149*$D73/SUMSQ($D$72:$D$91)))/9.81))</f>
        <v>180.20561420376563</v>
      </c>
      <c r="V97" s="51">
        <f>IF($B97="",0,IF(USE_TSPILE=1,V170,('TO HOP'!$E$150/ncoc+IF(SUMSQ($E$72:$E$91)=0,0,'TO HOP'!$F$150*$E73/SUMSQ($E$72:$E$91))+IF(SUMSQ($D$72:$D$91)=0,0,'TO HOP'!$G$150*$D73/SUMSQ($D$72:$D$91)))/9.81))</f>
        <v>209.40481359579249</v>
      </c>
      <c r="W97" s="51">
        <f>IF($B97="",0,IF(USE_TSPILE=1,W170,('TO HOP'!$E$151/ncoc+IF(SUMSQ($E$72:$E$91)=0,0,'TO HOP'!$F$151*$E73/SUMSQ($E$72:$E$91))+IF(SUMSQ($D$72:$D$91)=0,0,'TO HOP'!$G$151*$D73/SUMSQ($D$72:$D$91)))/9.81))</f>
        <v>223.07319824188366</v>
      </c>
      <c r="X97" s="51">
        <f>IF($B97="",0,IF(USE_TSPILE=1,X170,('TO HOP'!$E$152/ncoc+IF(SUMSQ($E$72:$E$91)=0,0,'TO HOP'!$F$152*$E73/SUMSQ($E$72:$E$91))+IF(SUMSQ($D$72:$D$91)=0,0,'TO HOP'!$G$152*$D73/SUMSQ($D$72:$D$91)))/9.81))</f>
        <v>215.33547156039961</v>
      </c>
      <c r="Y97" s="51">
        <f>IF($B97="",0,IF(USE_TSPILE=1,Y170,('TO HOP'!$E$153/ncoc+IF(SUMSQ($E$72:$E$91)=0,0,'TO HOP'!$F$153*$E73/SUMSQ($E$72:$E$91))+IF(SUMSQ($D$72:$D$91)=0,0,'TO HOP'!$G$153*$D73/SUMSQ($D$72:$D$91)))/9.81))</f>
        <v>225.78348359051412</v>
      </c>
      <c r="Z97" s="51">
        <f>IF($B97="",0,IF(USE_TSPILE=1,Z170,('TO HOP'!$E$154/ncoc+IF(SUMSQ($E$72:$E$91)=0,0,'TO HOP'!$F$154*$E73/SUMSQ($E$72:$E$91))+IF(SUMSQ($D$72:$D$91)=0,0,'TO HOP'!$G$154*$D73/SUMSQ($D$72:$D$91)))/9.81))</f>
        <v>231.4037365384805</v>
      </c>
      <c r="AA97" s="51">
        <f>IF($B97="",0,IF(USE_TSPILE=1,AA170,('TO HOP'!$E$155/ncoc+IF(SUMSQ($E$72:$E$91)=0,0,'TO HOP'!$F$155*$E73/SUMSQ($E$72:$E$91))+IF(SUMSQ($D$72:$D$91)=0,0,'TO HOP'!$G$155*$D73/SUMSQ($D$72:$D$91)))/9.81))</f>
        <v>150.86769362763479</v>
      </c>
      <c r="AB97" s="51">
        <f>IF($B97="",0,IF(USE_TSPILE=1,AB170,('TO HOP'!$E$156/ncoc+IF(SUMSQ($E$72:$E$91)=0,0,'TO HOP'!$F$156*$E73/SUMSQ($E$72:$E$91))+IF(SUMSQ($D$72:$D$91)=0,0,'TO HOP'!$G$156*$D73/SUMSQ($D$72:$D$91)))/9.81))</f>
        <v>167.93560096708435</v>
      </c>
      <c r="AC97" s="51">
        <f>IF($B97="",0,IF(USE_TSPILE=1,AC170,('TO HOP'!$E$157/ncoc+IF(SUMSQ($E$72:$E$91)=0,0,'TO HOP'!$F$157*$E73/SUMSQ($E$72:$E$91))+IF(SUMSQ($D$72:$D$91)=0,0,'TO HOP'!$G$157*$D73/SUMSQ($D$72:$D$91)))/9.81))</f>
        <v>179.66978726295591</v>
      </c>
      <c r="AD97" s="51">
        <f>IF($B97="",0,IF(USE_TSPILE=1,AD170,('TO HOP'!$E$158/ncoc+IF(SUMSQ($E$72:$E$91)=0,0,'TO HOP'!$F$158*$E73/SUMSQ($E$72:$E$91))+IF(SUMSQ($D$72:$D$91)=0,0,'TO HOP'!$G$158*$D73/SUMSQ($D$72:$D$91)))/9.81))</f>
        <v>180.7365314716715</v>
      </c>
      <c r="AE97" s="51">
        <f>IF($B97="",0,IF(USE_TSPILE=1,AE170,('TO HOP'!$E$159/ncoc+IF(SUMSQ($E$72:$E$91)=0,0,'TO HOP'!$F$159*$E73/SUMSQ($E$72:$E$91))+IF(SUMSQ($D$72:$D$91)=0,0,'TO HOP'!$G$159*$D73/SUMSQ($D$72:$D$91)))/9.81))</f>
        <v>194.60420618497423</v>
      </c>
      <c r="AF97" s="51">
        <f>IF($B97="",0,IF(USE_TSPILE=1,AF170,('TO HOP'!$E$160/ncoc+IF(SUMSQ($E$72:$E$91)=0,0,'TO HOP'!$F$160*$E73/SUMSQ($E$72:$E$91))+IF(SUMSQ($D$72:$D$91)=0,0,'TO HOP'!$G$160*$D73/SUMSQ($D$72:$D$91)))/9.81))</f>
        <v>208.47188089827696</v>
      </c>
      <c r="AG97" s="51">
        <f>IF($B97="",0,IF(USE_TSPILE=1,AG170,('TO HOP'!$E$161/ncoc+IF(SUMSQ($E$72:$E$91)=0,0,'TO HOP'!$F$161*$E73/SUMSQ($E$72:$E$91))+IF(SUMSQ($D$72:$D$91)=0,0,'TO HOP'!$G$161*$D73/SUMSQ($D$72:$D$91)))/9.81))</f>
        <v>152.3329635305052</v>
      </c>
      <c r="AH97" s="51">
        <f>IF($B97="",0,IF(USE_TSPILE=1,AH170,('TO HOP'!$E$162/ncoc+IF(SUMSQ($E$72:$E$91)=0,0,'TO HOP'!$F$162*$E73/SUMSQ($E$72:$E$91))+IF(SUMSQ($D$72:$D$91)=0,0,'TO HOP'!$G$162*$D73/SUMSQ($D$72:$D$91)))/9.81))</f>
        <v>165.92311617933277</v>
      </c>
      <c r="AI97" s="51">
        <f>IF($B97="",0,IF(USE_TSPILE=1,AI170,('TO HOP'!$E$163/ncoc+IF(SUMSQ($E$72:$E$91)=0,0,'TO HOP'!$F$163*$E73/SUMSQ($E$72:$E$91))+IF(SUMSQ($D$72:$D$91)=0,0,'TO HOP'!$G$163*$D73/SUMSQ($D$72:$D$91)))/9.81))</f>
        <v>171.42425251058987</v>
      </c>
      <c r="AJ97" s="51">
        <f>IF($B97="",0,IF(USE_TSPILE=1,AJ170,('TO HOP'!$E$164/ncoc+IF(SUMSQ($E$72:$E$91)=0,0,'TO HOP'!$F$164*$E73/SUMSQ($E$72:$E$91))+IF(SUMSQ($D$72:$D$91)=0,0,'TO HOP'!$G$164*$D73/SUMSQ($D$72:$D$91)))/9.81))</f>
        <v>166.53833788700203</v>
      </c>
      <c r="AK97" s="51">
        <f>IF($B97="",0,IF(USE_TSPILE=1,AK170,('TO HOP'!$E$165/ncoc+IF(SUMSQ($E$72:$E$91)=0,0,'TO HOP'!$F$165*$E73/SUMSQ($E$72:$E$91))+IF(SUMSQ($D$72:$D$91)=0,0,'TO HOP'!$G$165*$D73/SUMSQ($D$72:$D$91)))/9.81))</f>
        <v>169.6177371037671</v>
      </c>
      <c r="AL97" s="51">
        <f>IF($B97="",0,IF(USE_TSPILE=1,AL170,('TO HOP'!$E$166/ncoc+IF(SUMSQ($E$72:$E$91)=0,0,'TO HOP'!$F$166*$E73/SUMSQ($E$72:$E$91))+IF(SUMSQ($D$72:$D$91)=0,0,'TO HOP'!$G$166*$D73/SUMSQ($D$72:$D$91)))/9.81))</f>
        <v>169.80164548038394</v>
      </c>
      <c r="AM97" s="51">
        <f>IF($B97="",0,IF(USE_TSPILE=1,AM170,('TO HOP'!$E$167/ncoc+IF(SUMSQ($E$72:$E$91)=0,0,'TO HOP'!$F$167*$E73/SUMSQ($E$72:$E$91))+IF(SUMSQ($D$72:$D$91)=0,0,'TO HOP'!$G$167*$D73/SUMSQ($D$72:$D$91)))/9.81))</f>
        <v>71.965140891375569</v>
      </c>
      <c r="AN97" s="51">
        <f>IF($B97="",0,IF(USE_TSPILE=1,AN170,('TO HOP'!$E$168/ncoc+IF(SUMSQ($E$72:$E$91)=0,0,'TO HOP'!$F$168*$E73/SUMSQ($E$72:$E$91))+IF(SUMSQ($D$72:$D$91)=0,0,'TO HOP'!$G$168*$D73/SUMSQ($D$72:$D$91)))/9.81))</f>
        <v>101.16434028340242</v>
      </c>
      <c r="AO97" s="51">
        <f>IF($B97="",0,IF(USE_TSPILE=1,AO170,('TO HOP'!$E$169/ncoc+IF(SUMSQ($E$72:$E$91)=0,0,'TO HOP'!$F$169*$E73/SUMSQ($E$72:$E$91))+IF(SUMSQ($D$72:$D$91)=0,0,'TO HOP'!$G$169*$D73/SUMSQ($D$72:$D$91)))/9.81))</f>
        <v>114.83272492949359</v>
      </c>
      <c r="AP97" s="51">
        <f>IF($B97="",0,IF(USE_TSPILE=1,AP170,('TO HOP'!$E$170/ncoc+IF(SUMSQ($E$72:$E$91)=0,0,'TO HOP'!$F$170*$E73/SUMSQ($E$72:$E$91))+IF(SUMSQ($D$72:$D$91)=0,0,'TO HOP'!$G$170*$D73/SUMSQ($D$72:$D$91)))/9.81))</f>
        <v>107.09499824800955</v>
      </c>
      <c r="AQ97" s="51">
        <f>IF($B97="",0,IF(USE_TSPILE=1,AQ170,('TO HOP'!$E$171/ncoc+IF(SUMSQ($E$72:$E$91)=0,0,'TO HOP'!$F$171*$E73/SUMSQ($E$72:$E$91))+IF(SUMSQ($D$72:$D$91)=0,0,'TO HOP'!$G$171*$D73/SUMSQ($D$72:$D$91)))/9.81))</f>
        <v>117.54301027812406</v>
      </c>
      <c r="AR97" s="51">
        <f>IF($B97="",0,IF(USE_TSPILE=1,AR170,('TO HOP'!$E$172/ncoc+IF(SUMSQ($E$72:$E$91)=0,0,'TO HOP'!$F$172*$E73/SUMSQ($E$72:$E$91))+IF(SUMSQ($D$72:$D$91)=0,0,'TO HOP'!$G$172*$D73/SUMSQ($D$72:$D$91)))/9.81))</f>
        <v>123.16326322609044</v>
      </c>
      <c r="AS97" s="51">
        <f>IF($B97="",0,IF(USE_TSPILE=1,AS170,('TO HOP'!$E$173/ncoc+IF(SUMSQ($E$72:$E$91)=0,0,'TO HOP'!$F$173*$E73/SUMSQ($E$72:$E$91))+IF(SUMSQ($D$72:$D$91)=0,0,'TO HOP'!$G$173*$D73/SUMSQ($D$72:$D$91)))/9.81))</f>
        <v>44.092490218115188</v>
      </c>
      <c r="AT97" s="51">
        <f>IF($B97="",0,IF(USE_TSPILE=1,AT170,('TO HOP'!$E$174/ncoc+IF(SUMSQ($E$72:$E$91)=0,0,'TO HOP'!$F$174*$E73/SUMSQ($E$72:$E$91))+IF(SUMSQ($D$72:$D$91)=0,0,'TO HOP'!$G$174*$D73/SUMSQ($D$72:$D$91)))/9.81))</f>
        <v>57.682642866942757</v>
      </c>
      <c r="AU97" s="51">
        <f>IF($B97="",0,IF(USE_TSPILE=1,AU170,('TO HOP'!$E$175/ncoc+IF(SUMSQ($E$72:$E$91)=0,0,'TO HOP'!$F$175*$E73/SUMSQ($E$72:$E$91))+IF(SUMSQ($D$72:$D$91)=0,0,'TO HOP'!$G$175*$D73/SUMSQ($D$72:$D$91)))/9.81))</f>
        <v>63.183779198199858</v>
      </c>
      <c r="AV97" s="51">
        <f>IF($B97="",0,IF(USE_TSPILE=1,AV170,('TO HOP'!$E$176/ncoc+IF(SUMSQ($E$72:$E$91)=0,0,'TO HOP'!$F$176*$E73/SUMSQ($E$72:$E$91))+IF(SUMSQ($D$72:$D$91)=0,0,'TO HOP'!$G$176*$D73/SUMSQ($D$72:$D$91)))/9.81))</f>
        <v>58.297864574611964</v>
      </c>
      <c r="AW97" s="51">
        <f>IF($B97="",0,IF(USE_TSPILE=1,AW170,('TO HOP'!$E$177/ncoc+IF(SUMSQ($E$72:$E$91)=0,0,'TO HOP'!$F$177*$E73/SUMSQ($E$72:$E$91))+IF(SUMSQ($D$72:$D$91)=0,0,'TO HOP'!$G$177*$D73/SUMSQ($D$72:$D$91)))/9.81))</f>
        <v>61.377263791377089</v>
      </c>
      <c r="AX97" s="51">
        <f>IF($B97="",0,IF(USE_TSPILE=1,AX170,('TO HOP'!$E$178/ncoc+IF(SUMSQ($E$72:$E$91)=0,0,'TO HOP'!$F$178*$E73/SUMSQ($E$72:$E$91))+IF(SUMSQ($D$72:$D$91)=0,0,'TO HOP'!$G$178*$D73/SUMSQ($D$72:$D$91)))/9.81))</f>
        <v>61.561172167993931</v>
      </c>
      <c r="AY97" s="51">
        <f>IF($B97="",0,IF(USE_TSPILE=1,AY170,('TO HOP'!$E$179/ncoc+IF(SUMSQ($E$72:$E$91)=0,0,'TO HOP'!$F$179*$E73/SUMSQ($E$72:$E$91))+IF(SUMSQ($D$72:$D$91)=0,0,'TO HOP'!$G$179*$D73/SUMSQ($D$72:$D$91)))/9.81))</f>
        <v>156.32163695215277</v>
      </c>
      <c r="AZ97" s="51">
        <f>IF($B97="",0,IF(USE_TSPILE=1,AZ170,('TO HOP'!$E$180/ncoc+IF(SUMSQ($E$72:$E$91)=0,0,'TO HOP'!$F$180*$E73/SUMSQ($E$72:$E$91))+IF(SUMSQ($D$72:$D$91)=0,0,'TO HOP'!$G$180*$D73/SUMSQ($D$72:$D$91)))/9.81))</f>
        <v>48.081163639762707</v>
      </c>
      <c r="BA97" s="51">
        <f>IF($B97="",0,IF(USE_TSPILE=1,BA170,('TO HOP'!$E$181/ncoc+IF(SUMSQ($E$72:$E$91)=0,0,'TO HOP'!$F$181*$E73/SUMSQ($E$72:$E$91))+IF(SUMSQ($D$72:$D$91)=0,0,'TO HOP'!$G$181*$D73/SUMSQ($D$72:$D$91)))/9.81))</f>
        <v>177.69008510342167</v>
      </c>
      <c r="BB97" s="51">
        <f>IF($B97="",0,IF(USE_TSPILE=1,BB170,('TO HOP'!$E$182/ncoc+IF(SUMSQ($E$72:$E$91)=0,0,'TO HOP'!$F$182*$E73/SUMSQ($E$72:$E$91))+IF(SUMSQ($D$72:$D$91)=0,0,'TO HOP'!$G$182*$D73/SUMSQ($D$72:$D$91)))/9.81))</f>
        <v>200.21518177727097</v>
      </c>
      <c r="BC97" s="51">
        <f>IF($B97="",0,IF(USE_TSPILE=1,BC170,('TO HOP'!$E$183/ncoc+IF(SUMSQ($E$72:$E$91)=0,0,'TO HOP'!$F$183*$E73/SUMSQ($E$72:$E$91))+IF(SUMSQ($D$72:$D$91)=0,0,'TO HOP'!$G$183*$D73/SUMSQ($D$72:$D$91)))/9.81))</f>
        <v>210.75936421854129</v>
      </c>
      <c r="BD97" s="51">
        <f>IF($B97="",0,IF(USE_TSPILE=1,BD170,('TO HOP'!$E$184/ncoc+IF(SUMSQ($E$72:$E$91)=0,0,'TO HOP'!$F$184*$E73/SUMSQ($E$72:$E$91))+IF(SUMSQ($D$72:$D$91)=0,0,'TO HOP'!$G$184*$D73/SUMSQ($D$72:$D$91)))/9.81))</f>
        <v>204.79026077853933</v>
      </c>
      <c r="BE97" s="51">
        <f>IF($B97="",0,IF(USE_TSPILE=1,BE170,('TO HOP'!$E$185/ncoc+IF(SUMSQ($E$72:$E$91)=0,0,'TO HOP'!$F$185*$E73/SUMSQ($E$72:$E$91))+IF(SUMSQ($D$72:$D$91)=0,0,'TO HOP'!$G$185*$D73/SUMSQ($D$72:$D$91)))/9.81))</f>
        <v>212.85015577319916</v>
      </c>
      <c r="BF97" s="51">
        <f>IF($B97="",0,IF(USE_TSPILE=1,BF170,('TO HOP'!$E$186/ncoc+IF(SUMSQ($E$72:$E$91)=0,0,'TO HOP'!$F$186*$E73/SUMSQ($E$72:$E$91))+IF(SUMSQ($D$72:$D$91)=0,0,'TO HOP'!$G$186*$D73/SUMSQ($D$72:$D$91)))/9.81))</f>
        <v>217.18577947591609</v>
      </c>
      <c r="BG97" s="51">
        <f>IF($B97="",0,IF(USE_TSPILE=1,BG170,('TO HOP'!$E$187/ncoc+IF(SUMSQ($E$72:$E$91)=0,0,'TO HOP'!$F$187*$E73/SUMSQ($E$72:$E$91))+IF(SUMSQ($D$72:$D$91)=0,0,'TO HOP'!$G$187*$D73/SUMSQ($D$72:$D$91)))/9.81))</f>
        <v>80.297542167996198</v>
      </c>
      <c r="BH97" s="51">
        <f>IF($B97="",0,IF(USE_TSPILE=1,BH170,('TO HOP'!$E$188/ncoc+IF(SUMSQ($E$72:$E$91)=0,0,'TO HOP'!$F$188*$E73/SUMSQ($E$72:$E$91))+IF(SUMSQ($D$72:$D$91)=0,0,'TO HOP'!$G$188*$D73/SUMSQ($D$72:$D$91)))/9.81))</f>
        <v>188.19765363571454</v>
      </c>
      <c r="BI97" s="51">
        <f>IF($B97="",0,IF(USE_TSPILE=1,BI170,('TO HOP'!$E$189/ncoc+IF(SUMSQ($E$72:$E$91)=0,0,'TO HOP'!$F$189*$E73/SUMSQ($E$72:$E$91))+IF(SUMSQ($D$72:$D$91)=0,0,'TO HOP'!$G$189*$D73/SUMSQ($D$72:$D$91)))/9.81))</f>
        <v>237.82939352326244</v>
      </c>
      <c r="BJ97" s="51">
        <f>IF($B97="",0,IF(USE_TSPILE=1,BJ170,('TO HOP'!$E$190/ncoc+IF(SUMSQ($E$72:$E$91)=0,0,'TO HOP'!$F$190*$E73/SUMSQ($E$72:$E$91))+IF(SUMSQ($D$72:$D$91)=0,0,'TO HOP'!$G$190*$D73/SUMSQ($D$72:$D$91)))/9.81))</f>
        <v>301.66494720610376</v>
      </c>
      <c r="BK97" s="51">
        <f>IF($B97="",0,IF(USE_TSPILE=1,BK170,('TO HOP'!$E$191/ncoc+IF(SUMSQ($E$72:$E$91)=0,0,'TO HOP'!$F$191*$E73/SUMSQ($E$72:$E$91))+IF(SUMSQ($D$72:$D$91)=0,0,'TO HOP'!$G$191*$D73/SUMSQ($D$72:$D$91)))/9.81))</f>
        <v>302.16767482102773</v>
      </c>
      <c r="BL97" s="51">
        <f>IF($B97="",0,IF(USE_TSPILE=1,BL170,('TO HOP'!$E$192/ncoc+IF(SUMSQ($E$72:$E$91)=0,0,'TO HOP'!$F$192*$E73/SUMSQ($E$72:$E$91))+IF(SUMSQ($D$72:$D$91)=0,0,'TO HOP'!$G$192*$D73/SUMSQ($D$72:$D$91)))/9.81))</f>
        <v>302.16767482102773</v>
      </c>
    </row>
    <row r="98" spans="2:64" x14ac:dyDescent="0.3">
      <c r="B98" s="14">
        <f>IF(3&lt;=ncoc,3,"")</f>
        <v>3</v>
      </c>
      <c r="C98" s="51">
        <f>IF($B98="",0,IF(USE_TSPILE=1,C171,('TO HOP'!$E$131/ncoc+IF(SUMSQ($E$72:$E$91)=0,0,'TO HOP'!$F$131*$E74/SUMSQ($E$72:$E$91))+IF(SUMSQ($D$72:$D$91)=0,0,'TO HOP'!$G$131*$D74/SUMSQ($D$72:$D$91)))/9.81))</f>
        <v>-29.966262441729441</v>
      </c>
      <c r="D98" s="51">
        <f>IF($B98="",0,IF(USE_TSPILE=1,D171,('TO HOP'!$E$132/ncoc+IF(SUMSQ($E$72:$E$91)=0,0,'TO HOP'!$F$132*$E74/SUMSQ($E$72:$E$91))+IF(SUMSQ($D$72:$D$91)=0,0,'TO HOP'!$G$132*$D74/SUMSQ($D$72:$D$91)))/9.81))</f>
        <v>-27.145339420659525</v>
      </c>
      <c r="E98" s="51">
        <f>IF($B98="",0,IF(USE_TSPILE=1,E171,('TO HOP'!$E$133/ncoc+IF(SUMSQ($E$72:$E$91)=0,0,'TO HOP'!$F$133*$E74/SUMSQ($E$72:$E$91))+IF(SUMSQ($D$72:$D$91)=0,0,'TO HOP'!$G$133*$D74/SUMSQ($D$72:$D$91)))/9.81))</f>
        <v>-21.545346308858484</v>
      </c>
      <c r="F98" s="51">
        <f>IF($B98="",0,IF(USE_TSPILE=1,F171,('TO HOP'!$E$134/ncoc+IF(SUMSQ($E$72:$E$91)=0,0,'TO HOP'!$F$134*$E74/SUMSQ($E$72:$E$91))+IF(SUMSQ($D$72:$D$91)=0,0,'TO HOP'!$G$134*$D74/SUMSQ($D$72:$D$91)))/9.81))</f>
        <v>-15.904651966621202</v>
      </c>
      <c r="G98" s="51">
        <f>IF($B98="",0,IF(USE_TSPILE=1,G171,('TO HOP'!$E$135/ncoc+IF(SUMSQ($E$72:$E$91)=0,0,'TO HOP'!$F$135*$E74/SUMSQ($E$72:$E$91))+IF(SUMSQ($D$72:$D$91)=0,0,'TO HOP'!$G$135*$D74/SUMSQ($D$72:$D$91)))/9.81))</f>
        <v>-6.0261734543406646</v>
      </c>
      <c r="H98" s="51">
        <f>IF($B98="",0,IF(USE_TSPILE=1,H171,('TO HOP'!$E$136/ncoc+IF(SUMSQ($E$72:$E$91)=0,0,'TO HOP'!$F$136*$E74/SUMSQ($E$72:$E$91))+IF(SUMSQ($D$72:$D$91)=0,0,'TO HOP'!$G$136*$D74/SUMSQ($D$72:$D$91)))/9.81))</f>
        <v>6.6110245334531328</v>
      </c>
      <c r="I98" s="51">
        <f>IF($B98="",0,IF(USE_TSPILE=1,I171,('TO HOP'!$E$137/ncoc+IF(SUMSQ($E$72:$E$91)=0,0,'TO HOP'!$F$137*$E74/SUMSQ($E$72:$E$91))+IF(SUMSQ($D$72:$D$91)=0,0,'TO HOP'!$G$137*$D74/SUMSQ($D$72:$D$91)))/9.81))</f>
        <v>-13.201736398226103</v>
      </c>
      <c r="J98" s="51">
        <f>IF($B98="",0,IF(USE_TSPILE=1,J171,('TO HOP'!$E$138/ncoc+IF(SUMSQ($E$72:$E$91)=0,0,'TO HOP'!$F$138*$E74/SUMSQ($E$72:$E$91))+IF(SUMSQ($D$72:$D$91)=0,0,'TO HOP'!$G$138*$D74/SUMSQ($D$72:$D$91)))/9.81))</f>
        <v>-3.4486464899691782</v>
      </c>
      <c r="K98" s="51">
        <f>IF($B98="",0,IF(USE_TSPILE=1,K171,('TO HOP'!$E$139/ncoc+IF(SUMSQ($E$72:$E$91)=0,0,'TO HOP'!$F$139*$E74/SUMSQ($E$72:$E$91))+IF(SUMSQ($D$72:$D$91)=0,0,'TO HOP'!$G$139*$D74/SUMSQ($D$72:$D$91)))/9.81))</f>
        <v>3.2566028219573582</v>
      </c>
      <c r="L98" s="51">
        <f>IF($B98="",0,IF(USE_TSPILE=1,L171,('TO HOP'!$E$140/ncoc+IF(SUMSQ($E$72:$E$91)=0,0,'TO HOP'!$F$140*$E74/SUMSQ($E$72:$E$91))+IF(SUMSQ($D$72:$D$91)=0,0,'TO HOP'!$G$140*$D74/SUMSQ($D$72:$D$91)))/9.81))</f>
        <v>3.8661709412234586</v>
      </c>
      <c r="M98" s="51">
        <f>IF($B98="",0,IF(USE_TSPILE=1,M171,('TO HOP'!$E$141/ncoc+IF(SUMSQ($E$72:$E$91)=0,0,'TO HOP'!$F$141*$E74/SUMSQ($E$72:$E$91))+IF(SUMSQ($D$72:$D$91)=0,0,'TO HOP'!$G$141*$D74/SUMSQ($D$72:$D$91)))/9.81))</f>
        <v>11.790556491682139</v>
      </c>
      <c r="N98" s="51">
        <f>IF($B98="",0,IF(USE_TSPILE=1,N171,('TO HOP'!$E$142/ncoc+IF(SUMSQ($E$72:$E$91)=0,0,'TO HOP'!$F$142*$E74/SUMSQ($E$72:$E$91))+IF(SUMSQ($D$72:$D$91)=0,0,'TO HOP'!$G$142*$D74/SUMSQ($D$72:$D$91)))/9.81))</f>
        <v>19.714942042140876</v>
      </c>
      <c r="O98" s="51">
        <f>IF($B98="",0,IF(USE_TSPILE=1,O171,('TO HOP'!$E$143/ncoc+IF(SUMSQ($E$72:$E$91)=0,0,'TO HOP'!$F$143*$E74/SUMSQ($E$72:$E$91))+IF(SUMSQ($D$72:$D$91)=0,0,'TO HOP'!$G$143*$D74/SUMSQ($D$72:$D$91)))/9.81))</f>
        <v>-32.473782288603559</v>
      </c>
      <c r="P98" s="51">
        <f>IF($B98="",0,IF(USE_TSPILE=1,P171,('TO HOP'!$E$144/ncoc+IF(SUMSQ($E$72:$E$91)=0,0,'TO HOP'!$F$144*$E74/SUMSQ($E$72:$E$91))+IF(SUMSQ($D$72:$D$91)=0,0,'TO HOP'!$G$144*$D74/SUMSQ($D$72:$D$91)))/9.81))</f>
        <v>-33.023236521054343</v>
      </c>
      <c r="Q98" s="51">
        <f>IF($B98="",0,IF(USE_TSPILE=1,Q171,('TO HOP'!$E$145/ncoc+IF(SUMSQ($E$72:$E$91)=0,0,'TO HOP'!$F$145*$E74/SUMSQ($E$72:$E$91))+IF(SUMSQ($D$72:$D$91)=0,0,'TO HOP'!$G$145*$D74/SUMSQ($D$72:$D$91)))/9.81))</f>
        <v>-31.205504240257312</v>
      </c>
      <c r="R98" s="51">
        <f>IF($B98="",0,IF(USE_TSPILE=1,R171,('TO HOP'!$E$146/ncoc+IF(SUMSQ($E$72:$E$91)=0,0,'TO HOP'!$F$146*$E74/SUMSQ($E$72:$E$91))+IF(SUMSQ($D$72:$D$91)=0,0,'TO HOP'!$G$146*$D74/SUMSQ($D$72:$D$91)))/9.81))</f>
        <v>-27.962531321705683</v>
      </c>
      <c r="S98" s="51">
        <f>IF($B98="",0,IF(USE_TSPILE=1,S171,('TO HOP'!$E$147/ncoc+IF(SUMSQ($E$72:$E$91)=0,0,'TO HOP'!$F$147*$E74/SUMSQ($E$72:$E$91))+IF(SUMSQ($D$72:$D$91)=0,0,'TO HOP'!$G$147*$D74/SUMSQ($D$72:$D$91)))/9.81))</f>
        <v>-23.858905851053407</v>
      </c>
      <c r="T98" s="51">
        <f>IF($B98="",0,IF(USE_TSPILE=1,T171,('TO HOP'!$E$148/ncoc+IF(SUMSQ($E$72:$E$91)=0,0,'TO HOP'!$F$148*$E74/SUMSQ($E$72:$E$91))+IF(SUMSQ($D$72:$D$91)=0,0,'TO HOP'!$G$148*$D74/SUMSQ($D$72:$D$91)))/9.81))</f>
        <v>-18.1007141860307</v>
      </c>
      <c r="U98" s="51">
        <f>IF($B98="",0,IF(USE_TSPILE=1,U171,('TO HOP'!$E$149/ncoc+IF(SUMSQ($E$72:$E$91)=0,0,'TO HOP'!$F$149*$E74/SUMSQ($E$72:$E$91))+IF(SUMSQ($D$72:$D$91)=0,0,'TO HOP'!$G$149*$D74/SUMSQ($D$72:$D$91)))/9.81))</f>
        <v>121.52977305150395</v>
      </c>
      <c r="V98" s="51">
        <f>IF($B98="",0,IF(USE_TSPILE=1,V171,('TO HOP'!$E$150/ncoc+IF(SUMSQ($E$72:$E$91)=0,0,'TO HOP'!$F$150*$E74/SUMSQ($E$72:$E$91))+IF(SUMSQ($D$72:$D$91)=0,0,'TO HOP'!$G$150*$D74/SUMSQ($D$72:$D$91)))/9.81))</f>
        <v>126.46638833837622</v>
      </c>
      <c r="W98" s="51">
        <f>IF($B98="",0,IF(USE_TSPILE=1,W171,('TO HOP'!$E$151/ncoc+IF(SUMSQ($E$72:$E$91)=0,0,'TO HOP'!$F$151*$E74/SUMSQ($E$72:$E$91))+IF(SUMSQ($D$72:$D$91)=0,0,'TO HOP'!$G$151*$D74/SUMSQ($D$72:$D$91)))/9.81))</f>
        <v>136.26637628402815</v>
      </c>
      <c r="X98" s="51">
        <f>IF($B98="",0,IF(USE_TSPILE=1,X171,('TO HOP'!$E$152/ncoc+IF(SUMSQ($E$72:$E$91)=0,0,'TO HOP'!$F$152*$E74/SUMSQ($E$72:$E$91))+IF(SUMSQ($D$72:$D$91)=0,0,'TO HOP'!$G$152*$D74/SUMSQ($D$72:$D$91)))/9.81))</f>
        <v>146.13759138294338</v>
      </c>
      <c r="Y98" s="51">
        <f>IF($B98="",0,IF(USE_TSPILE=1,Y171,('TO HOP'!$E$153/ncoc+IF(SUMSQ($E$72:$E$91)=0,0,'TO HOP'!$F$153*$E74/SUMSQ($E$72:$E$91))+IF(SUMSQ($D$72:$D$91)=0,0,'TO HOP'!$G$153*$D74/SUMSQ($D$72:$D$91)))/9.81))</f>
        <v>163.42492877943434</v>
      </c>
      <c r="Z98" s="51">
        <f>IF($B98="",0,IF(USE_TSPILE=1,Z171,('TO HOP'!$E$154/ncoc+IF(SUMSQ($E$72:$E$91)=0,0,'TO HOP'!$F$154*$E74/SUMSQ($E$72:$E$91))+IF(SUMSQ($D$72:$D$91)=0,0,'TO HOP'!$G$154*$D74/SUMSQ($D$72:$D$91)))/9.81))</f>
        <v>185.54002525807343</v>
      </c>
      <c r="AA98" s="51">
        <f>IF($B98="",0,IF(USE_TSPILE=1,AA171,('TO HOP'!$E$155/ncoc+IF(SUMSQ($E$72:$E$91)=0,0,'TO HOP'!$F$155*$E74/SUMSQ($E$72:$E$91))+IF(SUMSQ($D$72:$D$91)=0,0,'TO HOP'!$G$155*$D74/SUMSQ($D$72:$D$91)))/9.81))</f>
        <v>150.86769362763479</v>
      </c>
      <c r="AB98" s="51">
        <f>IF($B98="",0,IF(USE_TSPILE=1,AB171,('TO HOP'!$E$156/ncoc+IF(SUMSQ($E$72:$E$91)=0,0,'TO HOP'!$F$156*$E74/SUMSQ($E$72:$E$91))+IF(SUMSQ($D$72:$D$91)=0,0,'TO HOP'!$G$156*$D74/SUMSQ($D$72:$D$91)))/9.81))</f>
        <v>167.93560096708435</v>
      </c>
      <c r="AC98" s="51">
        <f>IF($B98="",0,IF(USE_TSPILE=1,AC171,('TO HOP'!$E$157/ncoc+IF(SUMSQ($E$72:$E$91)=0,0,'TO HOP'!$F$157*$E74/SUMSQ($E$72:$E$91))+IF(SUMSQ($D$72:$D$91)=0,0,'TO HOP'!$G$157*$D74/SUMSQ($D$72:$D$91)))/9.81))</f>
        <v>179.66978726295591</v>
      </c>
      <c r="AD98" s="51">
        <f>IF($B98="",0,IF(USE_TSPILE=1,AD171,('TO HOP'!$E$158/ncoc+IF(SUMSQ($E$72:$E$91)=0,0,'TO HOP'!$F$158*$E74/SUMSQ($E$72:$E$91))+IF(SUMSQ($D$72:$D$91)=0,0,'TO HOP'!$G$158*$D74/SUMSQ($D$72:$D$91)))/9.81))</f>
        <v>180.7365314716715</v>
      </c>
      <c r="AE98" s="51">
        <f>IF($B98="",0,IF(USE_TSPILE=1,AE171,('TO HOP'!$E$159/ncoc+IF(SUMSQ($E$72:$E$91)=0,0,'TO HOP'!$F$159*$E74/SUMSQ($E$72:$E$91))+IF(SUMSQ($D$72:$D$91)=0,0,'TO HOP'!$G$159*$D74/SUMSQ($D$72:$D$91)))/9.81))</f>
        <v>194.60420618497423</v>
      </c>
      <c r="AF98" s="51">
        <f>IF($B98="",0,IF(USE_TSPILE=1,AF171,('TO HOP'!$E$160/ncoc+IF(SUMSQ($E$72:$E$91)=0,0,'TO HOP'!$F$160*$E74/SUMSQ($E$72:$E$91))+IF(SUMSQ($D$72:$D$91)=0,0,'TO HOP'!$G$160*$D74/SUMSQ($D$72:$D$91)))/9.81))</f>
        <v>208.47188089827696</v>
      </c>
      <c r="AG98" s="51">
        <f>IF($B98="",0,IF(USE_TSPILE=1,AG171,('TO HOP'!$E$161/ncoc+IF(SUMSQ($E$72:$E$91)=0,0,'TO HOP'!$F$161*$E74/SUMSQ($E$72:$E$91))+IF(SUMSQ($D$72:$D$91)=0,0,'TO HOP'!$G$161*$D74/SUMSQ($D$72:$D$91)))/9.81))</f>
        <v>117.14161331947406</v>
      </c>
      <c r="AH98" s="51">
        <f>IF($B98="",0,IF(USE_TSPILE=1,AH171,('TO HOP'!$E$162/ncoc+IF(SUMSQ($E$72:$E$91)=0,0,'TO HOP'!$F$162*$E74/SUMSQ($E$72:$E$91))+IF(SUMSQ($D$72:$D$91)=0,0,'TO HOP'!$G$162*$D74/SUMSQ($D$72:$D$91)))/9.81))</f>
        <v>116.18006841268542</v>
      </c>
      <c r="AI98" s="51">
        <f>IF($B98="",0,IF(USE_TSPILE=1,AI171,('TO HOP'!$E$163/ncoc+IF(SUMSQ($E$72:$E$91)=0,0,'TO HOP'!$F$163*$E74/SUMSQ($E$72:$E$91))+IF(SUMSQ($D$72:$D$91)=0,0,'TO HOP'!$G$163*$D74/SUMSQ($D$72:$D$91)))/9.81))</f>
        <v>119.36109990408019</v>
      </c>
      <c r="AJ98" s="51">
        <f>IF($B98="",0,IF(USE_TSPILE=1,AJ171,('TO HOP'!$E$164/ncoc+IF(SUMSQ($E$72:$E$91)=0,0,'TO HOP'!$F$164*$E74/SUMSQ($E$72:$E$91))+IF(SUMSQ($D$72:$D$91)=0,0,'TO HOP'!$G$164*$D74/SUMSQ($D$72:$D$91)))/9.81))</f>
        <v>125.03630251154547</v>
      </c>
      <c r="AK98" s="51">
        <f>IF($B98="",0,IF(USE_TSPILE=1,AK171,('TO HOP'!$E$165/ncoc+IF(SUMSQ($E$72:$E$91)=0,0,'TO HOP'!$F$165*$E74/SUMSQ($E$72:$E$91))+IF(SUMSQ($D$72:$D$91)=0,0,'TO HOP'!$G$165*$D74/SUMSQ($D$72:$D$91)))/9.81))</f>
        <v>132.21764708518705</v>
      </c>
      <c r="AL98" s="51">
        <f>IF($B98="",0,IF(USE_TSPILE=1,AL171,('TO HOP'!$E$166/ncoc+IF(SUMSQ($E$72:$E$91)=0,0,'TO HOP'!$F$166*$E74/SUMSQ($E$72:$E$91))+IF(SUMSQ($D$72:$D$91)=0,0,'TO HOP'!$G$166*$D74/SUMSQ($D$72:$D$91)))/9.81))</f>
        <v>142.29448249897663</v>
      </c>
      <c r="AM98" s="51">
        <f>IF($B98="",0,IF(USE_TSPILE=1,AM171,('TO HOP'!$E$167/ncoc+IF(SUMSQ($E$72:$E$91)=0,0,'TO HOP'!$F$167*$E74/SUMSQ($E$72:$E$91))+IF(SUMSQ($D$72:$D$91)=0,0,'TO HOP'!$G$167*$D74/SUMSQ($D$72:$D$91)))/9.81))</f>
        <v>13.289299739113886</v>
      </c>
      <c r="AN98" s="51">
        <f>IF($B98="",0,IF(USE_TSPILE=1,AN171,('TO HOP'!$E$168/ncoc+IF(SUMSQ($E$72:$E$91)=0,0,'TO HOP'!$F$168*$E74/SUMSQ($E$72:$E$91))+IF(SUMSQ($D$72:$D$91)=0,0,'TO HOP'!$G$168*$D74/SUMSQ($D$72:$D$91)))/9.81))</f>
        <v>18.225915025986154</v>
      </c>
      <c r="AO98" s="51">
        <f>IF($B98="",0,IF(USE_TSPILE=1,AO171,('TO HOP'!$E$169/ncoc+IF(SUMSQ($E$72:$E$91)=0,0,'TO HOP'!$F$169*$E74/SUMSQ($E$72:$E$91))+IF(SUMSQ($D$72:$D$91)=0,0,'TO HOP'!$G$169*$D74/SUMSQ($D$72:$D$91)))/9.81))</f>
        <v>28.025902971638089</v>
      </c>
      <c r="AP98" s="51">
        <f>IF($B98="",0,IF(USE_TSPILE=1,AP171,('TO HOP'!$E$170/ncoc+IF(SUMSQ($E$72:$E$91)=0,0,'TO HOP'!$F$170*$E74/SUMSQ($E$72:$E$91))+IF(SUMSQ($D$72:$D$91)=0,0,'TO HOP'!$G$170*$D74/SUMSQ($D$72:$D$91)))/9.81))</f>
        <v>37.897118070553319</v>
      </c>
      <c r="AQ98" s="51">
        <f>IF($B98="",0,IF(USE_TSPILE=1,AQ171,('TO HOP'!$E$171/ncoc+IF(SUMSQ($E$72:$E$91)=0,0,'TO HOP'!$F$171*$E74/SUMSQ($E$72:$E$91))+IF(SUMSQ($D$72:$D$91)=0,0,'TO HOP'!$G$171*$D74/SUMSQ($D$72:$D$91)))/9.81))</f>
        <v>55.184455467044273</v>
      </c>
      <c r="AR98" s="51">
        <f>IF($B98="",0,IF(USE_TSPILE=1,AR171,('TO HOP'!$E$172/ncoc+IF(SUMSQ($E$72:$E$91)=0,0,'TO HOP'!$F$172*$E74/SUMSQ($E$72:$E$91))+IF(SUMSQ($D$72:$D$91)=0,0,'TO HOP'!$G$172*$D74/SUMSQ($D$72:$D$91)))/9.81))</f>
        <v>77.299551945683362</v>
      </c>
      <c r="AS98" s="51">
        <f>IF($B98="",0,IF(USE_TSPILE=1,AS171,('TO HOP'!$E$173/ncoc+IF(SUMSQ($E$72:$E$91)=0,0,'TO HOP'!$F$173*$E74/SUMSQ($E$72:$E$91))+IF(SUMSQ($D$72:$D$91)=0,0,'TO HOP'!$G$173*$D74/SUMSQ($D$72:$D$91)))/9.81))</f>
        <v>8.9011400070840523</v>
      </c>
      <c r="AT98" s="51">
        <f>IF($B98="",0,IF(USE_TSPILE=1,AT171,('TO HOP'!$E$174/ncoc+IF(SUMSQ($E$72:$E$91)=0,0,'TO HOP'!$F$174*$E74/SUMSQ($E$72:$E$91))+IF(SUMSQ($D$72:$D$91)=0,0,'TO HOP'!$G$174*$D74/SUMSQ($D$72:$D$91)))/9.81))</f>
        <v>7.9395951002954064</v>
      </c>
      <c r="AU98" s="51">
        <f>IF($B98="",0,IF(USE_TSPILE=1,AU171,('TO HOP'!$E$175/ncoc+IF(SUMSQ($E$72:$E$91)=0,0,'TO HOP'!$F$175*$E74/SUMSQ($E$72:$E$91))+IF(SUMSQ($D$72:$D$91)=0,0,'TO HOP'!$G$175*$D74/SUMSQ($D$72:$D$91)))/9.81))</f>
        <v>11.120626591690183</v>
      </c>
      <c r="AV98" s="51">
        <f>IF($B98="",0,IF(USE_TSPILE=1,AV171,('TO HOP'!$E$176/ncoc+IF(SUMSQ($E$72:$E$91)=0,0,'TO HOP'!$F$176*$E74/SUMSQ($E$72:$E$91))+IF(SUMSQ($D$72:$D$91)=0,0,'TO HOP'!$G$176*$D74/SUMSQ($D$72:$D$91)))/9.81))</f>
        <v>16.795829199155406</v>
      </c>
      <c r="AW98" s="51">
        <f>IF($B98="",0,IF(USE_TSPILE=1,AW171,('TO HOP'!$E$177/ncoc+IF(SUMSQ($E$72:$E$91)=0,0,'TO HOP'!$F$177*$E74/SUMSQ($E$72:$E$91))+IF(SUMSQ($D$72:$D$91)=0,0,'TO HOP'!$G$177*$D74/SUMSQ($D$72:$D$91)))/9.81))</f>
        <v>23.977173772797045</v>
      </c>
      <c r="AX98" s="51">
        <f>IF($B98="",0,IF(USE_TSPILE=1,AX171,('TO HOP'!$E$178/ncoc+IF(SUMSQ($E$72:$E$91)=0,0,'TO HOP'!$F$178*$E74/SUMSQ($E$72:$E$91))+IF(SUMSQ($D$72:$D$91)=0,0,'TO HOP'!$G$178*$D74/SUMSQ($D$72:$D$91)))/9.81))</f>
        <v>34.054009186586626</v>
      </c>
      <c r="AY98" s="51">
        <f>IF($B98="",0,IF(USE_TSPILE=1,AY171,('TO HOP'!$E$179/ncoc+IF(SUMSQ($E$72:$E$91)=0,0,'TO HOP'!$F$179*$E74/SUMSQ($E$72:$E$91))+IF(SUMSQ($D$72:$D$91)=0,0,'TO HOP'!$G$179*$D74/SUMSQ($D$72:$D$91)))/9.81))</f>
        <v>144.45291168888198</v>
      </c>
      <c r="AZ98" s="51">
        <f>IF($B98="",0,IF(USE_TSPILE=1,AZ171,('TO HOP'!$E$180/ncoc+IF(SUMSQ($E$72:$E$91)=0,0,'TO HOP'!$F$180*$E74/SUMSQ($E$72:$E$91))+IF(SUMSQ($D$72:$D$91)=0,0,'TO HOP'!$G$180*$D74/SUMSQ($D$72:$D$91)))/9.81))</f>
        <v>36.212438376491917</v>
      </c>
      <c r="BA98" s="51">
        <f>IF($B98="",0,IF(USE_TSPILE=1,BA171,('TO HOP'!$E$181/ncoc+IF(SUMSQ($E$72:$E$91)=0,0,'TO HOP'!$F$181*$E74/SUMSQ($E$72:$E$91))+IF(SUMSQ($D$72:$D$91)=0,0,'TO HOP'!$G$181*$D74/SUMSQ($D$72:$D$91)))/9.81))</f>
        <v>127.40626955508765</v>
      </c>
      <c r="BB98" s="51">
        <f>IF($B98="",0,IF(USE_TSPILE=1,BB171,('TO HOP'!$E$182/ncoc+IF(SUMSQ($E$72:$E$91)=0,0,'TO HOP'!$F$182*$E74/SUMSQ($E$72:$E$91))+IF(SUMSQ($D$72:$D$91)=0,0,'TO HOP'!$G$182*$D74/SUMSQ($D$72:$D$91)))/9.81))</f>
        <v>131.2145156335319</v>
      </c>
      <c r="BC98" s="51">
        <f>IF($B98="",0,IF(USE_TSPILE=1,BC171,('TO HOP'!$E$183/ncoc+IF(SUMSQ($E$72:$E$91)=0,0,'TO HOP'!$F$183*$E74/SUMSQ($E$72:$E$91))+IF(SUMSQ($D$72:$D$91)=0,0,'TO HOP'!$G$183*$D74/SUMSQ($D$72:$D$91)))/9.81))</f>
        <v>138.77450633446341</v>
      </c>
      <c r="BD98" s="51">
        <f>IF($B98="",0,IF(USE_TSPILE=1,BD171,('TO HOP'!$E$184/ncoc+IF(SUMSQ($E$72:$E$91)=0,0,'TO HOP'!$F$184*$E74/SUMSQ($E$72:$E$91))+IF(SUMSQ($D$72:$D$91)=0,0,'TO HOP'!$G$184*$D74/SUMSQ($D$72:$D$91)))/9.81))</f>
        <v>146.38944369648374</v>
      </c>
      <c r="BE98" s="51">
        <f>IF($B98="",0,IF(USE_TSPILE=1,BE171,('TO HOP'!$E$185/ncoc+IF(SUMSQ($E$72:$E$91)=0,0,'TO HOP'!$F$185*$E74/SUMSQ($E$72:$E$91))+IF(SUMSQ($D$72:$D$91)=0,0,'TO HOP'!$G$185*$D74/SUMSQ($D$72:$D$91)))/9.81))</f>
        <v>159.72538968806259</v>
      </c>
      <c r="BF98" s="51">
        <f>IF($B98="",0,IF(USE_TSPILE=1,BF171,('TO HOP'!$E$186/ncoc+IF(SUMSQ($E$72:$E$91)=0,0,'TO HOP'!$F$186*$E74/SUMSQ($E$72:$E$91))+IF(SUMSQ($D$72:$D$91)=0,0,'TO HOP'!$G$186*$D74/SUMSQ($D$72:$D$91)))/9.81))</f>
        <v>176.78560697158412</v>
      </c>
      <c r="BG98" s="51">
        <f>IF($B98="",0,IF(USE_TSPILE=1,BG171,('TO HOP'!$E$187/ncoc+IF(SUMSQ($E$72:$E$91)=0,0,'TO HOP'!$F$187*$E74/SUMSQ($E$72:$E$91))+IF(SUMSQ($D$72:$D$91)=0,0,'TO HOP'!$G$187*$D74/SUMSQ($D$72:$D$91)))/9.81))</f>
        <v>56.72118658131194</v>
      </c>
      <c r="BH98" s="51">
        <f>IF($B98="",0,IF(USE_TSPILE=1,BH171,('TO HOP'!$E$188/ncoc+IF(SUMSQ($E$72:$E$91)=0,0,'TO HOP'!$F$188*$E74/SUMSQ($E$72:$E$91))+IF(SUMSQ($D$72:$D$91)=0,0,'TO HOP'!$G$188*$D74/SUMSQ($D$72:$D$91)))/9.81))</f>
        <v>140.18560920037166</v>
      </c>
      <c r="BI98" s="51">
        <f>IF($B98="",0,IF(USE_TSPILE=1,BI171,('TO HOP'!$E$189/ncoc+IF(SUMSQ($E$72:$E$91)=0,0,'TO HOP'!$F$189*$E74/SUMSQ($E$72:$E$91))+IF(SUMSQ($D$72:$D$91)=0,0,'TO HOP'!$G$189*$D74/SUMSQ($D$72:$D$91)))/9.81))</f>
        <v>224.72547601457475</v>
      </c>
      <c r="BJ98" s="51">
        <f>IF($B98="",0,IF(USE_TSPILE=1,BJ171,('TO HOP'!$E$190/ncoc+IF(SUMSQ($E$72:$E$91)=0,0,'TO HOP'!$F$190*$E74/SUMSQ($E$72:$E$91))+IF(SUMSQ($D$72:$D$91)=0,0,'TO HOP'!$G$190*$D74/SUMSQ($D$72:$D$91)))/9.81))</f>
        <v>289.56648492726401</v>
      </c>
      <c r="BK98" s="51">
        <f>IF($B98="",0,IF(USE_TSPILE=1,BK171,('TO HOP'!$E$191/ncoc+IF(SUMSQ($E$72:$E$91)=0,0,'TO HOP'!$F$191*$E74/SUMSQ($E$72:$E$91))+IF(SUMSQ($D$72:$D$91)=0,0,'TO HOP'!$G$191*$D74/SUMSQ($D$72:$D$91)))/9.81))</f>
        <v>289.06375731234004</v>
      </c>
      <c r="BL98" s="51">
        <f>IF($B98="",0,IF(USE_TSPILE=1,BL171,('TO HOP'!$E$192/ncoc+IF(SUMSQ($E$72:$E$91)=0,0,'TO HOP'!$F$192*$E74/SUMSQ($E$72:$E$91))+IF(SUMSQ($D$72:$D$91)=0,0,'TO HOP'!$G$192*$D74/SUMSQ($D$72:$D$91)))/9.81))</f>
        <v>289.06375731234004</v>
      </c>
    </row>
    <row r="99" spans="2:64" x14ac:dyDescent="0.3">
      <c r="B99" s="14">
        <f>IF(4&lt;=ncoc,4,"")</f>
        <v>4</v>
      </c>
      <c r="C99" s="51">
        <f>IF($B99="",0,IF(USE_TSPILE=1,C172,('TO HOP'!$E$131/ncoc+IF(SUMSQ($E$72:$E$91)=0,0,'TO HOP'!$F$131*$E75/SUMSQ($E$72:$E$91))+IF(SUMSQ($D$72:$D$91)=0,0,'TO HOP'!$G$131*$D75/SUMSQ($D$72:$D$91)))/9.81))</f>
        <v>-67.69877904154427</v>
      </c>
      <c r="D99" s="51">
        <f>IF($B99="",0,IF(USE_TSPILE=1,D172,('TO HOP'!$E$132/ncoc+IF(SUMSQ($E$72:$E$91)=0,0,'TO HOP'!$F$132*$E75/SUMSQ($E$72:$E$91))+IF(SUMSQ($D$72:$D$91)=0,0,'TO HOP'!$G$132*$D75/SUMSQ($D$72:$D$91)))/9.81))</f>
        <v>-78.742189794848429</v>
      </c>
      <c r="E99" s="51">
        <f>IF($B99="",0,IF(USE_TSPILE=1,E172,('TO HOP'!$E$133/ncoc+IF(SUMSQ($E$72:$E$91)=0,0,'TO HOP'!$F$133*$E75/SUMSQ($E$72:$E$91))+IF(SUMSQ($D$72:$D$91)=0,0,'TO HOP'!$G$133*$D75/SUMSQ($D$72:$D$91)))/9.81))</f>
        <v>-75.35270908329835</v>
      </c>
      <c r="F99" s="51">
        <f>IF($B99="",0,IF(USE_TSPILE=1,F172,('TO HOP'!$E$134/ncoc+IF(SUMSQ($E$72:$E$91)=0,0,'TO HOP'!$F$134*$E75/SUMSQ($E$72:$E$91))+IF(SUMSQ($D$72:$D$91)=0,0,'TO HOP'!$G$134*$D75/SUMSQ($D$72:$D$91)))/9.81))</f>
        <v>-59.649762295118649</v>
      </c>
      <c r="G99" s="51">
        <f>IF($B99="",0,IF(USE_TSPILE=1,G172,('TO HOP'!$E$135/ncoc+IF(SUMSQ($E$72:$E$91)=0,0,'TO HOP'!$F$135*$E75/SUMSQ($E$72:$E$91))+IF(SUMSQ($D$72:$D$91)=0,0,'TO HOP'!$G$135*$D75/SUMSQ($D$72:$D$91)))/9.81))</f>
        <v>-45.863097859194397</v>
      </c>
      <c r="H99" s="51">
        <f>IF($B99="",0,IF(USE_TSPILE=1,H172,('TO HOP'!$E$136/ncoc+IF(SUMSQ($E$72:$E$91)=0,0,'TO HOP'!$F$136*$E75/SUMSQ($E$72:$E$91))+IF(SUMSQ($D$72:$D$91)=0,0,'TO HOP'!$G$136*$D75/SUMSQ($D$72:$D$91)))/9.81))</f>
        <v>-23.800274996730479</v>
      </c>
      <c r="I99" s="51">
        <f>IF($B99="",0,IF(USE_TSPILE=1,I172,('TO HOP'!$E$137/ncoc+IF(SUMSQ($E$72:$E$91)=0,0,'TO HOP'!$F$137*$E75/SUMSQ($E$72:$E$91))+IF(SUMSQ($D$72:$D$91)=0,0,'TO HOP'!$G$137*$D75/SUMSQ($D$72:$D$91)))/9.81))</f>
        <v>-17.405200911034285</v>
      </c>
      <c r="J99" s="51">
        <f>IF($B99="",0,IF(USE_TSPILE=1,J172,('TO HOP'!$E$138/ncoc+IF(SUMSQ($E$72:$E$91)=0,0,'TO HOP'!$F$138*$E75/SUMSQ($E$72:$E$91))+IF(SUMSQ($D$72:$D$91)=0,0,'TO HOP'!$G$138*$D75/SUMSQ($D$72:$D$91)))/9.81))</f>
        <v>-7.6521110027773602</v>
      </c>
      <c r="K99" s="51">
        <f>IF($B99="",0,IF(USE_TSPILE=1,K172,('TO HOP'!$E$139/ncoc+IF(SUMSQ($E$72:$E$91)=0,0,'TO HOP'!$F$139*$E75/SUMSQ($E$72:$E$91))+IF(SUMSQ($D$72:$D$91)=0,0,'TO HOP'!$G$139*$D75/SUMSQ($D$72:$D$91)))/9.81))</f>
        <v>-0.94686169085082383</v>
      </c>
      <c r="L99" s="51">
        <f>IF($B99="",0,IF(USE_TSPILE=1,L172,('TO HOP'!$E$140/ncoc+IF(SUMSQ($E$72:$E$91)=0,0,'TO HOP'!$F$140*$E75/SUMSQ($E$72:$E$91))+IF(SUMSQ($D$72:$D$91)=0,0,'TO HOP'!$G$140*$D75/SUMSQ($D$72:$D$91)))/9.81))</f>
        <v>-0.3372935715847234</v>
      </c>
      <c r="M99" s="51">
        <f>IF($B99="",0,IF(USE_TSPILE=1,M172,('TO HOP'!$E$141/ncoc+IF(SUMSQ($E$72:$E$91)=0,0,'TO HOP'!$F$141*$E75/SUMSQ($E$72:$E$91))+IF(SUMSQ($D$72:$D$91)=0,0,'TO HOP'!$G$141*$D75/SUMSQ($D$72:$D$91)))/9.81))</f>
        <v>7.587091978873957</v>
      </c>
      <c r="N99" s="51">
        <f>IF($B99="",0,IF(USE_TSPILE=1,N172,('TO HOP'!$E$142/ncoc+IF(SUMSQ($E$72:$E$91)=0,0,'TO HOP'!$F$142*$E75/SUMSQ($E$72:$E$91))+IF(SUMSQ($D$72:$D$91)=0,0,'TO HOP'!$G$142*$D75/SUMSQ($D$72:$D$91)))/9.81))</f>
        <v>15.511477529332694</v>
      </c>
      <c r="O99" s="51">
        <f>IF($B99="",0,IF(USE_TSPILE=1,O172,('TO HOP'!$E$143/ncoc+IF(SUMSQ($E$72:$E$91)=0,0,'TO HOP'!$F$143*$E75/SUMSQ($E$72:$E$91))+IF(SUMSQ($D$72:$D$91)=0,0,'TO HOP'!$G$143*$D75/SUMSQ($D$72:$D$91)))/9.81))</f>
        <v>-56.78658977914381</v>
      </c>
      <c r="P99" s="51">
        <f>IF($B99="",0,IF(USE_TSPILE=1,P172,('TO HOP'!$E$144/ncoc+IF(SUMSQ($E$72:$E$91)=0,0,'TO HOP'!$F$144*$E75/SUMSQ($E$72:$E$91))+IF(SUMSQ($D$72:$D$91)=0,0,'TO HOP'!$G$144*$D75/SUMSQ($D$72:$D$91)))/9.81))</f>
        <v>-65.651299757661036</v>
      </c>
      <c r="Q99" s="51">
        <f>IF($B99="",0,IF(USE_TSPILE=1,Q172,('TO HOP'!$E$145/ncoc+IF(SUMSQ($E$72:$E$91)=0,0,'TO HOP'!$F$145*$E75/SUMSQ($E$72:$E$91))+IF(SUMSQ($D$72:$D$91)=0,0,'TO HOP'!$G$145*$D75/SUMSQ($D$72:$D$91)))/9.81))</f>
        <v>-65.159341671071019</v>
      </c>
      <c r="R99" s="51">
        <f>IF($B99="",0,IF(USE_TSPILE=1,R172,('TO HOP'!$E$146/ncoc+IF(SUMSQ($E$72:$E$91)=0,0,'TO HOP'!$F$146*$E75/SUMSQ($E$72:$E$91))+IF(SUMSQ($D$72:$D$91)=0,0,'TO HOP'!$G$146*$D75/SUMSQ($D$72:$D$91)))/9.81))</f>
        <v>-55.881444620489049</v>
      </c>
      <c r="S99" s="51">
        <f>IF($B99="",0,IF(USE_TSPILE=1,S172,('TO HOP'!$E$147/ncoc+IF(SUMSQ($E$72:$E$91)=0,0,'TO HOP'!$F$147*$E75/SUMSQ($E$72:$E$91))+IF(SUMSQ($D$72:$D$91)=0,0,'TO HOP'!$G$147*$D75/SUMSQ($D$72:$D$91)))/9.81))</f>
        <v>-49.433850374478766</v>
      </c>
      <c r="T99" s="51">
        <f>IF($B99="",0,IF(USE_TSPILE=1,T172,('TO HOP'!$E$148/ncoc+IF(SUMSQ($E$72:$E$91)=0,0,'TO HOP'!$F$148*$E75/SUMSQ($E$72:$E$91))+IF(SUMSQ($D$72:$D$91)=0,0,'TO HOP'!$G$148*$D75/SUMSQ($D$72:$D$91)))/9.81))</f>
        <v>-38.022557545357301</v>
      </c>
      <c r="U99" s="51">
        <f>IF($B99="",0,IF(USE_TSPILE=1,U172,('TO HOP'!$E$149/ncoc+IF(SUMSQ($E$72:$E$91)=0,0,'TO HOP'!$F$149*$E75/SUMSQ($E$72:$E$91))+IF(SUMSQ($D$72:$D$91)=0,0,'TO HOP'!$G$149*$D75/SUMSQ($D$72:$D$91)))/9.81))</f>
        <v>62.853931899242269</v>
      </c>
      <c r="V99" s="51">
        <f>IF($B99="",0,IF(USE_TSPILE=1,V172,('TO HOP'!$E$150/ncoc+IF(SUMSQ($E$72:$E$91)=0,0,'TO HOP'!$F$150*$E75/SUMSQ($E$72:$E$91))+IF(SUMSQ($D$72:$D$91)=0,0,'TO HOP'!$G$150*$D75/SUMSQ($D$72:$D$91)))/9.81))</f>
        <v>43.52796308095995</v>
      </c>
      <c r="W99" s="51">
        <f>IF($B99="",0,IF(USE_TSPILE=1,W172,('TO HOP'!$E$151/ncoc+IF(SUMSQ($E$72:$E$91)=0,0,'TO HOP'!$F$151*$E75/SUMSQ($E$72:$E$91))+IF(SUMSQ($D$72:$D$91)=0,0,'TO HOP'!$G$151*$D75/SUMSQ($D$72:$D$91)))/9.81))</f>
        <v>49.459554326172707</v>
      </c>
      <c r="X99" s="51">
        <f>IF($B99="",0,IF(USE_TSPILE=1,X172,('TO HOP'!$E$152/ncoc+IF(SUMSQ($E$72:$E$91)=0,0,'TO HOP'!$F$152*$E75/SUMSQ($E$72:$E$91))+IF(SUMSQ($D$72:$D$91)=0,0,'TO HOP'!$G$152*$D75/SUMSQ($D$72:$D$91)))/9.81))</f>
        <v>76.9397112054871</v>
      </c>
      <c r="Y99" s="51">
        <f>IF($B99="",0,IF(USE_TSPILE=1,Y172,('TO HOP'!$E$153/ncoc+IF(SUMSQ($E$72:$E$91)=0,0,'TO HOP'!$F$153*$E75/SUMSQ($E$72:$E$91))+IF(SUMSQ($D$72:$D$91)=0,0,'TO HOP'!$G$153*$D75/SUMSQ($D$72:$D$91)))/9.81))</f>
        <v>101.06637396835455</v>
      </c>
      <c r="Z99" s="51">
        <f>IF($B99="",0,IF(USE_TSPILE=1,Z172,('TO HOP'!$E$154/ncoc+IF(SUMSQ($E$72:$E$91)=0,0,'TO HOP'!$F$154*$E75/SUMSQ($E$72:$E$91))+IF(SUMSQ($D$72:$D$91)=0,0,'TO HOP'!$G$154*$D75/SUMSQ($D$72:$D$91)))/9.81))</f>
        <v>139.67631397766635</v>
      </c>
      <c r="AA99" s="51">
        <f>IF($B99="",0,IF(USE_TSPILE=1,AA172,('TO HOP'!$E$155/ncoc+IF(SUMSQ($E$72:$E$91)=0,0,'TO HOP'!$F$155*$E75/SUMSQ($E$72:$E$91))+IF(SUMSQ($D$72:$D$91)=0,0,'TO HOP'!$G$155*$D75/SUMSQ($D$72:$D$91)))/9.81))</f>
        <v>150.86769362763479</v>
      </c>
      <c r="AB99" s="51">
        <f>IF($B99="",0,IF(USE_TSPILE=1,AB172,('TO HOP'!$E$156/ncoc+IF(SUMSQ($E$72:$E$91)=0,0,'TO HOP'!$F$156*$E75/SUMSQ($E$72:$E$91))+IF(SUMSQ($D$72:$D$91)=0,0,'TO HOP'!$G$156*$D75/SUMSQ($D$72:$D$91)))/9.81))</f>
        <v>167.93560096708435</v>
      </c>
      <c r="AC99" s="51">
        <f>IF($B99="",0,IF(USE_TSPILE=1,AC172,('TO HOP'!$E$157/ncoc+IF(SUMSQ($E$72:$E$91)=0,0,'TO HOP'!$F$157*$E75/SUMSQ($E$72:$E$91))+IF(SUMSQ($D$72:$D$91)=0,0,'TO HOP'!$G$157*$D75/SUMSQ($D$72:$D$91)))/9.81))</f>
        <v>179.66978726295591</v>
      </c>
      <c r="AD99" s="51">
        <f>IF($B99="",0,IF(USE_TSPILE=1,AD172,('TO HOP'!$E$158/ncoc+IF(SUMSQ($E$72:$E$91)=0,0,'TO HOP'!$F$158*$E75/SUMSQ($E$72:$E$91))+IF(SUMSQ($D$72:$D$91)=0,0,'TO HOP'!$G$158*$D75/SUMSQ($D$72:$D$91)))/9.81))</f>
        <v>180.7365314716715</v>
      </c>
      <c r="AE99" s="51">
        <f>IF($B99="",0,IF(USE_TSPILE=1,AE172,('TO HOP'!$E$159/ncoc+IF(SUMSQ($E$72:$E$91)=0,0,'TO HOP'!$F$159*$E75/SUMSQ($E$72:$E$91))+IF(SUMSQ($D$72:$D$91)=0,0,'TO HOP'!$G$159*$D75/SUMSQ($D$72:$D$91)))/9.81))</f>
        <v>194.60420618497423</v>
      </c>
      <c r="AF99" s="51">
        <f>IF($B99="",0,IF(USE_TSPILE=1,AF172,('TO HOP'!$E$160/ncoc+IF(SUMSQ($E$72:$E$91)=0,0,'TO HOP'!$F$160*$E75/SUMSQ($E$72:$E$91))+IF(SUMSQ($D$72:$D$91)=0,0,'TO HOP'!$G$160*$D75/SUMSQ($D$72:$D$91)))/9.81))</f>
        <v>208.47188089827696</v>
      </c>
      <c r="AG99" s="51">
        <f>IF($B99="",0,IF(USE_TSPILE=1,AG172,('TO HOP'!$E$161/ncoc+IF(SUMSQ($E$72:$E$91)=0,0,'TO HOP'!$F$161*$E75/SUMSQ($E$72:$E$91))+IF(SUMSQ($D$72:$D$91)=0,0,'TO HOP'!$G$161*$D75/SUMSQ($D$72:$D$91)))/9.81))</f>
        <v>81.950263108442925</v>
      </c>
      <c r="AH99" s="51">
        <f>IF($B99="",0,IF(USE_TSPILE=1,AH172,('TO HOP'!$E$162/ncoc+IF(SUMSQ($E$72:$E$91)=0,0,'TO HOP'!$F$162*$E75/SUMSQ($E$72:$E$91))+IF(SUMSQ($D$72:$D$91)=0,0,'TO HOP'!$G$162*$D75/SUMSQ($D$72:$D$91)))/9.81))</f>
        <v>66.437020646038007</v>
      </c>
      <c r="AI99" s="51">
        <f>IF($B99="",0,IF(USE_TSPILE=1,AI172,('TO HOP'!$E$163/ncoc+IF(SUMSQ($E$72:$E$91)=0,0,'TO HOP'!$F$163*$E75/SUMSQ($E$72:$E$91))+IF(SUMSQ($D$72:$D$91)=0,0,'TO HOP'!$G$163*$D75/SUMSQ($D$72:$D$91)))/9.81))</f>
        <v>67.297947297570516</v>
      </c>
      <c r="AJ99" s="51">
        <f>IF($B99="",0,IF(USE_TSPILE=1,AJ172,('TO HOP'!$E$164/ncoc+IF(SUMSQ($E$72:$E$91)=0,0,'TO HOP'!$F$164*$E75/SUMSQ($E$72:$E$91))+IF(SUMSQ($D$72:$D$91)=0,0,'TO HOP'!$G$164*$D75/SUMSQ($D$72:$D$91)))/9.81))</f>
        <v>83.534267136088914</v>
      </c>
      <c r="AK99" s="51">
        <f>IF($B99="",0,IF(USE_TSPILE=1,AK172,('TO HOP'!$E$165/ncoc+IF(SUMSQ($E$72:$E$91)=0,0,'TO HOP'!$F$165*$E75/SUMSQ($E$72:$E$91))+IF(SUMSQ($D$72:$D$91)=0,0,'TO HOP'!$G$165*$D75/SUMSQ($D$72:$D$91)))/9.81))</f>
        <v>94.817557066607009</v>
      </c>
      <c r="AL99" s="51">
        <f>IF($B99="",0,IF(USE_TSPILE=1,AL172,('TO HOP'!$E$166/ncoc+IF(SUMSQ($E$72:$E$91)=0,0,'TO HOP'!$F$166*$E75/SUMSQ($E$72:$E$91))+IF(SUMSQ($D$72:$D$91)=0,0,'TO HOP'!$G$166*$D75/SUMSQ($D$72:$D$91)))/9.81))</f>
        <v>114.78731951756939</v>
      </c>
      <c r="AM99" s="51">
        <f>IF($B99="",0,IF(USE_TSPILE=1,AM172,('TO HOP'!$E$167/ncoc+IF(SUMSQ($E$72:$E$91)=0,0,'TO HOP'!$F$167*$E75/SUMSQ($E$72:$E$91))+IF(SUMSQ($D$72:$D$91)=0,0,'TO HOP'!$G$167*$D75/SUMSQ($D$72:$D$91)))/9.81))</f>
        <v>-45.386541413147768</v>
      </c>
      <c r="AN99" s="51">
        <f>IF($B99="",0,IF(USE_TSPILE=1,AN172,('TO HOP'!$E$168/ncoc+IF(SUMSQ($E$72:$E$91)=0,0,'TO HOP'!$F$168*$E75/SUMSQ($E$72:$E$91))+IF(SUMSQ($D$72:$D$91)=0,0,'TO HOP'!$G$168*$D75/SUMSQ($D$72:$D$91)))/9.81))</f>
        <v>-64.712510231430116</v>
      </c>
      <c r="AO99" s="51">
        <f>IF($B99="",0,IF(USE_TSPILE=1,AO172,('TO HOP'!$E$169/ncoc+IF(SUMSQ($E$72:$E$91)=0,0,'TO HOP'!$F$169*$E75/SUMSQ($E$72:$E$91))+IF(SUMSQ($D$72:$D$91)=0,0,'TO HOP'!$G$169*$D75/SUMSQ($D$72:$D$91)))/9.81))</f>
        <v>-58.780918986217358</v>
      </c>
      <c r="AP99" s="51">
        <f>IF($B99="",0,IF(USE_TSPILE=1,AP172,('TO HOP'!$E$170/ncoc+IF(SUMSQ($E$72:$E$91)=0,0,'TO HOP'!$F$170*$E75/SUMSQ($E$72:$E$91))+IF(SUMSQ($D$72:$D$91)=0,0,'TO HOP'!$G$170*$D75/SUMSQ($D$72:$D$91)))/9.81))</f>
        <v>-31.300762106902965</v>
      </c>
      <c r="AQ99" s="51">
        <f>IF($B99="",0,IF(USE_TSPILE=1,AQ172,('TO HOP'!$E$171/ncoc+IF(SUMSQ($E$72:$E$91)=0,0,'TO HOP'!$F$171*$E75/SUMSQ($E$72:$E$91))+IF(SUMSQ($D$72:$D$91)=0,0,'TO HOP'!$G$171*$D75/SUMSQ($D$72:$D$91)))/9.81))</f>
        <v>-7.1740993440355112</v>
      </c>
      <c r="AR99" s="51">
        <f>IF($B99="",0,IF(USE_TSPILE=1,AR172,('TO HOP'!$E$172/ncoc+IF(SUMSQ($E$72:$E$91)=0,0,'TO HOP'!$F$172*$E75/SUMSQ($E$72:$E$91))+IF(SUMSQ($D$72:$D$91)=0,0,'TO HOP'!$G$172*$D75/SUMSQ($D$72:$D$91)))/9.81))</f>
        <v>31.435840665276345</v>
      </c>
      <c r="AS99" s="51">
        <f>IF($B99="",0,IF(USE_TSPILE=1,AS172,('TO HOP'!$E$173/ncoc+IF(SUMSQ($E$72:$E$91)=0,0,'TO HOP'!$F$173*$E75/SUMSQ($E$72:$E$91))+IF(SUMSQ($D$72:$D$91)=0,0,'TO HOP'!$G$173*$D75/SUMSQ($D$72:$D$91)))/9.81))</f>
        <v>-26.290210203947055</v>
      </c>
      <c r="AT99" s="51">
        <f>IF($B99="",0,IF(USE_TSPILE=1,AT172,('TO HOP'!$E$174/ncoc+IF(SUMSQ($E$72:$E$91)=0,0,'TO HOP'!$F$174*$E75/SUMSQ($E$72:$E$91))+IF(SUMSQ($D$72:$D$91)=0,0,'TO HOP'!$G$174*$D75/SUMSQ($D$72:$D$91)))/9.81))</f>
        <v>-41.803452666351973</v>
      </c>
      <c r="AU99" s="51">
        <f>IF($B99="",0,IF(USE_TSPILE=1,AU172,('TO HOP'!$E$175/ncoc+IF(SUMSQ($E$72:$E$91)=0,0,'TO HOP'!$F$175*$E75/SUMSQ($E$72:$E$91))+IF(SUMSQ($D$72:$D$91)=0,0,'TO HOP'!$G$175*$D75/SUMSQ($D$72:$D$91)))/9.81))</f>
        <v>-40.942526014819492</v>
      </c>
      <c r="AV99" s="51">
        <f>IF($B99="",0,IF(USE_TSPILE=1,AV172,('TO HOP'!$E$176/ncoc+IF(SUMSQ($E$72:$E$91)=0,0,'TO HOP'!$F$176*$E75/SUMSQ($E$72:$E$91))+IF(SUMSQ($D$72:$D$91)=0,0,'TO HOP'!$G$176*$D75/SUMSQ($D$72:$D$91)))/9.81))</f>
        <v>-24.706206176301123</v>
      </c>
      <c r="AW99" s="51">
        <f>IF($B99="",0,IF(USE_TSPILE=1,AW172,('TO HOP'!$E$177/ncoc+IF(SUMSQ($E$72:$E$91)=0,0,'TO HOP'!$F$177*$E75/SUMSQ($E$72:$E$91))+IF(SUMSQ($D$72:$D$91)=0,0,'TO HOP'!$G$177*$D75/SUMSQ($D$72:$D$91)))/9.81))</f>
        <v>-13.422916245782972</v>
      </c>
      <c r="AX99" s="51">
        <f>IF($B99="",0,IF(USE_TSPILE=1,AX172,('TO HOP'!$E$178/ncoc+IF(SUMSQ($E$72:$E$91)=0,0,'TO HOP'!$F$178*$E75/SUMSQ($E$72:$E$91))+IF(SUMSQ($D$72:$D$91)=0,0,'TO HOP'!$G$178*$D75/SUMSQ($D$72:$D$91)))/9.81))</f>
        <v>6.5468462051794347</v>
      </c>
      <c r="AY99" s="51">
        <f>IF($B99="",0,IF(USE_TSPILE=1,AY172,('TO HOP'!$E$179/ncoc+IF(SUMSQ($E$72:$E$91)=0,0,'TO HOP'!$F$179*$E75/SUMSQ($E$72:$E$91))+IF(SUMSQ($D$72:$D$91)=0,0,'TO HOP'!$G$179*$D75/SUMSQ($D$72:$D$91)))/9.81))</f>
        <v>132.58418642561114</v>
      </c>
      <c r="AZ99" s="51">
        <f>IF($B99="",0,IF(USE_TSPILE=1,AZ172,('TO HOP'!$E$180/ncoc+IF(SUMSQ($E$72:$E$91)=0,0,'TO HOP'!$F$180*$E75/SUMSQ($E$72:$E$91))+IF(SUMSQ($D$72:$D$91)=0,0,'TO HOP'!$G$180*$D75/SUMSQ($D$72:$D$91)))/9.81))</f>
        <v>24.343713113221099</v>
      </c>
      <c r="BA99" s="51">
        <f>IF($B99="",0,IF(USE_TSPILE=1,BA172,('TO HOP'!$E$181/ncoc+IF(SUMSQ($E$72:$E$91)=0,0,'TO HOP'!$F$181*$E75/SUMSQ($E$72:$E$91))+IF(SUMSQ($D$72:$D$91)=0,0,'TO HOP'!$G$181*$D75/SUMSQ($D$72:$D$91)))/9.81))</f>
        <v>77.122454006753571</v>
      </c>
      <c r="BB99" s="51">
        <f>IF($B99="",0,IF(USE_TSPILE=1,BB172,('TO HOP'!$E$182/ncoc+IF(SUMSQ($E$72:$E$91)=0,0,'TO HOP'!$F$182*$E75/SUMSQ($E$72:$E$91))+IF(SUMSQ($D$72:$D$91)=0,0,'TO HOP'!$G$182*$D75/SUMSQ($D$72:$D$91)))/9.81))</f>
        <v>62.213849489792892</v>
      </c>
      <c r="BC99" s="51">
        <f>IF($B99="",0,IF(USE_TSPILE=1,BC172,('TO HOP'!$E$183/ncoc+IF(SUMSQ($E$72:$E$91)=0,0,'TO HOP'!$F$183*$E75/SUMSQ($E$72:$E$91))+IF(SUMSQ($D$72:$D$91)=0,0,'TO HOP'!$G$183*$D75/SUMSQ($D$72:$D$91)))/9.81))</f>
        <v>66.789648450385585</v>
      </c>
      <c r="BD99" s="51">
        <f>IF($B99="",0,IF(USE_TSPILE=1,BD172,('TO HOP'!$E$184/ncoc+IF(SUMSQ($E$72:$E$91)=0,0,'TO HOP'!$F$184*$E75/SUMSQ($E$72:$E$91))+IF(SUMSQ($D$72:$D$91)=0,0,'TO HOP'!$G$184*$D75/SUMSQ($D$72:$D$91)))/9.81))</f>
        <v>87.988626614428142</v>
      </c>
      <c r="BE99" s="51">
        <f>IF($B99="",0,IF(USE_TSPILE=1,BE172,('TO HOP'!$E$185/ncoc+IF(SUMSQ($E$72:$E$91)=0,0,'TO HOP'!$F$185*$E75/SUMSQ($E$72:$E$91))+IF(SUMSQ($D$72:$D$91)=0,0,'TO HOP'!$G$185*$D75/SUMSQ($D$72:$D$91)))/9.81))</f>
        <v>106.60062360292596</v>
      </c>
      <c r="BF99" s="51">
        <f>IF($B99="",0,IF(USE_TSPILE=1,BF172,('TO HOP'!$E$186/ncoc+IF(SUMSQ($E$72:$E$91)=0,0,'TO HOP'!$F$186*$E75/SUMSQ($E$72:$E$91))+IF(SUMSQ($D$72:$D$91)=0,0,'TO HOP'!$G$186*$D75/SUMSQ($D$72:$D$91)))/9.81))</f>
        <v>136.3854344672522</v>
      </c>
      <c r="BG99" s="51">
        <f>IF($B99="",0,IF(USE_TSPILE=1,BG172,('TO HOP'!$E$187/ncoc+IF(SUMSQ($E$72:$E$91)=0,0,'TO HOP'!$F$187*$E75/SUMSQ($E$72:$E$91))+IF(SUMSQ($D$72:$D$91)=0,0,'TO HOP'!$G$187*$D75/SUMSQ($D$72:$D$91)))/9.81))</f>
        <v>33.144830994627625</v>
      </c>
      <c r="BH99" s="51">
        <f>IF($B99="",0,IF(USE_TSPILE=1,BH172,('TO HOP'!$E$188/ncoc+IF(SUMSQ($E$72:$E$91)=0,0,'TO HOP'!$F$188*$E75/SUMSQ($E$72:$E$91))+IF(SUMSQ($D$72:$D$91)=0,0,'TO HOP'!$G$188*$D75/SUMSQ($D$72:$D$91)))/9.81))</f>
        <v>92.173564765028715</v>
      </c>
      <c r="BI99" s="51">
        <f>IF($B99="",0,IF(USE_TSPILE=1,BI172,('TO HOP'!$E$189/ncoc+IF(SUMSQ($E$72:$E$91)=0,0,'TO HOP'!$F$189*$E75/SUMSQ($E$72:$E$91))+IF(SUMSQ($D$72:$D$91)=0,0,'TO HOP'!$G$189*$D75/SUMSQ($D$72:$D$91)))/9.81))</f>
        <v>211.62155850588701</v>
      </c>
      <c r="BJ99" s="51">
        <f>IF($B99="",0,IF(USE_TSPILE=1,BJ172,('TO HOP'!$E$190/ncoc+IF(SUMSQ($E$72:$E$91)=0,0,'TO HOP'!$F$190*$E75/SUMSQ($E$72:$E$91))+IF(SUMSQ($D$72:$D$91)=0,0,'TO HOP'!$G$190*$D75/SUMSQ($D$72:$D$91)))/9.81))</f>
        <v>277.46802264842427</v>
      </c>
      <c r="BK99" s="51">
        <f>IF($B99="",0,IF(USE_TSPILE=1,BK172,('TO HOP'!$E$191/ncoc+IF(SUMSQ($E$72:$E$91)=0,0,'TO HOP'!$F$191*$E75/SUMSQ($E$72:$E$91))+IF(SUMSQ($D$72:$D$91)=0,0,'TO HOP'!$G$191*$D75/SUMSQ($D$72:$D$91)))/9.81))</f>
        <v>275.9598398036523</v>
      </c>
      <c r="BL99" s="51">
        <f>IF($B99="",0,IF(USE_TSPILE=1,BL172,('TO HOP'!$E$192/ncoc+IF(SUMSQ($E$72:$E$91)=0,0,'TO HOP'!$F$192*$E75/SUMSQ($E$72:$E$91))+IF(SUMSQ($D$72:$D$91)=0,0,'TO HOP'!$G$192*$D75/SUMSQ($D$72:$D$91)))/9.81))</f>
        <v>275.9598398036523</v>
      </c>
    </row>
    <row r="100" spans="2:64" x14ac:dyDescent="0.3">
      <c r="B100" s="14">
        <f>IF(5&lt;=ncoc,5,"")</f>
        <v>5</v>
      </c>
      <c r="C100" s="51">
        <f>IF($B100="",0,IF(USE_TSPILE=1,C173,('TO HOP'!$E$131/ncoc+IF(SUMSQ($E$72:$E$91)=0,0,'TO HOP'!$F$131*$E76/SUMSQ($E$72:$E$91))+IF(SUMSQ($D$72:$D$91)=0,0,'TO HOP'!$G$131*$D76/SUMSQ($D$72:$D$91)))/9.81))</f>
        <v>665.64419049897606</v>
      </c>
      <c r="D100" s="51">
        <f>IF($B100="",0,IF(USE_TSPILE=1,D173,('TO HOP'!$E$132/ncoc+IF(SUMSQ($E$72:$E$91)=0,0,'TO HOP'!$F$132*$E76/SUMSQ($E$72:$E$91))+IF(SUMSQ($D$72:$D$91)=0,0,'TO HOP'!$G$132*$D76/SUMSQ($D$72:$D$91)))/9.81))</f>
        <v>696.19378106879401</v>
      </c>
      <c r="E100" s="51">
        <f>IF($B100="",0,IF(USE_TSPILE=1,E173,('TO HOP'!$E$133/ncoc+IF(SUMSQ($E$72:$E$91)=0,0,'TO HOP'!$F$133*$E76/SUMSQ($E$72:$E$91))+IF(SUMSQ($D$72:$D$91)=0,0,'TO HOP'!$G$133*$D76/SUMSQ($D$72:$D$91)))/9.81))</f>
        <v>706.21479898109703</v>
      </c>
      <c r="F100" s="51">
        <f>IF($B100="",0,IF(USE_TSPILE=1,F173,('TO HOP'!$E$134/ncoc+IF(SUMSQ($E$72:$E$91)=0,0,'TO HOP'!$F$134*$E76/SUMSQ($E$72:$E$91))+IF(SUMSQ($D$72:$D$91)=0,0,'TO HOP'!$G$134*$D76/SUMSQ($D$72:$D$91)))/9.81))</f>
        <v>691.73098843144953</v>
      </c>
      <c r="G100" s="51">
        <f>IF($B100="",0,IF(USE_TSPILE=1,G173,('TO HOP'!$E$135/ncoc+IF(SUMSQ($E$72:$E$91)=0,0,'TO HOP'!$F$135*$E76/SUMSQ($E$72:$E$91))+IF(SUMSQ($D$72:$D$91)=0,0,'TO HOP'!$G$135*$D76/SUMSQ($D$72:$D$91)))/9.81))</f>
        <v>693.79309509644258</v>
      </c>
      <c r="H100" s="51">
        <f>IF($B100="",0,IF(USE_TSPILE=1,H173,('TO HOP'!$E$136/ncoc+IF(SUMSQ($E$72:$E$91)=0,0,'TO HOP'!$F$136*$E76/SUMSQ($E$72:$E$91))+IF(SUMSQ($D$72:$D$91)=0,0,'TO HOP'!$G$136*$D76/SUMSQ($D$72:$D$91)))/9.81))</f>
        <v>687.57904333489614</v>
      </c>
      <c r="I100" s="51">
        <f>IF($B100="",0,IF(USE_TSPILE=1,I173,('TO HOP'!$E$137/ncoc+IF(SUMSQ($E$72:$E$91)=0,0,'TO HOP'!$F$137*$E76/SUMSQ($E$72:$E$91))+IF(SUMSQ($D$72:$D$91)=0,0,'TO HOP'!$G$137*$D76/SUMSQ($D$72:$D$91)))/9.81))</f>
        <v>615.35061236846605</v>
      </c>
      <c r="J100" s="51">
        <f>IF($B100="",0,IF(USE_TSPILE=1,J173,('TO HOP'!$E$138/ncoc+IF(SUMSQ($E$72:$E$91)=0,0,'TO HOP'!$F$138*$E76/SUMSQ($E$72:$E$91))+IF(SUMSQ($D$72:$D$91)=0,0,'TO HOP'!$G$138*$D76/SUMSQ($D$72:$D$91)))/9.81))</f>
        <v>625.10370227672297</v>
      </c>
      <c r="K100" s="51">
        <f>IF($B100="",0,IF(USE_TSPILE=1,K173,('TO HOP'!$E$139/ncoc+IF(SUMSQ($E$72:$E$91)=0,0,'TO HOP'!$F$139*$E76/SUMSQ($E$72:$E$91))+IF(SUMSQ($D$72:$D$91)=0,0,'TO HOP'!$G$139*$D76/SUMSQ($D$72:$D$91)))/9.81))</f>
        <v>631.80895158864951</v>
      </c>
      <c r="L100" s="51">
        <f>IF($B100="",0,IF(USE_TSPILE=1,L173,('TO HOP'!$E$140/ncoc+IF(SUMSQ($E$72:$E$91)=0,0,'TO HOP'!$F$140*$E76/SUMSQ($E$72:$E$91))+IF(SUMSQ($D$72:$D$91)=0,0,'TO HOP'!$G$140*$D76/SUMSQ($D$72:$D$91)))/9.81))</f>
        <v>632.41851970791561</v>
      </c>
      <c r="M100" s="51">
        <f>IF($B100="",0,IF(USE_TSPILE=1,M173,('TO HOP'!$E$141/ncoc+IF(SUMSQ($E$72:$E$91)=0,0,'TO HOP'!$F$141*$E76/SUMSQ($E$72:$E$91))+IF(SUMSQ($D$72:$D$91)=0,0,'TO HOP'!$G$141*$D76/SUMSQ($D$72:$D$91)))/9.81))</f>
        <v>640.34290525837423</v>
      </c>
      <c r="N100" s="51">
        <f>IF($B100="",0,IF(USE_TSPILE=1,N173,('TO HOP'!$E$142/ncoc+IF(SUMSQ($E$72:$E$91)=0,0,'TO HOP'!$F$142*$E76/SUMSQ($E$72:$E$91))+IF(SUMSQ($D$72:$D$91)=0,0,'TO HOP'!$G$142*$D76/SUMSQ($D$72:$D$91)))/9.81))</f>
        <v>648.26729080883297</v>
      </c>
      <c r="O100" s="51">
        <f>IF($B100="",0,IF(USE_TSPILE=1,O173,('TO HOP'!$E$143/ncoc+IF(SUMSQ($E$72:$E$91)=0,0,'TO HOP'!$F$143*$E76/SUMSQ($E$72:$E$91))+IF(SUMSQ($D$72:$D$91)=0,0,'TO HOP'!$G$143*$D76/SUMSQ($D$72:$D$91)))/9.81))</f>
        <v>643.02123507959288</v>
      </c>
      <c r="P100" s="51">
        <f>IF($B100="",0,IF(USE_TSPILE=1,P173,('TO HOP'!$E$144/ncoc+IF(SUMSQ($E$72:$E$91)=0,0,'TO HOP'!$F$144*$E76/SUMSQ($E$72:$E$91))+IF(SUMSQ($D$72:$D$91)=0,0,'TO HOP'!$G$144*$D76/SUMSQ($D$72:$D$91)))/9.81))</f>
        <v>663.58494743663539</v>
      </c>
      <c r="Q100" s="51">
        <f>IF($B100="",0,IF(USE_TSPILE=1,Q173,('TO HOP'!$E$145/ncoc+IF(SUMSQ($E$72:$E$91)=0,0,'TO HOP'!$F$145*$E76/SUMSQ($E$72:$E$91))+IF(SUMSQ($D$72:$D$91)=0,0,'TO HOP'!$G$145*$D76/SUMSQ($D$72:$D$91)))/9.81))</f>
        <v>671.13605348528165</v>
      </c>
      <c r="R100" s="51">
        <f>IF($B100="",0,IF(USE_TSPILE=1,R173,('TO HOP'!$E$146/ncoc+IF(SUMSQ($E$72:$E$91)=0,0,'TO HOP'!$F$146*$E76/SUMSQ($E$72:$E$91))+IF(SUMSQ($D$72:$D$91)=0,0,'TO HOP'!$G$146*$D76/SUMSQ($D$72:$D$91)))/9.81))</f>
        <v>662.58934408335745</v>
      </c>
      <c r="S100" s="51">
        <f>IF($B100="",0,IF(USE_TSPILE=1,S173,('TO HOP'!$E$147/ncoc+IF(SUMSQ($E$72:$E$91)=0,0,'TO HOP'!$F$147*$E76/SUMSQ($E$72:$E$91))+IF(SUMSQ($D$72:$D$91)=0,0,'TO HOP'!$G$147*$D76/SUMSQ($D$72:$D$91)))/9.81))</f>
        <v>665.64718926989894</v>
      </c>
      <c r="T100" s="51">
        <f>IF($B100="",0,IF(USE_TSPILE=1,T173,('TO HOP'!$E$148/ncoc+IF(SUMSQ($E$72:$E$91)=0,0,'TO HOP'!$F$148*$E76/SUMSQ($E$72:$E$91))+IF(SUMSQ($D$72:$D$91)=0,0,'TO HOP'!$G$148*$D76/SUMSQ($D$72:$D$91)))/9.81))</f>
        <v>663.74133587332926</v>
      </c>
      <c r="U100" s="51">
        <f>IF($B100="",0,IF(USE_TSPILE=1,U173,('TO HOP'!$E$149/ncoc+IF(SUMSQ($E$72:$E$91)=0,0,'TO HOP'!$F$149*$E76/SUMSQ($E$72:$E$91))+IF(SUMSQ($D$72:$D$91)=0,0,'TO HOP'!$G$149*$D76/SUMSQ($D$72:$D$91)))/9.81))</f>
        <v>707.92786579410699</v>
      </c>
      <c r="V100" s="51">
        <f>IF($B100="",0,IF(USE_TSPILE=1,V173,('TO HOP'!$E$150/ncoc+IF(SUMSQ($E$72:$E$91)=0,0,'TO HOP'!$F$150*$E76/SUMSQ($E$72:$E$91))+IF(SUMSQ($D$72:$D$91)=0,0,'TO HOP'!$G$150*$D76/SUMSQ($D$72:$D$91)))/9.81))</f>
        <v>761.38964929128849</v>
      </c>
      <c r="W100" s="51">
        <f>IF($B100="",0,IF(USE_TSPILE=1,W173,('TO HOP'!$E$151/ncoc+IF(SUMSQ($E$72:$E$91)=0,0,'TO HOP'!$F$151*$E76/SUMSQ($E$72:$E$91))+IF(SUMSQ($D$72:$D$91)=0,0,'TO HOP'!$G$151*$D76/SUMSQ($D$72:$D$91)))/9.81))</f>
        <v>778.92643063781873</v>
      </c>
      <c r="X100" s="51">
        <f>IF($B100="",0,IF(USE_TSPILE=1,X173,('TO HOP'!$E$152/ncoc+IF(SUMSQ($E$72:$E$91)=0,0,'TO HOP'!$F$152*$E76/SUMSQ($E$72:$E$91))+IF(SUMSQ($D$72:$D$91)=0,0,'TO HOP'!$G$152*$D76/SUMSQ($D$72:$D$91)))/9.81))</f>
        <v>753.57976217593557</v>
      </c>
      <c r="Y100" s="51">
        <f>IF($B100="",0,IF(USE_TSPILE=1,Y173,('TO HOP'!$E$153/ncoc+IF(SUMSQ($E$72:$E$91)=0,0,'TO HOP'!$F$153*$E76/SUMSQ($E$72:$E$91))+IF(SUMSQ($D$72:$D$91)=0,0,'TO HOP'!$G$153*$D76/SUMSQ($D$72:$D$91)))/9.81))</f>
        <v>757.18844883967358</v>
      </c>
      <c r="Z100" s="51">
        <f>IF($B100="",0,IF(USE_TSPILE=1,Z173,('TO HOP'!$E$154/ncoc+IF(SUMSQ($E$72:$E$91)=0,0,'TO HOP'!$F$154*$E76/SUMSQ($E$72:$E$91))+IF(SUMSQ($D$72:$D$91)=0,0,'TO HOP'!$G$154*$D76/SUMSQ($D$72:$D$91)))/9.81))</f>
        <v>746.31385825696725</v>
      </c>
      <c r="AA100" s="51">
        <f>IF($B100="",0,IF(USE_TSPILE=1,AA173,('TO HOP'!$E$155/ncoc+IF(SUMSQ($E$72:$E$91)=0,0,'TO HOP'!$F$155*$E76/SUMSQ($E$72:$E$91))+IF(SUMSQ($D$72:$D$91)=0,0,'TO HOP'!$G$155*$D76/SUMSQ($D$72:$D$91)))/9.81))</f>
        <v>619.91410406571447</v>
      </c>
      <c r="AB100" s="51">
        <f>IF($B100="",0,IF(USE_TSPILE=1,AB173,('TO HOP'!$E$156/ncoc+IF(SUMSQ($E$72:$E$91)=0,0,'TO HOP'!$F$156*$E76/SUMSQ($E$72:$E$91))+IF(SUMSQ($D$72:$D$91)=0,0,'TO HOP'!$G$156*$D76/SUMSQ($D$72:$D$91)))/9.81))</f>
        <v>636.98201140516403</v>
      </c>
      <c r="AC100" s="51">
        <f>IF($B100="",0,IF(USE_TSPILE=1,AC173,('TO HOP'!$E$157/ncoc+IF(SUMSQ($E$72:$E$91)=0,0,'TO HOP'!$F$157*$E76/SUMSQ($E$72:$E$91))+IF(SUMSQ($D$72:$D$91)=0,0,'TO HOP'!$G$157*$D76/SUMSQ($D$72:$D$91)))/9.81))</f>
        <v>648.71619770103564</v>
      </c>
      <c r="AD100" s="51">
        <f>IF($B100="",0,IF(USE_TSPILE=1,AD173,('TO HOP'!$E$158/ncoc+IF(SUMSQ($E$72:$E$91)=0,0,'TO HOP'!$F$158*$E76/SUMSQ($E$72:$E$91))+IF(SUMSQ($D$72:$D$91)=0,0,'TO HOP'!$G$158*$D76/SUMSQ($D$72:$D$91)))/9.81))</f>
        <v>649.78294190975123</v>
      </c>
      <c r="AE100" s="51">
        <f>IF($B100="",0,IF(USE_TSPILE=1,AE173,('TO HOP'!$E$159/ncoc+IF(SUMSQ($E$72:$E$91)=0,0,'TO HOP'!$F$159*$E76/SUMSQ($E$72:$E$91))+IF(SUMSQ($D$72:$D$91)=0,0,'TO HOP'!$G$159*$D76/SUMSQ($D$72:$D$91)))/9.81))</f>
        <v>663.65061662305391</v>
      </c>
      <c r="AF100" s="51">
        <f>IF($B100="",0,IF(USE_TSPILE=1,AF173,('TO HOP'!$E$160/ncoc+IF(SUMSQ($E$72:$E$91)=0,0,'TO HOP'!$F$160*$E76/SUMSQ($E$72:$E$91))+IF(SUMSQ($D$72:$D$91)=0,0,'TO HOP'!$G$160*$D76/SUMSQ($D$72:$D$91)))/9.81))</f>
        <v>677.5182913363567</v>
      </c>
      <c r="AG100" s="51">
        <f>IF($B100="",0,IF(USE_TSPILE=1,AG173,('TO HOP'!$E$161/ncoc+IF(SUMSQ($E$72:$E$91)=0,0,'TO HOP'!$F$161*$E76/SUMSQ($E$72:$E$91))+IF(SUMSQ($D$72:$D$91)=0,0,'TO HOP'!$G$161*$D76/SUMSQ($D$72:$D$91)))/9.81))</f>
        <v>668.33769381018669</v>
      </c>
      <c r="AH100" s="51">
        <f>IF($B100="",0,IF(USE_TSPILE=1,AH173,('TO HOP'!$E$162/ncoc+IF(SUMSQ($E$72:$E$91)=0,0,'TO HOP'!$F$162*$E76/SUMSQ($E$72:$E$91))+IF(SUMSQ($D$72:$D$91)=0,0,'TO HOP'!$G$162*$D76/SUMSQ($D$72:$D$91)))/9.81))</f>
        <v>704.32419043501079</v>
      </c>
      <c r="AI100" s="51">
        <f>IF($B100="",0,IF(USE_TSPILE=1,AI173,('TO HOP'!$E$163/ncoc+IF(SUMSQ($E$72:$E$91)=0,0,'TO HOP'!$F$163*$E76/SUMSQ($E$72:$E$91))+IF(SUMSQ($D$72:$D$91)=0,0,'TO HOP'!$G$163*$D76/SUMSQ($D$72:$D$91)))/9.81))</f>
        <v>717.53862602014158</v>
      </c>
      <c r="AJ100" s="51">
        <f>IF($B100="",0,IF(USE_TSPILE=1,AJ173,('TO HOP'!$E$164/ncoc+IF(SUMSQ($E$72:$E$91)=0,0,'TO HOP'!$F$164*$E76/SUMSQ($E$72:$E$91))+IF(SUMSQ($D$72:$D$91)=0,0,'TO HOP'!$G$164*$D76/SUMSQ($D$72:$D$91)))/9.81))</f>
        <v>702.58188456677442</v>
      </c>
      <c r="AK100" s="51">
        <f>IF($B100="",0,IF(USE_TSPILE=1,AK173,('TO HOP'!$E$165/ncoc+IF(SUMSQ($E$72:$E$91)=0,0,'TO HOP'!$F$165*$E76/SUMSQ($E$72:$E$91))+IF(SUMSQ($D$72:$D$91)=0,0,'TO HOP'!$G$165*$D76/SUMSQ($D$72:$D$91)))/9.81))</f>
        <v>707.93311364322199</v>
      </c>
      <c r="AL100" s="51">
        <f>IF($B100="",0,IF(USE_TSPILE=1,AL173,('TO HOP'!$E$166/ncoc+IF(SUMSQ($E$72:$E$91)=0,0,'TO HOP'!$F$166*$E76/SUMSQ($E$72:$E$91))+IF(SUMSQ($D$72:$D$91)=0,0,'TO HOP'!$G$166*$D76/SUMSQ($D$72:$D$91)))/9.81))</f>
        <v>704.59787019922521</v>
      </c>
      <c r="AM100" s="51">
        <f>IF($B100="",0,IF(USE_TSPILE=1,AM173,('TO HOP'!$E$167/ncoc+IF(SUMSQ($E$72:$E$91)=0,0,'TO HOP'!$F$167*$E76/SUMSQ($E$72:$E$91))+IF(SUMSQ($D$72:$D$91)=0,0,'TO HOP'!$G$167*$D76/SUMSQ($D$72:$D$91)))/9.81))</f>
        <v>599.68739248171687</v>
      </c>
      <c r="AN100" s="51">
        <f>IF($B100="",0,IF(USE_TSPILE=1,AN173,('TO HOP'!$E$168/ncoc+IF(SUMSQ($E$72:$E$91)=0,0,'TO HOP'!$F$168*$E76/SUMSQ($E$72:$E$91))+IF(SUMSQ($D$72:$D$91)=0,0,'TO HOP'!$G$168*$D76/SUMSQ($D$72:$D$91)))/9.81))</f>
        <v>653.14917597889837</v>
      </c>
      <c r="AO100" s="51">
        <f>IF($B100="",0,IF(USE_TSPILE=1,AO173,('TO HOP'!$E$169/ncoc+IF(SUMSQ($E$72:$E$91)=0,0,'TO HOP'!$F$169*$E76/SUMSQ($E$72:$E$91))+IF(SUMSQ($D$72:$D$91)=0,0,'TO HOP'!$G$169*$D76/SUMSQ($D$72:$D$91)))/9.81))</f>
        <v>670.68595732542872</v>
      </c>
      <c r="AP100" s="51">
        <f>IF($B100="",0,IF(USE_TSPILE=1,AP173,('TO HOP'!$E$170/ncoc+IF(SUMSQ($E$72:$E$91)=0,0,'TO HOP'!$F$170*$E76/SUMSQ($E$72:$E$91))+IF(SUMSQ($D$72:$D$91)=0,0,'TO HOP'!$G$170*$D76/SUMSQ($D$72:$D$91)))/9.81))</f>
        <v>645.33928886354556</v>
      </c>
      <c r="AQ100" s="51">
        <f>IF($B100="",0,IF(USE_TSPILE=1,AQ173,('TO HOP'!$E$171/ncoc+IF(SUMSQ($E$72:$E$91)=0,0,'TO HOP'!$F$171*$E76/SUMSQ($E$72:$E$91))+IF(SUMSQ($D$72:$D$91)=0,0,'TO HOP'!$G$171*$D76/SUMSQ($D$72:$D$91)))/9.81))</f>
        <v>648.94797552728357</v>
      </c>
      <c r="AR100" s="51">
        <f>IF($B100="",0,IF(USE_TSPILE=1,AR173,('TO HOP'!$E$172/ncoc+IF(SUMSQ($E$72:$E$91)=0,0,'TO HOP'!$F$172*$E76/SUMSQ($E$72:$E$91))+IF(SUMSQ($D$72:$D$91)=0,0,'TO HOP'!$G$172*$D76/SUMSQ($D$72:$D$91)))/9.81))</f>
        <v>638.07338494457713</v>
      </c>
      <c r="AS100" s="51">
        <f>IF($B100="",0,IF(USE_TSPILE=1,AS173,('TO HOP'!$E$173/ncoc+IF(SUMSQ($E$72:$E$91)=0,0,'TO HOP'!$F$173*$E76/SUMSQ($E$72:$E$91))+IF(SUMSQ($D$72:$D$91)=0,0,'TO HOP'!$G$173*$D76/SUMSQ($D$72:$D$91)))/9.81))</f>
        <v>560.09722049779657</v>
      </c>
      <c r="AT100" s="51">
        <f>IF($B100="",0,IF(USE_TSPILE=1,AT173,('TO HOP'!$E$174/ncoc+IF(SUMSQ($E$72:$E$91)=0,0,'TO HOP'!$F$174*$E76/SUMSQ($E$72:$E$91))+IF(SUMSQ($D$72:$D$91)=0,0,'TO HOP'!$G$174*$D76/SUMSQ($D$72:$D$91)))/9.81))</f>
        <v>596.08371712262078</v>
      </c>
      <c r="AU100" s="51">
        <f>IF($B100="",0,IF(USE_TSPILE=1,AU173,('TO HOP'!$E$175/ncoc+IF(SUMSQ($E$72:$E$91)=0,0,'TO HOP'!$F$175*$E76/SUMSQ($E$72:$E$91))+IF(SUMSQ($D$72:$D$91)=0,0,'TO HOP'!$G$175*$D76/SUMSQ($D$72:$D$91)))/9.81))</f>
        <v>609.29815270775157</v>
      </c>
      <c r="AV100" s="51">
        <f>IF($B100="",0,IF(USE_TSPILE=1,AV173,('TO HOP'!$E$176/ncoc+IF(SUMSQ($E$72:$E$91)=0,0,'TO HOP'!$F$176*$E76/SUMSQ($E$72:$E$91))+IF(SUMSQ($D$72:$D$91)=0,0,'TO HOP'!$G$176*$D76/SUMSQ($D$72:$D$91)))/9.81))</f>
        <v>594.34141125438441</v>
      </c>
      <c r="AW100" s="51">
        <f>IF($B100="",0,IF(USE_TSPILE=1,AW173,('TO HOP'!$E$177/ncoc+IF(SUMSQ($E$72:$E$91)=0,0,'TO HOP'!$F$177*$E76/SUMSQ($E$72:$E$91))+IF(SUMSQ($D$72:$D$91)=0,0,'TO HOP'!$G$177*$D76/SUMSQ($D$72:$D$91)))/9.81))</f>
        <v>599.69264033083198</v>
      </c>
      <c r="AX100" s="51">
        <f>IF($B100="",0,IF(USE_TSPILE=1,AX173,('TO HOP'!$E$178/ncoc+IF(SUMSQ($E$72:$E$91)=0,0,'TO HOP'!$F$178*$E76/SUMSQ($E$72:$E$91))+IF(SUMSQ($D$72:$D$91)=0,0,'TO HOP'!$G$178*$D76/SUMSQ($D$72:$D$91)))/9.81))</f>
        <v>596.35739688683509</v>
      </c>
      <c r="AY100" s="51">
        <f>IF($B100="",0,IF(USE_TSPILE=1,AY173,('TO HOP'!$E$179/ncoc+IF(SUMSQ($E$72:$E$91)=0,0,'TO HOP'!$F$179*$E76/SUMSQ($E$72:$E$91))+IF(SUMSQ($D$72:$D$91)=0,0,'TO HOP'!$G$179*$D76/SUMSQ($D$72:$D$91)))/9.81))</f>
        <v>550.32368829361258</v>
      </c>
      <c r="AZ100" s="51">
        <f>IF($B100="",0,IF(USE_TSPILE=1,AZ173,('TO HOP'!$E$180/ncoc+IF(SUMSQ($E$72:$E$91)=0,0,'TO HOP'!$F$180*$E76/SUMSQ($E$72:$E$91))+IF(SUMSQ($D$72:$D$91)=0,0,'TO HOP'!$G$180*$D76/SUMSQ($D$72:$D$91)))/9.81))</f>
        <v>442.08321498122251</v>
      </c>
      <c r="BA100" s="51">
        <f>IF($B100="",0,IF(USE_TSPILE=1,BA173,('TO HOP'!$E$181/ncoc+IF(SUMSQ($E$72:$E$91)=0,0,'TO HOP'!$F$181*$E76/SUMSQ($E$72:$E$91))+IF(SUMSQ($D$72:$D$91)=0,0,'TO HOP'!$G$181*$D76/SUMSQ($D$72:$D$91)))/9.81))</f>
        <v>681.95563579668737</v>
      </c>
      <c r="BB100" s="51">
        <f>IF($B100="",0,IF(USE_TSPILE=1,BB173,('TO HOP'!$E$182/ncoc+IF(SUMSQ($E$72:$E$91)=0,0,'TO HOP'!$F$182*$E76/SUMSQ($E$72:$E$91))+IF(SUMSQ($D$72:$D$91)=0,0,'TO HOP'!$G$182*$D76/SUMSQ($D$72:$D$91)))/9.81))</f>
        <v>723.19758306594167</v>
      </c>
      <c r="BC100" s="51">
        <f>IF($B100="",0,IF(USE_TSPILE=1,BC173,('TO HOP'!$E$183/ncoc+IF(SUMSQ($E$72:$E$91)=0,0,'TO HOP'!$F$183*$E76/SUMSQ($E$72:$E$91))+IF(SUMSQ($D$72:$D$91)=0,0,'TO HOP'!$G$183*$D76/SUMSQ($D$72:$D$91)))/9.81))</f>
        <v>736.72595724755081</v>
      </c>
      <c r="BD100" s="51">
        <f>IF($B100="",0,IF(USE_TSPILE=1,BD173,('TO HOP'!$E$184/ncoc+IF(SUMSQ($E$72:$E$91)=0,0,'TO HOP'!$F$184*$E76/SUMSQ($E$72:$E$91))+IF(SUMSQ($D$72:$D$91)=0,0,'TO HOP'!$G$184*$D76/SUMSQ($D$72:$D$91)))/9.81))</f>
        <v>717.17281300552668</v>
      </c>
      <c r="BE100" s="51">
        <f>IF($B100="",0,IF(USE_TSPILE=1,BE173,('TO HOP'!$E$185/ncoc+IF(SUMSQ($E$72:$E$91)=0,0,'TO HOP'!$F$185*$E76/SUMSQ($E$72:$E$91))+IF(SUMSQ($D$72:$D$91)=0,0,'TO HOP'!$G$185*$D76/SUMSQ($D$72:$D$91)))/9.81))</f>
        <v>719.95665700326754</v>
      </c>
      <c r="BF100" s="51">
        <f>IF($B100="",0,IF(USE_TSPILE=1,BF173,('TO HOP'!$E$186/ncoc+IF(SUMSQ($E$72:$E$91)=0,0,'TO HOP'!$F$186*$E76/SUMSQ($E$72:$E$91))+IF(SUMSQ($D$72:$D$91)=0,0,'TO HOP'!$G$186*$D76/SUMSQ($D$72:$D$91)))/9.81))</f>
        <v>711.56768712517965</v>
      </c>
      <c r="BG100" s="51">
        <f>IF($B100="",0,IF(USE_TSPILE=1,BG173,('TO HOP'!$E$187/ncoc+IF(SUMSQ($E$72:$E$91)=0,0,'TO HOP'!$F$187*$E76/SUMSQ($E$72:$E$91))+IF(SUMSQ($D$72:$D$91)=0,0,'TO HOP'!$G$187*$D76/SUMSQ($D$72:$D$91)))/9.81))</f>
        <v>583.08762404078584</v>
      </c>
      <c r="BH100" s="51">
        <f>IF($B100="",0,IF(USE_TSPILE=1,BH173,('TO HOP'!$E$188/ncoc+IF(SUMSQ($E$72:$E$91)=0,0,'TO HOP'!$F$188*$E76/SUMSQ($E$72:$E$91))+IF(SUMSQ($D$72:$D$91)=0,0,'TO HOP'!$G$188*$D76/SUMSQ($D$72:$D$91)))/9.81))</f>
        <v>524.05889027038472</v>
      </c>
      <c r="BI100" s="51">
        <f>IF($B100="",0,IF(USE_TSPILE=1,BI173,('TO HOP'!$E$189/ncoc+IF(SUMSQ($E$72:$E$91)=0,0,'TO HOP'!$F$189*$E76/SUMSQ($E$72:$E$91))+IF(SUMSQ($D$72:$D$91)=0,0,'TO HOP'!$G$189*$D76/SUMSQ($D$72:$D$91)))/9.81))</f>
        <v>555.50283047186588</v>
      </c>
      <c r="BJ100" s="51">
        <f>IF($B100="",0,IF(USE_TSPILE=1,BJ173,('TO HOP'!$E$190/ncoc+IF(SUMSQ($E$72:$E$91)=0,0,'TO HOP'!$F$190*$E76/SUMSQ($E$72:$E$91))+IF(SUMSQ($D$72:$D$91)=0,0,'TO HOP'!$G$190*$D76/SUMSQ($D$72:$D$91)))/9.81))</f>
        <v>489.65636632932865</v>
      </c>
      <c r="BK100" s="51">
        <f>IF($B100="",0,IF(USE_TSPILE=1,BK173,('TO HOP'!$E$191/ncoc+IF(SUMSQ($E$72:$E$91)=0,0,'TO HOP'!$F$191*$E76/SUMSQ($E$72:$E$91))+IF(SUMSQ($D$72:$D$91)=0,0,'TO HOP'!$G$191*$D76/SUMSQ($D$72:$D$91)))/9.81))</f>
        <v>491.16454917410061</v>
      </c>
      <c r="BL100" s="51">
        <f>IF($B100="",0,IF(USE_TSPILE=1,BL173,('TO HOP'!$E$192/ncoc+IF(SUMSQ($E$72:$E$91)=0,0,'TO HOP'!$F$192*$E76/SUMSQ($E$72:$E$91))+IF(SUMSQ($D$72:$D$91)=0,0,'TO HOP'!$G$192*$D76/SUMSQ($D$72:$D$91)))/9.81))</f>
        <v>491.16454917410061</v>
      </c>
    </row>
    <row r="101" spans="2:64" x14ac:dyDescent="0.3">
      <c r="B101" s="14">
        <f>IF(6&lt;=ncoc,6,"")</f>
        <v>6</v>
      </c>
      <c r="C101" s="51">
        <f>IF($B101="",0,IF(USE_TSPILE=1,C174,('TO HOP'!$E$131/ncoc+IF(SUMSQ($E$72:$E$91)=0,0,'TO HOP'!$F$131*$E77/SUMSQ($E$72:$E$91))+IF(SUMSQ($D$72:$D$91)=0,0,'TO HOP'!$G$131*$D77/SUMSQ($D$72:$D$91)))/9.81))</f>
        <v>627.9116738991612</v>
      </c>
      <c r="D101" s="51">
        <f>IF($B101="",0,IF(USE_TSPILE=1,D174,('TO HOP'!$E$132/ncoc+IF(SUMSQ($E$72:$E$91)=0,0,'TO HOP'!$F$132*$E77/SUMSQ($E$72:$E$91))+IF(SUMSQ($D$72:$D$91)=0,0,'TO HOP'!$G$132*$D77/SUMSQ($D$72:$D$91)))/9.81))</f>
        <v>644.59693069460513</v>
      </c>
      <c r="E101" s="51">
        <f>IF($B101="",0,IF(USE_TSPILE=1,E174,('TO HOP'!$E$133/ncoc+IF(SUMSQ($E$72:$E$91)=0,0,'TO HOP'!$F$133*$E77/SUMSQ($E$72:$E$91))+IF(SUMSQ($D$72:$D$91)=0,0,'TO HOP'!$G$133*$D77/SUMSQ($D$72:$D$91)))/9.81))</f>
        <v>652.40743620665717</v>
      </c>
      <c r="F101" s="51">
        <f>IF($B101="",0,IF(USE_TSPILE=1,F174,('TO HOP'!$E$134/ncoc+IF(SUMSQ($E$72:$E$91)=0,0,'TO HOP'!$F$134*$E77/SUMSQ($E$72:$E$91))+IF(SUMSQ($D$72:$D$91)=0,0,'TO HOP'!$G$134*$D77/SUMSQ($D$72:$D$91)))/9.81))</f>
        <v>647.98587810295203</v>
      </c>
      <c r="G101" s="51">
        <f>IF($B101="",0,IF(USE_TSPILE=1,G174,('TO HOP'!$E$135/ncoc+IF(SUMSQ($E$72:$E$91)=0,0,'TO HOP'!$F$135*$E77/SUMSQ($E$72:$E$91))+IF(SUMSQ($D$72:$D$91)=0,0,'TO HOP'!$G$135*$D77/SUMSQ($D$72:$D$91)))/9.81))</f>
        <v>653.95617069158891</v>
      </c>
      <c r="H101" s="51">
        <f>IF($B101="",0,IF(USE_TSPILE=1,H174,('TO HOP'!$E$136/ncoc+IF(SUMSQ($E$72:$E$91)=0,0,'TO HOP'!$F$136*$E77/SUMSQ($E$72:$E$91))+IF(SUMSQ($D$72:$D$91)=0,0,'TO HOP'!$G$136*$D77/SUMSQ($D$72:$D$91)))/9.81))</f>
        <v>657.16774380471259</v>
      </c>
      <c r="I101" s="51">
        <f>IF($B101="",0,IF(USE_TSPILE=1,I174,('TO HOP'!$E$137/ncoc+IF(SUMSQ($E$72:$E$91)=0,0,'TO HOP'!$F$137*$E77/SUMSQ($E$72:$E$91))+IF(SUMSQ($D$72:$D$91)=0,0,'TO HOP'!$G$137*$D77/SUMSQ($D$72:$D$91)))/9.81))</f>
        <v>611.14714785565786</v>
      </c>
      <c r="J101" s="51">
        <f>IF($B101="",0,IF(USE_TSPILE=1,J174,('TO HOP'!$E$138/ncoc+IF(SUMSQ($E$72:$E$91)=0,0,'TO HOP'!$F$138*$E77/SUMSQ($E$72:$E$91))+IF(SUMSQ($D$72:$D$91)=0,0,'TO HOP'!$G$138*$D77/SUMSQ($D$72:$D$91)))/9.81))</f>
        <v>620.90023776391479</v>
      </c>
      <c r="K101" s="51">
        <f>IF($B101="",0,IF(USE_TSPILE=1,K174,('TO HOP'!$E$139/ncoc+IF(SUMSQ($E$72:$E$91)=0,0,'TO HOP'!$F$139*$E77/SUMSQ($E$72:$E$91))+IF(SUMSQ($D$72:$D$91)=0,0,'TO HOP'!$G$139*$D77/SUMSQ($D$72:$D$91)))/9.81))</f>
        <v>627.60548707584132</v>
      </c>
      <c r="L101" s="51">
        <f>IF($B101="",0,IF(USE_TSPILE=1,L174,('TO HOP'!$E$140/ncoc+IF(SUMSQ($E$72:$E$91)=0,0,'TO HOP'!$F$140*$E77/SUMSQ($E$72:$E$91))+IF(SUMSQ($D$72:$D$91)=0,0,'TO HOP'!$G$140*$D77/SUMSQ($D$72:$D$91)))/9.81))</f>
        <v>628.21505519510742</v>
      </c>
      <c r="M101" s="51">
        <f>IF($B101="",0,IF(USE_TSPILE=1,M174,('TO HOP'!$E$141/ncoc+IF(SUMSQ($E$72:$E$91)=0,0,'TO HOP'!$F$141*$E77/SUMSQ($E$72:$E$91))+IF(SUMSQ($D$72:$D$91)=0,0,'TO HOP'!$G$141*$D77/SUMSQ($D$72:$D$91)))/9.81))</f>
        <v>636.13944074556616</v>
      </c>
      <c r="N101" s="51">
        <f>IF($B101="",0,IF(USE_TSPILE=1,N174,('TO HOP'!$E$142/ncoc+IF(SUMSQ($E$72:$E$91)=0,0,'TO HOP'!$F$142*$E77/SUMSQ($E$72:$E$91))+IF(SUMSQ($D$72:$D$91)=0,0,'TO HOP'!$G$142*$D77/SUMSQ($D$72:$D$91)))/9.81))</f>
        <v>644.0638262960249</v>
      </c>
      <c r="O101" s="51">
        <f>IF($B101="",0,IF(USE_TSPILE=1,O174,('TO HOP'!$E$143/ncoc+IF(SUMSQ($E$72:$E$91)=0,0,'TO HOP'!$F$143*$E77/SUMSQ($E$72:$E$91))+IF(SUMSQ($D$72:$D$91)=0,0,'TO HOP'!$G$143*$D77/SUMSQ($D$72:$D$91)))/9.81))</f>
        <v>618.70842758905269</v>
      </c>
      <c r="P101" s="51">
        <f>IF($B101="",0,IF(USE_TSPILE=1,P174,('TO HOP'!$E$144/ncoc+IF(SUMSQ($E$72:$E$91)=0,0,'TO HOP'!$F$144*$E77/SUMSQ($E$72:$E$91))+IF(SUMSQ($D$72:$D$91)=0,0,'TO HOP'!$G$144*$D77/SUMSQ($D$72:$D$91)))/9.81))</f>
        <v>630.95688420002875</v>
      </c>
      <c r="Q101" s="51">
        <f>IF($B101="",0,IF(USE_TSPILE=1,Q174,('TO HOP'!$E$145/ncoc+IF(SUMSQ($E$72:$E$91)=0,0,'TO HOP'!$F$145*$E77/SUMSQ($E$72:$E$91))+IF(SUMSQ($D$72:$D$91)=0,0,'TO HOP'!$G$145*$D77/SUMSQ($D$72:$D$91)))/9.81))</f>
        <v>637.18221605446797</v>
      </c>
      <c r="R101" s="51">
        <f>IF($B101="",0,IF(USE_TSPILE=1,R174,('TO HOP'!$E$146/ncoc+IF(SUMSQ($E$72:$E$91)=0,0,'TO HOP'!$F$146*$E77/SUMSQ($E$72:$E$91))+IF(SUMSQ($D$72:$D$91)=0,0,'TO HOP'!$G$146*$D77/SUMSQ($D$72:$D$91)))/9.81))</f>
        <v>634.67043078457414</v>
      </c>
      <c r="S101" s="51">
        <f>IF($B101="",0,IF(USE_TSPILE=1,S174,('TO HOP'!$E$147/ncoc+IF(SUMSQ($E$72:$E$91)=0,0,'TO HOP'!$F$147*$E77/SUMSQ($E$72:$E$91))+IF(SUMSQ($D$72:$D$91)=0,0,'TO HOP'!$G$147*$D77/SUMSQ($D$72:$D$91)))/9.81))</f>
        <v>640.07224474647364</v>
      </c>
      <c r="T101" s="51">
        <f>IF($B101="",0,IF(USE_TSPILE=1,T174,('TO HOP'!$E$148/ncoc+IF(SUMSQ($E$72:$E$91)=0,0,'TO HOP'!$F$148*$E77/SUMSQ($E$72:$E$91))+IF(SUMSQ($D$72:$D$91)=0,0,'TO HOP'!$G$148*$D77/SUMSQ($D$72:$D$91)))/9.81))</f>
        <v>643.81949251400272</v>
      </c>
      <c r="U101" s="51">
        <f>IF($B101="",0,IF(USE_TSPILE=1,U174,('TO HOP'!$E$149/ncoc+IF(SUMSQ($E$72:$E$91)=0,0,'TO HOP'!$F$149*$E77/SUMSQ($E$72:$E$91))+IF(SUMSQ($D$72:$D$91)=0,0,'TO HOP'!$G$149*$D77/SUMSQ($D$72:$D$91)))/9.81))</f>
        <v>649.25202464184531</v>
      </c>
      <c r="V101" s="51">
        <f>IF($B101="",0,IF(USE_TSPILE=1,V174,('TO HOP'!$E$150/ncoc+IF(SUMSQ($E$72:$E$91)=0,0,'TO HOP'!$F$150*$E77/SUMSQ($E$72:$E$91))+IF(SUMSQ($D$72:$D$91)=0,0,'TO HOP'!$G$150*$D77/SUMSQ($D$72:$D$91)))/9.81))</f>
        <v>678.45122403387222</v>
      </c>
      <c r="W101" s="51">
        <f>IF($B101="",0,IF(USE_TSPILE=1,W174,('TO HOP'!$E$151/ncoc+IF(SUMSQ($E$72:$E$91)=0,0,'TO HOP'!$F$151*$E77/SUMSQ($E$72:$E$91))+IF(SUMSQ($D$72:$D$91)=0,0,'TO HOP'!$G$151*$D77/SUMSQ($D$72:$D$91)))/9.81))</f>
        <v>692.11960867996333</v>
      </c>
      <c r="X101" s="51">
        <f>IF($B101="",0,IF(USE_TSPILE=1,X174,('TO HOP'!$E$152/ncoc+IF(SUMSQ($E$72:$E$91)=0,0,'TO HOP'!$F$152*$E77/SUMSQ($E$72:$E$91))+IF(SUMSQ($D$72:$D$91)=0,0,'TO HOP'!$G$152*$D77/SUMSQ($D$72:$D$91)))/9.81))</f>
        <v>684.38188199847934</v>
      </c>
      <c r="Y101" s="51">
        <f>IF($B101="",0,IF(USE_TSPILE=1,Y174,('TO HOP'!$E$153/ncoc+IF(SUMSQ($E$72:$E$91)=0,0,'TO HOP'!$F$153*$E77/SUMSQ($E$72:$E$91))+IF(SUMSQ($D$72:$D$91)=0,0,'TO HOP'!$G$153*$D77/SUMSQ($D$72:$D$91)))/9.81))</f>
        <v>694.8298940285938</v>
      </c>
      <c r="Z101" s="51">
        <f>IF($B101="",0,IF(USE_TSPILE=1,Z174,('TO HOP'!$E$154/ncoc+IF(SUMSQ($E$72:$E$91)=0,0,'TO HOP'!$F$154*$E77/SUMSQ($E$72:$E$91))+IF(SUMSQ($D$72:$D$91)=0,0,'TO HOP'!$G$154*$D77/SUMSQ($D$72:$D$91)))/9.81))</f>
        <v>700.45014697656018</v>
      </c>
      <c r="AA101" s="51">
        <f>IF($B101="",0,IF(USE_TSPILE=1,AA174,('TO HOP'!$E$155/ncoc+IF(SUMSQ($E$72:$E$91)=0,0,'TO HOP'!$F$155*$E77/SUMSQ($E$72:$E$91))+IF(SUMSQ($D$72:$D$91)=0,0,'TO HOP'!$G$155*$D77/SUMSQ($D$72:$D$91)))/9.81))</f>
        <v>619.91410406571447</v>
      </c>
      <c r="AB101" s="51">
        <f>IF($B101="",0,IF(USE_TSPILE=1,AB174,('TO HOP'!$E$156/ncoc+IF(SUMSQ($E$72:$E$91)=0,0,'TO HOP'!$F$156*$E77/SUMSQ($E$72:$E$91))+IF(SUMSQ($D$72:$D$91)=0,0,'TO HOP'!$G$156*$D77/SUMSQ($D$72:$D$91)))/9.81))</f>
        <v>636.98201140516403</v>
      </c>
      <c r="AC101" s="51">
        <f>IF($B101="",0,IF(USE_TSPILE=1,AC174,('TO HOP'!$E$157/ncoc+IF(SUMSQ($E$72:$E$91)=0,0,'TO HOP'!$F$157*$E77/SUMSQ($E$72:$E$91))+IF(SUMSQ($D$72:$D$91)=0,0,'TO HOP'!$G$157*$D77/SUMSQ($D$72:$D$91)))/9.81))</f>
        <v>648.71619770103564</v>
      </c>
      <c r="AD101" s="51">
        <f>IF($B101="",0,IF(USE_TSPILE=1,AD174,('TO HOP'!$E$158/ncoc+IF(SUMSQ($E$72:$E$91)=0,0,'TO HOP'!$F$158*$E77/SUMSQ($E$72:$E$91))+IF(SUMSQ($D$72:$D$91)=0,0,'TO HOP'!$G$158*$D77/SUMSQ($D$72:$D$91)))/9.81))</f>
        <v>649.78294190975123</v>
      </c>
      <c r="AE101" s="51">
        <f>IF($B101="",0,IF(USE_TSPILE=1,AE174,('TO HOP'!$E$159/ncoc+IF(SUMSQ($E$72:$E$91)=0,0,'TO HOP'!$F$159*$E77/SUMSQ($E$72:$E$91))+IF(SUMSQ($D$72:$D$91)=0,0,'TO HOP'!$G$159*$D77/SUMSQ($D$72:$D$91)))/9.81))</f>
        <v>663.65061662305391</v>
      </c>
      <c r="AF101" s="51">
        <f>IF($B101="",0,IF(USE_TSPILE=1,AF174,('TO HOP'!$E$160/ncoc+IF(SUMSQ($E$72:$E$91)=0,0,'TO HOP'!$F$160*$E77/SUMSQ($E$72:$E$91))+IF(SUMSQ($D$72:$D$91)=0,0,'TO HOP'!$G$160*$D77/SUMSQ($D$72:$D$91)))/9.81))</f>
        <v>677.5182913363567</v>
      </c>
      <c r="AG101" s="51">
        <f>IF($B101="",0,IF(USE_TSPILE=1,AG174,('TO HOP'!$E$161/ncoc+IF(SUMSQ($E$72:$E$91)=0,0,'TO HOP'!$F$161*$E77/SUMSQ($E$72:$E$91))+IF(SUMSQ($D$72:$D$91)=0,0,'TO HOP'!$G$161*$D77/SUMSQ($D$72:$D$91)))/9.81))</f>
        <v>633.14634359915544</v>
      </c>
      <c r="AH101" s="51">
        <f>IF($B101="",0,IF(USE_TSPILE=1,AH174,('TO HOP'!$E$162/ncoc+IF(SUMSQ($E$72:$E$91)=0,0,'TO HOP'!$F$162*$E77/SUMSQ($E$72:$E$91))+IF(SUMSQ($D$72:$D$91)=0,0,'TO HOP'!$G$162*$D77/SUMSQ($D$72:$D$91)))/9.81))</f>
        <v>654.58114266836344</v>
      </c>
      <c r="AI101" s="51">
        <f>IF($B101="",0,IF(USE_TSPILE=1,AI174,('TO HOP'!$E$163/ncoc+IF(SUMSQ($E$72:$E$91)=0,0,'TO HOP'!$F$163*$E77/SUMSQ($E$72:$E$91))+IF(SUMSQ($D$72:$D$91)=0,0,'TO HOP'!$G$163*$D77/SUMSQ($D$72:$D$91)))/9.81))</f>
        <v>665.4754734136319</v>
      </c>
      <c r="AJ101" s="51">
        <f>IF($B101="",0,IF(USE_TSPILE=1,AJ174,('TO HOP'!$E$164/ncoc+IF(SUMSQ($E$72:$E$91)=0,0,'TO HOP'!$F$164*$E77/SUMSQ($E$72:$E$91))+IF(SUMSQ($D$72:$D$91)=0,0,'TO HOP'!$G$164*$D77/SUMSQ($D$72:$D$91)))/9.81))</f>
        <v>661.07984919131786</v>
      </c>
      <c r="AK101" s="51">
        <f>IF($B101="",0,IF(USE_TSPILE=1,AK174,('TO HOP'!$E$165/ncoc+IF(SUMSQ($E$72:$E$91)=0,0,'TO HOP'!$F$165*$E77/SUMSQ($E$72:$E$91))+IF(SUMSQ($D$72:$D$91)=0,0,'TO HOP'!$G$165*$D77/SUMSQ($D$72:$D$91)))/9.81))</f>
        <v>670.53302362464194</v>
      </c>
      <c r="AL101" s="51">
        <f>IF($B101="",0,IF(USE_TSPILE=1,AL174,('TO HOP'!$E$166/ncoc+IF(SUMSQ($E$72:$E$91)=0,0,'TO HOP'!$F$166*$E77/SUMSQ($E$72:$E$91))+IF(SUMSQ($D$72:$D$91)=0,0,'TO HOP'!$G$166*$D77/SUMSQ($D$72:$D$91)))/9.81))</f>
        <v>677.09070721781791</v>
      </c>
      <c r="AM101" s="51">
        <f>IF($B101="",0,IF(USE_TSPILE=1,AM174,('TO HOP'!$E$167/ncoc+IF(SUMSQ($E$72:$E$91)=0,0,'TO HOP'!$F$167*$E77/SUMSQ($E$72:$E$91))+IF(SUMSQ($D$72:$D$91)=0,0,'TO HOP'!$G$167*$D77/SUMSQ($D$72:$D$91)))/9.81))</f>
        <v>541.0115513294553</v>
      </c>
      <c r="AN101" s="51">
        <f>IF($B101="",0,IF(USE_TSPILE=1,AN174,('TO HOP'!$E$168/ncoc+IF(SUMSQ($E$72:$E$91)=0,0,'TO HOP'!$F$168*$E77/SUMSQ($E$72:$E$91))+IF(SUMSQ($D$72:$D$91)=0,0,'TO HOP'!$G$168*$D77/SUMSQ($D$72:$D$91)))/9.81))</f>
        <v>570.2107507214821</v>
      </c>
      <c r="AO101" s="51">
        <f>IF($B101="",0,IF(USE_TSPILE=1,AO174,('TO HOP'!$E$169/ncoc+IF(SUMSQ($E$72:$E$91)=0,0,'TO HOP'!$F$169*$E77/SUMSQ($E$72:$E$91))+IF(SUMSQ($D$72:$D$91)=0,0,'TO HOP'!$G$169*$D77/SUMSQ($D$72:$D$91)))/9.81))</f>
        <v>583.87913536757333</v>
      </c>
      <c r="AP101" s="51">
        <f>IF($B101="",0,IF(USE_TSPILE=1,AP174,('TO HOP'!$E$170/ncoc+IF(SUMSQ($E$72:$E$91)=0,0,'TO HOP'!$F$170*$E77/SUMSQ($E$72:$E$91))+IF(SUMSQ($D$72:$D$91)=0,0,'TO HOP'!$G$170*$D77/SUMSQ($D$72:$D$91)))/9.81))</f>
        <v>576.14140868608922</v>
      </c>
      <c r="AQ101" s="51">
        <f>IF($B101="",0,IF(USE_TSPILE=1,AQ174,('TO HOP'!$E$171/ncoc+IF(SUMSQ($E$72:$E$91)=0,0,'TO HOP'!$F$171*$E77/SUMSQ($E$72:$E$91))+IF(SUMSQ($D$72:$D$91)=0,0,'TO HOP'!$G$171*$D77/SUMSQ($D$72:$D$91)))/9.81))</f>
        <v>586.58942071620379</v>
      </c>
      <c r="AR101" s="51">
        <f>IF($B101="",0,IF(USE_TSPILE=1,AR174,('TO HOP'!$E$172/ncoc+IF(SUMSQ($E$72:$E$91)=0,0,'TO HOP'!$F$172*$E77/SUMSQ($E$72:$E$91))+IF(SUMSQ($D$72:$D$91)=0,0,'TO HOP'!$G$172*$D77/SUMSQ($D$72:$D$91)))/9.81))</f>
        <v>592.20967366417017</v>
      </c>
      <c r="AS101" s="51">
        <f>IF($B101="",0,IF(USE_TSPILE=1,AS174,('TO HOP'!$E$173/ncoc+IF(SUMSQ($E$72:$E$91)=0,0,'TO HOP'!$F$173*$E77/SUMSQ($E$72:$E$91))+IF(SUMSQ($D$72:$D$91)=0,0,'TO HOP'!$G$173*$D77/SUMSQ($D$72:$D$91)))/9.81))</f>
        <v>524.90587028676555</v>
      </c>
      <c r="AT101" s="51">
        <f>IF($B101="",0,IF(USE_TSPILE=1,AT174,('TO HOP'!$E$174/ncoc+IF(SUMSQ($E$72:$E$91)=0,0,'TO HOP'!$F$174*$E77/SUMSQ($E$72:$E$91))+IF(SUMSQ($D$72:$D$91)=0,0,'TO HOP'!$G$174*$D77/SUMSQ($D$72:$D$91)))/9.81))</f>
        <v>546.34066935597343</v>
      </c>
      <c r="AU101" s="51">
        <f>IF($B101="",0,IF(USE_TSPILE=1,AU174,('TO HOP'!$E$175/ncoc+IF(SUMSQ($E$72:$E$91)=0,0,'TO HOP'!$F$175*$E77/SUMSQ($E$72:$E$91))+IF(SUMSQ($D$72:$D$91)=0,0,'TO HOP'!$G$175*$D77/SUMSQ($D$72:$D$91)))/9.81))</f>
        <v>557.23500010124189</v>
      </c>
      <c r="AV101" s="51">
        <f>IF($B101="",0,IF(USE_TSPILE=1,AV174,('TO HOP'!$E$176/ncoc+IF(SUMSQ($E$72:$E$91)=0,0,'TO HOP'!$F$176*$E77/SUMSQ($E$72:$E$91))+IF(SUMSQ($D$72:$D$91)=0,0,'TO HOP'!$G$176*$D77/SUMSQ($D$72:$D$91)))/9.81))</f>
        <v>552.83937587892785</v>
      </c>
      <c r="AW101" s="51">
        <f>IF($B101="",0,IF(USE_TSPILE=1,AW174,('TO HOP'!$E$177/ncoc+IF(SUMSQ($E$72:$E$91)=0,0,'TO HOP'!$F$177*$E77/SUMSQ($E$72:$E$91))+IF(SUMSQ($D$72:$D$91)=0,0,'TO HOP'!$G$177*$D77/SUMSQ($D$72:$D$91)))/9.81))</f>
        <v>562.29255031225193</v>
      </c>
      <c r="AX101" s="51">
        <f>IF($B101="",0,IF(USE_TSPILE=1,AX174,('TO HOP'!$E$178/ncoc+IF(SUMSQ($E$72:$E$91)=0,0,'TO HOP'!$F$178*$E77/SUMSQ($E$72:$E$91))+IF(SUMSQ($D$72:$D$91)=0,0,'TO HOP'!$G$178*$D77/SUMSQ($D$72:$D$91)))/9.81))</f>
        <v>568.8502339054279</v>
      </c>
      <c r="AY101" s="51">
        <f>IF($B101="",0,IF(USE_TSPILE=1,AY174,('TO HOP'!$E$179/ncoc+IF(SUMSQ($E$72:$E$91)=0,0,'TO HOP'!$F$179*$E77/SUMSQ($E$72:$E$91))+IF(SUMSQ($D$72:$D$91)=0,0,'TO HOP'!$G$179*$D77/SUMSQ($D$72:$D$91)))/9.81))</f>
        <v>538.45496303034179</v>
      </c>
      <c r="AZ101" s="51">
        <f>IF($B101="",0,IF(USE_TSPILE=1,AZ174,('TO HOP'!$E$180/ncoc+IF(SUMSQ($E$72:$E$91)=0,0,'TO HOP'!$F$180*$E77/SUMSQ($E$72:$E$91))+IF(SUMSQ($D$72:$D$91)=0,0,'TO HOP'!$G$180*$D77/SUMSQ($D$72:$D$91)))/9.81))</f>
        <v>430.21448971795166</v>
      </c>
      <c r="BA101" s="51">
        <f>IF($B101="",0,IF(USE_TSPILE=1,BA174,('TO HOP'!$E$181/ncoc+IF(SUMSQ($E$72:$E$91)=0,0,'TO HOP'!$F$181*$E77/SUMSQ($E$72:$E$91))+IF(SUMSQ($D$72:$D$91)=0,0,'TO HOP'!$G$181*$D77/SUMSQ($D$72:$D$91)))/9.81))</f>
        <v>631.67182024835336</v>
      </c>
      <c r="BB101" s="51">
        <f>IF($B101="",0,IF(USE_TSPILE=1,BB174,('TO HOP'!$E$182/ncoc+IF(SUMSQ($E$72:$E$91)=0,0,'TO HOP'!$F$182*$E77/SUMSQ($E$72:$E$91))+IF(SUMSQ($D$72:$D$91)=0,0,'TO HOP'!$G$182*$D77/SUMSQ($D$72:$D$91)))/9.81))</f>
        <v>654.19691692220272</v>
      </c>
      <c r="BC101" s="51">
        <f>IF($B101="",0,IF(USE_TSPILE=1,BC174,('TO HOP'!$E$183/ncoc+IF(SUMSQ($E$72:$E$91)=0,0,'TO HOP'!$F$183*$E77/SUMSQ($E$72:$E$91))+IF(SUMSQ($D$72:$D$91)=0,0,'TO HOP'!$G$183*$D77/SUMSQ($D$72:$D$91)))/9.81))</f>
        <v>664.74109936347304</v>
      </c>
      <c r="BD101" s="51">
        <f>IF($B101="",0,IF(USE_TSPILE=1,BD174,('TO HOP'!$E$184/ncoc+IF(SUMSQ($E$72:$E$91)=0,0,'TO HOP'!$F$184*$E77/SUMSQ($E$72:$E$91))+IF(SUMSQ($D$72:$D$91)=0,0,'TO HOP'!$G$184*$D77/SUMSQ($D$72:$D$91)))/9.81))</f>
        <v>658.77199592347097</v>
      </c>
      <c r="BE101" s="51">
        <f>IF($B101="",0,IF(USE_TSPILE=1,BE174,('TO HOP'!$E$185/ncoc+IF(SUMSQ($E$72:$E$91)=0,0,'TO HOP'!$F$185*$E77/SUMSQ($E$72:$E$91))+IF(SUMSQ($D$72:$D$91)=0,0,'TO HOP'!$G$185*$D77/SUMSQ($D$72:$D$91)))/9.81))</f>
        <v>666.83189091813085</v>
      </c>
      <c r="BF101" s="51">
        <f>IF($B101="",0,IF(USE_TSPILE=1,BF174,('TO HOP'!$E$186/ncoc+IF(SUMSQ($E$72:$E$91)=0,0,'TO HOP'!$F$186*$E77/SUMSQ($E$72:$E$91))+IF(SUMSQ($D$72:$D$91)=0,0,'TO HOP'!$G$186*$D77/SUMSQ($D$72:$D$91)))/9.81))</f>
        <v>671.16751462084778</v>
      </c>
      <c r="BG101" s="51">
        <f>IF($B101="",0,IF(USE_TSPILE=1,BG174,('TO HOP'!$E$187/ncoc+IF(SUMSQ($E$72:$E$91)=0,0,'TO HOP'!$F$187*$E77/SUMSQ($E$72:$E$91))+IF(SUMSQ($D$72:$D$91)=0,0,'TO HOP'!$G$187*$D77/SUMSQ($D$72:$D$91)))/9.81))</f>
        <v>559.51126845410147</v>
      </c>
      <c r="BH101" s="51">
        <f>IF($B101="",0,IF(USE_TSPILE=1,BH174,('TO HOP'!$E$188/ncoc+IF(SUMSQ($E$72:$E$91)=0,0,'TO HOP'!$F$188*$E77/SUMSQ($E$72:$E$91))+IF(SUMSQ($D$72:$D$91)=0,0,'TO HOP'!$G$188*$D77/SUMSQ($D$72:$D$91)))/9.81))</f>
        <v>476.04684583504172</v>
      </c>
      <c r="BI101" s="51">
        <f>IF($B101="",0,IF(USE_TSPILE=1,BI174,('TO HOP'!$E$189/ncoc+IF(SUMSQ($E$72:$E$91)=0,0,'TO HOP'!$F$189*$E77/SUMSQ($E$72:$E$91))+IF(SUMSQ($D$72:$D$91)=0,0,'TO HOP'!$G$189*$D77/SUMSQ($D$72:$D$91)))/9.81))</f>
        <v>542.39891296317819</v>
      </c>
      <c r="BJ101" s="51">
        <f>IF($B101="",0,IF(USE_TSPILE=1,BJ174,('TO HOP'!$E$190/ncoc+IF(SUMSQ($E$72:$E$91)=0,0,'TO HOP'!$F$190*$E77/SUMSQ($E$72:$E$91))+IF(SUMSQ($D$72:$D$91)=0,0,'TO HOP'!$G$190*$D77/SUMSQ($D$72:$D$91)))/9.81))</f>
        <v>477.5579040504889</v>
      </c>
      <c r="BK101" s="51">
        <f>IF($B101="",0,IF(USE_TSPILE=1,BK174,('TO HOP'!$E$191/ncoc+IF(SUMSQ($E$72:$E$91)=0,0,'TO HOP'!$F$191*$E77/SUMSQ($E$72:$E$91))+IF(SUMSQ($D$72:$D$91)=0,0,'TO HOP'!$G$191*$D77/SUMSQ($D$72:$D$91)))/9.81))</f>
        <v>478.06063166541287</v>
      </c>
      <c r="BL101" s="51">
        <f>IF($B101="",0,IF(USE_TSPILE=1,BL174,('TO HOP'!$E$192/ncoc+IF(SUMSQ($E$72:$E$91)=0,0,'TO HOP'!$F$192*$E77/SUMSQ($E$72:$E$91))+IF(SUMSQ($D$72:$D$91)=0,0,'TO HOP'!$G$192*$D77/SUMSQ($D$72:$D$91)))/9.81))</f>
        <v>478.06063166541287</v>
      </c>
    </row>
    <row r="102" spans="2:64" x14ac:dyDescent="0.3">
      <c r="B102" s="14">
        <f>IF(7&lt;=ncoc,7,"")</f>
        <v>7</v>
      </c>
      <c r="C102" s="51">
        <f>IF($B102="",0,IF(USE_TSPILE=1,C175,('TO HOP'!$E$131/ncoc+IF(SUMSQ($E$72:$E$91)=0,0,'TO HOP'!$F$131*$E78/SUMSQ($E$72:$E$91))+IF(SUMSQ($D$72:$D$91)=0,0,'TO HOP'!$G$131*$D78/SUMSQ($D$72:$D$91)))/9.81))</f>
        <v>590.17915729934634</v>
      </c>
      <c r="D102" s="51">
        <f>IF($B102="",0,IF(USE_TSPILE=1,D175,('TO HOP'!$E$132/ncoc+IF(SUMSQ($E$72:$E$91)=0,0,'TO HOP'!$F$132*$E78/SUMSQ($E$72:$E$91))+IF(SUMSQ($D$72:$D$91)=0,0,'TO HOP'!$G$132*$D78/SUMSQ($D$72:$D$91)))/9.81))</f>
        <v>593.00008032041626</v>
      </c>
      <c r="E102" s="51">
        <f>IF($B102="",0,IF(USE_TSPILE=1,E175,('TO HOP'!$E$133/ncoc+IF(SUMSQ($E$72:$E$91)=0,0,'TO HOP'!$F$133*$E78/SUMSQ($E$72:$E$91))+IF(SUMSQ($D$72:$D$91)=0,0,'TO HOP'!$G$133*$D78/SUMSQ($D$72:$D$91)))/9.81))</f>
        <v>598.6000734322173</v>
      </c>
      <c r="F102" s="51">
        <f>IF($B102="",0,IF(USE_TSPILE=1,F175,('TO HOP'!$E$134/ncoc+IF(SUMSQ($E$72:$E$91)=0,0,'TO HOP'!$F$134*$E78/SUMSQ($E$72:$E$91))+IF(SUMSQ($D$72:$D$91)=0,0,'TO HOP'!$G$134*$D78/SUMSQ($D$72:$D$91)))/9.81))</f>
        <v>604.24076777445453</v>
      </c>
      <c r="G102" s="51">
        <f>IF($B102="",0,IF(USE_TSPILE=1,G175,('TO HOP'!$E$135/ncoc+IF(SUMSQ($E$72:$E$91)=0,0,'TO HOP'!$F$135*$E78/SUMSQ($E$72:$E$91))+IF(SUMSQ($D$72:$D$91)=0,0,'TO HOP'!$G$135*$D78/SUMSQ($D$72:$D$91)))/9.81))</f>
        <v>614.11924628673512</v>
      </c>
      <c r="H102" s="51">
        <f>IF($B102="",0,IF(USE_TSPILE=1,H175,('TO HOP'!$E$136/ncoc+IF(SUMSQ($E$72:$E$91)=0,0,'TO HOP'!$F$136*$E78/SUMSQ($E$72:$E$91))+IF(SUMSQ($D$72:$D$91)=0,0,'TO HOP'!$G$136*$D78/SUMSQ($D$72:$D$91)))/9.81))</f>
        <v>626.75644427452892</v>
      </c>
      <c r="I102" s="51">
        <f>IF($B102="",0,IF(USE_TSPILE=1,I175,('TO HOP'!$E$137/ncoc+IF(SUMSQ($E$72:$E$91)=0,0,'TO HOP'!$F$137*$E78/SUMSQ($E$72:$E$91))+IF(SUMSQ($D$72:$D$91)=0,0,'TO HOP'!$G$137*$D78/SUMSQ($D$72:$D$91)))/9.81))</f>
        <v>606.94368334284968</v>
      </c>
      <c r="J102" s="51">
        <f>IF($B102="",0,IF(USE_TSPILE=1,J175,('TO HOP'!$E$138/ncoc+IF(SUMSQ($E$72:$E$91)=0,0,'TO HOP'!$F$138*$E78/SUMSQ($E$72:$E$91))+IF(SUMSQ($D$72:$D$91)=0,0,'TO HOP'!$G$138*$D78/SUMSQ($D$72:$D$91)))/9.81))</f>
        <v>616.69677325110661</v>
      </c>
      <c r="K102" s="51">
        <f>IF($B102="",0,IF(USE_TSPILE=1,K175,('TO HOP'!$E$139/ncoc+IF(SUMSQ($E$72:$E$91)=0,0,'TO HOP'!$F$139*$E78/SUMSQ($E$72:$E$91))+IF(SUMSQ($D$72:$D$91)=0,0,'TO HOP'!$G$139*$D78/SUMSQ($D$72:$D$91)))/9.81))</f>
        <v>623.40202256303314</v>
      </c>
      <c r="L102" s="51">
        <f>IF($B102="",0,IF(USE_TSPILE=1,L175,('TO HOP'!$E$140/ncoc+IF(SUMSQ($E$72:$E$91)=0,0,'TO HOP'!$F$140*$E78/SUMSQ($E$72:$E$91))+IF(SUMSQ($D$72:$D$91)=0,0,'TO HOP'!$G$140*$D78/SUMSQ($D$72:$D$91)))/9.81))</f>
        <v>624.01159068229924</v>
      </c>
      <c r="M102" s="51">
        <f>IF($B102="",0,IF(USE_TSPILE=1,M175,('TO HOP'!$E$141/ncoc+IF(SUMSQ($E$72:$E$91)=0,0,'TO HOP'!$F$141*$E78/SUMSQ($E$72:$E$91))+IF(SUMSQ($D$72:$D$91)=0,0,'TO HOP'!$G$141*$D78/SUMSQ($D$72:$D$91)))/9.81))</f>
        <v>631.93597623275787</v>
      </c>
      <c r="N102" s="51">
        <f>IF($B102="",0,IF(USE_TSPILE=1,N175,('TO HOP'!$E$142/ncoc+IF(SUMSQ($E$72:$E$91)=0,0,'TO HOP'!$F$142*$E78/SUMSQ($E$72:$E$91))+IF(SUMSQ($D$72:$D$91)=0,0,'TO HOP'!$G$142*$D78/SUMSQ($D$72:$D$91)))/9.81))</f>
        <v>639.8603617832166</v>
      </c>
      <c r="O102" s="51">
        <f>IF($B102="",0,IF(USE_TSPILE=1,O175,('TO HOP'!$E$143/ncoc+IF(SUMSQ($E$72:$E$91)=0,0,'TO HOP'!$F$143*$E78/SUMSQ($E$72:$E$91))+IF(SUMSQ($D$72:$D$91)=0,0,'TO HOP'!$G$143*$D78/SUMSQ($D$72:$D$91)))/9.81))</f>
        <v>594.39562009851238</v>
      </c>
      <c r="P102" s="51">
        <f>IF($B102="",0,IF(USE_TSPILE=1,P175,('TO HOP'!$E$144/ncoc+IF(SUMSQ($E$72:$E$91)=0,0,'TO HOP'!$F$144*$E78/SUMSQ($E$72:$E$91))+IF(SUMSQ($D$72:$D$91)=0,0,'TO HOP'!$G$144*$D78/SUMSQ($D$72:$D$91)))/9.81))</f>
        <v>598.328820963422</v>
      </c>
      <c r="Q102" s="51">
        <f>IF($B102="",0,IF(USE_TSPILE=1,Q175,('TO HOP'!$E$145/ncoc+IF(SUMSQ($E$72:$E$91)=0,0,'TO HOP'!$F$145*$E78/SUMSQ($E$72:$E$91))+IF(SUMSQ($D$72:$D$91)=0,0,'TO HOP'!$G$145*$D78/SUMSQ($D$72:$D$91)))/9.81))</f>
        <v>603.22837862365418</v>
      </c>
      <c r="R102" s="51">
        <f>IF($B102="",0,IF(USE_TSPILE=1,R175,('TO HOP'!$E$146/ncoc+IF(SUMSQ($E$72:$E$91)=0,0,'TO HOP'!$F$146*$E78/SUMSQ($E$72:$E$91))+IF(SUMSQ($D$72:$D$91)=0,0,'TO HOP'!$G$146*$D78/SUMSQ($D$72:$D$91)))/9.81))</f>
        <v>606.75151748579083</v>
      </c>
      <c r="S102" s="51">
        <f>IF($B102="",0,IF(USE_TSPILE=1,S175,('TO HOP'!$E$147/ncoc+IF(SUMSQ($E$72:$E$91)=0,0,'TO HOP'!$F$147*$E78/SUMSQ($E$72:$E$91))+IF(SUMSQ($D$72:$D$91)=0,0,'TO HOP'!$G$147*$D78/SUMSQ($D$72:$D$91)))/9.81))</f>
        <v>614.49730022304834</v>
      </c>
      <c r="T102" s="51">
        <f>IF($B102="",0,IF(USE_TSPILE=1,T175,('TO HOP'!$E$148/ncoc+IF(SUMSQ($E$72:$E$91)=0,0,'TO HOP'!$F$148*$E78/SUMSQ($E$72:$E$91))+IF(SUMSQ($D$72:$D$91)=0,0,'TO HOP'!$G$148*$D78/SUMSQ($D$72:$D$91)))/9.81))</f>
        <v>623.89764915467617</v>
      </c>
      <c r="U102" s="51">
        <f>IF($B102="",0,IF(USE_TSPILE=1,U175,('TO HOP'!$E$149/ncoc+IF(SUMSQ($E$72:$E$91)=0,0,'TO HOP'!$F$149*$E78/SUMSQ($E$72:$E$91))+IF(SUMSQ($D$72:$D$91)=0,0,'TO HOP'!$G$149*$D78/SUMSQ($D$72:$D$91)))/9.81))</f>
        <v>590.57618348958363</v>
      </c>
      <c r="V102" s="51">
        <f>IF($B102="",0,IF(USE_TSPILE=1,V175,('TO HOP'!$E$150/ncoc+IF(SUMSQ($E$72:$E$91)=0,0,'TO HOP'!$F$150*$E78/SUMSQ($E$72:$E$91))+IF(SUMSQ($D$72:$D$91)=0,0,'TO HOP'!$G$150*$D78/SUMSQ($D$72:$D$91)))/9.81))</f>
        <v>595.51279877645595</v>
      </c>
      <c r="W102" s="51">
        <f>IF($B102="",0,IF(USE_TSPILE=1,W175,('TO HOP'!$E$151/ncoc+IF(SUMSQ($E$72:$E$91)=0,0,'TO HOP'!$F$151*$E78/SUMSQ($E$72:$E$91))+IF(SUMSQ($D$72:$D$91)=0,0,'TO HOP'!$G$151*$D78/SUMSQ($D$72:$D$91)))/9.81))</f>
        <v>605.31278672210783</v>
      </c>
      <c r="X102" s="51">
        <f>IF($B102="",0,IF(USE_TSPILE=1,X175,('TO HOP'!$E$152/ncoc+IF(SUMSQ($E$72:$E$91)=0,0,'TO HOP'!$F$152*$E78/SUMSQ($E$72:$E$91))+IF(SUMSQ($D$72:$D$91)=0,0,'TO HOP'!$G$152*$D78/SUMSQ($D$72:$D$91)))/9.81))</f>
        <v>615.18400182102312</v>
      </c>
      <c r="Y102" s="51">
        <f>IF($B102="",0,IF(USE_TSPILE=1,Y175,('TO HOP'!$E$153/ncoc+IF(SUMSQ($E$72:$E$91)=0,0,'TO HOP'!$F$153*$E78/SUMSQ($E$72:$E$91))+IF(SUMSQ($D$72:$D$91)=0,0,'TO HOP'!$G$153*$D78/SUMSQ($D$72:$D$91)))/9.81))</f>
        <v>632.47133921751401</v>
      </c>
      <c r="Z102" s="51">
        <f>IF($B102="",0,IF(USE_TSPILE=1,Z175,('TO HOP'!$E$154/ncoc+IF(SUMSQ($E$72:$E$91)=0,0,'TO HOP'!$F$154*$E78/SUMSQ($E$72:$E$91))+IF(SUMSQ($D$72:$D$91)=0,0,'TO HOP'!$G$154*$D78/SUMSQ($D$72:$D$91)))/9.81))</f>
        <v>654.5864356961531</v>
      </c>
      <c r="AA102" s="51">
        <f>IF($B102="",0,IF(USE_TSPILE=1,AA175,('TO HOP'!$E$155/ncoc+IF(SUMSQ($E$72:$E$91)=0,0,'TO HOP'!$F$155*$E78/SUMSQ($E$72:$E$91))+IF(SUMSQ($D$72:$D$91)=0,0,'TO HOP'!$G$155*$D78/SUMSQ($D$72:$D$91)))/9.81))</f>
        <v>619.91410406571447</v>
      </c>
      <c r="AB102" s="51">
        <f>IF($B102="",0,IF(USE_TSPILE=1,AB175,('TO HOP'!$E$156/ncoc+IF(SUMSQ($E$72:$E$91)=0,0,'TO HOP'!$F$156*$E78/SUMSQ($E$72:$E$91))+IF(SUMSQ($D$72:$D$91)=0,0,'TO HOP'!$G$156*$D78/SUMSQ($D$72:$D$91)))/9.81))</f>
        <v>636.98201140516403</v>
      </c>
      <c r="AC102" s="51">
        <f>IF($B102="",0,IF(USE_TSPILE=1,AC175,('TO HOP'!$E$157/ncoc+IF(SUMSQ($E$72:$E$91)=0,0,'TO HOP'!$F$157*$E78/SUMSQ($E$72:$E$91))+IF(SUMSQ($D$72:$D$91)=0,0,'TO HOP'!$G$157*$D78/SUMSQ($D$72:$D$91)))/9.81))</f>
        <v>648.71619770103564</v>
      </c>
      <c r="AD102" s="51">
        <f>IF($B102="",0,IF(USE_TSPILE=1,AD175,('TO HOP'!$E$158/ncoc+IF(SUMSQ($E$72:$E$91)=0,0,'TO HOP'!$F$158*$E78/SUMSQ($E$72:$E$91))+IF(SUMSQ($D$72:$D$91)=0,0,'TO HOP'!$G$158*$D78/SUMSQ($D$72:$D$91)))/9.81))</f>
        <v>649.78294190975123</v>
      </c>
      <c r="AE102" s="51">
        <f>IF($B102="",0,IF(USE_TSPILE=1,AE175,('TO HOP'!$E$159/ncoc+IF(SUMSQ($E$72:$E$91)=0,0,'TO HOP'!$F$159*$E78/SUMSQ($E$72:$E$91))+IF(SUMSQ($D$72:$D$91)=0,0,'TO HOP'!$G$159*$D78/SUMSQ($D$72:$D$91)))/9.81))</f>
        <v>663.65061662305391</v>
      </c>
      <c r="AF102" s="51">
        <f>IF($B102="",0,IF(USE_TSPILE=1,AF175,('TO HOP'!$E$160/ncoc+IF(SUMSQ($E$72:$E$91)=0,0,'TO HOP'!$F$160*$E78/SUMSQ($E$72:$E$91))+IF(SUMSQ($D$72:$D$91)=0,0,'TO HOP'!$G$160*$D78/SUMSQ($D$72:$D$91)))/9.81))</f>
        <v>677.5182913363567</v>
      </c>
      <c r="AG102" s="51">
        <f>IF($B102="",0,IF(USE_TSPILE=1,AG175,('TO HOP'!$E$161/ncoc+IF(SUMSQ($E$72:$E$91)=0,0,'TO HOP'!$F$161*$E78/SUMSQ($E$72:$E$91))+IF(SUMSQ($D$72:$D$91)=0,0,'TO HOP'!$G$161*$D78/SUMSQ($D$72:$D$91)))/9.81))</f>
        <v>597.95499338812442</v>
      </c>
      <c r="AH102" s="51">
        <f>IF($B102="",0,IF(USE_TSPILE=1,AH175,('TO HOP'!$E$162/ncoc+IF(SUMSQ($E$72:$E$91)=0,0,'TO HOP'!$F$162*$E78/SUMSQ($E$72:$E$91))+IF(SUMSQ($D$72:$D$91)=0,0,'TO HOP'!$G$162*$D78/SUMSQ($D$72:$D$91)))/9.81))</f>
        <v>604.83809490171609</v>
      </c>
      <c r="AI102" s="51">
        <f>IF($B102="",0,IF(USE_TSPILE=1,AI175,('TO HOP'!$E$163/ncoc+IF(SUMSQ($E$72:$E$91)=0,0,'TO HOP'!$F$163*$E78/SUMSQ($E$72:$E$91))+IF(SUMSQ($D$72:$D$91)=0,0,'TO HOP'!$G$163*$D78/SUMSQ($D$72:$D$91)))/9.81))</f>
        <v>613.41232080712223</v>
      </c>
      <c r="AJ102" s="51">
        <f>IF($B102="",0,IF(USE_TSPILE=1,AJ175,('TO HOP'!$E$164/ncoc+IF(SUMSQ($E$72:$E$91)=0,0,'TO HOP'!$F$164*$E78/SUMSQ($E$72:$E$91))+IF(SUMSQ($D$72:$D$91)=0,0,'TO HOP'!$G$164*$D78/SUMSQ($D$72:$D$91)))/9.81))</f>
        <v>619.5778138158613</v>
      </c>
      <c r="AK102" s="51">
        <f>IF($B102="",0,IF(USE_TSPILE=1,AK175,('TO HOP'!$E$165/ncoc+IF(SUMSQ($E$72:$E$91)=0,0,'TO HOP'!$F$165*$E78/SUMSQ($E$72:$E$91))+IF(SUMSQ($D$72:$D$91)=0,0,'TO HOP'!$G$165*$D78/SUMSQ($D$72:$D$91)))/9.81))</f>
        <v>633.1329336060619</v>
      </c>
      <c r="AL102" s="51">
        <f>IF($B102="",0,IF(USE_TSPILE=1,AL175,('TO HOP'!$E$166/ncoc+IF(SUMSQ($E$72:$E$91)=0,0,'TO HOP'!$F$166*$E78/SUMSQ($E$72:$E$91))+IF(SUMSQ($D$72:$D$91)=0,0,'TO HOP'!$G$166*$D78/SUMSQ($D$72:$D$91)))/9.81))</f>
        <v>649.5835442364106</v>
      </c>
      <c r="AM102" s="51">
        <f>IF($B102="",0,IF(USE_TSPILE=1,AM175,('TO HOP'!$E$167/ncoc+IF(SUMSQ($E$72:$E$91)=0,0,'TO HOP'!$F$167*$E78/SUMSQ($E$72:$E$91))+IF(SUMSQ($D$72:$D$91)=0,0,'TO HOP'!$G$167*$D78/SUMSQ($D$72:$D$91)))/9.81))</f>
        <v>482.33571017719362</v>
      </c>
      <c r="AN102" s="51">
        <f>IF($B102="",0,IF(USE_TSPILE=1,AN175,('TO HOP'!$E$168/ncoc+IF(SUMSQ($E$72:$E$91)=0,0,'TO HOP'!$F$168*$E78/SUMSQ($E$72:$E$91))+IF(SUMSQ($D$72:$D$91)=0,0,'TO HOP'!$G$168*$D78/SUMSQ($D$72:$D$91)))/9.81))</f>
        <v>487.27232546406583</v>
      </c>
      <c r="AO102" s="51">
        <f>IF($B102="",0,IF(USE_TSPILE=1,AO175,('TO HOP'!$E$169/ncoc+IF(SUMSQ($E$72:$E$91)=0,0,'TO HOP'!$F$169*$E78/SUMSQ($E$72:$E$91))+IF(SUMSQ($D$72:$D$91)=0,0,'TO HOP'!$G$169*$D78/SUMSQ($D$72:$D$91)))/9.81))</f>
        <v>497.07231340971782</v>
      </c>
      <c r="AP102" s="51">
        <f>IF($B102="",0,IF(USE_TSPILE=1,AP175,('TO HOP'!$E$170/ncoc+IF(SUMSQ($E$72:$E$91)=0,0,'TO HOP'!$F$170*$E78/SUMSQ($E$72:$E$91))+IF(SUMSQ($D$72:$D$91)=0,0,'TO HOP'!$G$170*$D78/SUMSQ($D$72:$D$91)))/9.81))</f>
        <v>506.94352850863299</v>
      </c>
      <c r="AQ102" s="51">
        <f>IF($B102="",0,IF(USE_TSPILE=1,AQ175,('TO HOP'!$E$171/ncoc+IF(SUMSQ($E$72:$E$91)=0,0,'TO HOP'!$F$171*$E78/SUMSQ($E$72:$E$91))+IF(SUMSQ($D$72:$D$91)=0,0,'TO HOP'!$G$171*$D78/SUMSQ($D$72:$D$91)))/9.81))</f>
        <v>524.23086590512401</v>
      </c>
      <c r="AR102" s="51">
        <f>IF($B102="",0,IF(USE_TSPILE=1,AR175,('TO HOP'!$E$172/ncoc+IF(SUMSQ($E$72:$E$91)=0,0,'TO HOP'!$F$172*$E78/SUMSQ($E$72:$E$91))+IF(SUMSQ($D$72:$D$91)=0,0,'TO HOP'!$G$172*$D78/SUMSQ($D$72:$D$91)))/9.81))</f>
        <v>546.34596238376309</v>
      </c>
      <c r="AS102" s="51">
        <f>IF($B102="",0,IF(USE_TSPILE=1,AS175,('TO HOP'!$E$173/ncoc+IF(SUMSQ($E$72:$E$91)=0,0,'TO HOP'!$F$173*$E78/SUMSQ($E$72:$E$91))+IF(SUMSQ($D$72:$D$91)=0,0,'TO HOP'!$G$173*$D78/SUMSQ($D$72:$D$91)))/9.81))</f>
        <v>489.71452007573436</v>
      </c>
      <c r="AT102" s="51">
        <f>IF($B102="",0,IF(USE_TSPILE=1,AT175,('TO HOP'!$E$174/ncoc+IF(SUMSQ($E$72:$E$91)=0,0,'TO HOP'!$F$174*$E78/SUMSQ($E$72:$E$91))+IF(SUMSQ($D$72:$D$91)=0,0,'TO HOP'!$G$174*$D78/SUMSQ($D$72:$D$91)))/9.81))</f>
        <v>496.59762158932608</v>
      </c>
      <c r="AU102" s="51">
        <f>IF($B102="",0,IF(USE_TSPILE=1,AU175,('TO HOP'!$E$175/ncoc+IF(SUMSQ($E$72:$E$91)=0,0,'TO HOP'!$F$175*$E78/SUMSQ($E$72:$E$91))+IF(SUMSQ($D$72:$D$91)=0,0,'TO HOP'!$G$175*$D78/SUMSQ($D$72:$D$91)))/9.81))</f>
        <v>505.17184749473222</v>
      </c>
      <c r="AV102" s="51">
        <f>IF($B102="",0,IF(USE_TSPILE=1,AV175,('TO HOP'!$E$176/ncoc+IF(SUMSQ($E$72:$E$91)=0,0,'TO HOP'!$F$176*$E78/SUMSQ($E$72:$E$91))+IF(SUMSQ($D$72:$D$91)=0,0,'TO HOP'!$G$176*$D78/SUMSQ($D$72:$D$91)))/9.81))</f>
        <v>511.3373405034713</v>
      </c>
      <c r="AW102" s="51">
        <f>IF($B102="",0,IF(USE_TSPILE=1,AW175,('TO HOP'!$E$177/ncoc+IF(SUMSQ($E$72:$E$91)=0,0,'TO HOP'!$F$177*$E78/SUMSQ($E$72:$E$91))+IF(SUMSQ($D$72:$D$91)=0,0,'TO HOP'!$G$177*$D78/SUMSQ($D$72:$D$91)))/9.81))</f>
        <v>524.89246029367189</v>
      </c>
      <c r="AX102" s="51">
        <f>IF($B102="",0,IF(USE_TSPILE=1,AX175,('TO HOP'!$E$178/ncoc+IF(SUMSQ($E$72:$E$91)=0,0,'TO HOP'!$F$178*$E78/SUMSQ($E$72:$E$91))+IF(SUMSQ($D$72:$D$91)=0,0,'TO HOP'!$G$178*$D78/SUMSQ($D$72:$D$91)))/9.81))</f>
        <v>541.34307092402059</v>
      </c>
      <c r="AY102" s="51">
        <f>IF($B102="",0,IF(USE_TSPILE=1,AY175,('TO HOP'!$E$179/ncoc+IF(SUMSQ($E$72:$E$91)=0,0,'TO HOP'!$F$179*$E78/SUMSQ($E$72:$E$91))+IF(SUMSQ($D$72:$D$91)=0,0,'TO HOP'!$G$179*$D78/SUMSQ($D$72:$D$91)))/9.81))</f>
        <v>526.586237767071</v>
      </c>
      <c r="AZ102" s="51">
        <f>IF($B102="",0,IF(USE_TSPILE=1,AZ175,('TO HOP'!$E$180/ncoc+IF(SUMSQ($E$72:$E$91)=0,0,'TO HOP'!$F$180*$E78/SUMSQ($E$72:$E$91))+IF(SUMSQ($D$72:$D$91)=0,0,'TO HOP'!$G$180*$D78/SUMSQ($D$72:$D$91)))/9.81))</f>
        <v>418.34576445468088</v>
      </c>
      <c r="BA102" s="51">
        <f>IF($B102="",0,IF(USE_TSPILE=1,BA175,('TO HOP'!$E$181/ncoc+IF(SUMSQ($E$72:$E$91)=0,0,'TO HOP'!$F$181*$E78/SUMSQ($E$72:$E$91))+IF(SUMSQ($D$72:$D$91)=0,0,'TO HOP'!$G$181*$D78/SUMSQ($D$72:$D$91)))/9.81))</f>
        <v>581.38800470001934</v>
      </c>
      <c r="BB102" s="51">
        <f>IF($B102="",0,IF(USE_TSPILE=1,BB175,('TO HOP'!$E$182/ncoc+IF(SUMSQ($E$72:$E$91)=0,0,'TO HOP'!$F$182*$E78/SUMSQ($E$72:$E$91))+IF(SUMSQ($D$72:$D$91)=0,0,'TO HOP'!$G$182*$D78/SUMSQ($D$72:$D$91)))/9.81))</f>
        <v>585.19625077846354</v>
      </c>
      <c r="BC102" s="51">
        <f>IF($B102="",0,IF(USE_TSPILE=1,BC175,('TO HOP'!$E$183/ncoc+IF(SUMSQ($E$72:$E$91)=0,0,'TO HOP'!$F$183*$E78/SUMSQ($E$72:$E$91))+IF(SUMSQ($D$72:$D$91)=0,0,'TO HOP'!$G$183*$D78/SUMSQ($D$72:$D$91)))/9.81))</f>
        <v>592.75624147939516</v>
      </c>
      <c r="BD102" s="51">
        <f>IF($B102="",0,IF(USE_TSPILE=1,BD175,('TO HOP'!$E$184/ncoc+IF(SUMSQ($E$72:$E$91)=0,0,'TO HOP'!$F$184*$E78/SUMSQ($E$72:$E$91))+IF(SUMSQ($D$72:$D$91)=0,0,'TO HOP'!$G$184*$D78/SUMSQ($D$72:$D$91)))/9.81))</f>
        <v>600.37117884141549</v>
      </c>
      <c r="BE102" s="51">
        <f>IF($B102="",0,IF(USE_TSPILE=1,BE175,('TO HOP'!$E$185/ncoc+IF(SUMSQ($E$72:$E$91)=0,0,'TO HOP'!$F$185*$E78/SUMSQ($E$72:$E$91))+IF(SUMSQ($D$72:$D$91)=0,0,'TO HOP'!$G$185*$D78/SUMSQ($D$72:$D$91)))/9.81))</f>
        <v>613.70712483299428</v>
      </c>
      <c r="BF102" s="51">
        <f>IF($B102="",0,IF(USE_TSPILE=1,BF175,('TO HOP'!$E$186/ncoc+IF(SUMSQ($E$72:$E$91)=0,0,'TO HOP'!$F$186*$E78/SUMSQ($E$72:$E$91))+IF(SUMSQ($D$72:$D$91)=0,0,'TO HOP'!$G$186*$D78/SUMSQ($D$72:$D$91)))/9.81))</f>
        <v>630.76734211651581</v>
      </c>
      <c r="BG102" s="51">
        <f>IF($B102="",0,IF(USE_TSPILE=1,BG175,('TO HOP'!$E$187/ncoc+IF(SUMSQ($E$72:$E$91)=0,0,'TO HOP'!$F$187*$E78/SUMSQ($E$72:$E$91))+IF(SUMSQ($D$72:$D$91)=0,0,'TO HOP'!$G$187*$D78/SUMSQ($D$72:$D$91)))/9.81))</f>
        <v>535.93491286741721</v>
      </c>
      <c r="BH102" s="51">
        <f>IF($B102="",0,IF(USE_TSPILE=1,BH175,('TO HOP'!$E$188/ncoc+IF(SUMSQ($E$72:$E$91)=0,0,'TO HOP'!$F$188*$E78/SUMSQ($E$72:$E$91))+IF(SUMSQ($D$72:$D$91)=0,0,'TO HOP'!$G$188*$D78/SUMSQ($D$72:$D$91)))/9.81))</f>
        <v>428.03480139969884</v>
      </c>
      <c r="BI102" s="51">
        <f>IF($B102="",0,IF(USE_TSPILE=1,BI175,('TO HOP'!$E$189/ncoc+IF(SUMSQ($E$72:$E$91)=0,0,'TO HOP'!$F$189*$E78/SUMSQ($E$72:$E$91))+IF(SUMSQ($D$72:$D$91)=0,0,'TO HOP'!$G$189*$D78/SUMSQ($D$72:$D$91)))/9.81))</f>
        <v>529.2949954544905</v>
      </c>
      <c r="BJ102" s="51">
        <f>IF($B102="",0,IF(USE_TSPILE=1,BJ175,('TO HOP'!$E$190/ncoc+IF(SUMSQ($E$72:$E$91)=0,0,'TO HOP'!$F$190*$E78/SUMSQ($E$72:$E$91))+IF(SUMSQ($D$72:$D$91)=0,0,'TO HOP'!$G$190*$D78/SUMSQ($D$72:$D$91)))/9.81))</f>
        <v>465.45944177164915</v>
      </c>
      <c r="BK102" s="51">
        <f>IF($B102="",0,IF(USE_TSPILE=1,BK175,('TO HOP'!$E$191/ncoc+IF(SUMSQ($E$72:$E$91)=0,0,'TO HOP'!$F$191*$E78/SUMSQ($E$72:$E$91))+IF(SUMSQ($D$72:$D$91)=0,0,'TO HOP'!$G$191*$D78/SUMSQ($D$72:$D$91)))/9.81))</f>
        <v>464.95671415672518</v>
      </c>
      <c r="BL102" s="51">
        <f>IF($B102="",0,IF(USE_TSPILE=1,BL175,('TO HOP'!$E$192/ncoc+IF(SUMSQ($E$72:$E$91)=0,0,'TO HOP'!$F$192*$E78/SUMSQ($E$72:$E$91))+IF(SUMSQ($D$72:$D$91)=0,0,'TO HOP'!$G$192*$D78/SUMSQ($D$72:$D$91)))/9.81))</f>
        <v>464.95671415672518</v>
      </c>
    </row>
    <row r="103" spans="2:64" x14ac:dyDescent="0.3">
      <c r="B103" s="14">
        <f>IF(8&lt;=ncoc,8,"")</f>
        <v>8</v>
      </c>
      <c r="C103" s="51">
        <f>IF($B103="",0,IF(USE_TSPILE=1,C176,('TO HOP'!$E$131/ncoc+IF(SUMSQ($E$72:$E$91)=0,0,'TO HOP'!$F$131*$E79/SUMSQ($E$72:$E$91))+IF(SUMSQ($D$72:$D$91)=0,0,'TO HOP'!$G$131*$D79/SUMSQ($D$72:$D$91)))/9.81))</f>
        <v>552.44664069953149</v>
      </c>
      <c r="D103" s="51">
        <f>IF($B103="",0,IF(USE_TSPILE=1,D176,('TO HOP'!$E$132/ncoc+IF(SUMSQ($E$72:$E$91)=0,0,'TO HOP'!$F$132*$E79/SUMSQ($E$72:$E$91))+IF(SUMSQ($D$72:$D$91)=0,0,'TO HOP'!$G$132*$D79/SUMSQ($D$72:$D$91)))/9.81))</f>
        <v>541.40322994622738</v>
      </c>
      <c r="E103" s="51">
        <f>IF($B103="",0,IF(USE_TSPILE=1,E176,('TO HOP'!$E$133/ncoc+IF(SUMSQ($E$72:$E$91)=0,0,'TO HOP'!$F$133*$E79/SUMSQ($E$72:$E$91))+IF(SUMSQ($D$72:$D$91)=0,0,'TO HOP'!$G$133*$D79/SUMSQ($D$72:$D$91)))/9.81))</f>
        <v>544.79271065777743</v>
      </c>
      <c r="F103" s="51">
        <f>IF($B103="",0,IF(USE_TSPILE=1,F176,('TO HOP'!$E$134/ncoc+IF(SUMSQ($E$72:$E$91)=0,0,'TO HOP'!$F$134*$E79/SUMSQ($E$72:$E$91))+IF(SUMSQ($D$72:$D$91)=0,0,'TO HOP'!$G$134*$D79/SUMSQ($D$72:$D$91)))/9.81))</f>
        <v>560.49565744595714</v>
      </c>
      <c r="G103" s="51">
        <f>IF($B103="",0,IF(USE_TSPILE=1,G176,('TO HOP'!$E$135/ncoc+IF(SUMSQ($E$72:$E$91)=0,0,'TO HOP'!$F$135*$E79/SUMSQ($E$72:$E$91))+IF(SUMSQ($D$72:$D$91)=0,0,'TO HOP'!$G$135*$D79/SUMSQ($D$72:$D$91)))/9.81))</f>
        <v>574.28232188188144</v>
      </c>
      <c r="H103" s="51">
        <f>IF($B103="",0,IF(USE_TSPILE=1,H176,('TO HOP'!$E$136/ncoc+IF(SUMSQ($E$72:$E$91)=0,0,'TO HOP'!$F$136*$E79/SUMSQ($E$72:$E$91))+IF(SUMSQ($D$72:$D$91)=0,0,'TO HOP'!$G$136*$D79/SUMSQ($D$72:$D$91)))/9.81))</f>
        <v>596.34514474434536</v>
      </c>
      <c r="I103" s="51">
        <f>IF($B103="",0,IF(USE_TSPILE=1,I176,('TO HOP'!$E$137/ncoc+IF(SUMSQ($E$72:$E$91)=0,0,'TO HOP'!$F$137*$E79/SUMSQ($E$72:$E$91))+IF(SUMSQ($D$72:$D$91)=0,0,'TO HOP'!$G$137*$D79/SUMSQ($D$72:$D$91)))/9.81))</f>
        <v>602.7402188300415</v>
      </c>
      <c r="J103" s="51">
        <f>IF($B103="",0,IF(USE_TSPILE=1,J176,('TO HOP'!$E$138/ncoc+IF(SUMSQ($E$72:$E$91)=0,0,'TO HOP'!$F$138*$E79/SUMSQ($E$72:$E$91))+IF(SUMSQ($D$72:$D$91)=0,0,'TO HOP'!$G$138*$D79/SUMSQ($D$72:$D$91)))/9.81))</f>
        <v>612.49330873829842</v>
      </c>
      <c r="K103" s="51">
        <f>IF($B103="",0,IF(USE_TSPILE=1,K176,('TO HOP'!$E$139/ncoc+IF(SUMSQ($E$72:$E$91)=0,0,'TO HOP'!$F$139*$E79/SUMSQ($E$72:$E$91))+IF(SUMSQ($D$72:$D$91)=0,0,'TO HOP'!$G$139*$D79/SUMSQ($D$72:$D$91)))/9.81))</f>
        <v>619.19855805022496</v>
      </c>
      <c r="L103" s="51">
        <f>IF($B103="",0,IF(USE_TSPILE=1,L176,('TO HOP'!$E$140/ncoc+IF(SUMSQ($E$72:$E$91)=0,0,'TO HOP'!$F$140*$E79/SUMSQ($E$72:$E$91))+IF(SUMSQ($D$72:$D$91)=0,0,'TO HOP'!$G$140*$D79/SUMSQ($D$72:$D$91)))/9.81))</f>
        <v>619.80812616949106</v>
      </c>
      <c r="M103" s="51">
        <f>IF($B103="",0,IF(USE_TSPILE=1,M176,('TO HOP'!$E$141/ncoc+IF(SUMSQ($E$72:$E$91)=0,0,'TO HOP'!$F$141*$E79/SUMSQ($E$72:$E$91))+IF(SUMSQ($D$72:$D$91)=0,0,'TO HOP'!$G$141*$D79/SUMSQ($D$72:$D$91)))/9.81))</f>
        <v>627.7325117199498</v>
      </c>
      <c r="N103" s="51">
        <f>IF($B103="",0,IF(USE_TSPILE=1,N176,('TO HOP'!$E$142/ncoc+IF(SUMSQ($E$72:$E$91)=0,0,'TO HOP'!$F$142*$E79/SUMSQ($E$72:$E$91))+IF(SUMSQ($D$72:$D$91)=0,0,'TO HOP'!$G$142*$D79/SUMSQ($D$72:$D$91)))/9.81))</f>
        <v>635.65689727040854</v>
      </c>
      <c r="O103" s="51">
        <f>IF($B103="",0,IF(USE_TSPILE=1,O176,('TO HOP'!$E$143/ncoc+IF(SUMSQ($E$72:$E$91)=0,0,'TO HOP'!$F$143*$E79/SUMSQ($E$72:$E$91))+IF(SUMSQ($D$72:$D$91)=0,0,'TO HOP'!$G$143*$D79/SUMSQ($D$72:$D$91)))/9.81))</f>
        <v>570.08281260797219</v>
      </c>
      <c r="P103" s="51">
        <f>IF($B103="",0,IF(USE_TSPILE=1,P176,('TO HOP'!$E$144/ncoc+IF(SUMSQ($E$72:$E$91)=0,0,'TO HOP'!$F$144*$E79/SUMSQ($E$72:$E$91))+IF(SUMSQ($D$72:$D$91)=0,0,'TO HOP'!$G$144*$D79/SUMSQ($D$72:$D$91)))/9.81))</f>
        <v>565.70075772681537</v>
      </c>
      <c r="Q103" s="51">
        <f>IF($B103="",0,IF(USE_TSPILE=1,Q176,('TO HOP'!$E$145/ncoc+IF(SUMSQ($E$72:$E$91)=0,0,'TO HOP'!$F$145*$E79/SUMSQ($E$72:$E$91))+IF(SUMSQ($D$72:$D$91)=0,0,'TO HOP'!$G$145*$D79/SUMSQ($D$72:$D$91)))/9.81))</f>
        <v>569.2745411928405</v>
      </c>
      <c r="R103" s="51">
        <f>IF($B103="",0,IF(USE_TSPILE=1,R176,('TO HOP'!$E$146/ncoc+IF(SUMSQ($E$72:$E$91)=0,0,'TO HOP'!$F$146*$E79/SUMSQ($E$72:$E$91))+IF(SUMSQ($D$72:$D$91)=0,0,'TO HOP'!$G$146*$D79/SUMSQ($D$72:$D$91)))/9.81))</f>
        <v>578.83260418700752</v>
      </c>
      <c r="S103" s="51">
        <f>IF($B103="",0,IF(USE_TSPILE=1,S176,('TO HOP'!$E$147/ncoc+IF(SUMSQ($E$72:$E$91)=0,0,'TO HOP'!$F$147*$E79/SUMSQ($E$72:$E$91))+IF(SUMSQ($D$72:$D$91)=0,0,'TO HOP'!$G$147*$D79/SUMSQ($D$72:$D$91)))/9.81))</f>
        <v>588.92235569962293</v>
      </c>
      <c r="T103" s="51">
        <f>IF($B103="",0,IF(USE_TSPILE=1,T176,('TO HOP'!$E$148/ncoc+IF(SUMSQ($E$72:$E$91)=0,0,'TO HOP'!$F$148*$E79/SUMSQ($E$72:$E$91))+IF(SUMSQ($D$72:$D$91)=0,0,'TO HOP'!$G$148*$D79/SUMSQ($D$72:$D$91)))/9.81))</f>
        <v>603.97580579534952</v>
      </c>
      <c r="U103" s="51">
        <f>IF($B103="",0,IF(USE_TSPILE=1,U176,('TO HOP'!$E$149/ncoc+IF(SUMSQ($E$72:$E$91)=0,0,'TO HOP'!$F$149*$E79/SUMSQ($E$72:$E$91))+IF(SUMSQ($D$72:$D$91)=0,0,'TO HOP'!$G$149*$D79/SUMSQ($D$72:$D$91)))/9.81))</f>
        <v>531.90034233732194</v>
      </c>
      <c r="V103" s="51">
        <f>IF($B103="",0,IF(USE_TSPILE=1,V176,('TO HOP'!$E$150/ncoc+IF(SUMSQ($E$72:$E$91)=0,0,'TO HOP'!$F$150*$E79/SUMSQ($E$72:$E$91))+IF(SUMSQ($D$72:$D$91)=0,0,'TO HOP'!$G$150*$D79/SUMSQ($D$72:$D$91)))/9.81))</f>
        <v>512.57437351903968</v>
      </c>
      <c r="W103" s="51">
        <f>IF($B103="",0,IF(USE_TSPILE=1,W176,('TO HOP'!$E$151/ncoc+IF(SUMSQ($E$72:$E$91)=0,0,'TO HOP'!$F$151*$E79/SUMSQ($E$72:$E$91))+IF(SUMSQ($D$72:$D$91)=0,0,'TO HOP'!$G$151*$D79/SUMSQ($D$72:$D$91)))/9.81))</f>
        <v>518.50596476425244</v>
      </c>
      <c r="X103" s="51">
        <f>IF($B103="",0,IF(USE_TSPILE=1,X176,('TO HOP'!$E$152/ncoc+IF(SUMSQ($E$72:$E$91)=0,0,'TO HOP'!$F$152*$E79/SUMSQ($E$72:$E$91))+IF(SUMSQ($D$72:$D$91)=0,0,'TO HOP'!$G$152*$D79/SUMSQ($D$72:$D$91)))/9.81))</f>
        <v>545.98612164356678</v>
      </c>
      <c r="Y103" s="51">
        <f>IF($B103="",0,IF(USE_TSPILE=1,Y176,('TO HOP'!$E$153/ncoc+IF(SUMSQ($E$72:$E$91)=0,0,'TO HOP'!$F$153*$E79/SUMSQ($E$72:$E$91))+IF(SUMSQ($D$72:$D$91)=0,0,'TO HOP'!$G$153*$D79/SUMSQ($D$72:$D$91)))/9.81))</f>
        <v>570.11278440643423</v>
      </c>
      <c r="Z103" s="51">
        <f>IF($B103="",0,IF(USE_TSPILE=1,Z176,('TO HOP'!$E$154/ncoc+IF(SUMSQ($E$72:$E$91)=0,0,'TO HOP'!$F$154*$E79/SUMSQ($E$72:$E$91))+IF(SUMSQ($D$72:$D$91)=0,0,'TO HOP'!$G$154*$D79/SUMSQ($D$72:$D$91)))/9.81))</f>
        <v>608.72272441574603</v>
      </c>
      <c r="AA103" s="51">
        <f>IF($B103="",0,IF(USE_TSPILE=1,AA176,('TO HOP'!$E$155/ncoc+IF(SUMSQ($E$72:$E$91)=0,0,'TO HOP'!$F$155*$E79/SUMSQ($E$72:$E$91))+IF(SUMSQ($D$72:$D$91)=0,0,'TO HOP'!$G$155*$D79/SUMSQ($D$72:$D$91)))/9.81))</f>
        <v>619.91410406571447</v>
      </c>
      <c r="AB103" s="51">
        <f>IF($B103="",0,IF(USE_TSPILE=1,AB176,('TO HOP'!$E$156/ncoc+IF(SUMSQ($E$72:$E$91)=0,0,'TO HOP'!$F$156*$E79/SUMSQ($E$72:$E$91))+IF(SUMSQ($D$72:$D$91)=0,0,'TO HOP'!$G$156*$D79/SUMSQ($D$72:$D$91)))/9.81))</f>
        <v>636.98201140516403</v>
      </c>
      <c r="AC103" s="51">
        <f>IF($B103="",0,IF(USE_TSPILE=1,AC176,('TO HOP'!$E$157/ncoc+IF(SUMSQ($E$72:$E$91)=0,0,'TO HOP'!$F$157*$E79/SUMSQ($E$72:$E$91))+IF(SUMSQ($D$72:$D$91)=0,0,'TO HOP'!$G$157*$D79/SUMSQ($D$72:$D$91)))/9.81))</f>
        <v>648.71619770103564</v>
      </c>
      <c r="AD103" s="51">
        <f>IF($B103="",0,IF(USE_TSPILE=1,AD176,('TO HOP'!$E$158/ncoc+IF(SUMSQ($E$72:$E$91)=0,0,'TO HOP'!$F$158*$E79/SUMSQ($E$72:$E$91))+IF(SUMSQ($D$72:$D$91)=0,0,'TO HOP'!$G$158*$D79/SUMSQ($D$72:$D$91)))/9.81))</f>
        <v>649.78294190975123</v>
      </c>
      <c r="AE103" s="51">
        <f>IF($B103="",0,IF(USE_TSPILE=1,AE176,('TO HOP'!$E$159/ncoc+IF(SUMSQ($E$72:$E$91)=0,0,'TO HOP'!$F$159*$E79/SUMSQ($E$72:$E$91))+IF(SUMSQ($D$72:$D$91)=0,0,'TO HOP'!$G$159*$D79/SUMSQ($D$72:$D$91)))/9.81))</f>
        <v>663.65061662305391</v>
      </c>
      <c r="AF103" s="51">
        <f>IF($B103="",0,IF(USE_TSPILE=1,AF176,('TO HOP'!$E$160/ncoc+IF(SUMSQ($E$72:$E$91)=0,0,'TO HOP'!$F$160*$E79/SUMSQ($E$72:$E$91))+IF(SUMSQ($D$72:$D$91)=0,0,'TO HOP'!$G$160*$D79/SUMSQ($D$72:$D$91)))/9.81))</f>
        <v>677.5182913363567</v>
      </c>
      <c r="AG103" s="51">
        <f>IF($B103="",0,IF(USE_TSPILE=1,AG176,('TO HOP'!$E$161/ncoc+IF(SUMSQ($E$72:$E$91)=0,0,'TO HOP'!$F$161*$E79/SUMSQ($E$72:$E$91))+IF(SUMSQ($D$72:$D$91)=0,0,'TO HOP'!$G$161*$D79/SUMSQ($D$72:$D$91)))/9.81))</f>
        <v>562.76364317709317</v>
      </c>
      <c r="AH103" s="51">
        <f>IF($B103="",0,IF(USE_TSPILE=1,AH176,('TO HOP'!$E$162/ncoc+IF(SUMSQ($E$72:$E$91)=0,0,'TO HOP'!$F$162*$E79/SUMSQ($E$72:$E$91))+IF(SUMSQ($D$72:$D$91)=0,0,'TO HOP'!$G$162*$D79/SUMSQ($D$72:$D$91)))/9.81))</f>
        <v>555.09504713506863</v>
      </c>
      <c r="AI103" s="51">
        <f>IF($B103="",0,IF(USE_TSPILE=1,AI176,('TO HOP'!$E$163/ncoc+IF(SUMSQ($E$72:$E$91)=0,0,'TO HOP'!$F$163*$E79/SUMSQ($E$72:$E$91))+IF(SUMSQ($D$72:$D$91)=0,0,'TO HOP'!$G$163*$D79/SUMSQ($D$72:$D$91)))/9.81))</f>
        <v>561.34916820061255</v>
      </c>
      <c r="AJ103" s="51">
        <f>IF($B103="",0,IF(USE_TSPILE=1,AJ176,('TO HOP'!$E$164/ncoc+IF(SUMSQ($E$72:$E$91)=0,0,'TO HOP'!$F$164*$E79/SUMSQ($E$72:$E$91))+IF(SUMSQ($D$72:$D$91)=0,0,'TO HOP'!$G$164*$D79/SUMSQ($D$72:$D$91)))/9.81))</f>
        <v>578.07577844040475</v>
      </c>
      <c r="AK103" s="51">
        <f>IF($B103="",0,IF(USE_TSPILE=1,AK176,('TO HOP'!$E$165/ncoc+IF(SUMSQ($E$72:$E$91)=0,0,'TO HOP'!$F$165*$E79/SUMSQ($E$72:$E$91))+IF(SUMSQ($D$72:$D$91)=0,0,'TO HOP'!$G$165*$D79/SUMSQ($D$72:$D$91)))/9.81))</f>
        <v>595.73284358748185</v>
      </c>
      <c r="AL103" s="51">
        <f>IF($B103="",0,IF(USE_TSPILE=1,AL176,('TO HOP'!$E$166/ncoc+IF(SUMSQ($E$72:$E$91)=0,0,'TO HOP'!$F$166*$E79/SUMSQ($E$72:$E$91))+IF(SUMSQ($D$72:$D$91)=0,0,'TO HOP'!$G$166*$D79/SUMSQ($D$72:$D$91)))/9.81))</f>
        <v>622.07638125500341</v>
      </c>
      <c r="AM103" s="51">
        <f>IF($B103="",0,IF(USE_TSPILE=1,AM176,('TO HOP'!$E$167/ncoc+IF(SUMSQ($E$72:$E$91)=0,0,'TO HOP'!$F$167*$E79/SUMSQ($E$72:$E$91))+IF(SUMSQ($D$72:$D$91)=0,0,'TO HOP'!$G$167*$D79/SUMSQ($D$72:$D$91)))/9.81))</f>
        <v>423.65986902493194</v>
      </c>
      <c r="AN103" s="51">
        <f>IF($B103="",0,IF(USE_TSPILE=1,AN176,('TO HOP'!$E$168/ncoc+IF(SUMSQ($E$72:$E$91)=0,0,'TO HOP'!$F$168*$E79/SUMSQ($E$72:$E$91))+IF(SUMSQ($D$72:$D$91)=0,0,'TO HOP'!$G$168*$D79/SUMSQ($D$72:$D$91)))/9.81))</f>
        <v>404.33390020664956</v>
      </c>
      <c r="AO103" s="51">
        <f>IF($B103="",0,IF(USE_TSPILE=1,AO176,('TO HOP'!$E$169/ncoc+IF(SUMSQ($E$72:$E$91)=0,0,'TO HOP'!$F$169*$E79/SUMSQ($E$72:$E$91))+IF(SUMSQ($D$72:$D$91)=0,0,'TO HOP'!$G$169*$D79/SUMSQ($D$72:$D$91)))/9.81))</f>
        <v>410.26549145186232</v>
      </c>
      <c r="AP103" s="51">
        <f>IF($B103="",0,IF(USE_TSPILE=1,AP176,('TO HOP'!$E$170/ncoc+IF(SUMSQ($E$72:$E$91)=0,0,'TO HOP'!$F$170*$E79/SUMSQ($E$72:$E$91))+IF(SUMSQ($D$72:$D$91)=0,0,'TO HOP'!$G$170*$D79/SUMSQ($D$72:$D$91)))/9.81))</f>
        <v>437.74564833117677</v>
      </c>
      <c r="AQ103" s="51">
        <f>IF($B103="",0,IF(USE_TSPILE=1,AQ176,('TO HOP'!$E$171/ncoc+IF(SUMSQ($E$72:$E$91)=0,0,'TO HOP'!$F$171*$E79/SUMSQ($E$72:$E$91))+IF(SUMSQ($D$72:$D$91)=0,0,'TO HOP'!$G$171*$D79/SUMSQ($D$72:$D$91)))/9.81))</f>
        <v>461.87231109404422</v>
      </c>
      <c r="AR103" s="51">
        <f>IF($B103="",0,IF(USE_TSPILE=1,AR176,('TO HOP'!$E$172/ncoc+IF(SUMSQ($E$72:$E$91)=0,0,'TO HOP'!$F$172*$E79/SUMSQ($E$72:$E$91))+IF(SUMSQ($D$72:$D$91)=0,0,'TO HOP'!$G$172*$D79/SUMSQ($D$72:$D$91)))/9.81))</f>
        <v>500.48225110335602</v>
      </c>
      <c r="AS103" s="51">
        <f>IF($B103="",0,IF(USE_TSPILE=1,AS176,('TO HOP'!$E$173/ncoc+IF(SUMSQ($E$72:$E$91)=0,0,'TO HOP'!$F$173*$E79/SUMSQ($E$72:$E$91))+IF(SUMSQ($D$72:$D$91)=0,0,'TO HOP'!$G$173*$D79/SUMSQ($D$72:$D$91)))/9.81))</f>
        <v>454.52316986470328</v>
      </c>
      <c r="AT103" s="51">
        <f>IF($B103="",0,IF(USE_TSPILE=1,AT176,('TO HOP'!$E$174/ncoc+IF(SUMSQ($E$72:$E$91)=0,0,'TO HOP'!$F$174*$E79/SUMSQ($E$72:$E$91))+IF(SUMSQ($D$72:$D$91)=0,0,'TO HOP'!$G$174*$D79/SUMSQ($D$72:$D$91)))/9.81))</f>
        <v>446.85457382267867</v>
      </c>
      <c r="AU103" s="51">
        <f>IF($B103="",0,IF(USE_TSPILE=1,AU176,('TO HOP'!$E$175/ncoc+IF(SUMSQ($E$72:$E$91)=0,0,'TO HOP'!$F$175*$E79/SUMSQ($E$72:$E$91))+IF(SUMSQ($D$72:$D$91)=0,0,'TO HOP'!$G$175*$D79/SUMSQ($D$72:$D$91)))/9.81))</f>
        <v>453.10869488822254</v>
      </c>
      <c r="AV103" s="51">
        <f>IF($B103="",0,IF(USE_TSPILE=1,AV176,('TO HOP'!$E$176/ncoc+IF(SUMSQ($E$72:$E$91)=0,0,'TO HOP'!$F$176*$E79/SUMSQ($E$72:$E$91))+IF(SUMSQ($D$72:$D$91)=0,0,'TO HOP'!$G$176*$D79/SUMSQ($D$72:$D$91)))/9.81))</f>
        <v>469.83530512801474</v>
      </c>
      <c r="AW103" s="51">
        <f>IF($B103="",0,IF(USE_TSPILE=1,AW176,('TO HOP'!$E$177/ncoc+IF(SUMSQ($E$72:$E$91)=0,0,'TO HOP'!$F$177*$E79/SUMSQ($E$72:$E$91))+IF(SUMSQ($D$72:$D$91)=0,0,'TO HOP'!$G$177*$D79/SUMSQ($D$72:$D$91)))/9.81))</f>
        <v>487.4923702750919</v>
      </c>
      <c r="AX103" s="51">
        <f>IF($B103="",0,IF(USE_TSPILE=1,AX176,('TO HOP'!$E$178/ncoc+IF(SUMSQ($E$72:$E$91)=0,0,'TO HOP'!$F$178*$E79/SUMSQ($E$72:$E$91))+IF(SUMSQ($D$72:$D$91)=0,0,'TO HOP'!$G$178*$D79/SUMSQ($D$72:$D$91)))/9.81))</f>
        <v>513.8359079426134</v>
      </c>
      <c r="AY103" s="51">
        <f>IF($B103="",0,IF(USE_TSPILE=1,AY176,('TO HOP'!$E$179/ncoc+IF(SUMSQ($E$72:$E$91)=0,0,'TO HOP'!$F$179*$E79/SUMSQ($E$72:$E$91))+IF(SUMSQ($D$72:$D$91)=0,0,'TO HOP'!$G$179*$D79/SUMSQ($D$72:$D$91)))/9.81))</f>
        <v>514.71751250380009</v>
      </c>
      <c r="AZ103" s="51">
        <f>IF($B103="",0,IF(USE_TSPILE=1,AZ176,('TO HOP'!$E$180/ncoc+IF(SUMSQ($E$72:$E$91)=0,0,'TO HOP'!$F$180*$E79/SUMSQ($E$72:$E$91))+IF(SUMSQ($D$72:$D$91)=0,0,'TO HOP'!$G$180*$D79/SUMSQ($D$72:$D$91)))/9.81))</f>
        <v>406.47703919141009</v>
      </c>
      <c r="BA103" s="51">
        <f>IF($B103="",0,IF(USE_TSPILE=1,BA176,('TO HOP'!$E$181/ncoc+IF(SUMSQ($E$72:$E$91)=0,0,'TO HOP'!$F$181*$E79/SUMSQ($E$72:$E$91))+IF(SUMSQ($D$72:$D$91)=0,0,'TO HOP'!$G$181*$D79/SUMSQ($D$72:$D$91)))/9.81))</f>
        <v>531.1041891516852</v>
      </c>
      <c r="BB103" s="51">
        <f>IF($B103="",0,IF(USE_TSPILE=1,BB176,('TO HOP'!$E$182/ncoc+IF(SUMSQ($E$72:$E$91)=0,0,'TO HOP'!$F$182*$E79/SUMSQ($E$72:$E$91))+IF(SUMSQ($D$72:$D$91)=0,0,'TO HOP'!$G$182*$D79/SUMSQ($D$72:$D$91)))/9.81))</f>
        <v>516.19558463472458</v>
      </c>
      <c r="BC103" s="51">
        <f>IF($B103="",0,IF(USE_TSPILE=1,BC176,('TO HOP'!$E$183/ncoc+IF(SUMSQ($E$72:$E$91)=0,0,'TO HOP'!$F$183*$E79/SUMSQ($E$72:$E$91))+IF(SUMSQ($D$72:$D$91)=0,0,'TO HOP'!$G$183*$D79/SUMSQ($D$72:$D$91)))/9.81))</f>
        <v>520.77138359531727</v>
      </c>
      <c r="BD103" s="51">
        <f>IF($B103="",0,IF(USE_TSPILE=1,BD176,('TO HOP'!$E$184/ncoc+IF(SUMSQ($E$72:$E$91)=0,0,'TO HOP'!$F$184*$E79/SUMSQ($E$72:$E$91))+IF(SUMSQ($D$72:$D$91)=0,0,'TO HOP'!$G$184*$D79/SUMSQ($D$72:$D$91)))/9.81))</f>
        <v>541.97036175935978</v>
      </c>
      <c r="BE103" s="51">
        <f>IF($B103="",0,IF(USE_TSPILE=1,BE176,('TO HOP'!$E$185/ncoc+IF(SUMSQ($E$72:$E$91)=0,0,'TO HOP'!$F$185*$E79/SUMSQ($E$72:$E$91))+IF(SUMSQ($D$72:$D$91)=0,0,'TO HOP'!$G$185*$D79/SUMSQ($D$72:$D$91)))/9.81))</f>
        <v>560.5823587478576</v>
      </c>
      <c r="BF103" s="51">
        <f>IF($B103="",0,IF(USE_TSPILE=1,BF176,('TO HOP'!$E$186/ncoc+IF(SUMSQ($E$72:$E$91)=0,0,'TO HOP'!$F$186*$E79/SUMSQ($E$72:$E$91))+IF(SUMSQ($D$72:$D$91)=0,0,'TO HOP'!$G$186*$D79/SUMSQ($D$72:$D$91)))/9.81))</f>
        <v>590.36716961218394</v>
      </c>
      <c r="BG103" s="51">
        <f>IF($B103="",0,IF(USE_TSPILE=1,BG176,('TO HOP'!$E$187/ncoc+IF(SUMSQ($E$72:$E$91)=0,0,'TO HOP'!$F$187*$E79/SUMSQ($E$72:$E$91))+IF(SUMSQ($D$72:$D$91)=0,0,'TO HOP'!$G$187*$D79/SUMSQ($D$72:$D$91)))/9.81))</f>
        <v>512.35855728073284</v>
      </c>
      <c r="BH103" s="51">
        <f>IF($B103="",0,IF(USE_TSPILE=1,BH176,('TO HOP'!$E$188/ncoc+IF(SUMSQ($E$72:$E$91)=0,0,'TO HOP'!$F$188*$E79/SUMSQ($E$72:$E$91))+IF(SUMSQ($D$72:$D$91)=0,0,'TO HOP'!$G$188*$D79/SUMSQ($D$72:$D$91)))/9.81))</f>
        <v>380.02275696435595</v>
      </c>
      <c r="BI103" s="51">
        <f>IF($B103="",0,IF(USE_TSPILE=1,BI176,('TO HOP'!$E$189/ncoc+IF(SUMSQ($E$72:$E$91)=0,0,'TO HOP'!$F$189*$E79/SUMSQ($E$72:$E$91))+IF(SUMSQ($D$72:$D$91)=0,0,'TO HOP'!$G$189*$D79/SUMSQ($D$72:$D$91)))/9.81))</f>
        <v>516.1910779458027</v>
      </c>
      <c r="BJ103" s="51">
        <f>IF($B103="",0,IF(USE_TSPILE=1,BJ176,('TO HOP'!$E$190/ncoc+IF(SUMSQ($E$72:$E$91)=0,0,'TO HOP'!$F$190*$E79/SUMSQ($E$72:$E$91))+IF(SUMSQ($D$72:$D$91)=0,0,'TO HOP'!$G$190*$D79/SUMSQ($D$72:$D$91)))/9.81))</f>
        <v>453.36097949280941</v>
      </c>
      <c r="BK103" s="51">
        <f>IF($B103="",0,IF(USE_TSPILE=1,BK176,('TO HOP'!$E$191/ncoc+IF(SUMSQ($E$72:$E$91)=0,0,'TO HOP'!$F$191*$E79/SUMSQ($E$72:$E$91))+IF(SUMSQ($D$72:$D$91)=0,0,'TO HOP'!$G$191*$D79/SUMSQ($D$72:$D$91)))/9.81))</f>
        <v>451.85279664803744</v>
      </c>
      <c r="BL103" s="51">
        <f>IF($B103="",0,IF(USE_TSPILE=1,BL176,('TO HOP'!$E$192/ncoc+IF(SUMSQ($E$72:$E$91)=0,0,'TO HOP'!$F$192*$E79/SUMSQ($E$72:$E$91))+IF(SUMSQ($D$72:$D$91)=0,0,'TO HOP'!$G$192*$D79/SUMSQ($D$72:$D$91)))/9.81))</f>
        <v>451.85279664803744</v>
      </c>
    </row>
    <row r="104" spans="2:64" x14ac:dyDescent="0.3">
      <c r="B104" s="14" t="str">
        <f>IF(9&lt;=ncoc,9,"")</f>
        <v/>
      </c>
      <c r="C104" s="51">
        <f>IF($B104="",0,IF(USE_TSPILE=1,C177,('TO HOP'!$E$131/ncoc+IF(SUMSQ($E$72:$E$91)=0,0,'TO HOP'!$F$131*$E80/SUMSQ($E$72:$E$91))+IF(SUMSQ($D$72:$D$91)=0,0,'TO HOP'!$G$131*$D80/SUMSQ($D$72:$D$91)))/9.81))</f>
        <v>0</v>
      </c>
      <c r="D104" s="51">
        <f>IF($B104="",0,IF(USE_TSPILE=1,D177,('TO HOP'!$E$132/ncoc+IF(SUMSQ($E$72:$E$91)=0,0,'TO HOP'!$F$132*$E80/SUMSQ($E$72:$E$91))+IF(SUMSQ($D$72:$D$91)=0,0,'TO HOP'!$G$132*$D80/SUMSQ($D$72:$D$91)))/9.81))</f>
        <v>0</v>
      </c>
      <c r="E104" s="51">
        <f>IF($B104="",0,IF(USE_TSPILE=1,E177,('TO HOP'!$E$133/ncoc+IF(SUMSQ($E$72:$E$91)=0,0,'TO HOP'!$F$133*$E80/SUMSQ($E$72:$E$91))+IF(SUMSQ($D$72:$D$91)=0,0,'TO HOP'!$G$133*$D80/SUMSQ($D$72:$D$91)))/9.81))</f>
        <v>0</v>
      </c>
      <c r="F104" s="51">
        <f>IF($B104="",0,IF(USE_TSPILE=1,F177,('TO HOP'!$E$134/ncoc+IF(SUMSQ($E$72:$E$91)=0,0,'TO HOP'!$F$134*$E80/SUMSQ($E$72:$E$91))+IF(SUMSQ($D$72:$D$91)=0,0,'TO HOP'!$G$134*$D80/SUMSQ($D$72:$D$91)))/9.81))</f>
        <v>0</v>
      </c>
      <c r="G104" s="51">
        <f>IF($B104="",0,IF(USE_TSPILE=1,G177,('TO HOP'!$E$135/ncoc+IF(SUMSQ($E$72:$E$91)=0,0,'TO HOP'!$F$135*$E80/SUMSQ($E$72:$E$91))+IF(SUMSQ($D$72:$D$91)=0,0,'TO HOP'!$G$135*$D80/SUMSQ($D$72:$D$91)))/9.81))</f>
        <v>0</v>
      </c>
      <c r="H104" s="51">
        <f>IF($B104="",0,IF(USE_TSPILE=1,H177,('TO HOP'!$E$136/ncoc+IF(SUMSQ($E$72:$E$91)=0,0,'TO HOP'!$F$136*$E80/SUMSQ($E$72:$E$91))+IF(SUMSQ($D$72:$D$91)=0,0,'TO HOP'!$G$136*$D80/SUMSQ($D$72:$D$91)))/9.81))</f>
        <v>0</v>
      </c>
      <c r="I104" s="51">
        <f>IF($B104="",0,IF(USE_TSPILE=1,I177,('TO HOP'!$E$137/ncoc+IF(SUMSQ($E$72:$E$91)=0,0,'TO HOP'!$F$137*$E80/SUMSQ($E$72:$E$91))+IF(SUMSQ($D$72:$D$91)=0,0,'TO HOP'!$G$137*$D80/SUMSQ($D$72:$D$91)))/9.81))</f>
        <v>0</v>
      </c>
      <c r="J104" s="51">
        <f>IF($B104="",0,IF(USE_TSPILE=1,J177,('TO HOP'!$E$138/ncoc+IF(SUMSQ($E$72:$E$91)=0,0,'TO HOP'!$F$138*$E80/SUMSQ($E$72:$E$91))+IF(SUMSQ($D$72:$D$91)=0,0,'TO HOP'!$G$138*$D80/SUMSQ($D$72:$D$91)))/9.81))</f>
        <v>0</v>
      </c>
      <c r="K104" s="51">
        <f>IF($B104="",0,IF(USE_TSPILE=1,K177,('TO HOP'!$E$139/ncoc+IF(SUMSQ($E$72:$E$91)=0,0,'TO HOP'!$F$139*$E80/SUMSQ($E$72:$E$91))+IF(SUMSQ($D$72:$D$91)=0,0,'TO HOP'!$G$139*$D80/SUMSQ($D$72:$D$91)))/9.81))</f>
        <v>0</v>
      </c>
      <c r="L104" s="51">
        <f>IF($B104="",0,IF(USE_TSPILE=1,L177,('TO HOP'!$E$140/ncoc+IF(SUMSQ($E$72:$E$91)=0,0,'TO HOP'!$F$140*$E80/SUMSQ($E$72:$E$91))+IF(SUMSQ($D$72:$D$91)=0,0,'TO HOP'!$G$140*$D80/SUMSQ($D$72:$D$91)))/9.81))</f>
        <v>0</v>
      </c>
      <c r="M104" s="51">
        <f>IF($B104="",0,IF(USE_TSPILE=1,M177,('TO HOP'!$E$141/ncoc+IF(SUMSQ($E$72:$E$91)=0,0,'TO HOP'!$F$141*$E80/SUMSQ($E$72:$E$91))+IF(SUMSQ($D$72:$D$91)=0,0,'TO HOP'!$G$141*$D80/SUMSQ($D$72:$D$91)))/9.81))</f>
        <v>0</v>
      </c>
      <c r="N104" s="51">
        <f>IF($B104="",0,IF(USE_TSPILE=1,N177,('TO HOP'!$E$142/ncoc+IF(SUMSQ($E$72:$E$91)=0,0,'TO HOP'!$F$142*$E80/SUMSQ($E$72:$E$91))+IF(SUMSQ($D$72:$D$91)=0,0,'TO HOP'!$G$142*$D80/SUMSQ($D$72:$D$91)))/9.81))</f>
        <v>0</v>
      </c>
      <c r="O104" s="51">
        <f>IF($B104="",0,IF(USE_TSPILE=1,O177,('TO HOP'!$E$143/ncoc+IF(SUMSQ($E$72:$E$91)=0,0,'TO HOP'!$F$143*$E80/SUMSQ($E$72:$E$91))+IF(SUMSQ($D$72:$D$91)=0,0,'TO HOP'!$G$143*$D80/SUMSQ($D$72:$D$91)))/9.81))</f>
        <v>0</v>
      </c>
      <c r="P104" s="51">
        <f>IF($B104="",0,IF(USE_TSPILE=1,P177,('TO HOP'!$E$144/ncoc+IF(SUMSQ($E$72:$E$91)=0,0,'TO HOP'!$F$144*$E80/SUMSQ($E$72:$E$91))+IF(SUMSQ($D$72:$D$91)=0,0,'TO HOP'!$G$144*$D80/SUMSQ($D$72:$D$91)))/9.81))</f>
        <v>0</v>
      </c>
      <c r="Q104" s="51">
        <f>IF($B104="",0,IF(USE_TSPILE=1,Q177,('TO HOP'!$E$145/ncoc+IF(SUMSQ($E$72:$E$91)=0,0,'TO HOP'!$F$145*$E80/SUMSQ($E$72:$E$91))+IF(SUMSQ($D$72:$D$91)=0,0,'TO HOP'!$G$145*$D80/SUMSQ($D$72:$D$91)))/9.81))</f>
        <v>0</v>
      </c>
      <c r="R104" s="51">
        <f>IF($B104="",0,IF(USE_TSPILE=1,R177,('TO HOP'!$E$146/ncoc+IF(SUMSQ($E$72:$E$91)=0,0,'TO HOP'!$F$146*$E80/SUMSQ($E$72:$E$91))+IF(SUMSQ($D$72:$D$91)=0,0,'TO HOP'!$G$146*$D80/SUMSQ($D$72:$D$91)))/9.81))</f>
        <v>0</v>
      </c>
      <c r="S104" s="51">
        <f>IF($B104="",0,IF(USE_TSPILE=1,S177,('TO HOP'!$E$147/ncoc+IF(SUMSQ($E$72:$E$91)=0,0,'TO HOP'!$F$147*$E80/SUMSQ($E$72:$E$91))+IF(SUMSQ($D$72:$D$91)=0,0,'TO HOP'!$G$147*$D80/SUMSQ($D$72:$D$91)))/9.81))</f>
        <v>0</v>
      </c>
      <c r="T104" s="51">
        <f>IF($B104="",0,IF(USE_TSPILE=1,T177,('TO HOP'!$E$148/ncoc+IF(SUMSQ($E$72:$E$91)=0,0,'TO HOP'!$F$148*$E80/SUMSQ($E$72:$E$91))+IF(SUMSQ($D$72:$D$91)=0,0,'TO HOP'!$G$148*$D80/SUMSQ($D$72:$D$91)))/9.81))</f>
        <v>0</v>
      </c>
      <c r="U104" s="51">
        <f>IF($B104="",0,IF(USE_TSPILE=1,U177,('TO HOP'!$E$149/ncoc+IF(SUMSQ($E$72:$E$91)=0,0,'TO HOP'!$F$149*$E80/SUMSQ($E$72:$E$91))+IF(SUMSQ($D$72:$D$91)=0,0,'TO HOP'!$G$149*$D80/SUMSQ($D$72:$D$91)))/9.81))</f>
        <v>0</v>
      </c>
      <c r="V104" s="51">
        <f>IF($B104="",0,IF(USE_TSPILE=1,V177,('TO HOP'!$E$150/ncoc+IF(SUMSQ($E$72:$E$91)=0,0,'TO HOP'!$F$150*$E80/SUMSQ($E$72:$E$91))+IF(SUMSQ($D$72:$D$91)=0,0,'TO HOP'!$G$150*$D80/SUMSQ($D$72:$D$91)))/9.81))</f>
        <v>0</v>
      </c>
      <c r="W104" s="51">
        <f>IF($B104="",0,IF(USE_TSPILE=1,W177,('TO HOP'!$E$151/ncoc+IF(SUMSQ($E$72:$E$91)=0,0,'TO HOP'!$F$151*$E80/SUMSQ($E$72:$E$91))+IF(SUMSQ($D$72:$D$91)=0,0,'TO HOP'!$G$151*$D80/SUMSQ($D$72:$D$91)))/9.81))</f>
        <v>0</v>
      </c>
      <c r="X104" s="51">
        <f>IF($B104="",0,IF(USE_TSPILE=1,X177,('TO HOP'!$E$152/ncoc+IF(SUMSQ($E$72:$E$91)=0,0,'TO HOP'!$F$152*$E80/SUMSQ($E$72:$E$91))+IF(SUMSQ($D$72:$D$91)=0,0,'TO HOP'!$G$152*$D80/SUMSQ($D$72:$D$91)))/9.81))</f>
        <v>0</v>
      </c>
      <c r="Y104" s="51">
        <f>IF($B104="",0,IF(USE_TSPILE=1,Y177,('TO HOP'!$E$153/ncoc+IF(SUMSQ($E$72:$E$91)=0,0,'TO HOP'!$F$153*$E80/SUMSQ($E$72:$E$91))+IF(SUMSQ($D$72:$D$91)=0,0,'TO HOP'!$G$153*$D80/SUMSQ($D$72:$D$91)))/9.81))</f>
        <v>0</v>
      </c>
      <c r="Z104" s="51">
        <f>IF($B104="",0,IF(USE_TSPILE=1,Z177,('TO HOP'!$E$154/ncoc+IF(SUMSQ($E$72:$E$91)=0,0,'TO HOP'!$F$154*$E80/SUMSQ($E$72:$E$91))+IF(SUMSQ($D$72:$D$91)=0,0,'TO HOP'!$G$154*$D80/SUMSQ($D$72:$D$91)))/9.81))</f>
        <v>0</v>
      </c>
      <c r="AA104" s="51">
        <f>IF($B104="",0,IF(USE_TSPILE=1,AA177,('TO HOP'!$E$155/ncoc+IF(SUMSQ($E$72:$E$91)=0,0,'TO HOP'!$F$155*$E80/SUMSQ($E$72:$E$91))+IF(SUMSQ($D$72:$D$91)=0,0,'TO HOP'!$G$155*$D80/SUMSQ($D$72:$D$91)))/9.81))</f>
        <v>0</v>
      </c>
      <c r="AB104" s="51">
        <f>IF($B104="",0,IF(USE_TSPILE=1,AB177,('TO HOP'!$E$156/ncoc+IF(SUMSQ($E$72:$E$91)=0,0,'TO HOP'!$F$156*$E80/SUMSQ($E$72:$E$91))+IF(SUMSQ($D$72:$D$91)=0,0,'TO HOP'!$G$156*$D80/SUMSQ($D$72:$D$91)))/9.81))</f>
        <v>0</v>
      </c>
      <c r="AC104" s="51">
        <f>IF($B104="",0,IF(USE_TSPILE=1,AC177,('TO HOP'!$E$157/ncoc+IF(SUMSQ($E$72:$E$91)=0,0,'TO HOP'!$F$157*$E80/SUMSQ($E$72:$E$91))+IF(SUMSQ($D$72:$D$91)=0,0,'TO HOP'!$G$157*$D80/SUMSQ($D$72:$D$91)))/9.81))</f>
        <v>0</v>
      </c>
      <c r="AD104" s="51">
        <f>IF($B104="",0,IF(USE_TSPILE=1,AD177,('TO HOP'!$E$158/ncoc+IF(SUMSQ($E$72:$E$91)=0,0,'TO HOP'!$F$158*$E80/SUMSQ($E$72:$E$91))+IF(SUMSQ($D$72:$D$91)=0,0,'TO HOP'!$G$158*$D80/SUMSQ($D$72:$D$91)))/9.81))</f>
        <v>0</v>
      </c>
      <c r="AE104" s="51">
        <f>IF($B104="",0,IF(USE_TSPILE=1,AE177,('TO HOP'!$E$159/ncoc+IF(SUMSQ($E$72:$E$91)=0,0,'TO HOP'!$F$159*$E80/SUMSQ($E$72:$E$91))+IF(SUMSQ($D$72:$D$91)=0,0,'TO HOP'!$G$159*$D80/SUMSQ($D$72:$D$91)))/9.81))</f>
        <v>0</v>
      </c>
      <c r="AF104" s="51">
        <f>IF($B104="",0,IF(USE_TSPILE=1,AF177,('TO HOP'!$E$160/ncoc+IF(SUMSQ($E$72:$E$91)=0,0,'TO HOP'!$F$160*$E80/SUMSQ($E$72:$E$91))+IF(SUMSQ($D$72:$D$91)=0,0,'TO HOP'!$G$160*$D80/SUMSQ($D$72:$D$91)))/9.81))</f>
        <v>0</v>
      </c>
      <c r="AG104" s="51">
        <f>IF($B104="",0,IF(USE_TSPILE=1,AG177,('TO HOP'!$E$161/ncoc+IF(SUMSQ($E$72:$E$91)=0,0,'TO HOP'!$F$161*$E80/SUMSQ($E$72:$E$91))+IF(SUMSQ($D$72:$D$91)=0,0,'TO HOP'!$G$161*$D80/SUMSQ($D$72:$D$91)))/9.81))</f>
        <v>0</v>
      </c>
      <c r="AH104" s="51">
        <f>IF($B104="",0,IF(USE_TSPILE=1,AH177,('TO HOP'!$E$162/ncoc+IF(SUMSQ($E$72:$E$91)=0,0,'TO HOP'!$F$162*$E80/SUMSQ($E$72:$E$91))+IF(SUMSQ($D$72:$D$91)=0,0,'TO HOP'!$G$162*$D80/SUMSQ($D$72:$D$91)))/9.81))</f>
        <v>0</v>
      </c>
      <c r="AI104" s="51">
        <f>IF($B104="",0,IF(USE_TSPILE=1,AI177,('TO HOP'!$E$163/ncoc+IF(SUMSQ($E$72:$E$91)=0,0,'TO HOP'!$F$163*$E80/SUMSQ($E$72:$E$91))+IF(SUMSQ($D$72:$D$91)=0,0,'TO HOP'!$G$163*$D80/SUMSQ($D$72:$D$91)))/9.81))</f>
        <v>0</v>
      </c>
      <c r="AJ104" s="51">
        <f>IF($B104="",0,IF(USE_TSPILE=1,AJ177,('TO HOP'!$E$164/ncoc+IF(SUMSQ($E$72:$E$91)=0,0,'TO HOP'!$F$164*$E80/SUMSQ($E$72:$E$91))+IF(SUMSQ($D$72:$D$91)=0,0,'TO HOP'!$G$164*$D80/SUMSQ($D$72:$D$91)))/9.81))</f>
        <v>0</v>
      </c>
      <c r="AK104" s="51">
        <f>IF($B104="",0,IF(USE_TSPILE=1,AK177,('TO HOP'!$E$165/ncoc+IF(SUMSQ($E$72:$E$91)=0,0,'TO HOP'!$F$165*$E80/SUMSQ($E$72:$E$91))+IF(SUMSQ($D$72:$D$91)=0,0,'TO HOP'!$G$165*$D80/SUMSQ($D$72:$D$91)))/9.81))</f>
        <v>0</v>
      </c>
      <c r="AL104" s="51">
        <f>IF($B104="",0,IF(USE_TSPILE=1,AL177,('TO HOP'!$E$166/ncoc+IF(SUMSQ($E$72:$E$91)=0,0,'TO HOP'!$F$166*$E80/SUMSQ($E$72:$E$91))+IF(SUMSQ($D$72:$D$91)=0,0,'TO HOP'!$G$166*$D80/SUMSQ($D$72:$D$91)))/9.81))</f>
        <v>0</v>
      </c>
      <c r="AM104" s="51">
        <f>IF($B104="",0,IF(USE_TSPILE=1,AM177,('TO HOP'!$E$167/ncoc+IF(SUMSQ($E$72:$E$91)=0,0,'TO HOP'!$F$167*$E80/SUMSQ($E$72:$E$91))+IF(SUMSQ($D$72:$D$91)=0,0,'TO HOP'!$G$167*$D80/SUMSQ($D$72:$D$91)))/9.81))</f>
        <v>0</v>
      </c>
      <c r="AN104" s="51">
        <f>IF($B104="",0,IF(USE_TSPILE=1,AN177,('TO HOP'!$E$168/ncoc+IF(SUMSQ($E$72:$E$91)=0,0,'TO HOP'!$F$168*$E80/SUMSQ($E$72:$E$91))+IF(SUMSQ($D$72:$D$91)=0,0,'TO HOP'!$G$168*$D80/SUMSQ($D$72:$D$91)))/9.81))</f>
        <v>0</v>
      </c>
      <c r="AO104" s="51">
        <f>IF($B104="",0,IF(USE_TSPILE=1,AO177,('TO HOP'!$E$169/ncoc+IF(SUMSQ($E$72:$E$91)=0,0,'TO HOP'!$F$169*$E80/SUMSQ($E$72:$E$91))+IF(SUMSQ($D$72:$D$91)=0,0,'TO HOP'!$G$169*$D80/SUMSQ($D$72:$D$91)))/9.81))</f>
        <v>0</v>
      </c>
      <c r="AP104" s="51">
        <f>IF($B104="",0,IF(USE_TSPILE=1,AP177,('TO HOP'!$E$170/ncoc+IF(SUMSQ($E$72:$E$91)=0,0,'TO HOP'!$F$170*$E80/SUMSQ($E$72:$E$91))+IF(SUMSQ($D$72:$D$91)=0,0,'TO HOP'!$G$170*$D80/SUMSQ($D$72:$D$91)))/9.81))</f>
        <v>0</v>
      </c>
      <c r="AQ104" s="51">
        <f>IF($B104="",0,IF(USE_TSPILE=1,AQ177,('TO HOP'!$E$171/ncoc+IF(SUMSQ($E$72:$E$91)=0,0,'TO HOP'!$F$171*$E80/SUMSQ($E$72:$E$91))+IF(SUMSQ($D$72:$D$91)=0,0,'TO HOP'!$G$171*$D80/SUMSQ($D$72:$D$91)))/9.81))</f>
        <v>0</v>
      </c>
      <c r="AR104" s="51">
        <f>IF($B104="",0,IF(USE_TSPILE=1,AR177,('TO HOP'!$E$172/ncoc+IF(SUMSQ($E$72:$E$91)=0,0,'TO HOP'!$F$172*$E80/SUMSQ($E$72:$E$91))+IF(SUMSQ($D$72:$D$91)=0,0,'TO HOP'!$G$172*$D80/SUMSQ($D$72:$D$91)))/9.81))</f>
        <v>0</v>
      </c>
      <c r="AS104" s="51">
        <f>IF($B104="",0,IF(USE_TSPILE=1,AS177,('TO HOP'!$E$173/ncoc+IF(SUMSQ($E$72:$E$91)=0,0,'TO HOP'!$F$173*$E80/SUMSQ($E$72:$E$91))+IF(SUMSQ($D$72:$D$91)=0,0,'TO HOP'!$G$173*$D80/SUMSQ($D$72:$D$91)))/9.81))</f>
        <v>0</v>
      </c>
      <c r="AT104" s="51">
        <f>IF($B104="",0,IF(USE_TSPILE=1,AT177,('TO HOP'!$E$174/ncoc+IF(SUMSQ($E$72:$E$91)=0,0,'TO HOP'!$F$174*$E80/SUMSQ($E$72:$E$91))+IF(SUMSQ($D$72:$D$91)=0,0,'TO HOP'!$G$174*$D80/SUMSQ($D$72:$D$91)))/9.81))</f>
        <v>0</v>
      </c>
      <c r="AU104" s="51">
        <f>IF($B104="",0,IF(USE_TSPILE=1,AU177,('TO HOP'!$E$175/ncoc+IF(SUMSQ($E$72:$E$91)=0,0,'TO HOP'!$F$175*$E80/SUMSQ($E$72:$E$91))+IF(SUMSQ($D$72:$D$91)=0,0,'TO HOP'!$G$175*$D80/SUMSQ($D$72:$D$91)))/9.81))</f>
        <v>0</v>
      </c>
      <c r="AV104" s="51">
        <f>IF($B104="",0,IF(USE_TSPILE=1,AV177,('TO HOP'!$E$176/ncoc+IF(SUMSQ($E$72:$E$91)=0,0,'TO HOP'!$F$176*$E80/SUMSQ($E$72:$E$91))+IF(SUMSQ($D$72:$D$91)=0,0,'TO HOP'!$G$176*$D80/SUMSQ($D$72:$D$91)))/9.81))</f>
        <v>0</v>
      </c>
      <c r="AW104" s="51">
        <f>IF($B104="",0,IF(USE_TSPILE=1,AW177,('TO HOP'!$E$177/ncoc+IF(SUMSQ($E$72:$E$91)=0,0,'TO HOP'!$F$177*$E80/SUMSQ($E$72:$E$91))+IF(SUMSQ($D$72:$D$91)=0,0,'TO HOP'!$G$177*$D80/SUMSQ($D$72:$D$91)))/9.81))</f>
        <v>0</v>
      </c>
      <c r="AX104" s="51">
        <f>IF($B104="",0,IF(USE_TSPILE=1,AX177,('TO HOP'!$E$178/ncoc+IF(SUMSQ($E$72:$E$91)=0,0,'TO HOP'!$F$178*$E80/SUMSQ($E$72:$E$91))+IF(SUMSQ($D$72:$D$91)=0,0,'TO HOP'!$G$178*$D80/SUMSQ($D$72:$D$91)))/9.81))</f>
        <v>0</v>
      </c>
      <c r="AY104" s="51">
        <f>IF($B104="",0,IF(USE_TSPILE=1,AY177,('TO HOP'!$E$179/ncoc+IF(SUMSQ($E$72:$E$91)=0,0,'TO HOP'!$F$179*$E80/SUMSQ($E$72:$E$91))+IF(SUMSQ($D$72:$D$91)=0,0,'TO HOP'!$G$179*$D80/SUMSQ($D$72:$D$91)))/9.81))</f>
        <v>0</v>
      </c>
      <c r="AZ104" s="51">
        <f>IF($B104="",0,IF(USE_TSPILE=1,AZ177,('TO HOP'!$E$180/ncoc+IF(SUMSQ($E$72:$E$91)=0,0,'TO HOP'!$F$180*$E80/SUMSQ($E$72:$E$91))+IF(SUMSQ($D$72:$D$91)=0,0,'TO HOP'!$G$180*$D80/SUMSQ($D$72:$D$91)))/9.81))</f>
        <v>0</v>
      </c>
      <c r="BA104" s="51">
        <f>IF($B104="",0,IF(USE_TSPILE=1,BA177,('TO HOP'!$E$181/ncoc+IF(SUMSQ($E$72:$E$91)=0,0,'TO HOP'!$F$181*$E80/SUMSQ($E$72:$E$91))+IF(SUMSQ($D$72:$D$91)=0,0,'TO HOP'!$G$181*$D80/SUMSQ($D$72:$D$91)))/9.81))</f>
        <v>0</v>
      </c>
      <c r="BB104" s="51">
        <f>IF($B104="",0,IF(USE_TSPILE=1,BB177,('TO HOP'!$E$182/ncoc+IF(SUMSQ($E$72:$E$91)=0,0,'TO HOP'!$F$182*$E80/SUMSQ($E$72:$E$91))+IF(SUMSQ($D$72:$D$91)=0,0,'TO HOP'!$G$182*$D80/SUMSQ($D$72:$D$91)))/9.81))</f>
        <v>0</v>
      </c>
      <c r="BC104" s="51">
        <f>IF($B104="",0,IF(USE_TSPILE=1,BC177,('TO HOP'!$E$183/ncoc+IF(SUMSQ($E$72:$E$91)=0,0,'TO HOP'!$F$183*$E80/SUMSQ($E$72:$E$91))+IF(SUMSQ($D$72:$D$91)=0,0,'TO HOP'!$G$183*$D80/SUMSQ($D$72:$D$91)))/9.81))</f>
        <v>0</v>
      </c>
      <c r="BD104" s="51">
        <f>IF($B104="",0,IF(USE_TSPILE=1,BD177,('TO HOP'!$E$184/ncoc+IF(SUMSQ($E$72:$E$91)=0,0,'TO HOP'!$F$184*$E80/SUMSQ($E$72:$E$91))+IF(SUMSQ($D$72:$D$91)=0,0,'TO HOP'!$G$184*$D80/SUMSQ($D$72:$D$91)))/9.81))</f>
        <v>0</v>
      </c>
      <c r="BE104" s="51">
        <f>IF($B104="",0,IF(USE_TSPILE=1,BE177,('TO HOP'!$E$185/ncoc+IF(SUMSQ($E$72:$E$91)=0,0,'TO HOP'!$F$185*$E80/SUMSQ($E$72:$E$91))+IF(SUMSQ($D$72:$D$91)=0,0,'TO HOP'!$G$185*$D80/SUMSQ($D$72:$D$91)))/9.81))</f>
        <v>0</v>
      </c>
      <c r="BF104" s="51">
        <f>IF($B104="",0,IF(USE_TSPILE=1,BF177,('TO HOP'!$E$186/ncoc+IF(SUMSQ($E$72:$E$91)=0,0,'TO HOP'!$F$186*$E80/SUMSQ($E$72:$E$91))+IF(SUMSQ($D$72:$D$91)=0,0,'TO HOP'!$G$186*$D80/SUMSQ($D$72:$D$91)))/9.81))</f>
        <v>0</v>
      </c>
      <c r="BG104" s="51">
        <f>IF($B104="",0,IF(USE_TSPILE=1,BG177,('TO HOP'!$E$187/ncoc+IF(SUMSQ($E$72:$E$91)=0,0,'TO HOP'!$F$187*$E80/SUMSQ($E$72:$E$91))+IF(SUMSQ($D$72:$D$91)=0,0,'TO HOP'!$G$187*$D80/SUMSQ($D$72:$D$91)))/9.81))</f>
        <v>0</v>
      </c>
      <c r="BH104" s="51">
        <f>IF($B104="",0,IF(USE_TSPILE=1,BH177,('TO HOP'!$E$188/ncoc+IF(SUMSQ($E$72:$E$91)=0,0,'TO HOP'!$F$188*$E80/SUMSQ($E$72:$E$91))+IF(SUMSQ($D$72:$D$91)=0,0,'TO HOP'!$G$188*$D80/SUMSQ($D$72:$D$91)))/9.81))</f>
        <v>0</v>
      </c>
      <c r="BI104" s="51">
        <f>IF($B104="",0,IF(USE_TSPILE=1,BI177,('TO HOP'!$E$189/ncoc+IF(SUMSQ($E$72:$E$91)=0,0,'TO HOP'!$F$189*$E80/SUMSQ($E$72:$E$91))+IF(SUMSQ($D$72:$D$91)=0,0,'TO HOP'!$G$189*$D80/SUMSQ($D$72:$D$91)))/9.81))</f>
        <v>0</v>
      </c>
      <c r="BJ104" s="51">
        <f>IF($B104="",0,IF(USE_TSPILE=1,BJ177,('TO HOP'!$E$190/ncoc+IF(SUMSQ($E$72:$E$91)=0,0,'TO HOP'!$F$190*$E80/SUMSQ($E$72:$E$91))+IF(SUMSQ($D$72:$D$91)=0,0,'TO HOP'!$G$190*$D80/SUMSQ($D$72:$D$91)))/9.81))</f>
        <v>0</v>
      </c>
      <c r="BK104" s="51">
        <f>IF($B104="",0,IF(USE_TSPILE=1,BK177,('TO HOP'!$E$191/ncoc+IF(SUMSQ($E$72:$E$91)=0,0,'TO HOP'!$F$191*$E80/SUMSQ($E$72:$E$91))+IF(SUMSQ($D$72:$D$91)=0,0,'TO HOP'!$G$191*$D80/SUMSQ($D$72:$D$91)))/9.81))</f>
        <v>0</v>
      </c>
      <c r="BL104" s="51">
        <f>IF($B104="",0,IF(USE_TSPILE=1,BL177,('TO HOP'!$E$192/ncoc+IF(SUMSQ($E$72:$E$91)=0,0,'TO HOP'!$F$192*$E80/SUMSQ($E$72:$E$91))+IF(SUMSQ($D$72:$D$91)=0,0,'TO HOP'!$G$192*$D80/SUMSQ($D$72:$D$91)))/9.81))</f>
        <v>0</v>
      </c>
    </row>
    <row r="105" spans="2:64" x14ac:dyDescent="0.3">
      <c r="B105" s="14" t="str">
        <f>IF(10&lt;=ncoc,10,"")</f>
        <v/>
      </c>
      <c r="C105" s="51">
        <f>IF($B105="",0,IF(USE_TSPILE=1,C178,('TO HOP'!$E$131/ncoc+IF(SUMSQ($E$72:$E$91)=0,0,'TO HOP'!$F$131*$E81/SUMSQ($E$72:$E$91))+IF(SUMSQ($D$72:$D$91)=0,0,'TO HOP'!$G$131*$D81/SUMSQ($D$72:$D$91)))/9.81))</f>
        <v>0</v>
      </c>
      <c r="D105" s="51">
        <f>IF($B105="",0,IF(USE_TSPILE=1,D178,('TO HOP'!$E$132/ncoc+IF(SUMSQ($E$72:$E$91)=0,0,'TO HOP'!$F$132*$E81/SUMSQ($E$72:$E$91))+IF(SUMSQ($D$72:$D$91)=0,0,'TO HOP'!$G$132*$D81/SUMSQ($D$72:$D$91)))/9.81))</f>
        <v>0</v>
      </c>
      <c r="E105" s="51">
        <f>IF($B105="",0,IF(USE_TSPILE=1,E178,('TO HOP'!$E$133/ncoc+IF(SUMSQ($E$72:$E$91)=0,0,'TO HOP'!$F$133*$E81/SUMSQ($E$72:$E$91))+IF(SUMSQ($D$72:$D$91)=0,0,'TO HOP'!$G$133*$D81/SUMSQ($D$72:$D$91)))/9.81))</f>
        <v>0</v>
      </c>
      <c r="F105" s="51">
        <f>IF($B105="",0,IF(USE_TSPILE=1,F178,('TO HOP'!$E$134/ncoc+IF(SUMSQ($E$72:$E$91)=0,0,'TO HOP'!$F$134*$E81/SUMSQ($E$72:$E$91))+IF(SUMSQ($D$72:$D$91)=0,0,'TO HOP'!$G$134*$D81/SUMSQ($D$72:$D$91)))/9.81))</f>
        <v>0</v>
      </c>
      <c r="G105" s="51">
        <f>IF($B105="",0,IF(USE_TSPILE=1,G178,('TO HOP'!$E$135/ncoc+IF(SUMSQ($E$72:$E$91)=0,0,'TO HOP'!$F$135*$E81/SUMSQ($E$72:$E$91))+IF(SUMSQ($D$72:$D$91)=0,0,'TO HOP'!$G$135*$D81/SUMSQ($D$72:$D$91)))/9.81))</f>
        <v>0</v>
      </c>
      <c r="H105" s="51">
        <f>IF($B105="",0,IF(USE_TSPILE=1,H178,('TO HOP'!$E$136/ncoc+IF(SUMSQ($E$72:$E$91)=0,0,'TO HOP'!$F$136*$E81/SUMSQ($E$72:$E$91))+IF(SUMSQ($D$72:$D$91)=0,0,'TO HOP'!$G$136*$D81/SUMSQ($D$72:$D$91)))/9.81))</f>
        <v>0</v>
      </c>
      <c r="I105" s="51">
        <f>IF($B105="",0,IF(USE_TSPILE=1,I178,('TO HOP'!$E$137/ncoc+IF(SUMSQ($E$72:$E$91)=0,0,'TO HOP'!$F$137*$E81/SUMSQ($E$72:$E$91))+IF(SUMSQ($D$72:$D$91)=0,0,'TO HOP'!$G$137*$D81/SUMSQ($D$72:$D$91)))/9.81))</f>
        <v>0</v>
      </c>
      <c r="J105" s="51">
        <f>IF($B105="",0,IF(USE_TSPILE=1,J178,('TO HOP'!$E$138/ncoc+IF(SUMSQ($E$72:$E$91)=0,0,'TO HOP'!$F$138*$E81/SUMSQ($E$72:$E$91))+IF(SUMSQ($D$72:$D$91)=0,0,'TO HOP'!$G$138*$D81/SUMSQ($D$72:$D$91)))/9.81))</f>
        <v>0</v>
      </c>
      <c r="K105" s="51">
        <f>IF($B105="",0,IF(USE_TSPILE=1,K178,('TO HOP'!$E$139/ncoc+IF(SUMSQ($E$72:$E$91)=0,0,'TO HOP'!$F$139*$E81/SUMSQ($E$72:$E$91))+IF(SUMSQ($D$72:$D$91)=0,0,'TO HOP'!$G$139*$D81/SUMSQ($D$72:$D$91)))/9.81))</f>
        <v>0</v>
      </c>
      <c r="L105" s="51">
        <f>IF($B105="",0,IF(USE_TSPILE=1,L178,('TO HOP'!$E$140/ncoc+IF(SUMSQ($E$72:$E$91)=0,0,'TO HOP'!$F$140*$E81/SUMSQ($E$72:$E$91))+IF(SUMSQ($D$72:$D$91)=0,0,'TO HOP'!$G$140*$D81/SUMSQ($D$72:$D$91)))/9.81))</f>
        <v>0</v>
      </c>
      <c r="M105" s="51">
        <f>IF($B105="",0,IF(USE_TSPILE=1,M178,('TO HOP'!$E$141/ncoc+IF(SUMSQ($E$72:$E$91)=0,0,'TO HOP'!$F$141*$E81/SUMSQ($E$72:$E$91))+IF(SUMSQ($D$72:$D$91)=0,0,'TO HOP'!$G$141*$D81/SUMSQ($D$72:$D$91)))/9.81))</f>
        <v>0</v>
      </c>
      <c r="N105" s="51">
        <f>IF($B105="",0,IF(USE_TSPILE=1,N178,('TO HOP'!$E$142/ncoc+IF(SUMSQ($E$72:$E$91)=0,0,'TO HOP'!$F$142*$E81/SUMSQ($E$72:$E$91))+IF(SUMSQ($D$72:$D$91)=0,0,'TO HOP'!$G$142*$D81/SUMSQ($D$72:$D$91)))/9.81))</f>
        <v>0</v>
      </c>
      <c r="O105" s="51">
        <f>IF($B105="",0,IF(USE_TSPILE=1,O178,('TO HOP'!$E$143/ncoc+IF(SUMSQ($E$72:$E$91)=0,0,'TO HOP'!$F$143*$E81/SUMSQ($E$72:$E$91))+IF(SUMSQ($D$72:$D$91)=0,0,'TO HOP'!$G$143*$D81/SUMSQ($D$72:$D$91)))/9.81))</f>
        <v>0</v>
      </c>
      <c r="P105" s="51">
        <f>IF($B105="",0,IF(USE_TSPILE=1,P178,('TO HOP'!$E$144/ncoc+IF(SUMSQ($E$72:$E$91)=0,0,'TO HOP'!$F$144*$E81/SUMSQ($E$72:$E$91))+IF(SUMSQ($D$72:$D$91)=0,0,'TO HOP'!$G$144*$D81/SUMSQ($D$72:$D$91)))/9.81))</f>
        <v>0</v>
      </c>
      <c r="Q105" s="51">
        <f>IF($B105="",0,IF(USE_TSPILE=1,Q178,('TO HOP'!$E$145/ncoc+IF(SUMSQ($E$72:$E$91)=0,0,'TO HOP'!$F$145*$E81/SUMSQ($E$72:$E$91))+IF(SUMSQ($D$72:$D$91)=0,0,'TO HOP'!$G$145*$D81/SUMSQ($D$72:$D$91)))/9.81))</f>
        <v>0</v>
      </c>
      <c r="R105" s="51">
        <f>IF($B105="",0,IF(USE_TSPILE=1,R178,('TO HOP'!$E$146/ncoc+IF(SUMSQ($E$72:$E$91)=0,0,'TO HOP'!$F$146*$E81/SUMSQ($E$72:$E$91))+IF(SUMSQ($D$72:$D$91)=0,0,'TO HOP'!$G$146*$D81/SUMSQ($D$72:$D$91)))/9.81))</f>
        <v>0</v>
      </c>
      <c r="S105" s="51">
        <f>IF($B105="",0,IF(USE_TSPILE=1,S178,('TO HOP'!$E$147/ncoc+IF(SUMSQ($E$72:$E$91)=0,0,'TO HOP'!$F$147*$E81/SUMSQ($E$72:$E$91))+IF(SUMSQ($D$72:$D$91)=0,0,'TO HOP'!$G$147*$D81/SUMSQ($D$72:$D$91)))/9.81))</f>
        <v>0</v>
      </c>
      <c r="T105" s="51">
        <f>IF($B105="",0,IF(USE_TSPILE=1,T178,('TO HOP'!$E$148/ncoc+IF(SUMSQ($E$72:$E$91)=0,0,'TO HOP'!$F$148*$E81/SUMSQ($E$72:$E$91))+IF(SUMSQ($D$72:$D$91)=0,0,'TO HOP'!$G$148*$D81/SUMSQ($D$72:$D$91)))/9.81))</f>
        <v>0</v>
      </c>
      <c r="U105" s="51">
        <f>IF($B105="",0,IF(USE_TSPILE=1,U178,('TO HOP'!$E$149/ncoc+IF(SUMSQ($E$72:$E$91)=0,0,'TO HOP'!$F$149*$E81/SUMSQ($E$72:$E$91))+IF(SUMSQ($D$72:$D$91)=0,0,'TO HOP'!$G$149*$D81/SUMSQ($D$72:$D$91)))/9.81))</f>
        <v>0</v>
      </c>
      <c r="V105" s="51">
        <f>IF($B105="",0,IF(USE_TSPILE=1,V178,('TO HOP'!$E$150/ncoc+IF(SUMSQ($E$72:$E$91)=0,0,'TO HOP'!$F$150*$E81/SUMSQ($E$72:$E$91))+IF(SUMSQ($D$72:$D$91)=0,0,'TO HOP'!$G$150*$D81/SUMSQ($D$72:$D$91)))/9.81))</f>
        <v>0</v>
      </c>
      <c r="W105" s="51">
        <f>IF($B105="",0,IF(USE_TSPILE=1,W178,('TO HOP'!$E$151/ncoc+IF(SUMSQ($E$72:$E$91)=0,0,'TO HOP'!$F$151*$E81/SUMSQ($E$72:$E$91))+IF(SUMSQ($D$72:$D$91)=0,0,'TO HOP'!$G$151*$D81/SUMSQ($D$72:$D$91)))/9.81))</f>
        <v>0</v>
      </c>
      <c r="X105" s="51">
        <f>IF($B105="",0,IF(USE_TSPILE=1,X178,('TO HOP'!$E$152/ncoc+IF(SUMSQ($E$72:$E$91)=0,0,'TO HOP'!$F$152*$E81/SUMSQ($E$72:$E$91))+IF(SUMSQ($D$72:$D$91)=0,0,'TO HOP'!$G$152*$D81/SUMSQ($D$72:$D$91)))/9.81))</f>
        <v>0</v>
      </c>
      <c r="Y105" s="51">
        <f>IF($B105="",0,IF(USE_TSPILE=1,Y178,('TO HOP'!$E$153/ncoc+IF(SUMSQ($E$72:$E$91)=0,0,'TO HOP'!$F$153*$E81/SUMSQ($E$72:$E$91))+IF(SUMSQ($D$72:$D$91)=0,0,'TO HOP'!$G$153*$D81/SUMSQ($D$72:$D$91)))/9.81))</f>
        <v>0</v>
      </c>
      <c r="Z105" s="51">
        <f>IF($B105="",0,IF(USE_TSPILE=1,Z178,('TO HOP'!$E$154/ncoc+IF(SUMSQ($E$72:$E$91)=0,0,'TO HOP'!$F$154*$E81/SUMSQ($E$72:$E$91))+IF(SUMSQ($D$72:$D$91)=0,0,'TO HOP'!$G$154*$D81/SUMSQ($D$72:$D$91)))/9.81))</f>
        <v>0</v>
      </c>
      <c r="AA105" s="51">
        <f>IF($B105="",0,IF(USE_TSPILE=1,AA178,('TO HOP'!$E$155/ncoc+IF(SUMSQ($E$72:$E$91)=0,0,'TO HOP'!$F$155*$E81/SUMSQ($E$72:$E$91))+IF(SUMSQ($D$72:$D$91)=0,0,'TO HOP'!$G$155*$D81/SUMSQ($D$72:$D$91)))/9.81))</f>
        <v>0</v>
      </c>
      <c r="AB105" s="51">
        <f>IF($B105="",0,IF(USE_TSPILE=1,AB178,('TO HOP'!$E$156/ncoc+IF(SUMSQ($E$72:$E$91)=0,0,'TO HOP'!$F$156*$E81/SUMSQ($E$72:$E$91))+IF(SUMSQ($D$72:$D$91)=0,0,'TO HOP'!$G$156*$D81/SUMSQ($D$72:$D$91)))/9.81))</f>
        <v>0</v>
      </c>
      <c r="AC105" s="51">
        <f>IF($B105="",0,IF(USE_TSPILE=1,AC178,('TO HOP'!$E$157/ncoc+IF(SUMSQ($E$72:$E$91)=0,0,'TO HOP'!$F$157*$E81/SUMSQ($E$72:$E$91))+IF(SUMSQ($D$72:$D$91)=0,0,'TO HOP'!$G$157*$D81/SUMSQ($D$72:$D$91)))/9.81))</f>
        <v>0</v>
      </c>
      <c r="AD105" s="51">
        <f>IF($B105="",0,IF(USE_TSPILE=1,AD178,('TO HOP'!$E$158/ncoc+IF(SUMSQ($E$72:$E$91)=0,0,'TO HOP'!$F$158*$E81/SUMSQ($E$72:$E$91))+IF(SUMSQ($D$72:$D$91)=0,0,'TO HOP'!$G$158*$D81/SUMSQ($D$72:$D$91)))/9.81))</f>
        <v>0</v>
      </c>
      <c r="AE105" s="51">
        <f>IF($B105="",0,IF(USE_TSPILE=1,AE178,('TO HOP'!$E$159/ncoc+IF(SUMSQ($E$72:$E$91)=0,0,'TO HOP'!$F$159*$E81/SUMSQ($E$72:$E$91))+IF(SUMSQ($D$72:$D$91)=0,0,'TO HOP'!$G$159*$D81/SUMSQ($D$72:$D$91)))/9.81))</f>
        <v>0</v>
      </c>
      <c r="AF105" s="51">
        <f>IF($B105="",0,IF(USE_TSPILE=1,AF178,('TO HOP'!$E$160/ncoc+IF(SUMSQ($E$72:$E$91)=0,0,'TO HOP'!$F$160*$E81/SUMSQ($E$72:$E$91))+IF(SUMSQ($D$72:$D$91)=0,0,'TO HOP'!$G$160*$D81/SUMSQ($D$72:$D$91)))/9.81))</f>
        <v>0</v>
      </c>
      <c r="AG105" s="51">
        <f>IF($B105="",0,IF(USE_TSPILE=1,AG178,('TO HOP'!$E$161/ncoc+IF(SUMSQ($E$72:$E$91)=0,0,'TO HOP'!$F$161*$E81/SUMSQ($E$72:$E$91))+IF(SUMSQ($D$72:$D$91)=0,0,'TO HOP'!$G$161*$D81/SUMSQ($D$72:$D$91)))/9.81))</f>
        <v>0</v>
      </c>
      <c r="AH105" s="51">
        <f>IF($B105="",0,IF(USE_TSPILE=1,AH178,('TO HOP'!$E$162/ncoc+IF(SUMSQ($E$72:$E$91)=0,0,'TO HOP'!$F$162*$E81/SUMSQ($E$72:$E$91))+IF(SUMSQ($D$72:$D$91)=0,0,'TO HOP'!$G$162*$D81/SUMSQ($D$72:$D$91)))/9.81))</f>
        <v>0</v>
      </c>
      <c r="AI105" s="51">
        <f>IF($B105="",0,IF(USE_TSPILE=1,AI178,('TO HOP'!$E$163/ncoc+IF(SUMSQ($E$72:$E$91)=0,0,'TO HOP'!$F$163*$E81/SUMSQ($E$72:$E$91))+IF(SUMSQ($D$72:$D$91)=0,0,'TO HOP'!$G$163*$D81/SUMSQ($D$72:$D$91)))/9.81))</f>
        <v>0</v>
      </c>
      <c r="AJ105" s="51">
        <f>IF($B105="",0,IF(USE_TSPILE=1,AJ178,('TO HOP'!$E$164/ncoc+IF(SUMSQ($E$72:$E$91)=0,0,'TO HOP'!$F$164*$E81/SUMSQ($E$72:$E$91))+IF(SUMSQ($D$72:$D$91)=0,0,'TO HOP'!$G$164*$D81/SUMSQ($D$72:$D$91)))/9.81))</f>
        <v>0</v>
      </c>
      <c r="AK105" s="51">
        <f>IF($B105="",0,IF(USE_TSPILE=1,AK178,('TO HOP'!$E$165/ncoc+IF(SUMSQ($E$72:$E$91)=0,0,'TO HOP'!$F$165*$E81/SUMSQ($E$72:$E$91))+IF(SUMSQ($D$72:$D$91)=0,0,'TO HOP'!$G$165*$D81/SUMSQ($D$72:$D$91)))/9.81))</f>
        <v>0</v>
      </c>
      <c r="AL105" s="51">
        <f>IF($B105="",0,IF(USE_TSPILE=1,AL178,('TO HOP'!$E$166/ncoc+IF(SUMSQ($E$72:$E$91)=0,0,'TO HOP'!$F$166*$E81/SUMSQ($E$72:$E$91))+IF(SUMSQ($D$72:$D$91)=0,0,'TO HOP'!$G$166*$D81/SUMSQ($D$72:$D$91)))/9.81))</f>
        <v>0</v>
      </c>
      <c r="AM105" s="51">
        <f>IF($B105="",0,IF(USE_TSPILE=1,AM178,('TO HOP'!$E$167/ncoc+IF(SUMSQ($E$72:$E$91)=0,0,'TO HOP'!$F$167*$E81/SUMSQ($E$72:$E$91))+IF(SUMSQ($D$72:$D$91)=0,0,'TO HOP'!$G$167*$D81/SUMSQ($D$72:$D$91)))/9.81))</f>
        <v>0</v>
      </c>
      <c r="AN105" s="51">
        <f>IF($B105="",0,IF(USE_TSPILE=1,AN178,('TO HOP'!$E$168/ncoc+IF(SUMSQ($E$72:$E$91)=0,0,'TO HOP'!$F$168*$E81/SUMSQ($E$72:$E$91))+IF(SUMSQ($D$72:$D$91)=0,0,'TO HOP'!$G$168*$D81/SUMSQ($D$72:$D$91)))/9.81))</f>
        <v>0</v>
      </c>
      <c r="AO105" s="51">
        <f>IF($B105="",0,IF(USE_TSPILE=1,AO178,('TO HOP'!$E$169/ncoc+IF(SUMSQ($E$72:$E$91)=0,0,'TO HOP'!$F$169*$E81/SUMSQ($E$72:$E$91))+IF(SUMSQ($D$72:$D$91)=0,0,'TO HOP'!$G$169*$D81/SUMSQ($D$72:$D$91)))/9.81))</f>
        <v>0</v>
      </c>
      <c r="AP105" s="51">
        <f>IF($B105="",0,IF(USE_TSPILE=1,AP178,('TO HOP'!$E$170/ncoc+IF(SUMSQ($E$72:$E$91)=0,0,'TO HOP'!$F$170*$E81/SUMSQ($E$72:$E$91))+IF(SUMSQ($D$72:$D$91)=0,0,'TO HOP'!$G$170*$D81/SUMSQ($D$72:$D$91)))/9.81))</f>
        <v>0</v>
      </c>
      <c r="AQ105" s="51">
        <f>IF($B105="",0,IF(USE_TSPILE=1,AQ178,('TO HOP'!$E$171/ncoc+IF(SUMSQ($E$72:$E$91)=0,0,'TO HOP'!$F$171*$E81/SUMSQ($E$72:$E$91))+IF(SUMSQ($D$72:$D$91)=0,0,'TO HOP'!$G$171*$D81/SUMSQ($D$72:$D$91)))/9.81))</f>
        <v>0</v>
      </c>
      <c r="AR105" s="51">
        <f>IF($B105="",0,IF(USE_TSPILE=1,AR178,('TO HOP'!$E$172/ncoc+IF(SUMSQ($E$72:$E$91)=0,0,'TO HOP'!$F$172*$E81/SUMSQ($E$72:$E$91))+IF(SUMSQ($D$72:$D$91)=0,0,'TO HOP'!$G$172*$D81/SUMSQ($D$72:$D$91)))/9.81))</f>
        <v>0</v>
      </c>
      <c r="AS105" s="51">
        <f>IF($B105="",0,IF(USE_TSPILE=1,AS178,('TO HOP'!$E$173/ncoc+IF(SUMSQ($E$72:$E$91)=0,0,'TO HOP'!$F$173*$E81/SUMSQ($E$72:$E$91))+IF(SUMSQ($D$72:$D$91)=0,0,'TO HOP'!$G$173*$D81/SUMSQ($D$72:$D$91)))/9.81))</f>
        <v>0</v>
      </c>
      <c r="AT105" s="51">
        <f>IF($B105="",0,IF(USE_TSPILE=1,AT178,('TO HOP'!$E$174/ncoc+IF(SUMSQ($E$72:$E$91)=0,0,'TO HOP'!$F$174*$E81/SUMSQ($E$72:$E$91))+IF(SUMSQ($D$72:$D$91)=0,0,'TO HOP'!$G$174*$D81/SUMSQ($D$72:$D$91)))/9.81))</f>
        <v>0</v>
      </c>
      <c r="AU105" s="51">
        <f>IF($B105="",0,IF(USE_TSPILE=1,AU178,('TO HOP'!$E$175/ncoc+IF(SUMSQ($E$72:$E$91)=0,0,'TO HOP'!$F$175*$E81/SUMSQ($E$72:$E$91))+IF(SUMSQ($D$72:$D$91)=0,0,'TO HOP'!$G$175*$D81/SUMSQ($D$72:$D$91)))/9.81))</f>
        <v>0</v>
      </c>
      <c r="AV105" s="51">
        <f>IF($B105="",0,IF(USE_TSPILE=1,AV178,('TO HOP'!$E$176/ncoc+IF(SUMSQ($E$72:$E$91)=0,0,'TO HOP'!$F$176*$E81/SUMSQ($E$72:$E$91))+IF(SUMSQ($D$72:$D$91)=0,0,'TO HOP'!$G$176*$D81/SUMSQ($D$72:$D$91)))/9.81))</f>
        <v>0</v>
      </c>
      <c r="AW105" s="51">
        <f>IF($B105="",0,IF(USE_TSPILE=1,AW178,('TO HOP'!$E$177/ncoc+IF(SUMSQ($E$72:$E$91)=0,0,'TO HOP'!$F$177*$E81/SUMSQ($E$72:$E$91))+IF(SUMSQ($D$72:$D$91)=0,0,'TO HOP'!$G$177*$D81/SUMSQ($D$72:$D$91)))/9.81))</f>
        <v>0</v>
      </c>
      <c r="AX105" s="51">
        <f>IF($B105="",0,IF(USE_TSPILE=1,AX178,('TO HOP'!$E$178/ncoc+IF(SUMSQ($E$72:$E$91)=0,0,'TO HOP'!$F$178*$E81/SUMSQ($E$72:$E$91))+IF(SUMSQ($D$72:$D$91)=0,0,'TO HOP'!$G$178*$D81/SUMSQ($D$72:$D$91)))/9.81))</f>
        <v>0</v>
      </c>
      <c r="AY105" s="51">
        <f>IF($B105="",0,IF(USE_TSPILE=1,AY178,('TO HOP'!$E$179/ncoc+IF(SUMSQ($E$72:$E$91)=0,0,'TO HOP'!$F$179*$E81/SUMSQ($E$72:$E$91))+IF(SUMSQ($D$72:$D$91)=0,0,'TO HOP'!$G$179*$D81/SUMSQ($D$72:$D$91)))/9.81))</f>
        <v>0</v>
      </c>
      <c r="AZ105" s="51">
        <f>IF($B105="",0,IF(USE_TSPILE=1,AZ178,('TO HOP'!$E$180/ncoc+IF(SUMSQ($E$72:$E$91)=0,0,'TO HOP'!$F$180*$E81/SUMSQ($E$72:$E$91))+IF(SUMSQ($D$72:$D$91)=0,0,'TO HOP'!$G$180*$D81/SUMSQ($D$72:$D$91)))/9.81))</f>
        <v>0</v>
      </c>
      <c r="BA105" s="51">
        <f>IF($B105="",0,IF(USE_TSPILE=1,BA178,('TO HOP'!$E$181/ncoc+IF(SUMSQ($E$72:$E$91)=0,0,'TO HOP'!$F$181*$E81/SUMSQ($E$72:$E$91))+IF(SUMSQ($D$72:$D$91)=0,0,'TO HOP'!$G$181*$D81/SUMSQ($D$72:$D$91)))/9.81))</f>
        <v>0</v>
      </c>
      <c r="BB105" s="51">
        <f>IF($B105="",0,IF(USE_TSPILE=1,BB178,('TO HOP'!$E$182/ncoc+IF(SUMSQ($E$72:$E$91)=0,0,'TO HOP'!$F$182*$E81/SUMSQ($E$72:$E$91))+IF(SUMSQ($D$72:$D$91)=0,0,'TO HOP'!$G$182*$D81/SUMSQ($D$72:$D$91)))/9.81))</f>
        <v>0</v>
      </c>
      <c r="BC105" s="51">
        <f>IF($B105="",0,IF(USE_TSPILE=1,BC178,('TO HOP'!$E$183/ncoc+IF(SUMSQ($E$72:$E$91)=0,0,'TO HOP'!$F$183*$E81/SUMSQ($E$72:$E$91))+IF(SUMSQ($D$72:$D$91)=0,0,'TO HOP'!$G$183*$D81/SUMSQ($D$72:$D$91)))/9.81))</f>
        <v>0</v>
      </c>
      <c r="BD105" s="51">
        <f>IF($B105="",0,IF(USE_TSPILE=1,BD178,('TO HOP'!$E$184/ncoc+IF(SUMSQ($E$72:$E$91)=0,0,'TO HOP'!$F$184*$E81/SUMSQ($E$72:$E$91))+IF(SUMSQ($D$72:$D$91)=0,0,'TO HOP'!$G$184*$D81/SUMSQ($D$72:$D$91)))/9.81))</f>
        <v>0</v>
      </c>
      <c r="BE105" s="51">
        <f>IF($B105="",0,IF(USE_TSPILE=1,BE178,('TO HOP'!$E$185/ncoc+IF(SUMSQ($E$72:$E$91)=0,0,'TO HOP'!$F$185*$E81/SUMSQ($E$72:$E$91))+IF(SUMSQ($D$72:$D$91)=0,0,'TO HOP'!$G$185*$D81/SUMSQ($D$72:$D$91)))/9.81))</f>
        <v>0</v>
      </c>
      <c r="BF105" s="51">
        <f>IF($B105="",0,IF(USE_TSPILE=1,BF178,('TO HOP'!$E$186/ncoc+IF(SUMSQ($E$72:$E$91)=0,0,'TO HOP'!$F$186*$E81/SUMSQ($E$72:$E$91))+IF(SUMSQ($D$72:$D$91)=0,0,'TO HOP'!$G$186*$D81/SUMSQ($D$72:$D$91)))/9.81))</f>
        <v>0</v>
      </c>
      <c r="BG105" s="51">
        <f>IF($B105="",0,IF(USE_TSPILE=1,BG178,('TO HOP'!$E$187/ncoc+IF(SUMSQ($E$72:$E$91)=0,0,'TO HOP'!$F$187*$E81/SUMSQ($E$72:$E$91))+IF(SUMSQ($D$72:$D$91)=0,0,'TO HOP'!$G$187*$D81/SUMSQ($D$72:$D$91)))/9.81))</f>
        <v>0</v>
      </c>
      <c r="BH105" s="51">
        <f>IF($B105="",0,IF(USE_TSPILE=1,BH178,('TO HOP'!$E$188/ncoc+IF(SUMSQ($E$72:$E$91)=0,0,'TO HOP'!$F$188*$E81/SUMSQ($E$72:$E$91))+IF(SUMSQ($D$72:$D$91)=0,0,'TO HOP'!$G$188*$D81/SUMSQ($D$72:$D$91)))/9.81))</f>
        <v>0</v>
      </c>
      <c r="BI105" s="51">
        <f>IF($B105="",0,IF(USE_TSPILE=1,BI178,('TO HOP'!$E$189/ncoc+IF(SUMSQ($E$72:$E$91)=0,0,'TO HOP'!$F$189*$E81/SUMSQ($E$72:$E$91))+IF(SUMSQ($D$72:$D$91)=0,0,'TO HOP'!$G$189*$D81/SUMSQ($D$72:$D$91)))/9.81))</f>
        <v>0</v>
      </c>
      <c r="BJ105" s="51">
        <f>IF($B105="",0,IF(USE_TSPILE=1,BJ178,('TO HOP'!$E$190/ncoc+IF(SUMSQ($E$72:$E$91)=0,0,'TO HOP'!$F$190*$E81/SUMSQ($E$72:$E$91))+IF(SUMSQ($D$72:$D$91)=0,0,'TO HOP'!$G$190*$D81/SUMSQ($D$72:$D$91)))/9.81))</f>
        <v>0</v>
      </c>
      <c r="BK105" s="51">
        <f>IF($B105="",0,IF(USE_TSPILE=1,BK178,('TO HOP'!$E$191/ncoc+IF(SUMSQ($E$72:$E$91)=0,0,'TO HOP'!$F$191*$E81/SUMSQ($E$72:$E$91))+IF(SUMSQ($D$72:$D$91)=0,0,'TO HOP'!$G$191*$D81/SUMSQ($D$72:$D$91)))/9.81))</f>
        <v>0</v>
      </c>
      <c r="BL105" s="51">
        <f>IF($B105="",0,IF(USE_TSPILE=1,BL178,('TO HOP'!$E$192/ncoc+IF(SUMSQ($E$72:$E$91)=0,0,'TO HOP'!$F$192*$E81/SUMSQ($E$72:$E$91))+IF(SUMSQ($D$72:$D$91)=0,0,'TO HOP'!$G$192*$D81/SUMSQ($D$72:$D$91)))/9.81))</f>
        <v>0</v>
      </c>
    </row>
    <row r="106" spans="2:64" x14ac:dyDescent="0.3">
      <c r="B106" s="14" t="str">
        <f>IF(11&lt;=ncoc,11,"")</f>
        <v/>
      </c>
      <c r="C106" s="51">
        <f>IF($B106="",0,IF(USE_TSPILE=1,C179,('TO HOP'!$E$131/ncoc+IF(SUMSQ($E$72:$E$91)=0,0,'TO HOP'!$F$131*$E82/SUMSQ($E$72:$E$91))+IF(SUMSQ($D$72:$D$91)=0,0,'TO HOP'!$G$131*$D82/SUMSQ($D$72:$D$91)))/9.81))</f>
        <v>0</v>
      </c>
      <c r="D106" s="51">
        <f>IF($B106="",0,IF(USE_TSPILE=1,D179,('TO HOP'!$E$132/ncoc+IF(SUMSQ($E$72:$E$91)=0,0,'TO HOP'!$F$132*$E82/SUMSQ($E$72:$E$91))+IF(SUMSQ($D$72:$D$91)=0,0,'TO HOP'!$G$132*$D82/SUMSQ($D$72:$D$91)))/9.81))</f>
        <v>0</v>
      </c>
      <c r="E106" s="51">
        <f>IF($B106="",0,IF(USE_TSPILE=1,E179,('TO HOP'!$E$133/ncoc+IF(SUMSQ($E$72:$E$91)=0,0,'TO HOP'!$F$133*$E82/SUMSQ($E$72:$E$91))+IF(SUMSQ($D$72:$D$91)=0,0,'TO HOP'!$G$133*$D82/SUMSQ($D$72:$D$91)))/9.81))</f>
        <v>0</v>
      </c>
      <c r="F106" s="51">
        <f>IF($B106="",0,IF(USE_TSPILE=1,F179,('TO HOP'!$E$134/ncoc+IF(SUMSQ($E$72:$E$91)=0,0,'TO HOP'!$F$134*$E82/SUMSQ($E$72:$E$91))+IF(SUMSQ($D$72:$D$91)=0,0,'TO HOP'!$G$134*$D82/SUMSQ($D$72:$D$91)))/9.81))</f>
        <v>0</v>
      </c>
      <c r="G106" s="51">
        <f>IF($B106="",0,IF(USE_TSPILE=1,G179,('TO HOP'!$E$135/ncoc+IF(SUMSQ($E$72:$E$91)=0,0,'TO HOP'!$F$135*$E82/SUMSQ($E$72:$E$91))+IF(SUMSQ($D$72:$D$91)=0,0,'TO HOP'!$G$135*$D82/SUMSQ($D$72:$D$91)))/9.81))</f>
        <v>0</v>
      </c>
      <c r="H106" s="51">
        <f>IF($B106="",0,IF(USE_TSPILE=1,H179,('TO HOP'!$E$136/ncoc+IF(SUMSQ($E$72:$E$91)=0,0,'TO HOP'!$F$136*$E82/SUMSQ($E$72:$E$91))+IF(SUMSQ($D$72:$D$91)=0,0,'TO HOP'!$G$136*$D82/SUMSQ($D$72:$D$91)))/9.81))</f>
        <v>0</v>
      </c>
      <c r="I106" s="51">
        <f>IF($B106="",0,IF(USE_TSPILE=1,I179,('TO HOP'!$E$137/ncoc+IF(SUMSQ($E$72:$E$91)=0,0,'TO HOP'!$F$137*$E82/SUMSQ($E$72:$E$91))+IF(SUMSQ($D$72:$D$91)=0,0,'TO HOP'!$G$137*$D82/SUMSQ($D$72:$D$91)))/9.81))</f>
        <v>0</v>
      </c>
      <c r="J106" s="51">
        <f>IF($B106="",0,IF(USE_TSPILE=1,J179,('TO HOP'!$E$138/ncoc+IF(SUMSQ($E$72:$E$91)=0,0,'TO HOP'!$F$138*$E82/SUMSQ($E$72:$E$91))+IF(SUMSQ($D$72:$D$91)=0,0,'TO HOP'!$G$138*$D82/SUMSQ($D$72:$D$91)))/9.81))</f>
        <v>0</v>
      </c>
      <c r="K106" s="51">
        <f>IF($B106="",0,IF(USE_TSPILE=1,K179,('TO HOP'!$E$139/ncoc+IF(SUMSQ($E$72:$E$91)=0,0,'TO HOP'!$F$139*$E82/SUMSQ($E$72:$E$91))+IF(SUMSQ($D$72:$D$91)=0,0,'TO HOP'!$G$139*$D82/SUMSQ($D$72:$D$91)))/9.81))</f>
        <v>0</v>
      </c>
      <c r="L106" s="51">
        <f>IF($B106="",0,IF(USE_TSPILE=1,L179,('TO HOP'!$E$140/ncoc+IF(SUMSQ($E$72:$E$91)=0,0,'TO HOP'!$F$140*$E82/SUMSQ($E$72:$E$91))+IF(SUMSQ($D$72:$D$91)=0,0,'TO HOP'!$G$140*$D82/SUMSQ($D$72:$D$91)))/9.81))</f>
        <v>0</v>
      </c>
      <c r="M106" s="51">
        <f>IF($B106="",0,IF(USE_TSPILE=1,M179,('TO HOP'!$E$141/ncoc+IF(SUMSQ($E$72:$E$91)=0,0,'TO HOP'!$F$141*$E82/SUMSQ($E$72:$E$91))+IF(SUMSQ($D$72:$D$91)=0,0,'TO HOP'!$G$141*$D82/SUMSQ($D$72:$D$91)))/9.81))</f>
        <v>0</v>
      </c>
      <c r="N106" s="51">
        <f>IF($B106="",0,IF(USE_TSPILE=1,N179,('TO HOP'!$E$142/ncoc+IF(SUMSQ($E$72:$E$91)=0,0,'TO HOP'!$F$142*$E82/SUMSQ($E$72:$E$91))+IF(SUMSQ($D$72:$D$91)=0,0,'TO HOP'!$G$142*$D82/SUMSQ($D$72:$D$91)))/9.81))</f>
        <v>0</v>
      </c>
      <c r="O106" s="51">
        <f>IF($B106="",0,IF(USE_TSPILE=1,O179,('TO HOP'!$E$143/ncoc+IF(SUMSQ($E$72:$E$91)=0,0,'TO HOP'!$F$143*$E82/SUMSQ($E$72:$E$91))+IF(SUMSQ($D$72:$D$91)=0,0,'TO HOP'!$G$143*$D82/SUMSQ($D$72:$D$91)))/9.81))</f>
        <v>0</v>
      </c>
      <c r="P106" s="51">
        <f>IF($B106="",0,IF(USE_TSPILE=1,P179,('TO HOP'!$E$144/ncoc+IF(SUMSQ($E$72:$E$91)=0,0,'TO HOP'!$F$144*$E82/SUMSQ($E$72:$E$91))+IF(SUMSQ($D$72:$D$91)=0,0,'TO HOP'!$G$144*$D82/SUMSQ($D$72:$D$91)))/9.81))</f>
        <v>0</v>
      </c>
      <c r="Q106" s="51">
        <f>IF($B106="",0,IF(USE_TSPILE=1,Q179,('TO HOP'!$E$145/ncoc+IF(SUMSQ($E$72:$E$91)=0,0,'TO HOP'!$F$145*$E82/SUMSQ($E$72:$E$91))+IF(SUMSQ($D$72:$D$91)=0,0,'TO HOP'!$G$145*$D82/SUMSQ($D$72:$D$91)))/9.81))</f>
        <v>0</v>
      </c>
      <c r="R106" s="51">
        <f>IF($B106="",0,IF(USE_TSPILE=1,R179,('TO HOP'!$E$146/ncoc+IF(SUMSQ($E$72:$E$91)=0,0,'TO HOP'!$F$146*$E82/SUMSQ($E$72:$E$91))+IF(SUMSQ($D$72:$D$91)=0,0,'TO HOP'!$G$146*$D82/SUMSQ($D$72:$D$91)))/9.81))</f>
        <v>0</v>
      </c>
      <c r="S106" s="51">
        <f>IF($B106="",0,IF(USE_TSPILE=1,S179,('TO HOP'!$E$147/ncoc+IF(SUMSQ($E$72:$E$91)=0,0,'TO HOP'!$F$147*$E82/SUMSQ($E$72:$E$91))+IF(SUMSQ($D$72:$D$91)=0,0,'TO HOP'!$G$147*$D82/SUMSQ($D$72:$D$91)))/9.81))</f>
        <v>0</v>
      </c>
      <c r="T106" s="51">
        <f>IF($B106="",0,IF(USE_TSPILE=1,T179,('TO HOP'!$E$148/ncoc+IF(SUMSQ($E$72:$E$91)=0,0,'TO HOP'!$F$148*$E82/SUMSQ($E$72:$E$91))+IF(SUMSQ($D$72:$D$91)=0,0,'TO HOP'!$G$148*$D82/SUMSQ($D$72:$D$91)))/9.81))</f>
        <v>0</v>
      </c>
      <c r="U106" s="51">
        <f>IF($B106="",0,IF(USE_TSPILE=1,U179,('TO HOP'!$E$149/ncoc+IF(SUMSQ($E$72:$E$91)=0,0,'TO HOP'!$F$149*$E82/SUMSQ($E$72:$E$91))+IF(SUMSQ($D$72:$D$91)=0,0,'TO HOP'!$G$149*$D82/SUMSQ($D$72:$D$91)))/9.81))</f>
        <v>0</v>
      </c>
      <c r="V106" s="51">
        <f>IF($B106="",0,IF(USE_TSPILE=1,V179,('TO HOP'!$E$150/ncoc+IF(SUMSQ($E$72:$E$91)=0,0,'TO HOP'!$F$150*$E82/SUMSQ($E$72:$E$91))+IF(SUMSQ($D$72:$D$91)=0,0,'TO HOP'!$G$150*$D82/SUMSQ($D$72:$D$91)))/9.81))</f>
        <v>0</v>
      </c>
      <c r="W106" s="51">
        <f>IF($B106="",0,IF(USE_TSPILE=1,W179,('TO HOP'!$E$151/ncoc+IF(SUMSQ($E$72:$E$91)=0,0,'TO HOP'!$F$151*$E82/SUMSQ($E$72:$E$91))+IF(SUMSQ($D$72:$D$91)=0,0,'TO HOP'!$G$151*$D82/SUMSQ($D$72:$D$91)))/9.81))</f>
        <v>0</v>
      </c>
      <c r="X106" s="51">
        <f>IF($B106="",0,IF(USE_TSPILE=1,X179,('TO HOP'!$E$152/ncoc+IF(SUMSQ($E$72:$E$91)=0,0,'TO HOP'!$F$152*$E82/SUMSQ($E$72:$E$91))+IF(SUMSQ($D$72:$D$91)=0,0,'TO HOP'!$G$152*$D82/SUMSQ($D$72:$D$91)))/9.81))</f>
        <v>0</v>
      </c>
      <c r="Y106" s="51">
        <f>IF($B106="",0,IF(USE_TSPILE=1,Y179,('TO HOP'!$E$153/ncoc+IF(SUMSQ($E$72:$E$91)=0,0,'TO HOP'!$F$153*$E82/SUMSQ($E$72:$E$91))+IF(SUMSQ($D$72:$D$91)=0,0,'TO HOP'!$G$153*$D82/SUMSQ($D$72:$D$91)))/9.81))</f>
        <v>0</v>
      </c>
      <c r="Z106" s="51">
        <f>IF($B106="",0,IF(USE_TSPILE=1,Z179,('TO HOP'!$E$154/ncoc+IF(SUMSQ($E$72:$E$91)=0,0,'TO HOP'!$F$154*$E82/SUMSQ($E$72:$E$91))+IF(SUMSQ($D$72:$D$91)=0,0,'TO HOP'!$G$154*$D82/SUMSQ($D$72:$D$91)))/9.81))</f>
        <v>0</v>
      </c>
      <c r="AA106" s="51">
        <f>IF($B106="",0,IF(USE_TSPILE=1,AA179,('TO HOP'!$E$155/ncoc+IF(SUMSQ($E$72:$E$91)=0,0,'TO HOP'!$F$155*$E82/SUMSQ($E$72:$E$91))+IF(SUMSQ($D$72:$D$91)=0,0,'TO HOP'!$G$155*$D82/SUMSQ($D$72:$D$91)))/9.81))</f>
        <v>0</v>
      </c>
      <c r="AB106" s="51">
        <f>IF($B106="",0,IF(USE_TSPILE=1,AB179,('TO HOP'!$E$156/ncoc+IF(SUMSQ($E$72:$E$91)=0,0,'TO HOP'!$F$156*$E82/SUMSQ($E$72:$E$91))+IF(SUMSQ($D$72:$D$91)=0,0,'TO HOP'!$G$156*$D82/SUMSQ($D$72:$D$91)))/9.81))</f>
        <v>0</v>
      </c>
      <c r="AC106" s="51">
        <f>IF($B106="",0,IF(USE_TSPILE=1,AC179,('TO HOP'!$E$157/ncoc+IF(SUMSQ($E$72:$E$91)=0,0,'TO HOP'!$F$157*$E82/SUMSQ($E$72:$E$91))+IF(SUMSQ($D$72:$D$91)=0,0,'TO HOP'!$G$157*$D82/SUMSQ($D$72:$D$91)))/9.81))</f>
        <v>0</v>
      </c>
      <c r="AD106" s="51">
        <f>IF($B106="",0,IF(USE_TSPILE=1,AD179,('TO HOP'!$E$158/ncoc+IF(SUMSQ($E$72:$E$91)=0,0,'TO HOP'!$F$158*$E82/SUMSQ($E$72:$E$91))+IF(SUMSQ($D$72:$D$91)=0,0,'TO HOP'!$G$158*$D82/SUMSQ($D$72:$D$91)))/9.81))</f>
        <v>0</v>
      </c>
      <c r="AE106" s="51">
        <f>IF($B106="",0,IF(USE_TSPILE=1,AE179,('TO HOP'!$E$159/ncoc+IF(SUMSQ($E$72:$E$91)=0,0,'TO HOP'!$F$159*$E82/SUMSQ($E$72:$E$91))+IF(SUMSQ($D$72:$D$91)=0,0,'TO HOP'!$G$159*$D82/SUMSQ($D$72:$D$91)))/9.81))</f>
        <v>0</v>
      </c>
      <c r="AF106" s="51">
        <f>IF($B106="",0,IF(USE_TSPILE=1,AF179,('TO HOP'!$E$160/ncoc+IF(SUMSQ($E$72:$E$91)=0,0,'TO HOP'!$F$160*$E82/SUMSQ($E$72:$E$91))+IF(SUMSQ($D$72:$D$91)=0,0,'TO HOP'!$G$160*$D82/SUMSQ($D$72:$D$91)))/9.81))</f>
        <v>0</v>
      </c>
      <c r="AG106" s="51">
        <f>IF($B106="",0,IF(USE_TSPILE=1,AG179,('TO HOP'!$E$161/ncoc+IF(SUMSQ($E$72:$E$91)=0,0,'TO HOP'!$F$161*$E82/SUMSQ($E$72:$E$91))+IF(SUMSQ($D$72:$D$91)=0,0,'TO HOP'!$G$161*$D82/SUMSQ($D$72:$D$91)))/9.81))</f>
        <v>0</v>
      </c>
      <c r="AH106" s="51">
        <f>IF($B106="",0,IF(USE_TSPILE=1,AH179,('TO HOP'!$E$162/ncoc+IF(SUMSQ($E$72:$E$91)=0,0,'TO HOP'!$F$162*$E82/SUMSQ($E$72:$E$91))+IF(SUMSQ($D$72:$D$91)=0,0,'TO HOP'!$G$162*$D82/SUMSQ($D$72:$D$91)))/9.81))</f>
        <v>0</v>
      </c>
      <c r="AI106" s="51">
        <f>IF($B106="",0,IF(USE_TSPILE=1,AI179,('TO HOP'!$E$163/ncoc+IF(SUMSQ($E$72:$E$91)=0,0,'TO HOP'!$F$163*$E82/SUMSQ($E$72:$E$91))+IF(SUMSQ($D$72:$D$91)=0,0,'TO HOP'!$G$163*$D82/SUMSQ($D$72:$D$91)))/9.81))</f>
        <v>0</v>
      </c>
      <c r="AJ106" s="51">
        <f>IF($B106="",0,IF(USE_TSPILE=1,AJ179,('TO HOP'!$E$164/ncoc+IF(SUMSQ($E$72:$E$91)=0,0,'TO HOP'!$F$164*$E82/SUMSQ($E$72:$E$91))+IF(SUMSQ($D$72:$D$91)=0,0,'TO HOP'!$G$164*$D82/SUMSQ($D$72:$D$91)))/9.81))</f>
        <v>0</v>
      </c>
      <c r="AK106" s="51">
        <f>IF($B106="",0,IF(USE_TSPILE=1,AK179,('TO HOP'!$E$165/ncoc+IF(SUMSQ($E$72:$E$91)=0,0,'TO HOP'!$F$165*$E82/SUMSQ($E$72:$E$91))+IF(SUMSQ($D$72:$D$91)=0,0,'TO HOP'!$G$165*$D82/SUMSQ($D$72:$D$91)))/9.81))</f>
        <v>0</v>
      </c>
      <c r="AL106" s="51">
        <f>IF($B106="",0,IF(USE_TSPILE=1,AL179,('TO HOP'!$E$166/ncoc+IF(SUMSQ($E$72:$E$91)=0,0,'TO HOP'!$F$166*$E82/SUMSQ($E$72:$E$91))+IF(SUMSQ($D$72:$D$91)=0,0,'TO HOP'!$G$166*$D82/SUMSQ($D$72:$D$91)))/9.81))</f>
        <v>0</v>
      </c>
      <c r="AM106" s="51">
        <f>IF($B106="",0,IF(USE_TSPILE=1,AM179,('TO HOP'!$E$167/ncoc+IF(SUMSQ($E$72:$E$91)=0,0,'TO HOP'!$F$167*$E82/SUMSQ($E$72:$E$91))+IF(SUMSQ($D$72:$D$91)=0,0,'TO HOP'!$G$167*$D82/SUMSQ($D$72:$D$91)))/9.81))</f>
        <v>0</v>
      </c>
      <c r="AN106" s="51">
        <f>IF($B106="",0,IF(USE_TSPILE=1,AN179,('TO HOP'!$E$168/ncoc+IF(SUMSQ($E$72:$E$91)=0,0,'TO HOP'!$F$168*$E82/SUMSQ($E$72:$E$91))+IF(SUMSQ($D$72:$D$91)=0,0,'TO HOP'!$G$168*$D82/SUMSQ($D$72:$D$91)))/9.81))</f>
        <v>0</v>
      </c>
      <c r="AO106" s="51">
        <f>IF($B106="",0,IF(USE_TSPILE=1,AO179,('TO HOP'!$E$169/ncoc+IF(SUMSQ($E$72:$E$91)=0,0,'TO HOP'!$F$169*$E82/SUMSQ($E$72:$E$91))+IF(SUMSQ($D$72:$D$91)=0,0,'TO HOP'!$G$169*$D82/SUMSQ($D$72:$D$91)))/9.81))</f>
        <v>0</v>
      </c>
      <c r="AP106" s="51">
        <f>IF($B106="",0,IF(USE_TSPILE=1,AP179,('TO HOP'!$E$170/ncoc+IF(SUMSQ($E$72:$E$91)=0,0,'TO HOP'!$F$170*$E82/SUMSQ($E$72:$E$91))+IF(SUMSQ($D$72:$D$91)=0,0,'TO HOP'!$G$170*$D82/SUMSQ($D$72:$D$91)))/9.81))</f>
        <v>0</v>
      </c>
      <c r="AQ106" s="51">
        <f>IF($B106="",0,IF(USE_TSPILE=1,AQ179,('TO HOP'!$E$171/ncoc+IF(SUMSQ($E$72:$E$91)=0,0,'TO HOP'!$F$171*$E82/SUMSQ($E$72:$E$91))+IF(SUMSQ($D$72:$D$91)=0,0,'TO HOP'!$G$171*$D82/SUMSQ($D$72:$D$91)))/9.81))</f>
        <v>0</v>
      </c>
      <c r="AR106" s="51">
        <f>IF($B106="",0,IF(USE_TSPILE=1,AR179,('TO HOP'!$E$172/ncoc+IF(SUMSQ($E$72:$E$91)=0,0,'TO HOP'!$F$172*$E82/SUMSQ($E$72:$E$91))+IF(SUMSQ($D$72:$D$91)=0,0,'TO HOP'!$G$172*$D82/SUMSQ($D$72:$D$91)))/9.81))</f>
        <v>0</v>
      </c>
      <c r="AS106" s="51">
        <f>IF($B106="",0,IF(USE_TSPILE=1,AS179,('TO HOP'!$E$173/ncoc+IF(SUMSQ($E$72:$E$91)=0,0,'TO HOP'!$F$173*$E82/SUMSQ($E$72:$E$91))+IF(SUMSQ($D$72:$D$91)=0,0,'TO HOP'!$G$173*$D82/SUMSQ($D$72:$D$91)))/9.81))</f>
        <v>0</v>
      </c>
      <c r="AT106" s="51">
        <f>IF($B106="",0,IF(USE_TSPILE=1,AT179,('TO HOP'!$E$174/ncoc+IF(SUMSQ($E$72:$E$91)=0,0,'TO HOP'!$F$174*$E82/SUMSQ($E$72:$E$91))+IF(SUMSQ($D$72:$D$91)=0,0,'TO HOP'!$G$174*$D82/SUMSQ($D$72:$D$91)))/9.81))</f>
        <v>0</v>
      </c>
      <c r="AU106" s="51">
        <f>IF($B106="",0,IF(USE_TSPILE=1,AU179,('TO HOP'!$E$175/ncoc+IF(SUMSQ($E$72:$E$91)=0,0,'TO HOP'!$F$175*$E82/SUMSQ($E$72:$E$91))+IF(SUMSQ($D$72:$D$91)=0,0,'TO HOP'!$G$175*$D82/SUMSQ($D$72:$D$91)))/9.81))</f>
        <v>0</v>
      </c>
      <c r="AV106" s="51">
        <f>IF($B106="",0,IF(USE_TSPILE=1,AV179,('TO HOP'!$E$176/ncoc+IF(SUMSQ($E$72:$E$91)=0,0,'TO HOP'!$F$176*$E82/SUMSQ($E$72:$E$91))+IF(SUMSQ($D$72:$D$91)=0,0,'TO HOP'!$G$176*$D82/SUMSQ($D$72:$D$91)))/9.81))</f>
        <v>0</v>
      </c>
      <c r="AW106" s="51">
        <f>IF($B106="",0,IF(USE_TSPILE=1,AW179,('TO HOP'!$E$177/ncoc+IF(SUMSQ($E$72:$E$91)=0,0,'TO HOP'!$F$177*$E82/SUMSQ($E$72:$E$91))+IF(SUMSQ($D$72:$D$91)=0,0,'TO HOP'!$G$177*$D82/SUMSQ($D$72:$D$91)))/9.81))</f>
        <v>0</v>
      </c>
      <c r="AX106" s="51">
        <f>IF($B106="",0,IF(USE_TSPILE=1,AX179,('TO HOP'!$E$178/ncoc+IF(SUMSQ($E$72:$E$91)=0,0,'TO HOP'!$F$178*$E82/SUMSQ($E$72:$E$91))+IF(SUMSQ($D$72:$D$91)=0,0,'TO HOP'!$G$178*$D82/SUMSQ($D$72:$D$91)))/9.81))</f>
        <v>0</v>
      </c>
      <c r="AY106" s="51">
        <f>IF($B106="",0,IF(USE_TSPILE=1,AY179,('TO HOP'!$E$179/ncoc+IF(SUMSQ($E$72:$E$91)=0,0,'TO HOP'!$F$179*$E82/SUMSQ($E$72:$E$91))+IF(SUMSQ($D$72:$D$91)=0,0,'TO HOP'!$G$179*$D82/SUMSQ($D$72:$D$91)))/9.81))</f>
        <v>0</v>
      </c>
      <c r="AZ106" s="51">
        <f>IF($B106="",0,IF(USE_TSPILE=1,AZ179,('TO HOP'!$E$180/ncoc+IF(SUMSQ($E$72:$E$91)=0,0,'TO HOP'!$F$180*$E82/SUMSQ($E$72:$E$91))+IF(SUMSQ($D$72:$D$91)=0,0,'TO HOP'!$G$180*$D82/SUMSQ($D$72:$D$91)))/9.81))</f>
        <v>0</v>
      </c>
      <c r="BA106" s="51">
        <f>IF($B106="",0,IF(USE_TSPILE=1,BA179,('TO HOP'!$E$181/ncoc+IF(SUMSQ($E$72:$E$91)=0,0,'TO HOP'!$F$181*$E82/SUMSQ($E$72:$E$91))+IF(SUMSQ($D$72:$D$91)=0,0,'TO HOP'!$G$181*$D82/SUMSQ($D$72:$D$91)))/9.81))</f>
        <v>0</v>
      </c>
      <c r="BB106" s="51">
        <f>IF($B106="",0,IF(USE_TSPILE=1,BB179,('TO HOP'!$E$182/ncoc+IF(SUMSQ($E$72:$E$91)=0,0,'TO HOP'!$F$182*$E82/SUMSQ($E$72:$E$91))+IF(SUMSQ($D$72:$D$91)=0,0,'TO HOP'!$G$182*$D82/SUMSQ($D$72:$D$91)))/9.81))</f>
        <v>0</v>
      </c>
      <c r="BC106" s="51">
        <f>IF($B106="",0,IF(USE_TSPILE=1,BC179,('TO HOP'!$E$183/ncoc+IF(SUMSQ($E$72:$E$91)=0,0,'TO HOP'!$F$183*$E82/SUMSQ($E$72:$E$91))+IF(SUMSQ($D$72:$D$91)=0,0,'TO HOP'!$G$183*$D82/SUMSQ($D$72:$D$91)))/9.81))</f>
        <v>0</v>
      </c>
      <c r="BD106" s="51">
        <f>IF($B106="",0,IF(USE_TSPILE=1,BD179,('TO HOP'!$E$184/ncoc+IF(SUMSQ($E$72:$E$91)=0,0,'TO HOP'!$F$184*$E82/SUMSQ($E$72:$E$91))+IF(SUMSQ($D$72:$D$91)=0,0,'TO HOP'!$G$184*$D82/SUMSQ($D$72:$D$91)))/9.81))</f>
        <v>0</v>
      </c>
      <c r="BE106" s="51">
        <f>IF($B106="",0,IF(USE_TSPILE=1,BE179,('TO HOP'!$E$185/ncoc+IF(SUMSQ($E$72:$E$91)=0,0,'TO HOP'!$F$185*$E82/SUMSQ($E$72:$E$91))+IF(SUMSQ($D$72:$D$91)=0,0,'TO HOP'!$G$185*$D82/SUMSQ($D$72:$D$91)))/9.81))</f>
        <v>0</v>
      </c>
      <c r="BF106" s="51">
        <f>IF($B106="",0,IF(USE_TSPILE=1,BF179,('TO HOP'!$E$186/ncoc+IF(SUMSQ($E$72:$E$91)=0,0,'TO HOP'!$F$186*$E82/SUMSQ($E$72:$E$91))+IF(SUMSQ($D$72:$D$91)=0,0,'TO HOP'!$G$186*$D82/SUMSQ($D$72:$D$91)))/9.81))</f>
        <v>0</v>
      </c>
      <c r="BG106" s="51">
        <f>IF($B106="",0,IF(USE_TSPILE=1,BG179,('TO HOP'!$E$187/ncoc+IF(SUMSQ($E$72:$E$91)=0,0,'TO HOP'!$F$187*$E82/SUMSQ($E$72:$E$91))+IF(SUMSQ($D$72:$D$91)=0,0,'TO HOP'!$G$187*$D82/SUMSQ($D$72:$D$91)))/9.81))</f>
        <v>0</v>
      </c>
      <c r="BH106" s="51">
        <f>IF($B106="",0,IF(USE_TSPILE=1,BH179,('TO HOP'!$E$188/ncoc+IF(SUMSQ($E$72:$E$91)=0,0,'TO HOP'!$F$188*$E82/SUMSQ($E$72:$E$91))+IF(SUMSQ($D$72:$D$91)=0,0,'TO HOP'!$G$188*$D82/SUMSQ($D$72:$D$91)))/9.81))</f>
        <v>0</v>
      </c>
      <c r="BI106" s="51">
        <f>IF($B106="",0,IF(USE_TSPILE=1,BI179,('TO HOP'!$E$189/ncoc+IF(SUMSQ($E$72:$E$91)=0,0,'TO HOP'!$F$189*$E82/SUMSQ($E$72:$E$91))+IF(SUMSQ($D$72:$D$91)=0,0,'TO HOP'!$G$189*$D82/SUMSQ($D$72:$D$91)))/9.81))</f>
        <v>0</v>
      </c>
      <c r="BJ106" s="51">
        <f>IF($B106="",0,IF(USE_TSPILE=1,BJ179,('TO HOP'!$E$190/ncoc+IF(SUMSQ($E$72:$E$91)=0,0,'TO HOP'!$F$190*$E82/SUMSQ($E$72:$E$91))+IF(SUMSQ($D$72:$D$91)=0,0,'TO HOP'!$G$190*$D82/SUMSQ($D$72:$D$91)))/9.81))</f>
        <v>0</v>
      </c>
      <c r="BK106" s="51">
        <f>IF($B106="",0,IF(USE_TSPILE=1,BK179,('TO HOP'!$E$191/ncoc+IF(SUMSQ($E$72:$E$91)=0,0,'TO HOP'!$F$191*$E82/SUMSQ($E$72:$E$91))+IF(SUMSQ($D$72:$D$91)=0,0,'TO HOP'!$G$191*$D82/SUMSQ($D$72:$D$91)))/9.81))</f>
        <v>0</v>
      </c>
      <c r="BL106" s="51">
        <f>IF($B106="",0,IF(USE_TSPILE=1,BL179,('TO HOP'!$E$192/ncoc+IF(SUMSQ($E$72:$E$91)=0,0,'TO HOP'!$F$192*$E82/SUMSQ($E$72:$E$91))+IF(SUMSQ($D$72:$D$91)=0,0,'TO HOP'!$G$192*$D82/SUMSQ($D$72:$D$91)))/9.81))</f>
        <v>0</v>
      </c>
    </row>
    <row r="107" spans="2:64" x14ac:dyDescent="0.3">
      <c r="B107" s="14" t="str">
        <f>IF(12&lt;=ncoc,12,"")</f>
        <v/>
      </c>
      <c r="C107" s="51">
        <f>IF($B107="",0,IF(USE_TSPILE=1,C180,('TO HOP'!$E$131/ncoc+IF(SUMSQ($E$72:$E$91)=0,0,'TO HOP'!$F$131*$E83/SUMSQ($E$72:$E$91))+IF(SUMSQ($D$72:$D$91)=0,0,'TO HOP'!$G$131*$D83/SUMSQ($D$72:$D$91)))/9.81))</f>
        <v>0</v>
      </c>
      <c r="D107" s="51">
        <f>IF($B107="",0,IF(USE_TSPILE=1,D180,('TO HOP'!$E$132/ncoc+IF(SUMSQ($E$72:$E$91)=0,0,'TO HOP'!$F$132*$E83/SUMSQ($E$72:$E$91))+IF(SUMSQ($D$72:$D$91)=0,0,'TO HOP'!$G$132*$D83/SUMSQ($D$72:$D$91)))/9.81))</f>
        <v>0</v>
      </c>
      <c r="E107" s="51">
        <f>IF($B107="",0,IF(USE_TSPILE=1,E180,('TO HOP'!$E$133/ncoc+IF(SUMSQ($E$72:$E$91)=0,0,'TO HOP'!$F$133*$E83/SUMSQ($E$72:$E$91))+IF(SUMSQ($D$72:$D$91)=0,0,'TO HOP'!$G$133*$D83/SUMSQ($D$72:$D$91)))/9.81))</f>
        <v>0</v>
      </c>
      <c r="F107" s="51">
        <f>IF($B107="",0,IF(USE_TSPILE=1,F180,('TO HOP'!$E$134/ncoc+IF(SUMSQ($E$72:$E$91)=0,0,'TO HOP'!$F$134*$E83/SUMSQ($E$72:$E$91))+IF(SUMSQ($D$72:$D$91)=0,0,'TO HOP'!$G$134*$D83/SUMSQ($D$72:$D$91)))/9.81))</f>
        <v>0</v>
      </c>
      <c r="G107" s="51">
        <f>IF($B107="",0,IF(USE_TSPILE=1,G180,('TO HOP'!$E$135/ncoc+IF(SUMSQ($E$72:$E$91)=0,0,'TO HOP'!$F$135*$E83/SUMSQ($E$72:$E$91))+IF(SUMSQ($D$72:$D$91)=0,0,'TO HOP'!$G$135*$D83/SUMSQ($D$72:$D$91)))/9.81))</f>
        <v>0</v>
      </c>
      <c r="H107" s="51">
        <f>IF($B107="",0,IF(USE_TSPILE=1,H180,('TO HOP'!$E$136/ncoc+IF(SUMSQ($E$72:$E$91)=0,0,'TO HOP'!$F$136*$E83/SUMSQ($E$72:$E$91))+IF(SUMSQ($D$72:$D$91)=0,0,'TO HOP'!$G$136*$D83/SUMSQ($D$72:$D$91)))/9.81))</f>
        <v>0</v>
      </c>
      <c r="I107" s="51">
        <f>IF($B107="",0,IF(USE_TSPILE=1,I180,('TO HOP'!$E$137/ncoc+IF(SUMSQ($E$72:$E$91)=0,0,'TO HOP'!$F$137*$E83/SUMSQ($E$72:$E$91))+IF(SUMSQ($D$72:$D$91)=0,0,'TO HOP'!$G$137*$D83/SUMSQ($D$72:$D$91)))/9.81))</f>
        <v>0</v>
      </c>
      <c r="J107" s="51">
        <f>IF($B107="",0,IF(USE_TSPILE=1,J180,('TO HOP'!$E$138/ncoc+IF(SUMSQ($E$72:$E$91)=0,0,'TO HOP'!$F$138*$E83/SUMSQ($E$72:$E$91))+IF(SUMSQ($D$72:$D$91)=0,0,'TO HOP'!$G$138*$D83/SUMSQ($D$72:$D$91)))/9.81))</f>
        <v>0</v>
      </c>
      <c r="K107" s="51">
        <f>IF($B107="",0,IF(USE_TSPILE=1,K180,('TO HOP'!$E$139/ncoc+IF(SUMSQ($E$72:$E$91)=0,0,'TO HOP'!$F$139*$E83/SUMSQ($E$72:$E$91))+IF(SUMSQ($D$72:$D$91)=0,0,'TO HOP'!$G$139*$D83/SUMSQ($D$72:$D$91)))/9.81))</f>
        <v>0</v>
      </c>
      <c r="L107" s="51">
        <f>IF($B107="",0,IF(USE_TSPILE=1,L180,('TO HOP'!$E$140/ncoc+IF(SUMSQ($E$72:$E$91)=0,0,'TO HOP'!$F$140*$E83/SUMSQ($E$72:$E$91))+IF(SUMSQ($D$72:$D$91)=0,0,'TO HOP'!$G$140*$D83/SUMSQ($D$72:$D$91)))/9.81))</f>
        <v>0</v>
      </c>
      <c r="M107" s="51">
        <f>IF($B107="",0,IF(USE_TSPILE=1,M180,('TO HOP'!$E$141/ncoc+IF(SUMSQ($E$72:$E$91)=0,0,'TO HOP'!$F$141*$E83/SUMSQ($E$72:$E$91))+IF(SUMSQ($D$72:$D$91)=0,0,'TO HOP'!$G$141*$D83/SUMSQ($D$72:$D$91)))/9.81))</f>
        <v>0</v>
      </c>
      <c r="N107" s="51">
        <f>IF($B107="",0,IF(USE_TSPILE=1,N180,('TO HOP'!$E$142/ncoc+IF(SUMSQ($E$72:$E$91)=0,0,'TO HOP'!$F$142*$E83/SUMSQ($E$72:$E$91))+IF(SUMSQ($D$72:$D$91)=0,0,'TO HOP'!$G$142*$D83/SUMSQ($D$72:$D$91)))/9.81))</f>
        <v>0</v>
      </c>
      <c r="O107" s="51">
        <f>IF($B107="",0,IF(USE_TSPILE=1,O180,('TO HOP'!$E$143/ncoc+IF(SUMSQ($E$72:$E$91)=0,0,'TO HOP'!$F$143*$E83/SUMSQ($E$72:$E$91))+IF(SUMSQ($D$72:$D$91)=0,0,'TO HOP'!$G$143*$D83/SUMSQ($D$72:$D$91)))/9.81))</f>
        <v>0</v>
      </c>
      <c r="P107" s="51">
        <f>IF($B107="",0,IF(USE_TSPILE=1,P180,('TO HOP'!$E$144/ncoc+IF(SUMSQ($E$72:$E$91)=0,0,'TO HOP'!$F$144*$E83/SUMSQ($E$72:$E$91))+IF(SUMSQ($D$72:$D$91)=0,0,'TO HOP'!$G$144*$D83/SUMSQ($D$72:$D$91)))/9.81))</f>
        <v>0</v>
      </c>
      <c r="Q107" s="51">
        <f>IF($B107="",0,IF(USE_TSPILE=1,Q180,('TO HOP'!$E$145/ncoc+IF(SUMSQ($E$72:$E$91)=0,0,'TO HOP'!$F$145*$E83/SUMSQ($E$72:$E$91))+IF(SUMSQ($D$72:$D$91)=0,0,'TO HOP'!$G$145*$D83/SUMSQ($D$72:$D$91)))/9.81))</f>
        <v>0</v>
      </c>
      <c r="R107" s="51">
        <f>IF($B107="",0,IF(USE_TSPILE=1,R180,('TO HOP'!$E$146/ncoc+IF(SUMSQ($E$72:$E$91)=0,0,'TO HOP'!$F$146*$E83/SUMSQ($E$72:$E$91))+IF(SUMSQ($D$72:$D$91)=0,0,'TO HOP'!$G$146*$D83/SUMSQ($D$72:$D$91)))/9.81))</f>
        <v>0</v>
      </c>
      <c r="S107" s="51">
        <f>IF($B107="",0,IF(USE_TSPILE=1,S180,('TO HOP'!$E$147/ncoc+IF(SUMSQ($E$72:$E$91)=0,0,'TO HOP'!$F$147*$E83/SUMSQ($E$72:$E$91))+IF(SUMSQ($D$72:$D$91)=0,0,'TO HOP'!$G$147*$D83/SUMSQ($D$72:$D$91)))/9.81))</f>
        <v>0</v>
      </c>
      <c r="T107" s="51">
        <f>IF($B107="",0,IF(USE_TSPILE=1,T180,('TO HOP'!$E$148/ncoc+IF(SUMSQ($E$72:$E$91)=0,0,'TO HOP'!$F$148*$E83/SUMSQ($E$72:$E$91))+IF(SUMSQ($D$72:$D$91)=0,0,'TO HOP'!$G$148*$D83/SUMSQ($D$72:$D$91)))/9.81))</f>
        <v>0</v>
      </c>
      <c r="U107" s="51">
        <f>IF($B107="",0,IF(USE_TSPILE=1,U180,('TO HOP'!$E$149/ncoc+IF(SUMSQ($E$72:$E$91)=0,0,'TO HOP'!$F$149*$E83/SUMSQ($E$72:$E$91))+IF(SUMSQ($D$72:$D$91)=0,0,'TO HOP'!$G$149*$D83/SUMSQ($D$72:$D$91)))/9.81))</f>
        <v>0</v>
      </c>
      <c r="V107" s="51">
        <f>IF($B107="",0,IF(USE_TSPILE=1,V180,('TO HOP'!$E$150/ncoc+IF(SUMSQ($E$72:$E$91)=0,0,'TO HOP'!$F$150*$E83/SUMSQ($E$72:$E$91))+IF(SUMSQ($D$72:$D$91)=0,0,'TO HOP'!$G$150*$D83/SUMSQ($D$72:$D$91)))/9.81))</f>
        <v>0</v>
      </c>
      <c r="W107" s="51">
        <f>IF($B107="",0,IF(USE_TSPILE=1,W180,('TO HOP'!$E$151/ncoc+IF(SUMSQ($E$72:$E$91)=0,0,'TO HOP'!$F$151*$E83/SUMSQ($E$72:$E$91))+IF(SUMSQ($D$72:$D$91)=0,0,'TO HOP'!$G$151*$D83/SUMSQ($D$72:$D$91)))/9.81))</f>
        <v>0</v>
      </c>
      <c r="X107" s="51">
        <f>IF($B107="",0,IF(USE_TSPILE=1,X180,('TO HOP'!$E$152/ncoc+IF(SUMSQ($E$72:$E$91)=0,0,'TO HOP'!$F$152*$E83/SUMSQ($E$72:$E$91))+IF(SUMSQ($D$72:$D$91)=0,0,'TO HOP'!$G$152*$D83/SUMSQ($D$72:$D$91)))/9.81))</f>
        <v>0</v>
      </c>
      <c r="Y107" s="51">
        <f>IF($B107="",0,IF(USE_TSPILE=1,Y180,('TO HOP'!$E$153/ncoc+IF(SUMSQ($E$72:$E$91)=0,0,'TO HOP'!$F$153*$E83/SUMSQ($E$72:$E$91))+IF(SUMSQ($D$72:$D$91)=0,0,'TO HOP'!$G$153*$D83/SUMSQ($D$72:$D$91)))/9.81))</f>
        <v>0</v>
      </c>
      <c r="Z107" s="51">
        <f>IF($B107="",0,IF(USE_TSPILE=1,Z180,('TO HOP'!$E$154/ncoc+IF(SUMSQ($E$72:$E$91)=0,0,'TO HOP'!$F$154*$E83/SUMSQ($E$72:$E$91))+IF(SUMSQ($D$72:$D$91)=0,0,'TO HOP'!$G$154*$D83/SUMSQ($D$72:$D$91)))/9.81))</f>
        <v>0</v>
      </c>
      <c r="AA107" s="51">
        <f>IF($B107="",0,IF(USE_TSPILE=1,AA180,('TO HOP'!$E$155/ncoc+IF(SUMSQ($E$72:$E$91)=0,0,'TO HOP'!$F$155*$E83/SUMSQ($E$72:$E$91))+IF(SUMSQ($D$72:$D$91)=0,0,'TO HOP'!$G$155*$D83/SUMSQ($D$72:$D$91)))/9.81))</f>
        <v>0</v>
      </c>
      <c r="AB107" s="51">
        <f>IF($B107="",0,IF(USE_TSPILE=1,AB180,('TO HOP'!$E$156/ncoc+IF(SUMSQ($E$72:$E$91)=0,0,'TO HOP'!$F$156*$E83/SUMSQ($E$72:$E$91))+IF(SUMSQ($D$72:$D$91)=0,0,'TO HOP'!$G$156*$D83/SUMSQ($D$72:$D$91)))/9.81))</f>
        <v>0</v>
      </c>
      <c r="AC107" s="51">
        <f>IF($B107="",0,IF(USE_TSPILE=1,AC180,('TO HOP'!$E$157/ncoc+IF(SUMSQ($E$72:$E$91)=0,0,'TO HOP'!$F$157*$E83/SUMSQ($E$72:$E$91))+IF(SUMSQ($D$72:$D$91)=0,0,'TO HOP'!$G$157*$D83/SUMSQ($D$72:$D$91)))/9.81))</f>
        <v>0</v>
      </c>
      <c r="AD107" s="51">
        <f>IF($B107="",0,IF(USE_TSPILE=1,AD180,('TO HOP'!$E$158/ncoc+IF(SUMSQ($E$72:$E$91)=0,0,'TO HOP'!$F$158*$E83/SUMSQ($E$72:$E$91))+IF(SUMSQ($D$72:$D$91)=0,0,'TO HOP'!$G$158*$D83/SUMSQ($D$72:$D$91)))/9.81))</f>
        <v>0</v>
      </c>
      <c r="AE107" s="51">
        <f>IF($B107="",0,IF(USE_TSPILE=1,AE180,('TO HOP'!$E$159/ncoc+IF(SUMSQ($E$72:$E$91)=0,0,'TO HOP'!$F$159*$E83/SUMSQ($E$72:$E$91))+IF(SUMSQ($D$72:$D$91)=0,0,'TO HOP'!$G$159*$D83/SUMSQ($D$72:$D$91)))/9.81))</f>
        <v>0</v>
      </c>
      <c r="AF107" s="51">
        <f>IF($B107="",0,IF(USE_TSPILE=1,AF180,('TO HOP'!$E$160/ncoc+IF(SUMSQ($E$72:$E$91)=0,0,'TO HOP'!$F$160*$E83/SUMSQ($E$72:$E$91))+IF(SUMSQ($D$72:$D$91)=0,0,'TO HOP'!$G$160*$D83/SUMSQ($D$72:$D$91)))/9.81))</f>
        <v>0</v>
      </c>
      <c r="AG107" s="51">
        <f>IF($B107="",0,IF(USE_TSPILE=1,AG180,('TO HOP'!$E$161/ncoc+IF(SUMSQ($E$72:$E$91)=0,0,'TO HOP'!$F$161*$E83/SUMSQ($E$72:$E$91))+IF(SUMSQ($D$72:$D$91)=0,0,'TO HOP'!$G$161*$D83/SUMSQ($D$72:$D$91)))/9.81))</f>
        <v>0</v>
      </c>
      <c r="AH107" s="51">
        <f>IF($B107="",0,IF(USE_TSPILE=1,AH180,('TO HOP'!$E$162/ncoc+IF(SUMSQ($E$72:$E$91)=0,0,'TO HOP'!$F$162*$E83/SUMSQ($E$72:$E$91))+IF(SUMSQ($D$72:$D$91)=0,0,'TO HOP'!$G$162*$D83/SUMSQ($D$72:$D$91)))/9.81))</f>
        <v>0</v>
      </c>
      <c r="AI107" s="51">
        <f>IF($B107="",0,IF(USE_TSPILE=1,AI180,('TO HOP'!$E$163/ncoc+IF(SUMSQ($E$72:$E$91)=0,0,'TO HOP'!$F$163*$E83/SUMSQ($E$72:$E$91))+IF(SUMSQ($D$72:$D$91)=0,0,'TO HOP'!$G$163*$D83/SUMSQ($D$72:$D$91)))/9.81))</f>
        <v>0</v>
      </c>
      <c r="AJ107" s="51">
        <f>IF($B107="",0,IF(USE_TSPILE=1,AJ180,('TO HOP'!$E$164/ncoc+IF(SUMSQ($E$72:$E$91)=0,0,'TO HOP'!$F$164*$E83/SUMSQ($E$72:$E$91))+IF(SUMSQ($D$72:$D$91)=0,0,'TO HOP'!$G$164*$D83/SUMSQ($D$72:$D$91)))/9.81))</f>
        <v>0</v>
      </c>
      <c r="AK107" s="51">
        <f>IF($B107="",0,IF(USE_TSPILE=1,AK180,('TO HOP'!$E$165/ncoc+IF(SUMSQ($E$72:$E$91)=0,0,'TO HOP'!$F$165*$E83/SUMSQ($E$72:$E$91))+IF(SUMSQ($D$72:$D$91)=0,0,'TO HOP'!$G$165*$D83/SUMSQ($D$72:$D$91)))/9.81))</f>
        <v>0</v>
      </c>
      <c r="AL107" s="51">
        <f>IF($B107="",0,IF(USE_TSPILE=1,AL180,('TO HOP'!$E$166/ncoc+IF(SUMSQ($E$72:$E$91)=0,0,'TO HOP'!$F$166*$E83/SUMSQ($E$72:$E$91))+IF(SUMSQ($D$72:$D$91)=0,0,'TO HOP'!$G$166*$D83/SUMSQ($D$72:$D$91)))/9.81))</f>
        <v>0</v>
      </c>
      <c r="AM107" s="51">
        <f>IF($B107="",0,IF(USE_TSPILE=1,AM180,('TO HOP'!$E$167/ncoc+IF(SUMSQ($E$72:$E$91)=0,0,'TO HOP'!$F$167*$E83/SUMSQ($E$72:$E$91))+IF(SUMSQ($D$72:$D$91)=0,0,'TO HOP'!$G$167*$D83/SUMSQ($D$72:$D$91)))/9.81))</f>
        <v>0</v>
      </c>
      <c r="AN107" s="51">
        <f>IF($B107="",0,IF(USE_TSPILE=1,AN180,('TO HOP'!$E$168/ncoc+IF(SUMSQ($E$72:$E$91)=0,0,'TO HOP'!$F$168*$E83/SUMSQ($E$72:$E$91))+IF(SUMSQ($D$72:$D$91)=0,0,'TO HOP'!$G$168*$D83/SUMSQ($D$72:$D$91)))/9.81))</f>
        <v>0</v>
      </c>
      <c r="AO107" s="51">
        <f>IF($B107="",0,IF(USE_TSPILE=1,AO180,('TO HOP'!$E$169/ncoc+IF(SUMSQ($E$72:$E$91)=0,0,'TO HOP'!$F$169*$E83/SUMSQ($E$72:$E$91))+IF(SUMSQ($D$72:$D$91)=0,0,'TO HOP'!$G$169*$D83/SUMSQ($D$72:$D$91)))/9.81))</f>
        <v>0</v>
      </c>
      <c r="AP107" s="51">
        <f>IF($B107="",0,IF(USE_TSPILE=1,AP180,('TO HOP'!$E$170/ncoc+IF(SUMSQ($E$72:$E$91)=0,0,'TO HOP'!$F$170*$E83/SUMSQ($E$72:$E$91))+IF(SUMSQ($D$72:$D$91)=0,0,'TO HOP'!$G$170*$D83/SUMSQ($D$72:$D$91)))/9.81))</f>
        <v>0</v>
      </c>
      <c r="AQ107" s="51">
        <f>IF($B107="",0,IF(USE_TSPILE=1,AQ180,('TO HOP'!$E$171/ncoc+IF(SUMSQ($E$72:$E$91)=0,0,'TO HOP'!$F$171*$E83/SUMSQ($E$72:$E$91))+IF(SUMSQ($D$72:$D$91)=0,0,'TO HOP'!$G$171*$D83/SUMSQ($D$72:$D$91)))/9.81))</f>
        <v>0</v>
      </c>
      <c r="AR107" s="51">
        <f>IF($B107="",0,IF(USE_TSPILE=1,AR180,('TO HOP'!$E$172/ncoc+IF(SUMSQ($E$72:$E$91)=0,0,'TO HOP'!$F$172*$E83/SUMSQ($E$72:$E$91))+IF(SUMSQ($D$72:$D$91)=0,0,'TO HOP'!$G$172*$D83/SUMSQ($D$72:$D$91)))/9.81))</f>
        <v>0</v>
      </c>
      <c r="AS107" s="51">
        <f>IF($B107="",0,IF(USE_TSPILE=1,AS180,('TO HOP'!$E$173/ncoc+IF(SUMSQ($E$72:$E$91)=0,0,'TO HOP'!$F$173*$E83/SUMSQ($E$72:$E$91))+IF(SUMSQ($D$72:$D$91)=0,0,'TO HOP'!$G$173*$D83/SUMSQ($D$72:$D$91)))/9.81))</f>
        <v>0</v>
      </c>
      <c r="AT107" s="51">
        <f>IF($B107="",0,IF(USE_TSPILE=1,AT180,('TO HOP'!$E$174/ncoc+IF(SUMSQ($E$72:$E$91)=0,0,'TO HOP'!$F$174*$E83/SUMSQ($E$72:$E$91))+IF(SUMSQ($D$72:$D$91)=0,0,'TO HOP'!$G$174*$D83/SUMSQ($D$72:$D$91)))/9.81))</f>
        <v>0</v>
      </c>
      <c r="AU107" s="51">
        <f>IF($B107="",0,IF(USE_TSPILE=1,AU180,('TO HOP'!$E$175/ncoc+IF(SUMSQ($E$72:$E$91)=0,0,'TO HOP'!$F$175*$E83/SUMSQ($E$72:$E$91))+IF(SUMSQ($D$72:$D$91)=0,0,'TO HOP'!$G$175*$D83/SUMSQ($D$72:$D$91)))/9.81))</f>
        <v>0</v>
      </c>
      <c r="AV107" s="51">
        <f>IF($B107="",0,IF(USE_TSPILE=1,AV180,('TO HOP'!$E$176/ncoc+IF(SUMSQ($E$72:$E$91)=0,0,'TO HOP'!$F$176*$E83/SUMSQ($E$72:$E$91))+IF(SUMSQ($D$72:$D$91)=0,0,'TO HOP'!$G$176*$D83/SUMSQ($D$72:$D$91)))/9.81))</f>
        <v>0</v>
      </c>
      <c r="AW107" s="51">
        <f>IF($B107="",0,IF(USE_TSPILE=1,AW180,('TO HOP'!$E$177/ncoc+IF(SUMSQ($E$72:$E$91)=0,0,'TO HOP'!$F$177*$E83/SUMSQ($E$72:$E$91))+IF(SUMSQ($D$72:$D$91)=0,0,'TO HOP'!$G$177*$D83/SUMSQ($D$72:$D$91)))/9.81))</f>
        <v>0</v>
      </c>
      <c r="AX107" s="51">
        <f>IF($B107="",0,IF(USE_TSPILE=1,AX180,('TO HOP'!$E$178/ncoc+IF(SUMSQ($E$72:$E$91)=0,0,'TO HOP'!$F$178*$E83/SUMSQ($E$72:$E$91))+IF(SUMSQ($D$72:$D$91)=0,0,'TO HOP'!$G$178*$D83/SUMSQ($D$72:$D$91)))/9.81))</f>
        <v>0</v>
      </c>
      <c r="AY107" s="51">
        <f>IF($B107="",0,IF(USE_TSPILE=1,AY180,('TO HOP'!$E$179/ncoc+IF(SUMSQ($E$72:$E$91)=0,0,'TO HOP'!$F$179*$E83/SUMSQ($E$72:$E$91))+IF(SUMSQ($D$72:$D$91)=0,0,'TO HOP'!$G$179*$D83/SUMSQ($D$72:$D$91)))/9.81))</f>
        <v>0</v>
      </c>
      <c r="AZ107" s="51">
        <f>IF($B107="",0,IF(USE_TSPILE=1,AZ180,('TO HOP'!$E$180/ncoc+IF(SUMSQ($E$72:$E$91)=0,0,'TO HOP'!$F$180*$E83/SUMSQ($E$72:$E$91))+IF(SUMSQ($D$72:$D$91)=0,0,'TO HOP'!$G$180*$D83/SUMSQ($D$72:$D$91)))/9.81))</f>
        <v>0</v>
      </c>
      <c r="BA107" s="51">
        <f>IF($B107="",0,IF(USE_TSPILE=1,BA180,('TO HOP'!$E$181/ncoc+IF(SUMSQ($E$72:$E$91)=0,0,'TO HOP'!$F$181*$E83/SUMSQ($E$72:$E$91))+IF(SUMSQ($D$72:$D$91)=0,0,'TO HOP'!$G$181*$D83/SUMSQ($D$72:$D$91)))/9.81))</f>
        <v>0</v>
      </c>
      <c r="BB107" s="51">
        <f>IF($B107="",0,IF(USE_TSPILE=1,BB180,('TO HOP'!$E$182/ncoc+IF(SUMSQ($E$72:$E$91)=0,0,'TO HOP'!$F$182*$E83/SUMSQ($E$72:$E$91))+IF(SUMSQ($D$72:$D$91)=0,0,'TO HOP'!$G$182*$D83/SUMSQ($D$72:$D$91)))/9.81))</f>
        <v>0</v>
      </c>
      <c r="BC107" s="51">
        <f>IF($B107="",0,IF(USE_TSPILE=1,BC180,('TO HOP'!$E$183/ncoc+IF(SUMSQ($E$72:$E$91)=0,0,'TO HOP'!$F$183*$E83/SUMSQ($E$72:$E$91))+IF(SUMSQ($D$72:$D$91)=0,0,'TO HOP'!$G$183*$D83/SUMSQ($D$72:$D$91)))/9.81))</f>
        <v>0</v>
      </c>
      <c r="BD107" s="51">
        <f>IF($B107="",0,IF(USE_TSPILE=1,BD180,('TO HOP'!$E$184/ncoc+IF(SUMSQ($E$72:$E$91)=0,0,'TO HOP'!$F$184*$E83/SUMSQ($E$72:$E$91))+IF(SUMSQ($D$72:$D$91)=0,0,'TO HOP'!$G$184*$D83/SUMSQ($D$72:$D$91)))/9.81))</f>
        <v>0</v>
      </c>
      <c r="BE107" s="51">
        <f>IF($B107="",0,IF(USE_TSPILE=1,BE180,('TO HOP'!$E$185/ncoc+IF(SUMSQ($E$72:$E$91)=0,0,'TO HOP'!$F$185*$E83/SUMSQ($E$72:$E$91))+IF(SUMSQ($D$72:$D$91)=0,0,'TO HOP'!$G$185*$D83/SUMSQ($D$72:$D$91)))/9.81))</f>
        <v>0</v>
      </c>
      <c r="BF107" s="51">
        <f>IF($B107="",0,IF(USE_TSPILE=1,BF180,('TO HOP'!$E$186/ncoc+IF(SUMSQ($E$72:$E$91)=0,0,'TO HOP'!$F$186*$E83/SUMSQ($E$72:$E$91))+IF(SUMSQ($D$72:$D$91)=0,0,'TO HOP'!$G$186*$D83/SUMSQ($D$72:$D$91)))/9.81))</f>
        <v>0</v>
      </c>
      <c r="BG107" s="51">
        <f>IF($B107="",0,IF(USE_TSPILE=1,BG180,('TO HOP'!$E$187/ncoc+IF(SUMSQ($E$72:$E$91)=0,0,'TO HOP'!$F$187*$E83/SUMSQ($E$72:$E$91))+IF(SUMSQ($D$72:$D$91)=0,0,'TO HOP'!$G$187*$D83/SUMSQ($D$72:$D$91)))/9.81))</f>
        <v>0</v>
      </c>
      <c r="BH107" s="51">
        <f>IF($B107="",0,IF(USE_TSPILE=1,BH180,('TO HOP'!$E$188/ncoc+IF(SUMSQ($E$72:$E$91)=0,0,'TO HOP'!$F$188*$E83/SUMSQ($E$72:$E$91))+IF(SUMSQ($D$72:$D$91)=0,0,'TO HOP'!$G$188*$D83/SUMSQ($D$72:$D$91)))/9.81))</f>
        <v>0</v>
      </c>
      <c r="BI107" s="51">
        <f>IF($B107="",0,IF(USE_TSPILE=1,BI180,('TO HOP'!$E$189/ncoc+IF(SUMSQ($E$72:$E$91)=0,0,'TO HOP'!$F$189*$E83/SUMSQ($E$72:$E$91))+IF(SUMSQ($D$72:$D$91)=0,0,'TO HOP'!$G$189*$D83/SUMSQ($D$72:$D$91)))/9.81))</f>
        <v>0</v>
      </c>
      <c r="BJ107" s="51">
        <f>IF($B107="",0,IF(USE_TSPILE=1,BJ180,('TO HOP'!$E$190/ncoc+IF(SUMSQ($E$72:$E$91)=0,0,'TO HOP'!$F$190*$E83/SUMSQ($E$72:$E$91))+IF(SUMSQ($D$72:$D$91)=0,0,'TO HOP'!$G$190*$D83/SUMSQ($D$72:$D$91)))/9.81))</f>
        <v>0</v>
      </c>
      <c r="BK107" s="51">
        <f>IF($B107="",0,IF(USE_TSPILE=1,BK180,('TO HOP'!$E$191/ncoc+IF(SUMSQ($E$72:$E$91)=0,0,'TO HOP'!$F$191*$E83/SUMSQ($E$72:$E$91))+IF(SUMSQ($D$72:$D$91)=0,0,'TO HOP'!$G$191*$D83/SUMSQ($D$72:$D$91)))/9.81))</f>
        <v>0</v>
      </c>
      <c r="BL107" s="51">
        <f>IF($B107="",0,IF(USE_TSPILE=1,BL180,('TO HOP'!$E$192/ncoc+IF(SUMSQ($E$72:$E$91)=0,0,'TO HOP'!$F$192*$E83/SUMSQ($E$72:$E$91))+IF(SUMSQ($D$72:$D$91)=0,0,'TO HOP'!$G$192*$D83/SUMSQ($D$72:$D$91)))/9.81))</f>
        <v>0</v>
      </c>
    </row>
    <row r="108" spans="2:64" x14ac:dyDescent="0.3">
      <c r="B108" s="14" t="str">
        <f>IF(13&lt;=ncoc,13,"")</f>
        <v/>
      </c>
      <c r="C108" s="51">
        <f>IF($B108="",0,IF(USE_TSPILE=1,C181,('TO HOP'!$E$131/ncoc+IF(SUMSQ($E$72:$E$91)=0,0,'TO HOP'!$F$131*$E84/SUMSQ($E$72:$E$91))+IF(SUMSQ($D$72:$D$91)=0,0,'TO HOP'!$G$131*$D84/SUMSQ($D$72:$D$91)))/9.81))</f>
        <v>0</v>
      </c>
      <c r="D108" s="51">
        <f>IF($B108="",0,IF(USE_TSPILE=1,D181,('TO HOP'!$E$132/ncoc+IF(SUMSQ($E$72:$E$91)=0,0,'TO HOP'!$F$132*$E84/SUMSQ($E$72:$E$91))+IF(SUMSQ($D$72:$D$91)=0,0,'TO HOP'!$G$132*$D84/SUMSQ($D$72:$D$91)))/9.81))</f>
        <v>0</v>
      </c>
      <c r="E108" s="51">
        <f>IF($B108="",0,IF(USE_TSPILE=1,E181,('TO HOP'!$E$133/ncoc+IF(SUMSQ($E$72:$E$91)=0,0,'TO HOP'!$F$133*$E84/SUMSQ($E$72:$E$91))+IF(SUMSQ($D$72:$D$91)=0,0,'TO HOP'!$G$133*$D84/SUMSQ($D$72:$D$91)))/9.81))</f>
        <v>0</v>
      </c>
      <c r="F108" s="51">
        <f>IF($B108="",0,IF(USE_TSPILE=1,F181,('TO HOP'!$E$134/ncoc+IF(SUMSQ($E$72:$E$91)=0,0,'TO HOP'!$F$134*$E84/SUMSQ($E$72:$E$91))+IF(SUMSQ($D$72:$D$91)=0,0,'TO HOP'!$G$134*$D84/SUMSQ($D$72:$D$91)))/9.81))</f>
        <v>0</v>
      </c>
      <c r="G108" s="51">
        <f>IF($B108="",0,IF(USE_TSPILE=1,G181,('TO HOP'!$E$135/ncoc+IF(SUMSQ($E$72:$E$91)=0,0,'TO HOP'!$F$135*$E84/SUMSQ($E$72:$E$91))+IF(SUMSQ($D$72:$D$91)=0,0,'TO HOP'!$G$135*$D84/SUMSQ($D$72:$D$91)))/9.81))</f>
        <v>0</v>
      </c>
      <c r="H108" s="51">
        <f>IF($B108="",0,IF(USE_TSPILE=1,H181,('TO HOP'!$E$136/ncoc+IF(SUMSQ($E$72:$E$91)=0,0,'TO HOP'!$F$136*$E84/SUMSQ($E$72:$E$91))+IF(SUMSQ($D$72:$D$91)=0,0,'TO HOP'!$G$136*$D84/SUMSQ($D$72:$D$91)))/9.81))</f>
        <v>0</v>
      </c>
      <c r="I108" s="51">
        <f>IF($B108="",0,IF(USE_TSPILE=1,I181,('TO HOP'!$E$137/ncoc+IF(SUMSQ($E$72:$E$91)=0,0,'TO HOP'!$F$137*$E84/SUMSQ($E$72:$E$91))+IF(SUMSQ($D$72:$D$91)=0,0,'TO HOP'!$G$137*$D84/SUMSQ($D$72:$D$91)))/9.81))</f>
        <v>0</v>
      </c>
      <c r="J108" s="51">
        <f>IF($B108="",0,IF(USE_TSPILE=1,J181,('TO HOP'!$E$138/ncoc+IF(SUMSQ($E$72:$E$91)=0,0,'TO HOP'!$F$138*$E84/SUMSQ($E$72:$E$91))+IF(SUMSQ($D$72:$D$91)=0,0,'TO HOP'!$G$138*$D84/SUMSQ($D$72:$D$91)))/9.81))</f>
        <v>0</v>
      </c>
      <c r="K108" s="51">
        <f>IF($B108="",0,IF(USE_TSPILE=1,K181,('TO HOP'!$E$139/ncoc+IF(SUMSQ($E$72:$E$91)=0,0,'TO HOP'!$F$139*$E84/SUMSQ($E$72:$E$91))+IF(SUMSQ($D$72:$D$91)=0,0,'TO HOP'!$G$139*$D84/SUMSQ($D$72:$D$91)))/9.81))</f>
        <v>0</v>
      </c>
      <c r="L108" s="51">
        <f>IF($B108="",0,IF(USE_TSPILE=1,L181,('TO HOP'!$E$140/ncoc+IF(SUMSQ($E$72:$E$91)=0,0,'TO HOP'!$F$140*$E84/SUMSQ($E$72:$E$91))+IF(SUMSQ($D$72:$D$91)=0,0,'TO HOP'!$G$140*$D84/SUMSQ($D$72:$D$91)))/9.81))</f>
        <v>0</v>
      </c>
      <c r="M108" s="51">
        <f>IF($B108="",0,IF(USE_TSPILE=1,M181,('TO HOP'!$E$141/ncoc+IF(SUMSQ($E$72:$E$91)=0,0,'TO HOP'!$F$141*$E84/SUMSQ($E$72:$E$91))+IF(SUMSQ($D$72:$D$91)=0,0,'TO HOP'!$G$141*$D84/SUMSQ($D$72:$D$91)))/9.81))</f>
        <v>0</v>
      </c>
      <c r="N108" s="51">
        <f>IF($B108="",0,IF(USE_TSPILE=1,N181,('TO HOP'!$E$142/ncoc+IF(SUMSQ($E$72:$E$91)=0,0,'TO HOP'!$F$142*$E84/SUMSQ($E$72:$E$91))+IF(SUMSQ($D$72:$D$91)=0,0,'TO HOP'!$G$142*$D84/SUMSQ($D$72:$D$91)))/9.81))</f>
        <v>0</v>
      </c>
      <c r="O108" s="51">
        <f>IF($B108="",0,IF(USE_TSPILE=1,O181,('TO HOP'!$E$143/ncoc+IF(SUMSQ($E$72:$E$91)=0,0,'TO HOP'!$F$143*$E84/SUMSQ($E$72:$E$91))+IF(SUMSQ($D$72:$D$91)=0,0,'TO HOP'!$G$143*$D84/SUMSQ($D$72:$D$91)))/9.81))</f>
        <v>0</v>
      </c>
      <c r="P108" s="51">
        <f>IF($B108="",0,IF(USE_TSPILE=1,P181,('TO HOP'!$E$144/ncoc+IF(SUMSQ($E$72:$E$91)=0,0,'TO HOP'!$F$144*$E84/SUMSQ($E$72:$E$91))+IF(SUMSQ($D$72:$D$91)=0,0,'TO HOP'!$G$144*$D84/SUMSQ($D$72:$D$91)))/9.81))</f>
        <v>0</v>
      </c>
      <c r="Q108" s="51">
        <f>IF($B108="",0,IF(USE_TSPILE=1,Q181,('TO HOP'!$E$145/ncoc+IF(SUMSQ($E$72:$E$91)=0,0,'TO HOP'!$F$145*$E84/SUMSQ($E$72:$E$91))+IF(SUMSQ($D$72:$D$91)=0,0,'TO HOP'!$G$145*$D84/SUMSQ($D$72:$D$91)))/9.81))</f>
        <v>0</v>
      </c>
      <c r="R108" s="51">
        <f>IF($B108="",0,IF(USE_TSPILE=1,R181,('TO HOP'!$E$146/ncoc+IF(SUMSQ($E$72:$E$91)=0,0,'TO HOP'!$F$146*$E84/SUMSQ($E$72:$E$91))+IF(SUMSQ($D$72:$D$91)=0,0,'TO HOP'!$G$146*$D84/SUMSQ($D$72:$D$91)))/9.81))</f>
        <v>0</v>
      </c>
      <c r="S108" s="51">
        <f>IF($B108="",0,IF(USE_TSPILE=1,S181,('TO HOP'!$E$147/ncoc+IF(SUMSQ($E$72:$E$91)=0,0,'TO HOP'!$F$147*$E84/SUMSQ($E$72:$E$91))+IF(SUMSQ($D$72:$D$91)=0,0,'TO HOP'!$G$147*$D84/SUMSQ($D$72:$D$91)))/9.81))</f>
        <v>0</v>
      </c>
      <c r="T108" s="51">
        <f>IF($B108="",0,IF(USE_TSPILE=1,T181,('TO HOP'!$E$148/ncoc+IF(SUMSQ($E$72:$E$91)=0,0,'TO HOP'!$F$148*$E84/SUMSQ($E$72:$E$91))+IF(SUMSQ($D$72:$D$91)=0,0,'TO HOP'!$G$148*$D84/SUMSQ($D$72:$D$91)))/9.81))</f>
        <v>0</v>
      </c>
      <c r="U108" s="51">
        <f>IF($B108="",0,IF(USE_TSPILE=1,U181,('TO HOP'!$E$149/ncoc+IF(SUMSQ($E$72:$E$91)=0,0,'TO HOP'!$F$149*$E84/SUMSQ($E$72:$E$91))+IF(SUMSQ($D$72:$D$91)=0,0,'TO HOP'!$G$149*$D84/SUMSQ($D$72:$D$91)))/9.81))</f>
        <v>0</v>
      </c>
      <c r="V108" s="51">
        <f>IF($B108="",0,IF(USE_TSPILE=1,V181,('TO HOP'!$E$150/ncoc+IF(SUMSQ($E$72:$E$91)=0,0,'TO HOP'!$F$150*$E84/SUMSQ($E$72:$E$91))+IF(SUMSQ($D$72:$D$91)=0,0,'TO HOP'!$G$150*$D84/SUMSQ($D$72:$D$91)))/9.81))</f>
        <v>0</v>
      </c>
      <c r="W108" s="51">
        <f>IF($B108="",0,IF(USE_TSPILE=1,W181,('TO HOP'!$E$151/ncoc+IF(SUMSQ($E$72:$E$91)=0,0,'TO HOP'!$F$151*$E84/SUMSQ($E$72:$E$91))+IF(SUMSQ($D$72:$D$91)=0,0,'TO HOP'!$G$151*$D84/SUMSQ($D$72:$D$91)))/9.81))</f>
        <v>0</v>
      </c>
      <c r="X108" s="51">
        <f>IF($B108="",0,IF(USE_TSPILE=1,X181,('TO HOP'!$E$152/ncoc+IF(SUMSQ($E$72:$E$91)=0,0,'TO HOP'!$F$152*$E84/SUMSQ($E$72:$E$91))+IF(SUMSQ($D$72:$D$91)=0,0,'TO HOP'!$G$152*$D84/SUMSQ($D$72:$D$91)))/9.81))</f>
        <v>0</v>
      </c>
      <c r="Y108" s="51">
        <f>IF($B108="",0,IF(USE_TSPILE=1,Y181,('TO HOP'!$E$153/ncoc+IF(SUMSQ($E$72:$E$91)=0,0,'TO HOP'!$F$153*$E84/SUMSQ($E$72:$E$91))+IF(SUMSQ($D$72:$D$91)=0,0,'TO HOP'!$G$153*$D84/SUMSQ($D$72:$D$91)))/9.81))</f>
        <v>0</v>
      </c>
      <c r="Z108" s="51">
        <f>IF($B108="",0,IF(USE_TSPILE=1,Z181,('TO HOP'!$E$154/ncoc+IF(SUMSQ($E$72:$E$91)=0,0,'TO HOP'!$F$154*$E84/SUMSQ($E$72:$E$91))+IF(SUMSQ($D$72:$D$91)=0,0,'TO HOP'!$G$154*$D84/SUMSQ($D$72:$D$91)))/9.81))</f>
        <v>0</v>
      </c>
      <c r="AA108" s="51">
        <f>IF($B108="",0,IF(USE_TSPILE=1,AA181,('TO HOP'!$E$155/ncoc+IF(SUMSQ($E$72:$E$91)=0,0,'TO HOP'!$F$155*$E84/SUMSQ($E$72:$E$91))+IF(SUMSQ($D$72:$D$91)=0,0,'TO HOP'!$G$155*$D84/SUMSQ($D$72:$D$91)))/9.81))</f>
        <v>0</v>
      </c>
      <c r="AB108" s="51">
        <f>IF($B108="",0,IF(USE_TSPILE=1,AB181,('TO HOP'!$E$156/ncoc+IF(SUMSQ($E$72:$E$91)=0,0,'TO HOP'!$F$156*$E84/SUMSQ($E$72:$E$91))+IF(SUMSQ($D$72:$D$91)=0,0,'TO HOP'!$G$156*$D84/SUMSQ($D$72:$D$91)))/9.81))</f>
        <v>0</v>
      </c>
      <c r="AC108" s="51">
        <f>IF($B108="",0,IF(USE_TSPILE=1,AC181,('TO HOP'!$E$157/ncoc+IF(SUMSQ($E$72:$E$91)=0,0,'TO HOP'!$F$157*$E84/SUMSQ($E$72:$E$91))+IF(SUMSQ($D$72:$D$91)=0,0,'TO HOP'!$G$157*$D84/SUMSQ($D$72:$D$91)))/9.81))</f>
        <v>0</v>
      </c>
      <c r="AD108" s="51">
        <f>IF($B108="",0,IF(USE_TSPILE=1,AD181,('TO HOP'!$E$158/ncoc+IF(SUMSQ($E$72:$E$91)=0,0,'TO HOP'!$F$158*$E84/SUMSQ($E$72:$E$91))+IF(SUMSQ($D$72:$D$91)=0,0,'TO HOP'!$G$158*$D84/SUMSQ($D$72:$D$91)))/9.81))</f>
        <v>0</v>
      </c>
      <c r="AE108" s="51">
        <f>IF($B108="",0,IF(USE_TSPILE=1,AE181,('TO HOP'!$E$159/ncoc+IF(SUMSQ($E$72:$E$91)=0,0,'TO HOP'!$F$159*$E84/SUMSQ($E$72:$E$91))+IF(SUMSQ($D$72:$D$91)=0,0,'TO HOP'!$G$159*$D84/SUMSQ($D$72:$D$91)))/9.81))</f>
        <v>0</v>
      </c>
      <c r="AF108" s="51">
        <f>IF($B108="",0,IF(USE_TSPILE=1,AF181,('TO HOP'!$E$160/ncoc+IF(SUMSQ($E$72:$E$91)=0,0,'TO HOP'!$F$160*$E84/SUMSQ($E$72:$E$91))+IF(SUMSQ($D$72:$D$91)=0,0,'TO HOP'!$G$160*$D84/SUMSQ($D$72:$D$91)))/9.81))</f>
        <v>0</v>
      </c>
      <c r="AG108" s="51">
        <f>IF($B108="",0,IF(USE_TSPILE=1,AG181,('TO HOP'!$E$161/ncoc+IF(SUMSQ($E$72:$E$91)=0,0,'TO HOP'!$F$161*$E84/SUMSQ($E$72:$E$91))+IF(SUMSQ($D$72:$D$91)=0,0,'TO HOP'!$G$161*$D84/SUMSQ($D$72:$D$91)))/9.81))</f>
        <v>0</v>
      </c>
      <c r="AH108" s="51">
        <f>IF($B108="",0,IF(USE_TSPILE=1,AH181,('TO HOP'!$E$162/ncoc+IF(SUMSQ($E$72:$E$91)=0,0,'TO HOP'!$F$162*$E84/SUMSQ($E$72:$E$91))+IF(SUMSQ($D$72:$D$91)=0,0,'TO HOP'!$G$162*$D84/SUMSQ($D$72:$D$91)))/9.81))</f>
        <v>0</v>
      </c>
      <c r="AI108" s="51">
        <f>IF($B108="",0,IF(USE_TSPILE=1,AI181,('TO HOP'!$E$163/ncoc+IF(SUMSQ($E$72:$E$91)=0,0,'TO HOP'!$F$163*$E84/SUMSQ($E$72:$E$91))+IF(SUMSQ($D$72:$D$91)=0,0,'TO HOP'!$G$163*$D84/SUMSQ($D$72:$D$91)))/9.81))</f>
        <v>0</v>
      </c>
      <c r="AJ108" s="51">
        <f>IF($B108="",0,IF(USE_TSPILE=1,AJ181,('TO HOP'!$E$164/ncoc+IF(SUMSQ($E$72:$E$91)=0,0,'TO HOP'!$F$164*$E84/SUMSQ($E$72:$E$91))+IF(SUMSQ($D$72:$D$91)=0,0,'TO HOP'!$G$164*$D84/SUMSQ($D$72:$D$91)))/9.81))</f>
        <v>0</v>
      </c>
      <c r="AK108" s="51">
        <f>IF($B108="",0,IF(USE_TSPILE=1,AK181,('TO HOP'!$E$165/ncoc+IF(SUMSQ($E$72:$E$91)=0,0,'TO HOP'!$F$165*$E84/SUMSQ($E$72:$E$91))+IF(SUMSQ($D$72:$D$91)=0,0,'TO HOP'!$G$165*$D84/SUMSQ($D$72:$D$91)))/9.81))</f>
        <v>0</v>
      </c>
      <c r="AL108" s="51">
        <f>IF($B108="",0,IF(USE_TSPILE=1,AL181,('TO HOP'!$E$166/ncoc+IF(SUMSQ($E$72:$E$91)=0,0,'TO HOP'!$F$166*$E84/SUMSQ($E$72:$E$91))+IF(SUMSQ($D$72:$D$91)=0,0,'TO HOP'!$G$166*$D84/SUMSQ($D$72:$D$91)))/9.81))</f>
        <v>0</v>
      </c>
      <c r="AM108" s="51">
        <f>IF($B108="",0,IF(USE_TSPILE=1,AM181,('TO HOP'!$E$167/ncoc+IF(SUMSQ($E$72:$E$91)=0,0,'TO HOP'!$F$167*$E84/SUMSQ($E$72:$E$91))+IF(SUMSQ($D$72:$D$91)=0,0,'TO HOP'!$G$167*$D84/SUMSQ($D$72:$D$91)))/9.81))</f>
        <v>0</v>
      </c>
      <c r="AN108" s="51">
        <f>IF($B108="",0,IF(USE_TSPILE=1,AN181,('TO HOP'!$E$168/ncoc+IF(SUMSQ($E$72:$E$91)=0,0,'TO HOP'!$F$168*$E84/SUMSQ($E$72:$E$91))+IF(SUMSQ($D$72:$D$91)=0,0,'TO HOP'!$G$168*$D84/SUMSQ($D$72:$D$91)))/9.81))</f>
        <v>0</v>
      </c>
      <c r="AO108" s="51">
        <f>IF($B108="",0,IF(USE_TSPILE=1,AO181,('TO HOP'!$E$169/ncoc+IF(SUMSQ($E$72:$E$91)=0,0,'TO HOP'!$F$169*$E84/SUMSQ($E$72:$E$91))+IF(SUMSQ($D$72:$D$91)=0,0,'TO HOP'!$G$169*$D84/SUMSQ($D$72:$D$91)))/9.81))</f>
        <v>0</v>
      </c>
      <c r="AP108" s="51">
        <f>IF($B108="",0,IF(USE_TSPILE=1,AP181,('TO HOP'!$E$170/ncoc+IF(SUMSQ($E$72:$E$91)=0,0,'TO HOP'!$F$170*$E84/SUMSQ($E$72:$E$91))+IF(SUMSQ($D$72:$D$91)=0,0,'TO HOP'!$G$170*$D84/SUMSQ($D$72:$D$91)))/9.81))</f>
        <v>0</v>
      </c>
      <c r="AQ108" s="51">
        <f>IF($B108="",0,IF(USE_TSPILE=1,AQ181,('TO HOP'!$E$171/ncoc+IF(SUMSQ($E$72:$E$91)=0,0,'TO HOP'!$F$171*$E84/SUMSQ($E$72:$E$91))+IF(SUMSQ($D$72:$D$91)=0,0,'TO HOP'!$G$171*$D84/SUMSQ($D$72:$D$91)))/9.81))</f>
        <v>0</v>
      </c>
      <c r="AR108" s="51">
        <f>IF($B108="",0,IF(USE_TSPILE=1,AR181,('TO HOP'!$E$172/ncoc+IF(SUMSQ($E$72:$E$91)=0,0,'TO HOP'!$F$172*$E84/SUMSQ($E$72:$E$91))+IF(SUMSQ($D$72:$D$91)=0,0,'TO HOP'!$G$172*$D84/SUMSQ($D$72:$D$91)))/9.81))</f>
        <v>0</v>
      </c>
      <c r="AS108" s="51">
        <f>IF($B108="",0,IF(USE_TSPILE=1,AS181,('TO HOP'!$E$173/ncoc+IF(SUMSQ($E$72:$E$91)=0,0,'TO HOP'!$F$173*$E84/SUMSQ($E$72:$E$91))+IF(SUMSQ($D$72:$D$91)=0,0,'TO HOP'!$G$173*$D84/SUMSQ($D$72:$D$91)))/9.81))</f>
        <v>0</v>
      </c>
      <c r="AT108" s="51">
        <f>IF($B108="",0,IF(USE_TSPILE=1,AT181,('TO HOP'!$E$174/ncoc+IF(SUMSQ($E$72:$E$91)=0,0,'TO HOP'!$F$174*$E84/SUMSQ($E$72:$E$91))+IF(SUMSQ($D$72:$D$91)=0,0,'TO HOP'!$G$174*$D84/SUMSQ($D$72:$D$91)))/9.81))</f>
        <v>0</v>
      </c>
      <c r="AU108" s="51">
        <f>IF($B108="",0,IF(USE_TSPILE=1,AU181,('TO HOP'!$E$175/ncoc+IF(SUMSQ($E$72:$E$91)=0,0,'TO HOP'!$F$175*$E84/SUMSQ($E$72:$E$91))+IF(SUMSQ($D$72:$D$91)=0,0,'TO HOP'!$G$175*$D84/SUMSQ($D$72:$D$91)))/9.81))</f>
        <v>0</v>
      </c>
      <c r="AV108" s="51">
        <f>IF($B108="",0,IF(USE_TSPILE=1,AV181,('TO HOP'!$E$176/ncoc+IF(SUMSQ($E$72:$E$91)=0,0,'TO HOP'!$F$176*$E84/SUMSQ($E$72:$E$91))+IF(SUMSQ($D$72:$D$91)=0,0,'TO HOP'!$G$176*$D84/SUMSQ($D$72:$D$91)))/9.81))</f>
        <v>0</v>
      </c>
      <c r="AW108" s="51">
        <f>IF($B108="",0,IF(USE_TSPILE=1,AW181,('TO HOP'!$E$177/ncoc+IF(SUMSQ($E$72:$E$91)=0,0,'TO HOP'!$F$177*$E84/SUMSQ($E$72:$E$91))+IF(SUMSQ($D$72:$D$91)=0,0,'TO HOP'!$G$177*$D84/SUMSQ($D$72:$D$91)))/9.81))</f>
        <v>0</v>
      </c>
      <c r="AX108" s="51">
        <f>IF($B108="",0,IF(USE_TSPILE=1,AX181,('TO HOP'!$E$178/ncoc+IF(SUMSQ($E$72:$E$91)=0,0,'TO HOP'!$F$178*$E84/SUMSQ($E$72:$E$91))+IF(SUMSQ($D$72:$D$91)=0,0,'TO HOP'!$G$178*$D84/SUMSQ($D$72:$D$91)))/9.81))</f>
        <v>0</v>
      </c>
      <c r="AY108" s="51">
        <f>IF($B108="",0,IF(USE_TSPILE=1,AY181,('TO HOP'!$E$179/ncoc+IF(SUMSQ($E$72:$E$91)=0,0,'TO HOP'!$F$179*$E84/SUMSQ($E$72:$E$91))+IF(SUMSQ($D$72:$D$91)=0,0,'TO HOP'!$G$179*$D84/SUMSQ($D$72:$D$91)))/9.81))</f>
        <v>0</v>
      </c>
      <c r="AZ108" s="51">
        <f>IF($B108="",0,IF(USE_TSPILE=1,AZ181,('TO HOP'!$E$180/ncoc+IF(SUMSQ($E$72:$E$91)=0,0,'TO HOP'!$F$180*$E84/SUMSQ($E$72:$E$91))+IF(SUMSQ($D$72:$D$91)=0,0,'TO HOP'!$G$180*$D84/SUMSQ($D$72:$D$91)))/9.81))</f>
        <v>0</v>
      </c>
      <c r="BA108" s="51">
        <f>IF($B108="",0,IF(USE_TSPILE=1,BA181,('TO HOP'!$E$181/ncoc+IF(SUMSQ($E$72:$E$91)=0,0,'TO HOP'!$F$181*$E84/SUMSQ($E$72:$E$91))+IF(SUMSQ($D$72:$D$91)=0,0,'TO HOP'!$G$181*$D84/SUMSQ($D$72:$D$91)))/9.81))</f>
        <v>0</v>
      </c>
      <c r="BB108" s="51">
        <f>IF($B108="",0,IF(USE_TSPILE=1,BB181,('TO HOP'!$E$182/ncoc+IF(SUMSQ($E$72:$E$91)=0,0,'TO HOP'!$F$182*$E84/SUMSQ($E$72:$E$91))+IF(SUMSQ($D$72:$D$91)=0,0,'TO HOP'!$G$182*$D84/SUMSQ($D$72:$D$91)))/9.81))</f>
        <v>0</v>
      </c>
      <c r="BC108" s="51">
        <f>IF($B108="",0,IF(USE_TSPILE=1,BC181,('TO HOP'!$E$183/ncoc+IF(SUMSQ($E$72:$E$91)=0,0,'TO HOP'!$F$183*$E84/SUMSQ($E$72:$E$91))+IF(SUMSQ($D$72:$D$91)=0,0,'TO HOP'!$G$183*$D84/SUMSQ($D$72:$D$91)))/9.81))</f>
        <v>0</v>
      </c>
      <c r="BD108" s="51">
        <f>IF($B108="",0,IF(USE_TSPILE=1,BD181,('TO HOP'!$E$184/ncoc+IF(SUMSQ($E$72:$E$91)=0,0,'TO HOP'!$F$184*$E84/SUMSQ($E$72:$E$91))+IF(SUMSQ($D$72:$D$91)=0,0,'TO HOP'!$G$184*$D84/SUMSQ($D$72:$D$91)))/9.81))</f>
        <v>0</v>
      </c>
      <c r="BE108" s="51">
        <f>IF($B108="",0,IF(USE_TSPILE=1,BE181,('TO HOP'!$E$185/ncoc+IF(SUMSQ($E$72:$E$91)=0,0,'TO HOP'!$F$185*$E84/SUMSQ($E$72:$E$91))+IF(SUMSQ($D$72:$D$91)=0,0,'TO HOP'!$G$185*$D84/SUMSQ($D$72:$D$91)))/9.81))</f>
        <v>0</v>
      </c>
      <c r="BF108" s="51">
        <f>IF($B108="",0,IF(USE_TSPILE=1,BF181,('TO HOP'!$E$186/ncoc+IF(SUMSQ($E$72:$E$91)=0,0,'TO HOP'!$F$186*$E84/SUMSQ($E$72:$E$91))+IF(SUMSQ($D$72:$D$91)=0,0,'TO HOP'!$G$186*$D84/SUMSQ($D$72:$D$91)))/9.81))</f>
        <v>0</v>
      </c>
      <c r="BG108" s="51">
        <f>IF($B108="",0,IF(USE_TSPILE=1,BG181,('TO HOP'!$E$187/ncoc+IF(SUMSQ($E$72:$E$91)=0,0,'TO HOP'!$F$187*$E84/SUMSQ($E$72:$E$91))+IF(SUMSQ($D$72:$D$91)=0,0,'TO HOP'!$G$187*$D84/SUMSQ($D$72:$D$91)))/9.81))</f>
        <v>0</v>
      </c>
      <c r="BH108" s="51">
        <f>IF($B108="",0,IF(USE_TSPILE=1,BH181,('TO HOP'!$E$188/ncoc+IF(SUMSQ($E$72:$E$91)=0,0,'TO HOP'!$F$188*$E84/SUMSQ($E$72:$E$91))+IF(SUMSQ($D$72:$D$91)=0,0,'TO HOP'!$G$188*$D84/SUMSQ($D$72:$D$91)))/9.81))</f>
        <v>0</v>
      </c>
      <c r="BI108" s="51">
        <f>IF($B108="",0,IF(USE_TSPILE=1,BI181,('TO HOP'!$E$189/ncoc+IF(SUMSQ($E$72:$E$91)=0,0,'TO HOP'!$F$189*$E84/SUMSQ($E$72:$E$91))+IF(SUMSQ($D$72:$D$91)=0,0,'TO HOP'!$G$189*$D84/SUMSQ($D$72:$D$91)))/9.81))</f>
        <v>0</v>
      </c>
      <c r="BJ108" s="51">
        <f>IF($B108="",0,IF(USE_TSPILE=1,BJ181,('TO HOP'!$E$190/ncoc+IF(SUMSQ($E$72:$E$91)=0,0,'TO HOP'!$F$190*$E84/SUMSQ($E$72:$E$91))+IF(SUMSQ($D$72:$D$91)=0,0,'TO HOP'!$G$190*$D84/SUMSQ($D$72:$D$91)))/9.81))</f>
        <v>0</v>
      </c>
      <c r="BK108" s="51">
        <f>IF($B108="",0,IF(USE_TSPILE=1,BK181,('TO HOP'!$E$191/ncoc+IF(SUMSQ($E$72:$E$91)=0,0,'TO HOP'!$F$191*$E84/SUMSQ($E$72:$E$91))+IF(SUMSQ($D$72:$D$91)=0,0,'TO HOP'!$G$191*$D84/SUMSQ($D$72:$D$91)))/9.81))</f>
        <v>0</v>
      </c>
      <c r="BL108" s="51">
        <f>IF($B108="",0,IF(USE_TSPILE=1,BL181,('TO HOP'!$E$192/ncoc+IF(SUMSQ($E$72:$E$91)=0,0,'TO HOP'!$F$192*$E84/SUMSQ($E$72:$E$91))+IF(SUMSQ($D$72:$D$91)=0,0,'TO HOP'!$G$192*$D84/SUMSQ($D$72:$D$91)))/9.81))</f>
        <v>0</v>
      </c>
    </row>
    <row r="109" spans="2:64" x14ac:dyDescent="0.3">
      <c r="B109" s="14" t="str">
        <f>IF(14&lt;=ncoc,14,"")</f>
        <v/>
      </c>
      <c r="C109" s="51">
        <f>IF($B109="",0,IF(USE_TSPILE=1,C182,('TO HOP'!$E$131/ncoc+IF(SUMSQ($E$72:$E$91)=0,0,'TO HOP'!$F$131*$E85/SUMSQ($E$72:$E$91))+IF(SUMSQ($D$72:$D$91)=0,0,'TO HOP'!$G$131*$D85/SUMSQ($D$72:$D$91)))/9.81))</f>
        <v>0</v>
      </c>
      <c r="D109" s="51">
        <f>IF($B109="",0,IF(USE_TSPILE=1,D182,('TO HOP'!$E$132/ncoc+IF(SUMSQ($E$72:$E$91)=0,0,'TO HOP'!$F$132*$E85/SUMSQ($E$72:$E$91))+IF(SUMSQ($D$72:$D$91)=0,0,'TO HOP'!$G$132*$D85/SUMSQ($D$72:$D$91)))/9.81))</f>
        <v>0</v>
      </c>
      <c r="E109" s="51">
        <f>IF($B109="",0,IF(USE_TSPILE=1,E182,('TO HOP'!$E$133/ncoc+IF(SUMSQ($E$72:$E$91)=0,0,'TO HOP'!$F$133*$E85/SUMSQ($E$72:$E$91))+IF(SUMSQ($D$72:$D$91)=0,0,'TO HOP'!$G$133*$D85/SUMSQ($D$72:$D$91)))/9.81))</f>
        <v>0</v>
      </c>
      <c r="F109" s="51">
        <f>IF($B109="",0,IF(USE_TSPILE=1,F182,('TO HOP'!$E$134/ncoc+IF(SUMSQ($E$72:$E$91)=0,0,'TO HOP'!$F$134*$E85/SUMSQ($E$72:$E$91))+IF(SUMSQ($D$72:$D$91)=0,0,'TO HOP'!$G$134*$D85/SUMSQ($D$72:$D$91)))/9.81))</f>
        <v>0</v>
      </c>
      <c r="G109" s="51">
        <f>IF($B109="",0,IF(USE_TSPILE=1,G182,('TO HOP'!$E$135/ncoc+IF(SUMSQ($E$72:$E$91)=0,0,'TO HOP'!$F$135*$E85/SUMSQ($E$72:$E$91))+IF(SUMSQ($D$72:$D$91)=0,0,'TO HOP'!$G$135*$D85/SUMSQ($D$72:$D$91)))/9.81))</f>
        <v>0</v>
      </c>
      <c r="H109" s="51">
        <f>IF($B109="",0,IF(USE_TSPILE=1,H182,('TO HOP'!$E$136/ncoc+IF(SUMSQ($E$72:$E$91)=0,0,'TO HOP'!$F$136*$E85/SUMSQ($E$72:$E$91))+IF(SUMSQ($D$72:$D$91)=0,0,'TO HOP'!$G$136*$D85/SUMSQ($D$72:$D$91)))/9.81))</f>
        <v>0</v>
      </c>
      <c r="I109" s="51">
        <f>IF($B109="",0,IF(USE_TSPILE=1,I182,('TO HOP'!$E$137/ncoc+IF(SUMSQ($E$72:$E$91)=0,0,'TO HOP'!$F$137*$E85/SUMSQ($E$72:$E$91))+IF(SUMSQ($D$72:$D$91)=0,0,'TO HOP'!$G$137*$D85/SUMSQ($D$72:$D$91)))/9.81))</f>
        <v>0</v>
      </c>
      <c r="J109" s="51">
        <f>IF($B109="",0,IF(USE_TSPILE=1,J182,('TO HOP'!$E$138/ncoc+IF(SUMSQ($E$72:$E$91)=0,0,'TO HOP'!$F$138*$E85/SUMSQ($E$72:$E$91))+IF(SUMSQ($D$72:$D$91)=0,0,'TO HOP'!$G$138*$D85/SUMSQ($D$72:$D$91)))/9.81))</f>
        <v>0</v>
      </c>
      <c r="K109" s="51">
        <f>IF($B109="",0,IF(USE_TSPILE=1,K182,('TO HOP'!$E$139/ncoc+IF(SUMSQ($E$72:$E$91)=0,0,'TO HOP'!$F$139*$E85/SUMSQ($E$72:$E$91))+IF(SUMSQ($D$72:$D$91)=0,0,'TO HOP'!$G$139*$D85/SUMSQ($D$72:$D$91)))/9.81))</f>
        <v>0</v>
      </c>
      <c r="L109" s="51">
        <f>IF($B109="",0,IF(USE_TSPILE=1,L182,('TO HOP'!$E$140/ncoc+IF(SUMSQ($E$72:$E$91)=0,0,'TO HOP'!$F$140*$E85/SUMSQ($E$72:$E$91))+IF(SUMSQ($D$72:$D$91)=0,0,'TO HOP'!$G$140*$D85/SUMSQ($D$72:$D$91)))/9.81))</f>
        <v>0</v>
      </c>
      <c r="M109" s="51">
        <f>IF($B109="",0,IF(USE_TSPILE=1,M182,('TO HOP'!$E$141/ncoc+IF(SUMSQ($E$72:$E$91)=0,0,'TO HOP'!$F$141*$E85/SUMSQ($E$72:$E$91))+IF(SUMSQ($D$72:$D$91)=0,0,'TO HOP'!$G$141*$D85/SUMSQ($D$72:$D$91)))/9.81))</f>
        <v>0</v>
      </c>
      <c r="N109" s="51">
        <f>IF($B109="",0,IF(USE_TSPILE=1,N182,('TO HOP'!$E$142/ncoc+IF(SUMSQ($E$72:$E$91)=0,0,'TO HOP'!$F$142*$E85/SUMSQ($E$72:$E$91))+IF(SUMSQ($D$72:$D$91)=0,0,'TO HOP'!$G$142*$D85/SUMSQ($D$72:$D$91)))/9.81))</f>
        <v>0</v>
      </c>
      <c r="O109" s="51">
        <f>IF($B109="",0,IF(USE_TSPILE=1,O182,('TO HOP'!$E$143/ncoc+IF(SUMSQ($E$72:$E$91)=0,0,'TO HOP'!$F$143*$E85/SUMSQ($E$72:$E$91))+IF(SUMSQ($D$72:$D$91)=0,0,'TO HOP'!$G$143*$D85/SUMSQ($D$72:$D$91)))/9.81))</f>
        <v>0</v>
      </c>
      <c r="P109" s="51">
        <f>IF($B109="",0,IF(USE_TSPILE=1,P182,('TO HOP'!$E$144/ncoc+IF(SUMSQ($E$72:$E$91)=0,0,'TO HOP'!$F$144*$E85/SUMSQ($E$72:$E$91))+IF(SUMSQ($D$72:$D$91)=0,0,'TO HOP'!$G$144*$D85/SUMSQ($D$72:$D$91)))/9.81))</f>
        <v>0</v>
      </c>
      <c r="Q109" s="51">
        <f>IF($B109="",0,IF(USE_TSPILE=1,Q182,('TO HOP'!$E$145/ncoc+IF(SUMSQ($E$72:$E$91)=0,0,'TO HOP'!$F$145*$E85/SUMSQ($E$72:$E$91))+IF(SUMSQ($D$72:$D$91)=0,0,'TO HOP'!$G$145*$D85/SUMSQ($D$72:$D$91)))/9.81))</f>
        <v>0</v>
      </c>
      <c r="R109" s="51">
        <f>IF($B109="",0,IF(USE_TSPILE=1,R182,('TO HOP'!$E$146/ncoc+IF(SUMSQ($E$72:$E$91)=0,0,'TO HOP'!$F$146*$E85/SUMSQ($E$72:$E$91))+IF(SUMSQ($D$72:$D$91)=0,0,'TO HOP'!$G$146*$D85/SUMSQ($D$72:$D$91)))/9.81))</f>
        <v>0</v>
      </c>
      <c r="S109" s="51">
        <f>IF($B109="",0,IF(USE_TSPILE=1,S182,('TO HOP'!$E$147/ncoc+IF(SUMSQ($E$72:$E$91)=0,0,'TO HOP'!$F$147*$E85/SUMSQ($E$72:$E$91))+IF(SUMSQ($D$72:$D$91)=0,0,'TO HOP'!$G$147*$D85/SUMSQ($D$72:$D$91)))/9.81))</f>
        <v>0</v>
      </c>
      <c r="T109" s="51">
        <f>IF($B109="",0,IF(USE_TSPILE=1,T182,('TO HOP'!$E$148/ncoc+IF(SUMSQ($E$72:$E$91)=0,0,'TO HOP'!$F$148*$E85/SUMSQ($E$72:$E$91))+IF(SUMSQ($D$72:$D$91)=0,0,'TO HOP'!$G$148*$D85/SUMSQ($D$72:$D$91)))/9.81))</f>
        <v>0</v>
      </c>
      <c r="U109" s="51">
        <f>IF($B109="",0,IF(USE_TSPILE=1,U182,('TO HOP'!$E$149/ncoc+IF(SUMSQ($E$72:$E$91)=0,0,'TO HOP'!$F$149*$E85/SUMSQ($E$72:$E$91))+IF(SUMSQ($D$72:$D$91)=0,0,'TO HOP'!$G$149*$D85/SUMSQ($D$72:$D$91)))/9.81))</f>
        <v>0</v>
      </c>
      <c r="V109" s="51">
        <f>IF($B109="",0,IF(USE_TSPILE=1,V182,('TO HOP'!$E$150/ncoc+IF(SUMSQ($E$72:$E$91)=0,0,'TO HOP'!$F$150*$E85/SUMSQ($E$72:$E$91))+IF(SUMSQ($D$72:$D$91)=0,0,'TO HOP'!$G$150*$D85/SUMSQ($D$72:$D$91)))/9.81))</f>
        <v>0</v>
      </c>
      <c r="W109" s="51">
        <f>IF($B109="",0,IF(USE_TSPILE=1,W182,('TO HOP'!$E$151/ncoc+IF(SUMSQ($E$72:$E$91)=0,0,'TO HOP'!$F$151*$E85/SUMSQ($E$72:$E$91))+IF(SUMSQ($D$72:$D$91)=0,0,'TO HOP'!$G$151*$D85/SUMSQ($D$72:$D$91)))/9.81))</f>
        <v>0</v>
      </c>
      <c r="X109" s="51">
        <f>IF($B109="",0,IF(USE_TSPILE=1,X182,('TO HOP'!$E$152/ncoc+IF(SUMSQ($E$72:$E$91)=0,0,'TO HOP'!$F$152*$E85/SUMSQ($E$72:$E$91))+IF(SUMSQ($D$72:$D$91)=0,0,'TO HOP'!$G$152*$D85/SUMSQ($D$72:$D$91)))/9.81))</f>
        <v>0</v>
      </c>
      <c r="Y109" s="51">
        <f>IF($B109="",0,IF(USE_TSPILE=1,Y182,('TO HOP'!$E$153/ncoc+IF(SUMSQ($E$72:$E$91)=0,0,'TO HOP'!$F$153*$E85/SUMSQ($E$72:$E$91))+IF(SUMSQ($D$72:$D$91)=0,0,'TO HOP'!$G$153*$D85/SUMSQ($D$72:$D$91)))/9.81))</f>
        <v>0</v>
      </c>
      <c r="Z109" s="51">
        <f>IF($B109="",0,IF(USE_TSPILE=1,Z182,('TO HOP'!$E$154/ncoc+IF(SUMSQ($E$72:$E$91)=0,0,'TO HOP'!$F$154*$E85/SUMSQ($E$72:$E$91))+IF(SUMSQ($D$72:$D$91)=0,0,'TO HOP'!$G$154*$D85/SUMSQ($D$72:$D$91)))/9.81))</f>
        <v>0</v>
      </c>
      <c r="AA109" s="51">
        <f>IF($B109="",0,IF(USE_TSPILE=1,AA182,('TO HOP'!$E$155/ncoc+IF(SUMSQ($E$72:$E$91)=0,0,'TO HOP'!$F$155*$E85/SUMSQ($E$72:$E$91))+IF(SUMSQ($D$72:$D$91)=0,0,'TO HOP'!$G$155*$D85/SUMSQ($D$72:$D$91)))/9.81))</f>
        <v>0</v>
      </c>
      <c r="AB109" s="51">
        <f>IF($B109="",0,IF(USE_TSPILE=1,AB182,('TO HOP'!$E$156/ncoc+IF(SUMSQ($E$72:$E$91)=0,0,'TO HOP'!$F$156*$E85/SUMSQ($E$72:$E$91))+IF(SUMSQ($D$72:$D$91)=0,0,'TO HOP'!$G$156*$D85/SUMSQ($D$72:$D$91)))/9.81))</f>
        <v>0</v>
      </c>
      <c r="AC109" s="51">
        <f>IF($B109="",0,IF(USE_TSPILE=1,AC182,('TO HOP'!$E$157/ncoc+IF(SUMSQ($E$72:$E$91)=0,0,'TO HOP'!$F$157*$E85/SUMSQ($E$72:$E$91))+IF(SUMSQ($D$72:$D$91)=0,0,'TO HOP'!$G$157*$D85/SUMSQ($D$72:$D$91)))/9.81))</f>
        <v>0</v>
      </c>
      <c r="AD109" s="51">
        <f>IF($B109="",0,IF(USE_TSPILE=1,AD182,('TO HOP'!$E$158/ncoc+IF(SUMSQ($E$72:$E$91)=0,0,'TO HOP'!$F$158*$E85/SUMSQ($E$72:$E$91))+IF(SUMSQ($D$72:$D$91)=0,0,'TO HOP'!$G$158*$D85/SUMSQ($D$72:$D$91)))/9.81))</f>
        <v>0</v>
      </c>
      <c r="AE109" s="51">
        <f>IF($B109="",0,IF(USE_TSPILE=1,AE182,('TO HOP'!$E$159/ncoc+IF(SUMSQ($E$72:$E$91)=0,0,'TO HOP'!$F$159*$E85/SUMSQ($E$72:$E$91))+IF(SUMSQ($D$72:$D$91)=0,0,'TO HOP'!$G$159*$D85/SUMSQ($D$72:$D$91)))/9.81))</f>
        <v>0</v>
      </c>
      <c r="AF109" s="51">
        <f>IF($B109="",0,IF(USE_TSPILE=1,AF182,('TO HOP'!$E$160/ncoc+IF(SUMSQ($E$72:$E$91)=0,0,'TO HOP'!$F$160*$E85/SUMSQ($E$72:$E$91))+IF(SUMSQ($D$72:$D$91)=0,0,'TO HOP'!$G$160*$D85/SUMSQ($D$72:$D$91)))/9.81))</f>
        <v>0</v>
      </c>
      <c r="AG109" s="51">
        <f>IF($B109="",0,IF(USE_TSPILE=1,AG182,('TO HOP'!$E$161/ncoc+IF(SUMSQ($E$72:$E$91)=0,0,'TO HOP'!$F$161*$E85/SUMSQ($E$72:$E$91))+IF(SUMSQ($D$72:$D$91)=0,0,'TO HOP'!$G$161*$D85/SUMSQ($D$72:$D$91)))/9.81))</f>
        <v>0</v>
      </c>
      <c r="AH109" s="51">
        <f>IF($B109="",0,IF(USE_TSPILE=1,AH182,('TO HOP'!$E$162/ncoc+IF(SUMSQ($E$72:$E$91)=0,0,'TO HOP'!$F$162*$E85/SUMSQ($E$72:$E$91))+IF(SUMSQ($D$72:$D$91)=0,0,'TO HOP'!$G$162*$D85/SUMSQ($D$72:$D$91)))/9.81))</f>
        <v>0</v>
      </c>
      <c r="AI109" s="51">
        <f>IF($B109="",0,IF(USE_TSPILE=1,AI182,('TO HOP'!$E$163/ncoc+IF(SUMSQ($E$72:$E$91)=0,0,'TO HOP'!$F$163*$E85/SUMSQ($E$72:$E$91))+IF(SUMSQ($D$72:$D$91)=0,0,'TO HOP'!$G$163*$D85/SUMSQ($D$72:$D$91)))/9.81))</f>
        <v>0</v>
      </c>
      <c r="AJ109" s="51">
        <f>IF($B109="",0,IF(USE_TSPILE=1,AJ182,('TO HOP'!$E$164/ncoc+IF(SUMSQ($E$72:$E$91)=0,0,'TO HOP'!$F$164*$E85/SUMSQ($E$72:$E$91))+IF(SUMSQ($D$72:$D$91)=0,0,'TO HOP'!$G$164*$D85/SUMSQ($D$72:$D$91)))/9.81))</f>
        <v>0</v>
      </c>
      <c r="AK109" s="51">
        <f>IF($B109="",0,IF(USE_TSPILE=1,AK182,('TO HOP'!$E$165/ncoc+IF(SUMSQ($E$72:$E$91)=0,0,'TO HOP'!$F$165*$E85/SUMSQ($E$72:$E$91))+IF(SUMSQ($D$72:$D$91)=0,0,'TO HOP'!$G$165*$D85/SUMSQ($D$72:$D$91)))/9.81))</f>
        <v>0</v>
      </c>
      <c r="AL109" s="51">
        <f>IF($B109="",0,IF(USE_TSPILE=1,AL182,('TO HOP'!$E$166/ncoc+IF(SUMSQ($E$72:$E$91)=0,0,'TO HOP'!$F$166*$E85/SUMSQ($E$72:$E$91))+IF(SUMSQ($D$72:$D$91)=0,0,'TO HOP'!$G$166*$D85/SUMSQ($D$72:$D$91)))/9.81))</f>
        <v>0</v>
      </c>
      <c r="AM109" s="51">
        <f>IF($B109="",0,IF(USE_TSPILE=1,AM182,('TO HOP'!$E$167/ncoc+IF(SUMSQ($E$72:$E$91)=0,0,'TO HOP'!$F$167*$E85/SUMSQ($E$72:$E$91))+IF(SUMSQ($D$72:$D$91)=0,0,'TO HOP'!$G$167*$D85/SUMSQ($D$72:$D$91)))/9.81))</f>
        <v>0</v>
      </c>
      <c r="AN109" s="51">
        <f>IF($B109="",0,IF(USE_TSPILE=1,AN182,('TO HOP'!$E$168/ncoc+IF(SUMSQ($E$72:$E$91)=0,0,'TO HOP'!$F$168*$E85/SUMSQ($E$72:$E$91))+IF(SUMSQ($D$72:$D$91)=0,0,'TO HOP'!$G$168*$D85/SUMSQ($D$72:$D$91)))/9.81))</f>
        <v>0</v>
      </c>
      <c r="AO109" s="51">
        <f>IF($B109="",0,IF(USE_TSPILE=1,AO182,('TO HOP'!$E$169/ncoc+IF(SUMSQ($E$72:$E$91)=0,0,'TO HOP'!$F$169*$E85/SUMSQ($E$72:$E$91))+IF(SUMSQ($D$72:$D$91)=0,0,'TO HOP'!$G$169*$D85/SUMSQ($D$72:$D$91)))/9.81))</f>
        <v>0</v>
      </c>
      <c r="AP109" s="51">
        <f>IF($B109="",0,IF(USE_TSPILE=1,AP182,('TO HOP'!$E$170/ncoc+IF(SUMSQ($E$72:$E$91)=0,0,'TO HOP'!$F$170*$E85/SUMSQ($E$72:$E$91))+IF(SUMSQ($D$72:$D$91)=0,0,'TO HOP'!$G$170*$D85/SUMSQ($D$72:$D$91)))/9.81))</f>
        <v>0</v>
      </c>
      <c r="AQ109" s="51">
        <f>IF($B109="",0,IF(USE_TSPILE=1,AQ182,('TO HOP'!$E$171/ncoc+IF(SUMSQ($E$72:$E$91)=0,0,'TO HOP'!$F$171*$E85/SUMSQ($E$72:$E$91))+IF(SUMSQ($D$72:$D$91)=0,0,'TO HOP'!$G$171*$D85/SUMSQ($D$72:$D$91)))/9.81))</f>
        <v>0</v>
      </c>
      <c r="AR109" s="51">
        <f>IF($B109="",0,IF(USE_TSPILE=1,AR182,('TO HOP'!$E$172/ncoc+IF(SUMSQ($E$72:$E$91)=0,0,'TO HOP'!$F$172*$E85/SUMSQ($E$72:$E$91))+IF(SUMSQ($D$72:$D$91)=0,0,'TO HOP'!$G$172*$D85/SUMSQ($D$72:$D$91)))/9.81))</f>
        <v>0</v>
      </c>
      <c r="AS109" s="51">
        <f>IF($B109="",0,IF(USE_TSPILE=1,AS182,('TO HOP'!$E$173/ncoc+IF(SUMSQ($E$72:$E$91)=0,0,'TO HOP'!$F$173*$E85/SUMSQ($E$72:$E$91))+IF(SUMSQ($D$72:$D$91)=0,0,'TO HOP'!$G$173*$D85/SUMSQ($D$72:$D$91)))/9.81))</f>
        <v>0</v>
      </c>
      <c r="AT109" s="51">
        <f>IF($B109="",0,IF(USE_TSPILE=1,AT182,('TO HOP'!$E$174/ncoc+IF(SUMSQ($E$72:$E$91)=0,0,'TO HOP'!$F$174*$E85/SUMSQ($E$72:$E$91))+IF(SUMSQ($D$72:$D$91)=0,0,'TO HOP'!$G$174*$D85/SUMSQ($D$72:$D$91)))/9.81))</f>
        <v>0</v>
      </c>
      <c r="AU109" s="51">
        <f>IF($B109="",0,IF(USE_TSPILE=1,AU182,('TO HOP'!$E$175/ncoc+IF(SUMSQ($E$72:$E$91)=0,0,'TO HOP'!$F$175*$E85/SUMSQ($E$72:$E$91))+IF(SUMSQ($D$72:$D$91)=0,0,'TO HOP'!$G$175*$D85/SUMSQ($D$72:$D$91)))/9.81))</f>
        <v>0</v>
      </c>
      <c r="AV109" s="51">
        <f>IF($B109="",0,IF(USE_TSPILE=1,AV182,('TO HOP'!$E$176/ncoc+IF(SUMSQ($E$72:$E$91)=0,0,'TO HOP'!$F$176*$E85/SUMSQ($E$72:$E$91))+IF(SUMSQ($D$72:$D$91)=0,0,'TO HOP'!$G$176*$D85/SUMSQ($D$72:$D$91)))/9.81))</f>
        <v>0</v>
      </c>
      <c r="AW109" s="51">
        <f>IF($B109="",0,IF(USE_TSPILE=1,AW182,('TO HOP'!$E$177/ncoc+IF(SUMSQ($E$72:$E$91)=0,0,'TO HOP'!$F$177*$E85/SUMSQ($E$72:$E$91))+IF(SUMSQ($D$72:$D$91)=0,0,'TO HOP'!$G$177*$D85/SUMSQ($D$72:$D$91)))/9.81))</f>
        <v>0</v>
      </c>
      <c r="AX109" s="51">
        <f>IF($B109="",0,IF(USE_TSPILE=1,AX182,('TO HOP'!$E$178/ncoc+IF(SUMSQ($E$72:$E$91)=0,0,'TO HOP'!$F$178*$E85/SUMSQ($E$72:$E$91))+IF(SUMSQ($D$72:$D$91)=0,0,'TO HOP'!$G$178*$D85/SUMSQ($D$72:$D$91)))/9.81))</f>
        <v>0</v>
      </c>
      <c r="AY109" s="51">
        <f>IF($B109="",0,IF(USE_TSPILE=1,AY182,('TO HOP'!$E$179/ncoc+IF(SUMSQ($E$72:$E$91)=0,0,'TO HOP'!$F$179*$E85/SUMSQ($E$72:$E$91))+IF(SUMSQ($D$72:$D$91)=0,0,'TO HOP'!$G$179*$D85/SUMSQ($D$72:$D$91)))/9.81))</f>
        <v>0</v>
      </c>
      <c r="AZ109" s="51">
        <f>IF($B109="",0,IF(USE_TSPILE=1,AZ182,('TO HOP'!$E$180/ncoc+IF(SUMSQ($E$72:$E$91)=0,0,'TO HOP'!$F$180*$E85/SUMSQ($E$72:$E$91))+IF(SUMSQ($D$72:$D$91)=0,0,'TO HOP'!$G$180*$D85/SUMSQ($D$72:$D$91)))/9.81))</f>
        <v>0</v>
      </c>
      <c r="BA109" s="51">
        <f>IF($B109="",0,IF(USE_TSPILE=1,BA182,('TO HOP'!$E$181/ncoc+IF(SUMSQ($E$72:$E$91)=0,0,'TO HOP'!$F$181*$E85/SUMSQ($E$72:$E$91))+IF(SUMSQ($D$72:$D$91)=0,0,'TO HOP'!$G$181*$D85/SUMSQ($D$72:$D$91)))/9.81))</f>
        <v>0</v>
      </c>
      <c r="BB109" s="51">
        <f>IF($B109="",0,IF(USE_TSPILE=1,BB182,('TO HOP'!$E$182/ncoc+IF(SUMSQ($E$72:$E$91)=0,0,'TO HOP'!$F$182*$E85/SUMSQ($E$72:$E$91))+IF(SUMSQ($D$72:$D$91)=0,0,'TO HOP'!$G$182*$D85/SUMSQ($D$72:$D$91)))/9.81))</f>
        <v>0</v>
      </c>
      <c r="BC109" s="51">
        <f>IF($B109="",0,IF(USE_TSPILE=1,BC182,('TO HOP'!$E$183/ncoc+IF(SUMSQ($E$72:$E$91)=0,0,'TO HOP'!$F$183*$E85/SUMSQ($E$72:$E$91))+IF(SUMSQ($D$72:$D$91)=0,0,'TO HOP'!$G$183*$D85/SUMSQ($D$72:$D$91)))/9.81))</f>
        <v>0</v>
      </c>
      <c r="BD109" s="51">
        <f>IF($B109="",0,IF(USE_TSPILE=1,BD182,('TO HOP'!$E$184/ncoc+IF(SUMSQ($E$72:$E$91)=0,0,'TO HOP'!$F$184*$E85/SUMSQ($E$72:$E$91))+IF(SUMSQ($D$72:$D$91)=0,0,'TO HOP'!$G$184*$D85/SUMSQ($D$72:$D$91)))/9.81))</f>
        <v>0</v>
      </c>
      <c r="BE109" s="51">
        <f>IF($B109="",0,IF(USE_TSPILE=1,BE182,('TO HOP'!$E$185/ncoc+IF(SUMSQ($E$72:$E$91)=0,0,'TO HOP'!$F$185*$E85/SUMSQ($E$72:$E$91))+IF(SUMSQ($D$72:$D$91)=0,0,'TO HOP'!$G$185*$D85/SUMSQ($D$72:$D$91)))/9.81))</f>
        <v>0</v>
      </c>
      <c r="BF109" s="51">
        <f>IF($B109="",0,IF(USE_TSPILE=1,BF182,('TO HOP'!$E$186/ncoc+IF(SUMSQ($E$72:$E$91)=0,0,'TO HOP'!$F$186*$E85/SUMSQ($E$72:$E$91))+IF(SUMSQ($D$72:$D$91)=0,0,'TO HOP'!$G$186*$D85/SUMSQ($D$72:$D$91)))/9.81))</f>
        <v>0</v>
      </c>
      <c r="BG109" s="51">
        <f>IF($B109="",0,IF(USE_TSPILE=1,BG182,('TO HOP'!$E$187/ncoc+IF(SUMSQ($E$72:$E$91)=0,0,'TO HOP'!$F$187*$E85/SUMSQ($E$72:$E$91))+IF(SUMSQ($D$72:$D$91)=0,0,'TO HOP'!$G$187*$D85/SUMSQ($D$72:$D$91)))/9.81))</f>
        <v>0</v>
      </c>
      <c r="BH109" s="51">
        <f>IF($B109="",0,IF(USE_TSPILE=1,BH182,('TO HOP'!$E$188/ncoc+IF(SUMSQ($E$72:$E$91)=0,0,'TO HOP'!$F$188*$E85/SUMSQ($E$72:$E$91))+IF(SUMSQ($D$72:$D$91)=0,0,'TO HOP'!$G$188*$D85/SUMSQ($D$72:$D$91)))/9.81))</f>
        <v>0</v>
      </c>
      <c r="BI109" s="51">
        <f>IF($B109="",0,IF(USE_TSPILE=1,BI182,('TO HOP'!$E$189/ncoc+IF(SUMSQ($E$72:$E$91)=0,0,'TO HOP'!$F$189*$E85/SUMSQ($E$72:$E$91))+IF(SUMSQ($D$72:$D$91)=0,0,'TO HOP'!$G$189*$D85/SUMSQ($D$72:$D$91)))/9.81))</f>
        <v>0</v>
      </c>
      <c r="BJ109" s="51">
        <f>IF($B109="",0,IF(USE_TSPILE=1,BJ182,('TO HOP'!$E$190/ncoc+IF(SUMSQ($E$72:$E$91)=0,0,'TO HOP'!$F$190*$E85/SUMSQ($E$72:$E$91))+IF(SUMSQ($D$72:$D$91)=0,0,'TO HOP'!$G$190*$D85/SUMSQ($D$72:$D$91)))/9.81))</f>
        <v>0</v>
      </c>
      <c r="BK109" s="51">
        <f>IF($B109="",0,IF(USE_TSPILE=1,BK182,('TO HOP'!$E$191/ncoc+IF(SUMSQ($E$72:$E$91)=0,0,'TO HOP'!$F$191*$E85/SUMSQ($E$72:$E$91))+IF(SUMSQ($D$72:$D$91)=0,0,'TO HOP'!$G$191*$D85/SUMSQ($D$72:$D$91)))/9.81))</f>
        <v>0</v>
      </c>
      <c r="BL109" s="51">
        <f>IF($B109="",0,IF(USE_TSPILE=1,BL182,('TO HOP'!$E$192/ncoc+IF(SUMSQ($E$72:$E$91)=0,0,'TO HOP'!$F$192*$E85/SUMSQ($E$72:$E$91))+IF(SUMSQ($D$72:$D$91)=0,0,'TO HOP'!$G$192*$D85/SUMSQ($D$72:$D$91)))/9.81))</f>
        <v>0</v>
      </c>
    </row>
    <row r="110" spans="2:64" x14ac:dyDescent="0.3">
      <c r="B110" s="14" t="str">
        <f>IF(15&lt;=ncoc,15,"")</f>
        <v/>
      </c>
      <c r="C110" s="51">
        <f>IF($B110="",0,IF(USE_TSPILE=1,C183,('TO HOP'!$E$131/ncoc+IF(SUMSQ($E$72:$E$91)=0,0,'TO HOP'!$F$131*$E86/SUMSQ($E$72:$E$91))+IF(SUMSQ($D$72:$D$91)=0,0,'TO HOP'!$G$131*$D86/SUMSQ($D$72:$D$91)))/9.81))</f>
        <v>0</v>
      </c>
      <c r="D110" s="51">
        <f>IF($B110="",0,IF(USE_TSPILE=1,D183,('TO HOP'!$E$132/ncoc+IF(SUMSQ($E$72:$E$91)=0,0,'TO HOP'!$F$132*$E86/SUMSQ($E$72:$E$91))+IF(SUMSQ($D$72:$D$91)=0,0,'TO HOP'!$G$132*$D86/SUMSQ($D$72:$D$91)))/9.81))</f>
        <v>0</v>
      </c>
      <c r="E110" s="51">
        <f>IF($B110="",0,IF(USE_TSPILE=1,E183,('TO HOP'!$E$133/ncoc+IF(SUMSQ($E$72:$E$91)=0,0,'TO HOP'!$F$133*$E86/SUMSQ($E$72:$E$91))+IF(SUMSQ($D$72:$D$91)=0,0,'TO HOP'!$G$133*$D86/SUMSQ($D$72:$D$91)))/9.81))</f>
        <v>0</v>
      </c>
      <c r="F110" s="51">
        <f>IF($B110="",0,IF(USE_TSPILE=1,F183,('TO HOP'!$E$134/ncoc+IF(SUMSQ($E$72:$E$91)=0,0,'TO HOP'!$F$134*$E86/SUMSQ($E$72:$E$91))+IF(SUMSQ($D$72:$D$91)=0,0,'TO HOP'!$G$134*$D86/SUMSQ($D$72:$D$91)))/9.81))</f>
        <v>0</v>
      </c>
      <c r="G110" s="51">
        <f>IF($B110="",0,IF(USE_TSPILE=1,G183,('TO HOP'!$E$135/ncoc+IF(SUMSQ($E$72:$E$91)=0,0,'TO HOP'!$F$135*$E86/SUMSQ($E$72:$E$91))+IF(SUMSQ($D$72:$D$91)=0,0,'TO HOP'!$G$135*$D86/SUMSQ($D$72:$D$91)))/9.81))</f>
        <v>0</v>
      </c>
      <c r="H110" s="51">
        <f>IF($B110="",0,IF(USE_TSPILE=1,H183,('TO HOP'!$E$136/ncoc+IF(SUMSQ($E$72:$E$91)=0,0,'TO HOP'!$F$136*$E86/SUMSQ($E$72:$E$91))+IF(SUMSQ($D$72:$D$91)=0,0,'TO HOP'!$G$136*$D86/SUMSQ($D$72:$D$91)))/9.81))</f>
        <v>0</v>
      </c>
      <c r="I110" s="51">
        <f>IF($B110="",0,IF(USE_TSPILE=1,I183,('TO HOP'!$E$137/ncoc+IF(SUMSQ($E$72:$E$91)=0,0,'TO HOP'!$F$137*$E86/SUMSQ($E$72:$E$91))+IF(SUMSQ($D$72:$D$91)=0,0,'TO HOP'!$G$137*$D86/SUMSQ($D$72:$D$91)))/9.81))</f>
        <v>0</v>
      </c>
      <c r="J110" s="51">
        <f>IF($B110="",0,IF(USE_TSPILE=1,J183,('TO HOP'!$E$138/ncoc+IF(SUMSQ($E$72:$E$91)=0,0,'TO HOP'!$F$138*$E86/SUMSQ($E$72:$E$91))+IF(SUMSQ($D$72:$D$91)=0,0,'TO HOP'!$G$138*$D86/SUMSQ($D$72:$D$91)))/9.81))</f>
        <v>0</v>
      </c>
      <c r="K110" s="51">
        <f>IF($B110="",0,IF(USE_TSPILE=1,K183,('TO HOP'!$E$139/ncoc+IF(SUMSQ($E$72:$E$91)=0,0,'TO HOP'!$F$139*$E86/SUMSQ($E$72:$E$91))+IF(SUMSQ($D$72:$D$91)=0,0,'TO HOP'!$G$139*$D86/SUMSQ($D$72:$D$91)))/9.81))</f>
        <v>0</v>
      </c>
      <c r="L110" s="51">
        <f>IF($B110="",0,IF(USE_TSPILE=1,L183,('TO HOP'!$E$140/ncoc+IF(SUMSQ($E$72:$E$91)=0,0,'TO HOP'!$F$140*$E86/SUMSQ($E$72:$E$91))+IF(SUMSQ($D$72:$D$91)=0,0,'TO HOP'!$G$140*$D86/SUMSQ($D$72:$D$91)))/9.81))</f>
        <v>0</v>
      </c>
      <c r="M110" s="51">
        <f>IF($B110="",0,IF(USE_TSPILE=1,M183,('TO HOP'!$E$141/ncoc+IF(SUMSQ($E$72:$E$91)=0,0,'TO HOP'!$F$141*$E86/SUMSQ($E$72:$E$91))+IF(SUMSQ($D$72:$D$91)=0,0,'TO HOP'!$G$141*$D86/SUMSQ($D$72:$D$91)))/9.81))</f>
        <v>0</v>
      </c>
      <c r="N110" s="51">
        <f>IF($B110="",0,IF(USE_TSPILE=1,N183,('TO HOP'!$E$142/ncoc+IF(SUMSQ($E$72:$E$91)=0,0,'TO HOP'!$F$142*$E86/SUMSQ($E$72:$E$91))+IF(SUMSQ($D$72:$D$91)=0,0,'TO HOP'!$G$142*$D86/SUMSQ($D$72:$D$91)))/9.81))</f>
        <v>0</v>
      </c>
      <c r="O110" s="51">
        <f>IF($B110="",0,IF(USE_TSPILE=1,O183,('TO HOP'!$E$143/ncoc+IF(SUMSQ($E$72:$E$91)=0,0,'TO HOP'!$F$143*$E86/SUMSQ($E$72:$E$91))+IF(SUMSQ($D$72:$D$91)=0,0,'TO HOP'!$G$143*$D86/SUMSQ($D$72:$D$91)))/9.81))</f>
        <v>0</v>
      </c>
      <c r="P110" s="51">
        <f>IF($B110="",0,IF(USE_TSPILE=1,P183,('TO HOP'!$E$144/ncoc+IF(SUMSQ($E$72:$E$91)=0,0,'TO HOP'!$F$144*$E86/SUMSQ($E$72:$E$91))+IF(SUMSQ($D$72:$D$91)=0,0,'TO HOP'!$G$144*$D86/SUMSQ($D$72:$D$91)))/9.81))</f>
        <v>0</v>
      </c>
      <c r="Q110" s="51">
        <f>IF($B110="",0,IF(USE_TSPILE=1,Q183,('TO HOP'!$E$145/ncoc+IF(SUMSQ($E$72:$E$91)=0,0,'TO HOP'!$F$145*$E86/SUMSQ($E$72:$E$91))+IF(SUMSQ($D$72:$D$91)=0,0,'TO HOP'!$G$145*$D86/SUMSQ($D$72:$D$91)))/9.81))</f>
        <v>0</v>
      </c>
      <c r="R110" s="51">
        <f>IF($B110="",0,IF(USE_TSPILE=1,R183,('TO HOP'!$E$146/ncoc+IF(SUMSQ($E$72:$E$91)=0,0,'TO HOP'!$F$146*$E86/SUMSQ($E$72:$E$91))+IF(SUMSQ($D$72:$D$91)=0,0,'TO HOP'!$G$146*$D86/SUMSQ($D$72:$D$91)))/9.81))</f>
        <v>0</v>
      </c>
      <c r="S110" s="51">
        <f>IF($B110="",0,IF(USE_TSPILE=1,S183,('TO HOP'!$E$147/ncoc+IF(SUMSQ($E$72:$E$91)=0,0,'TO HOP'!$F$147*$E86/SUMSQ($E$72:$E$91))+IF(SUMSQ($D$72:$D$91)=0,0,'TO HOP'!$G$147*$D86/SUMSQ($D$72:$D$91)))/9.81))</f>
        <v>0</v>
      </c>
      <c r="T110" s="51">
        <f>IF($B110="",0,IF(USE_TSPILE=1,T183,('TO HOP'!$E$148/ncoc+IF(SUMSQ($E$72:$E$91)=0,0,'TO HOP'!$F$148*$E86/SUMSQ($E$72:$E$91))+IF(SUMSQ($D$72:$D$91)=0,0,'TO HOP'!$G$148*$D86/SUMSQ($D$72:$D$91)))/9.81))</f>
        <v>0</v>
      </c>
      <c r="U110" s="51">
        <f>IF($B110="",0,IF(USE_TSPILE=1,U183,('TO HOP'!$E$149/ncoc+IF(SUMSQ($E$72:$E$91)=0,0,'TO HOP'!$F$149*$E86/SUMSQ($E$72:$E$91))+IF(SUMSQ($D$72:$D$91)=0,0,'TO HOP'!$G$149*$D86/SUMSQ($D$72:$D$91)))/9.81))</f>
        <v>0</v>
      </c>
      <c r="V110" s="51">
        <f>IF($B110="",0,IF(USE_TSPILE=1,V183,('TO HOP'!$E$150/ncoc+IF(SUMSQ($E$72:$E$91)=0,0,'TO HOP'!$F$150*$E86/SUMSQ($E$72:$E$91))+IF(SUMSQ($D$72:$D$91)=0,0,'TO HOP'!$G$150*$D86/SUMSQ($D$72:$D$91)))/9.81))</f>
        <v>0</v>
      </c>
      <c r="W110" s="51">
        <f>IF($B110="",0,IF(USE_TSPILE=1,W183,('TO HOP'!$E$151/ncoc+IF(SUMSQ($E$72:$E$91)=0,0,'TO HOP'!$F$151*$E86/SUMSQ($E$72:$E$91))+IF(SUMSQ($D$72:$D$91)=0,0,'TO HOP'!$G$151*$D86/SUMSQ($D$72:$D$91)))/9.81))</f>
        <v>0</v>
      </c>
      <c r="X110" s="51">
        <f>IF($B110="",0,IF(USE_TSPILE=1,X183,('TO HOP'!$E$152/ncoc+IF(SUMSQ($E$72:$E$91)=0,0,'TO HOP'!$F$152*$E86/SUMSQ($E$72:$E$91))+IF(SUMSQ($D$72:$D$91)=0,0,'TO HOP'!$G$152*$D86/SUMSQ($D$72:$D$91)))/9.81))</f>
        <v>0</v>
      </c>
      <c r="Y110" s="51">
        <f>IF($B110="",0,IF(USE_TSPILE=1,Y183,('TO HOP'!$E$153/ncoc+IF(SUMSQ($E$72:$E$91)=0,0,'TO HOP'!$F$153*$E86/SUMSQ($E$72:$E$91))+IF(SUMSQ($D$72:$D$91)=0,0,'TO HOP'!$G$153*$D86/SUMSQ($D$72:$D$91)))/9.81))</f>
        <v>0</v>
      </c>
      <c r="Z110" s="51">
        <f>IF($B110="",0,IF(USE_TSPILE=1,Z183,('TO HOP'!$E$154/ncoc+IF(SUMSQ($E$72:$E$91)=0,0,'TO HOP'!$F$154*$E86/SUMSQ($E$72:$E$91))+IF(SUMSQ($D$72:$D$91)=0,0,'TO HOP'!$G$154*$D86/SUMSQ($D$72:$D$91)))/9.81))</f>
        <v>0</v>
      </c>
      <c r="AA110" s="51">
        <f>IF($B110="",0,IF(USE_TSPILE=1,AA183,('TO HOP'!$E$155/ncoc+IF(SUMSQ($E$72:$E$91)=0,0,'TO HOP'!$F$155*$E86/SUMSQ($E$72:$E$91))+IF(SUMSQ($D$72:$D$91)=0,0,'TO HOP'!$G$155*$D86/SUMSQ($D$72:$D$91)))/9.81))</f>
        <v>0</v>
      </c>
      <c r="AB110" s="51">
        <f>IF($B110="",0,IF(USE_TSPILE=1,AB183,('TO HOP'!$E$156/ncoc+IF(SUMSQ($E$72:$E$91)=0,0,'TO HOP'!$F$156*$E86/SUMSQ($E$72:$E$91))+IF(SUMSQ($D$72:$D$91)=0,0,'TO HOP'!$G$156*$D86/SUMSQ($D$72:$D$91)))/9.81))</f>
        <v>0</v>
      </c>
      <c r="AC110" s="51">
        <f>IF($B110="",0,IF(USE_TSPILE=1,AC183,('TO HOP'!$E$157/ncoc+IF(SUMSQ($E$72:$E$91)=0,0,'TO HOP'!$F$157*$E86/SUMSQ($E$72:$E$91))+IF(SUMSQ($D$72:$D$91)=0,0,'TO HOP'!$G$157*$D86/SUMSQ($D$72:$D$91)))/9.81))</f>
        <v>0</v>
      </c>
      <c r="AD110" s="51">
        <f>IF($B110="",0,IF(USE_TSPILE=1,AD183,('TO HOP'!$E$158/ncoc+IF(SUMSQ($E$72:$E$91)=0,0,'TO HOP'!$F$158*$E86/SUMSQ($E$72:$E$91))+IF(SUMSQ($D$72:$D$91)=0,0,'TO HOP'!$G$158*$D86/SUMSQ($D$72:$D$91)))/9.81))</f>
        <v>0</v>
      </c>
      <c r="AE110" s="51">
        <f>IF($B110="",0,IF(USE_TSPILE=1,AE183,('TO HOP'!$E$159/ncoc+IF(SUMSQ($E$72:$E$91)=0,0,'TO HOP'!$F$159*$E86/SUMSQ($E$72:$E$91))+IF(SUMSQ($D$72:$D$91)=0,0,'TO HOP'!$G$159*$D86/SUMSQ($D$72:$D$91)))/9.81))</f>
        <v>0</v>
      </c>
      <c r="AF110" s="51">
        <f>IF($B110="",0,IF(USE_TSPILE=1,AF183,('TO HOP'!$E$160/ncoc+IF(SUMSQ($E$72:$E$91)=0,0,'TO HOP'!$F$160*$E86/SUMSQ($E$72:$E$91))+IF(SUMSQ($D$72:$D$91)=0,0,'TO HOP'!$G$160*$D86/SUMSQ($D$72:$D$91)))/9.81))</f>
        <v>0</v>
      </c>
      <c r="AG110" s="51">
        <f>IF($B110="",0,IF(USE_TSPILE=1,AG183,('TO HOP'!$E$161/ncoc+IF(SUMSQ($E$72:$E$91)=0,0,'TO HOP'!$F$161*$E86/SUMSQ($E$72:$E$91))+IF(SUMSQ($D$72:$D$91)=0,0,'TO HOP'!$G$161*$D86/SUMSQ($D$72:$D$91)))/9.81))</f>
        <v>0</v>
      </c>
      <c r="AH110" s="51">
        <f>IF($B110="",0,IF(USE_TSPILE=1,AH183,('TO HOP'!$E$162/ncoc+IF(SUMSQ($E$72:$E$91)=0,0,'TO HOP'!$F$162*$E86/SUMSQ($E$72:$E$91))+IF(SUMSQ($D$72:$D$91)=0,0,'TO HOP'!$G$162*$D86/SUMSQ($D$72:$D$91)))/9.81))</f>
        <v>0</v>
      </c>
      <c r="AI110" s="51">
        <f>IF($B110="",0,IF(USE_TSPILE=1,AI183,('TO HOP'!$E$163/ncoc+IF(SUMSQ($E$72:$E$91)=0,0,'TO HOP'!$F$163*$E86/SUMSQ($E$72:$E$91))+IF(SUMSQ($D$72:$D$91)=0,0,'TO HOP'!$G$163*$D86/SUMSQ($D$72:$D$91)))/9.81))</f>
        <v>0</v>
      </c>
      <c r="AJ110" s="51">
        <f>IF($B110="",0,IF(USE_TSPILE=1,AJ183,('TO HOP'!$E$164/ncoc+IF(SUMSQ($E$72:$E$91)=0,0,'TO HOP'!$F$164*$E86/SUMSQ($E$72:$E$91))+IF(SUMSQ($D$72:$D$91)=0,0,'TO HOP'!$G$164*$D86/SUMSQ($D$72:$D$91)))/9.81))</f>
        <v>0</v>
      </c>
      <c r="AK110" s="51">
        <f>IF($B110="",0,IF(USE_TSPILE=1,AK183,('TO HOP'!$E$165/ncoc+IF(SUMSQ($E$72:$E$91)=0,0,'TO HOP'!$F$165*$E86/SUMSQ($E$72:$E$91))+IF(SUMSQ($D$72:$D$91)=0,0,'TO HOP'!$G$165*$D86/SUMSQ($D$72:$D$91)))/9.81))</f>
        <v>0</v>
      </c>
      <c r="AL110" s="51">
        <f>IF($B110="",0,IF(USE_TSPILE=1,AL183,('TO HOP'!$E$166/ncoc+IF(SUMSQ($E$72:$E$91)=0,0,'TO HOP'!$F$166*$E86/SUMSQ($E$72:$E$91))+IF(SUMSQ($D$72:$D$91)=0,0,'TO HOP'!$G$166*$D86/SUMSQ($D$72:$D$91)))/9.81))</f>
        <v>0</v>
      </c>
      <c r="AM110" s="51">
        <f>IF($B110="",0,IF(USE_TSPILE=1,AM183,('TO HOP'!$E$167/ncoc+IF(SUMSQ($E$72:$E$91)=0,0,'TO HOP'!$F$167*$E86/SUMSQ($E$72:$E$91))+IF(SUMSQ($D$72:$D$91)=0,0,'TO HOP'!$G$167*$D86/SUMSQ($D$72:$D$91)))/9.81))</f>
        <v>0</v>
      </c>
      <c r="AN110" s="51">
        <f>IF($B110="",0,IF(USE_TSPILE=1,AN183,('TO HOP'!$E$168/ncoc+IF(SUMSQ($E$72:$E$91)=0,0,'TO HOP'!$F$168*$E86/SUMSQ($E$72:$E$91))+IF(SUMSQ($D$72:$D$91)=0,0,'TO HOP'!$G$168*$D86/SUMSQ($D$72:$D$91)))/9.81))</f>
        <v>0</v>
      </c>
      <c r="AO110" s="51">
        <f>IF($B110="",0,IF(USE_TSPILE=1,AO183,('TO HOP'!$E$169/ncoc+IF(SUMSQ($E$72:$E$91)=0,0,'TO HOP'!$F$169*$E86/SUMSQ($E$72:$E$91))+IF(SUMSQ($D$72:$D$91)=0,0,'TO HOP'!$G$169*$D86/SUMSQ($D$72:$D$91)))/9.81))</f>
        <v>0</v>
      </c>
      <c r="AP110" s="51">
        <f>IF($B110="",0,IF(USE_TSPILE=1,AP183,('TO HOP'!$E$170/ncoc+IF(SUMSQ($E$72:$E$91)=0,0,'TO HOP'!$F$170*$E86/SUMSQ($E$72:$E$91))+IF(SUMSQ($D$72:$D$91)=0,0,'TO HOP'!$G$170*$D86/SUMSQ($D$72:$D$91)))/9.81))</f>
        <v>0</v>
      </c>
      <c r="AQ110" s="51">
        <f>IF($B110="",0,IF(USE_TSPILE=1,AQ183,('TO HOP'!$E$171/ncoc+IF(SUMSQ($E$72:$E$91)=0,0,'TO HOP'!$F$171*$E86/SUMSQ($E$72:$E$91))+IF(SUMSQ($D$72:$D$91)=0,0,'TO HOP'!$G$171*$D86/SUMSQ($D$72:$D$91)))/9.81))</f>
        <v>0</v>
      </c>
      <c r="AR110" s="51">
        <f>IF($B110="",0,IF(USE_TSPILE=1,AR183,('TO HOP'!$E$172/ncoc+IF(SUMSQ($E$72:$E$91)=0,0,'TO HOP'!$F$172*$E86/SUMSQ($E$72:$E$91))+IF(SUMSQ($D$72:$D$91)=0,0,'TO HOP'!$G$172*$D86/SUMSQ($D$72:$D$91)))/9.81))</f>
        <v>0</v>
      </c>
      <c r="AS110" s="51">
        <f>IF($B110="",0,IF(USE_TSPILE=1,AS183,('TO HOP'!$E$173/ncoc+IF(SUMSQ($E$72:$E$91)=0,0,'TO HOP'!$F$173*$E86/SUMSQ($E$72:$E$91))+IF(SUMSQ($D$72:$D$91)=0,0,'TO HOP'!$G$173*$D86/SUMSQ($D$72:$D$91)))/9.81))</f>
        <v>0</v>
      </c>
      <c r="AT110" s="51">
        <f>IF($B110="",0,IF(USE_TSPILE=1,AT183,('TO HOP'!$E$174/ncoc+IF(SUMSQ($E$72:$E$91)=0,0,'TO HOP'!$F$174*$E86/SUMSQ($E$72:$E$91))+IF(SUMSQ($D$72:$D$91)=0,0,'TO HOP'!$G$174*$D86/SUMSQ($D$72:$D$91)))/9.81))</f>
        <v>0</v>
      </c>
      <c r="AU110" s="51">
        <f>IF($B110="",0,IF(USE_TSPILE=1,AU183,('TO HOP'!$E$175/ncoc+IF(SUMSQ($E$72:$E$91)=0,0,'TO HOP'!$F$175*$E86/SUMSQ($E$72:$E$91))+IF(SUMSQ($D$72:$D$91)=0,0,'TO HOP'!$G$175*$D86/SUMSQ($D$72:$D$91)))/9.81))</f>
        <v>0</v>
      </c>
      <c r="AV110" s="51">
        <f>IF($B110="",0,IF(USE_TSPILE=1,AV183,('TO HOP'!$E$176/ncoc+IF(SUMSQ($E$72:$E$91)=0,0,'TO HOP'!$F$176*$E86/SUMSQ($E$72:$E$91))+IF(SUMSQ($D$72:$D$91)=0,0,'TO HOP'!$G$176*$D86/SUMSQ($D$72:$D$91)))/9.81))</f>
        <v>0</v>
      </c>
      <c r="AW110" s="51">
        <f>IF($B110="",0,IF(USE_TSPILE=1,AW183,('TO HOP'!$E$177/ncoc+IF(SUMSQ($E$72:$E$91)=0,0,'TO HOP'!$F$177*$E86/SUMSQ($E$72:$E$91))+IF(SUMSQ($D$72:$D$91)=0,0,'TO HOP'!$G$177*$D86/SUMSQ($D$72:$D$91)))/9.81))</f>
        <v>0</v>
      </c>
      <c r="AX110" s="51">
        <f>IF($B110="",0,IF(USE_TSPILE=1,AX183,('TO HOP'!$E$178/ncoc+IF(SUMSQ($E$72:$E$91)=0,0,'TO HOP'!$F$178*$E86/SUMSQ($E$72:$E$91))+IF(SUMSQ($D$72:$D$91)=0,0,'TO HOP'!$G$178*$D86/SUMSQ($D$72:$D$91)))/9.81))</f>
        <v>0</v>
      </c>
      <c r="AY110" s="51">
        <f>IF($B110="",0,IF(USE_TSPILE=1,AY183,('TO HOP'!$E$179/ncoc+IF(SUMSQ($E$72:$E$91)=0,0,'TO HOP'!$F$179*$E86/SUMSQ($E$72:$E$91))+IF(SUMSQ($D$72:$D$91)=0,0,'TO HOP'!$G$179*$D86/SUMSQ($D$72:$D$91)))/9.81))</f>
        <v>0</v>
      </c>
      <c r="AZ110" s="51">
        <f>IF($B110="",0,IF(USE_TSPILE=1,AZ183,('TO HOP'!$E$180/ncoc+IF(SUMSQ($E$72:$E$91)=0,0,'TO HOP'!$F$180*$E86/SUMSQ($E$72:$E$91))+IF(SUMSQ($D$72:$D$91)=0,0,'TO HOP'!$G$180*$D86/SUMSQ($D$72:$D$91)))/9.81))</f>
        <v>0</v>
      </c>
      <c r="BA110" s="51">
        <f>IF($B110="",0,IF(USE_TSPILE=1,BA183,('TO HOP'!$E$181/ncoc+IF(SUMSQ($E$72:$E$91)=0,0,'TO HOP'!$F$181*$E86/SUMSQ($E$72:$E$91))+IF(SUMSQ($D$72:$D$91)=0,0,'TO HOP'!$G$181*$D86/SUMSQ($D$72:$D$91)))/9.81))</f>
        <v>0</v>
      </c>
      <c r="BB110" s="51">
        <f>IF($B110="",0,IF(USE_TSPILE=1,BB183,('TO HOP'!$E$182/ncoc+IF(SUMSQ($E$72:$E$91)=0,0,'TO HOP'!$F$182*$E86/SUMSQ($E$72:$E$91))+IF(SUMSQ($D$72:$D$91)=0,0,'TO HOP'!$G$182*$D86/SUMSQ($D$72:$D$91)))/9.81))</f>
        <v>0</v>
      </c>
      <c r="BC110" s="51">
        <f>IF($B110="",0,IF(USE_TSPILE=1,BC183,('TO HOP'!$E$183/ncoc+IF(SUMSQ($E$72:$E$91)=0,0,'TO HOP'!$F$183*$E86/SUMSQ($E$72:$E$91))+IF(SUMSQ($D$72:$D$91)=0,0,'TO HOP'!$G$183*$D86/SUMSQ($D$72:$D$91)))/9.81))</f>
        <v>0</v>
      </c>
      <c r="BD110" s="51">
        <f>IF($B110="",0,IF(USE_TSPILE=1,BD183,('TO HOP'!$E$184/ncoc+IF(SUMSQ($E$72:$E$91)=0,0,'TO HOP'!$F$184*$E86/SUMSQ($E$72:$E$91))+IF(SUMSQ($D$72:$D$91)=0,0,'TO HOP'!$G$184*$D86/SUMSQ($D$72:$D$91)))/9.81))</f>
        <v>0</v>
      </c>
      <c r="BE110" s="51">
        <f>IF($B110="",0,IF(USE_TSPILE=1,BE183,('TO HOP'!$E$185/ncoc+IF(SUMSQ($E$72:$E$91)=0,0,'TO HOP'!$F$185*$E86/SUMSQ($E$72:$E$91))+IF(SUMSQ($D$72:$D$91)=0,0,'TO HOP'!$G$185*$D86/SUMSQ($D$72:$D$91)))/9.81))</f>
        <v>0</v>
      </c>
      <c r="BF110" s="51">
        <f>IF($B110="",0,IF(USE_TSPILE=1,BF183,('TO HOP'!$E$186/ncoc+IF(SUMSQ($E$72:$E$91)=0,0,'TO HOP'!$F$186*$E86/SUMSQ($E$72:$E$91))+IF(SUMSQ($D$72:$D$91)=0,0,'TO HOP'!$G$186*$D86/SUMSQ($D$72:$D$91)))/9.81))</f>
        <v>0</v>
      </c>
      <c r="BG110" s="51">
        <f>IF($B110="",0,IF(USE_TSPILE=1,BG183,('TO HOP'!$E$187/ncoc+IF(SUMSQ($E$72:$E$91)=0,0,'TO HOP'!$F$187*$E86/SUMSQ($E$72:$E$91))+IF(SUMSQ($D$72:$D$91)=0,0,'TO HOP'!$G$187*$D86/SUMSQ($D$72:$D$91)))/9.81))</f>
        <v>0</v>
      </c>
      <c r="BH110" s="51">
        <f>IF($B110="",0,IF(USE_TSPILE=1,BH183,('TO HOP'!$E$188/ncoc+IF(SUMSQ($E$72:$E$91)=0,0,'TO HOP'!$F$188*$E86/SUMSQ($E$72:$E$91))+IF(SUMSQ($D$72:$D$91)=0,0,'TO HOP'!$G$188*$D86/SUMSQ($D$72:$D$91)))/9.81))</f>
        <v>0</v>
      </c>
      <c r="BI110" s="51">
        <f>IF($B110="",0,IF(USE_TSPILE=1,BI183,('TO HOP'!$E$189/ncoc+IF(SUMSQ($E$72:$E$91)=0,0,'TO HOP'!$F$189*$E86/SUMSQ($E$72:$E$91))+IF(SUMSQ($D$72:$D$91)=0,0,'TO HOP'!$G$189*$D86/SUMSQ($D$72:$D$91)))/9.81))</f>
        <v>0</v>
      </c>
      <c r="BJ110" s="51">
        <f>IF($B110="",0,IF(USE_TSPILE=1,BJ183,('TO HOP'!$E$190/ncoc+IF(SUMSQ($E$72:$E$91)=0,0,'TO HOP'!$F$190*$E86/SUMSQ($E$72:$E$91))+IF(SUMSQ($D$72:$D$91)=0,0,'TO HOP'!$G$190*$D86/SUMSQ($D$72:$D$91)))/9.81))</f>
        <v>0</v>
      </c>
      <c r="BK110" s="51">
        <f>IF($B110="",0,IF(USE_TSPILE=1,BK183,('TO HOP'!$E$191/ncoc+IF(SUMSQ($E$72:$E$91)=0,0,'TO HOP'!$F$191*$E86/SUMSQ($E$72:$E$91))+IF(SUMSQ($D$72:$D$91)=0,0,'TO HOP'!$G$191*$D86/SUMSQ($D$72:$D$91)))/9.81))</f>
        <v>0</v>
      </c>
      <c r="BL110" s="51">
        <f>IF($B110="",0,IF(USE_TSPILE=1,BL183,('TO HOP'!$E$192/ncoc+IF(SUMSQ($E$72:$E$91)=0,0,'TO HOP'!$F$192*$E86/SUMSQ($E$72:$E$91))+IF(SUMSQ($D$72:$D$91)=0,0,'TO HOP'!$G$192*$D86/SUMSQ($D$72:$D$91)))/9.81))</f>
        <v>0</v>
      </c>
    </row>
    <row r="111" spans="2:64" x14ac:dyDescent="0.3">
      <c r="B111" s="14" t="str">
        <f>IF(16&lt;=ncoc,16,"")</f>
        <v/>
      </c>
      <c r="C111" s="51">
        <f>IF($B111="",0,IF(USE_TSPILE=1,C184,('TO HOP'!$E$131/ncoc+IF(SUMSQ($E$72:$E$91)=0,0,'TO HOP'!$F$131*$E87/SUMSQ($E$72:$E$91))+IF(SUMSQ($D$72:$D$91)=0,0,'TO HOP'!$G$131*$D87/SUMSQ($D$72:$D$91)))/9.81))</f>
        <v>0</v>
      </c>
      <c r="D111" s="51">
        <f>IF($B111="",0,IF(USE_TSPILE=1,D184,('TO HOP'!$E$132/ncoc+IF(SUMSQ($E$72:$E$91)=0,0,'TO HOP'!$F$132*$E87/SUMSQ($E$72:$E$91))+IF(SUMSQ($D$72:$D$91)=0,0,'TO HOP'!$G$132*$D87/SUMSQ($D$72:$D$91)))/9.81))</f>
        <v>0</v>
      </c>
      <c r="E111" s="51">
        <f>IF($B111="",0,IF(USE_TSPILE=1,E184,('TO HOP'!$E$133/ncoc+IF(SUMSQ($E$72:$E$91)=0,0,'TO HOP'!$F$133*$E87/SUMSQ($E$72:$E$91))+IF(SUMSQ($D$72:$D$91)=0,0,'TO HOP'!$G$133*$D87/SUMSQ($D$72:$D$91)))/9.81))</f>
        <v>0</v>
      </c>
      <c r="F111" s="51">
        <f>IF($B111="",0,IF(USE_TSPILE=1,F184,('TO HOP'!$E$134/ncoc+IF(SUMSQ($E$72:$E$91)=0,0,'TO HOP'!$F$134*$E87/SUMSQ($E$72:$E$91))+IF(SUMSQ($D$72:$D$91)=0,0,'TO HOP'!$G$134*$D87/SUMSQ($D$72:$D$91)))/9.81))</f>
        <v>0</v>
      </c>
      <c r="G111" s="51">
        <f>IF($B111="",0,IF(USE_TSPILE=1,G184,('TO HOP'!$E$135/ncoc+IF(SUMSQ($E$72:$E$91)=0,0,'TO HOP'!$F$135*$E87/SUMSQ($E$72:$E$91))+IF(SUMSQ($D$72:$D$91)=0,0,'TO HOP'!$G$135*$D87/SUMSQ($D$72:$D$91)))/9.81))</f>
        <v>0</v>
      </c>
      <c r="H111" s="51">
        <f>IF($B111="",0,IF(USE_TSPILE=1,H184,('TO HOP'!$E$136/ncoc+IF(SUMSQ($E$72:$E$91)=0,0,'TO HOP'!$F$136*$E87/SUMSQ($E$72:$E$91))+IF(SUMSQ($D$72:$D$91)=0,0,'TO HOP'!$G$136*$D87/SUMSQ($D$72:$D$91)))/9.81))</f>
        <v>0</v>
      </c>
      <c r="I111" s="51">
        <f>IF($B111="",0,IF(USE_TSPILE=1,I184,('TO HOP'!$E$137/ncoc+IF(SUMSQ($E$72:$E$91)=0,0,'TO HOP'!$F$137*$E87/SUMSQ($E$72:$E$91))+IF(SUMSQ($D$72:$D$91)=0,0,'TO HOP'!$G$137*$D87/SUMSQ($D$72:$D$91)))/9.81))</f>
        <v>0</v>
      </c>
      <c r="J111" s="51">
        <f>IF($B111="",0,IF(USE_TSPILE=1,J184,('TO HOP'!$E$138/ncoc+IF(SUMSQ($E$72:$E$91)=0,0,'TO HOP'!$F$138*$E87/SUMSQ($E$72:$E$91))+IF(SUMSQ($D$72:$D$91)=0,0,'TO HOP'!$G$138*$D87/SUMSQ($D$72:$D$91)))/9.81))</f>
        <v>0</v>
      </c>
      <c r="K111" s="51">
        <f>IF($B111="",0,IF(USE_TSPILE=1,K184,('TO HOP'!$E$139/ncoc+IF(SUMSQ($E$72:$E$91)=0,0,'TO HOP'!$F$139*$E87/SUMSQ($E$72:$E$91))+IF(SUMSQ($D$72:$D$91)=0,0,'TO HOP'!$G$139*$D87/SUMSQ($D$72:$D$91)))/9.81))</f>
        <v>0</v>
      </c>
      <c r="L111" s="51">
        <f>IF($B111="",0,IF(USE_TSPILE=1,L184,('TO HOP'!$E$140/ncoc+IF(SUMSQ($E$72:$E$91)=0,0,'TO HOP'!$F$140*$E87/SUMSQ($E$72:$E$91))+IF(SUMSQ($D$72:$D$91)=0,0,'TO HOP'!$G$140*$D87/SUMSQ($D$72:$D$91)))/9.81))</f>
        <v>0</v>
      </c>
      <c r="M111" s="51">
        <f>IF($B111="",0,IF(USE_TSPILE=1,M184,('TO HOP'!$E$141/ncoc+IF(SUMSQ($E$72:$E$91)=0,0,'TO HOP'!$F$141*$E87/SUMSQ($E$72:$E$91))+IF(SUMSQ($D$72:$D$91)=0,0,'TO HOP'!$G$141*$D87/SUMSQ($D$72:$D$91)))/9.81))</f>
        <v>0</v>
      </c>
      <c r="N111" s="51">
        <f>IF($B111="",0,IF(USE_TSPILE=1,N184,('TO HOP'!$E$142/ncoc+IF(SUMSQ($E$72:$E$91)=0,0,'TO HOP'!$F$142*$E87/SUMSQ($E$72:$E$91))+IF(SUMSQ($D$72:$D$91)=0,0,'TO HOP'!$G$142*$D87/SUMSQ($D$72:$D$91)))/9.81))</f>
        <v>0</v>
      </c>
      <c r="O111" s="51">
        <f>IF($B111="",0,IF(USE_TSPILE=1,O184,('TO HOP'!$E$143/ncoc+IF(SUMSQ($E$72:$E$91)=0,0,'TO HOP'!$F$143*$E87/SUMSQ($E$72:$E$91))+IF(SUMSQ($D$72:$D$91)=0,0,'TO HOP'!$G$143*$D87/SUMSQ($D$72:$D$91)))/9.81))</f>
        <v>0</v>
      </c>
      <c r="P111" s="51">
        <f>IF($B111="",0,IF(USE_TSPILE=1,P184,('TO HOP'!$E$144/ncoc+IF(SUMSQ($E$72:$E$91)=0,0,'TO HOP'!$F$144*$E87/SUMSQ($E$72:$E$91))+IF(SUMSQ($D$72:$D$91)=0,0,'TO HOP'!$G$144*$D87/SUMSQ($D$72:$D$91)))/9.81))</f>
        <v>0</v>
      </c>
      <c r="Q111" s="51">
        <f>IF($B111="",0,IF(USE_TSPILE=1,Q184,('TO HOP'!$E$145/ncoc+IF(SUMSQ($E$72:$E$91)=0,0,'TO HOP'!$F$145*$E87/SUMSQ($E$72:$E$91))+IF(SUMSQ($D$72:$D$91)=0,0,'TO HOP'!$G$145*$D87/SUMSQ($D$72:$D$91)))/9.81))</f>
        <v>0</v>
      </c>
      <c r="R111" s="51">
        <f>IF($B111="",0,IF(USE_TSPILE=1,R184,('TO HOP'!$E$146/ncoc+IF(SUMSQ($E$72:$E$91)=0,0,'TO HOP'!$F$146*$E87/SUMSQ($E$72:$E$91))+IF(SUMSQ($D$72:$D$91)=0,0,'TO HOP'!$G$146*$D87/SUMSQ($D$72:$D$91)))/9.81))</f>
        <v>0</v>
      </c>
      <c r="S111" s="51">
        <f>IF($B111="",0,IF(USE_TSPILE=1,S184,('TO HOP'!$E$147/ncoc+IF(SUMSQ($E$72:$E$91)=0,0,'TO HOP'!$F$147*$E87/SUMSQ($E$72:$E$91))+IF(SUMSQ($D$72:$D$91)=0,0,'TO HOP'!$G$147*$D87/SUMSQ($D$72:$D$91)))/9.81))</f>
        <v>0</v>
      </c>
      <c r="T111" s="51">
        <f>IF($B111="",0,IF(USE_TSPILE=1,T184,('TO HOP'!$E$148/ncoc+IF(SUMSQ($E$72:$E$91)=0,0,'TO HOP'!$F$148*$E87/SUMSQ($E$72:$E$91))+IF(SUMSQ($D$72:$D$91)=0,0,'TO HOP'!$G$148*$D87/SUMSQ($D$72:$D$91)))/9.81))</f>
        <v>0</v>
      </c>
      <c r="U111" s="51">
        <f>IF($B111="",0,IF(USE_TSPILE=1,U184,('TO HOP'!$E$149/ncoc+IF(SUMSQ($E$72:$E$91)=0,0,'TO HOP'!$F$149*$E87/SUMSQ($E$72:$E$91))+IF(SUMSQ($D$72:$D$91)=0,0,'TO HOP'!$G$149*$D87/SUMSQ($D$72:$D$91)))/9.81))</f>
        <v>0</v>
      </c>
      <c r="V111" s="51">
        <f>IF($B111="",0,IF(USE_TSPILE=1,V184,('TO HOP'!$E$150/ncoc+IF(SUMSQ($E$72:$E$91)=0,0,'TO HOP'!$F$150*$E87/SUMSQ($E$72:$E$91))+IF(SUMSQ($D$72:$D$91)=0,0,'TO HOP'!$G$150*$D87/SUMSQ($D$72:$D$91)))/9.81))</f>
        <v>0</v>
      </c>
      <c r="W111" s="51">
        <f>IF($B111="",0,IF(USE_TSPILE=1,W184,('TO HOP'!$E$151/ncoc+IF(SUMSQ($E$72:$E$91)=0,0,'TO HOP'!$F$151*$E87/SUMSQ($E$72:$E$91))+IF(SUMSQ($D$72:$D$91)=0,0,'TO HOP'!$G$151*$D87/SUMSQ($D$72:$D$91)))/9.81))</f>
        <v>0</v>
      </c>
      <c r="X111" s="51">
        <f>IF($B111="",0,IF(USE_TSPILE=1,X184,('TO HOP'!$E$152/ncoc+IF(SUMSQ($E$72:$E$91)=0,0,'TO HOP'!$F$152*$E87/SUMSQ($E$72:$E$91))+IF(SUMSQ($D$72:$D$91)=0,0,'TO HOP'!$G$152*$D87/SUMSQ($D$72:$D$91)))/9.81))</f>
        <v>0</v>
      </c>
      <c r="Y111" s="51">
        <f>IF($B111="",0,IF(USE_TSPILE=1,Y184,('TO HOP'!$E$153/ncoc+IF(SUMSQ($E$72:$E$91)=0,0,'TO HOP'!$F$153*$E87/SUMSQ($E$72:$E$91))+IF(SUMSQ($D$72:$D$91)=0,0,'TO HOP'!$G$153*$D87/SUMSQ($D$72:$D$91)))/9.81))</f>
        <v>0</v>
      </c>
      <c r="Z111" s="51">
        <f>IF($B111="",0,IF(USE_TSPILE=1,Z184,('TO HOP'!$E$154/ncoc+IF(SUMSQ($E$72:$E$91)=0,0,'TO HOP'!$F$154*$E87/SUMSQ($E$72:$E$91))+IF(SUMSQ($D$72:$D$91)=0,0,'TO HOP'!$G$154*$D87/SUMSQ($D$72:$D$91)))/9.81))</f>
        <v>0</v>
      </c>
      <c r="AA111" s="51">
        <f>IF($B111="",0,IF(USE_TSPILE=1,AA184,('TO HOP'!$E$155/ncoc+IF(SUMSQ($E$72:$E$91)=0,0,'TO HOP'!$F$155*$E87/SUMSQ($E$72:$E$91))+IF(SUMSQ($D$72:$D$91)=0,0,'TO HOP'!$G$155*$D87/SUMSQ($D$72:$D$91)))/9.81))</f>
        <v>0</v>
      </c>
      <c r="AB111" s="51">
        <f>IF($B111="",0,IF(USE_TSPILE=1,AB184,('TO HOP'!$E$156/ncoc+IF(SUMSQ($E$72:$E$91)=0,0,'TO HOP'!$F$156*$E87/SUMSQ($E$72:$E$91))+IF(SUMSQ($D$72:$D$91)=0,0,'TO HOP'!$G$156*$D87/SUMSQ($D$72:$D$91)))/9.81))</f>
        <v>0</v>
      </c>
      <c r="AC111" s="51">
        <f>IF($B111="",0,IF(USE_TSPILE=1,AC184,('TO HOP'!$E$157/ncoc+IF(SUMSQ($E$72:$E$91)=0,0,'TO HOP'!$F$157*$E87/SUMSQ($E$72:$E$91))+IF(SUMSQ($D$72:$D$91)=0,0,'TO HOP'!$G$157*$D87/SUMSQ($D$72:$D$91)))/9.81))</f>
        <v>0</v>
      </c>
      <c r="AD111" s="51">
        <f>IF($B111="",0,IF(USE_TSPILE=1,AD184,('TO HOP'!$E$158/ncoc+IF(SUMSQ($E$72:$E$91)=0,0,'TO HOP'!$F$158*$E87/SUMSQ($E$72:$E$91))+IF(SUMSQ($D$72:$D$91)=0,0,'TO HOP'!$G$158*$D87/SUMSQ($D$72:$D$91)))/9.81))</f>
        <v>0</v>
      </c>
      <c r="AE111" s="51">
        <f>IF($B111="",0,IF(USE_TSPILE=1,AE184,('TO HOP'!$E$159/ncoc+IF(SUMSQ($E$72:$E$91)=0,0,'TO HOP'!$F$159*$E87/SUMSQ($E$72:$E$91))+IF(SUMSQ($D$72:$D$91)=0,0,'TO HOP'!$G$159*$D87/SUMSQ($D$72:$D$91)))/9.81))</f>
        <v>0</v>
      </c>
      <c r="AF111" s="51">
        <f>IF($B111="",0,IF(USE_TSPILE=1,AF184,('TO HOP'!$E$160/ncoc+IF(SUMSQ($E$72:$E$91)=0,0,'TO HOP'!$F$160*$E87/SUMSQ($E$72:$E$91))+IF(SUMSQ($D$72:$D$91)=0,0,'TO HOP'!$G$160*$D87/SUMSQ($D$72:$D$91)))/9.81))</f>
        <v>0</v>
      </c>
      <c r="AG111" s="51">
        <f>IF($B111="",0,IF(USE_TSPILE=1,AG184,('TO HOP'!$E$161/ncoc+IF(SUMSQ($E$72:$E$91)=0,0,'TO HOP'!$F$161*$E87/SUMSQ($E$72:$E$91))+IF(SUMSQ($D$72:$D$91)=0,0,'TO HOP'!$G$161*$D87/SUMSQ($D$72:$D$91)))/9.81))</f>
        <v>0</v>
      </c>
      <c r="AH111" s="51">
        <f>IF($B111="",0,IF(USE_TSPILE=1,AH184,('TO HOP'!$E$162/ncoc+IF(SUMSQ($E$72:$E$91)=0,0,'TO HOP'!$F$162*$E87/SUMSQ($E$72:$E$91))+IF(SUMSQ($D$72:$D$91)=0,0,'TO HOP'!$G$162*$D87/SUMSQ($D$72:$D$91)))/9.81))</f>
        <v>0</v>
      </c>
      <c r="AI111" s="51">
        <f>IF($B111="",0,IF(USE_TSPILE=1,AI184,('TO HOP'!$E$163/ncoc+IF(SUMSQ($E$72:$E$91)=0,0,'TO HOP'!$F$163*$E87/SUMSQ($E$72:$E$91))+IF(SUMSQ($D$72:$D$91)=0,0,'TO HOP'!$G$163*$D87/SUMSQ($D$72:$D$91)))/9.81))</f>
        <v>0</v>
      </c>
      <c r="AJ111" s="51">
        <f>IF($B111="",0,IF(USE_TSPILE=1,AJ184,('TO HOP'!$E$164/ncoc+IF(SUMSQ($E$72:$E$91)=0,0,'TO HOP'!$F$164*$E87/SUMSQ($E$72:$E$91))+IF(SUMSQ($D$72:$D$91)=0,0,'TO HOP'!$G$164*$D87/SUMSQ($D$72:$D$91)))/9.81))</f>
        <v>0</v>
      </c>
      <c r="AK111" s="51">
        <f>IF($B111="",0,IF(USE_TSPILE=1,AK184,('TO HOP'!$E$165/ncoc+IF(SUMSQ($E$72:$E$91)=0,0,'TO HOP'!$F$165*$E87/SUMSQ($E$72:$E$91))+IF(SUMSQ($D$72:$D$91)=0,0,'TO HOP'!$G$165*$D87/SUMSQ($D$72:$D$91)))/9.81))</f>
        <v>0</v>
      </c>
      <c r="AL111" s="51">
        <f>IF($B111="",0,IF(USE_TSPILE=1,AL184,('TO HOP'!$E$166/ncoc+IF(SUMSQ($E$72:$E$91)=0,0,'TO HOP'!$F$166*$E87/SUMSQ($E$72:$E$91))+IF(SUMSQ($D$72:$D$91)=0,0,'TO HOP'!$G$166*$D87/SUMSQ($D$72:$D$91)))/9.81))</f>
        <v>0</v>
      </c>
      <c r="AM111" s="51">
        <f>IF($B111="",0,IF(USE_TSPILE=1,AM184,('TO HOP'!$E$167/ncoc+IF(SUMSQ($E$72:$E$91)=0,0,'TO HOP'!$F$167*$E87/SUMSQ($E$72:$E$91))+IF(SUMSQ($D$72:$D$91)=0,0,'TO HOP'!$G$167*$D87/SUMSQ($D$72:$D$91)))/9.81))</f>
        <v>0</v>
      </c>
      <c r="AN111" s="51">
        <f>IF($B111="",0,IF(USE_TSPILE=1,AN184,('TO HOP'!$E$168/ncoc+IF(SUMSQ($E$72:$E$91)=0,0,'TO HOP'!$F$168*$E87/SUMSQ($E$72:$E$91))+IF(SUMSQ($D$72:$D$91)=0,0,'TO HOP'!$G$168*$D87/SUMSQ($D$72:$D$91)))/9.81))</f>
        <v>0</v>
      </c>
      <c r="AO111" s="51">
        <f>IF($B111="",0,IF(USE_TSPILE=1,AO184,('TO HOP'!$E$169/ncoc+IF(SUMSQ($E$72:$E$91)=0,0,'TO HOP'!$F$169*$E87/SUMSQ($E$72:$E$91))+IF(SUMSQ($D$72:$D$91)=0,0,'TO HOP'!$G$169*$D87/SUMSQ($D$72:$D$91)))/9.81))</f>
        <v>0</v>
      </c>
      <c r="AP111" s="51">
        <f>IF($B111="",0,IF(USE_TSPILE=1,AP184,('TO HOP'!$E$170/ncoc+IF(SUMSQ($E$72:$E$91)=0,0,'TO HOP'!$F$170*$E87/SUMSQ($E$72:$E$91))+IF(SUMSQ($D$72:$D$91)=0,0,'TO HOP'!$G$170*$D87/SUMSQ($D$72:$D$91)))/9.81))</f>
        <v>0</v>
      </c>
      <c r="AQ111" s="51">
        <f>IF($B111="",0,IF(USE_TSPILE=1,AQ184,('TO HOP'!$E$171/ncoc+IF(SUMSQ($E$72:$E$91)=0,0,'TO HOP'!$F$171*$E87/SUMSQ($E$72:$E$91))+IF(SUMSQ($D$72:$D$91)=0,0,'TO HOP'!$G$171*$D87/SUMSQ($D$72:$D$91)))/9.81))</f>
        <v>0</v>
      </c>
      <c r="AR111" s="51">
        <f>IF($B111="",0,IF(USE_TSPILE=1,AR184,('TO HOP'!$E$172/ncoc+IF(SUMSQ($E$72:$E$91)=0,0,'TO HOP'!$F$172*$E87/SUMSQ($E$72:$E$91))+IF(SUMSQ($D$72:$D$91)=0,0,'TO HOP'!$G$172*$D87/SUMSQ($D$72:$D$91)))/9.81))</f>
        <v>0</v>
      </c>
      <c r="AS111" s="51">
        <f>IF($B111="",0,IF(USE_TSPILE=1,AS184,('TO HOP'!$E$173/ncoc+IF(SUMSQ($E$72:$E$91)=0,0,'TO HOP'!$F$173*$E87/SUMSQ($E$72:$E$91))+IF(SUMSQ($D$72:$D$91)=0,0,'TO HOP'!$G$173*$D87/SUMSQ($D$72:$D$91)))/9.81))</f>
        <v>0</v>
      </c>
      <c r="AT111" s="51">
        <f>IF($B111="",0,IF(USE_TSPILE=1,AT184,('TO HOP'!$E$174/ncoc+IF(SUMSQ($E$72:$E$91)=0,0,'TO HOP'!$F$174*$E87/SUMSQ($E$72:$E$91))+IF(SUMSQ($D$72:$D$91)=0,0,'TO HOP'!$G$174*$D87/SUMSQ($D$72:$D$91)))/9.81))</f>
        <v>0</v>
      </c>
      <c r="AU111" s="51">
        <f>IF($B111="",0,IF(USE_TSPILE=1,AU184,('TO HOP'!$E$175/ncoc+IF(SUMSQ($E$72:$E$91)=0,0,'TO HOP'!$F$175*$E87/SUMSQ($E$72:$E$91))+IF(SUMSQ($D$72:$D$91)=0,0,'TO HOP'!$G$175*$D87/SUMSQ($D$72:$D$91)))/9.81))</f>
        <v>0</v>
      </c>
      <c r="AV111" s="51">
        <f>IF($B111="",0,IF(USE_TSPILE=1,AV184,('TO HOP'!$E$176/ncoc+IF(SUMSQ($E$72:$E$91)=0,0,'TO HOP'!$F$176*$E87/SUMSQ($E$72:$E$91))+IF(SUMSQ($D$72:$D$91)=0,0,'TO HOP'!$G$176*$D87/SUMSQ($D$72:$D$91)))/9.81))</f>
        <v>0</v>
      </c>
      <c r="AW111" s="51">
        <f>IF($B111="",0,IF(USE_TSPILE=1,AW184,('TO HOP'!$E$177/ncoc+IF(SUMSQ($E$72:$E$91)=0,0,'TO HOP'!$F$177*$E87/SUMSQ($E$72:$E$91))+IF(SUMSQ($D$72:$D$91)=0,0,'TO HOP'!$G$177*$D87/SUMSQ($D$72:$D$91)))/9.81))</f>
        <v>0</v>
      </c>
      <c r="AX111" s="51">
        <f>IF($B111="",0,IF(USE_TSPILE=1,AX184,('TO HOP'!$E$178/ncoc+IF(SUMSQ($E$72:$E$91)=0,0,'TO HOP'!$F$178*$E87/SUMSQ($E$72:$E$91))+IF(SUMSQ($D$72:$D$91)=0,0,'TO HOP'!$G$178*$D87/SUMSQ($D$72:$D$91)))/9.81))</f>
        <v>0</v>
      </c>
      <c r="AY111" s="51">
        <f>IF($B111="",0,IF(USE_TSPILE=1,AY184,('TO HOP'!$E$179/ncoc+IF(SUMSQ($E$72:$E$91)=0,0,'TO HOP'!$F$179*$E87/SUMSQ($E$72:$E$91))+IF(SUMSQ($D$72:$D$91)=0,0,'TO HOP'!$G$179*$D87/SUMSQ($D$72:$D$91)))/9.81))</f>
        <v>0</v>
      </c>
      <c r="AZ111" s="51">
        <f>IF($B111="",0,IF(USE_TSPILE=1,AZ184,('TO HOP'!$E$180/ncoc+IF(SUMSQ($E$72:$E$91)=0,0,'TO HOP'!$F$180*$E87/SUMSQ($E$72:$E$91))+IF(SUMSQ($D$72:$D$91)=0,0,'TO HOP'!$G$180*$D87/SUMSQ($D$72:$D$91)))/9.81))</f>
        <v>0</v>
      </c>
      <c r="BA111" s="51">
        <f>IF($B111="",0,IF(USE_TSPILE=1,BA184,('TO HOP'!$E$181/ncoc+IF(SUMSQ($E$72:$E$91)=0,0,'TO HOP'!$F$181*$E87/SUMSQ($E$72:$E$91))+IF(SUMSQ($D$72:$D$91)=0,0,'TO HOP'!$G$181*$D87/SUMSQ($D$72:$D$91)))/9.81))</f>
        <v>0</v>
      </c>
      <c r="BB111" s="51">
        <f>IF($B111="",0,IF(USE_TSPILE=1,BB184,('TO HOP'!$E$182/ncoc+IF(SUMSQ($E$72:$E$91)=0,0,'TO HOP'!$F$182*$E87/SUMSQ($E$72:$E$91))+IF(SUMSQ($D$72:$D$91)=0,0,'TO HOP'!$G$182*$D87/SUMSQ($D$72:$D$91)))/9.81))</f>
        <v>0</v>
      </c>
      <c r="BC111" s="51">
        <f>IF($B111="",0,IF(USE_TSPILE=1,BC184,('TO HOP'!$E$183/ncoc+IF(SUMSQ($E$72:$E$91)=0,0,'TO HOP'!$F$183*$E87/SUMSQ($E$72:$E$91))+IF(SUMSQ($D$72:$D$91)=0,0,'TO HOP'!$G$183*$D87/SUMSQ($D$72:$D$91)))/9.81))</f>
        <v>0</v>
      </c>
      <c r="BD111" s="51">
        <f>IF($B111="",0,IF(USE_TSPILE=1,BD184,('TO HOP'!$E$184/ncoc+IF(SUMSQ($E$72:$E$91)=0,0,'TO HOP'!$F$184*$E87/SUMSQ($E$72:$E$91))+IF(SUMSQ($D$72:$D$91)=0,0,'TO HOP'!$G$184*$D87/SUMSQ($D$72:$D$91)))/9.81))</f>
        <v>0</v>
      </c>
      <c r="BE111" s="51">
        <f>IF($B111="",0,IF(USE_TSPILE=1,BE184,('TO HOP'!$E$185/ncoc+IF(SUMSQ($E$72:$E$91)=0,0,'TO HOP'!$F$185*$E87/SUMSQ($E$72:$E$91))+IF(SUMSQ($D$72:$D$91)=0,0,'TO HOP'!$G$185*$D87/SUMSQ($D$72:$D$91)))/9.81))</f>
        <v>0</v>
      </c>
      <c r="BF111" s="51">
        <f>IF($B111="",0,IF(USE_TSPILE=1,BF184,('TO HOP'!$E$186/ncoc+IF(SUMSQ($E$72:$E$91)=0,0,'TO HOP'!$F$186*$E87/SUMSQ($E$72:$E$91))+IF(SUMSQ($D$72:$D$91)=0,0,'TO HOP'!$G$186*$D87/SUMSQ($D$72:$D$91)))/9.81))</f>
        <v>0</v>
      </c>
      <c r="BG111" s="51">
        <f>IF($B111="",0,IF(USE_TSPILE=1,BG184,('TO HOP'!$E$187/ncoc+IF(SUMSQ($E$72:$E$91)=0,0,'TO HOP'!$F$187*$E87/SUMSQ($E$72:$E$91))+IF(SUMSQ($D$72:$D$91)=0,0,'TO HOP'!$G$187*$D87/SUMSQ($D$72:$D$91)))/9.81))</f>
        <v>0</v>
      </c>
      <c r="BH111" s="51">
        <f>IF($B111="",0,IF(USE_TSPILE=1,BH184,('TO HOP'!$E$188/ncoc+IF(SUMSQ($E$72:$E$91)=0,0,'TO HOP'!$F$188*$E87/SUMSQ($E$72:$E$91))+IF(SUMSQ($D$72:$D$91)=0,0,'TO HOP'!$G$188*$D87/SUMSQ($D$72:$D$91)))/9.81))</f>
        <v>0</v>
      </c>
      <c r="BI111" s="51">
        <f>IF($B111="",0,IF(USE_TSPILE=1,BI184,('TO HOP'!$E$189/ncoc+IF(SUMSQ($E$72:$E$91)=0,0,'TO HOP'!$F$189*$E87/SUMSQ($E$72:$E$91))+IF(SUMSQ($D$72:$D$91)=0,0,'TO HOP'!$G$189*$D87/SUMSQ($D$72:$D$91)))/9.81))</f>
        <v>0</v>
      </c>
      <c r="BJ111" s="51">
        <f>IF($B111="",0,IF(USE_TSPILE=1,BJ184,('TO HOP'!$E$190/ncoc+IF(SUMSQ($E$72:$E$91)=0,0,'TO HOP'!$F$190*$E87/SUMSQ($E$72:$E$91))+IF(SUMSQ($D$72:$D$91)=0,0,'TO HOP'!$G$190*$D87/SUMSQ($D$72:$D$91)))/9.81))</f>
        <v>0</v>
      </c>
      <c r="BK111" s="51">
        <f>IF($B111="",0,IF(USE_TSPILE=1,BK184,('TO HOP'!$E$191/ncoc+IF(SUMSQ($E$72:$E$91)=0,0,'TO HOP'!$F$191*$E87/SUMSQ($E$72:$E$91))+IF(SUMSQ($D$72:$D$91)=0,0,'TO HOP'!$G$191*$D87/SUMSQ($D$72:$D$91)))/9.81))</f>
        <v>0</v>
      </c>
      <c r="BL111" s="51">
        <f>IF($B111="",0,IF(USE_TSPILE=1,BL184,('TO HOP'!$E$192/ncoc+IF(SUMSQ($E$72:$E$91)=0,0,'TO HOP'!$F$192*$E87/SUMSQ($E$72:$E$91))+IF(SUMSQ($D$72:$D$91)=0,0,'TO HOP'!$G$192*$D87/SUMSQ($D$72:$D$91)))/9.81))</f>
        <v>0</v>
      </c>
    </row>
    <row r="112" spans="2:64" x14ac:dyDescent="0.3">
      <c r="B112" s="14" t="str">
        <f>IF(17&lt;=ncoc,17,"")</f>
        <v/>
      </c>
      <c r="C112" s="51">
        <f>IF($B112="",0,IF(USE_TSPILE=1,C185,('TO HOP'!$E$131/ncoc+IF(SUMSQ($E$72:$E$91)=0,0,'TO HOP'!$F$131*$E88/SUMSQ($E$72:$E$91))+IF(SUMSQ($D$72:$D$91)=0,0,'TO HOP'!$G$131*$D88/SUMSQ($D$72:$D$91)))/9.81))</f>
        <v>0</v>
      </c>
      <c r="D112" s="51">
        <f>IF($B112="",0,IF(USE_TSPILE=1,D185,('TO HOP'!$E$132/ncoc+IF(SUMSQ($E$72:$E$91)=0,0,'TO HOP'!$F$132*$E88/SUMSQ($E$72:$E$91))+IF(SUMSQ($D$72:$D$91)=0,0,'TO HOP'!$G$132*$D88/SUMSQ($D$72:$D$91)))/9.81))</f>
        <v>0</v>
      </c>
      <c r="E112" s="51">
        <f>IF($B112="",0,IF(USE_TSPILE=1,E185,('TO HOP'!$E$133/ncoc+IF(SUMSQ($E$72:$E$91)=0,0,'TO HOP'!$F$133*$E88/SUMSQ($E$72:$E$91))+IF(SUMSQ($D$72:$D$91)=0,0,'TO HOP'!$G$133*$D88/SUMSQ($D$72:$D$91)))/9.81))</f>
        <v>0</v>
      </c>
      <c r="F112" s="51">
        <f>IF($B112="",0,IF(USE_TSPILE=1,F185,('TO HOP'!$E$134/ncoc+IF(SUMSQ($E$72:$E$91)=0,0,'TO HOP'!$F$134*$E88/SUMSQ($E$72:$E$91))+IF(SUMSQ($D$72:$D$91)=0,0,'TO HOP'!$G$134*$D88/SUMSQ($D$72:$D$91)))/9.81))</f>
        <v>0</v>
      </c>
      <c r="G112" s="51">
        <f>IF($B112="",0,IF(USE_TSPILE=1,G185,('TO HOP'!$E$135/ncoc+IF(SUMSQ($E$72:$E$91)=0,0,'TO HOP'!$F$135*$E88/SUMSQ($E$72:$E$91))+IF(SUMSQ($D$72:$D$91)=0,0,'TO HOP'!$G$135*$D88/SUMSQ($D$72:$D$91)))/9.81))</f>
        <v>0</v>
      </c>
      <c r="H112" s="51">
        <f>IF($B112="",0,IF(USE_TSPILE=1,H185,('TO HOP'!$E$136/ncoc+IF(SUMSQ($E$72:$E$91)=0,0,'TO HOP'!$F$136*$E88/SUMSQ($E$72:$E$91))+IF(SUMSQ($D$72:$D$91)=0,0,'TO HOP'!$G$136*$D88/SUMSQ($D$72:$D$91)))/9.81))</f>
        <v>0</v>
      </c>
      <c r="I112" s="51">
        <f>IF($B112="",0,IF(USE_TSPILE=1,I185,('TO HOP'!$E$137/ncoc+IF(SUMSQ($E$72:$E$91)=0,0,'TO HOP'!$F$137*$E88/SUMSQ($E$72:$E$91))+IF(SUMSQ($D$72:$D$91)=0,0,'TO HOP'!$G$137*$D88/SUMSQ($D$72:$D$91)))/9.81))</f>
        <v>0</v>
      </c>
      <c r="J112" s="51">
        <f>IF($B112="",0,IF(USE_TSPILE=1,J185,('TO HOP'!$E$138/ncoc+IF(SUMSQ($E$72:$E$91)=0,0,'TO HOP'!$F$138*$E88/SUMSQ($E$72:$E$91))+IF(SUMSQ($D$72:$D$91)=0,0,'TO HOP'!$G$138*$D88/SUMSQ($D$72:$D$91)))/9.81))</f>
        <v>0</v>
      </c>
      <c r="K112" s="51">
        <f>IF($B112="",0,IF(USE_TSPILE=1,K185,('TO HOP'!$E$139/ncoc+IF(SUMSQ($E$72:$E$91)=0,0,'TO HOP'!$F$139*$E88/SUMSQ($E$72:$E$91))+IF(SUMSQ($D$72:$D$91)=0,0,'TO HOP'!$G$139*$D88/SUMSQ($D$72:$D$91)))/9.81))</f>
        <v>0</v>
      </c>
      <c r="L112" s="51">
        <f>IF($B112="",0,IF(USE_TSPILE=1,L185,('TO HOP'!$E$140/ncoc+IF(SUMSQ($E$72:$E$91)=0,0,'TO HOP'!$F$140*$E88/SUMSQ($E$72:$E$91))+IF(SUMSQ($D$72:$D$91)=0,0,'TO HOP'!$G$140*$D88/SUMSQ($D$72:$D$91)))/9.81))</f>
        <v>0</v>
      </c>
      <c r="M112" s="51">
        <f>IF($B112="",0,IF(USE_TSPILE=1,M185,('TO HOP'!$E$141/ncoc+IF(SUMSQ($E$72:$E$91)=0,0,'TO HOP'!$F$141*$E88/SUMSQ($E$72:$E$91))+IF(SUMSQ($D$72:$D$91)=0,0,'TO HOP'!$G$141*$D88/SUMSQ($D$72:$D$91)))/9.81))</f>
        <v>0</v>
      </c>
      <c r="N112" s="51">
        <f>IF($B112="",0,IF(USE_TSPILE=1,N185,('TO HOP'!$E$142/ncoc+IF(SUMSQ($E$72:$E$91)=0,0,'TO HOP'!$F$142*$E88/SUMSQ($E$72:$E$91))+IF(SUMSQ($D$72:$D$91)=0,0,'TO HOP'!$G$142*$D88/SUMSQ($D$72:$D$91)))/9.81))</f>
        <v>0</v>
      </c>
      <c r="O112" s="51">
        <f>IF($B112="",0,IF(USE_TSPILE=1,O185,('TO HOP'!$E$143/ncoc+IF(SUMSQ($E$72:$E$91)=0,0,'TO HOP'!$F$143*$E88/SUMSQ($E$72:$E$91))+IF(SUMSQ($D$72:$D$91)=0,0,'TO HOP'!$G$143*$D88/SUMSQ($D$72:$D$91)))/9.81))</f>
        <v>0</v>
      </c>
      <c r="P112" s="51">
        <f>IF($B112="",0,IF(USE_TSPILE=1,P185,('TO HOP'!$E$144/ncoc+IF(SUMSQ($E$72:$E$91)=0,0,'TO HOP'!$F$144*$E88/SUMSQ($E$72:$E$91))+IF(SUMSQ($D$72:$D$91)=0,0,'TO HOP'!$G$144*$D88/SUMSQ($D$72:$D$91)))/9.81))</f>
        <v>0</v>
      </c>
      <c r="Q112" s="51">
        <f>IF($B112="",0,IF(USE_TSPILE=1,Q185,('TO HOP'!$E$145/ncoc+IF(SUMSQ($E$72:$E$91)=0,0,'TO HOP'!$F$145*$E88/SUMSQ($E$72:$E$91))+IF(SUMSQ($D$72:$D$91)=0,0,'TO HOP'!$G$145*$D88/SUMSQ($D$72:$D$91)))/9.81))</f>
        <v>0</v>
      </c>
      <c r="R112" s="51">
        <f>IF($B112="",0,IF(USE_TSPILE=1,R185,('TO HOP'!$E$146/ncoc+IF(SUMSQ($E$72:$E$91)=0,0,'TO HOP'!$F$146*$E88/SUMSQ($E$72:$E$91))+IF(SUMSQ($D$72:$D$91)=0,0,'TO HOP'!$G$146*$D88/SUMSQ($D$72:$D$91)))/9.81))</f>
        <v>0</v>
      </c>
      <c r="S112" s="51">
        <f>IF($B112="",0,IF(USE_TSPILE=1,S185,('TO HOP'!$E$147/ncoc+IF(SUMSQ($E$72:$E$91)=0,0,'TO HOP'!$F$147*$E88/SUMSQ($E$72:$E$91))+IF(SUMSQ($D$72:$D$91)=0,0,'TO HOP'!$G$147*$D88/SUMSQ($D$72:$D$91)))/9.81))</f>
        <v>0</v>
      </c>
      <c r="T112" s="51">
        <f>IF($B112="",0,IF(USE_TSPILE=1,T185,('TO HOP'!$E$148/ncoc+IF(SUMSQ($E$72:$E$91)=0,0,'TO HOP'!$F$148*$E88/SUMSQ($E$72:$E$91))+IF(SUMSQ($D$72:$D$91)=0,0,'TO HOP'!$G$148*$D88/SUMSQ($D$72:$D$91)))/9.81))</f>
        <v>0</v>
      </c>
      <c r="U112" s="51">
        <f>IF($B112="",0,IF(USE_TSPILE=1,U185,('TO HOP'!$E$149/ncoc+IF(SUMSQ($E$72:$E$91)=0,0,'TO HOP'!$F$149*$E88/SUMSQ($E$72:$E$91))+IF(SUMSQ($D$72:$D$91)=0,0,'TO HOP'!$G$149*$D88/SUMSQ($D$72:$D$91)))/9.81))</f>
        <v>0</v>
      </c>
      <c r="V112" s="51">
        <f>IF($B112="",0,IF(USE_TSPILE=1,V185,('TO HOP'!$E$150/ncoc+IF(SUMSQ($E$72:$E$91)=0,0,'TO HOP'!$F$150*$E88/SUMSQ($E$72:$E$91))+IF(SUMSQ($D$72:$D$91)=0,0,'TO HOP'!$G$150*$D88/SUMSQ($D$72:$D$91)))/9.81))</f>
        <v>0</v>
      </c>
      <c r="W112" s="51">
        <f>IF($B112="",0,IF(USE_TSPILE=1,W185,('TO HOP'!$E$151/ncoc+IF(SUMSQ($E$72:$E$91)=0,0,'TO HOP'!$F$151*$E88/SUMSQ($E$72:$E$91))+IF(SUMSQ($D$72:$D$91)=0,0,'TO HOP'!$G$151*$D88/SUMSQ($D$72:$D$91)))/9.81))</f>
        <v>0</v>
      </c>
      <c r="X112" s="51">
        <f>IF($B112="",0,IF(USE_TSPILE=1,X185,('TO HOP'!$E$152/ncoc+IF(SUMSQ($E$72:$E$91)=0,0,'TO HOP'!$F$152*$E88/SUMSQ($E$72:$E$91))+IF(SUMSQ($D$72:$D$91)=0,0,'TO HOP'!$G$152*$D88/SUMSQ($D$72:$D$91)))/9.81))</f>
        <v>0</v>
      </c>
      <c r="Y112" s="51">
        <f>IF($B112="",0,IF(USE_TSPILE=1,Y185,('TO HOP'!$E$153/ncoc+IF(SUMSQ($E$72:$E$91)=0,0,'TO HOP'!$F$153*$E88/SUMSQ($E$72:$E$91))+IF(SUMSQ($D$72:$D$91)=0,0,'TO HOP'!$G$153*$D88/SUMSQ($D$72:$D$91)))/9.81))</f>
        <v>0</v>
      </c>
      <c r="Z112" s="51">
        <f>IF($B112="",0,IF(USE_TSPILE=1,Z185,('TO HOP'!$E$154/ncoc+IF(SUMSQ($E$72:$E$91)=0,0,'TO HOP'!$F$154*$E88/SUMSQ($E$72:$E$91))+IF(SUMSQ($D$72:$D$91)=0,0,'TO HOP'!$G$154*$D88/SUMSQ($D$72:$D$91)))/9.81))</f>
        <v>0</v>
      </c>
      <c r="AA112" s="51">
        <f>IF($B112="",0,IF(USE_TSPILE=1,AA185,('TO HOP'!$E$155/ncoc+IF(SUMSQ($E$72:$E$91)=0,0,'TO HOP'!$F$155*$E88/SUMSQ($E$72:$E$91))+IF(SUMSQ($D$72:$D$91)=0,0,'TO HOP'!$G$155*$D88/SUMSQ($D$72:$D$91)))/9.81))</f>
        <v>0</v>
      </c>
      <c r="AB112" s="51">
        <f>IF($B112="",0,IF(USE_TSPILE=1,AB185,('TO HOP'!$E$156/ncoc+IF(SUMSQ($E$72:$E$91)=0,0,'TO HOP'!$F$156*$E88/SUMSQ($E$72:$E$91))+IF(SUMSQ($D$72:$D$91)=0,0,'TO HOP'!$G$156*$D88/SUMSQ($D$72:$D$91)))/9.81))</f>
        <v>0</v>
      </c>
      <c r="AC112" s="51">
        <f>IF($B112="",0,IF(USE_TSPILE=1,AC185,('TO HOP'!$E$157/ncoc+IF(SUMSQ($E$72:$E$91)=0,0,'TO HOP'!$F$157*$E88/SUMSQ($E$72:$E$91))+IF(SUMSQ($D$72:$D$91)=0,0,'TO HOP'!$G$157*$D88/SUMSQ($D$72:$D$91)))/9.81))</f>
        <v>0</v>
      </c>
      <c r="AD112" s="51">
        <f>IF($B112="",0,IF(USE_TSPILE=1,AD185,('TO HOP'!$E$158/ncoc+IF(SUMSQ($E$72:$E$91)=0,0,'TO HOP'!$F$158*$E88/SUMSQ($E$72:$E$91))+IF(SUMSQ($D$72:$D$91)=0,0,'TO HOP'!$G$158*$D88/SUMSQ($D$72:$D$91)))/9.81))</f>
        <v>0</v>
      </c>
      <c r="AE112" s="51">
        <f>IF($B112="",0,IF(USE_TSPILE=1,AE185,('TO HOP'!$E$159/ncoc+IF(SUMSQ($E$72:$E$91)=0,0,'TO HOP'!$F$159*$E88/SUMSQ($E$72:$E$91))+IF(SUMSQ($D$72:$D$91)=0,0,'TO HOP'!$G$159*$D88/SUMSQ($D$72:$D$91)))/9.81))</f>
        <v>0</v>
      </c>
      <c r="AF112" s="51">
        <f>IF($B112="",0,IF(USE_TSPILE=1,AF185,('TO HOP'!$E$160/ncoc+IF(SUMSQ($E$72:$E$91)=0,0,'TO HOP'!$F$160*$E88/SUMSQ($E$72:$E$91))+IF(SUMSQ($D$72:$D$91)=0,0,'TO HOP'!$G$160*$D88/SUMSQ($D$72:$D$91)))/9.81))</f>
        <v>0</v>
      </c>
      <c r="AG112" s="51">
        <f>IF($B112="",0,IF(USE_TSPILE=1,AG185,('TO HOP'!$E$161/ncoc+IF(SUMSQ($E$72:$E$91)=0,0,'TO HOP'!$F$161*$E88/SUMSQ($E$72:$E$91))+IF(SUMSQ($D$72:$D$91)=0,0,'TO HOP'!$G$161*$D88/SUMSQ($D$72:$D$91)))/9.81))</f>
        <v>0</v>
      </c>
      <c r="AH112" s="51">
        <f>IF($B112="",0,IF(USE_TSPILE=1,AH185,('TO HOP'!$E$162/ncoc+IF(SUMSQ($E$72:$E$91)=0,0,'TO HOP'!$F$162*$E88/SUMSQ($E$72:$E$91))+IF(SUMSQ($D$72:$D$91)=0,0,'TO HOP'!$G$162*$D88/SUMSQ($D$72:$D$91)))/9.81))</f>
        <v>0</v>
      </c>
      <c r="AI112" s="51">
        <f>IF($B112="",0,IF(USE_TSPILE=1,AI185,('TO HOP'!$E$163/ncoc+IF(SUMSQ($E$72:$E$91)=0,0,'TO HOP'!$F$163*$E88/SUMSQ($E$72:$E$91))+IF(SUMSQ($D$72:$D$91)=0,0,'TO HOP'!$G$163*$D88/SUMSQ($D$72:$D$91)))/9.81))</f>
        <v>0</v>
      </c>
      <c r="AJ112" s="51">
        <f>IF($B112="",0,IF(USE_TSPILE=1,AJ185,('TO HOP'!$E$164/ncoc+IF(SUMSQ($E$72:$E$91)=0,0,'TO HOP'!$F$164*$E88/SUMSQ($E$72:$E$91))+IF(SUMSQ($D$72:$D$91)=0,0,'TO HOP'!$G$164*$D88/SUMSQ($D$72:$D$91)))/9.81))</f>
        <v>0</v>
      </c>
      <c r="AK112" s="51">
        <f>IF($B112="",0,IF(USE_TSPILE=1,AK185,('TO HOP'!$E$165/ncoc+IF(SUMSQ($E$72:$E$91)=0,0,'TO HOP'!$F$165*$E88/SUMSQ($E$72:$E$91))+IF(SUMSQ($D$72:$D$91)=0,0,'TO HOP'!$G$165*$D88/SUMSQ($D$72:$D$91)))/9.81))</f>
        <v>0</v>
      </c>
      <c r="AL112" s="51">
        <f>IF($B112="",0,IF(USE_TSPILE=1,AL185,('TO HOP'!$E$166/ncoc+IF(SUMSQ($E$72:$E$91)=0,0,'TO HOP'!$F$166*$E88/SUMSQ($E$72:$E$91))+IF(SUMSQ($D$72:$D$91)=0,0,'TO HOP'!$G$166*$D88/SUMSQ($D$72:$D$91)))/9.81))</f>
        <v>0</v>
      </c>
      <c r="AM112" s="51">
        <f>IF($B112="",0,IF(USE_TSPILE=1,AM185,('TO HOP'!$E$167/ncoc+IF(SUMSQ($E$72:$E$91)=0,0,'TO HOP'!$F$167*$E88/SUMSQ($E$72:$E$91))+IF(SUMSQ($D$72:$D$91)=0,0,'TO HOP'!$G$167*$D88/SUMSQ($D$72:$D$91)))/9.81))</f>
        <v>0</v>
      </c>
      <c r="AN112" s="51">
        <f>IF($B112="",0,IF(USE_TSPILE=1,AN185,('TO HOP'!$E$168/ncoc+IF(SUMSQ($E$72:$E$91)=0,0,'TO HOP'!$F$168*$E88/SUMSQ($E$72:$E$91))+IF(SUMSQ($D$72:$D$91)=0,0,'TO HOP'!$G$168*$D88/SUMSQ($D$72:$D$91)))/9.81))</f>
        <v>0</v>
      </c>
      <c r="AO112" s="51">
        <f>IF($B112="",0,IF(USE_TSPILE=1,AO185,('TO HOP'!$E$169/ncoc+IF(SUMSQ($E$72:$E$91)=0,0,'TO HOP'!$F$169*$E88/SUMSQ($E$72:$E$91))+IF(SUMSQ($D$72:$D$91)=0,0,'TO HOP'!$G$169*$D88/SUMSQ($D$72:$D$91)))/9.81))</f>
        <v>0</v>
      </c>
      <c r="AP112" s="51">
        <f>IF($B112="",0,IF(USE_TSPILE=1,AP185,('TO HOP'!$E$170/ncoc+IF(SUMSQ($E$72:$E$91)=0,0,'TO HOP'!$F$170*$E88/SUMSQ($E$72:$E$91))+IF(SUMSQ($D$72:$D$91)=0,0,'TO HOP'!$G$170*$D88/SUMSQ($D$72:$D$91)))/9.81))</f>
        <v>0</v>
      </c>
      <c r="AQ112" s="51">
        <f>IF($B112="",0,IF(USE_TSPILE=1,AQ185,('TO HOP'!$E$171/ncoc+IF(SUMSQ($E$72:$E$91)=0,0,'TO HOP'!$F$171*$E88/SUMSQ($E$72:$E$91))+IF(SUMSQ($D$72:$D$91)=0,0,'TO HOP'!$G$171*$D88/SUMSQ($D$72:$D$91)))/9.81))</f>
        <v>0</v>
      </c>
      <c r="AR112" s="51">
        <f>IF($B112="",0,IF(USE_TSPILE=1,AR185,('TO HOP'!$E$172/ncoc+IF(SUMSQ($E$72:$E$91)=0,0,'TO HOP'!$F$172*$E88/SUMSQ($E$72:$E$91))+IF(SUMSQ($D$72:$D$91)=0,0,'TO HOP'!$G$172*$D88/SUMSQ($D$72:$D$91)))/9.81))</f>
        <v>0</v>
      </c>
      <c r="AS112" s="51">
        <f>IF($B112="",0,IF(USE_TSPILE=1,AS185,('TO HOP'!$E$173/ncoc+IF(SUMSQ($E$72:$E$91)=0,0,'TO HOP'!$F$173*$E88/SUMSQ($E$72:$E$91))+IF(SUMSQ($D$72:$D$91)=0,0,'TO HOP'!$G$173*$D88/SUMSQ($D$72:$D$91)))/9.81))</f>
        <v>0</v>
      </c>
      <c r="AT112" s="51">
        <f>IF($B112="",0,IF(USE_TSPILE=1,AT185,('TO HOP'!$E$174/ncoc+IF(SUMSQ($E$72:$E$91)=0,0,'TO HOP'!$F$174*$E88/SUMSQ($E$72:$E$91))+IF(SUMSQ($D$72:$D$91)=0,0,'TO HOP'!$G$174*$D88/SUMSQ($D$72:$D$91)))/9.81))</f>
        <v>0</v>
      </c>
      <c r="AU112" s="51">
        <f>IF($B112="",0,IF(USE_TSPILE=1,AU185,('TO HOP'!$E$175/ncoc+IF(SUMSQ($E$72:$E$91)=0,0,'TO HOP'!$F$175*$E88/SUMSQ($E$72:$E$91))+IF(SUMSQ($D$72:$D$91)=0,0,'TO HOP'!$G$175*$D88/SUMSQ($D$72:$D$91)))/9.81))</f>
        <v>0</v>
      </c>
      <c r="AV112" s="51">
        <f>IF($B112="",0,IF(USE_TSPILE=1,AV185,('TO HOP'!$E$176/ncoc+IF(SUMSQ($E$72:$E$91)=0,0,'TO HOP'!$F$176*$E88/SUMSQ($E$72:$E$91))+IF(SUMSQ($D$72:$D$91)=0,0,'TO HOP'!$G$176*$D88/SUMSQ($D$72:$D$91)))/9.81))</f>
        <v>0</v>
      </c>
      <c r="AW112" s="51">
        <f>IF($B112="",0,IF(USE_TSPILE=1,AW185,('TO HOP'!$E$177/ncoc+IF(SUMSQ($E$72:$E$91)=0,0,'TO HOP'!$F$177*$E88/SUMSQ($E$72:$E$91))+IF(SUMSQ($D$72:$D$91)=0,0,'TO HOP'!$G$177*$D88/SUMSQ($D$72:$D$91)))/9.81))</f>
        <v>0</v>
      </c>
      <c r="AX112" s="51">
        <f>IF($B112="",0,IF(USE_TSPILE=1,AX185,('TO HOP'!$E$178/ncoc+IF(SUMSQ($E$72:$E$91)=0,0,'TO HOP'!$F$178*$E88/SUMSQ($E$72:$E$91))+IF(SUMSQ($D$72:$D$91)=0,0,'TO HOP'!$G$178*$D88/SUMSQ($D$72:$D$91)))/9.81))</f>
        <v>0</v>
      </c>
      <c r="AY112" s="51">
        <f>IF($B112="",0,IF(USE_TSPILE=1,AY185,('TO HOP'!$E$179/ncoc+IF(SUMSQ($E$72:$E$91)=0,0,'TO HOP'!$F$179*$E88/SUMSQ($E$72:$E$91))+IF(SUMSQ($D$72:$D$91)=0,0,'TO HOP'!$G$179*$D88/SUMSQ($D$72:$D$91)))/9.81))</f>
        <v>0</v>
      </c>
      <c r="AZ112" s="51">
        <f>IF($B112="",0,IF(USE_TSPILE=1,AZ185,('TO HOP'!$E$180/ncoc+IF(SUMSQ($E$72:$E$91)=0,0,'TO HOP'!$F$180*$E88/SUMSQ($E$72:$E$91))+IF(SUMSQ($D$72:$D$91)=0,0,'TO HOP'!$G$180*$D88/SUMSQ($D$72:$D$91)))/9.81))</f>
        <v>0</v>
      </c>
      <c r="BA112" s="51">
        <f>IF($B112="",0,IF(USE_TSPILE=1,BA185,('TO HOP'!$E$181/ncoc+IF(SUMSQ($E$72:$E$91)=0,0,'TO HOP'!$F$181*$E88/SUMSQ($E$72:$E$91))+IF(SUMSQ($D$72:$D$91)=0,0,'TO HOP'!$G$181*$D88/SUMSQ($D$72:$D$91)))/9.81))</f>
        <v>0</v>
      </c>
      <c r="BB112" s="51">
        <f>IF($B112="",0,IF(USE_TSPILE=1,BB185,('TO HOP'!$E$182/ncoc+IF(SUMSQ($E$72:$E$91)=0,0,'TO HOP'!$F$182*$E88/SUMSQ($E$72:$E$91))+IF(SUMSQ($D$72:$D$91)=0,0,'TO HOP'!$G$182*$D88/SUMSQ($D$72:$D$91)))/9.81))</f>
        <v>0</v>
      </c>
      <c r="BC112" s="51">
        <f>IF($B112="",0,IF(USE_TSPILE=1,BC185,('TO HOP'!$E$183/ncoc+IF(SUMSQ($E$72:$E$91)=0,0,'TO HOP'!$F$183*$E88/SUMSQ($E$72:$E$91))+IF(SUMSQ($D$72:$D$91)=0,0,'TO HOP'!$G$183*$D88/SUMSQ($D$72:$D$91)))/9.81))</f>
        <v>0</v>
      </c>
      <c r="BD112" s="51">
        <f>IF($B112="",0,IF(USE_TSPILE=1,BD185,('TO HOP'!$E$184/ncoc+IF(SUMSQ($E$72:$E$91)=0,0,'TO HOP'!$F$184*$E88/SUMSQ($E$72:$E$91))+IF(SUMSQ($D$72:$D$91)=0,0,'TO HOP'!$G$184*$D88/SUMSQ($D$72:$D$91)))/9.81))</f>
        <v>0</v>
      </c>
      <c r="BE112" s="51">
        <f>IF($B112="",0,IF(USE_TSPILE=1,BE185,('TO HOP'!$E$185/ncoc+IF(SUMSQ($E$72:$E$91)=0,0,'TO HOP'!$F$185*$E88/SUMSQ($E$72:$E$91))+IF(SUMSQ($D$72:$D$91)=0,0,'TO HOP'!$G$185*$D88/SUMSQ($D$72:$D$91)))/9.81))</f>
        <v>0</v>
      </c>
      <c r="BF112" s="51">
        <f>IF($B112="",0,IF(USE_TSPILE=1,BF185,('TO HOP'!$E$186/ncoc+IF(SUMSQ($E$72:$E$91)=0,0,'TO HOP'!$F$186*$E88/SUMSQ($E$72:$E$91))+IF(SUMSQ($D$72:$D$91)=0,0,'TO HOP'!$G$186*$D88/SUMSQ($D$72:$D$91)))/9.81))</f>
        <v>0</v>
      </c>
      <c r="BG112" s="51">
        <f>IF($B112="",0,IF(USE_TSPILE=1,BG185,('TO HOP'!$E$187/ncoc+IF(SUMSQ($E$72:$E$91)=0,0,'TO HOP'!$F$187*$E88/SUMSQ($E$72:$E$91))+IF(SUMSQ($D$72:$D$91)=0,0,'TO HOP'!$G$187*$D88/SUMSQ($D$72:$D$91)))/9.81))</f>
        <v>0</v>
      </c>
      <c r="BH112" s="51">
        <f>IF($B112="",0,IF(USE_TSPILE=1,BH185,('TO HOP'!$E$188/ncoc+IF(SUMSQ($E$72:$E$91)=0,0,'TO HOP'!$F$188*$E88/SUMSQ($E$72:$E$91))+IF(SUMSQ($D$72:$D$91)=0,0,'TO HOP'!$G$188*$D88/SUMSQ($D$72:$D$91)))/9.81))</f>
        <v>0</v>
      </c>
      <c r="BI112" s="51">
        <f>IF($B112="",0,IF(USE_TSPILE=1,BI185,('TO HOP'!$E$189/ncoc+IF(SUMSQ($E$72:$E$91)=0,0,'TO HOP'!$F$189*$E88/SUMSQ($E$72:$E$91))+IF(SUMSQ($D$72:$D$91)=0,0,'TO HOP'!$G$189*$D88/SUMSQ($D$72:$D$91)))/9.81))</f>
        <v>0</v>
      </c>
      <c r="BJ112" s="51">
        <f>IF($B112="",0,IF(USE_TSPILE=1,BJ185,('TO HOP'!$E$190/ncoc+IF(SUMSQ($E$72:$E$91)=0,0,'TO HOP'!$F$190*$E88/SUMSQ($E$72:$E$91))+IF(SUMSQ($D$72:$D$91)=0,0,'TO HOP'!$G$190*$D88/SUMSQ($D$72:$D$91)))/9.81))</f>
        <v>0</v>
      </c>
      <c r="BK112" s="51">
        <f>IF($B112="",0,IF(USE_TSPILE=1,BK185,('TO HOP'!$E$191/ncoc+IF(SUMSQ($E$72:$E$91)=0,0,'TO HOP'!$F$191*$E88/SUMSQ($E$72:$E$91))+IF(SUMSQ($D$72:$D$91)=0,0,'TO HOP'!$G$191*$D88/SUMSQ($D$72:$D$91)))/9.81))</f>
        <v>0</v>
      </c>
      <c r="BL112" s="51">
        <f>IF($B112="",0,IF(USE_TSPILE=1,BL185,('TO HOP'!$E$192/ncoc+IF(SUMSQ($E$72:$E$91)=0,0,'TO HOP'!$F$192*$E88/SUMSQ($E$72:$E$91))+IF(SUMSQ($D$72:$D$91)=0,0,'TO HOP'!$G$192*$D88/SUMSQ($D$72:$D$91)))/9.81))</f>
        <v>0</v>
      </c>
    </row>
    <row r="113" spans="2:64" x14ac:dyDescent="0.3">
      <c r="B113" s="14" t="str">
        <f>IF(18&lt;=ncoc,18,"")</f>
        <v/>
      </c>
      <c r="C113" s="51">
        <f>IF($B113="",0,IF(USE_TSPILE=1,C186,('TO HOP'!$E$131/ncoc+IF(SUMSQ($E$72:$E$91)=0,0,'TO HOP'!$F$131*$E89/SUMSQ($E$72:$E$91))+IF(SUMSQ($D$72:$D$91)=0,0,'TO HOP'!$G$131*$D89/SUMSQ($D$72:$D$91)))/9.81))</f>
        <v>0</v>
      </c>
      <c r="D113" s="51">
        <f>IF($B113="",0,IF(USE_TSPILE=1,D186,('TO HOP'!$E$132/ncoc+IF(SUMSQ($E$72:$E$91)=0,0,'TO HOP'!$F$132*$E89/SUMSQ($E$72:$E$91))+IF(SUMSQ($D$72:$D$91)=0,0,'TO HOP'!$G$132*$D89/SUMSQ($D$72:$D$91)))/9.81))</f>
        <v>0</v>
      </c>
      <c r="E113" s="51">
        <f>IF($B113="",0,IF(USE_TSPILE=1,E186,('TO HOP'!$E$133/ncoc+IF(SUMSQ($E$72:$E$91)=0,0,'TO HOP'!$F$133*$E89/SUMSQ($E$72:$E$91))+IF(SUMSQ($D$72:$D$91)=0,0,'TO HOP'!$G$133*$D89/SUMSQ($D$72:$D$91)))/9.81))</f>
        <v>0</v>
      </c>
      <c r="F113" s="51">
        <f>IF($B113="",0,IF(USE_TSPILE=1,F186,('TO HOP'!$E$134/ncoc+IF(SUMSQ($E$72:$E$91)=0,0,'TO HOP'!$F$134*$E89/SUMSQ($E$72:$E$91))+IF(SUMSQ($D$72:$D$91)=0,0,'TO HOP'!$G$134*$D89/SUMSQ($D$72:$D$91)))/9.81))</f>
        <v>0</v>
      </c>
      <c r="G113" s="51">
        <f>IF($B113="",0,IF(USE_TSPILE=1,G186,('TO HOP'!$E$135/ncoc+IF(SUMSQ($E$72:$E$91)=0,0,'TO HOP'!$F$135*$E89/SUMSQ($E$72:$E$91))+IF(SUMSQ($D$72:$D$91)=0,0,'TO HOP'!$G$135*$D89/SUMSQ($D$72:$D$91)))/9.81))</f>
        <v>0</v>
      </c>
      <c r="H113" s="51">
        <f>IF($B113="",0,IF(USE_TSPILE=1,H186,('TO HOP'!$E$136/ncoc+IF(SUMSQ($E$72:$E$91)=0,0,'TO HOP'!$F$136*$E89/SUMSQ($E$72:$E$91))+IF(SUMSQ($D$72:$D$91)=0,0,'TO HOP'!$G$136*$D89/SUMSQ($D$72:$D$91)))/9.81))</f>
        <v>0</v>
      </c>
      <c r="I113" s="51">
        <f>IF($B113="",0,IF(USE_TSPILE=1,I186,('TO HOP'!$E$137/ncoc+IF(SUMSQ($E$72:$E$91)=0,0,'TO HOP'!$F$137*$E89/SUMSQ($E$72:$E$91))+IF(SUMSQ($D$72:$D$91)=0,0,'TO HOP'!$G$137*$D89/SUMSQ($D$72:$D$91)))/9.81))</f>
        <v>0</v>
      </c>
      <c r="J113" s="51">
        <f>IF($B113="",0,IF(USE_TSPILE=1,J186,('TO HOP'!$E$138/ncoc+IF(SUMSQ($E$72:$E$91)=0,0,'TO HOP'!$F$138*$E89/SUMSQ($E$72:$E$91))+IF(SUMSQ($D$72:$D$91)=0,0,'TO HOP'!$G$138*$D89/SUMSQ($D$72:$D$91)))/9.81))</f>
        <v>0</v>
      </c>
      <c r="K113" s="51">
        <f>IF($B113="",0,IF(USE_TSPILE=1,K186,('TO HOP'!$E$139/ncoc+IF(SUMSQ($E$72:$E$91)=0,0,'TO HOP'!$F$139*$E89/SUMSQ($E$72:$E$91))+IF(SUMSQ($D$72:$D$91)=0,0,'TO HOP'!$G$139*$D89/SUMSQ($D$72:$D$91)))/9.81))</f>
        <v>0</v>
      </c>
      <c r="L113" s="51">
        <f>IF($B113="",0,IF(USE_TSPILE=1,L186,('TO HOP'!$E$140/ncoc+IF(SUMSQ($E$72:$E$91)=0,0,'TO HOP'!$F$140*$E89/SUMSQ($E$72:$E$91))+IF(SUMSQ($D$72:$D$91)=0,0,'TO HOP'!$G$140*$D89/SUMSQ($D$72:$D$91)))/9.81))</f>
        <v>0</v>
      </c>
      <c r="M113" s="51">
        <f>IF($B113="",0,IF(USE_TSPILE=1,M186,('TO HOP'!$E$141/ncoc+IF(SUMSQ($E$72:$E$91)=0,0,'TO HOP'!$F$141*$E89/SUMSQ($E$72:$E$91))+IF(SUMSQ($D$72:$D$91)=0,0,'TO HOP'!$G$141*$D89/SUMSQ($D$72:$D$91)))/9.81))</f>
        <v>0</v>
      </c>
      <c r="N113" s="51">
        <f>IF($B113="",0,IF(USE_TSPILE=1,N186,('TO HOP'!$E$142/ncoc+IF(SUMSQ($E$72:$E$91)=0,0,'TO HOP'!$F$142*$E89/SUMSQ($E$72:$E$91))+IF(SUMSQ($D$72:$D$91)=0,0,'TO HOP'!$G$142*$D89/SUMSQ($D$72:$D$91)))/9.81))</f>
        <v>0</v>
      </c>
      <c r="O113" s="51">
        <f>IF($B113="",0,IF(USE_TSPILE=1,O186,('TO HOP'!$E$143/ncoc+IF(SUMSQ($E$72:$E$91)=0,0,'TO HOP'!$F$143*$E89/SUMSQ($E$72:$E$91))+IF(SUMSQ($D$72:$D$91)=0,0,'TO HOP'!$G$143*$D89/SUMSQ($D$72:$D$91)))/9.81))</f>
        <v>0</v>
      </c>
      <c r="P113" s="51">
        <f>IF($B113="",0,IF(USE_TSPILE=1,P186,('TO HOP'!$E$144/ncoc+IF(SUMSQ($E$72:$E$91)=0,0,'TO HOP'!$F$144*$E89/SUMSQ($E$72:$E$91))+IF(SUMSQ($D$72:$D$91)=0,0,'TO HOP'!$G$144*$D89/SUMSQ($D$72:$D$91)))/9.81))</f>
        <v>0</v>
      </c>
      <c r="Q113" s="51">
        <f>IF($B113="",0,IF(USE_TSPILE=1,Q186,('TO HOP'!$E$145/ncoc+IF(SUMSQ($E$72:$E$91)=0,0,'TO HOP'!$F$145*$E89/SUMSQ($E$72:$E$91))+IF(SUMSQ($D$72:$D$91)=0,0,'TO HOP'!$G$145*$D89/SUMSQ($D$72:$D$91)))/9.81))</f>
        <v>0</v>
      </c>
      <c r="R113" s="51">
        <f>IF($B113="",0,IF(USE_TSPILE=1,R186,('TO HOP'!$E$146/ncoc+IF(SUMSQ($E$72:$E$91)=0,0,'TO HOP'!$F$146*$E89/SUMSQ($E$72:$E$91))+IF(SUMSQ($D$72:$D$91)=0,0,'TO HOP'!$G$146*$D89/SUMSQ($D$72:$D$91)))/9.81))</f>
        <v>0</v>
      </c>
      <c r="S113" s="51">
        <f>IF($B113="",0,IF(USE_TSPILE=1,S186,('TO HOP'!$E$147/ncoc+IF(SUMSQ($E$72:$E$91)=0,0,'TO HOP'!$F$147*$E89/SUMSQ($E$72:$E$91))+IF(SUMSQ($D$72:$D$91)=0,0,'TO HOP'!$G$147*$D89/SUMSQ($D$72:$D$91)))/9.81))</f>
        <v>0</v>
      </c>
      <c r="T113" s="51">
        <f>IF($B113="",0,IF(USE_TSPILE=1,T186,('TO HOP'!$E$148/ncoc+IF(SUMSQ($E$72:$E$91)=0,0,'TO HOP'!$F$148*$E89/SUMSQ($E$72:$E$91))+IF(SUMSQ($D$72:$D$91)=0,0,'TO HOP'!$G$148*$D89/SUMSQ($D$72:$D$91)))/9.81))</f>
        <v>0</v>
      </c>
      <c r="U113" s="51">
        <f>IF($B113="",0,IF(USE_TSPILE=1,U186,('TO HOP'!$E$149/ncoc+IF(SUMSQ($E$72:$E$91)=0,0,'TO HOP'!$F$149*$E89/SUMSQ($E$72:$E$91))+IF(SUMSQ($D$72:$D$91)=0,0,'TO HOP'!$G$149*$D89/SUMSQ($D$72:$D$91)))/9.81))</f>
        <v>0</v>
      </c>
      <c r="V113" s="51">
        <f>IF($B113="",0,IF(USE_TSPILE=1,V186,('TO HOP'!$E$150/ncoc+IF(SUMSQ($E$72:$E$91)=0,0,'TO HOP'!$F$150*$E89/SUMSQ($E$72:$E$91))+IF(SUMSQ($D$72:$D$91)=0,0,'TO HOP'!$G$150*$D89/SUMSQ($D$72:$D$91)))/9.81))</f>
        <v>0</v>
      </c>
      <c r="W113" s="51">
        <f>IF($B113="",0,IF(USE_TSPILE=1,W186,('TO HOP'!$E$151/ncoc+IF(SUMSQ($E$72:$E$91)=0,0,'TO HOP'!$F$151*$E89/SUMSQ($E$72:$E$91))+IF(SUMSQ($D$72:$D$91)=0,0,'TO HOP'!$G$151*$D89/SUMSQ($D$72:$D$91)))/9.81))</f>
        <v>0</v>
      </c>
      <c r="X113" s="51">
        <f>IF($B113="",0,IF(USE_TSPILE=1,X186,('TO HOP'!$E$152/ncoc+IF(SUMSQ($E$72:$E$91)=0,0,'TO HOP'!$F$152*$E89/SUMSQ($E$72:$E$91))+IF(SUMSQ($D$72:$D$91)=0,0,'TO HOP'!$G$152*$D89/SUMSQ($D$72:$D$91)))/9.81))</f>
        <v>0</v>
      </c>
      <c r="Y113" s="51">
        <f>IF($B113="",0,IF(USE_TSPILE=1,Y186,('TO HOP'!$E$153/ncoc+IF(SUMSQ($E$72:$E$91)=0,0,'TO HOP'!$F$153*$E89/SUMSQ($E$72:$E$91))+IF(SUMSQ($D$72:$D$91)=0,0,'TO HOP'!$G$153*$D89/SUMSQ($D$72:$D$91)))/9.81))</f>
        <v>0</v>
      </c>
      <c r="Z113" s="51">
        <f>IF($B113="",0,IF(USE_TSPILE=1,Z186,('TO HOP'!$E$154/ncoc+IF(SUMSQ($E$72:$E$91)=0,0,'TO HOP'!$F$154*$E89/SUMSQ($E$72:$E$91))+IF(SUMSQ($D$72:$D$91)=0,0,'TO HOP'!$G$154*$D89/SUMSQ($D$72:$D$91)))/9.81))</f>
        <v>0</v>
      </c>
      <c r="AA113" s="51">
        <f>IF($B113="",0,IF(USE_TSPILE=1,AA186,('TO HOP'!$E$155/ncoc+IF(SUMSQ($E$72:$E$91)=0,0,'TO HOP'!$F$155*$E89/SUMSQ($E$72:$E$91))+IF(SUMSQ($D$72:$D$91)=0,0,'TO HOP'!$G$155*$D89/SUMSQ($D$72:$D$91)))/9.81))</f>
        <v>0</v>
      </c>
      <c r="AB113" s="51">
        <f>IF($B113="",0,IF(USE_TSPILE=1,AB186,('TO HOP'!$E$156/ncoc+IF(SUMSQ($E$72:$E$91)=0,0,'TO HOP'!$F$156*$E89/SUMSQ($E$72:$E$91))+IF(SUMSQ($D$72:$D$91)=0,0,'TO HOP'!$G$156*$D89/SUMSQ($D$72:$D$91)))/9.81))</f>
        <v>0</v>
      </c>
      <c r="AC113" s="51">
        <f>IF($B113="",0,IF(USE_TSPILE=1,AC186,('TO HOP'!$E$157/ncoc+IF(SUMSQ($E$72:$E$91)=0,0,'TO HOP'!$F$157*$E89/SUMSQ($E$72:$E$91))+IF(SUMSQ($D$72:$D$91)=0,0,'TO HOP'!$G$157*$D89/SUMSQ($D$72:$D$91)))/9.81))</f>
        <v>0</v>
      </c>
      <c r="AD113" s="51">
        <f>IF($B113="",0,IF(USE_TSPILE=1,AD186,('TO HOP'!$E$158/ncoc+IF(SUMSQ($E$72:$E$91)=0,0,'TO HOP'!$F$158*$E89/SUMSQ($E$72:$E$91))+IF(SUMSQ($D$72:$D$91)=0,0,'TO HOP'!$G$158*$D89/SUMSQ($D$72:$D$91)))/9.81))</f>
        <v>0</v>
      </c>
      <c r="AE113" s="51">
        <f>IF($B113="",0,IF(USE_TSPILE=1,AE186,('TO HOP'!$E$159/ncoc+IF(SUMSQ($E$72:$E$91)=0,0,'TO HOP'!$F$159*$E89/SUMSQ($E$72:$E$91))+IF(SUMSQ($D$72:$D$91)=0,0,'TO HOP'!$G$159*$D89/SUMSQ($D$72:$D$91)))/9.81))</f>
        <v>0</v>
      </c>
      <c r="AF113" s="51">
        <f>IF($B113="",0,IF(USE_TSPILE=1,AF186,('TO HOP'!$E$160/ncoc+IF(SUMSQ($E$72:$E$91)=0,0,'TO HOP'!$F$160*$E89/SUMSQ($E$72:$E$91))+IF(SUMSQ($D$72:$D$91)=0,0,'TO HOP'!$G$160*$D89/SUMSQ($D$72:$D$91)))/9.81))</f>
        <v>0</v>
      </c>
      <c r="AG113" s="51">
        <f>IF($B113="",0,IF(USE_TSPILE=1,AG186,('TO HOP'!$E$161/ncoc+IF(SUMSQ($E$72:$E$91)=0,0,'TO HOP'!$F$161*$E89/SUMSQ($E$72:$E$91))+IF(SUMSQ($D$72:$D$91)=0,0,'TO HOP'!$G$161*$D89/SUMSQ($D$72:$D$91)))/9.81))</f>
        <v>0</v>
      </c>
      <c r="AH113" s="51">
        <f>IF($B113="",0,IF(USE_TSPILE=1,AH186,('TO HOP'!$E$162/ncoc+IF(SUMSQ($E$72:$E$91)=0,0,'TO HOP'!$F$162*$E89/SUMSQ($E$72:$E$91))+IF(SUMSQ($D$72:$D$91)=0,0,'TO HOP'!$G$162*$D89/SUMSQ($D$72:$D$91)))/9.81))</f>
        <v>0</v>
      </c>
      <c r="AI113" s="51">
        <f>IF($B113="",0,IF(USE_TSPILE=1,AI186,('TO HOP'!$E$163/ncoc+IF(SUMSQ($E$72:$E$91)=0,0,'TO HOP'!$F$163*$E89/SUMSQ($E$72:$E$91))+IF(SUMSQ($D$72:$D$91)=0,0,'TO HOP'!$G$163*$D89/SUMSQ($D$72:$D$91)))/9.81))</f>
        <v>0</v>
      </c>
      <c r="AJ113" s="51">
        <f>IF($B113="",0,IF(USE_TSPILE=1,AJ186,('TO HOP'!$E$164/ncoc+IF(SUMSQ($E$72:$E$91)=0,0,'TO HOP'!$F$164*$E89/SUMSQ($E$72:$E$91))+IF(SUMSQ($D$72:$D$91)=0,0,'TO HOP'!$G$164*$D89/SUMSQ($D$72:$D$91)))/9.81))</f>
        <v>0</v>
      </c>
      <c r="AK113" s="51">
        <f>IF($B113="",0,IF(USE_TSPILE=1,AK186,('TO HOP'!$E$165/ncoc+IF(SUMSQ($E$72:$E$91)=0,0,'TO HOP'!$F$165*$E89/SUMSQ($E$72:$E$91))+IF(SUMSQ($D$72:$D$91)=0,0,'TO HOP'!$G$165*$D89/SUMSQ($D$72:$D$91)))/9.81))</f>
        <v>0</v>
      </c>
      <c r="AL113" s="51">
        <f>IF($B113="",0,IF(USE_TSPILE=1,AL186,('TO HOP'!$E$166/ncoc+IF(SUMSQ($E$72:$E$91)=0,0,'TO HOP'!$F$166*$E89/SUMSQ($E$72:$E$91))+IF(SUMSQ($D$72:$D$91)=0,0,'TO HOP'!$G$166*$D89/SUMSQ($D$72:$D$91)))/9.81))</f>
        <v>0</v>
      </c>
      <c r="AM113" s="51">
        <f>IF($B113="",0,IF(USE_TSPILE=1,AM186,('TO HOP'!$E$167/ncoc+IF(SUMSQ($E$72:$E$91)=0,0,'TO HOP'!$F$167*$E89/SUMSQ($E$72:$E$91))+IF(SUMSQ($D$72:$D$91)=0,0,'TO HOP'!$G$167*$D89/SUMSQ($D$72:$D$91)))/9.81))</f>
        <v>0</v>
      </c>
      <c r="AN113" s="51">
        <f>IF($B113="",0,IF(USE_TSPILE=1,AN186,('TO HOP'!$E$168/ncoc+IF(SUMSQ($E$72:$E$91)=0,0,'TO HOP'!$F$168*$E89/SUMSQ($E$72:$E$91))+IF(SUMSQ($D$72:$D$91)=0,0,'TO HOP'!$G$168*$D89/SUMSQ($D$72:$D$91)))/9.81))</f>
        <v>0</v>
      </c>
      <c r="AO113" s="51">
        <f>IF($B113="",0,IF(USE_TSPILE=1,AO186,('TO HOP'!$E$169/ncoc+IF(SUMSQ($E$72:$E$91)=0,0,'TO HOP'!$F$169*$E89/SUMSQ($E$72:$E$91))+IF(SUMSQ($D$72:$D$91)=0,0,'TO HOP'!$G$169*$D89/SUMSQ($D$72:$D$91)))/9.81))</f>
        <v>0</v>
      </c>
      <c r="AP113" s="51">
        <f>IF($B113="",0,IF(USE_TSPILE=1,AP186,('TO HOP'!$E$170/ncoc+IF(SUMSQ($E$72:$E$91)=0,0,'TO HOP'!$F$170*$E89/SUMSQ($E$72:$E$91))+IF(SUMSQ($D$72:$D$91)=0,0,'TO HOP'!$G$170*$D89/SUMSQ($D$72:$D$91)))/9.81))</f>
        <v>0</v>
      </c>
      <c r="AQ113" s="51">
        <f>IF($B113="",0,IF(USE_TSPILE=1,AQ186,('TO HOP'!$E$171/ncoc+IF(SUMSQ($E$72:$E$91)=0,0,'TO HOP'!$F$171*$E89/SUMSQ($E$72:$E$91))+IF(SUMSQ($D$72:$D$91)=0,0,'TO HOP'!$G$171*$D89/SUMSQ($D$72:$D$91)))/9.81))</f>
        <v>0</v>
      </c>
      <c r="AR113" s="51">
        <f>IF($B113="",0,IF(USE_TSPILE=1,AR186,('TO HOP'!$E$172/ncoc+IF(SUMSQ($E$72:$E$91)=0,0,'TO HOP'!$F$172*$E89/SUMSQ($E$72:$E$91))+IF(SUMSQ($D$72:$D$91)=0,0,'TO HOP'!$G$172*$D89/SUMSQ($D$72:$D$91)))/9.81))</f>
        <v>0</v>
      </c>
      <c r="AS113" s="51">
        <f>IF($B113="",0,IF(USE_TSPILE=1,AS186,('TO HOP'!$E$173/ncoc+IF(SUMSQ($E$72:$E$91)=0,0,'TO HOP'!$F$173*$E89/SUMSQ($E$72:$E$91))+IF(SUMSQ($D$72:$D$91)=0,0,'TO HOP'!$G$173*$D89/SUMSQ($D$72:$D$91)))/9.81))</f>
        <v>0</v>
      </c>
      <c r="AT113" s="51">
        <f>IF($B113="",0,IF(USE_TSPILE=1,AT186,('TO HOP'!$E$174/ncoc+IF(SUMSQ($E$72:$E$91)=0,0,'TO HOP'!$F$174*$E89/SUMSQ($E$72:$E$91))+IF(SUMSQ($D$72:$D$91)=0,0,'TO HOP'!$G$174*$D89/SUMSQ($D$72:$D$91)))/9.81))</f>
        <v>0</v>
      </c>
      <c r="AU113" s="51">
        <f>IF($B113="",0,IF(USE_TSPILE=1,AU186,('TO HOP'!$E$175/ncoc+IF(SUMSQ($E$72:$E$91)=0,0,'TO HOP'!$F$175*$E89/SUMSQ($E$72:$E$91))+IF(SUMSQ($D$72:$D$91)=0,0,'TO HOP'!$G$175*$D89/SUMSQ($D$72:$D$91)))/9.81))</f>
        <v>0</v>
      </c>
      <c r="AV113" s="51">
        <f>IF($B113="",0,IF(USE_TSPILE=1,AV186,('TO HOP'!$E$176/ncoc+IF(SUMSQ($E$72:$E$91)=0,0,'TO HOP'!$F$176*$E89/SUMSQ($E$72:$E$91))+IF(SUMSQ($D$72:$D$91)=0,0,'TO HOP'!$G$176*$D89/SUMSQ($D$72:$D$91)))/9.81))</f>
        <v>0</v>
      </c>
      <c r="AW113" s="51">
        <f>IF($B113="",0,IF(USE_TSPILE=1,AW186,('TO HOP'!$E$177/ncoc+IF(SUMSQ($E$72:$E$91)=0,0,'TO HOP'!$F$177*$E89/SUMSQ($E$72:$E$91))+IF(SUMSQ($D$72:$D$91)=0,0,'TO HOP'!$G$177*$D89/SUMSQ($D$72:$D$91)))/9.81))</f>
        <v>0</v>
      </c>
      <c r="AX113" s="51">
        <f>IF($B113="",0,IF(USE_TSPILE=1,AX186,('TO HOP'!$E$178/ncoc+IF(SUMSQ($E$72:$E$91)=0,0,'TO HOP'!$F$178*$E89/SUMSQ($E$72:$E$91))+IF(SUMSQ($D$72:$D$91)=0,0,'TO HOP'!$G$178*$D89/SUMSQ($D$72:$D$91)))/9.81))</f>
        <v>0</v>
      </c>
      <c r="AY113" s="51">
        <f>IF($B113="",0,IF(USE_TSPILE=1,AY186,('TO HOP'!$E$179/ncoc+IF(SUMSQ($E$72:$E$91)=0,0,'TO HOP'!$F$179*$E89/SUMSQ($E$72:$E$91))+IF(SUMSQ($D$72:$D$91)=0,0,'TO HOP'!$G$179*$D89/SUMSQ($D$72:$D$91)))/9.81))</f>
        <v>0</v>
      </c>
      <c r="AZ113" s="51">
        <f>IF($B113="",0,IF(USE_TSPILE=1,AZ186,('TO HOP'!$E$180/ncoc+IF(SUMSQ($E$72:$E$91)=0,0,'TO HOP'!$F$180*$E89/SUMSQ($E$72:$E$91))+IF(SUMSQ($D$72:$D$91)=0,0,'TO HOP'!$G$180*$D89/SUMSQ($D$72:$D$91)))/9.81))</f>
        <v>0</v>
      </c>
      <c r="BA113" s="51">
        <f>IF($B113="",0,IF(USE_TSPILE=1,BA186,('TO HOP'!$E$181/ncoc+IF(SUMSQ($E$72:$E$91)=0,0,'TO HOP'!$F$181*$E89/SUMSQ($E$72:$E$91))+IF(SUMSQ($D$72:$D$91)=0,0,'TO HOP'!$G$181*$D89/SUMSQ($D$72:$D$91)))/9.81))</f>
        <v>0</v>
      </c>
      <c r="BB113" s="51">
        <f>IF($B113="",0,IF(USE_TSPILE=1,BB186,('TO HOP'!$E$182/ncoc+IF(SUMSQ($E$72:$E$91)=0,0,'TO HOP'!$F$182*$E89/SUMSQ($E$72:$E$91))+IF(SUMSQ($D$72:$D$91)=0,0,'TO HOP'!$G$182*$D89/SUMSQ($D$72:$D$91)))/9.81))</f>
        <v>0</v>
      </c>
      <c r="BC113" s="51">
        <f>IF($B113="",0,IF(USE_TSPILE=1,BC186,('TO HOP'!$E$183/ncoc+IF(SUMSQ($E$72:$E$91)=0,0,'TO HOP'!$F$183*$E89/SUMSQ($E$72:$E$91))+IF(SUMSQ($D$72:$D$91)=0,0,'TO HOP'!$G$183*$D89/SUMSQ($D$72:$D$91)))/9.81))</f>
        <v>0</v>
      </c>
      <c r="BD113" s="51">
        <f>IF($B113="",0,IF(USE_TSPILE=1,BD186,('TO HOP'!$E$184/ncoc+IF(SUMSQ($E$72:$E$91)=0,0,'TO HOP'!$F$184*$E89/SUMSQ($E$72:$E$91))+IF(SUMSQ($D$72:$D$91)=0,0,'TO HOP'!$G$184*$D89/SUMSQ($D$72:$D$91)))/9.81))</f>
        <v>0</v>
      </c>
      <c r="BE113" s="51">
        <f>IF($B113="",0,IF(USE_TSPILE=1,BE186,('TO HOP'!$E$185/ncoc+IF(SUMSQ($E$72:$E$91)=0,0,'TO HOP'!$F$185*$E89/SUMSQ($E$72:$E$91))+IF(SUMSQ($D$72:$D$91)=0,0,'TO HOP'!$G$185*$D89/SUMSQ($D$72:$D$91)))/9.81))</f>
        <v>0</v>
      </c>
      <c r="BF113" s="51">
        <f>IF($B113="",0,IF(USE_TSPILE=1,BF186,('TO HOP'!$E$186/ncoc+IF(SUMSQ($E$72:$E$91)=0,0,'TO HOP'!$F$186*$E89/SUMSQ($E$72:$E$91))+IF(SUMSQ($D$72:$D$91)=0,0,'TO HOP'!$G$186*$D89/SUMSQ($D$72:$D$91)))/9.81))</f>
        <v>0</v>
      </c>
      <c r="BG113" s="51">
        <f>IF($B113="",0,IF(USE_TSPILE=1,BG186,('TO HOP'!$E$187/ncoc+IF(SUMSQ($E$72:$E$91)=0,0,'TO HOP'!$F$187*$E89/SUMSQ($E$72:$E$91))+IF(SUMSQ($D$72:$D$91)=0,0,'TO HOP'!$G$187*$D89/SUMSQ($D$72:$D$91)))/9.81))</f>
        <v>0</v>
      </c>
      <c r="BH113" s="51">
        <f>IF($B113="",0,IF(USE_TSPILE=1,BH186,('TO HOP'!$E$188/ncoc+IF(SUMSQ($E$72:$E$91)=0,0,'TO HOP'!$F$188*$E89/SUMSQ($E$72:$E$91))+IF(SUMSQ($D$72:$D$91)=0,0,'TO HOP'!$G$188*$D89/SUMSQ($D$72:$D$91)))/9.81))</f>
        <v>0</v>
      </c>
      <c r="BI113" s="51">
        <f>IF($B113="",0,IF(USE_TSPILE=1,BI186,('TO HOP'!$E$189/ncoc+IF(SUMSQ($E$72:$E$91)=0,0,'TO HOP'!$F$189*$E89/SUMSQ($E$72:$E$91))+IF(SUMSQ($D$72:$D$91)=0,0,'TO HOP'!$G$189*$D89/SUMSQ($D$72:$D$91)))/9.81))</f>
        <v>0</v>
      </c>
      <c r="BJ113" s="51">
        <f>IF($B113="",0,IF(USE_TSPILE=1,BJ186,('TO HOP'!$E$190/ncoc+IF(SUMSQ($E$72:$E$91)=0,0,'TO HOP'!$F$190*$E89/SUMSQ($E$72:$E$91))+IF(SUMSQ($D$72:$D$91)=0,0,'TO HOP'!$G$190*$D89/SUMSQ($D$72:$D$91)))/9.81))</f>
        <v>0</v>
      </c>
      <c r="BK113" s="51">
        <f>IF($B113="",0,IF(USE_TSPILE=1,BK186,('TO HOP'!$E$191/ncoc+IF(SUMSQ($E$72:$E$91)=0,0,'TO HOP'!$F$191*$E89/SUMSQ($E$72:$E$91))+IF(SUMSQ($D$72:$D$91)=0,0,'TO HOP'!$G$191*$D89/SUMSQ($D$72:$D$91)))/9.81))</f>
        <v>0</v>
      </c>
      <c r="BL113" s="51">
        <f>IF($B113="",0,IF(USE_TSPILE=1,BL186,('TO HOP'!$E$192/ncoc+IF(SUMSQ($E$72:$E$91)=0,0,'TO HOP'!$F$192*$E89/SUMSQ($E$72:$E$91))+IF(SUMSQ($D$72:$D$91)=0,0,'TO HOP'!$G$192*$D89/SUMSQ($D$72:$D$91)))/9.81))</f>
        <v>0</v>
      </c>
    </row>
    <row r="114" spans="2:64" x14ac:dyDescent="0.3">
      <c r="B114" s="14" t="str">
        <f>IF(19&lt;=ncoc,19,"")</f>
        <v/>
      </c>
      <c r="C114" s="51">
        <f>IF($B114="",0,IF(USE_TSPILE=1,C187,('TO HOP'!$E$131/ncoc+IF(SUMSQ($E$72:$E$91)=0,0,'TO HOP'!$F$131*$E90/SUMSQ($E$72:$E$91))+IF(SUMSQ($D$72:$D$91)=0,0,'TO HOP'!$G$131*$D90/SUMSQ($D$72:$D$91)))/9.81))</f>
        <v>0</v>
      </c>
      <c r="D114" s="51">
        <f>IF($B114="",0,IF(USE_TSPILE=1,D187,('TO HOP'!$E$132/ncoc+IF(SUMSQ($E$72:$E$91)=0,0,'TO HOP'!$F$132*$E90/SUMSQ($E$72:$E$91))+IF(SUMSQ($D$72:$D$91)=0,0,'TO HOP'!$G$132*$D90/SUMSQ($D$72:$D$91)))/9.81))</f>
        <v>0</v>
      </c>
      <c r="E114" s="51">
        <f>IF($B114="",0,IF(USE_TSPILE=1,E187,('TO HOP'!$E$133/ncoc+IF(SUMSQ($E$72:$E$91)=0,0,'TO HOP'!$F$133*$E90/SUMSQ($E$72:$E$91))+IF(SUMSQ($D$72:$D$91)=0,0,'TO HOP'!$G$133*$D90/SUMSQ($D$72:$D$91)))/9.81))</f>
        <v>0</v>
      </c>
      <c r="F114" s="51">
        <f>IF($B114="",0,IF(USE_TSPILE=1,F187,('TO HOP'!$E$134/ncoc+IF(SUMSQ($E$72:$E$91)=0,0,'TO HOP'!$F$134*$E90/SUMSQ($E$72:$E$91))+IF(SUMSQ($D$72:$D$91)=0,0,'TO HOP'!$G$134*$D90/SUMSQ($D$72:$D$91)))/9.81))</f>
        <v>0</v>
      </c>
      <c r="G114" s="51">
        <f>IF($B114="",0,IF(USE_TSPILE=1,G187,('TO HOP'!$E$135/ncoc+IF(SUMSQ($E$72:$E$91)=0,0,'TO HOP'!$F$135*$E90/SUMSQ($E$72:$E$91))+IF(SUMSQ($D$72:$D$91)=0,0,'TO HOP'!$G$135*$D90/SUMSQ($D$72:$D$91)))/9.81))</f>
        <v>0</v>
      </c>
      <c r="H114" s="51">
        <f>IF($B114="",0,IF(USE_TSPILE=1,H187,('TO HOP'!$E$136/ncoc+IF(SUMSQ($E$72:$E$91)=0,0,'TO HOP'!$F$136*$E90/SUMSQ($E$72:$E$91))+IF(SUMSQ($D$72:$D$91)=0,0,'TO HOP'!$G$136*$D90/SUMSQ($D$72:$D$91)))/9.81))</f>
        <v>0</v>
      </c>
      <c r="I114" s="51">
        <f>IF($B114="",0,IF(USE_TSPILE=1,I187,('TO HOP'!$E$137/ncoc+IF(SUMSQ($E$72:$E$91)=0,0,'TO HOP'!$F$137*$E90/SUMSQ($E$72:$E$91))+IF(SUMSQ($D$72:$D$91)=0,0,'TO HOP'!$G$137*$D90/SUMSQ($D$72:$D$91)))/9.81))</f>
        <v>0</v>
      </c>
      <c r="J114" s="51">
        <f>IF($B114="",0,IF(USE_TSPILE=1,J187,('TO HOP'!$E$138/ncoc+IF(SUMSQ($E$72:$E$91)=0,0,'TO HOP'!$F$138*$E90/SUMSQ($E$72:$E$91))+IF(SUMSQ($D$72:$D$91)=0,0,'TO HOP'!$G$138*$D90/SUMSQ($D$72:$D$91)))/9.81))</f>
        <v>0</v>
      </c>
      <c r="K114" s="51">
        <f>IF($B114="",0,IF(USE_TSPILE=1,K187,('TO HOP'!$E$139/ncoc+IF(SUMSQ($E$72:$E$91)=0,0,'TO HOP'!$F$139*$E90/SUMSQ($E$72:$E$91))+IF(SUMSQ($D$72:$D$91)=0,0,'TO HOP'!$G$139*$D90/SUMSQ($D$72:$D$91)))/9.81))</f>
        <v>0</v>
      </c>
      <c r="L114" s="51">
        <f>IF($B114="",0,IF(USE_TSPILE=1,L187,('TO HOP'!$E$140/ncoc+IF(SUMSQ($E$72:$E$91)=0,0,'TO HOP'!$F$140*$E90/SUMSQ($E$72:$E$91))+IF(SUMSQ($D$72:$D$91)=0,0,'TO HOP'!$G$140*$D90/SUMSQ($D$72:$D$91)))/9.81))</f>
        <v>0</v>
      </c>
      <c r="M114" s="51">
        <f>IF($B114="",0,IF(USE_TSPILE=1,M187,('TO HOP'!$E$141/ncoc+IF(SUMSQ($E$72:$E$91)=0,0,'TO HOP'!$F$141*$E90/SUMSQ($E$72:$E$91))+IF(SUMSQ($D$72:$D$91)=0,0,'TO HOP'!$G$141*$D90/SUMSQ($D$72:$D$91)))/9.81))</f>
        <v>0</v>
      </c>
      <c r="N114" s="51">
        <f>IF($B114="",0,IF(USE_TSPILE=1,N187,('TO HOP'!$E$142/ncoc+IF(SUMSQ($E$72:$E$91)=0,0,'TO HOP'!$F$142*$E90/SUMSQ($E$72:$E$91))+IF(SUMSQ($D$72:$D$91)=0,0,'TO HOP'!$G$142*$D90/SUMSQ($D$72:$D$91)))/9.81))</f>
        <v>0</v>
      </c>
      <c r="O114" s="51">
        <f>IF($B114="",0,IF(USE_TSPILE=1,O187,('TO HOP'!$E$143/ncoc+IF(SUMSQ($E$72:$E$91)=0,0,'TO HOP'!$F$143*$E90/SUMSQ($E$72:$E$91))+IF(SUMSQ($D$72:$D$91)=0,0,'TO HOP'!$G$143*$D90/SUMSQ($D$72:$D$91)))/9.81))</f>
        <v>0</v>
      </c>
      <c r="P114" s="51">
        <f>IF($B114="",0,IF(USE_TSPILE=1,P187,('TO HOP'!$E$144/ncoc+IF(SUMSQ($E$72:$E$91)=0,0,'TO HOP'!$F$144*$E90/SUMSQ($E$72:$E$91))+IF(SUMSQ($D$72:$D$91)=0,0,'TO HOP'!$G$144*$D90/SUMSQ($D$72:$D$91)))/9.81))</f>
        <v>0</v>
      </c>
      <c r="Q114" s="51">
        <f>IF($B114="",0,IF(USE_TSPILE=1,Q187,('TO HOP'!$E$145/ncoc+IF(SUMSQ($E$72:$E$91)=0,0,'TO HOP'!$F$145*$E90/SUMSQ($E$72:$E$91))+IF(SUMSQ($D$72:$D$91)=0,0,'TO HOP'!$G$145*$D90/SUMSQ($D$72:$D$91)))/9.81))</f>
        <v>0</v>
      </c>
      <c r="R114" s="51">
        <f>IF($B114="",0,IF(USE_TSPILE=1,R187,('TO HOP'!$E$146/ncoc+IF(SUMSQ($E$72:$E$91)=0,0,'TO HOP'!$F$146*$E90/SUMSQ($E$72:$E$91))+IF(SUMSQ($D$72:$D$91)=0,0,'TO HOP'!$G$146*$D90/SUMSQ($D$72:$D$91)))/9.81))</f>
        <v>0</v>
      </c>
      <c r="S114" s="51">
        <f>IF($B114="",0,IF(USE_TSPILE=1,S187,('TO HOP'!$E$147/ncoc+IF(SUMSQ($E$72:$E$91)=0,0,'TO HOP'!$F$147*$E90/SUMSQ($E$72:$E$91))+IF(SUMSQ($D$72:$D$91)=0,0,'TO HOP'!$G$147*$D90/SUMSQ($D$72:$D$91)))/9.81))</f>
        <v>0</v>
      </c>
      <c r="T114" s="51">
        <f>IF($B114="",0,IF(USE_TSPILE=1,T187,('TO HOP'!$E$148/ncoc+IF(SUMSQ($E$72:$E$91)=0,0,'TO HOP'!$F$148*$E90/SUMSQ($E$72:$E$91))+IF(SUMSQ($D$72:$D$91)=0,0,'TO HOP'!$G$148*$D90/SUMSQ($D$72:$D$91)))/9.81))</f>
        <v>0</v>
      </c>
      <c r="U114" s="51">
        <f>IF($B114="",0,IF(USE_TSPILE=1,U187,('TO HOP'!$E$149/ncoc+IF(SUMSQ($E$72:$E$91)=0,0,'TO HOP'!$F$149*$E90/SUMSQ($E$72:$E$91))+IF(SUMSQ($D$72:$D$91)=0,0,'TO HOP'!$G$149*$D90/SUMSQ($D$72:$D$91)))/9.81))</f>
        <v>0</v>
      </c>
      <c r="V114" s="51">
        <f>IF($B114="",0,IF(USE_TSPILE=1,V187,('TO HOP'!$E$150/ncoc+IF(SUMSQ($E$72:$E$91)=0,0,'TO HOP'!$F$150*$E90/SUMSQ($E$72:$E$91))+IF(SUMSQ($D$72:$D$91)=0,0,'TO HOP'!$G$150*$D90/SUMSQ($D$72:$D$91)))/9.81))</f>
        <v>0</v>
      </c>
      <c r="W114" s="51">
        <f>IF($B114="",0,IF(USE_TSPILE=1,W187,('TO HOP'!$E$151/ncoc+IF(SUMSQ($E$72:$E$91)=0,0,'TO HOP'!$F$151*$E90/SUMSQ($E$72:$E$91))+IF(SUMSQ($D$72:$D$91)=0,0,'TO HOP'!$G$151*$D90/SUMSQ($D$72:$D$91)))/9.81))</f>
        <v>0</v>
      </c>
      <c r="X114" s="51">
        <f>IF($B114="",0,IF(USE_TSPILE=1,X187,('TO HOP'!$E$152/ncoc+IF(SUMSQ($E$72:$E$91)=0,0,'TO HOP'!$F$152*$E90/SUMSQ($E$72:$E$91))+IF(SUMSQ($D$72:$D$91)=0,0,'TO HOP'!$G$152*$D90/SUMSQ($D$72:$D$91)))/9.81))</f>
        <v>0</v>
      </c>
      <c r="Y114" s="51">
        <f>IF($B114="",0,IF(USE_TSPILE=1,Y187,('TO HOP'!$E$153/ncoc+IF(SUMSQ($E$72:$E$91)=0,0,'TO HOP'!$F$153*$E90/SUMSQ($E$72:$E$91))+IF(SUMSQ($D$72:$D$91)=0,0,'TO HOP'!$G$153*$D90/SUMSQ($D$72:$D$91)))/9.81))</f>
        <v>0</v>
      </c>
      <c r="Z114" s="51">
        <f>IF($B114="",0,IF(USE_TSPILE=1,Z187,('TO HOP'!$E$154/ncoc+IF(SUMSQ($E$72:$E$91)=0,0,'TO HOP'!$F$154*$E90/SUMSQ($E$72:$E$91))+IF(SUMSQ($D$72:$D$91)=0,0,'TO HOP'!$G$154*$D90/SUMSQ($D$72:$D$91)))/9.81))</f>
        <v>0</v>
      </c>
      <c r="AA114" s="51">
        <f>IF($B114="",0,IF(USE_TSPILE=1,AA187,('TO HOP'!$E$155/ncoc+IF(SUMSQ($E$72:$E$91)=0,0,'TO HOP'!$F$155*$E90/SUMSQ($E$72:$E$91))+IF(SUMSQ($D$72:$D$91)=0,0,'TO HOP'!$G$155*$D90/SUMSQ($D$72:$D$91)))/9.81))</f>
        <v>0</v>
      </c>
      <c r="AB114" s="51">
        <f>IF($B114="",0,IF(USE_TSPILE=1,AB187,('TO HOP'!$E$156/ncoc+IF(SUMSQ($E$72:$E$91)=0,0,'TO HOP'!$F$156*$E90/SUMSQ($E$72:$E$91))+IF(SUMSQ($D$72:$D$91)=0,0,'TO HOP'!$G$156*$D90/SUMSQ($D$72:$D$91)))/9.81))</f>
        <v>0</v>
      </c>
      <c r="AC114" s="51">
        <f>IF($B114="",0,IF(USE_TSPILE=1,AC187,('TO HOP'!$E$157/ncoc+IF(SUMSQ($E$72:$E$91)=0,0,'TO HOP'!$F$157*$E90/SUMSQ($E$72:$E$91))+IF(SUMSQ($D$72:$D$91)=0,0,'TO HOP'!$G$157*$D90/SUMSQ($D$72:$D$91)))/9.81))</f>
        <v>0</v>
      </c>
      <c r="AD114" s="51">
        <f>IF($B114="",0,IF(USE_TSPILE=1,AD187,('TO HOP'!$E$158/ncoc+IF(SUMSQ($E$72:$E$91)=0,0,'TO HOP'!$F$158*$E90/SUMSQ($E$72:$E$91))+IF(SUMSQ($D$72:$D$91)=0,0,'TO HOP'!$G$158*$D90/SUMSQ($D$72:$D$91)))/9.81))</f>
        <v>0</v>
      </c>
      <c r="AE114" s="51">
        <f>IF($B114="",0,IF(USE_TSPILE=1,AE187,('TO HOP'!$E$159/ncoc+IF(SUMSQ($E$72:$E$91)=0,0,'TO HOP'!$F$159*$E90/SUMSQ($E$72:$E$91))+IF(SUMSQ($D$72:$D$91)=0,0,'TO HOP'!$G$159*$D90/SUMSQ($D$72:$D$91)))/9.81))</f>
        <v>0</v>
      </c>
      <c r="AF114" s="51">
        <f>IF($B114="",0,IF(USE_TSPILE=1,AF187,('TO HOP'!$E$160/ncoc+IF(SUMSQ($E$72:$E$91)=0,0,'TO HOP'!$F$160*$E90/SUMSQ($E$72:$E$91))+IF(SUMSQ($D$72:$D$91)=0,0,'TO HOP'!$G$160*$D90/SUMSQ($D$72:$D$91)))/9.81))</f>
        <v>0</v>
      </c>
      <c r="AG114" s="51">
        <f>IF($B114="",0,IF(USE_TSPILE=1,AG187,('TO HOP'!$E$161/ncoc+IF(SUMSQ($E$72:$E$91)=0,0,'TO HOP'!$F$161*$E90/SUMSQ($E$72:$E$91))+IF(SUMSQ($D$72:$D$91)=0,0,'TO HOP'!$G$161*$D90/SUMSQ($D$72:$D$91)))/9.81))</f>
        <v>0</v>
      </c>
      <c r="AH114" s="51">
        <f>IF($B114="",0,IF(USE_TSPILE=1,AH187,('TO HOP'!$E$162/ncoc+IF(SUMSQ($E$72:$E$91)=0,0,'TO HOP'!$F$162*$E90/SUMSQ($E$72:$E$91))+IF(SUMSQ($D$72:$D$91)=0,0,'TO HOP'!$G$162*$D90/SUMSQ($D$72:$D$91)))/9.81))</f>
        <v>0</v>
      </c>
      <c r="AI114" s="51">
        <f>IF($B114="",0,IF(USE_TSPILE=1,AI187,('TO HOP'!$E$163/ncoc+IF(SUMSQ($E$72:$E$91)=0,0,'TO HOP'!$F$163*$E90/SUMSQ($E$72:$E$91))+IF(SUMSQ($D$72:$D$91)=0,0,'TO HOP'!$G$163*$D90/SUMSQ($D$72:$D$91)))/9.81))</f>
        <v>0</v>
      </c>
      <c r="AJ114" s="51">
        <f>IF($B114="",0,IF(USE_TSPILE=1,AJ187,('TO HOP'!$E$164/ncoc+IF(SUMSQ($E$72:$E$91)=0,0,'TO HOP'!$F$164*$E90/SUMSQ($E$72:$E$91))+IF(SUMSQ($D$72:$D$91)=0,0,'TO HOP'!$G$164*$D90/SUMSQ($D$72:$D$91)))/9.81))</f>
        <v>0</v>
      </c>
      <c r="AK114" s="51">
        <f>IF($B114="",0,IF(USE_TSPILE=1,AK187,('TO HOP'!$E$165/ncoc+IF(SUMSQ($E$72:$E$91)=0,0,'TO HOP'!$F$165*$E90/SUMSQ($E$72:$E$91))+IF(SUMSQ($D$72:$D$91)=0,0,'TO HOP'!$G$165*$D90/SUMSQ($D$72:$D$91)))/9.81))</f>
        <v>0</v>
      </c>
      <c r="AL114" s="51">
        <f>IF($B114="",0,IF(USE_TSPILE=1,AL187,('TO HOP'!$E$166/ncoc+IF(SUMSQ($E$72:$E$91)=0,0,'TO HOP'!$F$166*$E90/SUMSQ($E$72:$E$91))+IF(SUMSQ($D$72:$D$91)=0,0,'TO HOP'!$G$166*$D90/SUMSQ($D$72:$D$91)))/9.81))</f>
        <v>0</v>
      </c>
      <c r="AM114" s="51">
        <f>IF($B114="",0,IF(USE_TSPILE=1,AM187,('TO HOP'!$E$167/ncoc+IF(SUMSQ($E$72:$E$91)=0,0,'TO HOP'!$F$167*$E90/SUMSQ($E$72:$E$91))+IF(SUMSQ($D$72:$D$91)=0,0,'TO HOP'!$G$167*$D90/SUMSQ($D$72:$D$91)))/9.81))</f>
        <v>0</v>
      </c>
      <c r="AN114" s="51">
        <f>IF($B114="",0,IF(USE_TSPILE=1,AN187,('TO HOP'!$E$168/ncoc+IF(SUMSQ($E$72:$E$91)=0,0,'TO HOP'!$F$168*$E90/SUMSQ($E$72:$E$91))+IF(SUMSQ($D$72:$D$91)=0,0,'TO HOP'!$G$168*$D90/SUMSQ($D$72:$D$91)))/9.81))</f>
        <v>0</v>
      </c>
      <c r="AO114" s="51">
        <f>IF($B114="",0,IF(USE_TSPILE=1,AO187,('TO HOP'!$E$169/ncoc+IF(SUMSQ($E$72:$E$91)=0,0,'TO HOP'!$F$169*$E90/SUMSQ($E$72:$E$91))+IF(SUMSQ($D$72:$D$91)=0,0,'TO HOP'!$G$169*$D90/SUMSQ($D$72:$D$91)))/9.81))</f>
        <v>0</v>
      </c>
      <c r="AP114" s="51">
        <f>IF($B114="",0,IF(USE_TSPILE=1,AP187,('TO HOP'!$E$170/ncoc+IF(SUMSQ($E$72:$E$91)=0,0,'TO HOP'!$F$170*$E90/SUMSQ($E$72:$E$91))+IF(SUMSQ($D$72:$D$91)=0,0,'TO HOP'!$G$170*$D90/SUMSQ($D$72:$D$91)))/9.81))</f>
        <v>0</v>
      </c>
      <c r="AQ114" s="51">
        <f>IF($B114="",0,IF(USE_TSPILE=1,AQ187,('TO HOP'!$E$171/ncoc+IF(SUMSQ($E$72:$E$91)=0,0,'TO HOP'!$F$171*$E90/SUMSQ($E$72:$E$91))+IF(SUMSQ($D$72:$D$91)=0,0,'TO HOP'!$G$171*$D90/SUMSQ($D$72:$D$91)))/9.81))</f>
        <v>0</v>
      </c>
      <c r="AR114" s="51">
        <f>IF($B114="",0,IF(USE_TSPILE=1,AR187,('TO HOP'!$E$172/ncoc+IF(SUMSQ($E$72:$E$91)=0,0,'TO HOP'!$F$172*$E90/SUMSQ($E$72:$E$91))+IF(SUMSQ($D$72:$D$91)=0,0,'TO HOP'!$G$172*$D90/SUMSQ($D$72:$D$91)))/9.81))</f>
        <v>0</v>
      </c>
      <c r="AS114" s="51">
        <f>IF($B114="",0,IF(USE_TSPILE=1,AS187,('TO HOP'!$E$173/ncoc+IF(SUMSQ($E$72:$E$91)=0,0,'TO HOP'!$F$173*$E90/SUMSQ($E$72:$E$91))+IF(SUMSQ($D$72:$D$91)=0,0,'TO HOP'!$G$173*$D90/SUMSQ($D$72:$D$91)))/9.81))</f>
        <v>0</v>
      </c>
      <c r="AT114" s="51">
        <f>IF($B114="",0,IF(USE_TSPILE=1,AT187,('TO HOP'!$E$174/ncoc+IF(SUMSQ($E$72:$E$91)=0,0,'TO HOP'!$F$174*$E90/SUMSQ($E$72:$E$91))+IF(SUMSQ($D$72:$D$91)=0,0,'TO HOP'!$G$174*$D90/SUMSQ($D$72:$D$91)))/9.81))</f>
        <v>0</v>
      </c>
      <c r="AU114" s="51">
        <f>IF($B114="",0,IF(USE_TSPILE=1,AU187,('TO HOP'!$E$175/ncoc+IF(SUMSQ($E$72:$E$91)=0,0,'TO HOP'!$F$175*$E90/SUMSQ($E$72:$E$91))+IF(SUMSQ($D$72:$D$91)=0,0,'TO HOP'!$G$175*$D90/SUMSQ($D$72:$D$91)))/9.81))</f>
        <v>0</v>
      </c>
      <c r="AV114" s="51">
        <f>IF($B114="",0,IF(USE_TSPILE=1,AV187,('TO HOP'!$E$176/ncoc+IF(SUMSQ($E$72:$E$91)=0,0,'TO HOP'!$F$176*$E90/SUMSQ($E$72:$E$91))+IF(SUMSQ($D$72:$D$91)=0,0,'TO HOP'!$G$176*$D90/SUMSQ($D$72:$D$91)))/9.81))</f>
        <v>0</v>
      </c>
      <c r="AW114" s="51">
        <f>IF($B114="",0,IF(USE_TSPILE=1,AW187,('TO HOP'!$E$177/ncoc+IF(SUMSQ($E$72:$E$91)=0,0,'TO HOP'!$F$177*$E90/SUMSQ($E$72:$E$91))+IF(SUMSQ($D$72:$D$91)=0,0,'TO HOP'!$G$177*$D90/SUMSQ($D$72:$D$91)))/9.81))</f>
        <v>0</v>
      </c>
      <c r="AX114" s="51">
        <f>IF($B114="",0,IF(USE_TSPILE=1,AX187,('TO HOP'!$E$178/ncoc+IF(SUMSQ($E$72:$E$91)=0,0,'TO HOP'!$F$178*$E90/SUMSQ($E$72:$E$91))+IF(SUMSQ($D$72:$D$91)=0,0,'TO HOP'!$G$178*$D90/SUMSQ($D$72:$D$91)))/9.81))</f>
        <v>0</v>
      </c>
      <c r="AY114" s="51">
        <f>IF($B114="",0,IF(USE_TSPILE=1,AY187,('TO HOP'!$E$179/ncoc+IF(SUMSQ($E$72:$E$91)=0,0,'TO HOP'!$F$179*$E90/SUMSQ($E$72:$E$91))+IF(SUMSQ($D$72:$D$91)=0,0,'TO HOP'!$G$179*$D90/SUMSQ($D$72:$D$91)))/9.81))</f>
        <v>0</v>
      </c>
      <c r="AZ114" s="51">
        <f>IF($B114="",0,IF(USE_TSPILE=1,AZ187,('TO HOP'!$E$180/ncoc+IF(SUMSQ($E$72:$E$91)=0,0,'TO HOP'!$F$180*$E90/SUMSQ($E$72:$E$91))+IF(SUMSQ($D$72:$D$91)=0,0,'TO HOP'!$G$180*$D90/SUMSQ($D$72:$D$91)))/9.81))</f>
        <v>0</v>
      </c>
      <c r="BA114" s="51">
        <f>IF($B114="",0,IF(USE_TSPILE=1,BA187,('TO HOP'!$E$181/ncoc+IF(SUMSQ($E$72:$E$91)=0,0,'TO HOP'!$F$181*$E90/SUMSQ($E$72:$E$91))+IF(SUMSQ($D$72:$D$91)=0,0,'TO HOP'!$G$181*$D90/SUMSQ($D$72:$D$91)))/9.81))</f>
        <v>0</v>
      </c>
      <c r="BB114" s="51">
        <f>IF($B114="",0,IF(USE_TSPILE=1,BB187,('TO HOP'!$E$182/ncoc+IF(SUMSQ($E$72:$E$91)=0,0,'TO HOP'!$F$182*$E90/SUMSQ($E$72:$E$91))+IF(SUMSQ($D$72:$D$91)=0,0,'TO HOP'!$G$182*$D90/SUMSQ($D$72:$D$91)))/9.81))</f>
        <v>0</v>
      </c>
      <c r="BC114" s="51">
        <f>IF($B114="",0,IF(USE_TSPILE=1,BC187,('TO HOP'!$E$183/ncoc+IF(SUMSQ($E$72:$E$91)=0,0,'TO HOP'!$F$183*$E90/SUMSQ($E$72:$E$91))+IF(SUMSQ($D$72:$D$91)=0,0,'TO HOP'!$G$183*$D90/SUMSQ($D$72:$D$91)))/9.81))</f>
        <v>0</v>
      </c>
      <c r="BD114" s="51">
        <f>IF($B114="",0,IF(USE_TSPILE=1,BD187,('TO HOP'!$E$184/ncoc+IF(SUMSQ($E$72:$E$91)=0,0,'TO HOP'!$F$184*$E90/SUMSQ($E$72:$E$91))+IF(SUMSQ($D$72:$D$91)=0,0,'TO HOP'!$G$184*$D90/SUMSQ($D$72:$D$91)))/9.81))</f>
        <v>0</v>
      </c>
      <c r="BE114" s="51">
        <f>IF($B114="",0,IF(USE_TSPILE=1,BE187,('TO HOP'!$E$185/ncoc+IF(SUMSQ($E$72:$E$91)=0,0,'TO HOP'!$F$185*$E90/SUMSQ($E$72:$E$91))+IF(SUMSQ($D$72:$D$91)=0,0,'TO HOP'!$G$185*$D90/SUMSQ($D$72:$D$91)))/9.81))</f>
        <v>0</v>
      </c>
      <c r="BF114" s="51">
        <f>IF($B114="",0,IF(USE_TSPILE=1,BF187,('TO HOP'!$E$186/ncoc+IF(SUMSQ($E$72:$E$91)=0,0,'TO HOP'!$F$186*$E90/SUMSQ($E$72:$E$91))+IF(SUMSQ($D$72:$D$91)=0,0,'TO HOP'!$G$186*$D90/SUMSQ($D$72:$D$91)))/9.81))</f>
        <v>0</v>
      </c>
      <c r="BG114" s="51">
        <f>IF($B114="",0,IF(USE_TSPILE=1,BG187,('TO HOP'!$E$187/ncoc+IF(SUMSQ($E$72:$E$91)=0,0,'TO HOP'!$F$187*$E90/SUMSQ($E$72:$E$91))+IF(SUMSQ($D$72:$D$91)=0,0,'TO HOP'!$G$187*$D90/SUMSQ($D$72:$D$91)))/9.81))</f>
        <v>0</v>
      </c>
      <c r="BH114" s="51">
        <f>IF($B114="",0,IF(USE_TSPILE=1,BH187,('TO HOP'!$E$188/ncoc+IF(SUMSQ($E$72:$E$91)=0,0,'TO HOP'!$F$188*$E90/SUMSQ($E$72:$E$91))+IF(SUMSQ($D$72:$D$91)=0,0,'TO HOP'!$G$188*$D90/SUMSQ($D$72:$D$91)))/9.81))</f>
        <v>0</v>
      </c>
      <c r="BI114" s="51">
        <f>IF($B114="",0,IF(USE_TSPILE=1,BI187,('TO HOP'!$E$189/ncoc+IF(SUMSQ($E$72:$E$91)=0,0,'TO HOP'!$F$189*$E90/SUMSQ($E$72:$E$91))+IF(SUMSQ($D$72:$D$91)=0,0,'TO HOP'!$G$189*$D90/SUMSQ($D$72:$D$91)))/9.81))</f>
        <v>0</v>
      </c>
      <c r="BJ114" s="51">
        <f>IF($B114="",0,IF(USE_TSPILE=1,BJ187,('TO HOP'!$E$190/ncoc+IF(SUMSQ($E$72:$E$91)=0,0,'TO HOP'!$F$190*$E90/SUMSQ($E$72:$E$91))+IF(SUMSQ($D$72:$D$91)=0,0,'TO HOP'!$G$190*$D90/SUMSQ($D$72:$D$91)))/9.81))</f>
        <v>0</v>
      </c>
      <c r="BK114" s="51">
        <f>IF($B114="",0,IF(USE_TSPILE=1,BK187,('TO HOP'!$E$191/ncoc+IF(SUMSQ($E$72:$E$91)=0,0,'TO HOP'!$F$191*$E90/SUMSQ($E$72:$E$91))+IF(SUMSQ($D$72:$D$91)=0,0,'TO HOP'!$G$191*$D90/SUMSQ($D$72:$D$91)))/9.81))</f>
        <v>0</v>
      </c>
      <c r="BL114" s="51">
        <f>IF($B114="",0,IF(USE_TSPILE=1,BL187,('TO HOP'!$E$192/ncoc+IF(SUMSQ($E$72:$E$91)=0,0,'TO HOP'!$F$192*$E90/SUMSQ($E$72:$E$91))+IF(SUMSQ($D$72:$D$91)=0,0,'TO HOP'!$G$192*$D90/SUMSQ($D$72:$D$91)))/9.81))</f>
        <v>0</v>
      </c>
    </row>
    <row r="115" spans="2:64" x14ac:dyDescent="0.3">
      <c r="B115" s="14" t="str">
        <f>IF(20&lt;=ncoc,20,"")</f>
        <v/>
      </c>
      <c r="C115" s="51">
        <f>IF($B115="",0,IF(USE_TSPILE=1,C188,('TO HOP'!$E$131/ncoc+IF(SUMSQ($E$72:$E$91)=0,0,'TO HOP'!$F$131*$E91/SUMSQ($E$72:$E$91))+IF(SUMSQ($D$72:$D$91)=0,0,'TO HOP'!$G$131*$D91/SUMSQ($D$72:$D$91)))/9.81))</f>
        <v>0</v>
      </c>
      <c r="D115" s="51">
        <f>IF($B115="",0,IF(USE_TSPILE=1,D188,('TO HOP'!$E$132/ncoc+IF(SUMSQ($E$72:$E$91)=0,0,'TO HOP'!$F$132*$E91/SUMSQ($E$72:$E$91))+IF(SUMSQ($D$72:$D$91)=0,0,'TO HOP'!$G$132*$D91/SUMSQ($D$72:$D$91)))/9.81))</f>
        <v>0</v>
      </c>
      <c r="E115" s="51">
        <f>IF($B115="",0,IF(USE_TSPILE=1,E188,('TO HOP'!$E$133/ncoc+IF(SUMSQ($E$72:$E$91)=0,0,'TO HOP'!$F$133*$E91/SUMSQ($E$72:$E$91))+IF(SUMSQ($D$72:$D$91)=0,0,'TO HOP'!$G$133*$D91/SUMSQ($D$72:$D$91)))/9.81))</f>
        <v>0</v>
      </c>
      <c r="F115" s="51">
        <f>IF($B115="",0,IF(USE_TSPILE=1,F188,('TO HOP'!$E$134/ncoc+IF(SUMSQ($E$72:$E$91)=0,0,'TO HOP'!$F$134*$E91/SUMSQ($E$72:$E$91))+IF(SUMSQ($D$72:$D$91)=0,0,'TO HOP'!$G$134*$D91/SUMSQ($D$72:$D$91)))/9.81))</f>
        <v>0</v>
      </c>
      <c r="G115" s="51">
        <f>IF($B115="",0,IF(USE_TSPILE=1,G188,('TO HOP'!$E$135/ncoc+IF(SUMSQ($E$72:$E$91)=0,0,'TO HOP'!$F$135*$E91/SUMSQ($E$72:$E$91))+IF(SUMSQ($D$72:$D$91)=0,0,'TO HOP'!$G$135*$D91/SUMSQ($D$72:$D$91)))/9.81))</f>
        <v>0</v>
      </c>
      <c r="H115" s="51">
        <f>IF($B115="",0,IF(USE_TSPILE=1,H188,('TO HOP'!$E$136/ncoc+IF(SUMSQ($E$72:$E$91)=0,0,'TO HOP'!$F$136*$E91/SUMSQ($E$72:$E$91))+IF(SUMSQ($D$72:$D$91)=0,0,'TO HOP'!$G$136*$D91/SUMSQ($D$72:$D$91)))/9.81))</f>
        <v>0</v>
      </c>
      <c r="I115" s="51">
        <f>IF($B115="",0,IF(USE_TSPILE=1,I188,('TO HOP'!$E$137/ncoc+IF(SUMSQ($E$72:$E$91)=0,0,'TO HOP'!$F$137*$E91/SUMSQ($E$72:$E$91))+IF(SUMSQ($D$72:$D$91)=0,0,'TO HOP'!$G$137*$D91/SUMSQ($D$72:$D$91)))/9.81))</f>
        <v>0</v>
      </c>
      <c r="J115" s="51">
        <f>IF($B115="",0,IF(USE_TSPILE=1,J188,('TO HOP'!$E$138/ncoc+IF(SUMSQ($E$72:$E$91)=0,0,'TO HOP'!$F$138*$E91/SUMSQ($E$72:$E$91))+IF(SUMSQ($D$72:$D$91)=0,0,'TO HOP'!$G$138*$D91/SUMSQ($D$72:$D$91)))/9.81))</f>
        <v>0</v>
      </c>
      <c r="K115" s="51">
        <f>IF($B115="",0,IF(USE_TSPILE=1,K188,('TO HOP'!$E$139/ncoc+IF(SUMSQ($E$72:$E$91)=0,0,'TO HOP'!$F$139*$E91/SUMSQ($E$72:$E$91))+IF(SUMSQ($D$72:$D$91)=0,0,'TO HOP'!$G$139*$D91/SUMSQ($D$72:$D$91)))/9.81))</f>
        <v>0</v>
      </c>
      <c r="L115" s="51">
        <f>IF($B115="",0,IF(USE_TSPILE=1,L188,('TO HOP'!$E$140/ncoc+IF(SUMSQ($E$72:$E$91)=0,0,'TO HOP'!$F$140*$E91/SUMSQ($E$72:$E$91))+IF(SUMSQ($D$72:$D$91)=0,0,'TO HOP'!$G$140*$D91/SUMSQ($D$72:$D$91)))/9.81))</f>
        <v>0</v>
      </c>
      <c r="M115" s="51">
        <f>IF($B115="",0,IF(USE_TSPILE=1,M188,('TO HOP'!$E$141/ncoc+IF(SUMSQ($E$72:$E$91)=0,0,'TO HOP'!$F$141*$E91/SUMSQ($E$72:$E$91))+IF(SUMSQ($D$72:$D$91)=0,0,'TO HOP'!$G$141*$D91/SUMSQ($D$72:$D$91)))/9.81))</f>
        <v>0</v>
      </c>
      <c r="N115" s="51">
        <f>IF($B115="",0,IF(USE_TSPILE=1,N188,('TO HOP'!$E$142/ncoc+IF(SUMSQ($E$72:$E$91)=0,0,'TO HOP'!$F$142*$E91/SUMSQ($E$72:$E$91))+IF(SUMSQ($D$72:$D$91)=0,0,'TO HOP'!$G$142*$D91/SUMSQ($D$72:$D$91)))/9.81))</f>
        <v>0</v>
      </c>
      <c r="O115" s="51">
        <f>IF($B115="",0,IF(USE_TSPILE=1,O188,('TO HOP'!$E$143/ncoc+IF(SUMSQ($E$72:$E$91)=0,0,'TO HOP'!$F$143*$E91/SUMSQ($E$72:$E$91))+IF(SUMSQ($D$72:$D$91)=0,0,'TO HOP'!$G$143*$D91/SUMSQ($D$72:$D$91)))/9.81))</f>
        <v>0</v>
      </c>
      <c r="P115" s="51">
        <f>IF($B115="",0,IF(USE_TSPILE=1,P188,('TO HOP'!$E$144/ncoc+IF(SUMSQ($E$72:$E$91)=0,0,'TO HOP'!$F$144*$E91/SUMSQ($E$72:$E$91))+IF(SUMSQ($D$72:$D$91)=0,0,'TO HOP'!$G$144*$D91/SUMSQ($D$72:$D$91)))/9.81))</f>
        <v>0</v>
      </c>
      <c r="Q115" s="51">
        <f>IF($B115="",0,IF(USE_TSPILE=1,Q188,('TO HOP'!$E$145/ncoc+IF(SUMSQ($E$72:$E$91)=0,0,'TO HOP'!$F$145*$E91/SUMSQ($E$72:$E$91))+IF(SUMSQ($D$72:$D$91)=0,0,'TO HOP'!$G$145*$D91/SUMSQ($D$72:$D$91)))/9.81))</f>
        <v>0</v>
      </c>
      <c r="R115" s="51">
        <f>IF($B115="",0,IF(USE_TSPILE=1,R188,('TO HOP'!$E$146/ncoc+IF(SUMSQ($E$72:$E$91)=0,0,'TO HOP'!$F$146*$E91/SUMSQ($E$72:$E$91))+IF(SUMSQ($D$72:$D$91)=0,0,'TO HOP'!$G$146*$D91/SUMSQ($D$72:$D$91)))/9.81))</f>
        <v>0</v>
      </c>
      <c r="S115" s="51">
        <f>IF($B115="",0,IF(USE_TSPILE=1,S188,('TO HOP'!$E$147/ncoc+IF(SUMSQ($E$72:$E$91)=0,0,'TO HOP'!$F$147*$E91/SUMSQ($E$72:$E$91))+IF(SUMSQ($D$72:$D$91)=0,0,'TO HOP'!$G$147*$D91/SUMSQ($D$72:$D$91)))/9.81))</f>
        <v>0</v>
      </c>
      <c r="T115" s="51">
        <f>IF($B115="",0,IF(USE_TSPILE=1,T188,('TO HOP'!$E$148/ncoc+IF(SUMSQ($E$72:$E$91)=0,0,'TO HOP'!$F$148*$E91/SUMSQ($E$72:$E$91))+IF(SUMSQ($D$72:$D$91)=0,0,'TO HOP'!$G$148*$D91/SUMSQ($D$72:$D$91)))/9.81))</f>
        <v>0</v>
      </c>
      <c r="U115" s="51">
        <f>IF($B115="",0,IF(USE_TSPILE=1,U188,('TO HOP'!$E$149/ncoc+IF(SUMSQ($E$72:$E$91)=0,0,'TO HOP'!$F$149*$E91/SUMSQ($E$72:$E$91))+IF(SUMSQ($D$72:$D$91)=0,0,'TO HOP'!$G$149*$D91/SUMSQ($D$72:$D$91)))/9.81))</f>
        <v>0</v>
      </c>
      <c r="V115" s="51">
        <f>IF($B115="",0,IF(USE_TSPILE=1,V188,('TO HOP'!$E$150/ncoc+IF(SUMSQ($E$72:$E$91)=0,0,'TO HOP'!$F$150*$E91/SUMSQ($E$72:$E$91))+IF(SUMSQ($D$72:$D$91)=0,0,'TO HOP'!$G$150*$D91/SUMSQ($D$72:$D$91)))/9.81))</f>
        <v>0</v>
      </c>
      <c r="W115" s="51">
        <f>IF($B115="",0,IF(USE_TSPILE=1,W188,('TO HOP'!$E$151/ncoc+IF(SUMSQ($E$72:$E$91)=0,0,'TO HOP'!$F$151*$E91/SUMSQ($E$72:$E$91))+IF(SUMSQ($D$72:$D$91)=0,0,'TO HOP'!$G$151*$D91/SUMSQ($D$72:$D$91)))/9.81))</f>
        <v>0</v>
      </c>
      <c r="X115" s="51">
        <f>IF($B115="",0,IF(USE_TSPILE=1,X188,('TO HOP'!$E$152/ncoc+IF(SUMSQ($E$72:$E$91)=0,0,'TO HOP'!$F$152*$E91/SUMSQ($E$72:$E$91))+IF(SUMSQ($D$72:$D$91)=0,0,'TO HOP'!$G$152*$D91/SUMSQ($D$72:$D$91)))/9.81))</f>
        <v>0</v>
      </c>
      <c r="Y115" s="51">
        <f>IF($B115="",0,IF(USE_TSPILE=1,Y188,('TO HOP'!$E$153/ncoc+IF(SUMSQ($E$72:$E$91)=0,0,'TO HOP'!$F$153*$E91/SUMSQ($E$72:$E$91))+IF(SUMSQ($D$72:$D$91)=0,0,'TO HOP'!$G$153*$D91/SUMSQ($D$72:$D$91)))/9.81))</f>
        <v>0</v>
      </c>
      <c r="Z115" s="51">
        <f>IF($B115="",0,IF(USE_TSPILE=1,Z188,('TO HOP'!$E$154/ncoc+IF(SUMSQ($E$72:$E$91)=0,0,'TO HOP'!$F$154*$E91/SUMSQ($E$72:$E$91))+IF(SUMSQ($D$72:$D$91)=0,0,'TO HOP'!$G$154*$D91/SUMSQ($D$72:$D$91)))/9.81))</f>
        <v>0</v>
      </c>
      <c r="AA115" s="51">
        <f>IF($B115="",0,IF(USE_TSPILE=1,AA188,('TO HOP'!$E$155/ncoc+IF(SUMSQ($E$72:$E$91)=0,0,'TO HOP'!$F$155*$E91/SUMSQ($E$72:$E$91))+IF(SUMSQ($D$72:$D$91)=0,0,'TO HOP'!$G$155*$D91/SUMSQ($D$72:$D$91)))/9.81))</f>
        <v>0</v>
      </c>
      <c r="AB115" s="51">
        <f>IF($B115="",0,IF(USE_TSPILE=1,AB188,('TO HOP'!$E$156/ncoc+IF(SUMSQ($E$72:$E$91)=0,0,'TO HOP'!$F$156*$E91/SUMSQ($E$72:$E$91))+IF(SUMSQ($D$72:$D$91)=0,0,'TO HOP'!$G$156*$D91/SUMSQ($D$72:$D$91)))/9.81))</f>
        <v>0</v>
      </c>
      <c r="AC115" s="51">
        <f>IF($B115="",0,IF(USE_TSPILE=1,AC188,('TO HOP'!$E$157/ncoc+IF(SUMSQ($E$72:$E$91)=0,0,'TO HOP'!$F$157*$E91/SUMSQ($E$72:$E$91))+IF(SUMSQ($D$72:$D$91)=0,0,'TO HOP'!$G$157*$D91/SUMSQ($D$72:$D$91)))/9.81))</f>
        <v>0</v>
      </c>
      <c r="AD115" s="51">
        <f>IF($B115="",0,IF(USE_TSPILE=1,AD188,('TO HOP'!$E$158/ncoc+IF(SUMSQ($E$72:$E$91)=0,0,'TO HOP'!$F$158*$E91/SUMSQ($E$72:$E$91))+IF(SUMSQ($D$72:$D$91)=0,0,'TO HOP'!$G$158*$D91/SUMSQ($D$72:$D$91)))/9.81))</f>
        <v>0</v>
      </c>
      <c r="AE115" s="51">
        <f>IF($B115="",0,IF(USE_TSPILE=1,AE188,('TO HOP'!$E$159/ncoc+IF(SUMSQ($E$72:$E$91)=0,0,'TO HOP'!$F$159*$E91/SUMSQ($E$72:$E$91))+IF(SUMSQ($D$72:$D$91)=0,0,'TO HOP'!$G$159*$D91/SUMSQ($D$72:$D$91)))/9.81))</f>
        <v>0</v>
      </c>
      <c r="AF115" s="51">
        <f>IF($B115="",0,IF(USE_TSPILE=1,AF188,('TO HOP'!$E$160/ncoc+IF(SUMSQ($E$72:$E$91)=0,0,'TO HOP'!$F$160*$E91/SUMSQ($E$72:$E$91))+IF(SUMSQ($D$72:$D$91)=0,0,'TO HOP'!$G$160*$D91/SUMSQ($D$72:$D$91)))/9.81))</f>
        <v>0</v>
      </c>
      <c r="AG115" s="51">
        <f>IF($B115="",0,IF(USE_TSPILE=1,AG188,('TO HOP'!$E$161/ncoc+IF(SUMSQ($E$72:$E$91)=0,0,'TO HOP'!$F$161*$E91/SUMSQ($E$72:$E$91))+IF(SUMSQ($D$72:$D$91)=0,0,'TO HOP'!$G$161*$D91/SUMSQ($D$72:$D$91)))/9.81))</f>
        <v>0</v>
      </c>
      <c r="AH115" s="51">
        <f>IF($B115="",0,IF(USE_TSPILE=1,AH188,('TO HOP'!$E$162/ncoc+IF(SUMSQ($E$72:$E$91)=0,0,'TO HOP'!$F$162*$E91/SUMSQ($E$72:$E$91))+IF(SUMSQ($D$72:$D$91)=0,0,'TO HOP'!$G$162*$D91/SUMSQ($D$72:$D$91)))/9.81))</f>
        <v>0</v>
      </c>
      <c r="AI115" s="51">
        <f>IF($B115="",0,IF(USE_TSPILE=1,AI188,('TO HOP'!$E$163/ncoc+IF(SUMSQ($E$72:$E$91)=0,0,'TO HOP'!$F$163*$E91/SUMSQ($E$72:$E$91))+IF(SUMSQ($D$72:$D$91)=0,0,'TO HOP'!$G$163*$D91/SUMSQ($D$72:$D$91)))/9.81))</f>
        <v>0</v>
      </c>
      <c r="AJ115" s="51">
        <f>IF($B115="",0,IF(USE_TSPILE=1,AJ188,('TO HOP'!$E$164/ncoc+IF(SUMSQ($E$72:$E$91)=0,0,'TO HOP'!$F$164*$E91/SUMSQ($E$72:$E$91))+IF(SUMSQ($D$72:$D$91)=0,0,'TO HOP'!$G$164*$D91/SUMSQ($D$72:$D$91)))/9.81))</f>
        <v>0</v>
      </c>
      <c r="AK115" s="51">
        <f>IF($B115="",0,IF(USE_TSPILE=1,AK188,('TO HOP'!$E$165/ncoc+IF(SUMSQ($E$72:$E$91)=0,0,'TO HOP'!$F$165*$E91/SUMSQ($E$72:$E$91))+IF(SUMSQ($D$72:$D$91)=0,0,'TO HOP'!$G$165*$D91/SUMSQ($D$72:$D$91)))/9.81))</f>
        <v>0</v>
      </c>
      <c r="AL115" s="51">
        <f>IF($B115="",0,IF(USE_TSPILE=1,AL188,('TO HOP'!$E$166/ncoc+IF(SUMSQ($E$72:$E$91)=0,0,'TO HOP'!$F$166*$E91/SUMSQ($E$72:$E$91))+IF(SUMSQ($D$72:$D$91)=0,0,'TO HOP'!$G$166*$D91/SUMSQ($D$72:$D$91)))/9.81))</f>
        <v>0</v>
      </c>
      <c r="AM115" s="51">
        <f>IF($B115="",0,IF(USE_TSPILE=1,AM188,('TO HOP'!$E$167/ncoc+IF(SUMSQ($E$72:$E$91)=0,0,'TO HOP'!$F$167*$E91/SUMSQ($E$72:$E$91))+IF(SUMSQ($D$72:$D$91)=0,0,'TO HOP'!$G$167*$D91/SUMSQ($D$72:$D$91)))/9.81))</f>
        <v>0</v>
      </c>
      <c r="AN115" s="51">
        <f>IF($B115="",0,IF(USE_TSPILE=1,AN188,('TO HOP'!$E$168/ncoc+IF(SUMSQ($E$72:$E$91)=0,0,'TO HOP'!$F$168*$E91/SUMSQ($E$72:$E$91))+IF(SUMSQ($D$72:$D$91)=0,0,'TO HOP'!$G$168*$D91/SUMSQ($D$72:$D$91)))/9.81))</f>
        <v>0</v>
      </c>
      <c r="AO115" s="51">
        <f>IF($B115="",0,IF(USE_TSPILE=1,AO188,('TO HOP'!$E$169/ncoc+IF(SUMSQ($E$72:$E$91)=0,0,'TO HOP'!$F$169*$E91/SUMSQ($E$72:$E$91))+IF(SUMSQ($D$72:$D$91)=0,0,'TO HOP'!$G$169*$D91/SUMSQ($D$72:$D$91)))/9.81))</f>
        <v>0</v>
      </c>
      <c r="AP115" s="51">
        <f>IF($B115="",0,IF(USE_TSPILE=1,AP188,('TO HOP'!$E$170/ncoc+IF(SUMSQ($E$72:$E$91)=0,0,'TO HOP'!$F$170*$E91/SUMSQ($E$72:$E$91))+IF(SUMSQ($D$72:$D$91)=0,0,'TO HOP'!$G$170*$D91/SUMSQ($D$72:$D$91)))/9.81))</f>
        <v>0</v>
      </c>
      <c r="AQ115" s="51">
        <f>IF($B115="",0,IF(USE_TSPILE=1,AQ188,('TO HOP'!$E$171/ncoc+IF(SUMSQ($E$72:$E$91)=0,0,'TO HOP'!$F$171*$E91/SUMSQ($E$72:$E$91))+IF(SUMSQ($D$72:$D$91)=0,0,'TO HOP'!$G$171*$D91/SUMSQ($D$72:$D$91)))/9.81))</f>
        <v>0</v>
      </c>
      <c r="AR115" s="51">
        <f>IF($B115="",0,IF(USE_TSPILE=1,AR188,('TO HOP'!$E$172/ncoc+IF(SUMSQ($E$72:$E$91)=0,0,'TO HOP'!$F$172*$E91/SUMSQ($E$72:$E$91))+IF(SUMSQ($D$72:$D$91)=0,0,'TO HOP'!$G$172*$D91/SUMSQ($D$72:$D$91)))/9.81))</f>
        <v>0</v>
      </c>
      <c r="AS115" s="51">
        <f>IF($B115="",0,IF(USE_TSPILE=1,AS188,('TO HOP'!$E$173/ncoc+IF(SUMSQ($E$72:$E$91)=0,0,'TO HOP'!$F$173*$E91/SUMSQ($E$72:$E$91))+IF(SUMSQ($D$72:$D$91)=0,0,'TO HOP'!$G$173*$D91/SUMSQ($D$72:$D$91)))/9.81))</f>
        <v>0</v>
      </c>
      <c r="AT115" s="51">
        <f>IF($B115="",0,IF(USE_TSPILE=1,AT188,('TO HOP'!$E$174/ncoc+IF(SUMSQ($E$72:$E$91)=0,0,'TO HOP'!$F$174*$E91/SUMSQ($E$72:$E$91))+IF(SUMSQ($D$72:$D$91)=0,0,'TO HOP'!$G$174*$D91/SUMSQ($D$72:$D$91)))/9.81))</f>
        <v>0</v>
      </c>
      <c r="AU115" s="51">
        <f>IF($B115="",0,IF(USE_TSPILE=1,AU188,('TO HOP'!$E$175/ncoc+IF(SUMSQ($E$72:$E$91)=0,0,'TO HOP'!$F$175*$E91/SUMSQ($E$72:$E$91))+IF(SUMSQ($D$72:$D$91)=0,0,'TO HOP'!$G$175*$D91/SUMSQ($D$72:$D$91)))/9.81))</f>
        <v>0</v>
      </c>
      <c r="AV115" s="51">
        <f>IF($B115="",0,IF(USE_TSPILE=1,AV188,('TO HOP'!$E$176/ncoc+IF(SUMSQ($E$72:$E$91)=0,0,'TO HOP'!$F$176*$E91/SUMSQ($E$72:$E$91))+IF(SUMSQ($D$72:$D$91)=0,0,'TO HOP'!$G$176*$D91/SUMSQ($D$72:$D$91)))/9.81))</f>
        <v>0</v>
      </c>
      <c r="AW115" s="51">
        <f>IF($B115="",0,IF(USE_TSPILE=1,AW188,('TO HOP'!$E$177/ncoc+IF(SUMSQ($E$72:$E$91)=0,0,'TO HOP'!$F$177*$E91/SUMSQ($E$72:$E$91))+IF(SUMSQ($D$72:$D$91)=0,0,'TO HOP'!$G$177*$D91/SUMSQ($D$72:$D$91)))/9.81))</f>
        <v>0</v>
      </c>
      <c r="AX115" s="51">
        <f>IF($B115="",0,IF(USE_TSPILE=1,AX188,('TO HOP'!$E$178/ncoc+IF(SUMSQ($E$72:$E$91)=0,0,'TO HOP'!$F$178*$E91/SUMSQ($E$72:$E$91))+IF(SUMSQ($D$72:$D$91)=0,0,'TO HOP'!$G$178*$D91/SUMSQ($D$72:$D$91)))/9.81))</f>
        <v>0</v>
      </c>
      <c r="AY115" s="51">
        <f>IF($B115="",0,IF(USE_TSPILE=1,AY188,('TO HOP'!$E$179/ncoc+IF(SUMSQ($E$72:$E$91)=0,0,'TO HOP'!$F$179*$E91/SUMSQ($E$72:$E$91))+IF(SUMSQ($D$72:$D$91)=0,0,'TO HOP'!$G$179*$D91/SUMSQ($D$72:$D$91)))/9.81))</f>
        <v>0</v>
      </c>
      <c r="AZ115" s="51">
        <f>IF($B115="",0,IF(USE_TSPILE=1,AZ188,('TO HOP'!$E$180/ncoc+IF(SUMSQ($E$72:$E$91)=0,0,'TO HOP'!$F$180*$E91/SUMSQ($E$72:$E$91))+IF(SUMSQ($D$72:$D$91)=0,0,'TO HOP'!$G$180*$D91/SUMSQ($D$72:$D$91)))/9.81))</f>
        <v>0</v>
      </c>
      <c r="BA115" s="51">
        <f>IF($B115="",0,IF(USE_TSPILE=1,BA188,('TO HOP'!$E$181/ncoc+IF(SUMSQ($E$72:$E$91)=0,0,'TO HOP'!$F$181*$E91/SUMSQ($E$72:$E$91))+IF(SUMSQ($D$72:$D$91)=0,0,'TO HOP'!$G$181*$D91/SUMSQ($D$72:$D$91)))/9.81))</f>
        <v>0</v>
      </c>
      <c r="BB115" s="51">
        <f>IF($B115="",0,IF(USE_TSPILE=1,BB188,('TO HOP'!$E$182/ncoc+IF(SUMSQ($E$72:$E$91)=0,0,'TO HOP'!$F$182*$E91/SUMSQ($E$72:$E$91))+IF(SUMSQ($D$72:$D$91)=0,0,'TO HOP'!$G$182*$D91/SUMSQ($D$72:$D$91)))/9.81))</f>
        <v>0</v>
      </c>
      <c r="BC115" s="51">
        <f>IF($B115="",0,IF(USE_TSPILE=1,BC188,('TO HOP'!$E$183/ncoc+IF(SUMSQ($E$72:$E$91)=0,0,'TO HOP'!$F$183*$E91/SUMSQ($E$72:$E$91))+IF(SUMSQ($D$72:$D$91)=0,0,'TO HOP'!$G$183*$D91/SUMSQ($D$72:$D$91)))/9.81))</f>
        <v>0</v>
      </c>
      <c r="BD115" s="51">
        <f>IF($B115="",0,IF(USE_TSPILE=1,BD188,('TO HOP'!$E$184/ncoc+IF(SUMSQ($E$72:$E$91)=0,0,'TO HOP'!$F$184*$E91/SUMSQ($E$72:$E$91))+IF(SUMSQ($D$72:$D$91)=0,0,'TO HOP'!$G$184*$D91/SUMSQ($D$72:$D$91)))/9.81))</f>
        <v>0</v>
      </c>
      <c r="BE115" s="51">
        <f>IF($B115="",0,IF(USE_TSPILE=1,BE188,('TO HOP'!$E$185/ncoc+IF(SUMSQ($E$72:$E$91)=0,0,'TO HOP'!$F$185*$E91/SUMSQ($E$72:$E$91))+IF(SUMSQ($D$72:$D$91)=0,0,'TO HOP'!$G$185*$D91/SUMSQ($D$72:$D$91)))/9.81))</f>
        <v>0</v>
      </c>
      <c r="BF115" s="51">
        <f>IF($B115="",0,IF(USE_TSPILE=1,BF188,('TO HOP'!$E$186/ncoc+IF(SUMSQ($E$72:$E$91)=0,0,'TO HOP'!$F$186*$E91/SUMSQ($E$72:$E$91))+IF(SUMSQ($D$72:$D$91)=0,0,'TO HOP'!$G$186*$D91/SUMSQ($D$72:$D$91)))/9.81))</f>
        <v>0</v>
      </c>
      <c r="BG115" s="51">
        <f>IF($B115="",0,IF(USE_TSPILE=1,BG188,('TO HOP'!$E$187/ncoc+IF(SUMSQ($E$72:$E$91)=0,0,'TO HOP'!$F$187*$E91/SUMSQ($E$72:$E$91))+IF(SUMSQ($D$72:$D$91)=0,0,'TO HOP'!$G$187*$D91/SUMSQ($D$72:$D$91)))/9.81))</f>
        <v>0</v>
      </c>
      <c r="BH115" s="51">
        <f>IF($B115="",0,IF(USE_TSPILE=1,BH188,('TO HOP'!$E$188/ncoc+IF(SUMSQ($E$72:$E$91)=0,0,'TO HOP'!$F$188*$E91/SUMSQ($E$72:$E$91))+IF(SUMSQ($D$72:$D$91)=0,0,'TO HOP'!$G$188*$D91/SUMSQ($D$72:$D$91)))/9.81))</f>
        <v>0</v>
      </c>
      <c r="BI115" s="51">
        <f>IF($B115="",0,IF(USE_TSPILE=1,BI188,('TO HOP'!$E$189/ncoc+IF(SUMSQ($E$72:$E$91)=0,0,'TO HOP'!$F$189*$E91/SUMSQ($E$72:$E$91))+IF(SUMSQ($D$72:$D$91)=0,0,'TO HOP'!$G$189*$D91/SUMSQ($D$72:$D$91)))/9.81))</f>
        <v>0</v>
      </c>
      <c r="BJ115" s="51">
        <f>IF($B115="",0,IF(USE_TSPILE=1,BJ188,('TO HOP'!$E$190/ncoc+IF(SUMSQ($E$72:$E$91)=0,0,'TO HOP'!$F$190*$E91/SUMSQ($E$72:$E$91))+IF(SUMSQ($D$72:$D$91)=0,0,'TO HOP'!$G$190*$D91/SUMSQ($D$72:$D$91)))/9.81))</f>
        <v>0</v>
      </c>
      <c r="BK115" s="51">
        <f>IF($B115="",0,IF(USE_TSPILE=1,BK188,('TO HOP'!$E$191/ncoc+IF(SUMSQ($E$72:$E$91)=0,0,'TO HOP'!$F$191*$E91/SUMSQ($E$72:$E$91))+IF(SUMSQ($D$72:$D$91)=0,0,'TO HOP'!$G$191*$D91/SUMSQ($D$72:$D$91)))/9.81))</f>
        <v>0</v>
      </c>
      <c r="BL115" s="51">
        <f>IF($B115="",0,IF(USE_TSPILE=1,BL188,('TO HOP'!$E$192/ncoc+IF(SUMSQ($E$72:$E$91)=0,0,'TO HOP'!$F$192*$E91/SUMSQ($E$72:$E$91))+IF(SUMSQ($D$72:$D$91)=0,0,'TO HOP'!$G$192*$D91/SUMSQ($D$72:$D$91)))/9.81))</f>
        <v>0</v>
      </c>
    </row>
    <row r="116" spans="2:64" ht="25.5" customHeight="1" x14ac:dyDescent="0.3">
      <c r="B116" s="143" t="s">
        <v>709</v>
      </c>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43"/>
      <c r="BL116" s="143"/>
    </row>
    <row r="117" spans="2:64" x14ac:dyDescent="0.3">
      <c r="B117" s="5" t="s">
        <v>710</v>
      </c>
    </row>
    <row r="118" spans="2:64" x14ac:dyDescent="0.3">
      <c r="B118" s="18" t="s">
        <v>711</v>
      </c>
      <c r="C118" s="18" t="s">
        <v>712</v>
      </c>
      <c r="D118" s="18" t="s">
        <v>713</v>
      </c>
      <c r="E118" s="18" t="s">
        <v>714</v>
      </c>
    </row>
    <row r="119" spans="2:64" x14ac:dyDescent="0.3">
      <c r="B119" s="28" t="s">
        <v>715</v>
      </c>
      <c r="C119" s="32">
        <f>MAX(MAX($C$96:$T$115)*9.81,MAX('PILE NLAN'!$E$6:$E$311))</f>
        <v>6927.9671780045619</v>
      </c>
      <c r="D119" s="32">
        <f>MAX(MAX($U$96:$BF$115)*9.81,MAX('PILE NLAN'!$G$6:$G$311))</f>
        <v>7641.2682845570025</v>
      </c>
      <c r="E119" s="32">
        <f>MAX($BG$96:$BL$115)*9.81</f>
        <v>5720.0895918401093</v>
      </c>
    </row>
    <row r="120" spans="2:64" x14ac:dyDescent="0.3">
      <c r="B120" s="28" t="s">
        <v>716</v>
      </c>
      <c r="C120" s="32">
        <f>MIN(MIN($C$96:$T$115)*9.81,MIN('PILE NLAN'!$F$6:$F$311))</f>
        <v>-772.46088188746307</v>
      </c>
      <c r="D120" s="32">
        <f>MIN(MIN($U$96:$BF$115)*9.81,MIN('PILE NLAN'!$H$6:$H$311))</f>
        <v>-634.82972537032947</v>
      </c>
      <c r="E120" s="32">
        <f>MIN($BG$96:$BL$115)*9.81</f>
        <v>0</v>
      </c>
    </row>
    <row r="122" spans="2:64" x14ac:dyDescent="0.3">
      <c r="B122" s="5" t="s">
        <v>717</v>
      </c>
    </row>
    <row r="123" spans="2:64" x14ac:dyDescent="0.3">
      <c r="B123" s="18" t="s">
        <v>718</v>
      </c>
      <c r="C123" s="18" t="s">
        <v>647</v>
      </c>
      <c r="D123" s="18" t="s">
        <v>648</v>
      </c>
      <c r="E123" s="18" t="s">
        <v>649</v>
      </c>
      <c r="F123" s="18" t="s">
        <v>650</v>
      </c>
      <c r="G123" s="18" t="s">
        <v>651</v>
      </c>
      <c r="H123" s="18" t="s">
        <v>652</v>
      </c>
      <c r="I123" s="18" t="s">
        <v>653</v>
      </c>
      <c r="J123" s="18" t="s">
        <v>654</v>
      </c>
      <c r="K123" s="18" t="s">
        <v>655</v>
      </c>
      <c r="L123" s="18" t="s">
        <v>656</v>
      </c>
      <c r="M123" s="18" t="s">
        <v>657</v>
      </c>
      <c r="N123" s="18" t="s">
        <v>658</v>
      </c>
      <c r="O123" s="18" t="s">
        <v>659</v>
      </c>
      <c r="P123" s="18" t="s">
        <v>660</v>
      </c>
      <c r="Q123" s="18" t="s">
        <v>661</v>
      </c>
      <c r="R123" s="18" t="s">
        <v>662</v>
      </c>
      <c r="S123" s="18" t="s">
        <v>663</v>
      </c>
      <c r="T123" s="18" t="s">
        <v>664</v>
      </c>
      <c r="U123" s="18" t="s">
        <v>665</v>
      </c>
      <c r="V123" s="18" t="s">
        <v>666</v>
      </c>
      <c r="W123" s="18" t="s">
        <v>667</v>
      </c>
      <c r="X123" s="18" t="s">
        <v>668</v>
      </c>
      <c r="Y123" s="18" t="s">
        <v>669</v>
      </c>
      <c r="Z123" s="18" t="s">
        <v>670</v>
      </c>
      <c r="AA123" s="18" t="s">
        <v>671</v>
      </c>
      <c r="AB123" s="18" t="s">
        <v>672</v>
      </c>
      <c r="AC123" s="18" t="s">
        <v>673</v>
      </c>
      <c r="AD123" s="18" t="s">
        <v>674</v>
      </c>
      <c r="AE123" s="18" t="s">
        <v>675</v>
      </c>
      <c r="AF123" s="18" t="s">
        <v>676</v>
      </c>
      <c r="AG123" s="18" t="s">
        <v>677</v>
      </c>
      <c r="AH123" s="18" t="s">
        <v>678</v>
      </c>
      <c r="AI123" s="18" t="s">
        <v>679</v>
      </c>
      <c r="AJ123" s="18" t="s">
        <v>680</v>
      </c>
      <c r="AK123" s="18" t="s">
        <v>681</v>
      </c>
      <c r="AL123" s="18" t="s">
        <v>682</v>
      </c>
      <c r="AM123" s="18" t="s">
        <v>683</v>
      </c>
      <c r="AN123" s="18" t="s">
        <v>684</v>
      </c>
      <c r="AO123" s="18" t="s">
        <v>685</v>
      </c>
      <c r="AP123" s="18" t="s">
        <v>686</v>
      </c>
      <c r="AQ123" s="18" t="s">
        <v>687</v>
      </c>
      <c r="AR123" s="18" t="s">
        <v>688</v>
      </c>
      <c r="AS123" s="18" t="s">
        <v>689</v>
      </c>
      <c r="AT123" s="18" t="s">
        <v>690</v>
      </c>
      <c r="AU123" s="18" t="s">
        <v>691</v>
      </c>
      <c r="AV123" s="18" t="s">
        <v>692</v>
      </c>
      <c r="AW123" s="18" t="s">
        <v>693</v>
      </c>
      <c r="AX123" s="18" t="s">
        <v>694</v>
      </c>
      <c r="AY123" s="18" t="s">
        <v>695</v>
      </c>
      <c r="AZ123" s="18" t="s">
        <v>696</v>
      </c>
      <c r="BA123" s="18" t="s">
        <v>697</v>
      </c>
      <c r="BB123" s="18" t="s">
        <v>698</v>
      </c>
      <c r="BC123" s="18" t="s">
        <v>699</v>
      </c>
      <c r="BD123" s="18" t="s">
        <v>700</v>
      </c>
      <c r="BE123" s="18" t="s">
        <v>701</v>
      </c>
      <c r="BF123" s="18" t="s">
        <v>702</v>
      </c>
      <c r="BG123" s="18" t="s">
        <v>703</v>
      </c>
      <c r="BH123" s="18" t="s">
        <v>704</v>
      </c>
      <c r="BI123" s="18" t="s">
        <v>705</v>
      </c>
      <c r="BJ123" s="18" t="s">
        <v>706</v>
      </c>
      <c r="BK123" s="18" t="s">
        <v>707</v>
      </c>
      <c r="BL123" s="18" t="s">
        <v>708</v>
      </c>
    </row>
    <row r="124" spans="2:64" x14ac:dyDescent="0.3">
      <c r="B124" s="28" t="s">
        <v>719</v>
      </c>
      <c r="C124" s="23">
        <f t="shared" ref="C124:AH124" si="3">SUMPRODUCT(($C$72:$C$91=1)*1,C$96:C$115)*9.81</f>
        <v>-435.56416252509604</v>
      </c>
      <c r="D124" s="23">
        <f t="shared" si="3"/>
        <v>-52.852914525094306</v>
      </c>
      <c r="E124" s="23">
        <f t="shared" si="3"/>
        <v>210.26106847490328</v>
      </c>
      <c r="F124" s="23">
        <f t="shared" si="3"/>
        <v>234.18052147490505</v>
      </c>
      <c r="G124" s="23">
        <f t="shared" si="3"/>
        <v>545.13341047490371</v>
      </c>
      <c r="H124" s="23">
        <f t="shared" si="3"/>
        <v>856.08629947490454</v>
      </c>
      <c r="I124" s="23">
        <f t="shared" si="3"/>
        <v>-435.56416252509575</v>
      </c>
      <c r="J124" s="23">
        <f t="shared" si="3"/>
        <v>-52.852914525094022</v>
      </c>
      <c r="K124" s="23">
        <f t="shared" si="3"/>
        <v>210.26106847490328</v>
      </c>
      <c r="L124" s="23">
        <f t="shared" si="3"/>
        <v>234.18052147490505</v>
      </c>
      <c r="M124" s="23">
        <f t="shared" si="3"/>
        <v>545.13341047490371</v>
      </c>
      <c r="N124" s="23">
        <f t="shared" si="3"/>
        <v>856.08629947490454</v>
      </c>
      <c r="O124" s="23">
        <f t="shared" si="3"/>
        <v>-797.25393404040506</v>
      </c>
      <c r="P124" s="23">
        <f t="shared" si="3"/>
        <v>-655.66920038395028</v>
      </c>
      <c r="Q124" s="23">
        <f t="shared" si="3"/>
        <v>-558.32969599513228</v>
      </c>
      <c r="R124" s="23">
        <f t="shared" si="3"/>
        <v>-549.4806501416025</v>
      </c>
      <c r="S124" s="23">
        <f t="shared" si="3"/>
        <v>-434.44305404573129</v>
      </c>
      <c r="T124" s="23">
        <f t="shared" si="3"/>
        <v>-319.40545794985786</v>
      </c>
      <c r="U124" s="23">
        <f t="shared" si="3"/>
        <v>5920.0482979483895</v>
      </c>
      <c r="V124" s="23">
        <f t="shared" si="3"/>
        <v>6589.7929819483907</v>
      </c>
      <c r="W124" s="23">
        <f t="shared" si="3"/>
        <v>7050.2424521983903</v>
      </c>
      <c r="X124" s="23">
        <f t="shared" si="3"/>
        <v>7092.1014949483897</v>
      </c>
      <c r="Y124" s="23">
        <f t="shared" si="3"/>
        <v>7636.2690506983899</v>
      </c>
      <c r="Z124" s="23">
        <f t="shared" si="3"/>
        <v>8180.4366064483893</v>
      </c>
      <c r="AA124" s="23">
        <f t="shared" si="3"/>
        <v>5920.0482979483895</v>
      </c>
      <c r="AB124" s="23">
        <f t="shared" si="3"/>
        <v>6589.7929819483907</v>
      </c>
      <c r="AC124" s="23">
        <f t="shared" si="3"/>
        <v>7050.2424521983903</v>
      </c>
      <c r="AD124" s="23">
        <f t="shared" si="3"/>
        <v>7092.1014949483897</v>
      </c>
      <c r="AE124" s="23">
        <f t="shared" si="3"/>
        <v>7636.269050698389</v>
      </c>
      <c r="AF124" s="23">
        <f t="shared" si="3"/>
        <v>8180.4366064483884</v>
      </c>
      <c r="AG124" s="23">
        <f t="shared" si="3"/>
        <v>5287.0911977965934</v>
      </c>
      <c r="AH124" s="23">
        <f t="shared" si="3"/>
        <v>5534.8644816953965</v>
      </c>
      <c r="AI124" s="23">
        <f t="shared" ref="AI124:BL124" si="4">SUMPRODUCT(($C$72:$C$91=1)*1,AI$96:AI$115)*9.81</f>
        <v>5705.208614375827</v>
      </c>
      <c r="AJ124" s="23">
        <f t="shared" si="4"/>
        <v>5720.6944446195021</v>
      </c>
      <c r="AK124" s="23">
        <f t="shared" si="4"/>
        <v>5922.0102377872809</v>
      </c>
      <c r="AL124" s="23">
        <f t="shared" si="4"/>
        <v>6123.3260309550551</v>
      </c>
      <c r="AM124" s="23">
        <f t="shared" si="4"/>
        <v>1672.6921251702029</v>
      </c>
      <c r="AN124" s="23">
        <f t="shared" si="4"/>
        <v>2342.4368091702036</v>
      </c>
      <c r="AO124" s="23">
        <f t="shared" si="4"/>
        <v>2802.8862794202037</v>
      </c>
      <c r="AP124" s="23">
        <f t="shared" si="4"/>
        <v>2844.7453221702035</v>
      </c>
      <c r="AQ124" s="23">
        <f t="shared" si="4"/>
        <v>3388.9128779202028</v>
      </c>
      <c r="AR124" s="23">
        <f t="shared" si="4"/>
        <v>3933.0804336702022</v>
      </c>
      <c r="AS124" s="23">
        <f t="shared" si="4"/>
        <v>1039.7350250184095</v>
      </c>
      <c r="AT124" s="23">
        <f t="shared" si="4"/>
        <v>1287.5083089172131</v>
      </c>
      <c r="AU124" s="23">
        <f t="shared" si="4"/>
        <v>1457.8524415976426</v>
      </c>
      <c r="AV124" s="23">
        <f t="shared" si="4"/>
        <v>1473.3382718413161</v>
      </c>
      <c r="AW124" s="23">
        <f t="shared" si="4"/>
        <v>1674.6540650090969</v>
      </c>
      <c r="AX124" s="23">
        <f t="shared" si="4"/>
        <v>1875.9698581768707</v>
      </c>
      <c r="AY124" s="23">
        <f t="shared" si="4"/>
        <v>5901.196644337102</v>
      </c>
      <c r="AZ124" s="23">
        <f t="shared" si="4"/>
        <v>1653.8404715589159</v>
      </c>
      <c r="BA124" s="23">
        <f t="shared" si="4"/>
        <v>5985.9904783999527</v>
      </c>
      <c r="BB124" s="23">
        <f t="shared" si="4"/>
        <v>6502.6506631999528</v>
      </c>
      <c r="BC124" s="23">
        <f t="shared" si="4"/>
        <v>6857.8545402499531</v>
      </c>
      <c r="BD124" s="23">
        <f t="shared" si="4"/>
        <v>6890.145801799953</v>
      </c>
      <c r="BE124" s="23">
        <f t="shared" si="4"/>
        <v>7309.9322019499559</v>
      </c>
      <c r="BF124" s="23">
        <f t="shared" si="4"/>
        <v>7729.7186020999543</v>
      </c>
      <c r="BG124" s="23">
        <f t="shared" si="4"/>
        <v>2688.3074580614257</v>
      </c>
      <c r="BH124" s="23">
        <f t="shared" si="4"/>
        <v>6442.8796168440113</v>
      </c>
      <c r="BI124" s="23">
        <f t="shared" si="4"/>
        <v>9075.3265403323658</v>
      </c>
      <c r="BJ124" s="23">
        <f t="shared" si="4"/>
        <v>11599.960698456676</v>
      </c>
      <c r="BK124" s="23">
        <f t="shared" si="4"/>
        <v>11599.960698456676</v>
      </c>
      <c r="BL124" s="23">
        <f t="shared" si="4"/>
        <v>11599.960698456676</v>
      </c>
    </row>
    <row r="125" spans="2:64" x14ac:dyDescent="0.3">
      <c r="B125" s="28" t="s">
        <v>720</v>
      </c>
      <c r="C125" s="23">
        <f t="shared" ref="C125:AH125" si="5">SUMPRODUCT(($C$72:$C$91=2)*1,C$96:C$115)*9.81</f>
        <v>23898.942108114716</v>
      </c>
      <c r="D125" s="23">
        <f t="shared" si="5"/>
        <v>24281.653356114719</v>
      </c>
      <c r="E125" s="23">
        <f t="shared" si="5"/>
        <v>24544.767339114722</v>
      </c>
      <c r="F125" s="23">
        <f t="shared" si="5"/>
        <v>24568.686792114717</v>
      </c>
      <c r="G125" s="23">
        <f t="shared" si="5"/>
        <v>24879.639681114717</v>
      </c>
      <c r="H125" s="23">
        <f t="shared" si="5"/>
        <v>25190.592570114721</v>
      </c>
      <c r="I125" s="23">
        <f t="shared" si="5"/>
        <v>23898.942108114716</v>
      </c>
      <c r="J125" s="23">
        <f t="shared" si="5"/>
        <v>24281.653356114719</v>
      </c>
      <c r="K125" s="23">
        <f t="shared" si="5"/>
        <v>24544.767339114715</v>
      </c>
      <c r="L125" s="23">
        <f t="shared" si="5"/>
        <v>24568.686792114724</v>
      </c>
      <c r="M125" s="23">
        <f t="shared" si="5"/>
        <v>24879.639681114717</v>
      </c>
      <c r="N125" s="23">
        <f t="shared" si="5"/>
        <v>25190.592570114721</v>
      </c>
      <c r="O125" s="23">
        <f t="shared" si="5"/>
        <v>23801.101415630026</v>
      </c>
      <c r="P125" s="23">
        <f t="shared" si="5"/>
        <v>24118.585535306906</v>
      </c>
      <c r="Q125" s="23">
        <f t="shared" si="5"/>
        <v>24336.855867584756</v>
      </c>
      <c r="R125" s="23">
        <f t="shared" si="5"/>
        <v>24356.69862506456</v>
      </c>
      <c r="S125" s="23">
        <f t="shared" si="5"/>
        <v>24614.654472302023</v>
      </c>
      <c r="T125" s="23">
        <f t="shared" si="5"/>
        <v>24872.610319539479</v>
      </c>
      <c r="U125" s="23">
        <f t="shared" si="5"/>
        <v>24325.429443538636</v>
      </c>
      <c r="V125" s="23">
        <f t="shared" si="5"/>
        <v>24995.174127538638</v>
      </c>
      <c r="W125" s="23">
        <f t="shared" si="5"/>
        <v>25455.623597788639</v>
      </c>
      <c r="X125" s="23">
        <f t="shared" si="5"/>
        <v>25497.482640538634</v>
      </c>
      <c r="Y125" s="23">
        <f t="shared" si="5"/>
        <v>26041.650196288632</v>
      </c>
      <c r="Z125" s="23">
        <f t="shared" si="5"/>
        <v>26585.817752038634</v>
      </c>
      <c r="AA125" s="23">
        <f t="shared" si="5"/>
        <v>24325.429443538636</v>
      </c>
      <c r="AB125" s="23">
        <f t="shared" si="5"/>
        <v>24995.174127538638</v>
      </c>
      <c r="AC125" s="23">
        <f t="shared" si="5"/>
        <v>25455.623597788639</v>
      </c>
      <c r="AD125" s="23">
        <f t="shared" si="5"/>
        <v>25497.482640538641</v>
      </c>
      <c r="AE125" s="23">
        <f t="shared" si="5"/>
        <v>26041.650196288636</v>
      </c>
      <c r="AF125" s="23">
        <f t="shared" si="5"/>
        <v>26585.817752038638</v>
      </c>
      <c r="AG125" s="23">
        <f t="shared" si="5"/>
        <v>24154.208231690431</v>
      </c>
      <c r="AH125" s="23">
        <f t="shared" si="5"/>
        <v>24709.805441124961</v>
      </c>
      <c r="AI125" s="23">
        <f t="shared" ref="AI125:BL125" si="6">SUMPRODUCT(($C$72:$C$91=2)*1,AI$96:AI$115)*9.81</f>
        <v>25091.778522611196</v>
      </c>
      <c r="AJ125" s="23">
        <f t="shared" si="6"/>
        <v>25126.503348200855</v>
      </c>
      <c r="AK125" s="23">
        <f t="shared" si="6"/>
        <v>25577.926080866408</v>
      </c>
      <c r="AL125" s="23">
        <f t="shared" si="6"/>
        <v>26029.348813531968</v>
      </c>
      <c r="AM125" s="23">
        <f t="shared" si="6"/>
        <v>20078.073270760451</v>
      </c>
      <c r="AN125" s="23">
        <f t="shared" si="6"/>
        <v>20747.817954760452</v>
      </c>
      <c r="AO125" s="23">
        <f t="shared" si="6"/>
        <v>21208.267425010457</v>
      </c>
      <c r="AP125" s="23">
        <f t="shared" si="6"/>
        <v>21250.126467760452</v>
      </c>
      <c r="AQ125" s="23">
        <f t="shared" si="6"/>
        <v>21794.294023510451</v>
      </c>
      <c r="AR125" s="23">
        <f t="shared" si="6"/>
        <v>22338.461579260449</v>
      </c>
      <c r="AS125" s="23">
        <f t="shared" si="6"/>
        <v>19906.852058912249</v>
      </c>
      <c r="AT125" s="23">
        <f t="shared" si="6"/>
        <v>20462.449268346776</v>
      </c>
      <c r="AU125" s="23">
        <f t="shared" si="6"/>
        <v>20844.422349833014</v>
      </c>
      <c r="AV125" s="23">
        <f t="shared" si="6"/>
        <v>20879.14717542267</v>
      </c>
      <c r="AW125" s="23">
        <f t="shared" si="6"/>
        <v>21330.56990808823</v>
      </c>
      <c r="AX125" s="23">
        <f t="shared" si="6"/>
        <v>21781.992640753782</v>
      </c>
      <c r="AY125" s="23">
        <f t="shared" si="6"/>
        <v>20896.108359645241</v>
      </c>
      <c r="AZ125" s="23">
        <f t="shared" si="6"/>
        <v>16648.752186867052</v>
      </c>
      <c r="BA125" s="23">
        <f t="shared" si="6"/>
        <v>23800.233765487072</v>
      </c>
      <c r="BB125" s="23">
        <f t="shared" si="6"/>
        <v>24316.893950287074</v>
      </c>
      <c r="BC125" s="23">
        <f t="shared" si="6"/>
        <v>24672.097827337075</v>
      </c>
      <c r="BD125" s="23">
        <f t="shared" si="6"/>
        <v>24704.389088887074</v>
      </c>
      <c r="BE125" s="23">
        <f t="shared" si="6"/>
        <v>25124.175489037076</v>
      </c>
      <c r="BF125" s="23">
        <f t="shared" si="6"/>
        <v>25543.961889187074</v>
      </c>
      <c r="BG125" s="23">
        <f t="shared" si="6"/>
        <v>21492.654077528197</v>
      </c>
      <c r="BH125" s="23">
        <f t="shared" si="6"/>
        <v>17738.081918745615</v>
      </c>
      <c r="BI125" s="23">
        <f t="shared" si="6"/>
        <v>21026.634483154659</v>
      </c>
      <c r="BJ125" s="23">
        <f t="shared" si="6"/>
        <v>18502.000325030349</v>
      </c>
      <c r="BK125" s="23">
        <f t="shared" si="6"/>
        <v>18502.000325030349</v>
      </c>
      <c r="BL125" s="23">
        <f t="shared" si="6"/>
        <v>18502.000325030349</v>
      </c>
    </row>
    <row r="126" spans="2:64" x14ac:dyDescent="0.3">
      <c r="B126" s="28" t="s">
        <v>721</v>
      </c>
      <c r="C126" s="23">
        <f t="shared" ref="C126:AH126" si="7">SUMPRODUCT(($C$72:$C$91=3)*1,C$96:C$115)*9.81</f>
        <v>0</v>
      </c>
      <c r="D126" s="23">
        <f t="shared" si="7"/>
        <v>0</v>
      </c>
      <c r="E126" s="23">
        <f t="shared" si="7"/>
        <v>0</v>
      </c>
      <c r="F126" s="23">
        <f t="shared" si="7"/>
        <v>0</v>
      </c>
      <c r="G126" s="23">
        <f t="shared" si="7"/>
        <v>0</v>
      </c>
      <c r="H126" s="23">
        <f t="shared" si="7"/>
        <v>0</v>
      </c>
      <c r="I126" s="23">
        <f t="shared" si="7"/>
        <v>0</v>
      </c>
      <c r="J126" s="23">
        <f t="shared" si="7"/>
        <v>0</v>
      </c>
      <c r="K126" s="23">
        <f t="shared" si="7"/>
        <v>0</v>
      </c>
      <c r="L126" s="23">
        <f t="shared" si="7"/>
        <v>0</v>
      </c>
      <c r="M126" s="23">
        <f t="shared" si="7"/>
        <v>0</v>
      </c>
      <c r="N126" s="23">
        <f t="shared" si="7"/>
        <v>0</v>
      </c>
      <c r="O126" s="23">
        <f t="shared" si="7"/>
        <v>0</v>
      </c>
      <c r="P126" s="23">
        <f t="shared" si="7"/>
        <v>0</v>
      </c>
      <c r="Q126" s="23">
        <f t="shared" si="7"/>
        <v>0</v>
      </c>
      <c r="R126" s="23">
        <f t="shared" si="7"/>
        <v>0</v>
      </c>
      <c r="S126" s="23">
        <f t="shared" si="7"/>
        <v>0</v>
      </c>
      <c r="T126" s="23">
        <f t="shared" si="7"/>
        <v>0</v>
      </c>
      <c r="U126" s="23">
        <f t="shared" si="7"/>
        <v>0</v>
      </c>
      <c r="V126" s="23">
        <f t="shared" si="7"/>
        <v>0</v>
      </c>
      <c r="W126" s="23">
        <f t="shared" si="7"/>
        <v>0</v>
      </c>
      <c r="X126" s="23">
        <f t="shared" si="7"/>
        <v>0</v>
      </c>
      <c r="Y126" s="23">
        <f t="shared" si="7"/>
        <v>0</v>
      </c>
      <c r="Z126" s="23">
        <f t="shared" si="7"/>
        <v>0</v>
      </c>
      <c r="AA126" s="23">
        <f t="shared" si="7"/>
        <v>0</v>
      </c>
      <c r="AB126" s="23">
        <f t="shared" si="7"/>
        <v>0</v>
      </c>
      <c r="AC126" s="23">
        <f t="shared" si="7"/>
        <v>0</v>
      </c>
      <c r="AD126" s="23">
        <f t="shared" si="7"/>
        <v>0</v>
      </c>
      <c r="AE126" s="23">
        <f t="shared" si="7"/>
        <v>0</v>
      </c>
      <c r="AF126" s="23">
        <f t="shared" si="7"/>
        <v>0</v>
      </c>
      <c r="AG126" s="23">
        <f t="shared" si="7"/>
        <v>0</v>
      </c>
      <c r="AH126" s="23">
        <f t="shared" si="7"/>
        <v>0</v>
      </c>
      <c r="AI126" s="23">
        <f t="shared" ref="AI126:BL126" si="8">SUMPRODUCT(($C$72:$C$91=3)*1,AI$96:AI$115)*9.81</f>
        <v>0</v>
      </c>
      <c r="AJ126" s="23">
        <f t="shared" si="8"/>
        <v>0</v>
      </c>
      <c r="AK126" s="23">
        <f t="shared" si="8"/>
        <v>0</v>
      </c>
      <c r="AL126" s="23">
        <f t="shared" si="8"/>
        <v>0</v>
      </c>
      <c r="AM126" s="23">
        <f t="shared" si="8"/>
        <v>0</v>
      </c>
      <c r="AN126" s="23">
        <f t="shared" si="8"/>
        <v>0</v>
      </c>
      <c r="AO126" s="23">
        <f t="shared" si="8"/>
        <v>0</v>
      </c>
      <c r="AP126" s="23">
        <f t="shared" si="8"/>
        <v>0</v>
      </c>
      <c r="AQ126" s="23">
        <f t="shared" si="8"/>
        <v>0</v>
      </c>
      <c r="AR126" s="23">
        <f t="shared" si="8"/>
        <v>0</v>
      </c>
      <c r="AS126" s="23">
        <f t="shared" si="8"/>
        <v>0</v>
      </c>
      <c r="AT126" s="23">
        <f t="shared" si="8"/>
        <v>0</v>
      </c>
      <c r="AU126" s="23">
        <f t="shared" si="8"/>
        <v>0</v>
      </c>
      <c r="AV126" s="23">
        <f t="shared" si="8"/>
        <v>0</v>
      </c>
      <c r="AW126" s="23">
        <f t="shared" si="8"/>
        <v>0</v>
      </c>
      <c r="AX126" s="23">
        <f t="shared" si="8"/>
        <v>0</v>
      </c>
      <c r="AY126" s="23">
        <f t="shared" si="8"/>
        <v>0</v>
      </c>
      <c r="AZ126" s="23">
        <f t="shared" si="8"/>
        <v>0</v>
      </c>
      <c r="BA126" s="23">
        <f t="shared" si="8"/>
        <v>0</v>
      </c>
      <c r="BB126" s="23">
        <f t="shared" si="8"/>
        <v>0</v>
      </c>
      <c r="BC126" s="23">
        <f t="shared" si="8"/>
        <v>0</v>
      </c>
      <c r="BD126" s="23">
        <f t="shared" si="8"/>
        <v>0</v>
      </c>
      <c r="BE126" s="23">
        <f t="shared" si="8"/>
        <v>0</v>
      </c>
      <c r="BF126" s="23">
        <f t="shared" si="8"/>
        <v>0</v>
      </c>
      <c r="BG126" s="23">
        <f t="shared" si="8"/>
        <v>0</v>
      </c>
      <c r="BH126" s="23">
        <f t="shared" si="8"/>
        <v>0</v>
      </c>
      <c r="BI126" s="23">
        <f t="shared" si="8"/>
        <v>0</v>
      </c>
      <c r="BJ126" s="23">
        <f t="shared" si="8"/>
        <v>0</v>
      </c>
      <c r="BK126" s="23">
        <f t="shared" si="8"/>
        <v>0</v>
      </c>
      <c r="BL126" s="23">
        <f t="shared" si="8"/>
        <v>0</v>
      </c>
    </row>
    <row r="127" spans="2:64" x14ac:dyDescent="0.3">
      <c r="B127" s="28" t="s">
        <v>722</v>
      </c>
      <c r="C127" s="23">
        <f t="shared" ref="C127:AH127" si="9">SUMPRODUCT(($C$72:$C$91=4)*1,C$96:C$115)*9.81</f>
        <v>0</v>
      </c>
      <c r="D127" s="23">
        <f t="shared" si="9"/>
        <v>0</v>
      </c>
      <c r="E127" s="23">
        <f t="shared" si="9"/>
        <v>0</v>
      </c>
      <c r="F127" s="23">
        <f t="shared" si="9"/>
        <v>0</v>
      </c>
      <c r="G127" s="23">
        <f t="shared" si="9"/>
        <v>0</v>
      </c>
      <c r="H127" s="23">
        <f t="shared" si="9"/>
        <v>0</v>
      </c>
      <c r="I127" s="23">
        <f t="shared" si="9"/>
        <v>0</v>
      </c>
      <c r="J127" s="23">
        <f t="shared" si="9"/>
        <v>0</v>
      </c>
      <c r="K127" s="23">
        <f t="shared" si="9"/>
        <v>0</v>
      </c>
      <c r="L127" s="23">
        <f t="shared" si="9"/>
        <v>0</v>
      </c>
      <c r="M127" s="23">
        <f t="shared" si="9"/>
        <v>0</v>
      </c>
      <c r="N127" s="23">
        <f t="shared" si="9"/>
        <v>0</v>
      </c>
      <c r="O127" s="23">
        <f t="shared" si="9"/>
        <v>0</v>
      </c>
      <c r="P127" s="23">
        <f t="shared" si="9"/>
        <v>0</v>
      </c>
      <c r="Q127" s="23">
        <f t="shared" si="9"/>
        <v>0</v>
      </c>
      <c r="R127" s="23">
        <f t="shared" si="9"/>
        <v>0</v>
      </c>
      <c r="S127" s="23">
        <f t="shared" si="9"/>
        <v>0</v>
      </c>
      <c r="T127" s="23">
        <f t="shared" si="9"/>
        <v>0</v>
      </c>
      <c r="U127" s="23">
        <f t="shared" si="9"/>
        <v>0</v>
      </c>
      <c r="V127" s="23">
        <f t="shared" si="9"/>
        <v>0</v>
      </c>
      <c r="W127" s="23">
        <f t="shared" si="9"/>
        <v>0</v>
      </c>
      <c r="X127" s="23">
        <f t="shared" si="9"/>
        <v>0</v>
      </c>
      <c r="Y127" s="23">
        <f t="shared" si="9"/>
        <v>0</v>
      </c>
      <c r="Z127" s="23">
        <f t="shared" si="9"/>
        <v>0</v>
      </c>
      <c r="AA127" s="23">
        <f t="shared" si="9"/>
        <v>0</v>
      </c>
      <c r="AB127" s="23">
        <f t="shared" si="9"/>
        <v>0</v>
      </c>
      <c r="AC127" s="23">
        <f t="shared" si="9"/>
        <v>0</v>
      </c>
      <c r="AD127" s="23">
        <f t="shared" si="9"/>
        <v>0</v>
      </c>
      <c r="AE127" s="23">
        <f t="shared" si="9"/>
        <v>0</v>
      </c>
      <c r="AF127" s="23">
        <f t="shared" si="9"/>
        <v>0</v>
      </c>
      <c r="AG127" s="23">
        <f t="shared" si="9"/>
        <v>0</v>
      </c>
      <c r="AH127" s="23">
        <f t="shared" si="9"/>
        <v>0</v>
      </c>
      <c r="AI127" s="23">
        <f t="shared" ref="AI127:BL127" si="10">SUMPRODUCT(($C$72:$C$91=4)*1,AI$96:AI$115)*9.81</f>
        <v>0</v>
      </c>
      <c r="AJ127" s="23">
        <f t="shared" si="10"/>
        <v>0</v>
      </c>
      <c r="AK127" s="23">
        <f t="shared" si="10"/>
        <v>0</v>
      </c>
      <c r="AL127" s="23">
        <f t="shared" si="10"/>
        <v>0</v>
      </c>
      <c r="AM127" s="23">
        <f t="shared" si="10"/>
        <v>0</v>
      </c>
      <c r="AN127" s="23">
        <f t="shared" si="10"/>
        <v>0</v>
      </c>
      <c r="AO127" s="23">
        <f t="shared" si="10"/>
        <v>0</v>
      </c>
      <c r="AP127" s="23">
        <f t="shared" si="10"/>
        <v>0</v>
      </c>
      <c r="AQ127" s="23">
        <f t="shared" si="10"/>
        <v>0</v>
      </c>
      <c r="AR127" s="23">
        <f t="shared" si="10"/>
        <v>0</v>
      </c>
      <c r="AS127" s="23">
        <f t="shared" si="10"/>
        <v>0</v>
      </c>
      <c r="AT127" s="23">
        <f t="shared" si="10"/>
        <v>0</v>
      </c>
      <c r="AU127" s="23">
        <f t="shared" si="10"/>
        <v>0</v>
      </c>
      <c r="AV127" s="23">
        <f t="shared" si="10"/>
        <v>0</v>
      </c>
      <c r="AW127" s="23">
        <f t="shared" si="10"/>
        <v>0</v>
      </c>
      <c r="AX127" s="23">
        <f t="shared" si="10"/>
        <v>0</v>
      </c>
      <c r="AY127" s="23">
        <f t="shared" si="10"/>
        <v>0</v>
      </c>
      <c r="AZ127" s="23">
        <f t="shared" si="10"/>
        <v>0</v>
      </c>
      <c r="BA127" s="23">
        <f t="shared" si="10"/>
        <v>0</v>
      </c>
      <c r="BB127" s="23">
        <f t="shared" si="10"/>
        <v>0</v>
      </c>
      <c r="BC127" s="23">
        <f t="shared" si="10"/>
        <v>0</v>
      </c>
      <c r="BD127" s="23">
        <f t="shared" si="10"/>
        <v>0</v>
      </c>
      <c r="BE127" s="23">
        <f t="shared" si="10"/>
        <v>0</v>
      </c>
      <c r="BF127" s="23">
        <f t="shared" si="10"/>
        <v>0</v>
      </c>
      <c r="BG127" s="23">
        <f t="shared" si="10"/>
        <v>0</v>
      </c>
      <c r="BH127" s="23">
        <f t="shared" si="10"/>
        <v>0</v>
      </c>
      <c r="BI127" s="23">
        <f t="shared" si="10"/>
        <v>0</v>
      </c>
      <c r="BJ127" s="23">
        <f t="shared" si="10"/>
        <v>0</v>
      </c>
      <c r="BK127" s="23">
        <f t="shared" si="10"/>
        <v>0</v>
      </c>
      <c r="BL127" s="23">
        <f t="shared" si="10"/>
        <v>0</v>
      </c>
    </row>
    <row r="130" spans="2:5" x14ac:dyDescent="0.3">
      <c r="B130" s="64" t="s">
        <v>1635</v>
      </c>
    </row>
    <row r="131" spans="2:5" x14ac:dyDescent="0.3">
      <c r="B131" s="64" t="s">
        <v>1636</v>
      </c>
    </row>
    <row r="132" spans="2:5" x14ac:dyDescent="0.3">
      <c r="B132" s="65" t="s">
        <v>1637</v>
      </c>
      <c r="C132" s="65" t="s">
        <v>1212</v>
      </c>
      <c r="D132" s="65" t="s">
        <v>1053</v>
      </c>
      <c r="E132" s="65" t="s">
        <v>1054</v>
      </c>
    </row>
    <row r="133" spans="2:5" x14ac:dyDescent="0.3">
      <c r="B133" t="s">
        <v>1638</v>
      </c>
      <c r="C133" s="66">
        <v>1</v>
      </c>
      <c r="E133" s="68" t="s">
        <v>1639</v>
      </c>
    </row>
    <row r="134" spans="2:5" x14ac:dyDescent="0.3">
      <c r="B134" t="s">
        <v>1640</v>
      </c>
      <c r="C134" s="66">
        <v>40</v>
      </c>
      <c r="D134" t="s">
        <v>44</v>
      </c>
      <c r="E134" s="68" t="s">
        <v>1641</v>
      </c>
    </row>
    <row r="135" spans="2:5" x14ac:dyDescent="0.3">
      <c r="B135" t="s">
        <v>1642</v>
      </c>
      <c r="C135" s="66">
        <v>0</v>
      </c>
      <c r="D135" t="s">
        <v>44</v>
      </c>
      <c r="E135" s="68" t="s">
        <v>1643</v>
      </c>
    </row>
    <row r="136" spans="2:5" x14ac:dyDescent="0.3">
      <c r="B136" t="s">
        <v>1644</v>
      </c>
      <c r="C136" s="66">
        <v>30</v>
      </c>
      <c r="D136" t="s">
        <v>160</v>
      </c>
      <c r="E136" s="68" t="s">
        <v>1645</v>
      </c>
    </row>
    <row r="137" spans="2:5" x14ac:dyDescent="0.3">
      <c r="B137" t="s">
        <v>1646</v>
      </c>
      <c r="C137" s="66">
        <v>2450</v>
      </c>
      <c r="D137" t="s">
        <v>1647</v>
      </c>
      <c r="E137" s="68"/>
    </row>
    <row r="138" spans="2:5" x14ac:dyDescent="0.3">
      <c r="B138" t="s">
        <v>1648</v>
      </c>
      <c r="C138" s="66">
        <v>200</v>
      </c>
      <c r="D138" t="s">
        <v>1649</v>
      </c>
      <c r="E138" s="68"/>
    </row>
    <row r="139" spans="2:5" x14ac:dyDescent="0.3">
      <c r="B139" t="s">
        <v>1650</v>
      </c>
      <c r="C139" s="66">
        <v>400</v>
      </c>
      <c r="D139" t="s">
        <v>1649</v>
      </c>
      <c r="E139" s="68"/>
    </row>
    <row r="140" spans="2:5" x14ac:dyDescent="0.3">
      <c r="B140" t="s">
        <v>1651</v>
      </c>
      <c r="C140" s="66">
        <v>0</v>
      </c>
      <c r="E140" s="68"/>
    </row>
    <row r="141" spans="2:5" x14ac:dyDescent="0.3">
      <c r="B141" t="s">
        <v>1652</v>
      </c>
      <c r="C141" s="66">
        <v>0</v>
      </c>
      <c r="E141" s="68"/>
    </row>
    <row r="142" spans="2:5" x14ac:dyDescent="0.3">
      <c r="B142" t="s">
        <v>1697</v>
      </c>
      <c r="C142">
        <v>650</v>
      </c>
      <c r="D142" s="66" t="s">
        <v>1698</v>
      </c>
      <c r="E142" t="s">
        <v>1699</v>
      </c>
    </row>
    <row r="143" spans="2:5" x14ac:dyDescent="0.3">
      <c r="B143" t="s">
        <v>1700</v>
      </c>
      <c r="C143">
        <v>1</v>
      </c>
      <c r="D143" s="66" t="s">
        <v>395</v>
      </c>
      <c r="E143" t="s">
        <v>1701</v>
      </c>
    </row>
    <row r="144" spans="2:5" x14ac:dyDescent="0.3">
      <c r="B144" s="64" t="s">
        <v>1653</v>
      </c>
    </row>
    <row r="145" spans="2:4" x14ac:dyDescent="0.3">
      <c r="B145" s="65" t="s">
        <v>1637</v>
      </c>
      <c r="C145" s="65" t="s">
        <v>1212</v>
      </c>
      <c r="D145" s="65" t="s">
        <v>1053</v>
      </c>
    </row>
    <row r="146" spans="2:4" x14ac:dyDescent="0.3">
      <c r="B146" s="69" t="s">
        <v>1654</v>
      </c>
      <c r="C146" s="68">
        <v>1.2</v>
      </c>
      <c r="D146" t="s">
        <v>44</v>
      </c>
    </row>
    <row r="147" spans="2:4" x14ac:dyDescent="0.3">
      <c r="B147" s="69" t="s">
        <v>1655</v>
      </c>
      <c r="C147" s="68" t="s">
        <v>1675</v>
      </c>
    </row>
    <row r="148" spans="2:4" x14ac:dyDescent="0.3">
      <c r="B148" s="69" t="s">
        <v>1656</v>
      </c>
      <c r="C148" s="68">
        <v>40</v>
      </c>
      <c r="D148" t="s">
        <v>44</v>
      </c>
    </row>
    <row r="149" spans="2:4" x14ac:dyDescent="0.3">
      <c r="B149" s="69" t="s">
        <v>1657</v>
      </c>
      <c r="C149" s="68">
        <v>1.1309733552923256</v>
      </c>
      <c r="D149" t="s">
        <v>120</v>
      </c>
    </row>
    <row r="150" spans="2:4" x14ac:dyDescent="0.3">
      <c r="B150" s="69" t="s">
        <v>1658</v>
      </c>
      <c r="C150" s="68">
        <v>0.10178760197630929</v>
      </c>
      <c r="D150" t="s">
        <v>1106</v>
      </c>
    </row>
    <row r="151" spans="2:4" x14ac:dyDescent="0.3">
      <c r="B151" s="69" t="s">
        <v>1659</v>
      </c>
      <c r="C151" s="68">
        <v>1.9800000000000002</v>
      </c>
      <c r="D151" t="s">
        <v>44</v>
      </c>
    </row>
    <row r="152" spans="2:4" x14ac:dyDescent="0.3">
      <c r="B152" s="69" t="s">
        <v>1660</v>
      </c>
      <c r="C152" s="68">
        <v>66666.666666666672</v>
      </c>
    </row>
    <row r="153" spans="2:4" x14ac:dyDescent="0.3">
      <c r="B153" s="69" t="s">
        <v>1661</v>
      </c>
      <c r="C153" s="68">
        <v>33333.333333333336</v>
      </c>
    </row>
    <row r="154" spans="2:4" x14ac:dyDescent="0.3">
      <c r="B154" s="69" t="s">
        <v>1662</v>
      </c>
      <c r="C154" s="68">
        <v>31349.535053009291</v>
      </c>
      <c r="D154" t="s">
        <v>160</v>
      </c>
    </row>
    <row r="155" spans="2:4" x14ac:dyDescent="0.3">
      <c r="B155" s="69" t="s">
        <v>1663</v>
      </c>
      <c r="C155" s="68">
        <v>3196762.9162873453</v>
      </c>
      <c r="D155" t="s">
        <v>1664</v>
      </c>
    </row>
    <row r="156" spans="2:4" x14ac:dyDescent="0.3">
      <c r="B156" s="69" t="s">
        <v>1665</v>
      </c>
      <c r="C156" s="68">
        <v>2557410.3330298765</v>
      </c>
      <c r="D156" t="s">
        <v>1664</v>
      </c>
    </row>
    <row r="157" spans="2:4" x14ac:dyDescent="0.3">
      <c r="B157" s="69" t="s">
        <v>1666</v>
      </c>
      <c r="C157" s="68">
        <v>650</v>
      </c>
      <c r="D157" t="s">
        <v>1667</v>
      </c>
    </row>
    <row r="158" spans="2:4" x14ac:dyDescent="0.3">
      <c r="B158" s="69" t="s">
        <v>1668</v>
      </c>
      <c r="C158" s="68">
        <v>1</v>
      </c>
    </row>
    <row r="159" spans="2:4" x14ac:dyDescent="0.3">
      <c r="B159" s="69" t="s">
        <v>1669</v>
      </c>
      <c r="C159" s="68">
        <v>0.27317438718290249</v>
      </c>
      <c r="D159" t="s">
        <v>1670</v>
      </c>
    </row>
    <row r="160" spans="2:4" x14ac:dyDescent="0.3">
      <c r="B160" s="69" t="s">
        <v>1671</v>
      </c>
      <c r="C160" s="68">
        <v>10.926975487316099</v>
      </c>
    </row>
    <row r="161" spans="2:68" x14ac:dyDescent="0.3">
      <c r="B161" s="69" t="s">
        <v>1672</v>
      </c>
      <c r="C161" s="71" t="s">
        <v>1676</v>
      </c>
    </row>
    <row r="162" spans="2:68" x14ac:dyDescent="0.3">
      <c r="B162" s="69" t="s">
        <v>1673</v>
      </c>
      <c r="C162" s="71" t="s">
        <v>1702</v>
      </c>
    </row>
    <row r="166" spans="2:68" x14ac:dyDescent="0.3">
      <c r="B166" s="64" t="s">
        <v>1674</v>
      </c>
    </row>
    <row r="167" spans="2:68" x14ac:dyDescent="0.3">
      <c r="B167" s="65" t="s">
        <v>646</v>
      </c>
      <c r="C167" s="65" t="s">
        <v>647</v>
      </c>
      <c r="D167" s="65" t="s">
        <v>648</v>
      </c>
      <c r="E167" s="65" t="s">
        <v>649</v>
      </c>
      <c r="F167" s="65" t="s">
        <v>650</v>
      </c>
      <c r="G167" s="65" t="s">
        <v>651</v>
      </c>
      <c r="H167" s="65" t="s">
        <v>652</v>
      </c>
      <c r="I167" s="65" t="s">
        <v>653</v>
      </c>
      <c r="J167" s="65" t="s">
        <v>654</v>
      </c>
      <c r="K167" s="65" t="s">
        <v>655</v>
      </c>
      <c r="L167" s="65" t="s">
        <v>656</v>
      </c>
      <c r="M167" s="65" t="s">
        <v>657</v>
      </c>
      <c r="N167" s="65" t="s">
        <v>658</v>
      </c>
      <c r="O167" s="65" t="s">
        <v>659</v>
      </c>
      <c r="P167" s="65" t="s">
        <v>660</v>
      </c>
      <c r="Q167" s="65" t="s">
        <v>661</v>
      </c>
      <c r="R167" s="65" t="s">
        <v>662</v>
      </c>
      <c r="S167" s="65" t="s">
        <v>663</v>
      </c>
      <c r="T167" s="65" t="s">
        <v>664</v>
      </c>
      <c r="U167" s="65" t="s">
        <v>665</v>
      </c>
      <c r="V167" s="65" t="s">
        <v>666</v>
      </c>
      <c r="W167" s="65" t="s">
        <v>667</v>
      </c>
      <c r="X167" s="65" t="s">
        <v>668</v>
      </c>
      <c r="Y167" s="65" t="s">
        <v>669</v>
      </c>
      <c r="Z167" s="65" t="s">
        <v>670</v>
      </c>
      <c r="AA167" s="65" t="s">
        <v>671</v>
      </c>
      <c r="AB167" s="65" t="s">
        <v>672</v>
      </c>
      <c r="AC167" s="65" t="s">
        <v>673</v>
      </c>
      <c r="AD167" s="65" t="s">
        <v>674</v>
      </c>
      <c r="AE167" s="65" t="s">
        <v>675</v>
      </c>
      <c r="AF167" s="65" t="s">
        <v>676</v>
      </c>
      <c r="AG167" s="65" t="s">
        <v>677</v>
      </c>
      <c r="AH167" s="65" t="s">
        <v>678</v>
      </c>
      <c r="AI167" s="65" t="s">
        <v>679</v>
      </c>
      <c r="AJ167" s="65" t="s">
        <v>680</v>
      </c>
      <c r="AK167" s="65" t="s">
        <v>681</v>
      </c>
      <c r="AL167" s="65" t="s">
        <v>682</v>
      </c>
      <c r="AM167" s="65" t="s">
        <v>683</v>
      </c>
      <c r="AN167" s="65" t="s">
        <v>684</v>
      </c>
      <c r="AO167" s="65" t="s">
        <v>685</v>
      </c>
      <c r="AP167" s="65" t="s">
        <v>686</v>
      </c>
      <c r="AQ167" s="65" t="s">
        <v>687</v>
      </c>
      <c r="AR167" s="65" t="s">
        <v>688</v>
      </c>
      <c r="AS167" s="65" t="s">
        <v>689</v>
      </c>
      <c r="AT167" s="65" t="s">
        <v>690</v>
      </c>
      <c r="AU167" s="65" t="s">
        <v>691</v>
      </c>
      <c r="AV167" s="65" t="s">
        <v>692</v>
      </c>
      <c r="AW167" s="65" t="s">
        <v>693</v>
      </c>
      <c r="AX167" s="65" t="s">
        <v>694</v>
      </c>
      <c r="AY167" s="65" t="s">
        <v>695</v>
      </c>
      <c r="AZ167" s="65" t="s">
        <v>696</v>
      </c>
      <c r="BA167" s="65" t="s">
        <v>697</v>
      </c>
      <c r="BB167" s="65" t="s">
        <v>698</v>
      </c>
      <c r="BC167" s="65" t="s">
        <v>699</v>
      </c>
      <c r="BD167" s="65" t="s">
        <v>700</v>
      </c>
      <c r="BE167" s="65" t="s">
        <v>701</v>
      </c>
      <c r="BF167" s="65" t="s">
        <v>702</v>
      </c>
      <c r="BG167" s="65" t="s">
        <v>703</v>
      </c>
      <c r="BH167" s="65" t="s">
        <v>704</v>
      </c>
      <c r="BI167" s="65" t="s">
        <v>705</v>
      </c>
      <c r="BJ167" s="65" t="s">
        <v>706</v>
      </c>
      <c r="BK167" s="65" t="s">
        <v>707</v>
      </c>
      <c r="BL167" s="65" t="s">
        <v>708</v>
      </c>
    </row>
    <row r="168" spans="2:68" x14ac:dyDescent="0.3">
      <c r="BN168" t="s">
        <v>1879</v>
      </c>
      <c r="BO168" t="s">
        <v>1886</v>
      </c>
      <c r="BP168" t="s">
        <v>1887</v>
      </c>
    </row>
    <row r="169" spans="2:68" x14ac:dyDescent="0.3">
      <c r="B169" s="67">
        <v>1</v>
      </c>
      <c r="C169" s="70">
        <v>45.498770757900218</v>
      </c>
      <c r="D169" s="70">
        <v>76.048361327718226</v>
      </c>
      <c r="E169" s="70">
        <v>86.069379240021249</v>
      </c>
      <c r="F169" s="70">
        <v>71.585568690373748</v>
      </c>
      <c r="G169" s="70">
        <v>73.647675355366857</v>
      </c>
      <c r="H169" s="70">
        <v>67.433623593820414</v>
      </c>
      <c r="I169" s="70">
        <v>-4.7948073726097391</v>
      </c>
      <c r="J169" s="70">
        <v>4.9582825356471858</v>
      </c>
      <c r="K169" s="70">
        <v>11.663531847573722</v>
      </c>
      <c r="L169" s="70">
        <v>12.273099966839823</v>
      </c>
      <c r="M169" s="70">
        <v>20.197485517298503</v>
      </c>
      <c r="N169" s="70">
        <v>28.12187106775724</v>
      </c>
      <c r="O169" s="70">
        <v>16.151832692476887</v>
      </c>
      <c r="P169" s="70">
        <v>32.232889952158985</v>
      </c>
      <c r="Q169" s="70">
        <v>36.702170621370101</v>
      </c>
      <c r="R169" s="70">
        <v>27.875295275860992</v>
      </c>
      <c r="S169" s="70">
        <v>27.290983195797253</v>
      </c>
      <c r="T169" s="70">
        <v>21.742972532622446</v>
      </c>
      <c r="U169" s="70">
        <v>238.88145535602732</v>
      </c>
      <c r="V169" s="70">
        <v>292.34323885320885</v>
      </c>
      <c r="W169" s="70">
        <v>309.88002019973908</v>
      </c>
      <c r="X169" s="70">
        <v>284.53335173785592</v>
      </c>
      <c r="Y169" s="70">
        <v>288.14203840159394</v>
      </c>
      <c r="Z169" s="70">
        <v>277.2674478188876</v>
      </c>
      <c r="AA169" s="70">
        <v>150.86769362763479</v>
      </c>
      <c r="AB169" s="70">
        <v>167.93560096708435</v>
      </c>
      <c r="AC169" s="70">
        <v>179.66978726295591</v>
      </c>
      <c r="AD169" s="70">
        <v>180.7365314716715</v>
      </c>
      <c r="AE169" s="70">
        <v>194.60420618497423</v>
      </c>
      <c r="AF169" s="70">
        <v>208.47188089827696</v>
      </c>
      <c r="AG169" s="70">
        <v>187.52431374153633</v>
      </c>
      <c r="AH169" s="70">
        <v>215.66616394598017</v>
      </c>
      <c r="AI169" s="70">
        <v>223.48740511709954</v>
      </c>
      <c r="AJ169" s="70">
        <v>208.04037326245859</v>
      </c>
      <c r="AK169" s="70">
        <v>207.01782712234714</v>
      </c>
      <c r="AL169" s="70">
        <v>197.30880846179119</v>
      </c>
      <c r="AM169" s="70">
        <v>130.64098204363719</v>
      </c>
      <c r="AN169" s="70">
        <v>184.10276554081869</v>
      </c>
      <c r="AO169" s="70">
        <v>201.63954688734904</v>
      </c>
      <c r="AP169" s="70">
        <v>176.29287842546583</v>
      </c>
      <c r="AQ169" s="70">
        <v>179.90156508920384</v>
      </c>
      <c r="AR169" s="70">
        <v>169.02697450649745</v>
      </c>
      <c r="AS169" s="70">
        <v>79.283840429146323</v>
      </c>
      <c r="AT169" s="70">
        <v>107.42569063359016</v>
      </c>
      <c r="AU169" s="70">
        <v>115.24693180470953</v>
      </c>
      <c r="AV169" s="70">
        <v>99.799899950068522</v>
      </c>
      <c r="AW169" s="70">
        <v>98.777353809957134</v>
      </c>
      <c r="AX169" s="70">
        <v>89.068335149401122</v>
      </c>
      <c r="AY169" s="70">
        <v>168.19036221542362</v>
      </c>
      <c r="AZ169" s="70">
        <v>59.949888903033525</v>
      </c>
      <c r="BA169" s="70">
        <v>227.97390065175574</v>
      </c>
      <c r="BB169" s="70">
        <v>269.21584792100998</v>
      </c>
      <c r="BC169" s="70">
        <v>282.74422210261912</v>
      </c>
      <c r="BD169" s="70">
        <v>263.19107786059493</v>
      </c>
      <c r="BE169" s="70">
        <v>265.97492185833579</v>
      </c>
      <c r="BF169" s="70">
        <v>257.58595198024801</v>
      </c>
      <c r="BG169" s="70">
        <v>103.87389775468051</v>
      </c>
      <c r="BH169" s="70">
        <v>236.20969807105749</v>
      </c>
      <c r="BI169" s="70">
        <v>250.93331103195018</v>
      </c>
      <c r="BJ169" s="70">
        <v>313.76340948494351</v>
      </c>
      <c r="BK169" s="70">
        <v>315.27159232971547</v>
      </c>
      <c r="BL169" s="70">
        <v>315.27159232971547</v>
      </c>
      <c r="BN169">
        <f>IF($D72="",0,$D72)</f>
        <v>-1.8</v>
      </c>
      <c r="BO169">
        <f t="shared" ref="BO169:BO188" si="11">IF($E72="",0,$E72)</f>
        <v>-4.8000000000000007</v>
      </c>
      <c r="BP169">
        <f>IF($B169="",0,MEDIAN(0,1,0.5+(IF(AND((ABS(BN169)-'KT BE'!$D$162)&gt;0,(ABS(BO169)-'KT BE'!$D$163)&gt;0),SQRT((ABS(BN169)-'KT BE'!$D$162)^2+(ABS(BO169)-'KT BE'!$D$163)^2),MAX((ABS(BN169)-'KT BE'!$D$162),(ABS(BO169)-'KT BE'!$D$163))))/Dcoc))</f>
        <v>1</v>
      </c>
    </row>
    <row r="170" spans="2:68" x14ac:dyDescent="0.3">
      <c r="B170" s="67">
        <v>2</v>
      </c>
      <c r="C170" s="70">
        <v>7.7662541580854167</v>
      </c>
      <c r="D170" s="70">
        <v>24.45151095352935</v>
      </c>
      <c r="E170" s="70">
        <v>32.262016465581382</v>
      </c>
      <c r="F170" s="70">
        <v>27.840458361876301</v>
      </c>
      <c r="G170" s="70">
        <v>33.810750950513125</v>
      </c>
      <c r="H170" s="70">
        <v>37.022324063636802</v>
      </c>
      <c r="I170" s="70">
        <v>-8.9982718854179211</v>
      </c>
      <c r="J170" s="70">
        <v>0.75481802283900379</v>
      </c>
      <c r="K170" s="70">
        <v>7.4600673347655402</v>
      </c>
      <c r="L170" s="70">
        <v>8.0696354540316406</v>
      </c>
      <c r="M170" s="70">
        <v>15.994021004490321</v>
      </c>
      <c r="N170" s="70">
        <v>23.918406554949058</v>
      </c>
      <c r="O170" s="70">
        <v>-8.1609747980633642</v>
      </c>
      <c r="P170" s="70">
        <v>-0.39517328444770783</v>
      </c>
      <c r="Q170" s="70">
        <v>2.7483331905563659</v>
      </c>
      <c r="R170" s="70">
        <v>-4.3618022922373711E-2</v>
      </c>
      <c r="S170" s="70">
        <v>1.7160386723718943</v>
      </c>
      <c r="T170" s="70">
        <v>1.8211291732958443</v>
      </c>
      <c r="U170" s="70">
        <v>180.20561420376563</v>
      </c>
      <c r="V170" s="70">
        <v>209.40481359579249</v>
      </c>
      <c r="W170" s="70">
        <v>223.07319824188366</v>
      </c>
      <c r="X170" s="70">
        <v>215.33547156039961</v>
      </c>
      <c r="Y170" s="70">
        <v>225.78348359051412</v>
      </c>
      <c r="Z170" s="70">
        <v>231.4037365384805</v>
      </c>
      <c r="AA170" s="70">
        <v>150.86769362763479</v>
      </c>
      <c r="AB170" s="70">
        <v>167.93560096708435</v>
      </c>
      <c r="AC170" s="70">
        <v>179.66978726295591</v>
      </c>
      <c r="AD170" s="70">
        <v>180.7365314716715</v>
      </c>
      <c r="AE170" s="70">
        <v>194.60420618497423</v>
      </c>
      <c r="AF170" s="70">
        <v>208.47188089827696</v>
      </c>
      <c r="AG170" s="70">
        <v>152.3329635305052</v>
      </c>
      <c r="AH170" s="70">
        <v>165.92311617933277</v>
      </c>
      <c r="AI170" s="70">
        <v>171.42425251058987</v>
      </c>
      <c r="AJ170" s="70">
        <v>166.53833788700203</v>
      </c>
      <c r="AK170" s="70">
        <v>169.6177371037671</v>
      </c>
      <c r="AL170" s="70">
        <v>169.80164548038394</v>
      </c>
      <c r="AM170" s="70">
        <v>71.965140891375569</v>
      </c>
      <c r="AN170" s="70">
        <v>101.16434028340242</v>
      </c>
      <c r="AO170" s="70">
        <v>114.83272492949359</v>
      </c>
      <c r="AP170" s="70">
        <v>107.09499824800955</v>
      </c>
      <c r="AQ170" s="70">
        <v>117.54301027812406</v>
      </c>
      <c r="AR170" s="70">
        <v>123.16326322609044</v>
      </c>
      <c r="AS170" s="70">
        <v>44.092490218115188</v>
      </c>
      <c r="AT170" s="70">
        <v>57.682642866942757</v>
      </c>
      <c r="AU170" s="70">
        <v>63.183779198199858</v>
      </c>
      <c r="AV170" s="70">
        <v>58.297864574611964</v>
      </c>
      <c r="AW170" s="70">
        <v>61.377263791377089</v>
      </c>
      <c r="AX170" s="70">
        <v>61.561172167993931</v>
      </c>
      <c r="AY170" s="70">
        <v>156.32163695215277</v>
      </c>
      <c r="AZ170" s="70">
        <v>48.081163639762707</v>
      </c>
      <c r="BA170" s="70">
        <v>177.69008510342167</v>
      </c>
      <c r="BB170" s="70">
        <v>200.21518177727097</v>
      </c>
      <c r="BC170" s="70">
        <v>210.75936421854129</v>
      </c>
      <c r="BD170" s="70">
        <v>204.79026077853933</v>
      </c>
      <c r="BE170" s="70">
        <v>212.85015577319916</v>
      </c>
      <c r="BF170" s="70">
        <v>217.18577947591609</v>
      </c>
      <c r="BG170" s="70">
        <v>80.297542167996198</v>
      </c>
      <c r="BH170" s="70">
        <v>188.19765363571454</v>
      </c>
      <c r="BI170" s="70">
        <v>237.82939352326244</v>
      </c>
      <c r="BJ170" s="70">
        <v>301.66494720610376</v>
      </c>
      <c r="BK170" s="70">
        <v>302.16767482102773</v>
      </c>
      <c r="BL170" s="70">
        <v>302.16767482102773</v>
      </c>
      <c r="BN170">
        <f t="shared" ref="BN170:BN188" si="12">IF($D73="",0,$D73)</f>
        <v>-1.8</v>
      </c>
      <c r="BO170">
        <f t="shared" si="11"/>
        <v>-1.6</v>
      </c>
      <c r="BP170">
        <f>IF($B170="",0,MEDIAN(0,1,0.5+(IF(AND((ABS(BN170)-'KT BE'!$D$162)&gt;0,(ABS(BO170)-'KT BE'!$D$163)&gt;0),SQRT((ABS(BN170)-'KT BE'!$D$162)^2+(ABS(BO170)-'KT BE'!$D$163)^2),MAX((ABS(BN170)-'KT BE'!$D$162),(ABS(BO170)-'KT BE'!$D$163))))/Dcoc))</f>
        <v>0.58002173680433522</v>
      </c>
    </row>
    <row r="171" spans="2:68" x14ac:dyDescent="0.3">
      <c r="B171" s="67">
        <v>3</v>
      </c>
      <c r="C171" s="70">
        <v>-29.966262441729441</v>
      </c>
      <c r="D171" s="70">
        <v>-27.145339420659525</v>
      </c>
      <c r="E171" s="70">
        <v>-21.545346308858484</v>
      </c>
      <c r="F171" s="70">
        <v>-15.904651966621202</v>
      </c>
      <c r="G171" s="70">
        <v>-6.0261734543406646</v>
      </c>
      <c r="H171" s="70">
        <v>6.6110245334531328</v>
      </c>
      <c r="I171" s="70">
        <v>-13.201736398226103</v>
      </c>
      <c r="J171" s="70">
        <v>-3.4486464899691782</v>
      </c>
      <c r="K171" s="70">
        <v>3.2566028219573582</v>
      </c>
      <c r="L171" s="70">
        <v>3.8661709412234586</v>
      </c>
      <c r="M171" s="70">
        <v>11.790556491682139</v>
      </c>
      <c r="N171" s="70">
        <v>19.714942042140876</v>
      </c>
      <c r="O171" s="70">
        <v>-32.473782288603559</v>
      </c>
      <c r="P171" s="70">
        <v>-33.023236521054343</v>
      </c>
      <c r="Q171" s="70">
        <v>-31.205504240257312</v>
      </c>
      <c r="R171" s="70">
        <v>-27.962531321705683</v>
      </c>
      <c r="S171" s="70">
        <v>-23.858905851053407</v>
      </c>
      <c r="T171" s="70">
        <v>-18.1007141860307</v>
      </c>
      <c r="U171" s="70">
        <v>121.52977305150395</v>
      </c>
      <c r="V171" s="70">
        <v>126.46638833837622</v>
      </c>
      <c r="W171" s="70">
        <v>136.26637628402815</v>
      </c>
      <c r="X171" s="70">
        <v>146.13759138294338</v>
      </c>
      <c r="Y171" s="70">
        <v>163.42492877943434</v>
      </c>
      <c r="Z171" s="70">
        <v>185.54002525807343</v>
      </c>
      <c r="AA171" s="70">
        <v>150.86769362763479</v>
      </c>
      <c r="AB171" s="70">
        <v>167.93560096708435</v>
      </c>
      <c r="AC171" s="70">
        <v>179.66978726295591</v>
      </c>
      <c r="AD171" s="70">
        <v>180.7365314716715</v>
      </c>
      <c r="AE171" s="70">
        <v>194.60420618497423</v>
      </c>
      <c r="AF171" s="70">
        <v>208.47188089827696</v>
      </c>
      <c r="AG171" s="70">
        <v>117.14161331947406</v>
      </c>
      <c r="AH171" s="70">
        <v>116.18006841268542</v>
      </c>
      <c r="AI171" s="70">
        <v>119.36109990408019</v>
      </c>
      <c r="AJ171" s="70">
        <v>125.03630251154547</v>
      </c>
      <c r="AK171" s="70">
        <v>132.21764708518705</v>
      </c>
      <c r="AL171" s="70">
        <v>142.29448249897663</v>
      </c>
      <c r="AM171" s="70">
        <v>13.289299739113886</v>
      </c>
      <c r="AN171" s="70">
        <v>18.225915025986154</v>
      </c>
      <c r="AO171" s="70">
        <v>28.025902971638089</v>
      </c>
      <c r="AP171" s="70">
        <v>37.897118070553319</v>
      </c>
      <c r="AQ171" s="70">
        <v>55.184455467044273</v>
      </c>
      <c r="AR171" s="70">
        <v>77.299551945683362</v>
      </c>
      <c r="AS171" s="70">
        <v>8.9011400070840523</v>
      </c>
      <c r="AT171" s="70">
        <v>7.9395951002954064</v>
      </c>
      <c r="AU171" s="70">
        <v>11.120626591690183</v>
      </c>
      <c r="AV171" s="70">
        <v>16.795829199155406</v>
      </c>
      <c r="AW171" s="70">
        <v>23.977173772797045</v>
      </c>
      <c r="AX171" s="70">
        <v>34.054009186586626</v>
      </c>
      <c r="AY171" s="70">
        <v>144.45291168888198</v>
      </c>
      <c r="AZ171" s="70">
        <v>36.212438376491917</v>
      </c>
      <c r="BA171" s="70">
        <v>127.40626955508765</v>
      </c>
      <c r="BB171" s="70">
        <v>131.2145156335319</v>
      </c>
      <c r="BC171" s="70">
        <v>138.77450633446341</v>
      </c>
      <c r="BD171" s="70">
        <v>146.38944369648374</v>
      </c>
      <c r="BE171" s="70">
        <v>159.72538968806259</v>
      </c>
      <c r="BF171" s="70">
        <v>176.78560697158412</v>
      </c>
      <c r="BG171" s="70">
        <v>56.72118658131194</v>
      </c>
      <c r="BH171" s="70">
        <v>140.18560920037166</v>
      </c>
      <c r="BI171" s="70">
        <v>224.72547601457475</v>
      </c>
      <c r="BJ171" s="70">
        <v>289.56648492726401</v>
      </c>
      <c r="BK171" s="70">
        <v>289.06375731234004</v>
      </c>
      <c r="BL171" s="70">
        <v>289.06375731234004</v>
      </c>
      <c r="BN171">
        <f t="shared" si="12"/>
        <v>-1.8</v>
      </c>
      <c r="BO171">
        <f t="shared" si="11"/>
        <v>1.6</v>
      </c>
      <c r="BP171">
        <f>IF($B171="",0,MEDIAN(0,1,0.5+(IF(AND((ABS(BN171)-'KT BE'!$D$162)&gt;0,(ABS(BO171)-'KT BE'!$D$163)&gt;0),SQRT((ABS(BN171)-'KT BE'!$D$162)^2+(ABS(BO171)-'KT BE'!$D$163)^2),MAX((ABS(BN171)-'KT BE'!$D$162),(ABS(BO171)-'KT BE'!$D$163))))/Dcoc))</f>
        <v>0.58002173680433522</v>
      </c>
    </row>
    <row r="172" spans="2:68" x14ac:dyDescent="0.3">
      <c r="B172" s="67">
        <v>4</v>
      </c>
      <c r="C172" s="70">
        <v>-67.69877904154427</v>
      </c>
      <c r="D172" s="70">
        <v>-78.742189794848429</v>
      </c>
      <c r="E172" s="70">
        <v>-75.35270908329835</v>
      </c>
      <c r="F172" s="70">
        <v>-59.649762295118649</v>
      </c>
      <c r="G172" s="70">
        <v>-45.863097859194397</v>
      </c>
      <c r="H172" s="70">
        <v>-23.800274996730479</v>
      </c>
      <c r="I172" s="70">
        <v>-17.405200911034285</v>
      </c>
      <c r="J172" s="70">
        <v>-7.6521110027773602</v>
      </c>
      <c r="K172" s="70">
        <v>-0.94686169085082383</v>
      </c>
      <c r="L172" s="70">
        <v>-0.3372935715847234</v>
      </c>
      <c r="M172" s="70">
        <v>7.587091978873957</v>
      </c>
      <c r="N172" s="70">
        <v>15.511477529332694</v>
      </c>
      <c r="O172" s="70">
        <v>-56.78658977914381</v>
      </c>
      <c r="P172" s="70">
        <v>-65.651299757661036</v>
      </c>
      <c r="Q172" s="70">
        <v>-65.159341671071019</v>
      </c>
      <c r="R172" s="70">
        <v>-55.881444620489049</v>
      </c>
      <c r="S172" s="70">
        <v>-49.433850374478766</v>
      </c>
      <c r="T172" s="70">
        <v>-38.022557545357301</v>
      </c>
      <c r="U172" s="70">
        <v>62.853931899242269</v>
      </c>
      <c r="V172" s="70">
        <v>43.52796308095995</v>
      </c>
      <c r="W172" s="70">
        <v>49.459554326172707</v>
      </c>
      <c r="X172" s="70">
        <v>76.9397112054871</v>
      </c>
      <c r="Y172" s="70">
        <v>101.06637396835455</v>
      </c>
      <c r="Z172" s="70">
        <v>139.67631397766635</v>
      </c>
      <c r="AA172" s="70">
        <v>150.86769362763479</v>
      </c>
      <c r="AB172" s="70">
        <v>167.93560096708435</v>
      </c>
      <c r="AC172" s="70">
        <v>179.66978726295591</v>
      </c>
      <c r="AD172" s="70">
        <v>180.7365314716715</v>
      </c>
      <c r="AE172" s="70">
        <v>194.60420618497423</v>
      </c>
      <c r="AF172" s="70">
        <v>208.47188089827696</v>
      </c>
      <c r="AG172" s="70">
        <v>81.950263108442925</v>
      </c>
      <c r="AH172" s="70">
        <v>66.437020646038007</v>
      </c>
      <c r="AI172" s="70">
        <v>67.297947297570516</v>
      </c>
      <c r="AJ172" s="70">
        <v>83.534267136088914</v>
      </c>
      <c r="AK172" s="70">
        <v>94.817557066607009</v>
      </c>
      <c r="AL172" s="70">
        <v>114.78731951756939</v>
      </c>
      <c r="AM172" s="70">
        <v>-45.386541413147768</v>
      </c>
      <c r="AN172" s="70">
        <v>-64.712510231430116</v>
      </c>
      <c r="AO172" s="70">
        <v>-58.780918986217358</v>
      </c>
      <c r="AP172" s="70">
        <v>-31.300762106902965</v>
      </c>
      <c r="AQ172" s="70">
        <v>-7.1740993440355112</v>
      </c>
      <c r="AR172" s="70">
        <v>31.435840665276345</v>
      </c>
      <c r="AS172" s="70">
        <v>-26.290210203947055</v>
      </c>
      <c r="AT172" s="70">
        <v>-41.803452666351973</v>
      </c>
      <c r="AU172" s="70">
        <v>-40.942526014819492</v>
      </c>
      <c r="AV172" s="70">
        <v>-24.706206176301123</v>
      </c>
      <c r="AW172" s="70">
        <v>-13.422916245782972</v>
      </c>
      <c r="AX172" s="70">
        <v>6.5468462051794347</v>
      </c>
      <c r="AY172" s="70">
        <v>132.58418642561114</v>
      </c>
      <c r="AZ172" s="70">
        <v>24.343713113221099</v>
      </c>
      <c r="BA172" s="70">
        <v>77.122454006753571</v>
      </c>
      <c r="BB172" s="70">
        <v>62.213849489792892</v>
      </c>
      <c r="BC172" s="70">
        <v>66.789648450385585</v>
      </c>
      <c r="BD172" s="70">
        <v>87.988626614428142</v>
      </c>
      <c r="BE172" s="70">
        <v>106.60062360292596</v>
      </c>
      <c r="BF172" s="70">
        <v>136.3854344672522</v>
      </c>
      <c r="BG172" s="70">
        <v>33.144830994627625</v>
      </c>
      <c r="BH172" s="70">
        <v>92.173564765028715</v>
      </c>
      <c r="BI172" s="70">
        <v>211.62155850588701</v>
      </c>
      <c r="BJ172" s="70">
        <v>277.46802264842427</v>
      </c>
      <c r="BK172" s="70">
        <v>275.9598398036523</v>
      </c>
      <c r="BL172" s="70">
        <v>275.9598398036523</v>
      </c>
      <c r="BN172">
        <f t="shared" si="12"/>
        <v>-1.8</v>
      </c>
      <c r="BO172">
        <f t="shared" si="11"/>
        <v>4.8000000000000007</v>
      </c>
      <c r="BP172">
        <f>IF($B172="",0,MEDIAN(0,1,0.5+(IF(AND((ABS(BN172)-'KT BE'!$D$162)&gt;0,(ABS(BO172)-'KT BE'!$D$163)&gt;0),SQRT((ABS(BN172)-'KT BE'!$D$162)^2+(ABS(BO172)-'KT BE'!$D$163)^2),MAX((ABS(BN172)-'KT BE'!$D$162),(ABS(BO172)-'KT BE'!$D$163))))/Dcoc))</f>
        <v>1</v>
      </c>
    </row>
    <row r="173" spans="2:68" x14ac:dyDescent="0.3">
      <c r="B173" s="67">
        <v>5</v>
      </c>
      <c r="C173" s="70">
        <v>665.64419049897606</v>
      </c>
      <c r="D173" s="70">
        <v>696.19378106879401</v>
      </c>
      <c r="E173" s="70">
        <v>706.21479898109703</v>
      </c>
      <c r="F173" s="70">
        <v>691.73098843144953</v>
      </c>
      <c r="G173" s="70">
        <v>693.79309509644258</v>
      </c>
      <c r="H173" s="70">
        <v>687.57904333489614</v>
      </c>
      <c r="I173" s="70">
        <v>615.35061236846605</v>
      </c>
      <c r="J173" s="70">
        <v>625.10370227672297</v>
      </c>
      <c r="K173" s="70">
        <v>631.80895158864951</v>
      </c>
      <c r="L173" s="70">
        <v>632.41851970791561</v>
      </c>
      <c r="M173" s="70">
        <v>640.34290525837423</v>
      </c>
      <c r="N173" s="70">
        <v>648.26729080883297</v>
      </c>
      <c r="O173" s="70">
        <v>643.02123507959288</v>
      </c>
      <c r="P173" s="70">
        <v>663.58494743663539</v>
      </c>
      <c r="Q173" s="70">
        <v>671.13605348528165</v>
      </c>
      <c r="R173" s="70">
        <v>662.58934408335745</v>
      </c>
      <c r="S173" s="70">
        <v>665.64718926989894</v>
      </c>
      <c r="T173" s="70">
        <v>663.74133587332926</v>
      </c>
      <c r="U173" s="70">
        <v>707.92786579410699</v>
      </c>
      <c r="V173" s="70">
        <v>761.38964929128849</v>
      </c>
      <c r="W173" s="70">
        <v>778.92643063781873</v>
      </c>
      <c r="X173" s="70">
        <v>753.57976217593557</v>
      </c>
      <c r="Y173" s="70">
        <v>757.18844883967358</v>
      </c>
      <c r="Z173" s="70">
        <v>746.31385825696725</v>
      </c>
      <c r="AA173" s="70">
        <v>619.91410406571447</v>
      </c>
      <c r="AB173" s="70">
        <v>636.98201140516403</v>
      </c>
      <c r="AC173" s="70">
        <v>648.71619770103564</v>
      </c>
      <c r="AD173" s="70">
        <v>649.78294190975123</v>
      </c>
      <c r="AE173" s="70">
        <v>663.65061662305391</v>
      </c>
      <c r="AF173" s="70">
        <v>677.5182913363567</v>
      </c>
      <c r="AG173" s="70">
        <v>668.33769381018669</v>
      </c>
      <c r="AH173" s="70">
        <v>704.32419043501079</v>
      </c>
      <c r="AI173" s="70">
        <v>717.53862602014158</v>
      </c>
      <c r="AJ173" s="70">
        <v>702.58188456677442</v>
      </c>
      <c r="AK173" s="70">
        <v>707.93311364322199</v>
      </c>
      <c r="AL173" s="70">
        <v>704.59787019922521</v>
      </c>
      <c r="AM173" s="70">
        <v>599.68739248171687</v>
      </c>
      <c r="AN173" s="70">
        <v>653.14917597889837</v>
      </c>
      <c r="AO173" s="70">
        <v>670.68595732542872</v>
      </c>
      <c r="AP173" s="70">
        <v>645.33928886354556</v>
      </c>
      <c r="AQ173" s="70">
        <v>648.94797552728357</v>
      </c>
      <c r="AR173" s="70">
        <v>638.07338494457713</v>
      </c>
      <c r="AS173" s="70">
        <v>560.09722049779657</v>
      </c>
      <c r="AT173" s="70">
        <v>596.08371712262078</v>
      </c>
      <c r="AU173" s="70">
        <v>609.29815270775157</v>
      </c>
      <c r="AV173" s="70">
        <v>594.34141125438441</v>
      </c>
      <c r="AW173" s="70">
        <v>599.69264033083198</v>
      </c>
      <c r="AX173" s="70">
        <v>596.35739688683509</v>
      </c>
      <c r="AY173" s="70">
        <v>550.32368829361258</v>
      </c>
      <c r="AZ173" s="70">
        <v>442.08321498122251</v>
      </c>
      <c r="BA173" s="70">
        <v>681.95563579668737</v>
      </c>
      <c r="BB173" s="70">
        <v>723.19758306594167</v>
      </c>
      <c r="BC173" s="70">
        <v>736.72595724755081</v>
      </c>
      <c r="BD173" s="70">
        <v>717.17281300552668</v>
      </c>
      <c r="BE173" s="70">
        <v>719.95665700326754</v>
      </c>
      <c r="BF173" s="70">
        <v>711.56768712517965</v>
      </c>
      <c r="BG173" s="70">
        <v>583.08762404078584</v>
      </c>
      <c r="BH173" s="70">
        <v>524.05889027038472</v>
      </c>
      <c r="BI173" s="70">
        <v>555.50283047186588</v>
      </c>
      <c r="BJ173" s="70">
        <v>489.65636632932865</v>
      </c>
      <c r="BK173" s="70">
        <v>491.16454917410061</v>
      </c>
      <c r="BL173" s="70">
        <v>491.16454917410061</v>
      </c>
      <c r="BN173">
        <f t="shared" si="12"/>
        <v>1.8</v>
      </c>
      <c r="BO173">
        <f t="shared" si="11"/>
        <v>-4.8000000000000007</v>
      </c>
      <c r="BP173">
        <f>IF($B173="",0,MEDIAN(0,1,0.5+(IF(AND((ABS(BN173)-'KT BE'!$D$162)&gt;0,(ABS(BO173)-'KT BE'!$D$163)&gt;0),SQRT((ABS(BN173)-'KT BE'!$D$162)^2+(ABS(BO173)-'KT BE'!$D$163)^2),MAX((ABS(BN173)-'KT BE'!$D$162),(ABS(BO173)-'KT BE'!$D$163))))/Dcoc))</f>
        <v>1</v>
      </c>
    </row>
    <row r="174" spans="2:68" x14ac:dyDescent="0.3">
      <c r="B174" s="67">
        <v>6</v>
      </c>
      <c r="C174" s="70">
        <v>627.9116738991612</v>
      </c>
      <c r="D174" s="70">
        <v>644.59693069460513</v>
      </c>
      <c r="E174" s="70">
        <v>652.40743620665717</v>
      </c>
      <c r="F174" s="70">
        <v>647.98587810295203</v>
      </c>
      <c r="G174" s="70">
        <v>653.95617069158891</v>
      </c>
      <c r="H174" s="70">
        <v>657.16774380471259</v>
      </c>
      <c r="I174" s="70">
        <v>611.14714785565786</v>
      </c>
      <c r="J174" s="70">
        <v>620.90023776391479</v>
      </c>
      <c r="K174" s="70">
        <v>627.60548707584132</v>
      </c>
      <c r="L174" s="70">
        <v>628.21505519510742</v>
      </c>
      <c r="M174" s="70">
        <v>636.13944074556616</v>
      </c>
      <c r="N174" s="70">
        <v>644.0638262960249</v>
      </c>
      <c r="O174" s="70">
        <v>618.70842758905269</v>
      </c>
      <c r="P174" s="70">
        <v>630.95688420002875</v>
      </c>
      <c r="Q174" s="70">
        <v>637.18221605446797</v>
      </c>
      <c r="R174" s="70">
        <v>634.67043078457414</v>
      </c>
      <c r="S174" s="70">
        <v>640.07224474647364</v>
      </c>
      <c r="T174" s="70">
        <v>643.81949251400272</v>
      </c>
      <c r="U174" s="70">
        <v>649.25202464184531</v>
      </c>
      <c r="V174" s="70">
        <v>678.45122403387222</v>
      </c>
      <c r="W174" s="70">
        <v>692.11960867996333</v>
      </c>
      <c r="X174" s="70">
        <v>684.38188199847934</v>
      </c>
      <c r="Y174" s="70">
        <v>694.8298940285938</v>
      </c>
      <c r="Z174" s="70">
        <v>700.45014697656018</v>
      </c>
      <c r="AA174" s="70">
        <v>619.91410406571447</v>
      </c>
      <c r="AB174" s="70">
        <v>636.98201140516403</v>
      </c>
      <c r="AC174" s="70">
        <v>648.71619770103564</v>
      </c>
      <c r="AD174" s="70">
        <v>649.78294190975123</v>
      </c>
      <c r="AE174" s="70">
        <v>663.65061662305391</v>
      </c>
      <c r="AF174" s="70">
        <v>677.5182913363567</v>
      </c>
      <c r="AG174" s="70">
        <v>633.14634359915544</v>
      </c>
      <c r="AH174" s="70">
        <v>654.58114266836344</v>
      </c>
      <c r="AI174" s="70">
        <v>665.4754734136319</v>
      </c>
      <c r="AJ174" s="70">
        <v>661.07984919131786</v>
      </c>
      <c r="AK174" s="70">
        <v>670.53302362464194</v>
      </c>
      <c r="AL174" s="70">
        <v>677.09070721781791</v>
      </c>
      <c r="AM174" s="70">
        <v>541.0115513294553</v>
      </c>
      <c r="AN174" s="70">
        <v>570.2107507214821</v>
      </c>
      <c r="AO174" s="70">
        <v>583.87913536757333</v>
      </c>
      <c r="AP174" s="70">
        <v>576.14140868608922</v>
      </c>
      <c r="AQ174" s="70">
        <v>586.58942071620379</v>
      </c>
      <c r="AR174" s="70">
        <v>592.20967366417017</v>
      </c>
      <c r="AS174" s="70">
        <v>524.90587028676555</v>
      </c>
      <c r="AT174" s="70">
        <v>546.34066935597343</v>
      </c>
      <c r="AU174" s="70">
        <v>557.23500010124189</v>
      </c>
      <c r="AV174" s="70">
        <v>552.83937587892785</v>
      </c>
      <c r="AW174" s="70">
        <v>562.29255031225193</v>
      </c>
      <c r="AX174" s="70">
        <v>568.8502339054279</v>
      </c>
      <c r="AY174" s="70">
        <v>538.45496303034179</v>
      </c>
      <c r="AZ174" s="70">
        <v>430.21448971795166</v>
      </c>
      <c r="BA174" s="70">
        <v>631.67182024835336</v>
      </c>
      <c r="BB174" s="70">
        <v>654.19691692220272</v>
      </c>
      <c r="BC174" s="70">
        <v>664.74109936347304</v>
      </c>
      <c r="BD174" s="70">
        <v>658.77199592347097</v>
      </c>
      <c r="BE174" s="70">
        <v>666.83189091813085</v>
      </c>
      <c r="BF174" s="70">
        <v>671.16751462084778</v>
      </c>
      <c r="BG174" s="70">
        <v>559.51126845410147</v>
      </c>
      <c r="BH174" s="70">
        <v>476.04684583504172</v>
      </c>
      <c r="BI174" s="70">
        <v>542.39891296317819</v>
      </c>
      <c r="BJ174" s="70">
        <v>477.5579040504889</v>
      </c>
      <c r="BK174" s="70">
        <v>478.06063166541287</v>
      </c>
      <c r="BL174" s="70">
        <v>478.06063166541287</v>
      </c>
      <c r="BN174">
        <f t="shared" si="12"/>
        <v>1.8</v>
      </c>
      <c r="BO174">
        <f t="shared" si="11"/>
        <v>-1.6</v>
      </c>
      <c r="BP174">
        <f>IF($B174="",0,MEDIAN(0,1,0.5+(IF(AND((ABS(BN174)-'KT BE'!$D$162)&gt;0,(ABS(BO174)-'KT BE'!$D$163)&gt;0),SQRT((ABS(BN174)-'KT BE'!$D$162)^2+(ABS(BO174)-'KT BE'!$D$163)^2),MAX((ABS(BN174)-'KT BE'!$D$162),(ABS(BO174)-'KT BE'!$D$163))))/Dcoc))</f>
        <v>0.58002173680433522</v>
      </c>
    </row>
    <row r="175" spans="2:68" x14ac:dyDescent="0.3">
      <c r="B175" s="67">
        <v>7</v>
      </c>
      <c r="C175" s="70">
        <v>590.17915729934634</v>
      </c>
      <c r="D175" s="70">
        <v>593.00008032041626</v>
      </c>
      <c r="E175" s="70">
        <v>598.6000734322173</v>
      </c>
      <c r="F175" s="70">
        <v>604.24076777445453</v>
      </c>
      <c r="G175" s="70">
        <v>614.11924628673512</v>
      </c>
      <c r="H175" s="70">
        <v>626.75644427452892</v>
      </c>
      <c r="I175" s="70">
        <v>606.94368334284968</v>
      </c>
      <c r="J175" s="70">
        <v>616.69677325110661</v>
      </c>
      <c r="K175" s="70">
        <v>623.40202256303314</v>
      </c>
      <c r="L175" s="70">
        <v>624.01159068229924</v>
      </c>
      <c r="M175" s="70">
        <v>631.93597623275787</v>
      </c>
      <c r="N175" s="70">
        <v>639.8603617832166</v>
      </c>
      <c r="O175" s="70">
        <v>594.39562009851238</v>
      </c>
      <c r="P175" s="70">
        <v>598.328820963422</v>
      </c>
      <c r="Q175" s="70">
        <v>603.22837862365418</v>
      </c>
      <c r="R175" s="70">
        <v>606.75151748579083</v>
      </c>
      <c r="S175" s="70">
        <v>614.49730022304834</v>
      </c>
      <c r="T175" s="70">
        <v>623.89764915467617</v>
      </c>
      <c r="U175" s="70">
        <v>590.57618348958363</v>
      </c>
      <c r="V175" s="70">
        <v>595.51279877645595</v>
      </c>
      <c r="W175" s="70">
        <v>605.31278672210783</v>
      </c>
      <c r="X175" s="70">
        <v>615.18400182102312</v>
      </c>
      <c r="Y175" s="70">
        <v>632.47133921751401</v>
      </c>
      <c r="Z175" s="70">
        <v>654.5864356961531</v>
      </c>
      <c r="AA175" s="70">
        <v>619.91410406571447</v>
      </c>
      <c r="AB175" s="70">
        <v>636.98201140516403</v>
      </c>
      <c r="AC175" s="70">
        <v>648.71619770103564</v>
      </c>
      <c r="AD175" s="70">
        <v>649.78294190975123</v>
      </c>
      <c r="AE175" s="70">
        <v>663.65061662305391</v>
      </c>
      <c r="AF175" s="70">
        <v>677.5182913363567</v>
      </c>
      <c r="AG175" s="70">
        <v>597.95499338812442</v>
      </c>
      <c r="AH175" s="70">
        <v>604.83809490171609</v>
      </c>
      <c r="AI175" s="70">
        <v>613.41232080712223</v>
      </c>
      <c r="AJ175" s="70">
        <v>619.5778138158613</v>
      </c>
      <c r="AK175" s="70">
        <v>633.1329336060619</v>
      </c>
      <c r="AL175" s="70">
        <v>649.5835442364106</v>
      </c>
      <c r="AM175" s="70">
        <v>482.33571017719362</v>
      </c>
      <c r="AN175" s="70">
        <v>487.27232546406583</v>
      </c>
      <c r="AO175" s="70">
        <v>497.07231340971782</v>
      </c>
      <c r="AP175" s="70">
        <v>506.94352850863299</v>
      </c>
      <c r="AQ175" s="70">
        <v>524.23086590512401</v>
      </c>
      <c r="AR175" s="70">
        <v>546.34596238376309</v>
      </c>
      <c r="AS175" s="70">
        <v>489.71452007573436</v>
      </c>
      <c r="AT175" s="70">
        <v>496.59762158932608</v>
      </c>
      <c r="AU175" s="70">
        <v>505.17184749473222</v>
      </c>
      <c r="AV175" s="70">
        <v>511.3373405034713</v>
      </c>
      <c r="AW175" s="70">
        <v>524.89246029367189</v>
      </c>
      <c r="AX175" s="70">
        <v>541.34307092402059</v>
      </c>
      <c r="AY175" s="70">
        <v>526.586237767071</v>
      </c>
      <c r="AZ175" s="70">
        <v>418.34576445468088</v>
      </c>
      <c r="BA175" s="70">
        <v>581.38800470001934</v>
      </c>
      <c r="BB175" s="70">
        <v>585.19625077846354</v>
      </c>
      <c r="BC175" s="70">
        <v>592.75624147939516</v>
      </c>
      <c r="BD175" s="70">
        <v>600.37117884141549</v>
      </c>
      <c r="BE175" s="70">
        <v>613.70712483299428</v>
      </c>
      <c r="BF175" s="70">
        <v>630.76734211651581</v>
      </c>
      <c r="BG175" s="70">
        <v>535.93491286741721</v>
      </c>
      <c r="BH175" s="70">
        <v>428.03480139969884</v>
      </c>
      <c r="BI175" s="70">
        <v>529.2949954544905</v>
      </c>
      <c r="BJ175" s="70">
        <v>465.45944177164915</v>
      </c>
      <c r="BK175" s="70">
        <v>464.95671415672518</v>
      </c>
      <c r="BL175" s="70">
        <v>464.95671415672518</v>
      </c>
      <c r="BN175">
        <f t="shared" si="12"/>
        <v>1.8</v>
      </c>
      <c r="BO175">
        <f t="shared" si="11"/>
        <v>1.6</v>
      </c>
      <c r="BP175">
        <f>IF($B175="",0,MEDIAN(0,1,0.5+(IF(AND((ABS(BN175)-'KT BE'!$D$162)&gt;0,(ABS(BO175)-'KT BE'!$D$163)&gt;0),SQRT((ABS(BN175)-'KT BE'!$D$162)^2+(ABS(BO175)-'KT BE'!$D$163)^2),MAX((ABS(BN175)-'KT BE'!$D$162),(ABS(BO175)-'KT BE'!$D$163))))/Dcoc))</f>
        <v>0.58002173680433522</v>
      </c>
    </row>
    <row r="176" spans="2:68" x14ac:dyDescent="0.3">
      <c r="B176" s="67">
        <v>8</v>
      </c>
      <c r="C176" s="70">
        <v>552.44664069953149</v>
      </c>
      <c r="D176" s="70">
        <v>541.40322994622738</v>
      </c>
      <c r="E176" s="70">
        <v>544.79271065777743</v>
      </c>
      <c r="F176" s="70">
        <v>560.49565744595714</v>
      </c>
      <c r="G176" s="70">
        <v>574.28232188188144</v>
      </c>
      <c r="H176" s="70">
        <v>596.34514474434536</v>
      </c>
      <c r="I176" s="70">
        <v>602.7402188300415</v>
      </c>
      <c r="J176" s="70">
        <v>612.49330873829842</v>
      </c>
      <c r="K176" s="70">
        <v>619.19855805022496</v>
      </c>
      <c r="L176" s="70">
        <v>619.80812616949106</v>
      </c>
      <c r="M176" s="70">
        <v>627.7325117199498</v>
      </c>
      <c r="N176" s="70">
        <v>635.65689727040854</v>
      </c>
      <c r="O176" s="70">
        <v>570.08281260797219</v>
      </c>
      <c r="P176" s="70">
        <v>565.70075772681537</v>
      </c>
      <c r="Q176" s="70">
        <v>569.2745411928405</v>
      </c>
      <c r="R176" s="70">
        <v>578.83260418700752</v>
      </c>
      <c r="S176" s="70">
        <v>588.92235569962293</v>
      </c>
      <c r="T176" s="70">
        <v>603.97580579534952</v>
      </c>
      <c r="U176" s="70">
        <v>531.90034233732194</v>
      </c>
      <c r="V176" s="70">
        <v>512.57437351903968</v>
      </c>
      <c r="W176" s="70">
        <v>518.50596476425244</v>
      </c>
      <c r="X176" s="70">
        <v>545.98612164356678</v>
      </c>
      <c r="Y176" s="70">
        <v>570.11278440643423</v>
      </c>
      <c r="Z176" s="70">
        <v>608.72272441574603</v>
      </c>
      <c r="AA176" s="70">
        <v>619.91410406571447</v>
      </c>
      <c r="AB176" s="70">
        <v>636.98201140516403</v>
      </c>
      <c r="AC176" s="70">
        <v>648.71619770103564</v>
      </c>
      <c r="AD176" s="70">
        <v>649.78294190975123</v>
      </c>
      <c r="AE176" s="70">
        <v>663.65061662305391</v>
      </c>
      <c r="AF176" s="70">
        <v>677.5182913363567</v>
      </c>
      <c r="AG176" s="70">
        <v>562.76364317709317</v>
      </c>
      <c r="AH176" s="70">
        <v>555.09504713506863</v>
      </c>
      <c r="AI176" s="70">
        <v>561.34916820061255</v>
      </c>
      <c r="AJ176" s="70">
        <v>578.07577844040475</v>
      </c>
      <c r="AK176" s="70">
        <v>595.73284358748185</v>
      </c>
      <c r="AL176" s="70">
        <v>622.07638125500341</v>
      </c>
      <c r="AM176" s="70">
        <v>423.65986902493194</v>
      </c>
      <c r="AN176" s="70">
        <v>404.33390020664956</v>
      </c>
      <c r="AO176" s="70">
        <v>410.26549145186232</v>
      </c>
      <c r="AP176" s="70">
        <v>437.74564833117677</v>
      </c>
      <c r="AQ176" s="70">
        <v>461.87231109404422</v>
      </c>
      <c r="AR176" s="70">
        <v>500.48225110335602</v>
      </c>
      <c r="AS176" s="70">
        <v>454.52316986470328</v>
      </c>
      <c r="AT176" s="70">
        <v>446.85457382267867</v>
      </c>
      <c r="AU176" s="70">
        <v>453.10869488822254</v>
      </c>
      <c r="AV176" s="70">
        <v>469.83530512801474</v>
      </c>
      <c r="AW176" s="70">
        <v>487.4923702750919</v>
      </c>
      <c r="AX176" s="70">
        <v>513.8359079426134</v>
      </c>
      <c r="AY176" s="70">
        <v>514.71751250380009</v>
      </c>
      <c r="AZ176" s="70">
        <v>406.47703919141009</v>
      </c>
      <c r="BA176" s="70">
        <v>531.1041891516852</v>
      </c>
      <c r="BB176" s="70">
        <v>516.19558463472458</v>
      </c>
      <c r="BC176" s="70">
        <v>520.77138359531727</v>
      </c>
      <c r="BD176" s="70">
        <v>541.97036175935978</v>
      </c>
      <c r="BE176" s="70">
        <v>560.5823587478576</v>
      </c>
      <c r="BF176" s="70">
        <v>590.36716961218394</v>
      </c>
      <c r="BG176" s="70">
        <v>512.35855728073284</v>
      </c>
      <c r="BH176" s="70">
        <v>380.02275696435595</v>
      </c>
      <c r="BI176" s="70">
        <v>516.1910779458027</v>
      </c>
      <c r="BJ176" s="70">
        <v>453.36097949280941</v>
      </c>
      <c r="BK176" s="70">
        <v>451.85279664803744</v>
      </c>
      <c r="BL176" s="70">
        <v>451.85279664803744</v>
      </c>
      <c r="BN176">
        <f t="shared" si="12"/>
        <v>1.8</v>
      </c>
      <c r="BO176">
        <f t="shared" si="11"/>
        <v>4.8000000000000007</v>
      </c>
      <c r="BP176">
        <f>IF($B176="",0,MEDIAN(0,1,0.5+(IF(AND((ABS(BN176)-'KT BE'!$D$162)&gt;0,(ABS(BO176)-'KT BE'!$D$163)&gt;0),SQRT((ABS(BN176)-'KT BE'!$D$162)^2+(ABS(BO176)-'KT BE'!$D$163)^2),MAX((ABS(BN176)-'KT BE'!$D$162),(ABS(BO176)-'KT BE'!$D$163))))/Dcoc))</f>
        <v>1</v>
      </c>
    </row>
    <row r="177" spans="2:68" x14ac:dyDescent="0.3">
      <c r="B177" s="67">
        <v>9</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N177">
        <f t="shared" si="12"/>
        <v>0</v>
      </c>
      <c r="BO177">
        <f t="shared" si="11"/>
        <v>0</v>
      </c>
      <c r="BP177">
        <f>IF($B177="",0,MEDIAN(0,1,0.5+(IF(AND((ABS(BN177)-'KT BE'!$D$162)&gt;0,(ABS(BO177)-'KT BE'!$D$163)&gt;0),SQRT((ABS(BN177)-'KT BE'!$D$162)^2+(ABS(BO177)-'KT BE'!$D$163)^2),MAX((ABS(BN177)-'KT BE'!$D$162),(ABS(BO177)-'KT BE'!$D$163))))/Dcoc))</f>
        <v>0</v>
      </c>
    </row>
    <row r="178" spans="2:68" x14ac:dyDescent="0.3">
      <c r="B178" s="67">
        <v>10</v>
      </c>
      <c r="C178" s="70">
        <v>0</v>
      </c>
      <c r="D178" s="70">
        <v>0</v>
      </c>
      <c r="E178" s="70">
        <v>0</v>
      </c>
      <c r="F178" s="70">
        <v>0</v>
      </c>
      <c r="G178" s="70">
        <v>0</v>
      </c>
      <c r="H178" s="70">
        <v>0</v>
      </c>
      <c r="I178" s="70">
        <v>0</v>
      </c>
      <c r="J178" s="70">
        <v>0</v>
      </c>
      <c r="K178" s="70">
        <v>0</v>
      </c>
      <c r="L178" s="70">
        <v>0</v>
      </c>
      <c r="M178" s="70">
        <v>0</v>
      </c>
      <c r="N178" s="70">
        <v>0</v>
      </c>
      <c r="O178" s="70">
        <v>0</v>
      </c>
      <c r="P178" s="70">
        <v>0</v>
      </c>
      <c r="Q178" s="70">
        <v>0</v>
      </c>
      <c r="R178" s="70">
        <v>0</v>
      </c>
      <c r="S178" s="70">
        <v>0</v>
      </c>
      <c r="T178" s="70">
        <v>0</v>
      </c>
      <c r="U178" s="70">
        <v>0</v>
      </c>
      <c r="V178" s="70">
        <v>0</v>
      </c>
      <c r="W178" s="70">
        <v>0</v>
      </c>
      <c r="X178" s="70">
        <v>0</v>
      </c>
      <c r="Y178" s="70">
        <v>0</v>
      </c>
      <c r="Z178" s="70">
        <v>0</v>
      </c>
      <c r="AA178" s="70">
        <v>0</v>
      </c>
      <c r="AB178" s="70">
        <v>0</v>
      </c>
      <c r="AC178" s="70">
        <v>0</v>
      </c>
      <c r="AD178" s="70">
        <v>0</v>
      </c>
      <c r="AE178" s="70">
        <v>0</v>
      </c>
      <c r="AF178" s="70">
        <v>0</v>
      </c>
      <c r="AG178" s="70">
        <v>0</v>
      </c>
      <c r="AH178" s="70">
        <v>0</v>
      </c>
      <c r="AI178" s="70">
        <v>0</v>
      </c>
      <c r="AJ178" s="70">
        <v>0</v>
      </c>
      <c r="AK178" s="70">
        <v>0</v>
      </c>
      <c r="AL178" s="70">
        <v>0</v>
      </c>
      <c r="AM178" s="70">
        <v>0</v>
      </c>
      <c r="AN178" s="70">
        <v>0</v>
      </c>
      <c r="AO178" s="70">
        <v>0</v>
      </c>
      <c r="AP178" s="70">
        <v>0</v>
      </c>
      <c r="AQ178" s="70">
        <v>0</v>
      </c>
      <c r="AR178" s="70">
        <v>0</v>
      </c>
      <c r="AS178" s="70">
        <v>0</v>
      </c>
      <c r="AT178" s="70">
        <v>0</v>
      </c>
      <c r="AU178" s="70">
        <v>0</v>
      </c>
      <c r="AV178" s="70">
        <v>0</v>
      </c>
      <c r="AW178" s="70">
        <v>0</v>
      </c>
      <c r="AX178" s="70">
        <v>0</v>
      </c>
      <c r="AY178" s="70">
        <v>0</v>
      </c>
      <c r="AZ178" s="70">
        <v>0</v>
      </c>
      <c r="BA178" s="70">
        <v>0</v>
      </c>
      <c r="BB178" s="70">
        <v>0</v>
      </c>
      <c r="BC178" s="70">
        <v>0</v>
      </c>
      <c r="BD178" s="70">
        <v>0</v>
      </c>
      <c r="BE178" s="70">
        <v>0</v>
      </c>
      <c r="BF178" s="70">
        <v>0</v>
      </c>
      <c r="BG178" s="70">
        <v>0</v>
      </c>
      <c r="BH178" s="70">
        <v>0</v>
      </c>
      <c r="BI178" s="70">
        <v>0</v>
      </c>
      <c r="BJ178" s="70">
        <v>0</v>
      </c>
      <c r="BK178" s="70">
        <v>0</v>
      </c>
      <c r="BL178" s="70">
        <v>0</v>
      </c>
      <c r="BN178">
        <f t="shared" si="12"/>
        <v>0</v>
      </c>
      <c r="BO178">
        <f t="shared" si="11"/>
        <v>0</v>
      </c>
      <c r="BP178">
        <f>IF($B178="",0,MEDIAN(0,1,0.5+(IF(AND((ABS(BN178)-'KT BE'!$D$162)&gt;0,(ABS(BO178)-'KT BE'!$D$163)&gt;0),SQRT((ABS(BN178)-'KT BE'!$D$162)^2+(ABS(BO178)-'KT BE'!$D$163)^2),MAX((ABS(BN178)-'KT BE'!$D$162),(ABS(BO178)-'KT BE'!$D$163))))/Dcoc))</f>
        <v>0</v>
      </c>
    </row>
    <row r="179" spans="2:68" x14ac:dyDescent="0.3">
      <c r="B179" s="67">
        <v>11</v>
      </c>
      <c r="C179" s="70">
        <v>0</v>
      </c>
      <c r="D179" s="70">
        <v>0</v>
      </c>
      <c r="E179" s="70">
        <v>0</v>
      </c>
      <c r="F179" s="70">
        <v>0</v>
      </c>
      <c r="G179" s="70">
        <v>0</v>
      </c>
      <c r="H179" s="70">
        <v>0</v>
      </c>
      <c r="I179" s="70">
        <v>0</v>
      </c>
      <c r="J179" s="70">
        <v>0</v>
      </c>
      <c r="K179" s="70">
        <v>0</v>
      </c>
      <c r="L179" s="70">
        <v>0</v>
      </c>
      <c r="M179" s="70">
        <v>0</v>
      </c>
      <c r="N179" s="70">
        <v>0</v>
      </c>
      <c r="O179" s="70">
        <v>0</v>
      </c>
      <c r="P179" s="70">
        <v>0</v>
      </c>
      <c r="Q179" s="70">
        <v>0</v>
      </c>
      <c r="R179" s="70">
        <v>0</v>
      </c>
      <c r="S179" s="70">
        <v>0</v>
      </c>
      <c r="T179" s="70">
        <v>0</v>
      </c>
      <c r="U179" s="70">
        <v>0</v>
      </c>
      <c r="V179" s="70">
        <v>0</v>
      </c>
      <c r="W179" s="70">
        <v>0</v>
      </c>
      <c r="X179" s="70">
        <v>0</v>
      </c>
      <c r="Y179" s="70">
        <v>0</v>
      </c>
      <c r="Z179" s="70">
        <v>0</v>
      </c>
      <c r="AA179" s="70">
        <v>0</v>
      </c>
      <c r="AB179" s="70">
        <v>0</v>
      </c>
      <c r="AC179" s="70">
        <v>0</v>
      </c>
      <c r="AD179" s="70">
        <v>0</v>
      </c>
      <c r="AE179" s="70">
        <v>0</v>
      </c>
      <c r="AF179" s="70">
        <v>0</v>
      </c>
      <c r="AG179" s="70">
        <v>0</v>
      </c>
      <c r="AH179" s="70">
        <v>0</v>
      </c>
      <c r="AI179" s="70">
        <v>0</v>
      </c>
      <c r="AJ179" s="70">
        <v>0</v>
      </c>
      <c r="AK179" s="70">
        <v>0</v>
      </c>
      <c r="AL179" s="70">
        <v>0</v>
      </c>
      <c r="AM179" s="70">
        <v>0</v>
      </c>
      <c r="AN179" s="70">
        <v>0</v>
      </c>
      <c r="AO179" s="70">
        <v>0</v>
      </c>
      <c r="AP179" s="70">
        <v>0</v>
      </c>
      <c r="AQ179" s="70">
        <v>0</v>
      </c>
      <c r="AR179" s="70">
        <v>0</v>
      </c>
      <c r="AS179" s="70">
        <v>0</v>
      </c>
      <c r="AT179" s="70">
        <v>0</v>
      </c>
      <c r="AU179" s="70">
        <v>0</v>
      </c>
      <c r="AV179" s="70">
        <v>0</v>
      </c>
      <c r="AW179" s="70">
        <v>0</v>
      </c>
      <c r="AX179" s="70">
        <v>0</v>
      </c>
      <c r="AY179" s="70">
        <v>0</v>
      </c>
      <c r="AZ179" s="70">
        <v>0</v>
      </c>
      <c r="BA179" s="70">
        <v>0</v>
      </c>
      <c r="BB179" s="70">
        <v>0</v>
      </c>
      <c r="BC179" s="70">
        <v>0</v>
      </c>
      <c r="BD179" s="70">
        <v>0</v>
      </c>
      <c r="BE179" s="70">
        <v>0</v>
      </c>
      <c r="BF179" s="70">
        <v>0</v>
      </c>
      <c r="BG179" s="70">
        <v>0</v>
      </c>
      <c r="BH179" s="70">
        <v>0</v>
      </c>
      <c r="BI179" s="70">
        <v>0</v>
      </c>
      <c r="BJ179" s="70">
        <v>0</v>
      </c>
      <c r="BK179" s="70">
        <v>0</v>
      </c>
      <c r="BL179" s="70">
        <v>0</v>
      </c>
      <c r="BN179">
        <f t="shared" si="12"/>
        <v>0</v>
      </c>
      <c r="BO179">
        <f t="shared" si="11"/>
        <v>0</v>
      </c>
      <c r="BP179">
        <f>IF($B179="",0,MEDIAN(0,1,0.5+(IF(AND((ABS(BN179)-'KT BE'!$D$162)&gt;0,(ABS(BO179)-'KT BE'!$D$163)&gt;0),SQRT((ABS(BN179)-'KT BE'!$D$162)^2+(ABS(BO179)-'KT BE'!$D$163)^2),MAX((ABS(BN179)-'KT BE'!$D$162),(ABS(BO179)-'KT BE'!$D$163))))/Dcoc))</f>
        <v>0</v>
      </c>
    </row>
    <row r="180" spans="2:68" x14ac:dyDescent="0.3">
      <c r="B180" s="67">
        <v>12</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N180">
        <f t="shared" si="12"/>
        <v>0</v>
      </c>
      <c r="BO180">
        <f t="shared" si="11"/>
        <v>0</v>
      </c>
      <c r="BP180">
        <f>IF($B180="",0,MEDIAN(0,1,0.5+(IF(AND((ABS(BN180)-'KT BE'!$D$162)&gt;0,(ABS(BO180)-'KT BE'!$D$163)&gt;0),SQRT((ABS(BN180)-'KT BE'!$D$162)^2+(ABS(BO180)-'KT BE'!$D$163)^2),MAX((ABS(BN180)-'KT BE'!$D$162),(ABS(BO180)-'KT BE'!$D$163))))/Dcoc))</f>
        <v>0</v>
      </c>
    </row>
    <row r="181" spans="2:68" x14ac:dyDescent="0.3">
      <c r="B181" s="67">
        <v>13</v>
      </c>
      <c r="C181" s="70">
        <v>0</v>
      </c>
      <c r="D181" s="70">
        <v>0</v>
      </c>
      <c r="E181" s="70">
        <v>0</v>
      </c>
      <c r="F181" s="70">
        <v>0</v>
      </c>
      <c r="G181" s="70">
        <v>0</v>
      </c>
      <c r="H181" s="70">
        <v>0</v>
      </c>
      <c r="I181" s="70">
        <v>0</v>
      </c>
      <c r="J181" s="70">
        <v>0</v>
      </c>
      <c r="K181" s="70">
        <v>0</v>
      </c>
      <c r="L181" s="70">
        <v>0</v>
      </c>
      <c r="M181" s="70">
        <v>0</v>
      </c>
      <c r="N181" s="70">
        <v>0</v>
      </c>
      <c r="O181" s="70">
        <v>0</v>
      </c>
      <c r="P181" s="70">
        <v>0</v>
      </c>
      <c r="Q181" s="70">
        <v>0</v>
      </c>
      <c r="R181" s="70">
        <v>0</v>
      </c>
      <c r="S181" s="70">
        <v>0</v>
      </c>
      <c r="T181" s="70">
        <v>0</v>
      </c>
      <c r="U181" s="70">
        <v>0</v>
      </c>
      <c r="V181" s="70">
        <v>0</v>
      </c>
      <c r="W181" s="70">
        <v>0</v>
      </c>
      <c r="X181" s="70">
        <v>0</v>
      </c>
      <c r="Y181" s="70">
        <v>0</v>
      </c>
      <c r="Z181" s="70">
        <v>0</v>
      </c>
      <c r="AA181" s="70">
        <v>0</v>
      </c>
      <c r="AB181" s="70">
        <v>0</v>
      </c>
      <c r="AC181" s="70">
        <v>0</v>
      </c>
      <c r="AD181" s="70">
        <v>0</v>
      </c>
      <c r="AE181" s="70">
        <v>0</v>
      </c>
      <c r="AF181" s="70">
        <v>0</v>
      </c>
      <c r="AG181" s="70">
        <v>0</v>
      </c>
      <c r="AH181" s="70">
        <v>0</v>
      </c>
      <c r="AI181" s="70">
        <v>0</v>
      </c>
      <c r="AJ181" s="70">
        <v>0</v>
      </c>
      <c r="AK181" s="70">
        <v>0</v>
      </c>
      <c r="AL181" s="70">
        <v>0</v>
      </c>
      <c r="AM181" s="70">
        <v>0</v>
      </c>
      <c r="AN181" s="70">
        <v>0</v>
      </c>
      <c r="AO181" s="70">
        <v>0</v>
      </c>
      <c r="AP181" s="70">
        <v>0</v>
      </c>
      <c r="AQ181" s="70">
        <v>0</v>
      </c>
      <c r="AR181" s="70">
        <v>0</v>
      </c>
      <c r="AS181" s="70">
        <v>0</v>
      </c>
      <c r="AT181" s="70">
        <v>0</v>
      </c>
      <c r="AU181" s="70">
        <v>0</v>
      </c>
      <c r="AV181" s="70">
        <v>0</v>
      </c>
      <c r="AW181" s="70">
        <v>0</v>
      </c>
      <c r="AX181" s="70">
        <v>0</v>
      </c>
      <c r="AY181" s="70">
        <v>0</v>
      </c>
      <c r="AZ181" s="70">
        <v>0</v>
      </c>
      <c r="BA181" s="70">
        <v>0</v>
      </c>
      <c r="BB181" s="70">
        <v>0</v>
      </c>
      <c r="BC181" s="70">
        <v>0</v>
      </c>
      <c r="BD181" s="70">
        <v>0</v>
      </c>
      <c r="BE181" s="70">
        <v>0</v>
      </c>
      <c r="BF181" s="70">
        <v>0</v>
      </c>
      <c r="BG181" s="70">
        <v>0</v>
      </c>
      <c r="BH181" s="70">
        <v>0</v>
      </c>
      <c r="BI181" s="70">
        <v>0</v>
      </c>
      <c r="BJ181" s="70">
        <v>0</v>
      </c>
      <c r="BK181" s="70">
        <v>0</v>
      </c>
      <c r="BL181" s="70">
        <v>0</v>
      </c>
      <c r="BN181">
        <f t="shared" si="12"/>
        <v>0</v>
      </c>
      <c r="BO181">
        <f t="shared" si="11"/>
        <v>0</v>
      </c>
      <c r="BP181">
        <f>IF($B181="",0,MEDIAN(0,1,0.5+(IF(AND((ABS(BN181)-'KT BE'!$D$162)&gt;0,(ABS(BO181)-'KT BE'!$D$163)&gt;0),SQRT((ABS(BN181)-'KT BE'!$D$162)^2+(ABS(BO181)-'KT BE'!$D$163)^2),MAX((ABS(BN181)-'KT BE'!$D$162),(ABS(BO181)-'KT BE'!$D$163))))/Dcoc))</f>
        <v>0</v>
      </c>
    </row>
    <row r="182" spans="2:68" x14ac:dyDescent="0.3">
      <c r="B182" s="67">
        <v>14</v>
      </c>
      <c r="C182" s="70">
        <v>0</v>
      </c>
      <c r="D182" s="70">
        <v>0</v>
      </c>
      <c r="E182" s="70">
        <v>0</v>
      </c>
      <c r="F182" s="70">
        <v>0</v>
      </c>
      <c r="G182" s="70">
        <v>0</v>
      </c>
      <c r="H182" s="70">
        <v>0</v>
      </c>
      <c r="I182" s="70">
        <v>0</v>
      </c>
      <c r="J182" s="70">
        <v>0</v>
      </c>
      <c r="K182" s="70">
        <v>0</v>
      </c>
      <c r="L182" s="70">
        <v>0</v>
      </c>
      <c r="M182" s="70">
        <v>0</v>
      </c>
      <c r="N182" s="70">
        <v>0</v>
      </c>
      <c r="O182" s="70">
        <v>0</v>
      </c>
      <c r="P182" s="70">
        <v>0</v>
      </c>
      <c r="Q182" s="70">
        <v>0</v>
      </c>
      <c r="R182" s="70">
        <v>0</v>
      </c>
      <c r="S182" s="70">
        <v>0</v>
      </c>
      <c r="T182" s="70">
        <v>0</v>
      </c>
      <c r="U182" s="70">
        <v>0</v>
      </c>
      <c r="V182" s="70">
        <v>0</v>
      </c>
      <c r="W182" s="70">
        <v>0</v>
      </c>
      <c r="X182" s="70">
        <v>0</v>
      </c>
      <c r="Y182" s="70">
        <v>0</v>
      </c>
      <c r="Z182" s="70">
        <v>0</v>
      </c>
      <c r="AA182" s="70">
        <v>0</v>
      </c>
      <c r="AB182" s="70">
        <v>0</v>
      </c>
      <c r="AC182" s="70">
        <v>0</v>
      </c>
      <c r="AD182" s="70">
        <v>0</v>
      </c>
      <c r="AE182" s="70">
        <v>0</v>
      </c>
      <c r="AF182" s="70">
        <v>0</v>
      </c>
      <c r="AG182" s="70">
        <v>0</v>
      </c>
      <c r="AH182" s="70">
        <v>0</v>
      </c>
      <c r="AI182" s="70">
        <v>0</v>
      </c>
      <c r="AJ182" s="70">
        <v>0</v>
      </c>
      <c r="AK182" s="70">
        <v>0</v>
      </c>
      <c r="AL182" s="70">
        <v>0</v>
      </c>
      <c r="AM182" s="70">
        <v>0</v>
      </c>
      <c r="AN182" s="70">
        <v>0</v>
      </c>
      <c r="AO182" s="70">
        <v>0</v>
      </c>
      <c r="AP182" s="70">
        <v>0</v>
      </c>
      <c r="AQ182" s="70">
        <v>0</v>
      </c>
      <c r="AR182" s="70">
        <v>0</v>
      </c>
      <c r="AS182" s="70">
        <v>0</v>
      </c>
      <c r="AT182" s="70">
        <v>0</v>
      </c>
      <c r="AU182" s="70">
        <v>0</v>
      </c>
      <c r="AV182" s="70">
        <v>0</v>
      </c>
      <c r="AW182" s="70">
        <v>0</v>
      </c>
      <c r="AX182" s="70">
        <v>0</v>
      </c>
      <c r="AY182" s="70">
        <v>0</v>
      </c>
      <c r="AZ182" s="70">
        <v>0</v>
      </c>
      <c r="BA182" s="70">
        <v>0</v>
      </c>
      <c r="BB182" s="70">
        <v>0</v>
      </c>
      <c r="BC182" s="70">
        <v>0</v>
      </c>
      <c r="BD182" s="70">
        <v>0</v>
      </c>
      <c r="BE182" s="70">
        <v>0</v>
      </c>
      <c r="BF182" s="70">
        <v>0</v>
      </c>
      <c r="BG182" s="70">
        <v>0</v>
      </c>
      <c r="BH182" s="70">
        <v>0</v>
      </c>
      <c r="BI182" s="70">
        <v>0</v>
      </c>
      <c r="BJ182" s="70">
        <v>0</v>
      </c>
      <c r="BK182" s="70">
        <v>0</v>
      </c>
      <c r="BL182" s="70">
        <v>0</v>
      </c>
      <c r="BN182">
        <f t="shared" si="12"/>
        <v>0</v>
      </c>
      <c r="BO182">
        <f t="shared" si="11"/>
        <v>0</v>
      </c>
      <c r="BP182">
        <f>IF($B182="",0,MEDIAN(0,1,0.5+(IF(AND((ABS(BN182)-'KT BE'!$D$162)&gt;0,(ABS(BO182)-'KT BE'!$D$163)&gt;0),SQRT((ABS(BN182)-'KT BE'!$D$162)^2+(ABS(BO182)-'KT BE'!$D$163)^2),MAX((ABS(BN182)-'KT BE'!$D$162),(ABS(BO182)-'KT BE'!$D$163))))/Dcoc))</f>
        <v>0</v>
      </c>
    </row>
    <row r="183" spans="2:68" x14ac:dyDescent="0.3">
      <c r="B183" s="67">
        <v>15</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N183">
        <f t="shared" si="12"/>
        <v>0</v>
      </c>
      <c r="BO183">
        <f t="shared" si="11"/>
        <v>0</v>
      </c>
      <c r="BP183">
        <f>IF($B183="",0,MEDIAN(0,1,0.5+(IF(AND((ABS(BN183)-'KT BE'!$D$162)&gt;0,(ABS(BO183)-'KT BE'!$D$163)&gt;0),SQRT((ABS(BN183)-'KT BE'!$D$162)^2+(ABS(BO183)-'KT BE'!$D$163)^2),MAX((ABS(BN183)-'KT BE'!$D$162),(ABS(BO183)-'KT BE'!$D$163))))/Dcoc))</f>
        <v>0</v>
      </c>
    </row>
    <row r="184" spans="2:68" x14ac:dyDescent="0.3">
      <c r="B184" s="67">
        <v>16</v>
      </c>
      <c r="C184" s="70">
        <v>0</v>
      </c>
      <c r="D184" s="70">
        <v>0</v>
      </c>
      <c r="E184" s="70">
        <v>0</v>
      </c>
      <c r="F184" s="70">
        <v>0</v>
      </c>
      <c r="G184" s="70">
        <v>0</v>
      </c>
      <c r="H184" s="70">
        <v>0</v>
      </c>
      <c r="I184" s="70">
        <v>0</v>
      </c>
      <c r="J184" s="70">
        <v>0</v>
      </c>
      <c r="K184" s="70">
        <v>0</v>
      </c>
      <c r="L184" s="70">
        <v>0</v>
      </c>
      <c r="M184" s="70">
        <v>0</v>
      </c>
      <c r="N184" s="70">
        <v>0</v>
      </c>
      <c r="O184" s="70">
        <v>0</v>
      </c>
      <c r="P184" s="70">
        <v>0</v>
      </c>
      <c r="Q184" s="70">
        <v>0</v>
      </c>
      <c r="R184" s="70">
        <v>0</v>
      </c>
      <c r="S184" s="70">
        <v>0</v>
      </c>
      <c r="T184" s="70">
        <v>0</v>
      </c>
      <c r="U184" s="70">
        <v>0</v>
      </c>
      <c r="V184" s="70">
        <v>0</v>
      </c>
      <c r="W184" s="70">
        <v>0</v>
      </c>
      <c r="X184" s="70">
        <v>0</v>
      </c>
      <c r="Y184" s="70">
        <v>0</v>
      </c>
      <c r="Z184" s="70">
        <v>0</v>
      </c>
      <c r="AA184" s="70">
        <v>0</v>
      </c>
      <c r="AB184" s="70">
        <v>0</v>
      </c>
      <c r="AC184" s="70">
        <v>0</v>
      </c>
      <c r="AD184" s="70">
        <v>0</v>
      </c>
      <c r="AE184" s="70">
        <v>0</v>
      </c>
      <c r="AF184" s="70">
        <v>0</v>
      </c>
      <c r="AG184" s="70">
        <v>0</v>
      </c>
      <c r="AH184" s="70">
        <v>0</v>
      </c>
      <c r="AI184" s="70">
        <v>0</v>
      </c>
      <c r="AJ184" s="70">
        <v>0</v>
      </c>
      <c r="AK184" s="70">
        <v>0</v>
      </c>
      <c r="AL184" s="70">
        <v>0</v>
      </c>
      <c r="AM184" s="70">
        <v>0</v>
      </c>
      <c r="AN184" s="70">
        <v>0</v>
      </c>
      <c r="AO184" s="70">
        <v>0</v>
      </c>
      <c r="AP184" s="70">
        <v>0</v>
      </c>
      <c r="AQ184" s="70">
        <v>0</v>
      </c>
      <c r="AR184" s="70">
        <v>0</v>
      </c>
      <c r="AS184" s="70">
        <v>0</v>
      </c>
      <c r="AT184" s="70">
        <v>0</v>
      </c>
      <c r="AU184" s="70">
        <v>0</v>
      </c>
      <c r="AV184" s="70">
        <v>0</v>
      </c>
      <c r="AW184" s="70">
        <v>0</v>
      </c>
      <c r="AX184" s="70">
        <v>0</v>
      </c>
      <c r="AY184" s="70">
        <v>0</v>
      </c>
      <c r="AZ184" s="70">
        <v>0</v>
      </c>
      <c r="BA184" s="70">
        <v>0</v>
      </c>
      <c r="BB184" s="70">
        <v>0</v>
      </c>
      <c r="BC184" s="70">
        <v>0</v>
      </c>
      <c r="BD184" s="70">
        <v>0</v>
      </c>
      <c r="BE184" s="70">
        <v>0</v>
      </c>
      <c r="BF184" s="70">
        <v>0</v>
      </c>
      <c r="BG184" s="70">
        <v>0</v>
      </c>
      <c r="BH184" s="70">
        <v>0</v>
      </c>
      <c r="BI184" s="70">
        <v>0</v>
      </c>
      <c r="BJ184" s="70">
        <v>0</v>
      </c>
      <c r="BK184" s="70">
        <v>0</v>
      </c>
      <c r="BL184" s="70">
        <v>0</v>
      </c>
      <c r="BN184">
        <f t="shared" si="12"/>
        <v>0</v>
      </c>
      <c r="BO184">
        <f t="shared" si="11"/>
        <v>0</v>
      </c>
      <c r="BP184">
        <f>IF($B184="",0,MEDIAN(0,1,0.5+(IF(AND((ABS(BN184)-'KT BE'!$D$162)&gt;0,(ABS(BO184)-'KT BE'!$D$163)&gt;0),SQRT((ABS(BN184)-'KT BE'!$D$162)^2+(ABS(BO184)-'KT BE'!$D$163)^2),MAX((ABS(BN184)-'KT BE'!$D$162),(ABS(BO184)-'KT BE'!$D$163))))/Dcoc))</f>
        <v>0</v>
      </c>
    </row>
    <row r="185" spans="2:68" x14ac:dyDescent="0.3">
      <c r="B185" s="67">
        <v>17</v>
      </c>
      <c r="C185" s="70">
        <v>0</v>
      </c>
      <c r="D185" s="70">
        <v>0</v>
      </c>
      <c r="E185" s="70">
        <v>0</v>
      </c>
      <c r="F185" s="70">
        <v>0</v>
      </c>
      <c r="G185" s="70">
        <v>0</v>
      </c>
      <c r="H185" s="70">
        <v>0</v>
      </c>
      <c r="I185" s="70">
        <v>0</v>
      </c>
      <c r="J185" s="70">
        <v>0</v>
      </c>
      <c r="K185" s="70">
        <v>0</v>
      </c>
      <c r="L185" s="70">
        <v>0</v>
      </c>
      <c r="M185" s="70">
        <v>0</v>
      </c>
      <c r="N185" s="70">
        <v>0</v>
      </c>
      <c r="O185" s="70">
        <v>0</v>
      </c>
      <c r="P185" s="70">
        <v>0</v>
      </c>
      <c r="Q185" s="70">
        <v>0</v>
      </c>
      <c r="R185" s="70">
        <v>0</v>
      </c>
      <c r="S185" s="70">
        <v>0</v>
      </c>
      <c r="T185" s="70">
        <v>0</v>
      </c>
      <c r="U185" s="70">
        <v>0</v>
      </c>
      <c r="V185" s="70">
        <v>0</v>
      </c>
      <c r="W185" s="70">
        <v>0</v>
      </c>
      <c r="X185" s="70">
        <v>0</v>
      </c>
      <c r="Y185" s="70">
        <v>0</v>
      </c>
      <c r="Z185" s="70">
        <v>0</v>
      </c>
      <c r="AA185" s="70">
        <v>0</v>
      </c>
      <c r="AB185" s="70">
        <v>0</v>
      </c>
      <c r="AC185" s="70">
        <v>0</v>
      </c>
      <c r="AD185" s="70">
        <v>0</v>
      </c>
      <c r="AE185" s="70">
        <v>0</v>
      </c>
      <c r="AF185" s="70">
        <v>0</v>
      </c>
      <c r="AG185" s="70">
        <v>0</v>
      </c>
      <c r="AH185" s="70">
        <v>0</v>
      </c>
      <c r="AI185" s="70">
        <v>0</v>
      </c>
      <c r="AJ185" s="70">
        <v>0</v>
      </c>
      <c r="AK185" s="70">
        <v>0</v>
      </c>
      <c r="AL185" s="70">
        <v>0</v>
      </c>
      <c r="AM185" s="70">
        <v>0</v>
      </c>
      <c r="AN185" s="70">
        <v>0</v>
      </c>
      <c r="AO185" s="70">
        <v>0</v>
      </c>
      <c r="AP185" s="70">
        <v>0</v>
      </c>
      <c r="AQ185" s="70">
        <v>0</v>
      </c>
      <c r="AR185" s="70">
        <v>0</v>
      </c>
      <c r="AS185" s="70">
        <v>0</v>
      </c>
      <c r="AT185" s="70">
        <v>0</v>
      </c>
      <c r="AU185" s="70">
        <v>0</v>
      </c>
      <c r="AV185" s="70">
        <v>0</v>
      </c>
      <c r="AW185" s="70">
        <v>0</v>
      </c>
      <c r="AX185" s="70">
        <v>0</v>
      </c>
      <c r="AY185" s="70">
        <v>0</v>
      </c>
      <c r="AZ185" s="70">
        <v>0</v>
      </c>
      <c r="BA185" s="70">
        <v>0</v>
      </c>
      <c r="BB185" s="70">
        <v>0</v>
      </c>
      <c r="BC185" s="70">
        <v>0</v>
      </c>
      <c r="BD185" s="70">
        <v>0</v>
      </c>
      <c r="BE185" s="70">
        <v>0</v>
      </c>
      <c r="BF185" s="70">
        <v>0</v>
      </c>
      <c r="BG185" s="70">
        <v>0</v>
      </c>
      <c r="BH185" s="70">
        <v>0</v>
      </c>
      <c r="BI185" s="70">
        <v>0</v>
      </c>
      <c r="BJ185" s="70">
        <v>0</v>
      </c>
      <c r="BK185" s="70">
        <v>0</v>
      </c>
      <c r="BL185" s="70">
        <v>0</v>
      </c>
      <c r="BN185">
        <f t="shared" si="12"/>
        <v>0</v>
      </c>
      <c r="BO185">
        <f t="shared" si="11"/>
        <v>0</v>
      </c>
      <c r="BP185">
        <f>IF($B185="",0,MEDIAN(0,1,0.5+(IF(AND((ABS(BN185)-'KT BE'!$D$162)&gt;0,(ABS(BO185)-'KT BE'!$D$163)&gt;0),SQRT((ABS(BN185)-'KT BE'!$D$162)^2+(ABS(BO185)-'KT BE'!$D$163)^2),MAX((ABS(BN185)-'KT BE'!$D$162),(ABS(BO185)-'KT BE'!$D$163))))/Dcoc))</f>
        <v>0</v>
      </c>
    </row>
    <row r="186" spans="2:68" x14ac:dyDescent="0.3">
      <c r="B186" s="67">
        <v>18</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N186">
        <f t="shared" si="12"/>
        <v>0</v>
      </c>
      <c r="BO186">
        <f t="shared" si="11"/>
        <v>0</v>
      </c>
      <c r="BP186">
        <f>IF($B186="",0,MEDIAN(0,1,0.5+(IF(AND((ABS(BN186)-'KT BE'!$D$162)&gt;0,(ABS(BO186)-'KT BE'!$D$163)&gt;0),SQRT((ABS(BN186)-'KT BE'!$D$162)^2+(ABS(BO186)-'KT BE'!$D$163)^2),MAX((ABS(BN186)-'KT BE'!$D$162),(ABS(BO186)-'KT BE'!$D$163))))/Dcoc))</f>
        <v>0</v>
      </c>
    </row>
    <row r="187" spans="2:68" x14ac:dyDescent="0.3">
      <c r="B187" s="67">
        <v>19</v>
      </c>
      <c r="C187" s="70">
        <v>0</v>
      </c>
      <c r="D187" s="70">
        <v>0</v>
      </c>
      <c r="E187" s="70">
        <v>0</v>
      </c>
      <c r="F187" s="70">
        <v>0</v>
      </c>
      <c r="G187" s="70">
        <v>0</v>
      </c>
      <c r="H187" s="70">
        <v>0</v>
      </c>
      <c r="I187" s="70">
        <v>0</v>
      </c>
      <c r="J187" s="70">
        <v>0</v>
      </c>
      <c r="K187" s="70">
        <v>0</v>
      </c>
      <c r="L187" s="70">
        <v>0</v>
      </c>
      <c r="M187" s="70">
        <v>0</v>
      </c>
      <c r="N187" s="70">
        <v>0</v>
      </c>
      <c r="O187" s="70">
        <v>0</v>
      </c>
      <c r="P187" s="70">
        <v>0</v>
      </c>
      <c r="Q187" s="70">
        <v>0</v>
      </c>
      <c r="R187" s="70">
        <v>0</v>
      </c>
      <c r="S187" s="70">
        <v>0</v>
      </c>
      <c r="T187" s="70">
        <v>0</v>
      </c>
      <c r="U187" s="70">
        <v>0</v>
      </c>
      <c r="V187" s="70">
        <v>0</v>
      </c>
      <c r="W187" s="70">
        <v>0</v>
      </c>
      <c r="X187" s="70">
        <v>0</v>
      </c>
      <c r="Y187" s="70">
        <v>0</v>
      </c>
      <c r="Z187" s="70">
        <v>0</v>
      </c>
      <c r="AA187" s="70">
        <v>0</v>
      </c>
      <c r="AB187" s="70">
        <v>0</v>
      </c>
      <c r="AC187" s="70">
        <v>0</v>
      </c>
      <c r="AD187" s="70">
        <v>0</v>
      </c>
      <c r="AE187" s="70">
        <v>0</v>
      </c>
      <c r="AF187" s="70">
        <v>0</v>
      </c>
      <c r="AG187" s="70">
        <v>0</v>
      </c>
      <c r="AH187" s="70">
        <v>0</v>
      </c>
      <c r="AI187" s="70">
        <v>0</v>
      </c>
      <c r="AJ187" s="70">
        <v>0</v>
      </c>
      <c r="AK187" s="70">
        <v>0</v>
      </c>
      <c r="AL187" s="70">
        <v>0</v>
      </c>
      <c r="AM187" s="70">
        <v>0</v>
      </c>
      <c r="AN187" s="70">
        <v>0</v>
      </c>
      <c r="AO187" s="70">
        <v>0</v>
      </c>
      <c r="AP187" s="70">
        <v>0</v>
      </c>
      <c r="AQ187" s="70">
        <v>0</v>
      </c>
      <c r="AR187" s="70">
        <v>0</v>
      </c>
      <c r="AS187" s="70">
        <v>0</v>
      </c>
      <c r="AT187" s="70">
        <v>0</v>
      </c>
      <c r="AU187" s="70">
        <v>0</v>
      </c>
      <c r="AV187" s="70">
        <v>0</v>
      </c>
      <c r="AW187" s="70">
        <v>0</v>
      </c>
      <c r="AX187" s="70">
        <v>0</v>
      </c>
      <c r="AY187" s="70">
        <v>0</v>
      </c>
      <c r="AZ187" s="70">
        <v>0</v>
      </c>
      <c r="BA187" s="70">
        <v>0</v>
      </c>
      <c r="BB187" s="70">
        <v>0</v>
      </c>
      <c r="BC187" s="70">
        <v>0</v>
      </c>
      <c r="BD187" s="70">
        <v>0</v>
      </c>
      <c r="BE187" s="70">
        <v>0</v>
      </c>
      <c r="BF187" s="70">
        <v>0</v>
      </c>
      <c r="BG187" s="70">
        <v>0</v>
      </c>
      <c r="BH187" s="70">
        <v>0</v>
      </c>
      <c r="BI187" s="70">
        <v>0</v>
      </c>
      <c r="BJ187" s="70">
        <v>0</v>
      </c>
      <c r="BK187" s="70">
        <v>0</v>
      </c>
      <c r="BL187" s="70">
        <v>0</v>
      </c>
      <c r="BN187">
        <f t="shared" si="12"/>
        <v>0</v>
      </c>
      <c r="BO187">
        <f t="shared" si="11"/>
        <v>0</v>
      </c>
      <c r="BP187">
        <f>IF($B187="",0,MEDIAN(0,1,0.5+(IF(AND((ABS(BN187)-'KT BE'!$D$162)&gt;0,(ABS(BO187)-'KT BE'!$D$163)&gt;0),SQRT((ABS(BN187)-'KT BE'!$D$162)^2+(ABS(BO187)-'KT BE'!$D$163)^2),MAX((ABS(BN187)-'KT BE'!$D$162),(ABS(BO187)-'KT BE'!$D$163))))/Dcoc))</f>
        <v>0</v>
      </c>
    </row>
    <row r="188" spans="2:68" x14ac:dyDescent="0.3">
      <c r="B188" s="67">
        <v>20</v>
      </c>
      <c r="C188" s="70">
        <v>0</v>
      </c>
      <c r="D188" s="70">
        <v>0</v>
      </c>
      <c r="E188" s="70">
        <v>0</v>
      </c>
      <c r="F188" s="70">
        <v>0</v>
      </c>
      <c r="G188" s="70">
        <v>0</v>
      </c>
      <c r="H188" s="70">
        <v>0</v>
      </c>
      <c r="I188" s="70">
        <v>0</v>
      </c>
      <c r="J188" s="70">
        <v>0</v>
      </c>
      <c r="K188" s="70">
        <v>0</v>
      </c>
      <c r="L188" s="70">
        <v>0</v>
      </c>
      <c r="M188" s="70">
        <v>0</v>
      </c>
      <c r="N188" s="70">
        <v>0</v>
      </c>
      <c r="O188" s="70">
        <v>0</v>
      </c>
      <c r="P188" s="70">
        <v>0</v>
      </c>
      <c r="Q188" s="70">
        <v>0</v>
      </c>
      <c r="R188" s="70">
        <v>0</v>
      </c>
      <c r="S188" s="70">
        <v>0</v>
      </c>
      <c r="T188" s="70">
        <v>0</v>
      </c>
      <c r="U188" s="70">
        <v>0</v>
      </c>
      <c r="V188" s="70">
        <v>0</v>
      </c>
      <c r="W188" s="70">
        <v>0</v>
      </c>
      <c r="X188" s="70">
        <v>0</v>
      </c>
      <c r="Y188" s="70">
        <v>0</v>
      </c>
      <c r="Z188" s="70">
        <v>0</v>
      </c>
      <c r="AA188" s="70">
        <v>0</v>
      </c>
      <c r="AB188" s="70">
        <v>0</v>
      </c>
      <c r="AC188" s="70">
        <v>0</v>
      </c>
      <c r="AD188" s="70">
        <v>0</v>
      </c>
      <c r="AE188" s="70">
        <v>0</v>
      </c>
      <c r="AF188" s="70">
        <v>0</v>
      </c>
      <c r="AG188" s="70">
        <v>0</v>
      </c>
      <c r="AH188" s="70">
        <v>0</v>
      </c>
      <c r="AI188" s="70">
        <v>0</v>
      </c>
      <c r="AJ188" s="70">
        <v>0</v>
      </c>
      <c r="AK188" s="70">
        <v>0</v>
      </c>
      <c r="AL188" s="70">
        <v>0</v>
      </c>
      <c r="AM188" s="70">
        <v>0</v>
      </c>
      <c r="AN188" s="70">
        <v>0</v>
      </c>
      <c r="AO188" s="70">
        <v>0</v>
      </c>
      <c r="AP188" s="70">
        <v>0</v>
      </c>
      <c r="AQ188" s="70">
        <v>0</v>
      </c>
      <c r="AR188" s="70">
        <v>0</v>
      </c>
      <c r="AS188" s="70">
        <v>0</v>
      </c>
      <c r="AT188" s="70">
        <v>0</v>
      </c>
      <c r="AU188" s="70">
        <v>0</v>
      </c>
      <c r="AV188" s="70">
        <v>0</v>
      </c>
      <c r="AW188" s="70">
        <v>0</v>
      </c>
      <c r="AX188" s="70">
        <v>0</v>
      </c>
      <c r="AY188" s="70">
        <v>0</v>
      </c>
      <c r="AZ188" s="70">
        <v>0</v>
      </c>
      <c r="BA188" s="70">
        <v>0</v>
      </c>
      <c r="BB188" s="70">
        <v>0</v>
      </c>
      <c r="BC188" s="70">
        <v>0</v>
      </c>
      <c r="BD188" s="70">
        <v>0</v>
      </c>
      <c r="BE188" s="70">
        <v>0</v>
      </c>
      <c r="BF188" s="70">
        <v>0</v>
      </c>
      <c r="BG188" s="70">
        <v>0</v>
      </c>
      <c r="BH188" s="70">
        <v>0</v>
      </c>
      <c r="BI188" s="70">
        <v>0</v>
      </c>
      <c r="BJ188" s="70">
        <v>0</v>
      </c>
      <c r="BK188" s="70">
        <v>0</v>
      </c>
      <c r="BL188" s="70">
        <v>0</v>
      </c>
      <c r="BN188">
        <f t="shared" si="12"/>
        <v>0</v>
      </c>
      <c r="BO188">
        <f t="shared" si="11"/>
        <v>0</v>
      </c>
      <c r="BP188">
        <f>IF($B188="",0,MEDIAN(0,1,0.5+(IF(AND((ABS(BN188)-'KT BE'!$D$162)&gt;0,(ABS(BO188)-'KT BE'!$D$163)&gt;0),SQRT((ABS(BN188)-'KT BE'!$D$162)^2+(ABS(BO188)-'KT BE'!$D$163)^2),MAX((ABS(BN188)-'KT BE'!$D$162),(ABS(BO188)-'KT BE'!$D$163))))/Dcoc))</f>
        <v>0</v>
      </c>
    </row>
    <row r="189" spans="2:68" x14ac:dyDescent="0.3">
      <c r="B189" t="s">
        <v>1880</v>
      </c>
    </row>
    <row r="190" spans="2:68" hidden="1" outlineLevel="1" x14ac:dyDescent="0.3">
      <c r="B190" t="s">
        <v>1881</v>
      </c>
      <c r="C190">
        <f t="shared" ref="C190:AH190" si="13">MAX(0,SUMPRODUCT(($BN$169:$BN$188&gt;(sThan/2+hthan/2))*C$169:C$188*($BN$169:$BN$188-(sThan/2+hthan/2))),SUMPRODUCT(($BN$169:$BN$188&lt;-(sThan/2+hthan/2))*C$169:C$188*(-(sThan/2+hthan/2)-$BN$169:$BN$188)))*9.81</f>
        <v>0</v>
      </c>
      <c r="D190">
        <f t="shared" si="13"/>
        <v>0</v>
      </c>
      <c r="E190">
        <f t="shared" si="13"/>
        <v>0</v>
      </c>
      <c r="F190">
        <f t="shared" si="13"/>
        <v>0</v>
      </c>
      <c r="G190">
        <f t="shared" si="13"/>
        <v>0</v>
      </c>
      <c r="H190">
        <f t="shared" si="13"/>
        <v>0</v>
      </c>
      <c r="I190">
        <f t="shared" si="13"/>
        <v>0</v>
      </c>
      <c r="J190">
        <f t="shared" si="13"/>
        <v>0</v>
      </c>
      <c r="K190">
        <f t="shared" si="13"/>
        <v>0</v>
      </c>
      <c r="L190">
        <f t="shared" si="13"/>
        <v>0</v>
      </c>
      <c r="M190">
        <f t="shared" si="13"/>
        <v>0</v>
      </c>
      <c r="N190">
        <f t="shared" si="13"/>
        <v>0</v>
      </c>
      <c r="O190">
        <f t="shared" si="13"/>
        <v>0</v>
      </c>
      <c r="P190">
        <f t="shared" si="13"/>
        <v>0</v>
      </c>
      <c r="Q190">
        <f t="shared" si="13"/>
        <v>0</v>
      </c>
      <c r="R190">
        <f t="shared" si="13"/>
        <v>0</v>
      </c>
      <c r="S190">
        <f t="shared" si="13"/>
        <v>0</v>
      </c>
      <c r="T190">
        <f t="shared" si="13"/>
        <v>0</v>
      </c>
      <c r="U190">
        <f t="shared" si="13"/>
        <v>0</v>
      </c>
      <c r="V190">
        <f t="shared" si="13"/>
        <v>0</v>
      </c>
      <c r="W190">
        <f t="shared" si="13"/>
        <v>0</v>
      </c>
      <c r="X190">
        <f t="shared" si="13"/>
        <v>0</v>
      </c>
      <c r="Y190">
        <f t="shared" si="13"/>
        <v>0</v>
      </c>
      <c r="Z190">
        <f t="shared" si="13"/>
        <v>0</v>
      </c>
      <c r="AA190">
        <f t="shared" si="13"/>
        <v>0</v>
      </c>
      <c r="AB190">
        <f t="shared" si="13"/>
        <v>0</v>
      </c>
      <c r="AC190">
        <f t="shared" si="13"/>
        <v>0</v>
      </c>
      <c r="AD190">
        <f t="shared" si="13"/>
        <v>0</v>
      </c>
      <c r="AE190">
        <f t="shared" si="13"/>
        <v>0</v>
      </c>
      <c r="AF190">
        <f t="shared" si="13"/>
        <v>0</v>
      </c>
      <c r="AG190">
        <f t="shared" si="13"/>
        <v>0</v>
      </c>
      <c r="AH190">
        <f t="shared" si="13"/>
        <v>0</v>
      </c>
      <c r="AI190">
        <f t="shared" ref="AI190:BL190" si="14">MAX(0,SUMPRODUCT(($BN$169:$BN$188&gt;(sThan/2+hthan/2))*AI$169:AI$188*($BN$169:$BN$188-(sThan/2+hthan/2))),SUMPRODUCT(($BN$169:$BN$188&lt;-(sThan/2+hthan/2))*AI$169:AI$188*(-(sThan/2+hthan/2)-$BN$169:$BN$188)))*9.81</f>
        <v>0</v>
      </c>
      <c r="AJ190">
        <f t="shared" si="14"/>
        <v>0</v>
      </c>
      <c r="AK190">
        <f t="shared" si="14"/>
        <v>0</v>
      </c>
      <c r="AL190">
        <f t="shared" si="14"/>
        <v>0</v>
      </c>
      <c r="AM190">
        <f t="shared" si="14"/>
        <v>0</v>
      </c>
      <c r="AN190">
        <f t="shared" si="14"/>
        <v>0</v>
      </c>
      <c r="AO190">
        <f t="shared" si="14"/>
        <v>0</v>
      </c>
      <c r="AP190">
        <f t="shared" si="14"/>
        <v>0</v>
      </c>
      <c r="AQ190">
        <f t="shared" si="14"/>
        <v>0</v>
      </c>
      <c r="AR190">
        <f t="shared" si="14"/>
        <v>0</v>
      </c>
      <c r="AS190">
        <f t="shared" si="14"/>
        <v>0</v>
      </c>
      <c r="AT190">
        <f t="shared" si="14"/>
        <v>0</v>
      </c>
      <c r="AU190">
        <f t="shared" si="14"/>
        <v>0</v>
      </c>
      <c r="AV190">
        <f t="shared" si="14"/>
        <v>0</v>
      </c>
      <c r="AW190">
        <f t="shared" si="14"/>
        <v>0</v>
      </c>
      <c r="AX190">
        <f t="shared" si="14"/>
        <v>0</v>
      </c>
      <c r="AY190">
        <f t="shared" si="14"/>
        <v>0</v>
      </c>
      <c r="AZ190">
        <f t="shared" si="14"/>
        <v>0</v>
      </c>
      <c r="BA190">
        <f t="shared" si="14"/>
        <v>0</v>
      </c>
      <c r="BB190">
        <f t="shared" si="14"/>
        <v>0</v>
      </c>
      <c r="BC190">
        <f t="shared" si="14"/>
        <v>0</v>
      </c>
      <c r="BD190">
        <f t="shared" si="14"/>
        <v>0</v>
      </c>
      <c r="BE190">
        <f t="shared" si="14"/>
        <v>0</v>
      </c>
      <c r="BF190">
        <f t="shared" si="14"/>
        <v>0</v>
      </c>
      <c r="BG190">
        <f t="shared" si="14"/>
        <v>0</v>
      </c>
      <c r="BH190">
        <f t="shared" si="14"/>
        <v>0</v>
      </c>
      <c r="BI190">
        <f t="shared" si="14"/>
        <v>0</v>
      </c>
      <c r="BJ190">
        <f t="shared" si="14"/>
        <v>0</v>
      </c>
      <c r="BK190">
        <f t="shared" si="14"/>
        <v>0</v>
      </c>
      <c r="BL190">
        <f t="shared" si="14"/>
        <v>0</v>
      </c>
    </row>
    <row r="191" spans="2:68" hidden="1" outlineLevel="1" x14ac:dyDescent="0.3">
      <c r="B191" t="s">
        <v>1882</v>
      </c>
      <c r="C191">
        <f t="shared" ref="C191:AH191" si="15">MAX(ABS(SUMPRODUCT(($BN$169:$BN$188&lt;0)*C$169:C$188*(ABS($BN$169:$BN$188)-sThan/2))),ABS(SUMPRODUCT(($BN$169:$BN$188&gt;0)*C$169:C$188*(ABS($BN$169:$BN$188)-sThan/2))))*9.81</f>
        <v>4779.7884216229431</v>
      </c>
      <c r="D191">
        <f t="shared" si="15"/>
        <v>4856.3306712229423</v>
      </c>
      <c r="E191">
        <f t="shared" si="15"/>
        <v>4908.9534678229429</v>
      </c>
      <c r="F191">
        <f t="shared" si="15"/>
        <v>4913.7373584229426</v>
      </c>
      <c r="G191">
        <f t="shared" si="15"/>
        <v>4975.9279362229418</v>
      </c>
      <c r="H191">
        <f t="shared" si="15"/>
        <v>5038.1185140229427</v>
      </c>
      <c r="I191">
        <f t="shared" si="15"/>
        <v>4779.7884216229431</v>
      </c>
      <c r="J191">
        <f t="shared" si="15"/>
        <v>4856.3306712229423</v>
      </c>
      <c r="K191">
        <f t="shared" si="15"/>
        <v>4908.9534678229429</v>
      </c>
      <c r="L191">
        <f t="shared" si="15"/>
        <v>4913.7373584229426</v>
      </c>
      <c r="M191">
        <f t="shared" si="15"/>
        <v>4975.9279362229418</v>
      </c>
      <c r="N191">
        <f t="shared" si="15"/>
        <v>5038.1185140229427</v>
      </c>
      <c r="O191">
        <f t="shared" si="15"/>
        <v>4760.2202831260047</v>
      </c>
      <c r="P191">
        <f t="shared" si="15"/>
        <v>4823.7171070613795</v>
      </c>
      <c r="Q191">
        <f t="shared" si="15"/>
        <v>4867.3711735169509</v>
      </c>
      <c r="R191">
        <f t="shared" si="15"/>
        <v>4871.339725012911</v>
      </c>
      <c r="S191">
        <f t="shared" si="15"/>
        <v>4922.9308944604036</v>
      </c>
      <c r="T191">
        <f t="shared" si="15"/>
        <v>4974.5220639078943</v>
      </c>
      <c r="U191">
        <f t="shared" si="15"/>
        <v>4865.0858887077266</v>
      </c>
      <c r="V191">
        <f t="shared" si="15"/>
        <v>4999.0348255077261</v>
      </c>
      <c r="W191">
        <f t="shared" si="15"/>
        <v>5091.1247195577262</v>
      </c>
      <c r="X191">
        <f t="shared" si="15"/>
        <v>5099.4965281077266</v>
      </c>
      <c r="Y191">
        <f t="shared" si="15"/>
        <v>5208.3300392577257</v>
      </c>
      <c r="Z191">
        <f t="shared" si="15"/>
        <v>5317.1635504077249</v>
      </c>
      <c r="AA191">
        <f t="shared" si="15"/>
        <v>4865.0858887077266</v>
      </c>
      <c r="AB191">
        <f t="shared" si="15"/>
        <v>4999.0348255077261</v>
      </c>
      <c r="AC191">
        <f t="shared" si="15"/>
        <v>5091.1247195577271</v>
      </c>
      <c r="AD191">
        <f t="shared" si="15"/>
        <v>5099.4965281077266</v>
      </c>
      <c r="AE191">
        <f t="shared" si="15"/>
        <v>5208.3300392577266</v>
      </c>
      <c r="AF191">
        <f t="shared" si="15"/>
        <v>5317.1635504077267</v>
      </c>
      <c r="AG191">
        <f t="shared" si="15"/>
        <v>4830.8416463380854</v>
      </c>
      <c r="AH191">
        <f t="shared" si="15"/>
        <v>4941.9610882249917</v>
      </c>
      <c r="AI191">
        <f t="shared" ref="AI191:BL191" si="16">MAX(ABS(SUMPRODUCT(($BN$169:$BN$188&lt;0)*AI$169:AI$188*(ABS($BN$169:$BN$188)-sThan/2))),ABS(SUMPRODUCT(($BN$169:$BN$188&gt;0)*AI$169:AI$188*(ABS($BN$169:$BN$188)-sThan/2))))*9.81</f>
        <v>5018.3557045222387</v>
      </c>
      <c r="AJ191">
        <f t="shared" si="16"/>
        <v>5025.3006696401699</v>
      </c>
      <c r="AK191">
        <f t="shared" si="16"/>
        <v>5115.585216173281</v>
      </c>
      <c r="AL191">
        <f t="shared" si="16"/>
        <v>5205.8697627063921</v>
      </c>
      <c r="AM191">
        <f t="shared" si="16"/>
        <v>4015.6146541520893</v>
      </c>
      <c r="AN191">
        <f t="shared" si="16"/>
        <v>4149.5635909520897</v>
      </c>
      <c r="AO191">
        <f t="shared" si="16"/>
        <v>4241.6534850020889</v>
      </c>
      <c r="AP191">
        <f t="shared" si="16"/>
        <v>4250.0252935520894</v>
      </c>
      <c r="AQ191">
        <f t="shared" si="16"/>
        <v>4358.8588047020894</v>
      </c>
      <c r="AR191">
        <f t="shared" si="16"/>
        <v>4467.6923158520895</v>
      </c>
      <c r="AS191">
        <f t="shared" si="16"/>
        <v>3981.3704117824486</v>
      </c>
      <c r="AT191">
        <f t="shared" si="16"/>
        <v>4092.4898536693545</v>
      </c>
      <c r="AU191">
        <f t="shared" si="16"/>
        <v>4168.8844699666015</v>
      </c>
      <c r="AV191">
        <f t="shared" si="16"/>
        <v>4175.8294350845335</v>
      </c>
      <c r="AW191">
        <f t="shared" si="16"/>
        <v>4266.1139816176446</v>
      </c>
      <c r="AX191">
        <f t="shared" si="16"/>
        <v>4356.3985281507548</v>
      </c>
      <c r="AY191">
        <f t="shared" si="16"/>
        <v>4179.2216719290473</v>
      </c>
      <c r="AZ191">
        <f t="shared" si="16"/>
        <v>3329.7504373734096</v>
      </c>
      <c r="BA191">
        <f t="shared" si="16"/>
        <v>4760.0467530974138</v>
      </c>
      <c r="BB191">
        <f t="shared" si="16"/>
        <v>4863.3787900574134</v>
      </c>
      <c r="BC191">
        <f t="shared" si="16"/>
        <v>4934.419565467414</v>
      </c>
      <c r="BD191">
        <f t="shared" si="16"/>
        <v>4940.8778177774138</v>
      </c>
      <c r="BE191">
        <f t="shared" si="16"/>
        <v>5024.8350978074141</v>
      </c>
      <c r="BF191">
        <f t="shared" si="16"/>
        <v>5108.7923778374134</v>
      </c>
      <c r="BG191">
        <f t="shared" si="16"/>
        <v>4298.5308155056382</v>
      </c>
      <c r="BH191">
        <f t="shared" si="16"/>
        <v>3547.6163837491217</v>
      </c>
      <c r="BI191">
        <f t="shared" si="16"/>
        <v>4205.3268966309306</v>
      </c>
      <c r="BJ191">
        <f t="shared" si="16"/>
        <v>3700.4000650060689</v>
      </c>
      <c r="BK191">
        <f t="shared" si="16"/>
        <v>3700.4000650060698</v>
      </c>
      <c r="BL191">
        <f t="shared" si="16"/>
        <v>3700.4000650060698</v>
      </c>
    </row>
    <row r="192" spans="2:68" hidden="1" outlineLevel="1" x14ac:dyDescent="0.3">
      <c r="B192" t="s">
        <v>1888</v>
      </c>
      <c r="C192">
        <f t="shared" ref="C192:AH192" si="17">SUM(C$169:C$188)*9.81</f>
        <v>23463.377945589622</v>
      </c>
      <c r="D192">
        <f t="shared" si="17"/>
        <v>24228.800441589628</v>
      </c>
      <c r="E192">
        <f t="shared" si="17"/>
        <v>24755.028407589627</v>
      </c>
      <c r="F192">
        <f t="shared" si="17"/>
        <v>24802.867313589624</v>
      </c>
      <c r="G192">
        <f t="shared" si="17"/>
        <v>25424.773091589621</v>
      </c>
      <c r="H192">
        <f t="shared" si="17"/>
        <v>26046.678869589625</v>
      </c>
      <c r="I192">
        <f t="shared" si="17"/>
        <v>23463.377945589622</v>
      </c>
      <c r="J192">
        <f t="shared" si="17"/>
        <v>24228.800441589628</v>
      </c>
      <c r="K192">
        <f t="shared" si="17"/>
        <v>24755.02840758962</v>
      </c>
      <c r="L192">
        <f t="shared" si="17"/>
        <v>24802.867313589624</v>
      </c>
      <c r="M192">
        <f t="shared" si="17"/>
        <v>25424.773091589621</v>
      </c>
      <c r="N192">
        <f t="shared" si="17"/>
        <v>26046.678869589625</v>
      </c>
      <c r="O192">
        <f t="shared" si="17"/>
        <v>23003.847481589622</v>
      </c>
      <c r="P192">
        <f t="shared" si="17"/>
        <v>23462.916334922957</v>
      </c>
      <c r="Q192">
        <f t="shared" si="17"/>
        <v>23778.526171589627</v>
      </c>
      <c r="R192">
        <f t="shared" si="17"/>
        <v>23807.217974922958</v>
      </c>
      <c r="S192">
        <f t="shared" si="17"/>
        <v>24180.211418256287</v>
      </c>
      <c r="T192">
        <f t="shared" si="17"/>
        <v>24553.20486158962</v>
      </c>
      <c r="U192">
        <f t="shared" si="17"/>
        <v>30245.477741487022</v>
      </c>
      <c r="V192">
        <f t="shared" si="17"/>
        <v>31584.967109487028</v>
      </c>
      <c r="W192">
        <f t="shared" si="17"/>
        <v>32505.866049987028</v>
      </c>
      <c r="X192">
        <f t="shared" si="17"/>
        <v>32589.584135487032</v>
      </c>
      <c r="Y192">
        <f t="shared" si="17"/>
        <v>33677.919246987025</v>
      </c>
      <c r="Z192">
        <f t="shared" si="17"/>
        <v>34766.254358487029</v>
      </c>
      <c r="AA192">
        <f t="shared" si="17"/>
        <v>30245.477741487026</v>
      </c>
      <c r="AB192">
        <f t="shared" si="17"/>
        <v>31584.967109487028</v>
      </c>
      <c r="AC192">
        <f t="shared" si="17"/>
        <v>32505.866049987028</v>
      </c>
      <c r="AD192">
        <f t="shared" si="17"/>
        <v>32589.584135487028</v>
      </c>
      <c r="AE192">
        <f t="shared" si="17"/>
        <v>33677.919246987025</v>
      </c>
      <c r="AF192">
        <f t="shared" si="17"/>
        <v>34766.254358487029</v>
      </c>
      <c r="AG192">
        <f t="shared" si="17"/>
        <v>29441.299429487026</v>
      </c>
      <c r="AH192">
        <f t="shared" si="17"/>
        <v>30244.669922820354</v>
      </c>
      <c r="AI192">
        <f t="shared" ref="AI192:BL192" si="18">SUM(AI$169:AI$188)*9.81</f>
        <v>30796.987136987027</v>
      </c>
      <c r="AJ192">
        <f t="shared" si="18"/>
        <v>30847.19779282036</v>
      </c>
      <c r="AK192">
        <f t="shared" si="18"/>
        <v>31499.936318653694</v>
      </c>
      <c r="AL192">
        <f t="shared" si="18"/>
        <v>32152.674844487021</v>
      </c>
      <c r="AM192">
        <f t="shared" si="18"/>
        <v>21750.765395930655</v>
      </c>
      <c r="AN192">
        <f t="shared" si="18"/>
        <v>23090.254763930658</v>
      </c>
      <c r="AO192">
        <f t="shared" si="18"/>
        <v>24011.153704430657</v>
      </c>
      <c r="AP192">
        <f t="shared" si="18"/>
        <v>24094.871789930654</v>
      </c>
      <c r="AQ192">
        <f t="shared" si="18"/>
        <v>25183.206901430654</v>
      </c>
      <c r="AR192">
        <f t="shared" si="18"/>
        <v>26271.542012930651</v>
      </c>
      <c r="AS192">
        <f t="shared" si="18"/>
        <v>20946.587083930655</v>
      </c>
      <c r="AT192">
        <f t="shared" si="18"/>
        <v>21749.957577263991</v>
      </c>
      <c r="AU192">
        <f t="shared" si="18"/>
        <v>22302.274791430653</v>
      </c>
      <c r="AV192">
        <f t="shared" si="18"/>
        <v>22352.485447263985</v>
      </c>
      <c r="AW192">
        <f t="shared" si="18"/>
        <v>23005.223973097323</v>
      </c>
      <c r="AX192">
        <f t="shared" si="18"/>
        <v>23657.962498930647</v>
      </c>
      <c r="AY192">
        <f t="shared" si="18"/>
        <v>26797.305003982339</v>
      </c>
      <c r="AZ192">
        <f t="shared" si="18"/>
        <v>18302.592658425969</v>
      </c>
      <c r="BA192">
        <f t="shared" si="18"/>
        <v>29786.224243887027</v>
      </c>
      <c r="BB192">
        <f t="shared" si="18"/>
        <v>30819.544613487025</v>
      </c>
      <c r="BC192">
        <f t="shared" si="18"/>
        <v>31529.952367587026</v>
      </c>
      <c r="BD192">
        <f t="shared" si="18"/>
        <v>31594.534890687028</v>
      </c>
      <c r="BE192">
        <f t="shared" si="18"/>
        <v>32434.107690987032</v>
      </c>
      <c r="BF192">
        <f t="shared" si="18"/>
        <v>33273.680491287028</v>
      </c>
      <c r="BG192">
        <f t="shared" si="18"/>
        <v>24180.961535589624</v>
      </c>
      <c r="BH192">
        <f t="shared" si="18"/>
        <v>24180.96153558962</v>
      </c>
      <c r="BI192">
        <f t="shared" si="18"/>
        <v>30101.961023487027</v>
      </c>
      <c r="BJ192">
        <f t="shared" si="18"/>
        <v>30101.96102348702</v>
      </c>
      <c r="BK192">
        <f t="shared" si="18"/>
        <v>30101.96102348702</v>
      </c>
      <c r="BL192">
        <f t="shared" si="18"/>
        <v>30101.96102348702</v>
      </c>
    </row>
    <row r="193" spans="2:64" hidden="1" outlineLevel="1" x14ac:dyDescent="0.3">
      <c r="B193" t="s">
        <v>1889</v>
      </c>
      <c r="C193">
        <f t="shared" ref="C193:AH193" si="19">SUMPRODUCT($BP$169:$BP$188*C$169:C$188)*9.81</f>
        <v>18536.323586443526</v>
      </c>
      <c r="D193">
        <f t="shared" si="19"/>
        <v>19141.015677203042</v>
      </c>
      <c r="E193">
        <f t="shared" si="19"/>
        <v>19556.741489600205</v>
      </c>
      <c r="F193">
        <f t="shared" si="19"/>
        <v>19594.534745272678</v>
      </c>
      <c r="G193">
        <f t="shared" si="19"/>
        <v>20085.847069014781</v>
      </c>
      <c r="H193">
        <f t="shared" si="19"/>
        <v>20577.15939275689</v>
      </c>
      <c r="I193">
        <f t="shared" si="19"/>
        <v>18536.323586443526</v>
      </c>
      <c r="J193">
        <f t="shared" si="19"/>
        <v>19141.015677203042</v>
      </c>
      <c r="K193">
        <f t="shared" si="19"/>
        <v>19556.741489600205</v>
      </c>
      <c r="L193">
        <f t="shared" si="19"/>
        <v>19594.534745272678</v>
      </c>
      <c r="M193">
        <f t="shared" si="19"/>
        <v>20085.847069014781</v>
      </c>
      <c r="N193">
        <f t="shared" si="19"/>
        <v>20577.15939275689</v>
      </c>
      <c r="O193">
        <f t="shared" si="19"/>
        <v>18173.289525521635</v>
      </c>
      <c r="P193">
        <f t="shared" si="19"/>
        <v>18535.958908999888</v>
      </c>
      <c r="Q193">
        <f t="shared" si="19"/>
        <v>18785.294110141193</v>
      </c>
      <c r="R193">
        <f t="shared" si="19"/>
        <v>18807.960946608582</v>
      </c>
      <c r="S193">
        <f t="shared" si="19"/>
        <v>19102.629820684659</v>
      </c>
      <c r="T193">
        <f t="shared" si="19"/>
        <v>19397.298694760739</v>
      </c>
      <c r="U193">
        <f t="shared" si="19"/>
        <v>23894.256135790594</v>
      </c>
      <c r="V193">
        <f t="shared" si="19"/>
        <v>24952.467294619753</v>
      </c>
      <c r="W193">
        <f t="shared" si="19"/>
        <v>25679.987466314793</v>
      </c>
      <c r="X193">
        <f t="shared" si="19"/>
        <v>25746.125663741608</v>
      </c>
      <c r="Y193">
        <f t="shared" si="19"/>
        <v>26605.922230290293</v>
      </c>
      <c r="Z193">
        <f t="shared" si="19"/>
        <v>27465.718796838981</v>
      </c>
      <c r="AA193">
        <f t="shared" si="19"/>
        <v>23894.256135790598</v>
      </c>
      <c r="AB193">
        <f t="shared" si="19"/>
        <v>24952.467294619753</v>
      </c>
      <c r="AC193">
        <f t="shared" si="19"/>
        <v>25679.987466314793</v>
      </c>
      <c r="AD193">
        <f t="shared" si="19"/>
        <v>25746.125663741608</v>
      </c>
      <c r="AE193">
        <f t="shared" si="19"/>
        <v>26605.922230290293</v>
      </c>
      <c r="AF193">
        <f t="shared" si="19"/>
        <v>27465.718796838984</v>
      </c>
      <c r="AG193">
        <f t="shared" si="19"/>
        <v>23258.94652917729</v>
      </c>
      <c r="AH193">
        <f t="shared" si="19"/>
        <v>23893.61795026423</v>
      </c>
      <c r="AI193">
        <f t="shared" ref="AI193:BL193" si="20">SUMPRODUCT($BP$169:$BP$188*AI$169:AI$188)*9.81</f>
        <v>24329.954552261504</v>
      </c>
      <c r="AJ193">
        <f t="shared" si="20"/>
        <v>24369.621516079438</v>
      </c>
      <c r="AK193">
        <f t="shared" si="20"/>
        <v>24885.292045712584</v>
      </c>
      <c r="AL193">
        <f t="shared" si="20"/>
        <v>25400.962575345722</v>
      </c>
      <c r="AM193">
        <f t="shared" si="20"/>
        <v>17183.341058850994</v>
      </c>
      <c r="AN193">
        <f t="shared" si="20"/>
        <v>18241.552217680146</v>
      </c>
      <c r="AO193">
        <f t="shared" si="20"/>
        <v>18969.072389375186</v>
      </c>
      <c r="AP193">
        <f t="shared" si="20"/>
        <v>19035.210586802008</v>
      </c>
      <c r="AQ193">
        <f t="shared" si="20"/>
        <v>19895.007153350689</v>
      </c>
      <c r="AR193">
        <f t="shared" si="20"/>
        <v>20754.803719899377</v>
      </c>
      <c r="AS193">
        <f t="shared" si="20"/>
        <v>16548.031452237687</v>
      </c>
      <c r="AT193">
        <f t="shared" si="20"/>
        <v>17182.702873324633</v>
      </c>
      <c r="AU193">
        <f t="shared" si="20"/>
        <v>17619.039475321901</v>
      </c>
      <c r="AV193">
        <f t="shared" si="20"/>
        <v>17658.706439139834</v>
      </c>
      <c r="AW193">
        <f t="shared" si="20"/>
        <v>18174.376968772984</v>
      </c>
      <c r="AX193">
        <f t="shared" si="20"/>
        <v>18690.047498406118</v>
      </c>
      <c r="AY193">
        <f t="shared" si="20"/>
        <v>21170.162197033838</v>
      </c>
      <c r="AZ193">
        <f t="shared" si="20"/>
        <v>14459.247120094235</v>
      </c>
      <c r="BA193">
        <f t="shared" si="20"/>
        <v>23531.440881334889</v>
      </c>
      <c r="BB193">
        <f t="shared" si="20"/>
        <v>24347.77520386023</v>
      </c>
      <c r="BC193">
        <f t="shared" si="20"/>
        <v>24909.00505059641</v>
      </c>
      <c r="BD193">
        <f t="shared" si="20"/>
        <v>24960.025945754242</v>
      </c>
      <c r="BE193">
        <f t="shared" si="20"/>
        <v>25623.297582806092</v>
      </c>
      <c r="BF193">
        <f t="shared" si="20"/>
        <v>26286.569219857931</v>
      </c>
      <c r="BG193">
        <f t="shared" si="20"/>
        <v>19103.222421530572</v>
      </c>
      <c r="BH193">
        <f t="shared" si="20"/>
        <v>19103.222421530572</v>
      </c>
      <c r="BI193">
        <f t="shared" si="20"/>
        <v>23780.876368773184</v>
      </c>
      <c r="BJ193">
        <f t="shared" si="20"/>
        <v>23780.876368773192</v>
      </c>
      <c r="BK193">
        <f t="shared" si="20"/>
        <v>23780.876368773192</v>
      </c>
      <c r="BL193">
        <f t="shared" si="20"/>
        <v>23780.876368773192</v>
      </c>
    </row>
    <row r="194" spans="2:64" collapsed="1" x14ac:dyDescent="0.3"/>
  </sheetData>
  <mergeCells count="1">
    <mergeCell ref="B116:BL11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Y467"/>
  <sheetViews>
    <sheetView topLeftCell="A132" workbookViewId="0">
      <selection activeCell="C156" sqref="C156"/>
    </sheetView>
  </sheetViews>
  <sheetFormatPr defaultColWidth="8.6640625" defaultRowHeight="14.4" outlineLevelRow="1" x14ac:dyDescent="0.3"/>
  <cols>
    <col min="1" max="1" width="6.88671875" customWidth="1"/>
    <col min="2" max="2" width="46" customWidth="1"/>
    <col min="3" max="13" width="13" customWidth="1"/>
  </cols>
  <sheetData>
    <row r="2" spans="1:9" ht="16.8" x14ac:dyDescent="0.3">
      <c r="B2" s="2" t="s">
        <v>723</v>
      </c>
    </row>
    <row r="4" spans="1:9" x14ac:dyDescent="0.3">
      <c r="B4" s="5" t="s">
        <v>724</v>
      </c>
    </row>
    <row r="5" spans="1:9" x14ac:dyDescent="0.3">
      <c r="B5" s="7" t="s">
        <v>725</v>
      </c>
      <c r="C5" s="27">
        <f>MAX('TO HOP'!E198,'TO HOP'!E200)</f>
        <v>34766.254358487029</v>
      </c>
      <c r="D5" s="27">
        <f>MIN('TO HOP'!E199,'TO HOP'!E201)</f>
        <v>18302.592658425969</v>
      </c>
    </row>
    <row r="6" spans="1:9" x14ac:dyDescent="0.3">
      <c r="B6" s="7" t="s">
        <v>726</v>
      </c>
      <c r="C6" s="27">
        <f>MAX(ABS('TO HOP'!G198),ABS('TO HOP'!G199),ABS('TO HOP'!G200),ABS('TO HOP'!G201))</f>
        <v>37616.053671449248</v>
      </c>
      <c r="D6" s="27">
        <f>MAX(ABS('TO HOP'!F198),ABS('TO HOP'!F199),ABS('TO HOP'!F200),ABS('TO HOP'!F201))</f>
        <v>29353.653728437501</v>
      </c>
    </row>
    <row r="7" spans="1:9" x14ac:dyDescent="0.3">
      <c r="B7" s="7" t="s">
        <v>727</v>
      </c>
      <c r="C7" s="27">
        <f>MAX(ABS('TO HOP'!C198),ABS('TO HOP'!C199),ABS('TO HOP'!C200),ABS('TO HOP'!C201))</f>
        <v>3446.1730690059308</v>
      </c>
      <c r="D7" s="27">
        <f>MAX(ABS('TO HOP'!D198),ABS('TO HOP'!D199),ABS('TO HOP'!D200),ABS('TO HOP'!D201))</f>
        <v>2679.3696812801081</v>
      </c>
    </row>
    <row r="8" spans="1:9" x14ac:dyDescent="0.3">
      <c r="B8" s="12" t="s">
        <v>728</v>
      </c>
      <c r="F8" t="s">
        <v>729</v>
      </c>
    </row>
    <row r="10" spans="1:9" x14ac:dyDescent="0.3">
      <c r="B10" s="5" t="s">
        <v>730</v>
      </c>
    </row>
    <row r="11" spans="1:9" x14ac:dyDescent="0.3">
      <c r="B11" s="7" t="s">
        <v>1703</v>
      </c>
      <c r="C11" s="96">
        <f>$B$26</f>
        <v>180</v>
      </c>
      <c r="D11" s="14">
        <f>IF(AND($B$28=1,$F$26&gt;0),$F$26,C11*PI()*G11^2/4)</f>
        <v>144764.58947741767</v>
      </c>
      <c r="E11" s="7" t="s">
        <v>226</v>
      </c>
      <c r="F11" s="12" t="s">
        <v>731</v>
      </c>
      <c r="G11" s="15">
        <v>32</v>
      </c>
    </row>
    <row r="12" spans="1:9" x14ac:dyDescent="0.3">
      <c r="B12" s="7" t="s">
        <v>732</v>
      </c>
      <c r="D12" s="95">
        <f>IF(AND($B$28=1,$F$26&gt;0),$G$26/$F$26,$B$29)</f>
        <v>100</v>
      </c>
      <c r="E12" s="7" t="s">
        <v>323</v>
      </c>
    </row>
    <row r="13" spans="1:9" x14ac:dyDescent="0.3">
      <c r="A13" s="144" t="s">
        <v>1677</v>
      </c>
      <c r="B13" s="145"/>
      <c r="C13" s="145"/>
      <c r="D13" s="145"/>
      <c r="E13" s="145"/>
      <c r="F13" s="145"/>
      <c r="G13" s="145"/>
      <c r="H13" s="145"/>
      <c r="I13" s="145"/>
    </row>
    <row r="14" spans="1:9" ht="42" customHeight="1" x14ac:dyDescent="0.3">
      <c r="A14" s="129" t="s">
        <v>1704</v>
      </c>
      <c r="B14" s="128"/>
      <c r="C14" s="128"/>
      <c r="D14" s="128"/>
      <c r="E14" s="128"/>
      <c r="F14" s="128"/>
      <c r="G14" s="128"/>
      <c r="H14" s="128"/>
      <c r="I14" s="128"/>
    </row>
    <row r="15" spans="1:9" ht="28.8" x14ac:dyDescent="0.3">
      <c r="A15" s="72" t="s">
        <v>832</v>
      </c>
      <c r="B15" s="72" t="s">
        <v>1678</v>
      </c>
      <c r="C15" s="72" t="s">
        <v>837</v>
      </c>
      <c r="D15" s="72" t="s">
        <v>1679</v>
      </c>
      <c r="E15" s="72" t="s">
        <v>1680</v>
      </c>
      <c r="F15" s="72" t="s">
        <v>1681</v>
      </c>
      <c r="G15" s="72" t="s">
        <v>1682</v>
      </c>
      <c r="H15" s="72" t="s">
        <v>1683</v>
      </c>
      <c r="I15" s="72" t="s">
        <v>1684</v>
      </c>
    </row>
    <row r="16" spans="1:9" x14ac:dyDescent="0.3">
      <c r="A16" s="84" t="s">
        <v>43</v>
      </c>
      <c r="B16" s="85">
        <v>180</v>
      </c>
      <c r="C16" s="85">
        <v>32</v>
      </c>
      <c r="D16" s="85">
        <v>1</v>
      </c>
      <c r="E16" s="86">
        <v>100</v>
      </c>
      <c r="F16" s="87">
        <f t="shared" ref="F16:F25" si="0">IF($B16="",0,$B16*PI()*$C16^2/4)</f>
        <v>144764.58947741767</v>
      </c>
      <c r="G16" s="87">
        <f t="shared" ref="G16:G25" si="1">IF($B16="",0,$F16*$E16)</f>
        <v>14476458.947741767</v>
      </c>
      <c r="H16" s="88">
        <f t="shared" ref="H16:H25" si="2">IF($B16="","",$C16*SQRT(MAX($D16,1)))</f>
        <v>32</v>
      </c>
      <c r="I16" s="89" t="str">
        <f t="shared" ref="I16:I25" si="3">IF($B16="","",IF($D16&gt;4,"BÓ&gt;4!","OK"))</f>
        <v>OK</v>
      </c>
    </row>
    <row r="17" spans="1:9" x14ac:dyDescent="0.3">
      <c r="A17" s="84" t="s">
        <v>46</v>
      </c>
      <c r="B17" s="85"/>
      <c r="C17" s="85"/>
      <c r="D17" s="85"/>
      <c r="E17" s="86"/>
      <c r="F17" s="87">
        <f t="shared" si="0"/>
        <v>0</v>
      </c>
      <c r="G17" s="87">
        <f t="shared" si="1"/>
        <v>0</v>
      </c>
      <c r="H17" s="88" t="str">
        <f t="shared" si="2"/>
        <v/>
      </c>
      <c r="I17" s="89" t="str">
        <f t="shared" si="3"/>
        <v/>
      </c>
    </row>
    <row r="18" spans="1:9" x14ac:dyDescent="0.3">
      <c r="A18" s="84" t="s">
        <v>1685</v>
      </c>
      <c r="B18" s="85"/>
      <c r="C18" s="85"/>
      <c r="D18" s="85"/>
      <c r="E18" s="86"/>
      <c r="F18" s="87">
        <f t="shared" si="0"/>
        <v>0</v>
      </c>
      <c r="G18" s="87">
        <f t="shared" si="1"/>
        <v>0</v>
      </c>
      <c r="H18" s="88" t="str">
        <f t="shared" si="2"/>
        <v/>
      </c>
      <c r="I18" s="89" t="str">
        <f t="shared" si="3"/>
        <v/>
      </c>
    </row>
    <row r="19" spans="1:9" x14ac:dyDescent="0.3">
      <c r="A19" s="84" t="s">
        <v>1686</v>
      </c>
      <c r="B19" s="85"/>
      <c r="C19" s="85"/>
      <c r="D19" s="85"/>
      <c r="E19" s="86"/>
      <c r="F19" s="87">
        <f t="shared" si="0"/>
        <v>0</v>
      </c>
      <c r="G19" s="87">
        <f t="shared" si="1"/>
        <v>0</v>
      </c>
      <c r="H19" s="88" t="str">
        <f t="shared" si="2"/>
        <v/>
      </c>
      <c r="I19" s="89" t="str">
        <f t="shared" si="3"/>
        <v/>
      </c>
    </row>
    <row r="20" spans="1:9" x14ac:dyDescent="0.3">
      <c r="A20" s="84" t="s">
        <v>1687</v>
      </c>
      <c r="B20" s="85"/>
      <c r="C20" s="85"/>
      <c r="D20" s="85"/>
      <c r="E20" s="86"/>
      <c r="F20" s="87">
        <f t="shared" si="0"/>
        <v>0</v>
      </c>
      <c r="G20" s="87">
        <f t="shared" si="1"/>
        <v>0</v>
      </c>
      <c r="H20" s="88" t="str">
        <f t="shared" si="2"/>
        <v/>
      </c>
      <c r="I20" s="89" t="str">
        <f t="shared" si="3"/>
        <v/>
      </c>
    </row>
    <row r="21" spans="1:9" x14ac:dyDescent="0.3">
      <c r="A21" s="84" t="s">
        <v>1688</v>
      </c>
      <c r="B21" s="85"/>
      <c r="C21" s="85"/>
      <c r="D21" s="85"/>
      <c r="E21" s="86"/>
      <c r="F21" s="87">
        <f t="shared" si="0"/>
        <v>0</v>
      </c>
      <c r="G21" s="87">
        <f t="shared" si="1"/>
        <v>0</v>
      </c>
      <c r="H21" s="88" t="str">
        <f t="shared" si="2"/>
        <v/>
      </c>
      <c r="I21" s="89" t="str">
        <f t="shared" si="3"/>
        <v/>
      </c>
    </row>
    <row r="22" spans="1:9" x14ac:dyDescent="0.3">
      <c r="A22" s="84" t="s">
        <v>1689</v>
      </c>
      <c r="B22" s="85"/>
      <c r="C22" s="85"/>
      <c r="D22" s="85"/>
      <c r="E22" s="86"/>
      <c r="F22" s="87">
        <f t="shared" si="0"/>
        <v>0</v>
      </c>
      <c r="G22" s="87">
        <f t="shared" si="1"/>
        <v>0</v>
      </c>
      <c r="H22" s="88" t="str">
        <f t="shared" si="2"/>
        <v/>
      </c>
      <c r="I22" s="89" t="str">
        <f t="shared" si="3"/>
        <v/>
      </c>
    </row>
    <row r="23" spans="1:9" x14ac:dyDescent="0.3">
      <c r="A23" s="84" t="s">
        <v>1690</v>
      </c>
      <c r="B23" s="85"/>
      <c r="C23" s="85"/>
      <c r="D23" s="85"/>
      <c r="E23" s="86"/>
      <c r="F23" s="87">
        <f t="shared" si="0"/>
        <v>0</v>
      </c>
      <c r="G23" s="87">
        <f t="shared" si="1"/>
        <v>0</v>
      </c>
      <c r="H23" s="88" t="str">
        <f t="shared" si="2"/>
        <v/>
      </c>
      <c r="I23" s="89" t="str">
        <f t="shared" si="3"/>
        <v/>
      </c>
    </row>
    <row r="24" spans="1:9" x14ac:dyDescent="0.3">
      <c r="A24" s="84" t="s">
        <v>1691</v>
      </c>
      <c r="B24" s="85"/>
      <c r="C24" s="85"/>
      <c r="D24" s="85"/>
      <c r="E24" s="86"/>
      <c r="F24" s="87">
        <f t="shared" si="0"/>
        <v>0</v>
      </c>
      <c r="G24" s="87">
        <f t="shared" si="1"/>
        <v>0</v>
      </c>
      <c r="H24" s="88" t="str">
        <f t="shared" si="2"/>
        <v/>
      </c>
      <c r="I24" s="89" t="str">
        <f t="shared" si="3"/>
        <v/>
      </c>
    </row>
    <row r="25" spans="1:9" x14ac:dyDescent="0.3">
      <c r="A25" s="84" t="s">
        <v>1692</v>
      </c>
      <c r="B25" s="85"/>
      <c r="C25" s="85"/>
      <c r="D25" s="85"/>
      <c r="E25" s="86"/>
      <c r="F25" s="87">
        <f t="shared" si="0"/>
        <v>0</v>
      </c>
      <c r="G25" s="87">
        <f t="shared" si="1"/>
        <v>0</v>
      </c>
      <c r="H25" s="88" t="str">
        <f t="shared" si="2"/>
        <v/>
      </c>
      <c r="I25" s="89" t="str">
        <f t="shared" si="3"/>
        <v/>
      </c>
    </row>
    <row r="26" spans="1:9" x14ac:dyDescent="0.3">
      <c r="A26" s="90" t="s">
        <v>795</v>
      </c>
      <c r="B26" s="91">
        <f>SUM(B16:B25)</f>
        <v>180</v>
      </c>
      <c r="C26" s="92"/>
      <c r="D26" s="92"/>
      <c r="E26" s="92"/>
      <c r="F26" s="93">
        <f>SUM(F16:F25)</f>
        <v>144764.58947741767</v>
      </c>
      <c r="G26" s="93">
        <f>SUM(G16:G25)</f>
        <v>14476458.947741767</v>
      </c>
      <c r="H26" s="92"/>
      <c r="I26" s="92"/>
    </row>
    <row r="27" spans="1:9" x14ac:dyDescent="0.3">
      <c r="A27" s="81" t="s">
        <v>1693</v>
      </c>
      <c r="B27" s="82">
        <f>F26</f>
        <v>144764.58947741767</v>
      </c>
      <c r="C27" s="64" t="s">
        <v>1694</v>
      </c>
      <c r="D27" s="83">
        <f>IF(F26&gt;0,G26/F26,0)</f>
        <v>100</v>
      </c>
    </row>
    <row r="28" spans="1:9" x14ac:dyDescent="0.3">
      <c r="A28" s="64" t="s">
        <v>1695</v>
      </c>
      <c r="B28" s="94">
        <v>1</v>
      </c>
    </row>
    <row r="29" spans="1:9" x14ac:dyDescent="0.3">
      <c r="A29" s="69" t="s">
        <v>1696</v>
      </c>
      <c r="B29" s="86">
        <v>100</v>
      </c>
    </row>
    <row r="30" spans="1:9" x14ac:dyDescent="0.3">
      <c r="B30" s="7" t="s">
        <v>733</v>
      </c>
      <c r="C30" s="26">
        <f>D11/(Agth*10^6)</f>
        <v>1.7545905857914219E-2</v>
      </c>
      <c r="D30" s="28" t="str">
        <f>IF(AND(C30&gt;=0.135*fc_/fy_,C30&lt;=0.08),"ĐẠT","KHÔNG ĐẠT")</f>
        <v>ĐẠT</v>
      </c>
    </row>
    <row r="31" spans="1:9" x14ac:dyDescent="0.3">
      <c r="B31" s="7" t="s">
        <v>734</v>
      </c>
      <c r="C31" s="23">
        <f>2.1*(Hcot+hxm/2)/(0.3*hthan)</f>
        <v>40.534375000000004</v>
      </c>
      <c r="D31" s="23">
        <f>2.1*(Hcot+hxm/2)/(0.3*bthan)</f>
        <v>11.791818181818183</v>
      </c>
    </row>
    <row r="32" spans="1:9" x14ac:dyDescent="0.3">
      <c r="B32" s="7" t="s">
        <v>735</v>
      </c>
      <c r="C32" s="33">
        <f>IF(C31&lt;=22,1,MAX(1,1/(1-C5/(0.75*PI()^2*(Ec_*1000*bthan*hthan^3/12/2.5/1.4)/(2.1*(Hcot+hxm/2))^2))))</f>
        <v>1.1182377112035087</v>
      </c>
      <c r="D32" s="33">
        <f>IF(D31&lt;=22,1,MAX(1,1/(1-C5/(0.75*PI()^2*(Ec_*1000*hthan*bthan^3/12/2.5/1.4)/(2.1*(Hcot+hxm/2))^2))))</f>
        <v>1</v>
      </c>
    </row>
    <row r="33" spans="2:25" x14ac:dyDescent="0.3">
      <c r="B33" s="7" t="s">
        <v>736</v>
      </c>
      <c r="C33" s="27">
        <f>C32*C6</f>
        <v>42063.689762069749</v>
      </c>
      <c r="D33" s="27">
        <f>D32*D6</f>
        <v>29353.653728437501</v>
      </c>
    </row>
    <row r="35" spans="2:25" x14ac:dyDescent="0.3">
      <c r="B35" s="5" t="s">
        <v>737</v>
      </c>
    </row>
    <row r="36" spans="2:25" x14ac:dyDescent="0.3">
      <c r="B36" s="12" t="s">
        <v>738</v>
      </c>
    </row>
    <row r="37" spans="2:25" ht="27.6" x14ac:dyDescent="0.3">
      <c r="B37" s="18" t="s">
        <v>739</v>
      </c>
      <c r="C37" s="18" t="s">
        <v>740</v>
      </c>
      <c r="D37" s="18" t="s">
        <v>741</v>
      </c>
      <c r="E37" s="18" t="s">
        <v>742</v>
      </c>
      <c r="F37" s="18" t="s">
        <v>743</v>
      </c>
      <c r="G37" s="18" t="s">
        <v>744</v>
      </c>
      <c r="H37" s="18" t="s">
        <v>745</v>
      </c>
      <c r="I37" s="18" t="s">
        <v>746</v>
      </c>
      <c r="J37" s="18" t="s">
        <v>747</v>
      </c>
      <c r="K37" s="18" t="s">
        <v>748</v>
      </c>
      <c r="L37" s="18" t="s">
        <v>749</v>
      </c>
      <c r="O37" s="18" t="s">
        <v>739</v>
      </c>
      <c r="P37" s="18" t="s">
        <v>740</v>
      </c>
      <c r="Q37" s="18" t="s">
        <v>741</v>
      </c>
      <c r="R37" s="18" t="s">
        <v>742</v>
      </c>
      <c r="S37" s="18" t="s">
        <v>743</v>
      </c>
      <c r="T37" s="18" t="s">
        <v>744</v>
      </c>
      <c r="U37" s="18" t="s">
        <v>745</v>
      </c>
      <c r="V37" s="18" t="s">
        <v>746</v>
      </c>
      <c r="W37" s="18" t="s">
        <v>747</v>
      </c>
      <c r="X37" s="18" t="s">
        <v>748</v>
      </c>
      <c r="Y37" s="18" t="s">
        <v>749</v>
      </c>
    </row>
    <row r="38" spans="2:25" x14ac:dyDescent="0.3">
      <c r="B38" s="23">
        <f>hthan*1000*(0.08+0*0.072)</f>
        <v>128</v>
      </c>
      <c r="C38" s="23">
        <f t="shared" ref="C38:C58" si="4">MIN(hthan*1000,MAX(0.65,MIN(0.85,0.85-0.05*(fc_-28)/7))*B38)</f>
        <v>106.97142857142858</v>
      </c>
      <c r="D38" s="23">
        <f t="shared" ref="D38:D58" si="5">MIN(fy_,MAX(-fy_,Es_*0.003*(B38-$D$12)/B38))</f>
        <v>131.25</v>
      </c>
      <c r="E38" s="23">
        <f t="shared" ref="E38:E58" si="6">MIN(fy_,MAX(-fy_,Es_*0.003*(B38-(hthan*1000-$D$12))/B38))</f>
        <v>-400</v>
      </c>
      <c r="F38" s="23">
        <v>-18380.075686080967</v>
      </c>
      <c r="G38" s="23">
        <v>28133.113441600624</v>
      </c>
      <c r="H38" s="34">
        <v>3.2156250000000004E-2</v>
      </c>
      <c r="I38" s="16">
        <f t="shared" ref="I38:I58" si="7">MIN(0.9,MAX(0.75,0.75+0.15*(H38-0.002)/0.003))</f>
        <v>0.9</v>
      </c>
      <c r="J38" s="23">
        <f t="shared" ref="J38:J58" si="8">I38*F38</f>
        <v>-16542.068117472871</v>
      </c>
      <c r="K38" s="23">
        <f t="shared" ref="K38:K58" si="9">I38*G38</f>
        <v>25319.802097440563</v>
      </c>
      <c r="L38" s="16">
        <f>IF(J38&lt;=0,10^7-0,K38/J38)</f>
        <v>10000000</v>
      </c>
      <c r="O38" s="23">
        <f>bthan*1000*(0.08+0*0.072)</f>
        <v>440</v>
      </c>
      <c r="P38" s="23">
        <f t="shared" ref="P38:P58" si="10">MIN(bthan*1000,MAX(0.65,MIN(0.85,0.85-0.05*(fc_-28)/7))*O38)</f>
        <v>367.71428571428572</v>
      </c>
      <c r="Q38" s="23">
        <f t="shared" ref="Q38:Q58" si="11">MIN(fy_,MAX(-fy_,Es_*0.003*(O38-$D$12)/O38))</f>
        <v>400</v>
      </c>
      <c r="R38" s="23">
        <f t="shared" ref="R38:R58" si="12">MIN(fy_,MAX(-fy_,Es_*0.003*(O38-(bthan*1000-$D$12))/O38))</f>
        <v>-400</v>
      </c>
      <c r="S38" s="23">
        <v>-36223.907317190286</v>
      </c>
      <c r="T38" s="23">
        <v>54665.536200560389</v>
      </c>
      <c r="U38" s="34">
        <v>3.3812591399240984E-2</v>
      </c>
      <c r="V38" s="16">
        <f t="shared" ref="V38:V58" si="13">MIN(0.9,MAX(0.75,0.75+0.15*(U38-0.002)/0.003))</f>
        <v>0.9</v>
      </c>
      <c r="W38" s="23">
        <f t="shared" ref="W38:W58" si="14">V38*S38</f>
        <v>-32601.516585471258</v>
      </c>
      <c r="X38" s="23">
        <f t="shared" ref="X38:X58" si="15">V38*T38</f>
        <v>49198.982580504351</v>
      </c>
      <c r="Y38" s="16">
        <f>IF(W38&lt;=0,10^7-0,X38/W38)</f>
        <v>10000000</v>
      </c>
    </row>
    <row r="39" spans="2:25" x14ac:dyDescent="0.3">
      <c r="B39" s="23">
        <f>hthan*1000*(0.08+1*0.072)</f>
        <v>243.2</v>
      </c>
      <c r="C39" s="23">
        <f t="shared" si="4"/>
        <v>203.24571428571429</v>
      </c>
      <c r="D39" s="23">
        <f t="shared" si="5"/>
        <v>353.28947368421052</v>
      </c>
      <c r="E39" s="23">
        <f t="shared" si="6"/>
        <v>-400</v>
      </c>
      <c r="F39" s="23">
        <v>7157.94329686521</v>
      </c>
      <c r="G39" s="23">
        <v>44978.801863813147</v>
      </c>
      <c r="H39" s="34">
        <v>1.5503289473684215E-2</v>
      </c>
      <c r="I39" s="16">
        <f t="shared" si="7"/>
        <v>0.9</v>
      </c>
      <c r="J39" s="23">
        <f t="shared" si="8"/>
        <v>6442.1489671786894</v>
      </c>
      <c r="K39" s="23">
        <f t="shared" si="9"/>
        <v>40480.921677431834</v>
      </c>
      <c r="L39" s="16">
        <f>IF(J39&lt;=0,10^7-1,K39/J39)</f>
        <v>6.2837605717708627</v>
      </c>
      <c r="O39" s="23">
        <f>bthan*1000*(0.08+1*0.072)</f>
        <v>836</v>
      </c>
      <c r="P39" s="23">
        <f t="shared" si="10"/>
        <v>698.65714285714284</v>
      </c>
      <c r="Q39" s="23">
        <f t="shared" si="11"/>
        <v>400</v>
      </c>
      <c r="R39" s="23">
        <f t="shared" si="12"/>
        <v>-400</v>
      </c>
      <c r="S39" s="23">
        <v>-15480.395467678352</v>
      </c>
      <c r="T39" s="23">
        <v>99225.402642041634</v>
      </c>
      <c r="U39" s="34">
        <v>1.6375048104863673E-2</v>
      </c>
      <c r="V39" s="16">
        <f t="shared" si="13"/>
        <v>0.9</v>
      </c>
      <c r="W39" s="23">
        <f t="shared" si="14"/>
        <v>-13932.355920910517</v>
      </c>
      <c r="X39" s="23">
        <f t="shared" si="15"/>
        <v>89302.862377837475</v>
      </c>
      <c r="Y39" s="16">
        <f>IF(W39&lt;=0,10^7-1,X39/W39)</f>
        <v>9999999</v>
      </c>
    </row>
    <row r="40" spans="2:25" x14ac:dyDescent="0.3">
      <c r="B40" s="23">
        <f>hthan*1000*(0.08+2*0.072)</f>
        <v>358.4</v>
      </c>
      <c r="C40" s="23">
        <f t="shared" si="4"/>
        <v>299.52</v>
      </c>
      <c r="D40" s="23">
        <f t="shared" si="5"/>
        <v>400</v>
      </c>
      <c r="E40" s="23">
        <f t="shared" si="6"/>
        <v>-400</v>
      </c>
      <c r="F40" s="23">
        <v>25483.235154476057</v>
      </c>
      <c r="G40" s="23">
        <v>55190.762341195128</v>
      </c>
      <c r="H40" s="34">
        <v>9.5558035714285745E-3</v>
      </c>
      <c r="I40" s="16">
        <f t="shared" si="7"/>
        <v>0.9</v>
      </c>
      <c r="J40" s="23">
        <f t="shared" si="8"/>
        <v>22934.911639028451</v>
      </c>
      <c r="K40" s="23">
        <f t="shared" si="9"/>
        <v>49671.686107075613</v>
      </c>
      <c r="L40" s="16">
        <f>IF(J40&lt;=0,10^7-2,K40/J40)</f>
        <v>2.1657674940656437</v>
      </c>
      <c r="O40" s="23">
        <f>bthan*1000*(0.08+2*0.072)</f>
        <v>1231.9999999999998</v>
      </c>
      <c r="P40" s="23">
        <f t="shared" si="10"/>
        <v>1029.5999999999999</v>
      </c>
      <c r="Q40" s="23">
        <f t="shared" si="11"/>
        <v>400</v>
      </c>
      <c r="R40" s="23">
        <f t="shared" si="12"/>
        <v>-400</v>
      </c>
      <c r="S40" s="23">
        <v>5192.4116438257615</v>
      </c>
      <c r="T40" s="23">
        <v>135851.2403536432</v>
      </c>
      <c r="U40" s="34">
        <v>1.0147354071157494E-2</v>
      </c>
      <c r="V40" s="16">
        <f t="shared" si="13"/>
        <v>0.9</v>
      </c>
      <c r="W40" s="23">
        <f t="shared" si="14"/>
        <v>4673.1704794431853</v>
      </c>
      <c r="X40" s="23">
        <f t="shared" si="15"/>
        <v>122266.11631827887</v>
      </c>
      <c r="Y40" s="16">
        <f>IF(W40&lt;=0,10^7-2,X40/W40)</f>
        <v>26.163418787334088</v>
      </c>
    </row>
    <row r="41" spans="2:25" x14ac:dyDescent="0.3">
      <c r="B41" s="23">
        <f>hthan*1000*(0.08+3*0.072)</f>
        <v>473.59999999999997</v>
      </c>
      <c r="C41" s="23">
        <f t="shared" si="4"/>
        <v>395.79428571428571</v>
      </c>
      <c r="D41" s="23">
        <f t="shared" si="5"/>
        <v>400</v>
      </c>
      <c r="E41" s="23">
        <f t="shared" si="6"/>
        <v>-400</v>
      </c>
      <c r="F41" s="23">
        <v>41411.79402689189</v>
      </c>
      <c r="G41" s="23">
        <v>62101.679212895586</v>
      </c>
      <c r="H41" s="34">
        <v>6.5016891891891918E-3</v>
      </c>
      <c r="I41" s="16">
        <f t="shared" si="7"/>
        <v>0.9</v>
      </c>
      <c r="J41" s="23">
        <f t="shared" si="8"/>
        <v>37270.614624202703</v>
      </c>
      <c r="K41" s="23">
        <f t="shared" si="9"/>
        <v>55891.511291606032</v>
      </c>
      <c r="L41" s="16">
        <f>IF(J41&lt;=0,10^7-3,K41/J41)</f>
        <v>1.4996133510315479</v>
      </c>
      <c r="O41" s="23">
        <f>bthan*1000*(0.08+3*0.072)</f>
        <v>1628</v>
      </c>
      <c r="P41" s="23">
        <f t="shared" si="10"/>
        <v>1360.5428571428572</v>
      </c>
      <c r="Q41" s="23">
        <f t="shared" si="11"/>
        <v>400</v>
      </c>
      <c r="R41" s="23">
        <f t="shared" si="12"/>
        <v>-400</v>
      </c>
      <c r="S41" s="23">
        <v>26338.652040400713</v>
      </c>
      <c r="T41" s="23">
        <v>165409.75170325162</v>
      </c>
      <c r="U41" s="34">
        <v>6.9493490268218864E-3</v>
      </c>
      <c r="V41" s="16">
        <f t="shared" si="13"/>
        <v>0.9</v>
      </c>
      <c r="W41" s="23">
        <f t="shared" si="14"/>
        <v>23704.786836360643</v>
      </c>
      <c r="X41" s="23">
        <f t="shared" si="15"/>
        <v>148868.77653292645</v>
      </c>
      <c r="Y41" s="16">
        <f>IF(W41&lt;=0,10^7-3,X41/W41)</f>
        <v>6.2801145422905655</v>
      </c>
    </row>
    <row r="42" spans="2:25" x14ac:dyDescent="0.3">
      <c r="B42" s="23">
        <f>hthan*1000*(0.08+4*0.072)</f>
        <v>588.79999999999995</v>
      </c>
      <c r="C42" s="23">
        <f t="shared" si="4"/>
        <v>492.06857142857143</v>
      </c>
      <c r="D42" s="23">
        <f t="shared" si="5"/>
        <v>400</v>
      </c>
      <c r="E42" s="23">
        <f t="shared" si="6"/>
        <v>-400</v>
      </c>
      <c r="F42" s="23">
        <v>55714.07774106814</v>
      </c>
      <c r="G42" s="23">
        <v>66860.029059893277</v>
      </c>
      <c r="H42" s="34">
        <v>4.6426630434782627E-3</v>
      </c>
      <c r="I42" s="16">
        <f t="shared" si="7"/>
        <v>0.88213315217391308</v>
      </c>
      <c r="J42" s="23">
        <f t="shared" si="8"/>
        <v>49147.235018190884</v>
      </c>
      <c r="K42" s="23">
        <f t="shared" si="9"/>
        <v>58979.448189043083</v>
      </c>
      <c r="L42" s="16">
        <f>IF(J42&lt;=0,10^7-4,K42/J42)</f>
        <v>1.2000562832723549</v>
      </c>
      <c r="O42" s="23">
        <f>bthan*1000*(0.08+4*0.072)</f>
        <v>2024</v>
      </c>
      <c r="P42" s="23">
        <f t="shared" si="10"/>
        <v>1691.4857142857143</v>
      </c>
      <c r="Q42" s="23">
        <f t="shared" si="11"/>
        <v>400</v>
      </c>
      <c r="R42" s="23">
        <f t="shared" si="12"/>
        <v>-400</v>
      </c>
      <c r="S42" s="23">
        <v>46919.681922868993</v>
      </c>
      <c r="T42" s="23">
        <v>186316.83824087211</v>
      </c>
      <c r="U42" s="34">
        <v>5.0027372607045605E-3</v>
      </c>
      <c r="V42" s="16">
        <f t="shared" si="13"/>
        <v>0.9</v>
      </c>
      <c r="W42" s="23">
        <f t="shared" si="14"/>
        <v>42227.713730582094</v>
      </c>
      <c r="X42" s="23">
        <f t="shared" si="15"/>
        <v>167685.15441678491</v>
      </c>
      <c r="Y42" s="16">
        <f>IF(W42&lt;=0,10^7-4,X42/W42)</f>
        <v>3.9709740263618443</v>
      </c>
    </row>
    <row r="43" spans="2:25" x14ac:dyDescent="0.3">
      <c r="B43" s="23">
        <f>hthan*1000*(0.08+5*0.072)</f>
        <v>704</v>
      </c>
      <c r="C43" s="23">
        <f t="shared" si="4"/>
        <v>588.34285714285716</v>
      </c>
      <c r="D43" s="23">
        <f t="shared" si="5"/>
        <v>400</v>
      </c>
      <c r="E43" s="23">
        <f t="shared" si="6"/>
        <v>-400</v>
      </c>
      <c r="F43" s="23">
        <v>71802.555448513769</v>
      </c>
      <c r="G43" s="23">
        <v>70640.0245309889</v>
      </c>
      <c r="H43" s="34">
        <v>3.3920454545454557E-3</v>
      </c>
      <c r="I43" s="16">
        <f t="shared" si="7"/>
        <v>0.81960227272727282</v>
      </c>
      <c r="J43" s="23">
        <f t="shared" si="8"/>
        <v>58849.537633227912</v>
      </c>
      <c r="K43" s="23">
        <f t="shared" si="9"/>
        <v>57896.724651108809</v>
      </c>
      <c r="L43" s="16">
        <f>IF(J43&lt;=0,10^7-5,K43/J43)</f>
        <v>0.98380933783953606</v>
      </c>
      <c r="O43" s="23">
        <f>bthan*1000*(0.08+5*0.072)</f>
        <v>2420</v>
      </c>
      <c r="P43" s="23">
        <f t="shared" si="10"/>
        <v>2022.4285714285716</v>
      </c>
      <c r="Q43" s="23">
        <f t="shared" si="11"/>
        <v>400</v>
      </c>
      <c r="R43" s="23">
        <f t="shared" si="12"/>
        <v>-400</v>
      </c>
      <c r="S43" s="23">
        <v>68003.947518763161</v>
      </c>
      <c r="T43" s="23">
        <v>199929.3300562478</v>
      </c>
      <c r="U43" s="34">
        <v>3.6931984362256328E-3</v>
      </c>
      <c r="V43" s="16">
        <f t="shared" si="13"/>
        <v>0.83465992181128168</v>
      </c>
      <c r="W43" s="23">
        <f t="shared" si="14"/>
        <v>56760.169518869363</v>
      </c>
      <c r="X43" s="23">
        <f t="shared" si="15"/>
        <v>166872.99899252973</v>
      </c>
      <c r="Y43" s="16">
        <f>IF(W43&lt;=0,10^7-5,X43/W43)</f>
        <v>2.9399665365173799</v>
      </c>
    </row>
    <row r="44" spans="2:25" x14ac:dyDescent="0.3">
      <c r="B44" s="23">
        <f>hthan*1000*(0.08+6*0.072)</f>
        <v>819.19999999999982</v>
      </c>
      <c r="C44" s="23">
        <f t="shared" si="4"/>
        <v>684.61714285714277</v>
      </c>
      <c r="D44" s="23">
        <f t="shared" si="5"/>
        <v>400</v>
      </c>
      <c r="E44" s="23">
        <f t="shared" si="6"/>
        <v>-400</v>
      </c>
      <c r="F44" s="23">
        <v>88126.616561565883</v>
      </c>
      <c r="G44" s="23">
        <v>72707.879947998314</v>
      </c>
      <c r="H44" s="34">
        <v>2.4931640625000012E-3</v>
      </c>
      <c r="I44" s="16">
        <f t="shared" si="7"/>
        <v>0.77465820312500011</v>
      </c>
      <c r="J44" s="23">
        <f t="shared" si="8"/>
        <v>68268.006433068498</v>
      </c>
      <c r="K44" s="23">
        <f t="shared" si="9"/>
        <v>56323.755633544599</v>
      </c>
      <c r="L44" s="16">
        <f>IF(J44&lt;=0,10^7-6,K44/J44)</f>
        <v>0.82503882237671156</v>
      </c>
      <c r="O44" s="23">
        <f>bthan*1000*(0.08+6*0.072)</f>
        <v>2815.9999999999995</v>
      </c>
      <c r="P44" s="23">
        <f t="shared" si="10"/>
        <v>2353.3714285714282</v>
      </c>
      <c r="Q44" s="23">
        <f t="shared" si="11"/>
        <v>400</v>
      </c>
      <c r="R44" s="23">
        <f t="shared" si="12"/>
        <v>-400</v>
      </c>
      <c r="S44" s="23">
        <v>88576.498041395098</v>
      </c>
      <c r="T44" s="23">
        <v>205347.18890538465</v>
      </c>
      <c r="U44" s="34">
        <v>2.7519674061314034E-3</v>
      </c>
      <c r="V44" s="16">
        <f t="shared" si="13"/>
        <v>0.78759837030657021</v>
      </c>
      <c r="W44" s="23">
        <f t="shared" si="14"/>
        <v>69762.70550486588</v>
      </c>
      <c r="X44" s="23">
        <f t="shared" si="15"/>
        <v>161731.11132891636</v>
      </c>
      <c r="Y44" s="16">
        <f>IF(W44&lt;=0,10^7-6,X44/W44)</f>
        <v>2.3183033134750741</v>
      </c>
    </row>
    <row r="45" spans="2:25" x14ac:dyDescent="0.3">
      <c r="B45" s="23">
        <f>hthan*1000*(0.08+7*0.072)</f>
        <v>934.4</v>
      </c>
      <c r="C45" s="23">
        <f t="shared" si="4"/>
        <v>780.89142857142861</v>
      </c>
      <c r="D45" s="23">
        <f t="shared" si="5"/>
        <v>400</v>
      </c>
      <c r="E45" s="23">
        <f t="shared" si="6"/>
        <v>-363.1849315068493</v>
      </c>
      <c r="F45" s="23">
        <v>104910.17956367509</v>
      </c>
      <c r="G45" s="23">
        <v>71542.340724645212</v>
      </c>
      <c r="H45" s="34">
        <v>1.8159246575342475E-3</v>
      </c>
      <c r="I45" s="16">
        <f t="shared" si="7"/>
        <v>0.75</v>
      </c>
      <c r="J45" s="23">
        <f t="shared" si="8"/>
        <v>78682.634672756321</v>
      </c>
      <c r="K45" s="23">
        <f t="shared" si="9"/>
        <v>53656.755543483909</v>
      </c>
      <c r="L45" s="16">
        <f>IF(J45&lt;=0,10^7-7,K45/J45)</f>
        <v>0.68193897886927823</v>
      </c>
      <c r="O45" s="23">
        <f>bthan*1000*(0.08+7*0.072)</f>
        <v>3212</v>
      </c>
      <c r="P45" s="23">
        <f t="shared" si="10"/>
        <v>2684.3142857142857</v>
      </c>
      <c r="Q45" s="23">
        <f t="shared" si="11"/>
        <v>400</v>
      </c>
      <c r="R45" s="23">
        <f t="shared" si="12"/>
        <v>-400</v>
      </c>
      <c r="S45" s="23">
        <v>109762.61970537178</v>
      </c>
      <c r="T45" s="23">
        <v>202897.32506234237</v>
      </c>
      <c r="U45" s="34">
        <v>2.0428207396220523E-3</v>
      </c>
      <c r="V45" s="16">
        <f t="shared" si="13"/>
        <v>0.75214103698110257</v>
      </c>
      <c r="W45" s="23">
        <f t="shared" si="14"/>
        <v>82556.970606960735</v>
      </c>
      <c r="X45" s="23">
        <f t="shared" si="15"/>
        <v>152607.40447308205</v>
      </c>
      <c r="Y45" s="16">
        <f>IF(W45&lt;=0,10^7-7,X45/W45)</f>
        <v>1.8485102269512668</v>
      </c>
    </row>
    <row r="46" spans="2:25" x14ac:dyDescent="0.3">
      <c r="B46" s="23">
        <f>hthan*1000*(0.08+8*0.072)</f>
        <v>1049.5999999999999</v>
      </c>
      <c r="C46" s="23">
        <f t="shared" si="4"/>
        <v>877.16571428571422</v>
      </c>
      <c r="D46" s="23">
        <f t="shared" si="5"/>
        <v>400</v>
      </c>
      <c r="E46" s="23">
        <f t="shared" si="6"/>
        <v>-257.46951219512204</v>
      </c>
      <c r="F46" s="23">
        <v>126556.7221854073</v>
      </c>
      <c r="G46" s="23">
        <v>66763.736820668608</v>
      </c>
      <c r="H46" s="34">
        <v>1.2873475609756109E-3</v>
      </c>
      <c r="I46" s="16">
        <f t="shared" si="7"/>
        <v>0.75</v>
      </c>
      <c r="J46" s="23">
        <f t="shared" si="8"/>
        <v>94917.541639055475</v>
      </c>
      <c r="K46" s="23">
        <f t="shared" si="9"/>
        <v>50072.802615501452</v>
      </c>
      <c r="L46" s="16">
        <f>IF(J46&lt;=0,10^7-8,K46/J46)</f>
        <v>0.52754002843767422</v>
      </c>
      <c r="O46" s="23">
        <f>bthan*1000*(0.08+8*0.072)</f>
        <v>3607.9999999999995</v>
      </c>
      <c r="P46" s="23">
        <f t="shared" si="10"/>
        <v>3015.2571428571428</v>
      </c>
      <c r="Q46" s="23">
        <f t="shared" si="11"/>
        <v>400</v>
      </c>
      <c r="R46" s="23">
        <f t="shared" si="12"/>
        <v>-298.00443458980055</v>
      </c>
      <c r="S46" s="23">
        <v>130596.70990987093</v>
      </c>
      <c r="T46" s="23">
        <v>192380.5242656263</v>
      </c>
      <c r="U46" s="34">
        <v>1.4893404145415836E-3</v>
      </c>
      <c r="V46" s="16">
        <f t="shared" si="13"/>
        <v>0.75</v>
      </c>
      <c r="W46" s="23">
        <f t="shared" si="14"/>
        <v>97947.532432403197</v>
      </c>
      <c r="X46" s="23">
        <f t="shared" si="15"/>
        <v>144285.39319921972</v>
      </c>
      <c r="Y46" s="16">
        <f>IF(W46&lt;=0,10^7-8,X46/W46)</f>
        <v>1.4730885977019972</v>
      </c>
    </row>
    <row r="47" spans="2:25" x14ac:dyDescent="0.3">
      <c r="B47" s="23">
        <f>hthan*1000*(0.08+9*0.072)</f>
        <v>1164.7999999999997</v>
      </c>
      <c r="C47" s="23">
        <f t="shared" si="4"/>
        <v>973.43999999999983</v>
      </c>
      <c r="D47" s="23">
        <f t="shared" si="5"/>
        <v>400</v>
      </c>
      <c r="E47" s="23">
        <f t="shared" si="6"/>
        <v>-172.66483516483535</v>
      </c>
      <c r="F47" s="23">
        <v>146578.8566899187</v>
      </c>
      <c r="G47" s="23">
        <v>61465.751573415728</v>
      </c>
      <c r="H47" s="34">
        <v>8.6332417582417656E-4</v>
      </c>
      <c r="I47" s="16">
        <f t="shared" si="7"/>
        <v>0.75</v>
      </c>
      <c r="J47" s="23">
        <f t="shared" si="8"/>
        <v>109934.14251743903</v>
      </c>
      <c r="K47" s="23">
        <f t="shared" si="9"/>
        <v>46099.313680061794</v>
      </c>
      <c r="L47" s="16">
        <f>IF(J47&lt;=0,10^7-9,K47/J47)</f>
        <v>0.41933572795866386</v>
      </c>
      <c r="O47" s="23">
        <f>bthan*1000*(0.08+9*0.072)</f>
        <v>4003.9999999999991</v>
      </c>
      <c r="P47" s="23">
        <f t="shared" si="10"/>
        <v>3346.1999999999994</v>
      </c>
      <c r="Q47" s="23">
        <f t="shared" si="11"/>
        <v>400</v>
      </c>
      <c r="R47" s="23">
        <f t="shared" si="12"/>
        <v>-209.19080919080938</v>
      </c>
      <c r="S47" s="23">
        <v>150368.64254538363</v>
      </c>
      <c r="T47" s="23">
        <v>178971.92740197454</v>
      </c>
      <c r="U47" s="34">
        <v>1.045339714202306E-3</v>
      </c>
      <c r="V47" s="16">
        <f t="shared" si="13"/>
        <v>0.75</v>
      </c>
      <c r="W47" s="23">
        <f t="shared" si="14"/>
        <v>112776.48190903771</v>
      </c>
      <c r="X47" s="23">
        <f t="shared" si="15"/>
        <v>134228.94555148089</v>
      </c>
      <c r="Y47" s="16">
        <f>IF(W47&lt;=0,10^7-9,X47/W47)</f>
        <v>1.1902210751683682</v>
      </c>
    </row>
    <row r="48" spans="2:25" x14ac:dyDescent="0.3">
      <c r="B48" s="23">
        <f>hthan*1000*(0.08+10*0.072)</f>
        <v>1280</v>
      </c>
      <c r="C48" s="23">
        <f t="shared" si="4"/>
        <v>1069.7142857142858</v>
      </c>
      <c r="D48" s="23">
        <f t="shared" si="5"/>
        <v>400</v>
      </c>
      <c r="E48" s="23">
        <f t="shared" si="6"/>
        <v>-103.125</v>
      </c>
      <c r="F48" s="23">
        <v>165390.86106797704</v>
      </c>
      <c r="G48" s="23">
        <v>55425.393595959533</v>
      </c>
      <c r="H48" s="34">
        <v>5.1562500000000057E-4</v>
      </c>
      <c r="I48" s="16">
        <f t="shared" si="7"/>
        <v>0.75</v>
      </c>
      <c r="J48" s="23">
        <f t="shared" si="8"/>
        <v>124043.14580098278</v>
      </c>
      <c r="K48" s="23">
        <f t="shared" si="9"/>
        <v>41569.045196969651</v>
      </c>
      <c r="L48" s="16">
        <f>IF(J48&lt;=0,10^7-10,K48/J48)</f>
        <v>0.33511763127697386</v>
      </c>
      <c r="O48" s="23">
        <f>bthan*1000*(0.08+10*0.072)</f>
        <v>4400</v>
      </c>
      <c r="P48" s="23">
        <f t="shared" si="10"/>
        <v>3677.1428571428573</v>
      </c>
      <c r="Q48" s="23">
        <f t="shared" si="11"/>
        <v>400</v>
      </c>
      <c r="R48" s="23">
        <f t="shared" si="12"/>
        <v>-136.36363636363637</v>
      </c>
      <c r="S48" s="23">
        <v>168456.9576247753</v>
      </c>
      <c r="T48" s="23">
        <v>162741.55875709388</v>
      </c>
      <c r="U48" s="34">
        <v>6.8125913992409806E-4</v>
      </c>
      <c r="V48" s="16">
        <f t="shared" si="13"/>
        <v>0.75</v>
      </c>
      <c r="W48" s="23">
        <f t="shared" si="14"/>
        <v>126342.71821858147</v>
      </c>
      <c r="X48" s="23">
        <f t="shared" si="15"/>
        <v>122056.16906782042</v>
      </c>
      <c r="Y48" s="16">
        <f>IF(W48&lt;=0,10^7-10,X48/W48)</f>
        <v>0.96607205218313386</v>
      </c>
    </row>
    <row r="49" spans="2:25" x14ac:dyDescent="0.3">
      <c r="B49" s="23">
        <f>hthan*1000*(0.08+11*0.072)</f>
        <v>1395.1999999999998</v>
      </c>
      <c r="C49" s="23">
        <f t="shared" si="4"/>
        <v>1165.9885714285713</v>
      </c>
      <c r="D49" s="23">
        <f t="shared" si="5"/>
        <v>400</v>
      </c>
      <c r="E49" s="23">
        <f t="shared" si="6"/>
        <v>-45.068807339449627</v>
      </c>
      <c r="F49" s="23">
        <v>181442.1718826344</v>
      </c>
      <c r="G49" s="23">
        <v>49182.066944885453</v>
      </c>
      <c r="H49" s="34">
        <v>2.2534403669724861E-4</v>
      </c>
      <c r="I49" s="16">
        <f t="shared" si="7"/>
        <v>0.75</v>
      </c>
      <c r="J49" s="23">
        <f t="shared" si="8"/>
        <v>136081.6289119758</v>
      </c>
      <c r="K49" s="23">
        <f t="shared" si="9"/>
        <v>36886.550208664092</v>
      </c>
      <c r="L49" s="16">
        <f>IF(J49&lt;=0,10^7-11,K49/J49)</f>
        <v>0.27106193909924536</v>
      </c>
      <c r="O49" s="23">
        <f>bthan*1000*(0.08+11*0.072)</f>
        <v>4795.9999999999991</v>
      </c>
      <c r="P49" s="23">
        <f t="shared" si="10"/>
        <v>4008.0857142857135</v>
      </c>
      <c r="Q49" s="23">
        <f t="shared" si="11"/>
        <v>400</v>
      </c>
      <c r="R49" s="23">
        <f t="shared" si="12"/>
        <v>-75.562969140950912</v>
      </c>
      <c r="S49" s="23">
        <v>186172.3677536906</v>
      </c>
      <c r="T49" s="23">
        <v>142601.12750129148</v>
      </c>
      <c r="U49" s="34">
        <v>3.7730196323311743E-4</v>
      </c>
      <c r="V49" s="16">
        <f t="shared" si="13"/>
        <v>0.75</v>
      </c>
      <c r="W49" s="23">
        <f t="shared" si="14"/>
        <v>139629.27581526796</v>
      </c>
      <c r="X49" s="23">
        <f t="shared" si="15"/>
        <v>106950.84562596862</v>
      </c>
      <c r="Y49" s="16">
        <f>IF(W49&lt;=0,10^7-11,X49/W49)</f>
        <v>0.76596290427994851</v>
      </c>
    </row>
    <row r="50" spans="2:25" x14ac:dyDescent="0.3">
      <c r="B50" s="23">
        <f>hthan*1000*(0.08+12*0.072)</f>
        <v>1510.3999999999996</v>
      </c>
      <c r="C50" s="23">
        <f t="shared" si="4"/>
        <v>1262.2628571428568</v>
      </c>
      <c r="D50" s="23">
        <f t="shared" si="5"/>
        <v>400</v>
      </c>
      <c r="E50" s="23">
        <f t="shared" si="6"/>
        <v>4.1313559322032463</v>
      </c>
      <c r="F50" s="23">
        <v>198355.25078743117</v>
      </c>
      <c r="G50" s="23">
        <v>41572.535136136568</v>
      </c>
      <c r="H50" s="34">
        <v>-2.0656779661016229E-5</v>
      </c>
      <c r="I50" s="16">
        <f t="shared" si="7"/>
        <v>0.75</v>
      </c>
      <c r="J50" s="23">
        <f t="shared" si="8"/>
        <v>148766.43809057339</v>
      </c>
      <c r="K50" s="23">
        <f t="shared" si="9"/>
        <v>31179.401352102424</v>
      </c>
      <c r="L50" s="16">
        <f>IF(J50&lt;=0,10^7-12,K50/J50)</f>
        <v>0.20958625986003299</v>
      </c>
      <c r="O50" s="23">
        <f>bthan*1000*(0.08+12*0.072)</f>
        <v>5191.9999999999991</v>
      </c>
      <c r="P50" s="23">
        <f t="shared" si="10"/>
        <v>4339.028571428571</v>
      </c>
      <c r="Q50" s="23">
        <f t="shared" si="11"/>
        <v>400</v>
      </c>
      <c r="R50" s="23">
        <f t="shared" si="12"/>
        <v>-24.03697996918347</v>
      </c>
      <c r="S50" s="23">
        <v>202737.91019007633</v>
      </c>
      <c r="T50" s="23">
        <v>119385.13817208351</v>
      </c>
      <c r="U50" s="34">
        <v>1.197111355288966E-4</v>
      </c>
      <c r="V50" s="16">
        <f t="shared" si="13"/>
        <v>0.75</v>
      </c>
      <c r="W50" s="23">
        <f t="shared" si="14"/>
        <v>152053.43264255725</v>
      </c>
      <c r="X50" s="23">
        <f t="shared" si="15"/>
        <v>89538.853629062622</v>
      </c>
      <c r="Y50" s="16">
        <f>IF(W50&lt;=0,10^7-12,X50/W50)</f>
        <v>0.58886440163141818</v>
      </c>
    </row>
    <row r="51" spans="2:25" x14ac:dyDescent="0.3">
      <c r="B51" s="23">
        <f>hthan*1000*(0.08+13*0.072)</f>
        <v>1625.6</v>
      </c>
      <c r="C51" s="23">
        <f t="shared" si="4"/>
        <v>1358.5371428571427</v>
      </c>
      <c r="D51" s="23">
        <f t="shared" si="5"/>
        <v>400</v>
      </c>
      <c r="E51" s="23">
        <f t="shared" si="6"/>
        <v>46.358267716535401</v>
      </c>
      <c r="F51" s="23">
        <v>214300.01316331429</v>
      </c>
      <c r="G51" s="23">
        <v>33142.352025847511</v>
      </c>
      <c r="H51" s="34">
        <v>-2.3179133858267659E-4</v>
      </c>
      <c r="I51" s="16">
        <f t="shared" si="7"/>
        <v>0.75</v>
      </c>
      <c r="J51" s="23">
        <f t="shared" si="8"/>
        <v>160725.00987248571</v>
      </c>
      <c r="K51" s="23">
        <f t="shared" si="9"/>
        <v>24856.764019385635</v>
      </c>
      <c r="L51" s="16">
        <f>IF(J51&lt;=0,10^7-13,K51/J51)</f>
        <v>0.15465398968776689</v>
      </c>
      <c r="O51" s="23">
        <f>bthan*1000*(0.08+13*0.072)</f>
        <v>5588</v>
      </c>
      <c r="P51" s="23">
        <f t="shared" si="10"/>
        <v>4669.971428571429</v>
      </c>
      <c r="Q51" s="23">
        <f t="shared" si="11"/>
        <v>400</v>
      </c>
      <c r="R51" s="23">
        <f t="shared" si="12"/>
        <v>20.186113099498925</v>
      </c>
      <c r="S51" s="23">
        <v>219236.30660205646</v>
      </c>
      <c r="T51" s="23">
        <v>91602.20647985689</v>
      </c>
      <c r="U51" s="34">
        <v>-1.0137075596527718E-4</v>
      </c>
      <c r="V51" s="16">
        <f t="shared" si="13"/>
        <v>0.75</v>
      </c>
      <c r="W51" s="23">
        <f t="shared" si="14"/>
        <v>164427.22995154234</v>
      </c>
      <c r="X51" s="23">
        <f t="shared" si="15"/>
        <v>68701.654859892675</v>
      </c>
      <c r="Y51" s="16">
        <f>IF(W51&lt;=0,10^7-13,X51/W51)</f>
        <v>0.41782407257082327</v>
      </c>
    </row>
    <row r="52" spans="2:25" x14ac:dyDescent="0.3">
      <c r="B52" s="23">
        <f>hthan*1000*(0.08+14*0.072)</f>
        <v>1740.8000000000002</v>
      </c>
      <c r="C52" s="23">
        <f t="shared" si="4"/>
        <v>1454.8114285714287</v>
      </c>
      <c r="D52" s="23">
        <f t="shared" si="5"/>
        <v>400</v>
      </c>
      <c r="E52" s="23">
        <f t="shared" si="6"/>
        <v>82.996323529411825</v>
      </c>
      <c r="F52" s="23">
        <v>227834.14046600269</v>
      </c>
      <c r="G52" s="23">
        <v>24950.566161408944</v>
      </c>
      <c r="H52" s="34">
        <v>-4.1498161764705837E-4</v>
      </c>
      <c r="I52" s="16">
        <f t="shared" si="7"/>
        <v>0.75</v>
      </c>
      <c r="J52" s="23">
        <f t="shared" si="8"/>
        <v>170875.605349502</v>
      </c>
      <c r="K52" s="23">
        <f t="shared" si="9"/>
        <v>18712.924621056707</v>
      </c>
      <c r="L52" s="16">
        <f>IF(J52&lt;=0,10^7-14,K52/J52)</f>
        <v>0.10951197265860187</v>
      </c>
      <c r="O52" s="23">
        <f>bthan*1000*(0.08+14*0.072)</f>
        <v>5984</v>
      </c>
      <c r="P52" s="23">
        <f t="shared" si="10"/>
        <v>5000.9142857142861</v>
      </c>
      <c r="Q52" s="23">
        <f t="shared" si="11"/>
        <v>400</v>
      </c>
      <c r="R52" s="23">
        <f t="shared" si="12"/>
        <v>58.55614973262032</v>
      </c>
      <c r="S52" s="23">
        <v>234516.1048258857</v>
      </c>
      <c r="T52" s="23">
        <v>61485.820350293761</v>
      </c>
      <c r="U52" s="34">
        <v>-2.9319180887933969E-4</v>
      </c>
      <c r="V52" s="16">
        <f t="shared" si="13"/>
        <v>0.75</v>
      </c>
      <c r="W52" s="23">
        <f t="shared" si="14"/>
        <v>175887.07861941427</v>
      </c>
      <c r="X52" s="23">
        <f t="shared" si="15"/>
        <v>46114.365262720319</v>
      </c>
      <c r="Y52" s="16">
        <f>IF(W52&lt;=0,10^7-14,X52/W52)</f>
        <v>0.26218165441534746</v>
      </c>
    </row>
    <row r="53" spans="2:25" x14ac:dyDescent="0.3">
      <c r="B53" s="23">
        <f>hthan*1000*(0.08+15*0.072)</f>
        <v>1855.9999999999998</v>
      </c>
      <c r="C53" s="23">
        <f t="shared" si="4"/>
        <v>1551.0857142857142</v>
      </c>
      <c r="D53" s="23">
        <f t="shared" si="5"/>
        <v>400</v>
      </c>
      <c r="E53" s="23">
        <f t="shared" si="6"/>
        <v>115.08620689655166</v>
      </c>
      <c r="F53" s="23">
        <v>240638.88086123337</v>
      </c>
      <c r="G53" s="23">
        <v>16200.183547791277</v>
      </c>
      <c r="H53" s="34">
        <v>-5.7543103448275796E-4</v>
      </c>
      <c r="I53" s="16">
        <f t="shared" si="7"/>
        <v>0.75</v>
      </c>
      <c r="J53" s="23">
        <f t="shared" si="8"/>
        <v>180479.16064592503</v>
      </c>
      <c r="K53" s="23">
        <f t="shared" si="9"/>
        <v>12150.137660843458</v>
      </c>
      <c r="L53" s="16">
        <f>IF(J53&lt;=0,10^7-15,K53/J53)</f>
        <v>6.7321554562636374E-2</v>
      </c>
      <c r="O53" s="23">
        <f>bthan*1000*(0.08+15*0.072)</f>
        <v>6380</v>
      </c>
      <c r="P53" s="23">
        <f t="shared" si="10"/>
        <v>5331.8571428571431</v>
      </c>
      <c r="Q53" s="23">
        <f t="shared" si="11"/>
        <v>400</v>
      </c>
      <c r="R53" s="23">
        <f t="shared" si="12"/>
        <v>92.163009404388717</v>
      </c>
      <c r="S53" s="23">
        <v>247356.06444646997</v>
      </c>
      <c r="T53" s="23">
        <v>32694.073994996437</v>
      </c>
      <c r="U53" s="34">
        <v>-4.6120059315579449E-4</v>
      </c>
      <c r="V53" s="16">
        <f t="shared" si="13"/>
        <v>0.75</v>
      </c>
      <c r="W53" s="23">
        <f t="shared" si="14"/>
        <v>185517.04833485247</v>
      </c>
      <c r="X53" s="23">
        <f t="shared" si="15"/>
        <v>24520.555496247329</v>
      </c>
      <c r="Y53" s="16">
        <f>IF(W53&lt;=0,10^7-15,X53/W53)</f>
        <v>0.13217413556509638</v>
      </c>
    </row>
    <row r="54" spans="2:25" x14ac:dyDescent="0.3">
      <c r="B54" s="23">
        <f>hthan*1000*(0.08+16*0.072)</f>
        <v>1971.2</v>
      </c>
      <c r="C54" s="23">
        <f t="shared" si="4"/>
        <v>1600</v>
      </c>
      <c r="D54" s="23">
        <f t="shared" si="5"/>
        <v>400</v>
      </c>
      <c r="E54" s="23">
        <f t="shared" si="6"/>
        <v>143.42532467532467</v>
      </c>
      <c r="F54" s="23">
        <v>248074.95614167443</v>
      </c>
      <c r="G54" s="23">
        <v>10761.235270922591</v>
      </c>
      <c r="H54" s="34">
        <v>-7.1712662337662279E-4</v>
      </c>
      <c r="I54" s="16">
        <f t="shared" si="7"/>
        <v>0.75</v>
      </c>
      <c r="J54" s="23">
        <f t="shared" si="8"/>
        <v>186056.21710625582</v>
      </c>
      <c r="K54" s="23">
        <f t="shared" si="9"/>
        <v>8070.9264531919434</v>
      </c>
      <c r="L54" s="16">
        <f>IF(J54&lt;=0,10^7-16,K54/J54)</f>
        <v>4.3378966737685931E-2</v>
      </c>
      <c r="O54" s="23">
        <f>bthan*1000*(0.08+16*0.072)</f>
        <v>6776</v>
      </c>
      <c r="P54" s="23">
        <f t="shared" si="10"/>
        <v>5500</v>
      </c>
      <c r="Q54" s="23">
        <f t="shared" si="11"/>
        <v>400</v>
      </c>
      <c r="R54" s="23">
        <f t="shared" si="12"/>
        <v>121.84179456906729</v>
      </c>
      <c r="S54" s="23">
        <v>251765.93458990485</v>
      </c>
      <c r="T54" s="23">
        <v>23206.448082483817</v>
      </c>
      <c r="U54" s="34">
        <v>-6.0957198706227376E-4</v>
      </c>
      <c r="V54" s="16">
        <f t="shared" si="13"/>
        <v>0.75</v>
      </c>
      <c r="W54" s="23">
        <f t="shared" si="14"/>
        <v>188824.45094242864</v>
      </c>
      <c r="X54" s="23">
        <f t="shared" si="15"/>
        <v>17404.836061862865</v>
      </c>
      <c r="Y54" s="16">
        <f>IF(W54&lt;=0,10^7-16,X54/W54)</f>
        <v>9.2174694405278521E-2</v>
      </c>
    </row>
    <row r="55" spans="2:25" x14ac:dyDescent="0.3">
      <c r="B55" s="23">
        <f>hthan*1000*(0.08+17*0.072)</f>
        <v>2086.4</v>
      </c>
      <c r="C55" s="23">
        <f t="shared" si="4"/>
        <v>1600</v>
      </c>
      <c r="D55" s="23">
        <f t="shared" si="5"/>
        <v>400</v>
      </c>
      <c r="E55" s="23">
        <f t="shared" si="6"/>
        <v>168.63496932515341</v>
      </c>
      <c r="F55" s="23">
        <v>249827.79184822249</v>
      </c>
      <c r="G55" s="23">
        <v>9683.1977109068212</v>
      </c>
      <c r="H55" s="34">
        <v>-8.4317484662576616E-4</v>
      </c>
      <c r="I55" s="16">
        <f t="shared" si="7"/>
        <v>0.75</v>
      </c>
      <c r="J55" s="23">
        <f t="shared" si="8"/>
        <v>187370.84388616687</v>
      </c>
      <c r="K55" s="23">
        <f t="shared" si="9"/>
        <v>7262.3982831801159</v>
      </c>
      <c r="L55" s="16">
        <f>IF(J55&lt;=0,10^7-17,K55/J55)</f>
        <v>3.8759489643928967E-2</v>
      </c>
      <c r="O55" s="23">
        <f>bthan*1000*(0.08+17*0.072)</f>
        <v>7172</v>
      </c>
      <c r="P55" s="23">
        <f t="shared" si="10"/>
        <v>5500</v>
      </c>
      <c r="Q55" s="23">
        <f t="shared" si="11"/>
        <v>400</v>
      </c>
      <c r="R55" s="23">
        <f t="shared" si="12"/>
        <v>148.2431678750697</v>
      </c>
      <c r="S55" s="23">
        <v>253391.06367167592</v>
      </c>
      <c r="T55" s="23">
        <v>20760.307822394763</v>
      </c>
      <c r="U55" s="34">
        <v>-7.4155880986251626E-4</v>
      </c>
      <c r="V55" s="16">
        <f t="shared" si="13"/>
        <v>0.75</v>
      </c>
      <c r="W55" s="23">
        <f t="shared" si="14"/>
        <v>190043.29775375692</v>
      </c>
      <c r="X55" s="23">
        <f t="shared" si="15"/>
        <v>15570.230866796071</v>
      </c>
      <c r="Y55" s="16">
        <f>IF(W55&lt;=0,10^7-17,X55/W55)</f>
        <v>8.1929913082074299E-2</v>
      </c>
    </row>
    <row r="56" spans="2:25" x14ac:dyDescent="0.3">
      <c r="B56" s="23">
        <f>hthan*1000*(0.08+18*0.072)</f>
        <v>2201.6</v>
      </c>
      <c r="C56" s="23">
        <f t="shared" si="4"/>
        <v>1600</v>
      </c>
      <c r="D56" s="23">
        <f t="shared" si="5"/>
        <v>400</v>
      </c>
      <c r="E56" s="23">
        <f t="shared" si="6"/>
        <v>191.20639534883719</v>
      </c>
      <c r="F56" s="23">
        <v>251381.77772150619</v>
      </c>
      <c r="G56" s="23">
        <v>8716.4167204219884</v>
      </c>
      <c r="H56" s="34">
        <v>-9.5603197674418562E-4</v>
      </c>
      <c r="I56" s="16">
        <f t="shared" si="7"/>
        <v>0.75</v>
      </c>
      <c r="J56" s="23">
        <f t="shared" si="8"/>
        <v>188536.33329112965</v>
      </c>
      <c r="K56" s="23">
        <f t="shared" si="9"/>
        <v>6537.3125403164913</v>
      </c>
      <c r="L56" s="16">
        <f>IF(J56&lt;=0,10^7-18,K56/J56)</f>
        <v>3.4674019729777267E-2</v>
      </c>
      <c r="O56" s="23">
        <f>bthan*1000*(0.08+18*0.072)</f>
        <v>7567.9999999999991</v>
      </c>
      <c r="P56" s="23">
        <f t="shared" si="10"/>
        <v>5500</v>
      </c>
      <c r="Q56" s="23">
        <f t="shared" si="11"/>
        <v>400</v>
      </c>
      <c r="R56" s="23">
        <f t="shared" si="12"/>
        <v>171.88160676532766</v>
      </c>
      <c r="S56" s="23">
        <v>254813.35673825463</v>
      </c>
      <c r="T56" s="23">
        <v>18558.348692661042</v>
      </c>
      <c r="U56" s="34">
        <v>-8.5973305818366373E-4</v>
      </c>
      <c r="V56" s="16">
        <f t="shared" si="13"/>
        <v>0.75</v>
      </c>
      <c r="W56" s="23">
        <f t="shared" si="14"/>
        <v>191110.01755369097</v>
      </c>
      <c r="X56" s="23">
        <f t="shared" si="15"/>
        <v>13918.761519495782</v>
      </c>
      <c r="Y56" s="16">
        <f>IF(W56&lt;=0,10^7-18,X56/W56)</f>
        <v>7.2831145628383442E-2</v>
      </c>
    </row>
    <row r="57" spans="2:25" x14ac:dyDescent="0.3">
      <c r="B57" s="23">
        <f>hthan*1000*(0.08+19*0.072)</f>
        <v>2316.7999999999997</v>
      </c>
      <c r="C57" s="23">
        <f t="shared" si="4"/>
        <v>1600</v>
      </c>
      <c r="D57" s="23">
        <f t="shared" si="5"/>
        <v>400</v>
      </c>
      <c r="E57" s="23">
        <f t="shared" si="6"/>
        <v>211.53314917127068</v>
      </c>
      <c r="F57" s="23">
        <v>252777.31796762688</v>
      </c>
      <c r="G57" s="23">
        <v>7845.5564572421654</v>
      </c>
      <c r="H57" s="34">
        <v>-1.0576657458563532E-3</v>
      </c>
      <c r="I57" s="16">
        <f t="shared" si="7"/>
        <v>0.75</v>
      </c>
      <c r="J57" s="23">
        <f t="shared" si="8"/>
        <v>189582.98847572017</v>
      </c>
      <c r="K57" s="23">
        <f t="shared" si="9"/>
        <v>5884.1673429316243</v>
      </c>
      <c r="L57" s="16">
        <f>IF(J57&lt;=0,10^7-19,K57/J57)</f>
        <v>3.1037422662451634E-2</v>
      </c>
      <c r="O57" s="23">
        <f>bthan*1000*(0.08+19*0.072)</f>
        <v>7964</v>
      </c>
      <c r="P57" s="23">
        <f t="shared" si="10"/>
        <v>5500</v>
      </c>
      <c r="Q57" s="23">
        <f t="shared" si="11"/>
        <v>400</v>
      </c>
      <c r="R57" s="23">
        <f t="shared" si="12"/>
        <v>193.16926167754897</v>
      </c>
      <c r="S57" s="23">
        <v>256063.07109577471</v>
      </c>
      <c r="T57" s="23">
        <v>16568.249669809338</v>
      </c>
      <c r="U57" s="34">
        <v>-9.6615517131265287E-4</v>
      </c>
      <c r="V57" s="16">
        <f t="shared" si="13"/>
        <v>0.75</v>
      </c>
      <c r="W57" s="23">
        <f t="shared" si="14"/>
        <v>192047.30332183104</v>
      </c>
      <c r="X57" s="23">
        <f t="shared" si="15"/>
        <v>12426.187252357004</v>
      </c>
      <c r="Y57" s="16">
        <f>IF(W57&lt;=0,10^7-19,X57/W57)</f>
        <v>6.4703784106425688E-2</v>
      </c>
    </row>
    <row r="58" spans="2:25" x14ac:dyDescent="0.3">
      <c r="B58" s="23">
        <f>hthan*1000*(0.08+20*0.072)</f>
        <v>2432</v>
      </c>
      <c r="C58" s="23">
        <f t="shared" si="4"/>
        <v>1600</v>
      </c>
      <c r="D58" s="23">
        <f t="shared" si="5"/>
        <v>400</v>
      </c>
      <c r="E58" s="23">
        <f t="shared" si="6"/>
        <v>229.93421052631578</v>
      </c>
      <c r="F58" s="23">
        <v>254027.8462842303</v>
      </c>
      <c r="G58" s="23">
        <v>7056.765103177866</v>
      </c>
      <c r="H58" s="34">
        <v>-1.1496710526315787E-3</v>
      </c>
      <c r="I58" s="16">
        <f t="shared" si="7"/>
        <v>0.75</v>
      </c>
      <c r="J58" s="23">
        <f t="shared" si="8"/>
        <v>190520.88471317274</v>
      </c>
      <c r="K58" s="23">
        <f t="shared" si="9"/>
        <v>5292.5738273833995</v>
      </c>
      <c r="L58" s="16">
        <f>IF(J58&lt;=0,10^7-20,K58/J58)</f>
        <v>2.7779494281434374E-2</v>
      </c>
      <c r="O58" s="23">
        <f>bthan*1000*(0.08+20*0.072)</f>
        <v>8360</v>
      </c>
      <c r="P58" s="23">
        <f t="shared" si="10"/>
        <v>5500</v>
      </c>
      <c r="Q58" s="23">
        <f t="shared" si="11"/>
        <v>400</v>
      </c>
      <c r="R58" s="23">
        <f t="shared" si="12"/>
        <v>212.44019138755982</v>
      </c>
      <c r="S58" s="23">
        <v>257164.73108710235</v>
      </c>
      <c r="T58" s="23">
        <v>14763.813713761301</v>
      </c>
      <c r="U58" s="34">
        <v>-1.0624951895136328E-3</v>
      </c>
      <c r="V58" s="16">
        <f t="shared" si="13"/>
        <v>0.75</v>
      </c>
      <c r="W58" s="23">
        <f t="shared" si="14"/>
        <v>192873.54831532677</v>
      </c>
      <c r="X58" s="23">
        <f t="shared" si="15"/>
        <v>11072.860285320976</v>
      </c>
      <c r="Y58" s="16">
        <f>IF(W58&lt;=0,10^7-20,X58/W58)</f>
        <v>5.7409947512440031E-2</v>
      </c>
    </row>
    <row r="61" spans="2:25" x14ac:dyDescent="0.3">
      <c r="B61" s="5" t="s">
        <v>750</v>
      </c>
    </row>
    <row r="62" spans="2:25" x14ac:dyDescent="0.3">
      <c r="B62" s="7" t="s">
        <v>751</v>
      </c>
      <c r="C62" s="27">
        <f>(0.85*fc_*(Agth*10^6-D11)+fy_*D11)/1000</f>
        <v>264605.13086587837</v>
      </c>
    </row>
    <row r="63" spans="2:25" x14ac:dyDescent="0.3">
      <c r="B63" s="7" t="s">
        <v>752</v>
      </c>
      <c r="C63" s="16">
        <f>C33/C5</f>
        <v>1.2098999601261702</v>
      </c>
      <c r="D63" s="16">
        <f>D33/C5</f>
        <v>0.84431453057213735</v>
      </c>
    </row>
    <row r="64" spans="2:25" x14ac:dyDescent="0.3">
      <c r="B64" s="7" t="s">
        <v>753</v>
      </c>
      <c r="C64" s="27">
        <f>IF(C63&lt;=0.000000001,MIN(0.8*0.75*C62,MAX($J$38:$J$58)),IFERROR(MIN(0.8*0.75*C62,INDEX($J$38:$J$58,MATCH(C63,$L$38:$L$58,-1))+(INDEX($J$38:$J$58,MIN(21,MATCH(C63,$L$38:$L$58,-1)+1))-INDEX($J$38:$J$58,MATCH(C63,$L$38:$L$58,-1)))*(C63-INDEX($L$38:$L$58,MATCH(C63,$L$38:$L$58,-1)))/(INDEX($L$38:$L$58,MIN(21,MATCH(C63,$L$38:$L$58,-1)+1))-INDEX($L$38:$L$58,MATCH(C63,$L$38:$L$58,-1)))),$C$68/C63))</f>
        <v>48756.960089448985</v>
      </c>
      <c r="D64" s="27">
        <f>IF(D63&lt;=0.000000001,MIN(0.8*0.75*C62,MAX($W$38:$W$58)),IFERROR(MIN(0.8*0.75*C62,INDEX($W$38:$W$58,MATCH(D63,$Y$38:$Y$58,-1))+(INDEX($W$38:$W$58,MIN(21,MATCH(D63,$Y$38:$Y$58,-1)+1))-INDEX($W$38:$W$58,MATCH(D63,$Y$38:$Y$58,-1)))*(D63-INDEX($Y$38:$Y$58,MATCH(D63,$Y$38:$Y$58,-1)))/(INDEX($Y$38:$Y$58,MIN(21,MATCH(D63,$Y$38:$Y$58,-1)+1))-INDEX($Y$38:$Y$58,MATCH(D63,$Y$38:$Y$58,-1)))),$D$68/D63))</f>
        <v>134426.99792625871</v>
      </c>
    </row>
    <row r="65" spans="2:9" ht="27.6" x14ac:dyDescent="0.3">
      <c r="B65" s="7" t="s">
        <v>754</v>
      </c>
      <c r="C65" s="19" t="str">
        <f>IF(C5&gt;=0.1*0.75*fc_*Agth*1000,"CÓ — dùng PT 46","KHÔNG — dùng PT 48")</f>
        <v>CÓ — dùng PT 46</v>
      </c>
    </row>
    <row r="66" spans="2:9" x14ac:dyDescent="0.3">
      <c r="B66" s="7" t="s">
        <v>755</v>
      </c>
      <c r="C66" s="27">
        <f>IFERROR(1/(1/C64+1/D64-1/(0.75*C62)),0)</f>
        <v>43649.215464406727</v>
      </c>
    </row>
    <row r="67" spans="2:9" x14ac:dyDescent="0.3">
      <c r="B67" s="7" t="s">
        <v>756</v>
      </c>
      <c r="C67" s="28" t="str">
        <f>IF(C5&lt;=C66,"ĐẠT","KHÔNG ĐẠT")</f>
        <v>ĐẠT</v>
      </c>
      <c r="D67" s="13">
        <f>IFERROR(C66/MAX(C5,0.001),0)</f>
        <v>1.2555052670996529</v>
      </c>
    </row>
    <row r="68" spans="2:9" x14ac:dyDescent="0.3">
      <c r="B68" s="7" t="s">
        <v>757</v>
      </c>
      <c r="C68" s="23">
        <f>IFERROR(INDEX($K$38:$K$58,MATCH(0,$J$38:$J$58,1))+(INDEX($K$38:$K$58,MATCH(0,$J$38:$J$58,1)+1)-INDEX($K$38:$K$58,MATCH(0,$J$38:$J$58,1)))*(0-INDEX($J$38:$J$58,MATCH(0,$J$38:$J$58,1)))/(INDEX($J$38:$J$58,MATCH(0,$J$38:$J$58,1)+1)-INDEX($J$38:$J$58,MATCH(0,$J$38:$J$58,1))),$K$38)</f>
        <v>36231.475612604343</v>
      </c>
      <c r="D68" s="23">
        <f>IFERROR(INDEX($X$38:$X$58,MATCH(0,$W$38:$W$58,1))+(INDEX($X$38:$X$58,MATCH(0,$W$38:$W$58,1)+1)-INDEX($X$38:$X$58,MATCH(0,$W$38:$W$58,1)))*(0-INDEX($W$38:$W$58,MATCH(0,$W$38:$W$58,1)))/(INDEX($W$38:$W$58,MATCH(0,$W$38:$W$58,1)+1)-INDEX($W$38:$W$58,MATCH(0,$W$38:$W$58,1))),$X$38)</f>
        <v>113986.69965969234</v>
      </c>
      <c r="E68" s="13">
        <f>C33/C68+D33/D68</f>
        <v>1.4184891603284764</v>
      </c>
      <c r="F68" s="28" t="str">
        <f>IF(OR(C5&gt;=0.1*0.75*fc_*Agth*1000,E68&lt;=1),"ĐẠT","KHÔNG ĐẠT")</f>
        <v>ĐẠT</v>
      </c>
      <c r="G68" t="s">
        <v>2133</v>
      </c>
      <c r="H68">
        <f>IFERROR(INDEX($G$38:$G$58,MATCH(0,$F$38:$F$58,1))+(INDEX($G$38:$G$58,MATCH(0,$F$38:$F$58,1)+1)-INDEX($G$38:$G$58,MATCH(0,$F$38:$F$58,1)))*(0-INDEX($F$38:$F$58,MATCH(0,$F$38:$F$58,1)))/(INDEX($F$38:$F$58,MATCH(0,$F$38:$F$58,1)+1)-INDEX($F$38:$F$58,MATCH(0,$F$38:$F$58,1))),$G$38)</f>
        <v>40257.195125115933</v>
      </c>
      <c r="I68">
        <f>IFERROR(INDEX($T$38:$T$58,MATCH(0,$S$38:$S$58,1))+(INDEX($T$38:$T$58,MATCH(0,$S$38:$S$58,1)+1)-INDEX($T$38:$T$58,MATCH(0,$S$38:$S$58,1)))*(0-INDEX($S$38:$S$58,MATCH(0,$S$38:$S$58,1)))/(INDEX($S$38:$S$58,MATCH(0,$S$38:$S$58,1)+1)-INDEX($S$38:$S$58,MATCH(0,$S$38:$S$58,1))),$T$38)</f>
        <v>126651.88851076926</v>
      </c>
    </row>
    <row r="69" spans="2:9" x14ac:dyDescent="0.3">
      <c r="B69" t="s">
        <v>1844</v>
      </c>
      <c r="C69">
        <f>0.9*D11*fy_/1000</f>
        <v>52115.252211870364</v>
      </c>
    </row>
    <row r="70" spans="2:9" x14ac:dyDescent="0.3">
      <c r="B70" s="5" t="s">
        <v>758</v>
      </c>
    </row>
    <row r="71" spans="2:9" x14ac:dyDescent="0.3">
      <c r="B71" s="7" t="s">
        <v>759</v>
      </c>
      <c r="C71" s="15">
        <v>4</v>
      </c>
      <c r="D71" s="15">
        <v>16</v>
      </c>
      <c r="E71" s="15">
        <v>100</v>
      </c>
    </row>
    <row r="72" spans="2:9" x14ac:dyDescent="0.3">
      <c r="B72" s="35" t="s">
        <v>760</v>
      </c>
    </row>
    <row r="73" spans="2:9" x14ac:dyDescent="0.3">
      <c r="B73" s="7" t="s">
        <v>761</v>
      </c>
      <c r="C73" s="14">
        <f>C71*PI()*D71^2/4</f>
        <v>804.24771931898704</v>
      </c>
      <c r="D73" s="14">
        <f>0.083*SQRT(fc_)*bthan*1000*E71/fy_</f>
        <v>625.08836875277086</v>
      </c>
      <c r="E73" s="23">
        <f>0.72*hthan*1000</f>
        <v>1152</v>
      </c>
    </row>
    <row r="74" spans="2:9" x14ac:dyDescent="0.3">
      <c r="B74" s="7" t="s">
        <v>762</v>
      </c>
      <c r="C74" s="23">
        <f>0.083*IF(C73&gt;=D73,2,1)*SQRT(fc_)*bthan*1000*E73/1000</f>
        <v>5760.8144064255366</v>
      </c>
    </row>
    <row r="75" spans="2:9" x14ac:dyDescent="0.3">
      <c r="B75" s="7" t="s">
        <v>763</v>
      </c>
      <c r="C75" s="23">
        <f>IF(C73&gt;=D73,C73*fy_*E73/E71/1000,0)</f>
        <v>3705.9734906218923</v>
      </c>
      <c r="D75" s="23">
        <f>MIN(C74+C75,0.25*fc_*bthan*1000*E73/1000)</f>
        <v>9466.7878970474285</v>
      </c>
      <c r="E75" s="27">
        <f>0.9*D75</f>
        <v>8520.1091073426851</v>
      </c>
    </row>
    <row r="76" spans="2:9" x14ac:dyDescent="0.3">
      <c r="B76" s="7" t="s">
        <v>764</v>
      </c>
      <c r="C76" s="28" t="str">
        <f>IF(E75&gt;=C7,"ĐẠT","KHÔNG ĐẠT")</f>
        <v>ĐẠT</v>
      </c>
      <c r="D76" s="13">
        <f>E75/MAX(0.001,C7)</f>
        <v>2.4723392983279164</v>
      </c>
    </row>
    <row r="77" spans="2:9" x14ac:dyDescent="0.3">
      <c r="B77" s="35" t="s">
        <v>765</v>
      </c>
    </row>
    <row r="78" spans="2:9" x14ac:dyDescent="0.3">
      <c r="B78" s="7" t="s">
        <v>761</v>
      </c>
      <c r="C78" s="14">
        <f>C71*PI()*D71^2/4</f>
        <v>804.24771931898704</v>
      </c>
      <c r="D78" s="14">
        <f>0.083*SQRT(fc_)*hthan*1000*E71/fy_</f>
        <v>181.84388909171517</v>
      </c>
      <c r="E78" s="23">
        <f>0.72*bthan*1000</f>
        <v>3960</v>
      </c>
    </row>
    <row r="79" spans="2:9" x14ac:dyDescent="0.3">
      <c r="B79" s="7" t="s">
        <v>762</v>
      </c>
      <c r="C79" s="23">
        <f>0.083*IF(C78&gt;=D78,2,1)*SQRT(fc_)*hthan*1000*E78/1000</f>
        <v>5760.8144064255366</v>
      </c>
    </row>
    <row r="80" spans="2:9" x14ac:dyDescent="0.3">
      <c r="B80" s="7" t="s">
        <v>763</v>
      </c>
      <c r="C80" s="23">
        <f>IF(C78&gt;=D78,C78*fy_*E78/E71/1000,0)</f>
        <v>12739.283874012757</v>
      </c>
      <c r="D80" s="23">
        <f>MIN(C79+C80,0.25*fc_*hthan*1000*E78/1000)</f>
        <v>18500.098280438295</v>
      </c>
      <c r="E80" s="27">
        <f>0.9*D80</f>
        <v>16650.088452394466</v>
      </c>
    </row>
    <row r="81" spans="2:14" x14ac:dyDescent="0.3">
      <c r="B81" s="7" t="s">
        <v>764</v>
      </c>
      <c r="C81" s="28" t="str">
        <f>IF(E80&gt;=D7,"ĐẠT","KHÔNG ĐẠT")</f>
        <v>ĐẠT</v>
      </c>
      <c r="D81" s="13">
        <f>E80/MAX(0.001,D7)</f>
        <v>6.2141811071175672</v>
      </c>
    </row>
    <row r="83" spans="2:14" x14ac:dyDescent="0.3">
      <c r="B83" s="5" t="s">
        <v>766</v>
      </c>
    </row>
    <row r="84" spans="2:14" ht="27.6" x14ac:dyDescent="0.3">
      <c r="B84" s="18" t="s">
        <v>560</v>
      </c>
      <c r="C84" s="18" t="s">
        <v>767</v>
      </c>
      <c r="D84" s="18" t="s">
        <v>768</v>
      </c>
      <c r="E84" s="18" t="s">
        <v>769</v>
      </c>
      <c r="F84" s="18" t="s">
        <v>770</v>
      </c>
      <c r="G84" s="18" t="s">
        <v>771</v>
      </c>
      <c r="H84" s="18" t="s">
        <v>772</v>
      </c>
      <c r="I84" s="18" t="s">
        <v>773</v>
      </c>
      <c r="J84" s="18" t="s">
        <v>774</v>
      </c>
      <c r="K84" s="18" t="s">
        <v>775</v>
      </c>
      <c r="L84" s="18" t="s">
        <v>776</v>
      </c>
      <c r="M84" s="18" t="s">
        <v>777</v>
      </c>
    </row>
    <row r="85" spans="2:14" x14ac:dyDescent="0.3">
      <c r="B85" s="19" t="str">
        <f>IF('TO HOP'!B131="","",'TO HOP'!B131)</f>
        <v>SD I - 2 nhịp lệch tâm 1 làn</v>
      </c>
      <c r="C85" s="23">
        <f>IF($B85="","",'TO HOP'!E131)</f>
        <v>23463.377945589622</v>
      </c>
      <c r="D85" s="23">
        <f>IF($B85="","",$C$32*ABS(IFERROR('TO HOP'!G131,0)))</f>
        <v>50230.664800582534</v>
      </c>
      <c r="E85" s="23">
        <f>IF($B85="","",$D$32*ABS(IFERROR('TO HOP'!F131,0)))</f>
        <v>13320.539495650002</v>
      </c>
      <c r="F85" s="16">
        <f t="shared" ref="F85:F116" si="16">IF($B85="","",MAX(0.001,D85/MAX(1,C85)))</f>
        <v>2.1408113067549306</v>
      </c>
      <c r="G85" s="16">
        <f t="shared" ref="G85:G116" si="17">IF($B85="","",MAX(0.001,E85/MAX(1,C85)))</f>
        <v>0.56771618845929406</v>
      </c>
      <c r="H85" s="23">
        <f t="shared" ref="H85:H116" si="18">IF($B85="","",IF(F85&lt;=0.000000001,MIN(0.8*CHOOSE($N85,1,0.75)*$C$62,MAX(CHOOSE($N85,$F$38:$F$58,$J$38:$J$58))),IFERROR(MIN(0.8*CHOOSE($N85,1,0.75)*$C$62,INDEX(CHOOSE($N85,$F$38:$F$58,$J$38:$J$58),MATCH(F85,$L$38:$L$58,-1))+(INDEX(CHOOSE($N85,$F$38:$F$58,$J$38:$J$58),MIN(21,MATCH(F85,$L$38:$L$58,-1)+1))-INDEX(CHOOSE($N85,$F$38:$F$58,$J$38:$J$58),MATCH(F85,$L$38:$L$58,-1)))*(F85-INDEX($L$38:$L$58,MATCH(F85,$L$38:$L$58,-1)))/(INDEX($L$38:$L$58,MIN(21,MATCH(F85,$L$38:$L$58,-1)+1))-INDEX($L$38:$L$58,MATCH(F85,$L$38:$L$58,-1)))),CHOOSE($N85,$H$68,$C$68)/F85)))</f>
        <v>26079.968062267017</v>
      </c>
      <c r="I85" s="23">
        <f t="shared" ref="I85:I116" si="19">IF($B85="","",IF(G85&lt;=0.000000001,MIN(0.8*CHOOSE($N85,1,0.75)*$C$62,MAX(CHOOSE($N85,$S$38:$S$58,$W$38:$W$58))),IFERROR(MIN(0.8*CHOOSE($N85,1,0.75)*$C$62,INDEX(CHOOSE($N85,$S$38:$S$58,$W$38:$W$58),MATCH(G85,$Y$38:$Y$58,-1))+(INDEX(CHOOSE($N85,$S$38:$S$58,$W$38:$W$58),MIN(21,MATCH(G85,$Y$38:$Y$58,-1)+1))-INDEX(CHOOSE($N85,$S$38:$S$58,$W$38:$W$58),MATCH(G85,$Y$38:$Y$58,-1)))*(G85-INDEX($Y$38:$Y$58,MATCH(G85,$Y$38:$Y$58,-1)))/(INDEX($Y$38:$Y$58,MIN(21,MATCH(G85,$Y$38:$Y$58,-1)+1))-INDEX($Y$38:$Y$58,MATCH(G85,$Y$38:$Y$58,-1)))),CHOOSE($N85,$I$68,$D$68)/G85)))</f>
        <v>204777.84782487329</v>
      </c>
      <c r="J85" s="23">
        <f t="shared" ref="J85:J116" si="20">IF($B85="","",IFERROR(1/(1/H85+1/I85-1/(CHOOSE($N85,1,0.75)*$C$62)),0))</f>
        <v>25350.001299343239</v>
      </c>
      <c r="K85" s="13">
        <f t="shared" ref="K85:K116" si="21">IF($B85="","",D85/MAX(CHOOSE($N85,$H$68,$C$68),0.001)+E85/MAX(CHOOSE($N85,$I$68,$D$68),0.001))</f>
        <v>1.3529182041535619</v>
      </c>
      <c r="L85" s="13">
        <f t="shared" ref="L85:L116" si="22">IF($B85="","",IF(C85&gt;=0.1*0.75*fc_*Agth*1000,C85/MAX(J85,0.001),K85))</f>
        <v>0.92557699183224518</v>
      </c>
      <c r="M85" s="19" t="str">
        <f t="shared" ref="M85:M116" si="23">IF($B85="","",IF(L85&lt;=1,"ĐẠT","KHÔNG ĐẠT"))</f>
        <v>ĐẠT</v>
      </c>
      <c r="N85">
        <f t="shared" ref="N85:N116" si="24">IF($B85="","",IF(OR(LEFT(TRIM($B85),2)="SD",LEFT(TRIM($B85),2)="ĐB",LEFT(TRIM($B85),2)="DB"),1,2))</f>
        <v>1</v>
      </c>
    </row>
    <row r="86" spans="2:14" x14ac:dyDescent="0.3">
      <c r="B86" s="19" t="str">
        <f>IF('TO HOP'!B132="","",'TO HOP'!B132)</f>
        <v>SD I - 2 nhịp lệch tâm 2 làn</v>
      </c>
      <c r="C86" s="23">
        <f>IF($B86="","",'TO HOP'!E132)</f>
        <v>24228.800441589625</v>
      </c>
      <c r="D86" s="23">
        <f>IF($B86="","",$C$32*ABS(IFERROR('TO HOP'!G132,0)))</f>
        <v>50230.664800582534</v>
      </c>
      <c r="E86" s="23">
        <f>IF($B86="","",$D$32*ABS(IFERROR('TO HOP'!F132,0)))</f>
        <v>18008.752283649999</v>
      </c>
      <c r="F86" s="16">
        <f t="shared" si="16"/>
        <v>2.0731800124268536</v>
      </c>
      <c r="G86" s="16">
        <f t="shared" si="17"/>
        <v>0.74327874081365231</v>
      </c>
      <c r="H86" s="23">
        <f t="shared" si="18"/>
        <v>27697.11488119376</v>
      </c>
      <c r="I86" s="23">
        <f t="shared" si="19"/>
        <v>188294.21219006399</v>
      </c>
      <c r="J86" s="23">
        <f t="shared" si="20"/>
        <v>26569.976714242806</v>
      </c>
      <c r="K86" s="13">
        <f t="shared" si="21"/>
        <v>1.3899347290796893</v>
      </c>
      <c r="L86" s="13">
        <f t="shared" si="22"/>
        <v>0.91188640103706986</v>
      </c>
      <c r="M86" s="19" t="str">
        <f t="shared" si="23"/>
        <v>ĐẠT</v>
      </c>
      <c r="N86">
        <f t="shared" si="24"/>
        <v>1</v>
      </c>
    </row>
    <row r="87" spans="2:14" x14ac:dyDescent="0.3">
      <c r="B87" s="19" t="str">
        <f>IF('TO HOP'!B133="","",'TO HOP'!B133)</f>
        <v>SD I - 2 nhịp lệch tâm 3 làn</v>
      </c>
      <c r="C87" s="23">
        <f>IF($B87="","",'TO HOP'!E133)</f>
        <v>24755.028407589623</v>
      </c>
      <c r="D87" s="23">
        <f>IF($B87="","",$C$32*ABS(IFERROR('TO HOP'!G133,0)))</f>
        <v>50230.664800582534</v>
      </c>
      <c r="E87" s="23">
        <f>IF($B87="","",$D$32*ABS(IFERROR('TO HOP'!F133,0)))</f>
        <v>18756.235189899999</v>
      </c>
      <c r="F87" s="16">
        <f t="shared" si="16"/>
        <v>2.0291095600270999</v>
      </c>
      <c r="G87" s="16">
        <f t="shared" si="17"/>
        <v>0.75767374939265031</v>
      </c>
      <c r="H87" s="23">
        <f t="shared" si="18"/>
        <v>28750.893204009873</v>
      </c>
      <c r="I87" s="23">
        <f t="shared" si="19"/>
        <v>186947.72353024298</v>
      </c>
      <c r="J87" s="23">
        <f t="shared" si="20"/>
        <v>27509.256235255703</v>
      </c>
      <c r="K87" s="13">
        <f t="shared" si="21"/>
        <v>1.3958365984875538</v>
      </c>
      <c r="L87" s="13">
        <f t="shared" si="22"/>
        <v>0.89987996025365902</v>
      </c>
      <c r="M87" s="19" t="str">
        <f t="shared" si="23"/>
        <v>ĐẠT</v>
      </c>
      <c r="N87">
        <f t="shared" si="24"/>
        <v>1</v>
      </c>
    </row>
    <row r="88" spans="2:14" x14ac:dyDescent="0.3">
      <c r="B88" s="19" t="str">
        <f>IF('TO HOP'!B134="","",'TO HOP'!B134)</f>
        <v>SD I - 2 nhịp lệch tâm 4 làn</v>
      </c>
      <c r="C88" s="23">
        <f>IF($B88="","",'TO HOP'!E134)</f>
        <v>24802.867313589624</v>
      </c>
      <c r="D88" s="23">
        <f>IF($B88="","",$C$32*ABS(IFERROR('TO HOP'!G134,0)))</f>
        <v>50230.664800582534</v>
      </c>
      <c r="E88" s="23">
        <f>IF($B88="","",$D$32*ABS(IFERROR('TO HOP'!F134,0)))</f>
        <v>15353.693000650001</v>
      </c>
      <c r="F88" s="16">
        <f t="shared" si="16"/>
        <v>2.0251958842299205</v>
      </c>
      <c r="G88" s="16">
        <f t="shared" si="17"/>
        <v>0.61902895364995281</v>
      </c>
      <c r="H88" s="23">
        <f t="shared" si="18"/>
        <v>28844.473970555871</v>
      </c>
      <c r="I88" s="23">
        <f t="shared" si="19"/>
        <v>199916.36083158577</v>
      </c>
      <c r="J88" s="23">
        <f t="shared" si="20"/>
        <v>27861.702438190539</v>
      </c>
      <c r="K88" s="13">
        <f t="shared" si="21"/>
        <v>1.3689712889429537</v>
      </c>
      <c r="L88" s="13">
        <f t="shared" si="22"/>
        <v>0.89021363172667745</v>
      </c>
      <c r="M88" s="19" t="str">
        <f t="shared" si="23"/>
        <v>ĐẠT</v>
      </c>
      <c r="N88">
        <f t="shared" si="24"/>
        <v>1</v>
      </c>
    </row>
    <row r="89" spans="2:14" x14ac:dyDescent="0.3">
      <c r="B89" s="19" t="str">
        <f>IF('TO HOP'!B135="","",'TO HOP'!B135)</f>
        <v>SD I - 2 nhịp lệch tâm 5 làn</v>
      </c>
      <c r="C89" s="23">
        <f>IF($B89="","",'TO HOP'!E135)</f>
        <v>25424.773091589625</v>
      </c>
      <c r="D89" s="23">
        <f>IF($B89="","",$C$32*ABS(IFERROR('TO HOP'!G135,0)))</f>
        <v>50230.664800582534</v>
      </c>
      <c r="E89" s="23">
        <f>IF($B89="","",$D$32*ABS(IFERROR('TO HOP'!F135,0)))</f>
        <v>14032.143222400002</v>
      </c>
      <c r="F89" s="16">
        <f t="shared" si="16"/>
        <v>1.9756583321169763</v>
      </c>
      <c r="G89" s="16">
        <f t="shared" si="17"/>
        <v>0.55190829714982814</v>
      </c>
      <c r="H89" s="23">
        <f t="shared" si="18"/>
        <v>30028.977322336439</v>
      </c>
      <c r="I89" s="23">
        <f t="shared" si="19"/>
        <v>206302.662812622</v>
      </c>
      <c r="J89" s="23">
        <f t="shared" si="20"/>
        <v>29095.819750371666</v>
      </c>
      <c r="K89" s="13">
        <f t="shared" si="21"/>
        <v>1.358536783829849</v>
      </c>
      <c r="L89" s="13">
        <f t="shared" si="22"/>
        <v>0.87382906925194481</v>
      </c>
      <c r="M89" s="19" t="str">
        <f t="shared" si="23"/>
        <v>ĐẠT</v>
      </c>
      <c r="N89">
        <f t="shared" si="24"/>
        <v>1</v>
      </c>
    </row>
    <row r="90" spans="2:14" x14ac:dyDescent="0.3">
      <c r="B90" s="19" t="str">
        <f>IF('TO HOP'!B136="","",'TO HOP'!B136)</f>
        <v>SD I - 2 nhịp lệch tâm 6 làn</v>
      </c>
      <c r="C90" s="23">
        <f>IF($B90="","",'TO HOP'!E136)</f>
        <v>26046.678869589625</v>
      </c>
      <c r="D90" s="23">
        <f>IF($B90="","",$C$32*ABS(IFERROR('TO HOP'!G136,0)))</f>
        <v>50230.664800582534</v>
      </c>
      <c r="E90" s="23">
        <f>IF($B90="","",$D$32*ABS(IFERROR('TO HOP'!F136,0)))</f>
        <v>10844.876110150002</v>
      </c>
      <c r="F90" s="16">
        <f t="shared" si="16"/>
        <v>1.9284863552884097</v>
      </c>
      <c r="G90" s="16">
        <f t="shared" si="17"/>
        <v>0.41636310580892372</v>
      </c>
      <c r="H90" s="23">
        <f t="shared" si="18"/>
        <v>31156.916880919351</v>
      </c>
      <c r="I90" s="23">
        <f t="shared" si="19"/>
        <v>211684.10469270271</v>
      </c>
      <c r="J90" s="23">
        <f t="shared" si="20"/>
        <v>30265.971975509376</v>
      </c>
      <c r="K90" s="13">
        <f t="shared" si="21"/>
        <v>1.3333712126747139</v>
      </c>
      <c r="L90" s="13">
        <f t="shared" si="22"/>
        <v>0.86059284303395511</v>
      </c>
      <c r="M90" s="19" t="str">
        <f t="shared" si="23"/>
        <v>ĐẠT</v>
      </c>
      <c r="N90">
        <f t="shared" si="24"/>
        <v>1</v>
      </c>
    </row>
    <row r="91" spans="2:14" x14ac:dyDescent="0.3">
      <c r="B91" s="19" t="str">
        <f>IF('TO HOP'!B137="","",'TO HOP'!B137)</f>
        <v>SD I - 2 nhịp đúng tâm 1 làn</v>
      </c>
      <c r="C91" s="23">
        <f>IF($B91="","",'TO HOP'!E137)</f>
        <v>23463.377945589622</v>
      </c>
      <c r="D91" s="23">
        <f>IF($B91="","",$C$32*ABS(IFERROR('TO HOP'!G137,0)))</f>
        <v>50230.664800582534</v>
      </c>
      <c r="E91" s="23">
        <f>IF($B91="","",$D$32*ABS(IFERROR('TO HOP'!F137,0)))</f>
        <v>1982.7187736500002</v>
      </c>
      <c r="F91" s="16">
        <f t="shared" si="16"/>
        <v>2.1408113067549306</v>
      </c>
      <c r="G91" s="16">
        <f t="shared" si="17"/>
        <v>8.4502699408747717E-2</v>
      </c>
      <c r="H91" s="23">
        <f t="shared" si="18"/>
        <v>26079.968062267017</v>
      </c>
      <c r="I91" s="23">
        <f t="shared" si="19"/>
        <v>211684.10469270271</v>
      </c>
      <c r="J91" s="23">
        <f t="shared" si="20"/>
        <v>25452.799389275504</v>
      </c>
      <c r="K91" s="13">
        <f t="shared" si="21"/>
        <v>1.2633986489750701</v>
      </c>
      <c r="L91" s="13">
        <f t="shared" si="22"/>
        <v>0.92183879606876873</v>
      </c>
      <c r="M91" s="19" t="str">
        <f t="shared" si="23"/>
        <v>ĐẠT</v>
      </c>
      <c r="N91">
        <f t="shared" si="24"/>
        <v>1</v>
      </c>
    </row>
    <row r="92" spans="2:14" x14ac:dyDescent="0.3">
      <c r="B92" s="19" t="str">
        <f>IF('TO HOP'!B138="","",'TO HOP'!B138)</f>
        <v>SD I - 2 nhịp đúng tâm 2 làn</v>
      </c>
      <c r="C92" s="23">
        <f>IF($B92="","",'TO HOP'!E138)</f>
        <v>24228.800441589625</v>
      </c>
      <c r="D92" s="23">
        <f>IF($B92="","",$C$32*ABS(IFERROR('TO HOP'!G138,0)))</f>
        <v>50230.664800582534</v>
      </c>
      <c r="E92" s="23">
        <f>IF($B92="","",$D$32*ABS(IFERROR('TO HOP'!F138,0)))</f>
        <v>1982.7187736500002</v>
      </c>
      <c r="F92" s="16">
        <f t="shared" si="16"/>
        <v>2.0731800124268536</v>
      </c>
      <c r="G92" s="16">
        <f t="shared" si="17"/>
        <v>8.1833138146063175E-2</v>
      </c>
      <c r="H92" s="23">
        <f t="shared" si="18"/>
        <v>27697.11488119376</v>
      </c>
      <c r="I92" s="23">
        <f t="shared" si="19"/>
        <v>211684.10469270271</v>
      </c>
      <c r="J92" s="23">
        <f t="shared" si="20"/>
        <v>26990.810015441664</v>
      </c>
      <c r="K92" s="13">
        <f t="shared" si="21"/>
        <v>1.2633986489750701</v>
      </c>
      <c r="L92" s="13">
        <f t="shared" si="22"/>
        <v>0.89766851857088126</v>
      </c>
      <c r="M92" s="19" t="str">
        <f t="shared" si="23"/>
        <v>ĐẠT</v>
      </c>
      <c r="N92">
        <f t="shared" si="24"/>
        <v>1</v>
      </c>
    </row>
    <row r="93" spans="2:14" x14ac:dyDescent="0.3">
      <c r="B93" s="19" t="str">
        <f>IF('TO HOP'!B139="","",'TO HOP'!B139)</f>
        <v>SD I - 2 nhịp đúng tâm 3 làn</v>
      </c>
      <c r="C93" s="23">
        <f>IF($B93="","",'TO HOP'!E139)</f>
        <v>24755.028407589623</v>
      </c>
      <c r="D93" s="23">
        <f>IF($B93="","",$C$32*ABS(IFERROR('TO HOP'!G139,0)))</f>
        <v>50230.664800582534</v>
      </c>
      <c r="E93" s="23">
        <f>IF($B93="","",$D$32*ABS(IFERROR('TO HOP'!F139,0)))</f>
        <v>1982.7187736500002</v>
      </c>
      <c r="F93" s="16">
        <f t="shared" si="16"/>
        <v>2.0291095600270999</v>
      </c>
      <c r="G93" s="16">
        <f t="shared" si="17"/>
        <v>8.009357698988219E-2</v>
      </c>
      <c r="H93" s="23">
        <f t="shared" si="18"/>
        <v>28750.893204009873</v>
      </c>
      <c r="I93" s="23">
        <f t="shared" si="19"/>
        <v>211684.10469270271</v>
      </c>
      <c r="J93" s="23">
        <f t="shared" si="20"/>
        <v>27990.558773435732</v>
      </c>
      <c r="K93" s="13">
        <f t="shared" si="21"/>
        <v>1.2633986489750701</v>
      </c>
      <c r="L93" s="13">
        <f t="shared" si="22"/>
        <v>0.88440636744569856</v>
      </c>
      <c r="M93" s="19" t="str">
        <f t="shared" si="23"/>
        <v>ĐẠT</v>
      </c>
      <c r="N93">
        <f t="shared" si="24"/>
        <v>1</v>
      </c>
    </row>
    <row r="94" spans="2:14" x14ac:dyDescent="0.3">
      <c r="B94" s="19" t="str">
        <f>IF('TO HOP'!B140="","",'TO HOP'!B140)</f>
        <v>SD I - 2 nhịp đúng tâm 4 làn</v>
      </c>
      <c r="C94" s="23">
        <f>IF($B94="","",'TO HOP'!E140)</f>
        <v>24802.867313589624</v>
      </c>
      <c r="D94" s="23">
        <f>IF($B94="","",$C$32*ABS(IFERROR('TO HOP'!G140,0)))</f>
        <v>50230.664800582534</v>
      </c>
      <c r="E94" s="23">
        <f>IF($B94="","",$D$32*ABS(IFERROR('TO HOP'!F140,0)))</f>
        <v>1982.7187736500002</v>
      </c>
      <c r="F94" s="16">
        <f t="shared" si="16"/>
        <v>2.0251958842299205</v>
      </c>
      <c r="G94" s="16">
        <f t="shared" si="17"/>
        <v>7.9939095290150503E-2</v>
      </c>
      <c r="H94" s="23">
        <f t="shared" si="18"/>
        <v>28844.473970555871</v>
      </c>
      <c r="I94" s="23">
        <f t="shared" si="19"/>
        <v>211684.10469270271</v>
      </c>
      <c r="J94" s="23">
        <f t="shared" si="20"/>
        <v>28079.24775560221</v>
      </c>
      <c r="K94" s="13">
        <f t="shared" si="21"/>
        <v>1.2633986489750701</v>
      </c>
      <c r="L94" s="13">
        <f t="shared" si="22"/>
        <v>0.88331665896003564</v>
      </c>
      <c r="M94" s="19" t="str">
        <f t="shared" si="23"/>
        <v>ĐẠT</v>
      </c>
      <c r="N94">
        <f t="shared" si="24"/>
        <v>1</v>
      </c>
    </row>
    <row r="95" spans="2:14" x14ac:dyDescent="0.3">
      <c r="B95" s="19" t="str">
        <f>IF('TO HOP'!B141="","",'TO HOP'!B141)</f>
        <v>SD I - 2 nhịp đúng tâm 5 làn</v>
      </c>
      <c r="C95" s="23">
        <f>IF($B95="","",'TO HOP'!E141)</f>
        <v>25424.773091589625</v>
      </c>
      <c r="D95" s="23">
        <f>IF($B95="","",$C$32*ABS(IFERROR('TO HOP'!G141,0)))</f>
        <v>50230.664800582534</v>
      </c>
      <c r="E95" s="23">
        <f>IF($B95="","",$D$32*ABS(IFERROR('TO HOP'!F141,0)))</f>
        <v>1982.7187736500002</v>
      </c>
      <c r="F95" s="16">
        <f t="shared" si="16"/>
        <v>1.9756583321169763</v>
      </c>
      <c r="G95" s="16">
        <f t="shared" si="17"/>
        <v>7.7983735253309802E-2</v>
      </c>
      <c r="H95" s="23">
        <f t="shared" si="18"/>
        <v>30028.977322336439</v>
      </c>
      <c r="I95" s="23">
        <f t="shared" si="19"/>
        <v>211684.10469270271</v>
      </c>
      <c r="J95" s="23">
        <f t="shared" si="20"/>
        <v>29200.514928468514</v>
      </c>
      <c r="K95" s="13">
        <f t="shared" si="21"/>
        <v>1.2633986489750701</v>
      </c>
      <c r="L95" s="13">
        <f t="shared" si="22"/>
        <v>0.87069605292481334</v>
      </c>
      <c r="M95" s="19" t="str">
        <f t="shared" si="23"/>
        <v>ĐẠT</v>
      </c>
      <c r="N95">
        <f t="shared" si="24"/>
        <v>1</v>
      </c>
    </row>
    <row r="96" spans="2:14" x14ac:dyDescent="0.3">
      <c r="B96" s="19" t="str">
        <f>IF('TO HOP'!B142="","",'TO HOP'!B142)</f>
        <v>SD I - 2 nhịp đúng tâm 6 làn</v>
      </c>
      <c r="C96" s="23">
        <f>IF($B96="","",'TO HOP'!E142)</f>
        <v>26046.678869589625</v>
      </c>
      <c r="D96" s="23">
        <f>IF($B96="","",$C$32*ABS(IFERROR('TO HOP'!G142,0)))</f>
        <v>50230.664800582534</v>
      </c>
      <c r="E96" s="23">
        <f>IF($B96="","",$D$32*ABS(IFERROR('TO HOP'!F142,0)))</f>
        <v>1982.7187736500002</v>
      </c>
      <c r="F96" s="16">
        <f t="shared" si="16"/>
        <v>1.9284863552884097</v>
      </c>
      <c r="G96" s="16">
        <f t="shared" si="17"/>
        <v>7.6121749862125082E-2</v>
      </c>
      <c r="H96" s="23">
        <f t="shared" si="18"/>
        <v>31156.916880919351</v>
      </c>
      <c r="I96" s="23">
        <f t="shared" si="19"/>
        <v>211684.10469270271</v>
      </c>
      <c r="J96" s="23">
        <f t="shared" si="20"/>
        <v>30265.971975509376</v>
      </c>
      <c r="K96" s="13">
        <f t="shared" si="21"/>
        <v>1.2633986489750701</v>
      </c>
      <c r="L96" s="13">
        <f t="shared" si="22"/>
        <v>0.86059284303395511</v>
      </c>
      <c r="M96" s="19" t="str">
        <f t="shared" si="23"/>
        <v>ĐẠT</v>
      </c>
      <c r="N96">
        <f t="shared" si="24"/>
        <v>1</v>
      </c>
    </row>
    <row r="97" spans="2:14" x14ac:dyDescent="0.3">
      <c r="B97" s="19" t="str">
        <f>IF('TO HOP'!B143="","",'TO HOP'!B143)</f>
        <v>SD I - 1 nhịp 1 làn</v>
      </c>
      <c r="C97" s="23">
        <f>IF($B97="","",'TO HOP'!E143)</f>
        <v>23003.847481589622</v>
      </c>
      <c r="D97" s="23">
        <f>IF($B97="","",$C$32*ABS(IFERROR('TO HOP'!G143,0)))</f>
        <v>50923.684740761521</v>
      </c>
      <c r="E97" s="23">
        <f>IF($B97="","",$D$32*ABS(IFERROR('TO HOP'!F143,0)))</f>
        <v>8782.6761636500014</v>
      </c>
      <c r="F97" s="16">
        <f t="shared" si="16"/>
        <v>2.2137029373680481</v>
      </c>
      <c r="G97" s="16">
        <f t="shared" si="17"/>
        <v>0.38179161858375776</v>
      </c>
      <c r="H97" s="23">
        <f t="shared" si="18"/>
        <v>25269.919839888396</v>
      </c>
      <c r="I97" s="23">
        <f t="shared" si="19"/>
        <v>211684.10469270271</v>
      </c>
      <c r="J97" s="23">
        <f t="shared" si="20"/>
        <v>24680.665913492368</v>
      </c>
      <c r="K97" s="13">
        <f t="shared" si="21"/>
        <v>1.3343035964945502</v>
      </c>
      <c r="L97" s="13">
        <f t="shared" si="22"/>
        <v>0.93205943317007234</v>
      </c>
      <c r="M97" s="19" t="str">
        <f t="shared" si="23"/>
        <v>ĐẠT</v>
      </c>
      <c r="N97">
        <f t="shared" si="24"/>
        <v>1</v>
      </c>
    </row>
    <row r="98" spans="2:14" x14ac:dyDescent="0.3">
      <c r="B98" s="19" t="str">
        <f>IF('TO HOP'!B144="","",'TO HOP'!B144)</f>
        <v>SD I - 1 nhịp 2 làn</v>
      </c>
      <c r="C98" s="23">
        <f>IF($B98="","",'TO HOP'!E144)</f>
        <v>23462.916334922957</v>
      </c>
      <c r="D98" s="23">
        <f>IF($B98="","",$C$32*ABS(IFERROR('TO HOP'!G144,0)))</f>
        <v>51385.698034214183</v>
      </c>
      <c r="E98" s="23">
        <f>IF($B98="","",$D$32*ABS(IFERROR('TO HOP'!F144,0)))</f>
        <v>11594.472890316669</v>
      </c>
      <c r="F98" s="16">
        <f t="shared" si="16"/>
        <v>2.1900814587882267</v>
      </c>
      <c r="G98" s="16">
        <f t="shared" si="17"/>
        <v>0.49416162615126763</v>
      </c>
      <c r="H98" s="23">
        <f t="shared" si="18"/>
        <v>25375.03669679306</v>
      </c>
      <c r="I98" s="23">
        <f t="shared" si="19"/>
        <v>211684.10469270271</v>
      </c>
      <c r="J98" s="23">
        <f t="shared" si="20"/>
        <v>24780.927889714763</v>
      </c>
      <c r="K98" s="13">
        <f t="shared" si="21"/>
        <v>1.3679811214717645</v>
      </c>
      <c r="L98" s="13">
        <f t="shared" si="22"/>
        <v>0.94681347039717412</v>
      </c>
      <c r="M98" s="19" t="str">
        <f t="shared" si="23"/>
        <v>ĐẠT</v>
      </c>
      <c r="N98">
        <f t="shared" si="24"/>
        <v>1</v>
      </c>
    </row>
    <row r="99" spans="2:14" x14ac:dyDescent="0.3">
      <c r="B99" s="19" t="str">
        <f>IF('TO HOP'!B145="","",'TO HOP'!B145)</f>
        <v>SD I - 1 nhịp 3 làn</v>
      </c>
      <c r="C99" s="23">
        <f>IF($B99="","",'TO HOP'!E145)</f>
        <v>23778.526171589623</v>
      </c>
      <c r="D99" s="23">
        <f>IF($B99="","",$C$32*ABS(IFERROR('TO HOP'!G145,0)))</f>
        <v>51703.332173462884</v>
      </c>
      <c r="E99" s="23">
        <f>IF($B99="","",$D$32*ABS(IFERROR('TO HOP'!F145,0)))</f>
        <v>12042.782317400004</v>
      </c>
      <c r="F99" s="16">
        <f t="shared" si="16"/>
        <v>2.17437076631089</v>
      </c>
      <c r="G99" s="16">
        <f t="shared" si="17"/>
        <v>0.50645621307634348</v>
      </c>
      <c r="H99" s="23">
        <f t="shared" si="18"/>
        <v>25444.950127801738</v>
      </c>
      <c r="I99" s="23">
        <f t="shared" si="19"/>
        <v>210686.92999050688</v>
      </c>
      <c r="J99" s="23">
        <f t="shared" si="20"/>
        <v>24833.804927057292</v>
      </c>
      <c r="K99" s="13">
        <f t="shared" si="21"/>
        <v>1.3794109403627453</v>
      </c>
      <c r="L99" s="13">
        <f t="shared" si="22"/>
        <v>0.95750636044024384</v>
      </c>
      <c r="M99" s="19" t="str">
        <f t="shared" si="23"/>
        <v>ĐẠT</v>
      </c>
      <c r="N99">
        <f t="shared" si="24"/>
        <v>1</v>
      </c>
    </row>
    <row r="100" spans="2:14" x14ac:dyDescent="0.3">
      <c r="B100" s="19" t="str">
        <f>IF('TO HOP'!B146="","",'TO HOP'!B146)</f>
        <v>SD I - 1 nhịp 4 làn</v>
      </c>
      <c r="C100" s="23">
        <f>IF($B100="","",'TO HOP'!E146)</f>
        <v>23807.217974922958</v>
      </c>
      <c r="D100" s="23">
        <f>IF($B100="","",$C$32*ABS(IFERROR('TO HOP'!G146,0)))</f>
        <v>51732.208004303677</v>
      </c>
      <c r="E100" s="23">
        <f>IF($B100="","",$D$32*ABS(IFERROR('TO HOP'!F146,0)))</f>
        <v>10002.077805316669</v>
      </c>
      <c r="F100" s="16">
        <f t="shared" si="16"/>
        <v>2.1729631769153022</v>
      </c>
      <c r="G100" s="16">
        <f t="shared" si="17"/>
        <v>0.42012795513748119</v>
      </c>
      <c r="H100" s="23">
        <f t="shared" si="18"/>
        <v>25451.213976721123</v>
      </c>
      <c r="I100" s="23">
        <f t="shared" si="19"/>
        <v>211684.10469270271</v>
      </c>
      <c r="J100" s="23">
        <f t="shared" si="20"/>
        <v>24853.57472614092</v>
      </c>
      <c r="K100" s="13">
        <f t="shared" si="21"/>
        <v>1.3640155191277636</v>
      </c>
      <c r="L100" s="13">
        <f t="shared" si="22"/>
        <v>0.95789914478107629</v>
      </c>
      <c r="M100" s="19" t="str">
        <f t="shared" si="23"/>
        <v>ĐẠT</v>
      </c>
      <c r="N100">
        <f t="shared" si="24"/>
        <v>1</v>
      </c>
    </row>
    <row r="101" spans="2:14" x14ac:dyDescent="0.3">
      <c r="B101" s="19" t="str">
        <f>IF('TO HOP'!B147="","",'TO HOP'!B147)</f>
        <v>SD I - 1 nhịp 5 làn</v>
      </c>
      <c r="C101" s="23">
        <f>IF($B101="","",'TO HOP'!E147)</f>
        <v>24180.211418256291</v>
      </c>
      <c r="D101" s="23">
        <f>IF($B101="","",$C$32*ABS(IFERROR('TO HOP'!G147,0)))</f>
        <v>52107.593805233955</v>
      </c>
      <c r="E101" s="23">
        <f>IF($B101="","",$D$32*ABS(IFERROR('TO HOP'!F147,0)))</f>
        <v>9209.4667382333355</v>
      </c>
      <c r="F101" s="16">
        <f t="shared" si="16"/>
        <v>2.1549684948532843</v>
      </c>
      <c r="G101" s="16">
        <f t="shared" si="17"/>
        <v>0.38086791628629435</v>
      </c>
      <c r="H101" s="23">
        <f t="shared" si="18"/>
        <v>25741.452410220776</v>
      </c>
      <c r="I101" s="23">
        <f t="shared" si="19"/>
        <v>211684.10469270271</v>
      </c>
      <c r="J101" s="23">
        <f t="shared" si="20"/>
        <v>25130.268484817334</v>
      </c>
      <c r="K101" s="13">
        <f t="shared" si="21"/>
        <v>1.3670820216078063</v>
      </c>
      <c r="L101" s="13">
        <f t="shared" si="22"/>
        <v>0.96219471084700003</v>
      </c>
      <c r="M101" s="19" t="str">
        <f t="shared" si="23"/>
        <v>ĐẠT</v>
      </c>
      <c r="N101">
        <f t="shared" si="24"/>
        <v>1</v>
      </c>
    </row>
    <row r="102" spans="2:14" x14ac:dyDescent="0.3">
      <c r="B102" s="19" t="str">
        <f>IF('TO HOP'!B148="","",'TO HOP'!B148)</f>
        <v>SD I - 1 nhịp 6 làn</v>
      </c>
      <c r="C102" s="23">
        <f>IF($B102="","",'TO HOP'!E148)</f>
        <v>24553.204861589624</v>
      </c>
      <c r="D102" s="23">
        <f>IF($B102="","",$C$32*ABS(IFERROR('TO HOP'!G148,0)))</f>
        <v>52482.979606164241</v>
      </c>
      <c r="E102" s="23">
        <f>IF($B102="","",$D$32*ABS(IFERROR('TO HOP'!F148,0)))</f>
        <v>7297.8753411500002</v>
      </c>
      <c r="F102" s="16">
        <f t="shared" si="16"/>
        <v>2.1375205355887048</v>
      </c>
      <c r="G102" s="16">
        <f t="shared" si="17"/>
        <v>0.29722699673176273</v>
      </c>
      <c r="H102" s="23">
        <f t="shared" si="18"/>
        <v>26158.654418578088</v>
      </c>
      <c r="I102" s="23">
        <f t="shared" si="19"/>
        <v>211684.10469270271</v>
      </c>
      <c r="J102" s="23">
        <f t="shared" si="20"/>
        <v>25527.741328095555</v>
      </c>
      <c r="K102" s="13">
        <f t="shared" si="21"/>
        <v>1.3613134380645968</v>
      </c>
      <c r="L102" s="13">
        <f t="shared" si="22"/>
        <v>0.96182441470317759</v>
      </c>
      <c r="M102" s="19" t="str">
        <f t="shared" si="23"/>
        <v>ĐẠT</v>
      </c>
      <c r="N102">
        <f t="shared" si="24"/>
        <v>1</v>
      </c>
    </row>
    <row r="103" spans="2:14" x14ac:dyDescent="0.3">
      <c r="B103" s="19" t="str">
        <f>IF('TO HOP'!B149="","",'TO HOP'!B149)</f>
        <v>CĐ I(a) max - 2 nhịp lệch tâm 1 làn</v>
      </c>
      <c r="C103" s="23">
        <f>IF($B103="","",'TO HOP'!E149)</f>
        <v>30245.477741487026</v>
      </c>
      <c r="D103" s="23">
        <f>IF($B103="","",$C$32*ABS(IFERROR('TO HOP'!G149,0)))</f>
        <v>38122.138852301767</v>
      </c>
      <c r="E103" s="23">
        <f>IF($B103="","",$D$32*ABS(IFERROR('TO HOP'!F149,0)))</f>
        <v>19841.1862635</v>
      </c>
      <c r="F103" s="16">
        <f t="shared" si="16"/>
        <v>1.2604244237151032</v>
      </c>
      <c r="G103" s="16">
        <f t="shared" si="17"/>
        <v>0.65600505414679899</v>
      </c>
      <c r="H103" s="23">
        <f t="shared" si="18"/>
        <v>46753.802964349838</v>
      </c>
      <c r="I103" s="23">
        <f t="shared" si="19"/>
        <v>147343.25167624434</v>
      </c>
      <c r="J103" s="23">
        <f t="shared" si="20"/>
        <v>43221.650328997326</v>
      </c>
      <c r="K103" s="13">
        <f t="shared" si="21"/>
        <v>1.2262486954141727</v>
      </c>
      <c r="L103" s="13">
        <f t="shared" si="22"/>
        <v>0.69977609626801751</v>
      </c>
      <c r="M103" s="19" t="str">
        <f t="shared" si="23"/>
        <v>ĐẠT</v>
      </c>
      <c r="N103">
        <f t="shared" si="24"/>
        <v>2</v>
      </c>
    </row>
    <row r="104" spans="2:14" x14ac:dyDescent="0.3">
      <c r="B104" s="19" t="str">
        <f>IF('TO HOP'!B150="","",'TO HOP'!B150)</f>
        <v>CĐ I(a) max - 2 nhịp lệch tâm 2 làn</v>
      </c>
      <c r="C104" s="23">
        <f>IF($B104="","",'TO HOP'!E150)</f>
        <v>31584.967109487028</v>
      </c>
      <c r="D104" s="23">
        <f>IF($B104="","",$C$32*ABS(IFERROR('TO HOP'!G150,0)))</f>
        <v>38122.138852301767</v>
      </c>
      <c r="E104" s="23">
        <f>IF($B104="","",$D$32*ABS(IFERROR('TO HOP'!F150,0)))</f>
        <v>28045.5586425</v>
      </c>
      <c r="F104" s="16">
        <f t="shared" si="16"/>
        <v>1.2069709846508341</v>
      </c>
      <c r="G104" s="16">
        <f t="shared" si="17"/>
        <v>0.88794009331344492</v>
      </c>
      <c r="H104" s="23">
        <f t="shared" si="18"/>
        <v>48873.085975324699</v>
      </c>
      <c r="I104" s="23">
        <f t="shared" si="19"/>
        <v>131530.41094798286</v>
      </c>
      <c r="J104" s="23">
        <f t="shared" si="20"/>
        <v>43431.036416885036</v>
      </c>
      <c r="K104" s="13">
        <f t="shared" si="21"/>
        <v>1.2982252716594205</v>
      </c>
      <c r="L104" s="13">
        <f t="shared" si="22"/>
        <v>0.72724414877669108</v>
      </c>
      <c r="M104" s="19" t="str">
        <f t="shared" si="23"/>
        <v>ĐẠT</v>
      </c>
      <c r="N104">
        <f t="shared" si="24"/>
        <v>2</v>
      </c>
    </row>
    <row r="105" spans="2:14" x14ac:dyDescent="0.3">
      <c r="B105" s="19" t="str">
        <f>IF('TO HOP'!B151="","",'TO HOP'!B151)</f>
        <v>CĐ I(a) max - 2 nhịp lệch tâm 3 làn</v>
      </c>
      <c r="C105" s="23">
        <f>IF($B105="","",'TO HOP'!E151)</f>
        <v>32505.866049987028</v>
      </c>
      <c r="D105" s="23">
        <f>IF($B105="","",$C$32*ABS(IFERROR('TO HOP'!G151,0)))</f>
        <v>38122.138852301767</v>
      </c>
      <c r="E105" s="23">
        <f>IF($B105="","",$D$32*ABS(IFERROR('TO HOP'!F151,0)))</f>
        <v>29353.653728437501</v>
      </c>
      <c r="F105" s="16">
        <f t="shared" si="16"/>
        <v>1.1727772086945205</v>
      </c>
      <c r="G105" s="16">
        <f t="shared" si="17"/>
        <v>0.90302635479079063</v>
      </c>
      <c r="H105" s="23">
        <f t="shared" si="18"/>
        <v>50371.15906522228</v>
      </c>
      <c r="I105" s="23">
        <f t="shared" si="19"/>
        <v>130528.735191838</v>
      </c>
      <c r="J105" s="23">
        <f t="shared" si="20"/>
        <v>44494.23112468305</v>
      </c>
      <c r="K105" s="13">
        <f t="shared" si="21"/>
        <v>1.3097011288413796</v>
      </c>
      <c r="L105" s="13">
        <f t="shared" si="22"/>
        <v>0.73056360854732216</v>
      </c>
      <c r="M105" s="19" t="str">
        <f t="shared" si="23"/>
        <v>ĐẠT</v>
      </c>
      <c r="N105">
        <f t="shared" si="24"/>
        <v>2</v>
      </c>
    </row>
    <row r="106" spans="2:14" x14ac:dyDescent="0.3">
      <c r="B106" s="19" t="str">
        <f>IF('TO HOP'!B152="","",'TO HOP'!B152)</f>
        <v>CĐ I(a) max - 2 nhịp lệch tâm 4 làn</v>
      </c>
      <c r="C106" s="23">
        <f>IF($B106="","",'TO HOP'!E152)</f>
        <v>32589.584135487028</v>
      </c>
      <c r="D106" s="23">
        <f>IF($B106="","",$C$32*ABS(IFERROR('TO HOP'!G152,0)))</f>
        <v>38122.138852301767</v>
      </c>
      <c r="E106" s="23">
        <f>IF($B106="","",$D$32*ABS(IFERROR('TO HOP'!F152,0)))</f>
        <v>23399.204897250002</v>
      </c>
      <c r="F106" s="16">
        <f t="shared" si="16"/>
        <v>1.1697645080039638</v>
      </c>
      <c r="G106" s="16">
        <f t="shared" si="17"/>
        <v>0.71799642486908699</v>
      </c>
      <c r="H106" s="23">
        <f t="shared" si="18"/>
        <v>50506.329223255299</v>
      </c>
      <c r="I106" s="23">
        <f t="shared" si="19"/>
        <v>142994.31308967221</v>
      </c>
      <c r="J106" s="23">
        <f t="shared" si="20"/>
        <v>45968.919141342485</v>
      </c>
      <c r="K106" s="13">
        <f t="shared" si="21"/>
        <v>1.2574630269491016</v>
      </c>
      <c r="L106" s="13">
        <f t="shared" si="22"/>
        <v>0.70894823598707035</v>
      </c>
      <c r="M106" s="19" t="str">
        <f t="shared" si="23"/>
        <v>ĐẠT</v>
      </c>
      <c r="N106">
        <f t="shared" si="24"/>
        <v>2</v>
      </c>
    </row>
    <row r="107" spans="2:14" x14ac:dyDescent="0.3">
      <c r="B107" s="19" t="str">
        <f>IF('TO HOP'!B153="","",'TO HOP'!B153)</f>
        <v>CĐ I(a) max - 2 nhịp lệch tâm 5 làn</v>
      </c>
      <c r="C107" s="23">
        <f>IF($B107="","",'TO HOP'!E153)</f>
        <v>33677.919246987025</v>
      </c>
      <c r="D107" s="23">
        <f>IF($B107="","",$C$32*ABS(IFERROR('TO HOP'!G153,0)))</f>
        <v>38122.138852301767</v>
      </c>
      <c r="E107" s="23">
        <f>IF($B107="","",$D$32*ABS(IFERROR('TO HOP'!F153,0)))</f>
        <v>21086.492785312505</v>
      </c>
      <c r="F107" s="16">
        <f t="shared" si="16"/>
        <v>1.1319624164640856</v>
      </c>
      <c r="G107" s="16">
        <f t="shared" si="17"/>
        <v>0.62612219688123982</v>
      </c>
      <c r="H107" s="23">
        <f t="shared" si="18"/>
        <v>52202.387083712674</v>
      </c>
      <c r="I107" s="23">
        <f t="shared" si="19"/>
        <v>149439.6516997478</v>
      </c>
      <c r="J107" s="23">
        <f t="shared" si="20"/>
        <v>48056.310643628582</v>
      </c>
      <c r="K107" s="13">
        <f t="shared" si="21"/>
        <v>1.2371737114513979</v>
      </c>
      <c r="L107" s="13">
        <f t="shared" si="22"/>
        <v>0.7008011808632697</v>
      </c>
      <c r="M107" s="19" t="str">
        <f t="shared" si="23"/>
        <v>ĐẠT</v>
      </c>
      <c r="N107">
        <f t="shared" si="24"/>
        <v>2</v>
      </c>
    </row>
    <row r="108" spans="2:14" x14ac:dyDescent="0.3">
      <c r="B108" s="19" t="str">
        <f>IF('TO HOP'!B154="","",'TO HOP'!B154)</f>
        <v>CĐ I(a) max - 2 nhịp lệch tâm 6 làn</v>
      </c>
      <c r="C108" s="23">
        <f>IF($B108="","",'TO HOP'!E154)</f>
        <v>34766.254358487029</v>
      </c>
      <c r="D108" s="23">
        <f>IF($B108="","",$C$32*ABS(IFERROR('TO HOP'!G154,0)))</f>
        <v>38122.138852301767</v>
      </c>
      <c r="E108" s="23">
        <f>IF($B108="","",$D$32*ABS(IFERROR('TO HOP'!F154,0)))</f>
        <v>15508.775338875001</v>
      </c>
      <c r="F108" s="16">
        <f t="shared" si="16"/>
        <v>1.0965270649869565</v>
      </c>
      <c r="G108" s="16">
        <f t="shared" si="17"/>
        <v>0.44608703540388861</v>
      </c>
      <c r="H108" s="23">
        <f t="shared" si="18"/>
        <v>53792.256954998855</v>
      </c>
      <c r="I108" s="23">
        <f t="shared" si="19"/>
        <v>158763.07851952704</v>
      </c>
      <c r="J108" s="23">
        <f t="shared" si="20"/>
        <v>50378.40514533213</v>
      </c>
      <c r="K108" s="13">
        <f t="shared" si="21"/>
        <v>1.1882406564275241</v>
      </c>
      <c r="L108" s="13">
        <f t="shared" si="22"/>
        <v>0.69010232178237851</v>
      </c>
      <c r="M108" s="19" t="str">
        <f t="shared" si="23"/>
        <v>ĐẠT</v>
      </c>
      <c r="N108">
        <f t="shared" si="24"/>
        <v>2</v>
      </c>
    </row>
    <row r="109" spans="2:14" x14ac:dyDescent="0.3">
      <c r="B109" s="19" t="str">
        <f>IF('TO HOP'!B155="","",'TO HOP'!B155)</f>
        <v>CĐ I(a) max - 2 nhịp đúng tâm 1 làn</v>
      </c>
      <c r="C109" s="23">
        <f>IF($B109="","",'TO HOP'!E155)</f>
        <v>30245.477741487026</v>
      </c>
      <c r="D109" s="23">
        <f>IF($B109="","",$C$32*ABS(IFERROR('TO HOP'!G155,0)))</f>
        <v>38122.138852301767</v>
      </c>
      <c r="E109" s="23">
        <f>IF($B109="","",$D$32*ABS(IFERROR('TO HOP'!F155,0)))</f>
        <v>0</v>
      </c>
      <c r="F109" s="16">
        <f t="shared" si="16"/>
        <v>1.2604244237151032</v>
      </c>
      <c r="G109" s="16">
        <f t="shared" si="17"/>
        <v>1E-3</v>
      </c>
      <c r="H109" s="23">
        <f t="shared" si="18"/>
        <v>46753.802964349838</v>
      </c>
      <c r="I109" s="23">
        <f t="shared" si="19"/>
        <v>113986699.65969233</v>
      </c>
      <c r="J109" s="23">
        <f t="shared" si="20"/>
        <v>61130.476962074274</v>
      </c>
      <c r="K109" s="13">
        <f t="shared" si="21"/>
        <v>1.0521828936782165</v>
      </c>
      <c r="L109" s="13">
        <f t="shared" si="22"/>
        <v>0.49476920914998762</v>
      </c>
      <c r="M109" s="19" t="str">
        <f t="shared" si="23"/>
        <v>ĐẠT</v>
      </c>
      <c r="N109">
        <f t="shared" si="24"/>
        <v>2</v>
      </c>
    </row>
    <row r="110" spans="2:14" x14ac:dyDescent="0.3">
      <c r="B110" s="19" t="str">
        <f>IF('TO HOP'!B156="","",'TO HOP'!B156)</f>
        <v>CĐ I(a) max - 2 nhịp đúng tâm 2 làn</v>
      </c>
      <c r="C110" s="23">
        <f>IF($B110="","",'TO HOP'!E156)</f>
        <v>31584.967109487028</v>
      </c>
      <c r="D110" s="23">
        <f>IF($B110="","",$C$32*ABS(IFERROR('TO HOP'!G156,0)))</f>
        <v>38122.138852301767</v>
      </c>
      <c r="E110" s="23">
        <f>IF($B110="","",$D$32*ABS(IFERROR('TO HOP'!F156,0)))</f>
        <v>0</v>
      </c>
      <c r="F110" s="16">
        <f t="shared" si="16"/>
        <v>1.2069709846508341</v>
      </c>
      <c r="G110" s="16">
        <f t="shared" si="17"/>
        <v>1E-3</v>
      </c>
      <c r="H110" s="23">
        <f t="shared" si="18"/>
        <v>48873.085975324699</v>
      </c>
      <c r="I110" s="23">
        <f t="shared" si="19"/>
        <v>113986699.65969233</v>
      </c>
      <c r="J110" s="23">
        <f t="shared" si="20"/>
        <v>64804.709191996677</v>
      </c>
      <c r="K110" s="13">
        <f t="shared" si="21"/>
        <v>1.0521828936782165</v>
      </c>
      <c r="L110" s="13">
        <f t="shared" si="22"/>
        <v>0.48738691220587627</v>
      </c>
      <c r="M110" s="19" t="str">
        <f t="shared" si="23"/>
        <v>ĐẠT</v>
      </c>
      <c r="N110">
        <f t="shared" si="24"/>
        <v>2</v>
      </c>
    </row>
    <row r="111" spans="2:14" x14ac:dyDescent="0.3">
      <c r="B111" s="19" t="str">
        <f>IF('TO HOP'!B157="","",'TO HOP'!B157)</f>
        <v>CĐ I(a) max - 2 nhịp đúng tâm 3 làn</v>
      </c>
      <c r="C111" s="23">
        <f>IF($B111="","",'TO HOP'!E157)</f>
        <v>32505.866049987028</v>
      </c>
      <c r="D111" s="23">
        <f>IF($B111="","",$C$32*ABS(IFERROR('TO HOP'!G157,0)))</f>
        <v>38122.138852301767</v>
      </c>
      <c r="E111" s="23">
        <f>IF($B111="","",$D$32*ABS(IFERROR('TO HOP'!F157,0)))</f>
        <v>0</v>
      </c>
      <c r="F111" s="16">
        <f t="shared" si="16"/>
        <v>1.1727772086945205</v>
      </c>
      <c r="G111" s="16">
        <f t="shared" si="17"/>
        <v>1E-3</v>
      </c>
      <c r="H111" s="23">
        <f t="shared" si="18"/>
        <v>50371.15906522228</v>
      </c>
      <c r="I111" s="23">
        <f t="shared" si="19"/>
        <v>113986699.65969233</v>
      </c>
      <c r="J111" s="23">
        <f t="shared" si="20"/>
        <v>67465.237701318125</v>
      </c>
      <c r="K111" s="13">
        <f t="shared" si="21"/>
        <v>1.0521828936782165</v>
      </c>
      <c r="L111" s="13">
        <f t="shared" si="22"/>
        <v>0.48181651999651864</v>
      </c>
      <c r="M111" s="19" t="str">
        <f t="shared" si="23"/>
        <v>ĐẠT</v>
      </c>
      <c r="N111">
        <f t="shared" si="24"/>
        <v>2</v>
      </c>
    </row>
    <row r="112" spans="2:14" x14ac:dyDescent="0.3">
      <c r="B112" s="19" t="str">
        <f>IF('TO HOP'!B158="","",'TO HOP'!B158)</f>
        <v>CĐ I(a) max - 2 nhịp đúng tâm 4 làn</v>
      </c>
      <c r="C112" s="23">
        <f>IF($B112="","",'TO HOP'!E158)</f>
        <v>32589.584135487028</v>
      </c>
      <c r="D112" s="23">
        <f>IF($B112="","",$C$32*ABS(IFERROR('TO HOP'!G158,0)))</f>
        <v>38122.138852301767</v>
      </c>
      <c r="E112" s="23">
        <f>IF($B112="","",$D$32*ABS(IFERROR('TO HOP'!F158,0)))</f>
        <v>0</v>
      </c>
      <c r="F112" s="16">
        <f t="shared" si="16"/>
        <v>1.1697645080039638</v>
      </c>
      <c r="G112" s="16">
        <f t="shared" si="17"/>
        <v>1E-3</v>
      </c>
      <c r="H112" s="23">
        <f t="shared" si="18"/>
        <v>50506.329223255299</v>
      </c>
      <c r="I112" s="23">
        <f t="shared" si="19"/>
        <v>113986699.65969233</v>
      </c>
      <c r="J112" s="23">
        <f t="shared" si="20"/>
        <v>67707.939348177591</v>
      </c>
      <c r="K112" s="13">
        <f t="shared" si="21"/>
        <v>1.0521828936782165</v>
      </c>
      <c r="L112" s="13">
        <f t="shared" si="22"/>
        <v>0.48132588953712119</v>
      </c>
      <c r="M112" s="19" t="str">
        <f t="shared" si="23"/>
        <v>ĐẠT</v>
      </c>
      <c r="N112">
        <f t="shared" si="24"/>
        <v>2</v>
      </c>
    </row>
    <row r="113" spans="2:14" x14ac:dyDescent="0.3">
      <c r="B113" s="19" t="str">
        <f>IF('TO HOP'!B159="","",'TO HOP'!B159)</f>
        <v>CĐ I(a) max - 2 nhịp đúng tâm 5 làn</v>
      </c>
      <c r="C113" s="23">
        <f>IF($B113="","",'TO HOP'!E159)</f>
        <v>33677.919246987025</v>
      </c>
      <c r="D113" s="23">
        <f>IF($B113="","",$C$32*ABS(IFERROR('TO HOP'!G159,0)))</f>
        <v>38122.138852301767</v>
      </c>
      <c r="E113" s="23">
        <f>IF($B113="","",$D$32*ABS(IFERROR('TO HOP'!F159,0)))</f>
        <v>0</v>
      </c>
      <c r="F113" s="16">
        <f t="shared" si="16"/>
        <v>1.1319624164640856</v>
      </c>
      <c r="G113" s="16">
        <f t="shared" si="17"/>
        <v>1E-3</v>
      </c>
      <c r="H113" s="23">
        <f t="shared" si="18"/>
        <v>52202.387083712674</v>
      </c>
      <c r="I113" s="23">
        <f t="shared" si="19"/>
        <v>113986699.65969233</v>
      </c>
      <c r="J113" s="23">
        <f t="shared" si="20"/>
        <v>70791.297434176115</v>
      </c>
      <c r="K113" s="13">
        <f t="shared" si="21"/>
        <v>1.0521828936782165</v>
      </c>
      <c r="L113" s="13">
        <f t="shared" si="22"/>
        <v>0.47573530176222256</v>
      </c>
      <c r="M113" s="19" t="str">
        <f t="shared" si="23"/>
        <v>ĐẠT</v>
      </c>
      <c r="N113">
        <f t="shared" si="24"/>
        <v>2</v>
      </c>
    </row>
    <row r="114" spans="2:14" x14ac:dyDescent="0.3">
      <c r="B114" s="19" t="str">
        <f>IF('TO HOP'!B160="","",'TO HOP'!B160)</f>
        <v>CĐ I(a) max - 2 nhịp đúng tâm 6 làn</v>
      </c>
      <c r="C114" s="23">
        <f>IF($B114="","",'TO HOP'!E160)</f>
        <v>34766.254358487029</v>
      </c>
      <c r="D114" s="23">
        <f>IF($B114="","",$C$32*ABS(IFERROR('TO HOP'!G160,0)))</f>
        <v>38122.138852301767</v>
      </c>
      <c r="E114" s="23">
        <f>IF($B114="","",$D$32*ABS(IFERROR('TO HOP'!F160,0)))</f>
        <v>0</v>
      </c>
      <c r="F114" s="16">
        <f t="shared" si="16"/>
        <v>1.0965270649869565</v>
      </c>
      <c r="G114" s="16">
        <f t="shared" si="17"/>
        <v>1E-3</v>
      </c>
      <c r="H114" s="23">
        <f t="shared" si="18"/>
        <v>53792.256954998855</v>
      </c>
      <c r="I114" s="23">
        <f t="shared" si="19"/>
        <v>113986699.65969233</v>
      </c>
      <c r="J114" s="23">
        <f t="shared" si="20"/>
        <v>73747.106009308263</v>
      </c>
      <c r="K114" s="13">
        <f t="shared" si="21"/>
        <v>1.0521828936782165</v>
      </c>
      <c r="L114" s="13">
        <f t="shared" si="22"/>
        <v>0.47142533774950951</v>
      </c>
      <c r="M114" s="19" t="str">
        <f t="shared" si="23"/>
        <v>ĐẠT</v>
      </c>
      <c r="N114">
        <f t="shared" si="24"/>
        <v>2</v>
      </c>
    </row>
    <row r="115" spans="2:14" x14ac:dyDescent="0.3">
      <c r="B115" s="19" t="str">
        <f>IF('TO HOP'!B161="","",'TO HOP'!B161)</f>
        <v>CĐ I(a) max - 1 nhịp 1 làn</v>
      </c>
      <c r="C115" s="23">
        <f>IF($B115="","",'TO HOP'!E161)</f>
        <v>29441.299429487026</v>
      </c>
      <c r="D115" s="23">
        <f>IF($B115="","",$C$32*ABS(IFERROR('TO HOP'!G161,0)))</f>
        <v>39334.923747614994</v>
      </c>
      <c r="E115" s="23">
        <f>IF($B115="","",$D$32*ABS(IFERROR('TO HOP'!F161,0)))</f>
        <v>11899.9254325</v>
      </c>
      <c r="F115" s="16">
        <f t="shared" si="16"/>
        <v>1.3360457761663529</v>
      </c>
      <c r="G115" s="16">
        <f t="shared" si="17"/>
        <v>0.40419158335727506</v>
      </c>
      <c r="H115" s="23">
        <f t="shared" si="18"/>
        <v>43755.622672822006</v>
      </c>
      <c r="I115" s="23">
        <f t="shared" si="19"/>
        <v>158763.07851952704</v>
      </c>
      <c r="J115" s="23">
        <f t="shared" si="20"/>
        <v>41469.781256893657</v>
      </c>
      <c r="K115" s="13">
        <f t="shared" si="21"/>
        <v>1.1900536249660945</v>
      </c>
      <c r="L115" s="13">
        <f t="shared" si="22"/>
        <v>0.70994585785505926</v>
      </c>
      <c r="M115" s="19" t="str">
        <f t="shared" si="23"/>
        <v>ĐẠT</v>
      </c>
      <c r="N115">
        <f t="shared" si="24"/>
        <v>2</v>
      </c>
    </row>
    <row r="116" spans="2:14" x14ac:dyDescent="0.3">
      <c r="B116" s="19" t="str">
        <f>IF('TO HOP'!B162="","",'TO HOP'!B162)</f>
        <v>CĐ I(a) max - 1 nhịp 2 làn</v>
      </c>
      <c r="C116" s="23">
        <f>IF($B116="","",'TO HOP'!E162)</f>
        <v>30244.669922820358</v>
      </c>
      <c r="D116" s="23">
        <f>IF($B116="","",$C$32*ABS(IFERROR('TO HOP'!G162,0)))</f>
        <v>40143.44701115715</v>
      </c>
      <c r="E116" s="23">
        <f>IF($B116="","",$D$32*ABS(IFERROR('TO HOP'!F162,0)))</f>
        <v>16820.569704166668</v>
      </c>
      <c r="F116" s="16">
        <f t="shared" si="16"/>
        <v>1.3272899692275337</v>
      </c>
      <c r="G116" s="16">
        <f t="shared" si="17"/>
        <v>0.55614988515629749</v>
      </c>
      <c r="H116" s="23">
        <f t="shared" si="18"/>
        <v>44102.766527691747</v>
      </c>
      <c r="I116" s="23">
        <f t="shared" si="19"/>
        <v>154420.14228435868</v>
      </c>
      <c r="J116" s="23">
        <f t="shared" si="20"/>
        <v>41474.503685601478</v>
      </c>
      <c r="K116" s="13">
        <f t="shared" si="21"/>
        <v>1.2555377013106777</v>
      </c>
      <c r="L116" s="13">
        <f t="shared" si="22"/>
        <v>0.72923524660091998</v>
      </c>
      <c r="M116" s="19" t="str">
        <f t="shared" si="23"/>
        <v>ĐẠT</v>
      </c>
      <c r="N116">
        <f t="shared" si="24"/>
        <v>2</v>
      </c>
    </row>
    <row r="117" spans="2:14" x14ac:dyDescent="0.3">
      <c r="B117" s="19" t="str">
        <f>IF('TO HOP'!B163="","",'TO HOP'!B163)</f>
        <v>CĐ I(a) max - 1 nhịp 3 làn</v>
      </c>
      <c r="C117" s="23">
        <f>IF($B117="","",'TO HOP'!E163)</f>
        <v>30796.987136987027</v>
      </c>
      <c r="D117" s="23">
        <f>IF($B117="","",$C$32*ABS(IFERROR('TO HOP'!G163,0)))</f>
        <v>40699.306754842371</v>
      </c>
      <c r="E117" s="23">
        <f>IF($B117="","",$D$32*ABS(IFERROR('TO HOP'!F163,0)))</f>
        <v>17605.111201562504</v>
      </c>
      <c r="F117" s="16">
        <f t="shared" ref="F117:F146" si="25">IF($B117="","",MAX(0.001,D117/MAX(1,C117)))</f>
        <v>1.3215353363564162</v>
      </c>
      <c r="G117" s="16">
        <f t="shared" ref="G117:G146" si="26">IF($B117="","",MAX(0.001,E117/MAX(1,C117)))</f>
        <v>0.57165043850730624</v>
      </c>
      <c r="H117" s="23">
        <f t="shared" ref="H117:H146" si="27">IF($B117="","",IF(F117&lt;=0.000000001,MIN(0.8*CHOOSE($N117,1,0.75)*$C$62,MAX(CHOOSE($N117,$F$38:$F$58,$J$38:$J$58))),IFERROR(MIN(0.8*CHOOSE($N117,1,0.75)*$C$62,INDEX(CHOOSE($N117,$F$38:$F$58,$J$38:$J$58),MATCH(F117,$L$38:$L$58,-1))+(INDEX(CHOOSE($N117,$F$38:$F$58,$J$38:$J$58),MIN(21,MATCH(F117,$L$38:$L$58,-1)+1))-INDEX(CHOOSE($N117,$F$38:$F$58,$J$38:$J$58),MATCH(F117,$L$38:$L$58,-1)))*(F117-INDEX($L$38:$L$58,MATCH(F117,$L$38:$L$58,-1)))/(INDEX($L$38:$L$58,MIN(21,MATCH(F117,$L$38:$L$58,-1)+1))-INDEX($L$38:$L$58,MATCH(F117,$L$38:$L$58,-1)))),CHOOSE($N117,$H$68,$C$68)/F117)))</f>
        <v>44330.922019492631</v>
      </c>
      <c r="I117" s="23">
        <f t="shared" ref="I117:I146" si="28">IF($B117="","",IF(G117&lt;=0.000000001,MIN(0.8*CHOOSE($N117,1,0.75)*$C$62,MAX(CHOOSE($N117,$S$38:$S$58,$W$38:$W$58))),IFERROR(MIN(0.8*CHOOSE($N117,1,0.75)*$C$62,INDEX(CHOOSE($N117,$S$38:$S$58,$W$38:$W$58),MATCH(G117,$Y$38:$Y$58,-1))+(INDEX(CHOOSE($N117,$S$38:$S$58,$W$38:$W$58),MIN(21,MATCH(G117,$Y$38:$Y$58,-1)+1))-INDEX(CHOOSE($N117,$S$38:$S$58,$W$38:$W$58),MATCH(G117,$Y$38:$Y$58,-1)))*(G117-INDEX($Y$38:$Y$58,MATCH(G117,$Y$38:$Y$58,-1)))/(INDEX($Y$38:$Y$58,MIN(21,MATCH(G117,$Y$38:$Y$58,-1)+1))-INDEX($Y$38:$Y$58,MATCH(G117,$Y$38:$Y$58,-1)))),CHOOSE($N117,$I$68,$D$68)/G117)))</f>
        <v>153298.76520097768</v>
      </c>
      <c r="J117" s="23">
        <f t="shared" ref="J117:J148" si="29">IF($B117="","",IFERROR(1/(1/H117+1/I117-1/(CHOOSE($N117,1,0.75)*$C$62)),0))</f>
        <v>41594.097614424427</v>
      </c>
      <c r="K117" s="13">
        <f t="shared" ref="K117:K146" si="30">IF($B117="","",D117/MAX(CHOOSE($N117,$H$68,$C$68),0.001)+E117/MAX(CHOOSE($N117,$I$68,$D$68),0.001))</f>
        <v>1.2777623491542509</v>
      </c>
      <c r="L117" s="13">
        <f t="shared" ref="L117:L146" si="31">IF($B117="","",IF(C117&gt;=0.1*0.75*fc_*Agth*1000,C117/MAX(J117,0.001),K117))</f>
        <v>0.74041724435216338</v>
      </c>
      <c r="M117" s="19" t="str">
        <f t="shared" ref="M117:M146" si="32">IF($B117="","",IF(L117&lt;=1,"ĐẠT","KHÔNG ĐẠT"))</f>
        <v>ĐẠT</v>
      </c>
      <c r="N117">
        <f t="shared" ref="N117:N146" si="33">IF($B117="","",IF(OR(LEFT(TRIM($B117),2)="SD",LEFT(TRIM($B117),2)="ĐB",LEFT(TRIM($B117),2)="DB"),1,2))</f>
        <v>2</v>
      </c>
    </row>
    <row r="118" spans="2:14" x14ac:dyDescent="0.3">
      <c r="B118" s="19" t="str">
        <f>IF('TO HOP'!B164="","",'TO HOP'!B164)</f>
        <v>CĐ I(a) max - 1 nhịp 4 làn</v>
      </c>
      <c r="C118" s="23">
        <f>IF($B118="","",'TO HOP'!E164)</f>
        <v>30847.19779282036</v>
      </c>
      <c r="D118" s="23">
        <f>IF($B118="","",$C$32*ABS(IFERROR('TO HOP'!G164,0)))</f>
        <v>40749.839458813753</v>
      </c>
      <c r="E118" s="23">
        <f>IF($B118="","",$D$32*ABS(IFERROR('TO HOP'!F164,0)))</f>
        <v>14033.878305416669</v>
      </c>
      <c r="F118" s="16">
        <f t="shared" si="25"/>
        <v>1.3210224063949894</v>
      </c>
      <c r="G118" s="16">
        <f t="shared" si="26"/>
        <v>0.45494823872407086</v>
      </c>
      <c r="H118" s="23">
        <f t="shared" si="27"/>
        <v>44351.258292931743</v>
      </c>
      <c r="I118" s="23">
        <f t="shared" si="28"/>
        <v>158763.07851952704</v>
      </c>
      <c r="J118" s="23">
        <f t="shared" si="29"/>
        <v>42004.428924241955</v>
      </c>
      <c r="K118" s="13">
        <f t="shared" si="30"/>
        <v>1.2478268078640091</v>
      </c>
      <c r="L118" s="13">
        <f t="shared" si="31"/>
        <v>0.73437964954732571</v>
      </c>
      <c r="M118" s="19" t="str">
        <f t="shared" si="32"/>
        <v>ĐẠT</v>
      </c>
      <c r="N118">
        <f t="shared" si="33"/>
        <v>2</v>
      </c>
    </row>
    <row r="119" spans="2:14" x14ac:dyDescent="0.3">
      <c r="B119" s="19" t="str">
        <f>IF('TO HOP'!B165="","",'TO HOP'!B165)</f>
        <v>CĐ I(a) max - 1 nhịp 5 làn</v>
      </c>
      <c r="C119" s="23">
        <f>IF($B119="","",'TO HOP'!E165)</f>
        <v>31499.936318653694</v>
      </c>
      <c r="D119" s="23">
        <f>IF($B119="","",$C$32*ABS(IFERROR('TO HOP'!G165,0)))</f>
        <v>41406.764610441751</v>
      </c>
      <c r="E119" s="23">
        <f>IF($B119="","",$D$32*ABS(IFERROR('TO HOP'!F165,0)))</f>
        <v>12646.808938020835</v>
      </c>
      <c r="F119" s="16">
        <f t="shared" si="25"/>
        <v>1.3145031212625471</v>
      </c>
      <c r="G119" s="16">
        <f t="shared" si="26"/>
        <v>0.40148680969020317</v>
      </c>
      <c r="H119" s="23">
        <f t="shared" si="27"/>
        <v>44609.73016053738</v>
      </c>
      <c r="I119" s="23">
        <f t="shared" si="28"/>
        <v>158763.07851952704</v>
      </c>
      <c r="J119" s="23">
        <f t="shared" si="29"/>
        <v>42236.199154632704</v>
      </c>
      <c r="K119" s="13">
        <f t="shared" si="30"/>
        <v>1.2537894515752033</v>
      </c>
      <c r="L119" s="13">
        <f t="shared" si="31"/>
        <v>0.74580423781334981</v>
      </c>
      <c r="M119" s="19" t="str">
        <f t="shared" si="32"/>
        <v>ĐẠT</v>
      </c>
      <c r="N119">
        <f t="shared" si="33"/>
        <v>2</v>
      </c>
    </row>
    <row r="120" spans="2:14" x14ac:dyDescent="0.3">
      <c r="B120" s="19" t="str">
        <f>IF('TO HOP'!B166="","",'TO HOP'!B166)</f>
        <v>CĐ I(a) max - 1 nhịp 6 làn</v>
      </c>
      <c r="C120" s="23">
        <f>IF($B120="","",'TO HOP'!E166)</f>
        <v>32152.674844487025</v>
      </c>
      <c r="D120" s="23">
        <f>IF($B120="","",$C$32*ABS(IFERROR('TO HOP'!G166,0)))</f>
        <v>42063.689762069749</v>
      </c>
      <c r="E120" s="23">
        <f>IF($B120="","",$D$32*ABS(IFERROR('TO HOP'!F166,0)))</f>
        <v>9301.5239931249998</v>
      </c>
      <c r="F120" s="16">
        <f t="shared" si="25"/>
        <v>1.3082485350136301</v>
      </c>
      <c r="G120" s="16">
        <f t="shared" si="26"/>
        <v>0.28929238510057775</v>
      </c>
      <c r="H120" s="23">
        <f t="shared" si="27"/>
        <v>44857.707439643207</v>
      </c>
      <c r="I120" s="23">
        <f t="shared" si="28"/>
        <v>158763.07851952704</v>
      </c>
      <c r="J120" s="23">
        <f t="shared" si="29"/>
        <v>42458.424671838715</v>
      </c>
      <c r="K120" s="13">
        <f t="shared" si="30"/>
        <v>1.2425727613522959</v>
      </c>
      <c r="L120" s="13">
        <f t="shared" si="31"/>
        <v>0.75727432407102102</v>
      </c>
      <c r="M120" s="19" t="str">
        <f t="shared" si="32"/>
        <v>ĐẠT</v>
      </c>
      <c r="N120">
        <f t="shared" si="33"/>
        <v>2</v>
      </c>
    </row>
    <row r="121" spans="2:14" x14ac:dyDescent="0.3">
      <c r="B121" s="19" t="str">
        <f>IF('TO HOP'!B167="","",'TO HOP'!B167)</f>
        <v>CĐ I(b) min - 2 nhịp 1 làn</v>
      </c>
      <c r="C121" s="23">
        <f>IF($B121="","",'TO HOP'!E167)</f>
        <v>21750.765395930655</v>
      </c>
      <c r="D121" s="23">
        <f>IF($B121="","",$C$32*ABS(IFERROR('TO HOP'!G167,0)))</f>
        <v>38122.138852301767</v>
      </c>
      <c r="E121" s="23">
        <f>IF($B121="","",$D$32*ABS(IFERROR('TO HOP'!F167,0)))</f>
        <v>19841.1862635</v>
      </c>
      <c r="F121" s="16">
        <f t="shared" si="25"/>
        <v>1.7526803382943952</v>
      </c>
      <c r="G121" s="16">
        <f t="shared" si="26"/>
        <v>0.91220634779188425</v>
      </c>
      <c r="H121" s="23">
        <f t="shared" si="27"/>
        <v>31824.588051089628</v>
      </c>
      <c r="I121" s="23">
        <f t="shared" si="28"/>
        <v>129919.21530219648</v>
      </c>
      <c r="J121" s="23">
        <f t="shared" si="29"/>
        <v>29342.395150097211</v>
      </c>
      <c r="K121" s="13">
        <f t="shared" si="30"/>
        <v>1.2262486954141727</v>
      </c>
      <c r="L121" s="13">
        <f t="shared" si="31"/>
        <v>0.74127436716285222</v>
      </c>
      <c r="M121" s="19" t="str">
        <f t="shared" si="32"/>
        <v>ĐẠT</v>
      </c>
      <c r="N121">
        <f t="shared" si="33"/>
        <v>2</v>
      </c>
    </row>
    <row r="122" spans="2:14" x14ac:dyDescent="0.3">
      <c r="B122" s="19" t="str">
        <f>IF('TO HOP'!B168="","",'TO HOP'!B168)</f>
        <v>CĐ I(b) min - 2 nhịp 2 làn</v>
      </c>
      <c r="C122" s="23">
        <f>IF($B122="","",'TO HOP'!E168)</f>
        <v>23090.254763930658</v>
      </c>
      <c r="D122" s="23">
        <f>IF($B122="","",$C$32*ABS(IFERROR('TO HOP'!G168,0)))</f>
        <v>38122.138852301767</v>
      </c>
      <c r="E122" s="23">
        <f>IF($B122="","",$D$32*ABS(IFERROR('TO HOP'!F168,0)))</f>
        <v>28045.5586425</v>
      </c>
      <c r="F122" s="16">
        <f t="shared" si="25"/>
        <v>1.6510055537305051</v>
      </c>
      <c r="G122" s="16">
        <f t="shared" si="26"/>
        <v>1.2146058555538346</v>
      </c>
      <c r="H122" s="23">
        <f t="shared" si="27"/>
        <v>34012.639462059989</v>
      </c>
      <c r="I122" s="23">
        <f t="shared" si="28"/>
        <v>111498.14258928807</v>
      </c>
      <c r="J122" s="23">
        <f t="shared" si="29"/>
        <v>30002.424824825011</v>
      </c>
      <c r="K122" s="13">
        <f t="shared" si="30"/>
        <v>1.2982252716594205</v>
      </c>
      <c r="L122" s="13">
        <f t="shared" si="31"/>
        <v>0.76961295291122622</v>
      </c>
      <c r="M122" s="19" t="str">
        <f t="shared" si="32"/>
        <v>ĐẠT</v>
      </c>
      <c r="N122">
        <f t="shared" si="33"/>
        <v>2</v>
      </c>
    </row>
    <row r="123" spans="2:14" x14ac:dyDescent="0.3">
      <c r="B123" s="19" t="str">
        <f>IF('TO HOP'!B169="","",'TO HOP'!B169)</f>
        <v>CĐ I(b) min - 2 nhịp 3 làn</v>
      </c>
      <c r="C123" s="23">
        <f>IF($B123="","",'TO HOP'!E169)</f>
        <v>24011.153704430657</v>
      </c>
      <c r="D123" s="23">
        <f>IF($B123="","",$C$32*ABS(IFERROR('TO HOP'!G169,0)))</f>
        <v>38122.138852301767</v>
      </c>
      <c r="E123" s="23">
        <f>IF($B123="","",$D$32*ABS(IFERROR('TO HOP'!F169,0)))</f>
        <v>29353.653728437501</v>
      </c>
      <c r="F123" s="16">
        <f t="shared" si="25"/>
        <v>1.5876845953165208</v>
      </c>
      <c r="G123" s="16">
        <f t="shared" si="26"/>
        <v>1.2225007631774487</v>
      </c>
      <c r="H123" s="23">
        <f t="shared" si="27"/>
        <v>35375.312744290088</v>
      </c>
      <c r="I123" s="23">
        <f t="shared" si="28"/>
        <v>111084.26267396708</v>
      </c>
      <c r="J123" s="23">
        <f t="shared" si="29"/>
        <v>31025.528726090379</v>
      </c>
      <c r="K123" s="13">
        <f t="shared" si="30"/>
        <v>1.3097011288413796</v>
      </c>
      <c r="L123" s="13">
        <f t="shared" si="31"/>
        <v>0.77391601981754121</v>
      </c>
      <c r="M123" s="19" t="str">
        <f t="shared" si="32"/>
        <v>ĐẠT</v>
      </c>
      <c r="N123">
        <f t="shared" si="33"/>
        <v>2</v>
      </c>
    </row>
    <row r="124" spans="2:14" x14ac:dyDescent="0.3">
      <c r="B124" s="19" t="str">
        <f>IF('TO HOP'!B170="","",'TO HOP'!B170)</f>
        <v>CĐ I(b) min - 2 nhịp 4 làn</v>
      </c>
      <c r="C124" s="23">
        <f>IF($B124="","",'TO HOP'!E170)</f>
        <v>24094.871789930658</v>
      </c>
      <c r="D124" s="23">
        <f>IF($B124="","",$C$32*ABS(IFERROR('TO HOP'!G170,0)))</f>
        <v>38122.138852301767</v>
      </c>
      <c r="E124" s="23">
        <f>IF($B124="","",$D$32*ABS(IFERROR('TO HOP'!F170,0)))</f>
        <v>23399.204897250002</v>
      </c>
      <c r="F124" s="16">
        <f t="shared" si="25"/>
        <v>1.5821681553098432</v>
      </c>
      <c r="G124" s="16">
        <f t="shared" si="26"/>
        <v>0.97112801019462669</v>
      </c>
      <c r="H124" s="23">
        <f t="shared" si="27"/>
        <v>35494.02707834958</v>
      </c>
      <c r="I124" s="23">
        <f t="shared" si="28"/>
        <v>126036.71500589042</v>
      </c>
      <c r="J124" s="23">
        <f t="shared" si="29"/>
        <v>32186.42852392768</v>
      </c>
      <c r="K124" s="13">
        <f t="shared" si="30"/>
        <v>1.2574630269491016</v>
      </c>
      <c r="L124" s="13">
        <f t="shared" si="31"/>
        <v>0.74860346099034614</v>
      </c>
      <c r="M124" s="19" t="str">
        <f t="shared" si="32"/>
        <v>ĐẠT</v>
      </c>
      <c r="N124">
        <f t="shared" si="33"/>
        <v>2</v>
      </c>
    </row>
    <row r="125" spans="2:14" x14ac:dyDescent="0.3">
      <c r="B125" s="19" t="str">
        <f>IF('TO HOP'!B171="","",'TO HOP'!B171)</f>
        <v>CĐ I(b) min - 2 nhịp 5 làn</v>
      </c>
      <c r="C125" s="23">
        <f>IF($B125="","",'TO HOP'!E171)</f>
        <v>25183.206901430654</v>
      </c>
      <c r="D125" s="23">
        <f>IF($B125="","",$C$32*ABS(IFERROR('TO HOP'!G171,0)))</f>
        <v>38122.138852301767</v>
      </c>
      <c r="E125" s="23">
        <f>IF($B125="","",$D$32*ABS(IFERROR('TO HOP'!F171,0)))</f>
        <v>21086.492785312505</v>
      </c>
      <c r="F125" s="16">
        <f t="shared" si="25"/>
        <v>1.5137920679250765</v>
      </c>
      <c r="G125" s="16">
        <f t="shared" si="26"/>
        <v>0.83732357311945782</v>
      </c>
      <c r="H125" s="23">
        <f t="shared" si="27"/>
        <v>36965.487235561523</v>
      </c>
      <c r="I125" s="23">
        <f t="shared" si="28"/>
        <v>134891.17340161453</v>
      </c>
      <c r="J125" s="23">
        <f t="shared" si="29"/>
        <v>33982.755892489069</v>
      </c>
      <c r="K125" s="13">
        <f t="shared" si="30"/>
        <v>1.2371737114513979</v>
      </c>
      <c r="L125" s="13">
        <f t="shared" si="31"/>
        <v>0.74105840565440106</v>
      </c>
      <c r="M125" s="19" t="str">
        <f t="shared" si="32"/>
        <v>ĐẠT</v>
      </c>
      <c r="N125">
        <f t="shared" si="33"/>
        <v>2</v>
      </c>
    </row>
    <row r="126" spans="2:14" x14ac:dyDescent="0.3">
      <c r="B126" s="19" t="str">
        <f>IF('TO HOP'!B172="","",'TO HOP'!B172)</f>
        <v>CĐ I(b) min - 2 nhịp 6 làn</v>
      </c>
      <c r="C126" s="23">
        <f>IF($B126="","",'TO HOP'!E172)</f>
        <v>26271.542012930655</v>
      </c>
      <c r="D126" s="23">
        <f>IF($B126="","",$C$32*ABS(IFERROR('TO HOP'!G172,0)))</f>
        <v>38122.138852301767</v>
      </c>
      <c r="E126" s="23">
        <f>IF($B126="","",$D$32*ABS(IFERROR('TO HOP'!F172,0)))</f>
        <v>15508.775338875001</v>
      </c>
      <c r="F126" s="16">
        <f t="shared" si="25"/>
        <v>1.4510811292895689</v>
      </c>
      <c r="G126" s="16">
        <f t="shared" si="26"/>
        <v>0.59032603915071669</v>
      </c>
      <c r="H126" s="23">
        <f t="shared" si="27"/>
        <v>39194.784795910011</v>
      </c>
      <c r="I126" s="23">
        <f t="shared" si="28"/>
        <v>151950.89301916779</v>
      </c>
      <c r="J126" s="23">
        <f t="shared" si="29"/>
        <v>36960.765052410381</v>
      </c>
      <c r="K126" s="13">
        <f t="shared" si="30"/>
        <v>1.1882406564275241</v>
      </c>
      <c r="L126" s="13">
        <f t="shared" si="31"/>
        <v>0.71079540630930116</v>
      </c>
      <c r="M126" s="19" t="str">
        <f t="shared" si="32"/>
        <v>ĐẠT</v>
      </c>
      <c r="N126">
        <f t="shared" si="33"/>
        <v>2</v>
      </c>
    </row>
    <row r="127" spans="2:14" x14ac:dyDescent="0.3">
      <c r="B127" s="19" t="str">
        <f>IF('TO HOP'!B173="","",'TO HOP'!B173)</f>
        <v>CĐ I(b) min - 1 nhịp 1 làn</v>
      </c>
      <c r="C127" s="23">
        <f>IF($B127="","",'TO HOP'!E173)</f>
        <v>20946.587083930655</v>
      </c>
      <c r="D127" s="23">
        <f>IF($B127="","",$C$32*ABS(IFERROR('TO HOP'!G173,0)))</f>
        <v>39334.923747614994</v>
      </c>
      <c r="E127" s="23">
        <f>IF($B127="","",$D$32*ABS(IFERROR('TO HOP'!F173,0)))</f>
        <v>11899.9254325</v>
      </c>
      <c r="F127" s="16">
        <f t="shared" si="25"/>
        <v>1.8778679118466559</v>
      </c>
      <c r="G127" s="16">
        <f t="shared" si="26"/>
        <v>0.56810808294536563</v>
      </c>
      <c r="H127" s="23">
        <f t="shared" si="27"/>
        <v>29130.539097635909</v>
      </c>
      <c r="I127" s="23">
        <f t="shared" si="28"/>
        <v>153555.03452623304</v>
      </c>
      <c r="J127" s="23">
        <f t="shared" si="29"/>
        <v>27931.709862847041</v>
      </c>
      <c r="K127" s="13">
        <f t="shared" si="30"/>
        <v>1.1900536249660945</v>
      </c>
      <c r="L127" s="13">
        <f t="shared" si="31"/>
        <v>0.74992140426721443</v>
      </c>
      <c r="M127" s="19" t="str">
        <f t="shared" si="32"/>
        <v>ĐẠT</v>
      </c>
      <c r="N127">
        <f t="shared" si="33"/>
        <v>2</v>
      </c>
    </row>
    <row r="128" spans="2:14" x14ac:dyDescent="0.3">
      <c r="B128" s="19" t="str">
        <f>IF('TO HOP'!B174="","",'TO HOP'!B174)</f>
        <v>CĐ I(b) min - 1 nhịp 2 làn</v>
      </c>
      <c r="C128" s="23">
        <f>IF($B128="","",'TO HOP'!E174)</f>
        <v>21749.957577263987</v>
      </c>
      <c r="D128" s="23">
        <f>IF($B128="","",$C$32*ABS(IFERROR('TO HOP'!G174,0)))</f>
        <v>40143.44701115715</v>
      </c>
      <c r="E128" s="23">
        <f>IF($B128="","",$D$32*ABS(IFERROR('TO HOP'!F174,0)))</f>
        <v>16820.569704166668</v>
      </c>
      <c r="F128" s="16">
        <f t="shared" si="25"/>
        <v>1.8456793245942023</v>
      </c>
      <c r="G128" s="16">
        <f t="shared" si="26"/>
        <v>0.77336103504633102</v>
      </c>
      <c r="H128" s="23">
        <f t="shared" si="27"/>
        <v>29823.240676075126</v>
      </c>
      <c r="I128" s="23">
        <f t="shared" si="28"/>
        <v>139138.06543550603</v>
      </c>
      <c r="J128" s="23">
        <f t="shared" si="29"/>
        <v>28027.6540502194</v>
      </c>
      <c r="K128" s="13">
        <f t="shared" si="30"/>
        <v>1.2555377013106777</v>
      </c>
      <c r="L128" s="13">
        <f t="shared" si="31"/>
        <v>0.77601776938921962</v>
      </c>
      <c r="M128" s="19" t="str">
        <f t="shared" si="32"/>
        <v>ĐẠT</v>
      </c>
      <c r="N128">
        <f t="shared" si="33"/>
        <v>2</v>
      </c>
    </row>
    <row r="129" spans="2:14" x14ac:dyDescent="0.3">
      <c r="B129" s="19" t="str">
        <f>IF('TO HOP'!B175="","",'TO HOP'!B175)</f>
        <v>CĐ I(b) min - 1 nhịp 3 làn</v>
      </c>
      <c r="C129" s="23">
        <f>IF($B129="","",'TO HOP'!E175)</f>
        <v>22302.274791430656</v>
      </c>
      <c r="D129" s="23">
        <f>IF($B129="","",$C$32*ABS(IFERROR('TO HOP'!G175,0)))</f>
        <v>40699.306754842371</v>
      </c>
      <c r="E129" s="23">
        <f>IF($B129="","",$D$32*ABS(IFERROR('TO HOP'!F175,0)))</f>
        <v>17605.111201562504</v>
      </c>
      <c r="F129" s="16">
        <f t="shared" si="25"/>
        <v>1.8248948654547348</v>
      </c>
      <c r="G129" s="16">
        <f t="shared" si="26"/>
        <v>0.78938634584159217</v>
      </c>
      <c r="H129" s="23">
        <f t="shared" si="27"/>
        <v>30270.52429060583</v>
      </c>
      <c r="I129" s="23">
        <f t="shared" si="28"/>
        <v>138074.04004177914</v>
      </c>
      <c r="J129" s="23">
        <f t="shared" si="29"/>
        <v>28377.671370045438</v>
      </c>
      <c r="K129" s="13">
        <f t="shared" si="30"/>
        <v>1.2777623491542509</v>
      </c>
      <c r="L129" s="13">
        <f t="shared" si="31"/>
        <v>0.7859092629768144</v>
      </c>
      <c r="M129" s="19" t="str">
        <f t="shared" si="32"/>
        <v>ĐẠT</v>
      </c>
      <c r="N129">
        <f t="shared" si="33"/>
        <v>2</v>
      </c>
    </row>
    <row r="130" spans="2:14" x14ac:dyDescent="0.3">
      <c r="B130" s="19" t="str">
        <f>IF('TO HOP'!B176="","",'TO HOP'!B176)</f>
        <v>CĐ I(b) min - 1 nhịp 4 làn</v>
      </c>
      <c r="C130" s="23">
        <f>IF($B130="","",'TO HOP'!E176)</f>
        <v>22352.485447263989</v>
      </c>
      <c r="D130" s="23">
        <f>IF($B130="","",$C$32*ABS(IFERROR('TO HOP'!G176,0)))</f>
        <v>40749.839458813753</v>
      </c>
      <c r="E130" s="23">
        <f>IF($B130="","",$D$32*ABS(IFERROR('TO HOP'!F176,0)))</f>
        <v>14033.878305416669</v>
      </c>
      <c r="F130" s="16">
        <f t="shared" si="25"/>
        <v>1.8230563019470238</v>
      </c>
      <c r="G130" s="16">
        <f t="shared" si="26"/>
        <v>0.62784419828956683</v>
      </c>
      <c r="H130" s="23">
        <f t="shared" si="27"/>
        <v>30310.090358972346</v>
      </c>
      <c r="I130" s="23">
        <f t="shared" si="28"/>
        <v>149318.84652503478</v>
      </c>
      <c r="J130" s="23">
        <f t="shared" si="29"/>
        <v>28859.665139545483</v>
      </c>
      <c r="K130" s="13">
        <f t="shared" si="30"/>
        <v>1.2478268078640091</v>
      </c>
      <c r="L130" s="13">
        <f t="shared" si="31"/>
        <v>0.77452338199985171</v>
      </c>
      <c r="M130" s="19" t="str">
        <f t="shared" si="32"/>
        <v>ĐẠT</v>
      </c>
      <c r="N130">
        <f t="shared" si="33"/>
        <v>2</v>
      </c>
    </row>
    <row r="131" spans="2:14" x14ac:dyDescent="0.3">
      <c r="B131" s="19" t="str">
        <f>IF('TO HOP'!B177="","",'TO HOP'!B177)</f>
        <v>CĐ I(b) min - 1 nhịp 5 làn</v>
      </c>
      <c r="C131" s="23">
        <f>IF($B131="","",'TO HOP'!E177)</f>
        <v>23005.223973097323</v>
      </c>
      <c r="D131" s="23">
        <f>IF($B131="","",$C$32*ABS(IFERROR('TO HOP'!G177,0)))</f>
        <v>41406.764610441751</v>
      </c>
      <c r="E131" s="23">
        <f>IF($B131="","",$D$32*ABS(IFERROR('TO HOP'!F177,0)))</f>
        <v>12646.808938020835</v>
      </c>
      <c r="F131" s="16">
        <f t="shared" si="25"/>
        <v>1.7998853068704519</v>
      </c>
      <c r="G131" s="16">
        <f t="shared" si="26"/>
        <v>0.5497363969509802</v>
      </c>
      <c r="H131" s="23">
        <f t="shared" si="27"/>
        <v>30808.732462698885</v>
      </c>
      <c r="I131" s="23">
        <f t="shared" si="28"/>
        <v>154884.12176529178</v>
      </c>
      <c r="J131" s="23">
        <f t="shared" si="29"/>
        <v>29519.585310373088</v>
      </c>
      <c r="K131" s="13">
        <f t="shared" si="30"/>
        <v>1.2537894515752033</v>
      </c>
      <c r="L131" s="13">
        <f t="shared" si="31"/>
        <v>0.77932070288986621</v>
      </c>
      <c r="M131" s="19" t="str">
        <f t="shared" si="32"/>
        <v>ĐẠT</v>
      </c>
      <c r="N131">
        <f t="shared" si="33"/>
        <v>2</v>
      </c>
    </row>
    <row r="132" spans="2:14" x14ac:dyDescent="0.3">
      <c r="B132" s="19" t="str">
        <f>IF('TO HOP'!B178="","",'TO HOP'!B178)</f>
        <v>CĐ I(b) min - 1 nhịp 6 làn</v>
      </c>
      <c r="C132" s="23">
        <f>IF($B132="","",'TO HOP'!E178)</f>
        <v>23657.962498930654</v>
      </c>
      <c r="D132" s="23">
        <f>IF($B132="","",$C$32*ABS(IFERROR('TO HOP'!G178,0)))</f>
        <v>42063.689762069749</v>
      </c>
      <c r="E132" s="23">
        <f>IF($B132="","",$D$32*ABS(IFERROR('TO HOP'!F178,0)))</f>
        <v>9301.5239931249998</v>
      </c>
      <c r="F132" s="16">
        <f t="shared" si="25"/>
        <v>1.7779929173516544</v>
      </c>
      <c r="G132" s="16">
        <f t="shared" si="26"/>
        <v>0.39316674010052349</v>
      </c>
      <c r="H132" s="23">
        <f t="shared" si="27"/>
        <v>31279.858848474672</v>
      </c>
      <c r="I132" s="23">
        <f t="shared" si="28"/>
        <v>158763.07851952704</v>
      </c>
      <c r="J132" s="23">
        <f t="shared" si="29"/>
        <v>30094.020525122731</v>
      </c>
      <c r="K132" s="13">
        <f t="shared" si="30"/>
        <v>1.2425727613522959</v>
      </c>
      <c r="L132" s="13">
        <f t="shared" si="31"/>
        <v>0.78613498914778757</v>
      </c>
      <c r="M132" s="19" t="str">
        <f t="shared" si="32"/>
        <v>ĐẠT</v>
      </c>
      <c r="N132">
        <f t="shared" si="33"/>
        <v>2</v>
      </c>
    </row>
    <row r="133" spans="2:14" x14ac:dyDescent="0.3">
      <c r="B133" s="19" t="str">
        <f>IF('TO HOP'!B179="","",'TO HOP'!B179)</f>
        <v>CĐ III(a) max</v>
      </c>
      <c r="C133" s="23">
        <f>IF($B133="","",'TO HOP'!E179)</f>
        <v>26797.305003982339</v>
      </c>
      <c r="D133" s="23">
        <f>IF($B133="","",$C$32*ABS(IFERROR('TO HOP'!G179,0)))</f>
        <v>30845.587953193237</v>
      </c>
      <c r="E133" s="23">
        <f>IF($B133="","",$D$32*ABS(IFERROR('TO HOP'!F179,0)))</f>
        <v>5799.5994698295608</v>
      </c>
      <c r="F133" s="16">
        <f t="shared" si="25"/>
        <v>1.1510705255102811</v>
      </c>
      <c r="G133" s="16">
        <f t="shared" si="26"/>
        <v>0.2164247288661186</v>
      </c>
      <c r="H133" s="23">
        <f t="shared" si="27"/>
        <v>51345.067892469298</v>
      </c>
      <c r="I133" s="23">
        <f t="shared" si="28"/>
        <v>158763.07851952704</v>
      </c>
      <c r="J133" s="23">
        <f t="shared" si="29"/>
        <v>48225.75964258561</v>
      </c>
      <c r="K133" s="13">
        <f t="shared" si="30"/>
        <v>0.902227440497542</v>
      </c>
      <c r="L133" s="13">
        <f t="shared" si="31"/>
        <v>0.55566372002399855</v>
      </c>
      <c r="M133" s="19" t="str">
        <f t="shared" si="32"/>
        <v>ĐẠT</v>
      </c>
      <c r="N133">
        <f t="shared" si="33"/>
        <v>2</v>
      </c>
    </row>
    <row r="134" spans="2:14" x14ac:dyDescent="0.3">
      <c r="B134" s="19" t="str">
        <f>IF('TO HOP'!B180="","",'TO HOP'!B180)</f>
        <v>CĐ III(b) min</v>
      </c>
      <c r="C134" s="23">
        <f>IF($B134="","",'TO HOP'!E180)</f>
        <v>18302.592658425969</v>
      </c>
      <c r="D134" s="23">
        <f>IF($B134="","",$C$32*ABS(IFERROR('TO HOP'!G180,0)))</f>
        <v>30845.587953193237</v>
      </c>
      <c r="E134" s="23">
        <f>IF($B134="","",$D$32*ABS(IFERROR('TO HOP'!F180,0)))</f>
        <v>5799.5994698295608</v>
      </c>
      <c r="F134" s="16">
        <f t="shared" si="25"/>
        <v>1.6853124870805036</v>
      </c>
      <c r="G134" s="16">
        <f t="shared" si="26"/>
        <v>0.31687311071525148</v>
      </c>
      <c r="H134" s="23">
        <f t="shared" si="27"/>
        <v>33274.350866273875</v>
      </c>
      <c r="I134" s="23">
        <f t="shared" si="28"/>
        <v>158763.07851952704</v>
      </c>
      <c r="J134" s="23">
        <f t="shared" si="29"/>
        <v>31935.702389102647</v>
      </c>
      <c r="K134" s="13">
        <f t="shared" si="30"/>
        <v>0.902227440497542</v>
      </c>
      <c r="L134" s="13">
        <f t="shared" si="31"/>
        <v>0.902227440497542</v>
      </c>
      <c r="M134" s="19" t="str">
        <f t="shared" si="32"/>
        <v>ĐẠT</v>
      </c>
      <c r="N134">
        <f t="shared" si="33"/>
        <v>2</v>
      </c>
    </row>
    <row r="135" spans="2:14" x14ac:dyDescent="0.3">
      <c r="B135" s="19" t="str">
        <f>IF('TO HOP'!B181="","",'TO HOP'!B181)</f>
        <v>CĐ V(a) max - 2 nhịp 1 làn</v>
      </c>
      <c r="C135" s="23">
        <f>IF($B135="","",'TO HOP'!E181)</f>
        <v>29786.224243887027</v>
      </c>
      <c r="D135" s="23">
        <f>IF($B135="","",$C$32*ABS(IFERROR('TO HOP'!G181,0)))</f>
        <v>36854.034541723704</v>
      </c>
      <c r="E135" s="23">
        <f>IF($B135="","",$D$32*ABS(IFERROR('TO HOP'!F181,0)))</f>
        <v>17688.855952900001</v>
      </c>
      <c r="F135" s="16">
        <f t="shared" si="25"/>
        <v>1.2372845326069548</v>
      </c>
      <c r="G135" s="16">
        <f t="shared" si="26"/>
        <v>0.59386029622503267</v>
      </c>
      <c r="H135" s="23">
        <f t="shared" si="27"/>
        <v>47671.236509501992</v>
      </c>
      <c r="I135" s="23">
        <f t="shared" si="28"/>
        <v>151702.95097842452</v>
      </c>
      <c r="J135" s="23">
        <f t="shared" si="29"/>
        <v>44385.491574305051</v>
      </c>
      <c r="K135" s="13">
        <f t="shared" si="30"/>
        <v>1.1723663284487049</v>
      </c>
      <c r="L135" s="13">
        <f t="shared" si="31"/>
        <v>0.67108019281531173</v>
      </c>
      <c r="M135" s="19" t="str">
        <f t="shared" si="32"/>
        <v>ĐẠT</v>
      </c>
      <c r="N135">
        <f t="shared" si="33"/>
        <v>2</v>
      </c>
    </row>
    <row r="136" spans="2:14" x14ac:dyDescent="0.3">
      <c r="B136" s="19" t="str">
        <f>IF('TO HOP'!B182="","",'TO HOP'!B182)</f>
        <v>CĐ V(a) max - 2 nhịp 2 làn</v>
      </c>
      <c r="C136" s="23">
        <f>IF($B136="","",'TO HOP'!E182)</f>
        <v>30819.544613487025</v>
      </c>
      <c r="D136" s="23">
        <f>IF($B136="","",$C$32*ABS(IFERROR('TO HOP'!G182,0)))</f>
        <v>36854.034541723704</v>
      </c>
      <c r="E136" s="23">
        <f>IF($B136="","",$D$32*ABS(IFERROR('TO HOP'!F182,0)))</f>
        <v>24017.943216700001</v>
      </c>
      <c r="F136" s="16">
        <f t="shared" si="25"/>
        <v>1.1958007492945211</v>
      </c>
      <c r="G136" s="16">
        <f t="shared" si="26"/>
        <v>0.77930882879396746</v>
      </c>
      <c r="H136" s="23">
        <f t="shared" si="27"/>
        <v>49338.167095214572</v>
      </c>
      <c r="I136" s="23">
        <f t="shared" si="28"/>
        <v>138743.15243413032</v>
      </c>
      <c r="J136" s="23">
        <f t="shared" si="29"/>
        <v>44569.452217791193</v>
      </c>
      <c r="K136" s="13">
        <f t="shared" si="30"/>
        <v>1.227891115837896</v>
      </c>
      <c r="L136" s="13">
        <f t="shared" si="31"/>
        <v>0.69149480372533068</v>
      </c>
      <c r="M136" s="19" t="str">
        <f t="shared" si="32"/>
        <v>ĐẠT</v>
      </c>
      <c r="N136">
        <f t="shared" si="33"/>
        <v>2</v>
      </c>
    </row>
    <row r="137" spans="2:14" x14ac:dyDescent="0.3">
      <c r="B137" s="19" t="str">
        <f>IF('TO HOP'!B183="","",'TO HOP'!B183)</f>
        <v>CĐ V(a) max - 2 nhịp 3 làn</v>
      </c>
      <c r="C137" s="23">
        <f>IF($B137="","",'TO HOP'!E183)</f>
        <v>31529.952367587026</v>
      </c>
      <c r="D137" s="23">
        <f>IF($B137="","",$C$32*ABS(IFERROR('TO HOP'!G183,0)))</f>
        <v>36854.034541723704</v>
      </c>
      <c r="E137" s="23">
        <f>IF($B137="","",$D$32*ABS(IFERROR('TO HOP'!F183,0)))</f>
        <v>25027.045140137503</v>
      </c>
      <c r="F137" s="16">
        <f t="shared" si="25"/>
        <v>1.1688579199887998</v>
      </c>
      <c r="G137" s="16">
        <f t="shared" si="26"/>
        <v>0.79375461302204342</v>
      </c>
      <c r="H137" s="23">
        <f t="shared" si="27"/>
        <v>50547.004901946071</v>
      </c>
      <c r="I137" s="23">
        <f t="shared" si="28"/>
        <v>137784.00215945873</v>
      </c>
      <c r="J137" s="23">
        <f t="shared" si="29"/>
        <v>45449.695690891152</v>
      </c>
      <c r="K137" s="13">
        <f t="shared" si="30"/>
        <v>1.236743919949693</v>
      </c>
      <c r="L137" s="13">
        <f t="shared" si="31"/>
        <v>0.6937329697876532</v>
      </c>
      <c r="M137" s="19" t="str">
        <f t="shared" si="32"/>
        <v>ĐẠT</v>
      </c>
      <c r="N137">
        <f t="shared" si="33"/>
        <v>2</v>
      </c>
    </row>
    <row r="138" spans="2:14" x14ac:dyDescent="0.3">
      <c r="B138" s="19" t="str">
        <f>IF('TO HOP'!B184="","",'TO HOP'!B184)</f>
        <v>CĐ V(a) max - 2 nhịp 4 làn</v>
      </c>
      <c r="C138" s="23">
        <f>IF($B138="","",'TO HOP'!E184)</f>
        <v>31594.534890687028</v>
      </c>
      <c r="D138" s="23">
        <f>IF($B138="","",$C$32*ABS(IFERROR('TO HOP'!G184,0)))</f>
        <v>36854.034541723704</v>
      </c>
      <c r="E138" s="23">
        <f>IF($B138="","",$D$32*ABS(IFERROR('TO HOP'!F184,0)))</f>
        <v>20433.613184650003</v>
      </c>
      <c r="F138" s="16">
        <f t="shared" si="25"/>
        <v>1.1664686525449373</v>
      </c>
      <c r="G138" s="16">
        <f t="shared" si="26"/>
        <v>0.64674518094181921</v>
      </c>
      <c r="H138" s="23">
        <f t="shared" si="27"/>
        <v>50654.203622012217</v>
      </c>
      <c r="I138" s="23">
        <f t="shared" si="28"/>
        <v>147992.86821833224</v>
      </c>
      <c r="J138" s="23">
        <f t="shared" si="29"/>
        <v>46598.701138241115</v>
      </c>
      <c r="K138" s="13">
        <f t="shared" si="30"/>
        <v>1.1964459556327929</v>
      </c>
      <c r="L138" s="13">
        <f t="shared" si="31"/>
        <v>0.67801320892953054</v>
      </c>
      <c r="M138" s="19" t="str">
        <f t="shared" si="32"/>
        <v>ĐẠT</v>
      </c>
      <c r="N138">
        <f t="shared" si="33"/>
        <v>2</v>
      </c>
    </row>
    <row r="139" spans="2:14" x14ac:dyDescent="0.3">
      <c r="B139" s="19" t="str">
        <f>IF('TO HOP'!B185="","",'TO HOP'!B185)</f>
        <v>CĐ V(a) max - 2 nhịp 5 làn</v>
      </c>
      <c r="C139" s="23">
        <f>IF($B139="","",'TO HOP'!E185)</f>
        <v>32434.107690987028</v>
      </c>
      <c r="D139" s="23">
        <f>IF($B139="","",$C$32*ABS(IFERROR('TO HOP'!G185,0)))</f>
        <v>36854.034541723704</v>
      </c>
      <c r="E139" s="23">
        <f>IF($B139="","",$D$32*ABS(IFERROR('TO HOP'!F185,0)))</f>
        <v>18649.520984012503</v>
      </c>
      <c r="F139" s="16">
        <f t="shared" si="25"/>
        <v>1.1362740388250272</v>
      </c>
      <c r="G139" s="16">
        <f t="shared" si="26"/>
        <v>0.57499719621375422</v>
      </c>
      <c r="H139" s="23">
        <f t="shared" si="27"/>
        <v>52008.93850193554</v>
      </c>
      <c r="I139" s="23">
        <f t="shared" si="28"/>
        <v>153056.64627072704</v>
      </c>
      <c r="J139" s="23">
        <f t="shared" si="29"/>
        <v>48257.801785809337</v>
      </c>
      <c r="K139" s="13">
        <f t="shared" si="30"/>
        <v>1.1807941979631358</v>
      </c>
      <c r="L139" s="13">
        <f t="shared" si="31"/>
        <v>0.67210081045433334</v>
      </c>
      <c r="M139" s="19" t="str">
        <f t="shared" si="32"/>
        <v>ĐẠT</v>
      </c>
      <c r="N139">
        <f t="shared" si="33"/>
        <v>2</v>
      </c>
    </row>
    <row r="140" spans="2:14" x14ac:dyDescent="0.3">
      <c r="B140" s="19" t="str">
        <f>IF('TO HOP'!B186="","",'TO HOP'!B186)</f>
        <v>CĐ V(a) max - 2 nhịp 6 làn</v>
      </c>
      <c r="C140" s="23">
        <f>IF($B140="","",'TO HOP'!E186)</f>
        <v>33273.680491287028</v>
      </c>
      <c r="D140" s="23">
        <f>IF($B140="","",$C$32*ABS(IFERROR('TO HOP'!G186,0)))</f>
        <v>36854.034541723704</v>
      </c>
      <c r="E140" s="23">
        <f>IF($B140="","",$D$32*ABS(IFERROR('TO HOP'!F186,0)))</f>
        <v>14346.710382475001</v>
      </c>
      <c r="F140" s="16">
        <f t="shared" si="25"/>
        <v>1.1076031865899001</v>
      </c>
      <c r="G140" s="16">
        <f t="shared" si="26"/>
        <v>0.43117293219882297</v>
      </c>
      <c r="H140" s="23">
        <f t="shared" si="27"/>
        <v>53295.307121198348</v>
      </c>
      <c r="I140" s="23">
        <f t="shared" si="28"/>
        <v>158763.07851952704</v>
      </c>
      <c r="J140" s="23">
        <f t="shared" si="29"/>
        <v>49942.274557584627</v>
      </c>
      <c r="K140" s="13">
        <f t="shared" si="30"/>
        <v>1.143045841230433</v>
      </c>
      <c r="L140" s="13">
        <f t="shared" si="31"/>
        <v>0.66624279302540945</v>
      </c>
      <c r="M140" s="19" t="str">
        <f t="shared" si="32"/>
        <v>ĐẠT</v>
      </c>
      <c r="N140">
        <f t="shared" si="33"/>
        <v>2</v>
      </c>
    </row>
    <row r="141" spans="2:14" x14ac:dyDescent="0.3">
      <c r="B141" s="19" t="str">
        <f>IF('TO HOP'!B187="","",'TO HOP'!B187)</f>
        <v>ĐB I - dọc chủ đạo</v>
      </c>
      <c r="C141" s="23">
        <f>IF($B141="","",'TO HOP'!E187)</f>
        <v>24180.961535589624</v>
      </c>
      <c r="D141" s="23">
        <f>IF($B141="","",$C$32*ABS(IFERROR('TO HOP'!G187,0)))</f>
        <v>36331.518684513227</v>
      </c>
      <c r="E141" s="23">
        <f>IF($B141="","",$D$32*ABS(IFERROR('TO HOP'!F187,0)))</f>
        <v>10696.347874891002</v>
      </c>
      <c r="F141" s="16">
        <f t="shared" si="25"/>
        <v>1.5024844496378016</v>
      </c>
      <c r="G141" s="16">
        <f t="shared" si="26"/>
        <v>0.44234584547632977</v>
      </c>
      <c r="H141" s="23">
        <f t="shared" si="27"/>
        <v>41343.142553871054</v>
      </c>
      <c r="I141" s="23">
        <f t="shared" si="28"/>
        <v>211684.10469270271</v>
      </c>
      <c r="J141" s="23">
        <f t="shared" si="29"/>
        <v>39788.940056511332</v>
      </c>
      <c r="K141" s="13">
        <f t="shared" si="30"/>
        <v>0.98693980286585148</v>
      </c>
      <c r="L141" s="13">
        <f t="shared" si="31"/>
        <v>0.60773072872124645</v>
      </c>
      <c r="M141" s="19" t="str">
        <f t="shared" si="32"/>
        <v>ĐẠT</v>
      </c>
      <c r="N141">
        <f t="shared" si="33"/>
        <v>1</v>
      </c>
    </row>
    <row r="142" spans="2:14" x14ac:dyDescent="0.3">
      <c r="B142" s="19" t="str">
        <f>IF('TO HOP'!B188="","",'TO HOP'!B188)</f>
        <v>ĐB I - ngang chủ đạo</v>
      </c>
      <c r="C142" s="23">
        <f>IF($B142="","",'TO HOP'!E188)</f>
        <v>24180.961535589624</v>
      </c>
      <c r="D142" s="23">
        <f>IF($B142="","",$C$32*ABS(IFERROR('TO HOP'!G188,0)))</f>
        <v>22584.933317248921</v>
      </c>
      <c r="E142" s="23">
        <f>IF($B142="","",$D$32*ABS(IFERROR('TO HOP'!F188,0)))</f>
        <v>25315.309357053342</v>
      </c>
      <c r="F142" s="16">
        <f t="shared" si="25"/>
        <v>0.9339964948874484</v>
      </c>
      <c r="G142" s="16">
        <f t="shared" si="26"/>
        <v>1.0469107822612504</v>
      </c>
      <c r="H142" s="23">
        <f t="shared" si="27"/>
        <v>76924.085036009128</v>
      </c>
      <c r="I142" s="23">
        <f t="shared" si="28"/>
        <v>161933.45642545403</v>
      </c>
      <c r="J142" s="23">
        <f t="shared" si="29"/>
        <v>64951.979689746513</v>
      </c>
      <c r="K142" s="13">
        <f t="shared" si="30"/>
        <v>0.7608970934863506</v>
      </c>
      <c r="L142" s="13">
        <f t="shared" si="31"/>
        <v>0.37228983090421325</v>
      </c>
      <c r="M142" s="19" t="str">
        <f t="shared" si="32"/>
        <v>ĐẠT</v>
      </c>
      <c r="N142">
        <f t="shared" si="33"/>
        <v>1</v>
      </c>
    </row>
    <row r="143" spans="2:14" x14ac:dyDescent="0.3">
      <c r="B143" s="19" t="str">
        <f>IF('TO HOP'!B189="","",'TO HOP'!B189)</f>
        <v>ĐB II - va xe dọc</v>
      </c>
      <c r="C143" s="23">
        <f>IF($B143="","",'TO HOP'!E189)</f>
        <v>30101.961023487027</v>
      </c>
      <c r="D143" s="23">
        <f>IF($B143="","",$C$32*ABS(IFERROR('TO HOP'!G189,0)))</f>
        <v>20648.88265816923</v>
      </c>
      <c r="E143" s="23">
        <f>IF($B143="","",$D$32*ABS(IFERROR('TO HOP'!F189,0)))</f>
        <v>4431.0786682500002</v>
      </c>
      <c r="F143" s="16">
        <f t="shared" si="25"/>
        <v>0.68596469984324138</v>
      </c>
      <c r="G143" s="16">
        <f t="shared" si="26"/>
        <v>0.14720232561568514</v>
      </c>
      <c r="H143" s="23">
        <f t="shared" si="27"/>
        <v>104438.02012632453</v>
      </c>
      <c r="I143" s="23">
        <f t="shared" si="28"/>
        <v>211684.10469270271</v>
      </c>
      <c r="J143" s="23">
        <f t="shared" si="29"/>
        <v>95058.289368845755</v>
      </c>
      <c r="K143" s="13">
        <f t="shared" si="30"/>
        <v>0.547910309318558</v>
      </c>
      <c r="L143" s="13">
        <f t="shared" si="31"/>
        <v>0.31666844862613941</v>
      </c>
      <c r="M143" s="19" t="str">
        <f t="shared" si="32"/>
        <v>ĐẠT</v>
      </c>
      <c r="N143">
        <f t="shared" si="33"/>
        <v>1</v>
      </c>
    </row>
    <row r="144" spans="2:14" x14ac:dyDescent="0.3">
      <c r="B144" s="19" t="str">
        <f>IF('TO HOP'!B190="","",'TO HOP'!B190)</f>
        <v>ĐB II - va xe ngang</v>
      </c>
      <c r="C144" s="23">
        <f>IF($B144="","",'TO HOP'!E190)</f>
        <v>30101.961023487027</v>
      </c>
      <c r="D144" s="23">
        <f>IF($B144="","",$C$32*ABS(IFERROR('TO HOP'!G190,0)))</f>
        <v>14207.833441637016</v>
      </c>
      <c r="E144" s="23">
        <f>IF($B144="","",$D$32*ABS(IFERROR('TO HOP'!F190,0)))</f>
        <v>10191.07866825</v>
      </c>
      <c r="F144" s="16">
        <f t="shared" si="25"/>
        <v>0.47199029427190364</v>
      </c>
      <c r="G144" s="16">
        <f t="shared" si="26"/>
        <v>0.33855198537724573</v>
      </c>
      <c r="H144" s="23">
        <f t="shared" si="27"/>
        <v>136835.65051111337</v>
      </c>
      <c r="I144" s="23">
        <f t="shared" si="28"/>
        <v>211684.10469270271</v>
      </c>
      <c r="J144" s="23">
        <f t="shared" si="29"/>
        <v>121170.39342355865</v>
      </c>
      <c r="K144" s="13">
        <f t="shared" si="30"/>
        <v>0.43339183334220366</v>
      </c>
      <c r="L144" s="13">
        <f t="shared" si="31"/>
        <v>0.24842670039259301</v>
      </c>
      <c r="M144" s="19" t="str">
        <f t="shared" si="32"/>
        <v>ĐẠT</v>
      </c>
      <c r="N144">
        <f t="shared" si="33"/>
        <v>1</v>
      </c>
    </row>
    <row r="145" spans="2:14" x14ac:dyDescent="0.3">
      <c r="B145" s="19" t="str">
        <f>IF('TO HOP'!B191="","",'TO HOP'!B191)</f>
        <v>ĐB II - va tàu ngang</v>
      </c>
      <c r="C145" s="23">
        <f>IF($B145="","",'TO HOP'!E191)</f>
        <v>30101.961023487027</v>
      </c>
      <c r="D145" s="23">
        <f>IF($B145="","",$C$32*ABS(IFERROR('TO HOP'!G191,0)))</f>
        <v>14207.833441637016</v>
      </c>
      <c r="E145" s="23">
        <f>IF($B145="","",$D$32*ABS(IFERROR('TO HOP'!F191,0)))</f>
        <v>4431.0786682500002</v>
      </c>
      <c r="F145" s="16">
        <f t="shared" si="25"/>
        <v>0.47199029427190364</v>
      </c>
      <c r="G145" s="16">
        <f t="shared" si="26"/>
        <v>0.14720232561568514</v>
      </c>
      <c r="H145" s="23">
        <f t="shared" si="27"/>
        <v>136835.65051111337</v>
      </c>
      <c r="I145" s="23">
        <f t="shared" si="28"/>
        <v>211684.10469270271</v>
      </c>
      <c r="J145" s="23">
        <f t="shared" si="29"/>
        <v>121170.39342355865</v>
      </c>
      <c r="K145" s="13">
        <f t="shared" si="30"/>
        <v>0.38791284311372221</v>
      </c>
      <c r="L145" s="13">
        <f t="shared" si="31"/>
        <v>0.24842670039259301</v>
      </c>
      <c r="M145" s="19" t="str">
        <f t="shared" si="32"/>
        <v>ĐẠT</v>
      </c>
      <c r="N145">
        <f t="shared" si="33"/>
        <v>1</v>
      </c>
    </row>
    <row r="146" spans="2:14" x14ac:dyDescent="0.3">
      <c r="B146" s="19" t="str">
        <f>IF('TO HOP'!B192="","",'TO HOP'!B192)</f>
        <v>ĐB II - va tàu dọc</v>
      </c>
      <c r="C146" s="23">
        <f>IF($B146="","",'TO HOP'!E192)</f>
        <v>30101.961023487027</v>
      </c>
      <c r="D146" s="23">
        <f>IF($B146="","",$C$32*ABS(IFERROR('TO HOP'!G192,0)))</f>
        <v>14207.833441637016</v>
      </c>
      <c r="E146" s="23">
        <f>IF($B146="","",$D$32*ABS(IFERROR('TO HOP'!F192,0)))</f>
        <v>4431.0786682500002</v>
      </c>
      <c r="F146" s="16">
        <f t="shared" si="25"/>
        <v>0.47199029427190364</v>
      </c>
      <c r="G146" s="16">
        <f t="shared" si="26"/>
        <v>0.14720232561568514</v>
      </c>
      <c r="H146" s="23">
        <f t="shared" si="27"/>
        <v>136835.65051111337</v>
      </c>
      <c r="I146" s="23">
        <f t="shared" si="28"/>
        <v>211684.10469270271</v>
      </c>
      <c r="J146" s="23">
        <f t="shared" si="29"/>
        <v>121170.39342355865</v>
      </c>
      <c r="K146" s="13">
        <f t="shared" si="30"/>
        <v>0.38791284311372221</v>
      </c>
      <c r="L146" s="13">
        <f t="shared" si="31"/>
        <v>0.24842670039259301</v>
      </c>
      <c r="M146" s="19" t="str">
        <f t="shared" si="32"/>
        <v>ĐẠT</v>
      </c>
      <c r="N146">
        <f t="shared" si="33"/>
        <v>1</v>
      </c>
    </row>
    <row r="148" spans="2:14" ht="27.6" x14ac:dyDescent="0.3">
      <c r="B148" s="7" t="s">
        <v>778</v>
      </c>
      <c r="D148" s="30">
        <f>MAX(L85:L146,L160:L465)</f>
        <v>0.96219471084700003</v>
      </c>
      <c r="E148" s="24" t="str">
        <f>IFERROR(INDEX(B85:B146,MATCH(D148,L85:L146,0)),INDEX(B160:B465,MATCH(D148,L160:L465,0)))</f>
        <v>SD I - 1 nhịp 5 làn</v>
      </c>
    </row>
    <row r="149" spans="2:14" x14ac:dyDescent="0.3">
      <c r="B149" s="7" t="s">
        <v>779</v>
      </c>
      <c r="D149" s="28" t="str">
        <f>IF(D148&lt;=1,"ĐẠT","KHÔNG ĐẠT")</f>
        <v>ĐẠT</v>
      </c>
    </row>
    <row r="158" spans="2:14" x14ac:dyDescent="0.3">
      <c r="B158" t="s">
        <v>1873</v>
      </c>
    </row>
    <row r="159" spans="2:14" x14ac:dyDescent="0.3">
      <c r="B159" t="s">
        <v>1874</v>
      </c>
    </row>
    <row r="160" spans="2:14" hidden="1" outlineLevel="1" x14ac:dyDescent="0.3">
      <c r="B160" s="24" t="str">
        <f>IF('TO HOP NLAN'!$A6="","",'TO HOP NLAN'!$A6)</f>
        <v/>
      </c>
      <c r="C160" s="24" t="str">
        <f>IF($B160="","",'TO HOP NLAN'!$D6)</f>
        <v/>
      </c>
      <c r="D160" s="24" t="str">
        <f>IF($B160="","",$C$32*ABS(IFERROR('TO HOP NLAN'!$F6,0)))</f>
        <v/>
      </c>
      <c r="E160" s="24" t="str">
        <f>IF($B160="","",$D$32*ABS(IFERROR('TO HOP NLAN'!$E6,0)))</f>
        <v/>
      </c>
      <c r="F160" s="24" t="str">
        <f t="shared" ref="F160" si="34">IF($B160="","",MAX(0.001,D160/MAX(1,C160)))</f>
        <v/>
      </c>
      <c r="G160" s="24" t="str">
        <f t="shared" ref="G160" si="35">IF($B160="","",MAX(0.001,E160/MAX(1,C160)))</f>
        <v/>
      </c>
      <c r="H160" s="24" t="str">
        <f t="shared" ref="H160" si="36">IF($B160="","",IF(F160&lt;=0.000000001,MIN(0.8*0.75*$C$62,MAX($J$38:$J$58)),IFERROR(MIN(0.8*0.75*$C$62,INDEX($J$38:$J$58,MATCH(F160,$L$38:$L$58,-1))+(INDEX($J$38:$J$58,MIN(21,MATCH(F160,$L$38:$L$58,-1)+1))-INDEX($J$38:$J$58,MATCH(F160,$L$38:$L$58,-1)))*(F160-INDEX($L$38:$L$58,MATCH(F160,$L$38:$L$58,-1)))/(INDEX($L$38:$L$58,MIN(21,MATCH(F160,$L$38:$L$58,-1)+1))-INDEX($L$38:$L$58,MATCH(F160,$L$38:$L$58,-1)))),$C$68/F160)))</f>
        <v/>
      </c>
      <c r="I160" s="24" t="str">
        <f t="shared" ref="I160" si="37">IF($B160="","",IF(G160&lt;=0.000000001,MIN(0.8*0.75*$C$62,MAX($W$38:$W$58)),IFERROR(MIN(0.8*0.75*$C$62,INDEX($W$38:$W$58,MATCH(G160,$Y$38:$Y$58,-1))+(INDEX($W$38:$W$58,MIN(21,MATCH(G160,$Y$38:$Y$58,-1)+1))-INDEX($W$38:$W$58,MATCH(G160,$Y$38:$Y$58,-1)))*(G160-INDEX($Y$38:$Y$58,MATCH(G160,$Y$38:$Y$58,-1)))/(INDEX($Y$38:$Y$58,MIN(21,MATCH(G160,$Y$38:$Y$58,-1)+1))-INDEX($Y$38:$Y$58,MATCH(G160,$Y$38:$Y$58,-1)))),$D$68/G160)))</f>
        <v/>
      </c>
      <c r="J160" s="24" t="str">
        <f t="shared" ref="J160" si="38">IF($B160="","",IFERROR(1/(1/H160+1/I160-1/(0.75*$C$62)),0))</f>
        <v/>
      </c>
      <c r="K160" s="24" t="str">
        <f t="shared" ref="K160" si="39">IF($B160="","",D160/MAX($C$68,0.001)+E160/MAX($D$68,0.001))</f>
        <v/>
      </c>
      <c r="L160" s="24" t="str">
        <f t="shared" ref="L160" si="40">IF($B160="","",IF(C160&gt;=0.1*0.75*fc_*Agth*1000,C160/MAX(J160,0.001),K160))</f>
        <v/>
      </c>
      <c r="M160" s="24" t="str">
        <f t="shared" ref="M160" si="41">IF($B160="","",IF(L160&lt;=1,"ĐẠT","KHÔNG ĐẠT"))</f>
        <v/>
      </c>
    </row>
    <row r="161" spans="2:13" hidden="1" outlineLevel="1" x14ac:dyDescent="0.3">
      <c r="B161" s="24" t="str">
        <f>IF('TO HOP NLAN'!$A7="","",'TO HOP NLAN'!$A7)</f>
        <v/>
      </c>
      <c r="C161" s="24" t="str">
        <f>IF($B161="","",'TO HOP NLAN'!$D7)</f>
        <v/>
      </c>
      <c r="D161" s="24" t="str">
        <f>IF($B161="","",$C$32*ABS(IFERROR('TO HOP NLAN'!$F7,0)))</f>
        <v/>
      </c>
      <c r="E161" s="24" t="str">
        <f>IF($B161="","",$D$32*ABS(IFERROR('TO HOP NLAN'!$E7,0)))</f>
        <v/>
      </c>
      <c r="F161" s="24" t="str">
        <f t="shared" ref="F161:F224" si="42">IF($B161="","",MAX(0.001,D161/MAX(1,C161)))</f>
        <v/>
      </c>
      <c r="G161" s="24" t="str">
        <f t="shared" ref="G161:G224" si="43">IF($B161="","",MAX(0.001,E161/MAX(1,C161)))</f>
        <v/>
      </c>
      <c r="H161" s="24" t="str">
        <f t="shared" ref="H161:H224" si="44">IF($B161="","",IF(F161&lt;=0.000000001,MIN(0.8*0.75*$C$62,MAX($J$38:$J$58)),IFERROR(MIN(0.8*0.75*$C$62,INDEX($J$38:$J$58,MATCH(F161,$L$38:$L$58,-1))+(INDEX($J$38:$J$58,MIN(21,MATCH(F161,$L$38:$L$58,-1)+1))-INDEX($J$38:$J$58,MATCH(F161,$L$38:$L$58,-1)))*(F161-INDEX($L$38:$L$58,MATCH(F161,$L$38:$L$58,-1)))/(INDEX($L$38:$L$58,MIN(21,MATCH(F161,$L$38:$L$58,-1)+1))-INDEX($L$38:$L$58,MATCH(F161,$L$38:$L$58,-1)))),$C$68/F161)))</f>
        <v/>
      </c>
      <c r="I161" s="24" t="str">
        <f t="shared" ref="I161:I224" si="45">IF($B161="","",IF(G161&lt;=0.000000001,MIN(0.8*0.75*$C$62,MAX($W$38:$W$58)),IFERROR(MIN(0.8*0.75*$C$62,INDEX($W$38:$W$58,MATCH(G161,$Y$38:$Y$58,-1))+(INDEX($W$38:$W$58,MIN(21,MATCH(G161,$Y$38:$Y$58,-1)+1))-INDEX($W$38:$W$58,MATCH(G161,$Y$38:$Y$58,-1)))*(G161-INDEX($Y$38:$Y$58,MATCH(G161,$Y$38:$Y$58,-1)))/(INDEX($Y$38:$Y$58,MIN(21,MATCH(G161,$Y$38:$Y$58,-1)+1))-INDEX($Y$38:$Y$58,MATCH(G161,$Y$38:$Y$58,-1)))),$D$68/G161)))</f>
        <v/>
      </c>
      <c r="J161" s="24" t="str">
        <f t="shared" ref="J161:J224" si="46">IF($B161="","",IFERROR(1/(1/H161+1/I161-1/(0.75*$C$62)),0))</f>
        <v/>
      </c>
      <c r="K161" s="24" t="str">
        <f t="shared" ref="K161:K224" si="47">IF($B161="","",D161/MAX($C$68,0.001)+E161/MAX($D$68,0.001))</f>
        <v/>
      </c>
      <c r="L161" s="24" t="str">
        <f t="shared" ref="L161:L224" si="48">IF($B161="","",IF(C161&gt;=0.1*0.75*fc_*Agth*1000,C161/MAX(J161,0.001),K161))</f>
        <v/>
      </c>
      <c r="M161" s="24" t="str">
        <f t="shared" ref="M161:M224" si="49">IF($B161="","",IF(L161&lt;=1,"ĐẠT","KHÔNG ĐẠT"))</f>
        <v/>
      </c>
    </row>
    <row r="162" spans="2:13" hidden="1" outlineLevel="1" x14ac:dyDescent="0.3">
      <c r="B162" s="24" t="str">
        <f>IF('TO HOP NLAN'!$A8="","",'TO HOP NLAN'!$A8)</f>
        <v/>
      </c>
      <c r="C162" s="24" t="str">
        <f>IF($B162="","",'TO HOP NLAN'!$D8)</f>
        <v/>
      </c>
      <c r="D162" s="24" t="str">
        <f>IF($B162="","",$C$32*ABS(IFERROR('TO HOP NLAN'!$F8,0)))</f>
        <v/>
      </c>
      <c r="E162" s="24" t="str">
        <f>IF($B162="","",$D$32*ABS(IFERROR('TO HOP NLAN'!$E8,0)))</f>
        <v/>
      </c>
      <c r="F162" s="24" t="str">
        <f t="shared" si="42"/>
        <v/>
      </c>
      <c r="G162" s="24" t="str">
        <f t="shared" si="43"/>
        <v/>
      </c>
      <c r="H162" s="24" t="str">
        <f t="shared" si="44"/>
        <v/>
      </c>
      <c r="I162" s="24" t="str">
        <f t="shared" si="45"/>
        <v/>
      </c>
      <c r="J162" s="24" t="str">
        <f t="shared" si="46"/>
        <v/>
      </c>
      <c r="K162" s="24" t="str">
        <f t="shared" si="47"/>
        <v/>
      </c>
      <c r="L162" s="24" t="str">
        <f t="shared" si="48"/>
        <v/>
      </c>
      <c r="M162" s="24" t="str">
        <f t="shared" si="49"/>
        <v/>
      </c>
    </row>
    <row r="163" spans="2:13" hidden="1" outlineLevel="1" x14ac:dyDescent="0.3">
      <c r="B163" s="24" t="str">
        <f>IF('TO HOP NLAN'!$A9="","",'TO HOP NLAN'!$A9)</f>
        <v/>
      </c>
      <c r="C163" s="24" t="str">
        <f>IF($B163="","",'TO HOP NLAN'!$D9)</f>
        <v/>
      </c>
      <c r="D163" s="24" t="str">
        <f>IF($B163="","",$C$32*ABS(IFERROR('TO HOP NLAN'!$F9,0)))</f>
        <v/>
      </c>
      <c r="E163" s="24" t="str">
        <f>IF($B163="","",$D$32*ABS(IFERROR('TO HOP NLAN'!$E9,0)))</f>
        <v/>
      </c>
      <c r="F163" s="24" t="str">
        <f t="shared" si="42"/>
        <v/>
      </c>
      <c r="G163" s="24" t="str">
        <f t="shared" si="43"/>
        <v/>
      </c>
      <c r="H163" s="24" t="str">
        <f t="shared" si="44"/>
        <v/>
      </c>
      <c r="I163" s="24" t="str">
        <f t="shared" si="45"/>
        <v/>
      </c>
      <c r="J163" s="24" t="str">
        <f t="shared" si="46"/>
        <v/>
      </c>
      <c r="K163" s="24" t="str">
        <f t="shared" si="47"/>
        <v/>
      </c>
      <c r="L163" s="24" t="str">
        <f t="shared" si="48"/>
        <v/>
      </c>
      <c r="M163" s="24" t="str">
        <f t="shared" si="49"/>
        <v/>
      </c>
    </row>
    <row r="164" spans="2:13" hidden="1" outlineLevel="1" x14ac:dyDescent="0.3">
      <c r="B164" s="24" t="str">
        <f>IF('TO HOP NLAN'!$A10="","",'TO HOP NLAN'!$A10)</f>
        <v/>
      </c>
      <c r="C164" s="24" t="str">
        <f>IF($B164="","",'TO HOP NLAN'!$D10)</f>
        <v/>
      </c>
      <c r="D164" s="24" t="str">
        <f>IF($B164="","",$C$32*ABS(IFERROR('TO HOP NLAN'!$F10,0)))</f>
        <v/>
      </c>
      <c r="E164" s="24" t="str">
        <f>IF($B164="","",$D$32*ABS(IFERROR('TO HOP NLAN'!$E10,0)))</f>
        <v/>
      </c>
      <c r="F164" s="24" t="str">
        <f t="shared" si="42"/>
        <v/>
      </c>
      <c r="G164" s="24" t="str">
        <f t="shared" si="43"/>
        <v/>
      </c>
      <c r="H164" s="24" t="str">
        <f t="shared" si="44"/>
        <v/>
      </c>
      <c r="I164" s="24" t="str">
        <f t="shared" si="45"/>
        <v/>
      </c>
      <c r="J164" s="24" t="str">
        <f t="shared" si="46"/>
        <v/>
      </c>
      <c r="K164" s="24" t="str">
        <f t="shared" si="47"/>
        <v/>
      </c>
      <c r="L164" s="24" t="str">
        <f t="shared" si="48"/>
        <v/>
      </c>
      <c r="M164" s="24" t="str">
        <f t="shared" si="49"/>
        <v/>
      </c>
    </row>
    <row r="165" spans="2:13" hidden="1" outlineLevel="1" x14ac:dyDescent="0.3">
      <c r="B165" s="24" t="str">
        <f>IF('TO HOP NLAN'!$A11="","",'TO HOP NLAN'!$A11)</f>
        <v/>
      </c>
      <c r="C165" s="24" t="str">
        <f>IF($B165="","",'TO HOP NLAN'!$D11)</f>
        <v/>
      </c>
      <c r="D165" s="24" t="str">
        <f>IF($B165="","",$C$32*ABS(IFERROR('TO HOP NLAN'!$F11,0)))</f>
        <v/>
      </c>
      <c r="E165" s="24" t="str">
        <f>IF($B165="","",$D$32*ABS(IFERROR('TO HOP NLAN'!$E11,0)))</f>
        <v/>
      </c>
      <c r="F165" s="24" t="str">
        <f t="shared" si="42"/>
        <v/>
      </c>
      <c r="G165" s="24" t="str">
        <f t="shared" si="43"/>
        <v/>
      </c>
      <c r="H165" s="24" t="str">
        <f t="shared" si="44"/>
        <v/>
      </c>
      <c r="I165" s="24" t="str">
        <f t="shared" si="45"/>
        <v/>
      </c>
      <c r="J165" s="24" t="str">
        <f t="shared" si="46"/>
        <v/>
      </c>
      <c r="K165" s="24" t="str">
        <f t="shared" si="47"/>
        <v/>
      </c>
      <c r="L165" s="24" t="str">
        <f t="shared" si="48"/>
        <v/>
      </c>
      <c r="M165" s="24" t="str">
        <f t="shared" si="49"/>
        <v/>
      </c>
    </row>
    <row r="166" spans="2:13" hidden="1" outlineLevel="1" x14ac:dyDescent="0.3">
      <c r="B166" s="24" t="str">
        <f>IF('TO HOP NLAN'!$A12="","",'TO HOP NLAN'!$A12)</f>
        <v/>
      </c>
      <c r="C166" s="24" t="str">
        <f>IF($B166="","",'TO HOP NLAN'!$D12)</f>
        <v/>
      </c>
      <c r="D166" s="24" t="str">
        <f>IF($B166="","",$C$32*ABS(IFERROR('TO HOP NLAN'!$F12,0)))</f>
        <v/>
      </c>
      <c r="E166" s="24" t="str">
        <f>IF($B166="","",$D$32*ABS(IFERROR('TO HOP NLAN'!$E12,0)))</f>
        <v/>
      </c>
      <c r="F166" s="24" t="str">
        <f t="shared" si="42"/>
        <v/>
      </c>
      <c r="G166" s="24" t="str">
        <f t="shared" si="43"/>
        <v/>
      </c>
      <c r="H166" s="24" t="str">
        <f t="shared" si="44"/>
        <v/>
      </c>
      <c r="I166" s="24" t="str">
        <f t="shared" si="45"/>
        <v/>
      </c>
      <c r="J166" s="24" t="str">
        <f t="shared" si="46"/>
        <v/>
      </c>
      <c r="K166" s="24" t="str">
        <f t="shared" si="47"/>
        <v/>
      </c>
      <c r="L166" s="24" t="str">
        <f t="shared" si="48"/>
        <v/>
      </c>
      <c r="M166" s="24" t="str">
        <f t="shared" si="49"/>
        <v/>
      </c>
    </row>
    <row r="167" spans="2:13" hidden="1" outlineLevel="1" x14ac:dyDescent="0.3">
      <c r="B167" s="24" t="str">
        <f>IF('TO HOP NLAN'!$A13="","",'TO HOP NLAN'!$A13)</f>
        <v/>
      </c>
      <c r="C167" s="24" t="str">
        <f>IF($B167="","",'TO HOP NLAN'!$D13)</f>
        <v/>
      </c>
      <c r="D167" s="24" t="str">
        <f>IF($B167="","",$C$32*ABS(IFERROR('TO HOP NLAN'!$F13,0)))</f>
        <v/>
      </c>
      <c r="E167" s="24" t="str">
        <f>IF($B167="","",$D$32*ABS(IFERROR('TO HOP NLAN'!$E13,0)))</f>
        <v/>
      </c>
      <c r="F167" s="24" t="str">
        <f t="shared" si="42"/>
        <v/>
      </c>
      <c r="G167" s="24" t="str">
        <f t="shared" si="43"/>
        <v/>
      </c>
      <c r="H167" s="24" t="str">
        <f t="shared" si="44"/>
        <v/>
      </c>
      <c r="I167" s="24" t="str">
        <f t="shared" si="45"/>
        <v/>
      </c>
      <c r="J167" s="24" t="str">
        <f t="shared" si="46"/>
        <v/>
      </c>
      <c r="K167" s="24" t="str">
        <f t="shared" si="47"/>
        <v/>
      </c>
      <c r="L167" s="24" t="str">
        <f t="shared" si="48"/>
        <v/>
      </c>
      <c r="M167" s="24" t="str">
        <f t="shared" si="49"/>
        <v/>
      </c>
    </row>
    <row r="168" spans="2:13" hidden="1" outlineLevel="1" x14ac:dyDescent="0.3">
      <c r="B168" s="24" t="str">
        <f>IF('TO HOP NLAN'!$A14="","",'TO HOP NLAN'!$A14)</f>
        <v/>
      </c>
      <c r="C168" s="24" t="str">
        <f>IF($B168="","",'TO HOP NLAN'!$D14)</f>
        <v/>
      </c>
      <c r="D168" s="24" t="str">
        <f>IF($B168="","",$C$32*ABS(IFERROR('TO HOP NLAN'!$F14,0)))</f>
        <v/>
      </c>
      <c r="E168" s="24" t="str">
        <f>IF($B168="","",$D$32*ABS(IFERROR('TO HOP NLAN'!$E14,0)))</f>
        <v/>
      </c>
      <c r="F168" s="24" t="str">
        <f t="shared" si="42"/>
        <v/>
      </c>
      <c r="G168" s="24" t="str">
        <f t="shared" si="43"/>
        <v/>
      </c>
      <c r="H168" s="24" t="str">
        <f t="shared" si="44"/>
        <v/>
      </c>
      <c r="I168" s="24" t="str">
        <f t="shared" si="45"/>
        <v/>
      </c>
      <c r="J168" s="24" t="str">
        <f t="shared" si="46"/>
        <v/>
      </c>
      <c r="K168" s="24" t="str">
        <f t="shared" si="47"/>
        <v/>
      </c>
      <c r="L168" s="24" t="str">
        <f t="shared" si="48"/>
        <v/>
      </c>
      <c r="M168" s="24" t="str">
        <f t="shared" si="49"/>
        <v/>
      </c>
    </row>
    <row r="169" spans="2:13" hidden="1" outlineLevel="1" x14ac:dyDescent="0.3">
      <c r="B169" s="24" t="str">
        <f>IF('TO HOP NLAN'!$A15="","",'TO HOP NLAN'!$A15)</f>
        <v/>
      </c>
      <c r="C169" s="24" t="str">
        <f>IF($B169="","",'TO HOP NLAN'!$D15)</f>
        <v/>
      </c>
      <c r="D169" s="24" t="str">
        <f>IF($B169="","",$C$32*ABS(IFERROR('TO HOP NLAN'!$F15,0)))</f>
        <v/>
      </c>
      <c r="E169" s="24" t="str">
        <f>IF($B169="","",$D$32*ABS(IFERROR('TO HOP NLAN'!$E15,0)))</f>
        <v/>
      </c>
      <c r="F169" s="24" t="str">
        <f t="shared" si="42"/>
        <v/>
      </c>
      <c r="G169" s="24" t="str">
        <f t="shared" si="43"/>
        <v/>
      </c>
      <c r="H169" s="24" t="str">
        <f t="shared" si="44"/>
        <v/>
      </c>
      <c r="I169" s="24" t="str">
        <f t="shared" si="45"/>
        <v/>
      </c>
      <c r="J169" s="24" t="str">
        <f t="shared" si="46"/>
        <v/>
      </c>
      <c r="K169" s="24" t="str">
        <f t="shared" si="47"/>
        <v/>
      </c>
      <c r="L169" s="24" t="str">
        <f t="shared" si="48"/>
        <v/>
      </c>
      <c r="M169" s="24" t="str">
        <f t="shared" si="49"/>
        <v/>
      </c>
    </row>
    <row r="170" spans="2:13" hidden="1" outlineLevel="1" x14ac:dyDescent="0.3">
      <c r="B170" s="24" t="str">
        <f>IF('TO HOP NLAN'!$A16="","",'TO HOP NLAN'!$A16)</f>
        <v/>
      </c>
      <c r="C170" s="24" t="str">
        <f>IF($B170="","",'TO HOP NLAN'!$D16)</f>
        <v/>
      </c>
      <c r="D170" s="24" t="str">
        <f>IF($B170="","",$C$32*ABS(IFERROR('TO HOP NLAN'!$F16,0)))</f>
        <v/>
      </c>
      <c r="E170" s="24" t="str">
        <f>IF($B170="","",$D$32*ABS(IFERROR('TO HOP NLAN'!$E16,0)))</f>
        <v/>
      </c>
      <c r="F170" s="24" t="str">
        <f t="shared" si="42"/>
        <v/>
      </c>
      <c r="G170" s="24" t="str">
        <f t="shared" si="43"/>
        <v/>
      </c>
      <c r="H170" s="24" t="str">
        <f t="shared" si="44"/>
        <v/>
      </c>
      <c r="I170" s="24" t="str">
        <f t="shared" si="45"/>
        <v/>
      </c>
      <c r="J170" s="24" t="str">
        <f t="shared" si="46"/>
        <v/>
      </c>
      <c r="K170" s="24" t="str">
        <f t="shared" si="47"/>
        <v/>
      </c>
      <c r="L170" s="24" t="str">
        <f t="shared" si="48"/>
        <v/>
      </c>
      <c r="M170" s="24" t="str">
        <f t="shared" si="49"/>
        <v/>
      </c>
    </row>
    <row r="171" spans="2:13" hidden="1" outlineLevel="1" x14ac:dyDescent="0.3">
      <c r="B171" s="24" t="str">
        <f>IF('TO HOP NLAN'!$A17="","",'TO HOP NLAN'!$A17)</f>
        <v/>
      </c>
      <c r="C171" s="24" t="str">
        <f>IF($B171="","",'TO HOP NLAN'!$D17)</f>
        <v/>
      </c>
      <c r="D171" s="24" t="str">
        <f>IF($B171="","",$C$32*ABS(IFERROR('TO HOP NLAN'!$F17,0)))</f>
        <v/>
      </c>
      <c r="E171" s="24" t="str">
        <f>IF($B171="","",$D$32*ABS(IFERROR('TO HOP NLAN'!$E17,0)))</f>
        <v/>
      </c>
      <c r="F171" s="24" t="str">
        <f t="shared" si="42"/>
        <v/>
      </c>
      <c r="G171" s="24" t="str">
        <f t="shared" si="43"/>
        <v/>
      </c>
      <c r="H171" s="24" t="str">
        <f t="shared" si="44"/>
        <v/>
      </c>
      <c r="I171" s="24" t="str">
        <f t="shared" si="45"/>
        <v/>
      </c>
      <c r="J171" s="24" t="str">
        <f t="shared" si="46"/>
        <v/>
      </c>
      <c r="K171" s="24" t="str">
        <f t="shared" si="47"/>
        <v/>
      </c>
      <c r="L171" s="24" t="str">
        <f t="shared" si="48"/>
        <v/>
      </c>
      <c r="M171" s="24" t="str">
        <f t="shared" si="49"/>
        <v/>
      </c>
    </row>
    <row r="172" spans="2:13" hidden="1" outlineLevel="1" x14ac:dyDescent="0.3">
      <c r="B172" s="24" t="str">
        <f>IF('TO HOP NLAN'!$A18="","",'TO HOP NLAN'!$A18)</f>
        <v/>
      </c>
      <c r="C172" s="24" t="str">
        <f>IF($B172="","",'TO HOP NLAN'!$D18)</f>
        <v/>
      </c>
      <c r="D172" s="24" t="str">
        <f>IF($B172="","",$C$32*ABS(IFERROR('TO HOP NLAN'!$F18,0)))</f>
        <v/>
      </c>
      <c r="E172" s="24" t="str">
        <f>IF($B172="","",$D$32*ABS(IFERROR('TO HOP NLAN'!$E18,0)))</f>
        <v/>
      </c>
      <c r="F172" s="24" t="str">
        <f t="shared" si="42"/>
        <v/>
      </c>
      <c r="G172" s="24" t="str">
        <f t="shared" si="43"/>
        <v/>
      </c>
      <c r="H172" s="24" t="str">
        <f t="shared" si="44"/>
        <v/>
      </c>
      <c r="I172" s="24" t="str">
        <f t="shared" si="45"/>
        <v/>
      </c>
      <c r="J172" s="24" t="str">
        <f t="shared" si="46"/>
        <v/>
      </c>
      <c r="K172" s="24" t="str">
        <f t="shared" si="47"/>
        <v/>
      </c>
      <c r="L172" s="24" t="str">
        <f t="shared" si="48"/>
        <v/>
      </c>
      <c r="M172" s="24" t="str">
        <f t="shared" si="49"/>
        <v/>
      </c>
    </row>
    <row r="173" spans="2:13" hidden="1" outlineLevel="1" x14ac:dyDescent="0.3">
      <c r="B173" s="24" t="str">
        <f>IF('TO HOP NLAN'!$A19="","",'TO HOP NLAN'!$A19)</f>
        <v/>
      </c>
      <c r="C173" s="24" t="str">
        <f>IF($B173="","",'TO HOP NLAN'!$D19)</f>
        <v/>
      </c>
      <c r="D173" s="24" t="str">
        <f>IF($B173="","",$C$32*ABS(IFERROR('TO HOP NLAN'!$F19,0)))</f>
        <v/>
      </c>
      <c r="E173" s="24" t="str">
        <f>IF($B173="","",$D$32*ABS(IFERROR('TO HOP NLAN'!$E19,0)))</f>
        <v/>
      </c>
      <c r="F173" s="24" t="str">
        <f t="shared" si="42"/>
        <v/>
      </c>
      <c r="G173" s="24" t="str">
        <f t="shared" si="43"/>
        <v/>
      </c>
      <c r="H173" s="24" t="str">
        <f t="shared" si="44"/>
        <v/>
      </c>
      <c r="I173" s="24" t="str">
        <f t="shared" si="45"/>
        <v/>
      </c>
      <c r="J173" s="24" t="str">
        <f t="shared" si="46"/>
        <v/>
      </c>
      <c r="K173" s="24" t="str">
        <f t="shared" si="47"/>
        <v/>
      </c>
      <c r="L173" s="24" t="str">
        <f t="shared" si="48"/>
        <v/>
      </c>
      <c r="M173" s="24" t="str">
        <f t="shared" si="49"/>
        <v/>
      </c>
    </row>
    <row r="174" spans="2:13" hidden="1" outlineLevel="1" x14ac:dyDescent="0.3">
      <c r="B174" s="24" t="str">
        <f>IF('TO HOP NLAN'!$A20="","",'TO HOP NLAN'!$A20)</f>
        <v/>
      </c>
      <c r="C174" s="24" t="str">
        <f>IF($B174="","",'TO HOP NLAN'!$D20)</f>
        <v/>
      </c>
      <c r="D174" s="24" t="str">
        <f>IF($B174="","",$C$32*ABS(IFERROR('TO HOP NLAN'!$F20,0)))</f>
        <v/>
      </c>
      <c r="E174" s="24" t="str">
        <f>IF($B174="","",$D$32*ABS(IFERROR('TO HOP NLAN'!$E20,0)))</f>
        <v/>
      </c>
      <c r="F174" s="24" t="str">
        <f t="shared" si="42"/>
        <v/>
      </c>
      <c r="G174" s="24" t="str">
        <f t="shared" si="43"/>
        <v/>
      </c>
      <c r="H174" s="24" t="str">
        <f t="shared" si="44"/>
        <v/>
      </c>
      <c r="I174" s="24" t="str">
        <f t="shared" si="45"/>
        <v/>
      </c>
      <c r="J174" s="24" t="str">
        <f t="shared" si="46"/>
        <v/>
      </c>
      <c r="K174" s="24" t="str">
        <f t="shared" si="47"/>
        <v/>
      </c>
      <c r="L174" s="24" t="str">
        <f t="shared" si="48"/>
        <v/>
      </c>
      <c r="M174" s="24" t="str">
        <f t="shared" si="49"/>
        <v/>
      </c>
    </row>
    <row r="175" spans="2:13" hidden="1" outlineLevel="1" x14ac:dyDescent="0.3">
      <c r="B175" s="24" t="str">
        <f>IF('TO HOP NLAN'!$A21="","",'TO HOP NLAN'!$A21)</f>
        <v/>
      </c>
      <c r="C175" s="24" t="str">
        <f>IF($B175="","",'TO HOP NLAN'!$D21)</f>
        <v/>
      </c>
      <c r="D175" s="24" t="str">
        <f>IF($B175="","",$C$32*ABS(IFERROR('TO HOP NLAN'!$F21,0)))</f>
        <v/>
      </c>
      <c r="E175" s="24" t="str">
        <f>IF($B175="","",$D$32*ABS(IFERROR('TO HOP NLAN'!$E21,0)))</f>
        <v/>
      </c>
      <c r="F175" s="24" t="str">
        <f t="shared" si="42"/>
        <v/>
      </c>
      <c r="G175" s="24" t="str">
        <f t="shared" si="43"/>
        <v/>
      </c>
      <c r="H175" s="24" t="str">
        <f t="shared" si="44"/>
        <v/>
      </c>
      <c r="I175" s="24" t="str">
        <f t="shared" si="45"/>
        <v/>
      </c>
      <c r="J175" s="24" t="str">
        <f t="shared" si="46"/>
        <v/>
      </c>
      <c r="K175" s="24" t="str">
        <f t="shared" si="47"/>
        <v/>
      </c>
      <c r="L175" s="24" t="str">
        <f t="shared" si="48"/>
        <v/>
      </c>
      <c r="M175" s="24" t="str">
        <f t="shared" si="49"/>
        <v/>
      </c>
    </row>
    <row r="176" spans="2:13" hidden="1" outlineLevel="1" x14ac:dyDescent="0.3">
      <c r="B176" s="24" t="str">
        <f>IF('TO HOP NLAN'!$A22="","",'TO HOP NLAN'!$A22)</f>
        <v/>
      </c>
      <c r="C176" s="24" t="str">
        <f>IF($B176="","",'TO HOP NLAN'!$D22)</f>
        <v/>
      </c>
      <c r="D176" s="24" t="str">
        <f>IF($B176="","",$C$32*ABS(IFERROR('TO HOP NLAN'!$F22,0)))</f>
        <v/>
      </c>
      <c r="E176" s="24" t="str">
        <f>IF($B176="","",$D$32*ABS(IFERROR('TO HOP NLAN'!$E22,0)))</f>
        <v/>
      </c>
      <c r="F176" s="24" t="str">
        <f t="shared" si="42"/>
        <v/>
      </c>
      <c r="G176" s="24" t="str">
        <f t="shared" si="43"/>
        <v/>
      </c>
      <c r="H176" s="24" t="str">
        <f t="shared" si="44"/>
        <v/>
      </c>
      <c r="I176" s="24" t="str">
        <f t="shared" si="45"/>
        <v/>
      </c>
      <c r="J176" s="24" t="str">
        <f t="shared" si="46"/>
        <v/>
      </c>
      <c r="K176" s="24" t="str">
        <f t="shared" si="47"/>
        <v/>
      </c>
      <c r="L176" s="24" t="str">
        <f t="shared" si="48"/>
        <v/>
      </c>
      <c r="M176" s="24" t="str">
        <f t="shared" si="49"/>
        <v/>
      </c>
    </row>
    <row r="177" spans="2:13" hidden="1" outlineLevel="1" x14ac:dyDescent="0.3">
      <c r="B177" s="24" t="str">
        <f>IF('TO HOP NLAN'!$A23="","",'TO HOP NLAN'!$A23)</f>
        <v/>
      </c>
      <c r="C177" s="24" t="str">
        <f>IF($B177="","",'TO HOP NLAN'!$D23)</f>
        <v/>
      </c>
      <c r="D177" s="24" t="str">
        <f>IF($B177="","",$C$32*ABS(IFERROR('TO HOP NLAN'!$F23,0)))</f>
        <v/>
      </c>
      <c r="E177" s="24" t="str">
        <f>IF($B177="","",$D$32*ABS(IFERROR('TO HOP NLAN'!$E23,0)))</f>
        <v/>
      </c>
      <c r="F177" s="24" t="str">
        <f t="shared" si="42"/>
        <v/>
      </c>
      <c r="G177" s="24" t="str">
        <f t="shared" si="43"/>
        <v/>
      </c>
      <c r="H177" s="24" t="str">
        <f t="shared" si="44"/>
        <v/>
      </c>
      <c r="I177" s="24" t="str">
        <f t="shared" si="45"/>
        <v/>
      </c>
      <c r="J177" s="24" t="str">
        <f t="shared" si="46"/>
        <v/>
      </c>
      <c r="K177" s="24" t="str">
        <f t="shared" si="47"/>
        <v/>
      </c>
      <c r="L177" s="24" t="str">
        <f t="shared" si="48"/>
        <v/>
      </c>
      <c r="M177" s="24" t="str">
        <f t="shared" si="49"/>
        <v/>
      </c>
    </row>
    <row r="178" spans="2:13" hidden="1" outlineLevel="1" x14ac:dyDescent="0.3">
      <c r="B178" s="24" t="str">
        <f>IF('TO HOP NLAN'!$A24="","",'TO HOP NLAN'!$A24)</f>
        <v/>
      </c>
      <c r="C178" s="24" t="str">
        <f>IF($B178="","",'TO HOP NLAN'!$D24)</f>
        <v/>
      </c>
      <c r="D178" s="24" t="str">
        <f>IF($B178="","",$C$32*ABS(IFERROR('TO HOP NLAN'!$F24,0)))</f>
        <v/>
      </c>
      <c r="E178" s="24" t="str">
        <f>IF($B178="","",$D$32*ABS(IFERROR('TO HOP NLAN'!$E24,0)))</f>
        <v/>
      </c>
      <c r="F178" s="24" t="str">
        <f t="shared" si="42"/>
        <v/>
      </c>
      <c r="G178" s="24" t="str">
        <f t="shared" si="43"/>
        <v/>
      </c>
      <c r="H178" s="24" t="str">
        <f t="shared" si="44"/>
        <v/>
      </c>
      <c r="I178" s="24" t="str">
        <f t="shared" si="45"/>
        <v/>
      </c>
      <c r="J178" s="24" t="str">
        <f t="shared" si="46"/>
        <v/>
      </c>
      <c r="K178" s="24" t="str">
        <f t="shared" si="47"/>
        <v/>
      </c>
      <c r="L178" s="24" t="str">
        <f t="shared" si="48"/>
        <v/>
      </c>
      <c r="M178" s="24" t="str">
        <f t="shared" si="49"/>
        <v/>
      </c>
    </row>
    <row r="179" spans="2:13" hidden="1" outlineLevel="1" x14ac:dyDescent="0.3">
      <c r="B179" s="24" t="str">
        <f>IF('TO HOP NLAN'!$A25="","",'TO HOP NLAN'!$A25)</f>
        <v/>
      </c>
      <c r="C179" s="24" t="str">
        <f>IF($B179="","",'TO HOP NLAN'!$D25)</f>
        <v/>
      </c>
      <c r="D179" s="24" t="str">
        <f>IF($B179="","",$C$32*ABS(IFERROR('TO HOP NLAN'!$F25,0)))</f>
        <v/>
      </c>
      <c r="E179" s="24" t="str">
        <f>IF($B179="","",$D$32*ABS(IFERROR('TO HOP NLAN'!$E25,0)))</f>
        <v/>
      </c>
      <c r="F179" s="24" t="str">
        <f t="shared" si="42"/>
        <v/>
      </c>
      <c r="G179" s="24" t="str">
        <f t="shared" si="43"/>
        <v/>
      </c>
      <c r="H179" s="24" t="str">
        <f t="shared" si="44"/>
        <v/>
      </c>
      <c r="I179" s="24" t="str">
        <f t="shared" si="45"/>
        <v/>
      </c>
      <c r="J179" s="24" t="str">
        <f t="shared" si="46"/>
        <v/>
      </c>
      <c r="K179" s="24" t="str">
        <f t="shared" si="47"/>
        <v/>
      </c>
      <c r="L179" s="24" t="str">
        <f t="shared" si="48"/>
        <v/>
      </c>
      <c r="M179" s="24" t="str">
        <f t="shared" si="49"/>
        <v/>
      </c>
    </row>
    <row r="180" spans="2:13" hidden="1" outlineLevel="1" x14ac:dyDescent="0.3">
      <c r="B180" s="24" t="str">
        <f>IF('TO HOP NLAN'!$A26="","",'TO HOP NLAN'!$A26)</f>
        <v/>
      </c>
      <c r="C180" s="24" t="str">
        <f>IF($B180="","",'TO HOP NLAN'!$D26)</f>
        <v/>
      </c>
      <c r="D180" s="24" t="str">
        <f>IF($B180="","",$C$32*ABS(IFERROR('TO HOP NLAN'!$F26,0)))</f>
        <v/>
      </c>
      <c r="E180" s="24" t="str">
        <f>IF($B180="","",$D$32*ABS(IFERROR('TO HOP NLAN'!$E26,0)))</f>
        <v/>
      </c>
      <c r="F180" s="24" t="str">
        <f t="shared" si="42"/>
        <v/>
      </c>
      <c r="G180" s="24" t="str">
        <f t="shared" si="43"/>
        <v/>
      </c>
      <c r="H180" s="24" t="str">
        <f t="shared" si="44"/>
        <v/>
      </c>
      <c r="I180" s="24" t="str">
        <f t="shared" si="45"/>
        <v/>
      </c>
      <c r="J180" s="24" t="str">
        <f t="shared" si="46"/>
        <v/>
      </c>
      <c r="K180" s="24" t="str">
        <f t="shared" si="47"/>
        <v/>
      </c>
      <c r="L180" s="24" t="str">
        <f t="shared" si="48"/>
        <v/>
      </c>
      <c r="M180" s="24" t="str">
        <f t="shared" si="49"/>
        <v/>
      </c>
    </row>
    <row r="181" spans="2:13" hidden="1" outlineLevel="1" x14ac:dyDescent="0.3">
      <c r="B181" s="24" t="str">
        <f>IF('TO HOP NLAN'!$A27="","",'TO HOP NLAN'!$A27)</f>
        <v/>
      </c>
      <c r="C181" s="24" t="str">
        <f>IF($B181="","",'TO HOP NLAN'!$D27)</f>
        <v/>
      </c>
      <c r="D181" s="24" t="str">
        <f>IF($B181="","",$C$32*ABS(IFERROR('TO HOP NLAN'!$F27,0)))</f>
        <v/>
      </c>
      <c r="E181" s="24" t="str">
        <f>IF($B181="","",$D$32*ABS(IFERROR('TO HOP NLAN'!$E27,0)))</f>
        <v/>
      </c>
      <c r="F181" s="24" t="str">
        <f t="shared" si="42"/>
        <v/>
      </c>
      <c r="G181" s="24" t="str">
        <f t="shared" si="43"/>
        <v/>
      </c>
      <c r="H181" s="24" t="str">
        <f t="shared" si="44"/>
        <v/>
      </c>
      <c r="I181" s="24" t="str">
        <f t="shared" si="45"/>
        <v/>
      </c>
      <c r="J181" s="24" t="str">
        <f t="shared" si="46"/>
        <v/>
      </c>
      <c r="K181" s="24" t="str">
        <f t="shared" si="47"/>
        <v/>
      </c>
      <c r="L181" s="24" t="str">
        <f t="shared" si="48"/>
        <v/>
      </c>
      <c r="M181" s="24" t="str">
        <f t="shared" si="49"/>
        <v/>
      </c>
    </row>
    <row r="182" spans="2:13" hidden="1" outlineLevel="1" x14ac:dyDescent="0.3">
      <c r="B182" s="24" t="str">
        <f>IF('TO HOP NLAN'!$A28="","",'TO HOP NLAN'!$A28)</f>
        <v/>
      </c>
      <c r="C182" s="24" t="str">
        <f>IF($B182="","",'TO HOP NLAN'!$D28)</f>
        <v/>
      </c>
      <c r="D182" s="24" t="str">
        <f>IF($B182="","",$C$32*ABS(IFERROR('TO HOP NLAN'!$F28,0)))</f>
        <v/>
      </c>
      <c r="E182" s="24" t="str">
        <f>IF($B182="","",$D$32*ABS(IFERROR('TO HOP NLAN'!$E28,0)))</f>
        <v/>
      </c>
      <c r="F182" s="24" t="str">
        <f t="shared" si="42"/>
        <v/>
      </c>
      <c r="G182" s="24" t="str">
        <f t="shared" si="43"/>
        <v/>
      </c>
      <c r="H182" s="24" t="str">
        <f t="shared" si="44"/>
        <v/>
      </c>
      <c r="I182" s="24" t="str">
        <f t="shared" si="45"/>
        <v/>
      </c>
      <c r="J182" s="24" t="str">
        <f t="shared" si="46"/>
        <v/>
      </c>
      <c r="K182" s="24" t="str">
        <f t="shared" si="47"/>
        <v/>
      </c>
      <c r="L182" s="24" t="str">
        <f t="shared" si="48"/>
        <v/>
      </c>
      <c r="M182" s="24" t="str">
        <f t="shared" si="49"/>
        <v/>
      </c>
    </row>
    <row r="183" spans="2:13" hidden="1" outlineLevel="1" x14ac:dyDescent="0.3">
      <c r="B183" s="24" t="str">
        <f>IF('TO HOP NLAN'!$A29="","",'TO HOP NLAN'!$A29)</f>
        <v/>
      </c>
      <c r="C183" s="24" t="str">
        <f>IF($B183="","",'TO HOP NLAN'!$D29)</f>
        <v/>
      </c>
      <c r="D183" s="24" t="str">
        <f>IF($B183="","",$C$32*ABS(IFERROR('TO HOP NLAN'!$F29,0)))</f>
        <v/>
      </c>
      <c r="E183" s="24" t="str">
        <f>IF($B183="","",$D$32*ABS(IFERROR('TO HOP NLAN'!$E29,0)))</f>
        <v/>
      </c>
      <c r="F183" s="24" t="str">
        <f t="shared" si="42"/>
        <v/>
      </c>
      <c r="G183" s="24" t="str">
        <f t="shared" si="43"/>
        <v/>
      </c>
      <c r="H183" s="24" t="str">
        <f t="shared" si="44"/>
        <v/>
      </c>
      <c r="I183" s="24" t="str">
        <f t="shared" si="45"/>
        <v/>
      </c>
      <c r="J183" s="24" t="str">
        <f t="shared" si="46"/>
        <v/>
      </c>
      <c r="K183" s="24" t="str">
        <f t="shared" si="47"/>
        <v/>
      </c>
      <c r="L183" s="24" t="str">
        <f t="shared" si="48"/>
        <v/>
      </c>
      <c r="M183" s="24" t="str">
        <f t="shared" si="49"/>
        <v/>
      </c>
    </row>
    <row r="184" spans="2:13" hidden="1" outlineLevel="1" x14ac:dyDescent="0.3">
      <c r="B184" s="24" t="str">
        <f>IF('TO HOP NLAN'!$A30="","",'TO HOP NLAN'!$A30)</f>
        <v/>
      </c>
      <c r="C184" s="24" t="str">
        <f>IF($B184="","",'TO HOP NLAN'!$D30)</f>
        <v/>
      </c>
      <c r="D184" s="24" t="str">
        <f>IF($B184="","",$C$32*ABS(IFERROR('TO HOP NLAN'!$F30,0)))</f>
        <v/>
      </c>
      <c r="E184" s="24" t="str">
        <f>IF($B184="","",$D$32*ABS(IFERROR('TO HOP NLAN'!$E30,0)))</f>
        <v/>
      </c>
      <c r="F184" s="24" t="str">
        <f t="shared" si="42"/>
        <v/>
      </c>
      <c r="G184" s="24" t="str">
        <f t="shared" si="43"/>
        <v/>
      </c>
      <c r="H184" s="24" t="str">
        <f t="shared" si="44"/>
        <v/>
      </c>
      <c r="I184" s="24" t="str">
        <f t="shared" si="45"/>
        <v/>
      </c>
      <c r="J184" s="24" t="str">
        <f t="shared" si="46"/>
        <v/>
      </c>
      <c r="K184" s="24" t="str">
        <f t="shared" si="47"/>
        <v/>
      </c>
      <c r="L184" s="24" t="str">
        <f t="shared" si="48"/>
        <v/>
      </c>
      <c r="M184" s="24" t="str">
        <f t="shared" si="49"/>
        <v/>
      </c>
    </row>
    <row r="185" spans="2:13" hidden="1" outlineLevel="1" x14ac:dyDescent="0.3">
      <c r="B185" s="24" t="str">
        <f>IF('TO HOP NLAN'!$A31="","",'TO HOP NLAN'!$A31)</f>
        <v/>
      </c>
      <c r="C185" s="24" t="str">
        <f>IF($B185="","",'TO HOP NLAN'!$D31)</f>
        <v/>
      </c>
      <c r="D185" s="24" t="str">
        <f>IF($B185="","",$C$32*ABS(IFERROR('TO HOP NLAN'!$F31,0)))</f>
        <v/>
      </c>
      <c r="E185" s="24" t="str">
        <f>IF($B185="","",$D$32*ABS(IFERROR('TO HOP NLAN'!$E31,0)))</f>
        <v/>
      </c>
      <c r="F185" s="24" t="str">
        <f t="shared" si="42"/>
        <v/>
      </c>
      <c r="G185" s="24" t="str">
        <f t="shared" si="43"/>
        <v/>
      </c>
      <c r="H185" s="24" t="str">
        <f t="shared" si="44"/>
        <v/>
      </c>
      <c r="I185" s="24" t="str">
        <f t="shared" si="45"/>
        <v/>
      </c>
      <c r="J185" s="24" t="str">
        <f t="shared" si="46"/>
        <v/>
      </c>
      <c r="K185" s="24" t="str">
        <f t="shared" si="47"/>
        <v/>
      </c>
      <c r="L185" s="24" t="str">
        <f t="shared" si="48"/>
        <v/>
      </c>
      <c r="M185" s="24" t="str">
        <f t="shared" si="49"/>
        <v/>
      </c>
    </row>
    <row r="186" spans="2:13" hidden="1" outlineLevel="1" x14ac:dyDescent="0.3">
      <c r="B186" s="24" t="str">
        <f>IF('TO HOP NLAN'!$A32="","",'TO HOP NLAN'!$A32)</f>
        <v/>
      </c>
      <c r="C186" s="24" t="str">
        <f>IF($B186="","",'TO HOP NLAN'!$D32)</f>
        <v/>
      </c>
      <c r="D186" s="24" t="str">
        <f>IF($B186="","",$C$32*ABS(IFERROR('TO HOP NLAN'!$F32,0)))</f>
        <v/>
      </c>
      <c r="E186" s="24" t="str">
        <f>IF($B186="","",$D$32*ABS(IFERROR('TO HOP NLAN'!$E32,0)))</f>
        <v/>
      </c>
      <c r="F186" s="24" t="str">
        <f t="shared" si="42"/>
        <v/>
      </c>
      <c r="G186" s="24" t="str">
        <f t="shared" si="43"/>
        <v/>
      </c>
      <c r="H186" s="24" t="str">
        <f t="shared" si="44"/>
        <v/>
      </c>
      <c r="I186" s="24" t="str">
        <f t="shared" si="45"/>
        <v/>
      </c>
      <c r="J186" s="24" t="str">
        <f t="shared" si="46"/>
        <v/>
      </c>
      <c r="K186" s="24" t="str">
        <f t="shared" si="47"/>
        <v/>
      </c>
      <c r="L186" s="24" t="str">
        <f t="shared" si="48"/>
        <v/>
      </c>
      <c r="M186" s="24" t="str">
        <f t="shared" si="49"/>
        <v/>
      </c>
    </row>
    <row r="187" spans="2:13" hidden="1" outlineLevel="1" x14ac:dyDescent="0.3">
      <c r="B187" s="24" t="str">
        <f>IF('TO HOP NLAN'!$A33="","",'TO HOP NLAN'!$A33)</f>
        <v/>
      </c>
      <c r="C187" s="24" t="str">
        <f>IF($B187="","",'TO HOP NLAN'!$D33)</f>
        <v/>
      </c>
      <c r="D187" s="24" t="str">
        <f>IF($B187="","",$C$32*ABS(IFERROR('TO HOP NLAN'!$F33,0)))</f>
        <v/>
      </c>
      <c r="E187" s="24" t="str">
        <f>IF($B187="","",$D$32*ABS(IFERROR('TO HOP NLAN'!$E33,0)))</f>
        <v/>
      </c>
      <c r="F187" s="24" t="str">
        <f t="shared" si="42"/>
        <v/>
      </c>
      <c r="G187" s="24" t="str">
        <f t="shared" si="43"/>
        <v/>
      </c>
      <c r="H187" s="24" t="str">
        <f t="shared" si="44"/>
        <v/>
      </c>
      <c r="I187" s="24" t="str">
        <f t="shared" si="45"/>
        <v/>
      </c>
      <c r="J187" s="24" t="str">
        <f t="shared" si="46"/>
        <v/>
      </c>
      <c r="K187" s="24" t="str">
        <f t="shared" si="47"/>
        <v/>
      </c>
      <c r="L187" s="24" t="str">
        <f t="shared" si="48"/>
        <v/>
      </c>
      <c r="M187" s="24" t="str">
        <f t="shared" si="49"/>
        <v/>
      </c>
    </row>
    <row r="188" spans="2:13" hidden="1" outlineLevel="1" x14ac:dyDescent="0.3">
      <c r="B188" s="24" t="str">
        <f>IF('TO HOP NLAN'!$A34="","",'TO HOP NLAN'!$A34)</f>
        <v/>
      </c>
      <c r="C188" s="24" t="str">
        <f>IF($B188="","",'TO HOP NLAN'!$D34)</f>
        <v/>
      </c>
      <c r="D188" s="24" t="str">
        <f>IF($B188="","",$C$32*ABS(IFERROR('TO HOP NLAN'!$F34,0)))</f>
        <v/>
      </c>
      <c r="E188" s="24" t="str">
        <f>IF($B188="","",$D$32*ABS(IFERROR('TO HOP NLAN'!$E34,0)))</f>
        <v/>
      </c>
      <c r="F188" s="24" t="str">
        <f t="shared" si="42"/>
        <v/>
      </c>
      <c r="G188" s="24" t="str">
        <f t="shared" si="43"/>
        <v/>
      </c>
      <c r="H188" s="24" t="str">
        <f t="shared" si="44"/>
        <v/>
      </c>
      <c r="I188" s="24" t="str">
        <f t="shared" si="45"/>
        <v/>
      </c>
      <c r="J188" s="24" t="str">
        <f t="shared" si="46"/>
        <v/>
      </c>
      <c r="K188" s="24" t="str">
        <f t="shared" si="47"/>
        <v/>
      </c>
      <c r="L188" s="24" t="str">
        <f t="shared" si="48"/>
        <v/>
      </c>
      <c r="M188" s="24" t="str">
        <f t="shared" si="49"/>
        <v/>
      </c>
    </row>
    <row r="189" spans="2:13" hidden="1" outlineLevel="1" x14ac:dyDescent="0.3">
      <c r="B189" s="24" t="str">
        <f>IF('TO HOP NLAN'!$A35="","",'TO HOP NLAN'!$A35)</f>
        <v/>
      </c>
      <c r="C189" s="24" t="str">
        <f>IF($B189="","",'TO HOP NLAN'!$D35)</f>
        <v/>
      </c>
      <c r="D189" s="24" t="str">
        <f>IF($B189="","",$C$32*ABS(IFERROR('TO HOP NLAN'!$F35,0)))</f>
        <v/>
      </c>
      <c r="E189" s="24" t="str">
        <f>IF($B189="","",$D$32*ABS(IFERROR('TO HOP NLAN'!$E35,0)))</f>
        <v/>
      </c>
      <c r="F189" s="24" t="str">
        <f t="shared" si="42"/>
        <v/>
      </c>
      <c r="G189" s="24" t="str">
        <f t="shared" si="43"/>
        <v/>
      </c>
      <c r="H189" s="24" t="str">
        <f t="shared" si="44"/>
        <v/>
      </c>
      <c r="I189" s="24" t="str">
        <f t="shared" si="45"/>
        <v/>
      </c>
      <c r="J189" s="24" t="str">
        <f t="shared" si="46"/>
        <v/>
      </c>
      <c r="K189" s="24" t="str">
        <f t="shared" si="47"/>
        <v/>
      </c>
      <c r="L189" s="24" t="str">
        <f t="shared" si="48"/>
        <v/>
      </c>
      <c r="M189" s="24" t="str">
        <f t="shared" si="49"/>
        <v/>
      </c>
    </row>
    <row r="190" spans="2:13" hidden="1" outlineLevel="1" x14ac:dyDescent="0.3">
      <c r="B190" s="24" t="str">
        <f>IF('TO HOP NLAN'!$A36="","",'TO HOP NLAN'!$A36)</f>
        <v/>
      </c>
      <c r="C190" s="24" t="str">
        <f>IF($B190="","",'TO HOP NLAN'!$D36)</f>
        <v/>
      </c>
      <c r="D190" s="24" t="str">
        <f>IF($B190="","",$C$32*ABS(IFERROR('TO HOP NLAN'!$F36,0)))</f>
        <v/>
      </c>
      <c r="E190" s="24" t="str">
        <f>IF($B190="","",$D$32*ABS(IFERROR('TO HOP NLAN'!$E36,0)))</f>
        <v/>
      </c>
      <c r="F190" s="24" t="str">
        <f t="shared" si="42"/>
        <v/>
      </c>
      <c r="G190" s="24" t="str">
        <f t="shared" si="43"/>
        <v/>
      </c>
      <c r="H190" s="24" t="str">
        <f t="shared" si="44"/>
        <v/>
      </c>
      <c r="I190" s="24" t="str">
        <f t="shared" si="45"/>
        <v/>
      </c>
      <c r="J190" s="24" t="str">
        <f t="shared" si="46"/>
        <v/>
      </c>
      <c r="K190" s="24" t="str">
        <f t="shared" si="47"/>
        <v/>
      </c>
      <c r="L190" s="24" t="str">
        <f t="shared" si="48"/>
        <v/>
      </c>
      <c r="M190" s="24" t="str">
        <f t="shared" si="49"/>
        <v/>
      </c>
    </row>
    <row r="191" spans="2:13" hidden="1" outlineLevel="1" x14ac:dyDescent="0.3">
      <c r="B191" s="24" t="str">
        <f>IF('TO HOP NLAN'!$A37="","",'TO HOP NLAN'!$A37)</f>
        <v/>
      </c>
      <c r="C191" s="24" t="str">
        <f>IF($B191="","",'TO HOP NLAN'!$D37)</f>
        <v/>
      </c>
      <c r="D191" s="24" t="str">
        <f>IF($B191="","",$C$32*ABS(IFERROR('TO HOP NLAN'!$F37,0)))</f>
        <v/>
      </c>
      <c r="E191" s="24" t="str">
        <f>IF($B191="","",$D$32*ABS(IFERROR('TO HOP NLAN'!$E37,0)))</f>
        <v/>
      </c>
      <c r="F191" s="24" t="str">
        <f t="shared" si="42"/>
        <v/>
      </c>
      <c r="G191" s="24" t="str">
        <f t="shared" si="43"/>
        <v/>
      </c>
      <c r="H191" s="24" t="str">
        <f t="shared" si="44"/>
        <v/>
      </c>
      <c r="I191" s="24" t="str">
        <f t="shared" si="45"/>
        <v/>
      </c>
      <c r="J191" s="24" t="str">
        <f t="shared" si="46"/>
        <v/>
      </c>
      <c r="K191" s="24" t="str">
        <f t="shared" si="47"/>
        <v/>
      </c>
      <c r="L191" s="24" t="str">
        <f t="shared" si="48"/>
        <v/>
      </c>
      <c r="M191" s="24" t="str">
        <f t="shared" si="49"/>
        <v/>
      </c>
    </row>
    <row r="192" spans="2:13" hidden="1" outlineLevel="1" x14ac:dyDescent="0.3">
      <c r="B192" s="24" t="str">
        <f>IF('TO HOP NLAN'!$A38="","",'TO HOP NLAN'!$A38)</f>
        <v/>
      </c>
      <c r="C192" s="24" t="str">
        <f>IF($B192="","",'TO HOP NLAN'!$D38)</f>
        <v/>
      </c>
      <c r="D192" s="24" t="str">
        <f>IF($B192="","",$C$32*ABS(IFERROR('TO HOP NLAN'!$F38,0)))</f>
        <v/>
      </c>
      <c r="E192" s="24" t="str">
        <f>IF($B192="","",$D$32*ABS(IFERROR('TO HOP NLAN'!$E38,0)))</f>
        <v/>
      </c>
      <c r="F192" s="24" t="str">
        <f t="shared" si="42"/>
        <v/>
      </c>
      <c r="G192" s="24" t="str">
        <f t="shared" si="43"/>
        <v/>
      </c>
      <c r="H192" s="24" t="str">
        <f t="shared" si="44"/>
        <v/>
      </c>
      <c r="I192" s="24" t="str">
        <f t="shared" si="45"/>
        <v/>
      </c>
      <c r="J192" s="24" t="str">
        <f t="shared" si="46"/>
        <v/>
      </c>
      <c r="K192" s="24" t="str">
        <f t="shared" si="47"/>
        <v/>
      </c>
      <c r="L192" s="24" t="str">
        <f t="shared" si="48"/>
        <v/>
      </c>
      <c r="M192" s="24" t="str">
        <f t="shared" si="49"/>
        <v/>
      </c>
    </row>
    <row r="193" spans="2:13" hidden="1" outlineLevel="1" x14ac:dyDescent="0.3">
      <c r="B193" s="24" t="str">
        <f>IF('TO HOP NLAN'!$A39="","",'TO HOP NLAN'!$A39)</f>
        <v/>
      </c>
      <c r="C193" s="24" t="str">
        <f>IF($B193="","",'TO HOP NLAN'!$D39)</f>
        <v/>
      </c>
      <c r="D193" s="24" t="str">
        <f>IF($B193="","",$C$32*ABS(IFERROR('TO HOP NLAN'!$F39,0)))</f>
        <v/>
      </c>
      <c r="E193" s="24" t="str">
        <f>IF($B193="","",$D$32*ABS(IFERROR('TO HOP NLAN'!$E39,0)))</f>
        <v/>
      </c>
      <c r="F193" s="24" t="str">
        <f t="shared" si="42"/>
        <v/>
      </c>
      <c r="G193" s="24" t="str">
        <f t="shared" si="43"/>
        <v/>
      </c>
      <c r="H193" s="24" t="str">
        <f t="shared" si="44"/>
        <v/>
      </c>
      <c r="I193" s="24" t="str">
        <f t="shared" si="45"/>
        <v/>
      </c>
      <c r="J193" s="24" t="str">
        <f t="shared" si="46"/>
        <v/>
      </c>
      <c r="K193" s="24" t="str">
        <f t="shared" si="47"/>
        <v/>
      </c>
      <c r="L193" s="24" t="str">
        <f t="shared" si="48"/>
        <v/>
      </c>
      <c r="M193" s="24" t="str">
        <f t="shared" si="49"/>
        <v/>
      </c>
    </row>
    <row r="194" spans="2:13" hidden="1" outlineLevel="1" x14ac:dyDescent="0.3">
      <c r="B194" s="24" t="str">
        <f>IF('TO HOP NLAN'!$A40="","",'TO HOP NLAN'!$A40)</f>
        <v/>
      </c>
      <c r="C194" s="24" t="str">
        <f>IF($B194="","",'TO HOP NLAN'!$D40)</f>
        <v/>
      </c>
      <c r="D194" s="24" t="str">
        <f>IF($B194="","",$C$32*ABS(IFERROR('TO HOP NLAN'!$F40,0)))</f>
        <v/>
      </c>
      <c r="E194" s="24" t="str">
        <f>IF($B194="","",$D$32*ABS(IFERROR('TO HOP NLAN'!$E40,0)))</f>
        <v/>
      </c>
      <c r="F194" s="24" t="str">
        <f t="shared" si="42"/>
        <v/>
      </c>
      <c r="G194" s="24" t="str">
        <f t="shared" si="43"/>
        <v/>
      </c>
      <c r="H194" s="24" t="str">
        <f t="shared" si="44"/>
        <v/>
      </c>
      <c r="I194" s="24" t="str">
        <f t="shared" si="45"/>
        <v/>
      </c>
      <c r="J194" s="24" t="str">
        <f t="shared" si="46"/>
        <v/>
      </c>
      <c r="K194" s="24" t="str">
        <f t="shared" si="47"/>
        <v/>
      </c>
      <c r="L194" s="24" t="str">
        <f t="shared" si="48"/>
        <v/>
      </c>
      <c r="M194" s="24" t="str">
        <f t="shared" si="49"/>
        <v/>
      </c>
    </row>
    <row r="195" spans="2:13" hidden="1" outlineLevel="1" x14ac:dyDescent="0.3">
      <c r="B195" s="24" t="str">
        <f>IF('TO HOP NLAN'!$A41="","",'TO HOP NLAN'!$A41)</f>
        <v/>
      </c>
      <c r="C195" s="24" t="str">
        <f>IF($B195="","",'TO HOP NLAN'!$D41)</f>
        <v/>
      </c>
      <c r="D195" s="24" t="str">
        <f>IF($B195="","",$C$32*ABS(IFERROR('TO HOP NLAN'!$F41,0)))</f>
        <v/>
      </c>
      <c r="E195" s="24" t="str">
        <f>IF($B195="","",$D$32*ABS(IFERROR('TO HOP NLAN'!$E41,0)))</f>
        <v/>
      </c>
      <c r="F195" s="24" t="str">
        <f t="shared" si="42"/>
        <v/>
      </c>
      <c r="G195" s="24" t="str">
        <f t="shared" si="43"/>
        <v/>
      </c>
      <c r="H195" s="24" t="str">
        <f t="shared" si="44"/>
        <v/>
      </c>
      <c r="I195" s="24" t="str">
        <f t="shared" si="45"/>
        <v/>
      </c>
      <c r="J195" s="24" t="str">
        <f t="shared" si="46"/>
        <v/>
      </c>
      <c r="K195" s="24" t="str">
        <f t="shared" si="47"/>
        <v/>
      </c>
      <c r="L195" s="24" t="str">
        <f t="shared" si="48"/>
        <v/>
      </c>
      <c r="M195" s="24" t="str">
        <f t="shared" si="49"/>
        <v/>
      </c>
    </row>
    <row r="196" spans="2:13" hidden="1" outlineLevel="1" x14ac:dyDescent="0.3">
      <c r="B196" s="24" t="str">
        <f>IF('TO HOP NLAN'!$A42="","",'TO HOP NLAN'!$A42)</f>
        <v/>
      </c>
      <c r="C196" s="24" t="str">
        <f>IF($B196="","",'TO HOP NLAN'!$D42)</f>
        <v/>
      </c>
      <c r="D196" s="24" t="str">
        <f>IF($B196="","",$C$32*ABS(IFERROR('TO HOP NLAN'!$F42,0)))</f>
        <v/>
      </c>
      <c r="E196" s="24" t="str">
        <f>IF($B196="","",$D$32*ABS(IFERROR('TO HOP NLAN'!$E42,0)))</f>
        <v/>
      </c>
      <c r="F196" s="24" t="str">
        <f t="shared" si="42"/>
        <v/>
      </c>
      <c r="G196" s="24" t="str">
        <f t="shared" si="43"/>
        <v/>
      </c>
      <c r="H196" s="24" t="str">
        <f t="shared" si="44"/>
        <v/>
      </c>
      <c r="I196" s="24" t="str">
        <f t="shared" si="45"/>
        <v/>
      </c>
      <c r="J196" s="24" t="str">
        <f t="shared" si="46"/>
        <v/>
      </c>
      <c r="K196" s="24" t="str">
        <f t="shared" si="47"/>
        <v/>
      </c>
      <c r="L196" s="24" t="str">
        <f t="shared" si="48"/>
        <v/>
      </c>
      <c r="M196" s="24" t="str">
        <f t="shared" si="49"/>
        <v/>
      </c>
    </row>
    <row r="197" spans="2:13" hidden="1" outlineLevel="1" x14ac:dyDescent="0.3">
      <c r="B197" s="24" t="str">
        <f>IF('TO HOP NLAN'!$A43="","",'TO HOP NLAN'!$A43)</f>
        <v/>
      </c>
      <c r="C197" s="24" t="str">
        <f>IF($B197="","",'TO HOP NLAN'!$D43)</f>
        <v/>
      </c>
      <c r="D197" s="24" t="str">
        <f>IF($B197="","",$C$32*ABS(IFERROR('TO HOP NLAN'!$F43,0)))</f>
        <v/>
      </c>
      <c r="E197" s="24" t="str">
        <f>IF($B197="","",$D$32*ABS(IFERROR('TO HOP NLAN'!$E43,0)))</f>
        <v/>
      </c>
      <c r="F197" s="24" t="str">
        <f t="shared" si="42"/>
        <v/>
      </c>
      <c r="G197" s="24" t="str">
        <f t="shared" si="43"/>
        <v/>
      </c>
      <c r="H197" s="24" t="str">
        <f t="shared" si="44"/>
        <v/>
      </c>
      <c r="I197" s="24" t="str">
        <f t="shared" si="45"/>
        <v/>
      </c>
      <c r="J197" s="24" t="str">
        <f t="shared" si="46"/>
        <v/>
      </c>
      <c r="K197" s="24" t="str">
        <f t="shared" si="47"/>
        <v/>
      </c>
      <c r="L197" s="24" t="str">
        <f t="shared" si="48"/>
        <v/>
      </c>
      <c r="M197" s="24" t="str">
        <f t="shared" si="49"/>
        <v/>
      </c>
    </row>
    <row r="198" spans="2:13" hidden="1" outlineLevel="1" x14ac:dyDescent="0.3">
      <c r="B198" s="24" t="str">
        <f>IF('TO HOP NLAN'!$A44="","",'TO HOP NLAN'!$A44)</f>
        <v/>
      </c>
      <c r="C198" s="24" t="str">
        <f>IF($B198="","",'TO HOP NLAN'!$D44)</f>
        <v/>
      </c>
      <c r="D198" s="24" t="str">
        <f>IF($B198="","",$C$32*ABS(IFERROR('TO HOP NLAN'!$F44,0)))</f>
        <v/>
      </c>
      <c r="E198" s="24" t="str">
        <f>IF($B198="","",$D$32*ABS(IFERROR('TO HOP NLAN'!$E44,0)))</f>
        <v/>
      </c>
      <c r="F198" s="24" t="str">
        <f t="shared" si="42"/>
        <v/>
      </c>
      <c r="G198" s="24" t="str">
        <f t="shared" si="43"/>
        <v/>
      </c>
      <c r="H198" s="24" t="str">
        <f t="shared" si="44"/>
        <v/>
      </c>
      <c r="I198" s="24" t="str">
        <f t="shared" si="45"/>
        <v/>
      </c>
      <c r="J198" s="24" t="str">
        <f t="shared" si="46"/>
        <v/>
      </c>
      <c r="K198" s="24" t="str">
        <f t="shared" si="47"/>
        <v/>
      </c>
      <c r="L198" s="24" t="str">
        <f t="shared" si="48"/>
        <v/>
      </c>
      <c r="M198" s="24" t="str">
        <f t="shared" si="49"/>
        <v/>
      </c>
    </row>
    <row r="199" spans="2:13" hidden="1" outlineLevel="1" x14ac:dyDescent="0.3">
      <c r="B199" s="24" t="str">
        <f>IF('TO HOP NLAN'!$A45="","",'TO HOP NLAN'!$A45)</f>
        <v/>
      </c>
      <c r="C199" s="24" t="str">
        <f>IF($B199="","",'TO HOP NLAN'!$D45)</f>
        <v/>
      </c>
      <c r="D199" s="24" t="str">
        <f>IF($B199="","",$C$32*ABS(IFERROR('TO HOP NLAN'!$F45,0)))</f>
        <v/>
      </c>
      <c r="E199" s="24" t="str">
        <f>IF($B199="","",$D$32*ABS(IFERROR('TO HOP NLAN'!$E45,0)))</f>
        <v/>
      </c>
      <c r="F199" s="24" t="str">
        <f t="shared" si="42"/>
        <v/>
      </c>
      <c r="G199" s="24" t="str">
        <f t="shared" si="43"/>
        <v/>
      </c>
      <c r="H199" s="24" t="str">
        <f t="shared" si="44"/>
        <v/>
      </c>
      <c r="I199" s="24" t="str">
        <f t="shared" si="45"/>
        <v/>
      </c>
      <c r="J199" s="24" t="str">
        <f t="shared" si="46"/>
        <v/>
      </c>
      <c r="K199" s="24" t="str">
        <f t="shared" si="47"/>
        <v/>
      </c>
      <c r="L199" s="24" t="str">
        <f t="shared" si="48"/>
        <v/>
      </c>
      <c r="M199" s="24" t="str">
        <f t="shared" si="49"/>
        <v/>
      </c>
    </row>
    <row r="200" spans="2:13" hidden="1" outlineLevel="1" x14ac:dyDescent="0.3">
      <c r="B200" s="24" t="str">
        <f>IF('TO HOP NLAN'!$A46="","",'TO HOP NLAN'!$A46)</f>
        <v/>
      </c>
      <c r="C200" s="24" t="str">
        <f>IF($B200="","",'TO HOP NLAN'!$D46)</f>
        <v/>
      </c>
      <c r="D200" s="24" t="str">
        <f>IF($B200="","",$C$32*ABS(IFERROR('TO HOP NLAN'!$F46,0)))</f>
        <v/>
      </c>
      <c r="E200" s="24" t="str">
        <f>IF($B200="","",$D$32*ABS(IFERROR('TO HOP NLAN'!$E46,0)))</f>
        <v/>
      </c>
      <c r="F200" s="24" t="str">
        <f t="shared" si="42"/>
        <v/>
      </c>
      <c r="G200" s="24" t="str">
        <f t="shared" si="43"/>
        <v/>
      </c>
      <c r="H200" s="24" t="str">
        <f t="shared" si="44"/>
        <v/>
      </c>
      <c r="I200" s="24" t="str">
        <f t="shared" si="45"/>
        <v/>
      </c>
      <c r="J200" s="24" t="str">
        <f t="shared" si="46"/>
        <v/>
      </c>
      <c r="K200" s="24" t="str">
        <f t="shared" si="47"/>
        <v/>
      </c>
      <c r="L200" s="24" t="str">
        <f t="shared" si="48"/>
        <v/>
      </c>
      <c r="M200" s="24" t="str">
        <f t="shared" si="49"/>
        <v/>
      </c>
    </row>
    <row r="201" spans="2:13" hidden="1" outlineLevel="1" x14ac:dyDescent="0.3">
      <c r="B201" s="24" t="str">
        <f>IF('TO HOP NLAN'!$A47="","",'TO HOP NLAN'!$A47)</f>
        <v/>
      </c>
      <c r="C201" s="24" t="str">
        <f>IF($B201="","",'TO HOP NLAN'!$D47)</f>
        <v/>
      </c>
      <c r="D201" s="24" t="str">
        <f>IF($B201="","",$C$32*ABS(IFERROR('TO HOP NLAN'!$F47,0)))</f>
        <v/>
      </c>
      <c r="E201" s="24" t="str">
        <f>IF($B201="","",$D$32*ABS(IFERROR('TO HOP NLAN'!$E47,0)))</f>
        <v/>
      </c>
      <c r="F201" s="24" t="str">
        <f t="shared" si="42"/>
        <v/>
      </c>
      <c r="G201" s="24" t="str">
        <f t="shared" si="43"/>
        <v/>
      </c>
      <c r="H201" s="24" t="str">
        <f t="shared" si="44"/>
        <v/>
      </c>
      <c r="I201" s="24" t="str">
        <f t="shared" si="45"/>
        <v/>
      </c>
      <c r="J201" s="24" t="str">
        <f t="shared" si="46"/>
        <v/>
      </c>
      <c r="K201" s="24" t="str">
        <f t="shared" si="47"/>
        <v/>
      </c>
      <c r="L201" s="24" t="str">
        <f t="shared" si="48"/>
        <v/>
      </c>
      <c r="M201" s="24" t="str">
        <f t="shared" si="49"/>
        <v/>
      </c>
    </row>
    <row r="202" spans="2:13" hidden="1" outlineLevel="1" x14ac:dyDescent="0.3">
      <c r="B202" s="24" t="str">
        <f>IF('TO HOP NLAN'!$A48="","",'TO HOP NLAN'!$A48)</f>
        <v/>
      </c>
      <c r="C202" s="24" t="str">
        <f>IF($B202="","",'TO HOP NLAN'!$D48)</f>
        <v/>
      </c>
      <c r="D202" s="24" t="str">
        <f>IF($B202="","",$C$32*ABS(IFERROR('TO HOP NLAN'!$F48,0)))</f>
        <v/>
      </c>
      <c r="E202" s="24" t="str">
        <f>IF($B202="","",$D$32*ABS(IFERROR('TO HOP NLAN'!$E48,0)))</f>
        <v/>
      </c>
      <c r="F202" s="24" t="str">
        <f t="shared" si="42"/>
        <v/>
      </c>
      <c r="G202" s="24" t="str">
        <f t="shared" si="43"/>
        <v/>
      </c>
      <c r="H202" s="24" t="str">
        <f t="shared" si="44"/>
        <v/>
      </c>
      <c r="I202" s="24" t="str">
        <f t="shared" si="45"/>
        <v/>
      </c>
      <c r="J202" s="24" t="str">
        <f t="shared" si="46"/>
        <v/>
      </c>
      <c r="K202" s="24" t="str">
        <f t="shared" si="47"/>
        <v/>
      </c>
      <c r="L202" s="24" t="str">
        <f t="shared" si="48"/>
        <v/>
      </c>
      <c r="M202" s="24" t="str">
        <f t="shared" si="49"/>
        <v/>
      </c>
    </row>
    <row r="203" spans="2:13" hidden="1" outlineLevel="1" x14ac:dyDescent="0.3">
      <c r="B203" s="24" t="str">
        <f>IF('TO HOP NLAN'!$A49="","",'TO HOP NLAN'!$A49)</f>
        <v/>
      </c>
      <c r="C203" s="24" t="str">
        <f>IF($B203="","",'TO HOP NLAN'!$D49)</f>
        <v/>
      </c>
      <c r="D203" s="24" t="str">
        <f>IF($B203="","",$C$32*ABS(IFERROR('TO HOP NLAN'!$F49,0)))</f>
        <v/>
      </c>
      <c r="E203" s="24" t="str">
        <f>IF($B203="","",$D$32*ABS(IFERROR('TO HOP NLAN'!$E49,0)))</f>
        <v/>
      </c>
      <c r="F203" s="24" t="str">
        <f t="shared" si="42"/>
        <v/>
      </c>
      <c r="G203" s="24" t="str">
        <f t="shared" si="43"/>
        <v/>
      </c>
      <c r="H203" s="24" t="str">
        <f t="shared" si="44"/>
        <v/>
      </c>
      <c r="I203" s="24" t="str">
        <f t="shared" si="45"/>
        <v/>
      </c>
      <c r="J203" s="24" t="str">
        <f t="shared" si="46"/>
        <v/>
      </c>
      <c r="K203" s="24" t="str">
        <f t="shared" si="47"/>
        <v/>
      </c>
      <c r="L203" s="24" t="str">
        <f t="shared" si="48"/>
        <v/>
      </c>
      <c r="M203" s="24" t="str">
        <f t="shared" si="49"/>
        <v/>
      </c>
    </row>
    <row r="204" spans="2:13" hidden="1" outlineLevel="1" x14ac:dyDescent="0.3">
      <c r="B204" s="24" t="str">
        <f>IF('TO HOP NLAN'!$A50="","",'TO HOP NLAN'!$A50)</f>
        <v/>
      </c>
      <c r="C204" s="24" t="str">
        <f>IF($B204="","",'TO HOP NLAN'!$D50)</f>
        <v/>
      </c>
      <c r="D204" s="24" t="str">
        <f>IF($B204="","",$C$32*ABS(IFERROR('TO HOP NLAN'!$F50,0)))</f>
        <v/>
      </c>
      <c r="E204" s="24" t="str">
        <f>IF($B204="","",$D$32*ABS(IFERROR('TO HOP NLAN'!$E50,0)))</f>
        <v/>
      </c>
      <c r="F204" s="24" t="str">
        <f t="shared" si="42"/>
        <v/>
      </c>
      <c r="G204" s="24" t="str">
        <f t="shared" si="43"/>
        <v/>
      </c>
      <c r="H204" s="24" t="str">
        <f t="shared" si="44"/>
        <v/>
      </c>
      <c r="I204" s="24" t="str">
        <f t="shared" si="45"/>
        <v/>
      </c>
      <c r="J204" s="24" t="str">
        <f t="shared" si="46"/>
        <v/>
      </c>
      <c r="K204" s="24" t="str">
        <f t="shared" si="47"/>
        <v/>
      </c>
      <c r="L204" s="24" t="str">
        <f t="shared" si="48"/>
        <v/>
      </c>
      <c r="M204" s="24" t="str">
        <f t="shared" si="49"/>
        <v/>
      </c>
    </row>
    <row r="205" spans="2:13" hidden="1" outlineLevel="1" x14ac:dyDescent="0.3">
      <c r="B205" s="24" t="str">
        <f>IF('TO HOP NLAN'!$A51="","",'TO HOP NLAN'!$A51)</f>
        <v/>
      </c>
      <c r="C205" s="24" t="str">
        <f>IF($B205="","",'TO HOP NLAN'!$D51)</f>
        <v/>
      </c>
      <c r="D205" s="24" t="str">
        <f>IF($B205="","",$C$32*ABS(IFERROR('TO HOP NLAN'!$F51,0)))</f>
        <v/>
      </c>
      <c r="E205" s="24" t="str">
        <f>IF($B205="","",$D$32*ABS(IFERROR('TO HOP NLAN'!$E51,0)))</f>
        <v/>
      </c>
      <c r="F205" s="24" t="str">
        <f t="shared" si="42"/>
        <v/>
      </c>
      <c r="G205" s="24" t="str">
        <f t="shared" si="43"/>
        <v/>
      </c>
      <c r="H205" s="24" t="str">
        <f t="shared" si="44"/>
        <v/>
      </c>
      <c r="I205" s="24" t="str">
        <f t="shared" si="45"/>
        <v/>
      </c>
      <c r="J205" s="24" t="str">
        <f t="shared" si="46"/>
        <v/>
      </c>
      <c r="K205" s="24" t="str">
        <f t="shared" si="47"/>
        <v/>
      </c>
      <c r="L205" s="24" t="str">
        <f t="shared" si="48"/>
        <v/>
      </c>
      <c r="M205" s="24" t="str">
        <f t="shared" si="49"/>
        <v/>
      </c>
    </row>
    <row r="206" spans="2:13" hidden="1" outlineLevel="1" x14ac:dyDescent="0.3">
      <c r="B206" s="24" t="str">
        <f>IF('TO HOP NLAN'!$A52="","",'TO HOP NLAN'!$A52)</f>
        <v/>
      </c>
      <c r="C206" s="24" t="str">
        <f>IF($B206="","",'TO HOP NLAN'!$D52)</f>
        <v/>
      </c>
      <c r="D206" s="24" t="str">
        <f>IF($B206="","",$C$32*ABS(IFERROR('TO HOP NLAN'!$F52,0)))</f>
        <v/>
      </c>
      <c r="E206" s="24" t="str">
        <f>IF($B206="","",$D$32*ABS(IFERROR('TO HOP NLAN'!$E52,0)))</f>
        <v/>
      </c>
      <c r="F206" s="24" t="str">
        <f t="shared" si="42"/>
        <v/>
      </c>
      <c r="G206" s="24" t="str">
        <f t="shared" si="43"/>
        <v/>
      </c>
      <c r="H206" s="24" t="str">
        <f t="shared" si="44"/>
        <v/>
      </c>
      <c r="I206" s="24" t="str">
        <f t="shared" si="45"/>
        <v/>
      </c>
      <c r="J206" s="24" t="str">
        <f t="shared" si="46"/>
        <v/>
      </c>
      <c r="K206" s="24" t="str">
        <f t="shared" si="47"/>
        <v/>
      </c>
      <c r="L206" s="24" t="str">
        <f t="shared" si="48"/>
        <v/>
      </c>
      <c r="M206" s="24" t="str">
        <f t="shared" si="49"/>
        <v/>
      </c>
    </row>
    <row r="207" spans="2:13" hidden="1" outlineLevel="1" x14ac:dyDescent="0.3">
      <c r="B207" s="24" t="str">
        <f>IF('TO HOP NLAN'!$A53="","",'TO HOP NLAN'!$A53)</f>
        <v/>
      </c>
      <c r="C207" s="24" t="str">
        <f>IF($B207="","",'TO HOP NLAN'!$D53)</f>
        <v/>
      </c>
      <c r="D207" s="24" t="str">
        <f>IF($B207="","",$C$32*ABS(IFERROR('TO HOP NLAN'!$F53,0)))</f>
        <v/>
      </c>
      <c r="E207" s="24" t="str">
        <f>IF($B207="","",$D$32*ABS(IFERROR('TO HOP NLAN'!$E53,0)))</f>
        <v/>
      </c>
      <c r="F207" s="24" t="str">
        <f t="shared" si="42"/>
        <v/>
      </c>
      <c r="G207" s="24" t="str">
        <f t="shared" si="43"/>
        <v/>
      </c>
      <c r="H207" s="24" t="str">
        <f t="shared" si="44"/>
        <v/>
      </c>
      <c r="I207" s="24" t="str">
        <f t="shared" si="45"/>
        <v/>
      </c>
      <c r="J207" s="24" t="str">
        <f t="shared" si="46"/>
        <v/>
      </c>
      <c r="K207" s="24" t="str">
        <f t="shared" si="47"/>
        <v/>
      </c>
      <c r="L207" s="24" t="str">
        <f t="shared" si="48"/>
        <v/>
      </c>
      <c r="M207" s="24" t="str">
        <f t="shared" si="49"/>
        <v/>
      </c>
    </row>
    <row r="208" spans="2:13" hidden="1" outlineLevel="1" x14ac:dyDescent="0.3">
      <c r="B208" s="24" t="str">
        <f>IF('TO HOP NLAN'!$A54="","",'TO HOP NLAN'!$A54)</f>
        <v/>
      </c>
      <c r="C208" s="24" t="str">
        <f>IF($B208="","",'TO HOP NLAN'!$D54)</f>
        <v/>
      </c>
      <c r="D208" s="24" t="str">
        <f>IF($B208="","",$C$32*ABS(IFERROR('TO HOP NLAN'!$F54,0)))</f>
        <v/>
      </c>
      <c r="E208" s="24" t="str">
        <f>IF($B208="","",$D$32*ABS(IFERROR('TO HOP NLAN'!$E54,0)))</f>
        <v/>
      </c>
      <c r="F208" s="24" t="str">
        <f t="shared" si="42"/>
        <v/>
      </c>
      <c r="G208" s="24" t="str">
        <f t="shared" si="43"/>
        <v/>
      </c>
      <c r="H208" s="24" t="str">
        <f t="shared" si="44"/>
        <v/>
      </c>
      <c r="I208" s="24" t="str">
        <f t="shared" si="45"/>
        <v/>
      </c>
      <c r="J208" s="24" t="str">
        <f t="shared" si="46"/>
        <v/>
      </c>
      <c r="K208" s="24" t="str">
        <f t="shared" si="47"/>
        <v/>
      </c>
      <c r="L208" s="24" t="str">
        <f t="shared" si="48"/>
        <v/>
      </c>
      <c r="M208" s="24" t="str">
        <f t="shared" si="49"/>
        <v/>
      </c>
    </row>
    <row r="209" spans="2:13" hidden="1" outlineLevel="1" x14ac:dyDescent="0.3">
      <c r="B209" s="24" t="str">
        <f>IF('TO HOP NLAN'!$A55="","",'TO HOP NLAN'!$A55)</f>
        <v/>
      </c>
      <c r="C209" s="24" t="str">
        <f>IF($B209="","",'TO HOP NLAN'!$D55)</f>
        <v/>
      </c>
      <c r="D209" s="24" t="str">
        <f>IF($B209="","",$C$32*ABS(IFERROR('TO HOP NLAN'!$F55,0)))</f>
        <v/>
      </c>
      <c r="E209" s="24" t="str">
        <f>IF($B209="","",$D$32*ABS(IFERROR('TO HOP NLAN'!$E55,0)))</f>
        <v/>
      </c>
      <c r="F209" s="24" t="str">
        <f t="shared" si="42"/>
        <v/>
      </c>
      <c r="G209" s="24" t="str">
        <f t="shared" si="43"/>
        <v/>
      </c>
      <c r="H209" s="24" t="str">
        <f t="shared" si="44"/>
        <v/>
      </c>
      <c r="I209" s="24" t="str">
        <f t="shared" si="45"/>
        <v/>
      </c>
      <c r="J209" s="24" t="str">
        <f t="shared" si="46"/>
        <v/>
      </c>
      <c r="K209" s="24" t="str">
        <f t="shared" si="47"/>
        <v/>
      </c>
      <c r="L209" s="24" t="str">
        <f t="shared" si="48"/>
        <v/>
      </c>
      <c r="M209" s="24" t="str">
        <f t="shared" si="49"/>
        <v/>
      </c>
    </row>
    <row r="210" spans="2:13" hidden="1" outlineLevel="1" x14ac:dyDescent="0.3">
      <c r="B210" s="24" t="str">
        <f>IF('TO HOP NLAN'!$A56="","",'TO HOP NLAN'!$A56)</f>
        <v/>
      </c>
      <c r="C210" s="24" t="str">
        <f>IF($B210="","",'TO HOP NLAN'!$D56)</f>
        <v/>
      </c>
      <c r="D210" s="24" t="str">
        <f>IF($B210="","",$C$32*ABS(IFERROR('TO HOP NLAN'!$F56,0)))</f>
        <v/>
      </c>
      <c r="E210" s="24" t="str">
        <f>IF($B210="","",$D$32*ABS(IFERROR('TO HOP NLAN'!$E56,0)))</f>
        <v/>
      </c>
      <c r="F210" s="24" t="str">
        <f t="shared" si="42"/>
        <v/>
      </c>
      <c r="G210" s="24" t="str">
        <f t="shared" si="43"/>
        <v/>
      </c>
      <c r="H210" s="24" t="str">
        <f t="shared" si="44"/>
        <v/>
      </c>
      <c r="I210" s="24" t="str">
        <f t="shared" si="45"/>
        <v/>
      </c>
      <c r="J210" s="24" t="str">
        <f t="shared" si="46"/>
        <v/>
      </c>
      <c r="K210" s="24" t="str">
        <f t="shared" si="47"/>
        <v/>
      </c>
      <c r="L210" s="24" t="str">
        <f t="shared" si="48"/>
        <v/>
      </c>
      <c r="M210" s="24" t="str">
        <f t="shared" si="49"/>
        <v/>
      </c>
    </row>
    <row r="211" spans="2:13" hidden="1" outlineLevel="1" x14ac:dyDescent="0.3">
      <c r="B211" s="24" t="str">
        <f>IF('TO HOP NLAN'!$A57="","",'TO HOP NLAN'!$A57)</f>
        <v/>
      </c>
      <c r="C211" s="24" t="str">
        <f>IF($B211="","",'TO HOP NLAN'!$D57)</f>
        <v/>
      </c>
      <c r="D211" s="24" t="str">
        <f>IF($B211="","",$C$32*ABS(IFERROR('TO HOP NLAN'!$F57,0)))</f>
        <v/>
      </c>
      <c r="E211" s="24" t="str">
        <f>IF($B211="","",$D$32*ABS(IFERROR('TO HOP NLAN'!$E57,0)))</f>
        <v/>
      </c>
      <c r="F211" s="24" t="str">
        <f t="shared" si="42"/>
        <v/>
      </c>
      <c r="G211" s="24" t="str">
        <f t="shared" si="43"/>
        <v/>
      </c>
      <c r="H211" s="24" t="str">
        <f t="shared" si="44"/>
        <v/>
      </c>
      <c r="I211" s="24" t="str">
        <f t="shared" si="45"/>
        <v/>
      </c>
      <c r="J211" s="24" t="str">
        <f t="shared" si="46"/>
        <v/>
      </c>
      <c r="K211" s="24" t="str">
        <f t="shared" si="47"/>
        <v/>
      </c>
      <c r="L211" s="24" t="str">
        <f t="shared" si="48"/>
        <v/>
      </c>
      <c r="M211" s="24" t="str">
        <f t="shared" si="49"/>
        <v/>
      </c>
    </row>
    <row r="212" spans="2:13" hidden="1" outlineLevel="1" x14ac:dyDescent="0.3">
      <c r="B212" s="24" t="str">
        <f>IF('TO HOP NLAN'!$A58="","",'TO HOP NLAN'!$A58)</f>
        <v/>
      </c>
      <c r="C212" s="24" t="str">
        <f>IF($B212="","",'TO HOP NLAN'!$D58)</f>
        <v/>
      </c>
      <c r="D212" s="24" t="str">
        <f>IF($B212="","",$C$32*ABS(IFERROR('TO HOP NLAN'!$F58,0)))</f>
        <v/>
      </c>
      <c r="E212" s="24" t="str">
        <f>IF($B212="","",$D$32*ABS(IFERROR('TO HOP NLAN'!$E58,0)))</f>
        <v/>
      </c>
      <c r="F212" s="24" t="str">
        <f t="shared" si="42"/>
        <v/>
      </c>
      <c r="G212" s="24" t="str">
        <f t="shared" si="43"/>
        <v/>
      </c>
      <c r="H212" s="24" t="str">
        <f t="shared" si="44"/>
        <v/>
      </c>
      <c r="I212" s="24" t="str">
        <f t="shared" si="45"/>
        <v/>
      </c>
      <c r="J212" s="24" t="str">
        <f t="shared" si="46"/>
        <v/>
      </c>
      <c r="K212" s="24" t="str">
        <f t="shared" si="47"/>
        <v/>
      </c>
      <c r="L212" s="24" t="str">
        <f t="shared" si="48"/>
        <v/>
      </c>
      <c r="M212" s="24" t="str">
        <f t="shared" si="49"/>
        <v/>
      </c>
    </row>
    <row r="213" spans="2:13" hidden="1" outlineLevel="1" x14ac:dyDescent="0.3">
      <c r="B213" s="24" t="str">
        <f>IF('TO HOP NLAN'!$A59="","",'TO HOP NLAN'!$A59)</f>
        <v/>
      </c>
      <c r="C213" s="24" t="str">
        <f>IF($B213="","",'TO HOP NLAN'!$D59)</f>
        <v/>
      </c>
      <c r="D213" s="24" t="str">
        <f>IF($B213="","",$C$32*ABS(IFERROR('TO HOP NLAN'!$F59,0)))</f>
        <v/>
      </c>
      <c r="E213" s="24" t="str">
        <f>IF($B213="","",$D$32*ABS(IFERROR('TO HOP NLAN'!$E59,0)))</f>
        <v/>
      </c>
      <c r="F213" s="24" t="str">
        <f t="shared" si="42"/>
        <v/>
      </c>
      <c r="G213" s="24" t="str">
        <f t="shared" si="43"/>
        <v/>
      </c>
      <c r="H213" s="24" t="str">
        <f t="shared" si="44"/>
        <v/>
      </c>
      <c r="I213" s="24" t="str">
        <f t="shared" si="45"/>
        <v/>
      </c>
      <c r="J213" s="24" t="str">
        <f t="shared" si="46"/>
        <v/>
      </c>
      <c r="K213" s="24" t="str">
        <f t="shared" si="47"/>
        <v/>
      </c>
      <c r="L213" s="24" t="str">
        <f t="shared" si="48"/>
        <v/>
      </c>
      <c r="M213" s="24" t="str">
        <f t="shared" si="49"/>
        <v/>
      </c>
    </row>
    <row r="214" spans="2:13" hidden="1" outlineLevel="1" x14ac:dyDescent="0.3">
      <c r="B214" s="24" t="str">
        <f>IF('TO HOP NLAN'!$A60="","",'TO HOP NLAN'!$A60)</f>
        <v/>
      </c>
      <c r="C214" s="24" t="str">
        <f>IF($B214="","",'TO HOP NLAN'!$D60)</f>
        <v/>
      </c>
      <c r="D214" s="24" t="str">
        <f>IF($B214="","",$C$32*ABS(IFERROR('TO HOP NLAN'!$F60,0)))</f>
        <v/>
      </c>
      <c r="E214" s="24" t="str">
        <f>IF($B214="","",$D$32*ABS(IFERROR('TO HOP NLAN'!$E60,0)))</f>
        <v/>
      </c>
      <c r="F214" s="24" t="str">
        <f t="shared" si="42"/>
        <v/>
      </c>
      <c r="G214" s="24" t="str">
        <f t="shared" si="43"/>
        <v/>
      </c>
      <c r="H214" s="24" t="str">
        <f t="shared" si="44"/>
        <v/>
      </c>
      <c r="I214" s="24" t="str">
        <f t="shared" si="45"/>
        <v/>
      </c>
      <c r="J214" s="24" t="str">
        <f t="shared" si="46"/>
        <v/>
      </c>
      <c r="K214" s="24" t="str">
        <f t="shared" si="47"/>
        <v/>
      </c>
      <c r="L214" s="24" t="str">
        <f t="shared" si="48"/>
        <v/>
      </c>
      <c r="M214" s="24" t="str">
        <f t="shared" si="49"/>
        <v/>
      </c>
    </row>
    <row r="215" spans="2:13" hidden="1" outlineLevel="1" x14ac:dyDescent="0.3">
      <c r="B215" s="24" t="str">
        <f>IF('TO HOP NLAN'!$A61="","",'TO HOP NLAN'!$A61)</f>
        <v/>
      </c>
      <c r="C215" s="24" t="str">
        <f>IF($B215="","",'TO HOP NLAN'!$D61)</f>
        <v/>
      </c>
      <c r="D215" s="24" t="str">
        <f>IF($B215="","",$C$32*ABS(IFERROR('TO HOP NLAN'!$F61,0)))</f>
        <v/>
      </c>
      <c r="E215" s="24" t="str">
        <f>IF($B215="","",$D$32*ABS(IFERROR('TO HOP NLAN'!$E61,0)))</f>
        <v/>
      </c>
      <c r="F215" s="24" t="str">
        <f t="shared" si="42"/>
        <v/>
      </c>
      <c r="G215" s="24" t="str">
        <f t="shared" si="43"/>
        <v/>
      </c>
      <c r="H215" s="24" t="str">
        <f t="shared" si="44"/>
        <v/>
      </c>
      <c r="I215" s="24" t="str">
        <f t="shared" si="45"/>
        <v/>
      </c>
      <c r="J215" s="24" t="str">
        <f t="shared" si="46"/>
        <v/>
      </c>
      <c r="K215" s="24" t="str">
        <f t="shared" si="47"/>
        <v/>
      </c>
      <c r="L215" s="24" t="str">
        <f t="shared" si="48"/>
        <v/>
      </c>
      <c r="M215" s="24" t="str">
        <f t="shared" si="49"/>
        <v/>
      </c>
    </row>
    <row r="216" spans="2:13" hidden="1" outlineLevel="1" x14ac:dyDescent="0.3">
      <c r="B216" s="24" t="str">
        <f>IF('TO HOP NLAN'!$A62="","",'TO HOP NLAN'!$A62)</f>
        <v/>
      </c>
      <c r="C216" s="24" t="str">
        <f>IF($B216="","",'TO HOP NLAN'!$D62)</f>
        <v/>
      </c>
      <c r="D216" s="24" t="str">
        <f>IF($B216="","",$C$32*ABS(IFERROR('TO HOP NLAN'!$F62,0)))</f>
        <v/>
      </c>
      <c r="E216" s="24" t="str">
        <f>IF($B216="","",$D$32*ABS(IFERROR('TO HOP NLAN'!$E62,0)))</f>
        <v/>
      </c>
      <c r="F216" s="24" t="str">
        <f t="shared" si="42"/>
        <v/>
      </c>
      <c r="G216" s="24" t="str">
        <f t="shared" si="43"/>
        <v/>
      </c>
      <c r="H216" s="24" t="str">
        <f t="shared" si="44"/>
        <v/>
      </c>
      <c r="I216" s="24" t="str">
        <f t="shared" si="45"/>
        <v/>
      </c>
      <c r="J216" s="24" t="str">
        <f t="shared" si="46"/>
        <v/>
      </c>
      <c r="K216" s="24" t="str">
        <f t="shared" si="47"/>
        <v/>
      </c>
      <c r="L216" s="24" t="str">
        <f t="shared" si="48"/>
        <v/>
      </c>
      <c r="M216" s="24" t="str">
        <f t="shared" si="49"/>
        <v/>
      </c>
    </row>
    <row r="217" spans="2:13" hidden="1" outlineLevel="1" x14ac:dyDescent="0.3">
      <c r="B217" s="24" t="str">
        <f>IF('TO HOP NLAN'!$A63="","",'TO HOP NLAN'!$A63)</f>
        <v/>
      </c>
      <c r="C217" s="24" t="str">
        <f>IF($B217="","",'TO HOP NLAN'!$D63)</f>
        <v/>
      </c>
      <c r="D217" s="24" t="str">
        <f>IF($B217="","",$C$32*ABS(IFERROR('TO HOP NLAN'!$F63,0)))</f>
        <v/>
      </c>
      <c r="E217" s="24" t="str">
        <f>IF($B217="","",$D$32*ABS(IFERROR('TO HOP NLAN'!$E63,0)))</f>
        <v/>
      </c>
      <c r="F217" s="24" t="str">
        <f t="shared" si="42"/>
        <v/>
      </c>
      <c r="G217" s="24" t="str">
        <f t="shared" si="43"/>
        <v/>
      </c>
      <c r="H217" s="24" t="str">
        <f t="shared" si="44"/>
        <v/>
      </c>
      <c r="I217" s="24" t="str">
        <f t="shared" si="45"/>
        <v/>
      </c>
      <c r="J217" s="24" t="str">
        <f t="shared" si="46"/>
        <v/>
      </c>
      <c r="K217" s="24" t="str">
        <f t="shared" si="47"/>
        <v/>
      </c>
      <c r="L217" s="24" t="str">
        <f t="shared" si="48"/>
        <v/>
      </c>
      <c r="M217" s="24" t="str">
        <f t="shared" si="49"/>
        <v/>
      </c>
    </row>
    <row r="218" spans="2:13" hidden="1" outlineLevel="1" x14ac:dyDescent="0.3">
      <c r="B218" s="24" t="str">
        <f>IF('TO HOP NLAN'!$A64="","",'TO HOP NLAN'!$A64)</f>
        <v/>
      </c>
      <c r="C218" s="24" t="str">
        <f>IF($B218="","",'TO HOP NLAN'!$D64)</f>
        <v/>
      </c>
      <c r="D218" s="24" t="str">
        <f>IF($B218="","",$C$32*ABS(IFERROR('TO HOP NLAN'!$F64,0)))</f>
        <v/>
      </c>
      <c r="E218" s="24" t="str">
        <f>IF($B218="","",$D$32*ABS(IFERROR('TO HOP NLAN'!$E64,0)))</f>
        <v/>
      </c>
      <c r="F218" s="24" t="str">
        <f t="shared" si="42"/>
        <v/>
      </c>
      <c r="G218" s="24" t="str">
        <f t="shared" si="43"/>
        <v/>
      </c>
      <c r="H218" s="24" t="str">
        <f t="shared" si="44"/>
        <v/>
      </c>
      <c r="I218" s="24" t="str">
        <f t="shared" si="45"/>
        <v/>
      </c>
      <c r="J218" s="24" t="str">
        <f t="shared" si="46"/>
        <v/>
      </c>
      <c r="K218" s="24" t="str">
        <f t="shared" si="47"/>
        <v/>
      </c>
      <c r="L218" s="24" t="str">
        <f t="shared" si="48"/>
        <v/>
      </c>
      <c r="M218" s="24" t="str">
        <f t="shared" si="49"/>
        <v/>
      </c>
    </row>
    <row r="219" spans="2:13" hidden="1" outlineLevel="1" x14ac:dyDescent="0.3">
      <c r="B219" s="24" t="str">
        <f>IF('TO HOP NLAN'!$A65="","",'TO HOP NLAN'!$A65)</f>
        <v/>
      </c>
      <c r="C219" s="24" t="str">
        <f>IF($B219="","",'TO HOP NLAN'!$D65)</f>
        <v/>
      </c>
      <c r="D219" s="24" t="str">
        <f>IF($B219="","",$C$32*ABS(IFERROR('TO HOP NLAN'!$F65,0)))</f>
        <v/>
      </c>
      <c r="E219" s="24" t="str">
        <f>IF($B219="","",$D$32*ABS(IFERROR('TO HOP NLAN'!$E65,0)))</f>
        <v/>
      </c>
      <c r="F219" s="24" t="str">
        <f t="shared" si="42"/>
        <v/>
      </c>
      <c r="G219" s="24" t="str">
        <f t="shared" si="43"/>
        <v/>
      </c>
      <c r="H219" s="24" t="str">
        <f t="shared" si="44"/>
        <v/>
      </c>
      <c r="I219" s="24" t="str">
        <f t="shared" si="45"/>
        <v/>
      </c>
      <c r="J219" s="24" t="str">
        <f t="shared" si="46"/>
        <v/>
      </c>
      <c r="K219" s="24" t="str">
        <f t="shared" si="47"/>
        <v/>
      </c>
      <c r="L219" s="24" t="str">
        <f t="shared" si="48"/>
        <v/>
      </c>
      <c r="M219" s="24" t="str">
        <f t="shared" si="49"/>
        <v/>
      </c>
    </row>
    <row r="220" spans="2:13" hidden="1" outlineLevel="1" x14ac:dyDescent="0.3">
      <c r="B220" s="24" t="str">
        <f>IF('TO HOP NLAN'!$A66="","",'TO HOP NLAN'!$A66)</f>
        <v/>
      </c>
      <c r="C220" s="24" t="str">
        <f>IF($B220="","",'TO HOP NLAN'!$D66)</f>
        <v/>
      </c>
      <c r="D220" s="24" t="str">
        <f>IF($B220="","",$C$32*ABS(IFERROR('TO HOP NLAN'!$F66,0)))</f>
        <v/>
      </c>
      <c r="E220" s="24" t="str">
        <f>IF($B220="","",$D$32*ABS(IFERROR('TO HOP NLAN'!$E66,0)))</f>
        <v/>
      </c>
      <c r="F220" s="24" t="str">
        <f t="shared" si="42"/>
        <v/>
      </c>
      <c r="G220" s="24" t="str">
        <f t="shared" si="43"/>
        <v/>
      </c>
      <c r="H220" s="24" t="str">
        <f t="shared" si="44"/>
        <v/>
      </c>
      <c r="I220" s="24" t="str">
        <f t="shared" si="45"/>
        <v/>
      </c>
      <c r="J220" s="24" t="str">
        <f t="shared" si="46"/>
        <v/>
      </c>
      <c r="K220" s="24" t="str">
        <f t="shared" si="47"/>
        <v/>
      </c>
      <c r="L220" s="24" t="str">
        <f t="shared" si="48"/>
        <v/>
      </c>
      <c r="M220" s="24" t="str">
        <f t="shared" si="49"/>
        <v/>
      </c>
    </row>
    <row r="221" spans="2:13" hidden="1" outlineLevel="1" x14ac:dyDescent="0.3">
      <c r="B221" s="24" t="str">
        <f>IF('TO HOP NLAN'!$A67="","",'TO HOP NLAN'!$A67)</f>
        <v/>
      </c>
      <c r="C221" s="24" t="str">
        <f>IF($B221="","",'TO HOP NLAN'!$D67)</f>
        <v/>
      </c>
      <c r="D221" s="24" t="str">
        <f>IF($B221="","",$C$32*ABS(IFERROR('TO HOP NLAN'!$F67,0)))</f>
        <v/>
      </c>
      <c r="E221" s="24" t="str">
        <f>IF($B221="","",$D$32*ABS(IFERROR('TO HOP NLAN'!$E67,0)))</f>
        <v/>
      </c>
      <c r="F221" s="24" t="str">
        <f t="shared" si="42"/>
        <v/>
      </c>
      <c r="G221" s="24" t="str">
        <f t="shared" si="43"/>
        <v/>
      </c>
      <c r="H221" s="24" t="str">
        <f t="shared" si="44"/>
        <v/>
      </c>
      <c r="I221" s="24" t="str">
        <f t="shared" si="45"/>
        <v/>
      </c>
      <c r="J221" s="24" t="str">
        <f t="shared" si="46"/>
        <v/>
      </c>
      <c r="K221" s="24" t="str">
        <f t="shared" si="47"/>
        <v/>
      </c>
      <c r="L221" s="24" t="str">
        <f t="shared" si="48"/>
        <v/>
      </c>
      <c r="M221" s="24" t="str">
        <f t="shared" si="49"/>
        <v/>
      </c>
    </row>
    <row r="222" spans="2:13" hidden="1" outlineLevel="1" x14ac:dyDescent="0.3">
      <c r="B222" s="24" t="str">
        <f>IF('TO HOP NLAN'!$A68="","",'TO HOP NLAN'!$A68)</f>
        <v/>
      </c>
      <c r="C222" s="24" t="str">
        <f>IF($B222="","",'TO HOP NLAN'!$D68)</f>
        <v/>
      </c>
      <c r="D222" s="24" t="str">
        <f>IF($B222="","",$C$32*ABS(IFERROR('TO HOP NLAN'!$F68,0)))</f>
        <v/>
      </c>
      <c r="E222" s="24" t="str">
        <f>IF($B222="","",$D$32*ABS(IFERROR('TO HOP NLAN'!$E68,0)))</f>
        <v/>
      </c>
      <c r="F222" s="24" t="str">
        <f t="shared" si="42"/>
        <v/>
      </c>
      <c r="G222" s="24" t="str">
        <f t="shared" si="43"/>
        <v/>
      </c>
      <c r="H222" s="24" t="str">
        <f t="shared" si="44"/>
        <v/>
      </c>
      <c r="I222" s="24" t="str">
        <f t="shared" si="45"/>
        <v/>
      </c>
      <c r="J222" s="24" t="str">
        <f t="shared" si="46"/>
        <v/>
      </c>
      <c r="K222" s="24" t="str">
        <f t="shared" si="47"/>
        <v/>
      </c>
      <c r="L222" s="24" t="str">
        <f t="shared" si="48"/>
        <v/>
      </c>
      <c r="M222" s="24" t="str">
        <f t="shared" si="49"/>
        <v/>
      </c>
    </row>
    <row r="223" spans="2:13" hidden="1" outlineLevel="1" x14ac:dyDescent="0.3">
      <c r="B223" s="24" t="str">
        <f>IF('TO HOP NLAN'!$A69="","",'TO HOP NLAN'!$A69)</f>
        <v/>
      </c>
      <c r="C223" s="24" t="str">
        <f>IF($B223="","",'TO HOP NLAN'!$D69)</f>
        <v/>
      </c>
      <c r="D223" s="24" t="str">
        <f>IF($B223="","",$C$32*ABS(IFERROR('TO HOP NLAN'!$F69,0)))</f>
        <v/>
      </c>
      <c r="E223" s="24" t="str">
        <f>IF($B223="","",$D$32*ABS(IFERROR('TO HOP NLAN'!$E69,0)))</f>
        <v/>
      </c>
      <c r="F223" s="24" t="str">
        <f t="shared" si="42"/>
        <v/>
      </c>
      <c r="G223" s="24" t="str">
        <f t="shared" si="43"/>
        <v/>
      </c>
      <c r="H223" s="24" t="str">
        <f t="shared" si="44"/>
        <v/>
      </c>
      <c r="I223" s="24" t="str">
        <f t="shared" si="45"/>
        <v/>
      </c>
      <c r="J223" s="24" t="str">
        <f t="shared" si="46"/>
        <v/>
      </c>
      <c r="K223" s="24" t="str">
        <f t="shared" si="47"/>
        <v/>
      </c>
      <c r="L223" s="24" t="str">
        <f t="shared" si="48"/>
        <v/>
      </c>
      <c r="M223" s="24" t="str">
        <f t="shared" si="49"/>
        <v/>
      </c>
    </row>
    <row r="224" spans="2:13" hidden="1" outlineLevel="1" x14ac:dyDescent="0.3">
      <c r="B224" s="24" t="str">
        <f>IF('TO HOP NLAN'!$A70="","",'TO HOP NLAN'!$A70)</f>
        <v/>
      </c>
      <c r="C224" s="24" t="str">
        <f>IF($B224="","",'TO HOP NLAN'!$D70)</f>
        <v/>
      </c>
      <c r="D224" s="24" t="str">
        <f>IF($B224="","",$C$32*ABS(IFERROR('TO HOP NLAN'!$F70,0)))</f>
        <v/>
      </c>
      <c r="E224" s="24" t="str">
        <f>IF($B224="","",$D$32*ABS(IFERROR('TO HOP NLAN'!$E70,0)))</f>
        <v/>
      </c>
      <c r="F224" s="24" t="str">
        <f t="shared" si="42"/>
        <v/>
      </c>
      <c r="G224" s="24" t="str">
        <f t="shared" si="43"/>
        <v/>
      </c>
      <c r="H224" s="24" t="str">
        <f t="shared" si="44"/>
        <v/>
      </c>
      <c r="I224" s="24" t="str">
        <f t="shared" si="45"/>
        <v/>
      </c>
      <c r="J224" s="24" t="str">
        <f t="shared" si="46"/>
        <v/>
      </c>
      <c r="K224" s="24" t="str">
        <f t="shared" si="47"/>
        <v/>
      </c>
      <c r="L224" s="24" t="str">
        <f t="shared" si="48"/>
        <v/>
      </c>
      <c r="M224" s="24" t="str">
        <f t="shared" si="49"/>
        <v/>
      </c>
    </row>
    <row r="225" spans="2:13" hidden="1" outlineLevel="1" x14ac:dyDescent="0.3">
      <c r="B225" s="24" t="str">
        <f>IF('TO HOP NLAN'!$A71="","",'TO HOP NLAN'!$A71)</f>
        <v/>
      </c>
      <c r="C225" s="24" t="str">
        <f>IF($B225="","",'TO HOP NLAN'!$D71)</f>
        <v/>
      </c>
      <c r="D225" s="24" t="str">
        <f>IF($B225="","",$C$32*ABS(IFERROR('TO HOP NLAN'!$F71,0)))</f>
        <v/>
      </c>
      <c r="E225" s="24" t="str">
        <f>IF($B225="","",$D$32*ABS(IFERROR('TO HOP NLAN'!$E71,0)))</f>
        <v/>
      </c>
      <c r="F225" s="24" t="str">
        <f t="shared" ref="F225:F288" si="50">IF($B225="","",MAX(0.001,D225/MAX(1,C225)))</f>
        <v/>
      </c>
      <c r="G225" s="24" t="str">
        <f t="shared" ref="G225:G288" si="51">IF($B225="","",MAX(0.001,E225/MAX(1,C225)))</f>
        <v/>
      </c>
      <c r="H225" s="24" t="str">
        <f t="shared" ref="H225:H288" si="52">IF($B225="","",IF(F225&lt;=0.000000001,MIN(0.8*0.75*$C$62,MAX($J$38:$J$58)),IFERROR(MIN(0.8*0.75*$C$62,INDEX($J$38:$J$58,MATCH(F225,$L$38:$L$58,-1))+(INDEX($J$38:$J$58,MIN(21,MATCH(F225,$L$38:$L$58,-1)+1))-INDEX($J$38:$J$58,MATCH(F225,$L$38:$L$58,-1)))*(F225-INDEX($L$38:$L$58,MATCH(F225,$L$38:$L$58,-1)))/(INDEX($L$38:$L$58,MIN(21,MATCH(F225,$L$38:$L$58,-1)+1))-INDEX($L$38:$L$58,MATCH(F225,$L$38:$L$58,-1)))),$C$68/F225)))</f>
        <v/>
      </c>
      <c r="I225" s="24" t="str">
        <f t="shared" ref="I225:I288" si="53">IF($B225="","",IF(G225&lt;=0.000000001,MIN(0.8*0.75*$C$62,MAX($W$38:$W$58)),IFERROR(MIN(0.8*0.75*$C$62,INDEX($W$38:$W$58,MATCH(G225,$Y$38:$Y$58,-1))+(INDEX($W$38:$W$58,MIN(21,MATCH(G225,$Y$38:$Y$58,-1)+1))-INDEX($W$38:$W$58,MATCH(G225,$Y$38:$Y$58,-1)))*(G225-INDEX($Y$38:$Y$58,MATCH(G225,$Y$38:$Y$58,-1)))/(INDEX($Y$38:$Y$58,MIN(21,MATCH(G225,$Y$38:$Y$58,-1)+1))-INDEX($Y$38:$Y$58,MATCH(G225,$Y$38:$Y$58,-1)))),$D$68/G225)))</f>
        <v/>
      </c>
      <c r="J225" s="24" t="str">
        <f t="shared" ref="J225:J288" si="54">IF($B225="","",IFERROR(1/(1/H225+1/I225-1/(0.75*$C$62)),0))</f>
        <v/>
      </c>
      <c r="K225" s="24" t="str">
        <f t="shared" ref="K225:K288" si="55">IF($B225="","",D225/MAX($C$68,0.001)+E225/MAX($D$68,0.001))</f>
        <v/>
      </c>
      <c r="L225" s="24" t="str">
        <f t="shared" ref="L225:L288" si="56">IF($B225="","",IF(C225&gt;=0.1*0.75*fc_*Agth*1000,C225/MAX(J225,0.001),K225))</f>
        <v/>
      </c>
      <c r="M225" s="24" t="str">
        <f t="shared" ref="M225:M288" si="57">IF($B225="","",IF(L225&lt;=1,"ĐẠT","KHÔNG ĐẠT"))</f>
        <v/>
      </c>
    </row>
    <row r="226" spans="2:13" hidden="1" outlineLevel="1" x14ac:dyDescent="0.3">
      <c r="B226" s="24" t="str">
        <f>IF('TO HOP NLAN'!$A72="","",'TO HOP NLAN'!$A72)</f>
        <v/>
      </c>
      <c r="C226" s="24" t="str">
        <f>IF($B226="","",'TO HOP NLAN'!$D72)</f>
        <v/>
      </c>
      <c r="D226" s="24" t="str">
        <f>IF($B226="","",$C$32*ABS(IFERROR('TO HOP NLAN'!$F72,0)))</f>
        <v/>
      </c>
      <c r="E226" s="24" t="str">
        <f>IF($B226="","",$D$32*ABS(IFERROR('TO HOP NLAN'!$E72,0)))</f>
        <v/>
      </c>
      <c r="F226" s="24" t="str">
        <f t="shared" si="50"/>
        <v/>
      </c>
      <c r="G226" s="24" t="str">
        <f t="shared" si="51"/>
        <v/>
      </c>
      <c r="H226" s="24" t="str">
        <f t="shared" si="52"/>
        <v/>
      </c>
      <c r="I226" s="24" t="str">
        <f t="shared" si="53"/>
        <v/>
      </c>
      <c r="J226" s="24" t="str">
        <f t="shared" si="54"/>
        <v/>
      </c>
      <c r="K226" s="24" t="str">
        <f t="shared" si="55"/>
        <v/>
      </c>
      <c r="L226" s="24" t="str">
        <f t="shared" si="56"/>
        <v/>
      </c>
      <c r="M226" s="24" t="str">
        <f t="shared" si="57"/>
        <v/>
      </c>
    </row>
    <row r="227" spans="2:13" hidden="1" outlineLevel="1" x14ac:dyDescent="0.3">
      <c r="B227" s="24" t="str">
        <f>IF('TO HOP NLAN'!$A73="","",'TO HOP NLAN'!$A73)</f>
        <v/>
      </c>
      <c r="C227" s="24" t="str">
        <f>IF($B227="","",'TO HOP NLAN'!$D73)</f>
        <v/>
      </c>
      <c r="D227" s="24" t="str">
        <f>IF($B227="","",$C$32*ABS(IFERROR('TO HOP NLAN'!$F73,0)))</f>
        <v/>
      </c>
      <c r="E227" s="24" t="str">
        <f>IF($B227="","",$D$32*ABS(IFERROR('TO HOP NLAN'!$E73,0)))</f>
        <v/>
      </c>
      <c r="F227" s="24" t="str">
        <f t="shared" si="50"/>
        <v/>
      </c>
      <c r="G227" s="24" t="str">
        <f t="shared" si="51"/>
        <v/>
      </c>
      <c r="H227" s="24" t="str">
        <f t="shared" si="52"/>
        <v/>
      </c>
      <c r="I227" s="24" t="str">
        <f t="shared" si="53"/>
        <v/>
      </c>
      <c r="J227" s="24" t="str">
        <f t="shared" si="54"/>
        <v/>
      </c>
      <c r="K227" s="24" t="str">
        <f t="shared" si="55"/>
        <v/>
      </c>
      <c r="L227" s="24" t="str">
        <f t="shared" si="56"/>
        <v/>
      </c>
      <c r="M227" s="24" t="str">
        <f t="shared" si="57"/>
        <v/>
      </c>
    </row>
    <row r="228" spans="2:13" hidden="1" outlineLevel="1" x14ac:dyDescent="0.3">
      <c r="B228" s="24" t="str">
        <f>IF('TO HOP NLAN'!$A74="","",'TO HOP NLAN'!$A74)</f>
        <v/>
      </c>
      <c r="C228" s="24" t="str">
        <f>IF($B228="","",'TO HOP NLAN'!$D74)</f>
        <v/>
      </c>
      <c r="D228" s="24" t="str">
        <f>IF($B228="","",$C$32*ABS(IFERROR('TO HOP NLAN'!$F74,0)))</f>
        <v/>
      </c>
      <c r="E228" s="24" t="str">
        <f>IF($B228="","",$D$32*ABS(IFERROR('TO HOP NLAN'!$E74,0)))</f>
        <v/>
      </c>
      <c r="F228" s="24" t="str">
        <f t="shared" si="50"/>
        <v/>
      </c>
      <c r="G228" s="24" t="str">
        <f t="shared" si="51"/>
        <v/>
      </c>
      <c r="H228" s="24" t="str">
        <f t="shared" si="52"/>
        <v/>
      </c>
      <c r="I228" s="24" t="str">
        <f t="shared" si="53"/>
        <v/>
      </c>
      <c r="J228" s="24" t="str">
        <f t="shared" si="54"/>
        <v/>
      </c>
      <c r="K228" s="24" t="str">
        <f t="shared" si="55"/>
        <v/>
      </c>
      <c r="L228" s="24" t="str">
        <f t="shared" si="56"/>
        <v/>
      </c>
      <c r="M228" s="24" t="str">
        <f t="shared" si="57"/>
        <v/>
      </c>
    </row>
    <row r="229" spans="2:13" hidden="1" outlineLevel="1" x14ac:dyDescent="0.3">
      <c r="B229" s="24" t="str">
        <f>IF('TO HOP NLAN'!$A75="","",'TO HOP NLAN'!$A75)</f>
        <v/>
      </c>
      <c r="C229" s="24" t="str">
        <f>IF($B229="","",'TO HOP NLAN'!$D75)</f>
        <v/>
      </c>
      <c r="D229" s="24" t="str">
        <f>IF($B229="","",$C$32*ABS(IFERROR('TO HOP NLAN'!$F75,0)))</f>
        <v/>
      </c>
      <c r="E229" s="24" t="str">
        <f>IF($B229="","",$D$32*ABS(IFERROR('TO HOP NLAN'!$E75,0)))</f>
        <v/>
      </c>
      <c r="F229" s="24" t="str">
        <f t="shared" si="50"/>
        <v/>
      </c>
      <c r="G229" s="24" t="str">
        <f t="shared" si="51"/>
        <v/>
      </c>
      <c r="H229" s="24" t="str">
        <f t="shared" si="52"/>
        <v/>
      </c>
      <c r="I229" s="24" t="str">
        <f t="shared" si="53"/>
        <v/>
      </c>
      <c r="J229" s="24" t="str">
        <f t="shared" si="54"/>
        <v/>
      </c>
      <c r="K229" s="24" t="str">
        <f t="shared" si="55"/>
        <v/>
      </c>
      <c r="L229" s="24" t="str">
        <f t="shared" si="56"/>
        <v/>
      </c>
      <c r="M229" s="24" t="str">
        <f t="shared" si="57"/>
        <v/>
      </c>
    </row>
    <row r="230" spans="2:13" hidden="1" outlineLevel="1" x14ac:dyDescent="0.3">
      <c r="B230" s="24" t="str">
        <f>IF('TO HOP NLAN'!$A76="","",'TO HOP NLAN'!$A76)</f>
        <v/>
      </c>
      <c r="C230" s="24" t="str">
        <f>IF($B230="","",'TO HOP NLAN'!$D76)</f>
        <v/>
      </c>
      <c r="D230" s="24" t="str">
        <f>IF($B230="","",$C$32*ABS(IFERROR('TO HOP NLAN'!$F76,0)))</f>
        <v/>
      </c>
      <c r="E230" s="24" t="str">
        <f>IF($B230="","",$D$32*ABS(IFERROR('TO HOP NLAN'!$E76,0)))</f>
        <v/>
      </c>
      <c r="F230" s="24" t="str">
        <f t="shared" si="50"/>
        <v/>
      </c>
      <c r="G230" s="24" t="str">
        <f t="shared" si="51"/>
        <v/>
      </c>
      <c r="H230" s="24" t="str">
        <f t="shared" si="52"/>
        <v/>
      </c>
      <c r="I230" s="24" t="str">
        <f t="shared" si="53"/>
        <v/>
      </c>
      <c r="J230" s="24" t="str">
        <f t="shared" si="54"/>
        <v/>
      </c>
      <c r="K230" s="24" t="str">
        <f t="shared" si="55"/>
        <v/>
      </c>
      <c r="L230" s="24" t="str">
        <f t="shared" si="56"/>
        <v/>
      </c>
      <c r="M230" s="24" t="str">
        <f t="shared" si="57"/>
        <v/>
      </c>
    </row>
    <row r="231" spans="2:13" hidden="1" outlineLevel="1" x14ac:dyDescent="0.3">
      <c r="B231" s="24" t="str">
        <f>IF('TO HOP NLAN'!$A77="","",'TO HOP NLAN'!$A77)</f>
        <v/>
      </c>
      <c r="C231" s="24" t="str">
        <f>IF($B231="","",'TO HOP NLAN'!$D77)</f>
        <v/>
      </c>
      <c r="D231" s="24" t="str">
        <f>IF($B231="","",$C$32*ABS(IFERROR('TO HOP NLAN'!$F77,0)))</f>
        <v/>
      </c>
      <c r="E231" s="24" t="str">
        <f>IF($B231="","",$D$32*ABS(IFERROR('TO HOP NLAN'!$E77,0)))</f>
        <v/>
      </c>
      <c r="F231" s="24" t="str">
        <f t="shared" si="50"/>
        <v/>
      </c>
      <c r="G231" s="24" t="str">
        <f t="shared" si="51"/>
        <v/>
      </c>
      <c r="H231" s="24" t="str">
        <f t="shared" si="52"/>
        <v/>
      </c>
      <c r="I231" s="24" t="str">
        <f t="shared" si="53"/>
        <v/>
      </c>
      <c r="J231" s="24" t="str">
        <f t="shared" si="54"/>
        <v/>
      </c>
      <c r="K231" s="24" t="str">
        <f t="shared" si="55"/>
        <v/>
      </c>
      <c r="L231" s="24" t="str">
        <f t="shared" si="56"/>
        <v/>
      </c>
      <c r="M231" s="24" t="str">
        <f t="shared" si="57"/>
        <v/>
      </c>
    </row>
    <row r="232" spans="2:13" hidden="1" outlineLevel="1" x14ac:dyDescent="0.3">
      <c r="B232" s="24" t="str">
        <f>IF('TO HOP NLAN'!$A78="","",'TO HOP NLAN'!$A78)</f>
        <v/>
      </c>
      <c r="C232" s="24" t="str">
        <f>IF($B232="","",'TO HOP NLAN'!$D78)</f>
        <v/>
      </c>
      <c r="D232" s="24" t="str">
        <f>IF($B232="","",$C$32*ABS(IFERROR('TO HOP NLAN'!$F78,0)))</f>
        <v/>
      </c>
      <c r="E232" s="24" t="str">
        <f>IF($B232="","",$D$32*ABS(IFERROR('TO HOP NLAN'!$E78,0)))</f>
        <v/>
      </c>
      <c r="F232" s="24" t="str">
        <f t="shared" si="50"/>
        <v/>
      </c>
      <c r="G232" s="24" t="str">
        <f t="shared" si="51"/>
        <v/>
      </c>
      <c r="H232" s="24" t="str">
        <f t="shared" si="52"/>
        <v/>
      </c>
      <c r="I232" s="24" t="str">
        <f t="shared" si="53"/>
        <v/>
      </c>
      <c r="J232" s="24" t="str">
        <f t="shared" si="54"/>
        <v/>
      </c>
      <c r="K232" s="24" t="str">
        <f t="shared" si="55"/>
        <v/>
      </c>
      <c r="L232" s="24" t="str">
        <f t="shared" si="56"/>
        <v/>
      </c>
      <c r="M232" s="24" t="str">
        <f t="shared" si="57"/>
        <v/>
      </c>
    </row>
    <row r="233" spans="2:13" hidden="1" outlineLevel="1" x14ac:dyDescent="0.3">
      <c r="B233" s="24" t="str">
        <f>IF('TO HOP NLAN'!$A79="","",'TO HOP NLAN'!$A79)</f>
        <v/>
      </c>
      <c r="C233" s="24" t="str">
        <f>IF($B233="","",'TO HOP NLAN'!$D79)</f>
        <v/>
      </c>
      <c r="D233" s="24" t="str">
        <f>IF($B233="","",$C$32*ABS(IFERROR('TO HOP NLAN'!$F79,0)))</f>
        <v/>
      </c>
      <c r="E233" s="24" t="str">
        <f>IF($B233="","",$D$32*ABS(IFERROR('TO HOP NLAN'!$E79,0)))</f>
        <v/>
      </c>
      <c r="F233" s="24" t="str">
        <f t="shared" si="50"/>
        <v/>
      </c>
      <c r="G233" s="24" t="str">
        <f t="shared" si="51"/>
        <v/>
      </c>
      <c r="H233" s="24" t="str">
        <f t="shared" si="52"/>
        <v/>
      </c>
      <c r="I233" s="24" t="str">
        <f t="shared" si="53"/>
        <v/>
      </c>
      <c r="J233" s="24" t="str">
        <f t="shared" si="54"/>
        <v/>
      </c>
      <c r="K233" s="24" t="str">
        <f t="shared" si="55"/>
        <v/>
      </c>
      <c r="L233" s="24" t="str">
        <f t="shared" si="56"/>
        <v/>
      </c>
      <c r="M233" s="24" t="str">
        <f t="shared" si="57"/>
        <v/>
      </c>
    </row>
    <row r="234" spans="2:13" hidden="1" outlineLevel="1" x14ac:dyDescent="0.3">
      <c r="B234" s="24" t="str">
        <f>IF('TO HOP NLAN'!$A80="","",'TO HOP NLAN'!$A80)</f>
        <v/>
      </c>
      <c r="C234" s="24" t="str">
        <f>IF($B234="","",'TO HOP NLAN'!$D80)</f>
        <v/>
      </c>
      <c r="D234" s="24" t="str">
        <f>IF($B234="","",$C$32*ABS(IFERROR('TO HOP NLAN'!$F80,0)))</f>
        <v/>
      </c>
      <c r="E234" s="24" t="str">
        <f>IF($B234="","",$D$32*ABS(IFERROR('TO HOP NLAN'!$E80,0)))</f>
        <v/>
      </c>
      <c r="F234" s="24" t="str">
        <f t="shared" si="50"/>
        <v/>
      </c>
      <c r="G234" s="24" t="str">
        <f t="shared" si="51"/>
        <v/>
      </c>
      <c r="H234" s="24" t="str">
        <f t="shared" si="52"/>
        <v/>
      </c>
      <c r="I234" s="24" t="str">
        <f t="shared" si="53"/>
        <v/>
      </c>
      <c r="J234" s="24" t="str">
        <f t="shared" si="54"/>
        <v/>
      </c>
      <c r="K234" s="24" t="str">
        <f t="shared" si="55"/>
        <v/>
      </c>
      <c r="L234" s="24" t="str">
        <f t="shared" si="56"/>
        <v/>
      </c>
      <c r="M234" s="24" t="str">
        <f t="shared" si="57"/>
        <v/>
      </c>
    </row>
    <row r="235" spans="2:13" hidden="1" outlineLevel="1" x14ac:dyDescent="0.3">
      <c r="B235" s="24" t="str">
        <f>IF('TO HOP NLAN'!$A81="","",'TO HOP NLAN'!$A81)</f>
        <v/>
      </c>
      <c r="C235" s="24" t="str">
        <f>IF($B235="","",'TO HOP NLAN'!$D81)</f>
        <v/>
      </c>
      <c r="D235" s="24" t="str">
        <f>IF($B235="","",$C$32*ABS(IFERROR('TO HOP NLAN'!$F81,0)))</f>
        <v/>
      </c>
      <c r="E235" s="24" t="str">
        <f>IF($B235="","",$D$32*ABS(IFERROR('TO HOP NLAN'!$E81,0)))</f>
        <v/>
      </c>
      <c r="F235" s="24" t="str">
        <f t="shared" si="50"/>
        <v/>
      </c>
      <c r="G235" s="24" t="str">
        <f t="shared" si="51"/>
        <v/>
      </c>
      <c r="H235" s="24" t="str">
        <f t="shared" si="52"/>
        <v/>
      </c>
      <c r="I235" s="24" t="str">
        <f t="shared" si="53"/>
        <v/>
      </c>
      <c r="J235" s="24" t="str">
        <f t="shared" si="54"/>
        <v/>
      </c>
      <c r="K235" s="24" t="str">
        <f t="shared" si="55"/>
        <v/>
      </c>
      <c r="L235" s="24" t="str">
        <f t="shared" si="56"/>
        <v/>
      </c>
      <c r="M235" s="24" t="str">
        <f t="shared" si="57"/>
        <v/>
      </c>
    </row>
    <row r="236" spans="2:13" hidden="1" outlineLevel="1" x14ac:dyDescent="0.3">
      <c r="B236" s="24" t="str">
        <f>IF('TO HOP NLAN'!$A82="","",'TO HOP NLAN'!$A82)</f>
        <v/>
      </c>
      <c r="C236" s="24" t="str">
        <f>IF($B236="","",'TO HOP NLAN'!$D82)</f>
        <v/>
      </c>
      <c r="D236" s="24" t="str">
        <f>IF($B236="","",$C$32*ABS(IFERROR('TO HOP NLAN'!$F82,0)))</f>
        <v/>
      </c>
      <c r="E236" s="24" t="str">
        <f>IF($B236="","",$D$32*ABS(IFERROR('TO HOP NLAN'!$E82,0)))</f>
        <v/>
      </c>
      <c r="F236" s="24" t="str">
        <f t="shared" si="50"/>
        <v/>
      </c>
      <c r="G236" s="24" t="str">
        <f t="shared" si="51"/>
        <v/>
      </c>
      <c r="H236" s="24" t="str">
        <f t="shared" si="52"/>
        <v/>
      </c>
      <c r="I236" s="24" t="str">
        <f t="shared" si="53"/>
        <v/>
      </c>
      <c r="J236" s="24" t="str">
        <f t="shared" si="54"/>
        <v/>
      </c>
      <c r="K236" s="24" t="str">
        <f t="shared" si="55"/>
        <v/>
      </c>
      <c r="L236" s="24" t="str">
        <f t="shared" si="56"/>
        <v/>
      </c>
      <c r="M236" s="24" t="str">
        <f t="shared" si="57"/>
        <v/>
      </c>
    </row>
    <row r="237" spans="2:13" hidden="1" outlineLevel="1" x14ac:dyDescent="0.3">
      <c r="B237" s="24" t="str">
        <f>IF('TO HOP NLAN'!$A83="","",'TO HOP NLAN'!$A83)</f>
        <v/>
      </c>
      <c r="C237" s="24" t="str">
        <f>IF($B237="","",'TO HOP NLAN'!$D83)</f>
        <v/>
      </c>
      <c r="D237" s="24" t="str">
        <f>IF($B237="","",$C$32*ABS(IFERROR('TO HOP NLAN'!$F83,0)))</f>
        <v/>
      </c>
      <c r="E237" s="24" t="str">
        <f>IF($B237="","",$D$32*ABS(IFERROR('TO HOP NLAN'!$E83,0)))</f>
        <v/>
      </c>
      <c r="F237" s="24" t="str">
        <f t="shared" si="50"/>
        <v/>
      </c>
      <c r="G237" s="24" t="str">
        <f t="shared" si="51"/>
        <v/>
      </c>
      <c r="H237" s="24" t="str">
        <f t="shared" si="52"/>
        <v/>
      </c>
      <c r="I237" s="24" t="str">
        <f t="shared" si="53"/>
        <v/>
      </c>
      <c r="J237" s="24" t="str">
        <f t="shared" si="54"/>
        <v/>
      </c>
      <c r="K237" s="24" t="str">
        <f t="shared" si="55"/>
        <v/>
      </c>
      <c r="L237" s="24" t="str">
        <f t="shared" si="56"/>
        <v/>
      </c>
      <c r="M237" s="24" t="str">
        <f t="shared" si="57"/>
        <v/>
      </c>
    </row>
    <row r="238" spans="2:13" hidden="1" outlineLevel="1" x14ac:dyDescent="0.3">
      <c r="B238" s="24" t="str">
        <f>IF('TO HOP NLAN'!$A84="","",'TO HOP NLAN'!$A84)</f>
        <v/>
      </c>
      <c r="C238" s="24" t="str">
        <f>IF($B238="","",'TO HOP NLAN'!$D84)</f>
        <v/>
      </c>
      <c r="D238" s="24" t="str">
        <f>IF($B238="","",$C$32*ABS(IFERROR('TO HOP NLAN'!$F84,0)))</f>
        <v/>
      </c>
      <c r="E238" s="24" t="str">
        <f>IF($B238="","",$D$32*ABS(IFERROR('TO HOP NLAN'!$E84,0)))</f>
        <v/>
      </c>
      <c r="F238" s="24" t="str">
        <f t="shared" si="50"/>
        <v/>
      </c>
      <c r="G238" s="24" t="str">
        <f t="shared" si="51"/>
        <v/>
      </c>
      <c r="H238" s="24" t="str">
        <f t="shared" si="52"/>
        <v/>
      </c>
      <c r="I238" s="24" t="str">
        <f t="shared" si="53"/>
        <v/>
      </c>
      <c r="J238" s="24" t="str">
        <f t="shared" si="54"/>
        <v/>
      </c>
      <c r="K238" s="24" t="str">
        <f t="shared" si="55"/>
        <v/>
      </c>
      <c r="L238" s="24" t="str">
        <f t="shared" si="56"/>
        <v/>
      </c>
      <c r="M238" s="24" t="str">
        <f t="shared" si="57"/>
        <v/>
      </c>
    </row>
    <row r="239" spans="2:13" hidden="1" outlineLevel="1" x14ac:dyDescent="0.3">
      <c r="B239" s="24" t="str">
        <f>IF('TO HOP NLAN'!$A85="","",'TO HOP NLAN'!$A85)</f>
        <v/>
      </c>
      <c r="C239" s="24" t="str">
        <f>IF($B239="","",'TO HOP NLAN'!$D85)</f>
        <v/>
      </c>
      <c r="D239" s="24" t="str">
        <f>IF($B239="","",$C$32*ABS(IFERROR('TO HOP NLAN'!$F85,0)))</f>
        <v/>
      </c>
      <c r="E239" s="24" t="str">
        <f>IF($B239="","",$D$32*ABS(IFERROR('TO HOP NLAN'!$E85,0)))</f>
        <v/>
      </c>
      <c r="F239" s="24" t="str">
        <f t="shared" si="50"/>
        <v/>
      </c>
      <c r="G239" s="24" t="str">
        <f t="shared" si="51"/>
        <v/>
      </c>
      <c r="H239" s="24" t="str">
        <f t="shared" si="52"/>
        <v/>
      </c>
      <c r="I239" s="24" t="str">
        <f t="shared" si="53"/>
        <v/>
      </c>
      <c r="J239" s="24" t="str">
        <f t="shared" si="54"/>
        <v/>
      </c>
      <c r="K239" s="24" t="str">
        <f t="shared" si="55"/>
        <v/>
      </c>
      <c r="L239" s="24" t="str">
        <f t="shared" si="56"/>
        <v/>
      </c>
      <c r="M239" s="24" t="str">
        <f t="shared" si="57"/>
        <v/>
      </c>
    </row>
    <row r="240" spans="2:13" hidden="1" outlineLevel="1" x14ac:dyDescent="0.3">
      <c r="B240" s="24" t="str">
        <f>IF('TO HOP NLAN'!$A86="","",'TO HOP NLAN'!$A86)</f>
        <v/>
      </c>
      <c r="C240" s="24" t="str">
        <f>IF($B240="","",'TO HOP NLAN'!$D86)</f>
        <v/>
      </c>
      <c r="D240" s="24" t="str">
        <f>IF($B240="","",$C$32*ABS(IFERROR('TO HOP NLAN'!$F86,0)))</f>
        <v/>
      </c>
      <c r="E240" s="24" t="str">
        <f>IF($B240="","",$D$32*ABS(IFERROR('TO HOP NLAN'!$E86,0)))</f>
        <v/>
      </c>
      <c r="F240" s="24" t="str">
        <f t="shared" si="50"/>
        <v/>
      </c>
      <c r="G240" s="24" t="str">
        <f t="shared" si="51"/>
        <v/>
      </c>
      <c r="H240" s="24" t="str">
        <f t="shared" si="52"/>
        <v/>
      </c>
      <c r="I240" s="24" t="str">
        <f t="shared" si="53"/>
        <v/>
      </c>
      <c r="J240" s="24" t="str">
        <f t="shared" si="54"/>
        <v/>
      </c>
      <c r="K240" s="24" t="str">
        <f t="shared" si="55"/>
        <v/>
      </c>
      <c r="L240" s="24" t="str">
        <f t="shared" si="56"/>
        <v/>
      </c>
      <c r="M240" s="24" t="str">
        <f t="shared" si="57"/>
        <v/>
      </c>
    </row>
    <row r="241" spans="2:13" hidden="1" outlineLevel="1" x14ac:dyDescent="0.3">
      <c r="B241" s="24" t="str">
        <f>IF('TO HOP NLAN'!$A87="","",'TO HOP NLAN'!$A87)</f>
        <v/>
      </c>
      <c r="C241" s="24" t="str">
        <f>IF($B241="","",'TO HOP NLAN'!$D87)</f>
        <v/>
      </c>
      <c r="D241" s="24" t="str">
        <f>IF($B241="","",$C$32*ABS(IFERROR('TO HOP NLAN'!$F87,0)))</f>
        <v/>
      </c>
      <c r="E241" s="24" t="str">
        <f>IF($B241="","",$D$32*ABS(IFERROR('TO HOP NLAN'!$E87,0)))</f>
        <v/>
      </c>
      <c r="F241" s="24" t="str">
        <f t="shared" si="50"/>
        <v/>
      </c>
      <c r="G241" s="24" t="str">
        <f t="shared" si="51"/>
        <v/>
      </c>
      <c r="H241" s="24" t="str">
        <f t="shared" si="52"/>
        <v/>
      </c>
      <c r="I241" s="24" t="str">
        <f t="shared" si="53"/>
        <v/>
      </c>
      <c r="J241" s="24" t="str">
        <f t="shared" si="54"/>
        <v/>
      </c>
      <c r="K241" s="24" t="str">
        <f t="shared" si="55"/>
        <v/>
      </c>
      <c r="L241" s="24" t="str">
        <f t="shared" si="56"/>
        <v/>
      </c>
      <c r="M241" s="24" t="str">
        <f t="shared" si="57"/>
        <v/>
      </c>
    </row>
    <row r="242" spans="2:13" hidden="1" outlineLevel="1" x14ac:dyDescent="0.3">
      <c r="B242" s="24" t="str">
        <f>IF('TO HOP NLAN'!$A88="","",'TO HOP NLAN'!$A88)</f>
        <v/>
      </c>
      <c r="C242" s="24" t="str">
        <f>IF($B242="","",'TO HOP NLAN'!$D88)</f>
        <v/>
      </c>
      <c r="D242" s="24" t="str">
        <f>IF($B242="","",$C$32*ABS(IFERROR('TO HOP NLAN'!$F88,0)))</f>
        <v/>
      </c>
      <c r="E242" s="24" t="str">
        <f>IF($B242="","",$D$32*ABS(IFERROR('TO HOP NLAN'!$E88,0)))</f>
        <v/>
      </c>
      <c r="F242" s="24" t="str">
        <f t="shared" si="50"/>
        <v/>
      </c>
      <c r="G242" s="24" t="str">
        <f t="shared" si="51"/>
        <v/>
      </c>
      <c r="H242" s="24" t="str">
        <f t="shared" si="52"/>
        <v/>
      </c>
      <c r="I242" s="24" t="str">
        <f t="shared" si="53"/>
        <v/>
      </c>
      <c r="J242" s="24" t="str">
        <f t="shared" si="54"/>
        <v/>
      </c>
      <c r="K242" s="24" t="str">
        <f t="shared" si="55"/>
        <v/>
      </c>
      <c r="L242" s="24" t="str">
        <f t="shared" si="56"/>
        <v/>
      </c>
      <c r="M242" s="24" t="str">
        <f t="shared" si="57"/>
        <v/>
      </c>
    </row>
    <row r="243" spans="2:13" hidden="1" outlineLevel="1" x14ac:dyDescent="0.3">
      <c r="B243" s="24" t="str">
        <f>IF('TO HOP NLAN'!$A89="","",'TO HOP NLAN'!$A89)</f>
        <v/>
      </c>
      <c r="C243" s="24" t="str">
        <f>IF($B243="","",'TO HOP NLAN'!$D89)</f>
        <v/>
      </c>
      <c r="D243" s="24" t="str">
        <f>IF($B243="","",$C$32*ABS(IFERROR('TO HOP NLAN'!$F89,0)))</f>
        <v/>
      </c>
      <c r="E243" s="24" t="str">
        <f>IF($B243="","",$D$32*ABS(IFERROR('TO HOP NLAN'!$E89,0)))</f>
        <v/>
      </c>
      <c r="F243" s="24" t="str">
        <f t="shared" si="50"/>
        <v/>
      </c>
      <c r="G243" s="24" t="str">
        <f t="shared" si="51"/>
        <v/>
      </c>
      <c r="H243" s="24" t="str">
        <f t="shared" si="52"/>
        <v/>
      </c>
      <c r="I243" s="24" t="str">
        <f t="shared" si="53"/>
        <v/>
      </c>
      <c r="J243" s="24" t="str">
        <f t="shared" si="54"/>
        <v/>
      </c>
      <c r="K243" s="24" t="str">
        <f t="shared" si="55"/>
        <v/>
      </c>
      <c r="L243" s="24" t="str">
        <f t="shared" si="56"/>
        <v/>
      </c>
      <c r="M243" s="24" t="str">
        <f t="shared" si="57"/>
        <v/>
      </c>
    </row>
    <row r="244" spans="2:13" hidden="1" outlineLevel="1" x14ac:dyDescent="0.3">
      <c r="B244" s="24" t="str">
        <f>IF('TO HOP NLAN'!$A90="","",'TO HOP NLAN'!$A90)</f>
        <v/>
      </c>
      <c r="C244" s="24" t="str">
        <f>IF($B244="","",'TO HOP NLAN'!$D90)</f>
        <v/>
      </c>
      <c r="D244" s="24" t="str">
        <f>IF($B244="","",$C$32*ABS(IFERROR('TO HOP NLAN'!$F90,0)))</f>
        <v/>
      </c>
      <c r="E244" s="24" t="str">
        <f>IF($B244="","",$D$32*ABS(IFERROR('TO HOP NLAN'!$E90,0)))</f>
        <v/>
      </c>
      <c r="F244" s="24" t="str">
        <f t="shared" si="50"/>
        <v/>
      </c>
      <c r="G244" s="24" t="str">
        <f t="shared" si="51"/>
        <v/>
      </c>
      <c r="H244" s="24" t="str">
        <f t="shared" si="52"/>
        <v/>
      </c>
      <c r="I244" s="24" t="str">
        <f t="shared" si="53"/>
        <v/>
      </c>
      <c r="J244" s="24" t="str">
        <f t="shared" si="54"/>
        <v/>
      </c>
      <c r="K244" s="24" t="str">
        <f t="shared" si="55"/>
        <v/>
      </c>
      <c r="L244" s="24" t="str">
        <f t="shared" si="56"/>
        <v/>
      </c>
      <c r="M244" s="24" t="str">
        <f t="shared" si="57"/>
        <v/>
      </c>
    </row>
    <row r="245" spans="2:13" hidden="1" outlineLevel="1" x14ac:dyDescent="0.3">
      <c r="B245" s="24" t="str">
        <f>IF('TO HOP NLAN'!$A91="","",'TO HOP NLAN'!$A91)</f>
        <v/>
      </c>
      <c r="C245" s="24" t="str">
        <f>IF($B245="","",'TO HOP NLAN'!$D91)</f>
        <v/>
      </c>
      <c r="D245" s="24" t="str">
        <f>IF($B245="","",$C$32*ABS(IFERROR('TO HOP NLAN'!$F91,0)))</f>
        <v/>
      </c>
      <c r="E245" s="24" t="str">
        <f>IF($B245="","",$D$32*ABS(IFERROR('TO HOP NLAN'!$E91,0)))</f>
        <v/>
      </c>
      <c r="F245" s="24" t="str">
        <f t="shared" si="50"/>
        <v/>
      </c>
      <c r="G245" s="24" t="str">
        <f t="shared" si="51"/>
        <v/>
      </c>
      <c r="H245" s="24" t="str">
        <f t="shared" si="52"/>
        <v/>
      </c>
      <c r="I245" s="24" t="str">
        <f t="shared" si="53"/>
        <v/>
      </c>
      <c r="J245" s="24" t="str">
        <f t="shared" si="54"/>
        <v/>
      </c>
      <c r="K245" s="24" t="str">
        <f t="shared" si="55"/>
        <v/>
      </c>
      <c r="L245" s="24" t="str">
        <f t="shared" si="56"/>
        <v/>
      </c>
      <c r="M245" s="24" t="str">
        <f t="shared" si="57"/>
        <v/>
      </c>
    </row>
    <row r="246" spans="2:13" hidden="1" outlineLevel="1" x14ac:dyDescent="0.3">
      <c r="B246" s="24" t="str">
        <f>IF('TO HOP NLAN'!$A92="","",'TO HOP NLAN'!$A92)</f>
        <v/>
      </c>
      <c r="C246" s="24" t="str">
        <f>IF($B246="","",'TO HOP NLAN'!$D92)</f>
        <v/>
      </c>
      <c r="D246" s="24" t="str">
        <f>IF($B246="","",$C$32*ABS(IFERROR('TO HOP NLAN'!$F92,0)))</f>
        <v/>
      </c>
      <c r="E246" s="24" t="str">
        <f>IF($B246="","",$D$32*ABS(IFERROR('TO HOP NLAN'!$E92,0)))</f>
        <v/>
      </c>
      <c r="F246" s="24" t="str">
        <f t="shared" si="50"/>
        <v/>
      </c>
      <c r="G246" s="24" t="str">
        <f t="shared" si="51"/>
        <v/>
      </c>
      <c r="H246" s="24" t="str">
        <f t="shared" si="52"/>
        <v/>
      </c>
      <c r="I246" s="24" t="str">
        <f t="shared" si="53"/>
        <v/>
      </c>
      <c r="J246" s="24" t="str">
        <f t="shared" si="54"/>
        <v/>
      </c>
      <c r="K246" s="24" t="str">
        <f t="shared" si="55"/>
        <v/>
      </c>
      <c r="L246" s="24" t="str">
        <f t="shared" si="56"/>
        <v/>
      </c>
      <c r="M246" s="24" t="str">
        <f t="shared" si="57"/>
        <v/>
      </c>
    </row>
    <row r="247" spans="2:13" hidden="1" outlineLevel="1" x14ac:dyDescent="0.3">
      <c r="B247" s="24" t="str">
        <f>IF('TO HOP NLAN'!$A93="","",'TO HOP NLAN'!$A93)</f>
        <v/>
      </c>
      <c r="C247" s="24" t="str">
        <f>IF($B247="","",'TO HOP NLAN'!$D93)</f>
        <v/>
      </c>
      <c r="D247" s="24" t="str">
        <f>IF($B247="","",$C$32*ABS(IFERROR('TO HOP NLAN'!$F93,0)))</f>
        <v/>
      </c>
      <c r="E247" s="24" t="str">
        <f>IF($B247="","",$D$32*ABS(IFERROR('TO HOP NLAN'!$E93,0)))</f>
        <v/>
      </c>
      <c r="F247" s="24" t="str">
        <f t="shared" si="50"/>
        <v/>
      </c>
      <c r="G247" s="24" t="str">
        <f t="shared" si="51"/>
        <v/>
      </c>
      <c r="H247" s="24" t="str">
        <f t="shared" si="52"/>
        <v/>
      </c>
      <c r="I247" s="24" t="str">
        <f t="shared" si="53"/>
        <v/>
      </c>
      <c r="J247" s="24" t="str">
        <f t="shared" si="54"/>
        <v/>
      </c>
      <c r="K247" s="24" t="str">
        <f t="shared" si="55"/>
        <v/>
      </c>
      <c r="L247" s="24" t="str">
        <f t="shared" si="56"/>
        <v/>
      </c>
      <c r="M247" s="24" t="str">
        <f t="shared" si="57"/>
        <v/>
      </c>
    </row>
    <row r="248" spans="2:13" hidden="1" outlineLevel="1" x14ac:dyDescent="0.3">
      <c r="B248" s="24" t="str">
        <f>IF('TO HOP NLAN'!$A94="","",'TO HOP NLAN'!$A94)</f>
        <v/>
      </c>
      <c r="C248" s="24" t="str">
        <f>IF($B248="","",'TO HOP NLAN'!$D94)</f>
        <v/>
      </c>
      <c r="D248" s="24" t="str">
        <f>IF($B248="","",$C$32*ABS(IFERROR('TO HOP NLAN'!$F94,0)))</f>
        <v/>
      </c>
      <c r="E248" s="24" t="str">
        <f>IF($B248="","",$D$32*ABS(IFERROR('TO HOP NLAN'!$E94,0)))</f>
        <v/>
      </c>
      <c r="F248" s="24" t="str">
        <f t="shared" si="50"/>
        <v/>
      </c>
      <c r="G248" s="24" t="str">
        <f t="shared" si="51"/>
        <v/>
      </c>
      <c r="H248" s="24" t="str">
        <f t="shared" si="52"/>
        <v/>
      </c>
      <c r="I248" s="24" t="str">
        <f t="shared" si="53"/>
        <v/>
      </c>
      <c r="J248" s="24" t="str">
        <f t="shared" si="54"/>
        <v/>
      </c>
      <c r="K248" s="24" t="str">
        <f t="shared" si="55"/>
        <v/>
      </c>
      <c r="L248" s="24" t="str">
        <f t="shared" si="56"/>
        <v/>
      </c>
      <c r="M248" s="24" t="str">
        <f t="shared" si="57"/>
        <v/>
      </c>
    </row>
    <row r="249" spans="2:13" hidden="1" outlineLevel="1" x14ac:dyDescent="0.3">
      <c r="B249" s="24" t="str">
        <f>IF('TO HOP NLAN'!$A95="","",'TO HOP NLAN'!$A95)</f>
        <v/>
      </c>
      <c r="C249" s="24" t="str">
        <f>IF($B249="","",'TO HOP NLAN'!$D95)</f>
        <v/>
      </c>
      <c r="D249" s="24" t="str">
        <f>IF($B249="","",$C$32*ABS(IFERROR('TO HOP NLAN'!$F95,0)))</f>
        <v/>
      </c>
      <c r="E249" s="24" t="str">
        <f>IF($B249="","",$D$32*ABS(IFERROR('TO HOP NLAN'!$E95,0)))</f>
        <v/>
      </c>
      <c r="F249" s="24" t="str">
        <f t="shared" si="50"/>
        <v/>
      </c>
      <c r="G249" s="24" t="str">
        <f t="shared" si="51"/>
        <v/>
      </c>
      <c r="H249" s="24" t="str">
        <f t="shared" si="52"/>
        <v/>
      </c>
      <c r="I249" s="24" t="str">
        <f t="shared" si="53"/>
        <v/>
      </c>
      <c r="J249" s="24" t="str">
        <f t="shared" si="54"/>
        <v/>
      </c>
      <c r="K249" s="24" t="str">
        <f t="shared" si="55"/>
        <v/>
      </c>
      <c r="L249" s="24" t="str">
        <f t="shared" si="56"/>
        <v/>
      </c>
      <c r="M249" s="24" t="str">
        <f t="shared" si="57"/>
        <v/>
      </c>
    </row>
    <row r="250" spans="2:13" hidden="1" outlineLevel="1" x14ac:dyDescent="0.3">
      <c r="B250" s="24" t="str">
        <f>IF('TO HOP NLAN'!$A96="","",'TO HOP NLAN'!$A96)</f>
        <v/>
      </c>
      <c r="C250" s="24" t="str">
        <f>IF($B250="","",'TO HOP NLAN'!$D96)</f>
        <v/>
      </c>
      <c r="D250" s="24" t="str">
        <f>IF($B250="","",$C$32*ABS(IFERROR('TO HOP NLAN'!$F96,0)))</f>
        <v/>
      </c>
      <c r="E250" s="24" t="str">
        <f>IF($B250="","",$D$32*ABS(IFERROR('TO HOP NLAN'!$E96,0)))</f>
        <v/>
      </c>
      <c r="F250" s="24" t="str">
        <f t="shared" si="50"/>
        <v/>
      </c>
      <c r="G250" s="24" t="str">
        <f t="shared" si="51"/>
        <v/>
      </c>
      <c r="H250" s="24" t="str">
        <f t="shared" si="52"/>
        <v/>
      </c>
      <c r="I250" s="24" t="str">
        <f t="shared" si="53"/>
        <v/>
      </c>
      <c r="J250" s="24" t="str">
        <f t="shared" si="54"/>
        <v/>
      </c>
      <c r="K250" s="24" t="str">
        <f t="shared" si="55"/>
        <v/>
      </c>
      <c r="L250" s="24" t="str">
        <f t="shared" si="56"/>
        <v/>
      </c>
      <c r="M250" s="24" t="str">
        <f t="shared" si="57"/>
        <v/>
      </c>
    </row>
    <row r="251" spans="2:13" hidden="1" outlineLevel="1" x14ac:dyDescent="0.3">
      <c r="B251" s="24" t="str">
        <f>IF('TO HOP NLAN'!$A97="","",'TO HOP NLAN'!$A97)</f>
        <v/>
      </c>
      <c r="C251" s="24" t="str">
        <f>IF($B251="","",'TO HOP NLAN'!$D97)</f>
        <v/>
      </c>
      <c r="D251" s="24" t="str">
        <f>IF($B251="","",$C$32*ABS(IFERROR('TO HOP NLAN'!$F97,0)))</f>
        <v/>
      </c>
      <c r="E251" s="24" t="str">
        <f>IF($B251="","",$D$32*ABS(IFERROR('TO HOP NLAN'!$E97,0)))</f>
        <v/>
      </c>
      <c r="F251" s="24" t="str">
        <f t="shared" si="50"/>
        <v/>
      </c>
      <c r="G251" s="24" t="str">
        <f t="shared" si="51"/>
        <v/>
      </c>
      <c r="H251" s="24" t="str">
        <f t="shared" si="52"/>
        <v/>
      </c>
      <c r="I251" s="24" t="str">
        <f t="shared" si="53"/>
        <v/>
      </c>
      <c r="J251" s="24" t="str">
        <f t="shared" si="54"/>
        <v/>
      </c>
      <c r="K251" s="24" t="str">
        <f t="shared" si="55"/>
        <v/>
      </c>
      <c r="L251" s="24" t="str">
        <f t="shared" si="56"/>
        <v/>
      </c>
      <c r="M251" s="24" t="str">
        <f t="shared" si="57"/>
        <v/>
      </c>
    </row>
    <row r="252" spans="2:13" hidden="1" outlineLevel="1" x14ac:dyDescent="0.3">
      <c r="B252" s="24" t="str">
        <f>IF('TO HOP NLAN'!$A98="","",'TO HOP NLAN'!$A98)</f>
        <v/>
      </c>
      <c r="C252" s="24" t="str">
        <f>IF($B252="","",'TO HOP NLAN'!$D98)</f>
        <v/>
      </c>
      <c r="D252" s="24" t="str">
        <f>IF($B252="","",$C$32*ABS(IFERROR('TO HOP NLAN'!$F98,0)))</f>
        <v/>
      </c>
      <c r="E252" s="24" t="str">
        <f>IF($B252="","",$D$32*ABS(IFERROR('TO HOP NLAN'!$E98,0)))</f>
        <v/>
      </c>
      <c r="F252" s="24" t="str">
        <f t="shared" si="50"/>
        <v/>
      </c>
      <c r="G252" s="24" t="str">
        <f t="shared" si="51"/>
        <v/>
      </c>
      <c r="H252" s="24" t="str">
        <f t="shared" si="52"/>
        <v/>
      </c>
      <c r="I252" s="24" t="str">
        <f t="shared" si="53"/>
        <v/>
      </c>
      <c r="J252" s="24" t="str">
        <f t="shared" si="54"/>
        <v/>
      </c>
      <c r="K252" s="24" t="str">
        <f t="shared" si="55"/>
        <v/>
      </c>
      <c r="L252" s="24" t="str">
        <f t="shared" si="56"/>
        <v/>
      </c>
      <c r="M252" s="24" t="str">
        <f t="shared" si="57"/>
        <v/>
      </c>
    </row>
    <row r="253" spans="2:13" hidden="1" outlineLevel="1" x14ac:dyDescent="0.3">
      <c r="B253" s="24" t="str">
        <f>IF('TO HOP NLAN'!$A99="","",'TO HOP NLAN'!$A99)</f>
        <v/>
      </c>
      <c r="C253" s="24" t="str">
        <f>IF($B253="","",'TO HOP NLAN'!$D99)</f>
        <v/>
      </c>
      <c r="D253" s="24" t="str">
        <f>IF($B253="","",$C$32*ABS(IFERROR('TO HOP NLAN'!$F99,0)))</f>
        <v/>
      </c>
      <c r="E253" s="24" t="str">
        <f>IF($B253="","",$D$32*ABS(IFERROR('TO HOP NLAN'!$E99,0)))</f>
        <v/>
      </c>
      <c r="F253" s="24" t="str">
        <f t="shared" si="50"/>
        <v/>
      </c>
      <c r="G253" s="24" t="str">
        <f t="shared" si="51"/>
        <v/>
      </c>
      <c r="H253" s="24" t="str">
        <f t="shared" si="52"/>
        <v/>
      </c>
      <c r="I253" s="24" t="str">
        <f t="shared" si="53"/>
        <v/>
      </c>
      <c r="J253" s="24" t="str">
        <f t="shared" si="54"/>
        <v/>
      </c>
      <c r="K253" s="24" t="str">
        <f t="shared" si="55"/>
        <v/>
      </c>
      <c r="L253" s="24" t="str">
        <f t="shared" si="56"/>
        <v/>
      </c>
      <c r="M253" s="24" t="str">
        <f t="shared" si="57"/>
        <v/>
      </c>
    </row>
    <row r="254" spans="2:13" hidden="1" outlineLevel="1" x14ac:dyDescent="0.3">
      <c r="B254" s="24" t="str">
        <f>IF('TO HOP NLAN'!$A100="","",'TO HOP NLAN'!$A100)</f>
        <v/>
      </c>
      <c r="C254" s="24" t="str">
        <f>IF($B254="","",'TO HOP NLAN'!$D100)</f>
        <v/>
      </c>
      <c r="D254" s="24" t="str">
        <f>IF($B254="","",$C$32*ABS(IFERROR('TO HOP NLAN'!$F100,0)))</f>
        <v/>
      </c>
      <c r="E254" s="24" t="str">
        <f>IF($B254="","",$D$32*ABS(IFERROR('TO HOP NLAN'!$E100,0)))</f>
        <v/>
      </c>
      <c r="F254" s="24" t="str">
        <f t="shared" si="50"/>
        <v/>
      </c>
      <c r="G254" s="24" t="str">
        <f t="shared" si="51"/>
        <v/>
      </c>
      <c r="H254" s="24" t="str">
        <f t="shared" si="52"/>
        <v/>
      </c>
      <c r="I254" s="24" t="str">
        <f t="shared" si="53"/>
        <v/>
      </c>
      <c r="J254" s="24" t="str">
        <f t="shared" si="54"/>
        <v/>
      </c>
      <c r="K254" s="24" t="str">
        <f t="shared" si="55"/>
        <v/>
      </c>
      <c r="L254" s="24" t="str">
        <f t="shared" si="56"/>
        <v/>
      </c>
      <c r="M254" s="24" t="str">
        <f t="shared" si="57"/>
        <v/>
      </c>
    </row>
    <row r="255" spans="2:13" hidden="1" outlineLevel="1" x14ac:dyDescent="0.3">
      <c r="B255" s="24" t="str">
        <f>IF('TO HOP NLAN'!$A101="","",'TO HOP NLAN'!$A101)</f>
        <v/>
      </c>
      <c r="C255" s="24" t="str">
        <f>IF($B255="","",'TO HOP NLAN'!$D101)</f>
        <v/>
      </c>
      <c r="D255" s="24" t="str">
        <f>IF($B255="","",$C$32*ABS(IFERROR('TO HOP NLAN'!$F101,0)))</f>
        <v/>
      </c>
      <c r="E255" s="24" t="str">
        <f>IF($B255="","",$D$32*ABS(IFERROR('TO HOP NLAN'!$E101,0)))</f>
        <v/>
      </c>
      <c r="F255" s="24" t="str">
        <f t="shared" si="50"/>
        <v/>
      </c>
      <c r="G255" s="24" t="str">
        <f t="shared" si="51"/>
        <v/>
      </c>
      <c r="H255" s="24" t="str">
        <f t="shared" si="52"/>
        <v/>
      </c>
      <c r="I255" s="24" t="str">
        <f t="shared" si="53"/>
        <v/>
      </c>
      <c r="J255" s="24" t="str">
        <f t="shared" si="54"/>
        <v/>
      </c>
      <c r="K255" s="24" t="str">
        <f t="shared" si="55"/>
        <v/>
      </c>
      <c r="L255" s="24" t="str">
        <f t="shared" si="56"/>
        <v/>
      </c>
      <c r="M255" s="24" t="str">
        <f t="shared" si="57"/>
        <v/>
      </c>
    </row>
    <row r="256" spans="2:13" hidden="1" outlineLevel="1" x14ac:dyDescent="0.3">
      <c r="B256" s="24" t="str">
        <f>IF('TO HOP NLAN'!$A102="","",'TO HOP NLAN'!$A102)</f>
        <v/>
      </c>
      <c r="C256" s="24" t="str">
        <f>IF($B256="","",'TO HOP NLAN'!$D102)</f>
        <v/>
      </c>
      <c r="D256" s="24" t="str">
        <f>IF($B256="","",$C$32*ABS(IFERROR('TO HOP NLAN'!$F102,0)))</f>
        <v/>
      </c>
      <c r="E256" s="24" t="str">
        <f>IF($B256="","",$D$32*ABS(IFERROR('TO HOP NLAN'!$E102,0)))</f>
        <v/>
      </c>
      <c r="F256" s="24" t="str">
        <f t="shared" si="50"/>
        <v/>
      </c>
      <c r="G256" s="24" t="str">
        <f t="shared" si="51"/>
        <v/>
      </c>
      <c r="H256" s="24" t="str">
        <f t="shared" si="52"/>
        <v/>
      </c>
      <c r="I256" s="24" t="str">
        <f t="shared" si="53"/>
        <v/>
      </c>
      <c r="J256" s="24" t="str">
        <f t="shared" si="54"/>
        <v/>
      </c>
      <c r="K256" s="24" t="str">
        <f t="shared" si="55"/>
        <v/>
      </c>
      <c r="L256" s="24" t="str">
        <f t="shared" si="56"/>
        <v/>
      </c>
      <c r="M256" s="24" t="str">
        <f t="shared" si="57"/>
        <v/>
      </c>
    </row>
    <row r="257" spans="2:13" hidden="1" outlineLevel="1" x14ac:dyDescent="0.3">
      <c r="B257" s="24" t="str">
        <f>IF('TO HOP NLAN'!$A103="","",'TO HOP NLAN'!$A103)</f>
        <v/>
      </c>
      <c r="C257" s="24" t="str">
        <f>IF($B257="","",'TO HOP NLAN'!$D103)</f>
        <v/>
      </c>
      <c r="D257" s="24" t="str">
        <f>IF($B257="","",$C$32*ABS(IFERROR('TO HOP NLAN'!$F103,0)))</f>
        <v/>
      </c>
      <c r="E257" s="24" t="str">
        <f>IF($B257="","",$D$32*ABS(IFERROR('TO HOP NLAN'!$E103,0)))</f>
        <v/>
      </c>
      <c r="F257" s="24" t="str">
        <f t="shared" si="50"/>
        <v/>
      </c>
      <c r="G257" s="24" t="str">
        <f t="shared" si="51"/>
        <v/>
      </c>
      <c r="H257" s="24" t="str">
        <f t="shared" si="52"/>
        <v/>
      </c>
      <c r="I257" s="24" t="str">
        <f t="shared" si="53"/>
        <v/>
      </c>
      <c r="J257" s="24" t="str">
        <f t="shared" si="54"/>
        <v/>
      </c>
      <c r="K257" s="24" t="str">
        <f t="shared" si="55"/>
        <v/>
      </c>
      <c r="L257" s="24" t="str">
        <f t="shared" si="56"/>
        <v/>
      </c>
      <c r="M257" s="24" t="str">
        <f t="shared" si="57"/>
        <v/>
      </c>
    </row>
    <row r="258" spans="2:13" hidden="1" outlineLevel="1" x14ac:dyDescent="0.3">
      <c r="B258" s="24" t="str">
        <f>IF('TO HOP NLAN'!$A104="","",'TO HOP NLAN'!$A104)</f>
        <v/>
      </c>
      <c r="C258" s="24" t="str">
        <f>IF($B258="","",'TO HOP NLAN'!$D104)</f>
        <v/>
      </c>
      <c r="D258" s="24" t="str">
        <f>IF($B258="","",$C$32*ABS(IFERROR('TO HOP NLAN'!$F104,0)))</f>
        <v/>
      </c>
      <c r="E258" s="24" t="str">
        <f>IF($B258="","",$D$32*ABS(IFERROR('TO HOP NLAN'!$E104,0)))</f>
        <v/>
      </c>
      <c r="F258" s="24" t="str">
        <f t="shared" si="50"/>
        <v/>
      </c>
      <c r="G258" s="24" t="str">
        <f t="shared" si="51"/>
        <v/>
      </c>
      <c r="H258" s="24" t="str">
        <f t="shared" si="52"/>
        <v/>
      </c>
      <c r="I258" s="24" t="str">
        <f t="shared" si="53"/>
        <v/>
      </c>
      <c r="J258" s="24" t="str">
        <f t="shared" si="54"/>
        <v/>
      </c>
      <c r="K258" s="24" t="str">
        <f t="shared" si="55"/>
        <v/>
      </c>
      <c r="L258" s="24" t="str">
        <f t="shared" si="56"/>
        <v/>
      </c>
      <c r="M258" s="24" t="str">
        <f t="shared" si="57"/>
        <v/>
      </c>
    </row>
    <row r="259" spans="2:13" hidden="1" outlineLevel="1" x14ac:dyDescent="0.3">
      <c r="B259" s="24" t="str">
        <f>IF('TO HOP NLAN'!$A105="","",'TO HOP NLAN'!$A105)</f>
        <v/>
      </c>
      <c r="C259" s="24" t="str">
        <f>IF($B259="","",'TO HOP NLAN'!$D105)</f>
        <v/>
      </c>
      <c r="D259" s="24" t="str">
        <f>IF($B259="","",$C$32*ABS(IFERROR('TO HOP NLAN'!$F105,0)))</f>
        <v/>
      </c>
      <c r="E259" s="24" t="str">
        <f>IF($B259="","",$D$32*ABS(IFERROR('TO HOP NLAN'!$E105,0)))</f>
        <v/>
      </c>
      <c r="F259" s="24" t="str">
        <f t="shared" si="50"/>
        <v/>
      </c>
      <c r="G259" s="24" t="str">
        <f t="shared" si="51"/>
        <v/>
      </c>
      <c r="H259" s="24" t="str">
        <f t="shared" si="52"/>
        <v/>
      </c>
      <c r="I259" s="24" t="str">
        <f t="shared" si="53"/>
        <v/>
      </c>
      <c r="J259" s="24" t="str">
        <f t="shared" si="54"/>
        <v/>
      </c>
      <c r="K259" s="24" t="str">
        <f t="shared" si="55"/>
        <v/>
      </c>
      <c r="L259" s="24" t="str">
        <f t="shared" si="56"/>
        <v/>
      </c>
      <c r="M259" s="24" t="str">
        <f t="shared" si="57"/>
        <v/>
      </c>
    </row>
    <row r="260" spans="2:13" hidden="1" outlineLevel="1" x14ac:dyDescent="0.3">
      <c r="B260" s="24" t="str">
        <f>IF('TO HOP NLAN'!$A106="","",'TO HOP NLAN'!$A106)</f>
        <v/>
      </c>
      <c r="C260" s="24" t="str">
        <f>IF($B260="","",'TO HOP NLAN'!$D106)</f>
        <v/>
      </c>
      <c r="D260" s="24" t="str">
        <f>IF($B260="","",$C$32*ABS(IFERROR('TO HOP NLAN'!$F106,0)))</f>
        <v/>
      </c>
      <c r="E260" s="24" t="str">
        <f>IF($B260="","",$D$32*ABS(IFERROR('TO HOP NLAN'!$E106,0)))</f>
        <v/>
      </c>
      <c r="F260" s="24" t="str">
        <f t="shared" si="50"/>
        <v/>
      </c>
      <c r="G260" s="24" t="str">
        <f t="shared" si="51"/>
        <v/>
      </c>
      <c r="H260" s="24" t="str">
        <f t="shared" si="52"/>
        <v/>
      </c>
      <c r="I260" s="24" t="str">
        <f t="shared" si="53"/>
        <v/>
      </c>
      <c r="J260" s="24" t="str">
        <f t="shared" si="54"/>
        <v/>
      </c>
      <c r="K260" s="24" t="str">
        <f t="shared" si="55"/>
        <v/>
      </c>
      <c r="L260" s="24" t="str">
        <f t="shared" si="56"/>
        <v/>
      </c>
      <c r="M260" s="24" t="str">
        <f t="shared" si="57"/>
        <v/>
      </c>
    </row>
    <row r="261" spans="2:13" hidden="1" outlineLevel="1" x14ac:dyDescent="0.3">
      <c r="B261" s="24" t="str">
        <f>IF('TO HOP NLAN'!$A107="","",'TO HOP NLAN'!$A107)</f>
        <v/>
      </c>
      <c r="C261" s="24" t="str">
        <f>IF($B261="","",'TO HOP NLAN'!$D107)</f>
        <v/>
      </c>
      <c r="D261" s="24" t="str">
        <f>IF($B261="","",$C$32*ABS(IFERROR('TO HOP NLAN'!$F107,0)))</f>
        <v/>
      </c>
      <c r="E261" s="24" t="str">
        <f>IF($B261="","",$D$32*ABS(IFERROR('TO HOP NLAN'!$E107,0)))</f>
        <v/>
      </c>
      <c r="F261" s="24" t="str">
        <f t="shared" si="50"/>
        <v/>
      </c>
      <c r="G261" s="24" t="str">
        <f t="shared" si="51"/>
        <v/>
      </c>
      <c r="H261" s="24" t="str">
        <f t="shared" si="52"/>
        <v/>
      </c>
      <c r="I261" s="24" t="str">
        <f t="shared" si="53"/>
        <v/>
      </c>
      <c r="J261" s="24" t="str">
        <f t="shared" si="54"/>
        <v/>
      </c>
      <c r="K261" s="24" t="str">
        <f t="shared" si="55"/>
        <v/>
      </c>
      <c r="L261" s="24" t="str">
        <f t="shared" si="56"/>
        <v/>
      </c>
      <c r="M261" s="24" t="str">
        <f t="shared" si="57"/>
        <v/>
      </c>
    </row>
    <row r="262" spans="2:13" hidden="1" outlineLevel="1" x14ac:dyDescent="0.3">
      <c r="B262" s="24" t="str">
        <f>IF('TO HOP NLAN'!$A108="","",'TO HOP NLAN'!$A108)</f>
        <v/>
      </c>
      <c r="C262" s="24" t="str">
        <f>IF($B262="","",'TO HOP NLAN'!$D108)</f>
        <v/>
      </c>
      <c r="D262" s="24" t="str">
        <f>IF($B262="","",$C$32*ABS(IFERROR('TO HOP NLAN'!$F108,0)))</f>
        <v/>
      </c>
      <c r="E262" s="24" t="str">
        <f>IF($B262="","",$D$32*ABS(IFERROR('TO HOP NLAN'!$E108,0)))</f>
        <v/>
      </c>
      <c r="F262" s="24" t="str">
        <f t="shared" si="50"/>
        <v/>
      </c>
      <c r="G262" s="24" t="str">
        <f t="shared" si="51"/>
        <v/>
      </c>
      <c r="H262" s="24" t="str">
        <f t="shared" si="52"/>
        <v/>
      </c>
      <c r="I262" s="24" t="str">
        <f t="shared" si="53"/>
        <v/>
      </c>
      <c r="J262" s="24" t="str">
        <f t="shared" si="54"/>
        <v/>
      </c>
      <c r="K262" s="24" t="str">
        <f t="shared" si="55"/>
        <v/>
      </c>
      <c r="L262" s="24" t="str">
        <f t="shared" si="56"/>
        <v/>
      </c>
      <c r="M262" s="24" t="str">
        <f t="shared" si="57"/>
        <v/>
      </c>
    </row>
    <row r="263" spans="2:13" hidden="1" outlineLevel="1" x14ac:dyDescent="0.3">
      <c r="B263" s="24" t="str">
        <f>IF('TO HOP NLAN'!$A109="","",'TO HOP NLAN'!$A109)</f>
        <v/>
      </c>
      <c r="C263" s="24" t="str">
        <f>IF($B263="","",'TO HOP NLAN'!$D109)</f>
        <v/>
      </c>
      <c r="D263" s="24" t="str">
        <f>IF($B263="","",$C$32*ABS(IFERROR('TO HOP NLAN'!$F109,0)))</f>
        <v/>
      </c>
      <c r="E263" s="24" t="str">
        <f>IF($B263="","",$D$32*ABS(IFERROR('TO HOP NLAN'!$E109,0)))</f>
        <v/>
      </c>
      <c r="F263" s="24" t="str">
        <f t="shared" si="50"/>
        <v/>
      </c>
      <c r="G263" s="24" t="str">
        <f t="shared" si="51"/>
        <v/>
      </c>
      <c r="H263" s="24" t="str">
        <f t="shared" si="52"/>
        <v/>
      </c>
      <c r="I263" s="24" t="str">
        <f t="shared" si="53"/>
        <v/>
      </c>
      <c r="J263" s="24" t="str">
        <f t="shared" si="54"/>
        <v/>
      </c>
      <c r="K263" s="24" t="str">
        <f t="shared" si="55"/>
        <v/>
      </c>
      <c r="L263" s="24" t="str">
        <f t="shared" si="56"/>
        <v/>
      </c>
      <c r="M263" s="24" t="str">
        <f t="shared" si="57"/>
        <v/>
      </c>
    </row>
    <row r="264" spans="2:13" hidden="1" outlineLevel="1" x14ac:dyDescent="0.3">
      <c r="B264" s="24" t="str">
        <f>IF('TO HOP NLAN'!$A110="","",'TO HOP NLAN'!$A110)</f>
        <v/>
      </c>
      <c r="C264" s="24" t="str">
        <f>IF($B264="","",'TO HOP NLAN'!$D110)</f>
        <v/>
      </c>
      <c r="D264" s="24" t="str">
        <f>IF($B264="","",$C$32*ABS(IFERROR('TO HOP NLAN'!$F110,0)))</f>
        <v/>
      </c>
      <c r="E264" s="24" t="str">
        <f>IF($B264="","",$D$32*ABS(IFERROR('TO HOP NLAN'!$E110,0)))</f>
        <v/>
      </c>
      <c r="F264" s="24" t="str">
        <f t="shared" si="50"/>
        <v/>
      </c>
      <c r="G264" s="24" t="str">
        <f t="shared" si="51"/>
        <v/>
      </c>
      <c r="H264" s="24" t="str">
        <f t="shared" si="52"/>
        <v/>
      </c>
      <c r="I264" s="24" t="str">
        <f t="shared" si="53"/>
        <v/>
      </c>
      <c r="J264" s="24" t="str">
        <f t="shared" si="54"/>
        <v/>
      </c>
      <c r="K264" s="24" t="str">
        <f t="shared" si="55"/>
        <v/>
      </c>
      <c r="L264" s="24" t="str">
        <f t="shared" si="56"/>
        <v/>
      </c>
      <c r="M264" s="24" t="str">
        <f t="shared" si="57"/>
        <v/>
      </c>
    </row>
    <row r="265" spans="2:13" hidden="1" outlineLevel="1" x14ac:dyDescent="0.3">
      <c r="B265" s="24" t="str">
        <f>IF('TO HOP NLAN'!$A111="","",'TO HOP NLAN'!$A111)</f>
        <v/>
      </c>
      <c r="C265" s="24" t="str">
        <f>IF($B265="","",'TO HOP NLAN'!$D111)</f>
        <v/>
      </c>
      <c r="D265" s="24" t="str">
        <f>IF($B265="","",$C$32*ABS(IFERROR('TO HOP NLAN'!$F111,0)))</f>
        <v/>
      </c>
      <c r="E265" s="24" t="str">
        <f>IF($B265="","",$D$32*ABS(IFERROR('TO HOP NLAN'!$E111,0)))</f>
        <v/>
      </c>
      <c r="F265" s="24" t="str">
        <f t="shared" si="50"/>
        <v/>
      </c>
      <c r="G265" s="24" t="str">
        <f t="shared" si="51"/>
        <v/>
      </c>
      <c r="H265" s="24" t="str">
        <f t="shared" si="52"/>
        <v/>
      </c>
      <c r="I265" s="24" t="str">
        <f t="shared" si="53"/>
        <v/>
      </c>
      <c r="J265" s="24" t="str">
        <f t="shared" si="54"/>
        <v/>
      </c>
      <c r="K265" s="24" t="str">
        <f t="shared" si="55"/>
        <v/>
      </c>
      <c r="L265" s="24" t="str">
        <f t="shared" si="56"/>
        <v/>
      </c>
      <c r="M265" s="24" t="str">
        <f t="shared" si="57"/>
        <v/>
      </c>
    </row>
    <row r="266" spans="2:13" hidden="1" outlineLevel="1" x14ac:dyDescent="0.3">
      <c r="B266" s="24" t="str">
        <f>IF('TO HOP NLAN'!$A112="","",'TO HOP NLAN'!$A112)</f>
        <v/>
      </c>
      <c r="C266" s="24" t="str">
        <f>IF($B266="","",'TO HOP NLAN'!$D112)</f>
        <v/>
      </c>
      <c r="D266" s="24" t="str">
        <f>IF($B266="","",$C$32*ABS(IFERROR('TO HOP NLAN'!$F112,0)))</f>
        <v/>
      </c>
      <c r="E266" s="24" t="str">
        <f>IF($B266="","",$D$32*ABS(IFERROR('TO HOP NLAN'!$E112,0)))</f>
        <v/>
      </c>
      <c r="F266" s="24" t="str">
        <f t="shared" si="50"/>
        <v/>
      </c>
      <c r="G266" s="24" t="str">
        <f t="shared" si="51"/>
        <v/>
      </c>
      <c r="H266" s="24" t="str">
        <f t="shared" si="52"/>
        <v/>
      </c>
      <c r="I266" s="24" t="str">
        <f t="shared" si="53"/>
        <v/>
      </c>
      <c r="J266" s="24" t="str">
        <f t="shared" si="54"/>
        <v/>
      </c>
      <c r="K266" s="24" t="str">
        <f t="shared" si="55"/>
        <v/>
      </c>
      <c r="L266" s="24" t="str">
        <f t="shared" si="56"/>
        <v/>
      </c>
      <c r="M266" s="24" t="str">
        <f t="shared" si="57"/>
        <v/>
      </c>
    </row>
    <row r="267" spans="2:13" hidden="1" outlineLevel="1" x14ac:dyDescent="0.3">
      <c r="B267" s="24" t="str">
        <f>IF('TO HOP NLAN'!$A113="","",'TO HOP NLAN'!$A113)</f>
        <v/>
      </c>
      <c r="C267" s="24" t="str">
        <f>IF($B267="","",'TO HOP NLAN'!$D113)</f>
        <v/>
      </c>
      <c r="D267" s="24" t="str">
        <f>IF($B267="","",$C$32*ABS(IFERROR('TO HOP NLAN'!$F113,0)))</f>
        <v/>
      </c>
      <c r="E267" s="24" t="str">
        <f>IF($B267="","",$D$32*ABS(IFERROR('TO HOP NLAN'!$E113,0)))</f>
        <v/>
      </c>
      <c r="F267" s="24" t="str">
        <f t="shared" si="50"/>
        <v/>
      </c>
      <c r="G267" s="24" t="str">
        <f t="shared" si="51"/>
        <v/>
      </c>
      <c r="H267" s="24" t="str">
        <f t="shared" si="52"/>
        <v/>
      </c>
      <c r="I267" s="24" t="str">
        <f t="shared" si="53"/>
        <v/>
      </c>
      <c r="J267" s="24" t="str">
        <f t="shared" si="54"/>
        <v/>
      </c>
      <c r="K267" s="24" t="str">
        <f t="shared" si="55"/>
        <v/>
      </c>
      <c r="L267" s="24" t="str">
        <f t="shared" si="56"/>
        <v/>
      </c>
      <c r="M267" s="24" t="str">
        <f t="shared" si="57"/>
        <v/>
      </c>
    </row>
    <row r="268" spans="2:13" hidden="1" outlineLevel="1" x14ac:dyDescent="0.3">
      <c r="B268" s="24" t="str">
        <f>IF('TO HOP NLAN'!$A114="","",'TO HOP NLAN'!$A114)</f>
        <v/>
      </c>
      <c r="C268" s="24" t="str">
        <f>IF($B268="","",'TO HOP NLAN'!$D114)</f>
        <v/>
      </c>
      <c r="D268" s="24" t="str">
        <f>IF($B268="","",$C$32*ABS(IFERROR('TO HOP NLAN'!$F114,0)))</f>
        <v/>
      </c>
      <c r="E268" s="24" t="str">
        <f>IF($B268="","",$D$32*ABS(IFERROR('TO HOP NLAN'!$E114,0)))</f>
        <v/>
      </c>
      <c r="F268" s="24" t="str">
        <f t="shared" si="50"/>
        <v/>
      </c>
      <c r="G268" s="24" t="str">
        <f t="shared" si="51"/>
        <v/>
      </c>
      <c r="H268" s="24" t="str">
        <f t="shared" si="52"/>
        <v/>
      </c>
      <c r="I268" s="24" t="str">
        <f t="shared" si="53"/>
        <v/>
      </c>
      <c r="J268" s="24" t="str">
        <f t="shared" si="54"/>
        <v/>
      </c>
      <c r="K268" s="24" t="str">
        <f t="shared" si="55"/>
        <v/>
      </c>
      <c r="L268" s="24" t="str">
        <f t="shared" si="56"/>
        <v/>
      </c>
      <c r="M268" s="24" t="str">
        <f t="shared" si="57"/>
        <v/>
      </c>
    </row>
    <row r="269" spans="2:13" hidden="1" outlineLevel="1" x14ac:dyDescent="0.3">
      <c r="B269" s="24" t="str">
        <f>IF('TO HOP NLAN'!$A115="","",'TO HOP NLAN'!$A115)</f>
        <v/>
      </c>
      <c r="C269" s="24" t="str">
        <f>IF($B269="","",'TO HOP NLAN'!$D115)</f>
        <v/>
      </c>
      <c r="D269" s="24" t="str">
        <f>IF($B269="","",$C$32*ABS(IFERROR('TO HOP NLAN'!$F115,0)))</f>
        <v/>
      </c>
      <c r="E269" s="24" t="str">
        <f>IF($B269="","",$D$32*ABS(IFERROR('TO HOP NLAN'!$E115,0)))</f>
        <v/>
      </c>
      <c r="F269" s="24" t="str">
        <f t="shared" si="50"/>
        <v/>
      </c>
      <c r="G269" s="24" t="str">
        <f t="shared" si="51"/>
        <v/>
      </c>
      <c r="H269" s="24" t="str">
        <f t="shared" si="52"/>
        <v/>
      </c>
      <c r="I269" s="24" t="str">
        <f t="shared" si="53"/>
        <v/>
      </c>
      <c r="J269" s="24" t="str">
        <f t="shared" si="54"/>
        <v/>
      </c>
      <c r="K269" s="24" t="str">
        <f t="shared" si="55"/>
        <v/>
      </c>
      <c r="L269" s="24" t="str">
        <f t="shared" si="56"/>
        <v/>
      </c>
      <c r="M269" s="24" t="str">
        <f t="shared" si="57"/>
        <v/>
      </c>
    </row>
    <row r="270" spans="2:13" hidden="1" outlineLevel="1" x14ac:dyDescent="0.3">
      <c r="B270" s="24" t="str">
        <f>IF('TO HOP NLAN'!$A116="","",'TO HOP NLAN'!$A116)</f>
        <v/>
      </c>
      <c r="C270" s="24" t="str">
        <f>IF($B270="","",'TO HOP NLAN'!$D116)</f>
        <v/>
      </c>
      <c r="D270" s="24" t="str">
        <f>IF($B270="","",$C$32*ABS(IFERROR('TO HOP NLAN'!$F116,0)))</f>
        <v/>
      </c>
      <c r="E270" s="24" t="str">
        <f>IF($B270="","",$D$32*ABS(IFERROR('TO HOP NLAN'!$E116,0)))</f>
        <v/>
      </c>
      <c r="F270" s="24" t="str">
        <f t="shared" si="50"/>
        <v/>
      </c>
      <c r="G270" s="24" t="str">
        <f t="shared" si="51"/>
        <v/>
      </c>
      <c r="H270" s="24" t="str">
        <f t="shared" si="52"/>
        <v/>
      </c>
      <c r="I270" s="24" t="str">
        <f t="shared" si="53"/>
        <v/>
      </c>
      <c r="J270" s="24" t="str">
        <f t="shared" si="54"/>
        <v/>
      </c>
      <c r="K270" s="24" t="str">
        <f t="shared" si="55"/>
        <v/>
      </c>
      <c r="L270" s="24" t="str">
        <f t="shared" si="56"/>
        <v/>
      </c>
      <c r="M270" s="24" t="str">
        <f t="shared" si="57"/>
        <v/>
      </c>
    </row>
    <row r="271" spans="2:13" hidden="1" outlineLevel="1" x14ac:dyDescent="0.3">
      <c r="B271" s="24" t="str">
        <f>IF('TO HOP NLAN'!$A117="","",'TO HOP NLAN'!$A117)</f>
        <v/>
      </c>
      <c r="C271" s="24" t="str">
        <f>IF($B271="","",'TO HOP NLAN'!$D117)</f>
        <v/>
      </c>
      <c r="D271" s="24" t="str">
        <f>IF($B271="","",$C$32*ABS(IFERROR('TO HOP NLAN'!$F117,0)))</f>
        <v/>
      </c>
      <c r="E271" s="24" t="str">
        <f>IF($B271="","",$D$32*ABS(IFERROR('TO HOP NLAN'!$E117,0)))</f>
        <v/>
      </c>
      <c r="F271" s="24" t="str">
        <f t="shared" si="50"/>
        <v/>
      </c>
      <c r="G271" s="24" t="str">
        <f t="shared" si="51"/>
        <v/>
      </c>
      <c r="H271" s="24" t="str">
        <f t="shared" si="52"/>
        <v/>
      </c>
      <c r="I271" s="24" t="str">
        <f t="shared" si="53"/>
        <v/>
      </c>
      <c r="J271" s="24" t="str">
        <f t="shared" si="54"/>
        <v/>
      </c>
      <c r="K271" s="24" t="str">
        <f t="shared" si="55"/>
        <v/>
      </c>
      <c r="L271" s="24" t="str">
        <f t="shared" si="56"/>
        <v/>
      </c>
      <c r="M271" s="24" t="str">
        <f t="shared" si="57"/>
        <v/>
      </c>
    </row>
    <row r="272" spans="2:13" hidden="1" outlineLevel="1" x14ac:dyDescent="0.3">
      <c r="B272" s="24" t="str">
        <f>IF('TO HOP NLAN'!$A118="","",'TO HOP NLAN'!$A118)</f>
        <v/>
      </c>
      <c r="C272" s="24" t="str">
        <f>IF($B272="","",'TO HOP NLAN'!$D118)</f>
        <v/>
      </c>
      <c r="D272" s="24" t="str">
        <f>IF($B272="","",$C$32*ABS(IFERROR('TO HOP NLAN'!$F118,0)))</f>
        <v/>
      </c>
      <c r="E272" s="24" t="str">
        <f>IF($B272="","",$D$32*ABS(IFERROR('TO HOP NLAN'!$E118,0)))</f>
        <v/>
      </c>
      <c r="F272" s="24" t="str">
        <f t="shared" si="50"/>
        <v/>
      </c>
      <c r="G272" s="24" t="str">
        <f t="shared" si="51"/>
        <v/>
      </c>
      <c r="H272" s="24" t="str">
        <f t="shared" si="52"/>
        <v/>
      </c>
      <c r="I272" s="24" t="str">
        <f t="shared" si="53"/>
        <v/>
      </c>
      <c r="J272" s="24" t="str">
        <f t="shared" si="54"/>
        <v/>
      </c>
      <c r="K272" s="24" t="str">
        <f t="shared" si="55"/>
        <v/>
      </c>
      <c r="L272" s="24" t="str">
        <f t="shared" si="56"/>
        <v/>
      </c>
      <c r="M272" s="24" t="str">
        <f t="shared" si="57"/>
        <v/>
      </c>
    </row>
    <row r="273" spans="2:13" hidden="1" outlineLevel="1" x14ac:dyDescent="0.3">
      <c r="B273" s="24" t="str">
        <f>IF('TO HOP NLAN'!$A119="","",'TO HOP NLAN'!$A119)</f>
        <v/>
      </c>
      <c r="C273" s="24" t="str">
        <f>IF($B273="","",'TO HOP NLAN'!$D119)</f>
        <v/>
      </c>
      <c r="D273" s="24" t="str">
        <f>IF($B273="","",$C$32*ABS(IFERROR('TO HOP NLAN'!$F119,0)))</f>
        <v/>
      </c>
      <c r="E273" s="24" t="str">
        <f>IF($B273="","",$D$32*ABS(IFERROR('TO HOP NLAN'!$E119,0)))</f>
        <v/>
      </c>
      <c r="F273" s="24" t="str">
        <f t="shared" si="50"/>
        <v/>
      </c>
      <c r="G273" s="24" t="str">
        <f t="shared" si="51"/>
        <v/>
      </c>
      <c r="H273" s="24" t="str">
        <f t="shared" si="52"/>
        <v/>
      </c>
      <c r="I273" s="24" t="str">
        <f t="shared" si="53"/>
        <v/>
      </c>
      <c r="J273" s="24" t="str">
        <f t="shared" si="54"/>
        <v/>
      </c>
      <c r="K273" s="24" t="str">
        <f t="shared" si="55"/>
        <v/>
      </c>
      <c r="L273" s="24" t="str">
        <f t="shared" si="56"/>
        <v/>
      </c>
      <c r="M273" s="24" t="str">
        <f t="shared" si="57"/>
        <v/>
      </c>
    </row>
    <row r="274" spans="2:13" hidden="1" outlineLevel="1" x14ac:dyDescent="0.3">
      <c r="B274" s="24" t="str">
        <f>IF('TO HOP NLAN'!$A120="","",'TO HOP NLAN'!$A120)</f>
        <v/>
      </c>
      <c r="C274" s="24" t="str">
        <f>IF($B274="","",'TO HOP NLAN'!$D120)</f>
        <v/>
      </c>
      <c r="D274" s="24" t="str">
        <f>IF($B274="","",$C$32*ABS(IFERROR('TO HOP NLAN'!$F120,0)))</f>
        <v/>
      </c>
      <c r="E274" s="24" t="str">
        <f>IF($B274="","",$D$32*ABS(IFERROR('TO HOP NLAN'!$E120,0)))</f>
        <v/>
      </c>
      <c r="F274" s="24" t="str">
        <f t="shared" si="50"/>
        <v/>
      </c>
      <c r="G274" s="24" t="str">
        <f t="shared" si="51"/>
        <v/>
      </c>
      <c r="H274" s="24" t="str">
        <f t="shared" si="52"/>
        <v/>
      </c>
      <c r="I274" s="24" t="str">
        <f t="shared" si="53"/>
        <v/>
      </c>
      <c r="J274" s="24" t="str">
        <f t="shared" si="54"/>
        <v/>
      </c>
      <c r="K274" s="24" t="str">
        <f t="shared" si="55"/>
        <v/>
      </c>
      <c r="L274" s="24" t="str">
        <f t="shared" si="56"/>
        <v/>
      </c>
      <c r="M274" s="24" t="str">
        <f t="shared" si="57"/>
        <v/>
      </c>
    </row>
    <row r="275" spans="2:13" hidden="1" outlineLevel="1" x14ac:dyDescent="0.3">
      <c r="B275" s="24" t="str">
        <f>IF('TO HOP NLAN'!$A121="","",'TO HOP NLAN'!$A121)</f>
        <v/>
      </c>
      <c r="C275" s="24" t="str">
        <f>IF($B275="","",'TO HOP NLAN'!$D121)</f>
        <v/>
      </c>
      <c r="D275" s="24" t="str">
        <f>IF($B275="","",$C$32*ABS(IFERROR('TO HOP NLAN'!$F121,0)))</f>
        <v/>
      </c>
      <c r="E275" s="24" t="str">
        <f>IF($B275="","",$D$32*ABS(IFERROR('TO HOP NLAN'!$E121,0)))</f>
        <v/>
      </c>
      <c r="F275" s="24" t="str">
        <f t="shared" si="50"/>
        <v/>
      </c>
      <c r="G275" s="24" t="str">
        <f t="shared" si="51"/>
        <v/>
      </c>
      <c r="H275" s="24" t="str">
        <f t="shared" si="52"/>
        <v/>
      </c>
      <c r="I275" s="24" t="str">
        <f t="shared" si="53"/>
        <v/>
      </c>
      <c r="J275" s="24" t="str">
        <f t="shared" si="54"/>
        <v/>
      </c>
      <c r="K275" s="24" t="str">
        <f t="shared" si="55"/>
        <v/>
      </c>
      <c r="L275" s="24" t="str">
        <f t="shared" si="56"/>
        <v/>
      </c>
      <c r="M275" s="24" t="str">
        <f t="shared" si="57"/>
        <v/>
      </c>
    </row>
    <row r="276" spans="2:13" hidden="1" outlineLevel="1" x14ac:dyDescent="0.3">
      <c r="B276" s="24" t="str">
        <f>IF('TO HOP NLAN'!$A122="","",'TO HOP NLAN'!$A122)</f>
        <v/>
      </c>
      <c r="C276" s="24" t="str">
        <f>IF($B276="","",'TO HOP NLAN'!$D122)</f>
        <v/>
      </c>
      <c r="D276" s="24" t="str">
        <f>IF($B276="","",$C$32*ABS(IFERROR('TO HOP NLAN'!$F122,0)))</f>
        <v/>
      </c>
      <c r="E276" s="24" t="str">
        <f>IF($B276="","",$D$32*ABS(IFERROR('TO HOP NLAN'!$E122,0)))</f>
        <v/>
      </c>
      <c r="F276" s="24" t="str">
        <f t="shared" si="50"/>
        <v/>
      </c>
      <c r="G276" s="24" t="str">
        <f t="shared" si="51"/>
        <v/>
      </c>
      <c r="H276" s="24" t="str">
        <f t="shared" si="52"/>
        <v/>
      </c>
      <c r="I276" s="24" t="str">
        <f t="shared" si="53"/>
        <v/>
      </c>
      <c r="J276" s="24" t="str">
        <f t="shared" si="54"/>
        <v/>
      </c>
      <c r="K276" s="24" t="str">
        <f t="shared" si="55"/>
        <v/>
      </c>
      <c r="L276" s="24" t="str">
        <f t="shared" si="56"/>
        <v/>
      </c>
      <c r="M276" s="24" t="str">
        <f t="shared" si="57"/>
        <v/>
      </c>
    </row>
    <row r="277" spans="2:13" hidden="1" outlineLevel="1" x14ac:dyDescent="0.3">
      <c r="B277" s="24" t="str">
        <f>IF('TO HOP NLAN'!$A123="","",'TO HOP NLAN'!$A123)</f>
        <v/>
      </c>
      <c r="C277" s="24" t="str">
        <f>IF($B277="","",'TO HOP NLAN'!$D123)</f>
        <v/>
      </c>
      <c r="D277" s="24" t="str">
        <f>IF($B277="","",$C$32*ABS(IFERROR('TO HOP NLAN'!$F123,0)))</f>
        <v/>
      </c>
      <c r="E277" s="24" t="str">
        <f>IF($B277="","",$D$32*ABS(IFERROR('TO HOP NLAN'!$E123,0)))</f>
        <v/>
      </c>
      <c r="F277" s="24" t="str">
        <f t="shared" si="50"/>
        <v/>
      </c>
      <c r="G277" s="24" t="str">
        <f t="shared" si="51"/>
        <v/>
      </c>
      <c r="H277" s="24" t="str">
        <f t="shared" si="52"/>
        <v/>
      </c>
      <c r="I277" s="24" t="str">
        <f t="shared" si="53"/>
        <v/>
      </c>
      <c r="J277" s="24" t="str">
        <f t="shared" si="54"/>
        <v/>
      </c>
      <c r="K277" s="24" t="str">
        <f t="shared" si="55"/>
        <v/>
      </c>
      <c r="L277" s="24" t="str">
        <f t="shared" si="56"/>
        <v/>
      </c>
      <c r="M277" s="24" t="str">
        <f t="shared" si="57"/>
        <v/>
      </c>
    </row>
    <row r="278" spans="2:13" hidden="1" outlineLevel="1" x14ac:dyDescent="0.3">
      <c r="B278" s="24" t="str">
        <f>IF('TO HOP NLAN'!$A124="","",'TO HOP NLAN'!$A124)</f>
        <v/>
      </c>
      <c r="C278" s="24" t="str">
        <f>IF($B278="","",'TO HOP NLAN'!$D124)</f>
        <v/>
      </c>
      <c r="D278" s="24" t="str">
        <f>IF($B278="","",$C$32*ABS(IFERROR('TO HOP NLAN'!$F124,0)))</f>
        <v/>
      </c>
      <c r="E278" s="24" t="str">
        <f>IF($B278="","",$D$32*ABS(IFERROR('TO HOP NLAN'!$E124,0)))</f>
        <v/>
      </c>
      <c r="F278" s="24" t="str">
        <f t="shared" si="50"/>
        <v/>
      </c>
      <c r="G278" s="24" t="str">
        <f t="shared" si="51"/>
        <v/>
      </c>
      <c r="H278" s="24" t="str">
        <f t="shared" si="52"/>
        <v/>
      </c>
      <c r="I278" s="24" t="str">
        <f t="shared" si="53"/>
        <v/>
      </c>
      <c r="J278" s="24" t="str">
        <f t="shared" si="54"/>
        <v/>
      </c>
      <c r="K278" s="24" t="str">
        <f t="shared" si="55"/>
        <v/>
      </c>
      <c r="L278" s="24" t="str">
        <f t="shared" si="56"/>
        <v/>
      </c>
      <c r="M278" s="24" t="str">
        <f t="shared" si="57"/>
        <v/>
      </c>
    </row>
    <row r="279" spans="2:13" hidden="1" outlineLevel="1" x14ac:dyDescent="0.3">
      <c r="B279" s="24" t="str">
        <f>IF('TO HOP NLAN'!$A125="","",'TO HOP NLAN'!$A125)</f>
        <v/>
      </c>
      <c r="C279" s="24" t="str">
        <f>IF($B279="","",'TO HOP NLAN'!$D125)</f>
        <v/>
      </c>
      <c r="D279" s="24" t="str">
        <f>IF($B279="","",$C$32*ABS(IFERROR('TO HOP NLAN'!$F125,0)))</f>
        <v/>
      </c>
      <c r="E279" s="24" t="str">
        <f>IF($B279="","",$D$32*ABS(IFERROR('TO HOP NLAN'!$E125,0)))</f>
        <v/>
      </c>
      <c r="F279" s="24" t="str">
        <f t="shared" si="50"/>
        <v/>
      </c>
      <c r="G279" s="24" t="str">
        <f t="shared" si="51"/>
        <v/>
      </c>
      <c r="H279" s="24" t="str">
        <f t="shared" si="52"/>
        <v/>
      </c>
      <c r="I279" s="24" t="str">
        <f t="shared" si="53"/>
        <v/>
      </c>
      <c r="J279" s="24" t="str">
        <f t="shared" si="54"/>
        <v/>
      </c>
      <c r="K279" s="24" t="str">
        <f t="shared" si="55"/>
        <v/>
      </c>
      <c r="L279" s="24" t="str">
        <f t="shared" si="56"/>
        <v/>
      </c>
      <c r="M279" s="24" t="str">
        <f t="shared" si="57"/>
        <v/>
      </c>
    </row>
    <row r="280" spans="2:13" hidden="1" outlineLevel="1" x14ac:dyDescent="0.3">
      <c r="B280" s="24" t="str">
        <f>IF('TO HOP NLAN'!$A126="","",'TO HOP NLAN'!$A126)</f>
        <v/>
      </c>
      <c r="C280" s="24" t="str">
        <f>IF($B280="","",'TO HOP NLAN'!$D126)</f>
        <v/>
      </c>
      <c r="D280" s="24" t="str">
        <f>IF($B280="","",$C$32*ABS(IFERROR('TO HOP NLAN'!$F126,0)))</f>
        <v/>
      </c>
      <c r="E280" s="24" t="str">
        <f>IF($B280="","",$D$32*ABS(IFERROR('TO HOP NLAN'!$E126,0)))</f>
        <v/>
      </c>
      <c r="F280" s="24" t="str">
        <f t="shared" si="50"/>
        <v/>
      </c>
      <c r="G280" s="24" t="str">
        <f t="shared" si="51"/>
        <v/>
      </c>
      <c r="H280" s="24" t="str">
        <f t="shared" si="52"/>
        <v/>
      </c>
      <c r="I280" s="24" t="str">
        <f t="shared" si="53"/>
        <v/>
      </c>
      <c r="J280" s="24" t="str">
        <f t="shared" si="54"/>
        <v/>
      </c>
      <c r="K280" s="24" t="str">
        <f t="shared" si="55"/>
        <v/>
      </c>
      <c r="L280" s="24" t="str">
        <f t="shared" si="56"/>
        <v/>
      </c>
      <c r="M280" s="24" t="str">
        <f t="shared" si="57"/>
        <v/>
      </c>
    </row>
    <row r="281" spans="2:13" hidden="1" outlineLevel="1" x14ac:dyDescent="0.3">
      <c r="B281" s="24" t="str">
        <f>IF('TO HOP NLAN'!$A127="","",'TO HOP NLAN'!$A127)</f>
        <v/>
      </c>
      <c r="C281" s="24" t="str">
        <f>IF($B281="","",'TO HOP NLAN'!$D127)</f>
        <v/>
      </c>
      <c r="D281" s="24" t="str">
        <f>IF($B281="","",$C$32*ABS(IFERROR('TO HOP NLAN'!$F127,0)))</f>
        <v/>
      </c>
      <c r="E281" s="24" t="str">
        <f>IF($B281="","",$D$32*ABS(IFERROR('TO HOP NLAN'!$E127,0)))</f>
        <v/>
      </c>
      <c r="F281" s="24" t="str">
        <f t="shared" si="50"/>
        <v/>
      </c>
      <c r="G281" s="24" t="str">
        <f t="shared" si="51"/>
        <v/>
      </c>
      <c r="H281" s="24" t="str">
        <f t="shared" si="52"/>
        <v/>
      </c>
      <c r="I281" s="24" t="str">
        <f t="shared" si="53"/>
        <v/>
      </c>
      <c r="J281" s="24" t="str">
        <f t="shared" si="54"/>
        <v/>
      </c>
      <c r="K281" s="24" t="str">
        <f t="shared" si="55"/>
        <v/>
      </c>
      <c r="L281" s="24" t="str">
        <f t="shared" si="56"/>
        <v/>
      </c>
      <c r="M281" s="24" t="str">
        <f t="shared" si="57"/>
        <v/>
      </c>
    </row>
    <row r="282" spans="2:13" hidden="1" outlineLevel="1" x14ac:dyDescent="0.3">
      <c r="B282" s="24" t="str">
        <f>IF('TO HOP NLAN'!$A128="","",'TO HOP NLAN'!$A128)</f>
        <v/>
      </c>
      <c r="C282" s="24" t="str">
        <f>IF($B282="","",'TO HOP NLAN'!$D128)</f>
        <v/>
      </c>
      <c r="D282" s="24" t="str">
        <f>IF($B282="","",$C$32*ABS(IFERROR('TO HOP NLAN'!$F128,0)))</f>
        <v/>
      </c>
      <c r="E282" s="24" t="str">
        <f>IF($B282="","",$D$32*ABS(IFERROR('TO HOP NLAN'!$E128,0)))</f>
        <v/>
      </c>
      <c r="F282" s="24" t="str">
        <f t="shared" si="50"/>
        <v/>
      </c>
      <c r="G282" s="24" t="str">
        <f t="shared" si="51"/>
        <v/>
      </c>
      <c r="H282" s="24" t="str">
        <f t="shared" si="52"/>
        <v/>
      </c>
      <c r="I282" s="24" t="str">
        <f t="shared" si="53"/>
        <v/>
      </c>
      <c r="J282" s="24" t="str">
        <f t="shared" si="54"/>
        <v/>
      </c>
      <c r="K282" s="24" t="str">
        <f t="shared" si="55"/>
        <v/>
      </c>
      <c r="L282" s="24" t="str">
        <f t="shared" si="56"/>
        <v/>
      </c>
      <c r="M282" s="24" t="str">
        <f t="shared" si="57"/>
        <v/>
      </c>
    </row>
    <row r="283" spans="2:13" hidden="1" outlineLevel="1" x14ac:dyDescent="0.3">
      <c r="B283" s="24" t="str">
        <f>IF('TO HOP NLAN'!$A129="","",'TO HOP NLAN'!$A129)</f>
        <v/>
      </c>
      <c r="C283" s="24" t="str">
        <f>IF($B283="","",'TO HOP NLAN'!$D129)</f>
        <v/>
      </c>
      <c r="D283" s="24" t="str">
        <f>IF($B283="","",$C$32*ABS(IFERROR('TO HOP NLAN'!$F129,0)))</f>
        <v/>
      </c>
      <c r="E283" s="24" t="str">
        <f>IF($B283="","",$D$32*ABS(IFERROR('TO HOP NLAN'!$E129,0)))</f>
        <v/>
      </c>
      <c r="F283" s="24" t="str">
        <f t="shared" si="50"/>
        <v/>
      </c>
      <c r="G283" s="24" t="str">
        <f t="shared" si="51"/>
        <v/>
      </c>
      <c r="H283" s="24" t="str">
        <f t="shared" si="52"/>
        <v/>
      </c>
      <c r="I283" s="24" t="str">
        <f t="shared" si="53"/>
        <v/>
      </c>
      <c r="J283" s="24" t="str">
        <f t="shared" si="54"/>
        <v/>
      </c>
      <c r="K283" s="24" t="str">
        <f t="shared" si="55"/>
        <v/>
      </c>
      <c r="L283" s="24" t="str">
        <f t="shared" si="56"/>
        <v/>
      </c>
      <c r="M283" s="24" t="str">
        <f t="shared" si="57"/>
        <v/>
      </c>
    </row>
    <row r="284" spans="2:13" hidden="1" outlineLevel="1" x14ac:dyDescent="0.3">
      <c r="B284" s="24" t="str">
        <f>IF('TO HOP NLAN'!$A130="","",'TO HOP NLAN'!$A130)</f>
        <v/>
      </c>
      <c r="C284" s="24" t="str">
        <f>IF($B284="","",'TO HOP NLAN'!$D130)</f>
        <v/>
      </c>
      <c r="D284" s="24" t="str">
        <f>IF($B284="","",$C$32*ABS(IFERROR('TO HOP NLAN'!$F130,0)))</f>
        <v/>
      </c>
      <c r="E284" s="24" t="str">
        <f>IF($B284="","",$D$32*ABS(IFERROR('TO HOP NLAN'!$E130,0)))</f>
        <v/>
      </c>
      <c r="F284" s="24" t="str">
        <f t="shared" si="50"/>
        <v/>
      </c>
      <c r="G284" s="24" t="str">
        <f t="shared" si="51"/>
        <v/>
      </c>
      <c r="H284" s="24" t="str">
        <f t="shared" si="52"/>
        <v/>
      </c>
      <c r="I284" s="24" t="str">
        <f t="shared" si="53"/>
        <v/>
      </c>
      <c r="J284" s="24" t="str">
        <f t="shared" si="54"/>
        <v/>
      </c>
      <c r="K284" s="24" t="str">
        <f t="shared" si="55"/>
        <v/>
      </c>
      <c r="L284" s="24" t="str">
        <f t="shared" si="56"/>
        <v/>
      </c>
      <c r="M284" s="24" t="str">
        <f t="shared" si="57"/>
        <v/>
      </c>
    </row>
    <row r="285" spans="2:13" hidden="1" outlineLevel="1" x14ac:dyDescent="0.3">
      <c r="B285" s="24" t="str">
        <f>IF('TO HOP NLAN'!$A131="","",'TO HOP NLAN'!$A131)</f>
        <v/>
      </c>
      <c r="C285" s="24" t="str">
        <f>IF($B285="","",'TO HOP NLAN'!$D131)</f>
        <v/>
      </c>
      <c r="D285" s="24" t="str">
        <f>IF($B285="","",$C$32*ABS(IFERROR('TO HOP NLAN'!$F131,0)))</f>
        <v/>
      </c>
      <c r="E285" s="24" t="str">
        <f>IF($B285="","",$D$32*ABS(IFERROR('TO HOP NLAN'!$E131,0)))</f>
        <v/>
      </c>
      <c r="F285" s="24" t="str">
        <f t="shared" si="50"/>
        <v/>
      </c>
      <c r="G285" s="24" t="str">
        <f t="shared" si="51"/>
        <v/>
      </c>
      <c r="H285" s="24" t="str">
        <f t="shared" si="52"/>
        <v/>
      </c>
      <c r="I285" s="24" t="str">
        <f t="shared" si="53"/>
        <v/>
      </c>
      <c r="J285" s="24" t="str">
        <f t="shared" si="54"/>
        <v/>
      </c>
      <c r="K285" s="24" t="str">
        <f t="shared" si="55"/>
        <v/>
      </c>
      <c r="L285" s="24" t="str">
        <f t="shared" si="56"/>
        <v/>
      </c>
      <c r="M285" s="24" t="str">
        <f t="shared" si="57"/>
        <v/>
      </c>
    </row>
    <row r="286" spans="2:13" hidden="1" outlineLevel="1" x14ac:dyDescent="0.3">
      <c r="B286" s="24" t="str">
        <f>IF('TO HOP NLAN'!$A132="","",'TO HOP NLAN'!$A132)</f>
        <v/>
      </c>
      <c r="C286" s="24" t="str">
        <f>IF($B286="","",'TO HOP NLAN'!$D132)</f>
        <v/>
      </c>
      <c r="D286" s="24" t="str">
        <f>IF($B286="","",$C$32*ABS(IFERROR('TO HOP NLAN'!$F132,0)))</f>
        <v/>
      </c>
      <c r="E286" s="24" t="str">
        <f>IF($B286="","",$D$32*ABS(IFERROR('TO HOP NLAN'!$E132,0)))</f>
        <v/>
      </c>
      <c r="F286" s="24" t="str">
        <f t="shared" si="50"/>
        <v/>
      </c>
      <c r="G286" s="24" t="str">
        <f t="shared" si="51"/>
        <v/>
      </c>
      <c r="H286" s="24" t="str">
        <f t="shared" si="52"/>
        <v/>
      </c>
      <c r="I286" s="24" t="str">
        <f t="shared" si="53"/>
        <v/>
      </c>
      <c r="J286" s="24" t="str">
        <f t="shared" si="54"/>
        <v/>
      </c>
      <c r="K286" s="24" t="str">
        <f t="shared" si="55"/>
        <v/>
      </c>
      <c r="L286" s="24" t="str">
        <f t="shared" si="56"/>
        <v/>
      </c>
      <c r="M286" s="24" t="str">
        <f t="shared" si="57"/>
        <v/>
      </c>
    </row>
    <row r="287" spans="2:13" hidden="1" outlineLevel="1" x14ac:dyDescent="0.3">
      <c r="B287" s="24" t="str">
        <f>IF('TO HOP NLAN'!$A133="","",'TO HOP NLAN'!$A133)</f>
        <v/>
      </c>
      <c r="C287" s="24" t="str">
        <f>IF($B287="","",'TO HOP NLAN'!$D133)</f>
        <v/>
      </c>
      <c r="D287" s="24" t="str">
        <f>IF($B287="","",$C$32*ABS(IFERROR('TO HOP NLAN'!$F133,0)))</f>
        <v/>
      </c>
      <c r="E287" s="24" t="str">
        <f>IF($B287="","",$D$32*ABS(IFERROR('TO HOP NLAN'!$E133,0)))</f>
        <v/>
      </c>
      <c r="F287" s="24" t="str">
        <f t="shared" si="50"/>
        <v/>
      </c>
      <c r="G287" s="24" t="str">
        <f t="shared" si="51"/>
        <v/>
      </c>
      <c r="H287" s="24" t="str">
        <f t="shared" si="52"/>
        <v/>
      </c>
      <c r="I287" s="24" t="str">
        <f t="shared" si="53"/>
        <v/>
      </c>
      <c r="J287" s="24" t="str">
        <f t="shared" si="54"/>
        <v/>
      </c>
      <c r="K287" s="24" t="str">
        <f t="shared" si="55"/>
        <v/>
      </c>
      <c r="L287" s="24" t="str">
        <f t="shared" si="56"/>
        <v/>
      </c>
      <c r="M287" s="24" t="str">
        <f t="shared" si="57"/>
        <v/>
      </c>
    </row>
    <row r="288" spans="2:13" hidden="1" outlineLevel="1" x14ac:dyDescent="0.3">
      <c r="B288" s="24" t="str">
        <f>IF('TO HOP NLAN'!$A134="","",'TO HOP NLAN'!$A134)</f>
        <v/>
      </c>
      <c r="C288" s="24" t="str">
        <f>IF($B288="","",'TO HOP NLAN'!$D134)</f>
        <v/>
      </c>
      <c r="D288" s="24" t="str">
        <f>IF($B288="","",$C$32*ABS(IFERROR('TO HOP NLAN'!$F134,0)))</f>
        <v/>
      </c>
      <c r="E288" s="24" t="str">
        <f>IF($B288="","",$D$32*ABS(IFERROR('TO HOP NLAN'!$E134,0)))</f>
        <v/>
      </c>
      <c r="F288" s="24" t="str">
        <f t="shared" si="50"/>
        <v/>
      </c>
      <c r="G288" s="24" t="str">
        <f t="shared" si="51"/>
        <v/>
      </c>
      <c r="H288" s="24" t="str">
        <f t="shared" si="52"/>
        <v/>
      </c>
      <c r="I288" s="24" t="str">
        <f t="shared" si="53"/>
        <v/>
      </c>
      <c r="J288" s="24" t="str">
        <f t="shared" si="54"/>
        <v/>
      </c>
      <c r="K288" s="24" t="str">
        <f t="shared" si="55"/>
        <v/>
      </c>
      <c r="L288" s="24" t="str">
        <f t="shared" si="56"/>
        <v/>
      </c>
      <c r="M288" s="24" t="str">
        <f t="shared" si="57"/>
        <v/>
      </c>
    </row>
    <row r="289" spans="2:13" hidden="1" outlineLevel="1" x14ac:dyDescent="0.3">
      <c r="B289" s="24" t="str">
        <f>IF('TO HOP NLAN'!$A135="","",'TO HOP NLAN'!$A135)</f>
        <v/>
      </c>
      <c r="C289" s="24" t="str">
        <f>IF($B289="","",'TO HOP NLAN'!$D135)</f>
        <v/>
      </c>
      <c r="D289" s="24" t="str">
        <f>IF($B289="","",$C$32*ABS(IFERROR('TO HOP NLAN'!$F135,0)))</f>
        <v/>
      </c>
      <c r="E289" s="24" t="str">
        <f>IF($B289="","",$D$32*ABS(IFERROR('TO HOP NLAN'!$E135,0)))</f>
        <v/>
      </c>
      <c r="F289" s="24" t="str">
        <f t="shared" ref="F289:F352" si="58">IF($B289="","",MAX(0.001,D289/MAX(1,C289)))</f>
        <v/>
      </c>
      <c r="G289" s="24" t="str">
        <f t="shared" ref="G289:G352" si="59">IF($B289="","",MAX(0.001,E289/MAX(1,C289)))</f>
        <v/>
      </c>
      <c r="H289" s="24" t="str">
        <f t="shared" ref="H289:H352" si="60">IF($B289="","",IF(F289&lt;=0.000000001,MIN(0.8*0.75*$C$62,MAX($J$38:$J$58)),IFERROR(MIN(0.8*0.75*$C$62,INDEX($J$38:$J$58,MATCH(F289,$L$38:$L$58,-1))+(INDEX($J$38:$J$58,MIN(21,MATCH(F289,$L$38:$L$58,-1)+1))-INDEX($J$38:$J$58,MATCH(F289,$L$38:$L$58,-1)))*(F289-INDEX($L$38:$L$58,MATCH(F289,$L$38:$L$58,-1)))/(INDEX($L$38:$L$58,MIN(21,MATCH(F289,$L$38:$L$58,-1)+1))-INDEX($L$38:$L$58,MATCH(F289,$L$38:$L$58,-1)))),$C$68/F289)))</f>
        <v/>
      </c>
      <c r="I289" s="24" t="str">
        <f t="shared" ref="I289:I352" si="61">IF($B289="","",IF(G289&lt;=0.000000001,MIN(0.8*0.75*$C$62,MAX($W$38:$W$58)),IFERROR(MIN(0.8*0.75*$C$62,INDEX($W$38:$W$58,MATCH(G289,$Y$38:$Y$58,-1))+(INDEX($W$38:$W$58,MIN(21,MATCH(G289,$Y$38:$Y$58,-1)+1))-INDEX($W$38:$W$58,MATCH(G289,$Y$38:$Y$58,-1)))*(G289-INDEX($Y$38:$Y$58,MATCH(G289,$Y$38:$Y$58,-1)))/(INDEX($Y$38:$Y$58,MIN(21,MATCH(G289,$Y$38:$Y$58,-1)+1))-INDEX($Y$38:$Y$58,MATCH(G289,$Y$38:$Y$58,-1)))),$D$68/G289)))</f>
        <v/>
      </c>
      <c r="J289" s="24" t="str">
        <f t="shared" ref="J289:J352" si="62">IF($B289="","",IFERROR(1/(1/H289+1/I289-1/(0.75*$C$62)),0))</f>
        <v/>
      </c>
      <c r="K289" s="24" t="str">
        <f t="shared" ref="K289:K352" si="63">IF($B289="","",D289/MAX($C$68,0.001)+E289/MAX($D$68,0.001))</f>
        <v/>
      </c>
      <c r="L289" s="24" t="str">
        <f t="shared" ref="L289:L352" si="64">IF($B289="","",IF(C289&gt;=0.1*0.75*fc_*Agth*1000,C289/MAX(J289,0.001),K289))</f>
        <v/>
      </c>
      <c r="M289" s="24" t="str">
        <f t="shared" ref="M289:M352" si="65">IF($B289="","",IF(L289&lt;=1,"ĐẠT","KHÔNG ĐẠT"))</f>
        <v/>
      </c>
    </row>
    <row r="290" spans="2:13" hidden="1" outlineLevel="1" x14ac:dyDescent="0.3">
      <c r="B290" s="24" t="str">
        <f>IF('TO HOP NLAN'!$A136="","",'TO HOP NLAN'!$A136)</f>
        <v/>
      </c>
      <c r="C290" s="24" t="str">
        <f>IF($B290="","",'TO HOP NLAN'!$D136)</f>
        <v/>
      </c>
      <c r="D290" s="24" t="str">
        <f>IF($B290="","",$C$32*ABS(IFERROR('TO HOP NLAN'!$F136,0)))</f>
        <v/>
      </c>
      <c r="E290" s="24" t="str">
        <f>IF($B290="","",$D$32*ABS(IFERROR('TO HOP NLAN'!$E136,0)))</f>
        <v/>
      </c>
      <c r="F290" s="24" t="str">
        <f t="shared" si="58"/>
        <v/>
      </c>
      <c r="G290" s="24" t="str">
        <f t="shared" si="59"/>
        <v/>
      </c>
      <c r="H290" s="24" t="str">
        <f t="shared" si="60"/>
        <v/>
      </c>
      <c r="I290" s="24" t="str">
        <f t="shared" si="61"/>
        <v/>
      </c>
      <c r="J290" s="24" t="str">
        <f t="shared" si="62"/>
        <v/>
      </c>
      <c r="K290" s="24" t="str">
        <f t="shared" si="63"/>
        <v/>
      </c>
      <c r="L290" s="24" t="str">
        <f t="shared" si="64"/>
        <v/>
      </c>
      <c r="M290" s="24" t="str">
        <f t="shared" si="65"/>
        <v/>
      </c>
    </row>
    <row r="291" spans="2:13" hidden="1" outlineLevel="1" x14ac:dyDescent="0.3">
      <c r="B291" s="24" t="str">
        <f>IF('TO HOP NLAN'!$A137="","",'TO HOP NLAN'!$A137)</f>
        <v/>
      </c>
      <c r="C291" s="24" t="str">
        <f>IF($B291="","",'TO HOP NLAN'!$D137)</f>
        <v/>
      </c>
      <c r="D291" s="24" t="str">
        <f>IF($B291="","",$C$32*ABS(IFERROR('TO HOP NLAN'!$F137,0)))</f>
        <v/>
      </c>
      <c r="E291" s="24" t="str">
        <f>IF($B291="","",$D$32*ABS(IFERROR('TO HOP NLAN'!$E137,0)))</f>
        <v/>
      </c>
      <c r="F291" s="24" t="str">
        <f t="shared" si="58"/>
        <v/>
      </c>
      <c r="G291" s="24" t="str">
        <f t="shared" si="59"/>
        <v/>
      </c>
      <c r="H291" s="24" t="str">
        <f t="shared" si="60"/>
        <v/>
      </c>
      <c r="I291" s="24" t="str">
        <f t="shared" si="61"/>
        <v/>
      </c>
      <c r="J291" s="24" t="str">
        <f t="shared" si="62"/>
        <v/>
      </c>
      <c r="K291" s="24" t="str">
        <f t="shared" si="63"/>
        <v/>
      </c>
      <c r="L291" s="24" t="str">
        <f t="shared" si="64"/>
        <v/>
      </c>
      <c r="M291" s="24" t="str">
        <f t="shared" si="65"/>
        <v/>
      </c>
    </row>
    <row r="292" spans="2:13" hidden="1" outlineLevel="1" x14ac:dyDescent="0.3">
      <c r="B292" s="24" t="str">
        <f>IF('TO HOP NLAN'!$A138="","",'TO HOP NLAN'!$A138)</f>
        <v/>
      </c>
      <c r="C292" s="24" t="str">
        <f>IF($B292="","",'TO HOP NLAN'!$D138)</f>
        <v/>
      </c>
      <c r="D292" s="24" t="str">
        <f>IF($B292="","",$C$32*ABS(IFERROR('TO HOP NLAN'!$F138,0)))</f>
        <v/>
      </c>
      <c r="E292" s="24" t="str">
        <f>IF($B292="","",$D$32*ABS(IFERROR('TO HOP NLAN'!$E138,0)))</f>
        <v/>
      </c>
      <c r="F292" s="24" t="str">
        <f t="shared" si="58"/>
        <v/>
      </c>
      <c r="G292" s="24" t="str">
        <f t="shared" si="59"/>
        <v/>
      </c>
      <c r="H292" s="24" t="str">
        <f t="shared" si="60"/>
        <v/>
      </c>
      <c r="I292" s="24" t="str">
        <f t="shared" si="61"/>
        <v/>
      </c>
      <c r="J292" s="24" t="str">
        <f t="shared" si="62"/>
        <v/>
      </c>
      <c r="K292" s="24" t="str">
        <f t="shared" si="63"/>
        <v/>
      </c>
      <c r="L292" s="24" t="str">
        <f t="shared" si="64"/>
        <v/>
      </c>
      <c r="M292" s="24" t="str">
        <f t="shared" si="65"/>
        <v/>
      </c>
    </row>
    <row r="293" spans="2:13" hidden="1" outlineLevel="1" x14ac:dyDescent="0.3">
      <c r="B293" s="24" t="str">
        <f>IF('TO HOP NLAN'!$A139="","",'TO HOP NLAN'!$A139)</f>
        <v/>
      </c>
      <c r="C293" s="24" t="str">
        <f>IF($B293="","",'TO HOP NLAN'!$D139)</f>
        <v/>
      </c>
      <c r="D293" s="24" t="str">
        <f>IF($B293="","",$C$32*ABS(IFERROR('TO HOP NLAN'!$F139,0)))</f>
        <v/>
      </c>
      <c r="E293" s="24" t="str">
        <f>IF($B293="","",$D$32*ABS(IFERROR('TO HOP NLAN'!$E139,0)))</f>
        <v/>
      </c>
      <c r="F293" s="24" t="str">
        <f t="shared" si="58"/>
        <v/>
      </c>
      <c r="G293" s="24" t="str">
        <f t="shared" si="59"/>
        <v/>
      </c>
      <c r="H293" s="24" t="str">
        <f t="shared" si="60"/>
        <v/>
      </c>
      <c r="I293" s="24" t="str">
        <f t="shared" si="61"/>
        <v/>
      </c>
      <c r="J293" s="24" t="str">
        <f t="shared" si="62"/>
        <v/>
      </c>
      <c r="K293" s="24" t="str">
        <f t="shared" si="63"/>
        <v/>
      </c>
      <c r="L293" s="24" t="str">
        <f t="shared" si="64"/>
        <v/>
      </c>
      <c r="M293" s="24" t="str">
        <f t="shared" si="65"/>
        <v/>
      </c>
    </row>
    <row r="294" spans="2:13" hidden="1" outlineLevel="1" x14ac:dyDescent="0.3">
      <c r="B294" s="24" t="str">
        <f>IF('TO HOP NLAN'!$A140="","",'TO HOP NLAN'!$A140)</f>
        <v/>
      </c>
      <c r="C294" s="24" t="str">
        <f>IF($B294="","",'TO HOP NLAN'!$D140)</f>
        <v/>
      </c>
      <c r="D294" s="24" t="str">
        <f>IF($B294="","",$C$32*ABS(IFERROR('TO HOP NLAN'!$F140,0)))</f>
        <v/>
      </c>
      <c r="E294" s="24" t="str">
        <f>IF($B294="","",$D$32*ABS(IFERROR('TO HOP NLAN'!$E140,0)))</f>
        <v/>
      </c>
      <c r="F294" s="24" t="str">
        <f t="shared" si="58"/>
        <v/>
      </c>
      <c r="G294" s="24" t="str">
        <f t="shared" si="59"/>
        <v/>
      </c>
      <c r="H294" s="24" t="str">
        <f t="shared" si="60"/>
        <v/>
      </c>
      <c r="I294" s="24" t="str">
        <f t="shared" si="61"/>
        <v/>
      </c>
      <c r="J294" s="24" t="str">
        <f t="shared" si="62"/>
        <v/>
      </c>
      <c r="K294" s="24" t="str">
        <f t="shared" si="63"/>
        <v/>
      </c>
      <c r="L294" s="24" t="str">
        <f t="shared" si="64"/>
        <v/>
      </c>
      <c r="M294" s="24" t="str">
        <f t="shared" si="65"/>
        <v/>
      </c>
    </row>
    <row r="295" spans="2:13" hidden="1" outlineLevel="1" x14ac:dyDescent="0.3">
      <c r="B295" s="24" t="str">
        <f>IF('TO HOP NLAN'!$A141="","",'TO HOP NLAN'!$A141)</f>
        <v/>
      </c>
      <c r="C295" s="24" t="str">
        <f>IF($B295="","",'TO HOP NLAN'!$D141)</f>
        <v/>
      </c>
      <c r="D295" s="24" t="str">
        <f>IF($B295="","",$C$32*ABS(IFERROR('TO HOP NLAN'!$F141,0)))</f>
        <v/>
      </c>
      <c r="E295" s="24" t="str">
        <f>IF($B295="","",$D$32*ABS(IFERROR('TO HOP NLAN'!$E141,0)))</f>
        <v/>
      </c>
      <c r="F295" s="24" t="str">
        <f t="shared" si="58"/>
        <v/>
      </c>
      <c r="G295" s="24" t="str">
        <f t="shared" si="59"/>
        <v/>
      </c>
      <c r="H295" s="24" t="str">
        <f t="shared" si="60"/>
        <v/>
      </c>
      <c r="I295" s="24" t="str">
        <f t="shared" si="61"/>
        <v/>
      </c>
      <c r="J295" s="24" t="str">
        <f t="shared" si="62"/>
        <v/>
      </c>
      <c r="K295" s="24" t="str">
        <f t="shared" si="63"/>
        <v/>
      </c>
      <c r="L295" s="24" t="str">
        <f t="shared" si="64"/>
        <v/>
      </c>
      <c r="M295" s="24" t="str">
        <f t="shared" si="65"/>
        <v/>
      </c>
    </row>
    <row r="296" spans="2:13" hidden="1" outlineLevel="1" x14ac:dyDescent="0.3">
      <c r="B296" s="24" t="str">
        <f>IF('TO HOP NLAN'!$A142="","",'TO HOP NLAN'!$A142)</f>
        <v/>
      </c>
      <c r="C296" s="24" t="str">
        <f>IF($B296="","",'TO HOP NLAN'!$D142)</f>
        <v/>
      </c>
      <c r="D296" s="24" t="str">
        <f>IF($B296="","",$C$32*ABS(IFERROR('TO HOP NLAN'!$F142,0)))</f>
        <v/>
      </c>
      <c r="E296" s="24" t="str">
        <f>IF($B296="","",$D$32*ABS(IFERROR('TO HOP NLAN'!$E142,0)))</f>
        <v/>
      </c>
      <c r="F296" s="24" t="str">
        <f t="shared" si="58"/>
        <v/>
      </c>
      <c r="G296" s="24" t="str">
        <f t="shared" si="59"/>
        <v/>
      </c>
      <c r="H296" s="24" t="str">
        <f t="shared" si="60"/>
        <v/>
      </c>
      <c r="I296" s="24" t="str">
        <f t="shared" si="61"/>
        <v/>
      </c>
      <c r="J296" s="24" t="str">
        <f t="shared" si="62"/>
        <v/>
      </c>
      <c r="K296" s="24" t="str">
        <f t="shared" si="63"/>
        <v/>
      </c>
      <c r="L296" s="24" t="str">
        <f t="shared" si="64"/>
        <v/>
      </c>
      <c r="M296" s="24" t="str">
        <f t="shared" si="65"/>
        <v/>
      </c>
    </row>
    <row r="297" spans="2:13" hidden="1" outlineLevel="1" x14ac:dyDescent="0.3">
      <c r="B297" s="24" t="str">
        <f>IF('TO HOP NLAN'!$A143="","",'TO HOP NLAN'!$A143)</f>
        <v/>
      </c>
      <c r="C297" s="24" t="str">
        <f>IF($B297="","",'TO HOP NLAN'!$D143)</f>
        <v/>
      </c>
      <c r="D297" s="24" t="str">
        <f>IF($B297="","",$C$32*ABS(IFERROR('TO HOP NLAN'!$F143,0)))</f>
        <v/>
      </c>
      <c r="E297" s="24" t="str">
        <f>IF($B297="","",$D$32*ABS(IFERROR('TO HOP NLAN'!$E143,0)))</f>
        <v/>
      </c>
      <c r="F297" s="24" t="str">
        <f t="shared" si="58"/>
        <v/>
      </c>
      <c r="G297" s="24" t="str">
        <f t="shared" si="59"/>
        <v/>
      </c>
      <c r="H297" s="24" t="str">
        <f t="shared" si="60"/>
        <v/>
      </c>
      <c r="I297" s="24" t="str">
        <f t="shared" si="61"/>
        <v/>
      </c>
      <c r="J297" s="24" t="str">
        <f t="shared" si="62"/>
        <v/>
      </c>
      <c r="K297" s="24" t="str">
        <f t="shared" si="63"/>
        <v/>
      </c>
      <c r="L297" s="24" t="str">
        <f t="shared" si="64"/>
        <v/>
      </c>
      <c r="M297" s="24" t="str">
        <f t="shared" si="65"/>
        <v/>
      </c>
    </row>
    <row r="298" spans="2:13" hidden="1" outlineLevel="1" x14ac:dyDescent="0.3">
      <c r="B298" s="24" t="str">
        <f>IF('TO HOP NLAN'!$A144="","",'TO HOP NLAN'!$A144)</f>
        <v/>
      </c>
      <c r="C298" s="24" t="str">
        <f>IF($B298="","",'TO HOP NLAN'!$D144)</f>
        <v/>
      </c>
      <c r="D298" s="24" t="str">
        <f>IF($B298="","",$C$32*ABS(IFERROR('TO HOP NLAN'!$F144,0)))</f>
        <v/>
      </c>
      <c r="E298" s="24" t="str">
        <f>IF($B298="","",$D$32*ABS(IFERROR('TO HOP NLAN'!$E144,0)))</f>
        <v/>
      </c>
      <c r="F298" s="24" t="str">
        <f t="shared" si="58"/>
        <v/>
      </c>
      <c r="G298" s="24" t="str">
        <f t="shared" si="59"/>
        <v/>
      </c>
      <c r="H298" s="24" t="str">
        <f t="shared" si="60"/>
        <v/>
      </c>
      <c r="I298" s="24" t="str">
        <f t="shared" si="61"/>
        <v/>
      </c>
      <c r="J298" s="24" t="str">
        <f t="shared" si="62"/>
        <v/>
      </c>
      <c r="K298" s="24" t="str">
        <f t="shared" si="63"/>
        <v/>
      </c>
      <c r="L298" s="24" t="str">
        <f t="shared" si="64"/>
        <v/>
      </c>
      <c r="M298" s="24" t="str">
        <f t="shared" si="65"/>
        <v/>
      </c>
    </row>
    <row r="299" spans="2:13" hidden="1" outlineLevel="1" x14ac:dyDescent="0.3">
      <c r="B299" s="24" t="str">
        <f>IF('TO HOP NLAN'!$A145="","",'TO HOP NLAN'!$A145)</f>
        <v/>
      </c>
      <c r="C299" s="24" t="str">
        <f>IF($B299="","",'TO HOP NLAN'!$D145)</f>
        <v/>
      </c>
      <c r="D299" s="24" t="str">
        <f>IF($B299="","",$C$32*ABS(IFERROR('TO HOP NLAN'!$F145,0)))</f>
        <v/>
      </c>
      <c r="E299" s="24" t="str">
        <f>IF($B299="","",$D$32*ABS(IFERROR('TO HOP NLAN'!$E145,0)))</f>
        <v/>
      </c>
      <c r="F299" s="24" t="str">
        <f t="shared" si="58"/>
        <v/>
      </c>
      <c r="G299" s="24" t="str">
        <f t="shared" si="59"/>
        <v/>
      </c>
      <c r="H299" s="24" t="str">
        <f t="shared" si="60"/>
        <v/>
      </c>
      <c r="I299" s="24" t="str">
        <f t="shared" si="61"/>
        <v/>
      </c>
      <c r="J299" s="24" t="str">
        <f t="shared" si="62"/>
        <v/>
      </c>
      <c r="K299" s="24" t="str">
        <f t="shared" si="63"/>
        <v/>
      </c>
      <c r="L299" s="24" t="str">
        <f t="shared" si="64"/>
        <v/>
      </c>
      <c r="M299" s="24" t="str">
        <f t="shared" si="65"/>
        <v/>
      </c>
    </row>
    <row r="300" spans="2:13" hidden="1" outlineLevel="1" x14ac:dyDescent="0.3">
      <c r="B300" s="24" t="str">
        <f>IF('TO HOP NLAN'!$A146="","",'TO HOP NLAN'!$A146)</f>
        <v/>
      </c>
      <c r="C300" s="24" t="str">
        <f>IF($B300="","",'TO HOP NLAN'!$D146)</f>
        <v/>
      </c>
      <c r="D300" s="24" t="str">
        <f>IF($B300="","",$C$32*ABS(IFERROR('TO HOP NLAN'!$F146,0)))</f>
        <v/>
      </c>
      <c r="E300" s="24" t="str">
        <f>IF($B300="","",$D$32*ABS(IFERROR('TO HOP NLAN'!$E146,0)))</f>
        <v/>
      </c>
      <c r="F300" s="24" t="str">
        <f t="shared" si="58"/>
        <v/>
      </c>
      <c r="G300" s="24" t="str">
        <f t="shared" si="59"/>
        <v/>
      </c>
      <c r="H300" s="24" t="str">
        <f t="shared" si="60"/>
        <v/>
      </c>
      <c r="I300" s="24" t="str">
        <f t="shared" si="61"/>
        <v/>
      </c>
      <c r="J300" s="24" t="str">
        <f t="shared" si="62"/>
        <v/>
      </c>
      <c r="K300" s="24" t="str">
        <f t="shared" si="63"/>
        <v/>
      </c>
      <c r="L300" s="24" t="str">
        <f t="shared" si="64"/>
        <v/>
      </c>
      <c r="M300" s="24" t="str">
        <f t="shared" si="65"/>
        <v/>
      </c>
    </row>
    <row r="301" spans="2:13" hidden="1" outlineLevel="1" x14ac:dyDescent="0.3">
      <c r="B301" s="24" t="str">
        <f>IF('TO HOP NLAN'!$A147="","",'TO HOP NLAN'!$A147)</f>
        <v/>
      </c>
      <c r="C301" s="24" t="str">
        <f>IF($B301="","",'TO HOP NLAN'!$D147)</f>
        <v/>
      </c>
      <c r="D301" s="24" t="str">
        <f>IF($B301="","",$C$32*ABS(IFERROR('TO HOP NLAN'!$F147,0)))</f>
        <v/>
      </c>
      <c r="E301" s="24" t="str">
        <f>IF($B301="","",$D$32*ABS(IFERROR('TO HOP NLAN'!$E147,0)))</f>
        <v/>
      </c>
      <c r="F301" s="24" t="str">
        <f t="shared" si="58"/>
        <v/>
      </c>
      <c r="G301" s="24" t="str">
        <f t="shared" si="59"/>
        <v/>
      </c>
      <c r="H301" s="24" t="str">
        <f t="shared" si="60"/>
        <v/>
      </c>
      <c r="I301" s="24" t="str">
        <f t="shared" si="61"/>
        <v/>
      </c>
      <c r="J301" s="24" t="str">
        <f t="shared" si="62"/>
        <v/>
      </c>
      <c r="K301" s="24" t="str">
        <f t="shared" si="63"/>
        <v/>
      </c>
      <c r="L301" s="24" t="str">
        <f t="shared" si="64"/>
        <v/>
      </c>
      <c r="M301" s="24" t="str">
        <f t="shared" si="65"/>
        <v/>
      </c>
    </row>
    <row r="302" spans="2:13" hidden="1" outlineLevel="1" x14ac:dyDescent="0.3">
      <c r="B302" s="24" t="str">
        <f>IF('TO HOP NLAN'!$A148="","",'TO HOP NLAN'!$A148)</f>
        <v/>
      </c>
      <c r="C302" s="24" t="str">
        <f>IF($B302="","",'TO HOP NLAN'!$D148)</f>
        <v/>
      </c>
      <c r="D302" s="24" t="str">
        <f>IF($B302="","",$C$32*ABS(IFERROR('TO HOP NLAN'!$F148,0)))</f>
        <v/>
      </c>
      <c r="E302" s="24" t="str">
        <f>IF($B302="","",$D$32*ABS(IFERROR('TO HOP NLAN'!$E148,0)))</f>
        <v/>
      </c>
      <c r="F302" s="24" t="str">
        <f t="shared" si="58"/>
        <v/>
      </c>
      <c r="G302" s="24" t="str">
        <f t="shared" si="59"/>
        <v/>
      </c>
      <c r="H302" s="24" t="str">
        <f t="shared" si="60"/>
        <v/>
      </c>
      <c r="I302" s="24" t="str">
        <f t="shared" si="61"/>
        <v/>
      </c>
      <c r="J302" s="24" t="str">
        <f t="shared" si="62"/>
        <v/>
      </c>
      <c r="K302" s="24" t="str">
        <f t="shared" si="63"/>
        <v/>
      </c>
      <c r="L302" s="24" t="str">
        <f t="shared" si="64"/>
        <v/>
      </c>
      <c r="M302" s="24" t="str">
        <f t="shared" si="65"/>
        <v/>
      </c>
    </row>
    <row r="303" spans="2:13" hidden="1" outlineLevel="1" x14ac:dyDescent="0.3">
      <c r="B303" s="24" t="str">
        <f>IF('TO HOP NLAN'!$A149="","",'TO HOP NLAN'!$A149)</f>
        <v/>
      </c>
      <c r="C303" s="24" t="str">
        <f>IF($B303="","",'TO HOP NLAN'!$D149)</f>
        <v/>
      </c>
      <c r="D303" s="24" t="str">
        <f>IF($B303="","",$C$32*ABS(IFERROR('TO HOP NLAN'!$F149,0)))</f>
        <v/>
      </c>
      <c r="E303" s="24" t="str">
        <f>IF($B303="","",$D$32*ABS(IFERROR('TO HOP NLAN'!$E149,0)))</f>
        <v/>
      </c>
      <c r="F303" s="24" t="str">
        <f t="shared" si="58"/>
        <v/>
      </c>
      <c r="G303" s="24" t="str">
        <f t="shared" si="59"/>
        <v/>
      </c>
      <c r="H303" s="24" t="str">
        <f t="shared" si="60"/>
        <v/>
      </c>
      <c r="I303" s="24" t="str">
        <f t="shared" si="61"/>
        <v/>
      </c>
      <c r="J303" s="24" t="str">
        <f t="shared" si="62"/>
        <v/>
      </c>
      <c r="K303" s="24" t="str">
        <f t="shared" si="63"/>
        <v/>
      </c>
      <c r="L303" s="24" t="str">
        <f t="shared" si="64"/>
        <v/>
      </c>
      <c r="M303" s="24" t="str">
        <f t="shared" si="65"/>
        <v/>
      </c>
    </row>
    <row r="304" spans="2:13" hidden="1" outlineLevel="1" x14ac:dyDescent="0.3">
      <c r="B304" s="24" t="str">
        <f>IF('TO HOP NLAN'!$A150="","",'TO HOP NLAN'!$A150)</f>
        <v/>
      </c>
      <c r="C304" s="24" t="str">
        <f>IF($B304="","",'TO HOP NLAN'!$D150)</f>
        <v/>
      </c>
      <c r="D304" s="24" t="str">
        <f>IF($B304="","",$C$32*ABS(IFERROR('TO HOP NLAN'!$F150,0)))</f>
        <v/>
      </c>
      <c r="E304" s="24" t="str">
        <f>IF($B304="","",$D$32*ABS(IFERROR('TO HOP NLAN'!$E150,0)))</f>
        <v/>
      </c>
      <c r="F304" s="24" t="str">
        <f t="shared" si="58"/>
        <v/>
      </c>
      <c r="G304" s="24" t="str">
        <f t="shared" si="59"/>
        <v/>
      </c>
      <c r="H304" s="24" t="str">
        <f t="shared" si="60"/>
        <v/>
      </c>
      <c r="I304" s="24" t="str">
        <f t="shared" si="61"/>
        <v/>
      </c>
      <c r="J304" s="24" t="str">
        <f t="shared" si="62"/>
        <v/>
      </c>
      <c r="K304" s="24" t="str">
        <f t="shared" si="63"/>
        <v/>
      </c>
      <c r="L304" s="24" t="str">
        <f t="shared" si="64"/>
        <v/>
      </c>
      <c r="M304" s="24" t="str">
        <f t="shared" si="65"/>
        <v/>
      </c>
    </row>
    <row r="305" spans="2:13" hidden="1" outlineLevel="1" x14ac:dyDescent="0.3">
      <c r="B305" s="24" t="str">
        <f>IF('TO HOP NLAN'!$A151="","",'TO HOP NLAN'!$A151)</f>
        <v/>
      </c>
      <c r="C305" s="24" t="str">
        <f>IF($B305="","",'TO HOP NLAN'!$D151)</f>
        <v/>
      </c>
      <c r="D305" s="24" t="str">
        <f>IF($B305="","",$C$32*ABS(IFERROR('TO HOP NLAN'!$F151,0)))</f>
        <v/>
      </c>
      <c r="E305" s="24" t="str">
        <f>IF($B305="","",$D$32*ABS(IFERROR('TO HOP NLAN'!$E151,0)))</f>
        <v/>
      </c>
      <c r="F305" s="24" t="str">
        <f t="shared" si="58"/>
        <v/>
      </c>
      <c r="G305" s="24" t="str">
        <f t="shared" si="59"/>
        <v/>
      </c>
      <c r="H305" s="24" t="str">
        <f t="shared" si="60"/>
        <v/>
      </c>
      <c r="I305" s="24" t="str">
        <f t="shared" si="61"/>
        <v/>
      </c>
      <c r="J305" s="24" t="str">
        <f t="shared" si="62"/>
        <v/>
      </c>
      <c r="K305" s="24" t="str">
        <f t="shared" si="63"/>
        <v/>
      </c>
      <c r="L305" s="24" t="str">
        <f t="shared" si="64"/>
        <v/>
      </c>
      <c r="M305" s="24" t="str">
        <f t="shared" si="65"/>
        <v/>
      </c>
    </row>
    <row r="306" spans="2:13" hidden="1" outlineLevel="1" x14ac:dyDescent="0.3">
      <c r="B306" s="24" t="str">
        <f>IF('TO HOP NLAN'!$A152="","",'TO HOP NLAN'!$A152)</f>
        <v/>
      </c>
      <c r="C306" s="24" t="str">
        <f>IF($B306="","",'TO HOP NLAN'!$D152)</f>
        <v/>
      </c>
      <c r="D306" s="24" t="str">
        <f>IF($B306="","",$C$32*ABS(IFERROR('TO HOP NLAN'!$F152,0)))</f>
        <v/>
      </c>
      <c r="E306" s="24" t="str">
        <f>IF($B306="","",$D$32*ABS(IFERROR('TO HOP NLAN'!$E152,0)))</f>
        <v/>
      </c>
      <c r="F306" s="24" t="str">
        <f t="shared" si="58"/>
        <v/>
      </c>
      <c r="G306" s="24" t="str">
        <f t="shared" si="59"/>
        <v/>
      </c>
      <c r="H306" s="24" t="str">
        <f t="shared" si="60"/>
        <v/>
      </c>
      <c r="I306" s="24" t="str">
        <f t="shared" si="61"/>
        <v/>
      </c>
      <c r="J306" s="24" t="str">
        <f t="shared" si="62"/>
        <v/>
      </c>
      <c r="K306" s="24" t="str">
        <f t="shared" si="63"/>
        <v/>
      </c>
      <c r="L306" s="24" t="str">
        <f t="shared" si="64"/>
        <v/>
      </c>
      <c r="M306" s="24" t="str">
        <f t="shared" si="65"/>
        <v/>
      </c>
    </row>
    <row r="307" spans="2:13" hidden="1" outlineLevel="1" x14ac:dyDescent="0.3">
      <c r="B307" s="24" t="str">
        <f>IF('TO HOP NLAN'!$A153="","",'TO HOP NLAN'!$A153)</f>
        <v/>
      </c>
      <c r="C307" s="24" t="str">
        <f>IF($B307="","",'TO HOP NLAN'!$D153)</f>
        <v/>
      </c>
      <c r="D307" s="24" t="str">
        <f>IF($B307="","",$C$32*ABS(IFERROR('TO HOP NLAN'!$F153,0)))</f>
        <v/>
      </c>
      <c r="E307" s="24" t="str">
        <f>IF($B307="","",$D$32*ABS(IFERROR('TO HOP NLAN'!$E153,0)))</f>
        <v/>
      </c>
      <c r="F307" s="24" t="str">
        <f t="shared" si="58"/>
        <v/>
      </c>
      <c r="G307" s="24" t="str">
        <f t="shared" si="59"/>
        <v/>
      </c>
      <c r="H307" s="24" t="str">
        <f t="shared" si="60"/>
        <v/>
      </c>
      <c r="I307" s="24" t="str">
        <f t="shared" si="61"/>
        <v/>
      </c>
      <c r="J307" s="24" t="str">
        <f t="shared" si="62"/>
        <v/>
      </c>
      <c r="K307" s="24" t="str">
        <f t="shared" si="63"/>
        <v/>
      </c>
      <c r="L307" s="24" t="str">
        <f t="shared" si="64"/>
        <v/>
      </c>
      <c r="M307" s="24" t="str">
        <f t="shared" si="65"/>
        <v/>
      </c>
    </row>
    <row r="308" spans="2:13" hidden="1" outlineLevel="1" x14ac:dyDescent="0.3">
      <c r="B308" s="24" t="str">
        <f>IF('TO HOP NLAN'!$A154="","",'TO HOP NLAN'!$A154)</f>
        <v/>
      </c>
      <c r="C308" s="24" t="str">
        <f>IF($B308="","",'TO HOP NLAN'!$D154)</f>
        <v/>
      </c>
      <c r="D308" s="24" t="str">
        <f>IF($B308="","",$C$32*ABS(IFERROR('TO HOP NLAN'!$F154,0)))</f>
        <v/>
      </c>
      <c r="E308" s="24" t="str">
        <f>IF($B308="","",$D$32*ABS(IFERROR('TO HOP NLAN'!$E154,0)))</f>
        <v/>
      </c>
      <c r="F308" s="24" t="str">
        <f t="shared" si="58"/>
        <v/>
      </c>
      <c r="G308" s="24" t="str">
        <f t="shared" si="59"/>
        <v/>
      </c>
      <c r="H308" s="24" t="str">
        <f t="shared" si="60"/>
        <v/>
      </c>
      <c r="I308" s="24" t="str">
        <f t="shared" si="61"/>
        <v/>
      </c>
      <c r="J308" s="24" t="str">
        <f t="shared" si="62"/>
        <v/>
      </c>
      <c r="K308" s="24" t="str">
        <f t="shared" si="63"/>
        <v/>
      </c>
      <c r="L308" s="24" t="str">
        <f t="shared" si="64"/>
        <v/>
      </c>
      <c r="M308" s="24" t="str">
        <f t="shared" si="65"/>
        <v/>
      </c>
    </row>
    <row r="309" spans="2:13" hidden="1" outlineLevel="1" x14ac:dyDescent="0.3">
      <c r="B309" s="24" t="str">
        <f>IF('TO HOP NLAN'!$A155="","",'TO HOP NLAN'!$A155)</f>
        <v/>
      </c>
      <c r="C309" s="24" t="str">
        <f>IF($B309="","",'TO HOP NLAN'!$D155)</f>
        <v/>
      </c>
      <c r="D309" s="24" t="str">
        <f>IF($B309="","",$C$32*ABS(IFERROR('TO HOP NLAN'!$F155,0)))</f>
        <v/>
      </c>
      <c r="E309" s="24" t="str">
        <f>IF($B309="","",$D$32*ABS(IFERROR('TO HOP NLAN'!$E155,0)))</f>
        <v/>
      </c>
      <c r="F309" s="24" t="str">
        <f t="shared" si="58"/>
        <v/>
      </c>
      <c r="G309" s="24" t="str">
        <f t="shared" si="59"/>
        <v/>
      </c>
      <c r="H309" s="24" t="str">
        <f t="shared" si="60"/>
        <v/>
      </c>
      <c r="I309" s="24" t="str">
        <f t="shared" si="61"/>
        <v/>
      </c>
      <c r="J309" s="24" t="str">
        <f t="shared" si="62"/>
        <v/>
      </c>
      <c r="K309" s="24" t="str">
        <f t="shared" si="63"/>
        <v/>
      </c>
      <c r="L309" s="24" t="str">
        <f t="shared" si="64"/>
        <v/>
      </c>
      <c r="M309" s="24" t="str">
        <f t="shared" si="65"/>
        <v/>
      </c>
    </row>
    <row r="310" spans="2:13" hidden="1" outlineLevel="1" x14ac:dyDescent="0.3">
      <c r="B310" s="24" t="str">
        <f>IF('TO HOP NLAN'!$A156="","",'TO HOP NLAN'!$A156)</f>
        <v/>
      </c>
      <c r="C310" s="24" t="str">
        <f>IF($B310="","",'TO HOP NLAN'!$D156)</f>
        <v/>
      </c>
      <c r="D310" s="24" t="str">
        <f>IF($B310="","",$C$32*ABS(IFERROR('TO HOP NLAN'!$F156,0)))</f>
        <v/>
      </c>
      <c r="E310" s="24" t="str">
        <f>IF($B310="","",$D$32*ABS(IFERROR('TO HOP NLAN'!$E156,0)))</f>
        <v/>
      </c>
      <c r="F310" s="24" t="str">
        <f t="shared" si="58"/>
        <v/>
      </c>
      <c r="G310" s="24" t="str">
        <f t="shared" si="59"/>
        <v/>
      </c>
      <c r="H310" s="24" t="str">
        <f t="shared" si="60"/>
        <v/>
      </c>
      <c r="I310" s="24" t="str">
        <f t="shared" si="61"/>
        <v/>
      </c>
      <c r="J310" s="24" t="str">
        <f t="shared" si="62"/>
        <v/>
      </c>
      <c r="K310" s="24" t="str">
        <f t="shared" si="63"/>
        <v/>
      </c>
      <c r="L310" s="24" t="str">
        <f t="shared" si="64"/>
        <v/>
      </c>
      <c r="M310" s="24" t="str">
        <f t="shared" si="65"/>
        <v/>
      </c>
    </row>
    <row r="311" spans="2:13" hidden="1" outlineLevel="1" x14ac:dyDescent="0.3">
      <c r="B311" s="24" t="str">
        <f>IF('TO HOP NLAN'!$A157="","",'TO HOP NLAN'!$A157)</f>
        <v/>
      </c>
      <c r="C311" s="24" t="str">
        <f>IF($B311="","",'TO HOP NLAN'!$D157)</f>
        <v/>
      </c>
      <c r="D311" s="24" t="str">
        <f>IF($B311="","",$C$32*ABS(IFERROR('TO HOP NLAN'!$F157,0)))</f>
        <v/>
      </c>
      <c r="E311" s="24" t="str">
        <f>IF($B311="","",$D$32*ABS(IFERROR('TO HOP NLAN'!$E157,0)))</f>
        <v/>
      </c>
      <c r="F311" s="24" t="str">
        <f t="shared" si="58"/>
        <v/>
      </c>
      <c r="G311" s="24" t="str">
        <f t="shared" si="59"/>
        <v/>
      </c>
      <c r="H311" s="24" t="str">
        <f t="shared" si="60"/>
        <v/>
      </c>
      <c r="I311" s="24" t="str">
        <f t="shared" si="61"/>
        <v/>
      </c>
      <c r="J311" s="24" t="str">
        <f t="shared" si="62"/>
        <v/>
      </c>
      <c r="K311" s="24" t="str">
        <f t="shared" si="63"/>
        <v/>
      </c>
      <c r="L311" s="24" t="str">
        <f t="shared" si="64"/>
        <v/>
      </c>
      <c r="M311" s="24" t="str">
        <f t="shared" si="65"/>
        <v/>
      </c>
    </row>
    <row r="312" spans="2:13" hidden="1" outlineLevel="1" x14ac:dyDescent="0.3">
      <c r="B312" s="24" t="str">
        <f>IF('TO HOP NLAN'!$A158="","",'TO HOP NLAN'!$A158)</f>
        <v/>
      </c>
      <c r="C312" s="24" t="str">
        <f>IF($B312="","",'TO HOP NLAN'!$D158)</f>
        <v/>
      </c>
      <c r="D312" s="24" t="str">
        <f>IF($B312="","",$C$32*ABS(IFERROR('TO HOP NLAN'!$F158,0)))</f>
        <v/>
      </c>
      <c r="E312" s="24" t="str">
        <f>IF($B312="","",$D$32*ABS(IFERROR('TO HOP NLAN'!$E158,0)))</f>
        <v/>
      </c>
      <c r="F312" s="24" t="str">
        <f t="shared" si="58"/>
        <v/>
      </c>
      <c r="G312" s="24" t="str">
        <f t="shared" si="59"/>
        <v/>
      </c>
      <c r="H312" s="24" t="str">
        <f t="shared" si="60"/>
        <v/>
      </c>
      <c r="I312" s="24" t="str">
        <f t="shared" si="61"/>
        <v/>
      </c>
      <c r="J312" s="24" t="str">
        <f t="shared" si="62"/>
        <v/>
      </c>
      <c r="K312" s="24" t="str">
        <f t="shared" si="63"/>
        <v/>
      </c>
      <c r="L312" s="24" t="str">
        <f t="shared" si="64"/>
        <v/>
      </c>
      <c r="M312" s="24" t="str">
        <f t="shared" si="65"/>
        <v/>
      </c>
    </row>
    <row r="313" spans="2:13" hidden="1" outlineLevel="1" x14ac:dyDescent="0.3">
      <c r="B313" s="24" t="str">
        <f>IF('TO HOP NLAN'!$A159="","",'TO HOP NLAN'!$A159)</f>
        <v/>
      </c>
      <c r="C313" s="24" t="str">
        <f>IF($B313="","",'TO HOP NLAN'!$D159)</f>
        <v/>
      </c>
      <c r="D313" s="24" t="str">
        <f>IF($B313="","",$C$32*ABS(IFERROR('TO HOP NLAN'!$F159,0)))</f>
        <v/>
      </c>
      <c r="E313" s="24" t="str">
        <f>IF($B313="","",$D$32*ABS(IFERROR('TO HOP NLAN'!$E159,0)))</f>
        <v/>
      </c>
      <c r="F313" s="24" t="str">
        <f t="shared" si="58"/>
        <v/>
      </c>
      <c r="G313" s="24" t="str">
        <f t="shared" si="59"/>
        <v/>
      </c>
      <c r="H313" s="24" t="str">
        <f t="shared" si="60"/>
        <v/>
      </c>
      <c r="I313" s="24" t="str">
        <f t="shared" si="61"/>
        <v/>
      </c>
      <c r="J313" s="24" t="str">
        <f t="shared" si="62"/>
        <v/>
      </c>
      <c r="K313" s="24" t="str">
        <f t="shared" si="63"/>
        <v/>
      </c>
      <c r="L313" s="24" t="str">
        <f t="shared" si="64"/>
        <v/>
      </c>
      <c r="M313" s="24" t="str">
        <f t="shared" si="65"/>
        <v/>
      </c>
    </row>
    <row r="314" spans="2:13" hidden="1" outlineLevel="1" x14ac:dyDescent="0.3">
      <c r="B314" s="24" t="str">
        <f>IF('TO HOP NLAN'!$A160="","",'TO HOP NLAN'!$A160)</f>
        <v/>
      </c>
      <c r="C314" s="24" t="str">
        <f>IF($B314="","",'TO HOP NLAN'!$D160)</f>
        <v/>
      </c>
      <c r="D314" s="24" t="str">
        <f>IF($B314="","",$C$32*ABS(IFERROR('TO HOP NLAN'!$F160,0)))</f>
        <v/>
      </c>
      <c r="E314" s="24" t="str">
        <f>IF($B314="","",$D$32*ABS(IFERROR('TO HOP NLAN'!$E160,0)))</f>
        <v/>
      </c>
      <c r="F314" s="24" t="str">
        <f t="shared" si="58"/>
        <v/>
      </c>
      <c r="G314" s="24" t="str">
        <f t="shared" si="59"/>
        <v/>
      </c>
      <c r="H314" s="24" t="str">
        <f t="shared" si="60"/>
        <v/>
      </c>
      <c r="I314" s="24" t="str">
        <f t="shared" si="61"/>
        <v/>
      </c>
      <c r="J314" s="24" t="str">
        <f t="shared" si="62"/>
        <v/>
      </c>
      <c r="K314" s="24" t="str">
        <f t="shared" si="63"/>
        <v/>
      </c>
      <c r="L314" s="24" t="str">
        <f t="shared" si="64"/>
        <v/>
      </c>
      <c r="M314" s="24" t="str">
        <f t="shared" si="65"/>
        <v/>
      </c>
    </row>
    <row r="315" spans="2:13" hidden="1" outlineLevel="1" x14ac:dyDescent="0.3">
      <c r="B315" s="24" t="str">
        <f>IF('TO HOP NLAN'!$A161="","",'TO HOP NLAN'!$A161)</f>
        <v/>
      </c>
      <c r="C315" s="24" t="str">
        <f>IF($B315="","",'TO HOP NLAN'!$D161)</f>
        <v/>
      </c>
      <c r="D315" s="24" t="str">
        <f>IF($B315="","",$C$32*ABS(IFERROR('TO HOP NLAN'!$F161,0)))</f>
        <v/>
      </c>
      <c r="E315" s="24" t="str">
        <f>IF($B315="","",$D$32*ABS(IFERROR('TO HOP NLAN'!$E161,0)))</f>
        <v/>
      </c>
      <c r="F315" s="24" t="str">
        <f t="shared" si="58"/>
        <v/>
      </c>
      <c r="G315" s="24" t="str">
        <f t="shared" si="59"/>
        <v/>
      </c>
      <c r="H315" s="24" t="str">
        <f t="shared" si="60"/>
        <v/>
      </c>
      <c r="I315" s="24" t="str">
        <f t="shared" si="61"/>
        <v/>
      </c>
      <c r="J315" s="24" t="str">
        <f t="shared" si="62"/>
        <v/>
      </c>
      <c r="K315" s="24" t="str">
        <f t="shared" si="63"/>
        <v/>
      </c>
      <c r="L315" s="24" t="str">
        <f t="shared" si="64"/>
        <v/>
      </c>
      <c r="M315" s="24" t="str">
        <f t="shared" si="65"/>
        <v/>
      </c>
    </row>
    <row r="316" spans="2:13" hidden="1" outlineLevel="1" x14ac:dyDescent="0.3">
      <c r="B316" s="24" t="str">
        <f>IF('TO HOP NLAN'!$A162="","",'TO HOP NLAN'!$A162)</f>
        <v/>
      </c>
      <c r="C316" s="24" t="str">
        <f>IF($B316="","",'TO HOP NLAN'!$D162)</f>
        <v/>
      </c>
      <c r="D316" s="24" t="str">
        <f>IF($B316="","",$C$32*ABS(IFERROR('TO HOP NLAN'!$F162,0)))</f>
        <v/>
      </c>
      <c r="E316" s="24" t="str">
        <f>IF($B316="","",$D$32*ABS(IFERROR('TO HOP NLAN'!$E162,0)))</f>
        <v/>
      </c>
      <c r="F316" s="24" t="str">
        <f t="shared" si="58"/>
        <v/>
      </c>
      <c r="G316" s="24" t="str">
        <f t="shared" si="59"/>
        <v/>
      </c>
      <c r="H316" s="24" t="str">
        <f t="shared" si="60"/>
        <v/>
      </c>
      <c r="I316" s="24" t="str">
        <f t="shared" si="61"/>
        <v/>
      </c>
      <c r="J316" s="24" t="str">
        <f t="shared" si="62"/>
        <v/>
      </c>
      <c r="K316" s="24" t="str">
        <f t="shared" si="63"/>
        <v/>
      </c>
      <c r="L316" s="24" t="str">
        <f t="shared" si="64"/>
        <v/>
      </c>
      <c r="M316" s="24" t="str">
        <f t="shared" si="65"/>
        <v/>
      </c>
    </row>
    <row r="317" spans="2:13" hidden="1" outlineLevel="1" x14ac:dyDescent="0.3">
      <c r="B317" s="24" t="str">
        <f>IF('TO HOP NLAN'!$A163="","",'TO HOP NLAN'!$A163)</f>
        <v/>
      </c>
      <c r="C317" s="24" t="str">
        <f>IF($B317="","",'TO HOP NLAN'!$D163)</f>
        <v/>
      </c>
      <c r="D317" s="24" t="str">
        <f>IF($B317="","",$C$32*ABS(IFERROR('TO HOP NLAN'!$F163,0)))</f>
        <v/>
      </c>
      <c r="E317" s="24" t="str">
        <f>IF($B317="","",$D$32*ABS(IFERROR('TO HOP NLAN'!$E163,0)))</f>
        <v/>
      </c>
      <c r="F317" s="24" t="str">
        <f t="shared" si="58"/>
        <v/>
      </c>
      <c r="G317" s="24" t="str">
        <f t="shared" si="59"/>
        <v/>
      </c>
      <c r="H317" s="24" t="str">
        <f t="shared" si="60"/>
        <v/>
      </c>
      <c r="I317" s="24" t="str">
        <f t="shared" si="61"/>
        <v/>
      </c>
      <c r="J317" s="24" t="str">
        <f t="shared" si="62"/>
        <v/>
      </c>
      <c r="K317" s="24" t="str">
        <f t="shared" si="63"/>
        <v/>
      </c>
      <c r="L317" s="24" t="str">
        <f t="shared" si="64"/>
        <v/>
      </c>
      <c r="M317" s="24" t="str">
        <f t="shared" si="65"/>
        <v/>
      </c>
    </row>
    <row r="318" spans="2:13" hidden="1" outlineLevel="1" x14ac:dyDescent="0.3">
      <c r="B318" s="24" t="str">
        <f>IF('TO HOP NLAN'!$A164="","",'TO HOP NLAN'!$A164)</f>
        <v/>
      </c>
      <c r="C318" s="24" t="str">
        <f>IF($B318="","",'TO HOP NLAN'!$D164)</f>
        <v/>
      </c>
      <c r="D318" s="24" t="str">
        <f>IF($B318="","",$C$32*ABS(IFERROR('TO HOP NLAN'!$F164,0)))</f>
        <v/>
      </c>
      <c r="E318" s="24" t="str">
        <f>IF($B318="","",$D$32*ABS(IFERROR('TO HOP NLAN'!$E164,0)))</f>
        <v/>
      </c>
      <c r="F318" s="24" t="str">
        <f t="shared" si="58"/>
        <v/>
      </c>
      <c r="G318" s="24" t="str">
        <f t="shared" si="59"/>
        <v/>
      </c>
      <c r="H318" s="24" t="str">
        <f t="shared" si="60"/>
        <v/>
      </c>
      <c r="I318" s="24" t="str">
        <f t="shared" si="61"/>
        <v/>
      </c>
      <c r="J318" s="24" t="str">
        <f t="shared" si="62"/>
        <v/>
      </c>
      <c r="K318" s="24" t="str">
        <f t="shared" si="63"/>
        <v/>
      </c>
      <c r="L318" s="24" t="str">
        <f t="shared" si="64"/>
        <v/>
      </c>
      <c r="M318" s="24" t="str">
        <f t="shared" si="65"/>
        <v/>
      </c>
    </row>
    <row r="319" spans="2:13" hidden="1" outlineLevel="1" x14ac:dyDescent="0.3">
      <c r="B319" s="24" t="str">
        <f>IF('TO HOP NLAN'!$A165="","",'TO HOP NLAN'!$A165)</f>
        <v/>
      </c>
      <c r="C319" s="24" t="str">
        <f>IF($B319="","",'TO HOP NLAN'!$D165)</f>
        <v/>
      </c>
      <c r="D319" s="24" t="str">
        <f>IF($B319="","",$C$32*ABS(IFERROR('TO HOP NLAN'!$F165,0)))</f>
        <v/>
      </c>
      <c r="E319" s="24" t="str">
        <f>IF($B319="","",$D$32*ABS(IFERROR('TO HOP NLAN'!$E165,0)))</f>
        <v/>
      </c>
      <c r="F319" s="24" t="str">
        <f t="shared" si="58"/>
        <v/>
      </c>
      <c r="G319" s="24" t="str">
        <f t="shared" si="59"/>
        <v/>
      </c>
      <c r="H319" s="24" t="str">
        <f t="shared" si="60"/>
        <v/>
      </c>
      <c r="I319" s="24" t="str">
        <f t="shared" si="61"/>
        <v/>
      </c>
      <c r="J319" s="24" t="str">
        <f t="shared" si="62"/>
        <v/>
      </c>
      <c r="K319" s="24" t="str">
        <f t="shared" si="63"/>
        <v/>
      </c>
      <c r="L319" s="24" t="str">
        <f t="shared" si="64"/>
        <v/>
      </c>
      <c r="M319" s="24" t="str">
        <f t="shared" si="65"/>
        <v/>
      </c>
    </row>
    <row r="320" spans="2:13" hidden="1" outlineLevel="1" x14ac:dyDescent="0.3">
      <c r="B320" s="24" t="str">
        <f>IF('TO HOP NLAN'!$A166="","",'TO HOP NLAN'!$A166)</f>
        <v/>
      </c>
      <c r="C320" s="24" t="str">
        <f>IF($B320="","",'TO HOP NLAN'!$D166)</f>
        <v/>
      </c>
      <c r="D320" s="24" t="str">
        <f>IF($B320="","",$C$32*ABS(IFERROR('TO HOP NLAN'!$F166,0)))</f>
        <v/>
      </c>
      <c r="E320" s="24" t="str">
        <f>IF($B320="","",$D$32*ABS(IFERROR('TO HOP NLAN'!$E166,0)))</f>
        <v/>
      </c>
      <c r="F320" s="24" t="str">
        <f t="shared" si="58"/>
        <v/>
      </c>
      <c r="G320" s="24" t="str">
        <f t="shared" si="59"/>
        <v/>
      </c>
      <c r="H320" s="24" t="str">
        <f t="shared" si="60"/>
        <v/>
      </c>
      <c r="I320" s="24" t="str">
        <f t="shared" si="61"/>
        <v/>
      </c>
      <c r="J320" s="24" t="str">
        <f t="shared" si="62"/>
        <v/>
      </c>
      <c r="K320" s="24" t="str">
        <f t="shared" si="63"/>
        <v/>
      </c>
      <c r="L320" s="24" t="str">
        <f t="shared" si="64"/>
        <v/>
      </c>
      <c r="M320" s="24" t="str">
        <f t="shared" si="65"/>
        <v/>
      </c>
    </row>
    <row r="321" spans="2:13" hidden="1" outlineLevel="1" x14ac:dyDescent="0.3">
      <c r="B321" s="24" t="str">
        <f>IF('TO HOP NLAN'!$A167="","",'TO HOP NLAN'!$A167)</f>
        <v/>
      </c>
      <c r="C321" s="24" t="str">
        <f>IF($B321="","",'TO HOP NLAN'!$D167)</f>
        <v/>
      </c>
      <c r="D321" s="24" t="str">
        <f>IF($B321="","",$C$32*ABS(IFERROR('TO HOP NLAN'!$F167,0)))</f>
        <v/>
      </c>
      <c r="E321" s="24" t="str">
        <f>IF($B321="","",$D$32*ABS(IFERROR('TO HOP NLAN'!$E167,0)))</f>
        <v/>
      </c>
      <c r="F321" s="24" t="str">
        <f t="shared" si="58"/>
        <v/>
      </c>
      <c r="G321" s="24" t="str">
        <f t="shared" si="59"/>
        <v/>
      </c>
      <c r="H321" s="24" t="str">
        <f t="shared" si="60"/>
        <v/>
      </c>
      <c r="I321" s="24" t="str">
        <f t="shared" si="61"/>
        <v/>
      </c>
      <c r="J321" s="24" t="str">
        <f t="shared" si="62"/>
        <v/>
      </c>
      <c r="K321" s="24" t="str">
        <f t="shared" si="63"/>
        <v/>
      </c>
      <c r="L321" s="24" t="str">
        <f t="shared" si="64"/>
        <v/>
      </c>
      <c r="M321" s="24" t="str">
        <f t="shared" si="65"/>
        <v/>
      </c>
    </row>
    <row r="322" spans="2:13" hidden="1" outlineLevel="1" x14ac:dyDescent="0.3">
      <c r="B322" s="24" t="str">
        <f>IF('TO HOP NLAN'!$A168="","",'TO HOP NLAN'!$A168)</f>
        <v/>
      </c>
      <c r="C322" s="24" t="str">
        <f>IF($B322="","",'TO HOP NLAN'!$D168)</f>
        <v/>
      </c>
      <c r="D322" s="24" t="str">
        <f>IF($B322="","",$C$32*ABS(IFERROR('TO HOP NLAN'!$F168,0)))</f>
        <v/>
      </c>
      <c r="E322" s="24" t="str">
        <f>IF($B322="","",$D$32*ABS(IFERROR('TO HOP NLAN'!$E168,0)))</f>
        <v/>
      </c>
      <c r="F322" s="24" t="str">
        <f t="shared" si="58"/>
        <v/>
      </c>
      <c r="G322" s="24" t="str">
        <f t="shared" si="59"/>
        <v/>
      </c>
      <c r="H322" s="24" t="str">
        <f t="shared" si="60"/>
        <v/>
      </c>
      <c r="I322" s="24" t="str">
        <f t="shared" si="61"/>
        <v/>
      </c>
      <c r="J322" s="24" t="str">
        <f t="shared" si="62"/>
        <v/>
      </c>
      <c r="K322" s="24" t="str">
        <f t="shared" si="63"/>
        <v/>
      </c>
      <c r="L322" s="24" t="str">
        <f t="shared" si="64"/>
        <v/>
      </c>
      <c r="M322" s="24" t="str">
        <f t="shared" si="65"/>
        <v/>
      </c>
    </row>
    <row r="323" spans="2:13" hidden="1" outlineLevel="1" x14ac:dyDescent="0.3">
      <c r="B323" s="24" t="str">
        <f>IF('TO HOP NLAN'!$A169="","",'TO HOP NLAN'!$A169)</f>
        <v/>
      </c>
      <c r="C323" s="24" t="str">
        <f>IF($B323="","",'TO HOP NLAN'!$D169)</f>
        <v/>
      </c>
      <c r="D323" s="24" t="str">
        <f>IF($B323="","",$C$32*ABS(IFERROR('TO HOP NLAN'!$F169,0)))</f>
        <v/>
      </c>
      <c r="E323" s="24" t="str">
        <f>IF($B323="","",$D$32*ABS(IFERROR('TO HOP NLAN'!$E169,0)))</f>
        <v/>
      </c>
      <c r="F323" s="24" t="str">
        <f t="shared" si="58"/>
        <v/>
      </c>
      <c r="G323" s="24" t="str">
        <f t="shared" si="59"/>
        <v/>
      </c>
      <c r="H323" s="24" t="str">
        <f t="shared" si="60"/>
        <v/>
      </c>
      <c r="I323" s="24" t="str">
        <f t="shared" si="61"/>
        <v/>
      </c>
      <c r="J323" s="24" t="str">
        <f t="shared" si="62"/>
        <v/>
      </c>
      <c r="K323" s="24" t="str">
        <f t="shared" si="63"/>
        <v/>
      </c>
      <c r="L323" s="24" t="str">
        <f t="shared" si="64"/>
        <v/>
      </c>
      <c r="M323" s="24" t="str">
        <f t="shared" si="65"/>
        <v/>
      </c>
    </row>
    <row r="324" spans="2:13" hidden="1" outlineLevel="1" x14ac:dyDescent="0.3">
      <c r="B324" s="24" t="str">
        <f>IF('TO HOP NLAN'!$A170="","",'TO HOP NLAN'!$A170)</f>
        <v/>
      </c>
      <c r="C324" s="24" t="str">
        <f>IF($B324="","",'TO HOP NLAN'!$D170)</f>
        <v/>
      </c>
      <c r="D324" s="24" t="str">
        <f>IF($B324="","",$C$32*ABS(IFERROR('TO HOP NLAN'!$F170,0)))</f>
        <v/>
      </c>
      <c r="E324" s="24" t="str">
        <f>IF($B324="","",$D$32*ABS(IFERROR('TO HOP NLAN'!$E170,0)))</f>
        <v/>
      </c>
      <c r="F324" s="24" t="str">
        <f t="shared" si="58"/>
        <v/>
      </c>
      <c r="G324" s="24" t="str">
        <f t="shared" si="59"/>
        <v/>
      </c>
      <c r="H324" s="24" t="str">
        <f t="shared" si="60"/>
        <v/>
      </c>
      <c r="I324" s="24" t="str">
        <f t="shared" si="61"/>
        <v/>
      </c>
      <c r="J324" s="24" t="str">
        <f t="shared" si="62"/>
        <v/>
      </c>
      <c r="K324" s="24" t="str">
        <f t="shared" si="63"/>
        <v/>
      </c>
      <c r="L324" s="24" t="str">
        <f t="shared" si="64"/>
        <v/>
      </c>
      <c r="M324" s="24" t="str">
        <f t="shared" si="65"/>
        <v/>
      </c>
    </row>
    <row r="325" spans="2:13" hidden="1" outlineLevel="1" x14ac:dyDescent="0.3">
      <c r="B325" s="24" t="str">
        <f>IF('TO HOP NLAN'!$A171="","",'TO HOP NLAN'!$A171)</f>
        <v/>
      </c>
      <c r="C325" s="24" t="str">
        <f>IF($B325="","",'TO HOP NLAN'!$D171)</f>
        <v/>
      </c>
      <c r="D325" s="24" t="str">
        <f>IF($B325="","",$C$32*ABS(IFERROR('TO HOP NLAN'!$F171,0)))</f>
        <v/>
      </c>
      <c r="E325" s="24" t="str">
        <f>IF($B325="","",$D$32*ABS(IFERROR('TO HOP NLAN'!$E171,0)))</f>
        <v/>
      </c>
      <c r="F325" s="24" t="str">
        <f t="shared" si="58"/>
        <v/>
      </c>
      <c r="G325" s="24" t="str">
        <f t="shared" si="59"/>
        <v/>
      </c>
      <c r="H325" s="24" t="str">
        <f t="shared" si="60"/>
        <v/>
      </c>
      <c r="I325" s="24" t="str">
        <f t="shared" si="61"/>
        <v/>
      </c>
      <c r="J325" s="24" t="str">
        <f t="shared" si="62"/>
        <v/>
      </c>
      <c r="K325" s="24" t="str">
        <f t="shared" si="63"/>
        <v/>
      </c>
      <c r="L325" s="24" t="str">
        <f t="shared" si="64"/>
        <v/>
      </c>
      <c r="M325" s="24" t="str">
        <f t="shared" si="65"/>
        <v/>
      </c>
    </row>
    <row r="326" spans="2:13" hidden="1" outlineLevel="1" x14ac:dyDescent="0.3">
      <c r="B326" s="24" t="str">
        <f>IF('TO HOP NLAN'!$A172="","",'TO HOP NLAN'!$A172)</f>
        <v/>
      </c>
      <c r="C326" s="24" t="str">
        <f>IF($B326="","",'TO HOP NLAN'!$D172)</f>
        <v/>
      </c>
      <c r="D326" s="24" t="str">
        <f>IF($B326="","",$C$32*ABS(IFERROR('TO HOP NLAN'!$F172,0)))</f>
        <v/>
      </c>
      <c r="E326" s="24" t="str">
        <f>IF($B326="","",$D$32*ABS(IFERROR('TO HOP NLAN'!$E172,0)))</f>
        <v/>
      </c>
      <c r="F326" s="24" t="str">
        <f t="shared" si="58"/>
        <v/>
      </c>
      <c r="G326" s="24" t="str">
        <f t="shared" si="59"/>
        <v/>
      </c>
      <c r="H326" s="24" t="str">
        <f t="shared" si="60"/>
        <v/>
      </c>
      <c r="I326" s="24" t="str">
        <f t="shared" si="61"/>
        <v/>
      </c>
      <c r="J326" s="24" t="str">
        <f t="shared" si="62"/>
        <v/>
      </c>
      <c r="K326" s="24" t="str">
        <f t="shared" si="63"/>
        <v/>
      </c>
      <c r="L326" s="24" t="str">
        <f t="shared" si="64"/>
        <v/>
      </c>
      <c r="M326" s="24" t="str">
        <f t="shared" si="65"/>
        <v/>
      </c>
    </row>
    <row r="327" spans="2:13" hidden="1" outlineLevel="1" x14ac:dyDescent="0.3">
      <c r="B327" s="24" t="str">
        <f>IF('TO HOP NLAN'!$A173="","",'TO HOP NLAN'!$A173)</f>
        <v/>
      </c>
      <c r="C327" s="24" t="str">
        <f>IF($B327="","",'TO HOP NLAN'!$D173)</f>
        <v/>
      </c>
      <c r="D327" s="24" t="str">
        <f>IF($B327="","",$C$32*ABS(IFERROR('TO HOP NLAN'!$F173,0)))</f>
        <v/>
      </c>
      <c r="E327" s="24" t="str">
        <f>IF($B327="","",$D$32*ABS(IFERROR('TO HOP NLAN'!$E173,0)))</f>
        <v/>
      </c>
      <c r="F327" s="24" t="str">
        <f t="shared" si="58"/>
        <v/>
      </c>
      <c r="G327" s="24" t="str">
        <f t="shared" si="59"/>
        <v/>
      </c>
      <c r="H327" s="24" t="str">
        <f t="shared" si="60"/>
        <v/>
      </c>
      <c r="I327" s="24" t="str">
        <f t="shared" si="61"/>
        <v/>
      </c>
      <c r="J327" s="24" t="str">
        <f t="shared" si="62"/>
        <v/>
      </c>
      <c r="K327" s="24" t="str">
        <f t="shared" si="63"/>
        <v/>
      </c>
      <c r="L327" s="24" t="str">
        <f t="shared" si="64"/>
        <v/>
      </c>
      <c r="M327" s="24" t="str">
        <f t="shared" si="65"/>
        <v/>
      </c>
    </row>
    <row r="328" spans="2:13" hidden="1" outlineLevel="1" x14ac:dyDescent="0.3">
      <c r="B328" s="24" t="str">
        <f>IF('TO HOP NLAN'!$A174="","",'TO HOP NLAN'!$A174)</f>
        <v/>
      </c>
      <c r="C328" s="24" t="str">
        <f>IF($B328="","",'TO HOP NLAN'!$D174)</f>
        <v/>
      </c>
      <c r="D328" s="24" t="str">
        <f>IF($B328="","",$C$32*ABS(IFERROR('TO HOP NLAN'!$F174,0)))</f>
        <v/>
      </c>
      <c r="E328" s="24" t="str">
        <f>IF($B328="","",$D$32*ABS(IFERROR('TO HOP NLAN'!$E174,0)))</f>
        <v/>
      </c>
      <c r="F328" s="24" t="str">
        <f t="shared" si="58"/>
        <v/>
      </c>
      <c r="G328" s="24" t="str">
        <f t="shared" si="59"/>
        <v/>
      </c>
      <c r="H328" s="24" t="str">
        <f t="shared" si="60"/>
        <v/>
      </c>
      <c r="I328" s="24" t="str">
        <f t="shared" si="61"/>
        <v/>
      </c>
      <c r="J328" s="24" t="str">
        <f t="shared" si="62"/>
        <v/>
      </c>
      <c r="K328" s="24" t="str">
        <f t="shared" si="63"/>
        <v/>
      </c>
      <c r="L328" s="24" t="str">
        <f t="shared" si="64"/>
        <v/>
      </c>
      <c r="M328" s="24" t="str">
        <f t="shared" si="65"/>
        <v/>
      </c>
    </row>
    <row r="329" spans="2:13" hidden="1" outlineLevel="1" x14ac:dyDescent="0.3">
      <c r="B329" s="24" t="str">
        <f>IF('TO HOP NLAN'!$A175="","",'TO HOP NLAN'!$A175)</f>
        <v/>
      </c>
      <c r="C329" s="24" t="str">
        <f>IF($B329="","",'TO HOP NLAN'!$D175)</f>
        <v/>
      </c>
      <c r="D329" s="24" t="str">
        <f>IF($B329="","",$C$32*ABS(IFERROR('TO HOP NLAN'!$F175,0)))</f>
        <v/>
      </c>
      <c r="E329" s="24" t="str">
        <f>IF($B329="","",$D$32*ABS(IFERROR('TO HOP NLAN'!$E175,0)))</f>
        <v/>
      </c>
      <c r="F329" s="24" t="str">
        <f t="shared" si="58"/>
        <v/>
      </c>
      <c r="G329" s="24" t="str">
        <f t="shared" si="59"/>
        <v/>
      </c>
      <c r="H329" s="24" t="str">
        <f t="shared" si="60"/>
        <v/>
      </c>
      <c r="I329" s="24" t="str">
        <f t="shared" si="61"/>
        <v/>
      </c>
      <c r="J329" s="24" t="str">
        <f t="shared" si="62"/>
        <v/>
      </c>
      <c r="K329" s="24" t="str">
        <f t="shared" si="63"/>
        <v/>
      </c>
      <c r="L329" s="24" t="str">
        <f t="shared" si="64"/>
        <v/>
      </c>
      <c r="M329" s="24" t="str">
        <f t="shared" si="65"/>
        <v/>
      </c>
    </row>
    <row r="330" spans="2:13" hidden="1" outlineLevel="1" x14ac:dyDescent="0.3">
      <c r="B330" s="24" t="str">
        <f>IF('TO HOP NLAN'!$A176="","",'TO HOP NLAN'!$A176)</f>
        <v/>
      </c>
      <c r="C330" s="24" t="str">
        <f>IF($B330="","",'TO HOP NLAN'!$D176)</f>
        <v/>
      </c>
      <c r="D330" s="24" t="str">
        <f>IF($B330="","",$C$32*ABS(IFERROR('TO HOP NLAN'!$F176,0)))</f>
        <v/>
      </c>
      <c r="E330" s="24" t="str">
        <f>IF($B330="","",$D$32*ABS(IFERROR('TO HOP NLAN'!$E176,0)))</f>
        <v/>
      </c>
      <c r="F330" s="24" t="str">
        <f t="shared" si="58"/>
        <v/>
      </c>
      <c r="G330" s="24" t="str">
        <f t="shared" si="59"/>
        <v/>
      </c>
      <c r="H330" s="24" t="str">
        <f t="shared" si="60"/>
        <v/>
      </c>
      <c r="I330" s="24" t="str">
        <f t="shared" si="61"/>
        <v/>
      </c>
      <c r="J330" s="24" t="str">
        <f t="shared" si="62"/>
        <v/>
      </c>
      <c r="K330" s="24" t="str">
        <f t="shared" si="63"/>
        <v/>
      </c>
      <c r="L330" s="24" t="str">
        <f t="shared" si="64"/>
        <v/>
      </c>
      <c r="M330" s="24" t="str">
        <f t="shared" si="65"/>
        <v/>
      </c>
    </row>
    <row r="331" spans="2:13" hidden="1" outlineLevel="1" x14ac:dyDescent="0.3">
      <c r="B331" s="24" t="str">
        <f>IF('TO HOP NLAN'!$A177="","",'TO HOP NLAN'!$A177)</f>
        <v/>
      </c>
      <c r="C331" s="24" t="str">
        <f>IF($B331="","",'TO HOP NLAN'!$D177)</f>
        <v/>
      </c>
      <c r="D331" s="24" t="str">
        <f>IF($B331="","",$C$32*ABS(IFERROR('TO HOP NLAN'!$F177,0)))</f>
        <v/>
      </c>
      <c r="E331" s="24" t="str">
        <f>IF($B331="","",$D$32*ABS(IFERROR('TO HOP NLAN'!$E177,0)))</f>
        <v/>
      </c>
      <c r="F331" s="24" t="str">
        <f t="shared" si="58"/>
        <v/>
      </c>
      <c r="G331" s="24" t="str">
        <f t="shared" si="59"/>
        <v/>
      </c>
      <c r="H331" s="24" t="str">
        <f t="shared" si="60"/>
        <v/>
      </c>
      <c r="I331" s="24" t="str">
        <f t="shared" si="61"/>
        <v/>
      </c>
      <c r="J331" s="24" t="str">
        <f t="shared" si="62"/>
        <v/>
      </c>
      <c r="K331" s="24" t="str">
        <f t="shared" si="63"/>
        <v/>
      </c>
      <c r="L331" s="24" t="str">
        <f t="shared" si="64"/>
        <v/>
      </c>
      <c r="M331" s="24" t="str">
        <f t="shared" si="65"/>
        <v/>
      </c>
    </row>
    <row r="332" spans="2:13" hidden="1" outlineLevel="1" x14ac:dyDescent="0.3">
      <c r="B332" s="24" t="str">
        <f>IF('TO HOP NLAN'!$A178="","",'TO HOP NLAN'!$A178)</f>
        <v/>
      </c>
      <c r="C332" s="24" t="str">
        <f>IF($B332="","",'TO HOP NLAN'!$D178)</f>
        <v/>
      </c>
      <c r="D332" s="24" t="str">
        <f>IF($B332="","",$C$32*ABS(IFERROR('TO HOP NLAN'!$F178,0)))</f>
        <v/>
      </c>
      <c r="E332" s="24" t="str">
        <f>IF($B332="","",$D$32*ABS(IFERROR('TO HOP NLAN'!$E178,0)))</f>
        <v/>
      </c>
      <c r="F332" s="24" t="str">
        <f t="shared" si="58"/>
        <v/>
      </c>
      <c r="G332" s="24" t="str">
        <f t="shared" si="59"/>
        <v/>
      </c>
      <c r="H332" s="24" t="str">
        <f t="shared" si="60"/>
        <v/>
      </c>
      <c r="I332" s="24" t="str">
        <f t="shared" si="61"/>
        <v/>
      </c>
      <c r="J332" s="24" t="str">
        <f t="shared" si="62"/>
        <v/>
      </c>
      <c r="K332" s="24" t="str">
        <f t="shared" si="63"/>
        <v/>
      </c>
      <c r="L332" s="24" t="str">
        <f t="shared" si="64"/>
        <v/>
      </c>
      <c r="M332" s="24" t="str">
        <f t="shared" si="65"/>
        <v/>
      </c>
    </row>
    <row r="333" spans="2:13" hidden="1" outlineLevel="1" x14ac:dyDescent="0.3">
      <c r="B333" s="24" t="str">
        <f>IF('TO HOP NLAN'!$A179="","",'TO HOP NLAN'!$A179)</f>
        <v/>
      </c>
      <c r="C333" s="24" t="str">
        <f>IF($B333="","",'TO HOP NLAN'!$D179)</f>
        <v/>
      </c>
      <c r="D333" s="24" t="str">
        <f>IF($B333="","",$C$32*ABS(IFERROR('TO HOP NLAN'!$F179,0)))</f>
        <v/>
      </c>
      <c r="E333" s="24" t="str">
        <f>IF($B333="","",$D$32*ABS(IFERROR('TO HOP NLAN'!$E179,0)))</f>
        <v/>
      </c>
      <c r="F333" s="24" t="str">
        <f t="shared" si="58"/>
        <v/>
      </c>
      <c r="G333" s="24" t="str">
        <f t="shared" si="59"/>
        <v/>
      </c>
      <c r="H333" s="24" t="str">
        <f t="shared" si="60"/>
        <v/>
      </c>
      <c r="I333" s="24" t="str">
        <f t="shared" si="61"/>
        <v/>
      </c>
      <c r="J333" s="24" t="str">
        <f t="shared" si="62"/>
        <v/>
      </c>
      <c r="K333" s="24" t="str">
        <f t="shared" si="63"/>
        <v/>
      </c>
      <c r="L333" s="24" t="str">
        <f t="shared" si="64"/>
        <v/>
      </c>
      <c r="M333" s="24" t="str">
        <f t="shared" si="65"/>
        <v/>
      </c>
    </row>
    <row r="334" spans="2:13" hidden="1" outlineLevel="1" x14ac:dyDescent="0.3">
      <c r="B334" s="24" t="str">
        <f>IF('TO HOP NLAN'!$A180="","",'TO HOP NLAN'!$A180)</f>
        <v/>
      </c>
      <c r="C334" s="24" t="str">
        <f>IF($B334="","",'TO HOP NLAN'!$D180)</f>
        <v/>
      </c>
      <c r="D334" s="24" t="str">
        <f>IF($B334="","",$C$32*ABS(IFERROR('TO HOP NLAN'!$F180,0)))</f>
        <v/>
      </c>
      <c r="E334" s="24" t="str">
        <f>IF($B334="","",$D$32*ABS(IFERROR('TO HOP NLAN'!$E180,0)))</f>
        <v/>
      </c>
      <c r="F334" s="24" t="str">
        <f t="shared" si="58"/>
        <v/>
      </c>
      <c r="G334" s="24" t="str">
        <f t="shared" si="59"/>
        <v/>
      </c>
      <c r="H334" s="24" t="str">
        <f t="shared" si="60"/>
        <v/>
      </c>
      <c r="I334" s="24" t="str">
        <f t="shared" si="61"/>
        <v/>
      </c>
      <c r="J334" s="24" t="str">
        <f t="shared" si="62"/>
        <v/>
      </c>
      <c r="K334" s="24" t="str">
        <f t="shared" si="63"/>
        <v/>
      </c>
      <c r="L334" s="24" t="str">
        <f t="shared" si="64"/>
        <v/>
      </c>
      <c r="M334" s="24" t="str">
        <f t="shared" si="65"/>
        <v/>
      </c>
    </row>
    <row r="335" spans="2:13" hidden="1" outlineLevel="1" x14ac:dyDescent="0.3">
      <c r="B335" s="24" t="str">
        <f>IF('TO HOP NLAN'!$A181="","",'TO HOP NLAN'!$A181)</f>
        <v/>
      </c>
      <c r="C335" s="24" t="str">
        <f>IF($B335="","",'TO HOP NLAN'!$D181)</f>
        <v/>
      </c>
      <c r="D335" s="24" t="str">
        <f>IF($B335="","",$C$32*ABS(IFERROR('TO HOP NLAN'!$F181,0)))</f>
        <v/>
      </c>
      <c r="E335" s="24" t="str">
        <f>IF($B335="","",$D$32*ABS(IFERROR('TO HOP NLAN'!$E181,0)))</f>
        <v/>
      </c>
      <c r="F335" s="24" t="str">
        <f t="shared" si="58"/>
        <v/>
      </c>
      <c r="G335" s="24" t="str">
        <f t="shared" si="59"/>
        <v/>
      </c>
      <c r="H335" s="24" t="str">
        <f t="shared" si="60"/>
        <v/>
      </c>
      <c r="I335" s="24" t="str">
        <f t="shared" si="61"/>
        <v/>
      </c>
      <c r="J335" s="24" t="str">
        <f t="shared" si="62"/>
        <v/>
      </c>
      <c r="K335" s="24" t="str">
        <f t="shared" si="63"/>
        <v/>
      </c>
      <c r="L335" s="24" t="str">
        <f t="shared" si="64"/>
        <v/>
      </c>
      <c r="M335" s="24" t="str">
        <f t="shared" si="65"/>
        <v/>
      </c>
    </row>
    <row r="336" spans="2:13" hidden="1" outlineLevel="1" x14ac:dyDescent="0.3">
      <c r="B336" s="24" t="str">
        <f>IF('TO HOP NLAN'!$A182="","",'TO HOP NLAN'!$A182)</f>
        <v/>
      </c>
      <c r="C336" s="24" t="str">
        <f>IF($B336="","",'TO HOP NLAN'!$D182)</f>
        <v/>
      </c>
      <c r="D336" s="24" t="str">
        <f>IF($B336="","",$C$32*ABS(IFERROR('TO HOP NLAN'!$F182,0)))</f>
        <v/>
      </c>
      <c r="E336" s="24" t="str">
        <f>IF($B336="","",$D$32*ABS(IFERROR('TO HOP NLAN'!$E182,0)))</f>
        <v/>
      </c>
      <c r="F336" s="24" t="str">
        <f t="shared" si="58"/>
        <v/>
      </c>
      <c r="G336" s="24" t="str">
        <f t="shared" si="59"/>
        <v/>
      </c>
      <c r="H336" s="24" t="str">
        <f t="shared" si="60"/>
        <v/>
      </c>
      <c r="I336" s="24" t="str">
        <f t="shared" si="61"/>
        <v/>
      </c>
      <c r="J336" s="24" t="str">
        <f t="shared" si="62"/>
        <v/>
      </c>
      <c r="K336" s="24" t="str">
        <f t="shared" si="63"/>
        <v/>
      </c>
      <c r="L336" s="24" t="str">
        <f t="shared" si="64"/>
        <v/>
      </c>
      <c r="M336" s="24" t="str">
        <f t="shared" si="65"/>
        <v/>
      </c>
    </row>
    <row r="337" spans="2:13" hidden="1" outlineLevel="1" x14ac:dyDescent="0.3">
      <c r="B337" s="24" t="str">
        <f>IF('TO HOP NLAN'!$A183="","",'TO HOP NLAN'!$A183)</f>
        <v/>
      </c>
      <c r="C337" s="24" t="str">
        <f>IF($B337="","",'TO HOP NLAN'!$D183)</f>
        <v/>
      </c>
      <c r="D337" s="24" t="str">
        <f>IF($B337="","",$C$32*ABS(IFERROR('TO HOP NLAN'!$F183,0)))</f>
        <v/>
      </c>
      <c r="E337" s="24" t="str">
        <f>IF($B337="","",$D$32*ABS(IFERROR('TO HOP NLAN'!$E183,0)))</f>
        <v/>
      </c>
      <c r="F337" s="24" t="str">
        <f t="shared" si="58"/>
        <v/>
      </c>
      <c r="G337" s="24" t="str">
        <f t="shared" si="59"/>
        <v/>
      </c>
      <c r="H337" s="24" t="str">
        <f t="shared" si="60"/>
        <v/>
      </c>
      <c r="I337" s="24" t="str">
        <f t="shared" si="61"/>
        <v/>
      </c>
      <c r="J337" s="24" t="str">
        <f t="shared" si="62"/>
        <v/>
      </c>
      <c r="K337" s="24" t="str">
        <f t="shared" si="63"/>
        <v/>
      </c>
      <c r="L337" s="24" t="str">
        <f t="shared" si="64"/>
        <v/>
      </c>
      <c r="M337" s="24" t="str">
        <f t="shared" si="65"/>
        <v/>
      </c>
    </row>
    <row r="338" spans="2:13" hidden="1" outlineLevel="1" x14ac:dyDescent="0.3">
      <c r="B338" s="24" t="str">
        <f>IF('TO HOP NLAN'!$A184="","",'TO HOP NLAN'!$A184)</f>
        <v/>
      </c>
      <c r="C338" s="24" t="str">
        <f>IF($B338="","",'TO HOP NLAN'!$D184)</f>
        <v/>
      </c>
      <c r="D338" s="24" t="str">
        <f>IF($B338="","",$C$32*ABS(IFERROR('TO HOP NLAN'!$F184,0)))</f>
        <v/>
      </c>
      <c r="E338" s="24" t="str">
        <f>IF($B338="","",$D$32*ABS(IFERROR('TO HOP NLAN'!$E184,0)))</f>
        <v/>
      </c>
      <c r="F338" s="24" t="str">
        <f t="shared" si="58"/>
        <v/>
      </c>
      <c r="G338" s="24" t="str">
        <f t="shared" si="59"/>
        <v/>
      </c>
      <c r="H338" s="24" t="str">
        <f t="shared" si="60"/>
        <v/>
      </c>
      <c r="I338" s="24" t="str">
        <f t="shared" si="61"/>
        <v/>
      </c>
      <c r="J338" s="24" t="str">
        <f t="shared" si="62"/>
        <v/>
      </c>
      <c r="K338" s="24" t="str">
        <f t="shared" si="63"/>
        <v/>
      </c>
      <c r="L338" s="24" t="str">
        <f t="shared" si="64"/>
        <v/>
      </c>
      <c r="M338" s="24" t="str">
        <f t="shared" si="65"/>
        <v/>
      </c>
    </row>
    <row r="339" spans="2:13" hidden="1" outlineLevel="1" x14ac:dyDescent="0.3">
      <c r="B339" s="24" t="str">
        <f>IF('TO HOP NLAN'!$A185="","",'TO HOP NLAN'!$A185)</f>
        <v/>
      </c>
      <c r="C339" s="24" t="str">
        <f>IF($B339="","",'TO HOP NLAN'!$D185)</f>
        <v/>
      </c>
      <c r="D339" s="24" t="str">
        <f>IF($B339="","",$C$32*ABS(IFERROR('TO HOP NLAN'!$F185,0)))</f>
        <v/>
      </c>
      <c r="E339" s="24" t="str">
        <f>IF($B339="","",$D$32*ABS(IFERROR('TO HOP NLAN'!$E185,0)))</f>
        <v/>
      </c>
      <c r="F339" s="24" t="str">
        <f t="shared" si="58"/>
        <v/>
      </c>
      <c r="G339" s="24" t="str">
        <f t="shared" si="59"/>
        <v/>
      </c>
      <c r="H339" s="24" t="str">
        <f t="shared" si="60"/>
        <v/>
      </c>
      <c r="I339" s="24" t="str">
        <f t="shared" si="61"/>
        <v/>
      </c>
      <c r="J339" s="24" t="str">
        <f t="shared" si="62"/>
        <v/>
      </c>
      <c r="K339" s="24" t="str">
        <f t="shared" si="63"/>
        <v/>
      </c>
      <c r="L339" s="24" t="str">
        <f t="shared" si="64"/>
        <v/>
      </c>
      <c r="M339" s="24" t="str">
        <f t="shared" si="65"/>
        <v/>
      </c>
    </row>
    <row r="340" spans="2:13" hidden="1" outlineLevel="1" x14ac:dyDescent="0.3">
      <c r="B340" s="24" t="str">
        <f>IF('TO HOP NLAN'!$A186="","",'TO HOP NLAN'!$A186)</f>
        <v/>
      </c>
      <c r="C340" s="24" t="str">
        <f>IF($B340="","",'TO HOP NLAN'!$D186)</f>
        <v/>
      </c>
      <c r="D340" s="24" t="str">
        <f>IF($B340="","",$C$32*ABS(IFERROR('TO HOP NLAN'!$F186,0)))</f>
        <v/>
      </c>
      <c r="E340" s="24" t="str">
        <f>IF($B340="","",$D$32*ABS(IFERROR('TO HOP NLAN'!$E186,0)))</f>
        <v/>
      </c>
      <c r="F340" s="24" t="str">
        <f t="shared" si="58"/>
        <v/>
      </c>
      <c r="G340" s="24" t="str">
        <f t="shared" si="59"/>
        <v/>
      </c>
      <c r="H340" s="24" t="str">
        <f t="shared" si="60"/>
        <v/>
      </c>
      <c r="I340" s="24" t="str">
        <f t="shared" si="61"/>
        <v/>
      </c>
      <c r="J340" s="24" t="str">
        <f t="shared" si="62"/>
        <v/>
      </c>
      <c r="K340" s="24" t="str">
        <f t="shared" si="63"/>
        <v/>
      </c>
      <c r="L340" s="24" t="str">
        <f t="shared" si="64"/>
        <v/>
      </c>
      <c r="M340" s="24" t="str">
        <f t="shared" si="65"/>
        <v/>
      </c>
    </row>
    <row r="341" spans="2:13" hidden="1" outlineLevel="1" x14ac:dyDescent="0.3">
      <c r="B341" s="24" t="str">
        <f>IF('TO HOP NLAN'!$A187="","",'TO HOP NLAN'!$A187)</f>
        <v/>
      </c>
      <c r="C341" s="24" t="str">
        <f>IF($B341="","",'TO HOP NLAN'!$D187)</f>
        <v/>
      </c>
      <c r="D341" s="24" t="str">
        <f>IF($B341="","",$C$32*ABS(IFERROR('TO HOP NLAN'!$F187,0)))</f>
        <v/>
      </c>
      <c r="E341" s="24" t="str">
        <f>IF($B341="","",$D$32*ABS(IFERROR('TO HOP NLAN'!$E187,0)))</f>
        <v/>
      </c>
      <c r="F341" s="24" t="str">
        <f t="shared" si="58"/>
        <v/>
      </c>
      <c r="G341" s="24" t="str">
        <f t="shared" si="59"/>
        <v/>
      </c>
      <c r="H341" s="24" t="str">
        <f t="shared" si="60"/>
        <v/>
      </c>
      <c r="I341" s="24" t="str">
        <f t="shared" si="61"/>
        <v/>
      </c>
      <c r="J341" s="24" t="str">
        <f t="shared" si="62"/>
        <v/>
      </c>
      <c r="K341" s="24" t="str">
        <f t="shared" si="63"/>
        <v/>
      </c>
      <c r="L341" s="24" t="str">
        <f t="shared" si="64"/>
        <v/>
      </c>
      <c r="M341" s="24" t="str">
        <f t="shared" si="65"/>
        <v/>
      </c>
    </row>
    <row r="342" spans="2:13" hidden="1" outlineLevel="1" x14ac:dyDescent="0.3">
      <c r="B342" s="24" t="str">
        <f>IF('TO HOP NLAN'!$A188="","",'TO HOP NLAN'!$A188)</f>
        <v/>
      </c>
      <c r="C342" s="24" t="str">
        <f>IF($B342="","",'TO HOP NLAN'!$D188)</f>
        <v/>
      </c>
      <c r="D342" s="24" t="str">
        <f>IF($B342="","",$C$32*ABS(IFERROR('TO HOP NLAN'!$F188,0)))</f>
        <v/>
      </c>
      <c r="E342" s="24" t="str">
        <f>IF($B342="","",$D$32*ABS(IFERROR('TO HOP NLAN'!$E188,0)))</f>
        <v/>
      </c>
      <c r="F342" s="24" t="str">
        <f t="shared" si="58"/>
        <v/>
      </c>
      <c r="G342" s="24" t="str">
        <f t="shared" si="59"/>
        <v/>
      </c>
      <c r="H342" s="24" t="str">
        <f t="shared" si="60"/>
        <v/>
      </c>
      <c r="I342" s="24" t="str">
        <f t="shared" si="61"/>
        <v/>
      </c>
      <c r="J342" s="24" t="str">
        <f t="shared" si="62"/>
        <v/>
      </c>
      <c r="K342" s="24" t="str">
        <f t="shared" si="63"/>
        <v/>
      </c>
      <c r="L342" s="24" t="str">
        <f t="shared" si="64"/>
        <v/>
      </c>
      <c r="M342" s="24" t="str">
        <f t="shared" si="65"/>
        <v/>
      </c>
    </row>
    <row r="343" spans="2:13" hidden="1" outlineLevel="1" x14ac:dyDescent="0.3">
      <c r="B343" s="24" t="str">
        <f>IF('TO HOP NLAN'!$A189="","",'TO HOP NLAN'!$A189)</f>
        <v/>
      </c>
      <c r="C343" s="24" t="str">
        <f>IF($B343="","",'TO HOP NLAN'!$D189)</f>
        <v/>
      </c>
      <c r="D343" s="24" t="str">
        <f>IF($B343="","",$C$32*ABS(IFERROR('TO HOP NLAN'!$F189,0)))</f>
        <v/>
      </c>
      <c r="E343" s="24" t="str">
        <f>IF($B343="","",$D$32*ABS(IFERROR('TO HOP NLAN'!$E189,0)))</f>
        <v/>
      </c>
      <c r="F343" s="24" t="str">
        <f t="shared" si="58"/>
        <v/>
      </c>
      <c r="G343" s="24" t="str">
        <f t="shared" si="59"/>
        <v/>
      </c>
      <c r="H343" s="24" t="str">
        <f t="shared" si="60"/>
        <v/>
      </c>
      <c r="I343" s="24" t="str">
        <f t="shared" si="61"/>
        <v/>
      </c>
      <c r="J343" s="24" t="str">
        <f t="shared" si="62"/>
        <v/>
      </c>
      <c r="K343" s="24" t="str">
        <f t="shared" si="63"/>
        <v/>
      </c>
      <c r="L343" s="24" t="str">
        <f t="shared" si="64"/>
        <v/>
      </c>
      <c r="M343" s="24" t="str">
        <f t="shared" si="65"/>
        <v/>
      </c>
    </row>
    <row r="344" spans="2:13" hidden="1" outlineLevel="1" x14ac:dyDescent="0.3">
      <c r="B344" s="24" t="str">
        <f>IF('TO HOP NLAN'!$A190="","",'TO HOP NLAN'!$A190)</f>
        <v/>
      </c>
      <c r="C344" s="24" t="str">
        <f>IF($B344="","",'TO HOP NLAN'!$D190)</f>
        <v/>
      </c>
      <c r="D344" s="24" t="str">
        <f>IF($B344="","",$C$32*ABS(IFERROR('TO HOP NLAN'!$F190,0)))</f>
        <v/>
      </c>
      <c r="E344" s="24" t="str">
        <f>IF($B344="","",$D$32*ABS(IFERROR('TO HOP NLAN'!$E190,0)))</f>
        <v/>
      </c>
      <c r="F344" s="24" t="str">
        <f t="shared" si="58"/>
        <v/>
      </c>
      <c r="G344" s="24" t="str">
        <f t="shared" si="59"/>
        <v/>
      </c>
      <c r="H344" s="24" t="str">
        <f t="shared" si="60"/>
        <v/>
      </c>
      <c r="I344" s="24" t="str">
        <f t="shared" si="61"/>
        <v/>
      </c>
      <c r="J344" s="24" t="str">
        <f t="shared" si="62"/>
        <v/>
      </c>
      <c r="K344" s="24" t="str">
        <f t="shared" si="63"/>
        <v/>
      </c>
      <c r="L344" s="24" t="str">
        <f t="shared" si="64"/>
        <v/>
      </c>
      <c r="M344" s="24" t="str">
        <f t="shared" si="65"/>
        <v/>
      </c>
    </row>
    <row r="345" spans="2:13" hidden="1" outlineLevel="1" x14ac:dyDescent="0.3">
      <c r="B345" s="24" t="str">
        <f>IF('TO HOP NLAN'!$A191="","",'TO HOP NLAN'!$A191)</f>
        <v/>
      </c>
      <c r="C345" s="24" t="str">
        <f>IF($B345="","",'TO HOP NLAN'!$D191)</f>
        <v/>
      </c>
      <c r="D345" s="24" t="str">
        <f>IF($B345="","",$C$32*ABS(IFERROR('TO HOP NLAN'!$F191,0)))</f>
        <v/>
      </c>
      <c r="E345" s="24" t="str">
        <f>IF($B345="","",$D$32*ABS(IFERROR('TO HOP NLAN'!$E191,0)))</f>
        <v/>
      </c>
      <c r="F345" s="24" t="str">
        <f t="shared" si="58"/>
        <v/>
      </c>
      <c r="G345" s="24" t="str">
        <f t="shared" si="59"/>
        <v/>
      </c>
      <c r="H345" s="24" t="str">
        <f t="shared" si="60"/>
        <v/>
      </c>
      <c r="I345" s="24" t="str">
        <f t="shared" si="61"/>
        <v/>
      </c>
      <c r="J345" s="24" t="str">
        <f t="shared" si="62"/>
        <v/>
      </c>
      <c r="K345" s="24" t="str">
        <f t="shared" si="63"/>
        <v/>
      </c>
      <c r="L345" s="24" t="str">
        <f t="shared" si="64"/>
        <v/>
      </c>
      <c r="M345" s="24" t="str">
        <f t="shared" si="65"/>
        <v/>
      </c>
    </row>
    <row r="346" spans="2:13" hidden="1" outlineLevel="1" x14ac:dyDescent="0.3">
      <c r="B346" s="24" t="str">
        <f>IF('TO HOP NLAN'!$A192="","",'TO HOP NLAN'!$A192)</f>
        <v/>
      </c>
      <c r="C346" s="24" t="str">
        <f>IF($B346="","",'TO HOP NLAN'!$D192)</f>
        <v/>
      </c>
      <c r="D346" s="24" t="str">
        <f>IF($B346="","",$C$32*ABS(IFERROR('TO HOP NLAN'!$F192,0)))</f>
        <v/>
      </c>
      <c r="E346" s="24" t="str">
        <f>IF($B346="","",$D$32*ABS(IFERROR('TO HOP NLAN'!$E192,0)))</f>
        <v/>
      </c>
      <c r="F346" s="24" t="str">
        <f t="shared" si="58"/>
        <v/>
      </c>
      <c r="G346" s="24" t="str">
        <f t="shared" si="59"/>
        <v/>
      </c>
      <c r="H346" s="24" t="str">
        <f t="shared" si="60"/>
        <v/>
      </c>
      <c r="I346" s="24" t="str">
        <f t="shared" si="61"/>
        <v/>
      </c>
      <c r="J346" s="24" t="str">
        <f t="shared" si="62"/>
        <v/>
      </c>
      <c r="K346" s="24" t="str">
        <f t="shared" si="63"/>
        <v/>
      </c>
      <c r="L346" s="24" t="str">
        <f t="shared" si="64"/>
        <v/>
      </c>
      <c r="M346" s="24" t="str">
        <f t="shared" si="65"/>
        <v/>
      </c>
    </row>
    <row r="347" spans="2:13" hidden="1" outlineLevel="1" x14ac:dyDescent="0.3">
      <c r="B347" s="24" t="str">
        <f>IF('TO HOP NLAN'!$A193="","",'TO HOP NLAN'!$A193)</f>
        <v/>
      </c>
      <c r="C347" s="24" t="str">
        <f>IF($B347="","",'TO HOP NLAN'!$D193)</f>
        <v/>
      </c>
      <c r="D347" s="24" t="str">
        <f>IF($B347="","",$C$32*ABS(IFERROR('TO HOP NLAN'!$F193,0)))</f>
        <v/>
      </c>
      <c r="E347" s="24" t="str">
        <f>IF($B347="","",$D$32*ABS(IFERROR('TO HOP NLAN'!$E193,0)))</f>
        <v/>
      </c>
      <c r="F347" s="24" t="str">
        <f t="shared" si="58"/>
        <v/>
      </c>
      <c r="G347" s="24" t="str">
        <f t="shared" si="59"/>
        <v/>
      </c>
      <c r="H347" s="24" t="str">
        <f t="shared" si="60"/>
        <v/>
      </c>
      <c r="I347" s="24" t="str">
        <f t="shared" si="61"/>
        <v/>
      </c>
      <c r="J347" s="24" t="str">
        <f t="shared" si="62"/>
        <v/>
      </c>
      <c r="K347" s="24" t="str">
        <f t="shared" si="63"/>
        <v/>
      </c>
      <c r="L347" s="24" t="str">
        <f t="shared" si="64"/>
        <v/>
      </c>
      <c r="M347" s="24" t="str">
        <f t="shared" si="65"/>
        <v/>
      </c>
    </row>
    <row r="348" spans="2:13" hidden="1" outlineLevel="1" x14ac:dyDescent="0.3">
      <c r="B348" s="24" t="str">
        <f>IF('TO HOP NLAN'!$A194="","",'TO HOP NLAN'!$A194)</f>
        <v/>
      </c>
      <c r="C348" s="24" t="str">
        <f>IF($B348="","",'TO HOP NLAN'!$D194)</f>
        <v/>
      </c>
      <c r="D348" s="24" t="str">
        <f>IF($B348="","",$C$32*ABS(IFERROR('TO HOP NLAN'!$F194,0)))</f>
        <v/>
      </c>
      <c r="E348" s="24" t="str">
        <f>IF($B348="","",$D$32*ABS(IFERROR('TO HOP NLAN'!$E194,0)))</f>
        <v/>
      </c>
      <c r="F348" s="24" t="str">
        <f t="shared" si="58"/>
        <v/>
      </c>
      <c r="G348" s="24" t="str">
        <f t="shared" si="59"/>
        <v/>
      </c>
      <c r="H348" s="24" t="str">
        <f t="shared" si="60"/>
        <v/>
      </c>
      <c r="I348" s="24" t="str">
        <f t="shared" si="61"/>
        <v/>
      </c>
      <c r="J348" s="24" t="str">
        <f t="shared" si="62"/>
        <v/>
      </c>
      <c r="K348" s="24" t="str">
        <f t="shared" si="63"/>
        <v/>
      </c>
      <c r="L348" s="24" t="str">
        <f t="shared" si="64"/>
        <v/>
      </c>
      <c r="M348" s="24" t="str">
        <f t="shared" si="65"/>
        <v/>
      </c>
    </row>
    <row r="349" spans="2:13" hidden="1" outlineLevel="1" x14ac:dyDescent="0.3">
      <c r="B349" s="24" t="str">
        <f>IF('TO HOP NLAN'!$A195="","",'TO HOP NLAN'!$A195)</f>
        <v/>
      </c>
      <c r="C349" s="24" t="str">
        <f>IF($B349="","",'TO HOP NLAN'!$D195)</f>
        <v/>
      </c>
      <c r="D349" s="24" t="str">
        <f>IF($B349="","",$C$32*ABS(IFERROR('TO HOP NLAN'!$F195,0)))</f>
        <v/>
      </c>
      <c r="E349" s="24" t="str">
        <f>IF($B349="","",$D$32*ABS(IFERROR('TO HOP NLAN'!$E195,0)))</f>
        <v/>
      </c>
      <c r="F349" s="24" t="str">
        <f t="shared" si="58"/>
        <v/>
      </c>
      <c r="G349" s="24" t="str">
        <f t="shared" si="59"/>
        <v/>
      </c>
      <c r="H349" s="24" t="str">
        <f t="shared" si="60"/>
        <v/>
      </c>
      <c r="I349" s="24" t="str">
        <f t="shared" si="61"/>
        <v/>
      </c>
      <c r="J349" s="24" t="str">
        <f t="shared" si="62"/>
        <v/>
      </c>
      <c r="K349" s="24" t="str">
        <f t="shared" si="63"/>
        <v/>
      </c>
      <c r="L349" s="24" t="str">
        <f t="shared" si="64"/>
        <v/>
      </c>
      <c r="M349" s="24" t="str">
        <f t="shared" si="65"/>
        <v/>
      </c>
    </row>
    <row r="350" spans="2:13" hidden="1" outlineLevel="1" x14ac:dyDescent="0.3">
      <c r="B350" s="24" t="str">
        <f>IF('TO HOP NLAN'!$A196="","",'TO HOP NLAN'!$A196)</f>
        <v/>
      </c>
      <c r="C350" s="24" t="str">
        <f>IF($B350="","",'TO HOP NLAN'!$D196)</f>
        <v/>
      </c>
      <c r="D350" s="24" t="str">
        <f>IF($B350="","",$C$32*ABS(IFERROR('TO HOP NLAN'!$F196,0)))</f>
        <v/>
      </c>
      <c r="E350" s="24" t="str">
        <f>IF($B350="","",$D$32*ABS(IFERROR('TO HOP NLAN'!$E196,0)))</f>
        <v/>
      </c>
      <c r="F350" s="24" t="str">
        <f t="shared" si="58"/>
        <v/>
      </c>
      <c r="G350" s="24" t="str">
        <f t="shared" si="59"/>
        <v/>
      </c>
      <c r="H350" s="24" t="str">
        <f t="shared" si="60"/>
        <v/>
      </c>
      <c r="I350" s="24" t="str">
        <f t="shared" si="61"/>
        <v/>
      </c>
      <c r="J350" s="24" t="str">
        <f t="shared" si="62"/>
        <v/>
      </c>
      <c r="K350" s="24" t="str">
        <f t="shared" si="63"/>
        <v/>
      </c>
      <c r="L350" s="24" t="str">
        <f t="shared" si="64"/>
        <v/>
      </c>
      <c r="M350" s="24" t="str">
        <f t="shared" si="65"/>
        <v/>
      </c>
    </row>
    <row r="351" spans="2:13" hidden="1" outlineLevel="1" x14ac:dyDescent="0.3">
      <c r="B351" s="24" t="str">
        <f>IF('TO HOP NLAN'!$A197="","",'TO HOP NLAN'!$A197)</f>
        <v/>
      </c>
      <c r="C351" s="24" t="str">
        <f>IF($B351="","",'TO HOP NLAN'!$D197)</f>
        <v/>
      </c>
      <c r="D351" s="24" t="str">
        <f>IF($B351="","",$C$32*ABS(IFERROR('TO HOP NLAN'!$F197,0)))</f>
        <v/>
      </c>
      <c r="E351" s="24" t="str">
        <f>IF($B351="","",$D$32*ABS(IFERROR('TO HOP NLAN'!$E197,0)))</f>
        <v/>
      </c>
      <c r="F351" s="24" t="str">
        <f t="shared" si="58"/>
        <v/>
      </c>
      <c r="G351" s="24" t="str">
        <f t="shared" si="59"/>
        <v/>
      </c>
      <c r="H351" s="24" t="str">
        <f t="shared" si="60"/>
        <v/>
      </c>
      <c r="I351" s="24" t="str">
        <f t="shared" si="61"/>
        <v/>
      </c>
      <c r="J351" s="24" t="str">
        <f t="shared" si="62"/>
        <v/>
      </c>
      <c r="K351" s="24" t="str">
        <f t="shared" si="63"/>
        <v/>
      </c>
      <c r="L351" s="24" t="str">
        <f t="shared" si="64"/>
        <v/>
      </c>
      <c r="M351" s="24" t="str">
        <f t="shared" si="65"/>
        <v/>
      </c>
    </row>
    <row r="352" spans="2:13" hidden="1" outlineLevel="1" x14ac:dyDescent="0.3">
      <c r="B352" s="24" t="str">
        <f>IF('TO HOP NLAN'!$A198="","",'TO HOP NLAN'!$A198)</f>
        <v/>
      </c>
      <c r="C352" s="24" t="str">
        <f>IF($B352="","",'TO HOP NLAN'!$D198)</f>
        <v/>
      </c>
      <c r="D352" s="24" t="str">
        <f>IF($B352="","",$C$32*ABS(IFERROR('TO HOP NLAN'!$F198,0)))</f>
        <v/>
      </c>
      <c r="E352" s="24" t="str">
        <f>IF($B352="","",$D$32*ABS(IFERROR('TO HOP NLAN'!$E198,0)))</f>
        <v/>
      </c>
      <c r="F352" s="24" t="str">
        <f t="shared" si="58"/>
        <v/>
      </c>
      <c r="G352" s="24" t="str">
        <f t="shared" si="59"/>
        <v/>
      </c>
      <c r="H352" s="24" t="str">
        <f t="shared" si="60"/>
        <v/>
      </c>
      <c r="I352" s="24" t="str">
        <f t="shared" si="61"/>
        <v/>
      </c>
      <c r="J352" s="24" t="str">
        <f t="shared" si="62"/>
        <v/>
      </c>
      <c r="K352" s="24" t="str">
        <f t="shared" si="63"/>
        <v/>
      </c>
      <c r="L352" s="24" t="str">
        <f t="shared" si="64"/>
        <v/>
      </c>
      <c r="M352" s="24" t="str">
        <f t="shared" si="65"/>
        <v/>
      </c>
    </row>
    <row r="353" spans="2:13" hidden="1" outlineLevel="1" x14ac:dyDescent="0.3">
      <c r="B353" s="24" t="str">
        <f>IF('TO HOP NLAN'!$A199="","",'TO HOP NLAN'!$A199)</f>
        <v/>
      </c>
      <c r="C353" s="24" t="str">
        <f>IF($B353="","",'TO HOP NLAN'!$D199)</f>
        <v/>
      </c>
      <c r="D353" s="24" t="str">
        <f>IF($B353="","",$C$32*ABS(IFERROR('TO HOP NLAN'!$F199,0)))</f>
        <v/>
      </c>
      <c r="E353" s="24" t="str">
        <f>IF($B353="","",$D$32*ABS(IFERROR('TO HOP NLAN'!$E199,0)))</f>
        <v/>
      </c>
      <c r="F353" s="24" t="str">
        <f t="shared" ref="F353:F416" si="66">IF($B353="","",MAX(0.001,D353/MAX(1,C353)))</f>
        <v/>
      </c>
      <c r="G353" s="24" t="str">
        <f t="shared" ref="G353:G416" si="67">IF($B353="","",MAX(0.001,E353/MAX(1,C353)))</f>
        <v/>
      </c>
      <c r="H353" s="24" t="str">
        <f t="shared" ref="H353:H416" si="68">IF($B353="","",IF(F353&lt;=0.000000001,MIN(0.8*0.75*$C$62,MAX($J$38:$J$58)),IFERROR(MIN(0.8*0.75*$C$62,INDEX($J$38:$J$58,MATCH(F353,$L$38:$L$58,-1))+(INDEX($J$38:$J$58,MIN(21,MATCH(F353,$L$38:$L$58,-1)+1))-INDEX($J$38:$J$58,MATCH(F353,$L$38:$L$58,-1)))*(F353-INDEX($L$38:$L$58,MATCH(F353,$L$38:$L$58,-1)))/(INDEX($L$38:$L$58,MIN(21,MATCH(F353,$L$38:$L$58,-1)+1))-INDEX($L$38:$L$58,MATCH(F353,$L$38:$L$58,-1)))),$C$68/F353)))</f>
        <v/>
      </c>
      <c r="I353" s="24" t="str">
        <f t="shared" ref="I353:I416" si="69">IF($B353="","",IF(G353&lt;=0.000000001,MIN(0.8*0.75*$C$62,MAX($W$38:$W$58)),IFERROR(MIN(0.8*0.75*$C$62,INDEX($W$38:$W$58,MATCH(G353,$Y$38:$Y$58,-1))+(INDEX($W$38:$W$58,MIN(21,MATCH(G353,$Y$38:$Y$58,-1)+1))-INDEX($W$38:$W$58,MATCH(G353,$Y$38:$Y$58,-1)))*(G353-INDEX($Y$38:$Y$58,MATCH(G353,$Y$38:$Y$58,-1)))/(INDEX($Y$38:$Y$58,MIN(21,MATCH(G353,$Y$38:$Y$58,-1)+1))-INDEX($Y$38:$Y$58,MATCH(G353,$Y$38:$Y$58,-1)))),$D$68/G353)))</f>
        <v/>
      </c>
      <c r="J353" s="24" t="str">
        <f t="shared" ref="J353:J416" si="70">IF($B353="","",IFERROR(1/(1/H353+1/I353-1/(0.75*$C$62)),0))</f>
        <v/>
      </c>
      <c r="K353" s="24" t="str">
        <f t="shared" ref="K353:K416" si="71">IF($B353="","",D353/MAX($C$68,0.001)+E353/MAX($D$68,0.001))</f>
        <v/>
      </c>
      <c r="L353" s="24" t="str">
        <f t="shared" ref="L353:L416" si="72">IF($B353="","",IF(C353&gt;=0.1*0.75*fc_*Agth*1000,C353/MAX(J353,0.001),K353))</f>
        <v/>
      </c>
      <c r="M353" s="24" t="str">
        <f t="shared" ref="M353:M416" si="73">IF($B353="","",IF(L353&lt;=1,"ĐẠT","KHÔNG ĐẠT"))</f>
        <v/>
      </c>
    </row>
    <row r="354" spans="2:13" hidden="1" outlineLevel="1" x14ac:dyDescent="0.3">
      <c r="B354" s="24" t="str">
        <f>IF('TO HOP NLAN'!$A200="","",'TO HOP NLAN'!$A200)</f>
        <v/>
      </c>
      <c r="C354" s="24" t="str">
        <f>IF($B354="","",'TO HOP NLAN'!$D200)</f>
        <v/>
      </c>
      <c r="D354" s="24" t="str">
        <f>IF($B354="","",$C$32*ABS(IFERROR('TO HOP NLAN'!$F200,0)))</f>
        <v/>
      </c>
      <c r="E354" s="24" t="str">
        <f>IF($B354="","",$D$32*ABS(IFERROR('TO HOP NLAN'!$E200,0)))</f>
        <v/>
      </c>
      <c r="F354" s="24" t="str">
        <f t="shared" si="66"/>
        <v/>
      </c>
      <c r="G354" s="24" t="str">
        <f t="shared" si="67"/>
        <v/>
      </c>
      <c r="H354" s="24" t="str">
        <f t="shared" si="68"/>
        <v/>
      </c>
      <c r="I354" s="24" t="str">
        <f t="shared" si="69"/>
        <v/>
      </c>
      <c r="J354" s="24" t="str">
        <f t="shared" si="70"/>
        <v/>
      </c>
      <c r="K354" s="24" t="str">
        <f t="shared" si="71"/>
        <v/>
      </c>
      <c r="L354" s="24" t="str">
        <f t="shared" si="72"/>
        <v/>
      </c>
      <c r="M354" s="24" t="str">
        <f t="shared" si="73"/>
        <v/>
      </c>
    </row>
    <row r="355" spans="2:13" hidden="1" outlineLevel="1" x14ac:dyDescent="0.3">
      <c r="B355" s="24" t="str">
        <f>IF('TO HOP NLAN'!$A201="","",'TO HOP NLAN'!$A201)</f>
        <v/>
      </c>
      <c r="C355" s="24" t="str">
        <f>IF($B355="","",'TO HOP NLAN'!$D201)</f>
        <v/>
      </c>
      <c r="D355" s="24" t="str">
        <f>IF($B355="","",$C$32*ABS(IFERROR('TO HOP NLAN'!$F201,0)))</f>
        <v/>
      </c>
      <c r="E355" s="24" t="str">
        <f>IF($B355="","",$D$32*ABS(IFERROR('TO HOP NLAN'!$E201,0)))</f>
        <v/>
      </c>
      <c r="F355" s="24" t="str">
        <f t="shared" si="66"/>
        <v/>
      </c>
      <c r="G355" s="24" t="str">
        <f t="shared" si="67"/>
        <v/>
      </c>
      <c r="H355" s="24" t="str">
        <f t="shared" si="68"/>
        <v/>
      </c>
      <c r="I355" s="24" t="str">
        <f t="shared" si="69"/>
        <v/>
      </c>
      <c r="J355" s="24" t="str">
        <f t="shared" si="70"/>
        <v/>
      </c>
      <c r="K355" s="24" t="str">
        <f t="shared" si="71"/>
        <v/>
      </c>
      <c r="L355" s="24" t="str">
        <f t="shared" si="72"/>
        <v/>
      </c>
      <c r="M355" s="24" t="str">
        <f t="shared" si="73"/>
        <v/>
      </c>
    </row>
    <row r="356" spans="2:13" hidden="1" outlineLevel="1" x14ac:dyDescent="0.3">
      <c r="B356" s="24" t="str">
        <f>IF('TO HOP NLAN'!$A202="","",'TO HOP NLAN'!$A202)</f>
        <v/>
      </c>
      <c r="C356" s="24" t="str">
        <f>IF($B356="","",'TO HOP NLAN'!$D202)</f>
        <v/>
      </c>
      <c r="D356" s="24" t="str">
        <f>IF($B356="","",$C$32*ABS(IFERROR('TO HOP NLAN'!$F202,0)))</f>
        <v/>
      </c>
      <c r="E356" s="24" t="str">
        <f>IF($B356="","",$D$32*ABS(IFERROR('TO HOP NLAN'!$E202,0)))</f>
        <v/>
      </c>
      <c r="F356" s="24" t="str">
        <f t="shared" si="66"/>
        <v/>
      </c>
      <c r="G356" s="24" t="str">
        <f t="shared" si="67"/>
        <v/>
      </c>
      <c r="H356" s="24" t="str">
        <f t="shared" si="68"/>
        <v/>
      </c>
      <c r="I356" s="24" t="str">
        <f t="shared" si="69"/>
        <v/>
      </c>
      <c r="J356" s="24" t="str">
        <f t="shared" si="70"/>
        <v/>
      </c>
      <c r="K356" s="24" t="str">
        <f t="shared" si="71"/>
        <v/>
      </c>
      <c r="L356" s="24" t="str">
        <f t="shared" si="72"/>
        <v/>
      </c>
      <c r="M356" s="24" t="str">
        <f t="shared" si="73"/>
        <v/>
      </c>
    </row>
    <row r="357" spans="2:13" hidden="1" outlineLevel="1" x14ac:dyDescent="0.3">
      <c r="B357" s="24" t="str">
        <f>IF('TO HOP NLAN'!$A203="","",'TO HOP NLAN'!$A203)</f>
        <v/>
      </c>
      <c r="C357" s="24" t="str">
        <f>IF($B357="","",'TO HOP NLAN'!$D203)</f>
        <v/>
      </c>
      <c r="D357" s="24" t="str">
        <f>IF($B357="","",$C$32*ABS(IFERROR('TO HOP NLAN'!$F203,0)))</f>
        <v/>
      </c>
      <c r="E357" s="24" t="str">
        <f>IF($B357="","",$D$32*ABS(IFERROR('TO HOP NLAN'!$E203,0)))</f>
        <v/>
      </c>
      <c r="F357" s="24" t="str">
        <f t="shared" si="66"/>
        <v/>
      </c>
      <c r="G357" s="24" t="str">
        <f t="shared" si="67"/>
        <v/>
      </c>
      <c r="H357" s="24" t="str">
        <f t="shared" si="68"/>
        <v/>
      </c>
      <c r="I357" s="24" t="str">
        <f t="shared" si="69"/>
        <v/>
      </c>
      <c r="J357" s="24" t="str">
        <f t="shared" si="70"/>
        <v/>
      </c>
      <c r="K357" s="24" t="str">
        <f t="shared" si="71"/>
        <v/>
      </c>
      <c r="L357" s="24" t="str">
        <f t="shared" si="72"/>
        <v/>
      </c>
      <c r="M357" s="24" t="str">
        <f t="shared" si="73"/>
        <v/>
      </c>
    </row>
    <row r="358" spans="2:13" hidden="1" outlineLevel="1" x14ac:dyDescent="0.3">
      <c r="B358" s="24" t="str">
        <f>IF('TO HOP NLAN'!$A204="","",'TO HOP NLAN'!$A204)</f>
        <v/>
      </c>
      <c r="C358" s="24" t="str">
        <f>IF($B358="","",'TO HOP NLAN'!$D204)</f>
        <v/>
      </c>
      <c r="D358" s="24" t="str">
        <f>IF($B358="","",$C$32*ABS(IFERROR('TO HOP NLAN'!$F204,0)))</f>
        <v/>
      </c>
      <c r="E358" s="24" t="str">
        <f>IF($B358="","",$D$32*ABS(IFERROR('TO HOP NLAN'!$E204,0)))</f>
        <v/>
      </c>
      <c r="F358" s="24" t="str">
        <f t="shared" si="66"/>
        <v/>
      </c>
      <c r="G358" s="24" t="str">
        <f t="shared" si="67"/>
        <v/>
      </c>
      <c r="H358" s="24" t="str">
        <f t="shared" si="68"/>
        <v/>
      </c>
      <c r="I358" s="24" t="str">
        <f t="shared" si="69"/>
        <v/>
      </c>
      <c r="J358" s="24" t="str">
        <f t="shared" si="70"/>
        <v/>
      </c>
      <c r="K358" s="24" t="str">
        <f t="shared" si="71"/>
        <v/>
      </c>
      <c r="L358" s="24" t="str">
        <f t="shared" si="72"/>
        <v/>
      </c>
      <c r="M358" s="24" t="str">
        <f t="shared" si="73"/>
        <v/>
      </c>
    </row>
    <row r="359" spans="2:13" hidden="1" outlineLevel="1" x14ac:dyDescent="0.3">
      <c r="B359" s="24" t="str">
        <f>IF('TO HOP NLAN'!$A205="","",'TO HOP NLAN'!$A205)</f>
        <v/>
      </c>
      <c r="C359" s="24" t="str">
        <f>IF($B359="","",'TO HOP NLAN'!$D205)</f>
        <v/>
      </c>
      <c r="D359" s="24" t="str">
        <f>IF($B359="","",$C$32*ABS(IFERROR('TO HOP NLAN'!$F205,0)))</f>
        <v/>
      </c>
      <c r="E359" s="24" t="str">
        <f>IF($B359="","",$D$32*ABS(IFERROR('TO HOP NLAN'!$E205,0)))</f>
        <v/>
      </c>
      <c r="F359" s="24" t="str">
        <f t="shared" si="66"/>
        <v/>
      </c>
      <c r="G359" s="24" t="str">
        <f t="shared" si="67"/>
        <v/>
      </c>
      <c r="H359" s="24" t="str">
        <f t="shared" si="68"/>
        <v/>
      </c>
      <c r="I359" s="24" t="str">
        <f t="shared" si="69"/>
        <v/>
      </c>
      <c r="J359" s="24" t="str">
        <f t="shared" si="70"/>
        <v/>
      </c>
      <c r="K359" s="24" t="str">
        <f t="shared" si="71"/>
        <v/>
      </c>
      <c r="L359" s="24" t="str">
        <f t="shared" si="72"/>
        <v/>
      </c>
      <c r="M359" s="24" t="str">
        <f t="shared" si="73"/>
        <v/>
      </c>
    </row>
    <row r="360" spans="2:13" hidden="1" outlineLevel="1" x14ac:dyDescent="0.3">
      <c r="B360" s="24" t="str">
        <f>IF('TO HOP NLAN'!$A206="","",'TO HOP NLAN'!$A206)</f>
        <v/>
      </c>
      <c r="C360" s="24" t="str">
        <f>IF($B360="","",'TO HOP NLAN'!$D206)</f>
        <v/>
      </c>
      <c r="D360" s="24" t="str">
        <f>IF($B360="","",$C$32*ABS(IFERROR('TO HOP NLAN'!$F206,0)))</f>
        <v/>
      </c>
      <c r="E360" s="24" t="str">
        <f>IF($B360="","",$D$32*ABS(IFERROR('TO HOP NLAN'!$E206,0)))</f>
        <v/>
      </c>
      <c r="F360" s="24" t="str">
        <f t="shared" si="66"/>
        <v/>
      </c>
      <c r="G360" s="24" t="str">
        <f t="shared" si="67"/>
        <v/>
      </c>
      <c r="H360" s="24" t="str">
        <f t="shared" si="68"/>
        <v/>
      </c>
      <c r="I360" s="24" t="str">
        <f t="shared" si="69"/>
        <v/>
      </c>
      <c r="J360" s="24" t="str">
        <f t="shared" si="70"/>
        <v/>
      </c>
      <c r="K360" s="24" t="str">
        <f t="shared" si="71"/>
        <v/>
      </c>
      <c r="L360" s="24" t="str">
        <f t="shared" si="72"/>
        <v/>
      </c>
      <c r="M360" s="24" t="str">
        <f t="shared" si="73"/>
        <v/>
      </c>
    </row>
    <row r="361" spans="2:13" hidden="1" outlineLevel="1" x14ac:dyDescent="0.3">
      <c r="B361" s="24" t="str">
        <f>IF('TO HOP NLAN'!$A207="","",'TO HOP NLAN'!$A207)</f>
        <v/>
      </c>
      <c r="C361" s="24" t="str">
        <f>IF($B361="","",'TO HOP NLAN'!$D207)</f>
        <v/>
      </c>
      <c r="D361" s="24" t="str">
        <f>IF($B361="","",$C$32*ABS(IFERROR('TO HOP NLAN'!$F207,0)))</f>
        <v/>
      </c>
      <c r="E361" s="24" t="str">
        <f>IF($B361="","",$D$32*ABS(IFERROR('TO HOP NLAN'!$E207,0)))</f>
        <v/>
      </c>
      <c r="F361" s="24" t="str">
        <f t="shared" si="66"/>
        <v/>
      </c>
      <c r="G361" s="24" t="str">
        <f t="shared" si="67"/>
        <v/>
      </c>
      <c r="H361" s="24" t="str">
        <f t="shared" si="68"/>
        <v/>
      </c>
      <c r="I361" s="24" t="str">
        <f t="shared" si="69"/>
        <v/>
      </c>
      <c r="J361" s="24" t="str">
        <f t="shared" si="70"/>
        <v/>
      </c>
      <c r="K361" s="24" t="str">
        <f t="shared" si="71"/>
        <v/>
      </c>
      <c r="L361" s="24" t="str">
        <f t="shared" si="72"/>
        <v/>
      </c>
      <c r="M361" s="24" t="str">
        <f t="shared" si="73"/>
        <v/>
      </c>
    </row>
    <row r="362" spans="2:13" hidden="1" outlineLevel="1" x14ac:dyDescent="0.3">
      <c r="B362" s="24" t="str">
        <f>IF('TO HOP NLAN'!$A208="","",'TO HOP NLAN'!$A208)</f>
        <v/>
      </c>
      <c r="C362" s="24" t="str">
        <f>IF($B362="","",'TO HOP NLAN'!$D208)</f>
        <v/>
      </c>
      <c r="D362" s="24" t="str">
        <f>IF($B362="","",$C$32*ABS(IFERROR('TO HOP NLAN'!$F208,0)))</f>
        <v/>
      </c>
      <c r="E362" s="24" t="str">
        <f>IF($B362="","",$D$32*ABS(IFERROR('TO HOP NLAN'!$E208,0)))</f>
        <v/>
      </c>
      <c r="F362" s="24" t="str">
        <f t="shared" si="66"/>
        <v/>
      </c>
      <c r="G362" s="24" t="str">
        <f t="shared" si="67"/>
        <v/>
      </c>
      <c r="H362" s="24" t="str">
        <f t="shared" si="68"/>
        <v/>
      </c>
      <c r="I362" s="24" t="str">
        <f t="shared" si="69"/>
        <v/>
      </c>
      <c r="J362" s="24" t="str">
        <f t="shared" si="70"/>
        <v/>
      </c>
      <c r="K362" s="24" t="str">
        <f t="shared" si="71"/>
        <v/>
      </c>
      <c r="L362" s="24" t="str">
        <f t="shared" si="72"/>
        <v/>
      </c>
      <c r="M362" s="24" t="str">
        <f t="shared" si="73"/>
        <v/>
      </c>
    </row>
    <row r="363" spans="2:13" hidden="1" outlineLevel="1" x14ac:dyDescent="0.3">
      <c r="B363" s="24" t="str">
        <f>IF('TO HOP NLAN'!$A209="","",'TO HOP NLAN'!$A209)</f>
        <v/>
      </c>
      <c r="C363" s="24" t="str">
        <f>IF($B363="","",'TO HOP NLAN'!$D209)</f>
        <v/>
      </c>
      <c r="D363" s="24" t="str">
        <f>IF($B363="","",$C$32*ABS(IFERROR('TO HOP NLAN'!$F209,0)))</f>
        <v/>
      </c>
      <c r="E363" s="24" t="str">
        <f>IF($B363="","",$D$32*ABS(IFERROR('TO HOP NLAN'!$E209,0)))</f>
        <v/>
      </c>
      <c r="F363" s="24" t="str">
        <f t="shared" si="66"/>
        <v/>
      </c>
      <c r="G363" s="24" t="str">
        <f t="shared" si="67"/>
        <v/>
      </c>
      <c r="H363" s="24" t="str">
        <f t="shared" si="68"/>
        <v/>
      </c>
      <c r="I363" s="24" t="str">
        <f t="shared" si="69"/>
        <v/>
      </c>
      <c r="J363" s="24" t="str">
        <f t="shared" si="70"/>
        <v/>
      </c>
      <c r="K363" s="24" t="str">
        <f t="shared" si="71"/>
        <v/>
      </c>
      <c r="L363" s="24" t="str">
        <f t="shared" si="72"/>
        <v/>
      </c>
      <c r="M363" s="24" t="str">
        <f t="shared" si="73"/>
        <v/>
      </c>
    </row>
    <row r="364" spans="2:13" hidden="1" outlineLevel="1" x14ac:dyDescent="0.3">
      <c r="B364" s="24" t="str">
        <f>IF('TO HOP NLAN'!$A210="","",'TO HOP NLAN'!$A210)</f>
        <v/>
      </c>
      <c r="C364" s="24" t="str">
        <f>IF($B364="","",'TO HOP NLAN'!$D210)</f>
        <v/>
      </c>
      <c r="D364" s="24" t="str">
        <f>IF($B364="","",$C$32*ABS(IFERROR('TO HOP NLAN'!$F210,0)))</f>
        <v/>
      </c>
      <c r="E364" s="24" t="str">
        <f>IF($B364="","",$D$32*ABS(IFERROR('TO HOP NLAN'!$E210,0)))</f>
        <v/>
      </c>
      <c r="F364" s="24" t="str">
        <f t="shared" si="66"/>
        <v/>
      </c>
      <c r="G364" s="24" t="str">
        <f t="shared" si="67"/>
        <v/>
      </c>
      <c r="H364" s="24" t="str">
        <f t="shared" si="68"/>
        <v/>
      </c>
      <c r="I364" s="24" t="str">
        <f t="shared" si="69"/>
        <v/>
      </c>
      <c r="J364" s="24" t="str">
        <f t="shared" si="70"/>
        <v/>
      </c>
      <c r="K364" s="24" t="str">
        <f t="shared" si="71"/>
        <v/>
      </c>
      <c r="L364" s="24" t="str">
        <f t="shared" si="72"/>
        <v/>
      </c>
      <c r="M364" s="24" t="str">
        <f t="shared" si="73"/>
        <v/>
      </c>
    </row>
    <row r="365" spans="2:13" hidden="1" outlineLevel="1" x14ac:dyDescent="0.3">
      <c r="B365" s="24" t="str">
        <f>IF('TO HOP NLAN'!$A211="","",'TO HOP NLAN'!$A211)</f>
        <v/>
      </c>
      <c r="C365" s="24" t="str">
        <f>IF($B365="","",'TO HOP NLAN'!$D211)</f>
        <v/>
      </c>
      <c r="D365" s="24" t="str">
        <f>IF($B365="","",$C$32*ABS(IFERROR('TO HOP NLAN'!$F211,0)))</f>
        <v/>
      </c>
      <c r="E365" s="24" t="str">
        <f>IF($B365="","",$D$32*ABS(IFERROR('TO HOP NLAN'!$E211,0)))</f>
        <v/>
      </c>
      <c r="F365" s="24" t="str">
        <f t="shared" si="66"/>
        <v/>
      </c>
      <c r="G365" s="24" t="str">
        <f t="shared" si="67"/>
        <v/>
      </c>
      <c r="H365" s="24" t="str">
        <f t="shared" si="68"/>
        <v/>
      </c>
      <c r="I365" s="24" t="str">
        <f t="shared" si="69"/>
        <v/>
      </c>
      <c r="J365" s="24" t="str">
        <f t="shared" si="70"/>
        <v/>
      </c>
      <c r="K365" s="24" t="str">
        <f t="shared" si="71"/>
        <v/>
      </c>
      <c r="L365" s="24" t="str">
        <f t="shared" si="72"/>
        <v/>
      </c>
      <c r="M365" s="24" t="str">
        <f t="shared" si="73"/>
        <v/>
      </c>
    </row>
    <row r="366" spans="2:13" hidden="1" outlineLevel="1" x14ac:dyDescent="0.3">
      <c r="B366" s="24" t="str">
        <f>IF('TO HOP NLAN'!$A212="","",'TO HOP NLAN'!$A212)</f>
        <v/>
      </c>
      <c r="C366" s="24" t="str">
        <f>IF($B366="","",'TO HOP NLAN'!$D212)</f>
        <v/>
      </c>
      <c r="D366" s="24" t="str">
        <f>IF($B366="","",$C$32*ABS(IFERROR('TO HOP NLAN'!$F212,0)))</f>
        <v/>
      </c>
      <c r="E366" s="24" t="str">
        <f>IF($B366="","",$D$32*ABS(IFERROR('TO HOP NLAN'!$E212,0)))</f>
        <v/>
      </c>
      <c r="F366" s="24" t="str">
        <f t="shared" si="66"/>
        <v/>
      </c>
      <c r="G366" s="24" t="str">
        <f t="shared" si="67"/>
        <v/>
      </c>
      <c r="H366" s="24" t="str">
        <f t="shared" si="68"/>
        <v/>
      </c>
      <c r="I366" s="24" t="str">
        <f t="shared" si="69"/>
        <v/>
      </c>
      <c r="J366" s="24" t="str">
        <f t="shared" si="70"/>
        <v/>
      </c>
      <c r="K366" s="24" t="str">
        <f t="shared" si="71"/>
        <v/>
      </c>
      <c r="L366" s="24" t="str">
        <f t="shared" si="72"/>
        <v/>
      </c>
      <c r="M366" s="24" t="str">
        <f t="shared" si="73"/>
        <v/>
      </c>
    </row>
    <row r="367" spans="2:13" hidden="1" outlineLevel="1" x14ac:dyDescent="0.3">
      <c r="B367" s="24" t="str">
        <f>IF('TO HOP NLAN'!$A213="","",'TO HOP NLAN'!$A213)</f>
        <v/>
      </c>
      <c r="C367" s="24" t="str">
        <f>IF($B367="","",'TO HOP NLAN'!$D213)</f>
        <v/>
      </c>
      <c r="D367" s="24" t="str">
        <f>IF($B367="","",$C$32*ABS(IFERROR('TO HOP NLAN'!$F213,0)))</f>
        <v/>
      </c>
      <c r="E367" s="24" t="str">
        <f>IF($B367="","",$D$32*ABS(IFERROR('TO HOP NLAN'!$E213,0)))</f>
        <v/>
      </c>
      <c r="F367" s="24" t="str">
        <f t="shared" si="66"/>
        <v/>
      </c>
      <c r="G367" s="24" t="str">
        <f t="shared" si="67"/>
        <v/>
      </c>
      <c r="H367" s="24" t="str">
        <f t="shared" si="68"/>
        <v/>
      </c>
      <c r="I367" s="24" t="str">
        <f t="shared" si="69"/>
        <v/>
      </c>
      <c r="J367" s="24" t="str">
        <f t="shared" si="70"/>
        <v/>
      </c>
      <c r="K367" s="24" t="str">
        <f t="shared" si="71"/>
        <v/>
      </c>
      <c r="L367" s="24" t="str">
        <f t="shared" si="72"/>
        <v/>
      </c>
      <c r="M367" s="24" t="str">
        <f t="shared" si="73"/>
        <v/>
      </c>
    </row>
    <row r="368" spans="2:13" hidden="1" outlineLevel="1" x14ac:dyDescent="0.3">
      <c r="B368" s="24" t="str">
        <f>IF('TO HOP NLAN'!$A214="","",'TO HOP NLAN'!$A214)</f>
        <v/>
      </c>
      <c r="C368" s="24" t="str">
        <f>IF($B368="","",'TO HOP NLAN'!$D214)</f>
        <v/>
      </c>
      <c r="D368" s="24" t="str">
        <f>IF($B368="","",$C$32*ABS(IFERROR('TO HOP NLAN'!$F214,0)))</f>
        <v/>
      </c>
      <c r="E368" s="24" t="str">
        <f>IF($B368="","",$D$32*ABS(IFERROR('TO HOP NLAN'!$E214,0)))</f>
        <v/>
      </c>
      <c r="F368" s="24" t="str">
        <f t="shared" si="66"/>
        <v/>
      </c>
      <c r="G368" s="24" t="str">
        <f t="shared" si="67"/>
        <v/>
      </c>
      <c r="H368" s="24" t="str">
        <f t="shared" si="68"/>
        <v/>
      </c>
      <c r="I368" s="24" t="str">
        <f t="shared" si="69"/>
        <v/>
      </c>
      <c r="J368" s="24" t="str">
        <f t="shared" si="70"/>
        <v/>
      </c>
      <c r="K368" s="24" t="str">
        <f t="shared" si="71"/>
        <v/>
      </c>
      <c r="L368" s="24" t="str">
        <f t="shared" si="72"/>
        <v/>
      </c>
      <c r="M368" s="24" t="str">
        <f t="shared" si="73"/>
        <v/>
      </c>
    </row>
    <row r="369" spans="2:13" hidden="1" outlineLevel="1" x14ac:dyDescent="0.3">
      <c r="B369" s="24" t="str">
        <f>IF('TO HOP NLAN'!$A215="","",'TO HOP NLAN'!$A215)</f>
        <v/>
      </c>
      <c r="C369" s="24" t="str">
        <f>IF($B369="","",'TO HOP NLAN'!$D215)</f>
        <v/>
      </c>
      <c r="D369" s="24" t="str">
        <f>IF($B369="","",$C$32*ABS(IFERROR('TO HOP NLAN'!$F215,0)))</f>
        <v/>
      </c>
      <c r="E369" s="24" t="str">
        <f>IF($B369="","",$D$32*ABS(IFERROR('TO HOP NLAN'!$E215,0)))</f>
        <v/>
      </c>
      <c r="F369" s="24" t="str">
        <f t="shared" si="66"/>
        <v/>
      </c>
      <c r="G369" s="24" t="str">
        <f t="shared" si="67"/>
        <v/>
      </c>
      <c r="H369" s="24" t="str">
        <f t="shared" si="68"/>
        <v/>
      </c>
      <c r="I369" s="24" t="str">
        <f t="shared" si="69"/>
        <v/>
      </c>
      <c r="J369" s="24" t="str">
        <f t="shared" si="70"/>
        <v/>
      </c>
      <c r="K369" s="24" t="str">
        <f t="shared" si="71"/>
        <v/>
      </c>
      <c r="L369" s="24" t="str">
        <f t="shared" si="72"/>
        <v/>
      </c>
      <c r="M369" s="24" t="str">
        <f t="shared" si="73"/>
        <v/>
      </c>
    </row>
    <row r="370" spans="2:13" hidden="1" outlineLevel="1" x14ac:dyDescent="0.3">
      <c r="B370" s="24" t="str">
        <f>IF('TO HOP NLAN'!$A216="","",'TO HOP NLAN'!$A216)</f>
        <v/>
      </c>
      <c r="C370" s="24" t="str">
        <f>IF($B370="","",'TO HOP NLAN'!$D216)</f>
        <v/>
      </c>
      <c r="D370" s="24" t="str">
        <f>IF($B370="","",$C$32*ABS(IFERROR('TO HOP NLAN'!$F216,0)))</f>
        <v/>
      </c>
      <c r="E370" s="24" t="str">
        <f>IF($B370="","",$D$32*ABS(IFERROR('TO HOP NLAN'!$E216,0)))</f>
        <v/>
      </c>
      <c r="F370" s="24" t="str">
        <f t="shared" si="66"/>
        <v/>
      </c>
      <c r="G370" s="24" t="str">
        <f t="shared" si="67"/>
        <v/>
      </c>
      <c r="H370" s="24" t="str">
        <f t="shared" si="68"/>
        <v/>
      </c>
      <c r="I370" s="24" t="str">
        <f t="shared" si="69"/>
        <v/>
      </c>
      <c r="J370" s="24" t="str">
        <f t="shared" si="70"/>
        <v/>
      </c>
      <c r="K370" s="24" t="str">
        <f t="shared" si="71"/>
        <v/>
      </c>
      <c r="L370" s="24" t="str">
        <f t="shared" si="72"/>
        <v/>
      </c>
      <c r="M370" s="24" t="str">
        <f t="shared" si="73"/>
        <v/>
      </c>
    </row>
    <row r="371" spans="2:13" hidden="1" outlineLevel="1" x14ac:dyDescent="0.3">
      <c r="B371" s="24" t="str">
        <f>IF('TO HOP NLAN'!$A217="","",'TO HOP NLAN'!$A217)</f>
        <v/>
      </c>
      <c r="C371" s="24" t="str">
        <f>IF($B371="","",'TO HOP NLAN'!$D217)</f>
        <v/>
      </c>
      <c r="D371" s="24" t="str">
        <f>IF($B371="","",$C$32*ABS(IFERROR('TO HOP NLAN'!$F217,0)))</f>
        <v/>
      </c>
      <c r="E371" s="24" t="str">
        <f>IF($B371="","",$D$32*ABS(IFERROR('TO HOP NLAN'!$E217,0)))</f>
        <v/>
      </c>
      <c r="F371" s="24" t="str">
        <f t="shared" si="66"/>
        <v/>
      </c>
      <c r="G371" s="24" t="str">
        <f t="shared" si="67"/>
        <v/>
      </c>
      <c r="H371" s="24" t="str">
        <f t="shared" si="68"/>
        <v/>
      </c>
      <c r="I371" s="24" t="str">
        <f t="shared" si="69"/>
        <v/>
      </c>
      <c r="J371" s="24" t="str">
        <f t="shared" si="70"/>
        <v/>
      </c>
      <c r="K371" s="24" t="str">
        <f t="shared" si="71"/>
        <v/>
      </c>
      <c r="L371" s="24" t="str">
        <f t="shared" si="72"/>
        <v/>
      </c>
      <c r="M371" s="24" t="str">
        <f t="shared" si="73"/>
        <v/>
      </c>
    </row>
    <row r="372" spans="2:13" hidden="1" outlineLevel="1" x14ac:dyDescent="0.3">
      <c r="B372" s="24" t="str">
        <f>IF('TO HOP NLAN'!$A218="","",'TO HOP NLAN'!$A218)</f>
        <v/>
      </c>
      <c r="C372" s="24" t="str">
        <f>IF($B372="","",'TO HOP NLAN'!$D218)</f>
        <v/>
      </c>
      <c r="D372" s="24" t="str">
        <f>IF($B372="","",$C$32*ABS(IFERROR('TO HOP NLAN'!$F218,0)))</f>
        <v/>
      </c>
      <c r="E372" s="24" t="str">
        <f>IF($B372="","",$D$32*ABS(IFERROR('TO HOP NLAN'!$E218,0)))</f>
        <v/>
      </c>
      <c r="F372" s="24" t="str">
        <f t="shared" si="66"/>
        <v/>
      </c>
      <c r="G372" s="24" t="str">
        <f t="shared" si="67"/>
        <v/>
      </c>
      <c r="H372" s="24" t="str">
        <f t="shared" si="68"/>
        <v/>
      </c>
      <c r="I372" s="24" t="str">
        <f t="shared" si="69"/>
        <v/>
      </c>
      <c r="J372" s="24" t="str">
        <f t="shared" si="70"/>
        <v/>
      </c>
      <c r="K372" s="24" t="str">
        <f t="shared" si="71"/>
        <v/>
      </c>
      <c r="L372" s="24" t="str">
        <f t="shared" si="72"/>
        <v/>
      </c>
      <c r="M372" s="24" t="str">
        <f t="shared" si="73"/>
        <v/>
      </c>
    </row>
    <row r="373" spans="2:13" hidden="1" outlineLevel="1" x14ac:dyDescent="0.3">
      <c r="B373" s="24" t="str">
        <f>IF('TO HOP NLAN'!$A219="","",'TO HOP NLAN'!$A219)</f>
        <v/>
      </c>
      <c r="C373" s="24" t="str">
        <f>IF($B373="","",'TO HOP NLAN'!$D219)</f>
        <v/>
      </c>
      <c r="D373" s="24" t="str">
        <f>IF($B373="","",$C$32*ABS(IFERROR('TO HOP NLAN'!$F219,0)))</f>
        <v/>
      </c>
      <c r="E373" s="24" t="str">
        <f>IF($B373="","",$D$32*ABS(IFERROR('TO HOP NLAN'!$E219,0)))</f>
        <v/>
      </c>
      <c r="F373" s="24" t="str">
        <f t="shared" si="66"/>
        <v/>
      </c>
      <c r="G373" s="24" t="str">
        <f t="shared" si="67"/>
        <v/>
      </c>
      <c r="H373" s="24" t="str">
        <f t="shared" si="68"/>
        <v/>
      </c>
      <c r="I373" s="24" t="str">
        <f t="shared" si="69"/>
        <v/>
      </c>
      <c r="J373" s="24" t="str">
        <f t="shared" si="70"/>
        <v/>
      </c>
      <c r="K373" s="24" t="str">
        <f t="shared" si="71"/>
        <v/>
      </c>
      <c r="L373" s="24" t="str">
        <f t="shared" si="72"/>
        <v/>
      </c>
      <c r="M373" s="24" t="str">
        <f t="shared" si="73"/>
        <v/>
      </c>
    </row>
    <row r="374" spans="2:13" hidden="1" outlineLevel="1" x14ac:dyDescent="0.3">
      <c r="B374" s="24" t="str">
        <f>IF('TO HOP NLAN'!$A220="","",'TO HOP NLAN'!$A220)</f>
        <v/>
      </c>
      <c r="C374" s="24" t="str">
        <f>IF($B374="","",'TO HOP NLAN'!$D220)</f>
        <v/>
      </c>
      <c r="D374" s="24" t="str">
        <f>IF($B374="","",$C$32*ABS(IFERROR('TO HOP NLAN'!$F220,0)))</f>
        <v/>
      </c>
      <c r="E374" s="24" t="str">
        <f>IF($B374="","",$D$32*ABS(IFERROR('TO HOP NLAN'!$E220,0)))</f>
        <v/>
      </c>
      <c r="F374" s="24" t="str">
        <f t="shared" si="66"/>
        <v/>
      </c>
      <c r="G374" s="24" t="str">
        <f t="shared" si="67"/>
        <v/>
      </c>
      <c r="H374" s="24" t="str">
        <f t="shared" si="68"/>
        <v/>
      </c>
      <c r="I374" s="24" t="str">
        <f t="shared" si="69"/>
        <v/>
      </c>
      <c r="J374" s="24" t="str">
        <f t="shared" si="70"/>
        <v/>
      </c>
      <c r="K374" s="24" t="str">
        <f t="shared" si="71"/>
        <v/>
      </c>
      <c r="L374" s="24" t="str">
        <f t="shared" si="72"/>
        <v/>
      </c>
      <c r="M374" s="24" t="str">
        <f t="shared" si="73"/>
        <v/>
      </c>
    </row>
    <row r="375" spans="2:13" hidden="1" outlineLevel="1" x14ac:dyDescent="0.3">
      <c r="B375" s="24" t="str">
        <f>IF('TO HOP NLAN'!$A221="","",'TO HOP NLAN'!$A221)</f>
        <v/>
      </c>
      <c r="C375" s="24" t="str">
        <f>IF($B375="","",'TO HOP NLAN'!$D221)</f>
        <v/>
      </c>
      <c r="D375" s="24" t="str">
        <f>IF($B375="","",$C$32*ABS(IFERROR('TO HOP NLAN'!$F221,0)))</f>
        <v/>
      </c>
      <c r="E375" s="24" t="str">
        <f>IF($B375="","",$D$32*ABS(IFERROR('TO HOP NLAN'!$E221,0)))</f>
        <v/>
      </c>
      <c r="F375" s="24" t="str">
        <f t="shared" si="66"/>
        <v/>
      </c>
      <c r="G375" s="24" t="str">
        <f t="shared" si="67"/>
        <v/>
      </c>
      <c r="H375" s="24" t="str">
        <f t="shared" si="68"/>
        <v/>
      </c>
      <c r="I375" s="24" t="str">
        <f t="shared" si="69"/>
        <v/>
      </c>
      <c r="J375" s="24" t="str">
        <f t="shared" si="70"/>
        <v/>
      </c>
      <c r="K375" s="24" t="str">
        <f t="shared" si="71"/>
        <v/>
      </c>
      <c r="L375" s="24" t="str">
        <f t="shared" si="72"/>
        <v/>
      </c>
      <c r="M375" s="24" t="str">
        <f t="shared" si="73"/>
        <v/>
      </c>
    </row>
    <row r="376" spans="2:13" hidden="1" outlineLevel="1" x14ac:dyDescent="0.3">
      <c r="B376" s="24" t="str">
        <f>IF('TO HOP NLAN'!$A222="","",'TO HOP NLAN'!$A222)</f>
        <v/>
      </c>
      <c r="C376" s="24" t="str">
        <f>IF($B376="","",'TO HOP NLAN'!$D222)</f>
        <v/>
      </c>
      <c r="D376" s="24" t="str">
        <f>IF($B376="","",$C$32*ABS(IFERROR('TO HOP NLAN'!$F222,0)))</f>
        <v/>
      </c>
      <c r="E376" s="24" t="str">
        <f>IF($B376="","",$D$32*ABS(IFERROR('TO HOP NLAN'!$E222,0)))</f>
        <v/>
      </c>
      <c r="F376" s="24" t="str">
        <f t="shared" si="66"/>
        <v/>
      </c>
      <c r="G376" s="24" t="str">
        <f t="shared" si="67"/>
        <v/>
      </c>
      <c r="H376" s="24" t="str">
        <f t="shared" si="68"/>
        <v/>
      </c>
      <c r="I376" s="24" t="str">
        <f t="shared" si="69"/>
        <v/>
      </c>
      <c r="J376" s="24" t="str">
        <f t="shared" si="70"/>
        <v/>
      </c>
      <c r="K376" s="24" t="str">
        <f t="shared" si="71"/>
        <v/>
      </c>
      <c r="L376" s="24" t="str">
        <f t="shared" si="72"/>
        <v/>
      </c>
      <c r="M376" s="24" t="str">
        <f t="shared" si="73"/>
        <v/>
      </c>
    </row>
    <row r="377" spans="2:13" hidden="1" outlineLevel="1" x14ac:dyDescent="0.3">
      <c r="B377" s="24" t="str">
        <f>IF('TO HOP NLAN'!$A223="","",'TO HOP NLAN'!$A223)</f>
        <v/>
      </c>
      <c r="C377" s="24" t="str">
        <f>IF($B377="","",'TO HOP NLAN'!$D223)</f>
        <v/>
      </c>
      <c r="D377" s="24" t="str">
        <f>IF($B377="","",$C$32*ABS(IFERROR('TO HOP NLAN'!$F223,0)))</f>
        <v/>
      </c>
      <c r="E377" s="24" t="str">
        <f>IF($B377="","",$D$32*ABS(IFERROR('TO HOP NLAN'!$E223,0)))</f>
        <v/>
      </c>
      <c r="F377" s="24" t="str">
        <f t="shared" si="66"/>
        <v/>
      </c>
      <c r="G377" s="24" t="str">
        <f t="shared" si="67"/>
        <v/>
      </c>
      <c r="H377" s="24" t="str">
        <f t="shared" si="68"/>
        <v/>
      </c>
      <c r="I377" s="24" t="str">
        <f t="shared" si="69"/>
        <v/>
      </c>
      <c r="J377" s="24" t="str">
        <f t="shared" si="70"/>
        <v/>
      </c>
      <c r="K377" s="24" t="str">
        <f t="shared" si="71"/>
        <v/>
      </c>
      <c r="L377" s="24" t="str">
        <f t="shared" si="72"/>
        <v/>
      </c>
      <c r="M377" s="24" t="str">
        <f t="shared" si="73"/>
        <v/>
      </c>
    </row>
    <row r="378" spans="2:13" hidden="1" outlineLevel="1" x14ac:dyDescent="0.3">
      <c r="B378" s="24" t="str">
        <f>IF('TO HOP NLAN'!$A224="","",'TO HOP NLAN'!$A224)</f>
        <v/>
      </c>
      <c r="C378" s="24" t="str">
        <f>IF($B378="","",'TO HOP NLAN'!$D224)</f>
        <v/>
      </c>
      <c r="D378" s="24" t="str">
        <f>IF($B378="","",$C$32*ABS(IFERROR('TO HOP NLAN'!$F224,0)))</f>
        <v/>
      </c>
      <c r="E378" s="24" t="str">
        <f>IF($B378="","",$D$32*ABS(IFERROR('TO HOP NLAN'!$E224,0)))</f>
        <v/>
      </c>
      <c r="F378" s="24" t="str">
        <f t="shared" si="66"/>
        <v/>
      </c>
      <c r="G378" s="24" t="str">
        <f t="shared" si="67"/>
        <v/>
      </c>
      <c r="H378" s="24" t="str">
        <f t="shared" si="68"/>
        <v/>
      </c>
      <c r="I378" s="24" t="str">
        <f t="shared" si="69"/>
        <v/>
      </c>
      <c r="J378" s="24" t="str">
        <f t="shared" si="70"/>
        <v/>
      </c>
      <c r="K378" s="24" t="str">
        <f t="shared" si="71"/>
        <v/>
      </c>
      <c r="L378" s="24" t="str">
        <f t="shared" si="72"/>
        <v/>
      </c>
      <c r="M378" s="24" t="str">
        <f t="shared" si="73"/>
        <v/>
      </c>
    </row>
    <row r="379" spans="2:13" hidden="1" outlineLevel="1" x14ac:dyDescent="0.3">
      <c r="B379" s="24" t="str">
        <f>IF('TO HOP NLAN'!$A225="","",'TO HOP NLAN'!$A225)</f>
        <v/>
      </c>
      <c r="C379" s="24" t="str">
        <f>IF($B379="","",'TO HOP NLAN'!$D225)</f>
        <v/>
      </c>
      <c r="D379" s="24" t="str">
        <f>IF($B379="","",$C$32*ABS(IFERROR('TO HOP NLAN'!$F225,0)))</f>
        <v/>
      </c>
      <c r="E379" s="24" t="str">
        <f>IF($B379="","",$D$32*ABS(IFERROR('TO HOP NLAN'!$E225,0)))</f>
        <v/>
      </c>
      <c r="F379" s="24" t="str">
        <f t="shared" si="66"/>
        <v/>
      </c>
      <c r="G379" s="24" t="str">
        <f t="shared" si="67"/>
        <v/>
      </c>
      <c r="H379" s="24" t="str">
        <f t="shared" si="68"/>
        <v/>
      </c>
      <c r="I379" s="24" t="str">
        <f t="shared" si="69"/>
        <v/>
      </c>
      <c r="J379" s="24" t="str">
        <f t="shared" si="70"/>
        <v/>
      </c>
      <c r="K379" s="24" t="str">
        <f t="shared" si="71"/>
        <v/>
      </c>
      <c r="L379" s="24" t="str">
        <f t="shared" si="72"/>
        <v/>
      </c>
      <c r="M379" s="24" t="str">
        <f t="shared" si="73"/>
        <v/>
      </c>
    </row>
    <row r="380" spans="2:13" hidden="1" outlineLevel="1" x14ac:dyDescent="0.3">
      <c r="B380" s="24" t="str">
        <f>IF('TO HOP NLAN'!$A226="","",'TO HOP NLAN'!$A226)</f>
        <v/>
      </c>
      <c r="C380" s="24" t="str">
        <f>IF($B380="","",'TO HOP NLAN'!$D226)</f>
        <v/>
      </c>
      <c r="D380" s="24" t="str">
        <f>IF($B380="","",$C$32*ABS(IFERROR('TO HOP NLAN'!$F226,0)))</f>
        <v/>
      </c>
      <c r="E380" s="24" t="str">
        <f>IF($B380="","",$D$32*ABS(IFERROR('TO HOP NLAN'!$E226,0)))</f>
        <v/>
      </c>
      <c r="F380" s="24" t="str">
        <f t="shared" si="66"/>
        <v/>
      </c>
      <c r="G380" s="24" t="str">
        <f t="shared" si="67"/>
        <v/>
      </c>
      <c r="H380" s="24" t="str">
        <f t="shared" si="68"/>
        <v/>
      </c>
      <c r="I380" s="24" t="str">
        <f t="shared" si="69"/>
        <v/>
      </c>
      <c r="J380" s="24" t="str">
        <f t="shared" si="70"/>
        <v/>
      </c>
      <c r="K380" s="24" t="str">
        <f t="shared" si="71"/>
        <v/>
      </c>
      <c r="L380" s="24" t="str">
        <f t="shared" si="72"/>
        <v/>
      </c>
      <c r="M380" s="24" t="str">
        <f t="shared" si="73"/>
        <v/>
      </c>
    </row>
    <row r="381" spans="2:13" hidden="1" outlineLevel="1" x14ac:dyDescent="0.3">
      <c r="B381" s="24" t="str">
        <f>IF('TO HOP NLAN'!$A227="","",'TO HOP NLAN'!$A227)</f>
        <v/>
      </c>
      <c r="C381" s="24" t="str">
        <f>IF($B381="","",'TO HOP NLAN'!$D227)</f>
        <v/>
      </c>
      <c r="D381" s="24" t="str">
        <f>IF($B381="","",$C$32*ABS(IFERROR('TO HOP NLAN'!$F227,0)))</f>
        <v/>
      </c>
      <c r="E381" s="24" t="str">
        <f>IF($B381="","",$D$32*ABS(IFERROR('TO HOP NLAN'!$E227,0)))</f>
        <v/>
      </c>
      <c r="F381" s="24" t="str">
        <f t="shared" si="66"/>
        <v/>
      </c>
      <c r="G381" s="24" t="str">
        <f t="shared" si="67"/>
        <v/>
      </c>
      <c r="H381" s="24" t="str">
        <f t="shared" si="68"/>
        <v/>
      </c>
      <c r="I381" s="24" t="str">
        <f t="shared" si="69"/>
        <v/>
      </c>
      <c r="J381" s="24" t="str">
        <f t="shared" si="70"/>
        <v/>
      </c>
      <c r="K381" s="24" t="str">
        <f t="shared" si="71"/>
        <v/>
      </c>
      <c r="L381" s="24" t="str">
        <f t="shared" si="72"/>
        <v/>
      </c>
      <c r="M381" s="24" t="str">
        <f t="shared" si="73"/>
        <v/>
      </c>
    </row>
    <row r="382" spans="2:13" hidden="1" outlineLevel="1" x14ac:dyDescent="0.3">
      <c r="B382" s="24" t="str">
        <f>IF('TO HOP NLAN'!$A228="","",'TO HOP NLAN'!$A228)</f>
        <v/>
      </c>
      <c r="C382" s="24" t="str">
        <f>IF($B382="","",'TO HOP NLAN'!$D228)</f>
        <v/>
      </c>
      <c r="D382" s="24" t="str">
        <f>IF($B382="","",$C$32*ABS(IFERROR('TO HOP NLAN'!$F228,0)))</f>
        <v/>
      </c>
      <c r="E382" s="24" t="str">
        <f>IF($B382="","",$D$32*ABS(IFERROR('TO HOP NLAN'!$E228,0)))</f>
        <v/>
      </c>
      <c r="F382" s="24" t="str">
        <f t="shared" si="66"/>
        <v/>
      </c>
      <c r="G382" s="24" t="str">
        <f t="shared" si="67"/>
        <v/>
      </c>
      <c r="H382" s="24" t="str">
        <f t="shared" si="68"/>
        <v/>
      </c>
      <c r="I382" s="24" t="str">
        <f t="shared" si="69"/>
        <v/>
      </c>
      <c r="J382" s="24" t="str">
        <f t="shared" si="70"/>
        <v/>
      </c>
      <c r="K382" s="24" t="str">
        <f t="shared" si="71"/>
        <v/>
      </c>
      <c r="L382" s="24" t="str">
        <f t="shared" si="72"/>
        <v/>
      </c>
      <c r="M382" s="24" t="str">
        <f t="shared" si="73"/>
        <v/>
      </c>
    </row>
    <row r="383" spans="2:13" hidden="1" outlineLevel="1" x14ac:dyDescent="0.3">
      <c r="B383" s="24" t="str">
        <f>IF('TO HOP NLAN'!$A229="","",'TO HOP NLAN'!$A229)</f>
        <v/>
      </c>
      <c r="C383" s="24" t="str">
        <f>IF($B383="","",'TO HOP NLAN'!$D229)</f>
        <v/>
      </c>
      <c r="D383" s="24" t="str">
        <f>IF($B383="","",$C$32*ABS(IFERROR('TO HOP NLAN'!$F229,0)))</f>
        <v/>
      </c>
      <c r="E383" s="24" t="str">
        <f>IF($B383="","",$D$32*ABS(IFERROR('TO HOP NLAN'!$E229,0)))</f>
        <v/>
      </c>
      <c r="F383" s="24" t="str">
        <f t="shared" si="66"/>
        <v/>
      </c>
      <c r="G383" s="24" t="str">
        <f t="shared" si="67"/>
        <v/>
      </c>
      <c r="H383" s="24" t="str">
        <f t="shared" si="68"/>
        <v/>
      </c>
      <c r="I383" s="24" t="str">
        <f t="shared" si="69"/>
        <v/>
      </c>
      <c r="J383" s="24" t="str">
        <f t="shared" si="70"/>
        <v/>
      </c>
      <c r="K383" s="24" t="str">
        <f t="shared" si="71"/>
        <v/>
      </c>
      <c r="L383" s="24" t="str">
        <f t="shared" si="72"/>
        <v/>
      </c>
      <c r="M383" s="24" t="str">
        <f t="shared" si="73"/>
        <v/>
      </c>
    </row>
    <row r="384" spans="2:13" hidden="1" outlineLevel="1" x14ac:dyDescent="0.3">
      <c r="B384" s="24" t="str">
        <f>IF('TO HOP NLAN'!$A230="","",'TO HOP NLAN'!$A230)</f>
        <v/>
      </c>
      <c r="C384" s="24" t="str">
        <f>IF($B384="","",'TO HOP NLAN'!$D230)</f>
        <v/>
      </c>
      <c r="D384" s="24" t="str">
        <f>IF($B384="","",$C$32*ABS(IFERROR('TO HOP NLAN'!$F230,0)))</f>
        <v/>
      </c>
      <c r="E384" s="24" t="str">
        <f>IF($B384="","",$D$32*ABS(IFERROR('TO HOP NLAN'!$E230,0)))</f>
        <v/>
      </c>
      <c r="F384" s="24" t="str">
        <f t="shared" si="66"/>
        <v/>
      </c>
      <c r="G384" s="24" t="str">
        <f t="shared" si="67"/>
        <v/>
      </c>
      <c r="H384" s="24" t="str">
        <f t="shared" si="68"/>
        <v/>
      </c>
      <c r="I384" s="24" t="str">
        <f t="shared" si="69"/>
        <v/>
      </c>
      <c r="J384" s="24" t="str">
        <f t="shared" si="70"/>
        <v/>
      </c>
      <c r="K384" s="24" t="str">
        <f t="shared" si="71"/>
        <v/>
      </c>
      <c r="L384" s="24" t="str">
        <f t="shared" si="72"/>
        <v/>
      </c>
      <c r="M384" s="24" t="str">
        <f t="shared" si="73"/>
        <v/>
      </c>
    </row>
    <row r="385" spans="2:13" hidden="1" outlineLevel="1" x14ac:dyDescent="0.3">
      <c r="B385" s="24" t="str">
        <f>IF('TO HOP NLAN'!$A231="","",'TO HOP NLAN'!$A231)</f>
        <v/>
      </c>
      <c r="C385" s="24" t="str">
        <f>IF($B385="","",'TO HOP NLAN'!$D231)</f>
        <v/>
      </c>
      <c r="D385" s="24" t="str">
        <f>IF($B385="","",$C$32*ABS(IFERROR('TO HOP NLAN'!$F231,0)))</f>
        <v/>
      </c>
      <c r="E385" s="24" t="str">
        <f>IF($B385="","",$D$32*ABS(IFERROR('TO HOP NLAN'!$E231,0)))</f>
        <v/>
      </c>
      <c r="F385" s="24" t="str">
        <f t="shared" si="66"/>
        <v/>
      </c>
      <c r="G385" s="24" t="str">
        <f t="shared" si="67"/>
        <v/>
      </c>
      <c r="H385" s="24" t="str">
        <f t="shared" si="68"/>
        <v/>
      </c>
      <c r="I385" s="24" t="str">
        <f t="shared" si="69"/>
        <v/>
      </c>
      <c r="J385" s="24" t="str">
        <f t="shared" si="70"/>
        <v/>
      </c>
      <c r="K385" s="24" t="str">
        <f t="shared" si="71"/>
        <v/>
      </c>
      <c r="L385" s="24" t="str">
        <f t="shared" si="72"/>
        <v/>
      </c>
      <c r="M385" s="24" t="str">
        <f t="shared" si="73"/>
        <v/>
      </c>
    </row>
    <row r="386" spans="2:13" hidden="1" outlineLevel="1" x14ac:dyDescent="0.3">
      <c r="B386" s="24" t="str">
        <f>IF('TO HOP NLAN'!$A232="","",'TO HOP NLAN'!$A232)</f>
        <v/>
      </c>
      <c r="C386" s="24" t="str">
        <f>IF($B386="","",'TO HOP NLAN'!$D232)</f>
        <v/>
      </c>
      <c r="D386" s="24" t="str">
        <f>IF($B386="","",$C$32*ABS(IFERROR('TO HOP NLAN'!$F232,0)))</f>
        <v/>
      </c>
      <c r="E386" s="24" t="str">
        <f>IF($B386="","",$D$32*ABS(IFERROR('TO HOP NLAN'!$E232,0)))</f>
        <v/>
      </c>
      <c r="F386" s="24" t="str">
        <f t="shared" si="66"/>
        <v/>
      </c>
      <c r="G386" s="24" t="str">
        <f t="shared" si="67"/>
        <v/>
      </c>
      <c r="H386" s="24" t="str">
        <f t="shared" si="68"/>
        <v/>
      </c>
      <c r="I386" s="24" t="str">
        <f t="shared" si="69"/>
        <v/>
      </c>
      <c r="J386" s="24" t="str">
        <f t="shared" si="70"/>
        <v/>
      </c>
      <c r="K386" s="24" t="str">
        <f t="shared" si="71"/>
        <v/>
      </c>
      <c r="L386" s="24" t="str">
        <f t="shared" si="72"/>
        <v/>
      </c>
      <c r="M386" s="24" t="str">
        <f t="shared" si="73"/>
        <v/>
      </c>
    </row>
    <row r="387" spans="2:13" hidden="1" outlineLevel="1" x14ac:dyDescent="0.3">
      <c r="B387" s="24" t="str">
        <f>IF('TO HOP NLAN'!$A233="","",'TO HOP NLAN'!$A233)</f>
        <v/>
      </c>
      <c r="C387" s="24" t="str">
        <f>IF($B387="","",'TO HOP NLAN'!$D233)</f>
        <v/>
      </c>
      <c r="D387" s="24" t="str">
        <f>IF($B387="","",$C$32*ABS(IFERROR('TO HOP NLAN'!$F233,0)))</f>
        <v/>
      </c>
      <c r="E387" s="24" t="str">
        <f>IF($B387="","",$D$32*ABS(IFERROR('TO HOP NLAN'!$E233,0)))</f>
        <v/>
      </c>
      <c r="F387" s="24" t="str">
        <f t="shared" si="66"/>
        <v/>
      </c>
      <c r="G387" s="24" t="str">
        <f t="shared" si="67"/>
        <v/>
      </c>
      <c r="H387" s="24" t="str">
        <f t="shared" si="68"/>
        <v/>
      </c>
      <c r="I387" s="24" t="str">
        <f t="shared" si="69"/>
        <v/>
      </c>
      <c r="J387" s="24" t="str">
        <f t="shared" si="70"/>
        <v/>
      </c>
      <c r="K387" s="24" t="str">
        <f t="shared" si="71"/>
        <v/>
      </c>
      <c r="L387" s="24" t="str">
        <f t="shared" si="72"/>
        <v/>
      </c>
      <c r="M387" s="24" t="str">
        <f t="shared" si="73"/>
        <v/>
      </c>
    </row>
    <row r="388" spans="2:13" hidden="1" outlineLevel="1" x14ac:dyDescent="0.3">
      <c r="B388" s="24" t="str">
        <f>IF('TO HOP NLAN'!$A234="","",'TO HOP NLAN'!$A234)</f>
        <v/>
      </c>
      <c r="C388" s="24" t="str">
        <f>IF($B388="","",'TO HOP NLAN'!$D234)</f>
        <v/>
      </c>
      <c r="D388" s="24" t="str">
        <f>IF($B388="","",$C$32*ABS(IFERROR('TO HOP NLAN'!$F234,0)))</f>
        <v/>
      </c>
      <c r="E388" s="24" t="str">
        <f>IF($B388="","",$D$32*ABS(IFERROR('TO HOP NLAN'!$E234,0)))</f>
        <v/>
      </c>
      <c r="F388" s="24" t="str">
        <f t="shared" si="66"/>
        <v/>
      </c>
      <c r="G388" s="24" t="str">
        <f t="shared" si="67"/>
        <v/>
      </c>
      <c r="H388" s="24" t="str">
        <f t="shared" si="68"/>
        <v/>
      </c>
      <c r="I388" s="24" t="str">
        <f t="shared" si="69"/>
        <v/>
      </c>
      <c r="J388" s="24" t="str">
        <f t="shared" si="70"/>
        <v/>
      </c>
      <c r="K388" s="24" t="str">
        <f t="shared" si="71"/>
        <v/>
      </c>
      <c r="L388" s="24" t="str">
        <f t="shared" si="72"/>
        <v/>
      </c>
      <c r="M388" s="24" t="str">
        <f t="shared" si="73"/>
        <v/>
      </c>
    </row>
    <row r="389" spans="2:13" hidden="1" outlineLevel="1" x14ac:dyDescent="0.3">
      <c r="B389" s="24" t="str">
        <f>IF('TO HOP NLAN'!$A235="","",'TO HOP NLAN'!$A235)</f>
        <v/>
      </c>
      <c r="C389" s="24" t="str">
        <f>IF($B389="","",'TO HOP NLAN'!$D235)</f>
        <v/>
      </c>
      <c r="D389" s="24" t="str">
        <f>IF($B389="","",$C$32*ABS(IFERROR('TO HOP NLAN'!$F235,0)))</f>
        <v/>
      </c>
      <c r="E389" s="24" t="str">
        <f>IF($B389="","",$D$32*ABS(IFERROR('TO HOP NLAN'!$E235,0)))</f>
        <v/>
      </c>
      <c r="F389" s="24" t="str">
        <f t="shared" si="66"/>
        <v/>
      </c>
      <c r="G389" s="24" t="str">
        <f t="shared" si="67"/>
        <v/>
      </c>
      <c r="H389" s="24" t="str">
        <f t="shared" si="68"/>
        <v/>
      </c>
      <c r="I389" s="24" t="str">
        <f t="shared" si="69"/>
        <v/>
      </c>
      <c r="J389" s="24" t="str">
        <f t="shared" si="70"/>
        <v/>
      </c>
      <c r="K389" s="24" t="str">
        <f t="shared" si="71"/>
        <v/>
      </c>
      <c r="L389" s="24" t="str">
        <f t="shared" si="72"/>
        <v/>
      </c>
      <c r="M389" s="24" t="str">
        <f t="shared" si="73"/>
        <v/>
      </c>
    </row>
    <row r="390" spans="2:13" hidden="1" outlineLevel="1" x14ac:dyDescent="0.3">
      <c r="B390" s="24" t="str">
        <f>IF('TO HOP NLAN'!$A236="","",'TO HOP NLAN'!$A236)</f>
        <v/>
      </c>
      <c r="C390" s="24" t="str">
        <f>IF($B390="","",'TO HOP NLAN'!$D236)</f>
        <v/>
      </c>
      <c r="D390" s="24" t="str">
        <f>IF($B390="","",$C$32*ABS(IFERROR('TO HOP NLAN'!$F236,0)))</f>
        <v/>
      </c>
      <c r="E390" s="24" t="str">
        <f>IF($B390="","",$D$32*ABS(IFERROR('TO HOP NLAN'!$E236,0)))</f>
        <v/>
      </c>
      <c r="F390" s="24" t="str">
        <f t="shared" si="66"/>
        <v/>
      </c>
      <c r="G390" s="24" t="str">
        <f t="shared" si="67"/>
        <v/>
      </c>
      <c r="H390" s="24" t="str">
        <f t="shared" si="68"/>
        <v/>
      </c>
      <c r="I390" s="24" t="str">
        <f t="shared" si="69"/>
        <v/>
      </c>
      <c r="J390" s="24" t="str">
        <f t="shared" si="70"/>
        <v/>
      </c>
      <c r="K390" s="24" t="str">
        <f t="shared" si="71"/>
        <v/>
      </c>
      <c r="L390" s="24" t="str">
        <f t="shared" si="72"/>
        <v/>
      </c>
      <c r="M390" s="24" t="str">
        <f t="shared" si="73"/>
        <v/>
      </c>
    </row>
    <row r="391" spans="2:13" hidden="1" outlineLevel="1" x14ac:dyDescent="0.3">
      <c r="B391" s="24" t="str">
        <f>IF('TO HOP NLAN'!$A237="","",'TO HOP NLAN'!$A237)</f>
        <v/>
      </c>
      <c r="C391" s="24" t="str">
        <f>IF($B391="","",'TO HOP NLAN'!$D237)</f>
        <v/>
      </c>
      <c r="D391" s="24" t="str">
        <f>IF($B391="","",$C$32*ABS(IFERROR('TO HOP NLAN'!$F237,0)))</f>
        <v/>
      </c>
      <c r="E391" s="24" t="str">
        <f>IF($B391="","",$D$32*ABS(IFERROR('TO HOP NLAN'!$E237,0)))</f>
        <v/>
      </c>
      <c r="F391" s="24" t="str">
        <f t="shared" si="66"/>
        <v/>
      </c>
      <c r="G391" s="24" t="str">
        <f t="shared" si="67"/>
        <v/>
      </c>
      <c r="H391" s="24" t="str">
        <f t="shared" si="68"/>
        <v/>
      </c>
      <c r="I391" s="24" t="str">
        <f t="shared" si="69"/>
        <v/>
      </c>
      <c r="J391" s="24" t="str">
        <f t="shared" si="70"/>
        <v/>
      </c>
      <c r="K391" s="24" t="str">
        <f t="shared" si="71"/>
        <v/>
      </c>
      <c r="L391" s="24" t="str">
        <f t="shared" si="72"/>
        <v/>
      </c>
      <c r="M391" s="24" t="str">
        <f t="shared" si="73"/>
        <v/>
      </c>
    </row>
    <row r="392" spans="2:13" hidden="1" outlineLevel="1" x14ac:dyDescent="0.3">
      <c r="B392" s="24" t="str">
        <f>IF('TO HOP NLAN'!$A238="","",'TO HOP NLAN'!$A238)</f>
        <v/>
      </c>
      <c r="C392" s="24" t="str">
        <f>IF($B392="","",'TO HOP NLAN'!$D238)</f>
        <v/>
      </c>
      <c r="D392" s="24" t="str">
        <f>IF($B392="","",$C$32*ABS(IFERROR('TO HOP NLAN'!$F238,0)))</f>
        <v/>
      </c>
      <c r="E392" s="24" t="str">
        <f>IF($B392="","",$D$32*ABS(IFERROR('TO HOP NLAN'!$E238,0)))</f>
        <v/>
      </c>
      <c r="F392" s="24" t="str">
        <f t="shared" si="66"/>
        <v/>
      </c>
      <c r="G392" s="24" t="str">
        <f t="shared" si="67"/>
        <v/>
      </c>
      <c r="H392" s="24" t="str">
        <f t="shared" si="68"/>
        <v/>
      </c>
      <c r="I392" s="24" t="str">
        <f t="shared" si="69"/>
        <v/>
      </c>
      <c r="J392" s="24" t="str">
        <f t="shared" si="70"/>
        <v/>
      </c>
      <c r="K392" s="24" t="str">
        <f t="shared" si="71"/>
        <v/>
      </c>
      <c r="L392" s="24" t="str">
        <f t="shared" si="72"/>
        <v/>
      </c>
      <c r="M392" s="24" t="str">
        <f t="shared" si="73"/>
        <v/>
      </c>
    </row>
    <row r="393" spans="2:13" hidden="1" outlineLevel="1" x14ac:dyDescent="0.3">
      <c r="B393" s="24" t="str">
        <f>IF('TO HOP NLAN'!$A239="","",'TO HOP NLAN'!$A239)</f>
        <v/>
      </c>
      <c r="C393" s="24" t="str">
        <f>IF($B393="","",'TO HOP NLAN'!$D239)</f>
        <v/>
      </c>
      <c r="D393" s="24" t="str">
        <f>IF($B393="","",$C$32*ABS(IFERROR('TO HOP NLAN'!$F239,0)))</f>
        <v/>
      </c>
      <c r="E393" s="24" t="str">
        <f>IF($B393="","",$D$32*ABS(IFERROR('TO HOP NLAN'!$E239,0)))</f>
        <v/>
      </c>
      <c r="F393" s="24" t="str">
        <f t="shared" si="66"/>
        <v/>
      </c>
      <c r="G393" s="24" t="str">
        <f t="shared" si="67"/>
        <v/>
      </c>
      <c r="H393" s="24" t="str">
        <f t="shared" si="68"/>
        <v/>
      </c>
      <c r="I393" s="24" t="str">
        <f t="shared" si="69"/>
        <v/>
      </c>
      <c r="J393" s="24" t="str">
        <f t="shared" si="70"/>
        <v/>
      </c>
      <c r="K393" s="24" t="str">
        <f t="shared" si="71"/>
        <v/>
      </c>
      <c r="L393" s="24" t="str">
        <f t="shared" si="72"/>
        <v/>
      </c>
      <c r="M393" s="24" t="str">
        <f t="shared" si="73"/>
        <v/>
      </c>
    </row>
    <row r="394" spans="2:13" hidden="1" outlineLevel="1" x14ac:dyDescent="0.3">
      <c r="B394" s="24" t="str">
        <f>IF('TO HOP NLAN'!$A240="","",'TO HOP NLAN'!$A240)</f>
        <v/>
      </c>
      <c r="C394" s="24" t="str">
        <f>IF($B394="","",'TO HOP NLAN'!$D240)</f>
        <v/>
      </c>
      <c r="D394" s="24" t="str">
        <f>IF($B394="","",$C$32*ABS(IFERROR('TO HOP NLAN'!$F240,0)))</f>
        <v/>
      </c>
      <c r="E394" s="24" t="str">
        <f>IF($B394="","",$D$32*ABS(IFERROR('TO HOP NLAN'!$E240,0)))</f>
        <v/>
      </c>
      <c r="F394" s="24" t="str">
        <f t="shared" si="66"/>
        <v/>
      </c>
      <c r="G394" s="24" t="str">
        <f t="shared" si="67"/>
        <v/>
      </c>
      <c r="H394" s="24" t="str">
        <f t="shared" si="68"/>
        <v/>
      </c>
      <c r="I394" s="24" t="str">
        <f t="shared" si="69"/>
        <v/>
      </c>
      <c r="J394" s="24" t="str">
        <f t="shared" si="70"/>
        <v/>
      </c>
      <c r="K394" s="24" t="str">
        <f t="shared" si="71"/>
        <v/>
      </c>
      <c r="L394" s="24" t="str">
        <f t="shared" si="72"/>
        <v/>
      </c>
      <c r="M394" s="24" t="str">
        <f t="shared" si="73"/>
        <v/>
      </c>
    </row>
    <row r="395" spans="2:13" hidden="1" outlineLevel="1" x14ac:dyDescent="0.3">
      <c r="B395" s="24" t="str">
        <f>IF('TO HOP NLAN'!$A241="","",'TO HOP NLAN'!$A241)</f>
        <v/>
      </c>
      <c r="C395" s="24" t="str">
        <f>IF($B395="","",'TO HOP NLAN'!$D241)</f>
        <v/>
      </c>
      <c r="D395" s="24" t="str">
        <f>IF($B395="","",$C$32*ABS(IFERROR('TO HOP NLAN'!$F241,0)))</f>
        <v/>
      </c>
      <c r="E395" s="24" t="str">
        <f>IF($B395="","",$D$32*ABS(IFERROR('TO HOP NLAN'!$E241,0)))</f>
        <v/>
      </c>
      <c r="F395" s="24" t="str">
        <f t="shared" si="66"/>
        <v/>
      </c>
      <c r="G395" s="24" t="str">
        <f t="shared" si="67"/>
        <v/>
      </c>
      <c r="H395" s="24" t="str">
        <f t="shared" si="68"/>
        <v/>
      </c>
      <c r="I395" s="24" t="str">
        <f t="shared" si="69"/>
        <v/>
      </c>
      <c r="J395" s="24" t="str">
        <f t="shared" si="70"/>
        <v/>
      </c>
      <c r="K395" s="24" t="str">
        <f t="shared" si="71"/>
        <v/>
      </c>
      <c r="L395" s="24" t="str">
        <f t="shared" si="72"/>
        <v/>
      </c>
      <c r="M395" s="24" t="str">
        <f t="shared" si="73"/>
        <v/>
      </c>
    </row>
    <row r="396" spans="2:13" hidden="1" outlineLevel="1" x14ac:dyDescent="0.3">
      <c r="B396" s="24" t="str">
        <f>IF('TO HOP NLAN'!$A242="","",'TO HOP NLAN'!$A242)</f>
        <v/>
      </c>
      <c r="C396" s="24" t="str">
        <f>IF($B396="","",'TO HOP NLAN'!$D242)</f>
        <v/>
      </c>
      <c r="D396" s="24" t="str">
        <f>IF($B396="","",$C$32*ABS(IFERROR('TO HOP NLAN'!$F242,0)))</f>
        <v/>
      </c>
      <c r="E396" s="24" t="str">
        <f>IF($B396="","",$D$32*ABS(IFERROR('TO HOP NLAN'!$E242,0)))</f>
        <v/>
      </c>
      <c r="F396" s="24" t="str">
        <f t="shared" si="66"/>
        <v/>
      </c>
      <c r="G396" s="24" t="str">
        <f t="shared" si="67"/>
        <v/>
      </c>
      <c r="H396" s="24" t="str">
        <f t="shared" si="68"/>
        <v/>
      </c>
      <c r="I396" s="24" t="str">
        <f t="shared" si="69"/>
        <v/>
      </c>
      <c r="J396" s="24" t="str">
        <f t="shared" si="70"/>
        <v/>
      </c>
      <c r="K396" s="24" t="str">
        <f t="shared" si="71"/>
        <v/>
      </c>
      <c r="L396" s="24" t="str">
        <f t="shared" si="72"/>
        <v/>
      </c>
      <c r="M396" s="24" t="str">
        <f t="shared" si="73"/>
        <v/>
      </c>
    </row>
    <row r="397" spans="2:13" hidden="1" outlineLevel="1" x14ac:dyDescent="0.3">
      <c r="B397" s="24" t="str">
        <f>IF('TO HOP NLAN'!$A243="","",'TO HOP NLAN'!$A243)</f>
        <v/>
      </c>
      <c r="C397" s="24" t="str">
        <f>IF($B397="","",'TO HOP NLAN'!$D243)</f>
        <v/>
      </c>
      <c r="D397" s="24" t="str">
        <f>IF($B397="","",$C$32*ABS(IFERROR('TO HOP NLAN'!$F243,0)))</f>
        <v/>
      </c>
      <c r="E397" s="24" t="str">
        <f>IF($B397="","",$D$32*ABS(IFERROR('TO HOP NLAN'!$E243,0)))</f>
        <v/>
      </c>
      <c r="F397" s="24" t="str">
        <f t="shared" si="66"/>
        <v/>
      </c>
      <c r="G397" s="24" t="str">
        <f t="shared" si="67"/>
        <v/>
      </c>
      <c r="H397" s="24" t="str">
        <f t="shared" si="68"/>
        <v/>
      </c>
      <c r="I397" s="24" t="str">
        <f t="shared" si="69"/>
        <v/>
      </c>
      <c r="J397" s="24" t="str">
        <f t="shared" si="70"/>
        <v/>
      </c>
      <c r="K397" s="24" t="str">
        <f t="shared" si="71"/>
        <v/>
      </c>
      <c r="L397" s="24" t="str">
        <f t="shared" si="72"/>
        <v/>
      </c>
      <c r="M397" s="24" t="str">
        <f t="shared" si="73"/>
        <v/>
      </c>
    </row>
    <row r="398" spans="2:13" hidden="1" outlineLevel="1" x14ac:dyDescent="0.3">
      <c r="B398" s="24" t="str">
        <f>IF('TO HOP NLAN'!$A244="","",'TO HOP NLAN'!$A244)</f>
        <v/>
      </c>
      <c r="C398" s="24" t="str">
        <f>IF($B398="","",'TO HOP NLAN'!$D244)</f>
        <v/>
      </c>
      <c r="D398" s="24" t="str">
        <f>IF($B398="","",$C$32*ABS(IFERROR('TO HOP NLAN'!$F244,0)))</f>
        <v/>
      </c>
      <c r="E398" s="24" t="str">
        <f>IF($B398="","",$D$32*ABS(IFERROR('TO HOP NLAN'!$E244,0)))</f>
        <v/>
      </c>
      <c r="F398" s="24" t="str">
        <f t="shared" si="66"/>
        <v/>
      </c>
      <c r="G398" s="24" t="str">
        <f t="shared" si="67"/>
        <v/>
      </c>
      <c r="H398" s="24" t="str">
        <f t="shared" si="68"/>
        <v/>
      </c>
      <c r="I398" s="24" t="str">
        <f t="shared" si="69"/>
        <v/>
      </c>
      <c r="J398" s="24" t="str">
        <f t="shared" si="70"/>
        <v/>
      </c>
      <c r="K398" s="24" t="str">
        <f t="shared" si="71"/>
        <v/>
      </c>
      <c r="L398" s="24" t="str">
        <f t="shared" si="72"/>
        <v/>
      </c>
      <c r="M398" s="24" t="str">
        <f t="shared" si="73"/>
        <v/>
      </c>
    </row>
    <row r="399" spans="2:13" hidden="1" outlineLevel="1" x14ac:dyDescent="0.3">
      <c r="B399" s="24" t="str">
        <f>IF('TO HOP NLAN'!$A245="","",'TO HOP NLAN'!$A245)</f>
        <v/>
      </c>
      <c r="C399" s="24" t="str">
        <f>IF($B399="","",'TO HOP NLAN'!$D245)</f>
        <v/>
      </c>
      <c r="D399" s="24" t="str">
        <f>IF($B399="","",$C$32*ABS(IFERROR('TO HOP NLAN'!$F245,0)))</f>
        <v/>
      </c>
      <c r="E399" s="24" t="str">
        <f>IF($B399="","",$D$32*ABS(IFERROR('TO HOP NLAN'!$E245,0)))</f>
        <v/>
      </c>
      <c r="F399" s="24" t="str">
        <f t="shared" si="66"/>
        <v/>
      </c>
      <c r="G399" s="24" t="str">
        <f t="shared" si="67"/>
        <v/>
      </c>
      <c r="H399" s="24" t="str">
        <f t="shared" si="68"/>
        <v/>
      </c>
      <c r="I399" s="24" t="str">
        <f t="shared" si="69"/>
        <v/>
      </c>
      <c r="J399" s="24" t="str">
        <f t="shared" si="70"/>
        <v/>
      </c>
      <c r="K399" s="24" t="str">
        <f t="shared" si="71"/>
        <v/>
      </c>
      <c r="L399" s="24" t="str">
        <f t="shared" si="72"/>
        <v/>
      </c>
      <c r="M399" s="24" t="str">
        <f t="shared" si="73"/>
        <v/>
      </c>
    </row>
    <row r="400" spans="2:13" hidden="1" outlineLevel="1" x14ac:dyDescent="0.3">
      <c r="B400" s="24" t="str">
        <f>IF('TO HOP NLAN'!$A246="","",'TO HOP NLAN'!$A246)</f>
        <v/>
      </c>
      <c r="C400" s="24" t="str">
        <f>IF($B400="","",'TO HOP NLAN'!$D246)</f>
        <v/>
      </c>
      <c r="D400" s="24" t="str">
        <f>IF($B400="","",$C$32*ABS(IFERROR('TO HOP NLAN'!$F246,0)))</f>
        <v/>
      </c>
      <c r="E400" s="24" t="str">
        <f>IF($B400="","",$D$32*ABS(IFERROR('TO HOP NLAN'!$E246,0)))</f>
        <v/>
      </c>
      <c r="F400" s="24" t="str">
        <f t="shared" si="66"/>
        <v/>
      </c>
      <c r="G400" s="24" t="str">
        <f t="shared" si="67"/>
        <v/>
      </c>
      <c r="H400" s="24" t="str">
        <f t="shared" si="68"/>
        <v/>
      </c>
      <c r="I400" s="24" t="str">
        <f t="shared" si="69"/>
        <v/>
      </c>
      <c r="J400" s="24" t="str">
        <f t="shared" si="70"/>
        <v/>
      </c>
      <c r="K400" s="24" t="str">
        <f t="shared" si="71"/>
        <v/>
      </c>
      <c r="L400" s="24" t="str">
        <f t="shared" si="72"/>
        <v/>
      </c>
      <c r="M400" s="24" t="str">
        <f t="shared" si="73"/>
        <v/>
      </c>
    </row>
    <row r="401" spans="2:13" hidden="1" outlineLevel="1" x14ac:dyDescent="0.3">
      <c r="B401" s="24" t="str">
        <f>IF('TO HOP NLAN'!$A247="","",'TO HOP NLAN'!$A247)</f>
        <v/>
      </c>
      <c r="C401" s="24" t="str">
        <f>IF($B401="","",'TO HOP NLAN'!$D247)</f>
        <v/>
      </c>
      <c r="D401" s="24" t="str">
        <f>IF($B401="","",$C$32*ABS(IFERROR('TO HOP NLAN'!$F247,0)))</f>
        <v/>
      </c>
      <c r="E401" s="24" t="str">
        <f>IF($B401="","",$D$32*ABS(IFERROR('TO HOP NLAN'!$E247,0)))</f>
        <v/>
      </c>
      <c r="F401" s="24" t="str">
        <f t="shared" si="66"/>
        <v/>
      </c>
      <c r="G401" s="24" t="str">
        <f t="shared" si="67"/>
        <v/>
      </c>
      <c r="H401" s="24" t="str">
        <f t="shared" si="68"/>
        <v/>
      </c>
      <c r="I401" s="24" t="str">
        <f t="shared" si="69"/>
        <v/>
      </c>
      <c r="J401" s="24" t="str">
        <f t="shared" si="70"/>
        <v/>
      </c>
      <c r="K401" s="24" t="str">
        <f t="shared" si="71"/>
        <v/>
      </c>
      <c r="L401" s="24" t="str">
        <f t="shared" si="72"/>
        <v/>
      </c>
      <c r="M401" s="24" t="str">
        <f t="shared" si="73"/>
        <v/>
      </c>
    </row>
    <row r="402" spans="2:13" hidden="1" outlineLevel="1" x14ac:dyDescent="0.3">
      <c r="B402" s="24" t="str">
        <f>IF('TO HOP NLAN'!$A248="","",'TO HOP NLAN'!$A248)</f>
        <v/>
      </c>
      <c r="C402" s="24" t="str">
        <f>IF($B402="","",'TO HOP NLAN'!$D248)</f>
        <v/>
      </c>
      <c r="D402" s="24" t="str">
        <f>IF($B402="","",$C$32*ABS(IFERROR('TO HOP NLAN'!$F248,0)))</f>
        <v/>
      </c>
      <c r="E402" s="24" t="str">
        <f>IF($B402="","",$D$32*ABS(IFERROR('TO HOP NLAN'!$E248,0)))</f>
        <v/>
      </c>
      <c r="F402" s="24" t="str">
        <f t="shared" si="66"/>
        <v/>
      </c>
      <c r="G402" s="24" t="str">
        <f t="shared" si="67"/>
        <v/>
      </c>
      <c r="H402" s="24" t="str">
        <f t="shared" si="68"/>
        <v/>
      </c>
      <c r="I402" s="24" t="str">
        <f t="shared" si="69"/>
        <v/>
      </c>
      <c r="J402" s="24" t="str">
        <f t="shared" si="70"/>
        <v/>
      </c>
      <c r="K402" s="24" t="str">
        <f t="shared" si="71"/>
        <v/>
      </c>
      <c r="L402" s="24" t="str">
        <f t="shared" si="72"/>
        <v/>
      </c>
      <c r="M402" s="24" t="str">
        <f t="shared" si="73"/>
        <v/>
      </c>
    </row>
    <row r="403" spans="2:13" hidden="1" outlineLevel="1" x14ac:dyDescent="0.3">
      <c r="B403" s="24" t="str">
        <f>IF('TO HOP NLAN'!$A249="","",'TO HOP NLAN'!$A249)</f>
        <v/>
      </c>
      <c r="C403" s="24" t="str">
        <f>IF($B403="","",'TO HOP NLAN'!$D249)</f>
        <v/>
      </c>
      <c r="D403" s="24" t="str">
        <f>IF($B403="","",$C$32*ABS(IFERROR('TO HOP NLAN'!$F249,0)))</f>
        <v/>
      </c>
      <c r="E403" s="24" t="str">
        <f>IF($B403="","",$D$32*ABS(IFERROR('TO HOP NLAN'!$E249,0)))</f>
        <v/>
      </c>
      <c r="F403" s="24" t="str">
        <f t="shared" si="66"/>
        <v/>
      </c>
      <c r="G403" s="24" t="str">
        <f t="shared" si="67"/>
        <v/>
      </c>
      <c r="H403" s="24" t="str">
        <f t="shared" si="68"/>
        <v/>
      </c>
      <c r="I403" s="24" t="str">
        <f t="shared" si="69"/>
        <v/>
      </c>
      <c r="J403" s="24" t="str">
        <f t="shared" si="70"/>
        <v/>
      </c>
      <c r="K403" s="24" t="str">
        <f t="shared" si="71"/>
        <v/>
      </c>
      <c r="L403" s="24" t="str">
        <f t="shared" si="72"/>
        <v/>
      </c>
      <c r="M403" s="24" t="str">
        <f t="shared" si="73"/>
        <v/>
      </c>
    </row>
    <row r="404" spans="2:13" hidden="1" outlineLevel="1" x14ac:dyDescent="0.3">
      <c r="B404" s="24" t="str">
        <f>IF('TO HOP NLAN'!$A250="","",'TO HOP NLAN'!$A250)</f>
        <v/>
      </c>
      <c r="C404" s="24" t="str">
        <f>IF($B404="","",'TO HOP NLAN'!$D250)</f>
        <v/>
      </c>
      <c r="D404" s="24" t="str">
        <f>IF($B404="","",$C$32*ABS(IFERROR('TO HOP NLAN'!$F250,0)))</f>
        <v/>
      </c>
      <c r="E404" s="24" t="str">
        <f>IF($B404="","",$D$32*ABS(IFERROR('TO HOP NLAN'!$E250,0)))</f>
        <v/>
      </c>
      <c r="F404" s="24" t="str">
        <f t="shared" si="66"/>
        <v/>
      </c>
      <c r="G404" s="24" t="str">
        <f t="shared" si="67"/>
        <v/>
      </c>
      <c r="H404" s="24" t="str">
        <f t="shared" si="68"/>
        <v/>
      </c>
      <c r="I404" s="24" t="str">
        <f t="shared" si="69"/>
        <v/>
      </c>
      <c r="J404" s="24" t="str">
        <f t="shared" si="70"/>
        <v/>
      </c>
      <c r="K404" s="24" t="str">
        <f t="shared" si="71"/>
        <v/>
      </c>
      <c r="L404" s="24" t="str">
        <f t="shared" si="72"/>
        <v/>
      </c>
      <c r="M404" s="24" t="str">
        <f t="shared" si="73"/>
        <v/>
      </c>
    </row>
    <row r="405" spans="2:13" hidden="1" outlineLevel="1" x14ac:dyDescent="0.3">
      <c r="B405" s="24" t="str">
        <f>IF('TO HOP NLAN'!$A251="","",'TO HOP NLAN'!$A251)</f>
        <v/>
      </c>
      <c r="C405" s="24" t="str">
        <f>IF($B405="","",'TO HOP NLAN'!$D251)</f>
        <v/>
      </c>
      <c r="D405" s="24" t="str">
        <f>IF($B405="","",$C$32*ABS(IFERROR('TO HOP NLAN'!$F251,0)))</f>
        <v/>
      </c>
      <c r="E405" s="24" t="str">
        <f>IF($B405="","",$D$32*ABS(IFERROR('TO HOP NLAN'!$E251,0)))</f>
        <v/>
      </c>
      <c r="F405" s="24" t="str">
        <f t="shared" si="66"/>
        <v/>
      </c>
      <c r="G405" s="24" t="str">
        <f t="shared" si="67"/>
        <v/>
      </c>
      <c r="H405" s="24" t="str">
        <f t="shared" si="68"/>
        <v/>
      </c>
      <c r="I405" s="24" t="str">
        <f t="shared" si="69"/>
        <v/>
      </c>
      <c r="J405" s="24" t="str">
        <f t="shared" si="70"/>
        <v/>
      </c>
      <c r="K405" s="24" t="str">
        <f t="shared" si="71"/>
        <v/>
      </c>
      <c r="L405" s="24" t="str">
        <f t="shared" si="72"/>
        <v/>
      </c>
      <c r="M405" s="24" t="str">
        <f t="shared" si="73"/>
        <v/>
      </c>
    </row>
    <row r="406" spans="2:13" hidden="1" outlineLevel="1" x14ac:dyDescent="0.3">
      <c r="B406" s="24" t="str">
        <f>IF('TO HOP NLAN'!$A252="","",'TO HOP NLAN'!$A252)</f>
        <v/>
      </c>
      <c r="C406" s="24" t="str">
        <f>IF($B406="","",'TO HOP NLAN'!$D252)</f>
        <v/>
      </c>
      <c r="D406" s="24" t="str">
        <f>IF($B406="","",$C$32*ABS(IFERROR('TO HOP NLAN'!$F252,0)))</f>
        <v/>
      </c>
      <c r="E406" s="24" t="str">
        <f>IF($B406="","",$D$32*ABS(IFERROR('TO HOP NLAN'!$E252,0)))</f>
        <v/>
      </c>
      <c r="F406" s="24" t="str">
        <f t="shared" si="66"/>
        <v/>
      </c>
      <c r="G406" s="24" t="str">
        <f t="shared" si="67"/>
        <v/>
      </c>
      <c r="H406" s="24" t="str">
        <f t="shared" si="68"/>
        <v/>
      </c>
      <c r="I406" s="24" t="str">
        <f t="shared" si="69"/>
        <v/>
      </c>
      <c r="J406" s="24" t="str">
        <f t="shared" si="70"/>
        <v/>
      </c>
      <c r="K406" s="24" t="str">
        <f t="shared" si="71"/>
        <v/>
      </c>
      <c r="L406" s="24" t="str">
        <f t="shared" si="72"/>
        <v/>
      </c>
      <c r="M406" s="24" t="str">
        <f t="shared" si="73"/>
        <v/>
      </c>
    </row>
    <row r="407" spans="2:13" hidden="1" outlineLevel="1" x14ac:dyDescent="0.3">
      <c r="B407" s="24" t="str">
        <f>IF('TO HOP NLAN'!$A253="","",'TO HOP NLAN'!$A253)</f>
        <v/>
      </c>
      <c r="C407" s="24" t="str">
        <f>IF($B407="","",'TO HOP NLAN'!$D253)</f>
        <v/>
      </c>
      <c r="D407" s="24" t="str">
        <f>IF($B407="","",$C$32*ABS(IFERROR('TO HOP NLAN'!$F253,0)))</f>
        <v/>
      </c>
      <c r="E407" s="24" t="str">
        <f>IF($B407="","",$D$32*ABS(IFERROR('TO HOP NLAN'!$E253,0)))</f>
        <v/>
      </c>
      <c r="F407" s="24" t="str">
        <f t="shared" si="66"/>
        <v/>
      </c>
      <c r="G407" s="24" t="str">
        <f t="shared" si="67"/>
        <v/>
      </c>
      <c r="H407" s="24" t="str">
        <f t="shared" si="68"/>
        <v/>
      </c>
      <c r="I407" s="24" t="str">
        <f t="shared" si="69"/>
        <v/>
      </c>
      <c r="J407" s="24" t="str">
        <f t="shared" si="70"/>
        <v/>
      </c>
      <c r="K407" s="24" t="str">
        <f t="shared" si="71"/>
        <v/>
      </c>
      <c r="L407" s="24" t="str">
        <f t="shared" si="72"/>
        <v/>
      </c>
      <c r="M407" s="24" t="str">
        <f t="shared" si="73"/>
        <v/>
      </c>
    </row>
    <row r="408" spans="2:13" hidden="1" outlineLevel="1" x14ac:dyDescent="0.3">
      <c r="B408" s="24" t="str">
        <f>IF('TO HOP NLAN'!$A254="","",'TO HOP NLAN'!$A254)</f>
        <v/>
      </c>
      <c r="C408" s="24" t="str">
        <f>IF($B408="","",'TO HOP NLAN'!$D254)</f>
        <v/>
      </c>
      <c r="D408" s="24" t="str">
        <f>IF($B408="","",$C$32*ABS(IFERROR('TO HOP NLAN'!$F254,0)))</f>
        <v/>
      </c>
      <c r="E408" s="24" t="str">
        <f>IF($B408="","",$D$32*ABS(IFERROR('TO HOP NLAN'!$E254,0)))</f>
        <v/>
      </c>
      <c r="F408" s="24" t="str">
        <f t="shared" si="66"/>
        <v/>
      </c>
      <c r="G408" s="24" t="str">
        <f t="shared" si="67"/>
        <v/>
      </c>
      <c r="H408" s="24" t="str">
        <f t="shared" si="68"/>
        <v/>
      </c>
      <c r="I408" s="24" t="str">
        <f t="shared" si="69"/>
        <v/>
      </c>
      <c r="J408" s="24" t="str">
        <f t="shared" si="70"/>
        <v/>
      </c>
      <c r="K408" s="24" t="str">
        <f t="shared" si="71"/>
        <v/>
      </c>
      <c r="L408" s="24" t="str">
        <f t="shared" si="72"/>
        <v/>
      </c>
      <c r="M408" s="24" t="str">
        <f t="shared" si="73"/>
        <v/>
      </c>
    </row>
    <row r="409" spans="2:13" hidden="1" outlineLevel="1" x14ac:dyDescent="0.3">
      <c r="B409" s="24" t="str">
        <f>IF('TO HOP NLAN'!$A255="","",'TO HOP NLAN'!$A255)</f>
        <v/>
      </c>
      <c r="C409" s="24" t="str">
        <f>IF($B409="","",'TO HOP NLAN'!$D255)</f>
        <v/>
      </c>
      <c r="D409" s="24" t="str">
        <f>IF($B409="","",$C$32*ABS(IFERROR('TO HOP NLAN'!$F255,0)))</f>
        <v/>
      </c>
      <c r="E409" s="24" t="str">
        <f>IF($B409="","",$D$32*ABS(IFERROR('TO HOP NLAN'!$E255,0)))</f>
        <v/>
      </c>
      <c r="F409" s="24" t="str">
        <f t="shared" si="66"/>
        <v/>
      </c>
      <c r="G409" s="24" t="str">
        <f t="shared" si="67"/>
        <v/>
      </c>
      <c r="H409" s="24" t="str">
        <f t="shared" si="68"/>
        <v/>
      </c>
      <c r="I409" s="24" t="str">
        <f t="shared" si="69"/>
        <v/>
      </c>
      <c r="J409" s="24" t="str">
        <f t="shared" si="70"/>
        <v/>
      </c>
      <c r="K409" s="24" t="str">
        <f t="shared" si="71"/>
        <v/>
      </c>
      <c r="L409" s="24" t="str">
        <f t="shared" si="72"/>
        <v/>
      </c>
      <c r="M409" s="24" t="str">
        <f t="shared" si="73"/>
        <v/>
      </c>
    </row>
    <row r="410" spans="2:13" hidden="1" outlineLevel="1" x14ac:dyDescent="0.3">
      <c r="B410" s="24" t="str">
        <f>IF('TO HOP NLAN'!$A256="","",'TO HOP NLAN'!$A256)</f>
        <v/>
      </c>
      <c r="C410" s="24" t="str">
        <f>IF($B410="","",'TO HOP NLAN'!$D256)</f>
        <v/>
      </c>
      <c r="D410" s="24" t="str">
        <f>IF($B410="","",$C$32*ABS(IFERROR('TO HOP NLAN'!$F256,0)))</f>
        <v/>
      </c>
      <c r="E410" s="24" t="str">
        <f>IF($B410="","",$D$32*ABS(IFERROR('TO HOP NLAN'!$E256,0)))</f>
        <v/>
      </c>
      <c r="F410" s="24" t="str">
        <f t="shared" si="66"/>
        <v/>
      </c>
      <c r="G410" s="24" t="str">
        <f t="shared" si="67"/>
        <v/>
      </c>
      <c r="H410" s="24" t="str">
        <f t="shared" si="68"/>
        <v/>
      </c>
      <c r="I410" s="24" t="str">
        <f t="shared" si="69"/>
        <v/>
      </c>
      <c r="J410" s="24" t="str">
        <f t="shared" si="70"/>
        <v/>
      </c>
      <c r="K410" s="24" t="str">
        <f t="shared" si="71"/>
        <v/>
      </c>
      <c r="L410" s="24" t="str">
        <f t="shared" si="72"/>
        <v/>
      </c>
      <c r="M410" s="24" t="str">
        <f t="shared" si="73"/>
        <v/>
      </c>
    </row>
    <row r="411" spans="2:13" hidden="1" outlineLevel="1" x14ac:dyDescent="0.3">
      <c r="B411" s="24" t="str">
        <f>IF('TO HOP NLAN'!$A257="","",'TO HOP NLAN'!$A257)</f>
        <v/>
      </c>
      <c r="C411" s="24" t="str">
        <f>IF($B411="","",'TO HOP NLAN'!$D257)</f>
        <v/>
      </c>
      <c r="D411" s="24" t="str">
        <f>IF($B411="","",$C$32*ABS(IFERROR('TO HOP NLAN'!$F257,0)))</f>
        <v/>
      </c>
      <c r="E411" s="24" t="str">
        <f>IF($B411="","",$D$32*ABS(IFERROR('TO HOP NLAN'!$E257,0)))</f>
        <v/>
      </c>
      <c r="F411" s="24" t="str">
        <f t="shared" si="66"/>
        <v/>
      </c>
      <c r="G411" s="24" t="str">
        <f t="shared" si="67"/>
        <v/>
      </c>
      <c r="H411" s="24" t="str">
        <f t="shared" si="68"/>
        <v/>
      </c>
      <c r="I411" s="24" t="str">
        <f t="shared" si="69"/>
        <v/>
      </c>
      <c r="J411" s="24" t="str">
        <f t="shared" si="70"/>
        <v/>
      </c>
      <c r="K411" s="24" t="str">
        <f t="shared" si="71"/>
        <v/>
      </c>
      <c r="L411" s="24" t="str">
        <f t="shared" si="72"/>
        <v/>
      </c>
      <c r="M411" s="24" t="str">
        <f t="shared" si="73"/>
        <v/>
      </c>
    </row>
    <row r="412" spans="2:13" hidden="1" outlineLevel="1" x14ac:dyDescent="0.3">
      <c r="B412" s="24" t="str">
        <f>IF('TO HOP NLAN'!$A258="","",'TO HOP NLAN'!$A258)</f>
        <v/>
      </c>
      <c r="C412" s="24" t="str">
        <f>IF($B412="","",'TO HOP NLAN'!$D258)</f>
        <v/>
      </c>
      <c r="D412" s="24" t="str">
        <f>IF($B412="","",$C$32*ABS(IFERROR('TO HOP NLAN'!$F258,0)))</f>
        <v/>
      </c>
      <c r="E412" s="24" t="str">
        <f>IF($B412="","",$D$32*ABS(IFERROR('TO HOP NLAN'!$E258,0)))</f>
        <v/>
      </c>
      <c r="F412" s="24" t="str">
        <f t="shared" si="66"/>
        <v/>
      </c>
      <c r="G412" s="24" t="str">
        <f t="shared" si="67"/>
        <v/>
      </c>
      <c r="H412" s="24" t="str">
        <f t="shared" si="68"/>
        <v/>
      </c>
      <c r="I412" s="24" t="str">
        <f t="shared" si="69"/>
        <v/>
      </c>
      <c r="J412" s="24" t="str">
        <f t="shared" si="70"/>
        <v/>
      </c>
      <c r="K412" s="24" t="str">
        <f t="shared" si="71"/>
        <v/>
      </c>
      <c r="L412" s="24" t="str">
        <f t="shared" si="72"/>
        <v/>
      </c>
      <c r="M412" s="24" t="str">
        <f t="shared" si="73"/>
        <v/>
      </c>
    </row>
    <row r="413" spans="2:13" hidden="1" outlineLevel="1" x14ac:dyDescent="0.3">
      <c r="B413" s="24" t="str">
        <f>IF('TO HOP NLAN'!$A259="","",'TO HOP NLAN'!$A259)</f>
        <v/>
      </c>
      <c r="C413" s="24" t="str">
        <f>IF($B413="","",'TO HOP NLAN'!$D259)</f>
        <v/>
      </c>
      <c r="D413" s="24" t="str">
        <f>IF($B413="","",$C$32*ABS(IFERROR('TO HOP NLAN'!$F259,0)))</f>
        <v/>
      </c>
      <c r="E413" s="24" t="str">
        <f>IF($B413="","",$D$32*ABS(IFERROR('TO HOP NLAN'!$E259,0)))</f>
        <v/>
      </c>
      <c r="F413" s="24" t="str">
        <f t="shared" si="66"/>
        <v/>
      </c>
      <c r="G413" s="24" t="str">
        <f t="shared" si="67"/>
        <v/>
      </c>
      <c r="H413" s="24" t="str">
        <f t="shared" si="68"/>
        <v/>
      </c>
      <c r="I413" s="24" t="str">
        <f t="shared" si="69"/>
        <v/>
      </c>
      <c r="J413" s="24" t="str">
        <f t="shared" si="70"/>
        <v/>
      </c>
      <c r="K413" s="24" t="str">
        <f t="shared" si="71"/>
        <v/>
      </c>
      <c r="L413" s="24" t="str">
        <f t="shared" si="72"/>
        <v/>
      </c>
      <c r="M413" s="24" t="str">
        <f t="shared" si="73"/>
        <v/>
      </c>
    </row>
    <row r="414" spans="2:13" hidden="1" outlineLevel="1" x14ac:dyDescent="0.3">
      <c r="B414" s="24" t="str">
        <f>IF('TO HOP NLAN'!$A260="","",'TO HOP NLAN'!$A260)</f>
        <v/>
      </c>
      <c r="C414" s="24" t="str">
        <f>IF($B414="","",'TO HOP NLAN'!$D260)</f>
        <v/>
      </c>
      <c r="D414" s="24" t="str">
        <f>IF($B414="","",$C$32*ABS(IFERROR('TO HOP NLAN'!$F260,0)))</f>
        <v/>
      </c>
      <c r="E414" s="24" t="str">
        <f>IF($B414="","",$D$32*ABS(IFERROR('TO HOP NLAN'!$E260,0)))</f>
        <v/>
      </c>
      <c r="F414" s="24" t="str">
        <f t="shared" si="66"/>
        <v/>
      </c>
      <c r="G414" s="24" t="str">
        <f t="shared" si="67"/>
        <v/>
      </c>
      <c r="H414" s="24" t="str">
        <f t="shared" si="68"/>
        <v/>
      </c>
      <c r="I414" s="24" t="str">
        <f t="shared" si="69"/>
        <v/>
      </c>
      <c r="J414" s="24" t="str">
        <f t="shared" si="70"/>
        <v/>
      </c>
      <c r="K414" s="24" t="str">
        <f t="shared" si="71"/>
        <v/>
      </c>
      <c r="L414" s="24" t="str">
        <f t="shared" si="72"/>
        <v/>
      </c>
      <c r="M414" s="24" t="str">
        <f t="shared" si="73"/>
        <v/>
      </c>
    </row>
    <row r="415" spans="2:13" hidden="1" outlineLevel="1" x14ac:dyDescent="0.3">
      <c r="B415" s="24" t="str">
        <f>IF('TO HOP NLAN'!$A261="","",'TO HOP NLAN'!$A261)</f>
        <v/>
      </c>
      <c r="C415" s="24" t="str">
        <f>IF($B415="","",'TO HOP NLAN'!$D261)</f>
        <v/>
      </c>
      <c r="D415" s="24" t="str">
        <f>IF($B415="","",$C$32*ABS(IFERROR('TO HOP NLAN'!$F261,0)))</f>
        <v/>
      </c>
      <c r="E415" s="24" t="str">
        <f>IF($B415="","",$D$32*ABS(IFERROR('TO HOP NLAN'!$E261,0)))</f>
        <v/>
      </c>
      <c r="F415" s="24" t="str">
        <f t="shared" si="66"/>
        <v/>
      </c>
      <c r="G415" s="24" t="str">
        <f t="shared" si="67"/>
        <v/>
      </c>
      <c r="H415" s="24" t="str">
        <f t="shared" si="68"/>
        <v/>
      </c>
      <c r="I415" s="24" t="str">
        <f t="shared" si="69"/>
        <v/>
      </c>
      <c r="J415" s="24" t="str">
        <f t="shared" si="70"/>
        <v/>
      </c>
      <c r="K415" s="24" t="str">
        <f t="shared" si="71"/>
        <v/>
      </c>
      <c r="L415" s="24" t="str">
        <f t="shared" si="72"/>
        <v/>
      </c>
      <c r="M415" s="24" t="str">
        <f t="shared" si="73"/>
        <v/>
      </c>
    </row>
    <row r="416" spans="2:13" hidden="1" outlineLevel="1" x14ac:dyDescent="0.3">
      <c r="B416" s="24" t="str">
        <f>IF('TO HOP NLAN'!$A262="","",'TO HOP NLAN'!$A262)</f>
        <v/>
      </c>
      <c r="C416" s="24" t="str">
        <f>IF($B416="","",'TO HOP NLAN'!$D262)</f>
        <v/>
      </c>
      <c r="D416" s="24" t="str">
        <f>IF($B416="","",$C$32*ABS(IFERROR('TO HOP NLAN'!$F262,0)))</f>
        <v/>
      </c>
      <c r="E416" s="24" t="str">
        <f>IF($B416="","",$D$32*ABS(IFERROR('TO HOP NLAN'!$E262,0)))</f>
        <v/>
      </c>
      <c r="F416" s="24" t="str">
        <f t="shared" si="66"/>
        <v/>
      </c>
      <c r="G416" s="24" t="str">
        <f t="shared" si="67"/>
        <v/>
      </c>
      <c r="H416" s="24" t="str">
        <f t="shared" si="68"/>
        <v/>
      </c>
      <c r="I416" s="24" t="str">
        <f t="shared" si="69"/>
        <v/>
      </c>
      <c r="J416" s="24" t="str">
        <f t="shared" si="70"/>
        <v/>
      </c>
      <c r="K416" s="24" t="str">
        <f t="shared" si="71"/>
        <v/>
      </c>
      <c r="L416" s="24" t="str">
        <f t="shared" si="72"/>
        <v/>
      </c>
      <c r="M416" s="24" t="str">
        <f t="shared" si="73"/>
        <v/>
      </c>
    </row>
    <row r="417" spans="2:13" hidden="1" outlineLevel="1" x14ac:dyDescent="0.3">
      <c r="B417" s="24" t="str">
        <f>IF('TO HOP NLAN'!$A263="","",'TO HOP NLAN'!$A263)</f>
        <v/>
      </c>
      <c r="C417" s="24" t="str">
        <f>IF($B417="","",'TO HOP NLAN'!$D263)</f>
        <v/>
      </c>
      <c r="D417" s="24" t="str">
        <f>IF($B417="","",$C$32*ABS(IFERROR('TO HOP NLAN'!$F263,0)))</f>
        <v/>
      </c>
      <c r="E417" s="24" t="str">
        <f>IF($B417="","",$D$32*ABS(IFERROR('TO HOP NLAN'!$E263,0)))</f>
        <v/>
      </c>
      <c r="F417" s="24" t="str">
        <f t="shared" ref="F417:F465" si="74">IF($B417="","",MAX(0.001,D417/MAX(1,C417)))</f>
        <v/>
      </c>
      <c r="G417" s="24" t="str">
        <f t="shared" ref="G417:G465" si="75">IF($B417="","",MAX(0.001,E417/MAX(1,C417)))</f>
        <v/>
      </c>
      <c r="H417" s="24" t="str">
        <f t="shared" ref="H417:H465" si="76">IF($B417="","",IF(F417&lt;=0.000000001,MIN(0.8*0.75*$C$62,MAX($J$38:$J$58)),IFERROR(MIN(0.8*0.75*$C$62,INDEX($J$38:$J$58,MATCH(F417,$L$38:$L$58,-1))+(INDEX($J$38:$J$58,MIN(21,MATCH(F417,$L$38:$L$58,-1)+1))-INDEX($J$38:$J$58,MATCH(F417,$L$38:$L$58,-1)))*(F417-INDEX($L$38:$L$58,MATCH(F417,$L$38:$L$58,-1)))/(INDEX($L$38:$L$58,MIN(21,MATCH(F417,$L$38:$L$58,-1)+1))-INDEX($L$38:$L$58,MATCH(F417,$L$38:$L$58,-1)))),$C$68/F417)))</f>
        <v/>
      </c>
      <c r="I417" s="24" t="str">
        <f t="shared" ref="I417:I465" si="77">IF($B417="","",IF(G417&lt;=0.000000001,MIN(0.8*0.75*$C$62,MAX($W$38:$W$58)),IFERROR(MIN(0.8*0.75*$C$62,INDEX($W$38:$W$58,MATCH(G417,$Y$38:$Y$58,-1))+(INDEX($W$38:$W$58,MIN(21,MATCH(G417,$Y$38:$Y$58,-1)+1))-INDEX($W$38:$W$58,MATCH(G417,$Y$38:$Y$58,-1)))*(G417-INDEX($Y$38:$Y$58,MATCH(G417,$Y$38:$Y$58,-1)))/(INDEX($Y$38:$Y$58,MIN(21,MATCH(G417,$Y$38:$Y$58,-1)+1))-INDEX($Y$38:$Y$58,MATCH(G417,$Y$38:$Y$58,-1)))),$D$68/G417)))</f>
        <v/>
      </c>
      <c r="J417" s="24" t="str">
        <f t="shared" ref="J417:J465" si="78">IF($B417="","",IFERROR(1/(1/H417+1/I417-1/(0.75*$C$62)),0))</f>
        <v/>
      </c>
      <c r="K417" s="24" t="str">
        <f t="shared" ref="K417:K465" si="79">IF($B417="","",D417/MAX($C$68,0.001)+E417/MAX($D$68,0.001))</f>
        <v/>
      </c>
      <c r="L417" s="24" t="str">
        <f t="shared" ref="L417:L465" si="80">IF($B417="","",IF(C417&gt;=0.1*0.75*fc_*Agth*1000,C417/MAX(J417,0.001),K417))</f>
        <v/>
      </c>
      <c r="M417" s="24" t="str">
        <f t="shared" ref="M417:M465" si="81">IF($B417="","",IF(L417&lt;=1,"ĐẠT","KHÔNG ĐẠT"))</f>
        <v/>
      </c>
    </row>
    <row r="418" spans="2:13" hidden="1" outlineLevel="1" x14ac:dyDescent="0.3">
      <c r="B418" s="24" t="str">
        <f>IF('TO HOP NLAN'!$A264="","",'TO HOP NLAN'!$A264)</f>
        <v/>
      </c>
      <c r="C418" s="24" t="str">
        <f>IF($B418="","",'TO HOP NLAN'!$D264)</f>
        <v/>
      </c>
      <c r="D418" s="24" t="str">
        <f>IF($B418="","",$C$32*ABS(IFERROR('TO HOP NLAN'!$F264,0)))</f>
        <v/>
      </c>
      <c r="E418" s="24" t="str">
        <f>IF($B418="","",$D$32*ABS(IFERROR('TO HOP NLAN'!$E264,0)))</f>
        <v/>
      </c>
      <c r="F418" s="24" t="str">
        <f t="shared" si="74"/>
        <v/>
      </c>
      <c r="G418" s="24" t="str">
        <f t="shared" si="75"/>
        <v/>
      </c>
      <c r="H418" s="24" t="str">
        <f t="shared" si="76"/>
        <v/>
      </c>
      <c r="I418" s="24" t="str">
        <f t="shared" si="77"/>
        <v/>
      </c>
      <c r="J418" s="24" t="str">
        <f t="shared" si="78"/>
        <v/>
      </c>
      <c r="K418" s="24" t="str">
        <f t="shared" si="79"/>
        <v/>
      </c>
      <c r="L418" s="24" t="str">
        <f t="shared" si="80"/>
        <v/>
      </c>
      <c r="M418" s="24" t="str">
        <f t="shared" si="81"/>
        <v/>
      </c>
    </row>
    <row r="419" spans="2:13" hidden="1" outlineLevel="1" x14ac:dyDescent="0.3">
      <c r="B419" s="24" t="str">
        <f>IF('TO HOP NLAN'!$A265="","",'TO HOP NLAN'!$A265)</f>
        <v/>
      </c>
      <c r="C419" s="24" t="str">
        <f>IF($B419="","",'TO HOP NLAN'!$D265)</f>
        <v/>
      </c>
      <c r="D419" s="24" t="str">
        <f>IF($B419="","",$C$32*ABS(IFERROR('TO HOP NLAN'!$F265,0)))</f>
        <v/>
      </c>
      <c r="E419" s="24" t="str">
        <f>IF($B419="","",$D$32*ABS(IFERROR('TO HOP NLAN'!$E265,0)))</f>
        <v/>
      </c>
      <c r="F419" s="24" t="str">
        <f t="shared" si="74"/>
        <v/>
      </c>
      <c r="G419" s="24" t="str">
        <f t="shared" si="75"/>
        <v/>
      </c>
      <c r="H419" s="24" t="str">
        <f t="shared" si="76"/>
        <v/>
      </c>
      <c r="I419" s="24" t="str">
        <f t="shared" si="77"/>
        <v/>
      </c>
      <c r="J419" s="24" t="str">
        <f t="shared" si="78"/>
        <v/>
      </c>
      <c r="K419" s="24" t="str">
        <f t="shared" si="79"/>
        <v/>
      </c>
      <c r="L419" s="24" t="str">
        <f t="shared" si="80"/>
        <v/>
      </c>
      <c r="M419" s="24" t="str">
        <f t="shared" si="81"/>
        <v/>
      </c>
    </row>
    <row r="420" spans="2:13" hidden="1" outlineLevel="1" x14ac:dyDescent="0.3">
      <c r="B420" s="24" t="str">
        <f>IF('TO HOP NLAN'!$A266="","",'TO HOP NLAN'!$A266)</f>
        <v/>
      </c>
      <c r="C420" s="24" t="str">
        <f>IF($B420="","",'TO HOP NLAN'!$D266)</f>
        <v/>
      </c>
      <c r="D420" s="24" t="str">
        <f>IF($B420="","",$C$32*ABS(IFERROR('TO HOP NLAN'!$F266,0)))</f>
        <v/>
      </c>
      <c r="E420" s="24" t="str">
        <f>IF($B420="","",$D$32*ABS(IFERROR('TO HOP NLAN'!$E266,0)))</f>
        <v/>
      </c>
      <c r="F420" s="24" t="str">
        <f t="shared" si="74"/>
        <v/>
      </c>
      <c r="G420" s="24" t="str">
        <f t="shared" si="75"/>
        <v/>
      </c>
      <c r="H420" s="24" t="str">
        <f t="shared" si="76"/>
        <v/>
      </c>
      <c r="I420" s="24" t="str">
        <f t="shared" si="77"/>
        <v/>
      </c>
      <c r="J420" s="24" t="str">
        <f t="shared" si="78"/>
        <v/>
      </c>
      <c r="K420" s="24" t="str">
        <f t="shared" si="79"/>
        <v/>
      </c>
      <c r="L420" s="24" t="str">
        <f t="shared" si="80"/>
        <v/>
      </c>
      <c r="M420" s="24" t="str">
        <f t="shared" si="81"/>
        <v/>
      </c>
    </row>
    <row r="421" spans="2:13" hidden="1" outlineLevel="1" x14ac:dyDescent="0.3">
      <c r="B421" s="24" t="str">
        <f>IF('TO HOP NLAN'!$A267="","",'TO HOP NLAN'!$A267)</f>
        <v/>
      </c>
      <c r="C421" s="24" t="str">
        <f>IF($B421="","",'TO HOP NLAN'!$D267)</f>
        <v/>
      </c>
      <c r="D421" s="24" t="str">
        <f>IF($B421="","",$C$32*ABS(IFERROR('TO HOP NLAN'!$F267,0)))</f>
        <v/>
      </c>
      <c r="E421" s="24" t="str">
        <f>IF($B421="","",$D$32*ABS(IFERROR('TO HOP NLAN'!$E267,0)))</f>
        <v/>
      </c>
      <c r="F421" s="24" t="str">
        <f t="shared" si="74"/>
        <v/>
      </c>
      <c r="G421" s="24" t="str">
        <f t="shared" si="75"/>
        <v/>
      </c>
      <c r="H421" s="24" t="str">
        <f t="shared" si="76"/>
        <v/>
      </c>
      <c r="I421" s="24" t="str">
        <f t="shared" si="77"/>
        <v/>
      </c>
      <c r="J421" s="24" t="str">
        <f t="shared" si="78"/>
        <v/>
      </c>
      <c r="K421" s="24" t="str">
        <f t="shared" si="79"/>
        <v/>
      </c>
      <c r="L421" s="24" t="str">
        <f t="shared" si="80"/>
        <v/>
      </c>
      <c r="M421" s="24" t="str">
        <f t="shared" si="81"/>
        <v/>
      </c>
    </row>
    <row r="422" spans="2:13" hidden="1" outlineLevel="1" x14ac:dyDescent="0.3">
      <c r="B422" s="24" t="str">
        <f>IF('TO HOP NLAN'!$A268="","",'TO HOP NLAN'!$A268)</f>
        <v/>
      </c>
      <c r="C422" s="24" t="str">
        <f>IF($B422="","",'TO HOP NLAN'!$D268)</f>
        <v/>
      </c>
      <c r="D422" s="24" t="str">
        <f>IF($B422="","",$C$32*ABS(IFERROR('TO HOP NLAN'!$F268,0)))</f>
        <v/>
      </c>
      <c r="E422" s="24" t="str">
        <f>IF($B422="","",$D$32*ABS(IFERROR('TO HOP NLAN'!$E268,0)))</f>
        <v/>
      </c>
      <c r="F422" s="24" t="str">
        <f t="shared" si="74"/>
        <v/>
      </c>
      <c r="G422" s="24" t="str">
        <f t="shared" si="75"/>
        <v/>
      </c>
      <c r="H422" s="24" t="str">
        <f t="shared" si="76"/>
        <v/>
      </c>
      <c r="I422" s="24" t="str">
        <f t="shared" si="77"/>
        <v/>
      </c>
      <c r="J422" s="24" t="str">
        <f t="shared" si="78"/>
        <v/>
      </c>
      <c r="K422" s="24" t="str">
        <f t="shared" si="79"/>
        <v/>
      </c>
      <c r="L422" s="24" t="str">
        <f t="shared" si="80"/>
        <v/>
      </c>
      <c r="M422" s="24" t="str">
        <f t="shared" si="81"/>
        <v/>
      </c>
    </row>
    <row r="423" spans="2:13" hidden="1" outlineLevel="1" x14ac:dyDescent="0.3">
      <c r="B423" s="24" t="str">
        <f>IF('TO HOP NLAN'!$A269="","",'TO HOP NLAN'!$A269)</f>
        <v/>
      </c>
      <c r="C423" s="24" t="str">
        <f>IF($B423="","",'TO HOP NLAN'!$D269)</f>
        <v/>
      </c>
      <c r="D423" s="24" t="str">
        <f>IF($B423="","",$C$32*ABS(IFERROR('TO HOP NLAN'!$F269,0)))</f>
        <v/>
      </c>
      <c r="E423" s="24" t="str">
        <f>IF($B423="","",$D$32*ABS(IFERROR('TO HOP NLAN'!$E269,0)))</f>
        <v/>
      </c>
      <c r="F423" s="24" t="str">
        <f t="shared" si="74"/>
        <v/>
      </c>
      <c r="G423" s="24" t="str">
        <f t="shared" si="75"/>
        <v/>
      </c>
      <c r="H423" s="24" t="str">
        <f t="shared" si="76"/>
        <v/>
      </c>
      <c r="I423" s="24" t="str">
        <f t="shared" si="77"/>
        <v/>
      </c>
      <c r="J423" s="24" t="str">
        <f t="shared" si="78"/>
        <v/>
      </c>
      <c r="K423" s="24" t="str">
        <f t="shared" si="79"/>
        <v/>
      </c>
      <c r="L423" s="24" t="str">
        <f t="shared" si="80"/>
        <v/>
      </c>
      <c r="M423" s="24" t="str">
        <f t="shared" si="81"/>
        <v/>
      </c>
    </row>
    <row r="424" spans="2:13" hidden="1" outlineLevel="1" x14ac:dyDescent="0.3">
      <c r="B424" s="24" t="str">
        <f>IF('TO HOP NLAN'!$A270="","",'TO HOP NLAN'!$A270)</f>
        <v/>
      </c>
      <c r="C424" s="24" t="str">
        <f>IF($B424="","",'TO HOP NLAN'!$D270)</f>
        <v/>
      </c>
      <c r="D424" s="24" t="str">
        <f>IF($B424="","",$C$32*ABS(IFERROR('TO HOP NLAN'!$F270,0)))</f>
        <v/>
      </c>
      <c r="E424" s="24" t="str">
        <f>IF($B424="","",$D$32*ABS(IFERROR('TO HOP NLAN'!$E270,0)))</f>
        <v/>
      </c>
      <c r="F424" s="24" t="str">
        <f t="shared" si="74"/>
        <v/>
      </c>
      <c r="G424" s="24" t="str">
        <f t="shared" si="75"/>
        <v/>
      </c>
      <c r="H424" s="24" t="str">
        <f t="shared" si="76"/>
        <v/>
      </c>
      <c r="I424" s="24" t="str">
        <f t="shared" si="77"/>
        <v/>
      </c>
      <c r="J424" s="24" t="str">
        <f t="shared" si="78"/>
        <v/>
      </c>
      <c r="K424" s="24" t="str">
        <f t="shared" si="79"/>
        <v/>
      </c>
      <c r="L424" s="24" t="str">
        <f t="shared" si="80"/>
        <v/>
      </c>
      <c r="M424" s="24" t="str">
        <f t="shared" si="81"/>
        <v/>
      </c>
    </row>
    <row r="425" spans="2:13" hidden="1" outlineLevel="1" x14ac:dyDescent="0.3">
      <c r="B425" s="24" t="str">
        <f>IF('TO HOP NLAN'!$A271="","",'TO HOP NLAN'!$A271)</f>
        <v/>
      </c>
      <c r="C425" s="24" t="str">
        <f>IF($B425="","",'TO HOP NLAN'!$D271)</f>
        <v/>
      </c>
      <c r="D425" s="24" t="str">
        <f>IF($B425="","",$C$32*ABS(IFERROR('TO HOP NLAN'!$F271,0)))</f>
        <v/>
      </c>
      <c r="E425" s="24" t="str">
        <f>IF($B425="","",$D$32*ABS(IFERROR('TO HOP NLAN'!$E271,0)))</f>
        <v/>
      </c>
      <c r="F425" s="24" t="str">
        <f t="shared" si="74"/>
        <v/>
      </c>
      <c r="G425" s="24" t="str">
        <f t="shared" si="75"/>
        <v/>
      </c>
      <c r="H425" s="24" t="str">
        <f t="shared" si="76"/>
        <v/>
      </c>
      <c r="I425" s="24" t="str">
        <f t="shared" si="77"/>
        <v/>
      </c>
      <c r="J425" s="24" t="str">
        <f t="shared" si="78"/>
        <v/>
      </c>
      <c r="K425" s="24" t="str">
        <f t="shared" si="79"/>
        <v/>
      </c>
      <c r="L425" s="24" t="str">
        <f t="shared" si="80"/>
        <v/>
      </c>
      <c r="M425" s="24" t="str">
        <f t="shared" si="81"/>
        <v/>
      </c>
    </row>
    <row r="426" spans="2:13" hidden="1" outlineLevel="1" x14ac:dyDescent="0.3">
      <c r="B426" s="24" t="str">
        <f>IF('TO HOP NLAN'!$A272="","",'TO HOP NLAN'!$A272)</f>
        <v/>
      </c>
      <c r="C426" s="24" t="str">
        <f>IF($B426="","",'TO HOP NLAN'!$D272)</f>
        <v/>
      </c>
      <c r="D426" s="24" t="str">
        <f>IF($B426="","",$C$32*ABS(IFERROR('TO HOP NLAN'!$F272,0)))</f>
        <v/>
      </c>
      <c r="E426" s="24" t="str">
        <f>IF($B426="","",$D$32*ABS(IFERROR('TO HOP NLAN'!$E272,0)))</f>
        <v/>
      </c>
      <c r="F426" s="24" t="str">
        <f t="shared" si="74"/>
        <v/>
      </c>
      <c r="G426" s="24" t="str">
        <f t="shared" si="75"/>
        <v/>
      </c>
      <c r="H426" s="24" t="str">
        <f t="shared" si="76"/>
        <v/>
      </c>
      <c r="I426" s="24" t="str">
        <f t="shared" si="77"/>
        <v/>
      </c>
      <c r="J426" s="24" t="str">
        <f t="shared" si="78"/>
        <v/>
      </c>
      <c r="K426" s="24" t="str">
        <f t="shared" si="79"/>
        <v/>
      </c>
      <c r="L426" s="24" t="str">
        <f t="shared" si="80"/>
        <v/>
      </c>
      <c r="M426" s="24" t="str">
        <f t="shared" si="81"/>
        <v/>
      </c>
    </row>
    <row r="427" spans="2:13" hidden="1" outlineLevel="1" x14ac:dyDescent="0.3">
      <c r="B427" s="24" t="str">
        <f>IF('TO HOP NLAN'!$A273="","",'TO HOP NLAN'!$A273)</f>
        <v/>
      </c>
      <c r="C427" s="24" t="str">
        <f>IF($B427="","",'TO HOP NLAN'!$D273)</f>
        <v/>
      </c>
      <c r="D427" s="24" t="str">
        <f>IF($B427="","",$C$32*ABS(IFERROR('TO HOP NLAN'!$F273,0)))</f>
        <v/>
      </c>
      <c r="E427" s="24" t="str">
        <f>IF($B427="","",$D$32*ABS(IFERROR('TO HOP NLAN'!$E273,0)))</f>
        <v/>
      </c>
      <c r="F427" s="24" t="str">
        <f t="shared" si="74"/>
        <v/>
      </c>
      <c r="G427" s="24" t="str">
        <f t="shared" si="75"/>
        <v/>
      </c>
      <c r="H427" s="24" t="str">
        <f t="shared" si="76"/>
        <v/>
      </c>
      <c r="I427" s="24" t="str">
        <f t="shared" si="77"/>
        <v/>
      </c>
      <c r="J427" s="24" t="str">
        <f t="shared" si="78"/>
        <v/>
      </c>
      <c r="K427" s="24" t="str">
        <f t="shared" si="79"/>
        <v/>
      </c>
      <c r="L427" s="24" t="str">
        <f t="shared" si="80"/>
        <v/>
      </c>
      <c r="M427" s="24" t="str">
        <f t="shared" si="81"/>
        <v/>
      </c>
    </row>
    <row r="428" spans="2:13" hidden="1" outlineLevel="1" x14ac:dyDescent="0.3">
      <c r="B428" s="24" t="str">
        <f>IF('TO HOP NLAN'!$A274="","",'TO HOP NLAN'!$A274)</f>
        <v/>
      </c>
      <c r="C428" s="24" t="str">
        <f>IF($B428="","",'TO HOP NLAN'!$D274)</f>
        <v/>
      </c>
      <c r="D428" s="24" t="str">
        <f>IF($B428="","",$C$32*ABS(IFERROR('TO HOP NLAN'!$F274,0)))</f>
        <v/>
      </c>
      <c r="E428" s="24" t="str">
        <f>IF($B428="","",$D$32*ABS(IFERROR('TO HOP NLAN'!$E274,0)))</f>
        <v/>
      </c>
      <c r="F428" s="24" t="str">
        <f t="shared" si="74"/>
        <v/>
      </c>
      <c r="G428" s="24" t="str">
        <f t="shared" si="75"/>
        <v/>
      </c>
      <c r="H428" s="24" t="str">
        <f t="shared" si="76"/>
        <v/>
      </c>
      <c r="I428" s="24" t="str">
        <f t="shared" si="77"/>
        <v/>
      </c>
      <c r="J428" s="24" t="str">
        <f t="shared" si="78"/>
        <v/>
      </c>
      <c r="K428" s="24" t="str">
        <f t="shared" si="79"/>
        <v/>
      </c>
      <c r="L428" s="24" t="str">
        <f t="shared" si="80"/>
        <v/>
      </c>
      <c r="M428" s="24" t="str">
        <f t="shared" si="81"/>
        <v/>
      </c>
    </row>
    <row r="429" spans="2:13" hidden="1" outlineLevel="1" x14ac:dyDescent="0.3">
      <c r="B429" s="24" t="str">
        <f>IF('TO HOP NLAN'!$A275="","",'TO HOP NLAN'!$A275)</f>
        <v/>
      </c>
      <c r="C429" s="24" t="str">
        <f>IF($B429="","",'TO HOP NLAN'!$D275)</f>
        <v/>
      </c>
      <c r="D429" s="24" t="str">
        <f>IF($B429="","",$C$32*ABS(IFERROR('TO HOP NLAN'!$F275,0)))</f>
        <v/>
      </c>
      <c r="E429" s="24" t="str">
        <f>IF($B429="","",$D$32*ABS(IFERROR('TO HOP NLAN'!$E275,0)))</f>
        <v/>
      </c>
      <c r="F429" s="24" t="str">
        <f t="shared" si="74"/>
        <v/>
      </c>
      <c r="G429" s="24" t="str">
        <f t="shared" si="75"/>
        <v/>
      </c>
      <c r="H429" s="24" t="str">
        <f t="shared" si="76"/>
        <v/>
      </c>
      <c r="I429" s="24" t="str">
        <f t="shared" si="77"/>
        <v/>
      </c>
      <c r="J429" s="24" t="str">
        <f t="shared" si="78"/>
        <v/>
      </c>
      <c r="K429" s="24" t="str">
        <f t="shared" si="79"/>
        <v/>
      </c>
      <c r="L429" s="24" t="str">
        <f t="shared" si="80"/>
        <v/>
      </c>
      <c r="M429" s="24" t="str">
        <f t="shared" si="81"/>
        <v/>
      </c>
    </row>
    <row r="430" spans="2:13" hidden="1" outlineLevel="1" x14ac:dyDescent="0.3">
      <c r="B430" s="24" t="str">
        <f>IF('TO HOP NLAN'!$A276="","",'TO HOP NLAN'!$A276)</f>
        <v/>
      </c>
      <c r="C430" s="24" t="str">
        <f>IF($B430="","",'TO HOP NLAN'!$D276)</f>
        <v/>
      </c>
      <c r="D430" s="24" t="str">
        <f>IF($B430="","",$C$32*ABS(IFERROR('TO HOP NLAN'!$F276,0)))</f>
        <v/>
      </c>
      <c r="E430" s="24" t="str">
        <f>IF($B430="","",$D$32*ABS(IFERROR('TO HOP NLAN'!$E276,0)))</f>
        <v/>
      </c>
      <c r="F430" s="24" t="str">
        <f t="shared" si="74"/>
        <v/>
      </c>
      <c r="G430" s="24" t="str">
        <f t="shared" si="75"/>
        <v/>
      </c>
      <c r="H430" s="24" t="str">
        <f t="shared" si="76"/>
        <v/>
      </c>
      <c r="I430" s="24" t="str">
        <f t="shared" si="77"/>
        <v/>
      </c>
      <c r="J430" s="24" t="str">
        <f t="shared" si="78"/>
        <v/>
      </c>
      <c r="K430" s="24" t="str">
        <f t="shared" si="79"/>
        <v/>
      </c>
      <c r="L430" s="24" t="str">
        <f t="shared" si="80"/>
        <v/>
      </c>
      <c r="M430" s="24" t="str">
        <f t="shared" si="81"/>
        <v/>
      </c>
    </row>
    <row r="431" spans="2:13" hidden="1" outlineLevel="1" x14ac:dyDescent="0.3">
      <c r="B431" s="24" t="str">
        <f>IF('TO HOP NLAN'!$A277="","",'TO HOP NLAN'!$A277)</f>
        <v/>
      </c>
      <c r="C431" s="24" t="str">
        <f>IF($B431="","",'TO HOP NLAN'!$D277)</f>
        <v/>
      </c>
      <c r="D431" s="24" t="str">
        <f>IF($B431="","",$C$32*ABS(IFERROR('TO HOP NLAN'!$F277,0)))</f>
        <v/>
      </c>
      <c r="E431" s="24" t="str">
        <f>IF($B431="","",$D$32*ABS(IFERROR('TO HOP NLAN'!$E277,0)))</f>
        <v/>
      </c>
      <c r="F431" s="24" t="str">
        <f t="shared" si="74"/>
        <v/>
      </c>
      <c r="G431" s="24" t="str">
        <f t="shared" si="75"/>
        <v/>
      </c>
      <c r="H431" s="24" t="str">
        <f t="shared" si="76"/>
        <v/>
      </c>
      <c r="I431" s="24" t="str">
        <f t="shared" si="77"/>
        <v/>
      </c>
      <c r="J431" s="24" t="str">
        <f t="shared" si="78"/>
        <v/>
      </c>
      <c r="K431" s="24" t="str">
        <f t="shared" si="79"/>
        <v/>
      </c>
      <c r="L431" s="24" t="str">
        <f t="shared" si="80"/>
        <v/>
      </c>
      <c r="M431" s="24" t="str">
        <f t="shared" si="81"/>
        <v/>
      </c>
    </row>
    <row r="432" spans="2:13" hidden="1" outlineLevel="1" x14ac:dyDescent="0.3">
      <c r="B432" s="24" t="str">
        <f>IF('TO HOP NLAN'!$A278="","",'TO HOP NLAN'!$A278)</f>
        <v/>
      </c>
      <c r="C432" s="24" t="str">
        <f>IF($B432="","",'TO HOP NLAN'!$D278)</f>
        <v/>
      </c>
      <c r="D432" s="24" t="str">
        <f>IF($B432="","",$C$32*ABS(IFERROR('TO HOP NLAN'!$F278,0)))</f>
        <v/>
      </c>
      <c r="E432" s="24" t="str">
        <f>IF($B432="","",$D$32*ABS(IFERROR('TO HOP NLAN'!$E278,0)))</f>
        <v/>
      </c>
      <c r="F432" s="24" t="str">
        <f t="shared" si="74"/>
        <v/>
      </c>
      <c r="G432" s="24" t="str">
        <f t="shared" si="75"/>
        <v/>
      </c>
      <c r="H432" s="24" t="str">
        <f t="shared" si="76"/>
        <v/>
      </c>
      <c r="I432" s="24" t="str">
        <f t="shared" si="77"/>
        <v/>
      </c>
      <c r="J432" s="24" t="str">
        <f t="shared" si="78"/>
        <v/>
      </c>
      <c r="K432" s="24" t="str">
        <f t="shared" si="79"/>
        <v/>
      </c>
      <c r="L432" s="24" t="str">
        <f t="shared" si="80"/>
        <v/>
      </c>
      <c r="M432" s="24" t="str">
        <f t="shared" si="81"/>
        <v/>
      </c>
    </row>
    <row r="433" spans="2:13" hidden="1" outlineLevel="1" x14ac:dyDescent="0.3">
      <c r="B433" s="24" t="str">
        <f>IF('TO HOP NLAN'!$A279="","",'TO HOP NLAN'!$A279)</f>
        <v/>
      </c>
      <c r="C433" s="24" t="str">
        <f>IF($B433="","",'TO HOP NLAN'!$D279)</f>
        <v/>
      </c>
      <c r="D433" s="24" t="str">
        <f>IF($B433="","",$C$32*ABS(IFERROR('TO HOP NLAN'!$F279,0)))</f>
        <v/>
      </c>
      <c r="E433" s="24" t="str">
        <f>IF($B433="","",$D$32*ABS(IFERROR('TO HOP NLAN'!$E279,0)))</f>
        <v/>
      </c>
      <c r="F433" s="24" t="str">
        <f t="shared" si="74"/>
        <v/>
      </c>
      <c r="G433" s="24" t="str">
        <f t="shared" si="75"/>
        <v/>
      </c>
      <c r="H433" s="24" t="str">
        <f t="shared" si="76"/>
        <v/>
      </c>
      <c r="I433" s="24" t="str">
        <f t="shared" si="77"/>
        <v/>
      </c>
      <c r="J433" s="24" t="str">
        <f t="shared" si="78"/>
        <v/>
      </c>
      <c r="K433" s="24" t="str">
        <f t="shared" si="79"/>
        <v/>
      </c>
      <c r="L433" s="24" t="str">
        <f t="shared" si="80"/>
        <v/>
      </c>
      <c r="M433" s="24" t="str">
        <f t="shared" si="81"/>
        <v/>
      </c>
    </row>
    <row r="434" spans="2:13" hidden="1" outlineLevel="1" x14ac:dyDescent="0.3">
      <c r="B434" s="24" t="str">
        <f>IF('TO HOP NLAN'!$A280="","",'TO HOP NLAN'!$A280)</f>
        <v/>
      </c>
      <c r="C434" s="24" t="str">
        <f>IF($B434="","",'TO HOP NLAN'!$D280)</f>
        <v/>
      </c>
      <c r="D434" s="24" t="str">
        <f>IF($B434="","",$C$32*ABS(IFERROR('TO HOP NLAN'!$F280,0)))</f>
        <v/>
      </c>
      <c r="E434" s="24" t="str">
        <f>IF($B434="","",$D$32*ABS(IFERROR('TO HOP NLAN'!$E280,0)))</f>
        <v/>
      </c>
      <c r="F434" s="24" t="str">
        <f t="shared" si="74"/>
        <v/>
      </c>
      <c r="G434" s="24" t="str">
        <f t="shared" si="75"/>
        <v/>
      </c>
      <c r="H434" s="24" t="str">
        <f t="shared" si="76"/>
        <v/>
      </c>
      <c r="I434" s="24" t="str">
        <f t="shared" si="77"/>
        <v/>
      </c>
      <c r="J434" s="24" t="str">
        <f t="shared" si="78"/>
        <v/>
      </c>
      <c r="K434" s="24" t="str">
        <f t="shared" si="79"/>
        <v/>
      </c>
      <c r="L434" s="24" t="str">
        <f t="shared" si="80"/>
        <v/>
      </c>
      <c r="M434" s="24" t="str">
        <f t="shared" si="81"/>
        <v/>
      </c>
    </row>
    <row r="435" spans="2:13" hidden="1" outlineLevel="1" x14ac:dyDescent="0.3">
      <c r="B435" s="24" t="str">
        <f>IF('TO HOP NLAN'!$A281="","",'TO HOP NLAN'!$A281)</f>
        <v/>
      </c>
      <c r="C435" s="24" t="str">
        <f>IF($B435="","",'TO HOP NLAN'!$D281)</f>
        <v/>
      </c>
      <c r="D435" s="24" t="str">
        <f>IF($B435="","",$C$32*ABS(IFERROR('TO HOP NLAN'!$F281,0)))</f>
        <v/>
      </c>
      <c r="E435" s="24" t="str">
        <f>IF($B435="","",$D$32*ABS(IFERROR('TO HOP NLAN'!$E281,0)))</f>
        <v/>
      </c>
      <c r="F435" s="24" t="str">
        <f t="shared" si="74"/>
        <v/>
      </c>
      <c r="G435" s="24" t="str">
        <f t="shared" si="75"/>
        <v/>
      </c>
      <c r="H435" s="24" t="str">
        <f t="shared" si="76"/>
        <v/>
      </c>
      <c r="I435" s="24" t="str">
        <f t="shared" si="77"/>
        <v/>
      </c>
      <c r="J435" s="24" t="str">
        <f t="shared" si="78"/>
        <v/>
      </c>
      <c r="K435" s="24" t="str">
        <f t="shared" si="79"/>
        <v/>
      </c>
      <c r="L435" s="24" t="str">
        <f t="shared" si="80"/>
        <v/>
      </c>
      <c r="M435" s="24" t="str">
        <f t="shared" si="81"/>
        <v/>
      </c>
    </row>
    <row r="436" spans="2:13" hidden="1" outlineLevel="1" x14ac:dyDescent="0.3">
      <c r="B436" s="24" t="str">
        <f>IF('TO HOP NLAN'!$A282="","",'TO HOP NLAN'!$A282)</f>
        <v/>
      </c>
      <c r="C436" s="24" t="str">
        <f>IF($B436="","",'TO HOP NLAN'!$D282)</f>
        <v/>
      </c>
      <c r="D436" s="24" t="str">
        <f>IF($B436="","",$C$32*ABS(IFERROR('TO HOP NLAN'!$F282,0)))</f>
        <v/>
      </c>
      <c r="E436" s="24" t="str">
        <f>IF($B436="","",$D$32*ABS(IFERROR('TO HOP NLAN'!$E282,0)))</f>
        <v/>
      </c>
      <c r="F436" s="24" t="str">
        <f t="shared" si="74"/>
        <v/>
      </c>
      <c r="G436" s="24" t="str">
        <f t="shared" si="75"/>
        <v/>
      </c>
      <c r="H436" s="24" t="str">
        <f t="shared" si="76"/>
        <v/>
      </c>
      <c r="I436" s="24" t="str">
        <f t="shared" si="77"/>
        <v/>
      </c>
      <c r="J436" s="24" t="str">
        <f t="shared" si="78"/>
        <v/>
      </c>
      <c r="K436" s="24" t="str">
        <f t="shared" si="79"/>
        <v/>
      </c>
      <c r="L436" s="24" t="str">
        <f t="shared" si="80"/>
        <v/>
      </c>
      <c r="M436" s="24" t="str">
        <f t="shared" si="81"/>
        <v/>
      </c>
    </row>
    <row r="437" spans="2:13" hidden="1" outlineLevel="1" x14ac:dyDescent="0.3">
      <c r="B437" s="24" t="str">
        <f>IF('TO HOP NLAN'!$A283="","",'TO HOP NLAN'!$A283)</f>
        <v/>
      </c>
      <c r="C437" s="24" t="str">
        <f>IF($B437="","",'TO HOP NLAN'!$D283)</f>
        <v/>
      </c>
      <c r="D437" s="24" t="str">
        <f>IF($B437="","",$C$32*ABS(IFERROR('TO HOP NLAN'!$F283,0)))</f>
        <v/>
      </c>
      <c r="E437" s="24" t="str">
        <f>IF($B437="","",$D$32*ABS(IFERROR('TO HOP NLAN'!$E283,0)))</f>
        <v/>
      </c>
      <c r="F437" s="24" t="str">
        <f t="shared" si="74"/>
        <v/>
      </c>
      <c r="G437" s="24" t="str">
        <f t="shared" si="75"/>
        <v/>
      </c>
      <c r="H437" s="24" t="str">
        <f t="shared" si="76"/>
        <v/>
      </c>
      <c r="I437" s="24" t="str">
        <f t="shared" si="77"/>
        <v/>
      </c>
      <c r="J437" s="24" t="str">
        <f t="shared" si="78"/>
        <v/>
      </c>
      <c r="K437" s="24" t="str">
        <f t="shared" si="79"/>
        <v/>
      </c>
      <c r="L437" s="24" t="str">
        <f t="shared" si="80"/>
        <v/>
      </c>
      <c r="M437" s="24" t="str">
        <f t="shared" si="81"/>
        <v/>
      </c>
    </row>
    <row r="438" spans="2:13" hidden="1" outlineLevel="1" x14ac:dyDescent="0.3">
      <c r="B438" s="24" t="str">
        <f>IF('TO HOP NLAN'!$A284="","",'TO HOP NLAN'!$A284)</f>
        <v/>
      </c>
      <c r="C438" s="24" t="str">
        <f>IF($B438="","",'TO HOP NLAN'!$D284)</f>
        <v/>
      </c>
      <c r="D438" s="24" t="str">
        <f>IF($B438="","",$C$32*ABS(IFERROR('TO HOP NLAN'!$F284,0)))</f>
        <v/>
      </c>
      <c r="E438" s="24" t="str">
        <f>IF($B438="","",$D$32*ABS(IFERROR('TO HOP NLAN'!$E284,0)))</f>
        <v/>
      </c>
      <c r="F438" s="24" t="str">
        <f t="shared" si="74"/>
        <v/>
      </c>
      <c r="G438" s="24" t="str">
        <f t="shared" si="75"/>
        <v/>
      </c>
      <c r="H438" s="24" t="str">
        <f t="shared" si="76"/>
        <v/>
      </c>
      <c r="I438" s="24" t="str">
        <f t="shared" si="77"/>
        <v/>
      </c>
      <c r="J438" s="24" t="str">
        <f t="shared" si="78"/>
        <v/>
      </c>
      <c r="K438" s="24" t="str">
        <f t="shared" si="79"/>
        <v/>
      </c>
      <c r="L438" s="24" t="str">
        <f t="shared" si="80"/>
        <v/>
      </c>
      <c r="M438" s="24" t="str">
        <f t="shared" si="81"/>
        <v/>
      </c>
    </row>
    <row r="439" spans="2:13" hidden="1" outlineLevel="1" x14ac:dyDescent="0.3">
      <c r="B439" s="24" t="str">
        <f>IF('TO HOP NLAN'!$A285="","",'TO HOP NLAN'!$A285)</f>
        <v/>
      </c>
      <c r="C439" s="24" t="str">
        <f>IF($B439="","",'TO HOP NLAN'!$D285)</f>
        <v/>
      </c>
      <c r="D439" s="24" t="str">
        <f>IF($B439="","",$C$32*ABS(IFERROR('TO HOP NLAN'!$F285,0)))</f>
        <v/>
      </c>
      <c r="E439" s="24" t="str">
        <f>IF($B439="","",$D$32*ABS(IFERROR('TO HOP NLAN'!$E285,0)))</f>
        <v/>
      </c>
      <c r="F439" s="24" t="str">
        <f t="shared" si="74"/>
        <v/>
      </c>
      <c r="G439" s="24" t="str">
        <f t="shared" si="75"/>
        <v/>
      </c>
      <c r="H439" s="24" t="str">
        <f t="shared" si="76"/>
        <v/>
      </c>
      <c r="I439" s="24" t="str">
        <f t="shared" si="77"/>
        <v/>
      </c>
      <c r="J439" s="24" t="str">
        <f t="shared" si="78"/>
        <v/>
      </c>
      <c r="K439" s="24" t="str">
        <f t="shared" si="79"/>
        <v/>
      </c>
      <c r="L439" s="24" t="str">
        <f t="shared" si="80"/>
        <v/>
      </c>
      <c r="M439" s="24" t="str">
        <f t="shared" si="81"/>
        <v/>
      </c>
    </row>
    <row r="440" spans="2:13" hidden="1" outlineLevel="1" x14ac:dyDescent="0.3">
      <c r="B440" s="24" t="str">
        <f>IF('TO HOP NLAN'!$A286="","",'TO HOP NLAN'!$A286)</f>
        <v/>
      </c>
      <c r="C440" s="24" t="str">
        <f>IF($B440="","",'TO HOP NLAN'!$D286)</f>
        <v/>
      </c>
      <c r="D440" s="24" t="str">
        <f>IF($B440="","",$C$32*ABS(IFERROR('TO HOP NLAN'!$F286,0)))</f>
        <v/>
      </c>
      <c r="E440" s="24" t="str">
        <f>IF($B440="","",$D$32*ABS(IFERROR('TO HOP NLAN'!$E286,0)))</f>
        <v/>
      </c>
      <c r="F440" s="24" t="str">
        <f t="shared" si="74"/>
        <v/>
      </c>
      <c r="G440" s="24" t="str">
        <f t="shared" si="75"/>
        <v/>
      </c>
      <c r="H440" s="24" t="str">
        <f t="shared" si="76"/>
        <v/>
      </c>
      <c r="I440" s="24" t="str">
        <f t="shared" si="77"/>
        <v/>
      </c>
      <c r="J440" s="24" t="str">
        <f t="shared" si="78"/>
        <v/>
      </c>
      <c r="K440" s="24" t="str">
        <f t="shared" si="79"/>
        <v/>
      </c>
      <c r="L440" s="24" t="str">
        <f t="shared" si="80"/>
        <v/>
      </c>
      <c r="M440" s="24" t="str">
        <f t="shared" si="81"/>
        <v/>
      </c>
    </row>
    <row r="441" spans="2:13" hidden="1" outlineLevel="1" x14ac:dyDescent="0.3">
      <c r="B441" s="24" t="str">
        <f>IF('TO HOP NLAN'!$A287="","",'TO HOP NLAN'!$A287)</f>
        <v/>
      </c>
      <c r="C441" s="24" t="str">
        <f>IF($B441="","",'TO HOP NLAN'!$D287)</f>
        <v/>
      </c>
      <c r="D441" s="24" t="str">
        <f>IF($B441="","",$C$32*ABS(IFERROR('TO HOP NLAN'!$F287,0)))</f>
        <v/>
      </c>
      <c r="E441" s="24" t="str">
        <f>IF($B441="","",$D$32*ABS(IFERROR('TO HOP NLAN'!$E287,0)))</f>
        <v/>
      </c>
      <c r="F441" s="24" t="str">
        <f t="shared" si="74"/>
        <v/>
      </c>
      <c r="G441" s="24" t="str">
        <f t="shared" si="75"/>
        <v/>
      </c>
      <c r="H441" s="24" t="str">
        <f t="shared" si="76"/>
        <v/>
      </c>
      <c r="I441" s="24" t="str">
        <f t="shared" si="77"/>
        <v/>
      </c>
      <c r="J441" s="24" t="str">
        <f t="shared" si="78"/>
        <v/>
      </c>
      <c r="K441" s="24" t="str">
        <f t="shared" si="79"/>
        <v/>
      </c>
      <c r="L441" s="24" t="str">
        <f t="shared" si="80"/>
        <v/>
      </c>
      <c r="M441" s="24" t="str">
        <f t="shared" si="81"/>
        <v/>
      </c>
    </row>
    <row r="442" spans="2:13" hidden="1" outlineLevel="1" x14ac:dyDescent="0.3">
      <c r="B442" s="24" t="str">
        <f>IF('TO HOP NLAN'!$A288="","",'TO HOP NLAN'!$A288)</f>
        <v/>
      </c>
      <c r="C442" s="24" t="str">
        <f>IF($B442="","",'TO HOP NLAN'!$D288)</f>
        <v/>
      </c>
      <c r="D442" s="24" t="str">
        <f>IF($B442="","",$C$32*ABS(IFERROR('TO HOP NLAN'!$F288,0)))</f>
        <v/>
      </c>
      <c r="E442" s="24" t="str">
        <f>IF($B442="","",$D$32*ABS(IFERROR('TO HOP NLAN'!$E288,0)))</f>
        <v/>
      </c>
      <c r="F442" s="24" t="str">
        <f t="shared" si="74"/>
        <v/>
      </c>
      <c r="G442" s="24" t="str">
        <f t="shared" si="75"/>
        <v/>
      </c>
      <c r="H442" s="24" t="str">
        <f t="shared" si="76"/>
        <v/>
      </c>
      <c r="I442" s="24" t="str">
        <f t="shared" si="77"/>
        <v/>
      </c>
      <c r="J442" s="24" t="str">
        <f t="shared" si="78"/>
        <v/>
      </c>
      <c r="K442" s="24" t="str">
        <f t="shared" si="79"/>
        <v/>
      </c>
      <c r="L442" s="24" t="str">
        <f t="shared" si="80"/>
        <v/>
      </c>
      <c r="M442" s="24" t="str">
        <f t="shared" si="81"/>
        <v/>
      </c>
    </row>
    <row r="443" spans="2:13" hidden="1" outlineLevel="1" x14ac:dyDescent="0.3">
      <c r="B443" s="24" t="str">
        <f>IF('TO HOP NLAN'!$A289="","",'TO HOP NLAN'!$A289)</f>
        <v/>
      </c>
      <c r="C443" s="24" t="str">
        <f>IF($B443="","",'TO HOP NLAN'!$D289)</f>
        <v/>
      </c>
      <c r="D443" s="24" t="str">
        <f>IF($B443="","",$C$32*ABS(IFERROR('TO HOP NLAN'!$F289,0)))</f>
        <v/>
      </c>
      <c r="E443" s="24" t="str">
        <f>IF($B443="","",$D$32*ABS(IFERROR('TO HOP NLAN'!$E289,0)))</f>
        <v/>
      </c>
      <c r="F443" s="24" t="str">
        <f t="shared" si="74"/>
        <v/>
      </c>
      <c r="G443" s="24" t="str">
        <f t="shared" si="75"/>
        <v/>
      </c>
      <c r="H443" s="24" t="str">
        <f t="shared" si="76"/>
        <v/>
      </c>
      <c r="I443" s="24" t="str">
        <f t="shared" si="77"/>
        <v/>
      </c>
      <c r="J443" s="24" t="str">
        <f t="shared" si="78"/>
        <v/>
      </c>
      <c r="K443" s="24" t="str">
        <f t="shared" si="79"/>
        <v/>
      </c>
      <c r="L443" s="24" t="str">
        <f t="shared" si="80"/>
        <v/>
      </c>
      <c r="M443" s="24" t="str">
        <f t="shared" si="81"/>
        <v/>
      </c>
    </row>
    <row r="444" spans="2:13" hidden="1" outlineLevel="1" x14ac:dyDescent="0.3">
      <c r="B444" s="24" t="str">
        <f>IF('TO HOP NLAN'!$A290="","",'TO HOP NLAN'!$A290)</f>
        <v/>
      </c>
      <c r="C444" s="24" t="str">
        <f>IF($B444="","",'TO HOP NLAN'!$D290)</f>
        <v/>
      </c>
      <c r="D444" s="24" t="str">
        <f>IF($B444="","",$C$32*ABS(IFERROR('TO HOP NLAN'!$F290,0)))</f>
        <v/>
      </c>
      <c r="E444" s="24" t="str">
        <f>IF($B444="","",$D$32*ABS(IFERROR('TO HOP NLAN'!$E290,0)))</f>
        <v/>
      </c>
      <c r="F444" s="24" t="str">
        <f t="shared" si="74"/>
        <v/>
      </c>
      <c r="G444" s="24" t="str">
        <f t="shared" si="75"/>
        <v/>
      </c>
      <c r="H444" s="24" t="str">
        <f t="shared" si="76"/>
        <v/>
      </c>
      <c r="I444" s="24" t="str">
        <f t="shared" si="77"/>
        <v/>
      </c>
      <c r="J444" s="24" t="str">
        <f t="shared" si="78"/>
        <v/>
      </c>
      <c r="K444" s="24" t="str">
        <f t="shared" si="79"/>
        <v/>
      </c>
      <c r="L444" s="24" t="str">
        <f t="shared" si="80"/>
        <v/>
      </c>
      <c r="M444" s="24" t="str">
        <f t="shared" si="81"/>
        <v/>
      </c>
    </row>
    <row r="445" spans="2:13" hidden="1" outlineLevel="1" x14ac:dyDescent="0.3">
      <c r="B445" s="24" t="str">
        <f>IF('TO HOP NLAN'!$A291="","",'TO HOP NLAN'!$A291)</f>
        <v/>
      </c>
      <c r="C445" s="24" t="str">
        <f>IF($B445="","",'TO HOP NLAN'!$D291)</f>
        <v/>
      </c>
      <c r="D445" s="24" t="str">
        <f>IF($B445="","",$C$32*ABS(IFERROR('TO HOP NLAN'!$F291,0)))</f>
        <v/>
      </c>
      <c r="E445" s="24" t="str">
        <f>IF($B445="","",$D$32*ABS(IFERROR('TO HOP NLAN'!$E291,0)))</f>
        <v/>
      </c>
      <c r="F445" s="24" t="str">
        <f t="shared" si="74"/>
        <v/>
      </c>
      <c r="G445" s="24" t="str">
        <f t="shared" si="75"/>
        <v/>
      </c>
      <c r="H445" s="24" t="str">
        <f t="shared" si="76"/>
        <v/>
      </c>
      <c r="I445" s="24" t="str">
        <f t="shared" si="77"/>
        <v/>
      </c>
      <c r="J445" s="24" t="str">
        <f t="shared" si="78"/>
        <v/>
      </c>
      <c r="K445" s="24" t="str">
        <f t="shared" si="79"/>
        <v/>
      </c>
      <c r="L445" s="24" t="str">
        <f t="shared" si="80"/>
        <v/>
      </c>
      <c r="M445" s="24" t="str">
        <f t="shared" si="81"/>
        <v/>
      </c>
    </row>
    <row r="446" spans="2:13" hidden="1" outlineLevel="1" x14ac:dyDescent="0.3">
      <c r="B446" s="24" t="str">
        <f>IF('TO HOP NLAN'!$A292="","",'TO HOP NLAN'!$A292)</f>
        <v/>
      </c>
      <c r="C446" s="24" t="str">
        <f>IF($B446="","",'TO HOP NLAN'!$D292)</f>
        <v/>
      </c>
      <c r="D446" s="24" t="str">
        <f>IF($B446="","",$C$32*ABS(IFERROR('TO HOP NLAN'!$F292,0)))</f>
        <v/>
      </c>
      <c r="E446" s="24" t="str">
        <f>IF($B446="","",$D$32*ABS(IFERROR('TO HOP NLAN'!$E292,0)))</f>
        <v/>
      </c>
      <c r="F446" s="24" t="str">
        <f t="shared" si="74"/>
        <v/>
      </c>
      <c r="G446" s="24" t="str">
        <f t="shared" si="75"/>
        <v/>
      </c>
      <c r="H446" s="24" t="str">
        <f t="shared" si="76"/>
        <v/>
      </c>
      <c r="I446" s="24" t="str">
        <f t="shared" si="77"/>
        <v/>
      </c>
      <c r="J446" s="24" t="str">
        <f t="shared" si="78"/>
        <v/>
      </c>
      <c r="K446" s="24" t="str">
        <f t="shared" si="79"/>
        <v/>
      </c>
      <c r="L446" s="24" t="str">
        <f t="shared" si="80"/>
        <v/>
      </c>
      <c r="M446" s="24" t="str">
        <f t="shared" si="81"/>
        <v/>
      </c>
    </row>
    <row r="447" spans="2:13" hidden="1" outlineLevel="1" x14ac:dyDescent="0.3">
      <c r="B447" s="24" t="str">
        <f>IF('TO HOP NLAN'!$A293="","",'TO HOP NLAN'!$A293)</f>
        <v/>
      </c>
      <c r="C447" s="24" t="str">
        <f>IF($B447="","",'TO HOP NLAN'!$D293)</f>
        <v/>
      </c>
      <c r="D447" s="24" t="str">
        <f>IF($B447="","",$C$32*ABS(IFERROR('TO HOP NLAN'!$F293,0)))</f>
        <v/>
      </c>
      <c r="E447" s="24" t="str">
        <f>IF($B447="","",$D$32*ABS(IFERROR('TO HOP NLAN'!$E293,0)))</f>
        <v/>
      </c>
      <c r="F447" s="24" t="str">
        <f t="shared" si="74"/>
        <v/>
      </c>
      <c r="G447" s="24" t="str">
        <f t="shared" si="75"/>
        <v/>
      </c>
      <c r="H447" s="24" t="str">
        <f t="shared" si="76"/>
        <v/>
      </c>
      <c r="I447" s="24" t="str">
        <f t="shared" si="77"/>
        <v/>
      </c>
      <c r="J447" s="24" t="str">
        <f t="shared" si="78"/>
        <v/>
      </c>
      <c r="K447" s="24" t="str">
        <f t="shared" si="79"/>
        <v/>
      </c>
      <c r="L447" s="24" t="str">
        <f t="shared" si="80"/>
        <v/>
      </c>
      <c r="M447" s="24" t="str">
        <f t="shared" si="81"/>
        <v/>
      </c>
    </row>
    <row r="448" spans="2:13" hidden="1" outlineLevel="1" x14ac:dyDescent="0.3">
      <c r="B448" s="24" t="str">
        <f>IF('TO HOP NLAN'!$A294="","",'TO HOP NLAN'!$A294)</f>
        <v/>
      </c>
      <c r="C448" s="24" t="str">
        <f>IF($B448="","",'TO HOP NLAN'!$D294)</f>
        <v/>
      </c>
      <c r="D448" s="24" t="str">
        <f>IF($B448="","",$C$32*ABS(IFERROR('TO HOP NLAN'!$F294,0)))</f>
        <v/>
      </c>
      <c r="E448" s="24" t="str">
        <f>IF($B448="","",$D$32*ABS(IFERROR('TO HOP NLAN'!$E294,0)))</f>
        <v/>
      </c>
      <c r="F448" s="24" t="str">
        <f t="shared" si="74"/>
        <v/>
      </c>
      <c r="G448" s="24" t="str">
        <f t="shared" si="75"/>
        <v/>
      </c>
      <c r="H448" s="24" t="str">
        <f t="shared" si="76"/>
        <v/>
      </c>
      <c r="I448" s="24" t="str">
        <f t="shared" si="77"/>
        <v/>
      </c>
      <c r="J448" s="24" t="str">
        <f t="shared" si="78"/>
        <v/>
      </c>
      <c r="K448" s="24" t="str">
        <f t="shared" si="79"/>
        <v/>
      </c>
      <c r="L448" s="24" t="str">
        <f t="shared" si="80"/>
        <v/>
      </c>
      <c r="M448" s="24" t="str">
        <f t="shared" si="81"/>
        <v/>
      </c>
    </row>
    <row r="449" spans="2:13" hidden="1" outlineLevel="1" x14ac:dyDescent="0.3">
      <c r="B449" s="24" t="str">
        <f>IF('TO HOP NLAN'!$A295="","",'TO HOP NLAN'!$A295)</f>
        <v/>
      </c>
      <c r="C449" s="24" t="str">
        <f>IF($B449="","",'TO HOP NLAN'!$D295)</f>
        <v/>
      </c>
      <c r="D449" s="24" t="str">
        <f>IF($B449="","",$C$32*ABS(IFERROR('TO HOP NLAN'!$F295,0)))</f>
        <v/>
      </c>
      <c r="E449" s="24" t="str">
        <f>IF($B449="","",$D$32*ABS(IFERROR('TO HOP NLAN'!$E295,0)))</f>
        <v/>
      </c>
      <c r="F449" s="24" t="str">
        <f t="shared" si="74"/>
        <v/>
      </c>
      <c r="G449" s="24" t="str">
        <f t="shared" si="75"/>
        <v/>
      </c>
      <c r="H449" s="24" t="str">
        <f t="shared" si="76"/>
        <v/>
      </c>
      <c r="I449" s="24" t="str">
        <f t="shared" si="77"/>
        <v/>
      </c>
      <c r="J449" s="24" t="str">
        <f t="shared" si="78"/>
        <v/>
      </c>
      <c r="K449" s="24" t="str">
        <f t="shared" si="79"/>
        <v/>
      </c>
      <c r="L449" s="24" t="str">
        <f t="shared" si="80"/>
        <v/>
      </c>
      <c r="M449" s="24" t="str">
        <f t="shared" si="81"/>
        <v/>
      </c>
    </row>
    <row r="450" spans="2:13" hidden="1" outlineLevel="1" x14ac:dyDescent="0.3">
      <c r="B450" s="24" t="str">
        <f>IF('TO HOP NLAN'!$A296="","",'TO HOP NLAN'!$A296)</f>
        <v/>
      </c>
      <c r="C450" s="24" t="str">
        <f>IF($B450="","",'TO HOP NLAN'!$D296)</f>
        <v/>
      </c>
      <c r="D450" s="24" t="str">
        <f>IF($B450="","",$C$32*ABS(IFERROR('TO HOP NLAN'!$F296,0)))</f>
        <v/>
      </c>
      <c r="E450" s="24" t="str">
        <f>IF($B450="","",$D$32*ABS(IFERROR('TO HOP NLAN'!$E296,0)))</f>
        <v/>
      </c>
      <c r="F450" s="24" t="str">
        <f t="shared" si="74"/>
        <v/>
      </c>
      <c r="G450" s="24" t="str">
        <f t="shared" si="75"/>
        <v/>
      </c>
      <c r="H450" s="24" t="str">
        <f t="shared" si="76"/>
        <v/>
      </c>
      <c r="I450" s="24" t="str">
        <f t="shared" si="77"/>
        <v/>
      </c>
      <c r="J450" s="24" t="str">
        <f t="shared" si="78"/>
        <v/>
      </c>
      <c r="K450" s="24" t="str">
        <f t="shared" si="79"/>
        <v/>
      </c>
      <c r="L450" s="24" t="str">
        <f t="shared" si="80"/>
        <v/>
      </c>
      <c r="M450" s="24" t="str">
        <f t="shared" si="81"/>
        <v/>
      </c>
    </row>
    <row r="451" spans="2:13" hidden="1" outlineLevel="1" x14ac:dyDescent="0.3">
      <c r="B451" s="24" t="str">
        <f>IF('TO HOP NLAN'!$A297="","",'TO HOP NLAN'!$A297)</f>
        <v/>
      </c>
      <c r="C451" s="24" t="str">
        <f>IF($B451="","",'TO HOP NLAN'!$D297)</f>
        <v/>
      </c>
      <c r="D451" s="24" t="str">
        <f>IF($B451="","",$C$32*ABS(IFERROR('TO HOP NLAN'!$F297,0)))</f>
        <v/>
      </c>
      <c r="E451" s="24" t="str">
        <f>IF($B451="","",$D$32*ABS(IFERROR('TO HOP NLAN'!$E297,0)))</f>
        <v/>
      </c>
      <c r="F451" s="24" t="str">
        <f t="shared" si="74"/>
        <v/>
      </c>
      <c r="G451" s="24" t="str">
        <f t="shared" si="75"/>
        <v/>
      </c>
      <c r="H451" s="24" t="str">
        <f t="shared" si="76"/>
        <v/>
      </c>
      <c r="I451" s="24" t="str">
        <f t="shared" si="77"/>
        <v/>
      </c>
      <c r="J451" s="24" t="str">
        <f t="shared" si="78"/>
        <v/>
      </c>
      <c r="K451" s="24" t="str">
        <f t="shared" si="79"/>
        <v/>
      </c>
      <c r="L451" s="24" t="str">
        <f t="shared" si="80"/>
        <v/>
      </c>
      <c r="M451" s="24" t="str">
        <f t="shared" si="81"/>
        <v/>
      </c>
    </row>
    <row r="452" spans="2:13" hidden="1" outlineLevel="1" x14ac:dyDescent="0.3">
      <c r="B452" s="24" t="str">
        <f>IF('TO HOP NLAN'!$A298="","",'TO HOP NLAN'!$A298)</f>
        <v/>
      </c>
      <c r="C452" s="24" t="str">
        <f>IF($B452="","",'TO HOP NLAN'!$D298)</f>
        <v/>
      </c>
      <c r="D452" s="24" t="str">
        <f>IF($B452="","",$C$32*ABS(IFERROR('TO HOP NLAN'!$F298,0)))</f>
        <v/>
      </c>
      <c r="E452" s="24" t="str">
        <f>IF($B452="","",$D$32*ABS(IFERROR('TO HOP NLAN'!$E298,0)))</f>
        <v/>
      </c>
      <c r="F452" s="24" t="str">
        <f t="shared" si="74"/>
        <v/>
      </c>
      <c r="G452" s="24" t="str">
        <f t="shared" si="75"/>
        <v/>
      </c>
      <c r="H452" s="24" t="str">
        <f t="shared" si="76"/>
        <v/>
      </c>
      <c r="I452" s="24" t="str">
        <f t="shared" si="77"/>
        <v/>
      </c>
      <c r="J452" s="24" t="str">
        <f t="shared" si="78"/>
        <v/>
      </c>
      <c r="K452" s="24" t="str">
        <f t="shared" si="79"/>
        <v/>
      </c>
      <c r="L452" s="24" t="str">
        <f t="shared" si="80"/>
        <v/>
      </c>
      <c r="M452" s="24" t="str">
        <f t="shared" si="81"/>
        <v/>
      </c>
    </row>
    <row r="453" spans="2:13" hidden="1" outlineLevel="1" x14ac:dyDescent="0.3">
      <c r="B453" s="24" t="str">
        <f>IF('TO HOP NLAN'!$A299="","",'TO HOP NLAN'!$A299)</f>
        <v/>
      </c>
      <c r="C453" s="24" t="str">
        <f>IF($B453="","",'TO HOP NLAN'!$D299)</f>
        <v/>
      </c>
      <c r="D453" s="24" t="str">
        <f>IF($B453="","",$C$32*ABS(IFERROR('TO HOP NLAN'!$F299,0)))</f>
        <v/>
      </c>
      <c r="E453" s="24" t="str">
        <f>IF($B453="","",$D$32*ABS(IFERROR('TO HOP NLAN'!$E299,0)))</f>
        <v/>
      </c>
      <c r="F453" s="24" t="str">
        <f t="shared" si="74"/>
        <v/>
      </c>
      <c r="G453" s="24" t="str">
        <f t="shared" si="75"/>
        <v/>
      </c>
      <c r="H453" s="24" t="str">
        <f t="shared" si="76"/>
        <v/>
      </c>
      <c r="I453" s="24" t="str">
        <f t="shared" si="77"/>
        <v/>
      </c>
      <c r="J453" s="24" t="str">
        <f t="shared" si="78"/>
        <v/>
      </c>
      <c r="K453" s="24" t="str">
        <f t="shared" si="79"/>
        <v/>
      </c>
      <c r="L453" s="24" t="str">
        <f t="shared" si="80"/>
        <v/>
      </c>
      <c r="M453" s="24" t="str">
        <f t="shared" si="81"/>
        <v/>
      </c>
    </row>
    <row r="454" spans="2:13" hidden="1" outlineLevel="1" x14ac:dyDescent="0.3">
      <c r="B454" s="24" t="str">
        <f>IF('TO HOP NLAN'!$A300="","",'TO HOP NLAN'!$A300)</f>
        <v/>
      </c>
      <c r="C454" s="24" t="str">
        <f>IF($B454="","",'TO HOP NLAN'!$D300)</f>
        <v/>
      </c>
      <c r="D454" s="24" t="str">
        <f>IF($B454="","",$C$32*ABS(IFERROR('TO HOP NLAN'!$F300,0)))</f>
        <v/>
      </c>
      <c r="E454" s="24" t="str">
        <f>IF($B454="","",$D$32*ABS(IFERROR('TO HOP NLAN'!$E300,0)))</f>
        <v/>
      </c>
      <c r="F454" s="24" t="str">
        <f t="shared" si="74"/>
        <v/>
      </c>
      <c r="G454" s="24" t="str">
        <f t="shared" si="75"/>
        <v/>
      </c>
      <c r="H454" s="24" t="str">
        <f t="shared" si="76"/>
        <v/>
      </c>
      <c r="I454" s="24" t="str">
        <f t="shared" si="77"/>
        <v/>
      </c>
      <c r="J454" s="24" t="str">
        <f t="shared" si="78"/>
        <v/>
      </c>
      <c r="K454" s="24" t="str">
        <f t="shared" si="79"/>
        <v/>
      </c>
      <c r="L454" s="24" t="str">
        <f t="shared" si="80"/>
        <v/>
      </c>
      <c r="M454" s="24" t="str">
        <f t="shared" si="81"/>
        <v/>
      </c>
    </row>
    <row r="455" spans="2:13" hidden="1" outlineLevel="1" x14ac:dyDescent="0.3">
      <c r="B455" s="24" t="str">
        <f>IF('TO HOP NLAN'!$A301="","",'TO HOP NLAN'!$A301)</f>
        <v/>
      </c>
      <c r="C455" s="24" t="str">
        <f>IF($B455="","",'TO HOP NLAN'!$D301)</f>
        <v/>
      </c>
      <c r="D455" s="24" t="str">
        <f>IF($B455="","",$C$32*ABS(IFERROR('TO HOP NLAN'!$F301,0)))</f>
        <v/>
      </c>
      <c r="E455" s="24" t="str">
        <f>IF($B455="","",$D$32*ABS(IFERROR('TO HOP NLAN'!$E301,0)))</f>
        <v/>
      </c>
      <c r="F455" s="24" t="str">
        <f t="shared" si="74"/>
        <v/>
      </c>
      <c r="G455" s="24" t="str">
        <f t="shared" si="75"/>
        <v/>
      </c>
      <c r="H455" s="24" t="str">
        <f t="shared" si="76"/>
        <v/>
      </c>
      <c r="I455" s="24" t="str">
        <f t="shared" si="77"/>
        <v/>
      </c>
      <c r="J455" s="24" t="str">
        <f t="shared" si="78"/>
        <v/>
      </c>
      <c r="K455" s="24" t="str">
        <f t="shared" si="79"/>
        <v/>
      </c>
      <c r="L455" s="24" t="str">
        <f t="shared" si="80"/>
        <v/>
      </c>
      <c r="M455" s="24" t="str">
        <f t="shared" si="81"/>
        <v/>
      </c>
    </row>
    <row r="456" spans="2:13" hidden="1" outlineLevel="1" x14ac:dyDescent="0.3">
      <c r="B456" s="24" t="str">
        <f>IF('TO HOP NLAN'!$A302="","",'TO HOP NLAN'!$A302)</f>
        <v/>
      </c>
      <c r="C456" s="24" t="str">
        <f>IF($B456="","",'TO HOP NLAN'!$D302)</f>
        <v/>
      </c>
      <c r="D456" s="24" t="str">
        <f>IF($B456="","",$C$32*ABS(IFERROR('TO HOP NLAN'!$F302,0)))</f>
        <v/>
      </c>
      <c r="E456" s="24" t="str">
        <f>IF($B456="","",$D$32*ABS(IFERROR('TO HOP NLAN'!$E302,0)))</f>
        <v/>
      </c>
      <c r="F456" s="24" t="str">
        <f t="shared" si="74"/>
        <v/>
      </c>
      <c r="G456" s="24" t="str">
        <f t="shared" si="75"/>
        <v/>
      </c>
      <c r="H456" s="24" t="str">
        <f t="shared" si="76"/>
        <v/>
      </c>
      <c r="I456" s="24" t="str">
        <f t="shared" si="77"/>
        <v/>
      </c>
      <c r="J456" s="24" t="str">
        <f t="shared" si="78"/>
        <v/>
      </c>
      <c r="K456" s="24" t="str">
        <f t="shared" si="79"/>
        <v/>
      </c>
      <c r="L456" s="24" t="str">
        <f t="shared" si="80"/>
        <v/>
      </c>
      <c r="M456" s="24" t="str">
        <f t="shared" si="81"/>
        <v/>
      </c>
    </row>
    <row r="457" spans="2:13" hidden="1" outlineLevel="1" x14ac:dyDescent="0.3">
      <c r="B457" s="24" t="str">
        <f>IF('TO HOP NLAN'!$A303="","",'TO HOP NLAN'!$A303)</f>
        <v/>
      </c>
      <c r="C457" s="24" t="str">
        <f>IF($B457="","",'TO HOP NLAN'!$D303)</f>
        <v/>
      </c>
      <c r="D457" s="24" t="str">
        <f>IF($B457="","",$C$32*ABS(IFERROR('TO HOP NLAN'!$F303,0)))</f>
        <v/>
      </c>
      <c r="E457" s="24" t="str">
        <f>IF($B457="","",$D$32*ABS(IFERROR('TO HOP NLAN'!$E303,0)))</f>
        <v/>
      </c>
      <c r="F457" s="24" t="str">
        <f t="shared" si="74"/>
        <v/>
      </c>
      <c r="G457" s="24" t="str">
        <f t="shared" si="75"/>
        <v/>
      </c>
      <c r="H457" s="24" t="str">
        <f t="shared" si="76"/>
        <v/>
      </c>
      <c r="I457" s="24" t="str">
        <f t="shared" si="77"/>
        <v/>
      </c>
      <c r="J457" s="24" t="str">
        <f t="shared" si="78"/>
        <v/>
      </c>
      <c r="K457" s="24" t="str">
        <f t="shared" si="79"/>
        <v/>
      </c>
      <c r="L457" s="24" t="str">
        <f t="shared" si="80"/>
        <v/>
      </c>
      <c r="M457" s="24" t="str">
        <f t="shared" si="81"/>
        <v/>
      </c>
    </row>
    <row r="458" spans="2:13" hidden="1" outlineLevel="1" x14ac:dyDescent="0.3">
      <c r="B458" s="24" t="str">
        <f>IF('TO HOP NLAN'!$A304="","",'TO HOP NLAN'!$A304)</f>
        <v/>
      </c>
      <c r="C458" s="24" t="str">
        <f>IF($B458="","",'TO HOP NLAN'!$D304)</f>
        <v/>
      </c>
      <c r="D458" s="24" t="str">
        <f>IF($B458="","",$C$32*ABS(IFERROR('TO HOP NLAN'!$F304,0)))</f>
        <v/>
      </c>
      <c r="E458" s="24" t="str">
        <f>IF($B458="","",$D$32*ABS(IFERROR('TO HOP NLAN'!$E304,0)))</f>
        <v/>
      </c>
      <c r="F458" s="24" t="str">
        <f t="shared" si="74"/>
        <v/>
      </c>
      <c r="G458" s="24" t="str">
        <f t="shared" si="75"/>
        <v/>
      </c>
      <c r="H458" s="24" t="str">
        <f t="shared" si="76"/>
        <v/>
      </c>
      <c r="I458" s="24" t="str">
        <f t="shared" si="77"/>
        <v/>
      </c>
      <c r="J458" s="24" t="str">
        <f t="shared" si="78"/>
        <v/>
      </c>
      <c r="K458" s="24" t="str">
        <f t="shared" si="79"/>
        <v/>
      </c>
      <c r="L458" s="24" t="str">
        <f t="shared" si="80"/>
        <v/>
      </c>
      <c r="M458" s="24" t="str">
        <f t="shared" si="81"/>
        <v/>
      </c>
    </row>
    <row r="459" spans="2:13" hidden="1" outlineLevel="1" x14ac:dyDescent="0.3">
      <c r="B459" s="24" t="str">
        <f>IF('TO HOP NLAN'!$A305="","",'TO HOP NLAN'!$A305)</f>
        <v/>
      </c>
      <c r="C459" s="24" t="str">
        <f>IF($B459="","",'TO HOP NLAN'!$D305)</f>
        <v/>
      </c>
      <c r="D459" s="24" t="str">
        <f>IF($B459="","",$C$32*ABS(IFERROR('TO HOP NLAN'!$F305,0)))</f>
        <v/>
      </c>
      <c r="E459" s="24" t="str">
        <f>IF($B459="","",$D$32*ABS(IFERROR('TO HOP NLAN'!$E305,0)))</f>
        <v/>
      </c>
      <c r="F459" s="24" t="str">
        <f t="shared" si="74"/>
        <v/>
      </c>
      <c r="G459" s="24" t="str">
        <f t="shared" si="75"/>
        <v/>
      </c>
      <c r="H459" s="24" t="str">
        <f t="shared" si="76"/>
        <v/>
      </c>
      <c r="I459" s="24" t="str">
        <f t="shared" si="77"/>
        <v/>
      </c>
      <c r="J459" s="24" t="str">
        <f t="shared" si="78"/>
        <v/>
      </c>
      <c r="K459" s="24" t="str">
        <f t="shared" si="79"/>
        <v/>
      </c>
      <c r="L459" s="24" t="str">
        <f t="shared" si="80"/>
        <v/>
      </c>
      <c r="M459" s="24" t="str">
        <f t="shared" si="81"/>
        <v/>
      </c>
    </row>
    <row r="460" spans="2:13" hidden="1" outlineLevel="1" x14ac:dyDescent="0.3">
      <c r="B460" s="24" t="str">
        <f>IF('TO HOP NLAN'!$A306="","",'TO HOP NLAN'!$A306)</f>
        <v/>
      </c>
      <c r="C460" s="24" t="str">
        <f>IF($B460="","",'TO HOP NLAN'!$D306)</f>
        <v/>
      </c>
      <c r="D460" s="24" t="str">
        <f>IF($B460="","",$C$32*ABS(IFERROR('TO HOP NLAN'!$F306,0)))</f>
        <v/>
      </c>
      <c r="E460" s="24" t="str">
        <f>IF($B460="","",$D$32*ABS(IFERROR('TO HOP NLAN'!$E306,0)))</f>
        <v/>
      </c>
      <c r="F460" s="24" t="str">
        <f t="shared" si="74"/>
        <v/>
      </c>
      <c r="G460" s="24" t="str">
        <f t="shared" si="75"/>
        <v/>
      </c>
      <c r="H460" s="24" t="str">
        <f t="shared" si="76"/>
        <v/>
      </c>
      <c r="I460" s="24" t="str">
        <f t="shared" si="77"/>
        <v/>
      </c>
      <c r="J460" s="24" t="str">
        <f t="shared" si="78"/>
        <v/>
      </c>
      <c r="K460" s="24" t="str">
        <f t="shared" si="79"/>
        <v/>
      </c>
      <c r="L460" s="24" t="str">
        <f t="shared" si="80"/>
        <v/>
      </c>
      <c r="M460" s="24" t="str">
        <f t="shared" si="81"/>
        <v/>
      </c>
    </row>
    <row r="461" spans="2:13" hidden="1" outlineLevel="1" x14ac:dyDescent="0.3">
      <c r="B461" s="24" t="str">
        <f>IF('TO HOP NLAN'!$A307="","",'TO HOP NLAN'!$A307)</f>
        <v/>
      </c>
      <c r="C461" s="24" t="str">
        <f>IF($B461="","",'TO HOP NLAN'!$D307)</f>
        <v/>
      </c>
      <c r="D461" s="24" t="str">
        <f>IF($B461="","",$C$32*ABS(IFERROR('TO HOP NLAN'!$F307,0)))</f>
        <v/>
      </c>
      <c r="E461" s="24" t="str">
        <f>IF($B461="","",$D$32*ABS(IFERROR('TO HOP NLAN'!$E307,0)))</f>
        <v/>
      </c>
      <c r="F461" s="24" t="str">
        <f t="shared" si="74"/>
        <v/>
      </c>
      <c r="G461" s="24" t="str">
        <f t="shared" si="75"/>
        <v/>
      </c>
      <c r="H461" s="24" t="str">
        <f t="shared" si="76"/>
        <v/>
      </c>
      <c r="I461" s="24" t="str">
        <f t="shared" si="77"/>
        <v/>
      </c>
      <c r="J461" s="24" t="str">
        <f t="shared" si="78"/>
        <v/>
      </c>
      <c r="K461" s="24" t="str">
        <f t="shared" si="79"/>
        <v/>
      </c>
      <c r="L461" s="24" t="str">
        <f t="shared" si="80"/>
        <v/>
      </c>
      <c r="M461" s="24" t="str">
        <f t="shared" si="81"/>
        <v/>
      </c>
    </row>
    <row r="462" spans="2:13" hidden="1" outlineLevel="1" x14ac:dyDescent="0.3">
      <c r="B462" s="24" t="str">
        <f>IF('TO HOP NLAN'!$A308="","",'TO HOP NLAN'!$A308)</f>
        <v/>
      </c>
      <c r="C462" s="24" t="str">
        <f>IF($B462="","",'TO HOP NLAN'!$D308)</f>
        <v/>
      </c>
      <c r="D462" s="24" t="str">
        <f>IF($B462="","",$C$32*ABS(IFERROR('TO HOP NLAN'!$F308,0)))</f>
        <v/>
      </c>
      <c r="E462" s="24" t="str">
        <f>IF($B462="","",$D$32*ABS(IFERROR('TO HOP NLAN'!$E308,0)))</f>
        <v/>
      </c>
      <c r="F462" s="24" t="str">
        <f t="shared" si="74"/>
        <v/>
      </c>
      <c r="G462" s="24" t="str">
        <f t="shared" si="75"/>
        <v/>
      </c>
      <c r="H462" s="24" t="str">
        <f t="shared" si="76"/>
        <v/>
      </c>
      <c r="I462" s="24" t="str">
        <f t="shared" si="77"/>
        <v/>
      </c>
      <c r="J462" s="24" t="str">
        <f t="shared" si="78"/>
        <v/>
      </c>
      <c r="K462" s="24" t="str">
        <f t="shared" si="79"/>
        <v/>
      </c>
      <c r="L462" s="24" t="str">
        <f t="shared" si="80"/>
        <v/>
      </c>
      <c r="M462" s="24" t="str">
        <f t="shared" si="81"/>
        <v/>
      </c>
    </row>
    <row r="463" spans="2:13" hidden="1" outlineLevel="1" x14ac:dyDescent="0.3">
      <c r="B463" s="24" t="str">
        <f>IF('TO HOP NLAN'!$A309="","",'TO HOP NLAN'!$A309)</f>
        <v/>
      </c>
      <c r="C463" s="24" t="str">
        <f>IF($B463="","",'TO HOP NLAN'!$D309)</f>
        <v/>
      </c>
      <c r="D463" s="24" t="str">
        <f>IF($B463="","",$C$32*ABS(IFERROR('TO HOP NLAN'!$F309,0)))</f>
        <v/>
      </c>
      <c r="E463" s="24" t="str">
        <f>IF($B463="","",$D$32*ABS(IFERROR('TO HOP NLAN'!$E309,0)))</f>
        <v/>
      </c>
      <c r="F463" s="24" t="str">
        <f t="shared" si="74"/>
        <v/>
      </c>
      <c r="G463" s="24" t="str">
        <f t="shared" si="75"/>
        <v/>
      </c>
      <c r="H463" s="24" t="str">
        <f t="shared" si="76"/>
        <v/>
      </c>
      <c r="I463" s="24" t="str">
        <f t="shared" si="77"/>
        <v/>
      </c>
      <c r="J463" s="24" t="str">
        <f t="shared" si="78"/>
        <v/>
      </c>
      <c r="K463" s="24" t="str">
        <f t="shared" si="79"/>
        <v/>
      </c>
      <c r="L463" s="24" t="str">
        <f t="shared" si="80"/>
        <v/>
      </c>
      <c r="M463" s="24" t="str">
        <f t="shared" si="81"/>
        <v/>
      </c>
    </row>
    <row r="464" spans="2:13" hidden="1" outlineLevel="1" x14ac:dyDescent="0.3">
      <c r="B464" s="24" t="str">
        <f>IF('TO HOP NLAN'!$A310="","",'TO HOP NLAN'!$A310)</f>
        <v/>
      </c>
      <c r="C464" s="24" t="str">
        <f>IF($B464="","",'TO HOP NLAN'!$D310)</f>
        <v/>
      </c>
      <c r="D464" s="24" t="str">
        <f>IF($B464="","",$C$32*ABS(IFERROR('TO HOP NLAN'!$F310,0)))</f>
        <v/>
      </c>
      <c r="E464" s="24" t="str">
        <f>IF($B464="","",$D$32*ABS(IFERROR('TO HOP NLAN'!$E310,0)))</f>
        <v/>
      </c>
      <c r="F464" s="24" t="str">
        <f t="shared" si="74"/>
        <v/>
      </c>
      <c r="G464" s="24" t="str">
        <f t="shared" si="75"/>
        <v/>
      </c>
      <c r="H464" s="24" t="str">
        <f t="shared" si="76"/>
        <v/>
      </c>
      <c r="I464" s="24" t="str">
        <f t="shared" si="77"/>
        <v/>
      </c>
      <c r="J464" s="24" t="str">
        <f t="shared" si="78"/>
        <v/>
      </c>
      <c r="K464" s="24" t="str">
        <f t="shared" si="79"/>
        <v/>
      </c>
      <c r="L464" s="24" t="str">
        <f t="shared" si="80"/>
        <v/>
      </c>
      <c r="M464" s="24" t="str">
        <f t="shared" si="81"/>
        <v/>
      </c>
    </row>
    <row r="465" spans="2:13" hidden="1" outlineLevel="1" x14ac:dyDescent="0.3">
      <c r="B465" s="24" t="str">
        <f>IF('TO HOP NLAN'!$A311="","",'TO HOP NLAN'!$A311)</f>
        <v/>
      </c>
      <c r="C465" s="24" t="str">
        <f>IF($B465="","",'TO HOP NLAN'!$D311)</f>
        <v/>
      </c>
      <c r="D465" s="24" t="str">
        <f>IF($B465="","",$C$32*ABS(IFERROR('TO HOP NLAN'!$F311,0)))</f>
        <v/>
      </c>
      <c r="E465" s="24" t="str">
        <f>IF($B465="","",$D$32*ABS(IFERROR('TO HOP NLAN'!$E311,0)))</f>
        <v/>
      </c>
      <c r="F465" s="24" t="str">
        <f t="shared" si="74"/>
        <v/>
      </c>
      <c r="G465" s="24" t="str">
        <f t="shared" si="75"/>
        <v/>
      </c>
      <c r="H465" s="24" t="str">
        <f t="shared" si="76"/>
        <v/>
      </c>
      <c r="I465" s="24" t="str">
        <f t="shared" si="77"/>
        <v/>
      </c>
      <c r="J465" s="24" t="str">
        <f t="shared" si="78"/>
        <v/>
      </c>
      <c r="K465" s="24" t="str">
        <f t="shared" si="79"/>
        <v/>
      </c>
      <c r="L465" s="24" t="str">
        <f t="shared" si="80"/>
        <v/>
      </c>
      <c r="M465" s="24" t="str">
        <f t="shared" si="81"/>
        <v/>
      </c>
    </row>
    <row r="466" spans="2:13" collapsed="1" x14ac:dyDescent="0.3"/>
    <row r="467" spans="2:13" x14ac:dyDescent="0.3">
      <c r="B467" t="s">
        <v>1875</v>
      </c>
      <c r="D467">
        <f>IF(COUNT(L160:L465)=0,0,MAX(L160:L465))</f>
        <v>0</v>
      </c>
      <c r="E467" t="str">
        <f>IFERROR(INDEX(B160:B465,MATCH(D467,L160:L465,0)),"(không có tổ hợp n-làn)")</f>
        <v>(không có tổ hợp n-làn)</v>
      </c>
    </row>
  </sheetData>
  <mergeCells count="2">
    <mergeCell ref="A13:I13"/>
    <mergeCell ref="A14:I14"/>
  </mergeCells>
  <conditionalFormatting sqref="C67">
    <cfRule type="cellIs" dxfId="77" priority="6" operator="equal">
      <formula>"ĐẠT"</formula>
    </cfRule>
    <cfRule type="cellIs" dxfId="76" priority="7" operator="equal">
      <formula>"KHÔNG ĐẠT"</formula>
    </cfRule>
  </conditionalFormatting>
  <conditionalFormatting sqref="C76">
    <cfRule type="cellIs" dxfId="75" priority="10" operator="equal">
      <formula>"ĐẠT"</formula>
    </cfRule>
    <cfRule type="cellIs" dxfId="74" priority="11" operator="equal">
      <formula>"KHÔNG ĐẠT"</formula>
    </cfRule>
  </conditionalFormatting>
  <conditionalFormatting sqref="C81">
    <cfRule type="cellIs" dxfId="73" priority="12" operator="equal">
      <formula>"ĐẠT"</formula>
    </cfRule>
    <cfRule type="cellIs" dxfId="72" priority="13" operator="equal">
      <formula>"KHÔNG ĐẠT"</formula>
    </cfRule>
  </conditionalFormatting>
  <conditionalFormatting sqref="D30">
    <cfRule type="cellIs" dxfId="71" priority="4" operator="equal">
      <formula>"ĐẠT"</formula>
    </cfRule>
    <cfRule type="cellIs" dxfId="70" priority="5" operator="equal">
      <formula>"KHÔNG ĐẠT"</formula>
    </cfRule>
  </conditionalFormatting>
  <conditionalFormatting sqref="D149">
    <cfRule type="cellIs" dxfId="69" priority="16" operator="equal">
      <formula>"ĐẠT"</formula>
    </cfRule>
    <cfRule type="cellIs" dxfId="68" priority="17" operator="equal">
      <formula>"KHÔNG ĐẠT"</formula>
    </cfRule>
  </conditionalFormatting>
  <conditionalFormatting sqref="F68">
    <cfRule type="cellIs" dxfId="67" priority="8" operator="equal">
      <formula>"ĐẠT"</formula>
    </cfRule>
    <cfRule type="cellIs" dxfId="66" priority="9" operator="equal">
      <formula>"KHÔNG ĐẠT"</formula>
    </cfRule>
  </conditionalFormatting>
  <conditionalFormatting sqref="M85:M146">
    <cfRule type="cellIs" dxfId="65" priority="14" operator="equal">
      <formula>"ĐẠT"</formula>
    </cfRule>
    <cfRule type="cellIs" dxfId="64" priority="15" operator="equal">
      <formula>"KHÔNG ĐẠT"</formula>
    </cfRule>
  </conditionalFormatting>
  <conditionalFormatting sqref="M160:M465">
    <cfRule type="cellIs" dxfId="63" priority="1" operator="equal">
      <formula>"ĐẠT"</formula>
    </cfRule>
    <cfRule type="cellIs" dxfId="62" priority="2" operator="equal">
      <formula>"KHÔNG ĐẠT"</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233"/>
  <sheetViews>
    <sheetView showGridLines="0" topLeftCell="A29" workbookViewId="0">
      <selection activeCell="F33" sqref="F33"/>
    </sheetView>
  </sheetViews>
  <sheetFormatPr defaultRowHeight="14.4" x14ac:dyDescent="0.3"/>
  <cols>
    <col min="1" max="1" width="13" customWidth="1"/>
    <col min="2" max="2" width="24" customWidth="1"/>
    <col min="3" max="5" width="17" customWidth="1"/>
    <col min="6" max="6" width="45" customWidth="1"/>
    <col min="7" max="11" width="15" customWidth="1"/>
  </cols>
  <sheetData>
    <row r="1" spans="1:11" ht="28.05" customHeight="1" x14ac:dyDescent="0.3">
      <c r="A1" s="146" t="s">
        <v>1037</v>
      </c>
      <c r="B1" s="146"/>
      <c r="C1" s="146"/>
      <c r="D1" s="146"/>
      <c r="E1" s="146"/>
      <c r="F1" s="146"/>
      <c r="G1" s="146"/>
      <c r="H1" s="146"/>
      <c r="I1" s="146"/>
      <c r="J1" s="146"/>
      <c r="K1" s="146"/>
    </row>
    <row r="2" spans="1:11" ht="34.049999999999997" customHeight="1" x14ac:dyDescent="0.3">
      <c r="A2" s="147" t="s">
        <v>1038</v>
      </c>
      <c r="B2" s="147"/>
      <c r="C2" s="147"/>
      <c r="D2" s="147"/>
      <c r="E2" s="147"/>
      <c r="F2" s="147"/>
      <c r="G2" s="147"/>
      <c r="H2" s="147"/>
      <c r="I2" s="147"/>
      <c r="J2" s="147"/>
      <c r="K2" s="147"/>
    </row>
    <row r="3" spans="1:11" x14ac:dyDescent="0.3">
      <c r="A3" s="41"/>
      <c r="B3" s="41"/>
      <c r="C3" s="41"/>
      <c r="D3" s="41"/>
      <c r="E3" s="41"/>
      <c r="F3" s="41"/>
      <c r="G3" s="41"/>
      <c r="H3" s="41"/>
      <c r="I3" s="41"/>
      <c r="J3" s="41"/>
      <c r="K3" s="41"/>
    </row>
    <row r="4" spans="1:11" ht="22.05" customHeight="1" x14ac:dyDescent="0.3">
      <c r="A4" s="148" t="s">
        <v>1039</v>
      </c>
      <c r="B4" s="148"/>
      <c r="C4" s="148"/>
      <c r="D4" s="148"/>
      <c r="E4" s="148"/>
      <c r="F4" s="148"/>
      <c r="G4" s="148"/>
      <c r="H4" s="148"/>
      <c r="I4" s="148"/>
      <c r="J4" s="148"/>
      <c r="K4" s="148"/>
    </row>
    <row r="5" spans="1:11" x14ac:dyDescent="0.3">
      <c r="A5" s="36" t="s">
        <v>1040</v>
      </c>
      <c r="B5" s="36" t="s">
        <v>1041</v>
      </c>
      <c r="C5" s="36" t="s">
        <v>1042</v>
      </c>
      <c r="D5" s="36" t="s">
        <v>1043</v>
      </c>
      <c r="E5" s="36" t="s">
        <v>1044</v>
      </c>
      <c r="F5" s="36" t="s">
        <v>1045</v>
      </c>
      <c r="G5" s="36" t="s">
        <v>1046</v>
      </c>
      <c r="H5" s="36" t="s">
        <v>1047</v>
      </c>
      <c r="I5" s="41"/>
      <c r="J5" s="41"/>
      <c r="K5" s="41"/>
    </row>
    <row r="6" spans="1:11" ht="28.8" x14ac:dyDescent="0.3">
      <c r="A6" s="42">
        <v>1</v>
      </c>
      <c r="B6" s="40" t="str">
        <f>INPUT!B184</f>
        <v>Mố A</v>
      </c>
      <c r="C6" s="43">
        <f>INPUT!C184</f>
        <v>0</v>
      </c>
      <c r="D6" s="40">
        <f>INPUT!D184</f>
        <v>0</v>
      </c>
      <c r="E6" s="40" t="str">
        <f>INPUT!E184</f>
        <v>Chậu di động 2 phương</v>
      </c>
      <c r="F6" s="40" t="str">
        <f>INPUT!F184</f>
        <v>—</v>
      </c>
      <c r="G6" s="40" t="str">
        <f>INPUT!G184</f>
        <v>SLIDE</v>
      </c>
      <c r="H6" s="40" t="str">
        <f>IF(B6=INPUT!D5,"◄ ĐANG TÍNH","")</f>
        <v/>
      </c>
      <c r="I6" s="41"/>
      <c r="J6" s="41"/>
      <c r="K6" s="41"/>
    </row>
    <row r="7" spans="1:11" ht="28.8" x14ac:dyDescent="0.3">
      <c r="A7" s="42">
        <v>2</v>
      </c>
      <c r="B7" s="40" t="str">
        <f>INPUT!B185</f>
        <v>Trụ T1</v>
      </c>
      <c r="C7" s="43">
        <f>INPUT!C185</f>
        <v>38.200000000000003</v>
      </c>
      <c r="D7" s="40" t="str">
        <f>INPUT!D185</f>
        <v>Chậu di động 1 phương ngang</v>
      </c>
      <c r="E7" s="40" t="str">
        <f>INPUT!E185</f>
        <v>Chậu di động 2 phương</v>
      </c>
      <c r="F7" s="40" t="str">
        <f>INPUT!F185</f>
        <v>FIXED</v>
      </c>
      <c r="G7" s="40" t="str">
        <f>INPUT!G185</f>
        <v>SLIDE</v>
      </c>
      <c r="H7" s="40" t="str">
        <f>IF(B7=INPUT!D5,"◄ ĐANG TÍNH","")</f>
        <v>◄ ĐANG TÍNH</v>
      </c>
      <c r="I7" s="41"/>
      <c r="J7" s="41"/>
      <c r="K7" s="41"/>
    </row>
    <row r="8" spans="1:11" ht="28.8" x14ac:dyDescent="0.3">
      <c r="A8" s="42">
        <v>3</v>
      </c>
      <c r="B8" s="40" t="str">
        <f>INPUT!B186</f>
        <v>Trụ T2</v>
      </c>
      <c r="C8" s="43">
        <f>INPUT!C186</f>
        <v>38.200000000000003</v>
      </c>
      <c r="D8" s="40" t="str">
        <f>INPUT!D186</f>
        <v>Chậu di động 1 phương ngang</v>
      </c>
      <c r="E8" s="40" t="str">
        <f>INPUT!E186</f>
        <v>Chậu di động 1 phương ngang</v>
      </c>
      <c r="F8" s="40" t="str">
        <f>INPUT!F186</f>
        <v>FIXED</v>
      </c>
      <c r="G8" s="40" t="str">
        <f>INPUT!G186</f>
        <v>FIXED</v>
      </c>
      <c r="H8" s="40" t="str">
        <f>IF(B8=INPUT!D5,"◄ ĐANG TÍNH","")</f>
        <v/>
      </c>
      <c r="I8" s="41"/>
      <c r="J8" s="41"/>
      <c r="K8" s="41"/>
    </row>
    <row r="9" spans="1:11" ht="28.8" x14ac:dyDescent="0.3">
      <c r="A9" s="42">
        <v>4</v>
      </c>
      <c r="B9" s="40" t="str">
        <f>INPUT!B187</f>
        <v>Trụ T3</v>
      </c>
      <c r="C9" s="43">
        <f>INPUT!C187</f>
        <v>38.200000000000003</v>
      </c>
      <c r="D9" s="40" t="str">
        <f>INPUT!D187</f>
        <v>Chậu di động 2 phương</v>
      </c>
      <c r="E9" s="40" t="str">
        <f>INPUT!E187</f>
        <v>Chậu di động 1 phương ngang</v>
      </c>
      <c r="F9" s="40" t="str">
        <f>INPUT!F187</f>
        <v>SLIDE</v>
      </c>
      <c r="G9" s="40" t="str">
        <f>INPUT!G187</f>
        <v>FIXED</v>
      </c>
      <c r="H9" s="40" t="str">
        <f>IF(B9=INPUT!D5,"◄ ĐANG TÍNH","")</f>
        <v/>
      </c>
      <c r="I9" s="41"/>
      <c r="J9" s="41"/>
      <c r="K9" s="41"/>
    </row>
    <row r="10" spans="1:11" ht="28.8" x14ac:dyDescent="0.3">
      <c r="A10" s="42">
        <v>5</v>
      </c>
      <c r="B10" s="40" t="str">
        <f>INPUT!B188</f>
        <v>Mố B</v>
      </c>
      <c r="C10" s="43">
        <f>INPUT!C188</f>
        <v>38.200000000000003</v>
      </c>
      <c r="D10" s="40" t="str">
        <f>INPUT!D188</f>
        <v>Chậu di động 2 phương</v>
      </c>
      <c r="E10" s="40">
        <f>INPUT!E188</f>
        <v>0</v>
      </c>
      <c r="F10" s="40" t="str">
        <f>INPUT!F188</f>
        <v>SLIDE</v>
      </c>
      <c r="G10" s="40" t="str">
        <f>INPUT!G188</f>
        <v>—</v>
      </c>
      <c r="H10" s="40" t="str">
        <f>IF(B10=INPUT!D5,"◄ ĐANG TÍNH","")</f>
        <v/>
      </c>
      <c r="I10" s="41"/>
      <c r="J10" s="41"/>
      <c r="K10" s="41"/>
    </row>
    <row r="11" spans="1:11" x14ac:dyDescent="0.3">
      <c r="A11" s="42">
        <v>6</v>
      </c>
      <c r="B11" s="40">
        <f>INPUT!B189</f>
        <v>0</v>
      </c>
      <c r="C11" s="43">
        <f>INPUT!C189</f>
        <v>0</v>
      </c>
      <c r="D11" s="40">
        <f>INPUT!D189</f>
        <v>0</v>
      </c>
      <c r="E11" s="40">
        <f>INPUT!E189</f>
        <v>0</v>
      </c>
      <c r="F11" s="40" t="str">
        <f>INPUT!F189</f>
        <v>—</v>
      </c>
      <c r="G11" s="40" t="str">
        <f>INPUT!G189</f>
        <v>—</v>
      </c>
      <c r="H11" s="40" t="str">
        <f>IF(B11=INPUT!D5,"◄ ĐANG TÍNH","")</f>
        <v/>
      </c>
      <c r="I11" s="41"/>
      <c r="J11" s="41"/>
      <c r="K11" s="41"/>
    </row>
    <row r="12" spans="1:11" x14ac:dyDescent="0.3">
      <c r="A12" s="42">
        <v>7</v>
      </c>
      <c r="B12" s="40">
        <f>INPUT!B190</f>
        <v>0</v>
      </c>
      <c r="C12" s="43">
        <f>INPUT!C190</f>
        <v>0</v>
      </c>
      <c r="D12" s="40">
        <f>INPUT!D190</f>
        <v>0</v>
      </c>
      <c r="E12" s="40">
        <f>INPUT!E190</f>
        <v>0</v>
      </c>
      <c r="F12" s="40" t="str">
        <f>INPUT!F190</f>
        <v>—</v>
      </c>
      <c r="G12" s="40" t="str">
        <f>INPUT!G190</f>
        <v>—</v>
      </c>
      <c r="H12" s="40" t="str">
        <f>IF(B12=INPUT!D5,"◄ ĐANG TÍNH","")</f>
        <v/>
      </c>
      <c r="I12" s="41"/>
      <c r="J12" s="41"/>
      <c r="K12" s="41"/>
    </row>
    <row r="13" spans="1:11" x14ac:dyDescent="0.3">
      <c r="A13" s="42">
        <v>8</v>
      </c>
      <c r="B13" s="40">
        <f>INPUT!B191</f>
        <v>0</v>
      </c>
      <c r="C13" s="43">
        <f>INPUT!C191</f>
        <v>0</v>
      </c>
      <c r="D13" s="40">
        <f>INPUT!D191</f>
        <v>0</v>
      </c>
      <c r="E13" s="40">
        <f>INPUT!E191</f>
        <v>0</v>
      </c>
      <c r="F13" s="40" t="str">
        <f>INPUT!F191</f>
        <v>—</v>
      </c>
      <c r="G13" s="40" t="str">
        <f>INPUT!G191</f>
        <v>—</v>
      </c>
      <c r="H13" s="40" t="str">
        <f>IF(B13=INPUT!D5,"◄ ĐANG TÍNH","")</f>
        <v/>
      </c>
      <c r="I13" s="41"/>
      <c r="J13" s="41"/>
      <c r="K13" s="41"/>
    </row>
    <row r="14" spans="1:11" x14ac:dyDescent="0.3">
      <c r="A14" s="42">
        <v>9</v>
      </c>
      <c r="B14" s="40">
        <f>INPUT!B192</f>
        <v>0</v>
      </c>
      <c r="C14" s="43">
        <f>INPUT!C192</f>
        <v>0</v>
      </c>
      <c r="D14" s="40">
        <f>INPUT!D192</f>
        <v>0</v>
      </c>
      <c r="E14" s="40">
        <f>INPUT!E192</f>
        <v>0</v>
      </c>
      <c r="F14" s="40" t="str">
        <f>INPUT!F192</f>
        <v>—</v>
      </c>
      <c r="G14" s="40" t="str">
        <f>INPUT!G192</f>
        <v>—</v>
      </c>
      <c r="H14" s="40" t="str">
        <f>IF(B14=INPUT!D5,"◄ ĐANG TÍNH","")</f>
        <v/>
      </c>
      <c r="I14" s="41"/>
      <c r="J14" s="41"/>
      <c r="K14" s="41"/>
    </row>
    <row r="15" spans="1:11" x14ac:dyDescent="0.3">
      <c r="A15" s="41"/>
      <c r="B15" s="41"/>
      <c r="C15" s="41"/>
      <c r="D15" s="41"/>
      <c r="E15" s="41"/>
      <c r="F15" s="41"/>
      <c r="G15" s="41"/>
      <c r="H15" s="41"/>
      <c r="I15" s="41"/>
      <c r="J15" s="41"/>
      <c r="K15" s="41"/>
    </row>
    <row r="16" spans="1:11" ht="22.05" customHeight="1" x14ac:dyDescent="0.3">
      <c r="A16" s="148" t="s">
        <v>1048</v>
      </c>
      <c r="B16" s="148"/>
      <c r="C16" s="148"/>
      <c r="D16" s="148"/>
      <c r="E16" s="148"/>
      <c r="F16" s="148"/>
      <c r="G16" s="148"/>
      <c r="H16" s="148"/>
      <c r="I16" s="148"/>
      <c r="J16" s="148"/>
      <c r="K16" s="148"/>
    </row>
    <row r="17" spans="1:11" ht="28.8" x14ac:dyDescent="0.3">
      <c r="A17" s="36" t="s">
        <v>1049</v>
      </c>
      <c r="B17" s="36" t="s">
        <v>1050</v>
      </c>
      <c r="C17" s="36" t="s">
        <v>1051</v>
      </c>
      <c r="D17" s="36" t="s">
        <v>1052</v>
      </c>
      <c r="E17" s="36" t="s">
        <v>1053</v>
      </c>
      <c r="F17" s="36" t="s">
        <v>1054</v>
      </c>
      <c r="G17" s="41"/>
      <c r="H17" s="41"/>
      <c r="I17" s="41"/>
      <c r="J17" s="41"/>
      <c r="K17" s="41"/>
    </row>
    <row r="18" spans="1:11" x14ac:dyDescent="0.3">
      <c r="A18" s="42" t="s">
        <v>1055</v>
      </c>
      <c r="B18" s="44">
        <f>IF(goiForceMode="APPROX 1D",'GOI 1D'!B34,IF(statT_="ELASTIC",Kbrow/1000*(uLtup-uptup),0))</f>
        <v>0</v>
      </c>
      <c r="C18" s="44">
        <f>IF(goiForceMode="APPROX 1D",'GOI 1D'!C34,IF(statP_="ELASTIC",Kbrow/1000*(uRtup-uptup),0))</f>
        <v>-1521.6710398756793</v>
      </c>
      <c r="D18" s="44">
        <f>IF(goiForceMode="GLOBAL",IF(COUNT(H_TUplus_global)=1,H_TUplus_global,""),IF(goiForceMode="APPROX 1D",'GOI 1D'!D34,IF(goiForceMode="GLOBAL",IF(COUNT(H_TUplus_global)=1,H_TUplus_global,""),IF(OR(statT_="FIXED",statP_="FIXED"),"",HpTUp+H_extra))))</f>
        <v>-1521.6710398757043</v>
      </c>
      <c r="E18" s="44" t="s">
        <v>72</v>
      </c>
      <c r="F18" s="42" t="s">
        <v>1056</v>
      </c>
      <c r="G18" s="41"/>
      <c r="H18" s="41"/>
      <c r="I18" s="41"/>
      <c r="J18" s="41"/>
      <c r="K18" s="41"/>
    </row>
    <row r="19" spans="1:11" x14ac:dyDescent="0.3">
      <c r="A19" s="42" t="s">
        <v>1057</v>
      </c>
      <c r="B19" s="44">
        <f>IF(goiForceMode="APPROX 1D",'GOI 1D'!B35,IF(statT_="ELASTIC",Kbrow/1000*(uLtum-uptum),0))</f>
        <v>2.248360081414877E-11</v>
      </c>
      <c r="C19" s="44">
        <f>IF(goiForceMode="APPROX 1D",'GOI 1D'!C35,IF(statP_="ELASTIC",Kbrow/1000*(uRtum-uptum),0))</f>
        <v>1383.3373089778861</v>
      </c>
      <c r="D19" s="44">
        <f>IF(goiForceMode="GLOBAL",IF(COUNT(H_TUminus_global)=1,H_TUminus_global,""),IF(goiForceMode="APPROX 1D",'GOI 1D'!D35,IF(goiForceMode="GLOBAL",IF(COUNT(H_TUminus_global)=1,H_TUminus_global,""),IF(OR(statT_="FIXED",statP_="FIXED"),"",HpTUm+H_extra))))</f>
        <v>1383.337308977915</v>
      </c>
      <c r="E19" s="44" t="s">
        <v>72</v>
      </c>
      <c r="F19" s="42" t="s">
        <v>1056</v>
      </c>
      <c r="G19" s="41"/>
      <c r="H19" s="41"/>
      <c r="I19" s="41"/>
      <c r="J19" s="41"/>
      <c r="K19" s="41"/>
    </row>
    <row r="20" spans="1:11" x14ac:dyDescent="0.3">
      <c r="A20" s="42" t="s">
        <v>1058</v>
      </c>
      <c r="B20" s="44">
        <f>IF(goiForceMode="APPROX 1D",'GOI 1D'!B36,IF(csmode=1,"—",IF(statT_="ELASTIC",Kbrow/1000*(C30-C34),0)))</f>
        <v>-5.6209002035371924E-12</v>
      </c>
      <c r="C20" s="44">
        <f>IF(goiForceMode="APPROX 1D",'GOI 1D'!C36,IF(csmode=1,"—",IF(statP_="ELASTIC",Kbrow/1000*(C31-C34),0)))</f>
        <v>512.34715147329575</v>
      </c>
      <c r="D20" s="44">
        <f>IF(goiForceMode="GLOBAL",IF(COUNT(H_CR_global)=1,H_CR_global,""),IF(goiForceMode="APPROX 1D",'GOI 1D'!D36,IF(goiForceMode="GLOBAL",IF(COUNT(H_CR_global)=1,H_CR_global,""),IF(OR(statT_="FIXED",statP_="FIXED"),"",IF(csmode=1,"",C36)))))</f>
        <v>512.34715147329803</v>
      </c>
      <c r="E20" s="44" t="s">
        <v>72</v>
      </c>
      <c r="F20" s="42" t="s">
        <v>1059</v>
      </c>
      <c r="G20" s="41"/>
      <c r="H20" s="41"/>
      <c r="I20" s="41"/>
      <c r="J20" s="41"/>
      <c r="K20" s="41"/>
    </row>
    <row r="21" spans="1:11" x14ac:dyDescent="0.3">
      <c r="A21" s="42" t="s">
        <v>1060</v>
      </c>
      <c r="B21" s="44">
        <f>IF(goiForceMode="APPROX 1D",'GOI 1D'!B37,IF(csmode=1,"—",IF(statT_="ELASTIC",Kbrow/1000*(C32-C35),0)))</f>
        <v>-2.8104501017685962E-12</v>
      </c>
      <c r="C21" s="44">
        <f>IF(goiForceMode="APPROX 1D",'GOI 1D'!C37,IF(csmode=1,"—",IF(statP_="ELASTIC",Kbrow/1000*(C33-C35),0)))</f>
        <v>320.21696967081124</v>
      </c>
      <c r="D21" s="44">
        <f>IF(goiForceMode="GLOBAL",IF(COUNT(H_SH_global)=1,H_SH_global,""),IF(goiForceMode="APPROX 1D",'GOI 1D'!D37,IF(goiForceMode="GLOBAL",IF(COUNT(H_SH_global)=1,H_SH_global,""),IF(OR(statT_="FIXED",statP_="FIXED"),"",IF(csmode=1,"",C37)))))</f>
        <v>320.21696967081334</v>
      </c>
      <c r="E21" s="44" t="s">
        <v>72</v>
      </c>
      <c r="F21" s="42" t="s">
        <v>1061</v>
      </c>
      <c r="G21" s="41"/>
      <c r="H21" s="41"/>
      <c r="I21" s="41"/>
      <c r="J21" s="41"/>
      <c r="K21" s="41"/>
    </row>
    <row r="22" spans="1:11" x14ac:dyDescent="0.3">
      <c r="A22" s="42" t="s">
        <v>1062</v>
      </c>
      <c r="B22" s="44">
        <f>FRlocT+FRtrT</f>
        <v>517.32725625000012</v>
      </c>
      <c r="C22" s="44">
        <f>FRlocP+FRtrP</f>
        <v>517.32725625000012</v>
      </c>
      <c r="D22" s="44">
        <f>FRval</f>
        <v>1034.6545125000002</v>
      </c>
      <c r="E22" s="44" t="s">
        <v>72</v>
      </c>
      <c r="F22" s="42" t="s">
        <v>1063</v>
      </c>
      <c r="G22" s="41"/>
      <c r="H22" s="41"/>
      <c r="I22" s="41"/>
      <c r="J22" s="41"/>
      <c r="K22" s="41"/>
    </row>
    <row r="23" spans="1:11" x14ac:dyDescent="0.3">
      <c r="A23" s="42" t="s">
        <v>1064</v>
      </c>
      <c r="B23" s="44">
        <f>-B22</f>
        <v>-517.32725625000012</v>
      </c>
      <c r="C23" s="44">
        <f>-C22</f>
        <v>-517.32725625000012</v>
      </c>
      <c r="D23" s="44">
        <f>-FRval</f>
        <v>-1034.6545125000002</v>
      </c>
      <c r="E23" s="44" t="s">
        <v>72</v>
      </c>
      <c r="F23" s="42" t="s">
        <v>1065</v>
      </c>
      <c r="G23" s="41"/>
      <c r="H23" s="41"/>
      <c r="I23" s="41"/>
      <c r="J23" s="41"/>
      <c r="K23" s="41"/>
    </row>
    <row r="24" spans="1:11" x14ac:dyDescent="0.3">
      <c r="A24" s="42" t="s">
        <v>1066</v>
      </c>
      <c r="B24" s="44">
        <f>IF(statT_="ELASTIC",Kbrow/1000*(uLcs-upcs),0)</f>
        <v>0</v>
      </c>
      <c r="C24" s="44">
        <f>IF(statP_="ELASTIC",Kbrow/1000*(uRcs-upcs),0)</f>
        <v>0</v>
      </c>
      <c r="D24" s="44">
        <f>IF(goiForceMode="GLOBAL",IF(AND(COUNT(H_CR_global)=1,COUNT(H_SH_global)=1),H_CR_global+H_SH_global,""),IF(goiForceMode="APPROX 1D",D20+D21,HpCS))</f>
        <v>832.56412114411137</v>
      </c>
      <c r="E24" s="44" t="s">
        <v>72</v>
      </c>
      <c r="F24" s="42" t="s">
        <v>1067</v>
      </c>
      <c r="G24" s="41"/>
      <c r="H24" s="41"/>
      <c r="I24" s="41"/>
      <c r="J24" s="41"/>
      <c r="K24" s="41"/>
    </row>
    <row r="25" spans="1:11" x14ac:dyDescent="0.3">
      <c r="A25" s="42" t="s">
        <v>1068</v>
      </c>
      <c r="B25" s="44" t="s">
        <v>395</v>
      </c>
      <c r="C25" s="44" t="s">
        <v>395</v>
      </c>
      <c r="D25" s="44">
        <f>IF(goiForceMode="GLOBAL",IF(COUNT(H_SE_global)=1,H_SE_global,""),0)</f>
        <v>0</v>
      </c>
      <c r="E25" s="44" t="s">
        <v>72</v>
      </c>
      <c r="F25" s="42" t="s">
        <v>1069</v>
      </c>
      <c r="G25" s="41"/>
      <c r="H25" s="41"/>
      <c r="I25" s="41"/>
      <c r="J25" s="41"/>
      <c r="K25" s="41"/>
    </row>
    <row r="26" spans="1:11" x14ac:dyDescent="0.3">
      <c r="A26" s="41"/>
      <c r="B26" s="41"/>
      <c r="C26" s="41"/>
      <c r="D26" s="41"/>
      <c r="E26" s="41"/>
      <c r="F26" s="41"/>
      <c r="G26" s="41"/>
      <c r="H26" s="41"/>
      <c r="I26" s="41"/>
      <c r="J26" s="41"/>
      <c r="K26" s="41"/>
    </row>
    <row r="27" spans="1:11" ht="22.05" customHeight="1" x14ac:dyDescent="0.3">
      <c r="A27" s="148" t="s">
        <v>1070</v>
      </c>
      <c r="B27" s="148"/>
      <c r="C27" s="148"/>
      <c r="D27" s="148"/>
      <c r="E27" s="148"/>
      <c r="F27" s="148"/>
      <c r="G27" s="148"/>
      <c r="H27" s="148"/>
      <c r="I27" s="148"/>
      <c r="J27" s="148"/>
      <c r="K27" s="148"/>
    </row>
    <row r="28" spans="1:11" ht="28.8" x14ac:dyDescent="0.3">
      <c r="A28" s="42" t="s">
        <v>1071</v>
      </c>
      <c r="B28" s="40" t="str">
        <f>IF(goiForceMode="GLOBAL",IF(COUNT(INPUT!F207:F211)=5,"GLOBAL — ĐỦ DỮ LIỆU","BLOCKED — GLOBAL THIẾU DỮ LIỆU"),IF(goiForceMode="APPROX 1D",'GOI 1D'!G34,IF(OR(statT_="FIXED",statP_="FIXED"),"BLOCKED — FIXED CHỌN APPROX 1D HOẶC GLOBAL","AUTO CỤC BỘ — ELASTIC/SLIDE")))</f>
        <v>DÙNG ĐƯỢC — XẤP XỈ 1D</v>
      </c>
      <c r="C28" s="42"/>
      <c r="D28" s="42"/>
      <c r="E28" s="41"/>
      <c r="F28" s="41" t="s">
        <v>1458</v>
      </c>
      <c r="G28" s="41"/>
      <c r="H28" s="41"/>
      <c r="I28" s="41"/>
      <c r="J28" s="41"/>
      <c r="K28" s="41"/>
    </row>
    <row r="29" spans="1:11" x14ac:dyDescent="0.3">
      <c r="A29" s="42" t="s">
        <v>1047</v>
      </c>
      <c r="B29" s="40" t="str">
        <f>INPUT!D5</f>
        <v>Trụ T1</v>
      </c>
      <c r="C29" s="42"/>
      <c r="D29" s="42"/>
      <c r="E29" s="41"/>
      <c r="F29" s="41"/>
      <c r="G29" s="41"/>
      <c r="H29" s="41"/>
      <c r="I29" s="41"/>
      <c r="J29" s="41"/>
      <c r="K29" s="41"/>
    </row>
    <row r="30" spans="1:11" x14ac:dyDescent="0.3">
      <c r="A30" s="42" t="s">
        <v>1072</v>
      </c>
      <c r="B30" s="40" t="str">
        <f>statT_&amp;" / "&amp;statP_</f>
        <v>FIXED / SLIDE</v>
      </c>
      <c r="C30" s="42"/>
      <c r="D30" s="42"/>
      <c r="E30" s="41"/>
      <c r="F30" s="41"/>
      <c r="G30" s="41"/>
      <c r="H30" s="41"/>
      <c r="I30" s="41"/>
      <c r="J30" s="41"/>
      <c r="K30" s="41"/>
    </row>
    <row r="31" spans="1:11" ht="28.8" x14ac:dyDescent="0.3">
      <c r="A31" s="42" t="s">
        <v>1073</v>
      </c>
      <c r="B31" s="44">
        <f>Kthan</f>
        <v>169849.94642481103</v>
      </c>
      <c r="C31" s="42"/>
      <c r="D31" s="42" t="s">
        <v>189</v>
      </c>
      <c r="E31" s="41"/>
      <c r="F31" s="41"/>
      <c r="G31" s="41"/>
      <c r="H31" s="41"/>
      <c r="I31" s="41"/>
      <c r="J31" s="41"/>
      <c r="K31" s="41"/>
    </row>
    <row r="32" spans="1:11" ht="28.8" x14ac:dyDescent="0.3">
      <c r="A32" s="42" t="s">
        <v>1074</v>
      </c>
      <c r="B32" s="44">
        <f>MAX(FrowT,FrowP)</f>
        <v>0</v>
      </c>
      <c r="C32" s="42"/>
      <c r="D32" s="42" t="s">
        <v>72</v>
      </c>
      <c r="E32" s="41"/>
      <c r="F32" s="41"/>
      <c r="G32" s="41"/>
      <c r="H32" s="41"/>
      <c r="I32" s="41"/>
      <c r="J32" s="41"/>
      <c r="K32" s="41"/>
    </row>
    <row r="33" spans="1:11" x14ac:dyDescent="0.3">
      <c r="A33" s="41"/>
      <c r="B33" s="41"/>
      <c r="C33" s="41">
        <f>eshrem_*10^-6*L2_*1000*coefP_</f>
        <v>1.91</v>
      </c>
      <c r="D33" s="41"/>
      <c r="E33" s="41"/>
      <c r="F33" s="41"/>
      <c r="G33" s="41"/>
      <c r="H33" s="41"/>
      <c r="I33" s="41"/>
      <c r="J33" s="41"/>
      <c r="K33" s="41"/>
    </row>
    <row r="34" spans="1:11" x14ac:dyDescent="0.3">
      <c r="A34" s="41"/>
      <c r="B34" s="41"/>
      <c r="C34" s="41">
        <f>IF(kL_+kR_=0,0,(kL_*C30+kR_*C31)/(Kthan+kL_+kR_))</f>
        <v>0</v>
      </c>
      <c r="D34" s="41"/>
      <c r="E34" s="41"/>
      <c r="F34" s="41"/>
      <c r="G34" s="41"/>
      <c r="H34" s="41"/>
      <c r="I34" s="41"/>
      <c r="J34" s="41"/>
      <c r="K34" s="41"/>
    </row>
    <row r="35" spans="1:11" x14ac:dyDescent="0.3">
      <c r="A35" s="41"/>
      <c r="B35" s="41"/>
      <c r="C35" s="41">
        <f>IF(kL_+kR_=0,0,(kL_*C32+kR_*C33)/(Kthan+kL_+kR_))</f>
        <v>0</v>
      </c>
      <c r="D35" s="41"/>
      <c r="E35" s="41"/>
      <c r="F35" s="41"/>
      <c r="G35" s="41"/>
      <c r="H35" s="41"/>
      <c r="I35" s="41"/>
      <c r="J35" s="41"/>
      <c r="K35" s="41"/>
    </row>
    <row r="36" spans="1:11" x14ac:dyDescent="0.3">
      <c r="A36" s="41"/>
      <c r="B36" s="41"/>
      <c r="C36" s="41">
        <f>Kthan*C34/1000</f>
        <v>0</v>
      </c>
      <c r="D36" s="41"/>
      <c r="E36" s="41"/>
      <c r="F36" s="41"/>
      <c r="G36" s="41"/>
      <c r="H36" s="41"/>
      <c r="I36" s="41"/>
      <c r="J36" s="41"/>
      <c r="K36" s="41"/>
    </row>
    <row r="37" spans="1:11" x14ac:dyDescent="0.3">
      <c r="A37" s="41"/>
      <c r="B37" s="41"/>
      <c r="C37" s="41">
        <f>Kthan*C35/1000</f>
        <v>0</v>
      </c>
      <c r="D37" s="41"/>
      <c r="E37" s="41"/>
      <c r="F37" s="41"/>
      <c r="G37" s="41"/>
      <c r="H37" s="41"/>
      <c r="I37" s="41"/>
      <c r="J37" s="41"/>
      <c r="K37" s="41"/>
    </row>
    <row r="38" spans="1:11" x14ac:dyDescent="0.3">
      <c r="A38" s="41"/>
      <c r="B38" s="41"/>
      <c r="C38" s="41"/>
      <c r="D38" s="41"/>
      <c r="E38" s="41"/>
      <c r="F38" s="41"/>
      <c r="G38" s="41"/>
      <c r="H38" s="41"/>
      <c r="I38" s="41"/>
      <c r="J38" s="41"/>
      <c r="K38" s="41"/>
    </row>
    <row r="39" spans="1:11" x14ac:dyDescent="0.3">
      <c r="A39" s="41"/>
      <c r="B39" s="41"/>
      <c r="C39" s="41"/>
      <c r="D39" s="41"/>
      <c r="E39" s="41"/>
      <c r="F39" s="41"/>
      <c r="G39" s="41"/>
      <c r="H39" s="41"/>
      <c r="I39" s="41"/>
      <c r="J39" s="41"/>
      <c r="K39" s="41"/>
    </row>
    <row r="40" spans="1:11" x14ac:dyDescent="0.3">
      <c r="A40" s="41"/>
      <c r="B40" s="41"/>
      <c r="C40" s="41"/>
      <c r="D40" s="41"/>
      <c r="E40" s="41"/>
      <c r="F40" s="41"/>
      <c r="G40" s="41"/>
      <c r="H40" s="41"/>
      <c r="I40" s="41"/>
      <c r="J40" s="41"/>
      <c r="K40" s="41"/>
    </row>
    <row r="90" spans="2:7" x14ac:dyDescent="0.3">
      <c r="B90" t="s">
        <v>1075</v>
      </c>
      <c r="E90" t="s">
        <v>1076</v>
      </c>
      <c r="F90" t="str">
        <f>IF(curidx=0,"— (xem mục 2c)",INDEX(loaiTrng,curidx))</f>
        <v>Chậu di động 1 phương ngang</v>
      </c>
      <c r="G90" t="s">
        <v>98</v>
      </c>
    </row>
    <row r="91" spans="2:7" x14ac:dyDescent="0.3">
      <c r="B91" t="s">
        <v>1077</v>
      </c>
      <c r="E91" t="s">
        <v>1078</v>
      </c>
      <c r="F91" t="str">
        <f>IF(curidx=0,"—",INDEX(loaiPrng,curidx))</f>
        <v>Chậu di động 2 phương</v>
      </c>
      <c r="G91" t="s">
        <v>98</v>
      </c>
    </row>
    <row r="92" spans="2:7" x14ac:dyDescent="0.3">
      <c r="B92" t="s">
        <v>1079</v>
      </c>
      <c r="E92" t="s">
        <v>1080</v>
      </c>
      <c r="F92" t="str">
        <f>IF(curidx=0,"—",INDEX(statTrng,curidx))</f>
        <v>FIXED</v>
      </c>
      <c r="G92" t="s">
        <v>98</v>
      </c>
    </row>
    <row r="93" spans="2:7" x14ac:dyDescent="0.3">
      <c r="B93" t="s">
        <v>1081</v>
      </c>
      <c r="E93" t="s">
        <v>1082</v>
      </c>
      <c r="F93" t="str">
        <f>IF(curidx=0,"—",INDEX(statPrng,curidx))</f>
        <v>SLIDE</v>
      </c>
      <c r="G93" t="s">
        <v>98</v>
      </c>
    </row>
    <row r="101" spans="2:8" x14ac:dyDescent="0.3">
      <c r="B101" t="s">
        <v>1083</v>
      </c>
      <c r="E101" t="s">
        <v>1084</v>
      </c>
      <c r="F101">
        <f>N_perm/(2*ngoi)*1000/Aptfe</f>
        <v>8.2115437500000006</v>
      </c>
      <c r="G101" t="s">
        <v>160</v>
      </c>
      <c r="H101" t="s">
        <v>1085</v>
      </c>
    </row>
    <row r="102" spans="2:8" x14ac:dyDescent="0.3">
      <c r="E102" t="s">
        <v>228</v>
      </c>
      <c r="F102" t="s">
        <v>229</v>
      </c>
      <c r="G102" t="s">
        <v>230</v>
      </c>
      <c r="H102" t="s">
        <v>231</v>
      </c>
    </row>
    <row r="103" spans="2:8" x14ac:dyDescent="0.3">
      <c r="E103" t="s">
        <v>232</v>
      </c>
      <c r="F103">
        <v>3.5</v>
      </c>
      <c r="G103">
        <v>14</v>
      </c>
      <c r="H103">
        <v>35</v>
      </c>
    </row>
    <row r="104" spans="2:8" x14ac:dyDescent="0.3">
      <c r="E104" t="s">
        <v>233</v>
      </c>
      <c r="F104">
        <v>0.04</v>
      </c>
      <c r="G104">
        <v>0.03</v>
      </c>
      <c r="H104">
        <v>0.03</v>
      </c>
    </row>
    <row r="105" spans="2:8" x14ac:dyDescent="0.3">
      <c r="E105" t="s">
        <v>234</v>
      </c>
      <c r="F105">
        <v>0.2</v>
      </c>
      <c r="G105">
        <v>0.1</v>
      </c>
      <c r="H105">
        <v>0.06</v>
      </c>
    </row>
    <row r="106" spans="2:8" x14ac:dyDescent="0.3">
      <c r="E106" t="s">
        <v>235</v>
      </c>
      <c r="F106">
        <v>0.24</v>
      </c>
      <c r="G106">
        <v>0.12</v>
      </c>
      <c r="H106">
        <v>0.09</v>
      </c>
    </row>
    <row r="107" spans="2:8" x14ac:dyDescent="0.3">
      <c r="E107" t="s">
        <v>236</v>
      </c>
      <c r="F107">
        <v>0.08</v>
      </c>
      <c r="G107">
        <v>0.05</v>
      </c>
      <c r="H107">
        <v>0.03</v>
      </c>
    </row>
    <row r="108" spans="2:8" x14ac:dyDescent="0.3">
      <c r="B108" t="s">
        <v>237</v>
      </c>
      <c r="F108">
        <f>INDEX($F$104:$F$107,ptfetype)</f>
        <v>0.2</v>
      </c>
      <c r="G108">
        <f>INDEX($G$104:$G$107,ptfetype)</f>
        <v>0.1</v>
      </c>
      <c r="H108">
        <f>INDEX($H$104:$H$107,ptfetype)</f>
        <v>0.06</v>
      </c>
    </row>
    <row r="109" spans="2:8" x14ac:dyDescent="0.3">
      <c r="B109" t="s">
        <v>1086</v>
      </c>
      <c r="E109" t="s">
        <v>1087</v>
      </c>
      <c r="F109">
        <f>IF(sigPTFE&lt;=$F$103,F108,IF(sigPTFE&gt;=$H$103,H108,IF(sigPTFE&lt;=$G$103,F108+(G108-F108)*(sigPTFE-$F$103)/($G$103-$F$103),G108+(H108-G108)*(sigPTFE-$G$103)/($H$103-$G$103))))</f>
        <v>0.15512815476190478</v>
      </c>
      <c r="G109" t="s">
        <v>98</v>
      </c>
    </row>
    <row r="110" spans="2:8" x14ac:dyDescent="0.3">
      <c r="B110" t="s">
        <v>1088</v>
      </c>
      <c r="E110" t="s">
        <v>1089</v>
      </c>
      <c r="F110">
        <f>IF(mumode=1,fms_manual,fms_ptfe)</f>
        <v>7.0000000000000007E-2</v>
      </c>
      <c r="G110" t="s">
        <v>98</v>
      </c>
      <c r="H110" t="s">
        <v>1090</v>
      </c>
    </row>
    <row r="157" spans="2:7" x14ac:dyDescent="0.3">
      <c r="B157" t="s">
        <v>1091</v>
      </c>
      <c r="E157" t="s">
        <v>1092</v>
      </c>
      <c r="F157">
        <f>MAX(0,Tmax_-T0_)</f>
        <v>22</v>
      </c>
      <c r="G157" t="s">
        <v>309</v>
      </c>
    </row>
    <row r="158" spans="2:7" x14ac:dyDescent="0.3">
      <c r="B158" t="s">
        <v>1093</v>
      </c>
      <c r="E158" t="s">
        <v>1094</v>
      </c>
      <c r="F158">
        <f>MAX(0,T0_-Tmin_)</f>
        <v>20</v>
      </c>
      <c r="G158" t="s">
        <v>309</v>
      </c>
    </row>
    <row r="159" spans="2:7" x14ac:dyDescent="0.3">
      <c r="B159" t="s">
        <v>1095</v>
      </c>
      <c r="E159" t="s">
        <v>1096</v>
      </c>
      <c r="F159">
        <f>alpha_*10^-6*dTp_</f>
        <v>2.376E-4</v>
      </c>
      <c r="G159" t="s">
        <v>98</v>
      </c>
    </row>
    <row r="160" spans="2:7" x14ac:dyDescent="0.3">
      <c r="B160" t="s">
        <v>1097</v>
      </c>
      <c r="E160" t="s">
        <v>1098</v>
      </c>
      <c r="F160">
        <f>alpha_*10^-6*dTm_</f>
        <v>2.1599999999999999E-4</v>
      </c>
      <c r="G160" t="s">
        <v>98</v>
      </c>
    </row>
    <row r="168" spans="2:8" x14ac:dyDescent="0.3">
      <c r="B168" t="s">
        <v>1099</v>
      </c>
      <c r="E168" t="s">
        <v>1100</v>
      </c>
      <c r="F168">
        <f>(eshrem_+ecrrem_)*10^-6</f>
        <v>1.2999999999999999E-4</v>
      </c>
      <c r="G168" t="s">
        <v>98</v>
      </c>
    </row>
    <row r="173" spans="2:8" x14ac:dyDescent="0.3">
      <c r="B173" t="s">
        <v>1101</v>
      </c>
      <c r="E173" t="s">
        <v>1102</v>
      </c>
      <c r="F173">
        <f>ngoi*Grub*Arub*1000/terub</f>
        <v>62500</v>
      </c>
      <c r="G173" t="s">
        <v>189</v>
      </c>
      <c r="H173" t="s">
        <v>1103</v>
      </c>
    </row>
    <row r="174" spans="2:8" x14ac:dyDescent="0.3">
      <c r="B174" t="s">
        <v>1104</v>
      </c>
      <c r="E174" t="s">
        <v>1105</v>
      </c>
      <c r="F174">
        <f>bthan*hthan^3/12</f>
        <v>1.8773333333333337</v>
      </c>
      <c r="G174" t="s">
        <v>1106</v>
      </c>
    </row>
    <row r="175" spans="2:8" x14ac:dyDescent="0.3">
      <c r="B175" t="s">
        <v>1107</v>
      </c>
      <c r="E175" t="s">
        <v>1108</v>
      </c>
      <c r="F175">
        <f>3*Ec_*1000*Ithan/(Hcot+hxm)^3</f>
        <v>169849.94642481103</v>
      </c>
      <c r="G175" t="s">
        <v>189</v>
      </c>
    </row>
    <row r="178" spans="2:7" x14ac:dyDescent="0.3">
      <c r="B178" t="s">
        <v>1109</v>
      </c>
      <c r="E178" t="s">
        <v>1110</v>
      </c>
      <c r="F178">
        <f>RDC1_+RDW1_</f>
        <v>7390.3893750000007</v>
      </c>
      <c r="G178" t="s">
        <v>72</v>
      </c>
    </row>
    <row r="179" spans="2:7" x14ac:dyDescent="0.3">
      <c r="B179" t="s">
        <v>1111</v>
      </c>
      <c r="E179" t="s">
        <v>1112</v>
      </c>
      <c r="F179">
        <f>RDC2_+RDW2_</f>
        <v>7390.3893750000007</v>
      </c>
      <c r="G179" t="s">
        <v>72</v>
      </c>
    </row>
    <row r="180" spans="2:7" x14ac:dyDescent="0.3">
      <c r="B180" t="s">
        <v>1113</v>
      </c>
      <c r="E180" t="s">
        <v>637</v>
      </c>
      <c r="F180">
        <f>Nleft+Nright</f>
        <v>14780.778750000001</v>
      </c>
      <c r="G180" t="s">
        <v>72</v>
      </c>
    </row>
    <row r="194" spans="2:8" x14ac:dyDescent="0.3">
      <c r="B194" t="s">
        <v>1114</v>
      </c>
      <c r="E194" t="s">
        <v>1115</v>
      </c>
      <c r="F194">
        <f>IFERROR(MATCH(INPUT!D5,namerng,0),0)</f>
        <v>2</v>
      </c>
      <c r="G194" t="s">
        <v>514</v>
      </c>
      <c r="H194" t="s">
        <v>1116</v>
      </c>
    </row>
    <row r="195" spans="2:8" x14ac:dyDescent="0.3">
      <c r="B195" t="s">
        <v>1117</v>
      </c>
    </row>
    <row r="196" spans="2:8" x14ac:dyDescent="0.3">
      <c r="B196" t="s">
        <v>1118</v>
      </c>
    </row>
    <row r="197" spans="2:8" x14ac:dyDescent="0.3">
      <c r="B197" t="s">
        <v>1119</v>
      </c>
      <c r="E197" t="s">
        <v>1120</v>
      </c>
      <c r="F197" t="str">
        <f>IF(curidx&lt;=1,"—",INDEX(statPrng,curidx-1))</f>
        <v>SLIDE</v>
      </c>
      <c r="G197" t="s">
        <v>98</v>
      </c>
    </row>
    <row r="198" spans="2:8" x14ac:dyDescent="0.3">
      <c r="B198" t="s">
        <v>1121</v>
      </c>
      <c r="E198" t="s">
        <v>1122</v>
      </c>
      <c r="F198" t="str">
        <f>IF(OR(curidx=0,curidx&gt;=9),"—",IF(INDEX(namerng,curidx+1)="","—",INDEX(statTrng,curidx+1)))</f>
        <v>FIXED</v>
      </c>
      <c r="G198" t="s">
        <v>98</v>
      </c>
    </row>
    <row r="199" spans="2:8" x14ac:dyDescent="0.3">
      <c r="B199" t="s">
        <v>1123</v>
      </c>
      <c r="E199" t="s">
        <v>1124</v>
      </c>
      <c r="F199">
        <f>IF(statT_="FIXED",0,IF(statFarL_="FIXED",1,0.5))</f>
        <v>0</v>
      </c>
      <c r="G199" t="s">
        <v>98</v>
      </c>
    </row>
    <row r="200" spans="2:8" x14ac:dyDescent="0.3">
      <c r="B200" t="s">
        <v>1125</v>
      </c>
      <c r="E200" t="s">
        <v>1126</v>
      </c>
      <c r="F200">
        <f>IF(statP_="FIXED",0,IF(statFarR_="FIXED",1,0.5))</f>
        <v>1</v>
      </c>
      <c r="G200" t="s">
        <v>98</v>
      </c>
    </row>
    <row r="201" spans="2:8" x14ac:dyDescent="0.3">
      <c r="B201" t="s">
        <v>1127</v>
      </c>
      <c r="E201" t="s">
        <v>1128</v>
      </c>
      <c r="F201">
        <f>epsTUp*L1_*1000*coefT_</f>
        <v>0</v>
      </c>
      <c r="G201" t="s">
        <v>323</v>
      </c>
      <c r="H201" t="s">
        <v>1129</v>
      </c>
    </row>
    <row r="202" spans="2:8" x14ac:dyDescent="0.3">
      <c r="B202" t="s">
        <v>1130</v>
      </c>
      <c r="E202" t="s">
        <v>1131</v>
      </c>
      <c r="F202">
        <f>-epsTUp*L2_*1000*coefP_</f>
        <v>-9.0763200000000008</v>
      </c>
      <c r="G202" t="s">
        <v>323</v>
      </c>
    </row>
    <row r="203" spans="2:8" x14ac:dyDescent="0.3">
      <c r="B203" t="s">
        <v>1132</v>
      </c>
      <c r="E203" t="s">
        <v>1133</v>
      </c>
      <c r="F203">
        <f>-epsTUm*L1_*1000*coefT_</f>
        <v>0</v>
      </c>
      <c r="G203" t="s">
        <v>323</v>
      </c>
    </row>
    <row r="204" spans="2:8" x14ac:dyDescent="0.3">
      <c r="B204" t="s">
        <v>1134</v>
      </c>
      <c r="E204" t="s">
        <v>1135</v>
      </c>
      <c r="F204">
        <f>epsTUm*L2_*1000*coefP_</f>
        <v>8.2512000000000008</v>
      </c>
      <c r="G204" t="s">
        <v>323</v>
      </c>
    </row>
    <row r="205" spans="2:8" x14ac:dyDescent="0.3">
      <c r="B205" t="s">
        <v>1136</v>
      </c>
      <c r="E205" t="s">
        <v>1137</v>
      </c>
      <c r="F205">
        <f>-IF(csmode=1,dLcsL_*IF(statT_="FIXED",0,1),epsCS*L1_*1000*coefT_)</f>
        <v>0</v>
      </c>
      <c r="G205" t="s">
        <v>323</v>
      </c>
      <c r="H205" t="s">
        <v>1138</v>
      </c>
    </row>
    <row r="206" spans="2:8" x14ac:dyDescent="0.3">
      <c r="B206" t="s">
        <v>1139</v>
      </c>
      <c r="E206" t="s">
        <v>1140</v>
      </c>
      <c r="F206">
        <f>IF(csmode=1,dLcsR_*IF(statP_="FIXED",0,1),epsCS*L2_*1000*coefP_)</f>
        <v>4.9660000000000002</v>
      </c>
      <c r="G206" t="s">
        <v>323</v>
      </c>
    </row>
    <row r="207" spans="2:8" x14ac:dyDescent="0.3">
      <c r="B207" t="s">
        <v>1141</v>
      </c>
    </row>
    <row r="208" spans="2:8" x14ac:dyDescent="0.3">
      <c r="B208" t="s">
        <v>1142</v>
      </c>
      <c r="E208" t="s">
        <v>1143</v>
      </c>
      <c r="F208">
        <f>IF(statT_="ELASTIC",Kbrow,0)</f>
        <v>0</v>
      </c>
      <c r="G208" t="s">
        <v>189</v>
      </c>
    </row>
    <row r="209" spans="2:8" x14ac:dyDescent="0.3">
      <c r="B209" t="s">
        <v>1144</v>
      </c>
      <c r="E209" t="s">
        <v>1145</v>
      </c>
      <c r="F209">
        <f>IF(statP_="ELASTIC",Kbrow,0)</f>
        <v>0</v>
      </c>
      <c r="G209" t="s">
        <v>189</v>
      </c>
    </row>
    <row r="210" spans="2:8" x14ac:dyDescent="0.3">
      <c r="B210" t="s">
        <v>1146</v>
      </c>
      <c r="E210" t="s">
        <v>1147</v>
      </c>
      <c r="F210">
        <f>IF(kL_+kR_=0,0,(kL_*uLtup+kR_*uRtup)/(Kthan+kL_+kR_))</f>
        <v>0</v>
      </c>
      <c r="G210" t="s">
        <v>323</v>
      </c>
      <c r="H210" t="s">
        <v>1148</v>
      </c>
    </row>
    <row r="211" spans="2:8" x14ac:dyDescent="0.3">
      <c r="B211" t="s">
        <v>1149</v>
      </c>
      <c r="E211" t="s">
        <v>1150</v>
      </c>
      <c r="F211">
        <f>IF(kL_+kR_=0,0,(kL_*uLtum+kR_*uRtum)/(Kthan+kL_+kR_))</f>
        <v>0</v>
      </c>
      <c r="G211" t="s">
        <v>323</v>
      </c>
    </row>
    <row r="212" spans="2:8" x14ac:dyDescent="0.3">
      <c r="B212" t="s">
        <v>1151</v>
      </c>
      <c r="E212" t="s">
        <v>1152</v>
      </c>
      <c r="F212">
        <f>IF(kL_+kR_=0,0,(kL_*uLcs+kR_*uRcs)/(Kthan+kL_+kR_))</f>
        <v>0</v>
      </c>
      <c r="G212" t="s">
        <v>323</v>
      </c>
    </row>
    <row r="213" spans="2:8" x14ac:dyDescent="0.3">
      <c r="B213" t="s">
        <v>1153</v>
      </c>
      <c r="E213" t="s">
        <v>1154</v>
      </c>
      <c r="F213">
        <f>Kthan*uptup/1000</f>
        <v>0</v>
      </c>
      <c r="G213" t="s">
        <v>72</v>
      </c>
    </row>
    <row r="214" spans="2:8" x14ac:dyDescent="0.3">
      <c r="B214" t="s">
        <v>1155</v>
      </c>
      <c r="E214" t="s">
        <v>1156</v>
      </c>
      <c r="F214">
        <f>Kthan*uptum/1000</f>
        <v>0</v>
      </c>
      <c r="G214" t="s">
        <v>72</v>
      </c>
    </row>
    <row r="215" spans="2:8" x14ac:dyDescent="0.3">
      <c r="B215" t="s">
        <v>1157</v>
      </c>
      <c r="E215" t="s">
        <v>1158</v>
      </c>
      <c r="F215">
        <f>Kthan*upcs/1000</f>
        <v>0</v>
      </c>
      <c r="G215" t="s">
        <v>72</v>
      </c>
    </row>
    <row r="216" spans="2:8" x14ac:dyDescent="0.3">
      <c r="B216" t="s">
        <v>1159</v>
      </c>
      <c r="E216" t="s">
        <v>1160</v>
      </c>
      <c r="F216">
        <f>IF(statT_="ELASTIC",Kbrow/1000*MAX(ABS(uLtup-uptup),ABS(uLtum-uptum),ABS(uLcs-upcs)),0)</f>
        <v>0</v>
      </c>
      <c r="G216" t="s">
        <v>72</v>
      </c>
    </row>
    <row r="217" spans="2:8" x14ac:dyDescent="0.3">
      <c r="B217" t="s">
        <v>1161</v>
      </c>
      <c r="E217" t="s">
        <v>1162</v>
      </c>
      <c r="F217">
        <f>IF(statP_="ELASTIC",Kbrow/1000*MAX(ABS(uRtup-uptup),ABS(uRtum-uptum),ABS(uRcs-upcs)),0)</f>
        <v>0</v>
      </c>
      <c r="G217" t="s">
        <v>72</v>
      </c>
    </row>
    <row r="218" spans="2:8" x14ac:dyDescent="0.3">
      <c r="B218" t="s">
        <v>1163</v>
      </c>
    </row>
    <row r="219" spans="2:8" x14ac:dyDescent="0.3">
      <c r="B219" t="s">
        <v>1164</v>
      </c>
    </row>
    <row r="220" spans="2:8" x14ac:dyDescent="0.3">
      <c r="B220" t="s">
        <v>1165</v>
      </c>
      <c r="E220" t="s">
        <v>1166</v>
      </c>
      <c r="F220">
        <f>IF(statT_="SLIDE",fms*Nleft,0)</f>
        <v>0</v>
      </c>
      <c r="G220" t="s">
        <v>72</v>
      </c>
    </row>
    <row r="221" spans="2:8" x14ac:dyDescent="0.3">
      <c r="B221" t="s">
        <v>1167</v>
      </c>
      <c r="E221" t="s">
        <v>1168</v>
      </c>
      <c r="F221">
        <f>IF(statP_="SLIDE",fms*Nright,0)</f>
        <v>517.32725625000012</v>
      </c>
      <c r="G221" t="s">
        <v>72</v>
      </c>
    </row>
    <row r="222" spans="2:8" x14ac:dyDescent="0.3">
      <c r="B222" t="s">
        <v>1169</v>
      </c>
      <c r="E222" t="s">
        <v>1170</v>
      </c>
      <c r="F222">
        <f>IF(AND(statT_="SLIDE",statP_="SLIDE"),IF(chmode=1,fms*ABS(Nright-Nleft),fms*(Nleft+Nright)),FRlocT+FRlocP)</f>
        <v>517.32725625000012</v>
      </c>
      <c r="G222" t="s">
        <v>72</v>
      </c>
      <c r="H222" t="s">
        <v>1171</v>
      </c>
    </row>
    <row r="223" spans="2:8" x14ac:dyDescent="0.3">
      <c r="B223" t="s">
        <v>1172</v>
      </c>
      <c r="E223" t="s">
        <v>1173</v>
      </c>
      <c r="F223">
        <f>IF(AND(statT_="FIXED",statFarL_="SLIDE"),fms*Nleft,0)</f>
        <v>517.32725625000012</v>
      </c>
      <c r="G223" t="s">
        <v>72</v>
      </c>
      <c r="H223" t="s">
        <v>1174</v>
      </c>
    </row>
    <row r="224" spans="2:8" x14ac:dyDescent="0.3">
      <c r="B224" t="s">
        <v>1175</v>
      </c>
      <c r="E224" t="s">
        <v>1176</v>
      </c>
      <c r="F224">
        <f>IF(AND(statP_="FIXED",statFarR_="SLIDE"),fms*Nright,0)</f>
        <v>0</v>
      </c>
      <c r="G224" t="s">
        <v>72</v>
      </c>
    </row>
    <row r="225" spans="2:8" x14ac:dyDescent="0.3">
      <c r="B225" t="s">
        <v>1177</v>
      </c>
    </row>
    <row r="226" spans="2:8" x14ac:dyDescent="0.3">
      <c r="B226" t="s">
        <v>1178</v>
      </c>
    </row>
    <row r="227" spans="2:8" x14ac:dyDescent="0.3">
      <c r="B227" t="s">
        <v>1179</v>
      </c>
      <c r="E227" t="s">
        <v>1180</v>
      </c>
      <c r="F227">
        <f>SUMPRODUCT((INPUT!G184:G191="FIXED")*(INPUT!F185:F192="FIXED"))</f>
        <v>0</v>
      </c>
      <c r="G227" t="s">
        <v>514</v>
      </c>
    </row>
    <row r="228" spans="2:8" x14ac:dyDescent="0.3">
      <c r="B228" t="s">
        <v>1181</v>
      </c>
      <c r="E228" t="s">
        <v>1182</v>
      </c>
      <c r="F228">
        <f>COUNTIF(INPUT!F184:F192,"FIXED")+COUNTIF(INPUT!G184:G192,"FIXED")</f>
        <v>4</v>
      </c>
      <c r="G228" t="s">
        <v>514</v>
      </c>
    </row>
    <row r="229" spans="2:8" x14ac:dyDescent="0.3">
      <c r="D229" t="str">
        <f>IF(nKhoa2Dau&gt;0,"⚠ CẢNH BÁO: có "&amp;nKhoa2Dau&amp;" nhịp bị khóa dọc CẢ 2 ĐẦU — lực nhiệt/từ biến/co ngót bị nhốt hoàn toàn, PP tay KHÔNG tính được, PHẢI dùng mô hình KCN/global.",IF(nFixedTotal=0,"⚠ CẢNH BÁO: TOÀN LIÊN không có hàng gối FIXED nào — kiểm tra lại sơ đồ (liên cần ít nhất 1 điểm khóa dọc để ổn định).","OK — mỗi nhịp có tối đa 1 đầu khóa dọc, còn lại tự do/đàn hồi."))</f>
        <v>OK — mỗi nhịp có tối đa 1 đầu khóa dọc, còn lại tự do/đàn hồi.</v>
      </c>
    </row>
    <row r="230" spans="2:8" x14ac:dyDescent="0.3">
      <c r="B230" t="s">
        <v>1183</v>
      </c>
    </row>
    <row r="231" spans="2:8" x14ac:dyDescent="0.3">
      <c r="B231" t="s">
        <v>1184</v>
      </c>
      <c r="E231" t="s">
        <v>1185</v>
      </c>
      <c r="F231">
        <f>IF(goiForceMode="GLOBAL",MAX(ABS(H_TUplus_global),ABS(H_TUminus_global)),MAX(ABS(HpTUp+H_extra),ABS(HpTUm+H_extra)))</f>
        <v>0</v>
      </c>
      <c r="G231" t="s">
        <v>72</v>
      </c>
      <c r="H231" t="s">
        <v>1186</v>
      </c>
    </row>
    <row r="232" spans="2:8" x14ac:dyDescent="0.3">
      <c r="B232" t="s">
        <v>1187</v>
      </c>
      <c r="E232" t="s">
        <v>1188</v>
      </c>
      <c r="F232">
        <f>IF(goiForceMode="GLOBAL",ABS(H_CR_global+H_SH_global),ABS(HpCS))</f>
        <v>0</v>
      </c>
      <c r="G232" t="s">
        <v>72</v>
      </c>
    </row>
    <row r="233" spans="2:8" x14ac:dyDescent="0.3">
      <c r="B233" t="s">
        <v>1189</v>
      </c>
      <c r="E233" t="s">
        <v>541</v>
      </c>
      <c r="F233">
        <f>IF(AND(statT_="SLIDE",statP_="SLIDE"),FR2slide,FRlocT+FRlocP)+FRtrT+FRtrP</f>
        <v>1034.6545125000002</v>
      </c>
      <c r="G233" t="s">
        <v>72</v>
      </c>
    </row>
  </sheetData>
  <mergeCells count="5">
    <mergeCell ref="A1:K1"/>
    <mergeCell ref="A2:K2"/>
    <mergeCell ref="A4:K4"/>
    <mergeCell ref="A16:K16"/>
    <mergeCell ref="A27:K2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2:L242"/>
  <sheetViews>
    <sheetView workbookViewId="0">
      <selection activeCell="H17" sqref="H17"/>
    </sheetView>
  </sheetViews>
  <sheetFormatPr defaultColWidth="8.6640625" defaultRowHeight="14.4" x14ac:dyDescent="0.3"/>
  <cols>
    <col min="1" max="1" width="2" customWidth="1"/>
    <col min="2" max="2" width="16" customWidth="1"/>
    <col min="3" max="6" width="12" customWidth="1"/>
    <col min="7" max="8" width="11" customWidth="1"/>
    <col min="9" max="10" width="9" customWidth="1"/>
    <col min="11" max="11" width="10" customWidth="1"/>
    <col min="12" max="12" width="12" customWidth="1"/>
  </cols>
  <sheetData>
    <row r="2" spans="2:7" ht="16.8" x14ac:dyDescent="0.3">
      <c r="B2" s="2" t="s">
        <v>780</v>
      </c>
    </row>
    <row r="4" spans="2:7" x14ac:dyDescent="0.3">
      <c r="B4" s="5" t="s">
        <v>781</v>
      </c>
    </row>
    <row r="5" spans="2:7" x14ac:dyDescent="0.3">
      <c r="B5" s="7" t="s">
        <v>782</v>
      </c>
      <c r="C5" s="23">
        <f>(RDC1_+RDC2_)/ngoi</f>
        <v>1341.2025000000001</v>
      </c>
      <c r="D5" s="7" t="s">
        <v>72</v>
      </c>
    </row>
    <row r="6" spans="2:7" x14ac:dyDescent="0.3">
      <c r="B6" s="7" t="s">
        <v>783</v>
      </c>
      <c r="C6" s="23">
        <f>(RDW1_+RDW2_)/ngoi</f>
        <v>136.87537500000002</v>
      </c>
      <c r="D6" s="7" t="s">
        <v>72</v>
      </c>
    </row>
    <row r="7" spans="2:7" x14ac:dyDescent="0.3">
      <c r="B7" s="7" t="s">
        <v>784</v>
      </c>
      <c r="C7" s="23">
        <f>'HOAT TAI'!D9*(1+IM_)+'HOAT TAI'!D7</f>
        <v>956.77812000000006</v>
      </c>
      <c r="D7" s="7" t="s">
        <v>72</v>
      </c>
    </row>
    <row r="8" spans="2:7" ht="55.2" x14ac:dyDescent="0.3">
      <c r="B8" s="7" t="s">
        <v>785</v>
      </c>
      <c r="C8" s="33">
        <f>IF(xm_xmc_override&gt;0,xm_xmc_override,bmr/2-IF(shp=1,(hthan2/2)/3,IF(shp=2,cch/3,0)))</f>
        <v>3.4833333333333334</v>
      </c>
      <c r="D8" s="7" t="s">
        <v>44</v>
      </c>
      <c r="E8" s="12" t="s">
        <v>786</v>
      </c>
      <c r="F8" s="20" t="s">
        <v>787</v>
      </c>
      <c r="G8" s="12" t="s">
        <v>44</v>
      </c>
    </row>
    <row r="9" spans="2:7" x14ac:dyDescent="0.3">
      <c r="B9" s="7" t="s">
        <v>788</v>
      </c>
      <c r="C9" s="16">
        <f>((ngoi-1)/2)*sgng</f>
        <v>10.575000000000001</v>
      </c>
      <c r="D9" s="7" t="s">
        <v>44</v>
      </c>
    </row>
    <row r="10" spans="2:7" x14ac:dyDescent="0.3">
      <c r="B10" s="5" t="s">
        <v>789</v>
      </c>
    </row>
    <row r="11" spans="2:7" ht="41.4" x14ac:dyDescent="0.3">
      <c r="B11" s="18" t="s">
        <v>790</v>
      </c>
      <c r="C11" s="18" t="s">
        <v>791</v>
      </c>
      <c r="D11" s="18" t="s">
        <v>792</v>
      </c>
      <c r="E11" s="18" t="s">
        <v>793</v>
      </c>
      <c r="F11" s="18" t="s">
        <v>794</v>
      </c>
    </row>
    <row r="12" spans="2:7" x14ac:dyDescent="0.3">
      <c r="B12" s="14">
        <f>IF(1&lt;=ngoi,1,"")</f>
        <v>1</v>
      </c>
      <c r="C12" s="13">
        <f>IF(1&lt;=ngoi,(1-(ngoi+1)/2)*sgng,-1000)</f>
        <v>-10.575000000000001</v>
      </c>
      <c r="D12" s="14">
        <f>IF(1&lt;=ngoi,1,0)</f>
        <v>1</v>
      </c>
      <c r="E12" s="16">
        <f t="shared" ref="E12:E21" si="0">MAX(0,C12-$C$8)*D12</f>
        <v>0</v>
      </c>
      <c r="F12" s="14">
        <f t="shared" ref="F12:F21" si="1">IF(AND(D12=1,C12&gt;$C$8),1,0)</f>
        <v>0</v>
      </c>
    </row>
    <row r="13" spans="2:7" x14ac:dyDescent="0.3">
      <c r="B13" s="14">
        <f>IF(2&lt;=ngoi,2,"")</f>
        <v>2</v>
      </c>
      <c r="C13" s="13">
        <f>IF(2&lt;=ngoi,(2-(ngoi+1)/2)*sgng,-1000)</f>
        <v>-8.2249999999999996</v>
      </c>
      <c r="D13" s="14">
        <f>IF(2&lt;=ngoi,1,0)</f>
        <v>1</v>
      </c>
      <c r="E13" s="16">
        <f t="shared" si="0"/>
        <v>0</v>
      </c>
      <c r="F13" s="14">
        <f t="shared" si="1"/>
        <v>0</v>
      </c>
    </row>
    <row r="14" spans="2:7" x14ac:dyDescent="0.3">
      <c r="B14" s="14">
        <f>IF(3&lt;=ngoi,3,"")</f>
        <v>3</v>
      </c>
      <c r="C14" s="13">
        <f>IF(3&lt;=ngoi,(3-(ngoi+1)/2)*sgng,-1000)</f>
        <v>-5.875</v>
      </c>
      <c r="D14" s="14">
        <f>IF(3&lt;=ngoi,1,0)</f>
        <v>1</v>
      </c>
      <c r="E14" s="16">
        <f t="shared" si="0"/>
        <v>0</v>
      </c>
      <c r="F14" s="14">
        <f t="shared" si="1"/>
        <v>0</v>
      </c>
    </row>
    <row r="15" spans="2:7" x14ac:dyDescent="0.3">
      <c r="B15" s="14">
        <f>IF(4&lt;=ngoi,4,"")</f>
        <v>4</v>
      </c>
      <c r="C15" s="13">
        <f>IF(4&lt;=ngoi,(4-(ngoi+1)/2)*sgng,-1000)</f>
        <v>-3.5250000000000004</v>
      </c>
      <c r="D15" s="14">
        <f>IF(4&lt;=ngoi,1,0)</f>
        <v>1</v>
      </c>
      <c r="E15" s="16">
        <f t="shared" si="0"/>
        <v>0</v>
      </c>
      <c r="F15" s="14">
        <f t="shared" si="1"/>
        <v>0</v>
      </c>
    </row>
    <row r="16" spans="2:7" x14ac:dyDescent="0.3">
      <c r="B16" s="14">
        <f>IF(5&lt;=ngoi,5,"")</f>
        <v>5</v>
      </c>
      <c r="C16" s="13">
        <f>IF(5&lt;=ngoi,(5-(ngoi+1)/2)*sgng,-1000)</f>
        <v>-1.175</v>
      </c>
      <c r="D16" s="14">
        <f>IF(5&lt;=ngoi,1,0)</f>
        <v>1</v>
      </c>
      <c r="E16" s="16">
        <f t="shared" si="0"/>
        <v>0</v>
      </c>
      <c r="F16" s="14">
        <f t="shared" si="1"/>
        <v>0</v>
      </c>
    </row>
    <row r="17" spans="2:8" x14ac:dyDescent="0.3">
      <c r="B17" s="14">
        <f>IF(6&lt;=ngoi,6,"")</f>
        <v>6</v>
      </c>
      <c r="C17" s="13">
        <f>IF(6&lt;=ngoi,(6-(ngoi+1)/2)*sgng,-1000)</f>
        <v>1.175</v>
      </c>
      <c r="D17" s="14">
        <f>IF(6&lt;=ngoi,1,0)</f>
        <v>1</v>
      </c>
      <c r="E17" s="16">
        <f t="shared" si="0"/>
        <v>0</v>
      </c>
      <c r="F17" s="14">
        <f t="shared" si="1"/>
        <v>0</v>
      </c>
    </row>
    <row r="18" spans="2:8" x14ac:dyDescent="0.3">
      <c r="B18" s="14">
        <f>IF(7&lt;=ngoi,7,"")</f>
        <v>7</v>
      </c>
      <c r="C18" s="13">
        <f>IF(7&lt;=ngoi,(7-(ngoi+1)/2)*sgng,-1000)</f>
        <v>3.5250000000000004</v>
      </c>
      <c r="D18" s="14">
        <f>IF(7&lt;=ngoi,1,0)</f>
        <v>1</v>
      </c>
      <c r="E18" s="16">
        <f t="shared" si="0"/>
        <v>4.1666666666666963E-2</v>
      </c>
      <c r="F18" s="14">
        <f t="shared" si="1"/>
        <v>1</v>
      </c>
    </row>
    <row r="19" spans="2:8" x14ac:dyDescent="0.3">
      <c r="B19" s="14">
        <f>IF(8&lt;=ngoi,8,"")</f>
        <v>8</v>
      </c>
      <c r="C19" s="13">
        <f>IF(8&lt;=ngoi,(8-(ngoi+1)/2)*sgng,-1000)</f>
        <v>5.875</v>
      </c>
      <c r="D19" s="14">
        <f>IF(8&lt;=ngoi,1,0)</f>
        <v>1</v>
      </c>
      <c r="E19" s="16">
        <f t="shared" si="0"/>
        <v>2.3916666666666666</v>
      </c>
      <c r="F19" s="14">
        <f t="shared" si="1"/>
        <v>1</v>
      </c>
    </row>
    <row r="20" spans="2:8" x14ac:dyDescent="0.3">
      <c r="B20" s="14">
        <f>IF(9&lt;=ngoi,9,"")</f>
        <v>9</v>
      </c>
      <c r="C20" s="13">
        <f>IF(9&lt;=ngoi,(9-(ngoi+1)/2)*sgng,-1000)</f>
        <v>8.2249999999999996</v>
      </c>
      <c r="D20" s="14">
        <f>IF(9&lt;=ngoi,1,0)</f>
        <v>1</v>
      </c>
      <c r="E20" s="16">
        <f t="shared" si="0"/>
        <v>4.7416666666666663</v>
      </c>
      <c r="F20" s="14">
        <f t="shared" si="1"/>
        <v>1</v>
      </c>
    </row>
    <row r="21" spans="2:8" x14ac:dyDescent="0.3">
      <c r="B21" s="14">
        <f>IF(10&lt;=ngoi,10,"")</f>
        <v>10</v>
      </c>
      <c r="C21" s="13">
        <f>IF(10&lt;=ngoi,(10-(ngoi+1)/2)*sgng,-1000)</f>
        <v>10.575000000000001</v>
      </c>
      <c r="D21" s="14">
        <f>IF(10&lt;=ngoi,1,0)</f>
        <v>1</v>
      </c>
      <c r="E21" s="16">
        <f t="shared" si="0"/>
        <v>7.0916666666666677</v>
      </c>
      <c r="F21" s="14">
        <f t="shared" si="1"/>
        <v>1</v>
      </c>
    </row>
    <row r="22" spans="2:8" x14ac:dyDescent="0.3">
      <c r="B22" s="28" t="s">
        <v>795</v>
      </c>
      <c r="E22" s="33">
        <f>SUM(E12:E21)</f>
        <v>14.266666666666667</v>
      </c>
      <c r="F22" s="25">
        <f>SUM(F12:F21)</f>
        <v>4</v>
      </c>
    </row>
    <row r="23" spans="2:8" x14ac:dyDescent="0.3">
      <c r="B23" s="5" t="s">
        <v>796</v>
      </c>
    </row>
    <row r="24" spans="2:8" ht="27.6" x14ac:dyDescent="0.3">
      <c r="B24" s="18" t="s">
        <v>797</v>
      </c>
      <c r="C24" s="18" t="s">
        <v>798</v>
      </c>
      <c r="D24" s="18" t="s">
        <v>799</v>
      </c>
      <c r="E24" s="18" t="s">
        <v>800</v>
      </c>
    </row>
    <row r="25" spans="2:8" x14ac:dyDescent="0.3">
      <c r="B25" s="14">
        <f>1</f>
        <v>1</v>
      </c>
      <c r="C25" s="13">
        <f>Bxe/2-3.6*(1-1)-0.6</f>
        <v>10.775</v>
      </c>
      <c r="D25" s="13">
        <f t="shared" ref="D25:D30" si="2">C25-1.8</f>
        <v>8.9749999999999996</v>
      </c>
      <c r="E25" s="23">
        <f t="shared" ref="E25:E30" si="3">$C$7/2</f>
        <v>478.38906000000003</v>
      </c>
    </row>
    <row r="26" spans="2:8" x14ac:dyDescent="0.3">
      <c r="B26" s="14">
        <f>2</f>
        <v>2</v>
      </c>
      <c r="C26" s="13">
        <f>Bxe/2-3.6*(2-1)-0.6</f>
        <v>7.1750000000000007</v>
      </c>
      <c r="D26" s="13">
        <f t="shared" si="2"/>
        <v>5.3750000000000009</v>
      </c>
      <c r="E26" s="23">
        <f t="shared" si="3"/>
        <v>478.38906000000003</v>
      </c>
    </row>
    <row r="27" spans="2:8" x14ac:dyDescent="0.3">
      <c r="B27" s="14">
        <f>3</f>
        <v>3</v>
      </c>
      <c r="C27" s="13">
        <f>Bxe/2-3.6*(3-1)-0.6</f>
        <v>3.5749999999999997</v>
      </c>
      <c r="D27" s="13">
        <f t="shared" si="2"/>
        <v>1.7749999999999997</v>
      </c>
      <c r="E27" s="23">
        <f t="shared" si="3"/>
        <v>478.38906000000003</v>
      </c>
    </row>
    <row r="28" spans="2:8" x14ac:dyDescent="0.3">
      <c r="B28" s="14">
        <f>4</f>
        <v>4</v>
      </c>
      <c r="C28" s="13">
        <f>Bxe/2-3.6*(4-1)-0.6</f>
        <v>-2.5000000000000688E-2</v>
      </c>
      <c r="D28" s="13">
        <f t="shared" si="2"/>
        <v>-1.8250000000000006</v>
      </c>
      <c r="E28" s="23">
        <f t="shared" si="3"/>
        <v>478.38906000000003</v>
      </c>
    </row>
    <row r="29" spans="2:8" x14ac:dyDescent="0.3">
      <c r="B29" s="14">
        <f>5</f>
        <v>5</v>
      </c>
      <c r="C29" s="13">
        <f>Bxe/2-3.6*(5-1)-0.6</f>
        <v>-3.6250000000000004</v>
      </c>
      <c r="D29" s="13">
        <f t="shared" si="2"/>
        <v>-5.4250000000000007</v>
      </c>
      <c r="E29" s="23">
        <f t="shared" si="3"/>
        <v>478.38906000000003</v>
      </c>
    </row>
    <row r="30" spans="2:8" x14ac:dyDescent="0.3">
      <c r="B30" s="14">
        <f>6</f>
        <v>6</v>
      </c>
      <c r="C30" s="13">
        <f>Bxe/2-3.6*(6-1)-0.6</f>
        <v>-7.2249999999999996</v>
      </c>
      <c r="D30" s="13">
        <f t="shared" si="2"/>
        <v>-9.0250000000000004</v>
      </c>
      <c r="E30" s="23">
        <f t="shared" si="3"/>
        <v>478.38906000000003</v>
      </c>
    </row>
    <row r="31" spans="2:8" x14ac:dyDescent="0.3">
      <c r="B31" s="5" t="s">
        <v>801</v>
      </c>
    </row>
    <row r="32" spans="2:8" x14ac:dyDescent="0.3">
      <c r="B32" s="7" t="s">
        <v>802</v>
      </c>
      <c r="C32" s="13">
        <f>IF(1&gt;nLan,0,IF(1=1,1.2,IF(1=2,1,IF(1=3,0.85,0.65))))</f>
        <v>1.2</v>
      </c>
      <c r="D32" s="13">
        <f>IF(2&gt;nLan,0,IF(2=1,1.2,IF(2=2,1,IF(2=3,0.85,0.65))))</f>
        <v>1</v>
      </c>
      <c r="E32" s="13">
        <f>IF(3&gt;nLan,0,IF(3=1,1.2,IF(3=2,1,IF(3=3,0.85,0.65))))</f>
        <v>0.85</v>
      </c>
      <c r="F32" s="13">
        <f>IF(4&gt;nLan,0,IF(4=1,1.2,IF(4=2,1,IF(4=3,0.85,0.65))))</f>
        <v>0.65</v>
      </c>
      <c r="G32" s="13">
        <f>IF(5&gt;nLan,0,IF(5=1,1.2,IF(5=2,1,IF(5=3,0.85,0.65))))</f>
        <v>0.65</v>
      </c>
      <c r="H32" s="13">
        <f>IF(6&gt;nLan,0,IF(6=1,1.2,IF(6=2,1,IF(6=3,0.85,0.65))))</f>
        <v>0.65</v>
      </c>
    </row>
    <row r="33" spans="2:8" x14ac:dyDescent="0.3">
      <c r="B33" s="18" t="s">
        <v>803</v>
      </c>
      <c r="C33" s="18" t="s">
        <v>804</v>
      </c>
      <c r="D33" s="18" t="s">
        <v>805</v>
      </c>
      <c r="E33" s="18" t="s">
        <v>806</v>
      </c>
      <c r="F33" s="18" t="s">
        <v>807</v>
      </c>
      <c r="G33" s="18" t="s">
        <v>808</v>
      </c>
      <c r="H33" s="18" t="s">
        <v>809</v>
      </c>
    </row>
    <row r="34" spans="2:8" x14ac:dyDescent="0.3">
      <c r="B34" s="14">
        <f>IF(1&lt;=ngoi,1,"")</f>
        <v>1</v>
      </c>
      <c r="C34" s="23">
        <v>0</v>
      </c>
      <c r="D34" s="23">
        <v>0</v>
      </c>
      <c r="E34" s="23">
        <v>0</v>
      </c>
      <c r="F34" s="23">
        <v>0</v>
      </c>
      <c r="G34" s="23">
        <v>0</v>
      </c>
      <c r="H34" s="23">
        <v>105.85630263829779</v>
      </c>
    </row>
    <row r="35" spans="2:8" x14ac:dyDescent="0.3">
      <c r="B35" s="14">
        <f>IF(2&lt;=ngoi,2,"")</f>
        <v>2</v>
      </c>
      <c r="C35" s="23">
        <v>0</v>
      </c>
      <c r="D35" s="23">
        <v>0</v>
      </c>
      <c r="E35" s="23">
        <v>0</v>
      </c>
      <c r="F35" s="23">
        <v>0</v>
      </c>
      <c r="G35" s="23">
        <v>0</v>
      </c>
      <c r="H35" s="23">
        <v>383.72909706382978</v>
      </c>
    </row>
    <row r="36" spans="2:8" x14ac:dyDescent="0.3">
      <c r="B36" s="14">
        <f>IF(3&lt;=ngoi,3,"")</f>
        <v>3</v>
      </c>
      <c r="C36" s="23">
        <v>0</v>
      </c>
      <c r="D36" s="23">
        <v>0</v>
      </c>
      <c r="E36" s="23">
        <v>0</v>
      </c>
      <c r="F36" s="23">
        <v>0</v>
      </c>
      <c r="G36" s="23">
        <v>264.64075659574485</v>
      </c>
      <c r="H36" s="23">
        <v>396.96113489361727</v>
      </c>
    </row>
    <row r="37" spans="2:8" x14ac:dyDescent="0.3">
      <c r="B37" s="14">
        <f>IF(4&lt;=ngoi,4,"")</f>
        <v>4</v>
      </c>
      <c r="C37" s="23">
        <v>0</v>
      </c>
      <c r="D37" s="23">
        <v>0</v>
      </c>
      <c r="E37" s="23">
        <v>0</v>
      </c>
      <c r="F37" s="23">
        <v>86.008245893617072</v>
      </c>
      <c r="G37" s="23">
        <v>443.27326729787239</v>
      </c>
      <c r="H37" s="23">
        <v>443.27326729787239</v>
      </c>
    </row>
    <row r="38" spans="2:8" x14ac:dyDescent="0.3">
      <c r="B38" s="14">
        <f>IF(5&lt;=ngoi,5,"")</f>
        <v>5</v>
      </c>
      <c r="C38" s="23">
        <v>0</v>
      </c>
      <c r="D38" s="23">
        <v>0</v>
      </c>
      <c r="E38" s="23">
        <v>0</v>
      </c>
      <c r="F38" s="23">
        <v>383.72909706382984</v>
      </c>
      <c r="G38" s="23">
        <v>383.72909706382984</v>
      </c>
      <c r="H38" s="23">
        <v>383.72909706382984</v>
      </c>
    </row>
    <row r="39" spans="2:8" x14ac:dyDescent="0.3">
      <c r="B39" s="14">
        <f>IF(6&lt;=ngoi,6,"")</f>
        <v>6</v>
      </c>
      <c r="C39" s="23">
        <v>0</v>
      </c>
      <c r="D39" s="23">
        <v>0</v>
      </c>
      <c r="E39" s="23">
        <v>302.8100964893618</v>
      </c>
      <c r="F39" s="23">
        <v>383.72909706382978</v>
      </c>
      <c r="G39" s="23">
        <v>383.72909706382978</v>
      </c>
      <c r="H39" s="23">
        <v>383.72909706382978</v>
      </c>
    </row>
    <row r="40" spans="2:8" x14ac:dyDescent="0.3">
      <c r="B40" s="14">
        <f>IF(7&lt;=ngoi,7,"")</f>
        <v>7</v>
      </c>
      <c r="C40" s="23">
        <v>0</v>
      </c>
      <c r="D40" s="23">
        <v>101.7849063829786</v>
      </c>
      <c r="E40" s="23">
        <v>588.31675889361702</v>
      </c>
      <c r="F40" s="23">
        <v>449.88928621276597</v>
      </c>
      <c r="G40" s="23">
        <v>449.88928621276597</v>
      </c>
      <c r="H40" s="23">
        <v>449.88928621276597</v>
      </c>
    </row>
    <row r="41" spans="2:8" x14ac:dyDescent="0.3">
      <c r="B41" s="14">
        <f>IF(8&lt;=ngoi,8,"")</f>
        <v>8</v>
      </c>
      <c r="C41" s="23">
        <v>0</v>
      </c>
      <c r="D41" s="23">
        <v>590.35245702127679</v>
      </c>
      <c r="E41" s="23">
        <v>510.45130551063841</v>
      </c>
      <c r="F41" s="23">
        <v>390.34511597872353</v>
      </c>
      <c r="G41" s="23">
        <v>390.34511597872353</v>
      </c>
      <c r="H41" s="23">
        <v>390.34511597872353</v>
      </c>
    </row>
    <row r="42" spans="2:8" x14ac:dyDescent="0.3">
      <c r="B42" s="14">
        <f>IF(9&lt;=ngoi,9,"")</f>
        <v>9</v>
      </c>
      <c r="C42" s="23">
        <v>390.85404051063841</v>
      </c>
      <c r="D42" s="23">
        <v>590.3524570212769</v>
      </c>
      <c r="E42" s="23">
        <v>501.79958846808535</v>
      </c>
      <c r="F42" s="23">
        <v>383.72909706383001</v>
      </c>
      <c r="G42" s="23">
        <v>383.72909706383001</v>
      </c>
      <c r="H42" s="23">
        <v>383.72909706383001</v>
      </c>
    </row>
    <row r="43" spans="2:8" x14ac:dyDescent="0.3">
      <c r="B43" s="14">
        <f>IF(10&lt;=ngoi,10,"")</f>
        <v>10</v>
      </c>
      <c r="C43" s="23">
        <v>806.13645855319101</v>
      </c>
      <c r="D43" s="23">
        <v>671.78038212765921</v>
      </c>
      <c r="E43" s="23">
        <v>571.01332480851033</v>
      </c>
      <c r="F43" s="23">
        <v>436.65724838297848</v>
      </c>
      <c r="G43" s="23">
        <v>436.65724838297848</v>
      </c>
      <c r="H43" s="23">
        <v>436.65724838297848</v>
      </c>
    </row>
    <row r="44" spans="2:8" x14ac:dyDescent="0.3">
      <c r="B44" s="12" t="s">
        <v>810</v>
      </c>
    </row>
    <row r="45" spans="2:8" x14ac:dyDescent="0.3">
      <c r="B45" s="5" t="s">
        <v>811</v>
      </c>
    </row>
    <row r="46" spans="2:8" x14ac:dyDescent="0.3">
      <c r="B46" s="7" t="s">
        <v>812</v>
      </c>
      <c r="C46" s="23">
        <f>'XA MU GOI'!I6</f>
        <v>19134.489000000001</v>
      </c>
      <c r="D46" s="7" t="s">
        <v>813</v>
      </c>
    </row>
    <row r="47" spans="2:8" x14ac:dyDescent="0.3">
      <c r="B47" s="7" t="s">
        <v>814</v>
      </c>
      <c r="C47" s="23">
        <f>Vxm*gcbt/Lxm*(Lxm/2-$C$8)^2/2</f>
        <v>2503.3806248525598</v>
      </c>
      <c r="D47" s="7" t="s">
        <v>813</v>
      </c>
    </row>
    <row r="48" spans="2:8" x14ac:dyDescent="0.3">
      <c r="B48" s="7" t="s">
        <v>815</v>
      </c>
      <c r="C48" s="23">
        <f>'XA MU GOI'!I7</f>
        <v>1952.7553500000004</v>
      </c>
      <c r="D48" s="7" t="s">
        <v>813</v>
      </c>
    </row>
    <row r="49" spans="2:8" x14ac:dyDescent="0.3">
      <c r="B49" s="7" t="s">
        <v>816</v>
      </c>
      <c r="C49" s="23">
        <f>'XA MU GOI'!I8</f>
        <v>5968.6405024769992</v>
      </c>
      <c r="D49" s="23">
        <f>'XA MU GOI'!I9</f>
        <v>547.50150000000019</v>
      </c>
      <c r="E49" s="7" t="s">
        <v>72</v>
      </c>
    </row>
    <row r="50" spans="2:8" x14ac:dyDescent="0.3">
      <c r="B50" s="7" t="s">
        <v>817</v>
      </c>
      <c r="C50" s="23">
        <f>'XA MU GOI'!B97</f>
        <v>7570.1506273276573</v>
      </c>
      <c r="D50" s="23">
        <f>'XA MU GOI'!C97</f>
        <v>8979.4644411063819</v>
      </c>
      <c r="E50" s="23">
        <f>'XA MU GOI'!D97</f>
        <v>7674.1451143867025</v>
      </c>
      <c r="F50" s="23">
        <f>'XA MU GOI'!E97</f>
        <v>5868.463911001596</v>
      </c>
      <c r="G50" s="23">
        <f>'XA MU GOI'!F97</f>
        <v>5868.463911001596</v>
      </c>
      <c r="H50" s="23">
        <f>'XA MU GOI'!G97</f>
        <v>5868.463911001596</v>
      </c>
    </row>
    <row r="51" spans="2:8" x14ac:dyDescent="0.3">
      <c r="B51" s="7" t="s">
        <v>818</v>
      </c>
      <c r="C51" s="23">
        <f>'XA MU GOI'!B98</f>
        <v>1196.9904990638295</v>
      </c>
      <c r="D51" s="23">
        <f>'XA MU GOI'!C98</f>
        <v>1954.2702025531917</v>
      </c>
      <c r="E51" s="23">
        <f>'XA MU GOI'!D98</f>
        <v>2171.580977680851</v>
      </c>
      <c r="F51" s="23">
        <f>'XA MU GOI'!E98</f>
        <v>1660.6207476382981</v>
      </c>
      <c r="G51" s="23">
        <f>'XA MU GOI'!F98</f>
        <v>1660.6207476382981</v>
      </c>
      <c r="H51" s="23">
        <f>'XA MU GOI'!G98</f>
        <v>1660.6207476382981</v>
      </c>
    </row>
    <row r="52" spans="2:8" x14ac:dyDescent="0.3">
      <c r="B52" s="7" t="s">
        <v>819</v>
      </c>
      <c r="C52" s="27">
        <f>MAX(C50:H50)</f>
        <v>8979.4644411063819</v>
      </c>
      <c r="D52" s="14">
        <f>MATCH(C52,C50:H50,0)</f>
        <v>2</v>
      </c>
      <c r="E52" s="27">
        <f>IF(D52=1,C51,IF(D52=2,D51,IF(D52=3,E51,IF(D52=4,F51,IF(D52=5,G51,H51)))))</f>
        <v>1954.2702025531917</v>
      </c>
    </row>
    <row r="53" spans="2:8" x14ac:dyDescent="0.3">
      <c r="B53" s="7" t="s">
        <v>820</v>
      </c>
      <c r="C53" s="27">
        <f>1.25*(C46+C47)+1.5*C48+1.75*C52</f>
        <v>45690.532828001866</v>
      </c>
      <c r="D53" s="7" t="s">
        <v>813</v>
      </c>
    </row>
    <row r="54" spans="2:8" x14ac:dyDescent="0.3">
      <c r="B54" s="7" t="s">
        <v>821</v>
      </c>
      <c r="C54" s="27">
        <f>1.25*C49+1.5*D49+1.75*E52</f>
        <v>11702.025732564334</v>
      </c>
      <c r="D54" s="7" t="s">
        <v>72</v>
      </c>
    </row>
    <row r="55" spans="2:8" x14ac:dyDescent="0.3">
      <c r="B55" s="7" t="s">
        <v>822</v>
      </c>
      <c r="C55" s="27">
        <f>C46+C47+C48+C52</f>
        <v>32570.089415958941</v>
      </c>
      <c r="D55" s="7" t="s">
        <v>813</v>
      </c>
    </row>
    <row r="57" spans="2:8" x14ac:dyDescent="0.3">
      <c r="B57" s="5" t="s">
        <v>823</v>
      </c>
    </row>
    <row r="58" spans="2:8" x14ac:dyDescent="0.3">
      <c r="B58" s="7" t="s">
        <v>824</v>
      </c>
      <c r="C58" s="13">
        <f>'XA MU GOI'!I12</f>
        <v>4.1666666666666963E-2</v>
      </c>
      <c r="D58" s="13">
        <f>0.9*(hxm+hmr)</f>
        <v>4.1130000000000004</v>
      </c>
      <c r="E58" s="7" t="s">
        <v>825</v>
      </c>
      <c r="F58" s="13">
        <f>IF(D58=0,0,C58/D58)</f>
        <v>1.013048058999926E-2</v>
      </c>
    </row>
    <row r="59" spans="2:8" ht="96.6" x14ac:dyDescent="0.3">
      <c r="B59" s="7" t="s">
        <v>826</v>
      </c>
      <c r="C59" s="28" t="str">
        <f>IF(C58&lt;=0,"ĐẠT (gối trong mặt cắt)",IF(F58&lt;=1,"CÔNG XÔN NGẮN — dùng PP CORBEL (ma sát cắt, Điều 5.13.2.4)",IF(F58&lt;2,"PHẢI KIỂM STM (mô hình chống–giằng)","ĐẠT (dầm thường, PP mặt cắt 8.3.4.2)")))</f>
        <v>CÔNG XÔN NGẮN — dùng PP CORBEL (ma sát cắt, Điều 5.13.2.4)</v>
      </c>
    </row>
    <row r="61" spans="2:8" x14ac:dyDescent="0.3">
      <c r="B61" s="5" t="s">
        <v>827</v>
      </c>
    </row>
    <row r="62" spans="2:8" x14ac:dyDescent="0.3">
      <c r="B62" s="12" t="s">
        <v>828</v>
      </c>
    </row>
    <row r="63" spans="2:8" x14ac:dyDescent="0.3">
      <c r="B63" s="7" t="s">
        <v>829</v>
      </c>
      <c r="D63" s="14">
        <f>bxm*1000</f>
        <v>2500</v>
      </c>
    </row>
    <row r="64" spans="2:8" x14ac:dyDescent="0.3">
      <c r="B64" s="7" t="s">
        <v>830</v>
      </c>
      <c r="D64" s="14">
        <f>(hxm+hmr)*1000</f>
        <v>4570</v>
      </c>
    </row>
    <row r="65" spans="2:12" x14ac:dyDescent="0.3">
      <c r="B65" s="7" t="s">
        <v>831</v>
      </c>
      <c r="D65" s="15">
        <v>60</v>
      </c>
      <c r="E65" s="15">
        <v>20</v>
      </c>
    </row>
    <row r="66" spans="2:12" ht="24" customHeight="1" x14ac:dyDescent="0.3">
      <c r="B66" s="18" t="s">
        <v>832</v>
      </c>
      <c r="C66" s="18" t="s">
        <v>833</v>
      </c>
      <c r="D66" s="18" t="s">
        <v>834</v>
      </c>
      <c r="E66" s="18" t="s">
        <v>835</v>
      </c>
      <c r="F66" s="18" t="s">
        <v>836</v>
      </c>
      <c r="G66" s="18" t="s">
        <v>837</v>
      </c>
      <c r="H66" s="18" t="s">
        <v>838</v>
      </c>
      <c r="I66" s="18" t="s">
        <v>839</v>
      </c>
      <c r="J66" s="18" t="s">
        <v>840</v>
      </c>
      <c r="K66" s="18" t="s">
        <v>841</v>
      </c>
      <c r="L66" s="18" t="s">
        <v>842</v>
      </c>
    </row>
    <row r="67" spans="2:12" x14ac:dyDescent="0.3">
      <c r="B67" s="24">
        <v>1</v>
      </c>
      <c r="C67" s="15">
        <v>0</v>
      </c>
      <c r="D67" s="15">
        <v>40</v>
      </c>
      <c r="E67" s="14">
        <f>IF(C67=0,D67,IF(D67&lt;=0,0,MAX(1,CEILING((b_xm-2*$D$65)/D67,1)+1)))</f>
        <v>40</v>
      </c>
      <c r="F67" s="15">
        <v>1</v>
      </c>
      <c r="G67" s="15">
        <v>32</v>
      </c>
      <c r="H67" s="15">
        <v>90</v>
      </c>
      <c r="I67" s="14">
        <f>E67*F67*PI()*G67^2/4</f>
        <v>32169.908772759482</v>
      </c>
      <c r="J67" s="23">
        <f>IF(E67&lt;=1,"—",(b_xm-2*$D$65)/(E67-1))</f>
        <v>61.025641025641029</v>
      </c>
      <c r="K67" s="19" t="str">
        <f>IF(E67=0,"",IF(AND(F67&lt;=4,OR(G67&lt;=36,F67&lt;=2)),"OK","BÓ SAI"))</f>
        <v>OK</v>
      </c>
      <c r="L67" s="19" t="str">
        <f>IF(E67&lt;=1,"—",IF((J67-G67*SQRT(F67))&gt;=MAX(1.5*G67*SQRT(F67),38,1.5*$E$65),"OK","DÀY QUÁ"))</f>
        <v>DÀY QUÁ</v>
      </c>
    </row>
    <row r="68" spans="2:12" x14ac:dyDescent="0.3">
      <c r="B68" s="24">
        <v>2</v>
      </c>
      <c r="C68" s="15">
        <v>0</v>
      </c>
      <c r="D68" s="15">
        <v>40</v>
      </c>
      <c r="E68" s="14">
        <f>IF(C68=0,D68,IF(D68&lt;=0,0,MAX(1,CEILING((b_xm-2*$D$65)/D68,1)+1)))</f>
        <v>40</v>
      </c>
      <c r="F68" s="15">
        <v>1</v>
      </c>
      <c r="G68" s="15">
        <v>32</v>
      </c>
      <c r="H68" s="15">
        <v>150</v>
      </c>
      <c r="I68" s="14">
        <f>E68*F68*PI()*G68^2/4</f>
        <v>32169.908772759482</v>
      </c>
      <c r="J68" s="23">
        <f>IF(E68&lt;=1,"—",(b_xm-2*$D$65)/(E68-1))</f>
        <v>61.025641025641029</v>
      </c>
      <c r="K68" s="19" t="str">
        <f>IF(E68=0,"",IF(AND(F68&lt;=4,OR(G68&lt;=36,F68&lt;=2)),"OK","BÓ SAI"))</f>
        <v>OK</v>
      </c>
      <c r="L68" s="19" t="str">
        <f>IF(E68&lt;=1,"—",IF((J68-G68*SQRT(F68))&gt;=MAX(1.5*G68*SQRT(F68),38,1.5*$E$65),"OK","DÀY QUÁ"))</f>
        <v>DÀY QUÁ</v>
      </c>
    </row>
    <row r="69" spans="2:12" x14ac:dyDescent="0.3">
      <c r="B69" s="24">
        <v>3</v>
      </c>
      <c r="C69" s="15">
        <v>0</v>
      </c>
      <c r="D69" s="15">
        <v>0</v>
      </c>
      <c r="E69" s="14">
        <f>IF(C69=0,D69,IF(D69&lt;=0,0,MAX(1,CEILING((b_xm-2*$D$65)/D69,1)+1)))</f>
        <v>0</v>
      </c>
      <c r="F69" s="15">
        <v>1</v>
      </c>
      <c r="G69" s="15">
        <v>32</v>
      </c>
      <c r="H69" s="15">
        <v>210</v>
      </c>
      <c r="I69" s="14">
        <f>E69*F69*PI()*G69^2/4</f>
        <v>0</v>
      </c>
      <c r="J69" s="23" t="str">
        <f>IF(E69&lt;=1,"—",(b_xm-2*$D$65)/(E69-1))</f>
        <v>—</v>
      </c>
      <c r="K69" s="19" t="str">
        <f>IF(E69=0,"",IF(AND(F69&lt;=4,OR(G69&lt;=36,F69&lt;=2)),"OK","BÓ SAI"))</f>
        <v/>
      </c>
      <c r="L69" s="19" t="str">
        <f>IF(E69&lt;=1,"—",IF((J69-G69*SQRT(F69))&gt;=MAX(1.5*G69*SQRT(F69),38,1.5*$E$65),"OK","DÀY QUÁ"))</f>
        <v>—</v>
      </c>
    </row>
    <row r="70" spans="2:12" x14ac:dyDescent="0.3">
      <c r="B70" s="24">
        <v>4</v>
      </c>
      <c r="C70" s="15">
        <v>0</v>
      </c>
      <c r="D70" s="15">
        <v>0</v>
      </c>
      <c r="E70" s="14">
        <f>IF(C70=0,D70,IF(D70&lt;=0,0,MAX(1,CEILING((b_xm-2*$D$65)/D70,1)+1)))</f>
        <v>0</v>
      </c>
      <c r="F70" s="15">
        <v>1</v>
      </c>
      <c r="G70" s="15">
        <v>32</v>
      </c>
      <c r="H70" s="15">
        <v>270</v>
      </c>
      <c r="I70" s="14">
        <f>E70*F70*PI()*G70^2/4</f>
        <v>0</v>
      </c>
      <c r="J70" s="23" t="str">
        <f>IF(E70&lt;=1,"—",(b_xm-2*$D$65)/(E70-1))</f>
        <v>—</v>
      </c>
      <c r="K70" s="19" t="str">
        <f>IF(E70=0,"",IF(AND(F70&lt;=4,OR(G70&lt;=36,F70&lt;=2)),"OK","BÓ SAI"))</f>
        <v/>
      </c>
      <c r="L70" s="19" t="str">
        <f>IF(E70&lt;=1,"—",IF((J70-G70*SQRT(F70))&gt;=MAX(1.5*G70*SQRT(F70),38,1.5*$E$65),"OK","DÀY QUÁ"))</f>
        <v>—</v>
      </c>
    </row>
    <row r="71" spans="2:12" x14ac:dyDescent="0.3">
      <c r="B71" s="12" t="s">
        <v>843</v>
      </c>
    </row>
    <row r="72" spans="2:12" x14ac:dyDescent="0.3">
      <c r="B72" s="7" t="s">
        <v>844</v>
      </c>
      <c r="D72" s="25">
        <f>SUM(I67:I70)</f>
        <v>64339.817545518963</v>
      </c>
    </row>
    <row r="73" spans="2:12" x14ac:dyDescent="0.3">
      <c r="B73" s="7" t="s">
        <v>845</v>
      </c>
      <c r="D73" s="27">
        <f>IF(D72=0,0,D64-SUMPRODUCT(I67:I70,H67:H70)/D72)</f>
        <v>4450</v>
      </c>
    </row>
    <row r="74" spans="2:12" x14ac:dyDescent="0.3">
      <c r="B74" s="7" t="s">
        <v>846</v>
      </c>
      <c r="D74" s="14">
        <f>MIN(IF(E67&gt;0,H67,9999),IF(E68&gt;0,H68,9999),IF(E69&gt;0,H69,9999),IF(E70&gt;0,H70,9999))</f>
        <v>90</v>
      </c>
    </row>
    <row r="75" spans="2:12" x14ac:dyDescent="0.3">
      <c r="B75" s="7" t="s">
        <v>847</v>
      </c>
      <c r="D75" s="16">
        <f>MAX(0.65,MIN(0.85,0.85-0.05*(fc_-28)/7))</f>
        <v>0.83571428571428574</v>
      </c>
    </row>
    <row r="76" spans="2:12" x14ac:dyDescent="0.3">
      <c r="B76" s="5" t="s">
        <v>848</v>
      </c>
    </row>
    <row r="77" spans="2:12" x14ac:dyDescent="0.3">
      <c r="B77" s="12" t="s">
        <v>849</v>
      </c>
    </row>
    <row r="78" spans="2:12" ht="27.6" x14ac:dyDescent="0.3">
      <c r="B78" s="18" t="s">
        <v>850</v>
      </c>
      <c r="C78" s="18" t="s">
        <v>851</v>
      </c>
      <c r="D78" s="18" t="s">
        <v>852</v>
      </c>
      <c r="E78" s="18" t="s">
        <v>853</v>
      </c>
      <c r="F78" s="18" t="s">
        <v>854</v>
      </c>
      <c r="G78" s="18" t="s">
        <v>855</v>
      </c>
      <c r="H78" s="18" t="s">
        <v>856</v>
      </c>
      <c r="I78" s="18" t="s">
        <v>857</v>
      </c>
    </row>
    <row r="79" spans="2:12" x14ac:dyDescent="0.3">
      <c r="B79" s="24">
        <v>1</v>
      </c>
      <c r="C79" s="23">
        <f>1</f>
        <v>1</v>
      </c>
      <c r="D79" s="23">
        <f>D64</f>
        <v>4570</v>
      </c>
      <c r="E79" s="16">
        <f t="shared" ref="E79:E98" si="4">(C79+D79)/2</f>
        <v>2285.5</v>
      </c>
      <c r="F79" s="16">
        <f>D75*E79</f>
        <v>1910.0250000000001</v>
      </c>
      <c r="G79" s="23">
        <f>($I$67*MAX(-fy_,MIN(fy_,Es_*0.003*((D64-$H$67)-E79)/E79))-IF((D64-$H$67)&lt;=F79,$I$67*0.85*fc_,0))+($I$68*MAX(-fy_,MIN(fy_,Es_*0.003*((D64-$H$68)-E79)/E79))-IF((D64-$H$68)&lt;=F79,$I$68*0.85*fc_,0))+($I$69*MAX(-fy_,MIN(fy_,Es_*0.003*((D64-$H$69)-E79)/E79))-IF((D64-$H$69)&lt;=F79,$I$69*0.85*fc_,0))+($I$70*MAX(-fy_,MIN(fy_,Es_*0.003*((D64-$H$70)-E79)/E79))-IF((D64-$H$70)&lt;=F79,$I$70*0.85*fc_,0))</f>
        <v>25735927.018207584</v>
      </c>
      <c r="H79" s="23">
        <f t="shared" ref="H79:H98" si="5">0.85*fc_*b_xm*F79</f>
        <v>121764093.75</v>
      </c>
      <c r="I79" s="23">
        <f t="shared" ref="I79:I98" si="6">G79-H79</f>
        <v>-96028166.73179242</v>
      </c>
    </row>
    <row r="80" spans="2:12" x14ac:dyDescent="0.3">
      <c r="B80" s="24">
        <v>2</v>
      </c>
      <c r="C80" s="23">
        <f t="shared" ref="C80:C98" si="7">IF(I79&gt;0,E79,C79)</f>
        <v>1</v>
      </c>
      <c r="D80" s="23">
        <f t="shared" ref="D80:D98" si="8">IF(I79&gt;0,D79,E79)</f>
        <v>2285.5</v>
      </c>
      <c r="E80" s="16">
        <f t="shared" si="4"/>
        <v>1143.25</v>
      </c>
      <c r="F80" s="16">
        <f>D75*E80</f>
        <v>955.43035714285713</v>
      </c>
      <c r="G80" s="23">
        <f>($I$67*MAX(-fy_,MIN(fy_,Es_*0.003*((D64-$H$67)-E80)/E80))-IF((D64-$H$67)&lt;=F80,$I$67*0.85*fc_,0))+($I$68*MAX(-fy_,MIN(fy_,Es_*0.003*((D64-$H$68)-E80)/E80))-IF((D64-$H$68)&lt;=F80,$I$68*0.85*fc_,0))+($I$69*MAX(-fy_,MIN(fy_,Es_*0.003*((D64-$H$69)-E80)/E80))-IF((D64-$H$69)&lt;=F80,$I$69*0.85*fc_,0))+($I$70*MAX(-fy_,MIN(fy_,Es_*0.003*((D64-$H$70)-E80)/E80))-IF((D64-$H$70)&lt;=F80,$I$70*0.85*fc_,0))</f>
        <v>25735927.018207584</v>
      </c>
      <c r="H80" s="23">
        <f t="shared" si="5"/>
        <v>60908685.267857142</v>
      </c>
      <c r="I80" s="23">
        <f t="shared" si="6"/>
        <v>-35172758.249649554</v>
      </c>
    </row>
    <row r="81" spans="2:9" x14ac:dyDescent="0.3">
      <c r="B81" s="24">
        <v>3</v>
      </c>
      <c r="C81" s="23">
        <f t="shared" si="7"/>
        <v>1</v>
      </c>
      <c r="D81" s="23">
        <f t="shared" si="8"/>
        <v>1143.25</v>
      </c>
      <c r="E81" s="16">
        <f t="shared" si="4"/>
        <v>572.125</v>
      </c>
      <c r="F81" s="16">
        <f>D75*E81</f>
        <v>478.13303571428571</v>
      </c>
      <c r="G81" s="23">
        <f>($I$67*MAX(-fy_,MIN(fy_,Es_*0.003*((D64-$H$67)-E81)/E81))-IF((D64-$H$67)&lt;=F81,$I$67*0.85*fc_,0))+($I$68*MAX(-fy_,MIN(fy_,Es_*0.003*((D64-$H$68)-E81)/E81))-IF((D64-$H$68)&lt;=F81,$I$68*0.85*fc_,0))+($I$69*MAX(-fy_,MIN(fy_,Es_*0.003*((D64-$H$69)-E81)/E81))-IF((D64-$H$69)&lt;=F81,$I$69*0.85*fc_,0))+($I$70*MAX(-fy_,MIN(fy_,Es_*0.003*((D64-$H$70)-E81)/E81))-IF((D64-$H$70)&lt;=F81,$I$70*0.85*fc_,0))</f>
        <v>25735927.018207584</v>
      </c>
      <c r="H81" s="23">
        <f t="shared" si="5"/>
        <v>30480981.026785713</v>
      </c>
      <c r="I81" s="23">
        <f t="shared" si="6"/>
        <v>-4745054.0085781291</v>
      </c>
    </row>
    <row r="82" spans="2:9" x14ac:dyDescent="0.3">
      <c r="B82" s="24">
        <v>4</v>
      </c>
      <c r="C82" s="23">
        <f t="shared" si="7"/>
        <v>1</v>
      </c>
      <c r="D82" s="23">
        <f t="shared" si="8"/>
        <v>572.125</v>
      </c>
      <c r="E82" s="16">
        <f t="shared" si="4"/>
        <v>286.5625</v>
      </c>
      <c r="F82" s="16">
        <f>D75*E82</f>
        <v>239.484375</v>
      </c>
      <c r="G82" s="23">
        <f>($I$67*MAX(-fy_,MIN(fy_,Es_*0.003*((D64-$H$67)-E82)/E82))-IF((D64-$H$67)&lt;=F82,$I$67*0.85*fc_,0))+($I$68*MAX(-fy_,MIN(fy_,Es_*0.003*((D64-$H$68)-E82)/E82))-IF((D64-$H$68)&lt;=F82,$I$68*0.85*fc_,0))+($I$69*MAX(-fy_,MIN(fy_,Es_*0.003*((D64-$H$69)-E82)/E82))-IF((D64-$H$69)&lt;=F82,$I$69*0.85*fc_,0))+($I$70*MAX(-fy_,MIN(fy_,Es_*0.003*((D64-$H$70)-E82)/E82))-IF((D64-$H$70)&lt;=F82,$I$70*0.85*fc_,0))</f>
        <v>25735927.018207584</v>
      </c>
      <c r="H82" s="23">
        <f t="shared" si="5"/>
        <v>15267128.90625</v>
      </c>
      <c r="I82" s="23">
        <f t="shared" si="6"/>
        <v>10468798.111957584</v>
      </c>
    </row>
    <row r="83" spans="2:9" x14ac:dyDescent="0.3">
      <c r="B83" s="24">
        <v>5</v>
      </c>
      <c r="C83" s="23">
        <f t="shared" si="7"/>
        <v>286.5625</v>
      </c>
      <c r="D83" s="23">
        <f t="shared" si="8"/>
        <v>572.125</v>
      </c>
      <c r="E83" s="16">
        <f t="shared" si="4"/>
        <v>429.34375</v>
      </c>
      <c r="F83" s="16">
        <f>D75*E83</f>
        <v>358.80870535714286</v>
      </c>
      <c r="G83" s="23">
        <f>($I$67*MAX(-fy_,MIN(fy_,Es_*0.003*((D64-$H$67)-E83)/E83))-IF((D64-$H$67)&lt;=F83,$I$67*0.85*fc_,0))+($I$68*MAX(-fy_,MIN(fy_,Es_*0.003*((D64-$H$68)-E83)/E83))-IF((D64-$H$68)&lt;=F83,$I$68*0.85*fc_,0))+($I$69*MAX(-fy_,MIN(fy_,Es_*0.003*((D64-$H$69)-E83)/E83))-IF((D64-$H$69)&lt;=F83,$I$69*0.85*fc_,0))+($I$70*MAX(-fy_,MIN(fy_,Es_*0.003*((D64-$H$70)-E83)/E83))-IF((D64-$H$70)&lt;=F83,$I$70*0.85*fc_,0))</f>
        <v>25735927.018207584</v>
      </c>
      <c r="H83" s="23">
        <f t="shared" si="5"/>
        <v>22874054.966517858</v>
      </c>
      <c r="I83" s="23">
        <f t="shared" si="6"/>
        <v>2861872.0516897254</v>
      </c>
    </row>
    <row r="84" spans="2:9" x14ac:dyDescent="0.3">
      <c r="B84" s="24">
        <v>6</v>
      </c>
      <c r="C84" s="23">
        <f t="shared" si="7"/>
        <v>429.34375</v>
      </c>
      <c r="D84" s="23">
        <f t="shared" si="8"/>
        <v>572.125</v>
      </c>
      <c r="E84" s="16">
        <f t="shared" si="4"/>
        <v>500.734375</v>
      </c>
      <c r="F84" s="16">
        <f>D75*E84</f>
        <v>418.47087053571431</v>
      </c>
      <c r="G84" s="23">
        <f>($I$67*MAX(-fy_,MIN(fy_,Es_*0.003*((D64-$H$67)-E84)/E84))-IF((D64-$H$67)&lt;=F84,$I$67*0.85*fc_,0))+($I$68*MAX(-fy_,MIN(fy_,Es_*0.003*((D64-$H$68)-E84)/E84))-IF((D64-$H$68)&lt;=F84,$I$68*0.85*fc_,0))+($I$69*MAX(-fy_,MIN(fy_,Es_*0.003*((D64-$H$69)-E84)/E84))-IF((D64-$H$69)&lt;=F84,$I$69*0.85*fc_,0))+($I$70*MAX(-fy_,MIN(fy_,Es_*0.003*((D64-$H$70)-E84)/E84))-IF((D64-$H$70)&lt;=F84,$I$70*0.85*fc_,0))</f>
        <v>25735927.018207584</v>
      </c>
      <c r="H84" s="23">
        <f t="shared" si="5"/>
        <v>26677517.996651787</v>
      </c>
      <c r="I84" s="23">
        <f t="shared" si="6"/>
        <v>-941590.97844420373</v>
      </c>
    </row>
    <row r="85" spans="2:9" x14ac:dyDescent="0.3">
      <c r="B85" s="24">
        <v>7</v>
      </c>
      <c r="C85" s="23">
        <f t="shared" si="7"/>
        <v>429.34375</v>
      </c>
      <c r="D85" s="23">
        <f t="shared" si="8"/>
        <v>500.734375</v>
      </c>
      <c r="E85" s="16">
        <f t="shared" si="4"/>
        <v>465.0390625</v>
      </c>
      <c r="F85" s="16">
        <f>D75*E85</f>
        <v>388.63978794642861</v>
      </c>
      <c r="G85" s="23">
        <f>($I$67*MAX(-fy_,MIN(fy_,Es_*0.003*((D64-$H$67)-E85)/E85))-IF((D64-$H$67)&lt;=F85,$I$67*0.85*fc_,0))+($I$68*MAX(-fy_,MIN(fy_,Es_*0.003*((D64-$H$68)-E85)/E85))-IF((D64-$H$68)&lt;=F85,$I$68*0.85*fc_,0))+($I$69*MAX(-fy_,MIN(fy_,Es_*0.003*((D64-$H$69)-E85)/E85))-IF((D64-$H$69)&lt;=F85,$I$69*0.85*fc_,0))+($I$70*MAX(-fy_,MIN(fy_,Es_*0.003*((D64-$H$70)-E85)/E85))-IF((D64-$H$70)&lt;=F85,$I$70*0.85*fc_,0))</f>
        <v>25735927.018207584</v>
      </c>
      <c r="H85" s="23">
        <f t="shared" si="5"/>
        <v>24775786.481584825</v>
      </c>
      <c r="I85" s="23">
        <f t="shared" si="6"/>
        <v>960140.53662275895</v>
      </c>
    </row>
    <row r="86" spans="2:9" x14ac:dyDescent="0.3">
      <c r="B86" s="24">
        <v>8</v>
      </c>
      <c r="C86" s="23">
        <f t="shared" si="7"/>
        <v>465.0390625</v>
      </c>
      <c r="D86" s="23">
        <f t="shared" si="8"/>
        <v>500.734375</v>
      </c>
      <c r="E86" s="16">
        <f t="shared" si="4"/>
        <v>482.88671875</v>
      </c>
      <c r="F86" s="16">
        <f>D75*E86</f>
        <v>403.55532924107143</v>
      </c>
      <c r="G86" s="23">
        <f>($I$67*MAX(-fy_,MIN(fy_,Es_*0.003*((D64-$H$67)-E86)/E86))-IF((D64-$H$67)&lt;=F86,$I$67*0.85*fc_,0))+($I$68*MAX(-fy_,MIN(fy_,Es_*0.003*((D64-$H$68)-E86)/E86))-IF((D64-$H$68)&lt;=F86,$I$68*0.85*fc_,0))+($I$69*MAX(-fy_,MIN(fy_,Es_*0.003*((D64-$H$69)-E86)/E86))-IF((D64-$H$69)&lt;=F86,$I$69*0.85*fc_,0))+($I$70*MAX(-fy_,MIN(fy_,Es_*0.003*((D64-$H$70)-E86)/E86))-IF((D64-$H$70)&lt;=F86,$I$70*0.85*fc_,0))</f>
        <v>25735927.018207584</v>
      </c>
      <c r="H86" s="23">
        <f t="shared" si="5"/>
        <v>25726652.239118304</v>
      </c>
      <c r="I86" s="23">
        <f t="shared" si="6"/>
        <v>9274.7790892794728</v>
      </c>
    </row>
    <row r="87" spans="2:9" x14ac:dyDescent="0.3">
      <c r="B87" s="24">
        <v>9</v>
      </c>
      <c r="C87" s="23">
        <f t="shared" si="7"/>
        <v>482.88671875</v>
      </c>
      <c r="D87" s="23">
        <f t="shared" si="8"/>
        <v>500.734375</v>
      </c>
      <c r="E87" s="16">
        <f t="shared" si="4"/>
        <v>491.810546875</v>
      </c>
      <c r="F87" s="16">
        <f>D75*E87</f>
        <v>411.01309988839284</v>
      </c>
      <c r="G87" s="23">
        <f>($I$67*MAX(-fy_,MIN(fy_,Es_*0.003*((D64-$H$67)-E87)/E87))-IF((D64-$H$67)&lt;=F87,$I$67*0.85*fc_,0))+($I$68*MAX(-fy_,MIN(fy_,Es_*0.003*((D64-$H$68)-E87)/E87))-IF((D64-$H$68)&lt;=F87,$I$68*0.85*fc_,0))+($I$69*MAX(-fy_,MIN(fy_,Es_*0.003*((D64-$H$69)-E87)/E87))-IF((D64-$H$69)&lt;=F87,$I$69*0.85*fc_,0))+($I$70*MAX(-fy_,MIN(fy_,Es_*0.003*((D64-$H$70)-E87)/E87))-IF((D64-$H$70)&lt;=F87,$I$70*0.85*fc_,0))</f>
        <v>25735927.018207584</v>
      </c>
      <c r="H87" s="23">
        <f t="shared" si="5"/>
        <v>26202085.117885042</v>
      </c>
      <c r="I87" s="23">
        <f t="shared" si="6"/>
        <v>-466158.09967745841</v>
      </c>
    </row>
    <row r="88" spans="2:9" x14ac:dyDescent="0.3">
      <c r="B88" s="24">
        <v>10</v>
      </c>
      <c r="C88" s="23">
        <f t="shared" si="7"/>
        <v>482.88671875</v>
      </c>
      <c r="D88" s="23">
        <f t="shared" si="8"/>
        <v>491.810546875</v>
      </c>
      <c r="E88" s="16">
        <f t="shared" si="4"/>
        <v>487.3486328125</v>
      </c>
      <c r="F88" s="16">
        <f>D75*E88</f>
        <v>407.28421456473217</v>
      </c>
      <c r="G88" s="23">
        <f>($I$67*MAX(-fy_,MIN(fy_,Es_*0.003*((D64-$H$67)-E88)/E88))-IF((D64-$H$67)&lt;=F88,$I$67*0.85*fc_,0))+($I$68*MAX(-fy_,MIN(fy_,Es_*0.003*((D64-$H$68)-E88)/E88))-IF((D64-$H$68)&lt;=F88,$I$68*0.85*fc_,0))+($I$69*MAX(-fy_,MIN(fy_,Es_*0.003*((D64-$H$69)-E88)/E88))-IF((D64-$H$69)&lt;=F88,$I$69*0.85*fc_,0))+($I$70*MAX(-fy_,MIN(fy_,Es_*0.003*((D64-$H$70)-E88)/E88))-IF((D64-$H$70)&lt;=F88,$I$70*0.85*fc_,0))</f>
        <v>25735927.018207584</v>
      </c>
      <c r="H88" s="23">
        <f t="shared" si="5"/>
        <v>25964368.678501677</v>
      </c>
      <c r="I88" s="23">
        <f t="shared" si="6"/>
        <v>-228441.66029409319</v>
      </c>
    </row>
    <row r="89" spans="2:9" x14ac:dyDescent="0.3">
      <c r="B89" s="24">
        <v>11</v>
      </c>
      <c r="C89" s="23">
        <f t="shared" si="7"/>
        <v>482.88671875</v>
      </c>
      <c r="D89" s="23">
        <f t="shared" si="8"/>
        <v>487.3486328125</v>
      </c>
      <c r="E89" s="16">
        <f t="shared" si="4"/>
        <v>485.11767578125</v>
      </c>
      <c r="F89" s="16">
        <f>D75*E89</f>
        <v>405.4197719029018</v>
      </c>
      <c r="G89" s="23">
        <f>($I$67*MAX(-fy_,MIN(fy_,Es_*0.003*((D64-$H$67)-E89)/E89))-IF((D64-$H$67)&lt;=F89,$I$67*0.85*fc_,0))+($I$68*MAX(-fy_,MIN(fy_,Es_*0.003*((D64-$H$68)-E89)/E89))-IF((D64-$H$68)&lt;=F89,$I$68*0.85*fc_,0))+($I$69*MAX(-fy_,MIN(fy_,Es_*0.003*((D64-$H$69)-E89)/E89))-IF((D64-$H$69)&lt;=F89,$I$69*0.85*fc_,0))+($I$70*MAX(-fy_,MIN(fy_,Es_*0.003*((D64-$H$70)-E89)/E89))-IF((D64-$H$70)&lt;=F89,$I$70*0.85*fc_,0))</f>
        <v>25735927.018207584</v>
      </c>
      <c r="H89" s="23">
        <f t="shared" si="5"/>
        <v>25845510.45880999</v>
      </c>
      <c r="I89" s="23">
        <f t="shared" si="6"/>
        <v>-109583.44060240686</v>
      </c>
    </row>
    <row r="90" spans="2:9" x14ac:dyDescent="0.3">
      <c r="B90" s="24">
        <v>12</v>
      </c>
      <c r="C90" s="23">
        <f t="shared" si="7"/>
        <v>482.88671875</v>
      </c>
      <c r="D90" s="23">
        <f t="shared" si="8"/>
        <v>485.11767578125</v>
      </c>
      <c r="E90" s="16">
        <f t="shared" si="4"/>
        <v>484.002197265625</v>
      </c>
      <c r="F90" s="16">
        <f>D75*E90</f>
        <v>404.48755057198662</v>
      </c>
      <c r="G90" s="23">
        <f>($I$67*MAX(-fy_,MIN(fy_,Es_*0.003*((D64-$H$67)-E90)/E90))-IF((D64-$H$67)&lt;=F90,$I$67*0.85*fc_,0))+($I$68*MAX(-fy_,MIN(fy_,Es_*0.003*((D64-$H$68)-E90)/E90))-IF((D64-$H$68)&lt;=F90,$I$68*0.85*fc_,0))+($I$69*MAX(-fy_,MIN(fy_,Es_*0.003*((D64-$H$69)-E90)/E90))-IF((D64-$H$69)&lt;=F90,$I$69*0.85*fc_,0))+($I$70*MAX(-fy_,MIN(fy_,Es_*0.003*((D64-$H$70)-E90)/E90))-IF((D64-$H$70)&lt;=F90,$I$70*0.85*fc_,0))</f>
        <v>25735927.018207584</v>
      </c>
      <c r="H90" s="23">
        <f t="shared" si="5"/>
        <v>25786081.348964147</v>
      </c>
      <c r="I90" s="23">
        <f t="shared" si="6"/>
        <v>-50154.330756563693</v>
      </c>
    </row>
    <row r="91" spans="2:9" x14ac:dyDescent="0.3">
      <c r="B91" s="24">
        <v>13</v>
      </c>
      <c r="C91" s="23">
        <f t="shared" si="7"/>
        <v>482.88671875</v>
      </c>
      <c r="D91" s="23">
        <f t="shared" si="8"/>
        <v>484.002197265625</v>
      </c>
      <c r="E91" s="16">
        <f t="shared" si="4"/>
        <v>483.4444580078125</v>
      </c>
      <c r="F91" s="16">
        <f>D75*E91</f>
        <v>404.02143990652905</v>
      </c>
      <c r="G91" s="23">
        <f>($I$67*MAX(-fy_,MIN(fy_,Es_*0.003*((D64-$H$67)-E91)/E91))-IF((D64-$H$67)&lt;=F91,$I$67*0.85*fc_,0))+($I$68*MAX(-fy_,MIN(fy_,Es_*0.003*((D64-$H$68)-E91)/E91))-IF((D64-$H$68)&lt;=F91,$I$68*0.85*fc_,0))+($I$69*MAX(-fy_,MIN(fy_,Es_*0.003*((D64-$H$69)-E91)/E91))-IF((D64-$H$69)&lt;=F91,$I$69*0.85*fc_,0))+($I$70*MAX(-fy_,MIN(fy_,Es_*0.003*((D64-$H$70)-E91)/E91))-IF((D64-$H$70)&lt;=F91,$I$70*0.85*fc_,0))</f>
        <v>25735927.018207584</v>
      </c>
      <c r="H91" s="23">
        <f t="shared" si="5"/>
        <v>25756366.794041228</v>
      </c>
      <c r="I91" s="23">
        <f t="shared" si="6"/>
        <v>-20439.775833643973</v>
      </c>
    </row>
    <row r="92" spans="2:9" x14ac:dyDescent="0.3">
      <c r="B92" s="24">
        <v>14</v>
      </c>
      <c r="C92" s="23">
        <f t="shared" si="7"/>
        <v>482.88671875</v>
      </c>
      <c r="D92" s="23">
        <f t="shared" si="8"/>
        <v>483.4444580078125</v>
      </c>
      <c r="E92" s="16">
        <f t="shared" si="4"/>
        <v>483.16558837890625</v>
      </c>
      <c r="F92" s="16">
        <f>D75*E92</f>
        <v>403.78838457380022</v>
      </c>
      <c r="G92" s="23">
        <f>($I$67*MAX(-fy_,MIN(fy_,Es_*0.003*((D64-$H$67)-E92)/E92))-IF((D64-$H$67)&lt;=F92,$I$67*0.85*fc_,0))+($I$68*MAX(-fy_,MIN(fy_,Es_*0.003*((D64-$H$68)-E92)/E92))-IF((D64-$H$68)&lt;=F92,$I$68*0.85*fc_,0))+($I$69*MAX(-fy_,MIN(fy_,Es_*0.003*((D64-$H$69)-E92)/E92))-IF((D64-$H$69)&lt;=F92,$I$69*0.85*fc_,0))+($I$70*MAX(-fy_,MIN(fy_,Es_*0.003*((D64-$H$70)-E92)/E92))-IF((D64-$H$70)&lt;=F92,$I$70*0.85*fc_,0))</f>
        <v>25735927.018207584</v>
      </c>
      <c r="H92" s="23">
        <f t="shared" si="5"/>
        <v>25741509.516579762</v>
      </c>
      <c r="I92" s="23">
        <f t="shared" si="6"/>
        <v>-5582.4983721785247</v>
      </c>
    </row>
    <row r="93" spans="2:9" x14ac:dyDescent="0.3">
      <c r="B93" s="24">
        <v>15</v>
      </c>
      <c r="C93" s="23">
        <f t="shared" si="7"/>
        <v>482.88671875</v>
      </c>
      <c r="D93" s="23">
        <f t="shared" si="8"/>
        <v>483.16558837890625</v>
      </c>
      <c r="E93" s="16">
        <f t="shared" si="4"/>
        <v>483.02615356445313</v>
      </c>
      <c r="F93" s="16">
        <f>D75*E93</f>
        <v>403.67185690743582</v>
      </c>
      <c r="G93" s="23">
        <f>($I$67*MAX(-fy_,MIN(fy_,Es_*0.003*((D64-$H$67)-E93)/E93))-IF((D64-$H$67)&lt;=F93,$I$67*0.85*fc_,0))+($I$68*MAX(-fy_,MIN(fy_,Es_*0.003*((D64-$H$68)-E93)/E93))-IF((D64-$H$68)&lt;=F93,$I$68*0.85*fc_,0))+($I$69*MAX(-fy_,MIN(fy_,Es_*0.003*((D64-$H$69)-E93)/E93))-IF((D64-$H$69)&lt;=F93,$I$69*0.85*fc_,0))+($I$70*MAX(-fy_,MIN(fy_,Es_*0.003*((D64-$H$70)-E93)/E93))-IF((D64-$H$70)&lt;=F93,$I$70*0.85*fc_,0))</f>
        <v>25735927.018207584</v>
      </c>
      <c r="H93" s="23">
        <f t="shared" si="5"/>
        <v>25734080.877849035</v>
      </c>
      <c r="I93" s="23">
        <f t="shared" si="6"/>
        <v>1846.1403585486114</v>
      </c>
    </row>
    <row r="94" spans="2:9" x14ac:dyDescent="0.3">
      <c r="B94" s="24">
        <v>16</v>
      </c>
      <c r="C94" s="23">
        <f t="shared" si="7"/>
        <v>483.02615356445313</v>
      </c>
      <c r="D94" s="23">
        <f t="shared" si="8"/>
        <v>483.16558837890625</v>
      </c>
      <c r="E94" s="16">
        <f t="shared" si="4"/>
        <v>483.09587097167969</v>
      </c>
      <c r="F94" s="16">
        <f>D75*E94</f>
        <v>403.73012074061802</v>
      </c>
      <c r="G94" s="23">
        <f>($I$67*MAX(-fy_,MIN(fy_,Es_*0.003*((D64-$H$67)-E94)/E94))-IF((D64-$H$67)&lt;=F94,$I$67*0.85*fc_,0))+($I$68*MAX(-fy_,MIN(fy_,Es_*0.003*((D64-$H$68)-E94)/E94))-IF((D64-$H$68)&lt;=F94,$I$68*0.85*fc_,0))+($I$69*MAX(-fy_,MIN(fy_,Es_*0.003*((D64-$H$69)-E94)/E94))-IF((D64-$H$69)&lt;=F94,$I$69*0.85*fc_,0))+($I$70*MAX(-fy_,MIN(fy_,Es_*0.003*((D64-$H$70)-E94)/E94))-IF((D64-$H$70)&lt;=F94,$I$70*0.85*fc_,0))</f>
        <v>25735927.018207584</v>
      </c>
      <c r="H94" s="23">
        <f t="shared" si="5"/>
        <v>25737795.197214399</v>
      </c>
      <c r="I94" s="23">
        <f t="shared" si="6"/>
        <v>-1868.1790068149567</v>
      </c>
    </row>
    <row r="95" spans="2:9" x14ac:dyDescent="0.3">
      <c r="B95" s="24">
        <v>17</v>
      </c>
      <c r="C95" s="23">
        <f t="shared" si="7"/>
        <v>483.02615356445313</v>
      </c>
      <c r="D95" s="23">
        <f t="shared" si="8"/>
        <v>483.09587097167969</v>
      </c>
      <c r="E95" s="16">
        <f t="shared" si="4"/>
        <v>483.06101226806641</v>
      </c>
      <c r="F95" s="16">
        <f>D75*E95</f>
        <v>403.70098882402692</v>
      </c>
      <c r="G95" s="23">
        <f>($I$67*MAX(-fy_,MIN(fy_,Es_*0.003*((D64-$H$67)-E95)/E95))-IF((D64-$H$67)&lt;=F95,$I$67*0.85*fc_,0))+($I$68*MAX(-fy_,MIN(fy_,Es_*0.003*((D64-$H$68)-E95)/E95))-IF((D64-$H$68)&lt;=F95,$I$68*0.85*fc_,0))+($I$69*MAX(-fy_,MIN(fy_,Es_*0.003*((D64-$H$69)-E95)/E95))-IF((D64-$H$69)&lt;=F95,$I$69*0.85*fc_,0))+($I$70*MAX(-fy_,MIN(fy_,Es_*0.003*((D64-$H$70)-E95)/E95))-IF((D64-$H$70)&lt;=F95,$I$70*0.85*fc_,0))</f>
        <v>25735927.018207584</v>
      </c>
      <c r="H95" s="23">
        <f t="shared" si="5"/>
        <v>25735938.037531715</v>
      </c>
      <c r="I95" s="23">
        <f t="shared" si="6"/>
        <v>-11.019324131309986</v>
      </c>
    </row>
    <row r="96" spans="2:9" x14ac:dyDescent="0.3">
      <c r="B96" s="24">
        <v>18</v>
      </c>
      <c r="C96" s="23">
        <f t="shared" si="7"/>
        <v>483.02615356445313</v>
      </c>
      <c r="D96" s="23">
        <f t="shared" si="8"/>
        <v>483.06101226806641</v>
      </c>
      <c r="E96" s="16">
        <f t="shared" si="4"/>
        <v>483.04358291625977</v>
      </c>
      <c r="F96" s="16">
        <f>D75*E96</f>
        <v>403.6864228657314</v>
      </c>
      <c r="G96" s="23">
        <f>($I$67*MAX(-fy_,MIN(fy_,Es_*0.003*((D64-$H$67)-E96)/E96))-IF((D64-$H$67)&lt;=F96,$I$67*0.85*fc_,0))+($I$68*MAX(-fy_,MIN(fy_,Es_*0.003*((D64-$H$68)-E96)/E96))-IF((D64-$H$68)&lt;=F96,$I$68*0.85*fc_,0))+($I$69*MAX(-fy_,MIN(fy_,Es_*0.003*((D64-$H$69)-E96)/E96))-IF((D64-$H$69)&lt;=F96,$I$69*0.85*fc_,0))+($I$70*MAX(-fy_,MIN(fy_,Es_*0.003*((D64-$H$70)-E96)/E96))-IF((D64-$H$70)&lt;=F96,$I$70*0.85*fc_,0))</f>
        <v>25735927.018207584</v>
      </c>
      <c r="H96" s="23">
        <f t="shared" si="5"/>
        <v>25735009.457690377</v>
      </c>
      <c r="I96" s="23">
        <f t="shared" si="6"/>
        <v>917.56051720678806</v>
      </c>
    </row>
    <row r="97" spans="2:9" x14ac:dyDescent="0.3">
      <c r="B97" s="24">
        <v>19</v>
      </c>
      <c r="C97" s="23">
        <f t="shared" si="7"/>
        <v>483.04358291625977</v>
      </c>
      <c r="D97" s="23">
        <f t="shared" si="8"/>
        <v>483.06101226806641</v>
      </c>
      <c r="E97" s="16">
        <f t="shared" si="4"/>
        <v>483.05229759216309</v>
      </c>
      <c r="F97" s="16">
        <f>D75*E97</f>
        <v>403.69370584487916</v>
      </c>
      <c r="G97" s="23">
        <f>($I$67*MAX(-fy_,MIN(fy_,Es_*0.003*((D64-$H$67)-E97)/E97))-IF((D64-$H$67)&lt;=F97,$I$67*0.85*fc_,0))+($I$68*MAX(-fy_,MIN(fy_,Es_*0.003*((D64-$H$68)-E97)/E97))-IF((D64-$H$68)&lt;=F97,$I$68*0.85*fc_,0))+($I$69*MAX(-fy_,MIN(fy_,Es_*0.003*((D64-$H$69)-E97)/E97))-IF((D64-$H$69)&lt;=F97,$I$69*0.85*fc_,0))+($I$70*MAX(-fy_,MIN(fy_,Es_*0.003*((D64-$H$70)-E97)/E97))-IF((D64-$H$70)&lt;=F97,$I$70*0.85*fc_,0))</f>
        <v>25735927.018207584</v>
      </c>
      <c r="H97" s="23">
        <f t="shared" si="5"/>
        <v>25735473.747611046</v>
      </c>
      <c r="I97" s="23">
        <f t="shared" si="6"/>
        <v>453.27059653773904</v>
      </c>
    </row>
    <row r="98" spans="2:9" x14ac:dyDescent="0.3">
      <c r="B98" s="24">
        <v>20</v>
      </c>
      <c r="C98" s="23">
        <f t="shared" si="7"/>
        <v>483.05229759216309</v>
      </c>
      <c r="D98" s="23">
        <f t="shared" si="8"/>
        <v>483.06101226806641</v>
      </c>
      <c r="E98" s="16">
        <f t="shared" si="4"/>
        <v>483.05665493011475</v>
      </c>
      <c r="F98" s="16">
        <f>D75*E98</f>
        <v>403.69734733445307</v>
      </c>
      <c r="G98" s="23">
        <f>($I$67*MAX(-fy_,MIN(fy_,Es_*0.003*((D64-$H$67)-E98)/E98))-IF((D64-$H$67)&lt;=F98,$I$67*0.85*fc_,0))+($I$68*MAX(-fy_,MIN(fy_,Es_*0.003*((D64-$H$68)-E98)/E98))-IF((D64-$H$68)&lt;=F98,$I$68*0.85*fc_,0))+($I$69*MAX(-fy_,MIN(fy_,Es_*0.003*((D64-$H$69)-E98)/E98))-IF((D64-$H$69)&lt;=F98,$I$69*0.85*fc_,0))+($I$70*MAX(-fy_,MIN(fy_,Es_*0.003*((D64-$H$70)-E98)/E98))-IF((D64-$H$70)&lt;=F98,$I$70*0.85*fc_,0))</f>
        <v>25735927.018207584</v>
      </c>
      <c r="H98" s="23">
        <f t="shared" si="5"/>
        <v>25735705.892571382</v>
      </c>
      <c r="I98" s="23">
        <f t="shared" si="6"/>
        <v>221.12563620135188</v>
      </c>
    </row>
    <row r="99" spans="2:9" x14ac:dyDescent="0.3">
      <c r="B99" s="7" t="s">
        <v>858</v>
      </c>
      <c r="D99" s="33">
        <f>E98</f>
        <v>483.05665493011475</v>
      </c>
      <c r="E99" s="33">
        <f>F98</f>
        <v>403.69734733445307</v>
      </c>
    </row>
    <row r="100" spans="2:9" x14ac:dyDescent="0.3">
      <c r="B100" s="7" t="s">
        <v>859</v>
      </c>
      <c r="D100" s="34">
        <f>IF(D99=0,0,0.003*((D64-D74)-D99)/D99)</f>
        <v>2.4822823395206937E-2</v>
      </c>
    </row>
    <row r="101" spans="2:9" x14ac:dyDescent="0.3">
      <c r="B101" s="7" t="s">
        <v>860</v>
      </c>
      <c r="D101" s="16">
        <f>MIN(0.9,MAX(0.75,0.75+0.15*(D100-0.002)/0.003))</f>
        <v>0.9</v>
      </c>
    </row>
    <row r="102" spans="2:9" x14ac:dyDescent="0.3">
      <c r="B102" s="7" t="s">
        <v>861</v>
      </c>
      <c r="D102" s="23">
        <f>(($I$67*MAX(-fy_,MIN(fy_,Es_*0.003*((D64-$H$67)-D99)/D99))-IF((D64-$H$67)&lt;=E99,$I$67*0.85*fc_,0))*((D64-$H$67)-E99/2)+($I$68*MAX(-fy_,MIN(fy_,Es_*0.003*((D64-$H$68)-D99)/D99))-IF((D64-$H$68)&lt;=E99,$I$68*0.85*fc_,0))*((D64-$H$68)-E99/2)+($I$69*MAX(-fy_,MIN(fy_,Es_*0.003*((D64-$H$69)-D99)/D99))-IF((D64-$H$69)&lt;=E99,$I$69*0.85*fc_,0))*((D64-$H$69)-E99/2)+($I$70*MAX(-fy_,MIN(fy_,Es_*0.003*((D64-$H$70)-D99)/D99))-IF((D64-$H$70)&lt;=E99,$I$70*0.85*fc_,0))*((D64-$H$70)-E99/2))/10^6</f>
        <v>109330.112496802</v>
      </c>
    </row>
    <row r="103" spans="2:9" x14ac:dyDescent="0.3">
      <c r="B103" s="7" t="s">
        <v>862</v>
      </c>
      <c r="D103" s="27">
        <f>D101*D102</f>
        <v>98397.101247121798</v>
      </c>
    </row>
    <row r="104" spans="2:9" x14ac:dyDescent="0.3">
      <c r="B104" s="7" t="s">
        <v>863</v>
      </c>
      <c r="D104" s="28" t="str">
        <f>IF(D103&gt;=C53,"ĐẠT","KHÔNG ĐẠT")</f>
        <v>ĐẠT</v>
      </c>
      <c r="E104" s="13">
        <f>IF(C53=0,"",D103/C53)</f>
        <v>2.1535555651655307</v>
      </c>
    </row>
    <row r="105" spans="2:9" x14ac:dyDescent="0.3">
      <c r="B105" s="7" t="s">
        <v>864</v>
      </c>
      <c r="D105" s="28" t="str">
        <f>IF(D100&gt;=0.005,"ĐẠT","NÉN K.CHẾ — xem lại")</f>
        <v>ĐẠT</v>
      </c>
    </row>
    <row r="106" spans="2:9" x14ac:dyDescent="0.3">
      <c r="B106" s="7" t="s">
        <v>865</v>
      </c>
      <c r="D106" s="23">
        <f>1.07*fr_*b_xm*D64^2/6/10^6</f>
        <v>32129.658750331859</v>
      </c>
    </row>
    <row r="107" spans="2:9" x14ac:dyDescent="0.3">
      <c r="B107" s="7" t="s">
        <v>866</v>
      </c>
      <c r="D107" s="28" t="str">
        <f>IF(D103&gt;=MIN(D106,1.33*C53),"ĐẠT","KHÔNG ĐẠT")</f>
        <v>ĐẠT</v>
      </c>
    </row>
    <row r="108" spans="2:9" x14ac:dyDescent="0.3">
      <c r="B108" s="5" t="s">
        <v>867</v>
      </c>
    </row>
    <row r="109" spans="2:9" x14ac:dyDescent="0.3">
      <c r="B109" s="12" t="s">
        <v>868</v>
      </c>
    </row>
    <row r="110" spans="2:9" x14ac:dyDescent="0.3">
      <c r="B110" s="7" t="s">
        <v>869</v>
      </c>
      <c r="D110" s="15">
        <v>1</v>
      </c>
      <c r="F110" s="12" t="s">
        <v>870</v>
      </c>
      <c r="G110" s="11">
        <v>1.4</v>
      </c>
      <c r="H110" s="12" t="s">
        <v>871</v>
      </c>
    </row>
    <row r="111" spans="2:9" x14ac:dyDescent="0.3">
      <c r="B111" s="7" t="s">
        <v>872</v>
      </c>
      <c r="D111" s="25">
        <f>MAX(IF(E67&gt;0,MAX(300,MAX(0.02*PI()/4*G67^2*fy_/SQRT(fc_),0.06*G67*fy_)*IF(F67&gt;=4,1.33,IF(F67=3,1.2,1))*IF(D110=1,G110,1)),0),IF(E68&gt;0,MAX(300,MAX(0.02*PI()/4*G68^2*fy_/SQRT(fc_),0.06*G68*fy_)*IF(F68&gt;=4,1.33,IF(F68=3,1.2,1))*IF(D110=1,G110,1)),0),IF(E69&gt;0,MAX(300,MAX(0.02*PI()/4*G69^2*fy_/SQRT(fc_),0.06*G69*fy_)*IF(F69&gt;=4,1.33,IF(F69=3,1.2,1))*IF(D110=1,G110,1)),0),IF(E70&gt;0,MAX(300,MAX(0.02*PI()/4*G70^2*fy_/SQRT(fc_),0.06*G70*fy_)*IF(F70&gt;=4,1.33,IF(F70=3,1.2,1))*IF(D110=1,G110,1)),0))</f>
        <v>1644.5505727208792</v>
      </c>
    </row>
    <row r="112" spans="2:9" x14ac:dyDescent="0.3">
      <c r="B112" s="7" t="s">
        <v>873</v>
      </c>
      <c r="D112" s="15">
        <v>700</v>
      </c>
    </row>
    <row r="113" spans="2:6" ht="27.6" x14ac:dyDescent="0.3">
      <c r="B113" s="7" t="s">
        <v>874</v>
      </c>
      <c r="D113" s="28" t="str">
        <f>IF(D112&gt;=D111,"ĐẠT","KHÔNG ĐẠT")</f>
        <v>KHÔNG ĐẠT</v>
      </c>
    </row>
    <row r="114" spans="2:6" x14ac:dyDescent="0.3">
      <c r="B114" s="12" t="s">
        <v>875</v>
      </c>
    </row>
    <row r="115" spans="2:6" x14ac:dyDescent="0.3">
      <c r="B115" s="5" t="s">
        <v>876</v>
      </c>
    </row>
    <row r="116" spans="2:6" x14ac:dyDescent="0.3">
      <c r="B116" s="7" t="s">
        <v>877</v>
      </c>
      <c r="D116" s="11">
        <v>1</v>
      </c>
    </row>
    <row r="117" spans="2:6" x14ac:dyDescent="0.3">
      <c r="B117" s="7" t="s">
        <v>878</v>
      </c>
      <c r="D117" s="13">
        <f>Es_/Ec_</f>
        <v>6.3796799429981235</v>
      </c>
    </row>
    <row r="118" spans="2:6" x14ac:dyDescent="0.3">
      <c r="B118" s="7" t="s">
        <v>879</v>
      </c>
      <c r="D118" s="34">
        <f>IF(D73=0,0,D72/(b_xm*D73))</f>
        <v>5.7833543861140644E-3</v>
      </c>
    </row>
    <row r="119" spans="2:6" x14ac:dyDescent="0.3">
      <c r="B119" s="7" t="s">
        <v>880</v>
      </c>
      <c r="D119" s="16">
        <f>SQRT(2*D118*D117+(D118*D117)^2)-D118*D117</f>
        <v>0.2372449099541743</v>
      </c>
    </row>
    <row r="120" spans="2:6" x14ac:dyDescent="0.3">
      <c r="B120" s="7" t="s">
        <v>881</v>
      </c>
      <c r="D120" s="16">
        <f>1-D119/3</f>
        <v>0.92091836334860855</v>
      </c>
    </row>
    <row r="121" spans="2:6" x14ac:dyDescent="0.3">
      <c r="B121" s="7" t="s">
        <v>882</v>
      </c>
      <c r="D121" s="23">
        <f>IF(D72=0,0,C55*10^6/(D72*D120*D73))</f>
        <v>123.52588721931471</v>
      </c>
    </row>
    <row r="122" spans="2:6" x14ac:dyDescent="0.3">
      <c r="B122" s="7" t="s">
        <v>883</v>
      </c>
      <c r="D122" s="16">
        <f>1+D74/(0.7*(D64-D74))</f>
        <v>1.0286989795918366</v>
      </c>
    </row>
    <row r="123" spans="2:6" x14ac:dyDescent="0.3">
      <c r="B123" s="7" t="s">
        <v>884</v>
      </c>
      <c r="D123" s="23">
        <f>IF(D121&lt;=0,9999,123000*D116/(D122*D121)-2*D74)</f>
        <v>787.96314182595643</v>
      </c>
    </row>
    <row r="124" spans="2:6" x14ac:dyDescent="0.3">
      <c r="B124" s="7" t="s">
        <v>885</v>
      </c>
      <c r="D124" s="23">
        <f>IF(C67&lt;=1,0,(b_xm-2*$D$65)/(C67-1))</f>
        <v>0</v>
      </c>
    </row>
    <row r="125" spans="2:6" x14ac:dyDescent="0.3">
      <c r="B125" s="7" t="s">
        <v>886</v>
      </c>
      <c r="D125" s="28" t="str">
        <f>IF(AND(D121&lt;=0.6*fy_,D124&lt;=D123),"ĐẠT","KHÔNG ĐẠT")</f>
        <v>ĐẠT</v>
      </c>
      <c r="E125" s="13">
        <f>IF(D121=0,"",D121/(0.6*fy_))</f>
        <v>0.51469119674714459</v>
      </c>
    </row>
    <row r="126" spans="2:6" x14ac:dyDescent="0.3">
      <c r="B126" s="5" t="s">
        <v>887</v>
      </c>
    </row>
    <row r="127" spans="2:6" x14ac:dyDescent="0.3">
      <c r="B127" s="7" t="s">
        <v>888</v>
      </c>
      <c r="D127" s="15">
        <v>4</v>
      </c>
      <c r="E127" s="15">
        <v>16</v>
      </c>
      <c r="F127" s="15">
        <v>150</v>
      </c>
    </row>
    <row r="128" spans="2:6" x14ac:dyDescent="0.3">
      <c r="B128" s="7" t="s">
        <v>889</v>
      </c>
      <c r="D128" s="23">
        <f>MAX(D73-E99/2,0.9*D73,0.72*D64)</f>
        <v>4248.1513263327734</v>
      </c>
    </row>
    <row r="129" spans="2:7" x14ac:dyDescent="0.3">
      <c r="B129" s="7" t="s">
        <v>890</v>
      </c>
      <c r="D129" s="14">
        <f>D127*PI()*E127^2/4</f>
        <v>804.24771931898704</v>
      </c>
      <c r="E129" s="14">
        <f>0.083*SQRT(fc_)*b_xm*F127/fy_</f>
        <v>426.19661505870749</v>
      </c>
    </row>
    <row r="130" spans="2:7" x14ac:dyDescent="0.3">
      <c r="B130" s="7" t="s">
        <v>891</v>
      </c>
      <c r="D130" s="34">
        <f>IF(D72=0,0,MAX(0,(C53*10^6/D128+C54*1000)/(Es_*D72)))</f>
        <v>1.7452192591014828E-3</v>
      </c>
    </row>
    <row r="131" spans="2:7" x14ac:dyDescent="0.3">
      <c r="B131" s="7" t="s">
        <v>892</v>
      </c>
      <c r="D131" s="23">
        <f>MIN(2000,MAX(300,D128*35/(16+$E$65)))</f>
        <v>2000</v>
      </c>
    </row>
    <row r="132" spans="2:7" x14ac:dyDescent="0.3">
      <c r="B132" s="7" t="s">
        <v>893</v>
      </c>
      <c r="D132" s="16">
        <f>IF(D129&gt;=E129,4.8/(1+750*D130),4.8/(1+750*D130)*1300/(1000+D131))</f>
        <v>2.0788990305792576</v>
      </c>
    </row>
    <row r="133" spans="2:7" x14ac:dyDescent="0.3">
      <c r="B133" s="7" t="s">
        <v>894</v>
      </c>
      <c r="D133" s="23">
        <f>29+3500*D130</f>
        <v>35.108267406855191</v>
      </c>
    </row>
    <row r="134" spans="2:7" x14ac:dyDescent="0.3">
      <c r="B134" s="7" t="s">
        <v>895</v>
      </c>
      <c r="D134" s="23">
        <f>0.083*D132*SQRT(fc_)*b_xm*D128/1000</f>
        <v>10037.189041743955</v>
      </c>
    </row>
    <row r="135" spans="2:7" x14ac:dyDescent="0.3">
      <c r="B135" s="7" t="s">
        <v>896</v>
      </c>
      <c r="D135" s="23">
        <f>IF(D129&gt;=E129,D129*fy_*D128/(TAN(RADIANS(D133))*F127)/1000,0)</f>
        <v>12959.442594420496</v>
      </c>
    </row>
    <row r="136" spans="2:7" x14ac:dyDescent="0.3">
      <c r="B136" s="7" t="s">
        <v>897</v>
      </c>
      <c r="D136" s="27">
        <f>0.9*MIN(D134+D135,0.25*fc_*b_xm*D128/1000)</f>
        <v>20696.968472548004</v>
      </c>
    </row>
    <row r="137" spans="2:7" x14ac:dyDescent="0.3">
      <c r="B137" s="7" t="s">
        <v>898</v>
      </c>
      <c r="D137" s="28" t="str">
        <f>IF(AND(D136&gt;=C54,OR(C54&lt;=0.5*0.9*D134,D129&gt;=E129)),"ĐẠT","KHÔNG ĐẠT")</f>
        <v>ĐẠT</v>
      </c>
      <c r="E137" s="13">
        <f>D136/MAX(0.001,C54)</f>
        <v>1.7686654384080349</v>
      </c>
    </row>
    <row r="138" spans="2:7" x14ac:dyDescent="0.3">
      <c r="B138" s="5" t="s">
        <v>899</v>
      </c>
    </row>
    <row r="139" spans="2:7" x14ac:dyDescent="0.3">
      <c r="B139" s="7" t="s">
        <v>900</v>
      </c>
      <c r="D139" s="16">
        <f>0.001*(D73-760)</f>
        <v>3.69</v>
      </c>
      <c r="F139" s="15">
        <v>16</v>
      </c>
      <c r="G139" s="15">
        <v>150</v>
      </c>
    </row>
    <row r="140" spans="2:7" ht="27.6" x14ac:dyDescent="0.3">
      <c r="B140" s="7" t="s">
        <v>901</v>
      </c>
      <c r="D140" s="28" t="str">
        <f>IF(PI()*F139^2/4/G139&gt;=D139,"ĐẠT","KHÔNG ĐẠT")</f>
        <v>KHÔNG ĐẠT</v>
      </c>
    </row>
    <row r="141" spans="2:7" x14ac:dyDescent="0.3">
      <c r="B141" s="5" t="s">
        <v>902</v>
      </c>
    </row>
    <row r="142" spans="2:7" x14ac:dyDescent="0.3">
      <c r="B142" s="12" t="s">
        <v>903</v>
      </c>
    </row>
    <row r="143" spans="2:7" x14ac:dyDescent="0.3">
      <c r="B143" s="5" t="s">
        <v>904</v>
      </c>
    </row>
    <row r="144" spans="2:7" x14ac:dyDescent="0.3">
      <c r="B144" s="7" t="s">
        <v>905</v>
      </c>
      <c r="D144" s="16">
        <f>MAX(0,ABS(exL)-hthan2/2)</f>
        <v>9.9999999999999978E-2</v>
      </c>
      <c r="E144" s="16">
        <f>MAX(0,ABS(exR)-hthan2/2)</f>
        <v>9.9999999999999978E-2</v>
      </c>
    </row>
    <row r="145" spans="2:6" x14ac:dyDescent="0.3">
      <c r="B145" s="7" t="s">
        <v>906</v>
      </c>
      <c r="D145" s="23">
        <f>MAX('HOAT TAI'!F13:F18)</f>
        <v>2237.9606600000002</v>
      </c>
    </row>
    <row r="146" spans="2:6" x14ac:dyDescent="0.3">
      <c r="B146" s="7" t="s">
        <v>907</v>
      </c>
      <c r="D146" s="23">
        <f>D144*(1.25*RDC1_+1.5*RDW1_+1.75*D145)</f>
        <v>1332.5512092499998</v>
      </c>
      <c r="E146" s="23">
        <f>E144*(1.25*RDC2_+1.5*RDW2_+1.75*D145)</f>
        <v>1332.5512092499998</v>
      </c>
    </row>
    <row r="147" spans="2:6" x14ac:dyDescent="0.3">
      <c r="B147" s="7" t="s">
        <v>908</v>
      </c>
      <c r="D147" s="23">
        <f>IF(D144&gt;0,1.25*RDC1_+1.5*RDW1_+1.75*D145,0)</f>
        <v>13325.512092500001</v>
      </c>
      <c r="E147" s="23">
        <f>IF(E144&gt;0,1.25*RDC2_+1.5*RDW2_+1.75*D145,0)</f>
        <v>13325.512092500001</v>
      </c>
    </row>
    <row r="148" spans="2:6" x14ac:dyDescent="0.3">
      <c r="B148" s="7" t="s">
        <v>909</v>
      </c>
      <c r="D148" s="23">
        <f>D144*(RDC1_+RDW1_+D145)</f>
        <v>962.83500349999997</v>
      </c>
      <c r="E148" s="23">
        <f>E144*(RDC2_+RDW2_+D145)</f>
        <v>962.83500349999997</v>
      </c>
    </row>
    <row r="149" spans="2:6" x14ac:dyDescent="0.3">
      <c r="B149" s="7" t="s">
        <v>910</v>
      </c>
      <c r="D149" s="27">
        <f>MAX(D146,E146)</f>
        <v>1332.5512092499998</v>
      </c>
      <c r="E149" s="27">
        <f>MAX(D147,E147)</f>
        <v>13325.512092500001</v>
      </c>
      <c r="F149" s="27">
        <f>MAX(D148,E148)</f>
        <v>962.83500349999997</v>
      </c>
    </row>
    <row r="150" spans="2:6" x14ac:dyDescent="0.3">
      <c r="B150" s="12" t="s">
        <v>911</v>
      </c>
    </row>
    <row r="151" spans="2:6" x14ac:dyDescent="0.3">
      <c r="B151" s="5" t="s">
        <v>912</v>
      </c>
    </row>
    <row r="152" spans="2:6" x14ac:dyDescent="0.3">
      <c r="B152" s="7" t="s">
        <v>913</v>
      </c>
      <c r="D152" s="25">
        <f>Lxm*1000</f>
        <v>23550</v>
      </c>
    </row>
    <row r="153" spans="2:6" x14ac:dyDescent="0.3">
      <c r="B153" s="7" t="s">
        <v>914</v>
      </c>
      <c r="D153" s="25">
        <f>(hxm+hmr)*1000</f>
        <v>4570</v>
      </c>
    </row>
    <row r="154" spans="2:6" x14ac:dyDescent="0.3">
      <c r="B154" s="7" t="s">
        <v>915</v>
      </c>
      <c r="D154" s="15">
        <v>80</v>
      </c>
      <c r="E154" s="7" t="s">
        <v>323</v>
      </c>
    </row>
    <row r="155" spans="2:6" x14ac:dyDescent="0.3">
      <c r="B155" s="7" t="s">
        <v>916</v>
      </c>
      <c r="D155" s="15">
        <v>20</v>
      </c>
      <c r="E155" s="7" t="s">
        <v>323</v>
      </c>
    </row>
    <row r="156" spans="2:6" x14ac:dyDescent="0.3">
      <c r="B156" s="7" t="s">
        <v>917</v>
      </c>
      <c r="D156" s="15">
        <v>200</v>
      </c>
      <c r="E156" s="7" t="s">
        <v>323</v>
      </c>
    </row>
    <row r="157" spans="2:6" x14ac:dyDescent="0.3">
      <c r="B157" s="7" t="s">
        <v>918</v>
      </c>
      <c r="D157" s="25">
        <f>PI()*D155^2/4*D152/D156</f>
        <v>36992.253496019817</v>
      </c>
    </row>
    <row r="158" spans="2:6" x14ac:dyDescent="0.3">
      <c r="B158" s="7" t="s">
        <v>919</v>
      </c>
      <c r="D158" s="25">
        <f>D153-D154</f>
        <v>4490</v>
      </c>
    </row>
    <row r="159" spans="2:6" x14ac:dyDescent="0.3">
      <c r="B159" s="7" t="s">
        <v>920</v>
      </c>
      <c r="D159" s="27">
        <f>D149</f>
        <v>1332.5512092499998</v>
      </c>
      <c r="E159" s="7" t="s">
        <v>813</v>
      </c>
    </row>
    <row r="160" spans="2:6" x14ac:dyDescent="0.3">
      <c r="B160" s="7" t="s">
        <v>921</v>
      </c>
      <c r="D160" s="27">
        <f>E149</f>
        <v>13325.512092500001</v>
      </c>
      <c r="E160" s="7" t="s">
        <v>72</v>
      </c>
    </row>
    <row r="161" spans="2:6" x14ac:dyDescent="0.3">
      <c r="B161" s="7" t="s">
        <v>922</v>
      </c>
      <c r="D161" s="27">
        <f>F149</f>
        <v>962.83500349999997</v>
      </c>
      <c r="E161" s="7" t="s">
        <v>813</v>
      </c>
    </row>
    <row r="162" spans="2:6" x14ac:dyDescent="0.3">
      <c r="B162" s="7" t="s">
        <v>923</v>
      </c>
      <c r="D162" s="16">
        <f>MAX(0.65,MIN(0.85,0.85-0.05*(fc_-28)/7))</f>
        <v>0.83571428571428574</v>
      </c>
    </row>
    <row r="163" spans="2:6" x14ac:dyDescent="0.3">
      <c r="B163" s="7" t="s">
        <v>924</v>
      </c>
      <c r="D163" s="27">
        <f>D157*fy_/(0.85*fc_*D152)</f>
        <v>24.639942381096418</v>
      </c>
    </row>
    <row r="164" spans="2:6" x14ac:dyDescent="0.3">
      <c r="B164" s="7" t="s">
        <v>925</v>
      </c>
      <c r="D164" s="27">
        <f>D163/D162</f>
        <v>29.483691738064088</v>
      </c>
    </row>
    <row r="165" spans="2:6" x14ac:dyDescent="0.3">
      <c r="B165" s="7" t="s">
        <v>926</v>
      </c>
      <c r="D165" s="34">
        <f>0.003*(D158-D164)/D164</f>
        <v>0.45386273346190009</v>
      </c>
    </row>
    <row r="166" spans="2:6" x14ac:dyDescent="0.3">
      <c r="B166" s="7" t="s">
        <v>927</v>
      </c>
      <c r="D166" s="16">
        <f>MIN(0.9,MAX(0.75,0.75+0.15*(D165-0.002)/0.003))</f>
        <v>0.9</v>
      </c>
    </row>
    <row r="167" spans="2:6" x14ac:dyDescent="0.3">
      <c r="B167" s="7" t="s">
        <v>928</v>
      </c>
      <c r="D167" s="23">
        <f>D157*fy_*(D158-D163/2)/10^6</f>
        <v>66255.78987991382</v>
      </c>
      <c r="E167" s="7" t="s">
        <v>813</v>
      </c>
    </row>
    <row r="168" spans="2:6" x14ac:dyDescent="0.3">
      <c r="B168" s="7" t="s">
        <v>929</v>
      </c>
      <c r="D168" s="27">
        <f>D166*D167</f>
        <v>59630.210891922441</v>
      </c>
      <c r="E168" s="7" t="s">
        <v>813</v>
      </c>
    </row>
    <row r="169" spans="2:6" x14ac:dyDescent="0.3">
      <c r="B169" s="7" t="s">
        <v>863</v>
      </c>
      <c r="D169" s="28" t="str">
        <f>IF(D168&gt;=D159,"ĐẠT","KHÔNG ĐẠT")</f>
        <v>ĐẠT</v>
      </c>
      <c r="E169" s="13">
        <f>IF(D159=0,"",D168/D159)</f>
        <v>44.748907567675488</v>
      </c>
    </row>
    <row r="170" spans="2:6" x14ac:dyDescent="0.3">
      <c r="B170" s="7" t="s">
        <v>930</v>
      </c>
      <c r="D170" s="23">
        <f>1.07*fr_*D152*D153^2/6/10^6</f>
        <v>302661.38542812609</v>
      </c>
      <c r="E170" s="7" t="s">
        <v>813</v>
      </c>
      <c r="F170" s="12" t="s">
        <v>931</v>
      </c>
    </row>
    <row r="171" spans="2:6" x14ac:dyDescent="0.3">
      <c r="B171" s="7" t="s">
        <v>866</v>
      </c>
      <c r="D171" s="28" t="str">
        <f>IF(D168&gt;=MIN(D170,1.33*D159),"ĐẠT","KHÔNG ĐẠT")</f>
        <v>ĐẠT</v>
      </c>
    </row>
    <row r="172" spans="2:6" x14ac:dyDescent="0.3">
      <c r="B172" s="7" t="s">
        <v>932</v>
      </c>
      <c r="D172" s="11">
        <v>1</v>
      </c>
    </row>
    <row r="173" spans="2:6" x14ac:dyDescent="0.3">
      <c r="B173" s="7" t="s">
        <v>878</v>
      </c>
      <c r="D173" s="13">
        <f>Es_/Ec_</f>
        <v>6.3796799429981235</v>
      </c>
    </row>
    <row r="174" spans="2:6" x14ac:dyDescent="0.3">
      <c r="B174" s="7" t="s">
        <v>879</v>
      </c>
      <c r="D174" s="34">
        <f>D157/(D152*D158)</f>
        <v>3.4984327990977653E-4</v>
      </c>
    </row>
    <row r="175" spans="2:6" x14ac:dyDescent="0.3">
      <c r="B175" s="7" t="s">
        <v>880</v>
      </c>
      <c r="D175" s="16">
        <f>SQRT(2*D174*D173+(D174*D173)^2)-D174*D173</f>
        <v>6.4616878749626447E-2</v>
      </c>
    </row>
    <row r="176" spans="2:6" x14ac:dyDescent="0.3">
      <c r="B176" s="7" t="s">
        <v>881</v>
      </c>
      <c r="D176" s="16">
        <f>1-D175/3</f>
        <v>0.97846104041679116</v>
      </c>
    </row>
    <row r="177" spans="2:6" x14ac:dyDescent="0.3">
      <c r="B177" s="7" t="s">
        <v>933</v>
      </c>
      <c r="D177" s="23">
        <f>D161*10^6/(D157*D176*D158)</f>
        <v>5.9244931688542746</v>
      </c>
      <c r="E177" s="7" t="s">
        <v>160</v>
      </c>
      <c r="F177" s="12" t="s">
        <v>934</v>
      </c>
    </row>
    <row r="178" spans="2:6" x14ac:dyDescent="0.3">
      <c r="B178" s="7" t="s">
        <v>935</v>
      </c>
      <c r="D178" s="16">
        <f>1+D154/(0.7*(D153-D154))</f>
        <v>1.0254533884823418</v>
      </c>
    </row>
    <row r="179" spans="2:6" x14ac:dyDescent="0.3">
      <c r="B179" s="7" t="s">
        <v>936</v>
      </c>
      <c r="D179" s="23">
        <f>IF(D177&lt;=0,9999,123000*D172/(D178*D177)-2*D154)</f>
        <v>20085.941791563931</v>
      </c>
      <c r="E179" s="7" t="s">
        <v>323</v>
      </c>
      <c r="F179" s="12" t="s">
        <v>937</v>
      </c>
    </row>
    <row r="180" spans="2:6" x14ac:dyDescent="0.3">
      <c r="B180" s="7" t="s">
        <v>938</v>
      </c>
      <c r="D180" s="28" t="str">
        <f>IF(AND(D177&lt;=0.6*fy_,D156&lt;=D179),"ĐẠT","KHÔNG ĐẠT")</f>
        <v>ĐẠT</v>
      </c>
      <c r="E180" s="13">
        <f>IF(D177=0,"",D177/(0.6*fy_))</f>
        <v>2.4685388203559477E-2</v>
      </c>
    </row>
    <row r="181" spans="2:6" x14ac:dyDescent="0.3">
      <c r="B181" s="7" t="s">
        <v>939</v>
      </c>
      <c r="D181" s="15">
        <v>0</v>
      </c>
      <c r="E181" s="7" t="s">
        <v>940</v>
      </c>
      <c r="F181" s="12" t="s">
        <v>941</v>
      </c>
    </row>
    <row r="182" spans="2:6" x14ac:dyDescent="0.3">
      <c r="B182" s="7" t="s">
        <v>942</v>
      </c>
      <c r="D182" s="15">
        <v>16</v>
      </c>
      <c r="E182" s="7" t="s">
        <v>323</v>
      </c>
    </row>
    <row r="183" spans="2:6" x14ac:dyDescent="0.3">
      <c r="B183" s="7" t="s">
        <v>943</v>
      </c>
      <c r="D183" s="15">
        <v>600</v>
      </c>
      <c r="E183" s="7" t="s">
        <v>323</v>
      </c>
    </row>
    <row r="184" spans="2:6" x14ac:dyDescent="0.3">
      <c r="B184" s="7" t="s">
        <v>944</v>
      </c>
      <c r="D184" s="25">
        <f>D181*PI()*D182^2/4</f>
        <v>0</v>
      </c>
    </row>
    <row r="185" spans="2:6" x14ac:dyDescent="0.3">
      <c r="B185" s="7" t="s">
        <v>945</v>
      </c>
      <c r="D185" s="25">
        <f>0.083*SQRT(fc_)*D152*D183/fy_</f>
        <v>16059.088455412095</v>
      </c>
    </row>
    <row r="186" spans="2:6" x14ac:dyDescent="0.3">
      <c r="B186" s="7" t="s">
        <v>946</v>
      </c>
      <c r="D186" s="27">
        <f>MAX(D158-D163/2,0.9*D158,0.72*D153)</f>
        <v>4477.6800288094519</v>
      </c>
    </row>
    <row r="187" spans="2:6" x14ac:dyDescent="0.3">
      <c r="B187" s="7" t="s">
        <v>947</v>
      </c>
      <c r="D187" s="34">
        <f>MAX(0,(MAX(D159*10^6,D160*1000*D186)/D186+D160*1000)/(Es_*D157))</f>
        <v>3.6022439384326126E-3</v>
      </c>
      <c r="E187" s="7" t="s">
        <v>948</v>
      </c>
    </row>
    <row r="188" spans="2:6" x14ac:dyDescent="0.3">
      <c r="B188" s="7" t="s">
        <v>949</v>
      </c>
      <c r="D188" s="27">
        <f>MIN(2000,MAX(300,D186*35/36))</f>
        <v>2000</v>
      </c>
    </row>
    <row r="189" spans="2:6" x14ac:dyDescent="0.3">
      <c r="B189" s="7" t="s">
        <v>950</v>
      </c>
      <c r="D189" s="16">
        <f>IF(D184&gt;=D185,4.8/(1+750*D187),4.8/(1+750*D187)*1300/(1000+D188))</f>
        <v>0.5619065776151928</v>
      </c>
    </row>
    <row r="190" spans="2:6" x14ac:dyDescent="0.3">
      <c r="B190" s="7" t="s">
        <v>951</v>
      </c>
      <c r="D190" s="27">
        <f>29+3500*D187</f>
        <v>41.607853784514148</v>
      </c>
    </row>
    <row r="191" spans="2:6" x14ac:dyDescent="0.3">
      <c r="B191" s="7" t="s">
        <v>952</v>
      </c>
      <c r="D191" s="23">
        <f>0.083*D189*SQRT(fc_)*D152*D186/1000</f>
        <v>26936.84970750086</v>
      </c>
      <c r="E191" s="7" t="s">
        <v>72</v>
      </c>
    </row>
    <row r="192" spans="2:6" x14ac:dyDescent="0.3">
      <c r="B192" s="7" t="s">
        <v>953</v>
      </c>
      <c r="D192" s="23">
        <f>IF(D184&gt;=D185,D184*fy_*D186/(TAN(RADIANS(D190))*D183)/1000,0)</f>
        <v>0</v>
      </c>
      <c r="E192" s="7" t="s">
        <v>72</v>
      </c>
      <c r="F192" s="12" t="s">
        <v>954</v>
      </c>
    </row>
    <row r="193" spans="2:6" x14ac:dyDescent="0.3">
      <c r="B193" s="7" t="s">
        <v>955</v>
      </c>
      <c r="D193" s="23">
        <f>MIN(D191+D192,0.25*fc_*D152*D186/1000)</f>
        <v>26936.84970750086</v>
      </c>
      <c r="E193" s="7" t="s">
        <v>72</v>
      </c>
    </row>
    <row r="194" spans="2:6" x14ac:dyDescent="0.3">
      <c r="B194" s="7" t="s">
        <v>956</v>
      </c>
      <c r="D194" s="27">
        <f>0.9*D193</f>
        <v>24243.164736750776</v>
      </c>
      <c r="E194" s="7" t="s">
        <v>72</v>
      </c>
    </row>
    <row r="195" spans="2:6" ht="27.6" x14ac:dyDescent="0.3">
      <c r="B195" s="7" t="s">
        <v>957</v>
      </c>
      <c r="D195" s="28" t="str">
        <f>IF(AND(D194&gt;=D160,OR(D160&lt;=0.5*0.9*D191,D184&gt;=D185)),"ĐẠT","KHÔNG ĐẠT")</f>
        <v>KHÔNG ĐẠT</v>
      </c>
      <c r="E195" s="13">
        <f>IF(D160=0,"",D194/D160)</f>
        <v>1.8193045466819664</v>
      </c>
    </row>
    <row r="196" spans="2:6" x14ac:dyDescent="0.3">
      <c r="B196" s="7" t="s">
        <v>958</v>
      </c>
      <c r="D196" s="33">
        <f>D160*1000/(0.9*D152*D186)</f>
        <v>0.140409803248879</v>
      </c>
    </row>
    <row r="197" spans="2:6" x14ac:dyDescent="0.3">
      <c r="B197" s="7" t="s">
        <v>959</v>
      </c>
      <c r="D197" s="27">
        <f>IF(D196&lt;0.125*fc_,MIN(0.8*D186,600),MIN(0.4*D186,300))</f>
        <v>600</v>
      </c>
      <c r="E197" s="7" t="s">
        <v>960</v>
      </c>
    </row>
    <row r="198" spans="2:6" x14ac:dyDescent="0.3">
      <c r="B198" s="7" t="s">
        <v>961</v>
      </c>
      <c r="D198" s="28" t="str">
        <f>IF(OR(D181=0,D183&lt;=D197),"ĐẠT","KHÔNG ĐẠT")</f>
        <v>ĐẠT</v>
      </c>
    </row>
    <row r="199" spans="2:6" x14ac:dyDescent="0.3">
      <c r="B199" s="7" t="s">
        <v>962</v>
      </c>
      <c r="D199" s="33">
        <f>MIN(1.27,MAX(0.233,0.75*D152*D153/(2*(D152+D153)*fy_)))</f>
        <v>1.27</v>
      </c>
      <c r="E199" s="7" t="s">
        <v>963</v>
      </c>
    </row>
    <row r="200" spans="2:6" x14ac:dyDescent="0.3">
      <c r="B200" s="7" t="s">
        <v>964</v>
      </c>
      <c r="D200" s="15">
        <v>16</v>
      </c>
      <c r="E200" s="7" t="s">
        <v>323</v>
      </c>
    </row>
    <row r="201" spans="2:6" x14ac:dyDescent="0.3">
      <c r="B201" s="7"/>
      <c r="D201" s="15">
        <v>200</v>
      </c>
      <c r="E201" s="7" t="s">
        <v>323</v>
      </c>
    </row>
    <row r="202" spans="2:6" ht="27.6" x14ac:dyDescent="0.3">
      <c r="B202" s="7" t="s">
        <v>965</v>
      </c>
      <c r="D202" s="28" t="str">
        <f>IF(PI()*D200^2/4/D201&gt;=D199,"ĐẠT","KHÔNG ĐẠT")</f>
        <v>KHÔNG ĐẠT</v>
      </c>
    </row>
    <row r="204" spans="2:6" x14ac:dyDescent="0.3">
      <c r="B204" s="5" t="s">
        <v>966</v>
      </c>
    </row>
    <row r="205" spans="2:6" x14ac:dyDescent="0.3">
      <c r="B205" s="12" t="s">
        <v>967</v>
      </c>
    </row>
    <row r="206" spans="2:6" x14ac:dyDescent="0.3">
      <c r="B206" s="7" t="s">
        <v>968</v>
      </c>
      <c r="D206" s="30">
        <f>1.25*$F$22*(exL*RDC1_+exR*RDC2_)/ngoi+1.5*$F$22*(exL*RDW1_+exR*RDW2_)/ngoi+1.75*$E$52*MAX(ABS(exL),ABS(exR))</f>
        <v>3077.9755690212774</v>
      </c>
    </row>
    <row r="207" spans="2:6" x14ac:dyDescent="0.3">
      <c r="B207" s="7" t="s">
        <v>969</v>
      </c>
      <c r="D207" s="14">
        <f>b_xm*D64</f>
        <v>11425000</v>
      </c>
      <c r="E207" s="14">
        <f>2*(b_xm+D64)</f>
        <v>14140</v>
      </c>
      <c r="F207" s="13">
        <f>0.328*SQRT(fc_)*(D207^2/E207)/10^6</f>
        <v>16584.312747200333</v>
      </c>
    </row>
    <row r="208" spans="2:6" ht="27.6" x14ac:dyDescent="0.3">
      <c r="B208" s="7" t="s">
        <v>970</v>
      </c>
      <c r="D208" s="28" t="str">
        <f>IF(D206&lt;=0.25*0.9*F207,"BỎ QUA XOẮN","PHẢI KỂ XOẮN")</f>
        <v>BỎ QUA XOẮN</v>
      </c>
    </row>
    <row r="209" spans="2:8" x14ac:dyDescent="0.3">
      <c r="B209" s="7" t="s">
        <v>971</v>
      </c>
      <c r="D209" s="15">
        <v>50</v>
      </c>
    </row>
    <row r="210" spans="2:8" x14ac:dyDescent="0.3">
      <c r="B210" s="7" t="s">
        <v>972</v>
      </c>
      <c r="D210" s="14">
        <f>(b_xm-2*D209)*(D64-2*D209)</f>
        <v>10728000</v>
      </c>
      <c r="E210" s="14">
        <f>0.85*D210</f>
        <v>9118800</v>
      </c>
      <c r="F210" s="14">
        <f>2*((b_xm-2*D209)+(D64-2*D209))</f>
        <v>13740</v>
      </c>
    </row>
    <row r="211" spans="2:8" x14ac:dyDescent="0.3">
      <c r="B211" s="7" t="s">
        <v>973</v>
      </c>
      <c r="D211" s="26">
        <f>IF(D208="BỎ QUA XOẮN",0,D206*10^6/(0.9*2*E210*fy_/TAN(RADIANS(D133))))</f>
        <v>0</v>
      </c>
    </row>
    <row r="212" spans="2:8" x14ac:dyDescent="0.3">
      <c r="B212" s="7" t="s">
        <v>974</v>
      </c>
      <c r="D212" s="23">
        <f>MAX(0,C54/0.9-D134)</f>
        <v>2965.0617722164152</v>
      </c>
      <c r="E212" s="26">
        <f>D212*1000/(fy_*D128/TAN(RADIANS(D133)))</f>
        <v>1.2267215715855144</v>
      </c>
    </row>
    <row r="213" spans="2:8" x14ac:dyDescent="0.3">
      <c r="B213" s="7" t="s">
        <v>975</v>
      </c>
      <c r="D213" s="26">
        <f>E212+2*D211</f>
        <v>1.2267215715855144</v>
      </c>
      <c r="E213" s="26">
        <f>D129/F127</f>
        <v>5.3616514621265798</v>
      </c>
    </row>
    <row r="214" spans="2:8" x14ac:dyDescent="0.3">
      <c r="B214" s="7" t="s">
        <v>976</v>
      </c>
      <c r="D214" s="28" t="str">
        <f>IF(E213&gt;=D213,"ĐẠT","KHÔNG ĐẠT")</f>
        <v>ĐẠT</v>
      </c>
    </row>
    <row r="215" spans="2:8" x14ac:dyDescent="0.3">
      <c r="B215" s="7" t="s">
        <v>977</v>
      </c>
      <c r="D215" s="25">
        <f>IF(D208="BỎ QUA XOẮN",0,D206*10^6*F210/(2*E210*0.9*fy_)/TAN(RADIANS(D133)))</f>
        <v>0</v>
      </c>
    </row>
    <row r="216" spans="2:8" x14ac:dyDescent="0.3">
      <c r="B216" s="7" t="s">
        <v>978</v>
      </c>
      <c r="D216" s="15">
        <v>0</v>
      </c>
    </row>
    <row r="217" spans="2:8" x14ac:dyDescent="0.3">
      <c r="B217" s="7" t="s">
        <v>979</v>
      </c>
      <c r="D217" s="28" t="str">
        <f>IF(D208="BỎ QUA XOẮN","—",IF(D216&gt;=D215,"ĐẠT","KHÔNG ĐẠT"))</f>
        <v>—</v>
      </c>
    </row>
    <row r="218" spans="2:8" x14ac:dyDescent="0.3">
      <c r="B218" s="7" t="s">
        <v>980</v>
      </c>
      <c r="D218" s="23">
        <f>SQRT(C54^2+(0.9*F210*D206*1000/(2*E210))^2)</f>
        <v>11886.675775830319</v>
      </c>
    </row>
    <row r="219" spans="2:8" x14ac:dyDescent="0.3">
      <c r="B219" s="7" t="s">
        <v>981</v>
      </c>
      <c r="D219" s="28" t="str">
        <f>IF(0.25*fc_*b_xm*D128/1000&gt;=D218,"ĐẠT","KHÔNG ĐẠT")</f>
        <v>ĐẠT</v>
      </c>
    </row>
    <row r="220" spans="2:8" x14ac:dyDescent="0.3">
      <c r="B220" s="12" t="s">
        <v>982</v>
      </c>
    </row>
    <row r="221" spans="2:8" x14ac:dyDescent="0.3">
      <c r="B221" s="5" t="s">
        <v>983</v>
      </c>
    </row>
    <row r="222" spans="2:8" x14ac:dyDescent="0.3">
      <c r="B222" s="7" t="s">
        <v>984</v>
      </c>
      <c r="D222" s="27">
        <f>MAX(ABS('TO HOP'!C196),ABS('TO HOP'!C197),ABS('TO HOP'!C198),ABS('TO HOP'!C199),ABS('TO HOP'!C200),ABS('TO HOP'!C201))</f>
        <v>3611.4273926220267</v>
      </c>
      <c r="H222" t="s">
        <v>985</v>
      </c>
    </row>
    <row r="223" spans="2:8" x14ac:dyDescent="0.3">
      <c r="B223" s="7" t="s">
        <v>986</v>
      </c>
      <c r="D223" s="23">
        <f>1*EQd_H_tb+0.5*BR_H</f>
        <v>1630.8330294122748</v>
      </c>
    </row>
    <row r="224" spans="2:8" x14ac:dyDescent="0.3">
      <c r="B224" s="7" t="s">
        <v>987</v>
      </c>
      <c r="D224" s="15">
        <v>2</v>
      </c>
    </row>
    <row r="225" spans="2:6" x14ac:dyDescent="0.3">
      <c r="B225" s="7" t="s">
        <v>988</v>
      </c>
      <c r="D225" s="11">
        <v>1.65</v>
      </c>
      <c r="E225" s="11">
        <v>0.7</v>
      </c>
      <c r="F225" s="11">
        <v>0.17</v>
      </c>
    </row>
    <row r="226" spans="2:6" x14ac:dyDescent="0.3">
      <c r="B226" s="7" t="s">
        <v>989</v>
      </c>
      <c r="D226" s="11">
        <v>1.4</v>
      </c>
      <c r="E226" s="11">
        <v>1</v>
      </c>
      <c r="F226" s="11">
        <v>0.6</v>
      </c>
    </row>
    <row r="227" spans="2:6" x14ac:dyDescent="0.3">
      <c r="B227" s="7" t="s">
        <v>990</v>
      </c>
      <c r="D227" s="13">
        <f>CHOOSE(D224,D225,E225,F225)</f>
        <v>0.7</v>
      </c>
      <c r="E227" s="13">
        <f>CHOOSE(D224,D226,E226,F226)</f>
        <v>1</v>
      </c>
    </row>
    <row r="228" spans="2:6" x14ac:dyDescent="0.3">
      <c r="B228" s="7" t="s">
        <v>991</v>
      </c>
      <c r="D228" s="14">
        <f>Agth2*1000000</f>
        <v>14650619.298297469</v>
      </c>
    </row>
    <row r="229" spans="2:6" x14ac:dyDescent="0.3">
      <c r="B229" s="7" t="s">
        <v>992</v>
      </c>
      <c r="D229" s="14">
        <f>'KT THAN'!D11</f>
        <v>144764.58947741767</v>
      </c>
    </row>
    <row r="230" spans="2:6" x14ac:dyDescent="0.3">
      <c r="B230" s="7" t="s">
        <v>993</v>
      </c>
      <c r="D230" s="23">
        <f>0.9*(RDC1_+RDC2_)</f>
        <v>12070.822500000002</v>
      </c>
    </row>
    <row r="231" spans="2:6" x14ac:dyDescent="0.3">
      <c r="B231" s="7" t="s">
        <v>994</v>
      </c>
      <c r="D231" s="23">
        <f>(D227*D228+E227*(D229*fy_+D230*1000))/1000</f>
        <v>80232.091799775299</v>
      </c>
      <c r="E231" s="23">
        <f>MIN(0.3*fc_*D228,25*D228)/1000</f>
        <v>131855.57368467722</v>
      </c>
    </row>
    <row r="232" spans="2:6" x14ac:dyDescent="0.3">
      <c r="B232" s="7" t="s">
        <v>995</v>
      </c>
      <c r="D232" s="27">
        <f>0.9*MIN(D231,E231)</f>
        <v>72208.882619797776</v>
      </c>
    </row>
    <row r="233" spans="2:6" x14ac:dyDescent="0.3">
      <c r="B233" s="7" t="s">
        <v>996</v>
      </c>
      <c r="D233" s="28" t="str">
        <f>IF(D232&gt;=MAX(D222,D223),"ĐẠT","KHÔNG ĐẠT")</f>
        <v>ĐẠT</v>
      </c>
      <c r="E233" s="13">
        <f>IF(MAX(D222,D223)=0,"",D232/MAX(D222,D223))</f>
        <v>19.994554720196525</v>
      </c>
    </row>
    <row r="234" spans="2:6" x14ac:dyDescent="0.3">
      <c r="B234" s="12" t="s">
        <v>997</v>
      </c>
    </row>
    <row r="242" spans="2:8" ht="19.95" customHeight="1" x14ac:dyDescent="0.3">
      <c r="B242" s="149" t="s">
        <v>998</v>
      </c>
      <c r="C242" s="149"/>
      <c r="D242" s="149"/>
      <c r="E242" s="149"/>
      <c r="F242" s="149"/>
      <c r="G242" s="149"/>
      <c r="H242" s="149"/>
    </row>
  </sheetData>
  <mergeCells count="1">
    <mergeCell ref="B242:H242"/>
  </mergeCells>
  <conditionalFormatting sqref="C59">
    <cfRule type="cellIs" dxfId="61" priority="2" operator="equal">
      <formula>"ĐẠT"</formula>
    </cfRule>
    <cfRule type="cellIs" dxfId="60" priority="3" operator="equal">
      <formula>"KHÔNG ĐẠT"</formula>
    </cfRule>
    <cfRule type="cellIs" dxfId="59" priority="4" operator="equal">
      <formula>"PHẢI KIỂM STM (mô hình chống–giằng)"</formula>
    </cfRule>
    <cfRule type="cellIs" dxfId="58" priority="5" operator="equal">
      <formula>"CÔNG XÔN NGẮN — dùng PP CORBEL (ma sát cắt, Điều 5.13.2.4)"</formula>
    </cfRule>
  </conditionalFormatting>
  <conditionalFormatting sqref="D104:D105">
    <cfRule type="cellIs" dxfId="57" priority="6" operator="equal">
      <formula>"ĐẠT"</formula>
    </cfRule>
    <cfRule type="cellIs" dxfId="56" priority="7" operator="equal">
      <formula>"KHÔNG ĐẠT"</formula>
    </cfRule>
  </conditionalFormatting>
  <conditionalFormatting sqref="D107">
    <cfRule type="cellIs" dxfId="55" priority="10" operator="equal">
      <formula>"ĐẠT"</formula>
    </cfRule>
    <cfRule type="cellIs" dxfId="54" priority="11" operator="equal">
      <formula>"KHÔNG ĐẠT"</formula>
    </cfRule>
  </conditionalFormatting>
  <conditionalFormatting sqref="D113">
    <cfRule type="cellIs" dxfId="53" priority="12" operator="equal">
      <formula>"ĐẠT"</formula>
    </cfRule>
    <cfRule type="cellIs" dxfId="52" priority="13" operator="equal">
      <formula>"KHÔNG ĐẠT"</formula>
    </cfRule>
  </conditionalFormatting>
  <conditionalFormatting sqref="D125">
    <cfRule type="cellIs" dxfId="51" priority="14" operator="equal">
      <formula>"ĐẠT"</formula>
    </cfRule>
    <cfRule type="cellIs" dxfId="50" priority="15" operator="equal">
      <formula>"KHÔNG ĐẠT"</formula>
    </cfRule>
  </conditionalFormatting>
  <conditionalFormatting sqref="D137">
    <cfRule type="cellIs" dxfId="49" priority="16" operator="equal">
      <formula>"ĐẠT"</formula>
    </cfRule>
    <cfRule type="cellIs" dxfId="48" priority="17" operator="equal">
      <formula>"KHÔNG ĐẠT"</formula>
    </cfRule>
  </conditionalFormatting>
  <conditionalFormatting sqref="D140">
    <cfRule type="cellIs" dxfId="47" priority="18" operator="equal">
      <formula>"ĐẠT"</formula>
    </cfRule>
    <cfRule type="cellIs" dxfId="46" priority="19" operator="equal">
      <formula>"KHÔNG ĐẠT"</formula>
    </cfRule>
  </conditionalFormatting>
  <conditionalFormatting sqref="D169">
    <cfRule type="cellIs" dxfId="45" priority="20" operator="equal">
      <formula>"ĐẠT"</formula>
    </cfRule>
    <cfRule type="cellIs" dxfId="44" priority="21" operator="equal">
      <formula>"KHÔNG ĐẠT"</formula>
    </cfRule>
  </conditionalFormatting>
  <conditionalFormatting sqref="D171">
    <cfRule type="cellIs" dxfId="43" priority="22" operator="equal">
      <formula>"ĐẠT"</formula>
    </cfRule>
    <cfRule type="cellIs" dxfId="42" priority="23" operator="equal">
      <formula>"KHÔNG ĐẠT"</formula>
    </cfRule>
  </conditionalFormatting>
  <conditionalFormatting sqref="D180">
    <cfRule type="cellIs" dxfId="41" priority="24" operator="equal">
      <formula>"ĐẠT"</formula>
    </cfRule>
    <cfRule type="cellIs" dxfId="40" priority="25" operator="equal">
      <formula>"KHÔNG ĐẠT"</formula>
    </cfRule>
  </conditionalFormatting>
  <conditionalFormatting sqref="D195">
    <cfRule type="cellIs" dxfId="39" priority="26" operator="equal">
      <formula>"ĐẠT"</formula>
    </cfRule>
    <cfRule type="cellIs" dxfId="38" priority="27" operator="equal">
      <formula>"KHÔNG ĐẠT"</formula>
    </cfRule>
  </conditionalFormatting>
  <conditionalFormatting sqref="D198">
    <cfRule type="cellIs" dxfId="37" priority="28" operator="equal">
      <formula>"ĐẠT"</formula>
    </cfRule>
    <cfRule type="cellIs" dxfId="36" priority="29" operator="equal">
      <formula>"KHÔNG ĐẠT"</formula>
    </cfRule>
  </conditionalFormatting>
  <conditionalFormatting sqref="D202">
    <cfRule type="cellIs" dxfId="35" priority="30" operator="equal">
      <formula>"ĐẠT"</formula>
    </cfRule>
    <cfRule type="cellIs" dxfId="34" priority="31" operator="equal">
      <formula>"KHÔNG ĐẠT"</formula>
    </cfRule>
  </conditionalFormatting>
  <conditionalFormatting sqref="D208">
    <cfRule type="cellIs" dxfId="33" priority="32" operator="equal">
      <formula>"ĐẠT"</formula>
    </cfRule>
    <cfRule type="cellIs" dxfId="32" priority="33" operator="equal">
      <formula>"KHÔNG ĐẠT"</formula>
    </cfRule>
  </conditionalFormatting>
  <conditionalFormatting sqref="D214">
    <cfRule type="cellIs" dxfId="31" priority="34" operator="equal">
      <formula>"ĐẠT"</formula>
    </cfRule>
    <cfRule type="cellIs" dxfId="30" priority="35" operator="equal">
      <formula>"KHÔNG ĐẠT"</formula>
    </cfRule>
  </conditionalFormatting>
  <conditionalFormatting sqref="D217">
    <cfRule type="cellIs" dxfId="29" priority="36" operator="equal">
      <formula>"ĐẠT"</formula>
    </cfRule>
    <cfRule type="cellIs" dxfId="28" priority="37" operator="equal">
      <formula>"KHÔNG ĐẠT"</formula>
    </cfRule>
  </conditionalFormatting>
  <conditionalFormatting sqref="D219">
    <cfRule type="cellIs" dxfId="27" priority="38" operator="equal">
      <formula>"ĐẠT"</formula>
    </cfRule>
    <cfRule type="cellIs" dxfId="26" priority="39" operator="equal">
      <formula>"KHÔNG ĐẠT"</formula>
    </cfRule>
  </conditionalFormatting>
  <conditionalFormatting sqref="D233">
    <cfRule type="cellIs" dxfId="25" priority="40" operator="equal">
      <formula>"ĐẠT"</formula>
    </cfRule>
    <cfRule type="cellIs" dxfId="24" priority="41" operator="equal">
      <formula>"KHÔNG ĐẠT"</formula>
    </cfRule>
  </conditionalFormatting>
  <conditionalFormatting sqref="D287">
    <cfRule type="cellIs" dxfId="23" priority="48" operator="equal">
      <formula>"ĐẠT"</formula>
    </cfRule>
    <cfRule type="cellIs" dxfId="22" priority="49" operator="equal">
      <formula>"KHÔNG ĐẠT"</formula>
    </cfRule>
  </conditionalFormatting>
  <conditionalFormatting sqref="F257">
    <cfRule type="cellIs" dxfId="21" priority="42" operator="equal">
      <formula>"ĐẠT"</formula>
    </cfRule>
    <cfRule type="cellIs" dxfId="20" priority="43" operator="equal">
      <formula>"KHÔNG ĐẠT"</formula>
    </cfRule>
  </conditionalFormatting>
  <conditionalFormatting sqref="F267">
    <cfRule type="cellIs" dxfId="19" priority="44" operator="equal">
      <formula>"ĐẠT"</formula>
    </cfRule>
    <cfRule type="cellIs" dxfId="18" priority="45" operator="equal">
      <formula>"KHÔNG ĐẠT"</formula>
    </cfRule>
  </conditionalFormatting>
  <conditionalFormatting sqref="F279">
    <cfRule type="cellIs" dxfId="17" priority="46" operator="equal">
      <formula>"ĐẠT"</formula>
    </cfRule>
    <cfRule type="cellIs" dxfId="16" priority="47" operator="equal">
      <formula>"KHÔNG ĐẠT"</formula>
    </cfRule>
  </conditionalFormatting>
  <conditionalFormatting sqref="I292:J293">
    <cfRule type="cellIs" dxfId="15" priority="50" operator="equal">
      <formula>"ĐẠT"</formula>
    </cfRule>
    <cfRule type="cellIs" dxfId="14" priority="51" operator="equal">
      <formula>"KHÔNG ĐẠT"</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N98"/>
  <sheetViews>
    <sheetView showGridLines="0" workbookViewId="0">
      <selection activeCell="E109" sqref="E109"/>
    </sheetView>
  </sheetViews>
  <sheetFormatPr defaultRowHeight="14.4" x14ac:dyDescent="0.3"/>
  <cols>
    <col min="1" max="1" width="12" customWidth="1"/>
    <col min="2" max="2" width="10" customWidth="1"/>
    <col min="3" max="14" width="13" customWidth="1"/>
  </cols>
  <sheetData>
    <row r="1" spans="1:14" ht="28.05" customHeight="1" x14ac:dyDescent="0.3">
      <c r="A1" s="146" t="s">
        <v>1204</v>
      </c>
      <c r="B1" s="146"/>
      <c r="C1" s="146"/>
      <c r="D1" s="146"/>
      <c r="E1" s="146"/>
      <c r="F1" s="146"/>
      <c r="G1" s="146"/>
      <c r="H1" s="146"/>
      <c r="I1" s="146"/>
      <c r="J1" s="146"/>
      <c r="K1" s="146"/>
      <c r="L1" s="146"/>
      <c r="M1" s="146"/>
      <c r="N1" s="146"/>
    </row>
    <row r="2" spans="1:14" ht="34.049999999999997" customHeight="1" x14ac:dyDescent="0.3">
      <c r="A2" s="147" t="s">
        <v>1205</v>
      </c>
      <c r="B2" s="147"/>
      <c r="C2" s="147"/>
      <c r="D2" s="147"/>
      <c r="E2" s="147"/>
      <c r="F2" s="147"/>
      <c r="G2" s="147"/>
      <c r="H2" s="147"/>
      <c r="I2" s="147"/>
      <c r="J2" s="147"/>
      <c r="K2" s="147"/>
      <c r="L2" s="147"/>
      <c r="M2" s="147"/>
      <c r="N2" s="147"/>
    </row>
    <row r="3" spans="1:14" x14ac:dyDescent="0.3">
      <c r="A3" s="41"/>
      <c r="B3" s="41"/>
      <c r="C3" s="41"/>
      <c r="D3" s="41"/>
      <c r="E3" s="41"/>
      <c r="F3" s="41"/>
      <c r="G3" s="41"/>
      <c r="H3" s="41"/>
      <c r="I3" s="41"/>
      <c r="J3" s="41"/>
      <c r="K3" s="41"/>
      <c r="L3" s="41"/>
      <c r="M3" s="41"/>
      <c r="N3" s="41"/>
    </row>
    <row r="4" spans="1:14" ht="22.05" customHeight="1" x14ac:dyDescent="0.3">
      <c r="A4" s="148" t="s">
        <v>1206</v>
      </c>
      <c r="B4" s="148"/>
      <c r="C4" s="148"/>
      <c r="D4" s="148"/>
      <c r="E4" s="148"/>
      <c r="F4" s="148"/>
      <c r="G4" s="148"/>
      <c r="H4" s="148"/>
      <c r="I4" s="148"/>
      <c r="J4" s="148"/>
      <c r="K4" s="148"/>
      <c r="L4" s="148"/>
      <c r="M4" s="148"/>
      <c r="N4" s="148"/>
    </row>
    <row r="5" spans="1:14" x14ac:dyDescent="0.3">
      <c r="A5" s="42" t="s">
        <v>1207</v>
      </c>
      <c r="B5" s="42" t="s">
        <v>1208</v>
      </c>
      <c r="C5" s="42" t="s">
        <v>1209</v>
      </c>
      <c r="D5" s="42" t="s">
        <v>1053</v>
      </c>
      <c r="E5" s="42" t="s">
        <v>1210</v>
      </c>
      <c r="F5" s="42" t="s">
        <v>1072</v>
      </c>
      <c r="G5" s="41"/>
      <c r="H5" s="42" t="s">
        <v>1211</v>
      </c>
      <c r="I5" s="42" t="s">
        <v>1212</v>
      </c>
      <c r="J5" s="42" t="s">
        <v>1053</v>
      </c>
      <c r="K5" s="42" t="s">
        <v>1210</v>
      </c>
      <c r="L5" s="41"/>
      <c r="M5" s="41"/>
      <c r="N5" s="41"/>
    </row>
    <row r="6" spans="1:14" x14ac:dyDescent="0.3">
      <c r="A6" s="42" t="s">
        <v>1213</v>
      </c>
      <c r="B6" s="40">
        <f>xm_nT</f>
        <v>10</v>
      </c>
      <c r="C6" s="40">
        <f>xm_nP</f>
        <v>10</v>
      </c>
      <c r="D6" s="42" t="s">
        <v>148</v>
      </c>
      <c r="E6" s="42" t="s">
        <v>1214</v>
      </c>
      <c r="F6" s="42" t="str">
        <f>IF(AND(xm_nT&gt;=1,xm_nT&lt;=40,INT(xm_nT)=xm_nT,xm_nP&gt;=1,xm_nP&lt;=40,INT(xm_nP)=xm_nP),"ĐẠT","KHÔNG ĐẠT — n ngoài 1…40")</f>
        <v>ĐẠT</v>
      </c>
      <c r="G6" s="41"/>
      <c r="H6" s="42" t="s">
        <v>1215</v>
      </c>
      <c r="I6" s="44">
        <f>SUMPRODUCT(G15:G94,E15:E94)</f>
        <v>19134.489000000001</v>
      </c>
      <c r="J6" s="42" t="s">
        <v>813</v>
      </c>
      <c r="K6" s="42" t="s">
        <v>1216</v>
      </c>
      <c r="L6" s="41"/>
      <c r="M6" s="41"/>
      <c r="N6" s="41"/>
    </row>
    <row r="7" spans="1:14" ht="28.8" x14ac:dyDescent="0.3">
      <c r="A7" s="42" t="s">
        <v>1217</v>
      </c>
      <c r="B7" s="40" t="str">
        <f>xm_sT&amp;" / "&amp;xm_y0T</f>
        <v>2.35 / 0</v>
      </c>
      <c r="C7" s="40" t="str">
        <f>xm_sP&amp;" / "&amp;xm_y0P</f>
        <v>2.35 / 0</v>
      </c>
      <c r="D7" s="42" t="s">
        <v>44</v>
      </c>
      <c r="E7" s="42" t="s">
        <v>1214</v>
      </c>
      <c r="F7" s="42" t="str">
        <f>IF(AND(xm_sT&gt;0,xm_sP&gt;0),"ĐẠT","KHÔNG ĐẠT — bước gối ≤0")</f>
        <v>ĐẠT</v>
      </c>
      <c r="G7" s="41"/>
      <c r="H7" s="42" t="s">
        <v>1218</v>
      </c>
      <c r="I7" s="44">
        <f>SUMPRODUCT(H15:H94,E15:E94)</f>
        <v>1952.7553500000004</v>
      </c>
      <c r="J7" s="42" t="s">
        <v>813</v>
      </c>
      <c r="K7" s="42" t="s">
        <v>1216</v>
      </c>
      <c r="L7" s="41"/>
      <c r="M7" s="41"/>
      <c r="N7" s="41"/>
    </row>
    <row r="8" spans="1:14" ht="43.2" x14ac:dyDescent="0.3">
      <c r="A8" s="42" t="s">
        <v>1219</v>
      </c>
      <c r="B8" s="40">
        <f>IF(RDC1_+RDC2_=0,0.5,RDC1_/(RDC1_+RDC2_))</f>
        <v>0.5</v>
      </c>
      <c r="C8" s="40">
        <f>IF(RDC1_+RDC2_=0,0.5,RDC2_/(RDC1_+RDC2_))</f>
        <v>0.5</v>
      </c>
      <c r="D8" s="42" t="s">
        <v>395</v>
      </c>
      <c r="E8" s="42" t="s">
        <v>1220</v>
      </c>
      <c r="F8" s="42"/>
      <c r="G8" s="41"/>
      <c r="H8" s="42" t="s">
        <v>1221</v>
      </c>
      <c r="I8" s="44">
        <f>SUMPRODUCT(G15:G94,F15:F94)+Vxm*gcbt/Lxm*(Lxm/2-'XA MU'!$C$8)</f>
        <v>5968.6405024769992</v>
      </c>
      <c r="J8" s="42" t="s">
        <v>72</v>
      </c>
      <c r="K8" s="42" t="s">
        <v>1216</v>
      </c>
      <c r="L8" s="41"/>
      <c r="M8" s="41"/>
      <c r="N8" s="41"/>
    </row>
    <row r="9" spans="1:14" x14ac:dyDescent="0.3">
      <c r="A9" s="41"/>
      <c r="B9" s="41"/>
      <c r="C9" s="41"/>
      <c r="D9" s="41"/>
      <c r="E9" s="41"/>
      <c r="F9" s="41"/>
      <c r="G9" s="41"/>
      <c r="H9" s="42" t="s">
        <v>1222</v>
      </c>
      <c r="I9" s="44">
        <f>SUMPRODUCT(H15:H94,F15:F94)</f>
        <v>547.50150000000019</v>
      </c>
      <c r="J9" s="42" t="s">
        <v>72</v>
      </c>
      <c r="K9" s="42" t="s">
        <v>1216</v>
      </c>
      <c r="L9" s="41"/>
      <c r="M9" s="41"/>
      <c r="N9" s="41"/>
    </row>
    <row r="10" spans="1:14" x14ac:dyDescent="0.3">
      <c r="A10" s="41"/>
      <c r="B10" s="41"/>
      <c r="C10" s="41"/>
      <c r="D10" s="41"/>
      <c r="E10" s="41"/>
      <c r="F10" s="41"/>
      <c r="G10" s="41"/>
      <c r="H10" s="42" t="s">
        <v>1223</v>
      </c>
      <c r="I10" s="44">
        <f>MAX(B97:G97)</f>
        <v>8979.4644411063819</v>
      </c>
      <c r="J10" s="42">
        <f>MATCH(I10,B97:G97,0)</f>
        <v>2</v>
      </c>
      <c r="K10" s="42" t="s">
        <v>1224</v>
      </c>
      <c r="L10" s="41"/>
      <c r="M10" s="41"/>
      <c r="N10" s="41"/>
    </row>
    <row r="11" spans="1:14" ht="28.8" x14ac:dyDescent="0.3">
      <c r="A11" s="41"/>
      <c r="B11" s="41"/>
      <c r="C11" s="41"/>
      <c r="D11" s="41"/>
      <c r="E11" s="41"/>
      <c r="F11" s="41"/>
      <c r="G11" s="41"/>
      <c r="H11" s="42" t="s">
        <v>1225</v>
      </c>
      <c r="I11" s="44">
        <f>IF(J10=1,B98,IF(J10=2,C98,IF(J10=3,D98,IF(J10=4,E98,IF(J10=5,F98,G98)))))</f>
        <v>1954.2702025531917</v>
      </c>
      <c r="J11" s="42" t="s">
        <v>72</v>
      </c>
      <c r="K11" s="42" t="s">
        <v>1226</v>
      </c>
      <c r="L11" s="41"/>
      <c r="M11" s="41"/>
      <c r="N11" s="41"/>
    </row>
    <row r="12" spans="1:14" x14ac:dyDescent="0.3">
      <c r="A12" s="41"/>
      <c r="B12" s="41"/>
      <c r="C12" s="41"/>
      <c r="D12" s="41"/>
      <c r="E12" s="41"/>
      <c r="F12" s="41"/>
      <c r="G12" s="41"/>
      <c r="H12" s="41" t="s">
        <v>1227</v>
      </c>
      <c r="I12" s="41">
        <f>IFERROR(SMALL(E15:E94,COUNTIF(E15:E94,0)+1),0)</f>
        <v>4.1666666666666963E-2</v>
      </c>
      <c r="J12" s="41" t="s">
        <v>44</v>
      </c>
      <c r="K12" s="41"/>
      <c r="L12" s="41"/>
      <c r="M12" s="41"/>
      <c r="N12" s="41"/>
    </row>
    <row r="13" spans="1:14" ht="22.05" customHeight="1" x14ac:dyDescent="0.3">
      <c r="A13" s="148" t="s">
        <v>1228</v>
      </c>
      <c r="B13" s="148"/>
      <c r="C13" s="148"/>
      <c r="D13" s="148"/>
      <c r="E13" s="148"/>
      <c r="F13" s="148"/>
      <c r="G13" s="148"/>
      <c r="H13" s="148"/>
      <c r="I13" s="148"/>
      <c r="J13" s="148"/>
      <c r="K13" s="148"/>
      <c r="L13" s="148"/>
      <c r="M13" s="148"/>
      <c r="N13" s="148"/>
    </row>
    <row r="14" spans="1:14" x14ac:dyDescent="0.3">
      <c r="A14" s="36" t="s">
        <v>284</v>
      </c>
      <c r="B14" s="36" t="s">
        <v>1229</v>
      </c>
      <c r="C14" s="36" t="s">
        <v>1230</v>
      </c>
      <c r="D14" s="36" t="s">
        <v>791</v>
      </c>
      <c r="E14" s="36" t="s">
        <v>1231</v>
      </c>
      <c r="F14" s="36" t="s">
        <v>1232</v>
      </c>
      <c r="G14" s="36" t="s">
        <v>1233</v>
      </c>
      <c r="H14" s="36" t="s">
        <v>1234</v>
      </c>
      <c r="I14" s="36" t="s">
        <v>804</v>
      </c>
      <c r="J14" s="36" t="s">
        <v>805</v>
      </c>
      <c r="K14" s="36" t="s">
        <v>806</v>
      </c>
      <c r="L14" s="36" t="s">
        <v>807</v>
      </c>
      <c r="M14" s="36" t="s">
        <v>808</v>
      </c>
      <c r="N14" s="36" t="s">
        <v>809</v>
      </c>
    </row>
    <row r="15" spans="1:14" x14ac:dyDescent="0.3">
      <c r="A15" s="42" t="s">
        <v>1235</v>
      </c>
      <c r="B15" s="42">
        <v>1</v>
      </c>
      <c r="C15" s="40">
        <f t="shared" ref="C15:C54" si="0">IF(B15&lt;=xm_nT,1,0)</f>
        <v>1</v>
      </c>
      <c r="D15" s="44">
        <f t="shared" ref="D15:D54" si="1">IF(C15=1,xm_y0T+(B15-(xm_nT+1)/2)*xm_sT,0)</f>
        <v>-10.575000000000001</v>
      </c>
      <c r="E15" s="44">
        <f>MAX(0,D15-'XA MU'!$C$8)*C15</f>
        <v>0</v>
      </c>
      <c r="F15" s="44">
        <f>IF(AND(C15=1,D15&gt;'XA MU'!$C$8),1,0)</f>
        <v>0</v>
      </c>
      <c r="G15" s="44">
        <f t="shared" ref="G15:G54" si="2">IF(C15=1,RDC1_/xm_nT,0)</f>
        <v>670.60125000000005</v>
      </c>
      <c r="H15" s="44">
        <f t="shared" ref="H15:H54" si="3">IF(C15=1,RDW1_/xm_nT,0)</f>
        <v>68.43768750000001</v>
      </c>
      <c r="I15" s="44">
        <f>IF(C15=0,0,IF(1&gt;nLan,0,1.2*(IF('XA MU'!$B$25&lt;=1,'XA MU'!$E$25*$B$8*(MAX(0,1-ABS('XA MU'!$C$25-$D15)/xm_sT)+MAX(0,1-ABS('XA MU'!$D$25-$D15)/xm_sT)),0)+IF(ABS($D15-(xm_y0T+(xm_nT-1)/2*xm_sT))&lt;0.000001,IF('XA MU'!$B$25&lt;=1,'XA MU'!$E$25*$B$8*(IF('XA MU'!$C$25&gt;(xm_y0T+(xm_nT-1)/2*xm_sT),2*('XA MU'!$C$25-(xm_y0T+(xm_nT-1)/2*xm_sT))/xm_sT,0)+IF('XA MU'!$D$25&gt;(xm_y0T+(xm_nT-1)/2*xm_sT),2*('XA MU'!$D$25-(xm_y0T+(xm_nT-1)/2*xm_sT))/xm_sT,0)),0),0)+IF('XA MU'!$B$26&lt;=1,'XA MU'!$E$26*$B$8*(MAX(0,1-ABS('XA MU'!$C$26-$D15)/xm_sT)+MAX(0,1-ABS('XA MU'!$D$26-$D15)/xm_sT)),0)+IF(ABS($D15-(xm_y0T+(xm_nT-1)/2*xm_sT))&lt;0.000001,IF('XA MU'!$B$26&lt;=1,'XA MU'!$E$26*$B$8*(IF('XA MU'!$C$26&gt;(xm_y0T+(xm_nT-1)/2*xm_sT),2*('XA MU'!$C$26-(xm_y0T+(xm_nT-1)/2*xm_sT))/xm_sT,0)+IF('XA MU'!$D$26&gt;(xm_y0T+(xm_nT-1)/2*xm_sT),2*('XA MU'!$D$26-(xm_y0T+(xm_nT-1)/2*xm_sT))/xm_sT,0)),0),0)+IF('XA MU'!$B$27&lt;=1,'XA MU'!$E$27*$B$8*(MAX(0,1-ABS('XA MU'!$C$27-$D15)/xm_sT)+MAX(0,1-ABS('XA MU'!$D$27-$D15)/xm_sT)),0)+IF(ABS($D15-(xm_y0T+(xm_nT-1)/2*xm_sT))&lt;0.000001,IF('XA MU'!$B$27&lt;=1,'XA MU'!$E$27*$B$8*(IF('XA MU'!$C$27&gt;(xm_y0T+(xm_nT-1)/2*xm_sT),2*('XA MU'!$C$27-(xm_y0T+(xm_nT-1)/2*xm_sT))/xm_sT,0)+IF('XA MU'!$D$27&gt;(xm_y0T+(xm_nT-1)/2*xm_sT),2*('XA MU'!$D$27-(xm_y0T+(xm_nT-1)/2*xm_sT))/xm_sT,0)),0),0)+IF('XA MU'!$B$28&lt;=1,'XA MU'!$E$28*$B$8*(MAX(0,1-ABS('XA MU'!$C$28-$D15)/xm_sT)+MAX(0,1-ABS('XA MU'!$D$28-$D15)/xm_sT)),0)+IF(ABS($D15-(xm_y0T+(xm_nT-1)/2*xm_sT))&lt;0.000001,IF('XA MU'!$B$28&lt;=1,'XA MU'!$E$28*$B$8*(IF('XA MU'!$C$28&gt;(xm_y0T+(xm_nT-1)/2*xm_sT),2*('XA MU'!$C$28-(xm_y0T+(xm_nT-1)/2*xm_sT))/xm_sT,0)+IF('XA MU'!$D$28&gt;(xm_y0T+(xm_nT-1)/2*xm_sT),2*('XA MU'!$D$28-(xm_y0T+(xm_nT-1)/2*xm_sT))/xm_sT,0)),0),0)+IF('XA MU'!$B$29&lt;=1,'XA MU'!$E$29*$B$8*(MAX(0,1-ABS('XA MU'!$C$29-$D15)/xm_sT)+MAX(0,1-ABS('XA MU'!$D$29-$D15)/xm_sT)),0)+IF(ABS($D15-(xm_y0T+(xm_nT-1)/2*xm_sT))&lt;0.000001,IF('XA MU'!$B$29&lt;=1,'XA MU'!$E$29*$B$8*(IF('XA MU'!$C$29&gt;(xm_y0T+(xm_nT-1)/2*xm_sT),2*('XA MU'!$C$29-(xm_y0T+(xm_nT-1)/2*xm_sT))/xm_sT,0)+IF('XA MU'!$D$29&gt;(xm_y0T+(xm_nT-1)/2*xm_sT),2*('XA MU'!$D$29-(xm_y0T+(xm_nT-1)/2*xm_sT))/xm_sT,0)),0),0)+IF('XA MU'!$B$30&lt;=1,'XA MU'!$E$30*$B$8*(MAX(0,1-ABS('XA MU'!$C$30-$D15)/xm_sT)+MAX(0,1-ABS('XA MU'!$D$30-$D15)/xm_sT)),0)+IF(ABS($D15-(xm_y0T+(xm_nT-1)/2*xm_sT))&lt;0.000001,IF('XA MU'!$B$30&lt;=1,'XA MU'!$E$30*$B$8*(IF('XA MU'!$C$30&gt;(xm_y0T+(xm_nT-1)/2*xm_sT),2*('XA MU'!$C$30-(xm_y0T+(xm_nT-1)/2*xm_sT))/xm_sT,0)+IF('XA MU'!$D$30&gt;(xm_y0T+(xm_nT-1)/2*xm_sT),2*('XA MU'!$D$30-(xm_y0T+(xm_nT-1)/2*xm_sT))/xm_sT,0)),0),0))))</f>
        <v>0</v>
      </c>
      <c r="J15" s="44">
        <f>IF(C15=0,0,IF(2&gt;nLan,0,1*(IF('XA MU'!$B$25&lt;=2,'XA MU'!$E$25*$B$8*(MAX(0,1-ABS('XA MU'!$C$25-$D15)/xm_sT)+MAX(0,1-ABS('XA MU'!$D$25-$D15)/xm_sT)),0)+IF(ABS($D15-(xm_y0T+(xm_nT-1)/2*xm_sT))&lt;0.000001,IF('XA MU'!$B$25&lt;=2,'XA MU'!$E$25*$B$8*(IF('XA MU'!$C$25&gt;(xm_y0T+(xm_nT-1)/2*xm_sT),2*('XA MU'!$C$25-(xm_y0T+(xm_nT-1)/2*xm_sT))/xm_sT,0)+IF('XA MU'!$D$25&gt;(xm_y0T+(xm_nT-1)/2*xm_sT),2*('XA MU'!$D$25-(xm_y0T+(xm_nT-1)/2*xm_sT))/xm_sT,0)),0),0)+IF('XA MU'!$B$26&lt;=2,'XA MU'!$E$26*$B$8*(MAX(0,1-ABS('XA MU'!$C$26-$D15)/xm_sT)+MAX(0,1-ABS('XA MU'!$D$26-$D15)/xm_sT)),0)+IF(ABS($D15-(xm_y0T+(xm_nT-1)/2*xm_sT))&lt;0.000001,IF('XA MU'!$B$26&lt;=2,'XA MU'!$E$26*$B$8*(IF('XA MU'!$C$26&gt;(xm_y0T+(xm_nT-1)/2*xm_sT),2*('XA MU'!$C$26-(xm_y0T+(xm_nT-1)/2*xm_sT))/xm_sT,0)+IF('XA MU'!$D$26&gt;(xm_y0T+(xm_nT-1)/2*xm_sT),2*('XA MU'!$D$26-(xm_y0T+(xm_nT-1)/2*xm_sT))/xm_sT,0)),0),0)+IF('XA MU'!$B$27&lt;=2,'XA MU'!$E$27*$B$8*(MAX(0,1-ABS('XA MU'!$C$27-$D15)/xm_sT)+MAX(0,1-ABS('XA MU'!$D$27-$D15)/xm_sT)),0)+IF(ABS($D15-(xm_y0T+(xm_nT-1)/2*xm_sT))&lt;0.000001,IF('XA MU'!$B$27&lt;=2,'XA MU'!$E$27*$B$8*(IF('XA MU'!$C$27&gt;(xm_y0T+(xm_nT-1)/2*xm_sT),2*('XA MU'!$C$27-(xm_y0T+(xm_nT-1)/2*xm_sT))/xm_sT,0)+IF('XA MU'!$D$27&gt;(xm_y0T+(xm_nT-1)/2*xm_sT),2*('XA MU'!$D$27-(xm_y0T+(xm_nT-1)/2*xm_sT))/xm_sT,0)),0),0)+IF('XA MU'!$B$28&lt;=2,'XA MU'!$E$28*$B$8*(MAX(0,1-ABS('XA MU'!$C$28-$D15)/xm_sT)+MAX(0,1-ABS('XA MU'!$D$28-$D15)/xm_sT)),0)+IF(ABS($D15-(xm_y0T+(xm_nT-1)/2*xm_sT))&lt;0.000001,IF('XA MU'!$B$28&lt;=2,'XA MU'!$E$28*$B$8*(IF('XA MU'!$C$28&gt;(xm_y0T+(xm_nT-1)/2*xm_sT),2*('XA MU'!$C$28-(xm_y0T+(xm_nT-1)/2*xm_sT))/xm_sT,0)+IF('XA MU'!$D$28&gt;(xm_y0T+(xm_nT-1)/2*xm_sT),2*('XA MU'!$D$28-(xm_y0T+(xm_nT-1)/2*xm_sT))/xm_sT,0)),0),0)+IF('XA MU'!$B$29&lt;=2,'XA MU'!$E$29*$B$8*(MAX(0,1-ABS('XA MU'!$C$29-$D15)/xm_sT)+MAX(0,1-ABS('XA MU'!$D$29-$D15)/xm_sT)),0)+IF(ABS($D15-(xm_y0T+(xm_nT-1)/2*xm_sT))&lt;0.000001,IF('XA MU'!$B$29&lt;=2,'XA MU'!$E$29*$B$8*(IF('XA MU'!$C$29&gt;(xm_y0T+(xm_nT-1)/2*xm_sT),2*('XA MU'!$C$29-(xm_y0T+(xm_nT-1)/2*xm_sT))/xm_sT,0)+IF('XA MU'!$D$29&gt;(xm_y0T+(xm_nT-1)/2*xm_sT),2*('XA MU'!$D$29-(xm_y0T+(xm_nT-1)/2*xm_sT))/xm_sT,0)),0),0)+IF('XA MU'!$B$30&lt;=2,'XA MU'!$E$30*$B$8*(MAX(0,1-ABS('XA MU'!$C$30-$D15)/xm_sT)+MAX(0,1-ABS('XA MU'!$D$30-$D15)/xm_sT)),0)+IF(ABS($D15-(xm_y0T+(xm_nT-1)/2*xm_sT))&lt;0.000001,IF('XA MU'!$B$30&lt;=2,'XA MU'!$E$30*$B$8*(IF('XA MU'!$C$30&gt;(xm_y0T+(xm_nT-1)/2*xm_sT),2*('XA MU'!$C$30-(xm_y0T+(xm_nT-1)/2*xm_sT))/xm_sT,0)+IF('XA MU'!$D$30&gt;(xm_y0T+(xm_nT-1)/2*xm_sT),2*('XA MU'!$D$30-(xm_y0T+(xm_nT-1)/2*xm_sT))/xm_sT,0)),0),0))))</f>
        <v>0</v>
      </c>
      <c r="K15" s="44">
        <f>IF(C15=0,0,IF(3&gt;nLan,0,0.85*(IF('XA MU'!$B$25&lt;=3,'XA MU'!$E$25*$B$8*(MAX(0,1-ABS('XA MU'!$C$25-$D15)/xm_sT)+MAX(0,1-ABS('XA MU'!$D$25-$D15)/xm_sT)),0)+IF(ABS($D15-(xm_y0T+(xm_nT-1)/2*xm_sT))&lt;0.000001,IF('XA MU'!$B$25&lt;=3,'XA MU'!$E$25*$B$8*(IF('XA MU'!$C$25&gt;(xm_y0T+(xm_nT-1)/2*xm_sT),2*('XA MU'!$C$25-(xm_y0T+(xm_nT-1)/2*xm_sT))/xm_sT,0)+IF('XA MU'!$D$25&gt;(xm_y0T+(xm_nT-1)/2*xm_sT),2*('XA MU'!$D$25-(xm_y0T+(xm_nT-1)/2*xm_sT))/xm_sT,0)),0),0)+IF('XA MU'!$B$26&lt;=3,'XA MU'!$E$26*$B$8*(MAX(0,1-ABS('XA MU'!$C$26-$D15)/xm_sT)+MAX(0,1-ABS('XA MU'!$D$26-$D15)/xm_sT)),0)+IF(ABS($D15-(xm_y0T+(xm_nT-1)/2*xm_sT))&lt;0.000001,IF('XA MU'!$B$26&lt;=3,'XA MU'!$E$26*$B$8*(IF('XA MU'!$C$26&gt;(xm_y0T+(xm_nT-1)/2*xm_sT),2*('XA MU'!$C$26-(xm_y0T+(xm_nT-1)/2*xm_sT))/xm_sT,0)+IF('XA MU'!$D$26&gt;(xm_y0T+(xm_nT-1)/2*xm_sT),2*('XA MU'!$D$26-(xm_y0T+(xm_nT-1)/2*xm_sT))/xm_sT,0)),0),0)+IF('XA MU'!$B$27&lt;=3,'XA MU'!$E$27*$B$8*(MAX(0,1-ABS('XA MU'!$C$27-$D15)/xm_sT)+MAX(0,1-ABS('XA MU'!$D$27-$D15)/xm_sT)),0)+IF(ABS($D15-(xm_y0T+(xm_nT-1)/2*xm_sT))&lt;0.000001,IF('XA MU'!$B$27&lt;=3,'XA MU'!$E$27*$B$8*(IF('XA MU'!$C$27&gt;(xm_y0T+(xm_nT-1)/2*xm_sT),2*('XA MU'!$C$27-(xm_y0T+(xm_nT-1)/2*xm_sT))/xm_sT,0)+IF('XA MU'!$D$27&gt;(xm_y0T+(xm_nT-1)/2*xm_sT),2*('XA MU'!$D$27-(xm_y0T+(xm_nT-1)/2*xm_sT))/xm_sT,0)),0),0)+IF('XA MU'!$B$28&lt;=3,'XA MU'!$E$28*$B$8*(MAX(0,1-ABS('XA MU'!$C$28-$D15)/xm_sT)+MAX(0,1-ABS('XA MU'!$D$28-$D15)/xm_sT)),0)+IF(ABS($D15-(xm_y0T+(xm_nT-1)/2*xm_sT))&lt;0.000001,IF('XA MU'!$B$28&lt;=3,'XA MU'!$E$28*$B$8*(IF('XA MU'!$C$28&gt;(xm_y0T+(xm_nT-1)/2*xm_sT),2*('XA MU'!$C$28-(xm_y0T+(xm_nT-1)/2*xm_sT))/xm_sT,0)+IF('XA MU'!$D$28&gt;(xm_y0T+(xm_nT-1)/2*xm_sT),2*('XA MU'!$D$28-(xm_y0T+(xm_nT-1)/2*xm_sT))/xm_sT,0)),0),0)+IF('XA MU'!$B$29&lt;=3,'XA MU'!$E$29*$B$8*(MAX(0,1-ABS('XA MU'!$C$29-$D15)/xm_sT)+MAX(0,1-ABS('XA MU'!$D$29-$D15)/xm_sT)),0)+IF(ABS($D15-(xm_y0T+(xm_nT-1)/2*xm_sT))&lt;0.000001,IF('XA MU'!$B$29&lt;=3,'XA MU'!$E$29*$B$8*(IF('XA MU'!$C$29&gt;(xm_y0T+(xm_nT-1)/2*xm_sT),2*('XA MU'!$C$29-(xm_y0T+(xm_nT-1)/2*xm_sT))/xm_sT,0)+IF('XA MU'!$D$29&gt;(xm_y0T+(xm_nT-1)/2*xm_sT),2*('XA MU'!$D$29-(xm_y0T+(xm_nT-1)/2*xm_sT))/xm_sT,0)),0),0)+IF('XA MU'!$B$30&lt;=3,'XA MU'!$E$30*$B$8*(MAX(0,1-ABS('XA MU'!$C$30-$D15)/xm_sT)+MAX(0,1-ABS('XA MU'!$D$30-$D15)/xm_sT)),0)+IF(ABS($D15-(xm_y0T+(xm_nT-1)/2*xm_sT))&lt;0.000001,IF('XA MU'!$B$30&lt;=3,'XA MU'!$E$30*$B$8*(IF('XA MU'!$C$30&gt;(xm_y0T+(xm_nT-1)/2*xm_sT),2*('XA MU'!$C$30-(xm_y0T+(xm_nT-1)/2*xm_sT))/xm_sT,0)+IF('XA MU'!$D$30&gt;(xm_y0T+(xm_nT-1)/2*xm_sT),2*('XA MU'!$D$30-(xm_y0T+(xm_nT-1)/2*xm_sT))/xm_sT,0)),0),0))))</f>
        <v>0</v>
      </c>
      <c r="L15" s="44">
        <f>IF(C15=0,0,IF(4&gt;nLan,0,0.65*(IF('XA MU'!$B$25&lt;=4,'XA MU'!$E$25*$B$8*(MAX(0,1-ABS('XA MU'!$C$25-$D15)/xm_sT)+MAX(0,1-ABS('XA MU'!$D$25-$D15)/xm_sT)),0)+IF(ABS($D15-(xm_y0T+(xm_nT-1)/2*xm_sT))&lt;0.000001,IF('XA MU'!$B$25&lt;=4,'XA MU'!$E$25*$B$8*(IF('XA MU'!$C$25&gt;(xm_y0T+(xm_nT-1)/2*xm_sT),2*('XA MU'!$C$25-(xm_y0T+(xm_nT-1)/2*xm_sT))/xm_sT,0)+IF('XA MU'!$D$25&gt;(xm_y0T+(xm_nT-1)/2*xm_sT),2*('XA MU'!$D$25-(xm_y0T+(xm_nT-1)/2*xm_sT))/xm_sT,0)),0),0)+IF('XA MU'!$B$26&lt;=4,'XA MU'!$E$26*$B$8*(MAX(0,1-ABS('XA MU'!$C$26-$D15)/xm_sT)+MAX(0,1-ABS('XA MU'!$D$26-$D15)/xm_sT)),0)+IF(ABS($D15-(xm_y0T+(xm_nT-1)/2*xm_sT))&lt;0.000001,IF('XA MU'!$B$26&lt;=4,'XA MU'!$E$26*$B$8*(IF('XA MU'!$C$26&gt;(xm_y0T+(xm_nT-1)/2*xm_sT),2*('XA MU'!$C$26-(xm_y0T+(xm_nT-1)/2*xm_sT))/xm_sT,0)+IF('XA MU'!$D$26&gt;(xm_y0T+(xm_nT-1)/2*xm_sT),2*('XA MU'!$D$26-(xm_y0T+(xm_nT-1)/2*xm_sT))/xm_sT,0)),0),0)+IF('XA MU'!$B$27&lt;=4,'XA MU'!$E$27*$B$8*(MAX(0,1-ABS('XA MU'!$C$27-$D15)/xm_sT)+MAX(0,1-ABS('XA MU'!$D$27-$D15)/xm_sT)),0)+IF(ABS($D15-(xm_y0T+(xm_nT-1)/2*xm_sT))&lt;0.000001,IF('XA MU'!$B$27&lt;=4,'XA MU'!$E$27*$B$8*(IF('XA MU'!$C$27&gt;(xm_y0T+(xm_nT-1)/2*xm_sT),2*('XA MU'!$C$27-(xm_y0T+(xm_nT-1)/2*xm_sT))/xm_sT,0)+IF('XA MU'!$D$27&gt;(xm_y0T+(xm_nT-1)/2*xm_sT),2*('XA MU'!$D$27-(xm_y0T+(xm_nT-1)/2*xm_sT))/xm_sT,0)),0),0)+IF('XA MU'!$B$28&lt;=4,'XA MU'!$E$28*$B$8*(MAX(0,1-ABS('XA MU'!$C$28-$D15)/xm_sT)+MAX(0,1-ABS('XA MU'!$D$28-$D15)/xm_sT)),0)+IF(ABS($D15-(xm_y0T+(xm_nT-1)/2*xm_sT))&lt;0.000001,IF('XA MU'!$B$28&lt;=4,'XA MU'!$E$28*$B$8*(IF('XA MU'!$C$28&gt;(xm_y0T+(xm_nT-1)/2*xm_sT),2*('XA MU'!$C$28-(xm_y0T+(xm_nT-1)/2*xm_sT))/xm_sT,0)+IF('XA MU'!$D$28&gt;(xm_y0T+(xm_nT-1)/2*xm_sT),2*('XA MU'!$D$28-(xm_y0T+(xm_nT-1)/2*xm_sT))/xm_sT,0)),0),0)+IF('XA MU'!$B$29&lt;=4,'XA MU'!$E$29*$B$8*(MAX(0,1-ABS('XA MU'!$C$29-$D15)/xm_sT)+MAX(0,1-ABS('XA MU'!$D$29-$D15)/xm_sT)),0)+IF(ABS($D15-(xm_y0T+(xm_nT-1)/2*xm_sT))&lt;0.000001,IF('XA MU'!$B$29&lt;=4,'XA MU'!$E$29*$B$8*(IF('XA MU'!$C$29&gt;(xm_y0T+(xm_nT-1)/2*xm_sT),2*('XA MU'!$C$29-(xm_y0T+(xm_nT-1)/2*xm_sT))/xm_sT,0)+IF('XA MU'!$D$29&gt;(xm_y0T+(xm_nT-1)/2*xm_sT),2*('XA MU'!$D$29-(xm_y0T+(xm_nT-1)/2*xm_sT))/xm_sT,0)),0),0)+IF('XA MU'!$B$30&lt;=4,'XA MU'!$E$30*$B$8*(MAX(0,1-ABS('XA MU'!$C$30-$D15)/xm_sT)+MAX(0,1-ABS('XA MU'!$D$30-$D15)/xm_sT)),0)+IF(ABS($D15-(xm_y0T+(xm_nT-1)/2*xm_sT))&lt;0.000001,IF('XA MU'!$B$30&lt;=4,'XA MU'!$E$30*$B$8*(IF('XA MU'!$C$30&gt;(xm_y0T+(xm_nT-1)/2*xm_sT),2*('XA MU'!$C$30-(xm_y0T+(xm_nT-1)/2*xm_sT))/xm_sT,0)+IF('XA MU'!$D$30&gt;(xm_y0T+(xm_nT-1)/2*xm_sT),2*('XA MU'!$D$30-(xm_y0T+(xm_nT-1)/2*xm_sT))/xm_sT,0)),0),0))))</f>
        <v>0</v>
      </c>
      <c r="M15" s="44">
        <f>IF(C15=0,0,IF(5&gt;nLan,0,0.65*(IF('XA MU'!$B$25&lt;=5,'XA MU'!$E$25*$B$8*(MAX(0,1-ABS('XA MU'!$C$25-$D15)/xm_sT)+MAX(0,1-ABS('XA MU'!$D$25-$D15)/xm_sT)),0)+IF(ABS($D15-(xm_y0T+(xm_nT-1)/2*xm_sT))&lt;0.000001,IF('XA MU'!$B$25&lt;=5,'XA MU'!$E$25*$B$8*(IF('XA MU'!$C$25&gt;(xm_y0T+(xm_nT-1)/2*xm_sT),2*('XA MU'!$C$25-(xm_y0T+(xm_nT-1)/2*xm_sT))/xm_sT,0)+IF('XA MU'!$D$25&gt;(xm_y0T+(xm_nT-1)/2*xm_sT),2*('XA MU'!$D$25-(xm_y0T+(xm_nT-1)/2*xm_sT))/xm_sT,0)),0),0)+IF('XA MU'!$B$26&lt;=5,'XA MU'!$E$26*$B$8*(MAX(0,1-ABS('XA MU'!$C$26-$D15)/xm_sT)+MAX(0,1-ABS('XA MU'!$D$26-$D15)/xm_sT)),0)+IF(ABS($D15-(xm_y0T+(xm_nT-1)/2*xm_sT))&lt;0.000001,IF('XA MU'!$B$26&lt;=5,'XA MU'!$E$26*$B$8*(IF('XA MU'!$C$26&gt;(xm_y0T+(xm_nT-1)/2*xm_sT),2*('XA MU'!$C$26-(xm_y0T+(xm_nT-1)/2*xm_sT))/xm_sT,0)+IF('XA MU'!$D$26&gt;(xm_y0T+(xm_nT-1)/2*xm_sT),2*('XA MU'!$D$26-(xm_y0T+(xm_nT-1)/2*xm_sT))/xm_sT,0)),0),0)+IF('XA MU'!$B$27&lt;=5,'XA MU'!$E$27*$B$8*(MAX(0,1-ABS('XA MU'!$C$27-$D15)/xm_sT)+MAX(0,1-ABS('XA MU'!$D$27-$D15)/xm_sT)),0)+IF(ABS($D15-(xm_y0T+(xm_nT-1)/2*xm_sT))&lt;0.000001,IF('XA MU'!$B$27&lt;=5,'XA MU'!$E$27*$B$8*(IF('XA MU'!$C$27&gt;(xm_y0T+(xm_nT-1)/2*xm_sT),2*('XA MU'!$C$27-(xm_y0T+(xm_nT-1)/2*xm_sT))/xm_sT,0)+IF('XA MU'!$D$27&gt;(xm_y0T+(xm_nT-1)/2*xm_sT),2*('XA MU'!$D$27-(xm_y0T+(xm_nT-1)/2*xm_sT))/xm_sT,0)),0),0)+IF('XA MU'!$B$28&lt;=5,'XA MU'!$E$28*$B$8*(MAX(0,1-ABS('XA MU'!$C$28-$D15)/xm_sT)+MAX(0,1-ABS('XA MU'!$D$28-$D15)/xm_sT)),0)+IF(ABS($D15-(xm_y0T+(xm_nT-1)/2*xm_sT))&lt;0.000001,IF('XA MU'!$B$28&lt;=5,'XA MU'!$E$28*$B$8*(IF('XA MU'!$C$28&gt;(xm_y0T+(xm_nT-1)/2*xm_sT),2*('XA MU'!$C$28-(xm_y0T+(xm_nT-1)/2*xm_sT))/xm_sT,0)+IF('XA MU'!$D$28&gt;(xm_y0T+(xm_nT-1)/2*xm_sT),2*('XA MU'!$D$28-(xm_y0T+(xm_nT-1)/2*xm_sT))/xm_sT,0)),0),0)+IF('XA MU'!$B$29&lt;=5,'XA MU'!$E$29*$B$8*(MAX(0,1-ABS('XA MU'!$C$29-$D15)/xm_sT)+MAX(0,1-ABS('XA MU'!$D$29-$D15)/xm_sT)),0)+IF(ABS($D15-(xm_y0T+(xm_nT-1)/2*xm_sT))&lt;0.000001,IF('XA MU'!$B$29&lt;=5,'XA MU'!$E$29*$B$8*(IF('XA MU'!$C$29&gt;(xm_y0T+(xm_nT-1)/2*xm_sT),2*('XA MU'!$C$29-(xm_y0T+(xm_nT-1)/2*xm_sT))/xm_sT,0)+IF('XA MU'!$D$29&gt;(xm_y0T+(xm_nT-1)/2*xm_sT),2*('XA MU'!$D$29-(xm_y0T+(xm_nT-1)/2*xm_sT))/xm_sT,0)),0),0)+IF('XA MU'!$B$30&lt;=5,'XA MU'!$E$30*$B$8*(MAX(0,1-ABS('XA MU'!$C$30-$D15)/xm_sT)+MAX(0,1-ABS('XA MU'!$D$30-$D15)/xm_sT)),0)+IF(ABS($D15-(xm_y0T+(xm_nT-1)/2*xm_sT))&lt;0.000001,IF('XA MU'!$B$30&lt;=5,'XA MU'!$E$30*$B$8*(IF('XA MU'!$C$30&gt;(xm_y0T+(xm_nT-1)/2*xm_sT),2*('XA MU'!$C$30-(xm_y0T+(xm_nT-1)/2*xm_sT))/xm_sT,0)+IF('XA MU'!$D$30&gt;(xm_y0T+(xm_nT-1)/2*xm_sT),2*('XA MU'!$D$30-(xm_y0T+(xm_nT-1)/2*xm_sT))/xm_sT,0)),0),0))))</f>
        <v>0</v>
      </c>
      <c r="N15" s="44">
        <f>IF(C15=0,0,IF(6&gt;nLan,0,0.65*(IF('XA MU'!$B$25&lt;=6,'XA MU'!$E$25*$B$8*(MAX(0,1-ABS('XA MU'!$C$25-$D15)/xm_sT)+MAX(0,1-ABS('XA MU'!$D$25-$D15)/xm_sT)),0)+IF(ABS($D15-(xm_y0T+(xm_nT-1)/2*xm_sT))&lt;0.000001,IF('XA MU'!$B$25&lt;=6,'XA MU'!$E$25*$B$8*(IF('XA MU'!$C$25&gt;(xm_y0T+(xm_nT-1)/2*xm_sT),2*('XA MU'!$C$25-(xm_y0T+(xm_nT-1)/2*xm_sT))/xm_sT,0)+IF('XA MU'!$D$25&gt;(xm_y0T+(xm_nT-1)/2*xm_sT),2*('XA MU'!$D$25-(xm_y0T+(xm_nT-1)/2*xm_sT))/xm_sT,0)),0),0)+IF('XA MU'!$B$26&lt;=6,'XA MU'!$E$26*$B$8*(MAX(0,1-ABS('XA MU'!$C$26-$D15)/xm_sT)+MAX(0,1-ABS('XA MU'!$D$26-$D15)/xm_sT)),0)+IF(ABS($D15-(xm_y0T+(xm_nT-1)/2*xm_sT))&lt;0.000001,IF('XA MU'!$B$26&lt;=6,'XA MU'!$E$26*$B$8*(IF('XA MU'!$C$26&gt;(xm_y0T+(xm_nT-1)/2*xm_sT),2*('XA MU'!$C$26-(xm_y0T+(xm_nT-1)/2*xm_sT))/xm_sT,0)+IF('XA MU'!$D$26&gt;(xm_y0T+(xm_nT-1)/2*xm_sT),2*('XA MU'!$D$26-(xm_y0T+(xm_nT-1)/2*xm_sT))/xm_sT,0)),0),0)+IF('XA MU'!$B$27&lt;=6,'XA MU'!$E$27*$B$8*(MAX(0,1-ABS('XA MU'!$C$27-$D15)/xm_sT)+MAX(0,1-ABS('XA MU'!$D$27-$D15)/xm_sT)),0)+IF(ABS($D15-(xm_y0T+(xm_nT-1)/2*xm_sT))&lt;0.000001,IF('XA MU'!$B$27&lt;=6,'XA MU'!$E$27*$B$8*(IF('XA MU'!$C$27&gt;(xm_y0T+(xm_nT-1)/2*xm_sT),2*('XA MU'!$C$27-(xm_y0T+(xm_nT-1)/2*xm_sT))/xm_sT,0)+IF('XA MU'!$D$27&gt;(xm_y0T+(xm_nT-1)/2*xm_sT),2*('XA MU'!$D$27-(xm_y0T+(xm_nT-1)/2*xm_sT))/xm_sT,0)),0),0)+IF('XA MU'!$B$28&lt;=6,'XA MU'!$E$28*$B$8*(MAX(0,1-ABS('XA MU'!$C$28-$D15)/xm_sT)+MAX(0,1-ABS('XA MU'!$D$28-$D15)/xm_sT)),0)+IF(ABS($D15-(xm_y0T+(xm_nT-1)/2*xm_sT))&lt;0.000001,IF('XA MU'!$B$28&lt;=6,'XA MU'!$E$28*$B$8*(IF('XA MU'!$C$28&gt;(xm_y0T+(xm_nT-1)/2*xm_sT),2*('XA MU'!$C$28-(xm_y0T+(xm_nT-1)/2*xm_sT))/xm_sT,0)+IF('XA MU'!$D$28&gt;(xm_y0T+(xm_nT-1)/2*xm_sT),2*('XA MU'!$D$28-(xm_y0T+(xm_nT-1)/2*xm_sT))/xm_sT,0)),0),0)+IF('XA MU'!$B$29&lt;=6,'XA MU'!$E$29*$B$8*(MAX(0,1-ABS('XA MU'!$C$29-$D15)/xm_sT)+MAX(0,1-ABS('XA MU'!$D$29-$D15)/xm_sT)),0)+IF(ABS($D15-(xm_y0T+(xm_nT-1)/2*xm_sT))&lt;0.000001,IF('XA MU'!$B$29&lt;=6,'XA MU'!$E$29*$B$8*(IF('XA MU'!$C$29&gt;(xm_y0T+(xm_nT-1)/2*xm_sT),2*('XA MU'!$C$29-(xm_y0T+(xm_nT-1)/2*xm_sT))/xm_sT,0)+IF('XA MU'!$D$29&gt;(xm_y0T+(xm_nT-1)/2*xm_sT),2*('XA MU'!$D$29-(xm_y0T+(xm_nT-1)/2*xm_sT))/xm_sT,0)),0),0)+IF('XA MU'!$B$30&lt;=6,'XA MU'!$E$30*$B$8*(MAX(0,1-ABS('XA MU'!$C$30-$D15)/xm_sT)+MAX(0,1-ABS('XA MU'!$D$30-$D15)/xm_sT)),0)+IF(ABS($D15-(xm_y0T+(xm_nT-1)/2*xm_sT))&lt;0.000001,IF('XA MU'!$B$30&lt;=6,'XA MU'!$E$30*$B$8*(IF('XA MU'!$C$30&gt;(xm_y0T+(xm_nT-1)/2*xm_sT),2*('XA MU'!$C$30-(xm_y0T+(xm_nT-1)/2*xm_sT))/xm_sT,0)+IF('XA MU'!$D$30&gt;(xm_y0T+(xm_nT-1)/2*xm_sT),2*('XA MU'!$D$30-(xm_y0T+(xm_nT-1)/2*xm_sT))/xm_sT,0)),0),0))))</f>
        <v>52.928151319148895</v>
      </c>
    </row>
    <row r="16" spans="1:14" x14ac:dyDescent="0.3">
      <c r="A16" s="42" t="s">
        <v>1235</v>
      </c>
      <c r="B16" s="42">
        <v>2</v>
      </c>
      <c r="C16" s="40">
        <f t="shared" si="0"/>
        <v>1</v>
      </c>
      <c r="D16" s="44">
        <f t="shared" si="1"/>
        <v>-8.2249999999999996</v>
      </c>
      <c r="E16" s="44">
        <f>MAX(0,D16-'XA MU'!$C$8)*C16</f>
        <v>0</v>
      </c>
      <c r="F16" s="44">
        <f>IF(AND(C16=1,D16&gt;'XA MU'!$C$8),1,0)</f>
        <v>0</v>
      </c>
      <c r="G16" s="44">
        <f t="shared" si="2"/>
        <v>670.60125000000005</v>
      </c>
      <c r="H16" s="44">
        <f t="shared" si="3"/>
        <v>68.43768750000001</v>
      </c>
      <c r="I16" s="44">
        <f>IF(C16=0,0,IF(1&gt;nLan,0,1.2*(IF('XA MU'!$B$25&lt;=1,'XA MU'!$E$25*$B$8*(MAX(0,1-ABS('XA MU'!$C$25-$D16)/xm_sT)+MAX(0,1-ABS('XA MU'!$D$25-$D16)/xm_sT)),0)+IF(ABS($D16-(xm_y0T+(xm_nT-1)/2*xm_sT))&lt;0.000001,IF('XA MU'!$B$25&lt;=1,'XA MU'!$E$25*$B$8*(IF('XA MU'!$C$25&gt;(xm_y0T+(xm_nT-1)/2*xm_sT),2*('XA MU'!$C$25-(xm_y0T+(xm_nT-1)/2*xm_sT))/xm_sT,0)+IF('XA MU'!$D$25&gt;(xm_y0T+(xm_nT-1)/2*xm_sT),2*('XA MU'!$D$25-(xm_y0T+(xm_nT-1)/2*xm_sT))/xm_sT,0)),0),0)+IF('XA MU'!$B$26&lt;=1,'XA MU'!$E$26*$B$8*(MAX(0,1-ABS('XA MU'!$C$26-$D16)/xm_sT)+MAX(0,1-ABS('XA MU'!$D$26-$D16)/xm_sT)),0)+IF(ABS($D16-(xm_y0T+(xm_nT-1)/2*xm_sT))&lt;0.000001,IF('XA MU'!$B$26&lt;=1,'XA MU'!$E$26*$B$8*(IF('XA MU'!$C$26&gt;(xm_y0T+(xm_nT-1)/2*xm_sT),2*('XA MU'!$C$26-(xm_y0T+(xm_nT-1)/2*xm_sT))/xm_sT,0)+IF('XA MU'!$D$26&gt;(xm_y0T+(xm_nT-1)/2*xm_sT),2*('XA MU'!$D$26-(xm_y0T+(xm_nT-1)/2*xm_sT))/xm_sT,0)),0),0)+IF('XA MU'!$B$27&lt;=1,'XA MU'!$E$27*$B$8*(MAX(0,1-ABS('XA MU'!$C$27-$D16)/xm_sT)+MAX(0,1-ABS('XA MU'!$D$27-$D16)/xm_sT)),0)+IF(ABS($D16-(xm_y0T+(xm_nT-1)/2*xm_sT))&lt;0.000001,IF('XA MU'!$B$27&lt;=1,'XA MU'!$E$27*$B$8*(IF('XA MU'!$C$27&gt;(xm_y0T+(xm_nT-1)/2*xm_sT),2*('XA MU'!$C$27-(xm_y0T+(xm_nT-1)/2*xm_sT))/xm_sT,0)+IF('XA MU'!$D$27&gt;(xm_y0T+(xm_nT-1)/2*xm_sT),2*('XA MU'!$D$27-(xm_y0T+(xm_nT-1)/2*xm_sT))/xm_sT,0)),0),0)+IF('XA MU'!$B$28&lt;=1,'XA MU'!$E$28*$B$8*(MAX(0,1-ABS('XA MU'!$C$28-$D16)/xm_sT)+MAX(0,1-ABS('XA MU'!$D$28-$D16)/xm_sT)),0)+IF(ABS($D16-(xm_y0T+(xm_nT-1)/2*xm_sT))&lt;0.000001,IF('XA MU'!$B$28&lt;=1,'XA MU'!$E$28*$B$8*(IF('XA MU'!$C$28&gt;(xm_y0T+(xm_nT-1)/2*xm_sT),2*('XA MU'!$C$28-(xm_y0T+(xm_nT-1)/2*xm_sT))/xm_sT,0)+IF('XA MU'!$D$28&gt;(xm_y0T+(xm_nT-1)/2*xm_sT),2*('XA MU'!$D$28-(xm_y0T+(xm_nT-1)/2*xm_sT))/xm_sT,0)),0),0)+IF('XA MU'!$B$29&lt;=1,'XA MU'!$E$29*$B$8*(MAX(0,1-ABS('XA MU'!$C$29-$D16)/xm_sT)+MAX(0,1-ABS('XA MU'!$D$29-$D16)/xm_sT)),0)+IF(ABS($D16-(xm_y0T+(xm_nT-1)/2*xm_sT))&lt;0.000001,IF('XA MU'!$B$29&lt;=1,'XA MU'!$E$29*$B$8*(IF('XA MU'!$C$29&gt;(xm_y0T+(xm_nT-1)/2*xm_sT),2*('XA MU'!$C$29-(xm_y0T+(xm_nT-1)/2*xm_sT))/xm_sT,0)+IF('XA MU'!$D$29&gt;(xm_y0T+(xm_nT-1)/2*xm_sT),2*('XA MU'!$D$29-(xm_y0T+(xm_nT-1)/2*xm_sT))/xm_sT,0)),0),0)+IF('XA MU'!$B$30&lt;=1,'XA MU'!$E$30*$B$8*(MAX(0,1-ABS('XA MU'!$C$30-$D16)/xm_sT)+MAX(0,1-ABS('XA MU'!$D$30-$D16)/xm_sT)),0)+IF(ABS($D16-(xm_y0T+(xm_nT-1)/2*xm_sT))&lt;0.000001,IF('XA MU'!$B$30&lt;=1,'XA MU'!$E$30*$B$8*(IF('XA MU'!$C$30&gt;(xm_y0T+(xm_nT-1)/2*xm_sT),2*('XA MU'!$C$30-(xm_y0T+(xm_nT-1)/2*xm_sT))/xm_sT,0)+IF('XA MU'!$D$30&gt;(xm_y0T+(xm_nT-1)/2*xm_sT),2*('XA MU'!$D$30-(xm_y0T+(xm_nT-1)/2*xm_sT))/xm_sT,0)),0),0))))</f>
        <v>0</v>
      </c>
      <c r="J16" s="44">
        <f>IF(C16=0,0,IF(2&gt;nLan,0,1*(IF('XA MU'!$B$25&lt;=2,'XA MU'!$E$25*$B$8*(MAX(0,1-ABS('XA MU'!$C$25-$D16)/xm_sT)+MAX(0,1-ABS('XA MU'!$D$25-$D16)/xm_sT)),0)+IF(ABS($D16-(xm_y0T+(xm_nT-1)/2*xm_sT))&lt;0.000001,IF('XA MU'!$B$25&lt;=2,'XA MU'!$E$25*$B$8*(IF('XA MU'!$C$25&gt;(xm_y0T+(xm_nT-1)/2*xm_sT),2*('XA MU'!$C$25-(xm_y0T+(xm_nT-1)/2*xm_sT))/xm_sT,0)+IF('XA MU'!$D$25&gt;(xm_y0T+(xm_nT-1)/2*xm_sT),2*('XA MU'!$D$25-(xm_y0T+(xm_nT-1)/2*xm_sT))/xm_sT,0)),0),0)+IF('XA MU'!$B$26&lt;=2,'XA MU'!$E$26*$B$8*(MAX(0,1-ABS('XA MU'!$C$26-$D16)/xm_sT)+MAX(0,1-ABS('XA MU'!$D$26-$D16)/xm_sT)),0)+IF(ABS($D16-(xm_y0T+(xm_nT-1)/2*xm_sT))&lt;0.000001,IF('XA MU'!$B$26&lt;=2,'XA MU'!$E$26*$B$8*(IF('XA MU'!$C$26&gt;(xm_y0T+(xm_nT-1)/2*xm_sT),2*('XA MU'!$C$26-(xm_y0T+(xm_nT-1)/2*xm_sT))/xm_sT,0)+IF('XA MU'!$D$26&gt;(xm_y0T+(xm_nT-1)/2*xm_sT),2*('XA MU'!$D$26-(xm_y0T+(xm_nT-1)/2*xm_sT))/xm_sT,0)),0),0)+IF('XA MU'!$B$27&lt;=2,'XA MU'!$E$27*$B$8*(MAX(0,1-ABS('XA MU'!$C$27-$D16)/xm_sT)+MAX(0,1-ABS('XA MU'!$D$27-$D16)/xm_sT)),0)+IF(ABS($D16-(xm_y0T+(xm_nT-1)/2*xm_sT))&lt;0.000001,IF('XA MU'!$B$27&lt;=2,'XA MU'!$E$27*$B$8*(IF('XA MU'!$C$27&gt;(xm_y0T+(xm_nT-1)/2*xm_sT),2*('XA MU'!$C$27-(xm_y0T+(xm_nT-1)/2*xm_sT))/xm_sT,0)+IF('XA MU'!$D$27&gt;(xm_y0T+(xm_nT-1)/2*xm_sT),2*('XA MU'!$D$27-(xm_y0T+(xm_nT-1)/2*xm_sT))/xm_sT,0)),0),0)+IF('XA MU'!$B$28&lt;=2,'XA MU'!$E$28*$B$8*(MAX(0,1-ABS('XA MU'!$C$28-$D16)/xm_sT)+MAX(0,1-ABS('XA MU'!$D$28-$D16)/xm_sT)),0)+IF(ABS($D16-(xm_y0T+(xm_nT-1)/2*xm_sT))&lt;0.000001,IF('XA MU'!$B$28&lt;=2,'XA MU'!$E$28*$B$8*(IF('XA MU'!$C$28&gt;(xm_y0T+(xm_nT-1)/2*xm_sT),2*('XA MU'!$C$28-(xm_y0T+(xm_nT-1)/2*xm_sT))/xm_sT,0)+IF('XA MU'!$D$28&gt;(xm_y0T+(xm_nT-1)/2*xm_sT),2*('XA MU'!$D$28-(xm_y0T+(xm_nT-1)/2*xm_sT))/xm_sT,0)),0),0)+IF('XA MU'!$B$29&lt;=2,'XA MU'!$E$29*$B$8*(MAX(0,1-ABS('XA MU'!$C$29-$D16)/xm_sT)+MAX(0,1-ABS('XA MU'!$D$29-$D16)/xm_sT)),0)+IF(ABS($D16-(xm_y0T+(xm_nT-1)/2*xm_sT))&lt;0.000001,IF('XA MU'!$B$29&lt;=2,'XA MU'!$E$29*$B$8*(IF('XA MU'!$C$29&gt;(xm_y0T+(xm_nT-1)/2*xm_sT),2*('XA MU'!$C$29-(xm_y0T+(xm_nT-1)/2*xm_sT))/xm_sT,0)+IF('XA MU'!$D$29&gt;(xm_y0T+(xm_nT-1)/2*xm_sT),2*('XA MU'!$D$29-(xm_y0T+(xm_nT-1)/2*xm_sT))/xm_sT,0)),0),0)+IF('XA MU'!$B$30&lt;=2,'XA MU'!$E$30*$B$8*(MAX(0,1-ABS('XA MU'!$C$30-$D16)/xm_sT)+MAX(0,1-ABS('XA MU'!$D$30-$D16)/xm_sT)),0)+IF(ABS($D16-(xm_y0T+(xm_nT-1)/2*xm_sT))&lt;0.000001,IF('XA MU'!$B$30&lt;=2,'XA MU'!$E$30*$B$8*(IF('XA MU'!$C$30&gt;(xm_y0T+(xm_nT-1)/2*xm_sT),2*('XA MU'!$C$30-(xm_y0T+(xm_nT-1)/2*xm_sT))/xm_sT,0)+IF('XA MU'!$D$30&gt;(xm_y0T+(xm_nT-1)/2*xm_sT),2*('XA MU'!$D$30-(xm_y0T+(xm_nT-1)/2*xm_sT))/xm_sT,0)),0),0))))</f>
        <v>0</v>
      </c>
      <c r="K16" s="44">
        <f>IF(C16=0,0,IF(3&gt;nLan,0,0.85*(IF('XA MU'!$B$25&lt;=3,'XA MU'!$E$25*$B$8*(MAX(0,1-ABS('XA MU'!$C$25-$D16)/xm_sT)+MAX(0,1-ABS('XA MU'!$D$25-$D16)/xm_sT)),0)+IF(ABS($D16-(xm_y0T+(xm_nT-1)/2*xm_sT))&lt;0.000001,IF('XA MU'!$B$25&lt;=3,'XA MU'!$E$25*$B$8*(IF('XA MU'!$C$25&gt;(xm_y0T+(xm_nT-1)/2*xm_sT),2*('XA MU'!$C$25-(xm_y0T+(xm_nT-1)/2*xm_sT))/xm_sT,0)+IF('XA MU'!$D$25&gt;(xm_y0T+(xm_nT-1)/2*xm_sT),2*('XA MU'!$D$25-(xm_y0T+(xm_nT-1)/2*xm_sT))/xm_sT,0)),0),0)+IF('XA MU'!$B$26&lt;=3,'XA MU'!$E$26*$B$8*(MAX(0,1-ABS('XA MU'!$C$26-$D16)/xm_sT)+MAX(0,1-ABS('XA MU'!$D$26-$D16)/xm_sT)),0)+IF(ABS($D16-(xm_y0T+(xm_nT-1)/2*xm_sT))&lt;0.000001,IF('XA MU'!$B$26&lt;=3,'XA MU'!$E$26*$B$8*(IF('XA MU'!$C$26&gt;(xm_y0T+(xm_nT-1)/2*xm_sT),2*('XA MU'!$C$26-(xm_y0T+(xm_nT-1)/2*xm_sT))/xm_sT,0)+IF('XA MU'!$D$26&gt;(xm_y0T+(xm_nT-1)/2*xm_sT),2*('XA MU'!$D$26-(xm_y0T+(xm_nT-1)/2*xm_sT))/xm_sT,0)),0),0)+IF('XA MU'!$B$27&lt;=3,'XA MU'!$E$27*$B$8*(MAX(0,1-ABS('XA MU'!$C$27-$D16)/xm_sT)+MAX(0,1-ABS('XA MU'!$D$27-$D16)/xm_sT)),0)+IF(ABS($D16-(xm_y0T+(xm_nT-1)/2*xm_sT))&lt;0.000001,IF('XA MU'!$B$27&lt;=3,'XA MU'!$E$27*$B$8*(IF('XA MU'!$C$27&gt;(xm_y0T+(xm_nT-1)/2*xm_sT),2*('XA MU'!$C$27-(xm_y0T+(xm_nT-1)/2*xm_sT))/xm_sT,0)+IF('XA MU'!$D$27&gt;(xm_y0T+(xm_nT-1)/2*xm_sT),2*('XA MU'!$D$27-(xm_y0T+(xm_nT-1)/2*xm_sT))/xm_sT,0)),0),0)+IF('XA MU'!$B$28&lt;=3,'XA MU'!$E$28*$B$8*(MAX(0,1-ABS('XA MU'!$C$28-$D16)/xm_sT)+MAX(0,1-ABS('XA MU'!$D$28-$D16)/xm_sT)),0)+IF(ABS($D16-(xm_y0T+(xm_nT-1)/2*xm_sT))&lt;0.000001,IF('XA MU'!$B$28&lt;=3,'XA MU'!$E$28*$B$8*(IF('XA MU'!$C$28&gt;(xm_y0T+(xm_nT-1)/2*xm_sT),2*('XA MU'!$C$28-(xm_y0T+(xm_nT-1)/2*xm_sT))/xm_sT,0)+IF('XA MU'!$D$28&gt;(xm_y0T+(xm_nT-1)/2*xm_sT),2*('XA MU'!$D$28-(xm_y0T+(xm_nT-1)/2*xm_sT))/xm_sT,0)),0),0)+IF('XA MU'!$B$29&lt;=3,'XA MU'!$E$29*$B$8*(MAX(0,1-ABS('XA MU'!$C$29-$D16)/xm_sT)+MAX(0,1-ABS('XA MU'!$D$29-$D16)/xm_sT)),0)+IF(ABS($D16-(xm_y0T+(xm_nT-1)/2*xm_sT))&lt;0.000001,IF('XA MU'!$B$29&lt;=3,'XA MU'!$E$29*$B$8*(IF('XA MU'!$C$29&gt;(xm_y0T+(xm_nT-1)/2*xm_sT),2*('XA MU'!$C$29-(xm_y0T+(xm_nT-1)/2*xm_sT))/xm_sT,0)+IF('XA MU'!$D$29&gt;(xm_y0T+(xm_nT-1)/2*xm_sT),2*('XA MU'!$D$29-(xm_y0T+(xm_nT-1)/2*xm_sT))/xm_sT,0)),0),0)+IF('XA MU'!$B$30&lt;=3,'XA MU'!$E$30*$B$8*(MAX(0,1-ABS('XA MU'!$C$30-$D16)/xm_sT)+MAX(0,1-ABS('XA MU'!$D$30-$D16)/xm_sT)),0)+IF(ABS($D16-(xm_y0T+(xm_nT-1)/2*xm_sT))&lt;0.000001,IF('XA MU'!$B$30&lt;=3,'XA MU'!$E$30*$B$8*(IF('XA MU'!$C$30&gt;(xm_y0T+(xm_nT-1)/2*xm_sT),2*('XA MU'!$C$30-(xm_y0T+(xm_nT-1)/2*xm_sT))/xm_sT,0)+IF('XA MU'!$D$30&gt;(xm_y0T+(xm_nT-1)/2*xm_sT),2*('XA MU'!$D$30-(xm_y0T+(xm_nT-1)/2*xm_sT))/xm_sT,0)),0),0))))</f>
        <v>0</v>
      </c>
      <c r="L16" s="44">
        <f>IF(C16=0,0,IF(4&gt;nLan,0,0.65*(IF('XA MU'!$B$25&lt;=4,'XA MU'!$E$25*$B$8*(MAX(0,1-ABS('XA MU'!$C$25-$D16)/xm_sT)+MAX(0,1-ABS('XA MU'!$D$25-$D16)/xm_sT)),0)+IF(ABS($D16-(xm_y0T+(xm_nT-1)/2*xm_sT))&lt;0.000001,IF('XA MU'!$B$25&lt;=4,'XA MU'!$E$25*$B$8*(IF('XA MU'!$C$25&gt;(xm_y0T+(xm_nT-1)/2*xm_sT),2*('XA MU'!$C$25-(xm_y0T+(xm_nT-1)/2*xm_sT))/xm_sT,0)+IF('XA MU'!$D$25&gt;(xm_y0T+(xm_nT-1)/2*xm_sT),2*('XA MU'!$D$25-(xm_y0T+(xm_nT-1)/2*xm_sT))/xm_sT,0)),0),0)+IF('XA MU'!$B$26&lt;=4,'XA MU'!$E$26*$B$8*(MAX(0,1-ABS('XA MU'!$C$26-$D16)/xm_sT)+MAX(0,1-ABS('XA MU'!$D$26-$D16)/xm_sT)),0)+IF(ABS($D16-(xm_y0T+(xm_nT-1)/2*xm_sT))&lt;0.000001,IF('XA MU'!$B$26&lt;=4,'XA MU'!$E$26*$B$8*(IF('XA MU'!$C$26&gt;(xm_y0T+(xm_nT-1)/2*xm_sT),2*('XA MU'!$C$26-(xm_y0T+(xm_nT-1)/2*xm_sT))/xm_sT,0)+IF('XA MU'!$D$26&gt;(xm_y0T+(xm_nT-1)/2*xm_sT),2*('XA MU'!$D$26-(xm_y0T+(xm_nT-1)/2*xm_sT))/xm_sT,0)),0),0)+IF('XA MU'!$B$27&lt;=4,'XA MU'!$E$27*$B$8*(MAX(0,1-ABS('XA MU'!$C$27-$D16)/xm_sT)+MAX(0,1-ABS('XA MU'!$D$27-$D16)/xm_sT)),0)+IF(ABS($D16-(xm_y0T+(xm_nT-1)/2*xm_sT))&lt;0.000001,IF('XA MU'!$B$27&lt;=4,'XA MU'!$E$27*$B$8*(IF('XA MU'!$C$27&gt;(xm_y0T+(xm_nT-1)/2*xm_sT),2*('XA MU'!$C$27-(xm_y0T+(xm_nT-1)/2*xm_sT))/xm_sT,0)+IF('XA MU'!$D$27&gt;(xm_y0T+(xm_nT-1)/2*xm_sT),2*('XA MU'!$D$27-(xm_y0T+(xm_nT-1)/2*xm_sT))/xm_sT,0)),0),0)+IF('XA MU'!$B$28&lt;=4,'XA MU'!$E$28*$B$8*(MAX(0,1-ABS('XA MU'!$C$28-$D16)/xm_sT)+MAX(0,1-ABS('XA MU'!$D$28-$D16)/xm_sT)),0)+IF(ABS($D16-(xm_y0T+(xm_nT-1)/2*xm_sT))&lt;0.000001,IF('XA MU'!$B$28&lt;=4,'XA MU'!$E$28*$B$8*(IF('XA MU'!$C$28&gt;(xm_y0T+(xm_nT-1)/2*xm_sT),2*('XA MU'!$C$28-(xm_y0T+(xm_nT-1)/2*xm_sT))/xm_sT,0)+IF('XA MU'!$D$28&gt;(xm_y0T+(xm_nT-1)/2*xm_sT),2*('XA MU'!$D$28-(xm_y0T+(xm_nT-1)/2*xm_sT))/xm_sT,0)),0),0)+IF('XA MU'!$B$29&lt;=4,'XA MU'!$E$29*$B$8*(MAX(0,1-ABS('XA MU'!$C$29-$D16)/xm_sT)+MAX(0,1-ABS('XA MU'!$D$29-$D16)/xm_sT)),0)+IF(ABS($D16-(xm_y0T+(xm_nT-1)/2*xm_sT))&lt;0.000001,IF('XA MU'!$B$29&lt;=4,'XA MU'!$E$29*$B$8*(IF('XA MU'!$C$29&gt;(xm_y0T+(xm_nT-1)/2*xm_sT),2*('XA MU'!$C$29-(xm_y0T+(xm_nT-1)/2*xm_sT))/xm_sT,0)+IF('XA MU'!$D$29&gt;(xm_y0T+(xm_nT-1)/2*xm_sT),2*('XA MU'!$D$29-(xm_y0T+(xm_nT-1)/2*xm_sT))/xm_sT,0)),0),0)+IF('XA MU'!$B$30&lt;=4,'XA MU'!$E$30*$B$8*(MAX(0,1-ABS('XA MU'!$C$30-$D16)/xm_sT)+MAX(0,1-ABS('XA MU'!$D$30-$D16)/xm_sT)),0)+IF(ABS($D16-(xm_y0T+(xm_nT-1)/2*xm_sT))&lt;0.000001,IF('XA MU'!$B$30&lt;=4,'XA MU'!$E$30*$B$8*(IF('XA MU'!$C$30&gt;(xm_y0T+(xm_nT-1)/2*xm_sT),2*('XA MU'!$C$30-(xm_y0T+(xm_nT-1)/2*xm_sT))/xm_sT,0)+IF('XA MU'!$D$30&gt;(xm_y0T+(xm_nT-1)/2*xm_sT),2*('XA MU'!$D$30-(xm_y0T+(xm_nT-1)/2*xm_sT))/xm_sT,0)),0),0))))</f>
        <v>0</v>
      </c>
      <c r="M16" s="44">
        <f>IF(C16=0,0,IF(5&gt;nLan,0,0.65*(IF('XA MU'!$B$25&lt;=5,'XA MU'!$E$25*$B$8*(MAX(0,1-ABS('XA MU'!$C$25-$D16)/xm_sT)+MAX(0,1-ABS('XA MU'!$D$25-$D16)/xm_sT)),0)+IF(ABS($D16-(xm_y0T+(xm_nT-1)/2*xm_sT))&lt;0.000001,IF('XA MU'!$B$25&lt;=5,'XA MU'!$E$25*$B$8*(IF('XA MU'!$C$25&gt;(xm_y0T+(xm_nT-1)/2*xm_sT),2*('XA MU'!$C$25-(xm_y0T+(xm_nT-1)/2*xm_sT))/xm_sT,0)+IF('XA MU'!$D$25&gt;(xm_y0T+(xm_nT-1)/2*xm_sT),2*('XA MU'!$D$25-(xm_y0T+(xm_nT-1)/2*xm_sT))/xm_sT,0)),0),0)+IF('XA MU'!$B$26&lt;=5,'XA MU'!$E$26*$B$8*(MAX(0,1-ABS('XA MU'!$C$26-$D16)/xm_sT)+MAX(0,1-ABS('XA MU'!$D$26-$D16)/xm_sT)),0)+IF(ABS($D16-(xm_y0T+(xm_nT-1)/2*xm_sT))&lt;0.000001,IF('XA MU'!$B$26&lt;=5,'XA MU'!$E$26*$B$8*(IF('XA MU'!$C$26&gt;(xm_y0T+(xm_nT-1)/2*xm_sT),2*('XA MU'!$C$26-(xm_y0T+(xm_nT-1)/2*xm_sT))/xm_sT,0)+IF('XA MU'!$D$26&gt;(xm_y0T+(xm_nT-1)/2*xm_sT),2*('XA MU'!$D$26-(xm_y0T+(xm_nT-1)/2*xm_sT))/xm_sT,0)),0),0)+IF('XA MU'!$B$27&lt;=5,'XA MU'!$E$27*$B$8*(MAX(0,1-ABS('XA MU'!$C$27-$D16)/xm_sT)+MAX(0,1-ABS('XA MU'!$D$27-$D16)/xm_sT)),0)+IF(ABS($D16-(xm_y0T+(xm_nT-1)/2*xm_sT))&lt;0.000001,IF('XA MU'!$B$27&lt;=5,'XA MU'!$E$27*$B$8*(IF('XA MU'!$C$27&gt;(xm_y0T+(xm_nT-1)/2*xm_sT),2*('XA MU'!$C$27-(xm_y0T+(xm_nT-1)/2*xm_sT))/xm_sT,0)+IF('XA MU'!$D$27&gt;(xm_y0T+(xm_nT-1)/2*xm_sT),2*('XA MU'!$D$27-(xm_y0T+(xm_nT-1)/2*xm_sT))/xm_sT,0)),0),0)+IF('XA MU'!$B$28&lt;=5,'XA MU'!$E$28*$B$8*(MAX(0,1-ABS('XA MU'!$C$28-$D16)/xm_sT)+MAX(0,1-ABS('XA MU'!$D$28-$D16)/xm_sT)),0)+IF(ABS($D16-(xm_y0T+(xm_nT-1)/2*xm_sT))&lt;0.000001,IF('XA MU'!$B$28&lt;=5,'XA MU'!$E$28*$B$8*(IF('XA MU'!$C$28&gt;(xm_y0T+(xm_nT-1)/2*xm_sT),2*('XA MU'!$C$28-(xm_y0T+(xm_nT-1)/2*xm_sT))/xm_sT,0)+IF('XA MU'!$D$28&gt;(xm_y0T+(xm_nT-1)/2*xm_sT),2*('XA MU'!$D$28-(xm_y0T+(xm_nT-1)/2*xm_sT))/xm_sT,0)),0),0)+IF('XA MU'!$B$29&lt;=5,'XA MU'!$E$29*$B$8*(MAX(0,1-ABS('XA MU'!$C$29-$D16)/xm_sT)+MAX(0,1-ABS('XA MU'!$D$29-$D16)/xm_sT)),0)+IF(ABS($D16-(xm_y0T+(xm_nT-1)/2*xm_sT))&lt;0.000001,IF('XA MU'!$B$29&lt;=5,'XA MU'!$E$29*$B$8*(IF('XA MU'!$C$29&gt;(xm_y0T+(xm_nT-1)/2*xm_sT),2*('XA MU'!$C$29-(xm_y0T+(xm_nT-1)/2*xm_sT))/xm_sT,0)+IF('XA MU'!$D$29&gt;(xm_y0T+(xm_nT-1)/2*xm_sT),2*('XA MU'!$D$29-(xm_y0T+(xm_nT-1)/2*xm_sT))/xm_sT,0)),0),0)+IF('XA MU'!$B$30&lt;=5,'XA MU'!$E$30*$B$8*(MAX(0,1-ABS('XA MU'!$C$30-$D16)/xm_sT)+MAX(0,1-ABS('XA MU'!$D$30-$D16)/xm_sT)),0)+IF(ABS($D16-(xm_y0T+(xm_nT-1)/2*xm_sT))&lt;0.000001,IF('XA MU'!$B$30&lt;=5,'XA MU'!$E$30*$B$8*(IF('XA MU'!$C$30&gt;(xm_y0T+(xm_nT-1)/2*xm_sT),2*('XA MU'!$C$30-(xm_y0T+(xm_nT-1)/2*xm_sT))/xm_sT,0)+IF('XA MU'!$D$30&gt;(xm_y0T+(xm_nT-1)/2*xm_sT),2*('XA MU'!$D$30-(xm_y0T+(xm_nT-1)/2*xm_sT))/xm_sT,0)),0),0))))</f>
        <v>0</v>
      </c>
      <c r="N16" s="44">
        <f>IF(C16=0,0,IF(6&gt;nLan,0,0.65*(IF('XA MU'!$B$25&lt;=6,'XA MU'!$E$25*$B$8*(MAX(0,1-ABS('XA MU'!$C$25-$D16)/xm_sT)+MAX(0,1-ABS('XA MU'!$D$25-$D16)/xm_sT)),0)+IF(ABS($D16-(xm_y0T+(xm_nT-1)/2*xm_sT))&lt;0.000001,IF('XA MU'!$B$25&lt;=6,'XA MU'!$E$25*$B$8*(IF('XA MU'!$C$25&gt;(xm_y0T+(xm_nT-1)/2*xm_sT),2*('XA MU'!$C$25-(xm_y0T+(xm_nT-1)/2*xm_sT))/xm_sT,0)+IF('XA MU'!$D$25&gt;(xm_y0T+(xm_nT-1)/2*xm_sT),2*('XA MU'!$D$25-(xm_y0T+(xm_nT-1)/2*xm_sT))/xm_sT,0)),0),0)+IF('XA MU'!$B$26&lt;=6,'XA MU'!$E$26*$B$8*(MAX(0,1-ABS('XA MU'!$C$26-$D16)/xm_sT)+MAX(0,1-ABS('XA MU'!$D$26-$D16)/xm_sT)),0)+IF(ABS($D16-(xm_y0T+(xm_nT-1)/2*xm_sT))&lt;0.000001,IF('XA MU'!$B$26&lt;=6,'XA MU'!$E$26*$B$8*(IF('XA MU'!$C$26&gt;(xm_y0T+(xm_nT-1)/2*xm_sT),2*('XA MU'!$C$26-(xm_y0T+(xm_nT-1)/2*xm_sT))/xm_sT,0)+IF('XA MU'!$D$26&gt;(xm_y0T+(xm_nT-1)/2*xm_sT),2*('XA MU'!$D$26-(xm_y0T+(xm_nT-1)/2*xm_sT))/xm_sT,0)),0),0)+IF('XA MU'!$B$27&lt;=6,'XA MU'!$E$27*$B$8*(MAX(0,1-ABS('XA MU'!$C$27-$D16)/xm_sT)+MAX(0,1-ABS('XA MU'!$D$27-$D16)/xm_sT)),0)+IF(ABS($D16-(xm_y0T+(xm_nT-1)/2*xm_sT))&lt;0.000001,IF('XA MU'!$B$27&lt;=6,'XA MU'!$E$27*$B$8*(IF('XA MU'!$C$27&gt;(xm_y0T+(xm_nT-1)/2*xm_sT),2*('XA MU'!$C$27-(xm_y0T+(xm_nT-1)/2*xm_sT))/xm_sT,0)+IF('XA MU'!$D$27&gt;(xm_y0T+(xm_nT-1)/2*xm_sT),2*('XA MU'!$D$27-(xm_y0T+(xm_nT-1)/2*xm_sT))/xm_sT,0)),0),0)+IF('XA MU'!$B$28&lt;=6,'XA MU'!$E$28*$B$8*(MAX(0,1-ABS('XA MU'!$C$28-$D16)/xm_sT)+MAX(0,1-ABS('XA MU'!$D$28-$D16)/xm_sT)),0)+IF(ABS($D16-(xm_y0T+(xm_nT-1)/2*xm_sT))&lt;0.000001,IF('XA MU'!$B$28&lt;=6,'XA MU'!$E$28*$B$8*(IF('XA MU'!$C$28&gt;(xm_y0T+(xm_nT-1)/2*xm_sT),2*('XA MU'!$C$28-(xm_y0T+(xm_nT-1)/2*xm_sT))/xm_sT,0)+IF('XA MU'!$D$28&gt;(xm_y0T+(xm_nT-1)/2*xm_sT),2*('XA MU'!$D$28-(xm_y0T+(xm_nT-1)/2*xm_sT))/xm_sT,0)),0),0)+IF('XA MU'!$B$29&lt;=6,'XA MU'!$E$29*$B$8*(MAX(0,1-ABS('XA MU'!$C$29-$D16)/xm_sT)+MAX(0,1-ABS('XA MU'!$D$29-$D16)/xm_sT)),0)+IF(ABS($D16-(xm_y0T+(xm_nT-1)/2*xm_sT))&lt;0.000001,IF('XA MU'!$B$29&lt;=6,'XA MU'!$E$29*$B$8*(IF('XA MU'!$C$29&gt;(xm_y0T+(xm_nT-1)/2*xm_sT),2*('XA MU'!$C$29-(xm_y0T+(xm_nT-1)/2*xm_sT))/xm_sT,0)+IF('XA MU'!$D$29&gt;(xm_y0T+(xm_nT-1)/2*xm_sT),2*('XA MU'!$D$29-(xm_y0T+(xm_nT-1)/2*xm_sT))/xm_sT,0)),0),0)+IF('XA MU'!$B$30&lt;=6,'XA MU'!$E$30*$B$8*(MAX(0,1-ABS('XA MU'!$C$30-$D16)/xm_sT)+MAX(0,1-ABS('XA MU'!$D$30-$D16)/xm_sT)),0)+IF(ABS($D16-(xm_y0T+(xm_nT-1)/2*xm_sT))&lt;0.000001,IF('XA MU'!$B$30&lt;=6,'XA MU'!$E$30*$B$8*(IF('XA MU'!$C$30&gt;(xm_y0T+(xm_nT-1)/2*xm_sT),2*('XA MU'!$C$30-(xm_y0T+(xm_nT-1)/2*xm_sT))/xm_sT,0)+IF('XA MU'!$D$30&gt;(xm_y0T+(xm_nT-1)/2*xm_sT),2*('XA MU'!$D$30-(xm_y0T+(xm_nT-1)/2*xm_sT))/xm_sT,0)),0),0))))</f>
        <v>191.86454853191489</v>
      </c>
    </row>
    <row r="17" spans="1:14" x14ac:dyDescent="0.3">
      <c r="A17" s="42" t="s">
        <v>1235</v>
      </c>
      <c r="B17" s="42">
        <v>3</v>
      </c>
      <c r="C17" s="40">
        <f t="shared" si="0"/>
        <v>1</v>
      </c>
      <c r="D17" s="44">
        <f t="shared" si="1"/>
        <v>-5.875</v>
      </c>
      <c r="E17" s="44">
        <f>MAX(0,D17-'XA MU'!$C$8)*C17</f>
        <v>0</v>
      </c>
      <c r="F17" s="44">
        <f>IF(AND(C17=1,D17&gt;'XA MU'!$C$8),1,0)</f>
        <v>0</v>
      </c>
      <c r="G17" s="44">
        <f t="shared" si="2"/>
        <v>670.60125000000005</v>
      </c>
      <c r="H17" s="44">
        <f t="shared" si="3"/>
        <v>68.43768750000001</v>
      </c>
      <c r="I17" s="44">
        <f>IF(C17=0,0,IF(1&gt;nLan,0,1.2*(IF('XA MU'!$B$25&lt;=1,'XA MU'!$E$25*$B$8*(MAX(0,1-ABS('XA MU'!$C$25-$D17)/xm_sT)+MAX(0,1-ABS('XA MU'!$D$25-$D17)/xm_sT)),0)+IF(ABS($D17-(xm_y0T+(xm_nT-1)/2*xm_sT))&lt;0.000001,IF('XA MU'!$B$25&lt;=1,'XA MU'!$E$25*$B$8*(IF('XA MU'!$C$25&gt;(xm_y0T+(xm_nT-1)/2*xm_sT),2*('XA MU'!$C$25-(xm_y0T+(xm_nT-1)/2*xm_sT))/xm_sT,0)+IF('XA MU'!$D$25&gt;(xm_y0T+(xm_nT-1)/2*xm_sT),2*('XA MU'!$D$25-(xm_y0T+(xm_nT-1)/2*xm_sT))/xm_sT,0)),0),0)+IF('XA MU'!$B$26&lt;=1,'XA MU'!$E$26*$B$8*(MAX(0,1-ABS('XA MU'!$C$26-$D17)/xm_sT)+MAX(0,1-ABS('XA MU'!$D$26-$D17)/xm_sT)),0)+IF(ABS($D17-(xm_y0T+(xm_nT-1)/2*xm_sT))&lt;0.000001,IF('XA MU'!$B$26&lt;=1,'XA MU'!$E$26*$B$8*(IF('XA MU'!$C$26&gt;(xm_y0T+(xm_nT-1)/2*xm_sT),2*('XA MU'!$C$26-(xm_y0T+(xm_nT-1)/2*xm_sT))/xm_sT,0)+IF('XA MU'!$D$26&gt;(xm_y0T+(xm_nT-1)/2*xm_sT),2*('XA MU'!$D$26-(xm_y0T+(xm_nT-1)/2*xm_sT))/xm_sT,0)),0),0)+IF('XA MU'!$B$27&lt;=1,'XA MU'!$E$27*$B$8*(MAX(0,1-ABS('XA MU'!$C$27-$D17)/xm_sT)+MAX(0,1-ABS('XA MU'!$D$27-$D17)/xm_sT)),0)+IF(ABS($D17-(xm_y0T+(xm_nT-1)/2*xm_sT))&lt;0.000001,IF('XA MU'!$B$27&lt;=1,'XA MU'!$E$27*$B$8*(IF('XA MU'!$C$27&gt;(xm_y0T+(xm_nT-1)/2*xm_sT),2*('XA MU'!$C$27-(xm_y0T+(xm_nT-1)/2*xm_sT))/xm_sT,0)+IF('XA MU'!$D$27&gt;(xm_y0T+(xm_nT-1)/2*xm_sT),2*('XA MU'!$D$27-(xm_y0T+(xm_nT-1)/2*xm_sT))/xm_sT,0)),0),0)+IF('XA MU'!$B$28&lt;=1,'XA MU'!$E$28*$B$8*(MAX(0,1-ABS('XA MU'!$C$28-$D17)/xm_sT)+MAX(0,1-ABS('XA MU'!$D$28-$D17)/xm_sT)),0)+IF(ABS($D17-(xm_y0T+(xm_nT-1)/2*xm_sT))&lt;0.000001,IF('XA MU'!$B$28&lt;=1,'XA MU'!$E$28*$B$8*(IF('XA MU'!$C$28&gt;(xm_y0T+(xm_nT-1)/2*xm_sT),2*('XA MU'!$C$28-(xm_y0T+(xm_nT-1)/2*xm_sT))/xm_sT,0)+IF('XA MU'!$D$28&gt;(xm_y0T+(xm_nT-1)/2*xm_sT),2*('XA MU'!$D$28-(xm_y0T+(xm_nT-1)/2*xm_sT))/xm_sT,0)),0),0)+IF('XA MU'!$B$29&lt;=1,'XA MU'!$E$29*$B$8*(MAX(0,1-ABS('XA MU'!$C$29-$D17)/xm_sT)+MAX(0,1-ABS('XA MU'!$D$29-$D17)/xm_sT)),0)+IF(ABS($D17-(xm_y0T+(xm_nT-1)/2*xm_sT))&lt;0.000001,IF('XA MU'!$B$29&lt;=1,'XA MU'!$E$29*$B$8*(IF('XA MU'!$C$29&gt;(xm_y0T+(xm_nT-1)/2*xm_sT),2*('XA MU'!$C$29-(xm_y0T+(xm_nT-1)/2*xm_sT))/xm_sT,0)+IF('XA MU'!$D$29&gt;(xm_y0T+(xm_nT-1)/2*xm_sT),2*('XA MU'!$D$29-(xm_y0T+(xm_nT-1)/2*xm_sT))/xm_sT,0)),0),0)+IF('XA MU'!$B$30&lt;=1,'XA MU'!$E$30*$B$8*(MAX(0,1-ABS('XA MU'!$C$30-$D17)/xm_sT)+MAX(0,1-ABS('XA MU'!$D$30-$D17)/xm_sT)),0)+IF(ABS($D17-(xm_y0T+(xm_nT-1)/2*xm_sT))&lt;0.000001,IF('XA MU'!$B$30&lt;=1,'XA MU'!$E$30*$B$8*(IF('XA MU'!$C$30&gt;(xm_y0T+(xm_nT-1)/2*xm_sT),2*('XA MU'!$C$30-(xm_y0T+(xm_nT-1)/2*xm_sT))/xm_sT,0)+IF('XA MU'!$D$30&gt;(xm_y0T+(xm_nT-1)/2*xm_sT),2*('XA MU'!$D$30-(xm_y0T+(xm_nT-1)/2*xm_sT))/xm_sT,0)),0),0))))</f>
        <v>0</v>
      </c>
      <c r="J17" s="44">
        <f>IF(C17=0,0,IF(2&gt;nLan,0,1*(IF('XA MU'!$B$25&lt;=2,'XA MU'!$E$25*$B$8*(MAX(0,1-ABS('XA MU'!$C$25-$D17)/xm_sT)+MAX(0,1-ABS('XA MU'!$D$25-$D17)/xm_sT)),0)+IF(ABS($D17-(xm_y0T+(xm_nT-1)/2*xm_sT))&lt;0.000001,IF('XA MU'!$B$25&lt;=2,'XA MU'!$E$25*$B$8*(IF('XA MU'!$C$25&gt;(xm_y0T+(xm_nT-1)/2*xm_sT),2*('XA MU'!$C$25-(xm_y0T+(xm_nT-1)/2*xm_sT))/xm_sT,0)+IF('XA MU'!$D$25&gt;(xm_y0T+(xm_nT-1)/2*xm_sT),2*('XA MU'!$D$25-(xm_y0T+(xm_nT-1)/2*xm_sT))/xm_sT,0)),0),0)+IF('XA MU'!$B$26&lt;=2,'XA MU'!$E$26*$B$8*(MAX(0,1-ABS('XA MU'!$C$26-$D17)/xm_sT)+MAX(0,1-ABS('XA MU'!$D$26-$D17)/xm_sT)),0)+IF(ABS($D17-(xm_y0T+(xm_nT-1)/2*xm_sT))&lt;0.000001,IF('XA MU'!$B$26&lt;=2,'XA MU'!$E$26*$B$8*(IF('XA MU'!$C$26&gt;(xm_y0T+(xm_nT-1)/2*xm_sT),2*('XA MU'!$C$26-(xm_y0T+(xm_nT-1)/2*xm_sT))/xm_sT,0)+IF('XA MU'!$D$26&gt;(xm_y0T+(xm_nT-1)/2*xm_sT),2*('XA MU'!$D$26-(xm_y0T+(xm_nT-1)/2*xm_sT))/xm_sT,0)),0),0)+IF('XA MU'!$B$27&lt;=2,'XA MU'!$E$27*$B$8*(MAX(0,1-ABS('XA MU'!$C$27-$D17)/xm_sT)+MAX(0,1-ABS('XA MU'!$D$27-$D17)/xm_sT)),0)+IF(ABS($D17-(xm_y0T+(xm_nT-1)/2*xm_sT))&lt;0.000001,IF('XA MU'!$B$27&lt;=2,'XA MU'!$E$27*$B$8*(IF('XA MU'!$C$27&gt;(xm_y0T+(xm_nT-1)/2*xm_sT),2*('XA MU'!$C$27-(xm_y0T+(xm_nT-1)/2*xm_sT))/xm_sT,0)+IF('XA MU'!$D$27&gt;(xm_y0T+(xm_nT-1)/2*xm_sT),2*('XA MU'!$D$27-(xm_y0T+(xm_nT-1)/2*xm_sT))/xm_sT,0)),0),0)+IF('XA MU'!$B$28&lt;=2,'XA MU'!$E$28*$B$8*(MAX(0,1-ABS('XA MU'!$C$28-$D17)/xm_sT)+MAX(0,1-ABS('XA MU'!$D$28-$D17)/xm_sT)),0)+IF(ABS($D17-(xm_y0T+(xm_nT-1)/2*xm_sT))&lt;0.000001,IF('XA MU'!$B$28&lt;=2,'XA MU'!$E$28*$B$8*(IF('XA MU'!$C$28&gt;(xm_y0T+(xm_nT-1)/2*xm_sT),2*('XA MU'!$C$28-(xm_y0T+(xm_nT-1)/2*xm_sT))/xm_sT,0)+IF('XA MU'!$D$28&gt;(xm_y0T+(xm_nT-1)/2*xm_sT),2*('XA MU'!$D$28-(xm_y0T+(xm_nT-1)/2*xm_sT))/xm_sT,0)),0),0)+IF('XA MU'!$B$29&lt;=2,'XA MU'!$E$29*$B$8*(MAX(0,1-ABS('XA MU'!$C$29-$D17)/xm_sT)+MAX(0,1-ABS('XA MU'!$D$29-$D17)/xm_sT)),0)+IF(ABS($D17-(xm_y0T+(xm_nT-1)/2*xm_sT))&lt;0.000001,IF('XA MU'!$B$29&lt;=2,'XA MU'!$E$29*$B$8*(IF('XA MU'!$C$29&gt;(xm_y0T+(xm_nT-1)/2*xm_sT),2*('XA MU'!$C$29-(xm_y0T+(xm_nT-1)/2*xm_sT))/xm_sT,0)+IF('XA MU'!$D$29&gt;(xm_y0T+(xm_nT-1)/2*xm_sT),2*('XA MU'!$D$29-(xm_y0T+(xm_nT-1)/2*xm_sT))/xm_sT,0)),0),0)+IF('XA MU'!$B$30&lt;=2,'XA MU'!$E$30*$B$8*(MAX(0,1-ABS('XA MU'!$C$30-$D17)/xm_sT)+MAX(0,1-ABS('XA MU'!$D$30-$D17)/xm_sT)),0)+IF(ABS($D17-(xm_y0T+(xm_nT-1)/2*xm_sT))&lt;0.000001,IF('XA MU'!$B$30&lt;=2,'XA MU'!$E$30*$B$8*(IF('XA MU'!$C$30&gt;(xm_y0T+(xm_nT-1)/2*xm_sT),2*('XA MU'!$C$30-(xm_y0T+(xm_nT-1)/2*xm_sT))/xm_sT,0)+IF('XA MU'!$D$30&gt;(xm_y0T+(xm_nT-1)/2*xm_sT),2*('XA MU'!$D$30-(xm_y0T+(xm_nT-1)/2*xm_sT))/xm_sT,0)),0),0))))</f>
        <v>0</v>
      </c>
      <c r="K17" s="44">
        <f>IF(C17=0,0,IF(3&gt;nLan,0,0.85*(IF('XA MU'!$B$25&lt;=3,'XA MU'!$E$25*$B$8*(MAX(0,1-ABS('XA MU'!$C$25-$D17)/xm_sT)+MAX(0,1-ABS('XA MU'!$D$25-$D17)/xm_sT)),0)+IF(ABS($D17-(xm_y0T+(xm_nT-1)/2*xm_sT))&lt;0.000001,IF('XA MU'!$B$25&lt;=3,'XA MU'!$E$25*$B$8*(IF('XA MU'!$C$25&gt;(xm_y0T+(xm_nT-1)/2*xm_sT),2*('XA MU'!$C$25-(xm_y0T+(xm_nT-1)/2*xm_sT))/xm_sT,0)+IF('XA MU'!$D$25&gt;(xm_y0T+(xm_nT-1)/2*xm_sT),2*('XA MU'!$D$25-(xm_y0T+(xm_nT-1)/2*xm_sT))/xm_sT,0)),0),0)+IF('XA MU'!$B$26&lt;=3,'XA MU'!$E$26*$B$8*(MAX(0,1-ABS('XA MU'!$C$26-$D17)/xm_sT)+MAX(0,1-ABS('XA MU'!$D$26-$D17)/xm_sT)),0)+IF(ABS($D17-(xm_y0T+(xm_nT-1)/2*xm_sT))&lt;0.000001,IF('XA MU'!$B$26&lt;=3,'XA MU'!$E$26*$B$8*(IF('XA MU'!$C$26&gt;(xm_y0T+(xm_nT-1)/2*xm_sT),2*('XA MU'!$C$26-(xm_y0T+(xm_nT-1)/2*xm_sT))/xm_sT,0)+IF('XA MU'!$D$26&gt;(xm_y0T+(xm_nT-1)/2*xm_sT),2*('XA MU'!$D$26-(xm_y0T+(xm_nT-1)/2*xm_sT))/xm_sT,0)),0),0)+IF('XA MU'!$B$27&lt;=3,'XA MU'!$E$27*$B$8*(MAX(0,1-ABS('XA MU'!$C$27-$D17)/xm_sT)+MAX(0,1-ABS('XA MU'!$D$27-$D17)/xm_sT)),0)+IF(ABS($D17-(xm_y0T+(xm_nT-1)/2*xm_sT))&lt;0.000001,IF('XA MU'!$B$27&lt;=3,'XA MU'!$E$27*$B$8*(IF('XA MU'!$C$27&gt;(xm_y0T+(xm_nT-1)/2*xm_sT),2*('XA MU'!$C$27-(xm_y0T+(xm_nT-1)/2*xm_sT))/xm_sT,0)+IF('XA MU'!$D$27&gt;(xm_y0T+(xm_nT-1)/2*xm_sT),2*('XA MU'!$D$27-(xm_y0T+(xm_nT-1)/2*xm_sT))/xm_sT,0)),0),0)+IF('XA MU'!$B$28&lt;=3,'XA MU'!$E$28*$B$8*(MAX(0,1-ABS('XA MU'!$C$28-$D17)/xm_sT)+MAX(0,1-ABS('XA MU'!$D$28-$D17)/xm_sT)),0)+IF(ABS($D17-(xm_y0T+(xm_nT-1)/2*xm_sT))&lt;0.000001,IF('XA MU'!$B$28&lt;=3,'XA MU'!$E$28*$B$8*(IF('XA MU'!$C$28&gt;(xm_y0T+(xm_nT-1)/2*xm_sT),2*('XA MU'!$C$28-(xm_y0T+(xm_nT-1)/2*xm_sT))/xm_sT,0)+IF('XA MU'!$D$28&gt;(xm_y0T+(xm_nT-1)/2*xm_sT),2*('XA MU'!$D$28-(xm_y0T+(xm_nT-1)/2*xm_sT))/xm_sT,0)),0),0)+IF('XA MU'!$B$29&lt;=3,'XA MU'!$E$29*$B$8*(MAX(0,1-ABS('XA MU'!$C$29-$D17)/xm_sT)+MAX(0,1-ABS('XA MU'!$D$29-$D17)/xm_sT)),0)+IF(ABS($D17-(xm_y0T+(xm_nT-1)/2*xm_sT))&lt;0.000001,IF('XA MU'!$B$29&lt;=3,'XA MU'!$E$29*$B$8*(IF('XA MU'!$C$29&gt;(xm_y0T+(xm_nT-1)/2*xm_sT),2*('XA MU'!$C$29-(xm_y0T+(xm_nT-1)/2*xm_sT))/xm_sT,0)+IF('XA MU'!$D$29&gt;(xm_y0T+(xm_nT-1)/2*xm_sT),2*('XA MU'!$D$29-(xm_y0T+(xm_nT-1)/2*xm_sT))/xm_sT,0)),0),0)+IF('XA MU'!$B$30&lt;=3,'XA MU'!$E$30*$B$8*(MAX(0,1-ABS('XA MU'!$C$30-$D17)/xm_sT)+MAX(0,1-ABS('XA MU'!$D$30-$D17)/xm_sT)),0)+IF(ABS($D17-(xm_y0T+(xm_nT-1)/2*xm_sT))&lt;0.000001,IF('XA MU'!$B$30&lt;=3,'XA MU'!$E$30*$B$8*(IF('XA MU'!$C$30&gt;(xm_y0T+(xm_nT-1)/2*xm_sT),2*('XA MU'!$C$30-(xm_y0T+(xm_nT-1)/2*xm_sT))/xm_sT,0)+IF('XA MU'!$D$30&gt;(xm_y0T+(xm_nT-1)/2*xm_sT),2*('XA MU'!$D$30-(xm_y0T+(xm_nT-1)/2*xm_sT))/xm_sT,0)),0),0))))</f>
        <v>0</v>
      </c>
      <c r="L17" s="44">
        <f>IF(C17=0,0,IF(4&gt;nLan,0,0.65*(IF('XA MU'!$B$25&lt;=4,'XA MU'!$E$25*$B$8*(MAX(0,1-ABS('XA MU'!$C$25-$D17)/xm_sT)+MAX(0,1-ABS('XA MU'!$D$25-$D17)/xm_sT)),0)+IF(ABS($D17-(xm_y0T+(xm_nT-1)/2*xm_sT))&lt;0.000001,IF('XA MU'!$B$25&lt;=4,'XA MU'!$E$25*$B$8*(IF('XA MU'!$C$25&gt;(xm_y0T+(xm_nT-1)/2*xm_sT),2*('XA MU'!$C$25-(xm_y0T+(xm_nT-1)/2*xm_sT))/xm_sT,0)+IF('XA MU'!$D$25&gt;(xm_y0T+(xm_nT-1)/2*xm_sT),2*('XA MU'!$D$25-(xm_y0T+(xm_nT-1)/2*xm_sT))/xm_sT,0)),0),0)+IF('XA MU'!$B$26&lt;=4,'XA MU'!$E$26*$B$8*(MAX(0,1-ABS('XA MU'!$C$26-$D17)/xm_sT)+MAX(0,1-ABS('XA MU'!$D$26-$D17)/xm_sT)),0)+IF(ABS($D17-(xm_y0T+(xm_nT-1)/2*xm_sT))&lt;0.000001,IF('XA MU'!$B$26&lt;=4,'XA MU'!$E$26*$B$8*(IF('XA MU'!$C$26&gt;(xm_y0T+(xm_nT-1)/2*xm_sT),2*('XA MU'!$C$26-(xm_y0T+(xm_nT-1)/2*xm_sT))/xm_sT,0)+IF('XA MU'!$D$26&gt;(xm_y0T+(xm_nT-1)/2*xm_sT),2*('XA MU'!$D$26-(xm_y0T+(xm_nT-1)/2*xm_sT))/xm_sT,0)),0),0)+IF('XA MU'!$B$27&lt;=4,'XA MU'!$E$27*$B$8*(MAX(0,1-ABS('XA MU'!$C$27-$D17)/xm_sT)+MAX(0,1-ABS('XA MU'!$D$27-$D17)/xm_sT)),0)+IF(ABS($D17-(xm_y0T+(xm_nT-1)/2*xm_sT))&lt;0.000001,IF('XA MU'!$B$27&lt;=4,'XA MU'!$E$27*$B$8*(IF('XA MU'!$C$27&gt;(xm_y0T+(xm_nT-1)/2*xm_sT),2*('XA MU'!$C$27-(xm_y0T+(xm_nT-1)/2*xm_sT))/xm_sT,0)+IF('XA MU'!$D$27&gt;(xm_y0T+(xm_nT-1)/2*xm_sT),2*('XA MU'!$D$27-(xm_y0T+(xm_nT-1)/2*xm_sT))/xm_sT,0)),0),0)+IF('XA MU'!$B$28&lt;=4,'XA MU'!$E$28*$B$8*(MAX(0,1-ABS('XA MU'!$C$28-$D17)/xm_sT)+MAX(0,1-ABS('XA MU'!$D$28-$D17)/xm_sT)),0)+IF(ABS($D17-(xm_y0T+(xm_nT-1)/2*xm_sT))&lt;0.000001,IF('XA MU'!$B$28&lt;=4,'XA MU'!$E$28*$B$8*(IF('XA MU'!$C$28&gt;(xm_y0T+(xm_nT-1)/2*xm_sT),2*('XA MU'!$C$28-(xm_y0T+(xm_nT-1)/2*xm_sT))/xm_sT,0)+IF('XA MU'!$D$28&gt;(xm_y0T+(xm_nT-1)/2*xm_sT),2*('XA MU'!$D$28-(xm_y0T+(xm_nT-1)/2*xm_sT))/xm_sT,0)),0),0)+IF('XA MU'!$B$29&lt;=4,'XA MU'!$E$29*$B$8*(MAX(0,1-ABS('XA MU'!$C$29-$D17)/xm_sT)+MAX(0,1-ABS('XA MU'!$D$29-$D17)/xm_sT)),0)+IF(ABS($D17-(xm_y0T+(xm_nT-1)/2*xm_sT))&lt;0.000001,IF('XA MU'!$B$29&lt;=4,'XA MU'!$E$29*$B$8*(IF('XA MU'!$C$29&gt;(xm_y0T+(xm_nT-1)/2*xm_sT),2*('XA MU'!$C$29-(xm_y0T+(xm_nT-1)/2*xm_sT))/xm_sT,0)+IF('XA MU'!$D$29&gt;(xm_y0T+(xm_nT-1)/2*xm_sT),2*('XA MU'!$D$29-(xm_y0T+(xm_nT-1)/2*xm_sT))/xm_sT,0)),0),0)+IF('XA MU'!$B$30&lt;=4,'XA MU'!$E$30*$B$8*(MAX(0,1-ABS('XA MU'!$C$30-$D17)/xm_sT)+MAX(0,1-ABS('XA MU'!$D$30-$D17)/xm_sT)),0)+IF(ABS($D17-(xm_y0T+(xm_nT-1)/2*xm_sT))&lt;0.000001,IF('XA MU'!$B$30&lt;=4,'XA MU'!$E$30*$B$8*(IF('XA MU'!$C$30&gt;(xm_y0T+(xm_nT-1)/2*xm_sT),2*('XA MU'!$C$30-(xm_y0T+(xm_nT-1)/2*xm_sT))/xm_sT,0)+IF('XA MU'!$D$30&gt;(xm_y0T+(xm_nT-1)/2*xm_sT),2*('XA MU'!$D$30-(xm_y0T+(xm_nT-1)/2*xm_sT))/xm_sT,0)),0),0))))</f>
        <v>0</v>
      </c>
      <c r="M17" s="44">
        <f>IF(C17=0,0,IF(5&gt;nLan,0,0.65*(IF('XA MU'!$B$25&lt;=5,'XA MU'!$E$25*$B$8*(MAX(0,1-ABS('XA MU'!$C$25-$D17)/xm_sT)+MAX(0,1-ABS('XA MU'!$D$25-$D17)/xm_sT)),0)+IF(ABS($D17-(xm_y0T+(xm_nT-1)/2*xm_sT))&lt;0.000001,IF('XA MU'!$B$25&lt;=5,'XA MU'!$E$25*$B$8*(IF('XA MU'!$C$25&gt;(xm_y0T+(xm_nT-1)/2*xm_sT),2*('XA MU'!$C$25-(xm_y0T+(xm_nT-1)/2*xm_sT))/xm_sT,0)+IF('XA MU'!$D$25&gt;(xm_y0T+(xm_nT-1)/2*xm_sT),2*('XA MU'!$D$25-(xm_y0T+(xm_nT-1)/2*xm_sT))/xm_sT,0)),0),0)+IF('XA MU'!$B$26&lt;=5,'XA MU'!$E$26*$B$8*(MAX(0,1-ABS('XA MU'!$C$26-$D17)/xm_sT)+MAX(0,1-ABS('XA MU'!$D$26-$D17)/xm_sT)),0)+IF(ABS($D17-(xm_y0T+(xm_nT-1)/2*xm_sT))&lt;0.000001,IF('XA MU'!$B$26&lt;=5,'XA MU'!$E$26*$B$8*(IF('XA MU'!$C$26&gt;(xm_y0T+(xm_nT-1)/2*xm_sT),2*('XA MU'!$C$26-(xm_y0T+(xm_nT-1)/2*xm_sT))/xm_sT,0)+IF('XA MU'!$D$26&gt;(xm_y0T+(xm_nT-1)/2*xm_sT),2*('XA MU'!$D$26-(xm_y0T+(xm_nT-1)/2*xm_sT))/xm_sT,0)),0),0)+IF('XA MU'!$B$27&lt;=5,'XA MU'!$E$27*$B$8*(MAX(0,1-ABS('XA MU'!$C$27-$D17)/xm_sT)+MAX(0,1-ABS('XA MU'!$D$27-$D17)/xm_sT)),0)+IF(ABS($D17-(xm_y0T+(xm_nT-1)/2*xm_sT))&lt;0.000001,IF('XA MU'!$B$27&lt;=5,'XA MU'!$E$27*$B$8*(IF('XA MU'!$C$27&gt;(xm_y0T+(xm_nT-1)/2*xm_sT),2*('XA MU'!$C$27-(xm_y0T+(xm_nT-1)/2*xm_sT))/xm_sT,0)+IF('XA MU'!$D$27&gt;(xm_y0T+(xm_nT-1)/2*xm_sT),2*('XA MU'!$D$27-(xm_y0T+(xm_nT-1)/2*xm_sT))/xm_sT,0)),0),0)+IF('XA MU'!$B$28&lt;=5,'XA MU'!$E$28*$B$8*(MAX(0,1-ABS('XA MU'!$C$28-$D17)/xm_sT)+MAX(0,1-ABS('XA MU'!$D$28-$D17)/xm_sT)),0)+IF(ABS($D17-(xm_y0T+(xm_nT-1)/2*xm_sT))&lt;0.000001,IF('XA MU'!$B$28&lt;=5,'XA MU'!$E$28*$B$8*(IF('XA MU'!$C$28&gt;(xm_y0T+(xm_nT-1)/2*xm_sT),2*('XA MU'!$C$28-(xm_y0T+(xm_nT-1)/2*xm_sT))/xm_sT,0)+IF('XA MU'!$D$28&gt;(xm_y0T+(xm_nT-1)/2*xm_sT),2*('XA MU'!$D$28-(xm_y0T+(xm_nT-1)/2*xm_sT))/xm_sT,0)),0),0)+IF('XA MU'!$B$29&lt;=5,'XA MU'!$E$29*$B$8*(MAX(0,1-ABS('XA MU'!$C$29-$D17)/xm_sT)+MAX(0,1-ABS('XA MU'!$D$29-$D17)/xm_sT)),0)+IF(ABS($D17-(xm_y0T+(xm_nT-1)/2*xm_sT))&lt;0.000001,IF('XA MU'!$B$29&lt;=5,'XA MU'!$E$29*$B$8*(IF('XA MU'!$C$29&gt;(xm_y0T+(xm_nT-1)/2*xm_sT),2*('XA MU'!$C$29-(xm_y0T+(xm_nT-1)/2*xm_sT))/xm_sT,0)+IF('XA MU'!$D$29&gt;(xm_y0T+(xm_nT-1)/2*xm_sT),2*('XA MU'!$D$29-(xm_y0T+(xm_nT-1)/2*xm_sT))/xm_sT,0)),0),0)+IF('XA MU'!$B$30&lt;=5,'XA MU'!$E$30*$B$8*(MAX(0,1-ABS('XA MU'!$C$30-$D17)/xm_sT)+MAX(0,1-ABS('XA MU'!$D$30-$D17)/xm_sT)),0)+IF(ABS($D17-(xm_y0T+(xm_nT-1)/2*xm_sT))&lt;0.000001,IF('XA MU'!$B$30&lt;=5,'XA MU'!$E$30*$B$8*(IF('XA MU'!$C$30&gt;(xm_y0T+(xm_nT-1)/2*xm_sT),2*('XA MU'!$C$30-(xm_y0T+(xm_nT-1)/2*xm_sT))/xm_sT,0)+IF('XA MU'!$D$30&gt;(xm_y0T+(xm_nT-1)/2*xm_sT),2*('XA MU'!$D$30-(xm_y0T+(xm_nT-1)/2*xm_sT))/xm_sT,0)),0),0))))</f>
        <v>132.32037829787242</v>
      </c>
      <c r="N17" s="44">
        <f>IF(C17=0,0,IF(6&gt;nLan,0,0.65*(IF('XA MU'!$B$25&lt;=6,'XA MU'!$E$25*$B$8*(MAX(0,1-ABS('XA MU'!$C$25-$D17)/xm_sT)+MAX(0,1-ABS('XA MU'!$D$25-$D17)/xm_sT)),0)+IF(ABS($D17-(xm_y0T+(xm_nT-1)/2*xm_sT))&lt;0.000001,IF('XA MU'!$B$25&lt;=6,'XA MU'!$E$25*$B$8*(IF('XA MU'!$C$25&gt;(xm_y0T+(xm_nT-1)/2*xm_sT),2*('XA MU'!$C$25-(xm_y0T+(xm_nT-1)/2*xm_sT))/xm_sT,0)+IF('XA MU'!$D$25&gt;(xm_y0T+(xm_nT-1)/2*xm_sT),2*('XA MU'!$D$25-(xm_y0T+(xm_nT-1)/2*xm_sT))/xm_sT,0)),0),0)+IF('XA MU'!$B$26&lt;=6,'XA MU'!$E$26*$B$8*(MAX(0,1-ABS('XA MU'!$C$26-$D17)/xm_sT)+MAX(0,1-ABS('XA MU'!$D$26-$D17)/xm_sT)),0)+IF(ABS($D17-(xm_y0T+(xm_nT-1)/2*xm_sT))&lt;0.000001,IF('XA MU'!$B$26&lt;=6,'XA MU'!$E$26*$B$8*(IF('XA MU'!$C$26&gt;(xm_y0T+(xm_nT-1)/2*xm_sT),2*('XA MU'!$C$26-(xm_y0T+(xm_nT-1)/2*xm_sT))/xm_sT,0)+IF('XA MU'!$D$26&gt;(xm_y0T+(xm_nT-1)/2*xm_sT),2*('XA MU'!$D$26-(xm_y0T+(xm_nT-1)/2*xm_sT))/xm_sT,0)),0),0)+IF('XA MU'!$B$27&lt;=6,'XA MU'!$E$27*$B$8*(MAX(0,1-ABS('XA MU'!$C$27-$D17)/xm_sT)+MAX(0,1-ABS('XA MU'!$D$27-$D17)/xm_sT)),0)+IF(ABS($D17-(xm_y0T+(xm_nT-1)/2*xm_sT))&lt;0.000001,IF('XA MU'!$B$27&lt;=6,'XA MU'!$E$27*$B$8*(IF('XA MU'!$C$27&gt;(xm_y0T+(xm_nT-1)/2*xm_sT),2*('XA MU'!$C$27-(xm_y0T+(xm_nT-1)/2*xm_sT))/xm_sT,0)+IF('XA MU'!$D$27&gt;(xm_y0T+(xm_nT-1)/2*xm_sT),2*('XA MU'!$D$27-(xm_y0T+(xm_nT-1)/2*xm_sT))/xm_sT,0)),0),0)+IF('XA MU'!$B$28&lt;=6,'XA MU'!$E$28*$B$8*(MAX(0,1-ABS('XA MU'!$C$28-$D17)/xm_sT)+MAX(0,1-ABS('XA MU'!$D$28-$D17)/xm_sT)),0)+IF(ABS($D17-(xm_y0T+(xm_nT-1)/2*xm_sT))&lt;0.000001,IF('XA MU'!$B$28&lt;=6,'XA MU'!$E$28*$B$8*(IF('XA MU'!$C$28&gt;(xm_y0T+(xm_nT-1)/2*xm_sT),2*('XA MU'!$C$28-(xm_y0T+(xm_nT-1)/2*xm_sT))/xm_sT,0)+IF('XA MU'!$D$28&gt;(xm_y0T+(xm_nT-1)/2*xm_sT),2*('XA MU'!$D$28-(xm_y0T+(xm_nT-1)/2*xm_sT))/xm_sT,0)),0),0)+IF('XA MU'!$B$29&lt;=6,'XA MU'!$E$29*$B$8*(MAX(0,1-ABS('XA MU'!$C$29-$D17)/xm_sT)+MAX(0,1-ABS('XA MU'!$D$29-$D17)/xm_sT)),0)+IF(ABS($D17-(xm_y0T+(xm_nT-1)/2*xm_sT))&lt;0.000001,IF('XA MU'!$B$29&lt;=6,'XA MU'!$E$29*$B$8*(IF('XA MU'!$C$29&gt;(xm_y0T+(xm_nT-1)/2*xm_sT),2*('XA MU'!$C$29-(xm_y0T+(xm_nT-1)/2*xm_sT))/xm_sT,0)+IF('XA MU'!$D$29&gt;(xm_y0T+(xm_nT-1)/2*xm_sT),2*('XA MU'!$D$29-(xm_y0T+(xm_nT-1)/2*xm_sT))/xm_sT,0)),0),0)+IF('XA MU'!$B$30&lt;=6,'XA MU'!$E$30*$B$8*(MAX(0,1-ABS('XA MU'!$C$30-$D17)/xm_sT)+MAX(0,1-ABS('XA MU'!$D$30-$D17)/xm_sT)),0)+IF(ABS($D17-(xm_y0T+(xm_nT-1)/2*xm_sT))&lt;0.000001,IF('XA MU'!$B$30&lt;=6,'XA MU'!$E$30*$B$8*(IF('XA MU'!$C$30&gt;(xm_y0T+(xm_nT-1)/2*xm_sT),2*('XA MU'!$C$30-(xm_y0T+(xm_nT-1)/2*xm_sT))/xm_sT,0)+IF('XA MU'!$D$30&gt;(xm_y0T+(xm_nT-1)/2*xm_sT),2*('XA MU'!$D$30-(xm_y0T+(xm_nT-1)/2*xm_sT))/xm_sT,0)),0),0))))</f>
        <v>198.48056744680864</v>
      </c>
    </row>
    <row r="18" spans="1:14" x14ac:dyDescent="0.3">
      <c r="A18" s="42" t="s">
        <v>1235</v>
      </c>
      <c r="B18" s="42">
        <v>4</v>
      </c>
      <c r="C18" s="40">
        <f t="shared" si="0"/>
        <v>1</v>
      </c>
      <c r="D18" s="44">
        <f t="shared" si="1"/>
        <v>-3.5250000000000004</v>
      </c>
      <c r="E18" s="44">
        <f>MAX(0,D18-'XA MU'!$C$8)*C18</f>
        <v>0</v>
      </c>
      <c r="F18" s="44">
        <f>IF(AND(C18=1,D18&gt;'XA MU'!$C$8),1,0)</f>
        <v>0</v>
      </c>
      <c r="G18" s="44">
        <f t="shared" si="2"/>
        <v>670.60125000000005</v>
      </c>
      <c r="H18" s="44">
        <f t="shared" si="3"/>
        <v>68.43768750000001</v>
      </c>
      <c r="I18" s="44">
        <f>IF(C18=0,0,IF(1&gt;nLan,0,1.2*(IF('XA MU'!$B$25&lt;=1,'XA MU'!$E$25*$B$8*(MAX(0,1-ABS('XA MU'!$C$25-$D18)/xm_sT)+MAX(0,1-ABS('XA MU'!$D$25-$D18)/xm_sT)),0)+IF(ABS($D18-(xm_y0T+(xm_nT-1)/2*xm_sT))&lt;0.000001,IF('XA MU'!$B$25&lt;=1,'XA MU'!$E$25*$B$8*(IF('XA MU'!$C$25&gt;(xm_y0T+(xm_nT-1)/2*xm_sT),2*('XA MU'!$C$25-(xm_y0T+(xm_nT-1)/2*xm_sT))/xm_sT,0)+IF('XA MU'!$D$25&gt;(xm_y0T+(xm_nT-1)/2*xm_sT),2*('XA MU'!$D$25-(xm_y0T+(xm_nT-1)/2*xm_sT))/xm_sT,0)),0),0)+IF('XA MU'!$B$26&lt;=1,'XA MU'!$E$26*$B$8*(MAX(0,1-ABS('XA MU'!$C$26-$D18)/xm_sT)+MAX(0,1-ABS('XA MU'!$D$26-$D18)/xm_sT)),0)+IF(ABS($D18-(xm_y0T+(xm_nT-1)/2*xm_sT))&lt;0.000001,IF('XA MU'!$B$26&lt;=1,'XA MU'!$E$26*$B$8*(IF('XA MU'!$C$26&gt;(xm_y0T+(xm_nT-1)/2*xm_sT),2*('XA MU'!$C$26-(xm_y0T+(xm_nT-1)/2*xm_sT))/xm_sT,0)+IF('XA MU'!$D$26&gt;(xm_y0T+(xm_nT-1)/2*xm_sT),2*('XA MU'!$D$26-(xm_y0T+(xm_nT-1)/2*xm_sT))/xm_sT,0)),0),0)+IF('XA MU'!$B$27&lt;=1,'XA MU'!$E$27*$B$8*(MAX(0,1-ABS('XA MU'!$C$27-$D18)/xm_sT)+MAX(0,1-ABS('XA MU'!$D$27-$D18)/xm_sT)),0)+IF(ABS($D18-(xm_y0T+(xm_nT-1)/2*xm_sT))&lt;0.000001,IF('XA MU'!$B$27&lt;=1,'XA MU'!$E$27*$B$8*(IF('XA MU'!$C$27&gt;(xm_y0T+(xm_nT-1)/2*xm_sT),2*('XA MU'!$C$27-(xm_y0T+(xm_nT-1)/2*xm_sT))/xm_sT,0)+IF('XA MU'!$D$27&gt;(xm_y0T+(xm_nT-1)/2*xm_sT),2*('XA MU'!$D$27-(xm_y0T+(xm_nT-1)/2*xm_sT))/xm_sT,0)),0),0)+IF('XA MU'!$B$28&lt;=1,'XA MU'!$E$28*$B$8*(MAX(0,1-ABS('XA MU'!$C$28-$D18)/xm_sT)+MAX(0,1-ABS('XA MU'!$D$28-$D18)/xm_sT)),0)+IF(ABS($D18-(xm_y0T+(xm_nT-1)/2*xm_sT))&lt;0.000001,IF('XA MU'!$B$28&lt;=1,'XA MU'!$E$28*$B$8*(IF('XA MU'!$C$28&gt;(xm_y0T+(xm_nT-1)/2*xm_sT),2*('XA MU'!$C$28-(xm_y0T+(xm_nT-1)/2*xm_sT))/xm_sT,0)+IF('XA MU'!$D$28&gt;(xm_y0T+(xm_nT-1)/2*xm_sT),2*('XA MU'!$D$28-(xm_y0T+(xm_nT-1)/2*xm_sT))/xm_sT,0)),0),0)+IF('XA MU'!$B$29&lt;=1,'XA MU'!$E$29*$B$8*(MAX(0,1-ABS('XA MU'!$C$29-$D18)/xm_sT)+MAX(0,1-ABS('XA MU'!$D$29-$D18)/xm_sT)),0)+IF(ABS($D18-(xm_y0T+(xm_nT-1)/2*xm_sT))&lt;0.000001,IF('XA MU'!$B$29&lt;=1,'XA MU'!$E$29*$B$8*(IF('XA MU'!$C$29&gt;(xm_y0T+(xm_nT-1)/2*xm_sT),2*('XA MU'!$C$29-(xm_y0T+(xm_nT-1)/2*xm_sT))/xm_sT,0)+IF('XA MU'!$D$29&gt;(xm_y0T+(xm_nT-1)/2*xm_sT),2*('XA MU'!$D$29-(xm_y0T+(xm_nT-1)/2*xm_sT))/xm_sT,0)),0),0)+IF('XA MU'!$B$30&lt;=1,'XA MU'!$E$30*$B$8*(MAX(0,1-ABS('XA MU'!$C$30-$D18)/xm_sT)+MAX(0,1-ABS('XA MU'!$D$30-$D18)/xm_sT)),0)+IF(ABS($D18-(xm_y0T+(xm_nT-1)/2*xm_sT))&lt;0.000001,IF('XA MU'!$B$30&lt;=1,'XA MU'!$E$30*$B$8*(IF('XA MU'!$C$30&gt;(xm_y0T+(xm_nT-1)/2*xm_sT),2*('XA MU'!$C$30-(xm_y0T+(xm_nT-1)/2*xm_sT))/xm_sT,0)+IF('XA MU'!$D$30&gt;(xm_y0T+(xm_nT-1)/2*xm_sT),2*('XA MU'!$D$30-(xm_y0T+(xm_nT-1)/2*xm_sT))/xm_sT,0)),0),0))))</f>
        <v>0</v>
      </c>
      <c r="J18" s="44">
        <f>IF(C18=0,0,IF(2&gt;nLan,0,1*(IF('XA MU'!$B$25&lt;=2,'XA MU'!$E$25*$B$8*(MAX(0,1-ABS('XA MU'!$C$25-$D18)/xm_sT)+MAX(0,1-ABS('XA MU'!$D$25-$D18)/xm_sT)),0)+IF(ABS($D18-(xm_y0T+(xm_nT-1)/2*xm_sT))&lt;0.000001,IF('XA MU'!$B$25&lt;=2,'XA MU'!$E$25*$B$8*(IF('XA MU'!$C$25&gt;(xm_y0T+(xm_nT-1)/2*xm_sT),2*('XA MU'!$C$25-(xm_y0T+(xm_nT-1)/2*xm_sT))/xm_sT,0)+IF('XA MU'!$D$25&gt;(xm_y0T+(xm_nT-1)/2*xm_sT),2*('XA MU'!$D$25-(xm_y0T+(xm_nT-1)/2*xm_sT))/xm_sT,0)),0),0)+IF('XA MU'!$B$26&lt;=2,'XA MU'!$E$26*$B$8*(MAX(0,1-ABS('XA MU'!$C$26-$D18)/xm_sT)+MAX(0,1-ABS('XA MU'!$D$26-$D18)/xm_sT)),0)+IF(ABS($D18-(xm_y0T+(xm_nT-1)/2*xm_sT))&lt;0.000001,IF('XA MU'!$B$26&lt;=2,'XA MU'!$E$26*$B$8*(IF('XA MU'!$C$26&gt;(xm_y0T+(xm_nT-1)/2*xm_sT),2*('XA MU'!$C$26-(xm_y0T+(xm_nT-1)/2*xm_sT))/xm_sT,0)+IF('XA MU'!$D$26&gt;(xm_y0T+(xm_nT-1)/2*xm_sT),2*('XA MU'!$D$26-(xm_y0T+(xm_nT-1)/2*xm_sT))/xm_sT,0)),0),0)+IF('XA MU'!$B$27&lt;=2,'XA MU'!$E$27*$B$8*(MAX(0,1-ABS('XA MU'!$C$27-$D18)/xm_sT)+MAX(0,1-ABS('XA MU'!$D$27-$D18)/xm_sT)),0)+IF(ABS($D18-(xm_y0T+(xm_nT-1)/2*xm_sT))&lt;0.000001,IF('XA MU'!$B$27&lt;=2,'XA MU'!$E$27*$B$8*(IF('XA MU'!$C$27&gt;(xm_y0T+(xm_nT-1)/2*xm_sT),2*('XA MU'!$C$27-(xm_y0T+(xm_nT-1)/2*xm_sT))/xm_sT,0)+IF('XA MU'!$D$27&gt;(xm_y0T+(xm_nT-1)/2*xm_sT),2*('XA MU'!$D$27-(xm_y0T+(xm_nT-1)/2*xm_sT))/xm_sT,0)),0),0)+IF('XA MU'!$B$28&lt;=2,'XA MU'!$E$28*$B$8*(MAX(0,1-ABS('XA MU'!$C$28-$D18)/xm_sT)+MAX(0,1-ABS('XA MU'!$D$28-$D18)/xm_sT)),0)+IF(ABS($D18-(xm_y0T+(xm_nT-1)/2*xm_sT))&lt;0.000001,IF('XA MU'!$B$28&lt;=2,'XA MU'!$E$28*$B$8*(IF('XA MU'!$C$28&gt;(xm_y0T+(xm_nT-1)/2*xm_sT),2*('XA MU'!$C$28-(xm_y0T+(xm_nT-1)/2*xm_sT))/xm_sT,0)+IF('XA MU'!$D$28&gt;(xm_y0T+(xm_nT-1)/2*xm_sT),2*('XA MU'!$D$28-(xm_y0T+(xm_nT-1)/2*xm_sT))/xm_sT,0)),0),0)+IF('XA MU'!$B$29&lt;=2,'XA MU'!$E$29*$B$8*(MAX(0,1-ABS('XA MU'!$C$29-$D18)/xm_sT)+MAX(0,1-ABS('XA MU'!$D$29-$D18)/xm_sT)),0)+IF(ABS($D18-(xm_y0T+(xm_nT-1)/2*xm_sT))&lt;0.000001,IF('XA MU'!$B$29&lt;=2,'XA MU'!$E$29*$B$8*(IF('XA MU'!$C$29&gt;(xm_y0T+(xm_nT-1)/2*xm_sT),2*('XA MU'!$C$29-(xm_y0T+(xm_nT-1)/2*xm_sT))/xm_sT,0)+IF('XA MU'!$D$29&gt;(xm_y0T+(xm_nT-1)/2*xm_sT),2*('XA MU'!$D$29-(xm_y0T+(xm_nT-1)/2*xm_sT))/xm_sT,0)),0),0)+IF('XA MU'!$B$30&lt;=2,'XA MU'!$E$30*$B$8*(MAX(0,1-ABS('XA MU'!$C$30-$D18)/xm_sT)+MAX(0,1-ABS('XA MU'!$D$30-$D18)/xm_sT)),0)+IF(ABS($D18-(xm_y0T+(xm_nT-1)/2*xm_sT))&lt;0.000001,IF('XA MU'!$B$30&lt;=2,'XA MU'!$E$30*$B$8*(IF('XA MU'!$C$30&gt;(xm_y0T+(xm_nT-1)/2*xm_sT),2*('XA MU'!$C$30-(xm_y0T+(xm_nT-1)/2*xm_sT))/xm_sT,0)+IF('XA MU'!$D$30&gt;(xm_y0T+(xm_nT-1)/2*xm_sT),2*('XA MU'!$D$30-(xm_y0T+(xm_nT-1)/2*xm_sT))/xm_sT,0)),0),0))))</f>
        <v>0</v>
      </c>
      <c r="K18" s="44">
        <f>IF(C18=0,0,IF(3&gt;nLan,0,0.85*(IF('XA MU'!$B$25&lt;=3,'XA MU'!$E$25*$B$8*(MAX(0,1-ABS('XA MU'!$C$25-$D18)/xm_sT)+MAX(0,1-ABS('XA MU'!$D$25-$D18)/xm_sT)),0)+IF(ABS($D18-(xm_y0T+(xm_nT-1)/2*xm_sT))&lt;0.000001,IF('XA MU'!$B$25&lt;=3,'XA MU'!$E$25*$B$8*(IF('XA MU'!$C$25&gt;(xm_y0T+(xm_nT-1)/2*xm_sT),2*('XA MU'!$C$25-(xm_y0T+(xm_nT-1)/2*xm_sT))/xm_sT,0)+IF('XA MU'!$D$25&gt;(xm_y0T+(xm_nT-1)/2*xm_sT),2*('XA MU'!$D$25-(xm_y0T+(xm_nT-1)/2*xm_sT))/xm_sT,0)),0),0)+IF('XA MU'!$B$26&lt;=3,'XA MU'!$E$26*$B$8*(MAX(0,1-ABS('XA MU'!$C$26-$D18)/xm_sT)+MAX(0,1-ABS('XA MU'!$D$26-$D18)/xm_sT)),0)+IF(ABS($D18-(xm_y0T+(xm_nT-1)/2*xm_sT))&lt;0.000001,IF('XA MU'!$B$26&lt;=3,'XA MU'!$E$26*$B$8*(IF('XA MU'!$C$26&gt;(xm_y0T+(xm_nT-1)/2*xm_sT),2*('XA MU'!$C$26-(xm_y0T+(xm_nT-1)/2*xm_sT))/xm_sT,0)+IF('XA MU'!$D$26&gt;(xm_y0T+(xm_nT-1)/2*xm_sT),2*('XA MU'!$D$26-(xm_y0T+(xm_nT-1)/2*xm_sT))/xm_sT,0)),0),0)+IF('XA MU'!$B$27&lt;=3,'XA MU'!$E$27*$B$8*(MAX(0,1-ABS('XA MU'!$C$27-$D18)/xm_sT)+MAX(0,1-ABS('XA MU'!$D$27-$D18)/xm_sT)),0)+IF(ABS($D18-(xm_y0T+(xm_nT-1)/2*xm_sT))&lt;0.000001,IF('XA MU'!$B$27&lt;=3,'XA MU'!$E$27*$B$8*(IF('XA MU'!$C$27&gt;(xm_y0T+(xm_nT-1)/2*xm_sT),2*('XA MU'!$C$27-(xm_y0T+(xm_nT-1)/2*xm_sT))/xm_sT,0)+IF('XA MU'!$D$27&gt;(xm_y0T+(xm_nT-1)/2*xm_sT),2*('XA MU'!$D$27-(xm_y0T+(xm_nT-1)/2*xm_sT))/xm_sT,0)),0),0)+IF('XA MU'!$B$28&lt;=3,'XA MU'!$E$28*$B$8*(MAX(0,1-ABS('XA MU'!$C$28-$D18)/xm_sT)+MAX(0,1-ABS('XA MU'!$D$28-$D18)/xm_sT)),0)+IF(ABS($D18-(xm_y0T+(xm_nT-1)/2*xm_sT))&lt;0.000001,IF('XA MU'!$B$28&lt;=3,'XA MU'!$E$28*$B$8*(IF('XA MU'!$C$28&gt;(xm_y0T+(xm_nT-1)/2*xm_sT),2*('XA MU'!$C$28-(xm_y0T+(xm_nT-1)/2*xm_sT))/xm_sT,0)+IF('XA MU'!$D$28&gt;(xm_y0T+(xm_nT-1)/2*xm_sT),2*('XA MU'!$D$28-(xm_y0T+(xm_nT-1)/2*xm_sT))/xm_sT,0)),0),0)+IF('XA MU'!$B$29&lt;=3,'XA MU'!$E$29*$B$8*(MAX(0,1-ABS('XA MU'!$C$29-$D18)/xm_sT)+MAX(0,1-ABS('XA MU'!$D$29-$D18)/xm_sT)),0)+IF(ABS($D18-(xm_y0T+(xm_nT-1)/2*xm_sT))&lt;0.000001,IF('XA MU'!$B$29&lt;=3,'XA MU'!$E$29*$B$8*(IF('XA MU'!$C$29&gt;(xm_y0T+(xm_nT-1)/2*xm_sT),2*('XA MU'!$C$29-(xm_y0T+(xm_nT-1)/2*xm_sT))/xm_sT,0)+IF('XA MU'!$D$29&gt;(xm_y0T+(xm_nT-1)/2*xm_sT),2*('XA MU'!$D$29-(xm_y0T+(xm_nT-1)/2*xm_sT))/xm_sT,0)),0),0)+IF('XA MU'!$B$30&lt;=3,'XA MU'!$E$30*$B$8*(MAX(0,1-ABS('XA MU'!$C$30-$D18)/xm_sT)+MAX(0,1-ABS('XA MU'!$D$30-$D18)/xm_sT)),0)+IF(ABS($D18-(xm_y0T+(xm_nT-1)/2*xm_sT))&lt;0.000001,IF('XA MU'!$B$30&lt;=3,'XA MU'!$E$30*$B$8*(IF('XA MU'!$C$30&gt;(xm_y0T+(xm_nT-1)/2*xm_sT),2*('XA MU'!$C$30-(xm_y0T+(xm_nT-1)/2*xm_sT))/xm_sT,0)+IF('XA MU'!$D$30&gt;(xm_y0T+(xm_nT-1)/2*xm_sT),2*('XA MU'!$D$30-(xm_y0T+(xm_nT-1)/2*xm_sT))/xm_sT,0)),0),0))))</f>
        <v>0</v>
      </c>
      <c r="L18" s="44">
        <f>IF(C18=0,0,IF(4&gt;nLan,0,0.65*(IF('XA MU'!$B$25&lt;=4,'XA MU'!$E$25*$B$8*(MAX(0,1-ABS('XA MU'!$C$25-$D18)/xm_sT)+MAX(0,1-ABS('XA MU'!$D$25-$D18)/xm_sT)),0)+IF(ABS($D18-(xm_y0T+(xm_nT-1)/2*xm_sT))&lt;0.000001,IF('XA MU'!$B$25&lt;=4,'XA MU'!$E$25*$B$8*(IF('XA MU'!$C$25&gt;(xm_y0T+(xm_nT-1)/2*xm_sT),2*('XA MU'!$C$25-(xm_y0T+(xm_nT-1)/2*xm_sT))/xm_sT,0)+IF('XA MU'!$D$25&gt;(xm_y0T+(xm_nT-1)/2*xm_sT),2*('XA MU'!$D$25-(xm_y0T+(xm_nT-1)/2*xm_sT))/xm_sT,0)),0),0)+IF('XA MU'!$B$26&lt;=4,'XA MU'!$E$26*$B$8*(MAX(0,1-ABS('XA MU'!$C$26-$D18)/xm_sT)+MAX(0,1-ABS('XA MU'!$D$26-$D18)/xm_sT)),0)+IF(ABS($D18-(xm_y0T+(xm_nT-1)/2*xm_sT))&lt;0.000001,IF('XA MU'!$B$26&lt;=4,'XA MU'!$E$26*$B$8*(IF('XA MU'!$C$26&gt;(xm_y0T+(xm_nT-1)/2*xm_sT),2*('XA MU'!$C$26-(xm_y0T+(xm_nT-1)/2*xm_sT))/xm_sT,0)+IF('XA MU'!$D$26&gt;(xm_y0T+(xm_nT-1)/2*xm_sT),2*('XA MU'!$D$26-(xm_y0T+(xm_nT-1)/2*xm_sT))/xm_sT,0)),0),0)+IF('XA MU'!$B$27&lt;=4,'XA MU'!$E$27*$B$8*(MAX(0,1-ABS('XA MU'!$C$27-$D18)/xm_sT)+MAX(0,1-ABS('XA MU'!$D$27-$D18)/xm_sT)),0)+IF(ABS($D18-(xm_y0T+(xm_nT-1)/2*xm_sT))&lt;0.000001,IF('XA MU'!$B$27&lt;=4,'XA MU'!$E$27*$B$8*(IF('XA MU'!$C$27&gt;(xm_y0T+(xm_nT-1)/2*xm_sT),2*('XA MU'!$C$27-(xm_y0T+(xm_nT-1)/2*xm_sT))/xm_sT,0)+IF('XA MU'!$D$27&gt;(xm_y0T+(xm_nT-1)/2*xm_sT),2*('XA MU'!$D$27-(xm_y0T+(xm_nT-1)/2*xm_sT))/xm_sT,0)),0),0)+IF('XA MU'!$B$28&lt;=4,'XA MU'!$E$28*$B$8*(MAX(0,1-ABS('XA MU'!$C$28-$D18)/xm_sT)+MAX(0,1-ABS('XA MU'!$D$28-$D18)/xm_sT)),0)+IF(ABS($D18-(xm_y0T+(xm_nT-1)/2*xm_sT))&lt;0.000001,IF('XA MU'!$B$28&lt;=4,'XA MU'!$E$28*$B$8*(IF('XA MU'!$C$28&gt;(xm_y0T+(xm_nT-1)/2*xm_sT),2*('XA MU'!$C$28-(xm_y0T+(xm_nT-1)/2*xm_sT))/xm_sT,0)+IF('XA MU'!$D$28&gt;(xm_y0T+(xm_nT-1)/2*xm_sT),2*('XA MU'!$D$28-(xm_y0T+(xm_nT-1)/2*xm_sT))/xm_sT,0)),0),0)+IF('XA MU'!$B$29&lt;=4,'XA MU'!$E$29*$B$8*(MAX(0,1-ABS('XA MU'!$C$29-$D18)/xm_sT)+MAX(0,1-ABS('XA MU'!$D$29-$D18)/xm_sT)),0)+IF(ABS($D18-(xm_y0T+(xm_nT-1)/2*xm_sT))&lt;0.000001,IF('XA MU'!$B$29&lt;=4,'XA MU'!$E$29*$B$8*(IF('XA MU'!$C$29&gt;(xm_y0T+(xm_nT-1)/2*xm_sT),2*('XA MU'!$C$29-(xm_y0T+(xm_nT-1)/2*xm_sT))/xm_sT,0)+IF('XA MU'!$D$29&gt;(xm_y0T+(xm_nT-1)/2*xm_sT),2*('XA MU'!$D$29-(xm_y0T+(xm_nT-1)/2*xm_sT))/xm_sT,0)),0),0)+IF('XA MU'!$B$30&lt;=4,'XA MU'!$E$30*$B$8*(MAX(0,1-ABS('XA MU'!$C$30-$D18)/xm_sT)+MAX(0,1-ABS('XA MU'!$D$30-$D18)/xm_sT)),0)+IF(ABS($D18-(xm_y0T+(xm_nT-1)/2*xm_sT))&lt;0.000001,IF('XA MU'!$B$30&lt;=4,'XA MU'!$E$30*$B$8*(IF('XA MU'!$C$30&gt;(xm_y0T+(xm_nT-1)/2*xm_sT),2*('XA MU'!$C$30-(xm_y0T+(xm_nT-1)/2*xm_sT))/xm_sT,0)+IF('XA MU'!$D$30&gt;(xm_y0T+(xm_nT-1)/2*xm_sT),2*('XA MU'!$D$30-(xm_y0T+(xm_nT-1)/2*xm_sT))/xm_sT,0)),0),0))))</f>
        <v>43.004122946808536</v>
      </c>
      <c r="M18" s="44">
        <f>IF(C18=0,0,IF(5&gt;nLan,0,0.65*(IF('XA MU'!$B$25&lt;=5,'XA MU'!$E$25*$B$8*(MAX(0,1-ABS('XA MU'!$C$25-$D18)/xm_sT)+MAX(0,1-ABS('XA MU'!$D$25-$D18)/xm_sT)),0)+IF(ABS($D18-(xm_y0T+(xm_nT-1)/2*xm_sT))&lt;0.000001,IF('XA MU'!$B$25&lt;=5,'XA MU'!$E$25*$B$8*(IF('XA MU'!$C$25&gt;(xm_y0T+(xm_nT-1)/2*xm_sT),2*('XA MU'!$C$25-(xm_y0T+(xm_nT-1)/2*xm_sT))/xm_sT,0)+IF('XA MU'!$D$25&gt;(xm_y0T+(xm_nT-1)/2*xm_sT),2*('XA MU'!$D$25-(xm_y0T+(xm_nT-1)/2*xm_sT))/xm_sT,0)),0),0)+IF('XA MU'!$B$26&lt;=5,'XA MU'!$E$26*$B$8*(MAX(0,1-ABS('XA MU'!$C$26-$D18)/xm_sT)+MAX(0,1-ABS('XA MU'!$D$26-$D18)/xm_sT)),0)+IF(ABS($D18-(xm_y0T+(xm_nT-1)/2*xm_sT))&lt;0.000001,IF('XA MU'!$B$26&lt;=5,'XA MU'!$E$26*$B$8*(IF('XA MU'!$C$26&gt;(xm_y0T+(xm_nT-1)/2*xm_sT),2*('XA MU'!$C$26-(xm_y0T+(xm_nT-1)/2*xm_sT))/xm_sT,0)+IF('XA MU'!$D$26&gt;(xm_y0T+(xm_nT-1)/2*xm_sT),2*('XA MU'!$D$26-(xm_y0T+(xm_nT-1)/2*xm_sT))/xm_sT,0)),0),0)+IF('XA MU'!$B$27&lt;=5,'XA MU'!$E$27*$B$8*(MAX(0,1-ABS('XA MU'!$C$27-$D18)/xm_sT)+MAX(0,1-ABS('XA MU'!$D$27-$D18)/xm_sT)),0)+IF(ABS($D18-(xm_y0T+(xm_nT-1)/2*xm_sT))&lt;0.000001,IF('XA MU'!$B$27&lt;=5,'XA MU'!$E$27*$B$8*(IF('XA MU'!$C$27&gt;(xm_y0T+(xm_nT-1)/2*xm_sT),2*('XA MU'!$C$27-(xm_y0T+(xm_nT-1)/2*xm_sT))/xm_sT,0)+IF('XA MU'!$D$27&gt;(xm_y0T+(xm_nT-1)/2*xm_sT),2*('XA MU'!$D$27-(xm_y0T+(xm_nT-1)/2*xm_sT))/xm_sT,0)),0),0)+IF('XA MU'!$B$28&lt;=5,'XA MU'!$E$28*$B$8*(MAX(0,1-ABS('XA MU'!$C$28-$D18)/xm_sT)+MAX(0,1-ABS('XA MU'!$D$28-$D18)/xm_sT)),0)+IF(ABS($D18-(xm_y0T+(xm_nT-1)/2*xm_sT))&lt;0.000001,IF('XA MU'!$B$28&lt;=5,'XA MU'!$E$28*$B$8*(IF('XA MU'!$C$28&gt;(xm_y0T+(xm_nT-1)/2*xm_sT),2*('XA MU'!$C$28-(xm_y0T+(xm_nT-1)/2*xm_sT))/xm_sT,0)+IF('XA MU'!$D$28&gt;(xm_y0T+(xm_nT-1)/2*xm_sT),2*('XA MU'!$D$28-(xm_y0T+(xm_nT-1)/2*xm_sT))/xm_sT,0)),0),0)+IF('XA MU'!$B$29&lt;=5,'XA MU'!$E$29*$B$8*(MAX(0,1-ABS('XA MU'!$C$29-$D18)/xm_sT)+MAX(0,1-ABS('XA MU'!$D$29-$D18)/xm_sT)),0)+IF(ABS($D18-(xm_y0T+(xm_nT-1)/2*xm_sT))&lt;0.000001,IF('XA MU'!$B$29&lt;=5,'XA MU'!$E$29*$B$8*(IF('XA MU'!$C$29&gt;(xm_y0T+(xm_nT-1)/2*xm_sT),2*('XA MU'!$C$29-(xm_y0T+(xm_nT-1)/2*xm_sT))/xm_sT,0)+IF('XA MU'!$D$29&gt;(xm_y0T+(xm_nT-1)/2*xm_sT),2*('XA MU'!$D$29-(xm_y0T+(xm_nT-1)/2*xm_sT))/xm_sT,0)),0),0)+IF('XA MU'!$B$30&lt;=5,'XA MU'!$E$30*$B$8*(MAX(0,1-ABS('XA MU'!$C$30-$D18)/xm_sT)+MAX(0,1-ABS('XA MU'!$D$30-$D18)/xm_sT)),0)+IF(ABS($D18-(xm_y0T+(xm_nT-1)/2*xm_sT))&lt;0.000001,IF('XA MU'!$B$30&lt;=5,'XA MU'!$E$30*$B$8*(IF('XA MU'!$C$30&gt;(xm_y0T+(xm_nT-1)/2*xm_sT),2*('XA MU'!$C$30-(xm_y0T+(xm_nT-1)/2*xm_sT))/xm_sT,0)+IF('XA MU'!$D$30&gt;(xm_y0T+(xm_nT-1)/2*xm_sT),2*('XA MU'!$D$30-(xm_y0T+(xm_nT-1)/2*xm_sT))/xm_sT,0)),0),0))))</f>
        <v>221.6366336489362</v>
      </c>
      <c r="N18" s="44">
        <f>IF(C18=0,0,IF(6&gt;nLan,0,0.65*(IF('XA MU'!$B$25&lt;=6,'XA MU'!$E$25*$B$8*(MAX(0,1-ABS('XA MU'!$C$25-$D18)/xm_sT)+MAX(0,1-ABS('XA MU'!$D$25-$D18)/xm_sT)),0)+IF(ABS($D18-(xm_y0T+(xm_nT-1)/2*xm_sT))&lt;0.000001,IF('XA MU'!$B$25&lt;=6,'XA MU'!$E$25*$B$8*(IF('XA MU'!$C$25&gt;(xm_y0T+(xm_nT-1)/2*xm_sT),2*('XA MU'!$C$25-(xm_y0T+(xm_nT-1)/2*xm_sT))/xm_sT,0)+IF('XA MU'!$D$25&gt;(xm_y0T+(xm_nT-1)/2*xm_sT),2*('XA MU'!$D$25-(xm_y0T+(xm_nT-1)/2*xm_sT))/xm_sT,0)),0),0)+IF('XA MU'!$B$26&lt;=6,'XA MU'!$E$26*$B$8*(MAX(0,1-ABS('XA MU'!$C$26-$D18)/xm_sT)+MAX(0,1-ABS('XA MU'!$D$26-$D18)/xm_sT)),0)+IF(ABS($D18-(xm_y0T+(xm_nT-1)/2*xm_sT))&lt;0.000001,IF('XA MU'!$B$26&lt;=6,'XA MU'!$E$26*$B$8*(IF('XA MU'!$C$26&gt;(xm_y0T+(xm_nT-1)/2*xm_sT),2*('XA MU'!$C$26-(xm_y0T+(xm_nT-1)/2*xm_sT))/xm_sT,0)+IF('XA MU'!$D$26&gt;(xm_y0T+(xm_nT-1)/2*xm_sT),2*('XA MU'!$D$26-(xm_y0T+(xm_nT-1)/2*xm_sT))/xm_sT,0)),0),0)+IF('XA MU'!$B$27&lt;=6,'XA MU'!$E$27*$B$8*(MAX(0,1-ABS('XA MU'!$C$27-$D18)/xm_sT)+MAX(0,1-ABS('XA MU'!$D$27-$D18)/xm_sT)),0)+IF(ABS($D18-(xm_y0T+(xm_nT-1)/2*xm_sT))&lt;0.000001,IF('XA MU'!$B$27&lt;=6,'XA MU'!$E$27*$B$8*(IF('XA MU'!$C$27&gt;(xm_y0T+(xm_nT-1)/2*xm_sT),2*('XA MU'!$C$27-(xm_y0T+(xm_nT-1)/2*xm_sT))/xm_sT,0)+IF('XA MU'!$D$27&gt;(xm_y0T+(xm_nT-1)/2*xm_sT),2*('XA MU'!$D$27-(xm_y0T+(xm_nT-1)/2*xm_sT))/xm_sT,0)),0),0)+IF('XA MU'!$B$28&lt;=6,'XA MU'!$E$28*$B$8*(MAX(0,1-ABS('XA MU'!$C$28-$D18)/xm_sT)+MAX(0,1-ABS('XA MU'!$D$28-$D18)/xm_sT)),0)+IF(ABS($D18-(xm_y0T+(xm_nT-1)/2*xm_sT))&lt;0.000001,IF('XA MU'!$B$28&lt;=6,'XA MU'!$E$28*$B$8*(IF('XA MU'!$C$28&gt;(xm_y0T+(xm_nT-1)/2*xm_sT),2*('XA MU'!$C$28-(xm_y0T+(xm_nT-1)/2*xm_sT))/xm_sT,0)+IF('XA MU'!$D$28&gt;(xm_y0T+(xm_nT-1)/2*xm_sT),2*('XA MU'!$D$28-(xm_y0T+(xm_nT-1)/2*xm_sT))/xm_sT,0)),0),0)+IF('XA MU'!$B$29&lt;=6,'XA MU'!$E$29*$B$8*(MAX(0,1-ABS('XA MU'!$C$29-$D18)/xm_sT)+MAX(0,1-ABS('XA MU'!$D$29-$D18)/xm_sT)),0)+IF(ABS($D18-(xm_y0T+(xm_nT-1)/2*xm_sT))&lt;0.000001,IF('XA MU'!$B$29&lt;=6,'XA MU'!$E$29*$B$8*(IF('XA MU'!$C$29&gt;(xm_y0T+(xm_nT-1)/2*xm_sT),2*('XA MU'!$C$29-(xm_y0T+(xm_nT-1)/2*xm_sT))/xm_sT,0)+IF('XA MU'!$D$29&gt;(xm_y0T+(xm_nT-1)/2*xm_sT),2*('XA MU'!$D$29-(xm_y0T+(xm_nT-1)/2*xm_sT))/xm_sT,0)),0),0)+IF('XA MU'!$B$30&lt;=6,'XA MU'!$E$30*$B$8*(MAX(0,1-ABS('XA MU'!$C$30-$D18)/xm_sT)+MAX(0,1-ABS('XA MU'!$D$30-$D18)/xm_sT)),0)+IF(ABS($D18-(xm_y0T+(xm_nT-1)/2*xm_sT))&lt;0.000001,IF('XA MU'!$B$30&lt;=6,'XA MU'!$E$30*$B$8*(IF('XA MU'!$C$30&gt;(xm_y0T+(xm_nT-1)/2*xm_sT),2*('XA MU'!$C$30-(xm_y0T+(xm_nT-1)/2*xm_sT))/xm_sT,0)+IF('XA MU'!$D$30&gt;(xm_y0T+(xm_nT-1)/2*xm_sT),2*('XA MU'!$D$30-(xm_y0T+(xm_nT-1)/2*xm_sT))/xm_sT,0)),0),0))))</f>
        <v>221.6366336489362</v>
      </c>
    </row>
    <row r="19" spans="1:14" x14ac:dyDescent="0.3">
      <c r="A19" s="42" t="s">
        <v>1235</v>
      </c>
      <c r="B19" s="42">
        <v>5</v>
      </c>
      <c r="C19" s="40">
        <f t="shared" si="0"/>
        <v>1</v>
      </c>
      <c r="D19" s="44">
        <f t="shared" si="1"/>
        <v>-1.175</v>
      </c>
      <c r="E19" s="44">
        <f>MAX(0,D19-'XA MU'!$C$8)*C19</f>
        <v>0</v>
      </c>
      <c r="F19" s="44">
        <f>IF(AND(C19=1,D19&gt;'XA MU'!$C$8),1,0)</f>
        <v>0</v>
      </c>
      <c r="G19" s="44">
        <f t="shared" si="2"/>
        <v>670.60125000000005</v>
      </c>
      <c r="H19" s="44">
        <f t="shared" si="3"/>
        <v>68.43768750000001</v>
      </c>
      <c r="I19" s="44">
        <f>IF(C19=0,0,IF(1&gt;nLan,0,1.2*(IF('XA MU'!$B$25&lt;=1,'XA MU'!$E$25*$B$8*(MAX(0,1-ABS('XA MU'!$C$25-$D19)/xm_sT)+MAX(0,1-ABS('XA MU'!$D$25-$D19)/xm_sT)),0)+IF(ABS($D19-(xm_y0T+(xm_nT-1)/2*xm_sT))&lt;0.000001,IF('XA MU'!$B$25&lt;=1,'XA MU'!$E$25*$B$8*(IF('XA MU'!$C$25&gt;(xm_y0T+(xm_nT-1)/2*xm_sT),2*('XA MU'!$C$25-(xm_y0T+(xm_nT-1)/2*xm_sT))/xm_sT,0)+IF('XA MU'!$D$25&gt;(xm_y0T+(xm_nT-1)/2*xm_sT),2*('XA MU'!$D$25-(xm_y0T+(xm_nT-1)/2*xm_sT))/xm_sT,0)),0),0)+IF('XA MU'!$B$26&lt;=1,'XA MU'!$E$26*$B$8*(MAX(0,1-ABS('XA MU'!$C$26-$D19)/xm_sT)+MAX(0,1-ABS('XA MU'!$D$26-$D19)/xm_sT)),0)+IF(ABS($D19-(xm_y0T+(xm_nT-1)/2*xm_sT))&lt;0.000001,IF('XA MU'!$B$26&lt;=1,'XA MU'!$E$26*$B$8*(IF('XA MU'!$C$26&gt;(xm_y0T+(xm_nT-1)/2*xm_sT),2*('XA MU'!$C$26-(xm_y0T+(xm_nT-1)/2*xm_sT))/xm_sT,0)+IF('XA MU'!$D$26&gt;(xm_y0T+(xm_nT-1)/2*xm_sT),2*('XA MU'!$D$26-(xm_y0T+(xm_nT-1)/2*xm_sT))/xm_sT,0)),0),0)+IF('XA MU'!$B$27&lt;=1,'XA MU'!$E$27*$B$8*(MAX(0,1-ABS('XA MU'!$C$27-$D19)/xm_sT)+MAX(0,1-ABS('XA MU'!$D$27-$D19)/xm_sT)),0)+IF(ABS($D19-(xm_y0T+(xm_nT-1)/2*xm_sT))&lt;0.000001,IF('XA MU'!$B$27&lt;=1,'XA MU'!$E$27*$B$8*(IF('XA MU'!$C$27&gt;(xm_y0T+(xm_nT-1)/2*xm_sT),2*('XA MU'!$C$27-(xm_y0T+(xm_nT-1)/2*xm_sT))/xm_sT,0)+IF('XA MU'!$D$27&gt;(xm_y0T+(xm_nT-1)/2*xm_sT),2*('XA MU'!$D$27-(xm_y0T+(xm_nT-1)/2*xm_sT))/xm_sT,0)),0),0)+IF('XA MU'!$B$28&lt;=1,'XA MU'!$E$28*$B$8*(MAX(0,1-ABS('XA MU'!$C$28-$D19)/xm_sT)+MAX(0,1-ABS('XA MU'!$D$28-$D19)/xm_sT)),0)+IF(ABS($D19-(xm_y0T+(xm_nT-1)/2*xm_sT))&lt;0.000001,IF('XA MU'!$B$28&lt;=1,'XA MU'!$E$28*$B$8*(IF('XA MU'!$C$28&gt;(xm_y0T+(xm_nT-1)/2*xm_sT),2*('XA MU'!$C$28-(xm_y0T+(xm_nT-1)/2*xm_sT))/xm_sT,0)+IF('XA MU'!$D$28&gt;(xm_y0T+(xm_nT-1)/2*xm_sT),2*('XA MU'!$D$28-(xm_y0T+(xm_nT-1)/2*xm_sT))/xm_sT,0)),0),0)+IF('XA MU'!$B$29&lt;=1,'XA MU'!$E$29*$B$8*(MAX(0,1-ABS('XA MU'!$C$29-$D19)/xm_sT)+MAX(0,1-ABS('XA MU'!$D$29-$D19)/xm_sT)),0)+IF(ABS($D19-(xm_y0T+(xm_nT-1)/2*xm_sT))&lt;0.000001,IF('XA MU'!$B$29&lt;=1,'XA MU'!$E$29*$B$8*(IF('XA MU'!$C$29&gt;(xm_y0T+(xm_nT-1)/2*xm_sT),2*('XA MU'!$C$29-(xm_y0T+(xm_nT-1)/2*xm_sT))/xm_sT,0)+IF('XA MU'!$D$29&gt;(xm_y0T+(xm_nT-1)/2*xm_sT),2*('XA MU'!$D$29-(xm_y0T+(xm_nT-1)/2*xm_sT))/xm_sT,0)),0),0)+IF('XA MU'!$B$30&lt;=1,'XA MU'!$E$30*$B$8*(MAX(0,1-ABS('XA MU'!$C$30-$D19)/xm_sT)+MAX(0,1-ABS('XA MU'!$D$30-$D19)/xm_sT)),0)+IF(ABS($D19-(xm_y0T+(xm_nT-1)/2*xm_sT))&lt;0.000001,IF('XA MU'!$B$30&lt;=1,'XA MU'!$E$30*$B$8*(IF('XA MU'!$C$30&gt;(xm_y0T+(xm_nT-1)/2*xm_sT),2*('XA MU'!$C$30-(xm_y0T+(xm_nT-1)/2*xm_sT))/xm_sT,0)+IF('XA MU'!$D$30&gt;(xm_y0T+(xm_nT-1)/2*xm_sT),2*('XA MU'!$D$30-(xm_y0T+(xm_nT-1)/2*xm_sT))/xm_sT,0)),0),0))))</f>
        <v>0</v>
      </c>
      <c r="J19" s="44">
        <f>IF(C19=0,0,IF(2&gt;nLan,0,1*(IF('XA MU'!$B$25&lt;=2,'XA MU'!$E$25*$B$8*(MAX(0,1-ABS('XA MU'!$C$25-$D19)/xm_sT)+MAX(0,1-ABS('XA MU'!$D$25-$D19)/xm_sT)),0)+IF(ABS($D19-(xm_y0T+(xm_nT-1)/2*xm_sT))&lt;0.000001,IF('XA MU'!$B$25&lt;=2,'XA MU'!$E$25*$B$8*(IF('XA MU'!$C$25&gt;(xm_y0T+(xm_nT-1)/2*xm_sT),2*('XA MU'!$C$25-(xm_y0T+(xm_nT-1)/2*xm_sT))/xm_sT,0)+IF('XA MU'!$D$25&gt;(xm_y0T+(xm_nT-1)/2*xm_sT),2*('XA MU'!$D$25-(xm_y0T+(xm_nT-1)/2*xm_sT))/xm_sT,0)),0),0)+IF('XA MU'!$B$26&lt;=2,'XA MU'!$E$26*$B$8*(MAX(0,1-ABS('XA MU'!$C$26-$D19)/xm_sT)+MAX(0,1-ABS('XA MU'!$D$26-$D19)/xm_sT)),0)+IF(ABS($D19-(xm_y0T+(xm_nT-1)/2*xm_sT))&lt;0.000001,IF('XA MU'!$B$26&lt;=2,'XA MU'!$E$26*$B$8*(IF('XA MU'!$C$26&gt;(xm_y0T+(xm_nT-1)/2*xm_sT),2*('XA MU'!$C$26-(xm_y0T+(xm_nT-1)/2*xm_sT))/xm_sT,0)+IF('XA MU'!$D$26&gt;(xm_y0T+(xm_nT-1)/2*xm_sT),2*('XA MU'!$D$26-(xm_y0T+(xm_nT-1)/2*xm_sT))/xm_sT,0)),0),0)+IF('XA MU'!$B$27&lt;=2,'XA MU'!$E$27*$B$8*(MAX(0,1-ABS('XA MU'!$C$27-$D19)/xm_sT)+MAX(0,1-ABS('XA MU'!$D$27-$D19)/xm_sT)),0)+IF(ABS($D19-(xm_y0T+(xm_nT-1)/2*xm_sT))&lt;0.000001,IF('XA MU'!$B$27&lt;=2,'XA MU'!$E$27*$B$8*(IF('XA MU'!$C$27&gt;(xm_y0T+(xm_nT-1)/2*xm_sT),2*('XA MU'!$C$27-(xm_y0T+(xm_nT-1)/2*xm_sT))/xm_sT,0)+IF('XA MU'!$D$27&gt;(xm_y0T+(xm_nT-1)/2*xm_sT),2*('XA MU'!$D$27-(xm_y0T+(xm_nT-1)/2*xm_sT))/xm_sT,0)),0),0)+IF('XA MU'!$B$28&lt;=2,'XA MU'!$E$28*$B$8*(MAX(0,1-ABS('XA MU'!$C$28-$D19)/xm_sT)+MAX(0,1-ABS('XA MU'!$D$28-$D19)/xm_sT)),0)+IF(ABS($D19-(xm_y0T+(xm_nT-1)/2*xm_sT))&lt;0.000001,IF('XA MU'!$B$28&lt;=2,'XA MU'!$E$28*$B$8*(IF('XA MU'!$C$28&gt;(xm_y0T+(xm_nT-1)/2*xm_sT),2*('XA MU'!$C$28-(xm_y0T+(xm_nT-1)/2*xm_sT))/xm_sT,0)+IF('XA MU'!$D$28&gt;(xm_y0T+(xm_nT-1)/2*xm_sT),2*('XA MU'!$D$28-(xm_y0T+(xm_nT-1)/2*xm_sT))/xm_sT,0)),0),0)+IF('XA MU'!$B$29&lt;=2,'XA MU'!$E$29*$B$8*(MAX(0,1-ABS('XA MU'!$C$29-$D19)/xm_sT)+MAX(0,1-ABS('XA MU'!$D$29-$D19)/xm_sT)),0)+IF(ABS($D19-(xm_y0T+(xm_nT-1)/2*xm_sT))&lt;0.000001,IF('XA MU'!$B$29&lt;=2,'XA MU'!$E$29*$B$8*(IF('XA MU'!$C$29&gt;(xm_y0T+(xm_nT-1)/2*xm_sT),2*('XA MU'!$C$29-(xm_y0T+(xm_nT-1)/2*xm_sT))/xm_sT,0)+IF('XA MU'!$D$29&gt;(xm_y0T+(xm_nT-1)/2*xm_sT),2*('XA MU'!$D$29-(xm_y0T+(xm_nT-1)/2*xm_sT))/xm_sT,0)),0),0)+IF('XA MU'!$B$30&lt;=2,'XA MU'!$E$30*$B$8*(MAX(0,1-ABS('XA MU'!$C$30-$D19)/xm_sT)+MAX(0,1-ABS('XA MU'!$D$30-$D19)/xm_sT)),0)+IF(ABS($D19-(xm_y0T+(xm_nT-1)/2*xm_sT))&lt;0.000001,IF('XA MU'!$B$30&lt;=2,'XA MU'!$E$30*$B$8*(IF('XA MU'!$C$30&gt;(xm_y0T+(xm_nT-1)/2*xm_sT),2*('XA MU'!$C$30-(xm_y0T+(xm_nT-1)/2*xm_sT))/xm_sT,0)+IF('XA MU'!$D$30&gt;(xm_y0T+(xm_nT-1)/2*xm_sT),2*('XA MU'!$D$30-(xm_y0T+(xm_nT-1)/2*xm_sT))/xm_sT,0)),0),0))))</f>
        <v>0</v>
      </c>
      <c r="K19" s="44">
        <f>IF(C19=0,0,IF(3&gt;nLan,0,0.85*(IF('XA MU'!$B$25&lt;=3,'XA MU'!$E$25*$B$8*(MAX(0,1-ABS('XA MU'!$C$25-$D19)/xm_sT)+MAX(0,1-ABS('XA MU'!$D$25-$D19)/xm_sT)),0)+IF(ABS($D19-(xm_y0T+(xm_nT-1)/2*xm_sT))&lt;0.000001,IF('XA MU'!$B$25&lt;=3,'XA MU'!$E$25*$B$8*(IF('XA MU'!$C$25&gt;(xm_y0T+(xm_nT-1)/2*xm_sT),2*('XA MU'!$C$25-(xm_y0T+(xm_nT-1)/2*xm_sT))/xm_sT,0)+IF('XA MU'!$D$25&gt;(xm_y0T+(xm_nT-1)/2*xm_sT),2*('XA MU'!$D$25-(xm_y0T+(xm_nT-1)/2*xm_sT))/xm_sT,0)),0),0)+IF('XA MU'!$B$26&lt;=3,'XA MU'!$E$26*$B$8*(MAX(0,1-ABS('XA MU'!$C$26-$D19)/xm_sT)+MAX(0,1-ABS('XA MU'!$D$26-$D19)/xm_sT)),0)+IF(ABS($D19-(xm_y0T+(xm_nT-1)/2*xm_sT))&lt;0.000001,IF('XA MU'!$B$26&lt;=3,'XA MU'!$E$26*$B$8*(IF('XA MU'!$C$26&gt;(xm_y0T+(xm_nT-1)/2*xm_sT),2*('XA MU'!$C$26-(xm_y0T+(xm_nT-1)/2*xm_sT))/xm_sT,0)+IF('XA MU'!$D$26&gt;(xm_y0T+(xm_nT-1)/2*xm_sT),2*('XA MU'!$D$26-(xm_y0T+(xm_nT-1)/2*xm_sT))/xm_sT,0)),0),0)+IF('XA MU'!$B$27&lt;=3,'XA MU'!$E$27*$B$8*(MAX(0,1-ABS('XA MU'!$C$27-$D19)/xm_sT)+MAX(0,1-ABS('XA MU'!$D$27-$D19)/xm_sT)),0)+IF(ABS($D19-(xm_y0T+(xm_nT-1)/2*xm_sT))&lt;0.000001,IF('XA MU'!$B$27&lt;=3,'XA MU'!$E$27*$B$8*(IF('XA MU'!$C$27&gt;(xm_y0T+(xm_nT-1)/2*xm_sT),2*('XA MU'!$C$27-(xm_y0T+(xm_nT-1)/2*xm_sT))/xm_sT,0)+IF('XA MU'!$D$27&gt;(xm_y0T+(xm_nT-1)/2*xm_sT),2*('XA MU'!$D$27-(xm_y0T+(xm_nT-1)/2*xm_sT))/xm_sT,0)),0),0)+IF('XA MU'!$B$28&lt;=3,'XA MU'!$E$28*$B$8*(MAX(0,1-ABS('XA MU'!$C$28-$D19)/xm_sT)+MAX(0,1-ABS('XA MU'!$D$28-$D19)/xm_sT)),0)+IF(ABS($D19-(xm_y0T+(xm_nT-1)/2*xm_sT))&lt;0.000001,IF('XA MU'!$B$28&lt;=3,'XA MU'!$E$28*$B$8*(IF('XA MU'!$C$28&gt;(xm_y0T+(xm_nT-1)/2*xm_sT),2*('XA MU'!$C$28-(xm_y0T+(xm_nT-1)/2*xm_sT))/xm_sT,0)+IF('XA MU'!$D$28&gt;(xm_y0T+(xm_nT-1)/2*xm_sT),2*('XA MU'!$D$28-(xm_y0T+(xm_nT-1)/2*xm_sT))/xm_sT,0)),0),0)+IF('XA MU'!$B$29&lt;=3,'XA MU'!$E$29*$B$8*(MAX(0,1-ABS('XA MU'!$C$29-$D19)/xm_sT)+MAX(0,1-ABS('XA MU'!$D$29-$D19)/xm_sT)),0)+IF(ABS($D19-(xm_y0T+(xm_nT-1)/2*xm_sT))&lt;0.000001,IF('XA MU'!$B$29&lt;=3,'XA MU'!$E$29*$B$8*(IF('XA MU'!$C$29&gt;(xm_y0T+(xm_nT-1)/2*xm_sT),2*('XA MU'!$C$29-(xm_y0T+(xm_nT-1)/2*xm_sT))/xm_sT,0)+IF('XA MU'!$D$29&gt;(xm_y0T+(xm_nT-1)/2*xm_sT),2*('XA MU'!$D$29-(xm_y0T+(xm_nT-1)/2*xm_sT))/xm_sT,0)),0),0)+IF('XA MU'!$B$30&lt;=3,'XA MU'!$E$30*$B$8*(MAX(0,1-ABS('XA MU'!$C$30-$D19)/xm_sT)+MAX(0,1-ABS('XA MU'!$D$30-$D19)/xm_sT)),0)+IF(ABS($D19-(xm_y0T+(xm_nT-1)/2*xm_sT))&lt;0.000001,IF('XA MU'!$B$30&lt;=3,'XA MU'!$E$30*$B$8*(IF('XA MU'!$C$30&gt;(xm_y0T+(xm_nT-1)/2*xm_sT),2*('XA MU'!$C$30-(xm_y0T+(xm_nT-1)/2*xm_sT))/xm_sT,0)+IF('XA MU'!$D$30&gt;(xm_y0T+(xm_nT-1)/2*xm_sT),2*('XA MU'!$D$30-(xm_y0T+(xm_nT-1)/2*xm_sT))/xm_sT,0)),0),0))))</f>
        <v>0</v>
      </c>
      <c r="L19" s="44">
        <f>IF(C19=0,0,IF(4&gt;nLan,0,0.65*(IF('XA MU'!$B$25&lt;=4,'XA MU'!$E$25*$B$8*(MAX(0,1-ABS('XA MU'!$C$25-$D19)/xm_sT)+MAX(0,1-ABS('XA MU'!$D$25-$D19)/xm_sT)),0)+IF(ABS($D19-(xm_y0T+(xm_nT-1)/2*xm_sT))&lt;0.000001,IF('XA MU'!$B$25&lt;=4,'XA MU'!$E$25*$B$8*(IF('XA MU'!$C$25&gt;(xm_y0T+(xm_nT-1)/2*xm_sT),2*('XA MU'!$C$25-(xm_y0T+(xm_nT-1)/2*xm_sT))/xm_sT,0)+IF('XA MU'!$D$25&gt;(xm_y0T+(xm_nT-1)/2*xm_sT),2*('XA MU'!$D$25-(xm_y0T+(xm_nT-1)/2*xm_sT))/xm_sT,0)),0),0)+IF('XA MU'!$B$26&lt;=4,'XA MU'!$E$26*$B$8*(MAX(0,1-ABS('XA MU'!$C$26-$D19)/xm_sT)+MAX(0,1-ABS('XA MU'!$D$26-$D19)/xm_sT)),0)+IF(ABS($D19-(xm_y0T+(xm_nT-1)/2*xm_sT))&lt;0.000001,IF('XA MU'!$B$26&lt;=4,'XA MU'!$E$26*$B$8*(IF('XA MU'!$C$26&gt;(xm_y0T+(xm_nT-1)/2*xm_sT),2*('XA MU'!$C$26-(xm_y0T+(xm_nT-1)/2*xm_sT))/xm_sT,0)+IF('XA MU'!$D$26&gt;(xm_y0T+(xm_nT-1)/2*xm_sT),2*('XA MU'!$D$26-(xm_y0T+(xm_nT-1)/2*xm_sT))/xm_sT,0)),0),0)+IF('XA MU'!$B$27&lt;=4,'XA MU'!$E$27*$B$8*(MAX(0,1-ABS('XA MU'!$C$27-$D19)/xm_sT)+MAX(0,1-ABS('XA MU'!$D$27-$D19)/xm_sT)),0)+IF(ABS($D19-(xm_y0T+(xm_nT-1)/2*xm_sT))&lt;0.000001,IF('XA MU'!$B$27&lt;=4,'XA MU'!$E$27*$B$8*(IF('XA MU'!$C$27&gt;(xm_y0T+(xm_nT-1)/2*xm_sT),2*('XA MU'!$C$27-(xm_y0T+(xm_nT-1)/2*xm_sT))/xm_sT,0)+IF('XA MU'!$D$27&gt;(xm_y0T+(xm_nT-1)/2*xm_sT),2*('XA MU'!$D$27-(xm_y0T+(xm_nT-1)/2*xm_sT))/xm_sT,0)),0),0)+IF('XA MU'!$B$28&lt;=4,'XA MU'!$E$28*$B$8*(MAX(0,1-ABS('XA MU'!$C$28-$D19)/xm_sT)+MAX(0,1-ABS('XA MU'!$D$28-$D19)/xm_sT)),0)+IF(ABS($D19-(xm_y0T+(xm_nT-1)/2*xm_sT))&lt;0.000001,IF('XA MU'!$B$28&lt;=4,'XA MU'!$E$28*$B$8*(IF('XA MU'!$C$28&gt;(xm_y0T+(xm_nT-1)/2*xm_sT),2*('XA MU'!$C$28-(xm_y0T+(xm_nT-1)/2*xm_sT))/xm_sT,0)+IF('XA MU'!$D$28&gt;(xm_y0T+(xm_nT-1)/2*xm_sT),2*('XA MU'!$D$28-(xm_y0T+(xm_nT-1)/2*xm_sT))/xm_sT,0)),0),0)+IF('XA MU'!$B$29&lt;=4,'XA MU'!$E$29*$B$8*(MAX(0,1-ABS('XA MU'!$C$29-$D19)/xm_sT)+MAX(0,1-ABS('XA MU'!$D$29-$D19)/xm_sT)),0)+IF(ABS($D19-(xm_y0T+(xm_nT-1)/2*xm_sT))&lt;0.000001,IF('XA MU'!$B$29&lt;=4,'XA MU'!$E$29*$B$8*(IF('XA MU'!$C$29&gt;(xm_y0T+(xm_nT-1)/2*xm_sT),2*('XA MU'!$C$29-(xm_y0T+(xm_nT-1)/2*xm_sT))/xm_sT,0)+IF('XA MU'!$D$29&gt;(xm_y0T+(xm_nT-1)/2*xm_sT),2*('XA MU'!$D$29-(xm_y0T+(xm_nT-1)/2*xm_sT))/xm_sT,0)),0),0)+IF('XA MU'!$B$30&lt;=4,'XA MU'!$E$30*$B$8*(MAX(0,1-ABS('XA MU'!$C$30-$D19)/xm_sT)+MAX(0,1-ABS('XA MU'!$D$30-$D19)/xm_sT)),0)+IF(ABS($D19-(xm_y0T+(xm_nT-1)/2*xm_sT))&lt;0.000001,IF('XA MU'!$B$30&lt;=4,'XA MU'!$E$30*$B$8*(IF('XA MU'!$C$30&gt;(xm_y0T+(xm_nT-1)/2*xm_sT),2*('XA MU'!$C$30-(xm_y0T+(xm_nT-1)/2*xm_sT))/xm_sT,0)+IF('XA MU'!$D$30&gt;(xm_y0T+(xm_nT-1)/2*xm_sT),2*('XA MU'!$D$30-(xm_y0T+(xm_nT-1)/2*xm_sT))/xm_sT,0)),0),0))))</f>
        <v>191.86454853191492</v>
      </c>
      <c r="M19" s="44">
        <f>IF(C19=0,0,IF(5&gt;nLan,0,0.65*(IF('XA MU'!$B$25&lt;=5,'XA MU'!$E$25*$B$8*(MAX(0,1-ABS('XA MU'!$C$25-$D19)/xm_sT)+MAX(0,1-ABS('XA MU'!$D$25-$D19)/xm_sT)),0)+IF(ABS($D19-(xm_y0T+(xm_nT-1)/2*xm_sT))&lt;0.000001,IF('XA MU'!$B$25&lt;=5,'XA MU'!$E$25*$B$8*(IF('XA MU'!$C$25&gt;(xm_y0T+(xm_nT-1)/2*xm_sT),2*('XA MU'!$C$25-(xm_y0T+(xm_nT-1)/2*xm_sT))/xm_sT,0)+IF('XA MU'!$D$25&gt;(xm_y0T+(xm_nT-1)/2*xm_sT),2*('XA MU'!$D$25-(xm_y0T+(xm_nT-1)/2*xm_sT))/xm_sT,0)),0),0)+IF('XA MU'!$B$26&lt;=5,'XA MU'!$E$26*$B$8*(MAX(0,1-ABS('XA MU'!$C$26-$D19)/xm_sT)+MAX(0,1-ABS('XA MU'!$D$26-$D19)/xm_sT)),0)+IF(ABS($D19-(xm_y0T+(xm_nT-1)/2*xm_sT))&lt;0.000001,IF('XA MU'!$B$26&lt;=5,'XA MU'!$E$26*$B$8*(IF('XA MU'!$C$26&gt;(xm_y0T+(xm_nT-1)/2*xm_sT),2*('XA MU'!$C$26-(xm_y0T+(xm_nT-1)/2*xm_sT))/xm_sT,0)+IF('XA MU'!$D$26&gt;(xm_y0T+(xm_nT-1)/2*xm_sT),2*('XA MU'!$D$26-(xm_y0T+(xm_nT-1)/2*xm_sT))/xm_sT,0)),0),0)+IF('XA MU'!$B$27&lt;=5,'XA MU'!$E$27*$B$8*(MAX(0,1-ABS('XA MU'!$C$27-$D19)/xm_sT)+MAX(0,1-ABS('XA MU'!$D$27-$D19)/xm_sT)),0)+IF(ABS($D19-(xm_y0T+(xm_nT-1)/2*xm_sT))&lt;0.000001,IF('XA MU'!$B$27&lt;=5,'XA MU'!$E$27*$B$8*(IF('XA MU'!$C$27&gt;(xm_y0T+(xm_nT-1)/2*xm_sT),2*('XA MU'!$C$27-(xm_y0T+(xm_nT-1)/2*xm_sT))/xm_sT,0)+IF('XA MU'!$D$27&gt;(xm_y0T+(xm_nT-1)/2*xm_sT),2*('XA MU'!$D$27-(xm_y0T+(xm_nT-1)/2*xm_sT))/xm_sT,0)),0),0)+IF('XA MU'!$B$28&lt;=5,'XA MU'!$E$28*$B$8*(MAX(0,1-ABS('XA MU'!$C$28-$D19)/xm_sT)+MAX(0,1-ABS('XA MU'!$D$28-$D19)/xm_sT)),0)+IF(ABS($D19-(xm_y0T+(xm_nT-1)/2*xm_sT))&lt;0.000001,IF('XA MU'!$B$28&lt;=5,'XA MU'!$E$28*$B$8*(IF('XA MU'!$C$28&gt;(xm_y0T+(xm_nT-1)/2*xm_sT),2*('XA MU'!$C$28-(xm_y0T+(xm_nT-1)/2*xm_sT))/xm_sT,0)+IF('XA MU'!$D$28&gt;(xm_y0T+(xm_nT-1)/2*xm_sT),2*('XA MU'!$D$28-(xm_y0T+(xm_nT-1)/2*xm_sT))/xm_sT,0)),0),0)+IF('XA MU'!$B$29&lt;=5,'XA MU'!$E$29*$B$8*(MAX(0,1-ABS('XA MU'!$C$29-$D19)/xm_sT)+MAX(0,1-ABS('XA MU'!$D$29-$D19)/xm_sT)),0)+IF(ABS($D19-(xm_y0T+(xm_nT-1)/2*xm_sT))&lt;0.000001,IF('XA MU'!$B$29&lt;=5,'XA MU'!$E$29*$B$8*(IF('XA MU'!$C$29&gt;(xm_y0T+(xm_nT-1)/2*xm_sT),2*('XA MU'!$C$29-(xm_y0T+(xm_nT-1)/2*xm_sT))/xm_sT,0)+IF('XA MU'!$D$29&gt;(xm_y0T+(xm_nT-1)/2*xm_sT),2*('XA MU'!$D$29-(xm_y0T+(xm_nT-1)/2*xm_sT))/xm_sT,0)),0),0)+IF('XA MU'!$B$30&lt;=5,'XA MU'!$E$30*$B$8*(MAX(0,1-ABS('XA MU'!$C$30-$D19)/xm_sT)+MAX(0,1-ABS('XA MU'!$D$30-$D19)/xm_sT)),0)+IF(ABS($D19-(xm_y0T+(xm_nT-1)/2*xm_sT))&lt;0.000001,IF('XA MU'!$B$30&lt;=5,'XA MU'!$E$30*$B$8*(IF('XA MU'!$C$30&gt;(xm_y0T+(xm_nT-1)/2*xm_sT),2*('XA MU'!$C$30-(xm_y0T+(xm_nT-1)/2*xm_sT))/xm_sT,0)+IF('XA MU'!$D$30&gt;(xm_y0T+(xm_nT-1)/2*xm_sT),2*('XA MU'!$D$30-(xm_y0T+(xm_nT-1)/2*xm_sT))/xm_sT,0)),0),0))))</f>
        <v>191.86454853191492</v>
      </c>
      <c r="N19" s="44">
        <f>IF(C19=0,0,IF(6&gt;nLan,0,0.65*(IF('XA MU'!$B$25&lt;=6,'XA MU'!$E$25*$B$8*(MAX(0,1-ABS('XA MU'!$C$25-$D19)/xm_sT)+MAX(0,1-ABS('XA MU'!$D$25-$D19)/xm_sT)),0)+IF(ABS($D19-(xm_y0T+(xm_nT-1)/2*xm_sT))&lt;0.000001,IF('XA MU'!$B$25&lt;=6,'XA MU'!$E$25*$B$8*(IF('XA MU'!$C$25&gt;(xm_y0T+(xm_nT-1)/2*xm_sT),2*('XA MU'!$C$25-(xm_y0T+(xm_nT-1)/2*xm_sT))/xm_sT,0)+IF('XA MU'!$D$25&gt;(xm_y0T+(xm_nT-1)/2*xm_sT),2*('XA MU'!$D$25-(xm_y0T+(xm_nT-1)/2*xm_sT))/xm_sT,0)),0),0)+IF('XA MU'!$B$26&lt;=6,'XA MU'!$E$26*$B$8*(MAX(0,1-ABS('XA MU'!$C$26-$D19)/xm_sT)+MAX(0,1-ABS('XA MU'!$D$26-$D19)/xm_sT)),0)+IF(ABS($D19-(xm_y0T+(xm_nT-1)/2*xm_sT))&lt;0.000001,IF('XA MU'!$B$26&lt;=6,'XA MU'!$E$26*$B$8*(IF('XA MU'!$C$26&gt;(xm_y0T+(xm_nT-1)/2*xm_sT),2*('XA MU'!$C$26-(xm_y0T+(xm_nT-1)/2*xm_sT))/xm_sT,0)+IF('XA MU'!$D$26&gt;(xm_y0T+(xm_nT-1)/2*xm_sT),2*('XA MU'!$D$26-(xm_y0T+(xm_nT-1)/2*xm_sT))/xm_sT,0)),0),0)+IF('XA MU'!$B$27&lt;=6,'XA MU'!$E$27*$B$8*(MAX(0,1-ABS('XA MU'!$C$27-$D19)/xm_sT)+MAX(0,1-ABS('XA MU'!$D$27-$D19)/xm_sT)),0)+IF(ABS($D19-(xm_y0T+(xm_nT-1)/2*xm_sT))&lt;0.000001,IF('XA MU'!$B$27&lt;=6,'XA MU'!$E$27*$B$8*(IF('XA MU'!$C$27&gt;(xm_y0T+(xm_nT-1)/2*xm_sT),2*('XA MU'!$C$27-(xm_y0T+(xm_nT-1)/2*xm_sT))/xm_sT,0)+IF('XA MU'!$D$27&gt;(xm_y0T+(xm_nT-1)/2*xm_sT),2*('XA MU'!$D$27-(xm_y0T+(xm_nT-1)/2*xm_sT))/xm_sT,0)),0),0)+IF('XA MU'!$B$28&lt;=6,'XA MU'!$E$28*$B$8*(MAX(0,1-ABS('XA MU'!$C$28-$D19)/xm_sT)+MAX(0,1-ABS('XA MU'!$D$28-$D19)/xm_sT)),0)+IF(ABS($D19-(xm_y0T+(xm_nT-1)/2*xm_sT))&lt;0.000001,IF('XA MU'!$B$28&lt;=6,'XA MU'!$E$28*$B$8*(IF('XA MU'!$C$28&gt;(xm_y0T+(xm_nT-1)/2*xm_sT),2*('XA MU'!$C$28-(xm_y0T+(xm_nT-1)/2*xm_sT))/xm_sT,0)+IF('XA MU'!$D$28&gt;(xm_y0T+(xm_nT-1)/2*xm_sT),2*('XA MU'!$D$28-(xm_y0T+(xm_nT-1)/2*xm_sT))/xm_sT,0)),0),0)+IF('XA MU'!$B$29&lt;=6,'XA MU'!$E$29*$B$8*(MAX(0,1-ABS('XA MU'!$C$29-$D19)/xm_sT)+MAX(0,1-ABS('XA MU'!$D$29-$D19)/xm_sT)),0)+IF(ABS($D19-(xm_y0T+(xm_nT-1)/2*xm_sT))&lt;0.000001,IF('XA MU'!$B$29&lt;=6,'XA MU'!$E$29*$B$8*(IF('XA MU'!$C$29&gt;(xm_y0T+(xm_nT-1)/2*xm_sT),2*('XA MU'!$C$29-(xm_y0T+(xm_nT-1)/2*xm_sT))/xm_sT,0)+IF('XA MU'!$D$29&gt;(xm_y0T+(xm_nT-1)/2*xm_sT),2*('XA MU'!$D$29-(xm_y0T+(xm_nT-1)/2*xm_sT))/xm_sT,0)),0),0)+IF('XA MU'!$B$30&lt;=6,'XA MU'!$E$30*$B$8*(MAX(0,1-ABS('XA MU'!$C$30-$D19)/xm_sT)+MAX(0,1-ABS('XA MU'!$D$30-$D19)/xm_sT)),0)+IF(ABS($D19-(xm_y0T+(xm_nT-1)/2*xm_sT))&lt;0.000001,IF('XA MU'!$B$30&lt;=6,'XA MU'!$E$30*$B$8*(IF('XA MU'!$C$30&gt;(xm_y0T+(xm_nT-1)/2*xm_sT),2*('XA MU'!$C$30-(xm_y0T+(xm_nT-1)/2*xm_sT))/xm_sT,0)+IF('XA MU'!$D$30&gt;(xm_y0T+(xm_nT-1)/2*xm_sT),2*('XA MU'!$D$30-(xm_y0T+(xm_nT-1)/2*xm_sT))/xm_sT,0)),0),0))))</f>
        <v>191.86454853191492</v>
      </c>
    </row>
    <row r="20" spans="1:14" x14ac:dyDescent="0.3">
      <c r="A20" s="42" t="s">
        <v>1235</v>
      </c>
      <c r="B20" s="42">
        <v>6</v>
      </c>
      <c r="C20" s="40">
        <f t="shared" si="0"/>
        <v>1</v>
      </c>
      <c r="D20" s="44">
        <f t="shared" si="1"/>
        <v>1.175</v>
      </c>
      <c r="E20" s="44">
        <f>MAX(0,D20-'XA MU'!$C$8)*C20</f>
        <v>0</v>
      </c>
      <c r="F20" s="44">
        <f>IF(AND(C20=1,D20&gt;'XA MU'!$C$8),1,0)</f>
        <v>0</v>
      </c>
      <c r="G20" s="44">
        <f t="shared" si="2"/>
        <v>670.60125000000005</v>
      </c>
      <c r="H20" s="44">
        <f t="shared" si="3"/>
        <v>68.43768750000001</v>
      </c>
      <c r="I20" s="44">
        <f>IF(C20=0,0,IF(1&gt;nLan,0,1.2*(IF('XA MU'!$B$25&lt;=1,'XA MU'!$E$25*$B$8*(MAX(0,1-ABS('XA MU'!$C$25-$D20)/xm_sT)+MAX(0,1-ABS('XA MU'!$D$25-$D20)/xm_sT)),0)+IF(ABS($D20-(xm_y0T+(xm_nT-1)/2*xm_sT))&lt;0.000001,IF('XA MU'!$B$25&lt;=1,'XA MU'!$E$25*$B$8*(IF('XA MU'!$C$25&gt;(xm_y0T+(xm_nT-1)/2*xm_sT),2*('XA MU'!$C$25-(xm_y0T+(xm_nT-1)/2*xm_sT))/xm_sT,0)+IF('XA MU'!$D$25&gt;(xm_y0T+(xm_nT-1)/2*xm_sT),2*('XA MU'!$D$25-(xm_y0T+(xm_nT-1)/2*xm_sT))/xm_sT,0)),0),0)+IF('XA MU'!$B$26&lt;=1,'XA MU'!$E$26*$B$8*(MAX(0,1-ABS('XA MU'!$C$26-$D20)/xm_sT)+MAX(0,1-ABS('XA MU'!$D$26-$D20)/xm_sT)),0)+IF(ABS($D20-(xm_y0T+(xm_nT-1)/2*xm_sT))&lt;0.000001,IF('XA MU'!$B$26&lt;=1,'XA MU'!$E$26*$B$8*(IF('XA MU'!$C$26&gt;(xm_y0T+(xm_nT-1)/2*xm_sT),2*('XA MU'!$C$26-(xm_y0T+(xm_nT-1)/2*xm_sT))/xm_sT,0)+IF('XA MU'!$D$26&gt;(xm_y0T+(xm_nT-1)/2*xm_sT),2*('XA MU'!$D$26-(xm_y0T+(xm_nT-1)/2*xm_sT))/xm_sT,0)),0),0)+IF('XA MU'!$B$27&lt;=1,'XA MU'!$E$27*$B$8*(MAX(0,1-ABS('XA MU'!$C$27-$D20)/xm_sT)+MAX(0,1-ABS('XA MU'!$D$27-$D20)/xm_sT)),0)+IF(ABS($D20-(xm_y0T+(xm_nT-1)/2*xm_sT))&lt;0.000001,IF('XA MU'!$B$27&lt;=1,'XA MU'!$E$27*$B$8*(IF('XA MU'!$C$27&gt;(xm_y0T+(xm_nT-1)/2*xm_sT),2*('XA MU'!$C$27-(xm_y0T+(xm_nT-1)/2*xm_sT))/xm_sT,0)+IF('XA MU'!$D$27&gt;(xm_y0T+(xm_nT-1)/2*xm_sT),2*('XA MU'!$D$27-(xm_y0T+(xm_nT-1)/2*xm_sT))/xm_sT,0)),0),0)+IF('XA MU'!$B$28&lt;=1,'XA MU'!$E$28*$B$8*(MAX(0,1-ABS('XA MU'!$C$28-$D20)/xm_sT)+MAX(0,1-ABS('XA MU'!$D$28-$D20)/xm_sT)),0)+IF(ABS($D20-(xm_y0T+(xm_nT-1)/2*xm_sT))&lt;0.000001,IF('XA MU'!$B$28&lt;=1,'XA MU'!$E$28*$B$8*(IF('XA MU'!$C$28&gt;(xm_y0T+(xm_nT-1)/2*xm_sT),2*('XA MU'!$C$28-(xm_y0T+(xm_nT-1)/2*xm_sT))/xm_sT,0)+IF('XA MU'!$D$28&gt;(xm_y0T+(xm_nT-1)/2*xm_sT),2*('XA MU'!$D$28-(xm_y0T+(xm_nT-1)/2*xm_sT))/xm_sT,0)),0),0)+IF('XA MU'!$B$29&lt;=1,'XA MU'!$E$29*$B$8*(MAX(0,1-ABS('XA MU'!$C$29-$D20)/xm_sT)+MAX(0,1-ABS('XA MU'!$D$29-$D20)/xm_sT)),0)+IF(ABS($D20-(xm_y0T+(xm_nT-1)/2*xm_sT))&lt;0.000001,IF('XA MU'!$B$29&lt;=1,'XA MU'!$E$29*$B$8*(IF('XA MU'!$C$29&gt;(xm_y0T+(xm_nT-1)/2*xm_sT),2*('XA MU'!$C$29-(xm_y0T+(xm_nT-1)/2*xm_sT))/xm_sT,0)+IF('XA MU'!$D$29&gt;(xm_y0T+(xm_nT-1)/2*xm_sT),2*('XA MU'!$D$29-(xm_y0T+(xm_nT-1)/2*xm_sT))/xm_sT,0)),0),0)+IF('XA MU'!$B$30&lt;=1,'XA MU'!$E$30*$B$8*(MAX(0,1-ABS('XA MU'!$C$30-$D20)/xm_sT)+MAX(0,1-ABS('XA MU'!$D$30-$D20)/xm_sT)),0)+IF(ABS($D20-(xm_y0T+(xm_nT-1)/2*xm_sT))&lt;0.000001,IF('XA MU'!$B$30&lt;=1,'XA MU'!$E$30*$B$8*(IF('XA MU'!$C$30&gt;(xm_y0T+(xm_nT-1)/2*xm_sT),2*('XA MU'!$C$30-(xm_y0T+(xm_nT-1)/2*xm_sT))/xm_sT,0)+IF('XA MU'!$D$30&gt;(xm_y0T+(xm_nT-1)/2*xm_sT),2*('XA MU'!$D$30-(xm_y0T+(xm_nT-1)/2*xm_sT))/xm_sT,0)),0),0))))</f>
        <v>0</v>
      </c>
      <c r="J20" s="44">
        <f>IF(C20=0,0,IF(2&gt;nLan,0,1*(IF('XA MU'!$B$25&lt;=2,'XA MU'!$E$25*$B$8*(MAX(0,1-ABS('XA MU'!$C$25-$D20)/xm_sT)+MAX(0,1-ABS('XA MU'!$D$25-$D20)/xm_sT)),0)+IF(ABS($D20-(xm_y0T+(xm_nT-1)/2*xm_sT))&lt;0.000001,IF('XA MU'!$B$25&lt;=2,'XA MU'!$E$25*$B$8*(IF('XA MU'!$C$25&gt;(xm_y0T+(xm_nT-1)/2*xm_sT),2*('XA MU'!$C$25-(xm_y0T+(xm_nT-1)/2*xm_sT))/xm_sT,0)+IF('XA MU'!$D$25&gt;(xm_y0T+(xm_nT-1)/2*xm_sT),2*('XA MU'!$D$25-(xm_y0T+(xm_nT-1)/2*xm_sT))/xm_sT,0)),0),0)+IF('XA MU'!$B$26&lt;=2,'XA MU'!$E$26*$B$8*(MAX(0,1-ABS('XA MU'!$C$26-$D20)/xm_sT)+MAX(0,1-ABS('XA MU'!$D$26-$D20)/xm_sT)),0)+IF(ABS($D20-(xm_y0T+(xm_nT-1)/2*xm_sT))&lt;0.000001,IF('XA MU'!$B$26&lt;=2,'XA MU'!$E$26*$B$8*(IF('XA MU'!$C$26&gt;(xm_y0T+(xm_nT-1)/2*xm_sT),2*('XA MU'!$C$26-(xm_y0T+(xm_nT-1)/2*xm_sT))/xm_sT,0)+IF('XA MU'!$D$26&gt;(xm_y0T+(xm_nT-1)/2*xm_sT),2*('XA MU'!$D$26-(xm_y0T+(xm_nT-1)/2*xm_sT))/xm_sT,0)),0),0)+IF('XA MU'!$B$27&lt;=2,'XA MU'!$E$27*$B$8*(MAX(0,1-ABS('XA MU'!$C$27-$D20)/xm_sT)+MAX(0,1-ABS('XA MU'!$D$27-$D20)/xm_sT)),0)+IF(ABS($D20-(xm_y0T+(xm_nT-1)/2*xm_sT))&lt;0.000001,IF('XA MU'!$B$27&lt;=2,'XA MU'!$E$27*$B$8*(IF('XA MU'!$C$27&gt;(xm_y0T+(xm_nT-1)/2*xm_sT),2*('XA MU'!$C$27-(xm_y0T+(xm_nT-1)/2*xm_sT))/xm_sT,0)+IF('XA MU'!$D$27&gt;(xm_y0T+(xm_nT-1)/2*xm_sT),2*('XA MU'!$D$27-(xm_y0T+(xm_nT-1)/2*xm_sT))/xm_sT,0)),0),0)+IF('XA MU'!$B$28&lt;=2,'XA MU'!$E$28*$B$8*(MAX(0,1-ABS('XA MU'!$C$28-$D20)/xm_sT)+MAX(0,1-ABS('XA MU'!$D$28-$D20)/xm_sT)),0)+IF(ABS($D20-(xm_y0T+(xm_nT-1)/2*xm_sT))&lt;0.000001,IF('XA MU'!$B$28&lt;=2,'XA MU'!$E$28*$B$8*(IF('XA MU'!$C$28&gt;(xm_y0T+(xm_nT-1)/2*xm_sT),2*('XA MU'!$C$28-(xm_y0T+(xm_nT-1)/2*xm_sT))/xm_sT,0)+IF('XA MU'!$D$28&gt;(xm_y0T+(xm_nT-1)/2*xm_sT),2*('XA MU'!$D$28-(xm_y0T+(xm_nT-1)/2*xm_sT))/xm_sT,0)),0),0)+IF('XA MU'!$B$29&lt;=2,'XA MU'!$E$29*$B$8*(MAX(0,1-ABS('XA MU'!$C$29-$D20)/xm_sT)+MAX(0,1-ABS('XA MU'!$D$29-$D20)/xm_sT)),0)+IF(ABS($D20-(xm_y0T+(xm_nT-1)/2*xm_sT))&lt;0.000001,IF('XA MU'!$B$29&lt;=2,'XA MU'!$E$29*$B$8*(IF('XA MU'!$C$29&gt;(xm_y0T+(xm_nT-1)/2*xm_sT),2*('XA MU'!$C$29-(xm_y0T+(xm_nT-1)/2*xm_sT))/xm_sT,0)+IF('XA MU'!$D$29&gt;(xm_y0T+(xm_nT-1)/2*xm_sT),2*('XA MU'!$D$29-(xm_y0T+(xm_nT-1)/2*xm_sT))/xm_sT,0)),0),0)+IF('XA MU'!$B$30&lt;=2,'XA MU'!$E$30*$B$8*(MAX(0,1-ABS('XA MU'!$C$30-$D20)/xm_sT)+MAX(0,1-ABS('XA MU'!$D$30-$D20)/xm_sT)),0)+IF(ABS($D20-(xm_y0T+(xm_nT-1)/2*xm_sT))&lt;0.000001,IF('XA MU'!$B$30&lt;=2,'XA MU'!$E$30*$B$8*(IF('XA MU'!$C$30&gt;(xm_y0T+(xm_nT-1)/2*xm_sT),2*('XA MU'!$C$30-(xm_y0T+(xm_nT-1)/2*xm_sT))/xm_sT,0)+IF('XA MU'!$D$30&gt;(xm_y0T+(xm_nT-1)/2*xm_sT),2*('XA MU'!$D$30-(xm_y0T+(xm_nT-1)/2*xm_sT))/xm_sT,0)),0),0))))</f>
        <v>0</v>
      </c>
      <c r="K20" s="44">
        <f>IF(C20=0,0,IF(3&gt;nLan,0,0.85*(IF('XA MU'!$B$25&lt;=3,'XA MU'!$E$25*$B$8*(MAX(0,1-ABS('XA MU'!$C$25-$D20)/xm_sT)+MAX(0,1-ABS('XA MU'!$D$25-$D20)/xm_sT)),0)+IF(ABS($D20-(xm_y0T+(xm_nT-1)/2*xm_sT))&lt;0.000001,IF('XA MU'!$B$25&lt;=3,'XA MU'!$E$25*$B$8*(IF('XA MU'!$C$25&gt;(xm_y0T+(xm_nT-1)/2*xm_sT),2*('XA MU'!$C$25-(xm_y0T+(xm_nT-1)/2*xm_sT))/xm_sT,0)+IF('XA MU'!$D$25&gt;(xm_y0T+(xm_nT-1)/2*xm_sT),2*('XA MU'!$D$25-(xm_y0T+(xm_nT-1)/2*xm_sT))/xm_sT,0)),0),0)+IF('XA MU'!$B$26&lt;=3,'XA MU'!$E$26*$B$8*(MAX(0,1-ABS('XA MU'!$C$26-$D20)/xm_sT)+MAX(0,1-ABS('XA MU'!$D$26-$D20)/xm_sT)),0)+IF(ABS($D20-(xm_y0T+(xm_nT-1)/2*xm_sT))&lt;0.000001,IF('XA MU'!$B$26&lt;=3,'XA MU'!$E$26*$B$8*(IF('XA MU'!$C$26&gt;(xm_y0T+(xm_nT-1)/2*xm_sT),2*('XA MU'!$C$26-(xm_y0T+(xm_nT-1)/2*xm_sT))/xm_sT,0)+IF('XA MU'!$D$26&gt;(xm_y0T+(xm_nT-1)/2*xm_sT),2*('XA MU'!$D$26-(xm_y0T+(xm_nT-1)/2*xm_sT))/xm_sT,0)),0),0)+IF('XA MU'!$B$27&lt;=3,'XA MU'!$E$27*$B$8*(MAX(0,1-ABS('XA MU'!$C$27-$D20)/xm_sT)+MAX(0,1-ABS('XA MU'!$D$27-$D20)/xm_sT)),0)+IF(ABS($D20-(xm_y0T+(xm_nT-1)/2*xm_sT))&lt;0.000001,IF('XA MU'!$B$27&lt;=3,'XA MU'!$E$27*$B$8*(IF('XA MU'!$C$27&gt;(xm_y0T+(xm_nT-1)/2*xm_sT),2*('XA MU'!$C$27-(xm_y0T+(xm_nT-1)/2*xm_sT))/xm_sT,0)+IF('XA MU'!$D$27&gt;(xm_y0T+(xm_nT-1)/2*xm_sT),2*('XA MU'!$D$27-(xm_y0T+(xm_nT-1)/2*xm_sT))/xm_sT,0)),0),0)+IF('XA MU'!$B$28&lt;=3,'XA MU'!$E$28*$B$8*(MAX(0,1-ABS('XA MU'!$C$28-$D20)/xm_sT)+MAX(0,1-ABS('XA MU'!$D$28-$D20)/xm_sT)),0)+IF(ABS($D20-(xm_y0T+(xm_nT-1)/2*xm_sT))&lt;0.000001,IF('XA MU'!$B$28&lt;=3,'XA MU'!$E$28*$B$8*(IF('XA MU'!$C$28&gt;(xm_y0T+(xm_nT-1)/2*xm_sT),2*('XA MU'!$C$28-(xm_y0T+(xm_nT-1)/2*xm_sT))/xm_sT,0)+IF('XA MU'!$D$28&gt;(xm_y0T+(xm_nT-1)/2*xm_sT),2*('XA MU'!$D$28-(xm_y0T+(xm_nT-1)/2*xm_sT))/xm_sT,0)),0),0)+IF('XA MU'!$B$29&lt;=3,'XA MU'!$E$29*$B$8*(MAX(0,1-ABS('XA MU'!$C$29-$D20)/xm_sT)+MAX(0,1-ABS('XA MU'!$D$29-$D20)/xm_sT)),0)+IF(ABS($D20-(xm_y0T+(xm_nT-1)/2*xm_sT))&lt;0.000001,IF('XA MU'!$B$29&lt;=3,'XA MU'!$E$29*$B$8*(IF('XA MU'!$C$29&gt;(xm_y0T+(xm_nT-1)/2*xm_sT),2*('XA MU'!$C$29-(xm_y0T+(xm_nT-1)/2*xm_sT))/xm_sT,0)+IF('XA MU'!$D$29&gt;(xm_y0T+(xm_nT-1)/2*xm_sT),2*('XA MU'!$D$29-(xm_y0T+(xm_nT-1)/2*xm_sT))/xm_sT,0)),0),0)+IF('XA MU'!$B$30&lt;=3,'XA MU'!$E$30*$B$8*(MAX(0,1-ABS('XA MU'!$C$30-$D20)/xm_sT)+MAX(0,1-ABS('XA MU'!$D$30-$D20)/xm_sT)),0)+IF(ABS($D20-(xm_y0T+(xm_nT-1)/2*xm_sT))&lt;0.000001,IF('XA MU'!$B$30&lt;=3,'XA MU'!$E$30*$B$8*(IF('XA MU'!$C$30&gt;(xm_y0T+(xm_nT-1)/2*xm_sT),2*('XA MU'!$C$30-(xm_y0T+(xm_nT-1)/2*xm_sT))/xm_sT,0)+IF('XA MU'!$D$30&gt;(xm_y0T+(xm_nT-1)/2*xm_sT),2*('XA MU'!$D$30-(xm_y0T+(xm_nT-1)/2*xm_sT))/xm_sT,0)),0),0))))</f>
        <v>151.4050482446809</v>
      </c>
      <c r="L20" s="44">
        <f>IF(C20=0,0,IF(4&gt;nLan,0,0.65*(IF('XA MU'!$B$25&lt;=4,'XA MU'!$E$25*$B$8*(MAX(0,1-ABS('XA MU'!$C$25-$D20)/xm_sT)+MAX(0,1-ABS('XA MU'!$D$25-$D20)/xm_sT)),0)+IF(ABS($D20-(xm_y0T+(xm_nT-1)/2*xm_sT))&lt;0.000001,IF('XA MU'!$B$25&lt;=4,'XA MU'!$E$25*$B$8*(IF('XA MU'!$C$25&gt;(xm_y0T+(xm_nT-1)/2*xm_sT),2*('XA MU'!$C$25-(xm_y0T+(xm_nT-1)/2*xm_sT))/xm_sT,0)+IF('XA MU'!$D$25&gt;(xm_y0T+(xm_nT-1)/2*xm_sT),2*('XA MU'!$D$25-(xm_y0T+(xm_nT-1)/2*xm_sT))/xm_sT,0)),0),0)+IF('XA MU'!$B$26&lt;=4,'XA MU'!$E$26*$B$8*(MAX(0,1-ABS('XA MU'!$C$26-$D20)/xm_sT)+MAX(0,1-ABS('XA MU'!$D$26-$D20)/xm_sT)),0)+IF(ABS($D20-(xm_y0T+(xm_nT-1)/2*xm_sT))&lt;0.000001,IF('XA MU'!$B$26&lt;=4,'XA MU'!$E$26*$B$8*(IF('XA MU'!$C$26&gt;(xm_y0T+(xm_nT-1)/2*xm_sT),2*('XA MU'!$C$26-(xm_y0T+(xm_nT-1)/2*xm_sT))/xm_sT,0)+IF('XA MU'!$D$26&gt;(xm_y0T+(xm_nT-1)/2*xm_sT),2*('XA MU'!$D$26-(xm_y0T+(xm_nT-1)/2*xm_sT))/xm_sT,0)),0),0)+IF('XA MU'!$B$27&lt;=4,'XA MU'!$E$27*$B$8*(MAX(0,1-ABS('XA MU'!$C$27-$D20)/xm_sT)+MAX(0,1-ABS('XA MU'!$D$27-$D20)/xm_sT)),0)+IF(ABS($D20-(xm_y0T+(xm_nT-1)/2*xm_sT))&lt;0.000001,IF('XA MU'!$B$27&lt;=4,'XA MU'!$E$27*$B$8*(IF('XA MU'!$C$27&gt;(xm_y0T+(xm_nT-1)/2*xm_sT),2*('XA MU'!$C$27-(xm_y0T+(xm_nT-1)/2*xm_sT))/xm_sT,0)+IF('XA MU'!$D$27&gt;(xm_y0T+(xm_nT-1)/2*xm_sT),2*('XA MU'!$D$27-(xm_y0T+(xm_nT-1)/2*xm_sT))/xm_sT,0)),0),0)+IF('XA MU'!$B$28&lt;=4,'XA MU'!$E$28*$B$8*(MAX(0,1-ABS('XA MU'!$C$28-$D20)/xm_sT)+MAX(0,1-ABS('XA MU'!$D$28-$D20)/xm_sT)),0)+IF(ABS($D20-(xm_y0T+(xm_nT-1)/2*xm_sT))&lt;0.000001,IF('XA MU'!$B$28&lt;=4,'XA MU'!$E$28*$B$8*(IF('XA MU'!$C$28&gt;(xm_y0T+(xm_nT-1)/2*xm_sT),2*('XA MU'!$C$28-(xm_y0T+(xm_nT-1)/2*xm_sT))/xm_sT,0)+IF('XA MU'!$D$28&gt;(xm_y0T+(xm_nT-1)/2*xm_sT),2*('XA MU'!$D$28-(xm_y0T+(xm_nT-1)/2*xm_sT))/xm_sT,0)),0),0)+IF('XA MU'!$B$29&lt;=4,'XA MU'!$E$29*$B$8*(MAX(0,1-ABS('XA MU'!$C$29-$D20)/xm_sT)+MAX(0,1-ABS('XA MU'!$D$29-$D20)/xm_sT)),0)+IF(ABS($D20-(xm_y0T+(xm_nT-1)/2*xm_sT))&lt;0.000001,IF('XA MU'!$B$29&lt;=4,'XA MU'!$E$29*$B$8*(IF('XA MU'!$C$29&gt;(xm_y0T+(xm_nT-1)/2*xm_sT),2*('XA MU'!$C$29-(xm_y0T+(xm_nT-1)/2*xm_sT))/xm_sT,0)+IF('XA MU'!$D$29&gt;(xm_y0T+(xm_nT-1)/2*xm_sT),2*('XA MU'!$D$29-(xm_y0T+(xm_nT-1)/2*xm_sT))/xm_sT,0)),0),0)+IF('XA MU'!$B$30&lt;=4,'XA MU'!$E$30*$B$8*(MAX(0,1-ABS('XA MU'!$C$30-$D20)/xm_sT)+MAX(0,1-ABS('XA MU'!$D$30-$D20)/xm_sT)),0)+IF(ABS($D20-(xm_y0T+(xm_nT-1)/2*xm_sT))&lt;0.000001,IF('XA MU'!$B$30&lt;=4,'XA MU'!$E$30*$B$8*(IF('XA MU'!$C$30&gt;(xm_y0T+(xm_nT-1)/2*xm_sT),2*('XA MU'!$C$30-(xm_y0T+(xm_nT-1)/2*xm_sT))/xm_sT,0)+IF('XA MU'!$D$30&gt;(xm_y0T+(xm_nT-1)/2*xm_sT),2*('XA MU'!$D$30-(xm_y0T+(xm_nT-1)/2*xm_sT))/xm_sT,0)),0),0))))</f>
        <v>191.86454853191489</v>
      </c>
      <c r="M20" s="44">
        <f>IF(C20=0,0,IF(5&gt;nLan,0,0.65*(IF('XA MU'!$B$25&lt;=5,'XA MU'!$E$25*$B$8*(MAX(0,1-ABS('XA MU'!$C$25-$D20)/xm_sT)+MAX(0,1-ABS('XA MU'!$D$25-$D20)/xm_sT)),0)+IF(ABS($D20-(xm_y0T+(xm_nT-1)/2*xm_sT))&lt;0.000001,IF('XA MU'!$B$25&lt;=5,'XA MU'!$E$25*$B$8*(IF('XA MU'!$C$25&gt;(xm_y0T+(xm_nT-1)/2*xm_sT),2*('XA MU'!$C$25-(xm_y0T+(xm_nT-1)/2*xm_sT))/xm_sT,0)+IF('XA MU'!$D$25&gt;(xm_y0T+(xm_nT-1)/2*xm_sT),2*('XA MU'!$D$25-(xm_y0T+(xm_nT-1)/2*xm_sT))/xm_sT,0)),0),0)+IF('XA MU'!$B$26&lt;=5,'XA MU'!$E$26*$B$8*(MAX(0,1-ABS('XA MU'!$C$26-$D20)/xm_sT)+MAX(0,1-ABS('XA MU'!$D$26-$D20)/xm_sT)),0)+IF(ABS($D20-(xm_y0T+(xm_nT-1)/2*xm_sT))&lt;0.000001,IF('XA MU'!$B$26&lt;=5,'XA MU'!$E$26*$B$8*(IF('XA MU'!$C$26&gt;(xm_y0T+(xm_nT-1)/2*xm_sT),2*('XA MU'!$C$26-(xm_y0T+(xm_nT-1)/2*xm_sT))/xm_sT,0)+IF('XA MU'!$D$26&gt;(xm_y0T+(xm_nT-1)/2*xm_sT),2*('XA MU'!$D$26-(xm_y0T+(xm_nT-1)/2*xm_sT))/xm_sT,0)),0),0)+IF('XA MU'!$B$27&lt;=5,'XA MU'!$E$27*$B$8*(MAX(0,1-ABS('XA MU'!$C$27-$D20)/xm_sT)+MAX(0,1-ABS('XA MU'!$D$27-$D20)/xm_sT)),0)+IF(ABS($D20-(xm_y0T+(xm_nT-1)/2*xm_sT))&lt;0.000001,IF('XA MU'!$B$27&lt;=5,'XA MU'!$E$27*$B$8*(IF('XA MU'!$C$27&gt;(xm_y0T+(xm_nT-1)/2*xm_sT),2*('XA MU'!$C$27-(xm_y0T+(xm_nT-1)/2*xm_sT))/xm_sT,0)+IF('XA MU'!$D$27&gt;(xm_y0T+(xm_nT-1)/2*xm_sT),2*('XA MU'!$D$27-(xm_y0T+(xm_nT-1)/2*xm_sT))/xm_sT,0)),0),0)+IF('XA MU'!$B$28&lt;=5,'XA MU'!$E$28*$B$8*(MAX(0,1-ABS('XA MU'!$C$28-$D20)/xm_sT)+MAX(0,1-ABS('XA MU'!$D$28-$D20)/xm_sT)),0)+IF(ABS($D20-(xm_y0T+(xm_nT-1)/2*xm_sT))&lt;0.000001,IF('XA MU'!$B$28&lt;=5,'XA MU'!$E$28*$B$8*(IF('XA MU'!$C$28&gt;(xm_y0T+(xm_nT-1)/2*xm_sT),2*('XA MU'!$C$28-(xm_y0T+(xm_nT-1)/2*xm_sT))/xm_sT,0)+IF('XA MU'!$D$28&gt;(xm_y0T+(xm_nT-1)/2*xm_sT),2*('XA MU'!$D$28-(xm_y0T+(xm_nT-1)/2*xm_sT))/xm_sT,0)),0),0)+IF('XA MU'!$B$29&lt;=5,'XA MU'!$E$29*$B$8*(MAX(0,1-ABS('XA MU'!$C$29-$D20)/xm_sT)+MAX(0,1-ABS('XA MU'!$D$29-$D20)/xm_sT)),0)+IF(ABS($D20-(xm_y0T+(xm_nT-1)/2*xm_sT))&lt;0.000001,IF('XA MU'!$B$29&lt;=5,'XA MU'!$E$29*$B$8*(IF('XA MU'!$C$29&gt;(xm_y0T+(xm_nT-1)/2*xm_sT),2*('XA MU'!$C$29-(xm_y0T+(xm_nT-1)/2*xm_sT))/xm_sT,0)+IF('XA MU'!$D$29&gt;(xm_y0T+(xm_nT-1)/2*xm_sT),2*('XA MU'!$D$29-(xm_y0T+(xm_nT-1)/2*xm_sT))/xm_sT,0)),0),0)+IF('XA MU'!$B$30&lt;=5,'XA MU'!$E$30*$B$8*(MAX(0,1-ABS('XA MU'!$C$30-$D20)/xm_sT)+MAX(0,1-ABS('XA MU'!$D$30-$D20)/xm_sT)),0)+IF(ABS($D20-(xm_y0T+(xm_nT-1)/2*xm_sT))&lt;0.000001,IF('XA MU'!$B$30&lt;=5,'XA MU'!$E$30*$B$8*(IF('XA MU'!$C$30&gt;(xm_y0T+(xm_nT-1)/2*xm_sT),2*('XA MU'!$C$30-(xm_y0T+(xm_nT-1)/2*xm_sT))/xm_sT,0)+IF('XA MU'!$D$30&gt;(xm_y0T+(xm_nT-1)/2*xm_sT),2*('XA MU'!$D$30-(xm_y0T+(xm_nT-1)/2*xm_sT))/xm_sT,0)),0),0))))</f>
        <v>191.86454853191489</v>
      </c>
      <c r="N20" s="44">
        <f>IF(C20=0,0,IF(6&gt;nLan,0,0.65*(IF('XA MU'!$B$25&lt;=6,'XA MU'!$E$25*$B$8*(MAX(0,1-ABS('XA MU'!$C$25-$D20)/xm_sT)+MAX(0,1-ABS('XA MU'!$D$25-$D20)/xm_sT)),0)+IF(ABS($D20-(xm_y0T+(xm_nT-1)/2*xm_sT))&lt;0.000001,IF('XA MU'!$B$25&lt;=6,'XA MU'!$E$25*$B$8*(IF('XA MU'!$C$25&gt;(xm_y0T+(xm_nT-1)/2*xm_sT),2*('XA MU'!$C$25-(xm_y0T+(xm_nT-1)/2*xm_sT))/xm_sT,0)+IF('XA MU'!$D$25&gt;(xm_y0T+(xm_nT-1)/2*xm_sT),2*('XA MU'!$D$25-(xm_y0T+(xm_nT-1)/2*xm_sT))/xm_sT,0)),0),0)+IF('XA MU'!$B$26&lt;=6,'XA MU'!$E$26*$B$8*(MAX(0,1-ABS('XA MU'!$C$26-$D20)/xm_sT)+MAX(0,1-ABS('XA MU'!$D$26-$D20)/xm_sT)),0)+IF(ABS($D20-(xm_y0T+(xm_nT-1)/2*xm_sT))&lt;0.000001,IF('XA MU'!$B$26&lt;=6,'XA MU'!$E$26*$B$8*(IF('XA MU'!$C$26&gt;(xm_y0T+(xm_nT-1)/2*xm_sT),2*('XA MU'!$C$26-(xm_y0T+(xm_nT-1)/2*xm_sT))/xm_sT,0)+IF('XA MU'!$D$26&gt;(xm_y0T+(xm_nT-1)/2*xm_sT),2*('XA MU'!$D$26-(xm_y0T+(xm_nT-1)/2*xm_sT))/xm_sT,0)),0),0)+IF('XA MU'!$B$27&lt;=6,'XA MU'!$E$27*$B$8*(MAX(0,1-ABS('XA MU'!$C$27-$D20)/xm_sT)+MAX(0,1-ABS('XA MU'!$D$27-$D20)/xm_sT)),0)+IF(ABS($D20-(xm_y0T+(xm_nT-1)/2*xm_sT))&lt;0.000001,IF('XA MU'!$B$27&lt;=6,'XA MU'!$E$27*$B$8*(IF('XA MU'!$C$27&gt;(xm_y0T+(xm_nT-1)/2*xm_sT),2*('XA MU'!$C$27-(xm_y0T+(xm_nT-1)/2*xm_sT))/xm_sT,0)+IF('XA MU'!$D$27&gt;(xm_y0T+(xm_nT-1)/2*xm_sT),2*('XA MU'!$D$27-(xm_y0T+(xm_nT-1)/2*xm_sT))/xm_sT,0)),0),0)+IF('XA MU'!$B$28&lt;=6,'XA MU'!$E$28*$B$8*(MAX(0,1-ABS('XA MU'!$C$28-$D20)/xm_sT)+MAX(0,1-ABS('XA MU'!$D$28-$D20)/xm_sT)),0)+IF(ABS($D20-(xm_y0T+(xm_nT-1)/2*xm_sT))&lt;0.000001,IF('XA MU'!$B$28&lt;=6,'XA MU'!$E$28*$B$8*(IF('XA MU'!$C$28&gt;(xm_y0T+(xm_nT-1)/2*xm_sT),2*('XA MU'!$C$28-(xm_y0T+(xm_nT-1)/2*xm_sT))/xm_sT,0)+IF('XA MU'!$D$28&gt;(xm_y0T+(xm_nT-1)/2*xm_sT),2*('XA MU'!$D$28-(xm_y0T+(xm_nT-1)/2*xm_sT))/xm_sT,0)),0),0)+IF('XA MU'!$B$29&lt;=6,'XA MU'!$E$29*$B$8*(MAX(0,1-ABS('XA MU'!$C$29-$D20)/xm_sT)+MAX(0,1-ABS('XA MU'!$D$29-$D20)/xm_sT)),0)+IF(ABS($D20-(xm_y0T+(xm_nT-1)/2*xm_sT))&lt;0.000001,IF('XA MU'!$B$29&lt;=6,'XA MU'!$E$29*$B$8*(IF('XA MU'!$C$29&gt;(xm_y0T+(xm_nT-1)/2*xm_sT),2*('XA MU'!$C$29-(xm_y0T+(xm_nT-1)/2*xm_sT))/xm_sT,0)+IF('XA MU'!$D$29&gt;(xm_y0T+(xm_nT-1)/2*xm_sT),2*('XA MU'!$D$29-(xm_y0T+(xm_nT-1)/2*xm_sT))/xm_sT,0)),0),0)+IF('XA MU'!$B$30&lt;=6,'XA MU'!$E$30*$B$8*(MAX(0,1-ABS('XA MU'!$C$30-$D20)/xm_sT)+MAX(0,1-ABS('XA MU'!$D$30-$D20)/xm_sT)),0)+IF(ABS($D20-(xm_y0T+(xm_nT-1)/2*xm_sT))&lt;0.000001,IF('XA MU'!$B$30&lt;=6,'XA MU'!$E$30*$B$8*(IF('XA MU'!$C$30&gt;(xm_y0T+(xm_nT-1)/2*xm_sT),2*('XA MU'!$C$30-(xm_y0T+(xm_nT-1)/2*xm_sT))/xm_sT,0)+IF('XA MU'!$D$30&gt;(xm_y0T+(xm_nT-1)/2*xm_sT),2*('XA MU'!$D$30-(xm_y0T+(xm_nT-1)/2*xm_sT))/xm_sT,0)),0),0))))</f>
        <v>191.86454853191489</v>
      </c>
    </row>
    <row r="21" spans="1:14" x14ac:dyDescent="0.3">
      <c r="A21" s="42" t="s">
        <v>1235</v>
      </c>
      <c r="B21" s="42">
        <v>7</v>
      </c>
      <c r="C21" s="40">
        <f t="shared" si="0"/>
        <v>1</v>
      </c>
      <c r="D21" s="44">
        <f t="shared" si="1"/>
        <v>3.5250000000000004</v>
      </c>
      <c r="E21" s="44">
        <f>MAX(0,D21-'XA MU'!$C$8)*C21</f>
        <v>4.1666666666666963E-2</v>
      </c>
      <c r="F21" s="44">
        <f>IF(AND(C21=1,D21&gt;'XA MU'!$C$8),1,0)</f>
        <v>1</v>
      </c>
      <c r="G21" s="44">
        <f t="shared" si="2"/>
        <v>670.60125000000005</v>
      </c>
      <c r="H21" s="44">
        <f t="shared" si="3"/>
        <v>68.43768750000001</v>
      </c>
      <c r="I21" s="44">
        <f>IF(C21=0,0,IF(1&gt;nLan,0,1.2*(IF('XA MU'!$B$25&lt;=1,'XA MU'!$E$25*$B$8*(MAX(0,1-ABS('XA MU'!$C$25-$D21)/xm_sT)+MAX(0,1-ABS('XA MU'!$D$25-$D21)/xm_sT)),0)+IF(ABS($D21-(xm_y0T+(xm_nT-1)/2*xm_sT))&lt;0.000001,IF('XA MU'!$B$25&lt;=1,'XA MU'!$E$25*$B$8*(IF('XA MU'!$C$25&gt;(xm_y0T+(xm_nT-1)/2*xm_sT),2*('XA MU'!$C$25-(xm_y0T+(xm_nT-1)/2*xm_sT))/xm_sT,0)+IF('XA MU'!$D$25&gt;(xm_y0T+(xm_nT-1)/2*xm_sT),2*('XA MU'!$D$25-(xm_y0T+(xm_nT-1)/2*xm_sT))/xm_sT,0)),0),0)+IF('XA MU'!$B$26&lt;=1,'XA MU'!$E$26*$B$8*(MAX(0,1-ABS('XA MU'!$C$26-$D21)/xm_sT)+MAX(0,1-ABS('XA MU'!$D$26-$D21)/xm_sT)),0)+IF(ABS($D21-(xm_y0T+(xm_nT-1)/2*xm_sT))&lt;0.000001,IF('XA MU'!$B$26&lt;=1,'XA MU'!$E$26*$B$8*(IF('XA MU'!$C$26&gt;(xm_y0T+(xm_nT-1)/2*xm_sT),2*('XA MU'!$C$26-(xm_y0T+(xm_nT-1)/2*xm_sT))/xm_sT,0)+IF('XA MU'!$D$26&gt;(xm_y0T+(xm_nT-1)/2*xm_sT),2*('XA MU'!$D$26-(xm_y0T+(xm_nT-1)/2*xm_sT))/xm_sT,0)),0),0)+IF('XA MU'!$B$27&lt;=1,'XA MU'!$E$27*$B$8*(MAX(0,1-ABS('XA MU'!$C$27-$D21)/xm_sT)+MAX(0,1-ABS('XA MU'!$D$27-$D21)/xm_sT)),0)+IF(ABS($D21-(xm_y0T+(xm_nT-1)/2*xm_sT))&lt;0.000001,IF('XA MU'!$B$27&lt;=1,'XA MU'!$E$27*$B$8*(IF('XA MU'!$C$27&gt;(xm_y0T+(xm_nT-1)/2*xm_sT),2*('XA MU'!$C$27-(xm_y0T+(xm_nT-1)/2*xm_sT))/xm_sT,0)+IF('XA MU'!$D$27&gt;(xm_y0T+(xm_nT-1)/2*xm_sT),2*('XA MU'!$D$27-(xm_y0T+(xm_nT-1)/2*xm_sT))/xm_sT,0)),0),0)+IF('XA MU'!$B$28&lt;=1,'XA MU'!$E$28*$B$8*(MAX(0,1-ABS('XA MU'!$C$28-$D21)/xm_sT)+MAX(0,1-ABS('XA MU'!$D$28-$D21)/xm_sT)),0)+IF(ABS($D21-(xm_y0T+(xm_nT-1)/2*xm_sT))&lt;0.000001,IF('XA MU'!$B$28&lt;=1,'XA MU'!$E$28*$B$8*(IF('XA MU'!$C$28&gt;(xm_y0T+(xm_nT-1)/2*xm_sT),2*('XA MU'!$C$28-(xm_y0T+(xm_nT-1)/2*xm_sT))/xm_sT,0)+IF('XA MU'!$D$28&gt;(xm_y0T+(xm_nT-1)/2*xm_sT),2*('XA MU'!$D$28-(xm_y0T+(xm_nT-1)/2*xm_sT))/xm_sT,0)),0),0)+IF('XA MU'!$B$29&lt;=1,'XA MU'!$E$29*$B$8*(MAX(0,1-ABS('XA MU'!$C$29-$D21)/xm_sT)+MAX(0,1-ABS('XA MU'!$D$29-$D21)/xm_sT)),0)+IF(ABS($D21-(xm_y0T+(xm_nT-1)/2*xm_sT))&lt;0.000001,IF('XA MU'!$B$29&lt;=1,'XA MU'!$E$29*$B$8*(IF('XA MU'!$C$29&gt;(xm_y0T+(xm_nT-1)/2*xm_sT),2*('XA MU'!$C$29-(xm_y0T+(xm_nT-1)/2*xm_sT))/xm_sT,0)+IF('XA MU'!$D$29&gt;(xm_y0T+(xm_nT-1)/2*xm_sT),2*('XA MU'!$D$29-(xm_y0T+(xm_nT-1)/2*xm_sT))/xm_sT,0)),0),0)+IF('XA MU'!$B$30&lt;=1,'XA MU'!$E$30*$B$8*(MAX(0,1-ABS('XA MU'!$C$30-$D21)/xm_sT)+MAX(0,1-ABS('XA MU'!$D$30-$D21)/xm_sT)),0)+IF(ABS($D21-(xm_y0T+(xm_nT-1)/2*xm_sT))&lt;0.000001,IF('XA MU'!$B$30&lt;=1,'XA MU'!$E$30*$B$8*(IF('XA MU'!$C$30&gt;(xm_y0T+(xm_nT-1)/2*xm_sT),2*('XA MU'!$C$30-(xm_y0T+(xm_nT-1)/2*xm_sT))/xm_sT,0)+IF('XA MU'!$D$30&gt;(xm_y0T+(xm_nT-1)/2*xm_sT),2*('XA MU'!$D$30-(xm_y0T+(xm_nT-1)/2*xm_sT))/xm_sT,0)),0),0))))</f>
        <v>0</v>
      </c>
      <c r="J21" s="44">
        <f>IF(C21=0,0,IF(2&gt;nLan,0,1*(IF('XA MU'!$B$25&lt;=2,'XA MU'!$E$25*$B$8*(MAX(0,1-ABS('XA MU'!$C$25-$D21)/xm_sT)+MAX(0,1-ABS('XA MU'!$D$25-$D21)/xm_sT)),0)+IF(ABS($D21-(xm_y0T+(xm_nT-1)/2*xm_sT))&lt;0.000001,IF('XA MU'!$B$25&lt;=2,'XA MU'!$E$25*$B$8*(IF('XA MU'!$C$25&gt;(xm_y0T+(xm_nT-1)/2*xm_sT),2*('XA MU'!$C$25-(xm_y0T+(xm_nT-1)/2*xm_sT))/xm_sT,0)+IF('XA MU'!$D$25&gt;(xm_y0T+(xm_nT-1)/2*xm_sT),2*('XA MU'!$D$25-(xm_y0T+(xm_nT-1)/2*xm_sT))/xm_sT,0)),0),0)+IF('XA MU'!$B$26&lt;=2,'XA MU'!$E$26*$B$8*(MAX(0,1-ABS('XA MU'!$C$26-$D21)/xm_sT)+MAX(0,1-ABS('XA MU'!$D$26-$D21)/xm_sT)),0)+IF(ABS($D21-(xm_y0T+(xm_nT-1)/2*xm_sT))&lt;0.000001,IF('XA MU'!$B$26&lt;=2,'XA MU'!$E$26*$B$8*(IF('XA MU'!$C$26&gt;(xm_y0T+(xm_nT-1)/2*xm_sT),2*('XA MU'!$C$26-(xm_y0T+(xm_nT-1)/2*xm_sT))/xm_sT,0)+IF('XA MU'!$D$26&gt;(xm_y0T+(xm_nT-1)/2*xm_sT),2*('XA MU'!$D$26-(xm_y0T+(xm_nT-1)/2*xm_sT))/xm_sT,0)),0),0)+IF('XA MU'!$B$27&lt;=2,'XA MU'!$E$27*$B$8*(MAX(0,1-ABS('XA MU'!$C$27-$D21)/xm_sT)+MAX(0,1-ABS('XA MU'!$D$27-$D21)/xm_sT)),0)+IF(ABS($D21-(xm_y0T+(xm_nT-1)/2*xm_sT))&lt;0.000001,IF('XA MU'!$B$27&lt;=2,'XA MU'!$E$27*$B$8*(IF('XA MU'!$C$27&gt;(xm_y0T+(xm_nT-1)/2*xm_sT),2*('XA MU'!$C$27-(xm_y0T+(xm_nT-1)/2*xm_sT))/xm_sT,0)+IF('XA MU'!$D$27&gt;(xm_y0T+(xm_nT-1)/2*xm_sT),2*('XA MU'!$D$27-(xm_y0T+(xm_nT-1)/2*xm_sT))/xm_sT,0)),0),0)+IF('XA MU'!$B$28&lt;=2,'XA MU'!$E$28*$B$8*(MAX(0,1-ABS('XA MU'!$C$28-$D21)/xm_sT)+MAX(0,1-ABS('XA MU'!$D$28-$D21)/xm_sT)),0)+IF(ABS($D21-(xm_y0T+(xm_nT-1)/2*xm_sT))&lt;0.000001,IF('XA MU'!$B$28&lt;=2,'XA MU'!$E$28*$B$8*(IF('XA MU'!$C$28&gt;(xm_y0T+(xm_nT-1)/2*xm_sT),2*('XA MU'!$C$28-(xm_y0T+(xm_nT-1)/2*xm_sT))/xm_sT,0)+IF('XA MU'!$D$28&gt;(xm_y0T+(xm_nT-1)/2*xm_sT),2*('XA MU'!$D$28-(xm_y0T+(xm_nT-1)/2*xm_sT))/xm_sT,0)),0),0)+IF('XA MU'!$B$29&lt;=2,'XA MU'!$E$29*$B$8*(MAX(0,1-ABS('XA MU'!$C$29-$D21)/xm_sT)+MAX(0,1-ABS('XA MU'!$D$29-$D21)/xm_sT)),0)+IF(ABS($D21-(xm_y0T+(xm_nT-1)/2*xm_sT))&lt;0.000001,IF('XA MU'!$B$29&lt;=2,'XA MU'!$E$29*$B$8*(IF('XA MU'!$C$29&gt;(xm_y0T+(xm_nT-1)/2*xm_sT),2*('XA MU'!$C$29-(xm_y0T+(xm_nT-1)/2*xm_sT))/xm_sT,0)+IF('XA MU'!$D$29&gt;(xm_y0T+(xm_nT-1)/2*xm_sT),2*('XA MU'!$D$29-(xm_y0T+(xm_nT-1)/2*xm_sT))/xm_sT,0)),0),0)+IF('XA MU'!$B$30&lt;=2,'XA MU'!$E$30*$B$8*(MAX(0,1-ABS('XA MU'!$C$30-$D21)/xm_sT)+MAX(0,1-ABS('XA MU'!$D$30-$D21)/xm_sT)),0)+IF(ABS($D21-(xm_y0T+(xm_nT-1)/2*xm_sT))&lt;0.000001,IF('XA MU'!$B$30&lt;=2,'XA MU'!$E$30*$B$8*(IF('XA MU'!$C$30&gt;(xm_y0T+(xm_nT-1)/2*xm_sT),2*('XA MU'!$C$30-(xm_y0T+(xm_nT-1)/2*xm_sT))/xm_sT,0)+IF('XA MU'!$D$30&gt;(xm_y0T+(xm_nT-1)/2*xm_sT),2*('XA MU'!$D$30-(xm_y0T+(xm_nT-1)/2*xm_sT))/xm_sT,0)),0),0))))</f>
        <v>50.892453191489302</v>
      </c>
      <c r="K21" s="44">
        <f>IF(C21=0,0,IF(3&gt;nLan,0,0.85*(IF('XA MU'!$B$25&lt;=3,'XA MU'!$E$25*$B$8*(MAX(0,1-ABS('XA MU'!$C$25-$D21)/xm_sT)+MAX(0,1-ABS('XA MU'!$D$25-$D21)/xm_sT)),0)+IF(ABS($D21-(xm_y0T+(xm_nT-1)/2*xm_sT))&lt;0.000001,IF('XA MU'!$B$25&lt;=3,'XA MU'!$E$25*$B$8*(IF('XA MU'!$C$25&gt;(xm_y0T+(xm_nT-1)/2*xm_sT),2*('XA MU'!$C$25-(xm_y0T+(xm_nT-1)/2*xm_sT))/xm_sT,0)+IF('XA MU'!$D$25&gt;(xm_y0T+(xm_nT-1)/2*xm_sT),2*('XA MU'!$D$25-(xm_y0T+(xm_nT-1)/2*xm_sT))/xm_sT,0)),0),0)+IF('XA MU'!$B$26&lt;=3,'XA MU'!$E$26*$B$8*(MAX(0,1-ABS('XA MU'!$C$26-$D21)/xm_sT)+MAX(0,1-ABS('XA MU'!$D$26-$D21)/xm_sT)),0)+IF(ABS($D21-(xm_y0T+(xm_nT-1)/2*xm_sT))&lt;0.000001,IF('XA MU'!$B$26&lt;=3,'XA MU'!$E$26*$B$8*(IF('XA MU'!$C$26&gt;(xm_y0T+(xm_nT-1)/2*xm_sT),2*('XA MU'!$C$26-(xm_y0T+(xm_nT-1)/2*xm_sT))/xm_sT,0)+IF('XA MU'!$D$26&gt;(xm_y0T+(xm_nT-1)/2*xm_sT),2*('XA MU'!$D$26-(xm_y0T+(xm_nT-1)/2*xm_sT))/xm_sT,0)),0),0)+IF('XA MU'!$B$27&lt;=3,'XA MU'!$E$27*$B$8*(MAX(0,1-ABS('XA MU'!$C$27-$D21)/xm_sT)+MAX(0,1-ABS('XA MU'!$D$27-$D21)/xm_sT)),0)+IF(ABS($D21-(xm_y0T+(xm_nT-1)/2*xm_sT))&lt;0.000001,IF('XA MU'!$B$27&lt;=3,'XA MU'!$E$27*$B$8*(IF('XA MU'!$C$27&gt;(xm_y0T+(xm_nT-1)/2*xm_sT),2*('XA MU'!$C$27-(xm_y0T+(xm_nT-1)/2*xm_sT))/xm_sT,0)+IF('XA MU'!$D$27&gt;(xm_y0T+(xm_nT-1)/2*xm_sT),2*('XA MU'!$D$27-(xm_y0T+(xm_nT-1)/2*xm_sT))/xm_sT,0)),0),0)+IF('XA MU'!$B$28&lt;=3,'XA MU'!$E$28*$B$8*(MAX(0,1-ABS('XA MU'!$C$28-$D21)/xm_sT)+MAX(0,1-ABS('XA MU'!$D$28-$D21)/xm_sT)),0)+IF(ABS($D21-(xm_y0T+(xm_nT-1)/2*xm_sT))&lt;0.000001,IF('XA MU'!$B$28&lt;=3,'XA MU'!$E$28*$B$8*(IF('XA MU'!$C$28&gt;(xm_y0T+(xm_nT-1)/2*xm_sT),2*('XA MU'!$C$28-(xm_y0T+(xm_nT-1)/2*xm_sT))/xm_sT,0)+IF('XA MU'!$D$28&gt;(xm_y0T+(xm_nT-1)/2*xm_sT),2*('XA MU'!$D$28-(xm_y0T+(xm_nT-1)/2*xm_sT))/xm_sT,0)),0),0)+IF('XA MU'!$B$29&lt;=3,'XA MU'!$E$29*$B$8*(MAX(0,1-ABS('XA MU'!$C$29-$D21)/xm_sT)+MAX(0,1-ABS('XA MU'!$D$29-$D21)/xm_sT)),0)+IF(ABS($D21-(xm_y0T+(xm_nT-1)/2*xm_sT))&lt;0.000001,IF('XA MU'!$B$29&lt;=3,'XA MU'!$E$29*$B$8*(IF('XA MU'!$C$29&gt;(xm_y0T+(xm_nT-1)/2*xm_sT),2*('XA MU'!$C$29-(xm_y0T+(xm_nT-1)/2*xm_sT))/xm_sT,0)+IF('XA MU'!$D$29&gt;(xm_y0T+(xm_nT-1)/2*xm_sT),2*('XA MU'!$D$29-(xm_y0T+(xm_nT-1)/2*xm_sT))/xm_sT,0)),0),0)+IF('XA MU'!$B$30&lt;=3,'XA MU'!$E$30*$B$8*(MAX(0,1-ABS('XA MU'!$C$30-$D21)/xm_sT)+MAX(0,1-ABS('XA MU'!$D$30-$D21)/xm_sT)),0)+IF(ABS($D21-(xm_y0T+(xm_nT-1)/2*xm_sT))&lt;0.000001,IF('XA MU'!$B$30&lt;=3,'XA MU'!$E$30*$B$8*(IF('XA MU'!$C$30&gt;(xm_y0T+(xm_nT-1)/2*xm_sT),2*('XA MU'!$C$30-(xm_y0T+(xm_nT-1)/2*xm_sT))/xm_sT,0)+IF('XA MU'!$D$30&gt;(xm_y0T+(xm_nT-1)/2*xm_sT),2*('XA MU'!$D$30-(xm_y0T+(xm_nT-1)/2*xm_sT))/xm_sT,0)),0),0))))</f>
        <v>294.15837944680851</v>
      </c>
      <c r="L21" s="44">
        <f>IF(C21=0,0,IF(4&gt;nLan,0,0.65*(IF('XA MU'!$B$25&lt;=4,'XA MU'!$E$25*$B$8*(MAX(0,1-ABS('XA MU'!$C$25-$D21)/xm_sT)+MAX(0,1-ABS('XA MU'!$D$25-$D21)/xm_sT)),0)+IF(ABS($D21-(xm_y0T+(xm_nT-1)/2*xm_sT))&lt;0.000001,IF('XA MU'!$B$25&lt;=4,'XA MU'!$E$25*$B$8*(IF('XA MU'!$C$25&gt;(xm_y0T+(xm_nT-1)/2*xm_sT),2*('XA MU'!$C$25-(xm_y0T+(xm_nT-1)/2*xm_sT))/xm_sT,0)+IF('XA MU'!$D$25&gt;(xm_y0T+(xm_nT-1)/2*xm_sT),2*('XA MU'!$D$25-(xm_y0T+(xm_nT-1)/2*xm_sT))/xm_sT,0)),0),0)+IF('XA MU'!$B$26&lt;=4,'XA MU'!$E$26*$B$8*(MAX(0,1-ABS('XA MU'!$C$26-$D21)/xm_sT)+MAX(0,1-ABS('XA MU'!$D$26-$D21)/xm_sT)),0)+IF(ABS($D21-(xm_y0T+(xm_nT-1)/2*xm_sT))&lt;0.000001,IF('XA MU'!$B$26&lt;=4,'XA MU'!$E$26*$B$8*(IF('XA MU'!$C$26&gt;(xm_y0T+(xm_nT-1)/2*xm_sT),2*('XA MU'!$C$26-(xm_y0T+(xm_nT-1)/2*xm_sT))/xm_sT,0)+IF('XA MU'!$D$26&gt;(xm_y0T+(xm_nT-1)/2*xm_sT),2*('XA MU'!$D$26-(xm_y0T+(xm_nT-1)/2*xm_sT))/xm_sT,0)),0),0)+IF('XA MU'!$B$27&lt;=4,'XA MU'!$E$27*$B$8*(MAX(0,1-ABS('XA MU'!$C$27-$D21)/xm_sT)+MAX(0,1-ABS('XA MU'!$D$27-$D21)/xm_sT)),0)+IF(ABS($D21-(xm_y0T+(xm_nT-1)/2*xm_sT))&lt;0.000001,IF('XA MU'!$B$27&lt;=4,'XA MU'!$E$27*$B$8*(IF('XA MU'!$C$27&gt;(xm_y0T+(xm_nT-1)/2*xm_sT),2*('XA MU'!$C$27-(xm_y0T+(xm_nT-1)/2*xm_sT))/xm_sT,0)+IF('XA MU'!$D$27&gt;(xm_y0T+(xm_nT-1)/2*xm_sT),2*('XA MU'!$D$27-(xm_y0T+(xm_nT-1)/2*xm_sT))/xm_sT,0)),0),0)+IF('XA MU'!$B$28&lt;=4,'XA MU'!$E$28*$B$8*(MAX(0,1-ABS('XA MU'!$C$28-$D21)/xm_sT)+MAX(0,1-ABS('XA MU'!$D$28-$D21)/xm_sT)),0)+IF(ABS($D21-(xm_y0T+(xm_nT-1)/2*xm_sT))&lt;0.000001,IF('XA MU'!$B$28&lt;=4,'XA MU'!$E$28*$B$8*(IF('XA MU'!$C$28&gt;(xm_y0T+(xm_nT-1)/2*xm_sT),2*('XA MU'!$C$28-(xm_y0T+(xm_nT-1)/2*xm_sT))/xm_sT,0)+IF('XA MU'!$D$28&gt;(xm_y0T+(xm_nT-1)/2*xm_sT),2*('XA MU'!$D$28-(xm_y0T+(xm_nT-1)/2*xm_sT))/xm_sT,0)),0),0)+IF('XA MU'!$B$29&lt;=4,'XA MU'!$E$29*$B$8*(MAX(0,1-ABS('XA MU'!$C$29-$D21)/xm_sT)+MAX(0,1-ABS('XA MU'!$D$29-$D21)/xm_sT)),0)+IF(ABS($D21-(xm_y0T+(xm_nT-1)/2*xm_sT))&lt;0.000001,IF('XA MU'!$B$29&lt;=4,'XA MU'!$E$29*$B$8*(IF('XA MU'!$C$29&gt;(xm_y0T+(xm_nT-1)/2*xm_sT),2*('XA MU'!$C$29-(xm_y0T+(xm_nT-1)/2*xm_sT))/xm_sT,0)+IF('XA MU'!$D$29&gt;(xm_y0T+(xm_nT-1)/2*xm_sT),2*('XA MU'!$D$29-(xm_y0T+(xm_nT-1)/2*xm_sT))/xm_sT,0)),0),0)+IF('XA MU'!$B$30&lt;=4,'XA MU'!$E$30*$B$8*(MAX(0,1-ABS('XA MU'!$C$30-$D21)/xm_sT)+MAX(0,1-ABS('XA MU'!$D$30-$D21)/xm_sT)),0)+IF(ABS($D21-(xm_y0T+(xm_nT-1)/2*xm_sT))&lt;0.000001,IF('XA MU'!$B$30&lt;=4,'XA MU'!$E$30*$B$8*(IF('XA MU'!$C$30&gt;(xm_y0T+(xm_nT-1)/2*xm_sT),2*('XA MU'!$C$30-(xm_y0T+(xm_nT-1)/2*xm_sT))/xm_sT,0)+IF('XA MU'!$D$30&gt;(xm_y0T+(xm_nT-1)/2*xm_sT),2*('XA MU'!$D$30-(xm_y0T+(xm_nT-1)/2*xm_sT))/xm_sT,0)),0),0))))</f>
        <v>224.94464310638298</v>
      </c>
      <c r="M21" s="44">
        <f>IF(C21=0,0,IF(5&gt;nLan,0,0.65*(IF('XA MU'!$B$25&lt;=5,'XA MU'!$E$25*$B$8*(MAX(0,1-ABS('XA MU'!$C$25-$D21)/xm_sT)+MAX(0,1-ABS('XA MU'!$D$25-$D21)/xm_sT)),0)+IF(ABS($D21-(xm_y0T+(xm_nT-1)/2*xm_sT))&lt;0.000001,IF('XA MU'!$B$25&lt;=5,'XA MU'!$E$25*$B$8*(IF('XA MU'!$C$25&gt;(xm_y0T+(xm_nT-1)/2*xm_sT),2*('XA MU'!$C$25-(xm_y0T+(xm_nT-1)/2*xm_sT))/xm_sT,0)+IF('XA MU'!$D$25&gt;(xm_y0T+(xm_nT-1)/2*xm_sT),2*('XA MU'!$D$25-(xm_y0T+(xm_nT-1)/2*xm_sT))/xm_sT,0)),0),0)+IF('XA MU'!$B$26&lt;=5,'XA MU'!$E$26*$B$8*(MAX(0,1-ABS('XA MU'!$C$26-$D21)/xm_sT)+MAX(0,1-ABS('XA MU'!$D$26-$D21)/xm_sT)),0)+IF(ABS($D21-(xm_y0T+(xm_nT-1)/2*xm_sT))&lt;0.000001,IF('XA MU'!$B$26&lt;=5,'XA MU'!$E$26*$B$8*(IF('XA MU'!$C$26&gt;(xm_y0T+(xm_nT-1)/2*xm_sT),2*('XA MU'!$C$26-(xm_y0T+(xm_nT-1)/2*xm_sT))/xm_sT,0)+IF('XA MU'!$D$26&gt;(xm_y0T+(xm_nT-1)/2*xm_sT),2*('XA MU'!$D$26-(xm_y0T+(xm_nT-1)/2*xm_sT))/xm_sT,0)),0),0)+IF('XA MU'!$B$27&lt;=5,'XA MU'!$E$27*$B$8*(MAX(0,1-ABS('XA MU'!$C$27-$D21)/xm_sT)+MAX(0,1-ABS('XA MU'!$D$27-$D21)/xm_sT)),0)+IF(ABS($D21-(xm_y0T+(xm_nT-1)/2*xm_sT))&lt;0.000001,IF('XA MU'!$B$27&lt;=5,'XA MU'!$E$27*$B$8*(IF('XA MU'!$C$27&gt;(xm_y0T+(xm_nT-1)/2*xm_sT),2*('XA MU'!$C$27-(xm_y0T+(xm_nT-1)/2*xm_sT))/xm_sT,0)+IF('XA MU'!$D$27&gt;(xm_y0T+(xm_nT-1)/2*xm_sT),2*('XA MU'!$D$27-(xm_y0T+(xm_nT-1)/2*xm_sT))/xm_sT,0)),0),0)+IF('XA MU'!$B$28&lt;=5,'XA MU'!$E$28*$B$8*(MAX(0,1-ABS('XA MU'!$C$28-$D21)/xm_sT)+MAX(0,1-ABS('XA MU'!$D$28-$D21)/xm_sT)),0)+IF(ABS($D21-(xm_y0T+(xm_nT-1)/2*xm_sT))&lt;0.000001,IF('XA MU'!$B$28&lt;=5,'XA MU'!$E$28*$B$8*(IF('XA MU'!$C$28&gt;(xm_y0T+(xm_nT-1)/2*xm_sT),2*('XA MU'!$C$28-(xm_y0T+(xm_nT-1)/2*xm_sT))/xm_sT,0)+IF('XA MU'!$D$28&gt;(xm_y0T+(xm_nT-1)/2*xm_sT),2*('XA MU'!$D$28-(xm_y0T+(xm_nT-1)/2*xm_sT))/xm_sT,0)),0),0)+IF('XA MU'!$B$29&lt;=5,'XA MU'!$E$29*$B$8*(MAX(0,1-ABS('XA MU'!$C$29-$D21)/xm_sT)+MAX(0,1-ABS('XA MU'!$D$29-$D21)/xm_sT)),0)+IF(ABS($D21-(xm_y0T+(xm_nT-1)/2*xm_sT))&lt;0.000001,IF('XA MU'!$B$29&lt;=5,'XA MU'!$E$29*$B$8*(IF('XA MU'!$C$29&gt;(xm_y0T+(xm_nT-1)/2*xm_sT),2*('XA MU'!$C$29-(xm_y0T+(xm_nT-1)/2*xm_sT))/xm_sT,0)+IF('XA MU'!$D$29&gt;(xm_y0T+(xm_nT-1)/2*xm_sT),2*('XA MU'!$D$29-(xm_y0T+(xm_nT-1)/2*xm_sT))/xm_sT,0)),0),0)+IF('XA MU'!$B$30&lt;=5,'XA MU'!$E$30*$B$8*(MAX(0,1-ABS('XA MU'!$C$30-$D21)/xm_sT)+MAX(0,1-ABS('XA MU'!$D$30-$D21)/xm_sT)),0)+IF(ABS($D21-(xm_y0T+(xm_nT-1)/2*xm_sT))&lt;0.000001,IF('XA MU'!$B$30&lt;=5,'XA MU'!$E$30*$B$8*(IF('XA MU'!$C$30&gt;(xm_y0T+(xm_nT-1)/2*xm_sT),2*('XA MU'!$C$30-(xm_y0T+(xm_nT-1)/2*xm_sT))/xm_sT,0)+IF('XA MU'!$D$30&gt;(xm_y0T+(xm_nT-1)/2*xm_sT),2*('XA MU'!$D$30-(xm_y0T+(xm_nT-1)/2*xm_sT))/xm_sT,0)),0),0))))</f>
        <v>224.94464310638298</v>
      </c>
      <c r="N21" s="44">
        <f>IF(C21=0,0,IF(6&gt;nLan,0,0.65*(IF('XA MU'!$B$25&lt;=6,'XA MU'!$E$25*$B$8*(MAX(0,1-ABS('XA MU'!$C$25-$D21)/xm_sT)+MAX(0,1-ABS('XA MU'!$D$25-$D21)/xm_sT)),0)+IF(ABS($D21-(xm_y0T+(xm_nT-1)/2*xm_sT))&lt;0.000001,IF('XA MU'!$B$25&lt;=6,'XA MU'!$E$25*$B$8*(IF('XA MU'!$C$25&gt;(xm_y0T+(xm_nT-1)/2*xm_sT),2*('XA MU'!$C$25-(xm_y0T+(xm_nT-1)/2*xm_sT))/xm_sT,0)+IF('XA MU'!$D$25&gt;(xm_y0T+(xm_nT-1)/2*xm_sT),2*('XA MU'!$D$25-(xm_y0T+(xm_nT-1)/2*xm_sT))/xm_sT,0)),0),0)+IF('XA MU'!$B$26&lt;=6,'XA MU'!$E$26*$B$8*(MAX(0,1-ABS('XA MU'!$C$26-$D21)/xm_sT)+MAX(0,1-ABS('XA MU'!$D$26-$D21)/xm_sT)),0)+IF(ABS($D21-(xm_y0T+(xm_nT-1)/2*xm_sT))&lt;0.000001,IF('XA MU'!$B$26&lt;=6,'XA MU'!$E$26*$B$8*(IF('XA MU'!$C$26&gt;(xm_y0T+(xm_nT-1)/2*xm_sT),2*('XA MU'!$C$26-(xm_y0T+(xm_nT-1)/2*xm_sT))/xm_sT,0)+IF('XA MU'!$D$26&gt;(xm_y0T+(xm_nT-1)/2*xm_sT),2*('XA MU'!$D$26-(xm_y0T+(xm_nT-1)/2*xm_sT))/xm_sT,0)),0),0)+IF('XA MU'!$B$27&lt;=6,'XA MU'!$E$27*$B$8*(MAX(0,1-ABS('XA MU'!$C$27-$D21)/xm_sT)+MAX(0,1-ABS('XA MU'!$D$27-$D21)/xm_sT)),0)+IF(ABS($D21-(xm_y0T+(xm_nT-1)/2*xm_sT))&lt;0.000001,IF('XA MU'!$B$27&lt;=6,'XA MU'!$E$27*$B$8*(IF('XA MU'!$C$27&gt;(xm_y0T+(xm_nT-1)/2*xm_sT),2*('XA MU'!$C$27-(xm_y0T+(xm_nT-1)/2*xm_sT))/xm_sT,0)+IF('XA MU'!$D$27&gt;(xm_y0T+(xm_nT-1)/2*xm_sT),2*('XA MU'!$D$27-(xm_y0T+(xm_nT-1)/2*xm_sT))/xm_sT,0)),0),0)+IF('XA MU'!$B$28&lt;=6,'XA MU'!$E$28*$B$8*(MAX(0,1-ABS('XA MU'!$C$28-$D21)/xm_sT)+MAX(0,1-ABS('XA MU'!$D$28-$D21)/xm_sT)),0)+IF(ABS($D21-(xm_y0T+(xm_nT-1)/2*xm_sT))&lt;0.000001,IF('XA MU'!$B$28&lt;=6,'XA MU'!$E$28*$B$8*(IF('XA MU'!$C$28&gt;(xm_y0T+(xm_nT-1)/2*xm_sT),2*('XA MU'!$C$28-(xm_y0T+(xm_nT-1)/2*xm_sT))/xm_sT,0)+IF('XA MU'!$D$28&gt;(xm_y0T+(xm_nT-1)/2*xm_sT),2*('XA MU'!$D$28-(xm_y0T+(xm_nT-1)/2*xm_sT))/xm_sT,0)),0),0)+IF('XA MU'!$B$29&lt;=6,'XA MU'!$E$29*$B$8*(MAX(0,1-ABS('XA MU'!$C$29-$D21)/xm_sT)+MAX(0,1-ABS('XA MU'!$D$29-$D21)/xm_sT)),0)+IF(ABS($D21-(xm_y0T+(xm_nT-1)/2*xm_sT))&lt;0.000001,IF('XA MU'!$B$29&lt;=6,'XA MU'!$E$29*$B$8*(IF('XA MU'!$C$29&gt;(xm_y0T+(xm_nT-1)/2*xm_sT),2*('XA MU'!$C$29-(xm_y0T+(xm_nT-1)/2*xm_sT))/xm_sT,0)+IF('XA MU'!$D$29&gt;(xm_y0T+(xm_nT-1)/2*xm_sT),2*('XA MU'!$D$29-(xm_y0T+(xm_nT-1)/2*xm_sT))/xm_sT,0)),0),0)+IF('XA MU'!$B$30&lt;=6,'XA MU'!$E$30*$B$8*(MAX(0,1-ABS('XA MU'!$C$30-$D21)/xm_sT)+MAX(0,1-ABS('XA MU'!$D$30-$D21)/xm_sT)),0)+IF(ABS($D21-(xm_y0T+(xm_nT-1)/2*xm_sT))&lt;0.000001,IF('XA MU'!$B$30&lt;=6,'XA MU'!$E$30*$B$8*(IF('XA MU'!$C$30&gt;(xm_y0T+(xm_nT-1)/2*xm_sT),2*('XA MU'!$C$30-(xm_y0T+(xm_nT-1)/2*xm_sT))/xm_sT,0)+IF('XA MU'!$D$30&gt;(xm_y0T+(xm_nT-1)/2*xm_sT),2*('XA MU'!$D$30-(xm_y0T+(xm_nT-1)/2*xm_sT))/xm_sT,0)),0),0))))</f>
        <v>224.94464310638298</v>
      </c>
    </row>
    <row r="22" spans="1:14" x14ac:dyDescent="0.3">
      <c r="A22" s="42" t="s">
        <v>1235</v>
      </c>
      <c r="B22" s="42">
        <v>8</v>
      </c>
      <c r="C22" s="40">
        <f t="shared" si="0"/>
        <v>1</v>
      </c>
      <c r="D22" s="44">
        <f t="shared" si="1"/>
        <v>5.875</v>
      </c>
      <c r="E22" s="44">
        <f>MAX(0,D22-'XA MU'!$C$8)*C22</f>
        <v>2.3916666666666666</v>
      </c>
      <c r="F22" s="44">
        <f>IF(AND(C22=1,D22&gt;'XA MU'!$C$8),1,0)</f>
        <v>1</v>
      </c>
      <c r="G22" s="44">
        <f t="shared" si="2"/>
        <v>670.60125000000005</v>
      </c>
      <c r="H22" s="44">
        <f t="shared" si="3"/>
        <v>68.43768750000001</v>
      </c>
      <c r="I22" s="44">
        <f>IF(C22=0,0,IF(1&gt;nLan,0,1.2*(IF('XA MU'!$B$25&lt;=1,'XA MU'!$E$25*$B$8*(MAX(0,1-ABS('XA MU'!$C$25-$D22)/xm_sT)+MAX(0,1-ABS('XA MU'!$D$25-$D22)/xm_sT)),0)+IF(ABS($D22-(xm_y0T+(xm_nT-1)/2*xm_sT))&lt;0.000001,IF('XA MU'!$B$25&lt;=1,'XA MU'!$E$25*$B$8*(IF('XA MU'!$C$25&gt;(xm_y0T+(xm_nT-1)/2*xm_sT),2*('XA MU'!$C$25-(xm_y0T+(xm_nT-1)/2*xm_sT))/xm_sT,0)+IF('XA MU'!$D$25&gt;(xm_y0T+(xm_nT-1)/2*xm_sT),2*('XA MU'!$D$25-(xm_y0T+(xm_nT-1)/2*xm_sT))/xm_sT,0)),0),0)+IF('XA MU'!$B$26&lt;=1,'XA MU'!$E$26*$B$8*(MAX(0,1-ABS('XA MU'!$C$26-$D22)/xm_sT)+MAX(0,1-ABS('XA MU'!$D$26-$D22)/xm_sT)),0)+IF(ABS($D22-(xm_y0T+(xm_nT-1)/2*xm_sT))&lt;0.000001,IF('XA MU'!$B$26&lt;=1,'XA MU'!$E$26*$B$8*(IF('XA MU'!$C$26&gt;(xm_y0T+(xm_nT-1)/2*xm_sT),2*('XA MU'!$C$26-(xm_y0T+(xm_nT-1)/2*xm_sT))/xm_sT,0)+IF('XA MU'!$D$26&gt;(xm_y0T+(xm_nT-1)/2*xm_sT),2*('XA MU'!$D$26-(xm_y0T+(xm_nT-1)/2*xm_sT))/xm_sT,0)),0),0)+IF('XA MU'!$B$27&lt;=1,'XA MU'!$E$27*$B$8*(MAX(0,1-ABS('XA MU'!$C$27-$D22)/xm_sT)+MAX(0,1-ABS('XA MU'!$D$27-$D22)/xm_sT)),0)+IF(ABS($D22-(xm_y0T+(xm_nT-1)/2*xm_sT))&lt;0.000001,IF('XA MU'!$B$27&lt;=1,'XA MU'!$E$27*$B$8*(IF('XA MU'!$C$27&gt;(xm_y0T+(xm_nT-1)/2*xm_sT),2*('XA MU'!$C$27-(xm_y0T+(xm_nT-1)/2*xm_sT))/xm_sT,0)+IF('XA MU'!$D$27&gt;(xm_y0T+(xm_nT-1)/2*xm_sT),2*('XA MU'!$D$27-(xm_y0T+(xm_nT-1)/2*xm_sT))/xm_sT,0)),0),0)+IF('XA MU'!$B$28&lt;=1,'XA MU'!$E$28*$B$8*(MAX(0,1-ABS('XA MU'!$C$28-$D22)/xm_sT)+MAX(0,1-ABS('XA MU'!$D$28-$D22)/xm_sT)),0)+IF(ABS($D22-(xm_y0T+(xm_nT-1)/2*xm_sT))&lt;0.000001,IF('XA MU'!$B$28&lt;=1,'XA MU'!$E$28*$B$8*(IF('XA MU'!$C$28&gt;(xm_y0T+(xm_nT-1)/2*xm_sT),2*('XA MU'!$C$28-(xm_y0T+(xm_nT-1)/2*xm_sT))/xm_sT,0)+IF('XA MU'!$D$28&gt;(xm_y0T+(xm_nT-1)/2*xm_sT),2*('XA MU'!$D$28-(xm_y0T+(xm_nT-1)/2*xm_sT))/xm_sT,0)),0),0)+IF('XA MU'!$B$29&lt;=1,'XA MU'!$E$29*$B$8*(MAX(0,1-ABS('XA MU'!$C$29-$D22)/xm_sT)+MAX(0,1-ABS('XA MU'!$D$29-$D22)/xm_sT)),0)+IF(ABS($D22-(xm_y0T+(xm_nT-1)/2*xm_sT))&lt;0.000001,IF('XA MU'!$B$29&lt;=1,'XA MU'!$E$29*$B$8*(IF('XA MU'!$C$29&gt;(xm_y0T+(xm_nT-1)/2*xm_sT),2*('XA MU'!$C$29-(xm_y0T+(xm_nT-1)/2*xm_sT))/xm_sT,0)+IF('XA MU'!$D$29&gt;(xm_y0T+(xm_nT-1)/2*xm_sT),2*('XA MU'!$D$29-(xm_y0T+(xm_nT-1)/2*xm_sT))/xm_sT,0)),0),0)+IF('XA MU'!$B$30&lt;=1,'XA MU'!$E$30*$B$8*(MAX(0,1-ABS('XA MU'!$C$30-$D22)/xm_sT)+MAX(0,1-ABS('XA MU'!$D$30-$D22)/xm_sT)),0)+IF(ABS($D22-(xm_y0T+(xm_nT-1)/2*xm_sT))&lt;0.000001,IF('XA MU'!$B$30&lt;=1,'XA MU'!$E$30*$B$8*(IF('XA MU'!$C$30&gt;(xm_y0T+(xm_nT-1)/2*xm_sT),2*('XA MU'!$C$30-(xm_y0T+(xm_nT-1)/2*xm_sT))/xm_sT,0)+IF('XA MU'!$D$30&gt;(xm_y0T+(xm_nT-1)/2*xm_sT),2*('XA MU'!$D$30-(xm_y0T+(xm_nT-1)/2*xm_sT))/xm_sT,0)),0),0))))</f>
        <v>0</v>
      </c>
      <c r="J22" s="44">
        <f>IF(C22=0,0,IF(2&gt;nLan,0,1*(IF('XA MU'!$B$25&lt;=2,'XA MU'!$E$25*$B$8*(MAX(0,1-ABS('XA MU'!$C$25-$D22)/xm_sT)+MAX(0,1-ABS('XA MU'!$D$25-$D22)/xm_sT)),0)+IF(ABS($D22-(xm_y0T+(xm_nT-1)/2*xm_sT))&lt;0.000001,IF('XA MU'!$B$25&lt;=2,'XA MU'!$E$25*$B$8*(IF('XA MU'!$C$25&gt;(xm_y0T+(xm_nT-1)/2*xm_sT),2*('XA MU'!$C$25-(xm_y0T+(xm_nT-1)/2*xm_sT))/xm_sT,0)+IF('XA MU'!$D$25&gt;(xm_y0T+(xm_nT-1)/2*xm_sT),2*('XA MU'!$D$25-(xm_y0T+(xm_nT-1)/2*xm_sT))/xm_sT,0)),0),0)+IF('XA MU'!$B$26&lt;=2,'XA MU'!$E$26*$B$8*(MAX(0,1-ABS('XA MU'!$C$26-$D22)/xm_sT)+MAX(0,1-ABS('XA MU'!$D$26-$D22)/xm_sT)),0)+IF(ABS($D22-(xm_y0T+(xm_nT-1)/2*xm_sT))&lt;0.000001,IF('XA MU'!$B$26&lt;=2,'XA MU'!$E$26*$B$8*(IF('XA MU'!$C$26&gt;(xm_y0T+(xm_nT-1)/2*xm_sT),2*('XA MU'!$C$26-(xm_y0T+(xm_nT-1)/2*xm_sT))/xm_sT,0)+IF('XA MU'!$D$26&gt;(xm_y0T+(xm_nT-1)/2*xm_sT),2*('XA MU'!$D$26-(xm_y0T+(xm_nT-1)/2*xm_sT))/xm_sT,0)),0),0)+IF('XA MU'!$B$27&lt;=2,'XA MU'!$E$27*$B$8*(MAX(0,1-ABS('XA MU'!$C$27-$D22)/xm_sT)+MAX(0,1-ABS('XA MU'!$D$27-$D22)/xm_sT)),0)+IF(ABS($D22-(xm_y0T+(xm_nT-1)/2*xm_sT))&lt;0.000001,IF('XA MU'!$B$27&lt;=2,'XA MU'!$E$27*$B$8*(IF('XA MU'!$C$27&gt;(xm_y0T+(xm_nT-1)/2*xm_sT),2*('XA MU'!$C$27-(xm_y0T+(xm_nT-1)/2*xm_sT))/xm_sT,0)+IF('XA MU'!$D$27&gt;(xm_y0T+(xm_nT-1)/2*xm_sT),2*('XA MU'!$D$27-(xm_y0T+(xm_nT-1)/2*xm_sT))/xm_sT,0)),0),0)+IF('XA MU'!$B$28&lt;=2,'XA MU'!$E$28*$B$8*(MAX(0,1-ABS('XA MU'!$C$28-$D22)/xm_sT)+MAX(0,1-ABS('XA MU'!$D$28-$D22)/xm_sT)),0)+IF(ABS($D22-(xm_y0T+(xm_nT-1)/2*xm_sT))&lt;0.000001,IF('XA MU'!$B$28&lt;=2,'XA MU'!$E$28*$B$8*(IF('XA MU'!$C$28&gt;(xm_y0T+(xm_nT-1)/2*xm_sT),2*('XA MU'!$C$28-(xm_y0T+(xm_nT-1)/2*xm_sT))/xm_sT,0)+IF('XA MU'!$D$28&gt;(xm_y0T+(xm_nT-1)/2*xm_sT),2*('XA MU'!$D$28-(xm_y0T+(xm_nT-1)/2*xm_sT))/xm_sT,0)),0),0)+IF('XA MU'!$B$29&lt;=2,'XA MU'!$E$29*$B$8*(MAX(0,1-ABS('XA MU'!$C$29-$D22)/xm_sT)+MAX(0,1-ABS('XA MU'!$D$29-$D22)/xm_sT)),0)+IF(ABS($D22-(xm_y0T+(xm_nT-1)/2*xm_sT))&lt;0.000001,IF('XA MU'!$B$29&lt;=2,'XA MU'!$E$29*$B$8*(IF('XA MU'!$C$29&gt;(xm_y0T+(xm_nT-1)/2*xm_sT),2*('XA MU'!$C$29-(xm_y0T+(xm_nT-1)/2*xm_sT))/xm_sT,0)+IF('XA MU'!$D$29&gt;(xm_y0T+(xm_nT-1)/2*xm_sT),2*('XA MU'!$D$29-(xm_y0T+(xm_nT-1)/2*xm_sT))/xm_sT,0)),0),0)+IF('XA MU'!$B$30&lt;=2,'XA MU'!$E$30*$B$8*(MAX(0,1-ABS('XA MU'!$C$30-$D22)/xm_sT)+MAX(0,1-ABS('XA MU'!$D$30-$D22)/xm_sT)),0)+IF(ABS($D22-(xm_y0T+(xm_nT-1)/2*xm_sT))&lt;0.000001,IF('XA MU'!$B$30&lt;=2,'XA MU'!$E$30*$B$8*(IF('XA MU'!$C$30&gt;(xm_y0T+(xm_nT-1)/2*xm_sT),2*('XA MU'!$C$30-(xm_y0T+(xm_nT-1)/2*xm_sT))/xm_sT,0)+IF('XA MU'!$D$30&gt;(xm_y0T+(xm_nT-1)/2*xm_sT),2*('XA MU'!$D$30-(xm_y0T+(xm_nT-1)/2*xm_sT))/xm_sT,0)),0),0))))</f>
        <v>295.1762285106384</v>
      </c>
      <c r="K22" s="44">
        <f>IF(C22=0,0,IF(3&gt;nLan,0,0.85*(IF('XA MU'!$B$25&lt;=3,'XA MU'!$E$25*$B$8*(MAX(0,1-ABS('XA MU'!$C$25-$D22)/xm_sT)+MAX(0,1-ABS('XA MU'!$D$25-$D22)/xm_sT)),0)+IF(ABS($D22-(xm_y0T+(xm_nT-1)/2*xm_sT))&lt;0.000001,IF('XA MU'!$B$25&lt;=3,'XA MU'!$E$25*$B$8*(IF('XA MU'!$C$25&gt;(xm_y0T+(xm_nT-1)/2*xm_sT),2*('XA MU'!$C$25-(xm_y0T+(xm_nT-1)/2*xm_sT))/xm_sT,0)+IF('XA MU'!$D$25&gt;(xm_y0T+(xm_nT-1)/2*xm_sT),2*('XA MU'!$D$25-(xm_y0T+(xm_nT-1)/2*xm_sT))/xm_sT,0)),0),0)+IF('XA MU'!$B$26&lt;=3,'XA MU'!$E$26*$B$8*(MAX(0,1-ABS('XA MU'!$C$26-$D22)/xm_sT)+MAX(0,1-ABS('XA MU'!$D$26-$D22)/xm_sT)),0)+IF(ABS($D22-(xm_y0T+(xm_nT-1)/2*xm_sT))&lt;0.000001,IF('XA MU'!$B$26&lt;=3,'XA MU'!$E$26*$B$8*(IF('XA MU'!$C$26&gt;(xm_y0T+(xm_nT-1)/2*xm_sT),2*('XA MU'!$C$26-(xm_y0T+(xm_nT-1)/2*xm_sT))/xm_sT,0)+IF('XA MU'!$D$26&gt;(xm_y0T+(xm_nT-1)/2*xm_sT),2*('XA MU'!$D$26-(xm_y0T+(xm_nT-1)/2*xm_sT))/xm_sT,0)),0),0)+IF('XA MU'!$B$27&lt;=3,'XA MU'!$E$27*$B$8*(MAX(0,1-ABS('XA MU'!$C$27-$D22)/xm_sT)+MAX(0,1-ABS('XA MU'!$D$27-$D22)/xm_sT)),0)+IF(ABS($D22-(xm_y0T+(xm_nT-1)/2*xm_sT))&lt;0.000001,IF('XA MU'!$B$27&lt;=3,'XA MU'!$E$27*$B$8*(IF('XA MU'!$C$27&gt;(xm_y0T+(xm_nT-1)/2*xm_sT),2*('XA MU'!$C$27-(xm_y0T+(xm_nT-1)/2*xm_sT))/xm_sT,0)+IF('XA MU'!$D$27&gt;(xm_y0T+(xm_nT-1)/2*xm_sT),2*('XA MU'!$D$27-(xm_y0T+(xm_nT-1)/2*xm_sT))/xm_sT,0)),0),0)+IF('XA MU'!$B$28&lt;=3,'XA MU'!$E$28*$B$8*(MAX(0,1-ABS('XA MU'!$C$28-$D22)/xm_sT)+MAX(0,1-ABS('XA MU'!$D$28-$D22)/xm_sT)),0)+IF(ABS($D22-(xm_y0T+(xm_nT-1)/2*xm_sT))&lt;0.000001,IF('XA MU'!$B$28&lt;=3,'XA MU'!$E$28*$B$8*(IF('XA MU'!$C$28&gt;(xm_y0T+(xm_nT-1)/2*xm_sT),2*('XA MU'!$C$28-(xm_y0T+(xm_nT-1)/2*xm_sT))/xm_sT,0)+IF('XA MU'!$D$28&gt;(xm_y0T+(xm_nT-1)/2*xm_sT),2*('XA MU'!$D$28-(xm_y0T+(xm_nT-1)/2*xm_sT))/xm_sT,0)),0),0)+IF('XA MU'!$B$29&lt;=3,'XA MU'!$E$29*$B$8*(MAX(0,1-ABS('XA MU'!$C$29-$D22)/xm_sT)+MAX(0,1-ABS('XA MU'!$D$29-$D22)/xm_sT)),0)+IF(ABS($D22-(xm_y0T+(xm_nT-1)/2*xm_sT))&lt;0.000001,IF('XA MU'!$B$29&lt;=3,'XA MU'!$E$29*$B$8*(IF('XA MU'!$C$29&gt;(xm_y0T+(xm_nT-1)/2*xm_sT),2*('XA MU'!$C$29-(xm_y0T+(xm_nT-1)/2*xm_sT))/xm_sT,0)+IF('XA MU'!$D$29&gt;(xm_y0T+(xm_nT-1)/2*xm_sT),2*('XA MU'!$D$29-(xm_y0T+(xm_nT-1)/2*xm_sT))/xm_sT,0)),0),0)+IF('XA MU'!$B$30&lt;=3,'XA MU'!$E$30*$B$8*(MAX(0,1-ABS('XA MU'!$C$30-$D22)/xm_sT)+MAX(0,1-ABS('XA MU'!$D$30-$D22)/xm_sT)),0)+IF(ABS($D22-(xm_y0T+(xm_nT-1)/2*xm_sT))&lt;0.000001,IF('XA MU'!$B$30&lt;=3,'XA MU'!$E$30*$B$8*(IF('XA MU'!$C$30&gt;(xm_y0T+(xm_nT-1)/2*xm_sT),2*('XA MU'!$C$30-(xm_y0T+(xm_nT-1)/2*xm_sT))/xm_sT,0)+IF('XA MU'!$D$30&gt;(xm_y0T+(xm_nT-1)/2*xm_sT),2*('XA MU'!$D$30-(xm_y0T+(xm_nT-1)/2*xm_sT))/xm_sT,0)),0),0))))</f>
        <v>255.2256527553192</v>
      </c>
      <c r="L22" s="44">
        <f>IF(C22=0,0,IF(4&gt;nLan,0,0.65*(IF('XA MU'!$B$25&lt;=4,'XA MU'!$E$25*$B$8*(MAX(0,1-ABS('XA MU'!$C$25-$D22)/xm_sT)+MAX(0,1-ABS('XA MU'!$D$25-$D22)/xm_sT)),0)+IF(ABS($D22-(xm_y0T+(xm_nT-1)/2*xm_sT))&lt;0.000001,IF('XA MU'!$B$25&lt;=4,'XA MU'!$E$25*$B$8*(IF('XA MU'!$C$25&gt;(xm_y0T+(xm_nT-1)/2*xm_sT),2*('XA MU'!$C$25-(xm_y0T+(xm_nT-1)/2*xm_sT))/xm_sT,0)+IF('XA MU'!$D$25&gt;(xm_y0T+(xm_nT-1)/2*xm_sT),2*('XA MU'!$D$25-(xm_y0T+(xm_nT-1)/2*xm_sT))/xm_sT,0)),0),0)+IF('XA MU'!$B$26&lt;=4,'XA MU'!$E$26*$B$8*(MAX(0,1-ABS('XA MU'!$C$26-$D22)/xm_sT)+MAX(0,1-ABS('XA MU'!$D$26-$D22)/xm_sT)),0)+IF(ABS($D22-(xm_y0T+(xm_nT-1)/2*xm_sT))&lt;0.000001,IF('XA MU'!$B$26&lt;=4,'XA MU'!$E$26*$B$8*(IF('XA MU'!$C$26&gt;(xm_y0T+(xm_nT-1)/2*xm_sT),2*('XA MU'!$C$26-(xm_y0T+(xm_nT-1)/2*xm_sT))/xm_sT,0)+IF('XA MU'!$D$26&gt;(xm_y0T+(xm_nT-1)/2*xm_sT),2*('XA MU'!$D$26-(xm_y0T+(xm_nT-1)/2*xm_sT))/xm_sT,0)),0),0)+IF('XA MU'!$B$27&lt;=4,'XA MU'!$E$27*$B$8*(MAX(0,1-ABS('XA MU'!$C$27-$D22)/xm_sT)+MAX(0,1-ABS('XA MU'!$D$27-$D22)/xm_sT)),0)+IF(ABS($D22-(xm_y0T+(xm_nT-1)/2*xm_sT))&lt;0.000001,IF('XA MU'!$B$27&lt;=4,'XA MU'!$E$27*$B$8*(IF('XA MU'!$C$27&gt;(xm_y0T+(xm_nT-1)/2*xm_sT),2*('XA MU'!$C$27-(xm_y0T+(xm_nT-1)/2*xm_sT))/xm_sT,0)+IF('XA MU'!$D$27&gt;(xm_y0T+(xm_nT-1)/2*xm_sT),2*('XA MU'!$D$27-(xm_y0T+(xm_nT-1)/2*xm_sT))/xm_sT,0)),0),0)+IF('XA MU'!$B$28&lt;=4,'XA MU'!$E$28*$B$8*(MAX(0,1-ABS('XA MU'!$C$28-$D22)/xm_sT)+MAX(0,1-ABS('XA MU'!$D$28-$D22)/xm_sT)),0)+IF(ABS($D22-(xm_y0T+(xm_nT-1)/2*xm_sT))&lt;0.000001,IF('XA MU'!$B$28&lt;=4,'XA MU'!$E$28*$B$8*(IF('XA MU'!$C$28&gt;(xm_y0T+(xm_nT-1)/2*xm_sT),2*('XA MU'!$C$28-(xm_y0T+(xm_nT-1)/2*xm_sT))/xm_sT,0)+IF('XA MU'!$D$28&gt;(xm_y0T+(xm_nT-1)/2*xm_sT),2*('XA MU'!$D$28-(xm_y0T+(xm_nT-1)/2*xm_sT))/xm_sT,0)),0),0)+IF('XA MU'!$B$29&lt;=4,'XA MU'!$E$29*$B$8*(MAX(0,1-ABS('XA MU'!$C$29-$D22)/xm_sT)+MAX(0,1-ABS('XA MU'!$D$29-$D22)/xm_sT)),0)+IF(ABS($D22-(xm_y0T+(xm_nT-1)/2*xm_sT))&lt;0.000001,IF('XA MU'!$B$29&lt;=4,'XA MU'!$E$29*$B$8*(IF('XA MU'!$C$29&gt;(xm_y0T+(xm_nT-1)/2*xm_sT),2*('XA MU'!$C$29-(xm_y0T+(xm_nT-1)/2*xm_sT))/xm_sT,0)+IF('XA MU'!$D$29&gt;(xm_y0T+(xm_nT-1)/2*xm_sT),2*('XA MU'!$D$29-(xm_y0T+(xm_nT-1)/2*xm_sT))/xm_sT,0)),0),0)+IF('XA MU'!$B$30&lt;=4,'XA MU'!$E$30*$B$8*(MAX(0,1-ABS('XA MU'!$C$30-$D22)/xm_sT)+MAX(0,1-ABS('XA MU'!$D$30-$D22)/xm_sT)),0)+IF(ABS($D22-(xm_y0T+(xm_nT-1)/2*xm_sT))&lt;0.000001,IF('XA MU'!$B$30&lt;=4,'XA MU'!$E$30*$B$8*(IF('XA MU'!$C$30&gt;(xm_y0T+(xm_nT-1)/2*xm_sT),2*('XA MU'!$C$30-(xm_y0T+(xm_nT-1)/2*xm_sT))/xm_sT,0)+IF('XA MU'!$D$30&gt;(xm_y0T+(xm_nT-1)/2*xm_sT),2*('XA MU'!$D$30-(xm_y0T+(xm_nT-1)/2*xm_sT))/xm_sT,0)),0),0))))</f>
        <v>195.17255798936176</v>
      </c>
      <c r="M22" s="44">
        <f>IF(C22=0,0,IF(5&gt;nLan,0,0.65*(IF('XA MU'!$B$25&lt;=5,'XA MU'!$E$25*$B$8*(MAX(0,1-ABS('XA MU'!$C$25-$D22)/xm_sT)+MAX(0,1-ABS('XA MU'!$D$25-$D22)/xm_sT)),0)+IF(ABS($D22-(xm_y0T+(xm_nT-1)/2*xm_sT))&lt;0.000001,IF('XA MU'!$B$25&lt;=5,'XA MU'!$E$25*$B$8*(IF('XA MU'!$C$25&gt;(xm_y0T+(xm_nT-1)/2*xm_sT),2*('XA MU'!$C$25-(xm_y0T+(xm_nT-1)/2*xm_sT))/xm_sT,0)+IF('XA MU'!$D$25&gt;(xm_y0T+(xm_nT-1)/2*xm_sT),2*('XA MU'!$D$25-(xm_y0T+(xm_nT-1)/2*xm_sT))/xm_sT,0)),0),0)+IF('XA MU'!$B$26&lt;=5,'XA MU'!$E$26*$B$8*(MAX(0,1-ABS('XA MU'!$C$26-$D22)/xm_sT)+MAX(0,1-ABS('XA MU'!$D$26-$D22)/xm_sT)),0)+IF(ABS($D22-(xm_y0T+(xm_nT-1)/2*xm_sT))&lt;0.000001,IF('XA MU'!$B$26&lt;=5,'XA MU'!$E$26*$B$8*(IF('XA MU'!$C$26&gt;(xm_y0T+(xm_nT-1)/2*xm_sT),2*('XA MU'!$C$26-(xm_y0T+(xm_nT-1)/2*xm_sT))/xm_sT,0)+IF('XA MU'!$D$26&gt;(xm_y0T+(xm_nT-1)/2*xm_sT),2*('XA MU'!$D$26-(xm_y0T+(xm_nT-1)/2*xm_sT))/xm_sT,0)),0),0)+IF('XA MU'!$B$27&lt;=5,'XA MU'!$E$27*$B$8*(MAX(0,1-ABS('XA MU'!$C$27-$D22)/xm_sT)+MAX(0,1-ABS('XA MU'!$D$27-$D22)/xm_sT)),0)+IF(ABS($D22-(xm_y0T+(xm_nT-1)/2*xm_sT))&lt;0.000001,IF('XA MU'!$B$27&lt;=5,'XA MU'!$E$27*$B$8*(IF('XA MU'!$C$27&gt;(xm_y0T+(xm_nT-1)/2*xm_sT),2*('XA MU'!$C$27-(xm_y0T+(xm_nT-1)/2*xm_sT))/xm_sT,0)+IF('XA MU'!$D$27&gt;(xm_y0T+(xm_nT-1)/2*xm_sT),2*('XA MU'!$D$27-(xm_y0T+(xm_nT-1)/2*xm_sT))/xm_sT,0)),0),0)+IF('XA MU'!$B$28&lt;=5,'XA MU'!$E$28*$B$8*(MAX(0,1-ABS('XA MU'!$C$28-$D22)/xm_sT)+MAX(0,1-ABS('XA MU'!$D$28-$D22)/xm_sT)),0)+IF(ABS($D22-(xm_y0T+(xm_nT-1)/2*xm_sT))&lt;0.000001,IF('XA MU'!$B$28&lt;=5,'XA MU'!$E$28*$B$8*(IF('XA MU'!$C$28&gt;(xm_y0T+(xm_nT-1)/2*xm_sT),2*('XA MU'!$C$28-(xm_y0T+(xm_nT-1)/2*xm_sT))/xm_sT,0)+IF('XA MU'!$D$28&gt;(xm_y0T+(xm_nT-1)/2*xm_sT),2*('XA MU'!$D$28-(xm_y0T+(xm_nT-1)/2*xm_sT))/xm_sT,0)),0),0)+IF('XA MU'!$B$29&lt;=5,'XA MU'!$E$29*$B$8*(MAX(0,1-ABS('XA MU'!$C$29-$D22)/xm_sT)+MAX(0,1-ABS('XA MU'!$D$29-$D22)/xm_sT)),0)+IF(ABS($D22-(xm_y0T+(xm_nT-1)/2*xm_sT))&lt;0.000001,IF('XA MU'!$B$29&lt;=5,'XA MU'!$E$29*$B$8*(IF('XA MU'!$C$29&gt;(xm_y0T+(xm_nT-1)/2*xm_sT),2*('XA MU'!$C$29-(xm_y0T+(xm_nT-1)/2*xm_sT))/xm_sT,0)+IF('XA MU'!$D$29&gt;(xm_y0T+(xm_nT-1)/2*xm_sT),2*('XA MU'!$D$29-(xm_y0T+(xm_nT-1)/2*xm_sT))/xm_sT,0)),0),0)+IF('XA MU'!$B$30&lt;=5,'XA MU'!$E$30*$B$8*(MAX(0,1-ABS('XA MU'!$C$30-$D22)/xm_sT)+MAX(0,1-ABS('XA MU'!$D$30-$D22)/xm_sT)),0)+IF(ABS($D22-(xm_y0T+(xm_nT-1)/2*xm_sT))&lt;0.000001,IF('XA MU'!$B$30&lt;=5,'XA MU'!$E$30*$B$8*(IF('XA MU'!$C$30&gt;(xm_y0T+(xm_nT-1)/2*xm_sT),2*('XA MU'!$C$30-(xm_y0T+(xm_nT-1)/2*xm_sT))/xm_sT,0)+IF('XA MU'!$D$30&gt;(xm_y0T+(xm_nT-1)/2*xm_sT),2*('XA MU'!$D$30-(xm_y0T+(xm_nT-1)/2*xm_sT))/xm_sT,0)),0),0))))</f>
        <v>195.17255798936176</v>
      </c>
      <c r="N22" s="44">
        <f>IF(C22=0,0,IF(6&gt;nLan,0,0.65*(IF('XA MU'!$B$25&lt;=6,'XA MU'!$E$25*$B$8*(MAX(0,1-ABS('XA MU'!$C$25-$D22)/xm_sT)+MAX(0,1-ABS('XA MU'!$D$25-$D22)/xm_sT)),0)+IF(ABS($D22-(xm_y0T+(xm_nT-1)/2*xm_sT))&lt;0.000001,IF('XA MU'!$B$25&lt;=6,'XA MU'!$E$25*$B$8*(IF('XA MU'!$C$25&gt;(xm_y0T+(xm_nT-1)/2*xm_sT),2*('XA MU'!$C$25-(xm_y0T+(xm_nT-1)/2*xm_sT))/xm_sT,0)+IF('XA MU'!$D$25&gt;(xm_y0T+(xm_nT-1)/2*xm_sT),2*('XA MU'!$D$25-(xm_y0T+(xm_nT-1)/2*xm_sT))/xm_sT,0)),0),0)+IF('XA MU'!$B$26&lt;=6,'XA MU'!$E$26*$B$8*(MAX(0,1-ABS('XA MU'!$C$26-$D22)/xm_sT)+MAX(0,1-ABS('XA MU'!$D$26-$D22)/xm_sT)),0)+IF(ABS($D22-(xm_y0T+(xm_nT-1)/2*xm_sT))&lt;0.000001,IF('XA MU'!$B$26&lt;=6,'XA MU'!$E$26*$B$8*(IF('XA MU'!$C$26&gt;(xm_y0T+(xm_nT-1)/2*xm_sT),2*('XA MU'!$C$26-(xm_y0T+(xm_nT-1)/2*xm_sT))/xm_sT,0)+IF('XA MU'!$D$26&gt;(xm_y0T+(xm_nT-1)/2*xm_sT),2*('XA MU'!$D$26-(xm_y0T+(xm_nT-1)/2*xm_sT))/xm_sT,0)),0),0)+IF('XA MU'!$B$27&lt;=6,'XA MU'!$E$27*$B$8*(MAX(0,1-ABS('XA MU'!$C$27-$D22)/xm_sT)+MAX(0,1-ABS('XA MU'!$D$27-$D22)/xm_sT)),0)+IF(ABS($D22-(xm_y0T+(xm_nT-1)/2*xm_sT))&lt;0.000001,IF('XA MU'!$B$27&lt;=6,'XA MU'!$E$27*$B$8*(IF('XA MU'!$C$27&gt;(xm_y0T+(xm_nT-1)/2*xm_sT),2*('XA MU'!$C$27-(xm_y0T+(xm_nT-1)/2*xm_sT))/xm_sT,0)+IF('XA MU'!$D$27&gt;(xm_y0T+(xm_nT-1)/2*xm_sT),2*('XA MU'!$D$27-(xm_y0T+(xm_nT-1)/2*xm_sT))/xm_sT,0)),0),0)+IF('XA MU'!$B$28&lt;=6,'XA MU'!$E$28*$B$8*(MAX(0,1-ABS('XA MU'!$C$28-$D22)/xm_sT)+MAX(0,1-ABS('XA MU'!$D$28-$D22)/xm_sT)),0)+IF(ABS($D22-(xm_y0T+(xm_nT-1)/2*xm_sT))&lt;0.000001,IF('XA MU'!$B$28&lt;=6,'XA MU'!$E$28*$B$8*(IF('XA MU'!$C$28&gt;(xm_y0T+(xm_nT-1)/2*xm_sT),2*('XA MU'!$C$28-(xm_y0T+(xm_nT-1)/2*xm_sT))/xm_sT,0)+IF('XA MU'!$D$28&gt;(xm_y0T+(xm_nT-1)/2*xm_sT),2*('XA MU'!$D$28-(xm_y0T+(xm_nT-1)/2*xm_sT))/xm_sT,0)),0),0)+IF('XA MU'!$B$29&lt;=6,'XA MU'!$E$29*$B$8*(MAX(0,1-ABS('XA MU'!$C$29-$D22)/xm_sT)+MAX(0,1-ABS('XA MU'!$D$29-$D22)/xm_sT)),0)+IF(ABS($D22-(xm_y0T+(xm_nT-1)/2*xm_sT))&lt;0.000001,IF('XA MU'!$B$29&lt;=6,'XA MU'!$E$29*$B$8*(IF('XA MU'!$C$29&gt;(xm_y0T+(xm_nT-1)/2*xm_sT),2*('XA MU'!$C$29-(xm_y0T+(xm_nT-1)/2*xm_sT))/xm_sT,0)+IF('XA MU'!$D$29&gt;(xm_y0T+(xm_nT-1)/2*xm_sT),2*('XA MU'!$D$29-(xm_y0T+(xm_nT-1)/2*xm_sT))/xm_sT,0)),0),0)+IF('XA MU'!$B$30&lt;=6,'XA MU'!$E$30*$B$8*(MAX(0,1-ABS('XA MU'!$C$30-$D22)/xm_sT)+MAX(0,1-ABS('XA MU'!$D$30-$D22)/xm_sT)),0)+IF(ABS($D22-(xm_y0T+(xm_nT-1)/2*xm_sT))&lt;0.000001,IF('XA MU'!$B$30&lt;=6,'XA MU'!$E$30*$B$8*(IF('XA MU'!$C$30&gt;(xm_y0T+(xm_nT-1)/2*xm_sT),2*('XA MU'!$C$30-(xm_y0T+(xm_nT-1)/2*xm_sT))/xm_sT,0)+IF('XA MU'!$D$30&gt;(xm_y0T+(xm_nT-1)/2*xm_sT),2*('XA MU'!$D$30-(xm_y0T+(xm_nT-1)/2*xm_sT))/xm_sT,0)),0),0))))</f>
        <v>195.17255798936176</v>
      </c>
    </row>
    <row r="23" spans="1:14" x14ac:dyDescent="0.3">
      <c r="A23" s="42" t="s">
        <v>1235</v>
      </c>
      <c r="B23" s="42">
        <v>9</v>
      </c>
      <c r="C23" s="40">
        <f t="shared" si="0"/>
        <v>1</v>
      </c>
      <c r="D23" s="44">
        <f t="shared" si="1"/>
        <v>8.2249999999999996</v>
      </c>
      <c r="E23" s="44">
        <f>MAX(0,D23-'XA MU'!$C$8)*C23</f>
        <v>4.7416666666666663</v>
      </c>
      <c r="F23" s="44">
        <f>IF(AND(C23=1,D23&gt;'XA MU'!$C$8),1,0)</f>
        <v>1</v>
      </c>
      <c r="G23" s="44">
        <f t="shared" si="2"/>
        <v>670.60125000000005</v>
      </c>
      <c r="H23" s="44">
        <f t="shared" si="3"/>
        <v>68.43768750000001</v>
      </c>
      <c r="I23" s="44">
        <f>IF(C23=0,0,IF(1&gt;nLan,0,1.2*(IF('XA MU'!$B$25&lt;=1,'XA MU'!$E$25*$B$8*(MAX(0,1-ABS('XA MU'!$C$25-$D23)/xm_sT)+MAX(0,1-ABS('XA MU'!$D$25-$D23)/xm_sT)),0)+IF(ABS($D23-(xm_y0T+(xm_nT-1)/2*xm_sT))&lt;0.000001,IF('XA MU'!$B$25&lt;=1,'XA MU'!$E$25*$B$8*(IF('XA MU'!$C$25&gt;(xm_y0T+(xm_nT-1)/2*xm_sT),2*('XA MU'!$C$25-(xm_y0T+(xm_nT-1)/2*xm_sT))/xm_sT,0)+IF('XA MU'!$D$25&gt;(xm_y0T+(xm_nT-1)/2*xm_sT),2*('XA MU'!$D$25-(xm_y0T+(xm_nT-1)/2*xm_sT))/xm_sT,0)),0),0)+IF('XA MU'!$B$26&lt;=1,'XA MU'!$E$26*$B$8*(MAX(0,1-ABS('XA MU'!$C$26-$D23)/xm_sT)+MAX(0,1-ABS('XA MU'!$D$26-$D23)/xm_sT)),0)+IF(ABS($D23-(xm_y0T+(xm_nT-1)/2*xm_sT))&lt;0.000001,IF('XA MU'!$B$26&lt;=1,'XA MU'!$E$26*$B$8*(IF('XA MU'!$C$26&gt;(xm_y0T+(xm_nT-1)/2*xm_sT),2*('XA MU'!$C$26-(xm_y0T+(xm_nT-1)/2*xm_sT))/xm_sT,0)+IF('XA MU'!$D$26&gt;(xm_y0T+(xm_nT-1)/2*xm_sT),2*('XA MU'!$D$26-(xm_y0T+(xm_nT-1)/2*xm_sT))/xm_sT,0)),0),0)+IF('XA MU'!$B$27&lt;=1,'XA MU'!$E$27*$B$8*(MAX(0,1-ABS('XA MU'!$C$27-$D23)/xm_sT)+MAX(0,1-ABS('XA MU'!$D$27-$D23)/xm_sT)),0)+IF(ABS($D23-(xm_y0T+(xm_nT-1)/2*xm_sT))&lt;0.000001,IF('XA MU'!$B$27&lt;=1,'XA MU'!$E$27*$B$8*(IF('XA MU'!$C$27&gt;(xm_y0T+(xm_nT-1)/2*xm_sT),2*('XA MU'!$C$27-(xm_y0T+(xm_nT-1)/2*xm_sT))/xm_sT,0)+IF('XA MU'!$D$27&gt;(xm_y0T+(xm_nT-1)/2*xm_sT),2*('XA MU'!$D$27-(xm_y0T+(xm_nT-1)/2*xm_sT))/xm_sT,0)),0),0)+IF('XA MU'!$B$28&lt;=1,'XA MU'!$E$28*$B$8*(MAX(0,1-ABS('XA MU'!$C$28-$D23)/xm_sT)+MAX(0,1-ABS('XA MU'!$D$28-$D23)/xm_sT)),0)+IF(ABS($D23-(xm_y0T+(xm_nT-1)/2*xm_sT))&lt;0.000001,IF('XA MU'!$B$28&lt;=1,'XA MU'!$E$28*$B$8*(IF('XA MU'!$C$28&gt;(xm_y0T+(xm_nT-1)/2*xm_sT),2*('XA MU'!$C$28-(xm_y0T+(xm_nT-1)/2*xm_sT))/xm_sT,0)+IF('XA MU'!$D$28&gt;(xm_y0T+(xm_nT-1)/2*xm_sT),2*('XA MU'!$D$28-(xm_y0T+(xm_nT-1)/2*xm_sT))/xm_sT,0)),0),0)+IF('XA MU'!$B$29&lt;=1,'XA MU'!$E$29*$B$8*(MAX(0,1-ABS('XA MU'!$C$29-$D23)/xm_sT)+MAX(0,1-ABS('XA MU'!$D$29-$D23)/xm_sT)),0)+IF(ABS($D23-(xm_y0T+(xm_nT-1)/2*xm_sT))&lt;0.000001,IF('XA MU'!$B$29&lt;=1,'XA MU'!$E$29*$B$8*(IF('XA MU'!$C$29&gt;(xm_y0T+(xm_nT-1)/2*xm_sT),2*('XA MU'!$C$29-(xm_y0T+(xm_nT-1)/2*xm_sT))/xm_sT,0)+IF('XA MU'!$D$29&gt;(xm_y0T+(xm_nT-1)/2*xm_sT),2*('XA MU'!$D$29-(xm_y0T+(xm_nT-1)/2*xm_sT))/xm_sT,0)),0),0)+IF('XA MU'!$B$30&lt;=1,'XA MU'!$E$30*$B$8*(MAX(0,1-ABS('XA MU'!$C$30-$D23)/xm_sT)+MAX(0,1-ABS('XA MU'!$D$30-$D23)/xm_sT)),0)+IF(ABS($D23-(xm_y0T+(xm_nT-1)/2*xm_sT))&lt;0.000001,IF('XA MU'!$B$30&lt;=1,'XA MU'!$E$30*$B$8*(IF('XA MU'!$C$30&gt;(xm_y0T+(xm_nT-1)/2*xm_sT),2*('XA MU'!$C$30-(xm_y0T+(xm_nT-1)/2*xm_sT))/xm_sT,0)+IF('XA MU'!$D$30&gt;(xm_y0T+(xm_nT-1)/2*xm_sT),2*('XA MU'!$D$30-(xm_y0T+(xm_nT-1)/2*xm_sT))/xm_sT,0)),0),0))))</f>
        <v>195.42702025531921</v>
      </c>
      <c r="J23" s="44">
        <f>IF(C23=0,0,IF(2&gt;nLan,0,1*(IF('XA MU'!$B$25&lt;=2,'XA MU'!$E$25*$B$8*(MAX(0,1-ABS('XA MU'!$C$25-$D23)/xm_sT)+MAX(0,1-ABS('XA MU'!$D$25-$D23)/xm_sT)),0)+IF(ABS($D23-(xm_y0T+(xm_nT-1)/2*xm_sT))&lt;0.000001,IF('XA MU'!$B$25&lt;=2,'XA MU'!$E$25*$B$8*(IF('XA MU'!$C$25&gt;(xm_y0T+(xm_nT-1)/2*xm_sT),2*('XA MU'!$C$25-(xm_y0T+(xm_nT-1)/2*xm_sT))/xm_sT,0)+IF('XA MU'!$D$25&gt;(xm_y0T+(xm_nT-1)/2*xm_sT),2*('XA MU'!$D$25-(xm_y0T+(xm_nT-1)/2*xm_sT))/xm_sT,0)),0),0)+IF('XA MU'!$B$26&lt;=2,'XA MU'!$E$26*$B$8*(MAX(0,1-ABS('XA MU'!$C$26-$D23)/xm_sT)+MAX(0,1-ABS('XA MU'!$D$26-$D23)/xm_sT)),0)+IF(ABS($D23-(xm_y0T+(xm_nT-1)/2*xm_sT))&lt;0.000001,IF('XA MU'!$B$26&lt;=2,'XA MU'!$E$26*$B$8*(IF('XA MU'!$C$26&gt;(xm_y0T+(xm_nT-1)/2*xm_sT),2*('XA MU'!$C$26-(xm_y0T+(xm_nT-1)/2*xm_sT))/xm_sT,0)+IF('XA MU'!$D$26&gt;(xm_y0T+(xm_nT-1)/2*xm_sT),2*('XA MU'!$D$26-(xm_y0T+(xm_nT-1)/2*xm_sT))/xm_sT,0)),0),0)+IF('XA MU'!$B$27&lt;=2,'XA MU'!$E$27*$B$8*(MAX(0,1-ABS('XA MU'!$C$27-$D23)/xm_sT)+MAX(0,1-ABS('XA MU'!$D$27-$D23)/xm_sT)),0)+IF(ABS($D23-(xm_y0T+(xm_nT-1)/2*xm_sT))&lt;0.000001,IF('XA MU'!$B$27&lt;=2,'XA MU'!$E$27*$B$8*(IF('XA MU'!$C$27&gt;(xm_y0T+(xm_nT-1)/2*xm_sT),2*('XA MU'!$C$27-(xm_y0T+(xm_nT-1)/2*xm_sT))/xm_sT,0)+IF('XA MU'!$D$27&gt;(xm_y0T+(xm_nT-1)/2*xm_sT),2*('XA MU'!$D$27-(xm_y0T+(xm_nT-1)/2*xm_sT))/xm_sT,0)),0),0)+IF('XA MU'!$B$28&lt;=2,'XA MU'!$E$28*$B$8*(MAX(0,1-ABS('XA MU'!$C$28-$D23)/xm_sT)+MAX(0,1-ABS('XA MU'!$D$28-$D23)/xm_sT)),0)+IF(ABS($D23-(xm_y0T+(xm_nT-1)/2*xm_sT))&lt;0.000001,IF('XA MU'!$B$28&lt;=2,'XA MU'!$E$28*$B$8*(IF('XA MU'!$C$28&gt;(xm_y0T+(xm_nT-1)/2*xm_sT),2*('XA MU'!$C$28-(xm_y0T+(xm_nT-1)/2*xm_sT))/xm_sT,0)+IF('XA MU'!$D$28&gt;(xm_y0T+(xm_nT-1)/2*xm_sT),2*('XA MU'!$D$28-(xm_y0T+(xm_nT-1)/2*xm_sT))/xm_sT,0)),0),0)+IF('XA MU'!$B$29&lt;=2,'XA MU'!$E$29*$B$8*(MAX(0,1-ABS('XA MU'!$C$29-$D23)/xm_sT)+MAX(0,1-ABS('XA MU'!$D$29-$D23)/xm_sT)),0)+IF(ABS($D23-(xm_y0T+(xm_nT-1)/2*xm_sT))&lt;0.000001,IF('XA MU'!$B$29&lt;=2,'XA MU'!$E$29*$B$8*(IF('XA MU'!$C$29&gt;(xm_y0T+(xm_nT-1)/2*xm_sT),2*('XA MU'!$C$29-(xm_y0T+(xm_nT-1)/2*xm_sT))/xm_sT,0)+IF('XA MU'!$D$29&gt;(xm_y0T+(xm_nT-1)/2*xm_sT),2*('XA MU'!$D$29-(xm_y0T+(xm_nT-1)/2*xm_sT))/xm_sT,0)),0),0)+IF('XA MU'!$B$30&lt;=2,'XA MU'!$E$30*$B$8*(MAX(0,1-ABS('XA MU'!$C$30-$D23)/xm_sT)+MAX(0,1-ABS('XA MU'!$D$30-$D23)/xm_sT)),0)+IF(ABS($D23-(xm_y0T+(xm_nT-1)/2*xm_sT))&lt;0.000001,IF('XA MU'!$B$30&lt;=2,'XA MU'!$E$30*$B$8*(IF('XA MU'!$C$30&gt;(xm_y0T+(xm_nT-1)/2*xm_sT),2*('XA MU'!$C$30-(xm_y0T+(xm_nT-1)/2*xm_sT))/xm_sT,0)+IF('XA MU'!$D$30&gt;(xm_y0T+(xm_nT-1)/2*xm_sT),2*('XA MU'!$D$30-(xm_y0T+(xm_nT-1)/2*xm_sT))/xm_sT,0)),0),0))))</f>
        <v>295.17622851063845</v>
      </c>
      <c r="K23" s="44">
        <f>IF(C23=0,0,IF(3&gt;nLan,0,0.85*(IF('XA MU'!$B$25&lt;=3,'XA MU'!$E$25*$B$8*(MAX(0,1-ABS('XA MU'!$C$25-$D23)/xm_sT)+MAX(0,1-ABS('XA MU'!$D$25-$D23)/xm_sT)),0)+IF(ABS($D23-(xm_y0T+(xm_nT-1)/2*xm_sT))&lt;0.000001,IF('XA MU'!$B$25&lt;=3,'XA MU'!$E$25*$B$8*(IF('XA MU'!$C$25&gt;(xm_y0T+(xm_nT-1)/2*xm_sT),2*('XA MU'!$C$25-(xm_y0T+(xm_nT-1)/2*xm_sT))/xm_sT,0)+IF('XA MU'!$D$25&gt;(xm_y0T+(xm_nT-1)/2*xm_sT),2*('XA MU'!$D$25-(xm_y0T+(xm_nT-1)/2*xm_sT))/xm_sT,0)),0),0)+IF('XA MU'!$B$26&lt;=3,'XA MU'!$E$26*$B$8*(MAX(0,1-ABS('XA MU'!$C$26-$D23)/xm_sT)+MAX(0,1-ABS('XA MU'!$D$26-$D23)/xm_sT)),0)+IF(ABS($D23-(xm_y0T+(xm_nT-1)/2*xm_sT))&lt;0.000001,IF('XA MU'!$B$26&lt;=3,'XA MU'!$E$26*$B$8*(IF('XA MU'!$C$26&gt;(xm_y0T+(xm_nT-1)/2*xm_sT),2*('XA MU'!$C$26-(xm_y0T+(xm_nT-1)/2*xm_sT))/xm_sT,0)+IF('XA MU'!$D$26&gt;(xm_y0T+(xm_nT-1)/2*xm_sT),2*('XA MU'!$D$26-(xm_y0T+(xm_nT-1)/2*xm_sT))/xm_sT,0)),0),0)+IF('XA MU'!$B$27&lt;=3,'XA MU'!$E$27*$B$8*(MAX(0,1-ABS('XA MU'!$C$27-$D23)/xm_sT)+MAX(0,1-ABS('XA MU'!$D$27-$D23)/xm_sT)),0)+IF(ABS($D23-(xm_y0T+(xm_nT-1)/2*xm_sT))&lt;0.000001,IF('XA MU'!$B$27&lt;=3,'XA MU'!$E$27*$B$8*(IF('XA MU'!$C$27&gt;(xm_y0T+(xm_nT-1)/2*xm_sT),2*('XA MU'!$C$27-(xm_y0T+(xm_nT-1)/2*xm_sT))/xm_sT,0)+IF('XA MU'!$D$27&gt;(xm_y0T+(xm_nT-1)/2*xm_sT),2*('XA MU'!$D$27-(xm_y0T+(xm_nT-1)/2*xm_sT))/xm_sT,0)),0),0)+IF('XA MU'!$B$28&lt;=3,'XA MU'!$E$28*$B$8*(MAX(0,1-ABS('XA MU'!$C$28-$D23)/xm_sT)+MAX(0,1-ABS('XA MU'!$D$28-$D23)/xm_sT)),0)+IF(ABS($D23-(xm_y0T+(xm_nT-1)/2*xm_sT))&lt;0.000001,IF('XA MU'!$B$28&lt;=3,'XA MU'!$E$28*$B$8*(IF('XA MU'!$C$28&gt;(xm_y0T+(xm_nT-1)/2*xm_sT),2*('XA MU'!$C$28-(xm_y0T+(xm_nT-1)/2*xm_sT))/xm_sT,0)+IF('XA MU'!$D$28&gt;(xm_y0T+(xm_nT-1)/2*xm_sT),2*('XA MU'!$D$28-(xm_y0T+(xm_nT-1)/2*xm_sT))/xm_sT,0)),0),0)+IF('XA MU'!$B$29&lt;=3,'XA MU'!$E$29*$B$8*(MAX(0,1-ABS('XA MU'!$C$29-$D23)/xm_sT)+MAX(0,1-ABS('XA MU'!$D$29-$D23)/xm_sT)),0)+IF(ABS($D23-(xm_y0T+(xm_nT-1)/2*xm_sT))&lt;0.000001,IF('XA MU'!$B$29&lt;=3,'XA MU'!$E$29*$B$8*(IF('XA MU'!$C$29&gt;(xm_y0T+(xm_nT-1)/2*xm_sT),2*('XA MU'!$C$29-(xm_y0T+(xm_nT-1)/2*xm_sT))/xm_sT,0)+IF('XA MU'!$D$29&gt;(xm_y0T+(xm_nT-1)/2*xm_sT),2*('XA MU'!$D$29-(xm_y0T+(xm_nT-1)/2*xm_sT))/xm_sT,0)),0),0)+IF('XA MU'!$B$30&lt;=3,'XA MU'!$E$30*$B$8*(MAX(0,1-ABS('XA MU'!$C$30-$D23)/xm_sT)+MAX(0,1-ABS('XA MU'!$D$30-$D23)/xm_sT)),0)+IF(ABS($D23-(xm_y0T+(xm_nT-1)/2*xm_sT))&lt;0.000001,IF('XA MU'!$B$30&lt;=3,'XA MU'!$E$30*$B$8*(IF('XA MU'!$C$30&gt;(xm_y0T+(xm_nT-1)/2*xm_sT),2*('XA MU'!$C$30-(xm_y0T+(xm_nT-1)/2*xm_sT))/xm_sT,0)+IF('XA MU'!$D$30&gt;(xm_y0T+(xm_nT-1)/2*xm_sT),2*('XA MU'!$D$30-(xm_y0T+(xm_nT-1)/2*xm_sT))/xm_sT,0)),0),0))))</f>
        <v>250.89979423404267</v>
      </c>
      <c r="L23" s="44">
        <f>IF(C23=0,0,IF(4&gt;nLan,0,0.65*(IF('XA MU'!$B$25&lt;=4,'XA MU'!$E$25*$B$8*(MAX(0,1-ABS('XA MU'!$C$25-$D23)/xm_sT)+MAX(0,1-ABS('XA MU'!$D$25-$D23)/xm_sT)),0)+IF(ABS($D23-(xm_y0T+(xm_nT-1)/2*xm_sT))&lt;0.000001,IF('XA MU'!$B$25&lt;=4,'XA MU'!$E$25*$B$8*(IF('XA MU'!$C$25&gt;(xm_y0T+(xm_nT-1)/2*xm_sT),2*('XA MU'!$C$25-(xm_y0T+(xm_nT-1)/2*xm_sT))/xm_sT,0)+IF('XA MU'!$D$25&gt;(xm_y0T+(xm_nT-1)/2*xm_sT),2*('XA MU'!$D$25-(xm_y0T+(xm_nT-1)/2*xm_sT))/xm_sT,0)),0),0)+IF('XA MU'!$B$26&lt;=4,'XA MU'!$E$26*$B$8*(MAX(0,1-ABS('XA MU'!$C$26-$D23)/xm_sT)+MAX(0,1-ABS('XA MU'!$D$26-$D23)/xm_sT)),0)+IF(ABS($D23-(xm_y0T+(xm_nT-1)/2*xm_sT))&lt;0.000001,IF('XA MU'!$B$26&lt;=4,'XA MU'!$E$26*$B$8*(IF('XA MU'!$C$26&gt;(xm_y0T+(xm_nT-1)/2*xm_sT),2*('XA MU'!$C$26-(xm_y0T+(xm_nT-1)/2*xm_sT))/xm_sT,0)+IF('XA MU'!$D$26&gt;(xm_y0T+(xm_nT-1)/2*xm_sT),2*('XA MU'!$D$26-(xm_y0T+(xm_nT-1)/2*xm_sT))/xm_sT,0)),0),0)+IF('XA MU'!$B$27&lt;=4,'XA MU'!$E$27*$B$8*(MAX(0,1-ABS('XA MU'!$C$27-$D23)/xm_sT)+MAX(0,1-ABS('XA MU'!$D$27-$D23)/xm_sT)),0)+IF(ABS($D23-(xm_y0T+(xm_nT-1)/2*xm_sT))&lt;0.000001,IF('XA MU'!$B$27&lt;=4,'XA MU'!$E$27*$B$8*(IF('XA MU'!$C$27&gt;(xm_y0T+(xm_nT-1)/2*xm_sT),2*('XA MU'!$C$27-(xm_y0T+(xm_nT-1)/2*xm_sT))/xm_sT,0)+IF('XA MU'!$D$27&gt;(xm_y0T+(xm_nT-1)/2*xm_sT),2*('XA MU'!$D$27-(xm_y0T+(xm_nT-1)/2*xm_sT))/xm_sT,0)),0),0)+IF('XA MU'!$B$28&lt;=4,'XA MU'!$E$28*$B$8*(MAX(0,1-ABS('XA MU'!$C$28-$D23)/xm_sT)+MAX(0,1-ABS('XA MU'!$D$28-$D23)/xm_sT)),0)+IF(ABS($D23-(xm_y0T+(xm_nT-1)/2*xm_sT))&lt;0.000001,IF('XA MU'!$B$28&lt;=4,'XA MU'!$E$28*$B$8*(IF('XA MU'!$C$28&gt;(xm_y0T+(xm_nT-1)/2*xm_sT),2*('XA MU'!$C$28-(xm_y0T+(xm_nT-1)/2*xm_sT))/xm_sT,0)+IF('XA MU'!$D$28&gt;(xm_y0T+(xm_nT-1)/2*xm_sT),2*('XA MU'!$D$28-(xm_y0T+(xm_nT-1)/2*xm_sT))/xm_sT,0)),0),0)+IF('XA MU'!$B$29&lt;=4,'XA MU'!$E$29*$B$8*(MAX(0,1-ABS('XA MU'!$C$29-$D23)/xm_sT)+MAX(0,1-ABS('XA MU'!$D$29-$D23)/xm_sT)),0)+IF(ABS($D23-(xm_y0T+(xm_nT-1)/2*xm_sT))&lt;0.000001,IF('XA MU'!$B$29&lt;=4,'XA MU'!$E$29*$B$8*(IF('XA MU'!$C$29&gt;(xm_y0T+(xm_nT-1)/2*xm_sT),2*('XA MU'!$C$29-(xm_y0T+(xm_nT-1)/2*xm_sT))/xm_sT,0)+IF('XA MU'!$D$29&gt;(xm_y0T+(xm_nT-1)/2*xm_sT),2*('XA MU'!$D$29-(xm_y0T+(xm_nT-1)/2*xm_sT))/xm_sT,0)),0),0)+IF('XA MU'!$B$30&lt;=4,'XA MU'!$E$30*$B$8*(MAX(0,1-ABS('XA MU'!$C$30-$D23)/xm_sT)+MAX(0,1-ABS('XA MU'!$D$30-$D23)/xm_sT)),0)+IF(ABS($D23-(xm_y0T+(xm_nT-1)/2*xm_sT))&lt;0.000001,IF('XA MU'!$B$30&lt;=4,'XA MU'!$E$30*$B$8*(IF('XA MU'!$C$30&gt;(xm_y0T+(xm_nT-1)/2*xm_sT),2*('XA MU'!$C$30-(xm_y0T+(xm_nT-1)/2*xm_sT))/xm_sT,0)+IF('XA MU'!$D$30&gt;(xm_y0T+(xm_nT-1)/2*xm_sT),2*('XA MU'!$D$30-(xm_y0T+(xm_nT-1)/2*xm_sT))/xm_sT,0)),0),0))))</f>
        <v>191.86454853191501</v>
      </c>
      <c r="M23" s="44">
        <f>IF(C23=0,0,IF(5&gt;nLan,0,0.65*(IF('XA MU'!$B$25&lt;=5,'XA MU'!$E$25*$B$8*(MAX(0,1-ABS('XA MU'!$C$25-$D23)/xm_sT)+MAX(0,1-ABS('XA MU'!$D$25-$D23)/xm_sT)),0)+IF(ABS($D23-(xm_y0T+(xm_nT-1)/2*xm_sT))&lt;0.000001,IF('XA MU'!$B$25&lt;=5,'XA MU'!$E$25*$B$8*(IF('XA MU'!$C$25&gt;(xm_y0T+(xm_nT-1)/2*xm_sT),2*('XA MU'!$C$25-(xm_y0T+(xm_nT-1)/2*xm_sT))/xm_sT,0)+IF('XA MU'!$D$25&gt;(xm_y0T+(xm_nT-1)/2*xm_sT),2*('XA MU'!$D$25-(xm_y0T+(xm_nT-1)/2*xm_sT))/xm_sT,0)),0),0)+IF('XA MU'!$B$26&lt;=5,'XA MU'!$E$26*$B$8*(MAX(0,1-ABS('XA MU'!$C$26-$D23)/xm_sT)+MAX(0,1-ABS('XA MU'!$D$26-$D23)/xm_sT)),0)+IF(ABS($D23-(xm_y0T+(xm_nT-1)/2*xm_sT))&lt;0.000001,IF('XA MU'!$B$26&lt;=5,'XA MU'!$E$26*$B$8*(IF('XA MU'!$C$26&gt;(xm_y0T+(xm_nT-1)/2*xm_sT),2*('XA MU'!$C$26-(xm_y0T+(xm_nT-1)/2*xm_sT))/xm_sT,0)+IF('XA MU'!$D$26&gt;(xm_y0T+(xm_nT-1)/2*xm_sT),2*('XA MU'!$D$26-(xm_y0T+(xm_nT-1)/2*xm_sT))/xm_sT,0)),0),0)+IF('XA MU'!$B$27&lt;=5,'XA MU'!$E$27*$B$8*(MAX(0,1-ABS('XA MU'!$C$27-$D23)/xm_sT)+MAX(0,1-ABS('XA MU'!$D$27-$D23)/xm_sT)),0)+IF(ABS($D23-(xm_y0T+(xm_nT-1)/2*xm_sT))&lt;0.000001,IF('XA MU'!$B$27&lt;=5,'XA MU'!$E$27*$B$8*(IF('XA MU'!$C$27&gt;(xm_y0T+(xm_nT-1)/2*xm_sT),2*('XA MU'!$C$27-(xm_y0T+(xm_nT-1)/2*xm_sT))/xm_sT,0)+IF('XA MU'!$D$27&gt;(xm_y0T+(xm_nT-1)/2*xm_sT),2*('XA MU'!$D$27-(xm_y0T+(xm_nT-1)/2*xm_sT))/xm_sT,0)),0),0)+IF('XA MU'!$B$28&lt;=5,'XA MU'!$E$28*$B$8*(MAX(0,1-ABS('XA MU'!$C$28-$D23)/xm_sT)+MAX(0,1-ABS('XA MU'!$D$28-$D23)/xm_sT)),0)+IF(ABS($D23-(xm_y0T+(xm_nT-1)/2*xm_sT))&lt;0.000001,IF('XA MU'!$B$28&lt;=5,'XA MU'!$E$28*$B$8*(IF('XA MU'!$C$28&gt;(xm_y0T+(xm_nT-1)/2*xm_sT),2*('XA MU'!$C$28-(xm_y0T+(xm_nT-1)/2*xm_sT))/xm_sT,0)+IF('XA MU'!$D$28&gt;(xm_y0T+(xm_nT-1)/2*xm_sT),2*('XA MU'!$D$28-(xm_y0T+(xm_nT-1)/2*xm_sT))/xm_sT,0)),0),0)+IF('XA MU'!$B$29&lt;=5,'XA MU'!$E$29*$B$8*(MAX(0,1-ABS('XA MU'!$C$29-$D23)/xm_sT)+MAX(0,1-ABS('XA MU'!$D$29-$D23)/xm_sT)),0)+IF(ABS($D23-(xm_y0T+(xm_nT-1)/2*xm_sT))&lt;0.000001,IF('XA MU'!$B$29&lt;=5,'XA MU'!$E$29*$B$8*(IF('XA MU'!$C$29&gt;(xm_y0T+(xm_nT-1)/2*xm_sT),2*('XA MU'!$C$29-(xm_y0T+(xm_nT-1)/2*xm_sT))/xm_sT,0)+IF('XA MU'!$D$29&gt;(xm_y0T+(xm_nT-1)/2*xm_sT),2*('XA MU'!$D$29-(xm_y0T+(xm_nT-1)/2*xm_sT))/xm_sT,0)),0),0)+IF('XA MU'!$B$30&lt;=5,'XA MU'!$E$30*$B$8*(MAX(0,1-ABS('XA MU'!$C$30-$D23)/xm_sT)+MAX(0,1-ABS('XA MU'!$D$30-$D23)/xm_sT)),0)+IF(ABS($D23-(xm_y0T+(xm_nT-1)/2*xm_sT))&lt;0.000001,IF('XA MU'!$B$30&lt;=5,'XA MU'!$E$30*$B$8*(IF('XA MU'!$C$30&gt;(xm_y0T+(xm_nT-1)/2*xm_sT),2*('XA MU'!$C$30-(xm_y0T+(xm_nT-1)/2*xm_sT))/xm_sT,0)+IF('XA MU'!$D$30&gt;(xm_y0T+(xm_nT-1)/2*xm_sT),2*('XA MU'!$D$30-(xm_y0T+(xm_nT-1)/2*xm_sT))/xm_sT,0)),0),0))))</f>
        <v>191.86454853191501</v>
      </c>
      <c r="N23" s="44">
        <f>IF(C23=0,0,IF(6&gt;nLan,0,0.65*(IF('XA MU'!$B$25&lt;=6,'XA MU'!$E$25*$B$8*(MAX(0,1-ABS('XA MU'!$C$25-$D23)/xm_sT)+MAX(0,1-ABS('XA MU'!$D$25-$D23)/xm_sT)),0)+IF(ABS($D23-(xm_y0T+(xm_nT-1)/2*xm_sT))&lt;0.000001,IF('XA MU'!$B$25&lt;=6,'XA MU'!$E$25*$B$8*(IF('XA MU'!$C$25&gt;(xm_y0T+(xm_nT-1)/2*xm_sT),2*('XA MU'!$C$25-(xm_y0T+(xm_nT-1)/2*xm_sT))/xm_sT,0)+IF('XA MU'!$D$25&gt;(xm_y0T+(xm_nT-1)/2*xm_sT),2*('XA MU'!$D$25-(xm_y0T+(xm_nT-1)/2*xm_sT))/xm_sT,0)),0),0)+IF('XA MU'!$B$26&lt;=6,'XA MU'!$E$26*$B$8*(MAX(0,1-ABS('XA MU'!$C$26-$D23)/xm_sT)+MAX(0,1-ABS('XA MU'!$D$26-$D23)/xm_sT)),0)+IF(ABS($D23-(xm_y0T+(xm_nT-1)/2*xm_sT))&lt;0.000001,IF('XA MU'!$B$26&lt;=6,'XA MU'!$E$26*$B$8*(IF('XA MU'!$C$26&gt;(xm_y0T+(xm_nT-1)/2*xm_sT),2*('XA MU'!$C$26-(xm_y0T+(xm_nT-1)/2*xm_sT))/xm_sT,0)+IF('XA MU'!$D$26&gt;(xm_y0T+(xm_nT-1)/2*xm_sT),2*('XA MU'!$D$26-(xm_y0T+(xm_nT-1)/2*xm_sT))/xm_sT,0)),0),0)+IF('XA MU'!$B$27&lt;=6,'XA MU'!$E$27*$B$8*(MAX(0,1-ABS('XA MU'!$C$27-$D23)/xm_sT)+MAX(0,1-ABS('XA MU'!$D$27-$D23)/xm_sT)),0)+IF(ABS($D23-(xm_y0T+(xm_nT-1)/2*xm_sT))&lt;0.000001,IF('XA MU'!$B$27&lt;=6,'XA MU'!$E$27*$B$8*(IF('XA MU'!$C$27&gt;(xm_y0T+(xm_nT-1)/2*xm_sT),2*('XA MU'!$C$27-(xm_y0T+(xm_nT-1)/2*xm_sT))/xm_sT,0)+IF('XA MU'!$D$27&gt;(xm_y0T+(xm_nT-1)/2*xm_sT),2*('XA MU'!$D$27-(xm_y0T+(xm_nT-1)/2*xm_sT))/xm_sT,0)),0),0)+IF('XA MU'!$B$28&lt;=6,'XA MU'!$E$28*$B$8*(MAX(0,1-ABS('XA MU'!$C$28-$D23)/xm_sT)+MAX(0,1-ABS('XA MU'!$D$28-$D23)/xm_sT)),0)+IF(ABS($D23-(xm_y0T+(xm_nT-1)/2*xm_sT))&lt;0.000001,IF('XA MU'!$B$28&lt;=6,'XA MU'!$E$28*$B$8*(IF('XA MU'!$C$28&gt;(xm_y0T+(xm_nT-1)/2*xm_sT),2*('XA MU'!$C$28-(xm_y0T+(xm_nT-1)/2*xm_sT))/xm_sT,0)+IF('XA MU'!$D$28&gt;(xm_y0T+(xm_nT-1)/2*xm_sT),2*('XA MU'!$D$28-(xm_y0T+(xm_nT-1)/2*xm_sT))/xm_sT,0)),0),0)+IF('XA MU'!$B$29&lt;=6,'XA MU'!$E$29*$B$8*(MAX(0,1-ABS('XA MU'!$C$29-$D23)/xm_sT)+MAX(0,1-ABS('XA MU'!$D$29-$D23)/xm_sT)),0)+IF(ABS($D23-(xm_y0T+(xm_nT-1)/2*xm_sT))&lt;0.000001,IF('XA MU'!$B$29&lt;=6,'XA MU'!$E$29*$B$8*(IF('XA MU'!$C$29&gt;(xm_y0T+(xm_nT-1)/2*xm_sT),2*('XA MU'!$C$29-(xm_y0T+(xm_nT-1)/2*xm_sT))/xm_sT,0)+IF('XA MU'!$D$29&gt;(xm_y0T+(xm_nT-1)/2*xm_sT),2*('XA MU'!$D$29-(xm_y0T+(xm_nT-1)/2*xm_sT))/xm_sT,0)),0),0)+IF('XA MU'!$B$30&lt;=6,'XA MU'!$E$30*$B$8*(MAX(0,1-ABS('XA MU'!$C$30-$D23)/xm_sT)+MAX(0,1-ABS('XA MU'!$D$30-$D23)/xm_sT)),0)+IF(ABS($D23-(xm_y0T+(xm_nT-1)/2*xm_sT))&lt;0.000001,IF('XA MU'!$B$30&lt;=6,'XA MU'!$E$30*$B$8*(IF('XA MU'!$C$30&gt;(xm_y0T+(xm_nT-1)/2*xm_sT),2*('XA MU'!$C$30-(xm_y0T+(xm_nT-1)/2*xm_sT))/xm_sT,0)+IF('XA MU'!$D$30&gt;(xm_y0T+(xm_nT-1)/2*xm_sT),2*('XA MU'!$D$30-(xm_y0T+(xm_nT-1)/2*xm_sT))/xm_sT,0)),0),0))))</f>
        <v>191.86454853191501</v>
      </c>
    </row>
    <row r="24" spans="1:14" x14ac:dyDescent="0.3">
      <c r="A24" s="42" t="s">
        <v>1235</v>
      </c>
      <c r="B24" s="42">
        <v>10</v>
      </c>
      <c r="C24" s="40">
        <f t="shared" si="0"/>
        <v>1</v>
      </c>
      <c r="D24" s="44">
        <f t="shared" si="1"/>
        <v>10.575000000000001</v>
      </c>
      <c r="E24" s="44">
        <f>MAX(0,D24-'XA MU'!$C$8)*C24</f>
        <v>7.0916666666666677</v>
      </c>
      <c r="F24" s="44">
        <f>IF(AND(C24=1,D24&gt;'XA MU'!$C$8),1,0)</f>
        <v>1</v>
      </c>
      <c r="G24" s="44">
        <f t="shared" si="2"/>
        <v>670.60125000000005</v>
      </c>
      <c r="H24" s="44">
        <f t="shared" si="3"/>
        <v>68.43768750000001</v>
      </c>
      <c r="I24" s="44">
        <f>IF(C24=0,0,IF(1&gt;nLan,0,1.2*(IF('XA MU'!$B$25&lt;=1,'XA MU'!$E$25*$B$8*(MAX(0,1-ABS('XA MU'!$C$25-$D24)/xm_sT)+MAX(0,1-ABS('XA MU'!$D$25-$D24)/xm_sT)),0)+IF(ABS($D24-(xm_y0T+(xm_nT-1)/2*xm_sT))&lt;0.000001,IF('XA MU'!$B$25&lt;=1,'XA MU'!$E$25*$B$8*(IF('XA MU'!$C$25&gt;(xm_y0T+(xm_nT-1)/2*xm_sT),2*('XA MU'!$C$25-(xm_y0T+(xm_nT-1)/2*xm_sT))/xm_sT,0)+IF('XA MU'!$D$25&gt;(xm_y0T+(xm_nT-1)/2*xm_sT),2*('XA MU'!$D$25-(xm_y0T+(xm_nT-1)/2*xm_sT))/xm_sT,0)),0),0)+IF('XA MU'!$B$26&lt;=1,'XA MU'!$E$26*$B$8*(MAX(0,1-ABS('XA MU'!$C$26-$D24)/xm_sT)+MAX(0,1-ABS('XA MU'!$D$26-$D24)/xm_sT)),0)+IF(ABS($D24-(xm_y0T+(xm_nT-1)/2*xm_sT))&lt;0.000001,IF('XA MU'!$B$26&lt;=1,'XA MU'!$E$26*$B$8*(IF('XA MU'!$C$26&gt;(xm_y0T+(xm_nT-1)/2*xm_sT),2*('XA MU'!$C$26-(xm_y0T+(xm_nT-1)/2*xm_sT))/xm_sT,0)+IF('XA MU'!$D$26&gt;(xm_y0T+(xm_nT-1)/2*xm_sT),2*('XA MU'!$D$26-(xm_y0T+(xm_nT-1)/2*xm_sT))/xm_sT,0)),0),0)+IF('XA MU'!$B$27&lt;=1,'XA MU'!$E$27*$B$8*(MAX(0,1-ABS('XA MU'!$C$27-$D24)/xm_sT)+MAX(0,1-ABS('XA MU'!$D$27-$D24)/xm_sT)),0)+IF(ABS($D24-(xm_y0T+(xm_nT-1)/2*xm_sT))&lt;0.000001,IF('XA MU'!$B$27&lt;=1,'XA MU'!$E$27*$B$8*(IF('XA MU'!$C$27&gt;(xm_y0T+(xm_nT-1)/2*xm_sT),2*('XA MU'!$C$27-(xm_y0T+(xm_nT-1)/2*xm_sT))/xm_sT,0)+IF('XA MU'!$D$27&gt;(xm_y0T+(xm_nT-1)/2*xm_sT),2*('XA MU'!$D$27-(xm_y0T+(xm_nT-1)/2*xm_sT))/xm_sT,0)),0),0)+IF('XA MU'!$B$28&lt;=1,'XA MU'!$E$28*$B$8*(MAX(0,1-ABS('XA MU'!$C$28-$D24)/xm_sT)+MAX(0,1-ABS('XA MU'!$D$28-$D24)/xm_sT)),0)+IF(ABS($D24-(xm_y0T+(xm_nT-1)/2*xm_sT))&lt;0.000001,IF('XA MU'!$B$28&lt;=1,'XA MU'!$E$28*$B$8*(IF('XA MU'!$C$28&gt;(xm_y0T+(xm_nT-1)/2*xm_sT),2*('XA MU'!$C$28-(xm_y0T+(xm_nT-1)/2*xm_sT))/xm_sT,0)+IF('XA MU'!$D$28&gt;(xm_y0T+(xm_nT-1)/2*xm_sT),2*('XA MU'!$D$28-(xm_y0T+(xm_nT-1)/2*xm_sT))/xm_sT,0)),0),0)+IF('XA MU'!$B$29&lt;=1,'XA MU'!$E$29*$B$8*(MAX(0,1-ABS('XA MU'!$C$29-$D24)/xm_sT)+MAX(0,1-ABS('XA MU'!$D$29-$D24)/xm_sT)),0)+IF(ABS($D24-(xm_y0T+(xm_nT-1)/2*xm_sT))&lt;0.000001,IF('XA MU'!$B$29&lt;=1,'XA MU'!$E$29*$B$8*(IF('XA MU'!$C$29&gt;(xm_y0T+(xm_nT-1)/2*xm_sT),2*('XA MU'!$C$29-(xm_y0T+(xm_nT-1)/2*xm_sT))/xm_sT,0)+IF('XA MU'!$D$29&gt;(xm_y0T+(xm_nT-1)/2*xm_sT),2*('XA MU'!$D$29-(xm_y0T+(xm_nT-1)/2*xm_sT))/xm_sT,0)),0),0)+IF('XA MU'!$B$30&lt;=1,'XA MU'!$E$30*$B$8*(MAX(0,1-ABS('XA MU'!$C$30-$D24)/xm_sT)+MAX(0,1-ABS('XA MU'!$D$30-$D24)/xm_sT)),0)+IF(ABS($D24-(xm_y0T+(xm_nT-1)/2*xm_sT))&lt;0.000001,IF('XA MU'!$B$30&lt;=1,'XA MU'!$E$30*$B$8*(IF('XA MU'!$C$30&gt;(xm_y0T+(xm_nT-1)/2*xm_sT),2*('XA MU'!$C$30-(xm_y0T+(xm_nT-1)/2*xm_sT))/xm_sT,0)+IF('XA MU'!$D$30&gt;(xm_y0T+(xm_nT-1)/2*xm_sT),2*('XA MU'!$D$30-(xm_y0T+(xm_nT-1)/2*xm_sT))/xm_sT,0)),0),0))))</f>
        <v>403.0682292765955</v>
      </c>
      <c r="J24" s="44">
        <f>IF(C24=0,0,IF(2&gt;nLan,0,1*(IF('XA MU'!$B$25&lt;=2,'XA MU'!$E$25*$B$8*(MAX(0,1-ABS('XA MU'!$C$25-$D24)/xm_sT)+MAX(0,1-ABS('XA MU'!$D$25-$D24)/xm_sT)),0)+IF(ABS($D24-(xm_y0T+(xm_nT-1)/2*xm_sT))&lt;0.000001,IF('XA MU'!$B$25&lt;=2,'XA MU'!$E$25*$B$8*(IF('XA MU'!$C$25&gt;(xm_y0T+(xm_nT-1)/2*xm_sT),2*('XA MU'!$C$25-(xm_y0T+(xm_nT-1)/2*xm_sT))/xm_sT,0)+IF('XA MU'!$D$25&gt;(xm_y0T+(xm_nT-1)/2*xm_sT),2*('XA MU'!$D$25-(xm_y0T+(xm_nT-1)/2*xm_sT))/xm_sT,0)),0),0)+IF('XA MU'!$B$26&lt;=2,'XA MU'!$E$26*$B$8*(MAX(0,1-ABS('XA MU'!$C$26-$D24)/xm_sT)+MAX(0,1-ABS('XA MU'!$D$26-$D24)/xm_sT)),0)+IF(ABS($D24-(xm_y0T+(xm_nT-1)/2*xm_sT))&lt;0.000001,IF('XA MU'!$B$26&lt;=2,'XA MU'!$E$26*$B$8*(IF('XA MU'!$C$26&gt;(xm_y0T+(xm_nT-1)/2*xm_sT),2*('XA MU'!$C$26-(xm_y0T+(xm_nT-1)/2*xm_sT))/xm_sT,0)+IF('XA MU'!$D$26&gt;(xm_y0T+(xm_nT-1)/2*xm_sT),2*('XA MU'!$D$26-(xm_y0T+(xm_nT-1)/2*xm_sT))/xm_sT,0)),0),0)+IF('XA MU'!$B$27&lt;=2,'XA MU'!$E$27*$B$8*(MAX(0,1-ABS('XA MU'!$C$27-$D24)/xm_sT)+MAX(0,1-ABS('XA MU'!$D$27-$D24)/xm_sT)),0)+IF(ABS($D24-(xm_y0T+(xm_nT-1)/2*xm_sT))&lt;0.000001,IF('XA MU'!$B$27&lt;=2,'XA MU'!$E$27*$B$8*(IF('XA MU'!$C$27&gt;(xm_y0T+(xm_nT-1)/2*xm_sT),2*('XA MU'!$C$27-(xm_y0T+(xm_nT-1)/2*xm_sT))/xm_sT,0)+IF('XA MU'!$D$27&gt;(xm_y0T+(xm_nT-1)/2*xm_sT),2*('XA MU'!$D$27-(xm_y0T+(xm_nT-1)/2*xm_sT))/xm_sT,0)),0),0)+IF('XA MU'!$B$28&lt;=2,'XA MU'!$E$28*$B$8*(MAX(0,1-ABS('XA MU'!$C$28-$D24)/xm_sT)+MAX(0,1-ABS('XA MU'!$D$28-$D24)/xm_sT)),0)+IF(ABS($D24-(xm_y0T+(xm_nT-1)/2*xm_sT))&lt;0.000001,IF('XA MU'!$B$28&lt;=2,'XA MU'!$E$28*$B$8*(IF('XA MU'!$C$28&gt;(xm_y0T+(xm_nT-1)/2*xm_sT),2*('XA MU'!$C$28-(xm_y0T+(xm_nT-1)/2*xm_sT))/xm_sT,0)+IF('XA MU'!$D$28&gt;(xm_y0T+(xm_nT-1)/2*xm_sT),2*('XA MU'!$D$28-(xm_y0T+(xm_nT-1)/2*xm_sT))/xm_sT,0)),0),0)+IF('XA MU'!$B$29&lt;=2,'XA MU'!$E$29*$B$8*(MAX(0,1-ABS('XA MU'!$C$29-$D24)/xm_sT)+MAX(0,1-ABS('XA MU'!$D$29-$D24)/xm_sT)),0)+IF(ABS($D24-(xm_y0T+(xm_nT-1)/2*xm_sT))&lt;0.000001,IF('XA MU'!$B$29&lt;=2,'XA MU'!$E$29*$B$8*(IF('XA MU'!$C$29&gt;(xm_y0T+(xm_nT-1)/2*xm_sT),2*('XA MU'!$C$29-(xm_y0T+(xm_nT-1)/2*xm_sT))/xm_sT,0)+IF('XA MU'!$D$29&gt;(xm_y0T+(xm_nT-1)/2*xm_sT),2*('XA MU'!$D$29-(xm_y0T+(xm_nT-1)/2*xm_sT))/xm_sT,0)),0),0)+IF('XA MU'!$B$30&lt;=2,'XA MU'!$E$30*$B$8*(MAX(0,1-ABS('XA MU'!$C$30-$D24)/xm_sT)+MAX(0,1-ABS('XA MU'!$D$30-$D24)/xm_sT)),0)+IF(ABS($D24-(xm_y0T+(xm_nT-1)/2*xm_sT))&lt;0.000001,IF('XA MU'!$B$30&lt;=2,'XA MU'!$E$30*$B$8*(IF('XA MU'!$C$30&gt;(xm_y0T+(xm_nT-1)/2*xm_sT),2*('XA MU'!$C$30-(xm_y0T+(xm_nT-1)/2*xm_sT))/xm_sT,0)+IF('XA MU'!$D$30&gt;(xm_y0T+(xm_nT-1)/2*xm_sT),2*('XA MU'!$D$30-(xm_y0T+(xm_nT-1)/2*xm_sT))/xm_sT,0)),0),0))))</f>
        <v>335.8901910638296</v>
      </c>
      <c r="K24" s="44">
        <f>IF(C24=0,0,IF(3&gt;nLan,0,0.85*(IF('XA MU'!$B$25&lt;=3,'XA MU'!$E$25*$B$8*(MAX(0,1-ABS('XA MU'!$C$25-$D24)/xm_sT)+MAX(0,1-ABS('XA MU'!$D$25-$D24)/xm_sT)),0)+IF(ABS($D24-(xm_y0T+(xm_nT-1)/2*xm_sT))&lt;0.000001,IF('XA MU'!$B$25&lt;=3,'XA MU'!$E$25*$B$8*(IF('XA MU'!$C$25&gt;(xm_y0T+(xm_nT-1)/2*xm_sT),2*('XA MU'!$C$25-(xm_y0T+(xm_nT-1)/2*xm_sT))/xm_sT,0)+IF('XA MU'!$D$25&gt;(xm_y0T+(xm_nT-1)/2*xm_sT),2*('XA MU'!$D$25-(xm_y0T+(xm_nT-1)/2*xm_sT))/xm_sT,0)),0),0)+IF('XA MU'!$B$26&lt;=3,'XA MU'!$E$26*$B$8*(MAX(0,1-ABS('XA MU'!$C$26-$D24)/xm_sT)+MAX(0,1-ABS('XA MU'!$D$26-$D24)/xm_sT)),0)+IF(ABS($D24-(xm_y0T+(xm_nT-1)/2*xm_sT))&lt;0.000001,IF('XA MU'!$B$26&lt;=3,'XA MU'!$E$26*$B$8*(IF('XA MU'!$C$26&gt;(xm_y0T+(xm_nT-1)/2*xm_sT),2*('XA MU'!$C$26-(xm_y0T+(xm_nT-1)/2*xm_sT))/xm_sT,0)+IF('XA MU'!$D$26&gt;(xm_y0T+(xm_nT-1)/2*xm_sT),2*('XA MU'!$D$26-(xm_y0T+(xm_nT-1)/2*xm_sT))/xm_sT,0)),0),0)+IF('XA MU'!$B$27&lt;=3,'XA MU'!$E$27*$B$8*(MAX(0,1-ABS('XA MU'!$C$27-$D24)/xm_sT)+MAX(0,1-ABS('XA MU'!$D$27-$D24)/xm_sT)),0)+IF(ABS($D24-(xm_y0T+(xm_nT-1)/2*xm_sT))&lt;0.000001,IF('XA MU'!$B$27&lt;=3,'XA MU'!$E$27*$B$8*(IF('XA MU'!$C$27&gt;(xm_y0T+(xm_nT-1)/2*xm_sT),2*('XA MU'!$C$27-(xm_y0T+(xm_nT-1)/2*xm_sT))/xm_sT,0)+IF('XA MU'!$D$27&gt;(xm_y0T+(xm_nT-1)/2*xm_sT),2*('XA MU'!$D$27-(xm_y0T+(xm_nT-1)/2*xm_sT))/xm_sT,0)),0),0)+IF('XA MU'!$B$28&lt;=3,'XA MU'!$E$28*$B$8*(MAX(0,1-ABS('XA MU'!$C$28-$D24)/xm_sT)+MAX(0,1-ABS('XA MU'!$D$28-$D24)/xm_sT)),0)+IF(ABS($D24-(xm_y0T+(xm_nT-1)/2*xm_sT))&lt;0.000001,IF('XA MU'!$B$28&lt;=3,'XA MU'!$E$28*$B$8*(IF('XA MU'!$C$28&gt;(xm_y0T+(xm_nT-1)/2*xm_sT),2*('XA MU'!$C$28-(xm_y0T+(xm_nT-1)/2*xm_sT))/xm_sT,0)+IF('XA MU'!$D$28&gt;(xm_y0T+(xm_nT-1)/2*xm_sT),2*('XA MU'!$D$28-(xm_y0T+(xm_nT-1)/2*xm_sT))/xm_sT,0)),0),0)+IF('XA MU'!$B$29&lt;=3,'XA MU'!$E$29*$B$8*(MAX(0,1-ABS('XA MU'!$C$29-$D24)/xm_sT)+MAX(0,1-ABS('XA MU'!$D$29-$D24)/xm_sT)),0)+IF(ABS($D24-(xm_y0T+(xm_nT-1)/2*xm_sT))&lt;0.000001,IF('XA MU'!$B$29&lt;=3,'XA MU'!$E$29*$B$8*(IF('XA MU'!$C$29&gt;(xm_y0T+(xm_nT-1)/2*xm_sT),2*('XA MU'!$C$29-(xm_y0T+(xm_nT-1)/2*xm_sT))/xm_sT,0)+IF('XA MU'!$D$29&gt;(xm_y0T+(xm_nT-1)/2*xm_sT),2*('XA MU'!$D$29-(xm_y0T+(xm_nT-1)/2*xm_sT))/xm_sT,0)),0),0)+IF('XA MU'!$B$30&lt;=3,'XA MU'!$E$30*$B$8*(MAX(0,1-ABS('XA MU'!$C$30-$D24)/xm_sT)+MAX(0,1-ABS('XA MU'!$D$30-$D24)/xm_sT)),0)+IF(ABS($D24-(xm_y0T+(xm_nT-1)/2*xm_sT))&lt;0.000001,IF('XA MU'!$B$30&lt;=3,'XA MU'!$E$30*$B$8*(IF('XA MU'!$C$30&gt;(xm_y0T+(xm_nT-1)/2*xm_sT),2*('XA MU'!$C$30-(xm_y0T+(xm_nT-1)/2*xm_sT))/xm_sT,0)+IF('XA MU'!$D$30&gt;(xm_y0T+(xm_nT-1)/2*xm_sT),2*('XA MU'!$D$30-(xm_y0T+(xm_nT-1)/2*xm_sT))/xm_sT,0)),0),0))))</f>
        <v>285.50666240425517</v>
      </c>
      <c r="L24" s="44">
        <f>IF(C24=0,0,IF(4&gt;nLan,0,0.65*(IF('XA MU'!$B$25&lt;=4,'XA MU'!$E$25*$B$8*(MAX(0,1-ABS('XA MU'!$C$25-$D24)/xm_sT)+MAX(0,1-ABS('XA MU'!$D$25-$D24)/xm_sT)),0)+IF(ABS($D24-(xm_y0T+(xm_nT-1)/2*xm_sT))&lt;0.000001,IF('XA MU'!$B$25&lt;=4,'XA MU'!$E$25*$B$8*(IF('XA MU'!$C$25&gt;(xm_y0T+(xm_nT-1)/2*xm_sT),2*('XA MU'!$C$25-(xm_y0T+(xm_nT-1)/2*xm_sT))/xm_sT,0)+IF('XA MU'!$D$25&gt;(xm_y0T+(xm_nT-1)/2*xm_sT),2*('XA MU'!$D$25-(xm_y0T+(xm_nT-1)/2*xm_sT))/xm_sT,0)),0),0)+IF('XA MU'!$B$26&lt;=4,'XA MU'!$E$26*$B$8*(MAX(0,1-ABS('XA MU'!$C$26-$D24)/xm_sT)+MAX(0,1-ABS('XA MU'!$D$26-$D24)/xm_sT)),0)+IF(ABS($D24-(xm_y0T+(xm_nT-1)/2*xm_sT))&lt;0.000001,IF('XA MU'!$B$26&lt;=4,'XA MU'!$E$26*$B$8*(IF('XA MU'!$C$26&gt;(xm_y0T+(xm_nT-1)/2*xm_sT),2*('XA MU'!$C$26-(xm_y0T+(xm_nT-1)/2*xm_sT))/xm_sT,0)+IF('XA MU'!$D$26&gt;(xm_y0T+(xm_nT-1)/2*xm_sT),2*('XA MU'!$D$26-(xm_y0T+(xm_nT-1)/2*xm_sT))/xm_sT,0)),0),0)+IF('XA MU'!$B$27&lt;=4,'XA MU'!$E$27*$B$8*(MAX(0,1-ABS('XA MU'!$C$27-$D24)/xm_sT)+MAX(0,1-ABS('XA MU'!$D$27-$D24)/xm_sT)),0)+IF(ABS($D24-(xm_y0T+(xm_nT-1)/2*xm_sT))&lt;0.000001,IF('XA MU'!$B$27&lt;=4,'XA MU'!$E$27*$B$8*(IF('XA MU'!$C$27&gt;(xm_y0T+(xm_nT-1)/2*xm_sT),2*('XA MU'!$C$27-(xm_y0T+(xm_nT-1)/2*xm_sT))/xm_sT,0)+IF('XA MU'!$D$27&gt;(xm_y0T+(xm_nT-1)/2*xm_sT),2*('XA MU'!$D$27-(xm_y0T+(xm_nT-1)/2*xm_sT))/xm_sT,0)),0),0)+IF('XA MU'!$B$28&lt;=4,'XA MU'!$E$28*$B$8*(MAX(0,1-ABS('XA MU'!$C$28-$D24)/xm_sT)+MAX(0,1-ABS('XA MU'!$D$28-$D24)/xm_sT)),0)+IF(ABS($D24-(xm_y0T+(xm_nT-1)/2*xm_sT))&lt;0.000001,IF('XA MU'!$B$28&lt;=4,'XA MU'!$E$28*$B$8*(IF('XA MU'!$C$28&gt;(xm_y0T+(xm_nT-1)/2*xm_sT),2*('XA MU'!$C$28-(xm_y0T+(xm_nT-1)/2*xm_sT))/xm_sT,0)+IF('XA MU'!$D$28&gt;(xm_y0T+(xm_nT-1)/2*xm_sT),2*('XA MU'!$D$28-(xm_y0T+(xm_nT-1)/2*xm_sT))/xm_sT,0)),0),0)+IF('XA MU'!$B$29&lt;=4,'XA MU'!$E$29*$B$8*(MAX(0,1-ABS('XA MU'!$C$29-$D24)/xm_sT)+MAX(0,1-ABS('XA MU'!$D$29-$D24)/xm_sT)),0)+IF(ABS($D24-(xm_y0T+(xm_nT-1)/2*xm_sT))&lt;0.000001,IF('XA MU'!$B$29&lt;=4,'XA MU'!$E$29*$B$8*(IF('XA MU'!$C$29&gt;(xm_y0T+(xm_nT-1)/2*xm_sT),2*('XA MU'!$C$29-(xm_y0T+(xm_nT-1)/2*xm_sT))/xm_sT,0)+IF('XA MU'!$D$29&gt;(xm_y0T+(xm_nT-1)/2*xm_sT),2*('XA MU'!$D$29-(xm_y0T+(xm_nT-1)/2*xm_sT))/xm_sT,0)),0),0)+IF('XA MU'!$B$30&lt;=4,'XA MU'!$E$30*$B$8*(MAX(0,1-ABS('XA MU'!$C$30-$D24)/xm_sT)+MAX(0,1-ABS('XA MU'!$D$30-$D24)/xm_sT)),0)+IF(ABS($D24-(xm_y0T+(xm_nT-1)/2*xm_sT))&lt;0.000001,IF('XA MU'!$B$30&lt;=4,'XA MU'!$E$30*$B$8*(IF('XA MU'!$C$30&gt;(xm_y0T+(xm_nT-1)/2*xm_sT),2*('XA MU'!$C$30-(xm_y0T+(xm_nT-1)/2*xm_sT))/xm_sT,0)+IF('XA MU'!$D$30&gt;(xm_y0T+(xm_nT-1)/2*xm_sT),2*('XA MU'!$D$30-(xm_y0T+(xm_nT-1)/2*xm_sT))/xm_sT,0)),0),0))))</f>
        <v>218.32862419148924</v>
      </c>
      <c r="M24" s="44">
        <f>IF(C24=0,0,IF(5&gt;nLan,0,0.65*(IF('XA MU'!$B$25&lt;=5,'XA MU'!$E$25*$B$8*(MAX(0,1-ABS('XA MU'!$C$25-$D24)/xm_sT)+MAX(0,1-ABS('XA MU'!$D$25-$D24)/xm_sT)),0)+IF(ABS($D24-(xm_y0T+(xm_nT-1)/2*xm_sT))&lt;0.000001,IF('XA MU'!$B$25&lt;=5,'XA MU'!$E$25*$B$8*(IF('XA MU'!$C$25&gt;(xm_y0T+(xm_nT-1)/2*xm_sT),2*('XA MU'!$C$25-(xm_y0T+(xm_nT-1)/2*xm_sT))/xm_sT,0)+IF('XA MU'!$D$25&gt;(xm_y0T+(xm_nT-1)/2*xm_sT),2*('XA MU'!$D$25-(xm_y0T+(xm_nT-1)/2*xm_sT))/xm_sT,0)),0),0)+IF('XA MU'!$B$26&lt;=5,'XA MU'!$E$26*$B$8*(MAX(0,1-ABS('XA MU'!$C$26-$D24)/xm_sT)+MAX(0,1-ABS('XA MU'!$D$26-$D24)/xm_sT)),0)+IF(ABS($D24-(xm_y0T+(xm_nT-1)/2*xm_sT))&lt;0.000001,IF('XA MU'!$B$26&lt;=5,'XA MU'!$E$26*$B$8*(IF('XA MU'!$C$26&gt;(xm_y0T+(xm_nT-1)/2*xm_sT),2*('XA MU'!$C$26-(xm_y0T+(xm_nT-1)/2*xm_sT))/xm_sT,0)+IF('XA MU'!$D$26&gt;(xm_y0T+(xm_nT-1)/2*xm_sT),2*('XA MU'!$D$26-(xm_y0T+(xm_nT-1)/2*xm_sT))/xm_sT,0)),0),0)+IF('XA MU'!$B$27&lt;=5,'XA MU'!$E$27*$B$8*(MAX(0,1-ABS('XA MU'!$C$27-$D24)/xm_sT)+MAX(0,1-ABS('XA MU'!$D$27-$D24)/xm_sT)),0)+IF(ABS($D24-(xm_y0T+(xm_nT-1)/2*xm_sT))&lt;0.000001,IF('XA MU'!$B$27&lt;=5,'XA MU'!$E$27*$B$8*(IF('XA MU'!$C$27&gt;(xm_y0T+(xm_nT-1)/2*xm_sT),2*('XA MU'!$C$27-(xm_y0T+(xm_nT-1)/2*xm_sT))/xm_sT,0)+IF('XA MU'!$D$27&gt;(xm_y0T+(xm_nT-1)/2*xm_sT),2*('XA MU'!$D$27-(xm_y0T+(xm_nT-1)/2*xm_sT))/xm_sT,0)),0),0)+IF('XA MU'!$B$28&lt;=5,'XA MU'!$E$28*$B$8*(MAX(0,1-ABS('XA MU'!$C$28-$D24)/xm_sT)+MAX(0,1-ABS('XA MU'!$D$28-$D24)/xm_sT)),0)+IF(ABS($D24-(xm_y0T+(xm_nT-1)/2*xm_sT))&lt;0.000001,IF('XA MU'!$B$28&lt;=5,'XA MU'!$E$28*$B$8*(IF('XA MU'!$C$28&gt;(xm_y0T+(xm_nT-1)/2*xm_sT),2*('XA MU'!$C$28-(xm_y0T+(xm_nT-1)/2*xm_sT))/xm_sT,0)+IF('XA MU'!$D$28&gt;(xm_y0T+(xm_nT-1)/2*xm_sT),2*('XA MU'!$D$28-(xm_y0T+(xm_nT-1)/2*xm_sT))/xm_sT,0)),0),0)+IF('XA MU'!$B$29&lt;=5,'XA MU'!$E$29*$B$8*(MAX(0,1-ABS('XA MU'!$C$29-$D24)/xm_sT)+MAX(0,1-ABS('XA MU'!$D$29-$D24)/xm_sT)),0)+IF(ABS($D24-(xm_y0T+(xm_nT-1)/2*xm_sT))&lt;0.000001,IF('XA MU'!$B$29&lt;=5,'XA MU'!$E$29*$B$8*(IF('XA MU'!$C$29&gt;(xm_y0T+(xm_nT-1)/2*xm_sT),2*('XA MU'!$C$29-(xm_y0T+(xm_nT-1)/2*xm_sT))/xm_sT,0)+IF('XA MU'!$D$29&gt;(xm_y0T+(xm_nT-1)/2*xm_sT),2*('XA MU'!$D$29-(xm_y0T+(xm_nT-1)/2*xm_sT))/xm_sT,0)),0),0)+IF('XA MU'!$B$30&lt;=5,'XA MU'!$E$30*$B$8*(MAX(0,1-ABS('XA MU'!$C$30-$D24)/xm_sT)+MAX(0,1-ABS('XA MU'!$D$30-$D24)/xm_sT)),0)+IF(ABS($D24-(xm_y0T+(xm_nT-1)/2*xm_sT))&lt;0.000001,IF('XA MU'!$B$30&lt;=5,'XA MU'!$E$30*$B$8*(IF('XA MU'!$C$30&gt;(xm_y0T+(xm_nT-1)/2*xm_sT),2*('XA MU'!$C$30-(xm_y0T+(xm_nT-1)/2*xm_sT))/xm_sT,0)+IF('XA MU'!$D$30&gt;(xm_y0T+(xm_nT-1)/2*xm_sT),2*('XA MU'!$D$30-(xm_y0T+(xm_nT-1)/2*xm_sT))/xm_sT,0)),0),0))))</f>
        <v>218.32862419148924</v>
      </c>
      <c r="N24" s="44">
        <f>IF(C24=0,0,IF(6&gt;nLan,0,0.65*(IF('XA MU'!$B$25&lt;=6,'XA MU'!$E$25*$B$8*(MAX(0,1-ABS('XA MU'!$C$25-$D24)/xm_sT)+MAX(0,1-ABS('XA MU'!$D$25-$D24)/xm_sT)),0)+IF(ABS($D24-(xm_y0T+(xm_nT-1)/2*xm_sT))&lt;0.000001,IF('XA MU'!$B$25&lt;=6,'XA MU'!$E$25*$B$8*(IF('XA MU'!$C$25&gt;(xm_y0T+(xm_nT-1)/2*xm_sT),2*('XA MU'!$C$25-(xm_y0T+(xm_nT-1)/2*xm_sT))/xm_sT,0)+IF('XA MU'!$D$25&gt;(xm_y0T+(xm_nT-1)/2*xm_sT),2*('XA MU'!$D$25-(xm_y0T+(xm_nT-1)/2*xm_sT))/xm_sT,0)),0),0)+IF('XA MU'!$B$26&lt;=6,'XA MU'!$E$26*$B$8*(MAX(0,1-ABS('XA MU'!$C$26-$D24)/xm_sT)+MAX(0,1-ABS('XA MU'!$D$26-$D24)/xm_sT)),0)+IF(ABS($D24-(xm_y0T+(xm_nT-1)/2*xm_sT))&lt;0.000001,IF('XA MU'!$B$26&lt;=6,'XA MU'!$E$26*$B$8*(IF('XA MU'!$C$26&gt;(xm_y0T+(xm_nT-1)/2*xm_sT),2*('XA MU'!$C$26-(xm_y0T+(xm_nT-1)/2*xm_sT))/xm_sT,0)+IF('XA MU'!$D$26&gt;(xm_y0T+(xm_nT-1)/2*xm_sT),2*('XA MU'!$D$26-(xm_y0T+(xm_nT-1)/2*xm_sT))/xm_sT,0)),0),0)+IF('XA MU'!$B$27&lt;=6,'XA MU'!$E$27*$B$8*(MAX(0,1-ABS('XA MU'!$C$27-$D24)/xm_sT)+MAX(0,1-ABS('XA MU'!$D$27-$D24)/xm_sT)),0)+IF(ABS($D24-(xm_y0T+(xm_nT-1)/2*xm_sT))&lt;0.000001,IF('XA MU'!$B$27&lt;=6,'XA MU'!$E$27*$B$8*(IF('XA MU'!$C$27&gt;(xm_y0T+(xm_nT-1)/2*xm_sT),2*('XA MU'!$C$27-(xm_y0T+(xm_nT-1)/2*xm_sT))/xm_sT,0)+IF('XA MU'!$D$27&gt;(xm_y0T+(xm_nT-1)/2*xm_sT),2*('XA MU'!$D$27-(xm_y0T+(xm_nT-1)/2*xm_sT))/xm_sT,0)),0),0)+IF('XA MU'!$B$28&lt;=6,'XA MU'!$E$28*$B$8*(MAX(0,1-ABS('XA MU'!$C$28-$D24)/xm_sT)+MAX(0,1-ABS('XA MU'!$D$28-$D24)/xm_sT)),0)+IF(ABS($D24-(xm_y0T+(xm_nT-1)/2*xm_sT))&lt;0.000001,IF('XA MU'!$B$28&lt;=6,'XA MU'!$E$28*$B$8*(IF('XA MU'!$C$28&gt;(xm_y0T+(xm_nT-1)/2*xm_sT),2*('XA MU'!$C$28-(xm_y0T+(xm_nT-1)/2*xm_sT))/xm_sT,0)+IF('XA MU'!$D$28&gt;(xm_y0T+(xm_nT-1)/2*xm_sT),2*('XA MU'!$D$28-(xm_y0T+(xm_nT-1)/2*xm_sT))/xm_sT,0)),0),0)+IF('XA MU'!$B$29&lt;=6,'XA MU'!$E$29*$B$8*(MAX(0,1-ABS('XA MU'!$C$29-$D24)/xm_sT)+MAX(0,1-ABS('XA MU'!$D$29-$D24)/xm_sT)),0)+IF(ABS($D24-(xm_y0T+(xm_nT-1)/2*xm_sT))&lt;0.000001,IF('XA MU'!$B$29&lt;=6,'XA MU'!$E$29*$B$8*(IF('XA MU'!$C$29&gt;(xm_y0T+(xm_nT-1)/2*xm_sT),2*('XA MU'!$C$29-(xm_y0T+(xm_nT-1)/2*xm_sT))/xm_sT,0)+IF('XA MU'!$D$29&gt;(xm_y0T+(xm_nT-1)/2*xm_sT),2*('XA MU'!$D$29-(xm_y0T+(xm_nT-1)/2*xm_sT))/xm_sT,0)),0),0)+IF('XA MU'!$B$30&lt;=6,'XA MU'!$E$30*$B$8*(MAX(0,1-ABS('XA MU'!$C$30-$D24)/xm_sT)+MAX(0,1-ABS('XA MU'!$D$30-$D24)/xm_sT)),0)+IF(ABS($D24-(xm_y0T+(xm_nT-1)/2*xm_sT))&lt;0.000001,IF('XA MU'!$B$30&lt;=6,'XA MU'!$E$30*$B$8*(IF('XA MU'!$C$30&gt;(xm_y0T+(xm_nT-1)/2*xm_sT),2*('XA MU'!$C$30-(xm_y0T+(xm_nT-1)/2*xm_sT))/xm_sT,0)+IF('XA MU'!$D$30&gt;(xm_y0T+(xm_nT-1)/2*xm_sT),2*('XA MU'!$D$30-(xm_y0T+(xm_nT-1)/2*xm_sT))/xm_sT,0)),0),0))))</f>
        <v>218.32862419148924</v>
      </c>
    </row>
    <row r="25" spans="1:14" x14ac:dyDescent="0.3">
      <c r="A25" s="42" t="s">
        <v>1235</v>
      </c>
      <c r="B25" s="42">
        <v>11</v>
      </c>
      <c r="C25" s="40">
        <f t="shared" si="0"/>
        <v>0</v>
      </c>
      <c r="D25" s="44">
        <f t="shared" si="1"/>
        <v>0</v>
      </c>
      <c r="E25" s="44">
        <f>MAX(0,D25-'XA MU'!$C$8)*C25</f>
        <v>0</v>
      </c>
      <c r="F25" s="44">
        <f>IF(AND(C25=1,D25&gt;'XA MU'!$C$8),1,0)</f>
        <v>0</v>
      </c>
      <c r="G25" s="44">
        <f t="shared" si="2"/>
        <v>0</v>
      </c>
      <c r="H25" s="44">
        <f t="shared" si="3"/>
        <v>0</v>
      </c>
      <c r="I25" s="44">
        <f>IF(C25=0,0,IF(1&gt;nLan,0,1.2*(IF('XA MU'!$B$25&lt;=1,'XA MU'!$E$25*$B$8*(MAX(0,1-ABS('XA MU'!$C$25-$D25)/xm_sT)+MAX(0,1-ABS('XA MU'!$D$25-$D25)/xm_sT)),0)+IF(ABS($D25-(xm_y0T+(xm_nT-1)/2*xm_sT))&lt;0.000001,IF('XA MU'!$B$25&lt;=1,'XA MU'!$E$25*$B$8*(IF('XA MU'!$C$25&gt;(xm_y0T+(xm_nT-1)/2*xm_sT),2*('XA MU'!$C$25-(xm_y0T+(xm_nT-1)/2*xm_sT))/xm_sT,0)+IF('XA MU'!$D$25&gt;(xm_y0T+(xm_nT-1)/2*xm_sT),2*('XA MU'!$D$25-(xm_y0T+(xm_nT-1)/2*xm_sT))/xm_sT,0)),0),0)+IF('XA MU'!$B$26&lt;=1,'XA MU'!$E$26*$B$8*(MAX(0,1-ABS('XA MU'!$C$26-$D25)/xm_sT)+MAX(0,1-ABS('XA MU'!$D$26-$D25)/xm_sT)),0)+IF(ABS($D25-(xm_y0T+(xm_nT-1)/2*xm_sT))&lt;0.000001,IF('XA MU'!$B$26&lt;=1,'XA MU'!$E$26*$B$8*(IF('XA MU'!$C$26&gt;(xm_y0T+(xm_nT-1)/2*xm_sT),2*('XA MU'!$C$26-(xm_y0T+(xm_nT-1)/2*xm_sT))/xm_sT,0)+IF('XA MU'!$D$26&gt;(xm_y0T+(xm_nT-1)/2*xm_sT),2*('XA MU'!$D$26-(xm_y0T+(xm_nT-1)/2*xm_sT))/xm_sT,0)),0),0)+IF('XA MU'!$B$27&lt;=1,'XA MU'!$E$27*$B$8*(MAX(0,1-ABS('XA MU'!$C$27-$D25)/xm_sT)+MAX(0,1-ABS('XA MU'!$D$27-$D25)/xm_sT)),0)+IF(ABS($D25-(xm_y0T+(xm_nT-1)/2*xm_sT))&lt;0.000001,IF('XA MU'!$B$27&lt;=1,'XA MU'!$E$27*$B$8*(IF('XA MU'!$C$27&gt;(xm_y0T+(xm_nT-1)/2*xm_sT),2*('XA MU'!$C$27-(xm_y0T+(xm_nT-1)/2*xm_sT))/xm_sT,0)+IF('XA MU'!$D$27&gt;(xm_y0T+(xm_nT-1)/2*xm_sT),2*('XA MU'!$D$27-(xm_y0T+(xm_nT-1)/2*xm_sT))/xm_sT,0)),0),0)+IF('XA MU'!$B$28&lt;=1,'XA MU'!$E$28*$B$8*(MAX(0,1-ABS('XA MU'!$C$28-$D25)/xm_sT)+MAX(0,1-ABS('XA MU'!$D$28-$D25)/xm_sT)),0)+IF(ABS($D25-(xm_y0T+(xm_nT-1)/2*xm_sT))&lt;0.000001,IF('XA MU'!$B$28&lt;=1,'XA MU'!$E$28*$B$8*(IF('XA MU'!$C$28&gt;(xm_y0T+(xm_nT-1)/2*xm_sT),2*('XA MU'!$C$28-(xm_y0T+(xm_nT-1)/2*xm_sT))/xm_sT,0)+IF('XA MU'!$D$28&gt;(xm_y0T+(xm_nT-1)/2*xm_sT),2*('XA MU'!$D$28-(xm_y0T+(xm_nT-1)/2*xm_sT))/xm_sT,0)),0),0)+IF('XA MU'!$B$29&lt;=1,'XA MU'!$E$29*$B$8*(MAX(0,1-ABS('XA MU'!$C$29-$D25)/xm_sT)+MAX(0,1-ABS('XA MU'!$D$29-$D25)/xm_sT)),0)+IF(ABS($D25-(xm_y0T+(xm_nT-1)/2*xm_sT))&lt;0.000001,IF('XA MU'!$B$29&lt;=1,'XA MU'!$E$29*$B$8*(IF('XA MU'!$C$29&gt;(xm_y0T+(xm_nT-1)/2*xm_sT),2*('XA MU'!$C$29-(xm_y0T+(xm_nT-1)/2*xm_sT))/xm_sT,0)+IF('XA MU'!$D$29&gt;(xm_y0T+(xm_nT-1)/2*xm_sT),2*('XA MU'!$D$29-(xm_y0T+(xm_nT-1)/2*xm_sT))/xm_sT,0)),0),0)+IF('XA MU'!$B$30&lt;=1,'XA MU'!$E$30*$B$8*(MAX(0,1-ABS('XA MU'!$C$30-$D25)/xm_sT)+MAX(0,1-ABS('XA MU'!$D$30-$D25)/xm_sT)),0)+IF(ABS($D25-(xm_y0T+(xm_nT-1)/2*xm_sT))&lt;0.000001,IF('XA MU'!$B$30&lt;=1,'XA MU'!$E$30*$B$8*(IF('XA MU'!$C$30&gt;(xm_y0T+(xm_nT-1)/2*xm_sT),2*('XA MU'!$C$30-(xm_y0T+(xm_nT-1)/2*xm_sT))/xm_sT,0)+IF('XA MU'!$D$30&gt;(xm_y0T+(xm_nT-1)/2*xm_sT),2*('XA MU'!$D$30-(xm_y0T+(xm_nT-1)/2*xm_sT))/xm_sT,0)),0),0))))</f>
        <v>0</v>
      </c>
      <c r="J25" s="44">
        <f>IF(C25=0,0,IF(2&gt;nLan,0,1*(IF('XA MU'!$B$25&lt;=2,'XA MU'!$E$25*$B$8*(MAX(0,1-ABS('XA MU'!$C$25-$D25)/xm_sT)+MAX(0,1-ABS('XA MU'!$D$25-$D25)/xm_sT)),0)+IF(ABS($D25-(xm_y0T+(xm_nT-1)/2*xm_sT))&lt;0.000001,IF('XA MU'!$B$25&lt;=2,'XA MU'!$E$25*$B$8*(IF('XA MU'!$C$25&gt;(xm_y0T+(xm_nT-1)/2*xm_sT),2*('XA MU'!$C$25-(xm_y0T+(xm_nT-1)/2*xm_sT))/xm_sT,0)+IF('XA MU'!$D$25&gt;(xm_y0T+(xm_nT-1)/2*xm_sT),2*('XA MU'!$D$25-(xm_y0T+(xm_nT-1)/2*xm_sT))/xm_sT,0)),0),0)+IF('XA MU'!$B$26&lt;=2,'XA MU'!$E$26*$B$8*(MAX(0,1-ABS('XA MU'!$C$26-$D25)/xm_sT)+MAX(0,1-ABS('XA MU'!$D$26-$D25)/xm_sT)),0)+IF(ABS($D25-(xm_y0T+(xm_nT-1)/2*xm_sT))&lt;0.000001,IF('XA MU'!$B$26&lt;=2,'XA MU'!$E$26*$B$8*(IF('XA MU'!$C$26&gt;(xm_y0T+(xm_nT-1)/2*xm_sT),2*('XA MU'!$C$26-(xm_y0T+(xm_nT-1)/2*xm_sT))/xm_sT,0)+IF('XA MU'!$D$26&gt;(xm_y0T+(xm_nT-1)/2*xm_sT),2*('XA MU'!$D$26-(xm_y0T+(xm_nT-1)/2*xm_sT))/xm_sT,0)),0),0)+IF('XA MU'!$B$27&lt;=2,'XA MU'!$E$27*$B$8*(MAX(0,1-ABS('XA MU'!$C$27-$D25)/xm_sT)+MAX(0,1-ABS('XA MU'!$D$27-$D25)/xm_sT)),0)+IF(ABS($D25-(xm_y0T+(xm_nT-1)/2*xm_sT))&lt;0.000001,IF('XA MU'!$B$27&lt;=2,'XA MU'!$E$27*$B$8*(IF('XA MU'!$C$27&gt;(xm_y0T+(xm_nT-1)/2*xm_sT),2*('XA MU'!$C$27-(xm_y0T+(xm_nT-1)/2*xm_sT))/xm_sT,0)+IF('XA MU'!$D$27&gt;(xm_y0T+(xm_nT-1)/2*xm_sT),2*('XA MU'!$D$27-(xm_y0T+(xm_nT-1)/2*xm_sT))/xm_sT,0)),0),0)+IF('XA MU'!$B$28&lt;=2,'XA MU'!$E$28*$B$8*(MAX(0,1-ABS('XA MU'!$C$28-$D25)/xm_sT)+MAX(0,1-ABS('XA MU'!$D$28-$D25)/xm_sT)),0)+IF(ABS($D25-(xm_y0T+(xm_nT-1)/2*xm_sT))&lt;0.000001,IF('XA MU'!$B$28&lt;=2,'XA MU'!$E$28*$B$8*(IF('XA MU'!$C$28&gt;(xm_y0T+(xm_nT-1)/2*xm_sT),2*('XA MU'!$C$28-(xm_y0T+(xm_nT-1)/2*xm_sT))/xm_sT,0)+IF('XA MU'!$D$28&gt;(xm_y0T+(xm_nT-1)/2*xm_sT),2*('XA MU'!$D$28-(xm_y0T+(xm_nT-1)/2*xm_sT))/xm_sT,0)),0),0)+IF('XA MU'!$B$29&lt;=2,'XA MU'!$E$29*$B$8*(MAX(0,1-ABS('XA MU'!$C$29-$D25)/xm_sT)+MAX(0,1-ABS('XA MU'!$D$29-$D25)/xm_sT)),0)+IF(ABS($D25-(xm_y0T+(xm_nT-1)/2*xm_sT))&lt;0.000001,IF('XA MU'!$B$29&lt;=2,'XA MU'!$E$29*$B$8*(IF('XA MU'!$C$29&gt;(xm_y0T+(xm_nT-1)/2*xm_sT),2*('XA MU'!$C$29-(xm_y0T+(xm_nT-1)/2*xm_sT))/xm_sT,0)+IF('XA MU'!$D$29&gt;(xm_y0T+(xm_nT-1)/2*xm_sT),2*('XA MU'!$D$29-(xm_y0T+(xm_nT-1)/2*xm_sT))/xm_sT,0)),0),0)+IF('XA MU'!$B$30&lt;=2,'XA MU'!$E$30*$B$8*(MAX(0,1-ABS('XA MU'!$C$30-$D25)/xm_sT)+MAX(0,1-ABS('XA MU'!$D$30-$D25)/xm_sT)),0)+IF(ABS($D25-(xm_y0T+(xm_nT-1)/2*xm_sT))&lt;0.000001,IF('XA MU'!$B$30&lt;=2,'XA MU'!$E$30*$B$8*(IF('XA MU'!$C$30&gt;(xm_y0T+(xm_nT-1)/2*xm_sT),2*('XA MU'!$C$30-(xm_y0T+(xm_nT-1)/2*xm_sT))/xm_sT,0)+IF('XA MU'!$D$30&gt;(xm_y0T+(xm_nT-1)/2*xm_sT),2*('XA MU'!$D$30-(xm_y0T+(xm_nT-1)/2*xm_sT))/xm_sT,0)),0),0))))</f>
        <v>0</v>
      </c>
      <c r="K25" s="44">
        <f>IF(C25=0,0,IF(3&gt;nLan,0,0.85*(IF('XA MU'!$B$25&lt;=3,'XA MU'!$E$25*$B$8*(MAX(0,1-ABS('XA MU'!$C$25-$D25)/xm_sT)+MAX(0,1-ABS('XA MU'!$D$25-$D25)/xm_sT)),0)+IF(ABS($D25-(xm_y0T+(xm_nT-1)/2*xm_sT))&lt;0.000001,IF('XA MU'!$B$25&lt;=3,'XA MU'!$E$25*$B$8*(IF('XA MU'!$C$25&gt;(xm_y0T+(xm_nT-1)/2*xm_sT),2*('XA MU'!$C$25-(xm_y0T+(xm_nT-1)/2*xm_sT))/xm_sT,0)+IF('XA MU'!$D$25&gt;(xm_y0T+(xm_nT-1)/2*xm_sT),2*('XA MU'!$D$25-(xm_y0T+(xm_nT-1)/2*xm_sT))/xm_sT,0)),0),0)+IF('XA MU'!$B$26&lt;=3,'XA MU'!$E$26*$B$8*(MAX(0,1-ABS('XA MU'!$C$26-$D25)/xm_sT)+MAX(0,1-ABS('XA MU'!$D$26-$D25)/xm_sT)),0)+IF(ABS($D25-(xm_y0T+(xm_nT-1)/2*xm_sT))&lt;0.000001,IF('XA MU'!$B$26&lt;=3,'XA MU'!$E$26*$B$8*(IF('XA MU'!$C$26&gt;(xm_y0T+(xm_nT-1)/2*xm_sT),2*('XA MU'!$C$26-(xm_y0T+(xm_nT-1)/2*xm_sT))/xm_sT,0)+IF('XA MU'!$D$26&gt;(xm_y0T+(xm_nT-1)/2*xm_sT),2*('XA MU'!$D$26-(xm_y0T+(xm_nT-1)/2*xm_sT))/xm_sT,0)),0),0)+IF('XA MU'!$B$27&lt;=3,'XA MU'!$E$27*$B$8*(MAX(0,1-ABS('XA MU'!$C$27-$D25)/xm_sT)+MAX(0,1-ABS('XA MU'!$D$27-$D25)/xm_sT)),0)+IF(ABS($D25-(xm_y0T+(xm_nT-1)/2*xm_sT))&lt;0.000001,IF('XA MU'!$B$27&lt;=3,'XA MU'!$E$27*$B$8*(IF('XA MU'!$C$27&gt;(xm_y0T+(xm_nT-1)/2*xm_sT),2*('XA MU'!$C$27-(xm_y0T+(xm_nT-1)/2*xm_sT))/xm_sT,0)+IF('XA MU'!$D$27&gt;(xm_y0T+(xm_nT-1)/2*xm_sT),2*('XA MU'!$D$27-(xm_y0T+(xm_nT-1)/2*xm_sT))/xm_sT,0)),0),0)+IF('XA MU'!$B$28&lt;=3,'XA MU'!$E$28*$B$8*(MAX(0,1-ABS('XA MU'!$C$28-$D25)/xm_sT)+MAX(0,1-ABS('XA MU'!$D$28-$D25)/xm_sT)),0)+IF(ABS($D25-(xm_y0T+(xm_nT-1)/2*xm_sT))&lt;0.000001,IF('XA MU'!$B$28&lt;=3,'XA MU'!$E$28*$B$8*(IF('XA MU'!$C$28&gt;(xm_y0T+(xm_nT-1)/2*xm_sT),2*('XA MU'!$C$28-(xm_y0T+(xm_nT-1)/2*xm_sT))/xm_sT,0)+IF('XA MU'!$D$28&gt;(xm_y0T+(xm_nT-1)/2*xm_sT),2*('XA MU'!$D$28-(xm_y0T+(xm_nT-1)/2*xm_sT))/xm_sT,0)),0),0)+IF('XA MU'!$B$29&lt;=3,'XA MU'!$E$29*$B$8*(MAX(0,1-ABS('XA MU'!$C$29-$D25)/xm_sT)+MAX(0,1-ABS('XA MU'!$D$29-$D25)/xm_sT)),0)+IF(ABS($D25-(xm_y0T+(xm_nT-1)/2*xm_sT))&lt;0.000001,IF('XA MU'!$B$29&lt;=3,'XA MU'!$E$29*$B$8*(IF('XA MU'!$C$29&gt;(xm_y0T+(xm_nT-1)/2*xm_sT),2*('XA MU'!$C$29-(xm_y0T+(xm_nT-1)/2*xm_sT))/xm_sT,0)+IF('XA MU'!$D$29&gt;(xm_y0T+(xm_nT-1)/2*xm_sT),2*('XA MU'!$D$29-(xm_y0T+(xm_nT-1)/2*xm_sT))/xm_sT,0)),0),0)+IF('XA MU'!$B$30&lt;=3,'XA MU'!$E$30*$B$8*(MAX(0,1-ABS('XA MU'!$C$30-$D25)/xm_sT)+MAX(0,1-ABS('XA MU'!$D$30-$D25)/xm_sT)),0)+IF(ABS($D25-(xm_y0T+(xm_nT-1)/2*xm_sT))&lt;0.000001,IF('XA MU'!$B$30&lt;=3,'XA MU'!$E$30*$B$8*(IF('XA MU'!$C$30&gt;(xm_y0T+(xm_nT-1)/2*xm_sT),2*('XA MU'!$C$30-(xm_y0T+(xm_nT-1)/2*xm_sT))/xm_sT,0)+IF('XA MU'!$D$30&gt;(xm_y0T+(xm_nT-1)/2*xm_sT),2*('XA MU'!$D$30-(xm_y0T+(xm_nT-1)/2*xm_sT))/xm_sT,0)),0),0))))</f>
        <v>0</v>
      </c>
      <c r="L25" s="44">
        <f>IF(C25=0,0,IF(4&gt;nLan,0,0.65*(IF('XA MU'!$B$25&lt;=4,'XA MU'!$E$25*$B$8*(MAX(0,1-ABS('XA MU'!$C$25-$D25)/xm_sT)+MAX(0,1-ABS('XA MU'!$D$25-$D25)/xm_sT)),0)+IF(ABS($D25-(xm_y0T+(xm_nT-1)/2*xm_sT))&lt;0.000001,IF('XA MU'!$B$25&lt;=4,'XA MU'!$E$25*$B$8*(IF('XA MU'!$C$25&gt;(xm_y0T+(xm_nT-1)/2*xm_sT),2*('XA MU'!$C$25-(xm_y0T+(xm_nT-1)/2*xm_sT))/xm_sT,0)+IF('XA MU'!$D$25&gt;(xm_y0T+(xm_nT-1)/2*xm_sT),2*('XA MU'!$D$25-(xm_y0T+(xm_nT-1)/2*xm_sT))/xm_sT,0)),0),0)+IF('XA MU'!$B$26&lt;=4,'XA MU'!$E$26*$B$8*(MAX(0,1-ABS('XA MU'!$C$26-$D25)/xm_sT)+MAX(0,1-ABS('XA MU'!$D$26-$D25)/xm_sT)),0)+IF(ABS($D25-(xm_y0T+(xm_nT-1)/2*xm_sT))&lt;0.000001,IF('XA MU'!$B$26&lt;=4,'XA MU'!$E$26*$B$8*(IF('XA MU'!$C$26&gt;(xm_y0T+(xm_nT-1)/2*xm_sT),2*('XA MU'!$C$26-(xm_y0T+(xm_nT-1)/2*xm_sT))/xm_sT,0)+IF('XA MU'!$D$26&gt;(xm_y0T+(xm_nT-1)/2*xm_sT),2*('XA MU'!$D$26-(xm_y0T+(xm_nT-1)/2*xm_sT))/xm_sT,0)),0),0)+IF('XA MU'!$B$27&lt;=4,'XA MU'!$E$27*$B$8*(MAX(0,1-ABS('XA MU'!$C$27-$D25)/xm_sT)+MAX(0,1-ABS('XA MU'!$D$27-$D25)/xm_sT)),0)+IF(ABS($D25-(xm_y0T+(xm_nT-1)/2*xm_sT))&lt;0.000001,IF('XA MU'!$B$27&lt;=4,'XA MU'!$E$27*$B$8*(IF('XA MU'!$C$27&gt;(xm_y0T+(xm_nT-1)/2*xm_sT),2*('XA MU'!$C$27-(xm_y0T+(xm_nT-1)/2*xm_sT))/xm_sT,0)+IF('XA MU'!$D$27&gt;(xm_y0T+(xm_nT-1)/2*xm_sT),2*('XA MU'!$D$27-(xm_y0T+(xm_nT-1)/2*xm_sT))/xm_sT,0)),0),0)+IF('XA MU'!$B$28&lt;=4,'XA MU'!$E$28*$B$8*(MAX(0,1-ABS('XA MU'!$C$28-$D25)/xm_sT)+MAX(0,1-ABS('XA MU'!$D$28-$D25)/xm_sT)),0)+IF(ABS($D25-(xm_y0T+(xm_nT-1)/2*xm_sT))&lt;0.000001,IF('XA MU'!$B$28&lt;=4,'XA MU'!$E$28*$B$8*(IF('XA MU'!$C$28&gt;(xm_y0T+(xm_nT-1)/2*xm_sT),2*('XA MU'!$C$28-(xm_y0T+(xm_nT-1)/2*xm_sT))/xm_sT,0)+IF('XA MU'!$D$28&gt;(xm_y0T+(xm_nT-1)/2*xm_sT),2*('XA MU'!$D$28-(xm_y0T+(xm_nT-1)/2*xm_sT))/xm_sT,0)),0),0)+IF('XA MU'!$B$29&lt;=4,'XA MU'!$E$29*$B$8*(MAX(0,1-ABS('XA MU'!$C$29-$D25)/xm_sT)+MAX(0,1-ABS('XA MU'!$D$29-$D25)/xm_sT)),0)+IF(ABS($D25-(xm_y0T+(xm_nT-1)/2*xm_sT))&lt;0.000001,IF('XA MU'!$B$29&lt;=4,'XA MU'!$E$29*$B$8*(IF('XA MU'!$C$29&gt;(xm_y0T+(xm_nT-1)/2*xm_sT),2*('XA MU'!$C$29-(xm_y0T+(xm_nT-1)/2*xm_sT))/xm_sT,0)+IF('XA MU'!$D$29&gt;(xm_y0T+(xm_nT-1)/2*xm_sT),2*('XA MU'!$D$29-(xm_y0T+(xm_nT-1)/2*xm_sT))/xm_sT,0)),0),0)+IF('XA MU'!$B$30&lt;=4,'XA MU'!$E$30*$B$8*(MAX(0,1-ABS('XA MU'!$C$30-$D25)/xm_sT)+MAX(0,1-ABS('XA MU'!$D$30-$D25)/xm_sT)),0)+IF(ABS($D25-(xm_y0T+(xm_nT-1)/2*xm_sT))&lt;0.000001,IF('XA MU'!$B$30&lt;=4,'XA MU'!$E$30*$B$8*(IF('XA MU'!$C$30&gt;(xm_y0T+(xm_nT-1)/2*xm_sT),2*('XA MU'!$C$30-(xm_y0T+(xm_nT-1)/2*xm_sT))/xm_sT,0)+IF('XA MU'!$D$30&gt;(xm_y0T+(xm_nT-1)/2*xm_sT),2*('XA MU'!$D$30-(xm_y0T+(xm_nT-1)/2*xm_sT))/xm_sT,0)),0),0))))</f>
        <v>0</v>
      </c>
      <c r="M25" s="44">
        <f>IF(C25=0,0,IF(5&gt;nLan,0,0.65*(IF('XA MU'!$B$25&lt;=5,'XA MU'!$E$25*$B$8*(MAX(0,1-ABS('XA MU'!$C$25-$D25)/xm_sT)+MAX(0,1-ABS('XA MU'!$D$25-$D25)/xm_sT)),0)+IF(ABS($D25-(xm_y0T+(xm_nT-1)/2*xm_sT))&lt;0.000001,IF('XA MU'!$B$25&lt;=5,'XA MU'!$E$25*$B$8*(IF('XA MU'!$C$25&gt;(xm_y0T+(xm_nT-1)/2*xm_sT),2*('XA MU'!$C$25-(xm_y0T+(xm_nT-1)/2*xm_sT))/xm_sT,0)+IF('XA MU'!$D$25&gt;(xm_y0T+(xm_nT-1)/2*xm_sT),2*('XA MU'!$D$25-(xm_y0T+(xm_nT-1)/2*xm_sT))/xm_sT,0)),0),0)+IF('XA MU'!$B$26&lt;=5,'XA MU'!$E$26*$B$8*(MAX(0,1-ABS('XA MU'!$C$26-$D25)/xm_sT)+MAX(0,1-ABS('XA MU'!$D$26-$D25)/xm_sT)),0)+IF(ABS($D25-(xm_y0T+(xm_nT-1)/2*xm_sT))&lt;0.000001,IF('XA MU'!$B$26&lt;=5,'XA MU'!$E$26*$B$8*(IF('XA MU'!$C$26&gt;(xm_y0T+(xm_nT-1)/2*xm_sT),2*('XA MU'!$C$26-(xm_y0T+(xm_nT-1)/2*xm_sT))/xm_sT,0)+IF('XA MU'!$D$26&gt;(xm_y0T+(xm_nT-1)/2*xm_sT),2*('XA MU'!$D$26-(xm_y0T+(xm_nT-1)/2*xm_sT))/xm_sT,0)),0),0)+IF('XA MU'!$B$27&lt;=5,'XA MU'!$E$27*$B$8*(MAX(0,1-ABS('XA MU'!$C$27-$D25)/xm_sT)+MAX(0,1-ABS('XA MU'!$D$27-$D25)/xm_sT)),0)+IF(ABS($D25-(xm_y0T+(xm_nT-1)/2*xm_sT))&lt;0.000001,IF('XA MU'!$B$27&lt;=5,'XA MU'!$E$27*$B$8*(IF('XA MU'!$C$27&gt;(xm_y0T+(xm_nT-1)/2*xm_sT),2*('XA MU'!$C$27-(xm_y0T+(xm_nT-1)/2*xm_sT))/xm_sT,0)+IF('XA MU'!$D$27&gt;(xm_y0T+(xm_nT-1)/2*xm_sT),2*('XA MU'!$D$27-(xm_y0T+(xm_nT-1)/2*xm_sT))/xm_sT,0)),0),0)+IF('XA MU'!$B$28&lt;=5,'XA MU'!$E$28*$B$8*(MAX(0,1-ABS('XA MU'!$C$28-$D25)/xm_sT)+MAX(0,1-ABS('XA MU'!$D$28-$D25)/xm_sT)),0)+IF(ABS($D25-(xm_y0T+(xm_nT-1)/2*xm_sT))&lt;0.000001,IF('XA MU'!$B$28&lt;=5,'XA MU'!$E$28*$B$8*(IF('XA MU'!$C$28&gt;(xm_y0T+(xm_nT-1)/2*xm_sT),2*('XA MU'!$C$28-(xm_y0T+(xm_nT-1)/2*xm_sT))/xm_sT,0)+IF('XA MU'!$D$28&gt;(xm_y0T+(xm_nT-1)/2*xm_sT),2*('XA MU'!$D$28-(xm_y0T+(xm_nT-1)/2*xm_sT))/xm_sT,0)),0),0)+IF('XA MU'!$B$29&lt;=5,'XA MU'!$E$29*$B$8*(MAX(0,1-ABS('XA MU'!$C$29-$D25)/xm_sT)+MAX(0,1-ABS('XA MU'!$D$29-$D25)/xm_sT)),0)+IF(ABS($D25-(xm_y0T+(xm_nT-1)/2*xm_sT))&lt;0.000001,IF('XA MU'!$B$29&lt;=5,'XA MU'!$E$29*$B$8*(IF('XA MU'!$C$29&gt;(xm_y0T+(xm_nT-1)/2*xm_sT),2*('XA MU'!$C$29-(xm_y0T+(xm_nT-1)/2*xm_sT))/xm_sT,0)+IF('XA MU'!$D$29&gt;(xm_y0T+(xm_nT-1)/2*xm_sT),2*('XA MU'!$D$29-(xm_y0T+(xm_nT-1)/2*xm_sT))/xm_sT,0)),0),0)+IF('XA MU'!$B$30&lt;=5,'XA MU'!$E$30*$B$8*(MAX(0,1-ABS('XA MU'!$C$30-$D25)/xm_sT)+MAX(0,1-ABS('XA MU'!$D$30-$D25)/xm_sT)),0)+IF(ABS($D25-(xm_y0T+(xm_nT-1)/2*xm_sT))&lt;0.000001,IF('XA MU'!$B$30&lt;=5,'XA MU'!$E$30*$B$8*(IF('XA MU'!$C$30&gt;(xm_y0T+(xm_nT-1)/2*xm_sT),2*('XA MU'!$C$30-(xm_y0T+(xm_nT-1)/2*xm_sT))/xm_sT,0)+IF('XA MU'!$D$30&gt;(xm_y0T+(xm_nT-1)/2*xm_sT),2*('XA MU'!$D$30-(xm_y0T+(xm_nT-1)/2*xm_sT))/xm_sT,0)),0),0))))</f>
        <v>0</v>
      </c>
      <c r="N25" s="44">
        <f>IF(C25=0,0,IF(6&gt;nLan,0,0.65*(IF('XA MU'!$B$25&lt;=6,'XA MU'!$E$25*$B$8*(MAX(0,1-ABS('XA MU'!$C$25-$D25)/xm_sT)+MAX(0,1-ABS('XA MU'!$D$25-$D25)/xm_sT)),0)+IF(ABS($D25-(xm_y0T+(xm_nT-1)/2*xm_sT))&lt;0.000001,IF('XA MU'!$B$25&lt;=6,'XA MU'!$E$25*$B$8*(IF('XA MU'!$C$25&gt;(xm_y0T+(xm_nT-1)/2*xm_sT),2*('XA MU'!$C$25-(xm_y0T+(xm_nT-1)/2*xm_sT))/xm_sT,0)+IF('XA MU'!$D$25&gt;(xm_y0T+(xm_nT-1)/2*xm_sT),2*('XA MU'!$D$25-(xm_y0T+(xm_nT-1)/2*xm_sT))/xm_sT,0)),0),0)+IF('XA MU'!$B$26&lt;=6,'XA MU'!$E$26*$B$8*(MAX(0,1-ABS('XA MU'!$C$26-$D25)/xm_sT)+MAX(0,1-ABS('XA MU'!$D$26-$D25)/xm_sT)),0)+IF(ABS($D25-(xm_y0T+(xm_nT-1)/2*xm_sT))&lt;0.000001,IF('XA MU'!$B$26&lt;=6,'XA MU'!$E$26*$B$8*(IF('XA MU'!$C$26&gt;(xm_y0T+(xm_nT-1)/2*xm_sT),2*('XA MU'!$C$26-(xm_y0T+(xm_nT-1)/2*xm_sT))/xm_sT,0)+IF('XA MU'!$D$26&gt;(xm_y0T+(xm_nT-1)/2*xm_sT),2*('XA MU'!$D$26-(xm_y0T+(xm_nT-1)/2*xm_sT))/xm_sT,0)),0),0)+IF('XA MU'!$B$27&lt;=6,'XA MU'!$E$27*$B$8*(MAX(0,1-ABS('XA MU'!$C$27-$D25)/xm_sT)+MAX(0,1-ABS('XA MU'!$D$27-$D25)/xm_sT)),0)+IF(ABS($D25-(xm_y0T+(xm_nT-1)/2*xm_sT))&lt;0.000001,IF('XA MU'!$B$27&lt;=6,'XA MU'!$E$27*$B$8*(IF('XA MU'!$C$27&gt;(xm_y0T+(xm_nT-1)/2*xm_sT),2*('XA MU'!$C$27-(xm_y0T+(xm_nT-1)/2*xm_sT))/xm_sT,0)+IF('XA MU'!$D$27&gt;(xm_y0T+(xm_nT-1)/2*xm_sT),2*('XA MU'!$D$27-(xm_y0T+(xm_nT-1)/2*xm_sT))/xm_sT,0)),0),0)+IF('XA MU'!$B$28&lt;=6,'XA MU'!$E$28*$B$8*(MAX(0,1-ABS('XA MU'!$C$28-$D25)/xm_sT)+MAX(0,1-ABS('XA MU'!$D$28-$D25)/xm_sT)),0)+IF(ABS($D25-(xm_y0T+(xm_nT-1)/2*xm_sT))&lt;0.000001,IF('XA MU'!$B$28&lt;=6,'XA MU'!$E$28*$B$8*(IF('XA MU'!$C$28&gt;(xm_y0T+(xm_nT-1)/2*xm_sT),2*('XA MU'!$C$28-(xm_y0T+(xm_nT-1)/2*xm_sT))/xm_sT,0)+IF('XA MU'!$D$28&gt;(xm_y0T+(xm_nT-1)/2*xm_sT),2*('XA MU'!$D$28-(xm_y0T+(xm_nT-1)/2*xm_sT))/xm_sT,0)),0),0)+IF('XA MU'!$B$29&lt;=6,'XA MU'!$E$29*$B$8*(MAX(0,1-ABS('XA MU'!$C$29-$D25)/xm_sT)+MAX(0,1-ABS('XA MU'!$D$29-$D25)/xm_sT)),0)+IF(ABS($D25-(xm_y0T+(xm_nT-1)/2*xm_sT))&lt;0.000001,IF('XA MU'!$B$29&lt;=6,'XA MU'!$E$29*$B$8*(IF('XA MU'!$C$29&gt;(xm_y0T+(xm_nT-1)/2*xm_sT),2*('XA MU'!$C$29-(xm_y0T+(xm_nT-1)/2*xm_sT))/xm_sT,0)+IF('XA MU'!$D$29&gt;(xm_y0T+(xm_nT-1)/2*xm_sT),2*('XA MU'!$D$29-(xm_y0T+(xm_nT-1)/2*xm_sT))/xm_sT,0)),0),0)+IF('XA MU'!$B$30&lt;=6,'XA MU'!$E$30*$B$8*(MAX(0,1-ABS('XA MU'!$C$30-$D25)/xm_sT)+MAX(0,1-ABS('XA MU'!$D$30-$D25)/xm_sT)),0)+IF(ABS($D25-(xm_y0T+(xm_nT-1)/2*xm_sT))&lt;0.000001,IF('XA MU'!$B$30&lt;=6,'XA MU'!$E$30*$B$8*(IF('XA MU'!$C$30&gt;(xm_y0T+(xm_nT-1)/2*xm_sT),2*('XA MU'!$C$30-(xm_y0T+(xm_nT-1)/2*xm_sT))/xm_sT,0)+IF('XA MU'!$D$30&gt;(xm_y0T+(xm_nT-1)/2*xm_sT),2*('XA MU'!$D$30-(xm_y0T+(xm_nT-1)/2*xm_sT))/xm_sT,0)),0),0))))</f>
        <v>0</v>
      </c>
    </row>
    <row r="26" spans="1:14" x14ac:dyDescent="0.3">
      <c r="A26" s="42" t="s">
        <v>1235</v>
      </c>
      <c r="B26" s="42">
        <v>12</v>
      </c>
      <c r="C26" s="40">
        <f t="shared" si="0"/>
        <v>0</v>
      </c>
      <c r="D26" s="44">
        <f t="shared" si="1"/>
        <v>0</v>
      </c>
      <c r="E26" s="44">
        <f>MAX(0,D26-'XA MU'!$C$8)*C26</f>
        <v>0</v>
      </c>
      <c r="F26" s="44">
        <f>IF(AND(C26=1,D26&gt;'XA MU'!$C$8),1,0)</f>
        <v>0</v>
      </c>
      <c r="G26" s="44">
        <f t="shared" si="2"/>
        <v>0</v>
      </c>
      <c r="H26" s="44">
        <f t="shared" si="3"/>
        <v>0</v>
      </c>
      <c r="I26" s="44">
        <f>IF(C26=0,0,IF(1&gt;nLan,0,1.2*(IF('XA MU'!$B$25&lt;=1,'XA MU'!$E$25*$B$8*(MAX(0,1-ABS('XA MU'!$C$25-$D26)/xm_sT)+MAX(0,1-ABS('XA MU'!$D$25-$D26)/xm_sT)),0)+IF(ABS($D26-(xm_y0T+(xm_nT-1)/2*xm_sT))&lt;0.000001,IF('XA MU'!$B$25&lt;=1,'XA MU'!$E$25*$B$8*(IF('XA MU'!$C$25&gt;(xm_y0T+(xm_nT-1)/2*xm_sT),2*('XA MU'!$C$25-(xm_y0T+(xm_nT-1)/2*xm_sT))/xm_sT,0)+IF('XA MU'!$D$25&gt;(xm_y0T+(xm_nT-1)/2*xm_sT),2*('XA MU'!$D$25-(xm_y0T+(xm_nT-1)/2*xm_sT))/xm_sT,0)),0),0)+IF('XA MU'!$B$26&lt;=1,'XA MU'!$E$26*$B$8*(MAX(0,1-ABS('XA MU'!$C$26-$D26)/xm_sT)+MAX(0,1-ABS('XA MU'!$D$26-$D26)/xm_sT)),0)+IF(ABS($D26-(xm_y0T+(xm_nT-1)/2*xm_sT))&lt;0.000001,IF('XA MU'!$B$26&lt;=1,'XA MU'!$E$26*$B$8*(IF('XA MU'!$C$26&gt;(xm_y0T+(xm_nT-1)/2*xm_sT),2*('XA MU'!$C$26-(xm_y0T+(xm_nT-1)/2*xm_sT))/xm_sT,0)+IF('XA MU'!$D$26&gt;(xm_y0T+(xm_nT-1)/2*xm_sT),2*('XA MU'!$D$26-(xm_y0T+(xm_nT-1)/2*xm_sT))/xm_sT,0)),0),0)+IF('XA MU'!$B$27&lt;=1,'XA MU'!$E$27*$B$8*(MAX(0,1-ABS('XA MU'!$C$27-$D26)/xm_sT)+MAX(0,1-ABS('XA MU'!$D$27-$D26)/xm_sT)),0)+IF(ABS($D26-(xm_y0T+(xm_nT-1)/2*xm_sT))&lt;0.000001,IF('XA MU'!$B$27&lt;=1,'XA MU'!$E$27*$B$8*(IF('XA MU'!$C$27&gt;(xm_y0T+(xm_nT-1)/2*xm_sT),2*('XA MU'!$C$27-(xm_y0T+(xm_nT-1)/2*xm_sT))/xm_sT,0)+IF('XA MU'!$D$27&gt;(xm_y0T+(xm_nT-1)/2*xm_sT),2*('XA MU'!$D$27-(xm_y0T+(xm_nT-1)/2*xm_sT))/xm_sT,0)),0),0)+IF('XA MU'!$B$28&lt;=1,'XA MU'!$E$28*$B$8*(MAX(0,1-ABS('XA MU'!$C$28-$D26)/xm_sT)+MAX(0,1-ABS('XA MU'!$D$28-$D26)/xm_sT)),0)+IF(ABS($D26-(xm_y0T+(xm_nT-1)/2*xm_sT))&lt;0.000001,IF('XA MU'!$B$28&lt;=1,'XA MU'!$E$28*$B$8*(IF('XA MU'!$C$28&gt;(xm_y0T+(xm_nT-1)/2*xm_sT),2*('XA MU'!$C$28-(xm_y0T+(xm_nT-1)/2*xm_sT))/xm_sT,0)+IF('XA MU'!$D$28&gt;(xm_y0T+(xm_nT-1)/2*xm_sT),2*('XA MU'!$D$28-(xm_y0T+(xm_nT-1)/2*xm_sT))/xm_sT,0)),0),0)+IF('XA MU'!$B$29&lt;=1,'XA MU'!$E$29*$B$8*(MAX(0,1-ABS('XA MU'!$C$29-$D26)/xm_sT)+MAX(0,1-ABS('XA MU'!$D$29-$D26)/xm_sT)),0)+IF(ABS($D26-(xm_y0T+(xm_nT-1)/2*xm_sT))&lt;0.000001,IF('XA MU'!$B$29&lt;=1,'XA MU'!$E$29*$B$8*(IF('XA MU'!$C$29&gt;(xm_y0T+(xm_nT-1)/2*xm_sT),2*('XA MU'!$C$29-(xm_y0T+(xm_nT-1)/2*xm_sT))/xm_sT,0)+IF('XA MU'!$D$29&gt;(xm_y0T+(xm_nT-1)/2*xm_sT),2*('XA MU'!$D$29-(xm_y0T+(xm_nT-1)/2*xm_sT))/xm_sT,0)),0),0)+IF('XA MU'!$B$30&lt;=1,'XA MU'!$E$30*$B$8*(MAX(0,1-ABS('XA MU'!$C$30-$D26)/xm_sT)+MAX(0,1-ABS('XA MU'!$D$30-$D26)/xm_sT)),0)+IF(ABS($D26-(xm_y0T+(xm_nT-1)/2*xm_sT))&lt;0.000001,IF('XA MU'!$B$30&lt;=1,'XA MU'!$E$30*$B$8*(IF('XA MU'!$C$30&gt;(xm_y0T+(xm_nT-1)/2*xm_sT),2*('XA MU'!$C$30-(xm_y0T+(xm_nT-1)/2*xm_sT))/xm_sT,0)+IF('XA MU'!$D$30&gt;(xm_y0T+(xm_nT-1)/2*xm_sT),2*('XA MU'!$D$30-(xm_y0T+(xm_nT-1)/2*xm_sT))/xm_sT,0)),0),0))))</f>
        <v>0</v>
      </c>
      <c r="J26" s="44">
        <f>IF(C26=0,0,IF(2&gt;nLan,0,1*(IF('XA MU'!$B$25&lt;=2,'XA MU'!$E$25*$B$8*(MAX(0,1-ABS('XA MU'!$C$25-$D26)/xm_sT)+MAX(0,1-ABS('XA MU'!$D$25-$D26)/xm_sT)),0)+IF(ABS($D26-(xm_y0T+(xm_nT-1)/2*xm_sT))&lt;0.000001,IF('XA MU'!$B$25&lt;=2,'XA MU'!$E$25*$B$8*(IF('XA MU'!$C$25&gt;(xm_y0T+(xm_nT-1)/2*xm_sT),2*('XA MU'!$C$25-(xm_y0T+(xm_nT-1)/2*xm_sT))/xm_sT,0)+IF('XA MU'!$D$25&gt;(xm_y0T+(xm_nT-1)/2*xm_sT),2*('XA MU'!$D$25-(xm_y0T+(xm_nT-1)/2*xm_sT))/xm_sT,0)),0),0)+IF('XA MU'!$B$26&lt;=2,'XA MU'!$E$26*$B$8*(MAX(0,1-ABS('XA MU'!$C$26-$D26)/xm_sT)+MAX(0,1-ABS('XA MU'!$D$26-$D26)/xm_sT)),0)+IF(ABS($D26-(xm_y0T+(xm_nT-1)/2*xm_sT))&lt;0.000001,IF('XA MU'!$B$26&lt;=2,'XA MU'!$E$26*$B$8*(IF('XA MU'!$C$26&gt;(xm_y0T+(xm_nT-1)/2*xm_sT),2*('XA MU'!$C$26-(xm_y0T+(xm_nT-1)/2*xm_sT))/xm_sT,0)+IF('XA MU'!$D$26&gt;(xm_y0T+(xm_nT-1)/2*xm_sT),2*('XA MU'!$D$26-(xm_y0T+(xm_nT-1)/2*xm_sT))/xm_sT,0)),0),0)+IF('XA MU'!$B$27&lt;=2,'XA MU'!$E$27*$B$8*(MAX(0,1-ABS('XA MU'!$C$27-$D26)/xm_sT)+MAX(0,1-ABS('XA MU'!$D$27-$D26)/xm_sT)),0)+IF(ABS($D26-(xm_y0T+(xm_nT-1)/2*xm_sT))&lt;0.000001,IF('XA MU'!$B$27&lt;=2,'XA MU'!$E$27*$B$8*(IF('XA MU'!$C$27&gt;(xm_y0T+(xm_nT-1)/2*xm_sT),2*('XA MU'!$C$27-(xm_y0T+(xm_nT-1)/2*xm_sT))/xm_sT,0)+IF('XA MU'!$D$27&gt;(xm_y0T+(xm_nT-1)/2*xm_sT),2*('XA MU'!$D$27-(xm_y0T+(xm_nT-1)/2*xm_sT))/xm_sT,0)),0),0)+IF('XA MU'!$B$28&lt;=2,'XA MU'!$E$28*$B$8*(MAX(0,1-ABS('XA MU'!$C$28-$D26)/xm_sT)+MAX(0,1-ABS('XA MU'!$D$28-$D26)/xm_sT)),0)+IF(ABS($D26-(xm_y0T+(xm_nT-1)/2*xm_sT))&lt;0.000001,IF('XA MU'!$B$28&lt;=2,'XA MU'!$E$28*$B$8*(IF('XA MU'!$C$28&gt;(xm_y0T+(xm_nT-1)/2*xm_sT),2*('XA MU'!$C$28-(xm_y0T+(xm_nT-1)/2*xm_sT))/xm_sT,0)+IF('XA MU'!$D$28&gt;(xm_y0T+(xm_nT-1)/2*xm_sT),2*('XA MU'!$D$28-(xm_y0T+(xm_nT-1)/2*xm_sT))/xm_sT,0)),0),0)+IF('XA MU'!$B$29&lt;=2,'XA MU'!$E$29*$B$8*(MAX(0,1-ABS('XA MU'!$C$29-$D26)/xm_sT)+MAX(0,1-ABS('XA MU'!$D$29-$D26)/xm_sT)),0)+IF(ABS($D26-(xm_y0T+(xm_nT-1)/2*xm_sT))&lt;0.000001,IF('XA MU'!$B$29&lt;=2,'XA MU'!$E$29*$B$8*(IF('XA MU'!$C$29&gt;(xm_y0T+(xm_nT-1)/2*xm_sT),2*('XA MU'!$C$29-(xm_y0T+(xm_nT-1)/2*xm_sT))/xm_sT,0)+IF('XA MU'!$D$29&gt;(xm_y0T+(xm_nT-1)/2*xm_sT),2*('XA MU'!$D$29-(xm_y0T+(xm_nT-1)/2*xm_sT))/xm_sT,0)),0),0)+IF('XA MU'!$B$30&lt;=2,'XA MU'!$E$30*$B$8*(MAX(0,1-ABS('XA MU'!$C$30-$D26)/xm_sT)+MAX(0,1-ABS('XA MU'!$D$30-$D26)/xm_sT)),0)+IF(ABS($D26-(xm_y0T+(xm_nT-1)/2*xm_sT))&lt;0.000001,IF('XA MU'!$B$30&lt;=2,'XA MU'!$E$30*$B$8*(IF('XA MU'!$C$30&gt;(xm_y0T+(xm_nT-1)/2*xm_sT),2*('XA MU'!$C$30-(xm_y0T+(xm_nT-1)/2*xm_sT))/xm_sT,0)+IF('XA MU'!$D$30&gt;(xm_y0T+(xm_nT-1)/2*xm_sT),2*('XA MU'!$D$30-(xm_y0T+(xm_nT-1)/2*xm_sT))/xm_sT,0)),0),0))))</f>
        <v>0</v>
      </c>
      <c r="K26" s="44">
        <f>IF(C26=0,0,IF(3&gt;nLan,0,0.85*(IF('XA MU'!$B$25&lt;=3,'XA MU'!$E$25*$B$8*(MAX(0,1-ABS('XA MU'!$C$25-$D26)/xm_sT)+MAX(0,1-ABS('XA MU'!$D$25-$D26)/xm_sT)),0)+IF(ABS($D26-(xm_y0T+(xm_nT-1)/2*xm_sT))&lt;0.000001,IF('XA MU'!$B$25&lt;=3,'XA MU'!$E$25*$B$8*(IF('XA MU'!$C$25&gt;(xm_y0T+(xm_nT-1)/2*xm_sT),2*('XA MU'!$C$25-(xm_y0T+(xm_nT-1)/2*xm_sT))/xm_sT,0)+IF('XA MU'!$D$25&gt;(xm_y0T+(xm_nT-1)/2*xm_sT),2*('XA MU'!$D$25-(xm_y0T+(xm_nT-1)/2*xm_sT))/xm_sT,0)),0),0)+IF('XA MU'!$B$26&lt;=3,'XA MU'!$E$26*$B$8*(MAX(0,1-ABS('XA MU'!$C$26-$D26)/xm_sT)+MAX(0,1-ABS('XA MU'!$D$26-$D26)/xm_sT)),0)+IF(ABS($D26-(xm_y0T+(xm_nT-1)/2*xm_sT))&lt;0.000001,IF('XA MU'!$B$26&lt;=3,'XA MU'!$E$26*$B$8*(IF('XA MU'!$C$26&gt;(xm_y0T+(xm_nT-1)/2*xm_sT),2*('XA MU'!$C$26-(xm_y0T+(xm_nT-1)/2*xm_sT))/xm_sT,0)+IF('XA MU'!$D$26&gt;(xm_y0T+(xm_nT-1)/2*xm_sT),2*('XA MU'!$D$26-(xm_y0T+(xm_nT-1)/2*xm_sT))/xm_sT,0)),0),0)+IF('XA MU'!$B$27&lt;=3,'XA MU'!$E$27*$B$8*(MAX(0,1-ABS('XA MU'!$C$27-$D26)/xm_sT)+MAX(0,1-ABS('XA MU'!$D$27-$D26)/xm_sT)),0)+IF(ABS($D26-(xm_y0T+(xm_nT-1)/2*xm_sT))&lt;0.000001,IF('XA MU'!$B$27&lt;=3,'XA MU'!$E$27*$B$8*(IF('XA MU'!$C$27&gt;(xm_y0T+(xm_nT-1)/2*xm_sT),2*('XA MU'!$C$27-(xm_y0T+(xm_nT-1)/2*xm_sT))/xm_sT,0)+IF('XA MU'!$D$27&gt;(xm_y0T+(xm_nT-1)/2*xm_sT),2*('XA MU'!$D$27-(xm_y0T+(xm_nT-1)/2*xm_sT))/xm_sT,0)),0),0)+IF('XA MU'!$B$28&lt;=3,'XA MU'!$E$28*$B$8*(MAX(0,1-ABS('XA MU'!$C$28-$D26)/xm_sT)+MAX(0,1-ABS('XA MU'!$D$28-$D26)/xm_sT)),0)+IF(ABS($D26-(xm_y0T+(xm_nT-1)/2*xm_sT))&lt;0.000001,IF('XA MU'!$B$28&lt;=3,'XA MU'!$E$28*$B$8*(IF('XA MU'!$C$28&gt;(xm_y0T+(xm_nT-1)/2*xm_sT),2*('XA MU'!$C$28-(xm_y0T+(xm_nT-1)/2*xm_sT))/xm_sT,0)+IF('XA MU'!$D$28&gt;(xm_y0T+(xm_nT-1)/2*xm_sT),2*('XA MU'!$D$28-(xm_y0T+(xm_nT-1)/2*xm_sT))/xm_sT,0)),0),0)+IF('XA MU'!$B$29&lt;=3,'XA MU'!$E$29*$B$8*(MAX(0,1-ABS('XA MU'!$C$29-$D26)/xm_sT)+MAX(0,1-ABS('XA MU'!$D$29-$D26)/xm_sT)),0)+IF(ABS($D26-(xm_y0T+(xm_nT-1)/2*xm_sT))&lt;0.000001,IF('XA MU'!$B$29&lt;=3,'XA MU'!$E$29*$B$8*(IF('XA MU'!$C$29&gt;(xm_y0T+(xm_nT-1)/2*xm_sT),2*('XA MU'!$C$29-(xm_y0T+(xm_nT-1)/2*xm_sT))/xm_sT,0)+IF('XA MU'!$D$29&gt;(xm_y0T+(xm_nT-1)/2*xm_sT),2*('XA MU'!$D$29-(xm_y0T+(xm_nT-1)/2*xm_sT))/xm_sT,0)),0),0)+IF('XA MU'!$B$30&lt;=3,'XA MU'!$E$30*$B$8*(MAX(0,1-ABS('XA MU'!$C$30-$D26)/xm_sT)+MAX(0,1-ABS('XA MU'!$D$30-$D26)/xm_sT)),0)+IF(ABS($D26-(xm_y0T+(xm_nT-1)/2*xm_sT))&lt;0.000001,IF('XA MU'!$B$30&lt;=3,'XA MU'!$E$30*$B$8*(IF('XA MU'!$C$30&gt;(xm_y0T+(xm_nT-1)/2*xm_sT),2*('XA MU'!$C$30-(xm_y0T+(xm_nT-1)/2*xm_sT))/xm_sT,0)+IF('XA MU'!$D$30&gt;(xm_y0T+(xm_nT-1)/2*xm_sT),2*('XA MU'!$D$30-(xm_y0T+(xm_nT-1)/2*xm_sT))/xm_sT,0)),0),0))))</f>
        <v>0</v>
      </c>
      <c r="L26" s="44">
        <f>IF(C26=0,0,IF(4&gt;nLan,0,0.65*(IF('XA MU'!$B$25&lt;=4,'XA MU'!$E$25*$B$8*(MAX(0,1-ABS('XA MU'!$C$25-$D26)/xm_sT)+MAX(0,1-ABS('XA MU'!$D$25-$D26)/xm_sT)),0)+IF(ABS($D26-(xm_y0T+(xm_nT-1)/2*xm_sT))&lt;0.000001,IF('XA MU'!$B$25&lt;=4,'XA MU'!$E$25*$B$8*(IF('XA MU'!$C$25&gt;(xm_y0T+(xm_nT-1)/2*xm_sT),2*('XA MU'!$C$25-(xm_y0T+(xm_nT-1)/2*xm_sT))/xm_sT,0)+IF('XA MU'!$D$25&gt;(xm_y0T+(xm_nT-1)/2*xm_sT),2*('XA MU'!$D$25-(xm_y0T+(xm_nT-1)/2*xm_sT))/xm_sT,0)),0),0)+IF('XA MU'!$B$26&lt;=4,'XA MU'!$E$26*$B$8*(MAX(0,1-ABS('XA MU'!$C$26-$D26)/xm_sT)+MAX(0,1-ABS('XA MU'!$D$26-$D26)/xm_sT)),0)+IF(ABS($D26-(xm_y0T+(xm_nT-1)/2*xm_sT))&lt;0.000001,IF('XA MU'!$B$26&lt;=4,'XA MU'!$E$26*$B$8*(IF('XA MU'!$C$26&gt;(xm_y0T+(xm_nT-1)/2*xm_sT),2*('XA MU'!$C$26-(xm_y0T+(xm_nT-1)/2*xm_sT))/xm_sT,0)+IF('XA MU'!$D$26&gt;(xm_y0T+(xm_nT-1)/2*xm_sT),2*('XA MU'!$D$26-(xm_y0T+(xm_nT-1)/2*xm_sT))/xm_sT,0)),0),0)+IF('XA MU'!$B$27&lt;=4,'XA MU'!$E$27*$B$8*(MAX(0,1-ABS('XA MU'!$C$27-$D26)/xm_sT)+MAX(0,1-ABS('XA MU'!$D$27-$D26)/xm_sT)),0)+IF(ABS($D26-(xm_y0T+(xm_nT-1)/2*xm_sT))&lt;0.000001,IF('XA MU'!$B$27&lt;=4,'XA MU'!$E$27*$B$8*(IF('XA MU'!$C$27&gt;(xm_y0T+(xm_nT-1)/2*xm_sT),2*('XA MU'!$C$27-(xm_y0T+(xm_nT-1)/2*xm_sT))/xm_sT,0)+IF('XA MU'!$D$27&gt;(xm_y0T+(xm_nT-1)/2*xm_sT),2*('XA MU'!$D$27-(xm_y0T+(xm_nT-1)/2*xm_sT))/xm_sT,0)),0),0)+IF('XA MU'!$B$28&lt;=4,'XA MU'!$E$28*$B$8*(MAX(0,1-ABS('XA MU'!$C$28-$D26)/xm_sT)+MAX(0,1-ABS('XA MU'!$D$28-$D26)/xm_sT)),0)+IF(ABS($D26-(xm_y0T+(xm_nT-1)/2*xm_sT))&lt;0.000001,IF('XA MU'!$B$28&lt;=4,'XA MU'!$E$28*$B$8*(IF('XA MU'!$C$28&gt;(xm_y0T+(xm_nT-1)/2*xm_sT),2*('XA MU'!$C$28-(xm_y0T+(xm_nT-1)/2*xm_sT))/xm_sT,0)+IF('XA MU'!$D$28&gt;(xm_y0T+(xm_nT-1)/2*xm_sT),2*('XA MU'!$D$28-(xm_y0T+(xm_nT-1)/2*xm_sT))/xm_sT,0)),0),0)+IF('XA MU'!$B$29&lt;=4,'XA MU'!$E$29*$B$8*(MAX(0,1-ABS('XA MU'!$C$29-$D26)/xm_sT)+MAX(0,1-ABS('XA MU'!$D$29-$D26)/xm_sT)),0)+IF(ABS($D26-(xm_y0T+(xm_nT-1)/2*xm_sT))&lt;0.000001,IF('XA MU'!$B$29&lt;=4,'XA MU'!$E$29*$B$8*(IF('XA MU'!$C$29&gt;(xm_y0T+(xm_nT-1)/2*xm_sT),2*('XA MU'!$C$29-(xm_y0T+(xm_nT-1)/2*xm_sT))/xm_sT,0)+IF('XA MU'!$D$29&gt;(xm_y0T+(xm_nT-1)/2*xm_sT),2*('XA MU'!$D$29-(xm_y0T+(xm_nT-1)/2*xm_sT))/xm_sT,0)),0),0)+IF('XA MU'!$B$30&lt;=4,'XA MU'!$E$30*$B$8*(MAX(0,1-ABS('XA MU'!$C$30-$D26)/xm_sT)+MAX(0,1-ABS('XA MU'!$D$30-$D26)/xm_sT)),0)+IF(ABS($D26-(xm_y0T+(xm_nT-1)/2*xm_sT))&lt;0.000001,IF('XA MU'!$B$30&lt;=4,'XA MU'!$E$30*$B$8*(IF('XA MU'!$C$30&gt;(xm_y0T+(xm_nT-1)/2*xm_sT),2*('XA MU'!$C$30-(xm_y0T+(xm_nT-1)/2*xm_sT))/xm_sT,0)+IF('XA MU'!$D$30&gt;(xm_y0T+(xm_nT-1)/2*xm_sT),2*('XA MU'!$D$30-(xm_y0T+(xm_nT-1)/2*xm_sT))/xm_sT,0)),0),0))))</f>
        <v>0</v>
      </c>
      <c r="M26" s="44">
        <f>IF(C26=0,0,IF(5&gt;nLan,0,0.65*(IF('XA MU'!$B$25&lt;=5,'XA MU'!$E$25*$B$8*(MAX(0,1-ABS('XA MU'!$C$25-$D26)/xm_sT)+MAX(0,1-ABS('XA MU'!$D$25-$D26)/xm_sT)),0)+IF(ABS($D26-(xm_y0T+(xm_nT-1)/2*xm_sT))&lt;0.000001,IF('XA MU'!$B$25&lt;=5,'XA MU'!$E$25*$B$8*(IF('XA MU'!$C$25&gt;(xm_y0T+(xm_nT-1)/2*xm_sT),2*('XA MU'!$C$25-(xm_y0T+(xm_nT-1)/2*xm_sT))/xm_sT,0)+IF('XA MU'!$D$25&gt;(xm_y0T+(xm_nT-1)/2*xm_sT),2*('XA MU'!$D$25-(xm_y0T+(xm_nT-1)/2*xm_sT))/xm_sT,0)),0),0)+IF('XA MU'!$B$26&lt;=5,'XA MU'!$E$26*$B$8*(MAX(0,1-ABS('XA MU'!$C$26-$D26)/xm_sT)+MAX(0,1-ABS('XA MU'!$D$26-$D26)/xm_sT)),0)+IF(ABS($D26-(xm_y0T+(xm_nT-1)/2*xm_sT))&lt;0.000001,IF('XA MU'!$B$26&lt;=5,'XA MU'!$E$26*$B$8*(IF('XA MU'!$C$26&gt;(xm_y0T+(xm_nT-1)/2*xm_sT),2*('XA MU'!$C$26-(xm_y0T+(xm_nT-1)/2*xm_sT))/xm_sT,0)+IF('XA MU'!$D$26&gt;(xm_y0T+(xm_nT-1)/2*xm_sT),2*('XA MU'!$D$26-(xm_y0T+(xm_nT-1)/2*xm_sT))/xm_sT,0)),0),0)+IF('XA MU'!$B$27&lt;=5,'XA MU'!$E$27*$B$8*(MAX(0,1-ABS('XA MU'!$C$27-$D26)/xm_sT)+MAX(0,1-ABS('XA MU'!$D$27-$D26)/xm_sT)),0)+IF(ABS($D26-(xm_y0T+(xm_nT-1)/2*xm_sT))&lt;0.000001,IF('XA MU'!$B$27&lt;=5,'XA MU'!$E$27*$B$8*(IF('XA MU'!$C$27&gt;(xm_y0T+(xm_nT-1)/2*xm_sT),2*('XA MU'!$C$27-(xm_y0T+(xm_nT-1)/2*xm_sT))/xm_sT,0)+IF('XA MU'!$D$27&gt;(xm_y0T+(xm_nT-1)/2*xm_sT),2*('XA MU'!$D$27-(xm_y0T+(xm_nT-1)/2*xm_sT))/xm_sT,0)),0),0)+IF('XA MU'!$B$28&lt;=5,'XA MU'!$E$28*$B$8*(MAX(0,1-ABS('XA MU'!$C$28-$D26)/xm_sT)+MAX(0,1-ABS('XA MU'!$D$28-$D26)/xm_sT)),0)+IF(ABS($D26-(xm_y0T+(xm_nT-1)/2*xm_sT))&lt;0.000001,IF('XA MU'!$B$28&lt;=5,'XA MU'!$E$28*$B$8*(IF('XA MU'!$C$28&gt;(xm_y0T+(xm_nT-1)/2*xm_sT),2*('XA MU'!$C$28-(xm_y0T+(xm_nT-1)/2*xm_sT))/xm_sT,0)+IF('XA MU'!$D$28&gt;(xm_y0T+(xm_nT-1)/2*xm_sT),2*('XA MU'!$D$28-(xm_y0T+(xm_nT-1)/2*xm_sT))/xm_sT,0)),0),0)+IF('XA MU'!$B$29&lt;=5,'XA MU'!$E$29*$B$8*(MAX(0,1-ABS('XA MU'!$C$29-$D26)/xm_sT)+MAX(0,1-ABS('XA MU'!$D$29-$D26)/xm_sT)),0)+IF(ABS($D26-(xm_y0T+(xm_nT-1)/2*xm_sT))&lt;0.000001,IF('XA MU'!$B$29&lt;=5,'XA MU'!$E$29*$B$8*(IF('XA MU'!$C$29&gt;(xm_y0T+(xm_nT-1)/2*xm_sT),2*('XA MU'!$C$29-(xm_y0T+(xm_nT-1)/2*xm_sT))/xm_sT,0)+IF('XA MU'!$D$29&gt;(xm_y0T+(xm_nT-1)/2*xm_sT),2*('XA MU'!$D$29-(xm_y0T+(xm_nT-1)/2*xm_sT))/xm_sT,0)),0),0)+IF('XA MU'!$B$30&lt;=5,'XA MU'!$E$30*$B$8*(MAX(0,1-ABS('XA MU'!$C$30-$D26)/xm_sT)+MAX(0,1-ABS('XA MU'!$D$30-$D26)/xm_sT)),0)+IF(ABS($D26-(xm_y0T+(xm_nT-1)/2*xm_sT))&lt;0.000001,IF('XA MU'!$B$30&lt;=5,'XA MU'!$E$30*$B$8*(IF('XA MU'!$C$30&gt;(xm_y0T+(xm_nT-1)/2*xm_sT),2*('XA MU'!$C$30-(xm_y0T+(xm_nT-1)/2*xm_sT))/xm_sT,0)+IF('XA MU'!$D$30&gt;(xm_y0T+(xm_nT-1)/2*xm_sT),2*('XA MU'!$D$30-(xm_y0T+(xm_nT-1)/2*xm_sT))/xm_sT,0)),0),0))))</f>
        <v>0</v>
      </c>
      <c r="N26" s="44">
        <f>IF(C26=0,0,IF(6&gt;nLan,0,0.65*(IF('XA MU'!$B$25&lt;=6,'XA MU'!$E$25*$B$8*(MAX(0,1-ABS('XA MU'!$C$25-$D26)/xm_sT)+MAX(0,1-ABS('XA MU'!$D$25-$D26)/xm_sT)),0)+IF(ABS($D26-(xm_y0T+(xm_nT-1)/2*xm_sT))&lt;0.000001,IF('XA MU'!$B$25&lt;=6,'XA MU'!$E$25*$B$8*(IF('XA MU'!$C$25&gt;(xm_y0T+(xm_nT-1)/2*xm_sT),2*('XA MU'!$C$25-(xm_y0T+(xm_nT-1)/2*xm_sT))/xm_sT,0)+IF('XA MU'!$D$25&gt;(xm_y0T+(xm_nT-1)/2*xm_sT),2*('XA MU'!$D$25-(xm_y0T+(xm_nT-1)/2*xm_sT))/xm_sT,0)),0),0)+IF('XA MU'!$B$26&lt;=6,'XA MU'!$E$26*$B$8*(MAX(0,1-ABS('XA MU'!$C$26-$D26)/xm_sT)+MAX(0,1-ABS('XA MU'!$D$26-$D26)/xm_sT)),0)+IF(ABS($D26-(xm_y0T+(xm_nT-1)/2*xm_sT))&lt;0.000001,IF('XA MU'!$B$26&lt;=6,'XA MU'!$E$26*$B$8*(IF('XA MU'!$C$26&gt;(xm_y0T+(xm_nT-1)/2*xm_sT),2*('XA MU'!$C$26-(xm_y0T+(xm_nT-1)/2*xm_sT))/xm_sT,0)+IF('XA MU'!$D$26&gt;(xm_y0T+(xm_nT-1)/2*xm_sT),2*('XA MU'!$D$26-(xm_y0T+(xm_nT-1)/2*xm_sT))/xm_sT,0)),0),0)+IF('XA MU'!$B$27&lt;=6,'XA MU'!$E$27*$B$8*(MAX(0,1-ABS('XA MU'!$C$27-$D26)/xm_sT)+MAX(0,1-ABS('XA MU'!$D$27-$D26)/xm_sT)),0)+IF(ABS($D26-(xm_y0T+(xm_nT-1)/2*xm_sT))&lt;0.000001,IF('XA MU'!$B$27&lt;=6,'XA MU'!$E$27*$B$8*(IF('XA MU'!$C$27&gt;(xm_y0T+(xm_nT-1)/2*xm_sT),2*('XA MU'!$C$27-(xm_y0T+(xm_nT-1)/2*xm_sT))/xm_sT,0)+IF('XA MU'!$D$27&gt;(xm_y0T+(xm_nT-1)/2*xm_sT),2*('XA MU'!$D$27-(xm_y0T+(xm_nT-1)/2*xm_sT))/xm_sT,0)),0),0)+IF('XA MU'!$B$28&lt;=6,'XA MU'!$E$28*$B$8*(MAX(0,1-ABS('XA MU'!$C$28-$D26)/xm_sT)+MAX(0,1-ABS('XA MU'!$D$28-$D26)/xm_sT)),0)+IF(ABS($D26-(xm_y0T+(xm_nT-1)/2*xm_sT))&lt;0.000001,IF('XA MU'!$B$28&lt;=6,'XA MU'!$E$28*$B$8*(IF('XA MU'!$C$28&gt;(xm_y0T+(xm_nT-1)/2*xm_sT),2*('XA MU'!$C$28-(xm_y0T+(xm_nT-1)/2*xm_sT))/xm_sT,0)+IF('XA MU'!$D$28&gt;(xm_y0T+(xm_nT-1)/2*xm_sT),2*('XA MU'!$D$28-(xm_y0T+(xm_nT-1)/2*xm_sT))/xm_sT,0)),0),0)+IF('XA MU'!$B$29&lt;=6,'XA MU'!$E$29*$B$8*(MAX(0,1-ABS('XA MU'!$C$29-$D26)/xm_sT)+MAX(0,1-ABS('XA MU'!$D$29-$D26)/xm_sT)),0)+IF(ABS($D26-(xm_y0T+(xm_nT-1)/2*xm_sT))&lt;0.000001,IF('XA MU'!$B$29&lt;=6,'XA MU'!$E$29*$B$8*(IF('XA MU'!$C$29&gt;(xm_y0T+(xm_nT-1)/2*xm_sT),2*('XA MU'!$C$29-(xm_y0T+(xm_nT-1)/2*xm_sT))/xm_sT,0)+IF('XA MU'!$D$29&gt;(xm_y0T+(xm_nT-1)/2*xm_sT),2*('XA MU'!$D$29-(xm_y0T+(xm_nT-1)/2*xm_sT))/xm_sT,0)),0),0)+IF('XA MU'!$B$30&lt;=6,'XA MU'!$E$30*$B$8*(MAX(0,1-ABS('XA MU'!$C$30-$D26)/xm_sT)+MAX(0,1-ABS('XA MU'!$D$30-$D26)/xm_sT)),0)+IF(ABS($D26-(xm_y0T+(xm_nT-1)/2*xm_sT))&lt;0.000001,IF('XA MU'!$B$30&lt;=6,'XA MU'!$E$30*$B$8*(IF('XA MU'!$C$30&gt;(xm_y0T+(xm_nT-1)/2*xm_sT),2*('XA MU'!$C$30-(xm_y0T+(xm_nT-1)/2*xm_sT))/xm_sT,0)+IF('XA MU'!$D$30&gt;(xm_y0T+(xm_nT-1)/2*xm_sT),2*('XA MU'!$D$30-(xm_y0T+(xm_nT-1)/2*xm_sT))/xm_sT,0)),0),0))))</f>
        <v>0</v>
      </c>
    </row>
    <row r="27" spans="1:14" x14ac:dyDescent="0.3">
      <c r="A27" s="42" t="s">
        <v>1235</v>
      </c>
      <c r="B27" s="42">
        <v>13</v>
      </c>
      <c r="C27" s="40">
        <f t="shared" si="0"/>
        <v>0</v>
      </c>
      <c r="D27" s="44">
        <f t="shared" si="1"/>
        <v>0</v>
      </c>
      <c r="E27" s="44">
        <f>MAX(0,D27-'XA MU'!$C$8)*C27</f>
        <v>0</v>
      </c>
      <c r="F27" s="44">
        <f>IF(AND(C27=1,D27&gt;'XA MU'!$C$8),1,0)</f>
        <v>0</v>
      </c>
      <c r="G27" s="44">
        <f t="shared" si="2"/>
        <v>0</v>
      </c>
      <c r="H27" s="44">
        <f t="shared" si="3"/>
        <v>0</v>
      </c>
      <c r="I27" s="44">
        <f>IF(C27=0,0,IF(1&gt;nLan,0,1.2*(IF('XA MU'!$B$25&lt;=1,'XA MU'!$E$25*$B$8*(MAX(0,1-ABS('XA MU'!$C$25-$D27)/xm_sT)+MAX(0,1-ABS('XA MU'!$D$25-$D27)/xm_sT)),0)+IF(ABS($D27-(xm_y0T+(xm_nT-1)/2*xm_sT))&lt;0.000001,IF('XA MU'!$B$25&lt;=1,'XA MU'!$E$25*$B$8*(IF('XA MU'!$C$25&gt;(xm_y0T+(xm_nT-1)/2*xm_sT),2*('XA MU'!$C$25-(xm_y0T+(xm_nT-1)/2*xm_sT))/xm_sT,0)+IF('XA MU'!$D$25&gt;(xm_y0T+(xm_nT-1)/2*xm_sT),2*('XA MU'!$D$25-(xm_y0T+(xm_nT-1)/2*xm_sT))/xm_sT,0)),0),0)+IF('XA MU'!$B$26&lt;=1,'XA MU'!$E$26*$B$8*(MAX(0,1-ABS('XA MU'!$C$26-$D27)/xm_sT)+MAX(0,1-ABS('XA MU'!$D$26-$D27)/xm_sT)),0)+IF(ABS($D27-(xm_y0T+(xm_nT-1)/2*xm_sT))&lt;0.000001,IF('XA MU'!$B$26&lt;=1,'XA MU'!$E$26*$B$8*(IF('XA MU'!$C$26&gt;(xm_y0T+(xm_nT-1)/2*xm_sT),2*('XA MU'!$C$26-(xm_y0T+(xm_nT-1)/2*xm_sT))/xm_sT,0)+IF('XA MU'!$D$26&gt;(xm_y0T+(xm_nT-1)/2*xm_sT),2*('XA MU'!$D$26-(xm_y0T+(xm_nT-1)/2*xm_sT))/xm_sT,0)),0),0)+IF('XA MU'!$B$27&lt;=1,'XA MU'!$E$27*$B$8*(MAX(0,1-ABS('XA MU'!$C$27-$D27)/xm_sT)+MAX(0,1-ABS('XA MU'!$D$27-$D27)/xm_sT)),0)+IF(ABS($D27-(xm_y0T+(xm_nT-1)/2*xm_sT))&lt;0.000001,IF('XA MU'!$B$27&lt;=1,'XA MU'!$E$27*$B$8*(IF('XA MU'!$C$27&gt;(xm_y0T+(xm_nT-1)/2*xm_sT),2*('XA MU'!$C$27-(xm_y0T+(xm_nT-1)/2*xm_sT))/xm_sT,0)+IF('XA MU'!$D$27&gt;(xm_y0T+(xm_nT-1)/2*xm_sT),2*('XA MU'!$D$27-(xm_y0T+(xm_nT-1)/2*xm_sT))/xm_sT,0)),0),0)+IF('XA MU'!$B$28&lt;=1,'XA MU'!$E$28*$B$8*(MAX(0,1-ABS('XA MU'!$C$28-$D27)/xm_sT)+MAX(0,1-ABS('XA MU'!$D$28-$D27)/xm_sT)),0)+IF(ABS($D27-(xm_y0T+(xm_nT-1)/2*xm_sT))&lt;0.000001,IF('XA MU'!$B$28&lt;=1,'XA MU'!$E$28*$B$8*(IF('XA MU'!$C$28&gt;(xm_y0T+(xm_nT-1)/2*xm_sT),2*('XA MU'!$C$28-(xm_y0T+(xm_nT-1)/2*xm_sT))/xm_sT,0)+IF('XA MU'!$D$28&gt;(xm_y0T+(xm_nT-1)/2*xm_sT),2*('XA MU'!$D$28-(xm_y0T+(xm_nT-1)/2*xm_sT))/xm_sT,0)),0),0)+IF('XA MU'!$B$29&lt;=1,'XA MU'!$E$29*$B$8*(MAX(0,1-ABS('XA MU'!$C$29-$D27)/xm_sT)+MAX(0,1-ABS('XA MU'!$D$29-$D27)/xm_sT)),0)+IF(ABS($D27-(xm_y0T+(xm_nT-1)/2*xm_sT))&lt;0.000001,IF('XA MU'!$B$29&lt;=1,'XA MU'!$E$29*$B$8*(IF('XA MU'!$C$29&gt;(xm_y0T+(xm_nT-1)/2*xm_sT),2*('XA MU'!$C$29-(xm_y0T+(xm_nT-1)/2*xm_sT))/xm_sT,0)+IF('XA MU'!$D$29&gt;(xm_y0T+(xm_nT-1)/2*xm_sT),2*('XA MU'!$D$29-(xm_y0T+(xm_nT-1)/2*xm_sT))/xm_sT,0)),0),0)+IF('XA MU'!$B$30&lt;=1,'XA MU'!$E$30*$B$8*(MAX(0,1-ABS('XA MU'!$C$30-$D27)/xm_sT)+MAX(0,1-ABS('XA MU'!$D$30-$D27)/xm_sT)),0)+IF(ABS($D27-(xm_y0T+(xm_nT-1)/2*xm_sT))&lt;0.000001,IF('XA MU'!$B$30&lt;=1,'XA MU'!$E$30*$B$8*(IF('XA MU'!$C$30&gt;(xm_y0T+(xm_nT-1)/2*xm_sT),2*('XA MU'!$C$30-(xm_y0T+(xm_nT-1)/2*xm_sT))/xm_sT,0)+IF('XA MU'!$D$30&gt;(xm_y0T+(xm_nT-1)/2*xm_sT),2*('XA MU'!$D$30-(xm_y0T+(xm_nT-1)/2*xm_sT))/xm_sT,0)),0),0))))</f>
        <v>0</v>
      </c>
      <c r="J27" s="44">
        <f>IF(C27=0,0,IF(2&gt;nLan,0,1*(IF('XA MU'!$B$25&lt;=2,'XA MU'!$E$25*$B$8*(MAX(0,1-ABS('XA MU'!$C$25-$D27)/xm_sT)+MAX(0,1-ABS('XA MU'!$D$25-$D27)/xm_sT)),0)+IF(ABS($D27-(xm_y0T+(xm_nT-1)/2*xm_sT))&lt;0.000001,IF('XA MU'!$B$25&lt;=2,'XA MU'!$E$25*$B$8*(IF('XA MU'!$C$25&gt;(xm_y0T+(xm_nT-1)/2*xm_sT),2*('XA MU'!$C$25-(xm_y0T+(xm_nT-1)/2*xm_sT))/xm_sT,0)+IF('XA MU'!$D$25&gt;(xm_y0T+(xm_nT-1)/2*xm_sT),2*('XA MU'!$D$25-(xm_y0T+(xm_nT-1)/2*xm_sT))/xm_sT,0)),0),0)+IF('XA MU'!$B$26&lt;=2,'XA MU'!$E$26*$B$8*(MAX(0,1-ABS('XA MU'!$C$26-$D27)/xm_sT)+MAX(0,1-ABS('XA MU'!$D$26-$D27)/xm_sT)),0)+IF(ABS($D27-(xm_y0T+(xm_nT-1)/2*xm_sT))&lt;0.000001,IF('XA MU'!$B$26&lt;=2,'XA MU'!$E$26*$B$8*(IF('XA MU'!$C$26&gt;(xm_y0T+(xm_nT-1)/2*xm_sT),2*('XA MU'!$C$26-(xm_y0T+(xm_nT-1)/2*xm_sT))/xm_sT,0)+IF('XA MU'!$D$26&gt;(xm_y0T+(xm_nT-1)/2*xm_sT),2*('XA MU'!$D$26-(xm_y0T+(xm_nT-1)/2*xm_sT))/xm_sT,0)),0),0)+IF('XA MU'!$B$27&lt;=2,'XA MU'!$E$27*$B$8*(MAX(0,1-ABS('XA MU'!$C$27-$D27)/xm_sT)+MAX(0,1-ABS('XA MU'!$D$27-$D27)/xm_sT)),0)+IF(ABS($D27-(xm_y0T+(xm_nT-1)/2*xm_sT))&lt;0.000001,IF('XA MU'!$B$27&lt;=2,'XA MU'!$E$27*$B$8*(IF('XA MU'!$C$27&gt;(xm_y0T+(xm_nT-1)/2*xm_sT),2*('XA MU'!$C$27-(xm_y0T+(xm_nT-1)/2*xm_sT))/xm_sT,0)+IF('XA MU'!$D$27&gt;(xm_y0T+(xm_nT-1)/2*xm_sT),2*('XA MU'!$D$27-(xm_y0T+(xm_nT-1)/2*xm_sT))/xm_sT,0)),0),0)+IF('XA MU'!$B$28&lt;=2,'XA MU'!$E$28*$B$8*(MAX(0,1-ABS('XA MU'!$C$28-$D27)/xm_sT)+MAX(0,1-ABS('XA MU'!$D$28-$D27)/xm_sT)),0)+IF(ABS($D27-(xm_y0T+(xm_nT-1)/2*xm_sT))&lt;0.000001,IF('XA MU'!$B$28&lt;=2,'XA MU'!$E$28*$B$8*(IF('XA MU'!$C$28&gt;(xm_y0T+(xm_nT-1)/2*xm_sT),2*('XA MU'!$C$28-(xm_y0T+(xm_nT-1)/2*xm_sT))/xm_sT,0)+IF('XA MU'!$D$28&gt;(xm_y0T+(xm_nT-1)/2*xm_sT),2*('XA MU'!$D$28-(xm_y0T+(xm_nT-1)/2*xm_sT))/xm_sT,0)),0),0)+IF('XA MU'!$B$29&lt;=2,'XA MU'!$E$29*$B$8*(MAX(0,1-ABS('XA MU'!$C$29-$D27)/xm_sT)+MAX(0,1-ABS('XA MU'!$D$29-$D27)/xm_sT)),0)+IF(ABS($D27-(xm_y0T+(xm_nT-1)/2*xm_sT))&lt;0.000001,IF('XA MU'!$B$29&lt;=2,'XA MU'!$E$29*$B$8*(IF('XA MU'!$C$29&gt;(xm_y0T+(xm_nT-1)/2*xm_sT),2*('XA MU'!$C$29-(xm_y0T+(xm_nT-1)/2*xm_sT))/xm_sT,0)+IF('XA MU'!$D$29&gt;(xm_y0T+(xm_nT-1)/2*xm_sT),2*('XA MU'!$D$29-(xm_y0T+(xm_nT-1)/2*xm_sT))/xm_sT,0)),0),0)+IF('XA MU'!$B$30&lt;=2,'XA MU'!$E$30*$B$8*(MAX(0,1-ABS('XA MU'!$C$30-$D27)/xm_sT)+MAX(0,1-ABS('XA MU'!$D$30-$D27)/xm_sT)),0)+IF(ABS($D27-(xm_y0T+(xm_nT-1)/2*xm_sT))&lt;0.000001,IF('XA MU'!$B$30&lt;=2,'XA MU'!$E$30*$B$8*(IF('XA MU'!$C$30&gt;(xm_y0T+(xm_nT-1)/2*xm_sT),2*('XA MU'!$C$30-(xm_y0T+(xm_nT-1)/2*xm_sT))/xm_sT,0)+IF('XA MU'!$D$30&gt;(xm_y0T+(xm_nT-1)/2*xm_sT),2*('XA MU'!$D$30-(xm_y0T+(xm_nT-1)/2*xm_sT))/xm_sT,0)),0),0))))</f>
        <v>0</v>
      </c>
      <c r="K27" s="44">
        <f>IF(C27=0,0,IF(3&gt;nLan,0,0.85*(IF('XA MU'!$B$25&lt;=3,'XA MU'!$E$25*$B$8*(MAX(0,1-ABS('XA MU'!$C$25-$D27)/xm_sT)+MAX(0,1-ABS('XA MU'!$D$25-$D27)/xm_sT)),0)+IF(ABS($D27-(xm_y0T+(xm_nT-1)/2*xm_sT))&lt;0.000001,IF('XA MU'!$B$25&lt;=3,'XA MU'!$E$25*$B$8*(IF('XA MU'!$C$25&gt;(xm_y0T+(xm_nT-1)/2*xm_sT),2*('XA MU'!$C$25-(xm_y0T+(xm_nT-1)/2*xm_sT))/xm_sT,0)+IF('XA MU'!$D$25&gt;(xm_y0T+(xm_nT-1)/2*xm_sT),2*('XA MU'!$D$25-(xm_y0T+(xm_nT-1)/2*xm_sT))/xm_sT,0)),0),0)+IF('XA MU'!$B$26&lt;=3,'XA MU'!$E$26*$B$8*(MAX(0,1-ABS('XA MU'!$C$26-$D27)/xm_sT)+MAX(0,1-ABS('XA MU'!$D$26-$D27)/xm_sT)),0)+IF(ABS($D27-(xm_y0T+(xm_nT-1)/2*xm_sT))&lt;0.000001,IF('XA MU'!$B$26&lt;=3,'XA MU'!$E$26*$B$8*(IF('XA MU'!$C$26&gt;(xm_y0T+(xm_nT-1)/2*xm_sT),2*('XA MU'!$C$26-(xm_y0T+(xm_nT-1)/2*xm_sT))/xm_sT,0)+IF('XA MU'!$D$26&gt;(xm_y0T+(xm_nT-1)/2*xm_sT),2*('XA MU'!$D$26-(xm_y0T+(xm_nT-1)/2*xm_sT))/xm_sT,0)),0),0)+IF('XA MU'!$B$27&lt;=3,'XA MU'!$E$27*$B$8*(MAX(0,1-ABS('XA MU'!$C$27-$D27)/xm_sT)+MAX(0,1-ABS('XA MU'!$D$27-$D27)/xm_sT)),0)+IF(ABS($D27-(xm_y0T+(xm_nT-1)/2*xm_sT))&lt;0.000001,IF('XA MU'!$B$27&lt;=3,'XA MU'!$E$27*$B$8*(IF('XA MU'!$C$27&gt;(xm_y0T+(xm_nT-1)/2*xm_sT),2*('XA MU'!$C$27-(xm_y0T+(xm_nT-1)/2*xm_sT))/xm_sT,0)+IF('XA MU'!$D$27&gt;(xm_y0T+(xm_nT-1)/2*xm_sT),2*('XA MU'!$D$27-(xm_y0T+(xm_nT-1)/2*xm_sT))/xm_sT,0)),0),0)+IF('XA MU'!$B$28&lt;=3,'XA MU'!$E$28*$B$8*(MAX(0,1-ABS('XA MU'!$C$28-$D27)/xm_sT)+MAX(0,1-ABS('XA MU'!$D$28-$D27)/xm_sT)),0)+IF(ABS($D27-(xm_y0T+(xm_nT-1)/2*xm_sT))&lt;0.000001,IF('XA MU'!$B$28&lt;=3,'XA MU'!$E$28*$B$8*(IF('XA MU'!$C$28&gt;(xm_y0T+(xm_nT-1)/2*xm_sT),2*('XA MU'!$C$28-(xm_y0T+(xm_nT-1)/2*xm_sT))/xm_sT,0)+IF('XA MU'!$D$28&gt;(xm_y0T+(xm_nT-1)/2*xm_sT),2*('XA MU'!$D$28-(xm_y0T+(xm_nT-1)/2*xm_sT))/xm_sT,0)),0),0)+IF('XA MU'!$B$29&lt;=3,'XA MU'!$E$29*$B$8*(MAX(0,1-ABS('XA MU'!$C$29-$D27)/xm_sT)+MAX(0,1-ABS('XA MU'!$D$29-$D27)/xm_sT)),0)+IF(ABS($D27-(xm_y0T+(xm_nT-1)/2*xm_sT))&lt;0.000001,IF('XA MU'!$B$29&lt;=3,'XA MU'!$E$29*$B$8*(IF('XA MU'!$C$29&gt;(xm_y0T+(xm_nT-1)/2*xm_sT),2*('XA MU'!$C$29-(xm_y0T+(xm_nT-1)/2*xm_sT))/xm_sT,0)+IF('XA MU'!$D$29&gt;(xm_y0T+(xm_nT-1)/2*xm_sT),2*('XA MU'!$D$29-(xm_y0T+(xm_nT-1)/2*xm_sT))/xm_sT,0)),0),0)+IF('XA MU'!$B$30&lt;=3,'XA MU'!$E$30*$B$8*(MAX(0,1-ABS('XA MU'!$C$30-$D27)/xm_sT)+MAX(0,1-ABS('XA MU'!$D$30-$D27)/xm_sT)),0)+IF(ABS($D27-(xm_y0T+(xm_nT-1)/2*xm_sT))&lt;0.000001,IF('XA MU'!$B$30&lt;=3,'XA MU'!$E$30*$B$8*(IF('XA MU'!$C$30&gt;(xm_y0T+(xm_nT-1)/2*xm_sT),2*('XA MU'!$C$30-(xm_y0T+(xm_nT-1)/2*xm_sT))/xm_sT,0)+IF('XA MU'!$D$30&gt;(xm_y0T+(xm_nT-1)/2*xm_sT),2*('XA MU'!$D$30-(xm_y0T+(xm_nT-1)/2*xm_sT))/xm_sT,0)),0),0))))</f>
        <v>0</v>
      </c>
      <c r="L27" s="44">
        <f>IF(C27=0,0,IF(4&gt;nLan,0,0.65*(IF('XA MU'!$B$25&lt;=4,'XA MU'!$E$25*$B$8*(MAX(0,1-ABS('XA MU'!$C$25-$D27)/xm_sT)+MAX(0,1-ABS('XA MU'!$D$25-$D27)/xm_sT)),0)+IF(ABS($D27-(xm_y0T+(xm_nT-1)/2*xm_sT))&lt;0.000001,IF('XA MU'!$B$25&lt;=4,'XA MU'!$E$25*$B$8*(IF('XA MU'!$C$25&gt;(xm_y0T+(xm_nT-1)/2*xm_sT),2*('XA MU'!$C$25-(xm_y0T+(xm_nT-1)/2*xm_sT))/xm_sT,0)+IF('XA MU'!$D$25&gt;(xm_y0T+(xm_nT-1)/2*xm_sT),2*('XA MU'!$D$25-(xm_y0T+(xm_nT-1)/2*xm_sT))/xm_sT,0)),0),0)+IF('XA MU'!$B$26&lt;=4,'XA MU'!$E$26*$B$8*(MAX(0,1-ABS('XA MU'!$C$26-$D27)/xm_sT)+MAX(0,1-ABS('XA MU'!$D$26-$D27)/xm_sT)),0)+IF(ABS($D27-(xm_y0T+(xm_nT-1)/2*xm_sT))&lt;0.000001,IF('XA MU'!$B$26&lt;=4,'XA MU'!$E$26*$B$8*(IF('XA MU'!$C$26&gt;(xm_y0T+(xm_nT-1)/2*xm_sT),2*('XA MU'!$C$26-(xm_y0T+(xm_nT-1)/2*xm_sT))/xm_sT,0)+IF('XA MU'!$D$26&gt;(xm_y0T+(xm_nT-1)/2*xm_sT),2*('XA MU'!$D$26-(xm_y0T+(xm_nT-1)/2*xm_sT))/xm_sT,0)),0),0)+IF('XA MU'!$B$27&lt;=4,'XA MU'!$E$27*$B$8*(MAX(0,1-ABS('XA MU'!$C$27-$D27)/xm_sT)+MAX(0,1-ABS('XA MU'!$D$27-$D27)/xm_sT)),0)+IF(ABS($D27-(xm_y0T+(xm_nT-1)/2*xm_sT))&lt;0.000001,IF('XA MU'!$B$27&lt;=4,'XA MU'!$E$27*$B$8*(IF('XA MU'!$C$27&gt;(xm_y0T+(xm_nT-1)/2*xm_sT),2*('XA MU'!$C$27-(xm_y0T+(xm_nT-1)/2*xm_sT))/xm_sT,0)+IF('XA MU'!$D$27&gt;(xm_y0T+(xm_nT-1)/2*xm_sT),2*('XA MU'!$D$27-(xm_y0T+(xm_nT-1)/2*xm_sT))/xm_sT,0)),0),0)+IF('XA MU'!$B$28&lt;=4,'XA MU'!$E$28*$B$8*(MAX(0,1-ABS('XA MU'!$C$28-$D27)/xm_sT)+MAX(0,1-ABS('XA MU'!$D$28-$D27)/xm_sT)),0)+IF(ABS($D27-(xm_y0T+(xm_nT-1)/2*xm_sT))&lt;0.000001,IF('XA MU'!$B$28&lt;=4,'XA MU'!$E$28*$B$8*(IF('XA MU'!$C$28&gt;(xm_y0T+(xm_nT-1)/2*xm_sT),2*('XA MU'!$C$28-(xm_y0T+(xm_nT-1)/2*xm_sT))/xm_sT,0)+IF('XA MU'!$D$28&gt;(xm_y0T+(xm_nT-1)/2*xm_sT),2*('XA MU'!$D$28-(xm_y0T+(xm_nT-1)/2*xm_sT))/xm_sT,0)),0),0)+IF('XA MU'!$B$29&lt;=4,'XA MU'!$E$29*$B$8*(MAX(0,1-ABS('XA MU'!$C$29-$D27)/xm_sT)+MAX(0,1-ABS('XA MU'!$D$29-$D27)/xm_sT)),0)+IF(ABS($D27-(xm_y0T+(xm_nT-1)/2*xm_sT))&lt;0.000001,IF('XA MU'!$B$29&lt;=4,'XA MU'!$E$29*$B$8*(IF('XA MU'!$C$29&gt;(xm_y0T+(xm_nT-1)/2*xm_sT),2*('XA MU'!$C$29-(xm_y0T+(xm_nT-1)/2*xm_sT))/xm_sT,0)+IF('XA MU'!$D$29&gt;(xm_y0T+(xm_nT-1)/2*xm_sT),2*('XA MU'!$D$29-(xm_y0T+(xm_nT-1)/2*xm_sT))/xm_sT,0)),0),0)+IF('XA MU'!$B$30&lt;=4,'XA MU'!$E$30*$B$8*(MAX(0,1-ABS('XA MU'!$C$30-$D27)/xm_sT)+MAX(0,1-ABS('XA MU'!$D$30-$D27)/xm_sT)),0)+IF(ABS($D27-(xm_y0T+(xm_nT-1)/2*xm_sT))&lt;0.000001,IF('XA MU'!$B$30&lt;=4,'XA MU'!$E$30*$B$8*(IF('XA MU'!$C$30&gt;(xm_y0T+(xm_nT-1)/2*xm_sT),2*('XA MU'!$C$30-(xm_y0T+(xm_nT-1)/2*xm_sT))/xm_sT,0)+IF('XA MU'!$D$30&gt;(xm_y0T+(xm_nT-1)/2*xm_sT),2*('XA MU'!$D$30-(xm_y0T+(xm_nT-1)/2*xm_sT))/xm_sT,0)),0),0))))</f>
        <v>0</v>
      </c>
      <c r="M27" s="44">
        <f>IF(C27=0,0,IF(5&gt;nLan,0,0.65*(IF('XA MU'!$B$25&lt;=5,'XA MU'!$E$25*$B$8*(MAX(0,1-ABS('XA MU'!$C$25-$D27)/xm_sT)+MAX(0,1-ABS('XA MU'!$D$25-$D27)/xm_sT)),0)+IF(ABS($D27-(xm_y0T+(xm_nT-1)/2*xm_sT))&lt;0.000001,IF('XA MU'!$B$25&lt;=5,'XA MU'!$E$25*$B$8*(IF('XA MU'!$C$25&gt;(xm_y0T+(xm_nT-1)/2*xm_sT),2*('XA MU'!$C$25-(xm_y0T+(xm_nT-1)/2*xm_sT))/xm_sT,0)+IF('XA MU'!$D$25&gt;(xm_y0T+(xm_nT-1)/2*xm_sT),2*('XA MU'!$D$25-(xm_y0T+(xm_nT-1)/2*xm_sT))/xm_sT,0)),0),0)+IF('XA MU'!$B$26&lt;=5,'XA MU'!$E$26*$B$8*(MAX(0,1-ABS('XA MU'!$C$26-$D27)/xm_sT)+MAX(0,1-ABS('XA MU'!$D$26-$D27)/xm_sT)),0)+IF(ABS($D27-(xm_y0T+(xm_nT-1)/2*xm_sT))&lt;0.000001,IF('XA MU'!$B$26&lt;=5,'XA MU'!$E$26*$B$8*(IF('XA MU'!$C$26&gt;(xm_y0T+(xm_nT-1)/2*xm_sT),2*('XA MU'!$C$26-(xm_y0T+(xm_nT-1)/2*xm_sT))/xm_sT,0)+IF('XA MU'!$D$26&gt;(xm_y0T+(xm_nT-1)/2*xm_sT),2*('XA MU'!$D$26-(xm_y0T+(xm_nT-1)/2*xm_sT))/xm_sT,0)),0),0)+IF('XA MU'!$B$27&lt;=5,'XA MU'!$E$27*$B$8*(MAX(0,1-ABS('XA MU'!$C$27-$D27)/xm_sT)+MAX(0,1-ABS('XA MU'!$D$27-$D27)/xm_sT)),0)+IF(ABS($D27-(xm_y0T+(xm_nT-1)/2*xm_sT))&lt;0.000001,IF('XA MU'!$B$27&lt;=5,'XA MU'!$E$27*$B$8*(IF('XA MU'!$C$27&gt;(xm_y0T+(xm_nT-1)/2*xm_sT),2*('XA MU'!$C$27-(xm_y0T+(xm_nT-1)/2*xm_sT))/xm_sT,0)+IF('XA MU'!$D$27&gt;(xm_y0T+(xm_nT-1)/2*xm_sT),2*('XA MU'!$D$27-(xm_y0T+(xm_nT-1)/2*xm_sT))/xm_sT,0)),0),0)+IF('XA MU'!$B$28&lt;=5,'XA MU'!$E$28*$B$8*(MAX(0,1-ABS('XA MU'!$C$28-$D27)/xm_sT)+MAX(0,1-ABS('XA MU'!$D$28-$D27)/xm_sT)),0)+IF(ABS($D27-(xm_y0T+(xm_nT-1)/2*xm_sT))&lt;0.000001,IF('XA MU'!$B$28&lt;=5,'XA MU'!$E$28*$B$8*(IF('XA MU'!$C$28&gt;(xm_y0T+(xm_nT-1)/2*xm_sT),2*('XA MU'!$C$28-(xm_y0T+(xm_nT-1)/2*xm_sT))/xm_sT,0)+IF('XA MU'!$D$28&gt;(xm_y0T+(xm_nT-1)/2*xm_sT),2*('XA MU'!$D$28-(xm_y0T+(xm_nT-1)/2*xm_sT))/xm_sT,0)),0),0)+IF('XA MU'!$B$29&lt;=5,'XA MU'!$E$29*$B$8*(MAX(0,1-ABS('XA MU'!$C$29-$D27)/xm_sT)+MAX(0,1-ABS('XA MU'!$D$29-$D27)/xm_sT)),0)+IF(ABS($D27-(xm_y0T+(xm_nT-1)/2*xm_sT))&lt;0.000001,IF('XA MU'!$B$29&lt;=5,'XA MU'!$E$29*$B$8*(IF('XA MU'!$C$29&gt;(xm_y0T+(xm_nT-1)/2*xm_sT),2*('XA MU'!$C$29-(xm_y0T+(xm_nT-1)/2*xm_sT))/xm_sT,0)+IF('XA MU'!$D$29&gt;(xm_y0T+(xm_nT-1)/2*xm_sT),2*('XA MU'!$D$29-(xm_y0T+(xm_nT-1)/2*xm_sT))/xm_sT,0)),0),0)+IF('XA MU'!$B$30&lt;=5,'XA MU'!$E$30*$B$8*(MAX(0,1-ABS('XA MU'!$C$30-$D27)/xm_sT)+MAX(0,1-ABS('XA MU'!$D$30-$D27)/xm_sT)),0)+IF(ABS($D27-(xm_y0T+(xm_nT-1)/2*xm_sT))&lt;0.000001,IF('XA MU'!$B$30&lt;=5,'XA MU'!$E$30*$B$8*(IF('XA MU'!$C$30&gt;(xm_y0T+(xm_nT-1)/2*xm_sT),2*('XA MU'!$C$30-(xm_y0T+(xm_nT-1)/2*xm_sT))/xm_sT,0)+IF('XA MU'!$D$30&gt;(xm_y0T+(xm_nT-1)/2*xm_sT),2*('XA MU'!$D$30-(xm_y0T+(xm_nT-1)/2*xm_sT))/xm_sT,0)),0),0))))</f>
        <v>0</v>
      </c>
      <c r="N27" s="44">
        <f>IF(C27=0,0,IF(6&gt;nLan,0,0.65*(IF('XA MU'!$B$25&lt;=6,'XA MU'!$E$25*$B$8*(MAX(0,1-ABS('XA MU'!$C$25-$D27)/xm_sT)+MAX(0,1-ABS('XA MU'!$D$25-$D27)/xm_sT)),0)+IF(ABS($D27-(xm_y0T+(xm_nT-1)/2*xm_sT))&lt;0.000001,IF('XA MU'!$B$25&lt;=6,'XA MU'!$E$25*$B$8*(IF('XA MU'!$C$25&gt;(xm_y0T+(xm_nT-1)/2*xm_sT),2*('XA MU'!$C$25-(xm_y0T+(xm_nT-1)/2*xm_sT))/xm_sT,0)+IF('XA MU'!$D$25&gt;(xm_y0T+(xm_nT-1)/2*xm_sT),2*('XA MU'!$D$25-(xm_y0T+(xm_nT-1)/2*xm_sT))/xm_sT,0)),0),0)+IF('XA MU'!$B$26&lt;=6,'XA MU'!$E$26*$B$8*(MAX(0,1-ABS('XA MU'!$C$26-$D27)/xm_sT)+MAX(0,1-ABS('XA MU'!$D$26-$D27)/xm_sT)),0)+IF(ABS($D27-(xm_y0T+(xm_nT-1)/2*xm_sT))&lt;0.000001,IF('XA MU'!$B$26&lt;=6,'XA MU'!$E$26*$B$8*(IF('XA MU'!$C$26&gt;(xm_y0T+(xm_nT-1)/2*xm_sT),2*('XA MU'!$C$26-(xm_y0T+(xm_nT-1)/2*xm_sT))/xm_sT,0)+IF('XA MU'!$D$26&gt;(xm_y0T+(xm_nT-1)/2*xm_sT),2*('XA MU'!$D$26-(xm_y0T+(xm_nT-1)/2*xm_sT))/xm_sT,0)),0),0)+IF('XA MU'!$B$27&lt;=6,'XA MU'!$E$27*$B$8*(MAX(0,1-ABS('XA MU'!$C$27-$D27)/xm_sT)+MAX(0,1-ABS('XA MU'!$D$27-$D27)/xm_sT)),0)+IF(ABS($D27-(xm_y0T+(xm_nT-1)/2*xm_sT))&lt;0.000001,IF('XA MU'!$B$27&lt;=6,'XA MU'!$E$27*$B$8*(IF('XA MU'!$C$27&gt;(xm_y0T+(xm_nT-1)/2*xm_sT),2*('XA MU'!$C$27-(xm_y0T+(xm_nT-1)/2*xm_sT))/xm_sT,0)+IF('XA MU'!$D$27&gt;(xm_y0T+(xm_nT-1)/2*xm_sT),2*('XA MU'!$D$27-(xm_y0T+(xm_nT-1)/2*xm_sT))/xm_sT,0)),0),0)+IF('XA MU'!$B$28&lt;=6,'XA MU'!$E$28*$B$8*(MAX(0,1-ABS('XA MU'!$C$28-$D27)/xm_sT)+MAX(0,1-ABS('XA MU'!$D$28-$D27)/xm_sT)),0)+IF(ABS($D27-(xm_y0T+(xm_nT-1)/2*xm_sT))&lt;0.000001,IF('XA MU'!$B$28&lt;=6,'XA MU'!$E$28*$B$8*(IF('XA MU'!$C$28&gt;(xm_y0T+(xm_nT-1)/2*xm_sT),2*('XA MU'!$C$28-(xm_y0T+(xm_nT-1)/2*xm_sT))/xm_sT,0)+IF('XA MU'!$D$28&gt;(xm_y0T+(xm_nT-1)/2*xm_sT),2*('XA MU'!$D$28-(xm_y0T+(xm_nT-1)/2*xm_sT))/xm_sT,0)),0),0)+IF('XA MU'!$B$29&lt;=6,'XA MU'!$E$29*$B$8*(MAX(0,1-ABS('XA MU'!$C$29-$D27)/xm_sT)+MAX(0,1-ABS('XA MU'!$D$29-$D27)/xm_sT)),0)+IF(ABS($D27-(xm_y0T+(xm_nT-1)/2*xm_sT))&lt;0.000001,IF('XA MU'!$B$29&lt;=6,'XA MU'!$E$29*$B$8*(IF('XA MU'!$C$29&gt;(xm_y0T+(xm_nT-1)/2*xm_sT),2*('XA MU'!$C$29-(xm_y0T+(xm_nT-1)/2*xm_sT))/xm_sT,0)+IF('XA MU'!$D$29&gt;(xm_y0T+(xm_nT-1)/2*xm_sT),2*('XA MU'!$D$29-(xm_y0T+(xm_nT-1)/2*xm_sT))/xm_sT,0)),0),0)+IF('XA MU'!$B$30&lt;=6,'XA MU'!$E$30*$B$8*(MAX(0,1-ABS('XA MU'!$C$30-$D27)/xm_sT)+MAX(0,1-ABS('XA MU'!$D$30-$D27)/xm_sT)),0)+IF(ABS($D27-(xm_y0T+(xm_nT-1)/2*xm_sT))&lt;0.000001,IF('XA MU'!$B$30&lt;=6,'XA MU'!$E$30*$B$8*(IF('XA MU'!$C$30&gt;(xm_y0T+(xm_nT-1)/2*xm_sT),2*('XA MU'!$C$30-(xm_y0T+(xm_nT-1)/2*xm_sT))/xm_sT,0)+IF('XA MU'!$D$30&gt;(xm_y0T+(xm_nT-1)/2*xm_sT),2*('XA MU'!$D$30-(xm_y0T+(xm_nT-1)/2*xm_sT))/xm_sT,0)),0),0))))</f>
        <v>0</v>
      </c>
    </row>
    <row r="28" spans="1:14" x14ac:dyDescent="0.3">
      <c r="A28" s="42" t="s">
        <v>1235</v>
      </c>
      <c r="B28" s="42">
        <v>14</v>
      </c>
      <c r="C28" s="40">
        <f t="shared" si="0"/>
        <v>0</v>
      </c>
      <c r="D28" s="44">
        <f t="shared" si="1"/>
        <v>0</v>
      </c>
      <c r="E28" s="44">
        <f>MAX(0,D28-'XA MU'!$C$8)*C28</f>
        <v>0</v>
      </c>
      <c r="F28" s="44">
        <f>IF(AND(C28=1,D28&gt;'XA MU'!$C$8),1,0)</f>
        <v>0</v>
      </c>
      <c r="G28" s="44">
        <f t="shared" si="2"/>
        <v>0</v>
      </c>
      <c r="H28" s="44">
        <f t="shared" si="3"/>
        <v>0</v>
      </c>
      <c r="I28" s="44">
        <f>IF(C28=0,0,IF(1&gt;nLan,0,1.2*(IF('XA MU'!$B$25&lt;=1,'XA MU'!$E$25*$B$8*(MAX(0,1-ABS('XA MU'!$C$25-$D28)/xm_sT)+MAX(0,1-ABS('XA MU'!$D$25-$D28)/xm_sT)),0)+IF(ABS($D28-(xm_y0T+(xm_nT-1)/2*xm_sT))&lt;0.000001,IF('XA MU'!$B$25&lt;=1,'XA MU'!$E$25*$B$8*(IF('XA MU'!$C$25&gt;(xm_y0T+(xm_nT-1)/2*xm_sT),2*('XA MU'!$C$25-(xm_y0T+(xm_nT-1)/2*xm_sT))/xm_sT,0)+IF('XA MU'!$D$25&gt;(xm_y0T+(xm_nT-1)/2*xm_sT),2*('XA MU'!$D$25-(xm_y0T+(xm_nT-1)/2*xm_sT))/xm_sT,0)),0),0)+IF('XA MU'!$B$26&lt;=1,'XA MU'!$E$26*$B$8*(MAX(0,1-ABS('XA MU'!$C$26-$D28)/xm_sT)+MAX(0,1-ABS('XA MU'!$D$26-$D28)/xm_sT)),0)+IF(ABS($D28-(xm_y0T+(xm_nT-1)/2*xm_sT))&lt;0.000001,IF('XA MU'!$B$26&lt;=1,'XA MU'!$E$26*$B$8*(IF('XA MU'!$C$26&gt;(xm_y0T+(xm_nT-1)/2*xm_sT),2*('XA MU'!$C$26-(xm_y0T+(xm_nT-1)/2*xm_sT))/xm_sT,0)+IF('XA MU'!$D$26&gt;(xm_y0T+(xm_nT-1)/2*xm_sT),2*('XA MU'!$D$26-(xm_y0T+(xm_nT-1)/2*xm_sT))/xm_sT,0)),0),0)+IF('XA MU'!$B$27&lt;=1,'XA MU'!$E$27*$B$8*(MAX(0,1-ABS('XA MU'!$C$27-$D28)/xm_sT)+MAX(0,1-ABS('XA MU'!$D$27-$D28)/xm_sT)),0)+IF(ABS($D28-(xm_y0T+(xm_nT-1)/2*xm_sT))&lt;0.000001,IF('XA MU'!$B$27&lt;=1,'XA MU'!$E$27*$B$8*(IF('XA MU'!$C$27&gt;(xm_y0T+(xm_nT-1)/2*xm_sT),2*('XA MU'!$C$27-(xm_y0T+(xm_nT-1)/2*xm_sT))/xm_sT,0)+IF('XA MU'!$D$27&gt;(xm_y0T+(xm_nT-1)/2*xm_sT),2*('XA MU'!$D$27-(xm_y0T+(xm_nT-1)/2*xm_sT))/xm_sT,0)),0),0)+IF('XA MU'!$B$28&lt;=1,'XA MU'!$E$28*$B$8*(MAX(0,1-ABS('XA MU'!$C$28-$D28)/xm_sT)+MAX(0,1-ABS('XA MU'!$D$28-$D28)/xm_sT)),0)+IF(ABS($D28-(xm_y0T+(xm_nT-1)/2*xm_sT))&lt;0.000001,IF('XA MU'!$B$28&lt;=1,'XA MU'!$E$28*$B$8*(IF('XA MU'!$C$28&gt;(xm_y0T+(xm_nT-1)/2*xm_sT),2*('XA MU'!$C$28-(xm_y0T+(xm_nT-1)/2*xm_sT))/xm_sT,0)+IF('XA MU'!$D$28&gt;(xm_y0T+(xm_nT-1)/2*xm_sT),2*('XA MU'!$D$28-(xm_y0T+(xm_nT-1)/2*xm_sT))/xm_sT,0)),0),0)+IF('XA MU'!$B$29&lt;=1,'XA MU'!$E$29*$B$8*(MAX(0,1-ABS('XA MU'!$C$29-$D28)/xm_sT)+MAX(0,1-ABS('XA MU'!$D$29-$D28)/xm_sT)),0)+IF(ABS($D28-(xm_y0T+(xm_nT-1)/2*xm_sT))&lt;0.000001,IF('XA MU'!$B$29&lt;=1,'XA MU'!$E$29*$B$8*(IF('XA MU'!$C$29&gt;(xm_y0T+(xm_nT-1)/2*xm_sT),2*('XA MU'!$C$29-(xm_y0T+(xm_nT-1)/2*xm_sT))/xm_sT,0)+IF('XA MU'!$D$29&gt;(xm_y0T+(xm_nT-1)/2*xm_sT),2*('XA MU'!$D$29-(xm_y0T+(xm_nT-1)/2*xm_sT))/xm_sT,0)),0),0)+IF('XA MU'!$B$30&lt;=1,'XA MU'!$E$30*$B$8*(MAX(0,1-ABS('XA MU'!$C$30-$D28)/xm_sT)+MAX(0,1-ABS('XA MU'!$D$30-$D28)/xm_sT)),0)+IF(ABS($D28-(xm_y0T+(xm_nT-1)/2*xm_sT))&lt;0.000001,IF('XA MU'!$B$30&lt;=1,'XA MU'!$E$30*$B$8*(IF('XA MU'!$C$30&gt;(xm_y0T+(xm_nT-1)/2*xm_sT),2*('XA MU'!$C$30-(xm_y0T+(xm_nT-1)/2*xm_sT))/xm_sT,0)+IF('XA MU'!$D$30&gt;(xm_y0T+(xm_nT-1)/2*xm_sT),2*('XA MU'!$D$30-(xm_y0T+(xm_nT-1)/2*xm_sT))/xm_sT,0)),0),0))))</f>
        <v>0</v>
      </c>
      <c r="J28" s="44">
        <f>IF(C28=0,0,IF(2&gt;nLan,0,1*(IF('XA MU'!$B$25&lt;=2,'XA MU'!$E$25*$B$8*(MAX(0,1-ABS('XA MU'!$C$25-$D28)/xm_sT)+MAX(0,1-ABS('XA MU'!$D$25-$D28)/xm_sT)),0)+IF(ABS($D28-(xm_y0T+(xm_nT-1)/2*xm_sT))&lt;0.000001,IF('XA MU'!$B$25&lt;=2,'XA MU'!$E$25*$B$8*(IF('XA MU'!$C$25&gt;(xm_y0T+(xm_nT-1)/2*xm_sT),2*('XA MU'!$C$25-(xm_y0T+(xm_nT-1)/2*xm_sT))/xm_sT,0)+IF('XA MU'!$D$25&gt;(xm_y0T+(xm_nT-1)/2*xm_sT),2*('XA MU'!$D$25-(xm_y0T+(xm_nT-1)/2*xm_sT))/xm_sT,0)),0),0)+IF('XA MU'!$B$26&lt;=2,'XA MU'!$E$26*$B$8*(MAX(0,1-ABS('XA MU'!$C$26-$D28)/xm_sT)+MAX(0,1-ABS('XA MU'!$D$26-$D28)/xm_sT)),0)+IF(ABS($D28-(xm_y0T+(xm_nT-1)/2*xm_sT))&lt;0.000001,IF('XA MU'!$B$26&lt;=2,'XA MU'!$E$26*$B$8*(IF('XA MU'!$C$26&gt;(xm_y0T+(xm_nT-1)/2*xm_sT),2*('XA MU'!$C$26-(xm_y0T+(xm_nT-1)/2*xm_sT))/xm_sT,0)+IF('XA MU'!$D$26&gt;(xm_y0T+(xm_nT-1)/2*xm_sT),2*('XA MU'!$D$26-(xm_y0T+(xm_nT-1)/2*xm_sT))/xm_sT,0)),0),0)+IF('XA MU'!$B$27&lt;=2,'XA MU'!$E$27*$B$8*(MAX(0,1-ABS('XA MU'!$C$27-$D28)/xm_sT)+MAX(0,1-ABS('XA MU'!$D$27-$D28)/xm_sT)),0)+IF(ABS($D28-(xm_y0T+(xm_nT-1)/2*xm_sT))&lt;0.000001,IF('XA MU'!$B$27&lt;=2,'XA MU'!$E$27*$B$8*(IF('XA MU'!$C$27&gt;(xm_y0T+(xm_nT-1)/2*xm_sT),2*('XA MU'!$C$27-(xm_y0T+(xm_nT-1)/2*xm_sT))/xm_sT,0)+IF('XA MU'!$D$27&gt;(xm_y0T+(xm_nT-1)/2*xm_sT),2*('XA MU'!$D$27-(xm_y0T+(xm_nT-1)/2*xm_sT))/xm_sT,0)),0),0)+IF('XA MU'!$B$28&lt;=2,'XA MU'!$E$28*$B$8*(MAX(0,1-ABS('XA MU'!$C$28-$D28)/xm_sT)+MAX(0,1-ABS('XA MU'!$D$28-$D28)/xm_sT)),0)+IF(ABS($D28-(xm_y0T+(xm_nT-1)/2*xm_sT))&lt;0.000001,IF('XA MU'!$B$28&lt;=2,'XA MU'!$E$28*$B$8*(IF('XA MU'!$C$28&gt;(xm_y0T+(xm_nT-1)/2*xm_sT),2*('XA MU'!$C$28-(xm_y0T+(xm_nT-1)/2*xm_sT))/xm_sT,0)+IF('XA MU'!$D$28&gt;(xm_y0T+(xm_nT-1)/2*xm_sT),2*('XA MU'!$D$28-(xm_y0T+(xm_nT-1)/2*xm_sT))/xm_sT,0)),0),0)+IF('XA MU'!$B$29&lt;=2,'XA MU'!$E$29*$B$8*(MAX(0,1-ABS('XA MU'!$C$29-$D28)/xm_sT)+MAX(0,1-ABS('XA MU'!$D$29-$D28)/xm_sT)),0)+IF(ABS($D28-(xm_y0T+(xm_nT-1)/2*xm_sT))&lt;0.000001,IF('XA MU'!$B$29&lt;=2,'XA MU'!$E$29*$B$8*(IF('XA MU'!$C$29&gt;(xm_y0T+(xm_nT-1)/2*xm_sT),2*('XA MU'!$C$29-(xm_y0T+(xm_nT-1)/2*xm_sT))/xm_sT,0)+IF('XA MU'!$D$29&gt;(xm_y0T+(xm_nT-1)/2*xm_sT),2*('XA MU'!$D$29-(xm_y0T+(xm_nT-1)/2*xm_sT))/xm_sT,0)),0),0)+IF('XA MU'!$B$30&lt;=2,'XA MU'!$E$30*$B$8*(MAX(0,1-ABS('XA MU'!$C$30-$D28)/xm_sT)+MAX(0,1-ABS('XA MU'!$D$30-$D28)/xm_sT)),0)+IF(ABS($D28-(xm_y0T+(xm_nT-1)/2*xm_sT))&lt;0.000001,IF('XA MU'!$B$30&lt;=2,'XA MU'!$E$30*$B$8*(IF('XA MU'!$C$30&gt;(xm_y0T+(xm_nT-1)/2*xm_sT),2*('XA MU'!$C$30-(xm_y0T+(xm_nT-1)/2*xm_sT))/xm_sT,0)+IF('XA MU'!$D$30&gt;(xm_y0T+(xm_nT-1)/2*xm_sT),2*('XA MU'!$D$30-(xm_y0T+(xm_nT-1)/2*xm_sT))/xm_sT,0)),0),0))))</f>
        <v>0</v>
      </c>
      <c r="K28" s="44">
        <f>IF(C28=0,0,IF(3&gt;nLan,0,0.85*(IF('XA MU'!$B$25&lt;=3,'XA MU'!$E$25*$B$8*(MAX(0,1-ABS('XA MU'!$C$25-$D28)/xm_sT)+MAX(0,1-ABS('XA MU'!$D$25-$D28)/xm_sT)),0)+IF(ABS($D28-(xm_y0T+(xm_nT-1)/2*xm_sT))&lt;0.000001,IF('XA MU'!$B$25&lt;=3,'XA MU'!$E$25*$B$8*(IF('XA MU'!$C$25&gt;(xm_y0T+(xm_nT-1)/2*xm_sT),2*('XA MU'!$C$25-(xm_y0T+(xm_nT-1)/2*xm_sT))/xm_sT,0)+IF('XA MU'!$D$25&gt;(xm_y0T+(xm_nT-1)/2*xm_sT),2*('XA MU'!$D$25-(xm_y0T+(xm_nT-1)/2*xm_sT))/xm_sT,0)),0),0)+IF('XA MU'!$B$26&lt;=3,'XA MU'!$E$26*$B$8*(MAX(0,1-ABS('XA MU'!$C$26-$D28)/xm_sT)+MAX(0,1-ABS('XA MU'!$D$26-$D28)/xm_sT)),0)+IF(ABS($D28-(xm_y0T+(xm_nT-1)/2*xm_sT))&lt;0.000001,IF('XA MU'!$B$26&lt;=3,'XA MU'!$E$26*$B$8*(IF('XA MU'!$C$26&gt;(xm_y0T+(xm_nT-1)/2*xm_sT),2*('XA MU'!$C$26-(xm_y0T+(xm_nT-1)/2*xm_sT))/xm_sT,0)+IF('XA MU'!$D$26&gt;(xm_y0T+(xm_nT-1)/2*xm_sT),2*('XA MU'!$D$26-(xm_y0T+(xm_nT-1)/2*xm_sT))/xm_sT,0)),0),0)+IF('XA MU'!$B$27&lt;=3,'XA MU'!$E$27*$B$8*(MAX(0,1-ABS('XA MU'!$C$27-$D28)/xm_sT)+MAX(0,1-ABS('XA MU'!$D$27-$D28)/xm_sT)),0)+IF(ABS($D28-(xm_y0T+(xm_nT-1)/2*xm_sT))&lt;0.000001,IF('XA MU'!$B$27&lt;=3,'XA MU'!$E$27*$B$8*(IF('XA MU'!$C$27&gt;(xm_y0T+(xm_nT-1)/2*xm_sT),2*('XA MU'!$C$27-(xm_y0T+(xm_nT-1)/2*xm_sT))/xm_sT,0)+IF('XA MU'!$D$27&gt;(xm_y0T+(xm_nT-1)/2*xm_sT),2*('XA MU'!$D$27-(xm_y0T+(xm_nT-1)/2*xm_sT))/xm_sT,0)),0),0)+IF('XA MU'!$B$28&lt;=3,'XA MU'!$E$28*$B$8*(MAX(0,1-ABS('XA MU'!$C$28-$D28)/xm_sT)+MAX(0,1-ABS('XA MU'!$D$28-$D28)/xm_sT)),0)+IF(ABS($D28-(xm_y0T+(xm_nT-1)/2*xm_sT))&lt;0.000001,IF('XA MU'!$B$28&lt;=3,'XA MU'!$E$28*$B$8*(IF('XA MU'!$C$28&gt;(xm_y0T+(xm_nT-1)/2*xm_sT),2*('XA MU'!$C$28-(xm_y0T+(xm_nT-1)/2*xm_sT))/xm_sT,0)+IF('XA MU'!$D$28&gt;(xm_y0T+(xm_nT-1)/2*xm_sT),2*('XA MU'!$D$28-(xm_y0T+(xm_nT-1)/2*xm_sT))/xm_sT,0)),0),0)+IF('XA MU'!$B$29&lt;=3,'XA MU'!$E$29*$B$8*(MAX(0,1-ABS('XA MU'!$C$29-$D28)/xm_sT)+MAX(0,1-ABS('XA MU'!$D$29-$D28)/xm_sT)),0)+IF(ABS($D28-(xm_y0T+(xm_nT-1)/2*xm_sT))&lt;0.000001,IF('XA MU'!$B$29&lt;=3,'XA MU'!$E$29*$B$8*(IF('XA MU'!$C$29&gt;(xm_y0T+(xm_nT-1)/2*xm_sT),2*('XA MU'!$C$29-(xm_y0T+(xm_nT-1)/2*xm_sT))/xm_sT,0)+IF('XA MU'!$D$29&gt;(xm_y0T+(xm_nT-1)/2*xm_sT),2*('XA MU'!$D$29-(xm_y0T+(xm_nT-1)/2*xm_sT))/xm_sT,0)),0),0)+IF('XA MU'!$B$30&lt;=3,'XA MU'!$E$30*$B$8*(MAX(0,1-ABS('XA MU'!$C$30-$D28)/xm_sT)+MAX(0,1-ABS('XA MU'!$D$30-$D28)/xm_sT)),0)+IF(ABS($D28-(xm_y0T+(xm_nT-1)/2*xm_sT))&lt;0.000001,IF('XA MU'!$B$30&lt;=3,'XA MU'!$E$30*$B$8*(IF('XA MU'!$C$30&gt;(xm_y0T+(xm_nT-1)/2*xm_sT),2*('XA MU'!$C$30-(xm_y0T+(xm_nT-1)/2*xm_sT))/xm_sT,0)+IF('XA MU'!$D$30&gt;(xm_y0T+(xm_nT-1)/2*xm_sT),2*('XA MU'!$D$30-(xm_y0T+(xm_nT-1)/2*xm_sT))/xm_sT,0)),0),0))))</f>
        <v>0</v>
      </c>
      <c r="L28" s="44">
        <f>IF(C28=0,0,IF(4&gt;nLan,0,0.65*(IF('XA MU'!$B$25&lt;=4,'XA MU'!$E$25*$B$8*(MAX(0,1-ABS('XA MU'!$C$25-$D28)/xm_sT)+MAX(0,1-ABS('XA MU'!$D$25-$D28)/xm_sT)),0)+IF(ABS($D28-(xm_y0T+(xm_nT-1)/2*xm_sT))&lt;0.000001,IF('XA MU'!$B$25&lt;=4,'XA MU'!$E$25*$B$8*(IF('XA MU'!$C$25&gt;(xm_y0T+(xm_nT-1)/2*xm_sT),2*('XA MU'!$C$25-(xm_y0T+(xm_nT-1)/2*xm_sT))/xm_sT,0)+IF('XA MU'!$D$25&gt;(xm_y0T+(xm_nT-1)/2*xm_sT),2*('XA MU'!$D$25-(xm_y0T+(xm_nT-1)/2*xm_sT))/xm_sT,0)),0),0)+IF('XA MU'!$B$26&lt;=4,'XA MU'!$E$26*$B$8*(MAX(0,1-ABS('XA MU'!$C$26-$D28)/xm_sT)+MAX(0,1-ABS('XA MU'!$D$26-$D28)/xm_sT)),0)+IF(ABS($D28-(xm_y0T+(xm_nT-1)/2*xm_sT))&lt;0.000001,IF('XA MU'!$B$26&lt;=4,'XA MU'!$E$26*$B$8*(IF('XA MU'!$C$26&gt;(xm_y0T+(xm_nT-1)/2*xm_sT),2*('XA MU'!$C$26-(xm_y0T+(xm_nT-1)/2*xm_sT))/xm_sT,0)+IF('XA MU'!$D$26&gt;(xm_y0T+(xm_nT-1)/2*xm_sT),2*('XA MU'!$D$26-(xm_y0T+(xm_nT-1)/2*xm_sT))/xm_sT,0)),0),0)+IF('XA MU'!$B$27&lt;=4,'XA MU'!$E$27*$B$8*(MAX(0,1-ABS('XA MU'!$C$27-$D28)/xm_sT)+MAX(0,1-ABS('XA MU'!$D$27-$D28)/xm_sT)),0)+IF(ABS($D28-(xm_y0T+(xm_nT-1)/2*xm_sT))&lt;0.000001,IF('XA MU'!$B$27&lt;=4,'XA MU'!$E$27*$B$8*(IF('XA MU'!$C$27&gt;(xm_y0T+(xm_nT-1)/2*xm_sT),2*('XA MU'!$C$27-(xm_y0T+(xm_nT-1)/2*xm_sT))/xm_sT,0)+IF('XA MU'!$D$27&gt;(xm_y0T+(xm_nT-1)/2*xm_sT),2*('XA MU'!$D$27-(xm_y0T+(xm_nT-1)/2*xm_sT))/xm_sT,0)),0),0)+IF('XA MU'!$B$28&lt;=4,'XA MU'!$E$28*$B$8*(MAX(0,1-ABS('XA MU'!$C$28-$D28)/xm_sT)+MAX(0,1-ABS('XA MU'!$D$28-$D28)/xm_sT)),0)+IF(ABS($D28-(xm_y0T+(xm_nT-1)/2*xm_sT))&lt;0.000001,IF('XA MU'!$B$28&lt;=4,'XA MU'!$E$28*$B$8*(IF('XA MU'!$C$28&gt;(xm_y0T+(xm_nT-1)/2*xm_sT),2*('XA MU'!$C$28-(xm_y0T+(xm_nT-1)/2*xm_sT))/xm_sT,0)+IF('XA MU'!$D$28&gt;(xm_y0T+(xm_nT-1)/2*xm_sT),2*('XA MU'!$D$28-(xm_y0T+(xm_nT-1)/2*xm_sT))/xm_sT,0)),0),0)+IF('XA MU'!$B$29&lt;=4,'XA MU'!$E$29*$B$8*(MAX(0,1-ABS('XA MU'!$C$29-$D28)/xm_sT)+MAX(0,1-ABS('XA MU'!$D$29-$D28)/xm_sT)),0)+IF(ABS($D28-(xm_y0T+(xm_nT-1)/2*xm_sT))&lt;0.000001,IF('XA MU'!$B$29&lt;=4,'XA MU'!$E$29*$B$8*(IF('XA MU'!$C$29&gt;(xm_y0T+(xm_nT-1)/2*xm_sT),2*('XA MU'!$C$29-(xm_y0T+(xm_nT-1)/2*xm_sT))/xm_sT,0)+IF('XA MU'!$D$29&gt;(xm_y0T+(xm_nT-1)/2*xm_sT),2*('XA MU'!$D$29-(xm_y0T+(xm_nT-1)/2*xm_sT))/xm_sT,0)),0),0)+IF('XA MU'!$B$30&lt;=4,'XA MU'!$E$30*$B$8*(MAX(0,1-ABS('XA MU'!$C$30-$D28)/xm_sT)+MAX(0,1-ABS('XA MU'!$D$30-$D28)/xm_sT)),0)+IF(ABS($D28-(xm_y0T+(xm_nT-1)/2*xm_sT))&lt;0.000001,IF('XA MU'!$B$30&lt;=4,'XA MU'!$E$30*$B$8*(IF('XA MU'!$C$30&gt;(xm_y0T+(xm_nT-1)/2*xm_sT),2*('XA MU'!$C$30-(xm_y0T+(xm_nT-1)/2*xm_sT))/xm_sT,0)+IF('XA MU'!$D$30&gt;(xm_y0T+(xm_nT-1)/2*xm_sT),2*('XA MU'!$D$30-(xm_y0T+(xm_nT-1)/2*xm_sT))/xm_sT,0)),0),0))))</f>
        <v>0</v>
      </c>
      <c r="M28" s="44">
        <f>IF(C28=0,0,IF(5&gt;nLan,0,0.65*(IF('XA MU'!$B$25&lt;=5,'XA MU'!$E$25*$B$8*(MAX(0,1-ABS('XA MU'!$C$25-$D28)/xm_sT)+MAX(0,1-ABS('XA MU'!$D$25-$D28)/xm_sT)),0)+IF(ABS($D28-(xm_y0T+(xm_nT-1)/2*xm_sT))&lt;0.000001,IF('XA MU'!$B$25&lt;=5,'XA MU'!$E$25*$B$8*(IF('XA MU'!$C$25&gt;(xm_y0T+(xm_nT-1)/2*xm_sT),2*('XA MU'!$C$25-(xm_y0T+(xm_nT-1)/2*xm_sT))/xm_sT,0)+IF('XA MU'!$D$25&gt;(xm_y0T+(xm_nT-1)/2*xm_sT),2*('XA MU'!$D$25-(xm_y0T+(xm_nT-1)/2*xm_sT))/xm_sT,0)),0),0)+IF('XA MU'!$B$26&lt;=5,'XA MU'!$E$26*$B$8*(MAX(0,1-ABS('XA MU'!$C$26-$D28)/xm_sT)+MAX(0,1-ABS('XA MU'!$D$26-$D28)/xm_sT)),0)+IF(ABS($D28-(xm_y0T+(xm_nT-1)/2*xm_sT))&lt;0.000001,IF('XA MU'!$B$26&lt;=5,'XA MU'!$E$26*$B$8*(IF('XA MU'!$C$26&gt;(xm_y0T+(xm_nT-1)/2*xm_sT),2*('XA MU'!$C$26-(xm_y0T+(xm_nT-1)/2*xm_sT))/xm_sT,0)+IF('XA MU'!$D$26&gt;(xm_y0T+(xm_nT-1)/2*xm_sT),2*('XA MU'!$D$26-(xm_y0T+(xm_nT-1)/2*xm_sT))/xm_sT,0)),0),0)+IF('XA MU'!$B$27&lt;=5,'XA MU'!$E$27*$B$8*(MAX(0,1-ABS('XA MU'!$C$27-$D28)/xm_sT)+MAX(0,1-ABS('XA MU'!$D$27-$D28)/xm_sT)),0)+IF(ABS($D28-(xm_y0T+(xm_nT-1)/2*xm_sT))&lt;0.000001,IF('XA MU'!$B$27&lt;=5,'XA MU'!$E$27*$B$8*(IF('XA MU'!$C$27&gt;(xm_y0T+(xm_nT-1)/2*xm_sT),2*('XA MU'!$C$27-(xm_y0T+(xm_nT-1)/2*xm_sT))/xm_sT,0)+IF('XA MU'!$D$27&gt;(xm_y0T+(xm_nT-1)/2*xm_sT),2*('XA MU'!$D$27-(xm_y0T+(xm_nT-1)/2*xm_sT))/xm_sT,0)),0),0)+IF('XA MU'!$B$28&lt;=5,'XA MU'!$E$28*$B$8*(MAX(0,1-ABS('XA MU'!$C$28-$D28)/xm_sT)+MAX(0,1-ABS('XA MU'!$D$28-$D28)/xm_sT)),0)+IF(ABS($D28-(xm_y0T+(xm_nT-1)/2*xm_sT))&lt;0.000001,IF('XA MU'!$B$28&lt;=5,'XA MU'!$E$28*$B$8*(IF('XA MU'!$C$28&gt;(xm_y0T+(xm_nT-1)/2*xm_sT),2*('XA MU'!$C$28-(xm_y0T+(xm_nT-1)/2*xm_sT))/xm_sT,0)+IF('XA MU'!$D$28&gt;(xm_y0T+(xm_nT-1)/2*xm_sT),2*('XA MU'!$D$28-(xm_y0T+(xm_nT-1)/2*xm_sT))/xm_sT,0)),0),0)+IF('XA MU'!$B$29&lt;=5,'XA MU'!$E$29*$B$8*(MAX(0,1-ABS('XA MU'!$C$29-$D28)/xm_sT)+MAX(0,1-ABS('XA MU'!$D$29-$D28)/xm_sT)),0)+IF(ABS($D28-(xm_y0T+(xm_nT-1)/2*xm_sT))&lt;0.000001,IF('XA MU'!$B$29&lt;=5,'XA MU'!$E$29*$B$8*(IF('XA MU'!$C$29&gt;(xm_y0T+(xm_nT-1)/2*xm_sT),2*('XA MU'!$C$29-(xm_y0T+(xm_nT-1)/2*xm_sT))/xm_sT,0)+IF('XA MU'!$D$29&gt;(xm_y0T+(xm_nT-1)/2*xm_sT),2*('XA MU'!$D$29-(xm_y0T+(xm_nT-1)/2*xm_sT))/xm_sT,0)),0),0)+IF('XA MU'!$B$30&lt;=5,'XA MU'!$E$30*$B$8*(MAX(0,1-ABS('XA MU'!$C$30-$D28)/xm_sT)+MAX(0,1-ABS('XA MU'!$D$30-$D28)/xm_sT)),0)+IF(ABS($D28-(xm_y0T+(xm_nT-1)/2*xm_sT))&lt;0.000001,IF('XA MU'!$B$30&lt;=5,'XA MU'!$E$30*$B$8*(IF('XA MU'!$C$30&gt;(xm_y0T+(xm_nT-1)/2*xm_sT),2*('XA MU'!$C$30-(xm_y0T+(xm_nT-1)/2*xm_sT))/xm_sT,0)+IF('XA MU'!$D$30&gt;(xm_y0T+(xm_nT-1)/2*xm_sT),2*('XA MU'!$D$30-(xm_y0T+(xm_nT-1)/2*xm_sT))/xm_sT,0)),0),0))))</f>
        <v>0</v>
      </c>
      <c r="N28" s="44">
        <f>IF(C28=0,0,IF(6&gt;nLan,0,0.65*(IF('XA MU'!$B$25&lt;=6,'XA MU'!$E$25*$B$8*(MAX(0,1-ABS('XA MU'!$C$25-$D28)/xm_sT)+MAX(0,1-ABS('XA MU'!$D$25-$D28)/xm_sT)),0)+IF(ABS($D28-(xm_y0T+(xm_nT-1)/2*xm_sT))&lt;0.000001,IF('XA MU'!$B$25&lt;=6,'XA MU'!$E$25*$B$8*(IF('XA MU'!$C$25&gt;(xm_y0T+(xm_nT-1)/2*xm_sT),2*('XA MU'!$C$25-(xm_y0T+(xm_nT-1)/2*xm_sT))/xm_sT,0)+IF('XA MU'!$D$25&gt;(xm_y0T+(xm_nT-1)/2*xm_sT),2*('XA MU'!$D$25-(xm_y0T+(xm_nT-1)/2*xm_sT))/xm_sT,0)),0),0)+IF('XA MU'!$B$26&lt;=6,'XA MU'!$E$26*$B$8*(MAX(0,1-ABS('XA MU'!$C$26-$D28)/xm_sT)+MAX(0,1-ABS('XA MU'!$D$26-$D28)/xm_sT)),0)+IF(ABS($D28-(xm_y0T+(xm_nT-1)/2*xm_sT))&lt;0.000001,IF('XA MU'!$B$26&lt;=6,'XA MU'!$E$26*$B$8*(IF('XA MU'!$C$26&gt;(xm_y0T+(xm_nT-1)/2*xm_sT),2*('XA MU'!$C$26-(xm_y0T+(xm_nT-1)/2*xm_sT))/xm_sT,0)+IF('XA MU'!$D$26&gt;(xm_y0T+(xm_nT-1)/2*xm_sT),2*('XA MU'!$D$26-(xm_y0T+(xm_nT-1)/2*xm_sT))/xm_sT,0)),0),0)+IF('XA MU'!$B$27&lt;=6,'XA MU'!$E$27*$B$8*(MAX(0,1-ABS('XA MU'!$C$27-$D28)/xm_sT)+MAX(0,1-ABS('XA MU'!$D$27-$D28)/xm_sT)),0)+IF(ABS($D28-(xm_y0T+(xm_nT-1)/2*xm_sT))&lt;0.000001,IF('XA MU'!$B$27&lt;=6,'XA MU'!$E$27*$B$8*(IF('XA MU'!$C$27&gt;(xm_y0T+(xm_nT-1)/2*xm_sT),2*('XA MU'!$C$27-(xm_y0T+(xm_nT-1)/2*xm_sT))/xm_sT,0)+IF('XA MU'!$D$27&gt;(xm_y0T+(xm_nT-1)/2*xm_sT),2*('XA MU'!$D$27-(xm_y0T+(xm_nT-1)/2*xm_sT))/xm_sT,0)),0),0)+IF('XA MU'!$B$28&lt;=6,'XA MU'!$E$28*$B$8*(MAX(0,1-ABS('XA MU'!$C$28-$D28)/xm_sT)+MAX(0,1-ABS('XA MU'!$D$28-$D28)/xm_sT)),0)+IF(ABS($D28-(xm_y0T+(xm_nT-1)/2*xm_sT))&lt;0.000001,IF('XA MU'!$B$28&lt;=6,'XA MU'!$E$28*$B$8*(IF('XA MU'!$C$28&gt;(xm_y0T+(xm_nT-1)/2*xm_sT),2*('XA MU'!$C$28-(xm_y0T+(xm_nT-1)/2*xm_sT))/xm_sT,0)+IF('XA MU'!$D$28&gt;(xm_y0T+(xm_nT-1)/2*xm_sT),2*('XA MU'!$D$28-(xm_y0T+(xm_nT-1)/2*xm_sT))/xm_sT,0)),0),0)+IF('XA MU'!$B$29&lt;=6,'XA MU'!$E$29*$B$8*(MAX(0,1-ABS('XA MU'!$C$29-$D28)/xm_sT)+MAX(0,1-ABS('XA MU'!$D$29-$D28)/xm_sT)),0)+IF(ABS($D28-(xm_y0T+(xm_nT-1)/2*xm_sT))&lt;0.000001,IF('XA MU'!$B$29&lt;=6,'XA MU'!$E$29*$B$8*(IF('XA MU'!$C$29&gt;(xm_y0T+(xm_nT-1)/2*xm_sT),2*('XA MU'!$C$29-(xm_y0T+(xm_nT-1)/2*xm_sT))/xm_sT,0)+IF('XA MU'!$D$29&gt;(xm_y0T+(xm_nT-1)/2*xm_sT),2*('XA MU'!$D$29-(xm_y0T+(xm_nT-1)/2*xm_sT))/xm_sT,0)),0),0)+IF('XA MU'!$B$30&lt;=6,'XA MU'!$E$30*$B$8*(MAX(0,1-ABS('XA MU'!$C$30-$D28)/xm_sT)+MAX(0,1-ABS('XA MU'!$D$30-$D28)/xm_sT)),0)+IF(ABS($D28-(xm_y0T+(xm_nT-1)/2*xm_sT))&lt;0.000001,IF('XA MU'!$B$30&lt;=6,'XA MU'!$E$30*$B$8*(IF('XA MU'!$C$30&gt;(xm_y0T+(xm_nT-1)/2*xm_sT),2*('XA MU'!$C$30-(xm_y0T+(xm_nT-1)/2*xm_sT))/xm_sT,0)+IF('XA MU'!$D$30&gt;(xm_y0T+(xm_nT-1)/2*xm_sT),2*('XA MU'!$D$30-(xm_y0T+(xm_nT-1)/2*xm_sT))/xm_sT,0)),0),0))))</f>
        <v>0</v>
      </c>
    </row>
    <row r="29" spans="1:14" x14ac:dyDescent="0.3">
      <c r="A29" s="42" t="s">
        <v>1235</v>
      </c>
      <c r="B29" s="42">
        <v>15</v>
      </c>
      <c r="C29" s="40">
        <f t="shared" si="0"/>
        <v>0</v>
      </c>
      <c r="D29" s="44">
        <f t="shared" si="1"/>
        <v>0</v>
      </c>
      <c r="E29" s="44">
        <f>MAX(0,D29-'XA MU'!$C$8)*C29</f>
        <v>0</v>
      </c>
      <c r="F29" s="44">
        <f>IF(AND(C29=1,D29&gt;'XA MU'!$C$8),1,0)</f>
        <v>0</v>
      </c>
      <c r="G29" s="44">
        <f t="shared" si="2"/>
        <v>0</v>
      </c>
      <c r="H29" s="44">
        <f t="shared" si="3"/>
        <v>0</v>
      </c>
      <c r="I29" s="44">
        <f>IF(C29=0,0,IF(1&gt;nLan,0,1.2*(IF('XA MU'!$B$25&lt;=1,'XA MU'!$E$25*$B$8*(MAX(0,1-ABS('XA MU'!$C$25-$D29)/xm_sT)+MAX(0,1-ABS('XA MU'!$D$25-$D29)/xm_sT)),0)+IF(ABS($D29-(xm_y0T+(xm_nT-1)/2*xm_sT))&lt;0.000001,IF('XA MU'!$B$25&lt;=1,'XA MU'!$E$25*$B$8*(IF('XA MU'!$C$25&gt;(xm_y0T+(xm_nT-1)/2*xm_sT),2*('XA MU'!$C$25-(xm_y0T+(xm_nT-1)/2*xm_sT))/xm_sT,0)+IF('XA MU'!$D$25&gt;(xm_y0T+(xm_nT-1)/2*xm_sT),2*('XA MU'!$D$25-(xm_y0T+(xm_nT-1)/2*xm_sT))/xm_sT,0)),0),0)+IF('XA MU'!$B$26&lt;=1,'XA MU'!$E$26*$B$8*(MAX(0,1-ABS('XA MU'!$C$26-$D29)/xm_sT)+MAX(0,1-ABS('XA MU'!$D$26-$D29)/xm_sT)),0)+IF(ABS($D29-(xm_y0T+(xm_nT-1)/2*xm_sT))&lt;0.000001,IF('XA MU'!$B$26&lt;=1,'XA MU'!$E$26*$B$8*(IF('XA MU'!$C$26&gt;(xm_y0T+(xm_nT-1)/2*xm_sT),2*('XA MU'!$C$26-(xm_y0T+(xm_nT-1)/2*xm_sT))/xm_sT,0)+IF('XA MU'!$D$26&gt;(xm_y0T+(xm_nT-1)/2*xm_sT),2*('XA MU'!$D$26-(xm_y0T+(xm_nT-1)/2*xm_sT))/xm_sT,0)),0),0)+IF('XA MU'!$B$27&lt;=1,'XA MU'!$E$27*$B$8*(MAX(0,1-ABS('XA MU'!$C$27-$D29)/xm_sT)+MAX(0,1-ABS('XA MU'!$D$27-$D29)/xm_sT)),0)+IF(ABS($D29-(xm_y0T+(xm_nT-1)/2*xm_sT))&lt;0.000001,IF('XA MU'!$B$27&lt;=1,'XA MU'!$E$27*$B$8*(IF('XA MU'!$C$27&gt;(xm_y0T+(xm_nT-1)/2*xm_sT),2*('XA MU'!$C$27-(xm_y0T+(xm_nT-1)/2*xm_sT))/xm_sT,0)+IF('XA MU'!$D$27&gt;(xm_y0T+(xm_nT-1)/2*xm_sT),2*('XA MU'!$D$27-(xm_y0T+(xm_nT-1)/2*xm_sT))/xm_sT,0)),0),0)+IF('XA MU'!$B$28&lt;=1,'XA MU'!$E$28*$B$8*(MAX(0,1-ABS('XA MU'!$C$28-$D29)/xm_sT)+MAX(0,1-ABS('XA MU'!$D$28-$D29)/xm_sT)),0)+IF(ABS($D29-(xm_y0T+(xm_nT-1)/2*xm_sT))&lt;0.000001,IF('XA MU'!$B$28&lt;=1,'XA MU'!$E$28*$B$8*(IF('XA MU'!$C$28&gt;(xm_y0T+(xm_nT-1)/2*xm_sT),2*('XA MU'!$C$28-(xm_y0T+(xm_nT-1)/2*xm_sT))/xm_sT,0)+IF('XA MU'!$D$28&gt;(xm_y0T+(xm_nT-1)/2*xm_sT),2*('XA MU'!$D$28-(xm_y0T+(xm_nT-1)/2*xm_sT))/xm_sT,0)),0),0)+IF('XA MU'!$B$29&lt;=1,'XA MU'!$E$29*$B$8*(MAX(0,1-ABS('XA MU'!$C$29-$D29)/xm_sT)+MAX(0,1-ABS('XA MU'!$D$29-$D29)/xm_sT)),0)+IF(ABS($D29-(xm_y0T+(xm_nT-1)/2*xm_sT))&lt;0.000001,IF('XA MU'!$B$29&lt;=1,'XA MU'!$E$29*$B$8*(IF('XA MU'!$C$29&gt;(xm_y0T+(xm_nT-1)/2*xm_sT),2*('XA MU'!$C$29-(xm_y0T+(xm_nT-1)/2*xm_sT))/xm_sT,0)+IF('XA MU'!$D$29&gt;(xm_y0T+(xm_nT-1)/2*xm_sT),2*('XA MU'!$D$29-(xm_y0T+(xm_nT-1)/2*xm_sT))/xm_sT,0)),0),0)+IF('XA MU'!$B$30&lt;=1,'XA MU'!$E$30*$B$8*(MAX(0,1-ABS('XA MU'!$C$30-$D29)/xm_sT)+MAX(0,1-ABS('XA MU'!$D$30-$D29)/xm_sT)),0)+IF(ABS($D29-(xm_y0T+(xm_nT-1)/2*xm_sT))&lt;0.000001,IF('XA MU'!$B$30&lt;=1,'XA MU'!$E$30*$B$8*(IF('XA MU'!$C$30&gt;(xm_y0T+(xm_nT-1)/2*xm_sT),2*('XA MU'!$C$30-(xm_y0T+(xm_nT-1)/2*xm_sT))/xm_sT,0)+IF('XA MU'!$D$30&gt;(xm_y0T+(xm_nT-1)/2*xm_sT),2*('XA MU'!$D$30-(xm_y0T+(xm_nT-1)/2*xm_sT))/xm_sT,0)),0),0))))</f>
        <v>0</v>
      </c>
      <c r="J29" s="44">
        <f>IF(C29=0,0,IF(2&gt;nLan,0,1*(IF('XA MU'!$B$25&lt;=2,'XA MU'!$E$25*$B$8*(MAX(0,1-ABS('XA MU'!$C$25-$D29)/xm_sT)+MAX(0,1-ABS('XA MU'!$D$25-$D29)/xm_sT)),0)+IF(ABS($D29-(xm_y0T+(xm_nT-1)/2*xm_sT))&lt;0.000001,IF('XA MU'!$B$25&lt;=2,'XA MU'!$E$25*$B$8*(IF('XA MU'!$C$25&gt;(xm_y0T+(xm_nT-1)/2*xm_sT),2*('XA MU'!$C$25-(xm_y0T+(xm_nT-1)/2*xm_sT))/xm_sT,0)+IF('XA MU'!$D$25&gt;(xm_y0T+(xm_nT-1)/2*xm_sT),2*('XA MU'!$D$25-(xm_y0T+(xm_nT-1)/2*xm_sT))/xm_sT,0)),0),0)+IF('XA MU'!$B$26&lt;=2,'XA MU'!$E$26*$B$8*(MAX(0,1-ABS('XA MU'!$C$26-$D29)/xm_sT)+MAX(0,1-ABS('XA MU'!$D$26-$D29)/xm_sT)),0)+IF(ABS($D29-(xm_y0T+(xm_nT-1)/2*xm_sT))&lt;0.000001,IF('XA MU'!$B$26&lt;=2,'XA MU'!$E$26*$B$8*(IF('XA MU'!$C$26&gt;(xm_y0T+(xm_nT-1)/2*xm_sT),2*('XA MU'!$C$26-(xm_y0T+(xm_nT-1)/2*xm_sT))/xm_sT,0)+IF('XA MU'!$D$26&gt;(xm_y0T+(xm_nT-1)/2*xm_sT),2*('XA MU'!$D$26-(xm_y0T+(xm_nT-1)/2*xm_sT))/xm_sT,0)),0),0)+IF('XA MU'!$B$27&lt;=2,'XA MU'!$E$27*$B$8*(MAX(0,1-ABS('XA MU'!$C$27-$D29)/xm_sT)+MAX(0,1-ABS('XA MU'!$D$27-$D29)/xm_sT)),0)+IF(ABS($D29-(xm_y0T+(xm_nT-1)/2*xm_sT))&lt;0.000001,IF('XA MU'!$B$27&lt;=2,'XA MU'!$E$27*$B$8*(IF('XA MU'!$C$27&gt;(xm_y0T+(xm_nT-1)/2*xm_sT),2*('XA MU'!$C$27-(xm_y0T+(xm_nT-1)/2*xm_sT))/xm_sT,0)+IF('XA MU'!$D$27&gt;(xm_y0T+(xm_nT-1)/2*xm_sT),2*('XA MU'!$D$27-(xm_y0T+(xm_nT-1)/2*xm_sT))/xm_sT,0)),0),0)+IF('XA MU'!$B$28&lt;=2,'XA MU'!$E$28*$B$8*(MAX(0,1-ABS('XA MU'!$C$28-$D29)/xm_sT)+MAX(0,1-ABS('XA MU'!$D$28-$D29)/xm_sT)),0)+IF(ABS($D29-(xm_y0T+(xm_nT-1)/2*xm_sT))&lt;0.000001,IF('XA MU'!$B$28&lt;=2,'XA MU'!$E$28*$B$8*(IF('XA MU'!$C$28&gt;(xm_y0T+(xm_nT-1)/2*xm_sT),2*('XA MU'!$C$28-(xm_y0T+(xm_nT-1)/2*xm_sT))/xm_sT,0)+IF('XA MU'!$D$28&gt;(xm_y0T+(xm_nT-1)/2*xm_sT),2*('XA MU'!$D$28-(xm_y0T+(xm_nT-1)/2*xm_sT))/xm_sT,0)),0),0)+IF('XA MU'!$B$29&lt;=2,'XA MU'!$E$29*$B$8*(MAX(0,1-ABS('XA MU'!$C$29-$D29)/xm_sT)+MAX(0,1-ABS('XA MU'!$D$29-$D29)/xm_sT)),0)+IF(ABS($D29-(xm_y0T+(xm_nT-1)/2*xm_sT))&lt;0.000001,IF('XA MU'!$B$29&lt;=2,'XA MU'!$E$29*$B$8*(IF('XA MU'!$C$29&gt;(xm_y0T+(xm_nT-1)/2*xm_sT),2*('XA MU'!$C$29-(xm_y0T+(xm_nT-1)/2*xm_sT))/xm_sT,0)+IF('XA MU'!$D$29&gt;(xm_y0T+(xm_nT-1)/2*xm_sT),2*('XA MU'!$D$29-(xm_y0T+(xm_nT-1)/2*xm_sT))/xm_sT,0)),0),0)+IF('XA MU'!$B$30&lt;=2,'XA MU'!$E$30*$B$8*(MAX(0,1-ABS('XA MU'!$C$30-$D29)/xm_sT)+MAX(0,1-ABS('XA MU'!$D$30-$D29)/xm_sT)),0)+IF(ABS($D29-(xm_y0T+(xm_nT-1)/2*xm_sT))&lt;0.000001,IF('XA MU'!$B$30&lt;=2,'XA MU'!$E$30*$B$8*(IF('XA MU'!$C$30&gt;(xm_y0T+(xm_nT-1)/2*xm_sT),2*('XA MU'!$C$30-(xm_y0T+(xm_nT-1)/2*xm_sT))/xm_sT,0)+IF('XA MU'!$D$30&gt;(xm_y0T+(xm_nT-1)/2*xm_sT),2*('XA MU'!$D$30-(xm_y0T+(xm_nT-1)/2*xm_sT))/xm_sT,0)),0),0))))</f>
        <v>0</v>
      </c>
      <c r="K29" s="44">
        <f>IF(C29=0,0,IF(3&gt;nLan,0,0.85*(IF('XA MU'!$B$25&lt;=3,'XA MU'!$E$25*$B$8*(MAX(0,1-ABS('XA MU'!$C$25-$D29)/xm_sT)+MAX(0,1-ABS('XA MU'!$D$25-$D29)/xm_sT)),0)+IF(ABS($D29-(xm_y0T+(xm_nT-1)/2*xm_sT))&lt;0.000001,IF('XA MU'!$B$25&lt;=3,'XA MU'!$E$25*$B$8*(IF('XA MU'!$C$25&gt;(xm_y0T+(xm_nT-1)/2*xm_sT),2*('XA MU'!$C$25-(xm_y0T+(xm_nT-1)/2*xm_sT))/xm_sT,0)+IF('XA MU'!$D$25&gt;(xm_y0T+(xm_nT-1)/2*xm_sT),2*('XA MU'!$D$25-(xm_y0T+(xm_nT-1)/2*xm_sT))/xm_sT,0)),0),0)+IF('XA MU'!$B$26&lt;=3,'XA MU'!$E$26*$B$8*(MAX(0,1-ABS('XA MU'!$C$26-$D29)/xm_sT)+MAX(0,1-ABS('XA MU'!$D$26-$D29)/xm_sT)),0)+IF(ABS($D29-(xm_y0T+(xm_nT-1)/2*xm_sT))&lt;0.000001,IF('XA MU'!$B$26&lt;=3,'XA MU'!$E$26*$B$8*(IF('XA MU'!$C$26&gt;(xm_y0T+(xm_nT-1)/2*xm_sT),2*('XA MU'!$C$26-(xm_y0T+(xm_nT-1)/2*xm_sT))/xm_sT,0)+IF('XA MU'!$D$26&gt;(xm_y0T+(xm_nT-1)/2*xm_sT),2*('XA MU'!$D$26-(xm_y0T+(xm_nT-1)/2*xm_sT))/xm_sT,0)),0),0)+IF('XA MU'!$B$27&lt;=3,'XA MU'!$E$27*$B$8*(MAX(0,1-ABS('XA MU'!$C$27-$D29)/xm_sT)+MAX(0,1-ABS('XA MU'!$D$27-$D29)/xm_sT)),0)+IF(ABS($D29-(xm_y0T+(xm_nT-1)/2*xm_sT))&lt;0.000001,IF('XA MU'!$B$27&lt;=3,'XA MU'!$E$27*$B$8*(IF('XA MU'!$C$27&gt;(xm_y0T+(xm_nT-1)/2*xm_sT),2*('XA MU'!$C$27-(xm_y0T+(xm_nT-1)/2*xm_sT))/xm_sT,0)+IF('XA MU'!$D$27&gt;(xm_y0T+(xm_nT-1)/2*xm_sT),2*('XA MU'!$D$27-(xm_y0T+(xm_nT-1)/2*xm_sT))/xm_sT,0)),0),0)+IF('XA MU'!$B$28&lt;=3,'XA MU'!$E$28*$B$8*(MAX(0,1-ABS('XA MU'!$C$28-$D29)/xm_sT)+MAX(0,1-ABS('XA MU'!$D$28-$D29)/xm_sT)),0)+IF(ABS($D29-(xm_y0T+(xm_nT-1)/2*xm_sT))&lt;0.000001,IF('XA MU'!$B$28&lt;=3,'XA MU'!$E$28*$B$8*(IF('XA MU'!$C$28&gt;(xm_y0T+(xm_nT-1)/2*xm_sT),2*('XA MU'!$C$28-(xm_y0T+(xm_nT-1)/2*xm_sT))/xm_sT,0)+IF('XA MU'!$D$28&gt;(xm_y0T+(xm_nT-1)/2*xm_sT),2*('XA MU'!$D$28-(xm_y0T+(xm_nT-1)/2*xm_sT))/xm_sT,0)),0),0)+IF('XA MU'!$B$29&lt;=3,'XA MU'!$E$29*$B$8*(MAX(0,1-ABS('XA MU'!$C$29-$D29)/xm_sT)+MAX(0,1-ABS('XA MU'!$D$29-$D29)/xm_sT)),0)+IF(ABS($D29-(xm_y0T+(xm_nT-1)/2*xm_sT))&lt;0.000001,IF('XA MU'!$B$29&lt;=3,'XA MU'!$E$29*$B$8*(IF('XA MU'!$C$29&gt;(xm_y0T+(xm_nT-1)/2*xm_sT),2*('XA MU'!$C$29-(xm_y0T+(xm_nT-1)/2*xm_sT))/xm_sT,0)+IF('XA MU'!$D$29&gt;(xm_y0T+(xm_nT-1)/2*xm_sT),2*('XA MU'!$D$29-(xm_y0T+(xm_nT-1)/2*xm_sT))/xm_sT,0)),0),0)+IF('XA MU'!$B$30&lt;=3,'XA MU'!$E$30*$B$8*(MAX(0,1-ABS('XA MU'!$C$30-$D29)/xm_sT)+MAX(0,1-ABS('XA MU'!$D$30-$D29)/xm_sT)),0)+IF(ABS($D29-(xm_y0T+(xm_nT-1)/2*xm_sT))&lt;0.000001,IF('XA MU'!$B$30&lt;=3,'XA MU'!$E$30*$B$8*(IF('XA MU'!$C$30&gt;(xm_y0T+(xm_nT-1)/2*xm_sT),2*('XA MU'!$C$30-(xm_y0T+(xm_nT-1)/2*xm_sT))/xm_sT,0)+IF('XA MU'!$D$30&gt;(xm_y0T+(xm_nT-1)/2*xm_sT),2*('XA MU'!$D$30-(xm_y0T+(xm_nT-1)/2*xm_sT))/xm_sT,0)),0),0))))</f>
        <v>0</v>
      </c>
      <c r="L29" s="44">
        <f>IF(C29=0,0,IF(4&gt;nLan,0,0.65*(IF('XA MU'!$B$25&lt;=4,'XA MU'!$E$25*$B$8*(MAX(0,1-ABS('XA MU'!$C$25-$D29)/xm_sT)+MAX(0,1-ABS('XA MU'!$D$25-$D29)/xm_sT)),0)+IF(ABS($D29-(xm_y0T+(xm_nT-1)/2*xm_sT))&lt;0.000001,IF('XA MU'!$B$25&lt;=4,'XA MU'!$E$25*$B$8*(IF('XA MU'!$C$25&gt;(xm_y0T+(xm_nT-1)/2*xm_sT),2*('XA MU'!$C$25-(xm_y0T+(xm_nT-1)/2*xm_sT))/xm_sT,0)+IF('XA MU'!$D$25&gt;(xm_y0T+(xm_nT-1)/2*xm_sT),2*('XA MU'!$D$25-(xm_y0T+(xm_nT-1)/2*xm_sT))/xm_sT,0)),0),0)+IF('XA MU'!$B$26&lt;=4,'XA MU'!$E$26*$B$8*(MAX(0,1-ABS('XA MU'!$C$26-$D29)/xm_sT)+MAX(0,1-ABS('XA MU'!$D$26-$D29)/xm_sT)),0)+IF(ABS($D29-(xm_y0T+(xm_nT-1)/2*xm_sT))&lt;0.000001,IF('XA MU'!$B$26&lt;=4,'XA MU'!$E$26*$B$8*(IF('XA MU'!$C$26&gt;(xm_y0T+(xm_nT-1)/2*xm_sT),2*('XA MU'!$C$26-(xm_y0T+(xm_nT-1)/2*xm_sT))/xm_sT,0)+IF('XA MU'!$D$26&gt;(xm_y0T+(xm_nT-1)/2*xm_sT),2*('XA MU'!$D$26-(xm_y0T+(xm_nT-1)/2*xm_sT))/xm_sT,0)),0),0)+IF('XA MU'!$B$27&lt;=4,'XA MU'!$E$27*$B$8*(MAX(0,1-ABS('XA MU'!$C$27-$D29)/xm_sT)+MAX(0,1-ABS('XA MU'!$D$27-$D29)/xm_sT)),0)+IF(ABS($D29-(xm_y0T+(xm_nT-1)/2*xm_sT))&lt;0.000001,IF('XA MU'!$B$27&lt;=4,'XA MU'!$E$27*$B$8*(IF('XA MU'!$C$27&gt;(xm_y0T+(xm_nT-1)/2*xm_sT),2*('XA MU'!$C$27-(xm_y0T+(xm_nT-1)/2*xm_sT))/xm_sT,0)+IF('XA MU'!$D$27&gt;(xm_y0T+(xm_nT-1)/2*xm_sT),2*('XA MU'!$D$27-(xm_y0T+(xm_nT-1)/2*xm_sT))/xm_sT,0)),0),0)+IF('XA MU'!$B$28&lt;=4,'XA MU'!$E$28*$B$8*(MAX(0,1-ABS('XA MU'!$C$28-$D29)/xm_sT)+MAX(0,1-ABS('XA MU'!$D$28-$D29)/xm_sT)),0)+IF(ABS($D29-(xm_y0T+(xm_nT-1)/2*xm_sT))&lt;0.000001,IF('XA MU'!$B$28&lt;=4,'XA MU'!$E$28*$B$8*(IF('XA MU'!$C$28&gt;(xm_y0T+(xm_nT-1)/2*xm_sT),2*('XA MU'!$C$28-(xm_y0T+(xm_nT-1)/2*xm_sT))/xm_sT,0)+IF('XA MU'!$D$28&gt;(xm_y0T+(xm_nT-1)/2*xm_sT),2*('XA MU'!$D$28-(xm_y0T+(xm_nT-1)/2*xm_sT))/xm_sT,0)),0),0)+IF('XA MU'!$B$29&lt;=4,'XA MU'!$E$29*$B$8*(MAX(0,1-ABS('XA MU'!$C$29-$D29)/xm_sT)+MAX(0,1-ABS('XA MU'!$D$29-$D29)/xm_sT)),0)+IF(ABS($D29-(xm_y0T+(xm_nT-1)/2*xm_sT))&lt;0.000001,IF('XA MU'!$B$29&lt;=4,'XA MU'!$E$29*$B$8*(IF('XA MU'!$C$29&gt;(xm_y0T+(xm_nT-1)/2*xm_sT),2*('XA MU'!$C$29-(xm_y0T+(xm_nT-1)/2*xm_sT))/xm_sT,0)+IF('XA MU'!$D$29&gt;(xm_y0T+(xm_nT-1)/2*xm_sT),2*('XA MU'!$D$29-(xm_y0T+(xm_nT-1)/2*xm_sT))/xm_sT,0)),0),0)+IF('XA MU'!$B$30&lt;=4,'XA MU'!$E$30*$B$8*(MAX(0,1-ABS('XA MU'!$C$30-$D29)/xm_sT)+MAX(0,1-ABS('XA MU'!$D$30-$D29)/xm_sT)),0)+IF(ABS($D29-(xm_y0T+(xm_nT-1)/2*xm_sT))&lt;0.000001,IF('XA MU'!$B$30&lt;=4,'XA MU'!$E$30*$B$8*(IF('XA MU'!$C$30&gt;(xm_y0T+(xm_nT-1)/2*xm_sT),2*('XA MU'!$C$30-(xm_y0T+(xm_nT-1)/2*xm_sT))/xm_sT,0)+IF('XA MU'!$D$30&gt;(xm_y0T+(xm_nT-1)/2*xm_sT),2*('XA MU'!$D$30-(xm_y0T+(xm_nT-1)/2*xm_sT))/xm_sT,0)),0),0))))</f>
        <v>0</v>
      </c>
      <c r="M29" s="44">
        <f>IF(C29=0,0,IF(5&gt;nLan,0,0.65*(IF('XA MU'!$B$25&lt;=5,'XA MU'!$E$25*$B$8*(MAX(0,1-ABS('XA MU'!$C$25-$D29)/xm_sT)+MAX(0,1-ABS('XA MU'!$D$25-$D29)/xm_sT)),0)+IF(ABS($D29-(xm_y0T+(xm_nT-1)/2*xm_sT))&lt;0.000001,IF('XA MU'!$B$25&lt;=5,'XA MU'!$E$25*$B$8*(IF('XA MU'!$C$25&gt;(xm_y0T+(xm_nT-1)/2*xm_sT),2*('XA MU'!$C$25-(xm_y0T+(xm_nT-1)/2*xm_sT))/xm_sT,0)+IF('XA MU'!$D$25&gt;(xm_y0T+(xm_nT-1)/2*xm_sT),2*('XA MU'!$D$25-(xm_y0T+(xm_nT-1)/2*xm_sT))/xm_sT,0)),0),0)+IF('XA MU'!$B$26&lt;=5,'XA MU'!$E$26*$B$8*(MAX(0,1-ABS('XA MU'!$C$26-$D29)/xm_sT)+MAX(0,1-ABS('XA MU'!$D$26-$D29)/xm_sT)),0)+IF(ABS($D29-(xm_y0T+(xm_nT-1)/2*xm_sT))&lt;0.000001,IF('XA MU'!$B$26&lt;=5,'XA MU'!$E$26*$B$8*(IF('XA MU'!$C$26&gt;(xm_y0T+(xm_nT-1)/2*xm_sT),2*('XA MU'!$C$26-(xm_y0T+(xm_nT-1)/2*xm_sT))/xm_sT,0)+IF('XA MU'!$D$26&gt;(xm_y0T+(xm_nT-1)/2*xm_sT),2*('XA MU'!$D$26-(xm_y0T+(xm_nT-1)/2*xm_sT))/xm_sT,0)),0),0)+IF('XA MU'!$B$27&lt;=5,'XA MU'!$E$27*$B$8*(MAX(0,1-ABS('XA MU'!$C$27-$D29)/xm_sT)+MAX(0,1-ABS('XA MU'!$D$27-$D29)/xm_sT)),0)+IF(ABS($D29-(xm_y0T+(xm_nT-1)/2*xm_sT))&lt;0.000001,IF('XA MU'!$B$27&lt;=5,'XA MU'!$E$27*$B$8*(IF('XA MU'!$C$27&gt;(xm_y0T+(xm_nT-1)/2*xm_sT),2*('XA MU'!$C$27-(xm_y0T+(xm_nT-1)/2*xm_sT))/xm_sT,0)+IF('XA MU'!$D$27&gt;(xm_y0T+(xm_nT-1)/2*xm_sT),2*('XA MU'!$D$27-(xm_y0T+(xm_nT-1)/2*xm_sT))/xm_sT,0)),0),0)+IF('XA MU'!$B$28&lt;=5,'XA MU'!$E$28*$B$8*(MAX(0,1-ABS('XA MU'!$C$28-$D29)/xm_sT)+MAX(0,1-ABS('XA MU'!$D$28-$D29)/xm_sT)),0)+IF(ABS($D29-(xm_y0T+(xm_nT-1)/2*xm_sT))&lt;0.000001,IF('XA MU'!$B$28&lt;=5,'XA MU'!$E$28*$B$8*(IF('XA MU'!$C$28&gt;(xm_y0T+(xm_nT-1)/2*xm_sT),2*('XA MU'!$C$28-(xm_y0T+(xm_nT-1)/2*xm_sT))/xm_sT,0)+IF('XA MU'!$D$28&gt;(xm_y0T+(xm_nT-1)/2*xm_sT),2*('XA MU'!$D$28-(xm_y0T+(xm_nT-1)/2*xm_sT))/xm_sT,0)),0),0)+IF('XA MU'!$B$29&lt;=5,'XA MU'!$E$29*$B$8*(MAX(0,1-ABS('XA MU'!$C$29-$D29)/xm_sT)+MAX(0,1-ABS('XA MU'!$D$29-$D29)/xm_sT)),0)+IF(ABS($D29-(xm_y0T+(xm_nT-1)/2*xm_sT))&lt;0.000001,IF('XA MU'!$B$29&lt;=5,'XA MU'!$E$29*$B$8*(IF('XA MU'!$C$29&gt;(xm_y0T+(xm_nT-1)/2*xm_sT),2*('XA MU'!$C$29-(xm_y0T+(xm_nT-1)/2*xm_sT))/xm_sT,0)+IF('XA MU'!$D$29&gt;(xm_y0T+(xm_nT-1)/2*xm_sT),2*('XA MU'!$D$29-(xm_y0T+(xm_nT-1)/2*xm_sT))/xm_sT,0)),0),0)+IF('XA MU'!$B$30&lt;=5,'XA MU'!$E$30*$B$8*(MAX(0,1-ABS('XA MU'!$C$30-$D29)/xm_sT)+MAX(0,1-ABS('XA MU'!$D$30-$D29)/xm_sT)),0)+IF(ABS($D29-(xm_y0T+(xm_nT-1)/2*xm_sT))&lt;0.000001,IF('XA MU'!$B$30&lt;=5,'XA MU'!$E$30*$B$8*(IF('XA MU'!$C$30&gt;(xm_y0T+(xm_nT-1)/2*xm_sT),2*('XA MU'!$C$30-(xm_y0T+(xm_nT-1)/2*xm_sT))/xm_sT,0)+IF('XA MU'!$D$30&gt;(xm_y0T+(xm_nT-1)/2*xm_sT),2*('XA MU'!$D$30-(xm_y0T+(xm_nT-1)/2*xm_sT))/xm_sT,0)),0),0))))</f>
        <v>0</v>
      </c>
      <c r="N29" s="44">
        <f>IF(C29=0,0,IF(6&gt;nLan,0,0.65*(IF('XA MU'!$B$25&lt;=6,'XA MU'!$E$25*$B$8*(MAX(0,1-ABS('XA MU'!$C$25-$D29)/xm_sT)+MAX(0,1-ABS('XA MU'!$D$25-$D29)/xm_sT)),0)+IF(ABS($D29-(xm_y0T+(xm_nT-1)/2*xm_sT))&lt;0.000001,IF('XA MU'!$B$25&lt;=6,'XA MU'!$E$25*$B$8*(IF('XA MU'!$C$25&gt;(xm_y0T+(xm_nT-1)/2*xm_sT),2*('XA MU'!$C$25-(xm_y0T+(xm_nT-1)/2*xm_sT))/xm_sT,0)+IF('XA MU'!$D$25&gt;(xm_y0T+(xm_nT-1)/2*xm_sT),2*('XA MU'!$D$25-(xm_y0T+(xm_nT-1)/2*xm_sT))/xm_sT,0)),0),0)+IF('XA MU'!$B$26&lt;=6,'XA MU'!$E$26*$B$8*(MAX(0,1-ABS('XA MU'!$C$26-$D29)/xm_sT)+MAX(0,1-ABS('XA MU'!$D$26-$D29)/xm_sT)),0)+IF(ABS($D29-(xm_y0T+(xm_nT-1)/2*xm_sT))&lt;0.000001,IF('XA MU'!$B$26&lt;=6,'XA MU'!$E$26*$B$8*(IF('XA MU'!$C$26&gt;(xm_y0T+(xm_nT-1)/2*xm_sT),2*('XA MU'!$C$26-(xm_y0T+(xm_nT-1)/2*xm_sT))/xm_sT,0)+IF('XA MU'!$D$26&gt;(xm_y0T+(xm_nT-1)/2*xm_sT),2*('XA MU'!$D$26-(xm_y0T+(xm_nT-1)/2*xm_sT))/xm_sT,0)),0),0)+IF('XA MU'!$B$27&lt;=6,'XA MU'!$E$27*$B$8*(MAX(0,1-ABS('XA MU'!$C$27-$D29)/xm_sT)+MAX(0,1-ABS('XA MU'!$D$27-$D29)/xm_sT)),0)+IF(ABS($D29-(xm_y0T+(xm_nT-1)/2*xm_sT))&lt;0.000001,IF('XA MU'!$B$27&lt;=6,'XA MU'!$E$27*$B$8*(IF('XA MU'!$C$27&gt;(xm_y0T+(xm_nT-1)/2*xm_sT),2*('XA MU'!$C$27-(xm_y0T+(xm_nT-1)/2*xm_sT))/xm_sT,0)+IF('XA MU'!$D$27&gt;(xm_y0T+(xm_nT-1)/2*xm_sT),2*('XA MU'!$D$27-(xm_y0T+(xm_nT-1)/2*xm_sT))/xm_sT,0)),0),0)+IF('XA MU'!$B$28&lt;=6,'XA MU'!$E$28*$B$8*(MAX(0,1-ABS('XA MU'!$C$28-$D29)/xm_sT)+MAX(0,1-ABS('XA MU'!$D$28-$D29)/xm_sT)),0)+IF(ABS($D29-(xm_y0T+(xm_nT-1)/2*xm_sT))&lt;0.000001,IF('XA MU'!$B$28&lt;=6,'XA MU'!$E$28*$B$8*(IF('XA MU'!$C$28&gt;(xm_y0T+(xm_nT-1)/2*xm_sT),2*('XA MU'!$C$28-(xm_y0T+(xm_nT-1)/2*xm_sT))/xm_sT,0)+IF('XA MU'!$D$28&gt;(xm_y0T+(xm_nT-1)/2*xm_sT),2*('XA MU'!$D$28-(xm_y0T+(xm_nT-1)/2*xm_sT))/xm_sT,0)),0),0)+IF('XA MU'!$B$29&lt;=6,'XA MU'!$E$29*$B$8*(MAX(0,1-ABS('XA MU'!$C$29-$D29)/xm_sT)+MAX(0,1-ABS('XA MU'!$D$29-$D29)/xm_sT)),0)+IF(ABS($D29-(xm_y0T+(xm_nT-1)/2*xm_sT))&lt;0.000001,IF('XA MU'!$B$29&lt;=6,'XA MU'!$E$29*$B$8*(IF('XA MU'!$C$29&gt;(xm_y0T+(xm_nT-1)/2*xm_sT),2*('XA MU'!$C$29-(xm_y0T+(xm_nT-1)/2*xm_sT))/xm_sT,0)+IF('XA MU'!$D$29&gt;(xm_y0T+(xm_nT-1)/2*xm_sT),2*('XA MU'!$D$29-(xm_y0T+(xm_nT-1)/2*xm_sT))/xm_sT,0)),0),0)+IF('XA MU'!$B$30&lt;=6,'XA MU'!$E$30*$B$8*(MAX(0,1-ABS('XA MU'!$C$30-$D29)/xm_sT)+MAX(0,1-ABS('XA MU'!$D$30-$D29)/xm_sT)),0)+IF(ABS($D29-(xm_y0T+(xm_nT-1)/2*xm_sT))&lt;0.000001,IF('XA MU'!$B$30&lt;=6,'XA MU'!$E$30*$B$8*(IF('XA MU'!$C$30&gt;(xm_y0T+(xm_nT-1)/2*xm_sT),2*('XA MU'!$C$30-(xm_y0T+(xm_nT-1)/2*xm_sT))/xm_sT,0)+IF('XA MU'!$D$30&gt;(xm_y0T+(xm_nT-1)/2*xm_sT),2*('XA MU'!$D$30-(xm_y0T+(xm_nT-1)/2*xm_sT))/xm_sT,0)),0),0))))</f>
        <v>0</v>
      </c>
    </row>
    <row r="30" spans="1:14" x14ac:dyDescent="0.3">
      <c r="A30" s="42" t="s">
        <v>1235</v>
      </c>
      <c r="B30" s="42">
        <v>16</v>
      </c>
      <c r="C30" s="40">
        <f t="shared" si="0"/>
        <v>0</v>
      </c>
      <c r="D30" s="44">
        <f t="shared" si="1"/>
        <v>0</v>
      </c>
      <c r="E30" s="44">
        <f>MAX(0,D30-'XA MU'!$C$8)*C30</f>
        <v>0</v>
      </c>
      <c r="F30" s="44">
        <f>IF(AND(C30=1,D30&gt;'XA MU'!$C$8),1,0)</f>
        <v>0</v>
      </c>
      <c r="G30" s="44">
        <f t="shared" si="2"/>
        <v>0</v>
      </c>
      <c r="H30" s="44">
        <f t="shared" si="3"/>
        <v>0</v>
      </c>
      <c r="I30" s="44">
        <f>IF(C30=0,0,IF(1&gt;nLan,0,1.2*(IF('XA MU'!$B$25&lt;=1,'XA MU'!$E$25*$B$8*(MAX(0,1-ABS('XA MU'!$C$25-$D30)/xm_sT)+MAX(0,1-ABS('XA MU'!$D$25-$D30)/xm_sT)),0)+IF(ABS($D30-(xm_y0T+(xm_nT-1)/2*xm_sT))&lt;0.000001,IF('XA MU'!$B$25&lt;=1,'XA MU'!$E$25*$B$8*(IF('XA MU'!$C$25&gt;(xm_y0T+(xm_nT-1)/2*xm_sT),2*('XA MU'!$C$25-(xm_y0T+(xm_nT-1)/2*xm_sT))/xm_sT,0)+IF('XA MU'!$D$25&gt;(xm_y0T+(xm_nT-1)/2*xm_sT),2*('XA MU'!$D$25-(xm_y0T+(xm_nT-1)/2*xm_sT))/xm_sT,0)),0),0)+IF('XA MU'!$B$26&lt;=1,'XA MU'!$E$26*$B$8*(MAX(0,1-ABS('XA MU'!$C$26-$D30)/xm_sT)+MAX(0,1-ABS('XA MU'!$D$26-$D30)/xm_sT)),0)+IF(ABS($D30-(xm_y0T+(xm_nT-1)/2*xm_sT))&lt;0.000001,IF('XA MU'!$B$26&lt;=1,'XA MU'!$E$26*$B$8*(IF('XA MU'!$C$26&gt;(xm_y0T+(xm_nT-1)/2*xm_sT),2*('XA MU'!$C$26-(xm_y0T+(xm_nT-1)/2*xm_sT))/xm_sT,0)+IF('XA MU'!$D$26&gt;(xm_y0T+(xm_nT-1)/2*xm_sT),2*('XA MU'!$D$26-(xm_y0T+(xm_nT-1)/2*xm_sT))/xm_sT,0)),0),0)+IF('XA MU'!$B$27&lt;=1,'XA MU'!$E$27*$B$8*(MAX(0,1-ABS('XA MU'!$C$27-$D30)/xm_sT)+MAX(0,1-ABS('XA MU'!$D$27-$D30)/xm_sT)),0)+IF(ABS($D30-(xm_y0T+(xm_nT-1)/2*xm_sT))&lt;0.000001,IF('XA MU'!$B$27&lt;=1,'XA MU'!$E$27*$B$8*(IF('XA MU'!$C$27&gt;(xm_y0T+(xm_nT-1)/2*xm_sT),2*('XA MU'!$C$27-(xm_y0T+(xm_nT-1)/2*xm_sT))/xm_sT,0)+IF('XA MU'!$D$27&gt;(xm_y0T+(xm_nT-1)/2*xm_sT),2*('XA MU'!$D$27-(xm_y0T+(xm_nT-1)/2*xm_sT))/xm_sT,0)),0),0)+IF('XA MU'!$B$28&lt;=1,'XA MU'!$E$28*$B$8*(MAX(0,1-ABS('XA MU'!$C$28-$D30)/xm_sT)+MAX(0,1-ABS('XA MU'!$D$28-$D30)/xm_sT)),0)+IF(ABS($D30-(xm_y0T+(xm_nT-1)/2*xm_sT))&lt;0.000001,IF('XA MU'!$B$28&lt;=1,'XA MU'!$E$28*$B$8*(IF('XA MU'!$C$28&gt;(xm_y0T+(xm_nT-1)/2*xm_sT),2*('XA MU'!$C$28-(xm_y0T+(xm_nT-1)/2*xm_sT))/xm_sT,0)+IF('XA MU'!$D$28&gt;(xm_y0T+(xm_nT-1)/2*xm_sT),2*('XA MU'!$D$28-(xm_y0T+(xm_nT-1)/2*xm_sT))/xm_sT,0)),0),0)+IF('XA MU'!$B$29&lt;=1,'XA MU'!$E$29*$B$8*(MAX(0,1-ABS('XA MU'!$C$29-$D30)/xm_sT)+MAX(0,1-ABS('XA MU'!$D$29-$D30)/xm_sT)),0)+IF(ABS($D30-(xm_y0T+(xm_nT-1)/2*xm_sT))&lt;0.000001,IF('XA MU'!$B$29&lt;=1,'XA MU'!$E$29*$B$8*(IF('XA MU'!$C$29&gt;(xm_y0T+(xm_nT-1)/2*xm_sT),2*('XA MU'!$C$29-(xm_y0T+(xm_nT-1)/2*xm_sT))/xm_sT,0)+IF('XA MU'!$D$29&gt;(xm_y0T+(xm_nT-1)/2*xm_sT),2*('XA MU'!$D$29-(xm_y0T+(xm_nT-1)/2*xm_sT))/xm_sT,0)),0),0)+IF('XA MU'!$B$30&lt;=1,'XA MU'!$E$30*$B$8*(MAX(0,1-ABS('XA MU'!$C$30-$D30)/xm_sT)+MAX(0,1-ABS('XA MU'!$D$30-$D30)/xm_sT)),0)+IF(ABS($D30-(xm_y0T+(xm_nT-1)/2*xm_sT))&lt;0.000001,IF('XA MU'!$B$30&lt;=1,'XA MU'!$E$30*$B$8*(IF('XA MU'!$C$30&gt;(xm_y0T+(xm_nT-1)/2*xm_sT),2*('XA MU'!$C$30-(xm_y0T+(xm_nT-1)/2*xm_sT))/xm_sT,0)+IF('XA MU'!$D$30&gt;(xm_y0T+(xm_nT-1)/2*xm_sT),2*('XA MU'!$D$30-(xm_y0T+(xm_nT-1)/2*xm_sT))/xm_sT,0)),0),0))))</f>
        <v>0</v>
      </c>
      <c r="J30" s="44">
        <f>IF(C30=0,0,IF(2&gt;nLan,0,1*(IF('XA MU'!$B$25&lt;=2,'XA MU'!$E$25*$B$8*(MAX(0,1-ABS('XA MU'!$C$25-$D30)/xm_sT)+MAX(0,1-ABS('XA MU'!$D$25-$D30)/xm_sT)),0)+IF(ABS($D30-(xm_y0T+(xm_nT-1)/2*xm_sT))&lt;0.000001,IF('XA MU'!$B$25&lt;=2,'XA MU'!$E$25*$B$8*(IF('XA MU'!$C$25&gt;(xm_y0T+(xm_nT-1)/2*xm_sT),2*('XA MU'!$C$25-(xm_y0T+(xm_nT-1)/2*xm_sT))/xm_sT,0)+IF('XA MU'!$D$25&gt;(xm_y0T+(xm_nT-1)/2*xm_sT),2*('XA MU'!$D$25-(xm_y0T+(xm_nT-1)/2*xm_sT))/xm_sT,0)),0),0)+IF('XA MU'!$B$26&lt;=2,'XA MU'!$E$26*$B$8*(MAX(0,1-ABS('XA MU'!$C$26-$D30)/xm_sT)+MAX(0,1-ABS('XA MU'!$D$26-$D30)/xm_sT)),0)+IF(ABS($D30-(xm_y0T+(xm_nT-1)/2*xm_sT))&lt;0.000001,IF('XA MU'!$B$26&lt;=2,'XA MU'!$E$26*$B$8*(IF('XA MU'!$C$26&gt;(xm_y0T+(xm_nT-1)/2*xm_sT),2*('XA MU'!$C$26-(xm_y0T+(xm_nT-1)/2*xm_sT))/xm_sT,0)+IF('XA MU'!$D$26&gt;(xm_y0T+(xm_nT-1)/2*xm_sT),2*('XA MU'!$D$26-(xm_y0T+(xm_nT-1)/2*xm_sT))/xm_sT,0)),0),0)+IF('XA MU'!$B$27&lt;=2,'XA MU'!$E$27*$B$8*(MAX(0,1-ABS('XA MU'!$C$27-$D30)/xm_sT)+MAX(0,1-ABS('XA MU'!$D$27-$D30)/xm_sT)),0)+IF(ABS($D30-(xm_y0T+(xm_nT-1)/2*xm_sT))&lt;0.000001,IF('XA MU'!$B$27&lt;=2,'XA MU'!$E$27*$B$8*(IF('XA MU'!$C$27&gt;(xm_y0T+(xm_nT-1)/2*xm_sT),2*('XA MU'!$C$27-(xm_y0T+(xm_nT-1)/2*xm_sT))/xm_sT,0)+IF('XA MU'!$D$27&gt;(xm_y0T+(xm_nT-1)/2*xm_sT),2*('XA MU'!$D$27-(xm_y0T+(xm_nT-1)/2*xm_sT))/xm_sT,0)),0),0)+IF('XA MU'!$B$28&lt;=2,'XA MU'!$E$28*$B$8*(MAX(0,1-ABS('XA MU'!$C$28-$D30)/xm_sT)+MAX(0,1-ABS('XA MU'!$D$28-$D30)/xm_sT)),0)+IF(ABS($D30-(xm_y0T+(xm_nT-1)/2*xm_sT))&lt;0.000001,IF('XA MU'!$B$28&lt;=2,'XA MU'!$E$28*$B$8*(IF('XA MU'!$C$28&gt;(xm_y0T+(xm_nT-1)/2*xm_sT),2*('XA MU'!$C$28-(xm_y0T+(xm_nT-1)/2*xm_sT))/xm_sT,0)+IF('XA MU'!$D$28&gt;(xm_y0T+(xm_nT-1)/2*xm_sT),2*('XA MU'!$D$28-(xm_y0T+(xm_nT-1)/2*xm_sT))/xm_sT,0)),0),0)+IF('XA MU'!$B$29&lt;=2,'XA MU'!$E$29*$B$8*(MAX(0,1-ABS('XA MU'!$C$29-$D30)/xm_sT)+MAX(0,1-ABS('XA MU'!$D$29-$D30)/xm_sT)),0)+IF(ABS($D30-(xm_y0T+(xm_nT-1)/2*xm_sT))&lt;0.000001,IF('XA MU'!$B$29&lt;=2,'XA MU'!$E$29*$B$8*(IF('XA MU'!$C$29&gt;(xm_y0T+(xm_nT-1)/2*xm_sT),2*('XA MU'!$C$29-(xm_y0T+(xm_nT-1)/2*xm_sT))/xm_sT,0)+IF('XA MU'!$D$29&gt;(xm_y0T+(xm_nT-1)/2*xm_sT),2*('XA MU'!$D$29-(xm_y0T+(xm_nT-1)/2*xm_sT))/xm_sT,0)),0),0)+IF('XA MU'!$B$30&lt;=2,'XA MU'!$E$30*$B$8*(MAX(0,1-ABS('XA MU'!$C$30-$D30)/xm_sT)+MAX(0,1-ABS('XA MU'!$D$30-$D30)/xm_sT)),0)+IF(ABS($D30-(xm_y0T+(xm_nT-1)/2*xm_sT))&lt;0.000001,IF('XA MU'!$B$30&lt;=2,'XA MU'!$E$30*$B$8*(IF('XA MU'!$C$30&gt;(xm_y0T+(xm_nT-1)/2*xm_sT),2*('XA MU'!$C$30-(xm_y0T+(xm_nT-1)/2*xm_sT))/xm_sT,0)+IF('XA MU'!$D$30&gt;(xm_y0T+(xm_nT-1)/2*xm_sT),2*('XA MU'!$D$30-(xm_y0T+(xm_nT-1)/2*xm_sT))/xm_sT,0)),0),0))))</f>
        <v>0</v>
      </c>
      <c r="K30" s="44">
        <f>IF(C30=0,0,IF(3&gt;nLan,0,0.85*(IF('XA MU'!$B$25&lt;=3,'XA MU'!$E$25*$B$8*(MAX(0,1-ABS('XA MU'!$C$25-$D30)/xm_sT)+MAX(0,1-ABS('XA MU'!$D$25-$D30)/xm_sT)),0)+IF(ABS($D30-(xm_y0T+(xm_nT-1)/2*xm_sT))&lt;0.000001,IF('XA MU'!$B$25&lt;=3,'XA MU'!$E$25*$B$8*(IF('XA MU'!$C$25&gt;(xm_y0T+(xm_nT-1)/2*xm_sT),2*('XA MU'!$C$25-(xm_y0T+(xm_nT-1)/2*xm_sT))/xm_sT,0)+IF('XA MU'!$D$25&gt;(xm_y0T+(xm_nT-1)/2*xm_sT),2*('XA MU'!$D$25-(xm_y0T+(xm_nT-1)/2*xm_sT))/xm_sT,0)),0),0)+IF('XA MU'!$B$26&lt;=3,'XA MU'!$E$26*$B$8*(MAX(0,1-ABS('XA MU'!$C$26-$D30)/xm_sT)+MAX(0,1-ABS('XA MU'!$D$26-$D30)/xm_sT)),0)+IF(ABS($D30-(xm_y0T+(xm_nT-1)/2*xm_sT))&lt;0.000001,IF('XA MU'!$B$26&lt;=3,'XA MU'!$E$26*$B$8*(IF('XA MU'!$C$26&gt;(xm_y0T+(xm_nT-1)/2*xm_sT),2*('XA MU'!$C$26-(xm_y0T+(xm_nT-1)/2*xm_sT))/xm_sT,0)+IF('XA MU'!$D$26&gt;(xm_y0T+(xm_nT-1)/2*xm_sT),2*('XA MU'!$D$26-(xm_y0T+(xm_nT-1)/2*xm_sT))/xm_sT,0)),0),0)+IF('XA MU'!$B$27&lt;=3,'XA MU'!$E$27*$B$8*(MAX(0,1-ABS('XA MU'!$C$27-$D30)/xm_sT)+MAX(0,1-ABS('XA MU'!$D$27-$D30)/xm_sT)),0)+IF(ABS($D30-(xm_y0T+(xm_nT-1)/2*xm_sT))&lt;0.000001,IF('XA MU'!$B$27&lt;=3,'XA MU'!$E$27*$B$8*(IF('XA MU'!$C$27&gt;(xm_y0T+(xm_nT-1)/2*xm_sT),2*('XA MU'!$C$27-(xm_y0T+(xm_nT-1)/2*xm_sT))/xm_sT,0)+IF('XA MU'!$D$27&gt;(xm_y0T+(xm_nT-1)/2*xm_sT),2*('XA MU'!$D$27-(xm_y0T+(xm_nT-1)/2*xm_sT))/xm_sT,0)),0),0)+IF('XA MU'!$B$28&lt;=3,'XA MU'!$E$28*$B$8*(MAX(0,1-ABS('XA MU'!$C$28-$D30)/xm_sT)+MAX(0,1-ABS('XA MU'!$D$28-$D30)/xm_sT)),0)+IF(ABS($D30-(xm_y0T+(xm_nT-1)/2*xm_sT))&lt;0.000001,IF('XA MU'!$B$28&lt;=3,'XA MU'!$E$28*$B$8*(IF('XA MU'!$C$28&gt;(xm_y0T+(xm_nT-1)/2*xm_sT),2*('XA MU'!$C$28-(xm_y0T+(xm_nT-1)/2*xm_sT))/xm_sT,0)+IF('XA MU'!$D$28&gt;(xm_y0T+(xm_nT-1)/2*xm_sT),2*('XA MU'!$D$28-(xm_y0T+(xm_nT-1)/2*xm_sT))/xm_sT,0)),0),0)+IF('XA MU'!$B$29&lt;=3,'XA MU'!$E$29*$B$8*(MAX(0,1-ABS('XA MU'!$C$29-$D30)/xm_sT)+MAX(0,1-ABS('XA MU'!$D$29-$D30)/xm_sT)),0)+IF(ABS($D30-(xm_y0T+(xm_nT-1)/2*xm_sT))&lt;0.000001,IF('XA MU'!$B$29&lt;=3,'XA MU'!$E$29*$B$8*(IF('XA MU'!$C$29&gt;(xm_y0T+(xm_nT-1)/2*xm_sT),2*('XA MU'!$C$29-(xm_y0T+(xm_nT-1)/2*xm_sT))/xm_sT,0)+IF('XA MU'!$D$29&gt;(xm_y0T+(xm_nT-1)/2*xm_sT),2*('XA MU'!$D$29-(xm_y0T+(xm_nT-1)/2*xm_sT))/xm_sT,0)),0),0)+IF('XA MU'!$B$30&lt;=3,'XA MU'!$E$30*$B$8*(MAX(0,1-ABS('XA MU'!$C$30-$D30)/xm_sT)+MAX(0,1-ABS('XA MU'!$D$30-$D30)/xm_sT)),0)+IF(ABS($D30-(xm_y0T+(xm_nT-1)/2*xm_sT))&lt;0.000001,IF('XA MU'!$B$30&lt;=3,'XA MU'!$E$30*$B$8*(IF('XA MU'!$C$30&gt;(xm_y0T+(xm_nT-1)/2*xm_sT),2*('XA MU'!$C$30-(xm_y0T+(xm_nT-1)/2*xm_sT))/xm_sT,0)+IF('XA MU'!$D$30&gt;(xm_y0T+(xm_nT-1)/2*xm_sT),2*('XA MU'!$D$30-(xm_y0T+(xm_nT-1)/2*xm_sT))/xm_sT,0)),0),0))))</f>
        <v>0</v>
      </c>
      <c r="L30" s="44">
        <f>IF(C30=0,0,IF(4&gt;nLan,0,0.65*(IF('XA MU'!$B$25&lt;=4,'XA MU'!$E$25*$B$8*(MAX(0,1-ABS('XA MU'!$C$25-$D30)/xm_sT)+MAX(0,1-ABS('XA MU'!$D$25-$D30)/xm_sT)),0)+IF(ABS($D30-(xm_y0T+(xm_nT-1)/2*xm_sT))&lt;0.000001,IF('XA MU'!$B$25&lt;=4,'XA MU'!$E$25*$B$8*(IF('XA MU'!$C$25&gt;(xm_y0T+(xm_nT-1)/2*xm_sT),2*('XA MU'!$C$25-(xm_y0T+(xm_nT-1)/2*xm_sT))/xm_sT,0)+IF('XA MU'!$D$25&gt;(xm_y0T+(xm_nT-1)/2*xm_sT),2*('XA MU'!$D$25-(xm_y0T+(xm_nT-1)/2*xm_sT))/xm_sT,0)),0),0)+IF('XA MU'!$B$26&lt;=4,'XA MU'!$E$26*$B$8*(MAX(0,1-ABS('XA MU'!$C$26-$D30)/xm_sT)+MAX(0,1-ABS('XA MU'!$D$26-$D30)/xm_sT)),0)+IF(ABS($D30-(xm_y0T+(xm_nT-1)/2*xm_sT))&lt;0.000001,IF('XA MU'!$B$26&lt;=4,'XA MU'!$E$26*$B$8*(IF('XA MU'!$C$26&gt;(xm_y0T+(xm_nT-1)/2*xm_sT),2*('XA MU'!$C$26-(xm_y0T+(xm_nT-1)/2*xm_sT))/xm_sT,0)+IF('XA MU'!$D$26&gt;(xm_y0T+(xm_nT-1)/2*xm_sT),2*('XA MU'!$D$26-(xm_y0T+(xm_nT-1)/2*xm_sT))/xm_sT,0)),0),0)+IF('XA MU'!$B$27&lt;=4,'XA MU'!$E$27*$B$8*(MAX(0,1-ABS('XA MU'!$C$27-$D30)/xm_sT)+MAX(0,1-ABS('XA MU'!$D$27-$D30)/xm_sT)),0)+IF(ABS($D30-(xm_y0T+(xm_nT-1)/2*xm_sT))&lt;0.000001,IF('XA MU'!$B$27&lt;=4,'XA MU'!$E$27*$B$8*(IF('XA MU'!$C$27&gt;(xm_y0T+(xm_nT-1)/2*xm_sT),2*('XA MU'!$C$27-(xm_y0T+(xm_nT-1)/2*xm_sT))/xm_sT,0)+IF('XA MU'!$D$27&gt;(xm_y0T+(xm_nT-1)/2*xm_sT),2*('XA MU'!$D$27-(xm_y0T+(xm_nT-1)/2*xm_sT))/xm_sT,0)),0),0)+IF('XA MU'!$B$28&lt;=4,'XA MU'!$E$28*$B$8*(MAX(0,1-ABS('XA MU'!$C$28-$D30)/xm_sT)+MAX(0,1-ABS('XA MU'!$D$28-$D30)/xm_sT)),0)+IF(ABS($D30-(xm_y0T+(xm_nT-1)/2*xm_sT))&lt;0.000001,IF('XA MU'!$B$28&lt;=4,'XA MU'!$E$28*$B$8*(IF('XA MU'!$C$28&gt;(xm_y0T+(xm_nT-1)/2*xm_sT),2*('XA MU'!$C$28-(xm_y0T+(xm_nT-1)/2*xm_sT))/xm_sT,0)+IF('XA MU'!$D$28&gt;(xm_y0T+(xm_nT-1)/2*xm_sT),2*('XA MU'!$D$28-(xm_y0T+(xm_nT-1)/2*xm_sT))/xm_sT,0)),0),0)+IF('XA MU'!$B$29&lt;=4,'XA MU'!$E$29*$B$8*(MAX(0,1-ABS('XA MU'!$C$29-$D30)/xm_sT)+MAX(0,1-ABS('XA MU'!$D$29-$D30)/xm_sT)),0)+IF(ABS($D30-(xm_y0T+(xm_nT-1)/2*xm_sT))&lt;0.000001,IF('XA MU'!$B$29&lt;=4,'XA MU'!$E$29*$B$8*(IF('XA MU'!$C$29&gt;(xm_y0T+(xm_nT-1)/2*xm_sT),2*('XA MU'!$C$29-(xm_y0T+(xm_nT-1)/2*xm_sT))/xm_sT,0)+IF('XA MU'!$D$29&gt;(xm_y0T+(xm_nT-1)/2*xm_sT),2*('XA MU'!$D$29-(xm_y0T+(xm_nT-1)/2*xm_sT))/xm_sT,0)),0),0)+IF('XA MU'!$B$30&lt;=4,'XA MU'!$E$30*$B$8*(MAX(0,1-ABS('XA MU'!$C$30-$D30)/xm_sT)+MAX(0,1-ABS('XA MU'!$D$30-$D30)/xm_sT)),0)+IF(ABS($D30-(xm_y0T+(xm_nT-1)/2*xm_sT))&lt;0.000001,IF('XA MU'!$B$30&lt;=4,'XA MU'!$E$30*$B$8*(IF('XA MU'!$C$30&gt;(xm_y0T+(xm_nT-1)/2*xm_sT),2*('XA MU'!$C$30-(xm_y0T+(xm_nT-1)/2*xm_sT))/xm_sT,0)+IF('XA MU'!$D$30&gt;(xm_y0T+(xm_nT-1)/2*xm_sT),2*('XA MU'!$D$30-(xm_y0T+(xm_nT-1)/2*xm_sT))/xm_sT,0)),0),0))))</f>
        <v>0</v>
      </c>
      <c r="M30" s="44">
        <f>IF(C30=0,0,IF(5&gt;nLan,0,0.65*(IF('XA MU'!$B$25&lt;=5,'XA MU'!$E$25*$B$8*(MAX(0,1-ABS('XA MU'!$C$25-$D30)/xm_sT)+MAX(0,1-ABS('XA MU'!$D$25-$D30)/xm_sT)),0)+IF(ABS($D30-(xm_y0T+(xm_nT-1)/2*xm_sT))&lt;0.000001,IF('XA MU'!$B$25&lt;=5,'XA MU'!$E$25*$B$8*(IF('XA MU'!$C$25&gt;(xm_y0T+(xm_nT-1)/2*xm_sT),2*('XA MU'!$C$25-(xm_y0T+(xm_nT-1)/2*xm_sT))/xm_sT,0)+IF('XA MU'!$D$25&gt;(xm_y0T+(xm_nT-1)/2*xm_sT),2*('XA MU'!$D$25-(xm_y0T+(xm_nT-1)/2*xm_sT))/xm_sT,0)),0),0)+IF('XA MU'!$B$26&lt;=5,'XA MU'!$E$26*$B$8*(MAX(0,1-ABS('XA MU'!$C$26-$D30)/xm_sT)+MAX(0,1-ABS('XA MU'!$D$26-$D30)/xm_sT)),0)+IF(ABS($D30-(xm_y0T+(xm_nT-1)/2*xm_sT))&lt;0.000001,IF('XA MU'!$B$26&lt;=5,'XA MU'!$E$26*$B$8*(IF('XA MU'!$C$26&gt;(xm_y0T+(xm_nT-1)/2*xm_sT),2*('XA MU'!$C$26-(xm_y0T+(xm_nT-1)/2*xm_sT))/xm_sT,0)+IF('XA MU'!$D$26&gt;(xm_y0T+(xm_nT-1)/2*xm_sT),2*('XA MU'!$D$26-(xm_y0T+(xm_nT-1)/2*xm_sT))/xm_sT,0)),0),0)+IF('XA MU'!$B$27&lt;=5,'XA MU'!$E$27*$B$8*(MAX(0,1-ABS('XA MU'!$C$27-$D30)/xm_sT)+MAX(0,1-ABS('XA MU'!$D$27-$D30)/xm_sT)),0)+IF(ABS($D30-(xm_y0T+(xm_nT-1)/2*xm_sT))&lt;0.000001,IF('XA MU'!$B$27&lt;=5,'XA MU'!$E$27*$B$8*(IF('XA MU'!$C$27&gt;(xm_y0T+(xm_nT-1)/2*xm_sT),2*('XA MU'!$C$27-(xm_y0T+(xm_nT-1)/2*xm_sT))/xm_sT,0)+IF('XA MU'!$D$27&gt;(xm_y0T+(xm_nT-1)/2*xm_sT),2*('XA MU'!$D$27-(xm_y0T+(xm_nT-1)/2*xm_sT))/xm_sT,0)),0),0)+IF('XA MU'!$B$28&lt;=5,'XA MU'!$E$28*$B$8*(MAX(0,1-ABS('XA MU'!$C$28-$D30)/xm_sT)+MAX(0,1-ABS('XA MU'!$D$28-$D30)/xm_sT)),0)+IF(ABS($D30-(xm_y0T+(xm_nT-1)/2*xm_sT))&lt;0.000001,IF('XA MU'!$B$28&lt;=5,'XA MU'!$E$28*$B$8*(IF('XA MU'!$C$28&gt;(xm_y0T+(xm_nT-1)/2*xm_sT),2*('XA MU'!$C$28-(xm_y0T+(xm_nT-1)/2*xm_sT))/xm_sT,0)+IF('XA MU'!$D$28&gt;(xm_y0T+(xm_nT-1)/2*xm_sT),2*('XA MU'!$D$28-(xm_y0T+(xm_nT-1)/2*xm_sT))/xm_sT,0)),0),0)+IF('XA MU'!$B$29&lt;=5,'XA MU'!$E$29*$B$8*(MAX(0,1-ABS('XA MU'!$C$29-$D30)/xm_sT)+MAX(0,1-ABS('XA MU'!$D$29-$D30)/xm_sT)),0)+IF(ABS($D30-(xm_y0T+(xm_nT-1)/2*xm_sT))&lt;0.000001,IF('XA MU'!$B$29&lt;=5,'XA MU'!$E$29*$B$8*(IF('XA MU'!$C$29&gt;(xm_y0T+(xm_nT-1)/2*xm_sT),2*('XA MU'!$C$29-(xm_y0T+(xm_nT-1)/2*xm_sT))/xm_sT,0)+IF('XA MU'!$D$29&gt;(xm_y0T+(xm_nT-1)/2*xm_sT),2*('XA MU'!$D$29-(xm_y0T+(xm_nT-1)/2*xm_sT))/xm_sT,0)),0),0)+IF('XA MU'!$B$30&lt;=5,'XA MU'!$E$30*$B$8*(MAX(0,1-ABS('XA MU'!$C$30-$D30)/xm_sT)+MAX(0,1-ABS('XA MU'!$D$30-$D30)/xm_sT)),0)+IF(ABS($D30-(xm_y0T+(xm_nT-1)/2*xm_sT))&lt;0.000001,IF('XA MU'!$B$30&lt;=5,'XA MU'!$E$30*$B$8*(IF('XA MU'!$C$30&gt;(xm_y0T+(xm_nT-1)/2*xm_sT),2*('XA MU'!$C$30-(xm_y0T+(xm_nT-1)/2*xm_sT))/xm_sT,0)+IF('XA MU'!$D$30&gt;(xm_y0T+(xm_nT-1)/2*xm_sT),2*('XA MU'!$D$30-(xm_y0T+(xm_nT-1)/2*xm_sT))/xm_sT,0)),0),0))))</f>
        <v>0</v>
      </c>
      <c r="N30" s="44">
        <f>IF(C30=0,0,IF(6&gt;nLan,0,0.65*(IF('XA MU'!$B$25&lt;=6,'XA MU'!$E$25*$B$8*(MAX(0,1-ABS('XA MU'!$C$25-$D30)/xm_sT)+MAX(0,1-ABS('XA MU'!$D$25-$D30)/xm_sT)),0)+IF(ABS($D30-(xm_y0T+(xm_nT-1)/2*xm_sT))&lt;0.000001,IF('XA MU'!$B$25&lt;=6,'XA MU'!$E$25*$B$8*(IF('XA MU'!$C$25&gt;(xm_y0T+(xm_nT-1)/2*xm_sT),2*('XA MU'!$C$25-(xm_y0T+(xm_nT-1)/2*xm_sT))/xm_sT,0)+IF('XA MU'!$D$25&gt;(xm_y0T+(xm_nT-1)/2*xm_sT),2*('XA MU'!$D$25-(xm_y0T+(xm_nT-1)/2*xm_sT))/xm_sT,0)),0),0)+IF('XA MU'!$B$26&lt;=6,'XA MU'!$E$26*$B$8*(MAX(0,1-ABS('XA MU'!$C$26-$D30)/xm_sT)+MAX(0,1-ABS('XA MU'!$D$26-$D30)/xm_sT)),0)+IF(ABS($D30-(xm_y0T+(xm_nT-1)/2*xm_sT))&lt;0.000001,IF('XA MU'!$B$26&lt;=6,'XA MU'!$E$26*$B$8*(IF('XA MU'!$C$26&gt;(xm_y0T+(xm_nT-1)/2*xm_sT),2*('XA MU'!$C$26-(xm_y0T+(xm_nT-1)/2*xm_sT))/xm_sT,0)+IF('XA MU'!$D$26&gt;(xm_y0T+(xm_nT-1)/2*xm_sT),2*('XA MU'!$D$26-(xm_y0T+(xm_nT-1)/2*xm_sT))/xm_sT,0)),0),0)+IF('XA MU'!$B$27&lt;=6,'XA MU'!$E$27*$B$8*(MAX(0,1-ABS('XA MU'!$C$27-$D30)/xm_sT)+MAX(0,1-ABS('XA MU'!$D$27-$D30)/xm_sT)),0)+IF(ABS($D30-(xm_y0T+(xm_nT-1)/2*xm_sT))&lt;0.000001,IF('XA MU'!$B$27&lt;=6,'XA MU'!$E$27*$B$8*(IF('XA MU'!$C$27&gt;(xm_y0T+(xm_nT-1)/2*xm_sT),2*('XA MU'!$C$27-(xm_y0T+(xm_nT-1)/2*xm_sT))/xm_sT,0)+IF('XA MU'!$D$27&gt;(xm_y0T+(xm_nT-1)/2*xm_sT),2*('XA MU'!$D$27-(xm_y0T+(xm_nT-1)/2*xm_sT))/xm_sT,0)),0),0)+IF('XA MU'!$B$28&lt;=6,'XA MU'!$E$28*$B$8*(MAX(0,1-ABS('XA MU'!$C$28-$D30)/xm_sT)+MAX(0,1-ABS('XA MU'!$D$28-$D30)/xm_sT)),0)+IF(ABS($D30-(xm_y0T+(xm_nT-1)/2*xm_sT))&lt;0.000001,IF('XA MU'!$B$28&lt;=6,'XA MU'!$E$28*$B$8*(IF('XA MU'!$C$28&gt;(xm_y0T+(xm_nT-1)/2*xm_sT),2*('XA MU'!$C$28-(xm_y0T+(xm_nT-1)/2*xm_sT))/xm_sT,0)+IF('XA MU'!$D$28&gt;(xm_y0T+(xm_nT-1)/2*xm_sT),2*('XA MU'!$D$28-(xm_y0T+(xm_nT-1)/2*xm_sT))/xm_sT,0)),0),0)+IF('XA MU'!$B$29&lt;=6,'XA MU'!$E$29*$B$8*(MAX(0,1-ABS('XA MU'!$C$29-$D30)/xm_sT)+MAX(0,1-ABS('XA MU'!$D$29-$D30)/xm_sT)),0)+IF(ABS($D30-(xm_y0T+(xm_nT-1)/2*xm_sT))&lt;0.000001,IF('XA MU'!$B$29&lt;=6,'XA MU'!$E$29*$B$8*(IF('XA MU'!$C$29&gt;(xm_y0T+(xm_nT-1)/2*xm_sT),2*('XA MU'!$C$29-(xm_y0T+(xm_nT-1)/2*xm_sT))/xm_sT,0)+IF('XA MU'!$D$29&gt;(xm_y0T+(xm_nT-1)/2*xm_sT),2*('XA MU'!$D$29-(xm_y0T+(xm_nT-1)/2*xm_sT))/xm_sT,0)),0),0)+IF('XA MU'!$B$30&lt;=6,'XA MU'!$E$30*$B$8*(MAX(0,1-ABS('XA MU'!$C$30-$D30)/xm_sT)+MAX(0,1-ABS('XA MU'!$D$30-$D30)/xm_sT)),0)+IF(ABS($D30-(xm_y0T+(xm_nT-1)/2*xm_sT))&lt;0.000001,IF('XA MU'!$B$30&lt;=6,'XA MU'!$E$30*$B$8*(IF('XA MU'!$C$30&gt;(xm_y0T+(xm_nT-1)/2*xm_sT),2*('XA MU'!$C$30-(xm_y0T+(xm_nT-1)/2*xm_sT))/xm_sT,0)+IF('XA MU'!$D$30&gt;(xm_y0T+(xm_nT-1)/2*xm_sT),2*('XA MU'!$D$30-(xm_y0T+(xm_nT-1)/2*xm_sT))/xm_sT,0)),0),0))))</f>
        <v>0</v>
      </c>
    </row>
    <row r="31" spans="1:14" x14ac:dyDescent="0.3">
      <c r="A31" s="42" t="s">
        <v>1235</v>
      </c>
      <c r="B31" s="42">
        <v>17</v>
      </c>
      <c r="C31" s="40">
        <f t="shared" si="0"/>
        <v>0</v>
      </c>
      <c r="D31" s="44">
        <f t="shared" si="1"/>
        <v>0</v>
      </c>
      <c r="E31" s="44">
        <f>MAX(0,D31-'XA MU'!$C$8)*C31</f>
        <v>0</v>
      </c>
      <c r="F31" s="44">
        <f>IF(AND(C31=1,D31&gt;'XA MU'!$C$8),1,0)</f>
        <v>0</v>
      </c>
      <c r="G31" s="44">
        <f t="shared" si="2"/>
        <v>0</v>
      </c>
      <c r="H31" s="44">
        <f t="shared" si="3"/>
        <v>0</v>
      </c>
      <c r="I31" s="44">
        <f>IF(C31=0,0,IF(1&gt;nLan,0,1.2*(IF('XA MU'!$B$25&lt;=1,'XA MU'!$E$25*$B$8*(MAX(0,1-ABS('XA MU'!$C$25-$D31)/xm_sT)+MAX(0,1-ABS('XA MU'!$D$25-$D31)/xm_sT)),0)+IF(ABS($D31-(xm_y0T+(xm_nT-1)/2*xm_sT))&lt;0.000001,IF('XA MU'!$B$25&lt;=1,'XA MU'!$E$25*$B$8*(IF('XA MU'!$C$25&gt;(xm_y0T+(xm_nT-1)/2*xm_sT),2*('XA MU'!$C$25-(xm_y0T+(xm_nT-1)/2*xm_sT))/xm_sT,0)+IF('XA MU'!$D$25&gt;(xm_y0T+(xm_nT-1)/2*xm_sT),2*('XA MU'!$D$25-(xm_y0T+(xm_nT-1)/2*xm_sT))/xm_sT,0)),0),0)+IF('XA MU'!$B$26&lt;=1,'XA MU'!$E$26*$B$8*(MAX(0,1-ABS('XA MU'!$C$26-$D31)/xm_sT)+MAX(0,1-ABS('XA MU'!$D$26-$D31)/xm_sT)),0)+IF(ABS($D31-(xm_y0T+(xm_nT-1)/2*xm_sT))&lt;0.000001,IF('XA MU'!$B$26&lt;=1,'XA MU'!$E$26*$B$8*(IF('XA MU'!$C$26&gt;(xm_y0T+(xm_nT-1)/2*xm_sT),2*('XA MU'!$C$26-(xm_y0T+(xm_nT-1)/2*xm_sT))/xm_sT,0)+IF('XA MU'!$D$26&gt;(xm_y0T+(xm_nT-1)/2*xm_sT),2*('XA MU'!$D$26-(xm_y0T+(xm_nT-1)/2*xm_sT))/xm_sT,0)),0),0)+IF('XA MU'!$B$27&lt;=1,'XA MU'!$E$27*$B$8*(MAX(0,1-ABS('XA MU'!$C$27-$D31)/xm_sT)+MAX(0,1-ABS('XA MU'!$D$27-$D31)/xm_sT)),0)+IF(ABS($D31-(xm_y0T+(xm_nT-1)/2*xm_sT))&lt;0.000001,IF('XA MU'!$B$27&lt;=1,'XA MU'!$E$27*$B$8*(IF('XA MU'!$C$27&gt;(xm_y0T+(xm_nT-1)/2*xm_sT),2*('XA MU'!$C$27-(xm_y0T+(xm_nT-1)/2*xm_sT))/xm_sT,0)+IF('XA MU'!$D$27&gt;(xm_y0T+(xm_nT-1)/2*xm_sT),2*('XA MU'!$D$27-(xm_y0T+(xm_nT-1)/2*xm_sT))/xm_sT,0)),0),0)+IF('XA MU'!$B$28&lt;=1,'XA MU'!$E$28*$B$8*(MAX(0,1-ABS('XA MU'!$C$28-$D31)/xm_sT)+MAX(0,1-ABS('XA MU'!$D$28-$D31)/xm_sT)),0)+IF(ABS($D31-(xm_y0T+(xm_nT-1)/2*xm_sT))&lt;0.000001,IF('XA MU'!$B$28&lt;=1,'XA MU'!$E$28*$B$8*(IF('XA MU'!$C$28&gt;(xm_y0T+(xm_nT-1)/2*xm_sT),2*('XA MU'!$C$28-(xm_y0T+(xm_nT-1)/2*xm_sT))/xm_sT,0)+IF('XA MU'!$D$28&gt;(xm_y0T+(xm_nT-1)/2*xm_sT),2*('XA MU'!$D$28-(xm_y0T+(xm_nT-1)/2*xm_sT))/xm_sT,0)),0),0)+IF('XA MU'!$B$29&lt;=1,'XA MU'!$E$29*$B$8*(MAX(0,1-ABS('XA MU'!$C$29-$D31)/xm_sT)+MAX(0,1-ABS('XA MU'!$D$29-$D31)/xm_sT)),0)+IF(ABS($D31-(xm_y0T+(xm_nT-1)/2*xm_sT))&lt;0.000001,IF('XA MU'!$B$29&lt;=1,'XA MU'!$E$29*$B$8*(IF('XA MU'!$C$29&gt;(xm_y0T+(xm_nT-1)/2*xm_sT),2*('XA MU'!$C$29-(xm_y0T+(xm_nT-1)/2*xm_sT))/xm_sT,0)+IF('XA MU'!$D$29&gt;(xm_y0T+(xm_nT-1)/2*xm_sT),2*('XA MU'!$D$29-(xm_y0T+(xm_nT-1)/2*xm_sT))/xm_sT,0)),0),0)+IF('XA MU'!$B$30&lt;=1,'XA MU'!$E$30*$B$8*(MAX(0,1-ABS('XA MU'!$C$30-$D31)/xm_sT)+MAX(0,1-ABS('XA MU'!$D$30-$D31)/xm_sT)),0)+IF(ABS($D31-(xm_y0T+(xm_nT-1)/2*xm_sT))&lt;0.000001,IF('XA MU'!$B$30&lt;=1,'XA MU'!$E$30*$B$8*(IF('XA MU'!$C$30&gt;(xm_y0T+(xm_nT-1)/2*xm_sT),2*('XA MU'!$C$30-(xm_y0T+(xm_nT-1)/2*xm_sT))/xm_sT,0)+IF('XA MU'!$D$30&gt;(xm_y0T+(xm_nT-1)/2*xm_sT),2*('XA MU'!$D$30-(xm_y0T+(xm_nT-1)/2*xm_sT))/xm_sT,0)),0),0))))</f>
        <v>0</v>
      </c>
      <c r="J31" s="44">
        <f>IF(C31=0,0,IF(2&gt;nLan,0,1*(IF('XA MU'!$B$25&lt;=2,'XA MU'!$E$25*$B$8*(MAX(0,1-ABS('XA MU'!$C$25-$D31)/xm_sT)+MAX(0,1-ABS('XA MU'!$D$25-$D31)/xm_sT)),0)+IF(ABS($D31-(xm_y0T+(xm_nT-1)/2*xm_sT))&lt;0.000001,IF('XA MU'!$B$25&lt;=2,'XA MU'!$E$25*$B$8*(IF('XA MU'!$C$25&gt;(xm_y0T+(xm_nT-1)/2*xm_sT),2*('XA MU'!$C$25-(xm_y0T+(xm_nT-1)/2*xm_sT))/xm_sT,0)+IF('XA MU'!$D$25&gt;(xm_y0T+(xm_nT-1)/2*xm_sT),2*('XA MU'!$D$25-(xm_y0T+(xm_nT-1)/2*xm_sT))/xm_sT,0)),0),0)+IF('XA MU'!$B$26&lt;=2,'XA MU'!$E$26*$B$8*(MAX(0,1-ABS('XA MU'!$C$26-$D31)/xm_sT)+MAX(0,1-ABS('XA MU'!$D$26-$D31)/xm_sT)),0)+IF(ABS($D31-(xm_y0T+(xm_nT-1)/2*xm_sT))&lt;0.000001,IF('XA MU'!$B$26&lt;=2,'XA MU'!$E$26*$B$8*(IF('XA MU'!$C$26&gt;(xm_y0T+(xm_nT-1)/2*xm_sT),2*('XA MU'!$C$26-(xm_y0T+(xm_nT-1)/2*xm_sT))/xm_sT,0)+IF('XA MU'!$D$26&gt;(xm_y0T+(xm_nT-1)/2*xm_sT),2*('XA MU'!$D$26-(xm_y0T+(xm_nT-1)/2*xm_sT))/xm_sT,0)),0),0)+IF('XA MU'!$B$27&lt;=2,'XA MU'!$E$27*$B$8*(MAX(0,1-ABS('XA MU'!$C$27-$D31)/xm_sT)+MAX(0,1-ABS('XA MU'!$D$27-$D31)/xm_sT)),0)+IF(ABS($D31-(xm_y0T+(xm_nT-1)/2*xm_sT))&lt;0.000001,IF('XA MU'!$B$27&lt;=2,'XA MU'!$E$27*$B$8*(IF('XA MU'!$C$27&gt;(xm_y0T+(xm_nT-1)/2*xm_sT),2*('XA MU'!$C$27-(xm_y0T+(xm_nT-1)/2*xm_sT))/xm_sT,0)+IF('XA MU'!$D$27&gt;(xm_y0T+(xm_nT-1)/2*xm_sT),2*('XA MU'!$D$27-(xm_y0T+(xm_nT-1)/2*xm_sT))/xm_sT,0)),0),0)+IF('XA MU'!$B$28&lt;=2,'XA MU'!$E$28*$B$8*(MAX(0,1-ABS('XA MU'!$C$28-$D31)/xm_sT)+MAX(0,1-ABS('XA MU'!$D$28-$D31)/xm_sT)),0)+IF(ABS($D31-(xm_y0T+(xm_nT-1)/2*xm_sT))&lt;0.000001,IF('XA MU'!$B$28&lt;=2,'XA MU'!$E$28*$B$8*(IF('XA MU'!$C$28&gt;(xm_y0T+(xm_nT-1)/2*xm_sT),2*('XA MU'!$C$28-(xm_y0T+(xm_nT-1)/2*xm_sT))/xm_sT,0)+IF('XA MU'!$D$28&gt;(xm_y0T+(xm_nT-1)/2*xm_sT),2*('XA MU'!$D$28-(xm_y0T+(xm_nT-1)/2*xm_sT))/xm_sT,0)),0),0)+IF('XA MU'!$B$29&lt;=2,'XA MU'!$E$29*$B$8*(MAX(0,1-ABS('XA MU'!$C$29-$D31)/xm_sT)+MAX(0,1-ABS('XA MU'!$D$29-$D31)/xm_sT)),0)+IF(ABS($D31-(xm_y0T+(xm_nT-1)/2*xm_sT))&lt;0.000001,IF('XA MU'!$B$29&lt;=2,'XA MU'!$E$29*$B$8*(IF('XA MU'!$C$29&gt;(xm_y0T+(xm_nT-1)/2*xm_sT),2*('XA MU'!$C$29-(xm_y0T+(xm_nT-1)/2*xm_sT))/xm_sT,0)+IF('XA MU'!$D$29&gt;(xm_y0T+(xm_nT-1)/2*xm_sT),2*('XA MU'!$D$29-(xm_y0T+(xm_nT-1)/2*xm_sT))/xm_sT,0)),0),0)+IF('XA MU'!$B$30&lt;=2,'XA MU'!$E$30*$B$8*(MAX(0,1-ABS('XA MU'!$C$30-$D31)/xm_sT)+MAX(0,1-ABS('XA MU'!$D$30-$D31)/xm_sT)),0)+IF(ABS($D31-(xm_y0T+(xm_nT-1)/2*xm_sT))&lt;0.000001,IF('XA MU'!$B$30&lt;=2,'XA MU'!$E$30*$B$8*(IF('XA MU'!$C$30&gt;(xm_y0T+(xm_nT-1)/2*xm_sT),2*('XA MU'!$C$30-(xm_y0T+(xm_nT-1)/2*xm_sT))/xm_sT,0)+IF('XA MU'!$D$30&gt;(xm_y0T+(xm_nT-1)/2*xm_sT),2*('XA MU'!$D$30-(xm_y0T+(xm_nT-1)/2*xm_sT))/xm_sT,0)),0),0))))</f>
        <v>0</v>
      </c>
      <c r="K31" s="44">
        <f>IF(C31=0,0,IF(3&gt;nLan,0,0.85*(IF('XA MU'!$B$25&lt;=3,'XA MU'!$E$25*$B$8*(MAX(0,1-ABS('XA MU'!$C$25-$D31)/xm_sT)+MAX(0,1-ABS('XA MU'!$D$25-$D31)/xm_sT)),0)+IF(ABS($D31-(xm_y0T+(xm_nT-1)/2*xm_sT))&lt;0.000001,IF('XA MU'!$B$25&lt;=3,'XA MU'!$E$25*$B$8*(IF('XA MU'!$C$25&gt;(xm_y0T+(xm_nT-1)/2*xm_sT),2*('XA MU'!$C$25-(xm_y0T+(xm_nT-1)/2*xm_sT))/xm_sT,0)+IF('XA MU'!$D$25&gt;(xm_y0T+(xm_nT-1)/2*xm_sT),2*('XA MU'!$D$25-(xm_y0T+(xm_nT-1)/2*xm_sT))/xm_sT,0)),0),0)+IF('XA MU'!$B$26&lt;=3,'XA MU'!$E$26*$B$8*(MAX(0,1-ABS('XA MU'!$C$26-$D31)/xm_sT)+MAX(0,1-ABS('XA MU'!$D$26-$D31)/xm_sT)),0)+IF(ABS($D31-(xm_y0T+(xm_nT-1)/2*xm_sT))&lt;0.000001,IF('XA MU'!$B$26&lt;=3,'XA MU'!$E$26*$B$8*(IF('XA MU'!$C$26&gt;(xm_y0T+(xm_nT-1)/2*xm_sT),2*('XA MU'!$C$26-(xm_y0T+(xm_nT-1)/2*xm_sT))/xm_sT,0)+IF('XA MU'!$D$26&gt;(xm_y0T+(xm_nT-1)/2*xm_sT),2*('XA MU'!$D$26-(xm_y0T+(xm_nT-1)/2*xm_sT))/xm_sT,0)),0),0)+IF('XA MU'!$B$27&lt;=3,'XA MU'!$E$27*$B$8*(MAX(0,1-ABS('XA MU'!$C$27-$D31)/xm_sT)+MAX(0,1-ABS('XA MU'!$D$27-$D31)/xm_sT)),0)+IF(ABS($D31-(xm_y0T+(xm_nT-1)/2*xm_sT))&lt;0.000001,IF('XA MU'!$B$27&lt;=3,'XA MU'!$E$27*$B$8*(IF('XA MU'!$C$27&gt;(xm_y0T+(xm_nT-1)/2*xm_sT),2*('XA MU'!$C$27-(xm_y0T+(xm_nT-1)/2*xm_sT))/xm_sT,0)+IF('XA MU'!$D$27&gt;(xm_y0T+(xm_nT-1)/2*xm_sT),2*('XA MU'!$D$27-(xm_y0T+(xm_nT-1)/2*xm_sT))/xm_sT,0)),0),0)+IF('XA MU'!$B$28&lt;=3,'XA MU'!$E$28*$B$8*(MAX(0,1-ABS('XA MU'!$C$28-$D31)/xm_sT)+MAX(0,1-ABS('XA MU'!$D$28-$D31)/xm_sT)),0)+IF(ABS($D31-(xm_y0T+(xm_nT-1)/2*xm_sT))&lt;0.000001,IF('XA MU'!$B$28&lt;=3,'XA MU'!$E$28*$B$8*(IF('XA MU'!$C$28&gt;(xm_y0T+(xm_nT-1)/2*xm_sT),2*('XA MU'!$C$28-(xm_y0T+(xm_nT-1)/2*xm_sT))/xm_sT,0)+IF('XA MU'!$D$28&gt;(xm_y0T+(xm_nT-1)/2*xm_sT),2*('XA MU'!$D$28-(xm_y0T+(xm_nT-1)/2*xm_sT))/xm_sT,0)),0),0)+IF('XA MU'!$B$29&lt;=3,'XA MU'!$E$29*$B$8*(MAX(0,1-ABS('XA MU'!$C$29-$D31)/xm_sT)+MAX(0,1-ABS('XA MU'!$D$29-$D31)/xm_sT)),0)+IF(ABS($D31-(xm_y0T+(xm_nT-1)/2*xm_sT))&lt;0.000001,IF('XA MU'!$B$29&lt;=3,'XA MU'!$E$29*$B$8*(IF('XA MU'!$C$29&gt;(xm_y0T+(xm_nT-1)/2*xm_sT),2*('XA MU'!$C$29-(xm_y0T+(xm_nT-1)/2*xm_sT))/xm_sT,0)+IF('XA MU'!$D$29&gt;(xm_y0T+(xm_nT-1)/2*xm_sT),2*('XA MU'!$D$29-(xm_y0T+(xm_nT-1)/2*xm_sT))/xm_sT,0)),0),0)+IF('XA MU'!$B$30&lt;=3,'XA MU'!$E$30*$B$8*(MAX(0,1-ABS('XA MU'!$C$30-$D31)/xm_sT)+MAX(0,1-ABS('XA MU'!$D$30-$D31)/xm_sT)),0)+IF(ABS($D31-(xm_y0T+(xm_nT-1)/2*xm_sT))&lt;0.000001,IF('XA MU'!$B$30&lt;=3,'XA MU'!$E$30*$B$8*(IF('XA MU'!$C$30&gt;(xm_y0T+(xm_nT-1)/2*xm_sT),2*('XA MU'!$C$30-(xm_y0T+(xm_nT-1)/2*xm_sT))/xm_sT,0)+IF('XA MU'!$D$30&gt;(xm_y0T+(xm_nT-1)/2*xm_sT),2*('XA MU'!$D$30-(xm_y0T+(xm_nT-1)/2*xm_sT))/xm_sT,0)),0),0))))</f>
        <v>0</v>
      </c>
      <c r="L31" s="44">
        <f>IF(C31=0,0,IF(4&gt;nLan,0,0.65*(IF('XA MU'!$B$25&lt;=4,'XA MU'!$E$25*$B$8*(MAX(0,1-ABS('XA MU'!$C$25-$D31)/xm_sT)+MAX(0,1-ABS('XA MU'!$D$25-$D31)/xm_sT)),0)+IF(ABS($D31-(xm_y0T+(xm_nT-1)/2*xm_sT))&lt;0.000001,IF('XA MU'!$B$25&lt;=4,'XA MU'!$E$25*$B$8*(IF('XA MU'!$C$25&gt;(xm_y0T+(xm_nT-1)/2*xm_sT),2*('XA MU'!$C$25-(xm_y0T+(xm_nT-1)/2*xm_sT))/xm_sT,0)+IF('XA MU'!$D$25&gt;(xm_y0T+(xm_nT-1)/2*xm_sT),2*('XA MU'!$D$25-(xm_y0T+(xm_nT-1)/2*xm_sT))/xm_sT,0)),0),0)+IF('XA MU'!$B$26&lt;=4,'XA MU'!$E$26*$B$8*(MAX(0,1-ABS('XA MU'!$C$26-$D31)/xm_sT)+MAX(0,1-ABS('XA MU'!$D$26-$D31)/xm_sT)),0)+IF(ABS($D31-(xm_y0T+(xm_nT-1)/2*xm_sT))&lt;0.000001,IF('XA MU'!$B$26&lt;=4,'XA MU'!$E$26*$B$8*(IF('XA MU'!$C$26&gt;(xm_y0T+(xm_nT-1)/2*xm_sT),2*('XA MU'!$C$26-(xm_y0T+(xm_nT-1)/2*xm_sT))/xm_sT,0)+IF('XA MU'!$D$26&gt;(xm_y0T+(xm_nT-1)/2*xm_sT),2*('XA MU'!$D$26-(xm_y0T+(xm_nT-1)/2*xm_sT))/xm_sT,0)),0),0)+IF('XA MU'!$B$27&lt;=4,'XA MU'!$E$27*$B$8*(MAX(0,1-ABS('XA MU'!$C$27-$D31)/xm_sT)+MAX(0,1-ABS('XA MU'!$D$27-$D31)/xm_sT)),0)+IF(ABS($D31-(xm_y0T+(xm_nT-1)/2*xm_sT))&lt;0.000001,IF('XA MU'!$B$27&lt;=4,'XA MU'!$E$27*$B$8*(IF('XA MU'!$C$27&gt;(xm_y0T+(xm_nT-1)/2*xm_sT),2*('XA MU'!$C$27-(xm_y0T+(xm_nT-1)/2*xm_sT))/xm_sT,0)+IF('XA MU'!$D$27&gt;(xm_y0T+(xm_nT-1)/2*xm_sT),2*('XA MU'!$D$27-(xm_y0T+(xm_nT-1)/2*xm_sT))/xm_sT,0)),0),0)+IF('XA MU'!$B$28&lt;=4,'XA MU'!$E$28*$B$8*(MAX(0,1-ABS('XA MU'!$C$28-$D31)/xm_sT)+MAX(0,1-ABS('XA MU'!$D$28-$D31)/xm_sT)),0)+IF(ABS($D31-(xm_y0T+(xm_nT-1)/2*xm_sT))&lt;0.000001,IF('XA MU'!$B$28&lt;=4,'XA MU'!$E$28*$B$8*(IF('XA MU'!$C$28&gt;(xm_y0T+(xm_nT-1)/2*xm_sT),2*('XA MU'!$C$28-(xm_y0T+(xm_nT-1)/2*xm_sT))/xm_sT,0)+IF('XA MU'!$D$28&gt;(xm_y0T+(xm_nT-1)/2*xm_sT),2*('XA MU'!$D$28-(xm_y0T+(xm_nT-1)/2*xm_sT))/xm_sT,0)),0),0)+IF('XA MU'!$B$29&lt;=4,'XA MU'!$E$29*$B$8*(MAX(0,1-ABS('XA MU'!$C$29-$D31)/xm_sT)+MAX(0,1-ABS('XA MU'!$D$29-$D31)/xm_sT)),0)+IF(ABS($D31-(xm_y0T+(xm_nT-1)/2*xm_sT))&lt;0.000001,IF('XA MU'!$B$29&lt;=4,'XA MU'!$E$29*$B$8*(IF('XA MU'!$C$29&gt;(xm_y0T+(xm_nT-1)/2*xm_sT),2*('XA MU'!$C$29-(xm_y0T+(xm_nT-1)/2*xm_sT))/xm_sT,0)+IF('XA MU'!$D$29&gt;(xm_y0T+(xm_nT-1)/2*xm_sT),2*('XA MU'!$D$29-(xm_y0T+(xm_nT-1)/2*xm_sT))/xm_sT,0)),0),0)+IF('XA MU'!$B$30&lt;=4,'XA MU'!$E$30*$B$8*(MAX(0,1-ABS('XA MU'!$C$30-$D31)/xm_sT)+MAX(0,1-ABS('XA MU'!$D$30-$D31)/xm_sT)),0)+IF(ABS($D31-(xm_y0T+(xm_nT-1)/2*xm_sT))&lt;0.000001,IF('XA MU'!$B$30&lt;=4,'XA MU'!$E$30*$B$8*(IF('XA MU'!$C$30&gt;(xm_y0T+(xm_nT-1)/2*xm_sT),2*('XA MU'!$C$30-(xm_y0T+(xm_nT-1)/2*xm_sT))/xm_sT,0)+IF('XA MU'!$D$30&gt;(xm_y0T+(xm_nT-1)/2*xm_sT),2*('XA MU'!$D$30-(xm_y0T+(xm_nT-1)/2*xm_sT))/xm_sT,0)),0),0))))</f>
        <v>0</v>
      </c>
      <c r="M31" s="44">
        <f>IF(C31=0,0,IF(5&gt;nLan,0,0.65*(IF('XA MU'!$B$25&lt;=5,'XA MU'!$E$25*$B$8*(MAX(0,1-ABS('XA MU'!$C$25-$D31)/xm_sT)+MAX(0,1-ABS('XA MU'!$D$25-$D31)/xm_sT)),0)+IF(ABS($D31-(xm_y0T+(xm_nT-1)/2*xm_sT))&lt;0.000001,IF('XA MU'!$B$25&lt;=5,'XA MU'!$E$25*$B$8*(IF('XA MU'!$C$25&gt;(xm_y0T+(xm_nT-1)/2*xm_sT),2*('XA MU'!$C$25-(xm_y0T+(xm_nT-1)/2*xm_sT))/xm_sT,0)+IF('XA MU'!$D$25&gt;(xm_y0T+(xm_nT-1)/2*xm_sT),2*('XA MU'!$D$25-(xm_y0T+(xm_nT-1)/2*xm_sT))/xm_sT,0)),0),0)+IF('XA MU'!$B$26&lt;=5,'XA MU'!$E$26*$B$8*(MAX(0,1-ABS('XA MU'!$C$26-$D31)/xm_sT)+MAX(0,1-ABS('XA MU'!$D$26-$D31)/xm_sT)),0)+IF(ABS($D31-(xm_y0T+(xm_nT-1)/2*xm_sT))&lt;0.000001,IF('XA MU'!$B$26&lt;=5,'XA MU'!$E$26*$B$8*(IF('XA MU'!$C$26&gt;(xm_y0T+(xm_nT-1)/2*xm_sT),2*('XA MU'!$C$26-(xm_y0T+(xm_nT-1)/2*xm_sT))/xm_sT,0)+IF('XA MU'!$D$26&gt;(xm_y0T+(xm_nT-1)/2*xm_sT),2*('XA MU'!$D$26-(xm_y0T+(xm_nT-1)/2*xm_sT))/xm_sT,0)),0),0)+IF('XA MU'!$B$27&lt;=5,'XA MU'!$E$27*$B$8*(MAX(0,1-ABS('XA MU'!$C$27-$D31)/xm_sT)+MAX(0,1-ABS('XA MU'!$D$27-$D31)/xm_sT)),0)+IF(ABS($D31-(xm_y0T+(xm_nT-1)/2*xm_sT))&lt;0.000001,IF('XA MU'!$B$27&lt;=5,'XA MU'!$E$27*$B$8*(IF('XA MU'!$C$27&gt;(xm_y0T+(xm_nT-1)/2*xm_sT),2*('XA MU'!$C$27-(xm_y0T+(xm_nT-1)/2*xm_sT))/xm_sT,0)+IF('XA MU'!$D$27&gt;(xm_y0T+(xm_nT-1)/2*xm_sT),2*('XA MU'!$D$27-(xm_y0T+(xm_nT-1)/2*xm_sT))/xm_sT,0)),0),0)+IF('XA MU'!$B$28&lt;=5,'XA MU'!$E$28*$B$8*(MAX(0,1-ABS('XA MU'!$C$28-$D31)/xm_sT)+MAX(0,1-ABS('XA MU'!$D$28-$D31)/xm_sT)),0)+IF(ABS($D31-(xm_y0T+(xm_nT-1)/2*xm_sT))&lt;0.000001,IF('XA MU'!$B$28&lt;=5,'XA MU'!$E$28*$B$8*(IF('XA MU'!$C$28&gt;(xm_y0T+(xm_nT-1)/2*xm_sT),2*('XA MU'!$C$28-(xm_y0T+(xm_nT-1)/2*xm_sT))/xm_sT,0)+IF('XA MU'!$D$28&gt;(xm_y0T+(xm_nT-1)/2*xm_sT),2*('XA MU'!$D$28-(xm_y0T+(xm_nT-1)/2*xm_sT))/xm_sT,0)),0),0)+IF('XA MU'!$B$29&lt;=5,'XA MU'!$E$29*$B$8*(MAX(0,1-ABS('XA MU'!$C$29-$D31)/xm_sT)+MAX(0,1-ABS('XA MU'!$D$29-$D31)/xm_sT)),0)+IF(ABS($D31-(xm_y0T+(xm_nT-1)/2*xm_sT))&lt;0.000001,IF('XA MU'!$B$29&lt;=5,'XA MU'!$E$29*$B$8*(IF('XA MU'!$C$29&gt;(xm_y0T+(xm_nT-1)/2*xm_sT),2*('XA MU'!$C$29-(xm_y0T+(xm_nT-1)/2*xm_sT))/xm_sT,0)+IF('XA MU'!$D$29&gt;(xm_y0T+(xm_nT-1)/2*xm_sT),2*('XA MU'!$D$29-(xm_y0T+(xm_nT-1)/2*xm_sT))/xm_sT,0)),0),0)+IF('XA MU'!$B$30&lt;=5,'XA MU'!$E$30*$B$8*(MAX(0,1-ABS('XA MU'!$C$30-$D31)/xm_sT)+MAX(0,1-ABS('XA MU'!$D$30-$D31)/xm_sT)),0)+IF(ABS($D31-(xm_y0T+(xm_nT-1)/2*xm_sT))&lt;0.000001,IF('XA MU'!$B$30&lt;=5,'XA MU'!$E$30*$B$8*(IF('XA MU'!$C$30&gt;(xm_y0T+(xm_nT-1)/2*xm_sT),2*('XA MU'!$C$30-(xm_y0T+(xm_nT-1)/2*xm_sT))/xm_sT,0)+IF('XA MU'!$D$30&gt;(xm_y0T+(xm_nT-1)/2*xm_sT),2*('XA MU'!$D$30-(xm_y0T+(xm_nT-1)/2*xm_sT))/xm_sT,0)),0),0))))</f>
        <v>0</v>
      </c>
      <c r="N31" s="44">
        <f>IF(C31=0,0,IF(6&gt;nLan,0,0.65*(IF('XA MU'!$B$25&lt;=6,'XA MU'!$E$25*$B$8*(MAX(0,1-ABS('XA MU'!$C$25-$D31)/xm_sT)+MAX(0,1-ABS('XA MU'!$D$25-$D31)/xm_sT)),0)+IF(ABS($D31-(xm_y0T+(xm_nT-1)/2*xm_sT))&lt;0.000001,IF('XA MU'!$B$25&lt;=6,'XA MU'!$E$25*$B$8*(IF('XA MU'!$C$25&gt;(xm_y0T+(xm_nT-1)/2*xm_sT),2*('XA MU'!$C$25-(xm_y0T+(xm_nT-1)/2*xm_sT))/xm_sT,0)+IF('XA MU'!$D$25&gt;(xm_y0T+(xm_nT-1)/2*xm_sT),2*('XA MU'!$D$25-(xm_y0T+(xm_nT-1)/2*xm_sT))/xm_sT,0)),0),0)+IF('XA MU'!$B$26&lt;=6,'XA MU'!$E$26*$B$8*(MAX(0,1-ABS('XA MU'!$C$26-$D31)/xm_sT)+MAX(0,1-ABS('XA MU'!$D$26-$D31)/xm_sT)),0)+IF(ABS($D31-(xm_y0T+(xm_nT-1)/2*xm_sT))&lt;0.000001,IF('XA MU'!$B$26&lt;=6,'XA MU'!$E$26*$B$8*(IF('XA MU'!$C$26&gt;(xm_y0T+(xm_nT-1)/2*xm_sT),2*('XA MU'!$C$26-(xm_y0T+(xm_nT-1)/2*xm_sT))/xm_sT,0)+IF('XA MU'!$D$26&gt;(xm_y0T+(xm_nT-1)/2*xm_sT),2*('XA MU'!$D$26-(xm_y0T+(xm_nT-1)/2*xm_sT))/xm_sT,0)),0),0)+IF('XA MU'!$B$27&lt;=6,'XA MU'!$E$27*$B$8*(MAX(0,1-ABS('XA MU'!$C$27-$D31)/xm_sT)+MAX(0,1-ABS('XA MU'!$D$27-$D31)/xm_sT)),0)+IF(ABS($D31-(xm_y0T+(xm_nT-1)/2*xm_sT))&lt;0.000001,IF('XA MU'!$B$27&lt;=6,'XA MU'!$E$27*$B$8*(IF('XA MU'!$C$27&gt;(xm_y0T+(xm_nT-1)/2*xm_sT),2*('XA MU'!$C$27-(xm_y0T+(xm_nT-1)/2*xm_sT))/xm_sT,0)+IF('XA MU'!$D$27&gt;(xm_y0T+(xm_nT-1)/2*xm_sT),2*('XA MU'!$D$27-(xm_y0T+(xm_nT-1)/2*xm_sT))/xm_sT,0)),0),0)+IF('XA MU'!$B$28&lt;=6,'XA MU'!$E$28*$B$8*(MAX(0,1-ABS('XA MU'!$C$28-$D31)/xm_sT)+MAX(0,1-ABS('XA MU'!$D$28-$D31)/xm_sT)),0)+IF(ABS($D31-(xm_y0T+(xm_nT-1)/2*xm_sT))&lt;0.000001,IF('XA MU'!$B$28&lt;=6,'XA MU'!$E$28*$B$8*(IF('XA MU'!$C$28&gt;(xm_y0T+(xm_nT-1)/2*xm_sT),2*('XA MU'!$C$28-(xm_y0T+(xm_nT-1)/2*xm_sT))/xm_sT,0)+IF('XA MU'!$D$28&gt;(xm_y0T+(xm_nT-1)/2*xm_sT),2*('XA MU'!$D$28-(xm_y0T+(xm_nT-1)/2*xm_sT))/xm_sT,0)),0),0)+IF('XA MU'!$B$29&lt;=6,'XA MU'!$E$29*$B$8*(MAX(0,1-ABS('XA MU'!$C$29-$D31)/xm_sT)+MAX(0,1-ABS('XA MU'!$D$29-$D31)/xm_sT)),0)+IF(ABS($D31-(xm_y0T+(xm_nT-1)/2*xm_sT))&lt;0.000001,IF('XA MU'!$B$29&lt;=6,'XA MU'!$E$29*$B$8*(IF('XA MU'!$C$29&gt;(xm_y0T+(xm_nT-1)/2*xm_sT),2*('XA MU'!$C$29-(xm_y0T+(xm_nT-1)/2*xm_sT))/xm_sT,0)+IF('XA MU'!$D$29&gt;(xm_y0T+(xm_nT-1)/2*xm_sT),2*('XA MU'!$D$29-(xm_y0T+(xm_nT-1)/2*xm_sT))/xm_sT,0)),0),0)+IF('XA MU'!$B$30&lt;=6,'XA MU'!$E$30*$B$8*(MAX(0,1-ABS('XA MU'!$C$30-$D31)/xm_sT)+MAX(0,1-ABS('XA MU'!$D$30-$D31)/xm_sT)),0)+IF(ABS($D31-(xm_y0T+(xm_nT-1)/2*xm_sT))&lt;0.000001,IF('XA MU'!$B$30&lt;=6,'XA MU'!$E$30*$B$8*(IF('XA MU'!$C$30&gt;(xm_y0T+(xm_nT-1)/2*xm_sT),2*('XA MU'!$C$30-(xm_y0T+(xm_nT-1)/2*xm_sT))/xm_sT,0)+IF('XA MU'!$D$30&gt;(xm_y0T+(xm_nT-1)/2*xm_sT),2*('XA MU'!$D$30-(xm_y0T+(xm_nT-1)/2*xm_sT))/xm_sT,0)),0),0))))</f>
        <v>0</v>
      </c>
    </row>
    <row r="32" spans="1:14" x14ac:dyDescent="0.3">
      <c r="A32" s="42" t="s">
        <v>1235</v>
      </c>
      <c r="B32" s="42">
        <v>18</v>
      </c>
      <c r="C32" s="40">
        <f t="shared" si="0"/>
        <v>0</v>
      </c>
      <c r="D32" s="44">
        <f t="shared" si="1"/>
        <v>0</v>
      </c>
      <c r="E32" s="44">
        <f>MAX(0,D32-'XA MU'!$C$8)*C32</f>
        <v>0</v>
      </c>
      <c r="F32" s="44">
        <f>IF(AND(C32=1,D32&gt;'XA MU'!$C$8),1,0)</f>
        <v>0</v>
      </c>
      <c r="G32" s="44">
        <f t="shared" si="2"/>
        <v>0</v>
      </c>
      <c r="H32" s="44">
        <f t="shared" si="3"/>
        <v>0</v>
      </c>
      <c r="I32" s="44">
        <f>IF(C32=0,0,IF(1&gt;nLan,0,1.2*(IF('XA MU'!$B$25&lt;=1,'XA MU'!$E$25*$B$8*(MAX(0,1-ABS('XA MU'!$C$25-$D32)/xm_sT)+MAX(0,1-ABS('XA MU'!$D$25-$D32)/xm_sT)),0)+IF(ABS($D32-(xm_y0T+(xm_nT-1)/2*xm_sT))&lt;0.000001,IF('XA MU'!$B$25&lt;=1,'XA MU'!$E$25*$B$8*(IF('XA MU'!$C$25&gt;(xm_y0T+(xm_nT-1)/2*xm_sT),2*('XA MU'!$C$25-(xm_y0T+(xm_nT-1)/2*xm_sT))/xm_sT,0)+IF('XA MU'!$D$25&gt;(xm_y0T+(xm_nT-1)/2*xm_sT),2*('XA MU'!$D$25-(xm_y0T+(xm_nT-1)/2*xm_sT))/xm_sT,0)),0),0)+IF('XA MU'!$B$26&lt;=1,'XA MU'!$E$26*$B$8*(MAX(0,1-ABS('XA MU'!$C$26-$D32)/xm_sT)+MAX(0,1-ABS('XA MU'!$D$26-$D32)/xm_sT)),0)+IF(ABS($D32-(xm_y0T+(xm_nT-1)/2*xm_sT))&lt;0.000001,IF('XA MU'!$B$26&lt;=1,'XA MU'!$E$26*$B$8*(IF('XA MU'!$C$26&gt;(xm_y0T+(xm_nT-1)/2*xm_sT),2*('XA MU'!$C$26-(xm_y0T+(xm_nT-1)/2*xm_sT))/xm_sT,0)+IF('XA MU'!$D$26&gt;(xm_y0T+(xm_nT-1)/2*xm_sT),2*('XA MU'!$D$26-(xm_y0T+(xm_nT-1)/2*xm_sT))/xm_sT,0)),0),0)+IF('XA MU'!$B$27&lt;=1,'XA MU'!$E$27*$B$8*(MAX(0,1-ABS('XA MU'!$C$27-$D32)/xm_sT)+MAX(0,1-ABS('XA MU'!$D$27-$D32)/xm_sT)),0)+IF(ABS($D32-(xm_y0T+(xm_nT-1)/2*xm_sT))&lt;0.000001,IF('XA MU'!$B$27&lt;=1,'XA MU'!$E$27*$B$8*(IF('XA MU'!$C$27&gt;(xm_y0T+(xm_nT-1)/2*xm_sT),2*('XA MU'!$C$27-(xm_y0T+(xm_nT-1)/2*xm_sT))/xm_sT,0)+IF('XA MU'!$D$27&gt;(xm_y0T+(xm_nT-1)/2*xm_sT),2*('XA MU'!$D$27-(xm_y0T+(xm_nT-1)/2*xm_sT))/xm_sT,0)),0),0)+IF('XA MU'!$B$28&lt;=1,'XA MU'!$E$28*$B$8*(MAX(0,1-ABS('XA MU'!$C$28-$D32)/xm_sT)+MAX(0,1-ABS('XA MU'!$D$28-$D32)/xm_sT)),0)+IF(ABS($D32-(xm_y0T+(xm_nT-1)/2*xm_sT))&lt;0.000001,IF('XA MU'!$B$28&lt;=1,'XA MU'!$E$28*$B$8*(IF('XA MU'!$C$28&gt;(xm_y0T+(xm_nT-1)/2*xm_sT),2*('XA MU'!$C$28-(xm_y0T+(xm_nT-1)/2*xm_sT))/xm_sT,0)+IF('XA MU'!$D$28&gt;(xm_y0T+(xm_nT-1)/2*xm_sT),2*('XA MU'!$D$28-(xm_y0T+(xm_nT-1)/2*xm_sT))/xm_sT,0)),0),0)+IF('XA MU'!$B$29&lt;=1,'XA MU'!$E$29*$B$8*(MAX(0,1-ABS('XA MU'!$C$29-$D32)/xm_sT)+MAX(0,1-ABS('XA MU'!$D$29-$D32)/xm_sT)),0)+IF(ABS($D32-(xm_y0T+(xm_nT-1)/2*xm_sT))&lt;0.000001,IF('XA MU'!$B$29&lt;=1,'XA MU'!$E$29*$B$8*(IF('XA MU'!$C$29&gt;(xm_y0T+(xm_nT-1)/2*xm_sT),2*('XA MU'!$C$29-(xm_y0T+(xm_nT-1)/2*xm_sT))/xm_sT,0)+IF('XA MU'!$D$29&gt;(xm_y0T+(xm_nT-1)/2*xm_sT),2*('XA MU'!$D$29-(xm_y0T+(xm_nT-1)/2*xm_sT))/xm_sT,0)),0),0)+IF('XA MU'!$B$30&lt;=1,'XA MU'!$E$30*$B$8*(MAX(0,1-ABS('XA MU'!$C$30-$D32)/xm_sT)+MAX(0,1-ABS('XA MU'!$D$30-$D32)/xm_sT)),0)+IF(ABS($D32-(xm_y0T+(xm_nT-1)/2*xm_sT))&lt;0.000001,IF('XA MU'!$B$30&lt;=1,'XA MU'!$E$30*$B$8*(IF('XA MU'!$C$30&gt;(xm_y0T+(xm_nT-1)/2*xm_sT),2*('XA MU'!$C$30-(xm_y0T+(xm_nT-1)/2*xm_sT))/xm_sT,0)+IF('XA MU'!$D$30&gt;(xm_y0T+(xm_nT-1)/2*xm_sT),2*('XA MU'!$D$30-(xm_y0T+(xm_nT-1)/2*xm_sT))/xm_sT,0)),0),0))))</f>
        <v>0</v>
      </c>
      <c r="J32" s="44">
        <f>IF(C32=0,0,IF(2&gt;nLan,0,1*(IF('XA MU'!$B$25&lt;=2,'XA MU'!$E$25*$B$8*(MAX(0,1-ABS('XA MU'!$C$25-$D32)/xm_sT)+MAX(0,1-ABS('XA MU'!$D$25-$D32)/xm_sT)),0)+IF(ABS($D32-(xm_y0T+(xm_nT-1)/2*xm_sT))&lt;0.000001,IF('XA MU'!$B$25&lt;=2,'XA MU'!$E$25*$B$8*(IF('XA MU'!$C$25&gt;(xm_y0T+(xm_nT-1)/2*xm_sT),2*('XA MU'!$C$25-(xm_y0T+(xm_nT-1)/2*xm_sT))/xm_sT,0)+IF('XA MU'!$D$25&gt;(xm_y0T+(xm_nT-1)/2*xm_sT),2*('XA MU'!$D$25-(xm_y0T+(xm_nT-1)/2*xm_sT))/xm_sT,0)),0),0)+IF('XA MU'!$B$26&lt;=2,'XA MU'!$E$26*$B$8*(MAX(0,1-ABS('XA MU'!$C$26-$D32)/xm_sT)+MAX(0,1-ABS('XA MU'!$D$26-$D32)/xm_sT)),0)+IF(ABS($D32-(xm_y0T+(xm_nT-1)/2*xm_sT))&lt;0.000001,IF('XA MU'!$B$26&lt;=2,'XA MU'!$E$26*$B$8*(IF('XA MU'!$C$26&gt;(xm_y0T+(xm_nT-1)/2*xm_sT),2*('XA MU'!$C$26-(xm_y0T+(xm_nT-1)/2*xm_sT))/xm_sT,0)+IF('XA MU'!$D$26&gt;(xm_y0T+(xm_nT-1)/2*xm_sT),2*('XA MU'!$D$26-(xm_y0T+(xm_nT-1)/2*xm_sT))/xm_sT,0)),0),0)+IF('XA MU'!$B$27&lt;=2,'XA MU'!$E$27*$B$8*(MAX(0,1-ABS('XA MU'!$C$27-$D32)/xm_sT)+MAX(0,1-ABS('XA MU'!$D$27-$D32)/xm_sT)),0)+IF(ABS($D32-(xm_y0T+(xm_nT-1)/2*xm_sT))&lt;0.000001,IF('XA MU'!$B$27&lt;=2,'XA MU'!$E$27*$B$8*(IF('XA MU'!$C$27&gt;(xm_y0T+(xm_nT-1)/2*xm_sT),2*('XA MU'!$C$27-(xm_y0T+(xm_nT-1)/2*xm_sT))/xm_sT,0)+IF('XA MU'!$D$27&gt;(xm_y0T+(xm_nT-1)/2*xm_sT),2*('XA MU'!$D$27-(xm_y0T+(xm_nT-1)/2*xm_sT))/xm_sT,0)),0),0)+IF('XA MU'!$B$28&lt;=2,'XA MU'!$E$28*$B$8*(MAX(0,1-ABS('XA MU'!$C$28-$D32)/xm_sT)+MAX(0,1-ABS('XA MU'!$D$28-$D32)/xm_sT)),0)+IF(ABS($D32-(xm_y0T+(xm_nT-1)/2*xm_sT))&lt;0.000001,IF('XA MU'!$B$28&lt;=2,'XA MU'!$E$28*$B$8*(IF('XA MU'!$C$28&gt;(xm_y0T+(xm_nT-1)/2*xm_sT),2*('XA MU'!$C$28-(xm_y0T+(xm_nT-1)/2*xm_sT))/xm_sT,0)+IF('XA MU'!$D$28&gt;(xm_y0T+(xm_nT-1)/2*xm_sT),2*('XA MU'!$D$28-(xm_y0T+(xm_nT-1)/2*xm_sT))/xm_sT,0)),0),0)+IF('XA MU'!$B$29&lt;=2,'XA MU'!$E$29*$B$8*(MAX(0,1-ABS('XA MU'!$C$29-$D32)/xm_sT)+MAX(0,1-ABS('XA MU'!$D$29-$D32)/xm_sT)),0)+IF(ABS($D32-(xm_y0T+(xm_nT-1)/2*xm_sT))&lt;0.000001,IF('XA MU'!$B$29&lt;=2,'XA MU'!$E$29*$B$8*(IF('XA MU'!$C$29&gt;(xm_y0T+(xm_nT-1)/2*xm_sT),2*('XA MU'!$C$29-(xm_y0T+(xm_nT-1)/2*xm_sT))/xm_sT,0)+IF('XA MU'!$D$29&gt;(xm_y0T+(xm_nT-1)/2*xm_sT),2*('XA MU'!$D$29-(xm_y0T+(xm_nT-1)/2*xm_sT))/xm_sT,0)),0),0)+IF('XA MU'!$B$30&lt;=2,'XA MU'!$E$30*$B$8*(MAX(0,1-ABS('XA MU'!$C$30-$D32)/xm_sT)+MAX(0,1-ABS('XA MU'!$D$30-$D32)/xm_sT)),0)+IF(ABS($D32-(xm_y0T+(xm_nT-1)/2*xm_sT))&lt;0.000001,IF('XA MU'!$B$30&lt;=2,'XA MU'!$E$30*$B$8*(IF('XA MU'!$C$30&gt;(xm_y0T+(xm_nT-1)/2*xm_sT),2*('XA MU'!$C$30-(xm_y0T+(xm_nT-1)/2*xm_sT))/xm_sT,0)+IF('XA MU'!$D$30&gt;(xm_y0T+(xm_nT-1)/2*xm_sT),2*('XA MU'!$D$30-(xm_y0T+(xm_nT-1)/2*xm_sT))/xm_sT,0)),0),0))))</f>
        <v>0</v>
      </c>
      <c r="K32" s="44">
        <f>IF(C32=0,0,IF(3&gt;nLan,0,0.85*(IF('XA MU'!$B$25&lt;=3,'XA MU'!$E$25*$B$8*(MAX(0,1-ABS('XA MU'!$C$25-$D32)/xm_sT)+MAX(0,1-ABS('XA MU'!$D$25-$D32)/xm_sT)),0)+IF(ABS($D32-(xm_y0T+(xm_nT-1)/2*xm_sT))&lt;0.000001,IF('XA MU'!$B$25&lt;=3,'XA MU'!$E$25*$B$8*(IF('XA MU'!$C$25&gt;(xm_y0T+(xm_nT-1)/2*xm_sT),2*('XA MU'!$C$25-(xm_y0T+(xm_nT-1)/2*xm_sT))/xm_sT,0)+IF('XA MU'!$D$25&gt;(xm_y0T+(xm_nT-1)/2*xm_sT),2*('XA MU'!$D$25-(xm_y0T+(xm_nT-1)/2*xm_sT))/xm_sT,0)),0),0)+IF('XA MU'!$B$26&lt;=3,'XA MU'!$E$26*$B$8*(MAX(0,1-ABS('XA MU'!$C$26-$D32)/xm_sT)+MAX(0,1-ABS('XA MU'!$D$26-$D32)/xm_sT)),0)+IF(ABS($D32-(xm_y0T+(xm_nT-1)/2*xm_sT))&lt;0.000001,IF('XA MU'!$B$26&lt;=3,'XA MU'!$E$26*$B$8*(IF('XA MU'!$C$26&gt;(xm_y0T+(xm_nT-1)/2*xm_sT),2*('XA MU'!$C$26-(xm_y0T+(xm_nT-1)/2*xm_sT))/xm_sT,0)+IF('XA MU'!$D$26&gt;(xm_y0T+(xm_nT-1)/2*xm_sT),2*('XA MU'!$D$26-(xm_y0T+(xm_nT-1)/2*xm_sT))/xm_sT,0)),0),0)+IF('XA MU'!$B$27&lt;=3,'XA MU'!$E$27*$B$8*(MAX(0,1-ABS('XA MU'!$C$27-$D32)/xm_sT)+MAX(0,1-ABS('XA MU'!$D$27-$D32)/xm_sT)),0)+IF(ABS($D32-(xm_y0T+(xm_nT-1)/2*xm_sT))&lt;0.000001,IF('XA MU'!$B$27&lt;=3,'XA MU'!$E$27*$B$8*(IF('XA MU'!$C$27&gt;(xm_y0T+(xm_nT-1)/2*xm_sT),2*('XA MU'!$C$27-(xm_y0T+(xm_nT-1)/2*xm_sT))/xm_sT,0)+IF('XA MU'!$D$27&gt;(xm_y0T+(xm_nT-1)/2*xm_sT),2*('XA MU'!$D$27-(xm_y0T+(xm_nT-1)/2*xm_sT))/xm_sT,0)),0),0)+IF('XA MU'!$B$28&lt;=3,'XA MU'!$E$28*$B$8*(MAX(0,1-ABS('XA MU'!$C$28-$D32)/xm_sT)+MAX(0,1-ABS('XA MU'!$D$28-$D32)/xm_sT)),0)+IF(ABS($D32-(xm_y0T+(xm_nT-1)/2*xm_sT))&lt;0.000001,IF('XA MU'!$B$28&lt;=3,'XA MU'!$E$28*$B$8*(IF('XA MU'!$C$28&gt;(xm_y0T+(xm_nT-1)/2*xm_sT),2*('XA MU'!$C$28-(xm_y0T+(xm_nT-1)/2*xm_sT))/xm_sT,0)+IF('XA MU'!$D$28&gt;(xm_y0T+(xm_nT-1)/2*xm_sT),2*('XA MU'!$D$28-(xm_y0T+(xm_nT-1)/2*xm_sT))/xm_sT,0)),0),0)+IF('XA MU'!$B$29&lt;=3,'XA MU'!$E$29*$B$8*(MAX(0,1-ABS('XA MU'!$C$29-$D32)/xm_sT)+MAX(0,1-ABS('XA MU'!$D$29-$D32)/xm_sT)),0)+IF(ABS($D32-(xm_y0T+(xm_nT-1)/2*xm_sT))&lt;0.000001,IF('XA MU'!$B$29&lt;=3,'XA MU'!$E$29*$B$8*(IF('XA MU'!$C$29&gt;(xm_y0T+(xm_nT-1)/2*xm_sT),2*('XA MU'!$C$29-(xm_y0T+(xm_nT-1)/2*xm_sT))/xm_sT,0)+IF('XA MU'!$D$29&gt;(xm_y0T+(xm_nT-1)/2*xm_sT),2*('XA MU'!$D$29-(xm_y0T+(xm_nT-1)/2*xm_sT))/xm_sT,0)),0),0)+IF('XA MU'!$B$30&lt;=3,'XA MU'!$E$30*$B$8*(MAX(0,1-ABS('XA MU'!$C$30-$D32)/xm_sT)+MAX(0,1-ABS('XA MU'!$D$30-$D32)/xm_sT)),0)+IF(ABS($D32-(xm_y0T+(xm_nT-1)/2*xm_sT))&lt;0.000001,IF('XA MU'!$B$30&lt;=3,'XA MU'!$E$30*$B$8*(IF('XA MU'!$C$30&gt;(xm_y0T+(xm_nT-1)/2*xm_sT),2*('XA MU'!$C$30-(xm_y0T+(xm_nT-1)/2*xm_sT))/xm_sT,0)+IF('XA MU'!$D$30&gt;(xm_y0T+(xm_nT-1)/2*xm_sT),2*('XA MU'!$D$30-(xm_y0T+(xm_nT-1)/2*xm_sT))/xm_sT,0)),0),0))))</f>
        <v>0</v>
      </c>
      <c r="L32" s="44">
        <f>IF(C32=0,0,IF(4&gt;nLan,0,0.65*(IF('XA MU'!$B$25&lt;=4,'XA MU'!$E$25*$B$8*(MAX(0,1-ABS('XA MU'!$C$25-$D32)/xm_sT)+MAX(0,1-ABS('XA MU'!$D$25-$D32)/xm_sT)),0)+IF(ABS($D32-(xm_y0T+(xm_nT-1)/2*xm_sT))&lt;0.000001,IF('XA MU'!$B$25&lt;=4,'XA MU'!$E$25*$B$8*(IF('XA MU'!$C$25&gt;(xm_y0T+(xm_nT-1)/2*xm_sT),2*('XA MU'!$C$25-(xm_y0T+(xm_nT-1)/2*xm_sT))/xm_sT,0)+IF('XA MU'!$D$25&gt;(xm_y0T+(xm_nT-1)/2*xm_sT),2*('XA MU'!$D$25-(xm_y0T+(xm_nT-1)/2*xm_sT))/xm_sT,0)),0),0)+IF('XA MU'!$B$26&lt;=4,'XA MU'!$E$26*$B$8*(MAX(0,1-ABS('XA MU'!$C$26-$D32)/xm_sT)+MAX(0,1-ABS('XA MU'!$D$26-$D32)/xm_sT)),0)+IF(ABS($D32-(xm_y0T+(xm_nT-1)/2*xm_sT))&lt;0.000001,IF('XA MU'!$B$26&lt;=4,'XA MU'!$E$26*$B$8*(IF('XA MU'!$C$26&gt;(xm_y0T+(xm_nT-1)/2*xm_sT),2*('XA MU'!$C$26-(xm_y0T+(xm_nT-1)/2*xm_sT))/xm_sT,0)+IF('XA MU'!$D$26&gt;(xm_y0T+(xm_nT-1)/2*xm_sT),2*('XA MU'!$D$26-(xm_y0T+(xm_nT-1)/2*xm_sT))/xm_sT,0)),0),0)+IF('XA MU'!$B$27&lt;=4,'XA MU'!$E$27*$B$8*(MAX(0,1-ABS('XA MU'!$C$27-$D32)/xm_sT)+MAX(0,1-ABS('XA MU'!$D$27-$D32)/xm_sT)),0)+IF(ABS($D32-(xm_y0T+(xm_nT-1)/2*xm_sT))&lt;0.000001,IF('XA MU'!$B$27&lt;=4,'XA MU'!$E$27*$B$8*(IF('XA MU'!$C$27&gt;(xm_y0T+(xm_nT-1)/2*xm_sT),2*('XA MU'!$C$27-(xm_y0T+(xm_nT-1)/2*xm_sT))/xm_sT,0)+IF('XA MU'!$D$27&gt;(xm_y0T+(xm_nT-1)/2*xm_sT),2*('XA MU'!$D$27-(xm_y0T+(xm_nT-1)/2*xm_sT))/xm_sT,0)),0),0)+IF('XA MU'!$B$28&lt;=4,'XA MU'!$E$28*$B$8*(MAX(0,1-ABS('XA MU'!$C$28-$D32)/xm_sT)+MAX(0,1-ABS('XA MU'!$D$28-$D32)/xm_sT)),0)+IF(ABS($D32-(xm_y0T+(xm_nT-1)/2*xm_sT))&lt;0.000001,IF('XA MU'!$B$28&lt;=4,'XA MU'!$E$28*$B$8*(IF('XA MU'!$C$28&gt;(xm_y0T+(xm_nT-1)/2*xm_sT),2*('XA MU'!$C$28-(xm_y0T+(xm_nT-1)/2*xm_sT))/xm_sT,0)+IF('XA MU'!$D$28&gt;(xm_y0T+(xm_nT-1)/2*xm_sT),2*('XA MU'!$D$28-(xm_y0T+(xm_nT-1)/2*xm_sT))/xm_sT,0)),0),0)+IF('XA MU'!$B$29&lt;=4,'XA MU'!$E$29*$B$8*(MAX(0,1-ABS('XA MU'!$C$29-$D32)/xm_sT)+MAX(0,1-ABS('XA MU'!$D$29-$D32)/xm_sT)),0)+IF(ABS($D32-(xm_y0T+(xm_nT-1)/2*xm_sT))&lt;0.000001,IF('XA MU'!$B$29&lt;=4,'XA MU'!$E$29*$B$8*(IF('XA MU'!$C$29&gt;(xm_y0T+(xm_nT-1)/2*xm_sT),2*('XA MU'!$C$29-(xm_y0T+(xm_nT-1)/2*xm_sT))/xm_sT,0)+IF('XA MU'!$D$29&gt;(xm_y0T+(xm_nT-1)/2*xm_sT),2*('XA MU'!$D$29-(xm_y0T+(xm_nT-1)/2*xm_sT))/xm_sT,0)),0),0)+IF('XA MU'!$B$30&lt;=4,'XA MU'!$E$30*$B$8*(MAX(0,1-ABS('XA MU'!$C$30-$D32)/xm_sT)+MAX(0,1-ABS('XA MU'!$D$30-$D32)/xm_sT)),0)+IF(ABS($D32-(xm_y0T+(xm_nT-1)/2*xm_sT))&lt;0.000001,IF('XA MU'!$B$30&lt;=4,'XA MU'!$E$30*$B$8*(IF('XA MU'!$C$30&gt;(xm_y0T+(xm_nT-1)/2*xm_sT),2*('XA MU'!$C$30-(xm_y0T+(xm_nT-1)/2*xm_sT))/xm_sT,0)+IF('XA MU'!$D$30&gt;(xm_y0T+(xm_nT-1)/2*xm_sT),2*('XA MU'!$D$30-(xm_y0T+(xm_nT-1)/2*xm_sT))/xm_sT,0)),0),0))))</f>
        <v>0</v>
      </c>
      <c r="M32" s="44">
        <f>IF(C32=0,0,IF(5&gt;nLan,0,0.65*(IF('XA MU'!$B$25&lt;=5,'XA MU'!$E$25*$B$8*(MAX(0,1-ABS('XA MU'!$C$25-$D32)/xm_sT)+MAX(0,1-ABS('XA MU'!$D$25-$D32)/xm_sT)),0)+IF(ABS($D32-(xm_y0T+(xm_nT-1)/2*xm_sT))&lt;0.000001,IF('XA MU'!$B$25&lt;=5,'XA MU'!$E$25*$B$8*(IF('XA MU'!$C$25&gt;(xm_y0T+(xm_nT-1)/2*xm_sT),2*('XA MU'!$C$25-(xm_y0T+(xm_nT-1)/2*xm_sT))/xm_sT,0)+IF('XA MU'!$D$25&gt;(xm_y0T+(xm_nT-1)/2*xm_sT),2*('XA MU'!$D$25-(xm_y0T+(xm_nT-1)/2*xm_sT))/xm_sT,0)),0),0)+IF('XA MU'!$B$26&lt;=5,'XA MU'!$E$26*$B$8*(MAX(0,1-ABS('XA MU'!$C$26-$D32)/xm_sT)+MAX(0,1-ABS('XA MU'!$D$26-$D32)/xm_sT)),0)+IF(ABS($D32-(xm_y0T+(xm_nT-1)/2*xm_sT))&lt;0.000001,IF('XA MU'!$B$26&lt;=5,'XA MU'!$E$26*$B$8*(IF('XA MU'!$C$26&gt;(xm_y0T+(xm_nT-1)/2*xm_sT),2*('XA MU'!$C$26-(xm_y0T+(xm_nT-1)/2*xm_sT))/xm_sT,0)+IF('XA MU'!$D$26&gt;(xm_y0T+(xm_nT-1)/2*xm_sT),2*('XA MU'!$D$26-(xm_y0T+(xm_nT-1)/2*xm_sT))/xm_sT,0)),0),0)+IF('XA MU'!$B$27&lt;=5,'XA MU'!$E$27*$B$8*(MAX(0,1-ABS('XA MU'!$C$27-$D32)/xm_sT)+MAX(0,1-ABS('XA MU'!$D$27-$D32)/xm_sT)),0)+IF(ABS($D32-(xm_y0T+(xm_nT-1)/2*xm_sT))&lt;0.000001,IF('XA MU'!$B$27&lt;=5,'XA MU'!$E$27*$B$8*(IF('XA MU'!$C$27&gt;(xm_y0T+(xm_nT-1)/2*xm_sT),2*('XA MU'!$C$27-(xm_y0T+(xm_nT-1)/2*xm_sT))/xm_sT,0)+IF('XA MU'!$D$27&gt;(xm_y0T+(xm_nT-1)/2*xm_sT),2*('XA MU'!$D$27-(xm_y0T+(xm_nT-1)/2*xm_sT))/xm_sT,0)),0),0)+IF('XA MU'!$B$28&lt;=5,'XA MU'!$E$28*$B$8*(MAX(0,1-ABS('XA MU'!$C$28-$D32)/xm_sT)+MAX(0,1-ABS('XA MU'!$D$28-$D32)/xm_sT)),0)+IF(ABS($D32-(xm_y0T+(xm_nT-1)/2*xm_sT))&lt;0.000001,IF('XA MU'!$B$28&lt;=5,'XA MU'!$E$28*$B$8*(IF('XA MU'!$C$28&gt;(xm_y0T+(xm_nT-1)/2*xm_sT),2*('XA MU'!$C$28-(xm_y0T+(xm_nT-1)/2*xm_sT))/xm_sT,0)+IF('XA MU'!$D$28&gt;(xm_y0T+(xm_nT-1)/2*xm_sT),2*('XA MU'!$D$28-(xm_y0T+(xm_nT-1)/2*xm_sT))/xm_sT,0)),0),0)+IF('XA MU'!$B$29&lt;=5,'XA MU'!$E$29*$B$8*(MAX(0,1-ABS('XA MU'!$C$29-$D32)/xm_sT)+MAX(0,1-ABS('XA MU'!$D$29-$D32)/xm_sT)),0)+IF(ABS($D32-(xm_y0T+(xm_nT-1)/2*xm_sT))&lt;0.000001,IF('XA MU'!$B$29&lt;=5,'XA MU'!$E$29*$B$8*(IF('XA MU'!$C$29&gt;(xm_y0T+(xm_nT-1)/2*xm_sT),2*('XA MU'!$C$29-(xm_y0T+(xm_nT-1)/2*xm_sT))/xm_sT,0)+IF('XA MU'!$D$29&gt;(xm_y0T+(xm_nT-1)/2*xm_sT),2*('XA MU'!$D$29-(xm_y0T+(xm_nT-1)/2*xm_sT))/xm_sT,0)),0),0)+IF('XA MU'!$B$30&lt;=5,'XA MU'!$E$30*$B$8*(MAX(0,1-ABS('XA MU'!$C$30-$D32)/xm_sT)+MAX(0,1-ABS('XA MU'!$D$30-$D32)/xm_sT)),0)+IF(ABS($D32-(xm_y0T+(xm_nT-1)/2*xm_sT))&lt;0.000001,IF('XA MU'!$B$30&lt;=5,'XA MU'!$E$30*$B$8*(IF('XA MU'!$C$30&gt;(xm_y0T+(xm_nT-1)/2*xm_sT),2*('XA MU'!$C$30-(xm_y0T+(xm_nT-1)/2*xm_sT))/xm_sT,0)+IF('XA MU'!$D$30&gt;(xm_y0T+(xm_nT-1)/2*xm_sT),2*('XA MU'!$D$30-(xm_y0T+(xm_nT-1)/2*xm_sT))/xm_sT,0)),0),0))))</f>
        <v>0</v>
      </c>
      <c r="N32" s="44">
        <f>IF(C32=0,0,IF(6&gt;nLan,0,0.65*(IF('XA MU'!$B$25&lt;=6,'XA MU'!$E$25*$B$8*(MAX(0,1-ABS('XA MU'!$C$25-$D32)/xm_sT)+MAX(0,1-ABS('XA MU'!$D$25-$D32)/xm_sT)),0)+IF(ABS($D32-(xm_y0T+(xm_nT-1)/2*xm_sT))&lt;0.000001,IF('XA MU'!$B$25&lt;=6,'XA MU'!$E$25*$B$8*(IF('XA MU'!$C$25&gt;(xm_y0T+(xm_nT-1)/2*xm_sT),2*('XA MU'!$C$25-(xm_y0T+(xm_nT-1)/2*xm_sT))/xm_sT,0)+IF('XA MU'!$D$25&gt;(xm_y0T+(xm_nT-1)/2*xm_sT),2*('XA MU'!$D$25-(xm_y0T+(xm_nT-1)/2*xm_sT))/xm_sT,0)),0),0)+IF('XA MU'!$B$26&lt;=6,'XA MU'!$E$26*$B$8*(MAX(0,1-ABS('XA MU'!$C$26-$D32)/xm_sT)+MAX(0,1-ABS('XA MU'!$D$26-$D32)/xm_sT)),0)+IF(ABS($D32-(xm_y0T+(xm_nT-1)/2*xm_sT))&lt;0.000001,IF('XA MU'!$B$26&lt;=6,'XA MU'!$E$26*$B$8*(IF('XA MU'!$C$26&gt;(xm_y0T+(xm_nT-1)/2*xm_sT),2*('XA MU'!$C$26-(xm_y0T+(xm_nT-1)/2*xm_sT))/xm_sT,0)+IF('XA MU'!$D$26&gt;(xm_y0T+(xm_nT-1)/2*xm_sT),2*('XA MU'!$D$26-(xm_y0T+(xm_nT-1)/2*xm_sT))/xm_sT,0)),0),0)+IF('XA MU'!$B$27&lt;=6,'XA MU'!$E$27*$B$8*(MAX(0,1-ABS('XA MU'!$C$27-$D32)/xm_sT)+MAX(0,1-ABS('XA MU'!$D$27-$D32)/xm_sT)),0)+IF(ABS($D32-(xm_y0T+(xm_nT-1)/2*xm_sT))&lt;0.000001,IF('XA MU'!$B$27&lt;=6,'XA MU'!$E$27*$B$8*(IF('XA MU'!$C$27&gt;(xm_y0T+(xm_nT-1)/2*xm_sT),2*('XA MU'!$C$27-(xm_y0T+(xm_nT-1)/2*xm_sT))/xm_sT,0)+IF('XA MU'!$D$27&gt;(xm_y0T+(xm_nT-1)/2*xm_sT),2*('XA MU'!$D$27-(xm_y0T+(xm_nT-1)/2*xm_sT))/xm_sT,0)),0),0)+IF('XA MU'!$B$28&lt;=6,'XA MU'!$E$28*$B$8*(MAX(0,1-ABS('XA MU'!$C$28-$D32)/xm_sT)+MAX(0,1-ABS('XA MU'!$D$28-$D32)/xm_sT)),0)+IF(ABS($D32-(xm_y0T+(xm_nT-1)/2*xm_sT))&lt;0.000001,IF('XA MU'!$B$28&lt;=6,'XA MU'!$E$28*$B$8*(IF('XA MU'!$C$28&gt;(xm_y0T+(xm_nT-1)/2*xm_sT),2*('XA MU'!$C$28-(xm_y0T+(xm_nT-1)/2*xm_sT))/xm_sT,0)+IF('XA MU'!$D$28&gt;(xm_y0T+(xm_nT-1)/2*xm_sT),2*('XA MU'!$D$28-(xm_y0T+(xm_nT-1)/2*xm_sT))/xm_sT,0)),0),0)+IF('XA MU'!$B$29&lt;=6,'XA MU'!$E$29*$B$8*(MAX(0,1-ABS('XA MU'!$C$29-$D32)/xm_sT)+MAX(0,1-ABS('XA MU'!$D$29-$D32)/xm_sT)),0)+IF(ABS($D32-(xm_y0T+(xm_nT-1)/2*xm_sT))&lt;0.000001,IF('XA MU'!$B$29&lt;=6,'XA MU'!$E$29*$B$8*(IF('XA MU'!$C$29&gt;(xm_y0T+(xm_nT-1)/2*xm_sT),2*('XA MU'!$C$29-(xm_y0T+(xm_nT-1)/2*xm_sT))/xm_sT,0)+IF('XA MU'!$D$29&gt;(xm_y0T+(xm_nT-1)/2*xm_sT),2*('XA MU'!$D$29-(xm_y0T+(xm_nT-1)/2*xm_sT))/xm_sT,0)),0),0)+IF('XA MU'!$B$30&lt;=6,'XA MU'!$E$30*$B$8*(MAX(0,1-ABS('XA MU'!$C$30-$D32)/xm_sT)+MAX(0,1-ABS('XA MU'!$D$30-$D32)/xm_sT)),0)+IF(ABS($D32-(xm_y0T+(xm_nT-1)/2*xm_sT))&lt;0.000001,IF('XA MU'!$B$30&lt;=6,'XA MU'!$E$30*$B$8*(IF('XA MU'!$C$30&gt;(xm_y0T+(xm_nT-1)/2*xm_sT),2*('XA MU'!$C$30-(xm_y0T+(xm_nT-1)/2*xm_sT))/xm_sT,0)+IF('XA MU'!$D$30&gt;(xm_y0T+(xm_nT-1)/2*xm_sT),2*('XA MU'!$D$30-(xm_y0T+(xm_nT-1)/2*xm_sT))/xm_sT,0)),0),0))))</f>
        <v>0</v>
      </c>
    </row>
    <row r="33" spans="1:14" x14ac:dyDescent="0.3">
      <c r="A33" s="42" t="s">
        <v>1235</v>
      </c>
      <c r="B33" s="42">
        <v>19</v>
      </c>
      <c r="C33" s="40">
        <f t="shared" si="0"/>
        <v>0</v>
      </c>
      <c r="D33" s="44">
        <f t="shared" si="1"/>
        <v>0</v>
      </c>
      <c r="E33" s="44">
        <f>MAX(0,D33-'XA MU'!$C$8)*C33</f>
        <v>0</v>
      </c>
      <c r="F33" s="44">
        <f>IF(AND(C33=1,D33&gt;'XA MU'!$C$8),1,0)</f>
        <v>0</v>
      </c>
      <c r="G33" s="44">
        <f t="shared" si="2"/>
        <v>0</v>
      </c>
      <c r="H33" s="44">
        <f t="shared" si="3"/>
        <v>0</v>
      </c>
      <c r="I33" s="44">
        <f>IF(C33=0,0,IF(1&gt;nLan,0,1.2*(IF('XA MU'!$B$25&lt;=1,'XA MU'!$E$25*$B$8*(MAX(0,1-ABS('XA MU'!$C$25-$D33)/xm_sT)+MAX(0,1-ABS('XA MU'!$D$25-$D33)/xm_sT)),0)+IF(ABS($D33-(xm_y0T+(xm_nT-1)/2*xm_sT))&lt;0.000001,IF('XA MU'!$B$25&lt;=1,'XA MU'!$E$25*$B$8*(IF('XA MU'!$C$25&gt;(xm_y0T+(xm_nT-1)/2*xm_sT),2*('XA MU'!$C$25-(xm_y0T+(xm_nT-1)/2*xm_sT))/xm_sT,0)+IF('XA MU'!$D$25&gt;(xm_y0T+(xm_nT-1)/2*xm_sT),2*('XA MU'!$D$25-(xm_y0T+(xm_nT-1)/2*xm_sT))/xm_sT,0)),0),0)+IF('XA MU'!$B$26&lt;=1,'XA MU'!$E$26*$B$8*(MAX(0,1-ABS('XA MU'!$C$26-$D33)/xm_sT)+MAX(0,1-ABS('XA MU'!$D$26-$D33)/xm_sT)),0)+IF(ABS($D33-(xm_y0T+(xm_nT-1)/2*xm_sT))&lt;0.000001,IF('XA MU'!$B$26&lt;=1,'XA MU'!$E$26*$B$8*(IF('XA MU'!$C$26&gt;(xm_y0T+(xm_nT-1)/2*xm_sT),2*('XA MU'!$C$26-(xm_y0T+(xm_nT-1)/2*xm_sT))/xm_sT,0)+IF('XA MU'!$D$26&gt;(xm_y0T+(xm_nT-1)/2*xm_sT),2*('XA MU'!$D$26-(xm_y0T+(xm_nT-1)/2*xm_sT))/xm_sT,0)),0),0)+IF('XA MU'!$B$27&lt;=1,'XA MU'!$E$27*$B$8*(MAX(0,1-ABS('XA MU'!$C$27-$D33)/xm_sT)+MAX(0,1-ABS('XA MU'!$D$27-$D33)/xm_sT)),0)+IF(ABS($D33-(xm_y0T+(xm_nT-1)/2*xm_sT))&lt;0.000001,IF('XA MU'!$B$27&lt;=1,'XA MU'!$E$27*$B$8*(IF('XA MU'!$C$27&gt;(xm_y0T+(xm_nT-1)/2*xm_sT),2*('XA MU'!$C$27-(xm_y0T+(xm_nT-1)/2*xm_sT))/xm_sT,0)+IF('XA MU'!$D$27&gt;(xm_y0T+(xm_nT-1)/2*xm_sT),2*('XA MU'!$D$27-(xm_y0T+(xm_nT-1)/2*xm_sT))/xm_sT,0)),0),0)+IF('XA MU'!$B$28&lt;=1,'XA MU'!$E$28*$B$8*(MAX(0,1-ABS('XA MU'!$C$28-$D33)/xm_sT)+MAX(0,1-ABS('XA MU'!$D$28-$D33)/xm_sT)),0)+IF(ABS($D33-(xm_y0T+(xm_nT-1)/2*xm_sT))&lt;0.000001,IF('XA MU'!$B$28&lt;=1,'XA MU'!$E$28*$B$8*(IF('XA MU'!$C$28&gt;(xm_y0T+(xm_nT-1)/2*xm_sT),2*('XA MU'!$C$28-(xm_y0T+(xm_nT-1)/2*xm_sT))/xm_sT,0)+IF('XA MU'!$D$28&gt;(xm_y0T+(xm_nT-1)/2*xm_sT),2*('XA MU'!$D$28-(xm_y0T+(xm_nT-1)/2*xm_sT))/xm_sT,0)),0),0)+IF('XA MU'!$B$29&lt;=1,'XA MU'!$E$29*$B$8*(MAX(0,1-ABS('XA MU'!$C$29-$D33)/xm_sT)+MAX(0,1-ABS('XA MU'!$D$29-$D33)/xm_sT)),0)+IF(ABS($D33-(xm_y0T+(xm_nT-1)/2*xm_sT))&lt;0.000001,IF('XA MU'!$B$29&lt;=1,'XA MU'!$E$29*$B$8*(IF('XA MU'!$C$29&gt;(xm_y0T+(xm_nT-1)/2*xm_sT),2*('XA MU'!$C$29-(xm_y0T+(xm_nT-1)/2*xm_sT))/xm_sT,0)+IF('XA MU'!$D$29&gt;(xm_y0T+(xm_nT-1)/2*xm_sT),2*('XA MU'!$D$29-(xm_y0T+(xm_nT-1)/2*xm_sT))/xm_sT,0)),0),0)+IF('XA MU'!$B$30&lt;=1,'XA MU'!$E$30*$B$8*(MAX(0,1-ABS('XA MU'!$C$30-$D33)/xm_sT)+MAX(0,1-ABS('XA MU'!$D$30-$D33)/xm_sT)),0)+IF(ABS($D33-(xm_y0T+(xm_nT-1)/2*xm_sT))&lt;0.000001,IF('XA MU'!$B$30&lt;=1,'XA MU'!$E$30*$B$8*(IF('XA MU'!$C$30&gt;(xm_y0T+(xm_nT-1)/2*xm_sT),2*('XA MU'!$C$30-(xm_y0T+(xm_nT-1)/2*xm_sT))/xm_sT,0)+IF('XA MU'!$D$30&gt;(xm_y0T+(xm_nT-1)/2*xm_sT),2*('XA MU'!$D$30-(xm_y0T+(xm_nT-1)/2*xm_sT))/xm_sT,0)),0),0))))</f>
        <v>0</v>
      </c>
      <c r="J33" s="44">
        <f>IF(C33=0,0,IF(2&gt;nLan,0,1*(IF('XA MU'!$B$25&lt;=2,'XA MU'!$E$25*$B$8*(MAX(0,1-ABS('XA MU'!$C$25-$D33)/xm_sT)+MAX(0,1-ABS('XA MU'!$D$25-$D33)/xm_sT)),0)+IF(ABS($D33-(xm_y0T+(xm_nT-1)/2*xm_sT))&lt;0.000001,IF('XA MU'!$B$25&lt;=2,'XA MU'!$E$25*$B$8*(IF('XA MU'!$C$25&gt;(xm_y0T+(xm_nT-1)/2*xm_sT),2*('XA MU'!$C$25-(xm_y0T+(xm_nT-1)/2*xm_sT))/xm_sT,0)+IF('XA MU'!$D$25&gt;(xm_y0T+(xm_nT-1)/2*xm_sT),2*('XA MU'!$D$25-(xm_y0T+(xm_nT-1)/2*xm_sT))/xm_sT,0)),0),0)+IF('XA MU'!$B$26&lt;=2,'XA MU'!$E$26*$B$8*(MAX(0,1-ABS('XA MU'!$C$26-$D33)/xm_sT)+MAX(0,1-ABS('XA MU'!$D$26-$D33)/xm_sT)),0)+IF(ABS($D33-(xm_y0T+(xm_nT-1)/2*xm_sT))&lt;0.000001,IF('XA MU'!$B$26&lt;=2,'XA MU'!$E$26*$B$8*(IF('XA MU'!$C$26&gt;(xm_y0T+(xm_nT-1)/2*xm_sT),2*('XA MU'!$C$26-(xm_y0T+(xm_nT-1)/2*xm_sT))/xm_sT,0)+IF('XA MU'!$D$26&gt;(xm_y0T+(xm_nT-1)/2*xm_sT),2*('XA MU'!$D$26-(xm_y0T+(xm_nT-1)/2*xm_sT))/xm_sT,0)),0),0)+IF('XA MU'!$B$27&lt;=2,'XA MU'!$E$27*$B$8*(MAX(0,1-ABS('XA MU'!$C$27-$D33)/xm_sT)+MAX(0,1-ABS('XA MU'!$D$27-$D33)/xm_sT)),0)+IF(ABS($D33-(xm_y0T+(xm_nT-1)/2*xm_sT))&lt;0.000001,IF('XA MU'!$B$27&lt;=2,'XA MU'!$E$27*$B$8*(IF('XA MU'!$C$27&gt;(xm_y0T+(xm_nT-1)/2*xm_sT),2*('XA MU'!$C$27-(xm_y0T+(xm_nT-1)/2*xm_sT))/xm_sT,0)+IF('XA MU'!$D$27&gt;(xm_y0T+(xm_nT-1)/2*xm_sT),2*('XA MU'!$D$27-(xm_y0T+(xm_nT-1)/2*xm_sT))/xm_sT,0)),0),0)+IF('XA MU'!$B$28&lt;=2,'XA MU'!$E$28*$B$8*(MAX(0,1-ABS('XA MU'!$C$28-$D33)/xm_sT)+MAX(0,1-ABS('XA MU'!$D$28-$D33)/xm_sT)),0)+IF(ABS($D33-(xm_y0T+(xm_nT-1)/2*xm_sT))&lt;0.000001,IF('XA MU'!$B$28&lt;=2,'XA MU'!$E$28*$B$8*(IF('XA MU'!$C$28&gt;(xm_y0T+(xm_nT-1)/2*xm_sT),2*('XA MU'!$C$28-(xm_y0T+(xm_nT-1)/2*xm_sT))/xm_sT,0)+IF('XA MU'!$D$28&gt;(xm_y0T+(xm_nT-1)/2*xm_sT),2*('XA MU'!$D$28-(xm_y0T+(xm_nT-1)/2*xm_sT))/xm_sT,0)),0),0)+IF('XA MU'!$B$29&lt;=2,'XA MU'!$E$29*$B$8*(MAX(0,1-ABS('XA MU'!$C$29-$D33)/xm_sT)+MAX(0,1-ABS('XA MU'!$D$29-$D33)/xm_sT)),0)+IF(ABS($D33-(xm_y0T+(xm_nT-1)/2*xm_sT))&lt;0.000001,IF('XA MU'!$B$29&lt;=2,'XA MU'!$E$29*$B$8*(IF('XA MU'!$C$29&gt;(xm_y0T+(xm_nT-1)/2*xm_sT),2*('XA MU'!$C$29-(xm_y0T+(xm_nT-1)/2*xm_sT))/xm_sT,0)+IF('XA MU'!$D$29&gt;(xm_y0T+(xm_nT-1)/2*xm_sT),2*('XA MU'!$D$29-(xm_y0T+(xm_nT-1)/2*xm_sT))/xm_sT,0)),0),0)+IF('XA MU'!$B$30&lt;=2,'XA MU'!$E$30*$B$8*(MAX(0,1-ABS('XA MU'!$C$30-$D33)/xm_sT)+MAX(0,1-ABS('XA MU'!$D$30-$D33)/xm_sT)),0)+IF(ABS($D33-(xm_y0T+(xm_nT-1)/2*xm_sT))&lt;0.000001,IF('XA MU'!$B$30&lt;=2,'XA MU'!$E$30*$B$8*(IF('XA MU'!$C$30&gt;(xm_y0T+(xm_nT-1)/2*xm_sT),2*('XA MU'!$C$30-(xm_y0T+(xm_nT-1)/2*xm_sT))/xm_sT,0)+IF('XA MU'!$D$30&gt;(xm_y0T+(xm_nT-1)/2*xm_sT),2*('XA MU'!$D$30-(xm_y0T+(xm_nT-1)/2*xm_sT))/xm_sT,0)),0),0))))</f>
        <v>0</v>
      </c>
      <c r="K33" s="44">
        <f>IF(C33=0,0,IF(3&gt;nLan,0,0.85*(IF('XA MU'!$B$25&lt;=3,'XA MU'!$E$25*$B$8*(MAX(0,1-ABS('XA MU'!$C$25-$D33)/xm_sT)+MAX(0,1-ABS('XA MU'!$D$25-$D33)/xm_sT)),0)+IF(ABS($D33-(xm_y0T+(xm_nT-1)/2*xm_sT))&lt;0.000001,IF('XA MU'!$B$25&lt;=3,'XA MU'!$E$25*$B$8*(IF('XA MU'!$C$25&gt;(xm_y0T+(xm_nT-1)/2*xm_sT),2*('XA MU'!$C$25-(xm_y0T+(xm_nT-1)/2*xm_sT))/xm_sT,0)+IF('XA MU'!$D$25&gt;(xm_y0T+(xm_nT-1)/2*xm_sT),2*('XA MU'!$D$25-(xm_y0T+(xm_nT-1)/2*xm_sT))/xm_sT,0)),0),0)+IF('XA MU'!$B$26&lt;=3,'XA MU'!$E$26*$B$8*(MAX(0,1-ABS('XA MU'!$C$26-$D33)/xm_sT)+MAX(0,1-ABS('XA MU'!$D$26-$D33)/xm_sT)),0)+IF(ABS($D33-(xm_y0T+(xm_nT-1)/2*xm_sT))&lt;0.000001,IF('XA MU'!$B$26&lt;=3,'XA MU'!$E$26*$B$8*(IF('XA MU'!$C$26&gt;(xm_y0T+(xm_nT-1)/2*xm_sT),2*('XA MU'!$C$26-(xm_y0T+(xm_nT-1)/2*xm_sT))/xm_sT,0)+IF('XA MU'!$D$26&gt;(xm_y0T+(xm_nT-1)/2*xm_sT),2*('XA MU'!$D$26-(xm_y0T+(xm_nT-1)/2*xm_sT))/xm_sT,0)),0),0)+IF('XA MU'!$B$27&lt;=3,'XA MU'!$E$27*$B$8*(MAX(0,1-ABS('XA MU'!$C$27-$D33)/xm_sT)+MAX(0,1-ABS('XA MU'!$D$27-$D33)/xm_sT)),0)+IF(ABS($D33-(xm_y0T+(xm_nT-1)/2*xm_sT))&lt;0.000001,IF('XA MU'!$B$27&lt;=3,'XA MU'!$E$27*$B$8*(IF('XA MU'!$C$27&gt;(xm_y0T+(xm_nT-1)/2*xm_sT),2*('XA MU'!$C$27-(xm_y0T+(xm_nT-1)/2*xm_sT))/xm_sT,0)+IF('XA MU'!$D$27&gt;(xm_y0T+(xm_nT-1)/2*xm_sT),2*('XA MU'!$D$27-(xm_y0T+(xm_nT-1)/2*xm_sT))/xm_sT,0)),0),0)+IF('XA MU'!$B$28&lt;=3,'XA MU'!$E$28*$B$8*(MAX(0,1-ABS('XA MU'!$C$28-$D33)/xm_sT)+MAX(0,1-ABS('XA MU'!$D$28-$D33)/xm_sT)),0)+IF(ABS($D33-(xm_y0T+(xm_nT-1)/2*xm_sT))&lt;0.000001,IF('XA MU'!$B$28&lt;=3,'XA MU'!$E$28*$B$8*(IF('XA MU'!$C$28&gt;(xm_y0T+(xm_nT-1)/2*xm_sT),2*('XA MU'!$C$28-(xm_y0T+(xm_nT-1)/2*xm_sT))/xm_sT,0)+IF('XA MU'!$D$28&gt;(xm_y0T+(xm_nT-1)/2*xm_sT),2*('XA MU'!$D$28-(xm_y0T+(xm_nT-1)/2*xm_sT))/xm_sT,0)),0),0)+IF('XA MU'!$B$29&lt;=3,'XA MU'!$E$29*$B$8*(MAX(0,1-ABS('XA MU'!$C$29-$D33)/xm_sT)+MAX(0,1-ABS('XA MU'!$D$29-$D33)/xm_sT)),0)+IF(ABS($D33-(xm_y0T+(xm_nT-1)/2*xm_sT))&lt;0.000001,IF('XA MU'!$B$29&lt;=3,'XA MU'!$E$29*$B$8*(IF('XA MU'!$C$29&gt;(xm_y0T+(xm_nT-1)/2*xm_sT),2*('XA MU'!$C$29-(xm_y0T+(xm_nT-1)/2*xm_sT))/xm_sT,0)+IF('XA MU'!$D$29&gt;(xm_y0T+(xm_nT-1)/2*xm_sT),2*('XA MU'!$D$29-(xm_y0T+(xm_nT-1)/2*xm_sT))/xm_sT,0)),0),0)+IF('XA MU'!$B$30&lt;=3,'XA MU'!$E$30*$B$8*(MAX(0,1-ABS('XA MU'!$C$30-$D33)/xm_sT)+MAX(0,1-ABS('XA MU'!$D$30-$D33)/xm_sT)),0)+IF(ABS($D33-(xm_y0T+(xm_nT-1)/2*xm_sT))&lt;0.000001,IF('XA MU'!$B$30&lt;=3,'XA MU'!$E$30*$B$8*(IF('XA MU'!$C$30&gt;(xm_y0T+(xm_nT-1)/2*xm_sT),2*('XA MU'!$C$30-(xm_y0T+(xm_nT-1)/2*xm_sT))/xm_sT,0)+IF('XA MU'!$D$30&gt;(xm_y0T+(xm_nT-1)/2*xm_sT),2*('XA MU'!$D$30-(xm_y0T+(xm_nT-1)/2*xm_sT))/xm_sT,0)),0),0))))</f>
        <v>0</v>
      </c>
      <c r="L33" s="44">
        <f>IF(C33=0,0,IF(4&gt;nLan,0,0.65*(IF('XA MU'!$B$25&lt;=4,'XA MU'!$E$25*$B$8*(MAX(0,1-ABS('XA MU'!$C$25-$D33)/xm_sT)+MAX(0,1-ABS('XA MU'!$D$25-$D33)/xm_sT)),0)+IF(ABS($D33-(xm_y0T+(xm_nT-1)/2*xm_sT))&lt;0.000001,IF('XA MU'!$B$25&lt;=4,'XA MU'!$E$25*$B$8*(IF('XA MU'!$C$25&gt;(xm_y0T+(xm_nT-1)/2*xm_sT),2*('XA MU'!$C$25-(xm_y0T+(xm_nT-1)/2*xm_sT))/xm_sT,0)+IF('XA MU'!$D$25&gt;(xm_y0T+(xm_nT-1)/2*xm_sT),2*('XA MU'!$D$25-(xm_y0T+(xm_nT-1)/2*xm_sT))/xm_sT,0)),0),0)+IF('XA MU'!$B$26&lt;=4,'XA MU'!$E$26*$B$8*(MAX(0,1-ABS('XA MU'!$C$26-$D33)/xm_sT)+MAX(0,1-ABS('XA MU'!$D$26-$D33)/xm_sT)),0)+IF(ABS($D33-(xm_y0T+(xm_nT-1)/2*xm_sT))&lt;0.000001,IF('XA MU'!$B$26&lt;=4,'XA MU'!$E$26*$B$8*(IF('XA MU'!$C$26&gt;(xm_y0T+(xm_nT-1)/2*xm_sT),2*('XA MU'!$C$26-(xm_y0T+(xm_nT-1)/2*xm_sT))/xm_sT,0)+IF('XA MU'!$D$26&gt;(xm_y0T+(xm_nT-1)/2*xm_sT),2*('XA MU'!$D$26-(xm_y0T+(xm_nT-1)/2*xm_sT))/xm_sT,0)),0),0)+IF('XA MU'!$B$27&lt;=4,'XA MU'!$E$27*$B$8*(MAX(0,1-ABS('XA MU'!$C$27-$D33)/xm_sT)+MAX(0,1-ABS('XA MU'!$D$27-$D33)/xm_sT)),0)+IF(ABS($D33-(xm_y0T+(xm_nT-1)/2*xm_sT))&lt;0.000001,IF('XA MU'!$B$27&lt;=4,'XA MU'!$E$27*$B$8*(IF('XA MU'!$C$27&gt;(xm_y0T+(xm_nT-1)/2*xm_sT),2*('XA MU'!$C$27-(xm_y0T+(xm_nT-1)/2*xm_sT))/xm_sT,0)+IF('XA MU'!$D$27&gt;(xm_y0T+(xm_nT-1)/2*xm_sT),2*('XA MU'!$D$27-(xm_y0T+(xm_nT-1)/2*xm_sT))/xm_sT,0)),0),0)+IF('XA MU'!$B$28&lt;=4,'XA MU'!$E$28*$B$8*(MAX(0,1-ABS('XA MU'!$C$28-$D33)/xm_sT)+MAX(0,1-ABS('XA MU'!$D$28-$D33)/xm_sT)),0)+IF(ABS($D33-(xm_y0T+(xm_nT-1)/2*xm_sT))&lt;0.000001,IF('XA MU'!$B$28&lt;=4,'XA MU'!$E$28*$B$8*(IF('XA MU'!$C$28&gt;(xm_y0T+(xm_nT-1)/2*xm_sT),2*('XA MU'!$C$28-(xm_y0T+(xm_nT-1)/2*xm_sT))/xm_sT,0)+IF('XA MU'!$D$28&gt;(xm_y0T+(xm_nT-1)/2*xm_sT),2*('XA MU'!$D$28-(xm_y0T+(xm_nT-1)/2*xm_sT))/xm_sT,0)),0),0)+IF('XA MU'!$B$29&lt;=4,'XA MU'!$E$29*$B$8*(MAX(0,1-ABS('XA MU'!$C$29-$D33)/xm_sT)+MAX(0,1-ABS('XA MU'!$D$29-$D33)/xm_sT)),0)+IF(ABS($D33-(xm_y0T+(xm_nT-1)/2*xm_sT))&lt;0.000001,IF('XA MU'!$B$29&lt;=4,'XA MU'!$E$29*$B$8*(IF('XA MU'!$C$29&gt;(xm_y0T+(xm_nT-1)/2*xm_sT),2*('XA MU'!$C$29-(xm_y0T+(xm_nT-1)/2*xm_sT))/xm_sT,0)+IF('XA MU'!$D$29&gt;(xm_y0T+(xm_nT-1)/2*xm_sT),2*('XA MU'!$D$29-(xm_y0T+(xm_nT-1)/2*xm_sT))/xm_sT,0)),0),0)+IF('XA MU'!$B$30&lt;=4,'XA MU'!$E$30*$B$8*(MAX(0,1-ABS('XA MU'!$C$30-$D33)/xm_sT)+MAX(0,1-ABS('XA MU'!$D$30-$D33)/xm_sT)),0)+IF(ABS($D33-(xm_y0T+(xm_nT-1)/2*xm_sT))&lt;0.000001,IF('XA MU'!$B$30&lt;=4,'XA MU'!$E$30*$B$8*(IF('XA MU'!$C$30&gt;(xm_y0T+(xm_nT-1)/2*xm_sT),2*('XA MU'!$C$30-(xm_y0T+(xm_nT-1)/2*xm_sT))/xm_sT,0)+IF('XA MU'!$D$30&gt;(xm_y0T+(xm_nT-1)/2*xm_sT),2*('XA MU'!$D$30-(xm_y0T+(xm_nT-1)/2*xm_sT))/xm_sT,0)),0),0))))</f>
        <v>0</v>
      </c>
      <c r="M33" s="44">
        <f>IF(C33=0,0,IF(5&gt;nLan,0,0.65*(IF('XA MU'!$B$25&lt;=5,'XA MU'!$E$25*$B$8*(MAX(0,1-ABS('XA MU'!$C$25-$D33)/xm_sT)+MAX(0,1-ABS('XA MU'!$D$25-$D33)/xm_sT)),0)+IF(ABS($D33-(xm_y0T+(xm_nT-1)/2*xm_sT))&lt;0.000001,IF('XA MU'!$B$25&lt;=5,'XA MU'!$E$25*$B$8*(IF('XA MU'!$C$25&gt;(xm_y0T+(xm_nT-1)/2*xm_sT),2*('XA MU'!$C$25-(xm_y0T+(xm_nT-1)/2*xm_sT))/xm_sT,0)+IF('XA MU'!$D$25&gt;(xm_y0T+(xm_nT-1)/2*xm_sT),2*('XA MU'!$D$25-(xm_y0T+(xm_nT-1)/2*xm_sT))/xm_sT,0)),0),0)+IF('XA MU'!$B$26&lt;=5,'XA MU'!$E$26*$B$8*(MAX(0,1-ABS('XA MU'!$C$26-$D33)/xm_sT)+MAX(0,1-ABS('XA MU'!$D$26-$D33)/xm_sT)),0)+IF(ABS($D33-(xm_y0T+(xm_nT-1)/2*xm_sT))&lt;0.000001,IF('XA MU'!$B$26&lt;=5,'XA MU'!$E$26*$B$8*(IF('XA MU'!$C$26&gt;(xm_y0T+(xm_nT-1)/2*xm_sT),2*('XA MU'!$C$26-(xm_y0T+(xm_nT-1)/2*xm_sT))/xm_sT,0)+IF('XA MU'!$D$26&gt;(xm_y0T+(xm_nT-1)/2*xm_sT),2*('XA MU'!$D$26-(xm_y0T+(xm_nT-1)/2*xm_sT))/xm_sT,0)),0),0)+IF('XA MU'!$B$27&lt;=5,'XA MU'!$E$27*$B$8*(MAX(0,1-ABS('XA MU'!$C$27-$D33)/xm_sT)+MAX(0,1-ABS('XA MU'!$D$27-$D33)/xm_sT)),0)+IF(ABS($D33-(xm_y0T+(xm_nT-1)/2*xm_sT))&lt;0.000001,IF('XA MU'!$B$27&lt;=5,'XA MU'!$E$27*$B$8*(IF('XA MU'!$C$27&gt;(xm_y0T+(xm_nT-1)/2*xm_sT),2*('XA MU'!$C$27-(xm_y0T+(xm_nT-1)/2*xm_sT))/xm_sT,0)+IF('XA MU'!$D$27&gt;(xm_y0T+(xm_nT-1)/2*xm_sT),2*('XA MU'!$D$27-(xm_y0T+(xm_nT-1)/2*xm_sT))/xm_sT,0)),0),0)+IF('XA MU'!$B$28&lt;=5,'XA MU'!$E$28*$B$8*(MAX(0,1-ABS('XA MU'!$C$28-$D33)/xm_sT)+MAX(0,1-ABS('XA MU'!$D$28-$D33)/xm_sT)),0)+IF(ABS($D33-(xm_y0T+(xm_nT-1)/2*xm_sT))&lt;0.000001,IF('XA MU'!$B$28&lt;=5,'XA MU'!$E$28*$B$8*(IF('XA MU'!$C$28&gt;(xm_y0T+(xm_nT-1)/2*xm_sT),2*('XA MU'!$C$28-(xm_y0T+(xm_nT-1)/2*xm_sT))/xm_sT,0)+IF('XA MU'!$D$28&gt;(xm_y0T+(xm_nT-1)/2*xm_sT),2*('XA MU'!$D$28-(xm_y0T+(xm_nT-1)/2*xm_sT))/xm_sT,0)),0),0)+IF('XA MU'!$B$29&lt;=5,'XA MU'!$E$29*$B$8*(MAX(0,1-ABS('XA MU'!$C$29-$D33)/xm_sT)+MAX(0,1-ABS('XA MU'!$D$29-$D33)/xm_sT)),0)+IF(ABS($D33-(xm_y0T+(xm_nT-1)/2*xm_sT))&lt;0.000001,IF('XA MU'!$B$29&lt;=5,'XA MU'!$E$29*$B$8*(IF('XA MU'!$C$29&gt;(xm_y0T+(xm_nT-1)/2*xm_sT),2*('XA MU'!$C$29-(xm_y0T+(xm_nT-1)/2*xm_sT))/xm_sT,0)+IF('XA MU'!$D$29&gt;(xm_y0T+(xm_nT-1)/2*xm_sT),2*('XA MU'!$D$29-(xm_y0T+(xm_nT-1)/2*xm_sT))/xm_sT,0)),0),0)+IF('XA MU'!$B$30&lt;=5,'XA MU'!$E$30*$B$8*(MAX(0,1-ABS('XA MU'!$C$30-$D33)/xm_sT)+MAX(0,1-ABS('XA MU'!$D$30-$D33)/xm_sT)),0)+IF(ABS($D33-(xm_y0T+(xm_nT-1)/2*xm_sT))&lt;0.000001,IF('XA MU'!$B$30&lt;=5,'XA MU'!$E$30*$B$8*(IF('XA MU'!$C$30&gt;(xm_y0T+(xm_nT-1)/2*xm_sT),2*('XA MU'!$C$30-(xm_y0T+(xm_nT-1)/2*xm_sT))/xm_sT,0)+IF('XA MU'!$D$30&gt;(xm_y0T+(xm_nT-1)/2*xm_sT),2*('XA MU'!$D$30-(xm_y0T+(xm_nT-1)/2*xm_sT))/xm_sT,0)),0),0))))</f>
        <v>0</v>
      </c>
      <c r="N33" s="44">
        <f>IF(C33=0,0,IF(6&gt;nLan,0,0.65*(IF('XA MU'!$B$25&lt;=6,'XA MU'!$E$25*$B$8*(MAX(0,1-ABS('XA MU'!$C$25-$D33)/xm_sT)+MAX(0,1-ABS('XA MU'!$D$25-$D33)/xm_sT)),0)+IF(ABS($D33-(xm_y0T+(xm_nT-1)/2*xm_sT))&lt;0.000001,IF('XA MU'!$B$25&lt;=6,'XA MU'!$E$25*$B$8*(IF('XA MU'!$C$25&gt;(xm_y0T+(xm_nT-1)/2*xm_sT),2*('XA MU'!$C$25-(xm_y0T+(xm_nT-1)/2*xm_sT))/xm_sT,0)+IF('XA MU'!$D$25&gt;(xm_y0T+(xm_nT-1)/2*xm_sT),2*('XA MU'!$D$25-(xm_y0T+(xm_nT-1)/2*xm_sT))/xm_sT,0)),0),0)+IF('XA MU'!$B$26&lt;=6,'XA MU'!$E$26*$B$8*(MAX(0,1-ABS('XA MU'!$C$26-$D33)/xm_sT)+MAX(0,1-ABS('XA MU'!$D$26-$D33)/xm_sT)),0)+IF(ABS($D33-(xm_y0T+(xm_nT-1)/2*xm_sT))&lt;0.000001,IF('XA MU'!$B$26&lt;=6,'XA MU'!$E$26*$B$8*(IF('XA MU'!$C$26&gt;(xm_y0T+(xm_nT-1)/2*xm_sT),2*('XA MU'!$C$26-(xm_y0T+(xm_nT-1)/2*xm_sT))/xm_sT,0)+IF('XA MU'!$D$26&gt;(xm_y0T+(xm_nT-1)/2*xm_sT),2*('XA MU'!$D$26-(xm_y0T+(xm_nT-1)/2*xm_sT))/xm_sT,0)),0),0)+IF('XA MU'!$B$27&lt;=6,'XA MU'!$E$27*$B$8*(MAX(0,1-ABS('XA MU'!$C$27-$D33)/xm_sT)+MAX(0,1-ABS('XA MU'!$D$27-$D33)/xm_sT)),0)+IF(ABS($D33-(xm_y0T+(xm_nT-1)/2*xm_sT))&lt;0.000001,IF('XA MU'!$B$27&lt;=6,'XA MU'!$E$27*$B$8*(IF('XA MU'!$C$27&gt;(xm_y0T+(xm_nT-1)/2*xm_sT),2*('XA MU'!$C$27-(xm_y0T+(xm_nT-1)/2*xm_sT))/xm_sT,0)+IF('XA MU'!$D$27&gt;(xm_y0T+(xm_nT-1)/2*xm_sT),2*('XA MU'!$D$27-(xm_y0T+(xm_nT-1)/2*xm_sT))/xm_sT,0)),0),0)+IF('XA MU'!$B$28&lt;=6,'XA MU'!$E$28*$B$8*(MAX(0,1-ABS('XA MU'!$C$28-$D33)/xm_sT)+MAX(0,1-ABS('XA MU'!$D$28-$D33)/xm_sT)),0)+IF(ABS($D33-(xm_y0T+(xm_nT-1)/2*xm_sT))&lt;0.000001,IF('XA MU'!$B$28&lt;=6,'XA MU'!$E$28*$B$8*(IF('XA MU'!$C$28&gt;(xm_y0T+(xm_nT-1)/2*xm_sT),2*('XA MU'!$C$28-(xm_y0T+(xm_nT-1)/2*xm_sT))/xm_sT,0)+IF('XA MU'!$D$28&gt;(xm_y0T+(xm_nT-1)/2*xm_sT),2*('XA MU'!$D$28-(xm_y0T+(xm_nT-1)/2*xm_sT))/xm_sT,0)),0),0)+IF('XA MU'!$B$29&lt;=6,'XA MU'!$E$29*$B$8*(MAX(0,1-ABS('XA MU'!$C$29-$D33)/xm_sT)+MAX(0,1-ABS('XA MU'!$D$29-$D33)/xm_sT)),0)+IF(ABS($D33-(xm_y0T+(xm_nT-1)/2*xm_sT))&lt;0.000001,IF('XA MU'!$B$29&lt;=6,'XA MU'!$E$29*$B$8*(IF('XA MU'!$C$29&gt;(xm_y0T+(xm_nT-1)/2*xm_sT),2*('XA MU'!$C$29-(xm_y0T+(xm_nT-1)/2*xm_sT))/xm_sT,0)+IF('XA MU'!$D$29&gt;(xm_y0T+(xm_nT-1)/2*xm_sT),2*('XA MU'!$D$29-(xm_y0T+(xm_nT-1)/2*xm_sT))/xm_sT,0)),0),0)+IF('XA MU'!$B$30&lt;=6,'XA MU'!$E$30*$B$8*(MAX(0,1-ABS('XA MU'!$C$30-$D33)/xm_sT)+MAX(0,1-ABS('XA MU'!$D$30-$D33)/xm_sT)),0)+IF(ABS($D33-(xm_y0T+(xm_nT-1)/2*xm_sT))&lt;0.000001,IF('XA MU'!$B$30&lt;=6,'XA MU'!$E$30*$B$8*(IF('XA MU'!$C$30&gt;(xm_y0T+(xm_nT-1)/2*xm_sT),2*('XA MU'!$C$30-(xm_y0T+(xm_nT-1)/2*xm_sT))/xm_sT,0)+IF('XA MU'!$D$30&gt;(xm_y0T+(xm_nT-1)/2*xm_sT),2*('XA MU'!$D$30-(xm_y0T+(xm_nT-1)/2*xm_sT))/xm_sT,0)),0),0))))</f>
        <v>0</v>
      </c>
    </row>
    <row r="34" spans="1:14" x14ac:dyDescent="0.3">
      <c r="A34" s="42" t="s">
        <v>1235</v>
      </c>
      <c r="B34" s="42">
        <v>20</v>
      </c>
      <c r="C34" s="40">
        <f t="shared" si="0"/>
        <v>0</v>
      </c>
      <c r="D34" s="44">
        <f t="shared" si="1"/>
        <v>0</v>
      </c>
      <c r="E34" s="44">
        <f>MAX(0,D34-'XA MU'!$C$8)*C34</f>
        <v>0</v>
      </c>
      <c r="F34" s="44">
        <f>IF(AND(C34=1,D34&gt;'XA MU'!$C$8),1,0)</f>
        <v>0</v>
      </c>
      <c r="G34" s="44">
        <f t="shared" si="2"/>
        <v>0</v>
      </c>
      <c r="H34" s="44">
        <f t="shared" si="3"/>
        <v>0</v>
      </c>
      <c r="I34" s="44">
        <f>IF(C34=0,0,IF(1&gt;nLan,0,1.2*(IF('XA MU'!$B$25&lt;=1,'XA MU'!$E$25*$B$8*(MAX(0,1-ABS('XA MU'!$C$25-$D34)/xm_sT)+MAX(0,1-ABS('XA MU'!$D$25-$D34)/xm_sT)),0)+IF(ABS($D34-(xm_y0T+(xm_nT-1)/2*xm_sT))&lt;0.000001,IF('XA MU'!$B$25&lt;=1,'XA MU'!$E$25*$B$8*(IF('XA MU'!$C$25&gt;(xm_y0T+(xm_nT-1)/2*xm_sT),2*('XA MU'!$C$25-(xm_y0T+(xm_nT-1)/2*xm_sT))/xm_sT,0)+IF('XA MU'!$D$25&gt;(xm_y0T+(xm_nT-1)/2*xm_sT),2*('XA MU'!$D$25-(xm_y0T+(xm_nT-1)/2*xm_sT))/xm_sT,0)),0),0)+IF('XA MU'!$B$26&lt;=1,'XA MU'!$E$26*$B$8*(MAX(0,1-ABS('XA MU'!$C$26-$D34)/xm_sT)+MAX(0,1-ABS('XA MU'!$D$26-$D34)/xm_sT)),0)+IF(ABS($D34-(xm_y0T+(xm_nT-1)/2*xm_sT))&lt;0.000001,IF('XA MU'!$B$26&lt;=1,'XA MU'!$E$26*$B$8*(IF('XA MU'!$C$26&gt;(xm_y0T+(xm_nT-1)/2*xm_sT),2*('XA MU'!$C$26-(xm_y0T+(xm_nT-1)/2*xm_sT))/xm_sT,0)+IF('XA MU'!$D$26&gt;(xm_y0T+(xm_nT-1)/2*xm_sT),2*('XA MU'!$D$26-(xm_y0T+(xm_nT-1)/2*xm_sT))/xm_sT,0)),0),0)+IF('XA MU'!$B$27&lt;=1,'XA MU'!$E$27*$B$8*(MAX(0,1-ABS('XA MU'!$C$27-$D34)/xm_sT)+MAX(0,1-ABS('XA MU'!$D$27-$D34)/xm_sT)),0)+IF(ABS($D34-(xm_y0T+(xm_nT-1)/2*xm_sT))&lt;0.000001,IF('XA MU'!$B$27&lt;=1,'XA MU'!$E$27*$B$8*(IF('XA MU'!$C$27&gt;(xm_y0T+(xm_nT-1)/2*xm_sT),2*('XA MU'!$C$27-(xm_y0T+(xm_nT-1)/2*xm_sT))/xm_sT,0)+IF('XA MU'!$D$27&gt;(xm_y0T+(xm_nT-1)/2*xm_sT),2*('XA MU'!$D$27-(xm_y0T+(xm_nT-1)/2*xm_sT))/xm_sT,0)),0),0)+IF('XA MU'!$B$28&lt;=1,'XA MU'!$E$28*$B$8*(MAX(0,1-ABS('XA MU'!$C$28-$D34)/xm_sT)+MAX(0,1-ABS('XA MU'!$D$28-$D34)/xm_sT)),0)+IF(ABS($D34-(xm_y0T+(xm_nT-1)/2*xm_sT))&lt;0.000001,IF('XA MU'!$B$28&lt;=1,'XA MU'!$E$28*$B$8*(IF('XA MU'!$C$28&gt;(xm_y0T+(xm_nT-1)/2*xm_sT),2*('XA MU'!$C$28-(xm_y0T+(xm_nT-1)/2*xm_sT))/xm_sT,0)+IF('XA MU'!$D$28&gt;(xm_y0T+(xm_nT-1)/2*xm_sT),2*('XA MU'!$D$28-(xm_y0T+(xm_nT-1)/2*xm_sT))/xm_sT,0)),0),0)+IF('XA MU'!$B$29&lt;=1,'XA MU'!$E$29*$B$8*(MAX(0,1-ABS('XA MU'!$C$29-$D34)/xm_sT)+MAX(0,1-ABS('XA MU'!$D$29-$D34)/xm_sT)),0)+IF(ABS($D34-(xm_y0T+(xm_nT-1)/2*xm_sT))&lt;0.000001,IF('XA MU'!$B$29&lt;=1,'XA MU'!$E$29*$B$8*(IF('XA MU'!$C$29&gt;(xm_y0T+(xm_nT-1)/2*xm_sT),2*('XA MU'!$C$29-(xm_y0T+(xm_nT-1)/2*xm_sT))/xm_sT,0)+IF('XA MU'!$D$29&gt;(xm_y0T+(xm_nT-1)/2*xm_sT),2*('XA MU'!$D$29-(xm_y0T+(xm_nT-1)/2*xm_sT))/xm_sT,0)),0),0)+IF('XA MU'!$B$30&lt;=1,'XA MU'!$E$30*$B$8*(MAX(0,1-ABS('XA MU'!$C$30-$D34)/xm_sT)+MAX(0,1-ABS('XA MU'!$D$30-$D34)/xm_sT)),0)+IF(ABS($D34-(xm_y0T+(xm_nT-1)/2*xm_sT))&lt;0.000001,IF('XA MU'!$B$30&lt;=1,'XA MU'!$E$30*$B$8*(IF('XA MU'!$C$30&gt;(xm_y0T+(xm_nT-1)/2*xm_sT),2*('XA MU'!$C$30-(xm_y0T+(xm_nT-1)/2*xm_sT))/xm_sT,0)+IF('XA MU'!$D$30&gt;(xm_y0T+(xm_nT-1)/2*xm_sT),2*('XA MU'!$D$30-(xm_y0T+(xm_nT-1)/2*xm_sT))/xm_sT,0)),0),0))))</f>
        <v>0</v>
      </c>
      <c r="J34" s="44">
        <f>IF(C34=0,0,IF(2&gt;nLan,0,1*(IF('XA MU'!$B$25&lt;=2,'XA MU'!$E$25*$B$8*(MAX(0,1-ABS('XA MU'!$C$25-$D34)/xm_sT)+MAX(0,1-ABS('XA MU'!$D$25-$D34)/xm_sT)),0)+IF(ABS($D34-(xm_y0T+(xm_nT-1)/2*xm_sT))&lt;0.000001,IF('XA MU'!$B$25&lt;=2,'XA MU'!$E$25*$B$8*(IF('XA MU'!$C$25&gt;(xm_y0T+(xm_nT-1)/2*xm_sT),2*('XA MU'!$C$25-(xm_y0T+(xm_nT-1)/2*xm_sT))/xm_sT,0)+IF('XA MU'!$D$25&gt;(xm_y0T+(xm_nT-1)/2*xm_sT),2*('XA MU'!$D$25-(xm_y0T+(xm_nT-1)/2*xm_sT))/xm_sT,0)),0),0)+IF('XA MU'!$B$26&lt;=2,'XA MU'!$E$26*$B$8*(MAX(0,1-ABS('XA MU'!$C$26-$D34)/xm_sT)+MAX(0,1-ABS('XA MU'!$D$26-$D34)/xm_sT)),0)+IF(ABS($D34-(xm_y0T+(xm_nT-1)/2*xm_sT))&lt;0.000001,IF('XA MU'!$B$26&lt;=2,'XA MU'!$E$26*$B$8*(IF('XA MU'!$C$26&gt;(xm_y0T+(xm_nT-1)/2*xm_sT),2*('XA MU'!$C$26-(xm_y0T+(xm_nT-1)/2*xm_sT))/xm_sT,0)+IF('XA MU'!$D$26&gt;(xm_y0T+(xm_nT-1)/2*xm_sT),2*('XA MU'!$D$26-(xm_y0T+(xm_nT-1)/2*xm_sT))/xm_sT,0)),0),0)+IF('XA MU'!$B$27&lt;=2,'XA MU'!$E$27*$B$8*(MAX(0,1-ABS('XA MU'!$C$27-$D34)/xm_sT)+MAX(0,1-ABS('XA MU'!$D$27-$D34)/xm_sT)),0)+IF(ABS($D34-(xm_y0T+(xm_nT-1)/2*xm_sT))&lt;0.000001,IF('XA MU'!$B$27&lt;=2,'XA MU'!$E$27*$B$8*(IF('XA MU'!$C$27&gt;(xm_y0T+(xm_nT-1)/2*xm_sT),2*('XA MU'!$C$27-(xm_y0T+(xm_nT-1)/2*xm_sT))/xm_sT,0)+IF('XA MU'!$D$27&gt;(xm_y0T+(xm_nT-1)/2*xm_sT),2*('XA MU'!$D$27-(xm_y0T+(xm_nT-1)/2*xm_sT))/xm_sT,0)),0),0)+IF('XA MU'!$B$28&lt;=2,'XA MU'!$E$28*$B$8*(MAX(0,1-ABS('XA MU'!$C$28-$D34)/xm_sT)+MAX(0,1-ABS('XA MU'!$D$28-$D34)/xm_sT)),0)+IF(ABS($D34-(xm_y0T+(xm_nT-1)/2*xm_sT))&lt;0.000001,IF('XA MU'!$B$28&lt;=2,'XA MU'!$E$28*$B$8*(IF('XA MU'!$C$28&gt;(xm_y0T+(xm_nT-1)/2*xm_sT),2*('XA MU'!$C$28-(xm_y0T+(xm_nT-1)/2*xm_sT))/xm_sT,0)+IF('XA MU'!$D$28&gt;(xm_y0T+(xm_nT-1)/2*xm_sT),2*('XA MU'!$D$28-(xm_y0T+(xm_nT-1)/2*xm_sT))/xm_sT,0)),0),0)+IF('XA MU'!$B$29&lt;=2,'XA MU'!$E$29*$B$8*(MAX(0,1-ABS('XA MU'!$C$29-$D34)/xm_sT)+MAX(0,1-ABS('XA MU'!$D$29-$D34)/xm_sT)),0)+IF(ABS($D34-(xm_y0T+(xm_nT-1)/2*xm_sT))&lt;0.000001,IF('XA MU'!$B$29&lt;=2,'XA MU'!$E$29*$B$8*(IF('XA MU'!$C$29&gt;(xm_y0T+(xm_nT-1)/2*xm_sT),2*('XA MU'!$C$29-(xm_y0T+(xm_nT-1)/2*xm_sT))/xm_sT,0)+IF('XA MU'!$D$29&gt;(xm_y0T+(xm_nT-1)/2*xm_sT),2*('XA MU'!$D$29-(xm_y0T+(xm_nT-1)/2*xm_sT))/xm_sT,0)),0),0)+IF('XA MU'!$B$30&lt;=2,'XA MU'!$E$30*$B$8*(MAX(0,1-ABS('XA MU'!$C$30-$D34)/xm_sT)+MAX(0,1-ABS('XA MU'!$D$30-$D34)/xm_sT)),0)+IF(ABS($D34-(xm_y0T+(xm_nT-1)/2*xm_sT))&lt;0.000001,IF('XA MU'!$B$30&lt;=2,'XA MU'!$E$30*$B$8*(IF('XA MU'!$C$30&gt;(xm_y0T+(xm_nT-1)/2*xm_sT),2*('XA MU'!$C$30-(xm_y0T+(xm_nT-1)/2*xm_sT))/xm_sT,0)+IF('XA MU'!$D$30&gt;(xm_y0T+(xm_nT-1)/2*xm_sT),2*('XA MU'!$D$30-(xm_y0T+(xm_nT-1)/2*xm_sT))/xm_sT,0)),0),0))))</f>
        <v>0</v>
      </c>
      <c r="K34" s="44">
        <f>IF(C34=0,0,IF(3&gt;nLan,0,0.85*(IF('XA MU'!$B$25&lt;=3,'XA MU'!$E$25*$B$8*(MAX(0,1-ABS('XA MU'!$C$25-$D34)/xm_sT)+MAX(0,1-ABS('XA MU'!$D$25-$D34)/xm_sT)),0)+IF(ABS($D34-(xm_y0T+(xm_nT-1)/2*xm_sT))&lt;0.000001,IF('XA MU'!$B$25&lt;=3,'XA MU'!$E$25*$B$8*(IF('XA MU'!$C$25&gt;(xm_y0T+(xm_nT-1)/2*xm_sT),2*('XA MU'!$C$25-(xm_y0T+(xm_nT-1)/2*xm_sT))/xm_sT,0)+IF('XA MU'!$D$25&gt;(xm_y0T+(xm_nT-1)/2*xm_sT),2*('XA MU'!$D$25-(xm_y0T+(xm_nT-1)/2*xm_sT))/xm_sT,0)),0),0)+IF('XA MU'!$B$26&lt;=3,'XA MU'!$E$26*$B$8*(MAX(0,1-ABS('XA MU'!$C$26-$D34)/xm_sT)+MAX(0,1-ABS('XA MU'!$D$26-$D34)/xm_sT)),0)+IF(ABS($D34-(xm_y0T+(xm_nT-1)/2*xm_sT))&lt;0.000001,IF('XA MU'!$B$26&lt;=3,'XA MU'!$E$26*$B$8*(IF('XA MU'!$C$26&gt;(xm_y0T+(xm_nT-1)/2*xm_sT),2*('XA MU'!$C$26-(xm_y0T+(xm_nT-1)/2*xm_sT))/xm_sT,0)+IF('XA MU'!$D$26&gt;(xm_y0T+(xm_nT-1)/2*xm_sT),2*('XA MU'!$D$26-(xm_y0T+(xm_nT-1)/2*xm_sT))/xm_sT,0)),0),0)+IF('XA MU'!$B$27&lt;=3,'XA MU'!$E$27*$B$8*(MAX(0,1-ABS('XA MU'!$C$27-$D34)/xm_sT)+MAX(0,1-ABS('XA MU'!$D$27-$D34)/xm_sT)),0)+IF(ABS($D34-(xm_y0T+(xm_nT-1)/2*xm_sT))&lt;0.000001,IF('XA MU'!$B$27&lt;=3,'XA MU'!$E$27*$B$8*(IF('XA MU'!$C$27&gt;(xm_y0T+(xm_nT-1)/2*xm_sT),2*('XA MU'!$C$27-(xm_y0T+(xm_nT-1)/2*xm_sT))/xm_sT,0)+IF('XA MU'!$D$27&gt;(xm_y0T+(xm_nT-1)/2*xm_sT),2*('XA MU'!$D$27-(xm_y0T+(xm_nT-1)/2*xm_sT))/xm_sT,0)),0),0)+IF('XA MU'!$B$28&lt;=3,'XA MU'!$E$28*$B$8*(MAX(0,1-ABS('XA MU'!$C$28-$D34)/xm_sT)+MAX(0,1-ABS('XA MU'!$D$28-$D34)/xm_sT)),0)+IF(ABS($D34-(xm_y0T+(xm_nT-1)/2*xm_sT))&lt;0.000001,IF('XA MU'!$B$28&lt;=3,'XA MU'!$E$28*$B$8*(IF('XA MU'!$C$28&gt;(xm_y0T+(xm_nT-1)/2*xm_sT),2*('XA MU'!$C$28-(xm_y0T+(xm_nT-1)/2*xm_sT))/xm_sT,0)+IF('XA MU'!$D$28&gt;(xm_y0T+(xm_nT-1)/2*xm_sT),2*('XA MU'!$D$28-(xm_y0T+(xm_nT-1)/2*xm_sT))/xm_sT,0)),0),0)+IF('XA MU'!$B$29&lt;=3,'XA MU'!$E$29*$B$8*(MAX(0,1-ABS('XA MU'!$C$29-$D34)/xm_sT)+MAX(0,1-ABS('XA MU'!$D$29-$D34)/xm_sT)),0)+IF(ABS($D34-(xm_y0T+(xm_nT-1)/2*xm_sT))&lt;0.000001,IF('XA MU'!$B$29&lt;=3,'XA MU'!$E$29*$B$8*(IF('XA MU'!$C$29&gt;(xm_y0T+(xm_nT-1)/2*xm_sT),2*('XA MU'!$C$29-(xm_y0T+(xm_nT-1)/2*xm_sT))/xm_sT,0)+IF('XA MU'!$D$29&gt;(xm_y0T+(xm_nT-1)/2*xm_sT),2*('XA MU'!$D$29-(xm_y0T+(xm_nT-1)/2*xm_sT))/xm_sT,0)),0),0)+IF('XA MU'!$B$30&lt;=3,'XA MU'!$E$30*$B$8*(MAX(0,1-ABS('XA MU'!$C$30-$D34)/xm_sT)+MAX(0,1-ABS('XA MU'!$D$30-$D34)/xm_sT)),0)+IF(ABS($D34-(xm_y0T+(xm_nT-1)/2*xm_sT))&lt;0.000001,IF('XA MU'!$B$30&lt;=3,'XA MU'!$E$30*$B$8*(IF('XA MU'!$C$30&gt;(xm_y0T+(xm_nT-1)/2*xm_sT),2*('XA MU'!$C$30-(xm_y0T+(xm_nT-1)/2*xm_sT))/xm_sT,0)+IF('XA MU'!$D$30&gt;(xm_y0T+(xm_nT-1)/2*xm_sT),2*('XA MU'!$D$30-(xm_y0T+(xm_nT-1)/2*xm_sT))/xm_sT,0)),0),0))))</f>
        <v>0</v>
      </c>
      <c r="L34" s="44">
        <f>IF(C34=0,0,IF(4&gt;nLan,0,0.65*(IF('XA MU'!$B$25&lt;=4,'XA MU'!$E$25*$B$8*(MAX(0,1-ABS('XA MU'!$C$25-$D34)/xm_sT)+MAX(0,1-ABS('XA MU'!$D$25-$D34)/xm_sT)),0)+IF(ABS($D34-(xm_y0T+(xm_nT-1)/2*xm_sT))&lt;0.000001,IF('XA MU'!$B$25&lt;=4,'XA MU'!$E$25*$B$8*(IF('XA MU'!$C$25&gt;(xm_y0T+(xm_nT-1)/2*xm_sT),2*('XA MU'!$C$25-(xm_y0T+(xm_nT-1)/2*xm_sT))/xm_sT,0)+IF('XA MU'!$D$25&gt;(xm_y0T+(xm_nT-1)/2*xm_sT),2*('XA MU'!$D$25-(xm_y0T+(xm_nT-1)/2*xm_sT))/xm_sT,0)),0),0)+IF('XA MU'!$B$26&lt;=4,'XA MU'!$E$26*$B$8*(MAX(0,1-ABS('XA MU'!$C$26-$D34)/xm_sT)+MAX(0,1-ABS('XA MU'!$D$26-$D34)/xm_sT)),0)+IF(ABS($D34-(xm_y0T+(xm_nT-1)/2*xm_sT))&lt;0.000001,IF('XA MU'!$B$26&lt;=4,'XA MU'!$E$26*$B$8*(IF('XA MU'!$C$26&gt;(xm_y0T+(xm_nT-1)/2*xm_sT),2*('XA MU'!$C$26-(xm_y0T+(xm_nT-1)/2*xm_sT))/xm_sT,0)+IF('XA MU'!$D$26&gt;(xm_y0T+(xm_nT-1)/2*xm_sT),2*('XA MU'!$D$26-(xm_y0T+(xm_nT-1)/2*xm_sT))/xm_sT,0)),0),0)+IF('XA MU'!$B$27&lt;=4,'XA MU'!$E$27*$B$8*(MAX(0,1-ABS('XA MU'!$C$27-$D34)/xm_sT)+MAX(0,1-ABS('XA MU'!$D$27-$D34)/xm_sT)),0)+IF(ABS($D34-(xm_y0T+(xm_nT-1)/2*xm_sT))&lt;0.000001,IF('XA MU'!$B$27&lt;=4,'XA MU'!$E$27*$B$8*(IF('XA MU'!$C$27&gt;(xm_y0T+(xm_nT-1)/2*xm_sT),2*('XA MU'!$C$27-(xm_y0T+(xm_nT-1)/2*xm_sT))/xm_sT,0)+IF('XA MU'!$D$27&gt;(xm_y0T+(xm_nT-1)/2*xm_sT),2*('XA MU'!$D$27-(xm_y0T+(xm_nT-1)/2*xm_sT))/xm_sT,0)),0),0)+IF('XA MU'!$B$28&lt;=4,'XA MU'!$E$28*$B$8*(MAX(0,1-ABS('XA MU'!$C$28-$D34)/xm_sT)+MAX(0,1-ABS('XA MU'!$D$28-$D34)/xm_sT)),0)+IF(ABS($D34-(xm_y0T+(xm_nT-1)/2*xm_sT))&lt;0.000001,IF('XA MU'!$B$28&lt;=4,'XA MU'!$E$28*$B$8*(IF('XA MU'!$C$28&gt;(xm_y0T+(xm_nT-1)/2*xm_sT),2*('XA MU'!$C$28-(xm_y0T+(xm_nT-1)/2*xm_sT))/xm_sT,0)+IF('XA MU'!$D$28&gt;(xm_y0T+(xm_nT-1)/2*xm_sT),2*('XA MU'!$D$28-(xm_y0T+(xm_nT-1)/2*xm_sT))/xm_sT,0)),0),0)+IF('XA MU'!$B$29&lt;=4,'XA MU'!$E$29*$B$8*(MAX(0,1-ABS('XA MU'!$C$29-$D34)/xm_sT)+MAX(0,1-ABS('XA MU'!$D$29-$D34)/xm_sT)),0)+IF(ABS($D34-(xm_y0T+(xm_nT-1)/2*xm_sT))&lt;0.000001,IF('XA MU'!$B$29&lt;=4,'XA MU'!$E$29*$B$8*(IF('XA MU'!$C$29&gt;(xm_y0T+(xm_nT-1)/2*xm_sT),2*('XA MU'!$C$29-(xm_y0T+(xm_nT-1)/2*xm_sT))/xm_sT,0)+IF('XA MU'!$D$29&gt;(xm_y0T+(xm_nT-1)/2*xm_sT),2*('XA MU'!$D$29-(xm_y0T+(xm_nT-1)/2*xm_sT))/xm_sT,0)),0),0)+IF('XA MU'!$B$30&lt;=4,'XA MU'!$E$30*$B$8*(MAX(0,1-ABS('XA MU'!$C$30-$D34)/xm_sT)+MAX(0,1-ABS('XA MU'!$D$30-$D34)/xm_sT)),0)+IF(ABS($D34-(xm_y0T+(xm_nT-1)/2*xm_sT))&lt;0.000001,IF('XA MU'!$B$30&lt;=4,'XA MU'!$E$30*$B$8*(IF('XA MU'!$C$30&gt;(xm_y0T+(xm_nT-1)/2*xm_sT),2*('XA MU'!$C$30-(xm_y0T+(xm_nT-1)/2*xm_sT))/xm_sT,0)+IF('XA MU'!$D$30&gt;(xm_y0T+(xm_nT-1)/2*xm_sT),2*('XA MU'!$D$30-(xm_y0T+(xm_nT-1)/2*xm_sT))/xm_sT,0)),0),0))))</f>
        <v>0</v>
      </c>
      <c r="M34" s="44">
        <f>IF(C34=0,0,IF(5&gt;nLan,0,0.65*(IF('XA MU'!$B$25&lt;=5,'XA MU'!$E$25*$B$8*(MAX(0,1-ABS('XA MU'!$C$25-$D34)/xm_sT)+MAX(0,1-ABS('XA MU'!$D$25-$D34)/xm_sT)),0)+IF(ABS($D34-(xm_y0T+(xm_nT-1)/2*xm_sT))&lt;0.000001,IF('XA MU'!$B$25&lt;=5,'XA MU'!$E$25*$B$8*(IF('XA MU'!$C$25&gt;(xm_y0T+(xm_nT-1)/2*xm_sT),2*('XA MU'!$C$25-(xm_y0T+(xm_nT-1)/2*xm_sT))/xm_sT,0)+IF('XA MU'!$D$25&gt;(xm_y0T+(xm_nT-1)/2*xm_sT),2*('XA MU'!$D$25-(xm_y0T+(xm_nT-1)/2*xm_sT))/xm_sT,0)),0),0)+IF('XA MU'!$B$26&lt;=5,'XA MU'!$E$26*$B$8*(MAX(0,1-ABS('XA MU'!$C$26-$D34)/xm_sT)+MAX(0,1-ABS('XA MU'!$D$26-$D34)/xm_sT)),0)+IF(ABS($D34-(xm_y0T+(xm_nT-1)/2*xm_sT))&lt;0.000001,IF('XA MU'!$B$26&lt;=5,'XA MU'!$E$26*$B$8*(IF('XA MU'!$C$26&gt;(xm_y0T+(xm_nT-1)/2*xm_sT),2*('XA MU'!$C$26-(xm_y0T+(xm_nT-1)/2*xm_sT))/xm_sT,0)+IF('XA MU'!$D$26&gt;(xm_y0T+(xm_nT-1)/2*xm_sT),2*('XA MU'!$D$26-(xm_y0T+(xm_nT-1)/2*xm_sT))/xm_sT,0)),0),0)+IF('XA MU'!$B$27&lt;=5,'XA MU'!$E$27*$B$8*(MAX(0,1-ABS('XA MU'!$C$27-$D34)/xm_sT)+MAX(0,1-ABS('XA MU'!$D$27-$D34)/xm_sT)),0)+IF(ABS($D34-(xm_y0T+(xm_nT-1)/2*xm_sT))&lt;0.000001,IF('XA MU'!$B$27&lt;=5,'XA MU'!$E$27*$B$8*(IF('XA MU'!$C$27&gt;(xm_y0T+(xm_nT-1)/2*xm_sT),2*('XA MU'!$C$27-(xm_y0T+(xm_nT-1)/2*xm_sT))/xm_sT,0)+IF('XA MU'!$D$27&gt;(xm_y0T+(xm_nT-1)/2*xm_sT),2*('XA MU'!$D$27-(xm_y0T+(xm_nT-1)/2*xm_sT))/xm_sT,0)),0),0)+IF('XA MU'!$B$28&lt;=5,'XA MU'!$E$28*$B$8*(MAX(0,1-ABS('XA MU'!$C$28-$D34)/xm_sT)+MAX(0,1-ABS('XA MU'!$D$28-$D34)/xm_sT)),0)+IF(ABS($D34-(xm_y0T+(xm_nT-1)/2*xm_sT))&lt;0.000001,IF('XA MU'!$B$28&lt;=5,'XA MU'!$E$28*$B$8*(IF('XA MU'!$C$28&gt;(xm_y0T+(xm_nT-1)/2*xm_sT),2*('XA MU'!$C$28-(xm_y0T+(xm_nT-1)/2*xm_sT))/xm_sT,0)+IF('XA MU'!$D$28&gt;(xm_y0T+(xm_nT-1)/2*xm_sT),2*('XA MU'!$D$28-(xm_y0T+(xm_nT-1)/2*xm_sT))/xm_sT,0)),0),0)+IF('XA MU'!$B$29&lt;=5,'XA MU'!$E$29*$B$8*(MAX(0,1-ABS('XA MU'!$C$29-$D34)/xm_sT)+MAX(0,1-ABS('XA MU'!$D$29-$D34)/xm_sT)),0)+IF(ABS($D34-(xm_y0T+(xm_nT-1)/2*xm_sT))&lt;0.000001,IF('XA MU'!$B$29&lt;=5,'XA MU'!$E$29*$B$8*(IF('XA MU'!$C$29&gt;(xm_y0T+(xm_nT-1)/2*xm_sT),2*('XA MU'!$C$29-(xm_y0T+(xm_nT-1)/2*xm_sT))/xm_sT,0)+IF('XA MU'!$D$29&gt;(xm_y0T+(xm_nT-1)/2*xm_sT),2*('XA MU'!$D$29-(xm_y0T+(xm_nT-1)/2*xm_sT))/xm_sT,0)),0),0)+IF('XA MU'!$B$30&lt;=5,'XA MU'!$E$30*$B$8*(MAX(0,1-ABS('XA MU'!$C$30-$D34)/xm_sT)+MAX(0,1-ABS('XA MU'!$D$30-$D34)/xm_sT)),0)+IF(ABS($D34-(xm_y0T+(xm_nT-1)/2*xm_sT))&lt;0.000001,IF('XA MU'!$B$30&lt;=5,'XA MU'!$E$30*$B$8*(IF('XA MU'!$C$30&gt;(xm_y0T+(xm_nT-1)/2*xm_sT),2*('XA MU'!$C$30-(xm_y0T+(xm_nT-1)/2*xm_sT))/xm_sT,0)+IF('XA MU'!$D$30&gt;(xm_y0T+(xm_nT-1)/2*xm_sT),2*('XA MU'!$D$30-(xm_y0T+(xm_nT-1)/2*xm_sT))/xm_sT,0)),0),0))))</f>
        <v>0</v>
      </c>
      <c r="N34" s="44">
        <f>IF(C34=0,0,IF(6&gt;nLan,0,0.65*(IF('XA MU'!$B$25&lt;=6,'XA MU'!$E$25*$B$8*(MAX(0,1-ABS('XA MU'!$C$25-$D34)/xm_sT)+MAX(0,1-ABS('XA MU'!$D$25-$D34)/xm_sT)),0)+IF(ABS($D34-(xm_y0T+(xm_nT-1)/2*xm_sT))&lt;0.000001,IF('XA MU'!$B$25&lt;=6,'XA MU'!$E$25*$B$8*(IF('XA MU'!$C$25&gt;(xm_y0T+(xm_nT-1)/2*xm_sT),2*('XA MU'!$C$25-(xm_y0T+(xm_nT-1)/2*xm_sT))/xm_sT,0)+IF('XA MU'!$D$25&gt;(xm_y0T+(xm_nT-1)/2*xm_sT),2*('XA MU'!$D$25-(xm_y0T+(xm_nT-1)/2*xm_sT))/xm_sT,0)),0),0)+IF('XA MU'!$B$26&lt;=6,'XA MU'!$E$26*$B$8*(MAX(0,1-ABS('XA MU'!$C$26-$D34)/xm_sT)+MAX(0,1-ABS('XA MU'!$D$26-$D34)/xm_sT)),0)+IF(ABS($D34-(xm_y0T+(xm_nT-1)/2*xm_sT))&lt;0.000001,IF('XA MU'!$B$26&lt;=6,'XA MU'!$E$26*$B$8*(IF('XA MU'!$C$26&gt;(xm_y0T+(xm_nT-1)/2*xm_sT),2*('XA MU'!$C$26-(xm_y0T+(xm_nT-1)/2*xm_sT))/xm_sT,0)+IF('XA MU'!$D$26&gt;(xm_y0T+(xm_nT-1)/2*xm_sT),2*('XA MU'!$D$26-(xm_y0T+(xm_nT-1)/2*xm_sT))/xm_sT,0)),0),0)+IF('XA MU'!$B$27&lt;=6,'XA MU'!$E$27*$B$8*(MAX(0,1-ABS('XA MU'!$C$27-$D34)/xm_sT)+MAX(0,1-ABS('XA MU'!$D$27-$D34)/xm_sT)),0)+IF(ABS($D34-(xm_y0T+(xm_nT-1)/2*xm_sT))&lt;0.000001,IF('XA MU'!$B$27&lt;=6,'XA MU'!$E$27*$B$8*(IF('XA MU'!$C$27&gt;(xm_y0T+(xm_nT-1)/2*xm_sT),2*('XA MU'!$C$27-(xm_y0T+(xm_nT-1)/2*xm_sT))/xm_sT,0)+IF('XA MU'!$D$27&gt;(xm_y0T+(xm_nT-1)/2*xm_sT),2*('XA MU'!$D$27-(xm_y0T+(xm_nT-1)/2*xm_sT))/xm_sT,0)),0),0)+IF('XA MU'!$B$28&lt;=6,'XA MU'!$E$28*$B$8*(MAX(0,1-ABS('XA MU'!$C$28-$D34)/xm_sT)+MAX(0,1-ABS('XA MU'!$D$28-$D34)/xm_sT)),0)+IF(ABS($D34-(xm_y0T+(xm_nT-1)/2*xm_sT))&lt;0.000001,IF('XA MU'!$B$28&lt;=6,'XA MU'!$E$28*$B$8*(IF('XA MU'!$C$28&gt;(xm_y0T+(xm_nT-1)/2*xm_sT),2*('XA MU'!$C$28-(xm_y0T+(xm_nT-1)/2*xm_sT))/xm_sT,0)+IF('XA MU'!$D$28&gt;(xm_y0T+(xm_nT-1)/2*xm_sT),2*('XA MU'!$D$28-(xm_y0T+(xm_nT-1)/2*xm_sT))/xm_sT,0)),0),0)+IF('XA MU'!$B$29&lt;=6,'XA MU'!$E$29*$B$8*(MAX(0,1-ABS('XA MU'!$C$29-$D34)/xm_sT)+MAX(0,1-ABS('XA MU'!$D$29-$D34)/xm_sT)),0)+IF(ABS($D34-(xm_y0T+(xm_nT-1)/2*xm_sT))&lt;0.000001,IF('XA MU'!$B$29&lt;=6,'XA MU'!$E$29*$B$8*(IF('XA MU'!$C$29&gt;(xm_y0T+(xm_nT-1)/2*xm_sT),2*('XA MU'!$C$29-(xm_y0T+(xm_nT-1)/2*xm_sT))/xm_sT,0)+IF('XA MU'!$D$29&gt;(xm_y0T+(xm_nT-1)/2*xm_sT),2*('XA MU'!$D$29-(xm_y0T+(xm_nT-1)/2*xm_sT))/xm_sT,0)),0),0)+IF('XA MU'!$B$30&lt;=6,'XA MU'!$E$30*$B$8*(MAX(0,1-ABS('XA MU'!$C$30-$D34)/xm_sT)+MAX(0,1-ABS('XA MU'!$D$30-$D34)/xm_sT)),0)+IF(ABS($D34-(xm_y0T+(xm_nT-1)/2*xm_sT))&lt;0.000001,IF('XA MU'!$B$30&lt;=6,'XA MU'!$E$30*$B$8*(IF('XA MU'!$C$30&gt;(xm_y0T+(xm_nT-1)/2*xm_sT),2*('XA MU'!$C$30-(xm_y0T+(xm_nT-1)/2*xm_sT))/xm_sT,0)+IF('XA MU'!$D$30&gt;(xm_y0T+(xm_nT-1)/2*xm_sT),2*('XA MU'!$D$30-(xm_y0T+(xm_nT-1)/2*xm_sT))/xm_sT,0)),0),0))))</f>
        <v>0</v>
      </c>
    </row>
    <row r="35" spans="1:14" x14ac:dyDescent="0.3">
      <c r="A35" s="42" t="s">
        <v>1235</v>
      </c>
      <c r="B35" s="42">
        <v>21</v>
      </c>
      <c r="C35" s="40">
        <f t="shared" si="0"/>
        <v>0</v>
      </c>
      <c r="D35" s="44">
        <f t="shared" si="1"/>
        <v>0</v>
      </c>
      <c r="E35" s="44">
        <f>MAX(0,D35-'XA MU'!$C$8)*C35</f>
        <v>0</v>
      </c>
      <c r="F35" s="44">
        <f>IF(AND(C35=1,D35&gt;'XA MU'!$C$8),1,0)</f>
        <v>0</v>
      </c>
      <c r="G35" s="44">
        <f t="shared" si="2"/>
        <v>0</v>
      </c>
      <c r="H35" s="44">
        <f t="shared" si="3"/>
        <v>0</v>
      </c>
      <c r="I35" s="44">
        <f>IF(C35=0,0,IF(1&gt;nLan,0,1.2*(IF('XA MU'!$B$25&lt;=1,'XA MU'!$E$25*$B$8*(MAX(0,1-ABS('XA MU'!$C$25-$D35)/xm_sT)+MAX(0,1-ABS('XA MU'!$D$25-$D35)/xm_sT)),0)+IF(ABS($D35-(xm_y0T+(xm_nT-1)/2*xm_sT))&lt;0.000001,IF('XA MU'!$B$25&lt;=1,'XA MU'!$E$25*$B$8*(IF('XA MU'!$C$25&gt;(xm_y0T+(xm_nT-1)/2*xm_sT),2*('XA MU'!$C$25-(xm_y0T+(xm_nT-1)/2*xm_sT))/xm_sT,0)+IF('XA MU'!$D$25&gt;(xm_y0T+(xm_nT-1)/2*xm_sT),2*('XA MU'!$D$25-(xm_y0T+(xm_nT-1)/2*xm_sT))/xm_sT,0)),0),0)+IF('XA MU'!$B$26&lt;=1,'XA MU'!$E$26*$B$8*(MAX(0,1-ABS('XA MU'!$C$26-$D35)/xm_sT)+MAX(0,1-ABS('XA MU'!$D$26-$D35)/xm_sT)),0)+IF(ABS($D35-(xm_y0T+(xm_nT-1)/2*xm_sT))&lt;0.000001,IF('XA MU'!$B$26&lt;=1,'XA MU'!$E$26*$B$8*(IF('XA MU'!$C$26&gt;(xm_y0T+(xm_nT-1)/2*xm_sT),2*('XA MU'!$C$26-(xm_y0T+(xm_nT-1)/2*xm_sT))/xm_sT,0)+IF('XA MU'!$D$26&gt;(xm_y0T+(xm_nT-1)/2*xm_sT),2*('XA MU'!$D$26-(xm_y0T+(xm_nT-1)/2*xm_sT))/xm_sT,0)),0),0)+IF('XA MU'!$B$27&lt;=1,'XA MU'!$E$27*$B$8*(MAX(0,1-ABS('XA MU'!$C$27-$D35)/xm_sT)+MAX(0,1-ABS('XA MU'!$D$27-$D35)/xm_sT)),0)+IF(ABS($D35-(xm_y0T+(xm_nT-1)/2*xm_sT))&lt;0.000001,IF('XA MU'!$B$27&lt;=1,'XA MU'!$E$27*$B$8*(IF('XA MU'!$C$27&gt;(xm_y0T+(xm_nT-1)/2*xm_sT),2*('XA MU'!$C$27-(xm_y0T+(xm_nT-1)/2*xm_sT))/xm_sT,0)+IF('XA MU'!$D$27&gt;(xm_y0T+(xm_nT-1)/2*xm_sT),2*('XA MU'!$D$27-(xm_y0T+(xm_nT-1)/2*xm_sT))/xm_sT,0)),0),0)+IF('XA MU'!$B$28&lt;=1,'XA MU'!$E$28*$B$8*(MAX(0,1-ABS('XA MU'!$C$28-$D35)/xm_sT)+MAX(0,1-ABS('XA MU'!$D$28-$D35)/xm_sT)),0)+IF(ABS($D35-(xm_y0T+(xm_nT-1)/2*xm_sT))&lt;0.000001,IF('XA MU'!$B$28&lt;=1,'XA MU'!$E$28*$B$8*(IF('XA MU'!$C$28&gt;(xm_y0T+(xm_nT-1)/2*xm_sT),2*('XA MU'!$C$28-(xm_y0T+(xm_nT-1)/2*xm_sT))/xm_sT,0)+IF('XA MU'!$D$28&gt;(xm_y0T+(xm_nT-1)/2*xm_sT),2*('XA MU'!$D$28-(xm_y0T+(xm_nT-1)/2*xm_sT))/xm_sT,0)),0),0)+IF('XA MU'!$B$29&lt;=1,'XA MU'!$E$29*$B$8*(MAX(0,1-ABS('XA MU'!$C$29-$D35)/xm_sT)+MAX(0,1-ABS('XA MU'!$D$29-$D35)/xm_sT)),0)+IF(ABS($D35-(xm_y0T+(xm_nT-1)/2*xm_sT))&lt;0.000001,IF('XA MU'!$B$29&lt;=1,'XA MU'!$E$29*$B$8*(IF('XA MU'!$C$29&gt;(xm_y0T+(xm_nT-1)/2*xm_sT),2*('XA MU'!$C$29-(xm_y0T+(xm_nT-1)/2*xm_sT))/xm_sT,0)+IF('XA MU'!$D$29&gt;(xm_y0T+(xm_nT-1)/2*xm_sT),2*('XA MU'!$D$29-(xm_y0T+(xm_nT-1)/2*xm_sT))/xm_sT,0)),0),0)+IF('XA MU'!$B$30&lt;=1,'XA MU'!$E$30*$B$8*(MAX(0,1-ABS('XA MU'!$C$30-$D35)/xm_sT)+MAX(0,1-ABS('XA MU'!$D$30-$D35)/xm_sT)),0)+IF(ABS($D35-(xm_y0T+(xm_nT-1)/2*xm_sT))&lt;0.000001,IF('XA MU'!$B$30&lt;=1,'XA MU'!$E$30*$B$8*(IF('XA MU'!$C$30&gt;(xm_y0T+(xm_nT-1)/2*xm_sT),2*('XA MU'!$C$30-(xm_y0T+(xm_nT-1)/2*xm_sT))/xm_sT,0)+IF('XA MU'!$D$30&gt;(xm_y0T+(xm_nT-1)/2*xm_sT),2*('XA MU'!$D$30-(xm_y0T+(xm_nT-1)/2*xm_sT))/xm_sT,0)),0),0))))</f>
        <v>0</v>
      </c>
      <c r="J35" s="44">
        <f>IF(C35=0,0,IF(2&gt;nLan,0,1*(IF('XA MU'!$B$25&lt;=2,'XA MU'!$E$25*$B$8*(MAX(0,1-ABS('XA MU'!$C$25-$D35)/xm_sT)+MAX(0,1-ABS('XA MU'!$D$25-$D35)/xm_sT)),0)+IF(ABS($D35-(xm_y0T+(xm_nT-1)/2*xm_sT))&lt;0.000001,IF('XA MU'!$B$25&lt;=2,'XA MU'!$E$25*$B$8*(IF('XA MU'!$C$25&gt;(xm_y0T+(xm_nT-1)/2*xm_sT),2*('XA MU'!$C$25-(xm_y0T+(xm_nT-1)/2*xm_sT))/xm_sT,0)+IF('XA MU'!$D$25&gt;(xm_y0T+(xm_nT-1)/2*xm_sT),2*('XA MU'!$D$25-(xm_y0T+(xm_nT-1)/2*xm_sT))/xm_sT,0)),0),0)+IF('XA MU'!$B$26&lt;=2,'XA MU'!$E$26*$B$8*(MAX(0,1-ABS('XA MU'!$C$26-$D35)/xm_sT)+MAX(0,1-ABS('XA MU'!$D$26-$D35)/xm_sT)),0)+IF(ABS($D35-(xm_y0T+(xm_nT-1)/2*xm_sT))&lt;0.000001,IF('XA MU'!$B$26&lt;=2,'XA MU'!$E$26*$B$8*(IF('XA MU'!$C$26&gt;(xm_y0T+(xm_nT-1)/2*xm_sT),2*('XA MU'!$C$26-(xm_y0T+(xm_nT-1)/2*xm_sT))/xm_sT,0)+IF('XA MU'!$D$26&gt;(xm_y0T+(xm_nT-1)/2*xm_sT),2*('XA MU'!$D$26-(xm_y0T+(xm_nT-1)/2*xm_sT))/xm_sT,0)),0),0)+IF('XA MU'!$B$27&lt;=2,'XA MU'!$E$27*$B$8*(MAX(0,1-ABS('XA MU'!$C$27-$D35)/xm_sT)+MAX(0,1-ABS('XA MU'!$D$27-$D35)/xm_sT)),0)+IF(ABS($D35-(xm_y0T+(xm_nT-1)/2*xm_sT))&lt;0.000001,IF('XA MU'!$B$27&lt;=2,'XA MU'!$E$27*$B$8*(IF('XA MU'!$C$27&gt;(xm_y0T+(xm_nT-1)/2*xm_sT),2*('XA MU'!$C$27-(xm_y0T+(xm_nT-1)/2*xm_sT))/xm_sT,0)+IF('XA MU'!$D$27&gt;(xm_y0T+(xm_nT-1)/2*xm_sT),2*('XA MU'!$D$27-(xm_y0T+(xm_nT-1)/2*xm_sT))/xm_sT,0)),0),0)+IF('XA MU'!$B$28&lt;=2,'XA MU'!$E$28*$B$8*(MAX(0,1-ABS('XA MU'!$C$28-$D35)/xm_sT)+MAX(0,1-ABS('XA MU'!$D$28-$D35)/xm_sT)),0)+IF(ABS($D35-(xm_y0T+(xm_nT-1)/2*xm_sT))&lt;0.000001,IF('XA MU'!$B$28&lt;=2,'XA MU'!$E$28*$B$8*(IF('XA MU'!$C$28&gt;(xm_y0T+(xm_nT-1)/2*xm_sT),2*('XA MU'!$C$28-(xm_y0T+(xm_nT-1)/2*xm_sT))/xm_sT,0)+IF('XA MU'!$D$28&gt;(xm_y0T+(xm_nT-1)/2*xm_sT),2*('XA MU'!$D$28-(xm_y0T+(xm_nT-1)/2*xm_sT))/xm_sT,0)),0),0)+IF('XA MU'!$B$29&lt;=2,'XA MU'!$E$29*$B$8*(MAX(0,1-ABS('XA MU'!$C$29-$D35)/xm_sT)+MAX(0,1-ABS('XA MU'!$D$29-$D35)/xm_sT)),0)+IF(ABS($D35-(xm_y0T+(xm_nT-1)/2*xm_sT))&lt;0.000001,IF('XA MU'!$B$29&lt;=2,'XA MU'!$E$29*$B$8*(IF('XA MU'!$C$29&gt;(xm_y0T+(xm_nT-1)/2*xm_sT),2*('XA MU'!$C$29-(xm_y0T+(xm_nT-1)/2*xm_sT))/xm_sT,0)+IF('XA MU'!$D$29&gt;(xm_y0T+(xm_nT-1)/2*xm_sT),2*('XA MU'!$D$29-(xm_y0T+(xm_nT-1)/2*xm_sT))/xm_sT,0)),0),0)+IF('XA MU'!$B$30&lt;=2,'XA MU'!$E$30*$B$8*(MAX(0,1-ABS('XA MU'!$C$30-$D35)/xm_sT)+MAX(0,1-ABS('XA MU'!$D$30-$D35)/xm_sT)),0)+IF(ABS($D35-(xm_y0T+(xm_nT-1)/2*xm_sT))&lt;0.000001,IF('XA MU'!$B$30&lt;=2,'XA MU'!$E$30*$B$8*(IF('XA MU'!$C$30&gt;(xm_y0T+(xm_nT-1)/2*xm_sT),2*('XA MU'!$C$30-(xm_y0T+(xm_nT-1)/2*xm_sT))/xm_sT,0)+IF('XA MU'!$D$30&gt;(xm_y0T+(xm_nT-1)/2*xm_sT),2*('XA MU'!$D$30-(xm_y0T+(xm_nT-1)/2*xm_sT))/xm_sT,0)),0),0))))</f>
        <v>0</v>
      </c>
      <c r="K35" s="44">
        <f>IF(C35=0,0,IF(3&gt;nLan,0,0.85*(IF('XA MU'!$B$25&lt;=3,'XA MU'!$E$25*$B$8*(MAX(0,1-ABS('XA MU'!$C$25-$D35)/xm_sT)+MAX(0,1-ABS('XA MU'!$D$25-$D35)/xm_sT)),0)+IF(ABS($D35-(xm_y0T+(xm_nT-1)/2*xm_sT))&lt;0.000001,IF('XA MU'!$B$25&lt;=3,'XA MU'!$E$25*$B$8*(IF('XA MU'!$C$25&gt;(xm_y0T+(xm_nT-1)/2*xm_sT),2*('XA MU'!$C$25-(xm_y0T+(xm_nT-1)/2*xm_sT))/xm_sT,0)+IF('XA MU'!$D$25&gt;(xm_y0T+(xm_nT-1)/2*xm_sT),2*('XA MU'!$D$25-(xm_y0T+(xm_nT-1)/2*xm_sT))/xm_sT,0)),0),0)+IF('XA MU'!$B$26&lt;=3,'XA MU'!$E$26*$B$8*(MAX(0,1-ABS('XA MU'!$C$26-$D35)/xm_sT)+MAX(0,1-ABS('XA MU'!$D$26-$D35)/xm_sT)),0)+IF(ABS($D35-(xm_y0T+(xm_nT-1)/2*xm_sT))&lt;0.000001,IF('XA MU'!$B$26&lt;=3,'XA MU'!$E$26*$B$8*(IF('XA MU'!$C$26&gt;(xm_y0T+(xm_nT-1)/2*xm_sT),2*('XA MU'!$C$26-(xm_y0T+(xm_nT-1)/2*xm_sT))/xm_sT,0)+IF('XA MU'!$D$26&gt;(xm_y0T+(xm_nT-1)/2*xm_sT),2*('XA MU'!$D$26-(xm_y0T+(xm_nT-1)/2*xm_sT))/xm_sT,0)),0),0)+IF('XA MU'!$B$27&lt;=3,'XA MU'!$E$27*$B$8*(MAX(0,1-ABS('XA MU'!$C$27-$D35)/xm_sT)+MAX(0,1-ABS('XA MU'!$D$27-$D35)/xm_sT)),0)+IF(ABS($D35-(xm_y0T+(xm_nT-1)/2*xm_sT))&lt;0.000001,IF('XA MU'!$B$27&lt;=3,'XA MU'!$E$27*$B$8*(IF('XA MU'!$C$27&gt;(xm_y0T+(xm_nT-1)/2*xm_sT),2*('XA MU'!$C$27-(xm_y0T+(xm_nT-1)/2*xm_sT))/xm_sT,0)+IF('XA MU'!$D$27&gt;(xm_y0T+(xm_nT-1)/2*xm_sT),2*('XA MU'!$D$27-(xm_y0T+(xm_nT-1)/2*xm_sT))/xm_sT,0)),0),0)+IF('XA MU'!$B$28&lt;=3,'XA MU'!$E$28*$B$8*(MAX(0,1-ABS('XA MU'!$C$28-$D35)/xm_sT)+MAX(0,1-ABS('XA MU'!$D$28-$D35)/xm_sT)),0)+IF(ABS($D35-(xm_y0T+(xm_nT-1)/2*xm_sT))&lt;0.000001,IF('XA MU'!$B$28&lt;=3,'XA MU'!$E$28*$B$8*(IF('XA MU'!$C$28&gt;(xm_y0T+(xm_nT-1)/2*xm_sT),2*('XA MU'!$C$28-(xm_y0T+(xm_nT-1)/2*xm_sT))/xm_sT,0)+IF('XA MU'!$D$28&gt;(xm_y0T+(xm_nT-1)/2*xm_sT),2*('XA MU'!$D$28-(xm_y0T+(xm_nT-1)/2*xm_sT))/xm_sT,0)),0),0)+IF('XA MU'!$B$29&lt;=3,'XA MU'!$E$29*$B$8*(MAX(0,1-ABS('XA MU'!$C$29-$D35)/xm_sT)+MAX(0,1-ABS('XA MU'!$D$29-$D35)/xm_sT)),0)+IF(ABS($D35-(xm_y0T+(xm_nT-1)/2*xm_sT))&lt;0.000001,IF('XA MU'!$B$29&lt;=3,'XA MU'!$E$29*$B$8*(IF('XA MU'!$C$29&gt;(xm_y0T+(xm_nT-1)/2*xm_sT),2*('XA MU'!$C$29-(xm_y0T+(xm_nT-1)/2*xm_sT))/xm_sT,0)+IF('XA MU'!$D$29&gt;(xm_y0T+(xm_nT-1)/2*xm_sT),2*('XA MU'!$D$29-(xm_y0T+(xm_nT-1)/2*xm_sT))/xm_sT,0)),0),0)+IF('XA MU'!$B$30&lt;=3,'XA MU'!$E$30*$B$8*(MAX(0,1-ABS('XA MU'!$C$30-$D35)/xm_sT)+MAX(0,1-ABS('XA MU'!$D$30-$D35)/xm_sT)),0)+IF(ABS($D35-(xm_y0T+(xm_nT-1)/2*xm_sT))&lt;0.000001,IF('XA MU'!$B$30&lt;=3,'XA MU'!$E$30*$B$8*(IF('XA MU'!$C$30&gt;(xm_y0T+(xm_nT-1)/2*xm_sT),2*('XA MU'!$C$30-(xm_y0T+(xm_nT-1)/2*xm_sT))/xm_sT,0)+IF('XA MU'!$D$30&gt;(xm_y0T+(xm_nT-1)/2*xm_sT),2*('XA MU'!$D$30-(xm_y0T+(xm_nT-1)/2*xm_sT))/xm_sT,0)),0),0))))</f>
        <v>0</v>
      </c>
      <c r="L35" s="44">
        <f>IF(C35=0,0,IF(4&gt;nLan,0,0.65*(IF('XA MU'!$B$25&lt;=4,'XA MU'!$E$25*$B$8*(MAX(0,1-ABS('XA MU'!$C$25-$D35)/xm_sT)+MAX(0,1-ABS('XA MU'!$D$25-$D35)/xm_sT)),0)+IF(ABS($D35-(xm_y0T+(xm_nT-1)/2*xm_sT))&lt;0.000001,IF('XA MU'!$B$25&lt;=4,'XA MU'!$E$25*$B$8*(IF('XA MU'!$C$25&gt;(xm_y0T+(xm_nT-1)/2*xm_sT),2*('XA MU'!$C$25-(xm_y0T+(xm_nT-1)/2*xm_sT))/xm_sT,0)+IF('XA MU'!$D$25&gt;(xm_y0T+(xm_nT-1)/2*xm_sT),2*('XA MU'!$D$25-(xm_y0T+(xm_nT-1)/2*xm_sT))/xm_sT,0)),0),0)+IF('XA MU'!$B$26&lt;=4,'XA MU'!$E$26*$B$8*(MAX(0,1-ABS('XA MU'!$C$26-$D35)/xm_sT)+MAX(0,1-ABS('XA MU'!$D$26-$D35)/xm_sT)),0)+IF(ABS($D35-(xm_y0T+(xm_nT-1)/2*xm_sT))&lt;0.000001,IF('XA MU'!$B$26&lt;=4,'XA MU'!$E$26*$B$8*(IF('XA MU'!$C$26&gt;(xm_y0T+(xm_nT-1)/2*xm_sT),2*('XA MU'!$C$26-(xm_y0T+(xm_nT-1)/2*xm_sT))/xm_sT,0)+IF('XA MU'!$D$26&gt;(xm_y0T+(xm_nT-1)/2*xm_sT),2*('XA MU'!$D$26-(xm_y0T+(xm_nT-1)/2*xm_sT))/xm_sT,0)),0),0)+IF('XA MU'!$B$27&lt;=4,'XA MU'!$E$27*$B$8*(MAX(0,1-ABS('XA MU'!$C$27-$D35)/xm_sT)+MAX(0,1-ABS('XA MU'!$D$27-$D35)/xm_sT)),0)+IF(ABS($D35-(xm_y0T+(xm_nT-1)/2*xm_sT))&lt;0.000001,IF('XA MU'!$B$27&lt;=4,'XA MU'!$E$27*$B$8*(IF('XA MU'!$C$27&gt;(xm_y0T+(xm_nT-1)/2*xm_sT),2*('XA MU'!$C$27-(xm_y0T+(xm_nT-1)/2*xm_sT))/xm_sT,0)+IF('XA MU'!$D$27&gt;(xm_y0T+(xm_nT-1)/2*xm_sT),2*('XA MU'!$D$27-(xm_y0T+(xm_nT-1)/2*xm_sT))/xm_sT,0)),0),0)+IF('XA MU'!$B$28&lt;=4,'XA MU'!$E$28*$B$8*(MAX(0,1-ABS('XA MU'!$C$28-$D35)/xm_sT)+MAX(0,1-ABS('XA MU'!$D$28-$D35)/xm_sT)),0)+IF(ABS($D35-(xm_y0T+(xm_nT-1)/2*xm_sT))&lt;0.000001,IF('XA MU'!$B$28&lt;=4,'XA MU'!$E$28*$B$8*(IF('XA MU'!$C$28&gt;(xm_y0T+(xm_nT-1)/2*xm_sT),2*('XA MU'!$C$28-(xm_y0T+(xm_nT-1)/2*xm_sT))/xm_sT,0)+IF('XA MU'!$D$28&gt;(xm_y0T+(xm_nT-1)/2*xm_sT),2*('XA MU'!$D$28-(xm_y0T+(xm_nT-1)/2*xm_sT))/xm_sT,0)),0),0)+IF('XA MU'!$B$29&lt;=4,'XA MU'!$E$29*$B$8*(MAX(0,1-ABS('XA MU'!$C$29-$D35)/xm_sT)+MAX(0,1-ABS('XA MU'!$D$29-$D35)/xm_sT)),0)+IF(ABS($D35-(xm_y0T+(xm_nT-1)/2*xm_sT))&lt;0.000001,IF('XA MU'!$B$29&lt;=4,'XA MU'!$E$29*$B$8*(IF('XA MU'!$C$29&gt;(xm_y0T+(xm_nT-1)/2*xm_sT),2*('XA MU'!$C$29-(xm_y0T+(xm_nT-1)/2*xm_sT))/xm_sT,0)+IF('XA MU'!$D$29&gt;(xm_y0T+(xm_nT-1)/2*xm_sT),2*('XA MU'!$D$29-(xm_y0T+(xm_nT-1)/2*xm_sT))/xm_sT,0)),0),0)+IF('XA MU'!$B$30&lt;=4,'XA MU'!$E$30*$B$8*(MAX(0,1-ABS('XA MU'!$C$30-$D35)/xm_sT)+MAX(0,1-ABS('XA MU'!$D$30-$D35)/xm_sT)),0)+IF(ABS($D35-(xm_y0T+(xm_nT-1)/2*xm_sT))&lt;0.000001,IF('XA MU'!$B$30&lt;=4,'XA MU'!$E$30*$B$8*(IF('XA MU'!$C$30&gt;(xm_y0T+(xm_nT-1)/2*xm_sT),2*('XA MU'!$C$30-(xm_y0T+(xm_nT-1)/2*xm_sT))/xm_sT,0)+IF('XA MU'!$D$30&gt;(xm_y0T+(xm_nT-1)/2*xm_sT),2*('XA MU'!$D$30-(xm_y0T+(xm_nT-1)/2*xm_sT))/xm_sT,0)),0),0))))</f>
        <v>0</v>
      </c>
      <c r="M35" s="44">
        <f>IF(C35=0,0,IF(5&gt;nLan,0,0.65*(IF('XA MU'!$B$25&lt;=5,'XA MU'!$E$25*$B$8*(MAX(0,1-ABS('XA MU'!$C$25-$D35)/xm_sT)+MAX(0,1-ABS('XA MU'!$D$25-$D35)/xm_sT)),0)+IF(ABS($D35-(xm_y0T+(xm_nT-1)/2*xm_sT))&lt;0.000001,IF('XA MU'!$B$25&lt;=5,'XA MU'!$E$25*$B$8*(IF('XA MU'!$C$25&gt;(xm_y0T+(xm_nT-1)/2*xm_sT),2*('XA MU'!$C$25-(xm_y0T+(xm_nT-1)/2*xm_sT))/xm_sT,0)+IF('XA MU'!$D$25&gt;(xm_y0T+(xm_nT-1)/2*xm_sT),2*('XA MU'!$D$25-(xm_y0T+(xm_nT-1)/2*xm_sT))/xm_sT,0)),0),0)+IF('XA MU'!$B$26&lt;=5,'XA MU'!$E$26*$B$8*(MAX(0,1-ABS('XA MU'!$C$26-$D35)/xm_sT)+MAX(0,1-ABS('XA MU'!$D$26-$D35)/xm_sT)),0)+IF(ABS($D35-(xm_y0T+(xm_nT-1)/2*xm_sT))&lt;0.000001,IF('XA MU'!$B$26&lt;=5,'XA MU'!$E$26*$B$8*(IF('XA MU'!$C$26&gt;(xm_y0T+(xm_nT-1)/2*xm_sT),2*('XA MU'!$C$26-(xm_y0T+(xm_nT-1)/2*xm_sT))/xm_sT,0)+IF('XA MU'!$D$26&gt;(xm_y0T+(xm_nT-1)/2*xm_sT),2*('XA MU'!$D$26-(xm_y0T+(xm_nT-1)/2*xm_sT))/xm_sT,0)),0),0)+IF('XA MU'!$B$27&lt;=5,'XA MU'!$E$27*$B$8*(MAX(0,1-ABS('XA MU'!$C$27-$D35)/xm_sT)+MAX(0,1-ABS('XA MU'!$D$27-$D35)/xm_sT)),0)+IF(ABS($D35-(xm_y0T+(xm_nT-1)/2*xm_sT))&lt;0.000001,IF('XA MU'!$B$27&lt;=5,'XA MU'!$E$27*$B$8*(IF('XA MU'!$C$27&gt;(xm_y0T+(xm_nT-1)/2*xm_sT),2*('XA MU'!$C$27-(xm_y0T+(xm_nT-1)/2*xm_sT))/xm_sT,0)+IF('XA MU'!$D$27&gt;(xm_y0T+(xm_nT-1)/2*xm_sT),2*('XA MU'!$D$27-(xm_y0T+(xm_nT-1)/2*xm_sT))/xm_sT,0)),0),0)+IF('XA MU'!$B$28&lt;=5,'XA MU'!$E$28*$B$8*(MAX(0,1-ABS('XA MU'!$C$28-$D35)/xm_sT)+MAX(0,1-ABS('XA MU'!$D$28-$D35)/xm_sT)),0)+IF(ABS($D35-(xm_y0T+(xm_nT-1)/2*xm_sT))&lt;0.000001,IF('XA MU'!$B$28&lt;=5,'XA MU'!$E$28*$B$8*(IF('XA MU'!$C$28&gt;(xm_y0T+(xm_nT-1)/2*xm_sT),2*('XA MU'!$C$28-(xm_y0T+(xm_nT-1)/2*xm_sT))/xm_sT,0)+IF('XA MU'!$D$28&gt;(xm_y0T+(xm_nT-1)/2*xm_sT),2*('XA MU'!$D$28-(xm_y0T+(xm_nT-1)/2*xm_sT))/xm_sT,0)),0),0)+IF('XA MU'!$B$29&lt;=5,'XA MU'!$E$29*$B$8*(MAX(0,1-ABS('XA MU'!$C$29-$D35)/xm_sT)+MAX(0,1-ABS('XA MU'!$D$29-$D35)/xm_sT)),0)+IF(ABS($D35-(xm_y0T+(xm_nT-1)/2*xm_sT))&lt;0.000001,IF('XA MU'!$B$29&lt;=5,'XA MU'!$E$29*$B$8*(IF('XA MU'!$C$29&gt;(xm_y0T+(xm_nT-1)/2*xm_sT),2*('XA MU'!$C$29-(xm_y0T+(xm_nT-1)/2*xm_sT))/xm_sT,0)+IF('XA MU'!$D$29&gt;(xm_y0T+(xm_nT-1)/2*xm_sT),2*('XA MU'!$D$29-(xm_y0T+(xm_nT-1)/2*xm_sT))/xm_sT,0)),0),0)+IF('XA MU'!$B$30&lt;=5,'XA MU'!$E$30*$B$8*(MAX(0,1-ABS('XA MU'!$C$30-$D35)/xm_sT)+MAX(0,1-ABS('XA MU'!$D$30-$D35)/xm_sT)),0)+IF(ABS($D35-(xm_y0T+(xm_nT-1)/2*xm_sT))&lt;0.000001,IF('XA MU'!$B$30&lt;=5,'XA MU'!$E$30*$B$8*(IF('XA MU'!$C$30&gt;(xm_y0T+(xm_nT-1)/2*xm_sT),2*('XA MU'!$C$30-(xm_y0T+(xm_nT-1)/2*xm_sT))/xm_sT,0)+IF('XA MU'!$D$30&gt;(xm_y0T+(xm_nT-1)/2*xm_sT),2*('XA MU'!$D$30-(xm_y0T+(xm_nT-1)/2*xm_sT))/xm_sT,0)),0),0))))</f>
        <v>0</v>
      </c>
      <c r="N35" s="44">
        <f>IF(C35=0,0,IF(6&gt;nLan,0,0.65*(IF('XA MU'!$B$25&lt;=6,'XA MU'!$E$25*$B$8*(MAX(0,1-ABS('XA MU'!$C$25-$D35)/xm_sT)+MAX(0,1-ABS('XA MU'!$D$25-$D35)/xm_sT)),0)+IF(ABS($D35-(xm_y0T+(xm_nT-1)/2*xm_sT))&lt;0.000001,IF('XA MU'!$B$25&lt;=6,'XA MU'!$E$25*$B$8*(IF('XA MU'!$C$25&gt;(xm_y0T+(xm_nT-1)/2*xm_sT),2*('XA MU'!$C$25-(xm_y0T+(xm_nT-1)/2*xm_sT))/xm_sT,0)+IF('XA MU'!$D$25&gt;(xm_y0T+(xm_nT-1)/2*xm_sT),2*('XA MU'!$D$25-(xm_y0T+(xm_nT-1)/2*xm_sT))/xm_sT,0)),0),0)+IF('XA MU'!$B$26&lt;=6,'XA MU'!$E$26*$B$8*(MAX(0,1-ABS('XA MU'!$C$26-$D35)/xm_sT)+MAX(0,1-ABS('XA MU'!$D$26-$D35)/xm_sT)),0)+IF(ABS($D35-(xm_y0T+(xm_nT-1)/2*xm_sT))&lt;0.000001,IF('XA MU'!$B$26&lt;=6,'XA MU'!$E$26*$B$8*(IF('XA MU'!$C$26&gt;(xm_y0T+(xm_nT-1)/2*xm_sT),2*('XA MU'!$C$26-(xm_y0T+(xm_nT-1)/2*xm_sT))/xm_sT,0)+IF('XA MU'!$D$26&gt;(xm_y0T+(xm_nT-1)/2*xm_sT),2*('XA MU'!$D$26-(xm_y0T+(xm_nT-1)/2*xm_sT))/xm_sT,0)),0),0)+IF('XA MU'!$B$27&lt;=6,'XA MU'!$E$27*$B$8*(MAX(0,1-ABS('XA MU'!$C$27-$D35)/xm_sT)+MAX(0,1-ABS('XA MU'!$D$27-$D35)/xm_sT)),0)+IF(ABS($D35-(xm_y0T+(xm_nT-1)/2*xm_sT))&lt;0.000001,IF('XA MU'!$B$27&lt;=6,'XA MU'!$E$27*$B$8*(IF('XA MU'!$C$27&gt;(xm_y0T+(xm_nT-1)/2*xm_sT),2*('XA MU'!$C$27-(xm_y0T+(xm_nT-1)/2*xm_sT))/xm_sT,0)+IF('XA MU'!$D$27&gt;(xm_y0T+(xm_nT-1)/2*xm_sT),2*('XA MU'!$D$27-(xm_y0T+(xm_nT-1)/2*xm_sT))/xm_sT,0)),0),0)+IF('XA MU'!$B$28&lt;=6,'XA MU'!$E$28*$B$8*(MAX(0,1-ABS('XA MU'!$C$28-$D35)/xm_sT)+MAX(0,1-ABS('XA MU'!$D$28-$D35)/xm_sT)),0)+IF(ABS($D35-(xm_y0T+(xm_nT-1)/2*xm_sT))&lt;0.000001,IF('XA MU'!$B$28&lt;=6,'XA MU'!$E$28*$B$8*(IF('XA MU'!$C$28&gt;(xm_y0T+(xm_nT-1)/2*xm_sT),2*('XA MU'!$C$28-(xm_y0T+(xm_nT-1)/2*xm_sT))/xm_sT,0)+IF('XA MU'!$D$28&gt;(xm_y0T+(xm_nT-1)/2*xm_sT),2*('XA MU'!$D$28-(xm_y0T+(xm_nT-1)/2*xm_sT))/xm_sT,0)),0),0)+IF('XA MU'!$B$29&lt;=6,'XA MU'!$E$29*$B$8*(MAX(0,1-ABS('XA MU'!$C$29-$D35)/xm_sT)+MAX(0,1-ABS('XA MU'!$D$29-$D35)/xm_sT)),0)+IF(ABS($D35-(xm_y0T+(xm_nT-1)/2*xm_sT))&lt;0.000001,IF('XA MU'!$B$29&lt;=6,'XA MU'!$E$29*$B$8*(IF('XA MU'!$C$29&gt;(xm_y0T+(xm_nT-1)/2*xm_sT),2*('XA MU'!$C$29-(xm_y0T+(xm_nT-1)/2*xm_sT))/xm_sT,0)+IF('XA MU'!$D$29&gt;(xm_y0T+(xm_nT-1)/2*xm_sT),2*('XA MU'!$D$29-(xm_y0T+(xm_nT-1)/2*xm_sT))/xm_sT,0)),0),0)+IF('XA MU'!$B$30&lt;=6,'XA MU'!$E$30*$B$8*(MAX(0,1-ABS('XA MU'!$C$30-$D35)/xm_sT)+MAX(0,1-ABS('XA MU'!$D$30-$D35)/xm_sT)),0)+IF(ABS($D35-(xm_y0T+(xm_nT-1)/2*xm_sT))&lt;0.000001,IF('XA MU'!$B$30&lt;=6,'XA MU'!$E$30*$B$8*(IF('XA MU'!$C$30&gt;(xm_y0T+(xm_nT-1)/2*xm_sT),2*('XA MU'!$C$30-(xm_y0T+(xm_nT-1)/2*xm_sT))/xm_sT,0)+IF('XA MU'!$D$30&gt;(xm_y0T+(xm_nT-1)/2*xm_sT),2*('XA MU'!$D$30-(xm_y0T+(xm_nT-1)/2*xm_sT))/xm_sT,0)),0),0))))</f>
        <v>0</v>
      </c>
    </row>
    <row r="36" spans="1:14" x14ac:dyDescent="0.3">
      <c r="A36" s="42" t="s">
        <v>1235</v>
      </c>
      <c r="B36" s="42">
        <v>22</v>
      </c>
      <c r="C36" s="40">
        <f t="shared" si="0"/>
        <v>0</v>
      </c>
      <c r="D36" s="44">
        <f t="shared" si="1"/>
        <v>0</v>
      </c>
      <c r="E36" s="44">
        <f>MAX(0,D36-'XA MU'!$C$8)*C36</f>
        <v>0</v>
      </c>
      <c r="F36" s="44">
        <f>IF(AND(C36=1,D36&gt;'XA MU'!$C$8),1,0)</f>
        <v>0</v>
      </c>
      <c r="G36" s="44">
        <f t="shared" si="2"/>
        <v>0</v>
      </c>
      <c r="H36" s="44">
        <f t="shared" si="3"/>
        <v>0</v>
      </c>
      <c r="I36" s="44">
        <f>IF(C36=0,0,IF(1&gt;nLan,0,1.2*(IF('XA MU'!$B$25&lt;=1,'XA MU'!$E$25*$B$8*(MAX(0,1-ABS('XA MU'!$C$25-$D36)/xm_sT)+MAX(0,1-ABS('XA MU'!$D$25-$D36)/xm_sT)),0)+IF(ABS($D36-(xm_y0T+(xm_nT-1)/2*xm_sT))&lt;0.000001,IF('XA MU'!$B$25&lt;=1,'XA MU'!$E$25*$B$8*(IF('XA MU'!$C$25&gt;(xm_y0T+(xm_nT-1)/2*xm_sT),2*('XA MU'!$C$25-(xm_y0T+(xm_nT-1)/2*xm_sT))/xm_sT,0)+IF('XA MU'!$D$25&gt;(xm_y0T+(xm_nT-1)/2*xm_sT),2*('XA MU'!$D$25-(xm_y0T+(xm_nT-1)/2*xm_sT))/xm_sT,0)),0),0)+IF('XA MU'!$B$26&lt;=1,'XA MU'!$E$26*$B$8*(MAX(0,1-ABS('XA MU'!$C$26-$D36)/xm_sT)+MAX(0,1-ABS('XA MU'!$D$26-$D36)/xm_sT)),0)+IF(ABS($D36-(xm_y0T+(xm_nT-1)/2*xm_sT))&lt;0.000001,IF('XA MU'!$B$26&lt;=1,'XA MU'!$E$26*$B$8*(IF('XA MU'!$C$26&gt;(xm_y0T+(xm_nT-1)/2*xm_sT),2*('XA MU'!$C$26-(xm_y0T+(xm_nT-1)/2*xm_sT))/xm_sT,0)+IF('XA MU'!$D$26&gt;(xm_y0T+(xm_nT-1)/2*xm_sT),2*('XA MU'!$D$26-(xm_y0T+(xm_nT-1)/2*xm_sT))/xm_sT,0)),0),0)+IF('XA MU'!$B$27&lt;=1,'XA MU'!$E$27*$B$8*(MAX(0,1-ABS('XA MU'!$C$27-$D36)/xm_sT)+MAX(0,1-ABS('XA MU'!$D$27-$D36)/xm_sT)),0)+IF(ABS($D36-(xm_y0T+(xm_nT-1)/2*xm_sT))&lt;0.000001,IF('XA MU'!$B$27&lt;=1,'XA MU'!$E$27*$B$8*(IF('XA MU'!$C$27&gt;(xm_y0T+(xm_nT-1)/2*xm_sT),2*('XA MU'!$C$27-(xm_y0T+(xm_nT-1)/2*xm_sT))/xm_sT,0)+IF('XA MU'!$D$27&gt;(xm_y0T+(xm_nT-1)/2*xm_sT),2*('XA MU'!$D$27-(xm_y0T+(xm_nT-1)/2*xm_sT))/xm_sT,0)),0),0)+IF('XA MU'!$B$28&lt;=1,'XA MU'!$E$28*$B$8*(MAX(0,1-ABS('XA MU'!$C$28-$D36)/xm_sT)+MAX(0,1-ABS('XA MU'!$D$28-$D36)/xm_sT)),0)+IF(ABS($D36-(xm_y0T+(xm_nT-1)/2*xm_sT))&lt;0.000001,IF('XA MU'!$B$28&lt;=1,'XA MU'!$E$28*$B$8*(IF('XA MU'!$C$28&gt;(xm_y0T+(xm_nT-1)/2*xm_sT),2*('XA MU'!$C$28-(xm_y0T+(xm_nT-1)/2*xm_sT))/xm_sT,0)+IF('XA MU'!$D$28&gt;(xm_y0T+(xm_nT-1)/2*xm_sT),2*('XA MU'!$D$28-(xm_y0T+(xm_nT-1)/2*xm_sT))/xm_sT,0)),0),0)+IF('XA MU'!$B$29&lt;=1,'XA MU'!$E$29*$B$8*(MAX(0,1-ABS('XA MU'!$C$29-$D36)/xm_sT)+MAX(0,1-ABS('XA MU'!$D$29-$D36)/xm_sT)),0)+IF(ABS($D36-(xm_y0T+(xm_nT-1)/2*xm_sT))&lt;0.000001,IF('XA MU'!$B$29&lt;=1,'XA MU'!$E$29*$B$8*(IF('XA MU'!$C$29&gt;(xm_y0T+(xm_nT-1)/2*xm_sT),2*('XA MU'!$C$29-(xm_y0T+(xm_nT-1)/2*xm_sT))/xm_sT,0)+IF('XA MU'!$D$29&gt;(xm_y0T+(xm_nT-1)/2*xm_sT),2*('XA MU'!$D$29-(xm_y0T+(xm_nT-1)/2*xm_sT))/xm_sT,0)),0),0)+IF('XA MU'!$B$30&lt;=1,'XA MU'!$E$30*$B$8*(MAX(0,1-ABS('XA MU'!$C$30-$D36)/xm_sT)+MAX(0,1-ABS('XA MU'!$D$30-$D36)/xm_sT)),0)+IF(ABS($D36-(xm_y0T+(xm_nT-1)/2*xm_sT))&lt;0.000001,IF('XA MU'!$B$30&lt;=1,'XA MU'!$E$30*$B$8*(IF('XA MU'!$C$30&gt;(xm_y0T+(xm_nT-1)/2*xm_sT),2*('XA MU'!$C$30-(xm_y0T+(xm_nT-1)/2*xm_sT))/xm_sT,0)+IF('XA MU'!$D$30&gt;(xm_y0T+(xm_nT-1)/2*xm_sT),2*('XA MU'!$D$30-(xm_y0T+(xm_nT-1)/2*xm_sT))/xm_sT,0)),0),0))))</f>
        <v>0</v>
      </c>
      <c r="J36" s="44">
        <f>IF(C36=0,0,IF(2&gt;nLan,0,1*(IF('XA MU'!$B$25&lt;=2,'XA MU'!$E$25*$B$8*(MAX(0,1-ABS('XA MU'!$C$25-$D36)/xm_sT)+MAX(0,1-ABS('XA MU'!$D$25-$D36)/xm_sT)),0)+IF(ABS($D36-(xm_y0T+(xm_nT-1)/2*xm_sT))&lt;0.000001,IF('XA MU'!$B$25&lt;=2,'XA MU'!$E$25*$B$8*(IF('XA MU'!$C$25&gt;(xm_y0T+(xm_nT-1)/2*xm_sT),2*('XA MU'!$C$25-(xm_y0T+(xm_nT-1)/2*xm_sT))/xm_sT,0)+IF('XA MU'!$D$25&gt;(xm_y0T+(xm_nT-1)/2*xm_sT),2*('XA MU'!$D$25-(xm_y0T+(xm_nT-1)/2*xm_sT))/xm_sT,0)),0),0)+IF('XA MU'!$B$26&lt;=2,'XA MU'!$E$26*$B$8*(MAX(0,1-ABS('XA MU'!$C$26-$D36)/xm_sT)+MAX(0,1-ABS('XA MU'!$D$26-$D36)/xm_sT)),0)+IF(ABS($D36-(xm_y0T+(xm_nT-1)/2*xm_sT))&lt;0.000001,IF('XA MU'!$B$26&lt;=2,'XA MU'!$E$26*$B$8*(IF('XA MU'!$C$26&gt;(xm_y0T+(xm_nT-1)/2*xm_sT),2*('XA MU'!$C$26-(xm_y0T+(xm_nT-1)/2*xm_sT))/xm_sT,0)+IF('XA MU'!$D$26&gt;(xm_y0T+(xm_nT-1)/2*xm_sT),2*('XA MU'!$D$26-(xm_y0T+(xm_nT-1)/2*xm_sT))/xm_sT,0)),0),0)+IF('XA MU'!$B$27&lt;=2,'XA MU'!$E$27*$B$8*(MAX(0,1-ABS('XA MU'!$C$27-$D36)/xm_sT)+MAX(0,1-ABS('XA MU'!$D$27-$D36)/xm_sT)),0)+IF(ABS($D36-(xm_y0T+(xm_nT-1)/2*xm_sT))&lt;0.000001,IF('XA MU'!$B$27&lt;=2,'XA MU'!$E$27*$B$8*(IF('XA MU'!$C$27&gt;(xm_y0T+(xm_nT-1)/2*xm_sT),2*('XA MU'!$C$27-(xm_y0T+(xm_nT-1)/2*xm_sT))/xm_sT,0)+IF('XA MU'!$D$27&gt;(xm_y0T+(xm_nT-1)/2*xm_sT),2*('XA MU'!$D$27-(xm_y0T+(xm_nT-1)/2*xm_sT))/xm_sT,0)),0),0)+IF('XA MU'!$B$28&lt;=2,'XA MU'!$E$28*$B$8*(MAX(0,1-ABS('XA MU'!$C$28-$D36)/xm_sT)+MAX(0,1-ABS('XA MU'!$D$28-$D36)/xm_sT)),0)+IF(ABS($D36-(xm_y0T+(xm_nT-1)/2*xm_sT))&lt;0.000001,IF('XA MU'!$B$28&lt;=2,'XA MU'!$E$28*$B$8*(IF('XA MU'!$C$28&gt;(xm_y0T+(xm_nT-1)/2*xm_sT),2*('XA MU'!$C$28-(xm_y0T+(xm_nT-1)/2*xm_sT))/xm_sT,0)+IF('XA MU'!$D$28&gt;(xm_y0T+(xm_nT-1)/2*xm_sT),2*('XA MU'!$D$28-(xm_y0T+(xm_nT-1)/2*xm_sT))/xm_sT,0)),0),0)+IF('XA MU'!$B$29&lt;=2,'XA MU'!$E$29*$B$8*(MAX(0,1-ABS('XA MU'!$C$29-$D36)/xm_sT)+MAX(0,1-ABS('XA MU'!$D$29-$D36)/xm_sT)),0)+IF(ABS($D36-(xm_y0T+(xm_nT-1)/2*xm_sT))&lt;0.000001,IF('XA MU'!$B$29&lt;=2,'XA MU'!$E$29*$B$8*(IF('XA MU'!$C$29&gt;(xm_y0T+(xm_nT-1)/2*xm_sT),2*('XA MU'!$C$29-(xm_y0T+(xm_nT-1)/2*xm_sT))/xm_sT,0)+IF('XA MU'!$D$29&gt;(xm_y0T+(xm_nT-1)/2*xm_sT),2*('XA MU'!$D$29-(xm_y0T+(xm_nT-1)/2*xm_sT))/xm_sT,0)),0),0)+IF('XA MU'!$B$30&lt;=2,'XA MU'!$E$30*$B$8*(MAX(0,1-ABS('XA MU'!$C$30-$D36)/xm_sT)+MAX(0,1-ABS('XA MU'!$D$30-$D36)/xm_sT)),0)+IF(ABS($D36-(xm_y0T+(xm_nT-1)/2*xm_sT))&lt;0.000001,IF('XA MU'!$B$30&lt;=2,'XA MU'!$E$30*$B$8*(IF('XA MU'!$C$30&gt;(xm_y0T+(xm_nT-1)/2*xm_sT),2*('XA MU'!$C$30-(xm_y0T+(xm_nT-1)/2*xm_sT))/xm_sT,0)+IF('XA MU'!$D$30&gt;(xm_y0T+(xm_nT-1)/2*xm_sT),2*('XA MU'!$D$30-(xm_y0T+(xm_nT-1)/2*xm_sT))/xm_sT,0)),0),0))))</f>
        <v>0</v>
      </c>
      <c r="K36" s="44">
        <f>IF(C36=0,0,IF(3&gt;nLan,0,0.85*(IF('XA MU'!$B$25&lt;=3,'XA MU'!$E$25*$B$8*(MAX(0,1-ABS('XA MU'!$C$25-$D36)/xm_sT)+MAX(0,1-ABS('XA MU'!$D$25-$D36)/xm_sT)),0)+IF(ABS($D36-(xm_y0T+(xm_nT-1)/2*xm_sT))&lt;0.000001,IF('XA MU'!$B$25&lt;=3,'XA MU'!$E$25*$B$8*(IF('XA MU'!$C$25&gt;(xm_y0T+(xm_nT-1)/2*xm_sT),2*('XA MU'!$C$25-(xm_y0T+(xm_nT-1)/2*xm_sT))/xm_sT,0)+IF('XA MU'!$D$25&gt;(xm_y0T+(xm_nT-1)/2*xm_sT),2*('XA MU'!$D$25-(xm_y0T+(xm_nT-1)/2*xm_sT))/xm_sT,0)),0),0)+IF('XA MU'!$B$26&lt;=3,'XA MU'!$E$26*$B$8*(MAX(0,1-ABS('XA MU'!$C$26-$D36)/xm_sT)+MAX(0,1-ABS('XA MU'!$D$26-$D36)/xm_sT)),0)+IF(ABS($D36-(xm_y0T+(xm_nT-1)/2*xm_sT))&lt;0.000001,IF('XA MU'!$B$26&lt;=3,'XA MU'!$E$26*$B$8*(IF('XA MU'!$C$26&gt;(xm_y0T+(xm_nT-1)/2*xm_sT),2*('XA MU'!$C$26-(xm_y0T+(xm_nT-1)/2*xm_sT))/xm_sT,0)+IF('XA MU'!$D$26&gt;(xm_y0T+(xm_nT-1)/2*xm_sT),2*('XA MU'!$D$26-(xm_y0T+(xm_nT-1)/2*xm_sT))/xm_sT,0)),0),0)+IF('XA MU'!$B$27&lt;=3,'XA MU'!$E$27*$B$8*(MAX(0,1-ABS('XA MU'!$C$27-$D36)/xm_sT)+MAX(0,1-ABS('XA MU'!$D$27-$D36)/xm_sT)),0)+IF(ABS($D36-(xm_y0T+(xm_nT-1)/2*xm_sT))&lt;0.000001,IF('XA MU'!$B$27&lt;=3,'XA MU'!$E$27*$B$8*(IF('XA MU'!$C$27&gt;(xm_y0T+(xm_nT-1)/2*xm_sT),2*('XA MU'!$C$27-(xm_y0T+(xm_nT-1)/2*xm_sT))/xm_sT,0)+IF('XA MU'!$D$27&gt;(xm_y0T+(xm_nT-1)/2*xm_sT),2*('XA MU'!$D$27-(xm_y0T+(xm_nT-1)/2*xm_sT))/xm_sT,0)),0),0)+IF('XA MU'!$B$28&lt;=3,'XA MU'!$E$28*$B$8*(MAX(0,1-ABS('XA MU'!$C$28-$D36)/xm_sT)+MAX(0,1-ABS('XA MU'!$D$28-$D36)/xm_sT)),0)+IF(ABS($D36-(xm_y0T+(xm_nT-1)/2*xm_sT))&lt;0.000001,IF('XA MU'!$B$28&lt;=3,'XA MU'!$E$28*$B$8*(IF('XA MU'!$C$28&gt;(xm_y0T+(xm_nT-1)/2*xm_sT),2*('XA MU'!$C$28-(xm_y0T+(xm_nT-1)/2*xm_sT))/xm_sT,0)+IF('XA MU'!$D$28&gt;(xm_y0T+(xm_nT-1)/2*xm_sT),2*('XA MU'!$D$28-(xm_y0T+(xm_nT-1)/2*xm_sT))/xm_sT,0)),0),0)+IF('XA MU'!$B$29&lt;=3,'XA MU'!$E$29*$B$8*(MAX(0,1-ABS('XA MU'!$C$29-$D36)/xm_sT)+MAX(0,1-ABS('XA MU'!$D$29-$D36)/xm_sT)),0)+IF(ABS($D36-(xm_y0T+(xm_nT-1)/2*xm_sT))&lt;0.000001,IF('XA MU'!$B$29&lt;=3,'XA MU'!$E$29*$B$8*(IF('XA MU'!$C$29&gt;(xm_y0T+(xm_nT-1)/2*xm_sT),2*('XA MU'!$C$29-(xm_y0T+(xm_nT-1)/2*xm_sT))/xm_sT,0)+IF('XA MU'!$D$29&gt;(xm_y0T+(xm_nT-1)/2*xm_sT),2*('XA MU'!$D$29-(xm_y0T+(xm_nT-1)/2*xm_sT))/xm_sT,0)),0),0)+IF('XA MU'!$B$30&lt;=3,'XA MU'!$E$30*$B$8*(MAX(0,1-ABS('XA MU'!$C$30-$D36)/xm_sT)+MAX(0,1-ABS('XA MU'!$D$30-$D36)/xm_sT)),0)+IF(ABS($D36-(xm_y0T+(xm_nT-1)/2*xm_sT))&lt;0.000001,IF('XA MU'!$B$30&lt;=3,'XA MU'!$E$30*$B$8*(IF('XA MU'!$C$30&gt;(xm_y0T+(xm_nT-1)/2*xm_sT),2*('XA MU'!$C$30-(xm_y0T+(xm_nT-1)/2*xm_sT))/xm_sT,0)+IF('XA MU'!$D$30&gt;(xm_y0T+(xm_nT-1)/2*xm_sT),2*('XA MU'!$D$30-(xm_y0T+(xm_nT-1)/2*xm_sT))/xm_sT,0)),0),0))))</f>
        <v>0</v>
      </c>
      <c r="L36" s="44">
        <f>IF(C36=0,0,IF(4&gt;nLan,0,0.65*(IF('XA MU'!$B$25&lt;=4,'XA MU'!$E$25*$B$8*(MAX(0,1-ABS('XA MU'!$C$25-$D36)/xm_sT)+MAX(0,1-ABS('XA MU'!$D$25-$D36)/xm_sT)),0)+IF(ABS($D36-(xm_y0T+(xm_nT-1)/2*xm_sT))&lt;0.000001,IF('XA MU'!$B$25&lt;=4,'XA MU'!$E$25*$B$8*(IF('XA MU'!$C$25&gt;(xm_y0T+(xm_nT-1)/2*xm_sT),2*('XA MU'!$C$25-(xm_y0T+(xm_nT-1)/2*xm_sT))/xm_sT,0)+IF('XA MU'!$D$25&gt;(xm_y0T+(xm_nT-1)/2*xm_sT),2*('XA MU'!$D$25-(xm_y0T+(xm_nT-1)/2*xm_sT))/xm_sT,0)),0),0)+IF('XA MU'!$B$26&lt;=4,'XA MU'!$E$26*$B$8*(MAX(0,1-ABS('XA MU'!$C$26-$D36)/xm_sT)+MAX(0,1-ABS('XA MU'!$D$26-$D36)/xm_sT)),0)+IF(ABS($D36-(xm_y0T+(xm_nT-1)/2*xm_sT))&lt;0.000001,IF('XA MU'!$B$26&lt;=4,'XA MU'!$E$26*$B$8*(IF('XA MU'!$C$26&gt;(xm_y0T+(xm_nT-1)/2*xm_sT),2*('XA MU'!$C$26-(xm_y0T+(xm_nT-1)/2*xm_sT))/xm_sT,0)+IF('XA MU'!$D$26&gt;(xm_y0T+(xm_nT-1)/2*xm_sT),2*('XA MU'!$D$26-(xm_y0T+(xm_nT-1)/2*xm_sT))/xm_sT,0)),0),0)+IF('XA MU'!$B$27&lt;=4,'XA MU'!$E$27*$B$8*(MAX(0,1-ABS('XA MU'!$C$27-$D36)/xm_sT)+MAX(0,1-ABS('XA MU'!$D$27-$D36)/xm_sT)),0)+IF(ABS($D36-(xm_y0T+(xm_nT-1)/2*xm_sT))&lt;0.000001,IF('XA MU'!$B$27&lt;=4,'XA MU'!$E$27*$B$8*(IF('XA MU'!$C$27&gt;(xm_y0T+(xm_nT-1)/2*xm_sT),2*('XA MU'!$C$27-(xm_y0T+(xm_nT-1)/2*xm_sT))/xm_sT,0)+IF('XA MU'!$D$27&gt;(xm_y0T+(xm_nT-1)/2*xm_sT),2*('XA MU'!$D$27-(xm_y0T+(xm_nT-1)/2*xm_sT))/xm_sT,0)),0),0)+IF('XA MU'!$B$28&lt;=4,'XA MU'!$E$28*$B$8*(MAX(0,1-ABS('XA MU'!$C$28-$D36)/xm_sT)+MAX(0,1-ABS('XA MU'!$D$28-$D36)/xm_sT)),0)+IF(ABS($D36-(xm_y0T+(xm_nT-1)/2*xm_sT))&lt;0.000001,IF('XA MU'!$B$28&lt;=4,'XA MU'!$E$28*$B$8*(IF('XA MU'!$C$28&gt;(xm_y0T+(xm_nT-1)/2*xm_sT),2*('XA MU'!$C$28-(xm_y0T+(xm_nT-1)/2*xm_sT))/xm_sT,0)+IF('XA MU'!$D$28&gt;(xm_y0T+(xm_nT-1)/2*xm_sT),2*('XA MU'!$D$28-(xm_y0T+(xm_nT-1)/2*xm_sT))/xm_sT,0)),0),0)+IF('XA MU'!$B$29&lt;=4,'XA MU'!$E$29*$B$8*(MAX(0,1-ABS('XA MU'!$C$29-$D36)/xm_sT)+MAX(0,1-ABS('XA MU'!$D$29-$D36)/xm_sT)),0)+IF(ABS($D36-(xm_y0T+(xm_nT-1)/2*xm_sT))&lt;0.000001,IF('XA MU'!$B$29&lt;=4,'XA MU'!$E$29*$B$8*(IF('XA MU'!$C$29&gt;(xm_y0T+(xm_nT-1)/2*xm_sT),2*('XA MU'!$C$29-(xm_y0T+(xm_nT-1)/2*xm_sT))/xm_sT,0)+IF('XA MU'!$D$29&gt;(xm_y0T+(xm_nT-1)/2*xm_sT),2*('XA MU'!$D$29-(xm_y0T+(xm_nT-1)/2*xm_sT))/xm_sT,0)),0),0)+IF('XA MU'!$B$30&lt;=4,'XA MU'!$E$30*$B$8*(MAX(0,1-ABS('XA MU'!$C$30-$D36)/xm_sT)+MAX(0,1-ABS('XA MU'!$D$30-$D36)/xm_sT)),0)+IF(ABS($D36-(xm_y0T+(xm_nT-1)/2*xm_sT))&lt;0.000001,IF('XA MU'!$B$30&lt;=4,'XA MU'!$E$30*$B$8*(IF('XA MU'!$C$30&gt;(xm_y0T+(xm_nT-1)/2*xm_sT),2*('XA MU'!$C$30-(xm_y0T+(xm_nT-1)/2*xm_sT))/xm_sT,0)+IF('XA MU'!$D$30&gt;(xm_y0T+(xm_nT-1)/2*xm_sT),2*('XA MU'!$D$30-(xm_y0T+(xm_nT-1)/2*xm_sT))/xm_sT,0)),0),0))))</f>
        <v>0</v>
      </c>
      <c r="M36" s="44">
        <f>IF(C36=0,0,IF(5&gt;nLan,0,0.65*(IF('XA MU'!$B$25&lt;=5,'XA MU'!$E$25*$B$8*(MAX(0,1-ABS('XA MU'!$C$25-$D36)/xm_sT)+MAX(0,1-ABS('XA MU'!$D$25-$D36)/xm_sT)),0)+IF(ABS($D36-(xm_y0T+(xm_nT-1)/2*xm_sT))&lt;0.000001,IF('XA MU'!$B$25&lt;=5,'XA MU'!$E$25*$B$8*(IF('XA MU'!$C$25&gt;(xm_y0T+(xm_nT-1)/2*xm_sT),2*('XA MU'!$C$25-(xm_y0T+(xm_nT-1)/2*xm_sT))/xm_sT,0)+IF('XA MU'!$D$25&gt;(xm_y0T+(xm_nT-1)/2*xm_sT),2*('XA MU'!$D$25-(xm_y0T+(xm_nT-1)/2*xm_sT))/xm_sT,0)),0),0)+IF('XA MU'!$B$26&lt;=5,'XA MU'!$E$26*$B$8*(MAX(0,1-ABS('XA MU'!$C$26-$D36)/xm_sT)+MAX(0,1-ABS('XA MU'!$D$26-$D36)/xm_sT)),0)+IF(ABS($D36-(xm_y0T+(xm_nT-1)/2*xm_sT))&lt;0.000001,IF('XA MU'!$B$26&lt;=5,'XA MU'!$E$26*$B$8*(IF('XA MU'!$C$26&gt;(xm_y0T+(xm_nT-1)/2*xm_sT),2*('XA MU'!$C$26-(xm_y0T+(xm_nT-1)/2*xm_sT))/xm_sT,0)+IF('XA MU'!$D$26&gt;(xm_y0T+(xm_nT-1)/2*xm_sT),2*('XA MU'!$D$26-(xm_y0T+(xm_nT-1)/2*xm_sT))/xm_sT,0)),0),0)+IF('XA MU'!$B$27&lt;=5,'XA MU'!$E$27*$B$8*(MAX(0,1-ABS('XA MU'!$C$27-$D36)/xm_sT)+MAX(0,1-ABS('XA MU'!$D$27-$D36)/xm_sT)),0)+IF(ABS($D36-(xm_y0T+(xm_nT-1)/2*xm_sT))&lt;0.000001,IF('XA MU'!$B$27&lt;=5,'XA MU'!$E$27*$B$8*(IF('XA MU'!$C$27&gt;(xm_y0T+(xm_nT-1)/2*xm_sT),2*('XA MU'!$C$27-(xm_y0T+(xm_nT-1)/2*xm_sT))/xm_sT,0)+IF('XA MU'!$D$27&gt;(xm_y0T+(xm_nT-1)/2*xm_sT),2*('XA MU'!$D$27-(xm_y0T+(xm_nT-1)/2*xm_sT))/xm_sT,0)),0),0)+IF('XA MU'!$B$28&lt;=5,'XA MU'!$E$28*$B$8*(MAX(0,1-ABS('XA MU'!$C$28-$D36)/xm_sT)+MAX(0,1-ABS('XA MU'!$D$28-$D36)/xm_sT)),0)+IF(ABS($D36-(xm_y0T+(xm_nT-1)/2*xm_sT))&lt;0.000001,IF('XA MU'!$B$28&lt;=5,'XA MU'!$E$28*$B$8*(IF('XA MU'!$C$28&gt;(xm_y0T+(xm_nT-1)/2*xm_sT),2*('XA MU'!$C$28-(xm_y0T+(xm_nT-1)/2*xm_sT))/xm_sT,0)+IF('XA MU'!$D$28&gt;(xm_y0T+(xm_nT-1)/2*xm_sT),2*('XA MU'!$D$28-(xm_y0T+(xm_nT-1)/2*xm_sT))/xm_sT,0)),0),0)+IF('XA MU'!$B$29&lt;=5,'XA MU'!$E$29*$B$8*(MAX(0,1-ABS('XA MU'!$C$29-$D36)/xm_sT)+MAX(0,1-ABS('XA MU'!$D$29-$D36)/xm_sT)),0)+IF(ABS($D36-(xm_y0T+(xm_nT-1)/2*xm_sT))&lt;0.000001,IF('XA MU'!$B$29&lt;=5,'XA MU'!$E$29*$B$8*(IF('XA MU'!$C$29&gt;(xm_y0T+(xm_nT-1)/2*xm_sT),2*('XA MU'!$C$29-(xm_y0T+(xm_nT-1)/2*xm_sT))/xm_sT,0)+IF('XA MU'!$D$29&gt;(xm_y0T+(xm_nT-1)/2*xm_sT),2*('XA MU'!$D$29-(xm_y0T+(xm_nT-1)/2*xm_sT))/xm_sT,0)),0),0)+IF('XA MU'!$B$30&lt;=5,'XA MU'!$E$30*$B$8*(MAX(0,1-ABS('XA MU'!$C$30-$D36)/xm_sT)+MAX(0,1-ABS('XA MU'!$D$30-$D36)/xm_sT)),0)+IF(ABS($D36-(xm_y0T+(xm_nT-1)/2*xm_sT))&lt;0.000001,IF('XA MU'!$B$30&lt;=5,'XA MU'!$E$30*$B$8*(IF('XA MU'!$C$30&gt;(xm_y0T+(xm_nT-1)/2*xm_sT),2*('XA MU'!$C$30-(xm_y0T+(xm_nT-1)/2*xm_sT))/xm_sT,0)+IF('XA MU'!$D$30&gt;(xm_y0T+(xm_nT-1)/2*xm_sT),2*('XA MU'!$D$30-(xm_y0T+(xm_nT-1)/2*xm_sT))/xm_sT,0)),0),0))))</f>
        <v>0</v>
      </c>
      <c r="N36" s="44">
        <f>IF(C36=0,0,IF(6&gt;nLan,0,0.65*(IF('XA MU'!$B$25&lt;=6,'XA MU'!$E$25*$B$8*(MAX(0,1-ABS('XA MU'!$C$25-$D36)/xm_sT)+MAX(0,1-ABS('XA MU'!$D$25-$D36)/xm_sT)),0)+IF(ABS($D36-(xm_y0T+(xm_nT-1)/2*xm_sT))&lt;0.000001,IF('XA MU'!$B$25&lt;=6,'XA MU'!$E$25*$B$8*(IF('XA MU'!$C$25&gt;(xm_y0T+(xm_nT-1)/2*xm_sT),2*('XA MU'!$C$25-(xm_y0T+(xm_nT-1)/2*xm_sT))/xm_sT,0)+IF('XA MU'!$D$25&gt;(xm_y0T+(xm_nT-1)/2*xm_sT),2*('XA MU'!$D$25-(xm_y0T+(xm_nT-1)/2*xm_sT))/xm_sT,0)),0),0)+IF('XA MU'!$B$26&lt;=6,'XA MU'!$E$26*$B$8*(MAX(0,1-ABS('XA MU'!$C$26-$D36)/xm_sT)+MAX(0,1-ABS('XA MU'!$D$26-$D36)/xm_sT)),0)+IF(ABS($D36-(xm_y0T+(xm_nT-1)/2*xm_sT))&lt;0.000001,IF('XA MU'!$B$26&lt;=6,'XA MU'!$E$26*$B$8*(IF('XA MU'!$C$26&gt;(xm_y0T+(xm_nT-1)/2*xm_sT),2*('XA MU'!$C$26-(xm_y0T+(xm_nT-1)/2*xm_sT))/xm_sT,0)+IF('XA MU'!$D$26&gt;(xm_y0T+(xm_nT-1)/2*xm_sT),2*('XA MU'!$D$26-(xm_y0T+(xm_nT-1)/2*xm_sT))/xm_sT,0)),0),0)+IF('XA MU'!$B$27&lt;=6,'XA MU'!$E$27*$B$8*(MAX(0,1-ABS('XA MU'!$C$27-$D36)/xm_sT)+MAX(0,1-ABS('XA MU'!$D$27-$D36)/xm_sT)),0)+IF(ABS($D36-(xm_y0T+(xm_nT-1)/2*xm_sT))&lt;0.000001,IF('XA MU'!$B$27&lt;=6,'XA MU'!$E$27*$B$8*(IF('XA MU'!$C$27&gt;(xm_y0T+(xm_nT-1)/2*xm_sT),2*('XA MU'!$C$27-(xm_y0T+(xm_nT-1)/2*xm_sT))/xm_sT,0)+IF('XA MU'!$D$27&gt;(xm_y0T+(xm_nT-1)/2*xm_sT),2*('XA MU'!$D$27-(xm_y0T+(xm_nT-1)/2*xm_sT))/xm_sT,0)),0),0)+IF('XA MU'!$B$28&lt;=6,'XA MU'!$E$28*$B$8*(MAX(0,1-ABS('XA MU'!$C$28-$D36)/xm_sT)+MAX(0,1-ABS('XA MU'!$D$28-$D36)/xm_sT)),0)+IF(ABS($D36-(xm_y0T+(xm_nT-1)/2*xm_sT))&lt;0.000001,IF('XA MU'!$B$28&lt;=6,'XA MU'!$E$28*$B$8*(IF('XA MU'!$C$28&gt;(xm_y0T+(xm_nT-1)/2*xm_sT),2*('XA MU'!$C$28-(xm_y0T+(xm_nT-1)/2*xm_sT))/xm_sT,0)+IF('XA MU'!$D$28&gt;(xm_y0T+(xm_nT-1)/2*xm_sT),2*('XA MU'!$D$28-(xm_y0T+(xm_nT-1)/2*xm_sT))/xm_sT,0)),0),0)+IF('XA MU'!$B$29&lt;=6,'XA MU'!$E$29*$B$8*(MAX(0,1-ABS('XA MU'!$C$29-$D36)/xm_sT)+MAX(0,1-ABS('XA MU'!$D$29-$D36)/xm_sT)),0)+IF(ABS($D36-(xm_y0T+(xm_nT-1)/2*xm_sT))&lt;0.000001,IF('XA MU'!$B$29&lt;=6,'XA MU'!$E$29*$B$8*(IF('XA MU'!$C$29&gt;(xm_y0T+(xm_nT-1)/2*xm_sT),2*('XA MU'!$C$29-(xm_y0T+(xm_nT-1)/2*xm_sT))/xm_sT,0)+IF('XA MU'!$D$29&gt;(xm_y0T+(xm_nT-1)/2*xm_sT),2*('XA MU'!$D$29-(xm_y0T+(xm_nT-1)/2*xm_sT))/xm_sT,0)),0),0)+IF('XA MU'!$B$30&lt;=6,'XA MU'!$E$30*$B$8*(MAX(0,1-ABS('XA MU'!$C$30-$D36)/xm_sT)+MAX(0,1-ABS('XA MU'!$D$30-$D36)/xm_sT)),0)+IF(ABS($D36-(xm_y0T+(xm_nT-1)/2*xm_sT))&lt;0.000001,IF('XA MU'!$B$30&lt;=6,'XA MU'!$E$30*$B$8*(IF('XA MU'!$C$30&gt;(xm_y0T+(xm_nT-1)/2*xm_sT),2*('XA MU'!$C$30-(xm_y0T+(xm_nT-1)/2*xm_sT))/xm_sT,0)+IF('XA MU'!$D$30&gt;(xm_y0T+(xm_nT-1)/2*xm_sT),2*('XA MU'!$D$30-(xm_y0T+(xm_nT-1)/2*xm_sT))/xm_sT,0)),0),0))))</f>
        <v>0</v>
      </c>
    </row>
    <row r="37" spans="1:14" x14ac:dyDescent="0.3">
      <c r="A37" s="42" t="s">
        <v>1235</v>
      </c>
      <c r="B37" s="42">
        <v>23</v>
      </c>
      <c r="C37" s="40">
        <f t="shared" si="0"/>
        <v>0</v>
      </c>
      <c r="D37" s="44">
        <f t="shared" si="1"/>
        <v>0</v>
      </c>
      <c r="E37" s="44">
        <f>MAX(0,D37-'XA MU'!$C$8)*C37</f>
        <v>0</v>
      </c>
      <c r="F37" s="44">
        <f>IF(AND(C37=1,D37&gt;'XA MU'!$C$8),1,0)</f>
        <v>0</v>
      </c>
      <c r="G37" s="44">
        <f t="shared" si="2"/>
        <v>0</v>
      </c>
      <c r="H37" s="44">
        <f t="shared" si="3"/>
        <v>0</v>
      </c>
      <c r="I37" s="44">
        <f>IF(C37=0,0,IF(1&gt;nLan,0,1.2*(IF('XA MU'!$B$25&lt;=1,'XA MU'!$E$25*$B$8*(MAX(0,1-ABS('XA MU'!$C$25-$D37)/xm_sT)+MAX(0,1-ABS('XA MU'!$D$25-$D37)/xm_sT)),0)+IF(ABS($D37-(xm_y0T+(xm_nT-1)/2*xm_sT))&lt;0.000001,IF('XA MU'!$B$25&lt;=1,'XA MU'!$E$25*$B$8*(IF('XA MU'!$C$25&gt;(xm_y0T+(xm_nT-1)/2*xm_sT),2*('XA MU'!$C$25-(xm_y0T+(xm_nT-1)/2*xm_sT))/xm_sT,0)+IF('XA MU'!$D$25&gt;(xm_y0T+(xm_nT-1)/2*xm_sT),2*('XA MU'!$D$25-(xm_y0T+(xm_nT-1)/2*xm_sT))/xm_sT,0)),0),0)+IF('XA MU'!$B$26&lt;=1,'XA MU'!$E$26*$B$8*(MAX(0,1-ABS('XA MU'!$C$26-$D37)/xm_sT)+MAX(0,1-ABS('XA MU'!$D$26-$D37)/xm_sT)),0)+IF(ABS($D37-(xm_y0T+(xm_nT-1)/2*xm_sT))&lt;0.000001,IF('XA MU'!$B$26&lt;=1,'XA MU'!$E$26*$B$8*(IF('XA MU'!$C$26&gt;(xm_y0T+(xm_nT-1)/2*xm_sT),2*('XA MU'!$C$26-(xm_y0T+(xm_nT-1)/2*xm_sT))/xm_sT,0)+IF('XA MU'!$D$26&gt;(xm_y0T+(xm_nT-1)/2*xm_sT),2*('XA MU'!$D$26-(xm_y0T+(xm_nT-1)/2*xm_sT))/xm_sT,0)),0),0)+IF('XA MU'!$B$27&lt;=1,'XA MU'!$E$27*$B$8*(MAX(0,1-ABS('XA MU'!$C$27-$D37)/xm_sT)+MAX(0,1-ABS('XA MU'!$D$27-$D37)/xm_sT)),0)+IF(ABS($D37-(xm_y0T+(xm_nT-1)/2*xm_sT))&lt;0.000001,IF('XA MU'!$B$27&lt;=1,'XA MU'!$E$27*$B$8*(IF('XA MU'!$C$27&gt;(xm_y0T+(xm_nT-1)/2*xm_sT),2*('XA MU'!$C$27-(xm_y0T+(xm_nT-1)/2*xm_sT))/xm_sT,0)+IF('XA MU'!$D$27&gt;(xm_y0T+(xm_nT-1)/2*xm_sT),2*('XA MU'!$D$27-(xm_y0T+(xm_nT-1)/2*xm_sT))/xm_sT,0)),0),0)+IF('XA MU'!$B$28&lt;=1,'XA MU'!$E$28*$B$8*(MAX(0,1-ABS('XA MU'!$C$28-$D37)/xm_sT)+MAX(0,1-ABS('XA MU'!$D$28-$D37)/xm_sT)),0)+IF(ABS($D37-(xm_y0T+(xm_nT-1)/2*xm_sT))&lt;0.000001,IF('XA MU'!$B$28&lt;=1,'XA MU'!$E$28*$B$8*(IF('XA MU'!$C$28&gt;(xm_y0T+(xm_nT-1)/2*xm_sT),2*('XA MU'!$C$28-(xm_y0T+(xm_nT-1)/2*xm_sT))/xm_sT,0)+IF('XA MU'!$D$28&gt;(xm_y0T+(xm_nT-1)/2*xm_sT),2*('XA MU'!$D$28-(xm_y0T+(xm_nT-1)/2*xm_sT))/xm_sT,0)),0),0)+IF('XA MU'!$B$29&lt;=1,'XA MU'!$E$29*$B$8*(MAX(0,1-ABS('XA MU'!$C$29-$D37)/xm_sT)+MAX(0,1-ABS('XA MU'!$D$29-$D37)/xm_sT)),0)+IF(ABS($D37-(xm_y0T+(xm_nT-1)/2*xm_sT))&lt;0.000001,IF('XA MU'!$B$29&lt;=1,'XA MU'!$E$29*$B$8*(IF('XA MU'!$C$29&gt;(xm_y0T+(xm_nT-1)/2*xm_sT),2*('XA MU'!$C$29-(xm_y0T+(xm_nT-1)/2*xm_sT))/xm_sT,0)+IF('XA MU'!$D$29&gt;(xm_y0T+(xm_nT-1)/2*xm_sT),2*('XA MU'!$D$29-(xm_y0T+(xm_nT-1)/2*xm_sT))/xm_sT,0)),0),0)+IF('XA MU'!$B$30&lt;=1,'XA MU'!$E$30*$B$8*(MAX(0,1-ABS('XA MU'!$C$30-$D37)/xm_sT)+MAX(0,1-ABS('XA MU'!$D$30-$D37)/xm_sT)),0)+IF(ABS($D37-(xm_y0T+(xm_nT-1)/2*xm_sT))&lt;0.000001,IF('XA MU'!$B$30&lt;=1,'XA MU'!$E$30*$B$8*(IF('XA MU'!$C$30&gt;(xm_y0T+(xm_nT-1)/2*xm_sT),2*('XA MU'!$C$30-(xm_y0T+(xm_nT-1)/2*xm_sT))/xm_sT,0)+IF('XA MU'!$D$30&gt;(xm_y0T+(xm_nT-1)/2*xm_sT),2*('XA MU'!$D$30-(xm_y0T+(xm_nT-1)/2*xm_sT))/xm_sT,0)),0),0))))</f>
        <v>0</v>
      </c>
      <c r="J37" s="44">
        <f>IF(C37=0,0,IF(2&gt;nLan,0,1*(IF('XA MU'!$B$25&lt;=2,'XA MU'!$E$25*$B$8*(MAX(0,1-ABS('XA MU'!$C$25-$D37)/xm_sT)+MAX(0,1-ABS('XA MU'!$D$25-$D37)/xm_sT)),0)+IF(ABS($D37-(xm_y0T+(xm_nT-1)/2*xm_sT))&lt;0.000001,IF('XA MU'!$B$25&lt;=2,'XA MU'!$E$25*$B$8*(IF('XA MU'!$C$25&gt;(xm_y0T+(xm_nT-1)/2*xm_sT),2*('XA MU'!$C$25-(xm_y0T+(xm_nT-1)/2*xm_sT))/xm_sT,0)+IF('XA MU'!$D$25&gt;(xm_y0T+(xm_nT-1)/2*xm_sT),2*('XA MU'!$D$25-(xm_y0T+(xm_nT-1)/2*xm_sT))/xm_sT,0)),0),0)+IF('XA MU'!$B$26&lt;=2,'XA MU'!$E$26*$B$8*(MAX(0,1-ABS('XA MU'!$C$26-$D37)/xm_sT)+MAX(0,1-ABS('XA MU'!$D$26-$D37)/xm_sT)),0)+IF(ABS($D37-(xm_y0T+(xm_nT-1)/2*xm_sT))&lt;0.000001,IF('XA MU'!$B$26&lt;=2,'XA MU'!$E$26*$B$8*(IF('XA MU'!$C$26&gt;(xm_y0T+(xm_nT-1)/2*xm_sT),2*('XA MU'!$C$26-(xm_y0T+(xm_nT-1)/2*xm_sT))/xm_sT,0)+IF('XA MU'!$D$26&gt;(xm_y0T+(xm_nT-1)/2*xm_sT),2*('XA MU'!$D$26-(xm_y0T+(xm_nT-1)/2*xm_sT))/xm_sT,0)),0),0)+IF('XA MU'!$B$27&lt;=2,'XA MU'!$E$27*$B$8*(MAX(0,1-ABS('XA MU'!$C$27-$D37)/xm_sT)+MAX(0,1-ABS('XA MU'!$D$27-$D37)/xm_sT)),0)+IF(ABS($D37-(xm_y0T+(xm_nT-1)/2*xm_sT))&lt;0.000001,IF('XA MU'!$B$27&lt;=2,'XA MU'!$E$27*$B$8*(IF('XA MU'!$C$27&gt;(xm_y0T+(xm_nT-1)/2*xm_sT),2*('XA MU'!$C$27-(xm_y0T+(xm_nT-1)/2*xm_sT))/xm_sT,0)+IF('XA MU'!$D$27&gt;(xm_y0T+(xm_nT-1)/2*xm_sT),2*('XA MU'!$D$27-(xm_y0T+(xm_nT-1)/2*xm_sT))/xm_sT,0)),0),0)+IF('XA MU'!$B$28&lt;=2,'XA MU'!$E$28*$B$8*(MAX(0,1-ABS('XA MU'!$C$28-$D37)/xm_sT)+MAX(0,1-ABS('XA MU'!$D$28-$D37)/xm_sT)),0)+IF(ABS($D37-(xm_y0T+(xm_nT-1)/2*xm_sT))&lt;0.000001,IF('XA MU'!$B$28&lt;=2,'XA MU'!$E$28*$B$8*(IF('XA MU'!$C$28&gt;(xm_y0T+(xm_nT-1)/2*xm_sT),2*('XA MU'!$C$28-(xm_y0T+(xm_nT-1)/2*xm_sT))/xm_sT,0)+IF('XA MU'!$D$28&gt;(xm_y0T+(xm_nT-1)/2*xm_sT),2*('XA MU'!$D$28-(xm_y0T+(xm_nT-1)/2*xm_sT))/xm_sT,0)),0),0)+IF('XA MU'!$B$29&lt;=2,'XA MU'!$E$29*$B$8*(MAX(0,1-ABS('XA MU'!$C$29-$D37)/xm_sT)+MAX(0,1-ABS('XA MU'!$D$29-$D37)/xm_sT)),0)+IF(ABS($D37-(xm_y0T+(xm_nT-1)/2*xm_sT))&lt;0.000001,IF('XA MU'!$B$29&lt;=2,'XA MU'!$E$29*$B$8*(IF('XA MU'!$C$29&gt;(xm_y0T+(xm_nT-1)/2*xm_sT),2*('XA MU'!$C$29-(xm_y0T+(xm_nT-1)/2*xm_sT))/xm_sT,0)+IF('XA MU'!$D$29&gt;(xm_y0T+(xm_nT-1)/2*xm_sT),2*('XA MU'!$D$29-(xm_y0T+(xm_nT-1)/2*xm_sT))/xm_sT,0)),0),0)+IF('XA MU'!$B$30&lt;=2,'XA MU'!$E$30*$B$8*(MAX(0,1-ABS('XA MU'!$C$30-$D37)/xm_sT)+MAX(0,1-ABS('XA MU'!$D$30-$D37)/xm_sT)),0)+IF(ABS($D37-(xm_y0T+(xm_nT-1)/2*xm_sT))&lt;0.000001,IF('XA MU'!$B$30&lt;=2,'XA MU'!$E$30*$B$8*(IF('XA MU'!$C$30&gt;(xm_y0T+(xm_nT-1)/2*xm_sT),2*('XA MU'!$C$30-(xm_y0T+(xm_nT-1)/2*xm_sT))/xm_sT,0)+IF('XA MU'!$D$30&gt;(xm_y0T+(xm_nT-1)/2*xm_sT),2*('XA MU'!$D$30-(xm_y0T+(xm_nT-1)/2*xm_sT))/xm_sT,0)),0),0))))</f>
        <v>0</v>
      </c>
      <c r="K37" s="44">
        <f>IF(C37=0,0,IF(3&gt;nLan,0,0.85*(IF('XA MU'!$B$25&lt;=3,'XA MU'!$E$25*$B$8*(MAX(0,1-ABS('XA MU'!$C$25-$D37)/xm_sT)+MAX(0,1-ABS('XA MU'!$D$25-$D37)/xm_sT)),0)+IF(ABS($D37-(xm_y0T+(xm_nT-1)/2*xm_sT))&lt;0.000001,IF('XA MU'!$B$25&lt;=3,'XA MU'!$E$25*$B$8*(IF('XA MU'!$C$25&gt;(xm_y0T+(xm_nT-1)/2*xm_sT),2*('XA MU'!$C$25-(xm_y0T+(xm_nT-1)/2*xm_sT))/xm_sT,0)+IF('XA MU'!$D$25&gt;(xm_y0T+(xm_nT-1)/2*xm_sT),2*('XA MU'!$D$25-(xm_y0T+(xm_nT-1)/2*xm_sT))/xm_sT,0)),0),0)+IF('XA MU'!$B$26&lt;=3,'XA MU'!$E$26*$B$8*(MAX(0,1-ABS('XA MU'!$C$26-$D37)/xm_sT)+MAX(0,1-ABS('XA MU'!$D$26-$D37)/xm_sT)),0)+IF(ABS($D37-(xm_y0T+(xm_nT-1)/2*xm_sT))&lt;0.000001,IF('XA MU'!$B$26&lt;=3,'XA MU'!$E$26*$B$8*(IF('XA MU'!$C$26&gt;(xm_y0T+(xm_nT-1)/2*xm_sT),2*('XA MU'!$C$26-(xm_y0T+(xm_nT-1)/2*xm_sT))/xm_sT,0)+IF('XA MU'!$D$26&gt;(xm_y0T+(xm_nT-1)/2*xm_sT),2*('XA MU'!$D$26-(xm_y0T+(xm_nT-1)/2*xm_sT))/xm_sT,0)),0),0)+IF('XA MU'!$B$27&lt;=3,'XA MU'!$E$27*$B$8*(MAX(0,1-ABS('XA MU'!$C$27-$D37)/xm_sT)+MAX(0,1-ABS('XA MU'!$D$27-$D37)/xm_sT)),0)+IF(ABS($D37-(xm_y0T+(xm_nT-1)/2*xm_sT))&lt;0.000001,IF('XA MU'!$B$27&lt;=3,'XA MU'!$E$27*$B$8*(IF('XA MU'!$C$27&gt;(xm_y0T+(xm_nT-1)/2*xm_sT),2*('XA MU'!$C$27-(xm_y0T+(xm_nT-1)/2*xm_sT))/xm_sT,0)+IF('XA MU'!$D$27&gt;(xm_y0T+(xm_nT-1)/2*xm_sT),2*('XA MU'!$D$27-(xm_y0T+(xm_nT-1)/2*xm_sT))/xm_sT,0)),0),0)+IF('XA MU'!$B$28&lt;=3,'XA MU'!$E$28*$B$8*(MAX(0,1-ABS('XA MU'!$C$28-$D37)/xm_sT)+MAX(0,1-ABS('XA MU'!$D$28-$D37)/xm_sT)),0)+IF(ABS($D37-(xm_y0T+(xm_nT-1)/2*xm_sT))&lt;0.000001,IF('XA MU'!$B$28&lt;=3,'XA MU'!$E$28*$B$8*(IF('XA MU'!$C$28&gt;(xm_y0T+(xm_nT-1)/2*xm_sT),2*('XA MU'!$C$28-(xm_y0T+(xm_nT-1)/2*xm_sT))/xm_sT,0)+IF('XA MU'!$D$28&gt;(xm_y0T+(xm_nT-1)/2*xm_sT),2*('XA MU'!$D$28-(xm_y0T+(xm_nT-1)/2*xm_sT))/xm_sT,0)),0),0)+IF('XA MU'!$B$29&lt;=3,'XA MU'!$E$29*$B$8*(MAX(0,1-ABS('XA MU'!$C$29-$D37)/xm_sT)+MAX(0,1-ABS('XA MU'!$D$29-$D37)/xm_sT)),0)+IF(ABS($D37-(xm_y0T+(xm_nT-1)/2*xm_sT))&lt;0.000001,IF('XA MU'!$B$29&lt;=3,'XA MU'!$E$29*$B$8*(IF('XA MU'!$C$29&gt;(xm_y0T+(xm_nT-1)/2*xm_sT),2*('XA MU'!$C$29-(xm_y0T+(xm_nT-1)/2*xm_sT))/xm_sT,0)+IF('XA MU'!$D$29&gt;(xm_y0T+(xm_nT-1)/2*xm_sT),2*('XA MU'!$D$29-(xm_y0T+(xm_nT-1)/2*xm_sT))/xm_sT,0)),0),0)+IF('XA MU'!$B$30&lt;=3,'XA MU'!$E$30*$B$8*(MAX(0,1-ABS('XA MU'!$C$30-$D37)/xm_sT)+MAX(0,1-ABS('XA MU'!$D$30-$D37)/xm_sT)),0)+IF(ABS($D37-(xm_y0T+(xm_nT-1)/2*xm_sT))&lt;0.000001,IF('XA MU'!$B$30&lt;=3,'XA MU'!$E$30*$B$8*(IF('XA MU'!$C$30&gt;(xm_y0T+(xm_nT-1)/2*xm_sT),2*('XA MU'!$C$30-(xm_y0T+(xm_nT-1)/2*xm_sT))/xm_sT,0)+IF('XA MU'!$D$30&gt;(xm_y0T+(xm_nT-1)/2*xm_sT),2*('XA MU'!$D$30-(xm_y0T+(xm_nT-1)/2*xm_sT))/xm_sT,0)),0),0))))</f>
        <v>0</v>
      </c>
      <c r="L37" s="44">
        <f>IF(C37=0,0,IF(4&gt;nLan,0,0.65*(IF('XA MU'!$B$25&lt;=4,'XA MU'!$E$25*$B$8*(MAX(0,1-ABS('XA MU'!$C$25-$D37)/xm_sT)+MAX(0,1-ABS('XA MU'!$D$25-$D37)/xm_sT)),0)+IF(ABS($D37-(xm_y0T+(xm_nT-1)/2*xm_sT))&lt;0.000001,IF('XA MU'!$B$25&lt;=4,'XA MU'!$E$25*$B$8*(IF('XA MU'!$C$25&gt;(xm_y0T+(xm_nT-1)/2*xm_sT),2*('XA MU'!$C$25-(xm_y0T+(xm_nT-1)/2*xm_sT))/xm_sT,0)+IF('XA MU'!$D$25&gt;(xm_y0T+(xm_nT-1)/2*xm_sT),2*('XA MU'!$D$25-(xm_y0T+(xm_nT-1)/2*xm_sT))/xm_sT,0)),0),0)+IF('XA MU'!$B$26&lt;=4,'XA MU'!$E$26*$B$8*(MAX(0,1-ABS('XA MU'!$C$26-$D37)/xm_sT)+MAX(0,1-ABS('XA MU'!$D$26-$D37)/xm_sT)),0)+IF(ABS($D37-(xm_y0T+(xm_nT-1)/2*xm_sT))&lt;0.000001,IF('XA MU'!$B$26&lt;=4,'XA MU'!$E$26*$B$8*(IF('XA MU'!$C$26&gt;(xm_y0T+(xm_nT-1)/2*xm_sT),2*('XA MU'!$C$26-(xm_y0T+(xm_nT-1)/2*xm_sT))/xm_sT,0)+IF('XA MU'!$D$26&gt;(xm_y0T+(xm_nT-1)/2*xm_sT),2*('XA MU'!$D$26-(xm_y0T+(xm_nT-1)/2*xm_sT))/xm_sT,0)),0),0)+IF('XA MU'!$B$27&lt;=4,'XA MU'!$E$27*$B$8*(MAX(0,1-ABS('XA MU'!$C$27-$D37)/xm_sT)+MAX(0,1-ABS('XA MU'!$D$27-$D37)/xm_sT)),0)+IF(ABS($D37-(xm_y0T+(xm_nT-1)/2*xm_sT))&lt;0.000001,IF('XA MU'!$B$27&lt;=4,'XA MU'!$E$27*$B$8*(IF('XA MU'!$C$27&gt;(xm_y0T+(xm_nT-1)/2*xm_sT),2*('XA MU'!$C$27-(xm_y0T+(xm_nT-1)/2*xm_sT))/xm_sT,0)+IF('XA MU'!$D$27&gt;(xm_y0T+(xm_nT-1)/2*xm_sT),2*('XA MU'!$D$27-(xm_y0T+(xm_nT-1)/2*xm_sT))/xm_sT,0)),0),0)+IF('XA MU'!$B$28&lt;=4,'XA MU'!$E$28*$B$8*(MAX(0,1-ABS('XA MU'!$C$28-$D37)/xm_sT)+MAX(0,1-ABS('XA MU'!$D$28-$D37)/xm_sT)),0)+IF(ABS($D37-(xm_y0T+(xm_nT-1)/2*xm_sT))&lt;0.000001,IF('XA MU'!$B$28&lt;=4,'XA MU'!$E$28*$B$8*(IF('XA MU'!$C$28&gt;(xm_y0T+(xm_nT-1)/2*xm_sT),2*('XA MU'!$C$28-(xm_y0T+(xm_nT-1)/2*xm_sT))/xm_sT,0)+IF('XA MU'!$D$28&gt;(xm_y0T+(xm_nT-1)/2*xm_sT),2*('XA MU'!$D$28-(xm_y0T+(xm_nT-1)/2*xm_sT))/xm_sT,0)),0),0)+IF('XA MU'!$B$29&lt;=4,'XA MU'!$E$29*$B$8*(MAX(0,1-ABS('XA MU'!$C$29-$D37)/xm_sT)+MAX(0,1-ABS('XA MU'!$D$29-$D37)/xm_sT)),0)+IF(ABS($D37-(xm_y0T+(xm_nT-1)/2*xm_sT))&lt;0.000001,IF('XA MU'!$B$29&lt;=4,'XA MU'!$E$29*$B$8*(IF('XA MU'!$C$29&gt;(xm_y0T+(xm_nT-1)/2*xm_sT),2*('XA MU'!$C$29-(xm_y0T+(xm_nT-1)/2*xm_sT))/xm_sT,0)+IF('XA MU'!$D$29&gt;(xm_y0T+(xm_nT-1)/2*xm_sT),2*('XA MU'!$D$29-(xm_y0T+(xm_nT-1)/2*xm_sT))/xm_sT,0)),0),0)+IF('XA MU'!$B$30&lt;=4,'XA MU'!$E$30*$B$8*(MAX(0,1-ABS('XA MU'!$C$30-$D37)/xm_sT)+MAX(0,1-ABS('XA MU'!$D$30-$D37)/xm_sT)),0)+IF(ABS($D37-(xm_y0T+(xm_nT-1)/2*xm_sT))&lt;0.000001,IF('XA MU'!$B$30&lt;=4,'XA MU'!$E$30*$B$8*(IF('XA MU'!$C$30&gt;(xm_y0T+(xm_nT-1)/2*xm_sT),2*('XA MU'!$C$30-(xm_y0T+(xm_nT-1)/2*xm_sT))/xm_sT,0)+IF('XA MU'!$D$30&gt;(xm_y0T+(xm_nT-1)/2*xm_sT),2*('XA MU'!$D$30-(xm_y0T+(xm_nT-1)/2*xm_sT))/xm_sT,0)),0),0))))</f>
        <v>0</v>
      </c>
      <c r="M37" s="44">
        <f>IF(C37=0,0,IF(5&gt;nLan,0,0.65*(IF('XA MU'!$B$25&lt;=5,'XA MU'!$E$25*$B$8*(MAX(0,1-ABS('XA MU'!$C$25-$D37)/xm_sT)+MAX(0,1-ABS('XA MU'!$D$25-$D37)/xm_sT)),0)+IF(ABS($D37-(xm_y0T+(xm_nT-1)/2*xm_sT))&lt;0.000001,IF('XA MU'!$B$25&lt;=5,'XA MU'!$E$25*$B$8*(IF('XA MU'!$C$25&gt;(xm_y0T+(xm_nT-1)/2*xm_sT),2*('XA MU'!$C$25-(xm_y0T+(xm_nT-1)/2*xm_sT))/xm_sT,0)+IF('XA MU'!$D$25&gt;(xm_y0T+(xm_nT-1)/2*xm_sT),2*('XA MU'!$D$25-(xm_y0T+(xm_nT-1)/2*xm_sT))/xm_sT,0)),0),0)+IF('XA MU'!$B$26&lt;=5,'XA MU'!$E$26*$B$8*(MAX(0,1-ABS('XA MU'!$C$26-$D37)/xm_sT)+MAX(0,1-ABS('XA MU'!$D$26-$D37)/xm_sT)),0)+IF(ABS($D37-(xm_y0T+(xm_nT-1)/2*xm_sT))&lt;0.000001,IF('XA MU'!$B$26&lt;=5,'XA MU'!$E$26*$B$8*(IF('XA MU'!$C$26&gt;(xm_y0T+(xm_nT-1)/2*xm_sT),2*('XA MU'!$C$26-(xm_y0T+(xm_nT-1)/2*xm_sT))/xm_sT,0)+IF('XA MU'!$D$26&gt;(xm_y0T+(xm_nT-1)/2*xm_sT),2*('XA MU'!$D$26-(xm_y0T+(xm_nT-1)/2*xm_sT))/xm_sT,0)),0),0)+IF('XA MU'!$B$27&lt;=5,'XA MU'!$E$27*$B$8*(MAX(0,1-ABS('XA MU'!$C$27-$D37)/xm_sT)+MAX(0,1-ABS('XA MU'!$D$27-$D37)/xm_sT)),0)+IF(ABS($D37-(xm_y0T+(xm_nT-1)/2*xm_sT))&lt;0.000001,IF('XA MU'!$B$27&lt;=5,'XA MU'!$E$27*$B$8*(IF('XA MU'!$C$27&gt;(xm_y0T+(xm_nT-1)/2*xm_sT),2*('XA MU'!$C$27-(xm_y0T+(xm_nT-1)/2*xm_sT))/xm_sT,0)+IF('XA MU'!$D$27&gt;(xm_y0T+(xm_nT-1)/2*xm_sT),2*('XA MU'!$D$27-(xm_y0T+(xm_nT-1)/2*xm_sT))/xm_sT,0)),0),0)+IF('XA MU'!$B$28&lt;=5,'XA MU'!$E$28*$B$8*(MAX(0,1-ABS('XA MU'!$C$28-$D37)/xm_sT)+MAX(0,1-ABS('XA MU'!$D$28-$D37)/xm_sT)),0)+IF(ABS($D37-(xm_y0T+(xm_nT-1)/2*xm_sT))&lt;0.000001,IF('XA MU'!$B$28&lt;=5,'XA MU'!$E$28*$B$8*(IF('XA MU'!$C$28&gt;(xm_y0T+(xm_nT-1)/2*xm_sT),2*('XA MU'!$C$28-(xm_y0T+(xm_nT-1)/2*xm_sT))/xm_sT,0)+IF('XA MU'!$D$28&gt;(xm_y0T+(xm_nT-1)/2*xm_sT),2*('XA MU'!$D$28-(xm_y0T+(xm_nT-1)/2*xm_sT))/xm_sT,0)),0),0)+IF('XA MU'!$B$29&lt;=5,'XA MU'!$E$29*$B$8*(MAX(0,1-ABS('XA MU'!$C$29-$D37)/xm_sT)+MAX(0,1-ABS('XA MU'!$D$29-$D37)/xm_sT)),0)+IF(ABS($D37-(xm_y0T+(xm_nT-1)/2*xm_sT))&lt;0.000001,IF('XA MU'!$B$29&lt;=5,'XA MU'!$E$29*$B$8*(IF('XA MU'!$C$29&gt;(xm_y0T+(xm_nT-1)/2*xm_sT),2*('XA MU'!$C$29-(xm_y0T+(xm_nT-1)/2*xm_sT))/xm_sT,0)+IF('XA MU'!$D$29&gt;(xm_y0T+(xm_nT-1)/2*xm_sT),2*('XA MU'!$D$29-(xm_y0T+(xm_nT-1)/2*xm_sT))/xm_sT,0)),0),0)+IF('XA MU'!$B$30&lt;=5,'XA MU'!$E$30*$B$8*(MAX(0,1-ABS('XA MU'!$C$30-$D37)/xm_sT)+MAX(0,1-ABS('XA MU'!$D$30-$D37)/xm_sT)),0)+IF(ABS($D37-(xm_y0T+(xm_nT-1)/2*xm_sT))&lt;0.000001,IF('XA MU'!$B$30&lt;=5,'XA MU'!$E$30*$B$8*(IF('XA MU'!$C$30&gt;(xm_y0T+(xm_nT-1)/2*xm_sT),2*('XA MU'!$C$30-(xm_y0T+(xm_nT-1)/2*xm_sT))/xm_sT,0)+IF('XA MU'!$D$30&gt;(xm_y0T+(xm_nT-1)/2*xm_sT),2*('XA MU'!$D$30-(xm_y0T+(xm_nT-1)/2*xm_sT))/xm_sT,0)),0),0))))</f>
        <v>0</v>
      </c>
      <c r="N37" s="44">
        <f>IF(C37=0,0,IF(6&gt;nLan,0,0.65*(IF('XA MU'!$B$25&lt;=6,'XA MU'!$E$25*$B$8*(MAX(0,1-ABS('XA MU'!$C$25-$D37)/xm_sT)+MAX(0,1-ABS('XA MU'!$D$25-$D37)/xm_sT)),0)+IF(ABS($D37-(xm_y0T+(xm_nT-1)/2*xm_sT))&lt;0.000001,IF('XA MU'!$B$25&lt;=6,'XA MU'!$E$25*$B$8*(IF('XA MU'!$C$25&gt;(xm_y0T+(xm_nT-1)/2*xm_sT),2*('XA MU'!$C$25-(xm_y0T+(xm_nT-1)/2*xm_sT))/xm_sT,0)+IF('XA MU'!$D$25&gt;(xm_y0T+(xm_nT-1)/2*xm_sT),2*('XA MU'!$D$25-(xm_y0T+(xm_nT-1)/2*xm_sT))/xm_sT,0)),0),0)+IF('XA MU'!$B$26&lt;=6,'XA MU'!$E$26*$B$8*(MAX(0,1-ABS('XA MU'!$C$26-$D37)/xm_sT)+MAX(0,1-ABS('XA MU'!$D$26-$D37)/xm_sT)),0)+IF(ABS($D37-(xm_y0T+(xm_nT-1)/2*xm_sT))&lt;0.000001,IF('XA MU'!$B$26&lt;=6,'XA MU'!$E$26*$B$8*(IF('XA MU'!$C$26&gt;(xm_y0T+(xm_nT-1)/2*xm_sT),2*('XA MU'!$C$26-(xm_y0T+(xm_nT-1)/2*xm_sT))/xm_sT,0)+IF('XA MU'!$D$26&gt;(xm_y0T+(xm_nT-1)/2*xm_sT),2*('XA MU'!$D$26-(xm_y0T+(xm_nT-1)/2*xm_sT))/xm_sT,0)),0),0)+IF('XA MU'!$B$27&lt;=6,'XA MU'!$E$27*$B$8*(MAX(0,1-ABS('XA MU'!$C$27-$D37)/xm_sT)+MAX(0,1-ABS('XA MU'!$D$27-$D37)/xm_sT)),0)+IF(ABS($D37-(xm_y0T+(xm_nT-1)/2*xm_sT))&lt;0.000001,IF('XA MU'!$B$27&lt;=6,'XA MU'!$E$27*$B$8*(IF('XA MU'!$C$27&gt;(xm_y0T+(xm_nT-1)/2*xm_sT),2*('XA MU'!$C$27-(xm_y0T+(xm_nT-1)/2*xm_sT))/xm_sT,0)+IF('XA MU'!$D$27&gt;(xm_y0T+(xm_nT-1)/2*xm_sT),2*('XA MU'!$D$27-(xm_y0T+(xm_nT-1)/2*xm_sT))/xm_sT,0)),0),0)+IF('XA MU'!$B$28&lt;=6,'XA MU'!$E$28*$B$8*(MAX(0,1-ABS('XA MU'!$C$28-$D37)/xm_sT)+MAX(0,1-ABS('XA MU'!$D$28-$D37)/xm_sT)),0)+IF(ABS($D37-(xm_y0T+(xm_nT-1)/2*xm_sT))&lt;0.000001,IF('XA MU'!$B$28&lt;=6,'XA MU'!$E$28*$B$8*(IF('XA MU'!$C$28&gt;(xm_y0T+(xm_nT-1)/2*xm_sT),2*('XA MU'!$C$28-(xm_y0T+(xm_nT-1)/2*xm_sT))/xm_sT,0)+IF('XA MU'!$D$28&gt;(xm_y0T+(xm_nT-1)/2*xm_sT),2*('XA MU'!$D$28-(xm_y0T+(xm_nT-1)/2*xm_sT))/xm_sT,0)),0),0)+IF('XA MU'!$B$29&lt;=6,'XA MU'!$E$29*$B$8*(MAX(0,1-ABS('XA MU'!$C$29-$D37)/xm_sT)+MAX(0,1-ABS('XA MU'!$D$29-$D37)/xm_sT)),0)+IF(ABS($D37-(xm_y0T+(xm_nT-1)/2*xm_sT))&lt;0.000001,IF('XA MU'!$B$29&lt;=6,'XA MU'!$E$29*$B$8*(IF('XA MU'!$C$29&gt;(xm_y0T+(xm_nT-1)/2*xm_sT),2*('XA MU'!$C$29-(xm_y0T+(xm_nT-1)/2*xm_sT))/xm_sT,0)+IF('XA MU'!$D$29&gt;(xm_y0T+(xm_nT-1)/2*xm_sT),2*('XA MU'!$D$29-(xm_y0T+(xm_nT-1)/2*xm_sT))/xm_sT,0)),0),0)+IF('XA MU'!$B$30&lt;=6,'XA MU'!$E$30*$B$8*(MAX(0,1-ABS('XA MU'!$C$30-$D37)/xm_sT)+MAX(0,1-ABS('XA MU'!$D$30-$D37)/xm_sT)),0)+IF(ABS($D37-(xm_y0T+(xm_nT-1)/2*xm_sT))&lt;0.000001,IF('XA MU'!$B$30&lt;=6,'XA MU'!$E$30*$B$8*(IF('XA MU'!$C$30&gt;(xm_y0T+(xm_nT-1)/2*xm_sT),2*('XA MU'!$C$30-(xm_y0T+(xm_nT-1)/2*xm_sT))/xm_sT,0)+IF('XA MU'!$D$30&gt;(xm_y0T+(xm_nT-1)/2*xm_sT),2*('XA MU'!$D$30-(xm_y0T+(xm_nT-1)/2*xm_sT))/xm_sT,0)),0),0))))</f>
        <v>0</v>
      </c>
    </row>
    <row r="38" spans="1:14" x14ac:dyDescent="0.3">
      <c r="A38" s="42" t="s">
        <v>1235</v>
      </c>
      <c r="B38" s="42">
        <v>24</v>
      </c>
      <c r="C38" s="40">
        <f t="shared" si="0"/>
        <v>0</v>
      </c>
      <c r="D38" s="44">
        <f t="shared" si="1"/>
        <v>0</v>
      </c>
      <c r="E38" s="44">
        <f>MAX(0,D38-'XA MU'!$C$8)*C38</f>
        <v>0</v>
      </c>
      <c r="F38" s="44">
        <f>IF(AND(C38=1,D38&gt;'XA MU'!$C$8),1,0)</f>
        <v>0</v>
      </c>
      <c r="G38" s="44">
        <f t="shared" si="2"/>
        <v>0</v>
      </c>
      <c r="H38" s="44">
        <f t="shared" si="3"/>
        <v>0</v>
      </c>
      <c r="I38" s="44">
        <f>IF(C38=0,0,IF(1&gt;nLan,0,1.2*(IF('XA MU'!$B$25&lt;=1,'XA MU'!$E$25*$B$8*(MAX(0,1-ABS('XA MU'!$C$25-$D38)/xm_sT)+MAX(0,1-ABS('XA MU'!$D$25-$D38)/xm_sT)),0)+IF(ABS($D38-(xm_y0T+(xm_nT-1)/2*xm_sT))&lt;0.000001,IF('XA MU'!$B$25&lt;=1,'XA MU'!$E$25*$B$8*(IF('XA MU'!$C$25&gt;(xm_y0T+(xm_nT-1)/2*xm_sT),2*('XA MU'!$C$25-(xm_y0T+(xm_nT-1)/2*xm_sT))/xm_sT,0)+IF('XA MU'!$D$25&gt;(xm_y0T+(xm_nT-1)/2*xm_sT),2*('XA MU'!$D$25-(xm_y0T+(xm_nT-1)/2*xm_sT))/xm_sT,0)),0),0)+IF('XA MU'!$B$26&lt;=1,'XA MU'!$E$26*$B$8*(MAX(0,1-ABS('XA MU'!$C$26-$D38)/xm_sT)+MAX(0,1-ABS('XA MU'!$D$26-$D38)/xm_sT)),0)+IF(ABS($D38-(xm_y0T+(xm_nT-1)/2*xm_sT))&lt;0.000001,IF('XA MU'!$B$26&lt;=1,'XA MU'!$E$26*$B$8*(IF('XA MU'!$C$26&gt;(xm_y0T+(xm_nT-1)/2*xm_sT),2*('XA MU'!$C$26-(xm_y0T+(xm_nT-1)/2*xm_sT))/xm_sT,0)+IF('XA MU'!$D$26&gt;(xm_y0T+(xm_nT-1)/2*xm_sT),2*('XA MU'!$D$26-(xm_y0T+(xm_nT-1)/2*xm_sT))/xm_sT,0)),0),0)+IF('XA MU'!$B$27&lt;=1,'XA MU'!$E$27*$B$8*(MAX(0,1-ABS('XA MU'!$C$27-$D38)/xm_sT)+MAX(0,1-ABS('XA MU'!$D$27-$D38)/xm_sT)),0)+IF(ABS($D38-(xm_y0T+(xm_nT-1)/2*xm_sT))&lt;0.000001,IF('XA MU'!$B$27&lt;=1,'XA MU'!$E$27*$B$8*(IF('XA MU'!$C$27&gt;(xm_y0T+(xm_nT-1)/2*xm_sT),2*('XA MU'!$C$27-(xm_y0T+(xm_nT-1)/2*xm_sT))/xm_sT,0)+IF('XA MU'!$D$27&gt;(xm_y0T+(xm_nT-1)/2*xm_sT),2*('XA MU'!$D$27-(xm_y0T+(xm_nT-1)/2*xm_sT))/xm_sT,0)),0),0)+IF('XA MU'!$B$28&lt;=1,'XA MU'!$E$28*$B$8*(MAX(0,1-ABS('XA MU'!$C$28-$D38)/xm_sT)+MAX(0,1-ABS('XA MU'!$D$28-$D38)/xm_sT)),0)+IF(ABS($D38-(xm_y0T+(xm_nT-1)/2*xm_sT))&lt;0.000001,IF('XA MU'!$B$28&lt;=1,'XA MU'!$E$28*$B$8*(IF('XA MU'!$C$28&gt;(xm_y0T+(xm_nT-1)/2*xm_sT),2*('XA MU'!$C$28-(xm_y0T+(xm_nT-1)/2*xm_sT))/xm_sT,0)+IF('XA MU'!$D$28&gt;(xm_y0T+(xm_nT-1)/2*xm_sT),2*('XA MU'!$D$28-(xm_y0T+(xm_nT-1)/2*xm_sT))/xm_sT,0)),0),0)+IF('XA MU'!$B$29&lt;=1,'XA MU'!$E$29*$B$8*(MAX(0,1-ABS('XA MU'!$C$29-$D38)/xm_sT)+MAX(0,1-ABS('XA MU'!$D$29-$D38)/xm_sT)),0)+IF(ABS($D38-(xm_y0T+(xm_nT-1)/2*xm_sT))&lt;0.000001,IF('XA MU'!$B$29&lt;=1,'XA MU'!$E$29*$B$8*(IF('XA MU'!$C$29&gt;(xm_y0T+(xm_nT-1)/2*xm_sT),2*('XA MU'!$C$29-(xm_y0T+(xm_nT-1)/2*xm_sT))/xm_sT,0)+IF('XA MU'!$D$29&gt;(xm_y0T+(xm_nT-1)/2*xm_sT),2*('XA MU'!$D$29-(xm_y0T+(xm_nT-1)/2*xm_sT))/xm_sT,0)),0),0)+IF('XA MU'!$B$30&lt;=1,'XA MU'!$E$30*$B$8*(MAX(0,1-ABS('XA MU'!$C$30-$D38)/xm_sT)+MAX(0,1-ABS('XA MU'!$D$30-$D38)/xm_sT)),0)+IF(ABS($D38-(xm_y0T+(xm_nT-1)/2*xm_sT))&lt;0.000001,IF('XA MU'!$B$30&lt;=1,'XA MU'!$E$30*$B$8*(IF('XA MU'!$C$30&gt;(xm_y0T+(xm_nT-1)/2*xm_sT),2*('XA MU'!$C$30-(xm_y0T+(xm_nT-1)/2*xm_sT))/xm_sT,0)+IF('XA MU'!$D$30&gt;(xm_y0T+(xm_nT-1)/2*xm_sT),2*('XA MU'!$D$30-(xm_y0T+(xm_nT-1)/2*xm_sT))/xm_sT,0)),0),0))))</f>
        <v>0</v>
      </c>
      <c r="J38" s="44">
        <f>IF(C38=0,0,IF(2&gt;nLan,0,1*(IF('XA MU'!$B$25&lt;=2,'XA MU'!$E$25*$B$8*(MAX(0,1-ABS('XA MU'!$C$25-$D38)/xm_sT)+MAX(0,1-ABS('XA MU'!$D$25-$D38)/xm_sT)),0)+IF(ABS($D38-(xm_y0T+(xm_nT-1)/2*xm_sT))&lt;0.000001,IF('XA MU'!$B$25&lt;=2,'XA MU'!$E$25*$B$8*(IF('XA MU'!$C$25&gt;(xm_y0T+(xm_nT-1)/2*xm_sT),2*('XA MU'!$C$25-(xm_y0T+(xm_nT-1)/2*xm_sT))/xm_sT,0)+IF('XA MU'!$D$25&gt;(xm_y0T+(xm_nT-1)/2*xm_sT),2*('XA MU'!$D$25-(xm_y0T+(xm_nT-1)/2*xm_sT))/xm_sT,0)),0),0)+IF('XA MU'!$B$26&lt;=2,'XA MU'!$E$26*$B$8*(MAX(0,1-ABS('XA MU'!$C$26-$D38)/xm_sT)+MAX(0,1-ABS('XA MU'!$D$26-$D38)/xm_sT)),0)+IF(ABS($D38-(xm_y0T+(xm_nT-1)/2*xm_sT))&lt;0.000001,IF('XA MU'!$B$26&lt;=2,'XA MU'!$E$26*$B$8*(IF('XA MU'!$C$26&gt;(xm_y0T+(xm_nT-1)/2*xm_sT),2*('XA MU'!$C$26-(xm_y0T+(xm_nT-1)/2*xm_sT))/xm_sT,0)+IF('XA MU'!$D$26&gt;(xm_y0T+(xm_nT-1)/2*xm_sT),2*('XA MU'!$D$26-(xm_y0T+(xm_nT-1)/2*xm_sT))/xm_sT,0)),0),0)+IF('XA MU'!$B$27&lt;=2,'XA MU'!$E$27*$B$8*(MAX(0,1-ABS('XA MU'!$C$27-$D38)/xm_sT)+MAX(0,1-ABS('XA MU'!$D$27-$D38)/xm_sT)),0)+IF(ABS($D38-(xm_y0T+(xm_nT-1)/2*xm_sT))&lt;0.000001,IF('XA MU'!$B$27&lt;=2,'XA MU'!$E$27*$B$8*(IF('XA MU'!$C$27&gt;(xm_y0T+(xm_nT-1)/2*xm_sT),2*('XA MU'!$C$27-(xm_y0T+(xm_nT-1)/2*xm_sT))/xm_sT,0)+IF('XA MU'!$D$27&gt;(xm_y0T+(xm_nT-1)/2*xm_sT),2*('XA MU'!$D$27-(xm_y0T+(xm_nT-1)/2*xm_sT))/xm_sT,0)),0),0)+IF('XA MU'!$B$28&lt;=2,'XA MU'!$E$28*$B$8*(MAX(0,1-ABS('XA MU'!$C$28-$D38)/xm_sT)+MAX(0,1-ABS('XA MU'!$D$28-$D38)/xm_sT)),0)+IF(ABS($D38-(xm_y0T+(xm_nT-1)/2*xm_sT))&lt;0.000001,IF('XA MU'!$B$28&lt;=2,'XA MU'!$E$28*$B$8*(IF('XA MU'!$C$28&gt;(xm_y0T+(xm_nT-1)/2*xm_sT),2*('XA MU'!$C$28-(xm_y0T+(xm_nT-1)/2*xm_sT))/xm_sT,0)+IF('XA MU'!$D$28&gt;(xm_y0T+(xm_nT-1)/2*xm_sT),2*('XA MU'!$D$28-(xm_y0T+(xm_nT-1)/2*xm_sT))/xm_sT,0)),0),0)+IF('XA MU'!$B$29&lt;=2,'XA MU'!$E$29*$B$8*(MAX(0,1-ABS('XA MU'!$C$29-$D38)/xm_sT)+MAX(0,1-ABS('XA MU'!$D$29-$D38)/xm_sT)),0)+IF(ABS($D38-(xm_y0T+(xm_nT-1)/2*xm_sT))&lt;0.000001,IF('XA MU'!$B$29&lt;=2,'XA MU'!$E$29*$B$8*(IF('XA MU'!$C$29&gt;(xm_y0T+(xm_nT-1)/2*xm_sT),2*('XA MU'!$C$29-(xm_y0T+(xm_nT-1)/2*xm_sT))/xm_sT,0)+IF('XA MU'!$D$29&gt;(xm_y0T+(xm_nT-1)/2*xm_sT),2*('XA MU'!$D$29-(xm_y0T+(xm_nT-1)/2*xm_sT))/xm_sT,0)),0),0)+IF('XA MU'!$B$30&lt;=2,'XA MU'!$E$30*$B$8*(MAX(0,1-ABS('XA MU'!$C$30-$D38)/xm_sT)+MAX(0,1-ABS('XA MU'!$D$30-$D38)/xm_sT)),0)+IF(ABS($D38-(xm_y0T+(xm_nT-1)/2*xm_sT))&lt;0.000001,IF('XA MU'!$B$30&lt;=2,'XA MU'!$E$30*$B$8*(IF('XA MU'!$C$30&gt;(xm_y0T+(xm_nT-1)/2*xm_sT),2*('XA MU'!$C$30-(xm_y0T+(xm_nT-1)/2*xm_sT))/xm_sT,0)+IF('XA MU'!$D$30&gt;(xm_y0T+(xm_nT-1)/2*xm_sT),2*('XA MU'!$D$30-(xm_y0T+(xm_nT-1)/2*xm_sT))/xm_sT,0)),0),0))))</f>
        <v>0</v>
      </c>
      <c r="K38" s="44">
        <f>IF(C38=0,0,IF(3&gt;nLan,0,0.85*(IF('XA MU'!$B$25&lt;=3,'XA MU'!$E$25*$B$8*(MAX(0,1-ABS('XA MU'!$C$25-$D38)/xm_sT)+MAX(0,1-ABS('XA MU'!$D$25-$D38)/xm_sT)),0)+IF(ABS($D38-(xm_y0T+(xm_nT-1)/2*xm_sT))&lt;0.000001,IF('XA MU'!$B$25&lt;=3,'XA MU'!$E$25*$B$8*(IF('XA MU'!$C$25&gt;(xm_y0T+(xm_nT-1)/2*xm_sT),2*('XA MU'!$C$25-(xm_y0T+(xm_nT-1)/2*xm_sT))/xm_sT,0)+IF('XA MU'!$D$25&gt;(xm_y0T+(xm_nT-1)/2*xm_sT),2*('XA MU'!$D$25-(xm_y0T+(xm_nT-1)/2*xm_sT))/xm_sT,0)),0),0)+IF('XA MU'!$B$26&lt;=3,'XA MU'!$E$26*$B$8*(MAX(0,1-ABS('XA MU'!$C$26-$D38)/xm_sT)+MAX(0,1-ABS('XA MU'!$D$26-$D38)/xm_sT)),0)+IF(ABS($D38-(xm_y0T+(xm_nT-1)/2*xm_sT))&lt;0.000001,IF('XA MU'!$B$26&lt;=3,'XA MU'!$E$26*$B$8*(IF('XA MU'!$C$26&gt;(xm_y0T+(xm_nT-1)/2*xm_sT),2*('XA MU'!$C$26-(xm_y0T+(xm_nT-1)/2*xm_sT))/xm_sT,0)+IF('XA MU'!$D$26&gt;(xm_y0T+(xm_nT-1)/2*xm_sT),2*('XA MU'!$D$26-(xm_y0T+(xm_nT-1)/2*xm_sT))/xm_sT,0)),0),0)+IF('XA MU'!$B$27&lt;=3,'XA MU'!$E$27*$B$8*(MAX(0,1-ABS('XA MU'!$C$27-$D38)/xm_sT)+MAX(0,1-ABS('XA MU'!$D$27-$D38)/xm_sT)),0)+IF(ABS($D38-(xm_y0T+(xm_nT-1)/2*xm_sT))&lt;0.000001,IF('XA MU'!$B$27&lt;=3,'XA MU'!$E$27*$B$8*(IF('XA MU'!$C$27&gt;(xm_y0T+(xm_nT-1)/2*xm_sT),2*('XA MU'!$C$27-(xm_y0T+(xm_nT-1)/2*xm_sT))/xm_sT,0)+IF('XA MU'!$D$27&gt;(xm_y0T+(xm_nT-1)/2*xm_sT),2*('XA MU'!$D$27-(xm_y0T+(xm_nT-1)/2*xm_sT))/xm_sT,0)),0),0)+IF('XA MU'!$B$28&lt;=3,'XA MU'!$E$28*$B$8*(MAX(0,1-ABS('XA MU'!$C$28-$D38)/xm_sT)+MAX(0,1-ABS('XA MU'!$D$28-$D38)/xm_sT)),0)+IF(ABS($D38-(xm_y0T+(xm_nT-1)/2*xm_sT))&lt;0.000001,IF('XA MU'!$B$28&lt;=3,'XA MU'!$E$28*$B$8*(IF('XA MU'!$C$28&gt;(xm_y0T+(xm_nT-1)/2*xm_sT),2*('XA MU'!$C$28-(xm_y0T+(xm_nT-1)/2*xm_sT))/xm_sT,0)+IF('XA MU'!$D$28&gt;(xm_y0T+(xm_nT-1)/2*xm_sT),2*('XA MU'!$D$28-(xm_y0T+(xm_nT-1)/2*xm_sT))/xm_sT,0)),0),0)+IF('XA MU'!$B$29&lt;=3,'XA MU'!$E$29*$B$8*(MAX(0,1-ABS('XA MU'!$C$29-$D38)/xm_sT)+MAX(0,1-ABS('XA MU'!$D$29-$D38)/xm_sT)),0)+IF(ABS($D38-(xm_y0T+(xm_nT-1)/2*xm_sT))&lt;0.000001,IF('XA MU'!$B$29&lt;=3,'XA MU'!$E$29*$B$8*(IF('XA MU'!$C$29&gt;(xm_y0T+(xm_nT-1)/2*xm_sT),2*('XA MU'!$C$29-(xm_y0T+(xm_nT-1)/2*xm_sT))/xm_sT,0)+IF('XA MU'!$D$29&gt;(xm_y0T+(xm_nT-1)/2*xm_sT),2*('XA MU'!$D$29-(xm_y0T+(xm_nT-1)/2*xm_sT))/xm_sT,0)),0),0)+IF('XA MU'!$B$30&lt;=3,'XA MU'!$E$30*$B$8*(MAX(0,1-ABS('XA MU'!$C$30-$D38)/xm_sT)+MAX(0,1-ABS('XA MU'!$D$30-$D38)/xm_sT)),0)+IF(ABS($D38-(xm_y0T+(xm_nT-1)/2*xm_sT))&lt;0.000001,IF('XA MU'!$B$30&lt;=3,'XA MU'!$E$30*$B$8*(IF('XA MU'!$C$30&gt;(xm_y0T+(xm_nT-1)/2*xm_sT),2*('XA MU'!$C$30-(xm_y0T+(xm_nT-1)/2*xm_sT))/xm_sT,0)+IF('XA MU'!$D$30&gt;(xm_y0T+(xm_nT-1)/2*xm_sT),2*('XA MU'!$D$30-(xm_y0T+(xm_nT-1)/2*xm_sT))/xm_sT,0)),0),0))))</f>
        <v>0</v>
      </c>
      <c r="L38" s="44">
        <f>IF(C38=0,0,IF(4&gt;nLan,0,0.65*(IF('XA MU'!$B$25&lt;=4,'XA MU'!$E$25*$B$8*(MAX(0,1-ABS('XA MU'!$C$25-$D38)/xm_sT)+MAX(0,1-ABS('XA MU'!$D$25-$D38)/xm_sT)),0)+IF(ABS($D38-(xm_y0T+(xm_nT-1)/2*xm_sT))&lt;0.000001,IF('XA MU'!$B$25&lt;=4,'XA MU'!$E$25*$B$8*(IF('XA MU'!$C$25&gt;(xm_y0T+(xm_nT-1)/2*xm_sT),2*('XA MU'!$C$25-(xm_y0T+(xm_nT-1)/2*xm_sT))/xm_sT,0)+IF('XA MU'!$D$25&gt;(xm_y0T+(xm_nT-1)/2*xm_sT),2*('XA MU'!$D$25-(xm_y0T+(xm_nT-1)/2*xm_sT))/xm_sT,0)),0),0)+IF('XA MU'!$B$26&lt;=4,'XA MU'!$E$26*$B$8*(MAX(0,1-ABS('XA MU'!$C$26-$D38)/xm_sT)+MAX(0,1-ABS('XA MU'!$D$26-$D38)/xm_sT)),0)+IF(ABS($D38-(xm_y0T+(xm_nT-1)/2*xm_sT))&lt;0.000001,IF('XA MU'!$B$26&lt;=4,'XA MU'!$E$26*$B$8*(IF('XA MU'!$C$26&gt;(xm_y0T+(xm_nT-1)/2*xm_sT),2*('XA MU'!$C$26-(xm_y0T+(xm_nT-1)/2*xm_sT))/xm_sT,0)+IF('XA MU'!$D$26&gt;(xm_y0T+(xm_nT-1)/2*xm_sT),2*('XA MU'!$D$26-(xm_y0T+(xm_nT-1)/2*xm_sT))/xm_sT,0)),0),0)+IF('XA MU'!$B$27&lt;=4,'XA MU'!$E$27*$B$8*(MAX(0,1-ABS('XA MU'!$C$27-$D38)/xm_sT)+MAX(0,1-ABS('XA MU'!$D$27-$D38)/xm_sT)),0)+IF(ABS($D38-(xm_y0T+(xm_nT-1)/2*xm_sT))&lt;0.000001,IF('XA MU'!$B$27&lt;=4,'XA MU'!$E$27*$B$8*(IF('XA MU'!$C$27&gt;(xm_y0T+(xm_nT-1)/2*xm_sT),2*('XA MU'!$C$27-(xm_y0T+(xm_nT-1)/2*xm_sT))/xm_sT,0)+IF('XA MU'!$D$27&gt;(xm_y0T+(xm_nT-1)/2*xm_sT),2*('XA MU'!$D$27-(xm_y0T+(xm_nT-1)/2*xm_sT))/xm_sT,0)),0),0)+IF('XA MU'!$B$28&lt;=4,'XA MU'!$E$28*$B$8*(MAX(0,1-ABS('XA MU'!$C$28-$D38)/xm_sT)+MAX(0,1-ABS('XA MU'!$D$28-$D38)/xm_sT)),0)+IF(ABS($D38-(xm_y0T+(xm_nT-1)/2*xm_sT))&lt;0.000001,IF('XA MU'!$B$28&lt;=4,'XA MU'!$E$28*$B$8*(IF('XA MU'!$C$28&gt;(xm_y0T+(xm_nT-1)/2*xm_sT),2*('XA MU'!$C$28-(xm_y0T+(xm_nT-1)/2*xm_sT))/xm_sT,0)+IF('XA MU'!$D$28&gt;(xm_y0T+(xm_nT-1)/2*xm_sT),2*('XA MU'!$D$28-(xm_y0T+(xm_nT-1)/2*xm_sT))/xm_sT,0)),0),0)+IF('XA MU'!$B$29&lt;=4,'XA MU'!$E$29*$B$8*(MAX(0,1-ABS('XA MU'!$C$29-$D38)/xm_sT)+MAX(0,1-ABS('XA MU'!$D$29-$D38)/xm_sT)),0)+IF(ABS($D38-(xm_y0T+(xm_nT-1)/2*xm_sT))&lt;0.000001,IF('XA MU'!$B$29&lt;=4,'XA MU'!$E$29*$B$8*(IF('XA MU'!$C$29&gt;(xm_y0T+(xm_nT-1)/2*xm_sT),2*('XA MU'!$C$29-(xm_y0T+(xm_nT-1)/2*xm_sT))/xm_sT,0)+IF('XA MU'!$D$29&gt;(xm_y0T+(xm_nT-1)/2*xm_sT),2*('XA MU'!$D$29-(xm_y0T+(xm_nT-1)/2*xm_sT))/xm_sT,0)),0),0)+IF('XA MU'!$B$30&lt;=4,'XA MU'!$E$30*$B$8*(MAX(0,1-ABS('XA MU'!$C$30-$D38)/xm_sT)+MAX(0,1-ABS('XA MU'!$D$30-$D38)/xm_sT)),0)+IF(ABS($D38-(xm_y0T+(xm_nT-1)/2*xm_sT))&lt;0.000001,IF('XA MU'!$B$30&lt;=4,'XA MU'!$E$30*$B$8*(IF('XA MU'!$C$30&gt;(xm_y0T+(xm_nT-1)/2*xm_sT),2*('XA MU'!$C$30-(xm_y0T+(xm_nT-1)/2*xm_sT))/xm_sT,0)+IF('XA MU'!$D$30&gt;(xm_y0T+(xm_nT-1)/2*xm_sT),2*('XA MU'!$D$30-(xm_y0T+(xm_nT-1)/2*xm_sT))/xm_sT,0)),0),0))))</f>
        <v>0</v>
      </c>
      <c r="M38" s="44">
        <f>IF(C38=0,0,IF(5&gt;nLan,0,0.65*(IF('XA MU'!$B$25&lt;=5,'XA MU'!$E$25*$B$8*(MAX(0,1-ABS('XA MU'!$C$25-$D38)/xm_sT)+MAX(0,1-ABS('XA MU'!$D$25-$D38)/xm_sT)),0)+IF(ABS($D38-(xm_y0T+(xm_nT-1)/2*xm_sT))&lt;0.000001,IF('XA MU'!$B$25&lt;=5,'XA MU'!$E$25*$B$8*(IF('XA MU'!$C$25&gt;(xm_y0T+(xm_nT-1)/2*xm_sT),2*('XA MU'!$C$25-(xm_y0T+(xm_nT-1)/2*xm_sT))/xm_sT,0)+IF('XA MU'!$D$25&gt;(xm_y0T+(xm_nT-1)/2*xm_sT),2*('XA MU'!$D$25-(xm_y0T+(xm_nT-1)/2*xm_sT))/xm_sT,0)),0),0)+IF('XA MU'!$B$26&lt;=5,'XA MU'!$E$26*$B$8*(MAX(0,1-ABS('XA MU'!$C$26-$D38)/xm_sT)+MAX(0,1-ABS('XA MU'!$D$26-$D38)/xm_sT)),0)+IF(ABS($D38-(xm_y0T+(xm_nT-1)/2*xm_sT))&lt;0.000001,IF('XA MU'!$B$26&lt;=5,'XA MU'!$E$26*$B$8*(IF('XA MU'!$C$26&gt;(xm_y0T+(xm_nT-1)/2*xm_sT),2*('XA MU'!$C$26-(xm_y0T+(xm_nT-1)/2*xm_sT))/xm_sT,0)+IF('XA MU'!$D$26&gt;(xm_y0T+(xm_nT-1)/2*xm_sT),2*('XA MU'!$D$26-(xm_y0T+(xm_nT-1)/2*xm_sT))/xm_sT,0)),0),0)+IF('XA MU'!$B$27&lt;=5,'XA MU'!$E$27*$B$8*(MAX(0,1-ABS('XA MU'!$C$27-$D38)/xm_sT)+MAX(0,1-ABS('XA MU'!$D$27-$D38)/xm_sT)),0)+IF(ABS($D38-(xm_y0T+(xm_nT-1)/2*xm_sT))&lt;0.000001,IF('XA MU'!$B$27&lt;=5,'XA MU'!$E$27*$B$8*(IF('XA MU'!$C$27&gt;(xm_y0T+(xm_nT-1)/2*xm_sT),2*('XA MU'!$C$27-(xm_y0T+(xm_nT-1)/2*xm_sT))/xm_sT,0)+IF('XA MU'!$D$27&gt;(xm_y0T+(xm_nT-1)/2*xm_sT),2*('XA MU'!$D$27-(xm_y0T+(xm_nT-1)/2*xm_sT))/xm_sT,0)),0),0)+IF('XA MU'!$B$28&lt;=5,'XA MU'!$E$28*$B$8*(MAX(0,1-ABS('XA MU'!$C$28-$D38)/xm_sT)+MAX(0,1-ABS('XA MU'!$D$28-$D38)/xm_sT)),0)+IF(ABS($D38-(xm_y0T+(xm_nT-1)/2*xm_sT))&lt;0.000001,IF('XA MU'!$B$28&lt;=5,'XA MU'!$E$28*$B$8*(IF('XA MU'!$C$28&gt;(xm_y0T+(xm_nT-1)/2*xm_sT),2*('XA MU'!$C$28-(xm_y0T+(xm_nT-1)/2*xm_sT))/xm_sT,0)+IF('XA MU'!$D$28&gt;(xm_y0T+(xm_nT-1)/2*xm_sT),2*('XA MU'!$D$28-(xm_y0T+(xm_nT-1)/2*xm_sT))/xm_sT,0)),0),0)+IF('XA MU'!$B$29&lt;=5,'XA MU'!$E$29*$B$8*(MAX(0,1-ABS('XA MU'!$C$29-$D38)/xm_sT)+MAX(0,1-ABS('XA MU'!$D$29-$D38)/xm_sT)),0)+IF(ABS($D38-(xm_y0T+(xm_nT-1)/2*xm_sT))&lt;0.000001,IF('XA MU'!$B$29&lt;=5,'XA MU'!$E$29*$B$8*(IF('XA MU'!$C$29&gt;(xm_y0T+(xm_nT-1)/2*xm_sT),2*('XA MU'!$C$29-(xm_y0T+(xm_nT-1)/2*xm_sT))/xm_sT,0)+IF('XA MU'!$D$29&gt;(xm_y0T+(xm_nT-1)/2*xm_sT),2*('XA MU'!$D$29-(xm_y0T+(xm_nT-1)/2*xm_sT))/xm_sT,0)),0),0)+IF('XA MU'!$B$30&lt;=5,'XA MU'!$E$30*$B$8*(MAX(0,1-ABS('XA MU'!$C$30-$D38)/xm_sT)+MAX(0,1-ABS('XA MU'!$D$30-$D38)/xm_sT)),0)+IF(ABS($D38-(xm_y0T+(xm_nT-1)/2*xm_sT))&lt;0.000001,IF('XA MU'!$B$30&lt;=5,'XA MU'!$E$30*$B$8*(IF('XA MU'!$C$30&gt;(xm_y0T+(xm_nT-1)/2*xm_sT),2*('XA MU'!$C$30-(xm_y0T+(xm_nT-1)/2*xm_sT))/xm_sT,0)+IF('XA MU'!$D$30&gt;(xm_y0T+(xm_nT-1)/2*xm_sT),2*('XA MU'!$D$30-(xm_y0T+(xm_nT-1)/2*xm_sT))/xm_sT,0)),0),0))))</f>
        <v>0</v>
      </c>
      <c r="N38" s="44">
        <f>IF(C38=0,0,IF(6&gt;nLan,0,0.65*(IF('XA MU'!$B$25&lt;=6,'XA MU'!$E$25*$B$8*(MAX(0,1-ABS('XA MU'!$C$25-$D38)/xm_sT)+MAX(0,1-ABS('XA MU'!$D$25-$D38)/xm_sT)),0)+IF(ABS($D38-(xm_y0T+(xm_nT-1)/2*xm_sT))&lt;0.000001,IF('XA MU'!$B$25&lt;=6,'XA MU'!$E$25*$B$8*(IF('XA MU'!$C$25&gt;(xm_y0T+(xm_nT-1)/2*xm_sT),2*('XA MU'!$C$25-(xm_y0T+(xm_nT-1)/2*xm_sT))/xm_sT,0)+IF('XA MU'!$D$25&gt;(xm_y0T+(xm_nT-1)/2*xm_sT),2*('XA MU'!$D$25-(xm_y0T+(xm_nT-1)/2*xm_sT))/xm_sT,0)),0),0)+IF('XA MU'!$B$26&lt;=6,'XA MU'!$E$26*$B$8*(MAX(0,1-ABS('XA MU'!$C$26-$D38)/xm_sT)+MAX(0,1-ABS('XA MU'!$D$26-$D38)/xm_sT)),0)+IF(ABS($D38-(xm_y0T+(xm_nT-1)/2*xm_sT))&lt;0.000001,IF('XA MU'!$B$26&lt;=6,'XA MU'!$E$26*$B$8*(IF('XA MU'!$C$26&gt;(xm_y0T+(xm_nT-1)/2*xm_sT),2*('XA MU'!$C$26-(xm_y0T+(xm_nT-1)/2*xm_sT))/xm_sT,0)+IF('XA MU'!$D$26&gt;(xm_y0T+(xm_nT-1)/2*xm_sT),2*('XA MU'!$D$26-(xm_y0T+(xm_nT-1)/2*xm_sT))/xm_sT,0)),0),0)+IF('XA MU'!$B$27&lt;=6,'XA MU'!$E$27*$B$8*(MAX(0,1-ABS('XA MU'!$C$27-$D38)/xm_sT)+MAX(0,1-ABS('XA MU'!$D$27-$D38)/xm_sT)),0)+IF(ABS($D38-(xm_y0T+(xm_nT-1)/2*xm_sT))&lt;0.000001,IF('XA MU'!$B$27&lt;=6,'XA MU'!$E$27*$B$8*(IF('XA MU'!$C$27&gt;(xm_y0T+(xm_nT-1)/2*xm_sT),2*('XA MU'!$C$27-(xm_y0T+(xm_nT-1)/2*xm_sT))/xm_sT,0)+IF('XA MU'!$D$27&gt;(xm_y0T+(xm_nT-1)/2*xm_sT),2*('XA MU'!$D$27-(xm_y0T+(xm_nT-1)/2*xm_sT))/xm_sT,0)),0),0)+IF('XA MU'!$B$28&lt;=6,'XA MU'!$E$28*$B$8*(MAX(0,1-ABS('XA MU'!$C$28-$D38)/xm_sT)+MAX(0,1-ABS('XA MU'!$D$28-$D38)/xm_sT)),0)+IF(ABS($D38-(xm_y0T+(xm_nT-1)/2*xm_sT))&lt;0.000001,IF('XA MU'!$B$28&lt;=6,'XA MU'!$E$28*$B$8*(IF('XA MU'!$C$28&gt;(xm_y0T+(xm_nT-1)/2*xm_sT),2*('XA MU'!$C$28-(xm_y0T+(xm_nT-1)/2*xm_sT))/xm_sT,0)+IF('XA MU'!$D$28&gt;(xm_y0T+(xm_nT-1)/2*xm_sT),2*('XA MU'!$D$28-(xm_y0T+(xm_nT-1)/2*xm_sT))/xm_sT,0)),0),0)+IF('XA MU'!$B$29&lt;=6,'XA MU'!$E$29*$B$8*(MAX(0,1-ABS('XA MU'!$C$29-$D38)/xm_sT)+MAX(0,1-ABS('XA MU'!$D$29-$D38)/xm_sT)),0)+IF(ABS($D38-(xm_y0T+(xm_nT-1)/2*xm_sT))&lt;0.000001,IF('XA MU'!$B$29&lt;=6,'XA MU'!$E$29*$B$8*(IF('XA MU'!$C$29&gt;(xm_y0T+(xm_nT-1)/2*xm_sT),2*('XA MU'!$C$29-(xm_y0T+(xm_nT-1)/2*xm_sT))/xm_sT,0)+IF('XA MU'!$D$29&gt;(xm_y0T+(xm_nT-1)/2*xm_sT),2*('XA MU'!$D$29-(xm_y0T+(xm_nT-1)/2*xm_sT))/xm_sT,0)),0),0)+IF('XA MU'!$B$30&lt;=6,'XA MU'!$E$30*$B$8*(MAX(0,1-ABS('XA MU'!$C$30-$D38)/xm_sT)+MAX(0,1-ABS('XA MU'!$D$30-$D38)/xm_sT)),0)+IF(ABS($D38-(xm_y0T+(xm_nT-1)/2*xm_sT))&lt;0.000001,IF('XA MU'!$B$30&lt;=6,'XA MU'!$E$30*$B$8*(IF('XA MU'!$C$30&gt;(xm_y0T+(xm_nT-1)/2*xm_sT),2*('XA MU'!$C$30-(xm_y0T+(xm_nT-1)/2*xm_sT))/xm_sT,0)+IF('XA MU'!$D$30&gt;(xm_y0T+(xm_nT-1)/2*xm_sT),2*('XA MU'!$D$30-(xm_y0T+(xm_nT-1)/2*xm_sT))/xm_sT,0)),0),0))))</f>
        <v>0</v>
      </c>
    </row>
    <row r="39" spans="1:14" x14ac:dyDescent="0.3">
      <c r="A39" s="42" t="s">
        <v>1235</v>
      </c>
      <c r="B39" s="42">
        <v>25</v>
      </c>
      <c r="C39" s="40">
        <f t="shared" si="0"/>
        <v>0</v>
      </c>
      <c r="D39" s="44">
        <f t="shared" si="1"/>
        <v>0</v>
      </c>
      <c r="E39" s="44">
        <f>MAX(0,D39-'XA MU'!$C$8)*C39</f>
        <v>0</v>
      </c>
      <c r="F39" s="44">
        <f>IF(AND(C39=1,D39&gt;'XA MU'!$C$8),1,0)</f>
        <v>0</v>
      </c>
      <c r="G39" s="44">
        <f t="shared" si="2"/>
        <v>0</v>
      </c>
      <c r="H39" s="44">
        <f t="shared" si="3"/>
        <v>0</v>
      </c>
      <c r="I39" s="44">
        <f>IF(C39=0,0,IF(1&gt;nLan,0,1.2*(IF('XA MU'!$B$25&lt;=1,'XA MU'!$E$25*$B$8*(MAX(0,1-ABS('XA MU'!$C$25-$D39)/xm_sT)+MAX(0,1-ABS('XA MU'!$D$25-$D39)/xm_sT)),0)+IF(ABS($D39-(xm_y0T+(xm_nT-1)/2*xm_sT))&lt;0.000001,IF('XA MU'!$B$25&lt;=1,'XA MU'!$E$25*$B$8*(IF('XA MU'!$C$25&gt;(xm_y0T+(xm_nT-1)/2*xm_sT),2*('XA MU'!$C$25-(xm_y0T+(xm_nT-1)/2*xm_sT))/xm_sT,0)+IF('XA MU'!$D$25&gt;(xm_y0T+(xm_nT-1)/2*xm_sT),2*('XA MU'!$D$25-(xm_y0T+(xm_nT-1)/2*xm_sT))/xm_sT,0)),0),0)+IF('XA MU'!$B$26&lt;=1,'XA MU'!$E$26*$B$8*(MAX(0,1-ABS('XA MU'!$C$26-$D39)/xm_sT)+MAX(0,1-ABS('XA MU'!$D$26-$D39)/xm_sT)),0)+IF(ABS($D39-(xm_y0T+(xm_nT-1)/2*xm_sT))&lt;0.000001,IF('XA MU'!$B$26&lt;=1,'XA MU'!$E$26*$B$8*(IF('XA MU'!$C$26&gt;(xm_y0T+(xm_nT-1)/2*xm_sT),2*('XA MU'!$C$26-(xm_y0T+(xm_nT-1)/2*xm_sT))/xm_sT,0)+IF('XA MU'!$D$26&gt;(xm_y0T+(xm_nT-1)/2*xm_sT),2*('XA MU'!$D$26-(xm_y0T+(xm_nT-1)/2*xm_sT))/xm_sT,0)),0),0)+IF('XA MU'!$B$27&lt;=1,'XA MU'!$E$27*$B$8*(MAX(0,1-ABS('XA MU'!$C$27-$D39)/xm_sT)+MAX(0,1-ABS('XA MU'!$D$27-$D39)/xm_sT)),0)+IF(ABS($D39-(xm_y0T+(xm_nT-1)/2*xm_sT))&lt;0.000001,IF('XA MU'!$B$27&lt;=1,'XA MU'!$E$27*$B$8*(IF('XA MU'!$C$27&gt;(xm_y0T+(xm_nT-1)/2*xm_sT),2*('XA MU'!$C$27-(xm_y0T+(xm_nT-1)/2*xm_sT))/xm_sT,0)+IF('XA MU'!$D$27&gt;(xm_y0T+(xm_nT-1)/2*xm_sT),2*('XA MU'!$D$27-(xm_y0T+(xm_nT-1)/2*xm_sT))/xm_sT,0)),0),0)+IF('XA MU'!$B$28&lt;=1,'XA MU'!$E$28*$B$8*(MAX(0,1-ABS('XA MU'!$C$28-$D39)/xm_sT)+MAX(0,1-ABS('XA MU'!$D$28-$D39)/xm_sT)),0)+IF(ABS($D39-(xm_y0T+(xm_nT-1)/2*xm_sT))&lt;0.000001,IF('XA MU'!$B$28&lt;=1,'XA MU'!$E$28*$B$8*(IF('XA MU'!$C$28&gt;(xm_y0T+(xm_nT-1)/2*xm_sT),2*('XA MU'!$C$28-(xm_y0T+(xm_nT-1)/2*xm_sT))/xm_sT,0)+IF('XA MU'!$D$28&gt;(xm_y0T+(xm_nT-1)/2*xm_sT),2*('XA MU'!$D$28-(xm_y0T+(xm_nT-1)/2*xm_sT))/xm_sT,0)),0),0)+IF('XA MU'!$B$29&lt;=1,'XA MU'!$E$29*$B$8*(MAX(0,1-ABS('XA MU'!$C$29-$D39)/xm_sT)+MAX(0,1-ABS('XA MU'!$D$29-$D39)/xm_sT)),0)+IF(ABS($D39-(xm_y0T+(xm_nT-1)/2*xm_sT))&lt;0.000001,IF('XA MU'!$B$29&lt;=1,'XA MU'!$E$29*$B$8*(IF('XA MU'!$C$29&gt;(xm_y0T+(xm_nT-1)/2*xm_sT),2*('XA MU'!$C$29-(xm_y0T+(xm_nT-1)/2*xm_sT))/xm_sT,0)+IF('XA MU'!$D$29&gt;(xm_y0T+(xm_nT-1)/2*xm_sT),2*('XA MU'!$D$29-(xm_y0T+(xm_nT-1)/2*xm_sT))/xm_sT,0)),0),0)+IF('XA MU'!$B$30&lt;=1,'XA MU'!$E$30*$B$8*(MAX(0,1-ABS('XA MU'!$C$30-$D39)/xm_sT)+MAX(0,1-ABS('XA MU'!$D$30-$D39)/xm_sT)),0)+IF(ABS($D39-(xm_y0T+(xm_nT-1)/2*xm_sT))&lt;0.000001,IF('XA MU'!$B$30&lt;=1,'XA MU'!$E$30*$B$8*(IF('XA MU'!$C$30&gt;(xm_y0T+(xm_nT-1)/2*xm_sT),2*('XA MU'!$C$30-(xm_y0T+(xm_nT-1)/2*xm_sT))/xm_sT,0)+IF('XA MU'!$D$30&gt;(xm_y0T+(xm_nT-1)/2*xm_sT),2*('XA MU'!$D$30-(xm_y0T+(xm_nT-1)/2*xm_sT))/xm_sT,0)),0),0))))</f>
        <v>0</v>
      </c>
      <c r="J39" s="44">
        <f>IF(C39=0,0,IF(2&gt;nLan,0,1*(IF('XA MU'!$B$25&lt;=2,'XA MU'!$E$25*$B$8*(MAX(0,1-ABS('XA MU'!$C$25-$D39)/xm_sT)+MAX(0,1-ABS('XA MU'!$D$25-$D39)/xm_sT)),0)+IF(ABS($D39-(xm_y0T+(xm_nT-1)/2*xm_sT))&lt;0.000001,IF('XA MU'!$B$25&lt;=2,'XA MU'!$E$25*$B$8*(IF('XA MU'!$C$25&gt;(xm_y0T+(xm_nT-1)/2*xm_sT),2*('XA MU'!$C$25-(xm_y0T+(xm_nT-1)/2*xm_sT))/xm_sT,0)+IF('XA MU'!$D$25&gt;(xm_y0T+(xm_nT-1)/2*xm_sT),2*('XA MU'!$D$25-(xm_y0T+(xm_nT-1)/2*xm_sT))/xm_sT,0)),0),0)+IF('XA MU'!$B$26&lt;=2,'XA MU'!$E$26*$B$8*(MAX(0,1-ABS('XA MU'!$C$26-$D39)/xm_sT)+MAX(0,1-ABS('XA MU'!$D$26-$D39)/xm_sT)),0)+IF(ABS($D39-(xm_y0T+(xm_nT-1)/2*xm_sT))&lt;0.000001,IF('XA MU'!$B$26&lt;=2,'XA MU'!$E$26*$B$8*(IF('XA MU'!$C$26&gt;(xm_y0T+(xm_nT-1)/2*xm_sT),2*('XA MU'!$C$26-(xm_y0T+(xm_nT-1)/2*xm_sT))/xm_sT,0)+IF('XA MU'!$D$26&gt;(xm_y0T+(xm_nT-1)/2*xm_sT),2*('XA MU'!$D$26-(xm_y0T+(xm_nT-1)/2*xm_sT))/xm_sT,0)),0),0)+IF('XA MU'!$B$27&lt;=2,'XA MU'!$E$27*$B$8*(MAX(0,1-ABS('XA MU'!$C$27-$D39)/xm_sT)+MAX(0,1-ABS('XA MU'!$D$27-$D39)/xm_sT)),0)+IF(ABS($D39-(xm_y0T+(xm_nT-1)/2*xm_sT))&lt;0.000001,IF('XA MU'!$B$27&lt;=2,'XA MU'!$E$27*$B$8*(IF('XA MU'!$C$27&gt;(xm_y0T+(xm_nT-1)/2*xm_sT),2*('XA MU'!$C$27-(xm_y0T+(xm_nT-1)/2*xm_sT))/xm_sT,0)+IF('XA MU'!$D$27&gt;(xm_y0T+(xm_nT-1)/2*xm_sT),2*('XA MU'!$D$27-(xm_y0T+(xm_nT-1)/2*xm_sT))/xm_sT,0)),0),0)+IF('XA MU'!$B$28&lt;=2,'XA MU'!$E$28*$B$8*(MAX(0,1-ABS('XA MU'!$C$28-$D39)/xm_sT)+MAX(0,1-ABS('XA MU'!$D$28-$D39)/xm_sT)),0)+IF(ABS($D39-(xm_y0T+(xm_nT-1)/2*xm_sT))&lt;0.000001,IF('XA MU'!$B$28&lt;=2,'XA MU'!$E$28*$B$8*(IF('XA MU'!$C$28&gt;(xm_y0T+(xm_nT-1)/2*xm_sT),2*('XA MU'!$C$28-(xm_y0T+(xm_nT-1)/2*xm_sT))/xm_sT,0)+IF('XA MU'!$D$28&gt;(xm_y0T+(xm_nT-1)/2*xm_sT),2*('XA MU'!$D$28-(xm_y0T+(xm_nT-1)/2*xm_sT))/xm_sT,0)),0),0)+IF('XA MU'!$B$29&lt;=2,'XA MU'!$E$29*$B$8*(MAX(0,1-ABS('XA MU'!$C$29-$D39)/xm_sT)+MAX(0,1-ABS('XA MU'!$D$29-$D39)/xm_sT)),0)+IF(ABS($D39-(xm_y0T+(xm_nT-1)/2*xm_sT))&lt;0.000001,IF('XA MU'!$B$29&lt;=2,'XA MU'!$E$29*$B$8*(IF('XA MU'!$C$29&gt;(xm_y0T+(xm_nT-1)/2*xm_sT),2*('XA MU'!$C$29-(xm_y0T+(xm_nT-1)/2*xm_sT))/xm_sT,0)+IF('XA MU'!$D$29&gt;(xm_y0T+(xm_nT-1)/2*xm_sT),2*('XA MU'!$D$29-(xm_y0T+(xm_nT-1)/2*xm_sT))/xm_sT,0)),0),0)+IF('XA MU'!$B$30&lt;=2,'XA MU'!$E$30*$B$8*(MAX(0,1-ABS('XA MU'!$C$30-$D39)/xm_sT)+MAX(0,1-ABS('XA MU'!$D$30-$D39)/xm_sT)),0)+IF(ABS($D39-(xm_y0T+(xm_nT-1)/2*xm_sT))&lt;0.000001,IF('XA MU'!$B$30&lt;=2,'XA MU'!$E$30*$B$8*(IF('XA MU'!$C$30&gt;(xm_y0T+(xm_nT-1)/2*xm_sT),2*('XA MU'!$C$30-(xm_y0T+(xm_nT-1)/2*xm_sT))/xm_sT,0)+IF('XA MU'!$D$30&gt;(xm_y0T+(xm_nT-1)/2*xm_sT),2*('XA MU'!$D$30-(xm_y0T+(xm_nT-1)/2*xm_sT))/xm_sT,0)),0),0))))</f>
        <v>0</v>
      </c>
      <c r="K39" s="44">
        <f>IF(C39=0,0,IF(3&gt;nLan,0,0.85*(IF('XA MU'!$B$25&lt;=3,'XA MU'!$E$25*$B$8*(MAX(0,1-ABS('XA MU'!$C$25-$D39)/xm_sT)+MAX(0,1-ABS('XA MU'!$D$25-$D39)/xm_sT)),0)+IF(ABS($D39-(xm_y0T+(xm_nT-1)/2*xm_sT))&lt;0.000001,IF('XA MU'!$B$25&lt;=3,'XA MU'!$E$25*$B$8*(IF('XA MU'!$C$25&gt;(xm_y0T+(xm_nT-1)/2*xm_sT),2*('XA MU'!$C$25-(xm_y0T+(xm_nT-1)/2*xm_sT))/xm_sT,0)+IF('XA MU'!$D$25&gt;(xm_y0T+(xm_nT-1)/2*xm_sT),2*('XA MU'!$D$25-(xm_y0T+(xm_nT-1)/2*xm_sT))/xm_sT,0)),0),0)+IF('XA MU'!$B$26&lt;=3,'XA MU'!$E$26*$B$8*(MAX(0,1-ABS('XA MU'!$C$26-$D39)/xm_sT)+MAX(0,1-ABS('XA MU'!$D$26-$D39)/xm_sT)),0)+IF(ABS($D39-(xm_y0T+(xm_nT-1)/2*xm_sT))&lt;0.000001,IF('XA MU'!$B$26&lt;=3,'XA MU'!$E$26*$B$8*(IF('XA MU'!$C$26&gt;(xm_y0T+(xm_nT-1)/2*xm_sT),2*('XA MU'!$C$26-(xm_y0T+(xm_nT-1)/2*xm_sT))/xm_sT,0)+IF('XA MU'!$D$26&gt;(xm_y0T+(xm_nT-1)/2*xm_sT),2*('XA MU'!$D$26-(xm_y0T+(xm_nT-1)/2*xm_sT))/xm_sT,0)),0),0)+IF('XA MU'!$B$27&lt;=3,'XA MU'!$E$27*$B$8*(MAX(0,1-ABS('XA MU'!$C$27-$D39)/xm_sT)+MAX(0,1-ABS('XA MU'!$D$27-$D39)/xm_sT)),0)+IF(ABS($D39-(xm_y0T+(xm_nT-1)/2*xm_sT))&lt;0.000001,IF('XA MU'!$B$27&lt;=3,'XA MU'!$E$27*$B$8*(IF('XA MU'!$C$27&gt;(xm_y0T+(xm_nT-1)/2*xm_sT),2*('XA MU'!$C$27-(xm_y0T+(xm_nT-1)/2*xm_sT))/xm_sT,0)+IF('XA MU'!$D$27&gt;(xm_y0T+(xm_nT-1)/2*xm_sT),2*('XA MU'!$D$27-(xm_y0T+(xm_nT-1)/2*xm_sT))/xm_sT,0)),0),0)+IF('XA MU'!$B$28&lt;=3,'XA MU'!$E$28*$B$8*(MAX(0,1-ABS('XA MU'!$C$28-$D39)/xm_sT)+MAX(0,1-ABS('XA MU'!$D$28-$D39)/xm_sT)),0)+IF(ABS($D39-(xm_y0T+(xm_nT-1)/2*xm_sT))&lt;0.000001,IF('XA MU'!$B$28&lt;=3,'XA MU'!$E$28*$B$8*(IF('XA MU'!$C$28&gt;(xm_y0T+(xm_nT-1)/2*xm_sT),2*('XA MU'!$C$28-(xm_y0T+(xm_nT-1)/2*xm_sT))/xm_sT,0)+IF('XA MU'!$D$28&gt;(xm_y0T+(xm_nT-1)/2*xm_sT),2*('XA MU'!$D$28-(xm_y0T+(xm_nT-1)/2*xm_sT))/xm_sT,0)),0),0)+IF('XA MU'!$B$29&lt;=3,'XA MU'!$E$29*$B$8*(MAX(0,1-ABS('XA MU'!$C$29-$D39)/xm_sT)+MAX(0,1-ABS('XA MU'!$D$29-$D39)/xm_sT)),0)+IF(ABS($D39-(xm_y0T+(xm_nT-1)/2*xm_sT))&lt;0.000001,IF('XA MU'!$B$29&lt;=3,'XA MU'!$E$29*$B$8*(IF('XA MU'!$C$29&gt;(xm_y0T+(xm_nT-1)/2*xm_sT),2*('XA MU'!$C$29-(xm_y0T+(xm_nT-1)/2*xm_sT))/xm_sT,0)+IF('XA MU'!$D$29&gt;(xm_y0T+(xm_nT-1)/2*xm_sT),2*('XA MU'!$D$29-(xm_y0T+(xm_nT-1)/2*xm_sT))/xm_sT,0)),0),0)+IF('XA MU'!$B$30&lt;=3,'XA MU'!$E$30*$B$8*(MAX(0,1-ABS('XA MU'!$C$30-$D39)/xm_sT)+MAX(0,1-ABS('XA MU'!$D$30-$D39)/xm_sT)),0)+IF(ABS($D39-(xm_y0T+(xm_nT-1)/2*xm_sT))&lt;0.000001,IF('XA MU'!$B$30&lt;=3,'XA MU'!$E$30*$B$8*(IF('XA MU'!$C$30&gt;(xm_y0T+(xm_nT-1)/2*xm_sT),2*('XA MU'!$C$30-(xm_y0T+(xm_nT-1)/2*xm_sT))/xm_sT,0)+IF('XA MU'!$D$30&gt;(xm_y0T+(xm_nT-1)/2*xm_sT),2*('XA MU'!$D$30-(xm_y0T+(xm_nT-1)/2*xm_sT))/xm_sT,0)),0),0))))</f>
        <v>0</v>
      </c>
      <c r="L39" s="44">
        <f>IF(C39=0,0,IF(4&gt;nLan,0,0.65*(IF('XA MU'!$B$25&lt;=4,'XA MU'!$E$25*$B$8*(MAX(0,1-ABS('XA MU'!$C$25-$D39)/xm_sT)+MAX(0,1-ABS('XA MU'!$D$25-$D39)/xm_sT)),0)+IF(ABS($D39-(xm_y0T+(xm_nT-1)/2*xm_sT))&lt;0.000001,IF('XA MU'!$B$25&lt;=4,'XA MU'!$E$25*$B$8*(IF('XA MU'!$C$25&gt;(xm_y0T+(xm_nT-1)/2*xm_sT),2*('XA MU'!$C$25-(xm_y0T+(xm_nT-1)/2*xm_sT))/xm_sT,0)+IF('XA MU'!$D$25&gt;(xm_y0T+(xm_nT-1)/2*xm_sT),2*('XA MU'!$D$25-(xm_y0T+(xm_nT-1)/2*xm_sT))/xm_sT,0)),0),0)+IF('XA MU'!$B$26&lt;=4,'XA MU'!$E$26*$B$8*(MAX(0,1-ABS('XA MU'!$C$26-$D39)/xm_sT)+MAX(0,1-ABS('XA MU'!$D$26-$D39)/xm_sT)),0)+IF(ABS($D39-(xm_y0T+(xm_nT-1)/2*xm_sT))&lt;0.000001,IF('XA MU'!$B$26&lt;=4,'XA MU'!$E$26*$B$8*(IF('XA MU'!$C$26&gt;(xm_y0T+(xm_nT-1)/2*xm_sT),2*('XA MU'!$C$26-(xm_y0T+(xm_nT-1)/2*xm_sT))/xm_sT,0)+IF('XA MU'!$D$26&gt;(xm_y0T+(xm_nT-1)/2*xm_sT),2*('XA MU'!$D$26-(xm_y0T+(xm_nT-1)/2*xm_sT))/xm_sT,0)),0),0)+IF('XA MU'!$B$27&lt;=4,'XA MU'!$E$27*$B$8*(MAX(0,1-ABS('XA MU'!$C$27-$D39)/xm_sT)+MAX(0,1-ABS('XA MU'!$D$27-$D39)/xm_sT)),0)+IF(ABS($D39-(xm_y0T+(xm_nT-1)/2*xm_sT))&lt;0.000001,IF('XA MU'!$B$27&lt;=4,'XA MU'!$E$27*$B$8*(IF('XA MU'!$C$27&gt;(xm_y0T+(xm_nT-1)/2*xm_sT),2*('XA MU'!$C$27-(xm_y0T+(xm_nT-1)/2*xm_sT))/xm_sT,0)+IF('XA MU'!$D$27&gt;(xm_y0T+(xm_nT-1)/2*xm_sT),2*('XA MU'!$D$27-(xm_y0T+(xm_nT-1)/2*xm_sT))/xm_sT,0)),0),0)+IF('XA MU'!$B$28&lt;=4,'XA MU'!$E$28*$B$8*(MAX(0,1-ABS('XA MU'!$C$28-$D39)/xm_sT)+MAX(0,1-ABS('XA MU'!$D$28-$D39)/xm_sT)),0)+IF(ABS($D39-(xm_y0T+(xm_nT-1)/2*xm_sT))&lt;0.000001,IF('XA MU'!$B$28&lt;=4,'XA MU'!$E$28*$B$8*(IF('XA MU'!$C$28&gt;(xm_y0T+(xm_nT-1)/2*xm_sT),2*('XA MU'!$C$28-(xm_y0T+(xm_nT-1)/2*xm_sT))/xm_sT,0)+IF('XA MU'!$D$28&gt;(xm_y0T+(xm_nT-1)/2*xm_sT),2*('XA MU'!$D$28-(xm_y0T+(xm_nT-1)/2*xm_sT))/xm_sT,0)),0),0)+IF('XA MU'!$B$29&lt;=4,'XA MU'!$E$29*$B$8*(MAX(0,1-ABS('XA MU'!$C$29-$D39)/xm_sT)+MAX(0,1-ABS('XA MU'!$D$29-$D39)/xm_sT)),0)+IF(ABS($D39-(xm_y0T+(xm_nT-1)/2*xm_sT))&lt;0.000001,IF('XA MU'!$B$29&lt;=4,'XA MU'!$E$29*$B$8*(IF('XA MU'!$C$29&gt;(xm_y0T+(xm_nT-1)/2*xm_sT),2*('XA MU'!$C$29-(xm_y0T+(xm_nT-1)/2*xm_sT))/xm_sT,0)+IF('XA MU'!$D$29&gt;(xm_y0T+(xm_nT-1)/2*xm_sT),2*('XA MU'!$D$29-(xm_y0T+(xm_nT-1)/2*xm_sT))/xm_sT,0)),0),0)+IF('XA MU'!$B$30&lt;=4,'XA MU'!$E$30*$B$8*(MAX(0,1-ABS('XA MU'!$C$30-$D39)/xm_sT)+MAX(0,1-ABS('XA MU'!$D$30-$D39)/xm_sT)),0)+IF(ABS($D39-(xm_y0T+(xm_nT-1)/2*xm_sT))&lt;0.000001,IF('XA MU'!$B$30&lt;=4,'XA MU'!$E$30*$B$8*(IF('XA MU'!$C$30&gt;(xm_y0T+(xm_nT-1)/2*xm_sT),2*('XA MU'!$C$30-(xm_y0T+(xm_nT-1)/2*xm_sT))/xm_sT,0)+IF('XA MU'!$D$30&gt;(xm_y0T+(xm_nT-1)/2*xm_sT),2*('XA MU'!$D$30-(xm_y0T+(xm_nT-1)/2*xm_sT))/xm_sT,0)),0),0))))</f>
        <v>0</v>
      </c>
      <c r="M39" s="44">
        <f>IF(C39=0,0,IF(5&gt;nLan,0,0.65*(IF('XA MU'!$B$25&lt;=5,'XA MU'!$E$25*$B$8*(MAX(0,1-ABS('XA MU'!$C$25-$D39)/xm_sT)+MAX(0,1-ABS('XA MU'!$D$25-$D39)/xm_sT)),0)+IF(ABS($D39-(xm_y0T+(xm_nT-1)/2*xm_sT))&lt;0.000001,IF('XA MU'!$B$25&lt;=5,'XA MU'!$E$25*$B$8*(IF('XA MU'!$C$25&gt;(xm_y0T+(xm_nT-1)/2*xm_sT),2*('XA MU'!$C$25-(xm_y0T+(xm_nT-1)/2*xm_sT))/xm_sT,0)+IF('XA MU'!$D$25&gt;(xm_y0T+(xm_nT-1)/2*xm_sT),2*('XA MU'!$D$25-(xm_y0T+(xm_nT-1)/2*xm_sT))/xm_sT,0)),0),0)+IF('XA MU'!$B$26&lt;=5,'XA MU'!$E$26*$B$8*(MAX(0,1-ABS('XA MU'!$C$26-$D39)/xm_sT)+MAX(0,1-ABS('XA MU'!$D$26-$D39)/xm_sT)),0)+IF(ABS($D39-(xm_y0T+(xm_nT-1)/2*xm_sT))&lt;0.000001,IF('XA MU'!$B$26&lt;=5,'XA MU'!$E$26*$B$8*(IF('XA MU'!$C$26&gt;(xm_y0T+(xm_nT-1)/2*xm_sT),2*('XA MU'!$C$26-(xm_y0T+(xm_nT-1)/2*xm_sT))/xm_sT,0)+IF('XA MU'!$D$26&gt;(xm_y0T+(xm_nT-1)/2*xm_sT),2*('XA MU'!$D$26-(xm_y0T+(xm_nT-1)/2*xm_sT))/xm_sT,0)),0),0)+IF('XA MU'!$B$27&lt;=5,'XA MU'!$E$27*$B$8*(MAX(0,1-ABS('XA MU'!$C$27-$D39)/xm_sT)+MAX(0,1-ABS('XA MU'!$D$27-$D39)/xm_sT)),0)+IF(ABS($D39-(xm_y0T+(xm_nT-1)/2*xm_sT))&lt;0.000001,IF('XA MU'!$B$27&lt;=5,'XA MU'!$E$27*$B$8*(IF('XA MU'!$C$27&gt;(xm_y0T+(xm_nT-1)/2*xm_sT),2*('XA MU'!$C$27-(xm_y0T+(xm_nT-1)/2*xm_sT))/xm_sT,0)+IF('XA MU'!$D$27&gt;(xm_y0T+(xm_nT-1)/2*xm_sT),2*('XA MU'!$D$27-(xm_y0T+(xm_nT-1)/2*xm_sT))/xm_sT,0)),0),0)+IF('XA MU'!$B$28&lt;=5,'XA MU'!$E$28*$B$8*(MAX(0,1-ABS('XA MU'!$C$28-$D39)/xm_sT)+MAX(0,1-ABS('XA MU'!$D$28-$D39)/xm_sT)),0)+IF(ABS($D39-(xm_y0T+(xm_nT-1)/2*xm_sT))&lt;0.000001,IF('XA MU'!$B$28&lt;=5,'XA MU'!$E$28*$B$8*(IF('XA MU'!$C$28&gt;(xm_y0T+(xm_nT-1)/2*xm_sT),2*('XA MU'!$C$28-(xm_y0T+(xm_nT-1)/2*xm_sT))/xm_sT,0)+IF('XA MU'!$D$28&gt;(xm_y0T+(xm_nT-1)/2*xm_sT),2*('XA MU'!$D$28-(xm_y0T+(xm_nT-1)/2*xm_sT))/xm_sT,0)),0),0)+IF('XA MU'!$B$29&lt;=5,'XA MU'!$E$29*$B$8*(MAX(0,1-ABS('XA MU'!$C$29-$D39)/xm_sT)+MAX(0,1-ABS('XA MU'!$D$29-$D39)/xm_sT)),0)+IF(ABS($D39-(xm_y0T+(xm_nT-1)/2*xm_sT))&lt;0.000001,IF('XA MU'!$B$29&lt;=5,'XA MU'!$E$29*$B$8*(IF('XA MU'!$C$29&gt;(xm_y0T+(xm_nT-1)/2*xm_sT),2*('XA MU'!$C$29-(xm_y0T+(xm_nT-1)/2*xm_sT))/xm_sT,0)+IF('XA MU'!$D$29&gt;(xm_y0T+(xm_nT-1)/2*xm_sT),2*('XA MU'!$D$29-(xm_y0T+(xm_nT-1)/2*xm_sT))/xm_sT,0)),0),0)+IF('XA MU'!$B$30&lt;=5,'XA MU'!$E$30*$B$8*(MAX(0,1-ABS('XA MU'!$C$30-$D39)/xm_sT)+MAX(0,1-ABS('XA MU'!$D$30-$D39)/xm_sT)),0)+IF(ABS($D39-(xm_y0T+(xm_nT-1)/2*xm_sT))&lt;0.000001,IF('XA MU'!$B$30&lt;=5,'XA MU'!$E$30*$B$8*(IF('XA MU'!$C$30&gt;(xm_y0T+(xm_nT-1)/2*xm_sT),2*('XA MU'!$C$30-(xm_y0T+(xm_nT-1)/2*xm_sT))/xm_sT,0)+IF('XA MU'!$D$30&gt;(xm_y0T+(xm_nT-1)/2*xm_sT),2*('XA MU'!$D$30-(xm_y0T+(xm_nT-1)/2*xm_sT))/xm_sT,0)),0),0))))</f>
        <v>0</v>
      </c>
      <c r="N39" s="44">
        <f>IF(C39=0,0,IF(6&gt;nLan,0,0.65*(IF('XA MU'!$B$25&lt;=6,'XA MU'!$E$25*$B$8*(MAX(0,1-ABS('XA MU'!$C$25-$D39)/xm_sT)+MAX(0,1-ABS('XA MU'!$D$25-$D39)/xm_sT)),0)+IF(ABS($D39-(xm_y0T+(xm_nT-1)/2*xm_sT))&lt;0.000001,IF('XA MU'!$B$25&lt;=6,'XA MU'!$E$25*$B$8*(IF('XA MU'!$C$25&gt;(xm_y0T+(xm_nT-1)/2*xm_sT),2*('XA MU'!$C$25-(xm_y0T+(xm_nT-1)/2*xm_sT))/xm_sT,0)+IF('XA MU'!$D$25&gt;(xm_y0T+(xm_nT-1)/2*xm_sT),2*('XA MU'!$D$25-(xm_y0T+(xm_nT-1)/2*xm_sT))/xm_sT,0)),0),0)+IF('XA MU'!$B$26&lt;=6,'XA MU'!$E$26*$B$8*(MAX(0,1-ABS('XA MU'!$C$26-$D39)/xm_sT)+MAX(0,1-ABS('XA MU'!$D$26-$D39)/xm_sT)),0)+IF(ABS($D39-(xm_y0T+(xm_nT-1)/2*xm_sT))&lt;0.000001,IF('XA MU'!$B$26&lt;=6,'XA MU'!$E$26*$B$8*(IF('XA MU'!$C$26&gt;(xm_y0T+(xm_nT-1)/2*xm_sT),2*('XA MU'!$C$26-(xm_y0T+(xm_nT-1)/2*xm_sT))/xm_sT,0)+IF('XA MU'!$D$26&gt;(xm_y0T+(xm_nT-1)/2*xm_sT),2*('XA MU'!$D$26-(xm_y0T+(xm_nT-1)/2*xm_sT))/xm_sT,0)),0),0)+IF('XA MU'!$B$27&lt;=6,'XA MU'!$E$27*$B$8*(MAX(0,1-ABS('XA MU'!$C$27-$D39)/xm_sT)+MAX(0,1-ABS('XA MU'!$D$27-$D39)/xm_sT)),0)+IF(ABS($D39-(xm_y0T+(xm_nT-1)/2*xm_sT))&lt;0.000001,IF('XA MU'!$B$27&lt;=6,'XA MU'!$E$27*$B$8*(IF('XA MU'!$C$27&gt;(xm_y0T+(xm_nT-1)/2*xm_sT),2*('XA MU'!$C$27-(xm_y0T+(xm_nT-1)/2*xm_sT))/xm_sT,0)+IF('XA MU'!$D$27&gt;(xm_y0T+(xm_nT-1)/2*xm_sT),2*('XA MU'!$D$27-(xm_y0T+(xm_nT-1)/2*xm_sT))/xm_sT,0)),0),0)+IF('XA MU'!$B$28&lt;=6,'XA MU'!$E$28*$B$8*(MAX(0,1-ABS('XA MU'!$C$28-$D39)/xm_sT)+MAX(0,1-ABS('XA MU'!$D$28-$D39)/xm_sT)),0)+IF(ABS($D39-(xm_y0T+(xm_nT-1)/2*xm_sT))&lt;0.000001,IF('XA MU'!$B$28&lt;=6,'XA MU'!$E$28*$B$8*(IF('XA MU'!$C$28&gt;(xm_y0T+(xm_nT-1)/2*xm_sT),2*('XA MU'!$C$28-(xm_y0T+(xm_nT-1)/2*xm_sT))/xm_sT,0)+IF('XA MU'!$D$28&gt;(xm_y0T+(xm_nT-1)/2*xm_sT),2*('XA MU'!$D$28-(xm_y0T+(xm_nT-1)/2*xm_sT))/xm_sT,0)),0),0)+IF('XA MU'!$B$29&lt;=6,'XA MU'!$E$29*$B$8*(MAX(0,1-ABS('XA MU'!$C$29-$D39)/xm_sT)+MAX(0,1-ABS('XA MU'!$D$29-$D39)/xm_sT)),0)+IF(ABS($D39-(xm_y0T+(xm_nT-1)/2*xm_sT))&lt;0.000001,IF('XA MU'!$B$29&lt;=6,'XA MU'!$E$29*$B$8*(IF('XA MU'!$C$29&gt;(xm_y0T+(xm_nT-1)/2*xm_sT),2*('XA MU'!$C$29-(xm_y0T+(xm_nT-1)/2*xm_sT))/xm_sT,0)+IF('XA MU'!$D$29&gt;(xm_y0T+(xm_nT-1)/2*xm_sT),2*('XA MU'!$D$29-(xm_y0T+(xm_nT-1)/2*xm_sT))/xm_sT,0)),0),0)+IF('XA MU'!$B$30&lt;=6,'XA MU'!$E$30*$B$8*(MAX(0,1-ABS('XA MU'!$C$30-$D39)/xm_sT)+MAX(0,1-ABS('XA MU'!$D$30-$D39)/xm_sT)),0)+IF(ABS($D39-(xm_y0T+(xm_nT-1)/2*xm_sT))&lt;0.000001,IF('XA MU'!$B$30&lt;=6,'XA MU'!$E$30*$B$8*(IF('XA MU'!$C$30&gt;(xm_y0T+(xm_nT-1)/2*xm_sT),2*('XA MU'!$C$30-(xm_y0T+(xm_nT-1)/2*xm_sT))/xm_sT,0)+IF('XA MU'!$D$30&gt;(xm_y0T+(xm_nT-1)/2*xm_sT),2*('XA MU'!$D$30-(xm_y0T+(xm_nT-1)/2*xm_sT))/xm_sT,0)),0),0))))</f>
        <v>0</v>
      </c>
    </row>
    <row r="40" spans="1:14" x14ac:dyDescent="0.3">
      <c r="A40" s="42" t="s">
        <v>1235</v>
      </c>
      <c r="B40" s="42">
        <v>26</v>
      </c>
      <c r="C40" s="40">
        <f t="shared" si="0"/>
        <v>0</v>
      </c>
      <c r="D40" s="44">
        <f t="shared" si="1"/>
        <v>0</v>
      </c>
      <c r="E40" s="44">
        <f>MAX(0,D40-'XA MU'!$C$8)*C40</f>
        <v>0</v>
      </c>
      <c r="F40" s="44">
        <f>IF(AND(C40=1,D40&gt;'XA MU'!$C$8),1,0)</f>
        <v>0</v>
      </c>
      <c r="G40" s="44">
        <f t="shared" si="2"/>
        <v>0</v>
      </c>
      <c r="H40" s="44">
        <f t="shared" si="3"/>
        <v>0</v>
      </c>
      <c r="I40" s="44">
        <f>IF(C40=0,0,IF(1&gt;nLan,0,1.2*(IF('XA MU'!$B$25&lt;=1,'XA MU'!$E$25*$B$8*(MAX(0,1-ABS('XA MU'!$C$25-$D40)/xm_sT)+MAX(0,1-ABS('XA MU'!$D$25-$D40)/xm_sT)),0)+IF(ABS($D40-(xm_y0T+(xm_nT-1)/2*xm_sT))&lt;0.000001,IF('XA MU'!$B$25&lt;=1,'XA MU'!$E$25*$B$8*(IF('XA MU'!$C$25&gt;(xm_y0T+(xm_nT-1)/2*xm_sT),2*('XA MU'!$C$25-(xm_y0T+(xm_nT-1)/2*xm_sT))/xm_sT,0)+IF('XA MU'!$D$25&gt;(xm_y0T+(xm_nT-1)/2*xm_sT),2*('XA MU'!$D$25-(xm_y0T+(xm_nT-1)/2*xm_sT))/xm_sT,0)),0),0)+IF('XA MU'!$B$26&lt;=1,'XA MU'!$E$26*$B$8*(MAX(0,1-ABS('XA MU'!$C$26-$D40)/xm_sT)+MAX(0,1-ABS('XA MU'!$D$26-$D40)/xm_sT)),0)+IF(ABS($D40-(xm_y0T+(xm_nT-1)/2*xm_sT))&lt;0.000001,IF('XA MU'!$B$26&lt;=1,'XA MU'!$E$26*$B$8*(IF('XA MU'!$C$26&gt;(xm_y0T+(xm_nT-1)/2*xm_sT),2*('XA MU'!$C$26-(xm_y0T+(xm_nT-1)/2*xm_sT))/xm_sT,0)+IF('XA MU'!$D$26&gt;(xm_y0T+(xm_nT-1)/2*xm_sT),2*('XA MU'!$D$26-(xm_y0T+(xm_nT-1)/2*xm_sT))/xm_sT,0)),0),0)+IF('XA MU'!$B$27&lt;=1,'XA MU'!$E$27*$B$8*(MAX(0,1-ABS('XA MU'!$C$27-$D40)/xm_sT)+MAX(0,1-ABS('XA MU'!$D$27-$D40)/xm_sT)),0)+IF(ABS($D40-(xm_y0T+(xm_nT-1)/2*xm_sT))&lt;0.000001,IF('XA MU'!$B$27&lt;=1,'XA MU'!$E$27*$B$8*(IF('XA MU'!$C$27&gt;(xm_y0T+(xm_nT-1)/2*xm_sT),2*('XA MU'!$C$27-(xm_y0T+(xm_nT-1)/2*xm_sT))/xm_sT,0)+IF('XA MU'!$D$27&gt;(xm_y0T+(xm_nT-1)/2*xm_sT),2*('XA MU'!$D$27-(xm_y0T+(xm_nT-1)/2*xm_sT))/xm_sT,0)),0),0)+IF('XA MU'!$B$28&lt;=1,'XA MU'!$E$28*$B$8*(MAX(0,1-ABS('XA MU'!$C$28-$D40)/xm_sT)+MAX(0,1-ABS('XA MU'!$D$28-$D40)/xm_sT)),0)+IF(ABS($D40-(xm_y0T+(xm_nT-1)/2*xm_sT))&lt;0.000001,IF('XA MU'!$B$28&lt;=1,'XA MU'!$E$28*$B$8*(IF('XA MU'!$C$28&gt;(xm_y0T+(xm_nT-1)/2*xm_sT),2*('XA MU'!$C$28-(xm_y0T+(xm_nT-1)/2*xm_sT))/xm_sT,0)+IF('XA MU'!$D$28&gt;(xm_y0T+(xm_nT-1)/2*xm_sT),2*('XA MU'!$D$28-(xm_y0T+(xm_nT-1)/2*xm_sT))/xm_sT,0)),0),0)+IF('XA MU'!$B$29&lt;=1,'XA MU'!$E$29*$B$8*(MAX(0,1-ABS('XA MU'!$C$29-$D40)/xm_sT)+MAX(0,1-ABS('XA MU'!$D$29-$D40)/xm_sT)),0)+IF(ABS($D40-(xm_y0T+(xm_nT-1)/2*xm_sT))&lt;0.000001,IF('XA MU'!$B$29&lt;=1,'XA MU'!$E$29*$B$8*(IF('XA MU'!$C$29&gt;(xm_y0T+(xm_nT-1)/2*xm_sT),2*('XA MU'!$C$29-(xm_y0T+(xm_nT-1)/2*xm_sT))/xm_sT,0)+IF('XA MU'!$D$29&gt;(xm_y0T+(xm_nT-1)/2*xm_sT),2*('XA MU'!$D$29-(xm_y0T+(xm_nT-1)/2*xm_sT))/xm_sT,0)),0),0)+IF('XA MU'!$B$30&lt;=1,'XA MU'!$E$30*$B$8*(MAX(0,1-ABS('XA MU'!$C$30-$D40)/xm_sT)+MAX(0,1-ABS('XA MU'!$D$30-$D40)/xm_sT)),0)+IF(ABS($D40-(xm_y0T+(xm_nT-1)/2*xm_sT))&lt;0.000001,IF('XA MU'!$B$30&lt;=1,'XA MU'!$E$30*$B$8*(IF('XA MU'!$C$30&gt;(xm_y0T+(xm_nT-1)/2*xm_sT),2*('XA MU'!$C$30-(xm_y0T+(xm_nT-1)/2*xm_sT))/xm_sT,0)+IF('XA MU'!$D$30&gt;(xm_y0T+(xm_nT-1)/2*xm_sT),2*('XA MU'!$D$30-(xm_y0T+(xm_nT-1)/2*xm_sT))/xm_sT,0)),0),0))))</f>
        <v>0</v>
      </c>
      <c r="J40" s="44">
        <f>IF(C40=0,0,IF(2&gt;nLan,0,1*(IF('XA MU'!$B$25&lt;=2,'XA MU'!$E$25*$B$8*(MAX(0,1-ABS('XA MU'!$C$25-$D40)/xm_sT)+MAX(0,1-ABS('XA MU'!$D$25-$D40)/xm_sT)),0)+IF(ABS($D40-(xm_y0T+(xm_nT-1)/2*xm_sT))&lt;0.000001,IF('XA MU'!$B$25&lt;=2,'XA MU'!$E$25*$B$8*(IF('XA MU'!$C$25&gt;(xm_y0T+(xm_nT-1)/2*xm_sT),2*('XA MU'!$C$25-(xm_y0T+(xm_nT-1)/2*xm_sT))/xm_sT,0)+IF('XA MU'!$D$25&gt;(xm_y0T+(xm_nT-1)/2*xm_sT),2*('XA MU'!$D$25-(xm_y0T+(xm_nT-1)/2*xm_sT))/xm_sT,0)),0),0)+IF('XA MU'!$B$26&lt;=2,'XA MU'!$E$26*$B$8*(MAX(0,1-ABS('XA MU'!$C$26-$D40)/xm_sT)+MAX(0,1-ABS('XA MU'!$D$26-$D40)/xm_sT)),0)+IF(ABS($D40-(xm_y0T+(xm_nT-1)/2*xm_sT))&lt;0.000001,IF('XA MU'!$B$26&lt;=2,'XA MU'!$E$26*$B$8*(IF('XA MU'!$C$26&gt;(xm_y0T+(xm_nT-1)/2*xm_sT),2*('XA MU'!$C$26-(xm_y0T+(xm_nT-1)/2*xm_sT))/xm_sT,0)+IF('XA MU'!$D$26&gt;(xm_y0T+(xm_nT-1)/2*xm_sT),2*('XA MU'!$D$26-(xm_y0T+(xm_nT-1)/2*xm_sT))/xm_sT,0)),0),0)+IF('XA MU'!$B$27&lt;=2,'XA MU'!$E$27*$B$8*(MAX(0,1-ABS('XA MU'!$C$27-$D40)/xm_sT)+MAX(0,1-ABS('XA MU'!$D$27-$D40)/xm_sT)),0)+IF(ABS($D40-(xm_y0T+(xm_nT-1)/2*xm_sT))&lt;0.000001,IF('XA MU'!$B$27&lt;=2,'XA MU'!$E$27*$B$8*(IF('XA MU'!$C$27&gt;(xm_y0T+(xm_nT-1)/2*xm_sT),2*('XA MU'!$C$27-(xm_y0T+(xm_nT-1)/2*xm_sT))/xm_sT,0)+IF('XA MU'!$D$27&gt;(xm_y0T+(xm_nT-1)/2*xm_sT),2*('XA MU'!$D$27-(xm_y0T+(xm_nT-1)/2*xm_sT))/xm_sT,0)),0),0)+IF('XA MU'!$B$28&lt;=2,'XA MU'!$E$28*$B$8*(MAX(0,1-ABS('XA MU'!$C$28-$D40)/xm_sT)+MAX(0,1-ABS('XA MU'!$D$28-$D40)/xm_sT)),0)+IF(ABS($D40-(xm_y0T+(xm_nT-1)/2*xm_sT))&lt;0.000001,IF('XA MU'!$B$28&lt;=2,'XA MU'!$E$28*$B$8*(IF('XA MU'!$C$28&gt;(xm_y0T+(xm_nT-1)/2*xm_sT),2*('XA MU'!$C$28-(xm_y0T+(xm_nT-1)/2*xm_sT))/xm_sT,0)+IF('XA MU'!$D$28&gt;(xm_y0T+(xm_nT-1)/2*xm_sT),2*('XA MU'!$D$28-(xm_y0T+(xm_nT-1)/2*xm_sT))/xm_sT,0)),0),0)+IF('XA MU'!$B$29&lt;=2,'XA MU'!$E$29*$B$8*(MAX(0,1-ABS('XA MU'!$C$29-$D40)/xm_sT)+MAX(0,1-ABS('XA MU'!$D$29-$D40)/xm_sT)),0)+IF(ABS($D40-(xm_y0T+(xm_nT-1)/2*xm_sT))&lt;0.000001,IF('XA MU'!$B$29&lt;=2,'XA MU'!$E$29*$B$8*(IF('XA MU'!$C$29&gt;(xm_y0T+(xm_nT-1)/2*xm_sT),2*('XA MU'!$C$29-(xm_y0T+(xm_nT-1)/2*xm_sT))/xm_sT,0)+IF('XA MU'!$D$29&gt;(xm_y0T+(xm_nT-1)/2*xm_sT),2*('XA MU'!$D$29-(xm_y0T+(xm_nT-1)/2*xm_sT))/xm_sT,0)),0),0)+IF('XA MU'!$B$30&lt;=2,'XA MU'!$E$30*$B$8*(MAX(0,1-ABS('XA MU'!$C$30-$D40)/xm_sT)+MAX(0,1-ABS('XA MU'!$D$30-$D40)/xm_sT)),0)+IF(ABS($D40-(xm_y0T+(xm_nT-1)/2*xm_sT))&lt;0.000001,IF('XA MU'!$B$30&lt;=2,'XA MU'!$E$30*$B$8*(IF('XA MU'!$C$30&gt;(xm_y0T+(xm_nT-1)/2*xm_sT),2*('XA MU'!$C$30-(xm_y0T+(xm_nT-1)/2*xm_sT))/xm_sT,0)+IF('XA MU'!$D$30&gt;(xm_y0T+(xm_nT-1)/2*xm_sT),2*('XA MU'!$D$30-(xm_y0T+(xm_nT-1)/2*xm_sT))/xm_sT,0)),0),0))))</f>
        <v>0</v>
      </c>
      <c r="K40" s="44">
        <f>IF(C40=0,0,IF(3&gt;nLan,0,0.85*(IF('XA MU'!$B$25&lt;=3,'XA MU'!$E$25*$B$8*(MAX(0,1-ABS('XA MU'!$C$25-$D40)/xm_sT)+MAX(0,1-ABS('XA MU'!$D$25-$D40)/xm_sT)),0)+IF(ABS($D40-(xm_y0T+(xm_nT-1)/2*xm_sT))&lt;0.000001,IF('XA MU'!$B$25&lt;=3,'XA MU'!$E$25*$B$8*(IF('XA MU'!$C$25&gt;(xm_y0T+(xm_nT-1)/2*xm_sT),2*('XA MU'!$C$25-(xm_y0T+(xm_nT-1)/2*xm_sT))/xm_sT,0)+IF('XA MU'!$D$25&gt;(xm_y0T+(xm_nT-1)/2*xm_sT),2*('XA MU'!$D$25-(xm_y0T+(xm_nT-1)/2*xm_sT))/xm_sT,0)),0),0)+IF('XA MU'!$B$26&lt;=3,'XA MU'!$E$26*$B$8*(MAX(0,1-ABS('XA MU'!$C$26-$D40)/xm_sT)+MAX(0,1-ABS('XA MU'!$D$26-$D40)/xm_sT)),0)+IF(ABS($D40-(xm_y0T+(xm_nT-1)/2*xm_sT))&lt;0.000001,IF('XA MU'!$B$26&lt;=3,'XA MU'!$E$26*$B$8*(IF('XA MU'!$C$26&gt;(xm_y0T+(xm_nT-1)/2*xm_sT),2*('XA MU'!$C$26-(xm_y0T+(xm_nT-1)/2*xm_sT))/xm_sT,0)+IF('XA MU'!$D$26&gt;(xm_y0T+(xm_nT-1)/2*xm_sT),2*('XA MU'!$D$26-(xm_y0T+(xm_nT-1)/2*xm_sT))/xm_sT,0)),0),0)+IF('XA MU'!$B$27&lt;=3,'XA MU'!$E$27*$B$8*(MAX(0,1-ABS('XA MU'!$C$27-$D40)/xm_sT)+MAX(0,1-ABS('XA MU'!$D$27-$D40)/xm_sT)),0)+IF(ABS($D40-(xm_y0T+(xm_nT-1)/2*xm_sT))&lt;0.000001,IF('XA MU'!$B$27&lt;=3,'XA MU'!$E$27*$B$8*(IF('XA MU'!$C$27&gt;(xm_y0T+(xm_nT-1)/2*xm_sT),2*('XA MU'!$C$27-(xm_y0T+(xm_nT-1)/2*xm_sT))/xm_sT,0)+IF('XA MU'!$D$27&gt;(xm_y0T+(xm_nT-1)/2*xm_sT),2*('XA MU'!$D$27-(xm_y0T+(xm_nT-1)/2*xm_sT))/xm_sT,0)),0),0)+IF('XA MU'!$B$28&lt;=3,'XA MU'!$E$28*$B$8*(MAX(0,1-ABS('XA MU'!$C$28-$D40)/xm_sT)+MAX(0,1-ABS('XA MU'!$D$28-$D40)/xm_sT)),0)+IF(ABS($D40-(xm_y0T+(xm_nT-1)/2*xm_sT))&lt;0.000001,IF('XA MU'!$B$28&lt;=3,'XA MU'!$E$28*$B$8*(IF('XA MU'!$C$28&gt;(xm_y0T+(xm_nT-1)/2*xm_sT),2*('XA MU'!$C$28-(xm_y0T+(xm_nT-1)/2*xm_sT))/xm_sT,0)+IF('XA MU'!$D$28&gt;(xm_y0T+(xm_nT-1)/2*xm_sT),2*('XA MU'!$D$28-(xm_y0T+(xm_nT-1)/2*xm_sT))/xm_sT,0)),0),0)+IF('XA MU'!$B$29&lt;=3,'XA MU'!$E$29*$B$8*(MAX(0,1-ABS('XA MU'!$C$29-$D40)/xm_sT)+MAX(0,1-ABS('XA MU'!$D$29-$D40)/xm_sT)),0)+IF(ABS($D40-(xm_y0T+(xm_nT-1)/2*xm_sT))&lt;0.000001,IF('XA MU'!$B$29&lt;=3,'XA MU'!$E$29*$B$8*(IF('XA MU'!$C$29&gt;(xm_y0T+(xm_nT-1)/2*xm_sT),2*('XA MU'!$C$29-(xm_y0T+(xm_nT-1)/2*xm_sT))/xm_sT,0)+IF('XA MU'!$D$29&gt;(xm_y0T+(xm_nT-1)/2*xm_sT),2*('XA MU'!$D$29-(xm_y0T+(xm_nT-1)/2*xm_sT))/xm_sT,0)),0),0)+IF('XA MU'!$B$30&lt;=3,'XA MU'!$E$30*$B$8*(MAX(0,1-ABS('XA MU'!$C$30-$D40)/xm_sT)+MAX(0,1-ABS('XA MU'!$D$30-$D40)/xm_sT)),0)+IF(ABS($D40-(xm_y0T+(xm_nT-1)/2*xm_sT))&lt;0.000001,IF('XA MU'!$B$30&lt;=3,'XA MU'!$E$30*$B$8*(IF('XA MU'!$C$30&gt;(xm_y0T+(xm_nT-1)/2*xm_sT),2*('XA MU'!$C$30-(xm_y0T+(xm_nT-1)/2*xm_sT))/xm_sT,0)+IF('XA MU'!$D$30&gt;(xm_y0T+(xm_nT-1)/2*xm_sT),2*('XA MU'!$D$30-(xm_y0T+(xm_nT-1)/2*xm_sT))/xm_sT,0)),0),0))))</f>
        <v>0</v>
      </c>
      <c r="L40" s="44">
        <f>IF(C40=0,0,IF(4&gt;nLan,0,0.65*(IF('XA MU'!$B$25&lt;=4,'XA MU'!$E$25*$B$8*(MAX(0,1-ABS('XA MU'!$C$25-$D40)/xm_sT)+MAX(0,1-ABS('XA MU'!$D$25-$D40)/xm_sT)),0)+IF(ABS($D40-(xm_y0T+(xm_nT-1)/2*xm_sT))&lt;0.000001,IF('XA MU'!$B$25&lt;=4,'XA MU'!$E$25*$B$8*(IF('XA MU'!$C$25&gt;(xm_y0T+(xm_nT-1)/2*xm_sT),2*('XA MU'!$C$25-(xm_y0T+(xm_nT-1)/2*xm_sT))/xm_sT,0)+IF('XA MU'!$D$25&gt;(xm_y0T+(xm_nT-1)/2*xm_sT),2*('XA MU'!$D$25-(xm_y0T+(xm_nT-1)/2*xm_sT))/xm_sT,0)),0),0)+IF('XA MU'!$B$26&lt;=4,'XA MU'!$E$26*$B$8*(MAX(0,1-ABS('XA MU'!$C$26-$D40)/xm_sT)+MAX(0,1-ABS('XA MU'!$D$26-$D40)/xm_sT)),0)+IF(ABS($D40-(xm_y0T+(xm_nT-1)/2*xm_sT))&lt;0.000001,IF('XA MU'!$B$26&lt;=4,'XA MU'!$E$26*$B$8*(IF('XA MU'!$C$26&gt;(xm_y0T+(xm_nT-1)/2*xm_sT),2*('XA MU'!$C$26-(xm_y0T+(xm_nT-1)/2*xm_sT))/xm_sT,0)+IF('XA MU'!$D$26&gt;(xm_y0T+(xm_nT-1)/2*xm_sT),2*('XA MU'!$D$26-(xm_y0T+(xm_nT-1)/2*xm_sT))/xm_sT,0)),0),0)+IF('XA MU'!$B$27&lt;=4,'XA MU'!$E$27*$B$8*(MAX(0,1-ABS('XA MU'!$C$27-$D40)/xm_sT)+MAX(0,1-ABS('XA MU'!$D$27-$D40)/xm_sT)),0)+IF(ABS($D40-(xm_y0T+(xm_nT-1)/2*xm_sT))&lt;0.000001,IF('XA MU'!$B$27&lt;=4,'XA MU'!$E$27*$B$8*(IF('XA MU'!$C$27&gt;(xm_y0T+(xm_nT-1)/2*xm_sT),2*('XA MU'!$C$27-(xm_y0T+(xm_nT-1)/2*xm_sT))/xm_sT,0)+IF('XA MU'!$D$27&gt;(xm_y0T+(xm_nT-1)/2*xm_sT),2*('XA MU'!$D$27-(xm_y0T+(xm_nT-1)/2*xm_sT))/xm_sT,0)),0),0)+IF('XA MU'!$B$28&lt;=4,'XA MU'!$E$28*$B$8*(MAX(0,1-ABS('XA MU'!$C$28-$D40)/xm_sT)+MAX(0,1-ABS('XA MU'!$D$28-$D40)/xm_sT)),0)+IF(ABS($D40-(xm_y0T+(xm_nT-1)/2*xm_sT))&lt;0.000001,IF('XA MU'!$B$28&lt;=4,'XA MU'!$E$28*$B$8*(IF('XA MU'!$C$28&gt;(xm_y0T+(xm_nT-1)/2*xm_sT),2*('XA MU'!$C$28-(xm_y0T+(xm_nT-1)/2*xm_sT))/xm_sT,0)+IF('XA MU'!$D$28&gt;(xm_y0T+(xm_nT-1)/2*xm_sT),2*('XA MU'!$D$28-(xm_y0T+(xm_nT-1)/2*xm_sT))/xm_sT,0)),0),0)+IF('XA MU'!$B$29&lt;=4,'XA MU'!$E$29*$B$8*(MAX(0,1-ABS('XA MU'!$C$29-$D40)/xm_sT)+MAX(0,1-ABS('XA MU'!$D$29-$D40)/xm_sT)),0)+IF(ABS($D40-(xm_y0T+(xm_nT-1)/2*xm_sT))&lt;0.000001,IF('XA MU'!$B$29&lt;=4,'XA MU'!$E$29*$B$8*(IF('XA MU'!$C$29&gt;(xm_y0T+(xm_nT-1)/2*xm_sT),2*('XA MU'!$C$29-(xm_y0T+(xm_nT-1)/2*xm_sT))/xm_sT,0)+IF('XA MU'!$D$29&gt;(xm_y0T+(xm_nT-1)/2*xm_sT),2*('XA MU'!$D$29-(xm_y0T+(xm_nT-1)/2*xm_sT))/xm_sT,0)),0),0)+IF('XA MU'!$B$30&lt;=4,'XA MU'!$E$30*$B$8*(MAX(0,1-ABS('XA MU'!$C$30-$D40)/xm_sT)+MAX(0,1-ABS('XA MU'!$D$30-$D40)/xm_sT)),0)+IF(ABS($D40-(xm_y0T+(xm_nT-1)/2*xm_sT))&lt;0.000001,IF('XA MU'!$B$30&lt;=4,'XA MU'!$E$30*$B$8*(IF('XA MU'!$C$30&gt;(xm_y0T+(xm_nT-1)/2*xm_sT),2*('XA MU'!$C$30-(xm_y0T+(xm_nT-1)/2*xm_sT))/xm_sT,0)+IF('XA MU'!$D$30&gt;(xm_y0T+(xm_nT-1)/2*xm_sT),2*('XA MU'!$D$30-(xm_y0T+(xm_nT-1)/2*xm_sT))/xm_sT,0)),0),0))))</f>
        <v>0</v>
      </c>
      <c r="M40" s="44">
        <f>IF(C40=0,0,IF(5&gt;nLan,0,0.65*(IF('XA MU'!$B$25&lt;=5,'XA MU'!$E$25*$B$8*(MAX(0,1-ABS('XA MU'!$C$25-$D40)/xm_sT)+MAX(0,1-ABS('XA MU'!$D$25-$D40)/xm_sT)),0)+IF(ABS($D40-(xm_y0T+(xm_nT-1)/2*xm_sT))&lt;0.000001,IF('XA MU'!$B$25&lt;=5,'XA MU'!$E$25*$B$8*(IF('XA MU'!$C$25&gt;(xm_y0T+(xm_nT-1)/2*xm_sT),2*('XA MU'!$C$25-(xm_y0T+(xm_nT-1)/2*xm_sT))/xm_sT,0)+IF('XA MU'!$D$25&gt;(xm_y0T+(xm_nT-1)/2*xm_sT),2*('XA MU'!$D$25-(xm_y0T+(xm_nT-1)/2*xm_sT))/xm_sT,0)),0),0)+IF('XA MU'!$B$26&lt;=5,'XA MU'!$E$26*$B$8*(MAX(0,1-ABS('XA MU'!$C$26-$D40)/xm_sT)+MAX(0,1-ABS('XA MU'!$D$26-$D40)/xm_sT)),0)+IF(ABS($D40-(xm_y0T+(xm_nT-1)/2*xm_sT))&lt;0.000001,IF('XA MU'!$B$26&lt;=5,'XA MU'!$E$26*$B$8*(IF('XA MU'!$C$26&gt;(xm_y0T+(xm_nT-1)/2*xm_sT),2*('XA MU'!$C$26-(xm_y0T+(xm_nT-1)/2*xm_sT))/xm_sT,0)+IF('XA MU'!$D$26&gt;(xm_y0T+(xm_nT-1)/2*xm_sT),2*('XA MU'!$D$26-(xm_y0T+(xm_nT-1)/2*xm_sT))/xm_sT,0)),0),0)+IF('XA MU'!$B$27&lt;=5,'XA MU'!$E$27*$B$8*(MAX(0,1-ABS('XA MU'!$C$27-$D40)/xm_sT)+MAX(0,1-ABS('XA MU'!$D$27-$D40)/xm_sT)),0)+IF(ABS($D40-(xm_y0T+(xm_nT-1)/2*xm_sT))&lt;0.000001,IF('XA MU'!$B$27&lt;=5,'XA MU'!$E$27*$B$8*(IF('XA MU'!$C$27&gt;(xm_y0T+(xm_nT-1)/2*xm_sT),2*('XA MU'!$C$27-(xm_y0T+(xm_nT-1)/2*xm_sT))/xm_sT,0)+IF('XA MU'!$D$27&gt;(xm_y0T+(xm_nT-1)/2*xm_sT),2*('XA MU'!$D$27-(xm_y0T+(xm_nT-1)/2*xm_sT))/xm_sT,0)),0),0)+IF('XA MU'!$B$28&lt;=5,'XA MU'!$E$28*$B$8*(MAX(0,1-ABS('XA MU'!$C$28-$D40)/xm_sT)+MAX(0,1-ABS('XA MU'!$D$28-$D40)/xm_sT)),0)+IF(ABS($D40-(xm_y0T+(xm_nT-1)/2*xm_sT))&lt;0.000001,IF('XA MU'!$B$28&lt;=5,'XA MU'!$E$28*$B$8*(IF('XA MU'!$C$28&gt;(xm_y0T+(xm_nT-1)/2*xm_sT),2*('XA MU'!$C$28-(xm_y0T+(xm_nT-1)/2*xm_sT))/xm_sT,0)+IF('XA MU'!$D$28&gt;(xm_y0T+(xm_nT-1)/2*xm_sT),2*('XA MU'!$D$28-(xm_y0T+(xm_nT-1)/2*xm_sT))/xm_sT,0)),0),0)+IF('XA MU'!$B$29&lt;=5,'XA MU'!$E$29*$B$8*(MAX(0,1-ABS('XA MU'!$C$29-$D40)/xm_sT)+MAX(0,1-ABS('XA MU'!$D$29-$D40)/xm_sT)),0)+IF(ABS($D40-(xm_y0T+(xm_nT-1)/2*xm_sT))&lt;0.000001,IF('XA MU'!$B$29&lt;=5,'XA MU'!$E$29*$B$8*(IF('XA MU'!$C$29&gt;(xm_y0T+(xm_nT-1)/2*xm_sT),2*('XA MU'!$C$29-(xm_y0T+(xm_nT-1)/2*xm_sT))/xm_sT,0)+IF('XA MU'!$D$29&gt;(xm_y0T+(xm_nT-1)/2*xm_sT),2*('XA MU'!$D$29-(xm_y0T+(xm_nT-1)/2*xm_sT))/xm_sT,0)),0),0)+IF('XA MU'!$B$30&lt;=5,'XA MU'!$E$30*$B$8*(MAX(0,1-ABS('XA MU'!$C$30-$D40)/xm_sT)+MAX(0,1-ABS('XA MU'!$D$30-$D40)/xm_sT)),0)+IF(ABS($D40-(xm_y0T+(xm_nT-1)/2*xm_sT))&lt;0.000001,IF('XA MU'!$B$30&lt;=5,'XA MU'!$E$30*$B$8*(IF('XA MU'!$C$30&gt;(xm_y0T+(xm_nT-1)/2*xm_sT),2*('XA MU'!$C$30-(xm_y0T+(xm_nT-1)/2*xm_sT))/xm_sT,0)+IF('XA MU'!$D$30&gt;(xm_y0T+(xm_nT-1)/2*xm_sT),2*('XA MU'!$D$30-(xm_y0T+(xm_nT-1)/2*xm_sT))/xm_sT,0)),0),0))))</f>
        <v>0</v>
      </c>
      <c r="N40" s="44">
        <f>IF(C40=0,0,IF(6&gt;nLan,0,0.65*(IF('XA MU'!$B$25&lt;=6,'XA MU'!$E$25*$B$8*(MAX(0,1-ABS('XA MU'!$C$25-$D40)/xm_sT)+MAX(0,1-ABS('XA MU'!$D$25-$D40)/xm_sT)),0)+IF(ABS($D40-(xm_y0T+(xm_nT-1)/2*xm_sT))&lt;0.000001,IF('XA MU'!$B$25&lt;=6,'XA MU'!$E$25*$B$8*(IF('XA MU'!$C$25&gt;(xm_y0T+(xm_nT-1)/2*xm_sT),2*('XA MU'!$C$25-(xm_y0T+(xm_nT-1)/2*xm_sT))/xm_sT,0)+IF('XA MU'!$D$25&gt;(xm_y0T+(xm_nT-1)/2*xm_sT),2*('XA MU'!$D$25-(xm_y0T+(xm_nT-1)/2*xm_sT))/xm_sT,0)),0),0)+IF('XA MU'!$B$26&lt;=6,'XA MU'!$E$26*$B$8*(MAX(0,1-ABS('XA MU'!$C$26-$D40)/xm_sT)+MAX(0,1-ABS('XA MU'!$D$26-$D40)/xm_sT)),0)+IF(ABS($D40-(xm_y0T+(xm_nT-1)/2*xm_sT))&lt;0.000001,IF('XA MU'!$B$26&lt;=6,'XA MU'!$E$26*$B$8*(IF('XA MU'!$C$26&gt;(xm_y0T+(xm_nT-1)/2*xm_sT),2*('XA MU'!$C$26-(xm_y0T+(xm_nT-1)/2*xm_sT))/xm_sT,0)+IF('XA MU'!$D$26&gt;(xm_y0T+(xm_nT-1)/2*xm_sT),2*('XA MU'!$D$26-(xm_y0T+(xm_nT-1)/2*xm_sT))/xm_sT,0)),0),0)+IF('XA MU'!$B$27&lt;=6,'XA MU'!$E$27*$B$8*(MAX(0,1-ABS('XA MU'!$C$27-$D40)/xm_sT)+MAX(0,1-ABS('XA MU'!$D$27-$D40)/xm_sT)),0)+IF(ABS($D40-(xm_y0T+(xm_nT-1)/2*xm_sT))&lt;0.000001,IF('XA MU'!$B$27&lt;=6,'XA MU'!$E$27*$B$8*(IF('XA MU'!$C$27&gt;(xm_y0T+(xm_nT-1)/2*xm_sT),2*('XA MU'!$C$27-(xm_y0T+(xm_nT-1)/2*xm_sT))/xm_sT,0)+IF('XA MU'!$D$27&gt;(xm_y0T+(xm_nT-1)/2*xm_sT),2*('XA MU'!$D$27-(xm_y0T+(xm_nT-1)/2*xm_sT))/xm_sT,0)),0),0)+IF('XA MU'!$B$28&lt;=6,'XA MU'!$E$28*$B$8*(MAX(0,1-ABS('XA MU'!$C$28-$D40)/xm_sT)+MAX(0,1-ABS('XA MU'!$D$28-$D40)/xm_sT)),0)+IF(ABS($D40-(xm_y0T+(xm_nT-1)/2*xm_sT))&lt;0.000001,IF('XA MU'!$B$28&lt;=6,'XA MU'!$E$28*$B$8*(IF('XA MU'!$C$28&gt;(xm_y0T+(xm_nT-1)/2*xm_sT),2*('XA MU'!$C$28-(xm_y0T+(xm_nT-1)/2*xm_sT))/xm_sT,0)+IF('XA MU'!$D$28&gt;(xm_y0T+(xm_nT-1)/2*xm_sT),2*('XA MU'!$D$28-(xm_y0T+(xm_nT-1)/2*xm_sT))/xm_sT,0)),0),0)+IF('XA MU'!$B$29&lt;=6,'XA MU'!$E$29*$B$8*(MAX(0,1-ABS('XA MU'!$C$29-$D40)/xm_sT)+MAX(0,1-ABS('XA MU'!$D$29-$D40)/xm_sT)),0)+IF(ABS($D40-(xm_y0T+(xm_nT-1)/2*xm_sT))&lt;0.000001,IF('XA MU'!$B$29&lt;=6,'XA MU'!$E$29*$B$8*(IF('XA MU'!$C$29&gt;(xm_y0T+(xm_nT-1)/2*xm_sT),2*('XA MU'!$C$29-(xm_y0T+(xm_nT-1)/2*xm_sT))/xm_sT,0)+IF('XA MU'!$D$29&gt;(xm_y0T+(xm_nT-1)/2*xm_sT),2*('XA MU'!$D$29-(xm_y0T+(xm_nT-1)/2*xm_sT))/xm_sT,0)),0),0)+IF('XA MU'!$B$30&lt;=6,'XA MU'!$E$30*$B$8*(MAX(0,1-ABS('XA MU'!$C$30-$D40)/xm_sT)+MAX(0,1-ABS('XA MU'!$D$30-$D40)/xm_sT)),0)+IF(ABS($D40-(xm_y0T+(xm_nT-1)/2*xm_sT))&lt;0.000001,IF('XA MU'!$B$30&lt;=6,'XA MU'!$E$30*$B$8*(IF('XA MU'!$C$30&gt;(xm_y0T+(xm_nT-1)/2*xm_sT),2*('XA MU'!$C$30-(xm_y0T+(xm_nT-1)/2*xm_sT))/xm_sT,0)+IF('XA MU'!$D$30&gt;(xm_y0T+(xm_nT-1)/2*xm_sT),2*('XA MU'!$D$30-(xm_y0T+(xm_nT-1)/2*xm_sT))/xm_sT,0)),0),0))))</f>
        <v>0</v>
      </c>
    </row>
    <row r="41" spans="1:14" x14ac:dyDescent="0.3">
      <c r="A41" s="42" t="s">
        <v>1235</v>
      </c>
      <c r="B41" s="42">
        <v>27</v>
      </c>
      <c r="C41" s="40">
        <f t="shared" si="0"/>
        <v>0</v>
      </c>
      <c r="D41" s="44">
        <f t="shared" si="1"/>
        <v>0</v>
      </c>
      <c r="E41" s="44">
        <f>MAX(0,D41-'XA MU'!$C$8)*C41</f>
        <v>0</v>
      </c>
      <c r="F41" s="44">
        <f>IF(AND(C41=1,D41&gt;'XA MU'!$C$8),1,0)</f>
        <v>0</v>
      </c>
      <c r="G41" s="44">
        <f t="shared" si="2"/>
        <v>0</v>
      </c>
      <c r="H41" s="44">
        <f t="shared" si="3"/>
        <v>0</v>
      </c>
      <c r="I41" s="44">
        <f>IF(C41=0,0,IF(1&gt;nLan,0,1.2*(IF('XA MU'!$B$25&lt;=1,'XA MU'!$E$25*$B$8*(MAX(0,1-ABS('XA MU'!$C$25-$D41)/xm_sT)+MAX(0,1-ABS('XA MU'!$D$25-$D41)/xm_sT)),0)+IF(ABS($D41-(xm_y0T+(xm_nT-1)/2*xm_sT))&lt;0.000001,IF('XA MU'!$B$25&lt;=1,'XA MU'!$E$25*$B$8*(IF('XA MU'!$C$25&gt;(xm_y0T+(xm_nT-1)/2*xm_sT),2*('XA MU'!$C$25-(xm_y0T+(xm_nT-1)/2*xm_sT))/xm_sT,0)+IF('XA MU'!$D$25&gt;(xm_y0T+(xm_nT-1)/2*xm_sT),2*('XA MU'!$D$25-(xm_y0T+(xm_nT-1)/2*xm_sT))/xm_sT,0)),0),0)+IF('XA MU'!$B$26&lt;=1,'XA MU'!$E$26*$B$8*(MAX(0,1-ABS('XA MU'!$C$26-$D41)/xm_sT)+MAX(0,1-ABS('XA MU'!$D$26-$D41)/xm_sT)),0)+IF(ABS($D41-(xm_y0T+(xm_nT-1)/2*xm_sT))&lt;0.000001,IF('XA MU'!$B$26&lt;=1,'XA MU'!$E$26*$B$8*(IF('XA MU'!$C$26&gt;(xm_y0T+(xm_nT-1)/2*xm_sT),2*('XA MU'!$C$26-(xm_y0T+(xm_nT-1)/2*xm_sT))/xm_sT,0)+IF('XA MU'!$D$26&gt;(xm_y0T+(xm_nT-1)/2*xm_sT),2*('XA MU'!$D$26-(xm_y0T+(xm_nT-1)/2*xm_sT))/xm_sT,0)),0),0)+IF('XA MU'!$B$27&lt;=1,'XA MU'!$E$27*$B$8*(MAX(0,1-ABS('XA MU'!$C$27-$D41)/xm_sT)+MAX(0,1-ABS('XA MU'!$D$27-$D41)/xm_sT)),0)+IF(ABS($D41-(xm_y0T+(xm_nT-1)/2*xm_sT))&lt;0.000001,IF('XA MU'!$B$27&lt;=1,'XA MU'!$E$27*$B$8*(IF('XA MU'!$C$27&gt;(xm_y0T+(xm_nT-1)/2*xm_sT),2*('XA MU'!$C$27-(xm_y0T+(xm_nT-1)/2*xm_sT))/xm_sT,0)+IF('XA MU'!$D$27&gt;(xm_y0T+(xm_nT-1)/2*xm_sT),2*('XA MU'!$D$27-(xm_y0T+(xm_nT-1)/2*xm_sT))/xm_sT,0)),0),0)+IF('XA MU'!$B$28&lt;=1,'XA MU'!$E$28*$B$8*(MAX(0,1-ABS('XA MU'!$C$28-$D41)/xm_sT)+MAX(0,1-ABS('XA MU'!$D$28-$D41)/xm_sT)),0)+IF(ABS($D41-(xm_y0T+(xm_nT-1)/2*xm_sT))&lt;0.000001,IF('XA MU'!$B$28&lt;=1,'XA MU'!$E$28*$B$8*(IF('XA MU'!$C$28&gt;(xm_y0T+(xm_nT-1)/2*xm_sT),2*('XA MU'!$C$28-(xm_y0T+(xm_nT-1)/2*xm_sT))/xm_sT,0)+IF('XA MU'!$D$28&gt;(xm_y0T+(xm_nT-1)/2*xm_sT),2*('XA MU'!$D$28-(xm_y0T+(xm_nT-1)/2*xm_sT))/xm_sT,0)),0),0)+IF('XA MU'!$B$29&lt;=1,'XA MU'!$E$29*$B$8*(MAX(0,1-ABS('XA MU'!$C$29-$D41)/xm_sT)+MAX(0,1-ABS('XA MU'!$D$29-$D41)/xm_sT)),0)+IF(ABS($D41-(xm_y0T+(xm_nT-1)/2*xm_sT))&lt;0.000001,IF('XA MU'!$B$29&lt;=1,'XA MU'!$E$29*$B$8*(IF('XA MU'!$C$29&gt;(xm_y0T+(xm_nT-1)/2*xm_sT),2*('XA MU'!$C$29-(xm_y0T+(xm_nT-1)/2*xm_sT))/xm_sT,0)+IF('XA MU'!$D$29&gt;(xm_y0T+(xm_nT-1)/2*xm_sT),2*('XA MU'!$D$29-(xm_y0T+(xm_nT-1)/2*xm_sT))/xm_sT,0)),0),0)+IF('XA MU'!$B$30&lt;=1,'XA MU'!$E$30*$B$8*(MAX(0,1-ABS('XA MU'!$C$30-$D41)/xm_sT)+MAX(0,1-ABS('XA MU'!$D$30-$D41)/xm_sT)),0)+IF(ABS($D41-(xm_y0T+(xm_nT-1)/2*xm_sT))&lt;0.000001,IF('XA MU'!$B$30&lt;=1,'XA MU'!$E$30*$B$8*(IF('XA MU'!$C$30&gt;(xm_y0T+(xm_nT-1)/2*xm_sT),2*('XA MU'!$C$30-(xm_y0T+(xm_nT-1)/2*xm_sT))/xm_sT,0)+IF('XA MU'!$D$30&gt;(xm_y0T+(xm_nT-1)/2*xm_sT),2*('XA MU'!$D$30-(xm_y0T+(xm_nT-1)/2*xm_sT))/xm_sT,0)),0),0))))</f>
        <v>0</v>
      </c>
      <c r="J41" s="44">
        <f>IF(C41=0,0,IF(2&gt;nLan,0,1*(IF('XA MU'!$B$25&lt;=2,'XA MU'!$E$25*$B$8*(MAX(0,1-ABS('XA MU'!$C$25-$D41)/xm_sT)+MAX(0,1-ABS('XA MU'!$D$25-$D41)/xm_sT)),0)+IF(ABS($D41-(xm_y0T+(xm_nT-1)/2*xm_sT))&lt;0.000001,IF('XA MU'!$B$25&lt;=2,'XA MU'!$E$25*$B$8*(IF('XA MU'!$C$25&gt;(xm_y0T+(xm_nT-1)/2*xm_sT),2*('XA MU'!$C$25-(xm_y0T+(xm_nT-1)/2*xm_sT))/xm_sT,0)+IF('XA MU'!$D$25&gt;(xm_y0T+(xm_nT-1)/2*xm_sT),2*('XA MU'!$D$25-(xm_y0T+(xm_nT-1)/2*xm_sT))/xm_sT,0)),0),0)+IF('XA MU'!$B$26&lt;=2,'XA MU'!$E$26*$B$8*(MAX(0,1-ABS('XA MU'!$C$26-$D41)/xm_sT)+MAX(0,1-ABS('XA MU'!$D$26-$D41)/xm_sT)),0)+IF(ABS($D41-(xm_y0T+(xm_nT-1)/2*xm_sT))&lt;0.000001,IF('XA MU'!$B$26&lt;=2,'XA MU'!$E$26*$B$8*(IF('XA MU'!$C$26&gt;(xm_y0T+(xm_nT-1)/2*xm_sT),2*('XA MU'!$C$26-(xm_y0T+(xm_nT-1)/2*xm_sT))/xm_sT,0)+IF('XA MU'!$D$26&gt;(xm_y0T+(xm_nT-1)/2*xm_sT),2*('XA MU'!$D$26-(xm_y0T+(xm_nT-1)/2*xm_sT))/xm_sT,0)),0),0)+IF('XA MU'!$B$27&lt;=2,'XA MU'!$E$27*$B$8*(MAX(0,1-ABS('XA MU'!$C$27-$D41)/xm_sT)+MAX(0,1-ABS('XA MU'!$D$27-$D41)/xm_sT)),0)+IF(ABS($D41-(xm_y0T+(xm_nT-1)/2*xm_sT))&lt;0.000001,IF('XA MU'!$B$27&lt;=2,'XA MU'!$E$27*$B$8*(IF('XA MU'!$C$27&gt;(xm_y0T+(xm_nT-1)/2*xm_sT),2*('XA MU'!$C$27-(xm_y0T+(xm_nT-1)/2*xm_sT))/xm_sT,0)+IF('XA MU'!$D$27&gt;(xm_y0T+(xm_nT-1)/2*xm_sT),2*('XA MU'!$D$27-(xm_y0T+(xm_nT-1)/2*xm_sT))/xm_sT,0)),0),0)+IF('XA MU'!$B$28&lt;=2,'XA MU'!$E$28*$B$8*(MAX(0,1-ABS('XA MU'!$C$28-$D41)/xm_sT)+MAX(0,1-ABS('XA MU'!$D$28-$D41)/xm_sT)),0)+IF(ABS($D41-(xm_y0T+(xm_nT-1)/2*xm_sT))&lt;0.000001,IF('XA MU'!$B$28&lt;=2,'XA MU'!$E$28*$B$8*(IF('XA MU'!$C$28&gt;(xm_y0T+(xm_nT-1)/2*xm_sT),2*('XA MU'!$C$28-(xm_y0T+(xm_nT-1)/2*xm_sT))/xm_sT,0)+IF('XA MU'!$D$28&gt;(xm_y0T+(xm_nT-1)/2*xm_sT),2*('XA MU'!$D$28-(xm_y0T+(xm_nT-1)/2*xm_sT))/xm_sT,0)),0),0)+IF('XA MU'!$B$29&lt;=2,'XA MU'!$E$29*$B$8*(MAX(0,1-ABS('XA MU'!$C$29-$D41)/xm_sT)+MAX(0,1-ABS('XA MU'!$D$29-$D41)/xm_sT)),0)+IF(ABS($D41-(xm_y0T+(xm_nT-1)/2*xm_sT))&lt;0.000001,IF('XA MU'!$B$29&lt;=2,'XA MU'!$E$29*$B$8*(IF('XA MU'!$C$29&gt;(xm_y0T+(xm_nT-1)/2*xm_sT),2*('XA MU'!$C$29-(xm_y0T+(xm_nT-1)/2*xm_sT))/xm_sT,0)+IF('XA MU'!$D$29&gt;(xm_y0T+(xm_nT-1)/2*xm_sT),2*('XA MU'!$D$29-(xm_y0T+(xm_nT-1)/2*xm_sT))/xm_sT,0)),0),0)+IF('XA MU'!$B$30&lt;=2,'XA MU'!$E$30*$B$8*(MAX(0,1-ABS('XA MU'!$C$30-$D41)/xm_sT)+MAX(0,1-ABS('XA MU'!$D$30-$D41)/xm_sT)),0)+IF(ABS($D41-(xm_y0T+(xm_nT-1)/2*xm_sT))&lt;0.000001,IF('XA MU'!$B$30&lt;=2,'XA MU'!$E$30*$B$8*(IF('XA MU'!$C$30&gt;(xm_y0T+(xm_nT-1)/2*xm_sT),2*('XA MU'!$C$30-(xm_y0T+(xm_nT-1)/2*xm_sT))/xm_sT,0)+IF('XA MU'!$D$30&gt;(xm_y0T+(xm_nT-1)/2*xm_sT),2*('XA MU'!$D$30-(xm_y0T+(xm_nT-1)/2*xm_sT))/xm_sT,0)),0),0))))</f>
        <v>0</v>
      </c>
      <c r="K41" s="44">
        <f>IF(C41=0,0,IF(3&gt;nLan,0,0.85*(IF('XA MU'!$B$25&lt;=3,'XA MU'!$E$25*$B$8*(MAX(0,1-ABS('XA MU'!$C$25-$D41)/xm_sT)+MAX(0,1-ABS('XA MU'!$D$25-$D41)/xm_sT)),0)+IF(ABS($D41-(xm_y0T+(xm_nT-1)/2*xm_sT))&lt;0.000001,IF('XA MU'!$B$25&lt;=3,'XA MU'!$E$25*$B$8*(IF('XA MU'!$C$25&gt;(xm_y0T+(xm_nT-1)/2*xm_sT),2*('XA MU'!$C$25-(xm_y0T+(xm_nT-1)/2*xm_sT))/xm_sT,0)+IF('XA MU'!$D$25&gt;(xm_y0T+(xm_nT-1)/2*xm_sT),2*('XA MU'!$D$25-(xm_y0T+(xm_nT-1)/2*xm_sT))/xm_sT,0)),0),0)+IF('XA MU'!$B$26&lt;=3,'XA MU'!$E$26*$B$8*(MAX(0,1-ABS('XA MU'!$C$26-$D41)/xm_sT)+MAX(0,1-ABS('XA MU'!$D$26-$D41)/xm_sT)),0)+IF(ABS($D41-(xm_y0T+(xm_nT-1)/2*xm_sT))&lt;0.000001,IF('XA MU'!$B$26&lt;=3,'XA MU'!$E$26*$B$8*(IF('XA MU'!$C$26&gt;(xm_y0T+(xm_nT-1)/2*xm_sT),2*('XA MU'!$C$26-(xm_y0T+(xm_nT-1)/2*xm_sT))/xm_sT,0)+IF('XA MU'!$D$26&gt;(xm_y0T+(xm_nT-1)/2*xm_sT),2*('XA MU'!$D$26-(xm_y0T+(xm_nT-1)/2*xm_sT))/xm_sT,0)),0),0)+IF('XA MU'!$B$27&lt;=3,'XA MU'!$E$27*$B$8*(MAX(0,1-ABS('XA MU'!$C$27-$D41)/xm_sT)+MAX(0,1-ABS('XA MU'!$D$27-$D41)/xm_sT)),0)+IF(ABS($D41-(xm_y0T+(xm_nT-1)/2*xm_sT))&lt;0.000001,IF('XA MU'!$B$27&lt;=3,'XA MU'!$E$27*$B$8*(IF('XA MU'!$C$27&gt;(xm_y0T+(xm_nT-1)/2*xm_sT),2*('XA MU'!$C$27-(xm_y0T+(xm_nT-1)/2*xm_sT))/xm_sT,0)+IF('XA MU'!$D$27&gt;(xm_y0T+(xm_nT-1)/2*xm_sT),2*('XA MU'!$D$27-(xm_y0T+(xm_nT-1)/2*xm_sT))/xm_sT,0)),0),0)+IF('XA MU'!$B$28&lt;=3,'XA MU'!$E$28*$B$8*(MAX(0,1-ABS('XA MU'!$C$28-$D41)/xm_sT)+MAX(0,1-ABS('XA MU'!$D$28-$D41)/xm_sT)),0)+IF(ABS($D41-(xm_y0T+(xm_nT-1)/2*xm_sT))&lt;0.000001,IF('XA MU'!$B$28&lt;=3,'XA MU'!$E$28*$B$8*(IF('XA MU'!$C$28&gt;(xm_y0T+(xm_nT-1)/2*xm_sT),2*('XA MU'!$C$28-(xm_y0T+(xm_nT-1)/2*xm_sT))/xm_sT,0)+IF('XA MU'!$D$28&gt;(xm_y0T+(xm_nT-1)/2*xm_sT),2*('XA MU'!$D$28-(xm_y0T+(xm_nT-1)/2*xm_sT))/xm_sT,0)),0),0)+IF('XA MU'!$B$29&lt;=3,'XA MU'!$E$29*$B$8*(MAX(0,1-ABS('XA MU'!$C$29-$D41)/xm_sT)+MAX(0,1-ABS('XA MU'!$D$29-$D41)/xm_sT)),0)+IF(ABS($D41-(xm_y0T+(xm_nT-1)/2*xm_sT))&lt;0.000001,IF('XA MU'!$B$29&lt;=3,'XA MU'!$E$29*$B$8*(IF('XA MU'!$C$29&gt;(xm_y0T+(xm_nT-1)/2*xm_sT),2*('XA MU'!$C$29-(xm_y0T+(xm_nT-1)/2*xm_sT))/xm_sT,0)+IF('XA MU'!$D$29&gt;(xm_y0T+(xm_nT-1)/2*xm_sT),2*('XA MU'!$D$29-(xm_y0T+(xm_nT-1)/2*xm_sT))/xm_sT,0)),0),0)+IF('XA MU'!$B$30&lt;=3,'XA MU'!$E$30*$B$8*(MAX(0,1-ABS('XA MU'!$C$30-$D41)/xm_sT)+MAX(0,1-ABS('XA MU'!$D$30-$D41)/xm_sT)),0)+IF(ABS($D41-(xm_y0T+(xm_nT-1)/2*xm_sT))&lt;0.000001,IF('XA MU'!$B$30&lt;=3,'XA MU'!$E$30*$B$8*(IF('XA MU'!$C$30&gt;(xm_y0T+(xm_nT-1)/2*xm_sT),2*('XA MU'!$C$30-(xm_y0T+(xm_nT-1)/2*xm_sT))/xm_sT,0)+IF('XA MU'!$D$30&gt;(xm_y0T+(xm_nT-1)/2*xm_sT),2*('XA MU'!$D$30-(xm_y0T+(xm_nT-1)/2*xm_sT))/xm_sT,0)),0),0))))</f>
        <v>0</v>
      </c>
      <c r="L41" s="44">
        <f>IF(C41=0,0,IF(4&gt;nLan,0,0.65*(IF('XA MU'!$B$25&lt;=4,'XA MU'!$E$25*$B$8*(MAX(0,1-ABS('XA MU'!$C$25-$D41)/xm_sT)+MAX(0,1-ABS('XA MU'!$D$25-$D41)/xm_sT)),0)+IF(ABS($D41-(xm_y0T+(xm_nT-1)/2*xm_sT))&lt;0.000001,IF('XA MU'!$B$25&lt;=4,'XA MU'!$E$25*$B$8*(IF('XA MU'!$C$25&gt;(xm_y0T+(xm_nT-1)/2*xm_sT),2*('XA MU'!$C$25-(xm_y0T+(xm_nT-1)/2*xm_sT))/xm_sT,0)+IF('XA MU'!$D$25&gt;(xm_y0T+(xm_nT-1)/2*xm_sT),2*('XA MU'!$D$25-(xm_y0T+(xm_nT-1)/2*xm_sT))/xm_sT,0)),0),0)+IF('XA MU'!$B$26&lt;=4,'XA MU'!$E$26*$B$8*(MAX(0,1-ABS('XA MU'!$C$26-$D41)/xm_sT)+MAX(0,1-ABS('XA MU'!$D$26-$D41)/xm_sT)),0)+IF(ABS($D41-(xm_y0T+(xm_nT-1)/2*xm_sT))&lt;0.000001,IF('XA MU'!$B$26&lt;=4,'XA MU'!$E$26*$B$8*(IF('XA MU'!$C$26&gt;(xm_y0T+(xm_nT-1)/2*xm_sT),2*('XA MU'!$C$26-(xm_y0T+(xm_nT-1)/2*xm_sT))/xm_sT,0)+IF('XA MU'!$D$26&gt;(xm_y0T+(xm_nT-1)/2*xm_sT),2*('XA MU'!$D$26-(xm_y0T+(xm_nT-1)/2*xm_sT))/xm_sT,0)),0),0)+IF('XA MU'!$B$27&lt;=4,'XA MU'!$E$27*$B$8*(MAX(0,1-ABS('XA MU'!$C$27-$D41)/xm_sT)+MAX(0,1-ABS('XA MU'!$D$27-$D41)/xm_sT)),0)+IF(ABS($D41-(xm_y0T+(xm_nT-1)/2*xm_sT))&lt;0.000001,IF('XA MU'!$B$27&lt;=4,'XA MU'!$E$27*$B$8*(IF('XA MU'!$C$27&gt;(xm_y0T+(xm_nT-1)/2*xm_sT),2*('XA MU'!$C$27-(xm_y0T+(xm_nT-1)/2*xm_sT))/xm_sT,0)+IF('XA MU'!$D$27&gt;(xm_y0T+(xm_nT-1)/2*xm_sT),2*('XA MU'!$D$27-(xm_y0T+(xm_nT-1)/2*xm_sT))/xm_sT,0)),0),0)+IF('XA MU'!$B$28&lt;=4,'XA MU'!$E$28*$B$8*(MAX(0,1-ABS('XA MU'!$C$28-$D41)/xm_sT)+MAX(0,1-ABS('XA MU'!$D$28-$D41)/xm_sT)),0)+IF(ABS($D41-(xm_y0T+(xm_nT-1)/2*xm_sT))&lt;0.000001,IF('XA MU'!$B$28&lt;=4,'XA MU'!$E$28*$B$8*(IF('XA MU'!$C$28&gt;(xm_y0T+(xm_nT-1)/2*xm_sT),2*('XA MU'!$C$28-(xm_y0T+(xm_nT-1)/2*xm_sT))/xm_sT,0)+IF('XA MU'!$D$28&gt;(xm_y0T+(xm_nT-1)/2*xm_sT),2*('XA MU'!$D$28-(xm_y0T+(xm_nT-1)/2*xm_sT))/xm_sT,0)),0),0)+IF('XA MU'!$B$29&lt;=4,'XA MU'!$E$29*$B$8*(MAX(0,1-ABS('XA MU'!$C$29-$D41)/xm_sT)+MAX(0,1-ABS('XA MU'!$D$29-$D41)/xm_sT)),0)+IF(ABS($D41-(xm_y0T+(xm_nT-1)/2*xm_sT))&lt;0.000001,IF('XA MU'!$B$29&lt;=4,'XA MU'!$E$29*$B$8*(IF('XA MU'!$C$29&gt;(xm_y0T+(xm_nT-1)/2*xm_sT),2*('XA MU'!$C$29-(xm_y0T+(xm_nT-1)/2*xm_sT))/xm_sT,0)+IF('XA MU'!$D$29&gt;(xm_y0T+(xm_nT-1)/2*xm_sT),2*('XA MU'!$D$29-(xm_y0T+(xm_nT-1)/2*xm_sT))/xm_sT,0)),0),0)+IF('XA MU'!$B$30&lt;=4,'XA MU'!$E$30*$B$8*(MAX(0,1-ABS('XA MU'!$C$30-$D41)/xm_sT)+MAX(0,1-ABS('XA MU'!$D$30-$D41)/xm_sT)),0)+IF(ABS($D41-(xm_y0T+(xm_nT-1)/2*xm_sT))&lt;0.000001,IF('XA MU'!$B$30&lt;=4,'XA MU'!$E$30*$B$8*(IF('XA MU'!$C$30&gt;(xm_y0T+(xm_nT-1)/2*xm_sT),2*('XA MU'!$C$30-(xm_y0T+(xm_nT-1)/2*xm_sT))/xm_sT,0)+IF('XA MU'!$D$30&gt;(xm_y0T+(xm_nT-1)/2*xm_sT),2*('XA MU'!$D$30-(xm_y0T+(xm_nT-1)/2*xm_sT))/xm_sT,0)),0),0))))</f>
        <v>0</v>
      </c>
      <c r="M41" s="44">
        <f>IF(C41=0,0,IF(5&gt;nLan,0,0.65*(IF('XA MU'!$B$25&lt;=5,'XA MU'!$E$25*$B$8*(MAX(0,1-ABS('XA MU'!$C$25-$D41)/xm_sT)+MAX(0,1-ABS('XA MU'!$D$25-$D41)/xm_sT)),0)+IF(ABS($D41-(xm_y0T+(xm_nT-1)/2*xm_sT))&lt;0.000001,IF('XA MU'!$B$25&lt;=5,'XA MU'!$E$25*$B$8*(IF('XA MU'!$C$25&gt;(xm_y0T+(xm_nT-1)/2*xm_sT),2*('XA MU'!$C$25-(xm_y0T+(xm_nT-1)/2*xm_sT))/xm_sT,0)+IF('XA MU'!$D$25&gt;(xm_y0T+(xm_nT-1)/2*xm_sT),2*('XA MU'!$D$25-(xm_y0T+(xm_nT-1)/2*xm_sT))/xm_sT,0)),0),0)+IF('XA MU'!$B$26&lt;=5,'XA MU'!$E$26*$B$8*(MAX(0,1-ABS('XA MU'!$C$26-$D41)/xm_sT)+MAX(0,1-ABS('XA MU'!$D$26-$D41)/xm_sT)),0)+IF(ABS($D41-(xm_y0T+(xm_nT-1)/2*xm_sT))&lt;0.000001,IF('XA MU'!$B$26&lt;=5,'XA MU'!$E$26*$B$8*(IF('XA MU'!$C$26&gt;(xm_y0T+(xm_nT-1)/2*xm_sT),2*('XA MU'!$C$26-(xm_y0T+(xm_nT-1)/2*xm_sT))/xm_sT,0)+IF('XA MU'!$D$26&gt;(xm_y0T+(xm_nT-1)/2*xm_sT),2*('XA MU'!$D$26-(xm_y0T+(xm_nT-1)/2*xm_sT))/xm_sT,0)),0),0)+IF('XA MU'!$B$27&lt;=5,'XA MU'!$E$27*$B$8*(MAX(0,1-ABS('XA MU'!$C$27-$D41)/xm_sT)+MAX(0,1-ABS('XA MU'!$D$27-$D41)/xm_sT)),0)+IF(ABS($D41-(xm_y0T+(xm_nT-1)/2*xm_sT))&lt;0.000001,IF('XA MU'!$B$27&lt;=5,'XA MU'!$E$27*$B$8*(IF('XA MU'!$C$27&gt;(xm_y0T+(xm_nT-1)/2*xm_sT),2*('XA MU'!$C$27-(xm_y0T+(xm_nT-1)/2*xm_sT))/xm_sT,0)+IF('XA MU'!$D$27&gt;(xm_y0T+(xm_nT-1)/2*xm_sT),2*('XA MU'!$D$27-(xm_y0T+(xm_nT-1)/2*xm_sT))/xm_sT,0)),0),0)+IF('XA MU'!$B$28&lt;=5,'XA MU'!$E$28*$B$8*(MAX(0,1-ABS('XA MU'!$C$28-$D41)/xm_sT)+MAX(0,1-ABS('XA MU'!$D$28-$D41)/xm_sT)),0)+IF(ABS($D41-(xm_y0T+(xm_nT-1)/2*xm_sT))&lt;0.000001,IF('XA MU'!$B$28&lt;=5,'XA MU'!$E$28*$B$8*(IF('XA MU'!$C$28&gt;(xm_y0T+(xm_nT-1)/2*xm_sT),2*('XA MU'!$C$28-(xm_y0T+(xm_nT-1)/2*xm_sT))/xm_sT,0)+IF('XA MU'!$D$28&gt;(xm_y0T+(xm_nT-1)/2*xm_sT),2*('XA MU'!$D$28-(xm_y0T+(xm_nT-1)/2*xm_sT))/xm_sT,0)),0),0)+IF('XA MU'!$B$29&lt;=5,'XA MU'!$E$29*$B$8*(MAX(0,1-ABS('XA MU'!$C$29-$D41)/xm_sT)+MAX(0,1-ABS('XA MU'!$D$29-$D41)/xm_sT)),0)+IF(ABS($D41-(xm_y0T+(xm_nT-1)/2*xm_sT))&lt;0.000001,IF('XA MU'!$B$29&lt;=5,'XA MU'!$E$29*$B$8*(IF('XA MU'!$C$29&gt;(xm_y0T+(xm_nT-1)/2*xm_sT),2*('XA MU'!$C$29-(xm_y0T+(xm_nT-1)/2*xm_sT))/xm_sT,0)+IF('XA MU'!$D$29&gt;(xm_y0T+(xm_nT-1)/2*xm_sT),2*('XA MU'!$D$29-(xm_y0T+(xm_nT-1)/2*xm_sT))/xm_sT,0)),0),0)+IF('XA MU'!$B$30&lt;=5,'XA MU'!$E$30*$B$8*(MAX(0,1-ABS('XA MU'!$C$30-$D41)/xm_sT)+MAX(0,1-ABS('XA MU'!$D$30-$D41)/xm_sT)),0)+IF(ABS($D41-(xm_y0T+(xm_nT-1)/2*xm_sT))&lt;0.000001,IF('XA MU'!$B$30&lt;=5,'XA MU'!$E$30*$B$8*(IF('XA MU'!$C$30&gt;(xm_y0T+(xm_nT-1)/2*xm_sT),2*('XA MU'!$C$30-(xm_y0T+(xm_nT-1)/2*xm_sT))/xm_sT,0)+IF('XA MU'!$D$30&gt;(xm_y0T+(xm_nT-1)/2*xm_sT),2*('XA MU'!$D$30-(xm_y0T+(xm_nT-1)/2*xm_sT))/xm_sT,0)),0),0))))</f>
        <v>0</v>
      </c>
      <c r="N41" s="44">
        <f>IF(C41=0,0,IF(6&gt;nLan,0,0.65*(IF('XA MU'!$B$25&lt;=6,'XA MU'!$E$25*$B$8*(MAX(0,1-ABS('XA MU'!$C$25-$D41)/xm_sT)+MAX(0,1-ABS('XA MU'!$D$25-$D41)/xm_sT)),0)+IF(ABS($D41-(xm_y0T+(xm_nT-1)/2*xm_sT))&lt;0.000001,IF('XA MU'!$B$25&lt;=6,'XA MU'!$E$25*$B$8*(IF('XA MU'!$C$25&gt;(xm_y0T+(xm_nT-1)/2*xm_sT),2*('XA MU'!$C$25-(xm_y0T+(xm_nT-1)/2*xm_sT))/xm_sT,0)+IF('XA MU'!$D$25&gt;(xm_y0T+(xm_nT-1)/2*xm_sT),2*('XA MU'!$D$25-(xm_y0T+(xm_nT-1)/2*xm_sT))/xm_sT,0)),0),0)+IF('XA MU'!$B$26&lt;=6,'XA MU'!$E$26*$B$8*(MAX(0,1-ABS('XA MU'!$C$26-$D41)/xm_sT)+MAX(0,1-ABS('XA MU'!$D$26-$D41)/xm_sT)),0)+IF(ABS($D41-(xm_y0T+(xm_nT-1)/2*xm_sT))&lt;0.000001,IF('XA MU'!$B$26&lt;=6,'XA MU'!$E$26*$B$8*(IF('XA MU'!$C$26&gt;(xm_y0T+(xm_nT-1)/2*xm_sT),2*('XA MU'!$C$26-(xm_y0T+(xm_nT-1)/2*xm_sT))/xm_sT,0)+IF('XA MU'!$D$26&gt;(xm_y0T+(xm_nT-1)/2*xm_sT),2*('XA MU'!$D$26-(xm_y0T+(xm_nT-1)/2*xm_sT))/xm_sT,0)),0),0)+IF('XA MU'!$B$27&lt;=6,'XA MU'!$E$27*$B$8*(MAX(0,1-ABS('XA MU'!$C$27-$D41)/xm_sT)+MAX(0,1-ABS('XA MU'!$D$27-$D41)/xm_sT)),0)+IF(ABS($D41-(xm_y0T+(xm_nT-1)/2*xm_sT))&lt;0.000001,IF('XA MU'!$B$27&lt;=6,'XA MU'!$E$27*$B$8*(IF('XA MU'!$C$27&gt;(xm_y0T+(xm_nT-1)/2*xm_sT),2*('XA MU'!$C$27-(xm_y0T+(xm_nT-1)/2*xm_sT))/xm_sT,0)+IF('XA MU'!$D$27&gt;(xm_y0T+(xm_nT-1)/2*xm_sT),2*('XA MU'!$D$27-(xm_y0T+(xm_nT-1)/2*xm_sT))/xm_sT,0)),0),0)+IF('XA MU'!$B$28&lt;=6,'XA MU'!$E$28*$B$8*(MAX(0,1-ABS('XA MU'!$C$28-$D41)/xm_sT)+MAX(0,1-ABS('XA MU'!$D$28-$D41)/xm_sT)),0)+IF(ABS($D41-(xm_y0T+(xm_nT-1)/2*xm_sT))&lt;0.000001,IF('XA MU'!$B$28&lt;=6,'XA MU'!$E$28*$B$8*(IF('XA MU'!$C$28&gt;(xm_y0T+(xm_nT-1)/2*xm_sT),2*('XA MU'!$C$28-(xm_y0T+(xm_nT-1)/2*xm_sT))/xm_sT,0)+IF('XA MU'!$D$28&gt;(xm_y0T+(xm_nT-1)/2*xm_sT),2*('XA MU'!$D$28-(xm_y0T+(xm_nT-1)/2*xm_sT))/xm_sT,0)),0),0)+IF('XA MU'!$B$29&lt;=6,'XA MU'!$E$29*$B$8*(MAX(0,1-ABS('XA MU'!$C$29-$D41)/xm_sT)+MAX(0,1-ABS('XA MU'!$D$29-$D41)/xm_sT)),0)+IF(ABS($D41-(xm_y0T+(xm_nT-1)/2*xm_sT))&lt;0.000001,IF('XA MU'!$B$29&lt;=6,'XA MU'!$E$29*$B$8*(IF('XA MU'!$C$29&gt;(xm_y0T+(xm_nT-1)/2*xm_sT),2*('XA MU'!$C$29-(xm_y0T+(xm_nT-1)/2*xm_sT))/xm_sT,0)+IF('XA MU'!$D$29&gt;(xm_y0T+(xm_nT-1)/2*xm_sT),2*('XA MU'!$D$29-(xm_y0T+(xm_nT-1)/2*xm_sT))/xm_sT,0)),0),0)+IF('XA MU'!$B$30&lt;=6,'XA MU'!$E$30*$B$8*(MAX(0,1-ABS('XA MU'!$C$30-$D41)/xm_sT)+MAX(0,1-ABS('XA MU'!$D$30-$D41)/xm_sT)),0)+IF(ABS($D41-(xm_y0T+(xm_nT-1)/2*xm_sT))&lt;0.000001,IF('XA MU'!$B$30&lt;=6,'XA MU'!$E$30*$B$8*(IF('XA MU'!$C$30&gt;(xm_y0T+(xm_nT-1)/2*xm_sT),2*('XA MU'!$C$30-(xm_y0T+(xm_nT-1)/2*xm_sT))/xm_sT,0)+IF('XA MU'!$D$30&gt;(xm_y0T+(xm_nT-1)/2*xm_sT),2*('XA MU'!$D$30-(xm_y0T+(xm_nT-1)/2*xm_sT))/xm_sT,0)),0),0))))</f>
        <v>0</v>
      </c>
    </row>
    <row r="42" spans="1:14" x14ac:dyDescent="0.3">
      <c r="A42" s="42" t="s">
        <v>1235</v>
      </c>
      <c r="B42" s="42">
        <v>28</v>
      </c>
      <c r="C42" s="40">
        <f t="shared" si="0"/>
        <v>0</v>
      </c>
      <c r="D42" s="44">
        <f t="shared" si="1"/>
        <v>0</v>
      </c>
      <c r="E42" s="44">
        <f>MAX(0,D42-'XA MU'!$C$8)*C42</f>
        <v>0</v>
      </c>
      <c r="F42" s="44">
        <f>IF(AND(C42=1,D42&gt;'XA MU'!$C$8),1,0)</f>
        <v>0</v>
      </c>
      <c r="G42" s="44">
        <f t="shared" si="2"/>
        <v>0</v>
      </c>
      <c r="H42" s="44">
        <f t="shared" si="3"/>
        <v>0</v>
      </c>
      <c r="I42" s="44">
        <f>IF(C42=0,0,IF(1&gt;nLan,0,1.2*(IF('XA MU'!$B$25&lt;=1,'XA MU'!$E$25*$B$8*(MAX(0,1-ABS('XA MU'!$C$25-$D42)/xm_sT)+MAX(0,1-ABS('XA MU'!$D$25-$D42)/xm_sT)),0)+IF(ABS($D42-(xm_y0T+(xm_nT-1)/2*xm_sT))&lt;0.000001,IF('XA MU'!$B$25&lt;=1,'XA MU'!$E$25*$B$8*(IF('XA MU'!$C$25&gt;(xm_y0T+(xm_nT-1)/2*xm_sT),2*('XA MU'!$C$25-(xm_y0T+(xm_nT-1)/2*xm_sT))/xm_sT,0)+IF('XA MU'!$D$25&gt;(xm_y0T+(xm_nT-1)/2*xm_sT),2*('XA MU'!$D$25-(xm_y0T+(xm_nT-1)/2*xm_sT))/xm_sT,0)),0),0)+IF('XA MU'!$B$26&lt;=1,'XA MU'!$E$26*$B$8*(MAX(0,1-ABS('XA MU'!$C$26-$D42)/xm_sT)+MAX(0,1-ABS('XA MU'!$D$26-$D42)/xm_sT)),0)+IF(ABS($D42-(xm_y0T+(xm_nT-1)/2*xm_sT))&lt;0.000001,IF('XA MU'!$B$26&lt;=1,'XA MU'!$E$26*$B$8*(IF('XA MU'!$C$26&gt;(xm_y0T+(xm_nT-1)/2*xm_sT),2*('XA MU'!$C$26-(xm_y0T+(xm_nT-1)/2*xm_sT))/xm_sT,0)+IF('XA MU'!$D$26&gt;(xm_y0T+(xm_nT-1)/2*xm_sT),2*('XA MU'!$D$26-(xm_y0T+(xm_nT-1)/2*xm_sT))/xm_sT,0)),0),0)+IF('XA MU'!$B$27&lt;=1,'XA MU'!$E$27*$B$8*(MAX(0,1-ABS('XA MU'!$C$27-$D42)/xm_sT)+MAX(0,1-ABS('XA MU'!$D$27-$D42)/xm_sT)),0)+IF(ABS($D42-(xm_y0T+(xm_nT-1)/2*xm_sT))&lt;0.000001,IF('XA MU'!$B$27&lt;=1,'XA MU'!$E$27*$B$8*(IF('XA MU'!$C$27&gt;(xm_y0T+(xm_nT-1)/2*xm_sT),2*('XA MU'!$C$27-(xm_y0T+(xm_nT-1)/2*xm_sT))/xm_sT,0)+IF('XA MU'!$D$27&gt;(xm_y0T+(xm_nT-1)/2*xm_sT),2*('XA MU'!$D$27-(xm_y0T+(xm_nT-1)/2*xm_sT))/xm_sT,0)),0),0)+IF('XA MU'!$B$28&lt;=1,'XA MU'!$E$28*$B$8*(MAX(0,1-ABS('XA MU'!$C$28-$D42)/xm_sT)+MAX(0,1-ABS('XA MU'!$D$28-$D42)/xm_sT)),0)+IF(ABS($D42-(xm_y0T+(xm_nT-1)/2*xm_sT))&lt;0.000001,IF('XA MU'!$B$28&lt;=1,'XA MU'!$E$28*$B$8*(IF('XA MU'!$C$28&gt;(xm_y0T+(xm_nT-1)/2*xm_sT),2*('XA MU'!$C$28-(xm_y0T+(xm_nT-1)/2*xm_sT))/xm_sT,0)+IF('XA MU'!$D$28&gt;(xm_y0T+(xm_nT-1)/2*xm_sT),2*('XA MU'!$D$28-(xm_y0T+(xm_nT-1)/2*xm_sT))/xm_sT,0)),0),0)+IF('XA MU'!$B$29&lt;=1,'XA MU'!$E$29*$B$8*(MAX(0,1-ABS('XA MU'!$C$29-$D42)/xm_sT)+MAX(0,1-ABS('XA MU'!$D$29-$D42)/xm_sT)),0)+IF(ABS($D42-(xm_y0T+(xm_nT-1)/2*xm_sT))&lt;0.000001,IF('XA MU'!$B$29&lt;=1,'XA MU'!$E$29*$B$8*(IF('XA MU'!$C$29&gt;(xm_y0T+(xm_nT-1)/2*xm_sT),2*('XA MU'!$C$29-(xm_y0T+(xm_nT-1)/2*xm_sT))/xm_sT,0)+IF('XA MU'!$D$29&gt;(xm_y0T+(xm_nT-1)/2*xm_sT),2*('XA MU'!$D$29-(xm_y0T+(xm_nT-1)/2*xm_sT))/xm_sT,0)),0),0)+IF('XA MU'!$B$30&lt;=1,'XA MU'!$E$30*$B$8*(MAX(0,1-ABS('XA MU'!$C$30-$D42)/xm_sT)+MAX(0,1-ABS('XA MU'!$D$30-$D42)/xm_sT)),0)+IF(ABS($D42-(xm_y0T+(xm_nT-1)/2*xm_sT))&lt;0.000001,IF('XA MU'!$B$30&lt;=1,'XA MU'!$E$30*$B$8*(IF('XA MU'!$C$30&gt;(xm_y0T+(xm_nT-1)/2*xm_sT),2*('XA MU'!$C$30-(xm_y0T+(xm_nT-1)/2*xm_sT))/xm_sT,0)+IF('XA MU'!$D$30&gt;(xm_y0T+(xm_nT-1)/2*xm_sT),2*('XA MU'!$D$30-(xm_y0T+(xm_nT-1)/2*xm_sT))/xm_sT,0)),0),0))))</f>
        <v>0</v>
      </c>
      <c r="J42" s="44">
        <f>IF(C42=0,0,IF(2&gt;nLan,0,1*(IF('XA MU'!$B$25&lt;=2,'XA MU'!$E$25*$B$8*(MAX(0,1-ABS('XA MU'!$C$25-$D42)/xm_sT)+MAX(0,1-ABS('XA MU'!$D$25-$D42)/xm_sT)),0)+IF(ABS($D42-(xm_y0T+(xm_nT-1)/2*xm_sT))&lt;0.000001,IF('XA MU'!$B$25&lt;=2,'XA MU'!$E$25*$B$8*(IF('XA MU'!$C$25&gt;(xm_y0T+(xm_nT-1)/2*xm_sT),2*('XA MU'!$C$25-(xm_y0T+(xm_nT-1)/2*xm_sT))/xm_sT,0)+IF('XA MU'!$D$25&gt;(xm_y0T+(xm_nT-1)/2*xm_sT),2*('XA MU'!$D$25-(xm_y0T+(xm_nT-1)/2*xm_sT))/xm_sT,0)),0),0)+IF('XA MU'!$B$26&lt;=2,'XA MU'!$E$26*$B$8*(MAX(0,1-ABS('XA MU'!$C$26-$D42)/xm_sT)+MAX(0,1-ABS('XA MU'!$D$26-$D42)/xm_sT)),0)+IF(ABS($D42-(xm_y0T+(xm_nT-1)/2*xm_sT))&lt;0.000001,IF('XA MU'!$B$26&lt;=2,'XA MU'!$E$26*$B$8*(IF('XA MU'!$C$26&gt;(xm_y0T+(xm_nT-1)/2*xm_sT),2*('XA MU'!$C$26-(xm_y0T+(xm_nT-1)/2*xm_sT))/xm_sT,0)+IF('XA MU'!$D$26&gt;(xm_y0T+(xm_nT-1)/2*xm_sT),2*('XA MU'!$D$26-(xm_y0T+(xm_nT-1)/2*xm_sT))/xm_sT,0)),0),0)+IF('XA MU'!$B$27&lt;=2,'XA MU'!$E$27*$B$8*(MAX(0,1-ABS('XA MU'!$C$27-$D42)/xm_sT)+MAX(0,1-ABS('XA MU'!$D$27-$D42)/xm_sT)),0)+IF(ABS($D42-(xm_y0T+(xm_nT-1)/2*xm_sT))&lt;0.000001,IF('XA MU'!$B$27&lt;=2,'XA MU'!$E$27*$B$8*(IF('XA MU'!$C$27&gt;(xm_y0T+(xm_nT-1)/2*xm_sT),2*('XA MU'!$C$27-(xm_y0T+(xm_nT-1)/2*xm_sT))/xm_sT,0)+IF('XA MU'!$D$27&gt;(xm_y0T+(xm_nT-1)/2*xm_sT),2*('XA MU'!$D$27-(xm_y0T+(xm_nT-1)/2*xm_sT))/xm_sT,0)),0),0)+IF('XA MU'!$B$28&lt;=2,'XA MU'!$E$28*$B$8*(MAX(0,1-ABS('XA MU'!$C$28-$D42)/xm_sT)+MAX(0,1-ABS('XA MU'!$D$28-$D42)/xm_sT)),0)+IF(ABS($D42-(xm_y0T+(xm_nT-1)/2*xm_sT))&lt;0.000001,IF('XA MU'!$B$28&lt;=2,'XA MU'!$E$28*$B$8*(IF('XA MU'!$C$28&gt;(xm_y0T+(xm_nT-1)/2*xm_sT),2*('XA MU'!$C$28-(xm_y0T+(xm_nT-1)/2*xm_sT))/xm_sT,0)+IF('XA MU'!$D$28&gt;(xm_y0T+(xm_nT-1)/2*xm_sT),2*('XA MU'!$D$28-(xm_y0T+(xm_nT-1)/2*xm_sT))/xm_sT,0)),0),0)+IF('XA MU'!$B$29&lt;=2,'XA MU'!$E$29*$B$8*(MAX(0,1-ABS('XA MU'!$C$29-$D42)/xm_sT)+MAX(0,1-ABS('XA MU'!$D$29-$D42)/xm_sT)),0)+IF(ABS($D42-(xm_y0T+(xm_nT-1)/2*xm_sT))&lt;0.000001,IF('XA MU'!$B$29&lt;=2,'XA MU'!$E$29*$B$8*(IF('XA MU'!$C$29&gt;(xm_y0T+(xm_nT-1)/2*xm_sT),2*('XA MU'!$C$29-(xm_y0T+(xm_nT-1)/2*xm_sT))/xm_sT,0)+IF('XA MU'!$D$29&gt;(xm_y0T+(xm_nT-1)/2*xm_sT),2*('XA MU'!$D$29-(xm_y0T+(xm_nT-1)/2*xm_sT))/xm_sT,0)),0),0)+IF('XA MU'!$B$30&lt;=2,'XA MU'!$E$30*$B$8*(MAX(0,1-ABS('XA MU'!$C$30-$D42)/xm_sT)+MAX(0,1-ABS('XA MU'!$D$30-$D42)/xm_sT)),0)+IF(ABS($D42-(xm_y0T+(xm_nT-1)/2*xm_sT))&lt;0.000001,IF('XA MU'!$B$30&lt;=2,'XA MU'!$E$30*$B$8*(IF('XA MU'!$C$30&gt;(xm_y0T+(xm_nT-1)/2*xm_sT),2*('XA MU'!$C$30-(xm_y0T+(xm_nT-1)/2*xm_sT))/xm_sT,0)+IF('XA MU'!$D$30&gt;(xm_y0T+(xm_nT-1)/2*xm_sT),2*('XA MU'!$D$30-(xm_y0T+(xm_nT-1)/2*xm_sT))/xm_sT,0)),0),0))))</f>
        <v>0</v>
      </c>
      <c r="K42" s="44">
        <f>IF(C42=0,0,IF(3&gt;nLan,0,0.85*(IF('XA MU'!$B$25&lt;=3,'XA MU'!$E$25*$B$8*(MAX(0,1-ABS('XA MU'!$C$25-$D42)/xm_sT)+MAX(0,1-ABS('XA MU'!$D$25-$D42)/xm_sT)),0)+IF(ABS($D42-(xm_y0T+(xm_nT-1)/2*xm_sT))&lt;0.000001,IF('XA MU'!$B$25&lt;=3,'XA MU'!$E$25*$B$8*(IF('XA MU'!$C$25&gt;(xm_y0T+(xm_nT-1)/2*xm_sT),2*('XA MU'!$C$25-(xm_y0T+(xm_nT-1)/2*xm_sT))/xm_sT,0)+IF('XA MU'!$D$25&gt;(xm_y0T+(xm_nT-1)/2*xm_sT),2*('XA MU'!$D$25-(xm_y0T+(xm_nT-1)/2*xm_sT))/xm_sT,0)),0),0)+IF('XA MU'!$B$26&lt;=3,'XA MU'!$E$26*$B$8*(MAX(0,1-ABS('XA MU'!$C$26-$D42)/xm_sT)+MAX(0,1-ABS('XA MU'!$D$26-$D42)/xm_sT)),0)+IF(ABS($D42-(xm_y0T+(xm_nT-1)/2*xm_sT))&lt;0.000001,IF('XA MU'!$B$26&lt;=3,'XA MU'!$E$26*$B$8*(IF('XA MU'!$C$26&gt;(xm_y0T+(xm_nT-1)/2*xm_sT),2*('XA MU'!$C$26-(xm_y0T+(xm_nT-1)/2*xm_sT))/xm_sT,0)+IF('XA MU'!$D$26&gt;(xm_y0T+(xm_nT-1)/2*xm_sT),2*('XA MU'!$D$26-(xm_y0T+(xm_nT-1)/2*xm_sT))/xm_sT,0)),0),0)+IF('XA MU'!$B$27&lt;=3,'XA MU'!$E$27*$B$8*(MAX(0,1-ABS('XA MU'!$C$27-$D42)/xm_sT)+MAX(0,1-ABS('XA MU'!$D$27-$D42)/xm_sT)),0)+IF(ABS($D42-(xm_y0T+(xm_nT-1)/2*xm_sT))&lt;0.000001,IF('XA MU'!$B$27&lt;=3,'XA MU'!$E$27*$B$8*(IF('XA MU'!$C$27&gt;(xm_y0T+(xm_nT-1)/2*xm_sT),2*('XA MU'!$C$27-(xm_y0T+(xm_nT-1)/2*xm_sT))/xm_sT,0)+IF('XA MU'!$D$27&gt;(xm_y0T+(xm_nT-1)/2*xm_sT),2*('XA MU'!$D$27-(xm_y0T+(xm_nT-1)/2*xm_sT))/xm_sT,0)),0),0)+IF('XA MU'!$B$28&lt;=3,'XA MU'!$E$28*$B$8*(MAX(0,1-ABS('XA MU'!$C$28-$D42)/xm_sT)+MAX(0,1-ABS('XA MU'!$D$28-$D42)/xm_sT)),0)+IF(ABS($D42-(xm_y0T+(xm_nT-1)/2*xm_sT))&lt;0.000001,IF('XA MU'!$B$28&lt;=3,'XA MU'!$E$28*$B$8*(IF('XA MU'!$C$28&gt;(xm_y0T+(xm_nT-1)/2*xm_sT),2*('XA MU'!$C$28-(xm_y0T+(xm_nT-1)/2*xm_sT))/xm_sT,0)+IF('XA MU'!$D$28&gt;(xm_y0T+(xm_nT-1)/2*xm_sT),2*('XA MU'!$D$28-(xm_y0T+(xm_nT-1)/2*xm_sT))/xm_sT,0)),0),0)+IF('XA MU'!$B$29&lt;=3,'XA MU'!$E$29*$B$8*(MAX(0,1-ABS('XA MU'!$C$29-$D42)/xm_sT)+MAX(0,1-ABS('XA MU'!$D$29-$D42)/xm_sT)),0)+IF(ABS($D42-(xm_y0T+(xm_nT-1)/2*xm_sT))&lt;0.000001,IF('XA MU'!$B$29&lt;=3,'XA MU'!$E$29*$B$8*(IF('XA MU'!$C$29&gt;(xm_y0T+(xm_nT-1)/2*xm_sT),2*('XA MU'!$C$29-(xm_y0T+(xm_nT-1)/2*xm_sT))/xm_sT,0)+IF('XA MU'!$D$29&gt;(xm_y0T+(xm_nT-1)/2*xm_sT),2*('XA MU'!$D$29-(xm_y0T+(xm_nT-1)/2*xm_sT))/xm_sT,0)),0),0)+IF('XA MU'!$B$30&lt;=3,'XA MU'!$E$30*$B$8*(MAX(0,1-ABS('XA MU'!$C$30-$D42)/xm_sT)+MAX(0,1-ABS('XA MU'!$D$30-$D42)/xm_sT)),0)+IF(ABS($D42-(xm_y0T+(xm_nT-1)/2*xm_sT))&lt;0.000001,IF('XA MU'!$B$30&lt;=3,'XA MU'!$E$30*$B$8*(IF('XA MU'!$C$30&gt;(xm_y0T+(xm_nT-1)/2*xm_sT),2*('XA MU'!$C$30-(xm_y0T+(xm_nT-1)/2*xm_sT))/xm_sT,0)+IF('XA MU'!$D$30&gt;(xm_y0T+(xm_nT-1)/2*xm_sT),2*('XA MU'!$D$30-(xm_y0T+(xm_nT-1)/2*xm_sT))/xm_sT,0)),0),0))))</f>
        <v>0</v>
      </c>
      <c r="L42" s="44">
        <f>IF(C42=0,0,IF(4&gt;nLan,0,0.65*(IF('XA MU'!$B$25&lt;=4,'XA MU'!$E$25*$B$8*(MAX(0,1-ABS('XA MU'!$C$25-$D42)/xm_sT)+MAX(0,1-ABS('XA MU'!$D$25-$D42)/xm_sT)),0)+IF(ABS($D42-(xm_y0T+(xm_nT-1)/2*xm_sT))&lt;0.000001,IF('XA MU'!$B$25&lt;=4,'XA MU'!$E$25*$B$8*(IF('XA MU'!$C$25&gt;(xm_y0T+(xm_nT-1)/2*xm_sT),2*('XA MU'!$C$25-(xm_y0T+(xm_nT-1)/2*xm_sT))/xm_sT,0)+IF('XA MU'!$D$25&gt;(xm_y0T+(xm_nT-1)/2*xm_sT),2*('XA MU'!$D$25-(xm_y0T+(xm_nT-1)/2*xm_sT))/xm_sT,0)),0),0)+IF('XA MU'!$B$26&lt;=4,'XA MU'!$E$26*$B$8*(MAX(0,1-ABS('XA MU'!$C$26-$D42)/xm_sT)+MAX(0,1-ABS('XA MU'!$D$26-$D42)/xm_sT)),0)+IF(ABS($D42-(xm_y0T+(xm_nT-1)/2*xm_sT))&lt;0.000001,IF('XA MU'!$B$26&lt;=4,'XA MU'!$E$26*$B$8*(IF('XA MU'!$C$26&gt;(xm_y0T+(xm_nT-1)/2*xm_sT),2*('XA MU'!$C$26-(xm_y0T+(xm_nT-1)/2*xm_sT))/xm_sT,0)+IF('XA MU'!$D$26&gt;(xm_y0T+(xm_nT-1)/2*xm_sT),2*('XA MU'!$D$26-(xm_y0T+(xm_nT-1)/2*xm_sT))/xm_sT,0)),0),0)+IF('XA MU'!$B$27&lt;=4,'XA MU'!$E$27*$B$8*(MAX(0,1-ABS('XA MU'!$C$27-$D42)/xm_sT)+MAX(0,1-ABS('XA MU'!$D$27-$D42)/xm_sT)),0)+IF(ABS($D42-(xm_y0T+(xm_nT-1)/2*xm_sT))&lt;0.000001,IF('XA MU'!$B$27&lt;=4,'XA MU'!$E$27*$B$8*(IF('XA MU'!$C$27&gt;(xm_y0T+(xm_nT-1)/2*xm_sT),2*('XA MU'!$C$27-(xm_y0T+(xm_nT-1)/2*xm_sT))/xm_sT,0)+IF('XA MU'!$D$27&gt;(xm_y0T+(xm_nT-1)/2*xm_sT),2*('XA MU'!$D$27-(xm_y0T+(xm_nT-1)/2*xm_sT))/xm_sT,0)),0),0)+IF('XA MU'!$B$28&lt;=4,'XA MU'!$E$28*$B$8*(MAX(0,1-ABS('XA MU'!$C$28-$D42)/xm_sT)+MAX(0,1-ABS('XA MU'!$D$28-$D42)/xm_sT)),0)+IF(ABS($D42-(xm_y0T+(xm_nT-1)/2*xm_sT))&lt;0.000001,IF('XA MU'!$B$28&lt;=4,'XA MU'!$E$28*$B$8*(IF('XA MU'!$C$28&gt;(xm_y0T+(xm_nT-1)/2*xm_sT),2*('XA MU'!$C$28-(xm_y0T+(xm_nT-1)/2*xm_sT))/xm_sT,0)+IF('XA MU'!$D$28&gt;(xm_y0T+(xm_nT-1)/2*xm_sT),2*('XA MU'!$D$28-(xm_y0T+(xm_nT-1)/2*xm_sT))/xm_sT,0)),0),0)+IF('XA MU'!$B$29&lt;=4,'XA MU'!$E$29*$B$8*(MAX(0,1-ABS('XA MU'!$C$29-$D42)/xm_sT)+MAX(0,1-ABS('XA MU'!$D$29-$D42)/xm_sT)),0)+IF(ABS($D42-(xm_y0T+(xm_nT-1)/2*xm_sT))&lt;0.000001,IF('XA MU'!$B$29&lt;=4,'XA MU'!$E$29*$B$8*(IF('XA MU'!$C$29&gt;(xm_y0T+(xm_nT-1)/2*xm_sT),2*('XA MU'!$C$29-(xm_y0T+(xm_nT-1)/2*xm_sT))/xm_sT,0)+IF('XA MU'!$D$29&gt;(xm_y0T+(xm_nT-1)/2*xm_sT),2*('XA MU'!$D$29-(xm_y0T+(xm_nT-1)/2*xm_sT))/xm_sT,0)),0),0)+IF('XA MU'!$B$30&lt;=4,'XA MU'!$E$30*$B$8*(MAX(0,1-ABS('XA MU'!$C$30-$D42)/xm_sT)+MAX(0,1-ABS('XA MU'!$D$30-$D42)/xm_sT)),0)+IF(ABS($D42-(xm_y0T+(xm_nT-1)/2*xm_sT))&lt;0.000001,IF('XA MU'!$B$30&lt;=4,'XA MU'!$E$30*$B$8*(IF('XA MU'!$C$30&gt;(xm_y0T+(xm_nT-1)/2*xm_sT),2*('XA MU'!$C$30-(xm_y0T+(xm_nT-1)/2*xm_sT))/xm_sT,0)+IF('XA MU'!$D$30&gt;(xm_y0T+(xm_nT-1)/2*xm_sT),2*('XA MU'!$D$30-(xm_y0T+(xm_nT-1)/2*xm_sT))/xm_sT,0)),0),0))))</f>
        <v>0</v>
      </c>
      <c r="M42" s="44">
        <f>IF(C42=0,0,IF(5&gt;nLan,0,0.65*(IF('XA MU'!$B$25&lt;=5,'XA MU'!$E$25*$B$8*(MAX(0,1-ABS('XA MU'!$C$25-$D42)/xm_sT)+MAX(0,1-ABS('XA MU'!$D$25-$D42)/xm_sT)),0)+IF(ABS($D42-(xm_y0T+(xm_nT-1)/2*xm_sT))&lt;0.000001,IF('XA MU'!$B$25&lt;=5,'XA MU'!$E$25*$B$8*(IF('XA MU'!$C$25&gt;(xm_y0T+(xm_nT-1)/2*xm_sT),2*('XA MU'!$C$25-(xm_y0T+(xm_nT-1)/2*xm_sT))/xm_sT,0)+IF('XA MU'!$D$25&gt;(xm_y0T+(xm_nT-1)/2*xm_sT),2*('XA MU'!$D$25-(xm_y0T+(xm_nT-1)/2*xm_sT))/xm_sT,0)),0),0)+IF('XA MU'!$B$26&lt;=5,'XA MU'!$E$26*$B$8*(MAX(0,1-ABS('XA MU'!$C$26-$D42)/xm_sT)+MAX(0,1-ABS('XA MU'!$D$26-$D42)/xm_sT)),0)+IF(ABS($D42-(xm_y0T+(xm_nT-1)/2*xm_sT))&lt;0.000001,IF('XA MU'!$B$26&lt;=5,'XA MU'!$E$26*$B$8*(IF('XA MU'!$C$26&gt;(xm_y0T+(xm_nT-1)/2*xm_sT),2*('XA MU'!$C$26-(xm_y0T+(xm_nT-1)/2*xm_sT))/xm_sT,0)+IF('XA MU'!$D$26&gt;(xm_y0T+(xm_nT-1)/2*xm_sT),2*('XA MU'!$D$26-(xm_y0T+(xm_nT-1)/2*xm_sT))/xm_sT,0)),0),0)+IF('XA MU'!$B$27&lt;=5,'XA MU'!$E$27*$B$8*(MAX(0,1-ABS('XA MU'!$C$27-$D42)/xm_sT)+MAX(0,1-ABS('XA MU'!$D$27-$D42)/xm_sT)),0)+IF(ABS($D42-(xm_y0T+(xm_nT-1)/2*xm_sT))&lt;0.000001,IF('XA MU'!$B$27&lt;=5,'XA MU'!$E$27*$B$8*(IF('XA MU'!$C$27&gt;(xm_y0T+(xm_nT-1)/2*xm_sT),2*('XA MU'!$C$27-(xm_y0T+(xm_nT-1)/2*xm_sT))/xm_sT,0)+IF('XA MU'!$D$27&gt;(xm_y0T+(xm_nT-1)/2*xm_sT),2*('XA MU'!$D$27-(xm_y0T+(xm_nT-1)/2*xm_sT))/xm_sT,0)),0),0)+IF('XA MU'!$B$28&lt;=5,'XA MU'!$E$28*$B$8*(MAX(0,1-ABS('XA MU'!$C$28-$D42)/xm_sT)+MAX(0,1-ABS('XA MU'!$D$28-$D42)/xm_sT)),0)+IF(ABS($D42-(xm_y0T+(xm_nT-1)/2*xm_sT))&lt;0.000001,IF('XA MU'!$B$28&lt;=5,'XA MU'!$E$28*$B$8*(IF('XA MU'!$C$28&gt;(xm_y0T+(xm_nT-1)/2*xm_sT),2*('XA MU'!$C$28-(xm_y0T+(xm_nT-1)/2*xm_sT))/xm_sT,0)+IF('XA MU'!$D$28&gt;(xm_y0T+(xm_nT-1)/2*xm_sT),2*('XA MU'!$D$28-(xm_y0T+(xm_nT-1)/2*xm_sT))/xm_sT,0)),0),0)+IF('XA MU'!$B$29&lt;=5,'XA MU'!$E$29*$B$8*(MAX(0,1-ABS('XA MU'!$C$29-$D42)/xm_sT)+MAX(0,1-ABS('XA MU'!$D$29-$D42)/xm_sT)),0)+IF(ABS($D42-(xm_y0T+(xm_nT-1)/2*xm_sT))&lt;0.000001,IF('XA MU'!$B$29&lt;=5,'XA MU'!$E$29*$B$8*(IF('XA MU'!$C$29&gt;(xm_y0T+(xm_nT-1)/2*xm_sT),2*('XA MU'!$C$29-(xm_y0T+(xm_nT-1)/2*xm_sT))/xm_sT,0)+IF('XA MU'!$D$29&gt;(xm_y0T+(xm_nT-1)/2*xm_sT),2*('XA MU'!$D$29-(xm_y0T+(xm_nT-1)/2*xm_sT))/xm_sT,0)),0),0)+IF('XA MU'!$B$30&lt;=5,'XA MU'!$E$30*$B$8*(MAX(0,1-ABS('XA MU'!$C$30-$D42)/xm_sT)+MAX(0,1-ABS('XA MU'!$D$30-$D42)/xm_sT)),0)+IF(ABS($D42-(xm_y0T+(xm_nT-1)/2*xm_sT))&lt;0.000001,IF('XA MU'!$B$30&lt;=5,'XA MU'!$E$30*$B$8*(IF('XA MU'!$C$30&gt;(xm_y0T+(xm_nT-1)/2*xm_sT),2*('XA MU'!$C$30-(xm_y0T+(xm_nT-1)/2*xm_sT))/xm_sT,0)+IF('XA MU'!$D$30&gt;(xm_y0T+(xm_nT-1)/2*xm_sT),2*('XA MU'!$D$30-(xm_y0T+(xm_nT-1)/2*xm_sT))/xm_sT,0)),0),0))))</f>
        <v>0</v>
      </c>
      <c r="N42" s="44">
        <f>IF(C42=0,0,IF(6&gt;nLan,0,0.65*(IF('XA MU'!$B$25&lt;=6,'XA MU'!$E$25*$B$8*(MAX(0,1-ABS('XA MU'!$C$25-$D42)/xm_sT)+MAX(0,1-ABS('XA MU'!$D$25-$D42)/xm_sT)),0)+IF(ABS($D42-(xm_y0T+(xm_nT-1)/2*xm_sT))&lt;0.000001,IF('XA MU'!$B$25&lt;=6,'XA MU'!$E$25*$B$8*(IF('XA MU'!$C$25&gt;(xm_y0T+(xm_nT-1)/2*xm_sT),2*('XA MU'!$C$25-(xm_y0T+(xm_nT-1)/2*xm_sT))/xm_sT,0)+IF('XA MU'!$D$25&gt;(xm_y0T+(xm_nT-1)/2*xm_sT),2*('XA MU'!$D$25-(xm_y0T+(xm_nT-1)/2*xm_sT))/xm_sT,0)),0),0)+IF('XA MU'!$B$26&lt;=6,'XA MU'!$E$26*$B$8*(MAX(0,1-ABS('XA MU'!$C$26-$D42)/xm_sT)+MAX(0,1-ABS('XA MU'!$D$26-$D42)/xm_sT)),0)+IF(ABS($D42-(xm_y0T+(xm_nT-1)/2*xm_sT))&lt;0.000001,IF('XA MU'!$B$26&lt;=6,'XA MU'!$E$26*$B$8*(IF('XA MU'!$C$26&gt;(xm_y0T+(xm_nT-1)/2*xm_sT),2*('XA MU'!$C$26-(xm_y0T+(xm_nT-1)/2*xm_sT))/xm_sT,0)+IF('XA MU'!$D$26&gt;(xm_y0T+(xm_nT-1)/2*xm_sT),2*('XA MU'!$D$26-(xm_y0T+(xm_nT-1)/2*xm_sT))/xm_sT,0)),0),0)+IF('XA MU'!$B$27&lt;=6,'XA MU'!$E$27*$B$8*(MAX(0,1-ABS('XA MU'!$C$27-$D42)/xm_sT)+MAX(0,1-ABS('XA MU'!$D$27-$D42)/xm_sT)),0)+IF(ABS($D42-(xm_y0T+(xm_nT-1)/2*xm_sT))&lt;0.000001,IF('XA MU'!$B$27&lt;=6,'XA MU'!$E$27*$B$8*(IF('XA MU'!$C$27&gt;(xm_y0T+(xm_nT-1)/2*xm_sT),2*('XA MU'!$C$27-(xm_y0T+(xm_nT-1)/2*xm_sT))/xm_sT,0)+IF('XA MU'!$D$27&gt;(xm_y0T+(xm_nT-1)/2*xm_sT),2*('XA MU'!$D$27-(xm_y0T+(xm_nT-1)/2*xm_sT))/xm_sT,0)),0),0)+IF('XA MU'!$B$28&lt;=6,'XA MU'!$E$28*$B$8*(MAX(0,1-ABS('XA MU'!$C$28-$D42)/xm_sT)+MAX(0,1-ABS('XA MU'!$D$28-$D42)/xm_sT)),0)+IF(ABS($D42-(xm_y0T+(xm_nT-1)/2*xm_sT))&lt;0.000001,IF('XA MU'!$B$28&lt;=6,'XA MU'!$E$28*$B$8*(IF('XA MU'!$C$28&gt;(xm_y0T+(xm_nT-1)/2*xm_sT),2*('XA MU'!$C$28-(xm_y0T+(xm_nT-1)/2*xm_sT))/xm_sT,0)+IF('XA MU'!$D$28&gt;(xm_y0T+(xm_nT-1)/2*xm_sT),2*('XA MU'!$D$28-(xm_y0T+(xm_nT-1)/2*xm_sT))/xm_sT,0)),0),0)+IF('XA MU'!$B$29&lt;=6,'XA MU'!$E$29*$B$8*(MAX(0,1-ABS('XA MU'!$C$29-$D42)/xm_sT)+MAX(0,1-ABS('XA MU'!$D$29-$D42)/xm_sT)),0)+IF(ABS($D42-(xm_y0T+(xm_nT-1)/2*xm_sT))&lt;0.000001,IF('XA MU'!$B$29&lt;=6,'XA MU'!$E$29*$B$8*(IF('XA MU'!$C$29&gt;(xm_y0T+(xm_nT-1)/2*xm_sT),2*('XA MU'!$C$29-(xm_y0T+(xm_nT-1)/2*xm_sT))/xm_sT,0)+IF('XA MU'!$D$29&gt;(xm_y0T+(xm_nT-1)/2*xm_sT),2*('XA MU'!$D$29-(xm_y0T+(xm_nT-1)/2*xm_sT))/xm_sT,0)),0),0)+IF('XA MU'!$B$30&lt;=6,'XA MU'!$E$30*$B$8*(MAX(0,1-ABS('XA MU'!$C$30-$D42)/xm_sT)+MAX(0,1-ABS('XA MU'!$D$30-$D42)/xm_sT)),0)+IF(ABS($D42-(xm_y0T+(xm_nT-1)/2*xm_sT))&lt;0.000001,IF('XA MU'!$B$30&lt;=6,'XA MU'!$E$30*$B$8*(IF('XA MU'!$C$30&gt;(xm_y0T+(xm_nT-1)/2*xm_sT),2*('XA MU'!$C$30-(xm_y0T+(xm_nT-1)/2*xm_sT))/xm_sT,0)+IF('XA MU'!$D$30&gt;(xm_y0T+(xm_nT-1)/2*xm_sT),2*('XA MU'!$D$30-(xm_y0T+(xm_nT-1)/2*xm_sT))/xm_sT,0)),0),0))))</f>
        <v>0</v>
      </c>
    </row>
    <row r="43" spans="1:14" x14ac:dyDescent="0.3">
      <c r="A43" s="42" t="s">
        <v>1235</v>
      </c>
      <c r="B43" s="42">
        <v>29</v>
      </c>
      <c r="C43" s="40">
        <f t="shared" si="0"/>
        <v>0</v>
      </c>
      <c r="D43" s="44">
        <f t="shared" si="1"/>
        <v>0</v>
      </c>
      <c r="E43" s="44">
        <f>MAX(0,D43-'XA MU'!$C$8)*C43</f>
        <v>0</v>
      </c>
      <c r="F43" s="44">
        <f>IF(AND(C43=1,D43&gt;'XA MU'!$C$8),1,0)</f>
        <v>0</v>
      </c>
      <c r="G43" s="44">
        <f t="shared" si="2"/>
        <v>0</v>
      </c>
      <c r="H43" s="44">
        <f t="shared" si="3"/>
        <v>0</v>
      </c>
      <c r="I43" s="44">
        <f>IF(C43=0,0,IF(1&gt;nLan,0,1.2*(IF('XA MU'!$B$25&lt;=1,'XA MU'!$E$25*$B$8*(MAX(0,1-ABS('XA MU'!$C$25-$D43)/xm_sT)+MAX(0,1-ABS('XA MU'!$D$25-$D43)/xm_sT)),0)+IF(ABS($D43-(xm_y0T+(xm_nT-1)/2*xm_sT))&lt;0.000001,IF('XA MU'!$B$25&lt;=1,'XA MU'!$E$25*$B$8*(IF('XA MU'!$C$25&gt;(xm_y0T+(xm_nT-1)/2*xm_sT),2*('XA MU'!$C$25-(xm_y0T+(xm_nT-1)/2*xm_sT))/xm_sT,0)+IF('XA MU'!$D$25&gt;(xm_y0T+(xm_nT-1)/2*xm_sT),2*('XA MU'!$D$25-(xm_y0T+(xm_nT-1)/2*xm_sT))/xm_sT,0)),0),0)+IF('XA MU'!$B$26&lt;=1,'XA MU'!$E$26*$B$8*(MAX(0,1-ABS('XA MU'!$C$26-$D43)/xm_sT)+MAX(0,1-ABS('XA MU'!$D$26-$D43)/xm_sT)),0)+IF(ABS($D43-(xm_y0T+(xm_nT-1)/2*xm_sT))&lt;0.000001,IF('XA MU'!$B$26&lt;=1,'XA MU'!$E$26*$B$8*(IF('XA MU'!$C$26&gt;(xm_y0T+(xm_nT-1)/2*xm_sT),2*('XA MU'!$C$26-(xm_y0T+(xm_nT-1)/2*xm_sT))/xm_sT,0)+IF('XA MU'!$D$26&gt;(xm_y0T+(xm_nT-1)/2*xm_sT),2*('XA MU'!$D$26-(xm_y0T+(xm_nT-1)/2*xm_sT))/xm_sT,0)),0),0)+IF('XA MU'!$B$27&lt;=1,'XA MU'!$E$27*$B$8*(MAX(0,1-ABS('XA MU'!$C$27-$D43)/xm_sT)+MAX(0,1-ABS('XA MU'!$D$27-$D43)/xm_sT)),0)+IF(ABS($D43-(xm_y0T+(xm_nT-1)/2*xm_sT))&lt;0.000001,IF('XA MU'!$B$27&lt;=1,'XA MU'!$E$27*$B$8*(IF('XA MU'!$C$27&gt;(xm_y0T+(xm_nT-1)/2*xm_sT),2*('XA MU'!$C$27-(xm_y0T+(xm_nT-1)/2*xm_sT))/xm_sT,0)+IF('XA MU'!$D$27&gt;(xm_y0T+(xm_nT-1)/2*xm_sT),2*('XA MU'!$D$27-(xm_y0T+(xm_nT-1)/2*xm_sT))/xm_sT,0)),0),0)+IF('XA MU'!$B$28&lt;=1,'XA MU'!$E$28*$B$8*(MAX(0,1-ABS('XA MU'!$C$28-$D43)/xm_sT)+MAX(0,1-ABS('XA MU'!$D$28-$D43)/xm_sT)),0)+IF(ABS($D43-(xm_y0T+(xm_nT-1)/2*xm_sT))&lt;0.000001,IF('XA MU'!$B$28&lt;=1,'XA MU'!$E$28*$B$8*(IF('XA MU'!$C$28&gt;(xm_y0T+(xm_nT-1)/2*xm_sT),2*('XA MU'!$C$28-(xm_y0T+(xm_nT-1)/2*xm_sT))/xm_sT,0)+IF('XA MU'!$D$28&gt;(xm_y0T+(xm_nT-1)/2*xm_sT),2*('XA MU'!$D$28-(xm_y0T+(xm_nT-1)/2*xm_sT))/xm_sT,0)),0),0)+IF('XA MU'!$B$29&lt;=1,'XA MU'!$E$29*$B$8*(MAX(0,1-ABS('XA MU'!$C$29-$D43)/xm_sT)+MAX(0,1-ABS('XA MU'!$D$29-$D43)/xm_sT)),0)+IF(ABS($D43-(xm_y0T+(xm_nT-1)/2*xm_sT))&lt;0.000001,IF('XA MU'!$B$29&lt;=1,'XA MU'!$E$29*$B$8*(IF('XA MU'!$C$29&gt;(xm_y0T+(xm_nT-1)/2*xm_sT),2*('XA MU'!$C$29-(xm_y0T+(xm_nT-1)/2*xm_sT))/xm_sT,0)+IF('XA MU'!$D$29&gt;(xm_y0T+(xm_nT-1)/2*xm_sT),2*('XA MU'!$D$29-(xm_y0T+(xm_nT-1)/2*xm_sT))/xm_sT,0)),0),0)+IF('XA MU'!$B$30&lt;=1,'XA MU'!$E$30*$B$8*(MAX(0,1-ABS('XA MU'!$C$30-$D43)/xm_sT)+MAX(0,1-ABS('XA MU'!$D$30-$D43)/xm_sT)),0)+IF(ABS($D43-(xm_y0T+(xm_nT-1)/2*xm_sT))&lt;0.000001,IF('XA MU'!$B$30&lt;=1,'XA MU'!$E$30*$B$8*(IF('XA MU'!$C$30&gt;(xm_y0T+(xm_nT-1)/2*xm_sT),2*('XA MU'!$C$30-(xm_y0T+(xm_nT-1)/2*xm_sT))/xm_sT,0)+IF('XA MU'!$D$30&gt;(xm_y0T+(xm_nT-1)/2*xm_sT),2*('XA MU'!$D$30-(xm_y0T+(xm_nT-1)/2*xm_sT))/xm_sT,0)),0),0))))</f>
        <v>0</v>
      </c>
      <c r="J43" s="44">
        <f>IF(C43=0,0,IF(2&gt;nLan,0,1*(IF('XA MU'!$B$25&lt;=2,'XA MU'!$E$25*$B$8*(MAX(0,1-ABS('XA MU'!$C$25-$D43)/xm_sT)+MAX(0,1-ABS('XA MU'!$D$25-$D43)/xm_sT)),0)+IF(ABS($D43-(xm_y0T+(xm_nT-1)/2*xm_sT))&lt;0.000001,IF('XA MU'!$B$25&lt;=2,'XA MU'!$E$25*$B$8*(IF('XA MU'!$C$25&gt;(xm_y0T+(xm_nT-1)/2*xm_sT),2*('XA MU'!$C$25-(xm_y0T+(xm_nT-1)/2*xm_sT))/xm_sT,0)+IF('XA MU'!$D$25&gt;(xm_y0T+(xm_nT-1)/2*xm_sT),2*('XA MU'!$D$25-(xm_y0T+(xm_nT-1)/2*xm_sT))/xm_sT,0)),0),0)+IF('XA MU'!$B$26&lt;=2,'XA MU'!$E$26*$B$8*(MAX(0,1-ABS('XA MU'!$C$26-$D43)/xm_sT)+MAX(0,1-ABS('XA MU'!$D$26-$D43)/xm_sT)),0)+IF(ABS($D43-(xm_y0T+(xm_nT-1)/2*xm_sT))&lt;0.000001,IF('XA MU'!$B$26&lt;=2,'XA MU'!$E$26*$B$8*(IF('XA MU'!$C$26&gt;(xm_y0T+(xm_nT-1)/2*xm_sT),2*('XA MU'!$C$26-(xm_y0T+(xm_nT-1)/2*xm_sT))/xm_sT,0)+IF('XA MU'!$D$26&gt;(xm_y0T+(xm_nT-1)/2*xm_sT),2*('XA MU'!$D$26-(xm_y0T+(xm_nT-1)/2*xm_sT))/xm_sT,0)),0),0)+IF('XA MU'!$B$27&lt;=2,'XA MU'!$E$27*$B$8*(MAX(0,1-ABS('XA MU'!$C$27-$D43)/xm_sT)+MAX(0,1-ABS('XA MU'!$D$27-$D43)/xm_sT)),0)+IF(ABS($D43-(xm_y0T+(xm_nT-1)/2*xm_sT))&lt;0.000001,IF('XA MU'!$B$27&lt;=2,'XA MU'!$E$27*$B$8*(IF('XA MU'!$C$27&gt;(xm_y0T+(xm_nT-1)/2*xm_sT),2*('XA MU'!$C$27-(xm_y0T+(xm_nT-1)/2*xm_sT))/xm_sT,0)+IF('XA MU'!$D$27&gt;(xm_y0T+(xm_nT-1)/2*xm_sT),2*('XA MU'!$D$27-(xm_y0T+(xm_nT-1)/2*xm_sT))/xm_sT,0)),0),0)+IF('XA MU'!$B$28&lt;=2,'XA MU'!$E$28*$B$8*(MAX(0,1-ABS('XA MU'!$C$28-$D43)/xm_sT)+MAX(0,1-ABS('XA MU'!$D$28-$D43)/xm_sT)),0)+IF(ABS($D43-(xm_y0T+(xm_nT-1)/2*xm_sT))&lt;0.000001,IF('XA MU'!$B$28&lt;=2,'XA MU'!$E$28*$B$8*(IF('XA MU'!$C$28&gt;(xm_y0T+(xm_nT-1)/2*xm_sT),2*('XA MU'!$C$28-(xm_y0T+(xm_nT-1)/2*xm_sT))/xm_sT,0)+IF('XA MU'!$D$28&gt;(xm_y0T+(xm_nT-1)/2*xm_sT),2*('XA MU'!$D$28-(xm_y0T+(xm_nT-1)/2*xm_sT))/xm_sT,0)),0),0)+IF('XA MU'!$B$29&lt;=2,'XA MU'!$E$29*$B$8*(MAX(0,1-ABS('XA MU'!$C$29-$D43)/xm_sT)+MAX(0,1-ABS('XA MU'!$D$29-$D43)/xm_sT)),0)+IF(ABS($D43-(xm_y0T+(xm_nT-1)/2*xm_sT))&lt;0.000001,IF('XA MU'!$B$29&lt;=2,'XA MU'!$E$29*$B$8*(IF('XA MU'!$C$29&gt;(xm_y0T+(xm_nT-1)/2*xm_sT),2*('XA MU'!$C$29-(xm_y0T+(xm_nT-1)/2*xm_sT))/xm_sT,0)+IF('XA MU'!$D$29&gt;(xm_y0T+(xm_nT-1)/2*xm_sT),2*('XA MU'!$D$29-(xm_y0T+(xm_nT-1)/2*xm_sT))/xm_sT,0)),0),0)+IF('XA MU'!$B$30&lt;=2,'XA MU'!$E$30*$B$8*(MAX(0,1-ABS('XA MU'!$C$30-$D43)/xm_sT)+MAX(0,1-ABS('XA MU'!$D$30-$D43)/xm_sT)),0)+IF(ABS($D43-(xm_y0T+(xm_nT-1)/2*xm_sT))&lt;0.000001,IF('XA MU'!$B$30&lt;=2,'XA MU'!$E$30*$B$8*(IF('XA MU'!$C$30&gt;(xm_y0T+(xm_nT-1)/2*xm_sT),2*('XA MU'!$C$30-(xm_y0T+(xm_nT-1)/2*xm_sT))/xm_sT,0)+IF('XA MU'!$D$30&gt;(xm_y0T+(xm_nT-1)/2*xm_sT),2*('XA MU'!$D$30-(xm_y0T+(xm_nT-1)/2*xm_sT))/xm_sT,0)),0),0))))</f>
        <v>0</v>
      </c>
      <c r="K43" s="44">
        <f>IF(C43=0,0,IF(3&gt;nLan,0,0.85*(IF('XA MU'!$B$25&lt;=3,'XA MU'!$E$25*$B$8*(MAX(0,1-ABS('XA MU'!$C$25-$D43)/xm_sT)+MAX(0,1-ABS('XA MU'!$D$25-$D43)/xm_sT)),0)+IF(ABS($D43-(xm_y0T+(xm_nT-1)/2*xm_sT))&lt;0.000001,IF('XA MU'!$B$25&lt;=3,'XA MU'!$E$25*$B$8*(IF('XA MU'!$C$25&gt;(xm_y0T+(xm_nT-1)/2*xm_sT),2*('XA MU'!$C$25-(xm_y0T+(xm_nT-1)/2*xm_sT))/xm_sT,0)+IF('XA MU'!$D$25&gt;(xm_y0T+(xm_nT-1)/2*xm_sT),2*('XA MU'!$D$25-(xm_y0T+(xm_nT-1)/2*xm_sT))/xm_sT,0)),0),0)+IF('XA MU'!$B$26&lt;=3,'XA MU'!$E$26*$B$8*(MAX(0,1-ABS('XA MU'!$C$26-$D43)/xm_sT)+MAX(0,1-ABS('XA MU'!$D$26-$D43)/xm_sT)),0)+IF(ABS($D43-(xm_y0T+(xm_nT-1)/2*xm_sT))&lt;0.000001,IF('XA MU'!$B$26&lt;=3,'XA MU'!$E$26*$B$8*(IF('XA MU'!$C$26&gt;(xm_y0T+(xm_nT-1)/2*xm_sT),2*('XA MU'!$C$26-(xm_y0T+(xm_nT-1)/2*xm_sT))/xm_sT,0)+IF('XA MU'!$D$26&gt;(xm_y0T+(xm_nT-1)/2*xm_sT),2*('XA MU'!$D$26-(xm_y0T+(xm_nT-1)/2*xm_sT))/xm_sT,0)),0),0)+IF('XA MU'!$B$27&lt;=3,'XA MU'!$E$27*$B$8*(MAX(0,1-ABS('XA MU'!$C$27-$D43)/xm_sT)+MAX(0,1-ABS('XA MU'!$D$27-$D43)/xm_sT)),0)+IF(ABS($D43-(xm_y0T+(xm_nT-1)/2*xm_sT))&lt;0.000001,IF('XA MU'!$B$27&lt;=3,'XA MU'!$E$27*$B$8*(IF('XA MU'!$C$27&gt;(xm_y0T+(xm_nT-1)/2*xm_sT),2*('XA MU'!$C$27-(xm_y0T+(xm_nT-1)/2*xm_sT))/xm_sT,0)+IF('XA MU'!$D$27&gt;(xm_y0T+(xm_nT-1)/2*xm_sT),2*('XA MU'!$D$27-(xm_y0T+(xm_nT-1)/2*xm_sT))/xm_sT,0)),0),0)+IF('XA MU'!$B$28&lt;=3,'XA MU'!$E$28*$B$8*(MAX(0,1-ABS('XA MU'!$C$28-$D43)/xm_sT)+MAX(0,1-ABS('XA MU'!$D$28-$D43)/xm_sT)),0)+IF(ABS($D43-(xm_y0T+(xm_nT-1)/2*xm_sT))&lt;0.000001,IF('XA MU'!$B$28&lt;=3,'XA MU'!$E$28*$B$8*(IF('XA MU'!$C$28&gt;(xm_y0T+(xm_nT-1)/2*xm_sT),2*('XA MU'!$C$28-(xm_y0T+(xm_nT-1)/2*xm_sT))/xm_sT,0)+IF('XA MU'!$D$28&gt;(xm_y0T+(xm_nT-1)/2*xm_sT),2*('XA MU'!$D$28-(xm_y0T+(xm_nT-1)/2*xm_sT))/xm_sT,0)),0),0)+IF('XA MU'!$B$29&lt;=3,'XA MU'!$E$29*$B$8*(MAX(0,1-ABS('XA MU'!$C$29-$D43)/xm_sT)+MAX(0,1-ABS('XA MU'!$D$29-$D43)/xm_sT)),0)+IF(ABS($D43-(xm_y0T+(xm_nT-1)/2*xm_sT))&lt;0.000001,IF('XA MU'!$B$29&lt;=3,'XA MU'!$E$29*$B$8*(IF('XA MU'!$C$29&gt;(xm_y0T+(xm_nT-1)/2*xm_sT),2*('XA MU'!$C$29-(xm_y0T+(xm_nT-1)/2*xm_sT))/xm_sT,0)+IF('XA MU'!$D$29&gt;(xm_y0T+(xm_nT-1)/2*xm_sT),2*('XA MU'!$D$29-(xm_y0T+(xm_nT-1)/2*xm_sT))/xm_sT,0)),0),0)+IF('XA MU'!$B$30&lt;=3,'XA MU'!$E$30*$B$8*(MAX(0,1-ABS('XA MU'!$C$30-$D43)/xm_sT)+MAX(0,1-ABS('XA MU'!$D$30-$D43)/xm_sT)),0)+IF(ABS($D43-(xm_y0T+(xm_nT-1)/2*xm_sT))&lt;0.000001,IF('XA MU'!$B$30&lt;=3,'XA MU'!$E$30*$B$8*(IF('XA MU'!$C$30&gt;(xm_y0T+(xm_nT-1)/2*xm_sT),2*('XA MU'!$C$30-(xm_y0T+(xm_nT-1)/2*xm_sT))/xm_sT,0)+IF('XA MU'!$D$30&gt;(xm_y0T+(xm_nT-1)/2*xm_sT),2*('XA MU'!$D$30-(xm_y0T+(xm_nT-1)/2*xm_sT))/xm_sT,0)),0),0))))</f>
        <v>0</v>
      </c>
      <c r="L43" s="44">
        <f>IF(C43=0,0,IF(4&gt;nLan,0,0.65*(IF('XA MU'!$B$25&lt;=4,'XA MU'!$E$25*$B$8*(MAX(0,1-ABS('XA MU'!$C$25-$D43)/xm_sT)+MAX(0,1-ABS('XA MU'!$D$25-$D43)/xm_sT)),0)+IF(ABS($D43-(xm_y0T+(xm_nT-1)/2*xm_sT))&lt;0.000001,IF('XA MU'!$B$25&lt;=4,'XA MU'!$E$25*$B$8*(IF('XA MU'!$C$25&gt;(xm_y0T+(xm_nT-1)/2*xm_sT),2*('XA MU'!$C$25-(xm_y0T+(xm_nT-1)/2*xm_sT))/xm_sT,0)+IF('XA MU'!$D$25&gt;(xm_y0T+(xm_nT-1)/2*xm_sT),2*('XA MU'!$D$25-(xm_y0T+(xm_nT-1)/2*xm_sT))/xm_sT,0)),0),0)+IF('XA MU'!$B$26&lt;=4,'XA MU'!$E$26*$B$8*(MAX(0,1-ABS('XA MU'!$C$26-$D43)/xm_sT)+MAX(0,1-ABS('XA MU'!$D$26-$D43)/xm_sT)),0)+IF(ABS($D43-(xm_y0T+(xm_nT-1)/2*xm_sT))&lt;0.000001,IF('XA MU'!$B$26&lt;=4,'XA MU'!$E$26*$B$8*(IF('XA MU'!$C$26&gt;(xm_y0T+(xm_nT-1)/2*xm_sT),2*('XA MU'!$C$26-(xm_y0T+(xm_nT-1)/2*xm_sT))/xm_sT,0)+IF('XA MU'!$D$26&gt;(xm_y0T+(xm_nT-1)/2*xm_sT),2*('XA MU'!$D$26-(xm_y0T+(xm_nT-1)/2*xm_sT))/xm_sT,0)),0),0)+IF('XA MU'!$B$27&lt;=4,'XA MU'!$E$27*$B$8*(MAX(0,1-ABS('XA MU'!$C$27-$D43)/xm_sT)+MAX(0,1-ABS('XA MU'!$D$27-$D43)/xm_sT)),0)+IF(ABS($D43-(xm_y0T+(xm_nT-1)/2*xm_sT))&lt;0.000001,IF('XA MU'!$B$27&lt;=4,'XA MU'!$E$27*$B$8*(IF('XA MU'!$C$27&gt;(xm_y0T+(xm_nT-1)/2*xm_sT),2*('XA MU'!$C$27-(xm_y0T+(xm_nT-1)/2*xm_sT))/xm_sT,0)+IF('XA MU'!$D$27&gt;(xm_y0T+(xm_nT-1)/2*xm_sT),2*('XA MU'!$D$27-(xm_y0T+(xm_nT-1)/2*xm_sT))/xm_sT,0)),0),0)+IF('XA MU'!$B$28&lt;=4,'XA MU'!$E$28*$B$8*(MAX(0,1-ABS('XA MU'!$C$28-$D43)/xm_sT)+MAX(0,1-ABS('XA MU'!$D$28-$D43)/xm_sT)),0)+IF(ABS($D43-(xm_y0T+(xm_nT-1)/2*xm_sT))&lt;0.000001,IF('XA MU'!$B$28&lt;=4,'XA MU'!$E$28*$B$8*(IF('XA MU'!$C$28&gt;(xm_y0T+(xm_nT-1)/2*xm_sT),2*('XA MU'!$C$28-(xm_y0T+(xm_nT-1)/2*xm_sT))/xm_sT,0)+IF('XA MU'!$D$28&gt;(xm_y0T+(xm_nT-1)/2*xm_sT),2*('XA MU'!$D$28-(xm_y0T+(xm_nT-1)/2*xm_sT))/xm_sT,0)),0),0)+IF('XA MU'!$B$29&lt;=4,'XA MU'!$E$29*$B$8*(MAX(0,1-ABS('XA MU'!$C$29-$D43)/xm_sT)+MAX(0,1-ABS('XA MU'!$D$29-$D43)/xm_sT)),0)+IF(ABS($D43-(xm_y0T+(xm_nT-1)/2*xm_sT))&lt;0.000001,IF('XA MU'!$B$29&lt;=4,'XA MU'!$E$29*$B$8*(IF('XA MU'!$C$29&gt;(xm_y0T+(xm_nT-1)/2*xm_sT),2*('XA MU'!$C$29-(xm_y0T+(xm_nT-1)/2*xm_sT))/xm_sT,0)+IF('XA MU'!$D$29&gt;(xm_y0T+(xm_nT-1)/2*xm_sT),2*('XA MU'!$D$29-(xm_y0T+(xm_nT-1)/2*xm_sT))/xm_sT,0)),0),0)+IF('XA MU'!$B$30&lt;=4,'XA MU'!$E$30*$B$8*(MAX(0,1-ABS('XA MU'!$C$30-$D43)/xm_sT)+MAX(0,1-ABS('XA MU'!$D$30-$D43)/xm_sT)),0)+IF(ABS($D43-(xm_y0T+(xm_nT-1)/2*xm_sT))&lt;0.000001,IF('XA MU'!$B$30&lt;=4,'XA MU'!$E$30*$B$8*(IF('XA MU'!$C$30&gt;(xm_y0T+(xm_nT-1)/2*xm_sT),2*('XA MU'!$C$30-(xm_y0T+(xm_nT-1)/2*xm_sT))/xm_sT,0)+IF('XA MU'!$D$30&gt;(xm_y0T+(xm_nT-1)/2*xm_sT),2*('XA MU'!$D$30-(xm_y0T+(xm_nT-1)/2*xm_sT))/xm_sT,0)),0),0))))</f>
        <v>0</v>
      </c>
      <c r="M43" s="44">
        <f>IF(C43=0,0,IF(5&gt;nLan,0,0.65*(IF('XA MU'!$B$25&lt;=5,'XA MU'!$E$25*$B$8*(MAX(0,1-ABS('XA MU'!$C$25-$D43)/xm_sT)+MAX(0,1-ABS('XA MU'!$D$25-$D43)/xm_sT)),0)+IF(ABS($D43-(xm_y0T+(xm_nT-1)/2*xm_sT))&lt;0.000001,IF('XA MU'!$B$25&lt;=5,'XA MU'!$E$25*$B$8*(IF('XA MU'!$C$25&gt;(xm_y0T+(xm_nT-1)/2*xm_sT),2*('XA MU'!$C$25-(xm_y0T+(xm_nT-1)/2*xm_sT))/xm_sT,0)+IF('XA MU'!$D$25&gt;(xm_y0T+(xm_nT-1)/2*xm_sT),2*('XA MU'!$D$25-(xm_y0T+(xm_nT-1)/2*xm_sT))/xm_sT,0)),0),0)+IF('XA MU'!$B$26&lt;=5,'XA MU'!$E$26*$B$8*(MAX(0,1-ABS('XA MU'!$C$26-$D43)/xm_sT)+MAX(0,1-ABS('XA MU'!$D$26-$D43)/xm_sT)),0)+IF(ABS($D43-(xm_y0T+(xm_nT-1)/2*xm_sT))&lt;0.000001,IF('XA MU'!$B$26&lt;=5,'XA MU'!$E$26*$B$8*(IF('XA MU'!$C$26&gt;(xm_y0T+(xm_nT-1)/2*xm_sT),2*('XA MU'!$C$26-(xm_y0T+(xm_nT-1)/2*xm_sT))/xm_sT,0)+IF('XA MU'!$D$26&gt;(xm_y0T+(xm_nT-1)/2*xm_sT),2*('XA MU'!$D$26-(xm_y0T+(xm_nT-1)/2*xm_sT))/xm_sT,0)),0),0)+IF('XA MU'!$B$27&lt;=5,'XA MU'!$E$27*$B$8*(MAX(0,1-ABS('XA MU'!$C$27-$D43)/xm_sT)+MAX(0,1-ABS('XA MU'!$D$27-$D43)/xm_sT)),0)+IF(ABS($D43-(xm_y0T+(xm_nT-1)/2*xm_sT))&lt;0.000001,IF('XA MU'!$B$27&lt;=5,'XA MU'!$E$27*$B$8*(IF('XA MU'!$C$27&gt;(xm_y0T+(xm_nT-1)/2*xm_sT),2*('XA MU'!$C$27-(xm_y0T+(xm_nT-1)/2*xm_sT))/xm_sT,0)+IF('XA MU'!$D$27&gt;(xm_y0T+(xm_nT-1)/2*xm_sT),2*('XA MU'!$D$27-(xm_y0T+(xm_nT-1)/2*xm_sT))/xm_sT,0)),0),0)+IF('XA MU'!$B$28&lt;=5,'XA MU'!$E$28*$B$8*(MAX(0,1-ABS('XA MU'!$C$28-$D43)/xm_sT)+MAX(0,1-ABS('XA MU'!$D$28-$D43)/xm_sT)),0)+IF(ABS($D43-(xm_y0T+(xm_nT-1)/2*xm_sT))&lt;0.000001,IF('XA MU'!$B$28&lt;=5,'XA MU'!$E$28*$B$8*(IF('XA MU'!$C$28&gt;(xm_y0T+(xm_nT-1)/2*xm_sT),2*('XA MU'!$C$28-(xm_y0T+(xm_nT-1)/2*xm_sT))/xm_sT,0)+IF('XA MU'!$D$28&gt;(xm_y0T+(xm_nT-1)/2*xm_sT),2*('XA MU'!$D$28-(xm_y0T+(xm_nT-1)/2*xm_sT))/xm_sT,0)),0),0)+IF('XA MU'!$B$29&lt;=5,'XA MU'!$E$29*$B$8*(MAX(0,1-ABS('XA MU'!$C$29-$D43)/xm_sT)+MAX(0,1-ABS('XA MU'!$D$29-$D43)/xm_sT)),0)+IF(ABS($D43-(xm_y0T+(xm_nT-1)/2*xm_sT))&lt;0.000001,IF('XA MU'!$B$29&lt;=5,'XA MU'!$E$29*$B$8*(IF('XA MU'!$C$29&gt;(xm_y0T+(xm_nT-1)/2*xm_sT),2*('XA MU'!$C$29-(xm_y0T+(xm_nT-1)/2*xm_sT))/xm_sT,0)+IF('XA MU'!$D$29&gt;(xm_y0T+(xm_nT-1)/2*xm_sT),2*('XA MU'!$D$29-(xm_y0T+(xm_nT-1)/2*xm_sT))/xm_sT,0)),0),0)+IF('XA MU'!$B$30&lt;=5,'XA MU'!$E$30*$B$8*(MAX(0,1-ABS('XA MU'!$C$30-$D43)/xm_sT)+MAX(0,1-ABS('XA MU'!$D$30-$D43)/xm_sT)),0)+IF(ABS($D43-(xm_y0T+(xm_nT-1)/2*xm_sT))&lt;0.000001,IF('XA MU'!$B$30&lt;=5,'XA MU'!$E$30*$B$8*(IF('XA MU'!$C$30&gt;(xm_y0T+(xm_nT-1)/2*xm_sT),2*('XA MU'!$C$30-(xm_y0T+(xm_nT-1)/2*xm_sT))/xm_sT,0)+IF('XA MU'!$D$30&gt;(xm_y0T+(xm_nT-1)/2*xm_sT),2*('XA MU'!$D$30-(xm_y0T+(xm_nT-1)/2*xm_sT))/xm_sT,0)),0),0))))</f>
        <v>0</v>
      </c>
      <c r="N43" s="44">
        <f>IF(C43=0,0,IF(6&gt;nLan,0,0.65*(IF('XA MU'!$B$25&lt;=6,'XA MU'!$E$25*$B$8*(MAX(0,1-ABS('XA MU'!$C$25-$D43)/xm_sT)+MAX(0,1-ABS('XA MU'!$D$25-$D43)/xm_sT)),0)+IF(ABS($D43-(xm_y0T+(xm_nT-1)/2*xm_sT))&lt;0.000001,IF('XA MU'!$B$25&lt;=6,'XA MU'!$E$25*$B$8*(IF('XA MU'!$C$25&gt;(xm_y0T+(xm_nT-1)/2*xm_sT),2*('XA MU'!$C$25-(xm_y0T+(xm_nT-1)/2*xm_sT))/xm_sT,0)+IF('XA MU'!$D$25&gt;(xm_y0T+(xm_nT-1)/2*xm_sT),2*('XA MU'!$D$25-(xm_y0T+(xm_nT-1)/2*xm_sT))/xm_sT,0)),0),0)+IF('XA MU'!$B$26&lt;=6,'XA MU'!$E$26*$B$8*(MAX(0,1-ABS('XA MU'!$C$26-$D43)/xm_sT)+MAX(0,1-ABS('XA MU'!$D$26-$D43)/xm_sT)),0)+IF(ABS($D43-(xm_y0T+(xm_nT-1)/2*xm_sT))&lt;0.000001,IF('XA MU'!$B$26&lt;=6,'XA MU'!$E$26*$B$8*(IF('XA MU'!$C$26&gt;(xm_y0T+(xm_nT-1)/2*xm_sT),2*('XA MU'!$C$26-(xm_y0T+(xm_nT-1)/2*xm_sT))/xm_sT,0)+IF('XA MU'!$D$26&gt;(xm_y0T+(xm_nT-1)/2*xm_sT),2*('XA MU'!$D$26-(xm_y0T+(xm_nT-1)/2*xm_sT))/xm_sT,0)),0),0)+IF('XA MU'!$B$27&lt;=6,'XA MU'!$E$27*$B$8*(MAX(0,1-ABS('XA MU'!$C$27-$D43)/xm_sT)+MAX(0,1-ABS('XA MU'!$D$27-$D43)/xm_sT)),0)+IF(ABS($D43-(xm_y0T+(xm_nT-1)/2*xm_sT))&lt;0.000001,IF('XA MU'!$B$27&lt;=6,'XA MU'!$E$27*$B$8*(IF('XA MU'!$C$27&gt;(xm_y0T+(xm_nT-1)/2*xm_sT),2*('XA MU'!$C$27-(xm_y0T+(xm_nT-1)/2*xm_sT))/xm_sT,0)+IF('XA MU'!$D$27&gt;(xm_y0T+(xm_nT-1)/2*xm_sT),2*('XA MU'!$D$27-(xm_y0T+(xm_nT-1)/2*xm_sT))/xm_sT,0)),0),0)+IF('XA MU'!$B$28&lt;=6,'XA MU'!$E$28*$B$8*(MAX(0,1-ABS('XA MU'!$C$28-$D43)/xm_sT)+MAX(0,1-ABS('XA MU'!$D$28-$D43)/xm_sT)),0)+IF(ABS($D43-(xm_y0T+(xm_nT-1)/2*xm_sT))&lt;0.000001,IF('XA MU'!$B$28&lt;=6,'XA MU'!$E$28*$B$8*(IF('XA MU'!$C$28&gt;(xm_y0T+(xm_nT-1)/2*xm_sT),2*('XA MU'!$C$28-(xm_y0T+(xm_nT-1)/2*xm_sT))/xm_sT,0)+IF('XA MU'!$D$28&gt;(xm_y0T+(xm_nT-1)/2*xm_sT),2*('XA MU'!$D$28-(xm_y0T+(xm_nT-1)/2*xm_sT))/xm_sT,0)),0),0)+IF('XA MU'!$B$29&lt;=6,'XA MU'!$E$29*$B$8*(MAX(0,1-ABS('XA MU'!$C$29-$D43)/xm_sT)+MAX(0,1-ABS('XA MU'!$D$29-$D43)/xm_sT)),0)+IF(ABS($D43-(xm_y0T+(xm_nT-1)/2*xm_sT))&lt;0.000001,IF('XA MU'!$B$29&lt;=6,'XA MU'!$E$29*$B$8*(IF('XA MU'!$C$29&gt;(xm_y0T+(xm_nT-1)/2*xm_sT),2*('XA MU'!$C$29-(xm_y0T+(xm_nT-1)/2*xm_sT))/xm_sT,0)+IF('XA MU'!$D$29&gt;(xm_y0T+(xm_nT-1)/2*xm_sT),2*('XA MU'!$D$29-(xm_y0T+(xm_nT-1)/2*xm_sT))/xm_sT,0)),0),0)+IF('XA MU'!$B$30&lt;=6,'XA MU'!$E$30*$B$8*(MAX(0,1-ABS('XA MU'!$C$30-$D43)/xm_sT)+MAX(0,1-ABS('XA MU'!$D$30-$D43)/xm_sT)),0)+IF(ABS($D43-(xm_y0T+(xm_nT-1)/2*xm_sT))&lt;0.000001,IF('XA MU'!$B$30&lt;=6,'XA MU'!$E$30*$B$8*(IF('XA MU'!$C$30&gt;(xm_y0T+(xm_nT-1)/2*xm_sT),2*('XA MU'!$C$30-(xm_y0T+(xm_nT-1)/2*xm_sT))/xm_sT,0)+IF('XA MU'!$D$30&gt;(xm_y0T+(xm_nT-1)/2*xm_sT),2*('XA MU'!$D$30-(xm_y0T+(xm_nT-1)/2*xm_sT))/xm_sT,0)),0),0))))</f>
        <v>0</v>
      </c>
    </row>
    <row r="44" spans="1:14" x14ac:dyDescent="0.3">
      <c r="A44" s="42" t="s">
        <v>1235</v>
      </c>
      <c r="B44" s="42">
        <v>30</v>
      </c>
      <c r="C44" s="40">
        <f t="shared" si="0"/>
        <v>0</v>
      </c>
      <c r="D44" s="44">
        <f t="shared" si="1"/>
        <v>0</v>
      </c>
      <c r="E44" s="44">
        <f>MAX(0,D44-'XA MU'!$C$8)*C44</f>
        <v>0</v>
      </c>
      <c r="F44" s="44">
        <f>IF(AND(C44=1,D44&gt;'XA MU'!$C$8),1,0)</f>
        <v>0</v>
      </c>
      <c r="G44" s="44">
        <f t="shared" si="2"/>
        <v>0</v>
      </c>
      <c r="H44" s="44">
        <f t="shared" si="3"/>
        <v>0</v>
      </c>
      <c r="I44" s="44">
        <f>IF(C44=0,0,IF(1&gt;nLan,0,1.2*(IF('XA MU'!$B$25&lt;=1,'XA MU'!$E$25*$B$8*(MAX(0,1-ABS('XA MU'!$C$25-$D44)/xm_sT)+MAX(0,1-ABS('XA MU'!$D$25-$D44)/xm_sT)),0)+IF(ABS($D44-(xm_y0T+(xm_nT-1)/2*xm_sT))&lt;0.000001,IF('XA MU'!$B$25&lt;=1,'XA MU'!$E$25*$B$8*(IF('XA MU'!$C$25&gt;(xm_y0T+(xm_nT-1)/2*xm_sT),2*('XA MU'!$C$25-(xm_y0T+(xm_nT-1)/2*xm_sT))/xm_sT,0)+IF('XA MU'!$D$25&gt;(xm_y0T+(xm_nT-1)/2*xm_sT),2*('XA MU'!$D$25-(xm_y0T+(xm_nT-1)/2*xm_sT))/xm_sT,0)),0),0)+IF('XA MU'!$B$26&lt;=1,'XA MU'!$E$26*$B$8*(MAX(0,1-ABS('XA MU'!$C$26-$D44)/xm_sT)+MAX(0,1-ABS('XA MU'!$D$26-$D44)/xm_sT)),0)+IF(ABS($D44-(xm_y0T+(xm_nT-1)/2*xm_sT))&lt;0.000001,IF('XA MU'!$B$26&lt;=1,'XA MU'!$E$26*$B$8*(IF('XA MU'!$C$26&gt;(xm_y0T+(xm_nT-1)/2*xm_sT),2*('XA MU'!$C$26-(xm_y0T+(xm_nT-1)/2*xm_sT))/xm_sT,0)+IF('XA MU'!$D$26&gt;(xm_y0T+(xm_nT-1)/2*xm_sT),2*('XA MU'!$D$26-(xm_y0T+(xm_nT-1)/2*xm_sT))/xm_sT,0)),0),0)+IF('XA MU'!$B$27&lt;=1,'XA MU'!$E$27*$B$8*(MAX(0,1-ABS('XA MU'!$C$27-$D44)/xm_sT)+MAX(0,1-ABS('XA MU'!$D$27-$D44)/xm_sT)),0)+IF(ABS($D44-(xm_y0T+(xm_nT-1)/2*xm_sT))&lt;0.000001,IF('XA MU'!$B$27&lt;=1,'XA MU'!$E$27*$B$8*(IF('XA MU'!$C$27&gt;(xm_y0T+(xm_nT-1)/2*xm_sT),2*('XA MU'!$C$27-(xm_y0T+(xm_nT-1)/2*xm_sT))/xm_sT,0)+IF('XA MU'!$D$27&gt;(xm_y0T+(xm_nT-1)/2*xm_sT),2*('XA MU'!$D$27-(xm_y0T+(xm_nT-1)/2*xm_sT))/xm_sT,0)),0),0)+IF('XA MU'!$B$28&lt;=1,'XA MU'!$E$28*$B$8*(MAX(0,1-ABS('XA MU'!$C$28-$D44)/xm_sT)+MAX(0,1-ABS('XA MU'!$D$28-$D44)/xm_sT)),0)+IF(ABS($D44-(xm_y0T+(xm_nT-1)/2*xm_sT))&lt;0.000001,IF('XA MU'!$B$28&lt;=1,'XA MU'!$E$28*$B$8*(IF('XA MU'!$C$28&gt;(xm_y0T+(xm_nT-1)/2*xm_sT),2*('XA MU'!$C$28-(xm_y0T+(xm_nT-1)/2*xm_sT))/xm_sT,0)+IF('XA MU'!$D$28&gt;(xm_y0T+(xm_nT-1)/2*xm_sT),2*('XA MU'!$D$28-(xm_y0T+(xm_nT-1)/2*xm_sT))/xm_sT,0)),0),0)+IF('XA MU'!$B$29&lt;=1,'XA MU'!$E$29*$B$8*(MAX(0,1-ABS('XA MU'!$C$29-$D44)/xm_sT)+MAX(0,1-ABS('XA MU'!$D$29-$D44)/xm_sT)),0)+IF(ABS($D44-(xm_y0T+(xm_nT-1)/2*xm_sT))&lt;0.000001,IF('XA MU'!$B$29&lt;=1,'XA MU'!$E$29*$B$8*(IF('XA MU'!$C$29&gt;(xm_y0T+(xm_nT-1)/2*xm_sT),2*('XA MU'!$C$29-(xm_y0T+(xm_nT-1)/2*xm_sT))/xm_sT,0)+IF('XA MU'!$D$29&gt;(xm_y0T+(xm_nT-1)/2*xm_sT),2*('XA MU'!$D$29-(xm_y0T+(xm_nT-1)/2*xm_sT))/xm_sT,0)),0),0)+IF('XA MU'!$B$30&lt;=1,'XA MU'!$E$30*$B$8*(MAX(0,1-ABS('XA MU'!$C$30-$D44)/xm_sT)+MAX(0,1-ABS('XA MU'!$D$30-$D44)/xm_sT)),0)+IF(ABS($D44-(xm_y0T+(xm_nT-1)/2*xm_sT))&lt;0.000001,IF('XA MU'!$B$30&lt;=1,'XA MU'!$E$30*$B$8*(IF('XA MU'!$C$30&gt;(xm_y0T+(xm_nT-1)/2*xm_sT),2*('XA MU'!$C$30-(xm_y0T+(xm_nT-1)/2*xm_sT))/xm_sT,0)+IF('XA MU'!$D$30&gt;(xm_y0T+(xm_nT-1)/2*xm_sT),2*('XA MU'!$D$30-(xm_y0T+(xm_nT-1)/2*xm_sT))/xm_sT,0)),0),0))))</f>
        <v>0</v>
      </c>
      <c r="J44" s="44">
        <f>IF(C44=0,0,IF(2&gt;nLan,0,1*(IF('XA MU'!$B$25&lt;=2,'XA MU'!$E$25*$B$8*(MAX(0,1-ABS('XA MU'!$C$25-$D44)/xm_sT)+MAX(0,1-ABS('XA MU'!$D$25-$D44)/xm_sT)),0)+IF(ABS($D44-(xm_y0T+(xm_nT-1)/2*xm_sT))&lt;0.000001,IF('XA MU'!$B$25&lt;=2,'XA MU'!$E$25*$B$8*(IF('XA MU'!$C$25&gt;(xm_y0T+(xm_nT-1)/2*xm_sT),2*('XA MU'!$C$25-(xm_y0T+(xm_nT-1)/2*xm_sT))/xm_sT,0)+IF('XA MU'!$D$25&gt;(xm_y0T+(xm_nT-1)/2*xm_sT),2*('XA MU'!$D$25-(xm_y0T+(xm_nT-1)/2*xm_sT))/xm_sT,0)),0),0)+IF('XA MU'!$B$26&lt;=2,'XA MU'!$E$26*$B$8*(MAX(0,1-ABS('XA MU'!$C$26-$D44)/xm_sT)+MAX(0,1-ABS('XA MU'!$D$26-$D44)/xm_sT)),0)+IF(ABS($D44-(xm_y0T+(xm_nT-1)/2*xm_sT))&lt;0.000001,IF('XA MU'!$B$26&lt;=2,'XA MU'!$E$26*$B$8*(IF('XA MU'!$C$26&gt;(xm_y0T+(xm_nT-1)/2*xm_sT),2*('XA MU'!$C$26-(xm_y0T+(xm_nT-1)/2*xm_sT))/xm_sT,0)+IF('XA MU'!$D$26&gt;(xm_y0T+(xm_nT-1)/2*xm_sT),2*('XA MU'!$D$26-(xm_y0T+(xm_nT-1)/2*xm_sT))/xm_sT,0)),0),0)+IF('XA MU'!$B$27&lt;=2,'XA MU'!$E$27*$B$8*(MAX(0,1-ABS('XA MU'!$C$27-$D44)/xm_sT)+MAX(0,1-ABS('XA MU'!$D$27-$D44)/xm_sT)),0)+IF(ABS($D44-(xm_y0T+(xm_nT-1)/2*xm_sT))&lt;0.000001,IF('XA MU'!$B$27&lt;=2,'XA MU'!$E$27*$B$8*(IF('XA MU'!$C$27&gt;(xm_y0T+(xm_nT-1)/2*xm_sT),2*('XA MU'!$C$27-(xm_y0T+(xm_nT-1)/2*xm_sT))/xm_sT,0)+IF('XA MU'!$D$27&gt;(xm_y0T+(xm_nT-1)/2*xm_sT),2*('XA MU'!$D$27-(xm_y0T+(xm_nT-1)/2*xm_sT))/xm_sT,0)),0),0)+IF('XA MU'!$B$28&lt;=2,'XA MU'!$E$28*$B$8*(MAX(0,1-ABS('XA MU'!$C$28-$D44)/xm_sT)+MAX(0,1-ABS('XA MU'!$D$28-$D44)/xm_sT)),0)+IF(ABS($D44-(xm_y0T+(xm_nT-1)/2*xm_sT))&lt;0.000001,IF('XA MU'!$B$28&lt;=2,'XA MU'!$E$28*$B$8*(IF('XA MU'!$C$28&gt;(xm_y0T+(xm_nT-1)/2*xm_sT),2*('XA MU'!$C$28-(xm_y0T+(xm_nT-1)/2*xm_sT))/xm_sT,0)+IF('XA MU'!$D$28&gt;(xm_y0T+(xm_nT-1)/2*xm_sT),2*('XA MU'!$D$28-(xm_y0T+(xm_nT-1)/2*xm_sT))/xm_sT,0)),0),0)+IF('XA MU'!$B$29&lt;=2,'XA MU'!$E$29*$B$8*(MAX(0,1-ABS('XA MU'!$C$29-$D44)/xm_sT)+MAX(0,1-ABS('XA MU'!$D$29-$D44)/xm_sT)),0)+IF(ABS($D44-(xm_y0T+(xm_nT-1)/2*xm_sT))&lt;0.000001,IF('XA MU'!$B$29&lt;=2,'XA MU'!$E$29*$B$8*(IF('XA MU'!$C$29&gt;(xm_y0T+(xm_nT-1)/2*xm_sT),2*('XA MU'!$C$29-(xm_y0T+(xm_nT-1)/2*xm_sT))/xm_sT,0)+IF('XA MU'!$D$29&gt;(xm_y0T+(xm_nT-1)/2*xm_sT),2*('XA MU'!$D$29-(xm_y0T+(xm_nT-1)/2*xm_sT))/xm_sT,0)),0),0)+IF('XA MU'!$B$30&lt;=2,'XA MU'!$E$30*$B$8*(MAX(0,1-ABS('XA MU'!$C$30-$D44)/xm_sT)+MAX(0,1-ABS('XA MU'!$D$30-$D44)/xm_sT)),0)+IF(ABS($D44-(xm_y0T+(xm_nT-1)/2*xm_sT))&lt;0.000001,IF('XA MU'!$B$30&lt;=2,'XA MU'!$E$30*$B$8*(IF('XA MU'!$C$30&gt;(xm_y0T+(xm_nT-1)/2*xm_sT),2*('XA MU'!$C$30-(xm_y0T+(xm_nT-1)/2*xm_sT))/xm_sT,0)+IF('XA MU'!$D$30&gt;(xm_y0T+(xm_nT-1)/2*xm_sT),2*('XA MU'!$D$30-(xm_y0T+(xm_nT-1)/2*xm_sT))/xm_sT,0)),0),0))))</f>
        <v>0</v>
      </c>
      <c r="K44" s="44">
        <f>IF(C44=0,0,IF(3&gt;nLan,0,0.85*(IF('XA MU'!$B$25&lt;=3,'XA MU'!$E$25*$B$8*(MAX(0,1-ABS('XA MU'!$C$25-$D44)/xm_sT)+MAX(0,1-ABS('XA MU'!$D$25-$D44)/xm_sT)),0)+IF(ABS($D44-(xm_y0T+(xm_nT-1)/2*xm_sT))&lt;0.000001,IF('XA MU'!$B$25&lt;=3,'XA MU'!$E$25*$B$8*(IF('XA MU'!$C$25&gt;(xm_y0T+(xm_nT-1)/2*xm_sT),2*('XA MU'!$C$25-(xm_y0T+(xm_nT-1)/2*xm_sT))/xm_sT,0)+IF('XA MU'!$D$25&gt;(xm_y0T+(xm_nT-1)/2*xm_sT),2*('XA MU'!$D$25-(xm_y0T+(xm_nT-1)/2*xm_sT))/xm_sT,0)),0),0)+IF('XA MU'!$B$26&lt;=3,'XA MU'!$E$26*$B$8*(MAX(0,1-ABS('XA MU'!$C$26-$D44)/xm_sT)+MAX(0,1-ABS('XA MU'!$D$26-$D44)/xm_sT)),0)+IF(ABS($D44-(xm_y0T+(xm_nT-1)/2*xm_sT))&lt;0.000001,IF('XA MU'!$B$26&lt;=3,'XA MU'!$E$26*$B$8*(IF('XA MU'!$C$26&gt;(xm_y0T+(xm_nT-1)/2*xm_sT),2*('XA MU'!$C$26-(xm_y0T+(xm_nT-1)/2*xm_sT))/xm_sT,0)+IF('XA MU'!$D$26&gt;(xm_y0T+(xm_nT-1)/2*xm_sT),2*('XA MU'!$D$26-(xm_y0T+(xm_nT-1)/2*xm_sT))/xm_sT,0)),0),0)+IF('XA MU'!$B$27&lt;=3,'XA MU'!$E$27*$B$8*(MAX(0,1-ABS('XA MU'!$C$27-$D44)/xm_sT)+MAX(0,1-ABS('XA MU'!$D$27-$D44)/xm_sT)),0)+IF(ABS($D44-(xm_y0T+(xm_nT-1)/2*xm_sT))&lt;0.000001,IF('XA MU'!$B$27&lt;=3,'XA MU'!$E$27*$B$8*(IF('XA MU'!$C$27&gt;(xm_y0T+(xm_nT-1)/2*xm_sT),2*('XA MU'!$C$27-(xm_y0T+(xm_nT-1)/2*xm_sT))/xm_sT,0)+IF('XA MU'!$D$27&gt;(xm_y0T+(xm_nT-1)/2*xm_sT),2*('XA MU'!$D$27-(xm_y0T+(xm_nT-1)/2*xm_sT))/xm_sT,0)),0),0)+IF('XA MU'!$B$28&lt;=3,'XA MU'!$E$28*$B$8*(MAX(0,1-ABS('XA MU'!$C$28-$D44)/xm_sT)+MAX(0,1-ABS('XA MU'!$D$28-$D44)/xm_sT)),0)+IF(ABS($D44-(xm_y0T+(xm_nT-1)/2*xm_sT))&lt;0.000001,IF('XA MU'!$B$28&lt;=3,'XA MU'!$E$28*$B$8*(IF('XA MU'!$C$28&gt;(xm_y0T+(xm_nT-1)/2*xm_sT),2*('XA MU'!$C$28-(xm_y0T+(xm_nT-1)/2*xm_sT))/xm_sT,0)+IF('XA MU'!$D$28&gt;(xm_y0T+(xm_nT-1)/2*xm_sT),2*('XA MU'!$D$28-(xm_y0T+(xm_nT-1)/2*xm_sT))/xm_sT,0)),0),0)+IF('XA MU'!$B$29&lt;=3,'XA MU'!$E$29*$B$8*(MAX(0,1-ABS('XA MU'!$C$29-$D44)/xm_sT)+MAX(0,1-ABS('XA MU'!$D$29-$D44)/xm_sT)),0)+IF(ABS($D44-(xm_y0T+(xm_nT-1)/2*xm_sT))&lt;0.000001,IF('XA MU'!$B$29&lt;=3,'XA MU'!$E$29*$B$8*(IF('XA MU'!$C$29&gt;(xm_y0T+(xm_nT-1)/2*xm_sT),2*('XA MU'!$C$29-(xm_y0T+(xm_nT-1)/2*xm_sT))/xm_sT,0)+IF('XA MU'!$D$29&gt;(xm_y0T+(xm_nT-1)/2*xm_sT),2*('XA MU'!$D$29-(xm_y0T+(xm_nT-1)/2*xm_sT))/xm_sT,0)),0),0)+IF('XA MU'!$B$30&lt;=3,'XA MU'!$E$30*$B$8*(MAX(0,1-ABS('XA MU'!$C$30-$D44)/xm_sT)+MAX(0,1-ABS('XA MU'!$D$30-$D44)/xm_sT)),0)+IF(ABS($D44-(xm_y0T+(xm_nT-1)/2*xm_sT))&lt;0.000001,IF('XA MU'!$B$30&lt;=3,'XA MU'!$E$30*$B$8*(IF('XA MU'!$C$30&gt;(xm_y0T+(xm_nT-1)/2*xm_sT),2*('XA MU'!$C$30-(xm_y0T+(xm_nT-1)/2*xm_sT))/xm_sT,0)+IF('XA MU'!$D$30&gt;(xm_y0T+(xm_nT-1)/2*xm_sT),2*('XA MU'!$D$30-(xm_y0T+(xm_nT-1)/2*xm_sT))/xm_sT,0)),0),0))))</f>
        <v>0</v>
      </c>
      <c r="L44" s="44">
        <f>IF(C44=0,0,IF(4&gt;nLan,0,0.65*(IF('XA MU'!$B$25&lt;=4,'XA MU'!$E$25*$B$8*(MAX(0,1-ABS('XA MU'!$C$25-$D44)/xm_sT)+MAX(0,1-ABS('XA MU'!$D$25-$D44)/xm_sT)),0)+IF(ABS($D44-(xm_y0T+(xm_nT-1)/2*xm_sT))&lt;0.000001,IF('XA MU'!$B$25&lt;=4,'XA MU'!$E$25*$B$8*(IF('XA MU'!$C$25&gt;(xm_y0T+(xm_nT-1)/2*xm_sT),2*('XA MU'!$C$25-(xm_y0T+(xm_nT-1)/2*xm_sT))/xm_sT,0)+IF('XA MU'!$D$25&gt;(xm_y0T+(xm_nT-1)/2*xm_sT),2*('XA MU'!$D$25-(xm_y0T+(xm_nT-1)/2*xm_sT))/xm_sT,0)),0),0)+IF('XA MU'!$B$26&lt;=4,'XA MU'!$E$26*$B$8*(MAX(0,1-ABS('XA MU'!$C$26-$D44)/xm_sT)+MAX(0,1-ABS('XA MU'!$D$26-$D44)/xm_sT)),0)+IF(ABS($D44-(xm_y0T+(xm_nT-1)/2*xm_sT))&lt;0.000001,IF('XA MU'!$B$26&lt;=4,'XA MU'!$E$26*$B$8*(IF('XA MU'!$C$26&gt;(xm_y0T+(xm_nT-1)/2*xm_sT),2*('XA MU'!$C$26-(xm_y0T+(xm_nT-1)/2*xm_sT))/xm_sT,0)+IF('XA MU'!$D$26&gt;(xm_y0T+(xm_nT-1)/2*xm_sT),2*('XA MU'!$D$26-(xm_y0T+(xm_nT-1)/2*xm_sT))/xm_sT,0)),0),0)+IF('XA MU'!$B$27&lt;=4,'XA MU'!$E$27*$B$8*(MAX(0,1-ABS('XA MU'!$C$27-$D44)/xm_sT)+MAX(0,1-ABS('XA MU'!$D$27-$D44)/xm_sT)),0)+IF(ABS($D44-(xm_y0T+(xm_nT-1)/2*xm_sT))&lt;0.000001,IF('XA MU'!$B$27&lt;=4,'XA MU'!$E$27*$B$8*(IF('XA MU'!$C$27&gt;(xm_y0T+(xm_nT-1)/2*xm_sT),2*('XA MU'!$C$27-(xm_y0T+(xm_nT-1)/2*xm_sT))/xm_sT,0)+IF('XA MU'!$D$27&gt;(xm_y0T+(xm_nT-1)/2*xm_sT),2*('XA MU'!$D$27-(xm_y0T+(xm_nT-1)/2*xm_sT))/xm_sT,0)),0),0)+IF('XA MU'!$B$28&lt;=4,'XA MU'!$E$28*$B$8*(MAX(0,1-ABS('XA MU'!$C$28-$D44)/xm_sT)+MAX(0,1-ABS('XA MU'!$D$28-$D44)/xm_sT)),0)+IF(ABS($D44-(xm_y0T+(xm_nT-1)/2*xm_sT))&lt;0.000001,IF('XA MU'!$B$28&lt;=4,'XA MU'!$E$28*$B$8*(IF('XA MU'!$C$28&gt;(xm_y0T+(xm_nT-1)/2*xm_sT),2*('XA MU'!$C$28-(xm_y0T+(xm_nT-1)/2*xm_sT))/xm_sT,0)+IF('XA MU'!$D$28&gt;(xm_y0T+(xm_nT-1)/2*xm_sT),2*('XA MU'!$D$28-(xm_y0T+(xm_nT-1)/2*xm_sT))/xm_sT,0)),0),0)+IF('XA MU'!$B$29&lt;=4,'XA MU'!$E$29*$B$8*(MAX(0,1-ABS('XA MU'!$C$29-$D44)/xm_sT)+MAX(0,1-ABS('XA MU'!$D$29-$D44)/xm_sT)),0)+IF(ABS($D44-(xm_y0T+(xm_nT-1)/2*xm_sT))&lt;0.000001,IF('XA MU'!$B$29&lt;=4,'XA MU'!$E$29*$B$8*(IF('XA MU'!$C$29&gt;(xm_y0T+(xm_nT-1)/2*xm_sT),2*('XA MU'!$C$29-(xm_y0T+(xm_nT-1)/2*xm_sT))/xm_sT,0)+IF('XA MU'!$D$29&gt;(xm_y0T+(xm_nT-1)/2*xm_sT),2*('XA MU'!$D$29-(xm_y0T+(xm_nT-1)/2*xm_sT))/xm_sT,0)),0),0)+IF('XA MU'!$B$30&lt;=4,'XA MU'!$E$30*$B$8*(MAX(0,1-ABS('XA MU'!$C$30-$D44)/xm_sT)+MAX(0,1-ABS('XA MU'!$D$30-$D44)/xm_sT)),0)+IF(ABS($D44-(xm_y0T+(xm_nT-1)/2*xm_sT))&lt;0.000001,IF('XA MU'!$B$30&lt;=4,'XA MU'!$E$30*$B$8*(IF('XA MU'!$C$30&gt;(xm_y0T+(xm_nT-1)/2*xm_sT),2*('XA MU'!$C$30-(xm_y0T+(xm_nT-1)/2*xm_sT))/xm_sT,0)+IF('XA MU'!$D$30&gt;(xm_y0T+(xm_nT-1)/2*xm_sT),2*('XA MU'!$D$30-(xm_y0T+(xm_nT-1)/2*xm_sT))/xm_sT,0)),0),0))))</f>
        <v>0</v>
      </c>
      <c r="M44" s="44">
        <f>IF(C44=0,0,IF(5&gt;nLan,0,0.65*(IF('XA MU'!$B$25&lt;=5,'XA MU'!$E$25*$B$8*(MAX(0,1-ABS('XA MU'!$C$25-$D44)/xm_sT)+MAX(0,1-ABS('XA MU'!$D$25-$D44)/xm_sT)),0)+IF(ABS($D44-(xm_y0T+(xm_nT-1)/2*xm_sT))&lt;0.000001,IF('XA MU'!$B$25&lt;=5,'XA MU'!$E$25*$B$8*(IF('XA MU'!$C$25&gt;(xm_y0T+(xm_nT-1)/2*xm_sT),2*('XA MU'!$C$25-(xm_y0T+(xm_nT-1)/2*xm_sT))/xm_sT,0)+IF('XA MU'!$D$25&gt;(xm_y0T+(xm_nT-1)/2*xm_sT),2*('XA MU'!$D$25-(xm_y0T+(xm_nT-1)/2*xm_sT))/xm_sT,0)),0),0)+IF('XA MU'!$B$26&lt;=5,'XA MU'!$E$26*$B$8*(MAX(0,1-ABS('XA MU'!$C$26-$D44)/xm_sT)+MAX(0,1-ABS('XA MU'!$D$26-$D44)/xm_sT)),0)+IF(ABS($D44-(xm_y0T+(xm_nT-1)/2*xm_sT))&lt;0.000001,IF('XA MU'!$B$26&lt;=5,'XA MU'!$E$26*$B$8*(IF('XA MU'!$C$26&gt;(xm_y0T+(xm_nT-1)/2*xm_sT),2*('XA MU'!$C$26-(xm_y0T+(xm_nT-1)/2*xm_sT))/xm_sT,0)+IF('XA MU'!$D$26&gt;(xm_y0T+(xm_nT-1)/2*xm_sT),2*('XA MU'!$D$26-(xm_y0T+(xm_nT-1)/2*xm_sT))/xm_sT,0)),0),0)+IF('XA MU'!$B$27&lt;=5,'XA MU'!$E$27*$B$8*(MAX(0,1-ABS('XA MU'!$C$27-$D44)/xm_sT)+MAX(0,1-ABS('XA MU'!$D$27-$D44)/xm_sT)),0)+IF(ABS($D44-(xm_y0T+(xm_nT-1)/2*xm_sT))&lt;0.000001,IF('XA MU'!$B$27&lt;=5,'XA MU'!$E$27*$B$8*(IF('XA MU'!$C$27&gt;(xm_y0T+(xm_nT-1)/2*xm_sT),2*('XA MU'!$C$27-(xm_y0T+(xm_nT-1)/2*xm_sT))/xm_sT,0)+IF('XA MU'!$D$27&gt;(xm_y0T+(xm_nT-1)/2*xm_sT),2*('XA MU'!$D$27-(xm_y0T+(xm_nT-1)/2*xm_sT))/xm_sT,0)),0),0)+IF('XA MU'!$B$28&lt;=5,'XA MU'!$E$28*$B$8*(MAX(0,1-ABS('XA MU'!$C$28-$D44)/xm_sT)+MAX(0,1-ABS('XA MU'!$D$28-$D44)/xm_sT)),0)+IF(ABS($D44-(xm_y0T+(xm_nT-1)/2*xm_sT))&lt;0.000001,IF('XA MU'!$B$28&lt;=5,'XA MU'!$E$28*$B$8*(IF('XA MU'!$C$28&gt;(xm_y0T+(xm_nT-1)/2*xm_sT),2*('XA MU'!$C$28-(xm_y0T+(xm_nT-1)/2*xm_sT))/xm_sT,0)+IF('XA MU'!$D$28&gt;(xm_y0T+(xm_nT-1)/2*xm_sT),2*('XA MU'!$D$28-(xm_y0T+(xm_nT-1)/2*xm_sT))/xm_sT,0)),0),0)+IF('XA MU'!$B$29&lt;=5,'XA MU'!$E$29*$B$8*(MAX(0,1-ABS('XA MU'!$C$29-$D44)/xm_sT)+MAX(0,1-ABS('XA MU'!$D$29-$D44)/xm_sT)),0)+IF(ABS($D44-(xm_y0T+(xm_nT-1)/2*xm_sT))&lt;0.000001,IF('XA MU'!$B$29&lt;=5,'XA MU'!$E$29*$B$8*(IF('XA MU'!$C$29&gt;(xm_y0T+(xm_nT-1)/2*xm_sT),2*('XA MU'!$C$29-(xm_y0T+(xm_nT-1)/2*xm_sT))/xm_sT,0)+IF('XA MU'!$D$29&gt;(xm_y0T+(xm_nT-1)/2*xm_sT),2*('XA MU'!$D$29-(xm_y0T+(xm_nT-1)/2*xm_sT))/xm_sT,0)),0),0)+IF('XA MU'!$B$30&lt;=5,'XA MU'!$E$30*$B$8*(MAX(0,1-ABS('XA MU'!$C$30-$D44)/xm_sT)+MAX(0,1-ABS('XA MU'!$D$30-$D44)/xm_sT)),0)+IF(ABS($D44-(xm_y0T+(xm_nT-1)/2*xm_sT))&lt;0.000001,IF('XA MU'!$B$30&lt;=5,'XA MU'!$E$30*$B$8*(IF('XA MU'!$C$30&gt;(xm_y0T+(xm_nT-1)/2*xm_sT),2*('XA MU'!$C$30-(xm_y0T+(xm_nT-1)/2*xm_sT))/xm_sT,0)+IF('XA MU'!$D$30&gt;(xm_y0T+(xm_nT-1)/2*xm_sT),2*('XA MU'!$D$30-(xm_y0T+(xm_nT-1)/2*xm_sT))/xm_sT,0)),0),0))))</f>
        <v>0</v>
      </c>
      <c r="N44" s="44">
        <f>IF(C44=0,0,IF(6&gt;nLan,0,0.65*(IF('XA MU'!$B$25&lt;=6,'XA MU'!$E$25*$B$8*(MAX(0,1-ABS('XA MU'!$C$25-$D44)/xm_sT)+MAX(0,1-ABS('XA MU'!$D$25-$D44)/xm_sT)),0)+IF(ABS($D44-(xm_y0T+(xm_nT-1)/2*xm_sT))&lt;0.000001,IF('XA MU'!$B$25&lt;=6,'XA MU'!$E$25*$B$8*(IF('XA MU'!$C$25&gt;(xm_y0T+(xm_nT-1)/2*xm_sT),2*('XA MU'!$C$25-(xm_y0T+(xm_nT-1)/2*xm_sT))/xm_sT,0)+IF('XA MU'!$D$25&gt;(xm_y0T+(xm_nT-1)/2*xm_sT),2*('XA MU'!$D$25-(xm_y0T+(xm_nT-1)/2*xm_sT))/xm_sT,0)),0),0)+IF('XA MU'!$B$26&lt;=6,'XA MU'!$E$26*$B$8*(MAX(0,1-ABS('XA MU'!$C$26-$D44)/xm_sT)+MAX(0,1-ABS('XA MU'!$D$26-$D44)/xm_sT)),0)+IF(ABS($D44-(xm_y0T+(xm_nT-1)/2*xm_sT))&lt;0.000001,IF('XA MU'!$B$26&lt;=6,'XA MU'!$E$26*$B$8*(IF('XA MU'!$C$26&gt;(xm_y0T+(xm_nT-1)/2*xm_sT),2*('XA MU'!$C$26-(xm_y0T+(xm_nT-1)/2*xm_sT))/xm_sT,0)+IF('XA MU'!$D$26&gt;(xm_y0T+(xm_nT-1)/2*xm_sT),2*('XA MU'!$D$26-(xm_y0T+(xm_nT-1)/2*xm_sT))/xm_sT,0)),0),0)+IF('XA MU'!$B$27&lt;=6,'XA MU'!$E$27*$B$8*(MAX(0,1-ABS('XA MU'!$C$27-$D44)/xm_sT)+MAX(0,1-ABS('XA MU'!$D$27-$D44)/xm_sT)),0)+IF(ABS($D44-(xm_y0T+(xm_nT-1)/2*xm_sT))&lt;0.000001,IF('XA MU'!$B$27&lt;=6,'XA MU'!$E$27*$B$8*(IF('XA MU'!$C$27&gt;(xm_y0T+(xm_nT-1)/2*xm_sT),2*('XA MU'!$C$27-(xm_y0T+(xm_nT-1)/2*xm_sT))/xm_sT,0)+IF('XA MU'!$D$27&gt;(xm_y0T+(xm_nT-1)/2*xm_sT),2*('XA MU'!$D$27-(xm_y0T+(xm_nT-1)/2*xm_sT))/xm_sT,0)),0),0)+IF('XA MU'!$B$28&lt;=6,'XA MU'!$E$28*$B$8*(MAX(0,1-ABS('XA MU'!$C$28-$D44)/xm_sT)+MAX(0,1-ABS('XA MU'!$D$28-$D44)/xm_sT)),0)+IF(ABS($D44-(xm_y0T+(xm_nT-1)/2*xm_sT))&lt;0.000001,IF('XA MU'!$B$28&lt;=6,'XA MU'!$E$28*$B$8*(IF('XA MU'!$C$28&gt;(xm_y0T+(xm_nT-1)/2*xm_sT),2*('XA MU'!$C$28-(xm_y0T+(xm_nT-1)/2*xm_sT))/xm_sT,0)+IF('XA MU'!$D$28&gt;(xm_y0T+(xm_nT-1)/2*xm_sT),2*('XA MU'!$D$28-(xm_y0T+(xm_nT-1)/2*xm_sT))/xm_sT,0)),0),0)+IF('XA MU'!$B$29&lt;=6,'XA MU'!$E$29*$B$8*(MAX(0,1-ABS('XA MU'!$C$29-$D44)/xm_sT)+MAX(0,1-ABS('XA MU'!$D$29-$D44)/xm_sT)),0)+IF(ABS($D44-(xm_y0T+(xm_nT-1)/2*xm_sT))&lt;0.000001,IF('XA MU'!$B$29&lt;=6,'XA MU'!$E$29*$B$8*(IF('XA MU'!$C$29&gt;(xm_y0T+(xm_nT-1)/2*xm_sT),2*('XA MU'!$C$29-(xm_y0T+(xm_nT-1)/2*xm_sT))/xm_sT,0)+IF('XA MU'!$D$29&gt;(xm_y0T+(xm_nT-1)/2*xm_sT),2*('XA MU'!$D$29-(xm_y0T+(xm_nT-1)/2*xm_sT))/xm_sT,0)),0),0)+IF('XA MU'!$B$30&lt;=6,'XA MU'!$E$30*$B$8*(MAX(0,1-ABS('XA MU'!$C$30-$D44)/xm_sT)+MAX(0,1-ABS('XA MU'!$D$30-$D44)/xm_sT)),0)+IF(ABS($D44-(xm_y0T+(xm_nT-1)/2*xm_sT))&lt;0.000001,IF('XA MU'!$B$30&lt;=6,'XA MU'!$E$30*$B$8*(IF('XA MU'!$C$30&gt;(xm_y0T+(xm_nT-1)/2*xm_sT),2*('XA MU'!$C$30-(xm_y0T+(xm_nT-1)/2*xm_sT))/xm_sT,0)+IF('XA MU'!$D$30&gt;(xm_y0T+(xm_nT-1)/2*xm_sT),2*('XA MU'!$D$30-(xm_y0T+(xm_nT-1)/2*xm_sT))/xm_sT,0)),0),0))))</f>
        <v>0</v>
      </c>
    </row>
    <row r="45" spans="1:14" x14ac:dyDescent="0.3">
      <c r="A45" s="42" t="s">
        <v>1235</v>
      </c>
      <c r="B45" s="42">
        <v>31</v>
      </c>
      <c r="C45" s="40">
        <f t="shared" si="0"/>
        <v>0</v>
      </c>
      <c r="D45" s="44">
        <f t="shared" si="1"/>
        <v>0</v>
      </c>
      <c r="E45" s="44">
        <f>MAX(0,D45-'XA MU'!$C$8)*C45</f>
        <v>0</v>
      </c>
      <c r="F45" s="44">
        <f>IF(AND(C45=1,D45&gt;'XA MU'!$C$8),1,0)</f>
        <v>0</v>
      </c>
      <c r="G45" s="44">
        <f t="shared" si="2"/>
        <v>0</v>
      </c>
      <c r="H45" s="44">
        <f t="shared" si="3"/>
        <v>0</v>
      </c>
      <c r="I45" s="44">
        <f>IF(C45=0,0,IF(1&gt;nLan,0,1.2*(IF('XA MU'!$B$25&lt;=1,'XA MU'!$E$25*$B$8*(MAX(0,1-ABS('XA MU'!$C$25-$D45)/xm_sT)+MAX(0,1-ABS('XA MU'!$D$25-$D45)/xm_sT)),0)+IF(ABS($D45-(xm_y0T+(xm_nT-1)/2*xm_sT))&lt;0.000001,IF('XA MU'!$B$25&lt;=1,'XA MU'!$E$25*$B$8*(IF('XA MU'!$C$25&gt;(xm_y0T+(xm_nT-1)/2*xm_sT),2*('XA MU'!$C$25-(xm_y0T+(xm_nT-1)/2*xm_sT))/xm_sT,0)+IF('XA MU'!$D$25&gt;(xm_y0T+(xm_nT-1)/2*xm_sT),2*('XA MU'!$D$25-(xm_y0T+(xm_nT-1)/2*xm_sT))/xm_sT,0)),0),0)+IF('XA MU'!$B$26&lt;=1,'XA MU'!$E$26*$B$8*(MAX(0,1-ABS('XA MU'!$C$26-$D45)/xm_sT)+MAX(0,1-ABS('XA MU'!$D$26-$D45)/xm_sT)),0)+IF(ABS($D45-(xm_y0T+(xm_nT-1)/2*xm_sT))&lt;0.000001,IF('XA MU'!$B$26&lt;=1,'XA MU'!$E$26*$B$8*(IF('XA MU'!$C$26&gt;(xm_y0T+(xm_nT-1)/2*xm_sT),2*('XA MU'!$C$26-(xm_y0T+(xm_nT-1)/2*xm_sT))/xm_sT,0)+IF('XA MU'!$D$26&gt;(xm_y0T+(xm_nT-1)/2*xm_sT),2*('XA MU'!$D$26-(xm_y0T+(xm_nT-1)/2*xm_sT))/xm_sT,0)),0),0)+IF('XA MU'!$B$27&lt;=1,'XA MU'!$E$27*$B$8*(MAX(0,1-ABS('XA MU'!$C$27-$D45)/xm_sT)+MAX(0,1-ABS('XA MU'!$D$27-$D45)/xm_sT)),0)+IF(ABS($D45-(xm_y0T+(xm_nT-1)/2*xm_sT))&lt;0.000001,IF('XA MU'!$B$27&lt;=1,'XA MU'!$E$27*$B$8*(IF('XA MU'!$C$27&gt;(xm_y0T+(xm_nT-1)/2*xm_sT),2*('XA MU'!$C$27-(xm_y0T+(xm_nT-1)/2*xm_sT))/xm_sT,0)+IF('XA MU'!$D$27&gt;(xm_y0T+(xm_nT-1)/2*xm_sT),2*('XA MU'!$D$27-(xm_y0T+(xm_nT-1)/2*xm_sT))/xm_sT,0)),0),0)+IF('XA MU'!$B$28&lt;=1,'XA MU'!$E$28*$B$8*(MAX(0,1-ABS('XA MU'!$C$28-$D45)/xm_sT)+MAX(0,1-ABS('XA MU'!$D$28-$D45)/xm_sT)),0)+IF(ABS($D45-(xm_y0T+(xm_nT-1)/2*xm_sT))&lt;0.000001,IF('XA MU'!$B$28&lt;=1,'XA MU'!$E$28*$B$8*(IF('XA MU'!$C$28&gt;(xm_y0T+(xm_nT-1)/2*xm_sT),2*('XA MU'!$C$28-(xm_y0T+(xm_nT-1)/2*xm_sT))/xm_sT,0)+IF('XA MU'!$D$28&gt;(xm_y0T+(xm_nT-1)/2*xm_sT),2*('XA MU'!$D$28-(xm_y0T+(xm_nT-1)/2*xm_sT))/xm_sT,0)),0),0)+IF('XA MU'!$B$29&lt;=1,'XA MU'!$E$29*$B$8*(MAX(0,1-ABS('XA MU'!$C$29-$D45)/xm_sT)+MAX(0,1-ABS('XA MU'!$D$29-$D45)/xm_sT)),0)+IF(ABS($D45-(xm_y0T+(xm_nT-1)/2*xm_sT))&lt;0.000001,IF('XA MU'!$B$29&lt;=1,'XA MU'!$E$29*$B$8*(IF('XA MU'!$C$29&gt;(xm_y0T+(xm_nT-1)/2*xm_sT),2*('XA MU'!$C$29-(xm_y0T+(xm_nT-1)/2*xm_sT))/xm_sT,0)+IF('XA MU'!$D$29&gt;(xm_y0T+(xm_nT-1)/2*xm_sT),2*('XA MU'!$D$29-(xm_y0T+(xm_nT-1)/2*xm_sT))/xm_sT,0)),0),0)+IF('XA MU'!$B$30&lt;=1,'XA MU'!$E$30*$B$8*(MAX(0,1-ABS('XA MU'!$C$30-$D45)/xm_sT)+MAX(0,1-ABS('XA MU'!$D$30-$D45)/xm_sT)),0)+IF(ABS($D45-(xm_y0T+(xm_nT-1)/2*xm_sT))&lt;0.000001,IF('XA MU'!$B$30&lt;=1,'XA MU'!$E$30*$B$8*(IF('XA MU'!$C$30&gt;(xm_y0T+(xm_nT-1)/2*xm_sT),2*('XA MU'!$C$30-(xm_y0T+(xm_nT-1)/2*xm_sT))/xm_sT,0)+IF('XA MU'!$D$30&gt;(xm_y0T+(xm_nT-1)/2*xm_sT),2*('XA MU'!$D$30-(xm_y0T+(xm_nT-1)/2*xm_sT))/xm_sT,0)),0),0))))</f>
        <v>0</v>
      </c>
      <c r="J45" s="44">
        <f>IF(C45=0,0,IF(2&gt;nLan,0,1*(IF('XA MU'!$B$25&lt;=2,'XA MU'!$E$25*$B$8*(MAX(0,1-ABS('XA MU'!$C$25-$D45)/xm_sT)+MAX(0,1-ABS('XA MU'!$D$25-$D45)/xm_sT)),0)+IF(ABS($D45-(xm_y0T+(xm_nT-1)/2*xm_sT))&lt;0.000001,IF('XA MU'!$B$25&lt;=2,'XA MU'!$E$25*$B$8*(IF('XA MU'!$C$25&gt;(xm_y0T+(xm_nT-1)/2*xm_sT),2*('XA MU'!$C$25-(xm_y0T+(xm_nT-1)/2*xm_sT))/xm_sT,0)+IF('XA MU'!$D$25&gt;(xm_y0T+(xm_nT-1)/2*xm_sT),2*('XA MU'!$D$25-(xm_y0T+(xm_nT-1)/2*xm_sT))/xm_sT,0)),0),0)+IF('XA MU'!$B$26&lt;=2,'XA MU'!$E$26*$B$8*(MAX(0,1-ABS('XA MU'!$C$26-$D45)/xm_sT)+MAX(0,1-ABS('XA MU'!$D$26-$D45)/xm_sT)),0)+IF(ABS($D45-(xm_y0T+(xm_nT-1)/2*xm_sT))&lt;0.000001,IF('XA MU'!$B$26&lt;=2,'XA MU'!$E$26*$B$8*(IF('XA MU'!$C$26&gt;(xm_y0T+(xm_nT-1)/2*xm_sT),2*('XA MU'!$C$26-(xm_y0T+(xm_nT-1)/2*xm_sT))/xm_sT,0)+IF('XA MU'!$D$26&gt;(xm_y0T+(xm_nT-1)/2*xm_sT),2*('XA MU'!$D$26-(xm_y0T+(xm_nT-1)/2*xm_sT))/xm_sT,0)),0),0)+IF('XA MU'!$B$27&lt;=2,'XA MU'!$E$27*$B$8*(MAX(0,1-ABS('XA MU'!$C$27-$D45)/xm_sT)+MAX(0,1-ABS('XA MU'!$D$27-$D45)/xm_sT)),0)+IF(ABS($D45-(xm_y0T+(xm_nT-1)/2*xm_sT))&lt;0.000001,IF('XA MU'!$B$27&lt;=2,'XA MU'!$E$27*$B$8*(IF('XA MU'!$C$27&gt;(xm_y0T+(xm_nT-1)/2*xm_sT),2*('XA MU'!$C$27-(xm_y0T+(xm_nT-1)/2*xm_sT))/xm_sT,0)+IF('XA MU'!$D$27&gt;(xm_y0T+(xm_nT-1)/2*xm_sT),2*('XA MU'!$D$27-(xm_y0T+(xm_nT-1)/2*xm_sT))/xm_sT,0)),0),0)+IF('XA MU'!$B$28&lt;=2,'XA MU'!$E$28*$B$8*(MAX(0,1-ABS('XA MU'!$C$28-$D45)/xm_sT)+MAX(0,1-ABS('XA MU'!$D$28-$D45)/xm_sT)),0)+IF(ABS($D45-(xm_y0T+(xm_nT-1)/2*xm_sT))&lt;0.000001,IF('XA MU'!$B$28&lt;=2,'XA MU'!$E$28*$B$8*(IF('XA MU'!$C$28&gt;(xm_y0T+(xm_nT-1)/2*xm_sT),2*('XA MU'!$C$28-(xm_y0T+(xm_nT-1)/2*xm_sT))/xm_sT,0)+IF('XA MU'!$D$28&gt;(xm_y0T+(xm_nT-1)/2*xm_sT),2*('XA MU'!$D$28-(xm_y0T+(xm_nT-1)/2*xm_sT))/xm_sT,0)),0),0)+IF('XA MU'!$B$29&lt;=2,'XA MU'!$E$29*$B$8*(MAX(0,1-ABS('XA MU'!$C$29-$D45)/xm_sT)+MAX(0,1-ABS('XA MU'!$D$29-$D45)/xm_sT)),0)+IF(ABS($D45-(xm_y0T+(xm_nT-1)/2*xm_sT))&lt;0.000001,IF('XA MU'!$B$29&lt;=2,'XA MU'!$E$29*$B$8*(IF('XA MU'!$C$29&gt;(xm_y0T+(xm_nT-1)/2*xm_sT),2*('XA MU'!$C$29-(xm_y0T+(xm_nT-1)/2*xm_sT))/xm_sT,0)+IF('XA MU'!$D$29&gt;(xm_y0T+(xm_nT-1)/2*xm_sT),2*('XA MU'!$D$29-(xm_y0T+(xm_nT-1)/2*xm_sT))/xm_sT,0)),0),0)+IF('XA MU'!$B$30&lt;=2,'XA MU'!$E$30*$B$8*(MAX(0,1-ABS('XA MU'!$C$30-$D45)/xm_sT)+MAX(0,1-ABS('XA MU'!$D$30-$D45)/xm_sT)),0)+IF(ABS($D45-(xm_y0T+(xm_nT-1)/2*xm_sT))&lt;0.000001,IF('XA MU'!$B$30&lt;=2,'XA MU'!$E$30*$B$8*(IF('XA MU'!$C$30&gt;(xm_y0T+(xm_nT-1)/2*xm_sT),2*('XA MU'!$C$30-(xm_y0T+(xm_nT-1)/2*xm_sT))/xm_sT,0)+IF('XA MU'!$D$30&gt;(xm_y0T+(xm_nT-1)/2*xm_sT),2*('XA MU'!$D$30-(xm_y0T+(xm_nT-1)/2*xm_sT))/xm_sT,0)),0),0))))</f>
        <v>0</v>
      </c>
      <c r="K45" s="44">
        <f>IF(C45=0,0,IF(3&gt;nLan,0,0.85*(IF('XA MU'!$B$25&lt;=3,'XA MU'!$E$25*$B$8*(MAX(0,1-ABS('XA MU'!$C$25-$D45)/xm_sT)+MAX(0,1-ABS('XA MU'!$D$25-$D45)/xm_sT)),0)+IF(ABS($D45-(xm_y0T+(xm_nT-1)/2*xm_sT))&lt;0.000001,IF('XA MU'!$B$25&lt;=3,'XA MU'!$E$25*$B$8*(IF('XA MU'!$C$25&gt;(xm_y0T+(xm_nT-1)/2*xm_sT),2*('XA MU'!$C$25-(xm_y0T+(xm_nT-1)/2*xm_sT))/xm_sT,0)+IF('XA MU'!$D$25&gt;(xm_y0T+(xm_nT-1)/2*xm_sT),2*('XA MU'!$D$25-(xm_y0T+(xm_nT-1)/2*xm_sT))/xm_sT,0)),0),0)+IF('XA MU'!$B$26&lt;=3,'XA MU'!$E$26*$B$8*(MAX(0,1-ABS('XA MU'!$C$26-$D45)/xm_sT)+MAX(0,1-ABS('XA MU'!$D$26-$D45)/xm_sT)),0)+IF(ABS($D45-(xm_y0T+(xm_nT-1)/2*xm_sT))&lt;0.000001,IF('XA MU'!$B$26&lt;=3,'XA MU'!$E$26*$B$8*(IF('XA MU'!$C$26&gt;(xm_y0T+(xm_nT-1)/2*xm_sT),2*('XA MU'!$C$26-(xm_y0T+(xm_nT-1)/2*xm_sT))/xm_sT,0)+IF('XA MU'!$D$26&gt;(xm_y0T+(xm_nT-1)/2*xm_sT),2*('XA MU'!$D$26-(xm_y0T+(xm_nT-1)/2*xm_sT))/xm_sT,0)),0),0)+IF('XA MU'!$B$27&lt;=3,'XA MU'!$E$27*$B$8*(MAX(0,1-ABS('XA MU'!$C$27-$D45)/xm_sT)+MAX(0,1-ABS('XA MU'!$D$27-$D45)/xm_sT)),0)+IF(ABS($D45-(xm_y0T+(xm_nT-1)/2*xm_sT))&lt;0.000001,IF('XA MU'!$B$27&lt;=3,'XA MU'!$E$27*$B$8*(IF('XA MU'!$C$27&gt;(xm_y0T+(xm_nT-1)/2*xm_sT),2*('XA MU'!$C$27-(xm_y0T+(xm_nT-1)/2*xm_sT))/xm_sT,0)+IF('XA MU'!$D$27&gt;(xm_y0T+(xm_nT-1)/2*xm_sT),2*('XA MU'!$D$27-(xm_y0T+(xm_nT-1)/2*xm_sT))/xm_sT,0)),0),0)+IF('XA MU'!$B$28&lt;=3,'XA MU'!$E$28*$B$8*(MAX(0,1-ABS('XA MU'!$C$28-$D45)/xm_sT)+MAX(0,1-ABS('XA MU'!$D$28-$D45)/xm_sT)),0)+IF(ABS($D45-(xm_y0T+(xm_nT-1)/2*xm_sT))&lt;0.000001,IF('XA MU'!$B$28&lt;=3,'XA MU'!$E$28*$B$8*(IF('XA MU'!$C$28&gt;(xm_y0T+(xm_nT-1)/2*xm_sT),2*('XA MU'!$C$28-(xm_y0T+(xm_nT-1)/2*xm_sT))/xm_sT,0)+IF('XA MU'!$D$28&gt;(xm_y0T+(xm_nT-1)/2*xm_sT),2*('XA MU'!$D$28-(xm_y0T+(xm_nT-1)/2*xm_sT))/xm_sT,0)),0),0)+IF('XA MU'!$B$29&lt;=3,'XA MU'!$E$29*$B$8*(MAX(0,1-ABS('XA MU'!$C$29-$D45)/xm_sT)+MAX(0,1-ABS('XA MU'!$D$29-$D45)/xm_sT)),0)+IF(ABS($D45-(xm_y0T+(xm_nT-1)/2*xm_sT))&lt;0.000001,IF('XA MU'!$B$29&lt;=3,'XA MU'!$E$29*$B$8*(IF('XA MU'!$C$29&gt;(xm_y0T+(xm_nT-1)/2*xm_sT),2*('XA MU'!$C$29-(xm_y0T+(xm_nT-1)/2*xm_sT))/xm_sT,0)+IF('XA MU'!$D$29&gt;(xm_y0T+(xm_nT-1)/2*xm_sT),2*('XA MU'!$D$29-(xm_y0T+(xm_nT-1)/2*xm_sT))/xm_sT,0)),0),0)+IF('XA MU'!$B$30&lt;=3,'XA MU'!$E$30*$B$8*(MAX(0,1-ABS('XA MU'!$C$30-$D45)/xm_sT)+MAX(0,1-ABS('XA MU'!$D$30-$D45)/xm_sT)),0)+IF(ABS($D45-(xm_y0T+(xm_nT-1)/2*xm_sT))&lt;0.000001,IF('XA MU'!$B$30&lt;=3,'XA MU'!$E$30*$B$8*(IF('XA MU'!$C$30&gt;(xm_y0T+(xm_nT-1)/2*xm_sT),2*('XA MU'!$C$30-(xm_y0T+(xm_nT-1)/2*xm_sT))/xm_sT,0)+IF('XA MU'!$D$30&gt;(xm_y0T+(xm_nT-1)/2*xm_sT),2*('XA MU'!$D$30-(xm_y0T+(xm_nT-1)/2*xm_sT))/xm_sT,0)),0),0))))</f>
        <v>0</v>
      </c>
      <c r="L45" s="44">
        <f>IF(C45=0,0,IF(4&gt;nLan,0,0.65*(IF('XA MU'!$B$25&lt;=4,'XA MU'!$E$25*$B$8*(MAX(0,1-ABS('XA MU'!$C$25-$D45)/xm_sT)+MAX(0,1-ABS('XA MU'!$D$25-$D45)/xm_sT)),0)+IF(ABS($D45-(xm_y0T+(xm_nT-1)/2*xm_sT))&lt;0.000001,IF('XA MU'!$B$25&lt;=4,'XA MU'!$E$25*$B$8*(IF('XA MU'!$C$25&gt;(xm_y0T+(xm_nT-1)/2*xm_sT),2*('XA MU'!$C$25-(xm_y0T+(xm_nT-1)/2*xm_sT))/xm_sT,0)+IF('XA MU'!$D$25&gt;(xm_y0T+(xm_nT-1)/2*xm_sT),2*('XA MU'!$D$25-(xm_y0T+(xm_nT-1)/2*xm_sT))/xm_sT,0)),0),0)+IF('XA MU'!$B$26&lt;=4,'XA MU'!$E$26*$B$8*(MAX(0,1-ABS('XA MU'!$C$26-$D45)/xm_sT)+MAX(0,1-ABS('XA MU'!$D$26-$D45)/xm_sT)),0)+IF(ABS($D45-(xm_y0T+(xm_nT-1)/2*xm_sT))&lt;0.000001,IF('XA MU'!$B$26&lt;=4,'XA MU'!$E$26*$B$8*(IF('XA MU'!$C$26&gt;(xm_y0T+(xm_nT-1)/2*xm_sT),2*('XA MU'!$C$26-(xm_y0T+(xm_nT-1)/2*xm_sT))/xm_sT,0)+IF('XA MU'!$D$26&gt;(xm_y0T+(xm_nT-1)/2*xm_sT),2*('XA MU'!$D$26-(xm_y0T+(xm_nT-1)/2*xm_sT))/xm_sT,0)),0),0)+IF('XA MU'!$B$27&lt;=4,'XA MU'!$E$27*$B$8*(MAX(0,1-ABS('XA MU'!$C$27-$D45)/xm_sT)+MAX(0,1-ABS('XA MU'!$D$27-$D45)/xm_sT)),0)+IF(ABS($D45-(xm_y0T+(xm_nT-1)/2*xm_sT))&lt;0.000001,IF('XA MU'!$B$27&lt;=4,'XA MU'!$E$27*$B$8*(IF('XA MU'!$C$27&gt;(xm_y0T+(xm_nT-1)/2*xm_sT),2*('XA MU'!$C$27-(xm_y0T+(xm_nT-1)/2*xm_sT))/xm_sT,0)+IF('XA MU'!$D$27&gt;(xm_y0T+(xm_nT-1)/2*xm_sT),2*('XA MU'!$D$27-(xm_y0T+(xm_nT-1)/2*xm_sT))/xm_sT,0)),0),0)+IF('XA MU'!$B$28&lt;=4,'XA MU'!$E$28*$B$8*(MAX(0,1-ABS('XA MU'!$C$28-$D45)/xm_sT)+MAX(0,1-ABS('XA MU'!$D$28-$D45)/xm_sT)),0)+IF(ABS($D45-(xm_y0T+(xm_nT-1)/2*xm_sT))&lt;0.000001,IF('XA MU'!$B$28&lt;=4,'XA MU'!$E$28*$B$8*(IF('XA MU'!$C$28&gt;(xm_y0T+(xm_nT-1)/2*xm_sT),2*('XA MU'!$C$28-(xm_y0T+(xm_nT-1)/2*xm_sT))/xm_sT,0)+IF('XA MU'!$D$28&gt;(xm_y0T+(xm_nT-1)/2*xm_sT),2*('XA MU'!$D$28-(xm_y0T+(xm_nT-1)/2*xm_sT))/xm_sT,0)),0),0)+IF('XA MU'!$B$29&lt;=4,'XA MU'!$E$29*$B$8*(MAX(0,1-ABS('XA MU'!$C$29-$D45)/xm_sT)+MAX(0,1-ABS('XA MU'!$D$29-$D45)/xm_sT)),0)+IF(ABS($D45-(xm_y0T+(xm_nT-1)/2*xm_sT))&lt;0.000001,IF('XA MU'!$B$29&lt;=4,'XA MU'!$E$29*$B$8*(IF('XA MU'!$C$29&gt;(xm_y0T+(xm_nT-1)/2*xm_sT),2*('XA MU'!$C$29-(xm_y0T+(xm_nT-1)/2*xm_sT))/xm_sT,0)+IF('XA MU'!$D$29&gt;(xm_y0T+(xm_nT-1)/2*xm_sT),2*('XA MU'!$D$29-(xm_y0T+(xm_nT-1)/2*xm_sT))/xm_sT,0)),0),0)+IF('XA MU'!$B$30&lt;=4,'XA MU'!$E$30*$B$8*(MAX(0,1-ABS('XA MU'!$C$30-$D45)/xm_sT)+MAX(0,1-ABS('XA MU'!$D$30-$D45)/xm_sT)),0)+IF(ABS($D45-(xm_y0T+(xm_nT-1)/2*xm_sT))&lt;0.000001,IF('XA MU'!$B$30&lt;=4,'XA MU'!$E$30*$B$8*(IF('XA MU'!$C$30&gt;(xm_y0T+(xm_nT-1)/2*xm_sT),2*('XA MU'!$C$30-(xm_y0T+(xm_nT-1)/2*xm_sT))/xm_sT,0)+IF('XA MU'!$D$30&gt;(xm_y0T+(xm_nT-1)/2*xm_sT),2*('XA MU'!$D$30-(xm_y0T+(xm_nT-1)/2*xm_sT))/xm_sT,0)),0),0))))</f>
        <v>0</v>
      </c>
      <c r="M45" s="44">
        <f>IF(C45=0,0,IF(5&gt;nLan,0,0.65*(IF('XA MU'!$B$25&lt;=5,'XA MU'!$E$25*$B$8*(MAX(0,1-ABS('XA MU'!$C$25-$D45)/xm_sT)+MAX(0,1-ABS('XA MU'!$D$25-$D45)/xm_sT)),0)+IF(ABS($D45-(xm_y0T+(xm_nT-1)/2*xm_sT))&lt;0.000001,IF('XA MU'!$B$25&lt;=5,'XA MU'!$E$25*$B$8*(IF('XA MU'!$C$25&gt;(xm_y0T+(xm_nT-1)/2*xm_sT),2*('XA MU'!$C$25-(xm_y0T+(xm_nT-1)/2*xm_sT))/xm_sT,0)+IF('XA MU'!$D$25&gt;(xm_y0T+(xm_nT-1)/2*xm_sT),2*('XA MU'!$D$25-(xm_y0T+(xm_nT-1)/2*xm_sT))/xm_sT,0)),0),0)+IF('XA MU'!$B$26&lt;=5,'XA MU'!$E$26*$B$8*(MAX(0,1-ABS('XA MU'!$C$26-$D45)/xm_sT)+MAX(0,1-ABS('XA MU'!$D$26-$D45)/xm_sT)),0)+IF(ABS($D45-(xm_y0T+(xm_nT-1)/2*xm_sT))&lt;0.000001,IF('XA MU'!$B$26&lt;=5,'XA MU'!$E$26*$B$8*(IF('XA MU'!$C$26&gt;(xm_y0T+(xm_nT-1)/2*xm_sT),2*('XA MU'!$C$26-(xm_y0T+(xm_nT-1)/2*xm_sT))/xm_sT,0)+IF('XA MU'!$D$26&gt;(xm_y0T+(xm_nT-1)/2*xm_sT),2*('XA MU'!$D$26-(xm_y0T+(xm_nT-1)/2*xm_sT))/xm_sT,0)),0),0)+IF('XA MU'!$B$27&lt;=5,'XA MU'!$E$27*$B$8*(MAX(0,1-ABS('XA MU'!$C$27-$D45)/xm_sT)+MAX(0,1-ABS('XA MU'!$D$27-$D45)/xm_sT)),0)+IF(ABS($D45-(xm_y0T+(xm_nT-1)/2*xm_sT))&lt;0.000001,IF('XA MU'!$B$27&lt;=5,'XA MU'!$E$27*$B$8*(IF('XA MU'!$C$27&gt;(xm_y0T+(xm_nT-1)/2*xm_sT),2*('XA MU'!$C$27-(xm_y0T+(xm_nT-1)/2*xm_sT))/xm_sT,0)+IF('XA MU'!$D$27&gt;(xm_y0T+(xm_nT-1)/2*xm_sT),2*('XA MU'!$D$27-(xm_y0T+(xm_nT-1)/2*xm_sT))/xm_sT,0)),0),0)+IF('XA MU'!$B$28&lt;=5,'XA MU'!$E$28*$B$8*(MAX(0,1-ABS('XA MU'!$C$28-$D45)/xm_sT)+MAX(0,1-ABS('XA MU'!$D$28-$D45)/xm_sT)),0)+IF(ABS($D45-(xm_y0T+(xm_nT-1)/2*xm_sT))&lt;0.000001,IF('XA MU'!$B$28&lt;=5,'XA MU'!$E$28*$B$8*(IF('XA MU'!$C$28&gt;(xm_y0T+(xm_nT-1)/2*xm_sT),2*('XA MU'!$C$28-(xm_y0T+(xm_nT-1)/2*xm_sT))/xm_sT,0)+IF('XA MU'!$D$28&gt;(xm_y0T+(xm_nT-1)/2*xm_sT),2*('XA MU'!$D$28-(xm_y0T+(xm_nT-1)/2*xm_sT))/xm_sT,0)),0),0)+IF('XA MU'!$B$29&lt;=5,'XA MU'!$E$29*$B$8*(MAX(0,1-ABS('XA MU'!$C$29-$D45)/xm_sT)+MAX(0,1-ABS('XA MU'!$D$29-$D45)/xm_sT)),0)+IF(ABS($D45-(xm_y0T+(xm_nT-1)/2*xm_sT))&lt;0.000001,IF('XA MU'!$B$29&lt;=5,'XA MU'!$E$29*$B$8*(IF('XA MU'!$C$29&gt;(xm_y0T+(xm_nT-1)/2*xm_sT),2*('XA MU'!$C$29-(xm_y0T+(xm_nT-1)/2*xm_sT))/xm_sT,0)+IF('XA MU'!$D$29&gt;(xm_y0T+(xm_nT-1)/2*xm_sT),2*('XA MU'!$D$29-(xm_y0T+(xm_nT-1)/2*xm_sT))/xm_sT,0)),0),0)+IF('XA MU'!$B$30&lt;=5,'XA MU'!$E$30*$B$8*(MAX(0,1-ABS('XA MU'!$C$30-$D45)/xm_sT)+MAX(0,1-ABS('XA MU'!$D$30-$D45)/xm_sT)),0)+IF(ABS($D45-(xm_y0T+(xm_nT-1)/2*xm_sT))&lt;0.000001,IF('XA MU'!$B$30&lt;=5,'XA MU'!$E$30*$B$8*(IF('XA MU'!$C$30&gt;(xm_y0T+(xm_nT-1)/2*xm_sT),2*('XA MU'!$C$30-(xm_y0T+(xm_nT-1)/2*xm_sT))/xm_sT,0)+IF('XA MU'!$D$30&gt;(xm_y0T+(xm_nT-1)/2*xm_sT),2*('XA MU'!$D$30-(xm_y0T+(xm_nT-1)/2*xm_sT))/xm_sT,0)),0),0))))</f>
        <v>0</v>
      </c>
      <c r="N45" s="44">
        <f>IF(C45=0,0,IF(6&gt;nLan,0,0.65*(IF('XA MU'!$B$25&lt;=6,'XA MU'!$E$25*$B$8*(MAX(0,1-ABS('XA MU'!$C$25-$D45)/xm_sT)+MAX(0,1-ABS('XA MU'!$D$25-$D45)/xm_sT)),0)+IF(ABS($D45-(xm_y0T+(xm_nT-1)/2*xm_sT))&lt;0.000001,IF('XA MU'!$B$25&lt;=6,'XA MU'!$E$25*$B$8*(IF('XA MU'!$C$25&gt;(xm_y0T+(xm_nT-1)/2*xm_sT),2*('XA MU'!$C$25-(xm_y0T+(xm_nT-1)/2*xm_sT))/xm_sT,0)+IF('XA MU'!$D$25&gt;(xm_y0T+(xm_nT-1)/2*xm_sT),2*('XA MU'!$D$25-(xm_y0T+(xm_nT-1)/2*xm_sT))/xm_sT,0)),0),0)+IF('XA MU'!$B$26&lt;=6,'XA MU'!$E$26*$B$8*(MAX(0,1-ABS('XA MU'!$C$26-$D45)/xm_sT)+MAX(0,1-ABS('XA MU'!$D$26-$D45)/xm_sT)),0)+IF(ABS($D45-(xm_y0T+(xm_nT-1)/2*xm_sT))&lt;0.000001,IF('XA MU'!$B$26&lt;=6,'XA MU'!$E$26*$B$8*(IF('XA MU'!$C$26&gt;(xm_y0T+(xm_nT-1)/2*xm_sT),2*('XA MU'!$C$26-(xm_y0T+(xm_nT-1)/2*xm_sT))/xm_sT,0)+IF('XA MU'!$D$26&gt;(xm_y0T+(xm_nT-1)/2*xm_sT),2*('XA MU'!$D$26-(xm_y0T+(xm_nT-1)/2*xm_sT))/xm_sT,0)),0),0)+IF('XA MU'!$B$27&lt;=6,'XA MU'!$E$27*$B$8*(MAX(0,1-ABS('XA MU'!$C$27-$D45)/xm_sT)+MAX(0,1-ABS('XA MU'!$D$27-$D45)/xm_sT)),0)+IF(ABS($D45-(xm_y0T+(xm_nT-1)/2*xm_sT))&lt;0.000001,IF('XA MU'!$B$27&lt;=6,'XA MU'!$E$27*$B$8*(IF('XA MU'!$C$27&gt;(xm_y0T+(xm_nT-1)/2*xm_sT),2*('XA MU'!$C$27-(xm_y0T+(xm_nT-1)/2*xm_sT))/xm_sT,0)+IF('XA MU'!$D$27&gt;(xm_y0T+(xm_nT-1)/2*xm_sT),2*('XA MU'!$D$27-(xm_y0T+(xm_nT-1)/2*xm_sT))/xm_sT,0)),0),0)+IF('XA MU'!$B$28&lt;=6,'XA MU'!$E$28*$B$8*(MAX(0,1-ABS('XA MU'!$C$28-$D45)/xm_sT)+MAX(0,1-ABS('XA MU'!$D$28-$D45)/xm_sT)),0)+IF(ABS($D45-(xm_y0T+(xm_nT-1)/2*xm_sT))&lt;0.000001,IF('XA MU'!$B$28&lt;=6,'XA MU'!$E$28*$B$8*(IF('XA MU'!$C$28&gt;(xm_y0T+(xm_nT-1)/2*xm_sT),2*('XA MU'!$C$28-(xm_y0T+(xm_nT-1)/2*xm_sT))/xm_sT,0)+IF('XA MU'!$D$28&gt;(xm_y0T+(xm_nT-1)/2*xm_sT),2*('XA MU'!$D$28-(xm_y0T+(xm_nT-1)/2*xm_sT))/xm_sT,0)),0),0)+IF('XA MU'!$B$29&lt;=6,'XA MU'!$E$29*$B$8*(MAX(0,1-ABS('XA MU'!$C$29-$D45)/xm_sT)+MAX(0,1-ABS('XA MU'!$D$29-$D45)/xm_sT)),0)+IF(ABS($D45-(xm_y0T+(xm_nT-1)/2*xm_sT))&lt;0.000001,IF('XA MU'!$B$29&lt;=6,'XA MU'!$E$29*$B$8*(IF('XA MU'!$C$29&gt;(xm_y0T+(xm_nT-1)/2*xm_sT),2*('XA MU'!$C$29-(xm_y0T+(xm_nT-1)/2*xm_sT))/xm_sT,0)+IF('XA MU'!$D$29&gt;(xm_y0T+(xm_nT-1)/2*xm_sT),2*('XA MU'!$D$29-(xm_y0T+(xm_nT-1)/2*xm_sT))/xm_sT,0)),0),0)+IF('XA MU'!$B$30&lt;=6,'XA MU'!$E$30*$B$8*(MAX(0,1-ABS('XA MU'!$C$30-$D45)/xm_sT)+MAX(0,1-ABS('XA MU'!$D$30-$D45)/xm_sT)),0)+IF(ABS($D45-(xm_y0T+(xm_nT-1)/2*xm_sT))&lt;0.000001,IF('XA MU'!$B$30&lt;=6,'XA MU'!$E$30*$B$8*(IF('XA MU'!$C$30&gt;(xm_y0T+(xm_nT-1)/2*xm_sT),2*('XA MU'!$C$30-(xm_y0T+(xm_nT-1)/2*xm_sT))/xm_sT,0)+IF('XA MU'!$D$30&gt;(xm_y0T+(xm_nT-1)/2*xm_sT),2*('XA MU'!$D$30-(xm_y0T+(xm_nT-1)/2*xm_sT))/xm_sT,0)),0),0))))</f>
        <v>0</v>
      </c>
    </row>
    <row r="46" spans="1:14" x14ac:dyDescent="0.3">
      <c r="A46" s="42" t="s">
        <v>1235</v>
      </c>
      <c r="B46" s="42">
        <v>32</v>
      </c>
      <c r="C46" s="40">
        <f t="shared" si="0"/>
        <v>0</v>
      </c>
      <c r="D46" s="44">
        <f t="shared" si="1"/>
        <v>0</v>
      </c>
      <c r="E46" s="44">
        <f>MAX(0,D46-'XA MU'!$C$8)*C46</f>
        <v>0</v>
      </c>
      <c r="F46" s="44">
        <f>IF(AND(C46=1,D46&gt;'XA MU'!$C$8),1,0)</f>
        <v>0</v>
      </c>
      <c r="G46" s="44">
        <f t="shared" si="2"/>
        <v>0</v>
      </c>
      <c r="H46" s="44">
        <f t="shared" si="3"/>
        <v>0</v>
      </c>
      <c r="I46" s="44">
        <f>IF(C46=0,0,IF(1&gt;nLan,0,1.2*(IF('XA MU'!$B$25&lt;=1,'XA MU'!$E$25*$B$8*(MAX(0,1-ABS('XA MU'!$C$25-$D46)/xm_sT)+MAX(0,1-ABS('XA MU'!$D$25-$D46)/xm_sT)),0)+IF(ABS($D46-(xm_y0T+(xm_nT-1)/2*xm_sT))&lt;0.000001,IF('XA MU'!$B$25&lt;=1,'XA MU'!$E$25*$B$8*(IF('XA MU'!$C$25&gt;(xm_y0T+(xm_nT-1)/2*xm_sT),2*('XA MU'!$C$25-(xm_y0T+(xm_nT-1)/2*xm_sT))/xm_sT,0)+IF('XA MU'!$D$25&gt;(xm_y0T+(xm_nT-1)/2*xm_sT),2*('XA MU'!$D$25-(xm_y0T+(xm_nT-1)/2*xm_sT))/xm_sT,0)),0),0)+IF('XA MU'!$B$26&lt;=1,'XA MU'!$E$26*$B$8*(MAX(0,1-ABS('XA MU'!$C$26-$D46)/xm_sT)+MAX(0,1-ABS('XA MU'!$D$26-$D46)/xm_sT)),0)+IF(ABS($D46-(xm_y0T+(xm_nT-1)/2*xm_sT))&lt;0.000001,IF('XA MU'!$B$26&lt;=1,'XA MU'!$E$26*$B$8*(IF('XA MU'!$C$26&gt;(xm_y0T+(xm_nT-1)/2*xm_sT),2*('XA MU'!$C$26-(xm_y0T+(xm_nT-1)/2*xm_sT))/xm_sT,0)+IF('XA MU'!$D$26&gt;(xm_y0T+(xm_nT-1)/2*xm_sT),2*('XA MU'!$D$26-(xm_y0T+(xm_nT-1)/2*xm_sT))/xm_sT,0)),0),0)+IF('XA MU'!$B$27&lt;=1,'XA MU'!$E$27*$B$8*(MAX(0,1-ABS('XA MU'!$C$27-$D46)/xm_sT)+MAX(0,1-ABS('XA MU'!$D$27-$D46)/xm_sT)),0)+IF(ABS($D46-(xm_y0T+(xm_nT-1)/2*xm_sT))&lt;0.000001,IF('XA MU'!$B$27&lt;=1,'XA MU'!$E$27*$B$8*(IF('XA MU'!$C$27&gt;(xm_y0T+(xm_nT-1)/2*xm_sT),2*('XA MU'!$C$27-(xm_y0T+(xm_nT-1)/2*xm_sT))/xm_sT,0)+IF('XA MU'!$D$27&gt;(xm_y0T+(xm_nT-1)/2*xm_sT),2*('XA MU'!$D$27-(xm_y0T+(xm_nT-1)/2*xm_sT))/xm_sT,0)),0),0)+IF('XA MU'!$B$28&lt;=1,'XA MU'!$E$28*$B$8*(MAX(0,1-ABS('XA MU'!$C$28-$D46)/xm_sT)+MAX(0,1-ABS('XA MU'!$D$28-$D46)/xm_sT)),0)+IF(ABS($D46-(xm_y0T+(xm_nT-1)/2*xm_sT))&lt;0.000001,IF('XA MU'!$B$28&lt;=1,'XA MU'!$E$28*$B$8*(IF('XA MU'!$C$28&gt;(xm_y0T+(xm_nT-1)/2*xm_sT),2*('XA MU'!$C$28-(xm_y0T+(xm_nT-1)/2*xm_sT))/xm_sT,0)+IF('XA MU'!$D$28&gt;(xm_y0T+(xm_nT-1)/2*xm_sT),2*('XA MU'!$D$28-(xm_y0T+(xm_nT-1)/2*xm_sT))/xm_sT,0)),0),0)+IF('XA MU'!$B$29&lt;=1,'XA MU'!$E$29*$B$8*(MAX(0,1-ABS('XA MU'!$C$29-$D46)/xm_sT)+MAX(0,1-ABS('XA MU'!$D$29-$D46)/xm_sT)),0)+IF(ABS($D46-(xm_y0T+(xm_nT-1)/2*xm_sT))&lt;0.000001,IF('XA MU'!$B$29&lt;=1,'XA MU'!$E$29*$B$8*(IF('XA MU'!$C$29&gt;(xm_y0T+(xm_nT-1)/2*xm_sT),2*('XA MU'!$C$29-(xm_y0T+(xm_nT-1)/2*xm_sT))/xm_sT,0)+IF('XA MU'!$D$29&gt;(xm_y0T+(xm_nT-1)/2*xm_sT),2*('XA MU'!$D$29-(xm_y0T+(xm_nT-1)/2*xm_sT))/xm_sT,0)),0),0)+IF('XA MU'!$B$30&lt;=1,'XA MU'!$E$30*$B$8*(MAX(0,1-ABS('XA MU'!$C$30-$D46)/xm_sT)+MAX(0,1-ABS('XA MU'!$D$30-$D46)/xm_sT)),0)+IF(ABS($D46-(xm_y0T+(xm_nT-1)/2*xm_sT))&lt;0.000001,IF('XA MU'!$B$30&lt;=1,'XA MU'!$E$30*$B$8*(IF('XA MU'!$C$30&gt;(xm_y0T+(xm_nT-1)/2*xm_sT),2*('XA MU'!$C$30-(xm_y0T+(xm_nT-1)/2*xm_sT))/xm_sT,0)+IF('XA MU'!$D$30&gt;(xm_y0T+(xm_nT-1)/2*xm_sT),2*('XA MU'!$D$30-(xm_y0T+(xm_nT-1)/2*xm_sT))/xm_sT,0)),0),0))))</f>
        <v>0</v>
      </c>
      <c r="J46" s="44">
        <f>IF(C46=0,0,IF(2&gt;nLan,0,1*(IF('XA MU'!$B$25&lt;=2,'XA MU'!$E$25*$B$8*(MAX(0,1-ABS('XA MU'!$C$25-$D46)/xm_sT)+MAX(0,1-ABS('XA MU'!$D$25-$D46)/xm_sT)),0)+IF(ABS($D46-(xm_y0T+(xm_nT-1)/2*xm_sT))&lt;0.000001,IF('XA MU'!$B$25&lt;=2,'XA MU'!$E$25*$B$8*(IF('XA MU'!$C$25&gt;(xm_y0T+(xm_nT-1)/2*xm_sT),2*('XA MU'!$C$25-(xm_y0T+(xm_nT-1)/2*xm_sT))/xm_sT,0)+IF('XA MU'!$D$25&gt;(xm_y0T+(xm_nT-1)/2*xm_sT),2*('XA MU'!$D$25-(xm_y0T+(xm_nT-1)/2*xm_sT))/xm_sT,0)),0),0)+IF('XA MU'!$B$26&lt;=2,'XA MU'!$E$26*$B$8*(MAX(0,1-ABS('XA MU'!$C$26-$D46)/xm_sT)+MAX(0,1-ABS('XA MU'!$D$26-$D46)/xm_sT)),0)+IF(ABS($D46-(xm_y0T+(xm_nT-1)/2*xm_sT))&lt;0.000001,IF('XA MU'!$B$26&lt;=2,'XA MU'!$E$26*$B$8*(IF('XA MU'!$C$26&gt;(xm_y0T+(xm_nT-1)/2*xm_sT),2*('XA MU'!$C$26-(xm_y0T+(xm_nT-1)/2*xm_sT))/xm_sT,0)+IF('XA MU'!$D$26&gt;(xm_y0T+(xm_nT-1)/2*xm_sT),2*('XA MU'!$D$26-(xm_y0T+(xm_nT-1)/2*xm_sT))/xm_sT,0)),0),0)+IF('XA MU'!$B$27&lt;=2,'XA MU'!$E$27*$B$8*(MAX(0,1-ABS('XA MU'!$C$27-$D46)/xm_sT)+MAX(0,1-ABS('XA MU'!$D$27-$D46)/xm_sT)),0)+IF(ABS($D46-(xm_y0T+(xm_nT-1)/2*xm_sT))&lt;0.000001,IF('XA MU'!$B$27&lt;=2,'XA MU'!$E$27*$B$8*(IF('XA MU'!$C$27&gt;(xm_y0T+(xm_nT-1)/2*xm_sT),2*('XA MU'!$C$27-(xm_y0T+(xm_nT-1)/2*xm_sT))/xm_sT,0)+IF('XA MU'!$D$27&gt;(xm_y0T+(xm_nT-1)/2*xm_sT),2*('XA MU'!$D$27-(xm_y0T+(xm_nT-1)/2*xm_sT))/xm_sT,0)),0),0)+IF('XA MU'!$B$28&lt;=2,'XA MU'!$E$28*$B$8*(MAX(0,1-ABS('XA MU'!$C$28-$D46)/xm_sT)+MAX(0,1-ABS('XA MU'!$D$28-$D46)/xm_sT)),0)+IF(ABS($D46-(xm_y0T+(xm_nT-1)/2*xm_sT))&lt;0.000001,IF('XA MU'!$B$28&lt;=2,'XA MU'!$E$28*$B$8*(IF('XA MU'!$C$28&gt;(xm_y0T+(xm_nT-1)/2*xm_sT),2*('XA MU'!$C$28-(xm_y0T+(xm_nT-1)/2*xm_sT))/xm_sT,0)+IF('XA MU'!$D$28&gt;(xm_y0T+(xm_nT-1)/2*xm_sT),2*('XA MU'!$D$28-(xm_y0T+(xm_nT-1)/2*xm_sT))/xm_sT,0)),0),0)+IF('XA MU'!$B$29&lt;=2,'XA MU'!$E$29*$B$8*(MAX(0,1-ABS('XA MU'!$C$29-$D46)/xm_sT)+MAX(0,1-ABS('XA MU'!$D$29-$D46)/xm_sT)),0)+IF(ABS($D46-(xm_y0T+(xm_nT-1)/2*xm_sT))&lt;0.000001,IF('XA MU'!$B$29&lt;=2,'XA MU'!$E$29*$B$8*(IF('XA MU'!$C$29&gt;(xm_y0T+(xm_nT-1)/2*xm_sT),2*('XA MU'!$C$29-(xm_y0T+(xm_nT-1)/2*xm_sT))/xm_sT,0)+IF('XA MU'!$D$29&gt;(xm_y0T+(xm_nT-1)/2*xm_sT),2*('XA MU'!$D$29-(xm_y0T+(xm_nT-1)/2*xm_sT))/xm_sT,0)),0),0)+IF('XA MU'!$B$30&lt;=2,'XA MU'!$E$30*$B$8*(MAX(0,1-ABS('XA MU'!$C$30-$D46)/xm_sT)+MAX(0,1-ABS('XA MU'!$D$30-$D46)/xm_sT)),0)+IF(ABS($D46-(xm_y0T+(xm_nT-1)/2*xm_sT))&lt;0.000001,IF('XA MU'!$B$30&lt;=2,'XA MU'!$E$30*$B$8*(IF('XA MU'!$C$30&gt;(xm_y0T+(xm_nT-1)/2*xm_sT),2*('XA MU'!$C$30-(xm_y0T+(xm_nT-1)/2*xm_sT))/xm_sT,0)+IF('XA MU'!$D$30&gt;(xm_y0T+(xm_nT-1)/2*xm_sT),2*('XA MU'!$D$30-(xm_y0T+(xm_nT-1)/2*xm_sT))/xm_sT,0)),0),0))))</f>
        <v>0</v>
      </c>
      <c r="K46" s="44">
        <f>IF(C46=0,0,IF(3&gt;nLan,0,0.85*(IF('XA MU'!$B$25&lt;=3,'XA MU'!$E$25*$B$8*(MAX(0,1-ABS('XA MU'!$C$25-$D46)/xm_sT)+MAX(0,1-ABS('XA MU'!$D$25-$D46)/xm_sT)),0)+IF(ABS($D46-(xm_y0T+(xm_nT-1)/2*xm_sT))&lt;0.000001,IF('XA MU'!$B$25&lt;=3,'XA MU'!$E$25*$B$8*(IF('XA MU'!$C$25&gt;(xm_y0T+(xm_nT-1)/2*xm_sT),2*('XA MU'!$C$25-(xm_y0T+(xm_nT-1)/2*xm_sT))/xm_sT,0)+IF('XA MU'!$D$25&gt;(xm_y0T+(xm_nT-1)/2*xm_sT),2*('XA MU'!$D$25-(xm_y0T+(xm_nT-1)/2*xm_sT))/xm_sT,0)),0),0)+IF('XA MU'!$B$26&lt;=3,'XA MU'!$E$26*$B$8*(MAX(0,1-ABS('XA MU'!$C$26-$D46)/xm_sT)+MAX(0,1-ABS('XA MU'!$D$26-$D46)/xm_sT)),0)+IF(ABS($D46-(xm_y0T+(xm_nT-1)/2*xm_sT))&lt;0.000001,IF('XA MU'!$B$26&lt;=3,'XA MU'!$E$26*$B$8*(IF('XA MU'!$C$26&gt;(xm_y0T+(xm_nT-1)/2*xm_sT),2*('XA MU'!$C$26-(xm_y0T+(xm_nT-1)/2*xm_sT))/xm_sT,0)+IF('XA MU'!$D$26&gt;(xm_y0T+(xm_nT-1)/2*xm_sT),2*('XA MU'!$D$26-(xm_y0T+(xm_nT-1)/2*xm_sT))/xm_sT,0)),0),0)+IF('XA MU'!$B$27&lt;=3,'XA MU'!$E$27*$B$8*(MAX(0,1-ABS('XA MU'!$C$27-$D46)/xm_sT)+MAX(0,1-ABS('XA MU'!$D$27-$D46)/xm_sT)),0)+IF(ABS($D46-(xm_y0T+(xm_nT-1)/2*xm_sT))&lt;0.000001,IF('XA MU'!$B$27&lt;=3,'XA MU'!$E$27*$B$8*(IF('XA MU'!$C$27&gt;(xm_y0T+(xm_nT-1)/2*xm_sT),2*('XA MU'!$C$27-(xm_y0T+(xm_nT-1)/2*xm_sT))/xm_sT,0)+IF('XA MU'!$D$27&gt;(xm_y0T+(xm_nT-1)/2*xm_sT),2*('XA MU'!$D$27-(xm_y0T+(xm_nT-1)/2*xm_sT))/xm_sT,0)),0),0)+IF('XA MU'!$B$28&lt;=3,'XA MU'!$E$28*$B$8*(MAX(0,1-ABS('XA MU'!$C$28-$D46)/xm_sT)+MAX(0,1-ABS('XA MU'!$D$28-$D46)/xm_sT)),0)+IF(ABS($D46-(xm_y0T+(xm_nT-1)/2*xm_sT))&lt;0.000001,IF('XA MU'!$B$28&lt;=3,'XA MU'!$E$28*$B$8*(IF('XA MU'!$C$28&gt;(xm_y0T+(xm_nT-1)/2*xm_sT),2*('XA MU'!$C$28-(xm_y0T+(xm_nT-1)/2*xm_sT))/xm_sT,0)+IF('XA MU'!$D$28&gt;(xm_y0T+(xm_nT-1)/2*xm_sT),2*('XA MU'!$D$28-(xm_y0T+(xm_nT-1)/2*xm_sT))/xm_sT,0)),0),0)+IF('XA MU'!$B$29&lt;=3,'XA MU'!$E$29*$B$8*(MAX(0,1-ABS('XA MU'!$C$29-$D46)/xm_sT)+MAX(0,1-ABS('XA MU'!$D$29-$D46)/xm_sT)),0)+IF(ABS($D46-(xm_y0T+(xm_nT-1)/2*xm_sT))&lt;0.000001,IF('XA MU'!$B$29&lt;=3,'XA MU'!$E$29*$B$8*(IF('XA MU'!$C$29&gt;(xm_y0T+(xm_nT-1)/2*xm_sT),2*('XA MU'!$C$29-(xm_y0T+(xm_nT-1)/2*xm_sT))/xm_sT,0)+IF('XA MU'!$D$29&gt;(xm_y0T+(xm_nT-1)/2*xm_sT),2*('XA MU'!$D$29-(xm_y0T+(xm_nT-1)/2*xm_sT))/xm_sT,0)),0),0)+IF('XA MU'!$B$30&lt;=3,'XA MU'!$E$30*$B$8*(MAX(0,1-ABS('XA MU'!$C$30-$D46)/xm_sT)+MAX(0,1-ABS('XA MU'!$D$30-$D46)/xm_sT)),0)+IF(ABS($D46-(xm_y0T+(xm_nT-1)/2*xm_sT))&lt;0.000001,IF('XA MU'!$B$30&lt;=3,'XA MU'!$E$30*$B$8*(IF('XA MU'!$C$30&gt;(xm_y0T+(xm_nT-1)/2*xm_sT),2*('XA MU'!$C$30-(xm_y0T+(xm_nT-1)/2*xm_sT))/xm_sT,0)+IF('XA MU'!$D$30&gt;(xm_y0T+(xm_nT-1)/2*xm_sT),2*('XA MU'!$D$30-(xm_y0T+(xm_nT-1)/2*xm_sT))/xm_sT,0)),0),0))))</f>
        <v>0</v>
      </c>
      <c r="L46" s="44">
        <f>IF(C46=0,0,IF(4&gt;nLan,0,0.65*(IF('XA MU'!$B$25&lt;=4,'XA MU'!$E$25*$B$8*(MAX(0,1-ABS('XA MU'!$C$25-$D46)/xm_sT)+MAX(0,1-ABS('XA MU'!$D$25-$D46)/xm_sT)),0)+IF(ABS($D46-(xm_y0T+(xm_nT-1)/2*xm_sT))&lt;0.000001,IF('XA MU'!$B$25&lt;=4,'XA MU'!$E$25*$B$8*(IF('XA MU'!$C$25&gt;(xm_y0T+(xm_nT-1)/2*xm_sT),2*('XA MU'!$C$25-(xm_y0T+(xm_nT-1)/2*xm_sT))/xm_sT,0)+IF('XA MU'!$D$25&gt;(xm_y0T+(xm_nT-1)/2*xm_sT),2*('XA MU'!$D$25-(xm_y0T+(xm_nT-1)/2*xm_sT))/xm_sT,0)),0),0)+IF('XA MU'!$B$26&lt;=4,'XA MU'!$E$26*$B$8*(MAX(0,1-ABS('XA MU'!$C$26-$D46)/xm_sT)+MAX(0,1-ABS('XA MU'!$D$26-$D46)/xm_sT)),0)+IF(ABS($D46-(xm_y0T+(xm_nT-1)/2*xm_sT))&lt;0.000001,IF('XA MU'!$B$26&lt;=4,'XA MU'!$E$26*$B$8*(IF('XA MU'!$C$26&gt;(xm_y0T+(xm_nT-1)/2*xm_sT),2*('XA MU'!$C$26-(xm_y0T+(xm_nT-1)/2*xm_sT))/xm_sT,0)+IF('XA MU'!$D$26&gt;(xm_y0T+(xm_nT-1)/2*xm_sT),2*('XA MU'!$D$26-(xm_y0T+(xm_nT-1)/2*xm_sT))/xm_sT,0)),0),0)+IF('XA MU'!$B$27&lt;=4,'XA MU'!$E$27*$B$8*(MAX(0,1-ABS('XA MU'!$C$27-$D46)/xm_sT)+MAX(0,1-ABS('XA MU'!$D$27-$D46)/xm_sT)),0)+IF(ABS($D46-(xm_y0T+(xm_nT-1)/2*xm_sT))&lt;0.000001,IF('XA MU'!$B$27&lt;=4,'XA MU'!$E$27*$B$8*(IF('XA MU'!$C$27&gt;(xm_y0T+(xm_nT-1)/2*xm_sT),2*('XA MU'!$C$27-(xm_y0T+(xm_nT-1)/2*xm_sT))/xm_sT,0)+IF('XA MU'!$D$27&gt;(xm_y0T+(xm_nT-1)/2*xm_sT),2*('XA MU'!$D$27-(xm_y0T+(xm_nT-1)/2*xm_sT))/xm_sT,0)),0),0)+IF('XA MU'!$B$28&lt;=4,'XA MU'!$E$28*$B$8*(MAX(0,1-ABS('XA MU'!$C$28-$D46)/xm_sT)+MAX(0,1-ABS('XA MU'!$D$28-$D46)/xm_sT)),0)+IF(ABS($D46-(xm_y0T+(xm_nT-1)/2*xm_sT))&lt;0.000001,IF('XA MU'!$B$28&lt;=4,'XA MU'!$E$28*$B$8*(IF('XA MU'!$C$28&gt;(xm_y0T+(xm_nT-1)/2*xm_sT),2*('XA MU'!$C$28-(xm_y0T+(xm_nT-1)/2*xm_sT))/xm_sT,0)+IF('XA MU'!$D$28&gt;(xm_y0T+(xm_nT-1)/2*xm_sT),2*('XA MU'!$D$28-(xm_y0T+(xm_nT-1)/2*xm_sT))/xm_sT,0)),0),0)+IF('XA MU'!$B$29&lt;=4,'XA MU'!$E$29*$B$8*(MAX(0,1-ABS('XA MU'!$C$29-$D46)/xm_sT)+MAX(0,1-ABS('XA MU'!$D$29-$D46)/xm_sT)),0)+IF(ABS($D46-(xm_y0T+(xm_nT-1)/2*xm_sT))&lt;0.000001,IF('XA MU'!$B$29&lt;=4,'XA MU'!$E$29*$B$8*(IF('XA MU'!$C$29&gt;(xm_y0T+(xm_nT-1)/2*xm_sT),2*('XA MU'!$C$29-(xm_y0T+(xm_nT-1)/2*xm_sT))/xm_sT,0)+IF('XA MU'!$D$29&gt;(xm_y0T+(xm_nT-1)/2*xm_sT),2*('XA MU'!$D$29-(xm_y0T+(xm_nT-1)/2*xm_sT))/xm_sT,0)),0),0)+IF('XA MU'!$B$30&lt;=4,'XA MU'!$E$30*$B$8*(MAX(0,1-ABS('XA MU'!$C$30-$D46)/xm_sT)+MAX(0,1-ABS('XA MU'!$D$30-$D46)/xm_sT)),0)+IF(ABS($D46-(xm_y0T+(xm_nT-1)/2*xm_sT))&lt;0.000001,IF('XA MU'!$B$30&lt;=4,'XA MU'!$E$30*$B$8*(IF('XA MU'!$C$30&gt;(xm_y0T+(xm_nT-1)/2*xm_sT),2*('XA MU'!$C$30-(xm_y0T+(xm_nT-1)/2*xm_sT))/xm_sT,0)+IF('XA MU'!$D$30&gt;(xm_y0T+(xm_nT-1)/2*xm_sT),2*('XA MU'!$D$30-(xm_y0T+(xm_nT-1)/2*xm_sT))/xm_sT,0)),0),0))))</f>
        <v>0</v>
      </c>
      <c r="M46" s="44">
        <f>IF(C46=0,0,IF(5&gt;nLan,0,0.65*(IF('XA MU'!$B$25&lt;=5,'XA MU'!$E$25*$B$8*(MAX(0,1-ABS('XA MU'!$C$25-$D46)/xm_sT)+MAX(0,1-ABS('XA MU'!$D$25-$D46)/xm_sT)),0)+IF(ABS($D46-(xm_y0T+(xm_nT-1)/2*xm_sT))&lt;0.000001,IF('XA MU'!$B$25&lt;=5,'XA MU'!$E$25*$B$8*(IF('XA MU'!$C$25&gt;(xm_y0T+(xm_nT-1)/2*xm_sT),2*('XA MU'!$C$25-(xm_y0T+(xm_nT-1)/2*xm_sT))/xm_sT,0)+IF('XA MU'!$D$25&gt;(xm_y0T+(xm_nT-1)/2*xm_sT),2*('XA MU'!$D$25-(xm_y0T+(xm_nT-1)/2*xm_sT))/xm_sT,0)),0),0)+IF('XA MU'!$B$26&lt;=5,'XA MU'!$E$26*$B$8*(MAX(0,1-ABS('XA MU'!$C$26-$D46)/xm_sT)+MAX(0,1-ABS('XA MU'!$D$26-$D46)/xm_sT)),0)+IF(ABS($D46-(xm_y0T+(xm_nT-1)/2*xm_sT))&lt;0.000001,IF('XA MU'!$B$26&lt;=5,'XA MU'!$E$26*$B$8*(IF('XA MU'!$C$26&gt;(xm_y0T+(xm_nT-1)/2*xm_sT),2*('XA MU'!$C$26-(xm_y0T+(xm_nT-1)/2*xm_sT))/xm_sT,0)+IF('XA MU'!$D$26&gt;(xm_y0T+(xm_nT-1)/2*xm_sT),2*('XA MU'!$D$26-(xm_y0T+(xm_nT-1)/2*xm_sT))/xm_sT,0)),0),0)+IF('XA MU'!$B$27&lt;=5,'XA MU'!$E$27*$B$8*(MAX(0,1-ABS('XA MU'!$C$27-$D46)/xm_sT)+MAX(0,1-ABS('XA MU'!$D$27-$D46)/xm_sT)),0)+IF(ABS($D46-(xm_y0T+(xm_nT-1)/2*xm_sT))&lt;0.000001,IF('XA MU'!$B$27&lt;=5,'XA MU'!$E$27*$B$8*(IF('XA MU'!$C$27&gt;(xm_y0T+(xm_nT-1)/2*xm_sT),2*('XA MU'!$C$27-(xm_y0T+(xm_nT-1)/2*xm_sT))/xm_sT,0)+IF('XA MU'!$D$27&gt;(xm_y0T+(xm_nT-1)/2*xm_sT),2*('XA MU'!$D$27-(xm_y0T+(xm_nT-1)/2*xm_sT))/xm_sT,0)),0),0)+IF('XA MU'!$B$28&lt;=5,'XA MU'!$E$28*$B$8*(MAX(0,1-ABS('XA MU'!$C$28-$D46)/xm_sT)+MAX(0,1-ABS('XA MU'!$D$28-$D46)/xm_sT)),0)+IF(ABS($D46-(xm_y0T+(xm_nT-1)/2*xm_sT))&lt;0.000001,IF('XA MU'!$B$28&lt;=5,'XA MU'!$E$28*$B$8*(IF('XA MU'!$C$28&gt;(xm_y0T+(xm_nT-1)/2*xm_sT),2*('XA MU'!$C$28-(xm_y0T+(xm_nT-1)/2*xm_sT))/xm_sT,0)+IF('XA MU'!$D$28&gt;(xm_y0T+(xm_nT-1)/2*xm_sT),2*('XA MU'!$D$28-(xm_y0T+(xm_nT-1)/2*xm_sT))/xm_sT,0)),0),0)+IF('XA MU'!$B$29&lt;=5,'XA MU'!$E$29*$B$8*(MAX(0,1-ABS('XA MU'!$C$29-$D46)/xm_sT)+MAX(0,1-ABS('XA MU'!$D$29-$D46)/xm_sT)),0)+IF(ABS($D46-(xm_y0T+(xm_nT-1)/2*xm_sT))&lt;0.000001,IF('XA MU'!$B$29&lt;=5,'XA MU'!$E$29*$B$8*(IF('XA MU'!$C$29&gt;(xm_y0T+(xm_nT-1)/2*xm_sT),2*('XA MU'!$C$29-(xm_y0T+(xm_nT-1)/2*xm_sT))/xm_sT,0)+IF('XA MU'!$D$29&gt;(xm_y0T+(xm_nT-1)/2*xm_sT),2*('XA MU'!$D$29-(xm_y0T+(xm_nT-1)/2*xm_sT))/xm_sT,0)),0),0)+IF('XA MU'!$B$30&lt;=5,'XA MU'!$E$30*$B$8*(MAX(0,1-ABS('XA MU'!$C$30-$D46)/xm_sT)+MAX(0,1-ABS('XA MU'!$D$30-$D46)/xm_sT)),0)+IF(ABS($D46-(xm_y0T+(xm_nT-1)/2*xm_sT))&lt;0.000001,IF('XA MU'!$B$30&lt;=5,'XA MU'!$E$30*$B$8*(IF('XA MU'!$C$30&gt;(xm_y0T+(xm_nT-1)/2*xm_sT),2*('XA MU'!$C$30-(xm_y0T+(xm_nT-1)/2*xm_sT))/xm_sT,0)+IF('XA MU'!$D$30&gt;(xm_y0T+(xm_nT-1)/2*xm_sT),2*('XA MU'!$D$30-(xm_y0T+(xm_nT-1)/2*xm_sT))/xm_sT,0)),0),0))))</f>
        <v>0</v>
      </c>
      <c r="N46" s="44">
        <f>IF(C46=0,0,IF(6&gt;nLan,0,0.65*(IF('XA MU'!$B$25&lt;=6,'XA MU'!$E$25*$B$8*(MAX(0,1-ABS('XA MU'!$C$25-$D46)/xm_sT)+MAX(0,1-ABS('XA MU'!$D$25-$D46)/xm_sT)),0)+IF(ABS($D46-(xm_y0T+(xm_nT-1)/2*xm_sT))&lt;0.000001,IF('XA MU'!$B$25&lt;=6,'XA MU'!$E$25*$B$8*(IF('XA MU'!$C$25&gt;(xm_y0T+(xm_nT-1)/2*xm_sT),2*('XA MU'!$C$25-(xm_y0T+(xm_nT-1)/2*xm_sT))/xm_sT,0)+IF('XA MU'!$D$25&gt;(xm_y0T+(xm_nT-1)/2*xm_sT),2*('XA MU'!$D$25-(xm_y0T+(xm_nT-1)/2*xm_sT))/xm_sT,0)),0),0)+IF('XA MU'!$B$26&lt;=6,'XA MU'!$E$26*$B$8*(MAX(0,1-ABS('XA MU'!$C$26-$D46)/xm_sT)+MAX(0,1-ABS('XA MU'!$D$26-$D46)/xm_sT)),0)+IF(ABS($D46-(xm_y0T+(xm_nT-1)/2*xm_sT))&lt;0.000001,IF('XA MU'!$B$26&lt;=6,'XA MU'!$E$26*$B$8*(IF('XA MU'!$C$26&gt;(xm_y0T+(xm_nT-1)/2*xm_sT),2*('XA MU'!$C$26-(xm_y0T+(xm_nT-1)/2*xm_sT))/xm_sT,0)+IF('XA MU'!$D$26&gt;(xm_y0T+(xm_nT-1)/2*xm_sT),2*('XA MU'!$D$26-(xm_y0T+(xm_nT-1)/2*xm_sT))/xm_sT,0)),0),0)+IF('XA MU'!$B$27&lt;=6,'XA MU'!$E$27*$B$8*(MAX(0,1-ABS('XA MU'!$C$27-$D46)/xm_sT)+MAX(0,1-ABS('XA MU'!$D$27-$D46)/xm_sT)),0)+IF(ABS($D46-(xm_y0T+(xm_nT-1)/2*xm_sT))&lt;0.000001,IF('XA MU'!$B$27&lt;=6,'XA MU'!$E$27*$B$8*(IF('XA MU'!$C$27&gt;(xm_y0T+(xm_nT-1)/2*xm_sT),2*('XA MU'!$C$27-(xm_y0T+(xm_nT-1)/2*xm_sT))/xm_sT,0)+IF('XA MU'!$D$27&gt;(xm_y0T+(xm_nT-1)/2*xm_sT),2*('XA MU'!$D$27-(xm_y0T+(xm_nT-1)/2*xm_sT))/xm_sT,0)),0),0)+IF('XA MU'!$B$28&lt;=6,'XA MU'!$E$28*$B$8*(MAX(0,1-ABS('XA MU'!$C$28-$D46)/xm_sT)+MAX(0,1-ABS('XA MU'!$D$28-$D46)/xm_sT)),0)+IF(ABS($D46-(xm_y0T+(xm_nT-1)/2*xm_sT))&lt;0.000001,IF('XA MU'!$B$28&lt;=6,'XA MU'!$E$28*$B$8*(IF('XA MU'!$C$28&gt;(xm_y0T+(xm_nT-1)/2*xm_sT),2*('XA MU'!$C$28-(xm_y0T+(xm_nT-1)/2*xm_sT))/xm_sT,0)+IF('XA MU'!$D$28&gt;(xm_y0T+(xm_nT-1)/2*xm_sT),2*('XA MU'!$D$28-(xm_y0T+(xm_nT-1)/2*xm_sT))/xm_sT,0)),0),0)+IF('XA MU'!$B$29&lt;=6,'XA MU'!$E$29*$B$8*(MAX(0,1-ABS('XA MU'!$C$29-$D46)/xm_sT)+MAX(0,1-ABS('XA MU'!$D$29-$D46)/xm_sT)),0)+IF(ABS($D46-(xm_y0T+(xm_nT-1)/2*xm_sT))&lt;0.000001,IF('XA MU'!$B$29&lt;=6,'XA MU'!$E$29*$B$8*(IF('XA MU'!$C$29&gt;(xm_y0T+(xm_nT-1)/2*xm_sT),2*('XA MU'!$C$29-(xm_y0T+(xm_nT-1)/2*xm_sT))/xm_sT,0)+IF('XA MU'!$D$29&gt;(xm_y0T+(xm_nT-1)/2*xm_sT),2*('XA MU'!$D$29-(xm_y0T+(xm_nT-1)/2*xm_sT))/xm_sT,0)),0),0)+IF('XA MU'!$B$30&lt;=6,'XA MU'!$E$30*$B$8*(MAX(0,1-ABS('XA MU'!$C$30-$D46)/xm_sT)+MAX(0,1-ABS('XA MU'!$D$30-$D46)/xm_sT)),0)+IF(ABS($D46-(xm_y0T+(xm_nT-1)/2*xm_sT))&lt;0.000001,IF('XA MU'!$B$30&lt;=6,'XA MU'!$E$30*$B$8*(IF('XA MU'!$C$30&gt;(xm_y0T+(xm_nT-1)/2*xm_sT),2*('XA MU'!$C$30-(xm_y0T+(xm_nT-1)/2*xm_sT))/xm_sT,0)+IF('XA MU'!$D$30&gt;(xm_y0T+(xm_nT-1)/2*xm_sT),2*('XA MU'!$D$30-(xm_y0T+(xm_nT-1)/2*xm_sT))/xm_sT,0)),0),0))))</f>
        <v>0</v>
      </c>
    </row>
    <row r="47" spans="1:14" x14ac:dyDescent="0.3">
      <c r="A47" s="42" t="s">
        <v>1235</v>
      </c>
      <c r="B47" s="42">
        <v>33</v>
      </c>
      <c r="C47" s="40">
        <f t="shared" si="0"/>
        <v>0</v>
      </c>
      <c r="D47" s="44">
        <f t="shared" si="1"/>
        <v>0</v>
      </c>
      <c r="E47" s="44">
        <f>MAX(0,D47-'XA MU'!$C$8)*C47</f>
        <v>0</v>
      </c>
      <c r="F47" s="44">
        <f>IF(AND(C47=1,D47&gt;'XA MU'!$C$8),1,0)</f>
        <v>0</v>
      </c>
      <c r="G47" s="44">
        <f t="shared" si="2"/>
        <v>0</v>
      </c>
      <c r="H47" s="44">
        <f t="shared" si="3"/>
        <v>0</v>
      </c>
      <c r="I47" s="44">
        <f>IF(C47=0,0,IF(1&gt;nLan,0,1.2*(IF('XA MU'!$B$25&lt;=1,'XA MU'!$E$25*$B$8*(MAX(0,1-ABS('XA MU'!$C$25-$D47)/xm_sT)+MAX(0,1-ABS('XA MU'!$D$25-$D47)/xm_sT)),0)+IF(ABS($D47-(xm_y0T+(xm_nT-1)/2*xm_sT))&lt;0.000001,IF('XA MU'!$B$25&lt;=1,'XA MU'!$E$25*$B$8*(IF('XA MU'!$C$25&gt;(xm_y0T+(xm_nT-1)/2*xm_sT),2*('XA MU'!$C$25-(xm_y0T+(xm_nT-1)/2*xm_sT))/xm_sT,0)+IF('XA MU'!$D$25&gt;(xm_y0T+(xm_nT-1)/2*xm_sT),2*('XA MU'!$D$25-(xm_y0T+(xm_nT-1)/2*xm_sT))/xm_sT,0)),0),0)+IF('XA MU'!$B$26&lt;=1,'XA MU'!$E$26*$B$8*(MAX(0,1-ABS('XA MU'!$C$26-$D47)/xm_sT)+MAX(0,1-ABS('XA MU'!$D$26-$D47)/xm_sT)),0)+IF(ABS($D47-(xm_y0T+(xm_nT-1)/2*xm_sT))&lt;0.000001,IF('XA MU'!$B$26&lt;=1,'XA MU'!$E$26*$B$8*(IF('XA MU'!$C$26&gt;(xm_y0T+(xm_nT-1)/2*xm_sT),2*('XA MU'!$C$26-(xm_y0T+(xm_nT-1)/2*xm_sT))/xm_sT,0)+IF('XA MU'!$D$26&gt;(xm_y0T+(xm_nT-1)/2*xm_sT),2*('XA MU'!$D$26-(xm_y0T+(xm_nT-1)/2*xm_sT))/xm_sT,0)),0),0)+IF('XA MU'!$B$27&lt;=1,'XA MU'!$E$27*$B$8*(MAX(0,1-ABS('XA MU'!$C$27-$D47)/xm_sT)+MAX(0,1-ABS('XA MU'!$D$27-$D47)/xm_sT)),0)+IF(ABS($D47-(xm_y0T+(xm_nT-1)/2*xm_sT))&lt;0.000001,IF('XA MU'!$B$27&lt;=1,'XA MU'!$E$27*$B$8*(IF('XA MU'!$C$27&gt;(xm_y0T+(xm_nT-1)/2*xm_sT),2*('XA MU'!$C$27-(xm_y0T+(xm_nT-1)/2*xm_sT))/xm_sT,0)+IF('XA MU'!$D$27&gt;(xm_y0T+(xm_nT-1)/2*xm_sT),2*('XA MU'!$D$27-(xm_y0T+(xm_nT-1)/2*xm_sT))/xm_sT,0)),0),0)+IF('XA MU'!$B$28&lt;=1,'XA MU'!$E$28*$B$8*(MAX(0,1-ABS('XA MU'!$C$28-$D47)/xm_sT)+MAX(0,1-ABS('XA MU'!$D$28-$D47)/xm_sT)),0)+IF(ABS($D47-(xm_y0T+(xm_nT-1)/2*xm_sT))&lt;0.000001,IF('XA MU'!$B$28&lt;=1,'XA MU'!$E$28*$B$8*(IF('XA MU'!$C$28&gt;(xm_y0T+(xm_nT-1)/2*xm_sT),2*('XA MU'!$C$28-(xm_y0T+(xm_nT-1)/2*xm_sT))/xm_sT,0)+IF('XA MU'!$D$28&gt;(xm_y0T+(xm_nT-1)/2*xm_sT),2*('XA MU'!$D$28-(xm_y0T+(xm_nT-1)/2*xm_sT))/xm_sT,0)),0),0)+IF('XA MU'!$B$29&lt;=1,'XA MU'!$E$29*$B$8*(MAX(0,1-ABS('XA MU'!$C$29-$D47)/xm_sT)+MAX(0,1-ABS('XA MU'!$D$29-$D47)/xm_sT)),0)+IF(ABS($D47-(xm_y0T+(xm_nT-1)/2*xm_sT))&lt;0.000001,IF('XA MU'!$B$29&lt;=1,'XA MU'!$E$29*$B$8*(IF('XA MU'!$C$29&gt;(xm_y0T+(xm_nT-1)/2*xm_sT),2*('XA MU'!$C$29-(xm_y0T+(xm_nT-1)/2*xm_sT))/xm_sT,0)+IF('XA MU'!$D$29&gt;(xm_y0T+(xm_nT-1)/2*xm_sT),2*('XA MU'!$D$29-(xm_y0T+(xm_nT-1)/2*xm_sT))/xm_sT,0)),0),0)+IF('XA MU'!$B$30&lt;=1,'XA MU'!$E$30*$B$8*(MAX(0,1-ABS('XA MU'!$C$30-$D47)/xm_sT)+MAX(0,1-ABS('XA MU'!$D$30-$D47)/xm_sT)),0)+IF(ABS($D47-(xm_y0T+(xm_nT-1)/2*xm_sT))&lt;0.000001,IF('XA MU'!$B$30&lt;=1,'XA MU'!$E$30*$B$8*(IF('XA MU'!$C$30&gt;(xm_y0T+(xm_nT-1)/2*xm_sT),2*('XA MU'!$C$30-(xm_y0T+(xm_nT-1)/2*xm_sT))/xm_sT,0)+IF('XA MU'!$D$30&gt;(xm_y0T+(xm_nT-1)/2*xm_sT),2*('XA MU'!$D$30-(xm_y0T+(xm_nT-1)/2*xm_sT))/xm_sT,0)),0),0))))</f>
        <v>0</v>
      </c>
      <c r="J47" s="44">
        <f>IF(C47=0,0,IF(2&gt;nLan,0,1*(IF('XA MU'!$B$25&lt;=2,'XA MU'!$E$25*$B$8*(MAX(0,1-ABS('XA MU'!$C$25-$D47)/xm_sT)+MAX(0,1-ABS('XA MU'!$D$25-$D47)/xm_sT)),0)+IF(ABS($D47-(xm_y0T+(xm_nT-1)/2*xm_sT))&lt;0.000001,IF('XA MU'!$B$25&lt;=2,'XA MU'!$E$25*$B$8*(IF('XA MU'!$C$25&gt;(xm_y0T+(xm_nT-1)/2*xm_sT),2*('XA MU'!$C$25-(xm_y0T+(xm_nT-1)/2*xm_sT))/xm_sT,0)+IF('XA MU'!$D$25&gt;(xm_y0T+(xm_nT-1)/2*xm_sT),2*('XA MU'!$D$25-(xm_y0T+(xm_nT-1)/2*xm_sT))/xm_sT,0)),0),0)+IF('XA MU'!$B$26&lt;=2,'XA MU'!$E$26*$B$8*(MAX(0,1-ABS('XA MU'!$C$26-$D47)/xm_sT)+MAX(0,1-ABS('XA MU'!$D$26-$D47)/xm_sT)),0)+IF(ABS($D47-(xm_y0T+(xm_nT-1)/2*xm_sT))&lt;0.000001,IF('XA MU'!$B$26&lt;=2,'XA MU'!$E$26*$B$8*(IF('XA MU'!$C$26&gt;(xm_y0T+(xm_nT-1)/2*xm_sT),2*('XA MU'!$C$26-(xm_y0T+(xm_nT-1)/2*xm_sT))/xm_sT,0)+IF('XA MU'!$D$26&gt;(xm_y0T+(xm_nT-1)/2*xm_sT),2*('XA MU'!$D$26-(xm_y0T+(xm_nT-1)/2*xm_sT))/xm_sT,0)),0),0)+IF('XA MU'!$B$27&lt;=2,'XA MU'!$E$27*$B$8*(MAX(0,1-ABS('XA MU'!$C$27-$D47)/xm_sT)+MAX(0,1-ABS('XA MU'!$D$27-$D47)/xm_sT)),0)+IF(ABS($D47-(xm_y0T+(xm_nT-1)/2*xm_sT))&lt;0.000001,IF('XA MU'!$B$27&lt;=2,'XA MU'!$E$27*$B$8*(IF('XA MU'!$C$27&gt;(xm_y0T+(xm_nT-1)/2*xm_sT),2*('XA MU'!$C$27-(xm_y0T+(xm_nT-1)/2*xm_sT))/xm_sT,0)+IF('XA MU'!$D$27&gt;(xm_y0T+(xm_nT-1)/2*xm_sT),2*('XA MU'!$D$27-(xm_y0T+(xm_nT-1)/2*xm_sT))/xm_sT,0)),0),0)+IF('XA MU'!$B$28&lt;=2,'XA MU'!$E$28*$B$8*(MAX(0,1-ABS('XA MU'!$C$28-$D47)/xm_sT)+MAX(0,1-ABS('XA MU'!$D$28-$D47)/xm_sT)),0)+IF(ABS($D47-(xm_y0T+(xm_nT-1)/2*xm_sT))&lt;0.000001,IF('XA MU'!$B$28&lt;=2,'XA MU'!$E$28*$B$8*(IF('XA MU'!$C$28&gt;(xm_y0T+(xm_nT-1)/2*xm_sT),2*('XA MU'!$C$28-(xm_y0T+(xm_nT-1)/2*xm_sT))/xm_sT,0)+IF('XA MU'!$D$28&gt;(xm_y0T+(xm_nT-1)/2*xm_sT),2*('XA MU'!$D$28-(xm_y0T+(xm_nT-1)/2*xm_sT))/xm_sT,0)),0),0)+IF('XA MU'!$B$29&lt;=2,'XA MU'!$E$29*$B$8*(MAX(0,1-ABS('XA MU'!$C$29-$D47)/xm_sT)+MAX(0,1-ABS('XA MU'!$D$29-$D47)/xm_sT)),0)+IF(ABS($D47-(xm_y0T+(xm_nT-1)/2*xm_sT))&lt;0.000001,IF('XA MU'!$B$29&lt;=2,'XA MU'!$E$29*$B$8*(IF('XA MU'!$C$29&gt;(xm_y0T+(xm_nT-1)/2*xm_sT),2*('XA MU'!$C$29-(xm_y0T+(xm_nT-1)/2*xm_sT))/xm_sT,0)+IF('XA MU'!$D$29&gt;(xm_y0T+(xm_nT-1)/2*xm_sT),2*('XA MU'!$D$29-(xm_y0T+(xm_nT-1)/2*xm_sT))/xm_sT,0)),0),0)+IF('XA MU'!$B$30&lt;=2,'XA MU'!$E$30*$B$8*(MAX(0,1-ABS('XA MU'!$C$30-$D47)/xm_sT)+MAX(0,1-ABS('XA MU'!$D$30-$D47)/xm_sT)),0)+IF(ABS($D47-(xm_y0T+(xm_nT-1)/2*xm_sT))&lt;0.000001,IF('XA MU'!$B$30&lt;=2,'XA MU'!$E$30*$B$8*(IF('XA MU'!$C$30&gt;(xm_y0T+(xm_nT-1)/2*xm_sT),2*('XA MU'!$C$30-(xm_y0T+(xm_nT-1)/2*xm_sT))/xm_sT,0)+IF('XA MU'!$D$30&gt;(xm_y0T+(xm_nT-1)/2*xm_sT),2*('XA MU'!$D$30-(xm_y0T+(xm_nT-1)/2*xm_sT))/xm_sT,0)),0),0))))</f>
        <v>0</v>
      </c>
      <c r="K47" s="44">
        <f>IF(C47=0,0,IF(3&gt;nLan,0,0.85*(IF('XA MU'!$B$25&lt;=3,'XA MU'!$E$25*$B$8*(MAX(0,1-ABS('XA MU'!$C$25-$D47)/xm_sT)+MAX(0,1-ABS('XA MU'!$D$25-$D47)/xm_sT)),0)+IF(ABS($D47-(xm_y0T+(xm_nT-1)/2*xm_sT))&lt;0.000001,IF('XA MU'!$B$25&lt;=3,'XA MU'!$E$25*$B$8*(IF('XA MU'!$C$25&gt;(xm_y0T+(xm_nT-1)/2*xm_sT),2*('XA MU'!$C$25-(xm_y0T+(xm_nT-1)/2*xm_sT))/xm_sT,0)+IF('XA MU'!$D$25&gt;(xm_y0T+(xm_nT-1)/2*xm_sT),2*('XA MU'!$D$25-(xm_y0T+(xm_nT-1)/2*xm_sT))/xm_sT,0)),0),0)+IF('XA MU'!$B$26&lt;=3,'XA MU'!$E$26*$B$8*(MAX(0,1-ABS('XA MU'!$C$26-$D47)/xm_sT)+MAX(0,1-ABS('XA MU'!$D$26-$D47)/xm_sT)),0)+IF(ABS($D47-(xm_y0T+(xm_nT-1)/2*xm_sT))&lt;0.000001,IF('XA MU'!$B$26&lt;=3,'XA MU'!$E$26*$B$8*(IF('XA MU'!$C$26&gt;(xm_y0T+(xm_nT-1)/2*xm_sT),2*('XA MU'!$C$26-(xm_y0T+(xm_nT-1)/2*xm_sT))/xm_sT,0)+IF('XA MU'!$D$26&gt;(xm_y0T+(xm_nT-1)/2*xm_sT),2*('XA MU'!$D$26-(xm_y0T+(xm_nT-1)/2*xm_sT))/xm_sT,0)),0),0)+IF('XA MU'!$B$27&lt;=3,'XA MU'!$E$27*$B$8*(MAX(0,1-ABS('XA MU'!$C$27-$D47)/xm_sT)+MAX(0,1-ABS('XA MU'!$D$27-$D47)/xm_sT)),0)+IF(ABS($D47-(xm_y0T+(xm_nT-1)/2*xm_sT))&lt;0.000001,IF('XA MU'!$B$27&lt;=3,'XA MU'!$E$27*$B$8*(IF('XA MU'!$C$27&gt;(xm_y0T+(xm_nT-1)/2*xm_sT),2*('XA MU'!$C$27-(xm_y0T+(xm_nT-1)/2*xm_sT))/xm_sT,0)+IF('XA MU'!$D$27&gt;(xm_y0T+(xm_nT-1)/2*xm_sT),2*('XA MU'!$D$27-(xm_y0T+(xm_nT-1)/2*xm_sT))/xm_sT,0)),0),0)+IF('XA MU'!$B$28&lt;=3,'XA MU'!$E$28*$B$8*(MAX(0,1-ABS('XA MU'!$C$28-$D47)/xm_sT)+MAX(0,1-ABS('XA MU'!$D$28-$D47)/xm_sT)),0)+IF(ABS($D47-(xm_y0T+(xm_nT-1)/2*xm_sT))&lt;0.000001,IF('XA MU'!$B$28&lt;=3,'XA MU'!$E$28*$B$8*(IF('XA MU'!$C$28&gt;(xm_y0T+(xm_nT-1)/2*xm_sT),2*('XA MU'!$C$28-(xm_y0T+(xm_nT-1)/2*xm_sT))/xm_sT,0)+IF('XA MU'!$D$28&gt;(xm_y0T+(xm_nT-1)/2*xm_sT),2*('XA MU'!$D$28-(xm_y0T+(xm_nT-1)/2*xm_sT))/xm_sT,0)),0),0)+IF('XA MU'!$B$29&lt;=3,'XA MU'!$E$29*$B$8*(MAX(0,1-ABS('XA MU'!$C$29-$D47)/xm_sT)+MAX(0,1-ABS('XA MU'!$D$29-$D47)/xm_sT)),0)+IF(ABS($D47-(xm_y0T+(xm_nT-1)/2*xm_sT))&lt;0.000001,IF('XA MU'!$B$29&lt;=3,'XA MU'!$E$29*$B$8*(IF('XA MU'!$C$29&gt;(xm_y0T+(xm_nT-1)/2*xm_sT),2*('XA MU'!$C$29-(xm_y0T+(xm_nT-1)/2*xm_sT))/xm_sT,0)+IF('XA MU'!$D$29&gt;(xm_y0T+(xm_nT-1)/2*xm_sT),2*('XA MU'!$D$29-(xm_y0T+(xm_nT-1)/2*xm_sT))/xm_sT,0)),0),0)+IF('XA MU'!$B$30&lt;=3,'XA MU'!$E$30*$B$8*(MAX(0,1-ABS('XA MU'!$C$30-$D47)/xm_sT)+MAX(0,1-ABS('XA MU'!$D$30-$D47)/xm_sT)),0)+IF(ABS($D47-(xm_y0T+(xm_nT-1)/2*xm_sT))&lt;0.000001,IF('XA MU'!$B$30&lt;=3,'XA MU'!$E$30*$B$8*(IF('XA MU'!$C$30&gt;(xm_y0T+(xm_nT-1)/2*xm_sT),2*('XA MU'!$C$30-(xm_y0T+(xm_nT-1)/2*xm_sT))/xm_sT,0)+IF('XA MU'!$D$30&gt;(xm_y0T+(xm_nT-1)/2*xm_sT),2*('XA MU'!$D$30-(xm_y0T+(xm_nT-1)/2*xm_sT))/xm_sT,0)),0),0))))</f>
        <v>0</v>
      </c>
      <c r="L47" s="44">
        <f>IF(C47=0,0,IF(4&gt;nLan,0,0.65*(IF('XA MU'!$B$25&lt;=4,'XA MU'!$E$25*$B$8*(MAX(0,1-ABS('XA MU'!$C$25-$D47)/xm_sT)+MAX(0,1-ABS('XA MU'!$D$25-$D47)/xm_sT)),0)+IF(ABS($D47-(xm_y0T+(xm_nT-1)/2*xm_sT))&lt;0.000001,IF('XA MU'!$B$25&lt;=4,'XA MU'!$E$25*$B$8*(IF('XA MU'!$C$25&gt;(xm_y0T+(xm_nT-1)/2*xm_sT),2*('XA MU'!$C$25-(xm_y0T+(xm_nT-1)/2*xm_sT))/xm_sT,0)+IF('XA MU'!$D$25&gt;(xm_y0T+(xm_nT-1)/2*xm_sT),2*('XA MU'!$D$25-(xm_y0T+(xm_nT-1)/2*xm_sT))/xm_sT,0)),0),0)+IF('XA MU'!$B$26&lt;=4,'XA MU'!$E$26*$B$8*(MAX(0,1-ABS('XA MU'!$C$26-$D47)/xm_sT)+MAX(0,1-ABS('XA MU'!$D$26-$D47)/xm_sT)),0)+IF(ABS($D47-(xm_y0T+(xm_nT-1)/2*xm_sT))&lt;0.000001,IF('XA MU'!$B$26&lt;=4,'XA MU'!$E$26*$B$8*(IF('XA MU'!$C$26&gt;(xm_y0T+(xm_nT-1)/2*xm_sT),2*('XA MU'!$C$26-(xm_y0T+(xm_nT-1)/2*xm_sT))/xm_sT,0)+IF('XA MU'!$D$26&gt;(xm_y0T+(xm_nT-1)/2*xm_sT),2*('XA MU'!$D$26-(xm_y0T+(xm_nT-1)/2*xm_sT))/xm_sT,0)),0),0)+IF('XA MU'!$B$27&lt;=4,'XA MU'!$E$27*$B$8*(MAX(0,1-ABS('XA MU'!$C$27-$D47)/xm_sT)+MAX(0,1-ABS('XA MU'!$D$27-$D47)/xm_sT)),0)+IF(ABS($D47-(xm_y0T+(xm_nT-1)/2*xm_sT))&lt;0.000001,IF('XA MU'!$B$27&lt;=4,'XA MU'!$E$27*$B$8*(IF('XA MU'!$C$27&gt;(xm_y0T+(xm_nT-1)/2*xm_sT),2*('XA MU'!$C$27-(xm_y0T+(xm_nT-1)/2*xm_sT))/xm_sT,0)+IF('XA MU'!$D$27&gt;(xm_y0T+(xm_nT-1)/2*xm_sT),2*('XA MU'!$D$27-(xm_y0T+(xm_nT-1)/2*xm_sT))/xm_sT,0)),0),0)+IF('XA MU'!$B$28&lt;=4,'XA MU'!$E$28*$B$8*(MAX(0,1-ABS('XA MU'!$C$28-$D47)/xm_sT)+MAX(0,1-ABS('XA MU'!$D$28-$D47)/xm_sT)),0)+IF(ABS($D47-(xm_y0T+(xm_nT-1)/2*xm_sT))&lt;0.000001,IF('XA MU'!$B$28&lt;=4,'XA MU'!$E$28*$B$8*(IF('XA MU'!$C$28&gt;(xm_y0T+(xm_nT-1)/2*xm_sT),2*('XA MU'!$C$28-(xm_y0T+(xm_nT-1)/2*xm_sT))/xm_sT,0)+IF('XA MU'!$D$28&gt;(xm_y0T+(xm_nT-1)/2*xm_sT),2*('XA MU'!$D$28-(xm_y0T+(xm_nT-1)/2*xm_sT))/xm_sT,0)),0),0)+IF('XA MU'!$B$29&lt;=4,'XA MU'!$E$29*$B$8*(MAX(0,1-ABS('XA MU'!$C$29-$D47)/xm_sT)+MAX(0,1-ABS('XA MU'!$D$29-$D47)/xm_sT)),0)+IF(ABS($D47-(xm_y0T+(xm_nT-1)/2*xm_sT))&lt;0.000001,IF('XA MU'!$B$29&lt;=4,'XA MU'!$E$29*$B$8*(IF('XA MU'!$C$29&gt;(xm_y0T+(xm_nT-1)/2*xm_sT),2*('XA MU'!$C$29-(xm_y0T+(xm_nT-1)/2*xm_sT))/xm_sT,0)+IF('XA MU'!$D$29&gt;(xm_y0T+(xm_nT-1)/2*xm_sT),2*('XA MU'!$D$29-(xm_y0T+(xm_nT-1)/2*xm_sT))/xm_sT,0)),0),0)+IF('XA MU'!$B$30&lt;=4,'XA MU'!$E$30*$B$8*(MAX(0,1-ABS('XA MU'!$C$30-$D47)/xm_sT)+MAX(0,1-ABS('XA MU'!$D$30-$D47)/xm_sT)),0)+IF(ABS($D47-(xm_y0T+(xm_nT-1)/2*xm_sT))&lt;0.000001,IF('XA MU'!$B$30&lt;=4,'XA MU'!$E$30*$B$8*(IF('XA MU'!$C$30&gt;(xm_y0T+(xm_nT-1)/2*xm_sT),2*('XA MU'!$C$30-(xm_y0T+(xm_nT-1)/2*xm_sT))/xm_sT,0)+IF('XA MU'!$D$30&gt;(xm_y0T+(xm_nT-1)/2*xm_sT),2*('XA MU'!$D$30-(xm_y0T+(xm_nT-1)/2*xm_sT))/xm_sT,0)),0),0))))</f>
        <v>0</v>
      </c>
      <c r="M47" s="44">
        <f>IF(C47=0,0,IF(5&gt;nLan,0,0.65*(IF('XA MU'!$B$25&lt;=5,'XA MU'!$E$25*$B$8*(MAX(0,1-ABS('XA MU'!$C$25-$D47)/xm_sT)+MAX(0,1-ABS('XA MU'!$D$25-$D47)/xm_sT)),0)+IF(ABS($D47-(xm_y0T+(xm_nT-1)/2*xm_sT))&lt;0.000001,IF('XA MU'!$B$25&lt;=5,'XA MU'!$E$25*$B$8*(IF('XA MU'!$C$25&gt;(xm_y0T+(xm_nT-1)/2*xm_sT),2*('XA MU'!$C$25-(xm_y0T+(xm_nT-1)/2*xm_sT))/xm_sT,0)+IF('XA MU'!$D$25&gt;(xm_y0T+(xm_nT-1)/2*xm_sT),2*('XA MU'!$D$25-(xm_y0T+(xm_nT-1)/2*xm_sT))/xm_sT,0)),0),0)+IF('XA MU'!$B$26&lt;=5,'XA MU'!$E$26*$B$8*(MAX(0,1-ABS('XA MU'!$C$26-$D47)/xm_sT)+MAX(0,1-ABS('XA MU'!$D$26-$D47)/xm_sT)),0)+IF(ABS($D47-(xm_y0T+(xm_nT-1)/2*xm_sT))&lt;0.000001,IF('XA MU'!$B$26&lt;=5,'XA MU'!$E$26*$B$8*(IF('XA MU'!$C$26&gt;(xm_y0T+(xm_nT-1)/2*xm_sT),2*('XA MU'!$C$26-(xm_y0T+(xm_nT-1)/2*xm_sT))/xm_sT,0)+IF('XA MU'!$D$26&gt;(xm_y0T+(xm_nT-1)/2*xm_sT),2*('XA MU'!$D$26-(xm_y0T+(xm_nT-1)/2*xm_sT))/xm_sT,0)),0),0)+IF('XA MU'!$B$27&lt;=5,'XA MU'!$E$27*$B$8*(MAX(0,1-ABS('XA MU'!$C$27-$D47)/xm_sT)+MAX(0,1-ABS('XA MU'!$D$27-$D47)/xm_sT)),0)+IF(ABS($D47-(xm_y0T+(xm_nT-1)/2*xm_sT))&lt;0.000001,IF('XA MU'!$B$27&lt;=5,'XA MU'!$E$27*$B$8*(IF('XA MU'!$C$27&gt;(xm_y0T+(xm_nT-1)/2*xm_sT),2*('XA MU'!$C$27-(xm_y0T+(xm_nT-1)/2*xm_sT))/xm_sT,0)+IF('XA MU'!$D$27&gt;(xm_y0T+(xm_nT-1)/2*xm_sT),2*('XA MU'!$D$27-(xm_y0T+(xm_nT-1)/2*xm_sT))/xm_sT,0)),0),0)+IF('XA MU'!$B$28&lt;=5,'XA MU'!$E$28*$B$8*(MAX(0,1-ABS('XA MU'!$C$28-$D47)/xm_sT)+MAX(0,1-ABS('XA MU'!$D$28-$D47)/xm_sT)),0)+IF(ABS($D47-(xm_y0T+(xm_nT-1)/2*xm_sT))&lt;0.000001,IF('XA MU'!$B$28&lt;=5,'XA MU'!$E$28*$B$8*(IF('XA MU'!$C$28&gt;(xm_y0T+(xm_nT-1)/2*xm_sT),2*('XA MU'!$C$28-(xm_y0T+(xm_nT-1)/2*xm_sT))/xm_sT,0)+IF('XA MU'!$D$28&gt;(xm_y0T+(xm_nT-1)/2*xm_sT),2*('XA MU'!$D$28-(xm_y0T+(xm_nT-1)/2*xm_sT))/xm_sT,0)),0),0)+IF('XA MU'!$B$29&lt;=5,'XA MU'!$E$29*$B$8*(MAX(0,1-ABS('XA MU'!$C$29-$D47)/xm_sT)+MAX(0,1-ABS('XA MU'!$D$29-$D47)/xm_sT)),0)+IF(ABS($D47-(xm_y0T+(xm_nT-1)/2*xm_sT))&lt;0.000001,IF('XA MU'!$B$29&lt;=5,'XA MU'!$E$29*$B$8*(IF('XA MU'!$C$29&gt;(xm_y0T+(xm_nT-1)/2*xm_sT),2*('XA MU'!$C$29-(xm_y0T+(xm_nT-1)/2*xm_sT))/xm_sT,0)+IF('XA MU'!$D$29&gt;(xm_y0T+(xm_nT-1)/2*xm_sT),2*('XA MU'!$D$29-(xm_y0T+(xm_nT-1)/2*xm_sT))/xm_sT,0)),0),0)+IF('XA MU'!$B$30&lt;=5,'XA MU'!$E$30*$B$8*(MAX(0,1-ABS('XA MU'!$C$30-$D47)/xm_sT)+MAX(0,1-ABS('XA MU'!$D$30-$D47)/xm_sT)),0)+IF(ABS($D47-(xm_y0T+(xm_nT-1)/2*xm_sT))&lt;0.000001,IF('XA MU'!$B$30&lt;=5,'XA MU'!$E$30*$B$8*(IF('XA MU'!$C$30&gt;(xm_y0T+(xm_nT-1)/2*xm_sT),2*('XA MU'!$C$30-(xm_y0T+(xm_nT-1)/2*xm_sT))/xm_sT,0)+IF('XA MU'!$D$30&gt;(xm_y0T+(xm_nT-1)/2*xm_sT),2*('XA MU'!$D$30-(xm_y0T+(xm_nT-1)/2*xm_sT))/xm_sT,0)),0),0))))</f>
        <v>0</v>
      </c>
      <c r="N47" s="44">
        <f>IF(C47=0,0,IF(6&gt;nLan,0,0.65*(IF('XA MU'!$B$25&lt;=6,'XA MU'!$E$25*$B$8*(MAX(0,1-ABS('XA MU'!$C$25-$D47)/xm_sT)+MAX(0,1-ABS('XA MU'!$D$25-$D47)/xm_sT)),0)+IF(ABS($D47-(xm_y0T+(xm_nT-1)/2*xm_sT))&lt;0.000001,IF('XA MU'!$B$25&lt;=6,'XA MU'!$E$25*$B$8*(IF('XA MU'!$C$25&gt;(xm_y0T+(xm_nT-1)/2*xm_sT),2*('XA MU'!$C$25-(xm_y0T+(xm_nT-1)/2*xm_sT))/xm_sT,0)+IF('XA MU'!$D$25&gt;(xm_y0T+(xm_nT-1)/2*xm_sT),2*('XA MU'!$D$25-(xm_y0T+(xm_nT-1)/2*xm_sT))/xm_sT,0)),0),0)+IF('XA MU'!$B$26&lt;=6,'XA MU'!$E$26*$B$8*(MAX(0,1-ABS('XA MU'!$C$26-$D47)/xm_sT)+MAX(0,1-ABS('XA MU'!$D$26-$D47)/xm_sT)),0)+IF(ABS($D47-(xm_y0T+(xm_nT-1)/2*xm_sT))&lt;0.000001,IF('XA MU'!$B$26&lt;=6,'XA MU'!$E$26*$B$8*(IF('XA MU'!$C$26&gt;(xm_y0T+(xm_nT-1)/2*xm_sT),2*('XA MU'!$C$26-(xm_y0T+(xm_nT-1)/2*xm_sT))/xm_sT,0)+IF('XA MU'!$D$26&gt;(xm_y0T+(xm_nT-1)/2*xm_sT),2*('XA MU'!$D$26-(xm_y0T+(xm_nT-1)/2*xm_sT))/xm_sT,0)),0),0)+IF('XA MU'!$B$27&lt;=6,'XA MU'!$E$27*$B$8*(MAX(0,1-ABS('XA MU'!$C$27-$D47)/xm_sT)+MAX(0,1-ABS('XA MU'!$D$27-$D47)/xm_sT)),0)+IF(ABS($D47-(xm_y0T+(xm_nT-1)/2*xm_sT))&lt;0.000001,IF('XA MU'!$B$27&lt;=6,'XA MU'!$E$27*$B$8*(IF('XA MU'!$C$27&gt;(xm_y0T+(xm_nT-1)/2*xm_sT),2*('XA MU'!$C$27-(xm_y0T+(xm_nT-1)/2*xm_sT))/xm_sT,0)+IF('XA MU'!$D$27&gt;(xm_y0T+(xm_nT-1)/2*xm_sT),2*('XA MU'!$D$27-(xm_y0T+(xm_nT-1)/2*xm_sT))/xm_sT,0)),0),0)+IF('XA MU'!$B$28&lt;=6,'XA MU'!$E$28*$B$8*(MAX(0,1-ABS('XA MU'!$C$28-$D47)/xm_sT)+MAX(0,1-ABS('XA MU'!$D$28-$D47)/xm_sT)),0)+IF(ABS($D47-(xm_y0T+(xm_nT-1)/2*xm_sT))&lt;0.000001,IF('XA MU'!$B$28&lt;=6,'XA MU'!$E$28*$B$8*(IF('XA MU'!$C$28&gt;(xm_y0T+(xm_nT-1)/2*xm_sT),2*('XA MU'!$C$28-(xm_y0T+(xm_nT-1)/2*xm_sT))/xm_sT,0)+IF('XA MU'!$D$28&gt;(xm_y0T+(xm_nT-1)/2*xm_sT),2*('XA MU'!$D$28-(xm_y0T+(xm_nT-1)/2*xm_sT))/xm_sT,0)),0),0)+IF('XA MU'!$B$29&lt;=6,'XA MU'!$E$29*$B$8*(MAX(0,1-ABS('XA MU'!$C$29-$D47)/xm_sT)+MAX(0,1-ABS('XA MU'!$D$29-$D47)/xm_sT)),0)+IF(ABS($D47-(xm_y0T+(xm_nT-1)/2*xm_sT))&lt;0.000001,IF('XA MU'!$B$29&lt;=6,'XA MU'!$E$29*$B$8*(IF('XA MU'!$C$29&gt;(xm_y0T+(xm_nT-1)/2*xm_sT),2*('XA MU'!$C$29-(xm_y0T+(xm_nT-1)/2*xm_sT))/xm_sT,0)+IF('XA MU'!$D$29&gt;(xm_y0T+(xm_nT-1)/2*xm_sT),2*('XA MU'!$D$29-(xm_y0T+(xm_nT-1)/2*xm_sT))/xm_sT,0)),0),0)+IF('XA MU'!$B$30&lt;=6,'XA MU'!$E$30*$B$8*(MAX(0,1-ABS('XA MU'!$C$30-$D47)/xm_sT)+MAX(0,1-ABS('XA MU'!$D$30-$D47)/xm_sT)),0)+IF(ABS($D47-(xm_y0T+(xm_nT-1)/2*xm_sT))&lt;0.000001,IF('XA MU'!$B$30&lt;=6,'XA MU'!$E$30*$B$8*(IF('XA MU'!$C$30&gt;(xm_y0T+(xm_nT-1)/2*xm_sT),2*('XA MU'!$C$30-(xm_y0T+(xm_nT-1)/2*xm_sT))/xm_sT,0)+IF('XA MU'!$D$30&gt;(xm_y0T+(xm_nT-1)/2*xm_sT),2*('XA MU'!$D$30-(xm_y0T+(xm_nT-1)/2*xm_sT))/xm_sT,0)),0),0))))</f>
        <v>0</v>
      </c>
    </row>
    <row r="48" spans="1:14" x14ac:dyDescent="0.3">
      <c r="A48" s="42" t="s">
        <v>1235</v>
      </c>
      <c r="B48" s="42">
        <v>34</v>
      </c>
      <c r="C48" s="40">
        <f t="shared" si="0"/>
        <v>0</v>
      </c>
      <c r="D48" s="44">
        <f t="shared" si="1"/>
        <v>0</v>
      </c>
      <c r="E48" s="44">
        <f>MAX(0,D48-'XA MU'!$C$8)*C48</f>
        <v>0</v>
      </c>
      <c r="F48" s="44">
        <f>IF(AND(C48=1,D48&gt;'XA MU'!$C$8),1,0)</f>
        <v>0</v>
      </c>
      <c r="G48" s="44">
        <f t="shared" si="2"/>
        <v>0</v>
      </c>
      <c r="H48" s="44">
        <f t="shared" si="3"/>
        <v>0</v>
      </c>
      <c r="I48" s="44">
        <f>IF(C48=0,0,IF(1&gt;nLan,0,1.2*(IF('XA MU'!$B$25&lt;=1,'XA MU'!$E$25*$B$8*(MAX(0,1-ABS('XA MU'!$C$25-$D48)/xm_sT)+MAX(0,1-ABS('XA MU'!$D$25-$D48)/xm_sT)),0)+IF(ABS($D48-(xm_y0T+(xm_nT-1)/2*xm_sT))&lt;0.000001,IF('XA MU'!$B$25&lt;=1,'XA MU'!$E$25*$B$8*(IF('XA MU'!$C$25&gt;(xm_y0T+(xm_nT-1)/2*xm_sT),2*('XA MU'!$C$25-(xm_y0T+(xm_nT-1)/2*xm_sT))/xm_sT,0)+IF('XA MU'!$D$25&gt;(xm_y0T+(xm_nT-1)/2*xm_sT),2*('XA MU'!$D$25-(xm_y0T+(xm_nT-1)/2*xm_sT))/xm_sT,0)),0),0)+IF('XA MU'!$B$26&lt;=1,'XA MU'!$E$26*$B$8*(MAX(0,1-ABS('XA MU'!$C$26-$D48)/xm_sT)+MAX(0,1-ABS('XA MU'!$D$26-$D48)/xm_sT)),0)+IF(ABS($D48-(xm_y0T+(xm_nT-1)/2*xm_sT))&lt;0.000001,IF('XA MU'!$B$26&lt;=1,'XA MU'!$E$26*$B$8*(IF('XA MU'!$C$26&gt;(xm_y0T+(xm_nT-1)/2*xm_sT),2*('XA MU'!$C$26-(xm_y0T+(xm_nT-1)/2*xm_sT))/xm_sT,0)+IF('XA MU'!$D$26&gt;(xm_y0T+(xm_nT-1)/2*xm_sT),2*('XA MU'!$D$26-(xm_y0T+(xm_nT-1)/2*xm_sT))/xm_sT,0)),0),0)+IF('XA MU'!$B$27&lt;=1,'XA MU'!$E$27*$B$8*(MAX(0,1-ABS('XA MU'!$C$27-$D48)/xm_sT)+MAX(0,1-ABS('XA MU'!$D$27-$D48)/xm_sT)),0)+IF(ABS($D48-(xm_y0T+(xm_nT-1)/2*xm_sT))&lt;0.000001,IF('XA MU'!$B$27&lt;=1,'XA MU'!$E$27*$B$8*(IF('XA MU'!$C$27&gt;(xm_y0T+(xm_nT-1)/2*xm_sT),2*('XA MU'!$C$27-(xm_y0T+(xm_nT-1)/2*xm_sT))/xm_sT,0)+IF('XA MU'!$D$27&gt;(xm_y0T+(xm_nT-1)/2*xm_sT),2*('XA MU'!$D$27-(xm_y0T+(xm_nT-1)/2*xm_sT))/xm_sT,0)),0),0)+IF('XA MU'!$B$28&lt;=1,'XA MU'!$E$28*$B$8*(MAX(0,1-ABS('XA MU'!$C$28-$D48)/xm_sT)+MAX(0,1-ABS('XA MU'!$D$28-$D48)/xm_sT)),0)+IF(ABS($D48-(xm_y0T+(xm_nT-1)/2*xm_sT))&lt;0.000001,IF('XA MU'!$B$28&lt;=1,'XA MU'!$E$28*$B$8*(IF('XA MU'!$C$28&gt;(xm_y0T+(xm_nT-1)/2*xm_sT),2*('XA MU'!$C$28-(xm_y0T+(xm_nT-1)/2*xm_sT))/xm_sT,0)+IF('XA MU'!$D$28&gt;(xm_y0T+(xm_nT-1)/2*xm_sT),2*('XA MU'!$D$28-(xm_y0T+(xm_nT-1)/2*xm_sT))/xm_sT,0)),0),0)+IF('XA MU'!$B$29&lt;=1,'XA MU'!$E$29*$B$8*(MAX(0,1-ABS('XA MU'!$C$29-$D48)/xm_sT)+MAX(0,1-ABS('XA MU'!$D$29-$D48)/xm_sT)),0)+IF(ABS($D48-(xm_y0T+(xm_nT-1)/2*xm_sT))&lt;0.000001,IF('XA MU'!$B$29&lt;=1,'XA MU'!$E$29*$B$8*(IF('XA MU'!$C$29&gt;(xm_y0T+(xm_nT-1)/2*xm_sT),2*('XA MU'!$C$29-(xm_y0T+(xm_nT-1)/2*xm_sT))/xm_sT,0)+IF('XA MU'!$D$29&gt;(xm_y0T+(xm_nT-1)/2*xm_sT),2*('XA MU'!$D$29-(xm_y0T+(xm_nT-1)/2*xm_sT))/xm_sT,0)),0),0)+IF('XA MU'!$B$30&lt;=1,'XA MU'!$E$30*$B$8*(MAX(0,1-ABS('XA MU'!$C$30-$D48)/xm_sT)+MAX(0,1-ABS('XA MU'!$D$30-$D48)/xm_sT)),0)+IF(ABS($D48-(xm_y0T+(xm_nT-1)/2*xm_sT))&lt;0.000001,IF('XA MU'!$B$30&lt;=1,'XA MU'!$E$30*$B$8*(IF('XA MU'!$C$30&gt;(xm_y0T+(xm_nT-1)/2*xm_sT),2*('XA MU'!$C$30-(xm_y0T+(xm_nT-1)/2*xm_sT))/xm_sT,0)+IF('XA MU'!$D$30&gt;(xm_y0T+(xm_nT-1)/2*xm_sT),2*('XA MU'!$D$30-(xm_y0T+(xm_nT-1)/2*xm_sT))/xm_sT,0)),0),0))))</f>
        <v>0</v>
      </c>
      <c r="J48" s="44">
        <f>IF(C48=0,0,IF(2&gt;nLan,0,1*(IF('XA MU'!$B$25&lt;=2,'XA MU'!$E$25*$B$8*(MAX(0,1-ABS('XA MU'!$C$25-$D48)/xm_sT)+MAX(0,1-ABS('XA MU'!$D$25-$D48)/xm_sT)),0)+IF(ABS($D48-(xm_y0T+(xm_nT-1)/2*xm_sT))&lt;0.000001,IF('XA MU'!$B$25&lt;=2,'XA MU'!$E$25*$B$8*(IF('XA MU'!$C$25&gt;(xm_y0T+(xm_nT-1)/2*xm_sT),2*('XA MU'!$C$25-(xm_y0T+(xm_nT-1)/2*xm_sT))/xm_sT,0)+IF('XA MU'!$D$25&gt;(xm_y0T+(xm_nT-1)/2*xm_sT),2*('XA MU'!$D$25-(xm_y0T+(xm_nT-1)/2*xm_sT))/xm_sT,0)),0),0)+IF('XA MU'!$B$26&lt;=2,'XA MU'!$E$26*$B$8*(MAX(0,1-ABS('XA MU'!$C$26-$D48)/xm_sT)+MAX(0,1-ABS('XA MU'!$D$26-$D48)/xm_sT)),0)+IF(ABS($D48-(xm_y0T+(xm_nT-1)/2*xm_sT))&lt;0.000001,IF('XA MU'!$B$26&lt;=2,'XA MU'!$E$26*$B$8*(IF('XA MU'!$C$26&gt;(xm_y0T+(xm_nT-1)/2*xm_sT),2*('XA MU'!$C$26-(xm_y0T+(xm_nT-1)/2*xm_sT))/xm_sT,0)+IF('XA MU'!$D$26&gt;(xm_y0T+(xm_nT-1)/2*xm_sT),2*('XA MU'!$D$26-(xm_y0T+(xm_nT-1)/2*xm_sT))/xm_sT,0)),0),0)+IF('XA MU'!$B$27&lt;=2,'XA MU'!$E$27*$B$8*(MAX(0,1-ABS('XA MU'!$C$27-$D48)/xm_sT)+MAX(0,1-ABS('XA MU'!$D$27-$D48)/xm_sT)),0)+IF(ABS($D48-(xm_y0T+(xm_nT-1)/2*xm_sT))&lt;0.000001,IF('XA MU'!$B$27&lt;=2,'XA MU'!$E$27*$B$8*(IF('XA MU'!$C$27&gt;(xm_y0T+(xm_nT-1)/2*xm_sT),2*('XA MU'!$C$27-(xm_y0T+(xm_nT-1)/2*xm_sT))/xm_sT,0)+IF('XA MU'!$D$27&gt;(xm_y0T+(xm_nT-1)/2*xm_sT),2*('XA MU'!$D$27-(xm_y0T+(xm_nT-1)/2*xm_sT))/xm_sT,0)),0),0)+IF('XA MU'!$B$28&lt;=2,'XA MU'!$E$28*$B$8*(MAX(0,1-ABS('XA MU'!$C$28-$D48)/xm_sT)+MAX(0,1-ABS('XA MU'!$D$28-$D48)/xm_sT)),0)+IF(ABS($D48-(xm_y0T+(xm_nT-1)/2*xm_sT))&lt;0.000001,IF('XA MU'!$B$28&lt;=2,'XA MU'!$E$28*$B$8*(IF('XA MU'!$C$28&gt;(xm_y0T+(xm_nT-1)/2*xm_sT),2*('XA MU'!$C$28-(xm_y0T+(xm_nT-1)/2*xm_sT))/xm_sT,0)+IF('XA MU'!$D$28&gt;(xm_y0T+(xm_nT-1)/2*xm_sT),2*('XA MU'!$D$28-(xm_y0T+(xm_nT-1)/2*xm_sT))/xm_sT,0)),0),0)+IF('XA MU'!$B$29&lt;=2,'XA MU'!$E$29*$B$8*(MAX(0,1-ABS('XA MU'!$C$29-$D48)/xm_sT)+MAX(0,1-ABS('XA MU'!$D$29-$D48)/xm_sT)),0)+IF(ABS($D48-(xm_y0T+(xm_nT-1)/2*xm_sT))&lt;0.000001,IF('XA MU'!$B$29&lt;=2,'XA MU'!$E$29*$B$8*(IF('XA MU'!$C$29&gt;(xm_y0T+(xm_nT-1)/2*xm_sT),2*('XA MU'!$C$29-(xm_y0T+(xm_nT-1)/2*xm_sT))/xm_sT,0)+IF('XA MU'!$D$29&gt;(xm_y0T+(xm_nT-1)/2*xm_sT),2*('XA MU'!$D$29-(xm_y0T+(xm_nT-1)/2*xm_sT))/xm_sT,0)),0),0)+IF('XA MU'!$B$30&lt;=2,'XA MU'!$E$30*$B$8*(MAX(0,1-ABS('XA MU'!$C$30-$D48)/xm_sT)+MAX(0,1-ABS('XA MU'!$D$30-$D48)/xm_sT)),0)+IF(ABS($D48-(xm_y0T+(xm_nT-1)/2*xm_sT))&lt;0.000001,IF('XA MU'!$B$30&lt;=2,'XA MU'!$E$30*$B$8*(IF('XA MU'!$C$30&gt;(xm_y0T+(xm_nT-1)/2*xm_sT),2*('XA MU'!$C$30-(xm_y0T+(xm_nT-1)/2*xm_sT))/xm_sT,0)+IF('XA MU'!$D$30&gt;(xm_y0T+(xm_nT-1)/2*xm_sT),2*('XA MU'!$D$30-(xm_y0T+(xm_nT-1)/2*xm_sT))/xm_sT,0)),0),0))))</f>
        <v>0</v>
      </c>
      <c r="K48" s="44">
        <f>IF(C48=0,0,IF(3&gt;nLan,0,0.85*(IF('XA MU'!$B$25&lt;=3,'XA MU'!$E$25*$B$8*(MAX(0,1-ABS('XA MU'!$C$25-$D48)/xm_sT)+MAX(0,1-ABS('XA MU'!$D$25-$D48)/xm_sT)),0)+IF(ABS($D48-(xm_y0T+(xm_nT-1)/2*xm_sT))&lt;0.000001,IF('XA MU'!$B$25&lt;=3,'XA MU'!$E$25*$B$8*(IF('XA MU'!$C$25&gt;(xm_y0T+(xm_nT-1)/2*xm_sT),2*('XA MU'!$C$25-(xm_y0T+(xm_nT-1)/2*xm_sT))/xm_sT,0)+IF('XA MU'!$D$25&gt;(xm_y0T+(xm_nT-1)/2*xm_sT),2*('XA MU'!$D$25-(xm_y0T+(xm_nT-1)/2*xm_sT))/xm_sT,0)),0),0)+IF('XA MU'!$B$26&lt;=3,'XA MU'!$E$26*$B$8*(MAX(0,1-ABS('XA MU'!$C$26-$D48)/xm_sT)+MAX(0,1-ABS('XA MU'!$D$26-$D48)/xm_sT)),0)+IF(ABS($D48-(xm_y0T+(xm_nT-1)/2*xm_sT))&lt;0.000001,IF('XA MU'!$B$26&lt;=3,'XA MU'!$E$26*$B$8*(IF('XA MU'!$C$26&gt;(xm_y0T+(xm_nT-1)/2*xm_sT),2*('XA MU'!$C$26-(xm_y0T+(xm_nT-1)/2*xm_sT))/xm_sT,0)+IF('XA MU'!$D$26&gt;(xm_y0T+(xm_nT-1)/2*xm_sT),2*('XA MU'!$D$26-(xm_y0T+(xm_nT-1)/2*xm_sT))/xm_sT,0)),0),0)+IF('XA MU'!$B$27&lt;=3,'XA MU'!$E$27*$B$8*(MAX(0,1-ABS('XA MU'!$C$27-$D48)/xm_sT)+MAX(0,1-ABS('XA MU'!$D$27-$D48)/xm_sT)),0)+IF(ABS($D48-(xm_y0T+(xm_nT-1)/2*xm_sT))&lt;0.000001,IF('XA MU'!$B$27&lt;=3,'XA MU'!$E$27*$B$8*(IF('XA MU'!$C$27&gt;(xm_y0T+(xm_nT-1)/2*xm_sT),2*('XA MU'!$C$27-(xm_y0T+(xm_nT-1)/2*xm_sT))/xm_sT,0)+IF('XA MU'!$D$27&gt;(xm_y0T+(xm_nT-1)/2*xm_sT),2*('XA MU'!$D$27-(xm_y0T+(xm_nT-1)/2*xm_sT))/xm_sT,0)),0),0)+IF('XA MU'!$B$28&lt;=3,'XA MU'!$E$28*$B$8*(MAX(0,1-ABS('XA MU'!$C$28-$D48)/xm_sT)+MAX(0,1-ABS('XA MU'!$D$28-$D48)/xm_sT)),0)+IF(ABS($D48-(xm_y0T+(xm_nT-1)/2*xm_sT))&lt;0.000001,IF('XA MU'!$B$28&lt;=3,'XA MU'!$E$28*$B$8*(IF('XA MU'!$C$28&gt;(xm_y0T+(xm_nT-1)/2*xm_sT),2*('XA MU'!$C$28-(xm_y0T+(xm_nT-1)/2*xm_sT))/xm_sT,0)+IF('XA MU'!$D$28&gt;(xm_y0T+(xm_nT-1)/2*xm_sT),2*('XA MU'!$D$28-(xm_y0T+(xm_nT-1)/2*xm_sT))/xm_sT,0)),0),0)+IF('XA MU'!$B$29&lt;=3,'XA MU'!$E$29*$B$8*(MAX(0,1-ABS('XA MU'!$C$29-$D48)/xm_sT)+MAX(0,1-ABS('XA MU'!$D$29-$D48)/xm_sT)),0)+IF(ABS($D48-(xm_y0T+(xm_nT-1)/2*xm_sT))&lt;0.000001,IF('XA MU'!$B$29&lt;=3,'XA MU'!$E$29*$B$8*(IF('XA MU'!$C$29&gt;(xm_y0T+(xm_nT-1)/2*xm_sT),2*('XA MU'!$C$29-(xm_y0T+(xm_nT-1)/2*xm_sT))/xm_sT,0)+IF('XA MU'!$D$29&gt;(xm_y0T+(xm_nT-1)/2*xm_sT),2*('XA MU'!$D$29-(xm_y0T+(xm_nT-1)/2*xm_sT))/xm_sT,0)),0),0)+IF('XA MU'!$B$30&lt;=3,'XA MU'!$E$30*$B$8*(MAX(0,1-ABS('XA MU'!$C$30-$D48)/xm_sT)+MAX(0,1-ABS('XA MU'!$D$30-$D48)/xm_sT)),0)+IF(ABS($D48-(xm_y0T+(xm_nT-1)/2*xm_sT))&lt;0.000001,IF('XA MU'!$B$30&lt;=3,'XA MU'!$E$30*$B$8*(IF('XA MU'!$C$30&gt;(xm_y0T+(xm_nT-1)/2*xm_sT),2*('XA MU'!$C$30-(xm_y0T+(xm_nT-1)/2*xm_sT))/xm_sT,0)+IF('XA MU'!$D$30&gt;(xm_y0T+(xm_nT-1)/2*xm_sT),2*('XA MU'!$D$30-(xm_y0T+(xm_nT-1)/2*xm_sT))/xm_sT,0)),0),0))))</f>
        <v>0</v>
      </c>
      <c r="L48" s="44">
        <f>IF(C48=0,0,IF(4&gt;nLan,0,0.65*(IF('XA MU'!$B$25&lt;=4,'XA MU'!$E$25*$B$8*(MAX(0,1-ABS('XA MU'!$C$25-$D48)/xm_sT)+MAX(0,1-ABS('XA MU'!$D$25-$D48)/xm_sT)),0)+IF(ABS($D48-(xm_y0T+(xm_nT-1)/2*xm_sT))&lt;0.000001,IF('XA MU'!$B$25&lt;=4,'XA MU'!$E$25*$B$8*(IF('XA MU'!$C$25&gt;(xm_y0T+(xm_nT-1)/2*xm_sT),2*('XA MU'!$C$25-(xm_y0T+(xm_nT-1)/2*xm_sT))/xm_sT,0)+IF('XA MU'!$D$25&gt;(xm_y0T+(xm_nT-1)/2*xm_sT),2*('XA MU'!$D$25-(xm_y0T+(xm_nT-1)/2*xm_sT))/xm_sT,0)),0),0)+IF('XA MU'!$B$26&lt;=4,'XA MU'!$E$26*$B$8*(MAX(0,1-ABS('XA MU'!$C$26-$D48)/xm_sT)+MAX(0,1-ABS('XA MU'!$D$26-$D48)/xm_sT)),0)+IF(ABS($D48-(xm_y0T+(xm_nT-1)/2*xm_sT))&lt;0.000001,IF('XA MU'!$B$26&lt;=4,'XA MU'!$E$26*$B$8*(IF('XA MU'!$C$26&gt;(xm_y0T+(xm_nT-1)/2*xm_sT),2*('XA MU'!$C$26-(xm_y0T+(xm_nT-1)/2*xm_sT))/xm_sT,0)+IF('XA MU'!$D$26&gt;(xm_y0T+(xm_nT-1)/2*xm_sT),2*('XA MU'!$D$26-(xm_y0T+(xm_nT-1)/2*xm_sT))/xm_sT,0)),0),0)+IF('XA MU'!$B$27&lt;=4,'XA MU'!$E$27*$B$8*(MAX(0,1-ABS('XA MU'!$C$27-$D48)/xm_sT)+MAX(0,1-ABS('XA MU'!$D$27-$D48)/xm_sT)),0)+IF(ABS($D48-(xm_y0T+(xm_nT-1)/2*xm_sT))&lt;0.000001,IF('XA MU'!$B$27&lt;=4,'XA MU'!$E$27*$B$8*(IF('XA MU'!$C$27&gt;(xm_y0T+(xm_nT-1)/2*xm_sT),2*('XA MU'!$C$27-(xm_y0T+(xm_nT-1)/2*xm_sT))/xm_sT,0)+IF('XA MU'!$D$27&gt;(xm_y0T+(xm_nT-1)/2*xm_sT),2*('XA MU'!$D$27-(xm_y0T+(xm_nT-1)/2*xm_sT))/xm_sT,0)),0),0)+IF('XA MU'!$B$28&lt;=4,'XA MU'!$E$28*$B$8*(MAX(0,1-ABS('XA MU'!$C$28-$D48)/xm_sT)+MAX(0,1-ABS('XA MU'!$D$28-$D48)/xm_sT)),0)+IF(ABS($D48-(xm_y0T+(xm_nT-1)/2*xm_sT))&lt;0.000001,IF('XA MU'!$B$28&lt;=4,'XA MU'!$E$28*$B$8*(IF('XA MU'!$C$28&gt;(xm_y0T+(xm_nT-1)/2*xm_sT),2*('XA MU'!$C$28-(xm_y0T+(xm_nT-1)/2*xm_sT))/xm_sT,0)+IF('XA MU'!$D$28&gt;(xm_y0T+(xm_nT-1)/2*xm_sT),2*('XA MU'!$D$28-(xm_y0T+(xm_nT-1)/2*xm_sT))/xm_sT,0)),0),0)+IF('XA MU'!$B$29&lt;=4,'XA MU'!$E$29*$B$8*(MAX(0,1-ABS('XA MU'!$C$29-$D48)/xm_sT)+MAX(0,1-ABS('XA MU'!$D$29-$D48)/xm_sT)),0)+IF(ABS($D48-(xm_y0T+(xm_nT-1)/2*xm_sT))&lt;0.000001,IF('XA MU'!$B$29&lt;=4,'XA MU'!$E$29*$B$8*(IF('XA MU'!$C$29&gt;(xm_y0T+(xm_nT-1)/2*xm_sT),2*('XA MU'!$C$29-(xm_y0T+(xm_nT-1)/2*xm_sT))/xm_sT,0)+IF('XA MU'!$D$29&gt;(xm_y0T+(xm_nT-1)/2*xm_sT),2*('XA MU'!$D$29-(xm_y0T+(xm_nT-1)/2*xm_sT))/xm_sT,0)),0),0)+IF('XA MU'!$B$30&lt;=4,'XA MU'!$E$30*$B$8*(MAX(0,1-ABS('XA MU'!$C$30-$D48)/xm_sT)+MAX(0,1-ABS('XA MU'!$D$30-$D48)/xm_sT)),0)+IF(ABS($D48-(xm_y0T+(xm_nT-1)/2*xm_sT))&lt;0.000001,IF('XA MU'!$B$30&lt;=4,'XA MU'!$E$30*$B$8*(IF('XA MU'!$C$30&gt;(xm_y0T+(xm_nT-1)/2*xm_sT),2*('XA MU'!$C$30-(xm_y0T+(xm_nT-1)/2*xm_sT))/xm_sT,0)+IF('XA MU'!$D$30&gt;(xm_y0T+(xm_nT-1)/2*xm_sT),2*('XA MU'!$D$30-(xm_y0T+(xm_nT-1)/2*xm_sT))/xm_sT,0)),0),0))))</f>
        <v>0</v>
      </c>
      <c r="M48" s="44">
        <f>IF(C48=0,0,IF(5&gt;nLan,0,0.65*(IF('XA MU'!$B$25&lt;=5,'XA MU'!$E$25*$B$8*(MAX(0,1-ABS('XA MU'!$C$25-$D48)/xm_sT)+MAX(0,1-ABS('XA MU'!$D$25-$D48)/xm_sT)),0)+IF(ABS($D48-(xm_y0T+(xm_nT-1)/2*xm_sT))&lt;0.000001,IF('XA MU'!$B$25&lt;=5,'XA MU'!$E$25*$B$8*(IF('XA MU'!$C$25&gt;(xm_y0T+(xm_nT-1)/2*xm_sT),2*('XA MU'!$C$25-(xm_y0T+(xm_nT-1)/2*xm_sT))/xm_sT,0)+IF('XA MU'!$D$25&gt;(xm_y0T+(xm_nT-1)/2*xm_sT),2*('XA MU'!$D$25-(xm_y0T+(xm_nT-1)/2*xm_sT))/xm_sT,0)),0),0)+IF('XA MU'!$B$26&lt;=5,'XA MU'!$E$26*$B$8*(MAX(0,1-ABS('XA MU'!$C$26-$D48)/xm_sT)+MAX(0,1-ABS('XA MU'!$D$26-$D48)/xm_sT)),0)+IF(ABS($D48-(xm_y0T+(xm_nT-1)/2*xm_sT))&lt;0.000001,IF('XA MU'!$B$26&lt;=5,'XA MU'!$E$26*$B$8*(IF('XA MU'!$C$26&gt;(xm_y0T+(xm_nT-1)/2*xm_sT),2*('XA MU'!$C$26-(xm_y0T+(xm_nT-1)/2*xm_sT))/xm_sT,0)+IF('XA MU'!$D$26&gt;(xm_y0T+(xm_nT-1)/2*xm_sT),2*('XA MU'!$D$26-(xm_y0T+(xm_nT-1)/2*xm_sT))/xm_sT,0)),0),0)+IF('XA MU'!$B$27&lt;=5,'XA MU'!$E$27*$B$8*(MAX(0,1-ABS('XA MU'!$C$27-$D48)/xm_sT)+MAX(0,1-ABS('XA MU'!$D$27-$D48)/xm_sT)),0)+IF(ABS($D48-(xm_y0T+(xm_nT-1)/2*xm_sT))&lt;0.000001,IF('XA MU'!$B$27&lt;=5,'XA MU'!$E$27*$B$8*(IF('XA MU'!$C$27&gt;(xm_y0T+(xm_nT-1)/2*xm_sT),2*('XA MU'!$C$27-(xm_y0T+(xm_nT-1)/2*xm_sT))/xm_sT,0)+IF('XA MU'!$D$27&gt;(xm_y0T+(xm_nT-1)/2*xm_sT),2*('XA MU'!$D$27-(xm_y0T+(xm_nT-1)/2*xm_sT))/xm_sT,0)),0),0)+IF('XA MU'!$B$28&lt;=5,'XA MU'!$E$28*$B$8*(MAX(0,1-ABS('XA MU'!$C$28-$D48)/xm_sT)+MAX(0,1-ABS('XA MU'!$D$28-$D48)/xm_sT)),0)+IF(ABS($D48-(xm_y0T+(xm_nT-1)/2*xm_sT))&lt;0.000001,IF('XA MU'!$B$28&lt;=5,'XA MU'!$E$28*$B$8*(IF('XA MU'!$C$28&gt;(xm_y0T+(xm_nT-1)/2*xm_sT),2*('XA MU'!$C$28-(xm_y0T+(xm_nT-1)/2*xm_sT))/xm_sT,0)+IF('XA MU'!$D$28&gt;(xm_y0T+(xm_nT-1)/2*xm_sT),2*('XA MU'!$D$28-(xm_y0T+(xm_nT-1)/2*xm_sT))/xm_sT,0)),0),0)+IF('XA MU'!$B$29&lt;=5,'XA MU'!$E$29*$B$8*(MAX(0,1-ABS('XA MU'!$C$29-$D48)/xm_sT)+MAX(0,1-ABS('XA MU'!$D$29-$D48)/xm_sT)),0)+IF(ABS($D48-(xm_y0T+(xm_nT-1)/2*xm_sT))&lt;0.000001,IF('XA MU'!$B$29&lt;=5,'XA MU'!$E$29*$B$8*(IF('XA MU'!$C$29&gt;(xm_y0T+(xm_nT-1)/2*xm_sT),2*('XA MU'!$C$29-(xm_y0T+(xm_nT-1)/2*xm_sT))/xm_sT,0)+IF('XA MU'!$D$29&gt;(xm_y0T+(xm_nT-1)/2*xm_sT),2*('XA MU'!$D$29-(xm_y0T+(xm_nT-1)/2*xm_sT))/xm_sT,0)),0),0)+IF('XA MU'!$B$30&lt;=5,'XA MU'!$E$30*$B$8*(MAX(0,1-ABS('XA MU'!$C$30-$D48)/xm_sT)+MAX(0,1-ABS('XA MU'!$D$30-$D48)/xm_sT)),0)+IF(ABS($D48-(xm_y0T+(xm_nT-1)/2*xm_sT))&lt;0.000001,IF('XA MU'!$B$30&lt;=5,'XA MU'!$E$30*$B$8*(IF('XA MU'!$C$30&gt;(xm_y0T+(xm_nT-1)/2*xm_sT),2*('XA MU'!$C$30-(xm_y0T+(xm_nT-1)/2*xm_sT))/xm_sT,0)+IF('XA MU'!$D$30&gt;(xm_y0T+(xm_nT-1)/2*xm_sT),2*('XA MU'!$D$30-(xm_y0T+(xm_nT-1)/2*xm_sT))/xm_sT,0)),0),0))))</f>
        <v>0</v>
      </c>
      <c r="N48" s="44">
        <f>IF(C48=0,0,IF(6&gt;nLan,0,0.65*(IF('XA MU'!$B$25&lt;=6,'XA MU'!$E$25*$B$8*(MAX(0,1-ABS('XA MU'!$C$25-$D48)/xm_sT)+MAX(0,1-ABS('XA MU'!$D$25-$D48)/xm_sT)),0)+IF(ABS($D48-(xm_y0T+(xm_nT-1)/2*xm_sT))&lt;0.000001,IF('XA MU'!$B$25&lt;=6,'XA MU'!$E$25*$B$8*(IF('XA MU'!$C$25&gt;(xm_y0T+(xm_nT-1)/2*xm_sT),2*('XA MU'!$C$25-(xm_y0T+(xm_nT-1)/2*xm_sT))/xm_sT,0)+IF('XA MU'!$D$25&gt;(xm_y0T+(xm_nT-1)/2*xm_sT),2*('XA MU'!$D$25-(xm_y0T+(xm_nT-1)/2*xm_sT))/xm_sT,0)),0),0)+IF('XA MU'!$B$26&lt;=6,'XA MU'!$E$26*$B$8*(MAX(0,1-ABS('XA MU'!$C$26-$D48)/xm_sT)+MAX(0,1-ABS('XA MU'!$D$26-$D48)/xm_sT)),0)+IF(ABS($D48-(xm_y0T+(xm_nT-1)/2*xm_sT))&lt;0.000001,IF('XA MU'!$B$26&lt;=6,'XA MU'!$E$26*$B$8*(IF('XA MU'!$C$26&gt;(xm_y0T+(xm_nT-1)/2*xm_sT),2*('XA MU'!$C$26-(xm_y0T+(xm_nT-1)/2*xm_sT))/xm_sT,0)+IF('XA MU'!$D$26&gt;(xm_y0T+(xm_nT-1)/2*xm_sT),2*('XA MU'!$D$26-(xm_y0T+(xm_nT-1)/2*xm_sT))/xm_sT,0)),0),0)+IF('XA MU'!$B$27&lt;=6,'XA MU'!$E$27*$B$8*(MAX(0,1-ABS('XA MU'!$C$27-$D48)/xm_sT)+MAX(0,1-ABS('XA MU'!$D$27-$D48)/xm_sT)),0)+IF(ABS($D48-(xm_y0T+(xm_nT-1)/2*xm_sT))&lt;0.000001,IF('XA MU'!$B$27&lt;=6,'XA MU'!$E$27*$B$8*(IF('XA MU'!$C$27&gt;(xm_y0T+(xm_nT-1)/2*xm_sT),2*('XA MU'!$C$27-(xm_y0T+(xm_nT-1)/2*xm_sT))/xm_sT,0)+IF('XA MU'!$D$27&gt;(xm_y0T+(xm_nT-1)/2*xm_sT),2*('XA MU'!$D$27-(xm_y0T+(xm_nT-1)/2*xm_sT))/xm_sT,0)),0),0)+IF('XA MU'!$B$28&lt;=6,'XA MU'!$E$28*$B$8*(MAX(0,1-ABS('XA MU'!$C$28-$D48)/xm_sT)+MAX(0,1-ABS('XA MU'!$D$28-$D48)/xm_sT)),0)+IF(ABS($D48-(xm_y0T+(xm_nT-1)/2*xm_sT))&lt;0.000001,IF('XA MU'!$B$28&lt;=6,'XA MU'!$E$28*$B$8*(IF('XA MU'!$C$28&gt;(xm_y0T+(xm_nT-1)/2*xm_sT),2*('XA MU'!$C$28-(xm_y0T+(xm_nT-1)/2*xm_sT))/xm_sT,0)+IF('XA MU'!$D$28&gt;(xm_y0T+(xm_nT-1)/2*xm_sT),2*('XA MU'!$D$28-(xm_y0T+(xm_nT-1)/2*xm_sT))/xm_sT,0)),0),0)+IF('XA MU'!$B$29&lt;=6,'XA MU'!$E$29*$B$8*(MAX(0,1-ABS('XA MU'!$C$29-$D48)/xm_sT)+MAX(0,1-ABS('XA MU'!$D$29-$D48)/xm_sT)),0)+IF(ABS($D48-(xm_y0T+(xm_nT-1)/2*xm_sT))&lt;0.000001,IF('XA MU'!$B$29&lt;=6,'XA MU'!$E$29*$B$8*(IF('XA MU'!$C$29&gt;(xm_y0T+(xm_nT-1)/2*xm_sT),2*('XA MU'!$C$29-(xm_y0T+(xm_nT-1)/2*xm_sT))/xm_sT,0)+IF('XA MU'!$D$29&gt;(xm_y0T+(xm_nT-1)/2*xm_sT),2*('XA MU'!$D$29-(xm_y0T+(xm_nT-1)/2*xm_sT))/xm_sT,0)),0),0)+IF('XA MU'!$B$30&lt;=6,'XA MU'!$E$30*$B$8*(MAX(0,1-ABS('XA MU'!$C$30-$D48)/xm_sT)+MAX(0,1-ABS('XA MU'!$D$30-$D48)/xm_sT)),0)+IF(ABS($D48-(xm_y0T+(xm_nT-1)/2*xm_sT))&lt;0.000001,IF('XA MU'!$B$30&lt;=6,'XA MU'!$E$30*$B$8*(IF('XA MU'!$C$30&gt;(xm_y0T+(xm_nT-1)/2*xm_sT),2*('XA MU'!$C$30-(xm_y0T+(xm_nT-1)/2*xm_sT))/xm_sT,0)+IF('XA MU'!$D$30&gt;(xm_y0T+(xm_nT-1)/2*xm_sT),2*('XA MU'!$D$30-(xm_y0T+(xm_nT-1)/2*xm_sT))/xm_sT,0)),0),0))))</f>
        <v>0</v>
      </c>
    </row>
    <row r="49" spans="1:14" x14ac:dyDescent="0.3">
      <c r="A49" s="42" t="s">
        <v>1235</v>
      </c>
      <c r="B49" s="42">
        <v>35</v>
      </c>
      <c r="C49" s="40">
        <f t="shared" si="0"/>
        <v>0</v>
      </c>
      <c r="D49" s="44">
        <f t="shared" si="1"/>
        <v>0</v>
      </c>
      <c r="E49" s="44">
        <f>MAX(0,D49-'XA MU'!$C$8)*C49</f>
        <v>0</v>
      </c>
      <c r="F49" s="44">
        <f>IF(AND(C49=1,D49&gt;'XA MU'!$C$8),1,0)</f>
        <v>0</v>
      </c>
      <c r="G49" s="44">
        <f t="shared" si="2"/>
        <v>0</v>
      </c>
      <c r="H49" s="44">
        <f t="shared" si="3"/>
        <v>0</v>
      </c>
      <c r="I49" s="44">
        <f>IF(C49=0,0,IF(1&gt;nLan,0,1.2*(IF('XA MU'!$B$25&lt;=1,'XA MU'!$E$25*$B$8*(MAX(0,1-ABS('XA MU'!$C$25-$D49)/xm_sT)+MAX(0,1-ABS('XA MU'!$D$25-$D49)/xm_sT)),0)+IF(ABS($D49-(xm_y0T+(xm_nT-1)/2*xm_sT))&lt;0.000001,IF('XA MU'!$B$25&lt;=1,'XA MU'!$E$25*$B$8*(IF('XA MU'!$C$25&gt;(xm_y0T+(xm_nT-1)/2*xm_sT),2*('XA MU'!$C$25-(xm_y0T+(xm_nT-1)/2*xm_sT))/xm_sT,0)+IF('XA MU'!$D$25&gt;(xm_y0T+(xm_nT-1)/2*xm_sT),2*('XA MU'!$D$25-(xm_y0T+(xm_nT-1)/2*xm_sT))/xm_sT,0)),0),0)+IF('XA MU'!$B$26&lt;=1,'XA MU'!$E$26*$B$8*(MAX(0,1-ABS('XA MU'!$C$26-$D49)/xm_sT)+MAX(0,1-ABS('XA MU'!$D$26-$D49)/xm_sT)),0)+IF(ABS($D49-(xm_y0T+(xm_nT-1)/2*xm_sT))&lt;0.000001,IF('XA MU'!$B$26&lt;=1,'XA MU'!$E$26*$B$8*(IF('XA MU'!$C$26&gt;(xm_y0T+(xm_nT-1)/2*xm_sT),2*('XA MU'!$C$26-(xm_y0T+(xm_nT-1)/2*xm_sT))/xm_sT,0)+IF('XA MU'!$D$26&gt;(xm_y0T+(xm_nT-1)/2*xm_sT),2*('XA MU'!$D$26-(xm_y0T+(xm_nT-1)/2*xm_sT))/xm_sT,0)),0),0)+IF('XA MU'!$B$27&lt;=1,'XA MU'!$E$27*$B$8*(MAX(0,1-ABS('XA MU'!$C$27-$D49)/xm_sT)+MAX(0,1-ABS('XA MU'!$D$27-$D49)/xm_sT)),0)+IF(ABS($D49-(xm_y0T+(xm_nT-1)/2*xm_sT))&lt;0.000001,IF('XA MU'!$B$27&lt;=1,'XA MU'!$E$27*$B$8*(IF('XA MU'!$C$27&gt;(xm_y0T+(xm_nT-1)/2*xm_sT),2*('XA MU'!$C$27-(xm_y0T+(xm_nT-1)/2*xm_sT))/xm_sT,0)+IF('XA MU'!$D$27&gt;(xm_y0T+(xm_nT-1)/2*xm_sT),2*('XA MU'!$D$27-(xm_y0T+(xm_nT-1)/2*xm_sT))/xm_sT,0)),0),0)+IF('XA MU'!$B$28&lt;=1,'XA MU'!$E$28*$B$8*(MAX(0,1-ABS('XA MU'!$C$28-$D49)/xm_sT)+MAX(0,1-ABS('XA MU'!$D$28-$D49)/xm_sT)),0)+IF(ABS($D49-(xm_y0T+(xm_nT-1)/2*xm_sT))&lt;0.000001,IF('XA MU'!$B$28&lt;=1,'XA MU'!$E$28*$B$8*(IF('XA MU'!$C$28&gt;(xm_y0T+(xm_nT-1)/2*xm_sT),2*('XA MU'!$C$28-(xm_y0T+(xm_nT-1)/2*xm_sT))/xm_sT,0)+IF('XA MU'!$D$28&gt;(xm_y0T+(xm_nT-1)/2*xm_sT),2*('XA MU'!$D$28-(xm_y0T+(xm_nT-1)/2*xm_sT))/xm_sT,0)),0),0)+IF('XA MU'!$B$29&lt;=1,'XA MU'!$E$29*$B$8*(MAX(0,1-ABS('XA MU'!$C$29-$D49)/xm_sT)+MAX(0,1-ABS('XA MU'!$D$29-$D49)/xm_sT)),0)+IF(ABS($D49-(xm_y0T+(xm_nT-1)/2*xm_sT))&lt;0.000001,IF('XA MU'!$B$29&lt;=1,'XA MU'!$E$29*$B$8*(IF('XA MU'!$C$29&gt;(xm_y0T+(xm_nT-1)/2*xm_sT),2*('XA MU'!$C$29-(xm_y0T+(xm_nT-1)/2*xm_sT))/xm_sT,0)+IF('XA MU'!$D$29&gt;(xm_y0T+(xm_nT-1)/2*xm_sT),2*('XA MU'!$D$29-(xm_y0T+(xm_nT-1)/2*xm_sT))/xm_sT,0)),0),0)+IF('XA MU'!$B$30&lt;=1,'XA MU'!$E$30*$B$8*(MAX(0,1-ABS('XA MU'!$C$30-$D49)/xm_sT)+MAX(0,1-ABS('XA MU'!$D$30-$D49)/xm_sT)),0)+IF(ABS($D49-(xm_y0T+(xm_nT-1)/2*xm_sT))&lt;0.000001,IF('XA MU'!$B$30&lt;=1,'XA MU'!$E$30*$B$8*(IF('XA MU'!$C$30&gt;(xm_y0T+(xm_nT-1)/2*xm_sT),2*('XA MU'!$C$30-(xm_y0T+(xm_nT-1)/2*xm_sT))/xm_sT,0)+IF('XA MU'!$D$30&gt;(xm_y0T+(xm_nT-1)/2*xm_sT),2*('XA MU'!$D$30-(xm_y0T+(xm_nT-1)/2*xm_sT))/xm_sT,0)),0),0))))</f>
        <v>0</v>
      </c>
      <c r="J49" s="44">
        <f>IF(C49=0,0,IF(2&gt;nLan,0,1*(IF('XA MU'!$B$25&lt;=2,'XA MU'!$E$25*$B$8*(MAX(0,1-ABS('XA MU'!$C$25-$D49)/xm_sT)+MAX(0,1-ABS('XA MU'!$D$25-$D49)/xm_sT)),0)+IF(ABS($D49-(xm_y0T+(xm_nT-1)/2*xm_sT))&lt;0.000001,IF('XA MU'!$B$25&lt;=2,'XA MU'!$E$25*$B$8*(IF('XA MU'!$C$25&gt;(xm_y0T+(xm_nT-1)/2*xm_sT),2*('XA MU'!$C$25-(xm_y0T+(xm_nT-1)/2*xm_sT))/xm_sT,0)+IF('XA MU'!$D$25&gt;(xm_y0T+(xm_nT-1)/2*xm_sT),2*('XA MU'!$D$25-(xm_y0T+(xm_nT-1)/2*xm_sT))/xm_sT,0)),0),0)+IF('XA MU'!$B$26&lt;=2,'XA MU'!$E$26*$B$8*(MAX(0,1-ABS('XA MU'!$C$26-$D49)/xm_sT)+MAX(0,1-ABS('XA MU'!$D$26-$D49)/xm_sT)),0)+IF(ABS($D49-(xm_y0T+(xm_nT-1)/2*xm_sT))&lt;0.000001,IF('XA MU'!$B$26&lt;=2,'XA MU'!$E$26*$B$8*(IF('XA MU'!$C$26&gt;(xm_y0T+(xm_nT-1)/2*xm_sT),2*('XA MU'!$C$26-(xm_y0T+(xm_nT-1)/2*xm_sT))/xm_sT,0)+IF('XA MU'!$D$26&gt;(xm_y0T+(xm_nT-1)/2*xm_sT),2*('XA MU'!$D$26-(xm_y0T+(xm_nT-1)/2*xm_sT))/xm_sT,0)),0),0)+IF('XA MU'!$B$27&lt;=2,'XA MU'!$E$27*$B$8*(MAX(0,1-ABS('XA MU'!$C$27-$D49)/xm_sT)+MAX(0,1-ABS('XA MU'!$D$27-$D49)/xm_sT)),0)+IF(ABS($D49-(xm_y0T+(xm_nT-1)/2*xm_sT))&lt;0.000001,IF('XA MU'!$B$27&lt;=2,'XA MU'!$E$27*$B$8*(IF('XA MU'!$C$27&gt;(xm_y0T+(xm_nT-1)/2*xm_sT),2*('XA MU'!$C$27-(xm_y0T+(xm_nT-1)/2*xm_sT))/xm_sT,0)+IF('XA MU'!$D$27&gt;(xm_y0T+(xm_nT-1)/2*xm_sT),2*('XA MU'!$D$27-(xm_y0T+(xm_nT-1)/2*xm_sT))/xm_sT,0)),0),0)+IF('XA MU'!$B$28&lt;=2,'XA MU'!$E$28*$B$8*(MAX(0,1-ABS('XA MU'!$C$28-$D49)/xm_sT)+MAX(0,1-ABS('XA MU'!$D$28-$D49)/xm_sT)),0)+IF(ABS($D49-(xm_y0T+(xm_nT-1)/2*xm_sT))&lt;0.000001,IF('XA MU'!$B$28&lt;=2,'XA MU'!$E$28*$B$8*(IF('XA MU'!$C$28&gt;(xm_y0T+(xm_nT-1)/2*xm_sT),2*('XA MU'!$C$28-(xm_y0T+(xm_nT-1)/2*xm_sT))/xm_sT,0)+IF('XA MU'!$D$28&gt;(xm_y0T+(xm_nT-1)/2*xm_sT),2*('XA MU'!$D$28-(xm_y0T+(xm_nT-1)/2*xm_sT))/xm_sT,0)),0),0)+IF('XA MU'!$B$29&lt;=2,'XA MU'!$E$29*$B$8*(MAX(0,1-ABS('XA MU'!$C$29-$D49)/xm_sT)+MAX(0,1-ABS('XA MU'!$D$29-$D49)/xm_sT)),0)+IF(ABS($D49-(xm_y0T+(xm_nT-1)/2*xm_sT))&lt;0.000001,IF('XA MU'!$B$29&lt;=2,'XA MU'!$E$29*$B$8*(IF('XA MU'!$C$29&gt;(xm_y0T+(xm_nT-1)/2*xm_sT),2*('XA MU'!$C$29-(xm_y0T+(xm_nT-1)/2*xm_sT))/xm_sT,0)+IF('XA MU'!$D$29&gt;(xm_y0T+(xm_nT-1)/2*xm_sT),2*('XA MU'!$D$29-(xm_y0T+(xm_nT-1)/2*xm_sT))/xm_sT,0)),0),0)+IF('XA MU'!$B$30&lt;=2,'XA MU'!$E$30*$B$8*(MAX(0,1-ABS('XA MU'!$C$30-$D49)/xm_sT)+MAX(0,1-ABS('XA MU'!$D$30-$D49)/xm_sT)),0)+IF(ABS($D49-(xm_y0T+(xm_nT-1)/2*xm_sT))&lt;0.000001,IF('XA MU'!$B$30&lt;=2,'XA MU'!$E$30*$B$8*(IF('XA MU'!$C$30&gt;(xm_y0T+(xm_nT-1)/2*xm_sT),2*('XA MU'!$C$30-(xm_y0T+(xm_nT-1)/2*xm_sT))/xm_sT,0)+IF('XA MU'!$D$30&gt;(xm_y0T+(xm_nT-1)/2*xm_sT),2*('XA MU'!$D$30-(xm_y0T+(xm_nT-1)/2*xm_sT))/xm_sT,0)),0),0))))</f>
        <v>0</v>
      </c>
      <c r="K49" s="44">
        <f>IF(C49=0,0,IF(3&gt;nLan,0,0.85*(IF('XA MU'!$B$25&lt;=3,'XA MU'!$E$25*$B$8*(MAX(0,1-ABS('XA MU'!$C$25-$D49)/xm_sT)+MAX(0,1-ABS('XA MU'!$D$25-$D49)/xm_sT)),0)+IF(ABS($D49-(xm_y0T+(xm_nT-1)/2*xm_sT))&lt;0.000001,IF('XA MU'!$B$25&lt;=3,'XA MU'!$E$25*$B$8*(IF('XA MU'!$C$25&gt;(xm_y0T+(xm_nT-1)/2*xm_sT),2*('XA MU'!$C$25-(xm_y0T+(xm_nT-1)/2*xm_sT))/xm_sT,0)+IF('XA MU'!$D$25&gt;(xm_y0T+(xm_nT-1)/2*xm_sT),2*('XA MU'!$D$25-(xm_y0T+(xm_nT-1)/2*xm_sT))/xm_sT,0)),0),0)+IF('XA MU'!$B$26&lt;=3,'XA MU'!$E$26*$B$8*(MAX(0,1-ABS('XA MU'!$C$26-$D49)/xm_sT)+MAX(0,1-ABS('XA MU'!$D$26-$D49)/xm_sT)),0)+IF(ABS($D49-(xm_y0T+(xm_nT-1)/2*xm_sT))&lt;0.000001,IF('XA MU'!$B$26&lt;=3,'XA MU'!$E$26*$B$8*(IF('XA MU'!$C$26&gt;(xm_y0T+(xm_nT-1)/2*xm_sT),2*('XA MU'!$C$26-(xm_y0T+(xm_nT-1)/2*xm_sT))/xm_sT,0)+IF('XA MU'!$D$26&gt;(xm_y0T+(xm_nT-1)/2*xm_sT),2*('XA MU'!$D$26-(xm_y0T+(xm_nT-1)/2*xm_sT))/xm_sT,0)),0),0)+IF('XA MU'!$B$27&lt;=3,'XA MU'!$E$27*$B$8*(MAX(0,1-ABS('XA MU'!$C$27-$D49)/xm_sT)+MAX(0,1-ABS('XA MU'!$D$27-$D49)/xm_sT)),0)+IF(ABS($D49-(xm_y0T+(xm_nT-1)/2*xm_sT))&lt;0.000001,IF('XA MU'!$B$27&lt;=3,'XA MU'!$E$27*$B$8*(IF('XA MU'!$C$27&gt;(xm_y0T+(xm_nT-1)/2*xm_sT),2*('XA MU'!$C$27-(xm_y0T+(xm_nT-1)/2*xm_sT))/xm_sT,0)+IF('XA MU'!$D$27&gt;(xm_y0T+(xm_nT-1)/2*xm_sT),2*('XA MU'!$D$27-(xm_y0T+(xm_nT-1)/2*xm_sT))/xm_sT,0)),0),0)+IF('XA MU'!$B$28&lt;=3,'XA MU'!$E$28*$B$8*(MAX(0,1-ABS('XA MU'!$C$28-$D49)/xm_sT)+MAX(0,1-ABS('XA MU'!$D$28-$D49)/xm_sT)),0)+IF(ABS($D49-(xm_y0T+(xm_nT-1)/2*xm_sT))&lt;0.000001,IF('XA MU'!$B$28&lt;=3,'XA MU'!$E$28*$B$8*(IF('XA MU'!$C$28&gt;(xm_y0T+(xm_nT-1)/2*xm_sT),2*('XA MU'!$C$28-(xm_y0T+(xm_nT-1)/2*xm_sT))/xm_sT,0)+IF('XA MU'!$D$28&gt;(xm_y0T+(xm_nT-1)/2*xm_sT),2*('XA MU'!$D$28-(xm_y0T+(xm_nT-1)/2*xm_sT))/xm_sT,0)),0),0)+IF('XA MU'!$B$29&lt;=3,'XA MU'!$E$29*$B$8*(MAX(0,1-ABS('XA MU'!$C$29-$D49)/xm_sT)+MAX(0,1-ABS('XA MU'!$D$29-$D49)/xm_sT)),0)+IF(ABS($D49-(xm_y0T+(xm_nT-1)/2*xm_sT))&lt;0.000001,IF('XA MU'!$B$29&lt;=3,'XA MU'!$E$29*$B$8*(IF('XA MU'!$C$29&gt;(xm_y0T+(xm_nT-1)/2*xm_sT),2*('XA MU'!$C$29-(xm_y0T+(xm_nT-1)/2*xm_sT))/xm_sT,0)+IF('XA MU'!$D$29&gt;(xm_y0T+(xm_nT-1)/2*xm_sT),2*('XA MU'!$D$29-(xm_y0T+(xm_nT-1)/2*xm_sT))/xm_sT,0)),0),0)+IF('XA MU'!$B$30&lt;=3,'XA MU'!$E$30*$B$8*(MAX(0,1-ABS('XA MU'!$C$30-$D49)/xm_sT)+MAX(0,1-ABS('XA MU'!$D$30-$D49)/xm_sT)),0)+IF(ABS($D49-(xm_y0T+(xm_nT-1)/2*xm_sT))&lt;0.000001,IF('XA MU'!$B$30&lt;=3,'XA MU'!$E$30*$B$8*(IF('XA MU'!$C$30&gt;(xm_y0T+(xm_nT-1)/2*xm_sT),2*('XA MU'!$C$30-(xm_y0T+(xm_nT-1)/2*xm_sT))/xm_sT,0)+IF('XA MU'!$D$30&gt;(xm_y0T+(xm_nT-1)/2*xm_sT),2*('XA MU'!$D$30-(xm_y0T+(xm_nT-1)/2*xm_sT))/xm_sT,0)),0),0))))</f>
        <v>0</v>
      </c>
      <c r="L49" s="44">
        <f>IF(C49=0,0,IF(4&gt;nLan,0,0.65*(IF('XA MU'!$B$25&lt;=4,'XA MU'!$E$25*$B$8*(MAX(0,1-ABS('XA MU'!$C$25-$D49)/xm_sT)+MAX(0,1-ABS('XA MU'!$D$25-$D49)/xm_sT)),0)+IF(ABS($D49-(xm_y0T+(xm_nT-1)/2*xm_sT))&lt;0.000001,IF('XA MU'!$B$25&lt;=4,'XA MU'!$E$25*$B$8*(IF('XA MU'!$C$25&gt;(xm_y0T+(xm_nT-1)/2*xm_sT),2*('XA MU'!$C$25-(xm_y0T+(xm_nT-1)/2*xm_sT))/xm_sT,0)+IF('XA MU'!$D$25&gt;(xm_y0T+(xm_nT-1)/2*xm_sT),2*('XA MU'!$D$25-(xm_y0T+(xm_nT-1)/2*xm_sT))/xm_sT,0)),0),0)+IF('XA MU'!$B$26&lt;=4,'XA MU'!$E$26*$B$8*(MAX(0,1-ABS('XA MU'!$C$26-$D49)/xm_sT)+MAX(0,1-ABS('XA MU'!$D$26-$D49)/xm_sT)),0)+IF(ABS($D49-(xm_y0T+(xm_nT-1)/2*xm_sT))&lt;0.000001,IF('XA MU'!$B$26&lt;=4,'XA MU'!$E$26*$B$8*(IF('XA MU'!$C$26&gt;(xm_y0T+(xm_nT-1)/2*xm_sT),2*('XA MU'!$C$26-(xm_y0T+(xm_nT-1)/2*xm_sT))/xm_sT,0)+IF('XA MU'!$D$26&gt;(xm_y0T+(xm_nT-1)/2*xm_sT),2*('XA MU'!$D$26-(xm_y0T+(xm_nT-1)/2*xm_sT))/xm_sT,0)),0),0)+IF('XA MU'!$B$27&lt;=4,'XA MU'!$E$27*$B$8*(MAX(0,1-ABS('XA MU'!$C$27-$D49)/xm_sT)+MAX(0,1-ABS('XA MU'!$D$27-$D49)/xm_sT)),0)+IF(ABS($D49-(xm_y0T+(xm_nT-1)/2*xm_sT))&lt;0.000001,IF('XA MU'!$B$27&lt;=4,'XA MU'!$E$27*$B$8*(IF('XA MU'!$C$27&gt;(xm_y0T+(xm_nT-1)/2*xm_sT),2*('XA MU'!$C$27-(xm_y0T+(xm_nT-1)/2*xm_sT))/xm_sT,0)+IF('XA MU'!$D$27&gt;(xm_y0T+(xm_nT-1)/2*xm_sT),2*('XA MU'!$D$27-(xm_y0T+(xm_nT-1)/2*xm_sT))/xm_sT,0)),0),0)+IF('XA MU'!$B$28&lt;=4,'XA MU'!$E$28*$B$8*(MAX(0,1-ABS('XA MU'!$C$28-$D49)/xm_sT)+MAX(0,1-ABS('XA MU'!$D$28-$D49)/xm_sT)),0)+IF(ABS($D49-(xm_y0T+(xm_nT-1)/2*xm_sT))&lt;0.000001,IF('XA MU'!$B$28&lt;=4,'XA MU'!$E$28*$B$8*(IF('XA MU'!$C$28&gt;(xm_y0T+(xm_nT-1)/2*xm_sT),2*('XA MU'!$C$28-(xm_y0T+(xm_nT-1)/2*xm_sT))/xm_sT,0)+IF('XA MU'!$D$28&gt;(xm_y0T+(xm_nT-1)/2*xm_sT),2*('XA MU'!$D$28-(xm_y0T+(xm_nT-1)/2*xm_sT))/xm_sT,0)),0),0)+IF('XA MU'!$B$29&lt;=4,'XA MU'!$E$29*$B$8*(MAX(0,1-ABS('XA MU'!$C$29-$D49)/xm_sT)+MAX(0,1-ABS('XA MU'!$D$29-$D49)/xm_sT)),0)+IF(ABS($D49-(xm_y0T+(xm_nT-1)/2*xm_sT))&lt;0.000001,IF('XA MU'!$B$29&lt;=4,'XA MU'!$E$29*$B$8*(IF('XA MU'!$C$29&gt;(xm_y0T+(xm_nT-1)/2*xm_sT),2*('XA MU'!$C$29-(xm_y0T+(xm_nT-1)/2*xm_sT))/xm_sT,0)+IF('XA MU'!$D$29&gt;(xm_y0T+(xm_nT-1)/2*xm_sT),2*('XA MU'!$D$29-(xm_y0T+(xm_nT-1)/2*xm_sT))/xm_sT,0)),0),0)+IF('XA MU'!$B$30&lt;=4,'XA MU'!$E$30*$B$8*(MAX(0,1-ABS('XA MU'!$C$30-$D49)/xm_sT)+MAX(0,1-ABS('XA MU'!$D$30-$D49)/xm_sT)),0)+IF(ABS($D49-(xm_y0T+(xm_nT-1)/2*xm_sT))&lt;0.000001,IF('XA MU'!$B$30&lt;=4,'XA MU'!$E$30*$B$8*(IF('XA MU'!$C$30&gt;(xm_y0T+(xm_nT-1)/2*xm_sT),2*('XA MU'!$C$30-(xm_y0T+(xm_nT-1)/2*xm_sT))/xm_sT,0)+IF('XA MU'!$D$30&gt;(xm_y0T+(xm_nT-1)/2*xm_sT),2*('XA MU'!$D$30-(xm_y0T+(xm_nT-1)/2*xm_sT))/xm_sT,0)),0),0))))</f>
        <v>0</v>
      </c>
      <c r="M49" s="44">
        <f>IF(C49=0,0,IF(5&gt;nLan,0,0.65*(IF('XA MU'!$B$25&lt;=5,'XA MU'!$E$25*$B$8*(MAX(0,1-ABS('XA MU'!$C$25-$D49)/xm_sT)+MAX(0,1-ABS('XA MU'!$D$25-$D49)/xm_sT)),0)+IF(ABS($D49-(xm_y0T+(xm_nT-1)/2*xm_sT))&lt;0.000001,IF('XA MU'!$B$25&lt;=5,'XA MU'!$E$25*$B$8*(IF('XA MU'!$C$25&gt;(xm_y0T+(xm_nT-1)/2*xm_sT),2*('XA MU'!$C$25-(xm_y0T+(xm_nT-1)/2*xm_sT))/xm_sT,0)+IF('XA MU'!$D$25&gt;(xm_y0T+(xm_nT-1)/2*xm_sT),2*('XA MU'!$D$25-(xm_y0T+(xm_nT-1)/2*xm_sT))/xm_sT,0)),0),0)+IF('XA MU'!$B$26&lt;=5,'XA MU'!$E$26*$B$8*(MAX(0,1-ABS('XA MU'!$C$26-$D49)/xm_sT)+MAX(0,1-ABS('XA MU'!$D$26-$D49)/xm_sT)),0)+IF(ABS($D49-(xm_y0T+(xm_nT-1)/2*xm_sT))&lt;0.000001,IF('XA MU'!$B$26&lt;=5,'XA MU'!$E$26*$B$8*(IF('XA MU'!$C$26&gt;(xm_y0T+(xm_nT-1)/2*xm_sT),2*('XA MU'!$C$26-(xm_y0T+(xm_nT-1)/2*xm_sT))/xm_sT,0)+IF('XA MU'!$D$26&gt;(xm_y0T+(xm_nT-1)/2*xm_sT),2*('XA MU'!$D$26-(xm_y0T+(xm_nT-1)/2*xm_sT))/xm_sT,0)),0),0)+IF('XA MU'!$B$27&lt;=5,'XA MU'!$E$27*$B$8*(MAX(0,1-ABS('XA MU'!$C$27-$D49)/xm_sT)+MAX(0,1-ABS('XA MU'!$D$27-$D49)/xm_sT)),0)+IF(ABS($D49-(xm_y0T+(xm_nT-1)/2*xm_sT))&lt;0.000001,IF('XA MU'!$B$27&lt;=5,'XA MU'!$E$27*$B$8*(IF('XA MU'!$C$27&gt;(xm_y0T+(xm_nT-1)/2*xm_sT),2*('XA MU'!$C$27-(xm_y0T+(xm_nT-1)/2*xm_sT))/xm_sT,0)+IF('XA MU'!$D$27&gt;(xm_y0T+(xm_nT-1)/2*xm_sT),2*('XA MU'!$D$27-(xm_y0T+(xm_nT-1)/2*xm_sT))/xm_sT,0)),0),0)+IF('XA MU'!$B$28&lt;=5,'XA MU'!$E$28*$B$8*(MAX(0,1-ABS('XA MU'!$C$28-$D49)/xm_sT)+MAX(0,1-ABS('XA MU'!$D$28-$D49)/xm_sT)),0)+IF(ABS($D49-(xm_y0T+(xm_nT-1)/2*xm_sT))&lt;0.000001,IF('XA MU'!$B$28&lt;=5,'XA MU'!$E$28*$B$8*(IF('XA MU'!$C$28&gt;(xm_y0T+(xm_nT-1)/2*xm_sT),2*('XA MU'!$C$28-(xm_y0T+(xm_nT-1)/2*xm_sT))/xm_sT,0)+IF('XA MU'!$D$28&gt;(xm_y0T+(xm_nT-1)/2*xm_sT),2*('XA MU'!$D$28-(xm_y0T+(xm_nT-1)/2*xm_sT))/xm_sT,0)),0),0)+IF('XA MU'!$B$29&lt;=5,'XA MU'!$E$29*$B$8*(MAX(0,1-ABS('XA MU'!$C$29-$D49)/xm_sT)+MAX(0,1-ABS('XA MU'!$D$29-$D49)/xm_sT)),0)+IF(ABS($D49-(xm_y0T+(xm_nT-1)/2*xm_sT))&lt;0.000001,IF('XA MU'!$B$29&lt;=5,'XA MU'!$E$29*$B$8*(IF('XA MU'!$C$29&gt;(xm_y0T+(xm_nT-1)/2*xm_sT),2*('XA MU'!$C$29-(xm_y0T+(xm_nT-1)/2*xm_sT))/xm_sT,0)+IF('XA MU'!$D$29&gt;(xm_y0T+(xm_nT-1)/2*xm_sT),2*('XA MU'!$D$29-(xm_y0T+(xm_nT-1)/2*xm_sT))/xm_sT,0)),0),0)+IF('XA MU'!$B$30&lt;=5,'XA MU'!$E$30*$B$8*(MAX(0,1-ABS('XA MU'!$C$30-$D49)/xm_sT)+MAX(0,1-ABS('XA MU'!$D$30-$D49)/xm_sT)),0)+IF(ABS($D49-(xm_y0T+(xm_nT-1)/2*xm_sT))&lt;0.000001,IF('XA MU'!$B$30&lt;=5,'XA MU'!$E$30*$B$8*(IF('XA MU'!$C$30&gt;(xm_y0T+(xm_nT-1)/2*xm_sT),2*('XA MU'!$C$30-(xm_y0T+(xm_nT-1)/2*xm_sT))/xm_sT,0)+IF('XA MU'!$D$30&gt;(xm_y0T+(xm_nT-1)/2*xm_sT),2*('XA MU'!$D$30-(xm_y0T+(xm_nT-1)/2*xm_sT))/xm_sT,0)),0),0))))</f>
        <v>0</v>
      </c>
      <c r="N49" s="44">
        <f>IF(C49=0,0,IF(6&gt;nLan,0,0.65*(IF('XA MU'!$B$25&lt;=6,'XA MU'!$E$25*$B$8*(MAX(0,1-ABS('XA MU'!$C$25-$D49)/xm_sT)+MAX(0,1-ABS('XA MU'!$D$25-$D49)/xm_sT)),0)+IF(ABS($D49-(xm_y0T+(xm_nT-1)/2*xm_sT))&lt;0.000001,IF('XA MU'!$B$25&lt;=6,'XA MU'!$E$25*$B$8*(IF('XA MU'!$C$25&gt;(xm_y0T+(xm_nT-1)/2*xm_sT),2*('XA MU'!$C$25-(xm_y0T+(xm_nT-1)/2*xm_sT))/xm_sT,0)+IF('XA MU'!$D$25&gt;(xm_y0T+(xm_nT-1)/2*xm_sT),2*('XA MU'!$D$25-(xm_y0T+(xm_nT-1)/2*xm_sT))/xm_sT,0)),0),0)+IF('XA MU'!$B$26&lt;=6,'XA MU'!$E$26*$B$8*(MAX(0,1-ABS('XA MU'!$C$26-$D49)/xm_sT)+MAX(0,1-ABS('XA MU'!$D$26-$D49)/xm_sT)),0)+IF(ABS($D49-(xm_y0T+(xm_nT-1)/2*xm_sT))&lt;0.000001,IF('XA MU'!$B$26&lt;=6,'XA MU'!$E$26*$B$8*(IF('XA MU'!$C$26&gt;(xm_y0T+(xm_nT-1)/2*xm_sT),2*('XA MU'!$C$26-(xm_y0T+(xm_nT-1)/2*xm_sT))/xm_sT,0)+IF('XA MU'!$D$26&gt;(xm_y0T+(xm_nT-1)/2*xm_sT),2*('XA MU'!$D$26-(xm_y0T+(xm_nT-1)/2*xm_sT))/xm_sT,0)),0),0)+IF('XA MU'!$B$27&lt;=6,'XA MU'!$E$27*$B$8*(MAX(0,1-ABS('XA MU'!$C$27-$D49)/xm_sT)+MAX(0,1-ABS('XA MU'!$D$27-$D49)/xm_sT)),0)+IF(ABS($D49-(xm_y0T+(xm_nT-1)/2*xm_sT))&lt;0.000001,IF('XA MU'!$B$27&lt;=6,'XA MU'!$E$27*$B$8*(IF('XA MU'!$C$27&gt;(xm_y0T+(xm_nT-1)/2*xm_sT),2*('XA MU'!$C$27-(xm_y0T+(xm_nT-1)/2*xm_sT))/xm_sT,0)+IF('XA MU'!$D$27&gt;(xm_y0T+(xm_nT-1)/2*xm_sT),2*('XA MU'!$D$27-(xm_y0T+(xm_nT-1)/2*xm_sT))/xm_sT,0)),0),0)+IF('XA MU'!$B$28&lt;=6,'XA MU'!$E$28*$B$8*(MAX(0,1-ABS('XA MU'!$C$28-$D49)/xm_sT)+MAX(0,1-ABS('XA MU'!$D$28-$D49)/xm_sT)),0)+IF(ABS($D49-(xm_y0T+(xm_nT-1)/2*xm_sT))&lt;0.000001,IF('XA MU'!$B$28&lt;=6,'XA MU'!$E$28*$B$8*(IF('XA MU'!$C$28&gt;(xm_y0T+(xm_nT-1)/2*xm_sT),2*('XA MU'!$C$28-(xm_y0T+(xm_nT-1)/2*xm_sT))/xm_sT,0)+IF('XA MU'!$D$28&gt;(xm_y0T+(xm_nT-1)/2*xm_sT),2*('XA MU'!$D$28-(xm_y0T+(xm_nT-1)/2*xm_sT))/xm_sT,0)),0),0)+IF('XA MU'!$B$29&lt;=6,'XA MU'!$E$29*$B$8*(MAX(0,1-ABS('XA MU'!$C$29-$D49)/xm_sT)+MAX(0,1-ABS('XA MU'!$D$29-$D49)/xm_sT)),0)+IF(ABS($D49-(xm_y0T+(xm_nT-1)/2*xm_sT))&lt;0.000001,IF('XA MU'!$B$29&lt;=6,'XA MU'!$E$29*$B$8*(IF('XA MU'!$C$29&gt;(xm_y0T+(xm_nT-1)/2*xm_sT),2*('XA MU'!$C$29-(xm_y0T+(xm_nT-1)/2*xm_sT))/xm_sT,0)+IF('XA MU'!$D$29&gt;(xm_y0T+(xm_nT-1)/2*xm_sT),2*('XA MU'!$D$29-(xm_y0T+(xm_nT-1)/2*xm_sT))/xm_sT,0)),0),0)+IF('XA MU'!$B$30&lt;=6,'XA MU'!$E$30*$B$8*(MAX(0,1-ABS('XA MU'!$C$30-$D49)/xm_sT)+MAX(0,1-ABS('XA MU'!$D$30-$D49)/xm_sT)),0)+IF(ABS($D49-(xm_y0T+(xm_nT-1)/2*xm_sT))&lt;0.000001,IF('XA MU'!$B$30&lt;=6,'XA MU'!$E$30*$B$8*(IF('XA MU'!$C$30&gt;(xm_y0T+(xm_nT-1)/2*xm_sT),2*('XA MU'!$C$30-(xm_y0T+(xm_nT-1)/2*xm_sT))/xm_sT,0)+IF('XA MU'!$D$30&gt;(xm_y0T+(xm_nT-1)/2*xm_sT),2*('XA MU'!$D$30-(xm_y0T+(xm_nT-1)/2*xm_sT))/xm_sT,0)),0),0))))</f>
        <v>0</v>
      </c>
    </row>
    <row r="50" spans="1:14" x14ac:dyDescent="0.3">
      <c r="A50" s="42" t="s">
        <v>1235</v>
      </c>
      <c r="B50" s="42">
        <v>36</v>
      </c>
      <c r="C50" s="40">
        <f t="shared" si="0"/>
        <v>0</v>
      </c>
      <c r="D50" s="44">
        <f t="shared" si="1"/>
        <v>0</v>
      </c>
      <c r="E50" s="44">
        <f>MAX(0,D50-'XA MU'!$C$8)*C50</f>
        <v>0</v>
      </c>
      <c r="F50" s="44">
        <f>IF(AND(C50=1,D50&gt;'XA MU'!$C$8),1,0)</f>
        <v>0</v>
      </c>
      <c r="G50" s="44">
        <f t="shared" si="2"/>
        <v>0</v>
      </c>
      <c r="H50" s="44">
        <f t="shared" si="3"/>
        <v>0</v>
      </c>
      <c r="I50" s="44">
        <f>IF(C50=0,0,IF(1&gt;nLan,0,1.2*(IF('XA MU'!$B$25&lt;=1,'XA MU'!$E$25*$B$8*(MAX(0,1-ABS('XA MU'!$C$25-$D50)/xm_sT)+MAX(0,1-ABS('XA MU'!$D$25-$D50)/xm_sT)),0)+IF(ABS($D50-(xm_y0T+(xm_nT-1)/2*xm_sT))&lt;0.000001,IF('XA MU'!$B$25&lt;=1,'XA MU'!$E$25*$B$8*(IF('XA MU'!$C$25&gt;(xm_y0T+(xm_nT-1)/2*xm_sT),2*('XA MU'!$C$25-(xm_y0T+(xm_nT-1)/2*xm_sT))/xm_sT,0)+IF('XA MU'!$D$25&gt;(xm_y0T+(xm_nT-1)/2*xm_sT),2*('XA MU'!$D$25-(xm_y0T+(xm_nT-1)/2*xm_sT))/xm_sT,0)),0),0)+IF('XA MU'!$B$26&lt;=1,'XA MU'!$E$26*$B$8*(MAX(0,1-ABS('XA MU'!$C$26-$D50)/xm_sT)+MAX(0,1-ABS('XA MU'!$D$26-$D50)/xm_sT)),0)+IF(ABS($D50-(xm_y0T+(xm_nT-1)/2*xm_sT))&lt;0.000001,IF('XA MU'!$B$26&lt;=1,'XA MU'!$E$26*$B$8*(IF('XA MU'!$C$26&gt;(xm_y0T+(xm_nT-1)/2*xm_sT),2*('XA MU'!$C$26-(xm_y0T+(xm_nT-1)/2*xm_sT))/xm_sT,0)+IF('XA MU'!$D$26&gt;(xm_y0T+(xm_nT-1)/2*xm_sT),2*('XA MU'!$D$26-(xm_y0T+(xm_nT-1)/2*xm_sT))/xm_sT,0)),0),0)+IF('XA MU'!$B$27&lt;=1,'XA MU'!$E$27*$B$8*(MAX(0,1-ABS('XA MU'!$C$27-$D50)/xm_sT)+MAX(0,1-ABS('XA MU'!$D$27-$D50)/xm_sT)),0)+IF(ABS($D50-(xm_y0T+(xm_nT-1)/2*xm_sT))&lt;0.000001,IF('XA MU'!$B$27&lt;=1,'XA MU'!$E$27*$B$8*(IF('XA MU'!$C$27&gt;(xm_y0T+(xm_nT-1)/2*xm_sT),2*('XA MU'!$C$27-(xm_y0T+(xm_nT-1)/2*xm_sT))/xm_sT,0)+IF('XA MU'!$D$27&gt;(xm_y0T+(xm_nT-1)/2*xm_sT),2*('XA MU'!$D$27-(xm_y0T+(xm_nT-1)/2*xm_sT))/xm_sT,0)),0),0)+IF('XA MU'!$B$28&lt;=1,'XA MU'!$E$28*$B$8*(MAX(0,1-ABS('XA MU'!$C$28-$D50)/xm_sT)+MAX(0,1-ABS('XA MU'!$D$28-$D50)/xm_sT)),0)+IF(ABS($D50-(xm_y0T+(xm_nT-1)/2*xm_sT))&lt;0.000001,IF('XA MU'!$B$28&lt;=1,'XA MU'!$E$28*$B$8*(IF('XA MU'!$C$28&gt;(xm_y0T+(xm_nT-1)/2*xm_sT),2*('XA MU'!$C$28-(xm_y0T+(xm_nT-1)/2*xm_sT))/xm_sT,0)+IF('XA MU'!$D$28&gt;(xm_y0T+(xm_nT-1)/2*xm_sT),2*('XA MU'!$D$28-(xm_y0T+(xm_nT-1)/2*xm_sT))/xm_sT,0)),0),0)+IF('XA MU'!$B$29&lt;=1,'XA MU'!$E$29*$B$8*(MAX(0,1-ABS('XA MU'!$C$29-$D50)/xm_sT)+MAX(0,1-ABS('XA MU'!$D$29-$D50)/xm_sT)),0)+IF(ABS($D50-(xm_y0T+(xm_nT-1)/2*xm_sT))&lt;0.000001,IF('XA MU'!$B$29&lt;=1,'XA MU'!$E$29*$B$8*(IF('XA MU'!$C$29&gt;(xm_y0T+(xm_nT-1)/2*xm_sT),2*('XA MU'!$C$29-(xm_y0T+(xm_nT-1)/2*xm_sT))/xm_sT,0)+IF('XA MU'!$D$29&gt;(xm_y0T+(xm_nT-1)/2*xm_sT),2*('XA MU'!$D$29-(xm_y0T+(xm_nT-1)/2*xm_sT))/xm_sT,0)),0),0)+IF('XA MU'!$B$30&lt;=1,'XA MU'!$E$30*$B$8*(MAX(0,1-ABS('XA MU'!$C$30-$D50)/xm_sT)+MAX(0,1-ABS('XA MU'!$D$30-$D50)/xm_sT)),0)+IF(ABS($D50-(xm_y0T+(xm_nT-1)/2*xm_sT))&lt;0.000001,IF('XA MU'!$B$30&lt;=1,'XA MU'!$E$30*$B$8*(IF('XA MU'!$C$30&gt;(xm_y0T+(xm_nT-1)/2*xm_sT),2*('XA MU'!$C$30-(xm_y0T+(xm_nT-1)/2*xm_sT))/xm_sT,0)+IF('XA MU'!$D$30&gt;(xm_y0T+(xm_nT-1)/2*xm_sT),2*('XA MU'!$D$30-(xm_y0T+(xm_nT-1)/2*xm_sT))/xm_sT,0)),0),0))))</f>
        <v>0</v>
      </c>
      <c r="J50" s="44">
        <f>IF(C50=0,0,IF(2&gt;nLan,0,1*(IF('XA MU'!$B$25&lt;=2,'XA MU'!$E$25*$B$8*(MAX(0,1-ABS('XA MU'!$C$25-$D50)/xm_sT)+MAX(0,1-ABS('XA MU'!$D$25-$D50)/xm_sT)),0)+IF(ABS($D50-(xm_y0T+(xm_nT-1)/2*xm_sT))&lt;0.000001,IF('XA MU'!$B$25&lt;=2,'XA MU'!$E$25*$B$8*(IF('XA MU'!$C$25&gt;(xm_y0T+(xm_nT-1)/2*xm_sT),2*('XA MU'!$C$25-(xm_y0T+(xm_nT-1)/2*xm_sT))/xm_sT,0)+IF('XA MU'!$D$25&gt;(xm_y0T+(xm_nT-1)/2*xm_sT),2*('XA MU'!$D$25-(xm_y0T+(xm_nT-1)/2*xm_sT))/xm_sT,0)),0),0)+IF('XA MU'!$B$26&lt;=2,'XA MU'!$E$26*$B$8*(MAX(0,1-ABS('XA MU'!$C$26-$D50)/xm_sT)+MAX(0,1-ABS('XA MU'!$D$26-$D50)/xm_sT)),0)+IF(ABS($D50-(xm_y0T+(xm_nT-1)/2*xm_sT))&lt;0.000001,IF('XA MU'!$B$26&lt;=2,'XA MU'!$E$26*$B$8*(IF('XA MU'!$C$26&gt;(xm_y0T+(xm_nT-1)/2*xm_sT),2*('XA MU'!$C$26-(xm_y0T+(xm_nT-1)/2*xm_sT))/xm_sT,0)+IF('XA MU'!$D$26&gt;(xm_y0T+(xm_nT-1)/2*xm_sT),2*('XA MU'!$D$26-(xm_y0T+(xm_nT-1)/2*xm_sT))/xm_sT,0)),0),0)+IF('XA MU'!$B$27&lt;=2,'XA MU'!$E$27*$B$8*(MAX(0,1-ABS('XA MU'!$C$27-$D50)/xm_sT)+MAX(0,1-ABS('XA MU'!$D$27-$D50)/xm_sT)),0)+IF(ABS($D50-(xm_y0T+(xm_nT-1)/2*xm_sT))&lt;0.000001,IF('XA MU'!$B$27&lt;=2,'XA MU'!$E$27*$B$8*(IF('XA MU'!$C$27&gt;(xm_y0T+(xm_nT-1)/2*xm_sT),2*('XA MU'!$C$27-(xm_y0T+(xm_nT-1)/2*xm_sT))/xm_sT,0)+IF('XA MU'!$D$27&gt;(xm_y0T+(xm_nT-1)/2*xm_sT),2*('XA MU'!$D$27-(xm_y0T+(xm_nT-1)/2*xm_sT))/xm_sT,0)),0),0)+IF('XA MU'!$B$28&lt;=2,'XA MU'!$E$28*$B$8*(MAX(0,1-ABS('XA MU'!$C$28-$D50)/xm_sT)+MAX(0,1-ABS('XA MU'!$D$28-$D50)/xm_sT)),0)+IF(ABS($D50-(xm_y0T+(xm_nT-1)/2*xm_sT))&lt;0.000001,IF('XA MU'!$B$28&lt;=2,'XA MU'!$E$28*$B$8*(IF('XA MU'!$C$28&gt;(xm_y0T+(xm_nT-1)/2*xm_sT),2*('XA MU'!$C$28-(xm_y0T+(xm_nT-1)/2*xm_sT))/xm_sT,0)+IF('XA MU'!$D$28&gt;(xm_y0T+(xm_nT-1)/2*xm_sT),2*('XA MU'!$D$28-(xm_y0T+(xm_nT-1)/2*xm_sT))/xm_sT,0)),0),0)+IF('XA MU'!$B$29&lt;=2,'XA MU'!$E$29*$B$8*(MAX(0,1-ABS('XA MU'!$C$29-$D50)/xm_sT)+MAX(0,1-ABS('XA MU'!$D$29-$D50)/xm_sT)),0)+IF(ABS($D50-(xm_y0T+(xm_nT-1)/2*xm_sT))&lt;0.000001,IF('XA MU'!$B$29&lt;=2,'XA MU'!$E$29*$B$8*(IF('XA MU'!$C$29&gt;(xm_y0T+(xm_nT-1)/2*xm_sT),2*('XA MU'!$C$29-(xm_y0T+(xm_nT-1)/2*xm_sT))/xm_sT,0)+IF('XA MU'!$D$29&gt;(xm_y0T+(xm_nT-1)/2*xm_sT),2*('XA MU'!$D$29-(xm_y0T+(xm_nT-1)/2*xm_sT))/xm_sT,0)),0),0)+IF('XA MU'!$B$30&lt;=2,'XA MU'!$E$30*$B$8*(MAX(0,1-ABS('XA MU'!$C$30-$D50)/xm_sT)+MAX(0,1-ABS('XA MU'!$D$30-$D50)/xm_sT)),0)+IF(ABS($D50-(xm_y0T+(xm_nT-1)/2*xm_sT))&lt;0.000001,IF('XA MU'!$B$30&lt;=2,'XA MU'!$E$30*$B$8*(IF('XA MU'!$C$30&gt;(xm_y0T+(xm_nT-1)/2*xm_sT),2*('XA MU'!$C$30-(xm_y0T+(xm_nT-1)/2*xm_sT))/xm_sT,0)+IF('XA MU'!$D$30&gt;(xm_y0T+(xm_nT-1)/2*xm_sT),2*('XA MU'!$D$30-(xm_y0T+(xm_nT-1)/2*xm_sT))/xm_sT,0)),0),0))))</f>
        <v>0</v>
      </c>
      <c r="K50" s="44">
        <f>IF(C50=0,0,IF(3&gt;nLan,0,0.85*(IF('XA MU'!$B$25&lt;=3,'XA MU'!$E$25*$B$8*(MAX(0,1-ABS('XA MU'!$C$25-$D50)/xm_sT)+MAX(0,1-ABS('XA MU'!$D$25-$D50)/xm_sT)),0)+IF(ABS($D50-(xm_y0T+(xm_nT-1)/2*xm_sT))&lt;0.000001,IF('XA MU'!$B$25&lt;=3,'XA MU'!$E$25*$B$8*(IF('XA MU'!$C$25&gt;(xm_y0T+(xm_nT-1)/2*xm_sT),2*('XA MU'!$C$25-(xm_y0T+(xm_nT-1)/2*xm_sT))/xm_sT,0)+IF('XA MU'!$D$25&gt;(xm_y0T+(xm_nT-1)/2*xm_sT),2*('XA MU'!$D$25-(xm_y0T+(xm_nT-1)/2*xm_sT))/xm_sT,0)),0),0)+IF('XA MU'!$B$26&lt;=3,'XA MU'!$E$26*$B$8*(MAX(0,1-ABS('XA MU'!$C$26-$D50)/xm_sT)+MAX(0,1-ABS('XA MU'!$D$26-$D50)/xm_sT)),0)+IF(ABS($D50-(xm_y0T+(xm_nT-1)/2*xm_sT))&lt;0.000001,IF('XA MU'!$B$26&lt;=3,'XA MU'!$E$26*$B$8*(IF('XA MU'!$C$26&gt;(xm_y0T+(xm_nT-1)/2*xm_sT),2*('XA MU'!$C$26-(xm_y0T+(xm_nT-1)/2*xm_sT))/xm_sT,0)+IF('XA MU'!$D$26&gt;(xm_y0T+(xm_nT-1)/2*xm_sT),2*('XA MU'!$D$26-(xm_y0T+(xm_nT-1)/2*xm_sT))/xm_sT,0)),0),0)+IF('XA MU'!$B$27&lt;=3,'XA MU'!$E$27*$B$8*(MAX(0,1-ABS('XA MU'!$C$27-$D50)/xm_sT)+MAX(0,1-ABS('XA MU'!$D$27-$D50)/xm_sT)),0)+IF(ABS($D50-(xm_y0T+(xm_nT-1)/2*xm_sT))&lt;0.000001,IF('XA MU'!$B$27&lt;=3,'XA MU'!$E$27*$B$8*(IF('XA MU'!$C$27&gt;(xm_y0T+(xm_nT-1)/2*xm_sT),2*('XA MU'!$C$27-(xm_y0T+(xm_nT-1)/2*xm_sT))/xm_sT,0)+IF('XA MU'!$D$27&gt;(xm_y0T+(xm_nT-1)/2*xm_sT),2*('XA MU'!$D$27-(xm_y0T+(xm_nT-1)/2*xm_sT))/xm_sT,0)),0),0)+IF('XA MU'!$B$28&lt;=3,'XA MU'!$E$28*$B$8*(MAX(0,1-ABS('XA MU'!$C$28-$D50)/xm_sT)+MAX(0,1-ABS('XA MU'!$D$28-$D50)/xm_sT)),0)+IF(ABS($D50-(xm_y0T+(xm_nT-1)/2*xm_sT))&lt;0.000001,IF('XA MU'!$B$28&lt;=3,'XA MU'!$E$28*$B$8*(IF('XA MU'!$C$28&gt;(xm_y0T+(xm_nT-1)/2*xm_sT),2*('XA MU'!$C$28-(xm_y0T+(xm_nT-1)/2*xm_sT))/xm_sT,0)+IF('XA MU'!$D$28&gt;(xm_y0T+(xm_nT-1)/2*xm_sT),2*('XA MU'!$D$28-(xm_y0T+(xm_nT-1)/2*xm_sT))/xm_sT,0)),0),0)+IF('XA MU'!$B$29&lt;=3,'XA MU'!$E$29*$B$8*(MAX(0,1-ABS('XA MU'!$C$29-$D50)/xm_sT)+MAX(0,1-ABS('XA MU'!$D$29-$D50)/xm_sT)),0)+IF(ABS($D50-(xm_y0T+(xm_nT-1)/2*xm_sT))&lt;0.000001,IF('XA MU'!$B$29&lt;=3,'XA MU'!$E$29*$B$8*(IF('XA MU'!$C$29&gt;(xm_y0T+(xm_nT-1)/2*xm_sT),2*('XA MU'!$C$29-(xm_y0T+(xm_nT-1)/2*xm_sT))/xm_sT,0)+IF('XA MU'!$D$29&gt;(xm_y0T+(xm_nT-1)/2*xm_sT),2*('XA MU'!$D$29-(xm_y0T+(xm_nT-1)/2*xm_sT))/xm_sT,0)),0),0)+IF('XA MU'!$B$30&lt;=3,'XA MU'!$E$30*$B$8*(MAX(0,1-ABS('XA MU'!$C$30-$D50)/xm_sT)+MAX(0,1-ABS('XA MU'!$D$30-$D50)/xm_sT)),0)+IF(ABS($D50-(xm_y0T+(xm_nT-1)/2*xm_sT))&lt;0.000001,IF('XA MU'!$B$30&lt;=3,'XA MU'!$E$30*$B$8*(IF('XA MU'!$C$30&gt;(xm_y0T+(xm_nT-1)/2*xm_sT),2*('XA MU'!$C$30-(xm_y0T+(xm_nT-1)/2*xm_sT))/xm_sT,0)+IF('XA MU'!$D$30&gt;(xm_y0T+(xm_nT-1)/2*xm_sT),2*('XA MU'!$D$30-(xm_y0T+(xm_nT-1)/2*xm_sT))/xm_sT,0)),0),0))))</f>
        <v>0</v>
      </c>
      <c r="L50" s="44">
        <f>IF(C50=0,0,IF(4&gt;nLan,0,0.65*(IF('XA MU'!$B$25&lt;=4,'XA MU'!$E$25*$B$8*(MAX(0,1-ABS('XA MU'!$C$25-$D50)/xm_sT)+MAX(0,1-ABS('XA MU'!$D$25-$D50)/xm_sT)),0)+IF(ABS($D50-(xm_y0T+(xm_nT-1)/2*xm_sT))&lt;0.000001,IF('XA MU'!$B$25&lt;=4,'XA MU'!$E$25*$B$8*(IF('XA MU'!$C$25&gt;(xm_y0T+(xm_nT-1)/2*xm_sT),2*('XA MU'!$C$25-(xm_y0T+(xm_nT-1)/2*xm_sT))/xm_sT,0)+IF('XA MU'!$D$25&gt;(xm_y0T+(xm_nT-1)/2*xm_sT),2*('XA MU'!$D$25-(xm_y0T+(xm_nT-1)/2*xm_sT))/xm_sT,0)),0),0)+IF('XA MU'!$B$26&lt;=4,'XA MU'!$E$26*$B$8*(MAX(0,1-ABS('XA MU'!$C$26-$D50)/xm_sT)+MAX(0,1-ABS('XA MU'!$D$26-$D50)/xm_sT)),0)+IF(ABS($D50-(xm_y0T+(xm_nT-1)/2*xm_sT))&lt;0.000001,IF('XA MU'!$B$26&lt;=4,'XA MU'!$E$26*$B$8*(IF('XA MU'!$C$26&gt;(xm_y0T+(xm_nT-1)/2*xm_sT),2*('XA MU'!$C$26-(xm_y0T+(xm_nT-1)/2*xm_sT))/xm_sT,0)+IF('XA MU'!$D$26&gt;(xm_y0T+(xm_nT-1)/2*xm_sT),2*('XA MU'!$D$26-(xm_y0T+(xm_nT-1)/2*xm_sT))/xm_sT,0)),0),0)+IF('XA MU'!$B$27&lt;=4,'XA MU'!$E$27*$B$8*(MAX(0,1-ABS('XA MU'!$C$27-$D50)/xm_sT)+MAX(0,1-ABS('XA MU'!$D$27-$D50)/xm_sT)),0)+IF(ABS($D50-(xm_y0T+(xm_nT-1)/2*xm_sT))&lt;0.000001,IF('XA MU'!$B$27&lt;=4,'XA MU'!$E$27*$B$8*(IF('XA MU'!$C$27&gt;(xm_y0T+(xm_nT-1)/2*xm_sT),2*('XA MU'!$C$27-(xm_y0T+(xm_nT-1)/2*xm_sT))/xm_sT,0)+IF('XA MU'!$D$27&gt;(xm_y0T+(xm_nT-1)/2*xm_sT),2*('XA MU'!$D$27-(xm_y0T+(xm_nT-1)/2*xm_sT))/xm_sT,0)),0),0)+IF('XA MU'!$B$28&lt;=4,'XA MU'!$E$28*$B$8*(MAX(0,1-ABS('XA MU'!$C$28-$D50)/xm_sT)+MAX(0,1-ABS('XA MU'!$D$28-$D50)/xm_sT)),0)+IF(ABS($D50-(xm_y0T+(xm_nT-1)/2*xm_sT))&lt;0.000001,IF('XA MU'!$B$28&lt;=4,'XA MU'!$E$28*$B$8*(IF('XA MU'!$C$28&gt;(xm_y0T+(xm_nT-1)/2*xm_sT),2*('XA MU'!$C$28-(xm_y0T+(xm_nT-1)/2*xm_sT))/xm_sT,0)+IF('XA MU'!$D$28&gt;(xm_y0T+(xm_nT-1)/2*xm_sT),2*('XA MU'!$D$28-(xm_y0T+(xm_nT-1)/2*xm_sT))/xm_sT,0)),0),0)+IF('XA MU'!$B$29&lt;=4,'XA MU'!$E$29*$B$8*(MAX(0,1-ABS('XA MU'!$C$29-$D50)/xm_sT)+MAX(0,1-ABS('XA MU'!$D$29-$D50)/xm_sT)),0)+IF(ABS($D50-(xm_y0T+(xm_nT-1)/2*xm_sT))&lt;0.000001,IF('XA MU'!$B$29&lt;=4,'XA MU'!$E$29*$B$8*(IF('XA MU'!$C$29&gt;(xm_y0T+(xm_nT-1)/2*xm_sT),2*('XA MU'!$C$29-(xm_y0T+(xm_nT-1)/2*xm_sT))/xm_sT,0)+IF('XA MU'!$D$29&gt;(xm_y0T+(xm_nT-1)/2*xm_sT),2*('XA MU'!$D$29-(xm_y0T+(xm_nT-1)/2*xm_sT))/xm_sT,0)),0),0)+IF('XA MU'!$B$30&lt;=4,'XA MU'!$E$30*$B$8*(MAX(0,1-ABS('XA MU'!$C$30-$D50)/xm_sT)+MAX(0,1-ABS('XA MU'!$D$30-$D50)/xm_sT)),0)+IF(ABS($D50-(xm_y0T+(xm_nT-1)/2*xm_sT))&lt;0.000001,IF('XA MU'!$B$30&lt;=4,'XA MU'!$E$30*$B$8*(IF('XA MU'!$C$30&gt;(xm_y0T+(xm_nT-1)/2*xm_sT),2*('XA MU'!$C$30-(xm_y0T+(xm_nT-1)/2*xm_sT))/xm_sT,0)+IF('XA MU'!$D$30&gt;(xm_y0T+(xm_nT-1)/2*xm_sT),2*('XA MU'!$D$30-(xm_y0T+(xm_nT-1)/2*xm_sT))/xm_sT,0)),0),0))))</f>
        <v>0</v>
      </c>
      <c r="M50" s="44">
        <f>IF(C50=0,0,IF(5&gt;nLan,0,0.65*(IF('XA MU'!$B$25&lt;=5,'XA MU'!$E$25*$B$8*(MAX(0,1-ABS('XA MU'!$C$25-$D50)/xm_sT)+MAX(0,1-ABS('XA MU'!$D$25-$D50)/xm_sT)),0)+IF(ABS($D50-(xm_y0T+(xm_nT-1)/2*xm_sT))&lt;0.000001,IF('XA MU'!$B$25&lt;=5,'XA MU'!$E$25*$B$8*(IF('XA MU'!$C$25&gt;(xm_y0T+(xm_nT-1)/2*xm_sT),2*('XA MU'!$C$25-(xm_y0T+(xm_nT-1)/2*xm_sT))/xm_sT,0)+IF('XA MU'!$D$25&gt;(xm_y0T+(xm_nT-1)/2*xm_sT),2*('XA MU'!$D$25-(xm_y0T+(xm_nT-1)/2*xm_sT))/xm_sT,0)),0),0)+IF('XA MU'!$B$26&lt;=5,'XA MU'!$E$26*$B$8*(MAX(0,1-ABS('XA MU'!$C$26-$D50)/xm_sT)+MAX(0,1-ABS('XA MU'!$D$26-$D50)/xm_sT)),0)+IF(ABS($D50-(xm_y0T+(xm_nT-1)/2*xm_sT))&lt;0.000001,IF('XA MU'!$B$26&lt;=5,'XA MU'!$E$26*$B$8*(IF('XA MU'!$C$26&gt;(xm_y0T+(xm_nT-1)/2*xm_sT),2*('XA MU'!$C$26-(xm_y0T+(xm_nT-1)/2*xm_sT))/xm_sT,0)+IF('XA MU'!$D$26&gt;(xm_y0T+(xm_nT-1)/2*xm_sT),2*('XA MU'!$D$26-(xm_y0T+(xm_nT-1)/2*xm_sT))/xm_sT,0)),0),0)+IF('XA MU'!$B$27&lt;=5,'XA MU'!$E$27*$B$8*(MAX(0,1-ABS('XA MU'!$C$27-$D50)/xm_sT)+MAX(0,1-ABS('XA MU'!$D$27-$D50)/xm_sT)),0)+IF(ABS($D50-(xm_y0T+(xm_nT-1)/2*xm_sT))&lt;0.000001,IF('XA MU'!$B$27&lt;=5,'XA MU'!$E$27*$B$8*(IF('XA MU'!$C$27&gt;(xm_y0T+(xm_nT-1)/2*xm_sT),2*('XA MU'!$C$27-(xm_y0T+(xm_nT-1)/2*xm_sT))/xm_sT,0)+IF('XA MU'!$D$27&gt;(xm_y0T+(xm_nT-1)/2*xm_sT),2*('XA MU'!$D$27-(xm_y0T+(xm_nT-1)/2*xm_sT))/xm_sT,0)),0),0)+IF('XA MU'!$B$28&lt;=5,'XA MU'!$E$28*$B$8*(MAX(0,1-ABS('XA MU'!$C$28-$D50)/xm_sT)+MAX(0,1-ABS('XA MU'!$D$28-$D50)/xm_sT)),0)+IF(ABS($D50-(xm_y0T+(xm_nT-1)/2*xm_sT))&lt;0.000001,IF('XA MU'!$B$28&lt;=5,'XA MU'!$E$28*$B$8*(IF('XA MU'!$C$28&gt;(xm_y0T+(xm_nT-1)/2*xm_sT),2*('XA MU'!$C$28-(xm_y0T+(xm_nT-1)/2*xm_sT))/xm_sT,0)+IF('XA MU'!$D$28&gt;(xm_y0T+(xm_nT-1)/2*xm_sT),2*('XA MU'!$D$28-(xm_y0T+(xm_nT-1)/2*xm_sT))/xm_sT,0)),0),0)+IF('XA MU'!$B$29&lt;=5,'XA MU'!$E$29*$B$8*(MAX(0,1-ABS('XA MU'!$C$29-$D50)/xm_sT)+MAX(0,1-ABS('XA MU'!$D$29-$D50)/xm_sT)),0)+IF(ABS($D50-(xm_y0T+(xm_nT-1)/2*xm_sT))&lt;0.000001,IF('XA MU'!$B$29&lt;=5,'XA MU'!$E$29*$B$8*(IF('XA MU'!$C$29&gt;(xm_y0T+(xm_nT-1)/2*xm_sT),2*('XA MU'!$C$29-(xm_y0T+(xm_nT-1)/2*xm_sT))/xm_sT,0)+IF('XA MU'!$D$29&gt;(xm_y0T+(xm_nT-1)/2*xm_sT),2*('XA MU'!$D$29-(xm_y0T+(xm_nT-1)/2*xm_sT))/xm_sT,0)),0),0)+IF('XA MU'!$B$30&lt;=5,'XA MU'!$E$30*$B$8*(MAX(0,1-ABS('XA MU'!$C$30-$D50)/xm_sT)+MAX(0,1-ABS('XA MU'!$D$30-$D50)/xm_sT)),0)+IF(ABS($D50-(xm_y0T+(xm_nT-1)/2*xm_sT))&lt;0.000001,IF('XA MU'!$B$30&lt;=5,'XA MU'!$E$30*$B$8*(IF('XA MU'!$C$30&gt;(xm_y0T+(xm_nT-1)/2*xm_sT),2*('XA MU'!$C$30-(xm_y0T+(xm_nT-1)/2*xm_sT))/xm_sT,0)+IF('XA MU'!$D$30&gt;(xm_y0T+(xm_nT-1)/2*xm_sT),2*('XA MU'!$D$30-(xm_y0T+(xm_nT-1)/2*xm_sT))/xm_sT,0)),0),0))))</f>
        <v>0</v>
      </c>
      <c r="N50" s="44">
        <f>IF(C50=0,0,IF(6&gt;nLan,0,0.65*(IF('XA MU'!$B$25&lt;=6,'XA MU'!$E$25*$B$8*(MAX(0,1-ABS('XA MU'!$C$25-$D50)/xm_sT)+MAX(0,1-ABS('XA MU'!$D$25-$D50)/xm_sT)),0)+IF(ABS($D50-(xm_y0T+(xm_nT-1)/2*xm_sT))&lt;0.000001,IF('XA MU'!$B$25&lt;=6,'XA MU'!$E$25*$B$8*(IF('XA MU'!$C$25&gt;(xm_y0T+(xm_nT-1)/2*xm_sT),2*('XA MU'!$C$25-(xm_y0T+(xm_nT-1)/2*xm_sT))/xm_sT,0)+IF('XA MU'!$D$25&gt;(xm_y0T+(xm_nT-1)/2*xm_sT),2*('XA MU'!$D$25-(xm_y0T+(xm_nT-1)/2*xm_sT))/xm_sT,0)),0),0)+IF('XA MU'!$B$26&lt;=6,'XA MU'!$E$26*$B$8*(MAX(0,1-ABS('XA MU'!$C$26-$D50)/xm_sT)+MAX(0,1-ABS('XA MU'!$D$26-$D50)/xm_sT)),0)+IF(ABS($D50-(xm_y0T+(xm_nT-1)/2*xm_sT))&lt;0.000001,IF('XA MU'!$B$26&lt;=6,'XA MU'!$E$26*$B$8*(IF('XA MU'!$C$26&gt;(xm_y0T+(xm_nT-1)/2*xm_sT),2*('XA MU'!$C$26-(xm_y0T+(xm_nT-1)/2*xm_sT))/xm_sT,0)+IF('XA MU'!$D$26&gt;(xm_y0T+(xm_nT-1)/2*xm_sT),2*('XA MU'!$D$26-(xm_y0T+(xm_nT-1)/2*xm_sT))/xm_sT,0)),0),0)+IF('XA MU'!$B$27&lt;=6,'XA MU'!$E$27*$B$8*(MAX(0,1-ABS('XA MU'!$C$27-$D50)/xm_sT)+MAX(0,1-ABS('XA MU'!$D$27-$D50)/xm_sT)),0)+IF(ABS($D50-(xm_y0T+(xm_nT-1)/2*xm_sT))&lt;0.000001,IF('XA MU'!$B$27&lt;=6,'XA MU'!$E$27*$B$8*(IF('XA MU'!$C$27&gt;(xm_y0T+(xm_nT-1)/2*xm_sT),2*('XA MU'!$C$27-(xm_y0T+(xm_nT-1)/2*xm_sT))/xm_sT,0)+IF('XA MU'!$D$27&gt;(xm_y0T+(xm_nT-1)/2*xm_sT),2*('XA MU'!$D$27-(xm_y0T+(xm_nT-1)/2*xm_sT))/xm_sT,0)),0),0)+IF('XA MU'!$B$28&lt;=6,'XA MU'!$E$28*$B$8*(MAX(0,1-ABS('XA MU'!$C$28-$D50)/xm_sT)+MAX(0,1-ABS('XA MU'!$D$28-$D50)/xm_sT)),0)+IF(ABS($D50-(xm_y0T+(xm_nT-1)/2*xm_sT))&lt;0.000001,IF('XA MU'!$B$28&lt;=6,'XA MU'!$E$28*$B$8*(IF('XA MU'!$C$28&gt;(xm_y0T+(xm_nT-1)/2*xm_sT),2*('XA MU'!$C$28-(xm_y0T+(xm_nT-1)/2*xm_sT))/xm_sT,0)+IF('XA MU'!$D$28&gt;(xm_y0T+(xm_nT-1)/2*xm_sT),2*('XA MU'!$D$28-(xm_y0T+(xm_nT-1)/2*xm_sT))/xm_sT,0)),0),0)+IF('XA MU'!$B$29&lt;=6,'XA MU'!$E$29*$B$8*(MAX(0,1-ABS('XA MU'!$C$29-$D50)/xm_sT)+MAX(0,1-ABS('XA MU'!$D$29-$D50)/xm_sT)),0)+IF(ABS($D50-(xm_y0T+(xm_nT-1)/2*xm_sT))&lt;0.000001,IF('XA MU'!$B$29&lt;=6,'XA MU'!$E$29*$B$8*(IF('XA MU'!$C$29&gt;(xm_y0T+(xm_nT-1)/2*xm_sT),2*('XA MU'!$C$29-(xm_y0T+(xm_nT-1)/2*xm_sT))/xm_sT,0)+IF('XA MU'!$D$29&gt;(xm_y0T+(xm_nT-1)/2*xm_sT),2*('XA MU'!$D$29-(xm_y0T+(xm_nT-1)/2*xm_sT))/xm_sT,0)),0),0)+IF('XA MU'!$B$30&lt;=6,'XA MU'!$E$30*$B$8*(MAX(0,1-ABS('XA MU'!$C$30-$D50)/xm_sT)+MAX(0,1-ABS('XA MU'!$D$30-$D50)/xm_sT)),0)+IF(ABS($D50-(xm_y0T+(xm_nT-1)/2*xm_sT))&lt;0.000001,IF('XA MU'!$B$30&lt;=6,'XA MU'!$E$30*$B$8*(IF('XA MU'!$C$30&gt;(xm_y0T+(xm_nT-1)/2*xm_sT),2*('XA MU'!$C$30-(xm_y0T+(xm_nT-1)/2*xm_sT))/xm_sT,0)+IF('XA MU'!$D$30&gt;(xm_y0T+(xm_nT-1)/2*xm_sT),2*('XA MU'!$D$30-(xm_y0T+(xm_nT-1)/2*xm_sT))/xm_sT,0)),0),0))))</f>
        <v>0</v>
      </c>
    </row>
    <row r="51" spans="1:14" x14ac:dyDescent="0.3">
      <c r="A51" s="42" t="s">
        <v>1235</v>
      </c>
      <c r="B51" s="42">
        <v>37</v>
      </c>
      <c r="C51" s="40">
        <f t="shared" si="0"/>
        <v>0</v>
      </c>
      <c r="D51" s="44">
        <f t="shared" si="1"/>
        <v>0</v>
      </c>
      <c r="E51" s="44">
        <f>MAX(0,D51-'XA MU'!$C$8)*C51</f>
        <v>0</v>
      </c>
      <c r="F51" s="44">
        <f>IF(AND(C51=1,D51&gt;'XA MU'!$C$8),1,0)</f>
        <v>0</v>
      </c>
      <c r="G51" s="44">
        <f t="shared" si="2"/>
        <v>0</v>
      </c>
      <c r="H51" s="44">
        <f t="shared" si="3"/>
        <v>0</v>
      </c>
      <c r="I51" s="44">
        <f>IF(C51=0,0,IF(1&gt;nLan,0,1.2*(IF('XA MU'!$B$25&lt;=1,'XA MU'!$E$25*$B$8*(MAX(0,1-ABS('XA MU'!$C$25-$D51)/xm_sT)+MAX(0,1-ABS('XA MU'!$D$25-$D51)/xm_sT)),0)+IF(ABS($D51-(xm_y0T+(xm_nT-1)/2*xm_sT))&lt;0.000001,IF('XA MU'!$B$25&lt;=1,'XA MU'!$E$25*$B$8*(IF('XA MU'!$C$25&gt;(xm_y0T+(xm_nT-1)/2*xm_sT),2*('XA MU'!$C$25-(xm_y0T+(xm_nT-1)/2*xm_sT))/xm_sT,0)+IF('XA MU'!$D$25&gt;(xm_y0T+(xm_nT-1)/2*xm_sT),2*('XA MU'!$D$25-(xm_y0T+(xm_nT-1)/2*xm_sT))/xm_sT,0)),0),0)+IF('XA MU'!$B$26&lt;=1,'XA MU'!$E$26*$B$8*(MAX(0,1-ABS('XA MU'!$C$26-$D51)/xm_sT)+MAX(0,1-ABS('XA MU'!$D$26-$D51)/xm_sT)),0)+IF(ABS($D51-(xm_y0T+(xm_nT-1)/2*xm_sT))&lt;0.000001,IF('XA MU'!$B$26&lt;=1,'XA MU'!$E$26*$B$8*(IF('XA MU'!$C$26&gt;(xm_y0T+(xm_nT-1)/2*xm_sT),2*('XA MU'!$C$26-(xm_y0T+(xm_nT-1)/2*xm_sT))/xm_sT,0)+IF('XA MU'!$D$26&gt;(xm_y0T+(xm_nT-1)/2*xm_sT),2*('XA MU'!$D$26-(xm_y0T+(xm_nT-1)/2*xm_sT))/xm_sT,0)),0),0)+IF('XA MU'!$B$27&lt;=1,'XA MU'!$E$27*$B$8*(MAX(0,1-ABS('XA MU'!$C$27-$D51)/xm_sT)+MAX(0,1-ABS('XA MU'!$D$27-$D51)/xm_sT)),0)+IF(ABS($D51-(xm_y0T+(xm_nT-1)/2*xm_sT))&lt;0.000001,IF('XA MU'!$B$27&lt;=1,'XA MU'!$E$27*$B$8*(IF('XA MU'!$C$27&gt;(xm_y0T+(xm_nT-1)/2*xm_sT),2*('XA MU'!$C$27-(xm_y0T+(xm_nT-1)/2*xm_sT))/xm_sT,0)+IF('XA MU'!$D$27&gt;(xm_y0T+(xm_nT-1)/2*xm_sT),2*('XA MU'!$D$27-(xm_y0T+(xm_nT-1)/2*xm_sT))/xm_sT,0)),0),0)+IF('XA MU'!$B$28&lt;=1,'XA MU'!$E$28*$B$8*(MAX(0,1-ABS('XA MU'!$C$28-$D51)/xm_sT)+MAX(0,1-ABS('XA MU'!$D$28-$D51)/xm_sT)),0)+IF(ABS($D51-(xm_y0T+(xm_nT-1)/2*xm_sT))&lt;0.000001,IF('XA MU'!$B$28&lt;=1,'XA MU'!$E$28*$B$8*(IF('XA MU'!$C$28&gt;(xm_y0T+(xm_nT-1)/2*xm_sT),2*('XA MU'!$C$28-(xm_y0T+(xm_nT-1)/2*xm_sT))/xm_sT,0)+IF('XA MU'!$D$28&gt;(xm_y0T+(xm_nT-1)/2*xm_sT),2*('XA MU'!$D$28-(xm_y0T+(xm_nT-1)/2*xm_sT))/xm_sT,0)),0),0)+IF('XA MU'!$B$29&lt;=1,'XA MU'!$E$29*$B$8*(MAX(0,1-ABS('XA MU'!$C$29-$D51)/xm_sT)+MAX(0,1-ABS('XA MU'!$D$29-$D51)/xm_sT)),0)+IF(ABS($D51-(xm_y0T+(xm_nT-1)/2*xm_sT))&lt;0.000001,IF('XA MU'!$B$29&lt;=1,'XA MU'!$E$29*$B$8*(IF('XA MU'!$C$29&gt;(xm_y0T+(xm_nT-1)/2*xm_sT),2*('XA MU'!$C$29-(xm_y0T+(xm_nT-1)/2*xm_sT))/xm_sT,0)+IF('XA MU'!$D$29&gt;(xm_y0T+(xm_nT-1)/2*xm_sT),2*('XA MU'!$D$29-(xm_y0T+(xm_nT-1)/2*xm_sT))/xm_sT,0)),0),0)+IF('XA MU'!$B$30&lt;=1,'XA MU'!$E$30*$B$8*(MAX(0,1-ABS('XA MU'!$C$30-$D51)/xm_sT)+MAX(0,1-ABS('XA MU'!$D$30-$D51)/xm_sT)),0)+IF(ABS($D51-(xm_y0T+(xm_nT-1)/2*xm_sT))&lt;0.000001,IF('XA MU'!$B$30&lt;=1,'XA MU'!$E$30*$B$8*(IF('XA MU'!$C$30&gt;(xm_y0T+(xm_nT-1)/2*xm_sT),2*('XA MU'!$C$30-(xm_y0T+(xm_nT-1)/2*xm_sT))/xm_sT,0)+IF('XA MU'!$D$30&gt;(xm_y0T+(xm_nT-1)/2*xm_sT),2*('XA MU'!$D$30-(xm_y0T+(xm_nT-1)/2*xm_sT))/xm_sT,0)),0),0))))</f>
        <v>0</v>
      </c>
      <c r="J51" s="44">
        <f>IF(C51=0,0,IF(2&gt;nLan,0,1*(IF('XA MU'!$B$25&lt;=2,'XA MU'!$E$25*$B$8*(MAX(0,1-ABS('XA MU'!$C$25-$D51)/xm_sT)+MAX(0,1-ABS('XA MU'!$D$25-$D51)/xm_sT)),0)+IF(ABS($D51-(xm_y0T+(xm_nT-1)/2*xm_sT))&lt;0.000001,IF('XA MU'!$B$25&lt;=2,'XA MU'!$E$25*$B$8*(IF('XA MU'!$C$25&gt;(xm_y0T+(xm_nT-1)/2*xm_sT),2*('XA MU'!$C$25-(xm_y0T+(xm_nT-1)/2*xm_sT))/xm_sT,0)+IF('XA MU'!$D$25&gt;(xm_y0T+(xm_nT-1)/2*xm_sT),2*('XA MU'!$D$25-(xm_y0T+(xm_nT-1)/2*xm_sT))/xm_sT,0)),0),0)+IF('XA MU'!$B$26&lt;=2,'XA MU'!$E$26*$B$8*(MAX(0,1-ABS('XA MU'!$C$26-$D51)/xm_sT)+MAX(0,1-ABS('XA MU'!$D$26-$D51)/xm_sT)),0)+IF(ABS($D51-(xm_y0T+(xm_nT-1)/2*xm_sT))&lt;0.000001,IF('XA MU'!$B$26&lt;=2,'XA MU'!$E$26*$B$8*(IF('XA MU'!$C$26&gt;(xm_y0T+(xm_nT-1)/2*xm_sT),2*('XA MU'!$C$26-(xm_y0T+(xm_nT-1)/2*xm_sT))/xm_sT,0)+IF('XA MU'!$D$26&gt;(xm_y0T+(xm_nT-1)/2*xm_sT),2*('XA MU'!$D$26-(xm_y0T+(xm_nT-1)/2*xm_sT))/xm_sT,0)),0),0)+IF('XA MU'!$B$27&lt;=2,'XA MU'!$E$27*$B$8*(MAX(0,1-ABS('XA MU'!$C$27-$D51)/xm_sT)+MAX(0,1-ABS('XA MU'!$D$27-$D51)/xm_sT)),0)+IF(ABS($D51-(xm_y0T+(xm_nT-1)/2*xm_sT))&lt;0.000001,IF('XA MU'!$B$27&lt;=2,'XA MU'!$E$27*$B$8*(IF('XA MU'!$C$27&gt;(xm_y0T+(xm_nT-1)/2*xm_sT),2*('XA MU'!$C$27-(xm_y0T+(xm_nT-1)/2*xm_sT))/xm_sT,0)+IF('XA MU'!$D$27&gt;(xm_y0T+(xm_nT-1)/2*xm_sT),2*('XA MU'!$D$27-(xm_y0T+(xm_nT-1)/2*xm_sT))/xm_sT,0)),0),0)+IF('XA MU'!$B$28&lt;=2,'XA MU'!$E$28*$B$8*(MAX(0,1-ABS('XA MU'!$C$28-$D51)/xm_sT)+MAX(0,1-ABS('XA MU'!$D$28-$D51)/xm_sT)),0)+IF(ABS($D51-(xm_y0T+(xm_nT-1)/2*xm_sT))&lt;0.000001,IF('XA MU'!$B$28&lt;=2,'XA MU'!$E$28*$B$8*(IF('XA MU'!$C$28&gt;(xm_y0T+(xm_nT-1)/2*xm_sT),2*('XA MU'!$C$28-(xm_y0T+(xm_nT-1)/2*xm_sT))/xm_sT,0)+IF('XA MU'!$D$28&gt;(xm_y0T+(xm_nT-1)/2*xm_sT),2*('XA MU'!$D$28-(xm_y0T+(xm_nT-1)/2*xm_sT))/xm_sT,0)),0),0)+IF('XA MU'!$B$29&lt;=2,'XA MU'!$E$29*$B$8*(MAX(0,1-ABS('XA MU'!$C$29-$D51)/xm_sT)+MAX(0,1-ABS('XA MU'!$D$29-$D51)/xm_sT)),0)+IF(ABS($D51-(xm_y0T+(xm_nT-1)/2*xm_sT))&lt;0.000001,IF('XA MU'!$B$29&lt;=2,'XA MU'!$E$29*$B$8*(IF('XA MU'!$C$29&gt;(xm_y0T+(xm_nT-1)/2*xm_sT),2*('XA MU'!$C$29-(xm_y0T+(xm_nT-1)/2*xm_sT))/xm_sT,0)+IF('XA MU'!$D$29&gt;(xm_y0T+(xm_nT-1)/2*xm_sT),2*('XA MU'!$D$29-(xm_y0T+(xm_nT-1)/2*xm_sT))/xm_sT,0)),0),0)+IF('XA MU'!$B$30&lt;=2,'XA MU'!$E$30*$B$8*(MAX(0,1-ABS('XA MU'!$C$30-$D51)/xm_sT)+MAX(0,1-ABS('XA MU'!$D$30-$D51)/xm_sT)),0)+IF(ABS($D51-(xm_y0T+(xm_nT-1)/2*xm_sT))&lt;0.000001,IF('XA MU'!$B$30&lt;=2,'XA MU'!$E$30*$B$8*(IF('XA MU'!$C$30&gt;(xm_y0T+(xm_nT-1)/2*xm_sT),2*('XA MU'!$C$30-(xm_y0T+(xm_nT-1)/2*xm_sT))/xm_sT,0)+IF('XA MU'!$D$30&gt;(xm_y0T+(xm_nT-1)/2*xm_sT),2*('XA MU'!$D$30-(xm_y0T+(xm_nT-1)/2*xm_sT))/xm_sT,0)),0),0))))</f>
        <v>0</v>
      </c>
      <c r="K51" s="44">
        <f>IF(C51=0,0,IF(3&gt;nLan,0,0.85*(IF('XA MU'!$B$25&lt;=3,'XA MU'!$E$25*$B$8*(MAX(0,1-ABS('XA MU'!$C$25-$D51)/xm_sT)+MAX(0,1-ABS('XA MU'!$D$25-$D51)/xm_sT)),0)+IF(ABS($D51-(xm_y0T+(xm_nT-1)/2*xm_sT))&lt;0.000001,IF('XA MU'!$B$25&lt;=3,'XA MU'!$E$25*$B$8*(IF('XA MU'!$C$25&gt;(xm_y0T+(xm_nT-1)/2*xm_sT),2*('XA MU'!$C$25-(xm_y0T+(xm_nT-1)/2*xm_sT))/xm_sT,0)+IF('XA MU'!$D$25&gt;(xm_y0T+(xm_nT-1)/2*xm_sT),2*('XA MU'!$D$25-(xm_y0T+(xm_nT-1)/2*xm_sT))/xm_sT,0)),0),0)+IF('XA MU'!$B$26&lt;=3,'XA MU'!$E$26*$B$8*(MAX(0,1-ABS('XA MU'!$C$26-$D51)/xm_sT)+MAX(0,1-ABS('XA MU'!$D$26-$D51)/xm_sT)),0)+IF(ABS($D51-(xm_y0T+(xm_nT-1)/2*xm_sT))&lt;0.000001,IF('XA MU'!$B$26&lt;=3,'XA MU'!$E$26*$B$8*(IF('XA MU'!$C$26&gt;(xm_y0T+(xm_nT-1)/2*xm_sT),2*('XA MU'!$C$26-(xm_y0T+(xm_nT-1)/2*xm_sT))/xm_sT,0)+IF('XA MU'!$D$26&gt;(xm_y0T+(xm_nT-1)/2*xm_sT),2*('XA MU'!$D$26-(xm_y0T+(xm_nT-1)/2*xm_sT))/xm_sT,0)),0),0)+IF('XA MU'!$B$27&lt;=3,'XA MU'!$E$27*$B$8*(MAX(0,1-ABS('XA MU'!$C$27-$D51)/xm_sT)+MAX(0,1-ABS('XA MU'!$D$27-$D51)/xm_sT)),0)+IF(ABS($D51-(xm_y0T+(xm_nT-1)/2*xm_sT))&lt;0.000001,IF('XA MU'!$B$27&lt;=3,'XA MU'!$E$27*$B$8*(IF('XA MU'!$C$27&gt;(xm_y0T+(xm_nT-1)/2*xm_sT),2*('XA MU'!$C$27-(xm_y0T+(xm_nT-1)/2*xm_sT))/xm_sT,0)+IF('XA MU'!$D$27&gt;(xm_y0T+(xm_nT-1)/2*xm_sT),2*('XA MU'!$D$27-(xm_y0T+(xm_nT-1)/2*xm_sT))/xm_sT,0)),0),0)+IF('XA MU'!$B$28&lt;=3,'XA MU'!$E$28*$B$8*(MAX(0,1-ABS('XA MU'!$C$28-$D51)/xm_sT)+MAX(0,1-ABS('XA MU'!$D$28-$D51)/xm_sT)),0)+IF(ABS($D51-(xm_y0T+(xm_nT-1)/2*xm_sT))&lt;0.000001,IF('XA MU'!$B$28&lt;=3,'XA MU'!$E$28*$B$8*(IF('XA MU'!$C$28&gt;(xm_y0T+(xm_nT-1)/2*xm_sT),2*('XA MU'!$C$28-(xm_y0T+(xm_nT-1)/2*xm_sT))/xm_sT,0)+IF('XA MU'!$D$28&gt;(xm_y0T+(xm_nT-1)/2*xm_sT),2*('XA MU'!$D$28-(xm_y0T+(xm_nT-1)/2*xm_sT))/xm_sT,0)),0),0)+IF('XA MU'!$B$29&lt;=3,'XA MU'!$E$29*$B$8*(MAX(0,1-ABS('XA MU'!$C$29-$D51)/xm_sT)+MAX(0,1-ABS('XA MU'!$D$29-$D51)/xm_sT)),0)+IF(ABS($D51-(xm_y0T+(xm_nT-1)/2*xm_sT))&lt;0.000001,IF('XA MU'!$B$29&lt;=3,'XA MU'!$E$29*$B$8*(IF('XA MU'!$C$29&gt;(xm_y0T+(xm_nT-1)/2*xm_sT),2*('XA MU'!$C$29-(xm_y0T+(xm_nT-1)/2*xm_sT))/xm_sT,0)+IF('XA MU'!$D$29&gt;(xm_y0T+(xm_nT-1)/2*xm_sT),2*('XA MU'!$D$29-(xm_y0T+(xm_nT-1)/2*xm_sT))/xm_sT,0)),0),0)+IF('XA MU'!$B$30&lt;=3,'XA MU'!$E$30*$B$8*(MAX(0,1-ABS('XA MU'!$C$30-$D51)/xm_sT)+MAX(0,1-ABS('XA MU'!$D$30-$D51)/xm_sT)),0)+IF(ABS($D51-(xm_y0T+(xm_nT-1)/2*xm_sT))&lt;0.000001,IF('XA MU'!$B$30&lt;=3,'XA MU'!$E$30*$B$8*(IF('XA MU'!$C$30&gt;(xm_y0T+(xm_nT-1)/2*xm_sT),2*('XA MU'!$C$30-(xm_y0T+(xm_nT-1)/2*xm_sT))/xm_sT,0)+IF('XA MU'!$D$30&gt;(xm_y0T+(xm_nT-1)/2*xm_sT),2*('XA MU'!$D$30-(xm_y0T+(xm_nT-1)/2*xm_sT))/xm_sT,0)),0),0))))</f>
        <v>0</v>
      </c>
      <c r="L51" s="44">
        <f>IF(C51=0,0,IF(4&gt;nLan,0,0.65*(IF('XA MU'!$B$25&lt;=4,'XA MU'!$E$25*$B$8*(MAX(0,1-ABS('XA MU'!$C$25-$D51)/xm_sT)+MAX(0,1-ABS('XA MU'!$D$25-$D51)/xm_sT)),0)+IF(ABS($D51-(xm_y0T+(xm_nT-1)/2*xm_sT))&lt;0.000001,IF('XA MU'!$B$25&lt;=4,'XA MU'!$E$25*$B$8*(IF('XA MU'!$C$25&gt;(xm_y0T+(xm_nT-1)/2*xm_sT),2*('XA MU'!$C$25-(xm_y0T+(xm_nT-1)/2*xm_sT))/xm_sT,0)+IF('XA MU'!$D$25&gt;(xm_y0T+(xm_nT-1)/2*xm_sT),2*('XA MU'!$D$25-(xm_y0T+(xm_nT-1)/2*xm_sT))/xm_sT,0)),0),0)+IF('XA MU'!$B$26&lt;=4,'XA MU'!$E$26*$B$8*(MAX(0,1-ABS('XA MU'!$C$26-$D51)/xm_sT)+MAX(0,1-ABS('XA MU'!$D$26-$D51)/xm_sT)),0)+IF(ABS($D51-(xm_y0T+(xm_nT-1)/2*xm_sT))&lt;0.000001,IF('XA MU'!$B$26&lt;=4,'XA MU'!$E$26*$B$8*(IF('XA MU'!$C$26&gt;(xm_y0T+(xm_nT-1)/2*xm_sT),2*('XA MU'!$C$26-(xm_y0T+(xm_nT-1)/2*xm_sT))/xm_sT,0)+IF('XA MU'!$D$26&gt;(xm_y0T+(xm_nT-1)/2*xm_sT),2*('XA MU'!$D$26-(xm_y0T+(xm_nT-1)/2*xm_sT))/xm_sT,0)),0),0)+IF('XA MU'!$B$27&lt;=4,'XA MU'!$E$27*$B$8*(MAX(0,1-ABS('XA MU'!$C$27-$D51)/xm_sT)+MAX(0,1-ABS('XA MU'!$D$27-$D51)/xm_sT)),0)+IF(ABS($D51-(xm_y0T+(xm_nT-1)/2*xm_sT))&lt;0.000001,IF('XA MU'!$B$27&lt;=4,'XA MU'!$E$27*$B$8*(IF('XA MU'!$C$27&gt;(xm_y0T+(xm_nT-1)/2*xm_sT),2*('XA MU'!$C$27-(xm_y0T+(xm_nT-1)/2*xm_sT))/xm_sT,0)+IF('XA MU'!$D$27&gt;(xm_y0T+(xm_nT-1)/2*xm_sT),2*('XA MU'!$D$27-(xm_y0T+(xm_nT-1)/2*xm_sT))/xm_sT,0)),0),0)+IF('XA MU'!$B$28&lt;=4,'XA MU'!$E$28*$B$8*(MAX(0,1-ABS('XA MU'!$C$28-$D51)/xm_sT)+MAX(0,1-ABS('XA MU'!$D$28-$D51)/xm_sT)),0)+IF(ABS($D51-(xm_y0T+(xm_nT-1)/2*xm_sT))&lt;0.000001,IF('XA MU'!$B$28&lt;=4,'XA MU'!$E$28*$B$8*(IF('XA MU'!$C$28&gt;(xm_y0T+(xm_nT-1)/2*xm_sT),2*('XA MU'!$C$28-(xm_y0T+(xm_nT-1)/2*xm_sT))/xm_sT,0)+IF('XA MU'!$D$28&gt;(xm_y0T+(xm_nT-1)/2*xm_sT),2*('XA MU'!$D$28-(xm_y0T+(xm_nT-1)/2*xm_sT))/xm_sT,0)),0),0)+IF('XA MU'!$B$29&lt;=4,'XA MU'!$E$29*$B$8*(MAX(0,1-ABS('XA MU'!$C$29-$D51)/xm_sT)+MAX(0,1-ABS('XA MU'!$D$29-$D51)/xm_sT)),0)+IF(ABS($D51-(xm_y0T+(xm_nT-1)/2*xm_sT))&lt;0.000001,IF('XA MU'!$B$29&lt;=4,'XA MU'!$E$29*$B$8*(IF('XA MU'!$C$29&gt;(xm_y0T+(xm_nT-1)/2*xm_sT),2*('XA MU'!$C$29-(xm_y0T+(xm_nT-1)/2*xm_sT))/xm_sT,0)+IF('XA MU'!$D$29&gt;(xm_y0T+(xm_nT-1)/2*xm_sT),2*('XA MU'!$D$29-(xm_y0T+(xm_nT-1)/2*xm_sT))/xm_sT,0)),0),0)+IF('XA MU'!$B$30&lt;=4,'XA MU'!$E$30*$B$8*(MAX(0,1-ABS('XA MU'!$C$30-$D51)/xm_sT)+MAX(0,1-ABS('XA MU'!$D$30-$D51)/xm_sT)),0)+IF(ABS($D51-(xm_y0T+(xm_nT-1)/2*xm_sT))&lt;0.000001,IF('XA MU'!$B$30&lt;=4,'XA MU'!$E$30*$B$8*(IF('XA MU'!$C$30&gt;(xm_y0T+(xm_nT-1)/2*xm_sT),2*('XA MU'!$C$30-(xm_y0T+(xm_nT-1)/2*xm_sT))/xm_sT,0)+IF('XA MU'!$D$30&gt;(xm_y0T+(xm_nT-1)/2*xm_sT),2*('XA MU'!$D$30-(xm_y0T+(xm_nT-1)/2*xm_sT))/xm_sT,0)),0),0))))</f>
        <v>0</v>
      </c>
      <c r="M51" s="44">
        <f>IF(C51=0,0,IF(5&gt;nLan,0,0.65*(IF('XA MU'!$B$25&lt;=5,'XA MU'!$E$25*$B$8*(MAX(0,1-ABS('XA MU'!$C$25-$D51)/xm_sT)+MAX(0,1-ABS('XA MU'!$D$25-$D51)/xm_sT)),0)+IF(ABS($D51-(xm_y0T+(xm_nT-1)/2*xm_sT))&lt;0.000001,IF('XA MU'!$B$25&lt;=5,'XA MU'!$E$25*$B$8*(IF('XA MU'!$C$25&gt;(xm_y0T+(xm_nT-1)/2*xm_sT),2*('XA MU'!$C$25-(xm_y0T+(xm_nT-1)/2*xm_sT))/xm_sT,0)+IF('XA MU'!$D$25&gt;(xm_y0T+(xm_nT-1)/2*xm_sT),2*('XA MU'!$D$25-(xm_y0T+(xm_nT-1)/2*xm_sT))/xm_sT,0)),0),0)+IF('XA MU'!$B$26&lt;=5,'XA MU'!$E$26*$B$8*(MAX(0,1-ABS('XA MU'!$C$26-$D51)/xm_sT)+MAX(0,1-ABS('XA MU'!$D$26-$D51)/xm_sT)),0)+IF(ABS($D51-(xm_y0T+(xm_nT-1)/2*xm_sT))&lt;0.000001,IF('XA MU'!$B$26&lt;=5,'XA MU'!$E$26*$B$8*(IF('XA MU'!$C$26&gt;(xm_y0T+(xm_nT-1)/2*xm_sT),2*('XA MU'!$C$26-(xm_y0T+(xm_nT-1)/2*xm_sT))/xm_sT,0)+IF('XA MU'!$D$26&gt;(xm_y0T+(xm_nT-1)/2*xm_sT),2*('XA MU'!$D$26-(xm_y0T+(xm_nT-1)/2*xm_sT))/xm_sT,0)),0),0)+IF('XA MU'!$B$27&lt;=5,'XA MU'!$E$27*$B$8*(MAX(0,1-ABS('XA MU'!$C$27-$D51)/xm_sT)+MAX(0,1-ABS('XA MU'!$D$27-$D51)/xm_sT)),0)+IF(ABS($D51-(xm_y0T+(xm_nT-1)/2*xm_sT))&lt;0.000001,IF('XA MU'!$B$27&lt;=5,'XA MU'!$E$27*$B$8*(IF('XA MU'!$C$27&gt;(xm_y0T+(xm_nT-1)/2*xm_sT),2*('XA MU'!$C$27-(xm_y0T+(xm_nT-1)/2*xm_sT))/xm_sT,0)+IF('XA MU'!$D$27&gt;(xm_y0T+(xm_nT-1)/2*xm_sT),2*('XA MU'!$D$27-(xm_y0T+(xm_nT-1)/2*xm_sT))/xm_sT,0)),0),0)+IF('XA MU'!$B$28&lt;=5,'XA MU'!$E$28*$B$8*(MAX(0,1-ABS('XA MU'!$C$28-$D51)/xm_sT)+MAX(0,1-ABS('XA MU'!$D$28-$D51)/xm_sT)),0)+IF(ABS($D51-(xm_y0T+(xm_nT-1)/2*xm_sT))&lt;0.000001,IF('XA MU'!$B$28&lt;=5,'XA MU'!$E$28*$B$8*(IF('XA MU'!$C$28&gt;(xm_y0T+(xm_nT-1)/2*xm_sT),2*('XA MU'!$C$28-(xm_y0T+(xm_nT-1)/2*xm_sT))/xm_sT,0)+IF('XA MU'!$D$28&gt;(xm_y0T+(xm_nT-1)/2*xm_sT),2*('XA MU'!$D$28-(xm_y0T+(xm_nT-1)/2*xm_sT))/xm_sT,0)),0),0)+IF('XA MU'!$B$29&lt;=5,'XA MU'!$E$29*$B$8*(MAX(0,1-ABS('XA MU'!$C$29-$D51)/xm_sT)+MAX(0,1-ABS('XA MU'!$D$29-$D51)/xm_sT)),0)+IF(ABS($D51-(xm_y0T+(xm_nT-1)/2*xm_sT))&lt;0.000001,IF('XA MU'!$B$29&lt;=5,'XA MU'!$E$29*$B$8*(IF('XA MU'!$C$29&gt;(xm_y0T+(xm_nT-1)/2*xm_sT),2*('XA MU'!$C$29-(xm_y0T+(xm_nT-1)/2*xm_sT))/xm_sT,0)+IF('XA MU'!$D$29&gt;(xm_y0T+(xm_nT-1)/2*xm_sT),2*('XA MU'!$D$29-(xm_y0T+(xm_nT-1)/2*xm_sT))/xm_sT,0)),0),0)+IF('XA MU'!$B$30&lt;=5,'XA MU'!$E$30*$B$8*(MAX(0,1-ABS('XA MU'!$C$30-$D51)/xm_sT)+MAX(0,1-ABS('XA MU'!$D$30-$D51)/xm_sT)),0)+IF(ABS($D51-(xm_y0T+(xm_nT-1)/2*xm_sT))&lt;0.000001,IF('XA MU'!$B$30&lt;=5,'XA MU'!$E$30*$B$8*(IF('XA MU'!$C$30&gt;(xm_y0T+(xm_nT-1)/2*xm_sT),2*('XA MU'!$C$30-(xm_y0T+(xm_nT-1)/2*xm_sT))/xm_sT,0)+IF('XA MU'!$D$30&gt;(xm_y0T+(xm_nT-1)/2*xm_sT),2*('XA MU'!$D$30-(xm_y0T+(xm_nT-1)/2*xm_sT))/xm_sT,0)),0),0))))</f>
        <v>0</v>
      </c>
      <c r="N51" s="44">
        <f>IF(C51=0,0,IF(6&gt;nLan,0,0.65*(IF('XA MU'!$B$25&lt;=6,'XA MU'!$E$25*$B$8*(MAX(0,1-ABS('XA MU'!$C$25-$D51)/xm_sT)+MAX(0,1-ABS('XA MU'!$D$25-$D51)/xm_sT)),0)+IF(ABS($D51-(xm_y0T+(xm_nT-1)/2*xm_sT))&lt;0.000001,IF('XA MU'!$B$25&lt;=6,'XA MU'!$E$25*$B$8*(IF('XA MU'!$C$25&gt;(xm_y0T+(xm_nT-1)/2*xm_sT),2*('XA MU'!$C$25-(xm_y0T+(xm_nT-1)/2*xm_sT))/xm_sT,0)+IF('XA MU'!$D$25&gt;(xm_y0T+(xm_nT-1)/2*xm_sT),2*('XA MU'!$D$25-(xm_y0T+(xm_nT-1)/2*xm_sT))/xm_sT,0)),0),0)+IF('XA MU'!$B$26&lt;=6,'XA MU'!$E$26*$B$8*(MAX(0,1-ABS('XA MU'!$C$26-$D51)/xm_sT)+MAX(0,1-ABS('XA MU'!$D$26-$D51)/xm_sT)),0)+IF(ABS($D51-(xm_y0T+(xm_nT-1)/2*xm_sT))&lt;0.000001,IF('XA MU'!$B$26&lt;=6,'XA MU'!$E$26*$B$8*(IF('XA MU'!$C$26&gt;(xm_y0T+(xm_nT-1)/2*xm_sT),2*('XA MU'!$C$26-(xm_y0T+(xm_nT-1)/2*xm_sT))/xm_sT,0)+IF('XA MU'!$D$26&gt;(xm_y0T+(xm_nT-1)/2*xm_sT),2*('XA MU'!$D$26-(xm_y0T+(xm_nT-1)/2*xm_sT))/xm_sT,0)),0),0)+IF('XA MU'!$B$27&lt;=6,'XA MU'!$E$27*$B$8*(MAX(0,1-ABS('XA MU'!$C$27-$D51)/xm_sT)+MAX(0,1-ABS('XA MU'!$D$27-$D51)/xm_sT)),0)+IF(ABS($D51-(xm_y0T+(xm_nT-1)/2*xm_sT))&lt;0.000001,IF('XA MU'!$B$27&lt;=6,'XA MU'!$E$27*$B$8*(IF('XA MU'!$C$27&gt;(xm_y0T+(xm_nT-1)/2*xm_sT),2*('XA MU'!$C$27-(xm_y0T+(xm_nT-1)/2*xm_sT))/xm_sT,0)+IF('XA MU'!$D$27&gt;(xm_y0T+(xm_nT-1)/2*xm_sT),2*('XA MU'!$D$27-(xm_y0T+(xm_nT-1)/2*xm_sT))/xm_sT,0)),0),0)+IF('XA MU'!$B$28&lt;=6,'XA MU'!$E$28*$B$8*(MAX(0,1-ABS('XA MU'!$C$28-$D51)/xm_sT)+MAX(0,1-ABS('XA MU'!$D$28-$D51)/xm_sT)),0)+IF(ABS($D51-(xm_y0T+(xm_nT-1)/2*xm_sT))&lt;0.000001,IF('XA MU'!$B$28&lt;=6,'XA MU'!$E$28*$B$8*(IF('XA MU'!$C$28&gt;(xm_y0T+(xm_nT-1)/2*xm_sT),2*('XA MU'!$C$28-(xm_y0T+(xm_nT-1)/2*xm_sT))/xm_sT,0)+IF('XA MU'!$D$28&gt;(xm_y0T+(xm_nT-1)/2*xm_sT),2*('XA MU'!$D$28-(xm_y0T+(xm_nT-1)/2*xm_sT))/xm_sT,0)),0),0)+IF('XA MU'!$B$29&lt;=6,'XA MU'!$E$29*$B$8*(MAX(0,1-ABS('XA MU'!$C$29-$D51)/xm_sT)+MAX(0,1-ABS('XA MU'!$D$29-$D51)/xm_sT)),0)+IF(ABS($D51-(xm_y0T+(xm_nT-1)/2*xm_sT))&lt;0.000001,IF('XA MU'!$B$29&lt;=6,'XA MU'!$E$29*$B$8*(IF('XA MU'!$C$29&gt;(xm_y0T+(xm_nT-1)/2*xm_sT),2*('XA MU'!$C$29-(xm_y0T+(xm_nT-1)/2*xm_sT))/xm_sT,0)+IF('XA MU'!$D$29&gt;(xm_y0T+(xm_nT-1)/2*xm_sT),2*('XA MU'!$D$29-(xm_y0T+(xm_nT-1)/2*xm_sT))/xm_sT,0)),0),0)+IF('XA MU'!$B$30&lt;=6,'XA MU'!$E$30*$B$8*(MAX(0,1-ABS('XA MU'!$C$30-$D51)/xm_sT)+MAX(0,1-ABS('XA MU'!$D$30-$D51)/xm_sT)),0)+IF(ABS($D51-(xm_y0T+(xm_nT-1)/2*xm_sT))&lt;0.000001,IF('XA MU'!$B$30&lt;=6,'XA MU'!$E$30*$B$8*(IF('XA MU'!$C$30&gt;(xm_y0T+(xm_nT-1)/2*xm_sT),2*('XA MU'!$C$30-(xm_y0T+(xm_nT-1)/2*xm_sT))/xm_sT,0)+IF('XA MU'!$D$30&gt;(xm_y0T+(xm_nT-1)/2*xm_sT),2*('XA MU'!$D$30-(xm_y0T+(xm_nT-1)/2*xm_sT))/xm_sT,0)),0),0))))</f>
        <v>0</v>
      </c>
    </row>
    <row r="52" spans="1:14" x14ac:dyDescent="0.3">
      <c r="A52" s="42" t="s">
        <v>1235</v>
      </c>
      <c r="B52" s="42">
        <v>38</v>
      </c>
      <c r="C52" s="40">
        <f t="shared" si="0"/>
        <v>0</v>
      </c>
      <c r="D52" s="44">
        <f t="shared" si="1"/>
        <v>0</v>
      </c>
      <c r="E52" s="44">
        <f>MAX(0,D52-'XA MU'!$C$8)*C52</f>
        <v>0</v>
      </c>
      <c r="F52" s="44">
        <f>IF(AND(C52=1,D52&gt;'XA MU'!$C$8),1,0)</f>
        <v>0</v>
      </c>
      <c r="G52" s="44">
        <f t="shared" si="2"/>
        <v>0</v>
      </c>
      <c r="H52" s="44">
        <f t="shared" si="3"/>
        <v>0</v>
      </c>
      <c r="I52" s="44">
        <f>IF(C52=0,0,IF(1&gt;nLan,0,1.2*(IF('XA MU'!$B$25&lt;=1,'XA MU'!$E$25*$B$8*(MAX(0,1-ABS('XA MU'!$C$25-$D52)/xm_sT)+MAX(0,1-ABS('XA MU'!$D$25-$D52)/xm_sT)),0)+IF(ABS($D52-(xm_y0T+(xm_nT-1)/2*xm_sT))&lt;0.000001,IF('XA MU'!$B$25&lt;=1,'XA MU'!$E$25*$B$8*(IF('XA MU'!$C$25&gt;(xm_y0T+(xm_nT-1)/2*xm_sT),2*('XA MU'!$C$25-(xm_y0T+(xm_nT-1)/2*xm_sT))/xm_sT,0)+IF('XA MU'!$D$25&gt;(xm_y0T+(xm_nT-1)/2*xm_sT),2*('XA MU'!$D$25-(xm_y0T+(xm_nT-1)/2*xm_sT))/xm_sT,0)),0),0)+IF('XA MU'!$B$26&lt;=1,'XA MU'!$E$26*$B$8*(MAX(0,1-ABS('XA MU'!$C$26-$D52)/xm_sT)+MAX(0,1-ABS('XA MU'!$D$26-$D52)/xm_sT)),0)+IF(ABS($D52-(xm_y0T+(xm_nT-1)/2*xm_sT))&lt;0.000001,IF('XA MU'!$B$26&lt;=1,'XA MU'!$E$26*$B$8*(IF('XA MU'!$C$26&gt;(xm_y0T+(xm_nT-1)/2*xm_sT),2*('XA MU'!$C$26-(xm_y0T+(xm_nT-1)/2*xm_sT))/xm_sT,0)+IF('XA MU'!$D$26&gt;(xm_y0T+(xm_nT-1)/2*xm_sT),2*('XA MU'!$D$26-(xm_y0T+(xm_nT-1)/2*xm_sT))/xm_sT,0)),0),0)+IF('XA MU'!$B$27&lt;=1,'XA MU'!$E$27*$B$8*(MAX(0,1-ABS('XA MU'!$C$27-$D52)/xm_sT)+MAX(0,1-ABS('XA MU'!$D$27-$D52)/xm_sT)),0)+IF(ABS($D52-(xm_y0T+(xm_nT-1)/2*xm_sT))&lt;0.000001,IF('XA MU'!$B$27&lt;=1,'XA MU'!$E$27*$B$8*(IF('XA MU'!$C$27&gt;(xm_y0T+(xm_nT-1)/2*xm_sT),2*('XA MU'!$C$27-(xm_y0T+(xm_nT-1)/2*xm_sT))/xm_sT,0)+IF('XA MU'!$D$27&gt;(xm_y0T+(xm_nT-1)/2*xm_sT),2*('XA MU'!$D$27-(xm_y0T+(xm_nT-1)/2*xm_sT))/xm_sT,0)),0),0)+IF('XA MU'!$B$28&lt;=1,'XA MU'!$E$28*$B$8*(MAX(0,1-ABS('XA MU'!$C$28-$D52)/xm_sT)+MAX(0,1-ABS('XA MU'!$D$28-$D52)/xm_sT)),0)+IF(ABS($D52-(xm_y0T+(xm_nT-1)/2*xm_sT))&lt;0.000001,IF('XA MU'!$B$28&lt;=1,'XA MU'!$E$28*$B$8*(IF('XA MU'!$C$28&gt;(xm_y0T+(xm_nT-1)/2*xm_sT),2*('XA MU'!$C$28-(xm_y0T+(xm_nT-1)/2*xm_sT))/xm_sT,0)+IF('XA MU'!$D$28&gt;(xm_y0T+(xm_nT-1)/2*xm_sT),2*('XA MU'!$D$28-(xm_y0T+(xm_nT-1)/2*xm_sT))/xm_sT,0)),0),0)+IF('XA MU'!$B$29&lt;=1,'XA MU'!$E$29*$B$8*(MAX(0,1-ABS('XA MU'!$C$29-$D52)/xm_sT)+MAX(0,1-ABS('XA MU'!$D$29-$D52)/xm_sT)),0)+IF(ABS($D52-(xm_y0T+(xm_nT-1)/2*xm_sT))&lt;0.000001,IF('XA MU'!$B$29&lt;=1,'XA MU'!$E$29*$B$8*(IF('XA MU'!$C$29&gt;(xm_y0T+(xm_nT-1)/2*xm_sT),2*('XA MU'!$C$29-(xm_y0T+(xm_nT-1)/2*xm_sT))/xm_sT,0)+IF('XA MU'!$D$29&gt;(xm_y0T+(xm_nT-1)/2*xm_sT),2*('XA MU'!$D$29-(xm_y0T+(xm_nT-1)/2*xm_sT))/xm_sT,0)),0),0)+IF('XA MU'!$B$30&lt;=1,'XA MU'!$E$30*$B$8*(MAX(0,1-ABS('XA MU'!$C$30-$D52)/xm_sT)+MAX(0,1-ABS('XA MU'!$D$30-$D52)/xm_sT)),0)+IF(ABS($D52-(xm_y0T+(xm_nT-1)/2*xm_sT))&lt;0.000001,IF('XA MU'!$B$30&lt;=1,'XA MU'!$E$30*$B$8*(IF('XA MU'!$C$30&gt;(xm_y0T+(xm_nT-1)/2*xm_sT),2*('XA MU'!$C$30-(xm_y0T+(xm_nT-1)/2*xm_sT))/xm_sT,0)+IF('XA MU'!$D$30&gt;(xm_y0T+(xm_nT-1)/2*xm_sT),2*('XA MU'!$D$30-(xm_y0T+(xm_nT-1)/2*xm_sT))/xm_sT,0)),0),0))))</f>
        <v>0</v>
      </c>
      <c r="J52" s="44">
        <f>IF(C52=0,0,IF(2&gt;nLan,0,1*(IF('XA MU'!$B$25&lt;=2,'XA MU'!$E$25*$B$8*(MAX(0,1-ABS('XA MU'!$C$25-$D52)/xm_sT)+MAX(0,1-ABS('XA MU'!$D$25-$D52)/xm_sT)),0)+IF(ABS($D52-(xm_y0T+(xm_nT-1)/2*xm_sT))&lt;0.000001,IF('XA MU'!$B$25&lt;=2,'XA MU'!$E$25*$B$8*(IF('XA MU'!$C$25&gt;(xm_y0T+(xm_nT-1)/2*xm_sT),2*('XA MU'!$C$25-(xm_y0T+(xm_nT-1)/2*xm_sT))/xm_sT,0)+IF('XA MU'!$D$25&gt;(xm_y0T+(xm_nT-1)/2*xm_sT),2*('XA MU'!$D$25-(xm_y0T+(xm_nT-1)/2*xm_sT))/xm_sT,0)),0),0)+IF('XA MU'!$B$26&lt;=2,'XA MU'!$E$26*$B$8*(MAX(0,1-ABS('XA MU'!$C$26-$D52)/xm_sT)+MAX(0,1-ABS('XA MU'!$D$26-$D52)/xm_sT)),0)+IF(ABS($D52-(xm_y0T+(xm_nT-1)/2*xm_sT))&lt;0.000001,IF('XA MU'!$B$26&lt;=2,'XA MU'!$E$26*$B$8*(IF('XA MU'!$C$26&gt;(xm_y0T+(xm_nT-1)/2*xm_sT),2*('XA MU'!$C$26-(xm_y0T+(xm_nT-1)/2*xm_sT))/xm_sT,0)+IF('XA MU'!$D$26&gt;(xm_y0T+(xm_nT-1)/2*xm_sT),2*('XA MU'!$D$26-(xm_y0T+(xm_nT-1)/2*xm_sT))/xm_sT,0)),0),0)+IF('XA MU'!$B$27&lt;=2,'XA MU'!$E$27*$B$8*(MAX(0,1-ABS('XA MU'!$C$27-$D52)/xm_sT)+MAX(0,1-ABS('XA MU'!$D$27-$D52)/xm_sT)),0)+IF(ABS($D52-(xm_y0T+(xm_nT-1)/2*xm_sT))&lt;0.000001,IF('XA MU'!$B$27&lt;=2,'XA MU'!$E$27*$B$8*(IF('XA MU'!$C$27&gt;(xm_y0T+(xm_nT-1)/2*xm_sT),2*('XA MU'!$C$27-(xm_y0T+(xm_nT-1)/2*xm_sT))/xm_sT,0)+IF('XA MU'!$D$27&gt;(xm_y0T+(xm_nT-1)/2*xm_sT),2*('XA MU'!$D$27-(xm_y0T+(xm_nT-1)/2*xm_sT))/xm_sT,0)),0),0)+IF('XA MU'!$B$28&lt;=2,'XA MU'!$E$28*$B$8*(MAX(0,1-ABS('XA MU'!$C$28-$D52)/xm_sT)+MAX(0,1-ABS('XA MU'!$D$28-$D52)/xm_sT)),0)+IF(ABS($D52-(xm_y0T+(xm_nT-1)/2*xm_sT))&lt;0.000001,IF('XA MU'!$B$28&lt;=2,'XA MU'!$E$28*$B$8*(IF('XA MU'!$C$28&gt;(xm_y0T+(xm_nT-1)/2*xm_sT),2*('XA MU'!$C$28-(xm_y0T+(xm_nT-1)/2*xm_sT))/xm_sT,0)+IF('XA MU'!$D$28&gt;(xm_y0T+(xm_nT-1)/2*xm_sT),2*('XA MU'!$D$28-(xm_y0T+(xm_nT-1)/2*xm_sT))/xm_sT,0)),0),0)+IF('XA MU'!$B$29&lt;=2,'XA MU'!$E$29*$B$8*(MAX(0,1-ABS('XA MU'!$C$29-$D52)/xm_sT)+MAX(0,1-ABS('XA MU'!$D$29-$D52)/xm_sT)),0)+IF(ABS($D52-(xm_y0T+(xm_nT-1)/2*xm_sT))&lt;0.000001,IF('XA MU'!$B$29&lt;=2,'XA MU'!$E$29*$B$8*(IF('XA MU'!$C$29&gt;(xm_y0T+(xm_nT-1)/2*xm_sT),2*('XA MU'!$C$29-(xm_y0T+(xm_nT-1)/2*xm_sT))/xm_sT,0)+IF('XA MU'!$D$29&gt;(xm_y0T+(xm_nT-1)/2*xm_sT),2*('XA MU'!$D$29-(xm_y0T+(xm_nT-1)/2*xm_sT))/xm_sT,0)),0),0)+IF('XA MU'!$B$30&lt;=2,'XA MU'!$E$30*$B$8*(MAX(0,1-ABS('XA MU'!$C$30-$D52)/xm_sT)+MAX(0,1-ABS('XA MU'!$D$30-$D52)/xm_sT)),0)+IF(ABS($D52-(xm_y0T+(xm_nT-1)/2*xm_sT))&lt;0.000001,IF('XA MU'!$B$30&lt;=2,'XA MU'!$E$30*$B$8*(IF('XA MU'!$C$30&gt;(xm_y0T+(xm_nT-1)/2*xm_sT),2*('XA MU'!$C$30-(xm_y0T+(xm_nT-1)/2*xm_sT))/xm_sT,0)+IF('XA MU'!$D$30&gt;(xm_y0T+(xm_nT-1)/2*xm_sT),2*('XA MU'!$D$30-(xm_y0T+(xm_nT-1)/2*xm_sT))/xm_sT,0)),0),0))))</f>
        <v>0</v>
      </c>
      <c r="K52" s="44">
        <f>IF(C52=0,0,IF(3&gt;nLan,0,0.85*(IF('XA MU'!$B$25&lt;=3,'XA MU'!$E$25*$B$8*(MAX(0,1-ABS('XA MU'!$C$25-$D52)/xm_sT)+MAX(0,1-ABS('XA MU'!$D$25-$D52)/xm_sT)),0)+IF(ABS($D52-(xm_y0T+(xm_nT-1)/2*xm_sT))&lt;0.000001,IF('XA MU'!$B$25&lt;=3,'XA MU'!$E$25*$B$8*(IF('XA MU'!$C$25&gt;(xm_y0T+(xm_nT-1)/2*xm_sT),2*('XA MU'!$C$25-(xm_y0T+(xm_nT-1)/2*xm_sT))/xm_sT,0)+IF('XA MU'!$D$25&gt;(xm_y0T+(xm_nT-1)/2*xm_sT),2*('XA MU'!$D$25-(xm_y0T+(xm_nT-1)/2*xm_sT))/xm_sT,0)),0),0)+IF('XA MU'!$B$26&lt;=3,'XA MU'!$E$26*$B$8*(MAX(0,1-ABS('XA MU'!$C$26-$D52)/xm_sT)+MAX(0,1-ABS('XA MU'!$D$26-$D52)/xm_sT)),0)+IF(ABS($D52-(xm_y0T+(xm_nT-1)/2*xm_sT))&lt;0.000001,IF('XA MU'!$B$26&lt;=3,'XA MU'!$E$26*$B$8*(IF('XA MU'!$C$26&gt;(xm_y0T+(xm_nT-1)/2*xm_sT),2*('XA MU'!$C$26-(xm_y0T+(xm_nT-1)/2*xm_sT))/xm_sT,0)+IF('XA MU'!$D$26&gt;(xm_y0T+(xm_nT-1)/2*xm_sT),2*('XA MU'!$D$26-(xm_y0T+(xm_nT-1)/2*xm_sT))/xm_sT,0)),0),0)+IF('XA MU'!$B$27&lt;=3,'XA MU'!$E$27*$B$8*(MAX(0,1-ABS('XA MU'!$C$27-$D52)/xm_sT)+MAX(0,1-ABS('XA MU'!$D$27-$D52)/xm_sT)),0)+IF(ABS($D52-(xm_y0T+(xm_nT-1)/2*xm_sT))&lt;0.000001,IF('XA MU'!$B$27&lt;=3,'XA MU'!$E$27*$B$8*(IF('XA MU'!$C$27&gt;(xm_y0T+(xm_nT-1)/2*xm_sT),2*('XA MU'!$C$27-(xm_y0T+(xm_nT-1)/2*xm_sT))/xm_sT,0)+IF('XA MU'!$D$27&gt;(xm_y0T+(xm_nT-1)/2*xm_sT),2*('XA MU'!$D$27-(xm_y0T+(xm_nT-1)/2*xm_sT))/xm_sT,0)),0),0)+IF('XA MU'!$B$28&lt;=3,'XA MU'!$E$28*$B$8*(MAX(0,1-ABS('XA MU'!$C$28-$D52)/xm_sT)+MAX(0,1-ABS('XA MU'!$D$28-$D52)/xm_sT)),0)+IF(ABS($D52-(xm_y0T+(xm_nT-1)/2*xm_sT))&lt;0.000001,IF('XA MU'!$B$28&lt;=3,'XA MU'!$E$28*$B$8*(IF('XA MU'!$C$28&gt;(xm_y0T+(xm_nT-1)/2*xm_sT),2*('XA MU'!$C$28-(xm_y0T+(xm_nT-1)/2*xm_sT))/xm_sT,0)+IF('XA MU'!$D$28&gt;(xm_y0T+(xm_nT-1)/2*xm_sT),2*('XA MU'!$D$28-(xm_y0T+(xm_nT-1)/2*xm_sT))/xm_sT,0)),0),0)+IF('XA MU'!$B$29&lt;=3,'XA MU'!$E$29*$B$8*(MAX(0,1-ABS('XA MU'!$C$29-$D52)/xm_sT)+MAX(0,1-ABS('XA MU'!$D$29-$D52)/xm_sT)),0)+IF(ABS($D52-(xm_y0T+(xm_nT-1)/2*xm_sT))&lt;0.000001,IF('XA MU'!$B$29&lt;=3,'XA MU'!$E$29*$B$8*(IF('XA MU'!$C$29&gt;(xm_y0T+(xm_nT-1)/2*xm_sT),2*('XA MU'!$C$29-(xm_y0T+(xm_nT-1)/2*xm_sT))/xm_sT,0)+IF('XA MU'!$D$29&gt;(xm_y0T+(xm_nT-1)/2*xm_sT),2*('XA MU'!$D$29-(xm_y0T+(xm_nT-1)/2*xm_sT))/xm_sT,0)),0),0)+IF('XA MU'!$B$30&lt;=3,'XA MU'!$E$30*$B$8*(MAX(0,1-ABS('XA MU'!$C$30-$D52)/xm_sT)+MAX(0,1-ABS('XA MU'!$D$30-$D52)/xm_sT)),0)+IF(ABS($D52-(xm_y0T+(xm_nT-1)/2*xm_sT))&lt;0.000001,IF('XA MU'!$B$30&lt;=3,'XA MU'!$E$30*$B$8*(IF('XA MU'!$C$30&gt;(xm_y0T+(xm_nT-1)/2*xm_sT),2*('XA MU'!$C$30-(xm_y0T+(xm_nT-1)/2*xm_sT))/xm_sT,0)+IF('XA MU'!$D$30&gt;(xm_y0T+(xm_nT-1)/2*xm_sT),2*('XA MU'!$D$30-(xm_y0T+(xm_nT-1)/2*xm_sT))/xm_sT,0)),0),0))))</f>
        <v>0</v>
      </c>
      <c r="L52" s="44">
        <f>IF(C52=0,0,IF(4&gt;nLan,0,0.65*(IF('XA MU'!$B$25&lt;=4,'XA MU'!$E$25*$B$8*(MAX(0,1-ABS('XA MU'!$C$25-$D52)/xm_sT)+MAX(0,1-ABS('XA MU'!$D$25-$D52)/xm_sT)),0)+IF(ABS($D52-(xm_y0T+(xm_nT-1)/2*xm_sT))&lt;0.000001,IF('XA MU'!$B$25&lt;=4,'XA MU'!$E$25*$B$8*(IF('XA MU'!$C$25&gt;(xm_y0T+(xm_nT-1)/2*xm_sT),2*('XA MU'!$C$25-(xm_y0T+(xm_nT-1)/2*xm_sT))/xm_sT,0)+IF('XA MU'!$D$25&gt;(xm_y0T+(xm_nT-1)/2*xm_sT),2*('XA MU'!$D$25-(xm_y0T+(xm_nT-1)/2*xm_sT))/xm_sT,0)),0),0)+IF('XA MU'!$B$26&lt;=4,'XA MU'!$E$26*$B$8*(MAX(0,1-ABS('XA MU'!$C$26-$D52)/xm_sT)+MAX(0,1-ABS('XA MU'!$D$26-$D52)/xm_sT)),0)+IF(ABS($D52-(xm_y0T+(xm_nT-1)/2*xm_sT))&lt;0.000001,IF('XA MU'!$B$26&lt;=4,'XA MU'!$E$26*$B$8*(IF('XA MU'!$C$26&gt;(xm_y0T+(xm_nT-1)/2*xm_sT),2*('XA MU'!$C$26-(xm_y0T+(xm_nT-1)/2*xm_sT))/xm_sT,0)+IF('XA MU'!$D$26&gt;(xm_y0T+(xm_nT-1)/2*xm_sT),2*('XA MU'!$D$26-(xm_y0T+(xm_nT-1)/2*xm_sT))/xm_sT,0)),0),0)+IF('XA MU'!$B$27&lt;=4,'XA MU'!$E$27*$B$8*(MAX(0,1-ABS('XA MU'!$C$27-$D52)/xm_sT)+MAX(0,1-ABS('XA MU'!$D$27-$D52)/xm_sT)),0)+IF(ABS($D52-(xm_y0T+(xm_nT-1)/2*xm_sT))&lt;0.000001,IF('XA MU'!$B$27&lt;=4,'XA MU'!$E$27*$B$8*(IF('XA MU'!$C$27&gt;(xm_y0T+(xm_nT-1)/2*xm_sT),2*('XA MU'!$C$27-(xm_y0T+(xm_nT-1)/2*xm_sT))/xm_sT,0)+IF('XA MU'!$D$27&gt;(xm_y0T+(xm_nT-1)/2*xm_sT),2*('XA MU'!$D$27-(xm_y0T+(xm_nT-1)/2*xm_sT))/xm_sT,0)),0),0)+IF('XA MU'!$B$28&lt;=4,'XA MU'!$E$28*$B$8*(MAX(0,1-ABS('XA MU'!$C$28-$D52)/xm_sT)+MAX(0,1-ABS('XA MU'!$D$28-$D52)/xm_sT)),0)+IF(ABS($D52-(xm_y0T+(xm_nT-1)/2*xm_sT))&lt;0.000001,IF('XA MU'!$B$28&lt;=4,'XA MU'!$E$28*$B$8*(IF('XA MU'!$C$28&gt;(xm_y0T+(xm_nT-1)/2*xm_sT),2*('XA MU'!$C$28-(xm_y0T+(xm_nT-1)/2*xm_sT))/xm_sT,0)+IF('XA MU'!$D$28&gt;(xm_y0T+(xm_nT-1)/2*xm_sT),2*('XA MU'!$D$28-(xm_y0T+(xm_nT-1)/2*xm_sT))/xm_sT,0)),0),0)+IF('XA MU'!$B$29&lt;=4,'XA MU'!$E$29*$B$8*(MAX(0,1-ABS('XA MU'!$C$29-$D52)/xm_sT)+MAX(0,1-ABS('XA MU'!$D$29-$D52)/xm_sT)),0)+IF(ABS($D52-(xm_y0T+(xm_nT-1)/2*xm_sT))&lt;0.000001,IF('XA MU'!$B$29&lt;=4,'XA MU'!$E$29*$B$8*(IF('XA MU'!$C$29&gt;(xm_y0T+(xm_nT-1)/2*xm_sT),2*('XA MU'!$C$29-(xm_y0T+(xm_nT-1)/2*xm_sT))/xm_sT,0)+IF('XA MU'!$D$29&gt;(xm_y0T+(xm_nT-1)/2*xm_sT),2*('XA MU'!$D$29-(xm_y0T+(xm_nT-1)/2*xm_sT))/xm_sT,0)),0),0)+IF('XA MU'!$B$30&lt;=4,'XA MU'!$E$30*$B$8*(MAX(0,1-ABS('XA MU'!$C$30-$D52)/xm_sT)+MAX(0,1-ABS('XA MU'!$D$30-$D52)/xm_sT)),0)+IF(ABS($D52-(xm_y0T+(xm_nT-1)/2*xm_sT))&lt;0.000001,IF('XA MU'!$B$30&lt;=4,'XA MU'!$E$30*$B$8*(IF('XA MU'!$C$30&gt;(xm_y0T+(xm_nT-1)/2*xm_sT),2*('XA MU'!$C$30-(xm_y0T+(xm_nT-1)/2*xm_sT))/xm_sT,0)+IF('XA MU'!$D$30&gt;(xm_y0T+(xm_nT-1)/2*xm_sT),2*('XA MU'!$D$30-(xm_y0T+(xm_nT-1)/2*xm_sT))/xm_sT,0)),0),0))))</f>
        <v>0</v>
      </c>
      <c r="M52" s="44">
        <f>IF(C52=0,0,IF(5&gt;nLan,0,0.65*(IF('XA MU'!$B$25&lt;=5,'XA MU'!$E$25*$B$8*(MAX(0,1-ABS('XA MU'!$C$25-$D52)/xm_sT)+MAX(0,1-ABS('XA MU'!$D$25-$D52)/xm_sT)),0)+IF(ABS($D52-(xm_y0T+(xm_nT-1)/2*xm_sT))&lt;0.000001,IF('XA MU'!$B$25&lt;=5,'XA MU'!$E$25*$B$8*(IF('XA MU'!$C$25&gt;(xm_y0T+(xm_nT-1)/2*xm_sT),2*('XA MU'!$C$25-(xm_y0T+(xm_nT-1)/2*xm_sT))/xm_sT,0)+IF('XA MU'!$D$25&gt;(xm_y0T+(xm_nT-1)/2*xm_sT),2*('XA MU'!$D$25-(xm_y0T+(xm_nT-1)/2*xm_sT))/xm_sT,0)),0),0)+IF('XA MU'!$B$26&lt;=5,'XA MU'!$E$26*$B$8*(MAX(0,1-ABS('XA MU'!$C$26-$D52)/xm_sT)+MAX(0,1-ABS('XA MU'!$D$26-$D52)/xm_sT)),0)+IF(ABS($D52-(xm_y0T+(xm_nT-1)/2*xm_sT))&lt;0.000001,IF('XA MU'!$B$26&lt;=5,'XA MU'!$E$26*$B$8*(IF('XA MU'!$C$26&gt;(xm_y0T+(xm_nT-1)/2*xm_sT),2*('XA MU'!$C$26-(xm_y0T+(xm_nT-1)/2*xm_sT))/xm_sT,0)+IF('XA MU'!$D$26&gt;(xm_y0T+(xm_nT-1)/2*xm_sT),2*('XA MU'!$D$26-(xm_y0T+(xm_nT-1)/2*xm_sT))/xm_sT,0)),0),0)+IF('XA MU'!$B$27&lt;=5,'XA MU'!$E$27*$B$8*(MAX(0,1-ABS('XA MU'!$C$27-$D52)/xm_sT)+MAX(0,1-ABS('XA MU'!$D$27-$D52)/xm_sT)),0)+IF(ABS($D52-(xm_y0T+(xm_nT-1)/2*xm_sT))&lt;0.000001,IF('XA MU'!$B$27&lt;=5,'XA MU'!$E$27*$B$8*(IF('XA MU'!$C$27&gt;(xm_y0T+(xm_nT-1)/2*xm_sT),2*('XA MU'!$C$27-(xm_y0T+(xm_nT-1)/2*xm_sT))/xm_sT,0)+IF('XA MU'!$D$27&gt;(xm_y0T+(xm_nT-1)/2*xm_sT),2*('XA MU'!$D$27-(xm_y0T+(xm_nT-1)/2*xm_sT))/xm_sT,0)),0),0)+IF('XA MU'!$B$28&lt;=5,'XA MU'!$E$28*$B$8*(MAX(0,1-ABS('XA MU'!$C$28-$D52)/xm_sT)+MAX(0,1-ABS('XA MU'!$D$28-$D52)/xm_sT)),0)+IF(ABS($D52-(xm_y0T+(xm_nT-1)/2*xm_sT))&lt;0.000001,IF('XA MU'!$B$28&lt;=5,'XA MU'!$E$28*$B$8*(IF('XA MU'!$C$28&gt;(xm_y0T+(xm_nT-1)/2*xm_sT),2*('XA MU'!$C$28-(xm_y0T+(xm_nT-1)/2*xm_sT))/xm_sT,0)+IF('XA MU'!$D$28&gt;(xm_y0T+(xm_nT-1)/2*xm_sT),2*('XA MU'!$D$28-(xm_y0T+(xm_nT-1)/2*xm_sT))/xm_sT,0)),0),0)+IF('XA MU'!$B$29&lt;=5,'XA MU'!$E$29*$B$8*(MAX(0,1-ABS('XA MU'!$C$29-$D52)/xm_sT)+MAX(0,1-ABS('XA MU'!$D$29-$D52)/xm_sT)),0)+IF(ABS($D52-(xm_y0T+(xm_nT-1)/2*xm_sT))&lt;0.000001,IF('XA MU'!$B$29&lt;=5,'XA MU'!$E$29*$B$8*(IF('XA MU'!$C$29&gt;(xm_y0T+(xm_nT-1)/2*xm_sT),2*('XA MU'!$C$29-(xm_y0T+(xm_nT-1)/2*xm_sT))/xm_sT,0)+IF('XA MU'!$D$29&gt;(xm_y0T+(xm_nT-1)/2*xm_sT),2*('XA MU'!$D$29-(xm_y0T+(xm_nT-1)/2*xm_sT))/xm_sT,0)),0),0)+IF('XA MU'!$B$30&lt;=5,'XA MU'!$E$30*$B$8*(MAX(0,1-ABS('XA MU'!$C$30-$D52)/xm_sT)+MAX(0,1-ABS('XA MU'!$D$30-$D52)/xm_sT)),0)+IF(ABS($D52-(xm_y0T+(xm_nT-1)/2*xm_sT))&lt;0.000001,IF('XA MU'!$B$30&lt;=5,'XA MU'!$E$30*$B$8*(IF('XA MU'!$C$30&gt;(xm_y0T+(xm_nT-1)/2*xm_sT),2*('XA MU'!$C$30-(xm_y0T+(xm_nT-1)/2*xm_sT))/xm_sT,0)+IF('XA MU'!$D$30&gt;(xm_y0T+(xm_nT-1)/2*xm_sT),2*('XA MU'!$D$30-(xm_y0T+(xm_nT-1)/2*xm_sT))/xm_sT,0)),0),0))))</f>
        <v>0</v>
      </c>
      <c r="N52" s="44">
        <f>IF(C52=0,0,IF(6&gt;nLan,0,0.65*(IF('XA MU'!$B$25&lt;=6,'XA MU'!$E$25*$B$8*(MAX(0,1-ABS('XA MU'!$C$25-$D52)/xm_sT)+MAX(0,1-ABS('XA MU'!$D$25-$D52)/xm_sT)),0)+IF(ABS($D52-(xm_y0T+(xm_nT-1)/2*xm_sT))&lt;0.000001,IF('XA MU'!$B$25&lt;=6,'XA MU'!$E$25*$B$8*(IF('XA MU'!$C$25&gt;(xm_y0T+(xm_nT-1)/2*xm_sT),2*('XA MU'!$C$25-(xm_y0T+(xm_nT-1)/2*xm_sT))/xm_sT,0)+IF('XA MU'!$D$25&gt;(xm_y0T+(xm_nT-1)/2*xm_sT),2*('XA MU'!$D$25-(xm_y0T+(xm_nT-1)/2*xm_sT))/xm_sT,0)),0),0)+IF('XA MU'!$B$26&lt;=6,'XA MU'!$E$26*$B$8*(MAX(0,1-ABS('XA MU'!$C$26-$D52)/xm_sT)+MAX(0,1-ABS('XA MU'!$D$26-$D52)/xm_sT)),0)+IF(ABS($D52-(xm_y0T+(xm_nT-1)/2*xm_sT))&lt;0.000001,IF('XA MU'!$B$26&lt;=6,'XA MU'!$E$26*$B$8*(IF('XA MU'!$C$26&gt;(xm_y0T+(xm_nT-1)/2*xm_sT),2*('XA MU'!$C$26-(xm_y0T+(xm_nT-1)/2*xm_sT))/xm_sT,0)+IF('XA MU'!$D$26&gt;(xm_y0T+(xm_nT-1)/2*xm_sT),2*('XA MU'!$D$26-(xm_y0T+(xm_nT-1)/2*xm_sT))/xm_sT,0)),0),0)+IF('XA MU'!$B$27&lt;=6,'XA MU'!$E$27*$B$8*(MAX(0,1-ABS('XA MU'!$C$27-$D52)/xm_sT)+MAX(0,1-ABS('XA MU'!$D$27-$D52)/xm_sT)),0)+IF(ABS($D52-(xm_y0T+(xm_nT-1)/2*xm_sT))&lt;0.000001,IF('XA MU'!$B$27&lt;=6,'XA MU'!$E$27*$B$8*(IF('XA MU'!$C$27&gt;(xm_y0T+(xm_nT-1)/2*xm_sT),2*('XA MU'!$C$27-(xm_y0T+(xm_nT-1)/2*xm_sT))/xm_sT,0)+IF('XA MU'!$D$27&gt;(xm_y0T+(xm_nT-1)/2*xm_sT),2*('XA MU'!$D$27-(xm_y0T+(xm_nT-1)/2*xm_sT))/xm_sT,0)),0),0)+IF('XA MU'!$B$28&lt;=6,'XA MU'!$E$28*$B$8*(MAX(0,1-ABS('XA MU'!$C$28-$D52)/xm_sT)+MAX(0,1-ABS('XA MU'!$D$28-$D52)/xm_sT)),0)+IF(ABS($D52-(xm_y0T+(xm_nT-1)/2*xm_sT))&lt;0.000001,IF('XA MU'!$B$28&lt;=6,'XA MU'!$E$28*$B$8*(IF('XA MU'!$C$28&gt;(xm_y0T+(xm_nT-1)/2*xm_sT),2*('XA MU'!$C$28-(xm_y0T+(xm_nT-1)/2*xm_sT))/xm_sT,0)+IF('XA MU'!$D$28&gt;(xm_y0T+(xm_nT-1)/2*xm_sT),2*('XA MU'!$D$28-(xm_y0T+(xm_nT-1)/2*xm_sT))/xm_sT,0)),0),0)+IF('XA MU'!$B$29&lt;=6,'XA MU'!$E$29*$B$8*(MAX(0,1-ABS('XA MU'!$C$29-$D52)/xm_sT)+MAX(0,1-ABS('XA MU'!$D$29-$D52)/xm_sT)),0)+IF(ABS($D52-(xm_y0T+(xm_nT-1)/2*xm_sT))&lt;0.000001,IF('XA MU'!$B$29&lt;=6,'XA MU'!$E$29*$B$8*(IF('XA MU'!$C$29&gt;(xm_y0T+(xm_nT-1)/2*xm_sT),2*('XA MU'!$C$29-(xm_y0T+(xm_nT-1)/2*xm_sT))/xm_sT,0)+IF('XA MU'!$D$29&gt;(xm_y0T+(xm_nT-1)/2*xm_sT),2*('XA MU'!$D$29-(xm_y0T+(xm_nT-1)/2*xm_sT))/xm_sT,0)),0),0)+IF('XA MU'!$B$30&lt;=6,'XA MU'!$E$30*$B$8*(MAX(0,1-ABS('XA MU'!$C$30-$D52)/xm_sT)+MAX(0,1-ABS('XA MU'!$D$30-$D52)/xm_sT)),0)+IF(ABS($D52-(xm_y0T+(xm_nT-1)/2*xm_sT))&lt;0.000001,IF('XA MU'!$B$30&lt;=6,'XA MU'!$E$30*$B$8*(IF('XA MU'!$C$30&gt;(xm_y0T+(xm_nT-1)/2*xm_sT),2*('XA MU'!$C$30-(xm_y0T+(xm_nT-1)/2*xm_sT))/xm_sT,0)+IF('XA MU'!$D$30&gt;(xm_y0T+(xm_nT-1)/2*xm_sT),2*('XA MU'!$D$30-(xm_y0T+(xm_nT-1)/2*xm_sT))/xm_sT,0)),0),0))))</f>
        <v>0</v>
      </c>
    </row>
    <row r="53" spans="1:14" x14ac:dyDescent="0.3">
      <c r="A53" s="42" t="s">
        <v>1235</v>
      </c>
      <c r="B53" s="42">
        <v>39</v>
      </c>
      <c r="C53" s="40">
        <f t="shared" si="0"/>
        <v>0</v>
      </c>
      <c r="D53" s="44">
        <f t="shared" si="1"/>
        <v>0</v>
      </c>
      <c r="E53" s="44">
        <f>MAX(0,D53-'XA MU'!$C$8)*C53</f>
        <v>0</v>
      </c>
      <c r="F53" s="44">
        <f>IF(AND(C53=1,D53&gt;'XA MU'!$C$8),1,0)</f>
        <v>0</v>
      </c>
      <c r="G53" s="44">
        <f t="shared" si="2"/>
        <v>0</v>
      </c>
      <c r="H53" s="44">
        <f t="shared" si="3"/>
        <v>0</v>
      </c>
      <c r="I53" s="44">
        <f>IF(C53=0,0,IF(1&gt;nLan,0,1.2*(IF('XA MU'!$B$25&lt;=1,'XA MU'!$E$25*$B$8*(MAX(0,1-ABS('XA MU'!$C$25-$D53)/xm_sT)+MAX(0,1-ABS('XA MU'!$D$25-$D53)/xm_sT)),0)+IF(ABS($D53-(xm_y0T+(xm_nT-1)/2*xm_sT))&lt;0.000001,IF('XA MU'!$B$25&lt;=1,'XA MU'!$E$25*$B$8*(IF('XA MU'!$C$25&gt;(xm_y0T+(xm_nT-1)/2*xm_sT),2*('XA MU'!$C$25-(xm_y0T+(xm_nT-1)/2*xm_sT))/xm_sT,0)+IF('XA MU'!$D$25&gt;(xm_y0T+(xm_nT-1)/2*xm_sT),2*('XA MU'!$D$25-(xm_y0T+(xm_nT-1)/2*xm_sT))/xm_sT,0)),0),0)+IF('XA MU'!$B$26&lt;=1,'XA MU'!$E$26*$B$8*(MAX(0,1-ABS('XA MU'!$C$26-$D53)/xm_sT)+MAX(0,1-ABS('XA MU'!$D$26-$D53)/xm_sT)),0)+IF(ABS($D53-(xm_y0T+(xm_nT-1)/2*xm_sT))&lt;0.000001,IF('XA MU'!$B$26&lt;=1,'XA MU'!$E$26*$B$8*(IF('XA MU'!$C$26&gt;(xm_y0T+(xm_nT-1)/2*xm_sT),2*('XA MU'!$C$26-(xm_y0T+(xm_nT-1)/2*xm_sT))/xm_sT,0)+IF('XA MU'!$D$26&gt;(xm_y0T+(xm_nT-1)/2*xm_sT),2*('XA MU'!$D$26-(xm_y0T+(xm_nT-1)/2*xm_sT))/xm_sT,0)),0),0)+IF('XA MU'!$B$27&lt;=1,'XA MU'!$E$27*$B$8*(MAX(0,1-ABS('XA MU'!$C$27-$D53)/xm_sT)+MAX(0,1-ABS('XA MU'!$D$27-$D53)/xm_sT)),0)+IF(ABS($D53-(xm_y0T+(xm_nT-1)/2*xm_sT))&lt;0.000001,IF('XA MU'!$B$27&lt;=1,'XA MU'!$E$27*$B$8*(IF('XA MU'!$C$27&gt;(xm_y0T+(xm_nT-1)/2*xm_sT),2*('XA MU'!$C$27-(xm_y0T+(xm_nT-1)/2*xm_sT))/xm_sT,0)+IF('XA MU'!$D$27&gt;(xm_y0T+(xm_nT-1)/2*xm_sT),2*('XA MU'!$D$27-(xm_y0T+(xm_nT-1)/2*xm_sT))/xm_sT,0)),0),0)+IF('XA MU'!$B$28&lt;=1,'XA MU'!$E$28*$B$8*(MAX(0,1-ABS('XA MU'!$C$28-$D53)/xm_sT)+MAX(0,1-ABS('XA MU'!$D$28-$D53)/xm_sT)),0)+IF(ABS($D53-(xm_y0T+(xm_nT-1)/2*xm_sT))&lt;0.000001,IF('XA MU'!$B$28&lt;=1,'XA MU'!$E$28*$B$8*(IF('XA MU'!$C$28&gt;(xm_y0T+(xm_nT-1)/2*xm_sT),2*('XA MU'!$C$28-(xm_y0T+(xm_nT-1)/2*xm_sT))/xm_sT,0)+IF('XA MU'!$D$28&gt;(xm_y0T+(xm_nT-1)/2*xm_sT),2*('XA MU'!$D$28-(xm_y0T+(xm_nT-1)/2*xm_sT))/xm_sT,0)),0),0)+IF('XA MU'!$B$29&lt;=1,'XA MU'!$E$29*$B$8*(MAX(0,1-ABS('XA MU'!$C$29-$D53)/xm_sT)+MAX(0,1-ABS('XA MU'!$D$29-$D53)/xm_sT)),0)+IF(ABS($D53-(xm_y0T+(xm_nT-1)/2*xm_sT))&lt;0.000001,IF('XA MU'!$B$29&lt;=1,'XA MU'!$E$29*$B$8*(IF('XA MU'!$C$29&gt;(xm_y0T+(xm_nT-1)/2*xm_sT),2*('XA MU'!$C$29-(xm_y0T+(xm_nT-1)/2*xm_sT))/xm_sT,0)+IF('XA MU'!$D$29&gt;(xm_y0T+(xm_nT-1)/2*xm_sT),2*('XA MU'!$D$29-(xm_y0T+(xm_nT-1)/2*xm_sT))/xm_sT,0)),0),0)+IF('XA MU'!$B$30&lt;=1,'XA MU'!$E$30*$B$8*(MAX(0,1-ABS('XA MU'!$C$30-$D53)/xm_sT)+MAX(0,1-ABS('XA MU'!$D$30-$D53)/xm_sT)),0)+IF(ABS($D53-(xm_y0T+(xm_nT-1)/2*xm_sT))&lt;0.000001,IF('XA MU'!$B$30&lt;=1,'XA MU'!$E$30*$B$8*(IF('XA MU'!$C$30&gt;(xm_y0T+(xm_nT-1)/2*xm_sT),2*('XA MU'!$C$30-(xm_y0T+(xm_nT-1)/2*xm_sT))/xm_sT,0)+IF('XA MU'!$D$30&gt;(xm_y0T+(xm_nT-1)/2*xm_sT),2*('XA MU'!$D$30-(xm_y0T+(xm_nT-1)/2*xm_sT))/xm_sT,0)),0),0))))</f>
        <v>0</v>
      </c>
      <c r="J53" s="44">
        <f>IF(C53=0,0,IF(2&gt;nLan,0,1*(IF('XA MU'!$B$25&lt;=2,'XA MU'!$E$25*$B$8*(MAX(0,1-ABS('XA MU'!$C$25-$D53)/xm_sT)+MAX(0,1-ABS('XA MU'!$D$25-$D53)/xm_sT)),0)+IF(ABS($D53-(xm_y0T+(xm_nT-1)/2*xm_sT))&lt;0.000001,IF('XA MU'!$B$25&lt;=2,'XA MU'!$E$25*$B$8*(IF('XA MU'!$C$25&gt;(xm_y0T+(xm_nT-1)/2*xm_sT),2*('XA MU'!$C$25-(xm_y0T+(xm_nT-1)/2*xm_sT))/xm_sT,0)+IF('XA MU'!$D$25&gt;(xm_y0T+(xm_nT-1)/2*xm_sT),2*('XA MU'!$D$25-(xm_y0T+(xm_nT-1)/2*xm_sT))/xm_sT,0)),0),0)+IF('XA MU'!$B$26&lt;=2,'XA MU'!$E$26*$B$8*(MAX(0,1-ABS('XA MU'!$C$26-$D53)/xm_sT)+MAX(0,1-ABS('XA MU'!$D$26-$D53)/xm_sT)),0)+IF(ABS($D53-(xm_y0T+(xm_nT-1)/2*xm_sT))&lt;0.000001,IF('XA MU'!$B$26&lt;=2,'XA MU'!$E$26*$B$8*(IF('XA MU'!$C$26&gt;(xm_y0T+(xm_nT-1)/2*xm_sT),2*('XA MU'!$C$26-(xm_y0T+(xm_nT-1)/2*xm_sT))/xm_sT,0)+IF('XA MU'!$D$26&gt;(xm_y0T+(xm_nT-1)/2*xm_sT),2*('XA MU'!$D$26-(xm_y0T+(xm_nT-1)/2*xm_sT))/xm_sT,0)),0),0)+IF('XA MU'!$B$27&lt;=2,'XA MU'!$E$27*$B$8*(MAX(0,1-ABS('XA MU'!$C$27-$D53)/xm_sT)+MAX(0,1-ABS('XA MU'!$D$27-$D53)/xm_sT)),0)+IF(ABS($D53-(xm_y0T+(xm_nT-1)/2*xm_sT))&lt;0.000001,IF('XA MU'!$B$27&lt;=2,'XA MU'!$E$27*$B$8*(IF('XA MU'!$C$27&gt;(xm_y0T+(xm_nT-1)/2*xm_sT),2*('XA MU'!$C$27-(xm_y0T+(xm_nT-1)/2*xm_sT))/xm_sT,0)+IF('XA MU'!$D$27&gt;(xm_y0T+(xm_nT-1)/2*xm_sT),2*('XA MU'!$D$27-(xm_y0T+(xm_nT-1)/2*xm_sT))/xm_sT,0)),0),0)+IF('XA MU'!$B$28&lt;=2,'XA MU'!$E$28*$B$8*(MAX(0,1-ABS('XA MU'!$C$28-$D53)/xm_sT)+MAX(0,1-ABS('XA MU'!$D$28-$D53)/xm_sT)),0)+IF(ABS($D53-(xm_y0T+(xm_nT-1)/2*xm_sT))&lt;0.000001,IF('XA MU'!$B$28&lt;=2,'XA MU'!$E$28*$B$8*(IF('XA MU'!$C$28&gt;(xm_y0T+(xm_nT-1)/2*xm_sT),2*('XA MU'!$C$28-(xm_y0T+(xm_nT-1)/2*xm_sT))/xm_sT,0)+IF('XA MU'!$D$28&gt;(xm_y0T+(xm_nT-1)/2*xm_sT),2*('XA MU'!$D$28-(xm_y0T+(xm_nT-1)/2*xm_sT))/xm_sT,0)),0),0)+IF('XA MU'!$B$29&lt;=2,'XA MU'!$E$29*$B$8*(MAX(0,1-ABS('XA MU'!$C$29-$D53)/xm_sT)+MAX(0,1-ABS('XA MU'!$D$29-$D53)/xm_sT)),0)+IF(ABS($D53-(xm_y0T+(xm_nT-1)/2*xm_sT))&lt;0.000001,IF('XA MU'!$B$29&lt;=2,'XA MU'!$E$29*$B$8*(IF('XA MU'!$C$29&gt;(xm_y0T+(xm_nT-1)/2*xm_sT),2*('XA MU'!$C$29-(xm_y0T+(xm_nT-1)/2*xm_sT))/xm_sT,0)+IF('XA MU'!$D$29&gt;(xm_y0T+(xm_nT-1)/2*xm_sT),2*('XA MU'!$D$29-(xm_y0T+(xm_nT-1)/2*xm_sT))/xm_sT,0)),0),0)+IF('XA MU'!$B$30&lt;=2,'XA MU'!$E$30*$B$8*(MAX(0,1-ABS('XA MU'!$C$30-$D53)/xm_sT)+MAX(0,1-ABS('XA MU'!$D$30-$D53)/xm_sT)),0)+IF(ABS($D53-(xm_y0T+(xm_nT-1)/2*xm_sT))&lt;0.000001,IF('XA MU'!$B$30&lt;=2,'XA MU'!$E$30*$B$8*(IF('XA MU'!$C$30&gt;(xm_y0T+(xm_nT-1)/2*xm_sT),2*('XA MU'!$C$30-(xm_y0T+(xm_nT-1)/2*xm_sT))/xm_sT,0)+IF('XA MU'!$D$30&gt;(xm_y0T+(xm_nT-1)/2*xm_sT),2*('XA MU'!$D$30-(xm_y0T+(xm_nT-1)/2*xm_sT))/xm_sT,0)),0),0))))</f>
        <v>0</v>
      </c>
      <c r="K53" s="44">
        <f>IF(C53=0,0,IF(3&gt;nLan,0,0.85*(IF('XA MU'!$B$25&lt;=3,'XA MU'!$E$25*$B$8*(MAX(0,1-ABS('XA MU'!$C$25-$D53)/xm_sT)+MAX(0,1-ABS('XA MU'!$D$25-$D53)/xm_sT)),0)+IF(ABS($D53-(xm_y0T+(xm_nT-1)/2*xm_sT))&lt;0.000001,IF('XA MU'!$B$25&lt;=3,'XA MU'!$E$25*$B$8*(IF('XA MU'!$C$25&gt;(xm_y0T+(xm_nT-1)/2*xm_sT),2*('XA MU'!$C$25-(xm_y0T+(xm_nT-1)/2*xm_sT))/xm_sT,0)+IF('XA MU'!$D$25&gt;(xm_y0T+(xm_nT-1)/2*xm_sT),2*('XA MU'!$D$25-(xm_y0T+(xm_nT-1)/2*xm_sT))/xm_sT,0)),0),0)+IF('XA MU'!$B$26&lt;=3,'XA MU'!$E$26*$B$8*(MAX(0,1-ABS('XA MU'!$C$26-$D53)/xm_sT)+MAX(0,1-ABS('XA MU'!$D$26-$D53)/xm_sT)),0)+IF(ABS($D53-(xm_y0T+(xm_nT-1)/2*xm_sT))&lt;0.000001,IF('XA MU'!$B$26&lt;=3,'XA MU'!$E$26*$B$8*(IF('XA MU'!$C$26&gt;(xm_y0T+(xm_nT-1)/2*xm_sT),2*('XA MU'!$C$26-(xm_y0T+(xm_nT-1)/2*xm_sT))/xm_sT,0)+IF('XA MU'!$D$26&gt;(xm_y0T+(xm_nT-1)/2*xm_sT),2*('XA MU'!$D$26-(xm_y0T+(xm_nT-1)/2*xm_sT))/xm_sT,0)),0),0)+IF('XA MU'!$B$27&lt;=3,'XA MU'!$E$27*$B$8*(MAX(0,1-ABS('XA MU'!$C$27-$D53)/xm_sT)+MAX(0,1-ABS('XA MU'!$D$27-$D53)/xm_sT)),0)+IF(ABS($D53-(xm_y0T+(xm_nT-1)/2*xm_sT))&lt;0.000001,IF('XA MU'!$B$27&lt;=3,'XA MU'!$E$27*$B$8*(IF('XA MU'!$C$27&gt;(xm_y0T+(xm_nT-1)/2*xm_sT),2*('XA MU'!$C$27-(xm_y0T+(xm_nT-1)/2*xm_sT))/xm_sT,0)+IF('XA MU'!$D$27&gt;(xm_y0T+(xm_nT-1)/2*xm_sT),2*('XA MU'!$D$27-(xm_y0T+(xm_nT-1)/2*xm_sT))/xm_sT,0)),0),0)+IF('XA MU'!$B$28&lt;=3,'XA MU'!$E$28*$B$8*(MAX(0,1-ABS('XA MU'!$C$28-$D53)/xm_sT)+MAX(0,1-ABS('XA MU'!$D$28-$D53)/xm_sT)),0)+IF(ABS($D53-(xm_y0T+(xm_nT-1)/2*xm_sT))&lt;0.000001,IF('XA MU'!$B$28&lt;=3,'XA MU'!$E$28*$B$8*(IF('XA MU'!$C$28&gt;(xm_y0T+(xm_nT-1)/2*xm_sT),2*('XA MU'!$C$28-(xm_y0T+(xm_nT-1)/2*xm_sT))/xm_sT,0)+IF('XA MU'!$D$28&gt;(xm_y0T+(xm_nT-1)/2*xm_sT),2*('XA MU'!$D$28-(xm_y0T+(xm_nT-1)/2*xm_sT))/xm_sT,0)),0),0)+IF('XA MU'!$B$29&lt;=3,'XA MU'!$E$29*$B$8*(MAX(0,1-ABS('XA MU'!$C$29-$D53)/xm_sT)+MAX(0,1-ABS('XA MU'!$D$29-$D53)/xm_sT)),0)+IF(ABS($D53-(xm_y0T+(xm_nT-1)/2*xm_sT))&lt;0.000001,IF('XA MU'!$B$29&lt;=3,'XA MU'!$E$29*$B$8*(IF('XA MU'!$C$29&gt;(xm_y0T+(xm_nT-1)/2*xm_sT),2*('XA MU'!$C$29-(xm_y0T+(xm_nT-1)/2*xm_sT))/xm_sT,0)+IF('XA MU'!$D$29&gt;(xm_y0T+(xm_nT-1)/2*xm_sT),2*('XA MU'!$D$29-(xm_y0T+(xm_nT-1)/2*xm_sT))/xm_sT,0)),0),0)+IF('XA MU'!$B$30&lt;=3,'XA MU'!$E$30*$B$8*(MAX(0,1-ABS('XA MU'!$C$30-$D53)/xm_sT)+MAX(0,1-ABS('XA MU'!$D$30-$D53)/xm_sT)),0)+IF(ABS($D53-(xm_y0T+(xm_nT-1)/2*xm_sT))&lt;0.000001,IF('XA MU'!$B$30&lt;=3,'XA MU'!$E$30*$B$8*(IF('XA MU'!$C$30&gt;(xm_y0T+(xm_nT-1)/2*xm_sT),2*('XA MU'!$C$30-(xm_y0T+(xm_nT-1)/2*xm_sT))/xm_sT,0)+IF('XA MU'!$D$30&gt;(xm_y0T+(xm_nT-1)/2*xm_sT),2*('XA MU'!$D$30-(xm_y0T+(xm_nT-1)/2*xm_sT))/xm_sT,0)),0),0))))</f>
        <v>0</v>
      </c>
      <c r="L53" s="44">
        <f>IF(C53=0,0,IF(4&gt;nLan,0,0.65*(IF('XA MU'!$B$25&lt;=4,'XA MU'!$E$25*$B$8*(MAX(0,1-ABS('XA MU'!$C$25-$D53)/xm_sT)+MAX(0,1-ABS('XA MU'!$D$25-$D53)/xm_sT)),0)+IF(ABS($D53-(xm_y0T+(xm_nT-1)/2*xm_sT))&lt;0.000001,IF('XA MU'!$B$25&lt;=4,'XA MU'!$E$25*$B$8*(IF('XA MU'!$C$25&gt;(xm_y0T+(xm_nT-1)/2*xm_sT),2*('XA MU'!$C$25-(xm_y0T+(xm_nT-1)/2*xm_sT))/xm_sT,0)+IF('XA MU'!$D$25&gt;(xm_y0T+(xm_nT-1)/2*xm_sT),2*('XA MU'!$D$25-(xm_y0T+(xm_nT-1)/2*xm_sT))/xm_sT,0)),0),0)+IF('XA MU'!$B$26&lt;=4,'XA MU'!$E$26*$B$8*(MAX(0,1-ABS('XA MU'!$C$26-$D53)/xm_sT)+MAX(0,1-ABS('XA MU'!$D$26-$D53)/xm_sT)),0)+IF(ABS($D53-(xm_y0T+(xm_nT-1)/2*xm_sT))&lt;0.000001,IF('XA MU'!$B$26&lt;=4,'XA MU'!$E$26*$B$8*(IF('XA MU'!$C$26&gt;(xm_y0T+(xm_nT-1)/2*xm_sT),2*('XA MU'!$C$26-(xm_y0T+(xm_nT-1)/2*xm_sT))/xm_sT,0)+IF('XA MU'!$D$26&gt;(xm_y0T+(xm_nT-1)/2*xm_sT),2*('XA MU'!$D$26-(xm_y0T+(xm_nT-1)/2*xm_sT))/xm_sT,0)),0),0)+IF('XA MU'!$B$27&lt;=4,'XA MU'!$E$27*$B$8*(MAX(0,1-ABS('XA MU'!$C$27-$D53)/xm_sT)+MAX(0,1-ABS('XA MU'!$D$27-$D53)/xm_sT)),0)+IF(ABS($D53-(xm_y0T+(xm_nT-1)/2*xm_sT))&lt;0.000001,IF('XA MU'!$B$27&lt;=4,'XA MU'!$E$27*$B$8*(IF('XA MU'!$C$27&gt;(xm_y0T+(xm_nT-1)/2*xm_sT),2*('XA MU'!$C$27-(xm_y0T+(xm_nT-1)/2*xm_sT))/xm_sT,0)+IF('XA MU'!$D$27&gt;(xm_y0T+(xm_nT-1)/2*xm_sT),2*('XA MU'!$D$27-(xm_y0T+(xm_nT-1)/2*xm_sT))/xm_sT,0)),0),0)+IF('XA MU'!$B$28&lt;=4,'XA MU'!$E$28*$B$8*(MAX(0,1-ABS('XA MU'!$C$28-$D53)/xm_sT)+MAX(0,1-ABS('XA MU'!$D$28-$D53)/xm_sT)),0)+IF(ABS($D53-(xm_y0T+(xm_nT-1)/2*xm_sT))&lt;0.000001,IF('XA MU'!$B$28&lt;=4,'XA MU'!$E$28*$B$8*(IF('XA MU'!$C$28&gt;(xm_y0T+(xm_nT-1)/2*xm_sT),2*('XA MU'!$C$28-(xm_y0T+(xm_nT-1)/2*xm_sT))/xm_sT,0)+IF('XA MU'!$D$28&gt;(xm_y0T+(xm_nT-1)/2*xm_sT),2*('XA MU'!$D$28-(xm_y0T+(xm_nT-1)/2*xm_sT))/xm_sT,0)),0),0)+IF('XA MU'!$B$29&lt;=4,'XA MU'!$E$29*$B$8*(MAX(0,1-ABS('XA MU'!$C$29-$D53)/xm_sT)+MAX(0,1-ABS('XA MU'!$D$29-$D53)/xm_sT)),0)+IF(ABS($D53-(xm_y0T+(xm_nT-1)/2*xm_sT))&lt;0.000001,IF('XA MU'!$B$29&lt;=4,'XA MU'!$E$29*$B$8*(IF('XA MU'!$C$29&gt;(xm_y0T+(xm_nT-1)/2*xm_sT),2*('XA MU'!$C$29-(xm_y0T+(xm_nT-1)/2*xm_sT))/xm_sT,0)+IF('XA MU'!$D$29&gt;(xm_y0T+(xm_nT-1)/2*xm_sT),2*('XA MU'!$D$29-(xm_y0T+(xm_nT-1)/2*xm_sT))/xm_sT,0)),0),0)+IF('XA MU'!$B$30&lt;=4,'XA MU'!$E$30*$B$8*(MAX(0,1-ABS('XA MU'!$C$30-$D53)/xm_sT)+MAX(0,1-ABS('XA MU'!$D$30-$D53)/xm_sT)),0)+IF(ABS($D53-(xm_y0T+(xm_nT-1)/2*xm_sT))&lt;0.000001,IF('XA MU'!$B$30&lt;=4,'XA MU'!$E$30*$B$8*(IF('XA MU'!$C$30&gt;(xm_y0T+(xm_nT-1)/2*xm_sT),2*('XA MU'!$C$30-(xm_y0T+(xm_nT-1)/2*xm_sT))/xm_sT,0)+IF('XA MU'!$D$30&gt;(xm_y0T+(xm_nT-1)/2*xm_sT),2*('XA MU'!$D$30-(xm_y0T+(xm_nT-1)/2*xm_sT))/xm_sT,0)),0),0))))</f>
        <v>0</v>
      </c>
      <c r="M53" s="44">
        <f>IF(C53=0,0,IF(5&gt;nLan,0,0.65*(IF('XA MU'!$B$25&lt;=5,'XA MU'!$E$25*$B$8*(MAX(0,1-ABS('XA MU'!$C$25-$D53)/xm_sT)+MAX(0,1-ABS('XA MU'!$D$25-$D53)/xm_sT)),0)+IF(ABS($D53-(xm_y0T+(xm_nT-1)/2*xm_sT))&lt;0.000001,IF('XA MU'!$B$25&lt;=5,'XA MU'!$E$25*$B$8*(IF('XA MU'!$C$25&gt;(xm_y0T+(xm_nT-1)/2*xm_sT),2*('XA MU'!$C$25-(xm_y0T+(xm_nT-1)/2*xm_sT))/xm_sT,0)+IF('XA MU'!$D$25&gt;(xm_y0T+(xm_nT-1)/2*xm_sT),2*('XA MU'!$D$25-(xm_y0T+(xm_nT-1)/2*xm_sT))/xm_sT,0)),0),0)+IF('XA MU'!$B$26&lt;=5,'XA MU'!$E$26*$B$8*(MAX(0,1-ABS('XA MU'!$C$26-$D53)/xm_sT)+MAX(0,1-ABS('XA MU'!$D$26-$D53)/xm_sT)),0)+IF(ABS($D53-(xm_y0T+(xm_nT-1)/2*xm_sT))&lt;0.000001,IF('XA MU'!$B$26&lt;=5,'XA MU'!$E$26*$B$8*(IF('XA MU'!$C$26&gt;(xm_y0T+(xm_nT-1)/2*xm_sT),2*('XA MU'!$C$26-(xm_y0T+(xm_nT-1)/2*xm_sT))/xm_sT,0)+IF('XA MU'!$D$26&gt;(xm_y0T+(xm_nT-1)/2*xm_sT),2*('XA MU'!$D$26-(xm_y0T+(xm_nT-1)/2*xm_sT))/xm_sT,0)),0),0)+IF('XA MU'!$B$27&lt;=5,'XA MU'!$E$27*$B$8*(MAX(0,1-ABS('XA MU'!$C$27-$D53)/xm_sT)+MAX(0,1-ABS('XA MU'!$D$27-$D53)/xm_sT)),0)+IF(ABS($D53-(xm_y0T+(xm_nT-1)/2*xm_sT))&lt;0.000001,IF('XA MU'!$B$27&lt;=5,'XA MU'!$E$27*$B$8*(IF('XA MU'!$C$27&gt;(xm_y0T+(xm_nT-1)/2*xm_sT),2*('XA MU'!$C$27-(xm_y0T+(xm_nT-1)/2*xm_sT))/xm_sT,0)+IF('XA MU'!$D$27&gt;(xm_y0T+(xm_nT-1)/2*xm_sT),2*('XA MU'!$D$27-(xm_y0T+(xm_nT-1)/2*xm_sT))/xm_sT,0)),0),0)+IF('XA MU'!$B$28&lt;=5,'XA MU'!$E$28*$B$8*(MAX(0,1-ABS('XA MU'!$C$28-$D53)/xm_sT)+MAX(0,1-ABS('XA MU'!$D$28-$D53)/xm_sT)),0)+IF(ABS($D53-(xm_y0T+(xm_nT-1)/2*xm_sT))&lt;0.000001,IF('XA MU'!$B$28&lt;=5,'XA MU'!$E$28*$B$8*(IF('XA MU'!$C$28&gt;(xm_y0T+(xm_nT-1)/2*xm_sT),2*('XA MU'!$C$28-(xm_y0T+(xm_nT-1)/2*xm_sT))/xm_sT,0)+IF('XA MU'!$D$28&gt;(xm_y0T+(xm_nT-1)/2*xm_sT),2*('XA MU'!$D$28-(xm_y0T+(xm_nT-1)/2*xm_sT))/xm_sT,0)),0),0)+IF('XA MU'!$B$29&lt;=5,'XA MU'!$E$29*$B$8*(MAX(0,1-ABS('XA MU'!$C$29-$D53)/xm_sT)+MAX(0,1-ABS('XA MU'!$D$29-$D53)/xm_sT)),0)+IF(ABS($D53-(xm_y0T+(xm_nT-1)/2*xm_sT))&lt;0.000001,IF('XA MU'!$B$29&lt;=5,'XA MU'!$E$29*$B$8*(IF('XA MU'!$C$29&gt;(xm_y0T+(xm_nT-1)/2*xm_sT),2*('XA MU'!$C$29-(xm_y0T+(xm_nT-1)/2*xm_sT))/xm_sT,0)+IF('XA MU'!$D$29&gt;(xm_y0T+(xm_nT-1)/2*xm_sT),2*('XA MU'!$D$29-(xm_y0T+(xm_nT-1)/2*xm_sT))/xm_sT,0)),0),0)+IF('XA MU'!$B$30&lt;=5,'XA MU'!$E$30*$B$8*(MAX(0,1-ABS('XA MU'!$C$30-$D53)/xm_sT)+MAX(0,1-ABS('XA MU'!$D$30-$D53)/xm_sT)),0)+IF(ABS($D53-(xm_y0T+(xm_nT-1)/2*xm_sT))&lt;0.000001,IF('XA MU'!$B$30&lt;=5,'XA MU'!$E$30*$B$8*(IF('XA MU'!$C$30&gt;(xm_y0T+(xm_nT-1)/2*xm_sT),2*('XA MU'!$C$30-(xm_y0T+(xm_nT-1)/2*xm_sT))/xm_sT,0)+IF('XA MU'!$D$30&gt;(xm_y0T+(xm_nT-1)/2*xm_sT),2*('XA MU'!$D$30-(xm_y0T+(xm_nT-1)/2*xm_sT))/xm_sT,0)),0),0))))</f>
        <v>0</v>
      </c>
      <c r="N53" s="44">
        <f>IF(C53=0,0,IF(6&gt;nLan,0,0.65*(IF('XA MU'!$B$25&lt;=6,'XA MU'!$E$25*$B$8*(MAX(0,1-ABS('XA MU'!$C$25-$D53)/xm_sT)+MAX(0,1-ABS('XA MU'!$D$25-$D53)/xm_sT)),0)+IF(ABS($D53-(xm_y0T+(xm_nT-1)/2*xm_sT))&lt;0.000001,IF('XA MU'!$B$25&lt;=6,'XA MU'!$E$25*$B$8*(IF('XA MU'!$C$25&gt;(xm_y0T+(xm_nT-1)/2*xm_sT),2*('XA MU'!$C$25-(xm_y0T+(xm_nT-1)/2*xm_sT))/xm_sT,0)+IF('XA MU'!$D$25&gt;(xm_y0T+(xm_nT-1)/2*xm_sT),2*('XA MU'!$D$25-(xm_y0T+(xm_nT-1)/2*xm_sT))/xm_sT,0)),0),0)+IF('XA MU'!$B$26&lt;=6,'XA MU'!$E$26*$B$8*(MAX(0,1-ABS('XA MU'!$C$26-$D53)/xm_sT)+MAX(0,1-ABS('XA MU'!$D$26-$D53)/xm_sT)),0)+IF(ABS($D53-(xm_y0T+(xm_nT-1)/2*xm_sT))&lt;0.000001,IF('XA MU'!$B$26&lt;=6,'XA MU'!$E$26*$B$8*(IF('XA MU'!$C$26&gt;(xm_y0T+(xm_nT-1)/2*xm_sT),2*('XA MU'!$C$26-(xm_y0T+(xm_nT-1)/2*xm_sT))/xm_sT,0)+IF('XA MU'!$D$26&gt;(xm_y0T+(xm_nT-1)/2*xm_sT),2*('XA MU'!$D$26-(xm_y0T+(xm_nT-1)/2*xm_sT))/xm_sT,0)),0),0)+IF('XA MU'!$B$27&lt;=6,'XA MU'!$E$27*$B$8*(MAX(0,1-ABS('XA MU'!$C$27-$D53)/xm_sT)+MAX(0,1-ABS('XA MU'!$D$27-$D53)/xm_sT)),0)+IF(ABS($D53-(xm_y0T+(xm_nT-1)/2*xm_sT))&lt;0.000001,IF('XA MU'!$B$27&lt;=6,'XA MU'!$E$27*$B$8*(IF('XA MU'!$C$27&gt;(xm_y0T+(xm_nT-1)/2*xm_sT),2*('XA MU'!$C$27-(xm_y0T+(xm_nT-1)/2*xm_sT))/xm_sT,0)+IF('XA MU'!$D$27&gt;(xm_y0T+(xm_nT-1)/2*xm_sT),2*('XA MU'!$D$27-(xm_y0T+(xm_nT-1)/2*xm_sT))/xm_sT,0)),0),0)+IF('XA MU'!$B$28&lt;=6,'XA MU'!$E$28*$B$8*(MAX(0,1-ABS('XA MU'!$C$28-$D53)/xm_sT)+MAX(0,1-ABS('XA MU'!$D$28-$D53)/xm_sT)),0)+IF(ABS($D53-(xm_y0T+(xm_nT-1)/2*xm_sT))&lt;0.000001,IF('XA MU'!$B$28&lt;=6,'XA MU'!$E$28*$B$8*(IF('XA MU'!$C$28&gt;(xm_y0T+(xm_nT-1)/2*xm_sT),2*('XA MU'!$C$28-(xm_y0T+(xm_nT-1)/2*xm_sT))/xm_sT,0)+IF('XA MU'!$D$28&gt;(xm_y0T+(xm_nT-1)/2*xm_sT),2*('XA MU'!$D$28-(xm_y0T+(xm_nT-1)/2*xm_sT))/xm_sT,0)),0),0)+IF('XA MU'!$B$29&lt;=6,'XA MU'!$E$29*$B$8*(MAX(0,1-ABS('XA MU'!$C$29-$D53)/xm_sT)+MAX(0,1-ABS('XA MU'!$D$29-$D53)/xm_sT)),0)+IF(ABS($D53-(xm_y0T+(xm_nT-1)/2*xm_sT))&lt;0.000001,IF('XA MU'!$B$29&lt;=6,'XA MU'!$E$29*$B$8*(IF('XA MU'!$C$29&gt;(xm_y0T+(xm_nT-1)/2*xm_sT),2*('XA MU'!$C$29-(xm_y0T+(xm_nT-1)/2*xm_sT))/xm_sT,0)+IF('XA MU'!$D$29&gt;(xm_y0T+(xm_nT-1)/2*xm_sT),2*('XA MU'!$D$29-(xm_y0T+(xm_nT-1)/2*xm_sT))/xm_sT,0)),0),0)+IF('XA MU'!$B$30&lt;=6,'XA MU'!$E$30*$B$8*(MAX(0,1-ABS('XA MU'!$C$30-$D53)/xm_sT)+MAX(0,1-ABS('XA MU'!$D$30-$D53)/xm_sT)),0)+IF(ABS($D53-(xm_y0T+(xm_nT-1)/2*xm_sT))&lt;0.000001,IF('XA MU'!$B$30&lt;=6,'XA MU'!$E$30*$B$8*(IF('XA MU'!$C$30&gt;(xm_y0T+(xm_nT-1)/2*xm_sT),2*('XA MU'!$C$30-(xm_y0T+(xm_nT-1)/2*xm_sT))/xm_sT,0)+IF('XA MU'!$D$30&gt;(xm_y0T+(xm_nT-1)/2*xm_sT),2*('XA MU'!$D$30-(xm_y0T+(xm_nT-1)/2*xm_sT))/xm_sT,0)),0),0))))</f>
        <v>0</v>
      </c>
    </row>
    <row r="54" spans="1:14" x14ac:dyDescent="0.3">
      <c r="A54" s="42" t="s">
        <v>1235</v>
      </c>
      <c r="B54" s="42">
        <v>40</v>
      </c>
      <c r="C54" s="40">
        <f t="shared" si="0"/>
        <v>0</v>
      </c>
      <c r="D54" s="44">
        <f t="shared" si="1"/>
        <v>0</v>
      </c>
      <c r="E54" s="44">
        <f>MAX(0,D54-'XA MU'!$C$8)*C54</f>
        <v>0</v>
      </c>
      <c r="F54" s="44">
        <f>IF(AND(C54=1,D54&gt;'XA MU'!$C$8),1,0)</f>
        <v>0</v>
      </c>
      <c r="G54" s="44">
        <f t="shared" si="2"/>
        <v>0</v>
      </c>
      <c r="H54" s="44">
        <f t="shared" si="3"/>
        <v>0</v>
      </c>
      <c r="I54" s="44">
        <f>IF(C54=0,0,IF(1&gt;nLan,0,1.2*(IF('XA MU'!$B$25&lt;=1,'XA MU'!$E$25*$B$8*(MAX(0,1-ABS('XA MU'!$C$25-$D54)/xm_sT)+MAX(0,1-ABS('XA MU'!$D$25-$D54)/xm_sT)),0)+IF(ABS($D54-(xm_y0T+(xm_nT-1)/2*xm_sT))&lt;0.000001,IF('XA MU'!$B$25&lt;=1,'XA MU'!$E$25*$B$8*(IF('XA MU'!$C$25&gt;(xm_y0T+(xm_nT-1)/2*xm_sT),2*('XA MU'!$C$25-(xm_y0T+(xm_nT-1)/2*xm_sT))/xm_sT,0)+IF('XA MU'!$D$25&gt;(xm_y0T+(xm_nT-1)/2*xm_sT),2*('XA MU'!$D$25-(xm_y0T+(xm_nT-1)/2*xm_sT))/xm_sT,0)),0),0)+IF('XA MU'!$B$26&lt;=1,'XA MU'!$E$26*$B$8*(MAX(0,1-ABS('XA MU'!$C$26-$D54)/xm_sT)+MAX(0,1-ABS('XA MU'!$D$26-$D54)/xm_sT)),0)+IF(ABS($D54-(xm_y0T+(xm_nT-1)/2*xm_sT))&lt;0.000001,IF('XA MU'!$B$26&lt;=1,'XA MU'!$E$26*$B$8*(IF('XA MU'!$C$26&gt;(xm_y0T+(xm_nT-1)/2*xm_sT),2*('XA MU'!$C$26-(xm_y0T+(xm_nT-1)/2*xm_sT))/xm_sT,0)+IF('XA MU'!$D$26&gt;(xm_y0T+(xm_nT-1)/2*xm_sT),2*('XA MU'!$D$26-(xm_y0T+(xm_nT-1)/2*xm_sT))/xm_sT,0)),0),0)+IF('XA MU'!$B$27&lt;=1,'XA MU'!$E$27*$B$8*(MAX(0,1-ABS('XA MU'!$C$27-$D54)/xm_sT)+MAX(0,1-ABS('XA MU'!$D$27-$D54)/xm_sT)),0)+IF(ABS($D54-(xm_y0T+(xm_nT-1)/2*xm_sT))&lt;0.000001,IF('XA MU'!$B$27&lt;=1,'XA MU'!$E$27*$B$8*(IF('XA MU'!$C$27&gt;(xm_y0T+(xm_nT-1)/2*xm_sT),2*('XA MU'!$C$27-(xm_y0T+(xm_nT-1)/2*xm_sT))/xm_sT,0)+IF('XA MU'!$D$27&gt;(xm_y0T+(xm_nT-1)/2*xm_sT),2*('XA MU'!$D$27-(xm_y0T+(xm_nT-1)/2*xm_sT))/xm_sT,0)),0),0)+IF('XA MU'!$B$28&lt;=1,'XA MU'!$E$28*$B$8*(MAX(0,1-ABS('XA MU'!$C$28-$D54)/xm_sT)+MAX(0,1-ABS('XA MU'!$D$28-$D54)/xm_sT)),0)+IF(ABS($D54-(xm_y0T+(xm_nT-1)/2*xm_sT))&lt;0.000001,IF('XA MU'!$B$28&lt;=1,'XA MU'!$E$28*$B$8*(IF('XA MU'!$C$28&gt;(xm_y0T+(xm_nT-1)/2*xm_sT),2*('XA MU'!$C$28-(xm_y0T+(xm_nT-1)/2*xm_sT))/xm_sT,0)+IF('XA MU'!$D$28&gt;(xm_y0T+(xm_nT-1)/2*xm_sT),2*('XA MU'!$D$28-(xm_y0T+(xm_nT-1)/2*xm_sT))/xm_sT,0)),0),0)+IF('XA MU'!$B$29&lt;=1,'XA MU'!$E$29*$B$8*(MAX(0,1-ABS('XA MU'!$C$29-$D54)/xm_sT)+MAX(0,1-ABS('XA MU'!$D$29-$D54)/xm_sT)),0)+IF(ABS($D54-(xm_y0T+(xm_nT-1)/2*xm_sT))&lt;0.000001,IF('XA MU'!$B$29&lt;=1,'XA MU'!$E$29*$B$8*(IF('XA MU'!$C$29&gt;(xm_y0T+(xm_nT-1)/2*xm_sT),2*('XA MU'!$C$29-(xm_y0T+(xm_nT-1)/2*xm_sT))/xm_sT,0)+IF('XA MU'!$D$29&gt;(xm_y0T+(xm_nT-1)/2*xm_sT),2*('XA MU'!$D$29-(xm_y0T+(xm_nT-1)/2*xm_sT))/xm_sT,0)),0),0)+IF('XA MU'!$B$30&lt;=1,'XA MU'!$E$30*$B$8*(MAX(0,1-ABS('XA MU'!$C$30-$D54)/xm_sT)+MAX(0,1-ABS('XA MU'!$D$30-$D54)/xm_sT)),0)+IF(ABS($D54-(xm_y0T+(xm_nT-1)/2*xm_sT))&lt;0.000001,IF('XA MU'!$B$30&lt;=1,'XA MU'!$E$30*$B$8*(IF('XA MU'!$C$30&gt;(xm_y0T+(xm_nT-1)/2*xm_sT),2*('XA MU'!$C$30-(xm_y0T+(xm_nT-1)/2*xm_sT))/xm_sT,0)+IF('XA MU'!$D$30&gt;(xm_y0T+(xm_nT-1)/2*xm_sT),2*('XA MU'!$D$30-(xm_y0T+(xm_nT-1)/2*xm_sT))/xm_sT,0)),0),0))))</f>
        <v>0</v>
      </c>
      <c r="J54" s="44">
        <f>IF(C54=0,0,IF(2&gt;nLan,0,1*(IF('XA MU'!$B$25&lt;=2,'XA MU'!$E$25*$B$8*(MAX(0,1-ABS('XA MU'!$C$25-$D54)/xm_sT)+MAX(0,1-ABS('XA MU'!$D$25-$D54)/xm_sT)),0)+IF(ABS($D54-(xm_y0T+(xm_nT-1)/2*xm_sT))&lt;0.000001,IF('XA MU'!$B$25&lt;=2,'XA MU'!$E$25*$B$8*(IF('XA MU'!$C$25&gt;(xm_y0T+(xm_nT-1)/2*xm_sT),2*('XA MU'!$C$25-(xm_y0T+(xm_nT-1)/2*xm_sT))/xm_sT,0)+IF('XA MU'!$D$25&gt;(xm_y0T+(xm_nT-1)/2*xm_sT),2*('XA MU'!$D$25-(xm_y0T+(xm_nT-1)/2*xm_sT))/xm_sT,0)),0),0)+IF('XA MU'!$B$26&lt;=2,'XA MU'!$E$26*$B$8*(MAX(0,1-ABS('XA MU'!$C$26-$D54)/xm_sT)+MAX(0,1-ABS('XA MU'!$D$26-$D54)/xm_sT)),0)+IF(ABS($D54-(xm_y0T+(xm_nT-1)/2*xm_sT))&lt;0.000001,IF('XA MU'!$B$26&lt;=2,'XA MU'!$E$26*$B$8*(IF('XA MU'!$C$26&gt;(xm_y0T+(xm_nT-1)/2*xm_sT),2*('XA MU'!$C$26-(xm_y0T+(xm_nT-1)/2*xm_sT))/xm_sT,0)+IF('XA MU'!$D$26&gt;(xm_y0T+(xm_nT-1)/2*xm_sT),2*('XA MU'!$D$26-(xm_y0T+(xm_nT-1)/2*xm_sT))/xm_sT,0)),0),0)+IF('XA MU'!$B$27&lt;=2,'XA MU'!$E$27*$B$8*(MAX(0,1-ABS('XA MU'!$C$27-$D54)/xm_sT)+MAX(0,1-ABS('XA MU'!$D$27-$D54)/xm_sT)),0)+IF(ABS($D54-(xm_y0T+(xm_nT-1)/2*xm_sT))&lt;0.000001,IF('XA MU'!$B$27&lt;=2,'XA MU'!$E$27*$B$8*(IF('XA MU'!$C$27&gt;(xm_y0T+(xm_nT-1)/2*xm_sT),2*('XA MU'!$C$27-(xm_y0T+(xm_nT-1)/2*xm_sT))/xm_sT,0)+IF('XA MU'!$D$27&gt;(xm_y0T+(xm_nT-1)/2*xm_sT),2*('XA MU'!$D$27-(xm_y0T+(xm_nT-1)/2*xm_sT))/xm_sT,0)),0),0)+IF('XA MU'!$B$28&lt;=2,'XA MU'!$E$28*$B$8*(MAX(0,1-ABS('XA MU'!$C$28-$D54)/xm_sT)+MAX(0,1-ABS('XA MU'!$D$28-$D54)/xm_sT)),0)+IF(ABS($D54-(xm_y0T+(xm_nT-1)/2*xm_sT))&lt;0.000001,IF('XA MU'!$B$28&lt;=2,'XA MU'!$E$28*$B$8*(IF('XA MU'!$C$28&gt;(xm_y0T+(xm_nT-1)/2*xm_sT),2*('XA MU'!$C$28-(xm_y0T+(xm_nT-1)/2*xm_sT))/xm_sT,0)+IF('XA MU'!$D$28&gt;(xm_y0T+(xm_nT-1)/2*xm_sT),2*('XA MU'!$D$28-(xm_y0T+(xm_nT-1)/2*xm_sT))/xm_sT,0)),0),0)+IF('XA MU'!$B$29&lt;=2,'XA MU'!$E$29*$B$8*(MAX(0,1-ABS('XA MU'!$C$29-$D54)/xm_sT)+MAX(0,1-ABS('XA MU'!$D$29-$D54)/xm_sT)),0)+IF(ABS($D54-(xm_y0T+(xm_nT-1)/2*xm_sT))&lt;0.000001,IF('XA MU'!$B$29&lt;=2,'XA MU'!$E$29*$B$8*(IF('XA MU'!$C$29&gt;(xm_y0T+(xm_nT-1)/2*xm_sT),2*('XA MU'!$C$29-(xm_y0T+(xm_nT-1)/2*xm_sT))/xm_sT,0)+IF('XA MU'!$D$29&gt;(xm_y0T+(xm_nT-1)/2*xm_sT),2*('XA MU'!$D$29-(xm_y0T+(xm_nT-1)/2*xm_sT))/xm_sT,0)),0),0)+IF('XA MU'!$B$30&lt;=2,'XA MU'!$E$30*$B$8*(MAX(0,1-ABS('XA MU'!$C$30-$D54)/xm_sT)+MAX(0,1-ABS('XA MU'!$D$30-$D54)/xm_sT)),0)+IF(ABS($D54-(xm_y0T+(xm_nT-1)/2*xm_sT))&lt;0.000001,IF('XA MU'!$B$30&lt;=2,'XA MU'!$E$30*$B$8*(IF('XA MU'!$C$30&gt;(xm_y0T+(xm_nT-1)/2*xm_sT),2*('XA MU'!$C$30-(xm_y0T+(xm_nT-1)/2*xm_sT))/xm_sT,0)+IF('XA MU'!$D$30&gt;(xm_y0T+(xm_nT-1)/2*xm_sT),2*('XA MU'!$D$30-(xm_y0T+(xm_nT-1)/2*xm_sT))/xm_sT,0)),0),0))))</f>
        <v>0</v>
      </c>
      <c r="K54" s="44">
        <f>IF(C54=0,0,IF(3&gt;nLan,0,0.85*(IF('XA MU'!$B$25&lt;=3,'XA MU'!$E$25*$B$8*(MAX(0,1-ABS('XA MU'!$C$25-$D54)/xm_sT)+MAX(0,1-ABS('XA MU'!$D$25-$D54)/xm_sT)),0)+IF(ABS($D54-(xm_y0T+(xm_nT-1)/2*xm_sT))&lt;0.000001,IF('XA MU'!$B$25&lt;=3,'XA MU'!$E$25*$B$8*(IF('XA MU'!$C$25&gt;(xm_y0T+(xm_nT-1)/2*xm_sT),2*('XA MU'!$C$25-(xm_y0T+(xm_nT-1)/2*xm_sT))/xm_sT,0)+IF('XA MU'!$D$25&gt;(xm_y0T+(xm_nT-1)/2*xm_sT),2*('XA MU'!$D$25-(xm_y0T+(xm_nT-1)/2*xm_sT))/xm_sT,0)),0),0)+IF('XA MU'!$B$26&lt;=3,'XA MU'!$E$26*$B$8*(MAX(0,1-ABS('XA MU'!$C$26-$D54)/xm_sT)+MAX(0,1-ABS('XA MU'!$D$26-$D54)/xm_sT)),0)+IF(ABS($D54-(xm_y0T+(xm_nT-1)/2*xm_sT))&lt;0.000001,IF('XA MU'!$B$26&lt;=3,'XA MU'!$E$26*$B$8*(IF('XA MU'!$C$26&gt;(xm_y0T+(xm_nT-1)/2*xm_sT),2*('XA MU'!$C$26-(xm_y0T+(xm_nT-1)/2*xm_sT))/xm_sT,0)+IF('XA MU'!$D$26&gt;(xm_y0T+(xm_nT-1)/2*xm_sT),2*('XA MU'!$D$26-(xm_y0T+(xm_nT-1)/2*xm_sT))/xm_sT,0)),0),0)+IF('XA MU'!$B$27&lt;=3,'XA MU'!$E$27*$B$8*(MAX(0,1-ABS('XA MU'!$C$27-$D54)/xm_sT)+MAX(0,1-ABS('XA MU'!$D$27-$D54)/xm_sT)),0)+IF(ABS($D54-(xm_y0T+(xm_nT-1)/2*xm_sT))&lt;0.000001,IF('XA MU'!$B$27&lt;=3,'XA MU'!$E$27*$B$8*(IF('XA MU'!$C$27&gt;(xm_y0T+(xm_nT-1)/2*xm_sT),2*('XA MU'!$C$27-(xm_y0T+(xm_nT-1)/2*xm_sT))/xm_sT,0)+IF('XA MU'!$D$27&gt;(xm_y0T+(xm_nT-1)/2*xm_sT),2*('XA MU'!$D$27-(xm_y0T+(xm_nT-1)/2*xm_sT))/xm_sT,0)),0),0)+IF('XA MU'!$B$28&lt;=3,'XA MU'!$E$28*$B$8*(MAX(0,1-ABS('XA MU'!$C$28-$D54)/xm_sT)+MAX(0,1-ABS('XA MU'!$D$28-$D54)/xm_sT)),0)+IF(ABS($D54-(xm_y0T+(xm_nT-1)/2*xm_sT))&lt;0.000001,IF('XA MU'!$B$28&lt;=3,'XA MU'!$E$28*$B$8*(IF('XA MU'!$C$28&gt;(xm_y0T+(xm_nT-1)/2*xm_sT),2*('XA MU'!$C$28-(xm_y0T+(xm_nT-1)/2*xm_sT))/xm_sT,0)+IF('XA MU'!$D$28&gt;(xm_y0T+(xm_nT-1)/2*xm_sT),2*('XA MU'!$D$28-(xm_y0T+(xm_nT-1)/2*xm_sT))/xm_sT,0)),0),0)+IF('XA MU'!$B$29&lt;=3,'XA MU'!$E$29*$B$8*(MAX(0,1-ABS('XA MU'!$C$29-$D54)/xm_sT)+MAX(0,1-ABS('XA MU'!$D$29-$D54)/xm_sT)),0)+IF(ABS($D54-(xm_y0T+(xm_nT-1)/2*xm_sT))&lt;0.000001,IF('XA MU'!$B$29&lt;=3,'XA MU'!$E$29*$B$8*(IF('XA MU'!$C$29&gt;(xm_y0T+(xm_nT-1)/2*xm_sT),2*('XA MU'!$C$29-(xm_y0T+(xm_nT-1)/2*xm_sT))/xm_sT,0)+IF('XA MU'!$D$29&gt;(xm_y0T+(xm_nT-1)/2*xm_sT),2*('XA MU'!$D$29-(xm_y0T+(xm_nT-1)/2*xm_sT))/xm_sT,0)),0),0)+IF('XA MU'!$B$30&lt;=3,'XA MU'!$E$30*$B$8*(MAX(0,1-ABS('XA MU'!$C$30-$D54)/xm_sT)+MAX(0,1-ABS('XA MU'!$D$30-$D54)/xm_sT)),0)+IF(ABS($D54-(xm_y0T+(xm_nT-1)/2*xm_sT))&lt;0.000001,IF('XA MU'!$B$30&lt;=3,'XA MU'!$E$30*$B$8*(IF('XA MU'!$C$30&gt;(xm_y0T+(xm_nT-1)/2*xm_sT),2*('XA MU'!$C$30-(xm_y0T+(xm_nT-1)/2*xm_sT))/xm_sT,0)+IF('XA MU'!$D$30&gt;(xm_y0T+(xm_nT-1)/2*xm_sT),2*('XA MU'!$D$30-(xm_y0T+(xm_nT-1)/2*xm_sT))/xm_sT,0)),0),0))))</f>
        <v>0</v>
      </c>
      <c r="L54" s="44">
        <f>IF(C54=0,0,IF(4&gt;nLan,0,0.65*(IF('XA MU'!$B$25&lt;=4,'XA MU'!$E$25*$B$8*(MAX(0,1-ABS('XA MU'!$C$25-$D54)/xm_sT)+MAX(0,1-ABS('XA MU'!$D$25-$D54)/xm_sT)),0)+IF(ABS($D54-(xm_y0T+(xm_nT-1)/2*xm_sT))&lt;0.000001,IF('XA MU'!$B$25&lt;=4,'XA MU'!$E$25*$B$8*(IF('XA MU'!$C$25&gt;(xm_y0T+(xm_nT-1)/2*xm_sT),2*('XA MU'!$C$25-(xm_y0T+(xm_nT-1)/2*xm_sT))/xm_sT,0)+IF('XA MU'!$D$25&gt;(xm_y0T+(xm_nT-1)/2*xm_sT),2*('XA MU'!$D$25-(xm_y0T+(xm_nT-1)/2*xm_sT))/xm_sT,0)),0),0)+IF('XA MU'!$B$26&lt;=4,'XA MU'!$E$26*$B$8*(MAX(0,1-ABS('XA MU'!$C$26-$D54)/xm_sT)+MAX(0,1-ABS('XA MU'!$D$26-$D54)/xm_sT)),0)+IF(ABS($D54-(xm_y0T+(xm_nT-1)/2*xm_sT))&lt;0.000001,IF('XA MU'!$B$26&lt;=4,'XA MU'!$E$26*$B$8*(IF('XA MU'!$C$26&gt;(xm_y0T+(xm_nT-1)/2*xm_sT),2*('XA MU'!$C$26-(xm_y0T+(xm_nT-1)/2*xm_sT))/xm_sT,0)+IF('XA MU'!$D$26&gt;(xm_y0T+(xm_nT-1)/2*xm_sT),2*('XA MU'!$D$26-(xm_y0T+(xm_nT-1)/2*xm_sT))/xm_sT,0)),0),0)+IF('XA MU'!$B$27&lt;=4,'XA MU'!$E$27*$B$8*(MAX(0,1-ABS('XA MU'!$C$27-$D54)/xm_sT)+MAX(0,1-ABS('XA MU'!$D$27-$D54)/xm_sT)),0)+IF(ABS($D54-(xm_y0T+(xm_nT-1)/2*xm_sT))&lt;0.000001,IF('XA MU'!$B$27&lt;=4,'XA MU'!$E$27*$B$8*(IF('XA MU'!$C$27&gt;(xm_y0T+(xm_nT-1)/2*xm_sT),2*('XA MU'!$C$27-(xm_y0T+(xm_nT-1)/2*xm_sT))/xm_sT,0)+IF('XA MU'!$D$27&gt;(xm_y0T+(xm_nT-1)/2*xm_sT),2*('XA MU'!$D$27-(xm_y0T+(xm_nT-1)/2*xm_sT))/xm_sT,0)),0),0)+IF('XA MU'!$B$28&lt;=4,'XA MU'!$E$28*$B$8*(MAX(0,1-ABS('XA MU'!$C$28-$D54)/xm_sT)+MAX(0,1-ABS('XA MU'!$D$28-$D54)/xm_sT)),0)+IF(ABS($D54-(xm_y0T+(xm_nT-1)/2*xm_sT))&lt;0.000001,IF('XA MU'!$B$28&lt;=4,'XA MU'!$E$28*$B$8*(IF('XA MU'!$C$28&gt;(xm_y0T+(xm_nT-1)/2*xm_sT),2*('XA MU'!$C$28-(xm_y0T+(xm_nT-1)/2*xm_sT))/xm_sT,0)+IF('XA MU'!$D$28&gt;(xm_y0T+(xm_nT-1)/2*xm_sT),2*('XA MU'!$D$28-(xm_y0T+(xm_nT-1)/2*xm_sT))/xm_sT,0)),0),0)+IF('XA MU'!$B$29&lt;=4,'XA MU'!$E$29*$B$8*(MAX(0,1-ABS('XA MU'!$C$29-$D54)/xm_sT)+MAX(0,1-ABS('XA MU'!$D$29-$D54)/xm_sT)),0)+IF(ABS($D54-(xm_y0T+(xm_nT-1)/2*xm_sT))&lt;0.000001,IF('XA MU'!$B$29&lt;=4,'XA MU'!$E$29*$B$8*(IF('XA MU'!$C$29&gt;(xm_y0T+(xm_nT-1)/2*xm_sT),2*('XA MU'!$C$29-(xm_y0T+(xm_nT-1)/2*xm_sT))/xm_sT,0)+IF('XA MU'!$D$29&gt;(xm_y0T+(xm_nT-1)/2*xm_sT),2*('XA MU'!$D$29-(xm_y0T+(xm_nT-1)/2*xm_sT))/xm_sT,0)),0),0)+IF('XA MU'!$B$30&lt;=4,'XA MU'!$E$30*$B$8*(MAX(0,1-ABS('XA MU'!$C$30-$D54)/xm_sT)+MAX(0,1-ABS('XA MU'!$D$30-$D54)/xm_sT)),0)+IF(ABS($D54-(xm_y0T+(xm_nT-1)/2*xm_sT))&lt;0.000001,IF('XA MU'!$B$30&lt;=4,'XA MU'!$E$30*$B$8*(IF('XA MU'!$C$30&gt;(xm_y0T+(xm_nT-1)/2*xm_sT),2*('XA MU'!$C$30-(xm_y0T+(xm_nT-1)/2*xm_sT))/xm_sT,0)+IF('XA MU'!$D$30&gt;(xm_y0T+(xm_nT-1)/2*xm_sT),2*('XA MU'!$D$30-(xm_y0T+(xm_nT-1)/2*xm_sT))/xm_sT,0)),0),0))))</f>
        <v>0</v>
      </c>
      <c r="M54" s="44">
        <f>IF(C54=0,0,IF(5&gt;nLan,0,0.65*(IF('XA MU'!$B$25&lt;=5,'XA MU'!$E$25*$B$8*(MAX(0,1-ABS('XA MU'!$C$25-$D54)/xm_sT)+MAX(0,1-ABS('XA MU'!$D$25-$D54)/xm_sT)),0)+IF(ABS($D54-(xm_y0T+(xm_nT-1)/2*xm_sT))&lt;0.000001,IF('XA MU'!$B$25&lt;=5,'XA MU'!$E$25*$B$8*(IF('XA MU'!$C$25&gt;(xm_y0T+(xm_nT-1)/2*xm_sT),2*('XA MU'!$C$25-(xm_y0T+(xm_nT-1)/2*xm_sT))/xm_sT,0)+IF('XA MU'!$D$25&gt;(xm_y0T+(xm_nT-1)/2*xm_sT),2*('XA MU'!$D$25-(xm_y0T+(xm_nT-1)/2*xm_sT))/xm_sT,0)),0),0)+IF('XA MU'!$B$26&lt;=5,'XA MU'!$E$26*$B$8*(MAX(0,1-ABS('XA MU'!$C$26-$D54)/xm_sT)+MAX(0,1-ABS('XA MU'!$D$26-$D54)/xm_sT)),0)+IF(ABS($D54-(xm_y0T+(xm_nT-1)/2*xm_sT))&lt;0.000001,IF('XA MU'!$B$26&lt;=5,'XA MU'!$E$26*$B$8*(IF('XA MU'!$C$26&gt;(xm_y0T+(xm_nT-1)/2*xm_sT),2*('XA MU'!$C$26-(xm_y0T+(xm_nT-1)/2*xm_sT))/xm_sT,0)+IF('XA MU'!$D$26&gt;(xm_y0T+(xm_nT-1)/2*xm_sT),2*('XA MU'!$D$26-(xm_y0T+(xm_nT-1)/2*xm_sT))/xm_sT,0)),0),0)+IF('XA MU'!$B$27&lt;=5,'XA MU'!$E$27*$B$8*(MAX(0,1-ABS('XA MU'!$C$27-$D54)/xm_sT)+MAX(0,1-ABS('XA MU'!$D$27-$D54)/xm_sT)),0)+IF(ABS($D54-(xm_y0T+(xm_nT-1)/2*xm_sT))&lt;0.000001,IF('XA MU'!$B$27&lt;=5,'XA MU'!$E$27*$B$8*(IF('XA MU'!$C$27&gt;(xm_y0T+(xm_nT-1)/2*xm_sT),2*('XA MU'!$C$27-(xm_y0T+(xm_nT-1)/2*xm_sT))/xm_sT,0)+IF('XA MU'!$D$27&gt;(xm_y0T+(xm_nT-1)/2*xm_sT),2*('XA MU'!$D$27-(xm_y0T+(xm_nT-1)/2*xm_sT))/xm_sT,0)),0),0)+IF('XA MU'!$B$28&lt;=5,'XA MU'!$E$28*$B$8*(MAX(0,1-ABS('XA MU'!$C$28-$D54)/xm_sT)+MAX(0,1-ABS('XA MU'!$D$28-$D54)/xm_sT)),0)+IF(ABS($D54-(xm_y0T+(xm_nT-1)/2*xm_sT))&lt;0.000001,IF('XA MU'!$B$28&lt;=5,'XA MU'!$E$28*$B$8*(IF('XA MU'!$C$28&gt;(xm_y0T+(xm_nT-1)/2*xm_sT),2*('XA MU'!$C$28-(xm_y0T+(xm_nT-1)/2*xm_sT))/xm_sT,0)+IF('XA MU'!$D$28&gt;(xm_y0T+(xm_nT-1)/2*xm_sT),2*('XA MU'!$D$28-(xm_y0T+(xm_nT-1)/2*xm_sT))/xm_sT,0)),0),0)+IF('XA MU'!$B$29&lt;=5,'XA MU'!$E$29*$B$8*(MAX(0,1-ABS('XA MU'!$C$29-$D54)/xm_sT)+MAX(0,1-ABS('XA MU'!$D$29-$D54)/xm_sT)),0)+IF(ABS($D54-(xm_y0T+(xm_nT-1)/2*xm_sT))&lt;0.000001,IF('XA MU'!$B$29&lt;=5,'XA MU'!$E$29*$B$8*(IF('XA MU'!$C$29&gt;(xm_y0T+(xm_nT-1)/2*xm_sT),2*('XA MU'!$C$29-(xm_y0T+(xm_nT-1)/2*xm_sT))/xm_sT,0)+IF('XA MU'!$D$29&gt;(xm_y0T+(xm_nT-1)/2*xm_sT),2*('XA MU'!$D$29-(xm_y0T+(xm_nT-1)/2*xm_sT))/xm_sT,0)),0),0)+IF('XA MU'!$B$30&lt;=5,'XA MU'!$E$30*$B$8*(MAX(0,1-ABS('XA MU'!$C$30-$D54)/xm_sT)+MAX(0,1-ABS('XA MU'!$D$30-$D54)/xm_sT)),0)+IF(ABS($D54-(xm_y0T+(xm_nT-1)/2*xm_sT))&lt;0.000001,IF('XA MU'!$B$30&lt;=5,'XA MU'!$E$30*$B$8*(IF('XA MU'!$C$30&gt;(xm_y0T+(xm_nT-1)/2*xm_sT),2*('XA MU'!$C$30-(xm_y0T+(xm_nT-1)/2*xm_sT))/xm_sT,0)+IF('XA MU'!$D$30&gt;(xm_y0T+(xm_nT-1)/2*xm_sT),2*('XA MU'!$D$30-(xm_y0T+(xm_nT-1)/2*xm_sT))/xm_sT,0)),0),0))))</f>
        <v>0</v>
      </c>
      <c r="N54" s="44">
        <f>IF(C54=0,0,IF(6&gt;nLan,0,0.65*(IF('XA MU'!$B$25&lt;=6,'XA MU'!$E$25*$B$8*(MAX(0,1-ABS('XA MU'!$C$25-$D54)/xm_sT)+MAX(0,1-ABS('XA MU'!$D$25-$D54)/xm_sT)),0)+IF(ABS($D54-(xm_y0T+(xm_nT-1)/2*xm_sT))&lt;0.000001,IF('XA MU'!$B$25&lt;=6,'XA MU'!$E$25*$B$8*(IF('XA MU'!$C$25&gt;(xm_y0T+(xm_nT-1)/2*xm_sT),2*('XA MU'!$C$25-(xm_y0T+(xm_nT-1)/2*xm_sT))/xm_sT,0)+IF('XA MU'!$D$25&gt;(xm_y0T+(xm_nT-1)/2*xm_sT),2*('XA MU'!$D$25-(xm_y0T+(xm_nT-1)/2*xm_sT))/xm_sT,0)),0),0)+IF('XA MU'!$B$26&lt;=6,'XA MU'!$E$26*$B$8*(MAX(0,1-ABS('XA MU'!$C$26-$D54)/xm_sT)+MAX(0,1-ABS('XA MU'!$D$26-$D54)/xm_sT)),0)+IF(ABS($D54-(xm_y0T+(xm_nT-1)/2*xm_sT))&lt;0.000001,IF('XA MU'!$B$26&lt;=6,'XA MU'!$E$26*$B$8*(IF('XA MU'!$C$26&gt;(xm_y0T+(xm_nT-1)/2*xm_sT),2*('XA MU'!$C$26-(xm_y0T+(xm_nT-1)/2*xm_sT))/xm_sT,0)+IF('XA MU'!$D$26&gt;(xm_y0T+(xm_nT-1)/2*xm_sT),2*('XA MU'!$D$26-(xm_y0T+(xm_nT-1)/2*xm_sT))/xm_sT,0)),0),0)+IF('XA MU'!$B$27&lt;=6,'XA MU'!$E$27*$B$8*(MAX(0,1-ABS('XA MU'!$C$27-$D54)/xm_sT)+MAX(0,1-ABS('XA MU'!$D$27-$D54)/xm_sT)),0)+IF(ABS($D54-(xm_y0T+(xm_nT-1)/2*xm_sT))&lt;0.000001,IF('XA MU'!$B$27&lt;=6,'XA MU'!$E$27*$B$8*(IF('XA MU'!$C$27&gt;(xm_y0T+(xm_nT-1)/2*xm_sT),2*('XA MU'!$C$27-(xm_y0T+(xm_nT-1)/2*xm_sT))/xm_sT,0)+IF('XA MU'!$D$27&gt;(xm_y0T+(xm_nT-1)/2*xm_sT),2*('XA MU'!$D$27-(xm_y0T+(xm_nT-1)/2*xm_sT))/xm_sT,0)),0),0)+IF('XA MU'!$B$28&lt;=6,'XA MU'!$E$28*$B$8*(MAX(0,1-ABS('XA MU'!$C$28-$D54)/xm_sT)+MAX(0,1-ABS('XA MU'!$D$28-$D54)/xm_sT)),0)+IF(ABS($D54-(xm_y0T+(xm_nT-1)/2*xm_sT))&lt;0.000001,IF('XA MU'!$B$28&lt;=6,'XA MU'!$E$28*$B$8*(IF('XA MU'!$C$28&gt;(xm_y0T+(xm_nT-1)/2*xm_sT),2*('XA MU'!$C$28-(xm_y0T+(xm_nT-1)/2*xm_sT))/xm_sT,0)+IF('XA MU'!$D$28&gt;(xm_y0T+(xm_nT-1)/2*xm_sT),2*('XA MU'!$D$28-(xm_y0T+(xm_nT-1)/2*xm_sT))/xm_sT,0)),0),0)+IF('XA MU'!$B$29&lt;=6,'XA MU'!$E$29*$B$8*(MAX(0,1-ABS('XA MU'!$C$29-$D54)/xm_sT)+MAX(0,1-ABS('XA MU'!$D$29-$D54)/xm_sT)),0)+IF(ABS($D54-(xm_y0T+(xm_nT-1)/2*xm_sT))&lt;0.000001,IF('XA MU'!$B$29&lt;=6,'XA MU'!$E$29*$B$8*(IF('XA MU'!$C$29&gt;(xm_y0T+(xm_nT-1)/2*xm_sT),2*('XA MU'!$C$29-(xm_y0T+(xm_nT-1)/2*xm_sT))/xm_sT,0)+IF('XA MU'!$D$29&gt;(xm_y0T+(xm_nT-1)/2*xm_sT),2*('XA MU'!$D$29-(xm_y0T+(xm_nT-1)/2*xm_sT))/xm_sT,0)),0),0)+IF('XA MU'!$B$30&lt;=6,'XA MU'!$E$30*$B$8*(MAX(0,1-ABS('XA MU'!$C$30-$D54)/xm_sT)+MAX(0,1-ABS('XA MU'!$D$30-$D54)/xm_sT)),0)+IF(ABS($D54-(xm_y0T+(xm_nT-1)/2*xm_sT))&lt;0.000001,IF('XA MU'!$B$30&lt;=6,'XA MU'!$E$30*$B$8*(IF('XA MU'!$C$30&gt;(xm_y0T+(xm_nT-1)/2*xm_sT),2*('XA MU'!$C$30-(xm_y0T+(xm_nT-1)/2*xm_sT))/xm_sT,0)+IF('XA MU'!$D$30&gt;(xm_y0T+(xm_nT-1)/2*xm_sT),2*('XA MU'!$D$30-(xm_y0T+(xm_nT-1)/2*xm_sT))/xm_sT,0)),0),0))))</f>
        <v>0</v>
      </c>
    </row>
    <row r="55" spans="1:14" x14ac:dyDescent="0.3">
      <c r="A55" s="42" t="s">
        <v>1236</v>
      </c>
      <c r="B55" s="42">
        <v>1</v>
      </c>
      <c r="C55" s="40">
        <f t="shared" ref="C55:C94" si="4">IF(B55&lt;=xm_nP,1,0)</f>
        <v>1</v>
      </c>
      <c r="D55" s="44">
        <f t="shared" ref="D55:D94" si="5">IF(C55=1,xm_y0P+(B55-(xm_nP+1)/2)*xm_sP,0)</f>
        <v>-10.575000000000001</v>
      </c>
      <c r="E55" s="44">
        <f>MAX(0,D55-'XA MU'!$C$8)*C55</f>
        <v>0</v>
      </c>
      <c r="F55" s="44">
        <f>IF(AND(C55=1,D55&gt;'XA MU'!$C$8),1,0)</f>
        <v>0</v>
      </c>
      <c r="G55" s="44">
        <f t="shared" ref="G55:G94" si="6">IF(C55=1,RDC2_/xm_nP,0)</f>
        <v>670.60125000000005</v>
      </c>
      <c r="H55" s="44">
        <f t="shared" ref="H55:H94" si="7">IF(C55=1,RDW2_/xm_nP,0)</f>
        <v>68.43768750000001</v>
      </c>
      <c r="I55" s="44">
        <f>IF(C55=0,0,IF(1&gt;nLan,0,1.2*(IF('XA MU'!$B$25&lt;=1,'XA MU'!$E$25*$C$8*(MAX(0,1-ABS('XA MU'!$C$25-$D55)/xm_sP)+MAX(0,1-ABS('XA MU'!$D$25-$D55)/xm_sP)),0)+IF(ABS($D55-(xm_y0P+(xm_nP-1)/2*xm_sP))&lt;0.000001,IF('XA MU'!$B$25&lt;=1,'XA MU'!$E$25*$C$8*(IF('XA MU'!$C$25&gt;(xm_y0P+(xm_nP-1)/2*xm_sP),2*('XA MU'!$C$25-(xm_y0P+(xm_nP-1)/2*xm_sP))/xm_sP,0)+IF('XA MU'!$D$25&gt;(xm_y0P+(xm_nP-1)/2*xm_sP),2*('XA MU'!$D$25-(xm_y0P+(xm_nP-1)/2*xm_sP))/xm_sP,0)),0),0)+IF('XA MU'!$B$26&lt;=1,'XA MU'!$E$26*$C$8*(MAX(0,1-ABS('XA MU'!$C$26-$D55)/xm_sP)+MAX(0,1-ABS('XA MU'!$D$26-$D55)/xm_sP)),0)+IF(ABS($D55-(xm_y0P+(xm_nP-1)/2*xm_sP))&lt;0.000001,IF('XA MU'!$B$26&lt;=1,'XA MU'!$E$26*$C$8*(IF('XA MU'!$C$26&gt;(xm_y0P+(xm_nP-1)/2*xm_sP),2*('XA MU'!$C$26-(xm_y0P+(xm_nP-1)/2*xm_sP))/xm_sP,0)+IF('XA MU'!$D$26&gt;(xm_y0P+(xm_nP-1)/2*xm_sP),2*('XA MU'!$D$26-(xm_y0P+(xm_nP-1)/2*xm_sP))/xm_sP,0)),0),0)+IF('XA MU'!$B$27&lt;=1,'XA MU'!$E$27*$C$8*(MAX(0,1-ABS('XA MU'!$C$27-$D55)/xm_sP)+MAX(0,1-ABS('XA MU'!$D$27-$D55)/xm_sP)),0)+IF(ABS($D55-(xm_y0P+(xm_nP-1)/2*xm_sP))&lt;0.000001,IF('XA MU'!$B$27&lt;=1,'XA MU'!$E$27*$C$8*(IF('XA MU'!$C$27&gt;(xm_y0P+(xm_nP-1)/2*xm_sP),2*('XA MU'!$C$27-(xm_y0P+(xm_nP-1)/2*xm_sP))/xm_sP,0)+IF('XA MU'!$D$27&gt;(xm_y0P+(xm_nP-1)/2*xm_sP),2*('XA MU'!$D$27-(xm_y0P+(xm_nP-1)/2*xm_sP))/xm_sP,0)),0),0)+IF('XA MU'!$B$28&lt;=1,'XA MU'!$E$28*$C$8*(MAX(0,1-ABS('XA MU'!$C$28-$D55)/xm_sP)+MAX(0,1-ABS('XA MU'!$D$28-$D55)/xm_sP)),0)+IF(ABS($D55-(xm_y0P+(xm_nP-1)/2*xm_sP))&lt;0.000001,IF('XA MU'!$B$28&lt;=1,'XA MU'!$E$28*$C$8*(IF('XA MU'!$C$28&gt;(xm_y0P+(xm_nP-1)/2*xm_sP),2*('XA MU'!$C$28-(xm_y0P+(xm_nP-1)/2*xm_sP))/xm_sP,0)+IF('XA MU'!$D$28&gt;(xm_y0P+(xm_nP-1)/2*xm_sP),2*('XA MU'!$D$28-(xm_y0P+(xm_nP-1)/2*xm_sP))/xm_sP,0)),0),0)+IF('XA MU'!$B$29&lt;=1,'XA MU'!$E$29*$C$8*(MAX(0,1-ABS('XA MU'!$C$29-$D55)/xm_sP)+MAX(0,1-ABS('XA MU'!$D$29-$D55)/xm_sP)),0)+IF(ABS($D55-(xm_y0P+(xm_nP-1)/2*xm_sP))&lt;0.000001,IF('XA MU'!$B$29&lt;=1,'XA MU'!$E$29*$C$8*(IF('XA MU'!$C$29&gt;(xm_y0P+(xm_nP-1)/2*xm_sP),2*('XA MU'!$C$29-(xm_y0P+(xm_nP-1)/2*xm_sP))/xm_sP,0)+IF('XA MU'!$D$29&gt;(xm_y0P+(xm_nP-1)/2*xm_sP),2*('XA MU'!$D$29-(xm_y0P+(xm_nP-1)/2*xm_sP))/xm_sP,0)),0),0)+IF('XA MU'!$B$30&lt;=1,'XA MU'!$E$30*$C$8*(MAX(0,1-ABS('XA MU'!$C$30-$D55)/xm_sP)+MAX(0,1-ABS('XA MU'!$D$30-$D55)/xm_sP)),0)+IF(ABS($D55-(xm_y0P+(xm_nP-1)/2*xm_sP))&lt;0.000001,IF('XA MU'!$B$30&lt;=1,'XA MU'!$E$30*$C$8*(IF('XA MU'!$C$30&gt;(xm_y0P+(xm_nP-1)/2*xm_sP),2*('XA MU'!$C$30-(xm_y0P+(xm_nP-1)/2*xm_sP))/xm_sP,0)+IF('XA MU'!$D$30&gt;(xm_y0P+(xm_nP-1)/2*xm_sP),2*('XA MU'!$D$30-(xm_y0P+(xm_nP-1)/2*xm_sP))/xm_sP,0)),0),0))))</f>
        <v>0</v>
      </c>
      <c r="J55" s="44">
        <f>IF(C55=0,0,IF(2&gt;nLan,0,1*(IF('XA MU'!$B$25&lt;=2,'XA MU'!$E$25*$C$8*(MAX(0,1-ABS('XA MU'!$C$25-$D55)/xm_sP)+MAX(0,1-ABS('XA MU'!$D$25-$D55)/xm_sP)),0)+IF(ABS($D55-(xm_y0P+(xm_nP-1)/2*xm_sP))&lt;0.000001,IF('XA MU'!$B$25&lt;=2,'XA MU'!$E$25*$C$8*(IF('XA MU'!$C$25&gt;(xm_y0P+(xm_nP-1)/2*xm_sP),2*('XA MU'!$C$25-(xm_y0P+(xm_nP-1)/2*xm_sP))/xm_sP,0)+IF('XA MU'!$D$25&gt;(xm_y0P+(xm_nP-1)/2*xm_sP),2*('XA MU'!$D$25-(xm_y0P+(xm_nP-1)/2*xm_sP))/xm_sP,0)),0),0)+IF('XA MU'!$B$26&lt;=2,'XA MU'!$E$26*$C$8*(MAX(0,1-ABS('XA MU'!$C$26-$D55)/xm_sP)+MAX(0,1-ABS('XA MU'!$D$26-$D55)/xm_sP)),0)+IF(ABS($D55-(xm_y0P+(xm_nP-1)/2*xm_sP))&lt;0.000001,IF('XA MU'!$B$26&lt;=2,'XA MU'!$E$26*$C$8*(IF('XA MU'!$C$26&gt;(xm_y0P+(xm_nP-1)/2*xm_sP),2*('XA MU'!$C$26-(xm_y0P+(xm_nP-1)/2*xm_sP))/xm_sP,0)+IF('XA MU'!$D$26&gt;(xm_y0P+(xm_nP-1)/2*xm_sP),2*('XA MU'!$D$26-(xm_y0P+(xm_nP-1)/2*xm_sP))/xm_sP,0)),0),0)+IF('XA MU'!$B$27&lt;=2,'XA MU'!$E$27*$C$8*(MAX(0,1-ABS('XA MU'!$C$27-$D55)/xm_sP)+MAX(0,1-ABS('XA MU'!$D$27-$D55)/xm_sP)),0)+IF(ABS($D55-(xm_y0P+(xm_nP-1)/2*xm_sP))&lt;0.000001,IF('XA MU'!$B$27&lt;=2,'XA MU'!$E$27*$C$8*(IF('XA MU'!$C$27&gt;(xm_y0P+(xm_nP-1)/2*xm_sP),2*('XA MU'!$C$27-(xm_y0P+(xm_nP-1)/2*xm_sP))/xm_sP,0)+IF('XA MU'!$D$27&gt;(xm_y0P+(xm_nP-1)/2*xm_sP),2*('XA MU'!$D$27-(xm_y0P+(xm_nP-1)/2*xm_sP))/xm_sP,0)),0),0)+IF('XA MU'!$B$28&lt;=2,'XA MU'!$E$28*$C$8*(MAX(0,1-ABS('XA MU'!$C$28-$D55)/xm_sP)+MAX(0,1-ABS('XA MU'!$D$28-$D55)/xm_sP)),0)+IF(ABS($D55-(xm_y0P+(xm_nP-1)/2*xm_sP))&lt;0.000001,IF('XA MU'!$B$28&lt;=2,'XA MU'!$E$28*$C$8*(IF('XA MU'!$C$28&gt;(xm_y0P+(xm_nP-1)/2*xm_sP),2*('XA MU'!$C$28-(xm_y0P+(xm_nP-1)/2*xm_sP))/xm_sP,0)+IF('XA MU'!$D$28&gt;(xm_y0P+(xm_nP-1)/2*xm_sP),2*('XA MU'!$D$28-(xm_y0P+(xm_nP-1)/2*xm_sP))/xm_sP,0)),0),0)+IF('XA MU'!$B$29&lt;=2,'XA MU'!$E$29*$C$8*(MAX(0,1-ABS('XA MU'!$C$29-$D55)/xm_sP)+MAX(0,1-ABS('XA MU'!$D$29-$D55)/xm_sP)),0)+IF(ABS($D55-(xm_y0P+(xm_nP-1)/2*xm_sP))&lt;0.000001,IF('XA MU'!$B$29&lt;=2,'XA MU'!$E$29*$C$8*(IF('XA MU'!$C$29&gt;(xm_y0P+(xm_nP-1)/2*xm_sP),2*('XA MU'!$C$29-(xm_y0P+(xm_nP-1)/2*xm_sP))/xm_sP,0)+IF('XA MU'!$D$29&gt;(xm_y0P+(xm_nP-1)/2*xm_sP),2*('XA MU'!$D$29-(xm_y0P+(xm_nP-1)/2*xm_sP))/xm_sP,0)),0),0)+IF('XA MU'!$B$30&lt;=2,'XA MU'!$E$30*$C$8*(MAX(0,1-ABS('XA MU'!$C$30-$D55)/xm_sP)+MAX(0,1-ABS('XA MU'!$D$30-$D55)/xm_sP)),0)+IF(ABS($D55-(xm_y0P+(xm_nP-1)/2*xm_sP))&lt;0.000001,IF('XA MU'!$B$30&lt;=2,'XA MU'!$E$30*$C$8*(IF('XA MU'!$C$30&gt;(xm_y0P+(xm_nP-1)/2*xm_sP),2*('XA MU'!$C$30-(xm_y0P+(xm_nP-1)/2*xm_sP))/xm_sP,0)+IF('XA MU'!$D$30&gt;(xm_y0P+(xm_nP-1)/2*xm_sP),2*('XA MU'!$D$30-(xm_y0P+(xm_nP-1)/2*xm_sP))/xm_sP,0)),0),0))))</f>
        <v>0</v>
      </c>
      <c r="K55" s="44">
        <f>IF(C55=0,0,IF(3&gt;nLan,0,0.85*(IF('XA MU'!$B$25&lt;=3,'XA MU'!$E$25*$C$8*(MAX(0,1-ABS('XA MU'!$C$25-$D55)/xm_sP)+MAX(0,1-ABS('XA MU'!$D$25-$D55)/xm_sP)),0)+IF(ABS($D55-(xm_y0P+(xm_nP-1)/2*xm_sP))&lt;0.000001,IF('XA MU'!$B$25&lt;=3,'XA MU'!$E$25*$C$8*(IF('XA MU'!$C$25&gt;(xm_y0P+(xm_nP-1)/2*xm_sP),2*('XA MU'!$C$25-(xm_y0P+(xm_nP-1)/2*xm_sP))/xm_sP,0)+IF('XA MU'!$D$25&gt;(xm_y0P+(xm_nP-1)/2*xm_sP),2*('XA MU'!$D$25-(xm_y0P+(xm_nP-1)/2*xm_sP))/xm_sP,0)),0),0)+IF('XA MU'!$B$26&lt;=3,'XA MU'!$E$26*$C$8*(MAX(0,1-ABS('XA MU'!$C$26-$D55)/xm_sP)+MAX(0,1-ABS('XA MU'!$D$26-$D55)/xm_sP)),0)+IF(ABS($D55-(xm_y0P+(xm_nP-1)/2*xm_sP))&lt;0.000001,IF('XA MU'!$B$26&lt;=3,'XA MU'!$E$26*$C$8*(IF('XA MU'!$C$26&gt;(xm_y0P+(xm_nP-1)/2*xm_sP),2*('XA MU'!$C$26-(xm_y0P+(xm_nP-1)/2*xm_sP))/xm_sP,0)+IF('XA MU'!$D$26&gt;(xm_y0P+(xm_nP-1)/2*xm_sP),2*('XA MU'!$D$26-(xm_y0P+(xm_nP-1)/2*xm_sP))/xm_sP,0)),0),0)+IF('XA MU'!$B$27&lt;=3,'XA MU'!$E$27*$C$8*(MAX(0,1-ABS('XA MU'!$C$27-$D55)/xm_sP)+MAX(0,1-ABS('XA MU'!$D$27-$D55)/xm_sP)),0)+IF(ABS($D55-(xm_y0P+(xm_nP-1)/2*xm_sP))&lt;0.000001,IF('XA MU'!$B$27&lt;=3,'XA MU'!$E$27*$C$8*(IF('XA MU'!$C$27&gt;(xm_y0P+(xm_nP-1)/2*xm_sP),2*('XA MU'!$C$27-(xm_y0P+(xm_nP-1)/2*xm_sP))/xm_sP,0)+IF('XA MU'!$D$27&gt;(xm_y0P+(xm_nP-1)/2*xm_sP),2*('XA MU'!$D$27-(xm_y0P+(xm_nP-1)/2*xm_sP))/xm_sP,0)),0),0)+IF('XA MU'!$B$28&lt;=3,'XA MU'!$E$28*$C$8*(MAX(0,1-ABS('XA MU'!$C$28-$D55)/xm_sP)+MAX(0,1-ABS('XA MU'!$D$28-$D55)/xm_sP)),0)+IF(ABS($D55-(xm_y0P+(xm_nP-1)/2*xm_sP))&lt;0.000001,IF('XA MU'!$B$28&lt;=3,'XA MU'!$E$28*$C$8*(IF('XA MU'!$C$28&gt;(xm_y0P+(xm_nP-1)/2*xm_sP),2*('XA MU'!$C$28-(xm_y0P+(xm_nP-1)/2*xm_sP))/xm_sP,0)+IF('XA MU'!$D$28&gt;(xm_y0P+(xm_nP-1)/2*xm_sP),2*('XA MU'!$D$28-(xm_y0P+(xm_nP-1)/2*xm_sP))/xm_sP,0)),0),0)+IF('XA MU'!$B$29&lt;=3,'XA MU'!$E$29*$C$8*(MAX(0,1-ABS('XA MU'!$C$29-$D55)/xm_sP)+MAX(0,1-ABS('XA MU'!$D$29-$D55)/xm_sP)),0)+IF(ABS($D55-(xm_y0P+(xm_nP-1)/2*xm_sP))&lt;0.000001,IF('XA MU'!$B$29&lt;=3,'XA MU'!$E$29*$C$8*(IF('XA MU'!$C$29&gt;(xm_y0P+(xm_nP-1)/2*xm_sP),2*('XA MU'!$C$29-(xm_y0P+(xm_nP-1)/2*xm_sP))/xm_sP,0)+IF('XA MU'!$D$29&gt;(xm_y0P+(xm_nP-1)/2*xm_sP),2*('XA MU'!$D$29-(xm_y0P+(xm_nP-1)/2*xm_sP))/xm_sP,0)),0),0)+IF('XA MU'!$B$30&lt;=3,'XA MU'!$E$30*$C$8*(MAX(0,1-ABS('XA MU'!$C$30-$D55)/xm_sP)+MAX(0,1-ABS('XA MU'!$D$30-$D55)/xm_sP)),0)+IF(ABS($D55-(xm_y0P+(xm_nP-1)/2*xm_sP))&lt;0.000001,IF('XA MU'!$B$30&lt;=3,'XA MU'!$E$30*$C$8*(IF('XA MU'!$C$30&gt;(xm_y0P+(xm_nP-1)/2*xm_sP),2*('XA MU'!$C$30-(xm_y0P+(xm_nP-1)/2*xm_sP))/xm_sP,0)+IF('XA MU'!$D$30&gt;(xm_y0P+(xm_nP-1)/2*xm_sP),2*('XA MU'!$D$30-(xm_y0P+(xm_nP-1)/2*xm_sP))/xm_sP,0)),0),0))))</f>
        <v>0</v>
      </c>
      <c r="L55" s="44">
        <f>IF(C55=0,0,IF(4&gt;nLan,0,0.65*(IF('XA MU'!$B$25&lt;=4,'XA MU'!$E$25*$C$8*(MAX(0,1-ABS('XA MU'!$C$25-$D55)/xm_sP)+MAX(0,1-ABS('XA MU'!$D$25-$D55)/xm_sP)),0)+IF(ABS($D55-(xm_y0P+(xm_nP-1)/2*xm_sP))&lt;0.000001,IF('XA MU'!$B$25&lt;=4,'XA MU'!$E$25*$C$8*(IF('XA MU'!$C$25&gt;(xm_y0P+(xm_nP-1)/2*xm_sP),2*('XA MU'!$C$25-(xm_y0P+(xm_nP-1)/2*xm_sP))/xm_sP,0)+IF('XA MU'!$D$25&gt;(xm_y0P+(xm_nP-1)/2*xm_sP),2*('XA MU'!$D$25-(xm_y0P+(xm_nP-1)/2*xm_sP))/xm_sP,0)),0),0)+IF('XA MU'!$B$26&lt;=4,'XA MU'!$E$26*$C$8*(MAX(0,1-ABS('XA MU'!$C$26-$D55)/xm_sP)+MAX(0,1-ABS('XA MU'!$D$26-$D55)/xm_sP)),0)+IF(ABS($D55-(xm_y0P+(xm_nP-1)/2*xm_sP))&lt;0.000001,IF('XA MU'!$B$26&lt;=4,'XA MU'!$E$26*$C$8*(IF('XA MU'!$C$26&gt;(xm_y0P+(xm_nP-1)/2*xm_sP),2*('XA MU'!$C$26-(xm_y0P+(xm_nP-1)/2*xm_sP))/xm_sP,0)+IF('XA MU'!$D$26&gt;(xm_y0P+(xm_nP-1)/2*xm_sP),2*('XA MU'!$D$26-(xm_y0P+(xm_nP-1)/2*xm_sP))/xm_sP,0)),0),0)+IF('XA MU'!$B$27&lt;=4,'XA MU'!$E$27*$C$8*(MAX(0,1-ABS('XA MU'!$C$27-$D55)/xm_sP)+MAX(0,1-ABS('XA MU'!$D$27-$D55)/xm_sP)),0)+IF(ABS($D55-(xm_y0P+(xm_nP-1)/2*xm_sP))&lt;0.000001,IF('XA MU'!$B$27&lt;=4,'XA MU'!$E$27*$C$8*(IF('XA MU'!$C$27&gt;(xm_y0P+(xm_nP-1)/2*xm_sP),2*('XA MU'!$C$27-(xm_y0P+(xm_nP-1)/2*xm_sP))/xm_sP,0)+IF('XA MU'!$D$27&gt;(xm_y0P+(xm_nP-1)/2*xm_sP),2*('XA MU'!$D$27-(xm_y0P+(xm_nP-1)/2*xm_sP))/xm_sP,0)),0),0)+IF('XA MU'!$B$28&lt;=4,'XA MU'!$E$28*$C$8*(MAX(0,1-ABS('XA MU'!$C$28-$D55)/xm_sP)+MAX(0,1-ABS('XA MU'!$D$28-$D55)/xm_sP)),0)+IF(ABS($D55-(xm_y0P+(xm_nP-1)/2*xm_sP))&lt;0.000001,IF('XA MU'!$B$28&lt;=4,'XA MU'!$E$28*$C$8*(IF('XA MU'!$C$28&gt;(xm_y0P+(xm_nP-1)/2*xm_sP),2*('XA MU'!$C$28-(xm_y0P+(xm_nP-1)/2*xm_sP))/xm_sP,0)+IF('XA MU'!$D$28&gt;(xm_y0P+(xm_nP-1)/2*xm_sP),2*('XA MU'!$D$28-(xm_y0P+(xm_nP-1)/2*xm_sP))/xm_sP,0)),0),0)+IF('XA MU'!$B$29&lt;=4,'XA MU'!$E$29*$C$8*(MAX(0,1-ABS('XA MU'!$C$29-$D55)/xm_sP)+MAX(0,1-ABS('XA MU'!$D$29-$D55)/xm_sP)),0)+IF(ABS($D55-(xm_y0P+(xm_nP-1)/2*xm_sP))&lt;0.000001,IF('XA MU'!$B$29&lt;=4,'XA MU'!$E$29*$C$8*(IF('XA MU'!$C$29&gt;(xm_y0P+(xm_nP-1)/2*xm_sP),2*('XA MU'!$C$29-(xm_y0P+(xm_nP-1)/2*xm_sP))/xm_sP,0)+IF('XA MU'!$D$29&gt;(xm_y0P+(xm_nP-1)/2*xm_sP),2*('XA MU'!$D$29-(xm_y0P+(xm_nP-1)/2*xm_sP))/xm_sP,0)),0),0)+IF('XA MU'!$B$30&lt;=4,'XA MU'!$E$30*$C$8*(MAX(0,1-ABS('XA MU'!$C$30-$D55)/xm_sP)+MAX(0,1-ABS('XA MU'!$D$30-$D55)/xm_sP)),0)+IF(ABS($D55-(xm_y0P+(xm_nP-1)/2*xm_sP))&lt;0.000001,IF('XA MU'!$B$30&lt;=4,'XA MU'!$E$30*$C$8*(IF('XA MU'!$C$30&gt;(xm_y0P+(xm_nP-1)/2*xm_sP),2*('XA MU'!$C$30-(xm_y0P+(xm_nP-1)/2*xm_sP))/xm_sP,0)+IF('XA MU'!$D$30&gt;(xm_y0P+(xm_nP-1)/2*xm_sP),2*('XA MU'!$D$30-(xm_y0P+(xm_nP-1)/2*xm_sP))/xm_sP,0)),0),0))))</f>
        <v>0</v>
      </c>
      <c r="M55" s="44">
        <f>IF(C55=0,0,IF(5&gt;nLan,0,0.65*(IF('XA MU'!$B$25&lt;=5,'XA MU'!$E$25*$C$8*(MAX(0,1-ABS('XA MU'!$C$25-$D55)/xm_sP)+MAX(0,1-ABS('XA MU'!$D$25-$D55)/xm_sP)),0)+IF(ABS($D55-(xm_y0P+(xm_nP-1)/2*xm_sP))&lt;0.000001,IF('XA MU'!$B$25&lt;=5,'XA MU'!$E$25*$C$8*(IF('XA MU'!$C$25&gt;(xm_y0P+(xm_nP-1)/2*xm_sP),2*('XA MU'!$C$25-(xm_y0P+(xm_nP-1)/2*xm_sP))/xm_sP,0)+IF('XA MU'!$D$25&gt;(xm_y0P+(xm_nP-1)/2*xm_sP),2*('XA MU'!$D$25-(xm_y0P+(xm_nP-1)/2*xm_sP))/xm_sP,0)),0),0)+IF('XA MU'!$B$26&lt;=5,'XA MU'!$E$26*$C$8*(MAX(0,1-ABS('XA MU'!$C$26-$D55)/xm_sP)+MAX(0,1-ABS('XA MU'!$D$26-$D55)/xm_sP)),0)+IF(ABS($D55-(xm_y0P+(xm_nP-1)/2*xm_sP))&lt;0.000001,IF('XA MU'!$B$26&lt;=5,'XA MU'!$E$26*$C$8*(IF('XA MU'!$C$26&gt;(xm_y0P+(xm_nP-1)/2*xm_sP),2*('XA MU'!$C$26-(xm_y0P+(xm_nP-1)/2*xm_sP))/xm_sP,0)+IF('XA MU'!$D$26&gt;(xm_y0P+(xm_nP-1)/2*xm_sP),2*('XA MU'!$D$26-(xm_y0P+(xm_nP-1)/2*xm_sP))/xm_sP,0)),0),0)+IF('XA MU'!$B$27&lt;=5,'XA MU'!$E$27*$C$8*(MAX(0,1-ABS('XA MU'!$C$27-$D55)/xm_sP)+MAX(0,1-ABS('XA MU'!$D$27-$D55)/xm_sP)),0)+IF(ABS($D55-(xm_y0P+(xm_nP-1)/2*xm_sP))&lt;0.000001,IF('XA MU'!$B$27&lt;=5,'XA MU'!$E$27*$C$8*(IF('XA MU'!$C$27&gt;(xm_y0P+(xm_nP-1)/2*xm_sP),2*('XA MU'!$C$27-(xm_y0P+(xm_nP-1)/2*xm_sP))/xm_sP,0)+IF('XA MU'!$D$27&gt;(xm_y0P+(xm_nP-1)/2*xm_sP),2*('XA MU'!$D$27-(xm_y0P+(xm_nP-1)/2*xm_sP))/xm_sP,0)),0),0)+IF('XA MU'!$B$28&lt;=5,'XA MU'!$E$28*$C$8*(MAX(0,1-ABS('XA MU'!$C$28-$D55)/xm_sP)+MAX(0,1-ABS('XA MU'!$D$28-$D55)/xm_sP)),0)+IF(ABS($D55-(xm_y0P+(xm_nP-1)/2*xm_sP))&lt;0.000001,IF('XA MU'!$B$28&lt;=5,'XA MU'!$E$28*$C$8*(IF('XA MU'!$C$28&gt;(xm_y0P+(xm_nP-1)/2*xm_sP),2*('XA MU'!$C$28-(xm_y0P+(xm_nP-1)/2*xm_sP))/xm_sP,0)+IF('XA MU'!$D$28&gt;(xm_y0P+(xm_nP-1)/2*xm_sP),2*('XA MU'!$D$28-(xm_y0P+(xm_nP-1)/2*xm_sP))/xm_sP,0)),0),0)+IF('XA MU'!$B$29&lt;=5,'XA MU'!$E$29*$C$8*(MAX(0,1-ABS('XA MU'!$C$29-$D55)/xm_sP)+MAX(0,1-ABS('XA MU'!$D$29-$D55)/xm_sP)),0)+IF(ABS($D55-(xm_y0P+(xm_nP-1)/2*xm_sP))&lt;0.000001,IF('XA MU'!$B$29&lt;=5,'XA MU'!$E$29*$C$8*(IF('XA MU'!$C$29&gt;(xm_y0P+(xm_nP-1)/2*xm_sP),2*('XA MU'!$C$29-(xm_y0P+(xm_nP-1)/2*xm_sP))/xm_sP,0)+IF('XA MU'!$D$29&gt;(xm_y0P+(xm_nP-1)/2*xm_sP),2*('XA MU'!$D$29-(xm_y0P+(xm_nP-1)/2*xm_sP))/xm_sP,0)),0),0)+IF('XA MU'!$B$30&lt;=5,'XA MU'!$E$30*$C$8*(MAX(0,1-ABS('XA MU'!$C$30-$D55)/xm_sP)+MAX(0,1-ABS('XA MU'!$D$30-$D55)/xm_sP)),0)+IF(ABS($D55-(xm_y0P+(xm_nP-1)/2*xm_sP))&lt;0.000001,IF('XA MU'!$B$30&lt;=5,'XA MU'!$E$30*$C$8*(IF('XA MU'!$C$30&gt;(xm_y0P+(xm_nP-1)/2*xm_sP),2*('XA MU'!$C$30-(xm_y0P+(xm_nP-1)/2*xm_sP))/xm_sP,0)+IF('XA MU'!$D$30&gt;(xm_y0P+(xm_nP-1)/2*xm_sP),2*('XA MU'!$D$30-(xm_y0P+(xm_nP-1)/2*xm_sP))/xm_sP,0)),0),0))))</f>
        <v>0</v>
      </c>
      <c r="N55" s="44">
        <f>IF(C55=0,0,IF(6&gt;nLan,0,0.65*(IF('XA MU'!$B$25&lt;=6,'XA MU'!$E$25*$C$8*(MAX(0,1-ABS('XA MU'!$C$25-$D55)/xm_sP)+MAX(0,1-ABS('XA MU'!$D$25-$D55)/xm_sP)),0)+IF(ABS($D55-(xm_y0P+(xm_nP-1)/2*xm_sP))&lt;0.000001,IF('XA MU'!$B$25&lt;=6,'XA MU'!$E$25*$C$8*(IF('XA MU'!$C$25&gt;(xm_y0P+(xm_nP-1)/2*xm_sP),2*('XA MU'!$C$25-(xm_y0P+(xm_nP-1)/2*xm_sP))/xm_sP,0)+IF('XA MU'!$D$25&gt;(xm_y0P+(xm_nP-1)/2*xm_sP),2*('XA MU'!$D$25-(xm_y0P+(xm_nP-1)/2*xm_sP))/xm_sP,0)),0),0)+IF('XA MU'!$B$26&lt;=6,'XA MU'!$E$26*$C$8*(MAX(0,1-ABS('XA MU'!$C$26-$D55)/xm_sP)+MAX(0,1-ABS('XA MU'!$D$26-$D55)/xm_sP)),0)+IF(ABS($D55-(xm_y0P+(xm_nP-1)/2*xm_sP))&lt;0.000001,IF('XA MU'!$B$26&lt;=6,'XA MU'!$E$26*$C$8*(IF('XA MU'!$C$26&gt;(xm_y0P+(xm_nP-1)/2*xm_sP),2*('XA MU'!$C$26-(xm_y0P+(xm_nP-1)/2*xm_sP))/xm_sP,0)+IF('XA MU'!$D$26&gt;(xm_y0P+(xm_nP-1)/2*xm_sP),2*('XA MU'!$D$26-(xm_y0P+(xm_nP-1)/2*xm_sP))/xm_sP,0)),0),0)+IF('XA MU'!$B$27&lt;=6,'XA MU'!$E$27*$C$8*(MAX(0,1-ABS('XA MU'!$C$27-$D55)/xm_sP)+MAX(0,1-ABS('XA MU'!$D$27-$D55)/xm_sP)),0)+IF(ABS($D55-(xm_y0P+(xm_nP-1)/2*xm_sP))&lt;0.000001,IF('XA MU'!$B$27&lt;=6,'XA MU'!$E$27*$C$8*(IF('XA MU'!$C$27&gt;(xm_y0P+(xm_nP-1)/2*xm_sP),2*('XA MU'!$C$27-(xm_y0P+(xm_nP-1)/2*xm_sP))/xm_sP,0)+IF('XA MU'!$D$27&gt;(xm_y0P+(xm_nP-1)/2*xm_sP),2*('XA MU'!$D$27-(xm_y0P+(xm_nP-1)/2*xm_sP))/xm_sP,0)),0),0)+IF('XA MU'!$B$28&lt;=6,'XA MU'!$E$28*$C$8*(MAX(0,1-ABS('XA MU'!$C$28-$D55)/xm_sP)+MAX(0,1-ABS('XA MU'!$D$28-$D55)/xm_sP)),0)+IF(ABS($D55-(xm_y0P+(xm_nP-1)/2*xm_sP))&lt;0.000001,IF('XA MU'!$B$28&lt;=6,'XA MU'!$E$28*$C$8*(IF('XA MU'!$C$28&gt;(xm_y0P+(xm_nP-1)/2*xm_sP),2*('XA MU'!$C$28-(xm_y0P+(xm_nP-1)/2*xm_sP))/xm_sP,0)+IF('XA MU'!$D$28&gt;(xm_y0P+(xm_nP-1)/2*xm_sP),2*('XA MU'!$D$28-(xm_y0P+(xm_nP-1)/2*xm_sP))/xm_sP,0)),0),0)+IF('XA MU'!$B$29&lt;=6,'XA MU'!$E$29*$C$8*(MAX(0,1-ABS('XA MU'!$C$29-$D55)/xm_sP)+MAX(0,1-ABS('XA MU'!$D$29-$D55)/xm_sP)),0)+IF(ABS($D55-(xm_y0P+(xm_nP-1)/2*xm_sP))&lt;0.000001,IF('XA MU'!$B$29&lt;=6,'XA MU'!$E$29*$C$8*(IF('XA MU'!$C$29&gt;(xm_y0P+(xm_nP-1)/2*xm_sP),2*('XA MU'!$C$29-(xm_y0P+(xm_nP-1)/2*xm_sP))/xm_sP,0)+IF('XA MU'!$D$29&gt;(xm_y0P+(xm_nP-1)/2*xm_sP),2*('XA MU'!$D$29-(xm_y0P+(xm_nP-1)/2*xm_sP))/xm_sP,0)),0),0)+IF('XA MU'!$B$30&lt;=6,'XA MU'!$E$30*$C$8*(MAX(0,1-ABS('XA MU'!$C$30-$D55)/xm_sP)+MAX(0,1-ABS('XA MU'!$D$30-$D55)/xm_sP)),0)+IF(ABS($D55-(xm_y0P+(xm_nP-1)/2*xm_sP))&lt;0.000001,IF('XA MU'!$B$30&lt;=6,'XA MU'!$E$30*$C$8*(IF('XA MU'!$C$30&gt;(xm_y0P+(xm_nP-1)/2*xm_sP),2*('XA MU'!$C$30-(xm_y0P+(xm_nP-1)/2*xm_sP))/xm_sP,0)+IF('XA MU'!$D$30&gt;(xm_y0P+(xm_nP-1)/2*xm_sP),2*('XA MU'!$D$30-(xm_y0P+(xm_nP-1)/2*xm_sP))/xm_sP,0)),0),0))))</f>
        <v>52.928151319148895</v>
      </c>
    </row>
    <row r="56" spans="1:14" x14ac:dyDescent="0.3">
      <c r="A56" s="42" t="s">
        <v>1236</v>
      </c>
      <c r="B56" s="42">
        <v>2</v>
      </c>
      <c r="C56" s="40">
        <f t="shared" si="4"/>
        <v>1</v>
      </c>
      <c r="D56" s="44">
        <f t="shared" si="5"/>
        <v>-8.2249999999999996</v>
      </c>
      <c r="E56" s="44">
        <f>MAX(0,D56-'XA MU'!$C$8)*C56</f>
        <v>0</v>
      </c>
      <c r="F56" s="44">
        <f>IF(AND(C56=1,D56&gt;'XA MU'!$C$8),1,0)</f>
        <v>0</v>
      </c>
      <c r="G56" s="44">
        <f t="shared" si="6"/>
        <v>670.60125000000005</v>
      </c>
      <c r="H56" s="44">
        <f t="shared" si="7"/>
        <v>68.43768750000001</v>
      </c>
      <c r="I56" s="44">
        <f>IF(C56=0,0,IF(1&gt;nLan,0,1.2*(IF('XA MU'!$B$25&lt;=1,'XA MU'!$E$25*$C$8*(MAX(0,1-ABS('XA MU'!$C$25-$D56)/xm_sP)+MAX(0,1-ABS('XA MU'!$D$25-$D56)/xm_sP)),0)+IF(ABS($D56-(xm_y0P+(xm_nP-1)/2*xm_sP))&lt;0.000001,IF('XA MU'!$B$25&lt;=1,'XA MU'!$E$25*$C$8*(IF('XA MU'!$C$25&gt;(xm_y0P+(xm_nP-1)/2*xm_sP),2*('XA MU'!$C$25-(xm_y0P+(xm_nP-1)/2*xm_sP))/xm_sP,0)+IF('XA MU'!$D$25&gt;(xm_y0P+(xm_nP-1)/2*xm_sP),2*('XA MU'!$D$25-(xm_y0P+(xm_nP-1)/2*xm_sP))/xm_sP,0)),0),0)+IF('XA MU'!$B$26&lt;=1,'XA MU'!$E$26*$C$8*(MAX(0,1-ABS('XA MU'!$C$26-$D56)/xm_sP)+MAX(0,1-ABS('XA MU'!$D$26-$D56)/xm_sP)),0)+IF(ABS($D56-(xm_y0P+(xm_nP-1)/2*xm_sP))&lt;0.000001,IF('XA MU'!$B$26&lt;=1,'XA MU'!$E$26*$C$8*(IF('XA MU'!$C$26&gt;(xm_y0P+(xm_nP-1)/2*xm_sP),2*('XA MU'!$C$26-(xm_y0P+(xm_nP-1)/2*xm_sP))/xm_sP,0)+IF('XA MU'!$D$26&gt;(xm_y0P+(xm_nP-1)/2*xm_sP),2*('XA MU'!$D$26-(xm_y0P+(xm_nP-1)/2*xm_sP))/xm_sP,0)),0),0)+IF('XA MU'!$B$27&lt;=1,'XA MU'!$E$27*$C$8*(MAX(0,1-ABS('XA MU'!$C$27-$D56)/xm_sP)+MAX(0,1-ABS('XA MU'!$D$27-$D56)/xm_sP)),0)+IF(ABS($D56-(xm_y0P+(xm_nP-1)/2*xm_sP))&lt;0.000001,IF('XA MU'!$B$27&lt;=1,'XA MU'!$E$27*$C$8*(IF('XA MU'!$C$27&gt;(xm_y0P+(xm_nP-1)/2*xm_sP),2*('XA MU'!$C$27-(xm_y0P+(xm_nP-1)/2*xm_sP))/xm_sP,0)+IF('XA MU'!$D$27&gt;(xm_y0P+(xm_nP-1)/2*xm_sP),2*('XA MU'!$D$27-(xm_y0P+(xm_nP-1)/2*xm_sP))/xm_sP,0)),0),0)+IF('XA MU'!$B$28&lt;=1,'XA MU'!$E$28*$C$8*(MAX(0,1-ABS('XA MU'!$C$28-$D56)/xm_sP)+MAX(0,1-ABS('XA MU'!$D$28-$D56)/xm_sP)),0)+IF(ABS($D56-(xm_y0P+(xm_nP-1)/2*xm_sP))&lt;0.000001,IF('XA MU'!$B$28&lt;=1,'XA MU'!$E$28*$C$8*(IF('XA MU'!$C$28&gt;(xm_y0P+(xm_nP-1)/2*xm_sP),2*('XA MU'!$C$28-(xm_y0P+(xm_nP-1)/2*xm_sP))/xm_sP,0)+IF('XA MU'!$D$28&gt;(xm_y0P+(xm_nP-1)/2*xm_sP),2*('XA MU'!$D$28-(xm_y0P+(xm_nP-1)/2*xm_sP))/xm_sP,0)),0),0)+IF('XA MU'!$B$29&lt;=1,'XA MU'!$E$29*$C$8*(MAX(0,1-ABS('XA MU'!$C$29-$D56)/xm_sP)+MAX(0,1-ABS('XA MU'!$D$29-$D56)/xm_sP)),0)+IF(ABS($D56-(xm_y0P+(xm_nP-1)/2*xm_sP))&lt;0.000001,IF('XA MU'!$B$29&lt;=1,'XA MU'!$E$29*$C$8*(IF('XA MU'!$C$29&gt;(xm_y0P+(xm_nP-1)/2*xm_sP),2*('XA MU'!$C$29-(xm_y0P+(xm_nP-1)/2*xm_sP))/xm_sP,0)+IF('XA MU'!$D$29&gt;(xm_y0P+(xm_nP-1)/2*xm_sP),2*('XA MU'!$D$29-(xm_y0P+(xm_nP-1)/2*xm_sP))/xm_sP,0)),0),0)+IF('XA MU'!$B$30&lt;=1,'XA MU'!$E$30*$C$8*(MAX(0,1-ABS('XA MU'!$C$30-$D56)/xm_sP)+MAX(0,1-ABS('XA MU'!$D$30-$D56)/xm_sP)),0)+IF(ABS($D56-(xm_y0P+(xm_nP-1)/2*xm_sP))&lt;0.000001,IF('XA MU'!$B$30&lt;=1,'XA MU'!$E$30*$C$8*(IF('XA MU'!$C$30&gt;(xm_y0P+(xm_nP-1)/2*xm_sP),2*('XA MU'!$C$30-(xm_y0P+(xm_nP-1)/2*xm_sP))/xm_sP,0)+IF('XA MU'!$D$30&gt;(xm_y0P+(xm_nP-1)/2*xm_sP),2*('XA MU'!$D$30-(xm_y0P+(xm_nP-1)/2*xm_sP))/xm_sP,0)),0),0))))</f>
        <v>0</v>
      </c>
      <c r="J56" s="44">
        <f>IF(C56=0,0,IF(2&gt;nLan,0,1*(IF('XA MU'!$B$25&lt;=2,'XA MU'!$E$25*$C$8*(MAX(0,1-ABS('XA MU'!$C$25-$D56)/xm_sP)+MAX(0,1-ABS('XA MU'!$D$25-$D56)/xm_sP)),0)+IF(ABS($D56-(xm_y0P+(xm_nP-1)/2*xm_sP))&lt;0.000001,IF('XA MU'!$B$25&lt;=2,'XA MU'!$E$25*$C$8*(IF('XA MU'!$C$25&gt;(xm_y0P+(xm_nP-1)/2*xm_sP),2*('XA MU'!$C$25-(xm_y0P+(xm_nP-1)/2*xm_sP))/xm_sP,0)+IF('XA MU'!$D$25&gt;(xm_y0P+(xm_nP-1)/2*xm_sP),2*('XA MU'!$D$25-(xm_y0P+(xm_nP-1)/2*xm_sP))/xm_sP,0)),0),0)+IF('XA MU'!$B$26&lt;=2,'XA MU'!$E$26*$C$8*(MAX(0,1-ABS('XA MU'!$C$26-$D56)/xm_sP)+MAX(0,1-ABS('XA MU'!$D$26-$D56)/xm_sP)),0)+IF(ABS($D56-(xm_y0P+(xm_nP-1)/2*xm_sP))&lt;0.000001,IF('XA MU'!$B$26&lt;=2,'XA MU'!$E$26*$C$8*(IF('XA MU'!$C$26&gt;(xm_y0P+(xm_nP-1)/2*xm_sP),2*('XA MU'!$C$26-(xm_y0P+(xm_nP-1)/2*xm_sP))/xm_sP,0)+IF('XA MU'!$D$26&gt;(xm_y0P+(xm_nP-1)/2*xm_sP),2*('XA MU'!$D$26-(xm_y0P+(xm_nP-1)/2*xm_sP))/xm_sP,0)),0),0)+IF('XA MU'!$B$27&lt;=2,'XA MU'!$E$27*$C$8*(MAX(0,1-ABS('XA MU'!$C$27-$D56)/xm_sP)+MAX(0,1-ABS('XA MU'!$D$27-$D56)/xm_sP)),0)+IF(ABS($D56-(xm_y0P+(xm_nP-1)/2*xm_sP))&lt;0.000001,IF('XA MU'!$B$27&lt;=2,'XA MU'!$E$27*$C$8*(IF('XA MU'!$C$27&gt;(xm_y0P+(xm_nP-1)/2*xm_sP),2*('XA MU'!$C$27-(xm_y0P+(xm_nP-1)/2*xm_sP))/xm_sP,0)+IF('XA MU'!$D$27&gt;(xm_y0P+(xm_nP-1)/2*xm_sP),2*('XA MU'!$D$27-(xm_y0P+(xm_nP-1)/2*xm_sP))/xm_sP,0)),0),0)+IF('XA MU'!$B$28&lt;=2,'XA MU'!$E$28*$C$8*(MAX(0,1-ABS('XA MU'!$C$28-$D56)/xm_sP)+MAX(0,1-ABS('XA MU'!$D$28-$D56)/xm_sP)),0)+IF(ABS($D56-(xm_y0P+(xm_nP-1)/2*xm_sP))&lt;0.000001,IF('XA MU'!$B$28&lt;=2,'XA MU'!$E$28*$C$8*(IF('XA MU'!$C$28&gt;(xm_y0P+(xm_nP-1)/2*xm_sP),2*('XA MU'!$C$28-(xm_y0P+(xm_nP-1)/2*xm_sP))/xm_sP,0)+IF('XA MU'!$D$28&gt;(xm_y0P+(xm_nP-1)/2*xm_sP),2*('XA MU'!$D$28-(xm_y0P+(xm_nP-1)/2*xm_sP))/xm_sP,0)),0),0)+IF('XA MU'!$B$29&lt;=2,'XA MU'!$E$29*$C$8*(MAX(0,1-ABS('XA MU'!$C$29-$D56)/xm_sP)+MAX(0,1-ABS('XA MU'!$D$29-$D56)/xm_sP)),0)+IF(ABS($D56-(xm_y0P+(xm_nP-1)/2*xm_sP))&lt;0.000001,IF('XA MU'!$B$29&lt;=2,'XA MU'!$E$29*$C$8*(IF('XA MU'!$C$29&gt;(xm_y0P+(xm_nP-1)/2*xm_sP),2*('XA MU'!$C$29-(xm_y0P+(xm_nP-1)/2*xm_sP))/xm_sP,0)+IF('XA MU'!$D$29&gt;(xm_y0P+(xm_nP-1)/2*xm_sP),2*('XA MU'!$D$29-(xm_y0P+(xm_nP-1)/2*xm_sP))/xm_sP,0)),0),0)+IF('XA MU'!$B$30&lt;=2,'XA MU'!$E$30*$C$8*(MAX(0,1-ABS('XA MU'!$C$30-$D56)/xm_sP)+MAX(0,1-ABS('XA MU'!$D$30-$D56)/xm_sP)),0)+IF(ABS($D56-(xm_y0P+(xm_nP-1)/2*xm_sP))&lt;0.000001,IF('XA MU'!$B$30&lt;=2,'XA MU'!$E$30*$C$8*(IF('XA MU'!$C$30&gt;(xm_y0P+(xm_nP-1)/2*xm_sP),2*('XA MU'!$C$30-(xm_y0P+(xm_nP-1)/2*xm_sP))/xm_sP,0)+IF('XA MU'!$D$30&gt;(xm_y0P+(xm_nP-1)/2*xm_sP),2*('XA MU'!$D$30-(xm_y0P+(xm_nP-1)/2*xm_sP))/xm_sP,0)),0),0))))</f>
        <v>0</v>
      </c>
      <c r="K56" s="44">
        <f>IF(C56=0,0,IF(3&gt;nLan,0,0.85*(IF('XA MU'!$B$25&lt;=3,'XA MU'!$E$25*$C$8*(MAX(0,1-ABS('XA MU'!$C$25-$D56)/xm_sP)+MAX(0,1-ABS('XA MU'!$D$25-$D56)/xm_sP)),0)+IF(ABS($D56-(xm_y0P+(xm_nP-1)/2*xm_sP))&lt;0.000001,IF('XA MU'!$B$25&lt;=3,'XA MU'!$E$25*$C$8*(IF('XA MU'!$C$25&gt;(xm_y0P+(xm_nP-1)/2*xm_sP),2*('XA MU'!$C$25-(xm_y0P+(xm_nP-1)/2*xm_sP))/xm_sP,0)+IF('XA MU'!$D$25&gt;(xm_y0P+(xm_nP-1)/2*xm_sP),2*('XA MU'!$D$25-(xm_y0P+(xm_nP-1)/2*xm_sP))/xm_sP,0)),0),0)+IF('XA MU'!$B$26&lt;=3,'XA MU'!$E$26*$C$8*(MAX(0,1-ABS('XA MU'!$C$26-$D56)/xm_sP)+MAX(0,1-ABS('XA MU'!$D$26-$D56)/xm_sP)),0)+IF(ABS($D56-(xm_y0P+(xm_nP-1)/2*xm_sP))&lt;0.000001,IF('XA MU'!$B$26&lt;=3,'XA MU'!$E$26*$C$8*(IF('XA MU'!$C$26&gt;(xm_y0P+(xm_nP-1)/2*xm_sP),2*('XA MU'!$C$26-(xm_y0P+(xm_nP-1)/2*xm_sP))/xm_sP,0)+IF('XA MU'!$D$26&gt;(xm_y0P+(xm_nP-1)/2*xm_sP),2*('XA MU'!$D$26-(xm_y0P+(xm_nP-1)/2*xm_sP))/xm_sP,0)),0),0)+IF('XA MU'!$B$27&lt;=3,'XA MU'!$E$27*$C$8*(MAX(0,1-ABS('XA MU'!$C$27-$D56)/xm_sP)+MAX(0,1-ABS('XA MU'!$D$27-$D56)/xm_sP)),0)+IF(ABS($D56-(xm_y0P+(xm_nP-1)/2*xm_sP))&lt;0.000001,IF('XA MU'!$B$27&lt;=3,'XA MU'!$E$27*$C$8*(IF('XA MU'!$C$27&gt;(xm_y0P+(xm_nP-1)/2*xm_sP),2*('XA MU'!$C$27-(xm_y0P+(xm_nP-1)/2*xm_sP))/xm_sP,0)+IF('XA MU'!$D$27&gt;(xm_y0P+(xm_nP-1)/2*xm_sP),2*('XA MU'!$D$27-(xm_y0P+(xm_nP-1)/2*xm_sP))/xm_sP,0)),0),0)+IF('XA MU'!$B$28&lt;=3,'XA MU'!$E$28*$C$8*(MAX(0,1-ABS('XA MU'!$C$28-$D56)/xm_sP)+MAX(0,1-ABS('XA MU'!$D$28-$D56)/xm_sP)),0)+IF(ABS($D56-(xm_y0P+(xm_nP-1)/2*xm_sP))&lt;0.000001,IF('XA MU'!$B$28&lt;=3,'XA MU'!$E$28*$C$8*(IF('XA MU'!$C$28&gt;(xm_y0P+(xm_nP-1)/2*xm_sP),2*('XA MU'!$C$28-(xm_y0P+(xm_nP-1)/2*xm_sP))/xm_sP,0)+IF('XA MU'!$D$28&gt;(xm_y0P+(xm_nP-1)/2*xm_sP),2*('XA MU'!$D$28-(xm_y0P+(xm_nP-1)/2*xm_sP))/xm_sP,0)),0),0)+IF('XA MU'!$B$29&lt;=3,'XA MU'!$E$29*$C$8*(MAX(0,1-ABS('XA MU'!$C$29-$D56)/xm_sP)+MAX(0,1-ABS('XA MU'!$D$29-$D56)/xm_sP)),0)+IF(ABS($D56-(xm_y0P+(xm_nP-1)/2*xm_sP))&lt;0.000001,IF('XA MU'!$B$29&lt;=3,'XA MU'!$E$29*$C$8*(IF('XA MU'!$C$29&gt;(xm_y0P+(xm_nP-1)/2*xm_sP),2*('XA MU'!$C$29-(xm_y0P+(xm_nP-1)/2*xm_sP))/xm_sP,0)+IF('XA MU'!$D$29&gt;(xm_y0P+(xm_nP-1)/2*xm_sP),2*('XA MU'!$D$29-(xm_y0P+(xm_nP-1)/2*xm_sP))/xm_sP,0)),0),0)+IF('XA MU'!$B$30&lt;=3,'XA MU'!$E$30*$C$8*(MAX(0,1-ABS('XA MU'!$C$30-$D56)/xm_sP)+MAX(0,1-ABS('XA MU'!$D$30-$D56)/xm_sP)),0)+IF(ABS($D56-(xm_y0P+(xm_nP-1)/2*xm_sP))&lt;0.000001,IF('XA MU'!$B$30&lt;=3,'XA MU'!$E$30*$C$8*(IF('XA MU'!$C$30&gt;(xm_y0P+(xm_nP-1)/2*xm_sP),2*('XA MU'!$C$30-(xm_y0P+(xm_nP-1)/2*xm_sP))/xm_sP,0)+IF('XA MU'!$D$30&gt;(xm_y0P+(xm_nP-1)/2*xm_sP),2*('XA MU'!$D$30-(xm_y0P+(xm_nP-1)/2*xm_sP))/xm_sP,0)),0),0))))</f>
        <v>0</v>
      </c>
      <c r="L56" s="44">
        <f>IF(C56=0,0,IF(4&gt;nLan,0,0.65*(IF('XA MU'!$B$25&lt;=4,'XA MU'!$E$25*$C$8*(MAX(0,1-ABS('XA MU'!$C$25-$D56)/xm_sP)+MAX(0,1-ABS('XA MU'!$D$25-$D56)/xm_sP)),0)+IF(ABS($D56-(xm_y0P+(xm_nP-1)/2*xm_sP))&lt;0.000001,IF('XA MU'!$B$25&lt;=4,'XA MU'!$E$25*$C$8*(IF('XA MU'!$C$25&gt;(xm_y0P+(xm_nP-1)/2*xm_sP),2*('XA MU'!$C$25-(xm_y0P+(xm_nP-1)/2*xm_sP))/xm_sP,0)+IF('XA MU'!$D$25&gt;(xm_y0P+(xm_nP-1)/2*xm_sP),2*('XA MU'!$D$25-(xm_y0P+(xm_nP-1)/2*xm_sP))/xm_sP,0)),0),0)+IF('XA MU'!$B$26&lt;=4,'XA MU'!$E$26*$C$8*(MAX(0,1-ABS('XA MU'!$C$26-$D56)/xm_sP)+MAX(0,1-ABS('XA MU'!$D$26-$D56)/xm_sP)),0)+IF(ABS($D56-(xm_y0P+(xm_nP-1)/2*xm_sP))&lt;0.000001,IF('XA MU'!$B$26&lt;=4,'XA MU'!$E$26*$C$8*(IF('XA MU'!$C$26&gt;(xm_y0P+(xm_nP-1)/2*xm_sP),2*('XA MU'!$C$26-(xm_y0P+(xm_nP-1)/2*xm_sP))/xm_sP,0)+IF('XA MU'!$D$26&gt;(xm_y0P+(xm_nP-1)/2*xm_sP),2*('XA MU'!$D$26-(xm_y0P+(xm_nP-1)/2*xm_sP))/xm_sP,0)),0),0)+IF('XA MU'!$B$27&lt;=4,'XA MU'!$E$27*$C$8*(MAX(0,1-ABS('XA MU'!$C$27-$D56)/xm_sP)+MAX(0,1-ABS('XA MU'!$D$27-$D56)/xm_sP)),0)+IF(ABS($D56-(xm_y0P+(xm_nP-1)/2*xm_sP))&lt;0.000001,IF('XA MU'!$B$27&lt;=4,'XA MU'!$E$27*$C$8*(IF('XA MU'!$C$27&gt;(xm_y0P+(xm_nP-1)/2*xm_sP),2*('XA MU'!$C$27-(xm_y0P+(xm_nP-1)/2*xm_sP))/xm_sP,0)+IF('XA MU'!$D$27&gt;(xm_y0P+(xm_nP-1)/2*xm_sP),2*('XA MU'!$D$27-(xm_y0P+(xm_nP-1)/2*xm_sP))/xm_sP,0)),0),0)+IF('XA MU'!$B$28&lt;=4,'XA MU'!$E$28*$C$8*(MAX(0,1-ABS('XA MU'!$C$28-$D56)/xm_sP)+MAX(0,1-ABS('XA MU'!$D$28-$D56)/xm_sP)),0)+IF(ABS($D56-(xm_y0P+(xm_nP-1)/2*xm_sP))&lt;0.000001,IF('XA MU'!$B$28&lt;=4,'XA MU'!$E$28*$C$8*(IF('XA MU'!$C$28&gt;(xm_y0P+(xm_nP-1)/2*xm_sP),2*('XA MU'!$C$28-(xm_y0P+(xm_nP-1)/2*xm_sP))/xm_sP,0)+IF('XA MU'!$D$28&gt;(xm_y0P+(xm_nP-1)/2*xm_sP),2*('XA MU'!$D$28-(xm_y0P+(xm_nP-1)/2*xm_sP))/xm_sP,0)),0),0)+IF('XA MU'!$B$29&lt;=4,'XA MU'!$E$29*$C$8*(MAX(0,1-ABS('XA MU'!$C$29-$D56)/xm_sP)+MAX(0,1-ABS('XA MU'!$D$29-$D56)/xm_sP)),0)+IF(ABS($D56-(xm_y0P+(xm_nP-1)/2*xm_sP))&lt;0.000001,IF('XA MU'!$B$29&lt;=4,'XA MU'!$E$29*$C$8*(IF('XA MU'!$C$29&gt;(xm_y0P+(xm_nP-1)/2*xm_sP),2*('XA MU'!$C$29-(xm_y0P+(xm_nP-1)/2*xm_sP))/xm_sP,0)+IF('XA MU'!$D$29&gt;(xm_y0P+(xm_nP-1)/2*xm_sP),2*('XA MU'!$D$29-(xm_y0P+(xm_nP-1)/2*xm_sP))/xm_sP,0)),0),0)+IF('XA MU'!$B$30&lt;=4,'XA MU'!$E$30*$C$8*(MAX(0,1-ABS('XA MU'!$C$30-$D56)/xm_sP)+MAX(0,1-ABS('XA MU'!$D$30-$D56)/xm_sP)),0)+IF(ABS($D56-(xm_y0P+(xm_nP-1)/2*xm_sP))&lt;0.000001,IF('XA MU'!$B$30&lt;=4,'XA MU'!$E$30*$C$8*(IF('XA MU'!$C$30&gt;(xm_y0P+(xm_nP-1)/2*xm_sP),2*('XA MU'!$C$30-(xm_y0P+(xm_nP-1)/2*xm_sP))/xm_sP,0)+IF('XA MU'!$D$30&gt;(xm_y0P+(xm_nP-1)/2*xm_sP),2*('XA MU'!$D$30-(xm_y0P+(xm_nP-1)/2*xm_sP))/xm_sP,0)),0),0))))</f>
        <v>0</v>
      </c>
      <c r="M56" s="44">
        <f>IF(C56=0,0,IF(5&gt;nLan,0,0.65*(IF('XA MU'!$B$25&lt;=5,'XA MU'!$E$25*$C$8*(MAX(0,1-ABS('XA MU'!$C$25-$D56)/xm_sP)+MAX(0,1-ABS('XA MU'!$D$25-$D56)/xm_sP)),0)+IF(ABS($D56-(xm_y0P+(xm_nP-1)/2*xm_sP))&lt;0.000001,IF('XA MU'!$B$25&lt;=5,'XA MU'!$E$25*$C$8*(IF('XA MU'!$C$25&gt;(xm_y0P+(xm_nP-1)/2*xm_sP),2*('XA MU'!$C$25-(xm_y0P+(xm_nP-1)/2*xm_sP))/xm_sP,0)+IF('XA MU'!$D$25&gt;(xm_y0P+(xm_nP-1)/2*xm_sP),2*('XA MU'!$D$25-(xm_y0P+(xm_nP-1)/2*xm_sP))/xm_sP,0)),0),0)+IF('XA MU'!$B$26&lt;=5,'XA MU'!$E$26*$C$8*(MAX(0,1-ABS('XA MU'!$C$26-$D56)/xm_sP)+MAX(0,1-ABS('XA MU'!$D$26-$D56)/xm_sP)),0)+IF(ABS($D56-(xm_y0P+(xm_nP-1)/2*xm_sP))&lt;0.000001,IF('XA MU'!$B$26&lt;=5,'XA MU'!$E$26*$C$8*(IF('XA MU'!$C$26&gt;(xm_y0P+(xm_nP-1)/2*xm_sP),2*('XA MU'!$C$26-(xm_y0P+(xm_nP-1)/2*xm_sP))/xm_sP,0)+IF('XA MU'!$D$26&gt;(xm_y0P+(xm_nP-1)/2*xm_sP),2*('XA MU'!$D$26-(xm_y0P+(xm_nP-1)/2*xm_sP))/xm_sP,0)),0),0)+IF('XA MU'!$B$27&lt;=5,'XA MU'!$E$27*$C$8*(MAX(0,1-ABS('XA MU'!$C$27-$D56)/xm_sP)+MAX(0,1-ABS('XA MU'!$D$27-$D56)/xm_sP)),0)+IF(ABS($D56-(xm_y0P+(xm_nP-1)/2*xm_sP))&lt;0.000001,IF('XA MU'!$B$27&lt;=5,'XA MU'!$E$27*$C$8*(IF('XA MU'!$C$27&gt;(xm_y0P+(xm_nP-1)/2*xm_sP),2*('XA MU'!$C$27-(xm_y0P+(xm_nP-1)/2*xm_sP))/xm_sP,0)+IF('XA MU'!$D$27&gt;(xm_y0P+(xm_nP-1)/2*xm_sP),2*('XA MU'!$D$27-(xm_y0P+(xm_nP-1)/2*xm_sP))/xm_sP,0)),0),0)+IF('XA MU'!$B$28&lt;=5,'XA MU'!$E$28*$C$8*(MAX(0,1-ABS('XA MU'!$C$28-$D56)/xm_sP)+MAX(0,1-ABS('XA MU'!$D$28-$D56)/xm_sP)),0)+IF(ABS($D56-(xm_y0P+(xm_nP-1)/2*xm_sP))&lt;0.000001,IF('XA MU'!$B$28&lt;=5,'XA MU'!$E$28*$C$8*(IF('XA MU'!$C$28&gt;(xm_y0P+(xm_nP-1)/2*xm_sP),2*('XA MU'!$C$28-(xm_y0P+(xm_nP-1)/2*xm_sP))/xm_sP,0)+IF('XA MU'!$D$28&gt;(xm_y0P+(xm_nP-1)/2*xm_sP),2*('XA MU'!$D$28-(xm_y0P+(xm_nP-1)/2*xm_sP))/xm_sP,0)),0),0)+IF('XA MU'!$B$29&lt;=5,'XA MU'!$E$29*$C$8*(MAX(0,1-ABS('XA MU'!$C$29-$D56)/xm_sP)+MAX(0,1-ABS('XA MU'!$D$29-$D56)/xm_sP)),0)+IF(ABS($D56-(xm_y0P+(xm_nP-1)/2*xm_sP))&lt;0.000001,IF('XA MU'!$B$29&lt;=5,'XA MU'!$E$29*$C$8*(IF('XA MU'!$C$29&gt;(xm_y0P+(xm_nP-1)/2*xm_sP),2*('XA MU'!$C$29-(xm_y0P+(xm_nP-1)/2*xm_sP))/xm_sP,0)+IF('XA MU'!$D$29&gt;(xm_y0P+(xm_nP-1)/2*xm_sP),2*('XA MU'!$D$29-(xm_y0P+(xm_nP-1)/2*xm_sP))/xm_sP,0)),0),0)+IF('XA MU'!$B$30&lt;=5,'XA MU'!$E$30*$C$8*(MAX(0,1-ABS('XA MU'!$C$30-$D56)/xm_sP)+MAX(0,1-ABS('XA MU'!$D$30-$D56)/xm_sP)),0)+IF(ABS($D56-(xm_y0P+(xm_nP-1)/2*xm_sP))&lt;0.000001,IF('XA MU'!$B$30&lt;=5,'XA MU'!$E$30*$C$8*(IF('XA MU'!$C$30&gt;(xm_y0P+(xm_nP-1)/2*xm_sP),2*('XA MU'!$C$30-(xm_y0P+(xm_nP-1)/2*xm_sP))/xm_sP,0)+IF('XA MU'!$D$30&gt;(xm_y0P+(xm_nP-1)/2*xm_sP),2*('XA MU'!$D$30-(xm_y0P+(xm_nP-1)/2*xm_sP))/xm_sP,0)),0),0))))</f>
        <v>0</v>
      </c>
      <c r="N56" s="44">
        <f>IF(C56=0,0,IF(6&gt;nLan,0,0.65*(IF('XA MU'!$B$25&lt;=6,'XA MU'!$E$25*$C$8*(MAX(0,1-ABS('XA MU'!$C$25-$D56)/xm_sP)+MAX(0,1-ABS('XA MU'!$D$25-$D56)/xm_sP)),0)+IF(ABS($D56-(xm_y0P+(xm_nP-1)/2*xm_sP))&lt;0.000001,IF('XA MU'!$B$25&lt;=6,'XA MU'!$E$25*$C$8*(IF('XA MU'!$C$25&gt;(xm_y0P+(xm_nP-1)/2*xm_sP),2*('XA MU'!$C$25-(xm_y0P+(xm_nP-1)/2*xm_sP))/xm_sP,0)+IF('XA MU'!$D$25&gt;(xm_y0P+(xm_nP-1)/2*xm_sP),2*('XA MU'!$D$25-(xm_y0P+(xm_nP-1)/2*xm_sP))/xm_sP,0)),0),0)+IF('XA MU'!$B$26&lt;=6,'XA MU'!$E$26*$C$8*(MAX(0,1-ABS('XA MU'!$C$26-$D56)/xm_sP)+MAX(0,1-ABS('XA MU'!$D$26-$D56)/xm_sP)),0)+IF(ABS($D56-(xm_y0P+(xm_nP-1)/2*xm_sP))&lt;0.000001,IF('XA MU'!$B$26&lt;=6,'XA MU'!$E$26*$C$8*(IF('XA MU'!$C$26&gt;(xm_y0P+(xm_nP-1)/2*xm_sP),2*('XA MU'!$C$26-(xm_y0P+(xm_nP-1)/2*xm_sP))/xm_sP,0)+IF('XA MU'!$D$26&gt;(xm_y0P+(xm_nP-1)/2*xm_sP),2*('XA MU'!$D$26-(xm_y0P+(xm_nP-1)/2*xm_sP))/xm_sP,0)),0),0)+IF('XA MU'!$B$27&lt;=6,'XA MU'!$E$27*$C$8*(MAX(0,1-ABS('XA MU'!$C$27-$D56)/xm_sP)+MAX(0,1-ABS('XA MU'!$D$27-$D56)/xm_sP)),0)+IF(ABS($D56-(xm_y0P+(xm_nP-1)/2*xm_sP))&lt;0.000001,IF('XA MU'!$B$27&lt;=6,'XA MU'!$E$27*$C$8*(IF('XA MU'!$C$27&gt;(xm_y0P+(xm_nP-1)/2*xm_sP),2*('XA MU'!$C$27-(xm_y0P+(xm_nP-1)/2*xm_sP))/xm_sP,0)+IF('XA MU'!$D$27&gt;(xm_y0P+(xm_nP-1)/2*xm_sP),2*('XA MU'!$D$27-(xm_y0P+(xm_nP-1)/2*xm_sP))/xm_sP,0)),0),0)+IF('XA MU'!$B$28&lt;=6,'XA MU'!$E$28*$C$8*(MAX(0,1-ABS('XA MU'!$C$28-$D56)/xm_sP)+MAX(0,1-ABS('XA MU'!$D$28-$D56)/xm_sP)),0)+IF(ABS($D56-(xm_y0P+(xm_nP-1)/2*xm_sP))&lt;0.000001,IF('XA MU'!$B$28&lt;=6,'XA MU'!$E$28*$C$8*(IF('XA MU'!$C$28&gt;(xm_y0P+(xm_nP-1)/2*xm_sP),2*('XA MU'!$C$28-(xm_y0P+(xm_nP-1)/2*xm_sP))/xm_sP,0)+IF('XA MU'!$D$28&gt;(xm_y0P+(xm_nP-1)/2*xm_sP),2*('XA MU'!$D$28-(xm_y0P+(xm_nP-1)/2*xm_sP))/xm_sP,0)),0),0)+IF('XA MU'!$B$29&lt;=6,'XA MU'!$E$29*$C$8*(MAX(0,1-ABS('XA MU'!$C$29-$D56)/xm_sP)+MAX(0,1-ABS('XA MU'!$D$29-$D56)/xm_sP)),0)+IF(ABS($D56-(xm_y0P+(xm_nP-1)/2*xm_sP))&lt;0.000001,IF('XA MU'!$B$29&lt;=6,'XA MU'!$E$29*$C$8*(IF('XA MU'!$C$29&gt;(xm_y0P+(xm_nP-1)/2*xm_sP),2*('XA MU'!$C$29-(xm_y0P+(xm_nP-1)/2*xm_sP))/xm_sP,0)+IF('XA MU'!$D$29&gt;(xm_y0P+(xm_nP-1)/2*xm_sP),2*('XA MU'!$D$29-(xm_y0P+(xm_nP-1)/2*xm_sP))/xm_sP,0)),0),0)+IF('XA MU'!$B$30&lt;=6,'XA MU'!$E$30*$C$8*(MAX(0,1-ABS('XA MU'!$C$30-$D56)/xm_sP)+MAX(0,1-ABS('XA MU'!$D$30-$D56)/xm_sP)),0)+IF(ABS($D56-(xm_y0P+(xm_nP-1)/2*xm_sP))&lt;0.000001,IF('XA MU'!$B$30&lt;=6,'XA MU'!$E$30*$C$8*(IF('XA MU'!$C$30&gt;(xm_y0P+(xm_nP-1)/2*xm_sP),2*('XA MU'!$C$30-(xm_y0P+(xm_nP-1)/2*xm_sP))/xm_sP,0)+IF('XA MU'!$D$30&gt;(xm_y0P+(xm_nP-1)/2*xm_sP),2*('XA MU'!$D$30-(xm_y0P+(xm_nP-1)/2*xm_sP))/xm_sP,0)),0),0))))</f>
        <v>191.86454853191489</v>
      </c>
    </row>
    <row r="57" spans="1:14" x14ac:dyDescent="0.3">
      <c r="A57" s="42" t="s">
        <v>1236</v>
      </c>
      <c r="B57" s="42">
        <v>3</v>
      </c>
      <c r="C57" s="40">
        <f t="shared" si="4"/>
        <v>1</v>
      </c>
      <c r="D57" s="44">
        <f t="shared" si="5"/>
        <v>-5.875</v>
      </c>
      <c r="E57" s="44">
        <f>MAX(0,D57-'XA MU'!$C$8)*C57</f>
        <v>0</v>
      </c>
      <c r="F57" s="44">
        <f>IF(AND(C57=1,D57&gt;'XA MU'!$C$8),1,0)</f>
        <v>0</v>
      </c>
      <c r="G57" s="44">
        <f t="shared" si="6"/>
        <v>670.60125000000005</v>
      </c>
      <c r="H57" s="44">
        <f t="shared" si="7"/>
        <v>68.43768750000001</v>
      </c>
      <c r="I57" s="44">
        <f>IF(C57=0,0,IF(1&gt;nLan,0,1.2*(IF('XA MU'!$B$25&lt;=1,'XA MU'!$E$25*$C$8*(MAX(0,1-ABS('XA MU'!$C$25-$D57)/xm_sP)+MAX(0,1-ABS('XA MU'!$D$25-$D57)/xm_sP)),0)+IF(ABS($D57-(xm_y0P+(xm_nP-1)/2*xm_sP))&lt;0.000001,IF('XA MU'!$B$25&lt;=1,'XA MU'!$E$25*$C$8*(IF('XA MU'!$C$25&gt;(xm_y0P+(xm_nP-1)/2*xm_sP),2*('XA MU'!$C$25-(xm_y0P+(xm_nP-1)/2*xm_sP))/xm_sP,0)+IF('XA MU'!$D$25&gt;(xm_y0P+(xm_nP-1)/2*xm_sP),2*('XA MU'!$D$25-(xm_y0P+(xm_nP-1)/2*xm_sP))/xm_sP,0)),0),0)+IF('XA MU'!$B$26&lt;=1,'XA MU'!$E$26*$C$8*(MAX(0,1-ABS('XA MU'!$C$26-$D57)/xm_sP)+MAX(0,1-ABS('XA MU'!$D$26-$D57)/xm_sP)),0)+IF(ABS($D57-(xm_y0P+(xm_nP-1)/2*xm_sP))&lt;0.000001,IF('XA MU'!$B$26&lt;=1,'XA MU'!$E$26*$C$8*(IF('XA MU'!$C$26&gt;(xm_y0P+(xm_nP-1)/2*xm_sP),2*('XA MU'!$C$26-(xm_y0P+(xm_nP-1)/2*xm_sP))/xm_sP,0)+IF('XA MU'!$D$26&gt;(xm_y0P+(xm_nP-1)/2*xm_sP),2*('XA MU'!$D$26-(xm_y0P+(xm_nP-1)/2*xm_sP))/xm_sP,0)),0),0)+IF('XA MU'!$B$27&lt;=1,'XA MU'!$E$27*$C$8*(MAX(0,1-ABS('XA MU'!$C$27-$D57)/xm_sP)+MAX(0,1-ABS('XA MU'!$D$27-$D57)/xm_sP)),0)+IF(ABS($D57-(xm_y0P+(xm_nP-1)/2*xm_sP))&lt;0.000001,IF('XA MU'!$B$27&lt;=1,'XA MU'!$E$27*$C$8*(IF('XA MU'!$C$27&gt;(xm_y0P+(xm_nP-1)/2*xm_sP),2*('XA MU'!$C$27-(xm_y0P+(xm_nP-1)/2*xm_sP))/xm_sP,0)+IF('XA MU'!$D$27&gt;(xm_y0P+(xm_nP-1)/2*xm_sP),2*('XA MU'!$D$27-(xm_y0P+(xm_nP-1)/2*xm_sP))/xm_sP,0)),0),0)+IF('XA MU'!$B$28&lt;=1,'XA MU'!$E$28*$C$8*(MAX(0,1-ABS('XA MU'!$C$28-$D57)/xm_sP)+MAX(0,1-ABS('XA MU'!$D$28-$D57)/xm_sP)),0)+IF(ABS($D57-(xm_y0P+(xm_nP-1)/2*xm_sP))&lt;0.000001,IF('XA MU'!$B$28&lt;=1,'XA MU'!$E$28*$C$8*(IF('XA MU'!$C$28&gt;(xm_y0P+(xm_nP-1)/2*xm_sP),2*('XA MU'!$C$28-(xm_y0P+(xm_nP-1)/2*xm_sP))/xm_sP,0)+IF('XA MU'!$D$28&gt;(xm_y0P+(xm_nP-1)/2*xm_sP),2*('XA MU'!$D$28-(xm_y0P+(xm_nP-1)/2*xm_sP))/xm_sP,0)),0),0)+IF('XA MU'!$B$29&lt;=1,'XA MU'!$E$29*$C$8*(MAX(0,1-ABS('XA MU'!$C$29-$D57)/xm_sP)+MAX(0,1-ABS('XA MU'!$D$29-$D57)/xm_sP)),0)+IF(ABS($D57-(xm_y0P+(xm_nP-1)/2*xm_sP))&lt;0.000001,IF('XA MU'!$B$29&lt;=1,'XA MU'!$E$29*$C$8*(IF('XA MU'!$C$29&gt;(xm_y0P+(xm_nP-1)/2*xm_sP),2*('XA MU'!$C$29-(xm_y0P+(xm_nP-1)/2*xm_sP))/xm_sP,0)+IF('XA MU'!$D$29&gt;(xm_y0P+(xm_nP-1)/2*xm_sP),2*('XA MU'!$D$29-(xm_y0P+(xm_nP-1)/2*xm_sP))/xm_sP,0)),0),0)+IF('XA MU'!$B$30&lt;=1,'XA MU'!$E$30*$C$8*(MAX(0,1-ABS('XA MU'!$C$30-$D57)/xm_sP)+MAX(0,1-ABS('XA MU'!$D$30-$D57)/xm_sP)),0)+IF(ABS($D57-(xm_y0P+(xm_nP-1)/2*xm_sP))&lt;0.000001,IF('XA MU'!$B$30&lt;=1,'XA MU'!$E$30*$C$8*(IF('XA MU'!$C$30&gt;(xm_y0P+(xm_nP-1)/2*xm_sP),2*('XA MU'!$C$30-(xm_y0P+(xm_nP-1)/2*xm_sP))/xm_sP,0)+IF('XA MU'!$D$30&gt;(xm_y0P+(xm_nP-1)/2*xm_sP),2*('XA MU'!$D$30-(xm_y0P+(xm_nP-1)/2*xm_sP))/xm_sP,0)),0),0))))</f>
        <v>0</v>
      </c>
      <c r="J57" s="44">
        <f>IF(C57=0,0,IF(2&gt;nLan,0,1*(IF('XA MU'!$B$25&lt;=2,'XA MU'!$E$25*$C$8*(MAX(0,1-ABS('XA MU'!$C$25-$D57)/xm_sP)+MAX(0,1-ABS('XA MU'!$D$25-$D57)/xm_sP)),0)+IF(ABS($D57-(xm_y0P+(xm_nP-1)/2*xm_sP))&lt;0.000001,IF('XA MU'!$B$25&lt;=2,'XA MU'!$E$25*$C$8*(IF('XA MU'!$C$25&gt;(xm_y0P+(xm_nP-1)/2*xm_sP),2*('XA MU'!$C$25-(xm_y0P+(xm_nP-1)/2*xm_sP))/xm_sP,0)+IF('XA MU'!$D$25&gt;(xm_y0P+(xm_nP-1)/2*xm_sP),2*('XA MU'!$D$25-(xm_y0P+(xm_nP-1)/2*xm_sP))/xm_sP,0)),0),0)+IF('XA MU'!$B$26&lt;=2,'XA MU'!$E$26*$C$8*(MAX(0,1-ABS('XA MU'!$C$26-$D57)/xm_sP)+MAX(0,1-ABS('XA MU'!$D$26-$D57)/xm_sP)),0)+IF(ABS($D57-(xm_y0P+(xm_nP-1)/2*xm_sP))&lt;0.000001,IF('XA MU'!$B$26&lt;=2,'XA MU'!$E$26*$C$8*(IF('XA MU'!$C$26&gt;(xm_y0P+(xm_nP-1)/2*xm_sP),2*('XA MU'!$C$26-(xm_y0P+(xm_nP-1)/2*xm_sP))/xm_sP,0)+IF('XA MU'!$D$26&gt;(xm_y0P+(xm_nP-1)/2*xm_sP),2*('XA MU'!$D$26-(xm_y0P+(xm_nP-1)/2*xm_sP))/xm_sP,0)),0),0)+IF('XA MU'!$B$27&lt;=2,'XA MU'!$E$27*$C$8*(MAX(0,1-ABS('XA MU'!$C$27-$D57)/xm_sP)+MAX(0,1-ABS('XA MU'!$D$27-$D57)/xm_sP)),0)+IF(ABS($D57-(xm_y0P+(xm_nP-1)/2*xm_sP))&lt;0.000001,IF('XA MU'!$B$27&lt;=2,'XA MU'!$E$27*$C$8*(IF('XA MU'!$C$27&gt;(xm_y0P+(xm_nP-1)/2*xm_sP),2*('XA MU'!$C$27-(xm_y0P+(xm_nP-1)/2*xm_sP))/xm_sP,0)+IF('XA MU'!$D$27&gt;(xm_y0P+(xm_nP-1)/2*xm_sP),2*('XA MU'!$D$27-(xm_y0P+(xm_nP-1)/2*xm_sP))/xm_sP,0)),0),0)+IF('XA MU'!$B$28&lt;=2,'XA MU'!$E$28*$C$8*(MAX(0,1-ABS('XA MU'!$C$28-$D57)/xm_sP)+MAX(0,1-ABS('XA MU'!$D$28-$D57)/xm_sP)),0)+IF(ABS($D57-(xm_y0P+(xm_nP-1)/2*xm_sP))&lt;0.000001,IF('XA MU'!$B$28&lt;=2,'XA MU'!$E$28*$C$8*(IF('XA MU'!$C$28&gt;(xm_y0P+(xm_nP-1)/2*xm_sP),2*('XA MU'!$C$28-(xm_y0P+(xm_nP-1)/2*xm_sP))/xm_sP,0)+IF('XA MU'!$D$28&gt;(xm_y0P+(xm_nP-1)/2*xm_sP),2*('XA MU'!$D$28-(xm_y0P+(xm_nP-1)/2*xm_sP))/xm_sP,0)),0),0)+IF('XA MU'!$B$29&lt;=2,'XA MU'!$E$29*$C$8*(MAX(0,1-ABS('XA MU'!$C$29-$D57)/xm_sP)+MAX(0,1-ABS('XA MU'!$D$29-$D57)/xm_sP)),0)+IF(ABS($D57-(xm_y0P+(xm_nP-1)/2*xm_sP))&lt;0.000001,IF('XA MU'!$B$29&lt;=2,'XA MU'!$E$29*$C$8*(IF('XA MU'!$C$29&gt;(xm_y0P+(xm_nP-1)/2*xm_sP),2*('XA MU'!$C$29-(xm_y0P+(xm_nP-1)/2*xm_sP))/xm_sP,0)+IF('XA MU'!$D$29&gt;(xm_y0P+(xm_nP-1)/2*xm_sP),2*('XA MU'!$D$29-(xm_y0P+(xm_nP-1)/2*xm_sP))/xm_sP,0)),0),0)+IF('XA MU'!$B$30&lt;=2,'XA MU'!$E$30*$C$8*(MAX(0,1-ABS('XA MU'!$C$30-$D57)/xm_sP)+MAX(0,1-ABS('XA MU'!$D$30-$D57)/xm_sP)),0)+IF(ABS($D57-(xm_y0P+(xm_nP-1)/2*xm_sP))&lt;0.000001,IF('XA MU'!$B$30&lt;=2,'XA MU'!$E$30*$C$8*(IF('XA MU'!$C$30&gt;(xm_y0P+(xm_nP-1)/2*xm_sP),2*('XA MU'!$C$30-(xm_y0P+(xm_nP-1)/2*xm_sP))/xm_sP,0)+IF('XA MU'!$D$30&gt;(xm_y0P+(xm_nP-1)/2*xm_sP),2*('XA MU'!$D$30-(xm_y0P+(xm_nP-1)/2*xm_sP))/xm_sP,0)),0),0))))</f>
        <v>0</v>
      </c>
      <c r="K57" s="44">
        <f>IF(C57=0,0,IF(3&gt;nLan,0,0.85*(IF('XA MU'!$B$25&lt;=3,'XA MU'!$E$25*$C$8*(MAX(0,1-ABS('XA MU'!$C$25-$D57)/xm_sP)+MAX(0,1-ABS('XA MU'!$D$25-$D57)/xm_sP)),0)+IF(ABS($D57-(xm_y0P+(xm_nP-1)/2*xm_sP))&lt;0.000001,IF('XA MU'!$B$25&lt;=3,'XA MU'!$E$25*$C$8*(IF('XA MU'!$C$25&gt;(xm_y0P+(xm_nP-1)/2*xm_sP),2*('XA MU'!$C$25-(xm_y0P+(xm_nP-1)/2*xm_sP))/xm_sP,0)+IF('XA MU'!$D$25&gt;(xm_y0P+(xm_nP-1)/2*xm_sP),2*('XA MU'!$D$25-(xm_y0P+(xm_nP-1)/2*xm_sP))/xm_sP,0)),0),0)+IF('XA MU'!$B$26&lt;=3,'XA MU'!$E$26*$C$8*(MAX(0,1-ABS('XA MU'!$C$26-$D57)/xm_sP)+MAX(0,1-ABS('XA MU'!$D$26-$D57)/xm_sP)),0)+IF(ABS($D57-(xm_y0P+(xm_nP-1)/2*xm_sP))&lt;0.000001,IF('XA MU'!$B$26&lt;=3,'XA MU'!$E$26*$C$8*(IF('XA MU'!$C$26&gt;(xm_y0P+(xm_nP-1)/2*xm_sP),2*('XA MU'!$C$26-(xm_y0P+(xm_nP-1)/2*xm_sP))/xm_sP,0)+IF('XA MU'!$D$26&gt;(xm_y0P+(xm_nP-1)/2*xm_sP),2*('XA MU'!$D$26-(xm_y0P+(xm_nP-1)/2*xm_sP))/xm_sP,0)),0),0)+IF('XA MU'!$B$27&lt;=3,'XA MU'!$E$27*$C$8*(MAX(0,1-ABS('XA MU'!$C$27-$D57)/xm_sP)+MAX(0,1-ABS('XA MU'!$D$27-$D57)/xm_sP)),0)+IF(ABS($D57-(xm_y0P+(xm_nP-1)/2*xm_sP))&lt;0.000001,IF('XA MU'!$B$27&lt;=3,'XA MU'!$E$27*$C$8*(IF('XA MU'!$C$27&gt;(xm_y0P+(xm_nP-1)/2*xm_sP),2*('XA MU'!$C$27-(xm_y0P+(xm_nP-1)/2*xm_sP))/xm_sP,0)+IF('XA MU'!$D$27&gt;(xm_y0P+(xm_nP-1)/2*xm_sP),2*('XA MU'!$D$27-(xm_y0P+(xm_nP-1)/2*xm_sP))/xm_sP,0)),0),0)+IF('XA MU'!$B$28&lt;=3,'XA MU'!$E$28*$C$8*(MAX(0,1-ABS('XA MU'!$C$28-$D57)/xm_sP)+MAX(0,1-ABS('XA MU'!$D$28-$D57)/xm_sP)),0)+IF(ABS($D57-(xm_y0P+(xm_nP-1)/2*xm_sP))&lt;0.000001,IF('XA MU'!$B$28&lt;=3,'XA MU'!$E$28*$C$8*(IF('XA MU'!$C$28&gt;(xm_y0P+(xm_nP-1)/2*xm_sP),2*('XA MU'!$C$28-(xm_y0P+(xm_nP-1)/2*xm_sP))/xm_sP,0)+IF('XA MU'!$D$28&gt;(xm_y0P+(xm_nP-1)/2*xm_sP),2*('XA MU'!$D$28-(xm_y0P+(xm_nP-1)/2*xm_sP))/xm_sP,0)),0),0)+IF('XA MU'!$B$29&lt;=3,'XA MU'!$E$29*$C$8*(MAX(0,1-ABS('XA MU'!$C$29-$D57)/xm_sP)+MAX(0,1-ABS('XA MU'!$D$29-$D57)/xm_sP)),0)+IF(ABS($D57-(xm_y0P+(xm_nP-1)/2*xm_sP))&lt;0.000001,IF('XA MU'!$B$29&lt;=3,'XA MU'!$E$29*$C$8*(IF('XA MU'!$C$29&gt;(xm_y0P+(xm_nP-1)/2*xm_sP),2*('XA MU'!$C$29-(xm_y0P+(xm_nP-1)/2*xm_sP))/xm_sP,0)+IF('XA MU'!$D$29&gt;(xm_y0P+(xm_nP-1)/2*xm_sP),2*('XA MU'!$D$29-(xm_y0P+(xm_nP-1)/2*xm_sP))/xm_sP,0)),0),0)+IF('XA MU'!$B$30&lt;=3,'XA MU'!$E$30*$C$8*(MAX(0,1-ABS('XA MU'!$C$30-$D57)/xm_sP)+MAX(0,1-ABS('XA MU'!$D$30-$D57)/xm_sP)),0)+IF(ABS($D57-(xm_y0P+(xm_nP-1)/2*xm_sP))&lt;0.000001,IF('XA MU'!$B$30&lt;=3,'XA MU'!$E$30*$C$8*(IF('XA MU'!$C$30&gt;(xm_y0P+(xm_nP-1)/2*xm_sP),2*('XA MU'!$C$30-(xm_y0P+(xm_nP-1)/2*xm_sP))/xm_sP,0)+IF('XA MU'!$D$30&gt;(xm_y0P+(xm_nP-1)/2*xm_sP),2*('XA MU'!$D$30-(xm_y0P+(xm_nP-1)/2*xm_sP))/xm_sP,0)),0),0))))</f>
        <v>0</v>
      </c>
      <c r="L57" s="44">
        <f>IF(C57=0,0,IF(4&gt;nLan,0,0.65*(IF('XA MU'!$B$25&lt;=4,'XA MU'!$E$25*$C$8*(MAX(0,1-ABS('XA MU'!$C$25-$D57)/xm_sP)+MAX(0,1-ABS('XA MU'!$D$25-$D57)/xm_sP)),0)+IF(ABS($D57-(xm_y0P+(xm_nP-1)/2*xm_sP))&lt;0.000001,IF('XA MU'!$B$25&lt;=4,'XA MU'!$E$25*$C$8*(IF('XA MU'!$C$25&gt;(xm_y0P+(xm_nP-1)/2*xm_sP),2*('XA MU'!$C$25-(xm_y0P+(xm_nP-1)/2*xm_sP))/xm_sP,0)+IF('XA MU'!$D$25&gt;(xm_y0P+(xm_nP-1)/2*xm_sP),2*('XA MU'!$D$25-(xm_y0P+(xm_nP-1)/2*xm_sP))/xm_sP,0)),0),0)+IF('XA MU'!$B$26&lt;=4,'XA MU'!$E$26*$C$8*(MAX(0,1-ABS('XA MU'!$C$26-$D57)/xm_sP)+MAX(0,1-ABS('XA MU'!$D$26-$D57)/xm_sP)),0)+IF(ABS($D57-(xm_y0P+(xm_nP-1)/2*xm_sP))&lt;0.000001,IF('XA MU'!$B$26&lt;=4,'XA MU'!$E$26*$C$8*(IF('XA MU'!$C$26&gt;(xm_y0P+(xm_nP-1)/2*xm_sP),2*('XA MU'!$C$26-(xm_y0P+(xm_nP-1)/2*xm_sP))/xm_sP,0)+IF('XA MU'!$D$26&gt;(xm_y0P+(xm_nP-1)/2*xm_sP),2*('XA MU'!$D$26-(xm_y0P+(xm_nP-1)/2*xm_sP))/xm_sP,0)),0),0)+IF('XA MU'!$B$27&lt;=4,'XA MU'!$E$27*$C$8*(MAX(0,1-ABS('XA MU'!$C$27-$D57)/xm_sP)+MAX(0,1-ABS('XA MU'!$D$27-$D57)/xm_sP)),0)+IF(ABS($D57-(xm_y0P+(xm_nP-1)/2*xm_sP))&lt;0.000001,IF('XA MU'!$B$27&lt;=4,'XA MU'!$E$27*$C$8*(IF('XA MU'!$C$27&gt;(xm_y0P+(xm_nP-1)/2*xm_sP),2*('XA MU'!$C$27-(xm_y0P+(xm_nP-1)/2*xm_sP))/xm_sP,0)+IF('XA MU'!$D$27&gt;(xm_y0P+(xm_nP-1)/2*xm_sP),2*('XA MU'!$D$27-(xm_y0P+(xm_nP-1)/2*xm_sP))/xm_sP,0)),0),0)+IF('XA MU'!$B$28&lt;=4,'XA MU'!$E$28*$C$8*(MAX(0,1-ABS('XA MU'!$C$28-$D57)/xm_sP)+MAX(0,1-ABS('XA MU'!$D$28-$D57)/xm_sP)),0)+IF(ABS($D57-(xm_y0P+(xm_nP-1)/2*xm_sP))&lt;0.000001,IF('XA MU'!$B$28&lt;=4,'XA MU'!$E$28*$C$8*(IF('XA MU'!$C$28&gt;(xm_y0P+(xm_nP-1)/2*xm_sP),2*('XA MU'!$C$28-(xm_y0P+(xm_nP-1)/2*xm_sP))/xm_sP,0)+IF('XA MU'!$D$28&gt;(xm_y0P+(xm_nP-1)/2*xm_sP),2*('XA MU'!$D$28-(xm_y0P+(xm_nP-1)/2*xm_sP))/xm_sP,0)),0),0)+IF('XA MU'!$B$29&lt;=4,'XA MU'!$E$29*$C$8*(MAX(0,1-ABS('XA MU'!$C$29-$D57)/xm_sP)+MAX(0,1-ABS('XA MU'!$D$29-$D57)/xm_sP)),0)+IF(ABS($D57-(xm_y0P+(xm_nP-1)/2*xm_sP))&lt;0.000001,IF('XA MU'!$B$29&lt;=4,'XA MU'!$E$29*$C$8*(IF('XA MU'!$C$29&gt;(xm_y0P+(xm_nP-1)/2*xm_sP),2*('XA MU'!$C$29-(xm_y0P+(xm_nP-1)/2*xm_sP))/xm_sP,0)+IF('XA MU'!$D$29&gt;(xm_y0P+(xm_nP-1)/2*xm_sP),2*('XA MU'!$D$29-(xm_y0P+(xm_nP-1)/2*xm_sP))/xm_sP,0)),0),0)+IF('XA MU'!$B$30&lt;=4,'XA MU'!$E$30*$C$8*(MAX(0,1-ABS('XA MU'!$C$30-$D57)/xm_sP)+MAX(0,1-ABS('XA MU'!$D$30-$D57)/xm_sP)),0)+IF(ABS($D57-(xm_y0P+(xm_nP-1)/2*xm_sP))&lt;0.000001,IF('XA MU'!$B$30&lt;=4,'XA MU'!$E$30*$C$8*(IF('XA MU'!$C$30&gt;(xm_y0P+(xm_nP-1)/2*xm_sP),2*('XA MU'!$C$30-(xm_y0P+(xm_nP-1)/2*xm_sP))/xm_sP,0)+IF('XA MU'!$D$30&gt;(xm_y0P+(xm_nP-1)/2*xm_sP),2*('XA MU'!$D$30-(xm_y0P+(xm_nP-1)/2*xm_sP))/xm_sP,0)),0),0))))</f>
        <v>0</v>
      </c>
      <c r="M57" s="44">
        <f>IF(C57=0,0,IF(5&gt;nLan,0,0.65*(IF('XA MU'!$B$25&lt;=5,'XA MU'!$E$25*$C$8*(MAX(0,1-ABS('XA MU'!$C$25-$D57)/xm_sP)+MAX(0,1-ABS('XA MU'!$D$25-$D57)/xm_sP)),0)+IF(ABS($D57-(xm_y0P+(xm_nP-1)/2*xm_sP))&lt;0.000001,IF('XA MU'!$B$25&lt;=5,'XA MU'!$E$25*$C$8*(IF('XA MU'!$C$25&gt;(xm_y0P+(xm_nP-1)/2*xm_sP),2*('XA MU'!$C$25-(xm_y0P+(xm_nP-1)/2*xm_sP))/xm_sP,0)+IF('XA MU'!$D$25&gt;(xm_y0P+(xm_nP-1)/2*xm_sP),2*('XA MU'!$D$25-(xm_y0P+(xm_nP-1)/2*xm_sP))/xm_sP,0)),0),0)+IF('XA MU'!$B$26&lt;=5,'XA MU'!$E$26*$C$8*(MAX(0,1-ABS('XA MU'!$C$26-$D57)/xm_sP)+MAX(0,1-ABS('XA MU'!$D$26-$D57)/xm_sP)),0)+IF(ABS($D57-(xm_y0P+(xm_nP-1)/2*xm_sP))&lt;0.000001,IF('XA MU'!$B$26&lt;=5,'XA MU'!$E$26*$C$8*(IF('XA MU'!$C$26&gt;(xm_y0P+(xm_nP-1)/2*xm_sP),2*('XA MU'!$C$26-(xm_y0P+(xm_nP-1)/2*xm_sP))/xm_sP,0)+IF('XA MU'!$D$26&gt;(xm_y0P+(xm_nP-1)/2*xm_sP),2*('XA MU'!$D$26-(xm_y0P+(xm_nP-1)/2*xm_sP))/xm_sP,0)),0),0)+IF('XA MU'!$B$27&lt;=5,'XA MU'!$E$27*$C$8*(MAX(0,1-ABS('XA MU'!$C$27-$D57)/xm_sP)+MAX(0,1-ABS('XA MU'!$D$27-$D57)/xm_sP)),0)+IF(ABS($D57-(xm_y0P+(xm_nP-1)/2*xm_sP))&lt;0.000001,IF('XA MU'!$B$27&lt;=5,'XA MU'!$E$27*$C$8*(IF('XA MU'!$C$27&gt;(xm_y0P+(xm_nP-1)/2*xm_sP),2*('XA MU'!$C$27-(xm_y0P+(xm_nP-1)/2*xm_sP))/xm_sP,0)+IF('XA MU'!$D$27&gt;(xm_y0P+(xm_nP-1)/2*xm_sP),2*('XA MU'!$D$27-(xm_y0P+(xm_nP-1)/2*xm_sP))/xm_sP,0)),0),0)+IF('XA MU'!$B$28&lt;=5,'XA MU'!$E$28*$C$8*(MAX(0,1-ABS('XA MU'!$C$28-$D57)/xm_sP)+MAX(0,1-ABS('XA MU'!$D$28-$D57)/xm_sP)),0)+IF(ABS($D57-(xm_y0P+(xm_nP-1)/2*xm_sP))&lt;0.000001,IF('XA MU'!$B$28&lt;=5,'XA MU'!$E$28*$C$8*(IF('XA MU'!$C$28&gt;(xm_y0P+(xm_nP-1)/2*xm_sP),2*('XA MU'!$C$28-(xm_y0P+(xm_nP-1)/2*xm_sP))/xm_sP,0)+IF('XA MU'!$D$28&gt;(xm_y0P+(xm_nP-1)/2*xm_sP),2*('XA MU'!$D$28-(xm_y0P+(xm_nP-1)/2*xm_sP))/xm_sP,0)),0),0)+IF('XA MU'!$B$29&lt;=5,'XA MU'!$E$29*$C$8*(MAX(0,1-ABS('XA MU'!$C$29-$D57)/xm_sP)+MAX(0,1-ABS('XA MU'!$D$29-$D57)/xm_sP)),0)+IF(ABS($D57-(xm_y0P+(xm_nP-1)/2*xm_sP))&lt;0.000001,IF('XA MU'!$B$29&lt;=5,'XA MU'!$E$29*$C$8*(IF('XA MU'!$C$29&gt;(xm_y0P+(xm_nP-1)/2*xm_sP),2*('XA MU'!$C$29-(xm_y0P+(xm_nP-1)/2*xm_sP))/xm_sP,0)+IF('XA MU'!$D$29&gt;(xm_y0P+(xm_nP-1)/2*xm_sP),2*('XA MU'!$D$29-(xm_y0P+(xm_nP-1)/2*xm_sP))/xm_sP,0)),0),0)+IF('XA MU'!$B$30&lt;=5,'XA MU'!$E$30*$C$8*(MAX(0,1-ABS('XA MU'!$C$30-$D57)/xm_sP)+MAX(0,1-ABS('XA MU'!$D$30-$D57)/xm_sP)),0)+IF(ABS($D57-(xm_y0P+(xm_nP-1)/2*xm_sP))&lt;0.000001,IF('XA MU'!$B$30&lt;=5,'XA MU'!$E$30*$C$8*(IF('XA MU'!$C$30&gt;(xm_y0P+(xm_nP-1)/2*xm_sP),2*('XA MU'!$C$30-(xm_y0P+(xm_nP-1)/2*xm_sP))/xm_sP,0)+IF('XA MU'!$D$30&gt;(xm_y0P+(xm_nP-1)/2*xm_sP),2*('XA MU'!$D$30-(xm_y0P+(xm_nP-1)/2*xm_sP))/xm_sP,0)),0),0))))</f>
        <v>132.32037829787242</v>
      </c>
      <c r="N57" s="44">
        <f>IF(C57=0,0,IF(6&gt;nLan,0,0.65*(IF('XA MU'!$B$25&lt;=6,'XA MU'!$E$25*$C$8*(MAX(0,1-ABS('XA MU'!$C$25-$D57)/xm_sP)+MAX(0,1-ABS('XA MU'!$D$25-$D57)/xm_sP)),0)+IF(ABS($D57-(xm_y0P+(xm_nP-1)/2*xm_sP))&lt;0.000001,IF('XA MU'!$B$25&lt;=6,'XA MU'!$E$25*$C$8*(IF('XA MU'!$C$25&gt;(xm_y0P+(xm_nP-1)/2*xm_sP),2*('XA MU'!$C$25-(xm_y0P+(xm_nP-1)/2*xm_sP))/xm_sP,0)+IF('XA MU'!$D$25&gt;(xm_y0P+(xm_nP-1)/2*xm_sP),2*('XA MU'!$D$25-(xm_y0P+(xm_nP-1)/2*xm_sP))/xm_sP,0)),0),0)+IF('XA MU'!$B$26&lt;=6,'XA MU'!$E$26*$C$8*(MAX(0,1-ABS('XA MU'!$C$26-$D57)/xm_sP)+MAX(0,1-ABS('XA MU'!$D$26-$D57)/xm_sP)),0)+IF(ABS($D57-(xm_y0P+(xm_nP-1)/2*xm_sP))&lt;0.000001,IF('XA MU'!$B$26&lt;=6,'XA MU'!$E$26*$C$8*(IF('XA MU'!$C$26&gt;(xm_y0P+(xm_nP-1)/2*xm_sP),2*('XA MU'!$C$26-(xm_y0P+(xm_nP-1)/2*xm_sP))/xm_sP,0)+IF('XA MU'!$D$26&gt;(xm_y0P+(xm_nP-1)/2*xm_sP),2*('XA MU'!$D$26-(xm_y0P+(xm_nP-1)/2*xm_sP))/xm_sP,0)),0),0)+IF('XA MU'!$B$27&lt;=6,'XA MU'!$E$27*$C$8*(MAX(0,1-ABS('XA MU'!$C$27-$D57)/xm_sP)+MAX(0,1-ABS('XA MU'!$D$27-$D57)/xm_sP)),0)+IF(ABS($D57-(xm_y0P+(xm_nP-1)/2*xm_sP))&lt;0.000001,IF('XA MU'!$B$27&lt;=6,'XA MU'!$E$27*$C$8*(IF('XA MU'!$C$27&gt;(xm_y0P+(xm_nP-1)/2*xm_sP),2*('XA MU'!$C$27-(xm_y0P+(xm_nP-1)/2*xm_sP))/xm_sP,0)+IF('XA MU'!$D$27&gt;(xm_y0P+(xm_nP-1)/2*xm_sP),2*('XA MU'!$D$27-(xm_y0P+(xm_nP-1)/2*xm_sP))/xm_sP,0)),0),0)+IF('XA MU'!$B$28&lt;=6,'XA MU'!$E$28*$C$8*(MAX(0,1-ABS('XA MU'!$C$28-$D57)/xm_sP)+MAX(0,1-ABS('XA MU'!$D$28-$D57)/xm_sP)),0)+IF(ABS($D57-(xm_y0P+(xm_nP-1)/2*xm_sP))&lt;0.000001,IF('XA MU'!$B$28&lt;=6,'XA MU'!$E$28*$C$8*(IF('XA MU'!$C$28&gt;(xm_y0P+(xm_nP-1)/2*xm_sP),2*('XA MU'!$C$28-(xm_y0P+(xm_nP-1)/2*xm_sP))/xm_sP,0)+IF('XA MU'!$D$28&gt;(xm_y0P+(xm_nP-1)/2*xm_sP),2*('XA MU'!$D$28-(xm_y0P+(xm_nP-1)/2*xm_sP))/xm_sP,0)),0),0)+IF('XA MU'!$B$29&lt;=6,'XA MU'!$E$29*$C$8*(MAX(0,1-ABS('XA MU'!$C$29-$D57)/xm_sP)+MAX(0,1-ABS('XA MU'!$D$29-$D57)/xm_sP)),0)+IF(ABS($D57-(xm_y0P+(xm_nP-1)/2*xm_sP))&lt;0.000001,IF('XA MU'!$B$29&lt;=6,'XA MU'!$E$29*$C$8*(IF('XA MU'!$C$29&gt;(xm_y0P+(xm_nP-1)/2*xm_sP),2*('XA MU'!$C$29-(xm_y0P+(xm_nP-1)/2*xm_sP))/xm_sP,0)+IF('XA MU'!$D$29&gt;(xm_y0P+(xm_nP-1)/2*xm_sP),2*('XA MU'!$D$29-(xm_y0P+(xm_nP-1)/2*xm_sP))/xm_sP,0)),0),0)+IF('XA MU'!$B$30&lt;=6,'XA MU'!$E$30*$C$8*(MAX(0,1-ABS('XA MU'!$C$30-$D57)/xm_sP)+MAX(0,1-ABS('XA MU'!$D$30-$D57)/xm_sP)),0)+IF(ABS($D57-(xm_y0P+(xm_nP-1)/2*xm_sP))&lt;0.000001,IF('XA MU'!$B$30&lt;=6,'XA MU'!$E$30*$C$8*(IF('XA MU'!$C$30&gt;(xm_y0P+(xm_nP-1)/2*xm_sP),2*('XA MU'!$C$30-(xm_y0P+(xm_nP-1)/2*xm_sP))/xm_sP,0)+IF('XA MU'!$D$30&gt;(xm_y0P+(xm_nP-1)/2*xm_sP),2*('XA MU'!$D$30-(xm_y0P+(xm_nP-1)/2*xm_sP))/xm_sP,0)),0),0))))</f>
        <v>198.48056744680864</v>
      </c>
    </row>
    <row r="58" spans="1:14" x14ac:dyDescent="0.3">
      <c r="A58" s="42" t="s">
        <v>1236</v>
      </c>
      <c r="B58" s="42">
        <v>4</v>
      </c>
      <c r="C58" s="40">
        <f t="shared" si="4"/>
        <v>1</v>
      </c>
      <c r="D58" s="44">
        <f t="shared" si="5"/>
        <v>-3.5250000000000004</v>
      </c>
      <c r="E58" s="44">
        <f>MAX(0,D58-'XA MU'!$C$8)*C58</f>
        <v>0</v>
      </c>
      <c r="F58" s="44">
        <f>IF(AND(C58=1,D58&gt;'XA MU'!$C$8),1,0)</f>
        <v>0</v>
      </c>
      <c r="G58" s="44">
        <f t="shared" si="6"/>
        <v>670.60125000000005</v>
      </c>
      <c r="H58" s="44">
        <f t="shared" si="7"/>
        <v>68.43768750000001</v>
      </c>
      <c r="I58" s="44">
        <f>IF(C58=0,0,IF(1&gt;nLan,0,1.2*(IF('XA MU'!$B$25&lt;=1,'XA MU'!$E$25*$C$8*(MAX(0,1-ABS('XA MU'!$C$25-$D58)/xm_sP)+MAX(0,1-ABS('XA MU'!$D$25-$D58)/xm_sP)),0)+IF(ABS($D58-(xm_y0P+(xm_nP-1)/2*xm_sP))&lt;0.000001,IF('XA MU'!$B$25&lt;=1,'XA MU'!$E$25*$C$8*(IF('XA MU'!$C$25&gt;(xm_y0P+(xm_nP-1)/2*xm_sP),2*('XA MU'!$C$25-(xm_y0P+(xm_nP-1)/2*xm_sP))/xm_sP,0)+IF('XA MU'!$D$25&gt;(xm_y0P+(xm_nP-1)/2*xm_sP),2*('XA MU'!$D$25-(xm_y0P+(xm_nP-1)/2*xm_sP))/xm_sP,0)),0),0)+IF('XA MU'!$B$26&lt;=1,'XA MU'!$E$26*$C$8*(MAX(0,1-ABS('XA MU'!$C$26-$D58)/xm_sP)+MAX(0,1-ABS('XA MU'!$D$26-$D58)/xm_sP)),0)+IF(ABS($D58-(xm_y0P+(xm_nP-1)/2*xm_sP))&lt;0.000001,IF('XA MU'!$B$26&lt;=1,'XA MU'!$E$26*$C$8*(IF('XA MU'!$C$26&gt;(xm_y0P+(xm_nP-1)/2*xm_sP),2*('XA MU'!$C$26-(xm_y0P+(xm_nP-1)/2*xm_sP))/xm_sP,0)+IF('XA MU'!$D$26&gt;(xm_y0P+(xm_nP-1)/2*xm_sP),2*('XA MU'!$D$26-(xm_y0P+(xm_nP-1)/2*xm_sP))/xm_sP,0)),0),0)+IF('XA MU'!$B$27&lt;=1,'XA MU'!$E$27*$C$8*(MAX(0,1-ABS('XA MU'!$C$27-$D58)/xm_sP)+MAX(0,1-ABS('XA MU'!$D$27-$D58)/xm_sP)),0)+IF(ABS($D58-(xm_y0P+(xm_nP-1)/2*xm_sP))&lt;0.000001,IF('XA MU'!$B$27&lt;=1,'XA MU'!$E$27*$C$8*(IF('XA MU'!$C$27&gt;(xm_y0P+(xm_nP-1)/2*xm_sP),2*('XA MU'!$C$27-(xm_y0P+(xm_nP-1)/2*xm_sP))/xm_sP,0)+IF('XA MU'!$D$27&gt;(xm_y0P+(xm_nP-1)/2*xm_sP),2*('XA MU'!$D$27-(xm_y0P+(xm_nP-1)/2*xm_sP))/xm_sP,0)),0),0)+IF('XA MU'!$B$28&lt;=1,'XA MU'!$E$28*$C$8*(MAX(0,1-ABS('XA MU'!$C$28-$D58)/xm_sP)+MAX(0,1-ABS('XA MU'!$D$28-$D58)/xm_sP)),0)+IF(ABS($D58-(xm_y0P+(xm_nP-1)/2*xm_sP))&lt;0.000001,IF('XA MU'!$B$28&lt;=1,'XA MU'!$E$28*$C$8*(IF('XA MU'!$C$28&gt;(xm_y0P+(xm_nP-1)/2*xm_sP),2*('XA MU'!$C$28-(xm_y0P+(xm_nP-1)/2*xm_sP))/xm_sP,0)+IF('XA MU'!$D$28&gt;(xm_y0P+(xm_nP-1)/2*xm_sP),2*('XA MU'!$D$28-(xm_y0P+(xm_nP-1)/2*xm_sP))/xm_sP,0)),0),0)+IF('XA MU'!$B$29&lt;=1,'XA MU'!$E$29*$C$8*(MAX(0,1-ABS('XA MU'!$C$29-$D58)/xm_sP)+MAX(0,1-ABS('XA MU'!$D$29-$D58)/xm_sP)),0)+IF(ABS($D58-(xm_y0P+(xm_nP-1)/2*xm_sP))&lt;0.000001,IF('XA MU'!$B$29&lt;=1,'XA MU'!$E$29*$C$8*(IF('XA MU'!$C$29&gt;(xm_y0P+(xm_nP-1)/2*xm_sP),2*('XA MU'!$C$29-(xm_y0P+(xm_nP-1)/2*xm_sP))/xm_sP,0)+IF('XA MU'!$D$29&gt;(xm_y0P+(xm_nP-1)/2*xm_sP),2*('XA MU'!$D$29-(xm_y0P+(xm_nP-1)/2*xm_sP))/xm_sP,0)),0),0)+IF('XA MU'!$B$30&lt;=1,'XA MU'!$E$30*$C$8*(MAX(0,1-ABS('XA MU'!$C$30-$D58)/xm_sP)+MAX(0,1-ABS('XA MU'!$D$30-$D58)/xm_sP)),0)+IF(ABS($D58-(xm_y0P+(xm_nP-1)/2*xm_sP))&lt;0.000001,IF('XA MU'!$B$30&lt;=1,'XA MU'!$E$30*$C$8*(IF('XA MU'!$C$30&gt;(xm_y0P+(xm_nP-1)/2*xm_sP),2*('XA MU'!$C$30-(xm_y0P+(xm_nP-1)/2*xm_sP))/xm_sP,0)+IF('XA MU'!$D$30&gt;(xm_y0P+(xm_nP-1)/2*xm_sP),2*('XA MU'!$D$30-(xm_y0P+(xm_nP-1)/2*xm_sP))/xm_sP,0)),0),0))))</f>
        <v>0</v>
      </c>
      <c r="J58" s="44">
        <f>IF(C58=0,0,IF(2&gt;nLan,0,1*(IF('XA MU'!$B$25&lt;=2,'XA MU'!$E$25*$C$8*(MAX(0,1-ABS('XA MU'!$C$25-$D58)/xm_sP)+MAX(0,1-ABS('XA MU'!$D$25-$D58)/xm_sP)),0)+IF(ABS($D58-(xm_y0P+(xm_nP-1)/2*xm_sP))&lt;0.000001,IF('XA MU'!$B$25&lt;=2,'XA MU'!$E$25*$C$8*(IF('XA MU'!$C$25&gt;(xm_y0P+(xm_nP-1)/2*xm_sP),2*('XA MU'!$C$25-(xm_y0P+(xm_nP-1)/2*xm_sP))/xm_sP,0)+IF('XA MU'!$D$25&gt;(xm_y0P+(xm_nP-1)/2*xm_sP),2*('XA MU'!$D$25-(xm_y0P+(xm_nP-1)/2*xm_sP))/xm_sP,0)),0),0)+IF('XA MU'!$B$26&lt;=2,'XA MU'!$E$26*$C$8*(MAX(0,1-ABS('XA MU'!$C$26-$D58)/xm_sP)+MAX(0,1-ABS('XA MU'!$D$26-$D58)/xm_sP)),0)+IF(ABS($D58-(xm_y0P+(xm_nP-1)/2*xm_sP))&lt;0.000001,IF('XA MU'!$B$26&lt;=2,'XA MU'!$E$26*$C$8*(IF('XA MU'!$C$26&gt;(xm_y0P+(xm_nP-1)/2*xm_sP),2*('XA MU'!$C$26-(xm_y0P+(xm_nP-1)/2*xm_sP))/xm_sP,0)+IF('XA MU'!$D$26&gt;(xm_y0P+(xm_nP-1)/2*xm_sP),2*('XA MU'!$D$26-(xm_y0P+(xm_nP-1)/2*xm_sP))/xm_sP,0)),0),0)+IF('XA MU'!$B$27&lt;=2,'XA MU'!$E$27*$C$8*(MAX(0,1-ABS('XA MU'!$C$27-$D58)/xm_sP)+MAX(0,1-ABS('XA MU'!$D$27-$D58)/xm_sP)),0)+IF(ABS($D58-(xm_y0P+(xm_nP-1)/2*xm_sP))&lt;0.000001,IF('XA MU'!$B$27&lt;=2,'XA MU'!$E$27*$C$8*(IF('XA MU'!$C$27&gt;(xm_y0P+(xm_nP-1)/2*xm_sP),2*('XA MU'!$C$27-(xm_y0P+(xm_nP-1)/2*xm_sP))/xm_sP,0)+IF('XA MU'!$D$27&gt;(xm_y0P+(xm_nP-1)/2*xm_sP),2*('XA MU'!$D$27-(xm_y0P+(xm_nP-1)/2*xm_sP))/xm_sP,0)),0),0)+IF('XA MU'!$B$28&lt;=2,'XA MU'!$E$28*$C$8*(MAX(0,1-ABS('XA MU'!$C$28-$D58)/xm_sP)+MAX(0,1-ABS('XA MU'!$D$28-$D58)/xm_sP)),0)+IF(ABS($D58-(xm_y0P+(xm_nP-1)/2*xm_sP))&lt;0.000001,IF('XA MU'!$B$28&lt;=2,'XA MU'!$E$28*$C$8*(IF('XA MU'!$C$28&gt;(xm_y0P+(xm_nP-1)/2*xm_sP),2*('XA MU'!$C$28-(xm_y0P+(xm_nP-1)/2*xm_sP))/xm_sP,0)+IF('XA MU'!$D$28&gt;(xm_y0P+(xm_nP-1)/2*xm_sP),2*('XA MU'!$D$28-(xm_y0P+(xm_nP-1)/2*xm_sP))/xm_sP,0)),0),0)+IF('XA MU'!$B$29&lt;=2,'XA MU'!$E$29*$C$8*(MAX(0,1-ABS('XA MU'!$C$29-$D58)/xm_sP)+MAX(0,1-ABS('XA MU'!$D$29-$D58)/xm_sP)),0)+IF(ABS($D58-(xm_y0P+(xm_nP-1)/2*xm_sP))&lt;0.000001,IF('XA MU'!$B$29&lt;=2,'XA MU'!$E$29*$C$8*(IF('XA MU'!$C$29&gt;(xm_y0P+(xm_nP-1)/2*xm_sP),2*('XA MU'!$C$29-(xm_y0P+(xm_nP-1)/2*xm_sP))/xm_sP,0)+IF('XA MU'!$D$29&gt;(xm_y0P+(xm_nP-1)/2*xm_sP),2*('XA MU'!$D$29-(xm_y0P+(xm_nP-1)/2*xm_sP))/xm_sP,0)),0),0)+IF('XA MU'!$B$30&lt;=2,'XA MU'!$E$30*$C$8*(MAX(0,1-ABS('XA MU'!$C$30-$D58)/xm_sP)+MAX(0,1-ABS('XA MU'!$D$30-$D58)/xm_sP)),0)+IF(ABS($D58-(xm_y0P+(xm_nP-1)/2*xm_sP))&lt;0.000001,IF('XA MU'!$B$30&lt;=2,'XA MU'!$E$30*$C$8*(IF('XA MU'!$C$30&gt;(xm_y0P+(xm_nP-1)/2*xm_sP),2*('XA MU'!$C$30-(xm_y0P+(xm_nP-1)/2*xm_sP))/xm_sP,0)+IF('XA MU'!$D$30&gt;(xm_y0P+(xm_nP-1)/2*xm_sP),2*('XA MU'!$D$30-(xm_y0P+(xm_nP-1)/2*xm_sP))/xm_sP,0)),0),0))))</f>
        <v>0</v>
      </c>
      <c r="K58" s="44">
        <f>IF(C58=0,0,IF(3&gt;nLan,0,0.85*(IF('XA MU'!$B$25&lt;=3,'XA MU'!$E$25*$C$8*(MAX(0,1-ABS('XA MU'!$C$25-$D58)/xm_sP)+MAX(0,1-ABS('XA MU'!$D$25-$D58)/xm_sP)),0)+IF(ABS($D58-(xm_y0P+(xm_nP-1)/2*xm_sP))&lt;0.000001,IF('XA MU'!$B$25&lt;=3,'XA MU'!$E$25*$C$8*(IF('XA MU'!$C$25&gt;(xm_y0P+(xm_nP-1)/2*xm_sP),2*('XA MU'!$C$25-(xm_y0P+(xm_nP-1)/2*xm_sP))/xm_sP,0)+IF('XA MU'!$D$25&gt;(xm_y0P+(xm_nP-1)/2*xm_sP),2*('XA MU'!$D$25-(xm_y0P+(xm_nP-1)/2*xm_sP))/xm_sP,0)),0),0)+IF('XA MU'!$B$26&lt;=3,'XA MU'!$E$26*$C$8*(MAX(0,1-ABS('XA MU'!$C$26-$D58)/xm_sP)+MAX(0,1-ABS('XA MU'!$D$26-$D58)/xm_sP)),0)+IF(ABS($D58-(xm_y0P+(xm_nP-1)/2*xm_sP))&lt;0.000001,IF('XA MU'!$B$26&lt;=3,'XA MU'!$E$26*$C$8*(IF('XA MU'!$C$26&gt;(xm_y0P+(xm_nP-1)/2*xm_sP),2*('XA MU'!$C$26-(xm_y0P+(xm_nP-1)/2*xm_sP))/xm_sP,0)+IF('XA MU'!$D$26&gt;(xm_y0P+(xm_nP-1)/2*xm_sP),2*('XA MU'!$D$26-(xm_y0P+(xm_nP-1)/2*xm_sP))/xm_sP,0)),0),0)+IF('XA MU'!$B$27&lt;=3,'XA MU'!$E$27*$C$8*(MAX(0,1-ABS('XA MU'!$C$27-$D58)/xm_sP)+MAX(0,1-ABS('XA MU'!$D$27-$D58)/xm_sP)),0)+IF(ABS($D58-(xm_y0P+(xm_nP-1)/2*xm_sP))&lt;0.000001,IF('XA MU'!$B$27&lt;=3,'XA MU'!$E$27*$C$8*(IF('XA MU'!$C$27&gt;(xm_y0P+(xm_nP-1)/2*xm_sP),2*('XA MU'!$C$27-(xm_y0P+(xm_nP-1)/2*xm_sP))/xm_sP,0)+IF('XA MU'!$D$27&gt;(xm_y0P+(xm_nP-1)/2*xm_sP),2*('XA MU'!$D$27-(xm_y0P+(xm_nP-1)/2*xm_sP))/xm_sP,0)),0),0)+IF('XA MU'!$B$28&lt;=3,'XA MU'!$E$28*$C$8*(MAX(0,1-ABS('XA MU'!$C$28-$D58)/xm_sP)+MAX(0,1-ABS('XA MU'!$D$28-$D58)/xm_sP)),0)+IF(ABS($D58-(xm_y0P+(xm_nP-1)/2*xm_sP))&lt;0.000001,IF('XA MU'!$B$28&lt;=3,'XA MU'!$E$28*$C$8*(IF('XA MU'!$C$28&gt;(xm_y0P+(xm_nP-1)/2*xm_sP),2*('XA MU'!$C$28-(xm_y0P+(xm_nP-1)/2*xm_sP))/xm_sP,0)+IF('XA MU'!$D$28&gt;(xm_y0P+(xm_nP-1)/2*xm_sP),2*('XA MU'!$D$28-(xm_y0P+(xm_nP-1)/2*xm_sP))/xm_sP,0)),0),0)+IF('XA MU'!$B$29&lt;=3,'XA MU'!$E$29*$C$8*(MAX(0,1-ABS('XA MU'!$C$29-$D58)/xm_sP)+MAX(0,1-ABS('XA MU'!$D$29-$D58)/xm_sP)),0)+IF(ABS($D58-(xm_y0P+(xm_nP-1)/2*xm_sP))&lt;0.000001,IF('XA MU'!$B$29&lt;=3,'XA MU'!$E$29*$C$8*(IF('XA MU'!$C$29&gt;(xm_y0P+(xm_nP-1)/2*xm_sP),2*('XA MU'!$C$29-(xm_y0P+(xm_nP-1)/2*xm_sP))/xm_sP,0)+IF('XA MU'!$D$29&gt;(xm_y0P+(xm_nP-1)/2*xm_sP),2*('XA MU'!$D$29-(xm_y0P+(xm_nP-1)/2*xm_sP))/xm_sP,0)),0),0)+IF('XA MU'!$B$30&lt;=3,'XA MU'!$E$30*$C$8*(MAX(0,1-ABS('XA MU'!$C$30-$D58)/xm_sP)+MAX(0,1-ABS('XA MU'!$D$30-$D58)/xm_sP)),0)+IF(ABS($D58-(xm_y0P+(xm_nP-1)/2*xm_sP))&lt;0.000001,IF('XA MU'!$B$30&lt;=3,'XA MU'!$E$30*$C$8*(IF('XA MU'!$C$30&gt;(xm_y0P+(xm_nP-1)/2*xm_sP),2*('XA MU'!$C$30-(xm_y0P+(xm_nP-1)/2*xm_sP))/xm_sP,0)+IF('XA MU'!$D$30&gt;(xm_y0P+(xm_nP-1)/2*xm_sP),2*('XA MU'!$D$30-(xm_y0P+(xm_nP-1)/2*xm_sP))/xm_sP,0)),0),0))))</f>
        <v>0</v>
      </c>
      <c r="L58" s="44">
        <f>IF(C58=0,0,IF(4&gt;nLan,0,0.65*(IF('XA MU'!$B$25&lt;=4,'XA MU'!$E$25*$C$8*(MAX(0,1-ABS('XA MU'!$C$25-$D58)/xm_sP)+MAX(0,1-ABS('XA MU'!$D$25-$D58)/xm_sP)),0)+IF(ABS($D58-(xm_y0P+(xm_nP-1)/2*xm_sP))&lt;0.000001,IF('XA MU'!$B$25&lt;=4,'XA MU'!$E$25*$C$8*(IF('XA MU'!$C$25&gt;(xm_y0P+(xm_nP-1)/2*xm_sP),2*('XA MU'!$C$25-(xm_y0P+(xm_nP-1)/2*xm_sP))/xm_sP,0)+IF('XA MU'!$D$25&gt;(xm_y0P+(xm_nP-1)/2*xm_sP),2*('XA MU'!$D$25-(xm_y0P+(xm_nP-1)/2*xm_sP))/xm_sP,0)),0),0)+IF('XA MU'!$B$26&lt;=4,'XA MU'!$E$26*$C$8*(MAX(0,1-ABS('XA MU'!$C$26-$D58)/xm_sP)+MAX(0,1-ABS('XA MU'!$D$26-$D58)/xm_sP)),0)+IF(ABS($D58-(xm_y0P+(xm_nP-1)/2*xm_sP))&lt;0.000001,IF('XA MU'!$B$26&lt;=4,'XA MU'!$E$26*$C$8*(IF('XA MU'!$C$26&gt;(xm_y0P+(xm_nP-1)/2*xm_sP),2*('XA MU'!$C$26-(xm_y0P+(xm_nP-1)/2*xm_sP))/xm_sP,0)+IF('XA MU'!$D$26&gt;(xm_y0P+(xm_nP-1)/2*xm_sP),2*('XA MU'!$D$26-(xm_y0P+(xm_nP-1)/2*xm_sP))/xm_sP,0)),0),0)+IF('XA MU'!$B$27&lt;=4,'XA MU'!$E$27*$C$8*(MAX(0,1-ABS('XA MU'!$C$27-$D58)/xm_sP)+MAX(0,1-ABS('XA MU'!$D$27-$D58)/xm_sP)),0)+IF(ABS($D58-(xm_y0P+(xm_nP-1)/2*xm_sP))&lt;0.000001,IF('XA MU'!$B$27&lt;=4,'XA MU'!$E$27*$C$8*(IF('XA MU'!$C$27&gt;(xm_y0P+(xm_nP-1)/2*xm_sP),2*('XA MU'!$C$27-(xm_y0P+(xm_nP-1)/2*xm_sP))/xm_sP,0)+IF('XA MU'!$D$27&gt;(xm_y0P+(xm_nP-1)/2*xm_sP),2*('XA MU'!$D$27-(xm_y0P+(xm_nP-1)/2*xm_sP))/xm_sP,0)),0),0)+IF('XA MU'!$B$28&lt;=4,'XA MU'!$E$28*$C$8*(MAX(0,1-ABS('XA MU'!$C$28-$D58)/xm_sP)+MAX(0,1-ABS('XA MU'!$D$28-$D58)/xm_sP)),0)+IF(ABS($D58-(xm_y0P+(xm_nP-1)/2*xm_sP))&lt;0.000001,IF('XA MU'!$B$28&lt;=4,'XA MU'!$E$28*$C$8*(IF('XA MU'!$C$28&gt;(xm_y0P+(xm_nP-1)/2*xm_sP),2*('XA MU'!$C$28-(xm_y0P+(xm_nP-1)/2*xm_sP))/xm_sP,0)+IF('XA MU'!$D$28&gt;(xm_y0P+(xm_nP-1)/2*xm_sP),2*('XA MU'!$D$28-(xm_y0P+(xm_nP-1)/2*xm_sP))/xm_sP,0)),0),0)+IF('XA MU'!$B$29&lt;=4,'XA MU'!$E$29*$C$8*(MAX(0,1-ABS('XA MU'!$C$29-$D58)/xm_sP)+MAX(0,1-ABS('XA MU'!$D$29-$D58)/xm_sP)),0)+IF(ABS($D58-(xm_y0P+(xm_nP-1)/2*xm_sP))&lt;0.000001,IF('XA MU'!$B$29&lt;=4,'XA MU'!$E$29*$C$8*(IF('XA MU'!$C$29&gt;(xm_y0P+(xm_nP-1)/2*xm_sP),2*('XA MU'!$C$29-(xm_y0P+(xm_nP-1)/2*xm_sP))/xm_sP,0)+IF('XA MU'!$D$29&gt;(xm_y0P+(xm_nP-1)/2*xm_sP),2*('XA MU'!$D$29-(xm_y0P+(xm_nP-1)/2*xm_sP))/xm_sP,0)),0),0)+IF('XA MU'!$B$30&lt;=4,'XA MU'!$E$30*$C$8*(MAX(0,1-ABS('XA MU'!$C$30-$D58)/xm_sP)+MAX(0,1-ABS('XA MU'!$D$30-$D58)/xm_sP)),0)+IF(ABS($D58-(xm_y0P+(xm_nP-1)/2*xm_sP))&lt;0.000001,IF('XA MU'!$B$30&lt;=4,'XA MU'!$E$30*$C$8*(IF('XA MU'!$C$30&gt;(xm_y0P+(xm_nP-1)/2*xm_sP),2*('XA MU'!$C$30-(xm_y0P+(xm_nP-1)/2*xm_sP))/xm_sP,0)+IF('XA MU'!$D$30&gt;(xm_y0P+(xm_nP-1)/2*xm_sP),2*('XA MU'!$D$30-(xm_y0P+(xm_nP-1)/2*xm_sP))/xm_sP,0)),0),0))))</f>
        <v>43.004122946808536</v>
      </c>
      <c r="M58" s="44">
        <f>IF(C58=0,0,IF(5&gt;nLan,0,0.65*(IF('XA MU'!$B$25&lt;=5,'XA MU'!$E$25*$C$8*(MAX(0,1-ABS('XA MU'!$C$25-$D58)/xm_sP)+MAX(0,1-ABS('XA MU'!$D$25-$D58)/xm_sP)),0)+IF(ABS($D58-(xm_y0P+(xm_nP-1)/2*xm_sP))&lt;0.000001,IF('XA MU'!$B$25&lt;=5,'XA MU'!$E$25*$C$8*(IF('XA MU'!$C$25&gt;(xm_y0P+(xm_nP-1)/2*xm_sP),2*('XA MU'!$C$25-(xm_y0P+(xm_nP-1)/2*xm_sP))/xm_sP,0)+IF('XA MU'!$D$25&gt;(xm_y0P+(xm_nP-1)/2*xm_sP),2*('XA MU'!$D$25-(xm_y0P+(xm_nP-1)/2*xm_sP))/xm_sP,0)),0),0)+IF('XA MU'!$B$26&lt;=5,'XA MU'!$E$26*$C$8*(MAX(0,1-ABS('XA MU'!$C$26-$D58)/xm_sP)+MAX(0,1-ABS('XA MU'!$D$26-$D58)/xm_sP)),0)+IF(ABS($D58-(xm_y0P+(xm_nP-1)/2*xm_sP))&lt;0.000001,IF('XA MU'!$B$26&lt;=5,'XA MU'!$E$26*$C$8*(IF('XA MU'!$C$26&gt;(xm_y0P+(xm_nP-1)/2*xm_sP),2*('XA MU'!$C$26-(xm_y0P+(xm_nP-1)/2*xm_sP))/xm_sP,0)+IF('XA MU'!$D$26&gt;(xm_y0P+(xm_nP-1)/2*xm_sP),2*('XA MU'!$D$26-(xm_y0P+(xm_nP-1)/2*xm_sP))/xm_sP,0)),0),0)+IF('XA MU'!$B$27&lt;=5,'XA MU'!$E$27*$C$8*(MAX(0,1-ABS('XA MU'!$C$27-$D58)/xm_sP)+MAX(0,1-ABS('XA MU'!$D$27-$D58)/xm_sP)),0)+IF(ABS($D58-(xm_y0P+(xm_nP-1)/2*xm_sP))&lt;0.000001,IF('XA MU'!$B$27&lt;=5,'XA MU'!$E$27*$C$8*(IF('XA MU'!$C$27&gt;(xm_y0P+(xm_nP-1)/2*xm_sP),2*('XA MU'!$C$27-(xm_y0P+(xm_nP-1)/2*xm_sP))/xm_sP,0)+IF('XA MU'!$D$27&gt;(xm_y0P+(xm_nP-1)/2*xm_sP),2*('XA MU'!$D$27-(xm_y0P+(xm_nP-1)/2*xm_sP))/xm_sP,0)),0),0)+IF('XA MU'!$B$28&lt;=5,'XA MU'!$E$28*$C$8*(MAX(0,1-ABS('XA MU'!$C$28-$D58)/xm_sP)+MAX(0,1-ABS('XA MU'!$D$28-$D58)/xm_sP)),0)+IF(ABS($D58-(xm_y0P+(xm_nP-1)/2*xm_sP))&lt;0.000001,IF('XA MU'!$B$28&lt;=5,'XA MU'!$E$28*$C$8*(IF('XA MU'!$C$28&gt;(xm_y0P+(xm_nP-1)/2*xm_sP),2*('XA MU'!$C$28-(xm_y0P+(xm_nP-1)/2*xm_sP))/xm_sP,0)+IF('XA MU'!$D$28&gt;(xm_y0P+(xm_nP-1)/2*xm_sP),2*('XA MU'!$D$28-(xm_y0P+(xm_nP-1)/2*xm_sP))/xm_sP,0)),0),0)+IF('XA MU'!$B$29&lt;=5,'XA MU'!$E$29*$C$8*(MAX(0,1-ABS('XA MU'!$C$29-$D58)/xm_sP)+MAX(0,1-ABS('XA MU'!$D$29-$D58)/xm_sP)),0)+IF(ABS($D58-(xm_y0P+(xm_nP-1)/2*xm_sP))&lt;0.000001,IF('XA MU'!$B$29&lt;=5,'XA MU'!$E$29*$C$8*(IF('XA MU'!$C$29&gt;(xm_y0P+(xm_nP-1)/2*xm_sP),2*('XA MU'!$C$29-(xm_y0P+(xm_nP-1)/2*xm_sP))/xm_sP,0)+IF('XA MU'!$D$29&gt;(xm_y0P+(xm_nP-1)/2*xm_sP),2*('XA MU'!$D$29-(xm_y0P+(xm_nP-1)/2*xm_sP))/xm_sP,0)),0),0)+IF('XA MU'!$B$30&lt;=5,'XA MU'!$E$30*$C$8*(MAX(0,1-ABS('XA MU'!$C$30-$D58)/xm_sP)+MAX(0,1-ABS('XA MU'!$D$30-$D58)/xm_sP)),0)+IF(ABS($D58-(xm_y0P+(xm_nP-1)/2*xm_sP))&lt;0.000001,IF('XA MU'!$B$30&lt;=5,'XA MU'!$E$30*$C$8*(IF('XA MU'!$C$30&gt;(xm_y0P+(xm_nP-1)/2*xm_sP),2*('XA MU'!$C$30-(xm_y0P+(xm_nP-1)/2*xm_sP))/xm_sP,0)+IF('XA MU'!$D$30&gt;(xm_y0P+(xm_nP-1)/2*xm_sP),2*('XA MU'!$D$30-(xm_y0P+(xm_nP-1)/2*xm_sP))/xm_sP,0)),0),0))))</f>
        <v>221.6366336489362</v>
      </c>
      <c r="N58" s="44">
        <f>IF(C58=0,0,IF(6&gt;nLan,0,0.65*(IF('XA MU'!$B$25&lt;=6,'XA MU'!$E$25*$C$8*(MAX(0,1-ABS('XA MU'!$C$25-$D58)/xm_sP)+MAX(0,1-ABS('XA MU'!$D$25-$D58)/xm_sP)),0)+IF(ABS($D58-(xm_y0P+(xm_nP-1)/2*xm_sP))&lt;0.000001,IF('XA MU'!$B$25&lt;=6,'XA MU'!$E$25*$C$8*(IF('XA MU'!$C$25&gt;(xm_y0P+(xm_nP-1)/2*xm_sP),2*('XA MU'!$C$25-(xm_y0P+(xm_nP-1)/2*xm_sP))/xm_sP,0)+IF('XA MU'!$D$25&gt;(xm_y0P+(xm_nP-1)/2*xm_sP),2*('XA MU'!$D$25-(xm_y0P+(xm_nP-1)/2*xm_sP))/xm_sP,0)),0),0)+IF('XA MU'!$B$26&lt;=6,'XA MU'!$E$26*$C$8*(MAX(0,1-ABS('XA MU'!$C$26-$D58)/xm_sP)+MAX(0,1-ABS('XA MU'!$D$26-$D58)/xm_sP)),0)+IF(ABS($D58-(xm_y0P+(xm_nP-1)/2*xm_sP))&lt;0.000001,IF('XA MU'!$B$26&lt;=6,'XA MU'!$E$26*$C$8*(IF('XA MU'!$C$26&gt;(xm_y0P+(xm_nP-1)/2*xm_sP),2*('XA MU'!$C$26-(xm_y0P+(xm_nP-1)/2*xm_sP))/xm_sP,0)+IF('XA MU'!$D$26&gt;(xm_y0P+(xm_nP-1)/2*xm_sP),2*('XA MU'!$D$26-(xm_y0P+(xm_nP-1)/2*xm_sP))/xm_sP,0)),0),0)+IF('XA MU'!$B$27&lt;=6,'XA MU'!$E$27*$C$8*(MAX(0,1-ABS('XA MU'!$C$27-$D58)/xm_sP)+MAX(0,1-ABS('XA MU'!$D$27-$D58)/xm_sP)),0)+IF(ABS($D58-(xm_y0P+(xm_nP-1)/2*xm_sP))&lt;0.000001,IF('XA MU'!$B$27&lt;=6,'XA MU'!$E$27*$C$8*(IF('XA MU'!$C$27&gt;(xm_y0P+(xm_nP-1)/2*xm_sP),2*('XA MU'!$C$27-(xm_y0P+(xm_nP-1)/2*xm_sP))/xm_sP,0)+IF('XA MU'!$D$27&gt;(xm_y0P+(xm_nP-1)/2*xm_sP),2*('XA MU'!$D$27-(xm_y0P+(xm_nP-1)/2*xm_sP))/xm_sP,0)),0),0)+IF('XA MU'!$B$28&lt;=6,'XA MU'!$E$28*$C$8*(MAX(0,1-ABS('XA MU'!$C$28-$D58)/xm_sP)+MAX(0,1-ABS('XA MU'!$D$28-$D58)/xm_sP)),0)+IF(ABS($D58-(xm_y0P+(xm_nP-1)/2*xm_sP))&lt;0.000001,IF('XA MU'!$B$28&lt;=6,'XA MU'!$E$28*$C$8*(IF('XA MU'!$C$28&gt;(xm_y0P+(xm_nP-1)/2*xm_sP),2*('XA MU'!$C$28-(xm_y0P+(xm_nP-1)/2*xm_sP))/xm_sP,0)+IF('XA MU'!$D$28&gt;(xm_y0P+(xm_nP-1)/2*xm_sP),2*('XA MU'!$D$28-(xm_y0P+(xm_nP-1)/2*xm_sP))/xm_sP,0)),0),0)+IF('XA MU'!$B$29&lt;=6,'XA MU'!$E$29*$C$8*(MAX(0,1-ABS('XA MU'!$C$29-$D58)/xm_sP)+MAX(0,1-ABS('XA MU'!$D$29-$D58)/xm_sP)),0)+IF(ABS($D58-(xm_y0P+(xm_nP-1)/2*xm_sP))&lt;0.000001,IF('XA MU'!$B$29&lt;=6,'XA MU'!$E$29*$C$8*(IF('XA MU'!$C$29&gt;(xm_y0P+(xm_nP-1)/2*xm_sP),2*('XA MU'!$C$29-(xm_y0P+(xm_nP-1)/2*xm_sP))/xm_sP,0)+IF('XA MU'!$D$29&gt;(xm_y0P+(xm_nP-1)/2*xm_sP),2*('XA MU'!$D$29-(xm_y0P+(xm_nP-1)/2*xm_sP))/xm_sP,0)),0),0)+IF('XA MU'!$B$30&lt;=6,'XA MU'!$E$30*$C$8*(MAX(0,1-ABS('XA MU'!$C$30-$D58)/xm_sP)+MAX(0,1-ABS('XA MU'!$D$30-$D58)/xm_sP)),0)+IF(ABS($D58-(xm_y0P+(xm_nP-1)/2*xm_sP))&lt;0.000001,IF('XA MU'!$B$30&lt;=6,'XA MU'!$E$30*$C$8*(IF('XA MU'!$C$30&gt;(xm_y0P+(xm_nP-1)/2*xm_sP),2*('XA MU'!$C$30-(xm_y0P+(xm_nP-1)/2*xm_sP))/xm_sP,0)+IF('XA MU'!$D$30&gt;(xm_y0P+(xm_nP-1)/2*xm_sP),2*('XA MU'!$D$30-(xm_y0P+(xm_nP-1)/2*xm_sP))/xm_sP,0)),0),0))))</f>
        <v>221.6366336489362</v>
      </c>
    </row>
    <row r="59" spans="1:14" x14ac:dyDescent="0.3">
      <c r="A59" s="42" t="s">
        <v>1236</v>
      </c>
      <c r="B59" s="42">
        <v>5</v>
      </c>
      <c r="C59" s="40">
        <f t="shared" si="4"/>
        <v>1</v>
      </c>
      <c r="D59" s="44">
        <f t="shared" si="5"/>
        <v>-1.175</v>
      </c>
      <c r="E59" s="44">
        <f>MAX(0,D59-'XA MU'!$C$8)*C59</f>
        <v>0</v>
      </c>
      <c r="F59" s="44">
        <f>IF(AND(C59=1,D59&gt;'XA MU'!$C$8),1,0)</f>
        <v>0</v>
      </c>
      <c r="G59" s="44">
        <f t="shared" si="6"/>
        <v>670.60125000000005</v>
      </c>
      <c r="H59" s="44">
        <f t="shared" si="7"/>
        <v>68.43768750000001</v>
      </c>
      <c r="I59" s="44">
        <f>IF(C59=0,0,IF(1&gt;nLan,0,1.2*(IF('XA MU'!$B$25&lt;=1,'XA MU'!$E$25*$C$8*(MAX(0,1-ABS('XA MU'!$C$25-$D59)/xm_sP)+MAX(0,1-ABS('XA MU'!$D$25-$D59)/xm_sP)),0)+IF(ABS($D59-(xm_y0P+(xm_nP-1)/2*xm_sP))&lt;0.000001,IF('XA MU'!$B$25&lt;=1,'XA MU'!$E$25*$C$8*(IF('XA MU'!$C$25&gt;(xm_y0P+(xm_nP-1)/2*xm_sP),2*('XA MU'!$C$25-(xm_y0P+(xm_nP-1)/2*xm_sP))/xm_sP,0)+IF('XA MU'!$D$25&gt;(xm_y0P+(xm_nP-1)/2*xm_sP),2*('XA MU'!$D$25-(xm_y0P+(xm_nP-1)/2*xm_sP))/xm_sP,0)),0),0)+IF('XA MU'!$B$26&lt;=1,'XA MU'!$E$26*$C$8*(MAX(0,1-ABS('XA MU'!$C$26-$D59)/xm_sP)+MAX(0,1-ABS('XA MU'!$D$26-$D59)/xm_sP)),0)+IF(ABS($D59-(xm_y0P+(xm_nP-1)/2*xm_sP))&lt;0.000001,IF('XA MU'!$B$26&lt;=1,'XA MU'!$E$26*$C$8*(IF('XA MU'!$C$26&gt;(xm_y0P+(xm_nP-1)/2*xm_sP),2*('XA MU'!$C$26-(xm_y0P+(xm_nP-1)/2*xm_sP))/xm_sP,0)+IF('XA MU'!$D$26&gt;(xm_y0P+(xm_nP-1)/2*xm_sP),2*('XA MU'!$D$26-(xm_y0P+(xm_nP-1)/2*xm_sP))/xm_sP,0)),0),0)+IF('XA MU'!$B$27&lt;=1,'XA MU'!$E$27*$C$8*(MAX(0,1-ABS('XA MU'!$C$27-$D59)/xm_sP)+MAX(0,1-ABS('XA MU'!$D$27-$D59)/xm_sP)),0)+IF(ABS($D59-(xm_y0P+(xm_nP-1)/2*xm_sP))&lt;0.000001,IF('XA MU'!$B$27&lt;=1,'XA MU'!$E$27*$C$8*(IF('XA MU'!$C$27&gt;(xm_y0P+(xm_nP-1)/2*xm_sP),2*('XA MU'!$C$27-(xm_y0P+(xm_nP-1)/2*xm_sP))/xm_sP,0)+IF('XA MU'!$D$27&gt;(xm_y0P+(xm_nP-1)/2*xm_sP),2*('XA MU'!$D$27-(xm_y0P+(xm_nP-1)/2*xm_sP))/xm_sP,0)),0),0)+IF('XA MU'!$B$28&lt;=1,'XA MU'!$E$28*$C$8*(MAX(0,1-ABS('XA MU'!$C$28-$D59)/xm_sP)+MAX(0,1-ABS('XA MU'!$D$28-$D59)/xm_sP)),0)+IF(ABS($D59-(xm_y0P+(xm_nP-1)/2*xm_sP))&lt;0.000001,IF('XA MU'!$B$28&lt;=1,'XA MU'!$E$28*$C$8*(IF('XA MU'!$C$28&gt;(xm_y0P+(xm_nP-1)/2*xm_sP),2*('XA MU'!$C$28-(xm_y0P+(xm_nP-1)/2*xm_sP))/xm_sP,0)+IF('XA MU'!$D$28&gt;(xm_y0P+(xm_nP-1)/2*xm_sP),2*('XA MU'!$D$28-(xm_y0P+(xm_nP-1)/2*xm_sP))/xm_sP,0)),0),0)+IF('XA MU'!$B$29&lt;=1,'XA MU'!$E$29*$C$8*(MAX(0,1-ABS('XA MU'!$C$29-$D59)/xm_sP)+MAX(0,1-ABS('XA MU'!$D$29-$D59)/xm_sP)),0)+IF(ABS($D59-(xm_y0P+(xm_nP-1)/2*xm_sP))&lt;0.000001,IF('XA MU'!$B$29&lt;=1,'XA MU'!$E$29*$C$8*(IF('XA MU'!$C$29&gt;(xm_y0P+(xm_nP-1)/2*xm_sP),2*('XA MU'!$C$29-(xm_y0P+(xm_nP-1)/2*xm_sP))/xm_sP,0)+IF('XA MU'!$D$29&gt;(xm_y0P+(xm_nP-1)/2*xm_sP),2*('XA MU'!$D$29-(xm_y0P+(xm_nP-1)/2*xm_sP))/xm_sP,0)),0),0)+IF('XA MU'!$B$30&lt;=1,'XA MU'!$E$30*$C$8*(MAX(0,1-ABS('XA MU'!$C$30-$D59)/xm_sP)+MAX(0,1-ABS('XA MU'!$D$30-$D59)/xm_sP)),0)+IF(ABS($D59-(xm_y0P+(xm_nP-1)/2*xm_sP))&lt;0.000001,IF('XA MU'!$B$30&lt;=1,'XA MU'!$E$30*$C$8*(IF('XA MU'!$C$30&gt;(xm_y0P+(xm_nP-1)/2*xm_sP),2*('XA MU'!$C$30-(xm_y0P+(xm_nP-1)/2*xm_sP))/xm_sP,0)+IF('XA MU'!$D$30&gt;(xm_y0P+(xm_nP-1)/2*xm_sP),2*('XA MU'!$D$30-(xm_y0P+(xm_nP-1)/2*xm_sP))/xm_sP,0)),0),0))))</f>
        <v>0</v>
      </c>
      <c r="J59" s="44">
        <f>IF(C59=0,0,IF(2&gt;nLan,0,1*(IF('XA MU'!$B$25&lt;=2,'XA MU'!$E$25*$C$8*(MAX(0,1-ABS('XA MU'!$C$25-$D59)/xm_sP)+MAX(0,1-ABS('XA MU'!$D$25-$D59)/xm_sP)),0)+IF(ABS($D59-(xm_y0P+(xm_nP-1)/2*xm_sP))&lt;0.000001,IF('XA MU'!$B$25&lt;=2,'XA MU'!$E$25*$C$8*(IF('XA MU'!$C$25&gt;(xm_y0P+(xm_nP-1)/2*xm_sP),2*('XA MU'!$C$25-(xm_y0P+(xm_nP-1)/2*xm_sP))/xm_sP,0)+IF('XA MU'!$D$25&gt;(xm_y0P+(xm_nP-1)/2*xm_sP),2*('XA MU'!$D$25-(xm_y0P+(xm_nP-1)/2*xm_sP))/xm_sP,0)),0),0)+IF('XA MU'!$B$26&lt;=2,'XA MU'!$E$26*$C$8*(MAX(0,1-ABS('XA MU'!$C$26-$D59)/xm_sP)+MAX(0,1-ABS('XA MU'!$D$26-$D59)/xm_sP)),0)+IF(ABS($D59-(xm_y0P+(xm_nP-1)/2*xm_sP))&lt;0.000001,IF('XA MU'!$B$26&lt;=2,'XA MU'!$E$26*$C$8*(IF('XA MU'!$C$26&gt;(xm_y0P+(xm_nP-1)/2*xm_sP),2*('XA MU'!$C$26-(xm_y0P+(xm_nP-1)/2*xm_sP))/xm_sP,0)+IF('XA MU'!$D$26&gt;(xm_y0P+(xm_nP-1)/2*xm_sP),2*('XA MU'!$D$26-(xm_y0P+(xm_nP-1)/2*xm_sP))/xm_sP,0)),0),0)+IF('XA MU'!$B$27&lt;=2,'XA MU'!$E$27*$C$8*(MAX(0,1-ABS('XA MU'!$C$27-$D59)/xm_sP)+MAX(0,1-ABS('XA MU'!$D$27-$D59)/xm_sP)),0)+IF(ABS($D59-(xm_y0P+(xm_nP-1)/2*xm_sP))&lt;0.000001,IF('XA MU'!$B$27&lt;=2,'XA MU'!$E$27*$C$8*(IF('XA MU'!$C$27&gt;(xm_y0P+(xm_nP-1)/2*xm_sP),2*('XA MU'!$C$27-(xm_y0P+(xm_nP-1)/2*xm_sP))/xm_sP,0)+IF('XA MU'!$D$27&gt;(xm_y0P+(xm_nP-1)/2*xm_sP),2*('XA MU'!$D$27-(xm_y0P+(xm_nP-1)/2*xm_sP))/xm_sP,0)),0),0)+IF('XA MU'!$B$28&lt;=2,'XA MU'!$E$28*$C$8*(MAX(0,1-ABS('XA MU'!$C$28-$D59)/xm_sP)+MAX(0,1-ABS('XA MU'!$D$28-$D59)/xm_sP)),0)+IF(ABS($D59-(xm_y0P+(xm_nP-1)/2*xm_sP))&lt;0.000001,IF('XA MU'!$B$28&lt;=2,'XA MU'!$E$28*$C$8*(IF('XA MU'!$C$28&gt;(xm_y0P+(xm_nP-1)/2*xm_sP),2*('XA MU'!$C$28-(xm_y0P+(xm_nP-1)/2*xm_sP))/xm_sP,0)+IF('XA MU'!$D$28&gt;(xm_y0P+(xm_nP-1)/2*xm_sP),2*('XA MU'!$D$28-(xm_y0P+(xm_nP-1)/2*xm_sP))/xm_sP,0)),0),0)+IF('XA MU'!$B$29&lt;=2,'XA MU'!$E$29*$C$8*(MAX(0,1-ABS('XA MU'!$C$29-$D59)/xm_sP)+MAX(0,1-ABS('XA MU'!$D$29-$D59)/xm_sP)),0)+IF(ABS($D59-(xm_y0P+(xm_nP-1)/2*xm_sP))&lt;0.000001,IF('XA MU'!$B$29&lt;=2,'XA MU'!$E$29*$C$8*(IF('XA MU'!$C$29&gt;(xm_y0P+(xm_nP-1)/2*xm_sP),2*('XA MU'!$C$29-(xm_y0P+(xm_nP-1)/2*xm_sP))/xm_sP,0)+IF('XA MU'!$D$29&gt;(xm_y0P+(xm_nP-1)/2*xm_sP),2*('XA MU'!$D$29-(xm_y0P+(xm_nP-1)/2*xm_sP))/xm_sP,0)),0),0)+IF('XA MU'!$B$30&lt;=2,'XA MU'!$E$30*$C$8*(MAX(0,1-ABS('XA MU'!$C$30-$D59)/xm_sP)+MAX(0,1-ABS('XA MU'!$D$30-$D59)/xm_sP)),0)+IF(ABS($D59-(xm_y0P+(xm_nP-1)/2*xm_sP))&lt;0.000001,IF('XA MU'!$B$30&lt;=2,'XA MU'!$E$30*$C$8*(IF('XA MU'!$C$30&gt;(xm_y0P+(xm_nP-1)/2*xm_sP),2*('XA MU'!$C$30-(xm_y0P+(xm_nP-1)/2*xm_sP))/xm_sP,0)+IF('XA MU'!$D$30&gt;(xm_y0P+(xm_nP-1)/2*xm_sP),2*('XA MU'!$D$30-(xm_y0P+(xm_nP-1)/2*xm_sP))/xm_sP,0)),0),0))))</f>
        <v>0</v>
      </c>
      <c r="K59" s="44">
        <f>IF(C59=0,0,IF(3&gt;nLan,0,0.85*(IF('XA MU'!$B$25&lt;=3,'XA MU'!$E$25*$C$8*(MAX(0,1-ABS('XA MU'!$C$25-$D59)/xm_sP)+MAX(0,1-ABS('XA MU'!$D$25-$D59)/xm_sP)),0)+IF(ABS($D59-(xm_y0P+(xm_nP-1)/2*xm_sP))&lt;0.000001,IF('XA MU'!$B$25&lt;=3,'XA MU'!$E$25*$C$8*(IF('XA MU'!$C$25&gt;(xm_y0P+(xm_nP-1)/2*xm_sP),2*('XA MU'!$C$25-(xm_y0P+(xm_nP-1)/2*xm_sP))/xm_sP,0)+IF('XA MU'!$D$25&gt;(xm_y0P+(xm_nP-1)/2*xm_sP),2*('XA MU'!$D$25-(xm_y0P+(xm_nP-1)/2*xm_sP))/xm_sP,0)),0),0)+IF('XA MU'!$B$26&lt;=3,'XA MU'!$E$26*$C$8*(MAX(0,1-ABS('XA MU'!$C$26-$D59)/xm_sP)+MAX(0,1-ABS('XA MU'!$D$26-$D59)/xm_sP)),0)+IF(ABS($D59-(xm_y0P+(xm_nP-1)/2*xm_sP))&lt;0.000001,IF('XA MU'!$B$26&lt;=3,'XA MU'!$E$26*$C$8*(IF('XA MU'!$C$26&gt;(xm_y0P+(xm_nP-1)/2*xm_sP),2*('XA MU'!$C$26-(xm_y0P+(xm_nP-1)/2*xm_sP))/xm_sP,0)+IF('XA MU'!$D$26&gt;(xm_y0P+(xm_nP-1)/2*xm_sP),2*('XA MU'!$D$26-(xm_y0P+(xm_nP-1)/2*xm_sP))/xm_sP,0)),0),0)+IF('XA MU'!$B$27&lt;=3,'XA MU'!$E$27*$C$8*(MAX(0,1-ABS('XA MU'!$C$27-$D59)/xm_sP)+MAX(0,1-ABS('XA MU'!$D$27-$D59)/xm_sP)),0)+IF(ABS($D59-(xm_y0P+(xm_nP-1)/2*xm_sP))&lt;0.000001,IF('XA MU'!$B$27&lt;=3,'XA MU'!$E$27*$C$8*(IF('XA MU'!$C$27&gt;(xm_y0P+(xm_nP-1)/2*xm_sP),2*('XA MU'!$C$27-(xm_y0P+(xm_nP-1)/2*xm_sP))/xm_sP,0)+IF('XA MU'!$D$27&gt;(xm_y0P+(xm_nP-1)/2*xm_sP),2*('XA MU'!$D$27-(xm_y0P+(xm_nP-1)/2*xm_sP))/xm_sP,0)),0),0)+IF('XA MU'!$B$28&lt;=3,'XA MU'!$E$28*$C$8*(MAX(0,1-ABS('XA MU'!$C$28-$D59)/xm_sP)+MAX(0,1-ABS('XA MU'!$D$28-$D59)/xm_sP)),0)+IF(ABS($D59-(xm_y0P+(xm_nP-1)/2*xm_sP))&lt;0.000001,IF('XA MU'!$B$28&lt;=3,'XA MU'!$E$28*$C$8*(IF('XA MU'!$C$28&gt;(xm_y0P+(xm_nP-1)/2*xm_sP),2*('XA MU'!$C$28-(xm_y0P+(xm_nP-1)/2*xm_sP))/xm_sP,0)+IF('XA MU'!$D$28&gt;(xm_y0P+(xm_nP-1)/2*xm_sP),2*('XA MU'!$D$28-(xm_y0P+(xm_nP-1)/2*xm_sP))/xm_sP,0)),0),0)+IF('XA MU'!$B$29&lt;=3,'XA MU'!$E$29*$C$8*(MAX(0,1-ABS('XA MU'!$C$29-$D59)/xm_sP)+MAX(0,1-ABS('XA MU'!$D$29-$D59)/xm_sP)),0)+IF(ABS($D59-(xm_y0P+(xm_nP-1)/2*xm_sP))&lt;0.000001,IF('XA MU'!$B$29&lt;=3,'XA MU'!$E$29*$C$8*(IF('XA MU'!$C$29&gt;(xm_y0P+(xm_nP-1)/2*xm_sP),2*('XA MU'!$C$29-(xm_y0P+(xm_nP-1)/2*xm_sP))/xm_sP,0)+IF('XA MU'!$D$29&gt;(xm_y0P+(xm_nP-1)/2*xm_sP),2*('XA MU'!$D$29-(xm_y0P+(xm_nP-1)/2*xm_sP))/xm_sP,0)),0),0)+IF('XA MU'!$B$30&lt;=3,'XA MU'!$E$30*$C$8*(MAX(0,1-ABS('XA MU'!$C$30-$D59)/xm_sP)+MAX(0,1-ABS('XA MU'!$D$30-$D59)/xm_sP)),0)+IF(ABS($D59-(xm_y0P+(xm_nP-1)/2*xm_sP))&lt;0.000001,IF('XA MU'!$B$30&lt;=3,'XA MU'!$E$30*$C$8*(IF('XA MU'!$C$30&gt;(xm_y0P+(xm_nP-1)/2*xm_sP),2*('XA MU'!$C$30-(xm_y0P+(xm_nP-1)/2*xm_sP))/xm_sP,0)+IF('XA MU'!$D$30&gt;(xm_y0P+(xm_nP-1)/2*xm_sP),2*('XA MU'!$D$30-(xm_y0P+(xm_nP-1)/2*xm_sP))/xm_sP,0)),0),0))))</f>
        <v>0</v>
      </c>
      <c r="L59" s="44">
        <f>IF(C59=0,0,IF(4&gt;nLan,0,0.65*(IF('XA MU'!$B$25&lt;=4,'XA MU'!$E$25*$C$8*(MAX(0,1-ABS('XA MU'!$C$25-$D59)/xm_sP)+MAX(0,1-ABS('XA MU'!$D$25-$D59)/xm_sP)),0)+IF(ABS($D59-(xm_y0P+(xm_nP-1)/2*xm_sP))&lt;0.000001,IF('XA MU'!$B$25&lt;=4,'XA MU'!$E$25*$C$8*(IF('XA MU'!$C$25&gt;(xm_y0P+(xm_nP-1)/2*xm_sP),2*('XA MU'!$C$25-(xm_y0P+(xm_nP-1)/2*xm_sP))/xm_sP,0)+IF('XA MU'!$D$25&gt;(xm_y0P+(xm_nP-1)/2*xm_sP),2*('XA MU'!$D$25-(xm_y0P+(xm_nP-1)/2*xm_sP))/xm_sP,0)),0),0)+IF('XA MU'!$B$26&lt;=4,'XA MU'!$E$26*$C$8*(MAX(0,1-ABS('XA MU'!$C$26-$D59)/xm_sP)+MAX(0,1-ABS('XA MU'!$D$26-$D59)/xm_sP)),0)+IF(ABS($D59-(xm_y0P+(xm_nP-1)/2*xm_sP))&lt;0.000001,IF('XA MU'!$B$26&lt;=4,'XA MU'!$E$26*$C$8*(IF('XA MU'!$C$26&gt;(xm_y0P+(xm_nP-1)/2*xm_sP),2*('XA MU'!$C$26-(xm_y0P+(xm_nP-1)/2*xm_sP))/xm_sP,0)+IF('XA MU'!$D$26&gt;(xm_y0P+(xm_nP-1)/2*xm_sP),2*('XA MU'!$D$26-(xm_y0P+(xm_nP-1)/2*xm_sP))/xm_sP,0)),0),0)+IF('XA MU'!$B$27&lt;=4,'XA MU'!$E$27*$C$8*(MAX(0,1-ABS('XA MU'!$C$27-$D59)/xm_sP)+MAX(0,1-ABS('XA MU'!$D$27-$D59)/xm_sP)),0)+IF(ABS($D59-(xm_y0P+(xm_nP-1)/2*xm_sP))&lt;0.000001,IF('XA MU'!$B$27&lt;=4,'XA MU'!$E$27*$C$8*(IF('XA MU'!$C$27&gt;(xm_y0P+(xm_nP-1)/2*xm_sP),2*('XA MU'!$C$27-(xm_y0P+(xm_nP-1)/2*xm_sP))/xm_sP,0)+IF('XA MU'!$D$27&gt;(xm_y0P+(xm_nP-1)/2*xm_sP),2*('XA MU'!$D$27-(xm_y0P+(xm_nP-1)/2*xm_sP))/xm_sP,0)),0),0)+IF('XA MU'!$B$28&lt;=4,'XA MU'!$E$28*$C$8*(MAX(0,1-ABS('XA MU'!$C$28-$D59)/xm_sP)+MAX(0,1-ABS('XA MU'!$D$28-$D59)/xm_sP)),0)+IF(ABS($D59-(xm_y0P+(xm_nP-1)/2*xm_sP))&lt;0.000001,IF('XA MU'!$B$28&lt;=4,'XA MU'!$E$28*$C$8*(IF('XA MU'!$C$28&gt;(xm_y0P+(xm_nP-1)/2*xm_sP),2*('XA MU'!$C$28-(xm_y0P+(xm_nP-1)/2*xm_sP))/xm_sP,0)+IF('XA MU'!$D$28&gt;(xm_y0P+(xm_nP-1)/2*xm_sP),2*('XA MU'!$D$28-(xm_y0P+(xm_nP-1)/2*xm_sP))/xm_sP,0)),0),0)+IF('XA MU'!$B$29&lt;=4,'XA MU'!$E$29*$C$8*(MAX(0,1-ABS('XA MU'!$C$29-$D59)/xm_sP)+MAX(0,1-ABS('XA MU'!$D$29-$D59)/xm_sP)),0)+IF(ABS($D59-(xm_y0P+(xm_nP-1)/2*xm_sP))&lt;0.000001,IF('XA MU'!$B$29&lt;=4,'XA MU'!$E$29*$C$8*(IF('XA MU'!$C$29&gt;(xm_y0P+(xm_nP-1)/2*xm_sP),2*('XA MU'!$C$29-(xm_y0P+(xm_nP-1)/2*xm_sP))/xm_sP,0)+IF('XA MU'!$D$29&gt;(xm_y0P+(xm_nP-1)/2*xm_sP),2*('XA MU'!$D$29-(xm_y0P+(xm_nP-1)/2*xm_sP))/xm_sP,0)),0),0)+IF('XA MU'!$B$30&lt;=4,'XA MU'!$E$30*$C$8*(MAX(0,1-ABS('XA MU'!$C$30-$D59)/xm_sP)+MAX(0,1-ABS('XA MU'!$D$30-$D59)/xm_sP)),0)+IF(ABS($D59-(xm_y0P+(xm_nP-1)/2*xm_sP))&lt;0.000001,IF('XA MU'!$B$30&lt;=4,'XA MU'!$E$30*$C$8*(IF('XA MU'!$C$30&gt;(xm_y0P+(xm_nP-1)/2*xm_sP),2*('XA MU'!$C$30-(xm_y0P+(xm_nP-1)/2*xm_sP))/xm_sP,0)+IF('XA MU'!$D$30&gt;(xm_y0P+(xm_nP-1)/2*xm_sP),2*('XA MU'!$D$30-(xm_y0P+(xm_nP-1)/2*xm_sP))/xm_sP,0)),0),0))))</f>
        <v>191.86454853191492</v>
      </c>
      <c r="M59" s="44">
        <f>IF(C59=0,0,IF(5&gt;nLan,0,0.65*(IF('XA MU'!$B$25&lt;=5,'XA MU'!$E$25*$C$8*(MAX(0,1-ABS('XA MU'!$C$25-$D59)/xm_sP)+MAX(0,1-ABS('XA MU'!$D$25-$D59)/xm_sP)),0)+IF(ABS($D59-(xm_y0P+(xm_nP-1)/2*xm_sP))&lt;0.000001,IF('XA MU'!$B$25&lt;=5,'XA MU'!$E$25*$C$8*(IF('XA MU'!$C$25&gt;(xm_y0P+(xm_nP-1)/2*xm_sP),2*('XA MU'!$C$25-(xm_y0P+(xm_nP-1)/2*xm_sP))/xm_sP,0)+IF('XA MU'!$D$25&gt;(xm_y0P+(xm_nP-1)/2*xm_sP),2*('XA MU'!$D$25-(xm_y0P+(xm_nP-1)/2*xm_sP))/xm_sP,0)),0),0)+IF('XA MU'!$B$26&lt;=5,'XA MU'!$E$26*$C$8*(MAX(0,1-ABS('XA MU'!$C$26-$D59)/xm_sP)+MAX(0,1-ABS('XA MU'!$D$26-$D59)/xm_sP)),0)+IF(ABS($D59-(xm_y0P+(xm_nP-1)/2*xm_sP))&lt;0.000001,IF('XA MU'!$B$26&lt;=5,'XA MU'!$E$26*$C$8*(IF('XA MU'!$C$26&gt;(xm_y0P+(xm_nP-1)/2*xm_sP),2*('XA MU'!$C$26-(xm_y0P+(xm_nP-1)/2*xm_sP))/xm_sP,0)+IF('XA MU'!$D$26&gt;(xm_y0P+(xm_nP-1)/2*xm_sP),2*('XA MU'!$D$26-(xm_y0P+(xm_nP-1)/2*xm_sP))/xm_sP,0)),0),0)+IF('XA MU'!$B$27&lt;=5,'XA MU'!$E$27*$C$8*(MAX(0,1-ABS('XA MU'!$C$27-$D59)/xm_sP)+MAX(0,1-ABS('XA MU'!$D$27-$D59)/xm_sP)),0)+IF(ABS($D59-(xm_y0P+(xm_nP-1)/2*xm_sP))&lt;0.000001,IF('XA MU'!$B$27&lt;=5,'XA MU'!$E$27*$C$8*(IF('XA MU'!$C$27&gt;(xm_y0P+(xm_nP-1)/2*xm_sP),2*('XA MU'!$C$27-(xm_y0P+(xm_nP-1)/2*xm_sP))/xm_sP,0)+IF('XA MU'!$D$27&gt;(xm_y0P+(xm_nP-1)/2*xm_sP),2*('XA MU'!$D$27-(xm_y0P+(xm_nP-1)/2*xm_sP))/xm_sP,0)),0),0)+IF('XA MU'!$B$28&lt;=5,'XA MU'!$E$28*$C$8*(MAX(0,1-ABS('XA MU'!$C$28-$D59)/xm_sP)+MAX(0,1-ABS('XA MU'!$D$28-$D59)/xm_sP)),0)+IF(ABS($D59-(xm_y0P+(xm_nP-1)/2*xm_sP))&lt;0.000001,IF('XA MU'!$B$28&lt;=5,'XA MU'!$E$28*$C$8*(IF('XA MU'!$C$28&gt;(xm_y0P+(xm_nP-1)/2*xm_sP),2*('XA MU'!$C$28-(xm_y0P+(xm_nP-1)/2*xm_sP))/xm_sP,0)+IF('XA MU'!$D$28&gt;(xm_y0P+(xm_nP-1)/2*xm_sP),2*('XA MU'!$D$28-(xm_y0P+(xm_nP-1)/2*xm_sP))/xm_sP,0)),0),0)+IF('XA MU'!$B$29&lt;=5,'XA MU'!$E$29*$C$8*(MAX(0,1-ABS('XA MU'!$C$29-$D59)/xm_sP)+MAX(0,1-ABS('XA MU'!$D$29-$D59)/xm_sP)),0)+IF(ABS($D59-(xm_y0P+(xm_nP-1)/2*xm_sP))&lt;0.000001,IF('XA MU'!$B$29&lt;=5,'XA MU'!$E$29*$C$8*(IF('XA MU'!$C$29&gt;(xm_y0P+(xm_nP-1)/2*xm_sP),2*('XA MU'!$C$29-(xm_y0P+(xm_nP-1)/2*xm_sP))/xm_sP,0)+IF('XA MU'!$D$29&gt;(xm_y0P+(xm_nP-1)/2*xm_sP),2*('XA MU'!$D$29-(xm_y0P+(xm_nP-1)/2*xm_sP))/xm_sP,0)),0),0)+IF('XA MU'!$B$30&lt;=5,'XA MU'!$E$30*$C$8*(MAX(0,1-ABS('XA MU'!$C$30-$D59)/xm_sP)+MAX(0,1-ABS('XA MU'!$D$30-$D59)/xm_sP)),0)+IF(ABS($D59-(xm_y0P+(xm_nP-1)/2*xm_sP))&lt;0.000001,IF('XA MU'!$B$30&lt;=5,'XA MU'!$E$30*$C$8*(IF('XA MU'!$C$30&gt;(xm_y0P+(xm_nP-1)/2*xm_sP),2*('XA MU'!$C$30-(xm_y0P+(xm_nP-1)/2*xm_sP))/xm_sP,0)+IF('XA MU'!$D$30&gt;(xm_y0P+(xm_nP-1)/2*xm_sP),2*('XA MU'!$D$30-(xm_y0P+(xm_nP-1)/2*xm_sP))/xm_sP,0)),0),0))))</f>
        <v>191.86454853191492</v>
      </c>
      <c r="N59" s="44">
        <f>IF(C59=0,0,IF(6&gt;nLan,0,0.65*(IF('XA MU'!$B$25&lt;=6,'XA MU'!$E$25*$C$8*(MAX(0,1-ABS('XA MU'!$C$25-$D59)/xm_sP)+MAX(0,1-ABS('XA MU'!$D$25-$D59)/xm_sP)),0)+IF(ABS($D59-(xm_y0P+(xm_nP-1)/2*xm_sP))&lt;0.000001,IF('XA MU'!$B$25&lt;=6,'XA MU'!$E$25*$C$8*(IF('XA MU'!$C$25&gt;(xm_y0P+(xm_nP-1)/2*xm_sP),2*('XA MU'!$C$25-(xm_y0P+(xm_nP-1)/2*xm_sP))/xm_sP,0)+IF('XA MU'!$D$25&gt;(xm_y0P+(xm_nP-1)/2*xm_sP),2*('XA MU'!$D$25-(xm_y0P+(xm_nP-1)/2*xm_sP))/xm_sP,0)),0),0)+IF('XA MU'!$B$26&lt;=6,'XA MU'!$E$26*$C$8*(MAX(0,1-ABS('XA MU'!$C$26-$D59)/xm_sP)+MAX(0,1-ABS('XA MU'!$D$26-$D59)/xm_sP)),0)+IF(ABS($D59-(xm_y0P+(xm_nP-1)/2*xm_sP))&lt;0.000001,IF('XA MU'!$B$26&lt;=6,'XA MU'!$E$26*$C$8*(IF('XA MU'!$C$26&gt;(xm_y0P+(xm_nP-1)/2*xm_sP),2*('XA MU'!$C$26-(xm_y0P+(xm_nP-1)/2*xm_sP))/xm_sP,0)+IF('XA MU'!$D$26&gt;(xm_y0P+(xm_nP-1)/2*xm_sP),2*('XA MU'!$D$26-(xm_y0P+(xm_nP-1)/2*xm_sP))/xm_sP,0)),0),0)+IF('XA MU'!$B$27&lt;=6,'XA MU'!$E$27*$C$8*(MAX(0,1-ABS('XA MU'!$C$27-$D59)/xm_sP)+MAX(0,1-ABS('XA MU'!$D$27-$D59)/xm_sP)),0)+IF(ABS($D59-(xm_y0P+(xm_nP-1)/2*xm_sP))&lt;0.000001,IF('XA MU'!$B$27&lt;=6,'XA MU'!$E$27*$C$8*(IF('XA MU'!$C$27&gt;(xm_y0P+(xm_nP-1)/2*xm_sP),2*('XA MU'!$C$27-(xm_y0P+(xm_nP-1)/2*xm_sP))/xm_sP,0)+IF('XA MU'!$D$27&gt;(xm_y0P+(xm_nP-1)/2*xm_sP),2*('XA MU'!$D$27-(xm_y0P+(xm_nP-1)/2*xm_sP))/xm_sP,0)),0),0)+IF('XA MU'!$B$28&lt;=6,'XA MU'!$E$28*$C$8*(MAX(0,1-ABS('XA MU'!$C$28-$D59)/xm_sP)+MAX(0,1-ABS('XA MU'!$D$28-$D59)/xm_sP)),0)+IF(ABS($D59-(xm_y0P+(xm_nP-1)/2*xm_sP))&lt;0.000001,IF('XA MU'!$B$28&lt;=6,'XA MU'!$E$28*$C$8*(IF('XA MU'!$C$28&gt;(xm_y0P+(xm_nP-1)/2*xm_sP),2*('XA MU'!$C$28-(xm_y0P+(xm_nP-1)/2*xm_sP))/xm_sP,0)+IF('XA MU'!$D$28&gt;(xm_y0P+(xm_nP-1)/2*xm_sP),2*('XA MU'!$D$28-(xm_y0P+(xm_nP-1)/2*xm_sP))/xm_sP,0)),0),0)+IF('XA MU'!$B$29&lt;=6,'XA MU'!$E$29*$C$8*(MAX(0,1-ABS('XA MU'!$C$29-$D59)/xm_sP)+MAX(0,1-ABS('XA MU'!$D$29-$D59)/xm_sP)),0)+IF(ABS($D59-(xm_y0P+(xm_nP-1)/2*xm_sP))&lt;0.000001,IF('XA MU'!$B$29&lt;=6,'XA MU'!$E$29*$C$8*(IF('XA MU'!$C$29&gt;(xm_y0P+(xm_nP-1)/2*xm_sP),2*('XA MU'!$C$29-(xm_y0P+(xm_nP-1)/2*xm_sP))/xm_sP,0)+IF('XA MU'!$D$29&gt;(xm_y0P+(xm_nP-1)/2*xm_sP),2*('XA MU'!$D$29-(xm_y0P+(xm_nP-1)/2*xm_sP))/xm_sP,0)),0),0)+IF('XA MU'!$B$30&lt;=6,'XA MU'!$E$30*$C$8*(MAX(0,1-ABS('XA MU'!$C$30-$D59)/xm_sP)+MAX(0,1-ABS('XA MU'!$D$30-$D59)/xm_sP)),0)+IF(ABS($D59-(xm_y0P+(xm_nP-1)/2*xm_sP))&lt;0.000001,IF('XA MU'!$B$30&lt;=6,'XA MU'!$E$30*$C$8*(IF('XA MU'!$C$30&gt;(xm_y0P+(xm_nP-1)/2*xm_sP),2*('XA MU'!$C$30-(xm_y0P+(xm_nP-1)/2*xm_sP))/xm_sP,0)+IF('XA MU'!$D$30&gt;(xm_y0P+(xm_nP-1)/2*xm_sP),2*('XA MU'!$D$30-(xm_y0P+(xm_nP-1)/2*xm_sP))/xm_sP,0)),0),0))))</f>
        <v>191.86454853191492</v>
      </c>
    </row>
    <row r="60" spans="1:14" x14ac:dyDescent="0.3">
      <c r="A60" s="42" t="s">
        <v>1236</v>
      </c>
      <c r="B60" s="42">
        <v>6</v>
      </c>
      <c r="C60" s="40">
        <f t="shared" si="4"/>
        <v>1</v>
      </c>
      <c r="D60" s="44">
        <f t="shared" si="5"/>
        <v>1.175</v>
      </c>
      <c r="E60" s="44">
        <f>MAX(0,D60-'XA MU'!$C$8)*C60</f>
        <v>0</v>
      </c>
      <c r="F60" s="44">
        <f>IF(AND(C60=1,D60&gt;'XA MU'!$C$8),1,0)</f>
        <v>0</v>
      </c>
      <c r="G60" s="44">
        <f t="shared" si="6"/>
        <v>670.60125000000005</v>
      </c>
      <c r="H60" s="44">
        <f t="shared" si="7"/>
        <v>68.43768750000001</v>
      </c>
      <c r="I60" s="44">
        <f>IF(C60=0,0,IF(1&gt;nLan,0,1.2*(IF('XA MU'!$B$25&lt;=1,'XA MU'!$E$25*$C$8*(MAX(0,1-ABS('XA MU'!$C$25-$D60)/xm_sP)+MAX(0,1-ABS('XA MU'!$D$25-$D60)/xm_sP)),0)+IF(ABS($D60-(xm_y0P+(xm_nP-1)/2*xm_sP))&lt;0.000001,IF('XA MU'!$B$25&lt;=1,'XA MU'!$E$25*$C$8*(IF('XA MU'!$C$25&gt;(xm_y0P+(xm_nP-1)/2*xm_sP),2*('XA MU'!$C$25-(xm_y0P+(xm_nP-1)/2*xm_sP))/xm_sP,0)+IF('XA MU'!$D$25&gt;(xm_y0P+(xm_nP-1)/2*xm_sP),2*('XA MU'!$D$25-(xm_y0P+(xm_nP-1)/2*xm_sP))/xm_sP,0)),0),0)+IF('XA MU'!$B$26&lt;=1,'XA MU'!$E$26*$C$8*(MAX(0,1-ABS('XA MU'!$C$26-$D60)/xm_sP)+MAX(0,1-ABS('XA MU'!$D$26-$D60)/xm_sP)),0)+IF(ABS($D60-(xm_y0P+(xm_nP-1)/2*xm_sP))&lt;0.000001,IF('XA MU'!$B$26&lt;=1,'XA MU'!$E$26*$C$8*(IF('XA MU'!$C$26&gt;(xm_y0P+(xm_nP-1)/2*xm_sP),2*('XA MU'!$C$26-(xm_y0P+(xm_nP-1)/2*xm_sP))/xm_sP,0)+IF('XA MU'!$D$26&gt;(xm_y0P+(xm_nP-1)/2*xm_sP),2*('XA MU'!$D$26-(xm_y0P+(xm_nP-1)/2*xm_sP))/xm_sP,0)),0),0)+IF('XA MU'!$B$27&lt;=1,'XA MU'!$E$27*$C$8*(MAX(0,1-ABS('XA MU'!$C$27-$D60)/xm_sP)+MAX(0,1-ABS('XA MU'!$D$27-$D60)/xm_sP)),0)+IF(ABS($D60-(xm_y0P+(xm_nP-1)/2*xm_sP))&lt;0.000001,IF('XA MU'!$B$27&lt;=1,'XA MU'!$E$27*$C$8*(IF('XA MU'!$C$27&gt;(xm_y0P+(xm_nP-1)/2*xm_sP),2*('XA MU'!$C$27-(xm_y0P+(xm_nP-1)/2*xm_sP))/xm_sP,0)+IF('XA MU'!$D$27&gt;(xm_y0P+(xm_nP-1)/2*xm_sP),2*('XA MU'!$D$27-(xm_y0P+(xm_nP-1)/2*xm_sP))/xm_sP,0)),0),0)+IF('XA MU'!$B$28&lt;=1,'XA MU'!$E$28*$C$8*(MAX(0,1-ABS('XA MU'!$C$28-$D60)/xm_sP)+MAX(0,1-ABS('XA MU'!$D$28-$D60)/xm_sP)),0)+IF(ABS($D60-(xm_y0P+(xm_nP-1)/2*xm_sP))&lt;0.000001,IF('XA MU'!$B$28&lt;=1,'XA MU'!$E$28*$C$8*(IF('XA MU'!$C$28&gt;(xm_y0P+(xm_nP-1)/2*xm_sP),2*('XA MU'!$C$28-(xm_y0P+(xm_nP-1)/2*xm_sP))/xm_sP,0)+IF('XA MU'!$D$28&gt;(xm_y0P+(xm_nP-1)/2*xm_sP),2*('XA MU'!$D$28-(xm_y0P+(xm_nP-1)/2*xm_sP))/xm_sP,0)),0),0)+IF('XA MU'!$B$29&lt;=1,'XA MU'!$E$29*$C$8*(MAX(0,1-ABS('XA MU'!$C$29-$D60)/xm_sP)+MAX(0,1-ABS('XA MU'!$D$29-$D60)/xm_sP)),0)+IF(ABS($D60-(xm_y0P+(xm_nP-1)/2*xm_sP))&lt;0.000001,IF('XA MU'!$B$29&lt;=1,'XA MU'!$E$29*$C$8*(IF('XA MU'!$C$29&gt;(xm_y0P+(xm_nP-1)/2*xm_sP),2*('XA MU'!$C$29-(xm_y0P+(xm_nP-1)/2*xm_sP))/xm_sP,0)+IF('XA MU'!$D$29&gt;(xm_y0P+(xm_nP-1)/2*xm_sP),2*('XA MU'!$D$29-(xm_y0P+(xm_nP-1)/2*xm_sP))/xm_sP,0)),0),0)+IF('XA MU'!$B$30&lt;=1,'XA MU'!$E$30*$C$8*(MAX(0,1-ABS('XA MU'!$C$30-$D60)/xm_sP)+MAX(0,1-ABS('XA MU'!$D$30-$D60)/xm_sP)),0)+IF(ABS($D60-(xm_y0P+(xm_nP-1)/2*xm_sP))&lt;0.000001,IF('XA MU'!$B$30&lt;=1,'XA MU'!$E$30*$C$8*(IF('XA MU'!$C$30&gt;(xm_y0P+(xm_nP-1)/2*xm_sP),2*('XA MU'!$C$30-(xm_y0P+(xm_nP-1)/2*xm_sP))/xm_sP,0)+IF('XA MU'!$D$30&gt;(xm_y0P+(xm_nP-1)/2*xm_sP),2*('XA MU'!$D$30-(xm_y0P+(xm_nP-1)/2*xm_sP))/xm_sP,0)),0),0))))</f>
        <v>0</v>
      </c>
      <c r="J60" s="44">
        <f>IF(C60=0,0,IF(2&gt;nLan,0,1*(IF('XA MU'!$B$25&lt;=2,'XA MU'!$E$25*$C$8*(MAX(0,1-ABS('XA MU'!$C$25-$D60)/xm_sP)+MAX(0,1-ABS('XA MU'!$D$25-$D60)/xm_sP)),0)+IF(ABS($D60-(xm_y0P+(xm_nP-1)/2*xm_sP))&lt;0.000001,IF('XA MU'!$B$25&lt;=2,'XA MU'!$E$25*$C$8*(IF('XA MU'!$C$25&gt;(xm_y0P+(xm_nP-1)/2*xm_sP),2*('XA MU'!$C$25-(xm_y0P+(xm_nP-1)/2*xm_sP))/xm_sP,0)+IF('XA MU'!$D$25&gt;(xm_y0P+(xm_nP-1)/2*xm_sP),2*('XA MU'!$D$25-(xm_y0P+(xm_nP-1)/2*xm_sP))/xm_sP,0)),0),0)+IF('XA MU'!$B$26&lt;=2,'XA MU'!$E$26*$C$8*(MAX(0,1-ABS('XA MU'!$C$26-$D60)/xm_sP)+MAX(0,1-ABS('XA MU'!$D$26-$D60)/xm_sP)),0)+IF(ABS($D60-(xm_y0P+(xm_nP-1)/2*xm_sP))&lt;0.000001,IF('XA MU'!$B$26&lt;=2,'XA MU'!$E$26*$C$8*(IF('XA MU'!$C$26&gt;(xm_y0P+(xm_nP-1)/2*xm_sP),2*('XA MU'!$C$26-(xm_y0P+(xm_nP-1)/2*xm_sP))/xm_sP,0)+IF('XA MU'!$D$26&gt;(xm_y0P+(xm_nP-1)/2*xm_sP),2*('XA MU'!$D$26-(xm_y0P+(xm_nP-1)/2*xm_sP))/xm_sP,0)),0),0)+IF('XA MU'!$B$27&lt;=2,'XA MU'!$E$27*$C$8*(MAX(0,1-ABS('XA MU'!$C$27-$D60)/xm_sP)+MAX(0,1-ABS('XA MU'!$D$27-$D60)/xm_sP)),0)+IF(ABS($D60-(xm_y0P+(xm_nP-1)/2*xm_sP))&lt;0.000001,IF('XA MU'!$B$27&lt;=2,'XA MU'!$E$27*$C$8*(IF('XA MU'!$C$27&gt;(xm_y0P+(xm_nP-1)/2*xm_sP),2*('XA MU'!$C$27-(xm_y0P+(xm_nP-1)/2*xm_sP))/xm_sP,0)+IF('XA MU'!$D$27&gt;(xm_y0P+(xm_nP-1)/2*xm_sP),2*('XA MU'!$D$27-(xm_y0P+(xm_nP-1)/2*xm_sP))/xm_sP,0)),0),0)+IF('XA MU'!$B$28&lt;=2,'XA MU'!$E$28*$C$8*(MAX(0,1-ABS('XA MU'!$C$28-$D60)/xm_sP)+MAX(0,1-ABS('XA MU'!$D$28-$D60)/xm_sP)),0)+IF(ABS($D60-(xm_y0P+(xm_nP-1)/2*xm_sP))&lt;0.000001,IF('XA MU'!$B$28&lt;=2,'XA MU'!$E$28*$C$8*(IF('XA MU'!$C$28&gt;(xm_y0P+(xm_nP-1)/2*xm_sP),2*('XA MU'!$C$28-(xm_y0P+(xm_nP-1)/2*xm_sP))/xm_sP,0)+IF('XA MU'!$D$28&gt;(xm_y0P+(xm_nP-1)/2*xm_sP),2*('XA MU'!$D$28-(xm_y0P+(xm_nP-1)/2*xm_sP))/xm_sP,0)),0),0)+IF('XA MU'!$B$29&lt;=2,'XA MU'!$E$29*$C$8*(MAX(0,1-ABS('XA MU'!$C$29-$D60)/xm_sP)+MAX(0,1-ABS('XA MU'!$D$29-$D60)/xm_sP)),0)+IF(ABS($D60-(xm_y0P+(xm_nP-1)/2*xm_sP))&lt;0.000001,IF('XA MU'!$B$29&lt;=2,'XA MU'!$E$29*$C$8*(IF('XA MU'!$C$29&gt;(xm_y0P+(xm_nP-1)/2*xm_sP),2*('XA MU'!$C$29-(xm_y0P+(xm_nP-1)/2*xm_sP))/xm_sP,0)+IF('XA MU'!$D$29&gt;(xm_y0P+(xm_nP-1)/2*xm_sP),2*('XA MU'!$D$29-(xm_y0P+(xm_nP-1)/2*xm_sP))/xm_sP,0)),0),0)+IF('XA MU'!$B$30&lt;=2,'XA MU'!$E$30*$C$8*(MAX(0,1-ABS('XA MU'!$C$30-$D60)/xm_sP)+MAX(0,1-ABS('XA MU'!$D$30-$D60)/xm_sP)),0)+IF(ABS($D60-(xm_y0P+(xm_nP-1)/2*xm_sP))&lt;0.000001,IF('XA MU'!$B$30&lt;=2,'XA MU'!$E$30*$C$8*(IF('XA MU'!$C$30&gt;(xm_y0P+(xm_nP-1)/2*xm_sP),2*('XA MU'!$C$30-(xm_y0P+(xm_nP-1)/2*xm_sP))/xm_sP,0)+IF('XA MU'!$D$30&gt;(xm_y0P+(xm_nP-1)/2*xm_sP),2*('XA MU'!$D$30-(xm_y0P+(xm_nP-1)/2*xm_sP))/xm_sP,0)),0),0))))</f>
        <v>0</v>
      </c>
      <c r="K60" s="44">
        <f>IF(C60=0,0,IF(3&gt;nLan,0,0.85*(IF('XA MU'!$B$25&lt;=3,'XA MU'!$E$25*$C$8*(MAX(0,1-ABS('XA MU'!$C$25-$D60)/xm_sP)+MAX(0,1-ABS('XA MU'!$D$25-$D60)/xm_sP)),0)+IF(ABS($D60-(xm_y0P+(xm_nP-1)/2*xm_sP))&lt;0.000001,IF('XA MU'!$B$25&lt;=3,'XA MU'!$E$25*$C$8*(IF('XA MU'!$C$25&gt;(xm_y0P+(xm_nP-1)/2*xm_sP),2*('XA MU'!$C$25-(xm_y0P+(xm_nP-1)/2*xm_sP))/xm_sP,0)+IF('XA MU'!$D$25&gt;(xm_y0P+(xm_nP-1)/2*xm_sP),2*('XA MU'!$D$25-(xm_y0P+(xm_nP-1)/2*xm_sP))/xm_sP,0)),0),0)+IF('XA MU'!$B$26&lt;=3,'XA MU'!$E$26*$C$8*(MAX(0,1-ABS('XA MU'!$C$26-$D60)/xm_sP)+MAX(0,1-ABS('XA MU'!$D$26-$D60)/xm_sP)),0)+IF(ABS($D60-(xm_y0P+(xm_nP-1)/2*xm_sP))&lt;0.000001,IF('XA MU'!$B$26&lt;=3,'XA MU'!$E$26*$C$8*(IF('XA MU'!$C$26&gt;(xm_y0P+(xm_nP-1)/2*xm_sP),2*('XA MU'!$C$26-(xm_y0P+(xm_nP-1)/2*xm_sP))/xm_sP,0)+IF('XA MU'!$D$26&gt;(xm_y0P+(xm_nP-1)/2*xm_sP),2*('XA MU'!$D$26-(xm_y0P+(xm_nP-1)/2*xm_sP))/xm_sP,0)),0),0)+IF('XA MU'!$B$27&lt;=3,'XA MU'!$E$27*$C$8*(MAX(0,1-ABS('XA MU'!$C$27-$D60)/xm_sP)+MAX(0,1-ABS('XA MU'!$D$27-$D60)/xm_sP)),0)+IF(ABS($D60-(xm_y0P+(xm_nP-1)/2*xm_sP))&lt;0.000001,IF('XA MU'!$B$27&lt;=3,'XA MU'!$E$27*$C$8*(IF('XA MU'!$C$27&gt;(xm_y0P+(xm_nP-1)/2*xm_sP),2*('XA MU'!$C$27-(xm_y0P+(xm_nP-1)/2*xm_sP))/xm_sP,0)+IF('XA MU'!$D$27&gt;(xm_y0P+(xm_nP-1)/2*xm_sP),2*('XA MU'!$D$27-(xm_y0P+(xm_nP-1)/2*xm_sP))/xm_sP,0)),0),0)+IF('XA MU'!$B$28&lt;=3,'XA MU'!$E$28*$C$8*(MAX(0,1-ABS('XA MU'!$C$28-$D60)/xm_sP)+MAX(0,1-ABS('XA MU'!$D$28-$D60)/xm_sP)),0)+IF(ABS($D60-(xm_y0P+(xm_nP-1)/2*xm_sP))&lt;0.000001,IF('XA MU'!$B$28&lt;=3,'XA MU'!$E$28*$C$8*(IF('XA MU'!$C$28&gt;(xm_y0P+(xm_nP-1)/2*xm_sP),2*('XA MU'!$C$28-(xm_y0P+(xm_nP-1)/2*xm_sP))/xm_sP,0)+IF('XA MU'!$D$28&gt;(xm_y0P+(xm_nP-1)/2*xm_sP),2*('XA MU'!$D$28-(xm_y0P+(xm_nP-1)/2*xm_sP))/xm_sP,0)),0),0)+IF('XA MU'!$B$29&lt;=3,'XA MU'!$E$29*$C$8*(MAX(0,1-ABS('XA MU'!$C$29-$D60)/xm_sP)+MAX(0,1-ABS('XA MU'!$D$29-$D60)/xm_sP)),0)+IF(ABS($D60-(xm_y0P+(xm_nP-1)/2*xm_sP))&lt;0.000001,IF('XA MU'!$B$29&lt;=3,'XA MU'!$E$29*$C$8*(IF('XA MU'!$C$29&gt;(xm_y0P+(xm_nP-1)/2*xm_sP),2*('XA MU'!$C$29-(xm_y0P+(xm_nP-1)/2*xm_sP))/xm_sP,0)+IF('XA MU'!$D$29&gt;(xm_y0P+(xm_nP-1)/2*xm_sP),2*('XA MU'!$D$29-(xm_y0P+(xm_nP-1)/2*xm_sP))/xm_sP,0)),0),0)+IF('XA MU'!$B$30&lt;=3,'XA MU'!$E$30*$C$8*(MAX(0,1-ABS('XA MU'!$C$30-$D60)/xm_sP)+MAX(0,1-ABS('XA MU'!$D$30-$D60)/xm_sP)),0)+IF(ABS($D60-(xm_y0P+(xm_nP-1)/2*xm_sP))&lt;0.000001,IF('XA MU'!$B$30&lt;=3,'XA MU'!$E$30*$C$8*(IF('XA MU'!$C$30&gt;(xm_y0P+(xm_nP-1)/2*xm_sP),2*('XA MU'!$C$30-(xm_y0P+(xm_nP-1)/2*xm_sP))/xm_sP,0)+IF('XA MU'!$D$30&gt;(xm_y0P+(xm_nP-1)/2*xm_sP),2*('XA MU'!$D$30-(xm_y0P+(xm_nP-1)/2*xm_sP))/xm_sP,0)),0),0))))</f>
        <v>151.4050482446809</v>
      </c>
      <c r="L60" s="44">
        <f>IF(C60=0,0,IF(4&gt;nLan,0,0.65*(IF('XA MU'!$B$25&lt;=4,'XA MU'!$E$25*$C$8*(MAX(0,1-ABS('XA MU'!$C$25-$D60)/xm_sP)+MAX(0,1-ABS('XA MU'!$D$25-$D60)/xm_sP)),0)+IF(ABS($D60-(xm_y0P+(xm_nP-1)/2*xm_sP))&lt;0.000001,IF('XA MU'!$B$25&lt;=4,'XA MU'!$E$25*$C$8*(IF('XA MU'!$C$25&gt;(xm_y0P+(xm_nP-1)/2*xm_sP),2*('XA MU'!$C$25-(xm_y0P+(xm_nP-1)/2*xm_sP))/xm_sP,0)+IF('XA MU'!$D$25&gt;(xm_y0P+(xm_nP-1)/2*xm_sP),2*('XA MU'!$D$25-(xm_y0P+(xm_nP-1)/2*xm_sP))/xm_sP,0)),0),0)+IF('XA MU'!$B$26&lt;=4,'XA MU'!$E$26*$C$8*(MAX(0,1-ABS('XA MU'!$C$26-$D60)/xm_sP)+MAX(0,1-ABS('XA MU'!$D$26-$D60)/xm_sP)),0)+IF(ABS($D60-(xm_y0P+(xm_nP-1)/2*xm_sP))&lt;0.000001,IF('XA MU'!$B$26&lt;=4,'XA MU'!$E$26*$C$8*(IF('XA MU'!$C$26&gt;(xm_y0P+(xm_nP-1)/2*xm_sP),2*('XA MU'!$C$26-(xm_y0P+(xm_nP-1)/2*xm_sP))/xm_sP,0)+IF('XA MU'!$D$26&gt;(xm_y0P+(xm_nP-1)/2*xm_sP),2*('XA MU'!$D$26-(xm_y0P+(xm_nP-1)/2*xm_sP))/xm_sP,0)),0),0)+IF('XA MU'!$B$27&lt;=4,'XA MU'!$E$27*$C$8*(MAX(0,1-ABS('XA MU'!$C$27-$D60)/xm_sP)+MAX(0,1-ABS('XA MU'!$D$27-$D60)/xm_sP)),0)+IF(ABS($D60-(xm_y0P+(xm_nP-1)/2*xm_sP))&lt;0.000001,IF('XA MU'!$B$27&lt;=4,'XA MU'!$E$27*$C$8*(IF('XA MU'!$C$27&gt;(xm_y0P+(xm_nP-1)/2*xm_sP),2*('XA MU'!$C$27-(xm_y0P+(xm_nP-1)/2*xm_sP))/xm_sP,0)+IF('XA MU'!$D$27&gt;(xm_y0P+(xm_nP-1)/2*xm_sP),2*('XA MU'!$D$27-(xm_y0P+(xm_nP-1)/2*xm_sP))/xm_sP,0)),0),0)+IF('XA MU'!$B$28&lt;=4,'XA MU'!$E$28*$C$8*(MAX(0,1-ABS('XA MU'!$C$28-$D60)/xm_sP)+MAX(0,1-ABS('XA MU'!$D$28-$D60)/xm_sP)),0)+IF(ABS($D60-(xm_y0P+(xm_nP-1)/2*xm_sP))&lt;0.000001,IF('XA MU'!$B$28&lt;=4,'XA MU'!$E$28*$C$8*(IF('XA MU'!$C$28&gt;(xm_y0P+(xm_nP-1)/2*xm_sP),2*('XA MU'!$C$28-(xm_y0P+(xm_nP-1)/2*xm_sP))/xm_sP,0)+IF('XA MU'!$D$28&gt;(xm_y0P+(xm_nP-1)/2*xm_sP),2*('XA MU'!$D$28-(xm_y0P+(xm_nP-1)/2*xm_sP))/xm_sP,0)),0),0)+IF('XA MU'!$B$29&lt;=4,'XA MU'!$E$29*$C$8*(MAX(0,1-ABS('XA MU'!$C$29-$D60)/xm_sP)+MAX(0,1-ABS('XA MU'!$D$29-$D60)/xm_sP)),0)+IF(ABS($D60-(xm_y0P+(xm_nP-1)/2*xm_sP))&lt;0.000001,IF('XA MU'!$B$29&lt;=4,'XA MU'!$E$29*$C$8*(IF('XA MU'!$C$29&gt;(xm_y0P+(xm_nP-1)/2*xm_sP),2*('XA MU'!$C$29-(xm_y0P+(xm_nP-1)/2*xm_sP))/xm_sP,0)+IF('XA MU'!$D$29&gt;(xm_y0P+(xm_nP-1)/2*xm_sP),2*('XA MU'!$D$29-(xm_y0P+(xm_nP-1)/2*xm_sP))/xm_sP,0)),0),0)+IF('XA MU'!$B$30&lt;=4,'XA MU'!$E$30*$C$8*(MAX(0,1-ABS('XA MU'!$C$30-$D60)/xm_sP)+MAX(0,1-ABS('XA MU'!$D$30-$D60)/xm_sP)),0)+IF(ABS($D60-(xm_y0P+(xm_nP-1)/2*xm_sP))&lt;0.000001,IF('XA MU'!$B$30&lt;=4,'XA MU'!$E$30*$C$8*(IF('XA MU'!$C$30&gt;(xm_y0P+(xm_nP-1)/2*xm_sP),2*('XA MU'!$C$30-(xm_y0P+(xm_nP-1)/2*xm_sP))/xm_sP,0)+IF('XA MU'!$D$30&gt;(xm_y0P+(xm_nP-1)/2*xm_sP),2*('XA MU'!$D$30-(xm_y0P+(xm_nP-1)/2*xm_sP))/xm_sP,0)),0),0))))</f>
        <v>191.86454853191489</v>
      </c>
      <c r="M60" s="44">
        <f>IF(C60=0,0,IF(5&gt;nLan,0,0.65*(IF('XA MU'!$B$25&lt;=5,'XA MU'!$E$25*$C$8*(MAX(0,1-ABS('XA MU'!$C$25-$D60)/xm_sP)+MAX(0,1-ABS('XA MU'!$D$25-$D60)/xm_sP)),0)+IF(ABS($D60-(xm_y0P+(xm_nP-1)/2*xm_sP))&lt;0.000001,IF('XA MU'!$B$25&lt;=5,'XA MU'!$E$25*$C$8*(IF('XA MU'!$C$25&gt;(xm_y0P+(xm_nP-1)/2*xm_sP),2*('XA MU'!$C$25-(xm_y0P+(xm_nP-1)/2*xm_sP))/xm_sP,0)+IF('XA MU'!$D$25&gt;(xm_y0P+(xm_nP-1)/2*xm_sP),2*('XA MU'!$D$25-(xm_y0P+(xm_nP-1)/2*xm_sP))/xm_sP,0)),0),0)+IF('XA MU'!$B$26&lt;=5,'XA MU'!$E$26*$C$8*(MAX(0,1-ABS('XA MU'!$C$26-$D60)/xm_sP)+MAX(0,1-ABS('XA MU'!$D$26-$D60)/xm_sP)),0)+IF(ABS($D60-(xm_y0P+(xm_nP-1)/2*xm_sP))&lt;0.000001,IF('XA MU'!$B$26&lt;=5,'XA MU'!$E$26*$C$8*(IF('XA MU'!$C$26&gt;(xm_y0P+(xm_nP-1)/2*xm_sP),2*('XA MU'!$C$26-(xm_y0P+(xm_nP-1)/2*xm_sP))/xm_sP,0)+IF('XA MU'!$D$26&gt;(xm_y0P+(xm_nP-1)/2*xm_sP),2*('XA MU'!$D$26-(xm_y0P+(xm_nP-1)/2*xm_sP))/xm_sP,0)),0),0)+IF('XA MU'!$B$27&lt;=5,'XA MU'!$E$27*$C$8*(MAX(0,1-ABS('XA MU'!$C$27-$D60)/xm_sP)+MAX(0,1-ABS('XA MU'!$D$27-$D60)/xm_sP)),0)+IF(ABS($D60-(xm_y0P+(xm_nP-1)/2*xm_sP))&lt;0.000001,IF('XA MU'!$B$27&lt;=5,'XA MU'!$E$27*$C$8*(IF('XA MU'!$C$27&gt;(xm_y0P+(xm_nP-1)/2*xm_sP),2*('XA MU'!$C$27-(xm_y0P+(xm_nP-1)/2*xm_sP))/xm_sP,0)+IF('XA MU'!$D$27&gt;(xm_y0P+(xm_nP-1)/2*xm_sP),2*('XA MU'!$D$27-(xm_y0P+(xm_nP-1)/2*xm_sP))/xm_sP,0)),0),0)+IF('XA MU'!$B$28&lt;=5,'XA MU'!$E$28*$C$8*(MAX(0,1-ABS('XA MU'!$C$28-$D60)/xm_sP)+MAX(0,1-ABS('XA MU'!$D$28-$D60)/xm_sP)),0)+IF(ABS($D60-(xm_y0P+(xm_nP-1)/2*xm_sP))&lt;0.000001,IF('XA MU'!$B$28&lt;=5,'XA MU'!$E$28*$C$8*(IF('XA MU'!$C$28&gt;(xm_y0P+(xm_nP-1)/2*xm_sP),2*('XA MU'!$C$28-(xm_y0P+(xm_nP-1)/2*xm_sP))/xm_sP,0)+IF('XA MU'!$D$28&gt;(xm_y0P+(xm_nP-1)/2*xm_sP),2*('XA MU'!$D$28-(xm_y0P+(xm_nP-1)/2*xm_sP))/xm_sP,0)),0),0)+IF('XA MU'!$B$29&lt;=5,'XA MU'!$E$29*$C$8*(MAX(0,1-ABS('XA MU'!$C$29-$D60)/xm_sP)+MAX(0,1-ABS('XA MU'!$D$29-$D60)/xm_sP)),0)+IF(ABS($D60-(xm_y0P+(xm_nP-1)/2*xm_sP))&lt;0.000001,IF('XA MU'!$B$29&lt;=5,'XA MU'!$E$29*$C$8*(IF('XA MU'!$C$29&gt;(xm_y0P+(xm_nP-1)/2*xm_sP),2*('XA MU'!$C$29-(xm_y0P+(xm_nP-1)/2*xm_sP))/xm_sP,0)+IF('XA MU'!$D$29&gt;(xm_y0P+(xm_nP-1)/2*xm_sP),2*('XA MU'!$D$29-(xm_y0P+(xm_nP-1)/2*xm_sP))/xm_sP,0)),0),0)+IF('XA MU'!$B$30&lt;=5,'XA MU'!$E$30*$C$8*(MAX(0,1-ABS('XA MU'!$C$30-$D60)/xm_sP)+MAX(0,1-ABS('XA MU'!$D$30-$D60)/xm_sP)),0)+IF(ABS($D60-(xm_y0P+(xm_nP-1)/2*xm_sP))&lt;0.000001,IF('XA MU'!$B$30&lt;=5,'XA MU'!$E$30*$C$8*(IF('XA MU'!$C$30&gt;(xm_y0P+(xm_nP-1)/2*xm_sP),2*('XA MU'!$C$30-(xm_y0P+(xm_nP-1)/2*xm_sP))/xm_sP,0)+IF('XA MU'!$D$30&gt;(xm_y0P+(xm_nP-1)/2*xm_sP),2*('XA MU'!$D$30-(xm_y0P+(xm_nP-1)/2*xm_sP))/xm_sP,0)),0),0))))</f>
        <v>191.86454853191489</v>
      </c>
      <c r="N60" s="44">
        <f>IF(C60=0,0,IF(6&gt;nLan,0,0.65*(IF('XA MU'!$B$25&lt;=6,'XA MU'!$E$25*$C$8*(MAX(0,1-ABS('XA MU'!$C$25-$D60)/xm_sP)+MAX(0,1-ABS('XA MU'!$D$25-$D60)/xm_sP)),0)+IF(ABS($D60-(xm_y0P+(xm_nP-1)/2*xm_sP))&lt;0.000001,IF('XA MU'!$B$25&lt;=6,'XA MU'!$E$25*$C$8*(IF('XA MU'!$C$25&gt;(xm_y0P+(xm_nP-1)/2*xm_sP),2*('XA MU'!$C$25-(xm_y0P+(xm_nP-1)/2*xm_sP))/xm_sP,0)+IF('XA MU'!$D$25&gt;(xm_y0P+(xm_nP-1)/2*xm_sP),2*('XA MU'!$D$25-(xm_y0P+(xm_nP-1)/2*xm_sP))/xm_sP,0)),0),0)+IF('XA MU'!$B$26&lt;=6,'XA MU'!$E$26*$C$8*(MAX(0,1-ABS('XA MU'!$C$26-$D60)/xm_sP)+MAX(0,1-ABS('XA MU'!$D$26-$D60)/xm_sP)),0)+IF(ABS($D60-(xm_y0P+(xm_nP-1)/2*xm_sP))&lt;0.000001,IF('XA MU'!$B$26&lt;=6,'XA MU'!$E$26*$C$8*(IF('XA MU'!$C$26&gt;(xm_y0P+(xm_nP-1)/2*xm_sP),2*('XA MU'!$C$26-(xm_y0P+(xm_nP-1)/2*xm_sP))/xm_sP,0)+IF('XA MU'!$D$26&gt;(xm_y0P+(xm_nP-1)/2*xm_sP),2*('XA MU'!$D$26-(xm_y0P+(xm_nP-1)/2*xm_sP))/xm_sP,0)),0),0)+IF('XA MU'!$B$27&lt;=6,'XA MU'!$E$27*$C$8*(MAX(0,1-ABS('XA MU'!$C$27-$D60)/xm_sP)+MAX(0,1-ABS('XA MU'!$D$27-$D60)/xm_sP)),0)+IF(ABS($D60-(xm_y0P+(xm_nP-1)/2*xm_sP))&lt;0.000001,IF('XA MU'!$B$27&lt;=6,'XA MU'!$E$27*$C$8*(IF('XA MU'!$C$27&gt;(xm_y0P+(xm_nP-1)/2*xm_sP),2*('XA MU'!$C$27-(xm_y0P+(xm_nP-1)/2*xm_sP))/xm_sP,0)+IF('XA MU'!$D$27&gt;(xm_y0P+(xm_nP-1)/2*xm_sP),2*('XA MU'!$D$27-(xm_y0P+(xm_nP-1)/2*xm_sP))/xm_sP,0)),0),0)+IF('XA MU'!$B$28&lt;=6,'XA MU'!$E$28*$C$8*(MAX(0,1-ABS('XA MU'!$C$28-$D60)/xm_sP)+MAX(0,1-ABS('XA MU'!$D$28-$D60)/xm_sP)),0)+IF(ABS($D60-(xm_y0P+(xm_nP-1)/2*xm_sP))&lt;0.000001,IF('XA MU'!$B$28&lt;=6,'XA MU'!$E$28*$C$8*(IF('XA MU'!$C$28&gt;(xm_y0P+(xm_nP-1)/2*xm_sP),2*('XA MU'!$C$28-(xm_y0P+(xm_nP-1)/2*xm_sP))/xm_sP,0)+IF('XA MU'!$D$28&gt;(xm_y0P+(xm_nP-1)/2*xm_sP),2*('XA MU'!$D$28-(xm_y0P+(xm_nP-1)/2*xm_sP))/xm_sP,0)),0),0)+IF('XA MU'!$B$29&lt;=6,'XA MU'!$E$29*$C$8*(MAX(0,1-ABS('XA MU'!$C$29-$D60)/xm_sP)+MAX(0,1-ABS('XA MU'!$D$29-$D60)/xm_sP)),0)+IF(ABS($D60-(xm_y0P+(xm_nP-1)/2*xm_sP))&lt;0.000001,IF('XA MU'!$B$29&lt;=6,'XA MU'!$E$29*$C$8*(IF('XA MU'!$C$29&gt;(xm_y0P+(xm_nP-1)/2*xm_sP),2*('XA MU'!$C$29-(xm_y0P+(xm_nP-1)/2*xm_sP))/xm_sP,0)+IF('XA MU'!$D$29&gt;(xm_y0P+(xm_nP-1)/2*xm_sP),2*('XA MU'!$D$29-(xm_y0P+(xm_nP-1)/2*xm_sP))/xm_sP,0)),0),0)+IF('XA MU'!$B$30&lt;=6,'XA MU'!$E$30*$C$8*(MAX(0,1-ABS('XA MU'!$C$30-$D60)/xm_sP)+MAX(0,1-ABS('XA MU'!$D$30-$D60)/xm_sP)),0)+IF(ABS($D60-(xm_y0P+(xm_nP-1)/2*xm_sP))&lt;0.000001,IF('XA MU'!$B$30&lt;=6,'XA MU'!$E$30*$C$8*(IF('XA MU'!$C$30&gt;(xm_y0P+(xm_nP-1)/2*xm_sP),2*('XA MU'!$C$30-(xm_y0P+(xm_nP-1)/2*xm_sP))/xm_sP,0)+IF('XA MU'!$D$30&gt;(xm_y0P+(xm_nP-1)/2*xm_sP),2*('XA MU'!$D$30-(xm_y0P+(xm_nP-1)/2*xm_sP))/xm_sP,0)),0),0))))</f>
        <v>191.86454853191489</v>
      </c>
    </row>
    <row r="61" spans="1:14" x14ac:dyDescent="0.3">
      <c r="A61" s="42" t="s">
        <v>1236</v>
      </c>
      <c r="B61" s="42">
        <v>7</v>
      </c>
      <c r="C61" s="40">
        <f t="shared" si="4"/>
        <v>1</v>
      </c>
      <c r="D61" s="44">
        <f t="shared" si="5"/>
        <v>3.5250000000000004</v>
      </c>
      <c r="E61" s="44">
        <f>MAX(0,D61-'XA MU'!$C$8)*C61</f>
        <v>4.1666666666666963E-2</v>
      </c>
      <c r="F61" s="44">
        <f>IF(AND(C61=1,D61&gt;'XA MU'!$C$8),1,0)</f>
        <v>1</v>
      </c>
      <c r="G61" s="44">
        <f t="shared" si="6"/>
        <v>670.60125000000005</v>
      </c>
      <c r="H61" s="44">
        <f t="shared" si="7"/>
        <v>68.43768750000001</v>
      </c>
      <c r="I61" s="44">
        <f>IF(C61=0,0,IF(1&gt;nLan,0,1.2*(IF('XA MU'!$B$25&lt;=1,'XA MU'!$E$25*$C$8*(MAX(0,1-ABS('XA MU'!$C$25-$D61)/xm_sP)+MAX(0,1-ABS('XA MU'!$D$25-$D61)/xm_sP)),0)+IF(ABS($D61-(xm_y0P+(xm_nP-1)/2*xm_sP))&lt;0.000001,IF('XA MU'!$B$25&lt;=1,'XA MU'!$E$25*$C$8*(IF('XA MU'!$C$25&gt;(xm_y0P+(xm_nP-1)/2*xm_sP),2*('XA MU'!$C$25-(xm_y0P+(xm_nP-1)/2*xm_sP))/xm_sP,0)+IF('XA MU'!$D$25&gt;(xm_y0P+(xm_nP-1)/2*xm_sP),2*('XA MU'!$D$25-(xm_y0P+(xm_nP-1)/2*xm_sP))/xm_sP,0)),0),0)+IF('XA MU'!$B$26&lt;=1,'XA MU'!$E$26*$C$8*(MAX(0,1-ABS('XA MU'!$C$26-$D61)/xm_sP)+MAX(0,1-ABS('XA MU'!$D$26-$D61)/xm_sP)),0)+IF(ABS($D61-(xm_y0P+(xm_nP-1)/2*xm_sP))&lt;0.000001,IF('XA MU'!$B$26&lt;=1,'XA MU'!$E$26*$C$8*(IF('XA MU'!$C$26&gt;(xm_y0P+(xm_nP-1)/2*xm_sP),2*('XA MU'!$C$26-(xm_y0P+(xm_nP-1)/2*xm_sP))/xm_sP,0)+IF('XA MU'!$D$26&gt;(xm_y0P+(xm_nP-1)/2*xm_sP),2*('XA MU'!$D$26-(xm_y0P+(xm_nP-1)/2*xm_sP))/xm_sP,0)),0),0)+IF('XA MU'!$B$27&lt;=1,'XA MU'!$E$27*$C$8*(MAX(0,1-ABS('XA MU'!$C$27-$D61)/xm_sP)+MAX(0,1-ABS('XA MU'!$D$27-$D61)/xm_sP)),0)+IF(ABS($D61-(xm_y0P+(xm_nP-1)/2*xm_sP))&lt;0.000001,IF('XA MU'!$B$27&lt;=1,'XA MU'!$E$27*$C$8*(IF('XA MU'!$C$27&gt;(xm_y0P+(xm_nP-1)/2*xm_sP),2*('XA MU'!$C$27-(xm_y0P+(xm_nP-1)/2*xm_sP))/xm_sP,0)+IF('XA MU'!$D$27&gt;(xm_y0P+(xm_nP-1)/2*xm_sP),2*('XA MU'!$D$27-(xm_y0P+(xm_nP-1)/2*xm_sP))/xm_sP,0)),0),0)+IF('XA MU'!$B$28&lt;=1,'XA MU'!$E$28*$C$8*(MAX(0,1-ABS('XA MU'!$C$28-$D61)/xm_sP)+MAX(0,1-ABS('XA MU'!$D$28-$D61)/xm_sP)),0)+IF(ABS($D61-(xm_y0P+(xm_nP-1)/2*xm_sP))&lt;0.000001,IF('XA MU'!$B$28&lt;=1,'XA MU'!$E$28*$C$8*(IF('XA MU'!$C$28&gt;(xm_y0P+(xm_nP-1)/2*xm_sP),2*('XA MU'!$C$28-(xm_y0P+(xm_nP-1)/2*xm_sP))/xm_sP,0)+IF('XA MU'!$D$28&gt;(xm_y0P+(xm_nP-1)/2*xm_sP),2*('XA MU'!$D$28-(xm_y0P+(xm_nP-1)/2*xm_sP))/xm_sP,0)),0),0)+IF('XA MU'!$B$29&lt;=1,'XA MU'!$E$29*$C$8*(MAX(0,1-ABS('XA MU'!$C$29-$D61)/xm_sP)+MAX(0,1-ABS('XA MU'!$D$29-$D61)/xm_sP)),0)+IF(ABS($D61-(xm_y0P+(xm_nP-1)/2*xm_sP))&lt;0.000001,IF('XA MU'!$B$29&lt;=1,'XA MU'!$E$29*$C$8*(IF('XA MU'!$C$29&gt;(xm_y0P+(xm_nP-1)/2*xm_sP),2*('XA MU'!$C$29-(xm_y0P+(xm_nP-1)/2*xm_sP))/xm_sP,0)+IF('XA MU'!$D$29&gt;(xm_y0P+(xm_nP-1)/2*xm_sP),2*('XA MU'!$D$29-(xm_y0P+(xm_nP-1)/2*xm_sP))/xm_sP,0)),0),0)+IF('XA MU'!$B$30&lt;=1,'XA MU'!$E$30*$C$8*(MAX(0,1-ABS('XA MU'!$C$30-$D61)/xm_sP)+MAX(0,1-ABS('XA MU'!$D$30-$D61)/xm_sP)),0)+IF(ABS($D61-(xm_y0P+(xm_nP-1)/2*xm_sP))&lt;0.000001,IF('XA MU'!$B$30&lt;=1,'XA MU'!$E$30*$C$8*(IF('XA MU'!$C$30&gt;(xm_y0P+(xm_nP-1)/2*xm_sP),2*('XA MU'!$C$30-(xm_y0P+(xm_nP-1)/2*xm_sP))/xm_sP,0)+IF('XA MU'!$D$30&gt;(xm_y0P+(xm_nP-1)/2*xm_sP),2*('XA MU'!$D$30-(xm_y0P+(xm_nP-1)/2*xm_sP))/xm_sP,0)),0),0))))</f>
        <v>0</v>
      </c>
      <c r="J61" s="44">
        <f>IF(C61=0,0,IF(2&gt;nLan,0,1*(IF('XA MU'!$B$25&lt;=2,'XA MU'!$E$25*$C$8*(MAX(0,1-ABS('XA MU'!$C$25-$D61)/xm_sP)+MAX(0,1-ABS('XA MU'!$D$25-$D61)/xm_sP)),0)+IF(ABS($D61-(xm_y0P+(xm_nP-1)/2*xm_sP))&lt;0.000001,IF('XA MU'!$B$25&lt;=2,'XA MU'!$E$25*$C$8*(IF('XA MU'!$C$25&gt;(xm_y0P+(xm_nP-1)/2*xm_sP),2*('XA MU'!$C$25-(xm_y0P+(xm_nP-1)/2*xm_sP))/xm_sP,0)+IF('XA MU'!$D$25&gt;(xm_y0P+(xm_nP-1)/2*xm_sP),2*('XA MU'!$D$25-(xm_y0P+(xm_nP-1)/2*xm_sP))/xm_sP,0)),0),0)+IF('XA MU'!$B$26&lt;=2,'XA MU'!$E$26*$C$8*(MAX(0,1-ABS('XA MU'!$C$26-$D61)/xm_sP)+MAX(0,1-ABS('XA MU'!$D$26-$D61)/xm_sP)),0)+IF(ABS($D61-(xm_y0P+(xm_nP-1)/2*xm_sP))&lt;0.000001,IF('XA MU'!$B$26&lt;=2,'XA MU'!$E$26*$C$8*(IF('XA MU'!$C$26&gt;(xm_y0P+(xm_nP-1)/2*xm_sP),2*('XA MU'!$C$26-(xm_y0P+(xm_nP-1)/2*xm_sP))/xm_sP,0)+IF('XA MU'!$D$26&gt;(xm_y0P+(xm_nP-1)/2*xm_sP),2*('XA MU'!$D$26-(xm_y0P+(xm_nP-1)/2*xm_sP))/xm_sP,0)),0),0)+IF('XA MU'!$B$27&lt;=2,'XA MU'!$E$27*$C$8*(MAX(0,1-ABS('XA MU'!$C$27-$D61)/xm_sP)+MAX(0,1-ABS('XA MU'!$D$27-$D61)/xm_sP)),0)+IF(ABS($D61-(xm_y0P+(xm_nP-1)/2*xm_sP))&lt;0.000001,IF('XA MU'!$B$27&lt;=2,'XA MU'!$E$27*$C$8*(IF('XA MU'!$C$27&gt;(xm_y0P+(xm_nP-1)/2*xm_sP),2*('XA MU'!$C$27-(xm_y0P+(xm_nP-1)/2*xm_sP))/xm_sP,0)+IF('XA MU'!$D$27&gt;(xm_y0P+(xm_nP-1)/2*xm_sP),2*('XA MU'!$D$27-(xm_y0P+(xm_nP-1)/2*xm_sP))/xm_sP,0)),0),0)+IF('XA MU'!$B$28&lt;=2,'XA MU'!$E$28*$C$8*(MAX(0,1-ABS('XA MU'!$C$28-$D61)/xm_sP)+MAX(0,1-ABS('XA MU'!$D$28-$D61)/xm_sP)),0)+IF(ABS($D61-(xm_y0P+(xm_nP-1)/2*xm_sP))&lt;0.000001,IF('XA MU'!$B$28&lt;=2,'XA MU'!$E$28*$C$8*(IF('XA MU'!$C$28&gt;(xm_y0P+(xm_nP-1)/2*xm_sP),2*('XA MU'!$C$28-(xm_y0P+(xm_nP-1)/2*xm_sP))/xm_sP,0)+IF('XA MU'!$D$28&gt;(xm_y0P+(xm_nP-1)/2*xm_sP),2*('XA MU'!$D$28-(xm_y0P+(xm_nP-1)/2*xm_sP))/xm_sP,0)),0),0)+IF('XA MU'!$B$29&lt;=2,'XA MU'!$E$29*$C$8*(MAX(0,1-ABS('XA MU'!$C$29-$D61)/xm_sP)+MAX(0,1-ABS('XA MU'!$D$29-$D61)/xm_sP)),0)+IF(ABS($D61-(xm_y0P+(xm_nP-1)/2*xm_sP))&lt;0.000001,IF('XA MU'!$B$29&lt;=2,'XA MU'!$E$29*$C$8*(IF('XA MU'!$C$29&gt;(xm_y0P+(xm_nP-1)/2*xm_sP),2*('XA MU'!$C$29-(xm_y0P+(xm_nP-1)/2*xm_sP))/xm_sP,0)+IF('XA MU'!$D$29&gt;(xm_y0P+(xm_nP-1)/2*xm_sP),2*('XA MU'!$D$29-(xm_y0P+(xm_nP-1)/2*xm_sP))/xm_sP,0)),0),0)+IF('XA MU'!$B$30&lt;=2,'XA MU'!$E$30*$C$8*(MAX(0,1-ABS('XA MU'!$C$30-$D61)/xm_sP)+MAX(0,1-ABS('XA MU'!$D$30-$D61)/xm_sP)),0)+IF(ABS($D61-(xm_y0P+(xm_nP-1)/2*xm_sP))&lt;0.000001,IF('XA MU'!$B$30&lt;=2,'XA MU'!$E$30*$C$8*(IF('XA MU'!$C$30&gt;(xm_y0P+(xm_nP-1)/2*xm_sP),2*('XA MU'!$C$30-(xm_y0P+(xm_nP-1)/2*xm_sP))/xm_sP,0)+IF('XA MU'!$D$30&gt;(xm_y0P+(xm_nP-1)/2*xm_sP),2*('XA MU'!$D$30-(xm_y0P+(xm_nP-1)/2*xm_sP))/xm_sP,0)),0),0))))</f>
        <v>50.892453191489302</v>
      </c>
      <c r="K61" s="44">
        <f>IF(C61=0,0,IF(3&gt;nLan,0,0.85*(IF('XA MU'!$B$25&lt;=3,'XA MU'!$E$25*$C$8*(MAX(0,1-ABS('XA MU'!$C$25-$D61)/xm_sP)+MAX(0,1-ABS('XA MU'!$D$25-$D61)/xm_sP)),0)+IF(ABS($D61-(xm_y0P+(xm_nP-1)/2*xm_sP))&lt;0.000001,IF('XA MU'!$B$25&lt;=3,'XA MU'!$E$25*$C$8*(IF('XA MU'!$C$25&gt;(xm_y0P+(xm_nP-1)/2*xm_sP),2*('XA MU'!$C$25-(xm_y0P+(xm_nP-1)/2*xm_sP))/xm_sP,0)+IF('XA MU'!$D$25&gt;(xm_y0P+(xm_nP-1)/2*xm_sP),2*('XA MU'!$D$25-(xm_y0P+(xm_nP-1)/2*xm_sP))/xm_sP,0)),0),0)+IF('XA MU'!$B$26&lt;=3,'XA MU'!$E$26*$C$8*(MAX(0,1-ABS('XA MU'!$C$26-$D61)/xm_sP)+MAX(0,1-ABS('XA MU'!$D$26-$D61)/xm_sP)),0)+IF(ABS($D61-(xm_y0P+(xm_nP-1)/2*xm_sP))&lt;0.000001,IF('XA MU'!$B$26&lt;=3,'XA MU'!$E$26*$C$8*(IF('XA MU'!$C$26&gt;(xm_y0P+(xm_nP-1)/2*xm_sP),2*('XA MU'!$C$26-(xm_y0P+(xm_nP-1)/2*xm_sP))/xm_sP,0)+IF('XA MU'!$D$26&gt;(xm_y0P+(xm_nP-1)/2*xm_sP),2*('XA MU'!$D$26-(xm_y0P+(xm_nP-1)/2*xm_sP))/xm_sP,0)),0),0)+IF('XA MU'!$B$27&lt;=3,'XA MU'!$E$27*$C$8*(MAX(0,1-ABS('XA MU'!$C$27-$D61)/xm_sP)+MAX(0,1-ABS('XA MU'!$D$27-$D61)/xm_sP)),0)+IF(ABS($D61-(xm_y0P+(xm_nP-1)/2*xm_sP))&lt;0.000001,IF('XA MU'!$B$27&lt;=3,'XA MU'!$E$27*$C$8*(IF('XA MU'!$C$27&gt;(xm_y0P+(xm_nP-1)/2*xm_sP),2*('XA MU'!$C$27-(xm_y0P+(xm_nP-1)/2*xm_sP))/xm_sP,0)+IF('XA MU'!$D$27&gt;(xm_y0P+(xm_nP-1)/2*xm_sP),2*('XA MU'!$D$27-(xm_y0P+(xm_nP-1)/2*xm_sP))/xm_sP,0)),0),0)+IF('XA MU'!$B$28&lt;=3,'XA MU'!$E$28*$C$8*(MAX(0,1-ABS('XA MU'!$C$28-$D61)/xm_sP)+MAX(0,1-ABS('XA MU'!$D$28-$D61)/xm_sP)),0)+IF(ABS($D61-(xm_y0P+(xm_nP-1)/2*xm_sP))&lt;0.000001,IF('XA MU'!$B$28&lt;=3,'XA MU'!$E$28*$C$8*(IF('XA MU'!$C$28&gt;(xm_y0P+(xm_nP-1)/2*xm_sP),2*('XA MU'!$C$28-(xm_y0P+(xm_nP-1)/2*xm_sP))/xm_sP,0)+IF('XA MU'!$D$28&gt;(xm_y0P+(xm_nP-1)/2*xm_sP),2*('XA MU'!$D$28-(xm_y0P+(xm_nP-1)/2*xm_sP))/xm_sP,0)),0),0)+IF('XA MU'!$B$29&lt;=3,'XA MU'!$E$29*$C$8*(MAX(0,1-ABS('XA MU'!$C$29-$D61)/xm_sP)+MAX(0,1-ABS('XA MU'!$D$29-$D61)/xm_sP)),0)+IF(ABS($D61-(xm_y0P+(xm_nP-1)/2*xm_sP))&lt;0.000001,IF('XA MU'!$B$29&lt;=3,'XA MU'!$E$29*$C$8*(IF('XA MU'!$C$29&gt;(xm_y0P+(xm_nP-1)/2*xm_sP),2*('XA MU'!$C$29-(xm_y0P+(xm_nP-1)/2*xm_sP))/xm_sP,0)+IF('XA MU'!$D$29&gt;(xm_y0P+(xm_nP-1)/2*xm_sP),2*('XA MU'!$D$29-(xm_y0P+(xm_nP-1)/2*xm_sP))/xm_sP,0)),0),0)+IF('XA MU'!$B$30&lt;=3,'XA MU'!$E$30*$C$8*(MAX(0,1-ABS('XA MU'!$C$30-$D61)/xm_sP)+MAX(0,1-ABS('XA MU'!$D$30-$D61)/xm_sP)),0)+IF(ABS($D61-(xm_y0P+(xm_nP-1)/2*xm_sP))&lt;0.000001,IF('XA MU'!$B$30&lt;=3,'XA MU'!$E$30*$C$8*(IF('XA MU'!$C$30&gt;(xm_y0P+(xm_nP-1)/2*xm_sP),2*('XA MU'!$C$30-(xm_y0P+(xm_nP-1)/2*xm_sP))/xm_sP,0)+IF('XA MU'!$D$30&gt;(xm_y0P+(xm_nP-1)/2*xm_sP),2*('XA MU'!$D$30-(xm_y0P+(xm_nP-1)/2*xm_sP))/xm_sP,0)),0),0))))</f>
        <v>294.15837944680851</v>
      </c>
      <c r="L61" s="44">
        <f>IF(C61=0,0,IF(4&gt;nLan,0,0.65*(IF('XA MU'!$B$25&lt;=4,'XA MU'!$E$25*$C$8*(MAX(0,1-ABS('XA MU'!$C$25-$D61)/xm_sP)+MAX(0,1-ABS('XA MU'!$D$25-$D61)/xm_sP)),0)+IF(ABS($D61-(xm_y0P+(xm_nP-1)/2*xm_sP))&lt;0.000001,IF('XA MU'!$B$25&lt;=4,'XA MU'!$E$25*$C$8*(IF('XA MU'!$C$25&gt;(xm_y0P+(xm_nP-1)/2*xm_sP),2*('XA MU'!$C$25-(xm_y0P+(xm_nP-1)/2*xm_sP))/xm_sP,0)+IF('XA MU'!$D$25&gt;(xm_y0P+(xm_nP-1)/2*xm_sP),2*('XA MU'!$D$25-(xm_y0P+(xm_nP-1)/2*xm_sP))/xm_sP,0)),0),0)+IF('XA MU'!$B$26&lt;=4,'XA MU'!$E$26*$C$8*(MAX(0,1-ABS('XA MU'!$C$26-$D61)/xm_sP)+MAX(0,1-ABS('XA MU'!$D$26-$D61)/xm_sP)),0)+IF(ABS($D61-(xm_y0P+(xm_nP-1)/2*xm_sP))&lt;0.000001,IF('XA MU'!$B$26&lt;=4,'XA MU'!$E$26*$C$8*(IF('XA MU'!$C$26&gt;(xm_y0P+(xm_nP-1)/2*xm_sP),2*('XA MU'!$C$26-(xm_y0P+(xm_nP-1)/2*xm_sP))/xm_sP,0)+IF('XA MU'!$D$26&gt;(xm_y0P+(xm_nP-1)/2*xm_sP),2*('XA MU'!$D$26-(xm_y0P+(xm_nP-1)/2*xm_sP))/xm_sP,0)),0),0)+IF('XA MU'!$B$27&lt;=4,'XA MU'!$E$27*$C$8*(MAX(0,1-ABS('XA MU'!$C$27-$D61)/xm_sP)+MAX(0,1-ABS('XA MU'!$D$27-$D61)/xm_sP)),0)+IF(ABS($D61-(xm_y0P+(xm_nP-1)/2*xm_sP))&lt;0.000001,IF('XA MU'!$B$27&lt;=4,'XA MU'!$E$27*$C$8*(IF('XA MU'!$C$27&gt;(xm_y0P+(xm_nP-1)/2*xm_sP),2*('XA MU'!$C$27-(xm_y0P+(xm_nP-1)/2*xm_sP))/xm_sP,0)+IF('XA MU'!$D$27&gt;(xm_y0P+(xm_nP-1)/2*xm_sP),2*('XA MU'!$D$27-(xm_y0P+(xm_nP-1)/2*xm_sP))/xm_sP,0)),0),0)+IF('XA MU'!$B$28&lt;=4,'XA MU'!$E$28*$C$8*(MAX(0,1-ABS('XA MU'!$C$28-$D61)/xm_sP)+MAX(0,1-ABS('XA MU'!$D$28-$D61)/xm_sP)),0)+IF(ABS($D61-(xm_y0P+(xm_nP-1)/2*xm_sP))&lt;0.000001,IF('XA MU'!$B$28&lt;=4,'XA MU'!$E$28*$C$8*(IF('XA MU'!$C$28&gt;(xm_y0P+(xm_nP-1)/2*xm_sP),2*('XA MU'!$C$28-(xm_y0P+(xm_nP-1)/2*xm_sP))/xm_sP,0)+IF('XA MU'!$D$28&gt;(xm_y0P+(xm_nP-1)/2*xm_sP),2*('XA MU'!$D$28-(xm_y0P+(xm_nP-1)/2*xm_sP))/xm_sP,0)),0),0)+IF('XA MU'!$B$29&lt;=4,'XA MU'!$E$29*$C$8*(MAX(0,1-ABS('XA MU'!$C$29-$D61)/xm_sP)+MAX(0,1-ABS('XA MU'!$D$29-$D61)/xm_sP)),0)+IF(ABS($D61-(xm_y0P+(xm_nP-1)/2*xm_sP))&lt;0.000001,IF('XA MU'!$B$29&lt;=4,'XA MU'!$E$29*$C$8*(IF('XA MU'!$C$29&gt;(xm_y0P+(xm_nP-1)/2*xm_sP),2*('XA MU'!$C$29-(xm_y0P+(xm_nP-1)/2*xm_sP))/xm_sP,0)+IF('XA MU'!$D$29&gt;(xm_y0P+(xm_nP-1)/2*xm_sP),2*('XA MU'!$D$29-(xm_y0P+(xm_nP-1)/2*xm_sP))/xm_sP,0)),0),0)+IF('XA MU'!$B$30&lt;=4,'XA MU'!$E$30*$C$8*(MAX(0,1-ABS('XA MU'!$C$30-$D61)/xm_sP)+MAX(0,1-ABS('XA MU'!$D$30-$D61)/xm_sP)),0)+IF(ABS($D61-(xm_y0P+(xm_nP-1)/2*xm_sP))&lt;0.000001,IF('XA MU'!$B$30&lt;=4,'XA MU'!$E$30*$C$8*(IF('XA MU'!$C$30&gt;(xm_y0P+(xm_nP-1)/2*xm_sP),2*('XA MU'!$C$30-(xm_y0P+(xm_nP-1)/2*xm_sP))/xm_sP,0)+IF('XA MU'!$D$30&gt;(xm_y0P+(xm_nP-1)/2*xm_sP),2*('XA MU'!$D$30-(xm_y0P+(xm_nP-1)/2*xm_sP))/xm_sP,0)),0),0))))</f>
        <v>224.94464310638298</v>
      </c>
      <c r="M61" s="44">
        <f>IF(C61=0,0,IF(5&gt;nLan,0,0.65*(IF('XA MU'!$B$25&lt;=5,'XA MU'!$E$25*$C$8*(MAX(0,1-ABS('XA MU'!$C$25-$D61)/xm_sP)+MAX(0,1-ABS('XA MU'!$D$25-$D61)/xm_sP)),0)+IF(ABS($D61-(xm_y0P+(xm_nP-1)/2*xm_sP))&lt;0.000001,IF('XA MU'!$B$25&lt;=5,'XA MU'!$E$25*$C$8*(IF('XA MU'!$C$25&gt;(xm_y0P+(xm_nP-1)/2*xm_sP),2*('XA MU'!$C$25-(xm_y0P+(xm_nP-1)/2*xm_sP))/xm_sP,0)+IF('XA MU'!$D$25&gt;(xm_y0P+(xm_nP-1)/2*xm_sP),2*('XA MU'!$D$25-(xm_y0P+(xm_nP-1)/2*xm_sP))/xm_sP,0)),0),0)+IF('XA MU'!$B$26&lt;=5,'XA MU'!$E$26*$C$8*(MAX(0,1-ABS('XA MU'!$C$26-$D61)/xm_sP)+MAX(0,1-ABS('XA MU'!$D$26-$D61)/xm_sP)),0)+IF(ABS($D61-(xm_y0P+(xm_nP-1)/2*xm_sP))&lt;0.000001,IF('XA MU'!$B$26&lt;=5,'XA MU'!$E$26*$C$8*(IF('XA MU'!$C$26&gt;(xm_y0P+(xm_nP-1)/2*xm_sP),2*('XA MU'!$C$26-(xm_y0P+(xm_nP-1)/2*xm_sP))/xm_sP,0)+IF('XA MU'!$D$26&gt;(xm_y0P+(xm_nP-1)/2*xm_sP),2*('XA MU'!$D$26-(xm_y0P+(xm_nP-1)/2*xm_sP))/xm_sP,0)),0),0)+IF('XA MU'!$B$27&lt;=5,'XA MU'!$E$27*$C$8*(MAX(0,1-ABS('XA MU'!$C$27-$D61)/xm_sP)+MAX(0,1-ABS('XA MU'!$D$27-$D61)/xm_sP)),0)+IF(ABS($D61-(xm_y0P+(xm_nP-1)/2*xm_sP))&lt;0.000001,IF('XA MU'!$B$27&lt;=5,'XA MU'!$E$27*$C$8*(IF('XA MU'!$C$27&gt;(xm_y0P+(xm_nP-1)/2*xm_sP),2*('XA MU'!$C$27-(xm_y0P+(xm_nP-1)/2*xm_sP))/xm_sP,0)+IF('XA MU'!$D$27&gt;(xm_y0P+(xm_nP-1)/2*xm_sP),2*('XA MU'!$D$27-(xm_y0P+(xm_nP-1)/2*xm_sP))/xm_sP,0)),0),0)+IF('XA MU'!$B$28&lt;=5,'XA MU'!$E$28*$C$8*(MAX(0,1-ABS('XA MU'!$C$28-$D61)/xm_sP)+MAX(0,1-ABS('XA MU'!$D$28-$D61)/xm_sP)),0)+IF(ABS($D61-(xm_y0P+(xm_nP-1)/2*xm_sP))&lt;0.000001,IF('XA MU'!$B$28&lt;=5,'XA MU'!$E$28*$C$8*(IF('XA MU'!$C$28&gt;(xm_y0P+(xm_nP-1)/2*xm_sP),2*('XA MU'!$C$28-(xm_y0P+(xm_nP-1)/2*xm_sP))/xm_sP,0)+IF('XA MU'!$D$28&gt;(xm_y0P+(xm_nP-1)/2*xm_sP),2*('XA MU'!$D$28-(xm_y0P+(xm_nP-1)/2*xm_sP))/xm_sP,0)),0),0)+IF('XA MU'!$B$29&lt;=5,'XA MU'!$E$29*$C$8*(MAX(0,1-ABS('XA MU'!$C$29-$D61)/xm_sP)+MAX(0,1-ABS('XA MU'!$D$29-$D61)/xm_sP)),0)+IF(ABS($D61-(xm_y0P+(xm_nP-1)/2*xm_sP))&lt;0.000001,IF('XA MU'!$B$29&lt;=5,'XA MU'!$E$29*$C$8*(IF('XA MU'!$C$29&gt;(xm_y0P+(xm_nP-1)/2*xm_sP),2*('XA MU'!$C$29-(xm_y0P+(xm_nP-1)/2*xm_sP))/xm_sP,0)+IF('XA MU'!$D$29&gt;(xm_y0P+(xm_nP-1)/2*xm_sP),2*('XA MU'!$D$29-(xm_y0P+(xm_nP-1)/2*xm_sP))/xm_sP,0)),0),0)+IF('XA MU'!$B$30&lt;=5,'XA MU'!$E$30*$C$8*(MAX(0,1-ABS('XA MU'!$C$30-$D61)/xm_sP)+MAX(0,1-ABS('XA MU'!$D$30-$D61)/xm_sP)),0)+IF(ABS($D61-(xm_y0P+(xm_nP-1)/2*xm_sP))&lt;0.000001,IF('XA MU'!$B$30&lt;=5,'XA MU'!$E$30*$C$8*(IF('XA MU'!$C$30&gt;(xm_y0P+(xm_nP-1)/2*xm_sP),2*('XA MU'!$C$30-(xm_y0P+(xm_nP-1)/2*xm_sP))/xm_sP,0)+IF('XA MU'!$D$30&gt;(xm_y0P+(xm_nP-1)/2*xm_sP),2*('XA MU'!$D$30-(xm_y0P+(xm_nP-1)/2*xm_sP))/xm_sP,0)),0),0))))</f>
        <v>224.94464310638298</v>
      </c>
      <c r="N61" s="44">
        <f>IF(C61=0,0,IF(6&gt;nLan,0,0.65*(IF('XA MU'!$B$25&lt;=6,'XA MU'!$E$25*$C$8*(MAX(0,1-ABS('XA MU'!$C$25-$D61)/xm_sP)+MAX(0,1-ABS('XA MU'!$D$25-$D61)/xm_sP)),0)+IF(ABS($D61-(xm_y0P+(xm_nP-1)/2*xm_sP))&lt;0.000001,IF('XA MU'!$B$25&lt;=6,'XA MU'!$E$25*$C$8*(IF('XA MU'!$C$25&gt;(xm_y0P+(xm_nP-1)/2*xm_sP),2*('XA MU'!$C$25-(xm_y0P+(xm_nP-1)/2*xm_sP))/xm_sP,0)+IF('XA MU'!$D$25&gt;(xm_y0P+(xm_nP-1)/2*xm_sP),2*('XA MU'!$D$25-(xm_y0P+(xm_nP-1)/2*xm_sP))/xm_sP,0)),0),0)+IF('XA MU'!$B$26&lt;=6,'XA MU'!$E$26*$C$8*(MAX(0,1-ABS('XA MU'!$C$26-$D61)/xm_sP)+MAX(0,1-ABS('XA MU'!$D$26-$D61)/xm_sP)),0)+IF(ABS($D61-(xm_y0P+(xm_nP-1)/2*xm_sP))&lt;0.000001,IF('XA MU'!$B$26&lt;=6,'XA MU'!$E$26*$C$8*(IF('XA MU'!$C$26&gt;(xm_y0P+(xm_nP-1)/2*xm_sP),2*('XA MU'!$C$26-(xm_y0P+(xm_nP-1)/2*xm_sP))/xm_sP,0)+IF('XA MU'!$D$26&gt;(xm_y0P+(xm_nP-1)/2*xm_sP),2*('XA MU'!$D$26-(xm_y0P+(xm_nP-1)/2*xm_sP))/xm_sP,0)),0),0)+IF('XA MU'!$B$27&lt;=6,'XA MU'!$E$27*$C$8*(MAX(0,1-ABS('XA MU'!$C$27-$D61)/xm_sP)+MAX(0,1-ABS('XA MU'!$D$27-$D61)/xm_sP)),0)+IF(ABS($D61-(xm_y0P+(xm_nP-1)/2*xm_sP))&lt;0.000001,IF('XA MU'!$B$27&lt;=6,'XA MU'!$E$27*$C$8*(IF('XA MU'!$C$27&gt;(xm_y0P+(xm_nP-1)/2*xm_sP),2*('XA MU'!$C$27-(xm_y0P+(xm_nP-1)/2*xm_sP))/xm_sP,0)+IF('XA MU'!$D$27&gt;(xm_y0P+(xm_nP-1)/2*xm_sP),2*('XA MU'!$D$27-(xm_y0P+(xm_nP-1)/2*xm_sP))/xm_sP,0)),0),0)+IF('XA MU'!$B$28&lt;=6,'XA MU'!$E$28*$C$8*(MAX(0,1-ABS('XA MU'!$C$28-$D61)/xm_sP)+MAX(0,1-ABS('XA MU'!$D$28-$D61)/xm_sP)),0)+IF(ABS($D61-(xm_y0P+(xm_nP-1)/2*xm_sP))&lt;0.000001,IF('XA MU'!$B$28&lt;=6,'XA MU'!$E$28*$C$8*(IF('XA MU'!$C$28&gt;(xm_y0P+(xm_nP-1)/2*xm_sP),2*('XA MU'!$C$28-(xm_y0P+(xm_nP-1)/2*xm_sP))/xm_sP,0)+IF('XA MU'!$D$28&gt;(xm_y0P+(xm_nP-1)/2*xm_sP),2*('XA MU'!$D$28-(xm_y0P+(xm_nP-1)/2*xm_sP))/xm_sP,0)),0),0)+IF('XA MU'!$B$29&lt;=6,'XA MU'!$E$29*$C$8*(MAX(0,1-ABS('XA MU'!$C$29-$D61)/xm_sP)+MAX(0,1-ABS('XA MU'!$D$29-$D61)/xm_sP)),0)+IF(ABS($D61-(xm_y0P+(xm_nP-1)/2*xm_sP))&lt;0.000001,IF('XA MU'!$B$29&lt;=6,'XA MU'!$E$29*$C$8*(IF('XA MU'!$C$29&gt;(xm_y0P+(xm_nP-1)/2*xm_sP),2*('XA MU'!$C$29-(xm_y0P+(xm_nP-1)/2*xm_sP))/xm_sP,0)+IF('XA MU'!$D$29&gt;(xm_y0P+(xm_nP-1)/2*xm_sP),2*('XA MU'!$D$29-(xm_y0P+(xm_nP-1)/2*xm_sP))/xm_sP,0)),0),0)+IF('XA MU'!$B$30&lt;=6,'XA MU'!$E$30*$C$8*(MAX(0,1-ABS('XA MU'!$C$30-$D61)/xm_sP)+MAX(0,1-ABS('XA MU'!$D$30-$D61)/xm_sP)),0)+IF(ABS($D61-(xm_y0P+(xm_nP-1)/2*xm_sP))&lt;0.000001,IF('XA MU'!$B$30&lt;=6,'XA MU'!$E$30*$C$8*(IF('XA MU'!$C$30&gt;(xm_y0P+(xm_nP-1)/2*xm_sP),2*('XA MU'!$C$30-(xm_y0P+(xm_nP-1)/2*xm_sP))/xm_sP,0)+IF('XA MU'!$D$30&gt;(xm_y0P+(xm_nP-1)/2*xm_sP),2*('XA MU'!$D$30-(xm_y0P+(xm_nP-1)/2*xm_sP))/xm_sP,0)),0),0))))</f>
        <v>224.94464310638298</v>
      </c>
    </row>
    <row r="62" spans="1:14" x14ac:dyDescent="0.3">
      <c r="A62" s="42" t="s">
        <v>1236</v>
      </c>
      <c r="B62" s="42">
        <v>8</v>
      </c>
      <c r="C62" s="40">
        <f t="shared" si="4"/>
        <v>1</v>
      </c>
      <c r="D62" s="44">
        <f t="shared" si="5"/>
        <v>5.875</v>
      </c>
      <c r="E62" s="44">
        <f>MAX(0,D62-'XA MU'!$C$8)*C62</f>
        <v>2.3916666666666666</v>
      </c>
      <c r="F62" s="44">
        <f>IF(AND(C62=1,D62&gt;'XA MU'!$C$8),1,0)</f>
        <v>1</v>
      </c>
      <c r="G62" s="44">
        <f t="shared" si="6"/>
        <v>670.60125000000005</v>
      </c>
      <c r="H62" s="44">
        <f t="shared" si="7"/>
        <v>68.43768750000001</v>
      </c>
      <c r="I62" s="44">
        <f>IF(C62=0,0,IF(1&gt;nLan,0,1.2*(IF('XA MU'!$B$25&lt;=1,'XA MU'!$E$25*$C$8*(MAX(0,1-ABS('XA MU'!$C$25-$D62)/xm_sP)+MAX(0,1-ABS('XA MU'!$D$25-$D62)/xm_sP)),0)+IF(ABS($D62-(xm_y0P+(xm_nP-1)/2*xm_sP))&lt;0.000001,IF('XA MU'!$B$25&lt;=1,'XA MU'!$E$25*$C$8*(IF('XA MU'!$C$25&gt;(xm_y0P+(xm_nP-1)/2*xm_sP),2*('XA MU'!$C$25-(xm_y0P+(xm_nP-1)/2*xm_sP))/xm_sP,0)+IF('XA MU'!$D$25&gt;(xm_y0P+(xm_nP-1)/2*xm_sP),2*('XA MU'!$D$25-(xm_y0P+(xm_nP-1)/2*xm_sP))/xm_sP,0)),0),0)+IF('XA MU'!$B$26&lt;=1,'XA MU'!$E$26*$C$8*(MAX(0,1-ABS('XA MU'!$C$26-$D62)/xm_sP)+MAX(0,1-ABS('XA MU'!$D$26-$D62)/xm_sP)),0)+IF(ABS($D62-(xm_y0P+(xm_nP-1)/2*xm_sP))&lt;0.000001,IF('XA MU'!$B$26&lt;=1,'XA MU'!$E$26*$C$8*(IF('XA MU'!$C$26&gt;(xm_y0P+(xm_nP-1)/2*xm_sP),2*('XA MU'!$C$26-(xm_y0P+(xm_nP-1)/2*xm_sP))/xm_sP,0)+IF('XA MU'!$D$26&gt;(xm_y0P+(xm_nP-1)/2*xm_sP),2*('XA MU'!$D$26-(xm_y0P+(xm_nP-1)/2*xm_sP))/xm_sP,0)),0),0)+IF('XA MU'!$B$27&lt;=1,'XA MU'!$E$27*$C$8*(MAX(0,1-ABS('XA MU'!$C$27-$D62)/xm_sP)+MAX(0,1-ABS('XA MU'!$D$27-$D62)/xm_sP)),0)+IF(ABS($D62-(xm_y0P+(xm_nP-1)/2*xm_sP))&lt;0.000001,IF('XA MU'!$B$27&lt;=1,'XA MU'!$E$27*$C$8*(IF('XA MU'!$C$27&gt;(xm_y0P+(xm_nP-1)/2*xm_sP),2*('XA MU'!$C$27-(xm_y0P+(xm_nP-1)/2*xm_sP))/xm_sP,0)+IF('XA MU'!$D$27&gt;(xm_y0P+(xm_nP-1)/2*xm_sP),2*('XA MU'!$D$27-(xm_y0P+(xm_nP-1)/2*xm_sP))/xm_sP,0)),0),0)+IF('XA MU'!$B$28&lt;=1,'XA MU'!$E$28*$C$8*(MAX(0,1-ABS('XA MU'!$C$28-$D62)/xm_sP)+MAX(0,1-ABS('XA MU'!$D$28-$D62)/xm_sP)),0)+IF(ABS($D62-(xm_y0P+(xm_nP-1)/2*xm_sP))&lt;0.000001,IF('XA MU'!$B$28&lt;=1,'XA MU'!$E$28*$C$8*(IF('XA MU'!$C$28&gt;(xm_y0P+(xm_nP-1)/2*xm_sP),2*('XA MU'!$C$28-(xm_y0P+(xm_nP-1)/2*xm_sP))/xm_sP,0)+IF('XA MU'!$D$28&gt;(xm_y0P+(xm_nP-1)/2*xm_sP),2*('XA MU'!$D$28-(xm_y0P+(xm_nP-1)/2*xm_sP))/xm_sP,0)),0),0)+IF('XA MU'!$B$29&lt;=1,'XA MU'!$E$29*$C$8*(MAX(0,1-ABS('XA MU'!$C$29-$D62)/xm_sP)+MAX(0,1-ABS('XA MU'!$D$29-$D62)/xm_sP)),0)+IF(ABS($D62-(xm_y0P+(xm_nP-1)/2*xm_sP))&lt;0.000001,IF('XA MU'!$B$29&lt;=1,'XA MU'!$E$29*$C$8*(IF('XA MU'!$C$29&gt;(xm_y0P+(xm_nP-1)/2*xm_sP),2*('XA MU'!$C$29-(xm_y0P+(xm_nP-1)/2*xm_sP))/xm_sP,0)+IF('XA MU'!$D$29&gt;(xm_y0P+(xm_nP-1)/2*xm_sP),2*('XA MU'!$D$29-(xm_y0P+(xm_nP-1)/2*xm_sP))/xm_sP,0)),0),0)+IF('XA MU'!$B$30&lt;=1,'XA MU'!$E$30*$C$8*(MAX(0,1-ABS('XA MU'!$C$30-$D62)/xm_sP)+MAX(0,1-ABS('XA MU'!$D$30-$D62)/xm_sP)),0)+IF(ABS($D62-(xm_y0P+(xm_nP-1)/2*xm_sP))&lt;0.000001,IF('XA MU'!$B$30&lt;=1,'XA MU'!$E$30*$C$8*(IF('XA MU'!$C$30&gt;(xm_y0P+(xm_nP-1)/2*xm_sP),2*('XA MU'!$C$30-(xm_y0P+(xm_nP-1)/2*xm_sP))/xm_sP,0)+IF('XA MU'!$D$30&gt;(xm_y0P+(xm_nP-1)/2*xm_sP),2*('XA MU'!$D$30-(xm_y0P+(xm_nP-1)/2*xm_sP))/xm_sP,0)),0),0))))</f>
        <v>0</v>
      </c>
      <c r="J62" s="44">
        <f>IF(C62=0,0,IF(2&gt;nLan,0,1*(IF('XA MU'!$B$25&lt;=2,'XA MU'!$E$25*$C$8*(MAX(0,1-ABS('XA MU'!$C$25-$D62)/xm_sP)+MAX(0,1-ABS('XA MU'!$D$25-$D62)/xm_sP)),0)+IF(ABS($D62-(xm_y0P+(xm_nP-1)/2*xm_sP))&lt;0.000001,IF('XA MU'!$B$25&lt;=2,'XA MU'!$E$25*$C$8*(IF('XA MU'!$C$25&gt;(xm_y0P+(xm_nP-1)/2*xm_sP),2*('XA MU'!$C$25-(xm_y0P+(xm_nP-1)/2*xm_sP))/xm_sP,0)+IF('XA MU'!$D$25&gt;(xm_y0P+(xm_nP-1)/2*xm_sP),2*('XA MU'!$D$25-(xm_y0P+(xm_nP-1)/2*xm_sP))/xm_sP,0)),0),0)+IF('XA MU'!$B$26&lt;=2,'XA MU'!$E$26*$C$8*(MAX(0,1-ABS('XA MU'!$C$26-$D62)/xm_sP)+MAX(0,1-ABS('XA MU'!$D$26-$D62)/xm_sP)),0)+IF(ABS($D62-(xm_y0P+(xm_nP-1)/2*xm_sP))&lt;0.000001,IF('XA MU'!$B$26&lt;=2,'XA MU'!$E$26*$C$8*(IF('XA MU'!$C$26&gt;(xm_y0P+(xm_nP-1)/2*xm_sP),2*('XA MU'!$C$26-(xm_y0P+(xm_nP-1)/2*xm_sP))/xm_sP,0)+IF('XA MU'!$D$26&gt;(xm_y0P+(xm_nP-1)/2*xm_sP),2*('XA MU'!$D$26-(xm_y0P+(xm_nP-1)/2*xm_sP))/xm_sP,0)),0),0)+IF('XA MU'!$B$27&lt;=2,'XA MU'!$E$27*$C$8*(MAX(0,1-ABS('XA MU'!$C$27-$D62)/xm_sP)+MAX(0,1-ABS('XA MU'!$D$27-$D62)/xm_sP)),0)+IF(ABS($D62-(xm_y0P+(xm_nP-1)/2*xm_sP))&lt;0.000001,IF('XA MU'!$B$27&lt;=2,'XA MU'!$E$27*$C$8*(IF('XA MU'!$C$27&gt;(xm_y0P+(xm_nP-1)/2*xm_sP),2*('XA MU'!$C$27-(xm_y0P+(xm_nP-1)/2*xm_sP))/xm_sP,0)+IF('XA MU'!$D$27&gt;(xm_y0P+(xm_nP-1)/2*xm_sP),2*('XA MU'!$D$27-(xm_y0P+(xm_nP-1)/2*xm_sP))/xm_sP,0)),0),0)+IF('XA MU'!$B$28&lt;=2,'XA MU'!$E$28*$C$8*(MAX(0,1-ABS('XA MU'!$C$28-$D62)/xm_sP)+MAX(0,1-ABS('XA MU'!$D$28-$D62)/xm_sP)),0)+IF(ABS($D62-(xm_y0P+(xm_nP-1)/2*xm_sP))&lt;0.000001,IF('XA MU'!$B$28&lt;=2,'XA MU'!$E$28*$C$8*(IF('XA MU'!$C$28&gt;(xm_y0P+(xm_nP-1)/2*xm_sP),2*('XA MU'!$C$28-(xm_y0P+(xm_nP-1)/2*xm_sP))/xm_sP,0)+IF('XA MU'!$D$28&gt;(xm_y0P+(xm_nP-1)/2*xm_sP),2*('XA MU'!$D$28-(xm_y0P+(xm_nP-1)/2*xm_sP))/xm_sP,0)),0),0)+IF('XA MU'!$B$29&lt;=2,'XA MU'!$E$29*$C$8*(MAX(0,1-ABS('XA MU'!$C$29-$D62)/xm_sP)+MAX(0,1-ABS('XA MU'!$D$29-$D62)/xm_sP)),0)+IF(ABS($D62-(xm_y0P+(xm_nP-1)/2*xm_sP))&lt;0.000001,IF('XA MU'!$B$29&lt;=2,'XA MU'!$E$29*$C$8*(IF('XA MU'!$C$29&gt;(xm_y0P+(xm_nP-1)/2*xm_sP),2*('XA MU'!$C$29-(xm_y0P+(xm_nP-1)/2*xm_sP))/xm_sP,0)+IF('XA MU'!$D$29&gt;(xm_y0P+(xm_nP-1)/2*xm_sP),2*('XA MU'!$D$29-(xm_y0P+(xm_nP-1)/2*xm_sP))/xm_sP,0)),0),0)+IF('XA MU'!$B$30&lt;=2,'XA MU'!$E$30*$C$8*(MAX(0,1-ABS('XA MU'!$C$30-$D62)/xm_sP)+MAX(0,1-ABS('XA MU'!$D$30-$D62)/xm_sP)),0)+IF(ABS($D62-(xm_y0P+(xm_nP-1)/2*xm_sP))&lt;0.000001,IF('XA MU'!$B$30&lt;=2,'XA MU'!$E$30*$C$8*(IF('XA MU'!$C$30&gt;(xm_y0P+(xm_nP-1)/2*xm_sP),2*('XA MU'!$C$30-(xm_y0P+(xm_nP-1)/2*xm_sP))/xm_sP,0)+IF('XA MU'!$D$30&gt;(xm_y0P+(xm_nP-1)/2*xm_sP),2*('XA MU'!$D$30-(xm_y0P+(xm_nP-1)/2*xm_sP))/xm_sP,0)),0),0))))</f>
        <v>295.1762285106384</v>
      </c>
      <c r="K62" s="44">
        <f>IF(C62=0,0,IF(3&gt;nLan,0,0.85*(IF('XA MU'!$B$25&lt;=3,'XA MU'!$E$25*$C$8*(MAX(0,1-ABS('XA MU'!$C$25-$D62)/xm_sP)+MAX(0,1-ABS('XA MU'!$D$25-$D62)/xm_sP)),0)+IF(ABS($D62-(xm_y0P+(xm_nP-1)/2*xm_sP))&lt;0.000001,IF('XA MU'!$B$25&lt;=3,'XA MU'!$E$25*$C$8*(IF('XA MU'!$C$25&gt;(xm_y0P+(xm_nP-1)/2*xm_sP),2*('XA MU'!$C$25-(xm_y0P+(xm_nP-1)/2*xm_sP))/xm_sP,0)+IF('XA MU'!$D$25&gt;(xm_y0P+(xm_nP-1)/2*xm_sP),2*('XA MU'!$D$25-(xm_y0P+(xm_nP-1)/2*xm_sP))/xm_sP,0)),0),0)+IF('XA MU'!$B$26&lt;=3,'XA MU'!$E$26*$C$8*(MAX(0,1-ABS('XA MU'!$C$26-$D62)/xm_sP)+MAX(0,1-ABS('XA MU'!$D$26-$D62)/xm_sP)),0)+IF(ABS($D62-(xm_y0P+(xm_nP-1)/2*xm_sP))&lt;0.000001,IF('XA MU'!$B$26&lt;=3,'XA MU'!$E$26*$C$8*(IF('XA MU'!$C$26&gt;(xm_y0P+(xm_nP-1)/2*xm_sP),2*('XA MU'!$C$26-(xm_y0P+(xm_nP-1)/2*xm_sP))/xm_sP,0)+IF('XA MU'!$D$26&gt;(xm_y0P+(xm_nP-1)/2*xm_sP),2*('XA MU'!$D$26-(xm_y0P+(xm_nP-1)/2*xm_sP))/xm_sP,0)),0),0)+IF('XA MU'!$B$27&lt;=3,'XA MU'!$E$27*$C$8*(MAX(0,1-ABS('XA MU'!$C$27-$D62)/xm_sP)+MAX(0,1-ABS('XA MU'!$D$27-$D62)/xm_sP)),0)+IF(ABS($D62-(xm_y0P+(xm_nP-1)/2*xm_sP))&lt;0.000001,IF('XA MU'!$B$27&lt;=3,'XA MU'!$E$27*$C$8*(IF('XA MU'!$C$27&gt;(xm_y0P+(xm_nP-1)/2*xm_sP),2*('XA MU'!$C$27-(xm_y0P+(xm_nP-1)/2*xm_sP))/xm_sP,0)+IF('XA MU'!$D$27&gt;(xm_y0P+(xm_nP-1)/2*xm_sP),2*('XA MU'!$D$27-(xm_y0P+(xm_nP-1)/2*xm_sP))/xm_sP,0)),0),0)+IF('XA MU'!$B$28&lt;=3,'XA MU'!$E$28*$C$8*(MAX(0,1-ABS('XA MU'!$C$28-$D62)/xm_sP)+MAX(0,1-ABS('XA MU'!$D$28-$D62)/xm_sP)),0)+IF(ABS($D62-(xm_y0P+(xm_nP-1)/2*xm_sP))&lt;0.000001,IF('XA MU'!$B$28&lt;=3,'XA MU'!$E$28*$C$8*(IF('XA MU'!$C$28&gt;(xm_y0P+(xm_nP-1)/2*xm_sP),2*('XA MU'!$C$28-(xm_y0P+(xm_nP-1)/2*xm_sP))/xm_sP,0)+IF('XA MU'!$D$28&gt;(xm_y0P+(xm_nP-1)/2*xm_sP),2*('XA MU'!$D$28-(xm_y0P+(xm_nP-1)/2*xm_sP))/xm_sP,0)),0),0)+IF('XA MU'!$B$29&lt;=3,'XA MU'!$E$29*$C$8*(MAX(0,1-ABS('XA MU'!$C$29-$D62)/xm_sP)+MAX(0,1-ABS('XA MU'!$D$29-$D62)/xm_sP)),0)+IF(ABS($D62-(xm_y0P+(xm_nP-1)/2*xm_sP))&lt;0.000001,IF('XA MU'!$B$29&lt;=3,'XA MU'!$E$29*$C$8*(IF('XA MU'!$C$29&gt;(xm_y0P+(xm_nP-1)/2*xm_sP),2*('XA MU'!$C$29-(xm_y0P+(xm_nP-1)/2*xm_sP))/xm_sP,0)+IF('XA MU'!$D$29&gt;(xm_y0P+(xm_nP-1)/2*xm_sP),2*('XA MU'!$D$29-(xm_y0P+(xm_nP-1)/2*xm_sP))/xm_sP,0)),0),0)+IF('XA MU'!$B$30&lt;=3,'XA MU'!$E$30*$C$8*(MAX(0,1-ABS('XA MU'!$C$30-$D62)/xm_sP)+MAX(0,1-ABS('XA MU'!$D$30-$D62)/xm_sP)),0)+IF(ABS($D62-(xm_y0P+(xm_nP-1)/2*xm_sP))&lt;0.000001,IF('XA MU'!$B$30&lt;=3,'XA MU'!$E$30*$C$8*(IF('XA MU'!$C$30&gt;(xm_y0P+(xm_nP-1)/2*xm_sP),2*('XA MU'!$C$30-(xm_y0P+(xm_nP-1)/2*xm_sP))/xm_sP,0)+IF('XA MU'!$D$30&gt;(xm_y0P+(xm_nP-1)/2*xm_sP),2*('XA MU'!$D$30-(xm_y0P+(xm_nP-1)/2*xm_sP))/xm_sP,0)),0),0))))</f>
        <v>255.2256527553192</v>
      </c>
      <c r="L62" s="44">
        <f>IF(C62=0,0,IF(4&gt;nLan,0,0.65*(IF('XA MU'!$B$25&lt;=4,'XA MU'!$E$25*$C$8*(MAX(0,1-ABS('XA MU'!$C$25-$D62)/xm_sP)+MAX(0,1-ABS('XA MU'!$D$25-$D62)/xm_sP)),0)+IF(ABS($D62-(xm_y0P+(xm_nP-1)/2*xm_sP))&lt;0.000001,IF('XA MU'!$B$25&lt;=4,'XA MU'!$E$25*$C$8*(IF('XA MU'!$C$25&gt;(xm_y0P+(xm_nP-1)/2*xm_sP),2*('XA MU'!$C$25-(xm_y0P+(xm_nP-1)/2*xm_sP))/xm_sP,0)+IF('XA MU'!$D$25&gt;(xm_y0P+(xm_nP-1)/2*xm_sP),2*('XA MU'!$D$25-(xm_y0P+(xm_nP-1)/2*xm_sP))/xm_sP,0)),0),0)+IF('XA MU'!$B$26&lt;=4,'XA MU'!$E$26*$C$8*(MAX(0,1-ABS('XA MU'!$C$26-$D62)/xm_sP)+MAX(0,1-ABS('XA MU'!$D$26-$D62)/xm_sP)),0)+IF(ABS($D62-(xm_y0P+(xm_nP-1)/2*xm_sP))&lt;0.000001,IF('XA MU'!$B$26&lt;=4,'XA MU'!$E$26*$C$8*(IF('XA MU'!$C$26&gt;(xm_y0P+(xm_nP-1)/2*xm_sP),2*('XA MU'!$C$26-(xm_y0P+(xm_nP-1)/2*xm_sP))/xm_sP,0)+IF('XA MU'!$D$26&gt;(xm_y0P+(xm_nP-1)/2*xm_sP),2*('XA MU'!$D$26-(xm_y0P+(xm_nP-1)/2*xm_sP))/xm_sP,0)),0),0)+IF('XA MU'!$B$27&lt;=4,'XA MU'!$E$27*$C$8*(MAX(0,1-ABS('XA MU'!$C$27-$D62)/xm_sP)+MAX(0,1-ABS('XA MU'!$D$27-$D62)/xm_sP)),0)+IF(ABS($D62-(xm_y0P+(xm_nP-1)/2*xm_sP))&lt;0.000001,IF('XA MU'!$B$27&lt;=4,'XA MU'!$E$27*$C$8*(IF('XA MU'!$C$27&gt;(xm_y0P+(xm_nP-1)/2*xm_sP),2*('XA MU'!$C$27-(xm_y0P+(xm_nP-1)/2*xm_sP))/xm_sP,0)+IF('XA MU'!$D$27&gt;(xm_y0P+(xm_nP-1)/2*xm_sP),2*('XA MU'!$D$27-(xm_y0P+(xm_nP-1)/2*xm_sP))/xm_sP,0)),0),0)+IF('XA MU'!$B$28&lt;=4,'XA MU'!$E$28*$C$8*(MAX(0,1-ABS('XA MU'!$C$28-$D62)/xm_sP)+MAX(0,1-ABS('XA MU'!$D$28-$D62)/xm_sP)),0)+IF(ABS($D62-(xm_y0P+(xm_nP-1)/2*xm_sP))&lt;0.000001,IF('XA MU'!$B$28&lt;=4,'XA MU'!$E$28*$C$8*(IF('XA MU'!$C$28&gt;(xm_y0P+(xm_nP-1)/2*xm_sP),2*('XA MU'!$C$28-(xm_y0P+(xm_nP-1)/2*xm_sP))/xm_sP,0)+IF('XA MU'!$D$28&gt;(xm_y0P+(xm_nP-1)/2*xm_sP),2*('XA MU'!$D$28-(xm_y0P+(xm_nP-1)/2*xm_sP))/xm_sP,0)),0),0)+IF('XA MU'!$B$29&lt;=4,'XA MU'!$E$29*$C$8*(MAX(0,1-ABS('XA MU'!$C$29-$D62)/xm_sP)+MAX(0,1-ABS('XA MU'!$D$29-$D62)/xm_sP)),0)+IF(ABS($D62-(xm_y0P+(xm_nP-1)/2*xm_sP))&lt;0.000001,IF('XA MU'!$B$29&lt;=4,'XA MU'!$E$29*$C$8*(IF('XA MU'!$C$29&gt;(xm_y0P+(xm_nP-1)/2*xm_sP),2*('XA MU'!$C$29-(xm_y0P+(xm_nP-1)/2*xm_sP))/xm_sP,0)+IF('XA MU'!$D$29&gt;(xm_y0P+(xm_nP-1)/2*xm_sP),2*('XA MU'!$D$29-(xm_y0P+(xm_nP-1)/2*xm_sP))/xm_sP,0)),0),0)+IF('XA MU'!$B$30&lt;=4,'XA MU'!$E$30*$C$8*(MAX(0,1-ABS('XA MU'!$C$30-$D62)/xm_sP)+MAX(0,1-ABS('XA MU'!$D$30-$D62)/xm_sP)),0)+IF(ABS($D62-(xm_y0P+(xm_nP-1)/2*xm_sP))&lt;0.000001,IF('XA MU'!$B$30&lt;=4,'XA MU'!$E$30*$C$8*(IF('XA MU'!$C$30&gt;(xm_y0P+(xm_nP-1)/2*xm_sP),2*('XA MU'!$C$30-(xm_y0P+(xm_nP-1)/2*xm_sP))/xm_sP,0)+IF('XA MU'!$D$30&gt;(xm_y0P+(xm_nP-1)/2*xm_sP),2*('XA MU'!$D$30-(xm_y0P+(xm_nP-1)/2*xm_sP))/xm_sP,0)),0),0))))</f>
        <v>195.17255798936176</v>
      </c>
      <c r="M62" s="44">
        <f>IF(C62=0,0,IF(5&gt;nLan,0,0.65*(IF('XA MU'!$B$25&lt;=5,'XA MU'!$E$25*$C$8*(MAX(0,1-ABS('XA MU'!$C$25-$D62)/xm_sP)+MAX(0,1-ABS('XA MU'!$D$25-$D62)/xm_sP)),0)+IF(ABS($D62-(xm_y0P+(xm_nP-1)/2*xm_sP))&lt;0.000001,IF('XA MU'!$B$25&lt;=5,'XA MU'!$E$25*$C$8*(IF('XA MU'!$C$25&gt;(xm_y0P+(xm_nP-1)/2*xm_sP),2*('XA MU'!$C$25-(xm_y0P+(xm_nP-1)/2*xm_sP))/xm_sP,0)+IF('XA MU'!$D$25&gt;(xm_y0P+(xm_nP-1)/2*xm_sP),2*('XA MU'!$D$25-(xm_y0P+(xm_nP-1)/2*xm_sP))/xm_sP,0)),0),0)+IF('XA MU'!$B$26&lt;=5,'XA MU'!$E$26*$C$8*(MAX(0,1-ABS('XA MU'!$C$26-$D62)/xm_sP)+MAX(0,1-ABS('XA MU'!$D$26-$D62)/xm_sP)),0)+IF(ABS($D62-(xm_y0P+(xm_nP-1)/2*xm_sP))&lt;0.000001,IF('XA MU'!$B$26&lt;=5,'XA MU'!$E$26*$C$8*(IF('XA MU'!$C$26&gt;(xm_y0P+(xm_nP-1)/2*xm_sP),2*('XA MU'!$C$26-(xm_y0P+(xm_nP-1)/2*xm_sP))/xm_sP,0)+IF('XA MU'!$D$26&gt;(xm_y0P+(xm_nP-1)/2*xm_sP),2*('XA MU'!$D$26-(xm_y0P+(xm_nP-1)/2*xm_sP))/xm_sP,0)),0),0)+IF('XA MU'!$B$27&lt;=5,'XA MU'!$E$27*$C$8*(MAX(0,1-ABS('XA MU'!$C$27-$D62)/xm_sP)+MAX(0,1-ABS('XA MU'!$D$27-$D62)/xm_sP)),0)+IF(ABS($D62-(xm_y0P+(xm_nP-1)/2*xm_sP))&lt;0.000001,IF('XA MU'!$B$27&lt;=5,'XA MU'!$E$27*$C$8*(IF('XA MU'!$C$27&gt;(xm_y0P+(xm_nP-1)/2*xm_sP),2*('XA MU'!$C$27-(xm_y0P+(xm_nP-1)/2*xm_sP))/xm_sP,0)+IF('XA MU'!$D$27&gt;(xm_y0P+(xm_nP-1)/2*xm_sP),2*('XA MU'!$D$27-(xm_y0P+(xm_nP-1)/2*xm_sP))/xm_sP,0)),0),0)+IF('XA MU'!$B$28&lt;=5,'XA MU'!$E$28*$C$8*(MAX(0,1-ABS('XA MU'!$C$28-$D62)/xm_sP)+MAX(0,1-ABS('XA MU'!$D$28-$D62)/xm_sP)),0)+IF(ABS($D62-(xm_y0P+(xm_nP-1)/2*xm_sP))&lt;0.000001,IF('XA MU'!$B$28&lt;=5,'XA MU'!$E$28*$C$8*(IF('XA MU'!$C$28&gt;(xm_y0P+(xm_nP-1)/2*xm_sP),2*('XA MU'!$C$28-(xm_y0P+(xm_nP-1)/2*xm_sP))/xm_sP,0)+IF('XA MU'!$D$28&gt;(xm_y0P+(xm_nP-1)/2*xm_sP),2*('XA MU'!$D$28-(xm_y0P+(xm_nP-1)/2*xm_sP))/xm_sP,0)),0),0)+IF('XA MU'!$B$29&lt;=5,'XA MU'!$E$29*$C$8*(MAX(0,1-ABS('XA MU'!$C$29-$D62)/xm_sP)+MAX(0,1-ABS('XA MU'!$D$29-$D62)/xm_sP)),0)+IF(ABS($D62-(xm_y0P+(xm_nP-1)/2*xm_sP))&lt;0.000001,IF('XA MU'!$B$29&lt;=5,'XA MU'!$E$29*$C$8*(IF('XA MU'!$C$29&gt;(xm_y0P+(xm_nP-1)/2*xm_sP),2*('XA MU'!$C$29-(xm_y0P+(xm_nP-1)/2*xm_sP))/xm_sP,0)+IF('XA MU'!$D$29&gt;(xm_y0P+(xm_nP-1)/2*xm_sP),2*('XA MU'!$D$29-(xm_y0P+(xm_nP-1)/2*xm_sP))/xm_sP,0)),0),0)+IF('XA MU'!$B$30&lt;=5,'XA MU'!$E$30*$C$8*(MAX(0,1-ABS('XA MU'!$C$30-$D62)/xm_sP)+MAX(0,1-ABS('XA MU'!$D$30-$D62)/xm_sP)),0)+IF(ABS($D62-(xm_y0P+(xm_nP-1)/2*xm_sP))&lt;0.000001,IF('XA MU'!$B$30&lt;=5,'XA MU'!$E$30*$C$8*(IF('XA MU'!$C$30&gt;(xm_y0P+(xm_nP-1)/2*xm_sP),2*('XA MU'!$C$30-(xm_y0P+(xm_nP-1)/2*xm_sP))/xm_sP,0)+IF('XA MU'!$D$30&gt;(xm_y0P+(xm_nP-1)/2*xm_sP),2*('XA MU'!$D$30-(xm_y0P+(xm_nP-1)/2*xm_sP))/xm_sP,0)),0),0))))</f>
        <v>195.17255798936176</v>
      </c>
      <c r="N62" s="44">
        <f>IF(C62=0,0,IF(6&gt;nLan,0,0.65*(IF('XA MU'!$B$25&lt;=6,'XA MU'!$E$25*$C$8*(MAX(0,1-ABS('XA MU'!$C$25-$D62)/xm_sP)+MAX(0,1-ABS('XA MU'!$D$25-$D62)/xm_sP)),0)+IF(ABS($D62-(xm_y0P+(xm_nP-1)/2*xm_sP))&lt;0.000001,IF('XA MU'!$B$25&lt;=6,'XA MU'!$E$25*$C$8*(IF('XA MU'!$C$25&gt;(xm_y0P+(xm_nP-1)/2*xm_sP),2*('XA MU'!$C$25-(xm_y0P+(xm_nP-1)/2*xm_sP))/xm_sP,0)+IF('XA MU'!$D$25&gt;(xm_y0P+(xm_nP-1)/2*xm_sP),2*('XA MU'!$D$25-(xm_y0P+(xm_nP-1)/2*xm_sP))/xm_sP,0)),0),0)+IF('XA MU'!$B$26&lt;=6,'XA MU'!$E$26*$C$8*(MAX(0,1-ABS('XA MU'!$C$26-$D62)/xm_sP)+MAX(0,1-ABS('XA MU'!$D$26-$D62)/xm_sP)),0)+IF(ABS($D62-(xm_y0P+(xm_nP-1)/2*xm_sP))&lt;0.000001,IF('XA MU'!$B$26&lt;=6,'XA MU'!$E$26*$C$8*(IF('XA MU'!$C$26&gt;(xm_y0P+(xm_nP-1)/2*xm_sP),2*('XA MU'!$C$26-(xm_y0P+(xm_nP-1)/2*xm_sP))/xm_sP,0)+IF('XA MU'!$D$26&gt;(xm_y0P+(xm_nP-1)/2*xm_sP),2*('XA MU'!$D$26-(xm_y0P+(xm_nP-1)/2*xm_sP))/xm_sP,0)),0),0)+IF('XA MU'!$B$27&lt;=6,'XA MU'!$E$27*$C$8*(MAX(0,1-ABS('XA MU'!$C$27-$D62)/xm_sP)+MAX(0,1-ABS('XA MU'!$D$27-$D62)/xm_sP)),0)+IF(ABS($D62-(xm_y0P+(xm_nP-1)/2*xm_sP))&lt;0.000001,IF('XA MU'!$B$27&lt;=6,'XA MU'!$E$27*$C$8*(IF('XA MU'!$C$27&gt;(xm_y0P+(xm_nP-1)/2*xm_sP),2*('XA MU'!$C$27-(xm_y0P+(xm_nP-1)/2*xm_sP))/xm_sP,0)+IF('XA MU'!$D$27&gt;(xm_y0P+(xm_nP-1)/2*xm_sP),2*('XA MU'!$D$27-(xm_y0P+(xm_nP-1)/2*xm_sP))/xm_sP,0)),0),0)+IF('XA MU'!$B$28&lt;=6,'XA MU'!$E$28*$C$8*(MAX(0,1-ABS('XA MU'!$C$28-$D62)/xm_sP)+MAX(0,1-ABS('XA MU'!$D$28-$D62)/xm_sP)),0)+IF(ABS($D62-(xm_y0P+(xm_nP-1)/2*xm_sP))&lt;0.000001,IF('XA MU'!$B$28&lt;=6,'XA MU'!$E$28*$C$8*(IF('XA MU'!$C$28&gt;(xm_y0P+(xm_nP-1)/2*xm_sP),2*('XA MU'!$C$28-(xm_y0P+(xm_nP-1)/2*xm_sP))/xm_sP,0)+IF('XA MU'!$D$28&gt;(xm_y0P+(xm_nP-1)/2*xm_sP),2*('XA MU'!$D$28-(xm_y0P+(xm_nP-1)/2*xm_sP))/xm_sP,0)),0),0)+IF('XA MU'!$B$29&lt;=6,'XA MU'!$E$29*$C$8*(MAX(0,1-ABS('XA MU'!$C$29-$D62)/xm_sP)+MAX(0,1-ABS('XA MU'!$D$29-$D62)/xm_sP)),0)+IF(ABS($D62-(xm_y0P+(xm_nP-1)/2*xm_sP))&lt;0.000001,IF('XA MU'!$B$29&lt;=6,'XA MU'!$E$29*$C$8*(IF('XA MU'!$C$29&gt;(xm_y0P+(xm_nP-1)/2*xm_sP),2*('XA MU'!$C$29-(xm_y0P+(xm_nP-1)/2*xm_sP))/xm_sP,0)+IF('XA MU'!$D$29&gt;(xm_y0P+(xm_nP-1)/2*xm_sP),2*('XA MU'!$D$29-(xm_y0P+(xm_nP-1)/2*xm_sP))/xm_sP,0)),0),0)+IF('XA MU'!$B$30&lt;=6,'XA MU'!$E$30*$C$8*(MAX(0,1-ABS('XA MU'!$C$30-$D62)/xm_sP)+MAX(0,1-ABS('XA MU'!$D$30-$D62)/xm_sP)),0)+IF(ABS($D62-(xm_y0P+(xm_nP-1)/2*xm_sP))&lt;0.000001,IF('XA MU'!$B$30&lt;=6,'XA MU'!$E$30*$C$8*(IF('XA MU'!$C$30&gt;(xm_y0P+(xm_nP-1)/2*xm_sP),2*('XA MU'!$C$30-(xm_y0P+(xm_nP-1)/2*xm_sP))/xm_sP,0)+IF('XA MU'!$D$30&gt;(xm_y0P+(xm_nP-1)/2*xm_sP),2*('XA MU'!$D$30-(xm_y0P+(xm_nP-1)/2*xm_sP))/xm_sP,0)),0),0))))</f>
        <v>195.17255798936176</v>
      </c>
    </row>
    <row r="63" spans="1:14" x14ac:dyDescent="0.3">
      <c r="A63" s="42" t="s">
        <v>1236</v>
      </c>
      <c r="B63" s="42">
        <v>9</v>
      </c>
      <c r="C63" s="40">
        <f t="shared" si="4"/>
        <v>1</v>
      </c>
      <c r="D63" s="44">
        <f t="shared" si="5"/>
        <v>8.2249999999999996</v>
      </c>
      <c r="E63" s="44">
        <f>MAX(0,D63-'XA MU'!$C$8)*C63</f>
        <v>4.7416666666666663</v>
      </c>
      <c r="F63" s="44">
        <f>IF(AND(C63=1,D63&gt;'XA MU'!$C$8),1,0)</f>
        <v>1</v>
      </c>
      <c r="G63" s="44">
        <f t="shared" si="6"/>
        <v>670.60125000000005</v>
      </c>
      <c r="H63" s="44">
        <f t="shared" si="7"/>
        <v>68.43768750000001</v>
      </c>
      <c r="I63" s="44">
        <f>IF(C63=0,0,IF(1&gt;nLan,0,1.2*(IF('XA MU'!$B$25&lt;=1,'XA MU'!$E$25*$C$8*(MAX(0,1-ABS('XA MU'!$C$25-$D63)/xm_sP)+MAX(0,1-ABS('XA MU'!$D$25-$D63)/xm_sP)),0)+IF(ABS($D63-(xm_y0P+(xm_nP-1)/2*xm_sP))&lt;0.000001,IF('XA MU'!$B$25&lt;=1,'XA MU'!$E$25*$C$8*(IF('XA MU'!$C$25&gt;(xm_y0P+(xm_nP-1)/2*xm_sP),2*('XA MU'!$C$25-(xm_y0P+(xm_nP-1)/2*xm_sP))/xm_sP,0)+IF('XA MU'!$D$25&gt;(xm_y0P+(xm_nP-1)/2*xm_sP),2*('XA MU'!$D$25-(xm_y0P+(xm_nP-1)/2*xm_sP))/xm_sP,0)),0),0)+IF('XA MU'!$B$26&lt;=1,'XA MU'!$E$26*$C$8*(MAX(0,1-ABS('XA MU'!$C$26-$D63)/xm_sP)+MAX(0,1-ABS('XA MU'!$D$26-$D63)/xm_sP)),0)+IF(ABS($D63-(xm_y0P+(xm_nP-1)/2*xm_sP))&lt;0.000001,IF('XA MU'!$B$26&lt;=1,'XA MU'!$E$26*$C$8*(IF('XA MU'!$C$26&gt;(xm_y0P+(xm_nP-1)/2*xm_sP),2*('XA MU'!$C$26-(xm_y0P+(xm_nP-1)/2*xm_sP))/xm_sP,0)+IF('XA MU'!$D$26&gt;(xm_y0P+(xm_nP-1)/2*xm_sP),2*('XA MU'!$D$26-(xm_y0P+(xm_nP-1)/2*xm_sP))/xm_sP,0)),0),0)+IF('XA MU'!$B$27&lt;=1,'XA MU'!$E$27*$C$8*(MAX(0,1-ABS('XA MU'!$C$27-$D63)/xm_sP)+MAX(0,1-ABS('XA MU'!$D$27-$D63)/xm_sP)),0)+IF(ABS($D63-(xm_y0P+(xm_nP-1)/2*xm_sP))&lt;0.000001,IF('XA MU'!$B$27&lt;=1,'XA MU'!$E$27*$C$8*(IF('XA MU'!$C$27&gt;(xm_y0P+(xm_nP-1)/2*xm_sP),2*('XA MU'!$C$27-(xm_y0P+(xm_nP-1)/2*xm_sP))/xm_sP,0)+IF('XA MU'!$D$27&gt;(xm_y0P+(xm_nP-1)/2*xm_sP),2*('XA MU'!$D$27-(xm_y0P+(xm_nP-1)/2*xm_sP))/xm_sP,0)),0),0)+IF('XA MU'!$B$28&lt;=1,'XA MU'!$E$28*$C$8*(MAX(0,1-ABS('XA MU'!$C$28-$D63)/xm_sP)+MAX(0,1-ABS('XA MU'!$D$28-$D63)/xm_sP)),0)+IF(ABS($D63-(xm_y0P+(xm_nP-1)/2*xm_sP))&lt;0.000001,IF('XA MU'!$B$28&lt;=1,'XA MU'!$E$28*$C$8*(IF('XA MU'!$C$28&gt;(xm_y0P+(xm_nP-1)/2*xm_sP),2*('XA MU'!$C$28-(xm_y0P+(xm_nP-1)/2*xm_sP))/xm_sP,0)+IF('XA MU'!$D$28&gt;(xm_y0P+(xm_nP-1)/2*xm_sP),2*('XA MU'!$D$28-(xm_y0P+(xm_nP-1)/2*xm_sP))/xm_sP,0)),0),0)+IF('XA MU'!$B$29&lt;=1,'XA MU'!$E$29*$C$8*(MAX(0,1-ABS('XA MU'!$C$29-$D63)/xm_sP)+MAX(0,1-ABS('XA MU'!$D$29-$D63)/xm_sP)),0)+IF(ABS($D63-(xm_y0P+(xm_nP-1)/2*xm_sP))&lt;0.000001,IF('XA MU'!$B$29&lt;=1,'XA MU'!$E$29*$C$8*(IF('XA MU'!$C$29&gt;(xm_y0P+(xm_nP-1)/2*xm_sP),2*('XA MU'!$C$29-(xm_y0P+(xm_nP-1)/2*xm_sP))/xm_sP,0)+IF('XA MU'!$D$29&gt;(xm_y0P+(xm_nP-1)/2*xm_sP),2*('XA MU'!$D$29-(xm_y0P+(xm_nP-1)/2*xm_sP))/xm_sP,0)),0),0)+IF('XA MU'!$B$30&lt;=1,'XA MU'!$E$30*$C$8*(MAX(0,1-ABS('XA MU'!$C$30-$D63)/xm_sP)+MAX(0,1-ABS('XA MU'!$D$30-$D63)/xm_sP)),0)+IF(ABS($D63-(xm_y0P+(xm_nP-1)/2*xm_sP))&lt;0.000001,IF('XA MU'!$B$30&lt;=1,'XA MU'!$E$30*$C$8*(IF('XA MU'!$C$30&gt;(xm_y0P+(xm_nP-1)/2*xm_sP),2*('XA MU'!$C$30-(xm_y0P+(xm_nP-1)/2*xm_sP))/xm_sP,0)+IF('XA MU'!$D$30&gt;(xm_y0P+(xm_nP-1)/2*xm_sP),2*('XA MU'!$D$30-(xm_y0P+(xm_nP-1)/2*xm_sP))/xm_sP,0)),0),0))))</f>
        <v>195.42702025531921</v>
      </c>
      <c r="J63" s="44">
        <f>IF(C63=0,0,IF(2&gt;nLan,0,1*(IF('XA MU'!$B$25&lt;=2,'XA MU'!$E$25*$C$8*(MAX(0,1-ABS('XA MU'!$C$25-$D63)/xm_sP)+MAX(0,1-ABS('XA MU'!$D$25-$D63)/xm_sP)),0)+IF(ABS($D63-(xm_y0P+(xm_nP-1)/2*xm_sP))&lt;0.000001,IF('XA MU'!$B$25&lt;=2,'XA MU'!$E$25*$C$8*(IF('XA MU'!$C$25&gt;(xm_y0P+(xm_nP-1)/2*xm_sP),2*('XA MU'!$C$25-(xm_y0P+(xm_nP-1)/2*xm_sP))/xm_sP,0)+IF('XA MU'!$D$25&gt;(xm_y0P+(xm_nP-1)/2*xm_sP),2*('XA MU'!$D$25-(xm_y0P+(xm_nP-1)/2*xm_sP))/xm_sP,0)),0),0)+IF('XA MU'!$B$26&lt;=2,'XA MU'!$E$26*$C$8*(MAX(0,1-ABS('XA MU'!$C$26-$D63)/xm_sP)+MAX(0,1-ABS('XA MU'!$D$26-$D63)/xm_sP)),0)+IF(ABS($D63-(xm_y0P+(xm_nP-1)/2*xm_sP))&lt;0.000001,IF('XA MU'!$B$26&lt;=2,'XA MU'!$E$26*$C$8*(IF('XA MU'!$C$26&gt;(xm_y0P+(xm_nP-1)/2*xm_sP),2*('XA MU'!$C$26-(xm_y0P+(xm_nP-1)/2*xm_sP))/xm_sP,0)+IF('XA MU'!$D$26&gt;(xm_y0P+(xm_nP-1)/2*xm_sP),2*('XA MU'!$D$26-(xm_y0P+(xm_nP-1)/2*xm_sP))/xm_sP,0)),0),0)+IF('XA MU'!$B$27&lt;=2,'XA MU'!$E$27*$C$8*(MAX(0,1-ABS('XA MU'!$C$27-$D63)/xm_sP)+MAX(0,1-ABS('XA MU'!$D$27-$D63)/xm_sP)),0)+IF(ABS($D63-(xm_y0P+(xm_nP-1)/2*xm_sP))&lt;0.000001,IF('XA MU'!$B$27&lt;=2,'XA MU'!$E$27*$C$8*(IF('XA MU'!$C$27&gt;(xm_y0P+(xm_nP-1)/2*xm_sP),2*('XA MU'!$C$27-(xm_y0P+(xm_nP-1)/2*xm_sP))/xm_sP,0)+IF('XA MU'!$D$27&gt;(xm_y0P+(xm_nP-1)/2*xm_sP),2*('XA MU'!$D$27-(xm_y0P+(xm_nP-1)/2*xm_sP))/xm_sP,0)),0),0)+IF('XA MU'!$B$28&lt;=2,'XA MU'!$E$28*$C$8*(MAX(0,1-ABS('XA MU'!$C$28-$D63)/xm_sP)+MAX(0,1-ABS('XA MU'!$D$28-$D63)/xm_sP)),0)+IF(ABS($D63-(xm_y0P+(xm_nP-1)/2*xm_sP))&lt;0.000001,IF('XA MU'!$B$28&lt;=2,'XA MU'!$E$28*$C$8*(IF('XA MU'!$C$28&gt;(xm_y0P+(xm_nP-1)/2*xm_sP),2*('XA MU'!$C$28-(xm_y0P+(xm_nP-1)/2*xm_sP))/xm_sP,0)+IF('XA MU'!$D$28&gt;(xm_y0P+(xm_nP-1)/2*xm_sP),2*('XA MU'!$D$28-(xm_y0P+(xm_nP-1)/2*xm_sP))/xm_sP,0)),0),0)+IF('XA MU'!$B$29&lt;=2,'XA MU'!$E$29*$C$8*(MAX(0,1-ABS('XA MU'!$C$29-$D63)/xm_sP)+MAX(0,1-ABS('XA MU'!$D$29-$D63)/xm_sP)),0)+IF(ABS($D63-(xm_y0P+(xm_nP-1)/2*xm_sP))&lt;0.000001,IF('XA MU'!$B$29&lt;=2,'XA MU'!$E$29*$C$8*(IF('XA MU'!$C$29&gt;(xm_y0P+(xm_nP-1)/2*xm_sP),2*('XA MU'!$C$29-(xm_y0P+(xm_nP-1)/2*xm_sP))/xm_sP,0)+IF('XA MU'!$D$29&gt;(xm_y0P+(xm_nP-1)/2*xm_sP),2*('XA MU'!$D$29-(xm_y0P+(xm_nP-1)/2*xm_sP))/xm_sP,0)),0),0)+IF('XA MU'!$B$30&lt;=2,'XA MU'!$E$30*$C$8*(MAX(0,1-ABS('XA MU'!$C$30-$D63)/xm_sP)+MAX(0,1-ABS('XA MU'!$D$30-$D63)/xm_sP)),0)+IF(ABS($D63-(xm_y0P+(xm_nP-1)/2*xm_sP))&lt;0.000001,IF('XA MU'!$B$30&lt;=2,'XA MU'!$E$30*$C$8*(IF('XA MU'!$C$30&gt;(xm_y0P+(xm_nP-1)/2*xm_sP),2*('XA MU'!$C$30-(xm_y0P+(xm_nP-1)/2*xm_sP))/xm_sP,0)+IF('XA MU'!$D$30&gt;(xm_y0P+(xm_nP-1)/2*xm_sP),2*('XA MU'!$D$30-(xm_y0P+(xm_nP-1)/2*xm_sP))/xm_sP,0)),0),0))))</f>
        <v>295.17622851063845</v>
      </c>
      <c r="K63" s="44">
        <f>IF(C63=0,0,IF(3&gt;nLan,0,0.85*(IF('XA MU'!$B$25&lt;=3,'XA MU'!$E$25*$C$8*(MAX(0,1-ABS('XA MU'!$C$25-$D63)/xm_sP)+MAX(0,1-ABS('XA MU'!$D$25-$D63)/xm_sP)),0)+IF(ABS($D63-(xm_y0P+(xm_nP-1)/2*xm_sP))&lt;0.000001,IF('XA MU'!$B$25&lt;=3,'XA MU'!$E$25*$C$8*(IF('XA MU'!$C$25&gt;(xm_y0P+(xm_nP-1)/2*xm_sP),2*('XA MU'!$C$25-(xm_y0P+(xm_nP-1)/2*xm_sP))/xm_sP,0)+IF('XA MU'!$D$25&gt;(xm_y0P+(xm_nP-1)/2*xm_sP),2*('XA MU'!$D$25-(xm_y0P+(xm_nP-1)/2*xm_sP))/xm_sP,0)),0),0)+IF('XA MU'!$B$26&lt;=3,'XA MU'!$E$26*$C$8*(MAX(0,1-ABS('XA MU'!$C$26-$D63)/xm_sP)+MAX(0,1-ABS('XA MU'!$D$26-$D63)/xm_sP)),0)+IF(ABS($D63-(xm_y0P+(xm_nP-1)/2*xm_sP))&lt;0.000001,IF('XA MU'!$B$26&lt;=3,'XA MU'!$E$26*$C$8*(IF('XA MU'!$C$26&gt;(xm_y0P+(xm_nP-1)/2*xm_sP),2*('XA MU'!$C$26-(xm_y0P+(xm_nP-1)/2*xm_sP))/xm_sP,0)+IF('XA MU'!$D$26&gt;(xm_y0P+(xm_nP-1)/2*xm_sP),2*('XA MU'!$D$26-(xm_y0P+(xm_nP-1)/2*xm_sP))/xm_sP,0)),0),0)+IF('XA MU'!$B$27&lt;=3,'XA MU'!$E$27*$C$8*(MAX(0,1-ABS('XA MU'!$C$27-$D63)/xm_sP)+MAX(0,1-ABS('XA MU'!$D$27-$D63)/xm_sP)),0)+IF(ABS($D63-(xm_y0P+(xm_nP-1)/2*xm_sP))&lt;0.000001,IF('XA MU'!$B$27&lt;=3,'XA MU'!$E$27*$C$8*(IF('XA MU'!$C$27&gt;(xm_y0P+(xm_nP-1)/2*xm_sP),2*('XA MU'!$C$27-(xm_y0P+(xm_nP-1)/2*xm_sP))/xm_sP,0)+IF('XA MU'!$D$27&gt;(xm_y0P+(xm_nP-1)/2*xm_sP),2*('XA MU'!$D$27-(xm_y0P+(xm_nP-1)/2*xm_sP))/xm_sP,0)),0),0)+IF('XA MU'!$B$28&lt;=3,'XA MU'!$E$28*$C$8*(MAX(0,1-ABS('XA MU'!$C$28-$D63)/xm_sP)+MAX(0,1-ABS('XA MU'!$D$28-$D63)/xm_sP)),0)+IF(ABS($D63-(xm_y0P+(xm_nP-1)/2*xm_sP))&lt;0.000001,IF('XA MU'!$B$28&lt;=3,'XA MU'!$E$28*$C$8*(IF('XA MU'!$C$28&gt;(xm_y0P+(xm_nP-1)/2*xm_sP),2*('XA MU'!$C$28-(xm_y0P+(xm_nP-1)/2*xm_sP))/xm_sP,0)+IF('XA MU'!$D$28&gt;(xm_y0P+(xm_nP-1)/2*xm_sP),2*('XA MU'!$D$28-(xm_y0P+(xm_nP-1)/2*xm_sP))/xm_sP,0)),0),0)+IF('XA MU'!$B$29&lt;=3,'XA MU'!$E$29*$C$8*(MAX(0,1-ABS('XA MU'!$C$29-$D63)/xm_sP)+MAX(0,1-ABS('XA MU'!$D$29-$D63)/xm_sP)),0)+IF(ABS($D63-(xm_y0P+(xm_nP-1)/2*xm_sP))&lt;0.000001,IF('XA MU'!$B$29&lt;=3,'XA MU'!$E$29*$C$8*(IF('XA MU'!$C$29&gt;(xm_y0P+(xm_nP-1)/2*xm_sP),2*('XA MU'!$C$29-(xm_y0P+(xm_nP-1)/2*xm_sP))/xm_sP,0)+IF('XA MU'!$D$29&gt;(xm_y0P+(xm_nP-1)/2*xm_sP),2*('XA MU'!$D$29-(xm_y0P+(xm_nP-1)/2*xm_sP))/xm_sP,0)),0),0)+IF('XA MU'!$B$30&lt;=3,'XA MU'!$E$30*$C$8*(MAX(0,1-ABS('XA MU'!$C$30-$D63)/xm_sP)+MAX(0,1-ABS('XA MU'!$D$30-$D63)/xm_sP)),0)+IF(ABS($D63-(xm_y0P+(xm_nP-1)/2*xm_sP))&lt;0.000001,IF('XA MU'!$B$30&lt;=3,'XA MU'!$E$30*$C$8*(IF('XA MU'!$C$30&gt;(xm_y0P+(xm_nP-1)/2*xm_sP),2*('XA MU'!$C$30-(xm_y0P+(xm_nP-1)/2*xm_sP))/xm_sP,0)+IF('XA MU'!$D$30&gt;(xm_y0P+(xm_nP-1)/2*xm_sP),2*('XA MU'!$D$30-(xm_y0P+(xm_nP-1)/2*xm_sP))/xm_sP,0)),0),0))))</f>
        <v>250.89979423404267</v>
      </c>
      <c r="L63" s="44">
        <f>IF(C63=0,0,IF(4&gt;nLan,0,0.65*(IF('XA MU'!$B$25&lt;=4,'XA MU'!$E$25*$C$8*(MAX(0,1-ABS('XA MU'!$C$25-$D63)/xm_sP)+MAX(0,1-ABS('XA MU'!$D$25-$D63)/xm_sP)),0)+IF(ABS($D63-(xm_y0P+(xm_nP-1)/2*xm_sP))&lt;0.000001,IF('XA MU'!$B$25&lt;=4,'XA MU'!$E$25*$C$8*(IF('XA MU'!$C$25&gt;(xm_y0P+(xm_nP-1)/2*xm_sP),2*('XA MU'!$C$25-(xm_y0P+(xm_nP-1)/2*xm_sP))/xm_sP,0)+IF('XA MU'!$D$25&gt;(xm_y0P+(xm_nP-1)/2*xm_sP),2*('XA MU'!$D$25-(xm_y0P+(xm_nP-1)/2*xm_sP))/xm_sP,0)),0),0)+IF('XA MU'!$B$26&lt;=4,'XA MU'!$E$26*$C$8*(MAX(0,1-ABS('XA MU'!$C$26-$D63)/xm_sP)+MAX(0,1-ABS('XA MU'!$D$26-$D63)/xm_sP)),0)+IF(ABS($D63-(xm_y0P+(xm_nP-1)/2*xm_sP))&lt;0.000001,IF('XA MU'!$B$26&lt;=4,'XA MU'!$E$26*$C$8*(IF('XA MU'!$C$26&gt;(xm_y0P+(xm_nP-1)/2*xm_sP),2*('XA MU'!$C$26-(xm_y0P+(xm_nP-1)/2*xm_sP))/xm_sP,0)+IF('XA MU'!$D$26&gt;(xm_y0P+(xm_nP-1)/2*xm_sP),2*('XA MU'!$D$26-(xm_y0P+(xm_nP-1)/2*xm_sP))/xm_sP,0)),0),0)+IF('XA MU'!$B$27&lt;=4,'XA MU'!$E$27*$C$8*(MAX(0,1-ABS('XA MU'!$C$27-$D63)/xm_sP)+MAX(0,1-ABS('XA MU'!$D$27-$D63)/xm_sP)),0)+IF(ABS($D63-(xm_y0P+(xm_nP-1)/2*xm_sP))&lt;0.000001,IF('XA MU'!$B$27&lt;=4,'XA MU'!$E$27*$C$8*(IF('XA MU'!$C$27&gt;(xm_y0P+(xm_nP-1)/2*xm_sP),2*('XA MU'!$C$27-(xm_y0P+(xm_nP-1)/2*xm_sP))/xm_sP,0)+IF('XA MU'!$D$27&gt;(xm_y0P+(xm_nP-1)/2*xm_sP),2*('XA MU'!$D$27-(xm_y0P+(xm_nP-1)/2*xm_sP))/xm_sP,0)),0),0)+IF('XA MU'!$B$28&lt;=4,'XA MU'!$E$28*$C$8*(MAX(0,1-ABS('XA MU'!$C$28-$D63)/xm_sP)+MAX(0,1-ABS('XA MU'!$D$28-$D63)/xm_sP)),0)+IF(ABS($D63-(xm_y0P+(xm_nP-1)/2*xm_sP))&lt;0.000001,IF('XA MU'!$B$28&lt;=4,'XA MU'!$E$28*$C$8*(IF('XA MU'!$C$28&gt;(xm_y0P+(xm_nP-1)/2*xm_sP),2*('XA MU'!$C$28-(xm_y0P+(xm_nP-1)/2*xm_sP))/xm_sP,0)+IF('XA MU'!$D$28&gt;(xm_y0P+(xm_nP-1)/2*xm_sP),2*('XA MU'!$D$28-(xm_y0P+(xm_nP-1)/2*xm_sP))/xm_sP,0)),0),0)+IF('XA MU'!$B$29&lt;=4,'XA MU'!$E$29*$C$8*(MAX(0,1-ABS('XA MU'!$C$29-$D63)/xm_sP)+MAX(0,1-ABS('XA MU'!$D$29-$D63)/xm_sP)),0)+IF(ABS($D63-(xm_y0P+(xm_nP-1)/2*xm_sP))&lt;0.000001,IF('XA MU'!$B$29&lt;=4,'XA MU'!$E$29*$C$8*(IF('XA MU'!$C$29&gt;(xm_y0P+(xm_nP-1)/2*xm_sP),2*('XA MU'!$C$29-(xm_y0P+(xm_nP-1)/2*xm_sP))/xm_sP,0)+IF('XA MU'!$D$29&gt;(xm_y0P+(xm_nP-1)/2*xm_sP),2*('XA MU'!$D$29-(xm_y0P+(xm_nP-1)/2*xm_sP))/xm_sP,0)),0),0)+IF('XA MU'!$B$30&lt;=4,'XA MU'!$E$30*$C$8*(MAX(0,1-ABS('XA MU'!$C$30-$D63)/xm_sP)+MAX(0,1-ABS('XA MU'!$D$30-$D63)/xm_sP)),0)+IF(ABS($D63-(xm_y0P+(xm_nP-1)/2*xm_sP))&lt;0.000001,IF('XA MU'!$B$30&lt;=4,'XA MU'!$E$30*$C$8*(IF('XA MU'!$C$30&gt;(xm_y0P+(xm_nP-1)/2*xm_sP),2*('XA MU'!$C$30-(xm_y0P+(xm_nP-1)/2*xm_sP))/xm_sP,0)+IF('XA MU'!$D$30&gt;(xm_y0P+(xm_nP-1)/2*xm_sP),2*('XA MU'!$D$30-(xm_y0P+(xm_nP-1)/2*xm_sP))/xm_sP,0)),0),0))))</f>
        <v>191.86454853191501</v>
      </c>
      <c r="M63" s="44">
        <f>IF(C63=0,0,IF(5&gt;nLan,0,0.65*(IF('XA MU'!$B$25&lt;=5,'XA MU'!$E$25*$C$8*(MAX(0,1-ABS('XA MU'!$C$25-$D63)/xm_sP)+MAX(0,1-ABS('XA MU'!$D$25-$D63)/xm_sP)),0)+IF(ABS($D63-(xm_y0P+(xm_nP-1)/2*xm_sP))&lt;0.000001,IF('XA MU'!$B$25&lt;=5,'XA MU'!$E$25*$C$8*(IF('XA MU'!$C$25&gt;(xm_y0P+(xm_nP-1)/2*xm_sP),2*('XA MU'!$C$25-(xm_y0P+(xm_nP-1)/2*xm_sP))/xm_sP,0)+IF('XA MU'!$D$25&gt;(xm_y0P+(xm_nP-1)/2*xm_sP),2*('XA MU'!$D$25-(xm_y0P+(xm_nP-1)/2*xm_sP))/xm_sP,0)),0),0)+IF('XA MU'!$B$26&lt;=5,'XA MU'!$E$26*$C$8*(MAX(0,1-ABS('XA MU'!$C$26-$D63)/xm_sP)+MAX(0,1-ABS('XA MU'!$D$26-$D63)/xm_sP)),0)+IF(ABS($D63-(xm_y0P+(xm_nP-1)/2*xm_sP))&lt;0.000001,IF('XA MU'!$B$26&lt;=5,'XA MU'!$E$26*$C$8*(IF('XA MU'!$C$26&gt;(xm_y0P+(xm_nP-1)/2*xm_sP),2*('XA MU'!$C$26-(xm_y0P+(xm_nP-1)/2*xm_sP))/xm_sP,0)+IF('XA MU'!$D$26&gt;(xm_y0P+(xm_nP-1)/2*xm_sP),2*('XA MU'!$D$26-(xm_y0P+(xm_nP-1)/2*xm_sP))/xm_sP,0)),0),0)+IF('XA MU'!$B$27&lt;=5,'XA MU'!$E$27*$C$8*(MAX(0,1-ABS('XA MU'!$C$27-$D63)/xm_sP)+MAX(0,1-ABS('XA MU'!$D$27-$D63)/xm_sP)),0)+IF(ABS($D63-(xm_y0P+(xm_nP-1)/2*xm_sP))&lt;0.000001,IF('XA MU'!$B$27&lt;=5,'XA MU'!$E$27*$C$8*(IF('XA MU'!$C$27&gt;(xm_y0P+(xm_nP-1)/2*xm_sP),2*('XA MU'!$C$27-(xm_y0P+(xm_nP-1)/2*xm_sP))/xm_sP,0)+IF('XA MU'!$D$27&gt;(xm_y0P+(xm_nP-1)/2*xm_sP),2*('XA MU'!$D$27-(xm_y0P+(xm_nP-1)/2*xm_sP))/xm_sP,0)),0),0)+IF('XA MU'!$B$28&lt;=5,'XA MU'!$E$28*$C$8*(MAX(0,1-ABS('XA MU'!$C$28-$D63)/xm_sP)+MAX(0,1-ABS('XA MU'!$D$28-$D63)/xm_sP)),0)+IF(ABS($D63-(xm_y0P+(xm_nP-1)/2*xm_sP))&lt;0.000001,IF('XA MU'!$B$28&lt;=5,'XA MU'!$E$28*$C$8*(IF('XA MU'!$C$28&gt;(xm_y0P+(xm_nP-1)/2*xm_sP),2*('XA MU'!$C$28-(xm_y0P+(xm_nP-1)/2*xm_sP))/xm_sP,0)+IF('XA MU'!$D$28&gt;(xm_y0P+(xm_nP-1)/2*xm_sP),2*('XA MU'!$D$28-(xm_y0P+(xm_nP-1)/2*xm_sP))/xm_sP,0)),0),0)+IF('XA MU'!$B$29&lt;=5,'XA MU'!$E$29*$C$8*(MAX(0,1-ABS('XA MU'!$C$29-$D63)/xm_sP)+MAX(0,1-ABS('XA MU'!$D$29-$D63)/xm_sP)),0)+IF(ABS($D63-(xm_y0P+(xm_nP-1)/2*xm_sP))&lt;0.000001,IF('XA MU'!$B$29&lt;=5,'XA MU'!$E$29*$C$8*(IF('XA MU'!$C$29&gt;(xm_y0P+(xm_nP-1)/2*xm_sP),2*('XA MU'!$C$29-(xm_y0P+(xm_nP-1)/2*xm_sP))/xm_sP,0)+IF('XA MU'!$D$29&gt;(xm_y0P+(xm_nP-1)/2*xm_sP),2*('XA MU'!$D$29-(xm_y0P+(xm_nP-1)/2*xm_sP))/xm_sP,0)),0),0)+IF('XA MU'!$B$30&lt;=5,'XA MU'!$E$30*$C$8*(MAX(0,1-ABS('XA MU'!$C$30-$D63)/xm_sP)+MAX(0,1-ABS('XA MU'!$D$30-$D63)/xm_sP)),0)+IF(ABS($D63-(xm_y0P+(xm_nP-1)/2*xm_sP))&lt;0.000001,IF('XA MU'!$B$30&lt;=5,'XA MU'!$E$30*$C$8*(IF('XA MU'!$C$30&gt;(xm_y0P+(xm_nP-1)/2*xm_sP),2*('XA MU'!$C$30-(xm_y0P+(xm_nP-1)/2*xm_sP))/xm_sP,0)+IF('XA MU'!$D$30&gt;(xm_y0P+(xm_nP-1)/2*xm_sP),2*('XA MU'!$D$30-(xm_y0P+(xm_nP-1)/2*xm_sP))/xm_sP,0)),0),0))))</f>
        <v>191.86454853191501</v>
      </c>
      <c r="N63" s="44">
        <f>IF(C63=0,0,IF(6&gt;nLan,0,0.65*(IF('XA MU'!$B$25&lt;=6,'XA MU'!$E$25*$C$8*(MAX(0,1-ABS('XA MU'!$C$25-$D63)/xm_sP)+MAX(0,1-ABS('XA MU'!$D$25-$D63)/xm_sP)),0)+IF(ABS($D63-(xm_y0P+(xm_nP-1)/2*xm_sP))&lt;0.000001,IF('XA MU'!$B$25&lt;=6,'XA MU'!$E$25*$C$8*(IF('XA MU'!$C$25&gt;(xm_y0P+(xm_nP-1)/2*xm_sP),2*('XA MU'!$C$25-(xm_y0P+(xm_nP-1)/2*xm_sP))/xm_sP,0)+IF('XA MU'!$D$25&gt;(xm_y0P+(xm_nP-1)/2*xm_sP),2*('XA MU'!$D$25-(xm_y0P+(xm_nP-1)/2*xm_sP))/xm_sP,0)),0),0)+IF('XA MU'!$B$26&lt;=6,'XA MU'!$E$26*$C$8*(MAX(0,1-ABS('XA MU'!$C$26-$D63)/xm_sP)+MAX(0,1-ABS('XA MU'!$D$26-$D63)/xm_sP)),0)+IF(ABS($D63-(xm_y0P+(xm_nP-1)/2*xm_sP))&lt;0.000001,IF('XA MU'!$B$26&lt;=6,'XA MU'!$E$26*$C$8*(IF('XA MU'!$C$26&gt;(xm_y0P+(xm_nP-1)/2*xm_sP),2*('XA MU'!$C$26-(xm_y0P+(xm_nP-1)/2*xm_sP))/xm_sP,0)+IF('XA MU'!$D$26&gt;(xm_y0P+(xm_nP-1)/2*xm_sP),2*('XA MU'!$D$26-(xm_y0P+(xm_nP-1)/2*xm_sP))/xm_sP,0)),0),0)+IF('XA MU'!$B$27&lt;=6,'XA MU'!$E$27*$C$8*(MAX(0,1-ABS('XA MU'!$C$27-$D63)/xm_sP)+MAX(0,1-ABS('XA MU'!$D$27-$D63)/xm_sP)),0)+IF(ABS($D63-(xm_y0P+(xm_nP-1)/2*xm_sP))&lt;0.000001,IF('XA MU'!$B$27&lt;=6,'XA MU'!$E$27*$C$8*(IF('XA MU'!$C$27&gt;(xm_y0P+(xm_nP-1)/2*xm_sP),2*('XA MU'!$C$27-(xm_y0P+(xm_nP-1)/2*xm_sP))/xm_sP,0)+IF('XA MU'!$D$27&gt;(xm_y0P+(xm_nP-1)/2*xm_sP),2*('XA MU'!$D$27-(xm_y0P+(xm_nP-1)/2*xm_sP))/xm_sP,0)),0),0)+IF('XA MU'!$B$28&lt;=6,'XA MU'!$E$28*$C$8*(MAX(0,1-ABS('XA MU'!$C$28-$D63)/xm_sP)+MAX(0,1-ABS('XA MU'!$D$28-$D63)/xm_sP)),0)+IF(ABS($D63-(xm_y0P+(xm_nP-1)/2*xm_sP))&lt;0.000001,IF('XA MU'!$B$28&lt;=6,'XA MU'!$E$28*$C$8*(IF('XA MU'!$C$28&gt;(xm_y0P+(xm_nP-1)/2*xm_sP),2*('XA MU'!$C$28-(xm_y0P+(xm_nP-1)/2*xm_sP))/xm_sP,0)+IF('XA MU'!$D$28&gt;(xm_y0P+(xm_nP-1)/2*xm_sP),2*('XA MU'!$D$28-(xm_y0P+(xm_nP-1)/2*xm_sP))/xm_sP,0)),0),0)+IF('XA MU'!$B$29&lt;=6,'XA MU'!$E$29*$C$8*(MAX(0,1-ABS('XA MU'!$C$29-$D63)/xm_sP)+MAX(0,1-ABS('XA MU'!$D$29-$D63)/xm_sP)),0)+IF(ABS($D63-(xm_y0P+(xm_nP-1)/2*xm_sP))&lt;0.000001,IF('XA MU'!$B$29&lt;=6,'XA MU'!$E$29*$C$8*(IF('XA MU'!$C$29&gt;(xm_y0P+(xm_nP-1)/2*xm_sP),2*('XA MU'!$C$29-(xm_y0P+(xm_nP-1)/2*xm_sP))/xm_sP,0)+IF('XA MU'!$D$29&gt;(xm_y0P+(xm_nP-1)/2*xm_sP),2*('XA MU'!$D$29-(xm_y0P+(xm_nP-1)/2*xm_sP))/xm_sP,0)),0),0)+IF('XA MU'!$B$30&lt;=6,'XA MU'!$E$30*$C$8*(MAX(0,1-ABS('XA MU'!$C$30-$D63)/xm_sP)+MAX(0,1-ABS('XA MU'!$D$30-$D63)/xm_sP)),0)+IF(ABS($D63-(xm_y0P+(xm_nP-1)/2*xm_sP))&lt;0.000001,IF('XA MU'!$B$30&lt;=6,'XA MU'!$E$30*$C$8*(IF('XA MU'!$C$30&gt;(xm_y0P+(xm_nP-1)/2*xm_sP),2*('XA MU'!$C$30-(xm_y0P+(xm_nP-1)/2*xm_sP))/xm_sP,0)+IF('XA MU'!$D$30&gt;(xm_y0P+(xm_nP-1)/2*xm_sP),2*('XA MU'!$D$30-(xm_y0P+(xm_nP-1)/2*xm_sP))/xm_sP,0)),0),0))))</f>
        <v>191.86454853191501</v>
      </c>
    </row>
    <row r="64" spans="1:14" x14ac:dyDescent="0.3">
      <c r="A64" s="42" t="s">
        <v>1236</v>
      </c>
      <c r="B64" s="42">
        <v>10</v>
      </c>
      <c r="C64" s="40">
        <f t="shared" si="4"/>
        <v>1</v>
      </c>
      <c r="D64" s="44">
        <f t="shared" si="5"/>
        <v>10.575000000000001</v>
      </c>
      <c r="E64" s="44">
        <f>MAX(0,D64-'XA MU'!$C$8)*C64</f>
        <v>7.0916666666666677</v>
      </c>
      <c r="F64" s="44">
        <f>IF(AND(C64=1,D64&gt;'XA MU'!$C$8),1,0)</f>
        <v>1</v>
      </c>
      <c r="G64" s="44">
        <f t="shared" si="6"/>
        <v>670.60125000000005</v>
      </c>
      <c r="H64" s="44">
        <f t="shared" si="7"/>
        <v>68.43768750000001</v>
      </c>
      <c r="I64" s="44">
        <f>IF(C64=0,0,IF(1&gt;nLan,0,1.2*(IF('XA MU'!$B$25&lt;=1,'XA MU'!$E$25*$C$8*(MAX(0,1-ABS('XA MU'!$C$25-$D64)/xm_sP)+MAX(0,1-ABS('XA MU'!$D$25-$D64)/xm_sP)),0)+IF(ABS($D64-(xm_y0P+(xm_nP-1)/2*xm_sP))&lt;0.000001,IF('XA MU'!$B$25&lt;=1,'XA MU'!$E$25*$C$8*(IF('XA MU'!$C$25&gt;(xm_y0P+(xm_nP-1)/2*xm_sP),2*('XA MU'!$C$25-(xm_y0P+(xm_nP-1)/2*xm_sP))/xm_sP,0)+IF('XA MU'!$D$25&gt;(xm_y0P+(xm_nP-1)/2*xm_sP),2*('XA MU'!$D$25-(xm_y0P+(xm_nP-1)/2*xm_sP))/xm_sP,0)),0),0)+IF('XA MU'!$B$26&lt;=1,'XA MU'!$E$26*$C$8*(MAX(0,1-ABS('XA MU'!$C$26-$D64)/xm_sP)+MAX(0,1-ABS('XA MU'!$D$26-$D64)/xm_sP)),0)+IF(ABS($D64-(xm_y0P+(xm_nP-1)/2*xm_sP))&lt;0.000001,IF('XA MU'!$B$26&lt;=1,'XA MU'!$E$26*$C$8*(IF('XA MU'!$C$26&gt;(xm_y0P+(xm_nP-1)/2*xm_sP),2*('XA MU'!$C$26-(xm_y0P+(xm_nP-1)/2*xm_sP))/xm_sP,0)+IF('XA MU'!$D$26&gt;(xm_y0P+(xm_nP-1)/2*xm_sP),2*('XA MU'!$D$26-(xm_y0P+(xm_nP-1)/2*xm_sP))/xm_sP,0)),0),0)+IF('XA MU'!$B$27&lt;=1,'XA MU'!$E$27*$C$8*(MAX(0,1-ABS('XA MU'!$C$27-$D64)/xm_sP)+MAX(0,1-ABS('XA MU'!$D$27-$D64)/xm_sP)),0)+IF(ABS($D64-(xm_y0P+(xm_nP-1)/2*xm_sP))&lt;0.000001,IF('XA MU'!$B$27&lt;=1,'XA MU'!$E$27*$C$8*(IF('XA MU'!$C$27&gt;(xm_y0P+(xm_nP-1)/2*xm_sP),2*('XA MU'!$C$27-(xm_y0P+(xm_nP-1)/2*xm_sP))/xm_sP,0)+IF('XA MU'!$D$27&gt;(xm_y0P+(xm_nP-1)/2*xm_sP),2*('XA MU'!$D$27-(xm_y0P+(xm_nP-1)/2*xm_sP))/xm_sP,0)),0),0)+IF('XA MU'!$B$28&lt;=1,'XA MU'!$E$28*$C$8*(MAX(0,1-ABS('XA MU'!$C$28-$D64)/xm_sP)+MAX(0,1-ABS('XA MU'!$D$28-$D64)/xm_sP)),0)+IF(ABS($D64-(xm_y0P+(xm_nP-1)/2*xm_sP))&lt;0.000001,IF('XA MU'!$B$28&lt;=1,'XA MU'!$E$28*$C$8*(IF('XA MU'!$C$28&gt;(xm_y0P+(xm_nP-1)/2*xm_sP),2*('XA MU'!$C$28-(xm_y0P+(xm_nP-1)/2*xm_sP))/xm_sP,0)+IF('XA MU'!$D$28&gt;(xm_y0P+(xm_nP-1)/2*xm_sP),2*('XA MU'!$D$28-(xm_y0P+(xm_nP-1)/2*xm_sP))/xm_sP,0)),0),0)+IF('XA MU'!$B$29&lt;=1,'XA MU'!$E$29*$C$8*(MAX(0,1-ABS('XA MU'!$C$29-$D64)/xm_sP)+MAX(0,1-ABS('XA MU'!$D$29-$D64)/xm_sP)),0)+IF(ABS($D64-(xm_y0P+(xm_nP-1)/2*xm_sP))&lt;0.000001,IF('XA MU'!$B$29&lt;=1,'XA MU'!$E$29*$C$8*(IF('XA MU'!$C$29&gt;(xm_y0P+(xm_nP-1)/2*xm_sP),2*('XA MU'!$C$29-(xm_y0P+(xm_nP-1)/2*xm_sP))/xm_sP,0)+IF('XA MU'!$D$29&gt;(xm_y0P+(xm_nP-1)/2*xm_sP),2*('XA MU'!$D$29-(xm_y0P+(xm_nP-1)/2*xm_sP))/xm_sP,0)),0),0)+IF('XA MU'!$B$30&lt;=1,'XA MU'!$E$30*$C$8*(MAX(0,1-ABS('XA MU'!$C$30-$D64)/xm_sP)+MAX(0,1-ABS('XA MU'!$D$30-$D64)/xm_sP)),0)+IF(ABS($D64-(xm_y0P+(xm_nP-1)/2*xm_sP))&lt;0.000001,IF('XA MU'!$B$30&lt;=1,'XA MU'!$E$30*$C$8*(IF('XA MU'!$C$30&gt;(xm_y0P+(xm_nP-1)/2*xm_sP),2*('XA MU'!$C$30-(xm_y0P+(xm_nP-1)/2*xm_sP))/xm_sP,0)+IF('XA MU'!$D$30&gt;(xm_y0P+(xm_nP-1)/2*xm_sP),2*('XA MU'!$D$30-(xm_y0P+(xm_nP-1)/2*xm_sP))/xm_sP,0)),0),0))))</f>
        <v>403.0682292765955</v>
      </c>
      <c r="J64" s="44">
        <f>IF(C64=0,0,IF(2&gt;nLan,0,1*(IF('XA MU'!$B$25&lt;=2,'XA MU'!$E$25*$C$8*(MAX(0,1-ABS('XA MU'!$C$25-$D64)/xm_sP)+MAX(0,1-ABS('XA MU'!$D$25-$D64)/xm_sP)),0)+IF(ABS($D64-(xm_y0P+(xm_nP-1)/2*xm_sP))&lt;0.000001,IF('XA MU'!$B$25&lt;=2,'XA MU'!$E$25*$C$8*(IF('XA MU'!$C$25&gt;(xm_y0P+(xm_nP-1)/2*xm_sP),2*('XA MU'!$C$25-(xm_y0P+(xm_nP-1)/2*xm_sP))/xm_sP,0)+IF('XA MU'!$D$25&gt;(xm_y0P+(xm_nP-1)/2*xm_sP),2*('XA MU'!$D$25-(xm_y0P+(xm_nP-1)/2*xm_sP))/xm_sP,0)),0),0)+IF('XA MU'!$B$26&lt;=2,'XA MU'!$E$26*$C$8*(MAX(0,1-ABS('XA MU'!$C$26-$D64)/xm_sP)+MAX(0,1-ABS('XA MU'!$D$26-$D64)/xm_sP)),0)+IF(ABS($D64-(xm_y0P+(xm_nP-1)/2*xm_sP))&lt;0.000001,IF('XA MU'!$B$26&lt;=2,'XA MU'!$E$26*$C$8*(IF('XA MU'!$C$26&gt;(xm_y0P+(xm_nP-1)/2*xm_sP),2*('XA MU'!$C$26-(xm_y0P+(xm_nP-1)/2*xm_sP))/xm_sP,0)+IF('XA MU'!$D$26&gt;(xm_y0P+(xm_nP-1)/2*xm_sP),2*('XA MU'!$D$26-(xm_y0P+(xm_nP-1)/2*xm_sP))/xm_sP,0)),0),0)+IF('XA MU'!$B$27&lt;=2,'XA MU'!$E$27*$C$8*(MAX(0,1-ABS('XA MU'!$C$27-$D64)/xm_sP)+MAX(0,1-ABS('XA MU'!$D$27-$D64)/xm_sP)),0)+IF(ABS($D64-(xm_y0P+(xm_nP-1)/2*xm_sP))&lt;0.000001,IF('XA MU'!$B$27&lt;=2,'XA MU'!$E$27*$C$8*(IF('XA MU'!$C$27&gt;(xm_y0P+(xm_nP-1)/2*xm_sP),2*('XA MU'!$C$27-(xm_y0P+(xm_nP-1)/2*xm_sP))/xm_sP,0)+IF('XA MU'!$D$27&gt;(xm_y0P+(xm_nP-1)/2*xm_sP),2*('XA MU'!$D$27-(xm_y0P+(xm_nP-1)/2*xm_sP))/xm_sP,0)),0),0)+IF('XA MU'!$B$28&lt;=2,'XA MU'!$E$28*$C$8*(MAX(0,1-ABS('XA MU'!$C$28-$D64)/xm_sP)+MAX(0,1-ABS('XA MU'!$D$28-$D64)/xm_sP)),0)+IF(ABS($D64-(xm_y0P+(xm_nP-1)/2*xm_sP))&lt;0.000001,IF('XA MU'!$B$28&lt;=2,'XA MU'!$E$28*$C$8*(IF('XA MU'!$C$28&gt;(xm_y0P+(xm_nP-1)/2*xm_sP),2*('XA MU'!$C$28-(xm_y0P+(xm_nP-1)/2*xm_sP))/xm_sP,0)+IF('XA MU'!$D$28&gt;(xm_y0P+(xm_nP-1)/2*xm_sP),2*('XA MU'!$D$28-(xm_y0P+(xm_nP-1)/2*xm_sP))/xm_sP,0)),0),0)+IF('XA MU'!$B$29&lt;=2,'XA MU'!$E$29*$C$8*(MAX(0,1-ABS('XA MU'!$C$29-$D64)/xm_sP)+MAX(0,1-ABS('XA MU'!$D$29-$D64)/xm_sP)),0)+IF(ABS($D64-(xm_y0P+(xm_nP-1)/2*xm_sP))&lt;0.000001,IF('XA MU'!$B$29&lt;=2,'XA MU'!$E$29*$C$8*(IF('XA MU'!$C$29&gt;(xm_y0P+(xm_nP-1)/2*xm_sP),2*('XA MU'!$C$29-(xm_y0P+(xm_nP-1)/2*xm_sP))/xm_sP,0)+IF('XA MU'!$D$29&gt;(xm_y0P+(xm_nP-1)/2*xm_sP),2*('XA MU'!$D$29-(xm_y0P+(xm_nP-1)/2*xm_sP))/xm_sP,0)),0),0)+IF('XA MU'!$B$30&lt;=2,'XA MU'!$E$30*$C$8*(MAX(0,1-ABS('XA MU'!$C$30-$D64)/xm_sP)+MAX(0,1-ABS('XA MU'!$D$30-$D64)/xm_sP)),0)+IF(ABS($D64-(xm_y0P+(xm_nP-1)/2*xm_sP))&lt;0.000001,IF('XA MU'!$B$30&lt;=2,'XA MU'!$E$30*$C$8*(IF('XA MU'!$C$30&gt;(xm_y0P+(xm_nP-1)/2*xm_sP),2*('XA MU'!$C$30-(xm_y0P+(xm_nP-1)/2*xm_sP))/xm_sP,0)+IF('XA MU'!$D$30&gt;(xm_y0P+(xm_nP-1)/2*xm_sP),2*('XA MU'!$D$30-(xm_y0P+(xm_nP-1)/2*xm_sP))/xm_sP,0)),0),0))))</f>
        <v>335.8901910638296</v>
      </c>
      <c r="K64" s="44">
        <f>IF(C64=0,0,IF(3&gt;nLan,0,0.85*(IF('XA MU'!$B$25&lt;=3,'XA MU'!$E$25*$C$8*(MAX(0,1-ABS('XA MU'!$C$25-$D64)/xm_sP)+MAX(0,1-ABS('XA MU'!$D$25-$D64)/xm_sP)),0)+IF(ABS($D64-(xm_y0P+(xm_nP-1)/2*xm_sP))&lt;0.000001,IF('XA MU'!$B$25&lt;=3,'XA MU'!$E$25*$C$8*(IF('XA MU'!$C$25&gt;(xm_y0P+(xm_nP-1)/2*xm_sP),2*('XA MU'!$C$25-(xm_y0P+(xm_nP-1)/2*xm_sP))/xm_sP,0)+IF('XA MU'!$D$25&gt;(xm_y0P+(xm_nP-1)/2*xm_sP),2*('XA MU'!$D$25-(xm_y0P+(xm_nP-1)/2*xm_sP))/xm_sP,0)),0),0)+IF('XA MU'!$B$26&lt;=3,'XA MU'!$E$26*$C$8*(MAX(0,1-ABS('XA MU'!$C$26-$D64)/xm_sP)+MAX(0,1-ABS('XA MU'!$D$26-$D64)/xm_sP)),0)+IF(ABS($D64-(xm_y0P+(xm_nP-1)/2*xm_sP))&lt;0.000001,IF('XA MU'!$B$26&lt;=3,'XA MU'!$E$26*$C$8*(IF('XA MU'!$C$26&gt;(xm_y0P+(xm_nP-1)/2*xm_sP),2*('XA MU'!$C$26-(xm_y0P+(xm_nP-1)/2*xm_sP))/xm_sP,0)+IF('XA MU'!$D$26&gt;(xm_y0P+(xm_nP-1)/2*xm_sP),2*('XA MU'!$D$26-(xm_y0P+(xm_nP-1)/2*xm_sP))/xm_sP,0)),0),0)+IF('XA MU'!$B$27&lt;=3,'XA MU'!$E$27*$C$8*(MAX(0,1-ABS('XA MU'!$C$27-$D64)/xm_sP)+MAX(0,1-ABS('XA MU'!$D$27-$D64)/xm_sP)),0)+IF(ABS($D64-(xm_y0P+(xm_nP-1)/2*xm_sP))&lt;0.000001,IF('XA MU'!$B$27&lt;=3,'XA MU'!$E$27*$C$8*(IF('XA MU'!$C$27&gt;(xm_y0P+(xm_nP-1)/2*xm_sP),2*('XA MU'!$C$27-(xm_y0P+(xm_nP-1)/2*xm_sP))/xm_sP,0)+IF('XA MU'!$D$27&gt;(xm_y0P+(xm_nP-1)/2*xm_sP),2*('XA MU'!$D$27-(xm_y0P+(xm_nP-1)/2*xm_sP))/xm_sP,0)),0),0)+IF('XA MU'!$B$28&lt;=3,'XA MU'!$E$28*$C$8*(MAX(0,1-ABS('XA MU'!$C$28-$D64)/xm_sP)+MAX(0,1-ABS('XA MU'!$D$28-$D64)/xm_sP)),0)+IF(ABS($D64-(xm_y0P+(xm_nP-1)/2*xm_sP))&lt;0.000001,IF('XA MU'!$B$28&lt;=3,'XA MU'!$E$28*$C$8*(IF('XA MU'!$C$28&gt;(xm_y0P+(xm_nP-1)/2*xm_sP),2*('XA MU'!$C$28-(xm_y0P+(xm_nP-1)/2*xm_sP))/xm_sP,0)+IF('XA MU'!$D$28&gt;(xm_y0P+(xm_nP-1)/2*xm_sP),2*('XA MU'!$D$28-(xm_y0P+(xm_nP-1)/2*xm_sP))/xm_sP,0)),0),0)+IF('XA MU'!$B$29&lt;=3,'XA MU'!$E$29*$C$8*(MAX(0,1-ABS('XA MU'!$C$29-$D64)/xm_sP)+MAX(0,1-ABS('XA MU'!$D$29-$D64)/xm_sP)),0)+IF(ABS($D64-(xm_y0P+(xm_nP-1)/2*xm_sP))&lt;0.000001,IF('XA MU'!$B$29&lt;=3,'XA MU'!$E$29*$C$8*(IF('XA MU'!$C$29&gt;(xm_y0P+(xm_nP-1)/2*xm_sP),2*('XA MU'!$C$29-(xm_y0P+(xm_nP-1)/2*xm_sP))/xm_sP,0)+IF('XA MU'!$D$29&gt;(xm_y0P+(xm_nP-1)/2*xm_sP),2*('XA MU'!$D$29-(xm_y0P+(xm_nP-1)/2*xm_sP))/xm_sP,0)),0),0)+IF('XA MU'!$B$30&lt;=3,'XA MU'!$E$30*$C$8*(MAX(0,1-ABS('XA MU'!$C$30-$D64)/xm_sP)+MAX(0,1-ABS('XA MU'!$D$30-$D64)/xm_sP)),0)+IF(ABS($D64-(xm_y0P+(xm_nP-1)/2*xm_sP))&lt;0.000001,IF('XA MU'!$B$30&lt;=3,'XA MU'!$E$30*$C$8*(IF('XA MU'!$C$30&gt;(xm_y0P+(xm_nP-1)/2*xm_sP),2*('XA MU'!$C$30-(xm_y0P+(xm_nP-1)/2*xm_sP))/xm_sP,0)+IF('XA MU'!$D$30&gt;(xm_y0P+(xm_nP-1)/2*xm_sP),2*('XA MU'!$D$30-(xm_y0P+(xm_nP-1)/2*xm_sP))/xm_sP,0)),0),0))))</f>
        <v>285.50666240425517</v>
      </c>
      <c r="L64" s="44">
        <f>IF(C64=0,0,IF(4&gt;nLan,0,0.65*(IF('XA MU'!$B$25&lt;=4,'XA MU'!$E$25*$C$8*(MAX(0,1-ABS('XA MU'!$C$25-$D64)/xm_sP)+MAX(0,1-ABS('XA MU'!$D$25-$D64)/xm_sP)),0)+IF(ABS($D64-(xm_y0P+(xm_nP-1)/2*xm_sP))&lt;0.000001,IF('XA MU'!$B$25&lt;=4,'XA MU'!$E$25*$C$8*(IF('XA MU'!$C$25&gt;(xm_y0P+(xm_nP-1)/2*xm_sP),2*('XA MU'!$C$25-(xm_y0P+(xm_nP-1)/2*xm_sP))/xm_sP,0)+IF('XA MU'!$D$25&gt;(xm_y0P+(xm_nP-1)/2*xm_sP),2*('XA MU'!$D$25-(xm_y0P+(xm_nP-1)/2*xm_sP))/xm_sP,0)),0),0)+IF('XA MU'!$B$26&lt;=4,'XA MU'!$E$26*$C$8*(MAX(0,1-ABS('XA MU'!$C$26-$D64)/xm_sP)+MAX(0,1-ABS('XA MU'!$D$26-$D64)/xm_sP)),0)+IF(ABS($D64-(xm_y0P+(xm_nP-1)/2*xm_sP))&lt;0.000001,IF('XA MU'!$B$26&lt;=4,'XA MU'!$E$26*$C$8*(IF('XA MU'!$C$26&gt;(xm_y0P+(xm_nP-1)/2*xm_sP),2*('XA MU'!$C$26-(xm_y0P+(xm_nP-1)/2*xm_sP))/xm_sP,0)+IF('XA MU'!$D$26&gt;(xm_y0P+(xm_nP-1)/2*xm_sP),2*('XA MU'!$D$26-(xm_y0P+(xm_nP-1)/2*xm_sP))/xm_sP,0)),0),0)+IF('XA MU'!$B$27&lt;=4,'XA MU'!$E$27*$C$8*(MAX(0,1-ABS('XA MU'!$C$27-$D64)/xm_sP)+MAX(0,1-ABS('XA MU'!$D$27-$D64)/xm_sP)),0)+IF(ABS($D64-(xm_y0P+(xm_nP-1)/2*xm_sP))&lt;0.000001,IF('XA MU'!$B$27&lt;=4,'XA MU'!$E$27*$C$8*(IF('XA MU'!$C$27&gt;(xm_y0P+(xm_nP-1)/2*xm_sP),2*('XA MU'!$C$27-(xm_y0P+(xm_nP-1)/2*xm_sP))/xm_sP,0)+IF('XA MU'!$D$27&gt;(xm_y0P+(xm_nP-1)/2*xm_sP),2*('XA MU'!$D$27-(xm_y0P+(xm_nP-1)/2*xm_sP))/xm_sP,0)),0),0)+IF('XA MU'!$B$28&lt;=4,'XA MU'!$E$28*$C$8*(MAX(0,1-ABS('XA MU'!$C$28-$D64)/xm_sP)+MAX(0,1-ABS('XA MU'!$D$28-$D64)/xm_sP)),0)+IF(ABS($D64-(xm_y0P+(xm_nP-1)/2*xm_sP))&lt;0.000001,IF('XA MU'!$B$28&lt;=4,'XA MU'!$E$28*$C$8*(IF('XA MU'!$C$28&gt;(xm_y0P+(xm_nP-1)/2*xm_sP),2*('XA MU'!$C$28-(xm_y0P+(xm_nP-1)/2*xm_sP))/xm_sP,0)+IF('XA MU'!$D$28&gt;(xm_y0P+(xm_nP-1)/2*xm_sP),2*('XA MU'!$D$28-(xm_y0P+(xm_nP-1)/2*xm_sP))/xm_sP,0)),0),0)+IF('XA MU'!$B$29&lt;=4,'XA MU'!$E$29*$C$8*(MAX(0,1-ABS('XA MU'!$C$29-$D64)/xm_sP)+MAX(0,1-ABS('XA MU'!$D$29-$D64)/xm_sP)),0)+IF(ABS($D64-(xm_y0P+(xm_nP-1)/2*xm_sP))&lt;0.000001,IF('XA MU'!$B$29&lt;=4,'XA MU'!$E$29*$C$8*(IF('XA MU'!$C$29&gt;(xm_y0P+(xm_nP-1)/2*xm_sP),2*('XA MU'!$C$29-(xm_y0P+(xm_nP-1)/2*xm_sP))/xm_sP,0)+IF('XA MU'!$D$29&gt;(xm_y0P+(xm_nP-1)/2*xm_sP),2*('XA MU'!$D$29-(xm_y0P+(xm_nP-1)/2*xm_sP))/xm_sP,0)),0),0)+IF('XA MU'!$B$30&lt;=4,'XA MU'!$E$30*$C$8*(MAX(0,1-ABS('XA MU'!$C$30-$D64)/xm_sP)+MAX(0,1-ABS('XA MU'!$D$30-$D64)/xm_sP)),0)+IF(ABS($D64-(xm_y0P+(xm_nP-1)/2*xm_sP))&lt;0.000001,IF('XA MU'!$B$30&lt;=4,'XA MU'!$E$30*$C$8*(IF('XA MU'!$C$30&gt;(xm_y0P+(xm_nP-1)/2*xm_sP),2*('XA MU'!$C$30-(xm_y0P+(xm_nP-1)/2*xm_sP))/xm_sP,0)+IF('XA MU'!$D$30&gt;(xm_y0P+(xm_nP-1)/2*xm_sP),2*('XA MU'!$D$30-(xm_y0P+(xm_nP-1)/2*xm_sP))/xm_sP,0)),0),0))))</f>
        <v>218.32862419148924</v>
      </c>
      <c r="M64" s="44">
        <f>IF(C64=0,0,IF(5&gt;nLan,0,0.65*(IF('XA MU'!$B$25&lt;=5,'XA MU'!$E$25*$C$8*(MAX(0,1-ABS('XA MU'!$C$25-$D64)/xm_sP)+MAX(0,1-ABS('XA MU'!$D$25-$D64)/xm_sP)),0)+IF(ABS($D64-(xm_y0P+(xm_nP-1)/2*xm_sP))&lt;0.000001,IF('XA MU'!$B$25&lt;=5,'XA MU'!$E$25*$C$8*(IF('XA MU'!$C$25&gt;(xm_y0P+(xm_nP-1)/2*xm_sP),2*('XA MU'!$C$25-(xm_y0P+(xm_nP-1)/2*xm_sP))/xm_sP,0)+IF('XA MU'!$D$25&gt;(xm_y0P+(xm_nP-1)/2*xm_sP),2*('XA MU'!$D$25-(xm_y0P+(xm_nP-1)/2*xm_sP))/xm_sP,0)),0),0)+IF('XA MU'!$B$26&lt;=5,'XA MU'!$E$26*$C$8*(MAX(0,1-ABS('XA MU'!$C$26-$D64)/xm_sP)+MAX(0,1-ABS('XA MU'!$D$26-$D64)/xm_sP)),0)+IF(ABS($D64-(xm_y0P+(xm_nP-1)/2*xm_sP))&lt;0.000001,IF('XA MU'!$B$26&lt;=5,'XA MU'!$E$26*$C$8*(IF('XA MU'!$C$26&gt;(xm_y0P+(xm_nP-1)/2*xm_sP),2*('XA MU'!$C$26-(xm_y0P+(xm_nP-1)/2*xm_sP))/xm_sP,0)+IF('XA MU'!$D$26&gt;(xm_y0P+(xm_nP-1)/2*xm_sP),2*('XA MU'!$D$26-(xm_y0P+(xm_nP-1)/2*xm_sP))/xm_sP,0)),0),0)+IF('XA MU'!$B$27&lt;=5,'XA MU'!$E$27*$C$8*(MAX(0,1-ABS('XA MU'!$C$27-$D64)/xm_sP)+MAX(0,1-ABS('XA MU'!$D$27-$D64)/xm_sP)),0)+IF(ABS($D64-(xm_y0P+(xm_nP-1)/2*xm_sP))&lt;0.000001,IF('XA MU'!$B$27&lt;=5,'XA MU'!$E$27*$C$8*(IF('XA MU'!$C$27&gt;(xm_y0P+(xm_nP-1)/2*xm_sP),2*('XA MU'!$C$27-(xm_y0P+(xm_nP-1)/2*xm_sP))/xm_sP,0)+IF('XA MU'!$D$27&gt;(xm_y0P+(xm_nP-1)/2*xm_sP),2*('XA MU'!$D$27-(xm_y0P+(xm_nP-1)/2*xm_sP))/xm_sP,0)),0),0)+IF('XA MU'!$B$28&lt;=5,'XA MU'!$E$28*$C$8*(MAX(0,1-ABS('XA MU'!$C$28-$D64)/xm_sP)+MAX(0,1-ABS('XA MU'!$D$28-$D64)/xm_sP)),0)+IF(ABS($D64-(xm_y0P+(xm_nP-1)/2*xm_sP))&lt;0.000001,IF('XA MU'!$B$28&lt;=5,'XA MU'!$E$28*$C$8*(IF('XA MU'!$C$28&gt;(xm_y0P+(xm_nP-1)/2*xm_sP),2*('XA MU'!$C$28-(xm_y0P+(xm_nP-1)/2*xm_sP))/xm_sP,0)+IF('XA MU'!$D$28&gt;(xm_y0P+(xm_nP-1)/2*xm_sP),2*('XA MU'!$D$28-(xm_y0P+(xm_nP-1)/2*xm_sP))/xm_sP,0)),0),0)+IF('XA MU'!$B$29&lt;=5,'XA MU'!$E$29*$C$8*(MAX(0,1-ABS('XA MU'!$C$29-$D64)/xm_sP)+MAX(0,1-ABS('XA MU'!$D$29-$D64)/xm_sP)),0)+IF(ABS($D64-(xm_y0P+(xm_nP-1)/2*xm_sP))&lt;0.000001,IF('XA MU'!$B$29&lt;=5,'XA MU'!$E$29*$C$8*(IF('XA MU'!$C$29&gt;(xm_y0P+(xm_nP-1)/2*xm_sP),2*('XA MU'!$C$29-(xm_y0P+(xm_nP-1)/2*xm_sP))/xm_sP,0)+IF('XA MU'!$D$29&gt;(xm_y0P+(xm_nP-1)/2*xm_sP),2*('XA MU'!$D$29-(xm_y0P+(xm_nP-1)/2*xm_sP))/xm_sP,0)),0),0)+IF('XA MU'!$B$30&lt;=5,'XA MU'!$E$30*$C$8*(MAX(0,1-ABS('XA MU'!$C$30-$D64)/xm_sP)+MAX(0,1-ABS('XA MU'!$D$30-$D64)/xm_sP)),0)+IF(ABS($D64-(xm_y0P+(xm_nP-1)/2*xm_sP))&lt;0.000001,IF('XA MU'!$B$30&lt;=5,'XA MU'!$E$30*$C$8*(IF('XA MU'!$C$30&gt;(xm_y0P+(xm_nP-1)/2*xm_sP),2*('XA MU'!$C$30-(xm_y0P+(xm_nP-1)/2*xm_sP))/xm_sP,0)+IF('XA MU'!$D$30&gt;(xm_y0P+(xm_nP-1)/2*xm_sP),2*('XA MU'!$D$30-(xm_y0P+(xm_nP-1)/2*xm_sP))/xm_sP,0)),0),0))))</f>
        <v>218.32862419148924</v>
      </c>
      <c r="N64" s="44">
        <f>IF(C64=0,0,IF(6&gt;nLan,0,0.65*(IF('XA MU'!$B$25&lt;=6,'XA MU'!$E$25*$C$8*(MAX(0,1-ABS('XA MU'!$C$25-$D64)/xm_sP)+MAX(0,1-ABS('XA MU'!$D$25-$D64)/xm_sP)),0)+IF(ABS($D64-(xm_y0P+(xm_nP-1)/2*xm_sP))&lt;0.000001,IF('XA MU'!$B$25&lt;=6,'XA MU'!$E$25*$C$8*(IF('XA MU'!$C$25&gt;(xm_y0P+(xm_nP-1)/2*xm_sP),2*('XA MU'!$C$25-(xm_y0P+(xm_nP-1)/2*xm_sP))/xm_sP,0)+IF('XA MU'!$D$25&gt;(xm_y0P+(xm_nP-1)/2*xm_sP),2*('XA MU'!$D$25-(xm_y0P+(xm_nP-1)/2*xm_sP))/xm_sP,0)),0),0)+IF('XA MU'!$B$26&lt;=6,'XA MU'!$E$26*$C$8*(MAX(0,1-ABS('XA MU'!$C$26-$D64)/xm_sP)+MAX(0,1-ABS('XA MU'!$D$26-$D64)/xm_sP)),0)+IF(ABS($D64-(xm_y0P+(xm_nP-1)/2*xm_sP))&lt;0.000001,IF('XA MU'!$B$26&lt;=6,'XA MU'!$E$26*$C$8*(IF('XA MU'!$C$26&gt;(xm_y0P+(xm_nP-1)/2*xm_sP),2*('XA MU'!$C$26-(xm_y0P+(xm_nP-1)/2*xm_sP))/xm_sP,0)+IF('XA MU'!$D$26&gt;(xm_y0P+(xm_nP-1)/2*xm_sP),2*('XA MU'!$D$26-(xm_y0P+(xm_nP-1)/2*xm_sP))/xm_sP,0)),0),0)+IF('XA MU'!$B$27&lt;=6,'XA MU'!$E$27*$C$8*(MAX(0,1-ABS('XA MU'!$C$27-$D64)/xm_sP)+MAX(0,1-ABS('XA MU'!$D$27-$D64)/xm_sP)),0)+IF(ABS($D64-(xm_y0P+(xm_nP-1)/2*xm_sP))&lt;0.000001,IF('XA MU'!$B$27&lt;=6,'XA MU'!$E$27*$C$8*(IF('XA MU'!$C$27&gt;(xm_y0P+(xm_nP-1)/2*xm_sP),2*('XA MU'!$C$27-(xm_y0P+(xm_nP-1)/2*xm_sP))/xm_sP,0)+IF('XA MU'!$D$27&gt;(xm_y0P+(xm_nP-1)/2*xm_sP),2*('XA MU'!$D$27-(xm_y0P+(xm_nP-1)/2*xm_sP))/xm_sP,0)),0),0)+IF('XA MU'!$B$28&lt;=6,'XA MU'!$E$28*$C$8*(MAX(0,1-ABS('XA MU'!$C$28-$D64)/xm_sP)+MAX(0,1-ABS('XA MU'!$D$28-$D64)/xm_sP)),0)+IF(ABS($D64-(xm_y0P+(xm_nP-1)/2*xm_sP))&lt;0.000001,IF('XA MU'!$B$28&lt;=6,'XA MU'!$E$28*$C$8*(IF('XA MU'!$C$28&gt;(xm_y0P+(xm_nP-1)/2*xm_sP),2*('XA MU'!$C$28-(xm_y0P+(xm_nP-1)/2*xm_sP))/xm_sP,0)+IF('XA MU'!$D$28&gt;(xm_y0P+(xm_nP-1)/2*xm_sP),2*('XA MU'!$D$28-(xm_y0P+(xm_nP-1)/2*xm_sP))/xm_sP,0)),0),0)+IF('XA MU'!$B$29&lt;=6,'XA MU'!$E$29*$C$8*(MAX(0,1-ABS('XA MU'!$C$29-$D64)/xm_sP)+MAX(0,1-ABS('XA MU'!$D$29-$D64)/xm_sP)),0)+IF(ABS($D64-(xm_y0P+(xm_nP-1)/2*xm_sP))&lt;0.000001,IF('XA MU'!$B$29&lt;=6,'XA MU'!$E$29*$C$8*(IF('XA MU'!$C$29&gt;(xm_y0P+(xm_nP-1)/2*xm_sP),2*('XA MU'!$C$29-(xm_y0P+(xm_nP-1)/2*xm_sP))/xm_sP,0)+IF('XA MU'!$D$29&gt;(xm_y0P+(xm_nP-1)/2*xm_sP),2*('XA MU'!$D$29-(xm_y0P+(xm_nP-1)/2*xm_sP))/xm_sP,0)),0),0)+IF('XA MU'!$B$30&lt;=6,'XA MU'!$E$30*$C$8*(MAX(0,1-ABS('XA MU'!$C$30-$D64)/xm_sP)+MAX(0,1-ABS('XA MU'!$D$30-$D64)/xm_sP)),0)+IF(ABS($D64-(xm_y0P+(xm_nP-1)/2*xm_sP))&lt;0.000001,IF('XA MU'!$B$30&lt;=6,'XA MU'!$E$30*$C$8*(IF('XA MU'!$C$30&gt;(xm_y0P+(xm_nP-1)/2*xm_sP),2*('XA MU'!$C$30-(xm_y0P+(xm_nP-1)/2*xm_sP))/xm_sP,0)+IF('XA MU'!$D$30&gt;(xm_y0P+(xm_nP-1)/2*xm_sP),2*('XA MU'!$D$30-(xm_y0P+(xm_nP-1)/2*xm_sP))/xm_sP,0)),0),0))))</f>
        <v>218.32862419148924</v>
      </c>
    </row>
    <row r="65" spans="1:14" x14ac:dyDescent="0.3">
      <c r="A65" s="42" t="s">
        <v>1236</v>
      </c>
      <c r="B65" s="42">
        <v>11</v>
      </c>
      <c r="C65" s="40">
        <f t="shared" si="4"/>
        <v>0</v>
      </c>
      <c r="D65" s="44">
        <f t="shared" si="5"/>
        <v>0</v>
      </c>
      <c r="E65" s="44">
        <f>MAX(0,D65-'XA MU'!$C$8)*C65</f>
        <v>0</v>
      </c>
      <c r="F65" s="44">
        <f>IF(AND(C65=1,D65&gt;'XA MU'!$C$8),1,0)</f>
        <v>0</v>
      </c>
      <c r="G65" s="44">
        <f t="shared" si="6"/>
        <v>0</v>
      </c>
      <c r="H65" s="44">
        <f t="shared" si="7"/>
        <v>0</v>
      </c>
      <c r="I65" s="44">
        <f>IF(C65=0,0,IF(1&gt;nLan,0,1.2*(IF('XA MU'!$B$25&lt;=1,'XA MU'!$E$25*$C$8*(MAX(0,1-ABS('XA MU'!$C$25-$D65)/xm_sP)+MAX(0,1-ABS('XA MU'!$D$25-$D65)/xm_sP)),0)+IF(ABS($D65-(xm_y0P+(xm_nP-1)/2*xm_sP))&lt;0.000001,IF('XA MU'!$B$25&lt;=1,'XA MU'!$E$25*$C$8*(IF('XA MU'!$C$25&gt;(xm_y0P+(xm_nP-1)/2*xm_sP),2*('XA MU'!$C$25-(xm_y0P+(xm_nP-1)/2*xm_sP))/xm_sP,0)+IF('XA MU'!$D$25&gt;(xm_y0P+(xm_nP-1)/2*xm_sP),2*('XA MU'!$D$25-(xm_y0P+(xm_nP-1)/2*xm_sP))/xm_sP,0)),0),0)+IF('XA MU'!$B$26&lt;=1,'XA MU'!$E$26*$C$8*(MAX(0,1-ABS('XA MU'!$C$26-$D65)/xm_sP)+MAX(0,1-ABS('XA MU'!$D$26-$D65)/xm_sP)),0)+IF(ABS($D65-(xm_y0P+(xm_nP-1)/2*xm_sP))&lt;0.000001,IF('XA MU'!$B$26&lt;=1,'XA MU'!$E$26*$C$8*(IF('XA MU'!$C$26&gt;(xm_y0P+(xm_nP-1)/2*xm_sP),2*('XA MU'!$C$26-(xm_y0P+(xm_nP-1)/2*xm_sP))/xm_sP,0)+IF('XA MU'!$D$26&gt;(xm_y0P+(xm_nP-1)/2*xm_sP),2*('XA MU'!$D$26-(xm_y0P+(xm_nP-1)/2*xm_sP))/xm_sP,0)),0),0)+IF('XA MU'!$B$27&lt;=1,'XA MU'!$E$27*$C$8*(MAX(0,1-ABS('XA MU'!$C$27-$D65)/xm_sP)+MAX(0,1-ABS('XA MU'!$D$27-$D65)/xm_sP)),0)+IF(ABS($D65-(xm_y0P+(xm_nP-1)/2*xm_sP))&lt;0.000001,IF('XA MU'!$B$27&lt;=1,'XA MU'!$E$27*$C$8*(IF('XA MU'!$C$27&gt;(xm_y0P+(xm_nP-1)/2*xm_sP),2*('XA MU'!$C$27-(xm_y0P+(xm_nP-1)/2*xm_sP))/xm_sP,0)+IF('XA MU'!$D$27&gt;(xm_y0P+(xm_nP-1)/2*xm_sP),2*('XA MU'!$D$27-(xm_y0P+(xm_nP-1)/2*xm_sP))/xm_sP,0)),0),0)+IF('XA MU'!$B$28&lt;=1,'XA MU'!$E$28*$C$8*(MAX(0,1-ABS('XA MU'!$C$28-$D65)/xm_sP)+MAX(0,1-ABS('XA MU'!$D$28-$D65)/xm_sP)),0)+IF(ABS($D65-(xm_y0P+(xm_nP-1)/2*xm_sP))&lt;0.000001,IF('XA MU'!$B$28&lt;=1,'XA MU'!$E$28*$C$8*(IF('XA MU'!$C$28&gt;(xm_y0P+(xm_nP-1)/2*xm_sP),2*('XA MU'!$C$28-(xm_y0P+(xm_nP-1)/2*xm_sP))/xm_sP,0)+IF('XA MU'!$D$28&gt;(xm_y0P+(xm_nP-1)/2*xm_sP),2*('XA MU'!$D$28-(xm_y0P+(xm_nP-1)/2*xm_sP))/xm_sP,0)),0),0)+IF('XA MU'!$B$29&lt;=1,'XA MU'!$E$29*$C$8*(MAX(0,1-ABS('XA MU'!$C$29-$D65)/xm_sP)+MAX(0,1-ABS('XA MU'!$D$29-$D65)/xm_sP)),0)+IF(ABS($D65-(xm_y0P+(xm_nP-1)/2*xm_sP))&lt;0.000001,IF('XA MU'!$B$29&lt;=1,'XA MU'!$E$29*$C$8*(IF('XA MU'!$C$29&gt;(xm_y0P+(xm_nP-1)/2*xm_sP),2*('XA MU'!$C$29-(xm_y0P+(xm_nP-1)/2*xm_sP))/xm_sP,0)+IF('XA MU'!$D$29&gt;(xm_y0P+(xm_nP-1)/2*xm_sP),2*('XA MU'!$D$29-(xm_y0P+(xm_nP-1)/2*xm_sP))/xm_sP,0)),0),0)+IF('XA MU'!$B$30&lt;=1,'XA MU'!$E$30*$C$8*(MAX(0,1-ABS('XA MU'!$C$30-$D65)/xm_sP)+MAX(0,1-ABS('XA MU'!$D$30-$D65)/xm_sP)),0)+IF(ABS($D65-(xm_y0P+(xm_nP-1)/2*xm_sP))&lt;0.000001,IF('XA MU'!$B$30&lt;=1,'XA MU'!$E$30*$C$8*(IF('XA MU'!$C$30&gt;(xm_y0P+(xm_nP-1)/2*xm_sP),2*('XA MU'!$C$30-(xm_y0P+(xm_nP-1)/2*xm_sP))/xm_sP,0)+IF('XA MU'!$D$30&gt;(xm_y0P+(xm_nP-1)/2*xm_sP),2*('XA MU'!$D$30-(xm_y0P+(xm_nP-1)/2*xm_sP))/xm_sP,0)),0),0))))</f>
        <v>0</v>
      </c>
      <c r="J65" s="44">
        <f>IF(C65=0,0,IF(2&gt;nLan,0,1*(IF('XA MU'!$B$25&lt;=2,'XA MU'!$E$25*$C$8*(MAX(0,1-ABS('XA MU'!$C$25-$D65)/xm_sP)+MAX(0,1-ABS('XA MU'!$D$25-$D65)/xm_sP)),0)+IF(ABS($D65-(xm_y0P+(xm_nP-1)/2*xm_sP))&lt;0.000001,IF('XA MU'!$B$25&lt;=2,'XA MU'!$E$25*$C$8*(IF('XA MU'!$C$25&gt;(xm_y0P+(xm_nP-1)/2*xm_sP),2*('XA MU'!$C$25-(xm_y0P+(xm_nP-1)/2*xm_sP))/xm_sP,0)+IF('XA MU'!$D$25&gt;(xm_y0P+(xm_nP-1)/2*xm_sP),2*('XA MU'!$D$25-(xm_y0P+(xm_nP-1)/2*xm_sP))/xm_sP,0)),0),0)+IF('XA MU'!$B$26&lt;=2,'XA MU'!$E$26*$C$8*(MAX(0,1-ABS('XA MU'!$C$26-$D65)/xm_sP)+MAX(0,1-ABS('XA MU'!$D$26-$D65)/xm_sP)),0)+IF(ABS($D65-(xm_y0P+(xm_nP-1)/2*xm_sP))&lt;0.000001,IF('XA MU'!$B$26&lt;=2,'XA MU'!$E$26*$C$8*(IF('XA MU'!$C$26&gt;(xm_y0P+(xm_nP-1)/2*xm_sP),2*('XA MU'!$C$26-(xm_y0P+(xm_nP-1)/2*xm_sP))/xm_sP,0)+IF('XA MU'!$D$26&gt;(xm_y0P+(xm_nP-1)/2*xm_sP),2*('XA MU'!$D$26-(xm_y0P+(xm_nP-1)/2*xm_sP))/xm_sP,0)),0),0)+IF('XA MU'!$B$27&lt;=2,'XA MU'!$E$27*$C$8*(MAX(0,1-ABS('XA MU'!$C$27-$D65)/xm_sP)+MAX(0,1-ABS('XA MU'!$D$27-$D65)/xm_sP)),0)+IF(ABS($D65-(xm_y0P+(xm_nP-1)/2*xm_sP))&lt;0.000001,IF('XA MU'!$B$27&lt;=2,'XA MU'!$E$27*$C$8*(IF('XA MU'!$C$27&gt;(xm_y0P+(xm_nP-1)/2*xm_sP),2*('XA MU'!$C$27-(xm_y0P+(xm_nP-1)/2*xm_sP))/xm_sP,0)+IF('XA MU'!$D$27&gt;(xm_y0P+(xm_nP-1)/2*xm_sP),2*('XA MU'!$D$27-(xm_y0P+(xm_nP-1)/2*xm_sP))/xm_sP,0)),0),0)+IF('XA MU'!$B$28&lt;=2,'XA MU'!$E$28*$C$8*(MAX(0,1-ABS('XA MU'!$C$28-$D65)/xm_sP)+MAX(0,1-ABS('XA MU'!$D$28-$D65)/xm_sP)),0)+IF(ABS($D65-(xm_y0P+(xm_nP-1)/2*xm_sP))&lt;0.000001,IF('XA MU'!$B$28&lt;=2,'XA MU'!$E$28*$C$8*(IF('XA MU'!$C$28&gt;(xm_y0P+(xm_nP-1)/2*xm_sP),2*('XA MU'!$C$28-(xm_y0P+(xm_nP-1)/2*xm_sP))/xm_sP,0)+IF('XA MU'!$D$28&gt;(xm_y0P+(xm_nP-1)/2*xm_sP),2*('XA MU'!$D$28-(xm_y0P+(xm_nP-1)/2*xm_sP))/xm_sP,0)),0),0)+IF('XA MU'!$B$29&lt;=2,'XA MU'!$E$29*$C$8*(MAX(0,1-ABS('XA MU'!$C$29-$D65)/xm_sP)+MAX(0,1-ABS('XA MU'!$D$29-$D65)/xm_sP)),0)+IF(ABS($D65-(xm_y0P+(xm_nP-1)/2*xm_sP))&lt;0.000001,IF('XA MU'!$B$29&lt;=2,'XA MU'!$E$29*$C$8*(IF('XA MU'!$C$29&gt;(xm_y0P+(xm_nP-1)/2*xm_sP),2*('XA MU'!$C$29-(xm_y0P+(xm_nP-1)/2*xm_sP))/xm_sP,0)+IF('XA MU'!$D$29&gt;(xm_y0P+(xm_nP-1)/2*xm_sP),2*('XA MU'!$D$29-(xm_y0P+(xm_nP-1)/2*xm_sP))/xm_sP,0)),0),0)+IF('XA MU'!$B$30&lt;=2,'XA MU'!$E$30*$C$8*(MAX(0,1-ABS('XA MU'!$C$30-$D65)/xm_sP)+MAX(0,1-ABS('XA MU'!$D$30-$D65)/xm_sP)),0)+IF(ABS($D65-(xm_y0P+(xm_nP-1)/2*xm_sP))&lt;0.000001,IF('XA MU'!$B$30&lt;=2,'XA MU'!$E$30*$C$8*(IF('XA MU'!$C$30&gt;(xm_y0P+(xm_nP-1)/2*xm_sP),2*('XA MU'!$C$30-(xm_y0P+(xm_nP-1)/2*xm_sP))/xm_sP,0)+IF('XA MU'!$D$30&gt;(xm_y0P+(xm_nP-1)/2*xm_sP),2*('XA MU'!$D$30-(xm_y0P+(xm_nP-1)/2*xm_sP))/xm_sP,0)),0),0))))</f>
        <v>0</v>
      </c>
      <c r="K65" s="44">
        <f>IF(C65=0,0,IF(3&gt;nLan,0,0.85*(IF('XA MU'!$B$25&lt;=3,'XA MU'!$E$25*$C$8*(MAX(0,1-ABS('XA MU'!$C$25-$D65)/xm_sP)+MAX(0,1-ABS('XA MU'!$D$25-$D65)/xm_sP)),0)+IF(ABS($D65-(xm_y0P+(xm_nP-1)/2*xm_sP))&lt;0.000001,IF('XA MU'!$B$25&lt;=3,'XA MU'!$E$25*$C$8*(IF('XA MU'!$C$25&gt;(xm_y0P+(xm_nP-1)/2*xm_sP),2*('XA MU'!$C$25-(xm_y0P+(xm_nP-1)/2*xm_sP))/xm_sP,0)+IF('XA MU'!$D$25&gt;(xm_y0P+(xm_nP-1)/2*xm_sP),2*('XA MU'!$D$25-(xm_y0P+(xm_nP-1)/2*xm_sP))/xm_sP,0)),0),0)+IF('XA MU'!$B$26&lt;=3,'XA MU'!$E$26*$C$8*(MAX(0,1-ABS('XA MU'!$C$26-$D65)/xm_sP)+MAX(0,1-ABS('XA MU'!$D$26-$D65)/xm_sP)),0)+IF(ABS($D65-(xm_y0P+(xm_nP-1)/2*xm_sP))&lt;0.000001,IF('XA MU'!$B$26&lt;=3,'XA MU'!$E$26*$C$8*(IF('XA MU'!$C$26&gt;(xm_y0P+(xm_nP-1)/2*xm_sP),2*('XA MU'!$C$26-(xm_y0P+(xm_nP-1)/2*xm_sP))/xm_sP,0)+IF('XA MU'!$D$26&gt;(xm_y0P+(xm_nP-1)/2*xm_sP),2*('XA MU'!$D$26-(xm_y0P+(xm_nP-1)/2*xm_sP))/xm_sP,0)),0),0)+IF('XA MU'!$B$27&lt;=3,'XA MU'!$E$27*$C$8*(MAX(0,1-ABS('XA MU'!$C$27-$D65)/xm_sP)+MAX(0,1-ABS('XA MU'!$D$27-$D65)/xm_sP)),0)+IF(ABS($D65-(xm_y0P+(xm_nP-1)/2*xm_sP))&lt;0.000001,IF('XA MU'!$B$27&lt;=3,'XA MU'!$E$27*$C$8*(IF('XA MU'!$C$27&gt;(xm_y0P+(xm_nP-1)/2*xm_sP),2*('XA MU'!$C$27-(xm_y0P+(xm_nP-1)/2*xm_sP))/xm_sP,0)+IF('XA MU'!$D$27&gt;(xm_y0P+(xm_nP-1)/2*xm_sP),2*('XA MU'!$D$27-(xm_y0P+(xm_nP-1)/2*xm_sP))/xm_sP,0)),0),0)+IF('XA MU'!$B$28&lt;=3,'XA MU'!$E$28*$C$8*(MAX(0,1-ABS('XA MU'!$C$28-$D65)/xm_sP)+MAX(0,1-ABS('XA MU'!$D$28-$D65)/xm_sP)),0)+IF(ABS($D65-(xm_y0P+(xm_nP-1)/2*xm_sP))&lt;0.000001,IF('XA MU'!$B$28&lt;=3,'XA MU'!$E$28*$C$8*(IF('XA MU'!$C$28&gt;(xm_y0P+(xm_nP-1)/2*xm_sP),2*('XA MU'!$C$28-(xm_y0P+(xm_nP-1)/2*xm_sP))/xm_sP,0)+IF('XA MU'!$D$28&gt;(xm_y0P+(xm_nP-1)/2*xm_sP),2*('XA MU'!$D$28-(xm_y0P+(xm_nP-1)/2*xm_sP))/xm_sP,0)),0),0)+IF('XA MU'!$B$29&lt;=3,'XA MU'!$E$29*$C$8*(MAX(0,1-ABS('XA MU'!$C$29-$D65)/xm_sP)+MAX(0,1-ABS('XA MU'!$D$29-$D65)/xm_sP)),0)+IF(ABS($D65-(xm_y0P+(xm_nP-1)/2*xm_sP))&lt;0.000001,IF('XA MU'!$B$29&lt;=3,'XA MU'!$E$29*$C$8*(IF('XA MU'!$C$29&gt;(xm_y0P+(xm_nP-1)/2*xm_sP),2*('XA MU'!$C$29-(xm_y0P+(xm_nP-1)/2*xm_sP))/xm_sP,0)+IF('XA MU'!$D$29&gt;(xm_y0P+(xm_nP-1)/2*xm_sP),2*('XA MU'!$D$29-(xm_y0P+(xm_nP-1)/2*xm_sP))/xm_sP,0)),0),0)+IF('XA MU'!$B$30&lt;=3,'XA MU'!$E$30*$C$8*(MAX(0,1-ABS('XA MU'!$C$30-$D65)/xm_sP)+MAX(0,1-ABS('XA MU'!$D$30-$D65)/xm_sP)),0)+IF(ABS($D65-(xm_y0P+(xm_nP-1)/2*xm_sP))&lt;0.000001,IF('XA MU'!$B$30&lt;=3,'XA MU'!$E$30*$C$8*(IF('XA MU'!$C$30&gt;(xm_y0P+(xm_nP-1)/2*xm_sP),2*('XA MU'!$C$30-(xm_y0P+(xm_nP-1)/2*xm_sP))/xm_sP,0)+IF('XA MU'!$D$30&gt;(xm_y0P+(xm_nP-1)/2*xm_sP),2*('XA MU'!$D$30-(xm_y0P+(xm_nP-1)/2*xm_sP))/xm_sP,0)),0),0))))</f>
        <v>0</v>
      </c>
      <c r="L65" s="44">
        <f>IF(C65=0,0,IF(4&gt;nLan,0,0.65*(IF('XA MU'!$B$25&lt;=4,'XA MU'!$E$25*$C$8*(MAX(0,1-ABS('XA MU'!$C$25-$D65)/xm_sP)+MAX(0,1-ABS('XA MU'!$D$25-$D65)/xm_sP)),0)+IF(ABS($D65-(xm_y0P+(xm_nP-1)/2*xm_sP))&lt;0.000001,IF('XA MU'!$B$25&lt;=4,'XA MU'!$E$25*$C$8*(IF('XA MU'!$C$25&gt;(xm_y0P+(xm_nP-1)/2*xm_sP),2*('XA MU'!$C$25-(xm_y0P+(xm_nP-1)/2*xm_sP))/xm_sP,0)+IF('XA MU'!$D$25&gt;(xm_y0P+(xm_nP-1)/2*xm_sP),2*('XA MU'!$D$25-(xm_y0P+(xm_nP-1)/2*xm_sP))/xm_sP,0)),0),0)+IF('XA MU'!$B$26&lt;=4,'XA MU'!$E$26*$C$8*(MAX(0,1-ABS('XA MU'!$C$26-$D65)/xm_sP)+MAX(0,1-ABS('XA MU'!$D$26-$D65)/xm_sP)),0)+IF(ABS($D65-(xm_y0P+(xm_nP-1)/2*xm_sP))&lt;0.000001,IF('XA MU'!$B$26&lt;=4,'XA MU'!$E$26*$C$8*(IF('XA MU'!$C$26&gt;(xm_y0P+(xm_nP-1)/2*xm_sP),2*('XA MU'!$C$26-(xm_y0P+(xm_nP-1)/2*xm_sP))/xm_sP,0)+IF('XA MU'!$D$26&gt;(xm_y0P+(xm_nP-1)/2*xm_sP),2*('XA MU'!$D$26-(xm_y0P+(xm_nP-1)/2*xm_sP))/xm_sP,0)),0),0)+IF('XA MU'!$B$27&lt;=4,'XA MU'!$E$27*$C$8*(MAX(0,1-ABS('XA MU'!$C$27-$D65)/xm_sP)+MAX(0,1-ABS('XA MU'!$D$27-$D65)/xm_sP)),0)+IF(ABS($D65-(xm_y0P+(xm_nP-1)/2*xm_sP))&lt;0.000001,IF('XA MU'!$B$27&lt;=4,'XA MU'!$E$27*$C$8*(IF('XA MU'!$C$27&gt;(xm_y0P+(xm_nP-1)/2*xm_sP),2*('XA MU'!$C$27-(xm_y0P+(xm_nP-1)/2*xm_sP))/xm_sP,0)+IF('XA MU'!$D$27&gt;(xm_y0P+(xm_nP-1)/2*xm_sP),2*('XA MU'!$D$27-(xm_y0P+(xm_nP-1)/2*xm_sP))/xm_sP,0)),0),0)+IF('XA MU'!$B$28&lt;=4,'XA MU'!$E$28*$C$8*(MAX(0,1-ABS('XA MU'!$C$28-$D65)/xm_sP)+MAX(0,1-ABS('XA MU'!$D$28-$D65)/xm_sP)),0)+IF(ABS($D65-(xm_y0P+(xm_nP-1)/2*xm_sP))&lt;0.000001,IF('XA MU'!$B$28&lt;=4,'XA MU'!$E$28*$C$8*(IF('XA MU'!$C$28&gt;(xm_y0P+(xm_nP-1)/2*xm_sP),2*('XA MU'!$C$28-(xm_y0P+(xm_nP-1)/2*xm_sP))/xm_sP,0)+IF('XA MU'!$D$28&gt;(xm_y0P+(xm_nP-1)/2*xm_sP),2*('XA MU'!$D$28-(xm_y0P+(xm_nP-1)/2*xm_sP))/xm_sP,0)),0),0)+IF('XA MU'!$B$29&lt;=4,'XA MU'!$E$29*$C$8*(MAX(0,1-ABS('XA MU'!$C$29-$D65)/xm_sP)+MAX(0,1-ABS('XA MU'!$D$29-$D65)/xm_sP)),0)+IF(ABS($D65-(xm_y0P+(xm_nP-1)/2*xm_sP))&lt;0.000001,IF('XA MU'!$B$29&lt;=4,'XA MU'!$E$29*$C$8*(IF('XA MU'!$C$29&gt;(xm_y0P+(xm_nP-1)/2*xm_sP),2*('XA MU'!$C$29-(xm_y0P+(xm_nP-1)/2*xm_sP))/xm_sP,0)+IF('XA MU'!$D$29&gt;(xm_y0P+(xm_nP-1)/2*xm_sP),2*('XA MU'!$D$29-(xm_y0P+(xm_nP-1)/2*xm_sP))/xm_sP,0)),0),0)+IF('XA MU'!$B$30&lt;=4,'XA MU'!$E$30*$C$8*(MAX(0,1-ABS('XA MU'!$C$30-$D65)/xm_sP)+MAX(0,1-ABS('XA MU'!$D$30-$D65)/xm_sP)),0)+IF(ABS($D65-(xm_y0P+(xm_nP-1)/2*xm_sP))&lt;0.000001,IF('XA MU'!$B$30&lt;=4,'XA MU'!$E$30*$C$8*(IF('XA MU'!$C$30&gt;(xm_y0P+(xm_nP-1)/2*xm_sP),2*('XA MU'!$C$30-(xm_y0P+(xm_nP-1)/2*xm_sP))/xm_sP,0)+IF('XA MU'!$D$30&gt;(xm_y0P+(xm_nP-1)/2*xm_sP),2*('XA MU'!$D$30-(xm_y0P+(xm_nP-1)/2*xm_sP))/xm_sP,0)),0),0))))</f>
        <v>0</v>
      </c>
      <c r="M65" s="44">
        <f>IF(C65=0,0,IF(5&gt;nLan,0,0.65*(IF('XA MU'!$B$25&lt;=5,'XA MU'!$E$25*$C$8*(MAX(0,1-ABS('XA MU'!$C$25-$D65)/xm_sP)+MAX(0,1-ABS('XA MU'!$D$25-$D65)/xm_sP)),0)+IF(ABS($D65-(xm_y0P+(xm_nP-1)/2*xm_sP))&lt;0.000001,IF('XA MU'!$B$25&lt;=5,'XA MU'!$E$25*$C$8*(IF('XA MU'!$C$25&gt;(xm_y0P+(xm_nP-1)/2*xm_sP),2*('XA MU'!$C$25-(xm_y0P+(xm_nP-1)/2*xm_sP))/xm_sP,0)+IF('XA MU'!$D$25&gt;(xm_y0P+(xm_nP-1)/2*xm_sP),2*('XA MU'!$D$25-(xm_y0P+(xm_nP-1)/2*xm_sP))/xm_sP,0)),0),0)+IF('XA MU'!$B$26&lt;=5,'XA MU'!$E$26*$C$8*(MAX(0,1-ABS('XA MU'!$C$26-$D65)/xm_sP)+MAX(0,1-ABS('XA MU'!$D$26-$D65)/xm_sP)),0)+IF(ABS($D65-(xm_y0P+(xm_nP-1)/2*xm_sP))&lt;0.000001,IF('XA MU'!$B$26&lt;=5,'XA MU'!$E$26*$C$8*(IF('XA MU'!$C$26&gt;(xm_y0P+(xm_nP-1)/2*xm_sP),2*('XA MU'!$C$26-(xm_y0P+(xm_nP-1)/2*xm_sP))/xm_sP,0)+IF('XA MU'!$D$26&gt;(xm_y0P+(xm_nP-1)/2*xm_sP),2*('XA MU'!$D$26-(xm_y0P+(xm_nP-1)/2*xm_sP))/xm_sP,0)),0),0)+IF('XA MU'!$B$27&lt;=5,'XA MU'!$E$27*$C$8*(MAX(0,1-ABS('XA MU'!$C$27-$D65)/xm_sP)+MAX(0,1-ABS('XA MU'!$D$27-$D65)/xm_sP)),0)+IF(ABS($D65-(xm_y0P+(xm_nP-1)/2*xm_sP))&lt;0.000001,IF('XA MU'!$B$27&lt;=5,'XA MU'!$E$27*$C$8*(IF('XA MU'!$C$27&gt;(xm_y0P+(xm_nP-1)/2*xm_sP),2*('XA MU'!$C$27-(xm_y0P+(xm_nP-1)/2*xm_sP))/xm_sP,0)+IF('XA MU'!$D$27&gt;(xm_y0P+(xm_nP-1)/2*xm_sP),2*('XA MU'!$D$27-(xm_y0P+(xm_nP-1)/2*xm_sP))/xm_sP,0)),0),0)+IF('XA MU'!$B$28&lt;=5,'XA MU'!$E$28*$C$8*(MAX(0,1-ABS('XA MU'!$C$28-$D65)/xm_sP)+MAX(0,1-ABS('XA MU'!$D$28-$D65)/xm_sP)),0)+IF(ABS($D65-(xm_y0P+(xm_nP-1)/2*xm_sP))&lt;0.000001,IF('XA MU'!$B$28&lt;=5,'XA MU'!$E$28*$C$8*(IF('XA MU'!$C$28&gt;(xm_y0P+(xm_nP-1)/2*xm_sP),2*('XA MU'!$C$28-(xm_y0P+(xm_nP-1)/2*xm_sP))/xm_sP,0)+IF('XA MU'!$D$28&gt;(xm_y0P+(xm_nP-1)/2*xm_sP),2*('XA MU'!$D$28-(xm_y0P+(xm_nP-1)/2*xm_sP))/xm_sP,0)),0),0)+IF('XA MU'!$B$29&lt;=5,'XA MU'!$E$29*$C$8*(MAX(0,1-ABS('XA MU'!$C$29-$D65)/xm_sP)+MAX(0,1-ABS('XA MU'!$D$29-$D65)/xm_sP)),0)+IF(ABS($D65-(xm_y0P+(xm_nP-1)/2*xm_sP))&lt;0.000001,IF('XA MU'!$B$29&lt;=5,'XA MU'!$E$29*$C$8*(IF('XA MU'!$C$29&gt;(xm_y0P+(xm_nP-1)/2*xm_sP),2*('XA MU'!$C$29-(xm_y0P+(xm_nP-1)/2*xm_sP))/xm_sP,0)+IF('XA MU'!$D$29&gt;(xm_y0P+(xm_nP-1)/2*xm_sP),2*('XA MU'!$D$29-(xm_y0P+(xm_nP-1)/2*xm_sP))/xm_sP,0)),0),0)+IF('XA MU'!$B$30&lt;=5,'XA MU'!$E$30*$C$8*(MAX(0,1-ABS('XA MU'!$C$30-$D65)/xm_sP)+MAX(0,1-ABS('XA MU'!$D$30-$D65)/xm_sP)),0)+IF(ABS($D65-(xm_y0P+(xm_nP-1)/2*xm_sP))&lt;0.000001,IF('XA MU'!$B$30&lt;=5,'XA MU'!$E$30*$C$8*(IF('XA MU'!$C$30&gt;(xm_y0P+(xm_nP-1)/2*xm_sP),2*('XA MU'!$C$30-(xm_y0P+(xm_nP-1)/2*xm_sP))/xm_sP,0)+IF('XA MU'!$D$30&gt;(xm_y0P+(xm_nP-1)/2*xm_sP),2*('XA MU'!$D$30-(xm_y0P+(xm_nP-1)/2*xm_sP))/xm_sP,0)),0),0))))</f>
        <v>0</v>
      </c>
      <c r="N65" s="44">
        <f>IF(C65=0,0,IF(6&gt;nLan,0,0.65*(IF('XA MU'!$B$25&lt;=6,'XA MU'!$E$25*$C$8*(MAX(0,1-ABS('XA MU'!$C$25-$D65)/xm_sP)+MAX(0,1-ABS('XA MU'!$D$25-$D65)/xm_sP)),0)+IF(ABS($D65-(xm_y0P+(xm_nP-1)/2*xm_sP))&lt;0.000001,IF('XA MU'!$B$25&lt;=6,'XA MU'!$E$25*$C$8*(IF('XA MU'!$C$25&gt;(xm_y0P+(xm_nP-1)/2*xm_sP),2*('XA MU'!$C$25-(xm_y0P+(xm_nP-1)/2*xm_sP))/xm_sP,0)+IF('XA MU'!$D$25&gt;(xm_y0P+(xm_nP-1)/2*xm_sP),2*('XA MU'!$D$25-(xm_y0P+(xm_nP-1)/2*xm_sP))/xm_sP,0)),0),0)+IF('XA MU'!$B$26&lt;=6,'XA MU'!$E$26*$C$8*(MAX(0,1-ABS('XA MU'!$C$26-$D65)/xm_sP)+MAX(0,1-ABS('XA MU'!$D$26-$D65)/xm_sP)),0)+IF(ABS($D65-(xm_y0P+(xm_nP-1)/2*xm_sP))&lt;0.000001,IF('XA MU'!$B$26&lt;=6,'XA MU'!$E$26*$C$8*(IF('XA MU'!$C$26&gt;(xm_y0P+(xm_nP-1)/2*xm_sP),2*('XA MU'!$C$26-(xm_y0P+(xm_nP-1)/2*xm_sP))/xm_sP,0)+IF('XA MU'!$D$26&gt;(xm_y0P+(xm_nP-1)/2*xm_sP),2*('XA MU'!$D$26-(xm_y0P+(xm_nP-1)/2*xm_sP))/xm_sP,0)),0),0)+IF('XA MU'!$B$27&lt;=6,'XA MU'!$E$27*$C$8*(MAX(0,1-ABS('XA MU'!$C$27-$D65)/xm_sP)+MAX(0,1-ABS('XA MU'!$D$27-$D65)/xm_sP)),0)+IF(ABS($D65-(xm_y0P+(xm_nP-1)/2*xm_sP))&lt;0.000001,IF('XA MU'!$B$27&lt;=6,'XA MU'!$E$27*$C$8*(IF('XA MU'!$C$27&gt;(xm_y0P+(xm_nP-1)/2*xm_sP),2*('XA MU'!$C$27-(xm_y0P+(xm_nP-1)/2*xm_sP))/xm_sP,0)+IF('XA MU'!$D$27&gt;(xm_y0P+(xm_nP-1)/2*xm_sP),2*('XA MU'!$D$27-(xm_y0P+(xm_nP-1)/2*xm_sP))/xm_sP,0)),0),0)+IF('XA MU'!$B$28&lt;=6,'XA MU'!$E$28*$C$8*(MAX(0,1-ABS('XA MU'!$C$28-$D65)/xm_sP)+MAX(0,1-ABS('XA MU'!$D$28-$D65)/xm_sP)),0)+IF(ABS($D65-(xm_y0P+(xm_nP-1)/2*xm_sP))&lt;0.000001,IF('XA MU'!$B$28&lt;=6,'XA MU'!$E$28*$C$8*(IF('XA MU'!$C$28&gt;(xm_y0P+(xm_nP-1)/2*xm_sP),2*('XA MU'!$C$28-(xm_y0P+(xm_nP-1)/2*xm_sP))/xm_sP,0)+IF('XA MU'!$D$28&gt;(xm_y0P+(xm_nP-1)/2*xm_sP),2*('XA MU'!$D$28-(xm_y0P+(xm_nP-1)/2*xm_sP))/xm_sP,0)),0),0)+IF('XA MU'!$B$29&lt;=6,'XA MU'!$E$29*$C$8*(MAX(0,1-ABS('XA MU'!$C$29-$D65)/xm_sP)+MAX(0,1-ABS('XA MU'!$D$29-$D65)/xm_sP)),0)+IF(ABS($D65-(xm_y0P+(xm_nP-1)/2*xm_sP))&lt;0.000001,IF('XA MU'!$B$29&lt;=6,'XA MU'!$E$29*$C$8*(IF('XA MU'!$C$29&gt;(xm_y0P+(xm_nP-1)/2*xm_sP),2*('XA MU'!$C$29-(xm_y0P+(xm_nP-1)/2*xm_sP))/xm_sP,0)+IF('XA MU'!$D$29&gt;(xm_y0P+(xm_nP-1)/2*xm_sP),2*('XA MU'!$D$29-(xm_y0P+(xm_nP-1)/2*xm_sP))/xm_sP,0)),0),0)+IF('XA MU'!$B$30&lt;=6,'XA MU'!$E$30*$C$8*(MAX(0,1-ABS('XA MU'!$C$30-$D65)/xm_sP)+MAX(0,1-ABS('XA MU'!$D$30-$D65)/xm_sP)),0)+IF(ABS($D65-(xm_y0P+(xm_nP-1)/2*xm_sP))&lt;0.000001,IF('XA MU'!$B$30&lt;=6,'XA MU'!$E$30*$C$8*(IF('XA MU'!$C$30&gt;(xm_y0P+(xm_nP-1)/2*xm_sP),2*('XA MU'!$C$30-(xm_y0P+(xm_nP-1)/2*xm_sP))/xm_sP,0)+IF('XA MU'!$D$30&gt;(xm_y0P+(xm_nP-1)/2*xm_sP),2*('XA MU'!$D$30-(xm_y0P+(xm_nP-1)/2*xm_sP))/xm_sP,0)),0),0))))</f>
        <v>0</v>
      </c>
    </row>
    <row r="66" spans="1:14" x14ac:dyDescent="0.3">
      <c r="A66" s="42" t="s">
        <v>1236</v>
      </c>
      <c r="B66" s="42">
        <v>12</v>
      </c>
      <c r="C66" s="40">
        <f t="shared" si="4"/>
        <v>0</v>
      </c>
      <c r="D66" s="44">
        <f t="shared" si="5"/>
        <v>0</v>
      </c>
      <c r="E66" s="44">
        <f>MAX(0,D66-'XA MU'!$C$8)*C66</f>
        <v>0</v>
      </c>
      <c r="F66" s="44">
        <f>IF(AND(C66=1,D66&gt;'XA MU'!$C$8),1,0)</f>
        <v>0</v>
      </c>
      <c r="G66" s="44">
        <f t="shared" si="6"/>
        <v>0</v>
      </c>
      <c r="H66" s="44">
        <f t="shared" si="7"/>
        <v>0</v>
      </c>
      <c r="I66" s="44">
        <f>IF(C66=0,0,IF(1&gt;nLan,0,1.2*(IF('XA MU'!$B$25&lt;=1,'XA MU'!$E$25*$C$8*(MAX(0,1-ABS('XA MU'!$C$25-$D66)/xm_sP)+MAX(0,1-ABS('XA MU'!$D$25-$D66)/xm_sP)),0)+IF(ABS($D66-(xm_y0P+(xm_nP-1)/2*xm_sP))&lt;0.000001,IF('XA MU'!$B$25&lt;=1,'XA MU'!$E$25*$C$8*(IF('XA MU'!$C$25&gt;(xm_y0P+(xm_nP-1)/2*xm_sP),2*('XA MU'!$C$25-(xm_y0P+(xm_nP-1)/2*xm_sP))/xm_sP,0)+IF('XA MU'!$D$25&gt;(xm_y0P+(xm_nP-1)/2*xm_sP),2*('XA MU'!$D$25-(xm_y0P+(xm_nP-1)/2*xm_sP))/xm_sP,0)),0),0)+IF('XA MU'!$B$26&lt;=1,'XA MU'!$E$26*$C$8*(MAX(0,1-ABS('XA MU'!$C$26-$D66)/xm_sP)+MAX(0,1-ABS('XA MU'!$D$26-$D66)/xm_sP)),0)+IF(ABS($D66-(xm_y0P+(xm_nP-1)/2*xm_sP))&lt;0.000001,IF('XA MU'!$B$26&lt;=1,'XA MU'!$E$26*$C$8*(IF('XA MU'!$C$26&gt;(xm_y0P+(xm_nP-1)/2*xm_sP),2*('XA MU'!$C$26-(xm_y0P+(xm_nP-1)/2*xm_sP))/xm_sP,0)+IF('XA MU'!$D$26&gt;(xm_y0P+(xm_nP-1)/2*xm_sP),2*('XA MU'!$D$26-(xm_y0P+(xm_nP-1)/2*xm_sP))/xm_sP,0)),0),0)+IF('XA MU'!$B$27&lt;=1,'XA MU'!$E$27*$C$8*(MAX(0,1-ABS('XA MU'!$C$27-$D66)/xm_sP)+MAX(0,1-ABS('XA MU'!$D$27-$D66)/xm_sP)),0)+IF(ABS($D66-(xm_y0P+(xm_nP-1)/2*xm_sP))&lt;0.000001,IF('XA MU'!$B$27&lt;=1,'XA MU'!$E$27*$C$8*(IF('XA MU'!$C$27&gt;(xm_y0P+(xm_nP-1)/2*xm_sP),2*('XA MU'!$C$27-(xm_y0P+(xm_nP-1)/2*xm_sP))/xm_sP,0)+IF('XA MU'!$D$27&gt;(xm_y0P+(xm_nP-1)/2*xm_sP),2*('XA MU'!$D$27-(xm_y0P+(xm_nP-1)/2*xm_sP))/xm_sP,0)),0),0)+IF('XA MU'!$B$28&lt;=1,'XA MU'!$E$28*$C$8*(MAX(0,1-ABS('XA MU'!$C$28-$D66)/xm_sP)+MAX(0,1-ABS('XA MU'!$D$28-$D66)/xm_sP)),0)+IF(ABS($D66-(xm_y0P+(xm_nP-1)/2*xm_sP))&lt;0.000001,IF('XA MU'!$B$28&lt;=1,'XA MU'!$E$28*$C$8*(IF('XA MU'!$C$28&gt;(xm_y0P+(xm_nP-1)/2*xm_sP),2*('XA MU'!$C$28-(xm_y0P+(xm_nP-1)/2*xm_sP))/xm_sP,0)+IF('XA MU'!$D$28&gt;(xm_y0P+(xm_nP-1)/2*xm_sP),2*('XA MU'!$D$28-(xm_y0P+(xm_nP-1)/2*xm_sP))/xm_sP,0)),0),0)+IF('XA MU'!$B$29&lt;=1,'XA MU'!$E$29*$C$8*(MAX(0,1-ABS('XA MU'!$C$29-$D66)/xm_sP)+MAX(0,1-ABS('XA MU'!$D$29-$D66)/xm_sP)),0)+IF(ABS($D66-(xm_y0P+(xm_nP-1)/2*xm_sP))&lt;0.000001,IF('XA MU'!$B$29&lt;=1,'XA MU'!$E$29*$C$8*(IF('XA MU'!$C$29&gt;(xm_y0P+(xm_nP-1)/2*xm_sP),2*('XA MU'!$C$29-(xm_y0P+(xm_nP-1)/2*xm_sP))/xm_sP,0)+IF('XA MU'!$D$29&gt;(xm_y0P+(xm_nP-1)/2*xm_sP),2*('XA MU'!$D$29-(xm_y0P+(xm_nP-1)/2*xm_sP))/xm_sP,0)),0),0)+IF('XA MU'!$B$30&lt;=1,'XA MU'!$E$30*$C$8*(MAX(0,1-ABS('XA MU'!$C$30-$D66)/xm_sP)+MAX(0,1-ABS('XA MU'!$D$30-$D66)/xm_sP)),0)+IF(ABS($D66-(xm_y0P+(xm_nP-1)/2*xm_sP))&lt;0.000001,IF('XA MU'!$B$30&lt;=1,'XA MU'!$E$30*$C$8*(IF('XA MU'!$C$30&gt;(xm_y0P+(xm_nP-1)/2*xm_sP),2*('XA MU'!$C$30-(xm_y0P+(xm_nP-1)/2*xm_sP))/xm_sP,0)+IF('XA MU'!$D$30&gt;(xm_y0P+(xm_nP-1)/2*xm_sP),2*('XA MU'!$D$30-(xm_y0P+(xm_nP-1)/2*xm_sP))/xm_sP,0)),0),0))))</f>
        <v>0</v>
      </c>
      <c r="J66" s="44">
        <f>IF(C66=0,0,IF(2&gt;nLan,0,1*(IF('XA MU'!$B$25&lt;=2,'XA MU'!$E$25*$C$8*(MAX(0,1-ABS('XA MU'!$C$25-$D66)/xm_sP)+MAX(0,1-ABS('XA MU'!$D$25-$D66)/xm_sP)),0)+IF(ABS($D66-(xm_y0P+(xm_nP-1)/2*xm_sP))&lt;0.000001,IF('XA MU'!$B$25&lt;=2,'XA MU'!$E$25*$C$8*(IF('XA MU'!$C$25&gt;(xm_y0P+(xm_nP-1)/2*xm_sP),2*('XA MU'!$C$25-(xm_y0P+(xm_nP-1)/2*xm_sP))/xm_sP,0)+IF('XA MU'!$D$25&gt;(xm_y0P+(xm_nP-1)/2*xm_sP),2*('XA MU'!$D$25-(xm_y0P+(xm_nP-1)/2*xm_sP))/xm_sP,0)),0),0)+IF('XA MU'!$B$26&lt;=2,'XA MU'!$E$26*$C$8*(MAX(0,1-ABS('XA MU'!$C$26-$D66)/xm_sP)+MAX(0,1-ABS('XA MU'!$D$26-$D66)/xm_sP)),0)+IF(ABS($D66-(xm_y0P+(xm_nP-1)/2*xm_sP))&lt;0.000001,IF('XA MU'!$B$26&lt;=2,'XA MU'!$E$26*$C$8*(IF('XA MU'!$C$26&gt;(xm_y0P+(xm_nP-1)/2*xm_sP),2*('XA MU'!$C$26-(xm_y0P+(xm_nP-1)/2*xm_sP))/xm_sP,0)+IF('XA MU'!$D$26&gt;(xm_y0P+(xm_nP-1)/2*xm_sP),2*('XA MU'!$D$26-(xm_y0P+(xm_nP-1)/2*xm_sP))/xm_sP,0)),0),0)+IF('XA MU'!$B$27&lt;=2,'XA MU'!$E$27*$C$8*(MAX(0,1-ABS('XA MU'!$C$27-$D66)/xm_sP)+MAX(0,1-ABS('XA MU'!$D$27-$D66)/xm_sP)),0)+IF(ABS($D66-(xm_y0P+(xm_nP-1)/2*xm_sP))&lt;0.000001,IF('XA MU'!$B$27&lt;=2,'XA MU'!$E$27*$C$8*(IF('XA MU'!$C$27&gt;(xm_y0P+(xm_nP-1)/2*xm_sP),2*('XA MU'!$C$27-(xm_y0P+(xm_nP-1)/2*xm_sP))/xm_sP,0)+IF('XA MU'!$D$27&gt;(xm_y0P+(xm_nP-1)/2*xm_sP),2*('XA MU'!$D$27-(xm_y0P+(xm_nP-1)/2*xm_sP))/xm_sP,0)),0),0)+IF('XA MU'!$B$28&lt;=2,'XA MU'!$E$28*$C$8*(MAX(0,1-ABS('XA MU'!$C$28-$D66)/xm_sP)+MAX(0,1-ABS('XA MU'!$D$28-$D66)/xm_sP)),0)+IF(ABS($D66-(xm_y0P+(xm_nP-1)/2*xm_sP))&lt;0.000001,IF('XA MU'!$B$28&lt;=2,'XA MU'!$E$28*$C$8*(IF('XA MU'!$C$28&gt;(xm_y0P+(xm_nP-1)/2*xm_sP),2*('XA MU'!$C$28-(xm_y0P+(xm_nP-1)/2*xm_sP))/xm_sP,0)+IF('XA MU'!$D$28&gt;(xm_y0P+(xm_nP-1)/2*xm_sP),2*('XA MU'!$D$28-(xm_y0P+(xm_nP-1)/2*xm_sP))/xm_sP,0)),0),0)+IF('XA MU'!$B$29&lt;=2,'XA MU'!$E$29*$C$8*(MAX(0,1-ABS('XA MU'!$C$29-$D66)/xm_sP)+MAX(0,1-ABS('XA MU'!$D$29-$D66)/xm_sP)),0)+IF(ABS($D66-(xm_y0P+(xm_nP-1)/2*xm_sP))&lt;0.000001,IF('XA MU'!$B$29&lt;=2,'XA MU'!$E$29*$C$8*(IF('XA MU'!$C$29&gt;(xm_y0P+(xm_nP-1)/2*xm_sP),2*('XA MU'!$C$29-(xm_y0P+(xm_nP-1)/2*xm_sP))/xm_sP,0)+IF('XA MU'!$D$29&gt;(xm_y0P+(xm_nP-1)/2*xm_sP),2*('XA MU'!$D$29-(xm_y0P+(xm_nP-1)/2*xm_sP))/xm_sP,0)),0),0)+IF('XA MU'!$B$30&lt;=2,'XA MU'!$E$30*$C$8*(MAX(0,1-ABS('XA MU'!$C$30-$D66)/xm_sP)+MAX(0,1-ABS('XA MU'!$D$30-$D66)/xm_sP)),0)+IF(ABS($D66-(xm_y0P+(xm_nP-1)/2*xm_sP))&lt;0.000001,IF('XA MU'!$B$30&lt;=2,'XA MU'!$E$30*$C$8*(IF('XA MU'!$C$30&gt;(xm_y0P+(xm_nP-1)/2*xm_sP),2*('XA MU'!$C$30-(xm_y0P+(xm_nP-1)/2*xm_sP))/xm_sP,0)+IF('XA MU'!$D$30&gt;(xm_y0P+(xm_nP-1)/2*xm_sP),2*('XA MU'!$D$30-(xm_y0P+(xm_nP-1)/2*xm_sP))/xm_sP,0)),0),0))))</f>
        <v>0</v>
      </c>
      <c r="K66" s="44">
        <f>IF(C66=0,0,IF(3&gt;nLan,0,0.85*(IF('XA MU'!$B$25&lt;=3,'XA MU'!$E$25*$C$8*(MAX(0,1-ABS('XA MU'!$C$25-$D66)/xm_sP)+MAX(0,1-ABS('XA MU'!$D$25-$D66)/xm_sP)),0)+IF(ABS($D66-(xm_y0P+(xm_nP-1)/2*xm_sP))&lt;0.000001,IF('XA MU'!$B$25&lt;=3,'XA MU'!$E$25*$C$8*(IF('XA MU'!$C$25&gt;(xm_y0P+(xm_nP-1)/2*xm_sP),2*('XA MU'!$C$25-(xm_y0P+(xm_nP-1)/2*xm_sP))/xm_sP,0)+IF('XA MU'!$D$25&gt;(xm_y0P+(xm_nP-1)/2*xm_sP),2*('XA MU'!$D$25-(xm_y0P+(xm_nP-1)/2*xm_sP))/xm_sP,0)),0),0)+IF('XA MU'!$B$26&lt;=3,'XA MU'!$E$26*$C$8*(MAX(0,1-ABS('XA MU'!$C$26-$D66)/xm_sP)+MAX(0,1-ABS('XA MU'!$D$26-$D66)/xm_sP)),0)+IF(ABS($D66-(xm_y0P+(xm_nP-1)/2*xm_sP))&lt;0.000001,IF('XA MU'!$B$26&lt;=3,'XA MU'!$E$26*$C$8*(IF('XA MU'!$C$26&gt;(xm_y0P+(xm_nP-1)/2*xm_sP),2*('XA MU'!$C$26-(xm_y0P+(xm_nP-1)/2*xm_sP))/xm_sP,0)+IF('XA MU'!$D$26&gt;(xm_y0P+(xm_nP-1)/2*xm_sP),2*('XA MU'!$D$26-(xm_y0P+(xm_nP-1)/2*xm_sP))/xm_sP,0)),0),0)+IF('XA MU'!$B$27&lt;=3,'XA MU'!$E$27*$C$8*(MAX(0,1-ABS('XA MU'!$C$27-$D66)/xm_sP)+MAX(0,1-ABS('XA MU'!$D$27-$D66)/xm_sP)),0)+IF(ABS($D66-(xm_y0P+(xm_nP-1)/2*xm_sP))&lt;0.000001,IF('XA MU'!$B$27&lt;=3,'XA MU'!$E$27*$C$8*(IF('XA MU'!$C$27&gt;(xm_y0P+(xm_nP-1)/2*xm_sP),2*('XA MU'!$C$27-(xm_y0P+(xm_nP-1)/2*xm_sP))/xm_sP,0)+IF('XA MU'!$D$27&gt;(xm_y0P+(xm_nP-1)/2*xm_sP),2*('XA MU'!$D$27-(xm_y0P+(xm_nP-1)/2*xm_sP))/xm_sP,0)),0),0)+IF('XA MU'!$B$28&lt;=3,'XA MU'!$E$28*$C$8*(MAX(0,1-ABS('XA MU'!$C$28-$D66)/xm_sP)+MAX(0,1-ABS('XA MU'!$D$28-$D66)/xm_sP)),0)+IF(ABS($D66-(xm_y0P+(xm_nP-1)/2*xm_sP))&lt;0.000001,IF('XA MU'!$B$28&lt;=3,'XA MU'!$E$28*$C$8*(IF('XA MU'!$C$28&gt;(xm_y0P+(xm_nP-1)/2*xm_sP),2*('XA MU'!$C$28-(xm_y0P+(xm_nP-1)/2*xm_sP))/xm_sP,0)+IF('XA MU'!$D$28&gt;(xm_y0P+(xm_nP-1)/2*xm_sP),2*('XA MU'!$D$28-(xm_y0P+(xm_nP-1)/2*xm_sP))/xm_sP,0)),0),0)+IF('XA MU'!$B$29&lt;=3,'XA MU'!$E$29*$C$8*(MAX(0,1-ABS('XA MU'!$C$29-$D66)/xm_sP)+MAX(0,1-ABS('XA MU'!$D$29-$D66)/xm_sP)),0)+IF(ABS($D66-(xm_y0P+(xm_nP-1)/2*xm_sP))&lt;0.000001,IF('XA MU'!$B$29&lt;=3,'XA MU'!$E$29*$C$8*(IF('XA MU'!$C$29&gt;(xm_y0P+(xm_nP-1)/2*xm_sP),2*('XA MU'!$C$29-(xm_y0P+(xm_nP-1)/2*xm_sP))/xm_sP,0)+IF('XA MU'!$D$29&gt;(xm_y0P+(xm_nP-1)/2*xm_sP),2*('XA MU'!$D$29-(xm_y0P+(xm_nP-1)/2*xm_sP))/xm_sP,0)),0),0)+IF('XA MU'!$B$30&lt;=3,'XA MU'!$E$30*$C$8*(MAX(0,1-ABS('XA MU'!$C$30-$D66)/xm_sP)+MAX(0,1-ABS('XA MU'!$D$30-$D66)/xm_sP)),0)+IF(ABS($D66-(xm_y0P+(xm_nP-1)/2*xm_sP))&lt;0.000001,IF('XA MU'!$B$30&lt;=3,'XA MU'!$E$30*$C$8*(IF('XA MU'!$C$30&gt;(xm_y0P+(xm_nP-1)/2*xm_sP),2*('XA MU'!$C$30-(xm_y0P+(xm_nP-1)/2*xm_sP))/xm_sP,0)+IF('XA MU'!$D$30&gt;(xm_y0P+(xm_nP-1)/2*xm_sP),2*('XA MU'!$D$30-(xm_y0P+(xm_nP-1)/2*xm_sP))/xm_sP,0)),0),0))))</f>
        <v>0</v>
      </c>
      <c r="L66" s="44">
        <f>IF(C66=0,0,IF(4&gt;nLan,0,0.65*(IF('XA MU'!$B$25&lt;=4,'XA MU'!$E$25*$C$8*(MAX(0,1-ABS('XA MU'!$C$25-$D66)/xm_sP)+MAX(0,1-ABS('XA MU'!$D$25-$D66)/xm_sP)),0)+IF(ABS($D66-(xm_y0P+(xm_nP-1)/2*xm_sP))&lt;0.000001,IF('XA MU'!$B$25&lt;=4,'XA MU'!$E$25*$C$8*(IF('XA MU'!$C$25&gt;(xm_y0P+(xm_nP-1)/2*xm_sP),2*('XA MU'!$C$25-(xm_y0P+(xm_nP-1)/2*xm_sP))/xm_sP,0)+IF('XA MU'!$D$25&gt;(xm_y0P+(xm_nP-1)/2*xm_sP),2*('XA MU'!$D$25-(xm_y0P+(xm_nP-1)/2*xm_sP))/xm_sP,0)),0),0)+IF('XA MU'!$B$26&lt;=4,'XA MU'!$E$26*$C$8*(MAX(0,1-ABS('XA MU'!$C$26-$D66)/xm_sP)+MAX(0,1-ABS('XA MU'!$D$26-$D66)/xm_sP)),0)+IF(ABS($D66-(xm_y0P+(xm_nP-1)/2*xm_sP))&lt;0.000001,IF('XA MU'!$B$26&lt;=4,'XA MU'!$E$26*$C$8*(IF('XA MU'!$C$26&gt;(xm_y0P+(xm_nP-1)/2*xm_sP),2*('XA MU'!$C$26-(xm_y0P+(xm_nP-1)/2*xm_sP))/xm_sP,0)+IF('XA MU'!$D$26&gt;(xm_y0P+(xm_nP-1)/2*xm_sP),2*('XA MU'!$D$26-(xm_y0P+(xm_nP-1)/2*xm_sP))/xm_sP,0)),0),0)+IF('XA MU'!$B$27&lt;=4,'XA MU'!$E$27*$C$8*(MAX(0,1-ABS('XA MU'!$C$27-$D66)/xm_sP)+MAX(0,1-ABS('XA MU'!$D$27-$D66)/xm_sP)),0)+IF(ABS($D66-(xm_y0P+(xm_nP-1)/2*xm_sP))&lt;0.000001,IF('XA MU'!$B$27&lt;=4,'XA MU'!$E$27*$C$8*(IF('XA MU'!$C$27&gt;(xm_y0P+(xm_nP-1)/2*xm_sP),2*('XA MU'!$C$27-(xm_y0P+(xm_nP-1)/2*xm_sP))/xm_sP,0)+IF('XA MU'!$D$27&gt;(xm_y0P+(xm_nP-1)/2*xm_sP),2*('XA MU'!$D$27-(xm_y0P+(xm_nP-1)/2*xm_sP))/xm_sP,0)),0),0)+IF('XA MU'!$B$28&lt;=4,'XA MU'!$E$28*$C$8*(MAX(0,1-ABS('XA MU'!$C$28-$D66)/xm_sP)+MAX(0,1-ABS('XA MU'!$D$28-$D66)/xm_sP)),0)+IF(ABS($D66-(xm_y0P+(xm_nP-1)/2*xm_sP))&lt;0.000001,IF('XA MU'!$B$28&lt;=4,'XA MU'!$E$28*$C$8*(IF('XA MU'!$C$28&gt;(xm_y0P+(xm_nP-1)/2*xm_sP),2*('XA MU'!$C$28-(xm_y0P+(xm_nP-1)/2*xm_sP))/xm_sP,0)+IF('XA MU'!$D$28&gt;(xm_y0P+(xm_nP-1)/2*xm_sP),2*('XA MU'!$D$28-(xm_y0P+(xm_nP-1)/2*xm_sP))/xm_sP,0)),0),0)+IF('XA MU'!$B$29&lt;=4,'XA MU'!$E$29*$C$8*(MAX(0,1-ABS('XA MU'!$C$29-$D66)/xm_sP)+MAX(0,1-ABS('XA MU'!$D$29-$D66)/xm_sP)),0)+IF(ABS($D66-(xm_y0P+(xm_nP-1)/2*xm_sP))&lt;0.000001,IF('XA MU'!$B$29&lt;=4,'XA MU'!$E$29*$C$8*(IF('XA MU'!$C$29&gt;(xm_y0P+(xm_nP-1)/2*xm_sP),2*('XA MU'!$C$29-(xm_y0P+(xm_nP-1)/2*xm_sP))/xm_sP,0)+IF('XA MU'!$D$29&gt;(xm_y0P+(xm_nP-1)/2*xm_sP),2*('XA MU'!$D$29-(xm_y0P+(xm_nP-1)/2*xm_sP))/xm_sP,0)),0),0)+IF('XA MU'!$B$30&lt;=4,'XA MU'!$E$30*$C$8*(MAX(0,1-ABS('XA MU'!$C$30-$D66)/xm_sP)+MAX(0,1-ABS('XA MU'!$D$30-$D66)/xm_sP)),0)+IF(ABS($D66-(xm_y0P+(xm_nP-1)/2*xm_sP))&lt;0.000001,IF('XA MU'!$B$30&lt;=4,'XA MU'!$E$30*$C$8*(IF('XA MU'!$C$30&gt;(xm_y0P+(xm_nP-1)/2*xm_sP),2*('XA MU'!$C$30-(xm_y0P+(xm_nP-1)/2*xm_sP))/xm_sP,0)+IF('XA MU'!$D$30&gt;(xm_y0P+(xm_nP-1)/2*xm_sP),2*('XA MU'!$D$30-(xm_y0P+(xm_nP-1)/2*xm_sP))/xm_sP,0)),0),0))))</f>
        <v>0</v>
      </c>
      <c r="M66" s="44">
        <f>IF(C66=0,0,IF(5&gt;nLan,0,0.65*(IF('XA MU'!$B$25&lt;=5,'XA MU'!$E$25*$C$8*(MAX(0,1-ABS('XA MU'!$C$25-$D66)/xm_sP)+MAX(0,1-ABS('XA MU'!$D$25-$D66)/xm_sP)),0)+IF(ABS($D66-(xm_y0P+(xm_nP-1)/2*xm_sP))&lt;0.000001,IF('XA MU'!$B$25&lt;=5,'XA MU'!$E$25*$C$8*(IF('XA MU'!$C$25&gt;(xm_y0P+(xm_nP-1)/2*xm_sP),2*('XA MU'!$C$25-(xm_y0P+(xm_nP-1)/2*xm_sP))/xm_sP,0)+IF('XA MU'!$D$25&gt;(xm_y0P+(xm_nP-1)/2*xm_sP),2*('XA MU'!$D$25-(xm_y0P+(xm_nP-1)/2*xm_sP))/xm_sP,0)),0),0)+IF('XA MU'!$B$26&lt;=5,'XA MU'!$E$26*$C$8*(MAX(0,1-ABS('XA MU'!$C$26-$D66)/xm_sP)+MAX(0,1-ABS('XA MU'!$D$26-$D66)/xm_sP)),0)+IF(ABS($D66-(xm_y0P+(xm_nP-1)/2*xm_sP))&lt;0.000001,IF('XA MU'!$B$26&lt;=5,'XA MU'!$E$26*$C$8*(IF('XA MU'!$C$26&gt;(xm_y0P+(xm_nP-1)/2*xm_sP),2*('XA MU'!$C$26-(xm_y0P+(xm_nP-1)/2*xm_sP))/xm_sP,0)+IF('XA MU'!$D$26&gt;(xm_y0P+(xm_nP-1)/2*xm_sP),2*('XA MU'!$D$26-(xm_y0P+(xm_nP-1)/2*xm_sP))/xm_sP,0)),0),0)+IF('XA MU'!$B$27&lt;=5,'XA MU'!$E$27*$C$8*(MAX(0,1-ABS('XA MU'!$C$27-$D66)/xm_sP)+MAX(0,1-ABS('XA MU'!$D$27-$D66)/xm_sP)),0)+IF(ABS($D66-(xm_y0P+(xm_nP-1)/2*xm_sP))&lt;0.000001,IF('XA MU'!$B$27&lt;=5,'XA MU'!$E$27*$C$8*(IF('XA MU'!$C$27&gt;(xm_y0P+(xm_nP-1)/2*xm_sP),2*('XA MU'!$C$27-(xm_y0P+(xm_nP-1)/2*xm_sP))/xm_sP,0)+IF('XA MU'!$D$27&gt;(xm_y0P+(xm_nP-1)/2*xm_sP),2*('XA MU'!$D$27-(xm_y0P+(xm_nP-1)/2*xm_sP))/xm_sP,0)),0),0)+IF('XA MU'!$B$28&lt;=5,'XA MU'!$E$28*$C$8*(MAX(0,1-ABS('XA MU'!$C$28-$D66)/xm_sP)+MAX(0,1-ABS('XA MU'!$D$28-$D66)/xm_sP)),0)+IF(ABS($D66-(xm_y0P+(xm_nP-1)/2*xm_sP))&lt;0.000001,IF('XA MU'!$B$28&lt;=5,'XA MU'!$E$28*$C$8*(IF('XA MU'!$C$28&gt;(xm_y0P+(xm_nP-1)/2*xm_sP),2*('XA MU'!$C$28-(xm_y0P+(xm_nP-1)/2*xm_sP))/xm_sP,0)+IF('XA MU'!$D$28&gt;(xm_y0P+(xm_nP-1)/2*xm_sP),2*('XA MU'!$D$28-(xm_y0P+(xm_nP-1)/2*xm_sP))/xm_sP,0)),0),0)+IF('XA MU'!$B$29&lt;=5,'XA MU'!$E$29*$C$8*(MAX(0,1-ABS('XA MU'!$C$29-$D66)/xm_sP)+MAX(0,1-ABS('XA MU'!$D$29-$D66)/xm_sP)),0)+IF(ABS($D66-(xm_y0P+(xm_nP-1)/2*xm_sP))&lt;0.000001,IF('XA MU'!$B$29&lt;=5,'XA MU'!$E$29*$C$8*(IF('XA MU'!$C$29&gt;(xm_y0P+(xm_nP-1)/2*xm_sP),2*('XA MU'!$C$29-(xm_y0P+(xm_nP-1)/2*xm_sP))/xm_sP,0)+IF('XA MU'!$D$29&gt;(xm_y0P+(xm_nP-1)/2*xm_sP),2*('XA MU'!$D$29-(xm_y0P+(xm_nP-1)/2*xm_sP))/xm_sP,0)),0),0)+IF('XA MU'!$B$30&lt;=5,'XA MU'!$E$30*$C$8*(MAX(0,1-ABS('XA MU'!$C$30-$D66)/xm_sP)+MAX(0,1-ABS('XA MU'!$D$30-$D66)/xm_sP)),0)+IF(ABS($D66-(xm_y0P+(xm_nP-1)/2*xm_sP))&lt;0.000001,IF('XA MU'!$B$30&lt;=5,'XA MU'!$E$30*$C$8*(IF('XA MU'!$C$30&gt;(xm_y0P+(xm_nP-1)/2*xm_sP),2*('XA MU'!$C$30-(xm_y0P+(xm_nP-1)/2*xm_sP))/xm_sP,0)+IF('XA MU'!$D$30&gt;(xm_y0P+(xm_nP-1)/2*xm_sP),2*('XA MU'!$D$30-(xm_y0P+(xm_nP-1)/2*xm_sP))/xm_sP,0)),0),0))))</f>
        <v>0</v>
      </c>
      <c r="N66" s="44">
        <f>IF(C66=0,0,IF(6&gt;nLan,0,0.65*(IF('XA MU'!$B$25&lt;=6,'XA MU'!$E$25*$C$8*(MAX(0,1-ABS('XA MU'!$C$25-$D66)/xm_sP)+MAX(0,1-ABS('XA MU'!$D$25-$D66)/xm_sP)),0)+IF(ABS($D66-(xm_y0P+(xm_nP-1)/2*xm_sP))&lt;0.000001,IF('XA MU'!$B$25&lt;=6,'XA MU'!$E$25*$C$8*(IF('XA MU'!$C$25&gt;(xm_y0P+(xm_nP-1)/2*xm_sP),2*('XA MU'!$C$25-(xm_y0P+(xm_nP-1)/2*xm_sP))/xm_sP,0)+IF('XA MU'!$D$25&gt;(xm_y0P+(xm_nP-1)/2*xm_sP),2*('XA MU'!$D$25-(xm_y0P+(xm_nP-1)/2*xm_sP))/xm_sP,0)),0),0)+IF('XA MU'!$B$26&lt;=6,'XA MU'!$E$26*$C$8*(MAX(0,1-ABS('XA MU'!$C$26-$D66)/xm_sP)+MAX(0,1-ABS('XA MU'!$D$26-$D66)/xm_sP)),0)+IF(ABS($D66-(xm_y0P+(xm_nP-1)/2*xm_sP))&lt;0.000001,IF('XA MU'!$B$26&lt;=6,'XA MU'!$E$26*$C$8*(IF('XA MU'!$C$26&gt;(xm_y0P+(xm_nP-1)/2*xm_sP),2*('XA MU'!$C$26-(xm_y0P+(xm_nP-1)/2*xm_sP))/xm_sP,0)+IF('XA MU'!$D$26&gt;(xm_y0P+(xm_nP-1)/2*xm_sP),2*('XA MU'!$D$26-(xm_y0P+(xm_nP-1)/2*xm_sP))/xm_sP,0)),0),0)+IF('XA MU'!$B$27&lt;=6,'XA MU'!$E$27*$C$8*(MAX(0,1-ABS('XA MU'!$C$27-$D66)/xm_sP)+MAX(0,1-ABS('XA MU'!$D$27-$D66)/xm_sP)),0)+IF(ABS($D66-(xm_y0P+(xm_nP-1)/2*xm_sP))&lt;0.000001,IF('XA MU'!$B$27&lt;=6,'XA MU'!$E$27*$C$8*(IF('XA MU'!$C$27&gt;(xm_y0P+(xm_nP-1)/2*xm_sP),2*('XA MU'!$C$27-(xm_y0P+(xm_nP-1)/2*xm_sP))/xm_sP,0)+IF('XA MU'!$D$27&gt;(xm_y0P+(xm_nP-1)/2*xm_sP),2*('XA MU'!$D$27-(xm_y0P+(xm_nP-1)/2*xm_sP))/xm_sP,0)),0),0)+IF('XA MU'!$B$28&lt;=6,'XA MU'!$E$28*$C$8*(MAX(0,1-ABS('XA MU'!$C$28-$D66)/xm_sP)+MAX(0,1-ABS('XA MU'!$D$28-$D66)/xm_sP)),0)+IF(ABS($D66-(xm_y0P+(xm_nP-1)/2*xm_sP))&lt;0.000001,IF('XA MU'!$B$28&lt;=6,'XA MU'!$E$28*$C$8*(IF('XA MU'!$C$28&gt;(xm_y0P+(xm_nP-1)/2*xm_sP),2*('XA MU'!$C$28-(xm_y0P+(xm_nP-1)/2*xm_sP))/xm_sP,0)+IF('XA MU'!$D$28&gt;(xm_y0P+(xm_nP-1)/2*xm_sP),2*('XA MU'!$D$28-(xm_y0P+(xm_nP-1)/2*xm_sP))/xm_sP,0)),0),0)+IF('XA MU'!$B$29&lt;=6,'XA MU'!$E$29*$C$8*(MAX(0,1-ABS('XA MU'!$C$29-$D66)/xm_sP)+MAX(0,1-ABS('XA MU'!$D$29-$D66)/xm_sP)),0)+IF(ABS($D66-(xm_y0P+(xm_nP-1)/2*xm_sP))&lt;0.000001,IF('XA MU'!$B$29&lt;=6,'XA MU'!$E$29*$C$8*(IF('XA MU'!$C$29&gt;(xm_y0P+(xm_nP-1)/2*xm_sP),2*('XA MU'!$C$29-(xm_y0P+(xm_nP-1)/2*xm_sP))/xm_sP,0)+IF('XA MU'!$D$29&gt;(xm_y0P+(xm_nP-1)/2*xm_sP),2*('XA MU'!$D$29-(xm_y0P+(xm_nP-1)/2*xm_sP))/xm_sP,0)),0),0)+IF('XA MU'!$B$30&lt;=6,'XA MU'!$E$30*$C$8*(MAX(0,1-ABS('XA MU'!$C$30-$D66)/xm_sP)+MAX(0,1-ABS('XA MU'!$D$30-$D66)/xm_sP)),0)+IF(ABS($D66-(xm_y0P+(xm_nP-1)/2*xm_sP))&lt;0.000001,IF('XA MU'!$B$30&lt;=6,'XA MU'!$E$30*$C$8*(IF('XA MU'!$C$30&gt;(xm_y0P+(xm_nP-1)/2*xm_sP),2*('XA MU'!$C$30-(xm_y0P+(xm_nP-1)/2*xm_sP))/xm_sP,0)+IF('XA MU'!$D$30&gt;(xm_y0P+(xm_nP-1)/2*xm_sP),2*('XA MU'!$D$30-(xm_y0P+(xm_nP-1)/2*xm_sP))/xm_sP,0)),0),0))))</f>
        <v>0</v>
      </c>
    </row>
    <row r="67" spans="1:14" x14ac:dyDescent="0.3">
      <c r="A67" s="42" t="s">
        <v>1236</v>
      </c>
      <c r="B67" s="42">
        <v>13</v>
      </c>
      <c r="C67" s="40">
        <f t="shared" si="4"/>
        <v>0</v>
      </c>
      <c r="D67" s="44">
        <f t="shared" si="5"/>
        <v>0</v>
      </c>
      <c r="E67" s="44">
        <f>MAX(0,D67-'XA MU'!$C$8)*C67</f>
        <v>0</v>
      </c>
      <c r="F67" s="44">
        <f>IF(AND(C67=1,D67&gt;'XA MU'!$C$8),1,0)</f>
        <v>0</v>
      </c>
      <c r="G67" s="44">
        <f t="shared" si="6"/>
        <v>0</v>
      </c>
      <c r="H67" s="44">
        <f t="shared" si="7"/>
        <v>0</v>
      </c>
      <c r="I67" s="44">
        <f>IF(C67=0,0,IF(1&gt;nLan,0,1.2*(IF('XA MU'!$B$25&lt;=1,'XA MU'!$E$25*$C$8*(MAX(0,1-ABS('XA MU'!$C$25-$D67)/xm_sP)+MAX(0,1-ABS('XA MU'!$D$25-$D67)/xm_sP)),0)+IF(ABS($D67-(xm_y0P+(xm_nP-1)/2*xm_sP))&lt;0.000001,IF('XA MU'!$B$25&lt;=1,'XA MU'!$E$25*$C$8*(IF('XA MU'!$C$25&gt;(xm_y0P+(xm_nP-1)/2*xm_sP),2*('XA MU'!$C$25-(xm_y0P+(xm_nP-1)/2*xm_sP))/xm_sP,0)+IF('XA MU'!$D$25&gt;(xm_y0P+(xm_nP-1)/2*xm_sP),2*('XA MU'!$D$25-(xm_y0P+(xm_nP-1)/2*xm_sP))/xm_sP,0)),0),0)+IF('XA MU'!$B$26&lt;=1,'XA MU'!$E$26*$C$8*(MAX(0,1-ABS('XA MU'!$C$26-$D67)/xm_sP)+MAX(0,1-ABS('XA MU'!$D$26-$D67)/xm_sP)),0)+IF(ABS($D67-(xm_y0P+(xm_nP-1)/2*xm_sP))&lt;0.000001,IF('XA MU'!$B$26&lt;=1,'XA MU'!$E$26*$C$8*(IF('XA MU'!$C$26&gt;(xm_y0P+(xm_nP-1)/2*xm_sP),2*('XA MU'!$C$26-(xm_y0P+(xm_nP-1)/2*xm_sP))/xm_sP,0)+IF('XA MU'!$D$26&gt;(xm_y0P+(xm_nP-1)/2*xm_sP),2*('XA MU'!$D$26-(xm_y0P+(xm_nP-1)/2*xm_sP))/xm_sP,0)),0),0)+IF('XA MU'!$B$27&lt;=1,'XA MU'!$E$27*$C$8*(MAX(0,1-ABS('XA MU'!$C$27-$D67)/xm_sP)+MAX(0,1-ABS('XA MU'!$D$27-$D67)/xm_sP)),0)+IF(ABS($D67-(xm_y0P+(xm_nP-1)/2*xm_sP))&lt;0.000001,IF('XA MU'!$B$27&lt;=1,'XA MU'!$E$27*$C$8*(IF('XA MU'!$C$27&gt;(xm_y0P+(xm_nP-1)/2*xm_sP),2*('XA MU'!$C$27-(xm_y0P+(xm_nP-1)/2*xm_sP))/xm_sP,0)+IF('XA MU'!$D$27&gt;(xm_y0P+(xm_nP-1)/2*xm_sP),2*('XA MU'!$D$27-(xm_y0P+(xm_nP-1)/2*xm_sP))/xm_sP,0)),0),0)+IF('XA MU'!$B$28&lt;=1,'XA MU'!$E$28*$C$8*(MAX(0,1-ABS('XA MU'!$C$28-$D67)/xm_sP)+MAX(0,1-ABS('XA MU'!$D$28-$D67)/xm_sP)),0)+IF(ABS($D67-(xm_y0P+(xm_nP-1)/2*xm_sP))&lt;0.000001,IF('XA MU'!$B$28&lt;=1,'XA MU'!$E$28*$C$8*(IF('XA MU'!$C$28&gt;(xm_y0P+(xm_nP-1)/2*xm_sP),2*('XA MU'!$C$28-(xm_y0P+(xm_nP-1)/2*xm_sP))/xm_sP,0)+IF('XA MU'!$D$28&gt;(xm_y0P+(xm_nP-1)/2*xm_sP),2*('XA MU'!$D$28-(xm_y0P+(xm_nP-1)/2*xm_sP))/xm_sP,0)),0),0)+IF('XA MU'!$B$29&lt;=1,'XA MU'!$E$29*$C$8*(MAX(0,1-ABS('XA MU'!$C$29-$D67)/xm_sP)+MAX(0,1-ABS('XA MU'!$D$29-$D67)/xm_sP)),0)+IF(ABS($D67-(xm_y0P+(xm_nP-1)/2*xm_sP))&lt;0.000001,IF('XA MU'!$B$29&lt;=1,'XA MU'!$E$29*$C$8*(IF('XA MU'!$C$29&gt;(xm_y0P+(xm_nP-1)/2*xm_sP),2*('XA MU'!$C$29-(xm_y0P+(xm_nP-1)/2*xm_sP))/xm_sP,0)+IF('XA MU'!$D$29&gt;(xm_y0P+(xm_nP-1)/2*xm_sP),2*('XA MU'!$D$29-(xm_y0P+(xm_nP-1)/2*xm_sP))/xm_sP,0)),0),0)+IF('XA MU'!$B$30&lt;=1,'XA MU'!$E$30*$C$8*(MAX(0,1-ABS('XA MU'!$C$30-$D67)/xm_sP)+MAX(0,1-ABS('XA MU'!$D$30-$D67)/xm_sP)),0)+IF(ABS($D67-(xm_y0P+(xm_nP-1)/2*xm_sP))&lt;0.000001,IF('XA MU'!$B$30&lt;=1,'XA MU'!$E$30*$C$8*(IF('XA MU'!$C$30&gt;(xm_y0P+(xm_nP-1)/2*xm_sP),2*('XA MU'!$C$30-(xm_y0P+(xm_nP-1)/2*xm_sP))/xm_sP,0)+IF('XA MU'!$D$30&gt;(xm_y0P+(xm_nP-1)/2*xm_sP),2*('XA MU'!$D$30-(xm_y0P+(xm_nP-1)/2*xm_sP))/xm_sP,0)),0),0))))</f>
        <v>0</v>
      </c>
      <c r="J67" s="44">
        <f>IF(C67=0,0,IF(2&gt;nLan,0,1*(IF('XA MU'!$B$25&lt;=2,'XA MU'!$E$25*$C$8*(MAX(0,1-ABS('XA MU'!$C$25-$D67)/xm_sP)+MAX(0,1-ABS('XA MU'!$D$25-$D67)/xm_sP)),0)+IF(ABS($D67-(xm_y0P+(xm_nP-1)/2*xm_sP))&lt;0.000001,IF('XA MU'!$B$25&lt;=2,'XA MU'!$E$25*$C$8*(IF('XA MU'!$C$25&gt;(xm_y0P+(xm_nP-1)/2*xm_sP),2*('XA MU'!$C$25-(xm_y0P+(xm_nP-1)/2*xm_sP))/xm_sP,0)+IF('XA MU'!$D$25&gt;(xm_y0P+(xm_nP-1)/2*xm_sP),2*('XA MU'!$D$25-(xm_y0P+(xm_nP-1)/2*xm_sP))/xm_sP,0)),0),0)+IF('XA MU'!$B$26&lt;=2,'XA MU'!$E$26*$C$8*(MAX(0,1-ABS('XA MU'!$C$26-$D67)/xm_sP)+MAX(0,1-ABS('XA MU'!$D$26-$D67)/xm_sP)),0)+IF(ABS($D67-(xm_y0P+(xm_nP-1)/2*xm_sP))&lt;0.000001,IF('XA MU'!$B$26&lt;=2,'XA MU'!$E$26*$C$8*(IF('XA MU'!$C$26&gt;(xm_y0P+(xm_nP-1)/2*xm_sP),2*('XA MU'!$C$26-(xm_y0P+(xm_nP-1)/2*xm_sP))/xm_sP,0)+IF('XA MU'!$D$26&gt;(xm_y0P+(xm_nP-1)/2*xm_sP),2*('XA MU'!$D$26-(xm_y0P+(xm_nP-1)/2*xm_sP))/xm_sP,0)),0),0)+IF('XA MU'!$B$27&lt;=2,'XA MU'!$E$27*$C$8*(MAX(0,1-ABS('XA MU'!$C$27-$D67)/xm_sP)+MAX(0,1-ABS('XA MU'!$D$27-$D67)/xm_sP)),0)+IF(ABS($D67-(xm_y0P+(xm_nP-1)/2*xm_sP))&lt;0.000001,IF('XA MU'!$B$27&lt;=2,'XA MU'!$E$27*$C$8*(IF('XA MU'!$C$27&gt;(xm_y0P+(xm_nP-1)/2*xm_sP),2*('XA MU'!$C$27-(xm_y0P+(xm_nP-1)/2*xm_sP))/xm_sP,0)+IF('XA MU'!$D$27&gt;(xm_y0P+(xm_nP-1)/2*xm_sP),2*('XA MU'!$D$27-(xm_y0P+(xm_nP-1)/2*xm_sP))/xm_sP,0)),0),0)+IF('XA MU'!$B$28&lt;=2,'XA MU'!$E$28*$C$8*(MAX(0,1-ABS('XA MU'!$C$28-$D67)/xm_sP)+MAX(0,1-ABS('XA MU'!$D$28-$D67)/xm_sP)),0)+IF(ABS($D67-(xm_y0P+(xm_nP-1)/2*xm_sP))&lt;0.000001,IF('XA MU'!$B$28&lt;=2,'XA MU'!$E$28*$C$8*(IF('XA MU'!$C$28&gt;(xm_y0P+(xm_nP-1)/2*xm_sP),2*('XA MU'!$C$28-(xm_y0P+(xm_nP-1)/2*xm_sP))/xm_sP,0)+IF('XA MU'!$D$28&gt;(xm_y0P+(xm_nP-1)/2*xm_sP),2*('XA MU'!$D$28-(xm_y0P+(xm_nP-1)/2*xm_sP))/xm_sP,0)),0),0)+IF('XA MU'!$B$29&lt;=2,'XA MU'!$E$29*$C$8*(MAX(0,1-ABS('XA MU'!$C$29-$D67)/xm_sP)+MAX(0,1-ABS('XA MU'!$D$29-$D67)/xm_sP)),0)+IF(ABS($D67-(xm_y0P+(xm_nP-1)/2*xm_sP))&lt;0.000001,IF('XA MU'!$B$29&lt;=2,'XA MU'!$E$29*$C$8*(IF('XA MU'!$C$29&gt;(xm_y0P+(xm_nP-1)/2*xm_sP),2*('XA MU'!$C$29-(xm_y0P+(xm_nP-1)/2*xm_sP))/xm_sP,0)+IF('XA MU'!$D$29&gt;(xm_y0P+(xm_nP-1)/2*xm_sP),2*('XA MU'!$D$29-(xm_y0P+(xm_nP-1)/2*xm_sP))/xm_sP,0)),0),0)+IF('XA MU'!$B$30&lt;=2,'XA MU'!$E$30*$C$8*(MAX(0,1-ABS('XA MU'!$C$30-$D67)/xm_sP)+MAX(0,1-ABS('XA MU'!$D$30-$D67)/xm_sP)),0)+IF(ABS($D67-(xm_y0P+(xm_nP-1)/2*xm_sP))&lt;0.000001,IF('XA MU'!$B$30&lt;=2,'XA MU'!$E$30*$C$8*(IF('XA MU'!$C$30&gt;(xm_y0P+(xm_nP-1)/2*xm_sP),2*('XA MU'!$C$30-(xm_y0P+(xm_nP-1)/2*xm_sP))/xm_sP,0)+IF('XA MU'!$D$30&gt;(xm_y0P+(xm_nP-1)/2*xm_sP),2*('XA MU'!$D$30-(xm_y0P+(xm_nP-1)/2*xm_sP))/xm_sP,0)),0),0))))</f>
        <v>0</v>
      </c>
      <c r="K67" s="44">
        <f>IF(C67=0,0,IF(3&gt;nLan,0,0.85*(IF('XA MU'!$B$25&lt;=3,'XA MU'!$E$25*$C$8*(MAX(0,1-ABS('XA MU'!$C$25-$D67)/xm_sP)+MAX(0,1-ABS('XA MU'!$D$25-$D67)/xm_sP)),0)+IF(ABS($D67-(xm_y0P+(xm_nP-1)/2*xm_sP))&lt;0.000001,IF('XA MU'!$B$25&lt;=3,'XA MU'!$E$25*$C$8*(IF('XA MU'!$C$25&gt;(xm_y0P+(xm_nP-1)/2*xm_sP),2*('XA MU'!$C$25-(xm_y0P+(xm_nP-1)/2*xm_sP))/xm_sP,0)+IF('XA MU'!$D$25&gt;(xm_y0P+(xm_nP-1)/2*xm_sP),2*('XA MU'!$D$25-(xm_y0P+(xm_nP-1)/2*xm_sP))/xm_sP,0)),0),0)+IF('XA MU'!$B$26&lt;=3,'XA MU'!$E$26*$C$8*(MAX(0,1-ABS('XA MU'!$C$26-$D67)/xm_sP)+MAX(0,1-ABS('XA MU'!$D$26-$D67)/xm_sP)),0)+IF(ABS($D67-(xm_y0P+(xm_nP-1)/2*xm_sP))&lt;0.000001,IF('XA MU'!$B$26&lt;=3,'XA MU'!$E$26*$C$8*(IF('XA MU'!$C$26&gt;(xm_y0P+(xm_nP-1)/2*xm_sP),2*('XA MU'!$C$26-(xm_y0P+(xm_nP-1)/2*xm_sP))/xm_sP,0)+IF('XA MU'!$D$26&gt;(xm_y0P+(xm_nP-1)/2*xm_sP),2*('XA MU'!$D$26-(xm_y0P+(xm_nP-1)/2*xm_sP))/xm_sP,0)),0),0)+IF('XA MU'!$B$27&lt;=3,'XA MU'!$E$27*$C$8*(MAX(0,1-ABS('XA MU'!$C$27-$D67)/xm_sP)+MAX(0,1-ABS('XA MU'!$D$27-$D67)/xm_sP)),0)+IF(ABS($D67-(xm_y0P+(xm_nP-1)/2*xm_sP))&lt;0.000001,IF('XA MU'!$B$27&lt;=3,'XA MU'!$E$27*$C$8*(IF('XA MU'!$C$27&gt;(xm_y0P+(xm_nP-1)/2*xm_sP),2*('XA MU'!$C$27-(xm_y0P+(xm_nP-1)/2*xm_sP))/xm_sP,0)+IF('XA MU'!$D$27&gt;(xm_y0P+(xm_nP-1)/2*xm_sP),2*('XA MU'!$D$27-(xm_y0P+(xm_nP-1)/2*xm_sP))/xm_sP,0)),0),0)+IF('XA MU'!$B$28&lt;=3,'XA MU'!$E$28*$C$8*(MAX(0,1-ABS('XA MU'!$C$28-$D67)/xm_sP)+MAX(0,1-ABS('XA MU'!$D$28-$D67)/xm_sP)),0)+IF(ABS($D67-(xm_y0P+(xm_nP-1)/2*xm_sP))&lt;0.000001,IF('XA MU'!$B$28&lt;=3,'XA MU'!$E$28*$C$8*(IF('XA MU'!$C$28&gt;(xm_y0P+(xm_nP-1)/2*xm_sP),2*('XA MU'!$C$28-(xm_y0P+(xm_nP-1)/2*xm_sP))/xm_sP,0)+IF('XA MU'!$D$28&gt;(xm_y0P+(xm_nP-1)/2*xm_sP),2*('XA MU'!$D$28-(xm_y0P+(xm_nP-1)/2*xm_sP))/xm_sP,0)),0),0)+IF('XA MU'!$B$29&lt;=3,'XA MU'!$E$29*$C$8*(MAX(0,1-ABS('XA MU'!$C$29-$D67)/xm_sP)+MAX(0,1-ABS('XA MU'!$D$29-$D67)/xm_sP)),0)+IF(ABS($D67-(xm_y0P+(xm_nP-1)/2*xm_sP))&lt;0.000001,IF('XA MU'!$B$29&lt;=3,'XA MU'!$E$29*$C$8*(IF('XA MU'!$C$29&gt;(xm_y0P+(xm_nP-1)/2*xm_sP),2*('XA MU'!$C$29-(xm_y0P+(xm_nP-1)/2*xm_sP))/xm_sP,0)+IF('XA MU'!$D$29&gt;(xm_y0P+(xm_nP-1)/2*xm_sP),2*('XA MU'!$D$29-(xm_y0P+(xm_nP-1)/2*xm_sP))/xm_sP,0)),0),0)+IF('XA MU'!$B$30&lt;=3,'XA MU'!$E$30*$C$8*(MAX(0,1-ABS('XA MU'!$C$30-$D67)/xm_sP)+MAX(0,1-ABS('XA MU'!$D$30-$D67)/xm_sP)),0)+IF(ABS($D67-(xm_y0P+(xm_nP-1)/2*xm_sP))&lt;0.000001,IF('XA MU'!$B$30&lt;=3,'XA MU'!$E$30*$C$8*(IF('XA MU'!$C$30&gt;(xm_y0P+(xm_nP-1)/2*xm_sP),2*('XA MU'!$C$30-(xm_y0P+(xm_nP-1)/2*xm_sP))/xm_sP,0)+IF('XA MU'!$D$30&gt;(xm_y0P+(xm_nP-1)/2*xm_sP),2*('XA MU'!$D$30-(xm_y0P+(xm_nP-1)/2*xm_sP))/xm_sP,0)),0),0))))</f>
        <v>0</v>
      </c>
      <c r="L67" s="44">
        <f>IF(C67=0,0,IF(4&gt;nLan,0,0.65*(IF('XA MU'!$B$25&lt;=4,'XA MU'!$E$25*$C$8*(MAX(0,1-ABS('XA MU'!$C$25-$D67)/xm_sP)+MAX(0,1-ABS('XA MU'!$D$25-$D67)/xm_sP)),0)+IF(ABS($D67-(xm_y0P+(xm_nP-1)/2*xm_sP))&lt;0.000001,IF('XA MU'!$B$25&lt;=4,'XA MU'!$E$25*$C$8*(IF('XA MU'!$C$25&gt;(xm_y0P+(xm_nP-1)/2*xm_sP),2*('XA MU'!$C$25-(xm_y0P+(xm_nP-1)/2*xm_sP))/xm_sP,0)+IF('XA MU'!$D$25&gt;(xm_y0P+(xm_nP-1)/2*xm_sP),2*('XA MU'!$D$25-(xm_y0P+(xm_nP-1)/2*xm_sP))/xm_sP,0)),0),0)+IF('XA MU'!$B$26&lt;=4,'XA MU'!$E$26*$C$8*(MAX(0,1-ABS('XA MU'!$C$26-$D67)/xm_sP)+MAX(0,1-ABS('XA MU'!$D$26-$D67)/xm_sP)),0)+IF(ABS($D67-(xm_y0P+(xm_nP-1)/2*xm_sP))&lt;0.000001,IF('XA MU'!$B$26&lt;=4,'XA MU'!$E$26*$C$8*(IF('XA MU'!$C$26&gt;(xm_y0P+(xm_nP-1)/2*xm_sP),2*('XA MU'!$C$26-(xm_y0P+(xm_nP-1)/2*xm_sP))/xm_sP,0)+IF('XA MU'!$D$26&gt;(xm_y0P+(xm_nP-1)/2*xm_sP),2*('XA MU'!$D$26-(xm_y0P+(xm_nP-1)/2*xm_sP))/xm_sP,0)),0),0)+IF('XA MU'!$B$27&lt;=4,'XA MU'!$E$27*$C$8*(MAX(0,1-ABS('XA MU'!$C$27-$D67)/xm_sP)+MAX(0,1-ABS('XA MU'!$D$27-$D67)/xm_sP)),0)+IF(ABS($D67-(xm_y0P+(xm_nP-1)/2*xm_sP))&lt;0.000001,IF('XA MU'!$B$27&lt;=4,'XA MU'!$E$27*$C$8*(IF('XA MU'!$C$27&gt;(xm_y0P+(xm_nP-1)/2*xm_sP),2*('XA MU'!$C$27-(xm_y0P+(xm_nP-1)/2*xm_sP))/xm_sP,0)+IF('XA MU'!$D$27&gt;(xm_y0P+(xm_nP-1)/2*xm_sP),2*('XA MU'!$D$27-(xm_y0P+(xm_nP-1)/2*xm_sP))/xm_sP,0)),0),0)+IF('XA MU'!$B$28&lt;=4,'XA MU'!$E$28*$C$8*(MAX(0,1-ABS('XA MU'!$C$28-$D67)/xm_sP)+MAX(0,1-ABS('XA MU'!$D$28-$D67)/xm_sP)),0)+IF(ABS($D67-(xm_y0P+(xm_nP-1)/2*xm_sP))&lt;0.000001,IF('XA MU'!$B$28&lt;=4,'XA MU'!$E$28*$C$8*(IF('XA MU'!$C$28&gt;(xm_y0P+(xm_nP-1)/2*xm_sP),2*('XA MU'!$C$28-(xm_y0P+(xm_nP-1)/2*xm_sP))/xm_sP,0)+IF('XA MU'!$D$28&gt;(xm_y0P+(xm_nP-1)/2*xm_sP),2*('XA MU'!$D$28-(xm_y0P+(xm_nP-1)/2*xm_sP))/xm_sP,0)),0),0)+IF('XA MU'!$B$29&lt;=4,'XA MU'!$E$29*$C$8*(MAX(0,1-ABS('XA MU'!$C$29-$D67)/xm_sP)+MAX(0,1-ABS('XA MU'!$D$29-$D67)/xm_sP)),0)+IF(ABS($D67-(xm_y0P+(xm_nP-1)/2*xm_sP))&lt;0.000001,IF('XA MU'!$B$29&lt;=4,'XA MU'!$E$29*$C$8*(IF('XA MU'!$C$29&gt;(xm_y0P+(xm_nP-1)/2*xm_sP),2*('XA MU'!$C$29-(xm_y0P+(xm_nP-1)/2*xm_sP))/xm_sP,0)+IF('XA MU'!$D$29&gt;(xm_y0P+(xm_nP-1)/2*xm_sP),2*('XA MU'!$D$29-(xm_y0P+(xm_nP-1)/2*xm_sP))/xm_sP,0)),0),0)+IF('XA MU'!$B$30&lt;=4,'XA MU'!$E$30*$C$8*(MAX(0,1-ABS('XA MU'!$C$30-$D67)/xm_sP)+MAX(0,1-ABS('XA MU'!$D$30-$D67)/xm_sP)),0)+IF(ABS($D67-(xm_y0P+(xm_nP-1)/2*xm_sP))&lt;0.000001,IF('XA MU'!$B$30&lt;=4,'XA MU'!$E$30*$C$8*(IF('XA MU'!$C$30&gt;(xm_y0P+(xm_nP-1)/2*xm_sP),2*('XA MU'!$C$30-(xm_y0P+(xm_nP-1)/2*xm_sP))/xm_sP,0)+IF('XA MU'!$D$30&gt;(xm_y0P+(xm_nP-1)/2*xm_sP),2*('XA MU'!$D$30-(xm_y0P+(xm_nP-1)/2*xm_sP))/xm_sP,0)),0),0))))</f>
        <v>0</v>
      </c>
      <c r="M67" s="44">
        <f>IF(C67=0,0,IF(5&gt;nLan,0,0.65*(IF('XA MU'!$B$25&lt;=5,'XA MU'!$E$25*$C$8*(MAX(0,1-ABS('XA MU'!$C$25-$D67)/xm_sP)+MAX(0,1-ABS('XA MU'!$D$25-$D67)/xm_sP)),0)+IF(ABS($D67-(xm_y0P+(xm_nP-1)/2*xm_sP))&lt;0.000001,IF('XA MU'!$B$25&lt;=5,'XA MU'!$E$25*$C$8*(IF('XA MU'!$C$25&gt;(xm_y0P+(xm_nP-1)/2*xm_sP),2*('XA MU'!$C$25-(xm_y0P+(xm_nP-1)/2*xm_sP))/xm_sP,0)+IF('XA MU'!$D$25&gt;(xm_y0P+(xm_nP-1)/2*xm_sP),2*('XA MU'!$D$25-(xm_y0P+(xm_nP-1)/2*xm_sP))/xm_sP,0)),0),0)+IF('XA MU'!$B$26&lt;=5,'XA MU'!$E$26*$C$8*(MAX(0,1-ABS('XA MU'!$C$26-$D67)/xm_sP)+MAX(0,1-ABS('XA MU'!$D$26-$D67)/xm_sP)),0)+IF(ABS($D67-(xm_y0P+(xm_nP-1)/2*xm_sP))&lt;0.000001,IF('XA MU'!$B$26&lt;=5,'XA MU'!$E$26*$C$8*(IF('XA MU'!$C$26&gt;(xm_y0P+(xm_nP-1)/2*xm_sP),2*('XA MU'!$C$26-(xm_y0P+(xm_nP-1)/2*xm_sP))/xm_sP,0)+IF('XA MU'!$D$26&gt;(xm_y0P+(xm_nP-1)/2*xm_sP),2*('XA MU'!$D$26-(xm_y0P+(xm_nP-1)/2*xm_sP))/xm_sP,0)),0),0)+IF('XA MU'!$B$27&lt;=5,'XA MU'!$E$27*$C$8*(MAX(0,1-ABS('XA MU'!$C$27-$D67)/xm_sP)+MAX(0,1-ABS('XA MU'!$D$27-$D67)/xm_sP)),0)+IF(ABS($D67-(xm_y0P+(xm_nP-1)/2*xm_sP))&lt;0.000001,IF('XA MU'!$B$27&lt;=5,'XA MU'!$E$27*$C$8*(IF('XA MU'!$C$27&gt;(xm_y0P+(xm_nP-1)/2*xm_sP),2*('XA MU'!$C$27-(xm_y0P+(xm_nP-1)/2*xm_sP))/xm_sP,0)+IF('XA MU'!$D$27&gt;(xm_y0P+(xm_nP-1)/2*xm_sP),2*('XA MU'!$D$27-(xm_y0P+(xm_nP-1)/2*xm_sP))/xm_sP,0)),0),0)+IF('XA MU'!$B$28&lt;=5,'XA MU'!$E$28*$C$8*(MAX(0,1-ABS('XA MU'!$C$28-$D67)/xm_sP)+MAX(0,1-ABS('XA MU'!$D$28-$D67)/xm_sP)),0)+IF(ABS($D67-(xm_y0P+(xm_nP-1)/2*xm_sP))&lt;0.000001,IF('XA MU'!$B$28&lt;=5,'XA MU'!$E$28*$C$8*(IF('XA MU'!$C$28&gt;(xm_y0P+(xm_nP-1)/2*xm_sP),2*('XA MU'!$C$28-(xm_y0P+(xm_nP-1)/2*xm_sP))/xm_sP,0)+IF('XA MU'!$D$28&gt;(xm_y0P+(xm_nP-1)/2*xm_sP),2*('XA MU'!$D$28-(xm_y0P+(xm_nP-1)/2*xm_sP))/xm_sP,0)),0),0)+IF('XA MU'!$B$29&lt;=5,'XA MU'!$E$29*$C$8*(MAX(0,1-ABS('XA MU'!$C$29-$D67)/xm_sP)+MAX(0,1-ABS('XA MU'!$D$29-$D67)/xm_sP)),0)+IF(ABS($D67-(xm_y0P+(xm_nP-1)/2*xm_sP))&lt;0.000001,IF('XA MU'!$B$29&lt;=5,'XA MU'!$E$29*$C$8*(IF('XA MU'!$C$29&gt;(xm_y0P+(xm_nP-1)/2*xm_sP),2*('XA MU'!$C$29-(xm_y0P+(xm_nP-1)/2*xm_sP))/xm_sP,0)+IF('XA MU'!$D$29&gt;(xm_y0P+(xm_nP-1)/2*xm_sP),2*('XA MU'!$D$29-(xm_y0P+(xm_nP-1)/2*xm_sP))/xm_sP,0)),0),0)+IF('XA MU'!$B$30&lt;=5,'XA MU'!$E$30*$C$8*(MAX(0,1-ABS('XA MU'!$C$30-$D67)/xm_sP)+MAX(0,1-ABS('XA MU'!$D$30-$D67)/xm_sP)),0)+IF(ABS($D67-(xm_y0P+(xm_nP-1)/2*xm_sP))&lt;0.000001,IF('XA MU'!$B$30&lt;=5,'XA MU'!$E$30*$C$8*(IF('XA MU'!$C$30&gt;(xm_y0P+(xm_nP-1)/2*xm_sP),2*('XA MU'!$C$30-(xm_y0P+(xm_nP-1)/2*xm_sP))/xm_sP,0)+IF('XA MU'!$D$30&gt;(xm_y0P+(xm_nP-1)/2*xm_sP),2*('XA MU'!$D$30-(xm_y0P+(xm_nP-1)/2*xm_sP))/xm_sP,0)),0),0))))</f>
        <v>0</v>
      </c>
      <c r="N67" s="44">
        <f>IF(C67=0,0,IF(6&gt;nLan,0,0.65*(IF('XA MU'!$B$25&lt;=6,'XA MU'!$E$25*$C$8*(MAX(0,1-ABS('XA MU'!$C$25-$D67)/xm_sP)+MAX(0,1-ABS('XA MU'!$D$25-$D67)/xm_sP)),0)+IF(ABS($D67-(xm_y0P+(xm_nP-1)/2*xm_sP))&lt;0.000001,IF('XA MU'!$B$25&lt;=6,'XA MU'!$E$25*$C$8*(IF('XA MU'!$C$25&gt;(xm_y0P+(xm_nP-1)/2*xm_sP),2*('XA MU'!$C$25-(xm_y0P+(xm_nP-1)/2*xm_sP))/xm_sP,0)+IF('XA MU'!$D$25&gt;(xm_y0P+(xm_nP-1)/2*xm_sP),2*('XA MU'!$D$25-(xm_y0P+(xm_nP-1)/2*xm_sP))/xm_sP,0)),0),0)+IF('XA MU'!$B$26&lt;=6,'XA MU'!$E$26*$C$8*(MAX(0,1-ABS('XA MU'!$C$26-$D67)/xm_sP)+MAX(0,1-ABS('XA MU'!$D$26-$D67)/xm_sP)),0)+IF(ABS($D67-(xm_y0P+(xm_nP-1)/2*xm_sP))&lt;0.000001,IF('XA MU'!$B$26&lt;=6,'XA MU'!$E$26*$C$8*(IF('XA MU'!$C$26&gt;(xm_y0P+(xm_nP-1)/2*xm_sP),2*('XA MU'!$C$26-(xm_y0P+(xm_nP-1)/2*xm_sP))/xm_sP,0)+IF('XA MU'!$D$26&gt;(xm_y0P+(xm_nP-1)/2*xm_sP),2*('XA MU'!$D$26-(xm_y0P+(xm_nP-1)/2*xm_sP))/xm_sP,0)),0),0)+IF('XA MU'!$B$27&lt;=6,'XA MU'!$E$27*$C$8*(MAX(0,1-ABS('XA MU'!$C$27-$D67)/xm_sP)+MAX(0,1-ABS('XA MU'!$D$27-$D67)/xm_sP)),0)+IF(ABS($D67-(xm_y0P+(xm_nP-1)/2*xm_sP))&lt;0.000001,IF('XA MU'!$B$27&lt;=6,'XA MU'!$E$27*$C$8*(IF('XA MU'!$C$27&gt;(xm_y0P+(xm_nP-1)/2*xm_sP),2*('XA MU'!$C$27-(xm_y0P+(xm_nP-1)/2*xm_sP))/xm_sP,0)+IF('XA MU'!$D$27&gt;(xm_y0P+(xm_nP-1)/2*xm_sP),2*('XA MU'!$D$27-(xm_y0P+(xm_nP-1)/2*xm_sP))/xm_sP,0)),0),0)+IF('XA MU'!$B$28&lt;=6,'XA MU'!$E$28*$C$8*(MAX(0,1-ABS('XA MU'!$C$28-$D67)/xm_sP)+MAX(0,1-ABS('XA MU'!$D$28-$D67)/xm_sP)),0)+IF(ABS($D67-(xm_y0P+(xm_nP-1)/2*xm_sP))&lt;0.000001,IF('XA MU'!$B$28&lt;=6,'XA MU'!$E$28*$C$8*(IF('XA MU'!$C$28&gt;(xm_y0P+(xm_nP-1)/2*xm_sP),2*('XA MU'!$C$28-(xm_y0P+(xm_nP-1)/2*xm_sP))/xm_sP,0)+IF('XA MU'!$D$28&gt;(xm_y0P+(xm_nP-1)/2*xm_sP),2*('XA MU'!$D$28-(xm_y0P+(xm_nP-1)/2*xm_sP))/xm_sP,0)),0),0)+IF('XA MU'!$B$29&lt;=6,'XA MU'!$E$29*$C$8*(MAX(0,1-ABS('XA MU'!$C$29-$D67)/xm_sP)+MAX(0,1-ABS('XA MU'!$D$29-$D67)/xm_sP)),0)+IF(ABS($D67-(xm_y0P+(xm_nP-1)/2*xm_sP))&lt;0.000001,IF('XA MU'!$B$29&lt;=6,'XA MU'!$E$29*$C$8*(IF('XA MU'!$C$29&gt;(xm_y0P+(xm_nP-1)/2*xm_sP),2*('XA MU'!$C$29-(xm_y0P+(xm_nP-1)/2*xm_sP))/xm_sP,0)+IF('XA MU'!$D$29&gt;(xm_y0P+(xm_nP-1)/2*xm_sP),2*('XA MU'!$D$29-(xm_y0P+(xm_nP-1)/2*xm_sP))/xm_sP,0)),0),0)+IF('XA MU'!$B$30&lt;=6,'XA MU'!$E$30*$C$8*(MAX(0,1-ABS('XA MU'!$C$30-$D67)/xm_sP)+MAX(0,1-ABS('XA MU'!$D$30-$D67)/xm_sP)),0)+IF(ABS($D67-(xm_y0P+(xm_nP-1)/2*xm_sP))&lt;0.000001,IF('XA MU'!$B$30&lt;=6,'XA MU'!$E$30*$C$8*(IF('XA MU'!$C$30&gt;(xm_y0P+(xm_nP-1)/2*xm_sP),2*('XA MU'!$C$30-(xm_y0P+(xm_nP-1)/2*xm_sP))/xm_sP,0)+IF('XA MU'!$D$30&gt;(xm_y0P+(xm_nP-1)/2*xm_sP),2*('XA MU'!$D$30-(xm_y0P+(xm_nP-1)/2*xm_sP))/xm_sP,0)),0),0))))</f>
        <v>0</v>
      </c>
    </row>
    <row r="68" spans="1:14" x14ac:dyDescent="0.3">
      <c r="A68" s="42" t="s">
        <v>1236</v>
      </c>
      <c r="B68" s="42">
        <v>14</v>
      </c>
      <c r="C68" s="40">
        <f t="shared" si="4"/>
        <v>0</v>
      </c>
      <c r="D68" s="44">
        <f t="shared" si="5"/>
        <v>0</v>
      </c>
      <c r="E68" s="44">
        <f>MAX(0,D68-'XA MU'!$C$8)*C68</f>
        <v>0</v>
      </c>
      <c r="F68" s="44">
        <f>IF(AND(C68=1,D68&gt;'XA MU'!$C$8),1,0)</f>
        <v>0</v>
      </c>
      <c r="G68" s="44">
        <f t="shared" si="6"/>
        <v>0</v>
      </c>
      <c r="H68" s="44">
        <f t="shared" si="7"/>
        <v>0</v>
      </c>
      <c r="I68" s="44">
        <f>IF(C68=0,0,IF(1&gt;nLan,0,1.2*(IF('XA MU'!$B$25&lt;=1,'XA MU'!$E$25*$C$8*(MAX(0,1-ABS('XA MU'!$C$25-$D68)/xm_sP)+MAX(0,1-ABS('XA MU'!$D$25-$D68)/xm_sP)),0)+IF(ABS($D68-(xm_y0P+(xm_nP-1)/2*xm_sP))&lt;0.000001,IF('XA MU'!$B$25&lt;=1,'XA MU'!$E$25*$C$8*(IF('XA MU'!$C$25&gt;(xm_y0P+(xm_nP-1)/2*xm_sP),2*('XA MU'!$C$25-(xm_y0P+(xm_nP-1)/2*xm_sP))/xm_sP,0)+IF('XA MU'!$D$25&gt;(xm_y0P+(xm_nP-1)/2*xm_sP),2*('XA MU'!$D$25-(xm_y0P+(xm_nP-1)/2*xm_sP))/xm_sP,0)),0),0)+IF('XA MU'!$B$26&lt;=1,'XA MU'!$E$26*$C$8*(MAX(0,1-ABS('XA MU'!$C$26-$D68)/xm_sP)+MAX(0,1-ABS('XA MU'!$D$26-$D68)/xm_sP)),0)+IF(ABS($D68-(xm_y0P+(xm_nP-1)/2*xm_sP))&lt;0.000001,IF('XA MU'!$B$26&lt;=1,'XA MU'!$E$26*$C$8*(IF('XA MU'!$C$26&gt;(xm_y0P+(xm_nP-1)/2*xm_sP),2*('XA MU'!$C$26-(xm_y0P+(xm_nP-1)/2*xm_sP))/xm_sP,0)+IF('XA MU'!$D$26&gt;(xm_y0P+(xm_nP-1)/2*xm_sP),2*('XA MU'!$D$26-(xm_y0P+(xm_nP-1)/2*xm_sP))/xm_sP,0)),0),0)+IF('XA MU'!$B$27&lt;=1,'XA MU'!$E$27*$C$8*(MAX(0,1-ABS('XA MU'!$C$27-$D68)/xm_sP)+MAX(0,1-ABS('XA MU'!$D$27-$D68)/xm_sP)),0)+IF(ABS($D68-(xm_y0P+(xm_nP-1)/2*xm_sP))&lt;0.000001,IF('XA MU'!$B$27&lt;=1,'XA MU'!$E$27*$C$8*(IF('XA MU'!$C$27&gt;(xm_y0P+(xm_nP-1)/2*xm_sP),2*('XA MU'!$C$27-(xm_y0P+(xm_nP-1)/2*xm_sP))/xm_sP,0)+IF('XA MU'!$D$27&gt;(xm_y0P+(xm_nP-1)/2*xm_sP),2*('XA MU'!$D$27-(xm_y0P+(xm_nP-1)/2*xm_sP))/xm_sP,0)),0),0)+IF('XA MU'!$B$28&lt;=1,'XA MU'!$E$28*$C$8*(MAX(0,1-ABS('XA MU'!$C$28-$D68)/xm_sP)+MAX(0,1-ABS('XA MU'!$D$28-$D68)/xm_sP)),0)+IF(ABS($D68-(xm_y0P+(xm_nP-1)/2*xm_sP))&lt;0.000001,IF('XA MU'!$B$28&lt;=1,'XA MU'!$E$28*$C$8*(IF('XA MU'!$C$28&gt;(xm_y0P+(xm_nP-1)/2*xm_sP),2*('XA MU'!$C$28-(xm_y0P+(xm_nP-1)/2*xm_sP))/xm_sP,0)+IF('XA MU'!$D$28&gt;(xm_y0P+(xm_nP-1)/2*xm_sP),2*('XA MU'!$D$28-(xm_y0P+(xm_nP-1)/2*xm_sP))/xm_sP,0)),0),0)+IF('XA MU'!$B$29&lt;=1,'XA MU'!$E$29*$C$8*(MAX(0,1-ABS('XA MU'!$C$29-$D68)/xm_sP)+MAX(0,1-ABS('XA MU'!$D$29-$D68)/xm_sP)),0)+IF(ABS($D68-(xm_y0P+(xm_nP-1)/2*xm_sP))&lt;0.000001,IF('XA MU'!$B$29&lt;=1,'XA MU'!$E$29*$C$8*(IF('XA MU'!$C$29&gt;(xm_y0P+(xm_nP-1)/2*xm_sP),2*('XA MU'!$C$29-(xm_y0P+(xm_nP-1)/2*xm_sP))/xm_sP,0)+IF('XA MU'!$D$29&gt;(xm_y0P+(xm_nP-1)/2*xm_sP),2*('XA MU'!$D$29-(xm_y0P+(xm_nP-1)/2*xm_sP))/xm_sP,0)),0),0)+IF('XA MU'!$B$30&lt;=1,'XA MU'!$E$30*$C$8*(MAX(0,1-ABS('XA MU'!$C$30-$D68)/xm_sP)+MAX(0,1-ABS('XA MU'!$D$30-$D68)/xm_sP)),0)+IF(ABS($D68-(xm_y0P+(xm_nP-1)/2*xm_sP))&lt;0.000001,IF('XA MU'!$B$30&lt;=1,'XA MU'!$E$30*$C$8*(IF('XA MU'!$C$30&gt;(xm_y0P+(xm_nP-1)/2*xm_sP),2*('XA MU'!$C$30-(xm_y0P+(xm_nP-1)/2*xm_sP))/xm_sP,0)+IF('XA MU'!$D$30&gt;(xm_y0P+(xm_nP-1)/2*xm_sP),2*('XA MU'!$D$30-(xm_y0P+(xm_nP-1)/2*xm_sP))/xm_sP,0)),0),0))))</f>
        <v>0</v>
      </c>
      <c r="J68" s="44">
        <f>IF(C68=0,0,IF(2&gt;nLan,0,1*(IF('XA MU'!$B$25&lt;=2,'XA MU'!$E$25*$C$8*(MAX(0,1-ABS('XA MU'!$C$25-$D68)/xm_sP)+MAX(0,1-ABS('XA MU'!$D$25-$D68)/xm_sP)),0)+IF(ABS($D68-(xm_y0P+(xm_nP-1)/2*xm_sP))&lt;0.000001,IF('XA MU'!$B$25&lt;=2,'XA MU'!$E$25*$C$8*(IF('XA MU'!$C$25&gt;(xm_y0P+(xm_nP-1)/2*xm_sP),2*('XA MU'!$C$25-(xm_y0P+(xm_nP-1)/2*xm_sP))/xm_sP,0)+IF('XA MU'!$D$25&gt;(xm_y0P+(xm_nP-1)/2*xm_sP),2*('XA MU'!$D$25-(xm_y0P+(xm_nP-1)/2*xm_sP))/xm_sP,0)),0),0)+IF('XA MU'!$B$26&lt;=2,'XA MU'!$E$26*$C$8*(MAX(0,1-ABS('XA MU'!$C$26-$D68)/xm_sP)+MAX(0,1-ABS('XA MU'!$D$26-$D68)/xm_sP)),0)+IF(ABS($D68-(xm_y0P+(xm_nP-1)/2*xm_sP))&lt;0.000001,IF('XA MU'!$B$26&lt;=2,'XA MU'!$E$26*$C$8*(IF('XA MU'!$C$26&gt;(xm_y0P+(xm_nP-1)/2*xm_sP),2*('XA MU'!$C$26-(xm_y0P+(xm_nP-1)/2*xm_sP))/xm_sP,0)+IF('XA MU'!$D$26&gt;(xm_y0P+(xm_nP-1)/2*xm_sP),2*('XA MU'!$D$26-(xm_y0P+(xm_nP-1)/2*xm_sP))/xm_sP,0)),0),0)+IF('XA MU'!$B$27&lt;=2,'XA MU'!$E$27*$C$8*(MAX(0,1-ABS('XA MU'!$C$27-$D68)/xm_sP)+MAX(0,1-ABS('XA MU'!$D$27-$D68)/xm_sP)),0)+IF(ABS($D68-(xm_y0P+(xm_nP-1)/2*xm_sP))&lt;0.000001,IF('XA MU'!$B$27&lt;=2,'XA MU'!$E$27*$C$8*(IF('XA MU'!$C$27&gt;(xm_y0P+(xm_nP-1)/2*xm_sP),2*('XA MU'!$C$27-(xm_y0P+(xm_nP-1)/2*xm_sP))/xm_sP,0)+IF('XA MU'!$D$27&gt;(xm_y0P+(xm_nP-1)/2*xm_sP),2*('XA MU'!$D$27-(xm_y0P+(xm_nP-1)/2*xm_sP))/xm_sP,0)),0),0)+IF('XA MU'!$B$28&lt;=2,'XA MU'!$E$28*$C$8*(MAX(0,1-ABS('XA MU'!$C$28-$D68)/xm_sP)+MAX(0,1-ABS('XA MU'!$D$28-$D68)/xm_sP)),0)+IF(ABS($D68-(xm_y0P+(xm_nP-1)/2*xm_sP))&lt;0.000001,IF('XA MU'!$B$28&lt;=2,'XA MU'!$E$28*$C$8*(IF('XA MU'!$C$28&gt;(xm_y0P+(xm_nP-1)/2*xm_sP),2*('XA MU'!$C$28-(xm_y0P+(xm_nP-1)/2*xm_sP))/xm_sP,0)+IF('XA MU'!$D$28&gt;(xm_y0P+(xm_nP-1)/2*xm_sP),2*('XA MU'!$D$28-(xm_y0P+(xm_nP-1)/2*xm_sP))/xm_sP,0)),0),0)+IF('XA MU'!$B$29&lt;=2,'XA MU'!$E$29*$C$8*(MAX(0,1-ABS('XA MU'!$C$29-$D68)/xm_sP)+MAX(0,1-ABS('XA MU'!$D$29-$D68)/xm_sP)),0)+IF(ABS($D68-(xm_y0P+(xm_nP-1)/2*xm_sP))&lt;0.000001,IF('XA MU'!$B$29&lt;=2,'XA MU'!$E$29*$C$8*(IF('XA MU'!$C$29&gt;(xm_y0P+(xm_nP-1)/2*xm_sP),2*('XA MU'!$C$29-(xm_y0P+(xm_nP-1)/2*xm_sP))/xm_sP,0)+IF('XA MU'!$D$29&gt;(xm_y0P+(xm_nP-1)/2*xm_sP),2*('XA MU'!$D$29-(xm_y0P+(xm_nP-1)/2*xm_sP))/xm_sP,0)),0),0)+IF('XA MU'!$B$30&lt;=2,'XA MU'!$E$30*$C$8*(MAX(0,1-ABS('XA MU'!$C$30-$D68)/xm_sP)+MAX(0,1-ABS('XA MU'!$D$30-$D68)/xm_sP)),0)+IF(ABS($D68-(xm_y0P+(xm_nP-1)/2*xm_sP))&lt;0.000001,IF('XA MU'!$B$30&lt;=2,'XA MU'!$E$30*$C$8*(IF('XA MU'!$C$30&gt;(xm_y0P+(xm_nP-1)/2*xm_sP),2*('XA MU'!$C$30-(xm_y0P+(xm_nP-1)/2*xm_sP))/xm_sP,0)+IF('XA MU'!$D$30&gt;(xm_y0P+(xm_nP-1)/2*xm_sP),2*('XA MU'!$D$30-(xm_y0P+(xm_nP-1)/2*xm_sP))/xm_sP,0)),0),0))))</f>
        <v>0</v>
      </c>
      <c r="K68" s="44">
        <f>IF(C68=0,0,IF(3&gt;nLan,0,0.85*(IF('XA MU'!$B$25&lt;=3,'XA MU'!$E$25*$C$8*(MAX(0,1-ABS('XA MU'!$C$25-$D68)/xm_sP)+MAX(0,1-ABS('XA MU'!$D$25-$D68)/xm_sP)),0)+IF(ABS($D68-(xm_y0P+(xm_nP-1)/2*xm_sP))&lt;0.000001,IF('XA MU'!$B$25&lt;=3,'XA MU'!$E$25*$C$8*(IF('XA MU'!$C$25&gt;(xm_y0P+(xm_nP-1)/2*xm_sP),2*('XA MU'!$C$25-(xm_y0P+(xm_nP-1)/2*xm_sP))/xm_sP,0)+IF('XA MU'!$D$25&gt;(xm_y0P+(xm_nP-1)/2*xm_sP),2*('XA MU'!$D$25-(xm_y0P+(xm_nP-1)/2*xm_sP))/xm_sP,0)),0),0)+IF('XA MU'!$B$26&lt;=3,'XA MU'!$E$26*$C$8*(MAX(0,1-ABS('XA MU'!$C$26-$D68)/xm_sP)+MAX(0,1-ABS('XA MU'!$D$26-$D68)/xm_sP)),0)+IF(ABS($D68-(xm_y0P+(xm_nP-1)/2*xm_sP))&lt;0.000001,IF('XA MU'!$B$26&lt;=3,'XA MU'!$E$26*$C$8*(IF('XA MU'!$C$26&gt;(xm_y0P+(xm_nP-1)/2*xm_sP),2*('XA MU'!$C$26-(xm_y0P+(xm_nP-1)/2*xm_sP))/xm_sP,0)+IF('XA MU'!$D$26&gt;(xm_y0P+(xm_nP-1)/2*xm_sP),2*('XA MU'!$D$26-(xm_y0P+(xm_nP-1)/2*xm_sP))/xm_sP,0)),0),0)+IF('XA MU'!$B$27&lt;=3,'XA MU'!$E$27*$C$8*(MAX(0,1-ABS('XA MU'!$C$27-$D68)/xm_sP)+MAX(0,1-ABS('XA MU'!$D$27-$D68)/xm_sP)),0)+IF(ABS($D68-(xm_y0P+(xm_nP-1)/2*xm_sP))&lt;0.000001,IF('XA MU'!$B$27&lt;=3,'XA MU'!$E$27*$C$8*(IF('XA MU'!$C$27&gt;(xm_y0P+(xm_nP-1)/2*xm_sP),2*('XA MU'!$C$27-(xm_y0P+(xm_nP-1)/2*xm_sP))/xm_sP,0)+IF('XA MU'!$D$27&gt;(xm_y0P+(xm_nP-1)/2*xm_sP),2*('XA MU'!$D$27-(xm_y0P+(xm_nP-1)/2*xm_sP))/xm_sP,0)),0),0)+IF('XA MU'!$B$28&lt;=3,'XA MU'!$E$28*$C$8*(MAX(0,1-ABS('XA MU'!$C$28-$D68)/xm_sP)+MAX(0,1-ABS('XA MU'!$D$28-$D68)/xm_sP)),0)+IF(ABS($D68-(xm_y0P+(xm_nP-1)/2*xm_sP))&lt;0.000001,IF('XA MU'!$B$28&lt;=3,'XA MU'!$E$28*$C$8*(IF('XA MU'!$C$28&gt;(xm_y0P+(xm_nP-1)/2*xm_sP),2*('XA MU'!$C$28-(xm_y0P+(xm_nP-1)/2*xm_sP))/xm_sP,0)+IF('XA MU'!$D$28&gt;(xm_y0P+(xm_nP-1)/2*xm_sP),2*('XA MU'!$D$28-(xm_y0P+(xm_nP-1)/2*xm_sP))/xm_sP,0)),0),0)+IF('XA MU'!$B$29&lt;=3,'XA MU'!$E$29*$C$8*(MAX(0,1-ABS('XA MU'!$C$29-$D68)/xm_sP)+MAX(0,1-ABS('XA MU'!$D$29-$D68)/xm_sP)),0)+IF(ABS($D68-(xm_y0P+(xm_nP-1)/2*xm_sP))&lt;0.000001,IF('XA MU'!$B$29&lt;=3,'XA MU'!$E$29*$C$8*(IF('XA MU'!$C$29&gt;(xm_y0P+(xm_nP-1)/2*xm_sP),2*('XA MU'!$C$29-(xm_y0P+(xm_nP-1)/2*xm_sP))/xm_sP,0)+IF('XA MU'!$D$29&gt;(xm_y0P+(xm_nP-1)/2*xm_sP),2*('XA MU'!$D$29-(xm_y0P+(xm_nP-1)/2*xm_sP))/xm_sP,0)),0),0)+IF('XA MU'!$B$30&lt;=3,'XA MU'!$E$30*$C$8*(MAX(0,1-ABS('XA MU'!$C$30-$D68)/xm_sP)+MAX(0,1-ABS('XA MU'!$D$30-$D68)/xm_sP)),0)+IF(ABS($D68-(xm_y0P+(xm_nP-1)/2*xm_sP))&lt;0.000001,IF('XA MU'!$B$30&lt;=3,'XA MU'!$E$30*$C$8*(IF('XA MU'!$C$30&gt;(xm_y0P+(xm_nP-1)/2*xm_sP),2*('XA MU'!$C$30-(xm_y0P+(xm_nP-1)/2*xm_sP))/xm_sP,0)+IF('XA MU'!$D$30&gt;(xm_y0P+(xm_nP-1)/2*xm_sP),2*('XA MU'!$D$30-(xm_y0P+(xm_nP-1)/2*xm_sP))/xm_sP,0)),0),0))))</f>
        <v>0</v>
      </c>
      <c r="L68" s="44">
        <f>IF(C68=0,0,IF(4&gt;nLan,0,0.65*(IF('XA MU'!$B$25&lt;=4,'XA MU'!$E$25*$C$8*(MAX(0,1-ABS('XA MU'!$C$25-$D68)/xm_sP)+MAX(0,1-ABS('XA MU'!$D$25-$D68)/xm_sP)),0)+IF(ABS($D68-(xm_y0P+(xm_nP-1)/2*xm_sP))&lt;0.000001,IF('XA MU'!$B$25&lt;=4,'XA MU'!$E$25*$C$8*(IF('XA MU'!$C$25&gt;(xm_y0P+(xm_nP-1)/2*xm_sP),2*('XA MU'!$C$25-(xm_y0P+(xm_nP-1)/2*xm_sP))/xm_sP,0)+IF('XA MU'!$D$25&gt;(xm_y0P+(xm_nP-1)/2*xm_sP),2*('XA MU'!$D$25-(xm_y0P+(xm_nP-1)/2*xm_sP))/xm_sP,0)),0),0)+IF('XA MU'!$B$26&lt;=4,'XA MU'!$E$26*$C$8*(MAX(0,1-ABS('XA MU'!$C$26-$D68)/xm_sP)+MAX(0,1-ABS('XA MU'!$D$26-$D68)/xm_sP)),0)+IF(ABS($D68-(xm_y0P+(xm_nP-1)/2*xm_sP))&lt;0.000001,IF('XA MU'!$B$26&lt;=4,'XA MU'!$E$26*$C$8*(IF('XA MU'!$C$26&gt;(xm_y0P+(xm_nP-1)/2*xm_sP),2*('XA MU'!$C$26-(xm_y0P+(xm_nP-1)/2*xm_sP))/xm_sP,0)+IF('XA MU'!$D$26&gt;(xm_y0P+(xm_nP-1)/2*xm_sP),2*('XA MU'!$D$26-(xm_y0P+(xm_nP-1)/2*xm_sP))/xm_sP,0)),0),0)+IF('XA MU'!$B$27&lt;=4,'XA MU'!$E$27*$C$8*(MAX(0,1-ABS('XA MU'!$C$27-$D68)/xm_sP)+MAX(0,1-ABS('XA MU'!$D$27-$D68)/xm_sP)),0)+IF(ABS($D68-(xm_y0P+(xm_nP-1)/2*xm_sP))&lt;0.000001,IF('XA MU'!$B$27&lt;=4,'XA MU'!$E$27*$C$8*(IF('XA MU'!$C$27&gt;(xm_y0P+(xm_nP-1)/2*xm_sP),2*('XA MU'!$C$27-(xm_y0P+(xm_nP-1)/2*xm_sP))/xm_sP,0)+IF('XA MU'!$D$27&gt;(xm_y0P+(xm_nP-1)/2*xm_sP),2*('XA MU'!$D$27-(xm_y0P+(xm_nP-1)/2*xm_sP))/xm_sP,0)),0),0)+IF('XA MU'!$B$28&lt;=4,'XA MU'!$E$28*$C$8*(MAX(0,1-ABS('XA MU'!$C$28-$D68)/xm_sP)+MAX(0,1-ABS('XA MU'!$D$28-$D68)/xm_sP)),0)+IF(ABS($D68-(xm_y0P+(xm_nP-1)/2*xm_sP))&lt;0.000001,IF('XA MU'!$B$28&lt;=4,'XA MU'!$E$28*$C$8*(IF('XA MU'!$C$28&gt;(xm_y0P+(xm_nP-1)/2*xm_sP),2*('XA MU'!$C$28-(xm_y0P+(xm_nP-1)/2*xm_sP))/xm_sP,0)+IF('XA MU'!$D$28&gt;(xm_y0P+(xm_nP-1)/2*xm_sP),2*('XA MU'!$D$28-(xm_y0P+(xm_nP-1)/2*xm_sP))/xm_sP,0)),0),0)+IF('XA MU'!$B$29&lt;=4,'XA MU'!$E$29*$C$8*(MAX(0,1-ABS('XA MU'!$C$29-$D68)/xm_sP)+MAX(0,1-ABS('XA MU'!$D$29-$D68)/xm_sP)),0)+IF(ABS($D68-(xm_y0P+(xm_nP-1)/2*xm_sP))&lt;0.000001,IF('XA MU'!$B$29&lt;=4,'XA MU'!$E$29*$C$8*(IF('XA MU'!$C$29&gt;(xm_y0P+(xm_nP-1)/2*xm_sP),2*('XA MU'!$C$29-(xm_y0P+(xm_nP-1)/2*xm_sP))/xm_sP,0)+IF('XA MU'!$D$29&gt;(xm_y0P+(xm_nP-1)/2*xm_sP),2*('XA MU'!$D$29-(xm_y0P+(xm_nP-1)/2*xm_sP))/xm_sP,0)),0),0)+IF('XA MU'!$B$30&lt;=4,'XA MU'!$E$30*$C$8*(MAX(0,1-ABS('XA MU'!$C$30-$D68)/xm_sP)+MAX(0,1-ABS('XA MU'!$D$30-$D68)/xm_sP)),0)+IF(ABS($D68-(xm_y0P+(xm_nP-1)/2*xm_sP))&lt;0.000001,IF('XA MU'!$B$30&lt;=4,'XA MU'!$E$30*$C$8*(IF('XA MU'!$C$30&gt;(xm_y0P+(xm_nP-1)/2*xm_sP),2*('XA MU'!$C$30-(xm_y0P+(xm_nP-1)/2*xm_sP))/xm_sP,0)+IF('XA MU'!$D$30&gt;(xm_y0P+(xm_nP-1)/2*xm_sP),2*('XA MU'!$D$30-(xm_y0P+(xm_nP-1)/2*xm_sP))/xm_sP,0)),0),0))))</f>
        <v>0</v>
      </c>
      <c r="M68" s="44">
        <f>IF(C68=0,0,IF(5&gt;nLan,0,0.65*(IF('XA MU'!$B$25&lt;=5,'XA MU'!$E$25*$C$8*(MAX(0,1-ABS('XA MU'!$C$25-$D68)/xm_sP)+MAX(0,1-ABS('XA MU'!$D$25-$D68)/xm_sP)),0)+IF(ABS($D68-(xm_y0P+(xm_nP-1)/2*xm_sP))&lt;0.000001,IF('XA MU'!$B$25&lt;=5,'XA MU'!$E$25*$C$8*(IF('XA MU'!$C$25&gt;(xm_y0P+(xm_nP-1)/2*xm_sP),2*('XA MU'!$C$25-(xm_y0P+(xm_nP-1)/2*xm_sP))/xm_sP,0)+IF('XA MU'!$D$25&gt;(xm_y0P+(xm_nP-1)/2*xm_sP),2*('XA MU'!$D$25-(xm_y0P+(xm_nP-1)/2*xm_sP))/xm_sP,0)),0),0)+IF('XA MU'!$B$26&lt;=5,'XA MU'!$E$26*$C$8*(MAX(0,1-ABS('XA MU'!$C$26-$D68)/xm_sP)+MAX(0,1-ABS('XA MU'!$D$26-$D68)/xm_sP)),0)+IF(ABS($D68-(xm_y0P+(xm_nP-1)/2*xm_sP))&lt;0.000001,IF('XA MU'!$B$26&lt;=5,'XA MU'!$E$26*$C$8*(IF('XA MU'!$C$26&gt;(xm_y0P+(xm_nP-1)/2*xm_sP),2*('XA MU'!$C$26-(xm_y0P+(xm_nP-1)/2*xm_sP))/xm_sP,0)+IF('XA MU'!$D$26&gt;(xm_y0P+(xm_nP-1)/2*xm_sP),2*('XA MU'!$D$26-(xm_y0P+(xm_nP-1)/2*xm_sP))/xm_sP,0)),0),0)+IF('XA MU'!$B$27&lt;=5,'XA MU'!$E$27*$C$8*(MAX(0,1-ABS('XA MU'!$C$27-$D68)/xm_sP)+MAX(0,1-ABS('XA MU'!$D$27-$D68)/xm_sP)),0)+IF(ABS($D68-(xm_y0P+(xm_nP-1)/2*xm_sP))&lt;0.000001,IF('XA MU'!$B$27&lt;=5,'XA MU'!$E$27*$C$8*(IF('XA MU'!$C$27&gt;(xm_y0P+(xm_nP-1)/2*xm_sP),2*('XA MU'!$C$27-(xm_y0P+(xm_nP-1)/2*xm_sP))/xm_sP,0)+IF('XA MU'!$D$27&gt;(xm_y0P+(xm_nP-1)/2*xm_sP),2*('XA MU'!$D$27-(xm_y0P+(xm_nP-1)/2*xm_sP))/xm_sP,0)),0),0)+IF('XA MU'!$B$28&lt;=5,'XA MU'!$E$28*$C$8*(MAX(0,1-ABS('XA MU'!$C$28-$D68)/xm_sP)+MAX(0,1-ABS('XA MU'!$D$28-$D68)/xm_sP)),0)+IF(ABS($D68-(xm_y0P+(xm_nP-1)/2*xm_sP))&lt;0.000001,IF('XA MU'!$B$28&lt;=5,'XA MU'!$E$28*$C$8*(IF('XA MU'!$C$28&gt;(xm_y0P+(xm_nP-1)/2*xm_sP),2*('XA MU'!$C$28-(xm_y0P+(xm_nP-1)/2*xm_sP))/xm_sP,0)+IF('XA MU'!$D$28&gt;(xm_y0P+(xm_nP-1)/2*xm_sP),2*('XA MU'!$D$28-(xm_y0P+(xm_nP-1)/2*xm_sP))/xm_sP,0)),0),0)+IF('XA MU'!$B$29&lt;=5,'XA MU'!$E$29*$C$8*(MAX(0,1-ABS('XA MU'!$C$29-$D68)/xm_sP)+MAX(0,1-ABS('XA MU'!$D$29-$D68)/xm_sP)),0)+IF(ABS($D68-(xm_y0P+(xm_nP-1)/2*xm_sP))&lt;0.000001,IF('XA MU'!$B$29&lt;=5,'XA MU'!$E$29*$C$8*(IF('XA MU'!$C$29&gt;(xm_y0P+(xm_nP-1)/2*xm_sP),2*('XA MU'!$C$29-(xm_y0P+(xm_nP-1)/2*xm_sP))/xm_sP,0)+IF('XA MU'!$D$29&gt;(xm_y0P+(xm_nP-1)/2*xm_sP),2*('XA MU'!$D$29-(xm_y0P+(xm_nP-1)/2*xm_sP))/xm_sP,0)),0),0)+IF('XA MU'!$B$30&lt;=5,'XA MU'!$E$30*$C$8*(MAX(0,1-ABS('XA MU'!$C$30-$D68)/xm_sP)+MAX(0,1-ABS('XA MU'!$D$30-$D68)/xm_sP)),0)+IF(ABS($D68-(xm_y0P+(xm_nP-1)/2*xm_sP))&lt;0.000001,IF('XA MU'!$B$30&lt;=5,'XA MU'!$E$30*$C$8*(IF('XA MU'!$C$30&gt;(xm_y0P+(xm_nP-1)/2*xm_sP),2*('XA MU'!$C$30-(xm_y0P+(xm_nP-1)/2*xm_sP))/xm_sP,0)+IF('XA MU'!$D$30&gt;(xm_y0P+(xm_nP-1)/2*xm_sP),2*('XA MU'!$D$30-(xm_y0P+(xm_nP-1)/2*xm_sP))/xm_sP,0)),0),0))))</f>
        <v>0</v>
      </c>
      <c r="N68" s="44">
        <f>IF(C68=0,0,IF(6&gt;nLan,0,0.65*(IF('XA MU'!$B$25&lt;=6,'XA MU'!$E$25*$C$8*(MAX(0,1-ABS('XA MU'!$C$25-$D68)/xm_sP)+MAX(0,1-ABS('XA MU'!$D$25-$D68)/xm_sP)),0)+IF(ABS($D68-(xm_y0P+(xm_nP-1)/2*xm_sP))&lt;0.000001,IF('XA MU'!$B$25&lt;=6,'XA MU'!$E$25*$C$8*(IF('XA MU'!$C$25&gt;(xm_y0P+(xm_nP-1)/2*xm_sP),2*('XA MU'!$C$25-(xm_y0P+(xm_nP-1)/2*xm_sP))/xm_sP,0)+IF('XA MU'!$D$25&gt;(xm_y0P+(xm_nP-1)/2*xm_sP),2*('XA MU'!$D$25-(xm_y0P+(xm_nP-1)/2*xm_sP))/xm_sP,0)),0),0)+IF('XA MU'!$B$26&lt;=6,'XA MU'!$E$26*$C$8*(MAX(0,1-ABS('XA MU'!$C$26-$D68)/xm_sP)+MAX(0,1-ABS('XA MU'!$D$26-$D68)/xm_sP)),0)+IF(ABS($D68-(xm_y0P+(xm_nP-1)/2*xm_sP))&lt;0.000001,IF('XA MU'!$B$26&lt;=6,'XA MU'!$E$26*$C$8*(IF('XA MU'!$C$26&gt;(xm_y0P+(xm_nP-1)/2*xm_sP),2*('XA MU'!$C$26-(xm_y0P+(xm_nP-1)/2*xm_sP))/xm_sP,0)+IF('XA MU'!$D$26&gt;(xm_y0P+(xm_nP-1)/2*xm_sP),2*('XA MU'!$D$26-(xm_y0P+(xm_nP-1)/2*xm_sP))/xm_sP,0)),0),0)+IF('XA MU'!$B$27&lt;=6,'XA MU'!$E$27*$C$8*(MAX(0,1-ABS('XA MU'!$C$27-$D68)/xm_sP)+MAX(0,1-ABS('XA MU'!$D$27-$D68)/xm_sP)),0)+IF(ABS($D68-(xm_y0P+(xm_nP-1)/2*xm_sP))&lt;0.000001,IF('XA MU'!$B$27&lt;=6,'XA MU'!$E$27*$C$8*(IF('XA MU'!$C$27&gt;(xm_y0P+(xm_nP-1)/2*xm_sP),2*('XA MU'!$C$27-(xm_y0P+(xm_nP-1)/2*xm_sP))/xm_sP,0)+IF('XA MU'!$D$27&gt;(xm_y0P+(xm_nP-1)/2*xm_sP),2*('XA MU'!$D$27-(xm_y0P+(xm_nP-1)/2*xm_sP))/xm_sP,0)),0),0)+IF('XA MU'!$B$28&lt;=6,'XA MU'!$E$28*$C$8*(MAX(0,1-ABS('XA MU'!$C$28-$D68)/xm_sP)+MAX(0,1-ABS('XA MU'!$D$28-$D68)/xm_sP)),0)+IF(ABS($D68-(xm_y0P+(xm_nP-1)/2*xm_sP))&lt;0.000001,IF('XA MU'!$B$28&lt;=6,'XA MU'!$E$28*$C$8*(IF('XA MU'!$C$28&gt;(xm_y0P+(xm_nP-1)/2*xm_sP),2*('XA MU'!$C$28-(xm_y0P+(xm_nP-1)/2*xm_sP))/xm_sP,0)+IF('XA MU'!$D$28&gt;(xm_y0P+(xm_nP-1)/2*xm_sP),2*('XA MU'!$D$28-(xm_y0P+(xm_nP-1)/2*xm_sP))/xm_sP,0)),0),0)+IF('XA MU'!$B$29&lt;=6,'XA MU'!$E$29*$C$8*(MAX(0,1-ABS('XA MU'!$C$29-$D68)/xm_sP)+MAX(0,1-ABS('XA MU'!$D$29-$D68)/xm_sP)),0)+IF(ABS($D68-(xm_y0P+(xm_nP-1)/2*xm_sP))&lt;0.000001,IF('XA MU'!$B$29&lt;=6,'XA MU'!$E$29*$C$8*(IF('XA MU'!$C$29&gt;(xm_y0P+(xm_nP-1)/2*xm_sP),2*('XA MU'!$C$29-(xm_y0P+(xm_nP-1)/2*xm_sP))/xm_sP,0)+IF('XA MU'!$D$29&gt;(xm_y0P+(xm_nP-1)/2*xm_sP),2*('XA MU'!$D$29-(xm_y0P+(xm_nP-1)/2*xm_sP))/xm_sP,0)),0),0)+IF('XA MU'!$B$30&lt;=6,'XA MU'!$E$30*$C$8*(MAX(0,1-ABS('XA MU'!$C$30-$D68)/xm_sP)+MAX(0,1-ABS('XA MU'!$D$30-$D68)/xm_sP)),0)+IF(ABS($D68-(xm_y0P+(xm_nP-1)/2*xm_sP))&lt;0.000001,IF('XA MU'!$B$30&lt;=6,'XA MU'!$E$30*$C$8*(IF('XA MU'!$C$30&gt;(xm_y0P+(xm_nP-1)/2*xm_sP),2*('XA MU'!$C$30-(xm_y0P+(xm_nP-1)/2*xm_sP))/xm_sP,0)+IF('XA MU'!$D$30&gt;(xm_y0P+(xm_nP-1)/2*xm_sP),2*('XA MU'!$D$30-(xm_y0P+(xm_nP-1)/2*xm_sP))/xm_sP,0)),0),0))))</f>
        <v>0</v>
      </c>
    </row>
    <row r="69" spans="1:14" x14ac:dyDescent="0.3">
      <c r="A69" s="42" t="s">
        <v>1236</v>
      </c>
      <c r="B69" s="42">
        <v>15</v>
      </c>
      <c r="C69" s="40">
        <f t="shared" si="4"/>
        <v>0</v>
      </c>
      <c r="D69" s="44">
        <f t="shared" si="5"/>
        <v>0</v>
      </c>
      <c r="E69" s="44">
        <f>MAX(0,D69-'XA MU'!$C$8)*C69</f>
        <v>0</v>
      </c>
      <c r="F69" s="44">
        <f>IF(AND(C69=1,D69&gt;'XA MU'!$C$8),1,0)</f>
        <v>0</v>
      </c>
      <c r="G69" s="44">
        <f t="shared" si="6"/>
        <v>0</v>
      </c>
      <c r="H69" s="44">
        <f t="shared" si="7"/>
        <v>0</v>
      </c>
      <c r="I69" s="44">
        <f>IF(C69=0,0,IF(1&gt;nLan,0,1.2*(IF('XA MU'!$B$25&lt;=1,'XA MU'!$E$25*$C$8*(MAX(0,1-ABS('XA MU'!$C$25-$D69)/xm_sP)+MAX(0,1-ABS('XA MU'!$D$25-$D69)/xm_sP)),0)+IF(ABS($D69-(xm_y0P+(xm_nP-1)/2*xm_sP))&lt;0.000001,IF('XA MU'!$B$25&lt;=1,'XA MU'!$E$25*$C$8*(IF('XA MU'!$C$25&gt;(xm_y0P+(xm_nP-1)/2*xm_sP),2*('XA MU'!$C$25-(xm_y0P+(xm_nP-1)/2*xm_sP))/xm_sP,0)+IF('XA MU'!$D$25&gt;(xm_y0P+(xm_nP-1)/2*xm_sP),2*('XA MU'!$D$25-(xm_y0P+(xm_nP-1)/2*xm_sP))/xm_sP,0)),0),0)+IF('XA MU'!$B$26&lt;=1,'XA MU'!$E$26*$C$8*(MAX(0,1-ABS('XA MU'!$C$26-$D69)/xm_sP)+MAX(0,1-ABS('XA MU'!$D$26-$D69)/xm_sP)),0)+IF(ABS($D69-(xm_y0P+(xm_nP-1)/2*xm_sP))&lt;0.000001,IF('XA MU'!$B$26&lt;=1,'XA MU'!$E$26*$C$8*(IF('XA MU'!$C$26&gt;(xm_y0P+(xm_nP-1)/2*xm_sP),2*('XA MU'!$C$26-(xm_y0P+(xm_nP-1)/2*xm_sP))/xm_sP,0)+IF('XA MU'!$D$26&gt;(xm_y0P+(xm_nP-1)/2*xm_sP),2*('XA MU'!$D$26-(xm_y0P+(xm_nP-1)/2*xm_sP))/xm_sP,0)),0),0)+IF('XA MU'!$B$27&lt;=1,'XA MU'!$E$27*$C$8*(MAX(0,1-ABS('XA MU'!$C$27-$D69)/xm_sP)+MAX(0,1-ABS('XA MU'!$D$27-$D69)/xm_sP)),0)+IF(ABS($D69-(xm_y0P+(xm_nP-1)/2*xm_sP))&lt;0.000001,IF('XA MU'!$B$27&lt;=1,'XA MU'!$E$27*$C$8*(IF('XA MU'!$C$27&gt;(xm_y0P+(xm_nP-1)/2*xm_sP),2*('XA MU'!$C$27-(xm_y0P+(xm_nP-1)/2*xm_sP))/xm_sP,0)+IF('XA MU'!$D$27&gt;(xm_y0P+(xm_nP-1)/2*xm_sP),2*('XA MU'!$D$27-(xm_y0P+(xm_nP-1)/2*xm_sP))/xm_sP,0)),0),0)+IF('XA MU'!$B$28&lt;=1,'XA MU'!$E$28*$C$8*(MAX(0,1-ABS('XA MU'!$C$28-$D69)/xm_sP)+MAX(0,1-ABS('XA MU'!$D$28-$D69)/xm_sP)),0)+IF(ABS($D69-(xm_y0P+(xm_nP-1)/2*xm_sP))&lt;0.000001,IF('XA MU'!$B$28&lt;=1,'XA MU'!$E$28*$C$8*(IF('XA MU'!$C$28&gt;(xm_y0P+(xm_nP-1)/2*xm_sP),2*('XA MU'!$C$28-(xm_y0P+(xm_nP-1)/2*xm_sP))/xm_sP,0)+IF('XA MU'!$D$28&gt;(xm_y0P+(xm_nP-1)/2*xm_sP),2*('XA MU'!$D$28-(xm_y0P+(xm_nP-1)/2*xm_sP))/xm_sP,0)),0),0)+IF('XA MU'!$B$29&lt;=1,'XA MU'!$E$29*$C$8*(MAX(0,1-ABS('XA MU'!$C$29-$D69)/xm_sP)+MAX(0,1-ABS('XA MU'!$D$29-$D69)/xm_sP)),0)+IF(ABS($D69-(xm_y0P+(xm_nP-1)/2*xm_sP))&lt;0.000001,IF('XA MU'!$B$29&lt;=1,'XA MU'!$E$29*$C$8*(IF('XA MU'!$C$29&gt;(xm_y0P+(xm_nP-1)/2*xm_sP),2*('XA MU'!$C$29-(xm_y0P+(xm_nP-1)/2*xm_sP))/xm_sP,0)+IF('XA MU'!$D$29&gt;(xm_y0P+(xm_nP-1)/2*xm_sP),2*('XA MU'!$D$29-(xm_y0P+(xm_nP-1)/2*xm_sP))/xm_sP,0)),0),0)+IF('XA MU'!$B$30&lt;=1,'XA MU'!$E$30*$C$8*(MAX(0,1-ABS('XA MU'!$C$30-$D69)/xm_sP)+MAX(0,1-ABS('XA MU'!$D$30-$D69)/xm_sP)),0)+IF(ABS($D69-(xm_y0P+(xm_nP-1)/2*xm_sP))&lt;0.000001,IF('XA MU'!$B$30&lt;=1,'XA MU'!$E$30*$C$8*(IF('XA MU'!$C$30&gt;(xm_y0P+(xm_nP-1)/2*xm_sP),2*('XA MU'!$C$30-(xm_y0P+(xm_nP-1)/2*xm_sP))/xm_sP,0)+IF('XA MU'!$D$30&gt;(xm_y0P+(xm_nP-1)/2*xm_sP),2*('XA MU'!$D$30-(xm_y0P+(xm_nP-1)/2*xm_sP))/xm_sP,0)),0),0))))</f>
        <v>0</v>
      </c>
      <c r="J69" s="44">
        <f>IF(C69=0,0,IF(2&gt;nLan,0,1*(IF('XA MU'!$B$25&lt;=2,'XA MU'!$E$25*$C$8*(MAX(0,1-ABS('XA MU'!$C$25-$D69)/xm_sP)+MAX(0,1-ABS('XA MU'!$D$25-$D69)/xm_sP)),0)+IF(ABS($D69-(xm_y0P+(xm_nP-1)/2*xm_sP))&lt;0.000001,IF('XA MU'!$B$25&lt;=2,'XA MU'!$E$25*$C$8*(IF('XA MU'!$C$25&gt;(xm_y0P+(xm_nP-1)/2*xm_sP),2*('XA MU'!$C$25-(xm_y0P+(xm_nP-1)/2*xm_sP))/xm_sP,0)+IF('XA MU'!$D$25&gt;(xm_y0P+(xm_nP-1)/2*xm_sP),2*('XA MU'!$D$25-(xm_y0P+(xm_nP-1)/2*xm_sP))/xm_sP,0)),0),0)+IF('XA MU'!$B$26&lt;=2,'XA MU'!$E$26*$C$8*(MAX(0,1-ABS('XA MU'!$C$26-$D69)/xm_sP)+MAX(0,1-ABS('XA MU'!$D$26-$D69)/xm_sP)),0)+IF(ABS($D69-(xm_y0P+(xm_nP-1)/2*xm_sP))&lt;0.000001,IF('XA MU'!$B$26&lt;=2,'XA MU'!$E$26*$C$8*(IF('XA MU'!$C$26&gt;(xm_y0P+(xm_nP-1)/2*xm_sP),2*('XA MU'!$C$26-(xm_y0P+(xm_nP-1)/2*xm_sP))/xm_sP,0)+IF('XA MU'!$D$26&gt;(xm_y0P+(xm_nP-1)/2*xm_sP),2*('XA MU'!$D$26-(xm_y0P+(xm_nP-1)/2*xm_sP))/xm_sP,0)),0),0)+IF('XA MU'!$B$27&lt;=2,'XA MU'!$E$27*$C$8*(MAX(0,1-ABS('XA MU'!$C$27-$D69)/xm_sP)+MAX(0,1-ABS('XA MU'!$D$27-$D69)/xm_sP)),0)+IF(ABS($D69-(xm_y0P+(xm_nP-1)/2*xm_sP))&lt;0.000001,IF('XA MU'!$B$27&lt;=2,'XA MU'!$E$27*$C$8*(IF('XA MU'!$C$27&gt;(xm_y0P+(xm_nP-1)/2*xm_sP),2*('XA MU'!$C$27-(xm_y0P+(xm_nP-1)/2*xm_sP))/xm_sP,0)+IF('XA MU'!$D$27&gt;(xm_y0P+(xm_nP-1)/2*xm_sP),2*('XA MU'!$D$27-(xm_y0P+(xm_nP-1)/2*xm_sP))/xm_sP,0)),0),0)+IF('XA MU'!$B$28&lt;=2,'XA MU'!$E$28*$C$8*(MAX(0,1-ABS('XA MU'!$C$28-$D69)/xm_sP)+MAX(0,1-ABS('XA MU'!$D$28-$D69)/xm_sP)),0)+IF(ABS($D69-(xm_y0P+(xm_nP-1)/2*xm_sP))&lt;0.000001,IF('XA MU'!$B$28&lt;=2,'XA MU'!$E$28*$C$8*(IF('XA MU'!$C$28&gt;(xm_y0P+(xm_nP-1)/2*xm_sP),2*('XA MU'!$C$28-(xm_y0P+(xm_nP-1)/2*xm_sP))/xm_sP,0)+IF('XA MU'!$D$28&gt;(xm_y0P+(xm_nP-1)/2*xm_sP),2*('XA MU'!$D$28-(xm_y0P+(xm_nP-1)/2*xm_sP))/xm_sP,0)),0),0)+IF('XA MU'!$B$29&lt;=2,'XA MU'!$E$29*$C$8*(MAX(0,1-ABS('XA MU'!$C$29-$D69)/xm_sP)+MAX(0,1-ABS('XA MU'!$D$29-$D69)/xm_sP)),0)+IF(ABS($D69-(xm_y0P+(xm_nP-1)/2*xm_sP))&lt;0.000001,IF('XA MU'!$B$29&lt;=2,'XA MU'!$E$29*$C$8*(IF('XA MU'!$C$29&gt;(xm_y0P+(xm_nP-1)/2*xm_sP),2*('XA MU'!$C$29-(xm_y0P+(xm_nP-1)/2*xm_sP))/xm_sP,0)+IF('XA MU'!$D$29&gt;(xm_y0P+(xm_nP-1)/2*xm_sP),2*('XA MU'!$D$29-(xm_y0P+(xm_nP-1)/2*xm_sP))/xm_sP,0)),0),0)+IF('XA MU'!$B$30&lt;=2,'XA MU'!$E$30*$C$8*(MAX(0,1-ABS('XA MU'!$C$30-$D69)/xm_sP)+MAX(0,1-ABS('XA MU'!$D$30-$D69)/xm_sP)),0)+IF(ABS($D69-(xm_y0P+(xm_nP-1)/2*xm_sP))&lt;0.000001,IF('XA MU'!$B$30&lt;=2,'XA MU'!$E$30*$C$8*(IF('XA MU'!$C$30&gt;(xm_y0P+(xm_nP-1)/2*xm_sP),2*('XA MU'!$C$30-(xm_y0P+(xm_nP-1)/2*xm_sP))/xm_sP,0)+IF('XA MU'!$D$30&gt;(xm_y0P+(xm_nP-1)/2*xm_sP),2*('XA MU'!$D$30-(xm_y0P+(xm_nP-1)/2*xm_sP))/xm_sP,0)),0),0))))</f>
        <v>0</v>
      </c>
      <c r="K69" s="44">
        <f>IF(C69=0,0,IF(3&gt;nLan,0,0.85*(IF('XA MU'!$B$25&lt;=3,'XA MU'!$E$25*$C$8*(MAX(0,1-ABS('XA MU'!$C$25-$D69)/xm_sP)+MAX(0,1-ABS('XA MU'!$D$25-$D69)/xm_sP)),0)+IF(ABS($D69-(xm_y0P+(xm_nP-1)/2*xm_sP))&lt;0.000001,IF('XA MU'!$B$25&lt;=3,'XA MU'!$E$25*$C$8*(IF('XA MU'!$C$25&gt;(xm_y0P+(xm_nP-1)/2*xm_sP),2*('XA MU'!$C$25-(xm_y0P+(xm_nP-1)/2*xm_sP))/xm_sP,0)+IF('XA MU'!$D$25&gt;(xm_y0P+(xm_nP-1)/2*xm_sP),2*('XA MU'!$D$25-(xm_y0P+(xm_nP-1)/2*xm_sP))/xm_sP,0)),0),0)+IF('XA MU'!$B$26&lt;=3,'XA MU'!$E$26*$C$8*(MAX(0,1-ABS('XA MU'!$C$26-$D69)/xm_sP)+MAX(0,1-ABS('XA MU'!$D$26-$D69)/xm_sP)),0)+IF(ABS($D69-(xm_y0P+(xm_nP-1)/2*xm_sP))&lt;0.000001,IF('XA MU'!$B$26&lt;=3,'XA MU'!$E$26*$C$8*(IF('XA MU'!$C$26&gt;(xm_y0P+(xm_nP-1)/2*xm_sP),2*('XA MU'!$C$26-(xm_y0P+(xm_nP-1)/2*xm_sP))/xm_sP,0)+IF('XA MU'!$D$26&gt;(xm_y0P+(xm_nP-1)/2*xm_sP),2*('XA MU'!$D$26-(xm_y0P+(xm_nP-1)/2*xm_sP))/xm_sP,0)),0),0)+IF('XA MU'!$B$27&lt;=3,'XA MU'!$E$27*$C$8*(MAX(0,1-ABS('XA MU'!$C$27-$D69)/xm_sP)+MAX(0,1-ABS('XA MU'!$D$27-$D69)/xm_sP)),0)+IF(ABS($D69-(xm_y0P+(xm_nP-1)/2*xm_sP))&lt;0.000001,IF('XA MU'!$B$27&lt;=3,'XA MU'!$E$27*$C$8*(IF('XA MU'!$C$27&gt;(xm_y0P+(xm_nP-1)/2*xm_sP),2*('XA MU'!$C$27-(xm_y0P+(xm_nP-1)/2*xm_sP))/xm_sP,0)+IF('XA MU'!$D$27&gt;(xm_y0P+(xm_nP-1)/2*xm_sP),2*('XA MU'!$D$27-(xm_y0P+(xm_nP-1)/2*xm_sP))/xm_sP,0)),0),0)+IF('XA MU'!$B$28&lt;=3,'XA MU'!$E$28*$C$8*(MAX(0,1-ABS('XA MU'!$C$28-$D69)/xm_sP)+MAX(0,1-ABS('XA MU'!$D$28-$D69)/xm_sP)),0)+IF(ABS($D69-(xm_y0P+(xm_nP-1)/2*xm_sP))&lt;0.000001,IF('XA MU'!$B$28&lt;=3,'XA MU'!$E$28*$C$8*(IF('XA MU'!$C$28&gt;(xm_y0P+(xm_nP-1)/2*xm_sP),2*('XA MU'!$C$28-(xm_y0P+(xm_nP-1)/2*xm_sP))/xm_sP,0)+IF('XA MU'!$D$28&gt;(xm_y0P+(xm_nP-1)/2*xm_sP),2*('XA MU'!$D$28-(xm_y0P+(xm_nP-1)/2*xm_sP))/xm_sP,0)),0),0)+IF('XA MU'!$B$29&lt;=3,'XA MU'!$E$29*$C$8*(MAX(0,1-ABS('XA MU'!$C$29-$D69)/xm_sP)+MAX(0,1-ABS('XA MU'!$D$29-$D69)/xm_sP)),0)+IF(ABS($D69-(xm_y0P+(xm_nP-1)/2*xm_sP))&lt;0.000001,IF('XA MU'!$B$29&lt;=3,'XA MU'!$E$29*$C$8*(IF('XA MU'!$C$29&gt;(xm_y0P+(xm_nP-1)/2*xm_sP),2*('XA MU'!$C$29-(xm_y0P+(xm_nP-1)/2*xm_sP))/xm_sP,0)+IF('XA MU'!$D$29&gt;(xm_y0P+(xm_nP-1)/2*xm_sP),2*('XA MU'!$D$29-(xm_y0P+(xm_nP-1)/2*xm_sP))/xm_sP,0)),0),0)+IF('XA MU'!$B$30&lt;=3,'XA MU'!$E$30*$C$8*(MAX(0,1-ABS('XA MU'!$C$30-$D69)/xm_sP)+MAX(0,1-ABS('XA MU'!$D$30-$D69)/xm_sP)),0)+IF(ABS($D69-(xm_y0P+(xm_nP-1)/2*xm_sP))&lt;0.000001,IF('XA MU'!$B$30&lt;=3,'XA MU'!$E$30*$C$8*(IF('XA MU'!$C$30&gt;(xm_y0P+(xm_nP-1)/2*xm_sP),2*('XA MU'!$C$30-(xm_y0P+(xm_nP-1)/2*xm_sP))/xm_sP,0)+IF('XA MU'!$D$30&gt;(xm_y0P+(xm_nP-1)/2*xm_sP),2*('XA MU'!$D$30-(xm_y0P+(xm_nP-1)/2*xm_sP))/xm_sP,0)),0),0))))</f>
        <v>0</v>
      </c>
      <c r="L69" s="44">
        <f>IF(C69=0,0,IF(4&gt;nLan,0,0.65*(IF('XA MU'!$B$25&lt;=4,'XA MU'!$E$25*$C$8*(MAX(0,1-ABS('XA MU'!$C$25-$D69)/xm_sP)+MAX(0,1-ABS('XA MU'!$D$25-$D69)/xm_sP)),0)+IF(ABS($D69-(xm_y0P+(xm_nP-1)/2*xm_sP))&lt;0.000001,IF('XA MU'!$B$25&lt;=4,'XA MU'!$E$25*$C$8*(IF('XA MU'!$C$25&gt;(xm_y0P+(xm_nP-1)/2*xm_sP),2*('XA MU'!$C$25-(xm_y0P+(xm_nP-1)/2*xm_sP))/xm_sP,0)+IF('XA MU'!$D$25&gt;(xm_y0P+(xm_nP-1)/2*xm_sP),2*('XA MU'!$D$25-(xm_y0P+(xm_nP-1)/2*xm_sP))/xm_sP,0)),0),0)+IF('XA MU'!$B$26&lt;=4,'XA MU'!$E$26*$C$8*(MAX(0,1-ABS('XA MU'!$C$26-$D69)/xm_sP)+MAX(0,1-ABS('XA MU'!$D$26-$D69)/xm_sP)),0)+IF(ABS($D69-(xm_y0P+(xm_nP-1)/2*xm_sP))&lt;0.000001,IF('XA MU'!$B$26&lt;=4,'XA MU'!$E$26*$C$8*(IF('XA MU'!$C$26&gt;(xm_y0P+(xm_nP-1)/2*xm_sP),2*('XA MU'!$C$26-(xm_y0P+(xm_nP-1)/2*xm_sP))/xm_sP,0)+IF('XA MU'!$D$26&gt;(xm_y0P+(xm_nP-1)/2*xm_sP),2*('XA MU'!$D$26-(xm_y0P+(xm_nP-1)/2*xm_sP))/xm_sP,0)),0),0)+IF('XA MU'!$B$27&lt;=4,'XA MU'!$E$27*$C$8*(MAX(0,1-ABS('XA MU'!$C$27-$D69)/xm_sP)+MAX(0,1-ABS('XA MU'!$D$27-$D69)/xm_sP)),0)+IF(ABS($D69-(xm_y0P+(xm_nP-1)/2*xm_sP))&lt;0.000001,IF('XA MU'!$B$27&lt;=4,'XA MU'!$E$27*$C$8*(IF('XA MU'!$C$27&gt;(xm_y0P+(xm_nP-1)/2*xm_sP),2*('XA MU'!$C$27-(xm_y0P+(xm_nP-1)/2*xm_sP))/xm_sP,0)+IF('XA MU'!$D$27&gt;(xm_y0P+(xm_nP-1)/2*xm_sP),2*('XA MU'!$D$27-(xm_y0P+(xm_nP-1)/2*xm_sP))/xm_sP,0)),0),0)+IF('XA MU'!$B$28&lt;=4,'XA MU'!$E$28*$C$8*(MAX(0,1-ABS('XA MU'!$C$28-$D69)/xm_sP)+MAX(0,1-ABS('XA MU'!$D$28-$D69)/xm_sP)),0)+IF(ABS($D69-(xm_y0P+(xm_nP-1)/2*xm_sP))&lt;0.000001,IF('XA MU'!$B$28&lt;=4,'XA MU'!$E$28*$C$8*(IF('XA MU'!$C$28&gt;(xm_y0P+(xm_nP-1)/2*xm_sP),2*('XA MU'!$C$28-(xm_y0P+(xm_nP-1)/2*xm_sP))/xm_sP,0)+IF('XA MU'!$D$28&gt;(xm_y0P+(xm_nP-1)/2*xm_sP),2*('XA MU'!$D$28-(xm_y0P+(xm_nP-1)/2*xm_sP))/xm_sP,0)),0),0)+IF('XA MU'!$B$29&lt;=4,'XA MU'!$E$29*$C$8*(MAX(0,1-ABS('XA MU'!$C$29-$D69)/xm_sP)+MAX(0,1-ABS('XA MU'!$D$29-$D69)/xm_sP)),0)+IF(ABS($D69-(xm_y0P+(xm_nP-1)/2*xm_sP))&lt;0.000001,IF('XA MU'!$B$29&lt;=4,'XA MU'!$E$29*$C$8*(IF('XA MU'!$C$29&gt;(xm_y0P+(xm_nP-1)/2*xm_sP),2*('XA MU'!$C$29-(xm_y0P+(xm_nP-1)/2*xm_sP))/xm_sP,0)+IF('XA MU'!$D$29&gt;(xm_y0P+(xm_nP-1)/2*xm_sP),2*('XA MU'!$D$29-(xm_y0P+(xm_nP-1)/2*xm_sP))/xm_sP,0)),0),0)+IF('XA MU'!$B$30&lt;=4,'XA MU'!$E$30*$C$8*(MAX(0,1-ABS('XA MU'!$C$30-$D69)/xm_sP)+MAX(0,1-ABS('XA MU'!$D$30-$D69)/xm_sP)),0)+IF(ABS($D69-(xm_y0P+(xm_nP-1)/2*xm_sP))&lt;0.000001,IF('XA MU'!$B$30&lt;=4,'XA MU'!$E$30*$C$8*(IF('XA MU'!$C$30&gt;(xm_y0P+(xm_nP-1)/2*xm_sP),2*('XA MU'!$C$30-(xm_y0P+(xm_nP-1)/2*xm_sP))/xm_sP,0)+IF('XA MU'!$D$30&gt;(xm_y0P+(xm_nP-1)/2*xm_sP),2*('XA MU'!$D$30-(xm_y0P+(xm_nP-1)/2*xm_sP))/xm_sP,0)),0),0))))</f>
        <v>0</v>
      </c>
      <c r="M69" s="44">
        <f>IF(C69=0,0,IF(5&gt;nLan,0,0.65*(IF('XA MU'!$B$25&lt;=5,'XA MU'!$E$25*$C$8*(MAX(0,1-ABS('XA MU'!$C$25-$D69)/xm_sP)+MAX(0,1-ABS('XA MU'!$D$25-$D69)/xm_sP)),0)+IF(ABS($D69-(xm_y0P+(xm_nP-1)/2*xm_sP))&lt;0.000001,IF('XA MU'!$B$25&lt;=5,'XA MU'!$E$25*$C$8*(IF('XA MU'!$C$25&gt;(xm_y0P+(xm_nP-1)/2*xm_sP),2*('XA MU'!$C$25-(xm_y0P+(xm_nP-1)/2*xm_sP))/xm_sP,0)+IF('XA MU'!$D$25&gt;(xm_y0P+(xm_nP-1)/2*xm_sP),2*('XA MU'!$D$25-(xm_y0P+(xm_nP-1)/2*xm_sP))/xm_sP,0)),0),0)+IF('XA MU'!$B$26&lt;=5,'XA MU'!$E$26*$C$8*(MAX(0,1-ABS('XA MU'!$C$26-$D69)/xm_sP)+MAX(0,1-ABS('XA MU'!$D$26-$D69)/xm_sP)),0)+IF(ABS($D69-(xm_y0P+(xm_nP-1)/2*xm_sP))&lt;0.000001,IF('XA MU'!$B$26&lt;=5,'XA MU'!$E$26*$C$8*(IF('XA MU'!$C$26&gt;(xm_y0P+(xm_nP-1)/2*xm_sP),2*('XA MU'!$C$26-(xm_y0P+(xm_nP-1)/2*xm_sP))/xm_sP,0)+IF('XA MU'!$D$26&gt;(xm_y0P+(xm_nP-1)/2*xm_sP),2*('XA MU'!$D$26-(xm_y0P+(xm_nP-1)/2*xm_sP))/xm_sP,0)),0),0)+IF('XA MU'!$B$27&lt;=5,'XA MU'!$E$27*$C$8*(MAX(0,1-ABS('XA MU'!$C$27-$D69)/xm_sP)+MAX(0,1-ABS('XA MU'!$D$27-$D69)/xm_sP)),0)+IF(ABS($D69-(xm_y0P+(xm_nP-1)/2*xm_sP))&lt;0.000001,IF('XA MU'!$B$27&lt;=5,'XA MU'!$E$27*$C$8*(IF('XA MU'!$C$27&gt;(xm_y0P+(xm_nP-1)/2*xm_sP),2*('XA MU'!$C$27-(xm_y0P+(xm_nP-1)/2*xm_sP))/xm_sP,0)+IF('XA MU'!$D$27&gt;(xm_y0P+(xm_nP-1)/2*xm_sP),2*('XA MU'!$D$27-(xm_y0P+(xm_nP-1)/2*xm_sP))/xm_sP,0)),0),0)+IF('XA MU'!$B$28&lt;=5,'XA MU'!$E$28*$C$8*(MAX(0,1-ABS('XA MU'!$C$28-$D69)/xm_sP)+MAX(0,1-ABS('XA MU'!$D$28-$D69)/xm_sP)),0)+IF(ABS($D69-(xm_y0P+(xm_nP-1)/2*xm_sP))&lt;0.000001,IF('XA MU'!$B$28&lt;=5,'XA MU'!$E$28*$C$8*(IF('XA MU'!$C$28&gt;(xm_y0P+(xm_nP-1)/2*xm_sP),2*('XA MU'!$C$28-(xm_y0P+(xm_nP-1)/2*xm_sP))/xm_sP,0)+IF('XA MU'!$D$28&gt;(xm_y0P+(xm_nP-1)/2*xm_sP),2*('XA MU'!$D$28-(xm_y0P+(xm_nP-1)/2*xm_sP))/xm_sP,0)),0),0)+IF('XA MU'!$B$29&lt;=5,'XA MU'!$E$29*$C$8*(MAX(0,1-ABS('XA MU'!$C$29-$D69)/xm_sP)+MAX(0,1-ABS('XA MU'!$D$29-$D69)/xm_sP)),0)+IF(ABS($D69-(xm_y0P+(xm_nP-1)/2*xm_sP))&lt;0.000001,IF('XA MU'!$B$29&lt;=5,'XA MU'!$E$29*$C$8*(IF('XA MU'!$C$29&gt;(xm_y0P+(xm_nP-1)/2*xm_sP),2*('XA MU'!$C$29-(xm_y0P+(xm_nP-1)/2*xm_sP))/xm_sP,0)+IF('XA MU'!$D$29&gt;(xm_y0P+(xm_nP-1)/2*xm_sP),2*('XA MU'!$D$29-(xm_y0P+(xm_nP-1)/2*xm_sP))/xm_sP,0)),0),0)+IF('XA MU'!$B$30&lt;=5,'XA MU'!$E$30*$C$8*(MAX(0,1-ABS('XA MU'!$C$30-$D69)/xm_sP)+MAX(0,1-ABS('XA MU'!$D$30-$D69)/xm_sP)),0)+IF(ABS($D69-(xm_y0P+(xm_nP-1)/2*xm_sP))&lt;0.000001,IF('XA MU'!$B$30&lt;=5,'XA MU'!$E$30*$C$8*(IF('XA MU'!$C$30&gt;(xm_y0P+(xm_nP-1)/2*xm_sP),2*('XA MU'!$C$30-(xm_y0P+(xm_nP-1)/2*xm_sP))/xm_sP,0)+IF('XA MU'!$D$30&gt;(xm_y0P+(xm_nP-1)/2*xm_sP),2*('XA MU'!$D$30-(xm_y0P+(xm_nP-1)/2*xm_sP))/xm_sP,0)),0),0))))</f>
        <v>0</v>
      </c>
      <c r="N69" s="44">
        <f>IF(C69=0,0,IF(6&gt;nLan,0,0.65*(IF('XA MU'!$B$25&lt;=6,'XA MU'!$E$25*$C$8*(MAX(0,1-ABS('XA MU'!$C$25-$D69)/xm_sP)+MAX(0,1-ABS('XA MU'!$D$25-$D69)/xm_sP)),0)+IF(ABS($D69-(xm_y0P+(xm_nP-1)/2*xm_sP))&lt;0.000001,IF('XA MU'!$B$25&lt;=6,'XA MU'!$E$25*$C$8*(IF('XA MU'!$C$25&gt;(xm_y0P+(xm_nP-1)/2*xm_sP),2*('XA MU'!$C$25-(xm_y0P+(xm_nP-1)/2*xm_sP))/xm_sP,0)+IF('XA MU'!$D$25&gt;(xm_y0P+(xm_nP-1)/2*xm_sP),2*('XA MU'!$D$25-(xm_y0P+(xm_nP-1)/2*xm_sP))/xm_sP,0)),0),0)+IF('XA MU'!$B$26&lt;=6,'XA MU'!$E$26*$C$8*(MAX(0,1-ABS('XA MU'!$C$26-$D69)/xm_sP)+MAX(0,1-ABS('XA MU'!$D$26-$D69)/xm_sP)),0)+IF(ABS($D69-(xm_y0P+(xm_nP-1)/2*xm_sP))&lt;0.000001,IF('XA MU'!$B$26&lt;=6,'XA MU'!$E$26*$C$8*(IF('XA MU'!$C$26&gt;(xm_y0P+(xm_nP-1)/2*xm_sP),2*('XA MU'!$C$26-(xm_y0P+(xm_nP-1)/2*xm_sP))/xm_sP,0)+IF('XA MU'!$D$26&gt;(xm_y0P+(xm_nP-1)/2*xm_sP),2*('XA MU'!$D$26-(xm_y0P+(xm_nP-1)/2*xm_sP))/xm_sP,0)),0),0)+IF('XA MU'!$B$27&lt;=6,'XA MU'!$E$27*$C$8*(MAX(0,1-ABS('XA MU'!$C$27-$D69)/xm_sP)+MAX(0,1-ABS('XA MU'!$D$27-$D69)/xm_sP)),0)+IF(ABS($D69-(xm_y0P+(xm_nP-1)/2*xm_sP))&lt;0.000001,IF('XA MU'!$B$27&lt;=6,'XA MU'!$E$27*$C$8*(IF('XA MU'!$C$27&gt;(xm_y0P+(xm_nP-1)/2*xm_sP),2*('XA MU'!$C$27-(xm_y0P+(xm_nP-1)/2*xm_sP))/xm_sP,0)+IF('XA MU'!$D$27&gt;(xm_y0P+(xm_nP-1)/2*xm_sP),2*('XA MU'!$D$27-(xm_y0P+(xm_nP-1)/2*xm_sP))/xm_sP,0)),0),0)+IF('XA MU'!$B$28&lt;=6,'XA MU'!$E$28*$C$8*(MAX(0,1-ABS('XA MU'!$C$28-$D69)/xm_sP)+MAX(0,1-ABS('XA MU'!$D$28-$D69)/xm_sP)),0)+IF(ABS($D69-(xm_y0P+(xm_nP-1)/2*xm_sP))&lt;0.000001,IF('XA MU'!$B$28&lt;=6,'XA MU'!$E$28*$C$8*(IF('XA MU'!$C$28&gt;(xm_y0P+(xm_nP-1)/2*xm_sP),2*('XA MU'!$C$28-(xm_y0P+(xm_nP-1)/2*xm_sP))/xm_sP,0)+IF('XA MU'!$D$28&gt;(xm_y0P+(xm_nP-1)/2*xm_sP),2*('XA MU'!$D$28-(xm_y0P+(xm_nP-1)/2*xm_sP))/xm_sP,0)),0),0)+IF('XA MU'!$B$29&lt;=6,'XA MU'!$E$29*$C$8*(MAX(0,1-ABS('XA MU'!$C$29-$D69)/xm_sP)+MAX(0,1-ABS('XA MU'!$D$29-$D69)/xm_sP)),0)+IF(ABS($D69-(xm_y0P+(xm_nP-1)/2*xm_sP))&lt;0.000001,IF('XA MU'!$B$29&lt;=6,'XA MU'!$E$29*$C$8*(IF('XA MU'!$C$29&gt;(xm_y0P+(xm_nP-1)/2*xm_sP),2*('XA MU'!$C$29-(xm_y0P+(xm_nP-1)/2*xm_sP))/xm_sP,0)+IF('XA MU'!$D$29&gt;(xm_y0P+(xm_nP-1)/2*xm_sP),2*('XA MU'!$D$29-(xm_y0P+(xm_nP-1)/2*xm_sP))/xm_sP,0)),0),0)+IF('XA MU'!$B$30&lt;=6,'XA MU'!$E$30*$C$8*(MAX(0,1-ABS('XA MU'!$C$30-$D69)/xm_sP)+MAX(0,1-ABS('XA MU'!$D$30-$D69)/xm_sP)),0)+IF(ABS($D69-(xm_y0P+(xm_nP-1)/2*xm_sP))&lt;0.000001,IF('XA MU'!$B$30&lt;=6,'XA MU'!$E$30*$C$8*(IF('XA MU'!$C$30&gt;(xm_y0P+(xm_nP-1)/2*xm_sP),2*('XA MU'!$C$30-(xm_y0P+(xm_nP-1)/2*xm_sP))/xm_sP,0)+IF('XA MU'!$D$30&gt;(xm_y0P+(xm_nP-1)/2*xm_sP),2*('XA MU'!$D$30-(xm_y0P+(xm_nP-1)/2*xm_sP))/xm_sP,0)),0),0))))</f>
        <v>0</v>
      </c>
    </row>
    <row r="70" spans="1:14" x14ac:dyDescent="0.3">
      <c r="A70" s="42" t="s">
        <v>1236</v>
      </c>
      <c r="B70" s="42">
        <v>16</v>
      </c>
      <c r="C70" s="40">
        <f t="shared" si="4"/>
        <v>0</v>
      </c>
      <c r="D70" s="44">
        <f t="shared" si="5"/>
        <v>0</v>
      </c>
      <c r="E70" s="44">
        <f>MAX(0,D70-'XA MU'!$C$8)*C70</f>
        <v>0</v>
      </c>
      <c r="F70" s="44">
        <f>IF(AND(C70=1,D70&gt;'XA MU'!$C$8),1,0)</f>
        <v>0</v>
      </c>
      <c r="G70" s="44">
        <f t="shared" si="6"/>
        <v>0</v>
      </c>
      <c r="H70" s="44">
        <f t="shared" si="7"/>
        <v>0</v>
      </c>
      <c r="I70" s="44">
        <f>IF(C70=0,0,IF(1&gt;nLan,0,1.2*(IF('XA MU'!$B$25&lt;=1,'XA MU'!$E$25*$C$8*(MAX(0,1-ABS('XA MU'!$C$25-$D70)/xm_sP)+MAX(0,1-ABS('XA MU'!$D$25-$D70)/xm_sP)),0)+IF(ABS($D70-(xm_y0P+(xm_nP-1)/2*xm_sP))&lt;0.000001,IF('XA MU'!$B$25&lt;=1,'XA MU'!$E$25*$C$8*(IF('XA MU'!$C$25&gt;(xm_y0P+(xm_nP-1)/2*xm_sP),2*('XA MU'!$C$25-(xm_y0P+(xm_nP-1)/2*xm_sP))/xm_sP,0)+IF('XA MU'!$D$25&gt;(xm_y0P+(xm_nP-1)/2*xm_sP),2*('XA MU'!$D$25-(xm_y0P+(xm_nP-1)/2*xm_sP))/xm_sP,0)),0),0)+IF('XA MU'!$B$26&lt;=1,'XA MU'!$E$26*$C$8*(MAX(0,1-ABS('XA MU'!$C$26-$D70)/xm_sP)+MAX(0,1-ABS('XA MU'!$D$26-$D70)/xm_sP)),0)+IF(ABS($D70-(xm_y0P+(xm_nP-1)/2*xm_sP))&lt;0.000001,IF('XA MU'!$B$26&lt;=1,'XA MU'!$E$26*$C$8*(IF('XA MU'!$C$26&gt;(xm_y0P+(xm_nP-1)/2*xm_sP),2*('XA MU'!$C$26-(xm_y0P+(xm_nP-1)/2*xm_sP))/xm_sP,0)+IF('XA MU'!$D$26&gt;(xm_y0P+(xm_nP-1)/2*xm_sP),2*('XA MU'!$D$26-(xm_y0P+(xm_nP-1)/2*xm_sP))/xm_sP,0)),0),0)+IF('XA MU'!$B$27&lt;=1,'XA MU'!$E$27*$C$8*(MAX(0,1-ABS('XA MU'!$C$27-$D70)/xm_sP)+MAX(0,1-ABS('XA MU'!$D$27-$D70)/xm_sP)),0)+IF(ABS($D70-(xm_y0P+(xm_nP-1)/2*xm_sP))&lt;0.000001,IF('XA MU'!$B$27&lt;=1,'XA MU'!$E$27*$C$8*(IF('XA MU'!$C$27&gt;(xm_y0P+(xm_nP-1)/2*xm_sP),2*('XA MU'!$C$27-(xm_y0P+(xm_nP-1)/2*xm_sP))/xm_sP,0)+IF('XA MU'!$D$27&gt;(xm_y0P+(xm_nP-1)/2*xm_sP),2*('XA MU'!$D$27-(xm_y0P+(xm_nP-1)/2*xm_sP))/xm_sP,0)),0),0)+IF('XA MU'!$B$28&lt;=1,'XA MU'!$E$28*$C$8*(MAX(0,1-ABS('XA MU'!$C$28-$D70)/xm_sP)+MAX(0,1-ABS('XA MU'!$D$28-$D70)/xm_sP)),0)+IF(ABS($D70-(xm_y0P+(xm_nP-1)/2*xm_sP))&lt;0.000001,IF('XA MU'!$B$28&lt;=1,'XA MU'!$E$28*$C$8*(IF('XA MU'!$C$28&gt;(xm_y0P+(xm_nP-1)/2*xm_sP),2*('XA MU'!$C$28-(xm_y0P+(xm_nP-1)/2*xm_sP))/xm_sP,0)+IF('XA MU'!$D$28&gt;(xm_y0P+(xm_nP-1)/2*xm_sP),2*('XA MU'!$D$28-(xm_y0P+(xm_nP-1)/2*xm_sP))/xm_sP,0)),0),0)+IF('XA MU'!$B$29&lt;=1,'XA MU'!$E$29*$C$8*(MAX(0,1-ABS('XA MU'!$C$29-$D70)/xm_sP)+MAX(0,1-ABS('XA MU'!$D$29-$D70)/xm_sP)),0)+IF(ABS($D70-(xm_y0P+(xm_nP-1)/2*xm_sP))&lt;0.000001,IF('XA MU'!$B$29&lt;=1,'XA MU'!$E$29*$C$8*(IF('XA MU'!$C$29&gt;(xm_y0P+(xm_nP-1)/2*xm_sP),2*('XA MU'!$C$29-(xm_y0P+(xm_nP-1)/2*xm_sP))/xm_sP,0)+IF('XA MU'!$D$29&gt;(xm_y0P+(xm_nP-1)/2*xm_sP),2*('XA MU'!$D$29-(xm_y0P+(xm_nP-1)/2*xm_sP))/xm_sP,0)),0),0)+IF('XA MU'!$B$30&lt;=1,'XA MU'!$E$30*$C$8*(MAX(0,1-ABS('XA MU'!$C$30-$D70)/xm_sP)+MAX(0,1-ABS('XA MU'!$D$30-$D70)/xm_sP)),0)+IF(ABS($D70-(xm_y0P+(xm_nP-1)/2*xm_sP))&lt;0.000001,IF('XA MU'!$B$30&lt;=1,'XA MU'!$E$30*$C$8*(IF('XA MU'!$C$30&gt;(xm_y0P+(xm_nP-1)/2*xm_sP),2*('XA MU'!$C$30-(xm_y0P+(xm_nP-1)/2*xm_sP))/xm_sP,0)+IF('XA MU'!$D$30&gt;(xm_y0P+(xm_nP-1)/2*xm_sP),2*('XA MU'!$D$30-(xm_y0P+(xm_nP-1)/2*xm_sP))/xm_sP,0)),0),0))))</f>
        <v>0</v>
      </c>
      <c r="J70" s="44">
        <f>IF(C70=0,0,IF(2&gt;nLan,0,1*(IF('XA MU'!$B$25&lt;=2,'XA MU'!$E$25*$C$8*(MAX(0,1-ABS('XA MU'!$C$25-$D70)/xm_sP)+MAX(0,1-ABS('XA MU'!$D$25-$D70)/xm_sP)),0)+IF(ABS($D70-(xm_y0P+(xm_nP-1)/2*xm_sP))&lt;0.000001,IF('XA MU'!$B$25&lt;=2,'XA MU'!$E$25*$C$8*(IF('XA MU'!$C$25&gt;(xm_y0P+(xm_nP-1)/2*xm_sP),2*('XA MU'!$C$25-(xm_y0P+(xm_nP-1)/2*xm_sP))/xm_sP,0)+IF('XA MU'!$D$25&gt;(xm_y0P+(xm_nP-1)/2*xm_sP),2*('XA MU'!$D$25-(xm_y0P+(xm_nP-1)/2*xm_sP))/xm_sP,0)),0),0)+IF('XA MU'!$B$26&lt;=2,'XA MU'!$E$26*$C$8*(MAX(0,1-ABS('XA MU'!$C$26-$D70)/xm_sP)+MAX(0,1-ABS('XA MU'!$D$26-$D70)/xm_sP)),0)+IF(ABS($D70-(xm_y0P+(xm_nP-1)/2*xm_sP))&lt;0.000001,IF('XA MU'!$B$26&lt;=2,'XA MU'!$E$26*$C$8*(IF('XA MU'!$C$26&gt;(xm_y0P+(xm_nP-1)/2*xm_sP),2*('XA MU'!$C$26-(xm_y0P+(xm_nP-1)/2*xm_sP))/xm_sP,0)+IF('XA MU'!$D$26&gt;(xm_y0P+(xm_nP-1)/2*xm_sP),2*('XA MU'!$D$26-(xm_y0P+(xm_nP-1)/2*xm_sP))/xm_sP,0)),0),0)+IF('XA MU'!$B$27&lt;=2,'XA MU'!$E$27*$C$8*(MAX(0,1-ABS('XA MU'!$C$27-$D70)/xm_sP)+MAX(0,1-ABS('XA MU'!$D$27-$D70)/xm_sP)),0)+IF(ABS($D70-(xm_y0P+(xm_nP-1)/2*xm_sP))&lt;0.000001,IF('XA MU'!$B$27&lt;=2,'XA MU'!$E$27*$C$8*(IF('XA MU'!$C$27&gt;(xm_y0P+(xm_nP-1)/2*xm_sP),2*('XA MU'!$C$27-(xm_y0P+(xm_nP-1)/2*xm_sP))/xm_sP,0)+IF('XA MU'!$D$27&gt;(xm_y0P+(xm_nP-1)/2*xm_sP),2*('XA MU'!$D$27-(xm_y0P+(xm_nP-1)/2*xm_sP))/xm_sP,0)),0),0)+IF('XA MU'!$B$28&lt;=2,'XA MU'!$E$28*$C$8*(MAX(0,1-ABS('XA MU'!$C$28-$D70)/xm_sP)+MAX(0,1-ABS('XA MU'!$D$28-$D70)/xm_sP)),0)+IF(ABS($D70-(xm_y0P+(xm_nP-1)/2*xm_sP))&lt;0.000001,IF('XA MU'!$B$28&lt;=2,'XA MU'!$E$28*$C$8*(IF('XA MU'!$C$28&gt;(xm_y0P+(xm_nP-1)/2*xm_sP),2*('XA MU'!$C$28-(xm_y0P+(xm_nP-1)/2*xm_sP))/xm_sP,0)+IF('XA MU'!$D$28&gt;(xm_y0P+(xm_nP-1)/2*xm_sP),2*('XA MU'!$D$28-(xm_y0P+(xm_nP-1)/2*xm_sP))/xm_sP,0)),0),0)+IF('XA MU'!$B$29&lt;=2,'XA MU'!$E$29*$C$8*(MAX(0,1-ABS('XA MU'!$C$29-$D70)/xm_sP)+MAX(0,1-ABS('XA MU'!$D$29-$D70)/xm_sP)),0)+IF(ABS($D70-(xm_y0P+(xm_nP-1)/2*xm_sP))&lt;0.000001,IF('XA MU'!$B$29&lt;=2,'XA MU'!$E$29*$C$8*(IF('XA MU'!$C$29&gt;(xm_y0P+(xm_nP-1)/2*xm_sP),2*('XA MU'!$C$29-(xm_y0P+(xm_nP-1)/2*xm_sP))/xm_sP,0)+IF('XA MU'!$D$29&gt;(xm_y0P+(xm_nP-1)/2*xm_sP),2*('XA MU'!$D$29-(xm_y0P+(xm_nP-1)/2*xm_sP))/xm_sP,0)),0),0)+IF('XA MU'!$B$30&lt;=2,'XA MU'!$E$30*$C$8*(MAX(0,1-ABS('XA MU'!$C$30-$D70)/xm_sP)+MAX(0,1-ABS('XA MU'!$D$30-$D70)/xm_sP)),0)+IF(ABS($D70-(xm_y0P+(xm_nP-1)/2*xm_sP))&lt;0.000001,IF('XA MU'!$B$30&lt;=2,'XA MU'!$E$30*$C$8*(IF('XA MU'!$C$30&gt;(xm_y0P+(xm_nP-1)/2*xm_sP),2*('XA MU'!$C$30-(xm_y0P+(xm_nP-1)/2*xm_sP))/xm_sP,0)+IF('XA MU'!$D$30&gt;(xm_y0P+(xm_nP-1)/2*xm_sP),2*('XA MU'!$D$30-(xm_y0P+(xm_nP-1)/2*xm_sP))/xm_sP,0)),0),0))))</f>
        <v>0</v>
      </c>
      <c r="K70" s="44">
        <f>IF(C70=0,0,IF(3&gt;nLan,0,0.85*(IF('XA MU'!$B$25&lt;=3,'XA MU'!$E$25*$C$8*(MAX(0,1-ABS('XA MU'!$C$25-$D70)/xm_sP)+MAX(0,1-ABS('XA MU'!$D$25-$D70)/xm_sP)),0)+IF(ABS($D70-(xm_y0P+(xm_nP-1)/2*xm_sP))&lt;0.000001,IF('XA MU'!$B$25&lt;=3,'XA MU'!$E$25*$C$8*(IF('XA MU'!$C$25&gt;(xm_y0P+(xm_nP-1)/2*xm_sP),2*('XA MU'!$C$25-(xm_y0P+(xm_nP-1)/2*xm_sP))/xm_sP,0)+IF('XA MU'!$D$25&gt;(xm_y0P+(xm_nP-1)/2*xm_sP),2*('XA MU'!$D$25-(xm_y0P+(xm_nP-1)/2*xm_sP))/xm_sP,0)),0),0)+IF('XA MU'!$B$26&lt;=3,'XA MU'!$E$26*$C$8*(MAX(0,1-ABS('XA MU'!$C$26-$D70)/xm_sP)+MAX(0,1-ABS('XA MU'!$D$26-$D70)/xm_sP)),0)+IF(ABS($D70-(xm_y0P+(xm_nP-1)/2*xm_sP))&lt;0.000001,IF('XA MU'!$B$26&lt;=3,'XA MU'!$E$26*$C$8*(IF('XA MU'!$C$26&gt;(xm_y0P+(xm_nP-1)/2*xm_sP),2*('XA MU'!$C$26-(xm_y0P+(xm_nP-1)/2*xm_sP))/xm_sP,0)+IF('XA MU'!$D$26&gt;(xm_y0P+(xm_nP-1)/2*xm_sP),2*('XA MU'!$D$26-(xm_y0P+(xm_nP-1)/2*xm_sP))/xm_sP,0)),0),0)+IF('XA MU'!$B$27&lt;=3,'XA MU'!$E$27*$C$8*(MAX(0,1-ABS('XA MU'!$C$27-$D70)/xm_sP)+MAX(0,1-ABS('XA MU'!$D$27-$D70)/xm_sP)),0)+IF(ABS($D70-(xm_y0P+(xm_nP-1)/2*xm_sP))&lt;0.000001,IF('XA MU'!$B$27&lt;=3,'XA MU'!$E$27*$C$8*(IF('XA MU'!$C$27&gt;(xm_y0P+(xm_nP-1)/2*xm_sP),2*('XA MU'!$C$27-(xm_y0P+(xm_nP-1)/2*xm_sP))/xm_sP,0)+IF('XA MU'!$D$27&gt;(xm_y0P+(xm_nP-1)/2*xm_sP),2*('XA MU'!$D$27-(xm_y0P+(xm_nP-1)/2*xm_sP))/xm_sP,0)),0),0)+IF('XA MU'!$B$28&lt;=3,'XA MU'!$E$28*$C$8*(MAX(0,1-ABS('XA MU'!$C$28-$D70)/xm_sP)+MAX(0,1-ABS('XA MU'!$D$28-$D70)/xm_sP)),0)+IF(ABS($D70-(xm_y0P+(xm_nP-1)/2*xm_sP))&lt;0.000001,IF('XA MU'!$B$28&lt;=3,'XA MU'!$E$28*$C$8*(IF('XA MU'!$C$28&gt;(xm_y0P+(xm_nP-1)/2*xm_sP),2*('XA MU'!$C$28-(xm_y0P+(xm_nP-1)/2*xm_sP))/xm_sP,0)+IF('XA MU'!$D$28&gt;(xm_y0P+(xm_nP-1)/2*xm_sP),2*('XA MU'!$D$28-(xm_y0P+(xm_nP-1)/2*xm_sP))/xm_sP,0)),0),0)+IF('XA MU'!$B$29&lt;=3,'XA MU'!$E$29*$C$8*(MAX(0,1-ABS('XA MU'!$C$29-$D70)/xm_sP)+MAX(0,1-ABS('XA MU'!$D$29-$D70)/xm_sP)),0)+IF(ABS($D70-(xm_y0P+(xm_nP-1)/2*xm_sP))&lt;0.000001,IF('XA MU'!$B$29&lt;=3,'XA MU'!$E$29*$C$8*(IF('XA MU'!$C$29&gt;(xm_y0P+(xm_nP-1)/2*xm_sP),2*('XA MU'!$C$29-(xm_y0P+(xm_nP-1)/2*xm_sP))/xm_sP,0)+IF('XA MU'!$D$29&gt;(xm_y0P+(xm_nP-1)/2*xm_sP),2*('XA MU'!$D$29-(xm_y0P+(xm_nP-1)/2*xm_sP))/xm_sP,0)),0),0)+IF('XA MU'!$B$30&lt;=3,'XA MU'!$E$30*$C$8*(MAX(0,1-ABS('XA MU'!$C$30-$D70)/xm_sP)+MAX(0,1-ABS('XA MU'!$D$30-$D70)/xm_sP)),0)+IF(ABS($D70-(xm_y0P+(xm_nP-1)/2*xm_sP))&lt;0.000001,IF('XA MU'!$B$30&lt;=3,'XA MU'!$E$30*$C$8*(IF('XA MU'!$C$30&gt;(xm_y0P+(xm_nP-1)/2*xm_sP),2*('XA MU'!$C$30-(xm_y0P+(xm_nP-1)/2*xm_sP))/xm_sP,0)+IF('XA MU'!$D$30&gt;(xm_y0P+(xm_nP-1)/2*xm_sP),2*('XA MU'!$D$30-(xm_y0P+(xm_nP-1)/2*xm_sP))/xm_sP,0)),0),0))))</f>
        <v>0</v>
      </c>
      <c r="L70" s="44">
        <f>IF(C70=0,0,IF(4&gt;nLan,0,0.65*(IF('XA MU'!$B$25&lt;=4,'XA MU'!$E$25*$C$8*(MAX(0,1-ABS('XA MU'!$C$25-$D70)/xm_sP)+MAX(0,1-ABS('XA MU'!$D$25-$D70)/xm_sP)),0)+IF(ABS($D70-(xm_y0P+(xm_nP-1)/2*xm_sP))&lt;0.000001,IF('XA MU'!$B$25&lt;=4,'XA MU'!$E$25*$C$8*(IF('XA MU'!$C$25&gt;(xm_y0P+(xm_nP-1)/2*xm_sP),2*('XA MU'!$C$25-(xm_y0P+(xm_nP-1)/2*xm_sP))/xm_sP,0)+IF('XA MU'!$D$25&gt;(xm_y0P+(xm_nP-1)/2*xm_sP),2*('XA MU'!$D$25-(xm_y0P+(xm_nP-1)/2*xm_sP))/xm_sP,0)),0),0)+IF('XA MU'!$B$26&lt;=4,'XA MU'!$E$26*$C$8*(MAX(0,1-ABS('XA MU'!$C$26-$D70)/xm_sP)+MAX(0,1-ABS('XA MU'!$D$26-$D70)/xm_sP)),0)+IF(ABS($D70-(xm_y0P+(xm_nP-1)/2*xm_sP))&lt;0.000001,IF('XA MU'!$B$26&lt;=4,'XA MU'!$E$26*$C$8*(IF('XA MU'!$C$26&gt;(xm_y0P+(xm_nP-1)/2*xm_sP),2*('XA MU'!$C$26-(xm_y0P+(xm_nP-1)/2*xm_sP))/xm_sP,0)+IF('XA MU'!$D$26&gt;(xm_y0P+(xm_nP-1)/2*xm_sP),2*('XA MU'!$D$26-(xm_y0P+(xm_nP-1)/2*xm_sP))/xm_sP,0)),0),0)+IF('XA MU'!$B$27&lt;=4,'XA MU'!$E$27*$C$8*(MAX(0,1-ABS('XA MU'!$C$27-$D70)/xm_sP)+MAX(0,1-ABS('XA MU'!$D$27-$D70)/xm_sP)),0)+IF(ABS($D70-(xm_y0P+(xm_nP-1)/2*xm_sP))&lt;0.000001,IF('XA MU'!$B$27&lt;=4,'XA MU'!$E$27*$C$8*(IF('XA MU'!$C$27&gt;(xm_y0P+(xm_nP-1)/2*xm_sP),2*('XA MU'!$C$27-(xm_y0P+(xm_nP-1)/2*xm_sP))/xm_sP,0)+IF('XA MU'!$D$27&gt;(xm_y0P+(xm_nP-1)/2*xm_sP),2*('XA MU'!$D$27-(xm_y0P+(xm_nP-1)/2*xm_sP))/xm_sP,0)),0),0)+IF('XA MU'!$B$28&lt;=4,'XA MU'!$E$28*$C$8*(MAX(0,1-ABS('XA MU'!$C$28-$D70)/xm_sP)+MAX(0,1-ABS('XA MU'!$D$28-$D70)/xm_sP)),0)+IF(ABS($D70-(xm_y0P+(xm_nP-1)/2*xm_sP))&lt;0.000001,IF('XA MU'!$B$28&lt;=4,'XA MU'!$E$28*$C$8*(IF('XA MU'!$C$28&gt;(xm_y0P+(xm_nP-1)/2*xm_sP),2*('XA MU'!$C$28-(xm_y0P+(xm_nP-1)/2*xm_sP))/xm_sP,0)+IF('XA MU'!$D$28&gt;(xm_y0P+(xm_nP-1)/2*xm_sP),2*('XA MU'!$D$28-(xm_y0P+(xm_nP-1)/2*xm_sP))/xm_sP,0)),0),0)+IF('XA MU'!$B$29&lt;=4,'XA MU'!$E$29*$C$8*(MAX(0,1-ABS('XA MU'!$C$29-$D70)/xm_sP)+MAX(0,1-ABS('XA MU'!$D$29-$D70)/xm_sP)),0)+IF(ABS($D70-(xm_y0P+(xm_nP-1)/2*xm_sP))&lt;0.000001,IF('XA MU'!$B$29&lt;=4,'XA MU'!$E$29*$C$8*(IF('XA MU'!$C$29&gt;(xm_y0P+(xm_nP-1)/2*xm_sP),2*('XA MU'!$C$29-(xm_y0P+(xm_nP-1)/2*xm_sP))/xm_sP,0)+IF('XA MU'!$D$29&gt;(xm_y0P+(xm_nP-1)/2*xm_sP),2*('XA MU'!$D$29-(xm_y0P+(xm_nP-1)/2*xm_sP))/xm_sP,0)),0),0)+IF('XA MU'!$B$30&lt;=4,'XA MU'!$E$30*$C$8*(MAX(0,1-ABS('XA MU'!$C$30-$D70)/xm_sP)+MAX(0,1-ABS('XA MU'!$D$30-$D70)/xm_sP)),0)+IF(ABS($D70-(xm_y0P+(xm_nP-1)/2*xm_sP))&lt;0.000001,IF('XA MU'!$B$30&lt;=4,'XA MU'!$E$30*$C$8*(IF('XA MU'!$C$30&gt;(xm_y0P+(xm_nP-1)/2*xm_sP),2*('XA MU'!$C$30-(xm_y0P+(xm_nP-1)/2*xm_sP))/xm_sP,0)+IF('XA MU'!$D$30&gt;(xm_y0P+(xm_nP-1)/2*xm_sP),2*('XA MU'!$D$30-(xm_y0P+(xm_nP-1)/2*xm_sP))/xm_sP,0)),0),0))))</f>
        <v>0</v>
      </c>
      <c r="M70" s="44">
        <f>IF(C70=0,0,IF(5&gt;nLan,0,0.65*(IF('XA MU'!$B$25&lt;=5,'XA MU'!$E$25*$C$8*(MAX(0,1-ABS('XA MU'!$C$25-$D70)/xm_sP)+MAX(0,1-ABS('XA MU'!$D$25-$D70)/xm_sP)),0)+IF(ABS($D70-(xm_y0P+(xm_nP-1)/2*xm_sP))&lt;0.000001,IF('XA MU'!$B$25&lt;=5,'XA MU'!$E$25*$C$8*(IF('XA MU'!$C$25&gt;(xm_y0P+(xm_nP-1)/2*xm_sP),2*('XA MU'!$C$25-(xm_y0P+(xm_nP-1)/2*xm_sP))/xm_sP,0)+IF('XA MU'!$D$25&gt;(xm_y0P+(xm_nP-1)/2*xm_sP),2*('XA MU'!$D$25-(xm_y0P+(xm_nP-1)/2*xm_sP))/xm_sP,0)),0),0)+IF('XA MU'!$B$26&lt;=5,'XA MU'!$E$26*$C$8*(MAX(0,1-ABS('XA MU'!$C$26-$D70)/xm_sP)+MAX(0,1-ABS('XA MU'!$D$26-$D70)/xm_sP)),0)+IF(ABS($D70-(xm_y0P+(xm_nP-1)/2*xm_sP))&lt;0.000001,IF('XA MU'!$B$26&lt;=5,'XA MU'!$E$26*$C$8*(IF('XA MU'!$C$26&gt;(xm_y0P+(xm_nP-1)/2*xm_sP),2*('XA MU'!$C$26-(xm_y0P+(xm_nP-1)/2*xm_sP))/xm_sP,0)+IF('XA MU'!$D$26&gt;(xm_y0P+(xm_nP-1)/2*xm_sP),2*('XA MU'!$D$26-(xm_y0P+(xm_nP-1)/2*xm_sP))/xm_sP,0)),0),0)+IF('XA MU'!$B$27&lt;=5,'XA MU'!$E$27*$C$8*(MAX(0,1-ABS('XA MU'!$C$27-$D70)/xm_sP)+MAX(0,1-ABS('XA MU'!$D$27-$D70)/xm_sP)),0)+IF(ABS($D70-(xm_y0P+(xm_nP-1)/2*xm_sP))&lt;0.000001,IF('XA MU'!$B$27&lt;=5,'XA MU'!$E$27*$C$8*(IF('XA MU'!$C$27&gt;(xm_y0P+(xm_nP-1)/2*xm_sP),2*('XA MU'!$C$27-(xm_y0P+(xm_nP-1)/2*xm_sP))/xm_sP,0)+IF('XA MU'!$D$27&gt;(xm_y0P+(xm_nP-1)/2*xm_sP),2*('XA MU'!$D$27-(xm_y0P+(xm_nP-1)/2*xm_sP))/xm_sP,0)),0),0)+IF('XA MU'!$B$28&lt;=5,'XA MU'!$E$28*$C$8*(MAX(0,1-ABS('XA MU'!$C$28-$D70)/xm_sP)+MAX(0,1-ABS('XA MU'!$D$28-$D70)/xm_sP)),0)+IF(ABS($D70-(xm_y0P+(xm_nP-1)/2*xm_sP))&lt;0.000001,IF('XA MU'!$B$28&lt;=5,'XA MU'!$E$28*$C$8*(IF('XA MU'!$C$28&gt;(xm_y0P+(xm_nP-1)/2*xm_sP),2*('XA MU'!$C$28-(xm_y0P+(xm_nP-1)/2*xm_sP))/xm_sP,0)+IF('XA MU'!$D$28&gt;(xm_y0P+(xm_nP-1)/2*xm_sP),2*('XA MU'!$D$28-(xm_y0P+(xm_nP-1)/2*xm_sP))/xm_sP,0)),0),0)+IF('XA MU'!$B$29&lt;=5,'XA MU'!$E$29*$C$8*(MAX(0,1-ABS('XA MU'!$C$29-$D70)/xm_sP)+MAX(0,1-ABS('XA MU'!$D$29-$D70)/xm_sP)),0)+IF(ABS($D70-(xm_y0P+(xm_nP-1)/2*xm_sP))&lt;0.000001,IF('XA MU'!$B$29&lt;=5,'XA MU'!$E$29*$C$8*(IF('XA MU'!$C$29&gt;(xm_y0P+(xm_nP-1)/2*xm_sP),2*('XA MU'!$C$29-(xm_y0P+(xm_nP-1)/2*xm_sP))/xm_sP,0)+IF('XA MU'!$D$29&gt;(xm_y0P+(xm_nP-1)/2*xm_sP),2*('XA MU'!$D$29-(xm_y0P+(xm_nP-1)/2*xm_sP))/xm_sP,0)),0),0)+IF('XA MU'!$B$30&lt;=5,'XA MU'!$E$30*$C$8*(MAX(0,1-ABS('XA MU'!$C$30-$D70)/xm_sP)+MAX(0,1-ABS('XA MU'!$D$30-$D70)/xm_sP)),0)+IF(ABS($D70-(xm_y0P+(xm_nP-1)/2*xm_sP))&lt;0.000001,IF('XA MU'!$B$30&lt;=5,'XA MU'!$E$30*$C$8*(IF('XA MU'!$C$30&gt;(xm_y0P+(xm_nP-1)/2*xm_sP),2*('XA MU'!$C$30-(xm_y0P+(xm_nP-1)/2*xm_sP))/xm_sP,0)+IF('XA MU'!$D$30&gt;(xm_y0P+(xm_nP-1)/2*xm_sP),2*('XA MU'!$D$30-(xm_y0P+(xm_nP-1)/2*xm_sP))/xm_sP,0)),0),0))))</f>
        <v>0</v>
      </c>
      <c r="N70" s="44">
        <f>IF(C70=0,0,IF(6&gt;nLan,0,0.65*(IF('XA MU'!$B$25&lt;=6,'XA MU'!$E$25*$C$8*(MAX(0,1-ABS('XA MU'!$C$25-$D70)/xm_sP)+MAX(0,1-ABS('XA MU'!$D$25-$D70)/xm_sP)),0)+IF(ABS($D70-(xm_y0P+(xm_nP-1)/2*xm_sP))&lt;0.000001,IF('XA MU'!$B$25&lt;=6,'XA MU'!$E$25*$C$8*(IF('XA MU'!$C$25&gt;(xm_y0P+(xm_nP-1)/2*xm_sP),2*('XA MU'!$C$25-(xm_y0P+(xm_nP-1)/2*xm_sP))/xm_sP,0)+IF('XA MU'!$D$25&gt;(xm_y0P+(xm_nP-1)/2*xm_sP),2*('XA MU'!$D$25-(xm_y0P+(xm_nP-1)/2*xm_sP))/xm_sP,0)),0),0)+IF('XA MU'!$B$26&lt;=6,'XA MU'!$E$26*$C$8*(MAX(0,1-ABS('XA MU'!$C$26-$D70)/xm_sP)+MAX(0,1-ABS('XA MU'!$D$26-$D70)/xm_sP)),0)+IF(ABS($D70-(xm_y0P+(xm_nP-1)/2*xm_sP))&lt;0.000001,IF('XA MU'!$B$26&lt;=6,'XA MU'!$E$26*$C$8*(IF('XA MU'!$C$26&gt;(xm_y0P+(xm_nP-1)/2*xm_sP),2*('XA MU'!$C$26-(xm_y0P+(xm_nP-1)/2*xm_sP))/xm_sP,0)+IF('XA MU'!$D$26&gt;(xm_y0P+(xm_nP-1)/2*xm_sP),2*('XA MU'!$D$26-(xm_y0P+(xm_nP-1)/2*xm_sP))/xm_sP,0)),0),0)+IF('XA MU'!$B$27&lt;=6,'XA MU'!$E$27*$C$8*(MAX(0,1-ABS('XA MU'!$C$27-$D70)/xm_sP)+MAX(0,1-ABS('XA MU'!$D$27-$D70)/xm_sP)),0)+IF(ABS($D70-(xm_y0P+(xm_nP-1)/2*xm_sP))&lt;0.000001,IF('XA MU'!$B$27&lt;=6,'XA MU'!$E$27*$C$8*(IF('XA MU'!$C$27&gt;(xm_y0P+(xm_nP-1)/2*xm_sP),2*('XA MU'!$C$27-(xm_y0P+(xm_nP-1)/2*xm_sP))/xm_sP,0)+IF('XA MU'!$D$27&gt;(xm_y0P+(xm_nP-1)/2*xm_sP),2*('XA MU'!$D$27-(xm_y0P+(xm_nP-1)/2*xm_sP))/xm_sP,0)),0),0)+IF('XA MU'!$B$28&lt;=6,'XA MU'!$E$28*$C$8*(MAX(0,1-ABS('XA MU'!$C$28-$D70)/xm_sP)+MAX(0,1-ABS('XA MU'!$D$28-$D70)/xm_sP)),0)+IF(ABS($D70-(xm_y0P+(xm_nP-1)/2*xm_sP))&lt;0.000001,IF('XA MU'!$B$28&lt;=6,'XA MU'!$E$28*$C$8*(IF('XA MU'!$C$28&gt;(xm_y0P+(xm_nP-1)/2*xm_sP),2*('XA MU'!$C$28-(xm_y0P+(xm_nP-1)/2*xm_sP))/xm_sP,0)+IF('XA MU'!$D$28&gt;(xm_y0P+(xm_nP-1)/2*xm_sP),2*('XA MU'!$D$28-(xm_y0P+(xm_nP-1)/2*xm_sP))/xm_sP,0)),0),0)+IF('XA MU'!$B$29&lt;=6,'XA MU'!$E$29*$C$8*(MAX(0,1-ABS('XA MU'!$C$29-$D70)/xm_sP)+MAX(0,1-ABS('XA MU'!$D$29-$D70)/xm_sP)),0)+IF(ABS($D70-(xm_y0P+(xm_nP-1)/2*xm_sP))&lt;0.000001,IF('XA MU'!$B$29&lt;=6,'XA MU'!$E$29*$C$8*(IF('XA MU'!$C$29&gt;(xm_y0P+(xm_nP-1)/2*xm_sP),2*('XA MU'!$C$29-(xm_y0P+(xm_nP-1)/2*xm_sP))/xm_sP,0)+IF('XA MU'!$D$29&gt;(xm_y0P+(xm_nP-1)/2*xm_sP),2*('XA MU'!$D$29-(xm_y0P+(xm_nP-1)/2*xm_sP))/xm_sP,0)),0),0)+IF('XA MU'!$B$30&lt;=6,'XA MU'!$E$30*$C$8*(MAX(0,1-ABS('XA MU'!$C$30-$D70)/xm_sP)+MAX(0,1-ABS('XA MU'!$D$30-$D70)/xm_sP)),0)+IF(ABS($D70-(xm_y0P+(xm_nP-1)/2*xm_sP))&lt;0.000001,IF('XA MU'!$B$30&lt;=6,'XA MU'!$E$30*$C$8*(IF('XA MU'!$C$30&gt;(xm_y0P+(xm_nP-1)/2*xm_sP),2*('XA MU'!$C$30-(xm_y0P+(xm_nP-1)/2*xm_sP))/xm_sP,0)+IF('XA MU'!$D$30&gt;(xm_y0P+(xm_nP-1)/2*xm_sP),2*('XA MU'!$D$30-(xm_y0P+(xm_nP-1)/2*xm_sP))/xm_sP,0)),0),0))))</f>
        <v>0</v>
      </c>
    </row>
    <row r="71" spans="1:14" x14ac:dyDescent="0.3">
      <c r="A71" s="42" t="s">
        <v>1236</v>
      </c>
      <c r="B71" s="42">
        <v>17</v>
      </c>
      <c r="C71" s="40">
        <f t="shared" si="4"/>
        <v>0</v>
      </c>
      <c r="D71" s="44">
        <f t="shared" si="5"/>
        <v>0</v>
      </c>
      <c r="E71" s="44">
        <f>MAX(0,D71-'XA MU'!$C$8)*C71</f>
        <v>0</v>
      </c>
      <c r="F71" s="44">
        <f>IF(AND(C71=1,D71&gt;'XA MU'!$C$8),1,0)</f>
        <v>0</v>
      </c>
      <c r="G71" s="44">
        <f t="shared" si="6"/>
        <v>0</v>
      </c>
      <c r="H71" s="44">
        <f t="shared" si="7"/>
        <v>0</v>
      </c>
      <c r="I71" s="44">
        <f>IF(C71=0,0,IF(1&gt;nLan,0,1.2*(IF('XA MU'!$B$25&lt;=1,'XA MU'!$E$25*$C$8*(MAX(0,1-ABS('XA MU'!$C$25-$D71)/xm_sP)+MAX(0,1-ABS('XA MU'!$D$25-$D71)/xm_sP)),0)+IF(ABS($D71-(xm_y0P+(xm_nP-1)/2*xm_sP))&lt;0.000001,IF('XA MU'!$B$25&lt;=1,'XA MU'!$E$25*$C$8*(IF('XA MU'!$C$25&gt;(xm_y0P+(xm_nP-1)/2*xm_sP),2*('XA MU'!$C$25-(xm_y0P+(xm_nP-1)/2*xm_sP))/xm_sP,0)+IF('XA MU'!$D$25&gt;(xm_y0P+(xm_nP-1)/2*xm_sP),2*('XA MU'!$D$25-(xm_y0P+(xm_nP-1)/2*xm_sP))/xm_sP,0)),0),0)+IF('XA MU'!$B$26&lt;=1,'XA MU'!$E$26*$C$8*(MAX(0,1-ABS('XA MU'!$C$26-$D71)/xm_sP)+MAX(0,1-ABS('XA MU'!$D$26-$D71)/xm_sP)),0)+IF(ABS($D71-(xm_y0P+(xm_nP-1)/2*xm_sP))&lt;0.000001,IF('XA MU'!$B$26&lt;=1,'XA MU'!$E$26*$C$8*(IF('XA MU'!$C$26&gt;(xm_y0P+(xm_nP-1)/2*xm_sP),2*('XA MU'!$C$26-(xm_y0P+(xm_nP-1)/2*xm_sP))/xm_sP,0)+IF('XA MU'!$D$26&gt;(xm_y0P+(xm_nP-1)/2*xm_sP),2*('XA MU'!$D$26-(xm_y0P+(xm_nP-1)/2*xm_sP))/xm_sP,0)),0),0)+IF('XA MU'!$B$27&lt;=1,'XA MU'!$E$27*$C$8*(MAX(0,1-ABS('XA MU'!$C$27-$D71)/xm_sP)+MAX(0,1-ABS('XA MU'!$D$27-$D71)/xm_sP)),0)+IF(ABS($D71-(xm_y0P+(xm_nP-1)/2*xm_sP))&lt;0.000001,IF('XA MU'!$B$27&lt;=1,'XA MU'!$E$27*$C$8*(IF('XA MU'!$C$27&gt;(xm_y0P+(xm_nP-1)/2*xm_sP),2*('XA MU'!$C$27-(xm_y0P+(xm_nP-1)/2*xm_sP))/xm_sP,0)+IF('XA MU'!$D$27&gt;(xm_y0P+(xm_nP-1)/2*xm_sP),2*('XA MU'!$D$27-(xm_y0P+(xm_nP-1)/2*xm_sP))/xm_sP,0)),0),0)+IF('XA MU'!$B$28&lt;=1,'XA MU'!$E$28*$C$8*(MAX(0,1-ABS('XA MU'!$C$28-$D71)/xm_sP)+MAX(0,1-ABS('XA MU'!$D$28-$D71)/xm_sP)),0)+IF(ABS($D71-(xm_y0P+(xm_nP-1)/2*xm_sP))&lt;0.000001,IF('XA MU'!$B$28&lt;=1,'XA MU'!$E$28*$C$8*(IF('XA MU'!$C$28&gt;(xm_y0P+(xm_nP-1)/2*xm_sP),2*('XA MU'!$C$28-(xm_y0P+(xm_nP-1)/2*xm_sP))/xm_sP,0)+IF('XA MU'!$D$28&gt;(xm_y0P+(xm_nP-1)/2*xm_sP),2*('XA MU'!$D$28-(xm_y0P+(xm_nP-1)/2*xm_sP))/xm_sP,0)),0),0)+IF('XA MU'!$B$29&lt;=1,'XA MU'!$E$29*$C$8*(MAX(0,1-ABS('XA MU'!$C$29-$D71)/xm_sP)+MAX(0,1-ABS('XA MU'!$D$29-$D71)/xm_sP)),0)+IF(ABS($D71-(xm_y0P+(xm_nP-1)/2*xm_sP))&lt;0.000001,IF('XA MU'!$B$29&lt;=1,'XA MU'!$E$29*$C$8*(IF('XA MU'!$C$29&gt;(xm_y0P+(xm_nP-1)/2*xm_sP),2*('XA MU'!$C$29-(xm_y0P+(xm_nP-1)/2*xm_sP))/xm_sP,0)+IF('XA MU'!$D$29&gt;(xm_y0P+(xm_nP-1)/2*xm_sP),2*('XA MU'!$D$29-(xm_y0P+(xm_nP-1)/2*xm_sP))/xm_sP,0)),0),0)+IF('XA MU'!$B$30&lt;=1,'XA MU'!$E$30*$C$8*(MAX(0,1-ABS('XA MU'!$C$30-$D71)/xm_sP)+MAX(0,1-ABS('XA MU'!$D$30-$D71)/xm_sP)),0)+IF(ABS($D71-(xm_y0P+(xm_nP-1)/2*xm_sP))&lt;0.000001,IF('XA MU'!$B$30&lt;=1,'XA MU'!$E$30*$C$8*(IF('XA MU'!$C$30&gt;(xm_y0P+(xm_nP-1)/2*xm_sP),2*('XA MU'!$C$30-(xm_y0P+(xm_nP-1)/2*xm_sP))/xm_sP,0)+IF('XA MU'!$D$30&gt;(xm_y0P+(xm_nP-1)/2*xm_sP),2*('XA MU'!$D$30-(xm_y0P+(xm_nP-1)/2*xm_sP))/xm_sP,0)),0),0))))</f>
        <v>0</v>
      </c>
      <c r="J71" s="44">
        <f>IF(C71=0,0,IF(2&gt;nLan,0,1*(IF('XA MU'!$B$25&lt;=2,'XA MU'!$E$25*$C$8*(MAX(0,1-ABS('XA MU'!$C$25-$D71)/xm_sP)+MAX(0,1-ABS('XA MU'!$D$25-$D71)/xm_sP)),0)+IF(ABS($D71-(xm_y0P+(xm_nP-1)/2*xm_sP))&lt;0.000001,IF('XA MU'!$B$25&lt;=2,'XA MU'!$E$25*$C$8*(IF('XA MU'!$C$25&gt;(xm_y0P+(xm_nP-1)/2*xm_sP),2*('XA MU'!$C$25-(xm_y0P+(xm_nP-1)/2*xm_sP))/xm_sP,0)+IF('XA MU'!$D$25&gt;(xm_y0P+(xm_nP-1)/2*xm_sP),2*('XA MU'!$D$25-(xm_y0P+(xm_nP-1)/2*xm_sP))/xm_sP,0)),0),0)+IF('XA MU'!$B$26&lt;=2,'XA MU'!$E$26*$C$8*(MAX(0,1-ABS('XA MU'!$C$26-$D71)/xm_sP)+MAX(0,1-ABS('XA MU'!$D$26-$D71)/xm_sP)),0)+IF(ABS($D71-(xm_y0P+(xm_nP-1)/2*xm_sP))&lt;0.000001,IF('XA MU'!$B$26&lt;=2,'XA MU'!$E$26*$C$8*(IF('XA MU'!$C$26&gt;(xm_y0P+(xm_nP-1)/2*xm_sP),2*('XA MU'!$C$26-(xm_y0P+(xm_nP-1)/2*xm_sP))/xm_sP,0)+IF('XA MU'!$D$26&gt;(xm_y0P+(xm_nP-1)/2*xm_sP),2*('XA MU'!$D$26-(xm_y0P+(xm_nP-1)/2*xm_sP))/xm_sP,0)),0),0)+IF('XA MU'!$B$27&lt;=2,'XA MU'!$E$27*$C$8*(MAX(0,1-ABS('XA MU'!$C$27-$D71)/xm_sP)+MAX(0,1-ABS('XA MU'!$D$27-$D71)/xm_sP)),0)+IF(ABS($D71-(xm_y0P+(xm_nP-1)/2*xm_sP))&lt;0.000001,IF('XA MU'!$B$27&lt;=2,'XA MU'!$E$27*$C$8*(IF('XA MU'!$C$27&gt;(xm_y0P+(xm_nP-1)/2*xm_sP),2*('XA MU'!$C$27-(xm_y0P+(xm_nP-1)/2*xm_sP))/xm_sP,0)+IF('XA MU'!$D$27&gt;(xm_y0P+(xm_nP-1)/2*xm_sP),2*('XA MU'!$D$27-(xm_y0P+(xm_nP-1)/2*xm_sP))/xm_sP,0)),0),0)+IF('XA MU'!$B$28&lt;=2,'XA MU'!$E$28*$C$8*(MAX(0,1-ABS('XA MU'!$C$28-$D71)/xm_sP)+MAX(0,1-ABS('XA MU'!$D$28-$D71)/xm_sP)),0)+IF(ABS($D71-(xm_y0P+(xm_nP-1)/2*xm_sP))&lt;0.000001,IF('XA MU'!$B$28&lt;=2,'XA MU'!$E$28*$C$8*(IF('XA MU'!$C$28&gt;(xm_y0P+(xm_nP-1)/2*xm_sP),2*('XA MU'!$C$28-(xm_y0P+(xm_nP-1)/2*xm_sP))/xm_sP,0)+IF('XA MU'!$D$28&gt;(xm_y0P+(xm_nP-1)/2*xm_sP),2*('XA MU'!$D$28-(xm_y0P+(xm_nP-1)/2*xm_sP))/xm_sP,0)),0),0)+IF('XA MU'!$B$29&lt;=2,'XA MU'!$E$29*$C$8*(MAX(0,1-ABS('XA MU'!$C$29-$D71)/xm_sP)+MAX(0,1-ABS('XA MU'!$D$29-$D71)/xm_sP)),0)+IF(ABS($D71-(xm_y0P+(xm_nP-1)/2*xm_sP))&lt;0.000001,IF('XA MU'!$B$29&lt;=2,'XA MU'!$E$29*$C$8*(IF('XA MU'!$C$29&gt;(xm_y0P+(xm_nP-1)/2*xm_sP),2*('XA MU'!$C$29-(xm_y0P+(xm_nP-1)/2*xm_sP))/xm_sP,0)+IF('XA MU'!$D$29&gt;(xm_y0P+(xm_nP-1)/2*xm_sP),2*('XA MU'!$D$29-(xm_y0P+(xm_nP-1)/2*xm_sP))/xm_sP,0)),0),0)+IF('XA MU'!$B$30&lt;=2,'XA MU'!$E$30*$C$8*(MAX(0,1-ABS('XA MU'!$C$30-$D71)/xm_sP)+MAX(0,1-ABS('XA MU'!$D$30-$D71)/xm_sP)),0)+IF(ABS($D71-(xm_y0P+(xm_nP-1)/2*xm_sP))&lt;0.000001,IF('XA MU'!$B$30&lt;=2,'XA MU'!$E$30*$C$8*(IF('XA MU'!$C$30&gt;(xm_y0P+(xm_nP-1)/2*xm_sP),2*('XA MU'!$C$30-(xm_y0P+(xm_nP-1)/2*xm_sP))/xm_sP,0)+IF('XA MU'!$D$30&gt;(xm_y0P+(xm_nP-1)/2*xm_sP),2*('XA MU'!$D$30-(xm_y0P+(xm_nP-1)/2*xm_sP))/xm_sP,0)),0),0))))</f>
        <v>0</v>
      </c>
      <c r="K71" s="44">
        <f>IF(C71=0,0,IF(3&gt;nLan,0,0.85*(IF('XA MU'!$B$25&lt;=3,'XA MU'!$E$25*$C$8*(MAX(0,1-ABS('XA MU'!$C$25-$D71)/xm_sP)+MAX(0,1-ABS('XA MU'!$D$25-$D71)/xm_sP)),0)+IF(ABS($D71-(xm_y0P+(xm_nP-1)/2*xm_sP))&lt;0.000001,IF('XA MU'!$B$25&lt;=3,'XA MU'!$E$25*$C$8*(IF('XA MU'!$C$25&gt;(xm_y0P+(xm_nP-1)/2*xm_sP),2*('XA MU'!$C$25-(xm_y0P+(xm_nP-1)/2*xm_sP))/xm_sP,0)+IF('XA MU'!$D$25&gt;(xm_y0P+(xm_nP-1)/2*xm_sP),2*('XA MU'!$D$25-(xm_y0P+(xm_nP-1)/2*xm_sP))/xm_sP,0)),0),0)+IF('XA MU'!$B$26&lt;=3,'XA MU'!$E$26*$C$8*(MAX(0,1-ABS('XA MU'!$C$26-$D71)/xm_sP)+MAX(0,1-ABS('XA MU'!$D$26-$D71)/xm_sP)),0)+IF(ABS($D71-(xm_y0P+(xm_nP-1)/2*xm_sP))&lt;0.000001,IF('XA MU'!$B$26&lt;=3,'XA MU'!$E$26*$C$8*(IF('XA MU'!$C$26&gt;(xm_y0P+(xm_nP-1)/2*xm_sP),2*('XA MU'!$C$26-(xm_y0P+(xm_nP-1)/2*xm_sP))/xm_sP,0)+IF('XA MU'!$D$26&gt;(xm_y0P+(xm_nP-1)/2*xm_sP),2*('XA MU'!$D$26-(xm_y0P+(xm_nP-1)/2*xm_sP))/xm_sP,0)),0),0)+IF('XA MU'!$B$27&lt;=3,'XA MU'!$E$27*$C$8*(MAX(0,1-ABS('XA MU'!$C$27-$D71)/xm_sP)+MAX(0,1-ABS('XA MU'!$D$27-$D71)/xm_sP)),0)+IF(ABS($D71-(xm_y0P+(xm_nP-1)/2*xm_sP))&lt;0.000001,IF('XA MU'!$B$27&lt;=3,'XA MU'!$E$27*$C$8*(IF('XA MU'!$C$27&gt;(xm_y0P+(xm_nP-1)/2*xm_sP),2*('XA MU'!$C$27-(xm_y0P+(xm_nP-1)/2*xm_sP))/xm_sP,0)+IF('XA MU'!$D$27&gt;(xm_y0P+(xm_nP-1)/2*xm_sP),2*('XA MU'!$D$27-(xm_y0P+(xm_nP-1)/2*xm_sP))/xm_sP,0)),0),0)+IF('XA MU'!$B$28&lt;=3,'XA MU'!$E$28*$C$8*(MAX(0,1-ABS('XA MU'!$C$28-$D71)/xm_sP)+MAX(0,1-ABS('XA MU'!$D$28-$D71)/xm_sP)),0)+IF(ABS($D71-(xm_y0P+(xm_nP-1)/2*xm_sP))&lt;0.000001,IF('XA MU'!$B$28&lt;=3,'XA MU'!$E$28*$C$8*(IF('XA MU'!$C$28&gt;(xm_y0P+(xm_nP-1)/2*xm_sP),2*('XA MU'!$C$28-(xm_y0P+(xm_nP-1)/2*xm_sP))/xm_sP,0)+IF('XA MU'!$D$28&gt;(xm_y0P+(xm_nP-1)/2*xm_sP),2*('XA MU'!$D$28-(xm_y0P+(xm_nP-1)/2*xm_sP))/xm_sP,0)),0),0)+IF('XA MU'!$B$29&lt;=3,'XA MU'!$E$29*$C$8*(MAX(0,1-ABS('XA MU'!$C$29-$D71)/xm_sP)+MAX(0,1-ABS('XA MU'!$D$29-$D71)/xm_sP)),0)+IF(ABS($D71-(xm_y0P+(xm_nP-1)/2*xm_sP))&lt;0.000001,IF('XA MU'!$B$29&lt;=3,'XA MU'!$E$29*$C$8*(IF('XA MU'!$C$29&gt;(xm_y0P+(xm_nP-1)/2*xm_sP),2*('XA MU'!$C$29-(xm_y0P+(xm_nP-1)/2*xm_sP))/xm_sP,0)+IF('XA MU'!$D$29&gt;(xm_y0P+(xm_nP-1)/2*xm_sP),2*('XA MU'!$D$29-(xm_y0P+(xm_nP-1)/2*xm_sP))/xm_sP,0)),0),0)+IF('XA MU'!$B$30&lt;=3,'XA MU'!$E$30*$C$8*(MAX(0,1-ABS('XA MU'!$C$30-$D71)/xm_sP)+MAX(0,1-ABS('XA MU'!$D$30-$D71)/xm_sP)),0)+IF(ABS($D71-(xm_y0P+(xm_nP-1)/2*xm_sP))&lt;0.000001,IF('XA MU'!$B$30&lt;=3,'XA MU'!$E$30*$C$8*(IF('XA MU'!$C$30&gt;(xm_y0P+(xm_nP-1)/2*xm_sP),2*('XA MU'!$C$30-(xm_y0P+(xm_nP-1)/2*xm_sP))/xm_sP,0)+IF('XA MU'!$D$30&gt;(xm_y0P+(xm_nP-1)/2*xm_sP),2*('XA MU'!$D$30-(xm_y0P+(xm_nP-1)/2*xm_sP))/xm_sP,0)),0),0))))</f>
        <v>0</v>
      </c>
      <c r="L71" s="44">
        <f>IF(C71=0,0,IF(4&gt;nLan,0,0.65*(IF('XA MU'!$B$25&lt;=4,'XA MU'!$E$25*$C$8*(MAX(0,1-ABS('XA MU'!$C$25-$D71)/xm_sP)+MAX(0,1-ABS('XA MU'!$D$25-$D71)/xm_sP)),0)+IF(ABS($D71-(xm_y0P+(xm_nP-1)/2*xm_sP))&lt;0.000001,IF('XA MU'!$B$25&lt;=4,'XA MU'!$E$25*$C$8*(IF('XA MU'!$C$25&gt;(xm_y0P+(xm_nP-1)/2*xm_sP),2*('XA MU'!$C$25-(xm_y0P+(xm_nP-1)/2*xm_sP))/xm_sP,0)+IF('XA MU'!$D$25&gt;(xm_y0P+(xm_nP-1)/2*xm_sP),2*('XA MU'!$D$25-(xm_y0P+(xm_nP-1)/2*xm_sP))/xm_sP,0)),0),0)+IF('XA MU'!$B$26&lt;=4,'XA MU'!$E$26*$C$8*(MAX(0,1-ABS('XA MU'!$C$26-$D71)/xm_sP)+MAX(0,1-ABS('XA MU'!$D$26-$D71)/xm_sP)),0)+IF(ABS($D71-(xm_y0P+(xm_nP-1)/2*xm_sP))&lt;0.000001,IF('XA MU'!$B$26&lt;=4,'XA MU'!$E$26*$C$8*(IF('XA MU'!$C$26&gt;(xm_y0P+(xm_nP-1)/2*xm_sP),2*('XA MU'!$C$26-(xm_y0P+(xm_nP-1)/2*xm_sP))/xm_sP,0)+IF('XA MU'!$D$26&gt;(xm_y0P+(xm_nP-1)/2*xm_sP),2*('XA MU'!$D$26-(xm_y0P+(xm_nP-1)/2*xm_sP))/xm_sP,0)),0),0)+IF('XA MU'!$B$27&lt;=4,'XA MU'!$E$27*$C$8*(MAX(0,1-ABS('XA MU'!$C$27-$D71)/xm_sP)+MAX(0,1-ABS('XA MU'!$D$27-$D71)/xm_sP)),0)+IF(ABS($D71-(xm_y0P+(xm_nP-1)/2*xm_sP))&lt;0.000001,IF('XA MU'!$B$27&lt;=4,'XA MU'!$E$27*$C$8*(IF('XA MU'!$C$27&gt;(xm_y0P+(xm_nP-1)/2*xm_sP),2*('XA MU'!$C$27-(xm_y0P+(xm_nP-1)/2*xm_sP))/xm_sP,0)+IF('XA MU'!$D$27&gt;(xm_y0P+(xm_nP-1)/2*xm_sP),2*('XA MU'!$D$27-(xm_y0P+(xm_nP-1)/2*xm_sP))/xm_sP,0)),0),0)+IF('XA MU'!$B$28&lt;=4,'XA MU'!$E$28*$C$8*(MAX(0,1-ABS('XA MU'!$C$28-$D71)/xm_sP)+MAX(0,1-ABS('XA MU'!$D$28-$D71)/xm_sP)),0)+IF(ABS($D71-(xm_y0P+(xm_nP-1)/2*xm_sP))&lt;0.000001,IF('XA MU'!$B$28&lt;=4,'XA MU'!$E$28*$C$8*(IF('XA MU'!$C$28&gt;(xm_y0P+(xm_nP-1)/2*xm_sP),2*('XA MU'!$C$28-(xm_y0P+(xm_nP-1)/2*xm_sP))/xm_sP,0)+IF('XA MU'!$D$28&gt;(xm_y0P+(xm_nP-1)/2*xm_sP),2*('XA MU'!$D$28-(xm_y0P+(xm_nP-1)/2*xm_sP))/xm_sP,0)),0),0)+IF('XA MU'!$B$29&lt;=4,'XA MU'!$E$29*$C$8*(MAX(0,1-ABS('XA MU'!$C$29-$D71)/xm_sP)+MAX(0,1-ABS('XA MU'!$D$29-$D71)/xm_sP)),0)+IF(ABS($D71-(xm_y0P+(xm_nP-1)/2*xm_sP))&lt;0.000001,IF('XA MU'!$B$29&lt;=4,'XA MU'!$E$29*$C$8*(IF('XA MU'!$C$29&gt;(xm_y0P+(xm_nP-1)/2*xm_sP),2*('XA MU'!$C$29-(xm_y0P+(xm_nP-1)/2*xm_sP))/xm_sP,0)+IF('XA MU'!$D$29&gt;(xm_y0P+(xm_nP-1)/2*xm_sP),2*('XA MU'!$D$29-(xm_y0P+(xm_nP-1)/2*xm_sP))/xm_sP,0)),0),0)+IF('XA MU'!$B$30&lt;=4,'XA MU'!$E$30*$C$8*(MAX(0,1-ABS('XA MU'!$C$30-$D71)/xm_sP)+MAX(0,1-ABS('XA MU'!$D$30-$D71)/xm_sP)),0)+IF(ABS($D71-(xm_y0P+(xm_nP-1)/2*xm_sP))&lt;0.000001,IF('XA MU'!$B$30&lt;=4,'XA MU'!$E$30*$C$8*(IF('XA MU'!$C$30&gt;(xm_y0P+(xm_nP-1)/2*xm_sP),2*('XA MU'!$C$30-(xm_y0P+(xm_nP-1)/2*xm_sP))/xm_sP,0)+IF('XA MU'!$D$30&gt;(xm_y0P+(xm_nP-1)/2*xm_sP),2*('XA MU'!$D$30-(xm_y0P+(xm_nP-1)/2*xm_sP))/xm_sP,0)),0),0))))</f>
        <v>0</v>
      </c>
      <c r="M71" s="44">
        <f>IF(C71=0,0,IF(5&gt;nLan,0,0.65*(IF('XA MU'!$B$25&lt;=5,'XA MU'!$E$25*$C$8*(MAX(0,1-ABS('XA MU'!$C$25-$D71)/xm_sP)+MAX(0,1-ABS('XA MU'!$D$25-$D71)/xm_sP)),0)+IF(ABS($D71-(xm_y0P+(xm_nP-1)/2*xm_sP))&lt;0.000001,IF('XA MU'!$B$25&lt;=5,'XA MU'!$E$25*$C$8*(IF('XA MU'!$C$25&gt;(xm_y0P+(xm_nP-1)/2*xm_sP),2*('XA MU'!$C$25-(xm_y0P+(xm_nP-1)/2*xm_sP))/xm_sP,0)+IF('XA MU'!$D$25&gt;(xm_y0P+(xm_nP-1)/2*xm_sP),2*('XA MU'!$D$25-(xm_y0P+(xm_nP-1)/2*xm_sP))/xm_sP,0)),0),0)+IF('XA MU'!$B$26&lt;=5,'XA MU'!$E$26*$C$8*(MAX(0,1-ABS('XA MU'!$C$26-$D71)/xm_sP)+MAX(0,1-ABS('XA MU'!$D$26-$D71)/xm_sP)),0)+IF(ABS($D71-(xm_y0P+(xm_nP-1)/2*xm_sP))&lt;0.000001,IF('XA MU'!$B$26&lt;=5,'XA MU'!$E$26*$C$8*(IF('XA MU'!$C$26&gt;(xm_y0P+(xm_nP-1)/2*xm_sP),2*('XA MU'!$C$26-(xm_y0P+(xm_nP-1)/2*xm_sP))/xm_sP,0)+IF('XA MU'!$D$26&gt;(xm_y0P+(xm_nP-1)/2*xm_sP),2*('XA MU'!$D$26-(xm_y0P+(xm_nP-1)/2*xm_sP))/xm_sP,0)),0),0)+IF('XA MU'!$B$27&lt;=5,'XA MU'!$E$27*$C$8*(MAX(0,1-ABS('XA MU'!$C$27-$D71)/xm_sP)+MAX(0,1-ABS('XA MU'!$D$27-$D71)/xm_sP)),0)+IF(ABS($D71-(xm_y0P+(xm_nP-1)/2*xm_sP))&lt;0.000001,IF('XA MU'!$B$27&lt;=5,'XA MU'!$E$27*$C$8*(IF('XA MU'!$C$27&gt;(xm_y0P+(xm_nP-1)/2*xm_sP),2*('XA MU'!$C$27-(xm_y0P+(xm_nP-1)/2*xm_sP))/xm_sP,0)+IF('XA MU'!$D$27&gt;(xm_y0P+(xm_nP-1)/2*xm_sP),2*('XA MU'!$D$27-(xm_y0P+(xm_nP-1)/2*xm_sP))/xm_sP,0)),0),0)+IF('XA MU'!$B$28&lt;=5,'XA MU'!$E$28*$C$8*(MAX(0,1-ABS('XA MU'!$C$28-$D71)/xm_sP)+MAX(0,1-ABS('XA MU'!$D$28-$D71)/xm_sP)),0)+IF(ABS($D71-(xm_y0P+(xm_nP-1)/2*xm_sP))&lt;0.000001,IF('XA MU'!$B$28&lt;=5,'XA MU'!$E$28*$C$8*(IF('XA MU'!$C$28&gt;(xm_y0P+(xm_nP-1)/2*xm_sP),2*('XA MU'!$C$28-(xm_y0P+(xm_nP-1)/2*xm_sP))/xm_sP,0)+IF('XA MU'!$D$28&gt;(xm_y0P+(xm_nP-1)/2*xm_sP),2*('XA MU'!$D$28-(xm_y0P+(xm_nP-1)/2*xm_sP))/xm_sP,0)),0),0)+IF('XA MU'!$B$29&lt;=5,'XA MU'!$E$29*$C$8*(MAX(0,1-ABS('XA MU'!$C$29-$D71)/xm_sP)+MAX(0,1-ABS('XA MU'!$D$29-$D71)/xm_sP)),0)+IF(ABS($D71-(xm_y0P+(xm_nP-1)/2*xm_sP))&lt;0.000001,IF('XA MU'!$B$29&lt;=5,'XA MU'!$E$29*$C$8*(IF('XA MU'!$C$29&gt;(xm_y0P+(xm_nP-1)/2*xm_sP),2*('XA MU'!$C$29-(xm_y0P+(xm_nP-1)/2*xm_sP))/xm_sP,0)+IF('XA MU'!$D$29&gt;(xm_y0P+(xm_nP-1)/2*xm_sP),2*('XA MU'!$D$29-(xm_y0P+(xm_nP-1)/2*xm_sP))/xm_sP,0)),0),0)+IF('XA MU'!$B$30&lt;=5,'XA MU'!$E$30*$C$8*(MAX(0,1-ABS('XA MU'!$C$30-$D71)/xm_sP)+MAX(0,1-ABS('XA MU'!$D$30-$D71)/xm_sP)),0)+IF(ABS($D71-(xm_y0P+(xm_nP-1)/2*xm_sP))&lt;0.000001,IF('XA MU'!$B$30&lt;=5,'XA MU'!$E$30*$C$8*(IF('XA MU'!$C$30&gt;(xm_y0P+(xm_nP-1)/2*xm_sP),2*('XA MU'!$C$30-(xm_y0P+(xm_nP-1)/2*xm_sP))/xm_sP,0)+IF('XA MU'!$D$30&gt;(xm_y0P+(xm_nP-1)/2*xm_sP),2*('XA MU'!$D$30-(xm_y0P+(xm_nP-1)/2*xm_sP))/xm_sP,0)),0),0))))</f>
        <v>0</v>
      </c>
      <c r="N71" s="44">
        <f>IF(C71=0,0,IF(6&gt;nLan,0,0.65*(IF('XA MU'!$B$25&lt;=6,'XA MU'!$E$25*$C$8*(MAX(0,1-ABS('XA MU'!$C$25-$D71)/xm_sP)+MAX(0,1-ABS('XA MU'!$D$25-$D71)/xm_sP)),0)+IF(ABS($D71-(xm_y0P+(xm_nP-1)/2*xm_sP))&lt;0.000001,IF('XA MU'!$B$25&lt;=6,'XA MU'!$E$25*$C$8*(IF('XA MU'!$C$25&gt;(xm_y0P+(xm_nP-1)/2*xm_sP),2*('XA MU'!$C$25-(xm_y0P+(xm_nP-1)/2*xm_sP))/xm_sP,0)+IF('XA MU'!$D$25&gt;(xm_y0P+(xm_nP-1)/2*xm_sP),2*('XA MU'!$D$25-(xm_y0P+(xm_nP-1)/2*xm_sP))/xm_sP,0)),0),0)+IF('XA MU'!$B$26&lt;=6,'XA MU'!$E$26*$C$8*(MAX(0,1-ABS('XA MU'!$C$26-$D71)/xm_sP)+MAX(0,1-ABS('XA MU'!$D$26-$D71)/xm_sP)),0)+IF(ABS($D71-(xm_y0P+(xm_nP-1)/2*xm_sP))&lt;0.000001,IF('XA MU'!$B$26&lt;=6,'XA MU'!$E$26*$C$8*(IF('XA MU'!$C$26&gt;(xm_y0P+(xm_nP-1)/2*xm_sP),2*('XA MU'!$C$26-(xm_y0P+(xm_nP-1)/2*xm_sP))/xm_sP,0)+IF('XA MU'!$D$26&gt;(xm_y0P+(xm_nP-1)/2*xm_sP),2*('XA MU'!$D$26-(xm_y0P+(xm_nP-1)/2*xm_sP))/xm_sP,0)),0),0)+IF('XA MU'!$B$27&lt;=6,'XA MU'!$E$27*$C$8*(MAX(0,1-ABS('XA MU'!$C$27-$D71)/xm_sP)+MAX(0,1-ABS('XA MU'!$D$27-$D71)/xm_sP)),0)+IF(ABS($D71-(xm_y0P+(xm_nP-1)/2*xm_sP))&lt;0.000001,IF('XA MU'!$B$27&lt;=6,'XA MU'!$E$27*$C$8*(IF('XA MU'!$C$27&gt;(xm_y0P+(xm_nP-1)/2*xm_sP),2*('XA MU'!$C$27-(xm_y0P+(xm_nP-1)/2*xm_sP))/xm_sP,0)+IF('XA MU'!$D$27&gt;(xm_y0P+(xm_nP-1)/2*xm_sP),2*('XA MU'!$D$27-(xm_y0P+(xm_nP-1)/2*xm_sP))/xm_sP,0)),0),0)+IF('XA MU'!$B$28&lt;=6,'XA MU'!$E$28*$C$8*(MAX(0,1-ABS('XA MU'!$C$28-$D71)/xm_sP)+MAX(0,1-ABS('XA MU'!$D$28-$D71)/xm_sP)),0)+IF(ABS($D71-(xm_y0P+(xm_nP-1)/2*xm_sP))&lt;0.000001,IF('XA MU'!$B$28&lt;=6,'XA MU'!$E$28*$C$8*(IF('XA MU'!$C$28&gt;(xm_y0P+(xm_nP-1)/2*xm_sP),2*('XA MU'!$C$28-(xm_y0P+(xm_nP-1)/2*xm_sP))/xm_sP,0)+IF('XA MU'!$D$28&gt;(xm_y0P+(xm_nP-1)/2*xm_sP),2*('XA MU'!$D$28-(xm_y0P+(xm_nP-1)/2*xm_sP))/xm_sP,0)),0),0)+IF('XA MU'!$B$29&lt;=6,'XA MU'!$E$29*$C$8*(MAX(0,1-ABS('XA MU'!$C$29-$D71)/xm_sP)+MAX(0,1-ABS('XA MU'!$D$29-$D71)/xm_sP)),0)+IF(ABS($D71-(xm_y0P+(xm_nP-1)/2*xm_sP))&lt;0.000001,IF('XA MU'!$B$29&lt;=6,'XA MU'!$E$29*$C$8*(IF('XA MU'!$C$29&gt;(xm_y0P+(xm_nP-1)/2*xm_sP),2*('XA MU'!$C$29-(xm_y0P+(xm_nP-1)/2*xm_sP))/xm_sP,0)+IF('XA MU'!$D$29&gt;(xm_y0P+(xm_nP-1)/2*xm_sP),2*('XA MU'!$D$29-(xm_y0P+(xm_nP-1)/2*xm_sP))/xm_sP,0)),0),0)+IF('XA MU'!$B$30&lt;=6,'XA MU'!$E$30*$C$8*(MAX(0,1-ABS('XA MU'!$C$30-$D71)/xm_sP)+MAX(0,1-ABS('XA MU'!$D$30-$D71)/xm_sP)),0)+IF(ABS($D71-(xm_y0P+(xm_nP-1)/2*xm_sP))&lt;0.000001,IF('XA MU'!$B$30&lt;=6,'XA MU'!$E$30*$C$8*(IF('XA MU'!$C$30&gt;(xm_y0P+(xm_nP-1)/2*xm_sP),2*('XA MU'!$C$30-(xm_y0P+(xm_nP-1)/2*xm_sP))/xm_sP,0)+IF('XA MU'!$D$30&gt;(xm_y0P+(xm_nP-1)/2*xm_sP),2*('XA MU'!$D$30-(xm_y0P+(xm_nP-1)/2*xm_sP))/xm_sP,0)),0),0))))</f>
        <v>0</v>
      </c>
    </row>
    <row r="72" spans="1:14" x14ac:dyDescent="0.3">
      <c r="A72" s="42" t="s">
        <v>1236</v>
      </c>
      <c r="B72" s="42">
        <v>18</v>
      </c>
      <c r="C72" s="40">
        <f t="shared" si="4"/>
        <v>0</v>
      </c>
      <c r="D72" s="44">
        <f t="shared" si="5"/>
        <v>0</v>
      </c>
      <c r="E72" s="44">
        <f>MAX(0,D72-'XA MU'!$C$8)*C72</f>
        <v>0</v>
      </c>
      <c r="F72" s="44">
        <f>IF(AND(C72=1,D72&gt;'XA MU'!$C$8),1,0)</f>
        <v>0</v>
      </c>
      <c r="G72" s="44">
        <f t="shared" si="6"/>
        <v>0</v>
      </c>
      <c r="H72" s="44">
        <f t="shared" si="7"/>
        <v>0</v>
      </c>
      <c r="I72" s="44">
        <f>IF(C72=0,0,IF(1&gt;nLan,0,1.2*(IF('XA MU'!$B$25&lt;=1,'XA MU'!$E$25*$C$8*(MAX(0,1-ABS('XA MU'!$C$25-$D72)/xm_sP)+MAX(0,1-ABS('XA MU'!$D$25-$D72)/xm_sP)),0)+IF(ABS($D72-(xm_y0P+(xm_nP-1)/2*xm_sP))&lt;0.000001,IF('XA MU'!$B$25&lt;=1,'XA MU'!$E$25*$C$8*(IF('XA MU'!$C$25&gt;(xm_y0P+(xm_nP-1)/2*xm_sP),2*('XA MU'!$C$25-(xm_y0P+(xm_nP-1)/2*xm_sP))/xm_sP,0)+IF('XA MU'!$D$25&gt;(xm_y0P+(xm_nP-1)/2*xm_sP),2*('XA MU'!$D$25-(xm_y0P+(xm_nP-1)/2*xm_sP))/xm_sP,0)),0),0)+IF('XA MU'!$B$26&lt;=1,'XA MU'!$E$26*$C$8*(MAX(0,1-ABS('XA MU'!$C$26-$D72)/xm_sP)+MAX(0,1-ABS('XA MU'!$D$26-$D72)/xm_sP)),0)+IF(ABS($D72-(xm_y0P+(xm_nP-1)/2*xm_sP))&lt;0.000001,IF('XA MU'!$B$26&lt;=1,'XA MU'!$E$26*$C$8*(IF('XA MU'!$C$26&gt;(xm_y0P+(xm_nP-1)/2*xm_sP),2*('XA MU'!$C$26-(xm_y0P+(xm_nP-1)/2*xm_sP))/xm_sP,0)+IF('XA MU'!$D$26&gt;(xm_y0P+(xm_nP-1)/2*xm_sP),2*('XA MU'!$D$26-(xm_y0P+(xm_nP-1)/2*xm_sP))/xm_sP,0)),0),0)+IF('XA MU'!$B$27&lt;=1,'XA MU'!$E$27*$C$8*(MAX(0,1-ABS('XA MU'!$C$27-$D72)/xm_sP)+MAX(0,1-ABS('XA MU'!$D$27-$D72)/xm_sP)),0)+IF(ABS($D72-(xm_y0P+(xm_nP-1)/2*xm_sP))&lt;0.000001,IF('XA MU'!$B$27&lt;=1,'XA MU'!$E$27*$C$8*(IF('XA MU'!$C$27&gt;(xm_y0P+(xm_nP-1)/2*xm_sP),2*('XA MU'!$C$27-(xm_y0P+(xm_nP-1)/2*xm_sP))/xm_sP,0)+IF('XA MU'!$D$27&gt;(xm_y0P+(xm_nP-1)/2*xm_sP),2*('XA MU'!$D$27-(xm_y0P+(xm_nP-1)/2*xm_sP))/xm_sP,0)),0),0)+IF('XA MU'!$B$28&lt;=1,'XA MU'!$E$28*$C$8*(MAX(0,1-ABS('XA MU'!$C$28-$D72)/xm_sP)+MAX(0,1-ABS('XA MU'!$D$28-$D72)/xm_sP)),0)+IF(ABS($D72-(xm_y0P+(xm_nP-1)/2*xm_sP))&lt;0.000001,IF('XA MU'!$B$28&lt;=1,'XA MU'!$E$28*$C$8*(IF('XA MU'!$C$28&gt;(xm_y0P+(xm_nP-1)/2*xm_sP),2*('XA MU'!$C$28-(xm_y0P+(xm_nP-1)/2*xm_sP))/xm_sP,0)+IF('XA MU'!$D$28&gt;(xm_y0P+(xm_nP-1)/2*xm_sP),2*('XA MU'!$D$28-(xm_y0P+(xm_nP-1)/2*xm_sP))/xm_sP,0)),0),0)+IF('XA MU'!$B$29&lt;=1,'XA MU'!$E$29*$C$8*(MAX(0,1-ABS('XA MU'!$C$29-$D72)/xm_sP)+MAX(0,1-ABS('XA MU'!$D$29-$D72)/xm_sP)),0)+IF(ABS($D72-(xm_y0P+(xm_nP-1)/2*xm_sP))&lt;0.000001,IF('XA MU'!$B$29&lt;=1,'XA MU'!$E$29*$C$8*(IF('XA MU'!$C$29&gt;(xm_y0P+(xm_nP-1)/2*xm_sP),2*('XA MU'!$C$29-(xm_y0P+(xm_nP-1)/2*xm_sP))/xm_sP,0)+IF('XA MU'!$D$29&gt;(xm_y0P+(xm_nP-1)/2*xm_sP),2*('XA MU'!$D$29-(xm_y0P+(xm_nP-1)/2*xm_sP))/xm_sP,0)),0),0)+IF('XA MU'!$B$30&lt;=1,'XA MU'!$E$30*$C$8*(MAX(0,1-ABS('XA MU'!$C$30-$D72)/xm_sP)+MAX(0,1-ABS('XA MU'!$D$30-$D72)/xm_sP)),0)+IF(ABS($D72-(xm_y0P+(xm_nP-1)/2*xm_sP))&lt;0.000001,IF('XA MU'!$B$30&lt;=1,'XA MU'!$E$30*$C$8*(IF('XA MU'!$C$30&gt;(xm_y0P+(xm_nP-1)/2*xm_sP),2*('XA MU'!$C$30-(xm_y0P+(xm_nP-1)/2*xm_sP))/xm_sP,0)+IF('XA MU'!$D$30&gt;(xm_y0P+(xm_nP-1)/2*xm_sP),2*('XA MU'!$D$30-(xm_y0P+(xm_nP-1)/2*xm_sP))/xm_sP,0)),0),0))))</f>
        <v>0</v>
      </c>
      <c r="J72" s="44">
        <f>IF(C72=0,0,IF(2&gt;nLan,0,1*(IF('XA MU'!$B$25&lt;=2,'XA MU'!$E$25*$C$8*(MAX(0,1-ABS('XA MU'!$C$25-$D72)/xm_sP)+MAX(0,1-ABS('XA MU'!$D$25-$D72)/xm_sP)),0)+IF(ABS($D72-(xm_y0P+(xm_nP-1)/2*xm_sP))&lt;0.000001,IF('XA MU'!$B$25&lt;=2,'XA MU'!$E$25*$C$8*(IF('XA MU'!$C$25&gt;(xm_y0P+(xm_nP-1)/2*xm_sP),2*('XA MU'!$C$25-(xm_y0P+(xm_nP-1)/2*xm_sP))/xm_sP,0)+IF('XA MU'!$D$25&gt;(xm_y0P+(xm_nP-1)/2*xm_sP),2*('XA MU'!$D$25-(xm_y0P+(xm_nP-1)/2*xm_sP))/xm_sP,0)),0),0)+IF('XA MU'!$B$26&lt;=2,'XA MU'!$E$26*$C$8*(MAX(0,1-ABS('XA MU'!$C$26-$D72)/xm_sP)+MAX(0,1-ABS('XA MU'!$D$26-$D72)/xm_sP)),0)+IF(ABS($D72-(xm_y0P+(xm_nP-1)/2*xm_sP))&lt;0.000001,IF('XA MU'!$B$26&lt;=2,'XA MU'!$E$26*$C$8*(IF('XA MU'!$C$26&gt;(xm_y0P+(xm_nP-1)/2*xm_sP),2*('XA MU'!$C$26-(xm_y0P+(xm_nP-1)/2*xm_sP))/xm_sP,0)+IF('XA MU'!$D$26&gt;(xm_y0P+(xm_nP-1)/2*xm_sP),2*('XA MU'!$D$26-(xm_y0P+(xm_nP-1)/2*xm_sP))/xm_sP,0)),0),0)+IF('XA MU'!$B$27&lt;=2,'XA MU'!$E$27*$C$8*(MAX(0,1-ABS('XA MU'!$C$27-$D72)/xm_sP)+MAX(0,1-ABS('XA MU'!$D$27-$D72)/xm_sP)),0)+IF(ABS($D72-(xm_y0P+(xm_nP-1)/2*xm_sP))&lt;0.000001,IF('XA MU'!$B$27&lt;=2,'XA MU'!$E$27*$C$8*(IF('XA MU'!$C$27&gt;(xm_y0P+(xm_nP-1)/2*xm_sP),2*('XA MU'!$C$27-(xm_y0P+(xm_nP-1)/2*xm_sP))/xm_sP,0)+IF('XA MU'!$D$27&gt;(xm_y0P+(xm_nP-1)/2*xm_sP),2*('XA MU'!$D$27-(xm_y0P+(xm_nP-1)/2*xm_sP))/xm_sP,0)),0),0)+IF('XA MU'!$B$28&lt;=2,'XA MU'!$E$28*$C$8*(MAX(0,1-ABS('XA MU'!$C$28-$D72)/xm_sP)+MAX(0,1-ABS('XA MU'!$D$28-$D72)/xm_sP)),0)+IF(ABS($D72-(xm_y0P+(xm_nP-1)/2*xm_sP))&lt;0.000001,IF('XA MU'!$B$28&lt;=2,'XA MU'!$E$28*$C$8*(IF('XA MU'!$C$28&gt;(xm_y0P+(xm_nP-1)/2*xm_sP),2*('XA MU'!$C$28-(xm_y0P+(xm_nP-1)/2*xm_sP))/xm_sP,0)+IF('XA MU'!$D$28&gt;(xm_y0P+(xm_nP-1)/2*xm_sP),2*('XA MU'!$D$28-(xm_y0P+(xm_nP-1)/2*xm_sP))/xm_sP,0)),0),0)+IF('XA MU'!$B$29&lt;=2,'XA MU'!$E$29*$C$8*(MAX(0,1-ABS('XA MU'!$C$29-$D72)/xm_sP)+MAX(0,1-ABS('XA MU'!$D$29-$D72)/xm_sP)),0)+IF(ABS($D72-(xm_y0P+(xm_nP-1)/2*xm_sP))&lt;0.000001,IF('XA MU'!$B$29&lt;=2,'XA MU'!$E$29*$C$8*(IF('XA MU'!$C$29&gt;(xm_y0P+(xm_nP-1)/2*xm_sP),2*('XA MU'!$C$29-(xm_y0P+(xm_nP-1)/2*xm_sP))/xm_sP,0)+IF('XA MU'!$D$29&gt;(xm_y0P+(xm_nP-1)/2*xm_sP),2*('XA MU'!$D$29-(xm_y0P+(xm_nP-1)/2*xm_sP))/xm_sP,0)),0),0)+IF('XA MU'!$B$30&lt;=2,'XA MU'!$E$30*$C$8*(MAX(0,1-ABS('XA MU'!$C$30-$D72)/xm_sP)+MAX(0,1-ABS('XA MU'!$D$30-$D72)/xm_sP)),0)+IF(ABS($D72-(xm_y0P+(xm_nP-1)/2*xm_sP))&lt;0.000001,IF('XA MU'!$B$30&lt;=2,'XA MU'!$E$30*$C$8*(IF('XA MU'!$C$30&gt;(xm_y0P+(xm_nP-1)/2*xm_sP),2*('XA MU'!$C$30-(xm_y0P+(xm_nP-1)/2*xm_sP))/xm_sP,0)+IF('XA MU'!$D$30&gt;(xm_y0P+(xm_nP-1)/2*xm_sP),2*('XA MU'!$D$30-(xm_y0P+(xm_nP-1)/2*xm_sP))/xm_sP,0)),0),0))))</f>
        <v>0</v>
      </c>
      <c r="K72" s="44">
        <f>IF(C72=0,0,IF(3&gt;nLan,0,0.85*(IF('XA MU'!$B$25&lt;=3,'XA MU'!$E$25*$C$8*(MAX(0,1-ABS('XA MU'!$C$25-$D72)/xm_sP)+MAX(0,1-ABS('XA MU'!$D$25-$D72)/xm_sP)),0)+IF(ABS($D72-(xm_y0P+(xm_nP-1)/2*xm_sP))&lt;0.000001,IF('XA MU'!$B$25&lt;=3,'XA MU'!$E$25*$C$8*(IF('XA MU'!$C$25&gt;(xm_y0P+(xm_nP-1)/2*xm_sP),2*('XA MU'!$C$25-(xm_y0P+(xm_nP-1)/2*xm_sP))/xm_sP,0)+IF('XA MU'!$D$25&gt;(xm_y0P+(xm_nP-1)/2*xm_sP),2*('XA MU'!$D$25-(xm_y0P+(xm_nP-1)/2*xm_sP))/xm_sP,0)),0),0)+IF('XA MU'!$B$26&lt;=3,'XA MU'!$E$26*$C$8*(MAX(0,1-ABS('XA MU'!$C$26-$D72)/xm_sP)+MAX(0,1-ABS('XA MU'!$D$26-$D72)/xm_sP)),0)+IF(ABS($D72-(xm_y0P+(xm_nP-1)/2*xm_sP))&lt;0.000001,IF('XA MU'!$B$26&lt;=3,'XA MU'!$E$26*$C$8*(IF('XA MU'!$C$26&gt;(xm_y0P+(xm_nP-1)/2*xm_sP),2*('XA MU'!$C$26-(xm_y0P+(xm_nP-1)/2*xm_sP))/xm_sP,0)+IF('XA MU'!$D$26&gt;(xm_y0P+(xm_nP-1)/2*xm_sP),2*('XA MU'!$D$26-(xm_y0P+(xm_nP-1)/2*xm_sP))/xm_sP,0)),0),0)+IF('XA MU'!$B$27&lt;=3,'XA MU'!$E$27*$C$8*(MAX(0,1-ABS('XA MU'!$C$27-$D72)/xm_sP)+MAX(0,1-ABS('XA MU'!$D$27-$D72)/xm_sP)),0)+IF(ABS($D72-(xm_y0P+(xm_nP-1)/2*xm_sP))&lt;0.000001,IF('XA MU'!$B$27&lt;=3,'XA MU'!$E$27*$C$8*(IF('XA MU'!$C$27&gt;(xm_y0P+(xm_nP-1)/2*xm_sP),2*('XA MU'!$C$27-(xm_y0P+(xm_nP-1)/2*xm_sP))/xm_sP,0)+IF('XA MU'!$D$27&gt;(xm_y0P+(xm_nP-1)/2*xm_sP),2*('XA MU'!$D$27-(xm_y0P+(xm_nP-1)/2*xm_sP))/xm_sP,0)),0),0)+IF('XA MU'!$B$28&lt;=3,'XA MU'!$E$28*$C$8*(MAX(0,1-ABS('XA MU'!$C$28-$D72)/xm_sP)+MAX(0,1-ABS('XA MU'!$D$28-$D72)/xm_sP)),0)+IF(ABS($D72-(xm_y0P+(xm_nP-1)/2*xm_sP))&lt;0.000001,IF('XA MU'!$B$28&lt;=3,'XA MU'!$E$28*$C$8*(IF('XA MU'!$C$28&gt;(xm_y0P+(xm_nP-1)/2*xm_sP),2*('XA MU'!$C$28-(xm_y0P+(xm_nP-1)/2*xm_sP))/xm_sP,0)+IF('XA MU'!$D$28&gt;(xm_y0P+(xm_nP-1)/2*xm_sP),2*('XA MU'!$D$28-(xm_y0P+(xm_nP-1)/2*xm_sP))/xm_sP,0)),0),0)+IF('XA MU'!$B$29&lt;=3,'XA MU'!$E$29*$C$8*(MAX(0,1-ABS('XA MU'!$C$29-$D72)/xm_sP)+MAX(0,1-ABS('XA MU'!$D$29-$D72)/xm_sP)),0)+IF(ABS($D72-(xm_y0P+(xm_nP-1)/2*xm_sP))&lt;0.000001,IF('XA MU'!$B$29&lt;=3,'XA MU'!$E$29*$C$8*(IF('XA MU'!$C$29&gt;(xm_y0P+(xm_nP-1)/2*xm_sP),2*('XA MU'!$C$29-(xm_y0P+(xm_nP-1)/2*xm_sP))/xm_sP,0)+IF('XA MU'!$D$29&gt;(xm_y0P+(xm_nP-1)/2*xm_sP),2*('XA MU'!$D$29-(xm_y0P+(xm_nP-1)/2*xm_sP))/xm_sP,0)),0),0)+IF('XA MU'!$B$30&lt;=3,'XA MU'!$E$30*$C$8*(MAX(0,1-ABS('XA MU'!$C$30-$D72)/xm_sP)+MAX(0,1-ABS('XA MU'!$D$30-$D72)/xm_sP)),0)+IF(ABS($D72-(xm_y0P+(xm_nP-1)/2*xm_sP))&lt;0.000001,IF('XA MU'!$B$30&lt;=3,'XA MU'!$E$30*$C$8*(IF('XA MU'!$C$30&gt;(xm_y0P+(xm_nP-1)/2*xm_sP),2*('XA MU'!$C$30-(xm_y0P+(xm_nP-1)/2*xm_sP))/xm_sP,0)+IF('XA MU'!$D$30&gt;(xm_y0P+(xm_nP-1)/2*xm_sP),2*('XA MU'!$D$30-(xm_y0P+(xm_nP-1)/2*xm_sP))/xm_sP,0)),0),0))))</f>
        <v>0</v>
      </c>
      <c r="L72" s="44">
        <f>IF(C72=0,0,IF(4&gt;nLan,0,0.65*(IF('XA MU'!$B$25&lt;=4,'XA MU'!$E$25*$C$8*(MAX(0,1-ABS('XA MU'!$C$25-$D72)/xm_sP)+MAX(0,1-ABS('XA MU'!$D$25-$D72)/xm_sP)),0)+IF(ABS($D72-(xm_y0P+(xm_nP-1)/2*xm_sP))&lt;0.000001,IF('XA MU'!$B$25&lt;=4,'XA MU'!$E$25*$C$8*(IF('XA MU'!$C$25&gt;(xm_y0P+(xm_nP-1)/2*xm_sP),2*('XA MU'!$C$25-(xm_y0P+(xm_nP-1)/2*xm_sP))/xm_sP,0)+IF('XA MU'!$D$25&gt;(xm_y0P+(xm_nP-1)/2*xm_sP),2*('XA MU'!$D$25-(xm_y0P+(xm_nP-1)/2*xm_sP))/xm_sP,0)),0),0)+IF('XA MU'!$B$26&lt;=4,'XA MU'!$E$26*$C$8*(MAX(0,1-ABS('XA MU'!$C$26-$D72)/xm_sP)+MAX(0,1-ABS('XA MU'!$D$26-$D72)/xm_sP)),0)+IF(ABS($D72-(xm_y0P+(xm_nP-1)/2*xm_sP))&lt;0.000001,IF('XA MU'!$B$26&lt;=4,'XA MU'!$E$26*$C$8*(IF('XA MU'!$C$26&gt;(xm_y0P+(xm_nP-1)/2*xm_sP),2*('XA MU'!$C$26-(xm_y0P+(xm_nP-1)/2*xm_sP))/xm_sP,0)+IF('XA MU'!$D$26&gt;(xm_y0P+(xm_nP-1)/2*xm_sP),2*('XA MU'!$D$26-(xm_y0P+(xm_nP-1)/2*xm_sP))/xm_sP,0)),0),0)+IF('XA MU'!$B$27&lt;=4,'XA MU'!$E$27*$C$8*(MAX(0,1-ABS('XA MU'!$C$27-$D72)/xm_sP)+MAX(0,1-ABS('XA MU'!$D$27-$D72)/xm_sP)),0)+IF(ABS($D72-(xm_y0P+(xm_nP-1)/2*xm_sP))&lt;0.000001,IF('XA MU'!$B$27&lt;=4,'XA MU'!$E$27*$C$8*(IF('XA MU'!$C$27&gt;(xm_y0P+(xm_nP-1)/2*xm_sP),2*('XA MU'!$C$27-(xm_y0P+(xm_nP-1)/2*xm_sP))/xm_sP,0)+IF('XA MU'!$D$27&gt;(xm_y0P+(xm_nP-1)/2*xm_sP),2*('XA MU'!$D$27-(xm_y0P+(xm_nP-1)/2*xm_sP))/xm_sP,0)),0),0)+IF('XA MU'!$B$28&lt;=4,'XA MU'!$E$28*$C$8*(MAX(0,1-ABS('XA MU'!$C$28-$D72)/xm_sP)+MAX(0,1-ABS('XA MU'!$D$28-$D72)/xm_sP)),0)+IF(ABS($D72-(xm_y0P+(xm_nP-1)/2*xm_sP))&lt;0.000001,IF('XA MU'!$B$28&lt;=4,'XA MU'!$E$28*$C$8*(IF('XA MU'!$C$28&gt;(xm_y0P+(xm_nP-1)/2*xm_sP),2*('XA MU'!$C$28-(xm_y0P+(xm_nP-1)/2*xm_sP))/xm_sP,0)+IF('XA MU'!$D$28&gt;(xm_y0P+(xm_nP-1)/2*xm_sP),2*('XA MU'!$D$28-(xm_y0P+(xm_nP-1)/2*xm_sP))/xm_sP,0)),0),0)+IF('XA MU'!$B$29&lt;=4,'XA MU'!$E$29*$C$8*(MAX(0,1-ABS('XA MU'!$C$29-$D72)/xm_sP)+MAX(0,1-ABS('XA MU'!$D$29-$D72)/xm_sP)),0)+IF(ABS($D72-(xm_y0P+(xm_nP-1)/2*xm_sP))&lt;0.000001,IF('XA MU'!$B$29&lt;=4,'XA MU'!$E$29*$C$8*(IF('XA MU'!$C$29&gt;(xm_y0P+(xm_nP-1)/2*xm_sP),2*('XA MU'!$C$29-(xm_y0P+(xm_nP-1)/2*xm_sP))/xm_sP,0)+IF('XA MU'!$D$29&gt;(xm_y0P+(xm_nP-1)/2*xm_sP),2*('XA MU'!$D$29-(xm_y0P+(xm_nP-1)/2*xm_sP))/xm_sP,0)),0),0)+IF('XA MU'!$B$30&lt;=4,'XA MU'!$E$30*$C$8*(MAX(0,1-ABS('XA MU'!$C$30-$D72)/xm_sP)+MAX(0,1-ABS('XA MU'!$D$30-$D72)/xm_sP)),0)+IF(ABS($D72-(xm_y0P+(xm_nP-1)/2*xm_sP))&lt;0.000001,IF('XA MU'!$B$30&lt;=4,'XA MU'!$E$30*$C$8*(IF('XA MU'!$C$30&gt;(xm_y0P+(xm_nP-1)/2*xm_sP),2*('XA MU'!$C$30-(xm_y0P+(xm_nP-1)/2*xm_sP))/xm_sP,0)+IF('XA MU'!$D$30&gt;(xm_y0P+(xm_nP-1)/2*xm_sP),2*('XA MU'!$D$30-(xm_y0P+(xm_nP-1)/2*xm_sP))/xm_sP,0)),0),0))))</f>
        <v>0</v>
      </c>
      <c r="M72" s="44">
        <f>IF(C72=0,0,IF(5&gt;nLan,0,0.65*(IF('XA MU'!$B$25&lt;=5,'XA MU'!$E$25*$C$8*(MAX(0,1-ABS('XA MU'!$C$25-$D72)/xm_sP)+MAX(0,1-ABS('XA MU'!$D$25-$D72)/xm_sP)),0)+IF(ABS($D72-(xm_y0P+(xm_nP-1)/2*xm_sP))&lt;0.000001,IF('XA MU'!$B$25&lt;=5,'XA MU'!$E$25*$C$8*(IF('XA MU'!$C$25&gt;(xm_y0P+(xm_nP-1)/2*xm_sP),2*('XA MU'!$C$25-(xm_y0P+(xm_nP-1)/2*xm_sP))/xm_sP,0)+IF('XA MU'!$D$25&gt;(xm_y0P+(xm_nP-1)/2*xm_sP),2*('XA MU'!$D$25-(xm_y0P+(xm_nP-1)/2*xm_sP))/xm_sP,0)),0),0)+IF('XA MU'!$B$26&lt;=5,'XA MU'!$E$26*$C$8*(MAX(0,1-ABS('XA MU'!$C$26-$D72)/xm_sP)+MAX(0,1-ABS('XA MU'!$D$26-$D72)/xm_sP)),0)+IF(ABS($D72-(xm_y0P+(xm_nP-1)/2*xm_sP))&lt;0.000001,IF('XA MU'!$B$26&lt;=5,'XA MU'!$E$26*$C$8*(IF('XA MU'!$C$26&gt;(xm_y0P+(xm_nP-1)/2*xm_sP),2*('XA MU'!$C$26-(xm_y0P+(xm_nP-1)/2*xm_sP))/xm_sP,0)+IF('XA MU'!$D$26&gt;(xm_y0P+(xm_nP-1)/2*xm_sP),2*('XA MU'!$D$26-(xm_y0P+(xm_nP-1)/2*xm_sP))/xm_sP,0)),0),0)+IF('XA MU'!$B$27&lt;=5,'XA MU'!$E$27*$C$8*(MAX(0,1-ABS('XA MU'!$C$27-$D72)/xm_sP)+MAX(0,1-ABS('XA MU'!$D$27-$D72)/xm_sP)),0)+IF(ABS($D72-(xm_y0P+(xm_nP-1)/2*xm_sP))&lt;0.000001,IF('XA MU'!$B$27&lt;=5,'XA MU'!$E$27*$C$8*(IF('XA MU'!$C$27&gt;(xm_y0P+(xm_nP-1)/2*xm_sP),2*('XA MU'!$C$27-(xm_y0P+(xm_nP-1)/2*xm_sP))/xm_sP,0)+IF('XA MU'!$D$27&gt;(xm_y0P+(xm_nP-1)/2*xm_sP),2*('XA MU'!$D$27-(xm_y0P+(xm_nP-1)/2*xm_sP))/xm_sP,0)),0),0)+IF('XA MU'!$B$28&lt;=5,'XA MU'!$E$28*$C$8*(MAX(0,1-ABS('XA MU'!$C$28-$D72)/xm_sP)+MAX(0,1-ABS('XA MU'!$D$28-$D72)/xm_sP)),0)+IF(ABS($D72-(xm_y0P+(xm_nP-1)/2*xm_sP))&lt;0.000001,IF('XA MU'!$B$28&lt;=5,'XA MU'!$E$28*$C$8*(IF('XA MU'!$C$28&gt;(xm_y0P+(xm_nP-1)/2*xm_sP),2*('XA MU'!$C$28-(xm_y0P+(xm_nP-1)/2*xm_sP))/xm_sP,0)+IF('XA MU'!$D$28&gt;(xm_y0P+(xm_nP-1)/2*xm_sP),2*('XA MU'!$D$28-(xm_y0P+(xm_nP-1)/2*xm_sP))/xm_sP,0)),0),0)+IF('XA MU'!$B$29&lt;=5,'XA MU'!$E$29*$C$8*(MAX(0,1-ABS('XA MU'!$C$29-$D72)/xm_sP)+MAX(0,1-ABS('XA MU'!$D$29-$D72)/xm_sP)),0)+IF(ABS($D72-(xm_y0P+(xm_nP-1)/2*xm_sP))&lt;0.000001,IF('XA MU'!$B$29&lt;=5,'XA MU'!$E$29*$C$8*(IF('XA MU'!$C$29&gt;(xm_y0P+(xm_nP-1)/2*xm_sP),2*('XA MU'!$C$29-(xm_y0P+(xm_nP-1)/2*xm_sP))/xm_sP,0)+IF('XA MU'!$D$29&gt;(xm_y0P+(xm_nP-1)/2*xm_sP),2*('XA MU'!$D$29-(xm_y0P+(xm_nP-1)/2*xm_sP))/xm_sP,0)),0),0)+IF('XA MU'!$B$30&lt;=5,'XA MU'!$E$30*$C$8*(MAX(0,1-ABS('XA MU'!$C$30-$D72)/xm_sP)+MAX(0,1-ABS('XA MU'!$D$30-$D72)/xm_sP)),0)+IF(ABS($D72-(xm_y0P+(xm_nP-1)/2*xm_sP))&lt;0.000001,IF('XA MU'!$B$30&lt;=5,'XA MU'!$E$30*$C$8*(IF('XA MU'!$C$30&gt;(xm_y0P+(xm_nP-1)/2*xm_sP),2*('XA MU'!$C$30-(xm_y0P+(xm_nP-1)/2*xm_sP))/xm_sP,0)+IF('XA MU'!$D$30&gt;(xm_y0P+(xm_nP-1)/2*xm_sP),2*('XA MU'!$D$30-(xm_y0P+(xm_nP-1)/2*xm_sP))/xm_sP,0)),0),0))))</f>
        <v>0</v>
      </c>
      <c r="N72" s="44">
        <f>IF(C72=0,0,IF(6&gt;nLan,0,0.65*(IF('XA MU'!$B$25&lt;=6,'XA MU'!$E$25*$C$8*(MAX(0,1-ABS('XA MU'!$C$25-$D72)/xm_sP)+MAX(0,1-ABS('XA MU'!$D$25-$D72)/xm_sP)),0)+IF(ABS($D72-(xm_y0P+(xm_nP-1)/2*xm_sP))&lt;0.000001,IF('XA MU'!$B$25&lt;=6,'XA MU'!$E$25*$C$8*(IF('XA MU'!$C$25&gt;(xm_y0P+(xm_nP-1)/2*xm_sP),2*('XA MU'!$C$25-(xm_y0P+(xm_nP-1)/2*xm_sP))/xm_sP,0)+IF('XA MU'!$D$25&gt;(xm_y0P+(xm_nP-1)/2*xm_sP),2*('XA MU'!$D$25-(xm_y0P+(xm_nP-1)/2*xm_sP))/xm_sP,0)),0),0)+IF('XA MU'!$B$26&lt;=6,'XA MU'!$E$26*$C$8*(MAX(0,1-ABS('XA MU'!$C$26-$D72)/xm_sP)+MAX(0,1-ABS('XA MU'!$D$26-$D72)/xm_sP)),0)+IF(ABS($D72-(xm_y0P+(xm_nP-1)/2*xm_sP))&lt;0.000001,IF('XA MU'!$B$26&lt;=6,'XA MU'!$E$26*$C$8*(IF('XA MU'!$C$26&gt;(xm_y0P+(xm_nP-1)/2*xm_sP),2*('XA MU'!$C$26-(xm_y0P+(xm_nP-1)/2*xm_sP))/xm_sP,0)+IF('XA MU'!$D$26&gt;(xm_y0P+(xm_nP-1)/2*xm_sP),2*('XA MU'!$D$26-(xm_y0P+(xm_nP-1)/2*xm_sP))/xm_sP,0)),0),0)+IF('XA MU'!$B$27&lt;=6,'XA MU'!$E$27*$C$8*(MAX(0,1-ABS('XA MU'!$C$27-$D72)/xm_sP)+MAX(0,1-ABS('XA MU'!$D$27-$D72)/xm_sP)),0)+IF(ABS($D72-(xm_y0P+(xm_nP-1)/2*xm_sP))&lt;0.000001,IF('XA MU'!$B$27&lt;=6,'XA MU'!$E$27*$C$8*(IF('XA MU'!$C$27&gt;(xm_y0P+(xm_nP-1)/2*xm_sP),2*('XA MU'!$C$27-(xm_y0P+(xm_nP-1)/2*xm_sP))/xm_sP,0)+IF('XA MU'!$D$27&gt;(xm_y0P+(xm_nP-1)/2*xm_sP),2*('XA MU'!$D$27-(xm_y0P+(xm_nP-1)/2*xm_sP))/xm_sP,0)),0),0)+IF('XA MU'!$B$28&lt;=6,'XA MU'!$E$28*$C$8*(MAX(0,1-ABS('XA MU'!$C$28-$D72)/xm_sP)+MAX(0,1-ABS('XA MU'!$D$28-$D72)/xm_sP)),0)+IF(ABS($D72-(xm_y0P+(xm_nP-1)/2*xm_sP))&lt;0.000001,IF('XA MU'!$B$28&lt;=6,'XA MU'!$E$28*$C$8*(IF('XA MU'!$C$28&gt;(xm_y0P+(xm_nP-1)/2*xm_sP),2*('XA MU'!$C$28-(xm_y0P+(xm_nP-1)/2*xm_sP))/xm_sP,0)+IF('XA MU'!$D$28&gt;(xm_y0P+(xm_nP-1)/2*xm_sP),2*('XA MU'!$D$28-(xm_y0P+(xm_nP-1)/2*xm_sP))/xm_sP,0)),0),0)+IF('XA MU'!$B$29&lt;=6,'XA MU'!$E$29*$C$8*(MAX(0,1-ABS('XA MU'!$C$29-$D72)/xm_sP)+MAX(0,1-ABS('XA MU'!$D$29-$D72)/xm_sP)),0)+IF(ABS($D72-(xm_y0P+(xm_nP-1)/2*xm_sP))&lt;0.000001,IF('XA MU'!$B$29&lt;=6,'XA MU'!$E$29*$C$8*(IF('XA MU'!$C$29&gt;(xm_y0P+(xm_nP-1)/2*xm_sP),2*('XA MU'!$C$29-(xm_y0P+(xm_nP-1)/2*xm_sP))/xm_sP,0)+IF('XA MU'!$D$29&gt;(xm_y0P+(xm_nP-1)/2*xm_sP),2*('XA MU'!$D$29-(xm_y0P+(xm_nP-1)/2*xm_sP))/xm_sP,0)),0),0)+IF('XA MU'!$B$30&lt;=6,'XA MU'!$E$30*$C$8*(MAX(0,1-ABS('XA MU'!$C$30-$D72)/xm_sP)+MAX(0,1-ABS('XA MU'!$D$30-$D72)/xm_sP)),0)+IF(ABS($D72-(xm_y0P+(xm_nP-1)/2*xm_sP))&lt;0.000001,IF('XA MU'!$B$30&lt;=6,'XA MU'!$E$30*$C$8*(IF('XA MU'!$C$30&gt;(xm_y0P+(xm_nP-1)/2*xm_sP),2*('XA MU'!$C$30-(xm_y0P+(xm_nP-1)/2*xm_sP))/xm_sP,0)+IF('XA MU'!$D$30&gt;(xm_y0P+(xm_nP-1)/2*xm_sP),2*('XA MU'!$D$30-(xm_y0P+(xm_nP-1)/2*xm_sP))/xm_sP,0)),0),0))))</f>
        <v>0</v>
      </c>
    </row>
    <row r="73" spans="1:14" x14ac:dyDescent="0.3">
      <c r="A73" s="42" t="s">
        <v>1236</v>
      </c>
      <c r="B73" s="42">
        <v>19</v>
      </c>
      <c r="C73" s="40">
        <f t="shared" si="4"/>
        <v>0</v>
      </c>
      <c r="D73" s="44">
        <f t="shared" si="5"/>
        <v>0</v>
      </c>
      <c r="E73" s="44">
        <f>MAX(0,D73-'XA MU'!$C$8)*C73</f>
        <v>0</v>
      </c>
      <c r="F73" s="44">
        <f>IF(AND(C73=1,D73&gt;'XA MU'!$C$8),1,0)</f>
        <v>0</v>
      </c>
      <c r="G73" s="44">
        <f t="shared" si="6"/>
        <v>0</v>
      </c>
      <c r="H73" s="44">
        <f t="shared" si="7"/>
        <v>0</v>
      </c>
      <c r="I73" s="44">
        <f>IF(C73=0,0,IF(1&gt;nLan,0,1.2*(IF('XA MU'!$B$25&lt;=1,'XA MU'!$E$25*$C$8*(MAX(0,1-ABS('XA MU'!$C$25-$D73)/xm_sP)+MAX(0,1-ABS('XA MU'!$D$25-$D73)/xm_sP)),0)+IF(ABS($D73-(xm_y0P+(xm_nP-1)/2*xm_sP))&lt;0.000001,IF('XA MU'!$B$25&lt;=1,'XA MU'!$E$25*$C$8*(IF('XA MU'!$C$25&gt;(xm_y0P+(xm_nP-1)/2*xm_sP),2*('XA MU'!$C$25-(xm_y0P+(xm_nP-1)/2*xm_sP))/xm_sP,0)+IF('XA MU'!$D$25&gt;(xm_y0P+(xm_nP-1)/2*xm_sP),2*('XA MU'!$D$25-(xm_y0P+(xm_nP-1)/2*xm_sP))/xm_sP,0)),0),0)+IF('XA MU'!$B$26&lt;=1,'XA MU'!$E$26*$C$8*(MAX(0,1-ABS('XA MU'!$C$26-$D73)/xm_sP)+MAX(0,1-ABS('XA MU'!$D$26-$D73)/xm_sP)),0)+IF(ABS($D73-(xm_y0P+(xm_nP-1)/2*xm_sP))&lt;0.000001,IF('XA MU'!$B$26&lt;=1,'XA MU'!$E$26*$C$8*(IF('XA MU'!$C$26&gt;(xm_y0P+(xm_nP-1)/2*xm_sP),2*('XA MU'!$C$26-(xm_y0P+(xm_nP-1)/2*xm_sP))/xm_sP,0)+IF('XA MU'!$D$26&gt;(xm_y0P+(xm_nP-1)/2*xm_sP),2*('XA MU'!$D$26-(xm_y0P+(xm_nP-1)/2*xm_sP))/xm_sP,0)),0),0)+IF('XA MU'!$B$27&lt;=1,'XA MU'!$E$27*$C$8*(MAX(0,1-ABS('XA MU'!$C$27-$D73)/xm_sP)+MAX(0,1-ABS('XA MU'!$D$27-$D73)/xm_sP)),0)+IF(ABS($D73-(xm_y0P+(xm_nP-1)/2*xm_sP))&lt;0.000001,IF('XA MU'!$B$27&lt;=1,'XA MU'!$E$27*$C$8*(IF('XA MU'!$C$27&gt;(xm_y0P+(xm_nP-1)/2*xm_sP),2*('XA MU'!$C$27-(xm_y0P+(xm_nP-1)/2*xm_sP))/xm_sP,0)+IF('XA MU'!$D$27&gt;(xm_y0P+(xm_nP-1)/2*xm_sP),2*('XA MU'!$D$27-(xm_y0P+(xm_nP-1)/2*xm_sP))/xm_sP,0)),0),0)+IF('XA MU'!$B$28&lt;=1,'XA MU'!$E$28*$C$8*(MAX(0,1-ABS('XA MU'!$C$28-$D73)/xm_sP)+MAX(0,1-ABS('XA MU'!$D$28-$D73)/xm_sP)),0)+IF(ABS($D73-(xm_y0P+(xm_nP-1)/2*xm_sP))&lt;0.000001,IF('XA MU'!$B$28&lt;=1,'XA MU'!$E$28*$C$8*(IF('XA MU'!$C$28&gt;(xm_y0P+(xm_nP-1)/2*xm_sP),2*('XA MU'!$C$28-(xm_y0P+(xm_nP-1)/2*xm_sP))/xm_sP,0)+IF('XA MU'!$D$28&gt;(xm_y0P+(xm_nP-1)/2*xm_sP),2*('XA MU'!$D$28-(xm_y0P+(xm_nP-1)/2*xm_sP))/xm_sP,0)),0),0)+IF('XA MU'!$B$29&lt;=1,'XA MU'!$E$29*$C$8*(MAX(0,1-ABS('XA MU'!$C$29-$D73)/xm_sP)+MAX(0,1-ABS('XA MU'!$D$29-$D73)/xm_sP)),0)+IF(ABS($D73-(xm_y0P+(xm_nP-1)/2*xm_sP))&lt;0.000001,IF('XA MU'!$B$29&lt;=1,'XA MU'!$E$29*$C$8*(IF('XA MU'!$C$29&gt;(xm_y0P+(xm_nP-1)/2*xm_sP),2*('XA MU'!$C$29-(xm_y0P+(xm_nP-1)/2*xm_sP))/xm_sP,0)+IF('XA MU'!$D$29&gt;(xm_y0P+(xm_nP-1)/2*xm_sP),2*('XA MU'!$D$29-(xm_y0P+(xm_nP-1)/2*xm_sP))/xm_sP,0)),0),0)+IF('XA MU'!$B$30&lt;=1,'XA MU'!$E$30*$C$8*(MAX(0,1-ABS('XA MU'!$C$30-$D73)/xm_sP)+MAX(0,1-ABS('XA MU'!$D$30-$D73)/xm_sP)),0)+IF(ABS($D73-(xm_y0P+(xm_nP-1)/2*xm_sP))&lt;0.000001,IF('XA MU'!$B$30&lt;=1,'XA MU'!$E$30*$C$8*(IF('XA MU'!$C$30&gt;(xm_y0P+(xm_nP-1)/2*xm_sP),2*('XA MU'!$C$30-(xm_y0P+(xm_nP-1)/2*xm_sP))/xm_sP,0)+IF('XA MU'!$D$30&gt;(xm_y0P+(xm_nP-1)/2*xm_sP),2*('XA MU'!$D$30-(xm_y0P+(xm_nP-1)/2*xm_sP))/xm_sP,0)),0),0))))</f>
        <v>0</v>
      </c>
      <c r="J73" s="44">
        <f>IF(C73=0,0,IF(2&gt;nLan,0,1*(IF('XA MU'!$B$25&lt;=2,'XA MU'!$E$25*$C$8*(MAX(0,1-ABS('XA MU'!$C$25-$D73)/xm_sP)+MAX(0,1-ABS('XA MU'!$D$25-$D73)/xm_sP)),0)+IF(ABS($D73-(xm_y0P+(xm_nP-1)/2*xm_sP))&lt;0.000001,IF('XA MU'!$B$25&lt;=2,'XA MU'!$E$25*$C$8*(IF('XA MU'!$C$25&gt;(xm_y0P+(xm_nP-1)/2*xm_sP),2*('XA MU'!$C$25-(xm_y0P+(xm_nP-1)/2*xm_sP))/xm_sP,0)+IF('XA MU'!$D$25&gt;(xm_y0P+(xm_nP-1)/2*xm_sP),2*('XA MU'!$D$25-(xm_y0P+(xm_nP-1)/2*xm_sP))/xm_sP,0)),0),0)+IF('XA MU'!$B$26&lt;=2,'XA MU'!$E$26*$C$8*(MAX(0,1-ABS('XA MU'!$C$26-$D73)/xm_sP)+MAX(0,1-ABS('XA MU'!$D$26-$D73)/xm_sP)),0)+IF(ABS($D73-(xm_y0P+(xm_nP-1)/2*xm_sP))&lt;0.000001,IF('XA MU'!$B$26&lt;=2,'XA MU'!$E$26*$C$8*(IF('XA MU'!$C$26&gt;(xm_y0P+(xm_nP-1)/2*xm_sP),2*('XA MU'!$C$26-(xm_y0P+(xm_nP-1)/2*xm_sP))/xm_sP,0)+IF('XA MU'!$D$26&gt;(xm_y0P+(xm_nP-1)/2*xm_sP),2*('XA MU'!$D$26-(xm_y0P+(xm_nP-1)/2*xm_sP))/xm_sP,0)),0),0)+IF('XA MU'!$B$27&lt;=2,'XA MU'!$E$27*$C$8*(MAX(0,1-ABS('XA MU'!$C$27-$D73)/xm_sP)+MAX(0,1-ABS('XA MU'!$D$27-$D73)/xm_sP)),0)+IF(ABS($D73-(xm_y0P+(xm_nP-1)/2*xm_sP))&lt;0.000001,IF('XA MU'!$B$27&lt;=2,'XA MU'!$E$27*$C$8*(IF('XA MU'!$C$27&gt;(xm_y0P+(xm_nP-1)/2*xm_sP),2*('XA MU'!$C$27-(xm_y0P+(xm_nP-1)/2*xm_sP))/xm_sP,0)+IF('XA MU'!$D$27&gt;(xm_y0P+(xm_nP-1)/2*xm_sP),2*('XA MU'!$D$27-(xm_y0P+(xm_nP-1)/2*xm_sP))/xm_sP,0)),0),0)+IF('XA MU'!$B$28&lt;=2,'XA MU'!$E$28*$C$8*(MAX(0,1-ABS('XA MU'!$C$28-$D73)/xm_sP)+MAX(0,1-ABS('XA MU'!$D$28-$D73)/xm_sP)),0)+IF(ABS($D73-(xm_y0P+(xm_nP-1)/2*xm_sP))&lt;0.000001,IF('XA MU'!$B$28&lt;=2,'XA MU'!$E$28*$C$8*(IF('XA MU'!$C$28&gt;(xm_y0P+(xm_nP-1)/2*xm_sP),2*('XA MU'!$C$28-(xm_y0P+(xm_nP-1)/2*xm_sP))/xm_sP,0)+IF('XA MU'!$D$28&gt;(xm_y0P+(xm_nP-1)/2*xm_sP),2*('XA MU'!$D$28-(xm_y0P+(xm_nP-1)/2*xm_sP))/xm_sP,0)),0),0)+IF('XA MU'!$B$29&lt;=2,'XA MU'!$E$29*$C$8*(MAX(0,1-ABS('XA MU'!$C$29-$D73)/xm_sP)+MAX(0,1-ABS('XA MU'!$D$29-$D73)/xm_sP)),0)+IF(ABS($D73-(xm_y0P+(xm_nP-1)/2*xm_sP))&lt;0.000001,IF('XA MU'!$B$29&lt;=2,'XA MU'!$E$29*$C$8*(IF('XA MU'!$C$29&gt;(xm_y0P+(xm_nP-1)/2*xm_sP),2*('XA MU'!$C$29-(xm_y0P+(xm_nP-1)/2*xm_sP))/xm_sP,0)+IF('XA MU'!$D$29&gt;(xm_y0P+(xm_nP-1)/2*xm_sP),2*('XA MU'!$D$29-(xm_y0P+(xm_nP-1)/2*xm_sP))/xm_sP,0)),0),0)+IF('XA MU'!$B$30&lt;=2,'XA MU'!$E$30*$C$8*(MAX(0,1-ABS('XA MU'!$C$30-$D73)/xm_sP)+MAX(0,1-ABS('XA MU'!$D$30-$D73)/xm_sP)),0)+IF(ABS($D73-(xm_y0P+(xm_nP-1)/2*xm_sP))&lt;0.000001,IF('XA MU'!$B$30&lt;=2,'XA MU'!$E$30*$C$8*(IF('XA MU'!$C$30&gt;(xm_y0P+(xm_nP-1)/2*xm_sP),2*('XA MU'!$C$30-(xm_y0P+(xm_nP-1)/2*xm_sP))/xm_sP,0)+IF('XA MU'!$D$30&gt;(xm_y0P+(xm_nP-1)/2*xm_sP),2*('XA MU'!$D$30-(xm_y0P+(xm_nP-1)/2*xm_sP))/xm_sP,0)),0),0))))</f>
        <v>0</v>
      </c>
      <c r="K73" s="44">
        <f>IF(C73=0,0,IF(3&gt;nLan,0,0.85*(IF('XA MU'!$B$25&lt;=3,'XA MU'!$E$25*$C$8*(MAX(0,1-ABS('XA MU'!$C$25-$D73)/xm_sP)+MAX(0,1-ABS('XA MU'!$D$25-$D73)/xm_sP)),0)+IF(ABS($D73-(xm_y0P+(xm_nP-1)/2*xm_sP))&lt;0.000001,IF('XA MU'!$B$25&lt;=3,'XA MU'!$E$25*$C$8*(IF('XA MU'!$C$25&gt;(xm_y0P+(xm_nP-1)/2*xm_sP),2*('XA MU'!$C$25-(xm_y0P+(xm_nP-1)/2*xm_sP))/xm_sP,0)+IF('XA MU'!$D$25&gt;(xm_y0P+(xm_nP-1)/2*xm_sP),2*('XA MU'!$D$25-(xm_y0P+(xm_nP-1)/2*xm_sP))/xm_sP,0)),0),0)+IF('XA MU'!$B$26&lt;=3,'XA MU'!$E$26*$C$8*(MAX(0,1-ABS('XA MU'!$C$26-$D73)/xm_sP)+MAX(0,1-ABS('XA MU'!$D$26-$D73)/xm_sP)),0)+IF(ABS($D73-(xm_y0P+(xm_nP-1)/2*xm_sP))&lt;0.000001,IF('XA MU'!$B$26&lt;=3,'XA MU'!$E$26*$C$8*(IF('XA MU'!$C$26&gt;(xm_y0P+(xm_nP-1)/2*xm_sP),2*('XA MU'!$C$26-(xm_y0P+(xm_nP-1)/2*xm_sP))/xm_sP,0)+IF('XA MU'!$D$26&gt;(xm_y0P+(xm_nP-1)/2*xm_sP),2*('XA MU'!$D$26-(xm_y0P+(xm_nP-1)/2*xm_sP))/xm_sP,0)),0),0)+IF('XA MU'!$B$27&lt;=3,'XA MU'!$E$27*$C$8*(MAX(0,1-ABS('XA MU'!$C$27-$D73)/xm_sP)+MAX(0,1-ABS('XA MU'!$D$27-$D73)/xm_sP)),0)+IF(ABS($D73-(xm_y0P+(xm_nP-1)/2*xm_sP))&lt;0.000001,IF('XA MU'!$B$27&lt;=3,'XA MU'!$E$27*$C$8*(IF('XA MU'!$C$27&gt;(xm_y0P+(xm_nP-1)/2*xm_sP),2*('XA MU'!$C$27-(xm_y0P+(xm_nP-1)/2*xm_sP))/xm_sP,0)+IF('XA MU'!$D$27&gt;(xm_y0P+(xm_nP-1)/2*xm_sP),2*('XA MU'!$D$27-(xm_y0P+(xm_nP-1)/2*xm_sP))/xm_sP,0)),0),0)+IF('XA MU'!$B$28&lt;=3,'XA MU'!$E$28*$C$8*(MAX(0,1-ABS('XA MU'!$C$28-$D73)/xm_sP)+MAX(0,1-ABS('XA MU'!$D$28-$D73)/xm_sP)),0)+IF(ABS($D73-(xm_y0P+(xm_nP-1)/2*xm_sP))&lt;0.000001,IF('XA MU'!$B$28&lt;=3,'XA MU'!$E$28*$C$8*(IF('XA MU'!$C$28&gt;(xm_y0P+(xm_nP-1)/2*xm_sP),2*('XA MU'!$C$28-(xm_y0P+(xm_nP-1)/2*xm_sP))/xm_sP,0)+IF('XA MU'!$D$28&gt;(xm_y0P+(xm_nP-1)/2*xm_sP),2*('XA MU'!$D$28-(xm_y0P+(xm_nP-1)/2*xm_sP))/xm_sP,0)),0),0)+IF('XA MU'!$B$29&lt;=3,'XA MU'!$E$29*$C$8*(MAX(0,1-ABS('XA MU'!$C$29-$D73)/xm_sP)+MAX(0,1-ABS('XA MU'!$D$29-$D73)/xm_sP)),0)+IF(ABS($D73-(xm_y0P+(xm_nP-1)/2*xm_sP))&lt;0.000001,IF('XA MU'!$B$29&lt;=3,'XA MU'!$E$29*$C$8*(IF('XA MU'!$C$29&gt;(xm_y0P+(xm_nP-1)/2*xm_sP),2*('XA MU'!$C$29-(xm_y0P+(xm_nP-1)/2*xm_sP))/xm_sP,0)+IF('XA MU'!$D$29&gt;(xm_y0P+(xm_nP-1)/2*xm_sP),2*('XA MU'!$D$29-(xm_y0P+(xm_nP-1)/2*xm_sP))/xm_sP,0)),0),0)+IF('XA MU'!$B$30&lt;=3,'XA MU'!$E$30*$C$8*(MAX(0,1-ABS('XA MU'!$C$30-$D73)/xm_sP)+MAX(0,1-ABS('XA MU'!$D$30-$D73)/xm_sP)),0)+IF(ABS($D73-(xm_y0P+(xm_nP-1)/2*xm_sP))&lt;0.000001,IF('XA MU'!$B$30&lt;=3,'XA MU'!$E$30*$C$8*(IF('XA MU'!$C$30&gt;(xm_y0P+(xm_nP-1)/2*xm_sP),2*('XA MU'!$C$30-(xm_y0P+(xm_nP-1)/2*xm_sP))/xm_sP,0)+IF('XA MU'!$D$30&gt;(xm_y0P+(xm_nP-1)/2*xm_sP),2*('XA MU'!$D$30-(xm_y0P+(xm_nP-1)/2*xm_sP))/xm_sP,0)),0),0))))</f>
        <v>0</v>
      </c>
      <c r="L73" s="44">
        <f>IF(C73=0,0,IF(4&gt;nLan,0,0.65*(IF('XA MU'!$B$25&lt;=4,'XA MU'!$E$25*$C$8*(MAX(0,1-ABS('XA MU'!$C$25-$D73)/xm_sP)+MAX(0,1-ABS('XA MU'!$D$25-$D73)/xm_sP)),0)+IF(ABS($D73-(xm_y0P+(xm_nP-1)/2*xm_sP))&lt;0.000001,IF('XA MU'!$B$25&lt;=4,'XA MU'!$E$25*$C$8*(IF('XA MU'!$C$25&gt;(xm_y0P+(xm_nP-1)/2*xm_sP),2*('XA MU'!$C$25-(xm_y0P+(xm_nP-1)/2*xm_sP))/xm_sP,0)+IF('XA MU'!$D$25&gt;(xm_y0P+(xm_nP-1)/2*xm_sP),2*('XA MU'!$D$25-(xm_y0P+(xm_nP-1)/2*xm_sP))/xm_sP,0)),0),0)+IF('XA MU'!$B$26&lt;=4,'XA MU'!$E$26*$C$8*(MAX(0,1-ABS('XA MU'!$C$26-$D73)/xm_sP)+MAX(0,1-ABS('XA MU'!$D$26-$D73)/xm_sP)),0)+IF(ABS($D73-(xm_y0P+(xm_nP-1)/2*xm_sP))&lt;0.000001,IF('XA MU'!$B$26&lt;=4,'XA MU'!$E$26*$C$8*(IF('XA MU'!$C$26&gt;(xm_y0P+(xm_nP-1)/2*xm_sP),2*('XA MU'!$C$26-(xm_y0P+(xm_nP-1)/2*xm_sP))/xm_sP,0)+IF('XA MU'!$D$26&gt;(xm_y0P+(xm_nP-1)/2*xm_sP),2*('XA MU'!$D$26-(xm_y0P+(xm_nP-1)/2*xm_sP))/xm_sP,0)),0),0)+IF('XA MU'!$B$27&lt;=4,'XA MU'!$E$27*$C$8*(MAX(0,1-ABS('XA MU'!$C$27-$D73)/xm_sP)+MAX(0,1-ABS('XA MU'!$D$27-$D73)/xm_sP)),0)+IF(ABS($D73-(xm_y0P+(xm_nP-1)/2*xm_sP))&lt;0.000001,IF('XA MU'!$B$27&lt;=4,'XA MU'!$E$27*$C$8*(IF('XA MU'!$C$27&gt;(xm_y0P+(xm_nP-1)/2*xm_sP),2*('XA MU'!$C$27-(xm_y0P+(xm_nP-1)/2*xm_sP))/xm_sP,0)+IF('XA MU'!$D$27&gt;(xm_y0P+(xm_nP-1)/2*xm_sP),2*('XA MU'!$D$27-(xm_y0P+(xm_nP-1)/2*xm_sP))/xm_sP,0)),0),0)+IF('XA MU'!$B$28&lt;=4,'XA MU'!$E$28*$C$8*(MAX(0,1-ABS('XA MU'!$C$28-$D73)/xm_sP)+MAX(0,1-ABS('XA MU'!$D$28-$D73)/xm_sP)),0)+IF(ABS($D73-(xm_y0P+(xm_nP-1)/2*xm_sP))&lt;0.000001,IF('XA MU'!$B$28&lt;=4,'XA MU'!$E$28*$C$8*(IF('XA MU'!$C$28&gt;(xm_y0P+(xm_nP-1)/2*xm_sP),2*('XA MU'!$C$28-(xm_y0P+(xm_nP-1)/2*xm_sP))/xm_sP,0)+IF('XA MU'!$D$28&gt;(xm_y0P+(xm_nP-1)/2*xm_sP),2*('XA MU'!$D$28-(xm_y0P+(xm_nP-1)/2*xm_sP))/xm_sP,0)),0),0)+IF('XA MU'!$B$29&lt;=4,'XA MU'!$E$29*$C$8*(MAX(0,1-ABS('XA MU'!$C$29-$D73)/xm_sP)+MAX(0,1-ABS('XA MU'!$D$29-$D73)/xm_sP)),0)+IF(ABS($D73-(xm_y0P+(xm_nP-1)/2*xm_sP))&lt;0.000001,IF('XA MU'!$B$29&lt;=4,'XA MU'!$E$29*$C$8*(IF('XA MU'!$C$29&gt;(xm_y0P+(xm_nP-1)/2*xm_sP),2*('XA MU'!$C$29-(xm_y0P+(xm_nP-1)/2*xm_sP))/xm_sP,0)+IF('XA MU'!$D$29&gt;(xm_y0P+(xm_nP-1)/2*xm_sP),2*('XA MU'!$D$29-(xm_y0P+(xm_nP-1)/2*xm_sP))/xm_sP,0)),0),0)+IF('XA MU'!$B$30&lt;=4,'XA MU'!$E$30*$C$8*(MAX(0,1-ABS('XA MU'!$C$30-$D73)/xm_sP)+MAX(0,1-ABS('XA MU'!$D$30-$D73)/xm_sP)),0)+IF(ABS($D73-(xm_y0P+(xm_nP-1)/2*xm_sP))&lt;0.000001,IF('XA MU'!$B$30&lt;=4,'XA MU'!$E$30*$C$8*(IF('XA MU'!$C$30&gt;(xm_y0P+(xm_nP-1)/2*xm_sP),2*('XA MU'!$C$30-(xm_y0P+(xm_nP-1)/2*xm_sP))/xm_sP,0)+IF('XA MU'!$D$30&gt;(xm_y0P+(xm_nP-1)/2*xm_sP),2*('XA MU'!$D$30-(xm_y0P+(xm_nP-1)/2*xm_sP))/xm_sP,0)),0),0))))</f>
        <v>0</v>
      </c>
      <c r="M73" s="44">
        <f>IF(C73=0,0,IF(5&gt;nLan,0,0.65*(IF('XA MU'!$B$25&lt;=5,'XA MU'!$E$25*$C$8*(MAX(0,1-ABS('XA MU'!$C$25-$D73)/xm_sP)+MAX(0,1-ABS('XA MU'!$D$25-$D73)/xm_sP)),0)+IF(ABS($D73-(xm_y0P+(xm_nP-1)/2*xm_sP))&lt;0.000001,IF('XA MU'!$B$25&lt;=5,'XA MU'!$E$25*$C$8*(IF('XA MU'!$C$25&gt;(xm_y0P+(xm_nP-1)/2*xm_sP),2*('XA MU'!$C$25-(xm_y0P+(xm_nP-1)/2*xm_sP))/xm_sP,0)+IF('XA MU'!$D$25&gt;(xm_y0P+(xm_nP-1)/2*xm_sP),2*('XA MU'!$D$25-(xm_y0P+(xm_nP-1)/2*xm_sP))/xm_sP,0)),0),0)+IF('XA MU'!$B$26&lt;=5,'XA MU'!$E$26*$C$8*(MAX(0,1-ABS('XA MU'!$C$26-$D73)/xm_sP)+MAX(0,1-ABS('XA MU'!$D$26-$D73)/xm_sP)),0)+IF(ABS($D73-(xm_y0P+(xm_nP-1)/2*xm_sP))&lt;0.000001,IF('XA MU'!$B$26&lt;=5,'XA MU'!$E$26*$C$8*(IF('XA MU'!$C$26&gt;(xm_y0P+(xm_nP-1)/2*xm_sP),2*('XA MU'!$C$26-(xm_y0P+(xm_nP-1)/2*xm_sP))/xm_sP,0)+IF('XA MU'!$D$26&gt;(xm_y0P+(xm_nP-1)/2*xm_sP),2*('XA MU'!$D$26-(xm_y0P+(xm_nP-1)/2*xm_sP))/xm_sP,0)),0),0)+IF('XA MU'!$B$27&lt;=5,'XA MU'!$E$27*$C$8*(MAX(0,1-ABS('XA MU'!$C$27-$D73)/xm_sP)+MAX(0,1-ABS('XA MU'!$D$27-$D73)/xm_sP)),0)+IF(ABS($D73-(xm_y0P+(xm_nP-1)/2*xm_sP))&lt;0.000001,IF('XA MU'!$B$27&lt;=5,'XA MU'!$E$27*$C$8*(IF('XA MU'!$C$27&gt;(xm_y0P+(xm_nP-1)/2*xm_sP),2*('XA MU'!$C$27-(xm_y0P+(xm_nP-1)/2*xm_sP))/xm_sP,0)+IF('XA MU'!$D$27&gt;(xm_y0P+(xm_nP-1)/2*xm_sP),2*('XA MU'!$D$27-(xm_y0P+(xm_nP-1)/2*xm_sP))/xm_sP,0)),0),0)+IF('XA MU'!$B$28&lt;=5,'XA MU'!$E$28*$C$8*(MAX(0,1-ABS('XA MU'!$C$28-$D73)/xm_sP)+MAX(0,1-ABS('XA MU'!$D$28-$D73)/xm_sP)),0)+IF(ABS($D73-(xm_y0P+(xm_nP-1)/2*xm_sP))&lt;0.000001,IF('XA MU'!$B$28&lt;=5,'XA MU'!$E$28*$C$8*(IF('XA MU'!$C$28&gt;(xm_y0P+(xm_nP-1)/2*xm_sP),2*('XA MU'!$C$28-(xm_y0P+(xm_nP-1)/2*xm_sP))/xm_sP,0)+IF('XA MU'!$D$28&gt;(xm_y0P+(xm_nP-1)/2*xm_sP),2*('XA MU'!$D$28-(xm_y0P+(xm_nP-1)/2*xm_sP))/xm_sP,0)),0),0)+IF('XA MU'!$B$29&lt;=5,'XA MU'!$E$29*$C$8*(MAX(0,1-ABS('XA MU'!$C$29-$D73)/xm_sP)+MAX(0,1-ABS('XA MU'!$D$29-$D73)/xm_sP)),0)+IF(ABS($D73-(xm_y0P+(xm_nP-1)/2*xm_sP))&lt;0.000001,IF('XA MU'!$B$29&lt;=5,'XA MU'!$E$29*$C$8*(IF('XA MU'!$C$29&gt;(xm_y0P+(xm_nP-1)/2*xm_sP),2*('XA MU'!$C$29-(xm_y0P+(xm_nP-1)/2*xm_sP))/xm_sP,0)+IF('XA MU'!$D$29&gt;(xm_y0P+(xm_nP-1)/2*xm_sP),2*('XA MU'!$D$29-(xm_y0P+(xm_nP-1)/2*xm_sP))/xm_sP,0)),0),0)+IF('XA MU'!$B$30&lt;=5,'XA MU'!$E$30*$C$8*(MAX(0,1-ABS('XA MU'!$C$30-$D73)/xm_sP)+MAX(0,1-ABS('XA MU'!$D$30-$D73)/xm_sP)),0)+IF(ABS($D73-(xm_y0P+(xm_nP-1)/2*xm_sP))&lt;0.000001,IF('XA MU'!$B$30&lt;=5,'XA MU'!$E$30*$C$8*(IF('XA MU'!$C$30&gt;(xm_y0P+(xm_nP-1)/2*xm_sP),2*('XA MU'!$C$30-(xm_y0P+(xm_nP-1)/2*xm_sP))/xm_sP,0)+IF('XA MU'!$D$30&gt;(xm_y0P+(xm_nP-1)/2*xm_sP),2*('XA MU'!$D$30-(xm_y0P+(xm_nP-1)/2*xm_sP))/xm_sP,0)),0),0))))</f>
        <v>0</v>
      </c>
      <c r="N73" s="44">
        <f>IF(C73=0,0,IF(6&gt;nLan,0,0.65*(IF('XA MU'!$B$25&lt;=6,'XA MU'!$E$25*$C$8*(MAX(0,1-ABS('XA MU'!$C$25-$D73)/xm_sP)+MAX(0,1-ABS('XA MU'!$D$25-$D73)/xm_sP)),0)+IF(ABS($D73-(xm_y0P+(xm_nP-1)/2*xm_sP))&lt;0.000001,IF('XA MU'!$B$25&lt;=6,'XA MU'!$E$25*$C$8*(IF('XA MU'!$C$25&gt;(xm_y0P+(xm_nP-1)/2*xm_sP),2*('XA MU'!$C$25-(xm_y0P+(xm_nP-1)/2*xm_sP))/xm_sP,0)+IF('XA MU'!$D$25&gt;(xm_y0P+(xm_nP-1)/2*xm_sP),2*('XA MU'!$D$25-(xm_y0P+(xm_nP-1)/2*xm_sP))/xm_sP,0)),0),0)+IF('XA MU'!$B$26&lt;=6,'XA MU'!$E$26*$C$8*(MAX(0,1-ABS('XA MU'!$C$26-$D73)/xm_sP)+MAX(0,1-ABS('XA MU'!$D$26-$D73)/xm_sP)),0)+IF(ABS($D73-(xm_y0P+(xm_nP-1)/2*xm_sP))&lt;0.000001,IF('XA MU'!$B$26&lt;=6,'XA MU'!$E$26*$C$8*(IF('XA MU'!$C$26&gt;(xm_y0P+(xm_nP-1)/2*xm_sP),2*('XA MU'!$C$26-(xm_y0P+(xm_nP-1)/2*xm_sP))/xm_sP,0)+IF('XA MU'!$D$26&gt;(xm_y0P+(xm_nP-1)/2*xm_sP),2*('XA MU'!$D$26-(xm_y0P+(xm_nP-1)/2*xm_sP))/xm_sP,0)),0),0)+IF('XA MU'!$B$27&lt;=6,'XA MU'!$E$27*$C$8*(MAX(0,1-ABS('XA MU'!$C$27-$D73)/xm_sP)+MAX(0,1-ABS('XA MU'!$D$27-$D73)/xm_sP)),0)+IF(ABS($D73-(xm_y0P+(xm_nP-1)/2*xm_sP))&lt;0.000001,IF('XA MU'!$B$27&lt;=6,'XA MU'!$E$27*$C$8*(IF('XA MU'!$C$27&gt;(xm_y0P+(xm_nP-1)/2*xm_sP),2*('XA MU'!$C$27-(xm_y0P+(xm_nP-1)/2*xm_sP))/xm_sP,0)+IF('XA MU'!$D$27&gt;(xm_y0P+(xm_nP-1)/2*xm_sP),2*('XA MU'!$D$27-(xm_y0P+(xm_nP-1)/2*xm_sP))/xm_sP,0)),0),0)+IF('XA MU'!$B$28&lt;=6,'XA MU'!$E$28*$C$8*(MAX(0,1-ABS('XA MU'!$C$28-$D73)/xm_sP)+MAX(0,1-ABS('XA MU'!$D$28-$D73)/xm_sP)),0)+IF(ABS($D73-(xm_y0P+(xm_nP-1)/2*xm_sP))&lt;0.000001,IF('XA MU'!$B$28&lt;=6,'XA MU'!$E$28*$C$8*(IF('XA MU'!$C$28&gt;(xm_y0P+(xm_nP-1)/2*xm_sP),2*('XA MU'!$C$28-(xm_y0P+(xm_nP-1)/2*xm_sP))/xm_sP,0)+IF('XA MU'!$D$28&gt;(xm_y0P+(xm_nP-1)/2*xm_sP),2*('XA MU'!$D$28-(xm_y0P+(xm_nP-1)/2*xm_sP))/xm_sP,0)),0),0)+IF('XA MU'!$B$29&lt;=6,'XA MU'!$E$29*$C$8*(MAX(0,1-ABS('XA MU'!$C$29-$D73)/xm_sP)+MAX(0,1-ABS('XA MU'!$D$29-$D73)/xm_sP)),0)+IF(ABS($D73-(xm_y0P+(xm_nP-1)/2*xm_sP))&lt;0.000001,IF('XA MU'!$B$29&lt;=6,'XA MU'!$E$29*$C$8*(IF('XA MU'!$C$29&gt;(xm_y0P+(xm_nP-1)/2*xm_sP),2*('XA MU'!$C$29-(xm_y0P+(xm_nP-1)/2*xm_sP))/xm_sP,0)+IF('XA MU'!$D$29&gt;(xm_y0P+(xm_nP-1)/2*xm_sP),2*('XA MU'!$D$29-(xm_y0P+(xm_nP-1)/2*xm_sP))/xm_sP,0)),0),0)+IF('XA MU'!$B$30&lt;=6,'XA MU'!$E$30*$C$8*(MAX(0,1-ABS('XA MU'!$C$30-$D73)/xm_sP)+MAX(0,1-ABS('XA MU'!$D$30-$D73)/xm_sP)),0)+IF(ABS($D73-(xm_y0P+(xm_nP-1)/2*xm_sP))&lt;0.000001,IF('XA MU'!$B$30&lt;=6,'XA MU'!$E$30*$C$8*(IF('XA MU'!$C$30&gt;(xm_y0P+(xm_nP-1)/2*xm_sP),2*('XA MU'!$C$30-(xm_y0P+(xm_nP-1)/2*xm_sP))/xm_sP,0)+IF('XA MU'!$D$30&gt;(xm_y0P+(xm_nP-1)/2*xm_sP),2*('XA MU'!$D$30-(xm_y0P+(xm_nP-1)/2*xm_sP))/xm_sP,0)),0),0))))</f>
        <v>0</v>
      </c>
    </row>
    <row r="74" spans="1:14" x14ac:dyDescent="0.3">
      <c r="A74" s="42" t="s">
        <v>1236</v>
      </c>
      <c r="B74" s="42">
        <v>20</v>
      </c>
      <c r="C74" s="40">
        <f t="shared" si="4"/>
        <v>0</v>
      </c>
      <c r="D74" s="44">
        <f t="shared" si="5"/>
        <v>0</v>
      </c>
      <c r="E74" s="44">
        <f>MAX(0,D74-'XA MU'!$C$8)*C74</f>
        <v>0</v>
      </c>
      <c r="F74" s="44">
        <f>IF(AND(C74=1,D74&gt;'XA MU'!$C$8),1,0)</f>
        <v>0</v>
      </c>
      <c r="G74" s="44">
        <f t="shared" si="6"/>
        <v>0</v>
      </c>
      <c r="H74" s="44">
        <f t="shared" si="7"/>
        <v>0</v>
      </c>
      <c r="I74" s="44">
        <f>IF(C74=0,0,IF(1&gt;nLan,0,1.2*(IF('XA MU'!$B$25&lt;=1,'XA MU'!$E$25*$C$8*(MAX(0,1-ABS('XA MU'!$C$25-$D74)/xm_sP)+MAX(0,1-ABS('XA MU'!$D$25-$D74)/xm_sP)),0)+IF(ABS($D74-(xm_y0P+(xm_nP-1)/2*xm_sP))&lt;0.000001,IF('XA MU'!$B$25&lt;=1,'XA MU'!$E$25*$C$8*(IF('XA MU'!$C$25&gt;(xm_y0P+(xm_nP-1)/2*xm_sP),2*('XA MU'!$C$25-(xm_y0P+(xm_nP-1)/2*xm_sP))/xm_sP,0)+IF('XA MU'!$D$25&gt;(xm_y0P+(xm_nP-1)/2*xm_sP),2*('XA MU'!$D$25-(xm_y0P+(xm_nP-1)/2*xm_sP))/xm_sP,0)),0),0)+IF('XA MU'!$B$26&lt;=1,'XA MU'!$E$26*$C$8*(MAX(0,1-ABS('XA MU'!$C$26-$D74)/xm_sP)+MAX(0,1-ABS('XA MU'!$D$26-$D74)/xm_sP)),0)+IF(ABS($D74-(xm_y0P+(xm_nP-1)/2*xm_sP))&lt;0.000001,IF('XA MU'!$B$26&lt;=1,'XA MU'!$E$26*$C$8*(IF('XA MU'!$C$26&gt;(xm_y0P+(xm_nP-1)/2*xm_sP),2*('XA MU'!$C$26-(xm_y0P+(xm_nP-1)/2*xm_sP))/xm_sP,0)+IF('XA MU'!$D$26&gt;(xm_y0P+(xm_nP-1)/2*xm_sP),2*('XA MU'!$D$26-(xm_y0P+(xm_nP-1)/2*xm_sP))/xm_sP,0)),0),0)+IF('XA MU'!$B$27&lt;=1,'XA MU'!$E$27*$C$8*(MAX(0,1-ABS('XA MU'!$C$27-$D74)/xm_sP)+MAX(0,1-ABS('XA MU'!$D$27-$D74)/xm_sP)),0)+IF(ABS($D74-(xm_y0P+(xm_nP-1)/2*xm_sP))&lt;0.000001,IF('XA MU'!$B$27&lt;=1,'XA MU'!$E$27*$C$8*(IF('XA MU'!$C$27&gt;(xm_y0P+(xm_nP-1)/2*xm_sP),2*('XA MU'!$C$27-(xm_y0P+(xm_nP-1)/2*xm_sP))/xm_sP,0)+IF('XA MU'!$D$27&gt;(xm_y0P+(xm_nP-1)/2*xm_sP),2*('XA MU'!$D$27-(xm_y0P+(xm_nP-1)/2*xm_sP))/xm_sP,0)),0),0)+IF('XA MU'!$B$28&lt;=1,'XA MU'!$E$28*$C$8*(MAX(0,1-ABS('XA MU'!$C$28-$D74)/xm_sP)+MAX(0,1-ABS('XA MU'!$D$28-$D74)/xm_sP)),0)+IF(ABS($D74-(xm_y0P+(xm_nP-1)/2*xm_sP))&lt;0.000001,IF('XA MU'!$B$28&lt;=1,'XA MU'!$E$28*$C$8*(IF('XA MU'!$C$28&gt;(xm_y0P+(xm_nP-1)/2*xm_sP),2*('XA MU'!$C$28-(xm_y0P+(xm_nP-1)/2*xm_sP))/xm_sP,0)+IF('XA MU'!$D$28&gt;(xm_y0P+(xm_nP-1)/2*xm_sP),2*('XA MU'!$D$28-(xm_y0P+(xm_nP-1)/2*xm_sP))/xm_sP,0)),0),0)+IF('XA MU'!$B$29&lt;=1,'XA MU'!$E$29*$C$8*(MAX(0,1-ABS('XA MU'!$C$29-$D74)/xm_sP)+MAX(0,1-ABS('XA MU'!$D$29-$D74)/xm_sP)),0)+IF(ABS($D74-(xm_y0P+(xm_nP-1)/2*xm_sP))&lt;0.000001,IF('XA MU'!$B$29&lt;=1,'XA MU'!$E$29*$C$8*(IF('XA MU'!$C$29&gt;(xm_y0P+(xm_nP-1)/2*xm_sP),2*('XA MU'!$C$29-(xm_y0P+(xm_nP-1)/2*xm_sP))/xm_sP,0)+IF('XA MU'!$D$29&gt;(xm_y0P+(xm_nP-1)/2*xm_sP),2*('XA MU'!$D$29-(xm_y0P+(xm_nP-1)/2*xm_sP))/xm_sP,0)),0),0)+IF('XA MU'!$B$30&lt;=1,'XA MU'!$E$30*$C$8*(MAX(0,1-ABS('XA MU'!$C$30-$D74)/xm_sP)+MAX(0,1-ABS('XA MU'!$D$30-$D74)/xm_sP)),0)+IF(ABS($D74-(xm_y0P+(xm_nP-1)/2*xm_sP))&lt;0.000001,IF('XA MU'!$B$30&lt;=1,'XA MU'!$E$30*$C$8*(IF('XA MU'!$C$30&gt;(xm_y0P+(xm_nP-1)/2*xm_sP),2*('XA MU'!$C$30-(xm_y0P+(xm_nP-1)/2*xm_sP))/xm_sP,0)+IF('XA MU'!$D$30&gt;(xm_y0P+(xm_nP-1)/2*xm_sP),2*('XA MU'!$D$30-(xm_y0P+(xm_nP-1)/2*xm_sP))/xm_sP,0)),0),0))))</f>
        <v>0</v>
      </c>
      <c r="J74" s="44">
        <f>IF(C74=0,0,IF(2&gt;nLan,0,1*(IF('XA MU'!$B$25&lt;=2,'XA MU'!$E$25*$C$8*(MAX(0,1-ABS('XA MU'!$C$25-$D74)/xm_sP)+MAX(0,1-ABS('XA MU'!$D$25-$D74)/xm_sP)),0)+IF(ABS($D74-(xm_y0P+(xm_nP-1)/2*xm_sP))&lt;0.000001,IF('XA MU'!$B$25&lt;=2,'XA MU'!$E$25*$C$8*(IF('XA MU'!$C$25&gt;(xm_y0P+(xm_nP-1)/2*xm_sP),2*('XA MU'!$C$25-(xm_y0P+(xm_nP-1)/2*xm_sP))/xm_sP,0)+IF('XA MU'!$D$25&gt;(xm_y0P+(xm_nP-1)/2*xm_sP),2*('XA MU'!$D$25-(xm_y0P+(xm_nP-1)/2*xm_sP))/xm_sP,0)),0),0)+IF('XA MU'!$B$26&lt;=2,'XA MU'!$E$26*$C$8*(MAX(0,1-ABS('XA MU'!$C$26-$D74)/xm_sP)+MAX(0,1-ABS('XA MU'!$D$26-$D74)/xm_sP)),0)+IF(ABS($D74-(xm_y0P+(xm_nP-1)/2*xm_sP))&lt;0.000001,IF('XA MU'!$B$26&lt;=2,'XA MU'!$E$26*$C$8*(IF('XA MU'!$C$26&gt;(xm_y0P+(xm_nP-1)/2*xm_sP),2*('XA MU'!$C$26-(xm_y0P+(xm_nP-1)/2*xm_sP))/xm_sP,0)+IF('XA MU'!$D$26&gt;(xm_y0P+(xm_nP-1)/2*xm_sP),2*('XA MU'!$D$26-(xm_y0P+(xm_nP-1)/2*xm_sP))/xm_sP,0)),0),0)+IF('XA MU'!$B$27&lt;=2,'XA MU'!$E$27*$C$8*(MAX(0,1-ABS('XA MU'!$C$27-$D74)/xm_sP)+MAX(0,1-ABS('XA MU'!$D$27-$D74)/xm_sP)),0)+IF(ABS($D74-(xm_y0P+(xm_nP-1)/2*xm_sP))&lt;0.000001,IF('XA MU'!$B$27&lt;=2,'XA MU'!$E$27*$C$8*(IF('XA MU'!$C$27&gt;(xm_y0P+(xm_nP-1)/2*xm_sP),2*('XA MU'!$C$27-(xm_y0P+(xm_nP-1)/2*xm_sP))/xm_sP,0)+IF('XA MU'!$D$27&gt;(xm_y0P+(xm_nP-1)/2*xm_sP),2*('XA MU'!$D$27-(xm_y0P+(xm_nP-1)/2*xm_sP))/xm_sP,0)),0),0)+IF('XA MU'!$B$28&lt;=2,'XA MU'!$E$28*$C$8*(MAX(0,1-ABS('XA MU'!$C$28-$D74)/xm_sP)+MAX(0,1-ABS('XA MU'!$D$28-$D74)/xm_sP)),0)+IF(ABS($D74-(xm_y0P+(xm_nP-1)/2*xm_sP))&lt;0.000001,IF('XA MU'!$B$28&lt;=2,'XA MU'!$E$28*$C$8*(IF('XA MU'!$C$28&gt;(xm_y0P+(xm_nP-1)/2*xm_sP),2*('XA MU'!$C$28-(xm_y0P+(xm_nP-1)/2*xm_sP))/xm_sP,0)+IF('XA MU'!$D$28&gt;(xm_y0P+(xm_nP-1)/2*xm_sP),2*('XA MU'!$D$28-(xm_y0P+(xm_nP-1)/2*xm_sP))/xm_sP,0)),0),0)+IF('XA MU'!$B$29&lt;=2,'XA MU'!$E$29*$C$8*(MAX(0,1-ABS('XA MU'!$C$29-$D74)/xm_sP)+MAX(0,1-ABS('XA MU'!$D$29-$D74)/xm_sP)),0)+IF(ABS($D74-(xm_y0P+(xm_nP-1)/2*xm_sP))&lt;0.000001,IF('XA MU'!$B$29&lt;=2,'XA MU'!$E$29*$C$8*(IF('XA MU'!$C$29&gt;(xm_y0P+(xm_nP-1)/2*xm_sP),2*('XA MU'!$C$29-(xm_y0P+(xm_nP-1)/2*xm_sP))/xm_sP,0)+IF('XA MU'!$D$29&gt;(xm_y0P+(xm_nP-1)/2*xm_sP),2*('XA MU'!$D$29-(xm_y0P+(xm_nP-1)/2*xm_sP))/xm_sP,0)),0),0)+IF('XA MU'!$B$30&lt;=2,'XA MU'!$E$30*$C$8*(MAX(0,1-ABS('XA MU'!$C$30-$D74)/xm_sP)+MAX(0,1-ABS('XA MU'!$D$30-$D74)/xm_sP)),0)+IF(ABS($D74-(xm_y0P+(xm_nP-1)/2*xm_sP))&lt;0.000001,IF('XA MU'!$B$30&lt;=2,'XA MU'!$E$30*$C$8*(IF('XA MU'!$C$30&gt;(xm_y0P+(xm_nP-1)/2*xm_sP),2*('XA MU'!$C$30-(xm_y0P+(xm_nP-1)/2*xm_sP))/xm_sP,0)+IF('XA MU'!$D$30&gt;(xm_y0P+(xm_nP-1)/2*xm_sP),2*('XA MU'!$D$30-(xm_y0P+(xm_nP-1)/2*xm_sP))/xm_sP,0)),0),0))))</f>
        <v>0</v>
      </c>
      <c r="K74" s="44">
        <f>IF(C74=0,0,IF(3&gt;nLan,0,0.85*(IF('XA MU'!$B$25&lt;=3,'XA MU'!$E$25*$C$8*(MAX(0,1-ABS('XA MU'!$C$25-$D74)/xm_sP)+MAX(0,1-ABS('XA MU'!$D$25-$D74)/xm_sP)),0)+IF(ABS($D74-(xm_y0P+(xm_nP-1)/2*xm_sP))&lt;0.000001,IF('XA MU'!$B$25&lt;=3,'XA MU'!$E$25*$C$8*(IF('XA MU'!$C$25&gt;(xm_y0P+(xm_nP-1)/2*xm_sP),2*('XA MU'!$C$25-(xm_y0P+(xm_nP-1)/2*xm_sP))/xm_sP,0)+IF('XA MU'!$D$25&gt;(xm_y0P+(xm_nP-1)/2*xm_sP),2*('XA MU'!$D$25-(xm_y0P+(xm_nP-1)/2*xm_sP))/xm_sP,0)),0),0)+IF('XA MU'!$B$26&lt;=3,'XA MU'!$E$26*$C$8*(MAX(0,1-ABS('XA MU'!$C$26-$D74)/xm_sP)+MAX(0,1-ABS('XA MU'!$D$26-$D74)/xm_sP)),0)+IF(ABS($D74-(xm_y0P+(xm_nP-1)/2*xm_sP))&lt;0.000001,IF('XA MU'!$B$26&lt;=3,'XA MU'!$E$26*$C$8*(IF('XA MU'!$C$26&gt;(xm_y0P+(xm_nP-1)/2*xm_sP),2*('XA MU'!$C$26-(xm_y0P+(xm_nP-1)/2*xm_sP))/xm_sP,0)+IF('XA MU'!$D$26&gt;(xm_y0P+(xm_nP-1)/2*xm_sP),2*('XA MU'!$D$26-(xm_y0P+(xm_nP-1)/2*xm_sP))/xm_sP,0)),0),0)+IF('XA MU'!$B$27&lt;=3,'XA MU'!$E$27*$C$8*(MAX(0,1-ABS('XA MU'!$C$27-$D74)/xm_sP)+MAX(0,1-ABS('XA MU'!$D$27-$D74)/xm_sP)),0)+IF(ABS($D74-(xm_y0P+(xm_nP-1)/2*xm_sP))&lt;0.000001,IF('XA MU'!$B$27&lt;=3,'XA MU'!$E$27*$C$8*(IF('XA MU'!$C$27&gt;(xm_y0P+(xm_nP-1)/2*xm_sP),2*('XA MU'!$C$27-(xm_y0P+(xm_nP-1)/2*xm_sP))/xm_sP,0)+IF('XA MU'!$D$27&gt;(xm_y0P+(xm_nP-1)/2*xm_sP),2*('XA MU'!$D$27-(xm_y0P+(xm_nP-1)/2*xm_sP))/xm_sP,0)),0),0)+IF('XA MU'!$B$28&lt;=3,'XA MU'!$E$28*$C$8*(MAX(0,1-ABS('XA MU'!$C$28-$D74)/xm_sP)+MAX(0,1-ABS('XA MU'!$D$28-$D74)/xm_sP)),0)+IF(ABS($D74-(xm_y0P+(xm_nP-1)/2*xm_sP))&lt;0.000001,IF('XA MU'!$B$28&lt;=3,'XA MU'!$E$28*$C$8*(IF('XA MU'!$C$28&gt;(xm_y0P+(xm_nP-1)/2*xm_sP),2*('XA MU'!$C$28-(xm_y0P+(xm_nP-1)/2*xm_sP))/xm_sP,0)+IF('XA MU'!$D$28&gt;(xm_y0P+(xm_nP-1)/2*xm_sP),2*('XA MU'!$D$28-(xm_y0P+(xm_nP-1)/2*xm_sP))/xm_sP,0)),0),0)+IF('XA MU'!$B$29&lt;=3,'XA MU'!$E$29*$C$8*(MAX(0,1-ABS('XA MU'!$C$29-$D74)/xm_sP)+MAX(0,1-ABS('XA MU'!$D$29-$D74)/xm_sP)),0)+IF(ABS($D74-(xm_y0P+(xm_nP-1)/2*xm_sP))&lt;0.000001,IF('XA MU'!$B$29&lt;=3,'XA MU'!$E$29*$C$8*(IF('XA MU'!$C$29&gt;(xm_y0P+(xm_nP-1)/2*xm_sP),2*('XA MU'!$C$29-(xm_y0P+(xm_nP-1)/2*xm_sP))/xm_sP,0)+IF('XA MU'!$D$29&gt;(xm_y0P+(xm_nP-1)/2*xm_sP),2*('XA MU'!$D$29-(xm_y0P+(xm_nP-1)/2*xm_sP))/xm_sP,0)),0),0)+IF('XA MU'!$B$30&lt;=3,'XA MU'!$E$30*$C$8*(MAX(0,1-ABS('XA MU'!$C$30-$D74)/xm_sP)+MAX(0,1-ABS('XA MU'!$D$30-$D74)/xm_sP)),0)+IF(ABS($D74-(xm_y0P+(xm_nP-1)/2*xm_sP))&lt;0.000001,IF('XA MU'!$B$30&lt;=3,'XA MU'!$E$30*$C$8*(IF('XA MU'!$C$30&gt;(xm_y0P+(xm_nP-1)/2*xm_sP),2*('XA MU'!$C$30-(xm_y0P+(xm_nP-1)/2*xm_sP))/xm_sP,0)+IF('XA MU'!$D$30&gt;(xm_y0P+(xm_nP-1)/2*xm_sP),2*('XA MU'!$D$30-(xm_y0P+(xm_nP-1)/2*xm_sP))/xm_sP,0)),0),0))))</f>
        <v>0</v>
      </c>
      <c r="L74" s="44">
        <f>IF(C74=0,0,IF(4&gt;nLan,0,0.65*(IF('XA MU'!$B$25&lt;=4,'XA MU'!$E$25*$C$8*(MAX(0,1-ABS('XA MU'!$C$25-$D74)/xm_sP)+MAX(0,1-ABS('XA MU'!$D$25-$D74)/xm_sP)),0)+IF(ABS($D74-(xm_y0P+(xm_nP-1)/2*xm_sP))&lt;0.000001,IF('XA MU'!$B$25&lt;=4,'XA MU'!$E$25*$C$8*(IF('XA MU'!$C$25&gt;(xm_y0P+(xm_nP-1)/2*xm_sP),2*('XA MU'!$C$25-(xm_y0P+(xm_nP-1)/2*xm_sP))/xm_sP,0)+IF('XA MU'!$D$25&gt;(xm_y0P+(xm_nP-1)/2*xm_sP),2*('XA MU'!$D$25-(xm_y0P+(xm_nP-1)/2*xm_sP))/xm_sP,0)),0),0)+IF('XA MU'!$B$26&lt;=4,'XA MU'!$E$26*$C$8*(MAX(0,1-ABS('XA MU'!$C$26-$D74)/xm_sP)+MAX(0,1-ABS('XA MU'!$D$26-$D74)/xm_sP)),0)+IF(ABS($D74-(xm_y0P+(xm_nP-1)/2*xm_sP))&lt;0.000001,IF('XA MU'!$B$26&lt;=4,'XA MU'!$E$26*$C$8*(IF('XA MU'!$C$26&gt;(xm_y0P+(xm_nP-1)/2*xm_sP),2*('XA MU'!$C$26-(xm_y0P+(xm_nP-1)/2*xm_sP))/xm_sP,0)+IF('XA MU'!$D$26&gt;(xm_y0P+(xm_nP-1)/2*xm_sP),2*('XA MU'!$D$26-(xm_y0P+(xm_nP-1)/2*xm_sP))/xm_sP,0)),0),0)+IF('XA MU'!$B$27&lt;=4,'XA MU'!$E$27*$C$8*(MAX(0,1-ABS('XA MU'!$C$27-$D74)/xm_sP)+MAX(0,1-ABS('XA MU'!$D$27-$D74)/xm_sP)),0)+IF(ABS($D74-(xm_y0P+(xm_nP-1)/2*xm_sP))&lt;0.000001,IF('XA MU'!$B$27&lt;=4,'XA MU'!$E$27*$C$8*(IF('XA MU'!$C$27&gt;(xm_y0P+(xm_nP-1)/2*xm_sP),2*('XA MU'!$C$27-(xm_y0P+(xm_nP-1)/2*xm_sP))/xm_sP,0)+IF('XA MU'!$D$27&gt;(xm_y0P+(xm_nP-1)/2*xm_sP),2*('XA MU'!$D$27-(xm_y0P+(xm_nP-1)/2*xm_sP))/xm_sP,0)),0),0)+IF('XA MU'!$B$28&lt;=4,'XA MU'!$E$28*$C$8*(MAX(0,1-ABS('XA MU'!$C$28-$D74)/xm_sP)+MAX(0,1-ABS('XA MU'!$D$28-$D74)/xm_sP)),0)+IF(ABS($D74-(xm_y0P+(xm_nP-1)/2*xm_sP))&lt;0.000001,IF('XA MU'!$B$28&lt;=4,'XA MU'!$E$28*$C$8*(IF('XA MU'!$C$28&gt;(xm_y0P+(xm_nP-1)/2*xm_sP),2*('XA MU'!$C$28-(xm_y0P+(xm_nP-1)/2*xm_sP))/xm_sP,0)+IF('XA MU'!$D$28&gt;(xm_y0P+(xm_nP-1)/2*xm_sP),2*('XA MU'!$D$28-(xm_y0P+(xm_nP-1)/2*xm_sP))/xm_sP,0)),0),0)+IF('XA MU'!$B$29&lt;=4,'XA MU'!$E$29*$C$8*(MAX(0,1-ABS('XA MU'!$C$29-$D74)/xm_sP)+MAX(0,1-ABS('XA MU'!$D$29-$D74)/xm_sP)),0)+IF(ABS($D74-(xm_y0P+(xm_nP-1)/2*xm_sP))&lt;0.000001,IF('XA MU'!$B$29&lt;=4,'XA MU'!$E$29*$C$8*(IF('XA MU'!$C$29&gt;(xm_y0P+(xm_nP-1)/2*xm_sP),2*('XA MU'!$C$29-(xm_y0P+(xm_nP-1)/2*xm_sP))/xm_sP,0)+IF('XA MU'!$D$29&gt;(xm_y0P+(xm_nP-1)/2*xm_sP),2*('XA MU'!$D$29-(xm_y0P+(xm_nP-1)/2*xm_sP))/xm_sP,0)),0),0)+IF('XA MU'!$B$30&lt;=4,'XA MU'!$E$30*$C$8*(MAX(0,1-ABS('XA MU'!$C$30-$D74)/xm_sP)+MAX(0,1-ABS('XA MU'!$D$30-$D74)/xm_sP)),0)+IF(ABS($D74-(xm_y0P+(xm_nP-1)/2*xm_sP))&lt;0.000001,IF('XA MU'!$B$30&lt;=4,'XA MU'!$E$30*$C$8*(IF('XA MU'!$C$30&gt;(xm_y0P+(xm_nP-1)/2*xm_sP),2*('XA MU'!$C$30-(xm_y0P+(xm_nP-1)/2*xm_sP))/xm_sP,0)+IF('XA MU'!$D$30&gt;(xm_y0P+(xm_nP-1)/2*xm_sP),2*('XA MU'!$D$30-(xm_y0P+(xm_nP-1)/2*xm_sP))/xm_sP,0)),0),0))))</f>
        <v>0</v>
      </c>
      <c r="M74" s="44">
        <f>IF(C74=0,0,IF(5&gt;nLan,0,0.65*(IF('XA MU'!$B$25&lt;=5,'XA MU'!$E$25*$C$8*(MAX(0,1-ABS('XA MU'!$C$25-$D74)/xm_sP)+MAX(0,1-ABS('XA MU'!$D$25-$D74)/xm_sP)),0)+IF(ABS($D74-(xm_y0P+(xm_nP-1)/2*xm_sP))&lt;0.000001,IF('XA MU'!$B$25&lt;=5,'XA MU'!$E$25*$C$8*(IF('XA MU'!$C$25&gt;(xm_y0P+(xm_nP-1)/2*xm_sP),2*('XA MU'!$C$25-(xm_y0P+(xm_nP-1)/2*xm_sP))/xm_sP,0)+IF('XA MU'!$D$25&gt;(xm_y0P+(xm_nP-1)/2*xm_sP),2*('XA MU'!$D$25-(xm_y0P+(xm_nP-1)/2*xm_sP))/xm_sP,0)),0),0)+IF('XA MU'!$B$26&lt;=5,'XA MU'!$E$26*$C$8*(MAX(0,1-ABS('XA MU'!$C$26-$D74)/xm_sP)+MAX(0,1-ABS('XA MU'!$D$26-$D74)/xm_sP)),0)+IF(ABS($D74-(xm_y0P+(xm_nP-1)/2*xm_sP))&lt;0.000001,IF('XA MU'!$B$26&lt;=5,'XA MU'!$E$26*$C$8*(IF('XA MU'!$C$26&gt;(xm_y0P+(xm_nP-1)/2*xm_sP),2*('XA MU'!$C$26-(xm_y0P+(xm_nP-1)/2*xm_sP))/xm_sP,0)+IF('XA MU'!$D$26&gt;(xm_y0P+(xm_nP-1)/2*xm_sP),2*('XA MU'!$D$26-(xm_y0P+(xm_nP-1)/2*xm_sP))/xm_sP,0)),0),0)+IF('XA MU'!$B$27&lt;=5,'XA MU'!$E$27*$C$8*(MAX(0,1-ABS('XA MU'!$C$27-$D74)/xm_sP)+MAX(0,1-ABS('XA MU'!$D$27-$D74)/xm_sP)),0)+IF(ABS($D74-(xm_y0P+(xm_nP-1)/2*xm_sP))&lt;0.000001,IF('XA MU'!$B$27&lt;=5,'XA MU'!$E$27*$C$8*(IF('XA MU'!$C$27&gt;(xm_y0P+(xm_nP-1)/2*xm_sP),2*('XA MU'!$C$27-(xm_y0P+(xm_nP-1)/2*xm_sP))/xm_sP,0)+IF('XA MU'!$D$27&gt;(xm_y0P+(xm_nP-1)/2*xm_sP),2*('XA MU'!$D$27-(xm_y0P+(xm_nP-1)/2*xm_sP))/xm_sP,0)),0),0)+IF('XA MU'!$B$28&lt;=5,'XA MU'!$E$28*$C$8*(MAX(0,1-ABS('XA MU'!$C$28-$D74)/xm_sP)+MAX(0,1-ABS('XA MU'!$D$28-$D74)/xm_sP)),0)+IF(ABS($D74-(xm_y0P+(xm_nP-1)/2*xm_sP))&lt;0.000001,IF('XA MU'!$B$28&lt;=5,'XA MU'!$E$28*$C$8*(IF('XA MU'!$C$28&gt;(xm_y0P+(xm_nP-1)/2*xm_sP),2*('XA MU'!$C$28-(xm_y0P+(xm_nP-1)/2*xm_sP))/xm_sP,0)+IF('XA MU'!$D$28&gt;(xm_y0P+(xm_nP-1)/2*xm_sP),2*('XA MU'!$D$28-(xm_y0P+(xm_nP-1)/2*xm_sP))/xm_sP,0)),0),0)+IF('XA MU'!$B$29&lt;=5,'XA MU'!$E$29*$C$8*(MAX(0,1-ABS('XA MU'!$C$29-$D74)/xm_sP)+MAX(0,1-ABS('XA MU'!$D$29-$D74)/xm_sP)),0)+IF(ABS($D74-(xm_y0P+(xm_nP-1)/2*xm_sP))&lt;0.000001,IF('XA MU'!$B$29&lt;=5,'XA MU'!$E$29*$C$8*(IF('XA MU'!$C$29&gt;(xm_y0P+(xm_nP-1)/2*xm_sP),2*('XA MU'!$C$29-(xm_y0P+(xm_nP-1)/2*xm_sP))/xm_sP,0)+IF('XA MU'!$D$29&gt;(xm_y0P+(xm_nP-1)/2*xm_sP),2*('XA MU'!$D$29-(xm_y0P+(xm_nP-1)/2*xm_sP))/xm_sP,0)),0),0)+IF('XA MU'!$B$30&lt;=5,'XA MU'!$E$30*$C$8*(MAX(0,1-ABS('XA MU'!$C$30-$D74)/xm_sP)+MAX(0,1-ABS('XA MU'!$D$30-$D74)/xm_sP)),0)+IF(ABS($D74-(xm_y0P+(xm_nP-1)/2*xm_sP))&lt;0.000001,IF('XA MU'!$B$30&lt;=5,'XA MU'!$E$30*$C$8*(IF('XA MU'!$C$30&gt;(xm_y0P+(xm_nP-1)/2*xm_sP),2*('XA MU'!$C$30-(xm_y0P+(xm_nP-1)/2*xm_sP))/xm_sP,0)+IF('XA MU'!$D$30&gt;(xm_y0P+(xm_nP-1)/2*xm_sP),2*('XA MU'!$D$30-(xm_y0P+(xm_nP-1)/2*xm_sP))/xm_sP,0)),0),0))))</f>
        <v>0</v>
      </c>
      <c r="N74" s="44">
        <f>IF(C74=0,0,IF(6&gt;nLan,0,0.65*(IF('XA MU'!$B$25&lt;=6,'XA MU'!$E$25*$C$8*(MAX(0,1-ABS('XA MU'!$C$25-$D74)/xm_sP)+MAX(0,1-ABS('XA MU'!$D$25-$D74)/xm_sP)),0)+IF(ABS($D74-(xm_y0P+(xm_nP-1)/2*xm_sP))&lt;0.000001,IF('XA MU'!$B$25&lt;=6,'XA MU'!$E$25*$C$8*(IF('XA MU'!$C$25&gt;(xm_y0P+(xm_nP-1)/2*xm_sP),2*('XA MU'!$C$25-(xm_y0P+(xm_nP-1)/2*xm_sP))/xm_sP,0)+IF('XA MU'!$D$25&gt;(xm_y0P+(xm_nP-1)/2*xm_sP),2*('XA MU'!$D$25-(xm_y0P+(xm_nP-1)/2*xm_sP))/xm_sP,0)),0),0)+IF('XA MU'!$B$26&lt;=6,'XA MU'!$E$26*$C$8*(MAX(0,1-ABS('XA MU'!$C$26-$D74)/xm_sP)+MAX(0,1-ABS('XA MU'!$D$26-$D74)/xm_sP)),0)+IF(ABS($D74-(xm_y0P+(xm_nP-1)/2*xm_sP))&lt;0.000001,IF('XA MU'!$B$26&lt;=6,'XA MU'!$E$26*$C$8*(IF('XA MU'!$C$26&gt;(xm_y0P+(xm_nP-1)/2*xm_sP),2*('XA MU'!$C$26-(xm_y0P+(xm_nP-1)/2*xm_sP))/xm_sP,0)+IF('XA MU'!$D$26&gt;(xm_y0P+(xm_nP-1)/2*xm_sP),2*('XA MU'!$D$26-(xm_y0P+(xm_nP-1)/2*xm_sP))/xm_sP,0)),0),0)+IF('XA MU'!$B$27&lt;=6,'XA MU'!$E$27*$C$8*(MAX(0,1-ABS('XA MU'!$C$27-$D74)/xm_sP)+MAX(0,1-ABS('XA MU'!$D$27-$D74)/xm_sP)),0)+IF(ABS($D74-(xm_y0P+(xm_nP-1)/2*xm_sP))&lt;0.000001,IF('XA MU'!$B$27&lt;=6,'XA MU'!$E$27*$C$8*(IF('XA MU'!$C$27&gt;(xm_y0P+(xm_nP-1)/2*xm_sP),2*('XA MU'!$C$27-(xm_y0P+(xm_nP-1)/2*xm_sP))/xm_sP,0)+IF('XA MU'!$D$27&gt;(xm_y0P+(xm_nP-1)/2*xm_sP),2*('XA MU'!$D$27-(xm_y0P+(xm_nP-1)/2*xm_sP))/xm_sP,0)),0),0)+IF('XA MU'!$B$28&lt;=6,'XA MU'!$E$28*$C$8*(MAX(0,1-ABS('XA MU'!$C$28-$D74)/xm_sP)+MAX(0,1-ABS('XA MU'!$D$28-$D74)/xm_sP)),0)+IF(ABS($D74-(xm_y0P+(xm_nP-1)/2*xm_sP))&lt;0.000001,IF('XA MU'!$B$28&lt;=6,'XA MU'!$E$28*$C$8*(IF('XA MU'!$C$28&gt;(xm_y0P+(xm_nP-1)/2*xm_sP),2*('XA MU'!$C$28-(xm_y0P+(xm_nP-1)/2*xm_sP))/xm_sP,0)+IF('XA MU'!$D$28&gt;(xm_y0P+(xm_nP-1)/2*xm_sP),2*('XA MU'!$D$28-(xm_y0P+(xm_nP-1)/2*xm_sP))/xm_sP,0)),0),0)+IF('XA MU'!$B$29&lt;=6,'XA MU'!$E$29*$C$8*(MAX(0,1-ABS('XA MU'!$C$29-$D74)/xm_sP)+MAX(0,1-ABS('XA MU'!$D$29-$D74)/xm_sP)),0)+IF(ABS($D74-(xm_y0P+(xm_nP-1)/2*xm_sP))&lt;0.000001,IF('XA MU'!$B$29&lt;=6,'XA MU'!$E$29*$C$8*(IF('XA MU'!$C$29&gt;(xm_y0P+(xm_nP-1)/2*xm_sP),2*('XA MU'!$C$29-(xm_y0P+(xm_nP-1)/2*xm_sP))/xm_sP,0)+IF('XA MU'!$D$29&gt;(xm_y0P+(xm_nP-1)/2*xm_sP),2*('XA MU'!$D$29-(xm_y0P+(xm_nP-1)/2*xm_sP))/xm_sP,0)),0),0)+IF('XA MU'!$B$30&lt;=6,'XA MU'!$E$30*$C$8*(MAX(0,1-ABS('XA MU'!$C$30-$D74)/xm_sP)+MAX(0,1-ABS('XA MU'!$D$30-$D74)/xm_sP)),0)+IF(ABS($D74-(xm_y0P+(xm_nP-1)/2*xm_sP))&lt;0.000001,IF('XA MU'!$B$30&lt;=6,'XA MU'!$E$30*$C$8*(IF('XA MU'!$C$30&gt;(xm_y0P+(xm_nP-1)/2*xm_sP),2*('XA MU'!$C$30-(xm_y0P+(xm_nP-1)/2*xm_sP))/xm_sP,0)+IF('XA MU'!$D$30&gt;(xm_y0P+(xm_nP-1)/2*xm_sP),2*('XA MU'!$D$30-(xm_y0P+(xm_nP-1)/2*xm_sP))/xm_sP,0)),0),0))))</f>
        <v>0</v>
      </c>
    </row>
    <row r="75" spans="1:14" x14ac:dyDescent="0.3">
      <c r="A75" s="42" t="s">
        <v>1236</v>
      </c>
      <c r="B75" s="42">
        <v>21</v>
      </c>
      <c r="C75" s="40">
        <f t="shared" si="4"/>
        <v>0</v>
      </c>
      <c r="D75" s="44">
        <f t="shared" si="5"/>
        <v>0</v>
      </c>
      <c r="E75" s="44">
        <f>MAX(0,D75-'XA MU'!$C$8)*C75</f>
        <v>0</v>
      </c>
      <c r="F75" s="44">
        <f>IF(AND(C75=1,D75&gt;'XA MU'!$C$8),1,0)</f>
        <v>0</v>
      </c>
      <c r="G75" s="44">
        <f t="shared" si="6"/>
        <v>0</v>
      </c>
      <c r="H75" s="44">
        <f t="shared" si="7"/>
        <v>0</v>
      </c>
      <c r="I75" s="44">
        <f>IF(C75=0,0,IF(1&gt;nLan,0,1.2*(IF('XA MU'!$B$25&lt;=1,'XA MU'!$E$25*$C$8*(MAX(0,1-ABS('XA MU'!$C$25-$D75)/xm_sP)+MAX(0,1-ABS('XA MU'!$D$25-$D75)/xm_sP)),0)+IF(ABS($D75-(xm_y0P+(xm_nP-1)/2*xm_sP))&lt;0.000001,IF('XA MU'!$B$25&lt;=1,'XA MU'!$E$25*$C$8*(IF('XA MU'!$C$25&gt;(xm_y0P+(xm_nP-1)/2*xm_sP),2*('XA MU'!$C$25-(xm_y0P+(xm_nP-1)/2*xm_sP))/xm_sP,0)+IF('XA MU'!$D$25&gt;(xm_y0P+(xm_nP-1)/2*xm_sP),2*('XA MU'!$D$25-(xm_y0P+(xm_nP-1)/2*xm_sP))/xm_sP,0)),0),0)+IF('XA MU'!$B$26&lt;=1,'XA MU'!$E$26*$C$8*(MAX(0,1-ABS('XA MU'!$C$26-$D75)/xm_sP)+MAX(0,1-ABS('XA MU'!$D$26-$D75)/xm_sP)),0)+IF(ABS($D75-(xm_y0P+(xm_nP-1)/2*xm_sP))&lt;0.000001,IF('XA MU'!$B$26&lt;=1,'XA MU'!$E$26*$C$8*(IF('XA MU'!$C$26&gt;(xm_y0P+(xm_nP-1)/2*xm_sP),2*('XA MU'!$C$26-(xm_y0P+(xm_nP-1)/2*xm_sP))/xm_sP,0)+IF('XA MU'!$D$26&gt;(xm_y0P+(xm_nP-1)/2*xm_sP),2*('XA MU'!$D$26-(xm_y0P+(xm_nP-1)/2*xm_sP))/xm_sP,0)),0),0)+IF('XA MU'!$B$27&lt;=1,'XA MU'!$E$27*$C$8*(MAX(0,1-ABS('XA MU'!$C$27-$D75)/xm_sP)+MAX(0,1-ABS('XA MU'!$D$27-$D75)/xm_sP)),0)+IF(ABS($D75-(xm_y0P+(xm_nP-1)/2*xm_sP))&lt;0.000001,IF('XA MU'!$B$27&lt;=1,'XA MU'!$E$27*$C$8*(IF('XA MU'!$C$27&gt;(xm_y0P+(xm_nP-1)/2*xm_sP),2*('XA MU'!$C$27-(xm_y0P+(xm_nP-1)/2*xm_sP))/xm_sP,0)+IF('XA MU'!$D$27&gt;(xm_y0P+(xm_nP-1)/2*xm_sP),2*('XA MU'!$D$27-(xm_y0P+(xm_nP-1)/2*xm_sP))/xm_sP,0)),0),0)+IF('XA MU'!$B$28&lt;=1,'XA MU'!$E$28*$C$8*(MAX(0,1-ABS('XA MU'!$C$28-$D75)/xm_sP)+MAX(0,1-ABS('XA MU'!$D$28-$D75)/xm_sP)),0)+IF(ABS($D75-(xm_y0P+(xm_nP-1)/2*xm_sP))&lt;0.000001,IF('XA MU'!$B$28&lt;=1,'XA MU'!$E$28*$C$8*(IF('XA MU'!$C$28&gt;(xm_y0P+(xm_nP-1)/2*xm_sP),2*('XA MU'!$C$28-(xm_y0P+(xm_nP-1)/2*xm_sP))/xm_sP,0)+IF('XA MU'!$D$28&gt;(xm_y0P+(xm_nP-1)/2*xm_sP),2*('XA MU'!$D$28-(xm_y0P+(xm_nP-1)/2*xm_sP))/xm_sP,0)),0),0)+IF('XA MU'!$B$29&lt;=1,'XA MU'!$E$29*$C$8*(MAX(0,1-ABS('XA MU'!$C$29-$D75)/xm_sP)+MAX(0,1-ABS('XA MU'!$D$29-$D75)/xm_sP)),0)+IF(ABS($D75-(xm_y0P+(xm_nP-1)/2*xm_sP))&lt;0.000001,IF('XA MU'!$B$29&lt;=1,'XA MU'!$E$29*$C$8*(IF('XA MU'!$C$29&gt;(xm_y0P+(xm_nP-1)/2*xm_sP),2*('XA MU'!$C$29-(xm_y0P+(xm_nP-1)/2*xm_sP))/xm_sP,0)+IF('XA MU'!$D$29&gt;(xm_y0P+(xm_nP-1)/2*xm_sP),2*('XA MU'!$D$29-(xm_y0P+(xm_nP-1)/2*xm_sP))/xm_sP,0)),0),0)+IF('XA MU'!$B$30&lt;=1,'XA MU'!$E$30*$C$8*(MAX(0,1-ABS('XA MU'!$C$30-$D75)/xm_sP)+MAX(0,1-ABS('XA MU'!$D$30-$D75)/xm_sP)),0)+IF(ABS($D75-(xm_y0P+(xm_nP-1)/2*xm_sP))&lt;0.000001,IF('XA MU'!$B$30&lt;=1,'XA MU'!$E$30*$C$8*(IF('XA MU'!$C$30&gt;(xm_y0P+(xm_nP-1)/2*xm_sP),2*('XA MU'!$C$30-(xm_y0P+(xm_nP-1)/2*xm_sP))/xm_sP,0)+IF('XA MU'!$D$30&gt;(xm_y0P+(xm_nP-1)/2*xm_sP),2*('XA MU'!$D$30-(xm_y0P+(xm_nP-1)/2*xm_sP))/xm_sP,0)),0),0))))</f>
        <v>0</v>
      </c>
      <c r="J75" s="44">
        <f>IF(C75=0,0,IF(2&gt;nLan,0,1*(IF('XA MU'!$B$25&lt;=2,'XA MU'!$E$25*$C$8*(MAX(0,1-ABS('XA MU'!$C$25-$D75)/xm_sP)+MAX(0,1-ABS('XA MU'!$D$25-$D75)/xm_sP)),0)+IF(ABS($D75-(xm_y0P+(xm_nP-1)/2*xm_sP))&lt;0.000001,IF('XA MU'!$B$25&lt;=2,'XA MU'!$E$25*$C$8*(IF('XA MU'!$C$25&gt;(xm_y0P+(xm_nP-1)/2*xm_sP),2*('XA MU'!$C$25-(xm_y0P+(xm_nP-1)/2*xm_sP))/xm_sP,0)+IF('XA MU'!$D$25&gt;(xm_y0P+(xm_nP-1)/2*xm_sP),2*('XA MU'!$D$25-(xm_y0P+(xm_nP-1)/2*xm_sP))/xm_sP,0)),0),0)+IF('XA MU'!$B$26&lt;=2,'XA MU'!$E$26*$C$8*(MAX(0,1-ABS('XA MU'!$C$26-$D75)/xm_sP)+MAX(0,1-ABS('XA MU'!$D$26-$D75)/xm_sP)),0)+IF(ABS($D75-(xm_y0P+(xm_nP-1)/2*xm_sP))&lt;0.000001,IF('XA MU'!$B$26&lt;=2,'XA MU'!$E$26*$C$8*(IF('XA MU'!$C$26&gt;(xm_y0P+(xm_nP-1)/2*xm_sP),2*('XA MU'!$C$26-(xm_y0P+(xm_nP-1)/2*xm_sP))/xm_sP,0)+IF('XA MU'!$D$26&gt;(xm_y0P+(xm_nP-1)/2*xm_sP),2*('XA MU'!$D$26-(xm_y0P+(xm_nP-1)/2*xm_sP))/xm_sP,0)),0),0)+IF('XA MU'!$B$27&lt;=2,'XA MU'!$E$27*$C$8*(MAX(0,1-ABS('XA MU'!$C$27-$D75)/xm_sP)+MAX(0,1-ABS('XA MU'!$D$27-$D75)/xm_sP)),0)+IF(ABS($D75-(xm_y0P+(xm_nP-1)/2*xm_sP))&lt;0.000001,IF('XA MU'!$B$27&lt;=2,'XA MU'!$E$27*$C$8*(IF('XA MU'!$C$27&gt;(xm_y0P+(xm_nP-1)/2*xm_sP),2*('XA MU'!$C$27-(xm_y0P+(xm_nP-1)/2*xm_sP))/xm_sP,0)+IF('XA MU'!$D$27&gt;(xm_y0P+(xm_nP-1)/2*xm_sP),2*('XA MU'!$D$27-(xm_y0P+(xm_nP-1)/2*xm_sP))/xm_sP,0)),0),0)+IF('XA MU'!$B$28&lt;=2,'XA MU'!$E$28*$C$8*(MAX(0,1-ABS('XA MU'!$C$28-$D75)/xm_sP)+MAX(0,1-ABS('XA MU'!$D$28-$D75)/xm_sP)),0)+IF(ABS($D75-(xm_y0P+(xm_nP-1)/2*xm_sP))&lt;0.000001,IF('XA MU'!$B$28&lt;=2,'XA MU'!$E$28*$C$8*(IF('XA MU'!$C$28&gt;(xm_y0P+(xm_nP-1)/2*xm_sP),2*('XA MU'!$C$28-(xm_y0P+(xm_nP-1)/2*xm_sP))/xm_sP,0)+IF('XA MU'!$D$28&gt;(xm_y0P+(xm_nP-1)/2*xm_sP),2*('XA MU'!$D$28-(xm_y0P+(xm_nP-1)/2*xm_sP))/xm_sP,0)),0),0)+IF('XA MU'!$B$29&lt;=2,'XA MU'!$E$29*$C$8*(MAX(0,1-ABS('XA MU'!$C$29-$D75)/xm_sP)+MAX(0,1-ABS('XA MU'!$D$29-$D75)/xm_sP)),0)+IF(ABS($D75-(xm_y0P+(xm_nP-1)/2*xm_sP))&lt;0.000001,IF('XA MU'!$B$29&lt;=2,'XA MU'!$E$29*$C$8*(IF('XA MU'!$C$29&gt;(xm_y0P+(xm_nP-1)/2*xm_sP),2*('XA MU'!$C$29-(xm_y0P+(xm_nP-1)/2*xm_sP))/xm_sP,0)+IF('XA MU'!$D$29&gt;(xm_y0P+(xm_nP-1)/2*xm_sP),2*('XA MU'!$D$29-(xm_y0P+(xm_nP-1)/2*xm_sP))/xm_sP,0)),0),0)+IF('XA MU'!$B$30&lt;=2,'XA MU'!$E$30*$C$8*(MAX(0,1-ABS('XA MU'!$C$30-$D75)/xm_sP)+MAX(0,1-ABS('XA MU'!$D$30-$D75)/xm_sP)),0)+IF(ABS($D75-(xm_y0P+(xm_nP-1)/2*xm_sP))&lt;0.000001,IF('XA MU'!$B$30&lt;=2,'XA MU'!$E$30*$C$8*(IF('XA MU'!$C$30&gt;(xm_y0P+(xm_nP-1)/2*xm_sP),2*('XA MU'!$C$30-(xm_y0P+(xm_nP-1)/2*xm_sP))/xm_sP,0)+IF('XA MU'!$D$30&gt;(xm_y0P+(xm_nP-1)/2*xm_sP),2*('XA MU'!$D$30-(xm_y0P+(xm_nP-1)/2*xm_sP))/xm_sP,0)),0),0))))</f>
        <v>0</v>
      </c>
      <c r="K75" s="44">
        <f>IF(C75=0,0,IF(3&gt;nLan,0,0.85*(IF('XA MU'!$B$25&lt;=3,'XA MU'!$E$25*$C$8*(MAX(0,1-ABS('XA MU'!$C$25-$D75)/xm_sP)+MAX(0,1-ABS('XA MU'!$D$25-$D75)/xm_sP)),0)+IF(ABS($D75-(xm_y0P+(xm_nP-1)/2*xm_sP))&lt;0.000001,IF('XA MU'!$B$25&lt;=3,'XA MU'!$E$25*$C$8*(IF('XA MU'!$C$25&gt;(xm_y0P+(xm_nP-1)/2*xm_sP),2*('XA MU'!$C$25-(xm_y0P+(xm_nP-1)/2*xm_sP))/xm_sP,0)+IF('XA MU'!$D$25&gt;(xm_y0P+(xm_nP-1)/2*xm_sP),2*('XA MU'!$D$25-(xm_y0P+(xm_nP-1)/2*xm_sP))/xm_sP,0)),0),0)+IF('XA MU'!$B$26&lt;=3,'XA MU'!$E$26*$C$8*(MAX(0,1-ABS('XA MU'!$C$26-$D75)/xm_sP)+MAX(0,1-ABS('XA MU'!$D$26-$D75)/xm_sP)),0)+IF(ABS($D75-(xm_y0P+(xm_nP-1)/2*xm_sP))&lt;0.000001,IF('XA MU'!$B$26&lt;=3,'XA MU'!$E$26*$C$8*(IF('XA MU'!$C$26&gt;(xm_y0P+(xm_nP-1)/2*xm_sP),2*('XA MU'!$C$26-(xm_y0P+(xm_nP-1)/2*xm_sP))/xm_sP,0)+IF('XA MU'!$D$26&gt;(xm_y0P+(xm_nP-1)/2*xm_sP),2*('XA MU'!$D$26-(xm_y0P+(xm_nP-1)/2*xm_sP))/xm_sP,0)),0),0)+IF('XA MU'!$B$27&lt;=3,'XA MU'!$E$27*$C$8*(MAX(0,1-ABS('XA MU'!$C$27-$D75)/xm_sP)+MAX(0,1-ABS('XA MU'!$D$27-$D75)/xm_sP)),0)+IF(ABS($D75-(xm_y0P+(xm_nP-1)/2*xm_sP))&lt;0.000001,IF('XA MU'!$B$27&lt;=3,'XA MU'!$E$27*$C$8*(IF('XA MU'!$C$27&gt;(xm_y0P+(xm_nP-1)/2*xm_sP),2*('XA MU'!$C$27-(xm_y0P+(xm_nP-1)/2*xm_sP))/xm_sP,0)+IF('XA MU'!$D$27&gt;(xm_y0P+(xm_nP-1)/2*xm_sP),2*('XA MU'!$D$27-(xm_y0P+(xm_nP-1)/2*xm_sP))/xm_sP,0)),0),0)+IF('XA MU'!$B$28&lt;=3,'XA MU'!$E$28*$C$8*(MAX(0,1-ABS('XA MU'!$C$28-$D75)/xm_sP)+MAX(0,1-ABS('XA MU'!$D$28-$D75)/xm_sP)),0)+IF(ABS($D75-(xm_y0P+(xm_nP-1)/2*xm_sP))&lt;0.000001,IF('XA MU'!$B$28&lt;=3,'XA MU'!$E$28*$C$8*(IF('XA MU'!$C$28&gt;(xm_y0P+(xm_nP-1)/2*xm_sP),2*('XA MU'!$C$28-(xm_y0P+(xm_nP-1)/2*xm_sP))/xm_sP,0)+IF('XA MU'!$D$28&gt;(xm_y0P+(xm_nP-1)/2*xm_sP),2*('XA MU'!$D$28-(xm_y0P+(xm_nP-1)/2*xm_sP))/xm_sP,0)),0),0)+IF('XA MU'!$B$29&lt;=3,'XA MU'!$E$29*$C$8*(MAX(0,1-ABS('XA MU'!$C$29-$D75)/xm_sP)+MAX(0,1-ABS('XA MU'!$D$29-$D75)/xm_sP)),0)+IF(ABS($D75-(xm_y0P+(xm_nP-1)/2*xm_sP))&lt;0.000001,IF('XA MU'!$B$29&lt;=3,'XA MU'!$E$29*$C$8*(IF('XA MU'!$C$29&gt;(xm_y0P+(xm_nP-1)/2*xm_sP),2*('XA MU'!$C$29-(xm_y0P+(xm_nP-1)/2*xm_sP))/xm_sP,0)+IF('XA MU'!$D$29&gt;(xm_y0P+(xm_nP-1)/2*xm_sP),2*('XA MU'!$D$29-(xm_y0P+(xm_nP-1)/2*xm_sP))/xm_sP,0)),0),0)+IF('XA MU'!$B$30&lt;=3,'XA MU'!$E$30*$C$8*(MAX(0,1-ABS('XA MU'!$C$30-$D75)/xm_sP)+MAX(0,1-ABS('XA MU'!$D$30-$D75)/xm_sP)),0)+IF(ABS($D75-(xm_y0P+(xm_nP-1)/2*xm_sP))&lt;0.000001,IF('XA MU'!$B$30&lt;=3,'XA MU'!$E$30*$C$8*(IF('XA MU'!$C$30&gt;(xm_y0P+(xm_nP-1)/2*xm_sP),2*('XA MU'!$C$30-(xm_y0P+(xm_nP-1)/2*xm_sP))/xm_sP,0)+IF('XA MU'!$D$30&gt;(xm_y0P+(xm_nP-1)/2*xm_sP),2*('XA MU'!$D$30-(xm_y0P+(xm_nP-1)/2*xm_sP))/xm_sP,0)),0),0))))</f>
        <v>0</v>
      </c>
      <c r="L75" s="44">
        <f>IF(C75=0,0,IF(4&gt;nLan,0,0.65*(IF('XA MU'!$B$25&lt;=4,'XA MU'!$E$25*$C$8*(MAX(0,1-ABS('XA MU'!$C$25-$D75)/xm_sP)+MAX(0,1-ABS('XA MU'!$D$25-$D75)/xm_sP)),0)+IF(ABS($D75-(xm_y0P+(xm_nP-1)/2*xm_sP))&lt;0.000001,IF('XA MU'!$B$25&lt;=4,'XA MU'!$E$25*$C$8*(IF('XA MU'!$C$25&gt;(xm_y0P+(xm_nP-1)/2*xm_sP),2*('XA MU'!$C$25-(xm_y0P+(xm_nP-1)/2*xm_sP))/xm_sP,0)+IF('XA MU'!$D$25&gt;(xm_y0P+(xm_nP-1)/2*xm_sP),2*('XA MU'!$D$25-(xm_y0P+(xm_nP-1)/2*xm_sP))/xm_sP,0)),0),0)+IF('XA MU'!$B$26&lt;=4,'XA MU'!$E$26*$C$8*(MAX(0,1-ABS('XA MU'!$C$26-$D75)/xm_sP)+MAX(0,1-ABS('XA MU'!$D$26-$D75)/xm_sP)),0)+IF(ABS($D75-(xm_y0P+(xm_nP-1)/2*xm_sP))&lt;0.000001,IF('XA MU'!$B$26&lt;=4,'XA MU'!$E$26*$C$8*(IF('XA MU'!$C$26&gt;(xm_y0P+(xm_nP-1)/2*xm_sP),2*('XA MU'!$C$26-(xm_y0P+(xm_nP-1)/2*xm_sP))/xm_sP,0)+IF('XA MU'!$D$26&gt;(xm_y0P+(xm_nP-1)/2*xm_sP),2*('XA MU'!$D$26-(xm_y0P+(xm_nP-1)/2*xm_sP))/xm_sP,0)),0),0)+IF('XA MU'!$B$27&lt;=4,'XA MU'!$E$27*$C$8*(MAX(0,1-ABS('XA MU'!$C$27-$D75)/xm_sP)+MAX(0,1-ABS('XA MU'!$D$27-$D75)/xm_sP)),0)+IF(ABS($D75-(xm_y0P+(xm_nP-1)/2*xm_sP))&lt;0.000001,IF('XA MU'!$B$27&lt;=4,'XA MU'!$E$27*$C$8*(IF('XA MU'!$C$27&gt;(xm_y0P+(xm_nP-1)/2*xm_sP),2*('XA MU'!$C$27-(xm_y0P+(xm_nP-1)/2*xm_sP))/xm_sP,0)+IF('XA MU'!$D$27&gt;(xm_y0P+(xm_nP-1)/2*xm_sP),2*('XA MU'!$D$27-(xm_y0P+(xm_nP-1)/2*xm_sP))/xm_sP,0)),0),0)+IF('XA MU'!$B$28&lt;=4,'XA MU'!$E$28*$C$8*(MAX(0,1-ABS('XA MU'!$C$28-$D75)/xm_sP)+MAX(0,1-ABS('XA MU'!$D$28-$D75)/xm_sP)),0)+IF(ABS($D75-(xm_y0P+(xm_nP-1)/2*xm_sP))&lt;0.000001,IF('XA MU'!$B$28&lt;=4,'XA MU'!$E$28*$C$8*(IF('XA MU'!$C$28&gt;(xm_y0P+(xm_nP-1)/2*xm_sP),2*('XA MU'!$C$28-(xm_y0P+(xm_nP-1)/2*xm_sP))/xm_sP,0)+IF('XA MU'!$D$28&gt;(xm_y0P+(xm_nP-1)/2*xm_sP),2*('XA MU'!$D$28-(xm_y0P+(xm_nP-1)/2*xm_sP))/xm_sP,0)),0),0)+IF('XA MU'!$B$29&lt;=4,'XA MU'!$E$29*$C$8*(MAX(0,1-ABS('XA MU'!$C$29-$D75)/xm_sP)+MAX(0,1-ABS('XA MU'!$D$29-$D75)/xm_sP)),0)+IF(ABS($D75-(xm_y0P+(xm_nP-1)/2*xm_sP))&lt;0.000001,IF('XA MU'!$B$29&lt;=4,'XA MU'!$E$29*$C$8*(IF('XA MU'!$C$29&gt;(xm_y0P+(xm_nP-1)/2*xm_sP),2*('XA MU'!$C$29-(xm_y0P+(xm_nP-1)/2*xm_sP))/xm_sP,0)+IF('XA MU'!$D$29&gt;(xm_y0P+(xm_nP-1)/2*xm_sP),2*('XA MU'!$D$29-(xm_y0P+(xm_nP-1)/2*xm_sP))/xm_sP,0)),0),0)+IF('XA MU'!$B$30&lt;=4,'XA MU'!$E$30*$C$8*(MAX(0,1-ABS('XA MU'!$C$30-$D75)/xm_sP)+MAX(0,1-ABS('XA MU'!$D$30-$D75)/xm_sP)),0)+IF(ABS($D75-(xm_y0P+(xm_nP-1)/2*xm_sP))&lt;0.000001,IF('XA MU'!$B$30&lt;=4,'XA MU'!$E$30*$C$8*(IF('XA MU'!$C$30&gt;(xm_y0P+(xm_nP-1)/2*xm_sP),2*('XA MU'!$C$30-(xm_y0P+(xm_nP-1)/2*xm_sP))/xm_sP,0)+IF('XA MU'!$D$30&gt;(xm_y0P+(xm_nP-1)/2*xm_sP),2*('XA MU'!$D$30-(xm_y0P+(xm_nP-1)/2*xm_sP))/xm_sP,0)),0),0))))</f>
        <v>0</v>
      </c>
      <c r="M75" s="44">
        <f>IF(C75=0,0,IF(5&gt;nLan,0,0.65*(IF('XA MU'!$B$25&lt;=5,'XA MU'!$E$25*$C$8*(MAX(0,1-ABS('XA MU'!$C$25-$D75)/xm_sP)+MAX(0,1-ABS('XA MU'!$D$25-$D75)/xm_sP)),0)+IF(ABS($D75-(xm_y0P+(xm_nP-1)/2*xm_sP))&lt;0.000001,IF('XA MU'!$B$25&lt;=5,'XA MU'!$E$25*$C$8*(IF('XA MU'!$C$25&gt;(xm_y0P+(xm_nP-1)/2*xm_sP),2*('XA MU'!$C$25-(xm_y0P+(xm_nP-1)/2*xm_sP))/xm_sP,0)+IF('XA MU'!$D$25&gt;(xm_y0P+(xm_nP-1)/2*xm_sP),2*('XA MU'!$D$25-(xm_y0P+(xm_nP-1)/2*xm_sP))/xm_sP,0)),0),0)+IF('XA MU'!$B$26&lt;=5,'XA MU'!$E$26*$C$8*(MAX(0,1-ABS('XA MU'!$C$26-$D75)/xm_sP)+MAX(0,1-ABS('XA MU'!$D$26-$D75)/xm_sP)),0)+IF(ABS($D75-(xm_y0P+(xm_nP-1)/2*xm_sP))&lt;0.000001,IF('XA MU'!$B$26&lt;=5,'XA MU'!$E$26*$C$8*(IF('XA MU'!$C$26&gt;(xm_y0P+(xm_nP-1)/2*xm_sP),2*('XA MU'!$C$26-(xm_y0P+(xm_nP-1)/2*xm_sP))/xm_sP,0)+IF('XA MU'!$D$26&gt;(xm_y0P+(xm_nP-1)/2*xm_sP),2*('XA MU'!$D$26-(xm_y0P+(xm_nP-1)/2*xm_sP))/xm_sP,0)),0),0)+IF('XA MU'!$B$27&lt;=5,'XA MU'!$E$27*$C$8*(MAX(0,1-ABS('XA MU'!$C$27-$D75)/xm_sP)+MAX(0,1-ABS('XA MU'!$D$27-$D75)/xm_sP)),0)+IF(ABS($D75-(xm_y0P+(xm_nP-1)/2*xm_sP))&lt;0.000001,IF('XA MU'!$B$27&lt;=5,'XA MU'!$E$27*$C$8*(IF('XA MU'!$C$27&gt;(xm_y0P+(xm_nP-1)/2*xm_sP),2*('XA MU'!$C$27-(xm_y0P+(xm_nP-1)/2*xm_sP))/xm_sP,0)+IF('XA MU'!$D$27&gt;(xm_y0P+(xm_nP-1)/2*xm_sP),2*('XA MU'!$D$27-(xm_y0P+(xm_nP-1)/2*xm_sP))/xm_sP,0)),0),0)+IF('XA MU'!$B$28&lt;=5,'XA MU'!$E$28*$C$8*(MAX(0,1-ABS('XA MU'!$C$28-$D75)/xm_sP)+MAX(0,1-ABS('XA MU'!$D$28-$D75)/xm_sP)),0)+IF(ABS($D75-(xm_y0P+(xm_nP-1)/2*xm_sP))&lt;0.000001,IF('XA MU'!$B$28&lt;=5,'XA MU'!$E$28*$C$8*(IF('XA MU'!$C$28&gt;(xm_y0P+(xm_nP-1)/2*xm_sP),2*('XA MU'!$C$28-(xm_y0P+(xm_nP-1)/2*xm_sP))/xm_sP,0)+IF('XA MU'!$D$28&gt;(xm_y0P+(xm_nP-1)/2*xm_sP),2*('XA MU'!$D$28-(xm_y0P+(xm_nP-1)/2*xm_sP))/xm_sP,0)),0),0)+IF('XA MU'!$B$29&lt;=5,'XA MU'!$E$29*$C$8*(MAX(0,1-ABS('XA MU'!$C$29-$D75)/xm_sP)+MAX(0,1-ABS('XA MU'!$D$29-$D75)/xm_sP)),0)+IF(ABS($D75-(xm_y0P+(xm_nP-1)/2*xm_sP))&lt;0.000001,IF('XA MU'!$B$29&lt;=5,'XA MU'!$E$29*$C$8*(IF('XA MU'!$C$29&gt;(xm_y0P+(xm_nP-1)/2*xm_sP),2*('XA MU'!$C$29-(xm_y0P+(xm_nP-1)/2*xm_sP))/xm_sP,0)+IF('XA MU'!$D$29&gt;(xm_y0P+(xm_nP-1)/2*xm_sP),2*('XA MU'!$D$29-(xm_y0P+(xm_nP-1)/2*xm_sP))/xm_sP,0)),0),0)+IF('XA MU'!$B$30&lt;=5,'XA MU'!$E$30*$C$8*(MAX(0,1-ABS('XA MU'!$C$30-$D75)/xm_sP)+MAX(0,1-ABS('XA MU'!$D$30-$D75)/xm_sP)),0)+IF(ABS($D75-(xm_y0P+(xm_nP-1)/2*xm_sP))&lt;0.000001,IF('XA MU'!$B$30&lt;=5,'XA MU'!$E$30*$C$8*(IF('XA MU'!$C$30&gt;(xm_y0P+(xm_nP-1)/2*xm_sP),2*('XA MU'!$C$30-(xm_y0P+(xm_nP-1)/2*xm_sP))/xm_sP,0)+IF('XA MU'!$D$30&gt;(xm_y0P+(xm_nP-1)/2*xm_sP),2*('XA MU'!$D$30-(xm_y0P+(xm_nP-1)/2*xm_sP))/xm_sP,0)),0),0))))</f>
        <v>0</v>
      </c>
      <c r="N75" s="44">
        <f>IF(C75=0,0,IF(6&gt;nLan,0,0.65*(IF('XA MU'!$B$25&lt;=6,'XA MU'!$E$25*$C$8*(MAX(0,1-ABS('XA MU'!$C$25-$D75)/xm_sP)+MAX(0,1-ABS('XA MU'!$D$25-$D75)/xm_sP)),0)+IF(ABS($D75-(xm_y0P+(xm_nP-1)/2*xm_sP))&lt;0.000001,IF('XA MU'!$B$25&lt;=6,'XA MU'!$E$25*$C$8*(IF('XA MU'!$C$25&gt;(xm_y0P+(xm_nP-1)/2*xm_sP),2*('XA MU'!$C$25-(xm_y0P+(xm_nP-1)/2*xm_sP))/xm_sP,0)+IF('XA MU'!$D$25&gt;(xm_y0P+(xm_nP-1)/2*xm_sP),2*('XA MU'!$D$25-(xm_y0P+(xm_nP-1)/2*xm_sP))/xm_sP,0)),0),0)+IF('XA MU'!$B$26&lt;=6,'XA MU'!$E$26*$C$8*(MAX(0,1-ABS('XA MU'!$C$26-$D75)/xm_sP)+MAX(0,1-ABS('XA MU'!$D$26-$D75)/xm_sP)),0)+IF(ABS($D75-(xm_y0P+(xm_nP-1)/2*xm_sP))&lt;0.000001,IF('XA MU'!$B$26&lt;=6,'XA MU'!$E$26*$C$8*(IF('XA MU'!$C$26&gt;(xm_y0P+(xm_nP-1)/2*xm_sP),2*('XA MU'!$C$26-(xm_y0P+(xm_nP-1)/2*xm_sP))/xm_sP,0)+IF('XA MU'!$D$26&gt;(xm_y0P+(xm_nP-1)/2*xm_sP),2*('XA MU'!$D$26-(xm_y0P+(xm_nP-1)/2*xm_sP))/xm_sP,0)),0),0)+IF('XA MU'!$B$27&lt;=6,'XA MU'!$E$27*$C$8*(MAX(0,1-ABS('XA MU'!$C$27-$D75)/xm_sP)+MAX(0,1-ABS('XA MU'!$D$27-$D75)/xm_sP)),0)+IF(ABS($D75-(xm_y0P+(xm_nP-1)/2*xm_sP))&lt;0.000001,IF('XA MU'!$B$27&lt;=6,'XA MU'!$E$27*$C$8*(IF('XA MU'!$C$27&gt;(xm_y0P+(xm_nP-1)/2*xm_sP),2*('XA MU'!$C$27-(xm_y0P+(xm_nP-1)/2*xm_sP))/xm_sP,0)+IF('XA MU'!$D$27&gt;(xm_y0P+(xm_nP-1)/2*xm_sP),2*('XA MU'!$D$27-(xm_y0P+(xm_nP-1)/2*xm_sP))/xm_sP,0)),0),0)+IF('XA MU'!$B$28&lt;=6,'XA MU'!$E$28*$C$8*(MAX(0,1-ABS('XA MU'!$C$28-$D75)/xm_sP)+MAX(0,1-ABS('XA MU'!$D$28-$D75)/xm_sP)),0)+IF(ABS($D75-(xm_y0P+(xm_nP-1)/2*xm_sP))&lt;0.000001,IF('XA MU'!$B$28&lt;=6,'XA MU'!$E$28*$C$8*(IF('XA MU'!$C$28&gt;(xm_y0P+(xm_nP-1)/2*xm_sP),2*('XA MU'!$C$28-(xm_y0P+(xm_nP-1)/2*xm_sP))/xm_sP,0)+IF('XA MU'!$D$28&gt;(xm_y0P+(xm_nP-1)/2*xm_sP),2*('XA MU'!$D$28-(xm_y0P+(xm_nP-1)/2*xm_sP))/xm_sP,0)),0),0)+IF('XA MU'!$B$29&lt;=6,'XA MU'!$E$29*$C$8*(MAX(0,1-ABS('XA MU'!$C$29-$D75)/xm_sP)+MAX(0,1-ABS('XA MU'!$D$29-$D75)/xm_sP)),0)+IF(ABS($D75-(xm_y0P+(xm_nP-1)/2*xm_sP))&lt;0.000001,IF('XA MU'!$B$29&lt;=6,'XA MU'!$E$29*$C$8*(IF('XA MU'!$C$29&gt;(xm_y0P+(xm_nP-1)/2*xm_sP),2*('XA MU'!$C$29-(xm_y0P+(xm_nP-1)/2*xm_sP))/xm_sP,0)+IF('XA MU'!$D$29&gt;(xm_y0P+(xm_nP-1)/2*xm_sP),2*('XA MU'!$D$29-(xm_y0P+(xm_nP-1)/2*xm_sP))/xm_sP,0)),0),0)+IF('XA MU'!$B$30&lt;=6,'XA MU'!$E$30*$C$8*(MAX(0,1-ABS('XA MU'!$C$30-$D75)/xm_sP)+MAX(0,1-ABS('XA MU'!$D$30-$D75)/xm_sP)),0)+IF(ABS($D75-(xm_y0P+(xm_nP-1)/2*xm_sP))&lt;0.000001,IF('XA MU'!$B$30&lt;=6,'XA MU'!$E$30*$C$8*(IF('XA MU'!$C$30&gt;(xm_y0P+(xm_nP-1)/2*xm_sP),2*('XA MU'!$C$30-(xm_y0P+(xm_nP-1)/2*xm_sP))/xm_sP,0)+IF('XA MU'!$D$30&gt;(xm_y0P+(xm_nP-1)/2*xm_sP),2*('XA MU'!$D$30-(xm_y0P+(xm_nP-1)/2*xm_sP))/xm_sP,0)),0),0))))</f>
        <v>0</v>
      </c>
    </row>
    <row r="76" spans="1:14" x14ac:dyDescent="0.3">
      <c r="A76" s="42" t="s">
        <v>1236</v>
      </c>
      <c r="B76" s="42">
        <v>22</v>
      </c>
      <c r="C76" s="40">
        <f t="shared" si="4"/>
        <v>0</v>
      </c>
      <c r="D76" s="44">
        <f t="shared" si="5"/>
        <v>0</v>
      </c>
      <c r="E76" s="44">
        <f>MAX(0,D76-'XA MU'!$C$8)*C76</f>
        <v>0</v>
      </c>
      <c r="F76" s="44">
        <f>IF(AND(C76=1,D76&gt;'XA MU'!$C$8),1,0)</f>
        <v>0</v>
      </c>
      <c r="G76" s="44">
        <f t="shared" si="6"/>
        <v>0</v>
      </c>
      <c r="H76" s="44">
        <f t="shared" si="7"/>
        <v>0</v>
      </c>
      <c r="I76" s="44">
        <f>IF(C76=0,0,IF(1&gt;nLan,0,1.2*(IF('XA MU'!$B$25&lt;=1,'XA MU'!$E$25*$C$8*(MAX(0,1-ABS('XA MU'!$C$25-$D76)/xm_sP)+MAX(0,1-ABS('XA MU'!$D$25-$D76)/xm_sP)),0)+IF(ABS($D76-(xm_y0P+(xm_nP-1)/2*xm_sP))&lt;0.000001,IF('XA MU'!$B$25&lt;=1,'XA MU'!$E$25*$C$8*(IF('XA MU'!$C$25&gt;(xm_y0P+(xm_nP-1)/2*xm_sP),2*('XA MU'!$C$25-(xm_y0P+(xm_nP-1)/2*xm_sP))/xm_sP,0)+IF('XA MU'!$D$25&gt;(xm_y0P+(xm_nP-1)/2*xm_sP),2*('XA MU'!$D$25-(xm_y0P+(xm_nP-1)/2*xm_sP))/xm_sP,0)),0),0)+IF('XA MU'!$B$26&lt;=1,'XA MU'!$E$26*$C$8*(MAX(0,1-ABS('XA MU'!$C$26-$D76)/xm_sP)+MAX(0,1-ABS('XA MU'!$D$26-$D76)/xm_sP)),0)+IF(ABS($D76-(xm_y0P+(xm_nP-1)/2*xm_sP))&lt;0.000001,IF('XA MU'!$B$26&lt;=1,'XA MU'!$E$26*$C$8*(IF('XA MU'!$C$26&gt;(xm_y0P+(xm_nP-1)/2*xm_sP),2*('XA MU'!$C$26-(xm_y0P+(xm_nP-1)/2*xm_sP))/xm_sP,0)+IF('XA MU'!$D$26&gt;(xm_y0P+(xm_nP-1)/2*xm_sP),2*('XA MU'!$D$26-(xm_y0P+(xm_nP-1)/2*xm_sP))/xm_sP,0)),0),0)+IF('XA MU'!$B$27&lt;=1,'XA MU'!$E$27*$C$8*(MAX(0,1-ABS('XA MU'!$C$27-$D76)/xm_sP)+MAX(0,1-ABS('XA MU'!$D$27-$D76)/xm_sP)),0)+IF(ABS($D76-(xm_y0P+(xm_nP-1)/2*xm_sP))&lt;0.000001,IF('XA MU'!$B$27&lt;=1,'XA MU'!$E$27*$C$8*(IF('XA MU'!$C$27&gt;(xm_y0P+(xm_nP-1)/2*xm_sP),2*('XA MU'!$C$27-(xm_y0P+(xm_nP-1)/2*xm_sP))/xm_sP,0)+IF('XA MU'!$D$27&gt;(xm_y0P+(xm_nP-1)/2*xm_sP),2*('XA MU'!$D$27-(xm_y0P+(xm_nP-1)/2*xm_sP))/xm_sP,0)),0),0)+IF('XA MU'!$B$28&lt;=1,'XA MU'!$E$28*$C$8*(MAX(0,1-ABS('XA MU'!$C$28-$D76)/xm_sP)+MAX(0,1-ABS('XA MU'!$D$28-$D76)/xm_sP)),0)+IF(ABS($D76-(xm_y0P+(xm_nP-1)/2*xm_sP))&lt;0.000001,IF('XA MU'!$B$28&lt;=1,'XA MU'!$E$28*$C$8*(IF('XA MU'!$C$28&gt;(xm_y0P+(xm_nP-1)/2*xm_sP),2*('XA MU'!$C$28-(xm_y0P+(xm_nP-1)/2*xm_sP))/xm_sP,0)+IF('XA MU'!$D$28&gt;(xm_y0P+(xm_nP-1)/2*xm_sP),2*('XA MU'!$D$28-(xm_y0P+(xm_nP-1)/2*xm_sP))/xm_sP,0)),0),0)+IF('XA MU'!$B$29&lt;=1,'XA MU'!$E$29*$C$8*(MAX(0,1-ABS('XA MU'!$C$29-$D76)/xm_sP)+MAX(0,1-ABS('XA MU'!$D$29-$D76)/xm_sP)),0)+IF(ABS($D76-(xm_y0P+(xm_nP-1)/2*xm_sP))&lt;0.000001,IF('XA MU'!$B$29&lt;=1,'XA MU'!$E$29*$C$8*(IF('XA MU'!$C$29&gt;(xm_y0P+(xm_nP-1)/2*xm_sP),2*('XA MU'!$C$29-(xm_y0P+(xm_nP-1)/2*xm_sP))/xm_sP,0)+IF('XA MU'!$D$29&gt;(xm_y0P+(xm_nP-1)/2*xm_sP),2*('XA MU'!$D$29-(xm_y0P+(xm_nP-1)/2*xm_sP))/xm_sP,0)),0),0)+IF('XA MU'!$B$30&lt;=1,'XA MU'!$E$30*$C$8*(MAX(0,1-ABS('XA MU'!$C$30-$D76)/xm_sP)+MAX(0,1-ABS('XA MU'!$D$30-$D76)/xm_sP)),0)+IF(ABS($D76-(xm_y0P+(xm_nP-1)/2*xm_sP))&lt;0.000001,IF('XA MU'!$B$30&lt;=1,'XA MU'!$E$30*$C$8*(IF('XA MU'!$C$30&gt;(xm_y0P+(xm_nP-1)/2*xm_sP),2*('XA MU'!$C$30-(xm_y0P+(xm_nP-1)/2*xm_sP))/xm_sP,0)+IF('XA MU'!$D$30&gt;(xm_y0P+(xm_nP-1)/2*xm_sP),2*('XA MU'!$D$30-(xm_y0P+(xm_nP-1)/2*xm_sP))/xm_sP,0)),0),0))))</f>
        <v>0</v>
      </c>
      <c r="J76" s="44">
        <f>IF(C76=0,0,IF(2&gt;nLan,0,1*(IF('XA MU'!$B$25&lt;=2,'XA MU'!$E$25*$C$8*(MAX(0,1-ABS('XA MU'!$C$25-$D76)/xm_sP)+MAX(0,1-ABS('XA MU'!$D$25-$D76)/xm_sP)),0)+IF(ABS($D76-(xm_y0P+(xm_nP-1)/2*xm_sP))&lt;0.000001,IF('XA MU'!$B$25&lt;=2,'XA MU'!$E$25*$C$8*(IF('XA MU'!$C$25&gt;(xm_y0P+(xm_nP-1)/2*xm_sP),2*('XA MU'!$C$25-(xm_y0P+(xm_nP-1)/2*xm_sP))/xm_sP,0)+IF('XA MU'!$D$25&gt;(xm_y0P+(xm_nP-1)/2*xm_sP),2*('XA MU'!$D$25-(xm_y0P+(xm_nP-1)/2*xm_sP))/xm_sP,0)),0),0)+IF('XA MU'!$B$26&lt;=2,'XA MU'!$E$26*$C$8*(MAX(0,1-ABS('XA MU'!$C$26-$D76)/xm_sP)+MAX(0,1-ABS('XA MU'!$D$26-$D76)/xm_sP)),0)+IF(ABS($D76-(xm_y0P+(xm_nP-1)/2*xm_sP))&lt;0.000001,IF('XA MU'!$B$26&lt;=2,'XA MU'!$E$26*$C$8*(IF('XA MU'!$C$26&gt;(xm_y0P+(xm_nP-1)/2*xm_sP),2*('XA MU'!$C$26-(xm_y0P+(xm_nP-1)/2*xm_sP))/xm_sP,0)+IF('XA MU'!$D$26&gt;(xm_y0P+(xm_nP-1)/2*xm_sP),2*('XA MU'!$D$26-(xm_y0P+(xm_nP-1)/2*xm_sP))/xm_sP,0)),0),0)+IF('XA MU'!$B$27&lt;=2,'XA MU'!$E$27*$C$8*(MAX(0,1-ABS('XA MU'!$C$27-$D76)/xm_sP)+MAX(0,1-ABS('XA MU'!$D$27-$D76)/xm_sP)),0)+IF(ABS($D76-(xm_y0P+(xm_nP-1)/2*xm_sP))&lt;0.000001,IF('XA MU'!$B$27&lt;=2,'XA MU'!$E$27*$C$8*(IF('XA MU'!$C$27&gt;(xm_y0P+(xm_nP-1)/2*xm_sP),2*('XA MU'!$C$27-(xm_y0P+(xm_nP-1)/2*xm_sP))/xm_sP,0)+IF('XA MU'!$D$27&gt;(xm_y0P+(xm_nP-1)/2*xm_sP),2*('XA MU'!$D$27-(xm_y0P+(xm_nP-1)/2*xm_sP))/xm_sP,0)),0),0)+IF('XA MU'!$B$28&lt;=2,'XA MU'!$E$28*$C$8*(MAX(0,1-ABS('XA MU'!$C$28-$D76)/xm_sP)+MAX(0,1-ABS('XA MU'!$D$28-$D76)/xm_sP)),0)+IF(ABS($D76-(xm_y0P+(xm_nP-1)/2*xm_sP))&lt;0.000001,IF('XA MU'!$B$28&lt;=2,'XA MU'!$E$28*$C$8*(IF('XA MU'!$C$28&gt;(xm_y0P+(xm_nP-1)/2*xm_sP),2*('XA MU'!$C$28-(xm_y0P+(xm_nP-1)/2*xm_sP))/xm_sP,0)+IF('XA MU'!$D$28&gt;(xm_y0P+(xm_nP-1)/2*xm_sP),2*('XA MU'!$D$28-(xm_y0P+(xm_nP-1)/2*xm_sP))/xm_sP,0)),0),0)+IF('XA MU'!$B$29&lt;=2,'XA MU'!$E$29*$C$8*(MAX(0,1-ABS('XA MU'!$C$29-$D76)/xm_sP)+MAX(0,1-ABS('XA MU'!$D$29-$D76)/xm_sP)),0)+IF(ABS($D76-(xm_y0P+(xm_nP-1)/2*xm_sP))&lt;0.000001,IF('XA MU'!$B$29&lt;=2,'XA MU'!$E$29*$C$8*(IF('XA MU'!$C$29&gt;(xm_y0P+(xm_nP-1)/2*xm_sP),2*('XA MU'!$C$29-(xm_y0P+(xm_nP-1)/2*xm_sP))/xm_sP,0)+IF('XA MU'!$D$29&gt;(xm_y0P+(xm_nP-1)/2*xm_sP),2*('XA MU'!$D$29-(xm_y0P+(xm_nP-1)/2*xm_sP))/xm_sP,0)),0),0)+IF('XA MU'!$B$30&lt;=2,'XA MU'!$E$30*$C$8*(MAX(0,1-ABS('XA MU'!$C$30-$D76)/xm_sP)+MAX(0,1-ABS('XA MU'!$D$30-$D76)/xm_sP)),0)+IF(ABS($D76-(xm_y0P+(xm_nP-1)/2*xm_sP))&lt;0.000001,IF('XA MU'!$B$30&lt;=2,'XA MU'!$E$30*$C$8*(IF('XA MU'!$C$30&gt;(xm_y0P+(xm_nP-1)/2*xm_sP),2*('XA MU'!$C$30-(xm_y0P+(xm_nP-1)/2*xm_sP))/xm_sP,0)+IF('XA MU'!$D$30&gt;(xm_y0P+(xm_nP-1)/2*xm_sP),2*('XA MU'!$D$30-(xm_y0P+(xm_nP-1)/2*xm_sP))/xm_sP,0)),0),0))))</f>
        <v>0</v>
      </c>
      <c r="K76" s="44">
        <f>IF(C76=0,0,IF(3&gt;nLan,0,0.85*(IF('XA MU'!$B$25&lt;=3,'XA MU'!$E$25*$C$8*(MAX(0,1-ABS('XA MU'!$C$25-$D76)/xm_sP)+MAX(0,1-ABS('XA MU'!$D$25-$D76)/xm_sP)),0)+IF(ABS($D76-(xm_y0P+(xm_nP-1)/2*xm_sP))&lt;0.000001,IF('XA MU'!$B$25&lt;=3,'XA MU'!$E$25*$C$8*(IF('XA MU'!$C$25&gt;(xm_y0P+(xm_nP-1)/2*xm_sP),2*('XA MU'!$C$25-(xm_y0P+(xm_nP-1)/2*xm_sP))/xm_sP,0)+IF('XA MU'!$D$25&gt;(xm_y0P+(xm_nP-1)/2*xm_sP),2*('XA MU'!$D$25-(xm_y0P+(xm_nP-1)/2*xm_sP))/xm_sP,0)),0),0)+IF('XA MU'!$B$26&lt;=3,'XA MU'!$E$26*$C$8*(MAX(0,1-ABS('XA MU'!$C$26-$D76)/xm_sP)+MAX(0,1-ABS('XA MU'!$D$26-$D76)/xm_sP)),0)+IF(ABS($D76-(xm_y0P+(xm_nP-1)/2*xm_sP))&lt;0.000001,IF('XA MU'!$B$26&lt;=3,'XA MU'!$E$26*$C$8*(IF('XA MU'!$C$26&gt;(xm_y0P+(xm_nP-1)/2*xm_sP),2*('XA MU'!$C$26-(xm_y0P+(xm_nP-1)/2*xm_sP))/xm_sP,0)+IF('XA MU'!$D$26&gt;(xm_y0P+(xm_nP-1)/2*xm_sP),2*('XA MU'!$D$26-(xm_y0P+(xm_nP-1)/2*xm_sP))/xm_sP,0)),0),0)+IF('XA MU'!$B$27&lt;=3,'XA MU'!$E$27*$C$8*(MAX(0,1-ABS('XA MU'!$C$27-$D76)/xm_sP)+MAX(0,1-ABS('XA MU'!$D$27-$D76)/xm_sP)),0)+IF(ABS($D76-(xm_y0P+(xm_nP-1)/2*xm_sP))&lt;0.000001,IF('XA MU'!$B$27&lt;=3,'XA MU'!$E$27*$C$8*(IF('XA MU'!$C$27&gt;(xm_y0P+(xm_nP-1)/2*xm_sP),2*('XA MU'!$C$27-(xm_y0P+(xm_nP-1)/2*xm_sP))/xm_sP,0)+IF('XA MU'!$D$27&gt;(xm_y0P+(xm_nP-1)/2*xm_sP),2*('XA MU'!$D$27-(xm_y0P+(xm_nP-1)/2*xm_sP))/xm_sP,0)),0),0)+IF('XA MU'!$B$28&lt;=3,'XA MU'!$E$28*$C$8*(MAX(0,1-ABS('XA MU'!$C$28-$D76)/xm_sP)+MAX(0,1-ABS('XA MU'!$D$28-$D76)/xm_sP)),0)+IF(ABS($D76-(xm_y0P+(xm_nP-1)/2*xm_sP))&lt;0.000001,IF('XA MU'!$B$28&lt;=3,'XA MU'!$E$28*$C$8*(IF('XA MU'!$C$28&gt;(xm_y0P+(xm_nP-1)/2*xm_sP),2*('XA MU'!$C$28-(xm_y0P+(xm_nP-1)/2*xm_sP))/xm_sP,0)+IF('XA MU'!$D$28&gt;(xm_y0P+(xm_nP-1)/2*xm_sP),2*('XA MU'!$D$28-(xm_y0P+(xm_nP-1)/2*xm_sP))/xm_sP,0)),0),0)+IF('XA MU'!$B$29&lt;=3,'XA MU'!$E$29*$C$8*(MAX(0,1-ABS('XA MU'!$C$29-$D76)/xm_sP)+MAX(0,1-ABS('XA MU'!$D$29-$D76)/xm_sP)),0)+IF(ABS($D76-(xm_y0P+(xm_nP-1)/2*xm_sP))&lt;0.000001,IF('XA MU'!$B$29&lt;=3,'XA MU'!$E$29*$C$8*(IF('XA MU'!$C$29&gt;(xm_y0P+(xm_nP-1)/2*xm_sP),2*('XA MU'!$C$29-(xm_y0P+(xm_nP-1)/2*xm_sP))/xm_sP,0)+IF('XA MU'!$D$29&gt;(xm_y0P+(xm_nP-1)/2*xm_sP),2*('XA MU'!$D$29-(xm_y0P+(xm_nP-1)/2*xm_sP))/xm_sP,0)),0),0)+IF('XA MU'!$B$30&lt;=3,'XA MU'!$E$30*$C$8*(MAX(0,1-ABS('XA MU'!$C$30-$D76)/xm_sP)+MAX(0,1-ABS('XA MU'!$D$30-$D76)/xm_sP)),0)+IF(ABS($D76-(xm_y0P+(xm_nP-1)/2*xm_sP))&lt;0.000001,IF('XA MU'!$B$30&lt;=3,'XA MU'!$E$30*$C$8*(IF('XA MU'!$C$30&gt;(xm_y0P+(xm_nP-1)/2*xm_sP),2*('XA MU'!$C$30-(xm_y0P+(xm_nP-1)/2*xm_sP))/xm_sP,0)+IF('XA MU'!$D$30&gt;(xm_y0P+(xm_nP-1)/2*xm_sP),2*('XA MU'!$D$30-(xm_y0P+(xm_nP-1)/2*xm_sP))/xm_sP,0)),0),0))))</f>
        <v>0</v>
      </c>
      <c r="L76" s="44">
        <f>IF(C76=0,0,IF(4&gt;nLan,0,0.65*(IF('XA MU'!$B$25&lt;=4,'XA MU'!$E$25*$C$8*(MAX(0,1-ABS('XA MU'!$C$25-$D76)/xm_sP)+MAX(0,1-ABS('XA MU'!$D$25-$D76)/xm_sP)),0)+IF(ABS($D76-(xm_y0P+(xm_nP-1)/2*xm_sP))&lt;0.000001,IF('XA MU'!$B$25&lt;=4,'XA MU'!$E$25*$C$8*(IF('XA MU'!$C$25&gt;(xm_y0P+(xm_nP-1)/2*xm_sP),2*('XA MU'!$C$25-(xm_y0P+(xm_nP-1)/2*xm_sP))/xm_sP,0)+IF('XA MU'!$D$25&gt;(xm_y0P+(xm_nP-1)/2*xm_sP),2*('XA MU'!$D$25-(xm_y0P+(xm_nP-1)/2*xm_sP))/xm_sP,0)),0),0)+IF('XA MU'!$B$26&lt;=4,'XA MU'!$E$26*$C$8*(MAX(0,1-ABS('XA MU'!$C$26-$D76)/xm_sP)+MAX(0,1-ABS('XA MU'!$D$26-$D76)/xm_sP)),0)+IF(ABS($D76-(xm_y0P+(xm_nP-1)/2*xm_sP))&lt;0.000001,IF('XA MU'!$B$26&lt;=4,'XA MU'!$E$26*$C$8*(IF('XA MU'!$C$26&gt;(xm_y0P+(xm_nP-1)/2*xm_sP),2*('XA MU'!$C$26-(xm_y0P+(xm_nP-1)/2*xm_sP))/xm_sP,0)+IF('XA MU'!$D$26&gt;(xm_y0P+(xm_nP-1)/2*xm_sP),2*('XA MU'!$D$26-(xm_y0P+(xm_nP-1)/2*xm_sP))/xm_sP,0)),0),0)+IF('XA MU'!$B$27&lt;=4,'XA MU'!$E$27*$C$8*(MAX(0,1-ABS('XA MU'!$C$27-$D76)/xm_sP)+MAX(0,1-ABS('XA MU'!$D$27-$D76)/xm_sP)),0)+IF(ABS($D76-(xm_y0P+(xm_nP-1)/2*xm_sP))&lt;0.000001,IF('XA MU'!$B$27&lt;=4,'XA MU'!$E$27*$C$8*(IF('XA MU'!$C$27&gt;(xm_y0P+(xm_nP-1)/2*xm_sP),2*('XA MU'!$C$27-(xm_y0P+(xm_nP-1)/2*xm_sP))/xm_sP,0)+IF('XA MU'!$D$27&gt;(xm_y0P+(xm_nP-1)/2*xm_sP),2*('XA MU'!$D$27-(xm_y0P+(xm_nP-1)/2*xm_sP))/xm_sP,0)),0),0)+IF('XA MU'!$B$28&lt;=4,'XA MU'!$E$28*$C$8*(MAX(0,1-ABS('XA MU'!$C$28-$D76)/xm_sP)+MAX(0,1-ABS('XA MU'!$D$28-$D76)/xm_sP)),0)+IF(ABS($D76-(xm_y0P+(xm_nP-1)/2*xm_sP))&lt;0.000001,IF('XA MU'!$B$28&lt;=4,'XA MU'!$E$28*$C$8*(IF('XA MU'!$C$28&gt;(xm_y0P+(xm_nP-1)/2*xm_sP),2*('XA MU'!$C$28-(xm_y0P+(xm_nP-1)/2*xm_sP))/xm_sP,0)+IF('XA MU'!$D$28&gt;(xm_y0P+(xm_nP-1)/2*xm_sP),2*('XA MU'!$D$28-(xm_y0P+(xm_nP-1)/2*xm_sP))/xm_sP,0)),0),0)+IF('XA MU'!$B$29&lt;=4,'XA MU'!$E$29*$C$8*(MAX(0,1-ABS('XA MU'!$C$29-$D76)/xm_sP)+MAX(0,1-ABS('XA MU'!$D$29-$D76)/xm_sP)),0)+IF(ABS($D76-(xm_y0P+(xm_nP-1)/2*xm_sP))&lt;0.000001,IF('XA MU'!$B$29&lt;=4,'XA MU'!$E$29*$C$8*(IF('XA MU'!$C$29&gt;(xm_y0P+(xm_nP-1)/2*xm_sP),2*('XA MU'!$C$29-(xm_y0P+(xm_nP-1)/2*xm_sP))/xm_sP,0)+IF('XA MU'!$D$29&gt;(xm_y0P+(xm_nP-1)/2*xm_sP),2*('XA MU'!$D$29-(xm_y0P+(xm_nP-1)/2*xm_sP))/xm_sP,0)),0),0)+IF('XA MU'!$B$30&lt;=4,'XA MU'!$E$30*$C$8*(MAX(0,1-ABS('XA MU'!$C$30-$D76)/xm_sP)+MAX(0,1-ABS('XA MU'!$D$30-$D76)/xm_sP)),0)+IF(ABS($D76-(xm_y0P+(xm_nP-1)/2*xm_sP))&lt;0.000001,IF('XA MU'!$B$30&lt;=4,'XA MU'!$E$30*$C$8*(IF('XA MU'!$C$30&gt;(xm_y0P+(xm_nP-1)/2*xm_sP),2*('XA MU'!$C$30-(xm_y0P+(xm_nP-1)/2*xm_sP))/xm_sP,0)+IF('XA MU'!$D$30&gt;(xm_y0P+(xm_nP-1)/2*xm_sP),2*('XA MU'!$D$30-(xm_y0P+(xm_nP-1)/2*xm_sP))/xm_sP,0)),0),0))))</f>
        <v>0</v>
      </c>
      <c r="M76" s="44">
        <f>IF(C76=0,0,IF(5&gt;nLan,0,0.65*(IF('XA MU'!$B$25&lt;=5,'XA MU'!$E$25*$C$8*(MAX(0,1-ABS('XA MU'!$C$25-$D76)/xm_sP)+MAX(0,1-ABS('XA MU'!$D$25-$D76)/xm_sP)),0)+IF(ABS($D76-(xm_y0P+(xm_nP-1)/2*xm_sP))&lt;0.000001,IF('XA MU'!$B$25&lt;=5,'XA MU'!$E$25*$C$8*(IF('XA MU'!$C$25&gt;(xm_y0P+(xm_nP-1)/2*xm_sP),2*('XA MU'!$C$25-(xm_y0P+(xm_nP-1)/2*xm_sP))/xm_sP,0)+IF('XA MU'!$D$25&gt;(xm_y0P+(xm_nP-1)/2*xm_sP),2*('XA MU'!$D$25-(xm_y0P+(xm_nP-1)/2*xm_sP))/xm_sP,0)),0),0)+IF('XA MU'!$B$26&lt;=5,'XA MU'!$E$26*$C$8*(MAX(0,1-ABS('XA MU'!$C$26-$D76)/xm_sP)+MAX(0,1-ABS('XA MU'!$D$26-$D76)/xm_sP)),0)+IF(ABS($D76-(xm_y0P+(xm_nP-1)/2*xm_sP))&lt;0.000001,IF('XA MU'!$B$26&lt;=5,'XA MU'!$E$26*$C$8*(IF('XA MU'!$C$26&gt;(xm_y0P+(xm_nP-1)/2*xm_sP),2*('XA MU'!$C$26-(xm_y0P+(xm_nP-1)/2*xm_sP))/xm_sP,0)+IF('XA MU'!$D$26&gt;(xm_y0P+(xm_nP-1)/2*xm_sP),2*('XA MU'!$D$26-(xm_y0P+(xm_nP-1)/2*xm_sP))/xm_sP,0)),0),0)+IF('XA MU'!$B$27&lt;=5,'XA MU'!$E$27*$C$8*(MAX(0,1-ABS('XA MU'!$C$27-$D76)/xm_sP)+MAX(0,1-ABS('XA MU'!$D$27-$D76)/xm_sP)),0)+IF(ABS($D76-(xm_y0P+(xm_nP-1)/2*xm_sP))&lt;0.000001,IF('XA MU'!$B$27&lt;=5,'XA MU'!$E$27*$C$8*(IF('XA MU'!$C$27&gt;(xm_y0P+(xm_nP-1)/2*xm_sP),2*('XA MU'!$C$27-(xm_y0P+(xm_nP-1)/2*xm_sP))/xm_sP,0)+IF('XA MU'!$D$27&gt;(xm_y0P+(xm_nP-1)/2*xm_sP),2*('XA MU'!$D$27-(xm_y0P+(xm_nP-1)/2*xm_sP))/xm_sP,0)),0),0)+IF('XA MU'!$B$28&lt;=5,'XA MU'!$E$28*$C$8*(MAX(0,1-ABS('XA MU'!$C$28-$D76)/xm_sP)+MAX(0,1-ABS('XA MU'!$D$28-$D76)/xm_sP)),0)+IF(ABS($D76-(xm_y0P+(xm_nP-1)/2*xm_sP))&lt;0.000001,IF('XA MU'!$B$28&lt;=5,'XA MU'!$E$28*$C$8*(IF('XA MU'!$C$28&gt;(xm_y0P+(xm_nP-1)/2*xm_sP),2*('XA MU'!$C$28-(xm_y0P+(xm_nP-1)/2*xm_sP))/xm_sP,0)+IF('XA MU'!$D$28&gt;(xm_y0P+(xm_nP-1)/2*xm_sP),2*('XA MU'!$D$28-(xm_y0P+(xm_nP-1)/2*xm_sP))/xm_sP,0)),0),0)+IF('XA MU'!$B$29&lt;=5,'XA MU'!$E$29*$C$8*(MAX(0,1-ABS('XA MU'!$C$29-$D76)/xm_sP)+MAX(0,1-ABS('XA MU'!$D$29-$D76)/xm_sP)),0)+IF(ABS($D76-(xm_y0P+(xm_nP-1)/2*xm_sP))&lt;0.000001,IF('XA MU'!$B$29&lt;=5,'XA MU'!$E$29*$C$8*(IF('XA MU'!$C$29&gt;(xm_y0P+(xm_nP-1)/2*xm_sP),2*('XA MU'!$C$29-(xm_y0P+(xm_nP-1)/2*xm_sP))/xm_sP,0)+IF('XA MU'!$D$29&gt;(xm_y0P+(xm_nP-1)/2*xm_sP),2*('XA MU'!$D$29-(xm_y0P+(xm_nP-1)/2*xm_sP))/xm_sP,0)),0),0)+IF('XA MU'!$B$30&lt;=5,'XA MU'!$E$30*$C$8*(MAX(0,1-ABS('XA MU'!$C$30-$D76)/xm_sP)+MAX(0,1-ABS('XA MU'!$D$30-$D76)/xm_sP)),0)+IF(ABS($D76-(xm_y0P+(xm_nP-1)/2*xm_sP))&lt;0.000001,IF('XA MU'!$B$30&lt;=5,'XA MU'!$E$30*$C$8*(IF('XA MU'!$C$30&gt;(xm_y0P+(xm_nP-1)/2*xm_sP),2*('XA MU'!$C$30-(xm_y0P+(xm_nP-1)/2*xm_sP))/xm_sP,0)+IF('XA MU'!$D$30&gt;(xm_y0P+(xm_nP-1)/2*xm_sP),2*('XA MU'!$D$30-(xm_y0P+(xm_nP-1)/2*xm_sP))/xm_sP,0)),0),0))))</f>
        <v>0</v>
      </c>
      <c r="N76" s="44">
        <f>IF(C76=0,0,IF(6&gt;nLan,0,0.65*(IF('XA MU'!$B$25&lt;=6,'XA MU'!$E$25*$C$8*(MAX(0,1-ABS('XA MU'!$C$25-$D76)/xm_sP)+MAX(0,1-ABS('XA MU'!$D$25-$D76)/xm_sP)),0)+IF(ABS($D76-(xm_y0P+(xm_nP-1)/2*xm_sP))&lt;0.000001,IF('XA MU'!$B$25&lt;=6,'XA MU'!$E$25*$C$8*(IF('XA MU'!$C$25&gt;(xm_y0P+(xm_nP-1)/2*xm_sP),2*('XA MU'!$C$25-(xm_y0P+(xm_nP-1)/2*xm_sP))/xm_sP,0)+IF('XA MU'!$D$25&gt;(xm_y0P+(xm_nP-1)/2*xm_sP),2*('XA MU'!$D$25-(xm_y0P+(xm_nP-1)/2*xm_sP))/xm_sP,0)),0),0)+IF('XA MU'!$B$26&lt;=6,'XA MU'!$E$26*$C$8*(MAX(0,1-ABS('XA MU'!$C$26-$D76)/xm_sP)+MAX(0,1-ABS('XA MU'!$D$26-$D76)/xm_sP)),0)+IF(ABS($D76-(xm_y0P+(xm_nP-1)/2*xm_sP))&lt;0.000001,IF('XA MU'!$B$26&lt;=6,'XA MU'!$E$26*$C$8*(IF('XA MU'!$C$26&gt;(xm_y0P+(xm_nP-1)/2*xm_sP),2*('XA MU'!$C$26-(xm_y0P+(xm_nP-1)/2*xm_sP))/xm_sP,0)+IF('XA MU'!$D$26&gt;(xm_y0P+(xm_nP-1)/2*xm_sP),2*('XA MU'!$D$26-(xm_y0P+(xm_nP-1)/2*xm_sP))/xm_sP,0)),0),0)+IF('XA MU'!$B$27&lt;=6,'XA MU'!$E$27*$C$8*(MAX(0,1-ABS('XA MU'!$C$27-$D76)/xm_sP)+MAX(0,1-ABS('XA MU'!$D$27-$D76)/xm_sP)),0)+IF(ABS($D76-(xm_y0P+(xm_nP-1)/2*xm_sP))&lt;0.000001,IF('XA MU'!$B$27&lt;=6,'XA MU'!$E$27*$C$8*(IF('XA MU'!$C$27&gt;(xm_y0P+(xm_nP-1)/2*xm_sP),2*('XA MU'!$C$27-(xm_y0P+(xm_nP-1)/2*xm_sP))/xm_sP,0)+IF('XA MU'!$D$27&gt;(xm_y0P+(xm_nP-1)/2*xm_sP),2*('XA MU'!$D$27-(xm_y0P+(xm_nP-1)/2*xm_sP))/xm_sP,0)),0),0)+IF('XA MU'!$B$28&lt;=6,'XA MU'!$E$28*$C$8*(MAX(0,1-ABS('XA MU'!$C$28-$D76)/xm_sP)+MAX(0,1-ABS('XA MU'!$D$28-$D76)/xm_sP)),0)+IF(ABS($D76-(xm_y0P+(xm_nP-1)/2*xm_sP))&lt;0.000001,IF('XA MU'!$B$28&lt;=6,'XA MU'!$E$28*$C$8*(IF('XA MU'!$C$28&gt;(xm_y0P+(xm_nP-1)/2*xm_sP),2*('XA MU'!$C$28-(xm_y0P+(xm_nP-1)/2*xm_sP))/xm_sP,0)+IF('XA MU'!$D$28&gt;(xm_y0P+(xm_nP-1)/2*xm_sP),2*('XA MU'!$D$28-(xm_y0P+(xm_nP-1)/2*xm_sP))/xm_sP,0)),0),0)+IF('XA MU'!$B$29&lt;=6,'XA MU'!$E$29*$C$8*(MAX(0,1-ABS('XA MU'!$C$29-$D76)/xm_sP)+MAX(0,1-ABS('XA MU'!$D$29-$D76)/xm_sP)),0)+IF(ABS($D76-(xm_y0P+(xm_nP-1)/2*xm_sP))&lt;0.000001,IF('XA MU'!$B$29&lt;=6,'XA MU'!$E$29*$C$8*(IF('XA MU'!$C$29&gt;(xm_y0P+(xm_nP-1)/2*xm_sP),2*('XA MU'!$C$29-(xm_y0P+(xm_nP-1)/2*xm_sP))/xm_sP,0)+IF('XA MU'!$D$29&gt;(xm_y0P+(xm_nP-1)/2*xm_sP),2*('XA MU'!$D$29-(xm_y0P+(xm_nP-1)/2*xm_sP))/xm_sP,0)),0),0)+IF('XA MU'!$B$30&lt;=6,'XA MU'!$E$30*$C$8*(MAX(0,1-ABS('XA MU'!$C$30-$D76)/xm_sP)+MAX(0,1-ABS('XA MU'!$D$30-$D76)/xm_sP)),0)+IF(ABS($D76-(xm_y0P+(xm_nP-1)/2*xm_sP))&lt;0.000001,IF('XA MU'!$B$30&lt;=6,'XA MU'!$E$30*$C$8*(IF('XA MU'!$C$30&gt;(xm_y0P+(xm_nP-1)/2*xm_sP),2*('XA MU'!$C$30-(xm_y0P+(xm_nP-1)/2*xm_sP))/xm_sP,0)+IF('XA MU'!$D$30&gt;(xm_y0P+(xm_nP-1)/2*xm_sP),2*('XA MU'!$D$30-(xm_y0P+(xm_nP-1)/2*xm_sP))/xm_sP,0)),0),0))))</f>
        <v>0</v>
      </c>
    </row>
    <row r="77" spans="1:14" x14ac:dyDescent="0.3">
      <c r="A77" s="42" t="s">
        <v>1236</v>
      </c>
      <c r="B77" s="42">
        <v>23</v>
      </c>
      <c r="C77" s="40">
        <f t="shared" si="4"/>
        <v>0</v>
      </c>
      <c r="D77" s="44">
        <f t="shared" si="5"/>
        <v>0</v>
      </c>
      <c r="E77" s="44">
        <f>MAX(0,D77-'XA MU'!$C$8)*C77</f>
        <v>0</v>
      </c>
      <c r="F77" s="44">
        <f>IF(AND(C77=1,D77&gt;'XA MU'!$C$8),1,0)</f>
        <v>0</v>
      </c>
      <c r="G77" s="44">
        <f t="shared" si="6"/>
        <v>0</v>
      </c>
      <c r="H77" s="44">
        <f t="shared" si="7"/>
        <v>0</v>
      </c>
      <c r="I77" s="44">
        <f>IF(C77=0,0,IF(1&gt;nLan,0,1.2*(IF('XA MU'!$B$25&lt;=1,'XA MU'!$E$25*$C$8*(MAX(0,1-ABS('XA MU'!$C$25-$D77)/xm_sP)+MAX(0,1-ABS('XA MU'!$D$25-$D77)/xm_sP)),0)+IF(ABS($D77-(xm_y0P+(xm_nP-1)/2*xm_sP))&lt;0.000001,IF('XA MU'!$B$25&lt;=1,'XA MU'!$E$25*$C$8*(IF('XA MU'!$C$25&gt;(xm_y0P+(xm_nP-1)/2*xm_sP),2*('XA MU'!$C$25-(xm_y0P+(xm_nP-1)/2*xm_sP))/xm_sP,0)+IF('XA MU'!$D$25&gt;(xm_y0P+(xm_nP-1)/2*xm_sP),2*('XA MU'!$D$25-(xm_y0P+(xm_nP-1)/2*xm_sP))/xm_sP,0)),0),0)+IF('XA MU'!$B$26&lt;=1,'XA MU'!$E$26*$C$8*(MAX(0,1-ABS('XA MU'!$C$26-$D77)/xm_sP)+MAX(0,1-ABS('XA MU'!$D$26-$D77)/xm_sP)),0)+IF(ABS($D77-(xm_y0P+(xm_nP-1)/2*xm_sP))&lt;0.000001,IF('XA MU'!$B$26&lt;=1,'XA MU'!$E$26*$C$8*(IF('XA MU'!$C$26&gt;(xm_y0P+(xm_nP-1)/2*xm_sP),2*('XA MU'!$C$26-(xm_y0P+(xm_nP-1)/2*xm_sP))/xm_sP,0)+IF('XA MU'!$D$26&gt;(xm_y0P+(xm_nP-1)/2*xm_sP),2*('XA MU'!$D$26-(xm_y0P+(xm_nP-1)/2*xm_sP))/xm_sP,0)),0),0)+IF('XA MU'!$B$27&lt;=1,'XA MU'!$E$27*$C$8*(MAX(0,1-ABS('XA MU'!$C$27-$D77)/xm_sP)+MAX(0,1-ABS('XA MU'!$D$27-$D77)/xm_sP)),0)+IF(ABS($D77-(xm_y0P+(xm_nP-1)/2*xm_sP))&lt;0.000001,IF('XA MU'!$B$27&lt;=1,'XA MU'!$E$27*$C$8*(IF('XA MU'!$C$27&gt;(xm_y0P+(xm_nP-1)/2*xm_sP),2*('XA MU'!$C$27-(xm_y0P+(xm_nP-1)/2*xm_sP))/xm_sP,0)+IF('XA MU'!$D$27&gt;(xm_y0P+(xm_nP-1)/2*xm_sP),2*('XA MU'!$D$27-(xm_y0P+(xm_nP-1)/2*xm_sP))/xm_sP,0)),0),0)+IF('XA MU'!$B$28&lt;=1,'XA MU'!$E$28*$C$8*(MAX(0,1-ABS('XA MU'!$C$28-$D77)/xm_sP)+MAX(0,1-ABS('XA MU'!$D$28-$D77)/xm_sP)),0)+IF(ABS($D77-(xm_y0P+(xm_nP-1)/2*xm_sP))&lt;0.000001,IF('XA MU'!$B$28&lt;=1,'XA MU'!$E$28*$C$8*(IF('XA MU'!$C$28&gt;(xm_y0P+(xm_nP-1)/2*xm_sP),2*('XA MU'!$C$28-(xm_y0P+(xm_nP-1)/2*xm_sP))/xm_sP,0)+IF('XA MU'!$D$28&gt;(xm_y0P+(xm_nP-1)/2*xm_sP),2*('XA MU'!$D$28-(xm_y0P+(xm_nP-1)/2*xm_sP))/xm_sP,0)),0),0)+IF('XA MU'!$B$29&lt;=1,'XA MU'!$E$29*$C$8*(MAX(0,1-ABS('XA MU'!$C$29-$D77)/xm_sP)+MAX(0,1-ABS('XA MU'!$D$29-$D77)/xm_sP)),0)+IF(ABS($D77-(xm_y0P+(xm_nP-1)/2*xm_sP))&lt;0.000001,IF('XA MU'!$B$29&lt;=1,'XA MU'!$E$29*$C$8*(IF('XA MU'!$C$29&gt;(xm_y0P+(xm_nP-1)/2*xm_sP),2*('XA MU'!$C$29-(xm_y0P+(xm_nP-1)/2*xm_sP))/xm_sP,0)+IF('XA MU'!$D$29&gt;(xm_y0P+(xm_nP-1)/2*xm_sP),2*('XA MU'!$D$29-(xm_y0P+(xm_nP-1)/2*xm_sP))/xm_sP,0)),0),0)+IF('XA MU'!$B$30&lt;=1,'XA MU'!$E$30*$C$8*(MAX(0,1-ABS('XA MU'!$C$30-$D77)/xm_sP)+MAX(0,1-ABS('XA MU'!$D$30-$D77)/xm_sP)),0)+IF(ABS($D77-(xm_y0P+(xm_nP-1)/2*xm_sP))&lt;0.000001,IF('XA MU'!$B$30&lt;=1,'XA MU'!$E$30*$C$8*(IF('XA MU'!$C$30&gt;(xm_y0P+(xm_nP-1)/2*xm_sP),2*('XA MU'!$C$30-(xm_y0P+(xm_nP-1)/2*xm_sP))/xm_sP,0)+IF('XA MU'!$D$30&gt;(xm_y0P+(xm_nP-1)/2*xm_sP),2*('XA MU'!$D$30-(xm_y0P+(xm_nP-1)/2*xm_sP))/xm_sP,0)),0),0))))</f>
        <v>0</v>
      </c>
      <c r="J77" s="44">
        <f>IF(C77=0,0,IF(2&gt;nLan,0,1*(IF('XA MU'!$B$25&lt;=2,'XA MU'!$E$25*$C$8*(MAX(0,1-ABS('XA MU'!$C$25-$D77)/xm_sP)+MAX(0,1-ABS('XA MU'!$D$25-$D77)/xm_sP)),0)+IF(ABS($D77-(xm_y0P+(xm_nP-1)/2*xm_sP))&lt;0.000001,IF('XA MU'!$B$25&lt;=2,'XA MU'!$E$25*$C$8*(IF('XA MU'!$C$25&gt;(xm_y0P+(xm_nP-1)/2*xm_sP),2*('XA MU'!$C$25-(xm_y0P+(xm_nP-1)/2*xm_sP))/xm_sP,0)+IF('XA MU'!$D$25&gt;(xm_y0P+(xm_nP-1)/2*xm_sP),2*('XA MU'!$D$25-(xm_y0P+(xm_nP-1)/2*xm_sP))/xm_sP,0)),0),0)+IF('XA MU'!$B$26&lt;=2,'XA MU'!$E$26*$C$8*(MAX(0,1-ABS('XA MU'!$C$26-$D77)/xm_sP)+MAX(0,1-ABS('XA MU'!$D$26-$D77)/xm_sP)),0)+IF(ABS($D77-(xm_y0P+(xm_nP-1)/2*xm_sP))&lt;0.000001,IF('XA MU'!$B$26&lt;=2,'XA MU'!$E$26*$C$8*(IF('XA MU'!$C$26&gt;(xm_y0P+(xm_nP-1)/2*xm_sP),2*('XA MU'!$C$26-(xm_y0P+(xm_nP-1)/2*xm_sP))/xm_sP,0)+IF('XA MU'!$D$26&gt;(xm_y0P+(xm_nP-1)/2*xm_sP),2*('XA MU'!$D$26-(xm_y0P+(xm_nP-1)/2*xm_sP))/xm_sP,0)),0),0)+IF('XA MU'!$B$27&lt;=2,'XA MU'!$E$27*$C$8*(MAX(0,1-ABS('XA MU'!$C$27-$D77)/xm_sP)+MAX(0,1-ABS('XA MU'!$D$27-$D77)/xm_sP)),0)+IF(ABS($D77-(xm_y0P+(xm_nP-1)/2*xm_sP))&lt;0.000001,IF('XA MU'!$B$27&lt;=2,'XA MU'!$E$27*$C$8*(IF('XA MU'!$C$27&gt;(xm_y0P+(xm_nP-1)/2*xm_sP),2*('XA MU'!$C$27-(xm_y0P+(xm_nP-1)/2*xm_sP))/xm_sP,0)+IF('XA MU'!$D$27&gt;(xm_y0P+(xm_nP-1)/2*xm_sP),2*('XA MU'!$D$27-(xm_y0P+(xm_nP-1)/2*xm_sP))/xm_sP,0)),0),0)+IF('XA MU'!$B$28&lt;=2,'XA MU'!$E$28*$C$8*(MAX(0,1-ABS('XA MU'!$C$28-$D77)/xm_sP)+MAX(0,1-ABS('XA MU'!$D$28-$D77)/xm_sP)),0)+IF(ABS($D77-(xm_y0P+(xm_nP-1)/2*xm_sP))&lt;0.000001,IF('XA MU'!$B$28&lt;=2,'XA MU'!$E$28*$C$8*(IF('XA MU'!$C$28&gt;(xm_y0P+(xm_nP-1)/2*xm_sP),2*('XA MU'!$C$28-(xm_y0P+(xm_nP-1)/2*xm_sP))/xm_sP,0)+IF('XA MU'!$D$28&gt;(xm_y0P+(xm_nP-1)/2*xm_sP),2*('XA MU'!$D$28-(xm_y0P+(xm_nP-1)/2*xm_sP))/xm_sP,0)),0),0)+IF('XA MU'!$B$29&lt;=2,'XA MU'!$E$29*$C$8*(MAX(0,1-ABS('XA MU'!$C$29-$D77)/xm_sP)+MAX(0,1-ABS('XA MU'!$D$29-$D77)/xm_sP)),0)+IF(ABS($D77-(xm_y0P+(xm_nP-1)/2*xm_sP))&lt;0.000001,IF('XA MU'!$B$29&lt;=2,'XA MU'!$E$29*$C$8*(IF('XA MU'!$C$29&gt;(xm_y0P+(xm_nP-1)/2*xm_sP),2*('XA MU'!$C$29-(xm_y0P+(xm_nP-1)/2*xm_sP))/xm_sP,0)+IF('XA MU'!$D$29&gt;(xm_y0P+(xm_nP-1)/2*xm_sP),2*('XA MU'!$D$29-(xm_y0P+(xm_nP-1)/2*xm_sP))/xm_sP,0)),0),0)+IF('XA MU'!$B$30&lt;=2,'XA MU'!$E$30*$C$8*(MAX(0,1-ABS('XA MU'!$C$30-$D77)/xm_sP)+MAX(0,1-ABS('XA MU'!$D$30-$D77)/xm_sP)),0)+IF(ABS($D77-(xm_y0P+(xm_nP-1)/2*xm_sP))&lt;0.000001,IF('XA MU'!$B$30&lt;=2,'XA MU'!$E$30*$C$8*(IF('XA MU'!$C$30&gt;(xm_y0P+(xm_nP-1)/2*xm_sP),2*('XA MU'!$C$30-(xm_y0P+(xm_nP-1)/2*xm_sP))/xm_sP,0)+IF('XA MU'!$D$30&gt;(xm_y0P+(xm_nP-1)/2*xm_sP),2*('XA MU'!$D$30-(xm_y0P+(xm_nP-1)/2*xm_sP))/xm_sP,0)),0),0))))</f>
        <v>0</v>
      </c>
      <c r="K77" s="44">
        <f>IF(C77=0,0,IF(3&gt;nLan,0,0.85*(IF('XA MU'!$B$25&lt;=3,'XA MU'!$E$25*$C$8*(MAX(0,1-ABS('XA MU'!$C$25-$D77)/xm_sP)+MAX(0,1-ABS('XA MU'!$D$25-$D77)/xm_sP)),0)+IF(ABS($D77-(xm_y0P+(xm_nP-1)/2*xm_sP))&lt;0.000001,IF('XA MU'!$B$25&lt;=3,'XA MU'!$E$25*$C$8*(IF('XA MU'!$C$25&gt;(xm_y0P+(xm_nP-1)/2*xm_sP),2*('XA MU'!$C$25-(xm_y0P+(xm_nP-1)/2*xm_sP))/xm_sP,0)+IF('XA MU'!$D$25&gt;(xm_y0P+(xm_nP-1)/2*xm_sP),2*('XA MU'!$D$25-(xm_y0P+(xm_nP-1)/2*xm_sP))/xm_sP,0)),0),0)+IF('XA MU'!$B$26&lt;=3,'XA MU'!$E$26*$C$8*(MAX(0,1-ABS('XA MU'!$C$26-$D77)/xm_sP)+MAX(0,1-ABS('XA MU'!$D$26-$D77)/xm_sP)),0)+IF(ABS($D77-(xm_y0P+(xm_nP-1)/2*xm_sP))&lt;0.000001,IF('XA MU'!$B$26&lt;=3,'XA MU'!$E$26*$C$8*(IF('XA MU'!$C$26&gt;(xm_y0P+(xm_nP-1)/2*xm_sP),2*('XA MU'!$C$26-(xm_y0P+(xm_nP-1)/2*xm_sP))/xm_sP,0)+IF('XA MU'!$D$26&gt;(xm_y0P+(xm_nP-1)/2*xm_sP),2*('XA MU'!$D$26-(xm_y0P+(xm_nP-1)/2*xm_sP))/xm_sP,0)),0),0)+IF('XA MU'!$B$27&lt;=3,'XA MU'!$E$27*$C$8*(MAX(0,1-ABS('XA MU'!$C$27-$D77)/xm_sP)+MAX(0,1-ABS('XA MU'!$D$27-$D77)/xm_sP)),0)+IF(ABS($D77-(xm_y0P+(xm_nP-1)/2*xm_sP))&lt;0.000001,IF('XA MU'!$B$27&lt;=3,'XA MU'!$E$27*$C$8*(IF('XA MU'!$C$27&gt;(xm_y0P+(xm_nP-1)/2*xm_sP),2*('XA MU'!$C$27-(xm_y0P+(xm_nP-1)/2*xm_sP))/xm_sP,0)+IF('XA MU'!$D$27&gt;(xm_y0P+(xm_nP-1)/2*xm_sP),2*('XA MU'!$D$27-(xm_y0P+(xm_nP-1)/2*xm_sP))/xm_sP,0)),0),0)+IF('XA MU'!$B$28&lt;=3,'XA MU'!$E$28*$C$8*(MAX(0,1-ABS('XA MU'!$C$28-$D77)/xm_sP)+MAX(0,1-ABS('XA MU'!$D$28-$D77)/xm_sP)),0)+IF(ABS($D77-(xm_y0P+(xm_nP-1)/2*xm_sP))&lt;0.000001,IF('XA MU'!$B$28&lt;=3,'XA MU'!$E$28*$C$8*(IF('XA MU'!$C$28&gt;(xm_y0P+(xm_nP-1)/2*xm_sP),2*('XA MU'!$C$28-(xm_y0P+(xm_nP-1)/2*xm_sP))/xm_sP,0)+IF('XA MU'!$D$28&gt;(xm_y0P+(xm_nP-1)/2*xm_sP),2*('XA MU'!$D$28-(xm_y0P+(xm_nP-1)/2*xm_sP))/xm_sP,0)),0),0)+IF('XA MU'!$B$29&lt;=3,'XA MU'!$E$29*$C$8*(MAX(0,1-ABS('XA MU'!$C$29-$D77)/xm_sP)+MAX(0,1-ABS('XA MU'!$D$29-$D77)/xm_sP)),0)+IF(ABS($D77-(xm_y0P+(xm_nP-1)/2*xm_sP))&lt;0.000001,IF('XA MU'!$B$29&lt;=3,'XA MU'!$E$29*$C$8*(IF('XA MU'!$C$29&gt;(xm_y0P+(xm_nP-1)/2*xm_sP),2*('XA MU'!$C$29-(xm_y0P+(xm_nP-1)/2*xm_sP))/xm_sP,0)+IF('XA MU'!$D$29&gt;(xm_y0P+(xm_nP-1)/2*xm_sP),2*('XA MU'!$D$29-(xm_y0P+(xm_nP-1)/2*xm_sP))/xm_sP,0)),0),0)+IF('XA MU'!$B$30&lt;=3,'XA MU'!$E$30*$C$8*(MAX(0,1-ABS('XA MU'!$C$30-$D77)/xm_sP)+MAX(0,1-ABS('XA MU'!$D$30-$D77)/xm_sP)),0)+IF(ABS($D77-(xm_y0P+(xm_nP-1)/2*xm_sP))&lt;0.000001,IF('XA MU'!$B$30&lt;=3,'XA MU'!$E$30*$C$8*(IF('XA MU'!$C$30&gt;(xm_y0P+(xm_nP-1)/2*xm_sP),2*('XA MU'!$C$30-(xm_y0P+(xm_nP-1)/2*xm_sP))/xm_sP,0)+IF('XA MU'!$D$30&gt;(xm_y0P+(xm_nP-1)/2*xm_sP),2*('XA MU'!$D$30-(xm_y0P+(xm_nP-1)/2*xm_sP))/xm_sP,0)),0),0))))</f>
        <v>0</v>
      </c>
      <c r="L77" s="44">
        <f>IF(C77=0,0,IF(4&gt;nLan,0,0.65*(IF('XA MU'!$B$25&lt;=4,'XA MU'!$E$25*$C$8*(MAX(0,1-ABS('XA MU'!$C$25-$D77)/xm_sP)+MAX(0,1-ABS('XA MU'!$D$25-$D77)/xm_sP)),0)+IF(ABS($D77-(xm_y0P+(xm_nP-1)/2*xm_sP))&lt;0.000001,IF('XA MU'!$B$25&lt;=4,'XA MU'!$E$25*$C$8*(IF('XA MU'!$C$25&gt;(xm_y0P+(xm_nP-1)/2*xm_sP),2*('XA MU'!$C$25-(xm_y0P+(xm_nP-1)/2*xm_sP))/xm_sP,0)+IF('XA MU'!$D$25&gt;(xm_y0P+(xm_nP-1)/2*xm_sP),2*('XA MU'!$D$25-(xm_y0P+(xm_nP-1)/2*xm_sP))/xm_sP,0)),0),0)+IF('XA MU'!$B$26&lt;=4,'XA MU'!$E$26*$C$8*(MAX(0,1-ABS('XA MU'!$C$26-$D77)/xm_sP)+MAX(0,1-ABS('XA MU'!$D$26-$D77)/xm_sP)),0)+IF(ABS($D77-(xm_y0P+(xm_nP-1)/2*xm_sP))&lt;0.000001,IF('XA MU'!$B$26&lt;=4,'XA MU'!$E$26*$C$8*(IF('XA MU'!$C$26&gt;(xm_y0P+(xm_nP-1)/2*xm_sP),2*('XA MU'!$C$26-(xm_y0P+(xm_nP-1)/2*xm_sP))/xm_sP,0)+IF('XA MU'!$D$26&gt;(xm_y0P+(xm_nP-1)/2*xm_sP),2*('XA MU'!$D$26-(xm_y0P+(xm_nP-1)/2*xm_sP))/xm_sP,0)),0),0)+IF('XA MU'!$B$27&lt;=4,'XA MU'!$E$27*$C$8*(MAX(0,1-ABS('XA MU'!$C$27-$D77)/xm_sP)+MAX(0,1-ABS('XA MU'!$D$27-$D77)/xm_sP)),0)+IF(ABS($D77-(xm_y0P+(xm_nP-1)/2*xm_sP))&lt;0.000001,IF('XA MU'!$B$27&lt;=4,'XA MU'!$E$27*$C$8*(IF('XA MU'!$C$27&gt;(xm_y0P+(xm_nP-1)/2*xm_sP),2*('XA MU'!$C$27-(xm_y0P+(xm_nP-1)/2*xm_sP))/xm_sP,0)+IF('XA MU'!$D$27&gt;(xm_y0P+(xm_nP-1)/2*xm_sP),2*('XA MU'!$D$27-(xm_y0P+(xm_nP-1)/2*xm_sP))/xm_sP,0)),0),0)+IF('XA MU'!$B$28&lt;=4,'XA MU'!$E$28*$C$8*(MAX(0,1-ABS('XA MU'!$C$28-$D77)/xm_sP)+MAX(0,1-ABS('XA MU'!$D$28-$D77)/xm_sP)),0)+IF(ABS($D77-(xm_y0P+(xm_nP-1)/2*xm_sP))&lt;0.000001,IF('XA MU'!$B$28&lt;=4,'XA MU'!$E$28*$C$8*(IF('XA MU'!$C$28&gt;(xm_y0P+(xm_nP-1)/2*xm_sP),2*('XA MU'!$C$28-(xm_y0P+(xm_nP-1)/2*xm_sP))/xm_sP,0)+IF('XA MU'!$D$28&gt;(xm_y0P+(xm_nP-1)/2*xm_sP),2*('XA MU'!$D$28-(xm_y0P+(xm_nP-1)/2*xm_sP))/xm_sP,0)),0),0)+IF('XA MU'!$B$29&lt;=4,'XA MU'!$E$29*$C$8*(MAX(0,1-ABS('XA MU'!$C$29-$D77)/xm_sP)+MAX(0,1-ABS('XA MU'!$D$29-$D77)/xm_sP)),0)+IF(ABS($D77-(xm_y0P+(xm_nP-1)/2*xm_sP))&lt;0.000001,IF('XA MU'!$B$29&lt;=4,'XA MU'!$E$29*$C$8*(IF('XA MU'!$C$29&gt;(xm_y0P+(xm_nP-1)/2*xm_sP),2*('XA MU'!$C$29-(xm_y0P+(xm_nP-1)/2*xm_sP))/xm_sP,0)+IF('XA MU'!$D$29&gt;(xm_y0P+(xm_nP-1)/2*xm_sP),2*('XA MU'!$D$29-(xm_y0P+(xm_nP-1)/2*xm_sP))/xm_sP,0)),0),0)+IF('XA MU'!$B$30&lt;=4,'XA MU'!$E$30*$C$8*(MAX(0,1-ABS('XA MU'!$C$30-$D77)/xm_sP)+MAX(0,1-ABS('XA MU'!$D$30-$D77)/xm_sP)),0)+IF(ABS($D77-(xm_y0P+(xm_nP-1)/2*xm_sP))&lt;0.000001,IF('XA MU'!$B$30&lt;=4,'XA MU'!$E$30*$C$8*(IF('XA MU'!$C$30&gt;(xm_y0P+(xm_nP-1)/2*xm_sP),2*('XA MU'!$C$30-(xm_y0P+(xm_nP-1)/2*xm_sP))/xm_sP,0)+IF('XA MU'!$D$30&gt;(xm_y0P+(xm_nP-1)/2*xm_sP),2*('XA MU'!$D$30-(xm_y0P+(xm_nP-1)/2*xm_sP))/xm_sP,0)),0),0))))</f>
        <v>0</v>
      </c>
      <c r="M77" s="44">
        <f>IF(C77=0,0,IF(5&gt;nLan,0,0.65*(IF('XA MU'!$B$25&lt;=5,'XA MU'!$E$25*$C$8*(MAX(0,1-ABS('XA MU'!$C$25-$D77)/xm_sP)+MAX(0,1-ABS('XA MU'!$D$25-$D77)/xm_sP)),0)+IF(ABS($D77-(xm_y0P+(xm_nP-1)/2*xm_sP))&lt;0.000001,IF('XA MU'!$B$25&lt;=5,'XA MU'!$E$25*$C$8*(IF('XA MU'!$C$25&gt;(xm_y0P+(xm_nP-1)/2*xm_sP),2*('XA MU'!$C$25-(xm_y0P+(xm_nP-1)/2*xm_sP))/xm_sP,0)+IF('XA MU'!$D$25&gt;(xm_y0P+(xm_nP-1)/2*xm_sP),2*('XA MU'!$D$25-(xm_y0P+(xm_nP-1)/2*xm_sP))/xm_sP,0)),0),0)+IF('XA MU'!$B$26&lt;=5,'XA MU'!$E$26*$C$8*(MAX(0,1-ABS('XA MU'!$C$26-$D77)/xm_sP)+MAX(0,1-ABS('XA MU'!$D$26-$D77)/xm_sP)),0)+IF(ABS($D77-(xm_y0P+(xm_nP-1)/2*xm_sP))&lt;0.000001,IF('XA MU'!$B$26&lt;=5,'XA MU'!$E$26*$C$8*(IF('XA MU'!$C$26&gt;(xm_y0P+(xm_nP-1)/2*xm_sP),2*('XA MU'!$C$26-(xm_y0P+(xm_nP-1)/2*xm_sP))/xm_sP,0)+IF('XA MU'!$D$26&gt;(xm_y0P+(xm_nP-1)/2*xm_sP),2*('XA MU'!$D$26-(xm_y0P+(xm_nP-1)/2*xm_sP))/xm_sP,0)),0),0)+IF('XA MU'!$B$27&lt;=5,'XA MU'!$E$27*$C$8*(MAX(0,1-ABS('XA MU'!$C$27-$D77)/xm_sP)+MAX(0,1-ABS('XA MU'!$D$27-$D77)/xm_sP)),0)+IF(ABS($D77-(xm_y0P+(xm_nP-1)/2*xm_sP))&lt;0.000001,IF('XA MU'!$B$27&lt;=5,'XA MU'!$E$27*$C$8*(IF('XA MU'!$C$27&gt;(xm_y0P+(xm_nP-1)/2*xm_sP),2*('XA MU'!$C$27-(xm_y0P+(xm_nP-1)/2*xm_sP))/xm_sP,0)+IF('XA MU'!$D$27&gt;(xm_y0P+(xm_nP-1)/2*xm_sP),2*('XA MU'!$D$27-(xm_y0P+(xm_nP-1)/2*xm_sP))/xm_sP,0)),0),0)+IF('XA MU'!$B$28&lt;=5,'XA MU'!$E$28*$C$8*(MAX(0,1-ABS('XA MU'!$C$28-$D77)/xm_sP)+MAX(0,1-ABS('XA MU'!$D$28-$D77)/xm_sP)),0)+IF(ABS($D77-(xm_y0P+(xm_nP-1)/2*xm_sP))&lt;0.000001,IF('XA MU'!$B$28&lt;=5,'XA MU'!$E$28*$C$8*(IF('XA MU'!$C$28&gt;(xm_y0P+(xm_nP-1)/2*xm_sP),2*('XA MU'!$C$28-(xm_y0P+(xm_nP-1)/2*xm_sP))/xm_sP,0)+IF('XA MU'!$D$28&gt;(xm_y0P+(xm_nP-1)/2*xm_sP),2*('XA MU'!$D$28-(xm_y0P+(xm_nP-1)/2*xm_sP))/xm_sP,0)),0),0)+IF('XA MU'!$B$29&lt;=5,'XA MU'!$E$29*$C$8*(MAX(0,1-ABS('XA MU'!$C$29-$D77)/xm_sP)+MAX(0,1-ABS('XA MU'!$D$29-$D77)/xm_sP)),0)+IF(ABS($D77-(xm_y0P+(xm_nP-1)/2*xm_sP))&lt;0.000001,IF('XA MU'!$B$29&lt;=5,'XA MU'!$E$29*$C$8*(IF('XA MU'!$C$29&gt;(xm_y0P+(xm_nP-1)/2*xm_sP),2*('XA MU'!$C$29-(xm_y0P+(xm_nP-1)/2*xm_sP))/xm_sP,0)+IF('XA MU'!$D$29&gt;(xm_y0P+(xm_nP-1)/2*xm_sP),2*('XA MU'!$D$29-(xm_y0P+(xm_nP-1)/2*xm_sP))/xm_sP,0)),0),0)+IF('XA MU'!$B$30&lt;=5,'XA MU'!$E$30*$C$8*(MAX(0,1-ABS('XA MU'!$C$30-$D77)/xm_sP)+MAX(0,1-ABS('XA MU'!$D$30-$D77)/xm_sP)),0)+IF(ABS($D77-(xm_y0P+(xm_nP-1)/2*xm_sP))&lt;0.000001,IF('XA MU'!$B$30&lt;=5,'XA MU'!$E$30*$C$8*(IF('XA MU'!$C$30&gt;(xm_y0P+(xm_nP-1)/2*xm_sP),2*('XA MU'!$C$30-(xm_y0P+(xm_nP-1)/2*xm_sP))/xm_sP,0)+IF('XA MU'!$D$30&gt;(xm_y0P+(xm_nP-1)/2*xm_sP),2*('XA MU'!$D$30-(xm_y0P+(xm_nP-1)/2*xm_sP))/xm_sP,0)),0),0))))</f>
        <v>0</v>
      </c>
      <c r="N77" s="44">
        <f>IF(C77=0,0,IF(6&gt;nLan,0,0.65*(IF('XA MU'!$B$25&lt;=6,'XA MU'!$E$25*$C$8*(MAX(0,1-ABS('XA MU'!$C$25-$D77)/xm_sP)+MAX(0,1-ABS('XA MU'!$D$25-$D77)/xm_sP)),0)+IF(ABS($D77-(xm_y0P+(xm_nP-1)/2*xm_sP))&lt;0.000001,IF('XA MU'!$B$25&lt;=6,'XA MU'!$E$25*$C$8*(IF('XA MU'!$C$25&gt;(xm_y0P+(xm_nP-1)/2*xm_sP),2*('XA MU'!$C$25-(xm_y0P+(xm_nP-1)/2*xm_sP))/xm_sP,0)+IF('XA MU'!$D$25&gt;(xm_y0P+(xm_nP-1)/2*xm_sP),2*('XA MU'!$D$25-(xm_y0P+(xm_nP-1)/2*xm_sP))/xm_sP,0)),0),0)+IF('XA MU'!$B$26&lt;=6,'XA MU'!$E$26*$C$8*(MAX(0,1-ABS('XA MU'!$C$26-$D77)/xm_sP)+MAX(0,1-ABS('XA MU'!$D$26-$D77)/xm_sP)),0)+IF(ABS($D77-(xm_y0P+(xm_nP-1)/2*xm_sP))&lt;0.000001,IF('XA MU'!$B$26&lt;=6,'XA MU'!$E$26*$C$8*(IF('XA MU'!$C$26&gt;(xm_y0P+(xm_nP-1)/2*xm_sP),2*('XA MU'!$C$26-(xm_y0P+(xm_nP-1)/2*xm_sP))/xm_sP,0)+IF('XA MU'!$D$26&gt;(xm_y0P+(xm_nP-1)/2*xm_sP),2*('XA MU'!$D$26-(xm_y0P+(xm_nP-1)/2*xm_sP))/xm_sP,0)),0),0)+IF('XA MU'!$B$27&lt;=6,'XA MU'!$E$27*$C$8*(MAX(0,1-ABS('XA MU'!$C$27-$D77)/xm_sP)+MAX(0,1-ABS('XA MU'!$D$27-$D77)/xm_sP)),0)+IF(ABS($D77-(xm_y0P+(xm_nP-1)/2*xm_sP))&lt;0.000001,IF('XA MU'!$B$27&lt;=6,'XA MU'!$E$27*$C$8*(IF('XA MU'!$C$27&gt;(xm_y0P+(xm_nP-1)/2*xm_sP),2*('XA MU'!$C$27-(xm_y0P+(xm_nP-1)/2*xm_sP))/xm_sP,0)+IF('XA MU'!$D$27&gt;(xm_y0P+(xm_nP-1)/2*xm_sP),2*('XA MU'!$D$27-(xm_y0P+(xm_nP-1)/2*xm_sP))/xm_sP,0)),0),0)+IF('XA MU'!$B$28&lt;=6,'XA MU'!$E$28*$C$8*(MAX(0,1-ABS('XA MU'!$C$28-$D77)/xm_sP)+MAX(0,1-ABS('XA MU'!$D$28-$D77)/xm_sP)),0)+IF(ABS($D77-(xm_y0P+(xm_nP-1)/2*xm_sP))&lt;0.000001,IF('XA MU'!$B$28&lt;=6,'XA MU'!$E$28*$C$8*(IF('XA MU'!$C$28&gt;(xm_y0P+(xm_nP-1)/2*xm_sP),2*('XA MU'!$C$28-(xm_y0P+(xm_nP-1)/2*xm_sP))/xm_sP,0)+IF('XA MU'!$D$28&gt;(xm_y0P+(xm_nP-1)/2*xm_sP),2*('XA MU'!$D$28-(xm_y0P+(xm_nP-1)/2*xm_sP))/xm_sP,0)),0),0)+IF('XA MU'!$B$29&lt;=6,'XA MU'!$E$29*$C$8*(MAX(0,1-ABS('XA MU'!$C$29-$D77)/xm_sP)+MAX(0,1-ABS('XA MU'!$D$29-$D77)/xm_sP)),0)+IF(ABS($D77-(xm_y0P+(xm_nP-1)/2*xm_sP))&lt;0.000001,IF('XA MU'!$B$29&lt;=6,'XA MU'!$E$29*$C$8*(IF('XA MU'!$C$29&gt;(xm_y0P+(xm_nP-1)/2*xm_sP),2*('XA MU'!$C$29-(xm_y0P+(xm_nP-1)/2*xm_sP))/xm_sP,0)+IF('XA MU'!$D$29&gt;(xm_y0P+(xm_nP-1)/2*xm_sP),2*('XA MU'!$D$29-(xm_y0P+(xm_nP-1)/2*xm_sP))/xm_sP,0)),0),0)+IF('XA MU'!$B$30&lt;=6,'XA MU'!$E$30*$C$8*(MAX(0,1-ABS('XA MU'!$C$30-$D77)/xm_sP)+MAX(0,1-ABS('XA MU'!$D$30-$D77)/xm_sP)),0)+IF(ABS($D77-(xm_y0P+(xm_nP-1)/2*xm_sP))&lt;0.000001,IF('XA MU'!$B$30&lt;=6,'XA MU'!$E$30*$C$8*(IF('XA MU'!$C$30&gt;(xm_y0P+(xm_nP-1)/2*xm_sP),2*('XA MU'!$C$30-(xm_y0P+(xm_nP-1)/2*xm_sP))/xm_sP,0)+IF('XA MU'!$D$30&gt;(xm_y0P+(xm_nP-1)/2*xm_sP),2*('XA MU'!$D$30-(xm_y0P+(xm_nP-1)/2*xm_sP))/xm_sP,0)),0),0))))</f>
        <v>0</v>
      </c>
    </row>
    <row r="78" spans="1:14" x14ac:dyDescent="0.3">
      <c r="A78" s="42" t="s">
        <v>1236</v>
      </c>
      <c r="B78" s="42">
        <v>24</v>
      </c>
      <c r="C78" s="40">
        <f t="shared" si="4"/>
        <v>0</v>
      </c>
      <c r="D78" s="44">
        <f t="shared" si="5"/>
        <v>0</v>
      </c>
      <c r="E78" s="44">
        <f>MAX(0,D78-'XA MU'!$C$8)*C78</f>
        <v>0</v>
      </c>
      <c r="F78" s="44">
        <f>IF(AND(C78=1,D78&gt;'XA MU'!$C$8),1,0)</f>
        <v>0</v>
      </c>
      <c r="G78" s="44">
        <f t="shared" si="6"/>
        <v>0</v>
      </c>
      <c r="H78" s="44">
        <f t="shared" si="7"/>
        <v>0</v>
      </c>
      <c r="I78" s="44">
        <f>IF(C78=0,0,IF(1&gt;nLan,0,1.2*(IF('XA MU'!$B$25&lt;=1,'XA MU'!$E$25*$C$8*(MAX(0,1-ABS('XA MU'!$C$25-$D78)/xm_sP)+MAX(0,1-ABS('XA MU'!$D$25-$D78)/xm_sP)),0)+IF(ABS($D78-(xm_y0P+(xm_nP-1)/2*xm_sP))&lt;0.000001,IF('XA MU'!$B$25&lt;=1,'XA MU'!$E$25*$C$8*(IF('XA MU'!$C$25&gt;(xm_y0P+(xm_nP-1)/2*xm_sP),2*('XA MU'!$C$25-(xm_y0P+(xm_nP-1)/2*xm_sP))/xm_sP,0)+IF('XA MU'!$D$25&gt;(xm_y0P+(xm_nP-1)/2*xm_sP),2*('XA MU'!$D$25-(xm_y0P+(xm_nP-1)/2*xm_sP))/xm_sP,0)),0),0)+IF('XA MU'!$B$26&lt;=1,'XA MU'!$E$26*$C$8*(MAX(0,1-ABS('XA MU'!$C$26-$D78)/xm_sP)+MAX(0,1-ABS('XA MU'!$D$26-$D78)/xm_sP)),0)+IF(ABS($D78-(xm_y0P+(xm_nP-1)/2*xm_sP))&lt;0.000001,IF('XA MU'!$B$26&lt;=1,'XA MU'!$E$26*$C$8*(IF('XA MU'!$C$26&gt;(xm_y0P+(xm_nP-1)/2*xm_sP),2*('XA MU'!$C$26-(xm_y0P+(xm_nP-1)/2*xm_sP))/xm_sP,0)+IF('XA MU'!$D$26&gt;(xm_y0P+(xm_nP-1)/2*xm_sP),2*('XA MU'!$D$26-(xm_y0P+(xm_nP-1)/2*xm_sP))/xm_sP,0)),0),0)+IF('XA MU'!$B$27&lt;=1,'XA MU'!$E$27*$C$8*(MAX(0,1-ABS('XA MU'!$C$27-$D78)/xm_sP)+MAX(0,1-ABS('XA MU'!$D$27-$D78)/xm_sP)),0)+IF(ABS($D78-(xm_y0P+(xm_nP-1)/2*xm_sP))&lt;0.000001,IF('XA MU'!$B$27&lt;=1,'XA MU'!$E$27*$C$8*(IF('XA MU'!$C$27&gt;(xm_y0P+(xm_nP-1)/2*xm_sP),2*('XA MU'!$C$27-(xm_y0P+(xm_nP-1)/2*xm_sP))/xm_sP,0)+IF('XA MU'!$D$27&gt;(xm_y0P+(xm_nP-1)/2*xm_sP),2*('XA MU'!$D$27-(xm_y0P+(xm_nP-1)/2*xm_sP))/xm_sP,0)),0),0)+IF('XA MU'!$B$28&lt;=1,'XA MU'!$E$28*$C$8*(MAX(0,1-ABS('XA MU'!$C$28-$D78)/xm_sP)+MAX(0,1-ABS('XA MU'!$D$28-$D78)/xm_sP)),0)+IF(ABS($D78-(xm_y0P+(xm_nP-1)/2*xm_sP))&lt;0.000001,IF('XA MU'!$B$28&lt;=1,'XA MU'!$E$28*$C$8*(IF('XA MU'!$C$28&gt;(xm_y0P+(xm_nP-1)/2*xm_sP),2*('XA MU'!$C$28-(xm_y0P+(xm_nP-1)/2*xm_sP))/xm_sP,0)+IF('XA MU'!$D$28&gt;(xm_y0P+(xm_nP-1)/2*xm_sP),2*('XA MU'!$D$28-(xm_y0P+(xm_nP-1)/2*xm_sP))/xm_sP,0)),0),0)+IF('XA MU'!$B$29&lt;=1,'XA MU'!$E$29*$C$8*(MAX(0,1-ABS('XA MU'!$C$29-$D78)/xm_sP)+MAX(0,1-ABS('XA MU'!$D$29-$D78)/xm_sP)),0)+IF(ABS($D78-(xm_y0P+(xm_nP-1)/2*xm_sP))&lt;0.000001,IF('XA MU'!$B$29&lt;=1,'XA MU'!$E$29*$C$8*(IF('XA MU'!$C$29&gt;(xm_y0P+(xm_nP-1)/2*xm_sP),2*('XA MU'!$C$29-(xm_y0P+(xm_nP-1)/2*xm_sP))/xm_sP,0)+IF('XA MU'!$D$29&gt;(xm_y0P+(xm_nP-1)/2*xm_sP),2*('XA MU'!$D$29-(xm_y0P+(xm_nP-1)/2*xm_sP))/xm_sP,0)),0),0)+IF('XA MU'!$B$30&lt;=1,'XA MU'!$E$30*$C$8*(MAX(0,1-ABS('XA MU'!$C$30-$D78)/xm_sP)+MAX(0,1-ABS('XA MU'!$D$30-$D78)/xm_sP)),0)+IF(ABS($D78-(xm_y0P+(xm_nP-1)/2*xm_sP))&lt;0.000001,IF('XA MU'!$B$30&lt;=1,'XA MU'!$E$30*$C$8*(IF('XA MU'!$C$30&gt;(xm_y0P+(xm_nP-1)/2*xm_sP),2*('XA MU'!$C$30-(xm_y0P+(xm_nP-1)/2*xm_sP))/xm_sP,0)+IF('XA MU'!$D$30&gt;(xm_y0P+(xm_nP-1)/2*xm_sP),2*('XA MU'!$D$30-(xm_y0P+(xm_nP-1)/2*xm_sP))/xm_sP,0)),0),0))))</f>
        <v>0</v>
      </c>
      <c r="J78" s="44">
        <f>IF(C78=0,0,IF(2&gt;nLan,0,1*(IF('XA MU'!$B$25&lt;=2,'XA MU'!$E$25*$C$8*(MAX(0,1-ABS('XA MU'!$C$25-$D78)/xm_sP)+MAX(0,1-ABS('XA MU'!$D$25-$D78)/xm_sP)),0)+IF(ABS($D78-(xm_y0P+(xm_nP-1)/2*xm_sP))&lt;0.000001,IF('XA MU'!$B$25&lt;=2,'XA MU'!$E$25*$C$8*(IF('XA MU'!$C$25&gt;(xm_y0P+(xm_nP-1)/2*xm_sP),2*('XA MU'!$C$25-(xm_y0P+(xm_nP-1)/2*xm_sP))/xm_sP,0)+IF('XA MU'!$D$25&gt;(xm_y0P+(xm_nP-1)/2*xm_sP),2*('XA MU'!$D$25-(xm_y0P+(xm_nP-1)/2*xm_sP))/xm_sP,0)),0),0)+IF('XA MU'!$B$26&lt;=2,'XA MU'!$E$26*$C$8*(MAX(0,1-ABS('XA MU'!$C$26-$D78)/xm_sP)+MAX(0,1-ABS('XA MU'!$D$26-$D78)/xm_sP)),0)+IF(ABS($D78-(xm_y0P+(xm_nP-1)/2*xm_sP))&lt;0.000001,IF('XA MU'!$B$26&lt;=2,'XA MU'!$E$26*$C$8*(IF('XA MU'!$C$26&gt;(xm_y0P+(xm_nP-1)/2*xm_sP),2*('XA MU'!$C$26-(xm_y0P+(xm_nP-1)/2*xm_sP))/xm_sP,0)+IF('XA MU'!$D$26&gt;(xm_y0P+(xm_nP-1)/2*xm_sP),2*('XA MU'!$D$26-(xm_y0P+(xm_nP-1)/2*xm_sP))/xm_sP,0)),0),0)+IF('XA MU'!$B$27&lt;=2,'XA MU'!$E$27*$C$8*(MAX(0,1-ABS('XA MU'!$C$27-$D78)/xm_sP)+MAX(0,1-ABS('XA MU'!$D$27-$D78)/xm_sP)),0)+IF(ABS($D78-(xm_y0P+(xm_nP-1)/2*xm_sP))&lt;0.000001,IF('XA MU'!$B$27&lt;=2,'XA MU'!$E$27*$C$8*(IF('XA MU'!$C$27&gt;(xm_y0P+(xm_nP-1)/2*xm_sP),2*('XA MU'!$C$27-(xm_y0P+(xm_nP-1)/2*xm_sP))/xm_sP,0)+IF('XA MU'!$D$27&gt;(xm_y0P+(xm_nP-1)/2*xm_sP),2*('XA MU'!$D$27-(xm_y0P+(xm_nP-1)/2*xm_sP))/xm_sP,0)),0),0)+IF('XA MU'!$B$28&lt;=2,'XA MU'!$E$28*$C$8*(MAX(0,1-ABS('XA MU'!$C$28-$D78)/xm_sP)+MAX(0,1-ABS('XA MU'!$D$28-$D78)/xm_sP)),0)+IF(ABS($D78-(xm_y0P+(xm_nP-1)/2*xm_sP))&lt;0.000001,IF('XA MU'!$B$28&lt;=2,'XA MU'!$E$28*$C$8*(IF('XA MU'!$C$28&gt;(xm_y0P+(xm_nP-1)/2*xm_sP),2*('XA MU'!$C$28-(xm_y0P+(xm_nP-1)/2*xm_sP))/xm_sP,0)+IF('XA MU'!$D$28&gt;(xm_y0P+(xm_nP-1)/2*xm_sP),2*('XA MU'!$D$28-(xm_y0P+(xm_nP-1)/2*xm_sP))/xm_sP,0)),0),0)+IF('XA MU'!$B$29&lt;=2,'XA MU'!$E$29*$C$8*(MAX(0,1-ABS('XA MU'!$C$29-$D78)/xm_sP)+MAX(0,1-ABS('XA MU'!$D$29-$D78)/xm_sP)),0)+IF(ABS($D78-(xm_y0P+(xm_nP-1)/2*xm_sP))&lt;0.000001,IF('XA MU'!$B$29&lt;=2,'XA MU'!$E$29*$C$8*(IF('XA MU'!$C$29&gt;(xm_y0P+(xm_nP-1)/2*xm_sP),2*('XA MU'!$C$29-(xm_y0P+(xm_nP-1)/2*xm_sP))/xm_sP,0)+IF('XA MU'!$D$29&gt;(xm_y0P+(xm_nP-1)/2*xm_sP),2*('XA MU'!$D$29-(xm_y0P+(xm_nP-1)/2*xm_sP))/xm_sP,0)),0),0)+IF('XA MU'!$B$30&lt;=2,'XA MU'!$E$30*$C$8*(MAX(0,1-ABS('XA MU'!$C$30-$D78)/xm_sP)+MAX(0,1-ABS('XA MU'!$D$30-$D78)/xm_sP)),0)+IF(ABS($D78-(xm_y0P+(xm_nP-1)/2*xm_sP))&lt;0.000001,IF('XA MU'!$B$30&lt;=2,'XA MU'!$E$30*$C$8*(IF('XA MU'!$C$30&gt;(xm_y0P+(xm_nP-1)/2*xm_sP),2*('XA MU'!$C$30-(xm_y0P+(xm_nP-1)/2*xm_sP))/xm_sP,0)+IF('XA MU'!$D$30&gt;(xm_y0P+(xm_nP-1)/2*xm_sP),2*('XA MU'!$D$30-(xm_y0P+(xm_nP-1)/2*xm_sP))/xm_sP,0)),0),0))))</f>
        <v>0</v>
      </c>
      <c r="K78" s="44">
        <f>IF(C78=0,0,IF(3&gt;nLan,0,0.85*(IF('XA MU'!$B$25&lt;=3,'XA MU'!$E$25*$C$8*(MAX(0,1-ABS('XA MU'!$C$25-$D78)/xm_sP)+MAX(0,1-ABS('XA MU'!$D$25-$D78)/xm_sP)),0)+IF(ABS($D78-(xm_y0P+(xm_nP-1)/2*xm_sP))&lt;0.000001,IF('XA MU'!$B$25&lt;=3,'XA MU'!$E$25*$C$8*(IF('XA MU'!$C$25&gt;(xm_y0P+(xm_nP-1)/2*xm_sP),2*('XA MU'!$C$25-(xm_y0P+(xm_nP-1)/2*xm_sP))/xm_sP,0)+IF('XA MU'!$D$25&gt;(xm_y0P+(xm_nP-1)/2*xm_sP),2*('XA MU'!$D$25-(xm_y0P+(xm_nP-1)/2*xm_sP))/xm_sP,0)),0),0)+IF('XA MU'!$B$26&lt;=3,'XA MU'!$E$26*$C$8*(MAX(0,1-ABS('XA MU'!$C$26-$D78)/xm_sP)+MAX(0,1-ABS('XA MU'!$D$26-$D78)/xm_sP)),0)+IF(ABS($D78-(xm_y0P+(xm_nP-1)/2*xm_sP))&lt;0.000001,IF('XA MU'!$B$26&lt;=3,'XA MU'!$E$26*$C$8*(IF('XA MU'!$C$26&gt;(xm_y0P+(xm_nP-1)/2*xm_sP),2*('XA MU'!$C$26-(xm_y0P+(xm_nP-1)/2*xm_sP))/xm_sP,0)+IF('XA MU'!$D$26&gt;(xm_y0P+(xm_nP-1)/2*xm_sP),2*('XA MU'!$D$26-(xm_y0P+(xm_nP-1)/2*xm_sP))/xm_sP,0)),0),0)+IF('XA MU'!$B$27&lt;=3,'XA MU'!$E$27*$C$8*(MAX(0,1-ABS('XA MU'!$C$27-$D78)/xm_sP)+MAX(0,1-ABS('XA MU'!$D$27-$D78)/xm_sP)),0)+IF(ABS($D78-(xm_y0P+(xm_nP-1)/2*xm_sP))&lt;0.000001,IF('XA MU'!$B$27&lt;=3,'XA MU'!$E$27*$C$8*(IF('XA MU'!$C$27&gt;(xm_y0P+(xm_nP-1)/2*xm_sP),2*('XA MU'!$C$27-(xm_y0P+(xm_nP-1)/2*xm_sP))/xm_sP,0)+IF('XA MU'!$D$27&gt;(xm_y0P+(xm_nP-1)/2*xm_sP),2*('XA MU'!$D$27-(xm_y0P+(xm_nP-1)/2*xm_sP))/xm_sP,0)),0),0)+IF('XA MU'!$B$28&lt;=3,'XA MU'!$E$28*$C$8*(MAX(0,1-ABS('XA MU'!$C$28-$D78)/xm_sP)+MAX(0,1-ABS('XA MU'!$D$28-$D78)/xm_sP)),0)+IF(ABS($D78-(xm_y0P+(xm_nP-1)/2*xm_sP))&lt;0.000001,IF('XA MU'!$B$28&lt;=3,'XA MU'!$E$28*$C$8*(IF('XA MU'!$C$28&gt;(xm_y0P+(xm_nP-1)/2*xm_sP),2*('XA MU'!$C$28-(xm_y0P+(xm_nP-1)/2*xm_sP))/xm_sP,0)+IF('XA MU'!$D$28&gt;(xm_y0P+(xm_nP-1)/2*xm_sP),2*('XA MU'!$D$28-(xm_y0P+(xm_nP-1)/2*xm_sP))/xm_sP,0)),0),0)+IF('XA MU'!$B$29&lt;=3,'XA MU'!$E$29*$C$8*(MAX(0,1-ABS('XA MU'!$C$29-$D78)/xm_sP)+MAX(0,1-ABS('XA MU'!$D$29-$D78)/xm_sP)),0)+IF(ABS($D78-(xm_y0P+(xm_nP-1)/2*xm_sP))&lt;0.000001,IF('XA MU'!$B$29&lt;=3,'XA MU'!$E$29*$C$8*(IF('XA MU'!$C$29&gt;(xm_y0P+(xm_nP-1)/2*xm_sP),2*('XA MU'!$C$29-(xm_y0P+(xm_nP-1)/2*xm_sP))/xm_sP,0)+IF('XA MU'!$D$29&gt;(xm_y0P+(xm_nP-1)/2*xm_sP),2*('XA MU'!$D$29-(xm_y0P+(xm_nP-1)/2*xm_sP))/xm_sP,0)),0),0)+IF('XA MU'!$B$30&lt;=3,'XA MU'!$E$30*$C$8*(MAX(0,1-ABS('XA MU'!$C$30-$D78)/xm_sP)+MAX(0,1-ABS('XA MU'!$D$30-$D78)/xm_sP)),0)+IF(ABS($D78-(xm_y0P+(xm_nP-1)/2*xm_sP))&lt;0.000001,IF('XA MU'!$B$30&lt;=3,'XA MU'!$E$30*$C$8*(IF('XA MU'!$C$30&gt;(xm_y0P+(xm_nP-1)/2*xm_sP),2*('XA MU'!$C$30-(xm_y0P+(xm_nP-1)/2*xm_sP))/xm_sP,0)+IF('XA MU'!$D$30&gt;(xm_y0P+(xm_nP-1)/2*xm_sP),2*('XA MU'!$D$30-(xm_y0P+(xm_nP-1)/2*xm_sP))/xm_sP,0)),0),0))))</f>
        <v>0</v>
      </c>
      <c r="L78" s="44">
        <f>IF(C78=0,0,IF(4&gt;nLan,0,0.65*(IF('XA MU'!$B$25&lt;=4,'XA MU'!$E$25*$C$8*(MAX(0,1-ABS('XA MU'!$C$25-$D78)/xm_sP)+MAX(0,1-ABS('XA MU'!$D$25-$D78)/xm_sP)),0)+IF(ABS($D78-(xm_y0P+(xm_nP-1)/2*xm_sP))&lt;0.000001,IF('XA MU'!$B$25&lt;=4,'XA MU'!$E$25*$C$8*(IF('XA MU'!$C$25&gt;(xm_y0P+(xm_nP-1)/2*xm_sP),2*('XA MU'!$C$25-(xm_y0P+(xm_nP-1)/2*xm_sP))/xm_sP,0)+IF('XA MU'!$D$25&gt;(xm_y0P+(xm_nP-1)/2*xm_sP),2*('XA MU'!$D$25-(xm_y0P+(xm_nP-1)/2*xm_sP))/xm_sP,0)),0),0)+IF('XA MU'!$B$26&lt;=4,'XA MU'!$E$26*$C$8*(MAX(0,1-ABS('XA MU'!$C$26-$D78)/xm_sP)+MAX(0,1-ABS('XA MU'!$D$26-$D78)/xm_sP)),0)+IF(ABS($D78-(xm_y0P+(xm_nP-1)/2*xm_sP))&lt;0.000001,IF('XA MU'!$B$26&lt;=4,'XA MU'!$E$26*$C$8*(IF('XA MU'!$C$26&gt;(xm_y0P+(xm_nP-1)/2*xm_sP),2*('XA MU'!$C$26-(xm_y0P+(xm_nP-1)/2*xm_sP))/xm_sP,0)+IF('XA MU'!$D$26&gt;(xm_y0P+(xm_nP-1)/2*xm_sP),2*('XA MU'!$D$26-(xm_y0P+(xm_nP-1)/2*xm_sP))/xm_sP,0)),0),0)+IF('XA MU'!$B$27&lt;=4,'XA MU'!$E$27*$C$8*(MAX(0,1-ABS('XA MU'!$C$27-$D78)/xm_sP)+MAX(0,1-ABS('XA MU'!$D$27-$D78)/xm_sP)),0)+IF(ABS($D78-(xm_y0P+(xm_nP-1)/2*xm_sP))&lt;0.000001,IF('XA MU'!$B$27&lt;=4,'XA MU'!$E$27*$C$8*(IF('XA MU'!$C$27&gt;(xm_y0P+(xm_nP-1)/2*xm_sP),2*('XA MU'!$C$27-(xm_y0P+(xm_nP-1)/2*xm_sP))/xm_sP,0)+IF('XA MU'!$D$27&gt;(xm_y0P+(xm_nP-1)/2*xm_sP),2*('XA MU'!$D$27-(xm_y0P+(xm_nP-1)/2*xm_sP))/xm_sP,0)),0),0)+IF('XA MU'!$B$28&lt;=4,'XA MU'!$E$28*$C$8*(MAX(0,1-ABS('XA MU'!$C$28-$D78)/xm_sP)+MAX(0,1-ABS('XA MU'!$D$28-$D78)/xm_sP)),0)+IF(ABS($D78-(xm_y0P+(xm_nP-1)/2*xm_sP))&lt;0.000001,IF('XA MU'!$B$28&lt;=4,'XA MU'!$E$28*$C$8*(IF('XA MU'!$C$28&gt;(xm_y0P+(xm_nP-1)/2*xm_sP),2*('XA MU'!$C$28-(xm_y0P+(xm_nP-1)/2*xm_sP))/xm_sP,0)+IF('XA MU'!$D$28&gt;(xm_y0P+(xm_nP-1)/2*xm_sP),2*('XA MU'!$D$28-(xm_y0P+(xm_nP-1)/2*xm_sP))/xm_sP,0)),0),0)+IF('XA MU'!$B$29&lt;=4,'XA MU'!$E$29*$C$8*(MAX(0,1-ABS('XA MU'!$C$29-$D78)/xm_sP)+MAX(0,1-ABS('XA MU'!$D$29-$D78)/xm_sP)),0)+IF(ABS($D78-(xm_y0P+(xm_nP-1)/2*xm_sP))&lt;0.000001,IF('XA MU'!$B$29&lt;=4,'XA MU'!$E$29*$C$8*(IF('XA MU'!$C$29&gt;(xm_y0P+(xm_nP-1)/2*xm_sP),2*('XA MU'!$C$29-(xm_y0P+(xm_nP-1)/2*xm_sP))/xm_sP,0)+IF('XA MU'!$D$29&gt;(xm_y0P+(xm_nP-1)/2*xm_sP),2*('XA MU'!$D$29-(xm_y0P+(xm_nP-1)/2*xm_sP))/xm_sP,0)),0),0)+IF('XA MU'!$B$30&lt;=4,'XA MU'!$E$30*$C$8*(MAX(0,1-ABS('XA MU'!$C$30-$D78)/xm_sP)+MAX(0,1-ABS('XA MU'!$D$30-$D78)/xm_sP)),0)+IF(ABS($D78-(xm_y0P+(xm_nP-1)/2*xm_sP))&lt;0.000001,IF('XA MU'!$B$30&lt;=4,'XA MU'!$E$30*$C$8*(IF('XA MU'!$C$30&gt;(xm_y0P+(xm_nP-1)/2*xm_sP),2*('XA MU'!$C$30-(xm_y0P+(xm_nP-1)/2*xm_sP))/xm_sP,0)+IF('XA MU'!$D$30&gt;(xm_y0P+(xm_nP-1)/2*xm_sP),2*('XA MU'!$D$30-(xm_y0P+(xm_nP-1)/2*xm_sP))/xm_sP,0)),0),0))))</f>
        <v>0</v>
      </c>
      <c r="M78" s="44">
        <f>IF(C78=0,0,IF(5&gt;nLan,0,0.65*(IF('XA MU'!$B$25&lt;=5,'XA MU'!$E$25*$C$8*(MAX(0,1-ABS('XA MU'!$C$25-$D78)/xm_sP)+MAX(0,1-ABS('XA MU'!$D$25-$D78)/xm_sP)),0)+IF(ABS($D78-(xm_y0P+(xm_nP-1)/2*xm_sP))&lt;0.000001,IF('XA MU'!$B$25&lt;=5,'XA MU'!$E$25*$C$8*(IF('XA MU'!$C$25&gt;(xm_y0P+(xm_nP-1)/2*xm_sP),2*('XA MU'!$C$25-(xm_y0P+(xm_nP-1)/2*xm_sP))/xm_sP,0)+IF('XA MU'!$D$25&gt;(xm_y0P+(xm_nP-1)/2*xm_sP),2*('XA MU'!$D$25-(xm_y0P+(xm_nP-1)/2*xm_sP))/xm_sP,0)),0),0)+IF('XA MU'!$B$26&lt;=5,'XA MU'!$E$26*$C$8*(MAX(0,1-ABS('XA MU'!$C$26-$D78)/xm_sP)+MAX(0,1-ABS('XA MU'!$D$26-$D78)/xm_sP)),0)+IF(ABS($D78-(xm_y0P+(xm_nP-1)/2*xm_sP))&lt;0.000001,IF('XA MU'!$B$26&lt;=5,'XA MU'!$E$26*$C$8*(IF('XA MU'!$C$26&gt;(xm_y0P+(xm_nP-1)/2*xm_sP),2*('XA MU'!$C$26-(xm_y0P+(xm_nP-1)/2*xm_sP))/xm_sP,0)+IF('XA MU'!$D$26&gt;(xm_y0P+(xm_nP-1)/2*xm_sP),2*('XA MU'!$D$26-(xm_y0P+(xm_nP-1)/2*xm_sP))/xm_sP,0)),0),0)+IF('XA MU'!$B$27&lt;=5,'XA MU'!$E$27*$C$8*(MAX(0,1-ABS('XA MU'!$C$27-$D78)/xm_sP)+MAX(0,1-ABS('XA MU'!$D$27-$D78)/xm_sP)),0)+IF(ABS($D78-(xm_y0P+(xm_nP-1)/2*xm_sP))&lt;0.000001,IF('XA MU'!$B$27&lt;=5,'XA MU'!$E$27*$C$8*(IF('XA MU'!$C$27&gt;(xm_y0P+(xm_nP-1)/2*xm_sP),2*('XA MU'!$C$27-(xm_y0P+(xm_nP-1)/2*xm_sP))/xm_sP,0)+IF('XA MU'!$D$27&gt;(xm_y0P+(xm_nP-1)/2*xm_sP),2*('XA MU'!$D$27-(xm_y0P+(xm_nP-1)/2*xm_sP))/xm_sP,0)),0),0)+IF('XA MU'!$B$28&lt;=5,'XA MU'!$E$28*$C$8*(MAX(0,1-ABS('XA MU'!$C$28-$D78)/xm_sP)+MAX(0,1-ABS('XA MU'!$D$28-$D78)/xm_sP)),0)+IF(ABS($D78-(xm_y0P+(xm_nP-1)/2*xm_sP))&lt;0.000001,IF('XA MU'!$B$28&lt;=5,'XA MU'!$E$28*$C$8*(IF('XA MU'!$C$28&gt;(xm_y0P+(xm_nP-1)/2*xm_sP),2*('XA MU'!$C$28-(xm_y0P+(xm_nP-1)/2*xm_sP))/xm_sP,0)+IF('XA MU'!$D$28&gt;(xm_y0P+(xm_nP-1)/2*xm_sP),2*('XA MU'!$D$28-(xm_y0P+(xm_nP-1)/2*xm_sP))/xm_sP,0)),0),0)+IF('XA MU'!$B$29&lt;=5,'XA MU'!$E$29*$C$8*(MAX(0,1-ABS('XA MU'!$C$29-$D78)/xm_sP)+MAX(0,1-ABS('XA MU'!$D$29-$D78)/xm_sP)),0)+IF(ABS($D78-(xm_y0P+(xm_nP-1)/2*xm_sP))&lt;0.000001,IF('XA MU'!$B$29&lt;=5,'XA MU'!$E$29*$C$8*(IF('XA MU'!$C$29&gt;(xm_y0P+(xm_nP-1)/2*xm_sP),2*('XA MU'!$C$29-(xm_y0P+(xm_nP-1)/2*xm_sP))/xm_sP,0)+IF('XA MU'!$D$29&gt;(xm_y0P+(xm_nP-1)/2*xm_sP),2*('XA MU'!$D$29-(xm_y0P+(xm_nP-1)/2*xm_sP))/xm_sP,0)),0),0)+IF('XA MU'!$B$30&lt;=5,'XA MU'!$E$30*$C$8*(MAX(0,1-ABS('XA MU'!$C$30-$D78)/xm_sP)+MAX(0,1-ABS('XA MU'!$D$30-$D78)/xm_sP)),0)+IF(ABS($D78-(xm_y0P+(xm_nP-1)/2*xm_sP))&lt;0.000001,IF('XA MU'!$B$30&lt;=5,'XA MU'!$E$30*$C$8*(IF('XA MU'!$C$30&gt;(xm_y0P+(xm_nP-1)/2*xm_sP),2*('XA MU'!$C$30-(xm_y0P+(xm_nP-1)/2*xm_sP))/xm_sP,0)+IF('XA MU'!$D$30&gt;(xm_y0P+(xm_nP-1)/2*xm_sP),2*('XA MU'!$D$30-(xm_y0P+(xm_nP-1)/2*xm_sP))/xm_sP,0)),0),0))))</f>
        <v>0</v>
      </c>
      <c r="N78" s="44">
        <f>IF(C78=0,0,IF(6&gt;nLan,0,0.65*(IF('XA MU'!$B$25&lt;=6,'XA MU'!$E$25*$C$8*(MAX(0,1-ABS('XA MU'!$C$25-$D78)/xm_sP)+MAX(0,1-ABS('XA MU'!$D$25-$D78)/xm_sP)),0)+IF(ABS($D78-(xm_y0P+(xm_nP-1)/2*xm_sP))&lt;0.000001,IF('XA MU'!$B$25&lt;=6,'XA MU'!$E$25*$C$8*(IF('XA MU'!$C$25&gt;(xm_y0P+(xm_nP-1)/2*xm_sP),2*('XA MU'!$C$25-(xm_y0P+(xm_nP-1)/2*xm_sP))/xm_sP,0)+IF('XA MU'!$D$25&gt;(xm_y0P+(xm_nP-1)/2*xm_sP),2*('XA MU'!$D$25-(xm_y0P+(xm_nP-1)/2*xm_sP))/xm_sP,0)),0),0)+IF('XA MU'!$B$26&lt;=6,'XA MU'!$E$26*$C$8*(MAX(0,1-ABS('XA MU'!$C$26-$D78)/xm_sP)+MAX(0,1-ABS('XA MU'!$D$26-$D78)/xm_sP)),0)+IF(ABS($D78-(xm_y0P+(xm_nP-1)/2*xm_sP))&lt;0.000001,IF('XA MU'!$B$26&lt;=6,'XA MU'!$E$26*$C$8*(IF('XA MU'!$C$26&gt;(xm_y0P+(xm_nP-1)/2*xm_sP),2*('XA MU'!$C$26-(xm_y0P+(xm_nP-1)/2*xm_sP))/xm_sP,0)+IF('XA MU'!$D$26&gt;(xm_y0P+(xm_nP-1)/2*xm_sP),2*('XA MU'!$D$26-(xm_y0P+(xm_nP-1)/2*xm_sP))/xm_sP,0)),0),0)+IF('XA MU'!$B$27&lt;=6,'XA MU'!$E$27*$C$8*(MAX(0,1-ABS('XA MU'!$C$27-$D78)/xm_sP)+MAX(0,1-ABS('XA MU'!$D$27-$D78)/xm_sP)),0)+IF(ABS($D78-(xm_y0P+(xm_nP-1)/2*xm_sP))&lt;0.000001,IF('XA MU'!$B$27&lt;=6,'XA MU'!$E$27*$C$8*(IF('XA MU'!$C$27&gt;(xm_y0P+(xm_nP-1)/2*xm_sP),2*('XA MU'!$C$27-(xm_y0P+(xm_nP-1)/2*xm_sP))/xm_sP,0)+IF('XA MU'!$D$27&gt;(xm_y0P+(xm_nP-1)/2*xm_sP),2*('XA MU'!$D$27-(xm_y0P+(xm_nP-1)/2*xm_sP))/xm_sP,0)),0),0)+IF('XA MU'!$B$28&lt;=6,'XA MU'!$E$28*$C$8*(MAX(0,1-ABS('XA MU'!$C$28-$D78)/xm_sP)+MAX(0,1-ABS('XA MU'!$D$28-$D78)/xm_sP)),0)+IF(ABS($D78-(xm_y0P+(xm_nP-1)/2*xm_sP))&lt;0.000001,IF('XA MU'!$B$28&lt;=6,'XA MU'!$E$28*$C$8*(IF('XA MU'!$C$28&gt;(xm_y0P+(xm_nP-1)/2*xm_sP),2*('XA MU'!$C$28-(xm_y0P+(xm_nP-1)/2*xm_sP))/xm_sP,0)+IF('XA MU'!$D$28&gt;(xm_y0P+(xm_nP-1)/2*xm_sP),2*('XA MU'!$D$28-(xm_y0P+(xm_nP-1)/2*xm_sP))/xm_sP,0)),0),0)+IF('XA MU'!$B$29&lt;=6,'XA MU'!$E$29*$C$8*(MAX(0,1-ABS('XA MU'!$C$29-$D78)/xm_sP)+MAX(0,1-ABS('XA MU'!$D$29-$D78)/xm_sP)),0)+IF(ABS($D78-(xm_y0P+(xm_nP-1)/2*xm_sP))&lt;0.000001,IF('XA MU'!$B$29&lt;=6,'XA MU'!$E$29*$C$8*(IF('XA MU'!$C$29&gt;(xm_y0P+(xm_nP-1)/2*xm_sP),2*('XA MU'!$C$29-(xm_y0P+(xm_nP-1)/2*xm_sP))/xm_sP,0)+IF('XA MU'!$D$29&gt;(xm_y0P+(xm_nP-1)/2*xm_sP),2*('XA MU'!$D$29-(xm_y0P+(xm_nP-1)/2*xm_sP))/xm_sP,0)),0),0)+IF('XA MU'!$B$30&lt;=6,'XA MU'!$E$30*$C$8*(MAX(0,1-ABS('XA MU'!$C$30-$D78)/xm_sP)+MAX(0,1-ABS('XA MU'!$D$30-$D78)/xm_sP)),0)+IF(ABS($D78-(xm_y0P+(xm_nP-1)/2*xm_sP))&lt;0.000001,IF('XA MU'!$B$30&lt;=6,'XA MU'!$E$30*$C$8*(IF('XA MU'!$C$30&gt;(xm_y0P+(xm_nP-1)/2*xm_sP),2*('XA MU'!$C$30-(xm_y0P+(xm_nP-1)/2*xm_sP))/xm_sP,0)+IF('XA MU'!$D$30&gt;(xm_y0P+(xm_nP-1)/2*xm_sP),2*('XA MU'!$D$30-(xm_y0P+(xm_nP-1)/2*xm_sP))/xm_sP,0)),0),0))))</f>
        <v>0</v>
      </c>
    </row>
    <row r="79" spans="1:14" x14ac:dyDescent="0.3">
      <c r="A79" s="42" t="s">
        <v>1236</v>
      </c>
      <c r="B79" s="42">
        <v>25</v>
      </c>
      <c r="C79" s="40">
        <f t="shared" si="4"/>
        <v>0</v>
      </c>
      <c r="D79" s="44">
        <f t="shared" si="5"/>
        <v>0</v>
      </c>
      <c r="E79" s="44">
        <f>MAX(0,D79-'XA MU'!$C$8)*C79</f>
        <v>0</v>
      </c>
      <c r="F79" s="44">
        <f>IF(AND(C79=1,D79&gt;'XA MU'!$C$8),1,0)</f>
        <v>0</v>
      </c>
      <c r="G79" s="44">
        <f t="shared" si="6"/>
        <v>0</v>
      </c>
      <c r="H79" s="44">
        <f t="shared" si="7"/>
        <v>0</v>
      </c>
      <c r="I79" s="44">
        <f>IF(C79=0,0,IF(1&gt;nLan,0,1.2*(IF('XA MU'!$B$25&lt;=1,'XA MU'!$E$25*$C$8*(MAX(0,1-ABS('XA MU'!$C$25-$D79)/xm_sP)+MAX(0,1-ABS('XA MU'!$D$25-$D79)/xm_sP)),0)+IF(ABS($D79-(xm_y0P+(xm_nP-1)/2*xm_sP))&lt;0.000001,IF('XA MU'!$B$25&lt;=1,'XA MU'!$E$25*$C$8*(IF('XA MU'!$C$25&gt;(xm_y0P+(xm_nP-1)/2*xm_sP),2*('XA MU'!$C$25-(xm_y0P+(xm_nP-1)/2*xm_sP))/xm_sP,0)+IF('XA MU'!$D$25&gt;(xm_y0P+(xm_nP-1)/2*xm_sP),2*('XA MU'!$D$25-(xm_y0P+(xm_nP-1)/2*xm_sP))/xm_sP,0)),0),0)+IF('XA MU'!$B$26&lt;=1,'XA MU'!$E$26*$C$8*(MAX(0,1-ABS('XA MU'!$C$26-$D79)/xm_sP)+MAX(0,1-ABS('XA MU'!$D$26-$D79)/xm_sP)),0)+IF(ABS($D79-(xm_y0P+(xm_nP-1)/2*xm_sP))&lt;0.000001,IF('XA MU'!$B$26&lt;=1,'XA MU'!$E$26*$C$8*(IF('XA MU'!$C$26&gt;(xm_y0P+(xm_nP-1)/2*xm_sP),2*('XA MU'!$C$26-(xm_y0P+(xm_nP-1)/2*xm_sP))/xm_sP,0)+IF('XA MU'!$D$26&gt;(xm_y0P+(xm_nP-1)/2*xm_sP),2*('XA MU'!$D$26-(xm_y0P+(xm_nP-1)/2*xm_sP))/xm_sP,0)),0),0)+IF('XA MU'!$B$27&lt;=1,'XA MU'!$E$27*$C$8*(MAX(0,1-ABS('XA MU'!$C$27-$D79)/xm_sP)+MAX(0,1-ABS('XA MU'!$D$27-$D79)/xm_sP)),0)+IF(ABS($D79-(xm_y0P+(xm_nP-1)/2*xm_sP))&lt;0.000001,IF('XA MU'!$B$27&lt;=1,'XA MU'!$E$27*$C$8*(IF('XA MU'!$C$27&gt;(xm_y0P+(xm_nP-1)/2*xm_sP),2*('XA MU'!$C$27-(xm_y0P+(xm_nP-1)/2*xm_sP))/xm_sP,0)+IF('XA MU'!$D$27&gt;(xm_y0P+(xm_nP-1)/2*xm_sP),2*('XA MU'!$D$27-(xm_y0P+(xm_nP-1)/2*xm_sP))/xm_sP,0)),0),0)+IF('XA MU'!$B$28&lt;=1,'XA MU'!$E$28*$C$8*(MAX(0,1-ABS('XA MU'!$C$28-$D79)/xm_sP)+MAX(0,1-ABS('XA MU'!$D$28-$D79)/xm_sP)),0)+IF(ABS($D79-(xm_y0P+(xm_nP-1)/2*xm_sP))&lt;0.000001,IF('XA MU'!$B$28&lt;=1,'XA MU'!$E$28*$C$8*(IF('XA MU'!$C$28&gt;(xm_y0P+(xm_nP-1)/2*xm_sP),2*('XA MU'!$C$28-(xm_y0P+(xm_nP-1)/2*xm_sP))/xm_sP,0)+IF('XA MU'!$D$28&gt;(xm_y0P+(xm_nP-1)/2*xm_sP),2*('XA MU'!$D$28-(xm_y0P+(xm_nP-1)/2*xm_sP))/xm_sP,0)),0),0)+IF('XA MU'!$B$29&lt;=1,'XA MU'!$E$29*$C$8*(MAX(0,1-ABS('XA MU'!$C$29-$D79)/xm_sP)+MAX(0,1-ABS('XA MU'!$D$29-$D79)/xm_sP)),0)+IF(ABS($D79-(xm_y0P+(xm_nP-1)/2*xm_sP))&lt;0.000001,IF('XA MU'!$B$29&lt;=1,'XA MU'!$E$29*$C$8*(IF('XA MU'!$C$29&gt;(xm_y0P+(xm_nP-1)/2*xm_sP),2*('XA MU'!$C$29-(xm_y0P+(xm_nP-1)/2*xm_sP))/xm_sP,0)+IF('XA MU'!$D$29&gt;(xm_y0P+(xm_nP-1)/2*xm_sP),2*('XA MU'!$D$29-(xm_y0P+(xm_nP-1)/2*xm_sP))/xm_sP,0)),0),0)+IF('XA MU'!$B$30&lt;=1,'XA MU'!$E$30*$C$8*(MAX(0,1-ABS('XA MU'!$C$30-$D79)/xm_sP)+MAX(0,1-ABS('XA MU'!$D$30-$D79)/xm_sP)),0)+IF(ABS($D79-(xm_y0P+(xm_nP-1)/2*xm_sP))&lt;0.000001,IF('XA MU'!$B$30&lt;=1,'XA MU'!$E$30*$C$8*(IF('XA MU'!$C$30&gt;(xm_y0P+(xm_nP-1)/2*xm_sP),2*('XA MU'!$C$30-(xm_y0P+(xm_nP-1)/2*xm_sP))/xm_sP,0)+IF('XA MU'!$D$30&gt;(xm_y0P+(xm_nP-1)/2*xm_sP),2*('XA MU'!$D$30-(xm_y0P+(xm_nP-1)/2*xm_sP))/xm_sP,0)),0),0))))</f>
        <v>0</v>
      </c>
      <c r="J79" s="44">
        <f>IF(C79=0,0,IF(2&gt;nLan,0,1*(IF('XA MU'!$B$25&lt;=2,'XA MU'!$E$25*$C$8*(MAX(0,1-ABS('XA MU'!$C$25-$D79)/xm_sP)+MAX(0,1-ABS('XA MU'!$D$25-$D79)/xm_sP)),0)+IF(ABS($D79-(xm_y0P+(xm_nP-1)/2*xm_sP))&lt;0.000001,IF('XA MU'!$B$25&lt;=2,'XA MU'!$E$25*$C$8*(IF('XA MU'!$C$25&gt;(xm_y0P+(xm_nP-1)/2*xm_sP),2*('XA MU'!$C$25-(xm_y0P+(xm_nP-1)/2*xm_sP))/xm_sP,0)+IF('XA MU'!$D$25&gt;(xm_y0P+(xm_nP-1)/2*xm_sP),2*('XA MU'!$D$25-(xm_y0P+(xm_nP-1)/2*xm_sP))/xm_sP,0)),0),0)+IF('XA MU'!$B$26&lt;=2,'XA MU'!$E$26*$C$8*(MAX(0,1-ABS('XA MU'!$C$26-$D79)/xm_sP)+MAX(0,1-ABS('XA MU'!$D$26-$D79)/xm_sP)),0)+IF(ABS($D79-(xm_y0P+(xm_nP-1)/2*xm_sP))&lt;0.000001,IF('XA MU'!$B$26&lt;=2,'XA MU'!$E$26*$C$8*(IF('XA MU'!$C$26&gt;(xm_y0P+(xm_nP-1)/2*xm_sP),2*('XA MU'!$C$26-(xm_y0P+(xm_nP-1)/2*xm_sP))/xm_sP,0)+IF('XA MU'!$D$26&gt;(xm_y0P+(xm_nP-1)/2*xm_sP),2*('XA MU'!$D$26-(xm_y0P+(xm_nP-1)/2*xm_sP))/xm_sP,0)),0),0)+IF('XA MU'!$B$27&lt;=2,'XA MU'!$E$27*$C$8*(MAX(0,1-ABS('XA MU'!$C$27-$D79)/xm_sP)+MAX(0,1-ABS('XA MU'!$D$27-$D79)/xm_sP)),0)+IF(ABS($D79-(xm_y0P+(xm_nP-1)/2*xm_sP))&lt;0.000001,IF('XA MU'!$B$27&lt;=2,'XA MU'!$E$27*$C$8*(IF('XA MU'!$C$27&gt;(xm_y0P+(xm_nP-1)/2*xm_sP),2*('XA MU'!$C$27-(xm_y0P+(xm_nP-1)/2*xm_sP))/xm_sP,0)+IF('XA MU'!$D$27&gt;(xm_y0P+(xm_nP-1)/2*xm_sP),2*('XA MU'!$D$27-(xm_y0P+(xm_nP-1)/2*xm_sP))/xm_sP,0)),0),0)+IF('XA MU'!$B$28&lt;=2,'XA MU'!$E$28*$C$8*(MAX(0,1-ABS('XA MU'!$C$28-$D79)/xm_sP)+MAX(0,1-ABS('XA MU'!$D$28-$D79)/xm_sP)),0)+IF(ABS($D79-(xm_y0P+(xm_nP-1)/2*xm_sP))&lt;0.000001,IF('XA MU'!$B$28&lt;=2,'XA MU'!$E$28*$C$8*(IF('XA MU'!$C$28&gt;(xm_y0P+(xm_nP-1)/2*xm_sP),2*('XA MU'!$C$28-(xm_y0P+(xm_nP-1)/2*xm_sP))/xm_sP,0)+IF('XA MU'!$D$28&gt;(xm_y0P+(xm_nP-1)/2*xm_sP),2*('XA MU'!$D$28-(xm_y0P+(xm_nP-1)/2*xm_sP))/xm_sP,0)),0),0)+IF('XA MU'!$B$29&lt;=2,'XA MU'!$E$29*$C$8*(MAX(0,1-ABS('XA MU'!$C$29-$D79)/xm_sP)+MAX(0,1-ABS('XA MU'!$D$29-$D79)/xm_sP)),0)+IF(ABS($D79-(xm_y0P+(xm_nP-1)/2*xm_sP))&lt;0.000001,IF('XA MU'!$B$29&lt;=2,'XA MU'!$E$29*$C$8*(IF('XA MU'!$C$29&gt;(xm_y0P+(xm_nP-1)/2*xm_sP),2*('XA MU'!$C$29-(xm_y0P+(xm_nP-1)/2*xm_sP))/xm_sP,0)+IF('XA MU'!$D$29&gt;(xm_y0P+(xm_nP-1)/2*xm_sP),2*('XA MU'!$D$29-(xm_y0P+(xm_nP-1)/2*xm_sP))/xm_sP,0)),0),0)+IF('XA MU'!$B$30&lt;=2,'XA MU'!$E$30*$C$8*(MAX(0,1-ABS('XA MU'!$C$30-$D79)/xm_sP)+MAX(0,1-ABS('XA MU'!$D$30-$D79)/xm_sP)),0)+IF(ABS($D79-(xm_y0P+(xm_nP-1)/2*xm_sP))&lt;0.000001,IF('XA MU'!$B$30&lt;=2,'XA MU'!$E$30*$C$8*(IF('XA MU'!$C$30&gt;(xm_y0P+(xm_nP-1)/2*xm_sP),2*('XA MU'!$C$30-(xm_y0P+(xm_nP-1)/2*xm_sP))/xm_sP,0)+IF('XA MU'!$D$30&gt;(xm_y0P+(xm_nP-1)/2*xm_sP),2*('XA MU'!$D$30-(xm_y0P+(xm_nP-1)/2*xm_sP))/xm_sP,0)),0),0))))</f>
        <v>0</v>
      </c>
      <c r="K79" s="44">
        <f>IF(C79=0,0,IF(3&gt;nLan,0,0.85*(IF('XA MU'!$B$25&lt;=3,'XA MU'!$E$25*$C$8*(MAX(0,1-ABS('XA MU'!$C$25-$D79)/xm_sP)+MAX(0,1-ABS('XA MU'!$D$25-$D79)/xm_sP)),0)+IF(ABS($D79-(xm_y0P+(xm_nP-1)/2*xm_sP))&lt;0.000001,IF('XA MU'!$B$25&lt;=3,'XA MU'!$E$25*$C$8*(IF('XA MU'!$C$25&gt;(xm_y0P+(xm_nP-1)/2*xm_sP),2*('XA MU'!$C$25-(xm_y0P+(xm_nP-1)/2*xm_sP))/xm_sP,0)+IF('XA MU'!$D$25&gt;(xm_y0P+(xm_nP-1)/2*xm_sP),2*('XA MU'!$D$25-(xm_y0P+(xm_nP-1)/2*xm_sP))/xm_sP,0)),0),0)+IF('XA MU'!$B$26&lt;=3,'XA MU'!$E$26*$C$8*(MAX(0,1-ABS('XA MU'!$C$26-$D79)/xm_sP)+MAX(0,1-ABS('XA MU'!$D$26-$D79)/xm_sP)),0)+IF(ABS($D79-(xm_y0P+(xm_nP-1)/2*xm_sP))&lt;0.000001,IF('XA MU'!$B$26&lt;=3,'XA MU'!$E$26*$C$8*(IF('XA MU'!$C$26&gt;(xm_y0P+(xm_nP-1)/2*xm_sP),2*('XA MU'!$C$26-(xm_y0P+(xm_nP-1)/2*xm_sP))/xm_sP,0)+IF('XA MU'!$D$26&gt;(xm_y0P+(xm_nP-1)/2*xm_sP),2*('XA MU'!$D$26-(xm_y0P+(xm_nP-1)/2*xm_sP))/xm_sP,0)),0),0)+IF('XA MU'!$B$27&lt;=3,'XA MU'!$E$27*$C$8*(MAX(0,1-ABS('XA MU'!$C$27-$D79)/xm_sP)+MAX(0,1-ABS('XA MU'!$D$27-$D79)/xm_sP)),0)+IF(ABS($D79-(xm_y0P+(xm_nP-1)/2*xm_sP))&lt;0.000001,IF('XA MU'!$B$27&lt;=3,'XA MU'!$E$27*$C$8*(IF('XA MU'!$C$27&gt;(xm_y0P+(xm_nP-1)/2*xm_sP),2*('XA MU'!$C$27-(xm_y0P+(xm_nP-1)/2*xm_sP))/xm_sP,0)+IF('XA MU'!$D$27&gt;(xm_y0P+(xm_nP-1)/2*xm_sP),2*('XA MU'!$D$27-(xm_y0P+(xm_nP-1)/2*xm_sP))/xm_sP,0)),0),0)+IF('XA MU'!$B$28&lt;=3,'XA MU'!$E$28*$C$8*(MAX(0,1-ABS('XA MU'!$C$28-$D79)/xm_sP)+MAX(0,1-ABS('XA MU'!$D$28-$D79)/xm_sP)),0)+IF(ABS($D79-(xm_y0P+(xm_nP-1)/2*xm_sP))&lt;0.000001,IF('XA MU'!$B$28&lt;=3,'XA MU'!$E$28*$C$8*(IF('XA MU'!$C$28&gt;(xm_y0P+(xm_nP-1)/2*xm_sP),2*('XA MU'!$C$28-(xm_y0P+(xm_nP-1)/2*xm_sP))/xm_sP,0)+IF('XA MU'!$D$28&gt;(xm_y0P+(xm_nP-1)/2*xm_sP),2*('XA MU'!$D$28-(xm_y0P+(xm_nP-1)/2*xm_sP))/xm_sP,0)),0),0)+IF('XA MU'!$B$29&lt;=3,'XA MU'!$E$29*$C$8*(MAX(0,1-ABS('XA MU'!$C$29-$D79)/xm_sP)+MAX(0,1-ABS('XA MU'!$D$29-$D79)/xm_sP)),0)+IF(ABS($D79-(xm_y0P+(xm_nP-1)/2*xm_sP))&lt;0.000001,IF('XA MU'!$B$29&lt;=3,'XA MU'!$E$29*$C$8*(IF('XA MU'!$C$29&gt;(xm_y0P+(xm_nP-1)/2*xm_sP),2*('XA MU'!$C$29-(xm_y0P+(xm_nP-1)/2*xm_sP))/xm_sP,0)+IF('XA MU'!$D$29&gt;(xm_y0P+(xm_nP-1)/2*xm_sP),2*('XA MU'!$D$29-(xm_y0P+(xm_nP-1)/2*xm_sP))/xm_sP,0)),0),0)+IF('XA MU'!$B$30&lt;=3,'XA MU'!$E$30*$C$8*(MAX(0,1-ABS('XA MU'!$C$30-$D79)/xm_sP)+MAX(0,1-ABS('XA MU'!$D$30-$D79)/xm_sP)),0)+IF(ABS($D79-(xm_y0P+(xm_nP-1)/2*xm_sP))&lt;0.000001,IF('XA MU'!$B$30&lt;=3,'XA MU'!$E$30*$C$8*(IF('XA MU'!$C$30&gt;(xm_y0P+(xm_nP-1)/2*xm_sP),2*('XA MU'!$C$30-(xm_y0P+(xm_nP-1)/2*xm_sP))/xm_sP,0)+IF('XA MU'!$D$30&gt;(xm_y0P+(xm_nP-1)/2*xm_sP),2*('XA MU'!$D$30-(xm_y0P+(xm_nP-1)/2*xm_sP))/xm_sP,0)),0),0))))</f>
        <v>0</v>
      </c>
      <c r="L79" s="44">
        <f>IF(C79=0,0,IF(4&gt;nLan,0,0.65*(IF('XA MU'!$B$25&lt;=4,'XA MU'!$E$25*$C$8*(MAX(0,1-ABS('XA MU'!$C$25-$D79)/xm_sP)+MAX(0,1-ABS('XA MU'!$D$25-$D79)/xm_sP)),0)+IF(ABS($D79-(xm_y0P+(xm_nP-1)/2*xm_sP))&lt;0.000001,IF('XA MU'!$B$25&lt;=4,'XA MU'!$E$25*$C$8*(IF('XA MU'!$C$25&gt;(xm_y0P+(xm_nP-1)/2*xm_sP),2*('XA MU'!$C$25-(xm_y0P+(xm_nP-1)/2*xm_sP))/xm_sP,0)+IF('XA MU'!$D$25&gt;(xm_y0P+(xm_nP-1)/2*xm_sP),2*('XA MU'!$D$25-(xm_y0P+(xm_nP-1)/2*xm_sP))/xm_sP,0)),0),0)+IF('XA MU'!$B$26&lt;=4,'XA MU'!$E$26*$C$8*(MAX(0,1-ABS('XA MU'!$C$26-$D79)/xm_sP)+MAX(0,1-ABS('XA MU'!$D$26-$D79)/xm_sP)),0)+IF(ABS($D79-(xm_y0P+(xm_nP-1)/2*xm_sP))&lt;0.000001,IF('XA MU'!$B$26&lt;=4,'XA MU'!$E$26*$C$8*(IF('XA MU'!$C$26&gt;(xm_y0P+(xm_nP-1)/2*xm_sP),2*('XA MU'!$C$26-(xm_y0P+(xm_nP-1)/2*xm_sP))/xm_sP,0)+IF('XA MU'!$D$26&gt;(xm_y0P+(xm_nP-1)/2*xm_sP),2*('XA MU'!$D$26-(xm_y0P+(xm_nP-1)/2*xm_sP))/xm_sP,0)),0),0)+IF('XA MU'!$B$27&lt;=4,'XA MU'!$E$27*$C$8*(MAX(0,1-ABS('XA MU'!$C$27-$D79)/xm_sP)+MAX(0,1-ABS('XA MU'!$D$27-$D79)/xm_sP)),0)+IF(ABS($D79-(xm_y0P+(xm_nP-1)/2*xm_sP))&lt;0.000001,IF('XA MU'!$B$27&lt;=4,'XA MU'!$E$27*$C$8*(IF('XA MU'!$C$27&gt;(xm_y0P+(xm_nP-1)/2*xm_sP),2*('XA MU'!$C$27-(xm_y0P+(xm_nP-1)/2*xm_sP))/xm_sP,0)+IF('XA MU'!$D$27&gt;(xm_y0P+(xm_nP-1)/2*xm_sP),2*('XA MU'!$D$27-(xm_y0P+(xm_nP-1)/2*xm_sP))/xm_sP,0)),0),0)+IF('XA MU'!$B$28&lt;=4,'XA MU'!$E$28*$C$8*(MAX(0,1-ABS('XA MU'!$C$28-$D79)/xm_sP)+MAX(0,1-ABS('XA MU'!$D$28-$D79)/xm_sP)),0)+IF(ABS($D79-(xm_y0P+(xm_nP-1)/2*xm_sP))&lt;0.000001,IF('XA MU'!$B$28&lt;=4,'XA MU'!$E$28*$C$8*(IF('XA MU'!$C$28&gt;(xm_y0P+(xm_nP-1)/2*xm_sP),2*('XA MU'!$C$28-(xm_y0P+(xm_nP-1)/2*xm_sP))/xm_sP,0)+IF('XA MU'!$D$28&gt;(xm_y0P+(xm_nP-1)/2*xm_sP),2*('XA MU'!$D$28-(xm_y0P+(xm_nP-1)/2*xm_sP))/xm_sP,0)),0),0)+IF('XA MU'!$B$29&lt;=4,'XA MU'!$E$29*$C$8*(MAX(0,1-ABS('XA MU'!$C$29-$D79)/xm_sP)+MAX(0,1-ABS('XA MU'!$D$29-$D79)/xm_sP)),0)+IF(ABS($D79-(xm_y0P+(xm_nP-1)/2*xm_sP))&lt;0.000001,IF('XA MU'!$B$29&lt;=4,'XA MU'!$E$29*$C$8*(IF('XA MU'!$C$29&gt;(xm_y0P+(xm_nP-1)/2*xm_sP),2*('XA MU'!$C$29-(xm_y0P+(xm_nP-1)/2*xm_sP))/xm_sP,0)+IF('XA MU'!$D$29&gt;(xm_y0P+(xm_nP-1)/2*xm_sP),2*('XA MU'!$D$29-(xm_y0P+(xm_nP-1)/2*xm_sP))/xm_sP,0)),0),0)+IF('XA MU'!$B$30&lt;=4,'XA MU'!$E$30*$C$8*(MAX(0,1-ABS('XA MU'!$C$30-$D79)/xm_sP)+MAX(0,1-ABS('XA MU'!$D$30-$D79)/xm_sP)),0)+IF(ABS($D79-(xm_y0P+(xm_nP-1)/2*xm_sP))&lt;0.000001,IF('XA MU'!$B$30&lt;=4,'XA MU'!$E$30*$C$8*(IF('XA MU'!$C$30&gt;(xm_y0P+(xm_nP-1)/2*xm_sP),2*('XA MU'!$C$30-(xm_y0P+(xm_nP-1)/2*xm_sP))/xm_sP,0)+IF('XA MU'!$D$30&gt;(xm_y0P+(xm_nP-1)/2*xm_sP),2*('XA MU'!$D$30-(xm_y0P+(xm_nP-1)/2*xm_sP))/xm_sP,0)),0),0))))</f>
        <v>0</v>
      </c>
      <c r="M79" s="44">
        <f>IF(C79=0,0,IF(5&gt;nLan,0,0.65*(IF('XA MU'!$B$25&lt;=5,'XA MU'!$E$25*$C$8*(MAX(0,1-ABS('XA MU'!$C$25-$D79)/xm_sP)+MAX(0,1-ABS('XA MU'!$D$25-$D79)/xm_sP)),0)+IF(ABS($D79-(xm_y0P+(xm_nP-1)/2*xm_sP))&lt;0.000001,IF('XA MU'!$B$25&lt;=5,'XA MU'!$E$25*$C$8*(IF('XA MU'!$C$25&gt;(xm_y0P+(xm_nP-1)/2*xm_sP),2*('XA MU'!$C$25-(xm_y0P+(xm_nP-1)/2*xm_sP))/xm_sP,0)+IF('XA MU'!$D$25&gt;(xm_y0P+(xm_nP-1)/2*xm_sP),2*('XA MU'!$D$25-(xm_y0P+(xm_nP-1)/2*xm_sP))/xm_sP,0)),0),0)+IF('XA MU'!$B$26&lt;=5,'XA MU'!$E$26*$C$8*(MAX(0,1-ABS('XA MU'!$C$26-$D79)/xm_sP)+MAX(0,1-ABS('XA MU'!$D$26-$D79)/xm_sP)),0)+IF(ABS($D79-(xm_y0P+(xm_nP-1)/2*xm_sP))&lt;0.000001,IF('XA MU'!$B$26&lt;=5,'XA MU'!$E$26*$C$8*(IF('XA MU'!$C$26&gt;(xm_y0P+(xm_nP-1)/2*xm_sP),2*('XA MU'!$C$26-(xm_y0P+(xm_nP-1)/2*xm_sP))/xm_sP,0)+IF('XA MU'!$D$26&gt;(xm_y0P+(xm_nP-1)/2*xm_sP),2*('XA MU'!$D$26-(xm_y0P+(xm_nP-1)/2*xm_sP))/xm_sP,0)),0),0)+IF('XA MU'!$B$27&lt;=5,'XA MU'!$E$27*$C$8*(MAX(0,1-ABS('XA MU'!$C$27-$D79)/xm_sP)+MAX(0,1-ABS('XA MU'!$D$27-$D79)/xm_sP)),0)+IF(ABS($D79-(xm_y0P+(xm_nP-1)/2*xm_sP))&lt;0.000001,IF('XA MU'!$B$27&lt;=5,'XA MU'!$E$27*$C$8*(IF('XA MU'!$C$27&gt;(xm_y0P+(xm_nP-1)/2*xm_sP),2*('XA MU'!$C$27-(xm_y0P+(xm_nP-1)/2*xm_sP))/xm_sP,0)+IF('XA MU'!$D$27&gt;(xm_y0P+(xm_nP-1)/2*xm_sP),2*('XA MU'!$D$27-(xm_y0P+(xm_nP-1)/2*xm_sP))/xm_sP,0)),0),0)+IF('XA MU'!$B$28&lt;=5,'XA MU'!$E$28*$C$8*(MAX(0,1-ABS('XA MU'!$C$28-$D79)/xm_sP)+MAX(0,1-ABS('XA MU'!$D$28-$D79)/xm_sP)),0)+IF(ABS($D79-(xm_y0P+(xm_nP-1)/2*xm_sP))&lt;0.000001,IF('XA MU'!$B$28&lt;=5,'XA MU'!$E$28*$C$8*(IF('XA MU'!$C$28&gt;(xm_y0P+(xm_nP-1)/2*xm_sP),2*('XA MU'!$C$28-(xm_y0P+(xm_nP-1)/2*xm_sP))/xm_sP,0)+IF('XA MU'!$D$28&gt;(xm_y0P+(xm_nP-1)/2*xm_sP),2*('XA MU'!$D$28-(xm_y0P+(xm_nP-1)/2*xm_sP))/xm_sP,0)),0),0)+IF('XA MU'!$B$29&lt;=5,'XA MU'!$E$29*$C$8*(MAX(0,1-ABS('XA MU'!$C$29-$D79)/xm_sP)+MAX(0,1-ABS('XA MU'!$D$29-$D79)/xm_sP)),0)+IF(ABS($D79-(xm_y0P+(xm_nP-1)/2*xm_sP))&lt;0.000001,IF('XA MU'!$B$29&lt;=5,'XA MU'!$E$29*$C$8*(IF('XA MU'!$C$29&gt;(xm_y0P+(xm_nP-1)/2*xm_sP),2*('XA MU'!$C$29-(xm_y0P+(xm_nP-1)/2*xm_sP))/xm_sP,0)+IF('XA MU'!$D$29&gt;(xm_y0P+(xm_nP-1)/2*xm_sP),2*('XA MU'!$D$29-(xm_y0P+(xm_nP-1)/2*xm_sP))/xm_sP,0)),0),0)+IF('XA MU'!$B$30&lt;=5,'XA MU'!$E$30*$C$8*(MAX(0,1-ABS('XA MU'!$C$30-$D79)/xm_sP)+MAX(0,1-ABS('XA MU'!$D$30-$D79)/xm_sP)),0)+IF(ABS($D79-(xm_y0P+(xm_nP-1)/2*xm_sP))&lt;0.000001,IF('XA MU'!$B$30&lt;=5,'XA MU'!$E$30*$C$8*(IF('XA MU'!$C$30&gt;(xm_y0P+(xm_nP-1)/2*xm_sP),2*('XA MU'!$C$30-(xm_y0P+(xm_nP-1)/2*xm_sP))/xm_sP,0)+IF('XA MU'!$D$30&gt;(xm_y0P+(xm_nP-1)/2*xm_sP),2*('XA MU'!$D$30-(xm_y0P+(xm_nP-1)/2*xm_sP))/xm_sP,0)),0),0))))</f>
        <v>0</v>
      </c>
      <c r="N79" s="44">
        <f>IF(C79=0,0,IF(6&gt;nLan,0,0.65*(IF('XA MU'!$B$25&lt;=6,'XA MU'!$E$25*$C$8*(MAX(0,1-ABS('XA MU'!$C$25-$D79)/xm_sP)+MAX(0,1-ABS('XA MU'!$D$25-$D79)/xm_sP)),0)+IF(ABS($D79-(xm_y0P+(xm_nP-1)/2*xm_sP))&lt;0.000001,IF('XA MU'!$B$25&lt;=6,'XA MU'!$E$25*$C$8*(IF('XA MU'!$C$25&gt;(xm_y0P+(xm_nP-1)/2*xm_sP),2*('XA MU'!$C$25-(xm_y0P+(xm_nP-1)/2*xm_sP))/xm_sP,0)+IF('XA MU'!$D$25&gt;(xm_y0P+(xm_nP-1)/2*xm_sP),2*('XA MU'!$D$25-(xm_y0P+(xm_nP-1)/2*xm_sP))/xm_sP,0)),0),0)+IF('XA MU'!$B$26&lt;=6,'XA MU'!$E$26*$C$8*(MAX(0,1-ABS('XA MU'!$C$26-$D79)/xm_sP)+MAX(0,1-ABS('XA MU'!$D$26-$D79)/xm_sP)),0)+IF(ABS($D79-(xm_y0P+(xm_nP-1)/2*xm_sP))&lt;0.000001,IF('XA MU'!$B$26&lt;=6,'XA MU'!$E$26*$C$8*(IF('XA MU'!$C$26&gt;(xm_y0P+(xm_nP-1)/2*xm_sP),2*('XA MU'!$C$26-(xm_y0P+(xm_nP-1)/2*xm_sP))/xm_sP,0)+IF('XA MU'!$D$26&gt;(xm_y0P+(xm_nP-1)/2*xm_sP),2*('XA MU'!$D$26-(xm_y0P+(xm_nP-1)/2*xm_sP))/xm_sP,0)),0),0)+IF('XA MU'!$B$27&lt;=6,'XA MU'!$E$27*$C$8*(MAX(0,1-ABS('XA MU'!$C$27-$D79)/xm_sP)+MAX(0,1-ABS('XA MU'!$D$27-$D79)/xm_sP)),0)+IF(ABS($D79-(xm_y0P+(xm_nP-1)/2*xm_sP))&lt;0.000001,IF('XA MU'!$B$27&lt;=6,'XA MU'!$E$27*$C$8*(IF('XA MU'!$C$27&gt;(xm_y0P+(xm_nP-1)/2*xm_sP),2*('XA MU'!$C$27-(xm_y0P+(xm_nP-1)/2*xm_sP))/xm_sP,0)+IF('XA MU'!$D$27&gt;(xm_y0P+(xm_nP-1)/2*xm_sP),2*('XA MU'!$D$27-(xm_y0P+(xm_nP-1)/2*xm_sP))/xm_sP,0)),0),0)+IF('XA MU'!$B$28&lt;=6,'XA MU'!$E$28*$C$8*(MAX(0,1-ABS('XA MU'!$C$28-$D79)/xm_sP)+MAX(0,1-ABS('XA MU'!$D$28-$D79)/xm_sP)),0)+IF(ABS($D79-(xm_y0P+(xm_nP-1)/2*xm_sP))&lt;0.000001,IF('XA MU'!$B$28&lt;=6,'XA MU'!$E$28*$C$8*(IF('XA MU'!$C$28&gt;(xm_y0P+(xm_nP-1)/2*xm_sP),2*('XA MU'!$C$28-(xm_y0P+(xm_nP-1)/2*xm_sP))/xm_sP,0)+IF('XA MU'!$D$28&gt;(xm_y0P+(xm_nP-1)/2*xm_sP),2*('XA MU'!$D$28-(xm_y0P+(xm_nP-1)/2*xm_sP))/xm_sP,0)),0),0)+IF('XA MU'!$B$29&lt;=6,'XA MU'!$E$29*$C$8*(MAX(0,1-ABS('XA MU'!$C$29-$D79)/xm_sP)+MAX(0,1-ABS('XA MU'!$D$29-$D79)/xm_sP)),0)+IF(ABS($D79-(xm_y0P+(xm_nP-1)/2*xm_sP))&lt;0.000001,IF('XA MU'!$B$29&lt;=6,'XA MU'!$E$29*$C$8*(IF('XA MU'!$C$29&gt;(xm_y0P+(xm_nP-1)/2*xm_sP),2*('XA MU'!$C$29-(xm_y0P+(xm_nP-1)/2*xm_sP))/xm_sP,0)+IF('XA MU'!$D$29&gt;(xm_y0P+(xm_nP-1)/2*xm_sP),2*('XA MU'!$D$29-(xm_y0P+(xm_nP-1)/2*xm_sP))/xm_sP,0)),0),0)+IF('XA MU'!$B$30&lt;=6,'XA MU'!$E$30*$C$8*(MAX(0,1-ABS('XA MU'!$C$30-$D79)/xm_sP)+MAX(0,1-ABS('XA MU'!$D$30-$D79)/xm_sP)),0)+IF(ABS($D79-(xm_y0P+(xm_nP-1)/2*xm_sP))&lt;0.000001,IF('XA MU'!$B$30&lt;=6,'XA MU'!$E$30*$C$8*(IF('XA MU'!$C$30&gt;(xm_y0P+(xm_nP-1)/2*xm_sP),2*('XA MU'!$C$30-(xm_y0P+(xm_nP-1)/2*xm_sP))/xm_sP,0)+IF('XA MU'!$D$30&gt;(xm_y0P+(xm_nP-1)/2*xm_sP),2*('XA MU'!$D$30-(xm_y0P+(xm_nP-1)/2*xm_sP))/xm_sP,0)),0),0))))</f>
        <v>0</v>
      </c>
    </row>
    <row r="80" spans="1:14" x14ac:dyDescent="0.3">
      <c r="A80" s="42" t="s">
        <v>1236</v>
      </c>
      <c r="B80" s="42">
        <v>26</v>
      </c>
      <c r="C80" s="40">
        <f t="shared" si="4"/>
        <v>0</v>
      </c>
      <c r="D80" s="44">
        <f t="shared" si="5"/>
        <v>0</v>
      </c>
      <c r="E80" s="44">
        <f>MAX(0,D80-'XA MU'!$C$8)*C80</f>
        <v>0</v>
      </c>
      <c r="F80" s="44">
        <f>IF(AND(C80=1,D80&gt;'XA MU'!$C$8),1,0)</f>
        <v>0</v>
      </c>
      <c r="G80" s="44">
        <f t="shared" si="6"/>
        <v>0</v>
      </c>
      <c r="H80" s="44">
        <f t="shared" si="7"/>
        <v>0</v>
      </c>
      <c r="I80" s="44">
        <f>IF(C80=0,0,IF(1&gt;nLan,0,1.2*(IF('XA MU'!$B$25&lt;=1,'XA MU'!$E$25*$C$8*(MAX(0,1-ABS('XA MU'!$C$25-$D80)/xm_sP)+MAX(0,1-ABS('XA MU'!$D$25-$D80)/xm_sP)),0)+IF(ABS($D80-(xm_y0P+(xm_nP-1)/2*xm_sP))&lt;0.000001,IF('XA MU'!$B$25&lt;=1,'XA MU'!$E$25*$C$8*(IF('XA MU'!$C$25&gt;(xm_y0P+(xm_nP-1)/2*xm_sP),2*('XA MU'!$C$25-(xm_y0P+(xm_nP-1)/2*xm_sP))/xm_sP,0)+IF('XA MU'!$D$25&gt;(xm_y0P+(xm_nP-1)/2*xm_sP),2*('XA MU'!$D$25-(xm_y0P+(xm_nP-1)/2*xm_sP))/xm_sP,0)),0),0)+IF('XA MU'!$B$26&lt;=1,'XA MU'!$E$26*$C$8*(MAX(0,1-ABS('XA MU'!$C$26-$D80)/xm_sP)+MAX(0,1-ABS('XA MU'!$D$26-$D80)/xm_sP)),0)+IF(ABS($D80-(xm_y0P+(xm_nP-1)/2*xm_sP))&lt;0.000001,IF('XA MU'!$B$26&lt;=1,'XA MU'!$E$26*$C$8*(IF('XA MU'!$C$26&gt;(xm_y0P+(xm_nP-1)/2*xm_sP),2*('XA MU'!$C$26-(xm_y0P+(xm_nP-1)/2*xm_sP))/xm_sP,0)+IF('XA MU'!$D$26&gt;(xm_y0P+(xm_nP-1)/2*xm_sP),2*('XA MU'!$D$26-(xm_y0P+(xm_nP-1)/2*xm_sP))/xm_sP,0)),0),0)+IF('XA MU'!$B$27&lt;=1,'XA MU'!$E$27*$C$8*(MAX(0,1-ABS('XA MU'!$C$27-$D80)/xm_sP)+MAX(0,1-ABS('XA MU'!$D$27-$D80)/xm_sP)),0)+IF(ABS($D80-(xm_y0P+(xm_nP-1)/2*xm_sP))&lt;0.000001,IF('XA MU'!$B$27&lt;=1,'XA MU'!$E$27*$C$8*(IF('XA MU'!$C$27&gt;(xm_y0P+(xm_nP-1)/2*xm_sP),2*('XA MU'!$C$27-(xm_y0P+(xm_nP-1)/2*xm_sP))/xm_sP,0)+IF('XA MU'!$D$27&gt;(xm_y0P+(xm_nP-1)/2*xm_sP),2*('XA MU'!$D$27-(xm_y0P+(xm_nP-1)/2*xm_sP))/xm_sP,0)),0),0)+IF('XA MU'!$B$28&lt;=1,'XA MU'!$E$28*$C$8*(MAX(0,1-ABS('XA MU'!$C$28-$D80)/xm_sP)+MAX(0,1-ABS('XA MU'!$D$28-$D80)/xm_sP)),0)+IF(ABS($D80-(xm_y0P+(xm_nP-1)/2*xm_sP))&lt;0.000001,IF('XA MU'!$B$28&lt;=1,'XA MU'!$E$28*$C$8*(IF('XA MU'!$C$28&gt;(xm_y0P+(xm_nP-1)/2*xm_sP),2*('XA MU'!$C$28-(xm_y0P+(xm_nP-1)/2*xm_sP))/xm_sP,0)+IF('XA MU'!$D$28&gt;(xm_y0P+(xm_nP-1)/2*xm_sP),2*('XA MU'!$D$28-(xm_y0P+(xm_nP-1)/2*xm_sP))/xm_sP,0)),0),0)+IF('XA MU'!$B$29&lt;=1,'XA MU'!$E$29*$C$8*(MAX(0,1-ABS('XA MU'!$C$29-$D80)/xm_sP)+MAX(0,1-ABS('XA MU'!$D$29-$D80)/xm_sP)),0)+IF(ABS($D80-(xm_y0P+(xm_nP-1)/2*xm_sP))&lt;0.000001,IF('XA MU'!$B$29&lt;=1,'XA MU'!$E$29*$C$8*(IF('XA MU'!$C$29&gt;(xm_y0P+(xm_nP-1)/2*xm_sP),2*('XA MU'!$C$29-(xm_y0P+(xm_nP-1)/2*xm_sP))/xm_sP,0)+IF('XA MU'!$D$29&gt;(xm_y0P+(xm_nP-1)/2*xm_sP),2*('XA MU'!$D$29-(xm_y0P+(xm_nP-1)/2*xm_sP))/xm_sP,0)),0),0)+IF('XA MU'!$B$30&lt;=1,'XA MU'!$E$30*$C$8*(MAX(0,1-ABS('XA MU'!$C$30-$D80)/xm_sP)+MAX(0,1-ABS('XA MU'!$D$30-$D80)/xm_sP)),0)+IF(ABS($D80-(xm_y0P+(xm_nP-1)/2*xm_sP))&lt;0.000001,IF('XA MU'!$B$30&lt;=1,'XA MU'!$E$30*$C$8*(IF('XA MU'!$C$30&gt;(xm_y0P+(xm_nP-1)/2*xm_sP),2*('XA MU'!$C$30-(xm_y0P+(xm_nP-1)/2*xm_sP))/xm_sP,0)+IF('XA MU'!$D$30&gt;(xm_y0P+(xm_nP-1)/2*xm_sP),2*('XA MU'!$D$30-(xm_y0P+(xm_nP-1)/2*xm_sP))/xm_sP,0)),0),0))))</f>
        <v>0</v>
      </c>
      <c r="J80" s="44">
        <f>IF(C80=0,0,IF(2&gt;nLan,0,1*(IF('XA MU'!$B$25&lt;=2,'XA MU'!$E$25*$C$8*(MAX(0,1-ABS('XA MU'!$C$25-$D80)/xm_sP)+MAX(0,1-ABS('XA MU'!$D$25-$D80)/xm_sP)),0)+IF(ABS($D80-(xm_y0P+(xm_nP-1)/2*xm_sP))&lt;0.000001,IF('XA MU'!$B$25&lt;=2,'XA MU'!$E$25*$C$8*(IF('XA MU'!$C$25&gt;(xm_y0P+(xm_nP-1)/2*xm_sP),2*('XA MU'!$C$25-(xm_y0P+(xm_nP-1)/2*xm_sP))/xm_sP,0)+IF('XA MU'!$D$25&gt;(xm_y0P+(xm_nP-1)/2*xm_sP),2*('XA MU'!$D$25-(xm_y0P+(xm_nP-1)/2*xm_sP))/xm_sP,0)),0),0)+IF('XA MU'!$B$26&lt;=2,'XA MU'!$E$26*$C$8*(MAX(0,1-ABS('XA MU'!$C$26-$D80)/xm_sP)+MAX(0,1-ABS('XA MU'!$D$26-$D80)/xm_sP)),0)+IF(ABS($D80-(xm_y0P+(xm_nP-1)/2*xm_sP))&lt;0.000001,IF('XA MU'!$B$26&lt;=2,'XA MU'!$E$26*$C$8*(IF('XA MU'!$C$26&gt;(xm_y0P+(xm_nP-1)/2*xm_sP),2*('XA MU'!$C$26-(xm_y0P+(xm_nP-1)/2*xm_sP))/xm_sP,0)+IF('XA MU'!$D$26&gt;(xm_y0P+(xm_nP-1)/2*xm_sP),2*('XA MU'!$D$26-(xm_y0P+(xm_nP-1)/2*xm_sP))/xm_sP,0)),0),0)+IF('XA MU'!$B$27&lt;=2,'XA MU'!$E$27*$C$8*(MAX(0,1-ABS('XA MU'!$C$27-$D80)/xm_sP)+MAX(0,1-ABS('XA MU'!$D$27-$D80)/xm_sP)),0)+IF(ABS($D80-(xm_y0P+(xm_nP-1)/2*xm_sP))&lt;0.000001,IF('XA MU'!$B$27&lt;=2,'XA MU'!$E$27*$C$8*(IF('XA MU'!$C$27&gt;(xm_y0P+(xm_nP-1)/2*xm_sP),2*('XA MU'!$C$27-(xm_y0P+(xm_nP-1)/2*xm_sP))/xm_sP,0)+IF('XA MU'!$D$27&gt;(xm_y0P+(xm_nP-1)/2*xm_sP),2*('XA MU'!$D$27-(xm_y0P+(xm_nP-1)/2*xm_sP))/xm_sP,0)),0),0)+IF('XA MU'!$B$28&lt;=2,'XA MU'!$E$28*$C$8*(MAX(0,1-ABS('XA MU'!$C$28-$D80)/xm_sP)+MAX(0,1-ABS('XA MU'!$D$28-$D80)/xm_sP)),0)+IF(ABS($D80-(xm_y0P+(xm_nP-1)/2*xm_sP))&lt;0.000001,IF('XA MU'!$B$28&lt;=2,'XA MU'!$E$28*$C$8*(IF('XA MU'!$C$28&gt;(xm_y0P+(xm_nP-1)/2*xm_sP),2*('XA MU'!$C$28-(xm_y0P+(xm_nP-1)/2*xm_sP))/xm_sP,0)+IF('XA MU'!$D$28&gt;(xm_y0P+(xm_nP-1)/2*xm_sP),2*('XA MU'!$D$28-(xm_y0P+(xm_nP-1)/2*xm_sP))/xm_sP,0)),0),0)+IF('XA MU'!$B$29&lt;=2,'XA MU'!$E$29*$C$8*(MAX(0,1-ABS('XA MU'!$C$29-$D80)/xm_sP)+MAX(0,1-ABS('XA MU'!$D$29-$D80)/xm_sP)),0)+IF(ABS($D80-(xm_y0P+(xm_nP-1)/2*xm_sP))&lt;0.000001,IF('XA MU'!$B$29&lt;=2,'XA MU'!$E$29*$C$8*(IF('XA MU'!$C$29&gt;(xm_y0P+(xm_nP-1)/2*xm_sP),2*('XA MU'!$C$29-(xm_y0P+(xm_nP-1)/2*xm_sP))/xm_sP,0)+IF('XA MU'!$D$29&gt;(xm_y0P+(xm_nP-1)/2*xm_sP),2*('XA MU'!$D$29-(xm_y0P+(xm_nP-1)/2*xm_sP))/xm_sP,0)),0),0)+IF('XA MU'!$B$30&lt;=2,'XA MU'!$E$30*$C$8*(MAX(0,1-ABS('XA MU'!$C$30-$D80)/xm_sP)+MAX(0,1-ABS('XA MU'!$D$30-$D80)/xm_sP)),0)+IF(ABS($D80-(xm_y0P+(xm_nP-1)/2*xm_sP))&lt;0.000001,IF('XA MU'!$B$30&lt;=2,'XA MU'!$E$30*$C$8*(IF('XA MU'!$C$30&gt;(xm_y0P+(xm_nP-1)/2*xm_sP),2*('XA MU'!$C$30-(xm_y0P+(xm_nP-1)/2*xm_sP))/xm_sP,0)+IF('XA MU'!$D$30&gt;(xm_y0P+(xm_nP-1)/2*xm_sP),2*('XA MU'!$D$30-(xm_y0P+(xm_nP-1)/2*xm_sP))/xm_sP,0)),0),0))))</f>
        <v>0</v>
      </c>
      <c r="K80" s="44">
        <f>IF(C80=0,0,IF(3&gt;nLan,0,0.85*(IF('XA MU'!$B$25&lt;=3,'XA MU'!$E$25*$C$8*(MAX(0,1-ABS('XA MU'!$C$25-$D80)/xm_sP)+MAX(0,1-ABS('XA MU'!$D$25-$D80)/xm_sP)),0)+IF(ABS($D80-(xm_y0P+(xm_nP-1)/2*xm_sP))&lt;0.000001,IF('XA MU'!$B$25&lt;=3,'XA MU'!$E$25*$C$8*(IF('XA MU'!$C$25&gt;(xm_y0P+(xm_nP-1)/2*xm_sP),2*('XA MU'!$C$25-(xm_y0P+(xm_nP-1)/2*xm_sP))/xm_sP,0)+IF('XA MU'!$D$25&gt;(xm_y0P+(xm_nP-1)/2*xm_sP),2*('XA MU'!$D$25-(xm_y0P+(xm_nP-1)/2*xm_sP))/xm_sP,0)),0),0)+IF('XA MU'!$B$26&lt;=3,'XA MU'!$E$26*$C$8*(MAX(0,1-ABS('XA MU'!$C$26-$D80)/xm_sP)+MAX(0,1-ABS('XA MU'!$D$26-$D80)/xm_sP)),0)+IF(ABS($D80-(xm_y0P+(xm_nP-1)/2*xm_sP))&lt;0.000001,IF('XA MU'!$B$26&lt;=3,'XA MU'!$E$26*$C$8*(IF('XA MU'!$C$26&gt;(xm_y0P+(xm_nP-1)/2*xm_sP),2*('XA MU'!$C$26-(xm_y0P+(xm_nP-1)/2*xm_sP))/xm_sP,0)+IF('XA MU'!$D$26&gt;(xm_y0P+(xm_nP-1)/2*xm_sP),2*('XA MU'!$D$26-(xm_y0P+(xm_nP-1)/2*xm_sP))/xm_sP,0)),0),0)+IF('XA MU'!$B$27&lt;=3,'XA MU'!$E$27*$C$8*(MAX(0,1-ABS('XA MU'!$C$27-$D80)/xm_sP)+MAX(0,1-ABS('XA MU'!$D$27-$D80)/xm_sP)),0)+IF(ABS($D80-(xm_y0P+(xm_nP-1)/2*xm_sP))&lt;0.000001,IF('XA MU'!$B$27&lt;=3,'XA MU'!$E$27*$C$8*(IF('XA MU'!$C$27&gt;(xm_y0P+(xm_nP-1)/2*xm_sP),2*('XA MU'!$C$27-(xm_y0P+(xm_nP-1)/2*xm_sP))/xm_sP,0)+IF('XA MU'!$D$27&gt;(xm_y0P+(xm_nP-1)/2*xm_sP),2*('XA MU'!$D$27-(xm_y0P+(xm_nP-1)/2*xm_sP))/xm_sP,0)),0),0)+IF('XA MU'!$B$28&lt;=3,'XA MU'!$E$28*$C$8*(MAX(0,1-ABS('XA MU'!$C$28-$D80)/xm_sP)+MAX(0,1-ABS('XA MU'!$D$28-$D80)/xm_sP)),0)+IF(ABS($D80-(xm_y0P+(xm_nP-1)/2*xm_sP))&lt;0.000001,IF('XA MU'!$B$28&lt;=3,'XA MU'!$E$28*$C$8*(IF('XA MU'!$C$28&gt;(xm_y0P+(xm_nP-1)/2*xm_sP),2*('XA MU'!$C$28-(xm_y0P+(xm_nP-1)/2*xm_sP))/xm_sP,0)+IF('XA MU'!$D$28&gt;(xm_y0P+(xm_nP-1)/2*xm_sP),2*('XA MU'!$D$28-(xm_y0P+(xm_nP-1)/2*xm_sP))/xm_sP,0)),0),0)+IF('XA MU'!$B$29&lt;=3,'XA MU'!$E$29*$C$8*(MAX(0,1-ABS('XA MU'!$C$29-$D80)/xm_sP)+MAX(0,1-ABS('XA MU'!$D$29-$D80)/xm_sP)),0)+IF(ABS($D80-(xm_y0P+(xm_nP-1)/2*xm_sP))&lt;0.000001,IF('XA MU'!$B$29&lt;=3,'XA MU'!$E$29*$C$8*(IF('XA MU'!$C$29&gt;(xm_y0P+(xm_nP-1)/2*xm_sP),2*('XA MU'!$C$29-(xm_y0P+(xm_nP-1)/2*xm_sP))/xm_sP,0)+IF('XA MU'!$D$29&gt;(xm_y0P+(xm_nP-1)/2*xm_sP),2*('XA MU'!$D$29-(xm_y0P+(xm_nP-1)/2*xm_sP))/xm_sP,0)),0),0)+IF('XA MU'!$B$30&lt;=3,'XA MU'!$E$30*$C$8*(MAX(0,1-ABS('XA MU'!$C$30-$D80)/xm_sP)+MAX(0,1-ABS('XA MU'!$D$30-$D80)/xm_sP)),0)+IF(ABS($D80-(xm_y0P+(xm_nP-1)/2*xm_sP))&lt;0.000001,IF('XA MU'!$B$30&lt;=3,'XA MU'!$E$30*$C$8*(IF('XA MU'!$C$30&gt;(xm_y0P+(xm_nP-1)/2*xm_sP),2*('XA MU'!$C$30-(xm_y0P+(xm_nP-1)/2*xm_sP))/xm_sP,0)+IF('XA MU'!$D$30&gt;(xm_y0P+(xm_nP-1)/2*xm_sP),2*('XA MU'!$D$30-(xm_y0P+(xm_nP-1)/2*xm_sP))/xm_sP,0)),0),0))))</f>
        <v>0</v>
      </c>
      <c r="L80" s="44">
        <f>IF(C80=0,0,IF(4&gt;nLan,0,0.65*(IF('XA MU'!$B$25&lt;=4,'XA MU'!$E$25*$C$8*(MAX(0,1-ABS('XA MU'!$C$25-$D80)/xm_sP)+MAX(0,1-ABS('XA MU'!$D$25-$D80)/xm_sP)),0)+IF(ABS($D80-(xm_y0P+(xm_nP-1)/2*xm_sP))&lt;0.000001,IF('XA MU'!$B$25&lt;=4,'XA MU'!$E$25*$C$8*(IF('XA MU'!$C$25&gt;(xm_y0P+(xm_nP-1)/2*xm_sP),2*('XA MU'!$C$25-(xm_y0P+(xm_nP-1)/2*xm_sP))/xm_sP,0)+IF('XA MU'!$D$25&gt;(xm_y0P+(xm_nP-1)/2*xm_sP),2*('XA MU'!$D$25-(xm_y0P+(xm_nP-1)/2*xm_sP))/xm_sP,0)),0),0)+IF('XA MU'!$B$26&lt;=4,'XA MU'!$E$26*$C$8*(MAX(0,1-ABS('XA MU'!$C$26-$D80)/xm_sP)+MAX(0,1-ABS('XA MU'!$D$26-$D80)/xm_sP)),0)+IF(ABS($D80-(xm_y0P+(xm_nP-1)/2*xm_sP))&lt;0.000001,IF('XA MU'!$B$26&lt;=4,'XA MU'!$E$26*$C$8*(IF('XA MU'!$C$26&gt;(xm_y0P+(xm_nP-1)/2*xm_sP),2*('XA MU'!$C$26-(xm_y0P+(xm_nP-1)/2*xm_sP))/xm_sP,0)+IF('XA MU'!$D$26&gt;(xm_y0P+(xm_nP-1)/2*xm_sP),2*('XA MU'!$D$26-(xm_y0P+(xm_nP-1)/2*xm_sP))/xm_sP,0)),0),0)+IF('XA MU'!$B$27&lt;=4,'XA MU'!$E$27*$C$8*(MAX(0,1-ABS('XA MU'!$C$27-$D80)/xm_sP)+MAX(0,1-ABS('XA MU'!$D$27-$D80)/xm_sP)),0)+IF(ABS($D80-(xm_y0P+(xm_nP-1)/2*xm_sP))&lt;0.000001,IF('XA MU'!$B$27&lt;=4,'XA MU'!$E$27*$C$8*(IF('XA MU'!$C$27&gt;(xm_y0P+(xm_nP-1)/2*xm_sP),2*('XA MU'!$C$27-(xm_y0P+(xm_nP-1)/2*xm_sP))/xm_sP,0)+IF('XA MU'!$D$27&gt;(xm_y0P+(xm_nP-1)/2*xm_sP),2*('XA MU'!$D$27-(xm_y0P+(xm_nP-1)/2*xm_sP))/xm_sP,0)),0),0)+IF('XA MU'!$B$28&lt;=4,'XA MU'!$E$28*$C$8*(MAX(0,1-ABS('XA MU'!$C$28-$D80)/xm_sP)+MAX(0,1-ABS('XA MU'!$D$28-$D80)/xm_sP)),0)+IF(ABS($D80-(xm_y0P+(xm_nP-1)/2*xm_sP))&lt;0.000001,IF('XA MU'!$B$28&lt;=4,'XA MU'!$E$28*$C$8*(IF('XA MU'!$C$28&gt;(xm_y0P+(xm_nP-1)/2*xm_sP),2*('XA MU'!$C$28-(xm_y0P+(xm_nP-1)/2*xm_sP))/xm_sP,0)+IF('XA MU'!$D$28&gt;(xm_y0P+(xm_nP-1)/2*xm_sP),2*('XA MU'!$D$28-(xm_y0P+(xm_nP-1)/2*xm_sP))/xm_sP,0)),0),0)+IF('XA MU'!$B$29&lt;=4,'XA MU'!$E$29*$C$8*(MAX(0,1-ABS('XA MU'!$C$29-$D80)/xm_sP)+MAX(0,1-ABS('XA MU'!$D$29-$D80)/xm_sP)),0)+IF(ABS($D80-(xm_y0P+(xm_nP-1)/2*xm_sP))&lt;0.000001,IF('XA MU'!$B$29&lt;=4,'XA MU'!$E$29*$C$8*(IF('XA MU'!$C$29&gt;(xm_y0P+(xm_nP-1)/2*xm_sP),2*('XA MU'!$C$29-(xm_y0P+(xm_nP-1)/2*xm_sP))/xm_sP,0)+IF('XA MU'!$D$29&gt;(xm_y0P+(xm_nP-1)/2*xm_sP),2*('XA MU'!$D$29-(xm_y0P+(xm_nP-1)/2*xm_sP))/xm_sP,0)),0),0)+IF('XA MU'!$B$30&lt;=4,'XA MU'!$E$30*$C$8*(MAX(0,1-ABS('XA MU'!$C$30-$D80)/xm_sP)+MAX(0,1-ABS('XA MU'!$D$30-$D80)/xm_sP)),0)+IF(ABS($D80-(xm_y0P+(xm_nP-1)/2*xm_sP))&lt;0.000001,IF('XA MU'!$B$30&lt;=4,'XA MU'!$E$30*$C$8*(IF('XA MU'!$C$30&gt;(xm_y0P+(xm_nP-1)/2*xm_sP),2*('XA MU'!$C$30-(xm_y0P+(xm_nP-1)/2*xm_sP))/xm_sP,0)+IF('XA MU'!$D$30&gt;(xm_y0P+(xm_nP-1)/2*xm_sP),2*('XA MU'!$D$30-(xm_y0P+(xm_nP-1)/2*xm_sP))/xm_sP,0)),0),0))))</f>
        <v>0</v>
      </c>
      <c r="M80" s="44">
        <f>IF(C80=0,0,IF(5&gt;nLan,0,0.65*(IF('XA MU'!$B$25&lt;=5,'XA MU'!$E$25*$C$8*(MAX(0,1-ABS('XA MU'!$C$25-$D80)/xm_sP)+MAX(0,1-ABS('XA MU'!$D$25-$D80)/xm_sP)),0)+IF(ABS($D80-(xm_y0P+(xm_nP-1)/2*xm_sP))&lt;0.000001,IF('XA MU'!$B$25&lt;=5,'XA MU'!$E$25*$C$8*(IF('XA MU'!$C$25&gt;(xm_y0P+(xm_nP-1)/2*xm_sP),2*('XA MU'!$C$25-(xm_y0P+(xm_nP-1)/2*xm_sP))/xm_sP,0)+IF('XA MU'!$D$25&gt;(xm_y0P+(xm_nP-1)/2*xm_sP),2*('XA MU'!$D$25-(xm_y0P+(xm_nP-1)/2*xm_sP))/xm_sP,0)),0),0)+IF('XA MU'!$B$26&lt;=5,'XA MU'!$E$26*$C$8*(MAX(0,1-ABS('XA MU'!$C$26-$D80)/xm_sP)+MAX(0,1-ABS('XA MU'!$D$26-$D80)/xm_sP)),0)+IF(ABS($D80-(xm_y0P+(xm_nP-1)/2*xm_sP))&lt;0.000001,IF('XA MU'!$B$26&lt;=5,'XA MU'!$E$26*$C$8*(IF('XA MU'!$C$26&gt;(xm_y0P+(xm_nP-1)/2*xm_sP),2*('XA MU'!$C$26-(xm_y0P+(xm_nP-1)/2*xm_sP))/xm_sP,0)+IF('XA MU'!$D$26&gt;(xm_y0P+(xm_nP-1)/2*xm_sP),2*('XA MU'!$D$26-(xm_y0P+(xm_nP-1)/2*xm_sP))/xm_sP,0)),0),0)+IF('XA MU'!$B$27&lt;=5,'XA MU'!$E$27*$C$8*(MAX(0,1-ABS('XA MU'!$C$27-$D80)/xm_sP)+MAX(0,1-ABS('XA MU'!$D$27-$D80)/xm_sP)),0)+IF(ABS($D80-(xm_y0P+(xm_nP-1)/2*xm_sP))&lt;0.000001,IF('XA MU'!$B$27&lt;=5,'XA MU'!$E$27*$C$8*(IF('XA MU'!$C$27&gt;(xm_y0P+(xm_nP-1)/2*xm_sP),2*('XA MU'!$C$27-(xm_y0P+(xm_nP-1)/2*xm_sP))/xm_sP,0)+IF('XA MU'!$D$27&gt;(xm_y0P+(xm_nP-1)/2*xm_sP),2*('XA MU'!$D$27-(xm_y0P+(xm_nP-1)/2*xm_sP))/xm_sP,0)),0),0)+IF('XA MU'!$B$28&lt;=5,'XA MU'!$E$28*$C$8*(MAX(0,1-ABS('XA MU'!$C$28-$D80)/xm_sP)+MAX(0,1-ABS('XA MU'!$D$28-$D80)/xm_sP)),0)+IF(ABS($D80-(xm_y0P+(xm_nP-1)/2*xm_sP))&lt;0.000001,IF('XA MU'!$B$28&lt;=5,'XA MU'!$E$28*$C$8*(IF('XA MU'!$C$28&gt;(xm_y0P+(xm_nP-1)/2*xm_sP),2*('XA MU'!$C$28-(xm_y0P+(xm_nP-1)/2*xm_sP))/xm_sP,0)+IF('XA MU'!$D$28&gt;(xm_y0P+(xm_nP-1)/2*xm_sP),2*('XA MU'!$D$28-(xm_y0P+(xm_nP-1)/2*xm_sP))/xm_sP,0)),0),0)+IF('XA MU'!$B$29&lt;=5,'XA MU'!$E$29*$C$8*(MAX(0,1-ABS('XA MU'!$C$29-$D80)/xm_sP)+MAX(0,1-ABS('XA MU'!$D$29-$D80)/xm_sP)),0)+IF(ABS($D80-(xm_y0P+(xm_nP-1)/2*xm_sP))&lt;0.000001,IF('XA MU'!$B$29&lt;=5,'XA MU'!$E$29*$C$8*(IF('XA MU'!$C$29&gt;(xm_y0P+(xm_nP-1)/2*xm_sP),2*('XA MU'!$C$29-(xm_y0P+(xm_nP-1)/2*xm_sP))/xm_sP,0)+IF('XA MU'!$D$29&gt;(xm_y0P+(xm_nP-1)/2*xm_sP),2*('XA MU'!$D$29-(xm_y0P+(xm_nP-1)/2*xm_sP))/xm_sP,0)),0),0)+IF('XA MU'!$B$30&lt;=5,'XA MU'!$E$30*$C$8*(MAX(0,1-ABS('XA MU'!$C$30-$D80)/xm_sP)+MAX(0,1-ABS('XA MU'!$D$30-$D80)/xm_sP)),0)+IF(ABS($D80-(xm_y0P+(xm_nP-1)/2*xm_sP))&lt;0.000001,IF('XA MU'!$B$30&lt;=5,'XA MU'!$E$30*$C$8*(IF('XA MU'!$C$30&gt;(xm_y0P+(xm_nP-1)/2*xm_sP),2*('XA MU'!$C$30-(xm_y0P+(xm_nP-1)/2*xm_sP))/xm_sP,0)+IF('XA MU'!$D$30&gt;(xm_y0P+(xm_nP-1)/2*xm_sP),2*('XA MU'!$D$30-(xm_y0P+(xm_nP-1)/2*xm_sP))/xm_sP,0)),0),0))))</f>
        <v>0</v>
      </c>
      <c r="N80" s="44">
        <f>IF(C80=0,0,IF(6&gt;nLan,0,0.65*(IF('XA MU'!$B$25&lt;=6,'XA MU'!$E$25*$C$8*(MAX(0,1-ABS('XA MU'!$C$25-$D80)/xm_sP)+MAX(0,1-ABS('XA MU'!$D$25-$D80)/xm_sP)),0)+IF(ABS($D80-(xm_y0P+(xm_nP-1)/2*xm_sP))&lt;0.000001,IF('XA MU'!$B$25&lt;=6,'XA MU'!$E$25*$C$8*(IF('XA MU'!$C$25&gt;(xm_y0P+(xm_nP-1)/2*xm_sP),2*('XA MU'!$C$25-(xm_y0P+(xm_nP-1)/2*xm_sP))/xm_sP,0)+IF('XA MU'!$D$25&gt;(xm_y0P+(xm_nP-1)/2*xm_sP),2*('XA MU'!$D$25-(xm_y0P+(xm_nP-1)/2*xm_sP))/xm_sP,0)),0),0)+IF('XA MU'!$B$26&lt;=6,'XA MU'!$E$26*$C$8*(MAX(0,1-ABS('XA MU'!$C$26-$D80)/xm_sP)+MAX(0,1-ABS('XA MU'!$D$26-$D80)/xm_sP)),0)+IF(ABS($D80-(xm_y0P+(xm_nP-1)/2*xm_sP))&lt;0.000001,IF('XA MU'!$B$26&lt;=6,'XA MU'!$E$26*$C$8*(IF('XA MU'!$C$26&gt;(xm_y0P+(xm_nP-1)/2*xm_sP),2*('XA MU'!$C$26-(xm_y0P+(xm_nP-1)/2*xm_sP))/xm_sP,0)+IF('XA MU'!$D$26&gt;(xm_y0P+(xm_nP-1)/2*xm_sP),2*('XA MU'!$D$26-(xm_y0P+(xm_nP-1)/2*xm_sP))/xm_sP,0)),0),0)+IF('XA MU'!$B$27&lt;=6,'XA MU'!$E$27*$C$8*(MAX(0,1-ABS('XA MU'!$C$27-$D80)/xm_sP)+MAX(0,1-ABS('XA MU'!$D$27-$D80)/xm_sP)),0)+IF(ABS($D80-(xm_y0P+(xm_nP-1)/2*xm_sP))&lt;0.000001,IF('XA MU'!$B$27&lt;=6,'XA MU'!$E$27*$C$8*(IF('XA MU'!$C$27&gt;(xm_y0P+(xm_nP-1)/2*xm_sP),2*('XA MU'!$C$27-(xm_y0P+(xm_nP-1)/2*xm_sP))/xm_sP,0)+IF('XA MU'!$D$27&gt;(xm_y0P+(xm_nP-1)/2*xm_sP),2*('XA MU'!$D$27-(xm_y0P+(xm_nP-1)/2*xm_sP))/xm_sP,0)),0),0)+IF('XA MU'!$B$28&lt;=6,'XA MU'!$E$28*$C$8*(MAX(0,1-ABS('XA MU'!$C$28-$D80)/xm_sP)+MAX(0,1-ABS('XA MU'!$D$28-$D80)/xm_sP)),0)+IF(ABS($D80-(xm_y0P+(xm_nP-1)/2*xm_sP))&lt;0.000001,IF('XA MU'!$B$28&lt;=6,'XA MU'!$E$28*$C$8*(IF('XA MU'!$C$28&gt;(xm_y0P+(xm_nP-1)/2*xm_sP),2*('XA MU'!$C$28-(xm_y0P+(xm_nP-1)/2*xm_sP))/xm_sP,0)+IF('XA MU'!$D$28&gt;(xm_y0P+(xm_nP-1)/2*xm_sP),2*('XA MU'!$D$28-(xm_y0P+(xm_nP-1)/2*xm_sP))/xm_sP,0)),0),0)+IF('XA MU'!$B$29&lt;=6,'XA MU'!$E$29*$C$8*(MAX(0,1-ABS('XA MU'!$C$29-$D80)/xm_sP)+MAX(0,1-ABS('XA MU'!$D$29-$D80)/xm_sP)),0)+IF(ABS($D80-(xm_y0P+(xm_nP-1)/2*xm_sP))&lt;0.000001,IF('XA MU'!$B$29&lt;=6,'XA MU'!$E$29*$C$8*(IF('XA MU'!$C$29&gt;(xm_y0P+(xm_nP-1)/2*xm_sP),2*('XA MU'!$C$29-(xm_y0P+(xm_nP-1)/2*xm_sP))/xm_sP,0)+IF('XA MU'!$D$29&gt;(xm_y0P+(xm_nP-1)/2*xm_sP),2*('XA MU'!$D$29-(xm_y0P+(xm_nP-1)/2*xm_sP))/xm_sP,0)),0),0)+IF('XA MU'!$B$30&lt;=6,'XA MU'!$E$30*$C$8*(MAX(0,1-ABS('XA MU'!$C$30-$D80)/xm_sP)+MAX(0,1-ABS('XA MU'!$D$30-$D80)/xm_sP)),0)+IF(ABS($D80-(xm_y0P+(xm_nP-1)/2*xm_sP))&lt;0.000001,IF('XA MU'!$B$30&lt;=6,'XA MU'!$E$30*$C$8*(IF('XA MU'!$C$30&gt;(xm_y0P+(xm_nP-1)/2*xm_sP),2*('XA MU'!$C$30-(xm_y0P+(xm_nP-1)/2*xm_sP))/xm_sP,0)+IF('XA MU'!$D$30&gt;(xm_y0P+(xm_nP-1)/2*xm_sP),2*('XA MU'!$D$30-(xm_y0P+(xm_nP-1)/2*xm_sP))/xm_sP,0)),0),0))))</f>
        <v>0</v>
      </c>
    </row>
    <row r="81" spans="1:14" x14ac:dyDescent="0.3">
      <c r="A81" s="42" t="s">
        <v>1236</v>
      </c>
      <c r="B81" s="42">
        <v>27</v>
      </c>
      <c r="C81" s="40">
        <f t="shared" si="4"/>
        <v>0</v>
      </c>
      <c r="D81" s="44">
        <f t="shared" si="5"/>
        <v>0</v>
      </c>
      <c r="E81" s="44">
        <f>MAX(0,D81-'XA MU'!$C$8)*C81</f>
        <v>0</v>
      </c>
      <c r="F81" s="44">
        <f>IF(AND(C81=1,D81&gt;'XA MU'!$C$8),1,0)</f>
        <v>0</v>
      </c>
      <c r="G81" s="44">
        <f t="shared" si="6"/>
        <v>0</v>
      </c>
      <c r="H81" s="44">
        <f t="shared" si="7"/>
        <v>0</v>
      </c>
      <c r="I81" s="44">
        <f>IF(C81=0,0,IF(1&gt;nLan,0,1.2*(IF('XA MU'!$B$25&lt;=1,'XA MU'!$E$25*$C$8*(MAX(0,1-ABS('XA MU'!$C$25-$D81)/xm_sP)+MAX(0,1-ABS('XA MU'!$D$25-$D81)/xm_sP)),0)+IF(ABS($D81-(xm_y0P+(xm_nP-1)/2*xm_sP))&lt;0.000001,IF('XA MU'!$B$25&lt;=1,'XA MU'!$E$25*$C$8*(IF('XA MU'!$C$25&gt;(xm_y0P+(xm_nP-1)/2*xm_sP),2*('XA MU'!$C$25-(xm_y0P+(xm_nP-1)/2*xm_sP))/xm_sP,0)+IF('XA MU'!$D$25&gt;(xm_y0P+(xm_nP-1)/2*xm_sP),2*('XA MU'!$D$25-(xm_y0P+(xm_nP-1)/2*xm_sP))/xm_sP,0)),0),0)+IF('XA MU'!$B$26&lt;=1,'XA MU'!$E$26*$C$8*(MAX(0,1-ABS('XA MU'!$C$26-$D81)/xm_sP)+MAX(0,1-ABS('XA MU'!$D$26-$D81)/xm_sP)),0)+IF(ABS($D81-(xm_y0P+(xm_nP-1)/2*xm_sP))&lt;0.000001,IF('XA MU'!$B$26&lt;=1,'XA MU'!$E$26*$C$8*(IF('XA MU'!$C$26&gt;(xm_y0P+(xm_nP-1)/2*xm_sP),2*('XA MU'!$C$26-(xm_y0P+(xm_nP-1)/2*xm_sP))/xm_sP,0)+IF('XA MU'!$D$26&gt;(xm_y0P+(xm_nP-1)/2*xm_sP),2*('XA MU'!$D$26-(xm_y0P+(xm_nP-1)/2*xm_sP))/xm_sP,0)),0),0)+IF('XA MU'!$B$27&lt;=1,'XA MU'!$E$27*$C$8*(MAX(0,1-ABS('XA MU'!$C$27-$D81)/xm_sP)+MAX(0,1-ABS('XA MU'!$D$27-$D81)/xm_sP)),0)+IF(ABS($D81-(xm_y0P+(xm_nP-1)/2*xm_sP))&lt;0.000001,IF('XA MU'!$B$27&lt;=1,'XA MU'!$E$27*$C$8*(IF('XA MU'!$C$27&gt;(xm_y0P+(xm_nP-1)/2*xm_sP),2*('XA MU'!$C$27-(xm_y0P+(xm_nP-1)/2*xm_sP))/xm_sP,0)+IF('XA MU'!$D$27&gt;(xm_y0P+(xm_nP-1)/2*xm_sP),2*('XA MU'!$D$27-(xm_y0P+(xm_nP-1)/2*xm_sP))/xm_sP,0)),0),0)+IF('XA MU'!$B$28&lt;=1,'XA MU'!$E$28*$C$8*(MAX(0,1-ABS('XA MU'!$C$28-$D81)/xm_sP)+MAX(0,1-ABS('XA MU'!$D$28-$D81)/xm_sP)),0)+IF(ABS($D81-(xm_y0P+(xm_nP-1)/2*xm_sP))&lt;0.000001,IF('XA MU'!$B$28&lt;=1,'XA MU'!$E$28*$C$8*(IF('XA MU'!$C$28&gt;(xm_y0P+(xm_nP-1)/2*xm_sP),2*('XA MU'!$C$28-(xm_y0P+(xm_nP-1)/2*xm_sP))/xm_sP,0)+IF('XA MU'!$D$28&gt;(xm_y0P+(xm_nP-1)/2*xm_sP),2*('XA MU'!$D$28-(xm_y0P+(xm_nP-1)/2*xm_sP))/xm_sP,0)),0),0)+IF('XA MU'!$B$29&lt;=1,'XA MU'!$E$29*$C$8*(MAX(0,1-ABS('XA MU'!$C$29-$D81)/xm_sP)+MAX(0,1-ABS('XA MU'!$D$29-$D81)/xm_sP)),0)+IF(ABS($D81-(xm_y0P+(xm_nP-1)/2*xm_sP))&lt;0.000001,IF('XA MU'!$B$29&lt;=1,'XA MU'!$E$29*$C$8*(IF('XA MU'!$C$29&gt;(xm_y0P+(xm_nP-1)/2*xm_sP),2*('XA MU'!$C$29-(xm_y0P+(xm_nP-1)/2*xm_sP))/xm_sP,0)+IF('XA MU'!$D$29&gt;(xm_y0P+(xm_nP-1)/2*xm_sP),2*('XA MU'!$D$29-(xm_y0P+(xm_nP-1)/2*xm_sP))/xm_sP,0)),0),0)+IF('XA MU'!$B$30&lt;=1,'XA MU'!$E$30*$C$8*(MAX(0,1-ABS('XA MU'!$C$30-$D81)/xm_sP)+MAX(0,1-ABS('XA MU'!$D$30-$D81)/xm_sP)),0)+IF(ABS($D81-(xm_y0P+(xm_nP-1)/2*xm_sP))&lt;0.000001,IF('XA MU'!$B$30&lt;=1,'XA MU'!$E$30*$C$8*(IF('XA MU'!$C$30&gt;(xm_y0P+(xm_nP-1)/2*xm_sP),2*('XA MU'!$C$30-(xm_y0P+(xm_nP-1)/2*xm_sP))/xm_sP,0)+IF('XA MU'!$D$30&gt;(xm_y0P+(xm_nP-1)/2*xm_sP),2*('XA MU'!$D$30-(xm_y0P+(xm_nP-1)/2*xm_sP))/xm_sP,0)),0),0))))</f>
        <v>0</v>
      </c>
      <c r="J81" s="44">
        <f>IF(C81=0,0,IF(2&gt;nLan,0,1*(IF('XA MU'!$B$25&lt;=2,'XA MU'!$E$25*$C$8*(MAX(0,1-ABS('XA MU'!$C$25-$D81)/xm_sP)+MAX(0,1-ABS('XA MU'!$D$25-$D81)/xm_sP)),0)+IF(ABS($D81-(xm_y0P+(xm_nP-1)/2*xm_sP))&lt;0.000001,IF('XA MU'!$B$25&lt;=2,'XA MU'!$E$25*$C$8*(IF('XA MU'!$C$25&gt;(xm_y0P+(xm_nP-1)/2*xm_sP),2*('XA MU'!$C$25-(xm_y0P+(xm_nP-1)/2*xm_sP))/xm_sP,0)+IF('XA MU'!$D$25&gt;(xm_y0P+(xm_nP-1)/2*xm_sP),2*('XA MU'!$D$25-(xm_y0P+(xm_nP-1)/2*xm_sP))/xm_sP,0)),0),0)+IF('XA MU'!$B$26&lt;=2,'XA MU'!$E$26*$C$8*(MAX(0,1-ABS('XA MU'!$C$26-$D81)/xm_sP)+MAX(0,1-ABS('XA MU'!$D$26-$D81)/xm_sP)),0)+IF(ABS($D81-(xm_y0P+(xm_nP-1)/2*xm_sP))&lt;0.000001,IF('XA MU'!$B$26&lt;=2,'XA MU'!$E$26*$C$8*(IF('XA MU'!$C$26&gt;(xm_y0P+(xm_nP-1)/2*xm_sP),2*('XA MU'!$C$26-(xm_y0P+(xm_nP-1)/2*xm_sP))/xm_sP,0)+IF('XA MU'!$D$26&gt;(xm_y0P+(xm_nP-1)/2*xm_sP),2*('XA MU'!$D$26-(xm_y0P+(xm_nP-1)/2*xm_sP))/xm_sP,0)),0),0)+IF('XA MU'!$B$27&lt;=2,'XA MU'!$E$27*$C$8*(MAX(0,1-ABS('XA MU'!$C$27-$D81)/xm_sP)+MAX(0,1-ABS('XA MU'!$D$27-$D81)/xm_sP)),0)+IF(ABS($D81-(xm_y0P+(xm_nP-1)/2*xm_sP))&lt;0.000001,IF('XA MU'!$B$27&lt;=2,'XA MU'!$E$27*$C$8*(IF('XA MU'!$C$27&gt;(xm_y0P+(xm_nP-1)/2*xm_sP),2*('XA MU'!$C$27-(xm_y0P+(xm_nP-1)/2*xm_sP))/xm_sP,0)+IF('XA MU'!$D$27&gt;(xm_y0P+(xm_nP-1)/2*xm_sP),2*('XA MU'!$D$27-(xm_y0P+(xm_nP-1)/2*xm_sP))/xm_sP,0)),0),0)+IF('XA MU'!$B$28&lt;=2,'XA MU'!$E$28*$C$8*(MAX(0,1-ABS('XA MU'!$C$28-$D81)/xm_sP)+MAX(0,1-ABS('XA MU'!$D$28-$D81)/xm_sP)),0)+IF(ABS($D81-(xm_y0P+(xm_nP-1)/2*xm_sP))&lt;0.000001,IF('XA MU'!$B$28&lt;=2,'XA MU'!$E$28*$C$8*(IF('XA MU'!$C$28&gt;(xm_y0P+(xm_nP-1)/2*xm_sP),2*('XA MU'!$C$28-(xm_y0P+(xm_nP-1)/2*xm_sP))/xm_sP,0)+IF('XA MU'!$D$28&gt;(xm_y0P+(xm_nP-1)/2*xm_sP),2*('XA MU'!$D$28-(xm_y0P+(xm_nP-1)/2*xm_sP))/xm_sP,0)),0),0)+IF('XA MU'!$B$29&lt;=2,'XA MU'!$E$29*$C$8*(MAX(0,1-ABS('XA MU'!$C$29-$D81)/xm_sP)+MAX(0,1-ABS('XA MU'!$D$29-$D81)/xm_sP)),0)+IF(ABS($D81-(xm_y0P+(xm_nP-1)/2*xm_sP))&lt;0.000001,IF('XA MU'!$B$29&lt;=2,'XA MU'!$E$29*$C$8*(IF('XA MU'!$C$29&gt;(xm_y0P+(xm_nP-1)/2*xm_sP),2*('XA MU'!$C$29-(xm_y0P+(xm_nP-1)/2*xm_sP))/xm_sP,0)+IF('XA MU'!$D$29&gt;(xm_y0P+(xm_nP-1)/2*xm_sP),2*('XA MU'!$D$29-(xm_y0P+(xm_nP-1)/2*xm_sP))/xm_sP,0)),0),0)+IF('XA MU'!$B$30&lt;=2,'XA MU'!$E$30*$C$8*(MAX(0,1-ABS('XA MU'!$C$30-$D81)/xm_sP)+MAX(0,1-ABS('XA MU'!$D$30-$D81)/xm_sP)),0)+IF(ABS($D81-(xm_y0P+(xm_nP-1)/2*xm_sP))&lt;0.000001,IF('XA MU'!$B$30&lt;=2,'XA MU'!$E$30*$C$8*(IF('XA MU'!$C$30&gt;(xm_y0P+(xm_nP-1)/2*xm_sP),2*('XA MU'!$C$30-(xm_y0P+(xm_nP-1)/2*xm_sP))/xm_sP,0)+IF('XA MU'!$D$30&gt;(xm_y0P+(xm_nP-1)/2*xm_sP),2*('XA MU'!$D$30-(xm_y0P+(xm_nP-1)/2*xm_sP))/xm_sP,0)),0),0))))</f>
        <v>0</v>
      </c>
      <c r="K81" s="44">
        <f>IF(C81=0,0,IF(3&gt;nLan,0,0.85*(IF('XA MU'!$B$25&lt;=3,'XA MU'!$E$25*$C$8*(MAX(0,1-ABS('XA MU'!$C$25-$D81)/xm_sP)+MAX(0,1-ABS('XA MU'!$D$25-$D81)/xm_sP)),0)+IF(ABS($D81-(xm_y0P+(xm_nP-1)/2*xm_sP))&lt;0.000001,IF('XA MU'!$B$25&lt;=3,'XA MU'!$E$25*$C$8*(IF('XA MU'!$C$25&gt;(xm_y0P+(xm_nP-1)/2*xm_sP),2*('XA MU'!$C$25-(xm_y0P+(xm_nP-1)/2*xm_sP))/xm_sP,0)+IF('XA MU'!$D$25&gt;(xm_y0P+(xm_nP-1)/2*xm_sP),2*('XA MU'!$D$25-(xm_y0P+(xm_nP-1)/2*xm_sP))/xm_sP,0)),0),0)+IF('XA MU'!$B$26&lt;=3,'XA MU'!$E$26*$C$8*(MAX(0,1-ABS('XA MU'!$C$26-$D81)/xm_sP)+MAX(0,1-ABS('XA MU'!$D$26-$D81)/xm_sP)),0)+IF(ABS($D81-(xm_y0P+(xm_nP-1)/2*xm_sP))&lt;0.000001,IF('XA MU'!$B$26&lt;=3,'XA MU'!$E$26*$C$8*(IF('XA MU'!$C$26&gt;(xm_y0P+(xm_nP-1)/2*xm_sP),2*('XA MU'!$C$26-(xm_y0P+(xm_nP-1)/2*xm_sP))/xm_sP,0)+IF('XA MU'!$D$26&gt;(xm_y0P+(xm_nP-1)/2*xm_sP),2*('XA MU'!$D$26-(xm_y0P+(xm_nP-1)/2*xm_sP))/xm_sP,0)),0),0)+IF('XA MU'!$B$27&lt;=3,'XA MU'!$E$27*$C$8*(MAX(0,1-ABS('XA MU'!$C$27-$D81)/xm_sP)+MAX(0,1-ABS('XA MU'!$D$27-$D81)/xm_sP)),0)+IF(ABS($D81-(xm_y0P+(xm_nP-1)/2*xm_sP))&lt;0.000001,IF('XA MU'!$B$27&lt;=3,'XA MU'!$E$27*$C$8*(IF('XA MU'!$C$27&gt;(xm_y0P+(xm_nP-1)/2*xm_sP),2*('XA MU'!$C$27-(xm_y0P+(xm_nP-1)/2*xm_sP))/xm_sP,0)+IF('XA MU'!$D$27&gt;(xm_y0P+(xm_nP-1)/2*xm_sP),2*('XA MU'!$D$27-(xm_y0P+(xm_nP-1)/2*xm_sP))/xm_sP,0)),0),0)+IF('XA MU'!$B$28&lt;=3,'XA MU'!$E$28*$C$8*(MAX(0,1-ABS('XA MU'!$C$28-$D81)/xm_sP)+MAX(0,1-ABS('XA MU'!$D$28-$D81)/xm_sP)),0)+IF(ABS($D81-(xm_y0P+(xm_nP-1)/2*xm_sP))&lt;0.000001,IF('XA MU'!$B$28&lt;=3,'XA MU'!$E$28*$C$8*(IF('XA MU'!$C$28&gt;(xm_y0P+(xm_nP-1)/2*xm_sP),2*('XA MU'!$C$28-(xm_y0P+(xm_nP-1)/2*xm_sP))/xm_sP,0)+IF('XA MU'!$D$28&gt;(xm_y0P+(xm_nP-1)/2*xm_sP),2*('XA MU'!$D$28-(xm_y0P+(xm_nP-1)/2*xm_sP))/xm_sP,0)),0),0)+IF('XA MU'!$B$29&lt;=3,'XA MU'!$E$29*$C$8*(MAX(0,1-ABS('XA MU'!$C$29-$D81)/xm_sP)+MAX(0,1-ABS('XA MU'!$D$29-$D81)/xm_sP)),0)+IF(ABS($D81-(xm_y0P+(xm_nP-1)/2*xm_sP))&lt;0.000001,IF('XA MU'!$B$29&lt;=3,'XA MU'!$E$29*$C$8*(IF('XA MU'!$C$29&gt;(xm_y0P+(xm_nP-1)/2*xm_sP),2*('XA MU'!$C$29-(xm_y0P+(xm_nP-1)/2*xm_sP))/xm_sP,0)+IF('XA MU'!$D$29&gt;(xm_y0P+(xm_nP-1)/2*xm_sP),2*('XA MU'!$D$29-(xm_y0P+(xm_nP-1)/2*xm_sP))/xm_sP,0)),0),0)+IF('XA MU'!$B$30&lt;=3,'XA MU'!$E$30*$C$8*(MAX(0,1-ABS('XA MU'!$C$30-$D81)/xm_sP)+MAX(0,1-ABS('XA MU'!$D$30-$D81)/xm_sP)),0)+IF(ABS($D81-(xm_y0P+(xm_nP-1)/2*xm_sP))&lt;0.000001,IF('XA MU'!$B$30&lt;=3,'XA MU'!$E$30*$C$8*(IF('XA MU'!$C$30&gt;(xm_y0P+(xm_nP-1)/2*xm_sP),2*('XA MU'!$C$30-(xm_y0P+(xm_nP-1)/2*xm_sP))/xm_sP,0)+IF('XA MU'!$D$30&gt;(xm_y0P+(xm_nP-1)/2*xm_sP),2*('XA MU'!$D$30-(xm_y0P+(xm_nP-1)/2*xm_sP))/xm_sP,0)),0),0))))</f>
        <v>0</v>
      </c>
      <c r="L81" s="44">
        <f>IF(C81=0,0,IF(4&gt;nLan,0,0.65*(IF('XA MU'!$B$25&lt;=4,'XA MU'!$E$25*$C$8*(MAX(0,1-ABS('XA MU'!$C$25-$D81)/xm_sP)+MAX(0,1-ABS('XA MU'!$D$25-$D81)/xm_sP)),0)+IF(ABS($D81-(xm_y0P+(xm_nP-1)/2*xm_sP))&lt;0.000001,IF('XA MU'!$B$25&lt;=4,'XA MU'!$E$25*$C$8*(IF('XA MU'!$C$25&gt;(xm_y0P+(xm_nP-1)/2*xm_sP),2*('XA MU'!$C$25-(xm_y0P+(xm_nP-1)/2*xm_sP))/xm_sP,0)+IF('XA MU'!$D$25&gt;(xm_y0P+(xm_nP-1)/2*xm_sP),2*('XA MU'!$D$25-(xm_y0P+(xm_nP-1)/2*xm_sP))/xm_sP,0)),0),0)+IF('XA MU'!$B$26&lt;=4,'XA MU'!$E$26*$C$8*(MAX(0,1-ABS('XA MU'!$C$26-$D81)/xm_sP)+MAX(0,1-ABS('XA MU'!$D$26-$D81)/xm_sP)),0)+IF(ABS($D81-(xm_y0P+(xm_nP-1)/2*xm_sP))&lt;0.000001,IF('XA MU'!$B$26&lt;=4,'XA MU'!$E$26*$C$8*(IF('XA MU'!$C$26&gt;(xm_y0P+(xm_nP-1)/2*xm_sP),2*('XA MU'!$C$26-(xm_y0P+(xm_nP-1)/2*xm_sP))/xm_sP,0)+IF('XA MU'!$D$26&gt;(xm_y0P+(xm_nP-1)/2*xm_sP),2*('XA MU'!$D$26-(xm_y0P+(xm_nP-1)/2*xm_sP))/xm_sP,0)),0),0)+IF('XA MU'!$B$27&lt;=4,'XA MU'!$E$27*$C$8*(MAX(0,1-ABS('XA MU'!$C$27-$D81)/xm_sP)+MAX(0,1-ABS('XA MU'!$D$27-$D81)/xm_sP)),0)+IF(ABS($D81-(xm_y0P+(xm_nP-1)/2*xm_sP))&lt;0.000001,IF('XA MU'!$B$27&lt;=4,'XA MU'!$E$27*$C$8*(IF('XA MU'!$C$27&gt;(xm_y0P+(xm_nP-1)/2*xm_sP),2*('XA MU'!$C$27-(xm_y0P+(xm_nP-1)/2*xm_sP))/xm_sP,0)+IF('XA MU'!$D$27&gt;(xm_y0P+(xm_nP-1)/2*xm_sP),2*('XA MU'!$D$27-(xm_y0P+(xm_nP-1)/2*xm_sP))/xm_sP,0)),0),0)+IF('XA MU'!$B$28&lt;=4,'XA MU'!$E$28*$C$8*(MAX(0,1-ABS('XA MU'!$C$28-$D81)/xm_sP)+MAX(0,1-ABS('XA MU'!$D$28-$D81)/xm_sP)),0)+IF(ABS($D81-(xm_y0P+(xm_nP-1)/2*xm_sP))&lt;0.000001,IF('XA MU'!$B$28&lt;=4,'XA MU'!$E$28*$C$8*(IF('XA MU'!$C$28&gt;(xm_y0P+(xm_nP-1)/2*xm_sP),2*('XA MU'!$C$28-(xm_y0P+(xm_nP-1)/2*xm_sP))/xm_sP,0)+IF('XA MU'!$D$28&gt;(xm_y0P+(xm_nP-1)/2*xm_sP),2*('XA MU'!$D$28-(xm_y0P+(xm_nP-1)/2*xm_sP))/xm_sP,0)),0),0)+IF('XA MU'!$B$29&lt;=4,'XA MU'!$E$29*$C$8*(MAX(0,1-ABS('XA MU'!$C$29-$D81)/xm_sP)+MAX(0,1-ABS('XA MU'!$D$29-$D81)/xm_sP)),0)+IF(ABS($D81-(xm_y0P+(xm_nP-1)/2*xm_sP))&lt;0.000001,IF('XA MU'!$B$29&lt;=4,'XA MU'!$E$29*$C$8*(IF('XA MU'!$C$29&gt;(xm_y0P+(xm_nP-1)/2*xm_sP),2*('XA MU'!$C$29-(xm_y0P+(xm_nP-1)/2*xm_sP))/xm_sP,0)+IF('XA MU'!$D$29&gt;(xm_y0P+(xm_nP-1)/2*xm_sP),2*('XA MU'!$D$29-(xm_y0P+(xm_nP-1)/2*xm_sP))/xm_sP,0)),0),0)+IF('XA MU'!$B$30&lt;=4,'XA MU'!$E$30*$C$8*(MAX(0,1-ABS('XA MU'!$C$30-$D81)/xm_sP)+MAX(0,1-ABS('XA MU'!$D$30-$D81)/xm_sP)),0)+IF(ABS($D81-(xm_y0P+(xm_nP-1)/2*xm_sP))&lt;0.000001,IF('XA MU'!$B$30&lt;=4,'XA MU'!$E$30*$C$8*(IF('XA MU'!$C$30&gt;(xm_y0P+(xm_nP-1)/2*xm_sP),2*('XA MU'!$C$30-(xm_y0P+(xm_nP-1)/2*xm_sP))/xm_sP,0)+IF('XA MU'!$D$30&gt;(xm_y0P+(xm_nP-1)/2*xm_sP),2*('XA MU'!$D$30-(xm_y0P+(xm_nP-1)/2*xm_sP))/xm_sP,0)),0),0))))</f>
        <v>0</v>
      </c>
      <c r="M81" s="44">
        <f>IF(C81=0,0,IF(5&gt;nLan,0,0.65*(IF('XA MU'!$B$25&lt;=5,'XA MU'!$E$25*$C$8*(MAX(0,1-ABS('XA MU'!$C$25-$D81)/xm_sP)+MAX(0,1-ABS('XA MU'!$D$25-$D81)/xm_sP)),0)+IF(ABS($D81-(xm_y0P+(xm_nP-1)/2*xm_sP))&lt;0.000001,IF('XA MU'!$B$25&lt;=5,'XA MU'!$E$25*$C$8*(IF('XA MU'!$C$25&gt;(xm_y0P+(xm_nP-1)/2*xm_sP),2*('XA MU'!$C$25-(xm_y0P+(xm_nP-1)/2*xm_sP))/xm_sP,0)+IF('XA MU'!$D$25&gt;(xm_y0P+(xm_nP-1)/2*xm_sP),2*('XA MU'!$D$25-(xm_y0P+(xm_nP-1)/2*xm_sP))/xm_sP,0)),0),0)+IF('XA MU'!$B$26&lt;=5,'XA MU'!$E$26*$C$8*(MAX(0,1-ABS('XA MU'!$C$26-$D81)/xm_sP)+MAX(0,1-ABS('XA MU'!$D$26-$D81)/xm_sP)),0)+IF(ABS($D81-(xm_y0P+(xm_nP-1)/2*xm_sP))&lt;0.000001,IF('XA MU'!$B$26&lt;=5,'XA MU'!$E$26*$C$8*(IF('XA MU'!$C$26&gt;(xm_y0P+(xm_nP-1)/2*xm_sP),2*('XA MU'!$C$26-(xm_y0P+(xm_nP-1)/2*xm_sP))/xm_sP,0)+IF('XA MU'!$D$26&gt;(xm_y0P+(xm_nP-1)/2*xm_sP),2*('XA MU'!$D$26-(xm_y0P+(xm_nP-1)/2*xm_sP))/xm_sP,0)),0),0)+IF('XA MU'!$B$27&lt;=5,'XA MU'!$E$27*$C$8*(MAX(0,1-ABS('XA MU'!$C$27-$D81)/xm_sP)+MAX(0,1-ABS('XA MU'!$D$27-$D81)/xm_sP)),0)+IF(ABS($D81-(xm_y0P+(xm_nP-1)/2*xm_sP))&lt;0.000001,IF('XA MU'!$B$27&lt;=5,'XA MU'!$E$27*$C$8*(IF('XA MU'!$C$27&gt;(xm_y0P+(xm_nP-1)/2*xm_sP),2*('XA MU'!$C$27-(xm_y0P+(xm_nP-1)/2*xm_sP))/xm_sP,0)+IF('XA MU'!$D$27&gt;(xm_y0P+(xm_nP-1)/2*xm_sP),2*('XA MU'!$D$27-(xm_y0P+(xm_nP-1)/2*xm_sP))/xm_sP,0)),0),0)+IF('XA MU'!$B$28&lt;=5,'XA MU'!$E$28*$C$8*(MAX(0,1-ABS('XA MU'!$C$28-$D81)/xm_sP)+MAX(0,1-ABS('XA MU'!$D$28-$D81)/xm_sP)),0)+IF(ABS($D81-(xm_y0P+(xm_nP-1)/2*xm_sP))&lt;0.000001,IF('XA MU'!$B$28&lt;=5,'XA MU'!$E$28*$C$8*(IF('XA MU'!$C$28&gt;(xm_y0P+(xm_nP-1)/2*xm_sP),2*('XA MU'!$C$28-(xm_y0P+(xm_nP-1)/2*xm_sP))/xm_sP,0)+IF('XA MU'!$D$28&gt;(xm_y0P+(xm_nP-1)/2*xm_sP),2*('XA MU'!$D$28-(xm_y0P+(xm_nP-1)/2*xm_sP))/xm_sP,0)),0),0)+IF('XA MU'!$B$29&lt;=5,'XA MU'!$E$29*$C$8*(MAX(0,1-ABS('XA MU'!$C$29-$D81)/xm_sP)+MAX(0,1-ABS('XA MU'!$D$29-$D81)/xm_sP)),0)+IF(ABS($D81-(xm_y0P+(xm_nP-1)/2*xm_sP))&lt;0.000001,IF('XA MU'!$B$29&lt;=5,'XA MU'!$E$29*$C$8*(IF('XA MU'!$C$29&gt;(xm_y0P+(xm_nP-1)/2*xm_sP),2*('XA MU'!$C$29-(xm_y0P+(xm_nP-1)/2*xm_sP))/xm_sP,0)+IF('XA MU'!$D$29&gt;(xm_y0P+(xm_nP-1)/2*xm_sP),2*('XA MU'!$D$29-(xm_y0P+(xm_nP-1)/2*xm_sP))/xm_sP,0)),0),0)+IF('XA MU'!$B$30&lt;=5,'XA MU'!$E$30*$C$8*(MAX(0,1-ABS('XA MU'!$C$30-$D81)/xm_sP)+MAX(0,1-ABS('XA MU'!$D$30-$D81)/xm_sP)),0)+IF(ABS($D81-(xm_y0P+(xm_nP-1)/2*xm_sP))&lt;0.000001,IF('XA MU'!$B$30&lt;=5,'XA MU'!$E$30*$C$8*(IF('XA MU'!$C$30&gt;(xm_y0P+(xm_nP-1)/2*xm_sP),2*('XA MU'!$C$30-(xm_y0P+(xm_nP-1)/2*xm_sP))/xm_sP,0)+IF('XA MU'!$D$30&gt;(xm_y0P+(xm_nP-1)/2*xm_sP),2*('XA MU'!$D$30-(xm_y0P+(xm_nP-1)/2*xm_sP))/xm_sP,0)),0),0))))</f>
        <v>0</v>
      </c>
      <c r="N81" s="44">
        <f>IF(C81=0,0,IF(6&gt;nLan,0,0.65*(IF('XA MU'!$B$25&lt;=6,'XA MU'!$E$25*$C$8*(MAX(0,1-ABS('XA MU'!$C$25-$D81)/xm_sP)+MAX(0,1-ABS('XA MU'!$D$25-$D81)/xm_sP)),0)+IF(ABS($D81-(xm_y0P+(xm_nP-1)/2*xm_sP))&lt;0.000001,IF('XA MU'!$B$25&lt;=6,'XA MU'!$E$25*$C$8*(IF('XA MU'!$C$25&gt;(xm_y0P+(xm_nP-1)/2*xm_sP),2*('XA MU'!$C$25-(xm_y0P+(xm_nP-1)/2*xm_sP))/xm_sP,0)+IF('XA MU'!$D$25&gt;(xm_y0P+(xm_nP-1)/2*xm_sP),2*('XA MU'!$D$25-(xm_y0P+(xm_nP-1)/2*xm_sP))/xm_sP,0)),0),0)+IF('XA MU'!$B$26&lt;=6,'XA MU'!$E$26*$C$8*(MAX(0,1-ABS('XA MU'!$C$26-$D81)/xm_sP)+MAX(0,1-ABS('XA MU'!$D$26-$D81)/xm_sP)),0)+IF(ABS($D81-(xm_y0P+(xm_nP-1)/2*xm_sP))&lt;0.000001,IF('XA MU'!$B$26&lt;=6,'XA MU'!$E$26*$C$8*(IF('XA MU'!$C$26&gt;(xm_y0P+(xm_nP-1)/2*xm_sP),2*('XA MU'!$C$26-(xm_y0P+(xm_nP-1)/2*xm_sP))/xm_sP,0)+IF('XA MU'!$D$26&gt;(xm_y0P+(xm_nP-1)/2*xm_sP),2*('XA MU'!$D$26-(xm_y0P+(xm_nP-1)/2*xm_sP))/xm_sP,0)),0),0)+IF('XA MU'!$B$27&lt;=6,'XA MU'!$E$27*$C$8*(MAX(0,1-ABS('XA MU'!$C$27-$D81)/xm_sP)+MAX(0,1-ABS('XA MU'!$D$27-$D81)/xm_sP)),0)+IF(ABS($D81-(xm_y0P+(xm_nP-1)/2*xm_sP))&lt;0.000001,IF('XA MU'!$B$27&lt;=6,'XA MU'!$E$27*$C$8*(IF('XA MU'!$C$27&gt;(xm_y0P+(xm_nP-1)/2*xm_sP),2*('XA MU'!$C$27-(xm_y0P+(xm_nP-1)/2*xm_sP))/xm_sP,0)+IF('XA MU'!$D$27&gt;(xm_y0P+(xm_nP-1)/2*xm_sP),2*('XA MU'!$D$27-(xm_y0P+(xm_nP-1)/2*xm_sP))/xm_sP,0)),0),0)+IF('XA MU'!$B$28&lt;=6,'XA MU'!$E$28*$C$8*(MAX(0,1-ABS('XA MU'!$C$28-$D81)/xm_sP)+MAX(0,1-ABS('XA MU'!$D$28-$D81)/xm_sP)),0)+IF(ABS($D81-(xm_y0P+(xm_nP-1)/2*xm_sP))&lt;0.000001,IF('XA MU'!$B$28&lt;=6,'XA MU'!$E$28*$C$8*(IF('XA MU'!$C$28&gt;(xm_y0P+(xm_nP-1)/2*xm_sP),2*('XA MU'!$C$28-(xm_y0P+(xm_nP-1)/2*xm_sP))/xm_sP,0)+IF('XA MU'!$D$28&gt;(xm_y0P+(xm_nP-1)/2*xm_sP),2*('XA MU'!$D$28-(xm_y0P+(xm_nP-1)/2*xm_sP))/xm_sP,0)),0),0)+IF('XA MU'!$B$29&lt;=6,'XA MU'!$E$29*$C$8*(MAX(0,1-ABS('XA MU'!$C$29-$D81)/xm_sP)+MAX(0,1-ABS('XA MU'!$D$29-$D81)/xm_sP)),0)+IF(ABS($D81-(xm_y0P+(xm_nP-1)/2*xm_sP))&lt;0.000001,IF('XA MU'!$B$29&lt;=6,'XA MU'!$E$29*$C$8*(IF('XA MU'!$C$29&gt;(xm_y0P+(xm_nP-1)/2*xm_sP),2*('XA MU'!$C$29-(xm_y0P+(xm_nP-1)/2*xm_sP))/xm_sP,0)+IF('XA MU'!$D$29&gt;(xm_y0P+(xm_nP-1)/2*xm_sP),2*('XA MU'!$D$29-(xm_y0P+(xm_nP-1)/2*xm_sP))/xm_sP,0)),0),0)+IF('XA MU'!$B$30&lt;=6,'XA MU'!$E$30*$C$8*(MAX(0,1-ABS('XA MU'!$C$30-$D81)/xm_sP)+MAX(0,1-ABS('XA MU'!$D$30-$D81)/xm_sP)),0)+IF(ABS($D81-(xm_y0P+(xm_nP-1)/2*xm_sP))&lt;0.000001,IF('XA MU'!$B$30&lt;=6,'XA MU'!$E$30*$C$8*(IF('XA MU'!$C$30&gt;(xm_y0P+(xm_nP-1)/2*xm_sP),2*('XA MU'!$C$30-(xm_y0P+(xm_nP-1)/2*xm_sP))/xm_sP,0)+IF('XA MU'!$D$30&gt;(xm_y0P+(xm_nP-1)/2*xm_sP),2*('XA MU'!$D$30-(xm_y0P+(xm_nP-1)/2*xm_sP))/xm_sP,0)),0),0))))</f>
        <v>0</v>
      </c>
    </row>
    <row r="82" spans="1:14" x14ac:dyDescent="0.3">
      <c r="A82" s="42" t="s">
        <v>1236</v>
      </c>
      <c r="B82" s="42">
        <v>28</v>
      </c>
      <c r="C82" s="40">
        <f t="shared" si="4"/>
        <v>0</v>
      </c>
      <c r="D82" s="44">
        <f t="shared" si="5"/>
        <v>0</v>
      </c>
      <c r="E82" s="44">
        <f>MAX(0,D82-'XA MU'!$C$8)*C82</f>
        <v>0</v>
      </c>
      <c r="F82" s="44">
        <f>IF(AND(C82=1,D82&gt;'XA MU'!$C$8),1,0)</f>
        <v>0</v>
      </c>
      <c r="G82" s="44">
        <f t="shared" si="6"/>
        <v>0</v>
      </c>
      <c r="H82" s="44">
        <f t="shared" si="7"/>
        <v>0</v>
      </c>
      <c r="I82" s="44">
        <f>IF(C82=0,0,IF(1&gt;nLan,0,1.2*(IF('XA MU'!$B$25&lt;=1,'XA MU'!$E$25*$C$8*(MAX(0,1-ABS('XA MU'!$C$25-$D82)/xm_sP)+MAX(0,1-ABS('XA MU'!$D$25-$D82)/xm_sP)),0)+IF(ABS($D82-(xm_y0P+(xm_nP-1)/2*xm_sP))&lt;0.000001,IF('XA MU'!$B$25&lt;=1,'XA MU'!$E$25*$C$8*(IF('XA MU'!$C$25&gt;(xm_y0P+(xm_nP-1)/2*xm_sP),2*('XA MU'!$C$25-(xm_y0P+(xm_nP-1)/2*xm_sP))/xm_sP,0)+IF('XA MU'!$D$25&gt;(xm_y0P+(xm_nP-1)/2*xm_sP),2*('XA MU'!$D$25-(xm_y0P+(xm_nP-1)/2*xm_sP))/xm_sP,0)),0),0)+IF('XA MU'!$B$26&lt;=1,'XA MU'!$E$26*$C$8*(MAX(0,1-ABS('XA MU'!$C$26-$D82)/xm_sP)+MAX(0,1-ABS('XA MU'!$D$26-$D82)/xm_sP)),0)+IF(ABS($D82-(xm_y0P+(xm_nP-1)/2*xm_sP))&lt;0.000001,IF('XA MU'!$B$26&lt;=1,'XA MU'!$E$26*$C$8*(IF('XA MU'!$C$26&gt;(xm_y0P+(xm_nP-1)/2*xm_sP),2*('XA MU'!$C$26-(xm_y0P+(xm_nP-1)/2*xm_sP))/xm_sP,0)+IF('XA MU'!$D$26&gt;(xm_y0P+(xm_nP-1)/2*xm_sP),2*('XA MU'!$D$26-(xm_y0P+(xm_nP-1)/2*xm_sP))/xm_sP,0)),0),0)+IF('XA MU'!$B$27&lt;=1,'XA MU'!$E$27*$C$8*(MAX(0,1-ABS('XA MU'!$C$27-$D82)/xm_sP)+MAX(0,1-ABS('XA MU'!$D$27-$D82)/xm_sP)),0)+IF(ABS($D82-(xm_y0P+(xm_nP-1)/2*xm_sP))&lt;0.000001,IF('XA MU'!$B$27&lt;=1,'XA MU'!$E$27*$C$8*(IF('XA MU'!$C$27&gt;(xm_y0P+(xm_nP-1)/2*xm_sP),2*('XA MU'!$C$27-(xm_y0P+(xm_nP-1)/2*xm_sP))/xm_sP,0)+IF('XA MU'!$D$27&gt;(xm_y0P+(xm_nP-1)/2*xm_sP),2*('XA MU'!$D$27-(xm_y0P+(xm_nP-1)/2*xm_sP))/xm_sP,0)),0),0)+IF('XA MU'!$B$28&lt;=1,'XA MU'!$E$28*$C$8*(MAX(0,1-ABS('XA MU'!$C$28-$D82)/xm_sP)+MAX(0,1-ABS('XA MU'!$D$28-$D82)/xm_sP)),0)+IF(ABS($D82-(xm_y0P+(xm_nP-1)/2*xm_sP))&lt;0.000001,IF('XA MU'!$B$28&lt;=1,'XA MU'!$E$28*$C$8*(IF('XA MU'!$C$28&gt;(xm_y0P+(xm_nP-1)/2*xm_sP),2*('XA MU'!$C$28-(xm_y0P+(xm_nP-1)/2*xm_sP))/xm_sP,0)+IF('XA MU'!$D$28&gt;(xm_y0P+(xm_nP-1)/2*xm_sP),2*('XA MU'!$D$28-(xm_y0P+(xm_nP-1)/2*xm_sP))/xm_sP,0)),0),0)+IF('XA MU'!$B$29&lt;=1,'XA MU'!$E$29*$C$8*(MAX(0,1-ABS('XA MU'!$C$29-$D82)/xm_sP)+MAX(0,1-ABS('XA MU'!$D$29-$D82)/xm_sP)),0)+IF(ABS($D82-(xm_y0P+(xm_nP-1)/2*xm_sP))&lt;0.000001,IF('XA MU'!$B$29&lt;=1,'XA MU'!$E$29*$C$8*(IF('XA MU'!$C$29&gt;(xm_y0P+(xm_nP-1)/2*xm_sP),2*('XA MU'!$C$29-(xm_y0P+(xm_nP-1)/2*xm_sP))/xm_sP,0)+IF('XA MU'!$D$29&gt;(xm_y0P+(xm_nP-1)/2*xm_sP),2*('XA MU'!$D$29-(xm_y0P+(xm_nP-1)/2*xm_sP))/xm_sP,0)),0),0)+IF('XA MU'!$B$30&lt;=1,'XA MU'!$E$30*$C$8*(MAX(0,1-ABS('XA MU'!$C$30-$D82)/xm_sP)+MAX(0,1-ABS('XA MU'!$D$30-$D82)/xm_sP)),0)+IF(ABS($D82-(xm_y0P+(xm_nP-1)/2*xm_sP))&lt;0.000001,IF('XA MU'!$B$30&lt;=1,'XA MU'!$E$30*$C$8*(IF('XA MU'!$C$30&gt;(xm_y0P+(xm_nP-1)/2*xm_sP),2*('XA MU'!$C$30-(xm_y0P+(xm_nP-1)/2*xm_sP))/xm_sP,0)+IF('XA MU'!$D$30&gt;(xm_y0P+(xm_nP-1)/2*xm_sP),2*('XA MU'!$D$30-(xm_y0P+(xm_nP-1)/2*xm_sP))/xm_sP,0)),0),0))))</f>
        <v>0</v>
      </c>
      <c r="J82" s="44">
        <f>IF(C82=0,0,IF(2&gt;nLan,0,1*(IF('XA MU'!$B$25&lt;=2,'XA MU'!$E$25*$C$8*(MAX(0,1-ABS('XA MU'!$C$25-$D82)/xm_sP)+MAX(0,1-ABS('XA MU'!$D$25-$D82)/xm_sP)),0)+IF(ABS($D82-(xm_y0P+(xm_nP-1)/2*xm_sP))&lt;0.000001,IF('XA MU'!$B$25&lt;=2,'XA MU'!$E$25*$C$8*(IF('XA MU'!$C$25&gt;(xm_y0P+(xm_nP-1)/2*xm_sP),2*('XA MU'!$C$25-(xm_y0P+(xm_nP-1)/2*xm_sP))/xm_sP,0)+IF('XA MU'!$D$25&gt;(xm_y0P+(xm_nP-1)/2*xm_sP),2*('XA MU'!$D$25-(xm_y0P+(xm_nP-1)/2*xm_sP))/xm_sP,0)),0),0)+IF('XA MU'!$B$26&lt;=2,'XA MU'!$E$26*$C$8*(MAX(0,1-ABS('XA MU'!$C$26-$D82)/xm_sP)+MAX(0,1-ABS('XA MU'!$D$26-$D82)/xm_sP)),0)+IF(ABS($D82-(xm_y0P+(xm_nP-1)/2*xm_sP))&lt;0.000001,IF('XA MU'!$B$26&lt;=2,'XA MU'!$E$26*$C$8*(IF('XA MU'!$C$26&gt;(xm_y0P+(xm_nP-1)/2*xm_sP),2*('XA MU'!$C$26-(xm_y0P+(xm_nP-1)/2*xm_sP))/xm_sP,0)+IF('XA MU'!$D$26&gt;(xm_y0P+(xm_nP-1)/2*xm_sP),2*('XA MU'!$D$26-(xm_y0P+(xm_nP-1)/2*xm_sP))/xm_sP,0)),0),0)+IF('XA MU'!$B$27&lt;=2,'XA MU'!$E$27*$C$8*(MAX(0,1-ABS('XA MU'!$C$27-$D82)/xm_sP)+MAX(0,1-ABS('XA MU'!$D$27-$D82)/xm_sP)),0)+IF(ABS($D82-(xm_y0P+(xm_nP-1)/2*xm_sP))&lt;0.000001,IF('XA MU'!$B$27&lt;=2,'XA MU'!$E$27*$C$8*(IF('XA MU'!$C$27&gt;(xm_y0P+(xm_nP-1)/2*xm_sP),2*('XA MU'!$C$27-(xm_y0P+(xm_nP-1)/2*xm_sP))/xm_sP,0)+IF('XA MU'!$D$27&gt;(xm_y0P+(xm_nP-1)/2*xm_sP),2*('XA MU'!$D$27-(xm_y0P+(xm_nP-1)/2*xm_sP))/xm_sP,0)),0),0)+IF('XA MU'!$B$28&lt;=2,'XA MU'!$E$28*$C$8*(MAX(0,1-ABS('XA MU'!$C$28-$D82)/xm_sP)+MAX(0,1-ABS('XA MU'!$D$28-$D82)/xm_sP)),0)+IF(ABS($D82-(xm_y0P+(xm_nP-1)/2*xm_sP))&lt;0.000001,IF('XA MU'!$B$28&lt;=2,'XA MU'!$E$28*$C$8*(IF('XA MU'!$C$28&gt;(xm_y0P+(xm_nP-1)/2*xm_sP),2*('XA MU'!$C$28-(xm_y0P+(xm_nP-1)/2*xm_sP))/xm_sP,0)+IF('XA MU'!$D$28&gt;(xm_y0P+(xm_nP-1)/2*xm_sP),2*('XA MU'!$D$28-(xm_y0P+(xm_nP-1)/2*xm_sP))/xm_sP,0)),0),0)+IF('XA MU'!$B$29&lt;=2,'XA MU'!$E$29*$C$8*(MAX(0,1-ABS('XA MU'!$C$29-$D82)/xm_sP)+MAX(0,1-ABS('XA MU'!$D$29-$D82)/xm_sP)),0)+IF(ABS($D82-(xm_y0P+(xm_nP-1)/2*xm_sP))&lt;0.000001,IF('XA MU'!$B$29&lt;=2,'XA MU'!$E$29*$C$8*(IF('XA MU'!$C$29&gt;(xm_y0P+(xm_nP-1)/2*xm_sP),2*('XA MU'!$C$29-(xm_y0P+(xm_nP-1)/2*xm_sP))/xm_sP,0)+IF('XA MU'!$D$29&gt;(xm_y0P+(xm_nP-1)/2*xm_sP),2*('XA MU'!$D$29-(xm_y0P+(xm_nP-1)/2*xm_sP))/xm_sP,0)),0),0)+IF('XA MU'!$B$30&lt;=2,'XA MU'!$E$30*$C$8*(MAX(0,1-ABS('XA MU'!$C$30-$D82)/xm_sP)+MAX(0,1-ABS('XA MU'!$D$30-$D82)/xm_sP)),0)+IF(ABS($D82-(xm_y0P+(xm_nP-1)/2*xm_sP))&lt;0.000001,IF('XA MU'!$B$30&lt;=2,'XA MU'!$E$30*$C$8*(IF('XA MU'!$C$30&gt;(xm_y0P+(xm_nP-1)/2*xm_sP),2*('XA MU'!$C$30-(xm_y0P+(xm_nP-1)/2*xm_sP))/xm_sP,0)+IF('XA MU'!$D$30&gt;(xm_y0P+(xm_nP-1)/2*xm_sP),2*('XA MU'!$D$30-(xm_y0P+(xm_nP-1)/2*xm_sP))/xm_sP,0)),0),0))))</f>
        <v>0</v>
      </c>
      <c r="K82" s="44">
        <f>IF(C82=0,0,IF(3&gt;nLan,0,0.85*(IF('XA MU'!$B$25&lt;=3,'XA MU'!$E$25*$C$8*(MAX(0,1-ABS('XA MU'!$C$25-$D82)/xm_sP)+MAX(0,1-ABS('XA MU'!$D$25-$D82)/xm_sP)),0)+IF(ABS($D82-(xm_y0P+(xm_nP-1)/2*xm_sP))&lt;0.000001,IF('XA MU'!$B$25&lt;=3,'XA MU'!$E$25*$C$8*(IF('XA MU'!$C$25&gt;(xm_y0P+(xm_nP-1)/2*xm_sP),2*('XA MU'!$C$25-(xm_y0P+(xm_nP-1)/2*xm_sP))/xm_sP,0)+IF('XA MU'!$D$25&gt;(xm_y0P+(xm_nP-1)/2*xm_sP),2*('XA MU'!$D$25-(xm_y0P+(xm_nP-1)/2*xm_sP))/xm_sP,0)),0),0)+IF('XA MU'!$B$26&lt;=3,'XA MU'!$E$26*$C$8*(MAX(0,1-ABS('XA MU'!$C$26-$D82)/xm_sP)+MAX(0,1-ABS('XA MU'!$D$26-$D82)/xm_sP)),0)+IF(ABS($D82-(xm_y0P+(xm_nP-1)/2*xm_sP))&lt;0.000001,IF('XA MU'!$B$26&lt;=3,'XA MU'!$E$26*$C$8*(IF('XA MU'!$C$26&gt;(xm_y0P+(xm_nP-1)/2*xm_sP),2*('XA MU'!$C$26-(xm_y0P+(xm_nP-1)/2*xm_sP))/xm_sP,0)+IF('XA MU'!$D$26&gt;(xm_y0P+(xm_nP-1)/2*xm_sP),2*('XA MU'!$D$26-(xm_y0P+(xm_nP-1)/2*xm_sP))/xm_sP,0)),0),0)+IF('XA MU'!$B$27&lt;=3,'XA MU'!$E$27*$C$8*(MAX(0,1-ABS('XA MU'!$C$27-$D82)/xm_sP)+MAX(0,1-ABS('XA MU'!$D$27-$D82)/xm_sP)),0)+IF(ABS($D82-(xm_y0P+(xm_nP-1)/2*xm_sP))&lt;0.000001,IF('XA MU'!$B$27&lt;=3,'XA MU'!$E$27*$C$8*(IF('XA MU'!$C$27&gt;(xm_y0P+(xm_nP-1)/2*xm_sP),2*('XA MU'!$C$27-(xm_y0P+(xm_nP-1)/2*xm_sP))/xm_sP,0)+IF('XA MU'!$D$27&gt;(xm_y0P+(xm_nP-1)/2*xm_sP),2*('XA MU'!$D$27-(xm_y0P+(xm_nP-1)/2*xm_sP))/xm_sP,0)),0),0)+IF('XA MU'!$B$28&lt;=3,'XA MU'!$E$28*$C$8*(MAX(0,1-ABS('XA MU'!$C$28-$D82)/xm_sP)+MAX(0,1-ABS('XA MU'!$D$28-$D82)/xm_sP)),0)+IF(ABS($D82-(xm_y0P+(xm_nP-1)/2*xm_sP))&lt;0.000001,IF('XA MU'!$B$28&lt;=3,'XA MU'!$E$28*$C$8*(IF('XA MU'!$C$28&gt;(xm_y0P+(xm_nP-1)/2*xm_sP),2*('XA MU'!$C$28-(xm_y0P+(xm_nP-1)/2*xm_sP))/xm_sP,0)+IF('XA MU'!$D$28&gt;(xm_y0P+(xm_nP-1)/2*xm_sP),2*('XA MU'!$D$28-(xm_y0P+(xm_nP-1)/2*xm_sP))/xm_sP,0)),0),0)+IF('XA MU'!$B$29&lt;=3,'XA MU'!$E$29*$C$8*(MAX(0,1-ABS('XA MU'!$C$29-$D82)/xm_sP)+MAX(0,1-ABS('XA MU'!$D$29-$D82)/xm_sP)),0)+IF(ABS($D82-(xm_y0P+(xm_nP-1)/2*xm_sP))&lt;0.000001,IF('XA MU'!$B$29&lt;=3,'XA MU'!$E$29*$C$8*(IF('XA MU'!$C$29&gt;(xm_y0P+(xm_nP-1)/2*xm_sP),2*('XA MU'!$C$29-(xm_y0P+(xm_nP-1)/2*xm_sP))/xm_sP,0)+IF('XA MU'!$D$29&gt;(xm_y0P+(xm_nP-1)/2*xm_sP),2*('XA MU'!$D$29-(xm_y0P+(xm_nP-1)/2*xm_sP))/xm_sP,0)),0),0)+IF('XA MU'!$B$30&lt;=3,'XA MU'!$E$30*$C$8*(MAX(0,1-ABS('XA MU'!$C$30-$D82)/xm_sP)+MAX(0,1-ABS('XA MU'!$D$30-$D82)/xm_sP)),0)+IF(ABS($D82-(xm_y0P+(xm_nP-1)/2*xm_sP))&lt;0.000001,IF('XA MU'!$B$30&lt;=3,'XA MU'!$E$30*$C$8*(IF('XA MU'!$C$30&gt;(xm_y0P+(xm_nP-1)/2*xm_sP),2*('XA MU'!$C$30-(xm_y0P+(xm_nP-1)/2*xm_sP))/xm_sP,0)+IF('XA MU'!$D$30&gt;(xm_y0P+(xm_nP-1)/2*xm_sP),2*('XA MU'!$D$30-(xm_y0P+(xm_nP-1)/2*xm_sP))/xm_sP,0)),0),0))))</f>
        <v>0</v>
      </c>
      <c r="L82" s="44">
        <f>IF(C82=0,0,IF(4&gt;nLan,0,0.65*(IF('XA MU'!$B$25&lt;=4,'XA MU'!$E$25*$C$8*(MAX(0,1-ABS('XA MU'!$C$25-$D82)/xm_sP)+MAX(0,1-ABS('XA MU'!$D$25-$D82)/xm_sP)),0)+IF(ABS($D82-(xm_y0P+(xm_nP-1)/2*xm_sP))&lt;0.000001,IF('XA MU'!$B$25&lt;=4,'XA MU'!$E$25*$C$8*(IF('XA MU'!$C$25&gt;(xm_y0P+(xm_nP-1)/2*xm_sP),2*('XA MU'!$C$25-(xm_y0P+(xm_nP-1)/2*xm_sP))/xm_sP,0)+IF('XA MU'!$D$25&gt;(xm_y0P+(xm_nP-1)/2*xm_sP),2*('XA MU'!$D$25-(xm_y0P+(xm_nP-1)/2*xm_sP))/xm_sP,0)),0),0)+IF('XA MU'!$B$26&lt;=4,'XA MU'!$E$26*$C$8*(MAX(0,1-ABS('XA MU'!$C$26-$D82)/xm_sP)+MAX(0,1-ABS('XA MU'!$D$26-$D82)/xm_sP)),0)+IF(ABS($D82-(xm_y0P+(xm_nP-1)/2*xm_sP))&lt;0.000001,IF('XA MU'!$B$26&lt;=4,'XA MU'!$E$26*$C$8*(IF('XA MU'!$C$26&gt;(xm_y0P+(xm_nP-1)/2*xm_sP),2*('XA MU'!$C$26-(xm_y0P+(xm_nP-1)/2*xm_sP))/xm_sP,0)+IF('XA MU'!$D$26&gt;(xm_y0P+(xm_nP-1)/2*xm_sP),2*('XA MU'!$D$26-(xm_y0P+(xm_nP-1)/2*xm_sP))/xm_sP,0)),0),0)+IF('XA MU'!$B$27&lt;=4,'XA MU'!$E$27*$C$8*(MAX(0,1-ABS('XA MU'!$C$27-$D82)/xm_sP)+MAX(0,1-ABS('XA MU'!$D$27-$D82)/xm_sP)),0)+IF(ABS($D82-(xm_y0P+(xm_nP-1)/2*xm_sP))&lt;0.000001,IF('XA MU'!$B$27&lt;=4,'XA MU'!$E$27*$C$8*(IF('XA MU'!$C$27&gt;(xm_y0P+(xm_nP-1)/2*xm_sP),2*('XA MU'!$C$27-(xm_y0P+(xm_nP-1)/2*xm_sP))/xm_sP,0)+IF('XA MU'!$D$27&gt;(xm_y0P+(xm_nP-1)/2*xm_sP),2*('XA MU'!$D$27-(xm_y0P+(xm_nP-1)/2*xm_sP))/xm_sP,0)),0),0)+IF('XA MU'!$B$28&lt;=4,'XA MU'!$E$28*$C$8*(MAX(0,1-ABS('XA MU'!$C$28-$D82)/xm_sP)+MAX(0,1-ABS('XA MU'!$D$28-$D82)/xm_sP)),0)+IF(ABS($D82-(xm_y0P+(xm_nP-1)/2*xm_sP))&lt;0.000001,IF('XA MU'!$B$28&lt;=4,'XA MU'!$E$28*$C$8*(IF('XA MU'!$C$28&gt;(xm_y0P+(xm_nP-1)/2*xm_sP),2*('XA MU'!$C$28-(xm_y0P+(xm_nP-1)/2*xm_sP))/xm_sP,0)+IF('XA MU'!$D$28&gt;(xm_y0P+(xm_nP-1)/2*xm_sP),2*('XA MU'!$D$28-(xm_y0P+(xm_nP-1)/2*xm_sP))/xm_sP,0)),0),0)+IF('XA MU'!$B$29&lt;=4,'XA MU'!$E$29*$C$8*(MAX(0,1-ABS('XA MU'!$C$29-$D82)/xm_sP)+MAX(0,1-ABS('XA MU'!$D$29-$D82)/xm_sP)),0)+IF(ABS($D82-(xm_y0P+(xm_nP-1)/2*xm_sP))&lt;0.000001,IF('XA MU'!$B$29&lt;=4,'XA MU'!$E$29*$C$8*(IF('XA MU'!$C$29&gt;(xm_y0P+(xm_nP-1)/2*xm_sP),2*('XA MU'!$C$29-(xm_y0P+(xm_nP-1)/2*xm_sP))/xm_sP,0)+IF('XA MU'!$D$29&gt;(xm_y0P+(xm_nP-1)/2*xm_sP),2*('XA MU'!$D$29-(xm_y0P+(xm_nP-1)/2*xm_sP))/xm_sP,0)),0),0)+IF('XA MU'!$B$30&lt;=4,'XA MU'!$E$30*$C$8*(MAX(0,1-ABS('XA MU'!$C$30-$D82)/xm_sP)+MAX(0,1-ABS('XA MU'!$D$30-$D82)/xm_sP)),0)+IF(ABS($D82-(xm_y0P+(xm_nP-1)/2*xm_sP))&lt;0.000001,IF('XA MU'!$B$30&lt;=4,'XA MU'!$E$30*$C$8*(IF('XA MU'!$C$30&gt;(xm_y0P+(xm_nP-1)/2*xm_sP),2*('XA MU'!$C$30-(xm_y0P+(xm_nP-1)/2*xm_sP))/xm_sP,0)+IF('XA MU'!$D$30&gt;(xm_y0P+(xm_nP-1)/2*xm_sP),2*('XA MU'!$D$30-(xm_y0P+(xm_nP-1)/2*xm_sP))/xm_sP,0)),0),0))))</f>
        <v>0</v>
      </c>
      <c r="M82" s="44">
        <f>IF(C82=0,0,IF(5&gt;nLan,0,0.65*(IF('XA MU'!$B$25&lt;=5,'XA MU'!$E$25*$C$8*(MAX(0,1-ABS('XA MU'!$C$25-$D82)/xm_sP)+MAX(0,1-ABS('XA MU'!$D$25-$D82)/xm_sP)),0)+IF(ABS($D82-(xm_y0P+(xm_nP-1)/2*xm_sP))&lt;0.000001,IF('XA MU'!$B$25&lt;=5,'XA MU'!$E$25*$C$8*(IF('XA MU'!$C$25&gt;(xm_y0P+(xm_nP-1)/2*xm_sP),2*('XA MU'!$C$25-(xm_y0P+(xm_nP-1)/2*xm_sP))/xm_sP,0)+IF('XA MU'!$D$25&gt;(xm_y0P+(xm_nP-1)/2*xm_sP),2*('XA MU'!$D$25-(xm_y0P+(xm_nP-1)/2*xm_sP))/xm_sP,0)),0),0)+IF('XA MU'!$B$26&lt;=5,'XA MU'!$E$26*$C$8*(MAX(0,1-ABS('XA MU'!$C$26-$D82)/xm_sP)+MAX(0,1-ABS('XA MU'!$D$26-$D82)/xm_sP)),0)+IF(ABS($D82-(xm_y0P+(xm_nP-1)/2*xm_sP))&lt;0.000001,IF('XA MU'!$B$26&lt;=5,'XA MU'!$E$26*$C$8*(IF('XA MU'!$C$26&gt;(xm_y0P+(xm_nP-1)/2*xm_sP),2*('XA MU'!$C$26-(xm_y0P+(xm_nP-1)/2*xm_sP))/xm_sP,0)+IF('XA MU'!$D$26&gt;(xm_y0P+(xm_nP-1)/2*xm_sP),2*('XA MU'!$D$26-(xm_y0P+(xm_nP-1)/2*xm_sP))/xm_sP,0)),0),0)+IF('XA MU'!$B$27&lt;=5,'XA MU'!$E$27*$C$8*(MAX(0,1-ABS('XA MU'!$C$27-$D82)/xm_sP)+MAX(0,1-ABS('XA MU'!$D$27-$D82)/xm_sP)),0)+IF(ABS($D82-(xm_y0P+(xm_nP-1)/2*xm_sP))&lt;0.000001,IF('XA MU'!$B$27&lt;=5,'XA MU'!$E$27*$C$8*(IF('XA MU'!$C$27&gt;(xm_y0P+(xm_nP-1)/2*xm_sP),2*('XA MU'!$C$27-(xm_y0P+(xm_nP-1)/2*xm_sP))/xm_sP,0)+IF('XA MU'!$D$27&gt;(xm_y0P+(xm_nP-1)/2*xm_sP),2*('XA MU'!$D$27-(xm_y0P+(xm_nP-1)/2*xm_sP))/xm_sP,0)),0),0)+IF('XA MU'!$B$28&lt;=5,'XA MU'!$E$28*$C$8*(MAX(0,1-ABS('XA MU'!$C$28-$D82)/xm_sP)+MAX(0,1-ABS('XA MU'!$D$28-$D82)/xm_sP)),0)+IF(ABS($D82-(xm_y0P+(xm_nP-1)/2*xm_sP))&lt;0.000001,IF('XA MU'!$B$28&lt;=5,'XA MU'!$E$28*$C$8*(IF('XA MU'!$C$28&gt;(xm_y0P+(xm_nP-1)/2*xm_sP),2*('XA MU'!$C$28-(xm_y0P+(xm_nP-1)/2*xm_sP))/xm_sP,0)+IF('XA MU'!$D$28&gt;(xm_y0P+(xm_nP-1)/2*xm_sP),2*('XA MU'!$D$28-(xm_y0P+(xm_nP-1)/2*xm_sP))/xm_sP,0)),0),0)+IF('XA MU'!$B$29&lt;=5,'XA MU'!$E$29*$C$8*(MAX(0,1-ABS('XA MU'!$C$29-$D82)/xm_sP)+MAX(0,1-ABS('XA MU'!$D$29-$D82)/xm_sP)),0)+IF(ABS($D82-(xm_y0P+(xm_nP-1)/2*xm_sP))&lt;0.000001,IF('XA MU'!$B$29&lt;=5,'XA MU'!$E$29*$C$8*(IF('XA MU'!$C$29&gt;(xm_y0P+(xm_nP-1)/2*xm_sP),2*('XA MU'!$C$29-(xm_y0P+(xm_nP-1)/2*xm_sP))/xm_sP,0)+IF('XA MU'!$D$29&gt;(xm_y0P+(xm_nP-1)/2*xm_sP),2*('XA MU'!$D$29-(xm_y0P+(xm_nP-1)/2*xm_sP))/xm_sP,0)),0),0)+IF('XA MU'!$B$30&lt;=5,'XA MU'!$E$30*$C$8*(MAX(0,1-ABS('XA MU'!$C$30-$D82)/xm_sP)+MAX(0,1-ABS('XA MU'!$D$30-$D82)/xm_sP)),0)+IF(ABS($D82-(xm_y0P+(xm_nP-1)/2*xm_sP))&lt;0.000001,IF('XA MU'!$B$30&lt;=5,'XA MU'!$E$30*$C$8*(IF('XA MU'!$C$30&gt;(xm_y0P+(xm_nP-1)/2*xm_sP),2*('XA MU'!$C$30-(xm_y0P+(xm_nP-1)/2*xm_sP))/xm_sP,0)+IF('XA MU'!$D$30&gt;(xm_y0P+(xm_nP-1)/2*xm_sP),2*('XA MU'!$D$30-(xm_y0P+(xm_nP-1)/2*xm_sP))/xm_sP,0)),0),0))))</f>
        <v>0</v>
      </c>
      <c r="N82" s="44">
        <f>IF(C82=0,0,IF(6&gt;nLan,0,0.65*(IF('XA MU'!$B$25&lt;=6,'XA MU'!$E$25*$C$8*(MAX(0,1-ABS('XA MU'!$C$25-$D82)/xm_sP)+MAX(0,1-ABS('XA MU'!$D$25-$D82)/xm_sP)),0)+IF(ABS($D82-(xm_y0P+(xm_nP-1)/2*xm_sP))&lt;0.000001,IF('XA MU'!$B$25&lt;=6,'XA MU'!$E$25*$C$8*(IF('XA MU'!$C$25&gt;(xm_y0P+(xm_nP-1)/2*xm_sP),2*('XA MU'!$C$25-(xm_y0P+(xm_nP-1)/2*xm_sP))/xm_sP,0)+IF('XA MU'!$D$25&gt;(xm_y0P+(xm_nP-1)/2*xm_sP),2*('XA MU'!$D$25-(xm_y0P+(xm_nP-1)/2*xm_sP))/xm_sP,0)),0),0)+IF('XA MU'!$B$26&lt;=6,'XA MU'!$E$26*$C$8*(MAX(0,1-ABS('XA MU'!$C$26-$D82)/xm_sP)+MAX(0,1-ABS('XA MU'!$D$26-$D82)/xm_sP)),0)+IF(ABS($D82-(xm_y0P+(xm_nP-1)/2*xm_sP))&lt;0.000001,IF('XA MU'!$B$26&lt;=6,'XA MU'!$E$26*$C$8*(IF('XA MU'!$C$26&gt;(xm_y0P+(xm_nP-1)/2*xm_sP),2*('XA MU'!$C$26-(xm_y0P+(xm_nP-1)/2*xm_sP))/xm_sP,0)+IF('XA MU'!$D$26&gt;(xm_y0P+(xm_nP-1)/2*xm_sP),2*('XA MU'!$D$26-(xm_y0P+(xm_nP-1)/2*xm_sP))/xm_sP,0)),0),0)+IF('XA MU'!$B$27&lt;=6,'XA MU'!$E$27*$C$8*(MAX(0,1-ABS('XA MU'!$C$27-$D82)/xm_sP)+MAX(0,1-ABS('XA MU'!$D$27-$D82)/xm_sP)),0)+IF(ABS($D82-(xm_y0P+(xm_nP-1)/2*xm_sP))&lt;0.000001,IF('XA MU'!$B$27&lt;=6,'XA MU'!$E$27*$C$8*(IF('XA MU'!$C$27&gt;(xm_y0P+(xm_nP-1)/2*xm_sP),2*('XA MU'!$C$27-(xm_y0P+(xm_nP-1)/2*xm_sP))/xm_sP,0)+IF('XA MU'!$D$27&gt;(xm_y0P+(xm_nP-1)/2*xm_sP),2*('XA MU'!$D$27-(xm_y0P+(xm_nP-1)/2*xm_sP))/xm_sP,0)),0),0)+IF('XA MU'!$B$28&lt;=6,'XA MU'!$E$28*$C$8*(MAX(0,1-ABS('XA MU'!$C$28-$D82)/xm_sP)+MAX(0,1-ABS('XA MU'!$D$28-$D82)/xm_sP)),0)+IF(ABS($D82-(xm_y0P+(xm_nP-1)/2*xm_sP))&lt;0.000001,IF('XA MU'!$B$28&lt;=6,'XA MU'!$E$28*$C$8*(IF('XA MU'!$C$28&gt;(xm_y0P+(xm_nP-1)/2*xm_sP),2*('XA MU'!$C$28-(xm_y0P+(xm_nP-1)/2*xm_sP))/xm_sP,0)+IF('XA MU'!$D$28&gt;(xm_y0P+(xm_nP-1)/2*xm_sP),2*('XA MU'!$D$28-(xm_y0P+(xm_nP-1)/2*xm_sP))/xm_sP,0)),0),0)+IF('XA MU'!$B$29&lt;=6,'XA MU'!$E$29*$C$8*(MAX(0,1-ABS('XA MU'!$C$29-$D82)/xm_sP)+MAX(0,1-ABS('XA MU'!$D$29-$D82)/xm_sP)),0)+IF(ABS($D82-(xm_y0P+(xm_nP-1)/2*xm_sP))&lt;0.000001,IF('XA MU'!$B$29&lt;=6,'XA MU'!$E$29*$C$8*(IF('XA MU'!$C$29&gt;(xm_y0P+(xm_nP-1)/2*xm_sP),2*('XA MU'!$C$29-(xm_y0P+(xm_nP-1)/2*xm_sP))/xm_sP,0)+IF('XA MU'!$D$29&gt;(xm_y0P+(xm_nP-1)/2*xm_sP),2*('XA MU'!$D$29-(xm_y0P+(xm_nP-1)/2*xm_sP))/xm_sP,0)),0),0)+IF('XA MU'!$B$30&lt;=6,'XA MU'!$E$30*$C$8*(MAX(0,1-ABS('XA MU'!$C$30-$D82)/xm_sP)+MAX(0,1-ABS('XA MU'!$D$30-$D82)/xm_sP)),0)+IF(ABS($D82-(xm_y0P+(xm_nP-1)/2*xm_sP))&lt;0.000001,IF('XA MU'!$B$30&lt;=6,'XA MU'!$E$30*$C$8*(IF('XA MU'!$C$30&gt;(xm_y0P+(xm_nP-1)/2*xm_sP),2*('XA MU'!$C$30-(xm_y0P+(xm_nP-1)/2*xm_sP))/xm_sP,0)+IF('XA MU'!$D$30&gt;(xm_y0P+(xm_nP-1)/2*xm_sP),2*('XA MU'!$D$30-(xm_y0P+(xm_nP-1)/2*xm_sP))/xm_sP,0)),0),0))))</f>
        <v>0</v>
      </c>
    </row>
    <row r="83" spans="1:14" x14ac:dyDescent="0.3">
      <c r="A83" s="42" t="s">
        <v>1236</v>
      </c>
      <c r="B83" s="42">
        <v>29</v>
      </c>
      <c r="C83" s="40">
        <f t="shared" si="4"/>
        <v>0</v>
      </c>
      <c r="D83" s="44">
        <f t="shared" si="5"/>
        <v>0</v>
      </c>
      <c r="E83" s="44">
        <f>MAX(0,D83-'XA MU'!$C$8)*C83</f>
        <v>0</v>
      </c>
      <c r="F83" s="44">
        <f>IF(AND(C83=1,D83&gt;'XA MU'!$C$8),1,0)</f>
        <v>0</v>
      </c>
      <c r="G83" s="44">
        <f t="shared" si="6"/>
        <v>0</v>
      </c>
      <c r="H83" s="44">
        <f t="shared" si="7"/>
        <v>0</v>
      </c>
      <c r="I83" s="44">
        <f>IF(C83=0,0,IF(1&gt;nLan,0,1.2*(IF('XA MU'!$B$25&lt;=1,'XA MU'!$E$25*$C$8*(MAX(0,1-ABS('XA MU'!$C$25-$D83)/xm_sP)+MAX(0,1-ABS('XA MU'!$D$25-$D83)/xm_sP)),0)+IF(ABS($D83-(xm_y0P+(xm_nP-1)/2*xm_sP))&lt;0.000001,IF('XA MU'!$B$25&lt;=1,'XA MU'!$E$25*$C$8*(IF('XA MU'!$C$25&gt;(xm_y0P+(xm_nP-1)/2*xm_sP),2*('XA MU'!$C$25-(xm_y0P+(xm_nP-1)/2*xm_sP))/xm_sP,0)+IF('XA MU'!$D$25&gt;(xm_y0P+(xm_nP-1)/2*xm_sP),2*('XA MU'!$D$25-(xm_y0P+(xm_nP-1)/2*xm_sP))/xm_sP,0)),0),0)+IF('XA MU'!$B$26&lt;=1,'XA MU'!$E$26*$C$8*(MAX(0,1-ABS('XA MU'!$C$26-$D83)/xm_sP)+MAX(0,1-ABS('XA MU'!$D$26-$D83)/xm_sP)),0)+IF(ABS($D83-(xm_y0P+(xm_nP-1)/2*xm_sP))&lt;0.000001,IF('XA MU'!$B$26&lt;=1,'XA MU'!$E$26*$C$8*(IF('XA MU'!$C$26&gt;(xm_y0P+(xm_nP-1)/2*xm_sP),2*('XA MU'!$C$26-(xm_y0P+(xm_nP-1)/2*xm_sP))/xm_sP,0)+IF('XA MU'!$D$26&gt;(xm_y0P+(xm_nP-1)/2*xm_sP),2*('XA MU'!$D$26-(xm_y0P+(xm_nP-1)/2*xm_sP))/xm_sP,0)),0),0)+IF('XA MU'!$B$27&lt;=1,'XA MU'!$E$27*$C$8*(MAX(0,1-ABS('XA MU'!$C$27-$D83)/xm_sP)+MAX(0,1-ABS('XA MU'!$D$27-$D83)/xm_sP)),0)+IF(ABS($D83-(xm_y0P+(xm_nP-1)/2*xm_sP))&lt;0.000001,IF('XA MU'!$B$27&lt;=1,'XA MU'!$E$27*$C$8*(IF('XA MU'!$C$27&gt;(xm_y0P+(xm_nP-1)/2*xm_sP),2*('XA MU'!$C$27-(xm_y0P+(xm_nP-1)/2*xm_sP))/xm_sP,0)+IF('XA MU'!$D$27&gt;(xm_y0P+(xm_nP-1)/2*xm_sP),2*('XA MU'!$D$27-(xm_y0P+(xm_nP-1)/2*xm_sP))/xm_sP,0)),0),0)+IF('XA MU'!$B$28&lt;=1,'XA MU'!$E$28*$C$8*(MAX(0,1-ABS('XA MU'!$C$28-$D83)/xm_sP)+MAX(0,1-ABS('XA MU'!$D$28-$D83)/xm_sP)),0)+IF(ABS($D83-(xm_y0P+(xm_nP-1)/2*xm_sP))&lt;0.000001,IF('XA MU'!$B$28&lt;=1,'XA MU'!$E$28*$C$8*(IF('XA MU'!$C$28&gt;(xm_y0P+(xm_nP-1)/2*xm_sP),2*('XA MU'!$C$28-(xm_y0P+(xm_nP-1)/2*xm_sP))/xm_sP,0)+IF('XA MU'!$D$28&gt;(xm_y0P+(xm_nP-1)/2*xm_sP),2*('XA MU'!$D$28-(xm_y0P+(xm_nP-1)/2*xm_sP))/xm_sP,0)),0),0)+IF('XA MU'!$B$29&lt;=1,'XA MU'!$E$29*$C$8*(MAX(0,1-ABS('XA MU'!$C$29-$D83)/xm_sP)+MAX(0,1-ABS('XA MU'!$D$29-$D83)/xm_sP)),0)+IF(ABS($D83-(xm_y0P+(xm_nP-1)/2*xm_sP))&lt;0.000001,IF('XA MU'!$B$29&lt;=1,'XA MU'!$E$29*$C$8*(IF('XA MU'!$C$29&gt;(xm_y0P+(xm_nP-1)/2*xm_sP),2*('XA MU'!$C$29-(xm_y0P+(xm_nP-1)/2*xm_sP))/xm_sP,0)+IF('XA MU'!$D$29&gt;(xm_y0P+(xm_nP-1)/2*xm_sP),2*('XA MU'!$D$29-(xm_y0P+(xm_nP-1)/2*xm_sP))/xm_sP,0)),0),0)+IF('XA MU'!$B$30&lt;=1,'XA MU'!$E$30*$C$8*(MAX(0,1-ABS('XA MU'!$C$30-$D83)/xm_sP)+MAX(0,1-ABS('XA MU'!$D$30-$D83)/xm_sP)),0)+IF(ABS($D83-(xm_y0P+(xm_nP-1)/2*xm_sP))&lt;0.000001,IF('XA MU'!$B$30&lt;=1,'XA MU'!$E$30*$C$8*(IF('XA MU'!$C$30&gt;(xm_y0P+(xm_nP-1)/2*xm_sP),2*('XA MU'!$C$30-(xm_y0P+(xm_nP-1)/2*xm_sP))/xm_sP,0)+IF('XA MU'!$D$30&gt;(xm_y0P+(xm_nP-1)/2*xm_sP),2*('XA MU'!$D$30-(xm_y0P+(xm_nP-1)/2*xm_sP))/xm_sP,0)),0),0))))</f>
        <v>0</v>
      </c>
      <c r="J83" s="44">
        <f>IF(C83=0,0,IF(2&gt;nLan,0,1*(IF('XA MU'!$B$25&lt;=2,'XA MU'!$E$25*$C$8*(MAX(0,1-ABS('XA MU'!$C$25-$D83)/xm_sP)+MAX(0,1-ABS('XA MU'!$D$25-$D83)/xm_sP)),0)+IF(ABS($D83-(xm_y0P+(xm_nP-1)/2*xm_sP))&lt;0.000001,IF('XA MU'!$B$25&lt;=2,'XA MU'!$E$25*$C$8*(IF('XA MU'!$C$25&gt;(xm_y0P+(xm_nP-1)/2*xm_sP),2*('XA MU'!$C$25-(xm_y0P+(xm_nP-1)/2*xm_sP))/xm_sP,0)+IF('XA MU'!$D$25&gt;(xm_y0P+(xm_nP-1)/2*xm_sP),2*('XA MU'!$D$25-(xm_y0P+(xm_nP-1)/2*xm_sP))/xm_sP,0)),0),0)+IF('XA MU'!$B$26&lt;=2,'XA MU'!$E$26*$C$8*(MAX(0,1-ABS('XA MU'!$C$26-$D83)/xm_sP)+MAX(0,1-ABS('XA MU'!$D$26-$D83)/xm_sP)),0)+IF(ABS($D83-(xm_y0P+(xm_nP-1)/2*xm_sP))&lt;0.000001,IF('XA MU'!$B$26&lt;=2,'XA MU'!$E$26*$C$8*(IF('XA MU'!$C$26&gt;(xm_y0P+(xm_nP-1)/2*xm_sP),2*('XA MU'!$C$26-(xm_y0P+(xm_nP-1)/2*xm_sP))/xm_sP,0)+IF('XA MU'!$D$26&gt;(xm_y0P+(xm_nP-1)/2*xm_sP),2*('XA MU'!$D$26-(xm_y0P+(xm_nP-1)/2*xm_sP))/xm_sP,0)),0),0)+IF('XA MU'!$B$27&lt;=2,'XA MU'!$E$27*$C$8*(MAX(0,1-ABS('XA MU'!$C$27-$D83)/xm_sP)+MAX(0,1-ABS('XA MU'!$D$27-$D83)/xm_sP)),0)+IF(ABS($D83-(xm_y0P+(xm_nP-1)/2*xm_sP))&lt;0.000001,IF('XA MU'!$B$27&lt;=2,'XA MU'!$E$27*$C$8*(IF('XA MU'!$C$27&gt;(xm_y0P+(xm_nP-1)/2*xm_sP),2*('XA MU'!$C$27-(xm_y0P+(xm_nP-1)/2*xm_sP))/xm_sP,0)+IF('XA MU'!$D$27&gt;(xm_y0P+(xm_nP-1)/2*xm_sP),2*('XA MU'!$D$27-(xm_y0P+(xm_nP-1)/2*xm_sP))/xm_sP,0)),0),0)+IF('XA MU'!$B$28&lt;=2,'XA MU'!$E$28*$C$8*(MAX(0,1-ABS('XA MU'!$C$28-$D83)/xm_sP)+MAX(0,1-ABS('XA MU'!$D$28-$D83)/xm_sP)),0)+IF(ABS($D83-(xm_y0P+(xm_nP-1)/2*xm_sP))&lt;0.000001,IF('XA MU'!$B$28&lt;=2,'XA MU'!$E$28*$C$8*(IF('XA MU'!$C$28&gt;(xm_y0P+(xm_nP-1)/2*xm_sP),2*('XA MU'!$C$28-(xm_y0P+(xm_nP-1)/2*xm_sP))/xm_sP,0)+IF('XA MU'!$D$28&gt;(xm_y0P+(xm_nP-1)/2*xm_sP),2*('XA MU'!$D$28-(xm_y0P+(xm_nP-1)/2*xm_sP))/xm_sP,0)),0),0)+IF('XA MU'!$B$29&lt;=2,'XA MU'!$E$29*$C$8*(MAX(0,1-ABS('XA MU'!$C$29-$D83)/xm_sP)+MAX(0,1-ABS('XA MU'!$D$29-$D83)/xm_sP)),0)+IF(ABS($D83-(xm_y0P+(xm_nP-1)/2*xm_sP))&lt;0.000001,IF('XA MU'!$B$29&lt;=2,'XA MU'!$E$29*$C$8*(IF('XA MU'!$C$29&gt;(xm_y0P+(xm_nP-1)/2*xm_sP),2*('XA MU'!$C$29-(xm_y0P+(xm_nP-1)/2*xm_sP))/xm_sP,0)+IF('XA MU'!$D$29&gt;(xm_y0P+(xm_nP-1)/2*xm_sP),2*('XA MU'!$D$29-(xm_y0P+(xm_nP-1)/2*xm_sP))/xm_sP,0)),0),0)+IF('XA MU'!$B$30&lt;=2,'XA MU'!$E$30*$C$8*(MAX(0,1-ABS('XA MU'!$C$30-$D83)/xm_sP)+MAX(0,1-ABS('XA MU'!$D$30-$D83)/xm_sP)),0)+IF(ABS($D83-(xm_y0P+(xm_nP-1)/2*xm_sP))&lt;0.000001,IF('XA MU'!$B$30&lt;=2,'XA MU'!$E$30*$C$8*(IF('XA MU'!$C$30&gt;(xm_y0P+(xm_nP-1)/2*xm_sP),2*('XA MU'!$C$30-(xm_y0P+(xm_nP-1)/2*xm_sP))/xm_sP,0)+IF('XA MU'!$D$30&gt;(xm_y0P+(xm_nP-1)/2*xm_sP),2*('XA MU'!$D$30-(xm_y0P+(xm_nP-1)/2*xm_sP))/xm_sP,0)),0),0))))</f>
        <v>0</v>
      </c>
      <c r="K83" s="44">
        <f>IF(C83=0,0,IF(3&gt;nLan,0,0.85*(IF('XA MU'!$B$25&lt;=3,'XA MU'!$E$25*$C$8*(MAX(0,1-ABS('XA MU'!$C$25-$D83)/xm_sP)+MAX(0,1-ABS('XA MU'!$D$25-$D83)/xm_sP)),0)+IF(ABS($D83-(xm_y0P+(xm_nP-1)/2*xm_sP))&lt;0.000001,IF('XA MU'!$B$25&lt;=3,'XA MU'!$E$25*$C$8*(IF('XA MU'!$C$25&gt;(xm_y0P+(xm_nP-1)/2*xm_sP),2*('XA MU'!$C$25-(xm_y0P+(xm_nP-1)/2*xm_sP))/xm_sP,0)+IF('XA MU'!$D$25&gt;(xm_y0P+(xm_nP-1)/2*xm_sP),2*('XA MU'!$D$25-(xm_y0P+(xm_nP-1)/2*xm_sP))/xm_sP,0)),0),0)+IF('XA MU'!$B$26&lt;=3,'XA MU'!$E$26*$C$8*(MAX(0,1-ABS('XA MU'!$C$26-$D83)/xm_sP)+MAX(0,1-ABS('XA MU'!$D$26-$D83)/xm_sP)),0)+IF(ABS($D83-(xm_y0P+(xm_nP-1)/2*xm_sP))&lt;0.000001,IF('XA MU'!$B$26&lt;=3,'XA MU'!$E$26*$C$8*(IF('XA MU'!$C$26&gt;(xm_y0P+(xm_nP-1)/2*xm_sP),2*('XA MU'!$C$26-(xm_y0P+(xm_nP-1)/2*xm_sP))/xm_sP,0)+IF('XA MU'!$D$26&gt;(xm_y0P+(xm_nP-1)/2*xm_sP),2*('XA MU'!$D$26-(xm_y0P+(xm_nP-1)/2*xm_sP))/xm_sP,0)),0),0)+IF('XA MU'!$B$27&lt;=3,'XA MU'!$E$27*$C$8*(MAX(0,1-ABS('XA MU'!$C$27-$D83)/xm_sP)+MAX(0,1-ABS('XA MU'!$D$27-$D83)/xm_sP)),0)+IF(ABS($D83-(xm_y0P+(xm_nP-1)/2*xm_sP))&lt;0.000001,IF('XA MU'!$B$27&lt;=3,'XA MU'!$E$27*$C$8*(IF('XA MU'!$C$27&gt;(xm_y0P+(xm_nP-1)/2*xm_sP),2*('XA MU'!$C$27-(xm_y0P+(xm_nP-1)/2*xm_sP))/xm_sP,0)+IF('XA MU'!$D$27&gt;(xm_y0P+(xm_nP-1)/2*xm_sP),2*('XA MU'!$D$27-(xm_y0P+(xm_nP-1)/2*xm_sP))/xm_sP,0)),0),0)+IF('XA MU'!$B$28&lt;=3,'XA MU'!$E$28*$C$8*(MAX(0,1-ABS('XA MU'!$C$28-$D83)/xm_sP)+MAX(0,1-ABS('XA MU'!$D$28-$D83)/xm_sP)),0)+IF(ABS($D83-(xm_y0P+(xm_nP-1)/2*xm_sP))&lt;0.000001,IF('XA MU'!$B$28&lt;=3,'XA MU'!$E$28*$C$8*(IF('XA MU'!$C$28&gt;(xm_y0P+(xm_nP-1)/2*xm_sP),2*('XA MU'!$C$28-(xm_y0P+(xm_nP-1)/2*xm_sP))/xm_sP,0)+IF('XA MU'!$D$28&gt;(xm_y0P+(xm_nP-1)/2*xm_sP),2*('XA MU'!$D$28-(xm_y0P+(xm_nP-1)/2*xm_sP))/xm_sP,0)),0),0)+IF('XA MU'!$B$29&lt;=3,'XA MU'!$E$29*$C$8*(MAX(0,1-ABS('XA MU'!$C$29-$D83)/xm_sP)+MAX(0,1-ABS('XA MU'!$D$29-$D83)/xm_sP)),0)+IF(ABS($D83-(xm_y0P+(xm_nP-1)/2*xm_sP))&lt;0.000001,IF('XA MU'!$B$29&lt;=3,'XA MU'!$E$29*$C$8*(IF('XA MU'!$C$29&gt;(xm_y0P+(xm_nP-1)/2*xm_sP),2*('XA MU'!$C$29-(xm_y0P+(xm_nP-1)/2*xm_sP))/xm_sP,0)+IF('XA MU'!$D$29&gt;(xm_y0P+(xm_nP-1)/2*xm_sP),2*('XA MU'!$D$29-(xm_y0P+(xm_nP-1)/2*xm_sP))/xm_sP,0)),0),0)+IF('XA MU'!$B$30&lt;=3,'XA MU'!$E$30*$C$8*(MAX(0,1-ABS('XA MU'!$C$30-$D83)/xm_sP)+MAX(0,1-ABS('XA MU'!$D$30-$D83)/xm_sP)),0)+IF(ABS($D83-(xm_y0P+(xm_nP-1)/2*xm_sP))&lt;0.000001,IF('XA MU'!$B$30&lt;=3,'XA MU'!$E$30*$C$8*(IF('XA MU'!$C$30&gt;(xm_y0P+(xm_nP-1)/2*xm_sP),2*('XA MU'!$C$30-(xm_y0P+(xm_nP-1)/2*xm_sP))/xm_sP,0)+IF('XA MU'!$D$30&gt;(xm_y0P+(xm_nP-1)/2*xm_sP),2*('XA MU'!$D$30-(xm_y0P+(xm_nP-1)/2*xm_sP))/xm_sP,0)),0),0))))</f>
        <v>0</v>
      </c>
      <c r="L83" s="44">
        <f>IF(C83=0,0,IF(4&gt;nLan,0,0.65*(IF('XA MU'!$B$25&lt;=4,'XA MU'!$E$25*$C$8*(MAX(0,1-ABS('XA MU'!$C$25-$D83)/xm_sP)+MAX(0,1-ABS('XA MU'!$D$25-$D83)/xm_sP)),0)+IF(ABS($D83-(xm_y0P+(xm_nP-1)/2*xm_sP))&lt;0.000001,IF('XA MU'!$B$25&lt;=4,'XA MU'!$E$25*$C$8*(IF('XA MU'!$C$25&gt;(xm_y0P+(xm_nP-1)/2*xm_sP),2*('XA MU'!$C$25-(xm_y0P+(xm_nP-1)/2*xm_sP))/xm_sP,0)+IF('XA MU'!$D$25&gt;(xm_y0P+(xm_nP-1)/2*xm_sP),2*('XA MU'!$D$25-(xm_y0P+(xm_nP-1)/2*xm_sP))/xm_sP,0)),0),0)+IF('XA MU'!$B$26&lt;=4,'XA MU'!$E$26*$C$8*(MAX(0,1-ABS('XA MU'!$C$26-$D83)/xm_sP)+MAX(0,1-ABS('XA MU'!$D$26-$D83)/xm_sP)),0)+IF(ABS($D83-(xm_y0P+(xm_nP-1)/2*xm_sP))&lt;0.000001,IF('XA MU'!$B$26&lt;=4,'XA MU'!$E$26*$C$8*(IF('XA MU'!$C$26&gt;(xm_y0P+(xm_nP-1)/2*xm_sP),2*('XA MU'!$C$26-(xm_y0P+(xm_nP-1)/2*xm_sP))/xm_sP,0)+IF('XA MU'!$D$26&gt;(xm_y0P+(xm_nP-1)/2*xm_sP),2*('XA MU'!$D$26-(xm_y0P+(xm_nP-1)/2*xm_sP))/xm_sP,0)),0),0)+IF('XA MU'!$B$27&lt;=4,'XA MU'!$E$27*$C$8*(MAX(0,1-ABS('XA MU'!$C$27-$D83)/xm_sP)+MAX(0,1-ABS('XA MU'!$D$27-$D83)/xm_sP)),0)+IF(ABS($D83-(xm_y0P+(xm_nP-1)/2*xm_sP))&lt;0.000001,IF('XA MU'!$B$27&lt;=4,'XA MU'!$E$27*$C$8*(IF('XA MU'!$C$27&gt;(xm_y0P+(xm_nP-1)/2*xm_sP),2*('XA MU'!$C$27-(xm_y0P+(xm_nP-1)/2*xm_sP))/xm_sP,0)+IF('XA MU'!$D$27&gt;(xm_y0P+(xm_nP-1)/2*xm_sP),2*('XA MU'!$D$27-(xm_y0P+(xm_nP-1)/2*xm_sP))/xm_sP,0)),0),0)+IF('XA MU'!$B$28&lt;=4,'XA MU'!$E$28*$C$8*(MAX(0,1-ABS('XA MU'!$C$28-$D83)/xm_sP)+MAX(0,1-ABS('XA MU'!$D$28-$D83)/xm_sP)),0)+IF(ABS($D83-(xm_y0P+(xm_nP-1)/2*xm_sP))&lt;0.000001,IF('XA MU'!$B$28&lt;=4,'XA MU'!$E$28*$C$8*(IF('XA MU'!$C$28&gt;(xm_y0P+(xm_nP-1)/2*xm_sP),2*('XA MU'!$C$28-(xm_y0P+(xm_nP-1)/2*xm_sP))/xm_sP,0)+IF('XA MU'!$D$28&gt;(xm_y0P+(xm_nP-1)/2*xm_sP),2*('XA MU'!$D$28-(xm_y0P+(xm_nP-1)/2*xm_sP))/xm_sP,0)),0),0)+IF('XA MU'!$B$29&lt;=4,'XA MU'!$E$29*$C$8*(MAX(0,1-ABS('XA MU'!$C$29-$D83)/xm_sP)+MAX(0,1-ABS('XA MU'!$D$29-$D83)/xm_sP)),0)+IF(ABS($D83-(xm_y0P+(xm_nP-1)/2*xm_sP))&lt;0.000001,IF('XA MU'!$B$29&lt;=4,'XA MU'!$E$29*$C$8*(IF('XA MU'!$C$29&gt;(xm_y0P+(xm_nP-1)/2*xm_sP),2*('XA MU'!$C$29-(xm_y0P+(xm_nP-1)/2*xm_sP))/xm_sP,0)+IF('XA MU'!$D$29&gt;(xm_y0P+(xm_nP-1)/2*xm_sP),2*('XA MU'!$D$29-(xm_y0P+(xm_nP-1)/2*xm_sP))/xm_sP,0)),0),0)+IF('XA MU'!$B$30&lt;=4,'XA MU'!$E$30*$C$8*(MAX(0,1-ABS('XA MU'!$C$30-$D83)/xm_sP)+MAX(0,1-ABS('XA MU'!$D$30-$D83)/xm_sP)),0)+IF(ABS($D83-(xm_y0P+(xm_nP-1)/2*xm_sP))&lt;0.000001,IF('XA MU'!$B$30&lt;=4,'XA MU'!$E$30*$C$8*(IF('XA MU'!$C$30&gt;(xm_y0P+(xm_nP-1)/2*xm_sP),2*('XA MU'!$C$30-(xm_y0P+(xm_nP-1)/2*xm_sP))/xm_sP,0)+IF('XA MU'!$D$30&gt;(xm_y0P+(xm_nP-1)/2*xm_sP),2*('XA MU'!$D$30-(xm_y0P+(xm_nP-1)/2*xm_sP))/xm_sP,0)),0),0))))</f>
        <v>0</v>
      </c>
      <c r="M83" s="44">
        <f>IF(C83=0,0,IF(5&gt;nLan,0,0.65*(IF('XA MU'!$B$25&lt;=5,'XA MU'!$E$25*$C$8*(MAX(0,1-ABS('XA MU'!$C$25-$D83)/xm_sP)+MAX(0,1-ABS('XA MU'!$D$25-$D83)/xm_sP)),0)+IF(ABS($D83-(xm_y0P+(xm_nP-1)/2*xm_sP))&lt;0.000001,IF('XA MU'!$B$25&lt;=5,'XA MU'!$E$25*$C$8*(IF('XA MU'!$C$25&gt;(xm_y0P+(xm_nP-1)/2*xm_sP),2*('XA MU'!$C$25-(xm_y0P+(xm_nP-1)/2*xm_sP))/xm_sP,0)+IF('XA MU'!$D$25&gt;(xm_y0P+(xm_nP-1)/2*xm_sP),2*('XA MU'!$D$25-(xm_y0P+(xm_nP-1)/2*xm_sP))/xm_sP,0)),0),0)+IF('XA MU'!$B$26&lt;=5,'XA MU'!$E$26*$C$8*(MAX(0,1-ABS('XA MU'!$C$26-$D83)/xm_sP)+MAX(0,1-ABS('XA MU'!$D$26-$D83)/xm_sP)),0)+IF(ABS($D83-(xm_y0P+(xm_nP-1)/2*xm_sP))&lt;0.000001,IF('XA MU'!$B$26&lt;=5,'XA MU'!$E$26*$C$8*(IF('XA MU'!$C$26&gt;(xm_y0P+(xm_nP-1)/2*xm_sP),2*('XA MU'!$C$26-(xm_y0P+(xm_nP-1)/2*xm_sP))/xm_sP,0)+IF('XA MU'!$D$26&gt;(xm_y0P+(xm_nP-1)/2*xm_sP),2*('XA MU'!$D$26-(xm_y0P+(xm_nP-1)/2*xm_sP))/xm_sP,0)),0),0)+IF('XA MU'!$B$27&lt;=5,'XA MU'!$E$27*$C$8*(MAX(0,1-ABS('XA MU'!$C$27-$D83)/xm_sP)+MAX(0,1-ABS('XA MU'!$D$27-$D83)/xm_sP)),0)+IF(ABS($D83-(xm_y0P+(xm_nP-1)/2*xm_sP))&lt;0.000001,IF('XA MU'!$B$27&lt;=5,'XA MU'!$E$27*$C$8*(IF('XA MU'!$C$27&gt;(xm_y0P+(xm_nP-1)/2*xm_sP),2*('XA MU'!$C$27-(xm_y0P+(xm_nP-1)/2*xm_sP))/xm_sP,0)+IF('XA MU'!$D$27&gt;(xm_y0P+(xm_nP-1)/2*xm_sP),2*('XA MU'!$D$27-(xm_y0P+(xm_nP-1)/2*xm_sP))/xm_sP,0)),0),0)+IF('XA MU'!$B$28&lt;=5,'XA MU'!$E$28*$C$8*(MAX(0,1-ABS('XA MU'!$C$28-$D83)/xm_sP)+MAX(0,1-ABS('XA MU'!$D$28-$D83)/xm_sP)),0)+IF(ABS($D83-(xm_y0P+(xm_nP-1)/2*xm_sP))&lt;0.000001,IF('XA MU'!$B$28&lt;=5,'XA MU'!$E$28*$C$8*(IF('XA MU'!$C$28&gt;(xm_y0P+(xm_nP-1)/2*xm_sP),2*('XA MU'!$C$28-(xm_y0P+(xm_nP-1)/2*xm_sP))/xm_sP,0)+IF('XA MU'!$D$28&gt;(xm_y0P+(xm_nP-1)/2*xm_sP),2*('XA MU'!$D$28-(xm_y0P+(xm_nP-1)/2*xm_sP))/xm_sP,0)),0),0)+IF('XA MU'!$B$29&lt;=5,'XA MU'!$E$29*$C$8*(MAX(0,1-ABS('XA MU'!$C$29-$D83)/xm_sP)+MAX(0,1-ABS('XA MU'!$D$29-$D83)/xm_sP)),0)+IF(ABS($D83-(xm_y0P+(xm_nP-1)/2*xm_sP))&lt;0.000001,IF('XA MU'!$B$29&lt;=5,'XA MU'!$E$29*$C$8*(IF('XA MU'!$C$29&gt;(xm_y0P+(xm_nP-1)/2*xm_sP),2*('XA MU'!$C$29-(xm_y0P+(xm_nP-1)/2*xm_sP))/xm_sP,0)+IF('XA MU'!$D$29&gt;(xm_y0P+(xm_nP-1)/2*xm_sP),2*('XA MU'!$D$29-(xm_y0P+(xm_nP-1)/2*xm_sP))/xm_sP,0)),0),0)+IF('XA MU'!$B$30&lt;=5,'XA MU'!$E$30*$C$8*(MAX(0,1-ABS('XA MU'!$C$30-$D83)/xm_sP)+MAX(0,1-ABS('XA MU'!$D$30-$D83)/xm_sP)),0)+IF(ABS($D83-(xm_y0P+(xm_nP-1)/2*xm_sP))&lt;0.000001,IF('XA MU'!$B$30&lt;=5,'XA MU'!$E$30*$C$8*(IF('XA MU'!$C$30&gt;(xm_y0P+(xm_nP-1)/2*xm_sP),2*('XA MU'!$C$30-(xm_y0P+(xm_nP-1)/2*xm_sP))/xm_sP,0)+IF('XA MU'!$D$30&gt;(xm_y0P+(xm_nP-1)/2*xm_sP),2*('XA MU'!$D$30-(xm_y0P+(xm_nP-1)/2*xm_sP))/xm_sP,0)),0),0))))</f>
        <v>0</v>
      </c>
      <c r="N83" s="44">
        <f>IF(C83=0,0,IF(6&gt;nLan,0,0.65*(IF('XA MU'!$B$25&lt;=6,'XA MU'!$E$25*$C$8*(MAX(0,1-ABS('XA MU'!$C$25-$D83)/xm_sP)+MAX(0,1-ABS('XA MU'!$D$25-$D83)/xm_sP)),0)+IF(ABS($D83-(xm_y0P+(xm_nP-1)/2*xm_sP))&lt;0.000001,IF('XA MU'!$B$25&lt;=6,'XA MU'!$E$25*$C$8*(IF('XA MU'!$C$25&gt;(xm_y0P+(xm_nP-1)/2*xm_sP),2*('XA MU'!$C$25-(xm_y0P+(xm_nP-1)/2*xm_sP))/xm_sP,0)+IF('XA MU'!$D$25&gt;(xm_y0P+(xm_nP-1)/2*xm_sP),2*('XA MU'!$D$25-(xm_y0P+(xm_nP-1)/2*xm_sP))/xm_sP,0)),0),0)+IF('XA MU'!$B$26&lt;=6,'XA MU'!$E$26*$C$8*(MAX(0,1-ABS('XA MU'!$C$26-$D83)/xm_sP)+MAX(0,1-ABS('XA MU'!$D$26-$D83)/xm_sP)),0)+IF(ABS($D83-(xm_y0P+(xm_nP-1)/2*xm_sP))&lt;0.000001,IF('XA MU'!$B$26&lt;=6,'XA MU'!$E$26*$C$8*(IF('XA MU'!$C$26&gt;(xm_y0P+(xm_nP-1)/2*xm_sP),2*('XA MU'!$C$26-(xm_y0P+(xm_nP-1)/2*xm_sP))/xm_sP,0)+IF('XA MU'!$D$26&gt;(xm_y0P+(xm_nP-1)/2*xm_sP),2*('XA MU'!$D$26-(xm_y0P+(xm_nP-1)/2*xm_sP))/xm_sP,0)),0),0)+IF('XA MU'!$B$27&lt;=6,'XA MU'!$E$27*$C$8*(MAX(0,1-ABS('XA MU'!$C$27-$D83)/xm_sP)+MAX(0,1-ABS('XA MU'!$D$27-$D83)/xm_sP)),0)+IF(ABS($D83-(xm_y0P+(xm_nP-1)/2*xm_sP))&lt;0.000001,IF('XA MU'!$B$27&lt;=6,'XA MU'!$E$27*$C$8*(IF('XA MU'!$C$27&gt;(xm_y0P+(xm_nP-1)/2*xm_sP),2*('XA MU'!$C$27-(xm_y0P+(xm_nP-1)/2*xm_sP))/xm_sP,0)+IF('XA MU'!$D$27&gt;(xm_y0P+(xm_nP-1)/2*xm_sP),2*('XA MU'!$D$27-(xm_y0P+(xm_nP-1)/2*xm_sP))/xm_sP,0)),0),0)+IF('XA MU'!$B$28&lt;=6,'XA MU'!$E$28*$C$8*(MAX(0,1-ABS('XA MU'!$C$28-$D83)/xm_sP)+MAX(0,1-ABS('XA MU'!$D$28-$D83)/xm_sP)),0)+IF(ABS($D83-(xm_y0P+(xm_nP-1)/2*xm_sP))&lt;0.000001,IF('XA MU'!$B$28&lt;=6,'XA MU'!$E$28*$C$8*(IF('XA MU'!$C$28&gt;(xm_y0P+(xm_nP-1)/2*xm_sP),2*('XA MU'!$C$28-(xm_y0P+(xm_nP-1)/2*xm_sP))/xm_sP,0)+IF('XA MU'!$D$28&gt;(xm_y0P+(xm_nP-1)/2*xm_sP),2*('XA MU'!$D$28-(xm_y0P+(xm_nP-1)/2*xm_sP))/xm_sP,0)),0),0)+IF('XA MU'!$B$29&lt;=6,'XA MU'!$E$29*$C$8*(MAX(0,1-ABS('XA MU'!$C$29-$D83)/xm_sP)+MAX(0,1-ABS('XA MU'!$D$29-$D83)/xm_sP)),0)+IF(ABS($D83-(xm_y0P+(xm_nP-1)/2*xm_sP))&lt;0.000001,IF('XA MU'!$B$29&lt;=6,'XA MU'!$E$29*$C$8*(IF('XA MU'!$C$29&gt;(xm_y0P+(xm_nP-1)/2*xm_sP),2*('XA MU'!$C$29-(xm_y0P+(xm_nP-1)/2*xm_sP))/xm_sP,0)+IF('XA MU'!$D$29&gt;(xm_y0P+(xm_nP-1)/2*xm_sP),2*('XA MU'!$D$29-(xm_y0P+(xm_nP-1)/2*xm_sP))/xm_sP,0)),0),0)+IF('XA MU'!$B$30&lt;=6,'XA MU'!$E$30*$C$8*(MAX(0,1-ABS('XA MU'!$C$30-$D83)/xm_sP)+MAX(0,1-ABS('XA MU'!$D$30-$D83)/xm_sP)),0)+IF(ABS($D83-(xm_y0P+(xm_nP-1)/2*xm_sP))&lt;0.000001,IF('XA MU'!$B$30&lt;=6,'XA MU'!$E$30*$C$8*(IF('XA MU'!$C$30&gt;(xm_y0P+(xm_nP-1)/2*xm_sP),2*('XA MU'!$C$30-(xm_y0P+(xm_nP-1)/2*xm_sP))/xm_sP,0)+IF('XA MU'!$D$30&gt;(xm_y0P+(xm_nP-1)/2*xm_sP),2*('XA MU'!$D$30-(xm_y0P+(xm_nP-1)/2*xm_sP))/xm_sP,0)),0),0))))</f>
        <v>0</v>
      </c>
    </row>
    <row r="84" spans="1:14" x14ac:dyDescent="0.3">
      <c r="A84" s="42" t="s">
        <v>1236</v>
      </c>
      <c r="B84" s="42">
        <v>30</v>
      </c>
      <c r="C84" s="40">
        <f t="shared" si="4"/>
        <v>0</v>
      </c>
      <c r="D84" s="44">
        <f t="shared" si="5"/>
        <v>0</v>
      </c>
      <c r="E84" s="44">
        <f>MAX(0,D84-'XA MU'!$C$8)*C84</f>
        <v>0</v>
      </c>
      <c r="F84" s="44">
        <f>IF(AND(C84=1,D84&gt;'XA MU'!$C$8),1,0)</f>
        <v>0</v>
      </c>
      <c r="G84" s="44">
        <f t="shared" si="6"/>
        <v>0</v>
      </c>
      <c r="H84" s="44">
        <f t="shared" si="7"/>
        <v>0</v>
      </c>
      <c r="I84" s="44">
        <f>IF(C84=0,0,IF(1&gt;nLan,0,1.2*(IF('XA MU'!$B$25&lt;=1,'XA MU'!$E$25*$C$8*(MAX(0,1-ABS('XA MU'!$C$25-$D84)/xm_sP)+MAX(0,1-ABS('XA MU'!$D$25-$D84)/xm_sP)),0)+IF(ABS($D84-(xm_y0P+(xm_nP-1)/2*xm_sP))&lt;0.000001,IF('XA MU'!$B$25&lt;=1,'XA MU'!$E$25*$C$8*(IF('XA MU'!$C$25&gt;(xm_y0P+(xm_nP-1)/2*xm_sP),2*('XA MU'!$C$25-(xm_y0P+(xm_nP-1)/2*xm_sP))/xm_sP,0)+IF('XA MU'!$D$25&gt;(xm_y0P+(xm_nP-1)/2*xm_sP),2*('XA MU'!$D$25-(xm_y0P+(xm_nP-1)/2*xm_sP))/xm_sP,0)),0),0)+IF('XA MU'!$B$26&lt;=1,'XA MU'!$E$26*$C$8*(MAX(0,1-ABS('XA MU'!$C$26-$D84)/xm_sP)+MAX(0,1-ABS('XA MU'!$D$26-$D84)/xm_sP)),0)+IF(ABS($D84-(xm_y0P+(xm_nP-1)/2*xm_sP))&lt;0.000001,IF('XA MU'!$B$26&lt;=1,'XA MU'!$E$26*$C$8*(IF('XA MU'!$C$26&gt;(xm_y0P+(xm_nP-1)/2*xm_sP),2*('XA MU'!$C$26-(xm_y0P+(xm_nP-1)/2*xm_sP))/xm_sP,0)+IF('XA MU'!$D$26&gt;(xm_y0P+(xm_nP-1)/2*xm_sP),2*('XA MU'!$D$26-(xm_y0P+(xm_nP-1)/2*xm_sP))/xm_sP,0)),0),0)+IF('XA MU'!$B$27&lt;=1,'XA MU'!$E$27*$C$8*(MAX(0,1-ABS('XA MU'!$C$27-$D84)/xm_sP)+MAX(0,1-ABS('XA MU'!$D$27-$D84)/xm_sP)),0)+IF(ABS($D84-(xm_y0P+(xm_nP-1)/2*xm_sP))&lt;0.000001,IF('XA MU'!$B$27&lt;=1,'XA MU'!$E$27*$C$8*(IF('XA MU'!$C$27&gt;(xm_y0P+(xm_nP-1)/2*xm_sP),2*('XA MU'!$C$27-(xm_y0P+(xm_nP-1)/2*xm_sP))/xm_sP,0)+IF('XA MU'!$D$27&gt;(xm_y0P+(xm_nP-1)/2*xm_sP),2*('XA MU'!$D$27-(xm_y0P+(xm_nP-1)/2*xm_sP))/xm_sP,0)),0),0)+IF('XA MU'!$B$28&lt;=1,'XA MU'!$E$28*$C$8*(MAX(0,1-ABS('XA MU'!$C$28-$D84)/xm_sP)+MAX(0,1-ABS('XA MU'!$D$28-$D84)/xm_sP)),0)+IF(ABS($D84-(xm_y0P+(xm_nP-1)/2*xm_sP))&lt;0.000001,IF('XA MU'!$B$28&lt;=1,'XA MU'!$E$28*$C$8*(IF('XA MU'!$C$28&gt;(xm_y0P+(xm_nP-1)/2*xm_sP),2*('XA MU'!$C$28-(xm_y0P+(xm_nP-1)/2*xm_sP))/xm_sP,0)+IF('XA MU'!$D$28&gt;(xm_y0P+(xm_nP-1)/2*xm_sP),2*('XA MU'!$D$28-(xm_y0P+(xm_nP-1)/2*xm_sP))/xm_sP,0)),0),0)+IF('XA MU'!$B$29&lt;=1,'XA MU'!$E$29*$C$8*(MAX(0,1-ABS('XA MU'!$C$29-$D84)/xm_sP)+MAX(0,1-ABS('XA MU'!$D$29-$D84)/xm_sP)),0)+IF(ABS($D84-(xm_y0P+(xm_nP-1)/2*xm_sP))&lt;0.000001,IF('XA MU'!$B$29&lt;=1,'XA MU'!$E$29*$C$8*(IF('XA MU'!$C$29&gt;(xm_y0P+(xm_nP-1)/2*xm_sP),2*('XA MU'!$C$29-(xm_y0P+(xm_nP-1)/2*xm_sP))/xm_sP,0)+IF('XA MU'!$D$29&gt;(xm_y0P+(xm_nP-1)/2*xm_sP),2*('XA MU'!$D$29-(xm_y0P+(xm_nP-1)/2*xm_sP))/xm_sP,0)),0),0)+IF('XA MU'!$B$30&lt;=1,'XA MU'!$E$30*$C$8*(MAX(0,1-ABS('XA MU'!$C$30-$D84)/xm_sP)+MAX(0,1-ABS('XA MU'!$D$30-$D84)/xm_sP)),0)+IF(ABS($D84-(xm_y0P+(xm_nP-1)/2*xm_sP))&lt;0.000001,IF('XA MU'!$B$30&lt;=1,'XA MU'!$E$30*$C$8*(IF('XA MU'!$C$30&gt;(xm_y0P+(xm_nP-1)/2*xm_sP),2*('XA MU'!$C$30-(xm_y0P+(xm_nP-1)/2*xm_sP))/xm_sP,0)+IF('XA MU'!$D$30&gt;(xm_y0P+(xm_nP-1)/2*xm_sP),2*('XA MU'!$D$30-(xm_y0P+(xm_nP-1)/2*xm_sP))/xm_sP,0)),0),0))))</f>
        <v>0</v>
      </c>
      <c r="J84" s="44">
        <f>IF(C84=0,0,IF(2&gt;nLan,0,1*(IF('XA MU'!$B$25&lt;=2,'XA MU'!$E$25*$C$8*(MAX(0,1-ABS('XA MU'!$C$25-$D84)/xm_sP)+MAX(0,1-ABS('XA MU'!$D$25-$D84)/xm_sP)),0)+IF(ABS($D84-(xm_y0P+(xm_nP-1)/2*xm_sP))&lt;0.000001,IF('XA MU'!$B$25&lt;=2,'XA MU'!$E$25*$C$8*(IF('XA MU'!$C$25&gt;(xm_y0P+(xm_nP-1)/2*xm_sP),2*('XA MU'!$C$25-(xm_y0P+(xm_nP-1)/2*xm_sP))/xm_sP,0)+IF('XA MU'!$D$25&gt;(xm_y0P+(xm_nP-1)/2*xm_sP),2*('XA MU'!$D$25-(xm_y0P+(xm_nP-1)/2*xm_sP))/xm_sP,0)),0),0)+IF('XA MU'!$B$26&lt;=2,'XA MU'!$E$26*$C$8*(MAX(0,1-ABS('XA MU'!$C$26-$D84)/xm_sP)+MAX(0,1-ABS('XA MU'!$D$26-$D84)/xm_sP)),0)+IF(ABS($D84-(xm_y0P+(xm_nP-1)/2*xm_sP))&lt;0.000001,IF('XA MU'!$B$26&lt;=2,'XA MU'!$E$26*$C$8*(IF('XA MU'!$C$26&gt;(xm_y0P+(xm_nP-1)/2*xm_sP),2*('XA MU'!$C$26-(xm_y0P+(xm_nP-1)/2*xm_sP))/xm_sP,0)+IF('XA MU'!$D$26&gt;(xm_y0P+(xm_nP-1)/2*xm_sP),2*('XA MU'!$D$26-(xm_y0P+(xm_nP-1)/2*xm_sP))/xm_sP,0)),0),0)+IF('XA MU'!$B$27&lt;=2,'XA MU'!$E$27*$C$8*(MAX(0,1-ABS('XA MU'!$C$27-$D84)/xm_sP)+MAX(0,1-ABS('XA MU'!$D$27-$D84)/xm_sP)),0)+IF(ABS($D84-(xm_y0P+(xm_nP-1)/2*xm_sP))&lt;0.000001,IF('XA MU'!$B$27&lt;=2,'XA MU'!$E$27*$C$8*(IF('XA MU'!$C$27&gt;(xm_y0P+(xm_nP-1)/2*xm_sP),2*('XA MU'!$C$27-(xm_y0P+(xm_nP-1)/2*xm_sP))/xm_sP,0)+IF('XA MU'!$D$27&gt;(xm_y0P+(xm_nP-1)/2*xm_sP),2*('XA MU'!$D$27-(xm_y0P+(xm_nP-1)/2*xm_sP))/xm_sP,0)),0),0)+IF('XA MU'!$B$28&lt;=2,'XA MU'!$E$28*$C$8*(MAX(0,1-ABS('XA MU'!$C$28-$D84)/xm_sP)+MAX(0,1-ABS('XA MU'!$D$28-$D84)/xm_sP)),0)+IF(ABS($D84-(xm_y0P+(xm_nP-1)/2*xm_sP))&lt;0.000001,IF('XA MU'!$B$28&lt;=2,'XA MU'!$E$28*$C$8*(IF('XA MU'!$C$28&gt;(xm_y0P+(xm_nP-1)/2*xm_sP),2*('XA MU'!$C$28-(xm_y0P+(xm_nP-1)/2*xm_sP))/xm_sP,0)+IF('XA MU'!$D$28&gt;(xm_y0P+(xm_nP-1)/2*xm_sP),2*('XA MU'!$D$28-(xm_y0P+(xm_nP-1)/2*xm_sP))/xm_sP,0)),0),0)+IF('XA MU'!$B$29&lt;=2,'XA MU'!$E$29*$C$8*(MAX(0,1-ABS('XA MU'!$C$29-$D84)/xm_sP)+MAX(0,1-ABS('XA MU'!$D$29-$D84)/xm_sP)),0)+IF(ABS($D84-(xm_y0P+(xm_nP-1)/2*xm_sP))&lt;0.000001,IF('XA MU'!$B$29&lt;=2,'XA MU'!$E$29*$C$8*(IF('XA MU'!$C$29&gt;(xm_y0P+(xm_nP-1)/2*xm_sP),2*('XA MU'!$C$29-(xm_y0P+(xm_nP-1)/2*xm_sP))/xm_sP,0)+IF('XA MU'!$D$29&gt;(xm_y0P+(xm_nP-1)/2*xm_sP),2*('XA MU'!$D$29-(xm_y0P+(xm_nP-1)/2*xm_sP))/xm_sP,0)),0),0)+IF('XA MU'!$B$30&lt;=2,'XA MU'!$E$30*$C$8*(MAX(0,1-ABS('XA MU'!$C$30-$D84)/xm_sP)+MAX(0,1-ABS('XA MU'!$D$30-$D84)/xm_sP)),0)+IF(ABS($D84-(xm_y0P+(xm_nP-1)/2*xm_sP))&lt;0.000001,IF('XA MU'!$B$30&lt;=2,'XA MU'!$E$30*$C$8*(IF('XA MU'!$C$30&gt;(xm_y0P+(xm_nP-1)/2*xm_sP),2*('XA MU'!$C$30-(xm_y0P+(xm_nP-1)/2*xm_sP))/xm_sP,0)+IF('XA MU'!$D$30&gt;(xm_y0P+(xm_nP-1)/2*xm_sP),2*('XA MU'!$D$30-(xm_y0P+(xm_nP-1)/2*xm_sP))/xm_sP,0)),0),0))))</f>
        <v>0</v>
      </c>
      <c r="K84" s="44">
        <f>IF(C84=0,0,IF(3&gt;nLan,0,0.85*(IF('XA MU'!$B$25&lt;=3,'XA MU'!$E$25*$C$8*(MAX(0,1-ABS('XA MU'!$C$25-$D84)/xm_sP)+MAX(0,1-ABS('XA MU'!$D$25-$D84)/xm_sP)),0)+IF(ABS($D84-(xm_y0P+(xm_nP-1)/2*xm_sP))&lt;0.000001,IF('XA MU'!$B$25&lt;=3,'XA MU'!$E$25*$C$8*(IF('XA MU'!$C$25&gt;(xm_y0P+(xm_nP-1)/2*xm_sP),2*('XA MU'!$C$25-(xm_y0P+(xm_nP-1)/2*xm_sP))/xm_sP,0)+IF('XA MU'!$D$25&gt;(xm_y0P+(xm_nP-1)/2*xm_sP),2*('XA MU'!$D$25-(xm_y0P+(xm_nP-1)/2*xm_sP))/xm_sP,0)),0),0)+IF('XA MU'!$B$26&lt;=3,'XA MU'!$E$26*$C$8*(MAX(0,1-ABS('XA MU'!$C$26-$D84)/xm_sP)+MAX(0,1-ABS('XA MU'!$D$26-$D84)/xm_sP)),0)+IF(ABS($D84-(xm_y0P+(xm_nP-1)/2*xm_sP))&lt;0.000001,IF('XA MU'!$B$26&lt;=3,'XA MU'!$E$26*$C$8*(IF('XA MU'!$C$26&gt;(xm_y0P+(xm_nP-1)/2*xm_sP),2*('XA MU'!$C$26-(xm_y0P+(xm_nP-1)/2*xm_sP))/xm_sP,0)+IF('XA MU'!$D$26&gt;(xm_y0P+(xm_nP-1)/2*xm_sP),2*('XA MU'!$D$26-(xm_y0P+(xm_nP-1)/2*xm_sP))/xm_sP,0)),0),0)+IF('XA MU'!$B$27&lt;=3,'XA MU'!$E$27*$C$8*(MAX(0,1-ABS('XA MU'!$C$27-$D84)/xm_sP)+MAX(0,1-ABS('XA MU'!$D$27-$D84)/xm_sP)),0)+IF(ABS($D84-(xm_y0P+(xm_nP-1)/2*xm_sP))&lt;0.000001,IF('XA MU'!$B$27&lt;=3,'XA MU'!$E$27*$C$8*(IF('XA MU'!$C$27&gt;(xm_y0P+(xm_nP-1)/2*xm_sP),2*('XA MU'!$C$27-(xm_y0P+(xm_nP-1)/2*xm_sP))/xm_sP,0)+IF('XA MU'!$D$27&gt;(xm_y0P+(xm_nP-1)/2*xm_sP),2*('XA MU'!$D$27-(xm_y0P+(xm_nP-1)/2*xm_sP))/xm_sP,0)),0),0)+IF('XA MU'!$B$28&lt;=3,'XA MU'!$E$28*$C$8*(MAX(0,1-ABS('XA MU'!$C$28-$D84)/xm_sP)+MAX(0,1-ABS('XA MU'!$D$28-$D84)/xm_sP)),0)+IF(ABS($D84-(xm_y0P+(xm_nP-1)/2*xm_sP))&lt;0.000001,IF('XA MU'!$B$28&lt;=3,'XA MU'!$E$28*$C$8*(IF('XA MU'!$C$28&gt;(xm_y0P+(xm_nP-1)/2*xm_sP),2*('XA MU'!$C$28-(xm_y0P+(xm_nP-1)/2*xm_sP))/xm_sP,0)+IF('XA MU'!$D$28&gt;(xm_y0P+(xm_nP-1)/2*xm_sP),2*('XA MU'!$D$28-(xm_y0P+(xm_nP-1)/2*xm_sP))/xm_sP,0)),0),0)+IF('XA MU'!$B$29&lt;=3,'XA MU'!$E$29*$C$8*(MAX(0,1-ABS('XA MU'!$C$29-$D84)/xm_sP)+MAX(0,1-ABS('XA MU'!$D$29-$D84)/xm_sP)),0)+IF(ABS($D84-(xm_y0P+(xm_nP-1)/2*xm_sP))&lt;0.000001,IF('XA MU'!$B$29&lt;=3,'XA MU'!$E$29*$C$8*(IF('XA MU'!$C$29&gt;(xm_y0P+(xm_nP-1)/2*xm_sP),2*('XA MU'!$C$29-(xm_y0P+(xm_nP-1)/2*xm_sP))/xm_sP,0)+IF('XA MU'!$D$29&gt;(xm_y0P+(xm_nP-1)/2*xm_sP),2*('XA MU'!$D$29-(xm_y0P+(xm_nP-1)/2*xm_sP))/xm_sP,0)),0),0)+IF('XA MU'!$B$30&lt;=3,'XA MU'!$E$30*$C$8*(MAX(0,1-ABS('XA MU'!$C$30-$D84)/xm_sP)+MAX(0,1-ABS('XA MU'!$D$30-$D84)/xm_sP)),0)+IF(ABS($D84-(xm_y0P+(xm_nP-1)/2*xm_sP))&lt;0.000001,IF('XA MU'!$B$30&lt;=3,'XA MU'!$E$30*$C$8*(IF('XA MU'!$C$30&gt;(xm_y0P+(xm_nP-1)/2*xm_sP),2*('XA MU'!$C$30-(xm_y0P+(xm_nP-1)/2*xm_sP))/xm_sP,0)+IF('XA MU'!$D$30&gt;(xm_y0P+(xm_nP-1)/2*xm_sP),2*('XA MU'!$D$30-(xm_y0P+(xm_nP-1)/2*xm_sP))/xm_sP,0)),0),0))))</f>
        <v>0</v>
      </c>
      <c r="L84" s="44">
        <f>IF(C84=0,0,IF(4&gt;nLan,0,0.65*(IF('XA MU'!$B$25&lt;=4,'XA MU'!$E$25*$C$8*(MAX(0,1-ABS('XA MU'!$C$25-$D84)/xm_sP)+MAX(0,1-ABS('XA MU'!$D$25-$D84)/xm_sP)),0)+IF(ABS($D84-(xm_y0P+(xm_nP-1)/2*xm_sP))&lt;0.000001,IF('XA MU'!$B$25&lt;=4,'XA MU'!$E$25*$C$8*(IF('XA MU'!$C$25&gt;(xm_y0P+(xm_nP-1)/2*xm_sP),2*('XA MU'!$C$25-(xm_y0P+(xm_nP-1)/2*xm_sP))/xm_sP,0)+IF('XA MU'!$D$25&gt;(xm_y0P+(xm_nP-1)/2*xm_sP),2*('XA MU'!$D$25-(xm_y0P+(xm_nP-1)/2*xm_sP))/xm_sP,0)),0),0)+IF('XA MU'!$B$26&lt;=4,'XA MU'!$E$26*$C$8*(MAX(0,1-ABS('XA MU'!$C$26-$D84)/xm_sP)+MAX(0,1-ABS('XA MU'!$D$26-$D84)/xm_sP)),0)+IF(ABS($D84-(xm_y0P+(xm_nP-1)/2*xm_sP))&lt;0.000001,IF('XA MU'!$B$26&lt;=4,'XA MU'!$E$26*$C$8*(IF('XA MU'!$C$26&gt;(xm_y0P+(xm_nP-1)/2*xm_sP),2*('XA MU'!$C$26-(xm_y0P+(xm_nP-1)/2*xm_sP))/xm_sP,0)+IF('XA MU'!$D$26&gt;(xm_y0P+(xm_nP-1)/2*xm_sP),2*('XA MU'!$D$26-(xm_y0P+(xm_nP-1)/2*xm_sP))/xm_sP,0)),0),0)+IF('XA MU'!$B$27&lt;=4,'XA MU'!$E$27*$C$8*(MAX(0,1-ABS('XA MU'!$C$27-$D84)/xm_sP)+MAX(0,1-ABS('XA MU'!$D$27-$D84)/xm_sP)),0)+IF(ABS($D84-(xm_y0P+(xm_nP-1)/2*xm_sP))&lt;0.000001,IF('XA MU'!$B$27&lt;=4,'XA MU'!$E$27*$C$8*(IF('XA MU'!$C$27&gt;(xm_y0P+(xm_nP-1)/2*xm_sP),2*('XA MU'!$C$27-(xm_y0P+(xm_nP-1)/2*xm_sP))/xm_sP,0)+IF('XA MU'!$D$27&gt;(xm_y0P+(xm_nP-1)/2*xm_sP),2*('XA MU'!$D$27-(xm_y0P+(xm_nP-1)/2*xm_sP))/xm_sP,0)),0),0)+IF('XA MU'!$B$28&lt;=4,'XA MU'!$E$28*$C$8*(MAX(0,1-ABS('XA MU'!$C$28-$D84)/xm_sP)+MAX(0,1-ABS('XA MU'!$D$28-$D84)/xm_sP)),0)+IF(ABS($D84-(xm_y0P+(xm_nP-1)/2*xm_sP))&lt;0.000001,IF('XA MU'!$B$28&lt;=4,'XA MU'!$E$28*$C$8*(IF('XA MU'!$C$28&gt;(xm_y0P+(xm_nP-1)/2*xm_sP),2*('XA MU'!$C$28-(xm_y0P+(xm_nP-1)/2*xm_sP))/xm_sP,0)+IF('XA MU'!$D$28&gt;(xm_y0P+(xm_nP-1)/2*xm_sP),2*('XA MU'!$D$28-(xm_y0P+(xm_nP-1)/2*xm_sP))/xm_sP,0)),0),0)+IF('XA MU'!$B$29&lt;=4,'XA MU'!$E$29*$C$8*(MAX(0,1-ABS('XA MU'!$C$29-$D84)/xm_sP)+MAX(0,1-ABS('XA MU'!$D$29-$D84)/xm_sP)),0)+IF(ABS($D84-(xm_y0P+(xm_nP-1)/2*xm_sP))&lt;0.000001,IF('XA MU'!$B$29&lt;=4,'XA MU'!$E$29*$C$8*(IF('XA MU'!$C$29&gt;(xm_y0P+(xm_nP-1)/2*xm_sP),2*('XA MU'!$C$29-(xm_y0P+(xm_nP-1)/2*xm_sP))/xm_sP,0)+IF('XA MU'!$D$29&gt;(xm_y0P+(xm_nP-1)/2*xm_sP),2*('XA MU'!$D$29-(xm_y0P+(xm_nP-1)/2*xm_sP))/xm_sP,0)),0),0)+IF('XA MU'!$B$30&lt;=4,'XA MU'!$E$30*$C$8*(MAX(0,1-ABS('XA MU'!$C$30-$D84)/xm_sP)+MAX(0,1-ABS('XA MU'!$D$30-$D84)/xm_sP)),0)+IF(ABS($D84-(xm_y0P+(xm_nP-1)/2*xm_sP))&lt;0.000001,IF('XA MU'!$B$30&lt;=4,'XA MU'!$E$30*$C$8*(IF('XA MU'!$C$30&gt;(xm_y0P+(xm_nP-1)/2*xm_sP),2*('XA MU'!$C$30-(xm_y0P+(xm_nP-1)/2*xm_sP))/xm_sP,0)+IF('XA MU'!$D$30&gt;(xm_y0P+(xm_nP-1)/2*xm_sP),2*('XA MU'!$D$30-(xm_y0P+(xm_nP-1)/2*xm_sP))/xm_sP,0)),0),0))))</f>
        <v>0</v>
      </c>
      <c r="M84" s="44">
        <f>IF(C84=0,0,IF(5&gt;nLan,0,0.65*(IF('XA MU'!$B$25&lt;=5,'XA MU'!$E$25*$C$8*(MAX(0,1-ABS('XA MU'!$C$25-$D84)/xm_sP)+MAX(0,1-ABS('XA MU'!$D$25-$D84)/xm_sP)),0)+IF(ABS($D84-(xm_y0P+(xm_nP-1)/2*xm_sP))&lt;0.000001,IF('XA MU'!$B$25&lt;=5,'XA MU'!$E$25*$C$8*(IF('XA MU'!$C$25&gt;(xm_y0P+(xm_nP-1)/2*xm_sP),2*('XA MU'!$C$25-(xm_y0P+(xm_nP-1)/2*xm_sP))/xm_sP,0)+IF('XA MU'!$D$25&gt;(xm_y0P+(xm_nP-1)/2*xm_sP),2*('XA MU'!$D$25-(xm_y0P+(xm_nP-1)/2*xm_sP))/xm_sP,0)),0),0)+IF('XA MU'!$B$26&lt;=5,'XA MU'!$E$26*$C$8*(MAX(0,1-ABS('XA MU'!$C$26-$D84)/xm_sP)+MAX(0,1-ABS('XA MU'!$D$26-$D84)/xm_sP)),0)+IF(ABS($D84-(xm_y0P+(xm_nP-1)/2*xm_sP))&lt;0.000001,IF('XA MU'!$B$26&lt;=5,'XA MU'!$E$26*$C$8*(IF('XA MU'!$C$26&gt;(xm_y0P+(xm_nP-1)/2*xm_sP),2*('XA MU'!$C$26-(xm_y0P+(xm_nP-1)/2*xm_sP))/xm_sP,0)+IF('XA MU'!$D$26&gt;(xm_y0P+(xm_nP-1)/2*xm_sP),2*('XA MU'!$D$26-(xm_y0P+(xm_nP-1)/2*xm_sP))/xm_sP,0)),0),0)+IF('XA MU'!$B$27&lt;=5,'XA MU'!$E$27*$C$8*(MAX(0,1-ABS('XA MU'!$C$27-$D84)/xm_sP)+MAX(0,1-ABS('XA MU'!$D$27-$D84)/xm_sP)),0)+IF(ABS($D84-(xm_y0P+(xm_nP-1)/2*xm_sP))&lt;0.000001,IF('XA MU'!$B$27&lt;=5,'XA MU'!$E$27*$C$8*(IF('XA MU'!$C$27&gt;(xm_y0P+(xm_nP-1)/2*xm_sP),2*('XA MU'!$C$27-(xm_y0P+(xm_nP-1)/2*xm_sP))/xm_sP,0)+IF('XA MU'!$D$27&gt;(xm_y0P+(xm_nP-1)/2*xm_sP),2*('XA MU'!$D$27-(xm_y0P+(xm_nP-1)/2*xm_sP))/xm_sP,0)),0),0)+IF('XA MU'!$B$28&lt;=5,'XA MU'!$E$28*$C$8*(MAX(0,1-ABS('XA MU'!$C$28-$D84)/xm_sP)+MAX(0,1-ABS('XA MU'!$D$28-$D84)/xm_sP)),0)+IF(ABS($D84-(xm_y0P+(xm_nP-1)/2*xm_sP))&lt;0.000001,IF('XA MU'!$B$28&lt;=5,'XA MU'!$E$28*$C$8*(IF('XA MU'!$C$28&gt;(xm_y0P+(xm_nP-1)/2*xm_sP),2*('XA MU'!$C$28-(xm_y0P+(xm_nP-1)/2*xm_sP))/xm_sP,0)+IF('XA MU'!$D$28&gt;(xm_y0P+(xm_nP-1)/2*xm_sP),2*('XA MU'!$D$28-(xm_y0P+(xm_nP-1)/2*xm_sP))/xm_sP,0)),0),0)+IF('XA MU'!$B$29&lt;=5,'XA MU'!$E$29*$C$8*(MAX(0,1-ABS('XA MU'!$C$29-$D84)/xm_sP)+MAX(0,1-ABS('XA MU'!$D$29-$D84)/xm_sP)),0)+IF(ABS($D84-(xm_y0P+(xm_nP-1)/2*xm_sP))&lt;0.000001,IF('XA MU'!$B$29&lt;=5,'XA MU'!$E$29*$C$8*(IF('XA MU'!$C$29&gt;(xm_y0P+(xm_nP-1)/2*xm_sP),2*('XA MU'!$C$29-(xm_y0P+(xm_nP-1)/2*xm_sP))/xm_sP,0)+IF('XA MU'!$D$29&gt;(xm_y0P+(xm_nP-1)/2*xm_sP),2*('XA MU'!$D$29-(xm_y0P+(xm_nP-1)/2*xm_sP))/xm_sP,0)),0),0)+IF('XA MU'!$B$30&lt;=5,'XA MU'!$E$30*$C$8*(MAX(0,1-ABS('XA MU'!$C$30-$D84)/xm_sP)+MAX(0,1-ABS('XA MU'!$D$30-$D84)/xm_sP)),0)+IF(ABS($D84-(xm_y0P+(xm_nP-1)/2*xm_sP))&lt;0.000001,IF('XA MU'!$B$30&lt;=5,'XA MU'!$E$30*$C$8*(IF('XA MU'!$C$30&gt;(xm_y0P+(xm_nP-1)/2*xm_sP),2*('XA MU'!$C$30-(xm_y0P+(xm_nP-1)/2*xm_sP))/xm_sP,0)+IF('XA MU'!$D$30&gt;(xm_y0P+(xm_nP-1)/2*xm_sP),2*('XA MU'!$D$30-(xm_y0P+(xm_nP-1)/2*xm_sP))/xm_sP,0)),0),0))))</f>
        <v>0</v>
      </c>
      <c r="N84" s="44">
        <f>IF(C84=0,0,IF(6&gt;nLan,0,0.65*(IF('XA MU'!$B$25&lt;=6,'XA MU'!$E$25*$C$8*(MAX(0,1-ABS('XA MU'!$C$25-$D84)/xm_sP)+MAX(0,1-ABS('XA MU'!$D$25-$D84)/xm_sP)),0)+IF(ABS($D84-(xm_y0P+(xm_nP-1)/2*xm_sP))&lt;0.000001,IF('XA MU'!$B$25&lt;=6,'XA MU'!$E$25*$C$8*(IF('XA MU'!$C$25&gt;(xm_y0P+(xm_nP-1)/2*xm_sP),2*('XA MU'!$C$25-(xm_y0P+(xm_nP-1)/2*xm_sP))/xm_sP,0)+IF('XA MU'!$D$25&gt;(xm_y0P+(xm_nP-1)/2*xm_sP),2*('XA MU'!$D$25-(xm_y0P+(xm_nP-1)/2*xm_sP))/xm_sP,0)),0),0)+IF('XA MU'!$B$26&lt;=6,'XA MU'!$E$26*$C$8*(MAX(0,1-ABS('XA MU'!$C$26-$D84)/xm_sP)+MAX(0,1-ABS('XA MU'!$D$26-$D84)/xm_sP)),0)+IF(ABS($D84-(xm_y0P+(xm_nP-1)/2*xm_sP))&lt;0.000001,IF('XA MU'!$B$26&lt;=6,'XA MU'!$E$26*$C$8*(IF('XA MU'!$C$26&gt;(xm_y0P+(xm_nP-1)/2*xm_sP),2*('XA MU'!$C$26-(xm_y0P+(xm_nP-1)/2*xm_sP))/xm_sP,0)+IF('XA MU'!$D$26&gt;(xm_y0P+(xm_nP-1)/2*xm_sP),2*('XA MU'!$D$26-(xm_y0P+(xm_nP-1)/2*xm_sP))/xm_sP,0)),0),0)+IF('XA MU'!$B$27&lt;=6,'XA MU'!$E$27*$C$8*(MAX(0,1-ABS('XA MU'!$C$27-$D84)/xm_sP)+MAX(0,1-ABS('XA MU'!$D$27-$D84)/xm_sP)),0)+IF(ABS($D84-(xm_y0P+(xm_nP-1)/2*xm_sP))&lt;0.000001,IF('XA MU'!$B$27&lt;=6,'XA MU'!$E$27*$C$8*(IF('XA MU'!$C$27&gt;(xm_y0P+(xm_nP-1)/2*xm_sP),2*('XA MU'!$C$27-(xm_y0P+(xm_nP-1)/2*xm_sP))/xm_sP,0)+IF('XA MU'!$D$27&gt;(xm_y0P+(xm_nP-1)/2*xm_sP),2*('XA MU'!$D$27-(xm_y0P+(xm_nP-1)/2*xm_sP))/xm_sP,0)),0),0)+IF('XA MU'!$B$28&lt;=6,'XA MU'!$E$28*$C$8*(MAX(0,1-ABS('XA MU'!$C$28-$D84)/xm_sP)+MAX(0,1-ABS('XA MU'!$D$28-$D84)/xm_sP)),0)+IF(ABS($D84-(xm_y0P+(xm_nP-1)/2*xm_sP))&lt;0.000001,IF('XA MU'!$B$28&lt;=6,'XA MU'!$E$28*$C$8*(IF('XA MU'!$C$28&gt;(xm_y0P+(xm_nP-1)/2*xm_sP),2*('XA MU'!$C$28-(xm_y0P+(xm_nP-1)/2*xm_sP))/xm_sP,0)+IF('XA MU'!$D$28&gt;(xm_y0P+(xm_nP-1)/2*xm_sP),2*('XA MU'!$D$28-(xm_y0P+(xm_nP-1)/2*xm_sP))/xm_sP,0)),0),0)+IF('XA MU'!$B$29&lt;=6,'XA MU'!$E$29*$C$8*(MAX(0,1-ABS('XA MU'!$C$29-$D84)/xm_sP)+MAX(0,1-ABS('XA MU'!$D$29-$D84)/xm_sP)),0)+IF(ABS($D84-(xm_y0P+(xm_nP-1)/2*xm_sP))&lt;0.000001,IF('XA MU'!$B$29&lt;=6,'XA MU'!$E$29*$C$8*(IF('XA MU'!$C$29&gt;(xm_y0P+(xm_nP-1)/2*xm_sP),2*('XA MU'!$C$29-(xm_y0P+(xm_nP-1)/2*xm_sP))/xm_sP,0)+IF('XA MU'!$D$29&gt;(xm_y0P+(xm_nP-1)/2*xm_sP),2*('XA MU'!$D$29-(xm_y0P+(xm_nP-1)/2*xm_sP))/xm_sP,0)),0),0)+IF('XA MU'!$B$30&lt;=6,'XA MU'!$E$30*$C$8*(MAX(0,1-ABS('XA MU'!$C$30-$D84)/xm_sP)+MAX(0,1-ABS('XA MU'!$D$30-$D84)/xm_sP)),0)+IF(ABS($D84-(xm_y0P+(xm_nP-1)/2*xm_sP))&lt;0.000001,IF('XA MU'!$B$30&lt;=6,'XA MU'!$E$30*$C$8*(IF('XA MU'!$C$30&gt;(xm_y0P+(xm_nP-1)/2*xm_sP),2*('XA MU'!$C$30-(xm_y0P+(xm_nP-1)/2*xm_sP))/xm_sP,0)+IF('XA MU'!$D$30&gt;(xm_y0P+(xm_nP-1)/2*xm_sP),2*('XA MU'!$D$30-(xm_y0P+(xm_nP-1)/2*xm_sP))/xm_sP,0)),0),0))))</f>
        <v>0</v>
      </c>
    </row>
    <row r="85" spans="1:14" x14ac:dyDescent="0.3">
      <c r="A85" s="42" t="s">
        <v>1236</v>
      </c>
      <c r="B85" s="42">
        <v>31</v>
      </c>
      <c r="C85" s="40">
        <f t="shared" si="4"/>
        <v>0</v>
      </c>
      <c r="D85" s="44">
        <f t="shared" si="5"/>
        <v>0</v>
      </c>
      <c r="E85" s="44">
        <f>MAX(0,D85-'XA MU'!$C$8)*C85</f>
        <v>0</v>
      </c>
      <c r="F85" s="44">
        <f>IF(AND(C85=1,D85&gt;'XA MU'!$C$8),1,0)</f>
        <v>0</v>
      </c>
      <c r="G85" s="44">
        <f t="shared" si="6"/>
        <v>0</v>
      </c>
      <c r="H85" s="44">
        <f t="shared" si="7"/>
        <v>0</v>
      </c>
      <c r="I85" s="44">
        <f>IF(C85=0,0,IF(1&gt;nLan,0,1.2*(IF('XA MU'!$B$25&lt;=1,'XA MU'!$E$25*$C$8*(MAX(0,1-ABS('XA MU'!$C$25-$D85)/xm_sP)+MAX(0,1-ABS('XA MU'!$D$25-$D85)/xm_sP)),0)+IF(ABS($D85-(xm_y0P+(xm_nP-1)/2*xm_sP))&lt;0.000001,IF('XA MU'!$B$25&lt;=1,'XA MU'!$E$25*$C$8*(IF('XA MU'!$C$25&gt;(xm_y0P+(xm_nP-1)/2*xm_sP),2*('XA MU'!$C$25-(xm_y0P+(xm_nP-1)/2*xm_sP))/xm_sP,0)+IF('XA MU'!$D$25&gt;(xm_y0P+(xm_nP-1)/2*xm_sP),2*('XA MU'!$D$25-(xm_y0P+(xm_nP-1)/2*xm_sP))/xm_sP,0)),0),0)+IF('XA MU'!$B$26&lt;=1,'XA MU'!$E$26*$C$8*(MAX(0,1-ABS('XA MU'!$C$26-$D85)/xm_sP)+MAX(0,1-ABS('XA MU'!$D$26-$D85)/xm_sP)),0)+IF(ABS($D85-(xm_y0P+(xm_nP-1)/2*xm_sP))&lt;0.000001,IF('XA MU'!$B$26&lt;=1,'XA MU'!$E$26*$C$8*(IF('XA MU'!$C$26&gt;(xm_y0P+(xm_nP-1)/2*xm_sP),2*('XA MU'!$C$26-(xm_y0P+(xm_nP-1)/2*xm_sP))/xm_sP,0)+IF('XA MU'!$D$26&gt;(xm_y0P+(xm_nP-1)/2*xm_sP),2*('XA MU'!$D$26-(xm_y0P+(xm_nP-1)/2*xm_sP))/xm_sP,0)),0),0)+IF('XA MU'!$B$27&lt;=1,'XA MU'!$E$27*$C$8*(MAX(0,1-ABS('XA MU'!$C$27-$D85)/xm_sP)+MAX(0,1-ABS('XA MU'!$D$27-$D85)/xm_sP)),0)+IF(ABS($D85-(xm_y0P+(xm_nP-1)/2*xm_sP))&lt;0.000001,IF('XA MU'!$B$27&lt;=1,'XA MU'!$E$27*$C$8*(IF('XA MU'!$C$27&gt;(xm_y0P+(xm_nP-1)/2*xm_sP),2*('XA MU'!$C$27-(xm_y0P+(xm_nP-1)/2*xm_sP))/xm_sP,0)+IF('XA MU'!$D$27&gt;(xm_y0P+(xm_nP-1)/2*xm_sP),2*('XA MU'!$D$27-(xm_y0P+(xm_nP-1)/2*xm_sP))/xm_sP,0)),0),0)+IF('XA MU'!$B$28&lt;=1,'XA MU'!$E$28*$C$8*(MAX(0,1-ABS('XA MU'!$C$28-$D85)/xm_sP)+MAX(0,1-ABS('XA MU'!$D$28-$D85)/xm_sP)),0)+IF(ABS($D85-(xm_y0P+(xm_nP-1)/2*xm_sP))&lt;0.000001,IF('XA MU'!$B$28&lt;=1,'XA MU'!$E$28*$C$8*(IF('XA MU'!$C$28&gt;(xm_y0P+(xm_nP-1)/2*xm_sP),2*('XA MU'!$C$28-(xm_y0P+(xm_nP-1)/2*xm_sP))/xm_sP,0)+IF('XA MU'!$D$28&gt;(xm_y0P+(xm_nP-1)/2*xm_sP),2*('XA MU'!$D$28-(xm_y0P+(xm_nP-1)/2*xm_sP))/xm_sP,0)),0),0)+IF('XA MU'!$B$29&lt;=1,'XA MU'!$E$29*$C$8*(MAX(0,1-ABS('XA MU'!$C$29-$D85)/xm_sP)+MAX(0,1-ABS('XA MU'!$D$29-$D85)/xm_sP)),0)+IF(ABS($D85-(xm_y0P+(xm_nP-1)/2*xm_sP))&lt;0.000001,IF('XA MU'!$B$29&lt;=1,'XA MU'!$E$29*$C$8*(IF('XA MU'!$C$29&gt;(xm_y0P+(xm_nP-1)/2*xm_sP),2*('XA MU'!$C$29-(xm_y0P+(xm_nP-1)/2*xm_sP))/xm_sP,0)+IF('XA MU'!$D$29&gt;(xm_y0P+(xm_nP-1)/2*xm_sP),2*('XA MU'!$D$29-(xm_y0P+(xm_nP-1)/2*xm_sP))/xm_sP,0)),0),0)+IF('XA MU'!$B$30&lt;=1,'XA MU'!$E$30*$C$8*(MAX(0,1-ABS('XA MU'!$C$30-$D85)/xm_sP)+MAX(0,1-ABS('XA MU'!$D$30-$D85)/xm_sP)),0)+IF(ABS($D85-(xm_y0P+(xm_nP-1)/2*xm_sP))&lt;0.000001,IF('XA MU'!$B$30&lt;=1,'XA MU'!$E$30*$C$8*(IF('XA MU'!$C$30&gt;(xm_y0P+(xm_nP-1)/2*xm_sP),2*('XA MU'!$C$30-(xm_y0P+(xm_nP-1)/2*xm_sP))/xm_sP,0)+IF('XA MU'!$D$30&gt;(xm_y0P+(xm_nP-1)/2*xm_sP),2*('XA MU'!$D$30-(xm_y0P+(xm_nP-1)/2*xm_sP))/xm_sP,0)),0),0))))</f>
        <v>0</v>
      </c>
      <c r="J85" s="44">
        <f>IF(C85=0,0,IF(2&gt;nLan,0,1*(IF('XA MU'!$B$25&lt;=2,'XA MU'!$E$25*$C$8*(MAX(0,1-ABS('XA MU'!$C$25-$D85)/xm_sP)+MAX(0,1-ABS('XA MU'!$D$25-$D85)/xm_sP)),0)+IF(ABS($D85-(xm_y0P+(xm_nP-1)/2*xm_sP))&lt;0.000001,IF('XA MU'!$B$25&lt;=2,'XA MU'!$E$25*$C$8*(IF('XA MU'!$C$25&gt;(xm_y0P+(xm_nP-1)/2*xm_sP),2*('XA MU'!$C$25-(xm_y0P+(xm_nP-1)/2*xm_sP))/xm_sP,0)+IF('XA MU'!$D$25&gt;(xm_y0P+(xm_nP-1)/2*xm_sP),2*('XA MU'!$D$25-(xm_y0P+(xm_nP-1)/2*xm_sP))/xm_sP,0)),0),0)+IF('XA MU'!$B$26&lt;=2,'XA MU'!$E$26*$C$8*(MAX(0,1-ABS('XA MU'!$C$26-$D85)/xm_sP)+MAX(0,1-ABS('XA MU'!$D$26-$D85)/xm_sP)),0)+IF(ABS($D85-(xm_y0P+(xm_nP-1)/2*xm_sP))&lt;0.000001,IF('XA MU'!$B$26&lt;=2,'XA MU'!$E$26*$C$8*(IF('XA MU'!$C$26&gt;(xm_y0P+(xm_nP-1)/2*xm_sP),2*('XA MU'!$C$26-(xm_y0P+(xm_nP-1)/2*xm_sP))/xm_sP,0)+IF('XA MU'!$D$26&gt;(xm_y0P+(xm_nP-1)/2*xm_sP),2*('XA MU'!$D$26-(xm_y0P+(xm_nP-1)/2*xm_sP))/xm_sP,0)),0),0)+IF('XA MU'!$B$27&lt;=2,'XA MU'!$E$27*$C$8*(MAX(0,1-ABS('XA MU'!$C$27-$D85)/xm_sP)+MAX(0,1-ABS('XA MU'!$D$27-$D85)/xm_sP)),0)+IF(ABS($D85-(xm_y0P+(xm_nP-1)/2*xm_sP))&lt;0.000001,IF('XA MU'!$B$27&lt;=2,'XA MU'!$E$27*$C$8*(IF('XA MU'!$C$27&gt;(xm_y0P+(xm_nP-1)/2*xm_sP),2*('XA MU'!$C$27-(xm_y0P+(xm_nP-1)/2*xm_sP))/xm_sP,0)+IF('XA MU'!$D$27&gt;(xm_y0P+(xm_nP-1)/2*xm_sP),2*('XA MU'!$D$27-(xm_y0P+(xm_nP-1)/2*xm_sP))/xm_sP,0)),0),0)+IF('XA MU'!$B$28&lt;=2,'XA MU'!$E$28*$C$8*(MAX(0,1-ABS('XA MU'!$C$28-$D85)/xm_sP)+MAX(0,1-ABS('XA MU'!$D$28-$D85)/xm_sP)),0)+IF(ABS($D85-(xm_y0P+(xm_nP-1)/2*xm_sP))&lt;0.000001,IF('XA MU'!$B$28&lt;=2,'XA MU'!$E$28*$C$8*(IF('XA MU'!$C$28&gt;(xm_y0P+(xm_nP-1)/2*xm_sP),2*('XA MU'!$C$28-(xm_y0P+(xm_nP-1)/2*xm_sP))/xm_sP,0)+IF('XA MU'!$D$28&gt;(xm_y0P+(xm_nP-1)/2*xm_sP),2*('XA MU'!$D$28-(xm_y0P+(xm_nP-1)/2*xm_sP))/xm_sP,0)),0),0)+IF('XA MU'!$B$29&lt;=2,'XA MU'!$E$29*$C$8*(MAX(0,1-ABS('XA MU'!$C$29-$D85)/xm_sP)+MAX(0,1-ABS('XA MU'!$D$29-$D85)/xm_sP)),0)+IF(ABS($D85-(xm_y0P+(xm_nP-1)/2*xm_sP))&lt;0.000001,IF('XA MU'!$B$29&lt;=2,'XA MU'!$E$29*$C$8*(IF('XA MU'!$C$29&gt;(xm_y0P+(xm_nP-1)/2*xm_sP),2*('XA MU'!$C$29-(xm_y0P+(xm_nP-1)/2*xm_sP))/xm_sP,0)+IF('XA MU'!$D$29&gt;(xm_y0P+(xm_nP-1)/2*xm_sP),2*('XA MU'!$D$29-(xm_y0P+(xm_nP-1)/2*xm_sP))/xm_sP,0)),0),0)+IF('XA MU'!$B$30&lt;=2,'XA MU'!$E$30*$C$8*(MAX(0,1-ABS('XA MU'!$C$30-$D85)/xm_sP)+MAX(0,1-ABS('XA MU'!$D$30-$D85)/xm_sP)),0)+IF(ABS($D85-(xm_y0P+(xm_nP-1)/2*xm_sP))&lt;0.000001,IF('XA MU'!$B$30&lt;=2,'XA MU'!$E$30*$C$8*(IF('XA MU'!$C$30&gt;(xm_y0P+(xm_nP-1)/2*xm_sP),2*('XA MU'!$C$30-(xm_y0P+(xm_nP-1)/2*xm_sP))/xm_sP,0)+IF('XA MU'!$D$30&gt;(xm_y0P+(xm_nP-1)/2*xm_sP),2*('XA MU'!$D$30-(xm_y0P+(xm_nP-1)/2*xm_sP))/xm_sP,0)),0),0))))</f>
        <v>0</v>
      </c>
      <c r="K85" s="44">
        <f>IF(C85=0,0,IF(3&gt;nLan,0,0.85*(IF('XA MU'!$B$25&lt;=3,'XA MU'!$E$25*$C$8*(MAX(0,1-ABS('XA MU'!$C$25-$D85)/xm_sP)+MAX(0,1-ABS('XA MU'!$D$25-$D85)/xm_sP)),0)+IF(ABS($D85-(xm_y0P+(xm_nP-1)/2*xm_sP))&lt;0.000001,IF('XA MU'!$B$25&lt;=3,'XA MU'!$E$25*$C$8*(IF('XA MU'!$C$25&gt;(xm_y0P+(xm_nP-1)/2*xm_sP),2*('XA MU'!$C$25-(xm_y0P+(xm_nP-1)/2*xm_sP))/xm_sP,0)+IF('XA MU'!$D$25&gt;(xm_y0P+(xm_nP-1)/2*xm_sP),2*('XA MU'!$D$25-(xm_y0P+(xm_nP-1)/2*xm_sP))/xm_sP,0)),0),0)+IF('XA MU'!$B$26&lt;=3,'XA MU'!$E$26*$C$8*(MAX(0,1-ABS('XA MU'!$C$26-$D85)/xm_sP)+MAX(0,1-ABS('XA MU'!$D$26-$D85)/xm_sP)),0)+IF(ABS($D85-(xm_y0P+(xm_nP-1)/2*xm_sP))&lt;0.000001,IF('XA MU'!$B$26&lt;=3,'XA MU'!$E$26*$C$8*(IF('XA MU'!$C$26&gt;(xm_y0P+(xm_nP-1)/2*xm_sP),2*('XA MU'!$C$26-(xm_y0P+(xm_nP-1)/2*xm_sP))/xm_sP,0)+IF('XA MU'!$D$26&gt;(xm_y0P+(xm_nP-1)/2*xm_sP),2*('XA MU'!$D$26-(xm_y0P+(xm_nP-1)/2*xm_sP))/xm_sP,0)),0),0)+IF('XA MU'!$B$27&lt;=3,'XA MU'!$E$27*$C$8*(MAX(0,1-ABS('XA MU'!$C$27-$D85)/xm_sP)+MAX(0,1-ABS('XA MU'!$D$27-$D85)/xm_sP)),0)+IF(ABS($D85-(xm_y0P+(xm_nP-1)/2*xm_sP))&lt;0.000001,IF('XA MU'!$B$27&lt;=3,'XA MU'!$E$27*$C$8*(IF('XA MU'!$C$27&gt;(xm_y0P+(xm_nP-1)/2*xm_sP),2*('XA MU'!$C$27-(xm_y0P+(xm_nP-1)/2*xm_sP))/xm_sP,0)+IF('XA MU'!$D$27&gt;(xm_y0P+(xm_nP-1)/2*xm_sP),2*('XA MU'!$D$27-(xm_y0P+(xm_nP-1)/2*xm_sP))/xm_sP,0)),0),0)+IF('XA MU'!$B$28&lt;=3,'XA MU'!$E$28*$C$8*(MAX(0,1-ABS('XA MU'!$C$28-$D85)/xm_sP)+MAX(0,1-ABS('XA MU'!$D$28-$D85)/xm_sP)),0)+IF(ABS($D85-(xm_y0P+(xm_nP-1)/2*xm_sP))&lt;0.000001,IF('XA MU'!$B$28&lt;=3,'XA MU'!$E$28*$C$8*(IF('XA MU'!$C$28&gt;(xm_y0P+(xm_nP-1)/2*xm_sP),2*('XA MU'!$C$28-(xm_y0P+(xm_nP-1)/2*xm_sP))/xm_sP,0)+IF('XA MU'!$D$28&gt;(xm_y0P+(xm_nP-1)/2*xm_sP),2*('XA MU'!$D$28-(xm_y0P+(xm_nP-1)/2*xm_sP))/xm_sP,0)),0),0)+IF('XA MU'!$B$29&lt;=3,'XA MU'!$E$29*$C$8*(MAX(0,1-ABS('XA MU'!$C$29-$D85)/xm_sP)+MAX(0,1-ABS('XA MU'!$D$29-$D85)/xm_sP)),0)+IF(ABS($D85-(xm_y0P+(xm_nP-1)/2*xm_sP))&lt;0.000001,IF('XA MU'!$B$29&lt;=3,'XA MU'!$E$29*$C$8*(IF('XA MU'!$C$29&gt;(xm_y0P+(xm_nP-1)/2*xm_sP),2*('XA MU'!$C$29-(xm_y0P+(xm_nP-1)/2*xm_sP))/xm_sP,0)+IF('XA MU'!$D$29&gt;(xm_y0P+(xm_nP-1)/2*xm_sP),2*('XA MU'!$D$29-(xm_y0P+(xm_nP-1)/2*xm_sP))/xm_sP,0)),0),0)+IF('XA MU'!$B$30&lt;=3,'XA MU'!$E$30*$C$8*(MAX(0,1-ABS('XA MU'!$C$30-$D85)/xm_sP)+MAX(0,1-ABS('XA MU'!$D$30-$D85)/xm_sP)),0)+IF(ABS($D85-(xm_y0P+(xm_nP-1)/2*xm_sP))&lt;0.000001,IF('XA MU'!$B$30&lt;=3,'XA MU'!$E$30*$C$8*(IF('XA MU'!$C$30&gt;(xm_y0P+(xm_nP-1)/2*xm_sP),2*('XA MU'!$C$30-(xm_y0P+(xm_nP-1)/2*xm_sP))/xm_sP,0)+IF('XA MU'!$D$30&gt;(xm_y0P+(xm_nP-1)/2*xm_sP),2*('XA MU'!$D$30-(xm_y0P+(xm_nP-1)/2*xm_sP))/xm_sP,0)),0),0))))</f>
        <v>0</v>
      </c>
      <c r="L85" s="44">
        <f>IF(C85=0,0,IF(4&gt;nLan,0,0.65*(IF('XA MU'!$B$25&lt;=4,'XA MU'!$E$25*$C$8*(MAX(0,1-ABS('XA MU'!$C$25-$D85)/xm_sP)+MAX(0,1-ABS('XA MU'!$D$25-$D85)/xm_sP)),0)+IF(ABS($D85-(xm_y0P+(xm_nP-1)/2*xm_sP))&lt;0.000001,IF('XA MU'!$B$25&lt;=4,'XA MU'!$E$25*$C$8*(IF('XA MU'!$C$25&gt;(xm_y0P+(xm_nP-1)/2*xm_sP),2*('XA MU'!$C$25-(xm_y0P+(xm_nP-1)/2*xm_sP))/xm_sP,0)+IF('XA MU'!$D$25&gt;(xm_y0P+(xm_nP-1)/2*xm_sP),2*('XA MU'!$D$25-(xm_y0P+(xm_nP-1)/2*xm_sP))/xm_sP,0)),0),0)+IF('XA MU'!$B$26&lt;=4,'XA MU'!$E$26*$C$8*(MAX(0,1-ABS('XA MU'!$C$26-$D85)/xm_sP)+MAX(0,1-ABS('XA MU'!$D$26-$D85)/xm_sP)),0)+IF(ABS($D85-(xm_y0P+(xm_nP-1)/2*xm_sP))&lt;0.000001,IF('XA MU'!$B$26&lt;=4,'XA MU'!$E$26*$C$8*(IF('XA MU'!$C$26&gt;(xm_y0P+(xm_nP-1)/2*xm_sP),2*('XA MU'!$C$26-(xm_y0P+(xm_nP-1)/2*xm_sP))/xm_sP,0)+IF('XA MU'!$D$26&gt;(xm_y0P+(xm_nP-1)/2*xm_sP),2*('XA MU'!$D$26-(xm_y0P+(xm_nP-1)/2*xm_sP))/xm_sP,0)),0),0)+IF('XA MU'!$B$27&lt;=4,'XA MU'!$E$27*$C$8*(MAX(0,1-ABS('XA MU'!$C$27-$D85)/xm_sP)+MAX(0,1-ABS('XA MU'!$D$27-$D85)/xm_sP)),0)+IF(ABS($D85-(xm_y0P+(xm_nP-1)/2*xm_sP))&lt;0.000001,IF('XA MU'!$B$27&lt;=4,'XA MU'!$E$27*$C$8*(IF('XA MU'!$C$27&gt;(xm_y0P+(xm_nP-1)/2*xm_sP),2*('XA MU'!$C$27-(xm_y0P+(xm_nP-1)/2*xm_sP))/xm_sP,0)+IF('XA MU'!$D$27&gt;(xm_y0P+(xm_nP-1)/2*xm_sP),2*('XA MU'!$D$27-(xm_y0P+(xm_nP-1)/2*xm_sP))/xm_sP,0)),0),0)+IF('XA MU'!$B$28&lt;=4,'XA MU'!$E$28*$C$8*(MAX(0,1-ABS('XA MU'!$C$28-$D85)/xm_sP)+MAX(0,1-ABS('XA MU'!$D$28-$D85)/xm_sP)),0)+IF(ABS($D85-(xm_y0P+(xm_nP-1)/2*xm_sP))&lt;0.000001,IF('XA MU'!$B$28&lt;=4,'XA MU'!$E$28*$C$8*(IF('XA MU'!$C$28&gt;(xm_y0P+(xm_nP-1)/2*xm_sP),2*('XA MU'!$C$28-(xm_y0P+(xm_nP-1)/2*xm_sP))/xm_sP,0)+IF('XA MU'!$D$28&gt;(xm_y0P+(xm_nP-1)/2*xm_sP),2*('XA MU'!$D$28-(xm_y0P+(xm_nP-1)/2*xm_sP))/xm_sP,0)),0),0)+IF('XA MU'!$B$29&lt;=4,'XA MU'!$E$29*$C$8*(MAX(0,1-ABS('XA MU'!$C$29-$D85)/xm_sP)+MAX(0,1-ABS('XA MU'!$D$29-$D85)/xm_sP)),0)+IF(ABS($D85-(xm_y0P+(xm_nP-1)/2*xm_sP))&lt;0.000001,IF('XA MU'!$B$29&lt;=4,'XA MU'!$E$29*$C$8*(IF('XA MU'!$C$29&gt;(xm_y0P+(xm_nP-1)/2*xm_sP),2*('XA MU'!$C$29-(xm_y0P+(xm_nP-1)/2*xm_sP))/xm_sP,0)+IF('XA MU'!$D$29&gt;(xm_y0P+(xm_nP-1)/2*xm_sP),2*('XA MU'!$D$29-(xm_y0P+(xm_nP-1)/2*xm_sP))/xm_sP,0)),0),0)+IF('XA MU'!$B$30&lt;=4,'XA MU'!$E$30*$C$8*(MAX(0,1-ABS('XA MU'!$C$30-$D85)/xm_sP)+MAX(0,1-ABS('XA MU'!$D$30-$D85)/xm_sP)),0)+IF(ABS($D85-(xm_y0P+(xm_nP-1)/2*xm_sP))&lt;0.000001,IF('XA MU'!$B$30&lt;=4,'XA MU'!$E$30*$C$8*(IF('XA MU'!$C$30&gt;(xm_y0P+(xm_nP-1)/2*xm_sP),2*('XA MU'!$C$30-(xm_y0P+(xm_nP-1)/2*xm_sP))/xm_sP,0)+IF('XA MU'!$D$30&gt;(xm_y0P+(xm_nP-1)/2*xm_sP),2*('XA MU'!$D$30-(xm_y0P+(xm_nP-1)/2*xm_sP))/xm_sP,0)),0),0))))</f>
        <v>0</v>
      </c>
      <c r="M85" s="44">
        <f>IF(C85=0,0,IF(5&gt;nLan,0,0.65*(IF('XA MU'!$B$25&lt;=5,'XA MU'!$E$25*$C$8*(MAX(0,1-ABS('XA MU'!$C$25-$D85)/xm_sP)+MAX(0,1-ABS('XA MU'!$D$25-$D85)/xm_sP)),0)+IF(ABS($D85-(xm_y0P+(xm_nP-1)/2*xm_sP))&lt;0.000001,IF('XA MU'!$B$25&lt;=5,'XA MU'!$E$25*$C$8*(IF('XA MU'!$C$25&gt;(xm_y0P+(xm_nP-1)/2*xm_sP),2*('XA MU'!$C$25-(xm_y0P+(xm_nP-1)/2*xm_sP))/xm_sP,0)+IF('XA MU'!$D$25&gt;(xm_y0P+(xm_nP-1)/2*xm_sP),2*('XA MU'!$D$25-(xm_y0P+(xm_nP-1)/2*xm_sP))/xm_sP,0)),0),0)+IF('XA MU'!$B$26&lt;=5,'XA MU'!$E$26*$C$8*(MAX(0,1-ABS('XA MU'!$C$26-$D85)/xm_sP)+MAX(0,1-ABS('XA MU'!$D$26-$D85)/xm_sP)),0)+IF(ABS($D85-(xm_y0P+(xm_nP-1)/2*xm_sP))&lt;0.000001,IF('XA MU'!$B$26&lt;=5,'XA MU'!$E$26*$C$8*(IF('XA MU'!$C$26&gt;(xm_y0P+(xm_nP-1)/2*xm_sP),2*('XA MU'!$C$26-(xm_y0P+(xm_nP-1)/2*xm_sP))/xm_sP,0)+IF('XA MU'!$D$26&gt;(xm_y0P+(xm_nP-1)/2*xm_sP),2*('XA MU'!$D$26-(xm_y0P+(xm_nP-1)/2*xm_sP))/xm_sP,0)),0),0)+IF('XA MU'!$B$27&lt;=5,'XA MU'!$E$27*$C$8*(MAX(0,1-ABS('XA MU'!$C$27-$D85)/xm_sP)+MAX(0,1-ABS('XA MU'!$D$27-$D85)/xm_sP)),0)+IF(ABS($D85-(xm_y0P+(xm_nP-1)/2*xm_sP))&lt;0.000001,IF('XA MU'!$B$27&lt;=5,'XA MU'!$E$27*$C$8*(IF('XA MU'!$C$27&gt;(xm_y0P+(xm_nP-1)/2*xm_sP),2*('XA MU'!$C$27-(xm_y0P+(xm_nP-1)/2*xm_sP))/xm_sP,0)+IF('XA MU'!$D$27&gt;(xm_y0P+(xm_nP-1)/2*xm_sP),2*('XA MU'!$D$27-(xm_y0P+(xm_nP-1)/2*xm_sP))/xm_sP,0)),0),0)+IF('XA MU'!$B$28&lt;=5,'XA MU'!$E$28*$C$8*(MAX(0,1-ABS('XA MU'!$C$28-$D85)/xm_sP)+MAX(0,1-ABS('XA MU'!$D$28-$D85)/xm_sP)),0)+IF(ABS($D85-(xm_y0P+(xm_nP-1)/2*xm_sP))&lt;0.000001,IF('XA MU'!$B$28&lt;=5,'XA MU'!$E$28*$C$8*(IF('XA MU'!$C$28&gt;(xm_y0P+(xm_nP-1)/2*xm_sP),2*('XA MU'!$C$28-(xm_y0P+(xm_nP-1)/2*xm_sP))/xm_sP,0)+IF('XA MU'!$D$28&gt;(xm_y0P+(xm_nP-1)/2*xm_sP),2*('XA MU'!$D$28-(xm_y0P+(xm_nP-1)/2*xm_sP))/xm_sP,0)),0),0)+IF('XA MU'!$B$29&lt;=5,'XA MU'!$E$29*$C$8*(MAX(0,1-ABS('XA MU'!$C$29-$D85)/xm_sP)+MAX(0,1-ABS('XA MU'!$D$29-$D85)/xm_sP)),0)+IF(ABS($D85-(xm_y0P+(xm_nP-1)/2*xm_sP))&lt;0.000001,IF('XA MU'!$B$29&lt;=5,'XA MU'!$E$29*$C$8*(IF('XA MU'!$C$29&gt;(xm_y0P+(xm_nP-1)/2*xm_sP),2*('XA MU'!$C$29-(xm_y0P+(xm_nP-1)/2*xm_sP))/xm_sP,0)+IF('XA MU'!$D$29&gt;(xm_y0P+(xm_nP-1)/2*xm_sP),2*('XA MU'!$D$29-(xm_y0P+(xm_nP-1)/2*xm_sP))/xm_sP,0)),0),0)+IF('XA MU'!$B$30&lt;=5,'XA MU'!$E$30*$C$8*(MAX(0,1-ABS('XA MU'!$C$30-$D85)/xm_sP)+MAX(0,1-ABS('XA MU'!$D$30-$D85)/xm_sP)),0)+IF(ABS($D85-(xm_y0P+(xm_nP-1)/2*xm_sP))&lt;0.000001,IF('XA MU'!$B$30&lt;=5,'XA MU'!$E$30*$C$8*(IF('XA MU'!$C$30&gt;(xm_y0P+(xm_nP-1)/2*xm_sP),2*('XA MU'!$C$30-(xm_y0P+(xm_nP-1)/2*xm_sP))/xm_sP,0)+IF('XA MU'!$D$30&gt;(xm_y0P+(xm_nP-1)/2*xm_sP),2*('XA MU'!$D$30-(xm_y0P+(xm_nP-1)/2*xm_sP))/xm_sP,0)),0),0))))</f>
        <v>0</v>
      </c>
      <c r="N85" s="44">
        <f>IF(C85=0,0,IF(6&gt;nLan,0,0.65*(IF('XA MU'!$B$25&lt;=6,'XA MU'!$E$25*$C$8*(MAX(0,1-ABS('XA MU'!$C$25-$D85)/xm_sP)+MAX(0,1-ABS('XA MU'!$D$25-$D85)/xm_sP)),0)+IF(ABS($D85-(xm_y0P+(xm_nP-1)/2*xm_sP))&lt;0.000001,IF('XA MU'!$B$25&lt;=6,'XA MU'!$E$25*$C$8*(IF('XA MU'!$C$25&gt;(xm_y0P+(xm_nP-1)/2*xm_sP),2*('XA MU'!$C$25-(xm_y0P+(xm_nP-1)/2*xm_sP))/xm_sP,0)+IF('XA MU'!$D$25&gt;(xm_y0P+(xm_nP-1)/2*xm_sP),2*('XA MU'!$D$25-(xm_y0P+(xm_nP-1)/2*xm_sP))/xm_sP,0)),0),0)+IF('XA MU'!$B$26&lt;=6,'XA MU'!$E$26*$C$8*(MAX(0,1-ABS('XA MU'!$C$26-$D85)/xm_sP)+MAX(0,1-ABS('XA MU'!$D$26-$D85)/xm_sP)),0)+IF(ABS($D85-(xm_y0P+(xm_nP-1)/2*xm_sP))&lt;0.000001,IF('XA MU'!$B$26&lt;=6,'XA MU'!$E$26*$C$8*(IF('XA MU'!$C$26&gt;(xm_y0P+(xm_nP-1)/2*xm_sP),2*('XA MU'!$C$26-(xm_y0P+(xm_nP-1)/2*xm_sP))/xm_sP,0)+IF('XA MU'!$D$26&gt;(xm_y0P+(xm_nP-1)/2*xm_sP),2*('XA MU'!$D$26-(xm_y0P+(xm_nP-1)/2*xm_sP))/xm_sP,0)),0),0)+IF('XA MU'!$B$27&lt;=6,'XA MU'!$E$27*$C$8*(MAX(0,1-ABS('XA MU'!$C$27-$D85)/xm_sP)+MAX(0,1-ABS('XA MU'!$D$27-$D85)/xm_sP)),0)+IF(ABS($D85-(xm_y0P+(xm_nP-1)/2*xm_sP))&lt;0.000001,IF('XA MU'!$B$27&lt;=6,'XA MU'!$E$27*$C$8*(IF('XA MU'!$C$27&gt;(xm_y0P+(xm_nP-1)/2*xm_sP),2*('XA MU'!$C$27-(xm_y0P+(xm_nP-1)/2*xm_sP))/xm_sP,0)+IF('XA MU'!$D$27&gt;(xm_y0P+(xm_nP-1)/2*xm_sP),2*('XA MU'!$D$27-(xm_y0P+(xm_nP-1)/2*xm_sP))/xm_sP,0)),0),0)+IF('XA MU'!$B$28&lt;=6,'XA MU'!$E$28*$C$8*(MAX(0,1-ABS('XA MU'!$C$28-$D85)/xm_sP)+MAX(0,1-ABS('XA MU'!$D$28-$D85)/xm_sP)),0)+IF(ABS($D85-(xm_y0P+(xm_nP-1)/2*xm_sP))&lt;0.000001,IF('XA MU'!$B$28&lt;=6,'XA MU'!$E$28*$C$8*(IF('XA MU'!$C$28&gt;(xm_y0P+(xm_nP-1)/2*xm_sP),2*('XA MU'!$C$28-(xm_y0P+(xm_nP-1)/2*xm_sP))/xm_sP,0)+IF('XA MU'!$D$28&gt;(xm_y0P+(xm_nP-1)/2*xm_sP),2*('XA MU'!$D$28-(xm_y0P+(xm_nP-1)/2*xm_sP))/xm_sP,0)),0),0)+IF('XA MU'!$B$29&lt;=6,'XA MU'!$E$29*$C$8*(MAX(0,1-ABS('XA MU'!$C$29-$D85)/xm_sP)+MAX(0,1-ABS('XA MU'!$D$29-$D85)/xm_sP)),0)+IF(ABS($D85-(xm_y0P+(xm_nP-1)/2*xm_sP))&lt;0.000001,IF('XA MU'!$B$29&lt;=6,'XA MU'!$E$29*$C$8*(IF('XA MU'!$C$29&gt;(xm_y0P+(xm_nP-1)/2*xm_sP),2*('XA MU'!$C$29-(xm_y0P+(xm_nP-1)/2*xm_sP))/xm_sP,0)+IF('XA MU'!$D$29&gt;(xm_y0P+(xm_nP-1)/2*xm_sP),2*('XA MU'!$D$29-(xm_y0P+(xm_nP-1)/2*xm_sP))/xm_sP,0)),0),0)+IF('XA MU'!$B$30&lt;=6,'XA MU'!$E$30*$C$8*(MAX(0,1-ABS('XA MU'!$C$30-$D85)/xm_sP)+MAX(0,1-ABS('XA MU'!$D$30-$D85)/xm_sP)),0)+IF(ABS($D85-(xm_y0P+(xm_nP-1)/2*xm_sP))&lt;0.000001,IF('XA MU'!$B$30&lt;=6,'XA MU'!$E$30*$C$8*(IF('XA MU'!$C$30&gt;(xm_y0P+(xm_nP-1)/2*xm_sP),2*('XA MU'!$C$30-(xm_y0P+(xm_nP-1)/2*xm_sP))/xm_sP,0)+IF('XA MU'!$D$30&gt;(xm_y0P+(xm_nP-1)/2*xm_sP),2*('XA MU'!$D$30-(xm_y0P+(xm_nP-1)/2*xm_sP))/xm_sP,0)),0),0))))</f>
        <v>0</v>
      </c>
    </row>
    <row r="86" spans="1:14" x14ac:dyDescent="0.3">
      <c r="A86" s="42" t="s">
        <v>1236</v>
      </c>
      <c r="B86" s="42">
        <v>32</v>
      </c>
      <c r="C86" s="40">
        <f t="shared" si="4"/>
        <v>0</v>
      </c>
      <c r="D86" s="44">
        <f t="shared" si="5"/>
        <v>0</v>
      </c>
      <c r="E86" s="44">
        <f>MAX(0,D86-'XA MU'!$C$8)*C86</f>
        <v>0</v>
      </c>
      <c r="F86" s="44">
        <f>IF(AND(C86=1,D86&gt;'XA MU'!$C$8),1,0)</f>
        <v>0</v>
      </c>
      <c r="G86" s="44">
        <f t="shared" si="6"/>
        <v>0</v>
      </c>
      <c r="H86" s="44">
        <f t="shared" si="7"/>
        <v>0</v>
      </c>
      <c r="I86" s="44">
        <f>IF(C86=0,0,IF(1&gt;nLan,0,1.2*(IF('XA MU'!$B$25&lt;=1,'XA MU'!$E$25*$C$8*(MAX(0,1-ABS('XA MU'!$C$25-$D86)/xm_sP)+MAX(0,1-ABS('XA MU'!$D$25-$D86)/xm_sP)),0)+IF(ABS($D86-(xm_y0P+(xm_nP-1)/2*xm_sP))&lt;0.000001,IF('XA MU'!$B$25&lt;=1,'XA MU'!$E$25*$C$8*(IF('XA MU'!$C$25&gt;(xm_y0P+(xm_nP-1)/2*xm_sP),2*('XA MU'!$C$25-(xm_y0P+(xm_nP-1)/2*xm_sP))/xm_sP,0)+IF('XA MU'!$D$25&gt;(xm_y0P+(xm_nP-1)/2*xm_sP),2*('XA MU'!$D$25-(xm_y0P+(xm_nP-1)/2*xm_sP))/xm_sP,0)),0),0)+IF('XA MU'!$B$26&lt;=1,'XA MU'!$E$26*$C$8*(MAX(0,1-ABS('XA MU'!$C$26-$D86)/xm_sP)+MAX(0,1-ABS('XA MU'!$D$26-$D86)/xm_sP)),0)+IF(ABS($D86-(xm_y0P+(xm_nP-1)/2*xm_sP))&lt;0.000001,IF('XA MU'!$B$26&lt;=1,'XA MU'!$E$26*$C$8*(IF('XA MU'!$C$26&gt;(xm_y0P+(xm_nP-1)/2*xm_sP),2*('XA MU'!$C$26-(xm_y0P+(xm_nP-1)/2*xm_sP))/xm_sP,0)+IF('XA MU'!$D$26&gt;(xm_y0P+(xm_nP-1)/2*xm_sP),2*('XA MU'!$D$26-(xm_y0P+(xm_nP-1)/2*xm_sP))/xm_sP,0)),0),0)+IF('XA MU'!$B$27&lt;=1,'XA MU'!$E$27*$C$8*(MAX(0,1-ABS('XA MU'!$C$27-$D86)/xm_sP)+MAX(0,1-ABS('XA MU'!$D$27-$D86)/xm_sP)),0)+IF(ABS($D86-(xm_y0P+(xm_nP-1)/2*xm_sP))&lt;0.000001,IF('XA MU'!$B$27&lt;=1,'XA MU'!$E$27*$C$8*(IF('XA MU'!$C$27&gt;(xm_y0P+(xm_nP-1)/2*xm_sP),2*('XA MU'!$C$27-(xm_y0P+(xm_nP-1)/2*xm_sP))/xm_sP,0)+IF('XA MU'!$D$27&gt;(xm_y0P+(xm_nP-1)/2*xm_sP),2*('XA MU'!$D$27-(xm_y0P+(xm_nP-1)/2*xm_sP))/xm_sP,0)),0),0)+IF('XA MU'!$B$28&lt;=1,'XA MU'!$E$28*$C$8*(MAX(0,1-ABS('XA MU'!$C$28-$D86)/xm_sP)+MAX(0,1-ABS('XA MU'!$D$28-$D86)/xm_sP)),0)+IF(ABS($D86-(xm_y0P+(xm_nP-1)/2*xm_sP))&lt;0.000001,IF('XA MU'!$B$28&lt;=1,'XA MU'!$E$28*$C$8*(IF('XA MU'!$C$28&gt;(xm_y0P+(xm_nP-1)/2*xm_sP),2*('XA MU'!$C$28-(xm_y0P+(xm_nP-1)/2*xm_sP))/xm_sP,0)+IF('XA MU'!$D$28&gt;(xm_y0P+(xm_nP-1)/2*xm_sP),2*('XA MU'!$D$28-(xm_y0P+(xm_nP-1)/2*xm_sP))/xm_sP,0)),0),0)+IF('XA MU'!$B$29&lt;=1,'XA MU'!$E$29*$C$8*(MAX(0,1-ABS('XA MU'!$C$29-$D86)/xm_sP)+MAX(0,1-ABS('XA MU'!$D$29-$D86)/xm_sP)),0)+IF(ABS($D86-(xm_y0P+(xm_nP-1)/2*xm_sP))&lt;0.000001,IF('XA MU'!$B$29&lt;=1,'XA MU'!$E$29*$C$8*(IF('XA MU'!$C$29&gt;(xm_y0P+(xm_nP-1)/2*xm_sP),2*('XA MU'!$C$29-(xm_y0P+(xm_nP-1)/2*xm_sP))/xm_sP,0)+IF('XA MU'!$D$29&gt;(xm_y0P+(xm_nP-1)/2*xm_sP),2*('XA MU'!$D$29-(xm_y0P+(xm_nP-1)/2*xm_sP))/xm_sP,0)),0),0)+IF('XA MU'!$B$30&lt;=1,'XA MU'!$E$30*$C$8*(MAX(0,1-ABS('XA MU'!$C$30-$D86)/xm_sP)+MAX(0,1-ABS('XA MU'!$D$30-$D86)/xm_sP)),0)+IF(ABS($D86-(xm_y0P+(xm_nP-1)/2*xm_sP))&lt;0.000001,IF('XA MU'!$B$30&lt;=1,'XA MU'!$E$30*$C$8*(IF('XA MU'!$C$30&gt;(xm_y0P+(xm_nP-1)/2*xm_sP),2*('XA MU'!$C$30-(xm_y0P+(xm_nP-1)/2*xm_sP))/xm_sP,0)+IF('XA MU'!$D$30&gt;(xm_y0P+(xm_nP-1)/2*xm_sP),2*('XA MU'!$D$30-(xm_y0P+(xm_nP-1)/2*xm_sP))/xm_sP,0)),0),0))))</f>
        <v>0</v>
      </c>
      <c r="J86" s="44">
        <f>IF(C86=0,0,IF(2&gt;nLan,0,1*(IF('XA MU'!$B$25&lt;=2,'XA MU'!$E$25*$C$8*(MAX(0,1-ABS('XA MU'!$C$25-$D86)/xm_sP)+MAX(0,1-ABS('XA MU'!$D$25-$D86)/xm_sP)),0)+IF(ABS($D86-(xm_y0P+(xm_nP-1)/2*xm_sP))&lt;0.000001,IF('XA MU'!$B$25&lt;=2,'XA MU'!$E$25*$C$8*(IF('XA MU'!$C$25&gt;(xm_y0P+(xm_nP-1)/2*xm_sP),2*('XA MU'!$C$25-(xm_y0P+(xm_nP-1)/2*xm_sP))/xm_sP,0)+IF('XA MU'!$D$25&gt;(xm_y0P+(xm_nP-1)/2*xm_sP),2*('XA MU'!$D$25-(xm_y0P+(xm_nP-1)/2*xm_sP))/xm_sP,0)),0),0)+IF('XA MU'!$B$26&lt;=2,'XA MU'!$E$26*$C$8*(MAX(0,1-ABS('XA MU'!$C$26-$D86)/xm_sP)+MAX(0,1-ABS('XA MU'!$D$26-$D86)/xm_sP)),0)+IF(ABS($D86-(xm_y0P+(xm_nP-1)/2*xm_sP))&lt;0.000001,IF('XA MU'!$B$26&lt;=2,'XA MU'!$E$26*$C$8*(IF('XA MU'!$C$26&gt;(xm_y0P+(xm_nP-1)/2*xm_sP),2*('XA MU'!$C$26-(xm_y0P+(xm_nP-1)/2*xm_sP))/xm_sP,0)+IF('XA MU'!$D$26&gt;(xm_y0P+(xm_nP-1)/2*xm_sP),2*('XA MU'!$D$26-(xm_y0P+(xm_nP-1)/2*xm_sP))/xm_sP,0)),0),0)+IF('XA MU'!$B$27&lt;=2,'XA MU'!$E$27*$C$8*(MAX(0,1-ABS('XA MU'!$C$27-$D86)/xm_sP)+MAX(0,1-ABS('XA MU'!$D$27-$D86)/xm_sP)),0)+IF(ABS($D86-(xm_y0P+(xm_nP-1)/2*xm_sP))&lt;0.000001,IF('XA MU'!$B$27&lt;=2,'XA MU'!$E$27*$C$8*(IF('XA MU'!$C$27&gt;(xm_y0P+(xm_nP-1)/2*xm_sP),2*('XA MU'!$C$27-(xm_y0P+(xm_nP-1)/2*xm_sP))/xm_sP,0)+IF('XA MU'!$D$27&gt;(xm_y0P+(xm_nP-1)/2*xm_sP),2*('XA MU'!$D$27-(xm_y0P+(xm_nP-1)/2*xm_sP))/xm_sP,0)),0),0)+IF('XA MU'!$B$28&lt;=2,'XA MU'!$E$28*$C$8*(MAX(0,1-ABS('XA MU'!$C$28-$D86)/xm_sP)+MAX(0,1-ABS('XA MU'!$D$28-$D86)/xm_sP)),0)+IF(ABS($D86-(xm_y0P+(xm_nP-1)/2*xm_sP))&lt;0.000001,IF('XA MU'!$B$28&lt;=2,'XA MU'!$E$28*$C$8*(IF('XA MU'!$C$28&gt;(xm_y0P+(xm_nP-1)/2*xm_sP),2*('XA MU'!$C$28-(xm_y0P+(xm_nP-1)/2*xm_sP))/xm_sP,0)+IF('XA MU'!$D$28&gt;(xm_y0P+(xm_nP-1)/2*xm_sP),2*('XA MU'!$D$28-(xm_y0P+(xm_nP-1)/2*xm_sP))/xm_sP,0)),0),0)+IF('XA MU'!$B$29&lt;=2,'XA MU'!$E$29*$C$8*(MAX(0,1-ABS('XA MU'!$C$29-$D86)/xm_sP)+MAX(0,1-ABS('XA MU'!$D$29-$D86)/xm_sP)),0)+IF(ABS($D86-(xm_y0P+(xm_nP-1)/2*xm_sP))&lt;0.000001,IF('XA MU'!$B$29&lt;=2,'XA MU'!$E$29*$C$8*(IF('XA MU'!$C$29&gt;(xm_y0P+(xm_nP-1)/2*xm_sP),2*('XA MU'!$C$29-(xm_y0P+(xm_nP-1)/2*xm_sP))/xm_sP,0)+IF('XA MU'!$D$29&gt;(xm_y0P+(xm_nP-1)/2*xm_sP),2*('XA MU'!$D$29-(xm_y0P+(xm_nP-1)/2*xm_sP))/xm_sP,0)),0),0)+IF('XA MU'!$B$30&lt;=2,'XA MU'!$E$30*$C$8*(MAX(0,1-ABS('XA MU'!$C$30-$D86)/xm_sP)+MAX(0,1-ABS('XA MU'!$D$30-$D86)/xm_sP)),0)+IF(ABS($D86-(xm_y0P+(xm_nP-1)/2*xm_sP))&lt;0.000001,IF('XA MU'!$B$30&lt;=2,'XA MU'!$E$30*$C$8*(IF('XA MU'!$C$30&gt;(xm_y0P+(xm_nP-1)/2*xm_sP),2*('XA MU'!$C$30-(xm_y0P+(xm_nP-1)/2*xm_sP))/xm_sP,0)+IF('XA MU'!$D$30&gt;(xm_y0P+(xm_nP-1)/2*xm_sP),2*('XA MU'!$D$30-(xm_y0P+(xm_nP-1)/2*xm_sP))/xm_sP,0)),0),0))))</f>
        <v>0</v>
      </c>
      <c r="K86" s="44">
        <f>IF(C86=0,0,IF(3&gt;nLan,0,0.85*(IF('XA MU'!$B$25&lt;=3,'XA MU'!$E$25*$C$8*(MAX(0,1-ABS('XA MU'!$C$25-$D86)/xm_sP)+MAX(0,1-ABS('XA MU'!$D$25-$D86)/xm_sP)),0)+IF(ABS($D86-(xm_y0P+(xm_nP-1)/2*xm_sP))&lt;0.000001,IF('XA MU'!$B$25&lt;=3,'XA MU'!$E$25*$C$8*(IF('XA MU'!$C$25&gt;(xm_y0P+(xm_nP-1)/2*xm_sP),2*('XA MU'!$C$25-(xm_y0P+(xm_nP-1)/2*xm_sP))/xm_sP,0)+IF('XA MU'!$D$25&gt;(xm_y0P+(xm_nP-1)/2*xm_sP),2*('XA MU'!$D$25-(xm_y0P+(xm_nP-1)/2*xm_sP))/xm_sP,0)),0),0)+IF('XA MU'!$B$26&lt;=3,'XA MU'!$E$26*$C$8*(MAX(0,1-ABS('XA MU'!$C$26-$D86)/xm_sP)+MAX(0,1-ABS('XA MU'!$D$26-$D86)/xm_sP)),0)+IF(ABS($D86-(xm_y0P+(xm_nP-1)/2*xm_sP))&lt;0.000001,IF('XA MU'!$B$26&lt;=3,'XA MU'!$E$26*$C$8*(IF('XA MU'!$C$26&gt;(xm_y0P+(xm_nP-1)/2*xm_sP),2*('XA MU'!$C$26-(xm_y0P+(xm_nP-1)/2*xm_sP))/xm_sP,0)+IF('XA MU'!$D$26&gt;(xm_y0P+(xm_nP-1)/2*xm_sP),2*('XA MU'!$D$26-(xm_y0P+(xm_nP-1)/2*xm_sP))/xm_sP,0)),0),0)+IF('XA MU'!$B$27&lt;=3,'XA MU'!$E$27*$C$8*(MAX(0,1-ABS('XA MU'!$C$27-$D86)/xm_sP)+MAX(0,1-ABS('XA MU'!$D$27-$D86)/xm_sP)),0)+IF(ABS($D86-(xm_y0P+(xm_nP-1)/2*xm_sP))&lt;0.000001,IF('XA MU'!$B$27&lt;=3,'XA MU'!$E$27*$C$8*(IF('XA MU'!$C$27&gt;(xm_y0P+(xm_nP-1)/2*xm_sP),2*('XA MU'!$C$27-(xm_y0P+(xm_nP-1)/2*xm_sP))/xm_sP,0)+IF('XA MU'!$D$27&gt;(xm_y0P+(xm_nP-1)/2*xm_sP),2*('XA MU'!$D$27-(xm_y0P+(xm_nP-1)/2*xm_sP))/xm_sP,0)),0),0)+IF('XA MU'!$B$28&lt;=3,'XA MU'!$E$28*$C$8*(MAX(0,1-ABS('XA MU'!$C$28-$D86)/xm_sP)+MAX(0,1-ABS('XA MU'!$D$28-$D86)/xm_sP)),0)+IF(ABS($D86-(xm_y0P+(xm_nP-1)/2*xm_sP))&lt;0.000001,IF('XA MU'!$B$28&lt;=3,'XA MU'!$E$28*$C$8*(IF('XA MU'!$C$28&gt;(xm_y0P+(xm_nP-1)/2*xm_sP),2*('XA MU'!$C$28-(xm_y0P+(xm_nP-1)/2*xm_sP))/xm_sP,0)+IF('XA MU'!$D$28&gt;(xm_y0P+(xm_nP-1)/2*xm_sP),2*('XA MU'!$D$28-(xm_y0P+(xm_nP-1)/2*xm_sP))/xm_sP,0)),0),0)+IF('XA MU'!$B$29&lt;=3,'XA MU'!$E$29*$C$8*(MAX(0,1-ABS('XA MU'!$C$29-$D86)/xm_sP)+MAX(0,1-ABS('XA MU'!$D$29-$D86)/xm_sP)),0)+IF(ABS($D86-(xm_y0P+(xm_nP-1)/2*xm_sP))&lt;0.000001,IF('XA MU'!$B$29&lt;=3,'XA MU'!$E$29*$C$8*(IF('XA MU'!$C$29&gt;(xm_y0P+(xm_nP-1)/2*xm_sP),2*('XA MU'!$C$29-(xm_y0P+(xm_nP-1)/2*xm_sP))/xm_sP,0)+IF('XA MU'!$D$29&gt;(xm_y0P+(xm_nP-1)/2*xm_sP),2*('XA MU'!$D$29-(xm_y0P+(xm_nP-1)/2*xm_sP))/xm_sP,0)),0),0)+IF('XA MU'!$B$30&lt;=3,'XA MU'!$E$30*$C$8*(MAX(0,1-ABS('XA MU'!$C$30-$D86)/xm_sP)+MAX(0,1-ABS('XA MU'!$D$30-$D86)/xm_sP)),0)+IF(ABS($D86-(xm_y0P+(xm_nP-1)/2*xm_sP))&lt;0.000001,IF('XA MU'!$B$30&lt;=3,'XA MU'!$E$30*$C$8*(IF('XA MU'!$C$30&gt;(xm_y0P+(xm_nP-1)/2*xm_sP),2*('XA MU'!$C$30-(xm_y0P+(xm_nP-1)/2*xm_sP))/xm_sP,0)+IF('XA MU'!$D$30&gt;(xm_y0P+(xm_nP-1)/2*xm_sP),2*('XA MU'!$D$30-(xm_y0P+(xm_nP-1)/2*xm_sP))/xm_sP,0)),0),0))))</f>
        <v>0</v>
      </c>
      <c r="L86" s="44">
        <f>IF(C86=0,0,IF(4&gt;nLan,0,0.65*(IF('XA MU'!$B$25&lt;=4,'XA MU'!$E$25*$C$8*(MAX(0,1-ABS('XA MU'!$C$25-$D86)/xm_sP)+MAX(0,1-ABS('XA MU'!$D$25-$D86)/xm_sP)),0)+IF(ABS($D86-(xm_y0P+(xm_nP-1)/2*xm_sP))&lt;0.000001,IF('XA MU'!$B$25&lt;=4,'XA MU'!$E$25*$C$8*(IF('XA MU'!$C$25&gt;(xm_y0P+(xm_nP-1)/2*xm_sP),2*('XA MU'!$C$25-(xm_y0P+(xm_nP-1)/2*xm_sP))/xm_sP,0)+IF('XA MU'!$D$25&gt;(xm_y0P+(xm_nP-1)/2*xm_sP),2*('XA MU'!$D$25-(xm_y0P+(xm_nP-1)/2*xm_sP))/xm_sP,0)),0),0)+IF('XA MU'!$B$26&lt;=4,'XA MU'!$E$26*$C$8*(MAX(0,1-ABS('XA MU'!$C$26-$D86)/xm_sP)+MAX(0,1-ABS('XA MU'!$D$26-$D86)/xm_sP)),0)+IF(ABS($D86-(xm_y0P+(xm_nP-1)/2*xm_sP))&lt;0.000001,IF('XA MU'!$B$26&lt;=4,'XA MU'!$E$26*$C$8*(IF('XA MU'!$C$26&gt;(xm_y0P+(xm_nP-1)/2*xm_sP),2*('XA MU'!$C$26-(xm_y0P+(xm_nP-1)/2*xm_sP))/xm_sP,0)+IF('XA MU'!$D$26&gt;(xm_y0P+(xm_nP-1)/2*xm_sP),2*('XA MU'!$D$26-(xm_y0P+(xm_nP-1)/2*xm_sP))/xm_sP,0)),0),0)+IF('XA MU'!$B$27&lt;=4,'XA MU'!$E$27*$C$8*(MAX(0,1-ABS('XA MU'!$C$27-$D86)/xm_sP)+MAX(0,1-ABS('XA MU'!$D$27-$D86)/xm_sP)),0)+IF(ABS($D86-(xm_y0P+(xm_nP-1)/2*xm_sP))&lt;0.000001,IF('XA MU'!$B$27&lt;=4,'XA MU'!$E$27*$C$8*(IF('XA MU'!$C$27&gt;(xm_y0P+(xm_nP-1)/2*xm_sP),2*('XA MU'!$C$27-(xm_y0P+(xm_nP-1)/2*xm_sP))/xm_sP,0)+IF('XA MU'!$D$27&gt;(xm_y0P+(xm_nP-1)/2*xm_sP),2*('XA MU'!$D$27-(xm_y0P+(xm_nP-1)/2*xm_sP))/xm_sP,0)),0),0)+IF('XA MU'!$B$28&lt;=4,'XA MU'!$E$28*$C$8*(MAX(0,1-ABS('XA MU'!$C$28-$D86)/xm_sP)+MAX(0,1-ABS('XA MU'!$D$28-$D86)/xm_sP)),0)+IF(ABS($D86-(xm_y0P+(xm_nP-1)/2*xm_sP))&lt;0.000001,IF('XA MU'!$B$28&lt;=4,'XA MU'!$E$28*$C$8*(IF('XA MU'!$C$28&gt;(xm_y0P+(xm_nP-1)/2*xm_sP),2*('XA MU'!$C$28-(xm_y0P+(xm_nP-1)/2*xm_sP))/xm_sP,0)+IF('XA MU'!$D$28&gt;(xm_y0P+(xm_nP-1)/2*xm_sP),2*('XA MU'!$D$28-(xm_y0P+(xm_nP-1)/2*xm_sP))/xm_sP,0)),0),0)+IF('XA MU'!$B$29&lt;=4,'XA MU'!$E$29*$C$8*(MAX(0,1-ABS('XA MU'!$C$29-$D86)/xm_sP)+MAX(0,1-ABS('XA MU'!$D$29-$D86)/xm_sP)),0)+IF(ABS($D86-(xm_y0P+(xm_nP-1)/2*xm_sP))&lt;0.000001,IF('XA MU'!$B$29&lt;=4,'XA MU'!$E$29*$C$8*(IF('XA MU'!$C$29&gt;(xm_y0P+(xm_nP-1)/2*xm_sP),2*('XA MU'!$C$29-(xm_y0P+(xm_nP-1)/2*xm_sP))/xm_sP,0)+IF('XA MU'!$D$29&gt;(xm_y0P+(xm_nP-1)/2*xm_sP),2*('XA MU'!$D$29-(xm_y0P+(xm_nP-1)/2*xm_sP))/xm_sP,0)),0),0)+IF('XA MU'!$B$30&lt;=4,'XA MU'!$E$30*$C$8*(MAX(0,1-ABS('XA MU'!$C$30-$D86)/xm_sP)+MAX(0,1-ABS('XA MU'!$D$30-$D86)/xm_sP)),0)+IF(ABS($D86-(xm_y0P+(xm_nP-1)/2*xm_sP))&lt;0.000001,IF('XA MU'!$B$30&lt;=4,'XA MU'!$E$30*$C$8*(IF('XA MU'!$C$30&gt;(xm_y0P+(xm_nP-1)/2*xm_sP),2*('XA MU'!$C$30-(xm_y0P+(xm_nP-1)/2*xm_sP))/xm_sP,0)+IF('XA MU'!$D$30&gt;(xm_y0P+(xm_nP-1)/2*xm_sP),2*('XA MU'!$D$30-(xm_y0P+(xm_nP-1)/2*xm_sP))/xm_sP,0)),0),0))))</f>
        <v>0</v>
      </c>
      <c r="M86" s="44">
        <f>IF(C86=0,0,IF(5&gt;nLan,0,0.65*(IF('XA MU'!$B$25&lt;=5,'XA MU'!$E$25*$C$8*(MAX(0,1-ABS('XA MU'!$C$25-$D86)/xm_sP)+MAX(0,1-ABS('XA MU'!$D$25-$D86)/xm_sP)),0)+IF(ABS($D86-(xm_y0P+(xm_nP-1)/2*xm_sP))&lt;0.000001,IF('XA MU'!$B$25&lt;=5,'XA MU'!$E$25*$C$8*(IF('XA MU'!$C$25&gt;(xm_y0P+(xm_nP-1)/2*xm_sP),2*('XA MU'!$C$25-(xm_y0P+(xm_nP-1)/2*xm_sP))/xm_sP,0)+IF('XA MU'!$D$25&gt;(xm_y0P+(xm_nP-1)/2*xm_sP),2*('XA MU'!$D$25-(xm_y0P+(xm_nP-1)/2*xm_sP))/xm_sP,0)),0),0)+IF('XA MU'!$B$26&lt;=5,'XA MU'!$E$26*$C$8*(MAX(0,1-ABS('XA MU'!$C$26-$D86)/xm_sP)+MAX(0,1-ABS('XA MU'!$D$26-$D86)/xm_sP)),0)+IF(ABS($D86-(xm_y0P+(xm_nP-1)/2*xm_sP))&lt;0.000001,IF('XA MU'!$B$26&lt;=5,'XA MU'!$E$26*$C$8*(IF('XA MU'!$C$26&gt;(xm_y0P+(xm_nP-1)/2*xm_sP),2*('XA MU'!$C$26-(xm_y0P+(xm_nP-1)/2*xm_sP))/xm_sP,0)+IF('XA MU'!$D$26&gt;(xm_y0P+(xm_nP-1)/2*xm_sP),2*('XA MU'!$D$26-(xm_y0P+(xm_nP-1)/2*xm_sP))/xm_sP,0)),0),0)+IF('XA MU'!$B$27&lt;=5,'XA MU'!$E$27*$C$8*(MAX(0,1-ABS('XA MU'!$C$27-$D86)/xm_sP)+MAX(0,1-ABS('XA MU'!$D$27-$D86)/xm_sP)),0)+IF(ABS($D86-(xm_y0P+(xm_nP-1)/2*xm_sP))&lt;0.000001,IF('XA MU'!$B$27&lt;=5,'XA MU'!$E$27*$C$8*(IF('XA MU'!$C$27&gt;(xm_y0P+(xm_nP-1)/2*xm_sP),2*('XA MU'!$C$27-(xm_y0P+(xm_nP-1)/2*xm_sP))/xm_sP,0)+IF('XA MU'!$D$27&gt;(xm_y0P+(xm_nP-1)/2*xm_sP),2*('XA MU'!$D$27-(xm_y0P+(xm_nP-1)/2*xm_sP))/xm_sP,0)),0),0)+IF('XA MU'!$B$28&lt;=5,'XA MU'!$E$28*$C$8*(MAX(0,1-ABS('XA MU'!$C$28-$D86)/xm_sP)+MAX(0,1-ABS('XA MU'!$D$28-$D86)/xm_sP)),0)+IF(ABS($D86-(xm_y0P+(xm_nP-1)/2*xm_sP))&lt;0.000001,IF('XA MU'!$B$28&lt;=5,'XA MU'!$E$28*$C$8*(IF('XA MU'!$C$28&gt;(xm_y0P+(xm_nP-1)/2*xm_sP),2*('XA MU'!$C$28-(xm_y0P+(xm_nP-1)/2*xm_sP))/xm_sP,0)+IF('XA MU'!$D$28&gt;(xm_y0P+(xm_nP-1)/2*xm_sP),2*('XA MU'!$D$28-(xm_y0P+(xm_nP-1)/2*xm_sP))/xm_sP,0)),0),0)+IF('XA MU'!$B$29&lt;=5,'XA MU'!$E$29*$C$8*(MAX(0,1-ABS('XA MU'!$C$29-$D86)/xm_sP)+MAX(0,1-ABS('XA MU'!$D$29-$D86)/xm_sP)),0)+IF(ABS($D86-(xm_y0P+(xm_nP-1)/2*xm_sP))&lt;0.000001,IF('XA MU'!$B$29&lt;=5,'XA MU'!$E$29*$C$8*(IF('XA MU'!$C$29&gt;(xm_y0P+(xm_nP-1)/2*xm_sP),2*('XA MU'!$C$29-(xm_y0P+(xm_nP-1)/2*xm_sP))/xm_sP,0)+IF('XA MU'!$D$29&gt;(xm_y0P+(xm_nP-1)/2*xm_sP),2*('XA MU'!$D$29-(xm_y0P+(xm_nP-1)/2*xm_sP))/xm_sP,0)),0),0)+IF('XA MU'!$B$30&lt;=5,'XA MU'!$E$30*$C$8*(MAX(0,1-ABS('XA MU'!$C$30-$D86)/xm_sP)+MAX(0,1-ABS('XA MU'!$D$30-$D86)/xm_sP)),0)+IF(ABS($D86-(xm_y0P+(xm_nP-1)/2*xm_sP))&lt;0.000001,IF('XA MU'!$B$30&lt;=5,'XA MU'!$E$30*$C$8*(IF('XA MU'!$C$30&gt;(xm_y0P+(xm_nP-1)/2*xm_sP),2*('XA MU'!$C$30-(xm_y0P+(xm_nP-1)/2*xm_sP))/xm_sP,0)+IF('XA MU'!$D$30&gt;(xm_y0P+(xm_nP-1)/2*xm_sP),2*('XA MU'!$D$30-(xm_y0P+(xm_nP-1)/2*xm_sP))/xm_sP,0)),0),0))))</f>
        <v>0</v>
      </c>
      <c r="N86" s="44">
        <f>IF(C86=0,0,IF(6&gt;nLan,0,0.65*(IF('XA MU'!$B$25&lt;=6,'XA MU'!$E$25*$C$8*(MAX(0,1-ABS('XA MU'!$C$25-$D86)/xm_sP)+MAX(0,1-ABS('XA MU'!$D$25-$D86)/xm_sP)),0)+IF(ABS($D86-(xm_y0P+(xm_nP-1)/2*xm_sP))&lt;0.000001,IF('XA MU'!$B$25&lt;=6,'XA MU'!$E$25*$C$8*(IF('XA MU'!$C$25&gt;(xm_y0P+(xm_nP-1)/2*xm_sP),2*('XA MU'!$C$25-(xm_y0P+(xm_nP-1)/2*xm_sP))/xm_sP,0)+IF('XA MU'!$D$25&gt;(xm_y0P+(xm_nP-1)/2*xm_sP),2*('XA MU'!$D$25-(xm_y0P+(xm_nP-1)/2*xm_sP))/xm_sP,0)),0),0)+IF('XA MU'!$B$26&lt;=6,'XA MU'!$E$26*$C$8*(MAX(0,1-ABS('XA MU'!$C$26-$D86)/xm_sP)+MAX(0,1-ABS('XA MU'!$D$26-$D86)/xm_sP)),0)+IF(ABS($D86-(xm_y0P+(xm_nP-1)/2*xm_sP))&lt;0.000001,IF('XA MU'!$B$26&lt;=6,'XA MU'!$E$26*$C$8*(IF('XA MU'!$C$26&gt;(xm_y0P+(xm_nP-1)/2*xm_sP),2*('XA MU'!$C$26-(xm_y0P+(xm_nP-1)/2*xm_sP))/xm_sP,0)+IF('XA MU'!$D$26&gt;(xm_y0P+(xm_nP-1)/2*xm_sP),2*('XA MU'!$D$26-(xm_y0P+(xm_nP-1)/2*xm_sP))/xm_sP,0)),0),0)+IF('XA MU'!$B$27&lt;=6,'XA MU'!$E$27*$C$8*(MAX(0,1-ABS('XA MU'!$C$27-$D86)/xm_sP)+MAX(0,1-ABS('XA MU'!$D$27-$D86)/xm_sP)),0)+IF(ABS($D86-(xm_y0P+(xm_nP-1)/2*xm_sP))&lt;0.000001,IF('XA MU'!$B$27&lt;=6,'XA MU'!$E$27*$C$8*(IF('XA MU'!$C$27&gt;(xm_y0P+(xm_nP-1)/2*xm_sP),2*('XA MU'!$C$27-(xm_y0P+(xm_nP-1)/2*xm_sP))/xm_sP,0)+IF('XA MU'!$D$27&gt;(xm_y0P+(xm_nP-1)/2*xm_sP),2*('XA MU'!$D$27-(xm_y0P+(xm_nP-1)/2*xm_sP))/xm_sP,0)),0),0)+IF('XA MU'!$B$28&lt;=6,'XA MU'!$E$28*$C$8*(MAX(0,1-ABS('XA MU'!$C$28-$D86)/xm_sP)+MAX(0,1-ABS('XA MU'!$D$28-$D86)/xm_sP)),0)+IF(ABS($D86-(xm_y0P+(xm_nP-1)/2*xm_sP))&lt;0.000001,IF('XA MU'!$B$28&lt;=6,'XA MU'!$E$28*$C$8*(IF('XA MU'!$C$28&gt;(xm_y0P+(xm_nP-1)/2*xm_sP),2*('XA MU'!$C$28-(xm_y0P+(xm_nP-1)/2*xm_sP))/xm_sP,0)+IF('XA MU'!$D$28&gt;(xm_y0P+(xm_nP-1)/2*xm_sP),2*('XA MU'!$D$28-(xm_y0P+(xm_nP-1)/2*xm_sP))/xm_sP,0)),0),0)+IF('XA MU'!$B$29&lt;=6,'XA MU'!$E$29*$C$8*(MAX(0,1-ABS('XA MU'!$C$29-$D86)/xm_sP)+MAX(0,1-ABS('XA MU'!$D$29-$D86)/xm_sP)),0)+IF(ABS($D86-(xm_y0P+(xm_nP-1)/2*xm_sP))&lt;0.000001,IF('XA MU'!$B$29&lt;=6,'XA MU'!$E$29*$C$8*(IF('XA MU'!$C$29&gt;(xm_y0P+(xm_nP-1)/2*xm_sP),2*('XA MU'!$C$29-(xm_y0P+(xm_nP-1)/2*xm_sP))/xm_sP,0)+IF('XA MU'!$D$29&gt;(xm_y0P+(xm_nP-1)/2*xm_sP),2*('XA MU'!$D$29-(xm_y0P+(xm_nP-1)/2*xm_sP))/xm_sP,0)),0),0)+IF('XA MU'!$B$30&lt;=6,'XA MU'!$E$30*$C$8*(MAX(0,1-ABS('XA MU'!$C$30-$D86)/xm_sP)+MAX(0,1-ABS('XA MU'!$D$30-$D86)/xm_sP)),0)+IF(ABS($D86-(xm_y0P+(xm_nP-1)/2*xm_sP))&lt;0.000001,IF('XA MU'!$B$30&lt;=6,'XA MU'!$E$30*$C$8*(IF('XA MU'!$C$30&gt;(xm_y0P+(xm_nP-1)/2*xm_sP),2*('XA MU'!$C$30-(xm_y0P+(xm_nP-1)/2*xm_sP))/xm_sP,0)+IF('XA MU'!$D$30&gt;(xm_y0P+(xm_nP-1)/2*xm_sP),2*('XA MU'!$D$30-(xm_y0P+(xm_nP-1)/2*xm_sP))/xm_sP,0)),0),0))))</f>
        <v>0</v>
      </c>
    </row>
    <row r="87" spans="1:14" x14ac:dyDescent="0.3">
      <c r="A87" s="42" t="s">
        <v>1236</v>
      </c>
      <c r="B87" s="42">
        <v>33</v>
      </c>
      <c r="C87" s="40">
        <f t="shared" si="4"/>
        <v>0</v>
      </c>
      <c r="D87" s="44">
        <f t="shared" si="5"/>
        <v>0</v>
      </c>
      <c r="E87" s="44">
        <f>MAX(0,D87-'XA MU'!$C$8)*C87</f>
        <v>0</v>
      </c>
      <c r="F87" s="44">
        <f>IF(AND(C87=1,D87&gt;'XA MU'!$C$8),1,0)</f>
        <v>0</v>
      </c>
      <c r="G87" s="44">
        <f t="shared" si="6"/>
        <v>0</v>
      </c>
      <c r="H87" s="44">
        <f t="shared" si="7"/>
        <v>0</v>
      </c>
      <c r="I87" s="44">
        <f>IF(C87=0,0,IF(1&gt;nLan,0,1.2*(IF('XA MU'!$B$25&lt;=1,'XA MU'!$E$25*$C$8*(MAX(0,1-ABS('XA MU'!$C$25-$D87)/xm_sP)+MAX(0,1-ABS('XA MU'!$D$25-$D87)/xm_sP)),0)+IF(ABS($D87-(xm_y0P+(xm_nP-1)/2*xm_sP))&lt;0.000001,IF('XA MU'!$B$25&lt;=1,'XA MU'!$E$25*$C$8*(IF('XA MU'!$C$25&gt;(xm_y0P+(xm_nP-1)/2*xm_sP),2*('XA MU'!$C$25-(xm_y0P+(xm_nP-1)/2*xm_sP))/xm_sP,0)+IF('XA MU'!$D$25&gt;(xm_y0P+(xm_nP-1)/2*xm_sP),2*('XA MU'!$D$25-(xm_y0P+(xm_nP-1)/2*xm_sP))/xm_sP,0)),0),0)+IF('XA MU'!$B$26&lt;=1,'XA MU'!$E$26*$C$8*(MAX(0,1-ABS('XA MU'!$C$26-$D87)/xm_sP)+MAX(0,1-ABS('XA MU'!$D$26-$D87)/xm_sP)),0)+IF(ABS($D87-(xm_y0P+(xm_nP-1)/2*xm_sP))&lt;0.000001,IF('XA MU'!$B$26&lt;=1,'XA MU'!$E$26*$C$8*(IF('XA MU'!$C$26&gt;(xm_y0P+(xm_nP-1)/2*xm_sP),2*('XA MU'!$C$26-(xm_y0P+(xm_nP-1)/2*xm_sP))/xm_sP,0)+IF('XA MU'!$D$26&gt;(xm_y0P+(xm_nP-1)/2*xm_sP),2*('XA MU'!$D$26-(xm_y0P+(xm_nP-1)/2*xm_sP))/xm_sP,0)),0),0)+IF('XA MU'!$B$27&lt;=1,'XA MU'!$E$27*$C$8*(MAX(0,1-ABS('XA MU'!$C$27-$D87)/xm_sP)+MAX(0,1-ABS('XA MU'!$D$27-$D87)/xm_sP)),0)+IF(ABS($D87-(xm_y0P+(xm_nP-1)/2*xm_sP))&lt;0.000001,IF('XA MU'!$B$27&lt;=1,'XA MU'!$E$27*$C$8*(IF('XA MU'!$C$27&gt;(xm_y0P+(xm_nP-1)/2*xm_sP),2*('XA MU'!$C$27-(xm_y0P+(xm_nP-1)/2*xm_sP))/xm_sP,0)+IF('XA MU'!$D$27&gt;(xm_y0P+(xm_nP-1)/2*xm_sP),2*('XA MU'!$D$27-(xm_y0P+(xm_nP-1)/2*xm_sP))/xm_sP,0)),0),0)+IF('XA MU'!$B$28&lt;=1,'XA MU'!$E$28*$C$8*(MAX(0,1-ABS('XA MU'!$C$28-$D87)/xm_sP)+MAX(0,1-ABS('XA MU'!$D$28-$D87)/xm_sP)),0)+IF(ABS($D87-(xm_y0P+(xm_nP-1)/2*xm_sP))&lt;0.000001,IF('XA MU'!$B$28&lt;=1,'XA MU'!$E$28*$C$8*(IF('XA MU'!$C$28&gt;(xm_y0P+(xm_nP-1)/2*xm_sP),2*('XA MU'!$C$28-(xm_y0P+(xm_nP-1)/2*xm_sP))/xm_sP,0)+IF('XA MU'!$D$28&gt;(xm_y0P+(xm_nP-1)/2*xm_sP),2*('XA MU'!$D$28-(xm_y0P+(xm_nP-1)/2*xm_sP))/xm_sP,0)),0),0)+IF('XA MU'!$B$29&lt;=1,'XA MU'!$E$29*$C$8*(MAX(0,1-ABS('XA MU'!$C$29-$D87)/xm_sP)+MAX(0,1-ABS('XA MU'!$D$29-$D87)/xm_sP)),0)+IF(ABS($D87-(xm_y0P+(xm_nP-1)/2*xm_sP))&lt;0.000001,IF('XA MU'!$B$29&lt;=1,'XA MU'!$E$29*$C$8*(IF('XA MU'!$C$29&gt;(xm_y0P+(xm_nP-1)/2*xm_sP),2*('XA MU'!$C$29-(xm_y0P+(xm_nP-1)/2*xm_sP))/xm_sP,0)+IF('XA MU'!$D$29&gt;(xm_y0P+(xm_nP-1)/2*xm_sP),2*('XA MU'!$D$29-(xm_y0P+(xm_nP-1)/2*xm_sP))/xm_sP,0)),0),0)+IF('XA MU'!$B$30&lt;=1,'XA MU'!$E$30*$C$8*(MAX(0,1-ABS('XA MU'!$C$30-$D87)/xm_sP)+MAX(0,1-ABS('XA MU'!$D$30-$D87)/xm_sP)),0)+IF(ABS($D87-(xm_y0P+(xm_nP-1)/2*xm_sP))&lt;0.000001,IF('XA MU'!$B$30&lt;=1,'XA MU'!$E$30*$C$8*(IF('XA MU'!$C$30&gt;(xm_y0P+(xm_nP-1)/2*xm_sP),2*('XA MU'!$C$30-(xm_y0P+(xm_nP-1)/2*xm_sP))/xm_sP,0)+IF('XA MU'!$D$30&gt;(xm_y0P+(xm_nP-1)/2*xm_sP),2*('XA MU'!$D$30-(xm_y0P+(xm_nP-1)/2*xm_sP))/xm_sP,0)),0),0))))</f>
        <v>0</v>
      </c>
      <c r="J87" s="44">
        <f>IF(C87=0,0,IF(2&gt;nLan,0,1*(IF('XA MU'!$B$25&lt;=2,'XA MU'!$E$25*$C$8*(MAX(0,1-ABS('XA MU'!$C$25-$D87)/xm_sP)+MAX(0,1-ABS('XA MU'!$D$25-$D87)/xm_sP)),0)+IF(ABS($D87-(xm_y0P+(xm_nP-1)/2*xm_sP))&lt;0.000001,IF('XA MU'!$B$25&lt;=2,'XA MU'!$E$25*$C$8*(IF('XA MU'!$C$25&gt;(xm_y0P+(xm_nP-1)/2*xm_sP),2*('XA MU'!$C$25-(xm_y0P+(xm_nP-1)/2*xm_sP))/xm_sP,0)+IF('XA MU'!$D$25&gt;(xm_y0P+(xm_nP-1)/2*xm_sP),2*('XA MU'!$D$25-(xm_y0P+(xm_nP-1)/2*xm_sP))/xm_sP,0)),0),0)+IF('XA MU'!$B$26&lt;=2,'XA MU'!$E$26*$C$8*(MAX(0,1-ABS('XA MU'!$C$26-$D87)/xm_sP)+MAX(0,1-ABS('XA MU'!$D$26-$D87)/xm_sP)),0)+IF(ABS($D87-(xm_y0P+(xm_nP-1)/2*xm_sP))&lt;0.000001,IF('XA MU'!$B$26&lt;=2,'XA MU'!$E$26*$C$8*(IF('XA MU'!$C$26&gt;(xm_y0P+(xm_nP-1)/2*xm_sP),2*('XA MU'!$C$26-(xm_y0P+(xm_nP-1)/2*xm_sP))/xm_sP,0)+IF('XA MU'!$D$26&gt;(xm_y0P+(xm_nP-1)/2*xm_sP),2*('XA MU'!$D$26-(xm_y0P+(xm_nP-1)/2*xm_sP))/xm_sP,0)),0),0)+IF('XA MU'!$B$27&lt;=2,'XA MU'!$E$27*$C$8*(MAX(0,1-ABS('XA MU'!$C$27-$D87)/xm_sP)+MAX(0,1-ABS('XA MU'!$D$27-$D87)/xm_sP)),0)+IF(ABS($D87-(xm_y0P+(xm_nP-1)/2*xm_sP))&lt;0.000001,IF('XA MU'!$B$27&lt;=2,'XA MU'!$E$27*$C$8*(IF('XA MU'!$C$27&gt;(xm_y0P+(xm_nP-1)/2*xm_sP),2*('XA MU'!$C$27-(xm_y0P+(xm_nP-1)/2*xm_sP))/xm_sP,0)+IF('XA MU'!$D$27&gt;(xm_y0P+(xm_nP-1)/2*xm_sP),2*('XA MU'!$D$27-(xm_y0P+(xm_nP-1)/2*xm_sP))/xm_sP,0)),0),0)+IF('XA MU'!$B$28&lt;=2,'XA MU'!$E$28*$C$8*(MAX(0,1-ABS('XA MU'!$C$28-$D87)/xm_sP)+MAX(0,1-ABS('XA MU'!$D$28-$D87)/xm_sP)),0)+IF(ABS($D87-(xm_y0P+(xm_nP-1)/2*xm_sP))&lt;0.000001,IF('XA MU'!$B$28&lt;=2,'XA MU'!$E$28*$C$8*(IF('XA MU'!$C$28&gt;(xm_y0P+(xm_nP-1)/2*xm_sP),2*('XA MU'!$C$28-(xm_y0P+(xm_nP-1)/2*xm_sP))/xm_sP,0)+IF('XA MU'!$D$28&gt;(xm_y0P+(xm_nP-1)/2*xm_sP),2*('XA MU'!$D$28-(xm_y0P+(xm_nP-1)/2*xm_sP))/xm_sP,0)),0),0)+IF('XA MU'!$B$29&lt;=2,'XA MU'!$E$29*$C$8*(MAX(0,1-ABS('XA MU'!$C$29-$D87)/xm_sP)+MAX(0,1-ABS('XA MU'!$D$29-$D87)/xm_sP)),0)+IF(ABS($D87-(xm_y0P+(xm_nP-1)/2*xm_sP))&lt;0.000001,IF('XA MU'!$B$29&lt;=2,'XA MU'!$E$29*$C$8*(IF('XA MU'!$C$29&gt;(xm_y0P+(xm_nP-1)/2*xm_sP),2*('XA MU'!$C$29-(xm_y0P+(xm_nP-1)/2*xm_sP))/xm_sP,0)+IF('XA MU'!$D$29&gt;(xm_y0P+(xm_nP-1)/2*xm_sP),2*('XA MU'!$D$29-(xm_y0P+(xm_nP-1)/2*xm_sP))/xm_sP,0)),0),0)+IF('XA MU'!$B$30&lt;=2,'XA MU'!$E$30*$C$8*(MAX(0,1-ABS('XA MU'!$C$30-$D87)/xm_sP)+MAX(0,1-ABS('XA MU'!$D$30-$D87)/xm_sP)),0)+IF(ABS($D87-(xm_y0P+(xm_nP-1)/2*xm_sP))&lt;0.000001,IF('XA MU'!$B$30&lt;=2,'XA MU'!$E$30*$C$8*(IF('XA MU'!$C$30&gt;(xm_y0P+(xm_nP-1)/2*xm_sP),2*('XA MU'!$C$30-(xm_y0P+(xm_nP-1)/2*xm_sP))/xm_sP,0)+IF('XA MU'!$D$30&gt;(xm_y0P+(xm_nP-1)/2*xm_sP),2*('XA MU'!$D$30-(xm_y0P+(xm_nP-1)/2*xm_sP))/xm_sP,0)),0),0))))</f>
        <v>0</v>
      </c>
      <c r="K87" s="44">
        <f>IF(C87=0,0,IF(3&gt;nLan,0,0.85*(IF('XA MU'!$B$25&lt;=3,'XA MU'!$E$25*$C$8*(MAX(0,1-ABS('XA MU'!$C$25-$D87)/xm_sP)+MAX(0,1-ABS('XA MU'!$D$25-$D87)/xm_sP)),0)+IF(ABS($D87-(xm_y0P+(xm_nP-1)/2*xm_sP))&lt;0.000001,IF('XA MU'!$B$25&lt;=3,'XA MU'!$E$25*$C$8*(IF('XA MU'!$C$25&gt;(xm_y0P+(xm_nP-1)/2*xm_sP),2*('XA MU'!$C$25-(xm_y0P+(xm_nP-1)/2*xm_sP))/xm_sP,0)+IF('XA MU'!$D$25&gt;(xm_y0P+(xm_nP-1)/2*xm_sP),2*('XA MU'!$D$25-(xm_y0P+(xm_nP-1)/2*xm_sP))/xm_sP,0)),0),0)+IF('XA MU'!$B$26&lt;=3,'XA MU'!$E$26*$C$8*(MAX(0,1-ABS('XA MU'!$C$26-$D87)/xm_sP)+MAX(0,1-ABS('XA MU'!$D$26-$D87)/xm_sP)),0)+IF(ABS($D87-(xm_y0P+(xm_nP-1)/2*xm_sP))&lt;0.000001,IF('XA MU'!$B$26&lt;=3,'XA MU'!$E$26*$C$8*(IF('XA MU'!$C$26&gt;(xm_y0P+(xm_nP-1)/2*xm_sP),2*('XA MU'!$C$26-(xm_y0P+(xm_nP-1)/2*xm_sP))/xm_sP,0)+IF('XA MU'!$D$26&gt;(xm_y0P+(xm_nP-1)/2*xm_sP),2*('XA MU'!$D$26-(xm_y0P+(xm_nP-1)/2*xm_sP))/xm_sP,0)),0),0)+IF('XA MU'!$B$27&lt;=3,'XA MU'!$E$27*$C$8*(MAX(0,1-ABS('XA MU'!$C$27-$D87)/xm_sP)+MAX(0,1-ABS('XA MU'!$D$27-$D87)/xm_sP)),0)+IF(ABS($D87-(xm_y0P+(xm_nP-1)/2*xm_sP))&lt;0.000001,IF('XA MU'!$B$27&lt;=3,'XA MU'!$E$27*$C$8*(IF('XA MU'!$C$27&gt;(xm_y0P+(xm_nP-1)/2*xm_sP),2*('XA MU'!$C$27-(xm_y0P+(xm_nP-1)/2*xm_sP))/xm_sP,0)+IF('XA MU'!$D$27&gt;(xm_y0P+(xm_nP-1)/2*xm_sP),2*('XA MU'!$D$27-(xm_y0P+(xm_nP-1)/2*xm_sP))/xm_sP,0)),0),0)+IF('XA MU'!$B$28&lt;=3,'XA MU'!$E$28*$C$8*(MAX(0,1-ABS('XA MU'!$C$28-$D87)/xm_sP)+MAX(0,1-ABS('XA MU'!$D$28-$D87)/xm_sP)),0)+IF(ABS($D87-(xm_y0P+(xm_nP-1)/2*xm_sP))&lt;0.000001,IF('XA MU'!$B$28&lt;=3,'XA MU'!$E$28*$C$8*(IF('XA MU'!$C$28&gt;(xm_y0P+(xm_nP-1)/2*xm_sP),2*('XA MU'!$C$28-(xm_y0P+(xm_nP-1)/2*xm_sP))/xm_sP,0)+IF('XA MU'!$D$28&gt;(xm_y0P+(xm_nP-1)/2*xm_sP),2*('XA MU'!$D$28-(xm_y0P+(xm_nP-1)/2*xm_sP))/xm_sP,0)),0),0)+IF('XA MU'!$B$29&lt;=3,'XA MU'!$E$29*$C$8*(MAX(0,1-ABS('XA MU'!$C$29-$D87)/xm_sP)+MAX(0,1-ABS('XA MU'!$D$29-$D87)/xm_sP)),0)+IF(ABS($D87-(xm_y0P+(xm_nP-1)/2*xm_sP))&lt;0.000001,IF('XA MU'!$B$29&lt;=3,'XA MU'!$E$29*$C$8*(IF('XA MU'!$C$29&gt;(xm_y0P+(xm_nP-1)/2*xm_sP),2*('XA MU'!$C$29-(xm_y0P+(xm_nP-1)/2*xm_sP))/xm_sP,0)+IF('XA MU'!$D$29&gt;(xm_y0P+(xm_nP-1)/2*xm_sP),2*('XA MU'!$D$29-(xm_y0P+(xm_nP-1)/2*xm_sP))/xm_sP,0)),0),0)+IF('XA MU'!$B$30&lt;=3,'XA MU'!$E$30*$C$8*(MAX(0,1-ABS('XA MU'!$C$30-$D87)/xm_sP)+MAX(0,1-ABS('XA MU'!$D$30-$D87)/xm_sP)),0)+IF(ABS($D87-(xm_y0P+(xm_nP-1)/2*xm_sP))&lt;0.000001,IF('XA MU'!$B$30&lt;=3,'XA MU'!$E$30*$C$8*(IF('XA MU'!$C$30&gt;(xm_y0P+(xm_nP-1)/2*xm_sP),2*('XA MU'!$C$30-(xm_y0P+(xm_nP-1)/2*xm_sP))/xm_sP,0)+IF('XA MU'!$D$30&gt;(xm_y0P+(xm_nP-1)/2*xm_sP),2*('XA MU'!$D$30-(xm_y0P+(xm_nP-1)/2*xm_sP))/xm_sP,0)),0),0))))</f>
        <v>0</v>
      </c>
      <c r="L87" s="44">
        <f>IF(C87=0,0,IF(4&gt;nLan,0,0.65*(IF('XA MU'!$B$25&lt;=4,'XA MU'!$E$25*$C$8*(MAX(0,1-ABS('XA MU'!$C$25-$D87)/xm_sP)+MAX(0,1-ABS('XA MU'!$D$25-$D87)/xm_sP)),0)+IF(ABS($D87-(xm_y0P+(xm_nP-1)/2*xm_sP))&lt;0.000001,IF('XA MU'!$B$25&lt;=4,'XA MU'!$E$25*$C$8*(IF('XA MU'!$C$25&gt;(xm_y0P+(xm_nP-1)/2*xm_sP),2*('XA MU'!$C$25-(xm_y0P+(xm_nP-1)/2*xm_sP))/xm_sP,0)+IF('XA MU'!$D$25&gt;(xm_y0P+(xm_nP-1)/2*xm_sP),2*('XA MU'!$D$25-(xm_y0P+(xm_nP-1)/2*xm_sP))/xm_sP,0)),0),0)+IF('XA MU'!$B$26&lt;=4,'XA MU'!$E$26*$C$8*(MAX(0,1-ABS('XA MU'!$C$26-$D87)/xm_sP)+MAX(0,1-ABS('XA MU'!$D$26-$D87)/xm_sP)),0)+IF(ABS($D87-(xm_y0P+(xm_nP-1)/2*xm_sP))&lt;0.000001,IF('XA MU'!$B$26&lt;=4,'XA MU'!$E$26*$C$8*(IF('XA MU'!$C$26&gt;(xm_y0P+(xm_nP-1)/2*xm_sP),2*('XA MU'!$C$26-(xm_y0P+(xm_nP-1)/2*xm_sP))/xm_sP,0)+IF('XA MU'!$D$26&gt;(xm_y0P+(xm_nP-1)/2*xm_sP),2*('XA MU'!$D$26-(xm_y0P+(xm_nP-1)/2*xm_sP))/xm_sP,0)),0),0)+IF('XA MU'!$B$27&lt;=4,'XA MU'!$E$27*$C$8*(MAX(0,1-ABS('XA MU'!$C$27-$D87)/xm_sP)+MAX(0,1-ABS('XA MU'!$D$27-$D87)/xm_sP)),0)+IF(ABS($D87-(xm_y0P+(xm_nP-1)/2*xm_sP))&lt;0.000001,IF('XA MU'!$B$27&lt;=4,'XA MU'!$E$27*$C$8*(IF('XA MU'!$C$27&gt;(xm_y0P+(xm_nP-1)/2*xm_sP),2*('XA MU'!$C$27-(xm_y0P+(xm_nP-1)/2*xm_sP))/xm_sP,0)+IF('XA MU'!$D$27&gt;(xm_y0P+(xm_nP-1)/2*xm_sP),2*('XA MU'!$D$27-(xm_y0P+(xm_nP-1)/2*xm_sP))/xm_sP,0)),0),0)+IF('XA MU'!$B$28&lt;=4,'XA MU'!$E$28*$C$8*(MAX(0,1-ABS('XA MU'!$C$28-$D87)/xm_sP)+MAX(0,1-ABS('XA MU'!$D$28-$D87)/xm_sP)),0)+IF(ABS($D87-(xm_y0P+(xm_nP-1)/2*xm_sP))&lt;0.000001,IF('XA MU'!$B$28&lt;=4,'XA MU'!$E$28*$C$8*(IF('XA MU'!$C$28&gt;(xm_y0P+(xm_nP-1)/2*xm_sP),2*('XA MU'!$C$28-(xm_y0P+(xm_nP-1)/2*xm_sP))/xm_sP,0)+IF('XA MU'!$D$28&gt;(xm_y0P+(xm_nP-1)/2*xm_sP),2*('XA MU'!$D$28-(xm_y0P+(xm_nP-1)/2*xm_sP))/xm_sP,0)),0),0)+IF('XA MU'!$B$29&lt;=4,'XA MU'!$E$29*$C$8*(MAX(0,1-ABS('XA MU'!$C$29-$D87)/xm_sP)+MAX(0,1-ABS('XA MU'!$D$29-$D87)/xm_sP)),0)+IF(ABS($D87-(xm_y0P+(xm_nP-1)/2*xm_sP))&lt;0.000001,IF('XA MU'!$B$29&lt;=4,'XA MU'!$E$29*$C$8*(IF('XA MU'!$C$29&gt;(xm_y0P+(xm_nP-1)/2*xm_sP),2*('XA MU'!$C$29-(xm_y0P+(xm_nP-1)/2*xm_sP))/xm_sP,0)+IF('XA MU'!$D$29&gt;(xm_y0P+(xm_nP-1)/2*xm_sP),2*('XA MU'!$D$29-(xm_y0P+(xm_nP-1)/2*xm_sP))/xm_sP,0)),0),0)+IF('XA MU'!$B$30&lt;=4,'XA MU'!$E$30*$C$8*(MAX(0,1-ABS('XA MU'!$C$30-$D87)/xm_sP)+MAX(0,1-ABS('XA MU'!$D$30-$D87)/xm_sP)),0)+IF(ABS($D87-(xm_y0P+(xm_nP-1)/2*xm_sP))&lt;0.000001,IF('XA MU'!$B$30&lt;=4,'XA MU'!$E$30*$C$8*(IF('XA MU'!$C$30&gt;(xm_y0P+(xm_nP-1)/2*xm_sP),2*('XA MU'!$C$30-(xm_y0P+(xm_nP-1)/2*xm_sP))/xm_sP,0)+IF('XA MU'!$D$30&gt;(xm_y0P+(xm_nP-1)/2*xm_sP),2*('XA MU'!$D$30-(xm_y0P+(xm_nP-1)/2*xm_sP))/xm_sP,0)),0),0))))</f>
        <v>0</v>
      </c>
      <c r="M87" s="44">
        <f>IF(C87=0,0,IF(5&gt;nLan,0,0.65*(IF('XA MU'!$B$25&lt;=5,'XA MU'!$E$25*$C$8*(MAX(0,1-ABS('XA MU'!$C$25-$D87)/xm_sP)+MAX(0,1-ABS('XA MU'!$D$25-$D87)/xm_sP)),0)+IF(ABS($D87-(xm_y0P+(xm_nP-1)/2*xm_sP))&lt;0.000001,IF('XA MU'!$B$25&lt;=5,'XA MU'!$E$25*$C$8*(IF('XA MU'!$C$25&gt;(xm_y0P+(xm_nP-1)/2*xm_sP),2*('XA MU'!$C$25-(xm_y0P+(xm_nP-1)/2*xm_sP))/xm_sP,0)+IF('XA MU'!$D$25&gt;(xm_y0P+(xm_nP-1)/2*xm_sP),2*('XA MU'!$D$25-(xm_y0P+(xm_nP-1)/2*xm_sP))/xm_sP,0)),0),0)+IF('XA MU'!$B$26&lt;=5,'XA MU'!$E$26*$C$8*(MAX(0,1-ABS('XA MU'!$C$26-$D87)/xm_sP)+MAX(0,1-ABS('XA MU'!$D$26-$D87)/xm_sP)),0)+IF(ABS($D87-(xm_y0P+(xm_nP-1)/2*xm_sP))&lt;0.000001,IF('XA MU'!$B$26&lt;=5,'XA MU'!$E$26*$C$8*(IF('XA MU'!$C$26&gt;(xm_y0P+(xm_nP-1)/2*xm_sP),2*('XA MU'!$C$26-(xm_y0P+(xm_nP-1)/2*xm_sP))/xm_sP,0)+IF('XA MU'!$D$26&gt;(xm_y0P+(xm_nP-1)/2*xm_sP),2*('XA MU'!$D$26-(xm_y0P+(xm_nP-1)/2*xm_sP))/xm_sP,0)),0),0)+IF('XA MU'!$B$27&lt;=5,'XA MU'!$E$27*$C$8*(MAX(0,1-ABS('XA MU'!$C$27-$D87)/xm_sP)+MAX(0,1-ABS('XA MU'!$D$27-$D87)/xm_sP)),0)+IF(ABS($D87-(xm_y0P+(xm_nP-1)/2*xm_sP))&lt;0.000001,IF('XA MU'!$B$27&lt;=5,'XA MU'!$E$27*$C$8*(IF('XA MU'!$C$27&gt;(xm_y0P+(xm_nP-1)/2*xm_sP),2*('XA MU'!$C$27-(xm_y0P+(xm_nP-1)/2*xm_sP))/xm_sP,0)+IF('XA MU'!$D$27&gt;(xm_y0P+(xm_nP-1)/2*xm_sP),2*('XA MU'!$D$27-(xm_y0P+(xm_nP-1)/2*xm_sP))/xm_sP,0)),0),0)+IF('XA MU'!$B$28&lt;=5,'XA MU'!$E$28*$C$8*(MAX(0,1-ABS('XA MU'!$C$28-$D87)/xm_sP)+MAX(0,1-ABS('XA MU'!$D$28-$D87)/xm_sP)),0)+IF(ABS($D87-(xm_y0P+(xm_nP-1)/2*xm_sP))&lt;0.000001,IF('XA MU'!$B$28&lt;=5,'XA MU'!$E$28*$C$8*(IF('XA MU'!$C$28&gt;(xm_y0P+(xm_nP-1)/2*xm_sP),2*('XA MU'!$C$28-(xm_y0P+(xm_nP-1)/2*xm_sP))/xm_sP,0)+IF('XA MU'!$D$28&gt;(xm_y0P+(xm_nP-1)/2*xm_sP),2*('XA MU'!$D$28-(xm_y0P+(xm_nP-1)/2*xm_sP))/xm_sP,0)),0),0)+IF('XA MU'!$B$29&lt;=5,'XA MU'!$E$29*$C$8*(MAX(0,1-ABS('XA MU'!$C$29-$D87)/xm_sP)+MAX(0,1-ABS('XA MU'!$D$29-$D87)/xm_sP)),0)+IF(ABS($D87-(xm_y0P+(xm_nP-1)/2*xm_sP))&lt;0.000001,IF('XA MU'!$B$29&lt;=5,'XA MU'!$E$29*$C$8*(IF('XA MU'!$C$29&gt;(xm_y0P+(xm_nP-1)/2*xm_sP),2*('XA MU'!$C$29-(xm_y0P+(xm_nP-1)/2*xm_sP))/xm_sP,0)+IF('XA MU'!$D$29&gt;(xm_y0P+(xm_nP-1)/2*xm_sP),2*('XA MU'!$D$29-(xm_y0P+(xm_nP-1)/2*xm_sP))/xm_sP,0)),0),0)+IF('XA MU'!$B$30&lt;=5,'XA MU'!$E$30*$C$8*(MAX(0,1-ABS('XA MU'!$C$30-$D87)/xm_sP)+MAX(0,1-ABS('XA MU'!$D$30-$D87)/xm_sP)),0)+IF(ABS($D87-(xm_y0P+(xm_nP-1)/2*xm_sP))&lt;0.000001,IF('XA MU'!$B$30&lt;=5,'XA MU'!$E$30*$C$8*(IF('XA MU'!$C$30&gt;(xm_y0P+(xm_nP-1)/2*xm_sP),2*('XA MU'!$C$30-(xm_y0P+(xm_nP-1)/2*xm_sP))/xm_sP,0)+IF('XA MU'!$D$30&gt;(xm_y0P+(xm_nP-1)/2*xm_sP),2*('XA MU'!$D$30-(xm_y0P+(xm_nP-1)/2*xm_sP))/xm_sP,0)),0),0))))</f>
        <v>0</v>
      </c>
      <c r="N87" s="44">
        <f>IF(C87=0,0,IF(6&gt;nLan,0,0.65*(IF('XA MU'!$B$25&lt;=6,'XA MU'!$E$25*$C$8*(MAX(0,1-ABS('XA MU'!$C$25-$D87)/xm_sP)+MAX(0,1-ABS('XA MU'!$D$25-$D87)/xm_sP)),0)+IF(ABS($D87-(xm_y0P+(xm_nP-1)/2*xm_sP))&lt;0.000001,IF('XA MU'!$B$25&lt;=6,'XA MU'!$E$25*$C$8*(IF('XA MU'!$C$25&gt;(xm_y0P+(xm_nP-1)/2*xm_sP),2*('XA MU'!$C$25-(xm_y0P+(xm_nP-1)/2*xm_sP))/xm_sP,0)+IF('XA MU'!$D$25&gt;(xm_y0P+(xm_nP-1)/2*xm_sP),2*('XA MU'!$D$25-(xm_y0P+(xm_nP-1)/2*xm_sP))/xm_sP,0)),0),0)+IF('XA MU'!$B$26&lt;=6,'XA MU'!$E$26*$C$8*(MAX(0,1-ABS('XA MU'!$C$26-$D87)/xm_sP)+MAX(0,1-ABS('XA MU'!$D$26-$D87)/xm_sP)),0)+IF(ABS($D87-(xm_y0P+(xm_nP-1)/2*xm_sP))&lt;0.000001,IF('XA MU'!$B$26&lt;=6,'XA MU'!$E$26*$C$8*(IF('XA MU'!$C$26&gt;(xm_y0P+(xm_nP-1)/2*xm_sP),2*('XA MU'!$C$26-(xm_y0P+(xm_nP-1)/2*xm_sP))/xm_sP,0)+IF('XA MU'!$D$26&gt;(xm_y0P+(xm_nP-1)/2*xm_sP),2*('XA MU'!$D$26-(xm_y0P+(xm_nP-1)/2*xm_sP))/xm_sP,0)),0),0)+IF('XA MU'!$B$27&lt;=6,'XA MU'!$E$27*$C$8*(MAX(0,1-ABS('XA MU'!$C$27-$D87)/xm_sP)+MAX(0,1-ABS('XA MU'!$D$27-$D87)/xm_sP)),0)+IF(ABS($D87-(xm_y0P+(xm_nP-1)/2*xm_sP))&lt;0.000001,IF('XA MU'!$B$27&lt;=6,'XA MU'!$E$27*$C$8*(IF('XA MU'!$C$27&gt;(xm_y0P+(xm_nP-1)/2*xm_sP),2*('XA MU'!$C$27-(xm_y0P+(xm_nP-1)/2*xm_sP))/xm_sP,0)+IF('XA MU'!$D$27&gt;(xm_y0P+(xm_nP-1)/2*xm_sP),2*('XA MU'!$D$27-(xm_y0P+(xm_nP-1)/2*xm_sP))/xm_sP,0)),0),0)+IF('XA MU'!$B$28&lt;=6,'XA MU'!$E$28*$C$8*(MAX(0,1-ABS('XA MU'!$C$28-$D87)/xm_sP)+MAX(0,1-ABS('XA MU'!$D$28-$D87)/xm_sP)),0)+IF(ABS($D87-(xm_y0P+(xm_nP-1)/2*xm_sP))&lt;0.000001,IF('XA MU'!$B$28&lt;=6,'XA MU'!$E$28*$C$8*(IF('XA MU'!$C$28&gt;(xm_y0P+(xm_nP-1)/2*xm_sP),2*('XA MU'!$C$28-(xm_y0P+(xm_nP-1)/2*xm_sP))/xm_sP,0)+IF('XA MU'!$D$28&gt;(xm_y0P+(xm_nP-1)/2*xm_sP),2*('XA MU'!$D$28-(xm_y0P+(xm_nP-1)/2*xm_sP))/xm_sP,0)),0),0)+IF('XA MU'!$B$29&lt;=6,'XA MU'!$E$29*$C$8*(MAX(0,1-ABS('XA MU'!$C$29-$D87)/xm_sP)+MAX(0,1-ABS('XA MU'!$D$29-$D87)/xm_sP)),0)+IF(ABS($D87-(xm_y0P+(xm_nP-1)/2*xm_sP))&lt;0.000001,IF('XA MU'!$B$29&lt;=6,'XA MU'!$E$29*$C$8*(IF('XA MU'!$C$29&gt;(xm_y0P+(xm_nP-1)/2*xm_sP),2*('XA MU'!$C$29-(xm_y0P+(xm_nP-1)/2*xm_sP))/xm_sP,0)+IF('XA MU'!$D$29&gt;(xm_y0P+(xm_nP-1)/2*xm_sP),2*('XA MU'!$D$29-(xm_y0P+(xm_nP-1)/2*xm_sP))/xm_sP,0)),0),0)+IF('XA MU'!$B$30&lt;=6,'XA MU'!$E$30*$C$8*(MAX(0,1-ABS('XA MU'!$C$30-$D87)/xm_sP)+MAX(0,1-ABS('XA MU'!$D$30-$D87)/xm_sP)),0)+IF(ABS($D87-(xm_y0P+(xm_nP-1)/2*xm_sP))&lt;0.000001,IF('XA MU'!$B$30&lt;=6,'XA MU'!$E$30*$C$8*(IF('XA MU'!$C$30&gt;(xm_y0P+(xm_nP-1)/2*xm_sP),2*('XA MU'!$C$30-(xm_y0P+(xm_nP-1)/2*xm_sP))/xm_sP,0)+IF('XA MU'!$D$30&gt;(xm_y0P+(xm_nP-1)/2*xm_sP),2*('XA MU'!$D$30-(xm_y0P+(xm_nP-1)/2*xm_sP))/xm_sP,0)),0),0))))</f>
        <v>0</v>
      </c>
    </row>
    <row r="88" spans="1:14" x14ac:dyDescent="0.3">
      <c r="A88" s="42" t="s">
        <v>1236</v>
      </c>
      <c r="B88" s="42">
        <v>34</v>
      </c>
      <c r="C88" s="40">
        <f t="shared" si="4"/>
        <v>0</v>
      </c>
      <c r="D88" s="44">
        <f t="shared" si="5"/>
        <v>0</v>
      </c>
      <c r="E88" s="44">
        <f>MAX(0,D88-'XA MU'!$C$8)*C88</f>
        <v>0</v>
      </c>
      <c r="F88" s="44">
        <f>IF(AND(C88=1,D88&gt;'XA MU'!$C$8),1,0)</f>
        <v>0</v>
      </c>
      <c r="G88" s="44">
        <f t="shared" si="6"/>
        <v>0</v>
      </c>
      <c r="H88" s="44">
        <f t="shared" si="7"/>
        <v>0</v>
      </c>
      <c r="I88" s="44">
        <f>IF(C88=0,0,IF(1&gt;nLan,0,1.2*(IF('XA MU'!$B$25&lt;=1,'XA MU'!$E$25*$C$8*(MAX(0,1-ABS('XA MU'!$C$25-$D88)/xm_sP)+MAX(0,1-ABS('XA MU'!$D$25-$D88)/xm_sP)),0)+IF(ABS($D88-(xm_y0P+(xm_nP-1)/2*xm_sP))&lt;0.000001,IF('XA MU'!$B$25&lt;=1,'XA MU'!$E$25*$C$8*(IF('XA MU'!$C$25&gt;(xm_y0P+(xm_nP-1)/2*xm_sP),2*('XA MU'!$C$25-(xm_y0P+(xm_nP-1)/2*xm_sP))/xm_sP,0)+IF('XA MU'!$D$25&gt;(xm_y0P+(xm_nP-1)/2*xm_sP),2*('XA MU'!$D$25-(xm_y0P+(xm_nP-1)/2*xm_sP))/xm_sP,0)),0),0)+IF('XA MU'!$B$26&lt;=1,'XA MU'!$E$26*$C$8*(MAX(0,1-ABS('XA MU'!$C$26-$D88)/xm_sP)+MAX(0,1-ABS('XA MU'!$D$26-$D88)/xm_sP)),0)+IF(ABS($D88-(xm_y0P+(xm_nP-1)/2*xm_sP))&lt;0.000001,IF('XA MU'!$B$26&lt;=1,'XA MU'!$E$26*$C$8*(IF('XA MU'!$C$26&gt;(xm_y0P+(xm_nP-1)/2*xm_sP),2*('XA MU'!$C$26-(xm_y0P+(xm_nP-1)/2*xm_sP))/xm_sP,0)+IF('XA MU'!$D$26&gt;(xm_y0P+(xm_nP-1)/2*xm_sP),2*('XA MU'!$D$26-(xm_y0P+(xm_nP-1)/2*xm_sP))/xm_sP,0)),0),0)+IF('XA MU'!$B$27&lt;=1,'XA MU'!$E$27*$C$8*(MAX(0,1-ABS('XA MU'!$C$27-$D88)/xm_sP)+MAX(0,1-ABS('XA MU'!$D$27-$D88)/xm_sP)),0)+IF(ABS($D88-(xm_y0P+(xm_nP-1)/2*xm_sP))&lt;0.000001,IF('XA MU'!$B$27&lt;=1,'XA MU'!$E$27*$C$8*(IF('XA MU'!$C$27&gt;(xm_y0P+(xm_nP-1)/2*xm_sP),2*('XA MU'!$C$27-(xm_y0P+(xm_nP-1)/2*xm_sP))/xm_sP,0)+IF('XA MU'!$D$27&gt;(xm_y0P+(xm_nP-1)/2*xm_sP),2*('XA MU'!$D$27-(xm_y0P+(xm_nP-1)/2*xm_sP))/xm_sP,0)),0),0)+IF('XA MU'!$B$28&lt;=1,'XA MU'!$E$28*$C$8*(MAX(0,1-ABS('XA MU'!$C$28-$D88)/xm_sP)+MAX(0,1-ABS('XA MU'!$D$28-$D88)/xm_sP)),0)+IF(ABS($D88-(xm_y0P+(xm_nP-1)/2*xm_sP))&lt;0.000001,IF('XA MU'!$B$28&lt;=1,'XA MU'!$E$28*$C$8*(IF('XA MU'!$C$28&gt;(xm_y0P+(xm_nP-1)/2*xm_sP),2*('XA MU'!$C$28-(xm_y0P+(xm_nP-1)/2*xm_sP))/xm_sP,0)+IF('XA MU'!$D$28&gt;(xm_y0P+(xm_nP-1)/2*xm_sP),2*('XA MU'!$D$28-(xm_y0P+(xm_nP-1)/2*xm_sP))/xm_sP,0)),0),0)+IF('XA MU'!$B$29&lt;=1,'XA MU'!$E$29*$C$8*(MAX(0,1-ABS('XA MU'!$C$29-$D88)/xm_sP)+MAX(0,1-ABS('XA MU'!$D$29-$D88)/xm_sP)),0)+IF(ABS($D88-(xm_y0P+(xm_nP-1)/2*xm_sP))&lt;0.000001,IF('XA MU'!$B$29&lt;=1,'XA MU'!$E$29*$C$8*(IF('XA MU'!$C$29&gt;(xm_y0P+(xm_nP-1)/2*xm_sP),2*('XA MU'!$C$29-(xm_y0P+(xm_nP-1)/2*xm_sP))/xm_sP,0)+IF('XA MU'!$D$29&gt;(xm_y0P+(xm_nP-1)/2*xm_sP),2*('XA MU'!$D$29-(xm_y0P+(xm_nP-1)/2*xm_sP))/xm_sP,0)),0),0)+IF('XA MU'!$B$30&lt;=1,'XA MU'!$E$30*$C$8*(MAX(0,1-ABS('XA MU'!$C$30-$D88)/xm_sP)+MAX(0,1-ABS('XA MU'!$D$30-$D88)/xm_sP)),0)+IF(ABS($D88-(xm_y0P+(xm_nP-1)/2*xm_sP))&lt;0.000001,IF('XA MU'!$B$30&lt;=1,'XA MU'!$E$30*$C$8*(IF('XA MU'!$C$30&gt;(xm_y0P+(xm_nP-1)/2*xm_sP),2*('XA MU'!$C$30-(xm_y0P+(xm_nP-1)/2*xm_sP))/xm_sP,0)+IF('XA MU'!$D$30&gt;(xm_y0P+(xm_nP-1)/2*xm_sP),2*('XA MU'!$D$30-(xm_y0P+(xm_nP-1)/2*xm_sP))/xm_sP,0)),0),0))))</f>
        <v>0</v>
      </c>
      <c r="J88" s="44">
        <f>IF(C88=0,0,IF(2&gt;nLan,0,1*(IF('XA MU'!$B$25&lt;=2,'XA MU'!$E$25*$C$8*(MAX(0,1-ABS('XA MU'!$C$25-$D88)/xm_sP)+MAX(0,1-ABS('XA MU'!$D$25-$D88)/xm_sP)),0)+IF(ABS($D88-(xm_y0P+(xm_nP-1)/2*xm_sP))&lt;0.000001,IF('XA MU'!$B$25&lt;=2,'XA MU'!$E$25*$C$8*(IF('XA MU'!$C$25&gt;(xm_y0P+(xm_nP-1)/2*xm_sP),2*('XA MU'!$C$25-(xm_y0P+(xm_nP-1)/2*xm_sP))/xm_sP,0)+IF('XA MU'!$D$25&gt;(xm_y0P+(xm_nP-1)/2*xm_sP),2*('XA MU'!$D$25-(xm_y0P+(xm_nP-1)/2*xm_sP))/xm_sP,0)),0),0)+IF('XA MU'!$B$26&lt;=2,'XA MU'!$E$26*$C$8*(MAX(0,1-ABS('XA MU'!$C$26-$D88)/xm_sP)+MAX(0,1-ABS('XA MU'!$D$26-$D88)/xm_sP)),0)+IF(ABS($D88-(xm_y0P+(xm_nP-1)/2*xm_sP))&lt;0.000001,IF('XA MU'!$B$26&lt;=2,'XA MU'!$E$26*$C$8*(IF('XA MU'!$C$26&gt;(xm_y0P+(xm_nP-1)/2*xm_sP),2*('XA MU'!$C$26-(xm_y0P+(xm_nP-1)/2*xm_sP))/xm_sP,0)+IF('XA MU'!$D$26&gt;(xm_y0P+(xm_nP-1)/2*xm_sP),2*('XA MU'!$D$26-(xm_y0P+(xm_nP-1)/2*xm_sP))/xm_sP,0)),0),0)+IF('XA MU'!$B$27&lt;=2,'XA MU'!$E$27*$C$8*(MAX(0,1-ABS('XA MU'!$C$27-$D88)/xm_sP)+MAX(0,1-ABS('XA MU'!$D$27-$D88)/xm_sP)),0)+IF(ABS($D88-(xm_y0P+(xm_nP-1)/2*xm_sP))&lt;0.000001,IF('XA MU'!$B$27&lt;=2,'XA MU'!$E$27*$C$8*(IF('XA MU'!$C$27&gt;(xm_y0P+(xm_nP-1)/2*xm_sP),2*('XA MU'!$C$27-(xm_y0P+(xm_nP-1)/2*xm_sP))/xm_sP,0)+IF('XA MU'!$D$27&gt;(xm_y0P+(xm_nP-1)/2*xm_sP),2*('XA MU'!$D$27-(xm_y0P+(xm_nP-1)/2*xm_sP))/xm_sP,0)),0),0)+IF('XA MU'!$B$28&lt;=2,'XA MU'!$E$28*$C$8*(MAX(0,1-ABS('XA MU'!$C$28-$D88)/xm_sP)+MAX(0,1-ABS('XA MU'!$D$28-$D88)/xm_sP)),0)+IF(ABS($D88-(xm_y0P+(xm_nP-1)/2*xm_sP))&lt;0.000001,IF('XA MU'!$B$28&lt;=2,'XA MU'!$E$28*$C$8*(IF('XA MU'!$C$28&gt;(xm_y0P+(xm_nP-1)/2*xm_sP),2*('XA MU'!$C$28-(xm_y0P+(xm_nP-1)/2*xm_sP))/xm_sP,0)+IF('XA MU'!$D$28&gt;(xm_y0P+(xm_nP-1)/2*xm_sP),2*('XA MU'!$D$28-(xm_y0P+(xm_nP-1)/2*xm_sP))/xm_sP,0)),0),0)+IF('XA MU'!$B$29&lt;=2,'XA MU'!$E$29*$C$8*(MAX(0,1-ABS('XA MU'!$C$29-$D88)/xm_sP)+MAX(0,1-ABS('XA MU'!$D$29-$D88)/xm_sP)),0)+IF(ABS($D88-(xm_y0P+(xm_nP-1)/2*xm_sP))&lt;0.000001,IF('XA MU'!$B$29&lt;=2,'XA MU'!$E$29*$C$8*(IF('XA MU'!$C$29&gt;(xm_y0P+(xm_nP-1)/2*xm_sP),2*('XA MU'!$C$29-(xm_y0P+(xm_nP-1)/2*xm_sP))/xm_sP,0)+IF('XA MU'!$D$29&gt;(xm_y0P+(xm_nP-1)/2*xm_sP),2*('XA MU'!$D$29-(xm_y0P+(xm_nP-1)/2*xm_sP))/xm_sP,0)),0),0)+IF('XA MU'!$B$30&lt;=2,'XA MU'!$E$30*$C$8*(MAX(0,1-ABS('XA MU'!$C$30-$D88)/xm_sP)+MAX(0,1-ABS('XA MU'!$D$30-$D88)/xm_sP)),0)+IF(ABS($D88-(xm_y0P+(xm_nP-1)/2*xm_sP))&lt;0.000001,IF('XA MU'!$B$30&lt;=2,'XA MU'!$E$30*$C$8*(IF('XA MU'!$C$30&gt;(xm_y0P+(xm_nP-1)/2*xm_sP),2*('XA MU'!$C$30-(xm_y0P+(xm_nP-1)/2*xm_sP))/xm_sP,0)+IF('XA MU'!$D$30&gt;(xm_y0P+(xm_nP-1)/2*xm_sP),2*('XA MU'!$D$30-(xm_y0P+(xm_nP-1)/2*xm_sP))/xm_sP,0)),0),0))))</f>
        <v>0</v>
      </c>
      <c r="K88" s="44">
        <f>IF(C88=0,0,IF(3&gt;nLan,0,0.85*(IF('XA MU'!$B$25&lt;=3,'XA MU'!$E$25*$C$8*(MAX(0,1-ABS('XA MU'!$C$25-$D88)/xm_sP)+MAX(0,1-ABS('XA MU'!$D$25-$D88)/xm_sP)),0)+IF(ABS($D88-(xm_y0P+(xm_nP-1)/2*xm_sP))&lt;0.000001,IF('XA MU'!$B$25&lt;=3,'XA MU'!$E$25*$C$8*(IF('XA MU'!$C$25&gt;(xm_y0P+(xm_nP-1)/2*xm_sP),2*('XA MU'!$C$25-(xm_y0P+(xm_nP-1)/2*xm_sP))/xm_sP,0)+IF('XA MU'!$D$25&gt;(xm_y0P+(xm_nP-1)/2*xm_sP),2*('XA MU'!$D$25-(xm_y0P+(xm_nP-1)/2*xm_sP))/xm_sP,0)),0),0)+IF('XA MU'!$B$26&lt;=3,'XA MU'!$E$26*$C$8*(MAX(0,1-ABS('XA MU'!$C$26-$D88)/xm_sP)+MAX(0,1-ABS('XA MU'!$D$26-$D88)/xm_sP)),0)+IF(ABS($D88-(xm_y0P+(xm_nP-1)/2*xm_sP))&lt;0.000001,IF('XA MU'!$B$26&lt;=3,'XA MU'!$E$26*$C$8*(IF('XA MU'!$C$26&gt;(xm_y0P+(xm_nP-1)/2*xm_sP),2*('XA MU'!$C$26-(xm_y0P+(xm_nP-1)/2*xm_sP))/xm_sP,0)+IF('XA MU'!$D$26&gt;(xm_y0P+(xm_nP-1)/2*xm_sP),2*('XA MU'!$D$26-(xm_y0P+(xm_nP-1)/2*xm_sP))/xm_sP,0)),0),0)+IF('XA MU'!$B$27&lt;=3,'XA MU'!$E$27*$C$8*(MAX(0,1-ABS('XA MU'!$C$27-$D88)/xm_sP)+MAX(0,1-ABS('XA MU'!$D$27-$D88)/xm_sP)),0)+IF(ABS($D88-(xm_y0P+(xm_nP-1)/2*xm_sP))&lt;0.000001,IF('XA MU'!$B$27&lt;=3,'XA MU'!$E$27*$C$8*(IF('XA MU'!$C$27&gt;(xm_y0P+(xm_nP-1)/2*xm_sP),2*('XA MU'!$C$27-(xm_y0P+(xm_nP-1)/2*xm_sP))/xm_sP,0)+IF('XA MU'!$D$27&gt;(xm_y0P+(xm_nP-1)/2*xm_sP),2*('XA MU'!$D$27-(xm_y0P+(xm_nP-1)/2*xm_sP))/xm_sP,0)),0),0)+IF('XA MU'!$B$28&lt;=3,'XA MU'!$E$28*$C$8*(MAX(0,1-ABS('XA MU'!$C$28-$D88)/xm_sP)+MAX(0,1-ABS('XA MU'!$D$28-$D88)/xm_sP)),0)+IF(ABS($D88-(xm_y0P+(xm_nP-1)/2*xm_sP))&lt;0.000001,IF('XA MU'!$B$28&lt;=3,'XA MU'!$E$28*$C$8*(IF('XA MU'!$C$28&gt;(xm_y0P+(xm_nP-1)/2*xm_sP),2*('XA MU'!$C$28-(xm_y0P+(xm_nP-1)/2*xm_sP))/xm_sP,0)+IF('XA MU'!$D$28&gt;(xm_y0P+(xm_nP-1)/2*xm_sP),2*('XA MU'!$D$28-(xm_y0P+(xm_nP-1)/2*xm_sP))/xm_sP,0)),0),0)+IF('XA MU'!$B$29&lt;=3,'XA MU'!$E$29*$C$8*(MAX(0,1-ABS('XA MU'!$C$29-$D88)/xm_sP)+MAX(0,1-ABS('XA MU'!$D$29-$D88)/xm_sP)),0)+IF(ABS($D88-(xm_y0P+(xm_nP-1)/2*xm_sP))&lt;0.000001,IF('XA MU'!$B$29&lt;=3,'XA MU'!$E$29*$C$8*(IF('XA MU'!$C$29&gt;(xm_y0P+(xm_nP-1)/2*xm_sP),2*('XA MU'!$C$29-(xm_y0P+(xm_nP-1)/2*xm_sP))/xm_sP,0)+IF('XA MU'!$D$29&gt;(xm_y0P+(xm_nP-1)/2*xm_sP),2*('XA MU'!$D$29-(xm_y0P+(xm_nP-1)/2*xm_sP))/xm_sP,0)),0),0)+IF('XA MU'!$B$30&lt;=3,'XA MU'!$E$30*$C$8*(MAX(0,1-ABS('XA MU'!$C$30-$D88)/xm_sP)+MAX(0,1-ABS('XA MU'!$D$30-$D88)/xm_sP)),0)+IF(ABS($D88-(xm_y0P+(xm_nP-1)/2*xm_sP))&lt;0.000001,IF('XA MU'!$B$30&lt;=3,'XA MU'!$E$30*$C$8*(IF('XA MU'!$C$30&gt;(xm_y0P+(xm_nP-1)/2*xm_sP),2*('XA MU'!$C$30-(xm_y0P+(xm_nP-1)/2*xm_sP))/xm_sP,0)+IF('XA MU'!$D$30&gt;(xm_y0P+(xm_nP-1)/2*xm_sP),2*('XA MU'!$D$30-(xm_y0P+(xm_nP-1)/2*xm_sP))/xm_sP,0)),0),0))))</f>
        <v>0</v>
      </c>
      <c r="L88" s="44">
        <f>IF(C88=0,0,IF(4&gt;nLan,0,0.65*(IF('XA MU'!$B$25&lt;=4,'XA MU'!$E$25*$C$8*(MAX(0,1-ABS('XA MU'!$C$25-$D88)/xm_sP)+MAX(0,1-ABS('XA MU'!$D$25-$D88)/xm_sP)),0)+IF(ABS($D88-(xm_y0P+(xm_nP-1)/2*xm_sP))&lt;0.000001,IF('XA MU'!$B$25&lt;=4,'XA MU'!$E$25*$C$8*(IF('XA MU'!$C$25&gt;(xm_y0P+(xm_nP-1)/2*xm_sP),2*('XA MU'!$C$25-(xm_y0P+(xm_nP-1)/2*xm_sP))/xm_sP,0)+IF('XA MU'!$D$25&gt;(xm_y0P+(xm_nP-1)/2*xm_sP),2*('XA MU'!$D$25-(xm_y0P+(xm_nP-1)/2*xm_sP))/xm_sP,0)),0),0)+IF('XA MU'!$B$26&lt;=4,'XA MU'!$E$26*$C$8*(MAX(0,1-ABS('XA MU'!$C$26-$D88)/xm_sP)+MAX(0,1-ABS('XA MU'!$D$26-$D88)/xm_sP)),0)+IF(ABS($D88-(xm_y0P+(xm_nP-1)/2*xm_sP))&lt;0.000001,IF('XA MU'!$B$26&lt;=4,'XA MU'!$E$26*$C$8*(IF('XA MU'!$C$26&gt;(xm_y0P+(xm_nP-1)/2*xm_sP),2*('XA MU'!$C$26-(xm_y0P+(xm_nP-1)/2*xm_sP))/xm_sP,0)+IF('XA MU'!$D$26&gt;(xm_y0P+(xm_nP-1)/2*xm_sP),2*('XA MU'!$D$26-(xm_y0P+(xm_nP-1)/2*xm_sP))/xm_sP,0)),0),0)+IF('XA MU'!$B$27&lt;=4,'XA MU'!$E$27*$C$8*(MAX(0,1-ABS('XA MU'!$C$27-$D88)/xm_sP)+MAX(0,1-ABS('XA MU'!$D$27-$D88)/xm_sP)),0)+IF(ABS($D88-(xm_y0P+(xm_nP-1)/2*xm_sP))&lt;0.000001,IF('XA MU'!$B$27&lt;=4,'XA MU'!$E$27*$C$8*(IF('XA MU'!$C$27&gt;(xm_y0P+(xm_nP-1)/2*xm_sP),2*('XA MU'!$C$27-(xm_y0P+(xm_nP-1)/2*xm_sP))/xm_sP,0)+IF('XA MU'!$D$27&gt;(xm_y0P+(xm_nP-1)/2*xm_sP),2*('XA MU'!$D$27-(xm_y0P+(xm_nP-1)/2*xm_sP))/xm_sP,0)),0),0)+IF('XA MU'!$B$28&lt;=4,'XA MU'!$E$28*$C$8*(MAX(0,1-ABS('XA MU'!$C$28-$D88)/xm_sP)+MAX(0,1-ABS('XA MU'!$D$28-$D88)/xm_sP)),0)+IF(ABS($D88-(xm_y0P+(xm_nP-1)/2*xm_sP))&lt;0.000001,IF('XA MU'!$B$28&lt;=4,'XA MU'!$E$28*$C$8*(IF('XA MU'!$C$28&gt;(xm_y0P+(xm_nP-1)/2*xm_sP),2*('XA MU'!$C$28-(xm_y0P+(xm_nP-1)/2*xm_sP))/xm_sP,0)+IF('XA MU'!$D$28&gt;(xm_y0P+(xm_nP-1)/2*xm_sP),2*('XA MU'!$D$28-(xm_y0P+(xm_nP-1)/2*xm_sP))/xm_sP,0)),0),0)+IF('XA MU'!$B$29&lt;=4,'XA MU'!$E$29*$C$8*(MAX(0,1-ABS('XA MU'!$C$29-$D88)/xm_sP)+MAX(0,1-ABS('XA MU'!$D$29-$D88)/xm_sP)),0)+IF(ABS($D88-(xm_y0P+(xm_nP-1)/2*xm_sP))&lt;0.000001,IF('XA MU'!$B$29&lt;=4,'XA MU'!$E$29*$C$8*(IF('XA MU'!$C$29&gt;(xm_y0P+(xm_nP-1)/2*xm_sP),2*('XA MU'!$C$29-(xm_y0P+(xm_nP-1)/2*xm_sP))/xm_sP,0)+IF('XA MU'!$D$29&gt;(xm_y0P+(xm_nP-1)/2*xm_sP),2*('XA MU'!$D$29-(xm_y0P+(xm_nP-1)/2*xm_sP))/xm_sP,0)),0),0)+IF('XA MU'!$B$30&lt;=4,'XA MU'!$E$30*$C$8*(MAX(0,1-ABS('XA MU'!$C$30-$D88)/xm_sP)+MAX(0,1-ABS('XA MU'!$D$30-$D88)/xm_sP)),0)+IF(ABS($D88-(xm_y0P+(xm_nP-1)/2*xm_sP))&lt;0.000001,IF('XA MU'!$B$30&lt;=4,'XA MU'!$E$30*$C$8*(IF('XA MU'!$C$30&gt;(xm_y0P+(xm_nP-1)/2*xm_sP),2*('XA MU'!$C$30-(xm_y0P+(xm_nP-1)/2*xm_sP))/xm_sP,0)+IF('XA MU'!$D$30&gt;(xm_y0P+(xm_nP-1)/2*xm_sP),2*('XA MU'!$D$30-(xm_y0P+(xm_nP-1)/2*xm_sP))/xm_sP,0)),0),0))))</f>
        <v>0</v>
      </c>
      <c r="M88" s="44">
        <f>IF(C88=0,0,IF(5&gt;nLan,0,0.65*(IF('XA MU'!$B$25&lt;=5,'XA MU'!$E$25*$C$8*(MAX(0,1-ABS('XA MU'!$C$25-$D88)/xm_sP)+MAX(0,1-ABS('XA MU'!$D$25-$D88)/xm_sP)),0)+IF(ABS($D88-(xm_y0P+(xm_nP-1)/2*xm_sP))&lt;0.000001,IF('XA MU'!$B$25&lt;=5,'XA MU'!$E$25*$C$8*(IF('XA MU'!$C$25&gt;(xm_y0P+(xm_nP-1)/2*xm_sP),2*('XA MU'!$C$25-(xm_y0P+(xm_nP-1)/2*xm_sP))/xm_sP,0)+IF('XA MU'!$D$25&gt;(xm_y0P+(xm_nP-1)/2*xm_sP),2*('XA MU'!$D$25-(xm_y0P+(xm_nP-1)/2*xm_sP))/xm_sP,0)),0),0)+IF('XA MU'!$B$26&lt;=5,'XA MU'!$E$26*$C$8*(MAX(0,1-ABS('XA MU'!$C$26-$D88)/xm_sP)+MAX(0,1-ABS('XA MU'!$D$26-$D88)/xm_sP)),0)+IF(ABS($D88-(xm_y0P+(xm_nP-1)/2*xm_sP))&lt;0.000001,IF('XA MU'!$B$26&lt;=5,'XA MU'!$E$26*$C$8*(IF('XA MU'!$C$26&gt;(xm_y0P+(xm_nP-1)/2*xm_sP),2*('XA MU'!$C$26-(xm_y0P+(xm_nP-1)/2*xm_sP))/xm_sP,0)+IF('XA MU'!$D$26&gt;(xm_y0P+(xm_nP-1)/2*xm_sP),2*('XA MU'!$D$26-(xm_y0P+(xm_nP-1)/2*xm_sP))/xm_sP,0)),0),0)+IF('XA MU'!$B$27&lt;=5,'XA MU'!$E$27*$C$8*(MAX(0,1-ABS('XA MU'!$C$27-$D88)/xm_sP)+MAX(0,1-ABS('XA MU'!$D$27-$D88)/xm_sP)),0)+IF(ABS($D88-(xm_y0P+(xm_nP-1)/2*xm_sP))&lt;0.000001,IF('XA MU'!$B$27&lt;=5,'XA MU'!$E$27*$C$8*(IF('XA MU'!$C$27&gt;(xm_y0P+(xm_nP-1)/2*xm_sP),2*('XA MU'!$C$27-(xm_y0P+(xm_nP-1)/2*xm_sP))/xm_sP,0)+IF('XA MU'!$D$27&gt;(xm_y0P+(xm_nP-1)/2*xm_sP),2*('XA MU'!$D$27-(xm_y0P+(xm_nP-1)/2*xm_sP))/xm_sP,0)),0),0)+IF('XA MU'!$B$28&lt;=5,'XA MU'!$E$28*$C$8*(MAX(0,1-ABS('XA MU'!$C$28-$D88)/xm_sP)+MAX(0,1-ABS('XA MU'!$D$28-$D88)/xm_sP)),0)+IF(ABS($D88-(xm_y0P+(xm_nP-1)/2*xm_sP))&lt;0.000001,IF('XA MU'!$B$28&lt;=5,'XA MU'!$E$28*$C$8*(IF('XA MU'!$C$28&gt;(xm_y0P+(xm_nP-1)/2*xm_sP),2*('XA MU'!$C$28-(xm_y0P+(xm_nP-1)/2*xm_sP))/xm_sP,0)+IF('XA MU'!$D$28&gt;(xm_y0P+(xm_nP-1)/2*xm_sP),2*('XA MU'!$D$28-(xm_y0P+(xm_nP-1)/2*xm_sP))/xm_sP,0)),0),0)+IF('XA MU'!$B$29&lt;=5,'XA MU'!$E$29*$C$8*(MAX(0,1-ABS('XA MU'!$C$29-$D88)/xm_sP)+MAX(0,1-ABS('XA MU'!$D$29-$D88)/xm_sP)),0)+IF(ABS($D88-(xm_y0P+(xm_nP-1)/2*xm_sP))&lt;0.000001,IF('XA MU'!$B$29&lt;=5,'XA MU'!$E$29*$C$8*(IF('XA MU'!$C$29&gt;(xm_y0P+(xm_nP-1)/2*xm_sP),2*('XA MU'!$C$29-(xm_y0P+(xm_nP-1)/2*xm_sP))/xm_sP,0)+IF('XA MU'!$D$29&gt;(xm_y0P+(xm_nP-1)/2*xm_sP),2*('XA MU'!$D$29-(xm_y0P+(xm_nP-1)/2*xm_sP))/xm_sP,0)),0),0)+IF('XA MU'!$B$30&lt;=5,'XA MU'!$E$30*$C$8*(MAX(0,1-ABS('XA MU'!$C$30-$D88)/xm_sP)+MAX(0,1-ABS('XA MU'!$D$30-$D88)/xm_sP)),0)+IF(ABS($D88-(xm_y0P+(xm_nP-1)/2*xm_sP))&lt;0.000001,IF('XA MU'!$B$30&lt;=5,'XA MU'!$E$30*$C$8*(IF('XA MU'!$C$30&gt;(xm_y0P+(xm_nP-1)/2*xm_sP),2*('XA MU'!$C$30-(xm_y0P+(xm_nP-1)/2*xm_sP))/xm_sP,0)+IF('XA MU'!$D$30&gt;(xm_y0P+(xm_nP-1)/2*xm_sP),2*('XA MU'!$D$30-(xm_y0P+(xm_nP-1)/2*xm_sP))/xm_sP,0)),0),0))))</f>
        <v>0</v>
      </c>
      <c r="N88" s="44">
        <f>IF(C88=0,0,IF(6&gt;nLan,0,0.65*(IF('XA MU'!$B$25&lt;=6,'XA MU'!$E$25*$C$8*(MAX(0,1-ABS('XA MU'!$C$25-$D88)/xm_sP)+MAX(0,1-ABS('XA MU'!$D$25-$D88)/xm_sP)),0)+IF(ABS($D88-(xm_y0P+(xm_nP-1)/2*xm_sP))&lt;0.000001,IF('XA MU'!$B$25&lt;=6,'XA MU'!$E$25*$C$8*(IF('XA MU'!$C$25&gt;(xm_y0P+(xm_nP-1)/2*xm_sP),2*('XA MU'!$C$25-(xm_y0P+(xm_nP-1)/2*xm_sP))/xm_sP,0)+IF('XA MU'!$D$25&gt;(xm_y0P+(xm_nP-1)/2*xm_sP),2*('XA MU'!$D$25-(xm_y0P+(xm_nP-1)/2*xm_sP))/xm_sP,0)),0),0)+IF('XA MU'!$B$26&lt;=6,'XA MU'!$E$26*$C$8*(MAX(0,1-ABS('XA MU'!$C$26-$D88)/xm_sP)+MAX(0,1-ABS('XA MU'!$D$26-$D88)/xm_sP)),0)+IF(ABS($D88-(xm_y0P+(xm_nP-1)/2*xm_sP))&lt;0.000001,IF('XA MU'!$B$26&lt;=6,'XA MU'!$E$26*$C$8*(IF('XA MU'!$C$26&gt;(xm_y0P+(xm_nP-1)/2*xm_sP),2*('XA MU'!$C$26-(xm_y0P+(xm_nP-1)/2*xm_sP))/xm_sP,0)+IF('XA MU'!$D$26&gt;(xm_y0P+(xm_nP-1)/2*xm_sP),2*('XA MU'!$D$26-(xm_y0P+(xm_nP-1)/2*xm_sP))/xm_sP,0)),0),0)+IF('XA MU'!$B$27&lt;=6,'XA MU'!$E$27*$C$8*(MAX(0,1-ABS('XA MU'!$C$27-$D88)/xm_sP)+MAX(0,1-ABS('XA MU'!$D$27-$D88)/xm_sP)),0)+IF(ABS($D88-(xm_y0P+(xm_nP-1)/2*xm_sP))&lt;0.000001,IF('XA MU'!$B$27&lt;=6,'XA MU'!$E$27*$C$8*(IF('XA MU'!$C$27&gt;(xm_y0P+(xm_nP-1)/2*xm_sP),2*('XA MU'!$C$27-(xm_y0P+(xm_nP-1)/2*xm_sP))/xm_sP,0)+IF('XA MU'!$D$27&gt;(xm_y0P+(xm_nP-1)/2*xm_sP),2*('XA MU'!$D$27-(xm_y0P+(xm_nP-1)/2*xm_sP))/xm_sP,0)),0),0)+IF('XA MU'!$B$28&lt;=6,'XA MU'!$E$28*$C$8*(MAX(0,1-ABS('XA MU'!$C$28-$D88)/xm_sP)+MAX(0,1-ABS('XA MU'!$D$28-$D88)/xm_sP)),0)+IF(ABS($D88-(xm_y0P+(xm_nP-1)/2*xm_sP))&lt;0.000001,IF('XA MU'!$B$28&lt;=6,'XA MU'!$E$28*$C$8*(IF('XA MU'!$C$28&gt;(xm_y0P+(xm_nP-1)/2*xm_sP),2*('XA MU'!$C$28-(xm_y0P+(xm_nP-1)/2*xm_sP))/xm_sP,0)+IF('XA MU'!$D$28&gt;(xm_y0P+(xm_nP-1)/2*xm_sP),2*('XA MU'!$D$28-(xm_y0P+(xm_nP-1)/2*xm_sP))/xm_sP,0)),0),0)+IF('XA MU'!$B$29&lt;=6,'XA MU'!$E$29*$C$8*(MAX(0,1-ABS('XA MU'!$C$29-$D88)/xm_sP)+MAX(0,1-ABS('XA MU'!$D$29-$D88)/xm_sP)),0)+IF(ABS($D88-(xm_y0P+(xm_nP-1)/2*xm_sP))&lt;0.000001,IF('XA MU'!$B$29&lt;=6,'XA MU'!$E$29*$C$8*(IF('XA MU'!$C$29&gt;(xm_y0P+(xm_nP-1)/2*xm_sP),2*('XA MU'!$C$29-(xm_y0P+(xm_nP-1)/2*xm_sP))/xm_sP,0)+IF('XA MU'!$D$29&gt;(xm_y0P+(xm_nP-1)/2*xm_sP),2*('XA MU'!$D$29-(xm_y0P+(xm_nP-1)/2*xm_sP))/xm_sP,0)),0),0)+IF('XA MU'!$B$30&lt;=6,'XA MU'!$E$30*$C$8*(MAX(0,1-ABS('XA MU'!$C$30-$D88)/xm_sP)+MAX(0,1-ABS('XA MU'!$D$30-$D88)/xm_sP)),0)+IF(ABS($D88-(xm_y0P+(xm_nP-1)/2*xm_sP))&lt;0.000001,IF('XA MU'!$B$30&lt;=6,'XA MU'!$E$30*$C$8*(IF('XA MU'!$C$30&gt;(xm_y0P+(xm_nP-1)/2*xm_sP),2*('XA MU'!$C$30-(xm_y0P+(xm_nP-1)/2*xm_sP))/xm_sP,0)+IF('XA MU'!$D$30&gt;(xm_y0P+(xm_nP-1)/2*xm_sP),2*('XA MU'!$D$30-(xm_y0P+(xm_nP-1)/2*xm_sP))/xm_sP,0)),0),0))))</f>
        <v>0</v>
      </c>
    </row>
    <row r="89" spans="1:14" x14ac:dyDescent="0.3">
      <c r="A89" s="42" t="s">
        <v>1236</v>
      </c>
      <c r="B89" s="42">
        <v>35</v>
      </c>
      <c r="C89" s="40">
        <f t="shared" si="4"/>
        <v>0</v>
      </c>
      <c r="D89" s="44">
        <f t="shared" si="5"/>
        <v>0</v>
      </c>
      <c r="E89" s="44">
        <f>MAX(0,D89-'XA MU'!$C$8)*C89</f>
        <v>0</v>
      </c>
      <c r="F89" s="44">
        <f>IF(AND(C89=1,D89&gt;'XA MU'!$C$8),1,0)</f>
        <v>0</v>
      </c>
      <c r="G89" s="44">
        <f t="shared" si="6"/>
        <v>0</v>
      </c>
      <c r="H89" s="44">
        <f t="shared" si="7"/>
        <v>0</v>
      </c>
      <c r="I89" s="44">
        <f>IF(C89=0,0,IF(1&gt;nLan,0,1.2*(IF('XA MU'!$B$25&lt;=1,'XA MU'!$E$25*$C$8*(MAX(0,1-ABS('XA MU'!$C$25-$D89)/xm_sP)+MAX(0,1-ABS('XA MU'!$D$25-$D89)/xm_sP)),0)+IF(ABS($D89-(xm_y0P+(xm_nP-1)/2*xm_sP))&lt;0.000001,IF('XA MU'!$B$25&lt;=1,'XA MU'!$E$25*$C$8*(IF('XA MU'!$C$25&gt;(xm_y0P+(xm_nP-1)/2*xm_sP),2*('XA MU'!$C$25-(xm_y0P+(xm_nP-1)/2*xm_sP))/xm_sP,0)+IF('XA MU'!$D$25&gt;(xm_y0P+(xm_nP-1)/2*xm_sP),2*('XA MU'!$D$25-(xm_y0P+(xm_nP-1)/2*xm_sP))/xm_sP,0)),0),0)+IF('XA MU'!$B$26&lt;=1,'XA MU'!$E$26*$C$8*(MAX(0,1-ABS('XA MU'!$C$26-$D89)/xm_sP)+MAX(0,1-ABS('XA MU'!$D$26-$D89)/xm_sP)),0)+IF(ABS($D89-(xm_y0P+(xm_nP-1)/2*xm_sP))&lt;0.000001,IF('XA MU'!$B$26&lt;=1,'XA MU'!$E$26*$C$8*(IF('XA MU'!$C$26&gt;(xm_y0P+(xm_nP-1)/2*xm_sP),2*('XA MU'!$C$26-(xm_y0P+(xm_nP-1)/2*xm_sP))/xm_sP,0)+IF('XA MU'!$D$26&gt;(xm_y0P+(xm_nP-1)/2*xm_sP),2*('XA MU'!$D$26-(xm_y0P+(xm_nP-1)/2*xm_sP))/xm_sP,0)),0),0)+IF('XA MU'!$B$27&lt;=1,'XA MU'!$E$27*$C$8*(MAX(0,1-ABS('XA MU'!$C$27-$D89)/xm_sP)+MAX(0,1-ABS('XA MU'!$D$27-$D89)/xm_sP)),0)+IF(ABS($D89-(xm_y0P+(xm_nP-1)/2*xm_sP))&lt;0.000001,IF('XA MU'!$B$27&lt;=1,'XA MU'!$E$27*$C$8*(IF('XA MU'!$C$27&gt;(xm_y0P+(xm_nP-1)/2*xm_sP),2*('XA MU'!$C$27-(xm_y0P+(xm_nP-1)/2*xm_sP))/xm_sP,0)+IF('XA MU'!$D$27&gt;(xm_y0P+(xm_nP-1)/2*xm_sP),2*('XA MU'!$D$27-(xm_y0P+(xm_nP-1)/2*xm_sP))/xm_sP,0)),0),0)+IF('XA MU'!$B$28&lt;=1,'XA MU'!$E$28*$C$8*(MAX(0,1-ABS('XA MU'!$C$28-$D89)/xm_sP)+MAX(0,1-ABS('XA MU'!$D$28-$D89)/xm_sP)),0)+IF(ABS($D89-(xm_y0P+(xm_nP-1)/2*xm_sP))&lt;0.000001,IF('XA MU'!$B$28&lt;=1,'XA MU'!$E$28*$C$8*(IF('XA MU'!$C$28&gt;(xm_y0P+(xm_nP-1)/2*xm_sP),2*('XA MU'!$C$28-(xm_y0P+(xm_nP-1)/2*xm_sP))/xm_sP,0)+IF('XA MU'!$D$28&gt;(xm_y0P+(xm_nP-1)/2*xm_sP),2*('XA MU'!$D$28-(xm_y0P+(xm_nP-1)/2*xm_sP))/xm_sP,0)),0),0)+IF('XA MU'!$B$29&lt;=1,'XA MU'!$E$29*$C$8*(MAX(0,1-ABS('XA MU'!$C$29-$D89)/xm_sP)+MAX(0,1-ABS('XA MU'!$D$29-$D89)/xm_sP)),0)+IF(ABS($D89-(xm_y0P+(xm_nP-1)/2*xm_sP))&lt;0.000001,IF('XA MU'!$B$29&lt;=1,'XA MU'!$E$29*$C$8*(IF('XA MU'!$C$29&gt;(xm_y0P+(xm_nP-1)/2*xm_sP),2*('XA MU'!$C$29-(xm_y0P+(xm_nP-1)/2*xm_sP))/xm_sP,0)+IF('XA MU'!$D$29&gt;(xm_y0P+(xm_nP-1)/2*xm_sP),2*('XA MU'!$D$29-(xm_y0P+(xm_nP-1)/2*xm_sP))/xm_sP,0)),0),0)+IF('XA MU'!$B$30&lt;=1,'XA MU'!$E$30*$C$8*(MAX(0,1-ABS('XA MU'!$C$30-$D89)/xm_sP)+MAX(0,1-ABS('XA MU'!$D$30-$D89)/xm_sP)),0)+IF(ABS($D89-(xm_y0P+(xm_nP-1)/2*xm_sP))&lt;0.000001,IF('XA MU'!$B$30&lt;=1,'XA MU'!$E$30*$C$8*(IF('XA MU'!$C$30&gt;(xm_y0P+(xm_nP-1)/2*xm_sP),2*('XA MU'!$C$30-(xm_y0P+(xm_nP-1)/2*xm_sP))/xm_sP,0)+IF('XA MU'!$D$30&gt;(xm_y0P+(xm_nP-1)/2*xm_sP),2*('XA MU'!$D$30-(xm_y0P+(xm_nP-1)/2*xm_sP))/xm_sP,0)),0),0))))</f>
        <v>0</v>
      </c>
      <c r="J89" s="44">
        <f>IF(C89=0,0,IF(2&gt;nLan,0,1*(IF('XA MU'!$B$25&lt;=2,'XA MU'!$E$25*$C$8*(MAX(0,1-ABS('XA MU'!$C$25-$D89)/xm_sP)+MAX(0,1-ABS('XA MU'!$D$25-$D89)/xm_sP)),0)+IF(ABS($D89-(xm_y0P+(xm_nP-1)/2*xm_sP))&lt;0.000001,IF('XA MU'!$B$25&lt;=2,'XA MU'!$E$25*$C$8*(IF('XA MU'!$C$25&gt;(xm_y0P+(xm_nP-1)/2*xm_sP),2*('XA MU'!$C$25-(xm_y0P+(xm_nP-1)/2*xm_sP))/xm_sP,0)+IF('XA MU'!$D$25&gt;(xm_y0P+(xm_nP-1)/2*xm_sP),2*('XA MU'!$D$25-(xm_y0P+(xm_nP-1)/2*xm_sP))/xm_sP,0)),0),0)+IF('XA MU'!$B$26&lt;=2,'XA MU'!$E$26*$C$8*(MAX(0,1-ABS('XA MU'!$C$26-$D89)/xm_sP)+MAX(0,1-ABS('XA MU'!$D$26-$D89)/xm_sP)),0)+IF(ABS($D89-(xm_y0P+(xm_nP-1)/2*xm_sP))&lt;0.000001,IF('XA MU'!$B$26&lt;=2,'XA MU'!$E$26*$C$8*(IF('XA MU'!$C$26&gt;(xm_y0P+(xm_nP-1)/2*xm_sP),2*('XA MU'!$C$26-(xm_y0P+(xm_nP-1)/2*xm_sP))/xm_sP,0)+IF('XA MU'!$D$26&gt;(xm_y0P+(xm_nP-1)/2*xm_sP),2*('XA MU'!$D$26-(xm_y0P+(xm_nP-1)/2*xm_sP))/xm_sP,0)),0),0)+IF('XA MU'!$B$27&lt;=2,'XA MU'!$E$27*$C$8*(MAX(0,1-ABS('XA MU'!$C$27-$D89)/xm_sP)+MAX(0,1-ABS('XA MU'!$D$27-$D89)/xm_sP)),0)+IF(ABS($D89-(xm_y0P+(xm_nP-1)/2*xm_sP))&lt;0.000001,IF('XA MU'!$B$27&lt;=2,'XA MU'!$E$27*$C$8*(IF('XA MU'!$C$27&gt;(xm_y0P+(xm_nP-1)/2*xm_sP),2*('XA MU'!$C$27-(xm_y0P+(xm_nP-1)/2*xm_sP))/xm_sP,0)+IF('XA MU'!$D$27&gt;(xm_y0P+(xm_nP-1)/2*xm_sP),2*('XA MU'!$D$27-(xm_y0P+(xm_nP-1)/2*xm_sP))/xm_sP,0)),0),0)+IF('XA MU'!$B$28&lt;=2,'XA MU'!$E$28*$C$8*(MAX(0,1-ABS('XA MU'!$C$28-$D89)/xm_sP)+MAX(0,1-ABS('XA MU'!$D$28-$D89)/xm_sP)),0)+IF(ABS($D89-(xm_y0P+(xm_nP-1)/2*xm_sP))&lt;0.000001,IF('XA MU'!$B$28&lt;=2,'XA MU'!$E$28*$C$8*(IF('XA MU'!$C$28&gt;(xm_y0P+(xm_nP-1)/2*xm_sP),2*('XA MU'!$C$28-(xm_y0P+(xm_nP-1)/2*xm_sP))/xm_sP,0)+IF('XA MU'!$D$28&gt;(xm_y0P+(xm_nP-1)/2*xm_sP),2*('XA MU'!$D$28-(xm_y0P+(xm_nP-1)/2*xm_sP))/xm_sP,0)),0),0)+IF('XA MU'!$B$29&lt;=2,'XA MU'!$E$29*$C$8*(MAX(0,1-ABS('XA MU'!$C$29-$D89)/xm_sP)+MAX(0,1-ABS('XA MU'!$D$29-$D89)/xm_sP)),0)+IF(ABS($D89-(xm_y0P+(xm_nP-1)/2*xm_sP))&lt;0.000001,IF('XA MU'!$B$29&lt;=2,'XA MU'!$E$29*$C$8*(IF('XA MU'!$C$29&gt;(xm_y0P+(xm_nP-1)/2*xm_sP),2*('XA MU'!$C$29-(xm_y0P+(xm_nP-1)/2*xm_sP))/xm_sP,0)+IF('XA MU'!$D$29&gt;(xm_y0P+(xm_nP-1)/2*xm_sP),2*('XA MU'!$D$29-(xm_y0P+(xm_nP-1)/2*xm_sP))/xm_sP,0)),0),0)+IF('XA MU'!$B$30&lt;=2,'XA MU'!$E$30*$C$8*(MAX(0,1-ABS('XA MU'!$C$30-$D89)/xm_sP)+MAX(0,1-ABS('XA MU'!$D$30-$D89)/xm_sP)),0)+IF(ABS($D89-(xm_y0P+(xm_nP-1)/2*xm_sP))&lt;0.000001,IF('XA MU'!$B$30&lt;=2,'XA MU'!$E$30*$C$8*(IF('XA MU'!$C$30&gt;(xm_y0P+(xm_nP-1)/2*xm_sP),2*('XA MU'!$C$30-(xm_y0P+(xm_nP-1)/2*xm_sP))/xm_sP,0)+IF('XA MU'!$D$30&gt;(xm_y0P+(xm_nP-1)/2*xm_sP),2*('XA MU'!$D$30-(xm_y0P+(xm_nP-1)/2*xm_sP))/xm_sP,0)),0),0))))</f>
        <v>0</v>
      </c>
      <c r="K89" s="44">
        <f>IF(C89=0,0,IF(3&gt;nLan,0,0.85*(IF('XA MU'!$B$25&lt;=3,'XA MU'!$E$25*$C$8*(MAX(0,1-ABS('XA MU'!$C$25-$D89)/xm_sP)+MAX(0,1-ABS('XA MU'!$D$25-$D89)/xm_sP)),0)+IF(ABS($D89-(xm_y0P+(xm_nP-1)/2*xm_sP))&lt;0.000001,IF('XA MU'!$B$25&lt;=3,'XA MU'!$E$25*$C$8*(IF('XA MU'!$C$25&gt;(xm_y0P+(xm_nP-1)/2*xm_sP),2*('XA MU'!$C$25-(xm_y0P+(xm_nP-1)/2*xm_sP))/xm_sP,0)+IF('XA MU'!$D$25&gt;(xm_y0P+(xm_nP-1)/2*xm_sP),2*('XA MU'!$D$25-(xm_y0P+(xm_nP-1)/2*xm_sP))/xm_sP,0)),0),0)+IF('XA MU'!$B$26&lt;=3,'XA MU'!$E$26*$C$8*(MAX(0,1-ABS('XA MU'!$C$26-$D89)/xm_sP)+MAX(0,1-ABS('XA MU'!$D$26-$D89)/xm_sP)),0)+IF(ABS($D89-(xm_y0P+(xm_nP-1)/2*xm_sP))&lt;0.000001,IF('XA MU'!$B$26&lt;=3,'XA MU'!$E$26*$C$8*(IF('XA MU'!$C$26&gt;(xm_y0P+(xm_nP-1)/2*xm_sP),2*('XA MU'!$C$26-(xm_y0P+(xm_nP-1)/2*xm_sP))/xm_sP,0)+IF('XA MU'!$D$26&gt;(xm_y0P+(xm_nP-1)/2*xm_sP),2*('XA MU'!$D$26-(xm_y0P+(xm_nP-1)/2*xm_sP))/xm_sP,0)),0),0)+IF('XA MU'!$B$27&lt;=3,'XA MU'!$E$27*$C$8*(MAX(0,1-ABS('XA MU'!$C$27-$D89)/xm_sP)+MAX(0,1-ABS('XA MU'!$D$27-$D89)/xm_sP)),0)+IF(ABS($D89-(xm_y0P+(xm_nP-1)/2*xm_sP))&lt;0.000001,IF('XA MU'!$B$27&lt;=3,'XA MU'!$E$27*$C$8*(IF('XA MU'!$C$27&gt;(xm_y0P+(xm_nP-1)/2*xm_sP),2*('XA MU'!$C$27-(xm_y0P+(xm_nP-1)/2*xm_sP))/xm_sP,0)+IF('XA MU'!$D$27&gt;(xm_y0P+(xm_nP-1)/2*xm_sP),2*('XA MU'!$D$27-(xm_y0P+(xm_nP-1)/2*xm_sP))/xm_sP,0)),0),0)+IF('XA MU'!$B$28&lt;=3,'XA MU'!$E$28*$C$8*(MAX(0,1-ABS('XA MU'!$C$28-$D89)/xm_sP)+MAX(0,1-ABS('XA MU'!$D$28-$D89)/xm_sP)),0)+IF(ABS($D89-(xm_y0P+(xm_nP-1)/2*xm_sP))&lt;0.000001,IF('XA MU'!$B$28&lt;=3,'XA MU'!$E$28*$C$8*(IF('XA MU'!$C$28&gt;(xm_y0P+(xm_nP-1)/2*xm_sP),2*('XA MU'!$C$28-(xm_y0P+(xm_nP-1)/2*xm_sP))/xm_sP,0)+IF('XA MU'!$D$28&gt;(xm_y0P+(xm_nP-1)/2*xm_sP),2*('XA MU'!$D$28-(xm_y0P+(xm_nP-1)/2*xm_sP))/xm_sP,0)),0),0)+IF('XA MU'!$B$29&lt;=3,'XA MU'!$E$29*$C$8*(MAX(0,1-ABS('XA MU'!$C$29-$D89)/xm_sP)+MAX(0,1-ABS('XA MU'!$D$29-$D89)/xm_sP)),0)+IF(ABS($D89-(xm_y0P+(xm_nP-1)/2*xm_sP))&lt;0.000001,IF('XA MU'!$B$29&lt;=3,'XA MU'!$E$29*$C$8*(IF('XA MU'!$C$29&gt;(xm_y0P+(xm_nP-1)/2*xm_sP),2*('XA MU'!$C$29-(xm_y0P+(xm_nP-1)/2*xm_sP))/xm_sP,0)+IF('XA MU'!$D$29&gt;(xm_y0P+(xm_nP-1)/2*xm_sP),2*('XA MU'!$D$29-(xm_y0P+(xm_nP-1)/2*xm_sP))/xm_sP,0)),0),0)+IF('XA MU'!$B$30&lt;=3,'XA MU'!$E$30*$C$8*(MAX(0,1-ABS('XA MU'!$C$30-$D89)/xm_sP)+MAX(0,1-ABS('XA MU'!$D$30-$D89)/xm_sP)),0)+IF(ABS($D89-(xm_y0P+(xm_nP-1)/2*xm_sP))&lt;0.000001,IF('XA MU'!$B$30&lt;=3,'XA MU'!$E$30*$C$8*(IF('XA MU'!$C$30&gt;(xm_y0P+(xm_nP-1)/2*xm_sP),2*('XA MU'!$C$30-(xm_y0P+(xm_nP-1)/2*xm_sP))/xm_sP,0)+IF('XA MU'!$D$30&gt;(xm_y0P+(xm_nP-1)/2*xm_sP),2*('XA MU'!$D$30-(xm_y0P+(xm_nP-1)/2*xm_sP))/xm_sP,0)),0),0))))</f>
        <v>0</v>
      </c>
      <c r="L89" s="44">
        <f>IF(C89=0,0,IF(4&gt;nLan,0,0.65*(IF('XA MU'!$B$25&lt;=4,'XA MU'!$E$25*$C$8*(MAX(0,1-ABS('XA MU'!$C$25-$D89)/xm_sP)+MAX(0,1-ABS('XA MU'!$D$25-$D89)/xm_sP)),0)+IF(ABS($D89-(xm_y0P+(xm_nP-1)/2*xm_sP))&lt;0.000001,IF('XA MU'!$B$25&lt;=4,'XA MU'!$E$25*$C$8*(IF('XA MU'!$C$25&gt;(xm_y0P+(xm_nP-1)/2*xm_sP),2*('XA MU'!$C$25-(xm_y0P+(xm_nP-1)/2*xm_sP))/xm_sP,0)+IF('XA MU'!$D$25&gt;(xm_y0P+(xm_nP-1)/2*xm_sP),2*('XA MU'!$D$25-(xm_y0P+(xm_nP-1)/2*xm_sP))/xm_sP,0)),0),0)+IF('XA MU'!$B$26&lt;=4,'XA MU'!$E$26*$C$8*(MAX(0,1-ABS('XA MU'!$C$26-$D89)/xm_sP)+MAX(0,1-ABS('XA MU'!$D$26-$D89)/xm_sP)),0)+IF(ABS($D89-(xm_y0P+(xm_nP-1)/2*xm_sP))&lt;0.000001,IF('XA MU'!$B$26&lt;=4,'XA MU'!$E$26*$C$8*(IF('XA MU'!$C$26&gt;(xm_y0P+(xm_nP-1)/2*xm_sP),2*('XA MU'!$C$26-(xm_y0P+(xm_nP-1)/2*xm_sP))/xm_sP,0)+IF('XA MU'!$D$26&gt;(xm_y0P+(xm_nP-1)/2*xm_sP),2*('XA MU'!$D$26-(xm_y0P+(xm_nP-1)/2*xm_sP))/xm_sP,0)),0),0)+IF('XA MU'!$B$27&lt;=4,'XA MU'!$E$27*$C$8*(MAX(0,1-ABS('XA MU'!$C$27-$D89)/xm_sP)+MAX(0,1-ABS('XA MU'!$D$27-$D89)/xm_sP)),0)+IF(ABS($D89-(xm_y0P+(xm_nP-1)/2*xm_sP))&lt;0.000001,IF('XA MU'!$B$27&lt;=4,'XA MU'!$E$27*$C$8*(IF('XA MU'!$C$27&gt;(xm_y0P+(xm_nP-1)/2*xm_sP),2*('XA MU'!$C$27-(xm_y0P+(xm_nP-1)/2*xm_sP))/xm_sP,0)+IF('XA MU'!$D$27&gt;(xm_y0P+(xm_nP-1)/2*xm_sP),2*('XA MU'!$D$27-(xm_y0P+(xm_nP-1)/2*xm_sP))/xm_sP,0)),0),0)+IF('XA MU'!$B$28&lt;=4,'XA MU'!$E$28*$C$8*(MAX(0,1-ABS('XA MU'!$C$28-$D89)/xm_sP)+MAX(0,1-ABS('XA MU'!$D$28-$D89)/xm_sP)),0)+IF(ABS($D89-(xm_y0P+(xm_nP-1)/2*xm_sP))&lt;0.000001,IF('XA MU'!$B$28&lt;=4,'XA MU'!$E$28*$C$8*(IF('XA MU'!$C$28&gt;(xm_y0P+(xm_nP-1)/2*xm_sP),2*('XA MU'!$C$28-(xm_y0P+(xm_nP-1)/2*xm_sP))/xm_sP,0)+IF('XA MU'!$D$28&gt;(xm_y0P+(xm_nP-1)/2*xm_sP),2*('XA MU'!$D$28-(xm_y0P+(xm_nP-1)/2*xm_sP))/xm_sP,0)),0),0)+IF('XA MU'!$B$29&lt;=4,'XA MU'!$E$29*$C$8*(MAX(0,1-ABS('XA MU'!$C$29-$D89)/xm_sP)+MAX(0,1-ABS('XA MU'!$D$29-$D89)/xm_sP)),0)+IF(ABS($D89-(xm_y0P+(xm_nP-1)/2*xm_sP))&lt;0.000001,IF('XA MU'!$B$29&lt;=4,'XA MU'!$E$29*$C$8*(IF('XA MU'!$C$29&gt;(xm_y0P+(xm_nP-1)/2*xm_sP),2*('XA MU'!$C$29-(xm_y0P+(xm_nP-1)/2*xm_sP))/xm_sP,0)+IF('XA MU'!$D$29&gt;(xm_y0P+(xm_nP-1)/2*xm_sP),2*('XA MU'!$D$29-(xm_y0P+(xm_nP-1)/2*xm_sP))/xm_sP,0)),0),0)+IF('XA MU'!$B$30&lt;=4,'XA MU'!$E$30*$C$8*(MAX(0,1-ABS('XA MU'!$C$30-$D89)/xm_sP)+MAX(0,1-ABS('XA MU'!$D$30-$D89)/xm_sP)),0)+IF(ABS($D89-(xm_y0P+(xm_nP-1)/2*xm_sP))&lt;0.000001,IF('XA MU'!$B$30&lt;=4,'XA MU'!$E$30*$C$8*(IF('XA MU'!$C$30&gt;(xm_y0P+(xm_nP-1)/2*xm_sP),2*('XA MU'!$C$30-(xm_y0P+(xm_nP-1)/2*xm_sP))/xm_sP,0)+IF('XA MU'!$D$30&gt;(xm_y0P+(xm_nP-1)/2*xm_sP),2*('XA MU'!$D$30-(xm_y0P+(xm_nP-1)/2*xm_sP))/xm_sP,0)),0),0))))</f>
        <v>0</v>
      </c>
      <c r="M89" s="44">
        <f>IF(C89=0,0,IF(5&gt;nLan,0,0.65*(IF('XA MU'!$B$25&lt;=5,'XA MU'!$E$25*$C$8*(MAX(0,1-ABS('XA MU'!$C$25-$D89)/xm_sP)+MAX(0,1-ABS('XA MU'!$D$25-$D89)/xm_sP)),0)+IF(ABS($D89-(xm_y0P+(xm_nP-1)/2*xm_sP))&lt;0.000001,IF('XA MU'!$B$25&lt;=5,'XA MU'!$E$25*$C$8*(IF('XA MU'!$C$25&gt;(xm_y0P+(xm_nP-1)/2*xm_sP),2*('XA MU'!$C$25-(xm_y0P+(xm_nP-1)/2*xm_sP))/xm_sP,0)+IF('XA MU'!$D$25&gt;(xm_y0P+(xm_nP-1)/2*xm_sP),2*('XA MU'!$D$25-(xm_y0P+(xm_nP-1)/2*xm_sP))/xm_sP,0)),0),0)+IF('XA MU'!$B$26&lt;=5,'XA MU'!$E$26*$C$8*(MAX(0,1-ABS('XA MU'!$C$26-$D89)/xm_sP)+MAX(0,1-ABS('XA MU'!$D$26-$D89)/xm_sP)),0)+IF(ABS($D89-(xm_y0P+(xm_nP-1)/2*xm_sP))&lt;0.000001,IF('XA MU'!$B$26&lt;=5,'XA MU'!$E$26*$C$8*(IF('XA MU'!$C$26&gt;(xm_y0P+(xm_nP-1)/2*xm_sP),2*('XA MU'!$C$26-(xm_y0P+(xm_nP-1)/2*xm_sP))/xm_sP,0)+IF('XA MU'!$D$26&gt;(xm_y0P+(xm_nP-1)/2*xm_sP),2*('XA MU'!$D$26-(xm_y0P+(xm_nP-1)/2*xm_sP))/xm_sP,0)),0),0)+IF('XA MU'!$B$27&lt;=5,'XA MU'!$E$27*$C$8*(MAX(0,1-ABS('XA MU'!$C$27-$D89)/xm_sP)+MAX(0,1-ABS('XA MU'!$D$27-$D89)/xm_sP)),0)+IF(ABS($D89-(xm_y0P+(xm_nP-1)/2*xm_sP))&lt;0.000001,IF('XA MU'!$B$27&lt;=5,'XA MU'!$E$27*$C$8*(IF('XA MU'!$C$27&gt;(xm_y0P+(xm_nP-1)/2*xm_sP),2*('XA MU'!$C$27-(xm_y0P+(xm_nP-1)/2*xm_sP))/xm_sP,0)+IF('XA MU'!$D$27&gt;(xm_y0P+(xm_nP-1)/2*xm_sP),2*('XA MU'!$D$27-(xm_y0P+(xm_nP-1)/2*xm_sP))/xm_sP,0)),0),0)+IF('XA MU'!$B$28&lt;=5,'XA MU'!$E$28*$C$8*(MAX(0,1-ABS('XA MU'!$C$28-$D89)/xm_sP)+MAX(0,1-ABS('XA MU'!$D$28-$D89)/xm_sP)),0)+IF(ABS($D89-(xm_y0P+(xm_nP-1)/2*xm_sP))&lt;0.000001,IF('XA MU'!$B$28&lt;=5,'XA MU'!$E$28*$C$8*(IF('XA MU'!$C$28&gt;(xm_y0P+(xm_nP-1)/2*xm_sP),2*('XA MU'!$C$28-(xm_y0P+(xm_nP-1)/2*xm_sP))/xm_sP,0)+IF('XA MU'!$D$28&gt;(xm_y0P+(xm_nP-1)/2*xm_sP),2*('XA MU'!$D$28-(xm_y0P+(xm_nP-1)/2*xm_sP))/xm_sP,0)),0),0)+IF('XA MU'!$B$29&lt;=5,'XA MU'!$E$29*$C$8*(MAX(0,1-ABS('XA MU'!$C$29-$D89)/xm_sP)+MAX(0,1-ABS('XA MU'!$D$29-$D89)/xm_sP)),0)+IF(ABS($D89-(xm_y0P+(xm_nP-1)/2*xm_sP))&lt;0.000001,IF('XA MU'!$B$29&lt;=5,'XA MU'!$E$29*$C$8*(IF('XA MU'!$C$29&gt;(xm_y0P+(xm_nP-1)/2*xm_sP),2*('XA MU'!$C$29-(xm_y0P+(xm_nP-1)/2*xm_sP))/xm_sP,0)+IF('XA MU'!$D$29&gt;(xm_y0P+(xm_nP-1)/2*xm_sP),2*('XA MU'!$D$29-(xm_y0P+(xm_nP-1)/2*xm_sP))/xm_sP,0)),0),0)+IF('XA MU'!$B$30&lt;=5,'XA MU'!$E$30*$C$8*(MAX(0,1-ABS('XA MU'!$C$30-$D89)/xm_sP)+MAX(0,1-ABS('XA MU'!$D$30-$D89)/xm_sP)),0)+IF(ABS($D89-(xm_y0P+(xm_nP-1)/2*xm_sP))&lt;0.000001,IF('XA MU'!$B$30&lt;=5,'XA MU'!$E$30*$C$8*(IF('XA MU'!$C$30&gt;(xm_y0P+(xm_nP-1)/2*xm_sP),2*('XA MU'!$C$30-(xm_y0P+(xm_nP-1)/2*xm_sP))/xm_sP,0)+IF('XA MU'!$D$30&gt;(xm_y0P+(xm_nP-1)/2*xm_sP),2*('XA MU'!$D$30-(xm_y0P+(xm_nP-1)/2*xm_sP))/xm_sP,0)),0),0))))</f>
        <v>0</v>
      </c>
      <c r="N89" s="44">
        <f>IF(C89=0,0,IF(6&gt;nLan,0,0.65*(IF('XA MU'!$B$25&lt;=6,'XA MU'!$E$25*$C$8*(MAX(0,1-ABS('XA MU'!$C$25-$D89)/xm_sP)+MAX(0,1-ABS('XA MU'!$D$25-$D89)/xm_sP)),0)+IF(ABS($D89-(xm_y0P+(xm_nP-1)/2*xm_sP))&lt;0.000001,IF('XA MU'!$B$25&lt;=6,'XA MU'!$E$25*$C$8*(IF('XA MU'!$C$25&gt;(xm_y0P+(xm_nP-1)/2*xm_sP),2*('XA MU'!$C$25-(xm_y0P+(xm_nP-1)/2*xm_sP))/xm_sP,0)+IF('XA MU'!$D$25&gt;(xm_y0P+(xm_nP-1)/2*xm_sP),2*('XA MU'!$D$25-(xm_y0P+(xm_nP-1)/2*xm_sP))/xm_sP,0)),0),0)+IF('XA MU'!$B$26&lt;=6,'XA MU'!$E$26*$C$8*(MAX(0,1-ABS('XA MU'!$C$26-$D89)/xm_sP)+MAX(0,1-ABS('XA MU'!$D$26-$D89)/xm_sP)),0)+IF(ABS($D89-(xm_y0P+(xm_nP-1)/2*xm_sP))&lt;0.000001,IF('XA MU'!$B$26&lt;=6,'XA MU'!$E$26*$C$8*(IF('XA MU'!$C$26&gt;(xm_y0P+(xm_nP-1)/2*xm_sP),2*('XA MU'!$C$26-(xm_y0P+(xm_nP-1)/2*xm_sP))/xm_sP,0)+IF('XA MU'!$D$26&gt;(xm_y0P+(xm_nP-1)/2*xm_sP),2*('XA MU'!$D$26-(xm_y0P+(xm_nP-1)/2*xm_sP))/xm_sP,0)),0),0)+IF('XA MU'!$B$27&lt;=6,'XA MU'!$E$27*$C$8*(MAX(0,1-ABS('XA MU'!$C$27-$D89)/xm_sP)+MAX(0,1-ABS('XA MU'!$D$27-$D89)/xm_sP)),0)+IF(ABS($D89-(xm_y0P+(xm_nP-1)/2*xm_sP))&lt;0.000001,IF('XA MU'!$B$27&lt;=6,'XA MU'!$E$27*$C$8*(IF('XA MU'!$C$27&gt;(xm_y0P+(xm_nP-1)/2*xm_sP),2*('XA MU'!$C$27-(xm_y0P+(xm_nP-1)/2*xm_sP))/xm_sP,0)+IF('XA MU'!$D$27&gt;(xm_y0P+(xm_nP-1)/2*xm_sP),2*('XA MU'!$D$27-(xm_y0P+(xm_nP-1)/2*xm_sP))/xm_sP,0)),0),0)+IF('XA MU'!$B$28&lt;=6,'XA MU'!$E$28*$C$8*(MAX(0,1-ABS('XA MU'!$C$28-$D89)/xm_sP)+MAX(0,1-ABS('XA MU'!$D$28-$D89)/xm_sP)),0)+IF(ABS($D89-(xm_y0P+(xm_nP-1)/2*xm_sP))&lt;0.000001,IF('XA MU'!$B$28&lt;=6,'XA MU'!$E$28*$C$8*(IF('XA MU'!$C$28&gt;(xm_y0P+(xm_nP-1)/2*xm_sP),2*('XA MU'!$C$28-(xm_y0P+(xm_nP-1)/2*xm_sP))/xm_sP,0)+IF('XA MU'!$D$28&gt;(xm_y0P+(xm_nP-1)/2*xm_sP),2*('XA MU'!$D$28-(xm_y0P+(xm_nP-1)/2*xm_sP))/xm_sP,0)),0),0)+IF('XA MU'!$B$29&lt;=6,'XA MU'!$E$29*$C$8*(MAX(0,1-ABS('XA MU'!$C$29-$D89)/xm_sP)+MAX(0,1-ABS('XA MU'!$D$29-$D89)/xm_sP)),0)+IF(ABS($D89-(xm_y0P+(xm_nP-1)/2*xm_sP))&lt;0.000001,IF('XA MU'!$B$29&lt;=6,'XA MU'!$E$29*$C$8*(IF('XA MU'!$C$29&gt;(xm_y0P+(xm_nP-1)/2*xm_sP),2*('XA MU'!$C$29-(xm_y0P+(xm_nP-1)/2*xm_sP))/xm_sP,0)+IF('XA MU'!$D$29&gt;(xm_y0P+(xm_nP-1)/2*xm_sP),2*('XA MU'!$D$29-(xm_y0P+(xm_nP-1)/2*xm_sP))/xm_sP,0)),0),0)+IF('XA MU'!$B$30&lt;=6,'XA MU'!$E$30*$C$8*(MAX(0,1-ABS('XA MU'!$C$30-$D89)/xm_sP)+MAX(0,1-ABS('XA MU'!$D$30-$D89)/xm_sP)),0)+IF(ABS($D89-(xm_y0P+(xm_nP-1)/2*xm_sP))&lt;0.000001,IF('XA MU'!$B$30&lt;=6,'XA MU'!$E$30*$C$8*(IF('XA MU'!$C$30&gt;(xm_y0P+(xm_nP-1)/2*xm_sP),2*('XA MU'!$C$30-(xm_y0P+(xm_nP-1)/2*xm_sP))/xm_sP,0)+IF('XA MU'!$D$30&gt;(xm_y0P+(xm_nP-1)/2*xm_sP),2*('XA MU'!$D$30-(xm_y0P+(xm_nP-1)/2*xm_sP))/xm_sP,0)),0),0))))</f>
        <v>0</v>
      </c>
    </row>
    <row r="90" spans="1:14" x14ac:dyDescent="0.3">
      <c r="A90" s="42" t="s">
        <v>1236</v>
      </c>
      <c r="B90" s="42">
        <v>36</v>
      </c>
      <c r="C90" s="40">
        <f t="shared" si="4"/>
        <v>0</v>
      </c>
      <c r="D90" s="44">
        <f t="shared" si="5"/>
        <v>0</v>
      </c>
      <c r="E90" s="44">
        <f>MAX(0,D90-'XA MU'!$C$8)*C90</f>
        <v>0</v>
      </c>
      <c r="F90" s="44">
        <f>IF(AND(C90=1,D90&gt;'XA MU'!$C$8),1,0)</f>
        <v>0</v>
      </c>
      <c r="G90" s="44">
        <f t="shared" si="6"/>
        <v>0</v>
      </c>
      <c r="H90" s="44">
        <f t="shared" si="7"/>
        <v>0</v>
      </c>
      <c r="I90" s="44">
        <f>IF(C90=0,0,IF(1&gt;nLan,0,1.2*(IF('XA MU'!$B$25&lt;=1,'XA MU'!$E$25*$C$8*(MAX(0,1-ABS('XA MU'!$C$25-$D90)/xm_sP)+MAX(0,1-ABS('XA MU'!$D$25-$D90)/xm_sP)),0)+IF(ABS($D90-(xm_y0P+(xm_nP-1)/2*xm_sP))&lt;0.000001,IF('XA MU'!$B$25&lt;=1,'XA MU'!$E$25*$C$8*(IF('XA MU'!$C$25&gt;(xm_y0P+(xm_nP-1)/2*xm_sP),2*('XA MU'!$C$25-(xm_y0P+(xm_nP-1)/2*xm_sP))/xm_sP,0)+IF('XA MU'!$D$25&gt;(xm_y0P+(xm_nP-1)/2*xm_sP),2*('XA MU'!$D$25-(xm_y0P+(xm_nP-1)/2*xm_sP))/xm_sP,0)),0),0)+IF('XA MU'!$B$26&lt;=1,'XA MU'!$E$26*$C$8*(MAX(0,1-ABS('XA MU'!$C$26-$D90)/xm_sP)+MAX(0,1-ABS('XA MU'!$D$26-$D90)/xm_sP)),0)+IF(ABS($D90-(xm_y0P+(xm_nP-1)/2*xm_sP))&lt;0.000001,IF('XA MU'!$B$26&lt;=1,'XA MU'!$E$26*$C$8*(IF('XA MU'!$C$26&gt;(xm_y0P+(xm_nP-1)/2*xm_sP),2*('XA MU'!$C$26-(xm_y0P+(xm_nP-1)/2*xm_sP))/xm_sP,0)+IF('XA MU'!$D$26&gt;(xm_y0P+(xm_nP-1)/2*xm_sP),2*('XA MU'!$D$26-(xm_y0P+(xm_nP-1)/2*xm_sP))/xm_sP,0)),0),0)+IF('XA MU'!$B$27&lt;=1,'XA MU'!$E$27*$C$8*(MAX(0,1-ABS('XA MU'!$C$27-$D90)/xm_sP)+MAX(0,1-ABS('XA MU'!$D$27-$D90)/xm_sP)),0)+IF(ABS($D90-(xm_y0P+(xm_nP-1)/2*xm_sP))&lt;0.000001,IF('XA MU'!$B$27&lt;=1,'XA MU'!$E$27*$C$8*(IF('XA MU'!$C$27&gt;(xm_y0P+(xm_nP-1)/2*xm_sP),2*('XA MU'!$C$27-(xm_y0P+(xm_nP-1)/2*xm_sP))/xm_sP,0)+IF('XA MU'!$D$27&gt;(xm_y0P+(xm_nP-1)/2*xm_sP),2*('XA MU'!$D$27-(xm_y0P+(xm_nP-1)/2*xm_sP))/xm_sP,0)),0),0)+IF('XA MU'!$B$28&lt;=1,'XA MU'!$E$28*$C$8*(MAX(0,1-ABS('XA MU'!$C$28-$D90)/xm_sP)+MAX(0,1-ABS('XA MU'!$D$28-$D90)/xm_sP)),0)+IF(ABS($D90-(xm_y0P+(xm_nP-1)/2*xm_sP))&lt;0.000001,IF('XA MU'!$B$28&lt;=1,'XA MU'!$E$28*$C$8*(IF('XA MU'!$C$28&gt;(xm_y0P+(xm_nP-1)/2*xm_sP),2*('XA MU'!$C$28-(xm_y0P+(xm_nP-1)/2*xm_sP))/xm_sP,0)+IF('XA MU'!$D$28&gt;(xm_y0P+(xm_nP-1)/2*xm_sP),2*('XA MU'!$D$28-(xm_y0P+(xm_nP-1)/2*xm_sP))/xm_sP,0)),0),0)+IF('XA MU'!$B$29&lt;=1,'XA MU'!$E$29*$C$8*(MAX(0,1-ABS('XA MU'!$C$29-$D90)/xm_sP)+MAX(0,1-ABS('XA MU'!$D$29-$D90)/xm_sP)),0)+IF(ABS($D90-(xm_y0P+(xm_nP-1)/2*xm_sP))&lt;0.000001,IF('XA MU'!$B$29&lt;=1,'XA MU'!$E$29*$C$8*(IF('XA MU'!$C$29&gt;(xm_y0P+(xm_nP-1)/2*xm_sP),2*('XA MU'!$C$29-(xm_y0P+(xm_nP-1)/2*xm_sP))/xm_sP,0)+IF('XA MU'!$D$29&gt;(xm_y0P+(xm_nP-1)/2*xm_sP),2*('XA MU'!$D$29-(xm_y0P+(xm_nP-1)/2*xm_sP))/xm_sP,0)),0),0)+IF('XA MU'!$B$30&lt;=1,'XA MU'!$E$30*$C$8*(MAX(0,1-ABS('XA MU'!$C$30-$D90)/xm_sP)+MAX(0,1-ABS('XA MU'!$D$30-$D90)/xm_sP)),0)+IF(ABS($D90-(xm_y0P+(xm_nP-1)/2*xm_sP))&lt;0.000001,IF('XA MU'!$B$30&lt;=1,'XA MU'!$E$30*$C$8*(IF('XA MU'!$C$30&gt;(xm_y0P+(xm_nP-1)/2*xm_sP),2*('XA MU'!$C$30-(xm_y0P+(xm_nP-1)/2*xm_sP))/xm_sP,0)+IF('XA MU'!$D$30&gt;(xm_y0P+(xm_nP-1)/2*xm_sP),2*('XA MU'!$D$30-(xm_y0P+(xm_nP-1)/2*xm_sP))/xm_sP,0)),0),0))))</f>
        <v>0</v>
      </c>
      <c r="J90" s="44">
        <f>IF(C90=0,0,IF(2&gt;nLan,0,1*(IF('XA MU'!$B$25&lt;=2,'XA MU'!$E$25*$C$8*(MAX(0,1-ABS('XA MU'!$C$25-$D90)/xm_sP)+MAX(0,1-ABS('XA MU'!$D$25-$D90)/xm_sP)),0)+IF(ABS($D90-(xm_y0P+(xm_nP-1)/2*xm_sP))&lt;0.000001,IF('XA MU'!$B$25&lt;=2,'XA MU'!$E$25*$C$8*(IF('XA MU'!$C$25&gt;(xm_y0P+(xm_nP-1)/2*xm_sP),2*('XA MU'!$C$25-(xm_y0P+(xm_nP-1)/2*xm_sP))/xm_sP,0)+IF('XA MU'!$D$25&gt;(xm_y0P+(xm_nP-1)/2*xm_sP),2*('XA MU'!$D$25-(xm_y0P+(xm_nP-1)/2*xm_sP))/xm_sP,0)),0),0)+IF('XA MU'!$B$26&lt;=2,'XA MU'!$E$26*$C$8*(MAX(0,1-ABS('XA MU'!$C$26-$D90)/xm_sP)+MAX(0,1-ABS('XA MU'!$D$26-$D90)/xm_sP)),0)+IF(ABS($D90-(xm_y0P+(xm_nP-1)/2*xm_sP))&lt;0.000001,IF('XA MU'!$B$26&lt;=2,'XA MU'!$E$26*$C$8*(IF('XA MU'!$C$26&gt;(xm_y0P+(xm_nP-1)/2*xm_sP),2*('XA MU'!$C$26-(xm_y0P+(xm_nP-1)/2*xm_sP))/xm_sP,0)+IF('XA MU'!$D$26&gt;(xm_y0P+(xm_nP-1)/2*xm_sP),2*('XA MU'!$D$26-(xm_y0P+(xm_nP-1)/2*xm_sP))/xm_sP,0)),0),0)+IF('XA MU'!$B$27&lt;=2,'XA MU'!$E$27*$C$8*(MAX(0,1-ABS('XA MU'!$C$27-$D90)/xm_sP)+MAX(0,1-ABS('XA MU'!$D$27-$D90)/xm_sP)),0)+IF(ABS($D90-(xm_y0P+(xm_nP-1)/2*xm_sP))&lt;0.000001,IF('XA MU'!$B$27&lt;=2,'XA MU'!$E$27*$C$8*(IF('XA MU'!$C$27&gt;(xm_y0P+(xm_nP-1)/2*xm_sP),2*('XA MU'!$C$27-(xm_y0P+(xm_nP-1)/2*xm_sP))/xm_sP,0)+IF('XA MU'!$D$27&gt;(xm_y0P+(xm_nP-1)/2*xm_sP),2*('XA MU'!$D$27-(xm_y0P+(xm_nP-1)/2*xm_sP))/xm_sP,0)),0),0)+IF('XA MU'!$B$28&lt;=2,'XA MU'!$E$28*$C$8*(MAX(0,1-ABS('XA MU'!$C$28-$D90)/xm_sP)+MAX(0,1-ABS('XA MU'!$D$28-$D90)/xm_sP)),0)+IF(ABS($D90-(xm_y0P+(xm_nP-1)/2*xm_sP))&lt;0.000001,IF('XA MU'!$B$28&lt;=2,'XA MU'!$E$28*$C$8*(IF('XA MU'!$C$28&gt;(xm_y0P+(xm_nP-1)/2*xm_sP),2*('XA MU'!$C$28-(xm_y0P+(xm_nP-1)/2*xm_sP))/xm_sP,0)+IF('XA MU'!$D$28&gt;(xm_y0P+(xm_nP-1)/2*xm_sP),2*('XA MU'!$D$28-(xm_y0P+(xm_nP-1)/2*xm_sP))/xm_sP,0)),0),0)+IF('XA MU'!$B$29&lt;=2,'XA MU'!$E$29*$C$8*(MAX(0,1-ABS('XA MU'!$C$29-$D90)/xm_sP)+MAX(0,1-ABS('XA MU'!$D$29-$D90)/xm_sP)),0)+IF(ABS($D90-(xm_y0P+(xm_nP-1)/2*xm_sP))&lt;0.000001,IF('XA MU'!$B$29&lt;=2,'XA MU'!$E$29*$C$8*(IF('XA MU'!$C$29&gt;(xm_y0P+(xm_nP-1)/2*xm_sP),2*('XA MU'!$C$29-(xm_y0P+(xm_nP-1)/2*xm_sP))/xm_sP,0)+IF('XA MU'!$D$29&gt;(xm_y0P+(xm_nP-1)/2*xm_sP),2*('XA MU'!$D$29-(xm_y0P+(xm_nP-1)/2*xm_sP))/xm_sP,0)),0),0)+IF('XA MU'!$B$30&lt;=2,'XA MU'!$E$30*$C$8*(MAX(0,1-ABS('XA MU'!$C$30-$D90)/xm_sP)+MAX(0,1-ABS('XA MU'!$D$30-$D90)/xm_sP)),0)+IF(ABS($D90-(xm_y0P+(xm_nP-1)/2*xm_sP))&lt;0.000001,IF('XA MU'!$B$30&lt;=2,'XA MU'!$E$30*$C$8*(IF('XA MU'!$C$30&gt;(xm_y0P+(xm_nP-1)/2*xm_sP),2*('XA MU'!$C$30-(xm_y0P+(xm_nP-1)/2*xm_sP))/xm_sP,0)+IF('XA MU'!$D$30&gt;(xm_y0P+(xm_nP-1)/2*xm_sP),2*('XA MU'!$D$30-(xm_y0P+(xm_nP-1)/2*xm_sP))/xm_sP,0)),0),0))))</f>
        <v>0</v>
      </c>
      <c r="K90" s="44">
        <f>IF(C90=0,0,IF(3&gt;nLan,0,0.85*(IF('XA MU'!$B$25&lt;=3,'XA MU'!$E$25*$C$8*(MAX(0,1-ABS('XA MU'!$C$25-$D90)/xm_sP)+MAX(0,1-ABS('XA MU'!$D$25-$D90)/xm_sP)),0)+IF(ABS($D90-(xm_y0P+(xm_nP-1)/2*xm_sP))&lt;0.000001,IF('XA MU'!$B$25&lt;=3,'XA MU'!$E$25*$C$8*(IF('XA MU'!$C$25&gt;(xm_y0P+(xm_nP-1)/2*xm_sP),2*('XA MU'!$C$25-(xm_y0P+(xm_nP-1)/2*xm_sP))/xm_sP,0)+IF('XA MU'!$D$25&gt;(xm_y0P+(xm_nP-1)/2*xm_sP),2*('XA MU'!$D$25-(xm_y0P+(xm_nP-1)/2*xm_sP))/xm_sP,0)),0),0)+IF('XA MU'!$B$26&lt;=3,'XA MU'!$E$26*$C$8*(MAX(0,1-ABS('XA MU'!$C$26-$D90)/xm_sP)+MAX(0,1-ABS('XA MU'!$D$26-$D90)/xm_sP)),0)+IF(ABS($D90-(xm_y0P+(xm_nP-1)/2*xm_sP))&lt;0.000001,IF('XA MU'!$B$26&lt;=3,'XA MU'!$E$26*$C$8*(IF('XA MU'!$C$26&gt;(xm_y0P+(xm_nP-1)/2*xm_sP),2*('XA MU'!$C$26-(xm_y0P+(xm_nP-1)/2*xm_sP))/xm_sP,0)+IF('XA MU'!$D$26&gt;(xm_y0P+(xm_nP-1)/2*xm_sP),2*('XA MU'!$D$26-(xm_y0P+(xm_nP-1)/2*xm_sP))/xm_sP,0)),0),0)+IF('XA MU'!$B$27&lt;=3,'XA MU'!$E$27*$C$8*(MAX(0,1-ABS('XA MU'!$C$27-$D90)/xm_sP)+MAX(0,1-ABS('XA MU'!$D$27-$D90)/xm_sP)),0)+IF(ABS($D90-(xm_y0P+(xm_nP-1)/2*xm_sP))&lt;0.000001,IF('XA MU'!$B$27&lt;=3,'XA MU'!$E$27*$C$8*(IF('XA MU'!$C$27&gt;(xm_y0P+(xm_nP-1)/2*xm_sP),2*('XA MU'!$C$27-(xm_y0P+(xm_nP-1)/2*xm_sP))/xm_sP,0)+IF('XA MU'!$D$27&gt;(xm_y0P+(xm_nP-1)/2*xm_sP),2*('XA MU'!$D$27-(xm_y0P+(xm_nP-1)/2*xm_sP))/xm_sP,0)),0),0)+IF('XA MU'!$B$28&lt;=3,'XA MU'!$E$28*$C$8*(MAX(0,1-ABS('XA MU'!$C$28-$D90)/xm_sP)+MAX(0,1-ABS('XA MU'!$D$28-$D90)/xm_sP)),0)+IF(ABS($D90-(xm_y0P+(xm_nP-1)/2*xm_sP))&lt;0.000001,IF('XA MU'!$B$28&lt;=3,'XA MU'!$E$28*$C$8*(IF('XA MU'!$C$28&gt;(xm_y0P+(xm_nP-1)/2*xm_sP),2*('XA MU'!$C$28-(xm_y0P+(xm_nP-1)/2*xm_sP))/xm_sP,0)+IF('XA MU'!$D$28&gt;(xm_y0P+(xm_nP-1)/2*xm_sP),2*('XA MU'!$D$28-(xm_y0P+(xm_nP-1)/2*xm_sP))/xm_sP,0)),0),0)+IF('XA MU'!$B$29&lt;=3,'XA MU'!$E$29*$C$8*(MAX(0,1-ABS('XA MU'!$C$29-$D90)/xm_sP)+MAX(0,1-ABS('XA MU'!$D$29-$D90)/xm_sP)),0)+IF(ABS($D90-(xm_y0P+(xm_nP-1)/2*xm_sP))&lt;0.000001,IF('XA MU'!$B$29&lt;=3,'XA MU'!$E$29*$C$8*(IF('XA MU'!$C$29&gt;(xm_y0P+(xm_nP-1)/2*xm_sP),2*('XA MU'!$C$29-(xm_y0P+(xm_nP-1)/2*xm_sP))/xm_sP,0)+IF('XA MU'!$D$29&gt;(xm_y0P+(xm_nP-1)/2*xm_sP),2*('XA MU'!$D$29-(xm_y0P+(xm_nP-1)/2*xm_sP))/xm_sP,0)),0),0)+IF('XA MU'!$B$30&lt;=3,'XA MU'!$E$30*$C$8*(MAX(0,1-ABS('XA MU'!$C$30-$D90)/xm_sP)+MAX(0,1-ABS('XA MU'!$D$30-$D90)/xm_sP)),0)+IF(ABS($D90-(xm_y0P+(xm_nP-1)/2*xm_sP))&lt;0.000001,IF('XA MU'!$B$30&lt;=3,'XA MU'!$E$30*$C$8*(IF('XA MU'!$C$30&gt;(xm_y0P+(xm_nP-1)/2*xm_sP),2*('XA MU'!$C$30-(xm_y0P+(xm_nP-1)/2*xm_sP))/xm_sP,0)+IF('XA MU'!$D$30&gt;(xm_y0P+(xm_nP-1)/2*xm_sP),2*('XA MU'!$D$30-(xm_y0P+(xm_nP-1)/2*xm_sP))/xm_sP,0)),0),0))))</f>
        <v>0</v>
      </c>
      <c r="L90" s="44">
        <f>IF(C90=0,0,IF(4&gt;nLan,0,0.65*(IF('XA MU'!$B$25&lt;=4,'XA MU'!$E$25*$C$8*(MAX(0,1-ABS('XA MU'!$C$25-$D90)/xm_sP)+MAX(0,1-ABS('XA MU'!$D$25-$D90)/xm_sP)),0)+IF(ABS($D90-(xm_y0P+(xm_nP-1)/2*xm_sP))&lt;0.000001,IF('XA MU'!$B$25&lt;=4,'XA MU'!$E$25*$C$8*(IF('XA MU'!$C$25&gt;(xm_y0P+(xm_nP-1)/2*xm_sP),2*('XA MU'!$C$25-(xm_y0P+(xm_nP-1)/2*xm_sP))/xm_sP,0)+IF('XA MU'!$D$25&gt;(xm_y0P+(xm_nP-1)/2*xm_sP),2*('XA MU'!$D$25-(xm_y0P+(xm_nP-1)/2*xm_sP))/xm_sP,0)),0),0)+IF('XA MU'!$B$26&lt;=4,'XA MU'!$E$26*$C$8*(MAX(0,1-ABS('XA MU'!$C$26-$D90)/xm_sP)+MAX(0,1-ABS('XA MU'!$D$26-$D90)/xm_sP)),0)+IF(ABS($D90-(xm_y0P+(xm_nP-1)/2*xm_sP))&lt;0.000001,IF('XA MU'!$B$26&lt;=4,'XA MU'!$E$26*$C$8*(IF('XA MU'!$C$26&gt;(xm_y0P+(xm_nP-1)/2*xm_sP),2*('XA MU'!$C$26-(xm_y0P+(xm_nP-1)/2*xm_sP))/xm_sP,0)+IF('XA MU'!$D$26&gt;(xm_y0P+(xm_nP-1)/2*xm_sP),2*('XA MU'!$D$26-(xm_y0P+(xm_nP-1)/2*xm_sP))/xm_sP,0)),0),0)+IF('XA MU'!$B$27&lt;=4,'XA MU'!$E$27*$C$8*(MAX(0,1-ABS('XA MU'!$C$27-$D90)/xm_sP)+MAX(0,1-ABS('XA MU'!$D$27-$D90)/xm_sP)),0)+IF(ABS($D90-(xm_y0P+(xm_nP-1)/2*xm_sP))&lt;0.000001,IF('XA MU'!$B$27&lt;=4,'XA MU'!$E$27*$C$8*(IF('XA MU'!$C$27&gt;(xm_y0P+(xm_nP-1)/2*xm_sP),2*('XA MU'!$C$27-(xm_y0P+(xm_nP-1)/2*xm_sP))/xm_sP,0)+IF('XA MU'!$D$27&gt;(xm_y0P+(xm_nP-1)/2*xm_sP),2*('XA MU'!$D$27-(xm_y0P+(xm_nP-1)/2*xm_sP))/xm_sP,0)),0),0)+IF('XA MU'!$B$28&lt;=4,'XA MU'!$E$28*$C$8*(MAX(0,1-ABS('XA MU'!$C$28-$D90)/xm_sP)+MAX(0,1-ABS('XA MU'!$D$28-$D90)/xm_sP)),0)+IF(ABS($D90-(xm_y0P+(xm_nP-1)/2*xm_sP))&lt;0.000001,IF('XA MU'!$B$28&lt;=4,'XA MU'!$E$28*$C$8*(IF('XA MU'!$C$28&gt;(xm_y0P+(xm_nP-1)/2*xm_sP),2*('XA MU'!$C$28-(xm_y0P+(xm_nP-1)/2*xm_sP))/xm_sP,0)+IF('XA MU'!$D$28&gt;(xm_y0P+(xm_nP-1)/2*xm_sP),2*('XA MU'!$D$28-(xm_y0P+(xm_nP-1)/2*xm_sP))/xm_sP,0)),0),0)+IF('XA MU'!$B$29&lt;=4,'XA MU'!$E$29*$C$8*(MAX(0,1-ABS('XA MU'!$C$29-$D90)/xm_sP)+MAX(0,1-ABS('XA MU'!$D$29-$D90)/xm_sP)),0)+IF(ABS($D90-(xm_y0P+(xm_nP-1)/2*xm_sP))&lt;0.000001,IF('XA MU'!$B$29&lt;=4,'XA MU'!$E$29*$C$8*(IF('XA MU'!$C$29&gt;(xm_y0P+(xm_nP-1)/2*xm_sP),2*('XA MU'!$C$29-(xm_y0P+(xm_nP-1)/2*xm_sP))/xm_sP,0)+IF('XA MU'!$D$29&gt;(xm_y0P+(xm_nP-1)/2*xm_sP),2*('XA MU'!$D$29-(xm_y0P+(xm_nP-1)/2*xm_sP))/xm_sP,0)),0),0)+IF('XA MU'!$B$30&lt;=4,'XA MU'!$E$30*$C$8*(MAX(0,1-ABS('XA MU'!$C$30-$D90)/xm_sP)+MAX(0,1-ABS('XA MU'!$D$30-$D90)/xm_sP)),0)+IF(ABS($D90-(xm_y0P+(xm_nP-1)/2*xm_sP))&lt;0.000001,IF('XA MU'!$B$30&lt;=4,'XA MU'!$E$30*$C$8*(IF('XA MU'!$C$30&gt;(xm_y0P+(xm_nP-1)/2*xm_sP),2*('XA MU'!$C$30-(xm_y0P+(xm_nP-1)/2*xm_sP))/xm_sP,0)+IF('XA MU'!$D$30&gt;(xm_y0P+(xm_nP-1)/2*xm_sP),2*('XA MU'!$D$30-(xm_y0P+(xm_nP-1)/2*xm_sP))/xm_sP,0)),0),0))))</f>
        <v>0</v>
      </c>
      <c r="M90" s="44">
        <f>IF(C90=0,0,IF(5&gt;nLan,0,0.65*(IF('XA MU'!$B$25&lt;=5,'XA MU'!$E$25*$C$8*(MAX(0,1-ABS('XA MU'!$C$25-$D90)/xm_sP)+MAX(0,1-ABS('XA MU'!$D$25-$D90)/xm_sP)),0)+IF(ABS($D90-(xm_y0P+(xm_nP-1)/2*xm_sP))&lt;0.000001,IF('XA MU'!$B$25&lt;=5,'XA MU'!$E$25*$C$8*(IF('XA MU'!$C$25&gt;(xm_y0P+(xm_nP-1)/2*xm_sP),2*('XA MU'!$C$25-(xm_y0P+(xm_nP-1)/2*xm_sP))/xm_sP,0)+IF('XA MU'!$D$25&gt;(xm_y0P+(xm_nP-1)/2*xm_sP),2*('XA MU'!$D$25-(xm_y0P+(xm_nP-1)/2*xm_sP))/xm_sP,0)),0),0)+IF('XA MU'!$B$26&lt;=5,'XA MU'!$E$26*$C$8*(MAX(0,1-ABS('XA MU'!$C$26-$D90)/xm_sP)+MAX(0,1-ABS('XA MU'!$D$26-$D90)/xm_sP)),0)+IF(ABS($D90-(xm_y0P+(xm_nP-1)/2*xm_sP))&lt;0.000001,IF('XA MU'!$B$26&lt;=5,'XA MU'!$E$26*$C$8*(IF('XA MU'!$C$26&gt;(xm_y0P+(xm_nP-1)/2*xm_sP),2*('XA MU'!$C$26-(xm_y0P+(xm_nP-1)/2*xm_sP))/xm_sP,0)+IF('XA MU'!$D$26&gt;(xm_y0P+(xm_nP-1)/2*xm_sP),2*('XA MU'!$D$26-(xm_y0P+(xm_nP-1)/2*xm_sP))/xm_sP,0)),0),0)+IF('XA MU'!$B$27&lt;=5,'XA MU'!$E$27*$C$8*(MAX(0,1-ABS('XA MU'!$C$27-$D90)/xm_sP)+MAX(0,1-ABS('XA MU'!$D$27-$D90)/xm_sP)),0)+IF(ABS($D90-(xm_y0P+(xm_nP-1)/2*xm_sP))&lt;0.000001,IF('XA MU'!$B$27&lt;=5,'XA MU'!$E$27*$C$8*(IF('XA MU'!$C$27&gt;(xm_y0P+(xm_nP-1)/2*xm_sP),2*('XA MU'!$C$27-(xm_y0P+(xm_nP-1)/2*xm_sP))/xm_sP,0)+IF('XA MU'!$D$27&gt;(xm_y0P+(xm_nP-1)/2*xm_sP),2*('XA MU'!$D$27-(xm_y0P+(xm_nP-1)/2*xm_sP))/xm_sP,0)),0),0)+IF('XA MU'!$B$28&lt;=5,'XA MU'!$E$28*$C$8*(MAX(0,1-ABS('XA MU'!$C$28-$D90)/xm_sP)+MAX(0,1-ABS('XA MU'!$D$28-$D90)/xm_sP)),0)+IF(ABS($D90-(xm_y0P+(xm_nP-1)/2*xm_sP))&lt;0.000001,IF('XA MU'!$B$28&lt;=5,'XA MU'!$E$28*$C$8*(IF('XA MU'!$C$28&gt;(xm_y0P+(xm_nP-1)/2*xm_sP),2*('XA MU'!$C$28-(xm_y0P+(xm_nP-1)/2*xm_sP))/xm_sP,0)+IF('XA MU'!$D$28&gt;(xm_y0P+(xm_nP-1)/2*xm_sP),2*('XA MU'!$D$28-(xm_y0P+(xm_nP-1)/2*xm_sP))/xm_sP,0)),0),0)+IF('XA MU'!$B$29&lt;=5,'XA MU'!$E$29*$C$8*(MAX(0,1-ABS('XA MU'!$C$29-$D90)/xm_sP)+MAX(0,1-ABS('XA MU'!$D$29-$D90)/xm_sP)),0)+IF(ABS($D90-(xm_y0P+(xm_nP-1)/2*xm_sP))&lt;0.000001,IF('XA MU'!$B$29&lt;=5,'XA MU'!$E$29*$C$8*(IF('XA MU'!$C$29&gt;(xm_y0P+(xm_nP-1)/2*xm_sP),2*('XA MU'!$C$29-(xm_y0P+(xm_nP-1)/2*xm_sP))/xm_sP,0)+IF('XA MU'!$D$29&gt;(xm_y0P+(xm_nP-1)/2*xm_sP),2*('XA MU'!$D$29-(xm_y0P+(xm_nP-1)/2*xm_sP))/xm_sP,0)),0),0)+IF('XA MU'!$B$30&lt;=5,'XA MU'!$E$30*$C$8*(MAX(0,1-ABS('XA MU'!$C$30-$D90)/xm_sP)+MAX(0,1-ABS('XA MU'!$D$30-$D90)/xm_sP)),0)+IF(ABS($D90-(xm_y0P+(xm_nP-1)/2*xm_sP))&lt;0.000001,IF('XA MU'!$B$30&lt;=5,'XA MU'!$E$30*$C$8*(IF('XA MU'!$C$30&gt;(xm_y0P+(xm_nP-1)/2*xm_sP),2*('XA MU'!$C$30-(xm_y0P+(xm_nP-1)/2*xm_sP))/xm_sP,0)+IF('XA MU'!$D$30&gt;(xm_y0P+(xm_nP-1)/2*xm_sP),2*('XA MU'!$D$30-(xm_y0P+(xm_nP-1)/2*xm_sP))/xm_sP,0)),0),0))))</f>
        <v>0</v>
      </c>
      <c r="N90" s="44">
        <f>IF(C90=0,0,IF(6&gt;nLan,0,0.65*(IF('XA MU'!$B$25&lt;=6,'XA MU'!$E$25*$C$8*(MAX(0,1-ABS('XA MU'!$C$25-$D90)/xm_sP)+MAX(0,1-ABS('XA MU'!$D$25-$D90)/xm_sP)),0)+IF(ABS($D90-(xm_y0P+(xm_nP-1)/2*xm_sP))&lt;0.000001,IF('XA MU'!$B$25&lt;=6,'XA MU'!$E$25*$C$8*(IF('XA MU'!$C$25&gt;(xm_y0P+(xm_nP-1)/2*xm_sP),2*('XA MU'!$C$25-(xm_y0P+(xm_nP-1)/2*xm_sP))/xm_sP,0)+IF('XA MU'!$D$25&gt;(xm_y0P+(xm_nP-1)/2*xm_sP),2*('XA MU'!$D$25-(xm_y0P+(xm_nP-1)/2*xm_sP))/xm_sP,0)),0),0)+IF('XA MU'!$B$26&lt;=6,'XA MU'!$E$26*$C$8*(MAX(0,1-ABS('XA MU'!$C$26-$D90)/xm_sP)+MAX(0,1-ABS('XA MU'!$D$26-$D90)/xm_sP)),0)+IF(ABS($D90-(xm_y0P+(xm_nP-1)/2*xm_sP))&lt;0.000001,IF('XA MU'!$B$26&lt;=6,'XA MU'!$E$26*$C$8*(IF('XA MU'!$C$26&gt;(xm_y0P+(xm_nP-1)/2*xm_sP),2*('XA MU'!$C$26-(xm_y0P+(xm_nP-1)/2*xm_sP))/xm_sP,0)+IF('XA MU'!$D$26&gt;(xm_y0P+(xm_nP-1)/2*xm_sP),2*('XA MU'!$D$26-(xm_y0P+(xm_nP-1)/2*xm_sP))/xm_sP,0)),0),0)+IF('XA MU'!$B$27&lt;=6,'XA MU'!$E$27*$C$8*(MAX(0,1-ABS('XA MU'!$C$27-$D90)/xm_sP)+MAX(0,1-ABS('XA MU'!$D$27-$D90)/xm_sP)),0)+IF(ABS($D90-(xm_y0P+(xm_nP-1)/2*xm_sP))&lt;0.000001,IF('XA MU'!$B$27&lt;=6,'XA MU'!$E$27*$C$8*(IF('XA MU'!$C$27&gt;(xm_y0P+(xm_nP-1)/2*xm_sP),2*('XA MU'!$C$27-(xm_y0P+(xm_nP-1)/2*xm_sP))/xm_sP,0)+IF('XA MU'!$D$27&gt;(xm_y0P+(xm_nP-1)/2*xm_sP),2*('XA MU'!$D$27-(xm_y0P+(xm_nP-1)/2*xm_sP))/xm_sP,0)),0),0)+IF('XA MU'!$B$28&lt;=6,'XA MU'!$E$28*$C$8*(MAX(0,1-ABS('XA MU'!$C$28-$D90)/xm_sP)+MAX(0,1-ABS('XA MU'!$D$28-$D90)/xm_sP)),0)+IF(ABS($D90-(xm_y0P+(xm_nP-1)/2*xm_sP))&lt;0.000001,IF('XA MU'!$B$28&lt;=6,'XA MU'!$E$28*$C$8*(IF('XA MU'!$C$28&gt;(xm_y0P+(xm_nP-1)/2*xm_sP),2*('XA MU'!$C$28-(xm_y0P+(xm_nP-1)/2*xm_sP))/xm_sP,0)+IF('XA MU'!$D$28&gt;(xm_y0P+(xm_nP-1)/2*xm_sP),2*('XA MU'!$D$28-(xm_y0P+(xm_nP-1)/2*xm_sP))/xm_sP,0)),0),0)+IF('XA MU'!$B$29&lt;=6,'XA MU'!$E$29*$C$8*(MAX(0,1-ABS('XA MU'!$C$29-$D90)/xm_sP)+MAX(0,1-ABS('XA MU'!$D$29-$D90)/xm_sP)),0)+IF(ABS($D90-(xm_y0P+(xm_nP-1)/2*xm_sP))&lt;0.000001,IF('XA MU'!$B$29&lt;=6,'XA MU'!$E$29*$C$8*(IF('XA MU'!$C$29&gt;(xm_y0P+(xm_nP-1)/2*xm_sP),2*('XA MU'!$C$29-(xm_y0P+(xm_nP-1)/2*xm_sP))/xm_sP,0)+IF('XA MU'!$D$29&gt;(xm_y0P+(xm_nP-1)/2*xm_sP),2*('XA MU'!$D$29-(xm_y0P+(xm_nP-1)/2*xm_sP))/xm_sP,0)),0),0)+IF('XA MU'!$B$30&lt;=6,'XA MU'!$E$30*$C$8*(MAX(0,1-ABS('XA MU'!$C$30-$D90)/xm_sP)+MAX(0,1-ABS('XA MU'!$D$30-$D90)/xm_sP)),0)+IF(ABS($D90-(xm_y0P+(xm_nP-1)/2*xm_sP))&lt;0.000001,IF('XA MU'!$B$30&lt;=6,'XA MU'!$E$30*$C$8*(IF('XA MU'!$C$30&gt;(xm_y0P+(xm_nP-1)/2*xm_sP),2*('XA MU'!$C$30-(xm_y0P+(xm_nP-1)/2*xm_sP))/xm_sP,0)+IF('XA MU'!$D$30&gt;(xm_y0P+(xm_nP-1)/2*xm_sP),2*('XA MU'!$D$30-(xm_y0P+(xm_nP-1)/2*xm_sP))/xm_sP,0)),0),0))))</f>
        <v>0</v>
      </c>
    </row>
    <row r="91" spans="1:14" x14ac:dyDescent="0.3">
      <c r="A91" s="42" t="s">
        <v>1236</v>
      </c>
      <c r="B91" s="42">
        <v>37</v>
      </c>
      <c r="C91" s="40">
        <f t="shared" si="4"/>
        <v>0</v>
      </c>
      <c r="D91" s="44">
        <f t="shared" si="5"/>
        <v>0</v>
      </c>
      <c r="E91" s="44">
        <f>MAX(0,D91-'XA MU'!$C$8)*C91</f>
        <v>0</v>
      </c>
      <c r="F91" s="44">
        <f>IF(AND(C91=1,D91&gt;'XA MU'!$C$8),1,0)</f>
        <v>0</v>
      </c>
      <c r="G91" s="44">
        <f t="shared" si="6"/>
        <v>0</v>
      </c>
      <c r="H91" s="44">
        <f t="shared" si="7"/>
        <v>0</v>
      </c>
      <c r="I91" s="44">
        <f>IF(C91=0,0,IF(1&gt;nLan,0,1.2*(IF('XA MU'!$B$25&lt;=1,'XA MU'!$E$25*$C$8*(MAX(0,1-ABS('XA MU'!$C$25-$D91)/xm_sP)+MAX(0,1-ABS('XA MU'!$D$25-$D91)/xm_sP)),0)+IF(ABS($D91-(xm_y0P+(xm_nP-1)/2*xm_sP))&lt;0.000001,IF('XA MU'!$B$25&lt;=1,'XA MU'!$E$25*$C$8*(IF('XA MU'!$C$25&gt;(xm_y0P+(xm_nP-1)/2*xm_sP),2*('XA MU'!$C$25-(xm_y0P+(xm_nP-1)/2*xm_sP))/xm_sP,0)+IF('XA MU'!$D$25&gt;(xm_y0P+(xm_nP-1)/2*xm_sP),2*('XA MU'!$D$25-(xm_y0P+(xm_nP-1)/2*xm_sP))/xm_sP,0)),0),0)+IF('XA MU'!$B$26&lt;=1,'XA MU'!$E$26*$C$8*(MAX(0,1-ABS('XA MU'!$C$26-$D91)/xm_sP)+MAX(0,1-ABS('XA MU'!$D$26-$D91)/xm_sP)),0)+IF(ABS($D91-(xm_y0P+(xm_nP-1)/2*xm_sP))&lt;0.000001,IF('XA MU'!$B$26&lt;=1,'XA MU'!$E$26*$C$8*(IF('XA MU'!$C$26&gt;(xm_y0P+(xm_nP-1)/2*xm_sP),2*('XA MU'!$C$26-(xm_y0P+(xm_nP-1)/2*xm_sP))/xm_sP,0)+IF('XA MU'!$D$26&gt;(xm_y0P+(xm_nP-1)/2*xm_sP),2*('XA MU'!$D$26-(xm_y0P+(xm_nP-1)/2*xm_sP))/xm_sP,0)),0),0)+IF('XA MU'!$B$27&lt;=1,'XA MU'!$E$27*$C$8*(MAX(0,1-ABS('XA MU'!$C$27-$D91)/xm_sP)+MAX(0,1-ABS('XA MU'!$D$27-$D91)/xm_sP)),0)+IF(ABS($D91-(xm_y0P+(xm_nP-1)/2*xm_sP))&lt;0.000001,IF('XA MU'!$B$27&lt;=1,'XA MU'!$E$27*$C$8*(IF('XA MU'!$C$27&gt;(xm_y0P+(xm_nP-1)/2*xm_sP),2*('XA MU'!$C$27-(xm_y0P+(xm_nP-1)/2*xm_sP))/xm_sP,0)+IF('XA MU'!$D$27&gt;(xm_y0P+(xm_nP-1)/2*xm_sP),2*('XA MU'!$D$27-(xm_y0P+(xm_nP-1)/2*xm_sP))/xm_sP,0)),0),0)+IF('XA MU'!$B$28&lt;=1,'XA MU'!$E$28*$C$8*(MAX(0,1-ABS('XA MU'!$C$28-$D91)/xm_sP)+MAX(0,1-ABS('XA MU'!$D$28-$D91)/xm_sP)),0)+IF(ABS($D91-(xm_y0P+(xm_nP-1)/2*xm_sP))&lt;0.000001,IF('XA MU'!$B$28&lt;=1,'XA MU'!$E$28*$C$8*(IF('XA MU'!$C$28&gt;(xm_y0P+(xm_nP-1)/2*xm_sP),2*('XA MU'!$C$28-(xm_y0P+(xm_nP-1)/2*xm_sP))/xm_sP,0)+IF('XA MU'!$D$28&gt;(xm_y0P+(xm_nP-1)/2*xm_sP),2*('XA MU'!$D$28-(xm_y0P+(xm_nP-1)/2*xm_sP))/xm_sP,0)),0),0)+IF('XA MU'!$B$29&lt;=1,'XA MU'!$E$29*$C$8*(MAX(0,1-ABS('XA MU'!$C$29-$D91)/xm_sP)+MAX(0,1-ABS('XA MU'!$D$29-$D91)/xm_sP)),0)+IF(ABS($D91-(xm_y0P+(xm_nP-1)/2*xm_sP))&lt;0.000001,IF('XA MU'!$B$29&lt;=1,'XA MU'!$E$29*$C$8*(IF('XA MU'!$C$29&gt;(xm_y0P+(xm_nP-1)/2*xm_sP),2*('XA MU'!$C$29-(xm_y0P+(xm_nP-1)/2*xm_sP))/xm_sP,0)+IF('XA MU'!$D$29&gt;(xm_y0P+(xm_nP-1)/2*xm_sP),2*('XA MU'!$D$29-(xm_y0P+(xm_nP-1)/2*xm_sP))/xm_sP,0)),0),0)+IF('XA MU'!$B$30&lt;=1,'XA MU'!$E$30*$C$8*(MAX(0,1-ABS('XA MU'!$C$30-$D91)/xm_sP)+MAX(0,1-ABS('XA MU'!$D$30-$D91)/xm_sP)),0)+IF(ABS($D91-(xm_y0P+(xm_nP-1)/2*xm_sP))&lt;0.000001,IF('XA MU'!$B$30&lt;=1,'XA MU'!$E$30*$C$8*(IF('XA MU'!$C$30&gt;(xm_y0P+(xm_nP-1)/2*xm_sP),2*('XA MU'!$C$30-(xm_y0P+(xm_nP-1)/2*xm_sP))/xm_sP,0)+IF('XA MU'!$D$30&gt;(xm_y0P+(xm_nP-1)/2*xm_sP),2*('XA MU'!$D$30-(xm_y0P+(xm_nP-1)/2*xm_sP))/xm_sP,0)),0),0))))</f>
        <v>0</v>
      </c>
      <c r="J91" s="44">
        <f>IF(C91=0,0,IF(2&gt;nLan,0,1*(IF('XA MU'!$B$25&lt;=2,'XA MU'!$E$25*$C$8*(MAX(0,1-ABS('XA MU'!$C$25-$D91)/xm_sP)+MAX(0,1-ABS('XA MU'!$D$25-$D91)/xm_sP)),0)+IF(ABS($D91-(xm_y0P+(xm_nP-1)/2*xm_sP))&lt;0.000001,IF('XA MU'!$B$25&lt;=2,'XA MU'!$E$25*$C$8*(IF('XA MU'!$C$25&gt;(xm_y0P+(xm_nP-1)/2*xm_sP),2*('XA MU'!$C$25-(xm_y0P+(xm_nP-1)/2*xm_sP))/xm_sP,0)+IF('XA MU'!$D$25&gt;(xm_y0P+(xm_nP-1)/2*xm_sP),2*('XA MU'!$D$25-(xm_y0P+(xm_nP-1)/2*xm_sP))/xm_sP,0)),0),0)+IF('XA MU'!$B$26&lt;=2,'XA MU'!$E$26*$C$8*(MAX(0,1-ABS('XA MU'!$C$26-$D91)/xm_sP)+MAX(0,1-ABS('XA MU'!$D$26-$D91)/xm_sP)),0)+IF(ABS($D91-(xm_y0P+(xm_nP-1)/2*xm_sP))&lt;0.000001,IF('XA MU'!$B$26&lt;=2,'XA MU'!$E$26*$C$8*(IF('XA MU'!$C$26&gt;(xm_y0P+(xm_nP-1)/2*xm_sP),2*('XA MU'!$C$26-(xm_y0P+(xm_nP-1)/2*xm_sP))/xm_sP,0)+IF('XA MU'!$D$26&gt;(xm_y0P+(xm_nP-1)/2*xm_sP),2*('XA MU'!$D$26-(xm_y0P+(xm_nP-1)/2*xm_sP))/xm_sP,0)),0),0)+IF('XA MU'!$B$27&lt;=2,'XA MU'!$E$27*$C$8*(MAX(0,1-ABS('XA MU'!$C$27-$D91)/xm_sP)+MAX(0,1-ABS('XA MU'!$D$27-$D91)/xm_sP)),0)+IF(ABS($D91-(xm_y0P+(xm_nP-1)/2*xm_sP))&lt;0.000001,IF('XA MU'!$B$27&lt;=2,'XA MU'!$E$27*$C$8*(IF('XA MU'!$C$27&gt;(xm_y0P+(xm_nP-1)/2*xm_sP),2*('XA MU'!$C$27-(xm_y0P+(xm_nP-1)/2*xm_sP))/xm_sP,0)+IF('XA MU'!$D$27&gt;(xm_y0P+(xm_nP-1)/2*xm_sP),2*('XA MU'!$D$27-(xm_y0P+(xm_nP-1)/2*xm_sP))/xm_sP,0)),0),0)+IF('XA MU'!$B$28&lt;=2,'XA MU'!$E$28*$C$8*(MAX(0,1-ABS('XA MU'!$C$28-$D91)/xm_sP)+MAX(0,1-ABS('XA MU'!$D$28-$D91)/xm_sP)),0)+IF(ABS($D91-(xm_y0P+(xm_nP-1)/2*xm_sP))&lt;0.000001,IF('XA MU'!$B$28&lt;=2,'XA MU'!$E$28*$C$8*(IF('XA MU'!$C$28&gt;(xm_y0P+(xm_nP-1)/2*xm_sP),2*('XA MU'!$C$28-(xm_y0P+(xm_nP-1)/2*xm_sP))/xm_sP,0)+IF('XA MU'!$D$28&gt;(xm_y0P+(xm_nP-1)/2*xm_sP),2*('XA MU'!$D$28-(xm_y0P+(xm_nP-1)/2*xm_sP))/xm_sP,0)),0),0)+IF('XA MU'!$B$29&lt;=2,'XA MU'!$E$29*$C$8*(MAX(0,1-ABS('XA MU'!$C$29-$D91)/xm_sP)+MAX(0,1-ABS('XA MU'!$D$29-$D91)/xm_sP)),0)+IF(ABS($D91-(xm_y0P+(xm_nP-1)/2*xm_sP))&lt;0.000001,IF('XA MU'!$B$29&lt;=2,'XA MU'!$E$29*$C$8*(IF('XA MU'!$C$29&gt;(xm_y0P+(xm_nP-1)/2*xm_sP),2*('XA MU'!$C$29-(xm_y0P+(xm_nP-1)/2*xm_sP))/xm_sP,0)+IF('XA MU'!$D$29&gt;(xm_y0P+(xm_nP-1)/2*xm_sP),2*('XA MU'!$D$29-(xm_y0P+(xm_nP-1)/2*xm_sP))/xm_sP,0)),0),0)+IF('XA MU'!$B$30&lt;=2,'XA MU'!$E$30*$C$8*(MAX(0,1-ABS('XA MU'!$C$30-$D91)/xm_sP)+MAX(0,1-ABS('XA MU'!$D$30-$D91)/xm_sP)),0)+IF(ABS($D91-(xm_y0P+(xm_nP-1)/2*xm_sP))&lt;0.000001,IF('XA MU'!$B$30&lt;=2,'XA MU'!$E$30*$C$8*(IF('XA MU'!$C$30&gt;(xm_y0P+(xm_nP-1)/2*xm_sP),2*('XA MU'!$C$30-(xm_y0P+(xm_nP-1)/2*xm_sP))/xm_sP,0)+IF('XA MU'!$D$30&gt;(xm_y0P+(xm_nP-1)/2*xm_sP),2*('XA MU'!$D$30-(xm_y0P+(xm_nP-1)/2*xm_sP))/xm_sP,0)),0),0))))</f>
        <v>0</v>
      </c>
      <c r="K91" s="44">
        <f>IF(C91=0,0,IF(3&gt;nLan,0,0.85*(IF('XA MU'!$B$25&lt;=3,'XA MU'!$E$25*$C$8*(MAX(0,1-ABS('XA MU'!$C$25-$D91)/xm_sP)+MAX(0,1-ABS('XA MU'!$D$25-$D91)/xm_sP)),0)+IF(ABS($D91-(xm_y0P+(xm_nP-1)/2*xm_sP))&lt;0.000001,IF('XA MU'!$B$25&lt;=3,'XA MU'!$E$25*$C$8*(IF('XA MU'!$C$25&gt;(xm_y0P+(xm_nP-1)/2*xm_sP),2*('XA MU'!$C$25-(xm_y0P+(xm_nP-1)/2*xm_sP))/xm_sP,0)+IF('XA MU'!$D$25&gt;(xm_y0P+(xm_nP-1)/2*xm_sP),2*('XA MU'!$D$25-(xm_y0P+(xm_nP-1)/2*xm_sP))/xm_sP,0)),0),0)+IF('XA MU'!$B$26&lt;=3,'XA MU'!$E$26*$C$8*(MAX(0,1-ABS('XA MU'!$C$26-$D91)/xm_sP)+MAX(0,1-ABS('XA MU'!$D$26-$D91)/xm_sP)),0)+IF(ABS($D91-(xm_y0P+(xm_nP-1)/2*xm_sP))&lt;0.000001,IF('XA MU'!$B$26&lt;=3,'XA MU'!$E$26*$C$8*(IF('XA MU'!$C$26&gt;(xm_y0P+(xm_nP-1)/2*xm_sP),2*('XA MU'!$C$26-(xm_y0P+(xm_nP-1)/2*xm_sP))/xm_sP,0)+IF('XA MU'!$D$26&gt;(xm_y0P+(xm_nP-1)/2*xm_sP),2*('XA MU'!$D$26-(xm_y0P+(xm_nP-1)/2*xm_sP))/xm_sP,0)),0),0)+IF('XA MU'!$B$27&lt;=3,'XA MU'!$E$27*$C$8*(MAX(0,1-ABS('XA MU'!$C$27-$D91)/xm_sP)+MAX(0,1-ABS('XA MU'!$D$27-$D91)/xm_sP)),0)+IF(ABS($D91-(xm_y0P+(xm_nP-1)/2*xm_sP))&lt;0.000001,IF('XA MU'!$B$27&lt;=3,'XA MU'!$E$27*$C$8*(IF('XA MU'!$C$27&gt;(xm_y0P+(xm_nP-1)/2*xm_sP),2*('XA MU'!$C$27-(xm_y0P+(xm_nP-1)/2*xm_sP))/xm_sP,0)+IF('XA MU'!$D$27&gt;(xm_y0P+(xm_nP-1)/2*xm_sP),2*('XA MU'!$D$27-(xm_y0P+(xm_nP-1)/2*xm_sP))/xm_sP,0)),0),0)+IF('XA MU'!$B$28&lt;=3,'XA MU'!$E$28*$C$8*(MAX(0,1-ABS('XA MU'!$C$28-$D91)/xm_sP)+MAX(0,1-ABS('XA MU'!$D$28-$D91)/xm_sP)),0)+IF(ABS($D91-(xm_y0P+(xm_nP-1)/2*xm_sP))&lt;0.000001,IF('XA MU'!$B$28&lt;=3,'XA MU'!$E$28*$C$8*(IF('XA MU'!$C$28&gt;(xm_y0P+(xm_nP-1)/2*xm_sP),2*('XA MU'!$C$28-(xm_y0P+(xm_nP-1)/2*xm_sP))/xm_sP,0)+IF('XA MU'!$D$28&gt;(xm_y0P+(xm_nP-1)/2*xm_sP),2*('XA MU'!$D$28-(xm_y0P+(xm_nP-1)/2*xm_sP))/xm_sP,0)),0),0)+IF('XA MU'!$B$29&lt;=3,'XA MU'!$E$29*$C$8*(MAX(0,1-ABS('XA MU'!$C$29-$D91)/xm_sP)+MAX(0,1-ABS('XA MU'!$D$29-$D91)/xm_sP)),0)+IF(ABS($D91-(xm_y0P+(xm_nP-1)/2*xm_sP))&lt;0.000001,IF('XA MU'!$B$29&lt;=3,'XA MU'!$E$29*$C$8*(IF('XA MU'!$C$29&gt;(xm_y0P+(xm_nP-1)/2*xm_sP),2*('XA MU'!$C$29-(xm_y0P+(xm_nP-1)/2*xm_sP))/xm_sP,0)+IF('XA MU'!$D$29&gt;(xm_y0P+(xm_nP-1)/2*xm_sP),2*('XA MU'!$D$29-(xm_y0P+(xm_nP-1)/2*xm_sP))/xm_sP,0)),0),0)+IF('XA MU'!$B$30&lt;=3,'XA MU'!$E$30*$C$8*(MAX(0,1-ABS('XA MU'!$C$30-$D91)/xm_sP)+MAX(0,1-ABS('XA MU'!$D$30-$D91)/xm_sP)),0)+IF(ABS($D91-(xm_y0P+(xm_nP-1)/2*xm_sP))&lt;0.000001,IF('XA MU'!$B$30&lt;=3,'XA MU'!$E$30*$C$8*(IF('XA MU'!$C$30&gt;(xm_y0P+(xm_nP-1)/2*xm_sP),2*('XA MU'!$C$30-(xm_y0P+(xm_nP-1)/2*xm_sP))/xm_sP,0)+IF('XA MU'!$D$30&gt;(xm_y0P+(xm_nP-1)/2*xm_sP),2*('XA MU'!$D$30-(xm_y0P+(xm_nP-1)/2*xm_sP))/xm_sP,0)),0),0))))</f>
        <v>0</v>
      </c>
      <c r="L91" s="44">
        <f>IF(C91=0,0,IF(4&gt;nLan,0,0.65*(IF('XA MU'!$B$25&lt;=4,'XA MU'!$E$25*$C$8*(MAX(0,1-ABS('XA MU'!$C$25-$D91)/xm_sP)+MAX(0,1-ABS('XA MU'!$D$25-$D91)/xm_sP)),0)+IF(ABS($D91-(xm_y0P+(xm_nP-1)/2*xm_sP))&lt;0.000001,IF('XA MU'!$B$25&lt;=4,'XA MU'!$E$25*$C$8*(IF('XA MU'!$C$25&gt;(xm_y0P+(xm_nP-1)/2*xm_sP),2*('XA MU'!$C$25-(xm_y0P+(xm_nP-1)/2*xm_sP))/xm_sP,0)+IF('XA MU'!$D$25&gt;(xm_y0P+(xm_nP-1)/2*xm_sP),2*('XA MU'!$D$25-(xm_y0P+(xm_nP-1)/2*xm_sP))/xm_sP,0)),0),0)+IF('XA MU'!$B$26&lt;=4,'XA MU'!$E$26*$C$8*(MAX(0,1-ABS('XA MU'!$C$26-$D91)/xm_sP)+MAX(0,1-ABS('XA MU'!$D$26-$D91)/xm_sP)),0)+IF(ABS($D91-(xm_y0P+(xm_nP-1)/2*xm_sP))&lt;0.000001,IF('XA MU'!$B$26&lt;=4,'XA MU'!$E$26*$C$8*(IF('XA MU'!$C$26&gt;(xm_y0P+(xm_nP-1)/2*xm_sP),2*('XA MU'!$C$26-(xm_y0P+(xm_nP-1)/2*xm_sP))/xm_sP,0)+IF('XA MU'!$D$26&gt;(xm_y0P+(xm_nP-1)/2*xm_sP),2*('XA MU'!$D$26-(xm_y0P+(xm_nP-1)/2*xm_sP))/xm_sP,0)),0),0)+IF('XA MU'!$B$27&lt;=4,'XA MU'!$E$27*$C$8*(MAX(0,1-ABS('XA MU'!$C$27-$D91)/xm_sP)+MAX(0,1-ABS('XA MU'!$D$27-$D91)/xm_sP)),0)+IF(ABS($D91-(xm_y0P+(xm_nP-1)/2*xm_sP))&lt;0.000001,IF('XA MU'!$B$27&lt;=4,'XA MU'!$E$27*$C$8*(IF('XA MU'!$C$27&gt;(xm_y0P+(xm_nP-1)/2*xm_sP),2*('XA MU'!$C$27-(xm_y0P+(xm_nP-1)/2*xm_sP))/xm_sP,0)+IF('XA MU'!$D$27&gt;(xm_y0P+(xm_nP-1)/2*xm_sP),2*('XA MU'!$D$27-(xm_y0P+(xm_nP-1)/2*xm_sP))/xm_sP,0)),0),0)+IF('XA MU'!$B$28&lt;=4,'XA MU'!$E$28*$C$8*(MAX(0,1-ABS('XA MU'!$C$28-$D91)/xm_sP)+MAX(0,1-ABS('XA MU'!$D$28-$D91)/xm_sP)),0)+IF(ABS($D91-(xm_y0P+(xm_nP-1)/2*xm_sP))&lt;0.000001,IF('XA MU'!$B$28&lt;=4,'XA MU'!$E$28*$C$8*(IF('XA MU'!$C$28&gt;(xm_y0P+(xm_nP-1)/2*xm_sP),2*('XA MU'!$C$28-(xm_y0P+(xm_nP-1)/2*xm_sP))/xm_sP,0)+IF('XA MU'!$D$28&gt;(xm_y0P+(xm_nP-1)/2*xm_sP),2*('XA MU'!$D$28-(xm_y0P+(xm_nP-1)/2*xm_sP))/xm_sP,0)),0),0)+IF('XA MU'!$B$29&lt;=4,'XA MU'!$E$29*$C$8*(MAX(0,1-ABS('XA MU'!$C$29-$D91)/xm_sP)+MAX(0,1-ABS('XA MU'!$D$29-$D91)/xm_sP)),0)+IF(ABS($D91-(xm_y0P+(xm_nP-1)/2*xm_sP))&lt;0.000001,IF('XA MU'!$B$29&lt;=4,'XA MU'!$E$29*$C$8*(IF('XA MU'!$C$29&gt;(xm_y0P+(xm_nP-1)/2*xm_sP),2*('XA MU'!$C$29-(xm_y0P+(xm_nP-1)/2*xm_sP))/xm_sP,0)+IF('XA MU'!$D$29&gt;(xm_y0P+(xm_nP-1)/2*xm_sP),2*('XA MU'!$D$29-(xm_y0P+(xm_nP-1)/2*xm_sP))/xm_sP,0)),0),0)+IF('XA MU'!$B$30&lt;=4,'XA MU'!$E$30*$C$8*(MAX(0,1-ABS('XA MU'!$C$30-$D91)/xm_sP)+MAX(0,1-ABS('XA MU'!$D$30-$D91)/xm_sP)),0)+IF(ABS($D91-(xm_y0P+(xm_nP-1)/2*xm_sP))&lt;0.000001,IF('XA MU'!$B$30&lt;=4,'XA MU'!$E$30*$C$8*(IF('XA MU'!$C$30&gt;(xm_y0P+(xm_nP-1)/2*xm_sP),2*('XA MU'!$C$30-(xm_y0P+(xm_nP-1)/2*xm_sP))/xm_sP,0)+IF('XA MU'!$D$30&gt;(xm_y0P+(xm_nP-1)/2*xm_sP),2*('XA MU'!$D$30-(xm_y0P+(xm_nP-1)/2*xm_sP))/xm_sP,0)),0),0))))</f>
        <v>0</v>
      </c>
      <c r="M91" s="44">
        <f>IF(C91=0,0,IF(5&gt;nLan,0,0.65*(IF('XA MU'!$B$25&lt;=5,'XA MU'!$E$25*$C$8*(MAX(0,1-ABS('XA MU'!$C$25-$D91)/xm_sP)+MAX(0,1-ABS('XA MU'!$D$25-$D91)/xm_sP)),0)+IF(ABS($D91-(xm_y0P+(xm_nP-1)/2*xm_sP))&lt;0.000001,IF('XA MU'!$B$25&lt;=5,'XA MU'!$E$25*$C$8*(IF('XA MU'!$C$25&gt;(xm_y0P+(xm_nP-1)/2*xm_sP),2*('XA MU'!$C$25-(xm_y0P+(xm_nP-1)/2*xm_sP))/xm_sP,0)+IF('XA MU'!$D$25&gt;(xm_y0P+(xm_nP-1)/2*xm_sP),2*('XA MU'!$D$25-(xm_y0P+(xm_nP-1)/2*xm_sP))/xm_sP,0)),0),0)+IF('XA MU'!$B$26&lt;=5,'XA MU'!$E$26*$C$8*(MAX(0,1-ABS('XA MU'!$C$26-$D91)/xm_sP)+MAX(0,1-ABS('XA MU'!$D$26-$D91)/xm_sP)),0)+IF(ABS($D91-(xm_y0P+(xm_nP-1)/2*xm_sP))&lt;0.000001,IF('XA MU'!$B$26&lt;=5,'XA MU'!$E$26*$C$8*(IF('XA MU'!$C$26&gt;(xm_y0P+(xm_nP-1)/2*xm_sP),2*('XA MU'!$C$26-(xm_y0P+(xm_nP-1)/2*xm_sP))/xm_sP,0)+IF('XA MU'!$D$26&gt;(xm_y0P+(xm_nP-1)/2*xm_sP),2*('XA MU'!$D$26-(xm_y0P+(xm_nP-1)/2*xm_sP))/xm_sP,0)),0),0)+IF('XA MU'!$B$27&lt;=5,'XA MU'!$E$27*$C$8*(MAX(0,1-ABS('XA MU'!$C$27-$D91)/xm_sP)+MAX(0,1-ABS('XA MU'!$D$27-$D91)/xm_sP)),0)+IF(ABS($D91-(xm_y0P+(xm_nP-1)/2*xm_sP))&lt;0.000001,IF('XA MU'!$B$27&lt;=5,'XA MU'!$E$27*$C$8*(IF('XA MU'!$C$27&gt;(xm_y0P+(xm_nP-1)/2*xm_sP),2*('XA MU'!$C$27-(xm_y0P+(xm_nP-1)/2*xm_sP))/xm_sP,0)+IF('XA MU'!$D$27&gt;(xm_y0P+(xm_nP-1)/2*xm_sP),2*('XA MU'!$D$27-(xm_y0P+(xm_nP-1)/2*xm_sP))/xm_sP,0)),0),0)+IF('XA MU'!$B$28&lt;=5,'XA MU'!$E$28*$C$8*(MAX(0,1-ABS('XA MU'!$C$28-$D91)/xm_sP)+MAX(0,1-ABS('XA MU'!$D$28-$D91)/xm_sP)),0)+IF(ABS($D91-(xm_y0P+(xm_nP-1)/2*xm_sP))&lt;0.000001,IF('XA MU'!$B$28&lt;=5,'XA MU'!$E$28*$C$8*(IF('XA MU'!$C$28&gt;(xm_y0P+(xm_nP-1)/2*xm_sP),2*('XA MU'!$C$28-(xm_y0P+(xm_nP-1)/2*xm_sP))/xm_sP,0)+IF('XA MU'!$D$28&gt;(xm_y0P+(xm_nP-1)/2*xm_sP),2*('XA MU'!$D$28-(xm_y0P+(xm_nP-1)/2*xm_sP))/xm_sP,0)),0),0)+IF('XA MU'!$B$29&lt;=5,'XA MU'!$E$29*$C$8*(MAX(0,1-ABS('XA MU'!$C$29-$D91)/xm_sP)+MAX(0,1-ABS('XA MU'!$D$29-$D91)/xm_sP)),0)+IF(ABS($D91-(xm_y0P+(xm_nP-1)/2*xm_sP))&lt;0.000001,IF('XA MU'!$B$29&lt;=5,'XA MU'!$E$29*$C$8*(IF('XA MU'!$C$29&gt;(xm_y0P+(xm_nP-1)/2*xm_sP),2*('XA MU'!$C$29-(xm_y0P+(xm_nP-1)/2*xm_sP))/xm_sP,0)+IF('XA MU'!$D$29&gt;(xm_y0P+(xm_nP-1)/2*xm_sP),2*('XA MU'!$D$29-(xm_y0P+(xm_nP-1)/2*xm_sP))/xm_sP,0)),0),0)+IF('XA MU'!$B$30&lt;=5,'XA MU'!$E$30*$C$8*(MAX(0,1-ABS('XA MU'!$C$30-$D91)/xm_sP)+MAX(0,1-ABS('XA MU'!$D$30-$D91)/xm_sP)),0)+IF(ABS($D91-(xm_y0P+(xm_nP-1)/2*xm_sP))&lt;0.000001,IF('XA MU'!$B$30&lt;=5,'XA MU'!$E$30*$C$8*(IF('XA MU'!$C$30&gt;(xm_y0P+(xm_nP-1)/2*xm_sP),2*('XA MU'!$C$30-(xm_y0P+(xm_nP-1)/2*xm_sP))/xm_sP,0)+IF('XA MU'!$D$30&gt;(xm_y0P+(xm_nP-1)/2*xm_sP),2*('XA MU'!$D$30-(xm_y0P+(xm_nP-1)/2*xm_sP))/xm_sP,0)),0),0))))</f>
        <v>0</v>
      </c>
      <c r="N91" s="44">
        <f>IF(C91=0,0,IF(6&gt;nLan,0,0.65*(IF('XA MU'!$B$25&lt;=6,'XA MU'!$E$25*$C$8*(MAX(0,1-ABS('XA MU'!$C$25-$D91)/xm_sP)+MAX(0,1-ABS('XA MU'!$D$25-$D91)/xm_sP)),0)+IF(ABS($D91-(xm_y0P+(xm_nP-1)/2*xm_sP))&lt;0.000001,IF('XA MU'!$B$25&lt;=6,'XA MU'!$E$25*$C$8*(IF('XA MU'!$C$25&gt;(xm_y0P+(xm_nP-1)/2*xm_sP),2*('XA MU'!$C$25-(xm_y0P+(xm_nP-1)/2*xm_sP))/xm_sP,0)+IF('XA MU'!$D$25&gt;(xm_y0P+(xm_nP-1)/2*xm_sP),2*('XA MU'!$D$25-(xm_y0P+(xm_nP-1)/2*xm_sP))/xm_sP,0)),0),0)+IF('XA MU'!$B$26&lt;=6,'XA MU'!$E$26*$C$8*(MAX(0,1-ABS('XA MU'!$C$26-$D91)/xm_sP)+MAX(0,1-ABS('XA MU'!$D$26-$D91)/xm_sP)),0)+IF(ABS($D91-(xm_y0P+(xm_nP-1)/2*xm_sP))&lt;0.000001,IF('XA MU'!$B$26&lt;=6,'XA MU'!$E$26*$C$8*(IF('XA MU'!$C$26&gt;(xm_y0P+(xm_nP-1)/2*xm_sP),2*('XA MU'!$C$26-(xm_y0P+(xm_nP-1)/2*xm_sP))/xm_sP,0)+IF('XA MU'!$D$26&gt;(xm_y0P+(xm_nP-1)/2*xm_sP),2*('XA MU'!$D$26-(xm_y0P+(xm_nP-1)/2*xm_sP))/xm_sP,0)),0),0)+IF('XA MU'!$B$27&lt;=6,'XA MU'!$E$27*$C$8*(MAX(0,1-ABS('XA MU'!$C$27-$D91)/xm_sP)+MAX(0,1-ABS('XA MU'!$D$27-$D91)/xm_sP)),0)+IF(ABS($D91-(xm_y0P+(xm_nP-1)/2*xm_sP))&lt;0.000001,IF('XA MU'!$B$27&lt;=6,'XA MU'!$E$27*$C$8*(IF('XA MU'!$C$27&gt;(xm_y0P+(xm_nP-1)/2*xm_sP),2*('XA MU'!$C$27-(xm_y0P+(xm_nP-1)/2*xm_sP))/xm_sP,0)+IF('XA MU'!$D$27&gt;(xm_y0P+(xm_nP-1)/2*xm_sP),2*('XA MU'!$D$27-(xm_y0P+(xm_nP-1)/2*xm_sP))/xm_sP,0)),0),0)+IF('XA MU'!$B$28&lt;=6,'XA MU'!$E$28*$C$8*(MAX(0,1-ABS('XA MU'!$C$28-$D91)/xm_sP)+MAX(0,1-ABS('XA MU'!$D$28-$D91)/xm_sP)),0)+IF(ABS($D91-(xm_y0P+(xm_nP-1)/2*xm_sP))&lt;0.000001,IF('XA MU'!$B$28&lt;=6,'XA MU'!$E$28*$C$8*(IF('XA MU'!$C$28&gt;(xm_y0P+(xm_nP-1)/2*xm_sP),2*('XA MU'!$C$28-(xm_y0P+(xm_nP-1)/2*xm_sP))/xm_sP,0)+IF('XA MU'!$D$28&gt;(xm_y0P+(xm_nP-1)/2*xm_sP),2*('XA MU'!$D$28-(xm_y0P+(xm_nP-1)/2*xm_sP))/xm_sP,0)),0),0)+IF('XA MU'!$B$29&lt;=6,'XA MU'!$E$29*$C$8*(MAX(0,1-ABS('XA MU'!$C$29-$D91)/xm_sP)+MAX(0,1-ABS('XA MU'!$D$29-$D91)/xm_sP)),0)+IF(ABS($D91-(xm_y0P+(xm_nP-1)/2*xm_sP))&lt;0.000001,IF('XA MU'!$B$29&lt;=6,'XA MU'!$E$29*$C$8*(IF('XA MU'!$C$29&gt;(xm_y0P+(xm_nP-1)/2*xm_sP),2*('XA MU'!$C$29-(xm_y0P+(xm_nP-1)/2*xm_sP))/xm_sP,0)+IF('XA MU'!$D$29&gt;(xm_y0P+(xm_nP-1)/2*xm_sP),2*('XA MU'!$D$29-(xm_y0P+(xm_nP-1)/2*xm_sP))/xm_sP,0)),0),0)+IF('XA MU'!$B$30&lt;=6,'XA MU'!$E$30*$C$8*(MAX(0,1-ABS('XA MU'!$C$30-$D91)/xm_sP)+MAX(0,1-ABS('XA MU'!$D$30-$D91)/xm_sP)),0)+IF(ABS($D91-(xm_y0P+(xm_nP-1)/2*xm_sP))&lt;0.000001,IF('XA MU'!$B$30&lt;=6,'XA MU'!$E$30*$C$8*(IF('XA MU'!$C$30&gt;(xm_y0P+(xm_nP-1)/2*xm_sP),2*('XA MU'!$C$30-(xm_y0P+(xm_nP-1)/2*xm_sP))/xm_sP,0)+IF('XA MU'!$D$30&gt;(xm_y0P+(xm_nP-1)/2*xm_sP),2*('XA MU'!$D$30-(xm_y0P+(xm_nP-1)/2*xm_sP))/xm_sP,0)),0),0))))</f>
        <v>0</v>
      </c>
    </row>
    <row r="92" spans="1:14" x14ac:dyDescent="0.3">
      <c r="A92" s="42" t="s">
        <v>1236</v>
      </c>
      <c r="B92" s="42">
        <v>38</v>
      </c>
      <c r="C92" s="40">
        <f t="shared" si="4"/>
        <v>0</v>
      </c>
      <c r="D92" s="44">
        <f t="shared" si="5"/>
        <v>0</v>
      </c>
      <c r="E92" s="44">
        <f>MAX(0,D92-'XA MU'!$C$8)*C92</f>
        <v>0</v>
      </c>
      <c r="F92" s="44">
        <f>IF(AND(C92=1,D92&gt;'XA MU'!$C$8),1,0)</f>
        <v>0</v>
      </c>
      <c r="G92" s="44">
        <f t="shared" si="6"/>
        <v>0</v>
      </c>
      <c r="H92" s="44">
        <f t="shared" si="7"/>
        <v>0</v>
      </c>
      <c r="I92" s="44">
        <f>IF(C92=0,0,IF(1&gt;nLan,0,1.2*(IF('XA MU'!$B$25&lt;=1,'XA MU'!$E$25*$C$8*(MAX(0,1-ABS('XA MU'!$C$25-$D92)/xm_sP)+MAX(0,1-ABS('XA MU'!$D$25-$D92)/xm_sP)),0)+IF(ABS($D92-(xm_y0P+(xm_nP-1)/2*xm_sP))&lt;0.000001,IF('XA MU'!$B$25&lt;=1,'XA MU'!$E$25*$C$8*(IF('XA MU'!$C$25&gt;(xm_y0P+(xm_nP-1)/2*xm_sP),2*('XA MU'!$C$25-(xm_y0P+(xm_nP-1)/2*xm_sP))/xm_sP,0)+IF('XA MU'!$D$25&gt;(xm_y0P+(xm_nP-1)/2*xm_sP),2*('XA MU'!$D$25-(xm_y0P+(xm_nP-1)/2*xm_sP))/xm_sP,0)),0),0)+IF('XA MU'!$B$26&lt;=1,'XA MU'!$E$26*$C$8*(MAX(0,1-ABS('XA MU'!$C$26-$D92)/xm_sP)+MAX(0,1-ABS('XA MU'!$D$26-$D92)/xm_sP)),0)+IF(ABS($D92-(xm_y0P+(xm_nP-1)/2*xm_sP))&lt;0.000001,IF('XA MU'!$B$26&lt;=1,'XA MU'!$E$26*$C$8*(IF('XA MU'!$C$26&gt;(xm_y0P+(xm_nP-1)/2*xm_sP),2*('XA MU'!$C$26-(xm_y0P+(xm_nP-1)/2*xm_sP))/xm_sP,0)+IF('XA MU'!$D$26&gt;(xm_y0P+(xm_nP-1)/2*xm_sP),2*('XA MU'!$D$26-(xm_y0P+(xm_nP-1)/2*xm_sP))/xm_sP,0)),0),0)+IF('XA MU'!$B$27&lt;=1,'XA MU'!$E$27*$C$8*(MAX(0,1-ABS('XA MU'!$C$27-$D92)/xm_sP)+MAX(0,1-ABS('XA MU'!$D$27-$D92)/xm_sP)),0)+IF(ABS($D92-(xm_y0P+(xm_nP-1)/2*xm_sP))&lt;0.000001,IF('XA MU'!$B$27&lt;=1,'XA MU'!$E$27*$C$8*(IF('XA MU'!$C$27&gt;(xm_y0P+(xm_nP-1)/2*xm_sP),2*('XA MU'!$C$27-(xm_y0P+(xm_nP-1)/2*xm_sP))/xm_sP,0)+IF('XA MU'!$D$27&gt;(xm_y0P+(xm_nP-1)/2*xm_sP),2*('XA MU'!$D$27-(xm_y0P+(xm_nP-1)/2*xm_sP))/xm_sP,0)),0),0)+IF('XA MU'!$B$28&lt;=1,'XA MU'!$E$28*$C$8*(MAX(0,1-ABS('XA MU'!$C$28-$D92)/xm_sP)+MAX(0,1-ABS('XA MU'!$D$28-$D92)/xm_sP)),0)+IF(ABS($D92-(xm_y0P+(xm_nP-1)/2*xm_sP))&lt;0.000001,IF('XA MU'!$B$28&lt;=1,'XA MU'!$E$28*$C$8*(IF('XA MU'!$C$28&gt;(xm_y0P+(xm_nP-1)/2*xm_sP),2*('XA MU'!$C$28-(xm_y0P+(xm_nP-1)/2*xm_sP))/xm_sP,0)+IF('XA MU'!$D$28&gt;(xm_y0P+(xm_nP-1)/2*xm_sP),2*('XA MU'!$D$28-(xm_y0P+(xm_nP-1)/2*xm_sP))/xm_sP,0)),0),0)+IF('XA MU'!$B$29&lt;=1,'XA MU'!$E$29*$C$8*(MAX(0,1-ABS('XA MU'!$C$29-$D92)/xm_sP)+MAX(0,1-ABS('XA MU'!$D$29-$D92)/xm_sP)),0)+IF(ABS($D92-(xm_y0P+(xm_nP-1)/2*xm_sP))&lt;0.000001,IF('XA MU'!$B$29&lt;=1,'XA MU'!$E$29*$C$8*(IF('XA MU'!$C$29&gt;(xm_y0P+(xm_nP-1)/2*xm_sP),2*('XA MU'!$C$29-(xm_y0P+(xm_nP-1)/2*xm_sP))/xm_sP,0)+IF('XA MU'!$D$29&gt;(xm_y0P+(xm_nP-1)/2*xm_sP),2*('XA MU'!$D$29-(xm_y0P+(xm_nP-1)/2*xm_sP))/xm_sP,0)),0),0)+IF('XA MU'!$B$30&lt;=1,'XA MU'!$E$30*$C$8*(MAX(0,1-ABS('XA MU'!$C$30-$D92)/xm_sP)+MAX(0,1-ABS('XA MU'!$D$30-$D92)/xm_sP)),0)+IF(ABS($D92-(xm_y0P+(xm_nP-1)/2*xm_sP))&lt;0.000001,IF('XA MU'!$B$30&lt;=1,'XA MU'!$E$30*$C$8*(IF('XA MU'!$C$30&gt;(xm_y0P+(xm_nP-1)/2*xm_sP),2*('XA MU'!$C$30-(xm_y0P+(xm_nP-1)/2*xm_sP))/xm_sP,0)+IF('XA MU'!$D$30&gt;(xm_y0P+(xm_nP-1)/2*xm_sP),2*('XA MU'!$D$30-(xm_y0P+(xm_nP-1)/2*xm_sP))/xm_sP,0)),0),0))))</f>
        <v>0</v>
      </c>
      <c r="J92" s="44">
        <f>IF(C92=0,0,IF(2&gt;nLan,0,1*(IF('XA MU'!$B$25&lt;=2,'XA MU'!$E$25*$C$8*(MAX(0,1-ABS('XA MU'!$C$25-$D92)/xm_sP)+MAX(0,1-ABS('XA MU'!$D$25-$D92)/xm_sP)),0)+IF(ABS($D92-(xm_y0P+(xm_nP-1)/2*xm_sP))&lt;0.000001,IF('XA MU'!$B$25&lt;=2,'XA MU'!$E$25*$C$8*(IF('XA MU'!$C$25&gt;(xm_y0P+(xm_nP-1)/2*xm_sP),2*('XA MU'!$C$25-(xm_y0P+(xm_nP-1)/2*xm_sP))/xm_sP,0)+IF('XA MU'!$D$25&gt;(xm_y0P+(xm_nP-1)/2*xm_sP),2*('XA MU'!$D$25-(xm_y0P+(xm_nP-1)/2*xm_sP))/xm_sP,0)),0),0)+IF('XA MU'!$B$26&lt;=2,'XA MU'!$E$26*$C$8*(MAX(0,1-ABS('XA MU'!$C$26-$D92)/xm_sP)+MAX(0,1-ABS('XA MU'!$D$26-$D92)/xm_sP)),0)+IF(ABS($D92-(xm_y0P+(xm_nP-1)/2*xm_sP))&lt;0.000001,IF('XA MU'!$B$26&lt;=2,'XA MU'!$E$26*$C$8*(IF('XA MU'!$C$26&gt;(xm_y0P+(xm_nP-1)/2*xm_sP),2*('XA MU'!$C$26-(xm_y0P+(xm_nP-1)/2*xm_sP))/xm_sP,0)+IF('XA MU'!$D$26&gt;(xm_y0P+(xm_nP-1)/2*xm_sP),2*('XA MU'!$D$26-(xm_y0P+(xm_nP-1)/2*xm_sP))/xm_sP,0)),0),0)+IF('XA MU'!$B$27&lt;=2,'XA MU'!$E$27*$C$8*(MAX(0,1-ABS('XA MU'!$C$27-$D92)/xm_sP)+MAX(0,1-ABS('XA MU'!$D$27-$D92)/xm_sP)),0)+IF(ABS($D92-(xm_y0P+(xm_nP-1)/2*xm_sP))&lt;0.000001,IF('XA MU'!$B$27&lt;=2,'XA MU'!$E$27*$C$8*(IF('XA MU'!$C$27&gt;(xm_y0P+(xm_nP-1)/2*xm_sP),2*('XA MU'!$C$27-(xm_y0P+(xm_nP-1)/2*xm_sP))/xm_sP,0)+IF('XA MU'!$D$27&gt;(xm_y0P+(xm_nP-1)/2*xm_sP),2*('XA MU'!$D$27-(xm_y0P+(xm_nP-1)/2*xm_sP))/xm_sP,0)),0),0)+IF('XA MU'!$B$28&lt;=2,'XA MU'!$E$28*$C$8*(MAX(0,1-ABS('XA MU'!$C$28-$D92)/xm_sP)+MAX(0,1-ABS('XA MU'!$D$28-$D92)/xm_sP)),0)+IF(ABS($D92-(xm_y0P+(xm_nP-1)/2*xm_sP))&lt;0.000001,IF('XA MU'!$B$28&lt;=2,'XA MU'!$E$28*$C$8*(IF('XA MU'!$C$28&gt;(xm_y0P+(xm_nP-1)/2*xm_sP),2*('XA MU'!$C$28-(xm_y0P+(xm_nP-1)/2*xm_sP))/xm_sP,0)+IF('XA MU'!$D$28&gt;(xm_y0P+(xm_nP-1)/2*xm_sP),2*('XA MU'!$D$28-(xm_y0P+(xm_nP-1)/2*xm_sP))/xm_sP,0)),0),0)+IF('XA MU'!$B$29&lt;=2,'XA MU'!$E$29*$C$8*(MAX(0,1-ABS('XA MU'!$C$29-$D92)/xm_sP)+MAX(0,1-ABS('XA MU'!$D$29-$D92)/xm_sP)),0)+IF(ABS($D92-(xm_y0P+(xm_nP-1)/2*xm_sP))&lt;0.000001,IF('XA MU'!$B$29&lt;=2,'XA MU'!$E$29*$C$8*(IF('XA MU'!$C$29&gt;(xm_y0P+(xm_nP-1)/2*xm_sP),2*('XA MU'!$C$29-(xm_y0P+(xm_nP-1)/2*xm_sP))/xm_sP,0)+IF('XA MU'!$D$29&gt;(xm_y0P+(xm_nP-1)/2*xm_sP),2*('XA MU'!$D$29-(xm_y0P+(xm_nP-1)/2*xm_sP))/xm_sP,0)),0),0)+IF('XA MU'!$B$30&lt;=2,'XA MU'!$E$30*$C$8*(MAX(0,1-ABS('XA MU'!$C$30-$D92)/xm_sP)+MAX(0,1-ABS('XA MU'!$D$30-$D92)/xm_sP)),0)+IF(ABS($D92-(xm_y0P+(xm_nP-1)/2*xm_sP))&lt;0.000001,IF('XA MU'!$B$30&lt;=2,'XA MU'!$E$30*$C$8*(IF('XA MU'!$C$30&gt;(xm_y0P+(xm_nP-1)/2*xm_sP),2*('XA MU'!$C$30-(xm_y0P+(xm_nP-1)/2*xm_sP))/xm_sP,0)+IF('XA MU'!$D$30&gt;(xm_y0P+(xm_nP-1)/2*xm_sP),2*('XA MU'!$D$30-(xm_y0P+(xm_nP-1)/2*xm_sP))/xm_sP,0)),0),0))))</f>
        <v>0</v>
      </c>
      <c r="K92" s="44">
        <f>IF(C92=0,0,IF(3&gt;nLan,0,0.85*(IF('XA MU'!$B$25&lt;=3,'XA MU'!$E$25*$C$8*(MAX(0,1-ABS('XA MU'!$C$25-$D92)/xm_sP)+MAX(0,1-ABS('XA MU'!$D$25-$D92)/xm_sP)),0)+IF(ABS($D92-(xm_y0P+(xm_nP-1)/2*xm_sP))&lt;0.000001,IF('XA MU'!$B$25&lt;=3,'XA MU'!$E$25*$C$8*(IF('XA MU'!$C$25&gt;(xm_y0P+(xm_nP-1)/2*xm_sP),2*('XA MU'!$C$25-(xm_y0P+(xm_nP-1)/2*xm_sP))/xm_sP,0)+IF('XA MU'!$D$25&gt;(xm_y0P+(xm_nP-1)/2*xm_sP),2*('XA MU'!$D$25-(xm_y0P+(xm_nP-1)/2*xm_sP))/xm_sP,0)),0),0)+IF('XA MU'!$B$26&lt;=3,'XA MU'!$E$26*$C$8*(MAX(0,1-ABS('XA MU'!$C$26-$D92)/xm_sP)+MAX(0,1-ABS('XA MU'!$D$26-$D92)/xm_sP)),0)+IF(ABS($D92-(xm_y0P+(xm_nP-1)/2*xm_sP))&lt;0.000001,IF('XA MU'!$B$26&lt;=3,'XA MU'!$E$26*$C$8*(IF('XA MU'!$C$26&gt;(xm_y0P+(xm_nP-1)/2*xm_sP),2*('XA MU'!$C$26-(xm_y0P+(xm_nP-1)/2*xm_sP))/xm_sP,0)+IF('XA MU'!$D$26&gt;(xm_y0P+(xm_nP-1)/2*xm_sP),2*('XA MU'!$D$26-(xm_y0P+(xm_nP-1)/2*xm_sP))/xm_sP,0)),0),0)+IF('XA MU'!$B$27&lt;=3,'XA MU'!$E$27*$C$8*(MAX(0,1-ABS('XA MU'!$C$27-$D92)/xm_sP)+MAX(0,1-ABS('XA MU'!$D$27-$D92)/xm_sP)),0)+IF(ABS($D92-(xm_y0P+(xm_nP-1)/2*xm_sP))&lt;0.000001,IF('XA MU'!$B$27&lt;=3,'XA MU'!$E$27*$C$8*(IF('XA MU'!$C$27&gt;(xm_y0P+(xm_nP-1)/2*xm_sP),2*('XA MU'!$C$27-(xm_y0P+(xm_nP-1)/2*xm_sP))/xm_sP,0)+IF('XA MU'!$D$27&gt;(xm_y0P+(xm_nP-1)/2*xm_sP),2*('XA MU'!$D$27-(xm_y0P+(xm_nP-1)/2*xm_sP))/xm_sP,0)),0),0)+IF('XA MU'!$B$28&lt;=3,'XA MU'!$E$28*$C$8*(MAX(0,1-ABS('XA MU'!$C$28-$D92)/xm_sP)+MAX(0,1-ABS('XA MU'!$D$28-$D92)/xm_sP)),0)+IF(ABS($D92-(xm_y0P+(xm_nP-1)/2*xm_sP))&lt;0.000001,IF('XA MU'!$B$28&lt;=3,'XA MU'!$E$28*$C$8*(IF('XA MU'!$C$28&gt;(xm_y0P+(xm_nP-1)/2*xm_sP),2*('XA MU'!$C$28-(xm_y0P+(xm_nP-1)/2*xm_sP))/xm_sP,0)+IF('XA MU'!$D$28&gt;(xm_y0P+(xm_nP-1)/2*xm_sP),2*('XA MU'!$D$28-(xm_y0P+(xm_nP-1)/2*xm_sP))/xm_sP,0)),0),0)+IF('XA MU'!$B$29&lt;=3,'XA MU'!$E$29*$C$8*(MAX(0,1-ABS('XA MU'!$C$29-$D92)/xm_sP)+MAX(0,1-ABS('XA MU'!$D$29-$D92)/xm_sP)),0)+IF(ABS($D92-(xm_y0P+(xm_nP-1)/2*xm_sP))&lt;0.000001,IF('XA MU'!$B$29&lt;=3,'XA MU'!$E$29*$C$8*(IF('XA MU'!$C$29&gt;(xm_y0P+(xm_nP-1)/2*xm_sP),2*('XA MU'!$C$29-(xm_y0P+(xm_nP-1)/2*xm_sP))/xm_sP,0)+IF('XA MU'!$D$29&gt;(xm_y0P+(xm_nP-1)/2*xm_sP),2*('XA MU'!$D$29-(xm_y0P+(xm_nP-1)/2*xm_sP))/xm_sP,0)),0),0)+IF('XA MU'!$B$30&lt;=3,'XA MU'!$E$30*$C$8*(MAX(0,1-ABS('XA MU'!$C$30-$D92)/xm_sP)+MAX(0,1-ABS('XA MU'!$D$30-$D92)/xm_sP)),0)+IF(ABS($D92-(xm_y0P+(xm_nP-1)/2*xm_sP))&lt;0.000001,IF('XA MU'!$B$30&lt;=3,'XA MU'!$E$30*$C$8*(IF('XA MU'!$C$30&gt;(xm_y0P+(xm_nP-1)/2*xm_sP),2*('XA MU'!$C$30-(xm_y0P+(xm_nP-1)/2*xm_sP))/xm_sP,0)+IF('XA MU'!$D$30&gt;(xm_y0P+(xm_nP-1)/2*xm_sP),2*('XA MU'!$D$30-(xm_y0P+(xm_nP-1)/2*xm_sP))/xm_sP,0)),0),0))))</f>
        <v>0</v>
      </c>
      <c r="L92" s="44">
        <f>IF(C92=0,0,IF(4&gt;nLan,0,0.65*(IF('XA MU'!$B$25&lt;=4,'XA MU'!$E$25*$C$8*(MAX(0,1-ABS('XA MU'!$C$25-$D92)/xm_sP)+MAX(0,1-ABS('XA MU'!$D$25-$D92)/xm_sP)),0)+IF(ABS($D92-(xm_y0P+(xm_nP-1)/2*xm_sP))&lt;0.000001,IF('XA MU'!$B$25&lt;=4,'XA MU'!$E$25*$C$8*(IF('XA MU'!$C$25&gt;(xm_y0P+(xm_nP-1)/2*xm_sP),2*('XA MU'!$C$25-(xm_y0P+(xm_nP-1)/2*xm_sP))/xm_sP,0)+IF('XA MU'!$D$25&gt;(xm_y0P+(xm_nP-1)/2*xm_sP),2*('XA MU'!$D$25-(xm_y0P+(xm_nP-1)/2*xm_sP))/xm_sP,0)),0),0)+IF('XA MU'!$B$26&lt;=4,'XA MU'!$E$26*$C$8*(MAX(0,1-ABS('XA MU'!$C$26-$D92)/xm_sP)+MAX(0,1-ABS('XA MU'!$D$26-$D92)/xm_sP)),0)+IF(ABS($D92-(xm_y0P+(xm_nP-1)/2*xm_sP))&lt;0.000001,IF('XA MU'!$B$26&lt;=4,'XA MU'!$E$26*$C$8*(IF('XA MU'!$C$26&gt;(xm_y0P+(xm_nP-1)/2*xm_sP),2*('XA MU'!$C$26-(xm_y0P+(xm_nP-1)/2*xm_sP))/xm_sP,0)+IF('XA MU'!$D$26&gt;(xm_y0P+(xm_nP-1)/2*xm_sP),2*('XA MU'!$D$26-(xm_y0P+(xm_nP-1)/2*xm_sP))/xm_sP,0)),0),0)+IF('XA MU'!$B$27&lt;=4,'XA MU'!$E$27*$C$8*(MAX(0,1-ABS('XA MU'!$C$27-$D92)/xm_sP)+MAX(0,1-ABS('XA MU'!$D$27-$D92)/xm_sP)),0)+IF(ABS($D92-(xm_y0P+(xm_nP-1)/2*xm_sP))&lt;0.000001,IF('XA MU'!$B$27&lt;=4,'XA MU'!$E$27*$C$8*(IF('XA MU'!$C$27&gt;(xm_y0P+(xm_nP-1)/2*xm_sP),2*('XA MU'!$C$27-(xm_y0P+(xm_nP-1)/2*xm_sP))/xm_sP,0)+IF('XA MU'!$D$27&gt;(xm_y0P+(xm_nP-1)/2*xm_sP),2*('XA MU'!$D$27-(xm_y0P+(xm_nP-1)/2*xm_sP))/xm_sP,0)),0),0)+IF('XA MU'!$B$28&lt;=4,'XA MU'!$E$28*$C$8*(MAX(0,1-ABS('XA MU'!$C$28-$D92)/xm_sP)+MAX(0,1-ABS('XA MU'!$D$28-$D92)/xm_sP)),0)+IF(ABS($D92-(xm_y0P+(xm_nP-1)/2*xm_sP))&lt;0.000001,IF('XA MU'!$B$28&lt;=4,'XA MU'!$E$28*$C$8*(IF('XA MU'!$C$28&gt;(xm_y0P+(xm_nP-1)/2*xm_sP),2*('XA MU'!$C$28-(xm_y0P+(xm_nP-1)/2*xm_sP))/xm_sP,0)+IF('XA MU'!$D$28&gt;(xm_y0P+(xm_nP-1)/2*xm_sP),2*('XA MU'!$D$28-(xm_y0P+(xm_nP-1)/2*xm_sP))/xm_sP,0)),0),0)+IF('XA MU'!$B$29&lt;=4,'XA MU'!$E$29*$C$8*(MAX(0,1-ABS('XA MU'!$C$29-$D92)/xm_sP)+MAX(0,1-ABS('XA MU'!$D$29-$D92)/xm_sP)),0)+IF(ABS($D92-(xm_y0P+(xm_nP-1)/2*xm_sP))&lt;0.000001,IF('XA MU'!$B$29&lt;=4,'XA MU'!$E$29*$C$8*(IF('XA MU'!$C$29&gt;(xm_y0P+(xm_nP-1)/2*xm_sP),2*('XA MU'!$C$29-(xm_y0P+(xm_nP-1)/2*xm_sP))/xm_sP,0)+IF('XA MU'!$D$29&gt;(xm_y0P+(xm_nP-1)/2*xm_sP),2*('XA MU'!$D$29-(xm_y0P+(xm_nP-1)/2*xm_sP))/xm_sP,0)),0),0)+IF('XA MU'!$B$30&lt;=4,'XA MU'!$E$30*$C$8*(MAX(0,1-ABS('XA MU'!$C$30-$D92)/xm_sP)+MAX(0,1-ABS('XA MU'!$D$30-$D92)/xm_sP)),0)+IF(ABS($D92-(xm_y0P+(xm_nP-1)/2*xm_sP))&lt;0.000001,IF('XA MU'!$B$30&lt;=4,'XA MU'!$E$30*$C$8*(IF('XA MU'!$C$30&gt;(xm_y0P+(xm_nP-1)/2*xm_sP),2*('XA MU'!$C$30-(xm_y0P+(xm_nP-1)/2*xm_sP))/xm_sP,0)+IF('XA MU'!$D$30&gt;(xm_y0P+(xm_nP-1)/2*xm_sP),2*('XA MU'!$D$30-(xm_y0P+(xm_nP-1)/2*xm_sP))/xm_sP,0)),0),0))))</f>
        <v>0</v>
      </c>
      <c r="M92" s="44">
        <f>IF(C92=0,0,IF(5&gt;nLan,0,0.65*(IF('XA MU'!$B$25&lt;=5,'XA MU'!$E$25*$C$8*(MAX(0,1-ABS('XA MU'!$C$25-$D92)/xm_sP)+MAX(0,1-ABS('XA MU'!$D$25-$D92)/xm_sP)),0)+IF(ABS($D92-(xm_y0P+(xm_nP-1)/2*xm_sP))&lt;0.000001,IF('XA MU'!$B$25&lt;=5,'XA MU'!$E$25*$C$8*(IF('XA MU'!$C$25&gt;(xm_y0P+(xm_nP-1)/2*xm_sP),2*('XA MU'!$C$25-(xm_y0P+(xm_nP-1)/2*xm_sP))/xm_sP,0)+IF('XA MU'!$D$25&gt;(xm_y0P+(xm_nP-1)/2*xm_sP),2*('XA MU'!$D$25-(xm_y0P+(xm_nP-1)/2*xm_sP))/xm_sP,0)),0),0)+IF('XA MU'!$B$26&lt;=5,'XA MU'!$E$26*$C$8*(MAX(0,1-ABS('XA MU'!$C$26-$D92)/xm_sP)+MAX(0,1-ABS('XA MU'!$D$26-$D92)/xm_sP)),0)+IF(ABS($D92-(xm_y0P+(xm_nP-1)/2*xm_sP))&lt;0.000001,IF('XA MU'!$B$26&lt;=5,'XA MU'!$E$26*$C$8*(IF('XA MU'!$C$26&gt;(xm_y0P+(xm_nP-1)/2*xm_sP),2*('XA MU'!$C$26-(xm_y0P+(xm_nP-1)/2*xm_sP))/xm_sP,0)+IF('XA MU'!$D$26&gt;(xm_y0P+(xm_nP-1)/2*xm_sP),2*('XA MU'!$D$26-(xm_y0P+(xm_nP-1)/2*xm_sP))/xm_sP,0)),0),0)+IF('XA MU'!$B$27&lt;=5,'XA MU'!$E$27*$C$8*(MAX(0,1-ABS('XA MU'!$C$27-$D92)/xm_sP)+MAX(0,1-ABS('XA MU'!$D$27-$D92)/xm_sP)),0)+IF(ABS($D92-(xm_y0P+(xm_nP-1)/2*xm_sP))&lt;0.000001,IF('XA MU'!$B$27&lt;=5,'XA MU'!$E$27*$C$8*(IF('XA MU'!$C$27&gt;(xm_y0P+(xm_nP-1)/2*xm_sP),2*('XA MU'!$C$27-(xm_y0P+(xm_nP-1)/2*xm_sP))/xm_sP,0)+IF('XA MU'!$D$27&gt;(xm_y0P+(xm_nP-1)/2*xm_sP),2*('XA MU'!$D$27-(xm_y0P+(xm_nP-1)/2*xm_sP))/xm_sP,0)),0),0)+IF('XA MU'!$B$28&lt;=5,'XA MU'!$E$28*$C$8*(MAX(0,1-ABS('XA MU'!$C$28-$D92)/xm_sP)+MAX(0,1-ABS('XA MU'!$D$28-$D92)/xm_sP)),0)+IF(ABS($D92-(xm_y0P+(xm_nP-1)/2*xm_sP))&lt;0.000001,IF('XA MU'!$B$28&lt;=5,'XA MU'!$E$28*$C$8*(IF('XA MU'!$C$28&gt;(xm_y0P+(xm_nP-1)/2*xm_sP),2*('XA MU'!$C$28-(xm_y0P+(xm_nP-1)/2*xm_sP))/xm_sP,0)+IF('XA MU'!$D$28&gt;(xm_y0P+(xm_nP-1)/2*xm_sP),2*('XA MU'!$D$28-(xm_y0P+(xm_nP-1)/2*xm_sP))/xm_sP,0)),0),0)+IF('XA MU'!$B$29&lt;=5,'XA MU'!$E$29*$C$8*(MAX(0,1-ABS('XA MU'!$C$29-$D92)/xm_sP)+MAX(0,1-ABS('XA MU'!$D$29-$D92)/xm_sP)),0)+IF(ABS($D92-(xm_y0P+(xm_nP-1)/2*xm_sP))&lt;0.000001,IF('XA MU'!$B$29&lt;=5,'XA MU'!$E$29*$C$8*(IF('XA MU'!$C$29&gt;(xm_y0P+(xm_nP-1)/2*xm_sP),2*('XA MU'!$C$29-(xm_y0P+(xm_nP-1)/2*xm_sP))/xm_sP,0)+IF('XA MU'!$D$29&gt;(xm_y0P+(xm_nP-1)/2*xm_sP),2*('XA MU'!$D$29-(xm_y0P+(xm_nP-1)/2*xm_sP))/xm_sP,0)),0),0)+IF('XA MU'!$B$30&lt;=5,'XA MU'!$E$30*$C$8*(MAX(0,1-ABS('XA MU'!$C$30-$D92)/xm_sP)+MAX(0,1-ABS('XA MU'!$D$30-$D92)/xm_sP)),0)+IF(ABS($D92-(xm_y0P+(xm_nP-1)/2*xm_sP))&lt;0.000001,IF('XA MU'!$B$30&lt;=5,'XA MU'!$E$30*$C$8*(IF('XA MU'!$C$30&gt;(xm_y0P+(xm_nP-1)/2*xm_sP),2*('XA MU'!$C$30-(xm_y0P+(xm_nP-1)/2*xm_sP))/xm_sP,0)+IF('XA MU'!$D$30&gt;(xm_y0P+(xm_nP-1)/2*xm_sP),2*('XA MU'!$D$30-(xm_y0P+(xm_nP-1)/2*xm_sP))/xm_sP,0)),0),0))))</f>
        <v>0</v>
      </c>
      <c r="N92" s="44">
        <f>IF(C92=0,0,IF(6&gt;nLan,0,0.65*(IF('XA MU'!$B$25&lt;=6,'XA MU'!$E$25*$C$8*(MAX(0,1-ABS('XA MU'!$C$25-$D92)/xm_sP)+MAX(0,1-ABS('XA MU'!$D$25-$D92)/xm_sP)),0)+IF(ABS($D92-(xm_y0P+(xm_nP-1)/2*xm_sP))&lt;0.000001,IF('XA MU'!$B$25&lt;=6,'XA MU'!$E$25*$C$8*(IF('XA MU'!$C$25&gt;(xm_y0P+(xm_nP-1)/2*xm_sP),2*('XA MU'!$C$25-(xm_y0P+(xm_nP-1)/2*xm_sP))/xm_sP,0)+IF('XA MU'!$D$25&gt;(xm_y0P+(xm_nP-1)/2*xm_sP),2*('XA MU'!$D$25-(xm_y0P+(xm_nP-1)/2*xm_sP))/xm_sP,0)),0),0)+IF('XA MU'!$B$26&lt;=6,'XA MU'!$E$26*$C$8*(MAX(0,1-ABS('XA MU'!$C$26-$D92)/xm_sP)+MAX(0,1-ABS('XA MU'!$D$26-$D92)/xm_sP)),0)+IF(ABS($D92-(xm_y0P+(xm_nP-1)/2*xm_sP))&lt;0.000001,IF('XA MU'!$B$26&lt;=6,'XA MU'!$E$26*$C$8*(IF('XA MU'!$C$26&gt;(xm_y0P+(xm_nP-1)/2*xm_sP),2*('XA MU'!$C$26-(xm_y0P+(xm_nP-1)/2*xm_sP))/xm_sP,0)+IF('XA MU'!$D$26&gt;(xm_y0P+(xm_nP-1)/2*xm_sP),2*('XA MU'!$D$26-(xm_y0P+(xm_nP-1)/2*xm_sP))/xm_sP,0)),0),0)+IF('XA MU'!$B$27&lt;=6,'XA MU'!$E$27*$C$8*(MAX(0,1-ABS('XA MU'!$C$27-$D92)/xm_sP)+MAX(0,1-ABS('XA MU'!$D$27-$D92)/xm_sP)),0)+IF(ABS($D92-(xm_y0P+(xm_nP-1)/2*xm_sP))&lt;0.000001,IF('XA MU'!$B$27&lt;=6,'XA MU'!$E$27*$C$8*(IF('XA MU'!$C$27&gt;(xm_y0P+(xm_nP-1)/2*xm_sP),2*('XA MU'!$C$27-(xm_y0P+(xm_nP-1)/2*xm_sP))/xm_sP,0)+IF('XA MU'!$D$27&gt;(xm_y0P+(xm_nP-1)/2*xm_sP),2*('XA MU'!$D$27-(xm_y0P+(xm_nP-1)/2*xm_sP))/xm_sP,0)),0),0)+IF('XA MU'!$B$28&lt;=6,'XA MU'!$E$28*$C$8*(MAX(0,1-ABS('XA MU'!$C$28-$D92)/xm_sP)+MAX(0,1-ABS('XA MU'!$D$28-$D92)/xm_sP)),0)+IF(ABS($D92-(xm_y0P+(xm_nP-1)/2*xm_sP))&lt;0.000001,IF('XA MU'!$B$28&lt;=6,'XA MU'!$E$28*$C$8*(IF('XA MU'!$C$28&gt;(xm_y0P+(xm_nP-1)/2*xm_sP),2*('XA MU'!$C$28-(xm_y0P+(xm_nP-1)/2*xm_sP))/xm_sP,0)+IF('XA MU'!$D$28&gt;(xm_y0P+(xm_nP-1)/2*xm_sP),2*('XA MU'!$D$28-(xm_y0P+(xm_nP-1)/2*xm_sP))/xm_sP,0)),0),0)+IF('XA MU'!$B$29&lt;=6,'XA MU'!$E$29*$C$8*(MAX(0,1-ABS('XA MU'!$C$29-$D92)/xm_sP)+MAX(0,1-ABS('XA MU'!$D$29-$D92)/xm_sP)),0)+IF(ABS($D92-(xm_y0P+(xm_nP-1)/2*xm_sP))&lt;0.000001,IF('XA MU'!$B$29&lt;=6,'XA MU'!$E$29*$C$8*(IF('XA MU'!$C$29&gt;(xm_y0P+(xm_nP-1)/2*xm_sP),2*('XA MU'!$C$29-(xm_y0P+(xm_nP-1)/2*xm_sP))/xm_sP,0)+IF('XA MU'!$D$29&gt;(xm_y0P+(xm_nP-1)/2*xm_sP),2*('XA MU'!$D$29-(xm_y0P+(xm_nP-1)/2*xm_sP))/xm_sP,0)),0),0)+IF('XA MU'!$B$30&lt;=6,'XA MU'!$E$30*$C$8*(MAX(0,1-ABS('XA MU'!$C$30-$D92)/xm_sP)+MAX(0,1-ABS('XA MU'!$D$30-$D92)/xm_sP)),0)+IF(ABS($D92-(xm_y0P+(xm_nP-1)/2*xm_sP))&lt;0.000001,IF('XA MU'!$B$30&lt;=6,'XA MU'!$E$30*$C$8*(IF('XA MU'!$C$30&gt;(xm_y0P+(xm_nP-1)/2*xm_sP),2*('XA MU'!$C$30-(xm_y0P+(xm_nP-1)/2*xm_sP))/xm_sP,0)+IF('XA MU'!$D$30&gt;(xm_y0P+(xm_nP-1)/2*xm_sP),2*('XA MU'!$D$30-(xm_y0P+(xm_nP-1)/2*xm_sP))/xm_sP,0)),0),0))))</f>
        <v>0</v>
      </c>
    </row>
    <row r="93" spans="1:14" x14ac:dyDescent="0.3">
      <c r="A93" s="42" t="s">
        <v>1236</v>
      </c>
      <c r="B93" s="42">
        <v>39</v>
      </c>
      <c r="C93" s="40">
        <f t="shared" si="4"/>
        <v>0</v>
      </c>
      <c r="D93" s="44">
        <f t="shared" si="5"/>
        <v>0</v>
      </c>
      <c r="E93" s="44">
        <f>MAX(0,D93-'XA MU'!$C$8)*C93</f>
        <v>0</v>
      </c>
      <c r="F93" s="44">
        <f>IF(AND(C93=1,D93&gt;'XA MU'!$C$8),1,0)</f>
        <v>0</v>
      </c>
      <c r="G93" s="44">
        <f t="shared" si="6"/>
        <v>0</v>
      </c>
      <c r="H93" s="44">
        <f t="shared" si="7"/>
        <v>0</v>
      </c>
      <c r="I93" s="44">
        <f>IF(C93=0,0,IF(1&gt;nLan,0,1.2*(IF('XA MU'!$B$25&lt;=1,'XA MU'!$E$25*$C$8*(MAX(0,1-ABS('XA MU'!$C$25-$D93)/xm_sP)+MAX(0,1-ABS('XA MU'!$D$25-$D93)/xm_sP)),0)+IF(ABS($D93-(xm_y0P+(xm_nP-1)/2*xm_sP))&lt;0.000001,IF('XA MU'!$B$25&lt;=1,'XA MU'!$E$25*$C$8*(IF('XA MU'!$C$25&gt;(xm_y0P+(xm_nP-1)/2*xm_sP),2*('XA MU'!$C$25-(xm_y0P+(xm_nP-1)/2*xm_sP))/xm_sP,0)+IF('XA MU'!$D$25&gt;(xm_y0P+(xm_nP-1)/2*xm_sP),2*('XA MU'!$D$25-(xm_y0P+(xm_nP-1)/2*xm_sP))/xm_sP,0)),0),0)+IF('XA MU'!$B$26&lt;=1,'XA MU'!$E$26*$C$8*(MAX(0,1-ABS('XA MU'!$C$26-$D93)/xm_sP)+MAX(0,1-ABS('XA MU'!$D$26-$D93)/xm_sP)),0)+IF(ABS($D93-(xm_y0P+(xm_nP-1)/2*xm_sP))&lt;0.000001,IF('XA MU'!$B$26&lt;=1,'XA MU'!$E$26*$C$8*(IF('XA MU'!$C$26&gt;(xm_y0P+(xm_nP-1)/2*xm_sP),2*('XA MU'!$C$26-(xm_y0P+(xm_nP-1)/2*xm_sP))/xm_sP,0)+IF('XA MU'!$D$26&gt;(xm_y0P+(xm_nP-1)/2*xm_sP),2*('XA MU'!$D$26-(xm_y0P+(xm_nP-1)/2*xm_sP))/xm_sP,0)),0),0)+IF('XA MU'!$B$27&lt;=1,'XA MU'!$E$27*$C$8*(MAX(0,1-ABS('XA MU'!$C$27-$D93)/xm_sP)+MAX(0,1-ABS('XA MU'!$D$27-$D93)/xm_sP)),0)+IF(ABS($D93-(xm_y0P+(xm_nP-1)/2*xm_sP))&lt;0.000001,IF('XA MU'!$B$27&lt;=1,'XA MU'!$E$27*$C$8*(IF('XA MU'!$C$27&gt;(xm_y0P+(xm_nP-1)/2*xm_sP),2*('XA MU'!$C$27-(xm_y0P+(xm_nP-1)/2*xm_sP))/xm_sP,0)+IF('XA MU'!$D$27&gt;(xm_y0P+(xm_nP-1)/2*xm_sP),2*('XA MU'!$D$27-(xm_y0P+(xm_nP-1)/2*xm_sP))/xm_sP,0)),0),0)+IF('XA MU'!$B$28&lt;=1,'XA MU'!$E$28*$C$8*(MAX(0,1-ABS('XA MU'!$C$28-$D93)/xm_sP)+MAX(0,1-ABS('XA MU'!$D$28-$D93)/xm_sP)),0)+IF(ABS($D93-(xm_y0P+(xm_nP-1)/2*xm_sP))&lt;0.000001,IF('XA MU'!$B$28&lt;=1,'XA MU'!$E$28*$C$8*(IF('XA MU'!$C$28&gt;(xm_y0P+(xm_nP-1)/2*xm_sP),2*('XA MU'!$C$28-(xm_y0P+(xm_nP-1)/2*xm_sP))/xm_sP,0)+IF('XA MU'!$D$28&gt;(xm_y0P+(xm_nP-1)/2*xm_sP),2*('XA MU'!$D$28-(xm_y0P+(xm_nP-1)/2*xm_sP))/xm_sP,0)),0),0)+IF('XA MU'!$B$29&lt;=1,'XA MU'!$E$29*$C$8*(MAX(0,1-ABS('XA MU'!$C$29-$D93)/xm_sP)+MAX(0,1-ABS('XA MU'!$D$29-$D93)/xm_sP)),0)+IF(ABS($D93-(xm_y0P+(xm_nP-1)/2*xm_sP))&lt;0.000001,IF('XA MU'!$B$29&lt;=1,'XA MU'!$E$29*$C$8*(IF('XA MU'!$C$29&gt;(xm_y0P+(xm_nP-1)/2*xm_sP),2*('XA MU'!$C$29-(xm_y0P+(xm_nP-1)/2*xm_sP))/xm_sP,0)+IF('XA MU'!$D$29&gt;(xm_y0P+(xm_nP-1)/2*xm_sP),2*('XA MU'!$D$29-(xm_y0P+(xm_nP-1)/2*xm_sP))/xm_sP,0)),0),0)+IF('XA MU'!$B$30&lt;=1,'XA MU'!$E$30*$C$8*(MAX(0,1-ABS('XA MU'!$C$30-$D93)/xm_sP)+MAX(0,1-ABS('XA MU'!$D$30-$D93)/xm_sP)),0)+IF(ABS($D93-(xm_y0P+(xm_nP-1)/2*xm_sP))&lt;0.000001,IF('XA MU'!$B$30&lt;=1,'XA MU'!$E$30*$C$8*(IF('XA MU'!$C$30&gt;(xm_y0P+(xm_nP-1)/2*xm_sP),2*('XA MU'!$C$30-(xm_y0P+(xm_nP-1)/2*xm_sP))/xm_sP,0)+IF('XA MU'!$D$30&gt;(xm_y0P+(xm_nP-1)/2*xm_sP),2*('XA MU'!$D$30-(xm_y0P+(xm_nP-1)/2*xm_sP))/xm_sP,0)),0),0))))</f>
        <v>0</v>
      </c>
      <c r="J93" s="44">
        <f>IF(C93=0,0,IF(2&gt;nLan,0,1*(IF('XA MU'!$B$25&lt;=2,'XA MU'!$E$25*$C$8*(MAX(0,1-ABS('XA MU'!$C$25-$D93)/xm_sP)+MAX(0,1-ABS('XA MU'!$D$25-$D93)/xm_sP)),0)+IF(ABS($D93-(xm_y0P+(xm_nP-1)/2*xm_sP))&lt;0.000001,IF('XA MU'!$B$25&lt;=2,'XA MU'!$E$25*$C$8*(IF('XA MU'!$C$25&gt;(xm_y0P+(xm_nP-1)/2*xm_sP),2*('XA MU'!$C$25-(xm_y0P+(xm_nP-1)/2*xm_sP))/xm_sP,0)+IF('XA MU'!$D$25&gt;(xm_y0P+(xm_nP-1)/2*xm_sP),2*('XA MU'!$D$25-(xm_y0P+(xm_nP-1)/2*xm_sP))/xm_sP,0)),0),0)+IF('XA MU'!$B$26&lt;=2,'XA MU'!$E$26*$C$8*(MAX(0,1-ABS('XA MU'!$C$26-$D93)/xm_sP)+MAX(0,1-ABS('XA MU'!$D$26-$D93)/xm_sP)),0)+IF(ABS($D93-(xm_y0P+(xm_nP-1)/2*xm_sP))&lt;0.000001,IF('XA MU'!$B$26&lt;=2,'XA MU'!$E$26*$C$8*(IF('XA MU'!$C$26&gt;(xm_y0P+(xm_nP-1)/2*xm_sP),2*('XA MU'!$C$26-(xm_y0P+(xm_nP-1)/2*xm_sP))/xm_sP,0)+IF('XA MU'!$D$26&gt;(xm_y0P+(xm_nP-1)/2*xm_sP),2*('XA MU'!$D$26-(xm_y0P+(xm_nP-1)/2*xm_sP))/xm_sP,0)),0),0)+IF('XA MU'!$B$27&lt;=2,'XA MU'!$E$27*$C$8*(MAX(0,1-ABS('XA MU'!$C$27-$D93)/xm_sP)+MAX(0,1-ABS('XA MU'!$D$27-$D93)/xm_sP)),0)+IF(ABS($D93-(xm_y0P+(xm_nP-1)/2*xm_sP))&lt;0.000001,IF('XA MU'!$B$27&lt;=2,'XA MU'!$E$27*$C$8*(IF('XA MU'!$C$27&gt;(xm_y0P+(xm_nP-1)/2*xm_sP),2*('XA MU'!$C$27-(xm_y0P+(xm_nP-1)/2*xm_sP))/xm_sP,0)+IF('XA MU'!$D$27&gt;(xm_y0P+(xm_nP-1)/2*xm_sP),2*('XA MU'!$D$27-(xm_y0P+(xm_nP-1)/2*xm_sP))/xm_sP,0)),0),0)+IF('XA MU'!$B$28&lt;=2,'XA MU'!$E$28*$C$8*(MAX(0,1-ABS('XA MU'!$C$28-$D93)/xm_sP)+MAX(0,1-ABS('XA MU'!$D$28-$D93)/xm_sP)),0)+IF(ABS($D93-(xm_y0P+(xm_nP-1)/2*xm_sP))&lt;0.000001,IF('XA MU'!$B$28&lt;=2,'XA MU'!$E$28*$C$8*(IF('XA MU'!$C$28&gt;(xm_y0P+(xm_nP-1)/2*xm_sP),2*('XA MU'!$C$28-(xm_y0P+(xm_nP-1)/2*xm_sP))/xm_sP,0)+IF('XA MU'!$D$28&gt;(xm_y0P+(xm_nP-1)/2*xm_sP),2*('XA MU'!$D$28-(xm_y0P+(xm_nP-1)/2*xm_sP))/xm_sP,0)),0),0)+IF('XA MU'!$B$29&lt;=2,'XA MU'!$E$29*$C$8*(MAX(0,1-ABS('XA MU'!$C$29-$D93)/xm_sP)+MAX(0,1-ABS('XA MU'!$D$29-$D93)/xm_sP)),0)+IF(ABS($D93-(xm_y0P+(xm_nP-1)/2*xm_sP))&lt;0.000001,IF('XA MU'!$B$29&lt;=2,'XA MU'!$E$29*$C$8*(IF('XA MU'!$C$29&gt;(xm_y0P+(xm_nP-1)/2*xm_sP),2*('XA MU'!$C$29-(xm_y0P+(xm_nP-1)/2*xm_sP))/xm_sP,0)+IF('XA MU'!$D$29&gt;(xm_y0P+(xm_nP-1)/2*xm_sP),2*('XA MU'!$D$29-(xm_y0P+(xm_nP-1)/2*xm_sP))/xm_sP,0)),0),0)+IF('XA MU'!$B$30&lt;=2,'XA MU'!$E$30*$C$8*(MAX(0,1-ABS('XA MU'!$C$30-$D93)/xm_sP)+MAX(0,1-ABS('XA MU'!$D$30-$D93)/xm_sP)),0)+IF(ABS($D93-(xm_y0P+(xm_nP-1)/2*xm_sP))&lt;0.000001,IF('XA MU'!$B$30&lt;=2,'XA MU'!$E$30*$C$8*(IF('XA MU'!$C$30&gt;(xm_y0P+(xm_nP-1)/2*xm_sP),2*('XA MU'!$C$30-(xm_y0P+(xm_nP-1)/2*xm_sP))/xm_sP,0)+IF('XA MU'!$D$30&gt;(xm_y0P+(xm_nP-1)/2*xm_sP),2*('XA MU'!$D$30-(xm_y0P+(xm_nP-1)/2*xm_sP))/xm_sP,0)),0),0))))</f>
        <v>0</v>
      </c>
      <c r="K93" s="44">
        <f>IF(C93=0,0,IF(3&gt;nLan,0,0.85*(IF('XA MU'!$B$25&lt;=3,'XA MU'!$E$25*$C$8*(MAX(0,1-ABS('XA MU'!$C$25-$D93)/xm_sP)+MAX(0,1-ABS('XA MU'!$D$25-$D93)/xm_sP)),0)+IF(ABS($D93-(xm_y0P+(xm_nP-1)/2*xm_sP))&lt;0.000001,IF('XA MU'!$B$25&lt;=3,'XA MU'!$E$25*$C$8*(IF('XA MU'!$C$25&gt;(xm_y0P+(xm_nP-1)/2*xm_sP),2*('XA MU'!$C$25-(xm_y0P+(xm_nP-1)/2*xm_sP))/xm_sP,0)+IF('XA MU'!$D$25&gt;(xm_y0P+(xm_nP-1)/2*xm_sP),2*('XA MU'!$D$25-(xm_y0P+(xm_nP-1)/2*xm_sP))/xm_sP,0)),0),0)+IF('XA MU'!$B$26&lt;=3,'XA MU'!$E$26*$C$8*(MAX(0,1-ABS('XA MU'!$C$26-$D93)/xm_sP)+MAX(0,1-ABS('XA MU'!$D$26-$D93)/xm_sP)),0)+IF(ABS($D93-(xm_y0P+(xm_nP-1)/2*xm_sP))&lt;0.000001,IF('XA MU'!$B$26&lt;=3,'XA MU'!$E$26*$C$8*(IF('XA MU'!$C$26&gt;(xm_y0P+(xm_nP-1)/2*xm_sP),2*('XA MU'!$C$26-(xm_y0P+(xm_nP-1)/2*xm_sP))/xm_sP,0)+IF('XA MU'!$D$26&gt;(xm_y0P+(xm_nP-1)/2*xm_sP),2*('XA MU'!$D$26-(xm_y0P+(xm_nP-1)/2*xm_sP))/xm_sP,0)),0),0)+IF('XA MU'!$B$27&lt;=3,'XA MU'!$E$27*$C$8*(MAX(0,1-ABS('XA MU'!$C$27-$D93)/xm_sP)+MAX(0,1-ABS('XA MU'!$D$27-$D93)/xm_sP)),0)+IF(ABS($D93-(xm_y0P+(xm_nP-1)/2*xm_sP))&lt;0.000001,IF('XA MU'!$B$27&lt;=3,'XA MU'!$E$27*$C$8*(IF('XA MU'!$C$27&gt;(xm_y0P+(xm_nP-1)/2*xm_sP),2*('XA MU'!$C$27-(xm_y0P+(xm_nP-1)/2*xm_sP))/xm_sP,0)+IF('XA MU'!$D$27&gt;(xm_y0P+(xm_nP-1)/2*xm_sP),2*('XA MU'!$D$27-(xm_y0P+(xm_nP-1)/2*xm_sP))/xm_sP,0)),0),0)+IF('XA MU'!$B$28&lt;=3,'XA MU'!$E$28*$C$8*(MAX(0,1-ABS('XA MU'!$C$28-$D93)/xm_sP)+MAX(0,1-ABS('XA MU'!$D$28-$D93)/xm_sP)),0)+IF(ABS($D93-(xm_y0P+(xm_nP-1)/2*xm_sP))&lt;0.000001,IF('XA MU'!$B$28&lt;=3,'XA MU'!$E$28*$C$8*(IF('XA MU'!$C$28&gt;(xm_y0P+(xm_nP-1)/2*xm_sP),2*('XA MU'!$C$28-(xm_y0P+(xm_nP-1)/2*xm_sP))/xm_sP,0)+IF('XA MU'!$D$28&gt;(xm_y0P+(xm_nP-1)/2*xm_sP),2*('XA MU'!$D$28-(xm_y0P+(xm_nP-1)/2*xm_sP))/xm_sP,0)),0),0)+IF('XA MU'!$B$29&lt;=3,'XA MU'!$E$29*$C$8*(MAX(0,1-ABS('XA MU'!$C$29-$D93)/xm_sP)+MAX(0,1-ABS('XA MU'!$D$29-$D93)/xm_sP)),0)+IF(ABS($D93-(xm_y0P+(xm_nP-1)/2*xm_sP))&lt;0.000001,IF('XA MU'!$B$29&lt;=3,'XA MU'!$E$29*$C$8*(IF('XA MU'!$C$29&gt;(xm_y0P+(xm_nP-1)/2*xm_sP),2*('XA MU'!$C$29-(xm_y0P+(xm_nP-1)/2*xm_sP))/xm_sP,0)+IF('XA MU'!$D$29&gt;(xm_y0P+(xm_nP-1)/2*xm_sP),2*('XA MU'!$D$29-(xm_y0P+(xm_nP-1)/2*xm_sP))/xm_sP,0)),0),0)+IF('XA MU'!$B$30&lt;=3,'XA MU'!$E$30*$C$8*(MAX(0,1-ABS('XA MU'!$C$30-$D93)/xm_sP)+MAX(0,1-ABS('XA MU'!$D$30-$D93)/xm_sP)),0)+IF(ABS($D93-(xm_y0P+(xm_nP-1)/2*xm_sP))&lt;0.000001,IF('XA MU'!$B$30&lt;=3,'XA MU'!$E$30*$C$8*(IF('XA MU'!$C$30&gt;(xm_y0P+(xm_nP-1)/2*xm_sP),2*('XA MU'!$C$30-(xm_y0P+(xm_nP-1)/2*xm_sP))/xm_sP,0)+IF('XA MU'!$D$30&gt;(xm_y0P+(xm_nP-1)/2*xm_sP),2*('XA MU'!$D$30-(xm_y0P+(xm_nP-1)/2*xm_sP))/xm_sP,0)),0),0))))</f>
        <v>0</v>
      </c>
      <c r="L93" s="44">
        <f>IF(C93=0,0,IF(4&gt;nLan,0,0.65*(IF('XA MU'!$B$25&lt;=4,'XA MU'!$E$25*$C$8*(MAX(0,1-ABS('XA MU'!$C$25-$D93)/xm_sP)+MAX(0,1-ABS('XA MU'!$D$25-$D93)/xm_sP)),0)+IF(ABS($D93-(xm_y0P+(xm_nP-1)/2*xm_sP))&lt;0.000001,IF('XA MU'!$B$25&lt;=4,'XA MU'!$E$25*$C$8*(IF('XA MU'!$C$25&gt;(xm_y0P+(xm_nP-1)/2*xm_sP),2*('XA MU'!$C$25-(xm_y0P+(xm_nP-1)/2*xm_sP))/xm_sP,0)+IF('XA MU'!$D$25&gt;(xm_y0P+(xm_nP-1)/2*xm_sP),2*('XA MU'!$D$25-(xm_y0P+(xm_nP-1)/2*xm_sP))/xm_sP,0)),0),0)+IF('XA MU'!$B$26&lt;=4,'XA MU'!$E$26*$C$8*(MAX(0,1-ABS('XA MU'!$C$26-$D93)/xm_sP)+MAX(0,1-ABS('XA MU'!$D$26-$D93)/xm_sP)),0)+IF(ABS($D93-(xm_y0P+(xm_nP-1)/2*xm_sP))&lt;0.000001,IF('XA MU'!$B$26&lt;=4,'XA MU'!$E$26*$C$8*(IF('XA MU'!$C$26&gt;(xm_y0P+(xm_nP-1)/2*xm_sP),2*('XA MU'!$C$26-(xm_y0P+(xm_nP-1)/2*xm_sP))/xm_sP,0)+IF('XA MU'!$D$26&gt;(xm_y0P+(xm_nP-1)/2*xm_sP),2*('XA MU'!$D$26-(xm_y0P+(xm_nP-1)/2*xm_sP))/xm_sP,0)),0),0)+IF('XA MU'!$B$27&lt;=4,'XA MU'!$E$27*$C$8*(MAX(0,1-ABS('XA MU'!$C$27-$D93)/xm_sP)+MAX(0,1-ABS('XA MU'!$D$27-$D93)/xm_sP)),0)+IF(ABS($D93-(xm_y0P+(xm_nP-1)/2*xm_sP))&lt;0.000001,IF('XA MU'!$B$27&lt;=4,'XA MU'!$E$27*$C$8*(IF('XA MU'!$C$27&gt;(xm_y0P+(xm_nP-1)/2*xm_sP),2*('XA MU'!$C$27-(xm_y0P+(xm_nP-1)/2*xm_sP))/xm_sP,0)+IF('XA MU'!$D$27&gt;(xm_y0P+(xm_nP-1)/2*xm_sP),2*('XA MU'!$D$27-(xm_y0P+(xm_nP-1)/2*xm_sP))/xm_sP,0)),0),0)+IF('XA MU'!$B$28&lt;=4,'XA MU'!$E$28*$C$8*(MAX(0,1-ABS('XA MU'!$C$28-$D93)/xm_sP)+MAX(0,1-ABS('XA MU'!$D$28-$D93)/xm_sP)),0)+IF(ABS($D93-(xm_y0P+(xm_nP-1)/2*xm_sP))&lt;0.000001,IF('XA MU'!$B$28&lt;=4,'XA MU'!$E$28*$C$8*(IF('XA MU'!$C$28&gt;(xm_y0P+(xm_nP-1)/2*xm_sP),2*('XA MU'!$C$28-(xm_y0P+(xm_nP-1)/2*xm_sP))/xm_sP,0)+IF('XA MU'!$D$28&gt;(xm_y0P+(xm_nP-1)/2*xm_sP),2*('XA MU'!$D$28-(xm_y0P+(xm_nP-1)/2*xm_sP))/xm_sP,0)),0),0)+IF('XA MU'!$B$29&lt;=4,'XA MU'!$E$29*$C$8*(MAX(0,1-ABS('XA MU'!$C$29-$D93)/xm_sP)+MAX(0,1-ABS('XA MU'!$D$29-$D93)/xm_sP)),0)+IF(ABS($D93-(xm_y0P+(xm_nP-1)/2*xm_sP))&lt;0.000001,IF('XA MU'!$B$29&lt;=4,'XA MU'!$E$29*$C$8*(IF('XA MU'!$C$29&gt;(xm_y0P+(xm_nP-1)/2*xm_sP),2*('XA MU'!$C$29-(xm_y0P+(xm_nP-1)/2*xm_sP))/xm_sP,0)+IF('XA MU'!$D$29&gt;(xm_y0P+(xm_nP-1)/2*xm_sP),2*('XA MU'!$D$29-(xm_y0P+(xm_nP-1)/2*xm_sP))/xm_sP,0)),0),0)+IF('XA MU'!$B$30&lt;=4,'XA MU'!$E$30*$C$8*(MAX(0,1-ABS('XA MU'!$C$30-$D93)/xm_sP)+MAX(0,1-ABS('XA MU'!$D$30-$D93)/xm_sP)),0)+IF(ABS($D93-(xm_y0P+(xm_nP-1)/2*xm_sP))&lt;0.000001,IF('XA MU'!$B$30&lt;=4,'XA MU'!$E$30*$C$8*(IF('XA MU'!$C$30&gt;(xm_y0P+(xm_nP-1)/2*xm_sP),2*('XA MU'!$C$30-(xm_y0P+(xm_nP-1)/2*xm_sP))/xm_sP,0)+IF('XA MU'!$D$30&gt;(xm_y0P+(xm_nP-1)/2*xm_sP),2*('XA MU'!$D$30-(xm_y0P+(xm_nP-1)/2*xm_sP))/xm_sP,0)),0),0))))</f>
        <v>0</v>
      </c>
      <c r="M93" s="44">
        <f>IF(C93=0,0,IF(5&gt;nLan,0,0.65*(IF('XA MU'!$B$25&lt;=5,'XA MU'!$E$25*$C$8*(MAX(0,1-ABS('XA MU'!$C$25-$D93)/xm_sP)+MAX(0,1-ABS('XA MU'!$D$25-$D93)/xm_sP)),0)+IF(ABS($D93-(xm_y0P+(xm_nP-1)/2*xm_sP))&lt;0.000001,IF('XA MU'!$B$25&lt;=5,'XA MU'!$E$25*$C$8*(IF('XA MU'!$C$25&gt;(xm_y0P+(xm_nP-1)/2*xm_sP),2*('XA MU'!$C$25-(xm_y0P+(xm_nP-1)/2*xm_sP))/xm_sP,0)+IF('XA MU'!$D$25&gt;(xm_y0P+(xm_nP-1)/2*xm_sP),2*('XA MU'!$D$25-(xm_y0P+(xm_nP-1)/2*xm_sP))/xm_sP,0)),0),0)+IF('XA MU'!$B$26&lt;=5,'XA MU'!$E$26*$C$8*(MAX(0,1-ABS('XA MU'!$C$26-$D93)/xm_sP)+MAX(0,1-ABS('XA MU'!$D$26-$D93)/xm_sP)),0)+IF(ABS($D93-(xm_y0P+(xm_nP-1)/2*xm_sP))&lt;0.000001,IF('XA MU'!$B$26&lt;=5,'XA MU'!$E$26*$C$8*(IF('XA MU'!$C$26&gt;(xm_y0P+(xm_nP-1)/2*xm_sP),2*('XA MU'!$C$26-(xm_y0P+(xm_nP-1)/2*xm_sP))/xm_sP,0)+IF('XA MU'!$D$26&gt;(xm_y0P+(xm_nP-1)/2*xm_sP),2*('XA MU'!$D$26-(xm_y0P+(xm_nP-1)/2*xm_sP))/xm_sP,0)),0),0)+IF('XA MU'!$B$27&lt;=5,'XA MU'!$E$27*$C$8*(MAX(0,1-ABS('XA MU'!$C$27-$D93)/xm_sP)+MAX(0,1-ABS('XA MU'!$D$27-$D93)/xm_sP)),0)+IF(ABS($D93-(xm_y0P+(xm_nP-1)/2*xm_sP))&lt;0.000001,IF('XA MU'!$B$27&lt;=5,'XA MU'!$E$27*$C$8*(IF('XA MU'!$C$27&gt;(xm_y0P+(xm_nP-1)/2*xm_sP),2*('XA MU'!$C$27-(xm_y0P+(xm_nP-1)/2*xm_sP))/xm_sP,0)+IF('XA MU'!$D$27&gt;(xm_y0P+(xm_nP-1)/2*xm_sP),2*('XA MU'!$D$27-(xm_y0P+(xm_nP-1)/2*xm_sP))/xm_sP,0)),0),0)+IF('XA MU'!$B$28&lt;=5,'XA MU'!$E$28*$C$8*(MAX(0,1-ABS('XA MU'!$C$28-$D93)/xm_sP)+MAX(0,1-ABS('XA MU'!$D$28-$D93)/xm_sP)),0)+IF(ABS($D93-(xm_y0P+(xm_nP-1)/2*xm_sP))&lt;0.000001,IF('XA MU'!$B$28&lt;=5,'XA MU'!$E$28*$C$8*(IF('XA MU'!$C$28&gt;(xm_y0P+(xm_nP-1)/2*xm_sP),2*('XA MU'!$C$28-(xm_y0P+(xm_nP-1)/2*xm_sP))/xm_sP,0)+IF('XA MU'!$D$28&gt;(xm_y0P+(xm_nP-1)/2*xm_sP),2*('XA MU'!$D$28-(xm_y0P+(xm_nP-1)/2*xm_sP))/xm_sP,0)),0),0)+IF('XA MU'!$B$29&lt;=5,'XA MU'!$E$29*$C$8*(MAX(0,1-ABS('XA MU'!$C$29-$D93)/xm_sP)+MAX(0,1-ABS('XA MU'!$D$29-$D93)/xm_sP)),0)+IF(ABS($D93-(xm_y0P+(xm_nP-1)/2*xm_sP))&lt;0.000001,IF('XA MU'!$B$29&lt;=5,'XA MU'!$E$29*$C$8*(IF('XA MU'!$C$29&gt;(xm_y0P+(xm_nP-1)/2*xm_sP),2*('XA MU'!$C$29-(xm_y0P+(xm_nP-1)/2*xm_sP))/xm_sP,0)+IF('XA MU'!$D$29&gt;(xm_y0P+(xm_nP-1)/2*xm_sP),2*('XA MU'!$D$29-(xm_y0P+(xm_nP-1)/2*xm_sP))/xm_sP,0)),0),0)+IF('XA MU'!$B$30&lt;=5,'XA MU'!$E$30*$C$8*(MAX(0,1-ABS('XA MU'!$C$30-$D93)/xm_sP)+MAX(0,1-ABS('XA MU'!$D$30-$D93)/xm_sP)),0)+IF(ABS($D93-(xm_y0P+(xm_nP-1)/2*xm_sP))&lt;0.000001,IF('XA MU'!$B$30&lt;=5,'XA MU'!$E$30*$C$8*(IF('XA MU'!$C$30&gt;(xm_y0P+(xm_nP-1)/2*xm_sP),2*('XA MU'!$C$30-(xm_y0P+(xm_nP-1)/2*xm_sP))/xm_sP,0)+IF('XA MU'!$D$30&gt;(xm_y0P+(xm_nP-1)/2*xm_sP),2*('XA MU'!$D$30-(xm_y0P+(xm_nP-1)/2*xm_sP))/xm_sP,0)),0),0))))</f>
        <v>0</v>
      </c>
      <c r="N93" s="44">
        <f>IF(C93=0,0,IF(6&gt;nLan,0,0.65*(IF('XA MU'!$B$25&lt;=6,'XA MU'!$E$25*$C$8*(MAX(0,1-ABS('XA MU'!$C$25-$D93)/xm_sP)+MAX(0,1-ABS('XA MU'!$D$25-$D93)/xm_sP)),0)+IF(ABS($D93-(xm_y0P+(xm_nP-1)/2*xm_sP))&lt;0.000001,IF('XA MU'!$B$25&lt;=6,'XA MU'!$E$25*$C$8*(IF('XA MU'!$C$25&gt;(xm_y0P+(xm_nP-1)/2*xm_sP),2*('XA MU'!$C$25-(xm_y0P+(xm_nP-1)/2*xm_sP))/xm_sP,0)+IF('XA MU'!$D$25&gt;(xm_y0P+(xm_nP-1)/2*xm_sP),2*('XA MU'!$D$25-(xm_y0P+(xm_nP-1)/2*xm_sP))/xm_sP,0)),0),0)+IF('XA MU'!$B$26&lt;=6,'XA MU'!$E$26*$C$8*(MAX(0,1-ABS('XA MU'!$C$26-$D93)/xm_sP)+MAX(0,1-ABS('XA MU'!$D$26-$D93)/xm_sP)),0)+IF(ABS($D93-(xm_y0P+(xm_nP-1)/2*xm_sP))&lt;0.000001,IF('XA MU'!$B$26&lt;=6,'XA MU'!$E$26*$C$8*(IF('XA MU'!$C$26&gt;(xm_y0P+(xm_nP-1)/2*xm_sP),2*('XA MU'!$C$26-(xm_y0P+(xm_nP-1)/2*xm_sP))/xm_sP,0)+IF('XA MU'!$D$26&gt;(xm_y0P+(xm_nP-1)/2*xm_sP),2*('XA MU'!$D$26-(xm_y0P+(xm_nP-1)/2*xm_sP))/xm_sP,0)),0),0)+IF('XA MU'!$B$27&lt;=6,'XA MU'!$E$27*$C$8*(MAX(0,1-ABS('XA MU'!$C$27-$D93)/xm_sP)+MAX(0,1-ABS('XA MU'!$D$27-$D93)/xm_sP)),0)+IF(ABS($D93-(xm_y0P+(xm_nP-1)/2*xm_sP))&lt;0.000001,IF('XA MU'!$B$27&lt;=6,'XA MU'!$E$27*$C$8*(IF('XA MU'!$C$27&gt;(xm_y0P+(xm_nP-1)/2*xm_sP),2*('XA MU'!$C$27-(xm_y0P+(xm_nP-1)/2*xm_sP))/xm_sP,0)+IF('XA MU'!$D$27&gt;(xm_y0P+(xm_nP-1)/2*xm_sP),2*('XA MU'!$D$27-(xm_y0P+(xm_nP-1)/2*xm_sP))/xm_sP,0)),0),0)+IF('XA MU'!$B$28&lt;=6,'XA MU'!$E$28*$C$8*(MAX(0,1-ABS('XA MU'!$C$28-$D93)/xm_sP)+MAX(0,1-ABS('XA MU'!$D$28-$D93)/xm_sP)),0)+IF(ABS($D93-(xm_y0P+(xm_nP-1)/2*xm_sP))&lt;0.000001,IF('XA MU'!$B$28&lt;=6,'XA MU'!$E$28*$C$8*(IF('XA MU'!$C$28&gt;(xm_y0P+(xm_nP-1)/2*xm_sP),2*('XA MU'!$C$28-(xm_y0P+(xm_nP-1)/2*xm_sP))/xm_sP,0)+IF('XA MU'!$D$28&gt;(xm_y0P+(xm_nP-1)/2*xm_sP),2*('XA MU'!$D$28-(xm_y0P+(xm_nP-1)/2*xm_sP))/xm_sP,0)),0),0)+IF('XA MU'!$B$29&lt;=6,'XA MU'!$E$29*$C$8*(MAX(0,1-ABS('XA MU'!$C$29-$D93)/xm_sP)+MAX(0,1-ABS('XA MU'!$D$29-$D93)/xm_sP)),0)+IF(ABS($D93-(xm_y0P+(xm_nP-1)/2*xm_sP))&lt;0.000001,IF('XA MU'!$B$29&lt;=6,'XA MU'!$E$29*$C$8*(IF('XA MU'!$C$29&gt;(xm_y0P+(xm_nP-1)/2*xm_sP),2*('XA MU'!$C$29-(xm_y0P+(xm_nP-1)/2*xm_sP))/xm_sP,0)+IF('XA MU'!$D$29&gt;(xm_y0P+(xm_nP-1)/2*xm_sP),2*('XA MU'!$D$29-(xm_y0P+(xm_nP-1)/2*xm_sP))/xm_sP,0)),0),0)+IF('XA MU'!$B$30&lt;=6,'XA MU'!$E$30*$C$8*(MAX(0,1-ABS('XA MU'!$C$30-$D93)/xm_sP)+MAX(0,1-ABS('XA MU'!$D$30-$D93)/xm_sP)),0)+IF(ABS($D93-(xm_y0P+(xm_nP-1)/2*xm_sP))&lt;0.000001,IF('XA MU'!$B$30&lt;=6,'XA MU'!$E$30*$C$8*(IF('XA MU'!$C$30&gt;(xm_y0P+(xm_nP-1)/2*xm_sP),2*('XA MU'!$C$30-(xm_y0P+(xm_nP-1)/2*xm_sP))/xm_sP,0)+IF('XA MU'!$D$30&gt;(xm_y0P+(xm_nP-1)/2*xm_sP),2*('XA MU'!$D$30-(xm_y0P+(xm_nP-1)/2*xm_sP))/xm_sP,0)),0),0))))</f>
        <v>0</v>
      </c>
    </row>
    <row r="94" spans="1:14" x14ac:dyDescent="0.3">
      <c r="A94" s="42" t="s">
        <v>1236</v>
      </c>
      <c r="B94" s="42">
        <v>40</v>
      </c>
      <c r="C94" s="40">
        <f t="shared" si="4"/>
        <v>0</v>
      </c>
      <c r="D94" s="44">
        <f t="shared" si="5"/>
        <v>0</v>
      </c>
      <c r="E94" s="44">
        <f>MAX(0,D94-'XA MU'!$C$8)*C94</f>
        <v>0</v>
      </c>
      <c r="F94" s="44">
        <f>IF(AND(C94=1,D94&gt;'XA MU'!$C$8),1,0)</f>
        <v>0</v>
      </c>
      <c r="G94" s="44">
        <f t="shared" si="6"/>
        <v>0</v>
      </c>
      <c r="H94" s="44">
        <f t="shared" si="7"/>
        <v>0</v>
      </c>
      <c r="I94" s="44">
        <f>IF(C94=0,0,IF(1&gt;nLan,0,1.2*(IF('XA MU'!$B$25&lt;=1,'XA MU'!$E$25*$C$8*(MAX(0,1-ABS('XA MU'!$C$25-$D94)/xm_sP)+MAX(0,1-ABS('XA MU'!$D$25-$D94)/xm_sP)),0)+IF(ABS($D94-(xm_y0P+(xm_nP-1)/2*xm_sP))&lt;0.000001,IF('XA MU'!$B$25&lt;=1,'XA MU'!$E$25*$C$8*(IF('XA MU'!$C$25&gt;(xm_y0P+(xm_nP-1)/2*xm_sP),2*('XA MU'!$C$25-(xm_y0P+(xm_nP-1)/2*xm_sP))/xm_sP,0)+IF('XA MU'!$D$25&gt;(xm_y0P+(xm_nP-1)/2*xm_sP),2*('XA MU'!$D$25-(xm_y0P+(xm_nP-1)/2*xm_sP))/xm_sP,0)),0),0)+IF('XA MU'!$B$26&lt;=1,'XA MU'!$E$26*$C$8*(MAX(0,1-ABS('XA MU'!$C$26-$D94)/xm_sP)+MAX(0,1-ABS('XA MU'!$D$26-$D94)/xm_sP)),0)+IF(ABS($D94-(xm_y0P+(xm_nP-1)/2*xm_sP))&lt;0.000001,IF('XA MU'!$B$26&lt;=1,'XA MU'!$E$26*$C$8*(IF('XA MU'!$C$26&gt;(xm_y0P+(xm_nP-1)/2*xm_sP),2*('XA MU'!$C$26-(xm_y0P+(xm_nP-1)/2*xm_sP))/xm_sP,0)+IF('XA MU'!$D$26&gt;(xm_y0P+(xm_nP-1)/2*xm_sP),2*('XA MU'!$D$26-(xm_y0P+(xm_nP-1)/2*xm_sP))/xm_sP,0)),0),0)+IF('XA MU'!$B$27&lt;=1,'XA MU'!$E$27*$C$8*(MAX(0,1-ABS('XA MU'!$C$27-$D94)/xm_sP)+MAX(0,1-ABS('XA MU'!$D$27-$D94)/xm_sP)),0)+IF(ABS($D94-(xm_y0P+(xm_nP-1)/2*xm_sP))&lt;0.000001,IF('XA MU'!$B$27&lt;=1,'XA MU'!$E$27*$C$8*(IF('XA MU'!$C$27&gt;(xm_y0P+(xm_nP-1)/2*xm_sP),2*('XA MU'!$C$27-(xm_y0P+(xm_nP-1)/2*xm_sP))/xm_sP,0)+IF('XA MU'!$D$27&gt;(xm_y0P+(xm_nP-1)/2*xm_sP),2*('XA MU'!$D$27-(xm_y0P+(xm_nP-1)/2*xm_sP))/xm_sP,0)),0),0)+IF('XA MU'!$B$28&lt;=1,'XA MU'!$E$28*$C$8*(MAX(0,1-ABS('XA MU'!$C$28-$D94)/xm_sP)+MAX(0,1-ABS('XA MU'!$D$28-$D94)/xm_sP)),0)+IF(ABS($D94-(xm_y0P+(xm_nP-1)/2*xm_sP))&lt;0.000001,IF('XA MU'!$B$28&lt;=1,'XA MU'!$E$28*$C$8*(IF('XA MU'!$C$28&gt;(xm_y0P+(xm_nP-1)/2*xm_sP),2*('XA MU'!$C$28-(xm_y0P+(xm_nP-1)/2*xm_sP))/xm_sP,0)+IF('XA MU'!$D$28&gt;(xm_y0P+(xm_nP-1)/2*xm_sP),2*('XA MU'!$D$28-(xm_y0P+(xm_nP-1)/2*xm_sP))/xm_sP,0)),0),0)+IF('XA MU'!$B$29&lt;=1,'XA MU'!$E$29*$C$8*(MAX(0,1-ABS('XA MU'!$C$29-$D94)/xm_sP)+MAX(0,1-ABS('XA MU'!$D$29-$D94)/xm_sP)),0)+IF(ABS($D94-(xm_y0P+(xm_nP-1)/2*xm_sP))&lt;0.000001,IF('XA MU'!$B$29&lt;=1,'XA MU'!$E$29*$C$8*(IF('XA MU'!$C$29&gt;(xm_y0P+(xm_nP-1)/2*xm_sP),2*('XA MU'!$C$29-(xm_y0P+(xm_nP-1)/2*xm_sP))/xm_sP,0)+IF('XA MU'!$D$29&gt;(xm_y0P+(xm_nP-1)/2*xm_sP),2*('XA MU'!$D$29-(xm_y0P+(xm_nP-1)/2*xm_sP))/xm_sP,0)),0),0)+IF('XA MU'!$B$30&lt;=1,'XA MU'!$E$30*$C$8*(MAX(0,1-ABS('XA MU'!$C$30-$D94)/xm_sP)+MAX(0,1-ABS('XA MU'!$D$30-$D94)/xm_sP)),0)+IF(ABS($D94-(xm_y0P+(xm_nP-1)/2*xm_sP))&lt;0.000001,IF('XA MU'!$B$30&lt;=1,'XA MU'!$E$30*$C$8*(IF('XA MU'!$C$30&gt;(xm_y0P+(xm_nP-1)/2*xm_sP),2*('XA MU'!$C$30-(xm_y0P+(xm_nP-1)/2*xm_sP))/xm_sP,0)+IF('XA MU'!$D$30&gt;(xm_y0P+(xm_nP-1)/2*xm_sP),2*('XA MU'!$D$30-(xm_y0P+(xm_nP-1)/2*xm_sP))/xm_sP,0)),0),0))))</f>
        <v>0</v>
      </c>
      <c r="J94" s="44">
        <f>IF(C94=0,0,IF(2&gt;nLan,0,1*(IF('XA MU'!$B$25&lt;=2,'XA MU'!$E$25*$C$8*(MAX(0,1-ABS('XA MU'!$C$25-$D94)/xm_sP)+MAX(0,1-ABS('XA MU'!$D$25-$D94)/xm_sP)),0)+IF(ABS($D94-(xm_y0P+(xm_nP-1)/2*xm_sP))&lt;0.000001,IF('XA MU'!$B$25&lt;=2,'XA MU'!$E$25*$C$8*(IF('XA MU'!$C$25&gt;(xm_y0P+(xm_nP-1)/2*xm_sP),2*('XA MU'!$C$25-(xm_y0P+(xm_nP-1)/2*xm_sP))/xm_sP,0)+IF('XA MU'!$D$25&gt;(xm_y0P+(xm_nP-1)/2*xm_sP),2*('XA MU'!$D$25-(xm_y0P+(xm_nP-1)/2*xm_sP))/xm_sP,0)),0),0)+IF('XA MU'!$B$26&lt;=2,'XA MU'!$E$26*$C$8*(MAX(0,1-ABS('XA MU'!$C$26-$D94)/xm_sP)+MAX(0,1-ABS('XA MU'!$D$26-$D94)/xm_sP)),0)+IF(ABS($D94-(xm_y0P+(xm_nP-1)/2*xm_sP))&lt;0.000001,IF('XA MU'!$B$26&lt;=2,'XA MU'!$E$26*$C$8*(IF('XA MU'!$C$26&gt;(xm_y0P+(xm_nP-1)/2*xm_sP),2*('XA MU'!$C$26-(xm_y0P+(xm_nP-1)/2*xm_sP))/xm_sP,0)+IF('XA MU'!$D$26&gt;(xm_y0P+(xm_nP-1)/2*xm_sP),2*('XA MU'!$D$26-(xm_y0P+(xm_nP-1)/2*xm_sP))/xm_sP,0)),0),0)+IF('XA MU'!$B$27&lt;=2,'XA MU'!$E$27*$C$8*(MAX(0,1-ABS('XA MU'!$C$27-$D94)/xm_sP)+MAX(0,1-ABS('XA MU'!$D$27-$D94)/xm_sP)),0)+IF(ABS($D94-(xm_y0P+(xm_nP-1)/2*xm_sP))&lt;0.000001,IF('XA MU'!$B$27&lt;=2,'XA MU'!$E$27*$C$8*(IF('XA MU'!$C$27&gt;(xm_y0P+(xm_nP-1)/2*xm_sP),2*('XA MU'!$C$27-(xm_y0P+(xm_nP-1)/2*xm_sP))/xm_sP,0)+IF('XA MU'!$D$27&gt;(xm_y0P+(xm_nP-1)/2*xm_sP),2*('XA MU'!$D$27-(xm_y0P+(xm_nP-1)/2*xm_sP))/xm_sP,0)),0),0)+IF('XA MU'!$B$28&lt;=2,'XA MU'!$E$28*$C$8*(MAX(0,1-ABS('XA MU'!$C$28-$D94)/xm_sP)+MAX(0,1-ABS('XA MU'!$D$28-$D94)/xm_sP)),0)+IF(ABS($D94-(xm_y0P+(xm_nP-1)/2*xm_sP))&lt;0.000001,IF('XA MU'!$B$28&lt;=2,'XA MU'!$E$28*$C$8*(IF('XA MU'!$C$28&gt;(xm_y0P+(xm_nP-1)/2*xm_sP),2*('XA MU'!$C$28-(xm_y0P+(xm_nP-1)/2*xm_sP))/xm_sP,0)+IF('XA MU'!$D$28&gt;(xm_y0P+(xm_nP-1)/2*xm_sP),2*('XA MU'!$D$28-(xm_y0P+(xm_nP-1)/2*xm_sP))/xm_sP,0)),0),0)+IF('XA MU'!$B$29&lt;=2,'XA MU'!$E$29*$C$8*(MAX(0,1-ABS('XA MU'!$C$29-$D94)/xm_sP)+MAX(0,1-ABS('XA MU'!$D$29-$D94)/xm_sP)),0)+IF(ABS($D94-(xm_y0P+(xm_nP-1)/2*xm_sP))&lt;0.000001,IF('XA MU'!$B$29&lt;=2,'XA MU'!$E$29*$C$8*(IF('XA MU'!$C$29&gt;(xm_y0P+(xm_nP-1)/2*xm_sP),2*('XA MU'!$C$29-(xm_y0P+(xm_nP-1)/2*xm_sP))/xm_sP,0)+IF('XA MU'!$D$29&gt;(xm_y0P+(xm_nP-1)/2*xm_sP),2*('XA MU'!$D$29-(xm_y0P+(xm_nP-1)/2*xm_sP))/xm_sP,0)),0),0)+IF('XA MU'!$B$30&lt;=2,'XA MU'!$E$30*$C$8*(MAX(0,1-ABS('XA MU'!$C$30-$D94)/xm_sP)+MAX(0,1-ABS('XA MU'!$D$30-$D94)/xm_sP)),0)+IF(ABS($D94-(xm_y0P+(xm_nP-1)/2*xm_sP))&lt;0.000001,IF('XA MU'!$B$30&lt;=2,'XA MU'!$E$30*$C$8*(IF('XA MU'!$C$30&gt;(xm_y0P+(xm_nP-1)/2*xm_sP),2*('XA MU'!$C$30-(xm_y0P+(xm_nP-1)/2*xm_sP))/xm_sP,0)+IF('XA MU'!$D$30&gt;(xm_y0P+(xm_nP-1)/2*xm_sP),2*('XA MU'!$D$30-(xm_y0P+(xm_nP-1)/2*xm_sP))/xm_sP,0)),0),0))))</f>
        <v>0</v>
      </c>
      <c r="K94" s="44">
        <f>IF(C94=0,0,IF(3&gt;nLan,0,0.85*(IF('XA MU'!$B$25&lt;=3,'XA MU'!$E$25*$C$8*(MAX(0,1-ABS('XA MU'!$C$25-$D94)/xm_sP)+MAX(0,1-ABS('XA MU'!$D$25-$D94)/xm_sP)),0)+IF(ABS($D94-(xm_y0P+(xm_nP-1)/2*xm_sP))&lt;0.000001,IF('XA MU'!$B$25&lt;=3,'XA MU'!$E$25*$C$8*(IF('XA MU'!$C$25&gt;(xm_y0P+(xm_nP-1)/2*xm_sP),2*('XA MU'!$C$25-(xm_y0P+(xm_nP-1)/2*xm_sP))/xm_sP,0)+IF('XA MU'!$D$25&gt;(xm_y0P+(xm_nP-1)/2*xm_sP),2*('XA MU'!$D$25-(xm_y0P+(xm_nP-1)/2*xm_sP))/xm_sP,0)),0),0)+IF('XA MU'!$B$26&lt;=3,'XA MU'!$E$26*$C$8*(MAX(0,1-ABS('XA MU'!$C$26-$D94)/xm_sP)+MAX(0,1-ABS('XA MU'!$D$26-$D94)/xm_sP)),0)+IF(ABS($D94-(xm_y0P+(xm_nP-1)/2*xm_sP))&lt;0.000001,IF('XA MU'!$B$26&lt;=3,'XA MU'!$E$26*$C$8*(IF('XA MU'!$C$26&gt;(xm_y0P+(xm_nP-1)/2*xm_sP),2*('XA MU'!$C$26-(xm_y0P+(xm_nP-1)/2*xm_sP))/xm_sP,0)+IF('XA MU'!$D$26&gt;(xm_y0P+(xm_nP-1)/2*xm_sP),2*('XA MU'!$D$26-(xm_y0P+(xm_nP-1)/2*xm_sP))/xm_sP,0)),0),0)+IF('XA MU'!$B$27&lt;=3,'XA MU'!$E$27*$C$8*(MAX(0,1-ABS('XA MU'!$C$27-$D94)/xm_sP)+MAX(0,1-ABS('XA MU'!$D$27-$D94)/xm_sP)),0)+IF(ABS($D94-(xm_y0P+(xm_nP-1)/2*xm_sP))&lt;0.000001,IF('XA MU'!$B$27&lt;=3,'XA MU'!$E$27*$C$8*(IF('XA MU'!$C$27&gt;(xm_y0P+(xm_nP-1)/2*xm_sP),2*('XA MU'!$C$27-(xm_y0P+(xm_nP-1)/2*xm_sP))/xm_sP,0)+IF('XA MU'!$D$27&gt;(xm_y0P+(xm_nP-1)/2*xm_sP),2*('XA MU'!$D$27-(xm_y0P+(xm_nP-1)/2*xm_sP))/xm_sP,0)),0),0)+IF('XA MU'!$B$28&lt;=3,'XA MU'!$E$28*$C$8*(MAX(0,1-ABS('XA MU'!$C$28-$D94)/xm_sP)+MAX(0,1-ABS('XA MU'!$D$28-$D94)/xm_sP)),0)+IF(ABS($D94-(xm_y0P+(xm_nP-1)/2*xm_sP))&lt;0.000001,IF('XA MU'!$B$28&lt;=3,'XA MU'!$E$28*$C$8*(IF('XA MU'!$C$28&gt;(xm_y0P+(xm_nP-1)/2*xm_sP),2*('XA MU'!$C$28-(xm_y0P+(xm_nP-1)/2*xm_sP))/xm_sP,0)+IF('XA MU'!$D$28&gt;(xm_y0P+(xm_nP-1)/2*xm_sP),2*('XA MU'!$D$28-(xm_y0P+(xm_nP-1)/2*xm_sP))/xm_sP,0)),0),0)+IF('XA MU'!$B$29&lt;=3,'XA MU'!$E$29*$C$8*(MAX(0,1-ABS('XA MU'!$C$29-$D94)/xm_sP)+MAX(0,1-ABS('XA MU'!$D$29-$D94)/xm_sP)),0)+IF(ABS($D94-(xm_y0P+(xm_nP-1)/2*xm_sP))&lt;0.000001,IF('XA MU'!$B$29&lt;=3,'XA MU'!$E$29*$C$8*(IF('XA MU'!$C$29&gt;(xm_y0P+(xm_nP-1)/2*xm_sP),2*('XA MU'!$C$29-(xm_y0P+(xm_nP-1)/2*xm_sP))/xm_sP,0)+IF('XA MU'!$D$29&gt;(xm_y0P+(xm_nP-1)/2*xm_sP),2*('XA MU'!$D$29-(xm_y0P+(xm_nP-1)/2*xm_sP))/xm_sP,0)),0),0)+IF('XA MU'!$B$30&lt;=3,'XA MU'!$E$30*$C$8*(MAX(0,1-ABS('XA MU'!$C$30-$D94)/xm_sP)+MAX(0,1-ABS('XA MU'!$D$30-$D94)/xm_sP)),0)+IF(ABS($D94-(xm_y0P+(xm_nP-1)/2*xm_sP))&lt;0.000001,IF('XA MU'!$B$30&lt;=3,'XA MU'!$E$30*$C$8*(IF('XA MU'!$C$30&gt;(xm_y0P+(xm_nP-1)/2*xm_sP),2*('XA MU'!$C$30-(xm_y0P+(xm_nP-1)/2*xm_sP))/xm_sP,0)+IF('XA MU'!$D$30&gt;(xm_y0P+(xm_nP-1)/2*xm_sP),2*('XA MU'!$D$30-(xm_y0P+(xm_nP-1)/2*xm_sP))/xm_sP,0)),0),0))))</f>
        <v>0</v>
      </c>
      <c r="L94" s="44">
        <f>IF(C94=0,0,IF(4&gt;nLan,0,0.65*(IF('XA MU'!$B$25&lt;=4,'XA MU'!$E$25*$C$8*(MAX(0,1-ABS('XA MU'!$C$25-$D94)/xm_sP)+MAX(0,1-ABS('XA MU'!$D$25-$D94)/xm_sP)),0)+IF(ABS($D94-(xm_y0P+(xm_nP-1)/2*xm_sP))&lt;0.000001,IF('XA MU'!$B$25&lt;=4,'XA MU'!$E$25*$C$8*(IF('XA MU'!$C$25&gt;(xm_y0P+(xm_nP-1)/2*xm_sP),2*('XA MU'!$C$25-(xm_y0P+(xm_nP-1)/2*xm_sP))/xm_sP,0)+IF('XA MU'!$D$25&gt;(xm_y0P+(xm_nP-1)/2*xm_sP),2*('XA MU'!$D$25-(xm_y0P+(xm_nP-1)/2*xm_sP))/xm_sP,0)),0),0)+IF('XA MU'!$B$26&lt;=4,'XA MU'!$E$26*$C$8*(MAX(0,1-ABS('XA MU'!$C$26-$D94)/xm_sP)+MAX(0,1-ABS('XA MU'!$D$26-$D94)/xm_sP)),0)+IF(ABS($D94-(xm_y0P+(xm_nP-1)/2*xm_sP))&lt;0.000001,IF('XA MU'!$B$26&lt;=4,'XA MU'!$E$26*$C$8*(IF('XA MU'!$C$26&gt;(xm_y0P+(xm_nP-1)/2*xm_sP),2*('XA MU'!$C$26-(xm_y0P+(xm_nP-1)/2*xm_sP))/xm_sP,0)+IF('XA MU'!$D$26&gt;(xm_y0P+(xm_nP-1)/2*xm_sP),2*('XA MU'!$D$26-(xm_y0P+(xm_nP-1)/2*xm_sP))/xm_sP,0)),0),0)+IF('XA MU'!$B$27&lt;=4,'XA MU'!$E$27*$C$8*(MAX(0,1-ABS('XA MU'!$C$27-$D94)/xm_sP)+MAX(0,1-ABS('XA MU'!$D$27-$D94)/xm_sP)),0)+IF(ABS($D94-(xm_y0P+(xm_nP-1)/2*xm_sP))&lt;0.000001,IF('XA MU'!$B$27&lt;=4,'XA MU'!$E$27*$C$8*(IF('XA MU'!$C$27&gt;(xm_y0P+(xm_nP-1)/2*xm_sP),2*('XA MU'!$C$27-(xm_y0P+(xm_nP-1)/2*xm_sP))/xm_sP,0)+IF('XA MU'!$D$27&gt;(xm_y0P+(xm_nP-1)/2*xm_sP),2*('XA MU'!$D$27-(xm_y0P+(xm_nP-1)/2*xm_sP))/xm_sP,0)),0),0)+IF('XA MU'!$B$28&lt;=4,'XA MU'!$E$28*$C$8*(MAX(0,1-ABS('XA MU'!$C$28-$D94)/xm_sP)+MAX(0,1-ABS('XA MU'!$D$28-$D94)/xm_sP)),0)+IF(ABS($D94-(xm_y0P+(xm_nP-1)/2*xm_sP))&lt;0.000001,IF('XA MU'!$B$28&lt;=4,'XA MU'!$E$28*$C$8*(IF('XA MU'!$C$28&gt;(xm_y0P+(xm_nP-1)/2*xm_sP),2*('XA MU'!$C$28-(xm_y0P+(xm_nP-1)/2*xm_sP))/xm_sP,0)+IF('XA MU'!$D$28&gt;(xm_y0P+(xm_nP-1)/2*xm_sP),2*('XA MU'!$D$28-(xm_y0P+(xm_nP-1)/2*xm_sP))/xm_sP,0)),0),0)+IF('XA MU'!$B$29&lt;=4,'XA MU'!$E$29*$C$8*(MAX(0,1-ABS('XA MU'!$C$29-$D94)/xm_sP)+MAX(0,1-ABS('XA MU'!$D$29-$D94)/xm_sP)),0)+IF(ABS($D94-(xm_y0P+(xm_nP-1)/2*xm_sP))&lt;0.000001,IF('XA MU'!$B$29&lt;=4,'XA MU'!$E$29*$C$8*(IF('XA MU'!$C$29&gt;(xm_y0P+(xm_nP-1)/2*xm_sP),2*('XA MU'!$C$29-(xm_y0P+(xm_nP-1)/2*xm_sP))/xm_sP,0)+IF('XA MU'!$D$29&gt;(xm_y0P+(xm_nP-1)/2*xm_sP),2*('XA MU'!$D$29-(xm_y0P+(xm_nP-1)/2*xm_sP))/xm_sP,0)),0),0)+IF('XA MU'!$B$30&lt;=4,'XA MU'!$E$30*$C$8*(MAX(0,1-ABS('XA MU'!$C$30-$D94)/xm_sP)+MAX(0,1-ABS('XA MU'!$D$30-$D94)/xm_sP)),0)+IF(ABS($D94-(xm_y0P+(xm_nP-1)/2*xm_sP))&lt;0.000001,IF('XA MU'!$B$30&lt;=4,'XA MU'!$E$30*$C$8*(IF('XA MU'!$C$30&gt;(xm_y0P+(xm_nP-1)/2*xm_sP),2*('XA MU'!$C$30-(xm_y0P+(xm_nP-1)/2*xm_sP))/xm_sP,0)+IF('XA MU'!$D$30&gt;(xm_y0P+(xm_nP-1)/2*xm_sP),2*('XA MU'!$D$30-(xm_y0P+(xm_nP-1)/2*xm_sP))/xm_sP,0)),0),0))))</f>
        <v>0</v>
      </c>
      <c r="M94" s="44">
        <f>IF(C94=0,0,IF(5&gt;nLan,0,0.65*(IF('XA MU'!$B$25&lt;=5,'XA MU'!$E$25*$C$8*(MAX(0,1-ABS('XA MU'!$C$25-$D94)/xm_sP)+MAX(0,1-ABS('XA MU'!$D$25-$D94)/xm_sP)),0)+IF(ABS($D94-(xm_y0P+(xm_nP-1)/2*xm_sP))&lt;0.000001,IF('XA MU'!$B$25&lt;=5,'XA MU'!$E$25*$C$8*(IF('XA MU'!$C$25&gt;(xm_y0P+(xm_nP-1)/2*xm_sP),2*('XA MU'!$C$25-(xm_y0P+(xm_nP-1)/2*xm_sP))/xm_sP,0)+IF('XA MU'!$D$25&gt;(xm_y0P+(xm_nP-1)/2*xm_sP),2*('XA MU'!$D$25-(xm_y0P+(xm_nP-1)/2*xm_sP))/xm_sP,0)),0),0)+IF('XA MU'!$B$26&lt;=5,'XA MU'!$E$26*$C$8*(MAX(0,1-ABS('XA MU'!$C$26-$D94)/xm_sP)+MAX(0,1-ABS('XA MU'!$D$26-$D94)/xm_sP)),0)+IF(ABS($D94-(xm_y0P+(xm_nP-1)/2*xm_sP))&lt;0.000001,IF('XA MU'!$B$26&lt;=5,'XA MU'!$E$26*$C$8*(IF('XA MU'!$C$26&gt;(xm_y0P+(xm_nP-1)/2*xm_sP),2*('XA MU'!$C$26-(xm_y0P+(xm_nP-1)/2*xm_sP))/xm_sP,0)+IF('XA MU'!$D$26&gt;(xm_y0P+(xm_nP-1)/2*xm_sP),2*('XA MU'!$D$26-(xm_y0P+(xm_nP-1)/2*xm_sP))/xm_sP,0)),0),0)+IF('XA MU'!$B$27&lt;=5,'XA MU'!$E$27*$C$8*(MAX(0,1-ABS('XA MU'!$C$27-$D94)/xm_sP)+MAX(0,1-ABS('XA MU'!$D$27-$D94)/xm_sP)),0)+IF(ABS($D94-(xm_y0P+(xm_nP-1)/2*xm_sP))&lt;0.000001,IF('XA MU'!$B$27&lt;=5,'XA MU'!$E$27*$C$8*(IF('XA MU'!$C$27&gt;(xm_y0P+(xm_nP-1)/2*xm_sP),2*('XA MU'!$C$27-(xm_y0P+(xm_nP-1)/2*xm_sP))/xm_sP,0)+IF('XA MU'!$D$27&gt;(xm_y0P+(xm_nP-1)/2*xm_sP),2*('XA MU'!$D$27-(xm_y0P+(xm_nP-1)/2*xm_sP))/xm_sP,0)),0),0)+IF('XA MU'!$B$28&lt;=5,'XA MU'!$E$28*$C$8*(MAX(0,1-ABS('XA MU'!$C$28-$D94)/xm_sP)+MAX(0,1-ABS('XA MU'!$D$28-$D94)/xm_sP)),0)+IF(ABS($D94-(xm_y0P+(xm_nP-1)/2*xm_sP))&lt;0.000001,IF('XA MU'!$B$28&lt;=5,'XA MU'!$E$28*$C$8*(IF('XA MU'!$C$28&gt;(xm_y0P+(xm_nP-1)/2*xm_sP),2*('XA MU'!$C$28-(xm_y0P+(xm_nP-1)/2*xm_sP))/xm_sP,0)+IF('XA MU'!$D$28&gt;(xm_y0P+(xm_nP-1)/2*xm_sP),2*('XA MU'!$D$28-(xm_y0P+(xm_nP-1)/2*xm_sP))/xm_sP,0)),0),0)+IF('XA MU'!$B$29&lt;=5,'XA MU'!$E$29*$C$8*(MAX(0,1-ABS('XA MU'!$C$29-$D94)/xm_sP)+MAX(0,1-ABS('XA MU'!$D$29-$D94)/xm_sP)),0)+IF(ABS($D94-(xm_y0P+(xm_nP-1)/2*xm_sP))&lt;0.000001,IF('XA MU'!$B$29&lt;=5,'XA MU'!$E$29*$C$8*(IF('XA MU'!$C$29&gt;(xm_y0P+(xm_nP-1)/2*xm_sP),2*('XA MU'!$C$29-(xm_y0P+(xm_nP-1)/2*xm_sP))/xm_sP,0)+IF('XA MU'!$D$29&gt;(xm_y0P+(xm_nP-1)/2*xm_sP),2*('XA MU'!$D$29-(xm_y0P+(xm_nP-1)/2*xm_sP))/xm_sP,0)),0),0)+IF('XA MU'!$B$30&lt;=5,'XA MU'!$E$30*$C$8*(MAX(0,1-ABS('XA MU'!$C$30-$D94)/xm_sP)+MAX(0,1-ABS('XA MU'!$D$30-$D94)/xm_sP)),0)+IF(ABS($D94-(xm_y0P+(xm_nP-1)/2*xm_sP))&lt;0.000001,IF('XA MU'!$B$30&lt;=5,'XA MU'!$E$30*$C$8*(IF('XA MU'!$C$30&gt;(xm_y0P+(xm_nP-1)/2*xm_sP),2*('XA MU'!$C$30-(xm_y0P+(xm_nP-1)/2*xm_sP))/xm_sP,0)+IF('XA MU'!$D$30&gt;(xm_y0P+(xm_nP-1)/2*xm_sP),2*('XA MU'!$D$30-(xm_y0P+(xm_nP-1)/2*xm_sP))/xm_sP,0)),0),0))))</f>
        <v>0</v>
      </c>
      <c r="N94" s="44">
        <f>IF(C94=0,0,IF(6&gt;nLan,0,0.65*(IF('XA MU'!$B$25&lt;=6,'XA MU'!$E$25*$C$8*(MAX(0,1-ABS('XA MU'!$C$25-$D94)/xm_sP)+MAX(0,1-ABS('XA MU'!$D$25-$D94)/xm_sP)),0)+IF(ABS($D94-(xm_y0P+(xm_nP-1)/2*xm_sP))&lt;0.000001,IF('XA MU'!$B$25&lt;=6,'XA MU'!$E$25*$C$8*(IF('XA MU'!$C$25&gt;(xm_y0P+(xm_nP-1)/2*xm_sP),2*('XA MU'!$C$25-(xm_y0P+(xm_nP-1)/2*xm_sP))/xm_sP,0)+IF('XA MU'!$D$25&gt;(xm_y0P+(xm_nP-1)/2*xm_sP),2*('XA MU'!$D$25-(xm_y0P+(xm_nP-1)/2*xm_sP))/xm_sP,0)),0),0)+IF('XA MU'!$B$26&lt;=6,'XA MU'!$E$26*$C$8*(MAX(0,1-ABS('XA MU'!$C$26-$D94)/xm_sP)+MAX(0,1-ABS('XA MU'!$D$26-$D94)/xm_sP)),0)+IF(ABS($D94-(xm_y0P+(xm_nP-1)/2*xm_sP))&lt;0.000001,IF('XA MU'!$B$26&lt;=6,'XA MU'!$E$26*$C$8*(IF('XA MU'!$C$26&gt;(xm_y0P+(xm_nP-1)/2*xm_sP),2*('XA MU'!$C$26-(xm_y0P+(xm_nP-1)/2*xm_sP))/xm_sP,0)+IF('XA MU'!$D$26&gt;(xm_y0P+(xm_nP-1)/2*xm_sP),2*('XA MU'!$D$26-(xm_y0P+(xm_nP-1)/2*xm_sP))/xm_sP,0)),0),0)+IF('XA MU'!$B$27&lt;=6,'XA MU'!$E$27*$C$8*(MAX(0,1-ABS('XA MU'!$C$27-$D94)/xm_sP)+MAX(0,1-ABS('XA MU'!$D$27-$D94)/xm_sP)),0)+IF(ABS($D94-(xm_y0P+(xm_nP-1)/2*xm_sP))&lt;0.000001,IF('XA MU'!$B$27&lt;=6,'XA MU'!$E$27*$C$8*(IF('XA MU'!$C$27&gt;(xm_y0P+(xm_nP-1)/2*xm_sP),2*('XA MU'!$C$27-(xm_y0P+(xm_nP-1)/2*xm_sP))/xm_sP,0)+IF('XA MU'!$D$27&gt;(xm_y0P+(xm_nP-1)/2*xm_sP),2*('XA MU'!$D$27-(xm_y0P+(xm_nP-1)/2*xm_sP))/xm_sP,0)),0),0)+IF('XA MU'!$B$28&lt;=6,'XA MU'!$E$28*$C$8*(MAX(0,1-ABS('XA MU'!$C$28-$D94)/xm_sP)+MAX(0,1-ABS('XA MU'!$D$28-$D94)/xm_sP)),0)+IF(ABS($D94-(xm_y0P+(xm_nP-1)/2*xm_sP))&lt;0.000001,IF('XA MU'!$B$28&lt;=6,'XA MU'!$E$28*$C$8*(IF('XA MU'!$C$28&gt;(xm_y0P+(xm_nP-1)/2*xm_sP),2*('XA MU'!$C$28-(xm_y0P+(xm_nP-1)/2*xm_sP))/xm_sP,0)+IF('XA MU'!$D$28&gt;(xm_y0P+(xm_nP-1)/2*xm_sP),2*('XA MU'!$D$28-(xm_y0P+(xm_nP-1)/2*xm_sP))/xm_sP,0)),0),0)+IF('XA MU'!$B$29&lt;=6,'XA MU'!$E$29*$C$8*(MAX(0,1-ABS('XA MU'!$C$29-$D94)/xm_sP)+MAX(0,1-ABS('XA MU'!$D$29-$D94)/xm_sP)),0)+IF(ABS($D94-(xm_y0P+(xm_nP-1)/2*xm_sP))&lt;0.000001,IF('XA MU'!$B$29&lt;=6,'XA MU'!$E$29*$C$8*(IF('XA MU'!$C$29&gt;(xm_y0P+(xm_nP-1)/2*xm_sP),2*('XA MU'!$C$29-(xm_y0P+(xm_nP-1)/2*xm_sP))/xm_sP,0)+IF('XA MU'!$D$29&gt;(xm_y0P+(xm_nP-1)/2*xm_sP),2*('XA MU'!$D$29-(xm_y0P+(xm_nP-1)/2*xm_sP))/xm_sP,0)),0),0)+IF('XA MU'!$B$30&lt;=6,'XA MU'!$E$30*$C$8*(MAX(0,1-ABS('XA MU'!$C$30-$D94)/xm_sP)+MAX(0,1-ABS('XA MU'!$D$30-$D94)/xm_sP)),0)+IF(ABS($D94-(xm_y0P+(xm_nP-1)/2*xm_sP))&lt;0.000001,IF('XA MU'!$B$30&lt;=6,'XA MU'!$E$30*$C$8*(IF('XA MU'!$C$30&gt;(xm_y0P+(xm_nP-1)/2*xm_sP),2*('XA MU'!$C$30-(xm_y0P+(xm_nP-1)/2*xm_sP))/xm_sP,0)+IF('XA MU'!$D$30&gt;(xm_y0P+(xm_nP-1)/2*xm_sP),2*('XA MU'!$D$30-(xm_y0P+(xm_nP-1)/2*xm_sP))/xm_sP,0)),0),0))))</f>
        <v>0</v>
      </c>
    </row>
    <row r="95" spans="1:14" x14ac:dyDescent="0.3">
      <c r="A95" s="41"/>
      <c r="B95" s="41"/>
      <c r="C95" s="41"/>
      <c r="D95" s="41"/>
      <c r="E95" s="41"/>
      <c r="F95" s="41"/>
      <c r="G95" s="41"/>
      <c r="H95" s="41"/>
      <c r="I95" s="41"/>
      <c r="J95" s="41"/>
      <c r="K95" s="41"/>
      <c r="L95" s="41"/>
      <c r="M95" s="41"/>
      <c r="N95" s="41"/>
    </row>
    <row r="96" spans="1:14" x14ac:dyDescent="0.3">
      <c r="A96" s="42"/>
      <c r="B96" s="42" t="s">
        <v>804</v>
      </c>
      <c r="C96" s="42" t="s">
        <v>805</v>
      </c>
      <c r="D96" s="42" t="s">
        <v>806</v>
      </c>
      <c r="E96" s="42" t="s">
        <v>807</v>
      </c>
      <c r="F96" s="42" t="s">
        <v>808</v>
      </c>
      <c r="G96" s="42" t="s">
        <v>809</v>
      </c>
      <c r="H96" s="41"/>
      <c r="I96" s="41"/>
      <c r="J96" s="41"/>
      <c r="K96" s="41"/>
      <c r="L96" s="41"/>
      <c r="M96" s="41"/>
      <c r="N96" s="41"/>
    </row>
    <row r="97" spans="1:14" x14ac:dyDescent="0.3">
      <c r="A97" s="42" t="s">
        <v>1237</v>
      </c>
      <c r="B97" s="42">
        <f>SUMPRODUCT(I15:I94,$E$15:$E$94)</f>
        <v>7570.1506273276573</v>
      </c>
      <c r="C97" s="42">
        <f t="shared" ref="C97:G97" si="8">SUMPRODUCT(J15:J94,$E$15:$E$94)</f>
        <v>8979.4644411063819</v>
      </c>
      <c r="D97" s="42">
        <f t="shared" si="8"/>
        <v>7674.1451143867025</v>
      </c>
      <c r="E97" s="42">
        <f t="shared" si="8"/>
        <v>5868.463911001596</v>
      </c>
      <c r="F97" s="42">
        <f t="shared" si="8"/>
        <v>5868.463911001596</v>
      </c>
      <c r="G97" s="42">
        <f t="shared" si="8"/>
        <v>5868.463911001596</v>
      </c>
      <c r="H97" s="41"/>
      <c r="I97" s="41"/>
      <c r="J97" s="41"/>
      <c r="K97" s="41"/>
      <c r="L97" s="41"/>
      <c r="M97" s="41"/>
      <c r="N97" s="41"/>
    </row>
    <row r="98" spans="1:14" x14ac:dyDescent="0.3">
      <c r="A98" s="42" t="s">
        <v>1238</v>
      </c>
      <c r="B98" s="42">
        <f t="shared" ref="B98:G98" si="9">SUMPRODUCT(I15:I94,$F$15:$F$94)</f>
        <v>1196.9904990638295</v>
      </c>
      <c r="C98" s="42">
        <f t="shared" si="9"/>
        <v>1954.2702025531917</v>
      </c>
      <c r="D98" s="42">
        <f t="shared" si="9"/>
        <v>2171.580977680851</v>
      </c>
      <c r="E98" s="42">
        <f t="shared" si="9"/>
        <v>1660.6207476382981</v>
      </c>
      <c r="F98" s="42">
        <f t="shared" si="9"/>
        <v>1660.6207476382981</v>
      </c>
      <c r="G98" s="42">
        <f t="shared" si="9"/>
        <v>1660.6207476382981</v>
      </c>
      <c r="H98" s="41"/>
      <c r="I98" s="41"/>
      <c r="J98" s="41"/>
      <c r="K98" s="41"/>
      <c r="L98" s="41"/>
      <c r="M98" s="41"/>
      <c r="N98" s="41"/>
    </row>
  </sheetData>
  <mergeCells count="4">
    <mergeCell ref="A1:N1"/>
    <mergeCell ref="A2:N2"/>
    <mergeCell ref="A4:N4"/>
    <mergeCell ref="A13:N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BB941"/>
  <sheetViews>
    <sheetView showGridLines="0" tabSelected="1" topLeftCell="A51" workbookViewId="0">
      <selection activeCell="H74" sqref="H74"/>
    </sheetView>
  </sheetViews>
  <sheetFormatPr defaultRowHeight="14.4" outlineLevelRow="2" outlineLevelCol="1" x14ac:dyDescent="0.3"/>
  <cols>
    <col min="1" max="1" width="16" customWidth="1"/>
    <col min="2" max="2" width="28" customWidth="1"/>
    <col min="3" max="19" width="13" customWidth="1"/>
    <col min="43" max="53" width="0" hidden="1" customWidth="1" outlineLevel="1"/>
    <col min="54" max="54" width="8.88671875" collapsed="1"/>
  </cols>
  <sheetData>
    <row r="1" spans="1:19" ht="28.05" customHeight="1" x14ac:dyDescent="0.3">
      <c r="A1" s="123" t="s">
        <v>1459</v>
      </c>
      <c r="B1" s="123"/>
      <c r="C1" s="123"/>
      <c r="D1" s="123"/>
      <c r="E1" s="123"/>
      <c r="F1" s="123"/>
      <c r="G1" s="123"/>
      <c r="H1" s="123"/>
      <c r="I1" s="123"/>
      <c r="J1" s="123"/>
      <c r="K1" s="123"/>
      <c r="L1" s="123"/>
      <c r="M1" s="123"/>
      <c r="N1" s="123"/>
      <c r="O1" s="123"/>
      <c r="P1" s="123"/>
      <c r="Q1" s="123"/>
      <c r="R1" s="123"/>
      <c r="S1" s="123"/>
    </row>
    <row r="2" spans="1:19" ht="34.049999999999997" customHeight="1" x14ac:dyDescent="0.3">
      <c r="A2" s="124" t="s">
        <v>1460</v>
      </c>
      <c r="B2" s="124"/>
      <c r="C2" s="124"/>
      <c r="D2" s="124"/>
      <c r="E2" s="124"/>
      <c r="F2" s="124"/>
      <c r="G2" s="124"/>
      <c r="H2" s="124"/>
      <c r="I2" s="124"/>
      <c r="J2" s="124"/>
      <c r="K2" s="124"/>
      <c r="L2" s="124"/>
      <c r="M2" s="124"/>
      <c r="N2" s="124"/>
      <c r="O2" s="124"/>
      <c r="P2" s="124"/>
      <c r="Q2" s="124"/>
      <c r="R2" s="124"/>
      <c r="S2" s="124"/>
    </row>
    <row r="3" spans="1:19" x14ac:dyDescent="0.3">
      <c r="A3" s="41"/>
      <c r="B3" s="41"/>
      <c r="C3" s="41"/>
      <c r="D3" s="41"/>
      <c r="E3" s="41"/>
      <c r="F3" s="41"/>
      <c r="G3" s="41"/>
      <c r="H3" s="41"/>
      <c r="I3" s="41"/>
      <c r="J3" s="41"/>
      <c r="K3" s="41"/>
      <c r="L3" s="41"/>
      <c r="M3" s="41"/>
      <c r="N3" s="41"/>
      <c r="O3" s="41"/>
      <c r="P3" s="41"/>
      <c r="Q3" s="41"/>
      <c r="R3" s="41"/>
      <c r="S3" s="41"/>
    </row>
    <row r="4" spans="1:19" ht="22.05" customHeight="1" x14ac:dyDescent="0.3">
      <c r="A4" s="122" t="s">
        <v>1461</v>
      </c>
      <c r="B4" s="122"/>
      <c r="C4" s="122"/>
      <c r="D4" s="122"/>
      <c r="E4" s="122"/>
      <c r="F4" s="122"/>
      <c r="G4" s="122"/>
      <c r="H4" s="122"/>
      <c r="I4" s="122"/>
      <c r="J4" s="122"/>
      <c r="K4" s="122"/>
      <c r="L4" s="122"/>
      <c r="M4" s="122"/>
      <c r="N4" s="122"/>
      <c r="O4" s="122"/>
      <c r="P4" s="122"/>
      <c r="Q4" s="122"/>
      <c r="R4" s="122"/>
      <c r="S4" s="122"/>
    </row>
    <row r="5" spans="1:19" ht="28.8" x14ac:dyDescent="0.3">
      <c r="A5" s="42" t="s">
        <v>1462</v>
      </c>
      <c r="B5" s="42"/>
      <c r="C5" s="42" t="s">
        <v>1463</v>
      </c>
      <c r="D5" s="59">
        <v>1</v>
      </c>
      <c r="E5" s="41"/>
      <c r="F5" s="55" t="s">
        <v>1464</v>
      </c>
      <c r="G5" s="55" t="s">
        <v>1293</v>
      </c>
      <c r="H5" s="55" t="s">
        <v>1210</v>
      </c>
      <c r="I5" s="55"/>
      <c r="J5" s="55"/>
      <c r="K5" s="41"/>
      <c r="L5" s="41"/>
      <c r="M5" s="41"/>
      <c r="N5" s="41"/>
      <c r="O5" s="41"/>
      <c r="P5" s="41"/>
      <c r="Q5" s="41"/>
      <c r="R5" s="41"/>
      <c r="S5" s="41"/>
    </row>
    <row r="6" spans="1:19" ht="28.8" x14ac:dyDescent="0.3">
      <c r="A6" s="42" t="s">
        <v>1465</v>
      </c>
      <c r="B6" s="42"/>
      <c r="C6" s="42" t="s">
        <v>160</v>
      </c>
      <c r="D6" s="59">
        <v>1860</v>
      </c>
      <c r="E6" s="41"/>
      <c r="F6" s="42" t="s">
        <v>1466</v>
      </c>
      <c r="G6" s="61">
        <f>'XA MU'!C47</f>
        <v>2503.3806248525598</v>
      </c>
      <c r="H6" s="42" t="s">
        <v>1467</v>
      </c>
      <c r="I6" s="42"/>
      <c r="J6" s="42"/>
      <c r="K6" s="41"/>
      <c r="L6" s="41"/>
      <c r="M6" s="41"/>
      <c r="N6" s="41"/>
      <c r="O6" s="41"/>
      <c r="P6" s="41"/>
      <c r="Q6" s="41"/>
      <c r="R6" s="41"/>
      <c r="S6" s="41"/>
    </row>
    <row r="7" spans="1:19" x14ac:dyDescent="0.3">
      <c r="A7" s="42" t="s">
        <v>1468</v>
      </c>
      <c r="B7" s="42"/>
      <c r="C7" s="42" t="s">
        <v>1465</v>
      </c>
      <c r="D7" s="59">
        <v>0.75</v>
      </c>
      <c r="E7" s="41"/>
      <c r="F7" s="42" t="s">
        <v>1469</v>
      </c>
      <c r="G7" s="61">
        <f>(('TINH TAI'!F28+'TINH TAI'!G28)/INPUT!F52)*'XA MU'!E22</f>
        <v>10486</v>
      </c>
      <c r="H7" s="42" t="s">
        <v>1470</v>
      </c>
      <c r="I7" s="42"/>
      <c r="J7" s="42"/>
      <c r="K7" s="41"/>
      <c r="L7" s="41"/>
      <c r="M7" s="41"/>
      <c r="N7" s="41"/>
      <c r="O7" s="41"/>
      <c r="P7" s="41"/>
      <c r="Q7" s="41"/>
      <c r="R7" s="41"/>
      <c r="S7" s="41"/>
    </row>
    <row r="8" spans="1:19" x14ac:dyDescent="0.3">
      <c r="A8" s="42" t="s">
        <v>1471</v>
      </c>
      <c r="B8" s="42"/>
      <c r="C8" s="42" t="s">
        <v>1250</v>
      </c>
      <c r="D8" s="59">
        <v>80</v>
      </c>
      <c r="E8" s="41"/>
      <c r="F8" s="42" t="s">
        <v>417</v>
      </c>
      <c r="G8" s="61">
        <f>(('TINH TAI'!F29+'TINH TAI'!G29)/INPUT!F52)*'XA MU'!E22</f>
        <v>6342.2823333333345</v>
      </c>
      <c r="H8" s="42" t="s">
        <v>1472</v>
      </c>
      <c r="I8" s="42"/>
      <c r="J8" s="42"/>
      <c r="K8" s="41"/>
      <c r="L8" s="41"/>
      <c r="M8" s="41"/>
      <c r="N8" s="41"/>
      <c r="O8" s="41"/>
      <c r="P8" s="41"/>
      <c r="Q8" s="41"/>
      <c r="R8" s="41"/>
      <c r="S8" s="41"/>
    </row>
    <row r="9" spans="1:19" ht="28.8" x14ac:dyDescent="0.3">
      <c r="A9" s="42" t="s">
        <v>1473</v>
      </c>
      <c r="B9" s="42"/>
      <c r="C9" s="42" t="s">
        <v>1253</v>
      </c>
      <c r="D9" s="59">
        <v>10</v>
      </c>
      <c r="E9" s="41"/>
      <c r="F9" s="42" t="s">
        <v>1474</v>
      </c>
      <c r="G9" s="61">
        <f>((('TINH TAI'!F30+'TINH TAI'!G30)+('TINH TAI'!F31+'TINH TAI'!G31))/INPUT!F52)*'XA MU'!E22</f>
        <v>2306.2066666666669</v>
      </c>
      <c r="H9" s="42" t="s">
        <v>1475</v>
      </c>
      <c r="I9" s="42"/>
      <c r="J9" s="42"/>
      <c r="K9" s="41"/>
      <c r="L9" s="41"/>
      <c r="M9" s="41"/>
      <c r="N9" s="41"/>
      <c r="O9" s="41"/>
      <c r="P9" s="41"/>
      <c r="Q9" s="41"/>
      <c r="R9" s="41"/>
      <c r="S9" s="41"/>
    </row>
    <row r="10" spans="1:19" x14ac:dyDescent="0.3">
      <c r="A10" s="42" t="s">
        <v>1476</v>
      </c>
      <c r="B10" s="42"/>
      <c r="C10" s="42" t="s">
        <v>1253</v>
      </c>
      <c r="D10" s="59">
        <v>10950</v>
      </c>
      <c r="E10" s="41"/>
      <c r="F10" s="42" t="s">
        <v>1477</v>
      </c>
      <c r="G10" s="61">
        <f>'XA MU'!C48</f>
        <v>1952.7553500000004</v>
      </c>
      <c r="H10" s="42" t="s">
        <v>1478</v>
      </c>
      <c r="I10" s="42"/>
      <c r="J10" s="42"/>
      <c r="K10" s="41"/>
      <c r="L10" s="41"/>
      <c r="M10" s="41"/>
      <c r="N10" s="41"/>
      <c r="O10" s="41"/>
      <c r="P10" s="41"/>
      <c r="Q10" s="41"/>
      <c r="R10" s="41"/>
      <c r="S10" s="41"/>
    </row>
    <row r="11" spans="1:19" x14ac:dyDescent="0.3">
      <c r="A11" s="42" t="s">
        <v>1479</v>
      </c>
      <c r="B11" s="42"/>
      <c r="C11" s="42" t="s">
        <v>1480</v>
      </c>
      <c r="D11" s="59">
        <v>6.6000000000000003E-6</v>
      </c>
      <c r="E11" s="41"/>
      <c r="F11" s="42" t="s">
        <v>1481</v>
      </c>
      <c r="G11" s="61">
        <f>'XA MU'!C52</f>
        <v>8979.4644411063819</v>
      </c>
      <c r="H11" s="42" t="s">
        <v>1482</v>
      </c>
      <c r="I11" s="42"/>
      <c r="J11" s="42"/>
      <c r="K11" s="41"/>
      <c r="L11" s="41"/>
      <c r="M11" s="41"/>
      <c r="N11" s="41"/>
      <c r="O11" s="41"/>
      <c r="P11" s="41"/>
      <c r="Q11" s="41"/>
      <c r="R11" s="41"/>
      <c r="S11" s="41"/>
    </row>
    <row r="12" spans="1:19" x14ac:dyDescent="0.3">
      <c r="A12" s="42" t="s">
        <v>1483</v>
      </c>
      <c r="B12" s="42"/>
      <c r="C12" s="42" t="s">
        <v>395</v>
      </c>
      <c r="D12" s="59">
        <v>0.2</v>
      </c>
      <c r="E12" s="41"/>
      <c r="F12" s="42" t="s">
        <v>1484</v>
      </c>
      <c r="G12" s="61">
        <f>'XA MU'!C53</f>
        <v>45690.532828001866</v>
      </c>
      <c r="H12" s="42" t="s">
        <v>1485</v>
      </c>
      <c r="I12" s="42"/>
      <c r="J12" s="42"/>
      <c r="K12" s="41"/>
      <c r="L12" s="41"/>
      <c r="M12" s="41"/>
      <c r="N12" s="41"/>
      <c r="O12" s="41"/>
      <c r="P12" s="41"/>
      <c r="Q12" s="41"/>
      <c r="R12" s="41"/>
      <c r="S12" s="41"/>
    </row>
    <row r="13" spans="1:19" x14ac:dyDescent="0.3">
      <c r="A13" s="42" t="s">
        <v>1486</v>
      </c>
      <c r="B13" s="42"/>
      <c r="C13" s="42" t="s">
        <v>323</v>
      </c>
      <c r="D13" s="59">
        <f>Lxm*1000/2</f>
        <v>11775</v>
      </c>
      <c r="E13" s="41"/>
      <c r="F13" s="42" t="s">
        <v>1487</v>
      </c>
      <c r="G13" s="61">
        <f>'XA MU'!C54</f>
        <v>11702.025732564334</v>
      </c>
      <c r="H13" s="42" t="s">
        <v>1488</v>
      </c>
      <c r="I13" s="42"/>
      <c r="J13" s="42"/>
      <c r="K13" s="41"/>
      <c r="L13" s="41"/>
      <c r="M13" s="41"/>
      <c r="N13" s="41"/>
      <c r="O13" s="41"/>
      <c r="P13" s="41"/>
      <c r="Q13" s="41"/>
      <c r="R13" s="41"/>
      <c r="S13" s="41"/>
    </row>
    <row r="14" spans="1:19" ht="28.8" x14ac:dyDescent="0.3">
      <c r="A14" s="42" t="s">
        <v>1489</v>
      </c>
      <c r="B14" s="42"/>
      <c r="C14" s="42" t="s">
        <v>1490</v>
      </c>
      <c r="D14" s="80">
        <f>IF(SUM(E25:E31)=0,0,SUMPRODUCT(E25:E31,S36:S42)/SUM(E25:E31))</f>
        <v>4.3459370350511867E-2</v>
      </c>
      <c r="E14" s="41"/>
      <c r="F14" s="41"/>
      <c r="G14" s="41"/>
      <c r="H14" s="41"/>
      <c r="I14" s="41"/>
      <c r="J14" s="41"/>
      <c r="K14" s="41"/>
      <c r="L14" s="41"/>
      <c r="M14" s="41"/>
      <c r="N14" s="41"/>
      <c r="O14" s="41"/>
      <c r="P14" s="41"/>
      <c r="Q14" s="41"/>
      <c r="R14" s="41"/>
      <c r="S14" s="41"/>
    </row>
    <row r="15" spans="1:19" x14ac:dyDescent="0.3">
      <c r="A15" s="42" t="s">
        <v>1491</v>
      </c>
      <c r="B15" s="42"/>
      <c r="C15" s="42" t="s">
        <v>323</v>
      </c>
      <c r="D15" s="59">
        <v>6</v>
      </c>
      <c r="E15" s="41"/>
      <c r="F15" s="41"/>
      <c r="G15" s="41"/>
      <c r="H15" s="41"/>
      <c r="I15" s="41"/>
      <c r="J15" s="41"/>
      <c r="K15" s="41"/>
      <c r="L15" s="41"/>
      <c r="M15" s="41"/>
      <c r="N15" s="41"/>
      <c r="O15" s="41"/>
      <c r="P15" s="41"/>
      <c r="Q15" s="41"/>
      <c r="R15" s="41"/>
      <c r="S15" s="41"/>
    </row>
    <row r="16" spans="1:19" x14ac:dyDescent="0.3">
      <c r="A16" s="42" t="s">
        <v>1492</v>
      </c>
      <c r="B16" s="42"/>
      <c r="C16" s="42" t="s">
        <v>395</v>
      </c>
      <c r="D16" s="59">
        <v>30</v>
      </c>
      <c r="E16" s="41"/>
      <c r="F16" s="41"/>
      <c r="G16" s="41"/>
      <c r="H16" s="41"/>
      <c r="I16" s="41"/>
      <c r="J16" s="41"/>
      <c r="K16" s="41"/>
      <c r="L16" s="41"/>
      <c r="M16" s="41"/>
      <c r="N16" s="41"/>
      <c r="O16" s="41"/>
      <c r="P16" s="41"/>
      <c r="Q16" s="41"/>
      <c r="R16" s="41"/>
      <c r="S16" s="41"/>
    </row>
    <row r="17" spans="1:30" ht="28.8" x14ac:dyDescent="0.3">
      <c r="A17" s="42" t="s">
        <v>1493</v>
      </c>
      <c r="B17" s="42"/>
      <c r="C17" s="42" t="s">
        <v>1463</v>
      </c>
      <c r="D17" s="59">
        <v>1</v>
      </c>
      <c r="E17" s="41"/>
      <c r="F17" s="41"/>
      <c r="G17" s="41"/>
      <c r="H17" s="41"/>
      <c r="I17" s="41"/>
      <c r="J17" s="41"/>
      <c r="K17" s="41"/>
      <c r="L17" s="41"/>
      <c r="M17" s="41"/>
      <c r="N17" s="41"/>
      <c r="O17" s="41"/>
      <c r="P17" s="41"/>
      <c r="Q17" s="41"/>
      <c r="R17" s="41"/>
      <c r="S17" s="41"/>
    </row>
    <row r="18" spans="1:30" ht="28.8" x14ac:dyDescent="0.3">
      <c r="A18" s="42" t="s">
        <v>1494</v>
      </c>
      <c r="B18" s="42"/>
      <c r="C18" s="42" t="s">
        <v>1463</v>
      </c>
      <c r="D18" s="59">
        <v>0</v>
      </c>
      <c r="E18" s="41"/>
      <c r="F18" s="41"/>
      <c r="G18" s="41"/>
      <c r="H18" s="41"/>
      <c r="I18" s="41"/>
      <c r="J18" s="41"/>
      <c r="K18" s="41"/>
      <c r="L18" s="41"/>
      <c r="M18" s="41"/>
      <c r="N18" s="41"/>
      <c r="O18" s="41"/>
      <c r="P18" s="41"/>
      <c r="Q18" s="41"/>
      <c r="R18" s="41"/>
      <c r="S18" s="41"/>
    </row>
    <row r="19" spans="1:30" x14ac:dyDescent="0.3">
      <c r="A19" s="42" t="s">
        <v>1495</v>
      </c>
      <c r="B19" s="42"/>
      <c r="C19" s="42" t="s">
        <v>226</v>
      </c>
      <c r="D19" s="59">
        <v>140</v>
      </c>
      <c r="E19" s="41"/>
      <c r="F19" s="41"/>
      <c r="G19" s="41"/>
      <c r="H19" s="41"/>
      <c r="I19" s="41"/>
      <c r="J19" s="41"/>
      <c r="K19" s="41"/>
      <c r="L19" s="41"/>
      <c r="M19" s="41"/>
      <c r="N19" s="41"/>
      <c r="O19" s="41"/>
      <c r="P19" s="41"/>
      <c r="Q19" s="41"/>
      <c r="R19" s="41"/>
      <c r="S19" s="41"/>
    </row>
    <row r="20" spans="1:30" ht="72" x14ac:dyDescent="0.3">
      <c r="A20" s="42" t="s">
        <v>1054</v>
      </c>
      <c r="B20" s="42"/>
      <c r="C20" s="42"/>
      <c r="D20" s="42" t="s">
        <v>1496</v>
      </c>
      <c r="E20" s="41"/>
      <c r="F20" s="41"/>
      <c r="G20" s="41"/>
      <c r="H20" s="41"/>
      <c r="I20" s="41"/>
      <c r="J20" s="41"/>
      <c r="K20" s="41"/>
      <c r="L20" s="41"/>
      <c r="M20" s="41"/>
      <c r="N20" s="41"/>
      <c r="O20" s="41"/>
      <c r="P20" s="41"/>
      <c r="Q20" s="41"/>
      <c r="R20" s="41"/>
      <c r="S20" s="41"/>
    </row>
    <row r="21" spans="1:30" ht="201.6" x14ac:dyDescent="0.3">
      <c r="A21" s="41" t="s">
        <v>1834</v>
      </c>
      <c r="B21" s="41"/>
      <c r="C21" s="41"/>
      <c r="D21" s="41"/>
      <c r="E21" s="41"/>
      <c r="F21" s="41"/>
      <c r="G21" s="41"/>
      <c r="H21" s="41"/>
      <c r="I21" s="41"/>
      <c r="J21" s="41"/>
      <c r="K21" s="41"/>
      <c r="L21" s="41"/>
      <c r="M21" s="41"/>
      <c r="N21" s="41"/>
      <c r="O21" s="41"/>
      <c r="P21" s="41"/>
      <c r="Q21" s="41"/>
      <c r="R21" s="41"/>
      <c r="S21" s="41"/>
    </row>
    <row r="22" spans="1:30" x14ac:dyDescent="0.3">
      <c r="A22" s="41"/>
      <c r="B22" s="41"/>
      <c r="C22" s="41"/>
      <c r="D22" s="41"/>
      <c r="E22" s="41"/>
      <c r="F22" s="41"/>
      <c r="G22" s="41"/>
      <c r="H22" s="41"/>
      <c r="I22" s="41"/>
      <c r="J22" s="41"/>
      <c r="K22" s="41"/>
      <c r="L22" s="41"/>
      <c r="M22" s="41"/>
      <c r="N22" s="41"/>
      <c r="O22" s="41"/>
      <c r="P22" s="41"/>
      <c r="Q22" s="41"/>
      <c r="R22" s="41"/>
      <c r="S22" s="41"/>
    </row>
    <row r="23" spans="1:30" ht="22.05" customHeight="1" x14ac:dyDescent="0.3">
      <c r="A23" s="122" t="s">
        <v>1497</v>
      </c>
      <c r="B23" s="122"/>
      <c r="C23" s="122"/>
      <c r="D23" s="122"/>
      <c r="E23" s="122"/>
      <c r="F23" s="122"/>
      <c r="G23" s="122"/>
      <c r="H23" s="122"/>
      <c r="I23" s="122"/>
      <c r="J23" s="122"/>
      <c r="K23" s="122"/>
      <c r="L23" s="122"/>
      <c r="M23" s="122"/>
      <c r="N23" s="122"/>
      <c r="O23" s="122"/>
      <c r="P23" s="122"/>
      <c r="Q23" s="122"/>
      <c r="R23" s="122"/>
      <c r="S23" s="122"/>
    </row>
    <row r="24" spans="1:30" ht="28.8" x14ac:dyDescent="0.3">
      <c r="A24" s="55" t="s">
        <v>625</v>
      </c>
      <c r="B24" s="55" t="s">
        <v>1498</v>
      </c>
      <c r="C24" s="55" t="s">
        <v>1499</v>
      </c>
      <c r="D24" s="55" t="s">
        <v>1500</v>
      </c>
      <c r="E24" s="55" t="s">
        <v>1501</v>
      </c>
      <c r="F24" s="55" t="s">
        <v>1502</v>
      </c>
      <c r="G24" s="55" t="s">
        <v>1503</v>
      </c>
      <c r="H24" s="55" t="s">
        <v>1504</v>
      </c>
      <c r="I24" s="55" t="s">
        <v>1505</v>
      </c>
      <c r="J24" s="55" t="s">
        <v>1506</v>
      </c>
      <c r="K24" s="55" t="s">
        <v>1507</v>
      </c>
      <c r="L24" s="41" t="s">
        <v>1825</v>
      </c>
      <c r="M24" s="41" t="s">
        <v>1826</v>
      </c>
      <c r="N24" s="41" t="s">
        <v>1827</v>
      </c>
      <c r="O24" s="41" t="s">
        <v>1828</v>
      </c>
      <c r="P24" s="41" t="s">
        <v>1829</v>
      </c>
      <c r="Q24" s="41" t="s">
        <v>1830</v>
      </c>
      <c r="R24" s="41" t="s">
        <v>1835</v>
      </c>
      <c r="S24" s="41"/>
      <c r="T24" t="s">
        <v>1856</v>
      </c>
      <c r="U24" t="s">
        <v>1857</v>
      </c>
      <c r="V24" t="s">
        <v>1858</v>
      </c>
      <c r="W24" t="s">
        <v>1859</v>
      </c>
      <c r="X24" t="s">
        <v>1860</v>
      </c>
      <c r="Y24" t="s">
        <v>1861</v>
      </c>
      <c r="Z24" t="s">
        <v>1862</v>
      </c>
      <c r="AA24" t="s">
        <v>1863</v>
      </c>
      <c r="AB24" t="s">
        <v>1864</v>
      </c>
      <c r="AC24" t="s">
        <v>1865</v>
      </c>
      <c r="AD24" t="s">
        <v>1866</v>
      </c>
    </row>
    <row r="25" spans="1:30" x14ac:dyDescent="0.3">
      <c r="A25" s="62" t="s">
        <v>1508</v>
      </c>
      <c r="B25" s="62">
        <v>8</v>
      </c>
      <c r="C25" s="62">
        <v>12</v>
      </c>
      <c r="D25" s="61">
        <f>+$D$19</f>
        <v>140</v>
      </c>
      <c r="E25" s="61">
        <f t="shared" ref="E25:E31" si="0">B25*C25*D25</f>
        <v>13440</v>
      </c>
      <c r="F25" s="80">
        <f t="shared" ref="F25:F31" si="1">Q36</f>
        <v>1000</v>
      </c>
      <c r="G25" s="59">
        <v>1</v>
      </c>
      <c r="H25" s="80">
        <f t="shared" ref="H25:H31" si="2">R36</f>
        <v>0</v>
      </c>
      <c r="I25" s="63">
        <f>IF($E25=0,0,$E25*($P25-IF($D$323=1,U25,$D$290))/1000)</f>
        <v>15597.440561196207</v>
      </c>
      <c r="J25" s="63">
        <f>IF($E25=0,0,$E25*($P25-IF($D$323=1,U25+AC25,$D$290+$D$302))/1000)</f>
        <v>14105.511982570213</v>
      </c>
      <c r="K25" s="61">
        <f t="shared" ref="K25:K31" si="3">J25*SIN(H25)</f>
        <v>0</v>
      </c>
      <c r="L25" s="41">
        <f t="shared" ref="L25:L31" si="4">$D$283</f>
        <v>11775</v>
      </c>
      <c r="M25" s="41">
        <f t="shared" ref="M25:M31" si="5">S36</f>
        <v>7.6053898113395774E-2</v>
      </c>
      <c r="N25" s="41">
        <f t="shared" ref="N25:N31" si="6">IF($E25=0,0,$D$281*(1-EXP(-($D$282*L25+$E$282*M25))))</f>
        <v>123.79072095578557</v>
      </c>
      <c r="O25" s="41">
        <f t="shared" ref="O25:O31" si="7">IF(OR($E25=0,L25=0),0,($D$286/L25)*197000)</f>
        <v>100.38216560509554</v>
      </c>
      <c r="P25" s="41">
        <f t="shared" ref="P25:P31" si="8">IF($E25=0,0,$D$281-N25-O25)</f>
        <v>1170.8271134391189</v>
      </c>
      <c r="Q25" s="41">
        <f>IF($E25=0,0,$P25-IF($D$323=1,U25+AC25,$D$290+$D$302))</f>
        <v>1049.5172606079027</v>
      </c>
      <c r="R25" s="41">
        <f t="shared" ref="R25:R31" si="9">IF($E25=0,0,ABS(IF($D$323=1,AD25,Q25)-$D$303))</f>
        <v>8.3502390532387381</v>
      </c>
      <c r="S25" s="41"/>
      <c r="T25" s="52">
        <f t="shared" ref="T25:T31" si="10">$D$9</f>
        <v>10</v>
      </c>
      <c r="U25">
        <f t="shared" ref="U25:U31" si="11">IF($E25=0,0,(197000/$D$278)*(SUMPRODUCT(($E$25:$E$31&gt;0)*(($G$25:$G$31&gt;$G25)+($G$25:$G$31=$G25)*(ROW($E$25:$E$31)&lt;&gt;ROW($E25))*0.5)*(($E$25:$E$31*$P$25:$P$31)/$D$277+($E$25:$E$31*$P$25:$P$31)*$F$25:$F$31*$F25/$E$277))+($B25-1)/(2*MAX($B25,1))*(($E25*$P25)/$D$277+($E25*$P25)*$F25^2/$E$277)))</f>
        <v>15.970487228980556</v>
      </c>
      <c r="V25">
        <f t="shared" ref="V25:V31" si="12">IF($E25=0,0,$T25/(12*(100-0.58*$D$272)/(0.145*$D$272+20)+$T25))</f>
        <v>0.18520855682463558</v>
      </c>
      <c r="W25">
        <f t="shared" ref="W25:W31" si="13">IF($E25=0,0,1.9*$D$293*$E$293*$G$293*$E$294*$T25^-0.118)</f>
        <v>1.4979814471067652</v>
      </c>
      <c r="X25">
        <f t="shared" ref="X25:X31" si="14">IF($E25=0,0,$D$293*$F$293*$G$293*($E$294-V25)*0.00048)</f>
        <v>3.8666830803431215E-4</v>
      </c>
      <c r="Y25">
        <f t="shared" ref="Y25:Y31" si="15">IF($E25=0,0,1/(1+(197000/$D$278)*($D$268/$D$277)*(1+$D$277*$F$277^2/$E$277)*(1+0.7*W25)))</f>
        <v>0.96174242643954211</v>
      </c>
      <c r="Z25">
        <f t="shared" ref="Z25:Z31" si="16">IF($E25=0,0,X25*197000*Y25)</f>
        <v>73.259437408849763</v>
      </c>
      <c r="AA25">
        <f t="shared" ref="AA25:AA31" si="17">IF($E25=0,0,(197000/$D$278)*$D$289*W25*Y25)</f>
        <v>31.970883567749095</v>
      </c>
      <c r="AB25">
        <f t="shared" ref="AB25:AB31" si="18">IF($E25=0,0,MAX(0,(($P25-U25)/$D$301)*(($P25-U25)/$E$270-0.55)))</f>
        <v>5.3846541487413111</v>
      </c>
      <c r="AC25">
        <f t="shared" ref="AC25:AC31" si="19">Z25+AA25+AB25</f>
        <v>110.61497512534017</v>
      </c>
      <c r="AD25">
        <f t="shared" ref="AD25:AD31" si="20">IF($E25=0,0,$P25-U25-AC25)</f>
        <v>1044.2416510847981</v>
      </c>
    </row>
    <row r="26" spans="1:30" x14ac:dyDescent="0.3">
      <c r="A26" s="62" t="s">
        <v>1509</v>
      </c>
      <c r="B26" s="62">
        <v>6</v>
      </c>
      <c r="C26" s="62">
        <v>12</v>
      </c>
      <c r="D26" s="61">
        <f t="shared" ref="D26:D31" si="21">+$D$19</f>
        <v>140</v>
      </c>
      <c r="E26" s="61">
        <f t="shared" si="0"/>
        <v>10080</v>
      </c>
      <c r="F26" s="80">
        <f t="shared" si="1"/>
        <v>600</v>
      </c>
      <c r="G26" s="59">
        <v>3</v>
      </c>
      <c r="H26" s="80">
        <f t="shared" si="2"/>
        <v>0</v>
      </c>
      <c r="I26" s="63">
        <f t="shared" ref="I26:I31" si="22">IF($E26=0,0,$E26*($P26-IF($D$323=1,U26,$D$290))/1000)</f>
        <v>11894.478043429332</v>
      </c>
      <c r="J26" s="63">
        <f t="shared" ref="J26:J31" si="23">IF($E26=0,0,$E26*($P26-IF($D$323=1,U26+AC26,$D$290+$D$302))/1000)</f>
        <v>10775.531609459837</v>
      </c>
      <c r="K26" s="61">
        <f t="shared" si="3"/>
        <v>0</v>
      </c>
      <c r="L26" s="41">
        <f t="shared" si="4"/>
        <v>11775</v>
      </c>
      <c r="M26" s="41">
        <f t="shared" si="5"/>
        <v>0</v>
      </c>
      <c r="N26" s="41">
        <f t="shared" si="6"/>
        <v>104.30682983156171</v>
      </c>
      <c r="O26" s="41">
        <f t="shared" si="7"/>
        <v>100.38216560509554</v>
      </c>
      <c r="P26" s="41">
        <f t="shared" si="8"/>
        <v>1190.3110045633427</v>
      </c>
      <c r="Q26" s="41">
        <f t="shared" ref="Q26:Q31" si="24">IF($E26=0,0,$P26-IF($D$323=1,U26+AC26,$D$290+$D$302))</f>
        <v>1069.0011517321266</v>
      </c>
      <c r="R26" s="41">
        <f t="shared" si="9"/>
        <v>11.133652070985136</v>
      </c>
      <c r="S26" s="41"/>
      <c r="T26" s="52">
        <f t="shared" si="10"/>
        <v>10</v>
      </c>
      <c r="U26">
        <f t="shared" si="11"/>
        <v>3.5720829486637116</v>
      </c>
      <c r="V26">
        <f t="shared" si="12"/>
        <v>0.18520855682463558</v>
      </c>
      <c r="W26">
        <f t="shared" si="13"/>
        <v>1.4979814471067652</v>
      </c>
      <c r="X26">
        <f t="shared" si="14"/>
        <v>3.8666830803431215E-4</v>
      </c>
      <c r="Y26">
        <f t="shared" si="15"/>
        <v>0.96174242643954211</v>
      </c>
      <c r="Z26">
        <f t="shared" si="16"/>
        <v>73.259437408849763</v>
      </c>
      <c r="AA26">
        <f t="shared" si="17"/>
        <v>31.970883567749095</v>
      </c>
      <c r="AB26">
        <f t="shared" si="18"/>
        <v>6.2867133202814838</v>
      </c>
      <c r="AC26">
        <f t="shared" si="19"/>
        <v>111.51703429688034</v>
      </c>
      <c r="AD26">
        <f t="shared" si="20"/>
        <v>1075.2218873177985</v>
      </c>
    </row>
    <row r="27" spans="1:30" x14ac:dyDescent="0.3">
      <c r="A27" s="62" t="s">
        <v>1510</v>
      </c>
      <c r="B27" s="62">
        <v>0</v>
      </c>
      <c r="C27" s="62">
        <v>12</v>
      </c>
      <c r="D27" s="61">
        <f t="shared" si="21"/>
        <v>140</v>
      </c>
      <c r="E27" s="61">
        <f t="shared" si="0"/>
        <v>0</v>
      </c>
      <c r="F27" s="80">
        <f t="shared" si="1"/>
        <v>600</v>
      </c>
      <c r="G27" s="59">
        <v>0</v>
      </c>
      <c r="H27" s="80">
        <f t="shared" si="2"/>
        <v>0</v>
      </c>
      <c r="I27" s="63">
        <f t="shared" si="22"/>
        <v>0</v>
      </c>
      <c r="J27" s="63">
        <f t="shared" si="23"/>
        <v>0</v>
      </c>
      <c r="K27" s="61">
        <f t="shared" si="3"/>
        <v>0</v>
      </c>
      <c r="L27" s="41">
        <f t="shared" si="4"/>
        <v>11775</v>
      </c>
      <c r="M27" s="41">
        <f t="shared" si="5"/>
        <v>0</v>
      </c>
      <c r="N27" s="41">
        <f t="shared" si="6"/>
        <v>0</v>
      </c>
      <c r="O27" s="41">
        <f t="shared" si="7"/>
        <v>0</v>
      </c>
      <c r="P27" s="41">
        <f t="shared" si="8"/>
        <v>0</v>
      </c>
      <c r="Q27" s="41">
        <f t="shared" si="24"/>
        <v>0</v>
      </c>
      <c r="R27" s="41">
        <f t="shared" si="9"/>
        <v>0</v>
      </c>
      <c r="S27" s="41"/>
      <c r="T27" s="52">
        <f t="shared" si="10"/>
        <v>10</v>
      </c>
      <c r="U27">
        <f t="shared" si="11"/>
        <v>0</v>
      </c>
      <c r="V27">
        <f t="shared" si="12"/>
        <v>0</v>
      </c>
      <c r="W27">
        <f t="shared" si="13"/>
        <v>0</v>
      </c>
      <c r="X27">
        <f t="shared" si="14"/>
        <v>0</v>
      </c>
      <c r="Y27">
        <f t="shared" si="15"/>
        <v>0</v>
      </c>
      <c r="Z27">
        <f t="shared" si="16"/>
        <v>0</v>
      </c>
      <c r="AA27">
        <f t="shared" si="17"/>
        <v>0</v>
      </c>
      <c r="AB27">
        <f t="shared" si="18"/>
        <v>0</v>
      </c>
      <c r="AC27">
        <f t="shared" si="19"/>
        <v>0</v>
      </c>
      <c r="AD27">
        <f t="shared" si="20"/>
        <v>0</v>
      </c>
    </row>
    <row r="28" spans="1:30" x14ac:dyDescent="0.3">
      <c r="A28" s="62" t="s">
        <v>1511</v>
      </c>
      <c r="B28" s="62">
        <v>0</v>
      </c>
      <c r="C28" s="62">
        <v>12</v>
      </c>
      <c r="D28" s="61">
        <f t="shared" si="21"/>
        <v>140</v>
      </c>
      <c r="E28" s="61">
        <f t="shared" si="0"/>
        <v>0</v>
      </c>
      <c r="F28" s="80">
        <f t="shared" si="1"/>
        <v>600</v>
      </c>
      <c r="G28" s="59">
        <v>0</v>
      </c>
      <c r="H28" s="80">
        <f t="shared" si="2"/>
        <v>0</v>
      </c>
      <c r="I28" s="63">
        <f t="shared" si="22"/>
        <v>0</v>
      </c>
      <c r="J28" s="63">
        <f t="shared" si="23"/>
        <v>0</v>
      </c>
      <c r="K28" s="61">
        <f t="shared" si="3"/>
        <v>0</v>
      </c>
      <c r="L28" s="41">
        <f t="shared" si="4"/>
        <v>11775</v>
      </c>
      <c r="M28" s="41">
        <f t="shared" si="5"/>
        <v>0</v>
      </c>
      <c r="N28" s="41">
        <f t="shared" si="6"/>
        <v>0</v>
      </c>
      <c r="O28" s="41">
        <f t="shared" si="7"/>
        <v>0</v>
      </c>
      <c r="P28" s="41">
        <f t="shared" si="8"/>
        <v>0</v>
      </c>
      <c r="Q28" s="41">
        <f t="shared" si="24"/>
        <v>0</v>
      </c>
      <c r="R28" s="41">
        <f t="shared" si="9"/>
        <v>0</v>
      </c>
      <c r="S28" s="41"/>
      <c r="T28" s="52">
        <f t="shared" si="10"/>
        <v>10</v>
      </c>
      <c r="U28">
        <f t="shared" si="11"/>
        <v>0</v>
      </c>
      <c r="V28">
        <f t="shared" si="12"/>
        <v>0</v>
      </c>
      <c r="W28">
        <f t="shared" si="13"/>
        <v>0</v>
      </c>
      <c r="X28">
        <f t="shared" si="14"/>
        <v>0</v>
      </c>
      <c r="Y28">
        <f t="shared" si="15"/>
        <v>0</v>
      </c>
      <c r="Z28">
        <f t="shared" si="16"/>
        <v>0</v>
      </c>
      <c r="AA28">
        <f t="shared" si="17"/>
        <v>0</v>
      </c>
      <c r="AB28">
        <f t="shared" si="18"/>
        <v>0</v>
      </c>
      <c r="AC28">
        <f t="shared" si="19"/>
        <v>0</v>
      </c>
      <c r="AD28">
        <f t="shared" si="20"/>
        <v>0</v>
      </c>
    </row>
    <row r="29" spans="1:30" x14ac:dyDescent="0.3">
      <c r="A29" s="62" t="s">
        <v>1512</v>
      </c>
      <c r="B29" s="62">
        <v>0</v>
      </c>
      <c r="C29" s="62">
        <v>12</v>
      </c>
      <c r="D29" s="61">
        <f t="shared" si="21"/>
        <v>140</v>
      </c>
      <c r="E29" s="61">
        <f t="shared" si="0"/>
        <v>0</v>
      </c>
      <c r="F29" s="80">
        <f t="shared" si="1"/>
        <v>600</v>
      </c>
      <c r="G29" s="59">
        <v>0</v>
      </c>
      <c r="H29" s="80">
        <f t="shared" si="2"/>
        <v>0</v>
      </c>
      <c r="I29" s="63">
        <f t="shared" si="22"/>
        <v>0</v>
      </c>
      <c r="J29" s="63">
        <f t="shared" si="23"/>
        <v>0</v>
      </c>
      <c r="K29" s="61">
        <f t="shared" si="3"/>
        <v>0</v>
      </c>
      <c r="L29" s="41">
        <f t="shared" si="4"/>
        <v>11775</v>
      </c>
      <c r="M29" s="41">
        <f t="shared" si="5"/>
        <v>0</v>
      </c>
      <c r="N29" s="41">
        <f t="shared" si="6"/>
        <v>0</v>
      </c>
      <c r="O29" s="41">
        <f t="shared" si="7"/>
        <v>0</v>
      </c>
      <c r="P29" s="41">
        <f t="shared" si="8"/>
        <v>0</v>
      </c>
      <c r="Q29" s="41">
        <f t="shared" si="24"/>
        <v>0</v>
      </c>
      <c r="R29" s="41">
        <f t="shared" si="9"/>
        <v>0</v>
      </c>
      <c r="S29" s="41"/>
      <c r="T29" s="52">
        <f t="shared" si="10"/>
        <v>10</v>
      </c>
      <c r="U29">
        <f t="shared" si="11"/>
        <v>0</v>
      </c>
      <c r="V29">
        <f t="shared" si="12"/>
        <v>0</v>
      </c>
      <c r="W29">
        <f t="shared" si="13"/>
        <v>0</v>
      </c>
      <c r="X29">
        <f t="shared" si="14"/>
        <v>0</v>
      </c>
      <c r="Y29">
        <f t="shared" si="15"/>
        <v>0</v>
      </c>
      <c r="Z29">
        <f t="shared" si="16"/>
        <v>0</v>
      </c>
      <c r="AA29">
        <f t="shared" si="17"/>
        <v>0</v>
      </c>
      <c r="AB29">
        <f t="shared" si="18"/>
        <v>0</v>
      </c>
      <c r="AC29">
        <f t="shared" si="19"/>
        <v>0</v>
      </c>
      <c r="AD29">
        <f t="shared" si="20"/>
        <v>0</v>
      </c>
    </row>
    <row r="30" spans="1:30" x14ac:dyDescent="0.3">
      <c r="A30" s="62" t="s">
        <v>1513</v>
      </c>
      <c r="B30" s="62">
        <v>0</v>
      </c>
      <c r="C30" s="62">
        <v>12</v>
      </c>
      <c r="D30" s="61">
        <f t="shared" si="21"/>
        <v>140</v>
      </c>
      <c r="E30" s="61">
        <f t="shared" si="0"/>
        <v>0</v>
      </c>
      <c r="F30" s="80">
        <f t="shared" si="1"/>
        <v>600</v>
      </c>
      <c r="G30" s="59">
        <v>0</v>
      </c>
      <c r="H30" s="80">
        <f t="shared" si="2"/>
        <v>0</v>
      </c>
      <c r="I30" s="63">
        <f t="shared" si="22"/>
        <v>0</v>
      </c>
      <c r="J30" s="63">
        <f t="shared" si="23"/>
        <v>0</v>
      </c>
      <c r="K30" s="61">
        <f t="shared" si="3"/>
        <v>0</v>
      </c>
      <c r="L30" s="41">
        <f t="shared" si="4"/>
        <v>11775</v>
      </c>
      <c r="M30" s="41">
        <f t="shared" si="5"/>
        <v>0</v>
      </c>
      <c r="N30" s="41">
        <f t="shared" si="6"/>
        <v>0</v>
      </c>
      <c r="O30" s="41">
        <f t="shared" si="7"/>
        <v>0</v>
      </c>
      <c r="P30" s="41">
        <f t="shared" si="8"/>
        <v>0</v>
      </c>
      <c r="Q30" s="41">
        <f t="shared" si="24"/>
        <v>0</v>
      </c>
      <c r="R30" s="41">
        <f t="shared" si="9"/>
        <v>0</v>
      </c>
      <c r="S30" s="41"/>
      <c r="T30" s="52">
        <f t="shared" si="10"/>
        <v>10</v>
      </c>
      <c r="U30">
        <f t="shared" si="11"/>
        <v>0</v>
      </c>
      <c r="V30">
        <f t="shared" si="12"/>
        <v>0</v>
      </c>
      <c r="W30">
        <f t="shared" si="13"/>
        <v>0</v>
      </c>
      <c r="X30">
        <f t="shared" si="14"/>
        <v>0</v>
      </c>
      <c r="Y30">
        <f t="shared" si="15"/>
        <v>0</v>
      </c>
      <c r="Z30">
        <f t="shared" si="16"/>
        <v>0</v>
      </c>
      <c r="AA30">
        <f t="shared" si="17"/>
        <v>0</v>
      </c>
      <c r="AB30">
        <f t="shared" si="18"/>
        <v>0</v>
      </c>
      <c r="AC30">
        <f t="shared" si="19"/>
        <v>0</v>
      </c>
      <c r="AD30">
        <f t="shared" si="20"/>
        <v>0</v>
      </c>
    </row>
    <row r="31" spans="1:30" x14ac:dyDescent="0.3">
      <c r="A31" s="62" t="s">
        <v>1514</v>
      </c>
      <c r="B31" s="62">
        <v>0</v>
      </c>
      <c r="C31" s="62">
        <v>12</v>
      </c>
      <c r="D31" s="61">
        <f t="shared" si="21"/>
        <v>140</v>
      </c>
      <c r="E31" s="61">
        <f t="shared" si="0"/>
        <v>0</v>
      </c>
      <c r="F31" s="80">
        <f t="shared" si="1"/>
        <v>600</v>
      </c>
      <c r="G31" s="59">
        <v>0</v>
      </c>
      <c r="H31" s="80">
        <f t="shared" si="2"/>
        <v>0</v>
      </c>
      <c r="I31" s="63">
        <f t="shared" si="22"/>
        <v>0</v>
      </c>
      <c r="J31" s="63">
        <f t="shared" si="23"/>
        <v>0</v>
      </c>
      <c r="K31" s="61">
        <f t="shared" si="3"/>
        <v>0</v>
      </c>
      <c r="L31" s="41">
        <f t="shared" si="4"/>
        <v>11775</v>
      </c>
      <c r="M31" s="41">
        <f t="shared" si="5"/>
        <v>0</v>
      </c>
      <c r="N31" s="41">
        <f t="shared" si="6"/>
        <v>0</v>
      </c>
      <c r="O31" s="41">
        <f t="shared" si="7"/>
        <v>0</v>
      </c>
      <c r="P31" s="41">
        <f t="shared" si="8"/>
        <v>0</v>
      </c>
      <c r="Q31" s="41">
        <f t="shared" si="24"/>
        <v>0</v>
      </c>
      <c r="R31" s="41">
        <f t="shared" si="9"/>
        <v>0</v>
      </c>
      <c r="S31" s="41"/>
      <c r="T31" s="52">
        <f t="shared" si="10"/>
        <v>10</v>
      </c>
      <c r="U31">
        <f t="shared" si="11"/>
        <v>0</v>
      </c>
      <c r="V31">
        <f t="shared" si="12"/>
        <v>0</v>
      </c>
      <c r="W31">
        <f t="shared" si="13"/>
        <v>0</v>
      </c>
      <c r="X31">
        <f t="shared" si="14"/>
        <v>0</v>
      </c>
      <c r="Y31">
        <f t="shared" si="15"/>
        <v>0</v>
      </c>
      <c r="Z31">
        <f t="shared" si="16"/>
        <v>0</v>
      </c>
      <c r="AA31">
        <f t="shared" si="17"/>
        <v>0</v>
      </c>
      <c r="AB31">
        <f t="shared" si="18"/>
        <v>0</v>
      </c>
      <c r="AC31">
        <f t="shared" si="19"/>
        <v>0</v>
      </c>
      <c r="AD31">
        <f t="shared" si="20"/>
        <v>0</v>
      </c>
    </row>
    <row r="32" spans="1:30" ht="57.6" x14ac:dyDescent="0.3">
      <c r="A32" s="41" t="s">
        <v>1833</v>
      </c>
      <c r="B32" s="41"/>
      <c r="C32" s="41"/>
      <c r="D32" s="41">
        <f>MAX($R$25:$R$31)</f>
        <v>11.133652070985136</v>
      </c>
      <c r="E32" s="41" t="str">
        <f>IF($D$32&gt;0.05*$D$303,"LƯU Ý: chênh &gt;5% — nên kiểm riêng từng nhóm","Chênh nhỏ — fpe trung bình hợp lý")</f>
        <v>Chênh nhỏ — fpe trung bình hợp lý</v>
      </c>
      <c r="F32" s="41"/>
      <c r="G32" s="41"/>
      <c r="H32" s="41"/>
      <c r="I32" s="41"/>
      <c r="J32" s="41"/>
      <c r="K32" s="41"/>
      <c r="L32" s="41"/>
      <c r="M32" s="41"/>
      <c r="N32" s="41"/>
      <c r="O32" s="41"/>
      <c r="P32" s="41"/>
      <c r="Q32" s="41"/>
      <c r="R32" s="41"/>
      <c r="S32" s="41"/>
    </row>
    <row r="33" spans="1:53" ht="43.2" x14ac:dyDescent="0.3">
      <c r="A33" t="s">
        <v>1705</v>
      </c>
      <c r="B33" s="41"/>
      <c r="C33" s="41"/>
      <c r="D33" s="41"/>
      <c r="E33" s="41"/>
      <c r="F33" s="41"/>
      <c r="G33" s="41"/>
      <c r="H33" s="41"/>
      <c r="I33" s="41"/>
      <c r="J33" s="41"/>
      <c r="K33" s="41"/>
      <c r="L33" s="41"/>
      <c r="M33" s="41"/>
      <c r="N33" s="41"/>
      <c r="O33" s="41"/>
      <c r="P33" s="41" t="s">
        <v>1908</v>
      </c>
      <c r="Q33" s="120">
        <v>1</v>
      </c>
      <c r="R33" s="41" t="s">
        <v>1910</v>
      </c>
      <c r="S33" s="41"/>
    </row>
    <row r="34" spans="1:53" ht="43.2" x14ac:dyDescent="0.3">
      <c r="A34" t="s">
        <v>1808</v>
      </c>
      <c r="B34" s="41"/>
      <c r="C34" s="41"/>
      <c r="D34" s="41"/>
      <c r="E34" s="41"/>
      <c r="F34" s="41"/>
      <c r="G34" s="41"/>
      <c r="H34" s="41"/>
      <c r="I34" s="41"/>
      <c r="J34" s="41"/>
      <c r="K34" s="41"/>
      <c r="L34" s="41"/>
      <c r="M34" s="41"/>
      <c r="N34" s="41"/>
      <c r="O34" s="41"/>
      <c r="P34" s="41" t="s">
        <v>1909</v>
      </c>
      <c r="Q34" s="121" t="str">
        <f>IF(AND(capOpt&lt;&gt;1,capOpt&lt;&gt;2),"⚠ capOpt phải =1 hoặc =2",IF(capOpt=1,"(đang dùng Option-1 parabol)",IF(MIN($C$820:$C$826)=1,"OK — fillet hợp lệ","BLOCK: R quá lớn / cung chồng / nhập sai — KIỂM TAY")))</f>
        <v>(đang dùng Option-1 parabol)</v>
      </c>
      <c r="R34" s="41"/>
      <c r="S34" s="41"/>
    </row>
    <row r="35" spans="1:53" s="98" customFormat="1" ht="27.6" customHeight="1" x14ac:dyDescent="0.3">
      <c r="A35" s="97" t="s">
        <v>625</v>
      </c>
      <c r="B35" s="97" t="s">
        <v>1706</v>
      </c>
      <c r="C35" s="97" t="s">
        <v>1707</v>
      </c>
      <c r="D35" s="97" t="s">
        <v>1708</v>
      </c>
      <c r="E35" s="97" t="s">
        <v>1709</v>
      </c>
      <c r="F35" s="97" t="s">
        <v>1710</v>
      </c>
      <c r="G35" s="97" t="s">
        <v>1711</v>
      </c>
      <c r="H35" s="97" t="s">
        <v>1712</v>
      </c>
      <c r="I35" s="97" t="s">
        <v>1713</v>
      </c>
      <c r="J35" s="97" t="s">
        <v>1714</v>
      </c>
      <c r="K35" s="97" t="s">
        <v>1715</v>
      </c>
      <c r="L35" s="97" t="s">
        <v>1716</v>
      </c>
      <c r="M35" s="97" t="s">
        <v>1717</v>
      </c>
      <c r="N35" s="97" t="s">
        <v>1718</v>
      </c>
      <c r="O35" s="97" t="s">
        <v>1719</v>
      </c>
      <c r="P35" s="97" t="s">
        <v>1723</v>
      </c>
      <c r="Q35" s="97" t="s">
        <v>1720</v>
      </c>
      <c r="R35" s="97" t="s">
        <v>1721</v>
      </c>
      <c r="S35" s="97" t="s">
        <v>1722</v>
      </c>
      <c r="U35" s="98">
        <f>$D$13/10*0</f>
        <v>0</v>
      </c>
      <c r="V35" s="98">
        <f>$D$13/10*1</f>
        <v>1177.5</v>
      </c>
      <c r="W35" s="98">
        <f>$D$13/10*2</f>
        <v>2355</v>
      </c>
      <c r="X35" s="98">
        <f>$D$13/10*3</f>
        <v>3532.5</v>
      </c>
      <c r="Y35" s="98">
        <f>$D$13/10*4</f>
        <v>4710</v>
      </c>
      <c r="Z35" s="98">
        <f>$D$13/10*5</f>
        <v>5887.5</v>
      </c>
      <c r="AA35" s="98">
        <f>$D$13/10*6</f>
        <v>7065</v>
      </c>
      <c r="AB35" s="98">
        <f>$D$13/10*7</f>
        <v>8242.5</v>
      </c>
      <c r="AC35" s="98">
        <f>$D$13/10*8</f>
        <v>9420</v>
      </c>
      <c r="AD35" s="98">
        <f>$D$13/10*9</f>
        <v>10597.5</v>
      </c>
      <c r="AE35" s="98">
        <f>$D$13/10*10</f>
        <v>11775</v>
      </c>
      <c r="AF35" s="98">
        <f>$D$13/10*11</f>
        <v>12952.5</v>
      </c>
      <c r="AG35" s="98">
        <f>$D$13/10*12</f>
        <v>14130</v>
      </c>
      <c r="AH35" s="98">
        <f>$D$13/10*13</f>
        <v>15307.5</v>
      </c>
      <c r="AI35" s="98">
        <f>$D$13/10*14</f>
        <v>16485</v>
      </c>
      <c r="AJ35" s="98">
        <f>$D$13/10*15</f>
        <v>17662.5</v>
      </c>
      <c r="AK35" s="98">
        <f>$D$13/10*16</f>
        <v>18840</v>
      </c>
      <c r="AL35" s="98">
        <f>$D$13/10*17</f>
        <v>20017.5</v>
      </c>
      <c r="AM35" s="98">
        <f>$D$13/10*18</f>
        <v>21195</v>
      </c>
      <c r="AN35" s="98">
        <f>$D$13/10*19</f>
        <v>22372.5</v>
      </c>
      <c r="AO35" s="98">
        <f>$D$13/10*20</f>
        <v>23550</v>
      </c>
    </row>
    <row r="36" spans="1:53" s="98" customFormat="1" x14ac:dyDescent="0.3">
      <c r="A36" s="97" t="s">
        <v>1508</v>
      </c>
      <c r="B36" s="97">
        <v>0</v>
      </c>
      <c r="C36" s="97">
        <v>600</v>
      </c>
      <c r="D36" s="97">
        <v>6000</v>
      </c>
      <c r="E36" s="97">
        <v>800</v>
      </c>
      <c r="F36" s="97">
        <v>11775</v>
      </c>
      <c r="G36" s="97">
        <v>1000</v>
      </c>
      <c r="H36" s="97">
        <v>17550</v>
      </c>
      <c r="I36" s="97">
        <v>800</v>
      </c>
      <c r="J36" s="97">
        <v>23550</v>
      </c>
      <c r="K36" s="97">
        <v>600</v>
      </c>
      <c r="L36" s="97">
        <v>1</v>
      </c>
      <c r="M36" s="97">
        <v>2</v>
      </c>
      <c r="N36" s="97">
        <v>3</v>
      </c>
      <c r="O36" s="97">
        <v>1</v>
      </c>
      <c r="P36" s="97"/>
      <c r="Q36" s="97">
        <f t="shared" ref="Q36:Q42" si="25">AE36</f>
        <v>1000</v>
      </c>
      <c r="R36" s="97">
        <f>IF(capOpt=2,$O$820,ATAN(ABS(AF36-AD36)/(AF$35-AD$35)))</f>
        <v>0</v>
      </c>
      <c r="S36" s="97">
        <f>IF(capOpt=2,$B$820,SUMPRODUCT(ABS(AR36:BA36-AQ36:AZ36)))</f>
        <v>7.6053898113395774E-2</v>
      </c>
      <c r="U36" s="98">
        <f t="shared" ref="U36:AO36" si="26">IF(capOpt=2,U810,IF(U$35&lt;=$B36,$C36,IF($D36="",$C36,IF(U$35&lt;=$D36,IF($L36=1,($C36+($E36-$C36)*(U$35-$B36)/($D36-$B36)),IF($L36=3,($C36+($E36-$C36)*((U$35-$B36)/($D36-$B36))^2),($E36-($E36-$C36)*(($D36-U$35)/($D36-$B36))^2))),IF($F36="",$E36,IF(U$35&lt;=$F36,IF($M36=1,($E36+($G36-$E36)*(U$35-$D36)/($F36-$D36)),IF($M36=3,($E36+($G36-$E36)*((U$35-$D36)/($F36-$D36))^2),($G36-($G36-$E36)*(($F36-U$35)/($F36-$D36))^2))),IF($H36="",$G36,IF(U$35&lt;=$H36,IF($N36=1,($G36+($I36-$G36)*(U$35-$F36)/($H36-$F36)),IF($N36=3,($G36+($I36-$G36)*((U$35-$F36)/($H36-$F36))^2),($I36-($I36-$G36)*(($H36-U$35)/($H36-$F36))^2))),IF($J36="",$I36,IF(U$35&lt;=$J36,IF($O36=1,($I36+($K36-$I36)*(U$35-$H36)/($J36-$H36)),IF($O36=3,($I36+($K36-$I36)*((U$35-$H36)/($J36-$H36))^2),($K36-($K36-$I36)*(($J36-U$35)/($J36-$H36))^2))),$K36))))))))))</f>
        <v>600</v>
      </c>
      <c r="V36" s="98">
        <f t="shared" si="26"/>
        <v>639.25</v>
      </c>
      <c r="W36" s="98">
        <f t="shared" si="26"/>
        <v>678.5</v>
      </c>
      <c r="X36" s="98">
        <f t="shared" si="26"/>
        <v>717.75</v>
      </c>
      <c r="Y36" s="98">
        <f t="shared" si="26"/>
        <v>757</v>
      </c>
      <c r="Z36" s="98">
        <f t="shared" si="26"/>
        <v>796.25</v>
      </c>
      <c r="AA36" s="98">
        <f t="shared" si="26"/>
        <v>866.96441221116538</v>
      </c>
      <c r="AB36" s="98">
        <f t="shared" si="26"/>
        <v>925.16748186878056</v>
      </c>
      <c r="AC36" s="98">
        <f t="shared" si="26"/>
        <v>966.74110305279135</v>
      </c>
      <c r="AD36" s="98">
        <f t="shared" si="26"/>
        <v>991.68527576319786</v>
      </c>
      <c r="AE36" s="98">
        <f t="shared" si="26"/>
        <v>1000</v>
      </c>
      <c r="AF36" s="98">
        <f t="shared" si="26"/>
        <v>991.68527576319786</v>
      </c>
      <c r="AG36" s="98">
        <f t="shared" si="26"/>
        <v>966.74110305279135</v>
      </c>
      <c r="AH36" s="98">
        <f t="shared" si="26"/>
        <v>925.16748186878056</v>
      </c>
      <c r="AI36" s="98">
        <f t="shared" si="26"/>
        <v>866.96441221116538</v>
      </c>
      <c r="AJ36" s="98">
        <f t="shared" si="26"/>
        <v>796.25</v>
      </c>
      <c r="AK36" s="98">
        <f t="shared" si="26"/>
        <v>757</v>
      </c>
      <c r="AL36" s="98">
        <f t="shared" si="26"/>
        <v>717.75</v>
      </c>
      <c r="AM36" s="98">
        <f t="shared" si="26"/>
        <v>678.5</v>
      </c>
      <c r="AN36" s="98">
        <f t="shared" si="26"/>
        <v>639.25</v>
      </c>
      <c r="AO36" s="98">
        <f t="shared" si="26"/>
        <v>600</v>
      </c>
      <c r="AQ36" s="98">
        <f t="shared" ref="AQ36:AQ42" si="27">ATAN((V36-U36)/(V$35-U$35))</f>
        <v>3.3320995878247196E-2</v>
      </c>
      <c r="AR36" s="98">
        <f t="shared" ref="AR36:BA42" si="28">ATAN((W36-U36)/(W$35-U$35))</f>
        <v>3.3320995878247196E-2</v>
      </c>
      <c r="AS36" s="98">
        <f t="shared" si="28"/>
        <v>3.3320995878247196E-2</v>
      </c>
      <c r="AT36" s="98">
        <f t="shared" si="28"/>
        <v>3.3320995878247196E-2</v>
      </c>
      <c r="AU36" s="98">
        <f t="shared" si="28"/>
        <v>3.3320995878247196E-2</v>
      </c>
      <c r="AV36" s="98">
        <f t="shared" si="28"/>
        <v>4.666012610717158E-2</v>
      </c>
      <c r="AW36" s="98">
        <f t="shared" si="28"/>
        <v>5.4687446995821488E-2</v>
      </c>
      <c r="AX36" s="98">
        <f t="shared" si="28"/>
        <v>4.2342697962331803E-2</v>
      </c>
      <c r="AY36" s="98">
        <f t="shared" si="28"/>
        <v>2.8237839943016138E-2</v>
      </c>
      <c r="AZ36" s="98">
        <f t="shared" si="28"/>
        <v>1.4121735053234916E-2</v>
      </c>
      <c r="BA36" s="98">
        <f t="shared" si="28"/>
        <v>0</v>
      </c>
    </row>
    <row r="37" spans="1:53" s="98" customFormat="1" x14ac:dyDescent="0.3">
      <c r="A37" s="97" t="s">
        <v>1509</v>
      </c>
      <c r="B37" s="97">
        <v>0</v>
      </c>
      <c r="C37" s="97">
        <v>600</v>
      </c>
      <c r="D37" s="97">
        <f t="shared" ref="D37:D42" si="29">2*$D$13</f>
        <v>23550</v>
      </c>
      <c r="E37" s="97">
        <v>600</v>
      </c>
      <c r="F37" s="97"/>
      <c r="G37" s="97"/>
      <c r="H37" s="97"/>
      <c r="I37" s="97"/>
      <c r="J37" s="97"/>
      <c r="K37" s="97"/>
      <c r="L37" s="97">
        <v>1</v>
      </c>
      <c r="M37" s="97"/>
      <c r="N37" s="97"/>
      <c r="O37" s="97"/>
      <c r="P37" s="97"/>
      <c r="Q37" s="97">
        <f t="shared" si="25"/>
        <v>600</v>
      </c>
      <c r="R37" s="97">
        <f>IF(capOpt=2,$O$821,ATAN(ABS(AF37-AD37)/(AF$35-AD$35)))</f>
        <v>0</v>
      </c>
      <c r="S37" s="97">
        <f>IF(capOpt=2,$B$821,SUMPRODUCT(ABS(AR37:BA37-AQ37:AZ37)))</f>
        <v>0</v>
      </c>
      <c r="U37" s="98">
        <f t="shared" ref="U37:AO37" si="30">IF(capOpt=2,U811,IF(U$35&lt;=$B37,$C37,IF($D37="",$C37,IF(U$35&lt;=$D37,IF($L37=1,($C37+($E37-$C37)*(U$35-$B37)/($D37-$B37)),IF($L37=3,($C37+($E37-$C37)*((U$35-$B37)/($D37-$B37))^2),($E37-($E37-$C37)*(($D37-U$35)/($D37-$B37))^2))),IF($F37="",$E37,IF(U$35&lt;=$F37,IF($M37=1,($E37+($G37-$E37)*(U$35-$D37)/($F37-$D37)),IF($M37=3,($E37+($G37-$E37)*((U$35-$D37)/($F37-$D37))^2),($G37-($G37-$E37)*(($F37-U$35)/($F37-$D37))^2))),IF($H37="",$G37,IF(U$35&lt;=$H37,IF($N37=1,($G37+($I37-$G37)*(U$35-$F37)/($H37-$F37)),IF($N37=3,($G37+($I37-$G37)*((U$35-$F37)/($H37-$F37))^2),($I37-($I37-$G37)*(($H37-U$35)/($H37-$F37))^2))),IF($J37="",$I37,IF(U$35&lt;=$J37,IF($O37=1,($I37+($K37-$I37)*(U$35-$H37)/($J37-$H37)),IF($O37=3,($I37+($K37-$I37)*((U$35-$H37)/($J37-$H37))^2),($K37-($K37-$I37)*(($J37-U$35)/($J37-$H37))^2))),$K37))))))))))</f>
        <v>600</v>
      </c>
      <c r="V37" s="98">
        <f t="shared" si="30"/>
        <v>600</v>
      </c>
      <c r="W37" s="98">
        <f t="shared" si="30"/>
        <v>600</v>
      </c>
      <c r="X37" s="98">
        <f t="shared" si="30"/>
        <v>600</v>
      </c>
      <c r="Y37" s="98">
        <f t="shared" si="30"/>
        <v>600</v>
      </c>
      <c r="Z37" s="98">
        <f t="shared" si="30"/>
        <v>600</v>
      </c>
      <c r="AA37" s="98">
        <f t="shared" si="30"/>
        <v>600</v>
      </c>
      <c r="AB37" s="98">
        <f t="shared" si="30"/>
        <v>600</v>
      </c>
      <c r="AC37" s="98">
        <f t="shared" si="30"/>
        <v>600</v>
      </c>
      <c r="AD37" s="98">
        <f t="shared" si="30"/>
        <v>600</v>
      </c>
      <c r="AE37" s="98">
        <f t="shared" si="30"/>
        <v>600</v>
      </c>
      <c r="AF37" s="98">
        <f t="shared" si="30"/>
        <v>600</v>
      </c>
      <c r="AG37" s="98">
        <f t="shared" si="30"/>
        <v>600</v>
      </c>
      <c r="AH37" s="98">
        <f t="shared" si="30"/>
        <v>600</v>
      </c>
      <c r="AI37" s="98">
        <f t="shared" si="30"/>
        <v>600</v>
      </c>
      <c r="AJ37" s="98">
        <f t="shared" si="30"/>
        <v>600</v>
      </c>
      <c r="AK37" s="98">
        <f t="shared" si="30"/>
        <v>600</v>
      </c>
      <c r="AL37" s="98">
        <f t="shared" si="30"/>
        <v>600</v>
      </c>
      <c r="AM37" s="98">
        <f t="shared" si="30"/>
        <v>600</v>
      </c>
      <c r="AN37" s="98">
        <f t="shared" si="30"/>
        <v>600</v>
      </c>
      <c r="AO37" s="98">
        <f t="shared" si="30"/>
        <v>600</v>
      </c>
      <c r="AQ37" s="98">
        <f t="shared" si="27"/>
        <v>0</v>
      </c>
      <c r="AR37" s="98">
        <f t="shared" si="28"/>
        <v>0</v>
      </c>
      <c r="AS37" s="98">
        <f t="shared" si="28"/>
        <v>0</v>
      </c>
      <c r="AT37" s="98">
        <f t="shared" si="28"/>
        <v>0</v>
      </c>
      <c r="AU37" s="98">
        <f t="shared" si="28"/>
        <v>0</v>
      </c>
      <c r="AV37" s="98">
        <f t="shared" si="28"/>
        <v>0</v>
      </c>
      <c r="AW37" s="98">
        <f t="shared" si="28"/>
        <v>0</v>
      </c>
      <c r="AX37" s="98">
        <f t="shared" si="28"/>
        <v>0</v>
      </c>
      <c r="AY37" s="98">
        <f t="shared" si="28"/>
        <v>0</v>
      </c>
      <c r="AZ37" s="98">
        <f t="shared" si="28"/>
        <v>0</v>
      </c>
      <c r="BA37" s="98">
        <f t="shared" si="28"/>
        <v>0</v>
      </c>
    </row>
    <row r="38" spans="1:53" s="98" customFormat="1" x14ac:dyDescent="0.3">
      <c r="A38" s="97" t="s">
        <v>1510</v>
      </c>
      <c r="B38" s="97">
        <v>0</v>
      </c>
      <c r="C38" s="97">
        <v>600</v>
      </c>
      <c r="D38" s="97">
        <f t="shared" si="29"/>
        <v>23550</v>
      </c>
      <c r="E38" s="97">
        <v>600</v>
      </c>
      <c r="F38" s="97"/>
      <c r="G38" s="97"/>
      <c r="H38" s="97"/>
      <c r="I38" s="97"/>
      <c r="J38" s="97"/>
      <c r="K38" s="97"/>
      <c r="L38" s="97">
        <v>1</v>
      </c>
      <c r="M38" s="97"/>
      <c r="N38" s="97"/>
      <c r="O38" s="97"/>
      <c r="P38" s="97"/>
      <c r="Q38" s="97">
        <f t="shared" si="25"/>
        <v>600</v>
      </c>
      <c r="R38" s="97">
        <f>IF(capOpt=2,$O$822,ATAN(ABS(AF38-AD38)/(AF$35-AD$35)))</f>
        <v>0</v>
      </c>
      <c r="S38" s="97">
        <f>IF(capOpt=2,$B$822,SUMPRODUCT(ABS(AR38:BA38-AQ38:AZ38)))</f>
        <v>0</v>
      </c>
      <c r="U38" s="98">
        <f t="shared" ref="U38:AO38" si="31">IF(capOpt=2,U812,IF(U$35&lt;=$B38,$C38,IF($D38="",$C38,IF(U$35&lt;=$D38,IF($L38=1,($C38+($E38-$C38)*(U$35-$B38)/($D38-$B38)),IF($L38=3,($C38+($E38-$C38)*((U$35-$B38)/($D38-$B38))^2),($E38-($E38-$C38)*(($D38-U$35)/($D38-$B38))^2))),IF($F38="",$E38,IF(U$35&lt;=$F38,IF($M38=1,($E38+($G38-$E38)*(U$35-$D38)/($F38-$D38)),IF($M38=3,($E38+($G38-$E38)*((U$35-$D38)/($F38-$D38))^2),($G38-($G38-$E38)*(($F38-U$35)/($F38-$D38))^2))),IF($H38="",$G38,IF(U$35&lt;=$H38,IF($N38=1,($G38+($I38-$G38)*(U$35-$F38)/($H38-$F38)),IF($N38=3,($G38+($I38-$G38)*((U$35-$F38)/($H38-$F38))^2),($I38-($I38-$G38)*(($H38-U$35)/($H38-$F38))^2))),IF($J38="",$I38,IF(U$35&lt;=$J38,IF($O38=1,($I38+($K38-$I38)*(U$35-$H38)/($J38-$H38)),IF($O38=3,($I38+($K38-$I38)*((U$35-$H38)/($J38-$H38))^2),($K38-($K38-$I38)*(($J38-U$35)/($J38-$H38))^2))),$K38))))))))))</f>
        <v>600</v>
      </c>
      <c r="V38" s="98">
        <f t="shared" si="31"/>
        <v>600</v>
      </c>
      <c r="W38" s="98">
        <f t="shared" si="31"/>
        <v>600</v>
      </c>
      <c r="X38" s="98">
        <f t="shared" si="31"/>
        <v>600</v>
      </c>
      <c r="Y38" s="98">
        <f t="shared" si="31"/>
        <v>600</v>
      </c>
      <c r="Z38" s="98">
        <f t="shared" si="31"/>
        <v>600</v>
      </c>
      <c r="AA38" s="98">
        <f t="shared" si="31"/>
        <v>600</v>
      </c>
      <c r="AB38" s="98">
        <f t="shared" si="31"/>
        <v>600</v>
      </c>
      <c r="AC38" s="98">
        <f t="shared" si="31"/>
        <v>600</v>
      </c>
      <c r="AD38" s="98">
        <f t="shared" si="31"/>
        <v>600</v>
      </c>
      <c r="AE38" s="98">
        <f t="shared" si="31"/>
        <v>600</v>
      </c>
      <c r="AF38" s="98">
        <f t="shared" si="31"/>
        <v>600</v>
      </c>
      <c r="AG38" s="98">
        <f t="shared" si="31"/>
        <v>600</v>
      </c>
      <c r="AH38" s="98">
        <f t="shared" si="31"/>
        <v>600</v>
      </c>
      <c r="AI38" s="98">
        <f t="shared" si="31"/>
        <v>600</v>
      </c>
      <c r="AJ38" s="98">
        <f t="shared" si="31"/>
        <v>600</v>
      </c>
      <c r="AK38" s="98">
        <f t="shared" si="31"/>
        <v>600</v>
      </c>
      <c r="AL38" s="98">
        <f t="shared" si="31"/>
        <v>600</v>
      </c>
      <c r="AM38" s="98">
        <f t="shared" si="31"/>
        <v>600</v>
      </c>
      <c r="AN38" s="98">
        <f t="shared" si="31"/>
        <v>600</v>
      </c>
      <c r="AO38" s="98">
        <f t="shared" si="31"/>
        <v>600</v>
      </c>
      <c r="AQ38" s="98">
        <f t="shared" si="27"/>
        <v>0</v>
      </c>
      <c r="AR38" s="98">
        <f t="shared" si="28"/>
        <v>0</v>
      </c>
      <c r="AS38" s="98">
        <f t="shared" si="28"/>
        <v>0</v>
      </c>
      <c r="AT38" s="98">
        <f t="shared" si="28"/>
        <v>0</v>
      </c>
      <c r="AU38" s="98">
        <f t="shared" si="28"/>
        <v>0</v>
      </c>
      <c r="AV38" s="98">
        <f t="shared" si="28"/>
        <v>0</v>
      </c>
      <c r="AW38" s="98">
        <f t="shared" si="28"/>
        <v>0</v>
      </c>
      <c r="AX38" s="98">
        <f t="shared" si="28"/>
        <v>0</v>
      </c>
      <c r="AY38" s="98">
        <f t="shared" si="28"/>
        <v>0</v>
      </c>
      <c r="AZ38" s="98">
        <f t="shared" si="28"/>
        <v>0</v>
      </c>
      <c r="BA38" s="98">
        <f t="shared" si="28"/>
        <v>0</v>
      </c>
    </row>
    <row r="39" spans="1:53" s="98" customFormat="1" x14ac:dyDescent="0.3">
      <c r="A39" s="97" t="s">
        <v>1511</v>
      </c>
      <c r="B39" s="97">
        <v>0</v>
      </c>
      <c r="C39" s="97">
        <v>600</v>
      </c>
      <c r="D39" s="97">
        <f t="shared" si="29"/>
        <v>23550</v>
      </c>
      <c r="E39" s="97">
        <v>600</v>
      </c>
      <c r="F39" s="97"/>
      <c r="G39" s="97"/>
      <c r="H39" s="97"/>
      <c r="I39" s="97"/>
      <c r="J39" s="97"/>
      <c r="K39" s="97"/>
      <c r="L39" s="97">
        <v>1</v>
      </c>
      <c r="M39" s="97"/>
      <c r="N39" s="97"/>
      <c r="O39" s="97"/>
      <c r="P39" s="97"/>
      <c r="Q39" s="97">
        <f t="shared" si="25"/>
        <v>600</v>
      </c>
      <c r="R39" s="97">
        <f>IF(capOpt=2,$O$823,ATAN(ABS(AF39-AD39)/(AF$35-AD$35)))</f>
        <v>0</v>
      </c>
      <c r="S39" s="97">
        <f>IF(capOpt=2,$B$823,SUMPRODUCT(ABS(AR39:BA39-AQ39:AZ39)))</f>
        <v>0</v>
      </c>
      <c r="U39" s="98">
        <f t="shared" ref="U39:AO39" si="32">IF(capOpt=2,U813,IF(U$35&lt;=$B39,$C39,IF($D39="",$C39,IF(U$35&lt;=$D39,IF($L39=1,($C39+($E39-$C39)*(U$35-$B39)/($D39-$B39)),IF($L39=3,($C39+($E39-$C39)*((U$35-$B39)/($D39-$B39))^2),($E39-($E39-$C39)*(($D39-U$35)/($D39-$B39))^2))),IF($F39="",$E39,IF(U$35&lt;=$F39,IF($M39=1,($E39+($G39-$E39)*(U$35-$D39)/($F39-$D39)),IF($M39=3,($E39+($G39-$E39)*((U$35-$D39)/($F39-$D39))^2),($G39-($G39-$E39)*(($F39-U$35)/($F39-$D39))^2))),IF($H39="",$G39,IF(U$35&lt;=$H39,IF($N39=1,($G39+($I39-$G39)*(U$35-$F39)/($H39-$F39)),IF($N39=3,($G39+($I39-$G39)*((U$35-$F39)/($H39-$F39))^2),($I39-($I39-$G39)*(($H39-U$35)/($H39-$F39))^2))),IF($J39="",$I39,IF(U$35&lt;=$J39,IF($O39=1,($I39+($K39-$I39)*(U$35-$H39)/($J39-$H39)),IF($O39=3,($I39+($K39-$I39)*((U$35-$H39)/($J39-$H39))^2),($K39-($K39-$I39)*(($J39-U$35)/($J39-$H39))^2))),$K39))))))))))</f>
        <v>600</v>
      </c>
      <c r="V39" s="98">
        <f t="shared" si="32"/>
        <v>600</v>
      </c>
      <c r="W39" s="98">
        <f t="shared" si="32"/>
        <v>600</v>
      </c>
      <c r="X39" s="98">
        <f t="shared" si="32"/>
        <v>600</v>
      </c>
      <c r="Y39" s="98">
        <f t="shared" si="32"/>
        <v>600</v>
      </c>
      <c r="Z39" s="98">
        <f t="shared" si="32"/>
        <v>600</v>
      </c>
      <c r="AA39" s="98">
        <f t="shared" si="32"/>
        <v>600</v>
      </c>
      <c r="AB39" s="98">
        <f t="shared" si="32"/>
        <v>600</v>
      </c>
      <c r="AC39" s="98">
        <f t="shared" si="32"/>
        <v>600</v>
      </c>
      <c r="AD39" s="98">
        <f t="shared" si="32"/>
        <v>600</v>
      </c>
      <c r="AE39" s="98">
        <f t="shared" si="32"/>
        <v>600</v>
      </c>
      <c r="AF39" s="98">
        <f t="shared" si="32"/>
        <v>600</v>
      </c>
      <c r="AG39" s="98">
        <f t="shared" si="32"/>
        <v>600</v>
      </c>
      <c r="AH39" s="98">
        <f t="shared" si="32"/>
        <v>600</v>
      </c>
      <c r="AI39" s="98">
        <f t="shared" si="32"/>
        <v>600</v>
      </c>
      <c r="AJ39" s="98">
        <f t="shared" si="32"/>
        <v>600</v>
      </c>
      <c r="AK39" s="98">
        <f t="shared" si="32"/>
        <v>600</v>
      </c>
      <c r="AL39" s="98">
        <f t="shared" si="32"/>
        <v>600</v>
      </c>
      <c r="AM39" s="98">
        <f t="shared" si="32"/>
        <v>600</v>
      </c>
      <c r="AN39" s="98">
        <f t="shared" si="32"/>
        <v>600</v>
      </c>
      <c r="AO39" s="98">
        <f t="shared" si="32"/>
        <v>600</v>
      </c>
      <c r="AQ39" s="98">
        <f t="shared" si="27"/>
        <v>0</v>
      </c>
      <c r="AR39" s="98">
        <f t="shared" si="28"/>
        <v>0</v>
      </c>
      <c r="AS39" s="98">
        <f t="shared" si="28"/>
        <v>0</v>
      </c>
      <c r="AT39" s="98">
        <f t="shared" si="28"/>
        <v>0</v>
      </c>
      <c r="AU39" s="98">
        <f t="shared" si="28"/>
        <v>0</v>
      </c>
      <c r="AV39" s="98">
        <f t="shared" si="28"/>
        <v>0</v>
      </c>
      <c r="AW39" s="98">
        <f t="shared" si="28"/>
        <v>0</v>
      </c>
      <c r="AX39" s="98">
        <f t="shared" si="28"/>
        <v>0</v>
      </c>
      <c r="AY39" s="98">
        <f t="shared" si="28"/>
        <v>0</v>
      </c>
      <c r="AZ39" s="98">
        <f t="shared" si="28"/>
        <v>0</v>
      </c>
      <c r="BA39" s="98">
        <f t="shared" si="28"/>
        <v>0</v>
      </c>
    </row>
    <row r="40" spans="1:53" s="98" customFormat="1" x14ac:dyDescent="0.3">
      <c r="A40" s="97" t="s">
        <v>1512</v>
      </c>
      <c r="B40" s="97">
        <v>0</v>
      </c>
      <c r="C40" s="97">
        <v>600</v>
      </c>
      <c r="D40" s="97">
        <f t="shared" si="29"/>
        <v>23550</v>
      </c>
      <c r="E40" s="97">
        <v>600</v>
      </c>
      <c r="F40" s="97"/>
      <c r="G40" s="97"/>
      <c r="H40" s="97"/>
      <c r="I40" s="97"/>
      <c r="J40" s="97"/>
      <c r="K40" s="97"/>
      <c r="L40" s="97">
        <v>1</v>
      </c>
      <c r="M40" s="97"/>
      <c r="N40" s="97"/>
      <c r="O40" s="97"/>
      <c r="P40" s="97"/>
      <c r="Q40" s="97">
        <f t="shared" si="25"/>
        <v>600</v>
      </c>
      <c r="R40" s="97">
        <f>IF(capOpt=2,$O$824,ATAN(ABS(AF40-AD40)/(AF$35-AD$35)))</f>
        <v>0</v>
      </c>
      <c r="S40" s="97">
        <f>IF(capOpt=2,$B$824,SUMPRODUCT(ABS(AR40:BA40-AQ40:AZ40)))</f>
        <v>0</v>
      </c>
      <c r="U40" s="98">
        <f t="shared" ref="U40:AO40" si="33">IF(capOpt=2,U814,IF(U$35&lt;=$B40,$C40,IF($D40="",$C40,IF(U$35&lt;=$D40,IF($L40=1,($C40+($E40-$C40)*(U$35-$B40)/($D40-$B40)),IF($L40=3,($C40+($E40-$C40)*((U$35-$B40)/($D40-$B40))^2),($E40-($E40-$C40)*(($D40-U$35)/($D40-$B40))^2))),IF($F40="",$E40,IF(U$35&lt;=$F40,IF($M40=1,($E40+($G40-$E40)*(U$35-$D40)/($F40-$D40)),IF($M40=3,($E40+($G40-$E40)*((U$35-$D40)/($F40-$D40))^2),($G40-($G40-$E40)*(($F40-U$35)/($F40-$D40))^2))),IF($H40="",$G40,IF(U$35&lt;=$H40,IF($N40=1,($G40+($I40-$G40)*(U$35-$F40)/($H40-$F40)),IF($N40=3,($G40+($I40-$G40)*((U$35-$F40)/($H40-$F40))^2),($I40-($I40-$G40)*(($H40-U$35)/($H40-$F40))^2))),IF($J40="",$I40,IF(U$35&lt;=$J40,IF($O40=1,($I40+($K40-$I40)*(U$35-$H40)/($J40-$H40)),IF($O40=3,($I40+($K40-$I40)*((U$35-$H40)/($J40-$H40))^2),($K40-($K40-$I40)*(($J40-U$35)/($J40-$H40))^2))),$K40))))))))))</f>
        <v>600</v>
      </c>
      <c r="V40" s="98">
        <f t="shared" si="33"/>
        <v>600</v>
      </c>
      <c r="W40" s="98">
        <f t="shared" si="33"/>
        <v>600</v>
      </c>
      <c r="X40" s="98">
        <f t="shared" si="33"/>
        <v>600</v>
      </c>
      <c r="Y40" s="98">
        <f t="shared" si="33"/>
        <v>600</v>
      </c>
      <c r="Z40" s="98">
        <f t="shared" si="33"/>
        <v>600</v>
      </c>
      <c r="AA40" s="98">
        <f t="shared" si="33"/>
        <v>600</v>
      </c>
      <c r="AB40" s="98">
        <f t="shared" si="33"/>
        <v>600</v>
      </c>
      <c r="AC40" s="98">
        <f t="shared" si="33"/>
        <v>600</v>
      </c>
      <c r="AD40" s="98">
        <f t="shared" si="33"/>
        <v>600</v>
      </c>
      <c r="AE40" s="98">
        <f t="shared" si="33"/>
        <v>600</v>
      </c>
      <c r="AF40" s="98">
        <f t="shared" si="33"/>
        <v>600</v>
      </c>
      <c r="AG40" s="98">
        <f t="shared" si="33"/>
        <v>600</v>
      </c>
      <c r="AH40" s="98">
        <f t="shared" si="33"/>
        <v>600</v>
      </c>
      <c r="AI40" s="98">
        <f t="shared" si="33"/>
        <v>600</v>
      </c>
      <c r="AJ40" s="98">
        <f t="shared" si="33"/>
        <v>600</v>
      </c>
      <c r="AK40" s="98">
        <f t="shared" si="33"/>
        <v>600</v>
      </c>
      <c r="AL40" s="98">
        <f t="shared" si="33"/>
        <v>600</v>
      </c>
      <c r="AM40" s="98">
        <f t="shared" si="33"/>
        <v>600</v>
      </c>
      <c r="AN40" s="98">
        <f t="shared" si="33"/>
        <v>600</v>
      </c>
      <c r="AO40" s="98">
        <f t="shared" si="33"/>
        <v>600</v>
      </c>
      <c r="AQ40" s="98">
        <f t="shared" si="27"/>
        <v>0</v>
      </c>
      <c r="AR40" s="98">
        <f t="shared" si="28"/>
        <v>0</v>
      </c>
      <c r="AS40" s="98">
        <f t="shared" si="28"/>
        <v>0</v>
      </c>
      <c r="AT40" s="98">
        <f t="shared" si="28"/>
        <v>0</v>
      </c>
      <c r="AU40" s="98">
        <f t="shared" si="28"/>
        <v>0</v>
      </c>
      <c r="AV40" s="98">
        <f t="shared" si="28"/>
        <v>0</v>
      </c>
      <c r="AW40" s="98">
        <f t="shared" si="28"/>
        <v>0</v>
      </c>
      <c r="AX40" s="98">
        <f t="shared" si="28"/>
        <v>0</v>
      </c>
      <c r="AY40" s="98">
        <f t="shared" si="28"/>
        <v>0</v>
      </c>
      <c r="AZ40" s="98">
        <f t="shared" si="28"/>
        <v>0</v>
      </c>
      <c r="BA40" s="98">
        <f t="shared" si="28"/>
        <v>0</v>
      </c>
    </row>
    <row r="41" spans="1:53" s="98" customFormat="1" x14ac:dyDescent="0.3">
      <c r="A41" s="97" t="s">
        <v>1513</v>
      </c>
      <c r="B41" s="97">
        <v>0</v>
      </c>
      <c r="C41" s="97">
        <v>600</v>
      </c>
      <c r="D41" s="97">
        <f t="shared" si="29"/>
        <v>23550</v>
      </c>
      <c r="E41" s="97">
        <v>600</v>
      </c>
      <c r="F41" s="97"/>
      <c r="G41" s="97"/>
      <c r="H41" s="97"/>
      <c r="I41" s="97"/>
      <c r="J41" s="97"/>
      <c r="K41" s="97"/>
      <c r="L41" s="97">
        <v>1</v>
      </c>
      <c r="M41" s="97"/>
      <c r="N41" s="97"/>
      <c r="O41" s="97"/>
      <c r="P41" s="97"/>
      <c r="Q41" s="97">
        <f t="shared" si="25"/>
        <v>600</v>
      </c>
      <c r="R41" s="97">
        <f>IF(capOpt=2,$O$825,ATAN(ABS(AF41-AD41)/(AF$35-AD$35)))</f>
        <v>0</v>
      </c>
      <c r="S41" s="97">
        <f>IF(capOpt=2,$B$825,SUMPRODUCT(ABS(AR41:BA41-AQ41:AZ41)))</f>
        <v>0</v>
      </c>
      <c r="U41" s="98">
        <f t="shared" ref="U41:AO41" si="34">IF(capOpt=2,U815,IF(U$35&lt;=$B41,$C41,IF($D41="",$C41,IF(U$35&lt;=$D41,IF($L41=1,($C41+($E41-$C41)*(U$35-$B41)/($D41-$B41)),IF($L41=3,($C41+($E41-$C41)*((U$35-$B41)/($D41-$B41))^2),($E41-($E41-$C41)*(($D41-U$35)/($D41-$B41))^2))),IF($F41="",$E41,IF(U$35&lt;=$F41,IF($M41=1,($E41+($G41-$E41)*(U$35-$D41)/($F41-$D41)),IF($M41=3,($E41+($G41-$E41)*((U$35-$D41)/($F41-$D41))^2),($G41-($G41-$E41)*(($F41-U$35)/($F41-$D41))^2))),IF($H41="",$G41,IF(U$35&lt;=$H41,IF($N41=1,($G41+($I41-$G41)*(U$35-$F41)/($H41-$F41)),IF($N41=3,($G41+($I41-$G41)*((U$35-$F41)/($H41-$F41))^2),($I41-($I41-$G41)*(($H41-U$35)/($H41-$F41))^2))),IF($J41="",$I41,IF(U$35&lt;=$J41,IF($O41=1,($I41+($K41-$I41)*(U$35-$H41)/($J41-$H41)),IF($O41=3,($I41+($K41-$I41)*((U$35-$H41)/($J41-$H41))^2),($K41-($K41-$I41)*(($J41-U$35)/($J41-$H41))^2))),$K41))))))))))</f>
        <v>600</v>
      </c>
      <c r="V41" s="98">
        <f t="shared" si="34"/>
        <v>600</v>
      </c>
      <c r="W41" s="98">
        <f t="shared" si="34"/>
        <v>600</v>
      </c>
      <c r="X41" s="98">
        <f t="shared" si="34"/>
        <v>600</v>
      </c>
      <c r="Y41" s="98">
        <f t="shared" si="34"/>
        <v>600</v>
      </c>
      <c r="Z41" s="98">
        <f t="shared" si="34"/>
        <v>600</v>
      </c>
      <c r="AA41" s="98">
        <f t="shared" si="34"/>
        <v>600</v>
      </c>
      <c r="AB41" s="98">
        <f t="shared" si="34"/>
        <v>600</v>
      </c>
      <c r="AC41" s="98">
        <f t="shared" si="34"/>
        <v>600</v>
      </c>
      <c r="AD41" s="98">
        <f t="shared" si="34"/>
        <v>600</v>
      </c>
      <c r="AE41" s="98">
        <f t="shared" si="34"/>
        <v>600</v>
      </c>
      <c r="AF41" s="98">
        <f t="shared" si="34"/>
        <v>600</v>
      </c>
      <c r="AG41" s="98">
        <f t="shared" si="34"/>
        <v>600</v>
      </c>
      <c r="AH41" s="98">
        <f t="shared" si="34"/>
        <v>600</v>
      </c>
      <c r="AI41" s="98">
        <f t="shared" si="34"/>
        <v>600</v>
      </c>
      <c r="AJ41" s="98">
        <f t="shared" si="34"/>
        <v>600</v>
      </c>
      <c r="AK41" s="98">
        <f t="shared" si="34"/>
        <v>600</v>
      </c>
      <c r="AL41" s="98">
        <f t="shared" si="34"/>
        <v>600</v>
      </c>
      <c r="AM41" s="98">
        <f t="shared" si="34"/>
        <v>600</v>
      </c>
      <c r="AN41" s="98">
        <f t="shared" si="34"/>
        <v>600</v>
      </c>
      <c r="AO41" s="98">
        <f t="shared" si="34"/>
        <v>600</v>
      </c>
      <c r="AQ41" s="98">
        <f t="shared" si="27"/>
        <v>0</v>
      </c>
      <c r="AR41" s="98">
        <f t="shared" si="28"/>
        <v>0</v>
      </c>
      <c r="AS41" s="98">
        <f t="shared" si="28"/>
        <v>0</v>
      </c>
      <c r="AT41" s="98">
        <f t="shared" si="28"/>
        <v>0</v>
      </c>
      <c r="AU41" s="98">
        <f t="shared" si="28"/>
        <v>0</v>
      </c>
      <c r="AV41" s="98">
        <f t="shared" si="28"/>
        <v>0</v>
      </c>
      <c r="AW41" s="98">
        <f t="shared" si="28"/>
        <v>0</v>
      </c>
      <c r="AX41" s="98">
        <f t="shared" si="28"/>
        <v>0</v>
      </c>
      <c r="AY41" s="98">
        <f t="shared" si="28"/>
        <v>0</v>
      </c>
      <c r="AZ41" s="98">
        <f t="shared" si="28"/>
        <v>0</v>
      </c>
      <c r="BA41" s="98">
        <f t="shared" si="28"/>
        <v>0</v>
      </c>
    </row>
    <row r="42" spans="1:53" s="98" customFormat="1" x14ac:dyDescent="0.3">
      <c r="A42" s="97" t="s">
        <v>1514</v>
      </c>
      <c r="B42" s="97">
        <v>0</v>
      </c>
      <c r="C42" s="97">
        <v>600</v>
      </c>
      <c r="D42" s="97">
        <f t="shared" si="29"/>
        <v>23550</v>
      </c>
      <c r="E42" s="97">
        <v>600</v>
      </c>
      <c r="F42" s="97"/>
      <c r="G42" s="97"/>
      <c r="H42" s="97"/>
      <c r="I42" s="97"/>
      <c r="J42" s="97"/>
      <c r="K42" s="97"/>
      <c r="L42" s="97">
        <v>1</v>
      </c>
      <c r="M42" s="97"/>
      <c r="N42" s="97"/>
      <c r="O42" s="97"/>
      <c r="P42" s="97"/>
      <c r="Q42" s="97">
        <f t="shared" si="25"/>
        <v>600</v>
      </c>
      <c r="R42" s="97">
        <f>IF(capOpt=2,$O$826,ATAN(ABS(AF42-AD42)/(AF$35-AD$35)))</f>
        <v>0</v>
      </c>
      <c r="S42" s="97">
        <f>IF(capOpt=2,$B$826,SUMPRODUCT(ABS(AR42:BA42-AQ42:AZ42)))</f>
        <v>0</v>
      </c>
      <c r="U42" s="98">
        <f t="shared" ref="U42:AO42" si="35">IF(capOpt=2,U816,IF(U$35&lt;=$B42,$C42,IF($D42="",$C42,IF(U$35&lt;=$D42,IF($L42=1,($C42+($E42-$C42)*(U$35-$B42)/($D42-$B42)),IF($L42=3,($C42+($E42-$C42)*((U$35-$B42)/($D42-$B42))^2),($E42-($E42-$C42)*(($D42-U$35)/($D42-$B42))^2))),IF($F42="",$E42,IF(U$35&lt;=$F42,IF($M42=1,($E42+($G42-$E42)*(U$35-$D42)/($F42-$D42)),IF($M42=3,($E42+($G42-$E42)*((U$35-$D42)/($F42-$D42))^2),($G42-($G42-$E42)*(($F42-U$35)/($F42-$D42))^2))),IF($H42="",$G42,IF(U$35&lt;=$H42,IF($N42=1,($G42+($I42-$G42)*(U$35-$F42)/($H42-$F42)),IF($N42=3,($G42+($I42-$G42)*((U$35-$F42)/($H42-$F42))^2),($I42-($I42-$G42)*(($H42-U$35)/($H42-$F42))^2))),IF($J42="",$I42,IF(U$35&lt;=$J42,IF($O42=1,($I42+($K42-$I42)*(U$35-$H42)/($J42-$H42)),IF($O42=3,($I42+($K42-$I42)*((U$35-$H42)/($J42-$H42))^2),($K42-($K42-$I42)*(($J42-U$35)/($J42-$H42))^2))),$K42))))))))))</f>
        <v>600</v>
      </c>
      <c r="V42" s="98">
        <f t="shared" si="35"/>
        <v>600</v>
      </c>
      <c r="W42" s="98">
        <f t="shared" si="35"/>
        <v>600</v>
      </c>
      <c r="X42" s="98">
        <f t="shared" si="35"/>
        <v>600</v>
      </c>
      <c r="Y42" s="98">
        <f t="shared" si="35"/>
        <v>600</v>
      </c>
      <c r="Z42" s="98">
        <f t="shared" si="35"/>
        <v>600</v>
      </c>
      <c r="AA42" s="98">
        <f t="shared" si="35"/>
        <v>600</v>
      </c>
      <c r="AB42" s="98">
        <f t="shared" si="35"/>
        <v>600</v>
      </c>
      <c r="AC42" s="98">
        <f t="shared" si="35"/>
        <v>600</v>
      </c>
      <c r="AD42" s="98">
        <f t="shared" si="35"/>
        <v>600</v>
      </c>
      <c r="AE42" s="98">
        <f t="shared" si="35"/>
        <v>600</v>
      </c>
      <c r="AF42" s="98">
        <f t="shared" si="35"/>
        <v>600</v>
      </c>
      <c r="AG42" s="98">
        <f t="shared" si="35"/>
        <v>600</v>
      </c>
      <c r="AH42" s="98">
        <f t="shared" si="35"/>
        <v>600</v>
      </c>
      <c r="AI42" s="98">
        <f t="shared" si="35"/>
        <v>600</v>
      </c>
      <c r="AJ42" s="98">
        <f t="shared" si="35"/>
        <v>600</v>
      </c>
      <c r="AK42" s="98">
        <f t="shared" si="35"/>
        <v>600</v>
      </c>
      <c r="AL42" s="98">
        <f t="shared" si="35"/>
        <v>600</v>
      </c>
      <c r="AM42" s="98">
        <f t="shared" si="35"/>
        <v>600</v>
      </c>
      <c r="AN42" s="98">
        <f t="shared" si="35"/>
        <v>600</v>
      </c>
      <c r="AO42" s="98">
        <f t="shared" si="35"/>
        <v>600</v>
      </c>
      <c r="AQ42" s="98">
        <f t="shared" si="27"/>
        <v>0</v>
      </c>
      <c r="AR42" s="98">
        <f t="shared" si="28"/>
        <v>0</v>
      </c>
      <c r="AS42" s="98">
        <f t="shared" si="28"/>
        <v>0</v>
      </c>
      <c r="AT42" s="98">
        <f t="shared" si="28"/>
        <v>0</v>
      </c>
      <c r="AU42" s="98">
        <f t="shared" si="28"/>
        <v>0</v>
      </c>
      <c r="AV42" s="98">
        <f t="shared" si="28"/>
        <v>0</v>
      </c>
      <c r="AW42" s="98">
        <f t="shared" si="28"/>
        <v>0</v>
      </c>
      <c r="AX42" s="98">
        <f t="shared" si="28"/>
        <v>0</v>
      </c>
      <c r="AY42" s="98">
        <f t="shared" si="28"/>
        <v>0</v>
      </c>
      <c r="AZ42" s="98">
        <f t="shared" si="28"/>
        <v>0</v>
      </c>
      <c r="BA42" s="98">
        <f t="shared" si="28"/>
        <v>0</v>
      </c>
    </row>
    <row r="43" spans="1:53" x14ac:dyDescent="0.3">
      <c r="A43" s="41"/>
      <c r="B43" s="41"/>
      <c r="C43" s="41"/>
      <c r="D43" s="41"/>
      <c r="E43" s="41"/>
      <c r="F43" s="41"/>
      <c r="G43" s="41"/>
      <c r="H43" s="41"/>
      <c r="I43" s="41"/>
      <c r="J43" s="41"/>
      <c r="K43" s="41"/>
      <c r="L43" s="41"/>
      <c r="M43" s="41"/>
      <c r="N43" s="41"/>
      <c r="O43" s="41"/>
      <c r="P43" s="41"/>
      <c r="Q43" s="41"/>
      <c r="R43" s="41"/>
      <c r="S43" s="41"/>
    </row>
    <row r="44" spans="1:53" x14ac:dyDescent="0.3">
      <c r="A44" s="41"/>
      <c r="B44" s="41"/>
      <c r="C44" s="41"/>
      <c r="D44" s="41"/>
      <c r="E44" s="41"/>
      <c r="F44" s="41"/>
      <c r="G44" s="41"/>
      <c r="H44" s="41"/>
      <c r="I44" s="41"/>
      <c r="J44" s="41"/>
      <c r="K44" s="41"/>
      <c r="L44" s="41"/>
      <c r="M44" s="41"/>
      <c r="N44" s="41"/>
      <c r="O44" s="41"/>
      <c r="P44" s="41"/>
      <c r="Q44" s="41"/>
      <c r="R44" s="41"/>
      <c r="S44" s="41"/>
    </row>
    <row r="45" spans="1:53" x14ac:dyDescent="0.3">
      <c r="A45" s="41"/>
      <c r="B45" s="41"/>
      <c r="C45" s="41"/>
      <c r="D45" s="41"/>
      <c r="E45" s="41"/>
      <c r="F45" s="41"/>
      <c r="G45" s="41"/>
      <c r="H45" s="41"/>
      <c r="I45" s="41"/>
      <c r="J45" s="41"/>
      <c r="K45" s="41"/>
      <c r="L45" s="41"/>
      <c r="M45" s="41"/>
      <c r="N45" s="41"/>
      <c r="O45" s="41"/>
      <c r="P45" s="41"/>
      <c r="Q45" s="41"/>
      <c r="R45" s="41"/>
      <c r="S45" s="41"/>
    </row>
    <row r="46" spans="1:53" x14ac:dyDescent="0.3">
      <c r="A46" s="41"/>
      <c r="B46" s="41"/>
      <c r="C46" s="41"/>
      <c r="D46" s="41"/>
      <c r="E46" s="41"/>
      <c r="F46" s="41"/>
      <c r="G46" s="41"/>
      <c r="H46" s="41"/>
      <c r="I46" s="41"/>
      <c r="J46" s="41"/>
      <c r="K46" s="41"/>
      <c r="L46" s="41"/>
      <c r="M46" s="41"/>
      <c r="N46" s="41"/>
      <c r="O46" s="41"/>
      <c r="P46" s="41"/>
      <c r="Q46" s="41"/>
      <c r="R46" s="41"/>
      <c r="S46" s="41"/>
    </row>
    <row r="47" spans="1:53" x14ac:dyDescent="0.3">
      <c r="A47" s="41"/>
      <c r="B47" s="41"/>
      <c r="C47" s="41"/>
      <c r="D47" s="41"/>
      <c r="E47" s="41"/>
      <c r="F47" s="41"/>
      <c r="G47" s="41"/>
      <c r="H47" s="41"/>
      <c r="I47" s="41"/>
      <c r="J47" s="41"/>
      <c r="K47" s="41"/>
      <c r="L47" s="41"/>
      <c r="M47" s="41"/>
      <c r="N47" s="41"/>
      <c r="O47" s="41"/>
      <c r="P47" s="41"/>
      <c r="Q47" s="41"/>
      <c r="R47" s="41"/>
      <c r="S47" s="41"/>
    </row>
    <row r="48" spans="1:53" x14ac:dyDescent="0.3">
      <c r="A48" s="41"/>
      <c r="B48" s="41"/>
      <c r="C48" s="41"/>
      <c r="D48" s="41"/>
      <c r="E48" s="41"/>
      <c r="F48" s="41"/>
      <c r="G48" s="41"/>
      <c r="H48" s="41"/>
      <c r="I48" s="41"/>
      <c r="J48" s="41"/>
      <c r="K48" s="41"/>
      <c r="L48" s="41"/>
      <c r="M48" s="41"/>
      <c r="N48" s="41"/>
      <c r="O48" s="41"/>
      <c r="P48" s="41"/>
      <c r="Q48" s="41"/>
      <c r="R48" s="41"/>
      <c r="S48" s="41"/>
    </row>
    <row r="49" spans="1:19" x14ac:dyDescent="0.3">
      <c r="A49" s="41"/>
      <c r="B49" s="41"/>
      <c r="C49" s="41"/>
      <c r="D49" s="41"/>
      <c r="E49" s="41"/>
      <c r="F49" s="41"/>
      <c r="G49" s="41"/>
      <c r="H49" s="41"/>
      <c r="I49" s="41"/>
      <c r="J49" s="41"/>
      <c r="K49" s="41"/>
      <c r="L49" s="41"/>
      <c r="M49" s="41"/>
      <c r="N49" s="41"/>
      <c r="O49" s="41"/>
      <c r="P49" s="41"/>
      <c r="Q49" s="41"/>
      <c r="R49" s="41"/>
      <c r="S49" s="41"/>
    </row>
    <row r="50" spans="1:19" x14ac:dyDescent="0.3">
      <c r="A50" s="41"/>
      <c r="B50" s="41"/>
      <c r="C50" s="41"/>
      <c r="D50" s="41"/>
      <c r="E50" s="41"/>
      <c r="F50" s="41"/>
      <c r="G50" s="41"/>
      <c r="H50" s="41"/>
      <c r="I50" s="41"/>
      <c r="J50" s="41"/>
      <c r="K50" s="41"/>
      <c r="L50" s="41"/>
      <c r="M50" s="41"/>
      <c r="N50" s="41"/>
      <c r="O50" s="41"/>
      <c r="P50" s="41"/>
      <c r="Q50" s="41"/>
      <c r="R50" s="41"/>
      <c r="S50" s="41"/>
    </row>
    <row r="51" spans="1:19" x14ac:dyDescent="0.3">
      <c r="A51" s="41"/>
      <c r="B51" s="41"/>
      <c r="C51" s="41"/>
      <c r="D51" s="41"/>
      <c r="E51" s="41"/>
      <c r="F51" s="41"/>
      <c r="G51" s="41"/>
      <c r="H51" s="41"/>
      <c r="I51" s="41"/>
      <c r="J51" s="41"/>
      <c r="K51" s="41"/>
      <c r="L51" s="41"/>
      <c r="M51" s="41"/>
      <c r="N51" s="41"/>
      <c r="O51" s="41"/>
      <c r="P51" s="41"/>
      <c r="Q51" s="41"/>
      <c r="R51" s="41"/>
      <c r="S51" s="41"/>
    </row>
    <row r="52" spans="1:19" x14ac:dyDescent="0.3">
      <c r="A52" s="41"/>
      <c r="B52" s="41"/>
      <c r="C52" s="41"/>
      <c r="D52" s="41"/>
      <c r="E52" s="41"/>
      <c r="F52" s="41"/>
      <c r="G52" s="41"/>
      <c r="H52" s="41"/>
      <c r="I52" s="41"/>
      <c r="J52" s="41"/>
      <c r="K52" s="41"/>
      <c r="L52" s="41"/>
      <c r="M52" s="41"/>
      <c r="N52" s="41"/>
      <c r="O52" s="41"/>
      <c r="P52" s="41"/>
      <c r="Q52" s="41"/>
      <c r="R52" s="41"/>
      <c r="S52" s="41"/>
    </row>
    <row r="53" spans="1:19" x14ac:dyDescent="0.3">
      <c r="A53" s="41"/>
      <c r="B53" s="41"/>
      <c r="C53" s="41"/>
      <c r="D53" s="41"/>
      <c r="E53" s="41"/>
      <c r="F53" s="41"/>
      <c r="G53" s="41"/>
      <c r="H53" s="41"/>
      <c r="I53" s="41"/>
      <c r="J53" s="41"/>
      <c r="K53" s="41"/>
      <c r="L53" s="41"/>
      <c r="M53" s="41"/>
      <c r="N53" s="41"/>
      <c r="O53" s="41"/>
      <c r="P53" s="41"/>
      <c r="Q53" s="41"/>
      <c r="R53" s="41"/>
      <c r="S53" s="41"/>
    </row>
    <row r="54" spans="1:19" x14ac:dyDescent="0.3">
      <c r="A54" s="41"/>
      <c r="B54" s="41"/>
      <c r="C54" s="41"/>
      <c r="D54" s="41"/>
      <c r="E54" s="41"/>
      <c r="F54" s="41"/>
      <c r="G54" s="41"/>
      <c r="H54" s="41"/>
      <c r="I54" s="41"/>
      <c r="J54" s="41"/>
      <c r="K54" s="41"/>
      <c r="L54" s="41"/>
      <c r="M54" s="41"/>
      <c r="N54" s="41"/>
      <c r="O54" s="41"/>
      <c r="P54" s="41"/>
      <c r="Q54" s="41"/>
      <c r="R54" s="41"/>
      <c r="S54" s="41"/>
    </row>
    <row r="55" spans="1:19" x14ac:dyDescent="0.3">
      <c r="A55" s="41"/>
      <c r="B55" s="41"/>
      <c r="C55" s="41"/>
      <c r="D55" s="41"/>
      <c r="E55" s="41"/>
      <c r="F55" s="41"/>
      <c r="G55" s="41"/>
      <c r="H55" s="41"/>
      <c r="I55" s="41"/>
      <c r="J55" s="41"/>
      <c r="K55" s="41"/>
      <c r="L55" s="41"/>
      <c r="M55" s="41"/>
      <c r="N55" s="41"/>
      <c r="O55" s="41"/>
      <c r="P55" s="41"/>
      <c r="Q55" s="41"/>
      <c r="R55" s="41"/>
      <c r="S55" s="41"/>
    </row>
    <row r="56" spans="1:19" x14ac:dyDescent="0.3">
      <c r="A56" s="41"/>
      <c r="B56" s="41"/>
      <c r="C56" s="41"/>
      <c r="D56" s="41"/>
      <c r="E56" s="41"/>
      <c r="F56" s="41"/>
      <c r="G56" s="41"/>
      <c r="H56" s="41"/>
      <c r="I56" s="41"/>
      <c r="J56" s="41"/>
      <c r="K56" s="41"/>
      <c r="L56" s="41"/>
      <c r="M56" s="41"/>
      <c r="N56" s="41"/>
      <c r="O56" s="41"/>
      <c r="P56" s="41"/>
      <c r="Q56" s="41"/>
      <c r="R56" s="41"/>
      <c r="S56" s="41"/>
    </row>
    <row r="57" spans="1:19" x14ac:dyDescent="0.3">
      <c r="A57" s="41"/>
      <c r="B57" s="41"/>
      <c r="C57" s="41"/>
      <c r="D57" s="41"/>
      <c r="E57" s="41"/>
      <c r="F57" s="41"/>
      <c r="G57" s="41"/>
      <c r="H57" s="41"/>
      <c r="I57" s="41"/>
      <c r="J57" s="41"/>
      <c r="K57" s="41"/>
      <c r="L57" s="41"/>
      <c r="M57" s="41"/>
      <c r="N57" s="41"/>
      <c r="O57" s="41"/>
      <c r="P57" s="41"/>
      <c r="Q57" s="41"/>
      <c r="R57" s="41"/>
      <c r="S57" s="41"/>
    </row>
    <row r="58" spans="1:19" ht="22.05" customHeight="1" x14ac:dyDescent="0.3">
      <c r="A58" s="122" t="s">
        <v>1515</v>
      </c>
      <c r="B58" s="122"/>
      <c r="C58" s="122"/>
      <c r="D58" s="122"/>
      <c r="E58" s="122"/>
      <c r="F58" s="122"/>
      <c r="G58" s="122"/>
      <c r="H58" s="122"/>
      <c r="I58" s="122"/>
      <c r="J58" s="122"/>
      <c r="K58" s="122"/>
      <c r="L58" s="122"/>
      <c r="M58" s="122"/>
      <c r="N58" s="122"/>
      <c r="O58" s="122"/>
      <c r="P58" s="122"/>
      <c r="Q58" s="122"/>
      <c r="R58" s="122"/>
      <c r="S58" s="122"/>
    </row>
    <row r="59" spans="1:19" x14ac:dyDescent="0.3">
      <c r="A59" s="55" t="s">
        <v>1516</v>
      </c>
      <c r="B59" s="55" t="s">
        <v>1041</v>
      </c>
      <c r="C59" s="55" t="s">
        <v>1517</v>
      </c>
      <c r="D59" s="55" t="s">
        <v>159</v>
      </c>
      <c r="E59" s="55" t="s">
        <v>1518</v>
      </c>
      <c r="F59" s="55" t="s">
        <v>1519</v>
      </c>
      <c r="G59" s="55" t="s">
        <v>1520</v>
      </c>
      <c r="H59" s="55" t="s">
        <v>1474</v>
      </c>
      <c r="I59" s="55" t="s">
        <v>515</v>
      </c>
      <c r="J59" s="55" t="s">
        <v>1521</v>
      </c>
      <c r="K59" s="55" t="s">
        <v>1522</v>
      </c>
      <c r="L59" s="55" t="s">
        <v>1523</v>
      </c>
      <c r="M59" s="55" t="s">
        <v>1524</v>
      </c>
      <c r="N59" s="55" t="s">
        <v>1525</v>
      </c>
      <c r="O59" s="55" t="s">
        <v>1526</v>
      </c>
      <c r="P59" s="55" t="s">
        <v>1527</v>
      </c>
      <c r="Q59" s="55" t="s">
        <v>1297</v>
      </c>
      <c r="R59" s="55" t="s">
        <v>1298</v>
      </c>
      <c r="S59" s="55" t="s">
        <v>1528</v>
      </c>
    </row>
    <row r="60" spans="1:19" x14ac:dyDescent="0.3">
      <c r="A60" s="62">
        <v>1</v>
      </c>
      <c r="B60" s="62" t="s">
        <v>1529</v>
      </c>
      <c r="C60" s="62" t="s">
        <v>1530</v>
      </c>
      <c r="D60" s="62">
        <v>40</v>
      </c>
      <c r="E60" s="62">
        <v>1</v>
      </c>
      <c r="F60" s="62">
        <v>0</v>
      </c>
      <c r="G60" s="62">
        <v>0</v>
      </c>
      <c r="H60" s="62">
        <v>0</v>
      </c>
      <c r="I60" s="62">
        <v>0</v>
      </c>
      <c r="J60" s="62">
        <v>0</v>
      </c>
      <c r="K60" s="61">
        <f t="shared" ref="K60:K68" si="36">IF(B60="",0,E60*$G$6+F60*$G$7+G60*$G$8+H60*$G$9+I60*$G$10+J60*$G$11)</f>
        <v>2503.3806248525598</v>
      </c>
      <c r="L60" s="61">
        <f t="shared" ref="L60:L68" si="37">SUMPRODUCT(($G$25:$G$31&gt;0)*($G$25:$G$31&lt;=A60)*$E$25:$E$31)</f>
        <v>13440</v>
      </c>
      <c r="M60" s="61">
        <f t="shared" ref="M60:M68" si="38">IF(C60="SERVICE",SUMPRODUCT(($G$25:$G$31&gt;0)*($G$25:$G$31&lt;=A60)*$J$25:$J$31),SUMPRODUCT(($G$25:$G$31&gt;0)*($G$25:$G$31&lt;=A60)*$I$25:$I$31))</f>
        <v>15597.440561196207</v>
      </c>
      <c r="N60" s="61">
        <f t="shared" ref="N60:N68" si="39">IF(C60="SERVICE",SUMPRODUCT(($G$25:$G$31&gt;0)*($G$25:$G$31&lt;=A60)*$J$25:$J$31*$F$25:$F$31/1000),SUMPRODUCT(($G$25:$G$31&gt;0)*($G$25:$G$31&lt;=A60)*$I$25:$I$31*$F$25:$F$31/1000))</f>
        <v>15597.440561196207</v>
      </c>
      <c r="O60" s="61">
        <f t="shared" ref="O60:O68" si="40">IF(B60="",0,-M60*1000/$D$277-N60*1000000*$G$277/$E$277+K60*1000000*$G$277/$E$277)</f>
        <v>-2.8699139183377187</v>
      </c>
      <c r="P60" s="61">
        <f t="shared" ref="P60:P68" si="41">IF(B60="",0,-M60*1000/$D$277+N60*1000000*$G$277/$E$277-K60*1000000*$G$277/$E$277)</f>
        <v>0.13950856845654486</v>
      </c>
      <c r="Q60" s="61">
        <f t="shared" ref="Q60:Q68" si="42">IF(B60="",0,IF(C60="TEMP",0.6*D60,0.6*D60))</f>
        <v>24</v>
      </c>
      <c r="R60" s="61">
        <f t="shared" ref="R60:R68" si="43">IF(B60="",0,IF(C60="TEMP",IF($D$17=1,0.5*SQRT(D60),MIN(0.25*SQRT(D60),1.38)),IF($D$18=1,MIN(0.25*SQRT(D60),2.1),MIN(0.5*SQRT(D60),4.1))))</f>
        <v>3.1622776601683795</v>
      </c>
      <c r="S60" s="61" t="str">
        <f t="shared" ref="S60:S68" si="44">IF($D$5=0,"—",IF(B60="","—",IF(AND(MAX(-O60,-P60,0)&lt;=Q60,MAX(O60,P60,0)&lt;=R60),"ĐẠT","KHÔNG ĐẠT")))</f>
        <v>ĐẠT</v>
      </c>
    </row>
    <row r="61" spans="1:19" x14ac:dyDescent="0.3">
      <c r="A61" s="62">
        <v>2</v>
      </c>
      <c r="B61" s="62" t="s">
        <v>1531</v>
      </c>
      <c r="C61" s="62" t="s">
        <v>1530</v>
      </c>
      <c r="D61" s="62">
        <v>40</v>
      </c>
      <c r="E61" s="62">
        <v>1</v>
      </c>
      <c r="F61" s="62">
        <v>1</v>
      </c>
      <c r="G61" s="62">
        <v>0</v>
      </c>
      <c r="H61" s="62">
        <v>0</v>
      </c>
      <c r="I61" s="62">
        <v>0</v>
      </c>
      <c r="J61" s="62">
        <v>0</v>
      </c>
      <c r="K61" s="61">
        <f t="shared" si="36"/>
        <v>12989.38062485256</v>
      </c>
      <c r="L61" s="61">
        <f t="shared" si="37"/>
        <v>13440</v>
      </c>
      <c r="M61" s="61">
        <f t="shared" si="38"/>
        <v>15597.440561196207</v>
      </c>
      <c r="N61" s="61">
        <f t="shared" si="39"/>
        <v>15597.440561196207</v>
      </c>
      <c r="O61" s="61">
        <f t="shared" si="40"/>
        <v>-1.6649093456560204</v>
      </c>
      <c r="P61" s="61">
        <f t="shared" si="41"/>
        <v>-1.0654960042251536</v>
      </c>
      <c r="Q61" s="61">
        <f t="shared" si="42"/>
        <v>24</v>
      </c>
      <c r="R61" s="61">
        <f t="shared" si="43"/>
        <v>3.1622776601683795</v>
      </c>
      <c r="S61" s="61" t="str">
        <f t="shared" si="44"/>
        <v>ĐẠT</v>
      </c>
    </row>
    <row r="62" spans="1:19" x14ac:dyDescent="0.3">
      <c r="A62" s="62">
        <v>3</v>
      </c>
      <c r="B62" s="62" t="s">
        <v>1532</v>
      </c>
      <c r="C62" s="62" t="s">
        <v>1530</v>
      </c>
      <c r="D62" s="62">
        <v>40</v>
      </c>
      <c r="E62" s="62">
        <v>1</v>
      </c>
      <c r="F62" s="62">
        <v>1</v>
      </c>
      <c r="G62" s="62">
        <v>0</v>
      </c>
      <c r="H62" s="62">
        <v>0</v>
      </c>
      <c r="I62" s="62">
        <v>0</v>
      </c>
      <c r="J62" s="62">
        <v>0</v>
      </c>
      <c r="K62" s="61">
        <f t="shared" si="36"/>
        <v>12989.38062485256</v>
      </c>
      <c r="L62" s="61">
        <f t="shared" si="37"/>
        <v>23520</v>
      </c>
      <c r="M62" s="61">
        <f t="shared" si="38"/>
        <v>27491.918604625538</v>
      </c>
      <c r="N62" s="61">
        <f t="shared" si="39"/>
        <v>22734.127387253808</v>
      </c>
      <c r="O62" s="61">
        <f t="shared" si="40"/>
        <v>-3.5261178860812579</v>
      </c>
      <c r="P62" s="61">
        <f t="shared" si="41"/>
        <v>-1.2864718040063634</v>
      </c>
      <c r="Q62" s="61">
        <f t="shared" si="42"/>
        <v>24</v>
      </c>
      <c r="R62" s="61">
        <f t="shared" si="43"/>
        <v>3.1622776601683795</v>
      </c>
      <c r="S62" s="61" t="str">
        <f t="shared" si="44"/>
        <v>ĐẠT</v>
      </c>
    </row>
    <row r="63" spans="1:19" x14ac:dyDescent="0.3">
      <c r="A63" s="62">
        <v>4</v>
      </c>
      <c r="B63" s="62" t="s">
        <v>1533</v>
      </c>
      <c r="C63" s="62" t="s">
        <v>1530</v>
      </c>
      <c r="D63" s="62">
        <v>40</v>
      </c>
      <c r="E63" s="62">
        <v>1</v>
      </c>
      <c r="F63" s="62">
        <v>1</v>
      </c>
      <c r="G63" s="62">
        <v>1</v>
      </c>
      <c r="H63" s="62">
        <v>1</v>
      </c>
      <c r="I63" s="62">
        <v>0</v>
      </c>
      <c r="J63" s="62">
        <v>0</v>
      </c>
      <c r="K63" s="61">
        <f t="shared" si="36"/>
        <v>21637.869624852559</v>
      </c>
      <c r="L63" s="61">
        <f t="shared" si="37"/>
        <v>23520</v>
      </c>
      <c r="M63" s="61">
        <f t="shared" si="38"/>
        <v>27491.918604625538</v>
      </c>
      <c r="N63" s="61">
        <f t="shared" si="39"/>
        <v>22734.127387253808</v>
      </c>
      <c r="O63" s="61">
        <f t="shared" si="40"/>
        <v>-2.5322719208144866</v>
      </c>
      <c r="P63" s="61">
        <f t="shared" si="41"/>
        <v>-2.2803177692731347</v>
      </c>
      <c r="Q63" s="61">
        <f t="shared" si="42"/>
        <v>24</v>
      </c>
      <c r="R63" s="61">
        <f t="shared" si="43"/>
        <v>3.1622776601683795</v>
      </c>
      <c r="S63" s="61" t="str">
        <f t="shared" si="44"/>
        <v>ĐẠT</v>
      </c>
    </row>
    <row r="64" spans="1:19" x14ac:dyDescent="0.3">
      <c r="A64" s="62">
        <v>5</v>
      </c>
      <c r="B64" s="62" t="s">
        <v>1534</v>
      </c>
      <c r="C64" s="62" t="s">
        <v>1530</v>
      </c>
      <c r="D64" s="62">
        <v>40</v>
      </c>
      <c r="E64" s="62">
        <v>1</v>
      </c>
      <c r="F64" s="62">
        <v>1</v>
      </c>
      <c r="G64" s="62">
        <v>1</v>
      </c>
      <c r="H64" s="62">
        <v>1</v>
      </c>
      <c r="I64" s="62">
        <v>1</v>
      </c>
      <c r="J64" s="62">
        <v>0</v>
      </c>
      <c r="K64" s="61">
        <f t="shared" si="36"/>
        <v>23590.624974852559</v>
      </c>
      <c r="L64" s="61">
        <f t="shared" si="37"/>
        <v>23520</v>
      </c>
      <c r="M64" s="61">
        <f t="shared" si="38"/>
        <v>27491.918604625538</v>
      </c>
      <c r="N64" s="61">
        <f t="shared" si="39"/>
        <v>22734.127387253808</v>
      </c>
      <c r="O64" s="61">
        <f t="shared" si="40"/>
        <v>-2.3078699442668373</v>
      </c>
      <c r="P64" s="61">
        <f t="shared" si="41"/>
        <v>-2.5047197458207839</v>
      </c>
      <c r="Q64" s="61">
        <f t="shared" si="42"/>
        <v>24</v>
      </c>
      <c r="R64" s="61">
        <f t="shared" si="43"/>
        <v>3.1622776601683795</v>
      </c>
      <c r="S64" s="61" t="str">
        <f t="shared" si="44"/>
        <v>ĐẠT</v>
      </c>
    </row>
    <row r="65" spans="1:19" x14ac:dyDescent="0.3">
      <c r="A65" s="62">
        <v>6</v>
      </c>
      <c r="B65" s="62" t="s">
        <v>1535</v>
      </c>
      <c r="C65" s="62" t="s">
        <v>1536</v>
      </c>
      <c r="D65" s="62">
        <v>40</v>
      </c>
      <c r="E65" s="62">
        <v>1</v>
      </c>
      <c r="F65" s="62">
        <v>1</v>
      </c>
      <c r="G65" s="62">
        <v>1</v>
      </c>
      <c r="H65" s="62">
        <v>1</v>
      </c>
      <c r="I65" s="62">
        <v>1</v>
      </c>
      <c r="J65" s="62">
        <v>1</v>
      </c>
      <c r="K65" s="61">
        <f>IF(B65="",0,E65*$G$6+F65*$G$7+G65*$G$8+H65*$G$9+I65*$G$10+J65*$G$11)</f>
        <v>32570.089415958941</v>
      </c>
      <c r="L65" s="61">
        <f t="shared" si="37"/>
        <v>23520</v>
      </c>
      <c r="M65" s="61">
        <f t="shared" si="38"/>
        <v>24881.043592030052</v>
      </c>
      <c r="N65" s="61">
        <f t="shared" si="39"/>
        <v>20570.830948246115</v>
      </c>
      <c r="O65" s="61">
        <f t="shared" si="40"/>
        <v>-0.79887034956931302</v>
      </c>
      <c r="P65" s="61">
        <f t="shared" si="41"/>
        <v>-3.5566733864534532</v>
      </c>
      <c r="Q65" s="61">
        <f t="shared" si="42"/>
        <v>24</v>
      </c>
      <c r="R65" s="61">
        <f t="shared" si="43"/>
        <v>3.1622776601683795</v>
      </c>
      <c r="S65" s="61" t="str">
        <f t="shared" si="44"/>
        <v>ĐẠT</v>
      </c>
    </row>
    <row r="66" spans="1:19" x14ac:dyDescent="0.3">
      <c r="A66" s="62">
        <v>7</v>
      </c>
      <c r="B66" s="62" t="s">
        <v>1537</v>
      </c>
      <c r="C66" s="62" t="s">
        <v>1536</v>
      </c>
      <c r="D66" s="62">
        <v>40</v>
      </c>
      <c r="E66" s="62">
        <v>1</v>
      </c>
      <c r="F66" s="62">
        <v>1</v>
      </c>
      <c r="G66" s="62">
        <v>1</v>
      </c>
      <c r="H66" s="62">
        <v>1</v>
      </c>
      <c r="I66" s="62">
        <v>1</v>
      </c>
      <c r="J66" s="62">
        <v>1</v>
      </c>
      <c r="K66" s="61">
        <f t="shared" si="36"/>
        <v>32570.089415958941</v>
      </c>
      <c r="L66" s="61">
        <f t="shared" si="37"/>
        <v>23520</v>
      </c>
      <c r="M66" s="61">
        <f t="shared" si="38"/>
        <v>24881.043592030052</v>
      </c>
      <c r="N66" s="61">
        <f t="shared" si="39"/>
        <v>20570.830948246115</v>
      </c>
      <c r="O66" s="61">
        <f t="shared" si="40"/>
        <v>-0.79887034956931302</v>
      </c>
      <c r="P66" s="61">
        <f t="shared" si="41"/>
        <v>-3.5566733864534532</v>
      </c>
      <c r="Q66" s="61">
        <f t="shared" si="42"/>
        <v>24</v>
      </c>
      <c r="R66" s="61">
        <f t="shared" si="43"/>
        <v>3.1622776601683795</v>
      </c>
      <c r="S66" s="61" t="str">
        <f t="shared" si="44"/>
        <v>ĐẠT</v>
      </c>
    </row>
    <row r="67" spans="1:19" x14ac:dyDescent="0.3">
      <c r="A67" s="62">
        <v>8</v>
      </c>
      <c r="B67" s="62"/>
      <c r="C67" s="62" t="s">
        <v>1530</v>
      </c>
      <c r="D67" s="62">
        <v>40</v>
      </c>
      <c r="E67" s="62">
        <v>0</v>
      </c>
      <c r="F67" s="62">
        <v>0</v>
      </c>
      <c r="G67" s="62">
        <v>0</v>
      </c>
      <c r="H67" s="62">
        <v>0</v>
      </c>
      <c r="I67" s="62">
        <v>0</v>
      </c>
      <c r="J67" s="62">
        <v>0</v>
      </c>
      <c r="K67" s="61">
        <f t="shared" si="36"/>
        <v>0</v>
      </c>
      <c r="L67" s="61">
        <f t="shared" si="37"/>
        <v>23520</v>
      </c>
      <c r="M67" s="61">
        <f t="shared" si="38"/>
        <v>27491.918604625538</v>
      </c>
      <c r="N67" s="61">
        <f t="shared" si="39"/>
        <v>22734.127387253808</v>
      </c>
      <c r="O67" s="61">
        <f t="shared" si="40"/>
        <v>0</v>
      </c>
      <c r="P67" s="61">
        <f t="shared" si="41"/>
        <v>0</v>
      </c>
      <c r="Q67" s="61">
        <f t="shared" si="42"/>
        <v>0</v>
      </c>
      <c r="R67" s="61">
        <f t="shared" si="43"/>
        <v>0</v>
      </c>
      <c r="S67" s="61" t="str">
        <f t="shared" si="44"/>
        <v>—</v>
      </c>
    </row>
    <row r="68" spans="1:19" x14ac:dyDescent="0.3">
      <c r="A68" s="62">
        <v>9</v>
      </c>
      <c r="B68" s="62"/>
      <c r="C68" s="62" t="s">
        <v>1530</v>
      </c>
      <c r="D68" s="62">
        <v>40</v>
      </c>
      <c r="E68" s="62">
        <v>0</v>
      </c>
      <c r="F68" s="62">
        <v>0</v>
      </c>
      <c r="G68" s="62">
        <v>0</v>
      </c>
      <c r="H68" s="62">
        <v>0</v>
      </c>
      <c r="I68" s="62">
        <v>0</v>
      </c>
      <c r="J68" s="62">
        <v>0</v>
      </c>
      <c r="K68" s="61">
        <f t="shared" si="36"/>
        <v>0</v>
      </c>
      <c r="L68" s="61">
        <f t="shared" si="37"/>
        <v>23520</v>
      </c>
      <c r="M68" s="61">
        <f t="shared" si="38"/>
        <v>27491.918604625538</v>
      </c>
      <c r="N68" s="61">
        <f t="shared" si="39"/>
        <v>22734.127387253808</v>
      </c>
      <c r="O68" s="61">
        <f t="shared" si="40"/>
        <v>0</v>
      </c>
      <c r="P68" s="61">
        <f t="shared" si="41"/>
        <v>0</v>
      </c>
      <c r="Q68" s="61">
        <f t="shared" si="42"/>
        <v>0</v>
      </c>
      <c r="R68" s="61">
        <f t="shared" si="43"/>
        <v>0</v>
      </c>
      <c r="S68" s="61" t="str">
        <f t="shared" si="44"/>
        <v>—</v>
      </c>
    </row>
    <row r="69" spans="1:19" x14ac:dyDescent="0.3">
      <c r="A69" s="41"/>
      <c r="B69" s="41"/>
      <c r="C69" s="41"/>
      <c r="D69" s="41"/>
      <c r="E69" s="41"/>
      <c r="F69" s="41"/>
      <c r="G69" s="41"/>
      <c r="H69" s="41"/>
      <c r="I69" s="41"/>
      <c r="J69" s="41"/>
      <c r="K69" s="41"/>
      <c r="L69" s="41"/>
      <c r="M69" s="41"/>
      <c r="N69" s="41"/>
      <c r="O69" s="41"/>
      <c r="P69" s="41"/>
      <c r="Q69" s="41"/>
      <c r="R69" s="41"/>
      <c r="S69" s="41"/>
    </row>
    <row r="70" spans="1:19" x14ac:dyDescent="0.3">
      <c r="A70" s="41"/>
      <c r="B70" s="41"/>
      <c r="C70" s="41"/>
      <c r="D70" s="41"/>
      <c r="E70" s="41"/>
      <c r="F70" s="41"/>
      <c r="G70" s="41"/>
      <c r="H70" s="41"/>
      <c r="I70" s="41"/>
      <c r="J70" s="41"/>
      <c r="K70" s="41"/>
      <c r="L70" s="41"/>
      <c r="M70" s="41"/>
      <c r="N70" s="41"/>
      <c r="O70" s="41"/>
      <c r="P70" s="41"/>
      <c r="Q70" s="41"/>
      <c r="R70" s="41"/>
      <c r="S70" s="41"/>
    </row>
    <row r="71" spans="1:19" ht="22.05" customHeight="1" x14ac:dyDescent="0.3">
      <c r="A71" s="122" t="s">
        <v>1538</v>
      </c>
      <c r="B71" s="122"/>
      <c r="C71" s="122"/>
      <c r="D71" s="122"/>
      <c r="E71" s="122"/>
      <c r="F71" s="122"/>
      <c r="G71" s="122"/>
      <c r="H71" s="122"/>
      <c r="I71" s="122"/>
      <c r="J71" s="122"/>
      <c r="K71" s="122"/>
      <c r="L71" s="122"/>
      <c r="M71" s="122"/>
      <c r="N71" s="122"/>
      <c r="O71" s="122"/>
      <c r="P71" s="122"/>
      <c r="Q71" s="122"/>
      <c r="R71" s="122"/>
      <c r="S71" s="122"/>
    </row>
    <row r="72" spans="1:19" x14ac:dyDescent="0.3">
      <c r="A72" s="55" t="s">
        <v>1539</v>
      </c>
      <c r="B72" s="55" t="s">
        <v>1212</v>
      </c>
      <c r="C72" s="55" t="s">
        <v>1053</v>
      </c>
      <c r="D72" s="55" t="s">
        <v>1071</v>
      </c>
      <c r="E72" s="55" t="s">
        <v>1054</v>
      </c>
      <c r="F72" s="41"/>
      <c r="G72" s="41"/>
      <c r="H72" s="41"/>
      <c r="I72" s="41"/>
      <c r="J72" s="41"/>
      <c r="K72" s="41"/>
      <c r="L72" s="41"/>
      <c r="M72" s="41"/>
      <c r="N72" s="41"/>
      <c r="O72" s="41"/>
      <c r="P72" s="41"/>
      <c r="Q72" s="41"/>
      <c r="R72" s="41"/>
      <c r="S72" s="41"/>
    </row>
    <row r="73" spans="1:19" ht="28.8" x14ac:dyDescent="0.3">
      <c r="A73" s="42" t="s">
        <v>1540</v>
      </c>
      <c r="B73" s="61">
        <f>SUM(E25:E31)</f>
        <v>23520</v>
      </c>
      <c r="C73" s="42" t="s">
        <v>226</v>
      </c>
      <c r="D73" s="42"/>
      <c r="E73" s="42" t="s">
        <v>1541</v>
      </c>
      <c r="F73" s="41"/>
      <c r="G73" s="41"/>
      <c r="H73" s="41"/>
      <c r="I73" s="41"/>
      <c r="J73" s="41"/>
      <c r="K73" s="41"/>
      <c r="L73" s="41"/>
      <c r="M73" s="41"/>
      <c r="N73" s="41"/>
      <c r="O73" s="41"/>
      <c r="P73" s="41"/>
      <c r="Q73" s="41"/>
      <c r="R73" s="41"/>
      <c r="S73" s="41"/>
    </row>
    <row r="74" spans="1:19" ht="28.8" x14ac:dyDescent="0.3">
      <c r="A74" s="42" t="s">
        <v>1542</v>
      </c>
      <c r="B74" s="61">
        <f>IF(B73=0,0,SUMPRODUCT(E25:E31,F25:F31)/B73)</f>
        <v>828.57142857142856</v>
      </c>
      <c r="C74" s="42" t="s">
        <v>323</v>
      </c>
      <c r="D74" s="42"/>
      <c r="E74" s="42" t="s">
        <v>1543</v>
      </c>
      <c r="F74" s="41"/>
      <c r="G74" s="41"/>
      <c r="H74" s="41"/>
      <c r="I74" s="41"/>
      <c r="J74" s="41"/>
      <c r="K74" s="41"/>
      <c r="L74" s="41"/>
      <c r="M74" s="41"/>
      <c r="N74" s="41"/>
      <c r="O74" s="41"/>
      <c r="P74" s="41"/>
      <c r="Q74" s="41"/>
      <c r="R74" s="41"/>
      <c r="S74" s="41"/>
    </row>
    <row r="75" spans="1:19" ht="28.8" x14ac:dyDescent="0.3">
      <c r="A75" s="42" t="s">
        <v>1544</v>
      </c>
      <c r="B75" s="61">
        <f>D303</f>
        <v>1057.8674996611414</v>
      </c>
      <c r="C75" s="42" t="s">
        <v>160</v>
      </c>
      <c r="D75" s="42"/>
      <c r="E75" s="42" t="s">
        <v>1545</v>
      </c>
      <c r="F75" s="41"/>
      <c r="G75" s="41"/>
      <c r="H75" s="41"/>
      <c r="I75" s="41"/>
      <c r="J75" s="41"/>
      <c r="K75" s="41"/>
      <c r="L75" s="41"/>
      <c r="M75" s="41"/>
      <c r="N75" s="41"/>
      <c r="O75" s="41"/>
      <c r="P75" s="41"/>
      <c r="Q75" s="41"/>
      <c r="R75" s="41"/>
      <c r="S75" s="41"/>
    </row>
    <row r="76" spans="1:19" x14ac:dyDescent="0.3">
      <c r="A76" s="42" t="s">
        <v>1546</v>
      </c>
      <c r="B76" s="61">
        <f>D310</f>
        <v>194347.88762750383</v>
      </c>
      <c r="C76" s="42" t="s">
        <v>813</v>
      </c>
      <c r="D76" s="63" t="str">
        <f>IF(D5=0,"—",IF(B76&gt;=G12,"ĐẠT","KHÔNG ĐẠT"))</f>
        <v>ĐẠT</v>
      </c>
      <c r="E76" s="42" t="s">
        <v>1547</v>
      </c>
      <c r="F76" s="41"/>
      <c r="G76" s="41"/>
      <c r="H76" s="41"/>
      <c r="I76" s="41"/>
      <c r="J76" s="41"/>
      <c r="K76" s="41"/>
      <c r="L76" s="41"/>
      <c r="M76" s="41"/>
      <c r="N76" s="41"/>
      <c r="O76" s="41"/>
      <c r="P76" s="41"/>
      <c r="Q76" s="41"/>
      <c r="R76" s="41"/>
      <c r="S76" s="41"/>
    </row>
    <row r="77" spans="1:19" ht="57.6" x14ac:dyDescent="0.3">
      <c r="A77" s="42" t="s">
        <v>1548</v>
      </c>
      <c r="B77" s="61">
        <f>MAX(0,G13-SUM(K25:K31))</f>
        <v>11702.025732564334</v>
      </c>
      <c r="C77" s="42" t="s">
        <v>72</v>
      </c>
      <c r="D77" s="63"/>
      <c r="E77" s="42" t="s">
        <v>1549</v>
      </c>
      <c r="F77" s="41"/>
      <c r="G77" s="41"/>
      <c r="H77" s="41"/>
      <c r="I77" s="41"/>
      <c r="J77" s="41"/>
      <c r="K77" s="41"/>
      <c r="L77" s="41"/>
      <c r="M77" s="41"/>
      <c r="N77" s="41"/>
      <c r="O77" s="41"/>
      <c r="P77" s="41"/>
      <c r="Q77" s="41"/>
      <c r="R77" s="41"/>
      <c r="S77" s="41"/>
    </row>
    <row r="78" spans="1:19" ht="86.4" x14ac:dyDescent="0.3">
      <c r="A78" s="42" t="s">
        <v>1550</v>
      </c>
      <c r="B78" s="61">
        <f>'XA MU'!D136</f>
        <v>20696.968472548004</v>
      </c>
      <c r="C78" s="42" t="s">
        <v>72</v>
      </c>
      <c r="D78" s="63" t="str">
        <f>IF(D5=0,"—",IF(AND(B78&gt;=B77,OR(B77&lt;=0.5*0.9*'XA MU'!D134,'XA MU'!D129&gt;='XA MU'!E129)),"ĐẠT","KHÔNG ĐẠT"))</f>
        <v>ĐẠT</v>
      </c>
      <c r="E78" s="42" t="s">
        <v>1551</v>
      </c>
      <c r="F78" s="41"/>
      <c r="G78" s="41"/>
      <c r="H78" s="41"/>
      <c r="I78" s="41"/>
      <c r="J78" s="41"/>
      <c r="K78" s="41"/>
      <c r="L78" s="41"/>
      <c r="M78" s="41"/>
      <c r="N78" s="41"/>
      <c r="O78" s="41"/>
      <c r="P78" s="41"/>
      <c r="Q78" s="41"/>
      <c r="R78" s="41"/>
      <c r="S78" s="41"/>
    </row>
    <row r="79" spans="1:19" ht="57.6" x14ac:dyDescent="0.3">
      <c r="A79" s="42" t="s">
        <v>1552</v>
      </c>
      <c r="B79" s="61">
        <f>'XA MU'!D206</f>
        <v>3077.9755690212774</v>
      </c>
      <c r="C79" s="42" t="s">
        <v>813</v>
      </c>
      <c r="D79" s="63" t="str">
        <f>IF(D5=0,"—",IF(AND('XA MU'!D214="ĐẠT",'XA MU'!D217&lt;&gt;"KHÔNG ĐẠT",'XA MU'!D219="ĐẠT"),"ĐẠT","KHÔNG ĐẠT"))</f>
        <v>ĐẠT</v>
      </c>
      <c r="E79" s="42" t="s">
        <v>1553</v>
      </c>
      <c r="F79" s="41"/>
      <c r="G79" s="41"/>
      <c r="H79" s="41"/>
      <c r="I79" s="41"/>
      <c r="J79" s="41"/>
      <c r="K79" s="41"/>
      <c r="L79" s="41"/>
      <c r="M79" s="41"/>
      <c r="N79" s="41"/>
      <c r="O79" s="41"/>
      <c r="P79" s="41"/>
      <c r="Q79" s="41"/>
      <c r="R79" s="41"/>
      <c r="S79" s="41"/>
    </row>
    <row r="80" spans="1:19" ht="28.8" x14ac:dyDescent="0.3">
      <c r="A80" s="42" t="s">
        <v>1554</v>
      </c>
      <c r="B80" s="61"/>
      <c r="C80" s="42"/>
      <c r="D80" s="63" t="str">
        <f>IF(D5=0,"—",IF(COUNTIF(S60:S68,"KHÔNG ĐẠT")&gt;0,"KHÔNG ĐẠT",IF(COUNTIF(B60:B68,"&lt;&gt;")=0,"BLOCKED","ĐẠT")))</f>
        <v>ĐẠT</v>
      </c>
      <c r="E80" s="42" t="s">
        <v>1555</v>
      </c>
      <c r="F80" s="41"/>
      <c r="G80" s="41"/>
      <c r="H80" s="41"/>
      <c r="I80" s="41"/>
      <c r="J80" s="41"/>
      <c r="K80" s="41"/>
      <c r="L80" s="41"/>
      <c r="M80" s="41"/>
      <c r="N80" s="41"/>
      <c r="O80" s="41"/>
      <c r="P80" s="41"/>
      <c r="Q80" s="41"/>
      <c r="R80" s="41"/>
      <c r="S80" s="41"/>
    </row>
    <row r="81" spans="1:19" ht="57.6" x14ac:dyDescent="0.3">
      <c r="A81" s="42" t="s">
        <v>1556</v>
      </c>
      <c r="B81" s="61">
        <f>IF(OR(D5=0,B73=0),0,((B73*B75/1000)*(B74/1000)*Lxm^2/8-5*(gcbt*bxm*(hxm+hmr))*Lxm^4/384)/(Ec_*1000*(bxm*(hxm+hmr)^3/12))*1000)</f>
        <v>0.49432489942772206</v>
      </c>
      <c r="C81" s="42" t="s">
        <v>323</v>
      </c>
      <c r="D81" s="63" t="str">
        <f>D141</f>
        <v>THAM KHẢO — CẦN SƠ ĐỒ THỰC</v>
      </c>
      <c r="E81" s="42" t="s">
        <v>1557</v>
      </c>
      <c r="F81" s="41"/>
      <c r="G81" s="41"/>
      <c r="H81" s="41"/>
      <c r="I81" s="41"/>
      <c r="J81" s="41"/>
      <c r="K81" s="41"/>
      <c r="L81" s="41"/>
      <c r="M81" s="41"/>
      <c r="N81" s="41"/>
      <c r="O81" s="41"/>
      <c r="P81" s="41"/>
      <c r="Q81" s="41"/>
      <c r="R81" s="41"/>
      <c r="S81" s="41"/>
    </row>
    <row r="82" spans="1:19" ht="72" x14ac:dyDescent="0.3">
      <c r="A82" s="42" t="s">
        <v>1558</v>
      </c>
      <c r="B82" s="42"/>
      <c r="C82" s="42"/>
      <c r="D82" s="63" t="str">
        <f>D114</f>
        <v>BLOCKED — CẦN DỮ LIỆU NEO/QUỸ ĐẠO CÁP</v>
      </c>
      <c r="E82" s="42" t="s">
        <v>1559</v>
      </c>
      <c r="F82" s="41"/>
      <c r="G82" s="41"/>
      <c r="H82" s="41"/>
      <c r="I82" s="41"/>
      <c r="J82" s="41"/>
      <c r="K82" s="41"/>
      <c r="L82" s="41"/>
      <c r="M82" s="41"/>
      <c r="N82" s="41"/>
      <c r="O82" s="41"/>
      <c r="P82" s="41"/>
      <c r="Q82" s="41"/>
      <c r="R82" s="41"/>
      <c r="S82" s="41"/>
    </row>
    <row r="83" spans="1:19" ht="43.2" x14ac:dyDescent="0.3">
      <c r="A83" s="42" t="s">
        <v>1560</v>
      </c>
      <c r="B83" s="42"/>
      <c r="C83" s="42"/>
      <c r="D83" s="63" t="str">
        <f>D129</f>
        <v>BLOCKED — CẦN PHỔ ỨNG SUẤT</v>
      </c>
      <c r="E83" s="42" t="s">
        <v>1561</v>
      </c>
      <c r="F83" s="41"/>
      <c r="G83" s="41"/>
      <c r="H83" s="41"/>
      <c r="I83" s="41"/>
      <c r="J83" s="41"/>
      <c r="K83" s="41"/>
      <c r="L83" s="41"/>
      <c r="M83" s="41"/>
      <c r="N83" s="41"/>
      <c r="O83" s="41"/>
      <c r="P83" s="41"/>
      <c r="Q83" s="41"/>
      <c r="R83" s="41"/>
      <c r="S83" s="41"/>
    </row>
    <row r="84" spans="1:19" ht="72" x14ac:dyDescent="0.3">
      <c r="A84" s="42" t="s">
        <v>1562</v>
      </c>
      <c r="B84" s="42"/>
      <c r="C84" s="42"/>
      <c r="D84" s="63" t="str">
        <f>IF($P$819&lt;&gt;"OK","BLOCKED — capOpt/HÌNH HỌC FILLET KHÔNG HỢP LỆ (xem Q34, C820:C826)",IF($D$32&gt;0.05*$D$303,"BLOCKED — CHÊNH fpe GIỮA NHÓM &gt;5% — PHẢI KIỂM RIÊNG TỪNG NHÓM",IF(D5=0,"BTCT ĐANG DÙNG — DƯL TẮT",IF(OR(D76="KHÔNG ĐẠT",D78="KHÔNG ĐẠT",D79="KHÔNG ĐẠT",D80="KHÔNG ĐẠT",D81="KHÔNG ĐẠT",D82="KHÔNG ĐẠT",D83="KHÔNG ĐẠT"),"KHÔNG ĐẠT",IF(OR(D80="BLOCKED",ISNUMBER(SEARCH("BLOCKED",D82)),ISNUMBER(SEARCH("BLOCKED",D83)),ISNUMBER(SEARCH("THAM KHẢO",D81))),"BLOCKED — CÒN NEO/STM/MỎI/CAMBER CUỐI","ĐẠT")))))</f>
        <v>BLOCKED — CÒN NEO/STM/MỎI/CAMBER CUỐI</v>
      </c>
      <c r="E84" s="42" t="s">
        <v>1563</v>
      </c>
      <c r="F84" s="41"/>
      <c r="G84" s="41"/>
      <c r="H84" s="41"/>
      <c r="I84" s="41"/>
      <c r="J84" s="41"/>
      <c r="K84" s="41"/>
      <c r="L84" s="41"/>
      <c r="M84" s="41"/>
      <c r="N84" s="41"/>
      <c r="O84" s="41"/>
      <c r="P84" s="41"/>
      <c r="Q84" s="41"/>
      <c r="R84" s="41"/>
      <c r="S84" s="41"/>
    </row>
    <row r="85" spans="1:19" x14ac:dyDescent="0.3">
      <c r="A85" s="41"/>
      <c r="B85" s="41"/>
      <c r="C85" s="41"/>
      <c r="D85" s="41"/>
      <c r="E85" s="41"/>
      <c r="F85" s="41"/>
      <c r="G85" s="41"/>
      <c r="H85" s="41"/>
      <c r="I85" s="41"/>
      <c r="J85" s="41"/>
      <c r="K85" s="41"/>
      <c r="L85" s="41"/>
      <c r="M85" s="41"/>
      <c r="N85" s="41"/>
      <c r="O85" s="41"/>
      <c r="P85" s="41"/>
      <c r="Q85" s="41"/>
      <c r="R85" s="41"/>
      <c r="S85" s="41"/>
    </row>
    <row r="86" spans="1:19" x14ac:dyDescent="0.3">
      <c r="A86" s="41"/>
      <c r="B86" s="41"/>
      <c r="C86" s="41"/>
      <c r="D86" s="41"/>
      <c r="E86" s="41"/>
      <c r="F86" s="41"/>
      <c r="G86" s="41"/>
      <c r="H86" s="41"/>
      <c r="I86" s="41"/>
      <c r="J86" s="41"/>
      <c r="K86" s="41"/>
      <c r="L86" s="41"/>
      <c r="M86" s="41"/>
      <c r="N86" s="41"/>
      <c r="O86" s="41"/>
      <c r="P86" s="41"/>
      <c r="Q86" s="41"/>
      <c r="R86" s="41"/>
      <c r="S86" s="41"/>
    </row>
    <row r="87" spans="1:19" ht="57.6" customHeight="1" x14ac:dyDescent="0.3">
      <c r="A87" s="127" t="s">
        <v>1724</v>
      </c>
      <c r="B87" s="128"/>
      <c r="C87" s="128"/>
      <c r="D87" s="128"/>
      <c r="E87" s="128"/>
      <c r="F87" s="128"/>
      <c r="G87" s="128"/>
      <c r="H87" s="128"/>
      <c r="I87" s="128"/>
      <c r="J87" s="128"/>
      <c r="K87" s="41"/>
      <c r="L87" s="41"/>
      <c r="M87" s="41"/>
      <c r="N87" s="41"/>
      <c r="O87" s="41"/>
      <c r="P87" s="41"/>
      <c r="Q87" s="41"/>
      <c r="R87" s="41"/>
      <c r="S87" s="41"/>
    </row>
    <row r="88" spans="1:19" ht="115.2" customHeight="1" x14ac:dyDescent="0.3">
      <c r="A88" s="129"/>
      <c r="B88" s="128"/>
      <c r="C88" s="128"/>
      <c r="D88" s="128"/>
      <c r="E88" s="128"/>
      <c r="F88" s="128"/>
      <c r="G88" s="128"/>
      <c r="H88" s="128"/>
      <c r="I88" s="128"/>
      <c r="J88" s="128"/>
      <c r="K88" s="41"/>
      <c r="L88" s="41"/>
      <c r="M88" s="41"/>
      <c r="N88" s="41"/>
      <c r="O88" s="41"/>
      <c r="P88" s="41"/>
      <c r="Q88" s="41"/>
      <c r="R88" s="41"/>
      <c r="S88" s="41"/>
    </row>
    <row r="89" spans="1:19" x14ac:dyDescent="0.3">
      <c r="A89" s="72"/>
      <c r="B89" s="72"/>
      <c r="C89" s="72"/>
      <c r="D89" s="72"/>
      <c r="E89" s="72"/>
      <c r="F89" s="72"/>
      <c r="G89" s="72"/>
      <c r="H89" s="72"/>
      <c r="I89" s="72"/>
      <c r="J89" s="72"/>
      <c r="K89" s="41"/>
      <c r="L89" s="41"/>
      <c r="M89" s="41"/>
      <c r="N89" s="41"/>
      <c r="O89" s="41"/>
      <c r="P89" s="41"/>
      <c r="Q89" s="41"/>
      <c r="R89" s="41"/>
      <c r="S89" s="41"/>
    </row>
    <row r="90" spans="1:19" x14ac:dyDescent="0.3">
      <c r="A90" s="130" t="s">
        <v>1725</v>
      </c>
      <c r="B90" s="131"/>
      <c r="C90" s="131"/>
      <c r="D90" s="131"/>
      <c r="E90" s="131"/>
      <c r="F90" s="131"/>
      <c r="G90" s="131"/>
      <c r="H90" s="132"/>
      <c r="I90" s="79"/>
      <c r="J90" s="77"/>
      <c r="K90" s="41"/>
      <c r="L90" s="41"/>
      <c r="M90" s="41"/>
      <c r="N90" s="41"/>
      <c r="O90" s="41"/>
      <c r="P90" s="41"/>
      <c r="Q90" s="41"/>
      <c r="R90" s="41"/>
      <c r="S90" s="41"/>
    </row>
    <row r="91" spans="1:19" x14ac:dyDescent="0.3">
      <c r="A91" s="133" t="s">
        <v>1726</v>
      </c>
      <c r="B91" s="134"/>
      <c r="C91" s="134"/>
      <c r="D91" s="134"/>
      <c r="E91" s="134"/>
      <c r="F91" s="134"/>
      <c r="G91" s="134"/>
      <c r="H91" s="135"/>
      <c r="I91" s="79"/>
      <c r="J91" s="77"/>
      <c r="K91" s="41"/>
      <c r="L91" s="41"/>
      <c r="M91" s="41"/>
      <c r="N91" s="41"/>
      <c r="O91" s="41"/>
      <c r="P91" s="41"/>
      <c r="Q91" s="41"/>
      <c r="R91" s="41"/>
      <c r="S91" s="41"/>
    </row>
    <row r="92" spans="1:19" x14ac:dyDescent="0.3">
      <c r="A92" s="73"/>
      <c r="B92" s="74"/>
      <c r="C92" s="74"/>
      <c r="D92" s="75"/>
      <c r="E92" s="76"/>
      <c r="F92" s="77"/>
      <c r="G92" s="78"/>
      <c r="H92" s="79"/>
      <c r="I92" s="79"/>
      <c r="J92" s="77"/>
      <c r="K92" s="41"/>
      <c r="L92" s="41"/>
      <c r="M92" s="41"/>
      <c r="N92" s="41"/>
      <c r="O92" s="41"/>
      <c r="P92" s="41"/>
      <c r="Q92" s="41"/>
      <c r="R92" s="41"/>
      <c r="S92" s="41"/>
    </row>
    <row r="93" spans="1:19" x14ac:dyDescent="0.3">
      <c r="A93" s="136" t="s">
        <v>1727</v>
      </c>
      <c r="B93" s="137"/>
      <c r="C93" s="137"/>
      <c r="D93" s="137"/>
      <c r="E93" s="137"/>
      <c r="F93" s="137"/>
      <c r="G93" s="137"/>
      <c r="H93" s="138"/>
      <c r="I93" s="79"/>
      <c r="J93" s="77"/>
      <c r="K93" s="41"/>
      <c r="L93" s="41"/>
      <c r="M93" s="41"/>
      <c r="N93" s="41"/>
      <c r="O93" s="41"/>
      <c r="P93" s="41"/>
      <c r="Q93" s="41"/>
      <c r="R93" s="41"/>
      <c r="S93" s="41"/>
    </row>
    <row r="94" spans="1:19" ht="28.8" x14ac:dyDescent="0.3">
      <c r="A94" s="101" t="s">
        <v>1637</v>
      </c>
      <c r="B94" s="102" t="s">
        <v>1212</v>
      </c>
      <c r="C94" s="102" t="s">
        <v>1053</v>
      </c>
      <c r="D94" s="103" t="s">
        <v>1728</v>
      </c>
      <c r="E94" s="104" t="s">
        <v>1729</v>
      </c>
      <c r="F94" s="77"/>
      <c r="G94" s="78"/>
      <c r="H94" s="79"/>
      <c r="I94" s="79"/>
      <c r="J94" s="77"/>
      <c r="K94" s="41"/>
      <c r="L94" s="41"/>
      <c r="M94" s="41"/>
      <c r="N94" s="41"/>
      <c r="O94" s="41"/>
      <c r="P94" s="41"/>
      <c r="Q94" s="41"/>
      <c r="R94" s="41"/>
      <c r="S94" s="41"/>
    </row>
    <row r="95" spans="1:19" ht="48.6" x14ac:dyDescent="0.3">
      <c r="A95" s="73" t="s">
        <v>1730</v>
      </c>
      <c r="B95" s="106"/>
      <c r="C95" s="74" t="s">
        <v>72</v>
      </c>
      <c r="D95" s="75"/>
      <c r="E95" s="105" t="s">
        <v>1731</v>
      </c>
      <c r="F95" s="77"/>
      <c r="G95" s="78"/>
      <c r="H95" s="79"/>
      <c r="I95" s="79"/>
      <c r="J95" s="77"/>
      <c r="K95" s="41"/>
      <c r="L95" s="41"/>
      <c r="M95" s="41"/>
      <c r="N95" s="41"/>
      <c r="O95" s="41"/>
      <c r="P95" s="41"/>
      <c r="Q95" s="41"/>
      <c r="R95" s="41"/>
      <c r="S95" s="41"/>
    </row>
    <row r="96" spans="1:19" ht="43.2" x14ac:dyDescent="0.3">
      <c r="A96" s="73" t="s">
        <v>1732</v>
      </c>
      <c r="B96" s="106"/>
      <c r="C96" s="74" t="s">
        <v>323</v>
      </c>
      <c r="D96" s="75"/>
      <c r="E96" s="105" t="s">
        <v>1733</v>
      </c>
      <c r="F96" s="77"/>
      <c r="G96" s="78"/>
      <c r="H96" s="79"/>
      <c r="I96" s="79"/>
      <c r="J96" s="77"/>
      <c r="K96" s="41"/>
      <c r="L96" s="41"/>
      <c r="M96" s="41"/>
      <c r="N96" s="41"/>
      <c r="O96" s="41"/>
      <c r="P96" s="41"/>
      <c r="Q96" s="41"/>
      <c r="R96" s="41"/>
      <c r="S96" s="41"/>
    </row>
    <row r="97" spans="1:19" ht="28.8" x14ac:dyDescent="0.3">
      <c r="A97" s="41" t="s">
        <v>1734</v>
      </c>
      <c r="B97" s="108"/>
      <c r="C97" s="41" t="s">
        <v>323</v>
      </c>
      <c r="D97" s="41"/>
      <c r="E97" s="107" t="s">
        <v>1735</v>
      </c>
      <c r="F97" s="41"/>
      <c r="G97" s="41"/>
      <c r="H97" s="41"/>
      <c r="I97" s="41"/>
      <c r="J97" s="41"/>
      <c r="K97" s="41"/>
      <c r="L97" s="41"/>
      <c r="M97" s="41"/>
      <c r="N97" s="41"/>
      <c r="O97" s="41"/>
      <c r="P97" s="41"/>
      <c r="Q97" s="41"/>
      <c r="R97" s="41"/>
      <c r="S97" s="41"/>
    </row>
    <row r="98" spans="1:19" ht="129.6" customHeight="1" x14ac:dyDescent="0.3">
      <c r="A98" s="100" t="s">
        <v>1736</v>
      </c>
      <c r="B98" s="108"/>
      <c r="C98" s="41" t="s">
        <v>323</v>
      </c>
      <c r="D98" s="41"/>
      <c r="E98" s="107" t="s">
        <v>1803</v>
      </c>
      <c r="F98" s="41"/>
      <c r="G98" s="41"/>
      <c r="H98" s="41"/>
      <c r="I98" s="41"/>
      <c r="J98" s="41"/>
      <c r="K98" s="41"/>
      <c r="L98" s="41"/>
      <c r="M98" s="41"/>
      <c r="N98" s="41"/>
      <c r="O98" s="41"/>
      <c r="P98" s="41"/>
      <c r="Q98" s="41"/>
      <c r="R98" s="41"/>
      <c r="S98" s="41"/>
    </row>
    <row r="99" spans="1:19" ht="28.8" x14ac:dyDescent="0.3">
      <c r="A99" s="41" t="s">
        <v>1737</v>
      </c>
      <c r="B99" s="108"/>
      <c r="C99" s="41" t="s">
        <v>88</v>
      </c>
      <c r="D99" s="41"/>
      <c r="E99" s="107" t="s">
        <v>1738</v>
      </c>
      <c r="F99" s="41"/>
      <c r="G99" s="41"/>
      <c r="H99" s="41"/>
      <c r="I99" s="41"/>
      <c r="J99" s="41"/>
      <c r="K99" s="41"/>
      <c r="L99" s="41"/>
      <c r="M99" s="41"/>
      <c r="N99" s="41"/>
      <c r="O99" s="41"/>
      <c r="P99" s="41"/>
      <c r="Q99" s="41"/>
      <c r="R99" s="41"/>
      <c r="S99" s="41"/>
    </row>
    <row r="100" spans="1:19" ht="36.6" x14ac:dyDescent="0.3">
      <c r="A100" s="41" t="s">
        <v>1739</v>
      </c>
      <c r="B100" s="108"/>
      <c r="C100" s="41" t="s">
        <v>226</v>
      </c>
      <c r="D100" s="41"/>
      <c r="E100" s="107" t="s">
        <v>1740</v>
      </c>
      <c r="F100" s="41"/>
      <c r="G100" s="41"/>
      <c r="H100" s="41"/>
      <c r="I100" s="41"/>
      <c r="J100" s="41"/>
      <c r="K100" s="41"/>
      <c r="L100" s="41"/>
      <c r="M100" s="41"/>
      <c r="N100" s="41"/>
      <c r="O100" s="41"/>
      <c r="P100" s="41"/>
      <c r="Q100" s="41"/>
      <c r="R100" s="41"/>
      <c r="S100" s="41"/>
    </row>
    <row r="101" spans="1:19" ht="28.8" x14ac:dyDescent="0.3">
      <c r="A101" s="41" t="s">
        <v>1741</v>
      </c>
      <c r="B101" s="108"/>
      <c r="C101" s="41" t="s">
        <v>226</v>
      </c>
      <c r="D101" s="41"/>
      <c r="E101" s="107" t="s">
        <v>1742</v>
      </c>
      <c r="F101" s="41"/>
      <c r="G101" s="41"/>
      <c r="H101" s="41"/>
      <c r="I101" s="41"/>
      <c r="J101" s="41"/>
      <c r="K101" s="41"/>
      <c r="L101" s="41"/>
      <c r="M101" s="41"/>
      <c r="N101" s="41"/>
      <c r="O101" s="41"/>
      <c r="P101" s="41"/>
      <c r="Q101" s="41"/>
      <c r="R101" s="41"/>
      <c r="S101" s="41"/>
    </row>
    <row r="102" spans="1:19" ht="28.8" x14ac:dyDescent="0.3">
      <c r="A102" s="41" t="s">
        <v>1743</v>
      </c>
      <c r="B102" s="108"/>
      <c r="C102" s="41" t="s">
        <v>160</v>
      </c>
      <c r="D102" s="41"/>
      <c r="E102" s="107" t="s">
        <v>1744</v>
      </c>
      <c r="F102" s="41"/>
      <c r="G102" s="41"/>
      <c r="H102" s="41"/>
      <c r="I102" s="41"/>
      <c r="J102" s="41"/>
      <c r="K102" s="41"/>
      <c r="L102" s="41"/>
      <c r="M102" s="41"/>
      <c r="N102" s="41"/>
      <c r="O102" s="41"/>
      <c r="P102" s="41"/>
      <c r="Q102" s="41"/>
      <c r="R102" s="41"/>
      <c r="S102" s="41"/>
    </row>
    <row r="103" spans="1:19" ht="28.8" x14ac:dyDescent="0.3">
      <c r="A103" s="41" t="s">
        <v>1745</v>
      </c>
      <c r="B103" s="108"/>
      <c r="C103" s="41" t="s">
        <v>226</v>
      </c>
      <c r="D103" s="41"/>
      <c r="E103" s="107" t="s">
        <v>1746</v>
      </c>
      <c r="F103" s="41"/>
      <c r="G103" s="41"/>
      <c r="H103" s="41"/>
      <c r="I103" s="41"/>
      <c r="J103" s="41"/>
      <c r="K103" s="41"/>
      <c r="L103" s="41"/>
      <c r="M103" s="41"/>
      <c r="N103" s="41"/>
      <c r="O103" s="41"/>
      <c r="P103" s="41"/>
      <c r="Q103" s="41"/>
      <c r="R103" s="41"/>
      <c r="S103" s="41"/>
    </row>
    <row r="104" spans="1:19" ht="28.8" x14ac:dyDescent="0.3">
      <c r="A104" s="41" t="s">
        <v>1747</v>
      </c>
      <c r="B104" s="108"/>
      <c r="C104" s="41" t="s">
        <v>160</v>
      </c>
      <c r="D104" s="41"/>
      <c r="E104" s="107" t="s">
        <v>1748</v>
      </c>
      <c r="F104" s="41"/>
      <c r="G104" s="41"/>
      <c r="H104" s="41"/>
      <c r="I104" s="41"/>
      <c r="J104" s="41"/>
      <c r="K104" s="41"/>
      <c r="L104" s="41"/>
      <c r="M104" s="41"/>
      <c r="N104" s="41"/>
      <c r="O104" s="41"/>
      <c r="P104" s="41"/>
      <c r="Q104" s="41"/>
      <c r="R104" s="41"/>
      <c r="S104" s="41"/>
    </row>
    <row r="105" spans="1:19" ht="28.8" x14ac:dyDescent="0.3">
      <c r="A105" s="41" t="s">
        <v>1749</v>
      </c>
      <c r="B105" s="108">
        <v>1</v>
      </c>
      <c r="C105" s="41" t="s">
        <v>395</v>
      </c>
      <c r="D105" s="41"/>
      <c r="E105" s="107" t="s">
        <v>1750</v>
      </c>
      <c r="F105" s="41"/>
      <c r="G105" s="41"/>
      <c r="H105" s="41"/>
      <c r="I105" s="41"/>
      <c r="J105" s="41"/>
      <c r="K105" s="41"/>
      <c r="L105" s="41"/>
      <c r="M105" s="41"/>
      <c r="N105" s="41"/>
      <c r="O105" s="41"/>
      <c r="P105" s="41"/>
      <c r="Q105" s="41"/>
      <c r="R105" s="41"/>
      <c r="S105" s="41"/>
    </row>
    <row r="106" spans="1:19" ht="28.8" x14ac:dyDescent="0.3">
      <c r="A106" s="41" t="s">
        <v>1751</v>
      </c>
      <c r="B106" s="108">
        <v>0.8</v>
      </c>
      <c r="C106" s="41" t="s">
        <v>395</v>
      </c>
      <c r="D106" s="41"/>
      <c r="E106" s="107" t="s">
        <v>1752</v>
      </c>
      <c r="F106" s="41"/>
      <c r="G106" s="41"/>
      <c r="H106" s="41"/>
      <c r="I106" s="41"/>
      <c r="J106" s="41"/>
      <c r="K106" s="41"/>
      <c r="L106" s="41"/>
      <c r="M106" s="41"/>
      <c r="N106" s="41"/>
      <c r="O106" s="41"/>
      <c r="P106" s="41"/>
      <c r="Q106" s="41"/>
      <c r="R106" s="41"/>
      <c r="S106" s="41"/>
    </row>
    <row r="107" spans="1:19" ht="28.8" x14ac:dyDescent="0.3">
      <c r="A107" s="41" t="s">
        <v>1753</v>
      </c>
      <c r="B107" s="109">
        <f>IF(B97=0,0,0.25*B95*(1-B96/B97))</f>
        <v>0</v>
      </c>
      <c r="C107" s="41" t="s">
        <v>72</v>
      </c>
      <c r="D107" s="41"/>
      <c r="E107" s="107" t="s">
        <v>1754</v>
      </c>
      <c r="F107" s="41"/>
      <c r="G107" s="41"/>
      <c r="H107" s="41"/>
      <c r="I107" s="41"/>
      <c r="J107" s="41"/>
      <c r="K107" s="41"/>
      <c r="L107" s="41"/>
      <c r="M107" s="41"/>
      <c r="N107" s="41"/>
      <c r="O107" s="41"/>
      <c r="P107" s="41"/>
      <c r="Q107" s="41"/>
      <c r="R107" s="41"/>
      <c r="S107" s="41"/>
    </row>
    <row r="108" spans="1:19" ht="28.8" x14ac:dyDescent="0.3">
      <c r="A108" s="41" t="s">
        <v>1755</v>
      </c>
      <c r="B108" s="110">
        <f>IF(B97=0,0,0.5*(B97-2*B98)+5*B98*SIN(RADIANS(B99)))</f>
        <v>0</v>
      </c>
      <c r="C108" s="41" t="s">
        <v>323</v>
      </c>
      <c r="D108" s="41"/>
      <c r="E108" s="107" t="s">
        <v>1756</v>
      </c>
      <c r="F108" s="41"/>
      <c r="G108" s="41"/>
      <c r="H108" s="41"/>
      <c r="I108" s="41"/>
      <c r="J108" s="41"/>
      <c r="K108" s="41"/>
      <c r="L108" s="41"/>
      <c r="M108" s="41"/>
      <c r="N108" s="41"/>
      <c r="O108" s="41"/>
      <c r="P108" s="41"/>
      <c r="Q108" s="41"/>
      <c r="R108" s="41"/>
      <c r="S108" s="41"/>
    </row>
    <row r="109" spans="1:19" ht="28.8" x14ac:dyDescent="0.3">
      <c r="A109" s="41" t="s">
        <v>1757</v>
      </c>
      <c r="B109" s="109">
        <f>B105*B103*B104/1000</f>
        <v>0</v>
      </c>
      <c r="C109" s="41" t="s">
        <v>72</v>
      </c>
      <c r="D109" s="41"/>
      <c r="E109" s="107"/>
      <c r="F109" s="41"/>
      <c r="G109" s="41"/>
      <c r="H109" s="41"/>
      <c r="I109" s="41"/>
      <c r="J109" s="41"/>
      <c r="K109" s="41"/>
      <c r="L109" s="41"/>
      <c r="M109" s="41"/>
      <c r="N109" s="41"/>
      <c r="O109" s="41"/>
      <c r="P109" s="41"/>
      <c r="Q109" s="41"/>
      <c r="R109" s="41"/>
      <c r="S109" s="41"/>
    </row>
    <row r="110" spans="1:19" ht="28.8" x14ac:dyDescent="0.3">
      <c r="A110" s="41" t="s">
        <v>1758</v>
      </c>
      <c r="B110" s="111" t="str">
        <f>IF(B107=0,"—",IF(B109&gt;=B107,"ĐẠT","KHÔNG ĐẠT"))</f>
        <v>—</v>
      </c>
      <c r="C110" s="41"/>
      <c r="D110" s="41"/>
      <c r="E110" s="41"/>
      <c r="F110" s="41"/>
      <c r="G110" s="41"/>
      <c r="H110" s="41"/>
      <c r="I110" s="41"/>
      <c r="J110" s="41"/>
      <c r="K110" s="41"/>
      <c r="L110" s="41"/>
      <c r="M110" s="41"/>
      <c r="N110" s="41"/>
      <c r="O110" s="41"/>
      <c r="P110" s="41"/>
      <c r="Q110" s="41"/>
      <c r="R110" s="41"/>
      <c r="S110" s="41"/>
    </row>
    <row r="111" spans="1:19" ht="28.8" x14ac:dyDescent="0.3">
      <c r="A111" s="41" t="s">
        <v>1759</v>
      </c>
      <c r="B111" s="112">
        <f>IF(B101=0,0,B95*1000/B101)</f>
        <v>0</v>
      </c>
      <c r="C111" s="41" t="s">
        <v>160</v>
      </c>
      <c r="D111" s="41"/>
      <c r="E111" s="107"/>
      <c r="F111" s="41"/>
      <c r="G111" s="41"/>
      <c r="H111" s="41"/>
      <c r="I111" s="41"/>
      <c r="J111" s="41"/>
      <c r="K111" s="41"/>
      <c r="L111" s="41"/>
      <c r="M111" s="41"/>
      <c r="N111" s="41"/>
      <c r="O111" s="41"/>
      <c r="P111" s="41"/>
      <c r="Q111" s="41"/>
      <c r="R111" s="41"/>
      <c r="S111" s="41"/>
    </row>
    <row r="112" spans="1:19" ht="57.6" x14ac:dyDescent="0.3">
      <c r="A112" s="41" t="s">
        <v>1760</v>
      </c>
      <c r="B112" s="112">
        <f>IF(B101=0,0,MIN(0.7*B106*B102*SQRT(B100/B101),2.25*B106*B102))</f>
        <v>0</v>
      </c>
      <c r="C112" s="41" t="s">
        <v>160</v>
      </c>
      <c r="D112" s="41"/>
      <c r="E112" s="107" t="s">
        <v>1761</v>
      </c>
      <c r="F112" s="41"/>
      <c r="G112" s="41"/>
      <c r="H112" s="41"/>
      <c r="I112" s="41"/>
      <c r="J112" s="41"/>
      <c r="K112" s="41"/>
      <c r="L112" s="41"/>
      <c r="M112" s="41"/>
      <c r="N112" s="41"/>
      <c r="O112" s="41"/>
      <c r="P112" s="41"/>
      <c r="Q112" s="41"/>
      <c r="R112" s="41"/>
      <c r="S112" s="41"/>
    </row>
    <row r="113" spans="1:19" ht="28.8" x14ac:dyDescent="0.3">
      <c r="A113" s="41" t="s">
        <v>1762</v>
      </c>
      <c r="B113" s="111" t="str">
        <f>IF(B111=0,"—",IF(B111&lt;=B112,"ĐẠT","KHÔNG ĐẠT"))</f>
        <v>—</v>
      </c>
      <c r="C113" s="41"/>
      <c r="D113" s="41"/>
      <c r="E113" s="41"/>
      <c r="F113" s="41"/>
      <c r="G113" s="41"/>
      <c r="H113" s="41"/>
      <c r="I113" s="41"/>
      <c r="J113" s="41"/>
      <c r="K113" s="41"/>
      <c r="L113" s="41"/>
      <c r="M113" s="41"/>
      <c r="N113" s="41"/>
      <c r="O113" s="41"/>
      <c r="P113" s="41"/>
      <c r="Q113" s="41"/>
      <c r="R113" s="41"/>
      <c r="S113" s="41"/>
    </row>
    <row r="114" spans="1:19" ht="57.6" x14ac:dyDescent="0.3">
      <c r="A114" s="111" t="s">
        <v>1763</v>
      </c>
      <c r="B114" s="41"/>
      <c r="C114" s="41"/>
      <c r="D114" s="113" t="str">
        <f>IF(D5=0,"KHÔNG ÁP DỤNG",IF(NOT(AND(B95&gt;0,B96&gt;0,B97&gt;0,B100&gt;0,B101&gt;0,B102&gt;0,B103&gt;0,B104&gt;0,B105&gt;0,B106&gt;0)),"BLOCKED — CẦN DỮ LIỆU NEO/QUỸ ĐẠO CÁP",IF(AND(B110="ĐẠT",B113="ĐẠT"),"ĐẠT","KHÔNG ĐẠT")))</f>
        <v>BLOCKED — CẦN DỮ LIỆU NEO/QUỸ ĐẠO CÁP</v>
      </c>
      <c r="E114" s="107" t="s">
        <v>1764</v>
      </c>
      <c r="F114" s="41"/>
      <c r="G114" s="41"/>
      <c r="H114" s="41"/>
      <c r="I114" s="41"/>
      <c r="J114" s="41"/>
      <c r="K114" s="41"/>
      <c r="L114" s="41"/>
      <c r="M114" s="41"/>
      <c r="N114" s="41"/>
      <c r="O114" s="41"/>
      <c r="P114" s="41"/>
      <c r="Q114" s="41"/>
      <c r="R114" s="41"/>
      <c r="S114" s="41"/>
    </row>
    <row r="116" spans="1:19" x14ac:dyDescent="0.3">
      <c r="A116" s="125" t="s">
        <v>1765</v>
      </c>
      <c r="B116" s="126"/>
      <c r="C116" s="126"/>
      <c r="D116" s="126"/>
      <c r="E116" s="126"/>
      <c r="F116" s="126"/>
      <c r="G116" s="126"/>
      <c r="H116" s="126"/>
    </row>
    <row r="117" spans="1:19" x14ac:dyDescent="0.3">
      <c r="A117" s="114" t="s">
        <v>1637</v>
      </c>
      <c r="B117" s="114" t="s">
        <v>1212</v>
      </c>
      <c r="C117" s="114" t="s">
        <v>1053</v>
      </c>
      <c r="D117" s="114" t="s">
        <v>1728</v>
      </c>
      <c r="E117" s="114" t="s">
        <v>1729</v>
      </c>
    </row>
    <row r="118" spans="1:19" x14ac:dyDescent="0.3">
      <c r="A118" t="s">
        <v>1766</v>
      </c>
      <c r="B118" s="116"/>
      <c r="C118" t="s">
        <v>160</v>
      </c>
      <c r="E118" s="115" t="s">
        <v>1767</v>
      </c>
    </row>
    <row r="119" spans="1:19" x14ac:dyDescent="0.3">
      <c r="A119" t="s">
        <v>1768</v>
      </c>
      <c r="B119" s="116"/>
      <c r="C119" t="s">
        <v>323</v>
      </c>
      <c r="E119" s="115" t="s">
        <v>1769</v>
      </c>
    </row>
    <row r="120" spans="1:19" x14ac:dyDescent="0.3">
      <c r="A120" t="s">
        <v>1770</v>
      </c>
      <c r="B120" s="116"/>
      <c r="C120" t="s">
        <v>160</v>
      </c>
      <c r="E120" s="115" t="s">
        <v>1771</v>
      </c>
    </row>
    <row r="121" spans="1:19" x14ac:dyDescent="0.3">
      <c r="A121" t="s">
        <v>1772</v>
      </c>
      <c r="B121" s="116"/>
      <c r="C121" t="s">
        <v>160</v>
      </c>
      <c r="E121" s="115" t="s">
        <v>1773</v>
      </c>
    </row>
    <row r="122" spans="1:19" x14ac:dyDescent="0.3">
      <c r="A122" t="s">
        <v>1774</v>
      </c>
      <c r="B122" s="116">
        <v>1.5</v>
      </c>
      <c r="C122" t="s">
        <v>395</v>
      </c>
      <c r="E122" s="115" t="s">
        <v>1775</v>
      </c>
    </row>
    <row r="123" spans="1:19" x14ac:dyDescent="0.3">
      <c r="A123" t="s">
        <v>1776</v>
      </c>
      <c r="B123" s="117">
        <f>IF(B119&gt;=9000,125,IF(B119&lt;=3600,70,70+55*(B119-3600)/5400))</f>
        <v>70</v>
      </c>
      <c r="C123" t="s">
        <v>160</v>
      </c>
      <c r="E123" s="115" t="s">
        <v>1777</v>
      </c>
    </row>
    <row r="124" spans="1:19" x14ac:dyDescent="0.3">
      <c r="A124" t="s">
        <v>1778</v>
      </c>
      <c r="B124" s="117">
        <f>B122*B118</f>
        <v>0</v>
      </c>
      <c r="C124" t="s">
        <v>160</v>
      </c>
      <c r="E124" s="115"/>
    </row>
    <row r="125" spans="1:19" x14ac:dyDescent="0.3">
      <c r="A125" t="s">
        <v>1779</v>
      </c>
      <c r="B125" s="64" t="str">
        <f>IF(B118=0,"—",IF(B124&lt;=B123,"ĐẠT","KHÔNG ĐẠT"))</f>
        <v>—</v>
      </c>
    </row>
    <row r="126" spans="1:19" x14ac:dyDescent="0.3">
      <c r="A126" t="s">
        <v>1780</v>
      </c>
      <c r="B126" s="117">
        <f>166-0.33*B121</f>
        <v>166</v>
      </c>
      <c r="C126" t="s">
        <v>160</v>
      </c>
      <c r="E126" s="115" t="s">
        <v>1781</v>
      </c>
    </row>
    <row r="127" spans="1:19" x14ac:dyDescent="0.3">
      <c r="A127" t="s">
        <v>1782</v>
      </c>
      <c r="B127" s="117">
        <f>B122*B120</f>
        <v>0</v>
      </c>
      <c r="C127" t="s">
        <v>160</v>
      </c>
      <c r="E127" s="115"/>
    </row>
    <row r="128" spans="1:19" x14ac:dyDescent="0.3">
      <c r="A128" t="s">
        <v>1783</v>
      </c>
      <c r="B128" s="64" t="str">
        <f>IF(B120=0,"—",IF(B127&lt;=B126,"ĐẠT","KHÔNG ĐẠT"))</f>
        <v>—</v>
      </c>
    </row>
    <row r="129" spans="1:8" x14ac:dyDescent="0.3">
      <c r="A129" s="64" t="s">
        <v>1784</v>
      </c>
      <c r="D129" s="114" t="str">
        <f>IF(D5=0,"KHÔNG ÁP DỤNG",IF(NOT(AND(B118&gt;0,B119&gt;0,B120&gt;0,B122&gt;0)),"BLOCKED — CẦN PHỔ ỨNG SUẤT",IF(AND(B125="ĐẠT",B128="ĐẠT"),"ĐẠT","KHÔNG ĐẠT")))</f>
        <v>BLOCKED — CẦN PHỔ ỨNG SUẤT</v>
      </c>
      <c r="E129" s="115" t="s">
        <v>1785</v>
      </c>
    </row>
    <row r="131" spans="1:8" x14ac:dyDescent="0.3">
      <c r="A131" s="125" t="s">
        <v>1786</v>
      </c>
      <c r="B131" s="126"/>
      <c r="C131" s="126"/>
      <c r="D131" s="126"/>
      <c r="E131" s="126"/>
      <c r="F131" s="126"/>
      <c r="G131" s="126"/>
      <c r="H131" s="126"/>
    </row>
    <row r="132" spans="1:8" x14ac:dyDescent="0.3">
      <c r="A132" s="114" t="s">
        <v>1637</v>
      </c>
      <c r="B132" s="114" t="s">
        <v>1212</v>
      </c>
      <c r="C132" s="114" t="s">
        <v>1053</v>
      </c>
      <c r="D132" s="114" t="s">
        <v>1728</v>
      </c>
      <c r="E132" s="114" t="s">
        <v>1729</v>
      </c>
    </row>
    <row r="133" spans="1:8" x14ac:dyDescent="0.3">
      <c r="A133" t="s">
        <v>1787</v>
      </c>
      <c r="B133" s="52">
        <f>B81</f>
        <v>0.49432489942772206</v>
      </c>
      <c r="C133" t="s">
        <v>323</v>
      </c>
      <c r="E133" s="115" t="s">
        <v>1788</v>
      </c>
    </row>
    <row r="134" spans="1:8" x14ac:dyDescent="0.3">
      <c r="A134" t="s">
        <v>1789</v>
      </c>
      <c r="B134" s="116"/>
      <c r="C134" t="s">
        <v>395</v>
      </c>
      <c r="E134" s="115" t="s">
        <v>1790</v>
      </c>
    </row>
    <row r="135" spans="1:8" x14ac:dyDescent="0.3">
      <c r="A135" t="s">
        <v>1791</v>
      </c>
      <c r="B135" s="116"/>
      <c r="C135" t="s">
        <v>323</v>
      </c>
      <c r="E135" s="115" t="s">
        <v>1792</v>
      </c>
    </row>
    <row r="136" spans="1:8" x14ac:dyDescent="0.3">
      <c r="A136" t="s">
        <v>1793</v>
      </c>
      <c r="B136" s="116"/>
      <c r="C136" t="s">
        <v>323</v>
      </c>
      <c r="E136" s="115" t="s">
        <v>1794</v>
      </c>
    </row>
    <row r="137" spans="1:8" x14ac:dyDescent="0.3">
      <c r="A137" t="s">
        <v>1795</v>
      </c>
      <c r="B137" s="116">
        <v>800</v>
      </c>
      <c r="C137" t="s">
        <v>395</v>
      </c>
      <c r="E137" s="115" t="s">
        <v>1796</v>
      </c>
    </row>
    <row r="138" spans="1:8" x14ac:dyDescent="0.3">
      <c r="A138" t="s">
        <v>1797</v>
      </c>
      <c r="B138" s="52">
        <f>IF(B134=0,0,B134*B133)</f>
        <v>0</v>
      </c>
      <c r="C138" t="s">
        <v>323</v>
      </c>
      <c r="E138" s="115" t="s">
        <v>1798</v>
      </c>
    </row>
    <row r="139" spans="1:8" x14ac:dyDescent="0.3">
      <c r="A139" t="s">
        <v>1799</v>
      </c>
      <c r="B139" s="118">
        <f>IF(B137=0,0,B136/B137)</f>
        <v>0</v>
      </c>
      <c r="C139" t="s">
        <v>323</v>
      </c>
      <c r="E139" s="115"/>
    </row>
    <row r="140" spans="1:8" x14ac:dyDescent="0.3">
      <c r="A140" t="s">
        <v>1800</v>
      </c>
      <c r="B140" s="64" t="str">
        <f>IF(OR(B135=0,B136=0),"—",IF(ABS(B135)&lt;=B139,"ĐẠT","KHÔNG ĐẠT"))</f>
        <v>—</v>
      </c>
    </row>
    <row r="141" spans="1:8" x14ac:dyDescent="0.3">
      <c r="A141" s="64" t="s">
        <v>1801</v>
      </c>
      <c r="D141" s="114" t="str">
        <f>IF(D5=0,"—",IF(NOT(AND(B134&gt;0,B135&gt;0,B136&gt;0)),"THAM KHẢO — CẦN SƠ ĐỒ THỰC",IF(B140="ĐẠT","ĐẠT","KHÔNG ĐẠT")))</f>
        <v>THAM KHẢO — CẦN SƠ ĐỒ THỰC</v>
      </c>
      <c r="E141" s="115" t="s">
        <v>1802</v>
      </c>
    </row>
    <row r="265" spans="2:6" ht="15" customHeight="1" x14ac:dyDescent="0.3"/>
    <row r="266" spans="2:6" ht="15" customHeight="1" x14ac:dyDescent="0.3">
      <c r="B266" t="s">
        <v>1239</v>
      </c>
    </row>
    <row r="267" spans="2:6" ht="15" customHeight="1" x14ac:dyDescent="0.3">
      <c r="B267" t="s">
        <v>1240</v>
      </c>
      <c r="D267">
        <f>D5</f>
        <v>1</v>
      </c>
      <c r="F267" t="s">
        <v>1241</v>
      </c>
    </row>
    <row r="268" spans="2:6" ht="15" customHeight="1" x14ac:dyDescent="0.3">
      <c r="B268" t="s">
        <v>1242</v>
      </c>
      <c r="D268">
        <f>B73</f>
        <v>23520</v>
      </c>
      <c r="E268" t="s">
        <v>226</v>
      </c>
      <c r="F268" t="s">
        <v>1243</v>
      </c>
    </row>
    <row r="269" spans="2:6" ht="15" customHeight="1" x14ac:dyDescent="0.3">
      <c r="B269" t="s">
        <v>1244</v>
      </c>
      <c r="D269">
        <f>SUM(B25:B31)</f>
        <v>14</v>
      </c>
    </row>
    <row r="270" spans="2:6" ht="15" customHeight="1" x14ac:dyDescent="0.3">
      <c r="B270" t="s">
        <v>1245</v>
      </c>
      <c r="D270">
        <f>D6</f>
        <v>1860</v>
      </c>
      <c r="E270">
        <f>0.9*D270</f>
        <v>1674</v>
      </c>
      <c r="F270" t="s">
        <v>1246</v>
      </c>
    </row>
    <row r="271" spans="2:6" ht="15" customHeight="1" x14ac:dyDescent="0.3">
      <c r="B271" t="s">
        <v>1247</v>
      </c>
      <c r="D271">
        <f>(hxm+hmr)*1000/2+B74</f>
        <v>3113.5714285714284</v>
      </c>
      <c r="E271" t="s">
        <v>323</v>
      </c>
    </row>
    <row r="272" spans="2:6" ht="15" customHeight="1" x14ac:dyDescent="0.3">
      <c r="B272" t="s">
        <v>1248</v>
      </c>
      <c r="D272">
        <f>0.8*fc_</f>
        <v>24</v>
      </c>
      <c r="E272" t="s">
        <v>160</v>
      </c>
    </row>
    <row r="273" spans="2:7" ht="15" customHeight="1" x14ac:dyDescent="0.3">
      <c r="B273" t="s">
        <v>1249</v>
      </c>
      <c r="D273">
        <f>D8</f>
        <v>80</v>
      </c>
      <c r="E273" t="s">
        <v>1250</v>
      </c>
      <c r="F273" t="s">
        <v>1251</v>
      </c>
    </row>
    <row r="274" spans="2:7" ht="15" customHeight="1" x14ac:dyDescent="0.3">
      <c r="B274" t="s">
        <v>1252</v>
      </c>
      <c r="D274">
        <f>D9</f>
        <v>10</v>
      </c>
      <c r="E274" t="s">
        <v>1253</v>
      </c>
    </row>
    <row r="275" spans="2:7" ht="15" customHeight="1" x14ac:dyDescent="0.3">
      <c r="B275" t="s">
        <v>1254</v>
      </c>
      <c r="D275">
        <f>D10</f>
        <v>10950</v>
      </c>
      <c r="E275" t="s">
        <v>1253</v>
      </c>
    </row>
    <row r="276" spans="2:7" ht="15" customHeight="1" x14ac:dyDescent="0.3">
      <c r="B276" t="s">
        <v>1255</v>
      </c>
      <c r="D276">
        <f>bxm*1000*(hxm+hmr)*1000/(2*(bxm*1000+(hxm+hmr)*1000))</f>
        <v>807.99151343705796</v>
      </c>
      <c r="E276" t="s">
        <v>323</v>
      </c>
    </row>
    <row r="277" spans="2:7" ht="15" customHeight="1" x14ac:dyDescent="0.3">
      <c r="B277" t="s">
        <v>1256</v>
      </c>
      <c r="D277">
        <f>bxm*1000*(hxm+hmr)*1000</f>
        <v>11425000</v>
      </c>
      <c r="E277">
        <f>bxm*1000*((hxm+hmr)*1000)^3/12</f>
        <v>19884165208333.332</v>
      </c>
      <c r="F277">
        <f>D271-(hxm+hmr)*1000/2</f>
        <v>828.57142857142844</v>
      </c>
      <c r="G277">
        <f>(hxm+hmr)*1000/2</f>
        <v>2285</v>
      </c>
    </row>
    <row r="278" spans="2:7" ht="15" customHeight="1" x14ac:dyDescent="0.3">
      <c r="B278" t="s">
        <v>1257</v>
      </c>
      <c r="D278">
        <f>0.0017*1*(gcbt*100)^2*D272^0.33</f>
        <v>29123.985078549569</v>
      </c>
    </row>
    <row r="279" spans="2:7" ht="15" customHeight="1" x14ac:dyDescent="0.3">
      <c r="B279" t="s">
        <v>1258</v>
      </c>
    </row>
    <row r="280" spans="2:7" ht="15" customHeight="1" x14ac:dyDescent="0.3">
      <c r="B280" t="s">
        <v>1259</v>
      </c>
      <c r="D280">
        <f>D7</f>
        <v>0.75</v>
      </c>
    </row>
    <row r="281" spans="2:7" ht="15" customHeight="1" x14ac:dyDescent="0.3">
      <c r="B281" t="s">
        <v>1260</v>
      </c>
      <c r="D281">
        <f>D280*D270</f>
        <v>1395</v>
      </c>
      <c r="E281" t="s">
        <v>160</v>
      </c>
      <c r="F281" t="str">
        <f>IF(D281&lt;=0.9*E270,"ĐẠT ≤0,9fpy","KHÔNG ĐẠT — giảm kfpj")</f>
        <v>ĐẠT ≤0,9fpy</v>
      </c>
    </row>
    <row r="282" spans="2:7" ht="15" customHeight="1" x14ac:dyDescent="0.3">
      <c r="B282" t="s">
        <v>1261</v>
      </c>
      <c r="D282">
        <f>D11</f>
        <v>6.6000000000000003E-6</v>
      </c>
      <c r="E282">
        <f>D12</f>
        <v>0.2</v>
      </c>
    </row>
    <row r="283" spans="2:7" ht="15" customHeight="1" x14ac:dyDescent="0.3">
      <c r="B283" t="s">
        <v>1262</v>
      </c>
      <c r="D283">
        <f>D13</f>
        <v>11775</v>
      </c>
      <c r="E283" t="s">
        <v>323</v>
      </c>
    </row>
    <row r="284" spans="2:7" ht="15" customHeight="1" x14ac:dyDescent="0.3">
      <c r="B284" t="s">
        <v>1263</v>
      </c>
      <c r="D284">
        <f>D14</f>
        <v>4.3459370350511867E-2</v>
      </c>
    </row>
    <row r="285" spans="2:7" ht="15" customHeight="1" x14ac:dyDescent="0.3">
      <c r="B285" t="s">
        <v>1831</v>
      </c>
      <c r="D285">
        <f>D281*(1-EXP(-(D282*D283+E282*D284)))</f>
        <v>115.47675820173876</v>
      </c>
      <c r="E285" t="s">
        <v>160</v>
      </c>
    </row>
    <row r="286" spans="2:7" ht="15" customHeight="1" x14ac:dyDescent="0.3">
      <c r="B286" t="s">
        <v>1264</v>
      </c>
      <c r="D286">
        <f>D15</f>
        <v>6</v>
      </c>
    </row>
    <row r="287" spans="2:7" ht="15" customHeight="1" x14ac:dyDescent="0.3">
      <c r="B287" t="s">
        <v>1265</v>
      </c>
      <c r="D287">
        <f>(D286/D283)*197000</f>
        <v>100.38216560509554</v>
      </c>
      <c r="E287" t="s">
        <v>160</v>
      </c>
    </row>
    <row r="288" spans="2:7" ht="15" customHeight="1" x14ac:dyDescent="0.3">
      <c r="B288" t="s">
        <v>1832</v>
      </c>
      <c r="D288">
        <f>IF(SUM($E$25:$E$31)=0,$D$281,SUMPRODUCT($E$25:$E$31,$P$25:$P$31)/SUM($E$25:$E$31))</f>
        <v>1179.1773524923576</v>
      </c>
      <c r="E288" t="s">
        <v>160</v>
      </c>
    </row>
    <row r="289" spans="2:7" ht="15" customHeight="1" x14ac:dyDescent="0.3">
      <c r="B289" t="s">
        <v>1266</v>
      </c>
      <c r="D289">
        <f>(D268*D288)/D277+(D268*D288)*F277^2/E277-'XA MU'!C47*10^6*F277/E277</f>
        <v>3.2807565385146473</v>
      </c>
      <c r="E289" t="s">
        <v>160</v>
      </c>
    </row>
    <row r="290" spans="2:7" ht="15" customHeight="1" x14ac:dyDescent="0.3">
      <c r="B290" t="s">
        <v>1267</v>
      </c>
      <c r="D290">
        <f>(D269-1)/(2*D269)*(197000/D278)*D289</f>
        <v>10.303262159639139</v>
      </c>
      <c r="E290" t="s">
        <v>160</v>
      </c>
    </row>
    <row r="291" spans="2:7" ht="15" customHeight="1" x14ac:dyDescent="0.3">
      <c r="B291" t="s">
        <v>1268</v>
      </c>
      <c r="D291">
        <f>D288-D290</f>
        <v>1168.8740903327184</v>
      </c>
      <c r="E291" t="s">
        <v>160</v>
      </c>
      <c r="F291" t="str">
        <f>IF(D291&lt;=0.74*D270,"ĐẠT ≤0,74fpu","KHÔNG ĐẠT")</f>
        <v>ĐẠT ≤0,74fpu</v>
      </c>
    </row>
    <row r="292" spans="2:7" ht="15" customHeight="1" x14ac:dyDescent="0.3">
      <c r="B292" t="s">
        <v>1269</v>
      </c>
    </row>
    <row r="293" spans="2:7" ht="15" customHeight="1" x14ac:dyDescent="0.3">
      <c r="B293" t="s">
        <v>1270</v>
      </c>
      <c r="D293">
        <f>MAX(1.45-0.0051*D276,1)</f>
        <v>1</v>
      </c>
      <c r="E293">
        <f>1.56-0.008*D273</f>
        <v>0.92</v>
      </c>
      <c r="F293">
        <f>2-0.014*D273</f>
        <v>0.87999999999999989</v>
      </c>
      <c r="G293">
        <f>35/(7+D272)</f>
        <v>1.1290322580645162</v>
      </c>
    </row>
    <row r="294" spans="2:7" ht="15" customHeight="1" x14ac:dyDescent="0.3">
      <c r="B294" t="s">
        <v>1271</v>
      </c>
      <c r="D294">
        <f>D274/(12*(100-0.58*D272)/(0.145*D272+20)+D274)</f>
        <v>0.18520855682463558</v>
      </c>
      <c r="E294">
        <f>D275/(12*(100-0.58*D272)/(0.145*D272+20)+D275)</f>
        <v>0.99599843433164836</v>
      </c>
    </row>
    <row r="295" spans="2:7" ht="15" customHeight="1" x14ac:dyDescent="0.3">
      <c r="B295" t="s">
        <v>1272</v>
      </c>
      <c r="D295">
        <f>1.9*D293*E293*G293*E294*D274^-0.118</f>
        <v>1.4979814471067652</v>
      </c>
    </row>
    <row r="296" spans="2:7" ht="15" customHeight="1" x14ac:dyDescent="0.3">
      <c r="B296" t="s">
        <v>1273</v>
      </c>
      <c r="D296">
        <f>D293*F293*G293*D294*0.00048</f>
        <v>8.8326558196626204E-5</v>
      </c>
      <c r="E296">
        <f>D293*F293*G293*E294*0.00048</f>
        <v>4.7499486623093839E-4</v>
      </c>
    </row>
    <row r="297" spans="2:7" ht="15" customHeight="1" x14ac:dyDescent="0.3">
      <c r="B297" t="s">
        <v>1274</v>
      </c>
      <c r="D297">
        <f>E296-D296</f>
        <v>3.866683080343122E-4</v>
      </c>
    </row>
    <row r="298" spans="2:7" ht="15" customHeight="1" x14ac:dyDescent="0.3">
      <c r="B298" t="s">
        <v>1275</v>
      </c>
      <c r="D298">
        <f>1/(1+(197000/D278)*(D268/D277)*(1+D277*F277^2/E277)*(1+0.7*D295))</f>
        <v>0.96174242643954211</v>
      </c>
    </row>
    <row r="299" spans="2:7" ht="15" customHeight="1" x14ac:dyDescent="0.3">
      <c r="B299" t="s">
        <v>1276</v>
      </c>
      <c r="D299">
        <f>D297*197000*D298</f>
        <v>73.259437408849763</v>
      </c>
      <c r="E299" t="s">
        <v>160</v>
      </c>
    </row>
    <row r="300" spans="2:7" ht="15" customHeight="1" x14ac:dyDescent="0.3">
      <c r="B300" t="s">
        <v>1277</v>
      </c>
      <c r="D300">
        <f>(197000/D278)*D289*D295*D298</f>
        <v>31.970883567749095</v>
      </c>
      <c r="E300" t="s">
        <v>160</v>
      </c>
    </row>
    <row r="301" spans="2:7" ht="15" customHeight="1" x14ac:dyDescent="0.3">
      <c r="B301" t="s">
        <v>1278</v>
      </c>
      <c r="D301">
        <f>D16</f>
        <v>30</v>
      </c>
      <c r="E301">
        <f>MAX(0,(D291/D301)*(D291/E270-0.55))</f>
        <v>5.7762696949782173</v>
      </c>
      <c r="F301" t="s">
        <v>160</v>
      </c>
    </row>
    <row r="302" spans="2:7" ht="15" customHeight="1" x14ac:dyDescent="0.3">
      <c r="B302" t="s">
        <v>1279</v>
      </c>
      <c r="D302">
        <f>D299+D300+E301</f>
        <v>111.00659067157707</v>
      </c>
      <c r="E302" t="s">
        <v>160</v>
      </c>
    </row>
    <row r="303" spans="2:7" ht="15" customHeight="1" x14ac:dyDescent="0.3">
      <c r="B303" t="s">
        <v>1280</v>
      </c>
      <c r="D303">
        <f>IF($D$323=1,D325,D291-D302)</f>
        <v>1057.8674996611414</v>
      </c>
      <c r="E303" t="s">
        <v>160</v>
      </c>
      <c r="F303" t="str">
        <f>IF(D303&lt;=0.8*E270,"ĐẠT ≤0,8fpy","KHÔNG ĐẠT")</f>
        <v>ĐẠT ≤0,8fpy</v>
      </c>
    </row>
    <row r="304" spans="2:7" ht="15" customHeight="1" x14ac:dyDescent="0.3">
      <c r="B304" t="s">
        <v>1281</v>
      </c>
      <c r="D304">
        <f>D281-D303</f>
        <v>337.13250033885856</v>
      </c>
      <c r="E304">
        <f>(D281-D303)/D281</f>
        <v>0.24167204325366204</v>
      </c>
    </row>
    <row r="305" spans="2:10" ht="15" customHeight="1" x14ac:dyDescent="0.3">
      <c r="B305" t="s">
        <v>1282</v>
      </c>
    </row>
    <row r="306" spans="2:10" ht="15" customHeight="1" x14ac:dyDescent="0.3">
      <c r="B306" t="s">
        <v>1283</v>
      </c>
      <c r="D306">
        <f>2*(1.04-E270/D270)</f>
        <v>0.28000000000000003</v>
      </c>
    </row>
    <row r="307" spans="2:10" ht="15" customHeight="1" x14ac:dyDescent="0.3">
      <c r="B307" t="s">
        <v>1284</v>
      </c>
      <c r="D307">
        <f>(D268*D270+'XA MU'!D72*fy_)/(0.85*fc_*MAX(0.65,MIN(0.85,0.85-0.05*(fc_-28)/7))*bxm*1000+D306*D268*D270/D271)</f>
        <v>1214.5080683870449</v>
      </c>
    </row>
    <row r="308" spans="2:10" ht="15" customHeight="1" x14ac:dyDescent="0.3">
      <c r="B308" t="s">
        <v>1285</v>
      </c>
      <c r="D308">
        <f>D270*(1-D306*D307/D271)</f>
        <v>1656.8520021054458</v>
      </c>
    </row>
    <row r="309" spans="2:10" ht="15" customHeight="1" x14ac:dyDescent="0.3">
      <c r="B309" t="s">
        <v>1286</v>
      </c>
      <c r="D309">
        <f>MAX(0.65,MIN(0.85,0.85-0.05*(fc_-28)/7))*D307</f>
        <v>1014.9817428663162</v>
      </c>
    </row>
    <row r="310" spans="2:10" ht="15" customHeight="1" x14ac:dyDescent="0.3">
      <c r="B310" t="s">
        <v>1287</v>
      </c>
      <c r="D310">
        <f>(D268*D308*(D271-D309/2)+'XA MU'!D72*fy_*(0.9*(hxm+hmr)*1000-D309/2))/10^6</f>
        <v>194347.88762750383</v>
      </c>
    </row>
    <row r="311" spans="2:10" ht="15" customHeight="1" x14ac:dyDescent="0.3">
      <c r="B311" t="s">
        <v>1288</v>
      </c>
      <c r="D311" t="str">
        <f>IF(D267=0,"—",IF(D310&gt;='XA MU'!C53,"ĐẠT","KHÔNG ĐẠT"))</f>
        <v>ĐẠT</v>
      </c>
    </row>
    <row r="312" spans="2:10" ht="15" customHeight="1" x14ac:dyDescent="0.3">
      <c r="B312" t="s">
        <v>1289</v>
      </c>
    </row>
    <row r="313" spans="2:10" ht="15" customHeight="1" x14ac:dyDescent="0.3">
      <c r="B313" t="s">
        <v>1290</v>
      </c>
      <c r="D313">
        <f>D17</f>
        <v>1</v>
      </c>
    </row>
    <row r="314" spans="2:10" ht="15" customHeight="1" x14ac:dyDescent="0.3">
      <c r="B314" t="s">
        <v>1291</v>
      </c>
      <c r="D314">
        <f>D18</f>
        <v>0</v>
      </c>
    </row>
    <row r="315" spans="2:10" ht="15" customHeight="1" x14ac:dyDescent="0.3">
      <c r="B315" t="s">
        <v>1292</v>
      </c>
      <c r="C315" t="s">
        <v>1293</v>
      </c>
      <c r="D315" t="s">
        <v>1294</v>
      </c>
      <c r="E315" t="s">
        <v>1295</v>
      </c>
      <c r="F315" t="s">
        <v>1296</v>
      </c>
      <c r="G315" t="s">
        <v>1297</v>
      </c>
      <c r="H315" t="s">
        <v>1298</v>
      </c>
      <c r="I315" t="s">
        <v>1299</v>
      </c>
      <c r="J315" t="s">
        <v>1300</v>
      </c>
    </row>
    <row r="316" spans="2:10" ht="15" customHeight="1" x14ac:dyDescent="0.3">
      <c r="B316" t="s">
        <v>1301</v>
      </c>
      <c r="C316">
        <f>'XA MU'!C47</f>
        <v>2503.3806248525598</v>
      </c>
      <c r="D316">
        <f>D268*D291/1000</f>
        <v>27491.918604625538</v>
      </c>
      <c r="E316">
        <f>C316*10^6*G277/E277-D316*1000/D277-D316*1000*F277*G277/E277</f>
        <v>-4.736281120013933</v>
      </c>
      <c r="F316">
        <f>-C316*10^6*G277/E277-D316*1000/D277+D316*1000*F277*G277/E277</f>
        <v>-7.6308570073689186E-2</v>
      </c>
      <c r="G316">
        <f>0.6*D272</f>
        <v>14.399999999999999</v>
      </c>
      <c r="H316">
        <f>IF(D313=1,0.5*SQRT(D272),MIN(0.25*SQRT(D272),1.38))</f>
        <v>2.4494897427831779</v>
      </c>
      <c r="I316" t="str">
        <f>IF(MAX(-E316,-F316,0)&lt;=G316,"ĐẠT","KHÔNG ĐẠT")</f>
        <v>ĐẠT</v>
      </c>
      <c r="J316" t="str">
        <f>IF(MAX(E316,F316,0)&lt;=H316,"ĐẠT","KHÔNG ĐẠT")</f>
        <v>ĐẠT</v>
      </c>
    </row>
    <row r="317" spans="2:10" ht="15" customHeight="1" x14ac:dyDescent="0.3">
      <c r="B317" t="s">
        <v>1302</v>
      </c>
      <c r="C317">
        <f>'XA MU'!C55</f>
        <v>32570.089415958941</v>
      </c>
      <c r="D317">
        <f>D268*D303/1000</f>
        <v>24881.043592030048</v>
      </c>
      <c r="E317">
        <f>C317*10^6*G277/E277-D317*1000/D277-D317*1000*F277*G277/E277</f>
        <v>-0.8040290108202881</v>
      </c>
      <c r="F317">
        <f>-C317*10^6*G277/E277-D317*1000/D277+D317*1000*F277*G277/E277</f>
        <v>-3.5515147252024772</v>
      </c>
      <c r="G317">
        <f>0.45*fc_</f>
        <v>13.5</v>
      </c>
      <c r="H317">
        <f>IF(D314=1,MIN(0.25*SQRT(fc_),2.1),MIN(0.5*SQRT(fc_),4.1))</f>
        <v>2.7386127875258306</v>
      </c>
      <c r="I317" t="str">
        <f>IF(MAX(-(('XA MU'!C46+'XA MU'!C47+'XA MU'!C48)*10^6*G277/E277-D317*1000/D277-D317*1000*F277*G277/E277),-(-('XA MU'!C46+'XA MU'!C47+'XA MU'!C48)*10^6*G277/E277-D317*1000/D277+D317*1000*F277*G277/E277),0)&lt;=G317,"ĐẠT","KHÔNG ĐẠT")</f>
        <v>ĐẠT</v>
      </c>
      <c r="J317" t="str">
        <f>IF(MAX(E317,F317,0)&lt;=H317,"ĐẠT","KHÔNG ĐẠT")</f>
        <v>ĐẠT</v>
      </c>
    </row>
    <row r="318" spans="2:10" ht="15" customHeight="1" x14ac:dyDescent="0.3">
      <c r="B318" t="s">
        <v>1303</v>
      </c>
    </row>
    <row r="319" spans="2:10" ht="15" customHeight="1" x14ac:dyDescent="0.3">
      <c r="D319" t="str">
        <f>IF(D267=0,"—",IF(AND(I316="ĐẠT",J316="ĐẠT",I317="ĐẠT",J317="ĐẠT"),"ĐẠT — cả 2 giai đoạn (truyền lực &amp; khai thác) đều đạt ứng suất","KHÔNG ĐẠT — xem chi tiết bảng trên"))</f>
        <v>ĐẠT — cả 2 giai đoạn (truyền lực &amp; khai thác) đều đạt ứng suất</v>
      </c>
    </row>
    <row r="320" spans="2:10" ht="15" customHeight="1" x14ac:dyDescent="0.3">
      <c r="B320" t="s">
        <v>1304</v>
      </c>
    </row>
    <row r="321" spans="1:5" ht="15" customHeight="1" x14ac:dyDescent="0.3"/>
    <row r="322" spans="1:5" x14ac:dyDescent="0.3">
      <c r="B322" t="s">
        <v>1867</v>
      </c>
    </row>
    <row r="323" spans="1:5" x14ac:dyDescent="0.3">
      <c r="B323" t="s">
        <v>1868</v>
      </c>
      <c r="D323">
        <v>0</v>
      </c>
    </row>
    <row r="324" spans="1:5" x14ac:dyDescent="0.3">
      <c r="B324" t="s">
        <v>1869</v>
      </c>
      <c r="D324">
        <f>D291-D302</f>
        <v>1057.8674996611414</v>
      </c>
    </row>
    <row r="325" spans="1:5" x14ac:dyDescent="0.3">
      <c r="B325" t="s">
        <v>1870</v>
      </c>
      <c r="D325">
        <f>IF(SUM(E25:E31)=0,D291-D302,SUMPRODUCT(E25:E31,AD25:AD31)/SUM(E25:E31))</f>
        <v>1057.5188951846553</v>
      </c>
    </row>
    <row r="326" spans="1:5" x14ac:dyDescent="0.3">
      <c r="B326" t="s">
        <v>1871</v>
      </c>
      <c r="D326">
        <f>D325-D324</f>
        <v>-0.34860447648611625</v>
      </c>
      <c r="E326" t="str">
        <f>"ES max nhóm="&amp;TEXT(MAX(U25:U31),"0.0")&amp;" MPa; nhóm căng sau cùng ES≈nội nhóm"</f>
        <v>ES max nhóm=16.0 MPa; nhóm căng sau cùng ES≈nội nhóm</v>
      </c>
    </row>
    <row r="327" spans="1:5" x14ac:dyDescent="0.3">
      <c r="B327" t="s">
        <v>1872</v>
      </c>
    </row>
    <row r="328" spans="1:5" x14ac:dyDescent="0.3">
      <c r="A328" t="s">
        <v>1885</v>
      </c>
    </row>
    <row r="700" spans="1:38" x14ac:dyDescent="0.3">
      <c r="A700" t="s">
        <v>1906</v>
      </c>
    </row>
    <row r="701" spans="1:38" x14ac:dyDescent="0.3">
      <c r="A701" t="s">
        <v>1907</v>
      </c>
    </row>
    <row r="702" spans="1:38" x14ac:dyDescent="0.3">
      <c r="A702" t="s">
        <v>1911</v>
      </c>
      <c r="B702" t="s">
        <v>1706</v>
      </c>
      <c r="C702" t="s">
        <v>1707</v>
      </c>
      <c r="D702" t="s">
        <v>1708</v>
      </c>
      <c r="E702" t="s">
        <v>1709</v>
      </c>
      <c r="F702" t="s">
        <v>1710</v>
      </c>
      <c r="G702" t="s">
        <v>1711</v>
      </c>
      <c r="H702" t="s">
        <v>1712</v>
      </c>
      <c r="I702" t="s">
        <v>1713</v>
      </c>
      <c r="J702" t="s">
        <v>1714</v>
      </c>
      <c r="K702" t="s">
        <v>1715</v>
      </c>
      <c r="L702" t="s">
        <v>1912</v>
      </c>
      <c r="M702" t="s">
        <v>1913</v>
      </c>
      <c r="N702" t="s">
        <v>1914</v>
      </c>
      <c r="O702" t="s">
        <v>1915</v>
      </c>
      <c r="P702" t="s">
        <v>1916</v>
      </c>
      <c r="Q702" t="s">
        <v>1917</v>
      </c>
      <c r="R702" t="s">
        <v>1918</v>
      </c>
      <c r="S702" t="s">
        <v>1919</v>
      </c>
      <c r="T702" t="s">
        <v>1920</v>
      </c>
      <c r="U702" t="s">
        <v>1921</v>
      </c>
      <c r="V702" t="s">
        <v>1922</v>
      </c>
      <c r="W702" t="s">
        <v>1923</v>
      </c>
      <c r="X702" t="s">
        <v>1924</v>
      </c>
      <c r="Y702" t="s">
        <v>1925</v>
      </c>
      <c r="Z702" t="s">
        <v>1926</v>
      </c>
      <c r="AA702" t="s">
        <v>1927</v>
      </c>
      <c r="AB702" t="s">
        <v>262</v>
      </c>
      <c r="AC702" t="s">
        <v>1928</v>
      </c>
      <c r="AD702" t="s">
        <v>1929</v>
      </c>
      <c r="AE702" t="s">
        <v>1930</v>
      </c>
      <c r="AF702" t="s">
        <v>1931</v>
      </c>
      <c r="AG702" t="s">
        <v>1932</v>
      </c>
      <c r="AH702" t="s">
        <v>1933</v>
      </c>
      <c r="AI702" t="s">
        <v>1934</v>
      </c>
      <c r="AJ702" t="s">
        <v>1935</v>
      </c>
      <c r="AK702" t="s">
        <v>1936</v>
      </c>
      <c r="AL702" t="s">
        <v>1937</v>
      </c>
    </row>
    <row r="703" spans="1:38" x14ac:dyDescent="0.3">
      <c r="A703" t="s">
        <v>1508</v>
      </c>
      <c r="B703">
        <v>0</v>
      </c>
      <c r="C703">
        <v>600</v>
      </c>
      <c r="D703">
        <v>4000</v>
      </c>
      <c r="E703">
        <v>850</v>
      </c>
      <c r="F703">
        <v>8000</v>
      </c>
      <c r="G703">
        <v>450</v>
      </c>
      <c r="H703">
        <v>11775</v>
      </c>
      <c r="I703">
        <v>950</v>
      </c>
      <c r="J703">
        <v>15550</v>
      </c>
      <c r="K703">
        <v>450</v>
      </c>
      <c r="L703">
        <v>19550</v>
      </c>
      <c r="M703">
        <v>850</v>
      </c>
      <c r="N703">
        <v>23550</v>
      </c>
      <c r="O703">
        <v>600</v>
      </c>
      <c r="AB703">
        <v>10000</v>
      </c>
      <c r="AC703">
        <v>10000</v>
      </c>
      <c r="AD703">
        <v>10000</v>
      </c>
      <c r="AE703">
        <v>10000</v>
      </c>
      <c r="AF703">
        <v>10000</v>
      </c>
    </row>
    <row r="704" spans="1:38" x14ac:dyDescent="0.3">
      <c r="A704" t="s">
        <v>1509</v>
      </c>
      <c r="B704">
        <v>0</v>
      </c>
      <c r="C704">
        <v>600</v>
      </c>
      <c r="D704">
        <v>23550</v>
      </c>
      <c r="E704">
        <v>600</v>
      </c>
    </row>
    <row r="705" spans="1:26" x14ac:dyDescent="0.3">
      <c r="A705" t="s">
        <v>1510</v>
      </c>
      <c r="B705">
        <v>0</v>
      </c>
      <c r="C705">
        <v>600</v>
      </c>
      <c r="D705">
        <v>23550</v>
      </c>
      <c r="E705">
        <v>600</v>
      </c>
    </row>
    <row r="706" spans="1:26" x14ac:dyDescent="0.3">
      <c r="A706" t="s">
        <v>1511</v>
      </c>
      <c r="B706">
        <v>0</v>
      </c>
      <c r="C706">
        <v>600</v>
      </c>
      <c r="D706">
        <v>23550</v>
      </c>
      <c r="E706">
        <v>600</v>
      </c>
    </row>
    <row r="707" spans="1:26" x14ac:dyDescent="0.3">
      <c r="A707" t="s">
        <v>1512</v>
      </c>
      <c r="B707">
        <v>0</v>
      </c>
      <c r="C707">
        <v>600</v>
      </c>
      <c r="D707">
        <v>23550</v>
      </c>
      <c r="E707">
        <v>600</v>
      </c>
    </row>
    <row r="708" spans="1:26" x14ac:dyDescent="0.3">
      <c r="A708" t="s">
        <v>1513</v>
      </c>
      <c r="B708">
        <v>0</v>
      </c>
      <c r="C708">
        <v>600</v>
      </c>
      <c r="D708">
        <v>23550</v>
      </c>
      <c r="E708">
        <v>600</v>
      </c>
    </row>
    <row r="709" spans="1:26" x14ac:dyDescent="0.3">
      <c r="A709" t="s">
        <v>1514</v>
      </c>
      <c r="B709">
        <v>0</v>
      </c>
      <c r="C709">
        <v>600</v>
      </c>
      <c r="D709">
        <v>23550</v>
      </c>
      <c r="E709">
        <v>600</v>
      </c>
    </row>
    <row r="711" spans="1:26" x14ac:dyDescent="0.3">
      <c r="A711" t="s">
        <v>2023</v>
      </c>
      <c r="B711" s="119">
        <v>4000</v>
      </c>
    </row>
    <row r="712" spans="1:26" hidden="1" outlineLevel="1" x14ac:dyDescent="0.3"/>
    <row r="713" spans="1:26" hidden="1" outlineLevel="1" x14ac:dyDescent="0.3"/>
    <row r="714" spans="1:26" hidden="1" outlineLevel="1" x14ac:dyDescent="0.3">
      <c r="A714" t="s">
        <v>1938</v>
      </c>
    </row>
    <row r="715" spans="1:26" hidden="1" outlineLevel="1" x14ac:dyDescent="0.3">
      <c r="A715" t="s">
        <v>1939</v>
      </c>
      <c r="B715">
        <v>2</v>
      </c>
      <c r="C715">
        <f>IF(ISNUMBER($B$703),$B$703,0)</f>
        <v>0</v>
      </c>
      <c r="D715">
        <f>IF(ISNUMBER($C$703),$C$703,0)</f>
        <v>600</v>
      </c>
      <c r="E715">
        <f>IF(ISNUMBER($D$703),$D$703,0)</f>
        <v>4000</v>
      </c>
      <c r="F715">
        <f>IF(ISNUMBER($E$703),$E$703,0)</f>
        <v>850</v>
      </c>
      <c r="G715">
        <f>IF(ISNUMBER($F$703),$F$703,0)</f>
        <v>8000</v>
      </c>
      <c r="H715">
        <f>IF(ISNUMBER($G$703),$G$703,0)</f>
        <v>450</v>
      </c>
      <c r="I715">
        <f>IF(AND(ISNUMBER($B$703),ISNUMBER($D$703),ISNUMBER($F$703),$D$703&gt;$B$703,$F$703&gt;$D$703),1,0)</f>
        <v>1</v>
      </c>
      <c r="J715">
        <f>IF($I715=1,IF(ISNUMBER($AB$703),$AB$703,10000),0)</f>
        <v>10000</v>
      </c>
      <c r="K715">
        <f t="shared" ref="K715:K725" si="45">IF($I715=1,($F715-$D715)/($E715-$C715),0)</f>
        <v>6.25E-2</v>
      </c>
      <c r="L715">
        <f t="shared" ref="L715:L725" si="46">IF($I715=1,($H715-$F715)/($G715-$E715),0)</f>
        <v>-0.1</v>
      </c>
      <c r="M715">
        <f t="shared" ref="M715:M725" si="47">ATAN($K715)</f>
        <v>6.241880999595735E-2</v>
      </c>
      <c r="N715">
        <f t="shared" ref="N715:N725" si="48">ATAN($L715)</f>
        <v>-9.9668652491162038E-2</v>
      </c>
      <c r="O715">
        <f t="shared" ref="O715:O725" si="49">$N715-$M715</f>
        <v>-0.16208746248711939</v>
      </c>
      <c r="P715">
        <f t="shared" ref="P715:P725" si="50">IF($I715=1,$J715*TAN(ABS($O715)/2),0)</f>
        <v>812.21632722717789</v>
      </c>
      <c r="Q715">
        <f t="shared" ref="Q715:Q725" si="51">$E715-$P715*COS($M715)</f>
        <v>3189.3654003250135</v>
      </c>
      <c r="R715">
        <f t="shared" ref="R715:R725" si="52">$E715+$P715*COS($N715)</f>
        <v>4808.1854520868083</v>
      </c>
      <c r="S715">
        <f t="shared" ref="S715:S725" si="53">$F715-$P715*SIN($M715)</f>
        <v>799.33533752031337</v>
      </c>
      <c r="T715">
        <f t="shared" ref="T715:T725" si="54">SIGN($L715-$K715)</f>
        <v>-1</v>
      </c>
      <c r="U715">
        <f t="shared" ref="U715:U725" si="55">$Q715-$T715*$J715*SIN($M715)</f>
        <v>3813.1482618768187</v>
      </c>
      <c r="V715">
        <f t="shared" ref="V715:V725" si="56">$S715+$T715*$J715*COS($M715)</f>
        <v>-9181.1904473085724</v>
      </c>
      <c r="W715">
        <f t="shared" ref="W715:W725" si="57">IF($I715=0,1,IF(AND($P715*COS($M715)&lt;=($E715-$C715)+0.001,$P715*COS($N715)&lt;=($G715-$E715)+0.001),1,0))</f>
        <v>1</v>
      </c>
      <c r="X715">
        <f t="shared" ref="X715:X725" si="58">IF(OR($I715=0,$I716=0),1,IF($R715&lt;=$Q716+0.001,1,0))</f>
        <v>1</v>
      </c>
      <c r="Y715">
        <f t="shared" ref="Y715:Y725" si="59">IF($Z715=1,$T715*($D$13-$U715)/SQRT(MAX(0.000000001,$J715^2-($D$13-$U715)^2)),0)</f>
        <v>0</v>
      </c>
      <c r="Z715">
        <f t="shared" ref="Z715:Z725" si="60">IF(AND($I715=1,$W715=1,$D$13&gt;=$Q715,$D$13&lt;=$R715),1,0)</f>
        <v>0</v>
      </c>
    </row>
    <row r="716" spans="1:26" hidden="1" outlineLevel="1" x14ac:dyDescent="0.3">
      <c r="A716" t="s">
        <v>1940</v>
      </c>
      <c r="B716">
        <v>3</v>
      </c>
      <c r="C716">
        <f>IF(ISNUMBER($D$703),$D$703,0)</f>
        <v>4000</v>
      </c>
      <c r="D716">
        <f>IF(ISNUMBER($E$703),$E$703,0)</f>
        <v>850</v>
      </c>
      <c r="E716">
        <f>IF(ISNUMBER($F$703),$F$703,0)</f>
        <v>8000</v>
      </c>
      <c r="F716">
        <f>IF(ISNUMBER($G$703),$G$703,0)</f>
        <v>450</v>
      </c>
      <c r="G716">
        <f>IF(ISNUMBER($H$703),$H$703,0)</f>
        <v>11775</v>
      </c>
      <c r="H716">
        <f>IF(ISNUMBER($I$703),$I$703,0)</f>
        <v>950</v>
      </c>
      <c r="I716">
        <f>IF(AND(ISNUMBER($D$703),ISNUMBER($F$703),ISNUMBER($H$703),$F$703&gt;$D$703,$H$703&gt;$F$703),1,0)</f>
        <v>1</v>
      </c>
      <c r="J716">
        <f>IF($I716=1,IF(ISNUMBER($AC$703),$AC$703,10000),0)</f>
        <v>10000</v>
      </c>
      <c r="K716">
        <f t="shared" si="45"/>
        <v>-0.1</v>
      </c>
      <c r="L716">
        <f t="shared" si="46"/>
        <v>0.13245033112582782</v>
      </c>
      <c r="M716">
        <f t="shared" si="47"/>
        <v>-9.9668652491162038E-2</v>
      </c>
      <c r="N716">
        <f t="shared" si="48"/>
        <v>0.13168385355563758</v>
      </c>
      <c r="O716">
        <f t="shared" si="49"/>
        <v>0.23135250604679963</v>
      </c>
      <c r="P716">
        <f t="shared" si="50"/>
        <v>1161.949841301056</v>
      </c>
      <c r="Q716">
        <f t="shared" si="51"/>
        <v>6843.8166947468544</v>
      </c>
      <c r="R716">
        <f t="shared" si="52"/>
        <v>9151.8899156686839</v>
      </c>
      <c r="S716">
        <f t="shared" si="53"/>
        <v>565.6183305253146</v>
      </c>
      <c r="T716">
        <f t="shared" si="54"/>
        <v>1</v>
      </c>
      <c r="U716">
        <f t="shared" si="55"/>
        <v>7838.853884956844</v>
      </c>
      <c r="V716">
        <f t="shared" si="56"/>
        <v>10515.990232625207</v>
      </c>
      <c r="W716">
        <f t="shared" si="57"/>
        <v>1</v>
      </c>
      <c r="X716">
        <f t="shared" si="58"/>
        <v>1</v>
      </c>
      <c r="Y716">
        <f t="shared" si="59"/>
        <v>0</v>
      </c>
      <c r="Z716">
        <f t="shared" si="60"/>
        <v>0</v>
      </c>
    </row>
    <row r="717" spans="1:26" hidden="1" outlineLevel="1" x14ac:dyDescent="0.3">
      <c r="A717" t="s">
        <v>1941</v>
      </c>
      <c r="B717">
        <v>4</v>
      </c>
      <c r="C717">
        <f>IF(ISNUMBER($F$703),$F$703,0)</f>
        <v>8000</v>
      </c>
      <c r="D717">
        <f>IF(ISNUMBER($G$703),$G$703,0)</f>
        <v>450</v>
      </c>
      <c r="E717">
        <f>IF(ISNUMBER($H$703),$H$703,0)</f>
        <v>11775</v>
      </c>
      <c r="F717">
        <f>IF(ISNUMBER($I$703),$I$703,0)</f>
        <v>950</v>
      </c>
      <c r="G717">
        <f>IF(ISNUMBER($J$703),$J$703,0)</f>
        <v>15550</v>
      </c>
      <c r="H717">
        <f>IF(ISNUMBER($K$703),$K$703,0)</f>
        <v>450</v>
      </c>
      <c r="I717">
        <f>IF(AND(ISNUMBER($F$703),ISNUMBER($H$703),ISNUMBER($J$703),$H$703&gt;$F$703,$J$703&gt;$H$703),1,0)</f>
        <v>1</v>
      </c>
      <c r="J717">
        <f>IF($I717=1,IF(ISNUMBER($AD$703),$AD$703,10000),0)</f>
        <v>10000</v>
      </c>
      <c r="K717">
        <f t="shared" si="45"/>
        <v>0.13245033112582782</v>
      </c>
      <c r="L717">
        <f t="shared" si="46"/>
        <v>-0.13245033112582782</v>
      </c>
      <c r="M717">
        <f t="shared" si="47"/>
        <v>0.13168385355563758</v>
      </c>
      <c r="N717">
        <f t="shared" si="48"/>
        <v>-0.13168385355563758</v>
      </c>
      <c r="O717">
        <f t="shared" si="49"/>
        <v>-0.26336770711127516</v>
      </c>
      <c r="P717">
        <f t="shared" si="50"/>
        <v>1324.5033112582782</v>
      </c>
      <c r="Q717">
        <f t="shared" si="51"/>
        <v>10461.963969288161</v>
      </c>
      <c r="R717">
        <f t="shared" si="52"/>
        <v>13088.036030711839</v>
      </c>
      <c r="S717">
        <f t="shared" si="53"/>
        <v>776.08794295207417</v>
      </c>
      <c r="T717">
        <f t="shared" si="54"/>
        <v>-1</v>
      </c>
      <c r="U717">
        <f t="shared" si="55"/>
        <v>11775</v>
      </c>
      <c r="V717">
        <f t="shared" si="56"/>
        <v>-9137.3340889223127</v>
      </c>
      <c r="W717">
        <f t="shared" si="57"/>
        <v>1</v>
      </c>
      <c r="X717">
        <f t="shared" si="58"/>
        <v>1</v>
      </c>
      <c r="Y717">
        <f t="shared" si="59"/>
        <v>0</v>
      </c>
      <c r="Z717">
        <f t="shared" si="60"/>
        <v>1</v>
      </c>
    </row>
    <row r="718" spans="1:26" hidden="1" outlineLevel="1" x14ac:dyDescent="0.3">
      <c r="A718" t="s">
        <v>1942</v>
      </c>
      <c r="B718">
        <v>5</v>
      </c>
      <c r="C718">
        <f>IF(ISNUMBER($H$703),$H$703,0)</f>
        <v>11775</v>
      </c>
      <c r="D718">
        <f>IF(ISNUMBER($I$703),$I$703,0)</f>
        <v>950</v>
      </c>
      <c r="E718">
        <f>IF(ISNUMBER($J$703),$J$703,0)</f>
        <v>15550</v>
      </c>
      <c r="F718">
        <f>IF(ISNUMBER($K$703),$K$703,0)</f>
        <v>450</v>
      </c>
      <c r="G718">
        <f>IF(ISNUMBER($L$703),$L$703,0)</f>
        <v>19550</v>
      </c>
      <c r="H718">
        <f>IF(ISNUMBER($M$703),$M$703,0)</f>
        <v>850</v>
      </c>
      <c r="I718">
        <f>IF(AND(ISNUMBER($H$703),ISNUMBER($J$703),ISNUMBER($L$703),$J$703&gt;$H$703,$L$703&gt;$J$703),1,0)</f>
        <v>1</v>
      </c>
      <c r="J718">
        <f>IF($I718=1,IF(ISNUMBER($AE$703),$AE$703,10000),0)</f>
        <v>10000</v>
      </c>
      <c r="K718">
        <f t="shared" si="45"/>
        <v>-0.13245033112582782</v>
      </c>
      <c r="L718">
        <f t="shared" si="46"/>
        <v>0.1</v>
      </c>
      <c r="M718">
        <f t="shared" si="47"/>
        <v>-0.13168385355563758</v>
      </c>
      <c r="N718">
        <f t="shared" si="48"/>
        <v>9.9668652491162038E-2</v>
      </c>
      <c r="O718">
        <f t="shared" si="49"/>
        <v>0.23135250604679963</v>
      </c>
      <c r="P718">
        <f t="shared" si="50"/>
        <v>1161.949841301056</v>
      </c>
      <c r="Q718">
        <f t="shared" si="51"/>
        <v>14398.110084331316</v>
      </c>
      <c r="R718">
        <f t="shared" si="52"/>
        <v>16706.183305253144</v>
      </c>
      <c r="S718">
        <f t="shared" si="53"/>
        <v>602.56820075081907</v>
      </c>
      <c r="T718">
        <f t="shared" si="54"/>
        <v>1</v>
      </c>
      <c r="U718">
        <f t="shared" si="55"/>
        <v>15711.146115043155</v>
      </c>
      <c r="V718">
        <f t="shared" si="56"/>
        <v>10515.990232625205</v>
      </c>
      <c r="W718">
        <f t="shared" si="57"/>
        <v>1</v>
      </c>
      <c r="X718">
        <f t="shared" si="58"/>
        <v>1</v>
      </c>
      <c r="Y718">
        <f t="shared" si="59"/>
        <v>0</v>
      </c>
      <c r="Z718">
        <f t="shared" si="60"/>
        <v>0</v>
      </c>
    </row>
    <row r="719" spans="1:26" hidden="1" outlineLevel="1" x14ac:dyDescent="0.3">
      <c r="A719" t="s">
        <v>1943</v>
      </c>
      <c r="B719">
        <v>6</v>
      </c>
      <c r="C719">
        <f>IF(ISNUMBER($J$703),$J$703,0)</f>
        <v>15550</v>
      </c>
      <c r="D719">
        <f>IF(ISNUMBER($K$703),$K$703,0)</f>
        <v>450</v>
      </c>
      <c r="E719">
        <f>IF(ISNUMBER($L$703),$L$703,0)</f>
        <v>19550</v>
      </c>
      <c r="F719">
        <f>IF(ISNUMBER($M$703),$M$703,0)</f>
        <v>850</v>
      </c>
      <c r="G719">
        <f>IF(ISNUMBER($N$703),$N$703,0)</f>
        <v>23550</v>
      </c>
      <c r="H719">
        <f>IF(ISNUMBER($O$703),$O$703,0)</f>
        <v>600</v>
      </c>
      <c r="I719">
        <f>IF(AND(ISNUMBER($J$703),ISNUMBER($L$703),ISNUMBER($N$703),$L$703&gt;$J$703,$N$703&gt;$L$703),1,0)</f>
        <v>1</v>
      </c>
      <c r="J719">
        <f>IF($I719=1,IF(ISNUMBER($AF$703),$AF$703,10000),0)</f>
        <v>10000</v>
      </c>
      <c r="K719">
        <f t="shared" si="45"/>
        <v>0.1</v>
      </c>
      <c r="L719">
        <f t="shared" si="46"/>
        <v>-6.25E-2</v>
      </c>
      <c r="M719">
        <f t="shared" si="47"/>
        <v>9.9668652491162038E-2</v>
      </c>
      <c r="N719">
        <f t="shared" si="48"/>
        <v>-6.241880999595735E-2</v>
      </c>
      <c r="O719">
        <f t="shared" si="49"/>
        <v>-0.16208746248711939</v>
      </c>
      <c r="P719">
        <f t="shared" si="50"/>
        <v>812.21632722717789</v>
      </c>
      <c r="Q719">
        <f t="shared" si="51"/>
        <v>18741.814547913193</v>
      </c>
      <c r="R719">
        <f t="shared" si="52"/>
        <v>20360.634599674988</v>
      </c>
      <c r="S719">
        <f t="shared" si="53"/>
        <v>769.1814547913192</v>
      </c>
      <c r="T719">
        <f t="shared" si="54"/>
        <v>-1</v>
      </c>
      <c r="U719">
        <f t="shared" si="55"/>
        <v>19736.851738123183</v>
      </c>
      <c r="V719">
        <f t="shared" si="56"/>
        <v>-9181.1904473085724</v>
      </c>
      <c r="W719">
        <f t="shared" si="57"/>
        <v>1</v>
      </c>
      <c r="X719">
        <f t="shared" si="58"/>
        <v>1</v>
      </c>
      <c r="Y719">
        <f t="shared" si="59"/>
        <v>0</v>
      </c>
      <c r="Z719">
        <f t="shared" si="60"/>
        <v>0</v>
      </c>
    </row>
    <row r="720" spans="1:26" hidden="1" outlineLevel="1" x14ac:dyDescent="0.3">
      <c r="A720" t="s">
        <v>1944</v>
      </c>
      <c r="B720">
        <v>7</v>
      </c>
      <c r="C720">
        <f>IF(ISNUMBER($L$703),$L$703,0)</f>
        <v>19550</v>
      </c>
      <c r="D720">
        <f>IF(ISNUMBER($M$703),$M$703,0)</f>
        <v>850</v>
      </c>
      <c r="E720">
        <f>IF(ISNUMBER($N$703),$N$703,0)</f>
        <v>23550</v>
      </c>
      <c r="F720">
        <f>IF(ISNUMBER($O$703),$O$703,0)</f>
        <v>600</v>
      </c>
      <c r="G720">
        <f>IF(ISNUMBER($P$703),$P$703,0)</f>
        <v>0</v>
      </c>
      <c r="H720">
        <f>IF(ISNUMBER($Q$703),$Q$703,0)</f>
        <v>0</v>
      </c>
      <c r="I720">
        <f>IF(AND(ISNUMBER($L$703),ISNUMBER($N$703),ISNUMBER($P$703),$N$703&gt;$L$703,$P$703&gt;$N$703),1,0)</f>
        <v>0</v>
      </c>
      <c r="J720">
        <f>IF($I720=1,IF(ISNUMBER($AG$703),$AG$703,10000),0)</f>
        <v>0</v>
      </c>
      <c r="K720">
        <f t="shared" si="45"/>
        <v>0</v>
      </c>
      <c r="L720">
        <f t="shared" si="46"/>
        <v>0</v>
      </c>
      <c r="M720">
        <f t="shared" si="47"/>
        <v>0</v>
      </c>
      <c r="N720">
        <f t="shared" si="48"/>
        <v>0</v>
      </c>
      <c r="O720">
        <f t="shared" si="49"/>
        <v>0</v>
      </c>
      <c r="P720">
        <f t="shared" si="50"/>
        <v>0</v>
      </c>
      <c r="Q720">
        <f t="shared" si="51"/>
        <v>23550</v>
      </c>
      <c r="R720">
        <f t="shared" si="52"/>
        <v>23550</v>
      </c>
      <c r="S720">
        <f t="shared" si="53"/>
        <v>600</v>
      </c>
      <c r="T720">
        <f t="shared" si="54"/>
        <v>0</v>
      </c>
      <c r="U720">
        <f t="shared" si="55"/>
        <v>23550</v>
      </c>
      <c r="V720">
        <f t="shared" si="56"/>
        <v>600</v>
      </c>
      <c r="W720">
        <f t="shared" si="57"/>
        <v>1</v>
      </c>
      <c r="X720">
        <f t="shared" si="58"/>
        <v>1</v>
      </c>
      <c r="Y720">
        <f t="shared" si="59"/>
        <v>0</v>
      </c>
      <c r="Z720">
        <f t="shared" si="60"/>
        <v>0</v>
      </c>
    </row>
    <row r="721" spans="1:26" hidden="1" outlineLevel="1" x14ac:dyDescent="0.3">
      <c r="A721" t="s">
        <v>1945</v>
      </c>
      <c r="B721">
        <v>8</v>
      </c>
      <c r="C721">
        <f>IF(ISNUMBER($N$703),$N$703,0)</f>
        <v>23550</v>
      </c>
      <c r="D721">
        <f>IF(ISNUMBER($O$703),$O$703,0)</f>
        <v>600</v>
      </c>
      <c r="E721">
        <f>IF(ISNUMBER($P$703),$P$703,0)</f>
        <v>0</v>
      </c>
      <c r="F721">
        <f>IF(ISNUMBER($Q$703),$Q$703,0)</f>
        <v>0</v>
      </c>
      <c r="G721">
        <f>IF(ISNUMBER($R$703),$R$703,0)</f>
        <v>0</v>
      </c>
      <c r="H721">
        <f>IF(ISNUMBER($S$703),$S$703,0)</f>
        <v>0</v>
      </c>
      <c r="I721">
        <f>IF(AND(ISNUMBER($N$703),ISNUMBER($P$703),ISNUMBER($R$703),$P$703&gt;$N$703,$R$703&gt;$P$703),1,0)</f>
        <v>0</v>
      </c>
      <c r="J721">
        <f>IF($I721=1,IF(ISNUMBER($AH$703),$AH$703,10000),0)</f>
        <v>0</v>
      </c>
      <c r="K721">
        <f t="shared" si="45"/>
        <v>0</v>
      </c>
      <c r="L721">
        <f t="shared" si="46"/>
        <v>0</v>
      </c>
      <c r="M721">
        <f t="shared" si="47"/>
        <v>0</v>
      </c>
      <c r="N721">
        <f t="shared" si="48"/>
        <v>0</v>
      </c>
      <c r="O721">
        <f t="shared" si="49"/>
        <v>0</v>
      </c>
      <c r="P721">
        <f t="shared" si="50"/>
        <v>0</v>
      </c>
      <c r="Q721">
        <f t="shared" si="51"/>
        <v>0</v>
      </c>
      <c r="R721">
        <f t="shared" si="52"/>
        <v>0</v>
      </c>
      <c r="S721">
        <f t="shared" si="53"/>
        <v>0</v>
      </c>
      <c r="T721">
        <f t="shared" si="54"/>
        <v>0</v>
      </c>
      <c r="U721">
        <f t="shared" si="55"/>
        <v>0</v>
      </c>
      <c r="V721">
        <f t="shared" si="56"/>
        <v>0</v>
      </c>
      <c r="W721">
        <f t="shared" si="57"/>
        <v>1</v>
      </c>
      <c r="X721">
        <f t="shared" si="58"/>
        <v>1</v>
      </c>
      <c r="Y721">
        <f t="shared" si="59"/>
        <v>0</v>
      </c>
      <c r="Z721">
        <f t="shared" si="60"/>
        <v>0</v>
      </c>
    </row>
    <row r="722" spans="1:26" hidden="1" outlineLevel="1" x14ac:dyDescent="0.3">
      <c r="A722" t="s">
        <v>1946</v>
      </c>
      <c r="B722">
        <v>9</v>
      </c>
      <c r="C722">
        <f>IF(ISNUMBER($P$703),$P$703,0)</f>
        <v>0</v>
      </c>
      <c r="D722">
        <f>IF(ISNUMBER($Q$703),$Q$703,0)</f>
        <v>0</v>
      </c>
      <c r="E722">
        <f>IF(ISNUMBER($R$703),$R$703,0)</f>
        <v>0</v>
      </c>
      <c r="F722">
        <f>IF(ISNUMBER($S$703),$S$703,0)</f>
        <v>0</v>
      </c>
      <c r="G722">
        <f>IF(ISNUMBER($T$703),$T$703,0)</f>
        <v>0</v>
      </c>
      <c r="H722">
        <f>IF(ISNUMBER($U$703),$U$703,0)</f>
        <v>0</v>
      </c>
      <c r="I722">
        <f>IF(AND(ISNUMBER($P$703),ISNUMBER($R$703),ISNUMBER($T$703),$R$703&gt;$P$703,$T$703&gt;$R$703),1,0)</f>
        <v>0</v>
      </c>
      <c r="J722">
        <f>IF($I722=1,IF(ISNUMBER($AI$703),$AI$703,10000),0)</f>
        <v>0</v>
      </c>
      <c r="K722">
        <f t="shared" si="45"/>
        <v>0</v>
      </c>
      <c r="L722">
        <f t="shared" si="46"/>
        <v>0</v>
      </c>
      <c r="M722">
        <f t="shared" si="47"/>
        <v>0</v>
      </c>
      <c r="N722">
        <f t="shared" si="48"/>
        <v>0</v>
      </c>
      <c r="O722">
        <f t="shared" si="49"/>
        <v>0</v>
      </c>
      <c r="P722">
        <f t="shared" si="50"/>
        <v>0</v>
      </c>
      <c r="Q722">
        <f t="shared" si="51"/>
        <v>0</v>
      </c>
      <c r="R722">
        <f t="shared" si="52"/>
        <v>0</v>
      </c>
      <c r="S722">
        <f t="shared" si="53"/>
        <v>0</v>
      </c>
      <c r="T722">
        <f t="shared" si="54"/>
        <v>0</v>
      </c>
      <c r="U722">
        <f t="shared" si="55"/>
        <v>0</v>
      </c>
      <c r="V722">
        <f t="shared" si="56"/>
        <v>0</v>
      </c>
      <c r="W722">
        <f t="shared" si="57"/>
        <v>1</v>
      </c>
      <c r="X722">
        <f t="shared" si="58"/>
        <v>1</v>
      </c>
      <c r="Y722">
        <f t="shared" si="59"/>
        <v>0</v>
      </c>
      <c r="Z722">
        <f t="shared" si="60"/>
        <v>0</v>
      </c>
    </row>
    <row r="723" spans="1:26" hidden="1" outlineLevel="1" x14ac:dyDescent="0.3">
      <c r="A723" t="s">
        <v>1947</v>
      </c>
      <c r="B723">
        <v>10</v>
      </c>
      <c r="C723">
        <f>IF(ISNUMBER($R$703),$R$703,0)</f>
        <v>0</v>
      </c>
      <c r="D723">
        <f>IF(ISNUMBER($S$703),$S$703,0)</f>
        <v>0</v>
      </c>
      <c r="E723">
        <f>IF(ISNUMBER($T$703),$T$703,0)</f>
        <v>0</v>
      </c>
      <c r="F723">
        <f>IF(ISNUMBER($U$703),$U$703,0)</f>
        <v>0</v>
      </c>
      <c r="G723">
        <f>IF(ISNUMBER($V$703),$V$703,0)</f>
        <v>0</v>
      </c>
      <c r="H723">
        <f>IF(ISNUMBER($W$703),$W$703,0)</f>
        <v>0</v>
      </c>
      <c r="I723">
        <f>IF(AND(ISNUMBER($R$703),ISNUMBER($T$703),ISNUMBER($V$703),$T$703&gt;$R$703,$V$703&gt;$T$703),1,0)</f>
        <v>0</v>
      </c>
      <c r="J723">
        <f>IF($I723=1,IF(ISNUMBER($AJ$703),$AJ$703,10000),0)</f>
        <v>0</v>
      </c>
      <c r="K723">
        <f t="shared" si="45"/>
        <v>0</v>
      </c>
      <c r="L723">
        <f t="shared" si="46"/>
        <v>0</v>
      </c>
      <c r="M723">
        <f t="shared" si="47"/>
        <v>0</v>
      </c>
      <c r="N723">
        <f t="shared" si="48"/>
        <v>0</v>
      </c>
      <c r="O723">
        <f t="shared" si="49"/>
        <v>0</v>
      </c>
      <c r="P723">
        <f t="shared" si="50"/>
        <v>0</v>
      </c>
      <c r="Q723">
        <f t="shared" si="51"/>
        <v>0</v>
      </c>
      <c r="R723">
        <f t="shared" si="52"/>
        <v>0</v>
      </c>
      <c r="S723">
        <f t="shared" si="53"/>
        <v>0</v>
      </c>
      <c r="T723">
        <f t="shared" si="54"/>
        <v>0</v>
      </c>
      <c r="U723">
        <f t="shared" si="55"/>
        <v>0</v>
      </c>
      <c r="V723">
        <f t="shared" si="56"/>
        <v>0</v>
      </c>
      <c r="W723">
        <f t="shared" si="57"/>
        <v>1</v>
      </c>
      <c r="X723">
        <f t="shared" si="58"/>
        <v>1</v>
      </c>
      <c r="Y723">
        <f t="shared" si="59"/>
        <v>0</v>
      </c>
      <c r="Z723">
        <f t="shared" si="60"/>
        <v>0</v>
      </c>
    </row>
    <row r="724" spans="1:26" hidden="1" outlineLevel="1" x14ac:dyDescent="0.3">
      <c r="A724" t="s">
        <v>1948</v>
      </c>
      <c r="B724">
        <v>11</v>
      </c>
      <c r="C724">
        <f>IF(ISNUMBER($T$703),$T$703,0)</f>
        <v>0</v>
      </c>
      <c r="D724">
        <f>IF(ISNUMBER($U$703),$U$703,0)</f>
        <v>0</v>
      </c>
      <c r="E724">
        <f>IF(ISNUMBER($V$703),$V$703,0)</f>
        <v>0</v>
      </c>
      <c r="F724">
        <f>IF(ISNUMBER($W$703),$W$703,0)</f>
        <v>0</v>
      </c>
      <c r="G724">
        <f>IF(ISNUMBER($X$703),$X$703,0)</f>
        <v>0</v>
      </c>
      <c r="H724">
        <f>IF(ISNUMBER($Y$703),$Y$703,0)</f>
        <v>0</v>
      </c>
      <c r="I724">
        <f>IF(AND(ISNUMBER($T$703),ISNUMBER($V$703),ISNUMBER($X$703),$V$703&gt;$T$703,$X$703&gt;$V$703),1,0)</f>
        <v>0</v>
      </c>
      <c r="J724">
        <f>IF($I724=1,IF(ISNUMBER($AK$703),$AK$703,10000),0)</f>
        <v>0</v>
      </c>
      <c r="K724">
        <f t="shared" si="45"/>
        <v>0</v>
      </c>
      <c r="L724">
        <f t="shared" si="46"/>
        <v>0</v>
      </c>
      <c r="M724">
        <f t="shared" si="47"/>
        <v>0</v>
      </c>
      <c r="N724">
        <f t="shared" si="48"/>
        <v>0</v>
      </c>
      <c r="O724">
        <f t="shared" si="49"/>
        <v>0</v>
      </c>
      <c r="P724">
        <f t="shared" si="50"/>
        <v>0</v>
      </c>
      <c r="Q724">
        <f t="shared" si="51"/>
        <v>0</v>
      </c>
      <c r="R724">
        <f t="shared" si="52"/>
        <v>0</v>
      </c>
      <c r="S724">
        <f t="shared" si="53"/>
        <v>0</v>
      </c>
      <c r="T724">
        <f t="shared" si="54"/>
        <v>0</v>
      </c>
      <c r="U724">
        <f t="shared" si="55"/>
        <v>0</v>
      </c>
      <c r="V724">
        <f t="shared" si="56"/>
        <v>0</v>
      </c>
      <c r="W724">
        <f t="shared" si="57"/>
        <v>1</v>
      </c>
      <c r="X724">
        <f t="shared" si="58"/>
        <v>1</v>
      </c>
      <c r="Y724">
        <f t="shared" si="59"/>
        <v>0</v>
      </c>
      <c r="Z724">
        <f t="shared" si="60"/>
        <v>0</v>
      </c>
    </row>
    <row r="725" spans="1:26" hidden="1" outlineLevel="1" x14ac:dyDescent="0.3">
      <c r="A725" t="s">
        <v>1949</v>
      </c>
      <c r="B725">
        <v>12</v>
      </c>
      <c r="C725">
        <f>IF(ISNUMBER($V$703),$V$703,0)</f>
        <v>0</v>
      </c>
      <c r="D725">
        <f>IF(ISNUMBER($W$703),$W$703,0)</f>
        <v>0</v>
      </c>
      <c r="E725">
        <f>IF(ISNUMBER($X$703),$X$703,0)</f>
        <v>0</v>
      </c>
      <c r="F725">
        <f>IF(ISNUMBER($Y$703),$Y$703,0)</f>
        <v>0</v>
      </c>
      <c r="G725">
        <f>IF(ISNUMBER($Z$703),$Z$703,0)</f>
        <v>0</v>
      </c>
      <c r="H725">
        <f>IF(ISNUMBER($AA$703),$AA$703,0)</f>
        <v>0</v>
      </c>
      <c r="I725">
        <f>IF(AND(ISNUMBER($V$703),ISNUMBER($X$703),ISNUMBER($Z$703),$X$703&gt;$V$703,$Z$703&gt;$X$703),1,0)</f>
        <v>0</v>
      </c>
      <c r="J725">
        <f>IF($I725=1,IF(ISNUMBER($AL$703),$AL$703,10000),0)</f>
        <v>0</v>
      </c>
      <c r="K725">
        <f t="shared" si="45"/>
        <v>0</v>
      </c>
      <c r="L725">
        <f t="shared" si="46"/>
        <v>0</v>
      </c>
      <c r="M725">
        <f t="shared" si="47"/>
        <v>0</v>
      </c>
      <c r="N725">
        <f t="shared" si="48"/>
        <v>0</v>
      </c>
      <c r="O725">
        <f t="shared" si="49"/>
        <v>0</v>
      </c>
      <c r="P725">
        <f t="shared" si="50"/>
        <v>0</v>
      </c>
      <c r="Q725">
        <f t="shared" si="51"/>
        <v>0</v>
      </c>
      <c r="R725">
        <f t="shared" si="52"/>
        <v>0</v>
      </c>
      <c r="S725">
        <f t="shared" si="53"/>
        <v>0</v>
      </c>
      <c r="T725">
        <f t="shared" si="54"/>
        <v>0</v>
      </c>
      <c r="U725">
        <f t="shared" si="55"/>
        <v>0</v>
      </c>
      <c r="V725">
        <f t="shared" si="56"/>
        <v>0</v>
      </c>
      <c r="W725">
        <f t="shared" si="57"/>
        <v>1</v>
      </c>
      <c r="X725">
        <f t="shared" si="58"/>
        <v>1</v>
      </c>
      <c r="Y725">
        <f t="shared" si="59"/>
        <v>0</v>
      </c>
      <c r="Z725">
        <f t="shared" si="60"/>
        <v>0</v>
      </c>
    </row>
    <row r="726" spans="1:26" hidden="1" outlineLevel="1" x14ac:dyDescent="0.3">
      <c r="A726" t="s">
        <v>1950</v>
      </c>
    </row>
    <row r="727" spans="1:26" hidden="1" outlineLevel="1" x14ac:dyDescent="0.3">
      <c r="A727" t="s">
        <v>1951</v>
      </c>
      <c r="B727">
        <v>2</v>
      </c>
      <c r="C727">
        <f>IF(ISNUMBER($B$704),$B$704,0)</f>
        <v>0</v>
      </c>
      <c r="D727">
        <f>IF(ISNUMBER($C$704),$C$704,0)</f>
        <v>600</v>
      </c>
      <c r="E727">
        <f>IF(ISNUMBER($D$704),$D$704,0)</f>
        <v>23550</v>
      </c>
      <c r="F727">
        <f>IF(ISNUMBER($E$704),$E$704,0)</f>
        <v>600</v>
      </c>
      <c r="G727">
        <f>IF(ISNUMBER($F$704),$F$704,0)</f>
        <v>0</v>
      </c>
      <c r="H727">
        <f>IF(ISNUMBER($G$704),$G$704,0)</f>
        <v>0</v>
      </c>
      <c r="I727">
        <f>IF(AND(ISNUMBER($B$704),ISNUMBER($D$704),ISNUMBER($F$704),$D$704&gt;$B$704,$F$704&gt;$D$704),1,0)</f>
        <v>0</v>
      </c>
      <c r="J727">
        <f>IF($I727=1,IF(ISNUMBER($AB$704),$AB$704,10000),0)</f>
        <v>0</v>
      </c>
      <c r="K727">
        <f t="shared" ref="K727:K737" si="61">IF($I727=1,($F727-$D727)/($E727-$C727),0)</f>
        <v>0</v>
      </c>
      <c r="L727">
        <f t="shared" ref="L727:L737" si="62">IF($I727=1,($H727-$F727)/($G727-$E727),0)</f>
        <v>0</v>
      </c>
      <c r="M727">
        <f t="shared" ref="M727:M737" si="63">ATAN($K727)</f>
        <v>0</v>
      </c>
      <c r="N727">
        <f t="shared" ref="N727:N737" si="64">ATAN($L727)</f>
        <v>0</v>
      </c>
      <c r="O727">
        <f t="shared" ref="O727:O737" si="65">$N727-$M727</f>
        <v>0</v>
      </c>
      <c r="P727">
        <f t="shared" ref="P727:P737" si="66">IF($I727=1,$J727*TAN(ABS($O727)/2),0)</f>
        <v>0</v>
      </c>
      <c r="Q727">
        <f t="shared" ref="Q727:Q737" si="67">$E727-$P727*COS($M727)</f>
        <v>23550</v>
      </c>
      <c r="R727">
        <f t="shared" ref="R727:R737" si="68">$E727+$P727*COS($N727)</f>
        <v>23550</v>
      </c>
      <c r="S727">
        <f t="shared" ref="S727:S737" si="69">$F727-$P727*SIN($M727)</f>
        <v>600</v>
      </c>
      <c r="T727">
        <f t="shared" ref="T727:T737" si="70">SIGN($L727-$K727)</f>
        <v>0</v>
      </c>
      <c r="U727">
        <f t="shared" ref="U727:U737" si="71">$Q727-$T727*$J727*SIN($M727)</f>
        <v>23550</v>
      </c>
      <c r="V727">
        <f t="shared" ref="V727:V737" si="72">$S727+$T727*$J727*COS($M727)</f>
        <v>600</v>
      </c>
      <c r="W727">
        <f t="shared" ref="W727:W737" si="73">IF($I727=0,1,IF(AND($P727*COS($M727)&lt;=($E727-$C727)+0.001,$P727*COS($N727)&lt;=($G727-$E727)+0.001),1,0))</f>
        <v>1</v>
      </c>
      <c r="X727">
        <f t="shared" ref="X727:X737" si="74">IF(OR($I727=0,$I728=0),1,IF($R727&lt;=$Q728+0.001,1,0))</f>
        <v>1</v>
      </c>
      <c r="Y727">
        <f t="shared" ref="Y727:Y737" si="75">IF($Z727=1,$T727*($D$13-$U727)/SQRT(MAX(0.000000001,$J727^2-($D$13-$U727)^2)),0)</f>
        <v>0</v>
      </c>
      <c r="Z727">
        <f t="shared" ref="Z727:Z737" si="76">IF(AND($I727=1,$W727=1,$D$13&gt;=$Q727,$D$13&lt;=$R727),1,0)</f>
        <v>0</v>
      </c>
    </row>
    <row r="728" spans="1:26" hidden="1" outlineLevel="1" x14ac:dyDescent="0.3">
      <c r="A728" t="s">
        <v>1952</v>
      </c>
      <c r="B728">
        <v>3</v>
      </c>
      <c r="C728">
        <f>IF(ISNUMBER($D$704),$D$704,0)</f>
        <v>23550</v>
      </c>
      <c r="D728">
        <f>IF(ISNUMBER($E$704),$E$704,0)</f>
        <v>600</v>
      </c>
      <c r="E728">
        <f>IF(ISNUMBER($F$704),$F$704,0)</f>
        <v>0</v>
      </c>
      <c r="F728">
        <f>IF(ISNUMBER($G$704),$G$704,0)</f>
        <v>0</v>
      </c>
      <c r="G728">
        <f>IF(ISNUMBER($H$704),$H$704,0)</f>
        <v>0</v>
      </c>
      <c r="H728">
        <f>IF(ISNUMBER($I$704),$I$704,0)</f>
        <v>0</v>
      </c>
      <c r="I728">
        <f>IF(AND(ISNUMBER($D$704),ISNUMBER($F$704),ISNUMBER($H$704),$F$704&gt;$D$704,$H$704&gt;$F$704),1,0)</f>
        <v>0</v>
      </c>
      <c r="J728">
        <f>IF($I728=1,IF(ISNUMBER($AC$704),$AC$704,10000),0)</f>
        <v>0</v>
      </c>
      <c r="K728">
        <f t="shared" si="61"/>
        <v>0</v>
      </c>
      <c r="L728">
        <f t="shared" si="62"/>
        <v>0</v>
      </c>
      <c r="M728">
        <f t="shared" si="63"/>
        <v>0</v>
      </c>
      <c r="N728">
        <f t="shared" si="64"/>
        <v>0</v>
      </c>
      <c r="O728">
        <f t="shared" si="65"/>
        <v>0</v>
      </c>
      <c r="P728">
        <f t="shared" si="66"/>
        <v>0</v>
      </c>
      <c r="Q728">
        <f t="shared" si="67"/>
        <v>0</v>
      </c>
      <c r="R728">
        <f t="shared" si="68"/>
        <v>0</v>
      </c>
      <c r="S728">
        <f t="shared" si="69"/>
        <v>0</v>
      </c>
      <c r="T728">
        <f t="shared" si="70"/>
        <v>0</v>
      </c>
      <c r="U728">
        <f t="shared" si="71"/>
        <v>0</v>
      </c>
      <c r="V728">
        <f t="shared" si="72"/>
        <v>0</v>
      </c>
      <c r="W728">
        <f t="shared" si="73"/>
        <v>1</v>
      </c>
      <c r="X728">
        <f t="shared" si="74"/>
        <v>1</v>
      </c>
      <c r="Y728">
        <f t="shared" si="75"/>
        <v>0</v>
      </c>
      <c r="Z728">
        <f t="shared" si="76"/>
        <v>0</v>
      </c>
    </row>
    <row r="729" spans="1:26" hidden="1" outlineLevel="1" x14ac:dyDescent="0.3">
      <c r="A729" t="s">
        <v>1953</v>
      </c>
      <c r="B729">
        <v>4</v>
      </c>
      <c r="C729">
        <f>IF(ISNUMBER($F$704),$F$704,0)</f>
        <v>0</v>
      </c>
      <c r="D729">
        <f>IF(ISNUMBER($G$704),$G$704,0)</f>
        <v>0</v>
      </c>
      <c r="E729">
        <f>IF(ISNUMBER($H$704),$H$704,0)</f>
        <v>0</v>
      </c>
      <c r="F729">
        <f>IF(ISNUMBER($I$704),$I$704,0)</f>
        <v>0</v>
      </c>
      <c r="G729">
        <f>IF(ISNUMBER($J$704),$J$704,0)</f>
        <v>0</v>
      </c>
      <c r="H729">
        <f>IF(ISNUMBER($K$704),$K$704,0)</f>
        <v>0</v>
      </c>
      <c r="I729">
        <f>IF(AND(ISNUMBER($F$704),ISNUMBER($H$704),ISNUMBER($J$704),$H$704&gt;$F$704,$J$704&gt;$H$704),1,0)</f>
        <v>0</v>
      </c>
      <c r="J729">
        <f>IF($I729=1,IF(ISNUMBER($AD$704),$AD$704,10000),0)</f>
        <v>0</v>
      </c>
      <c r="K729">
        <f t="shared" si="61"/>
        <v>0</v>
      </c>
      <c r="L729">
        <f t="shared" si="62"/>
        <v>0</v>
      </c>
      <c r="M729">
        <f t="shared" si="63"/>
        <v>0</v>
      </c>
      <c r="N729">
        <f t="shared" si="64"/>
        <v>0</v>
      </c>
      <c r="O729">
        <f t="shared" si="65"/>
        <v>0</v>
      </c>
      <c r="P729">
        <f t="shared" si="66"/>
        <v>0</v>
      </c>
      <c r="Q729">
        <f t="shared" si="67"/>
        <v>0</v>
      </c>
      <c r="R729">
        <f t="shared" si="68"/>
        <v>0</v>
      </c>
      <c r="S729">
        <f t="shared" si="69"/>
        <v>0</v>
      </c>
      <c r="T729">
        <f t="shared" si="70"/>
        <v>0</v>
      </c>
      <c r="U729">
        <f t="shared" si="71"/>
        <v>0</v>
      </c>
      <c r="V729">
        <f t="shared" si="72"/>
        <v>0</v>
      </c>
      <c r="W729">
        <f t="shared" si="73"/>
        <v>1</v>
      </c>
      <c r="X729">
        <f t="shared" si="74"/>
        <v>1</v>
      </c>
      <c r="Y729">
        <f t="shared" si="75"/>
        <v>0</v>
      </c>
      <c r="Z729">
        <f t="shared" si="76"/>
        <v>0</v>
      </c>
    </row>
    <row r="730" spans="1:26" hidden="1" outlineLevel="1" x14ac:dyDescent="0.3">
      <c r="A730" t="s">
        <v>1954</v>
      </c>
      <c r="B730">
        <v>5</v>
      </c>
      <c r="C730">
        <f>IF(ISNUMBER($H$704),$H$704,0)</f>
        <v>0</v>
      </c>
      <c r="D730">
        <f>IF(ISNUMBER($I$704),$I$704,0)</f>
        <v>0</v>
      </c>
      <c r="E730">
        <f>IF(ISNUMBER($J$704),$J$704,0)</f>
        <v>0</v>
      </c>
      <c r="F730">
        <f>IF(ISNUMBER($K$704),$K$704,0)</f>
        <v>0</v>
      </c>
      <c r="G730">
        <f>IF(ISNUMBER($L$704),$L$704,0)</f>
        <v>0</v>
      </c>
      <c r="H730">
        <f>IF(ISNUMBER($M$704),$M$704,0)</f>
        <v>0</v>
      </c>
      <c r="I730">
        <f>IF(AND(ISNUMBER($H$704),ISNUMBER($J$704),ISNUMBER($L$704),$J$704&gt;$H$704,$L$704&gt;$J$704),1,0)</f>
        <v>0</v>
      </c>
      <c r="J730">
        <f>IF($I730=1,IF(ISNUMBER($AE$704),$AE$704,10000),0)</f>
        <v>0</v>
      </c>
      <c r="K730">
        <f t="shared" si="61"/>
        <v>0</v>
      </c>
      <c r="L730">
        <f t="shared" si="62"/>
        <v>0</v>
      </c>
      <c r="M730">
        <f t="shared" si="63"/>
        <v>0</v>
      </c>
      <c r="N730">
        <f t="shared" si="64"/>
        <v>0</v>
      </c>
      <c r="O730">
        <f t="shared" si="65"/>
        <v>0</v>
      </c>
      <c r="P730">
        <f t="shared" si="66"/>
        <v>0</v>
      </c>
      <c r="Q730">
        <f t="shared" si="67"/>
        <v>0</v>
      </c>
      <c r="R730">
        <f t="shared" si="68"/>
        <v>0</v>
      </c>
      <c r="S730">
        <f t="shared" si="69"/>
        <v>0</v>
      </c>
      <c r="T730">
        <f t="shared" si="70"/>
        <v>0</v>
      </c>
      <c r="U730">
        <f t="shared" si="71"/>
        <v>0</v>
      </c>
      <c r="V730">
        <f t="shared" si="72"/>
        <v>0</v>
      </c>
      <c r="W730">
        <f t="shared" si="73"/>
        <v>1</v>
      </c>
      <c r="X730">
        <f t="shared" si="74"/>
        <v>1</v>
      </c>
      <c r="Y730">
        <f t="shared" si="75"/>
        <v>0</v>
      </c>
      <c r="Z730">
        <f t="shared" si="76"/>
        <v>0</v>
      </c>
    </row>
    <row r="731" spans="1:26" hidden="1" outlineLevel="1" x14ac:dyDescent="0.3">
      <c r="A731" t="s">
        <v>1955</v>
      </c>
      <c r="B731">
        <v>6</v>
      </c>
      <c r="C731">
        <f>IF(ISNUMBER($J$704),$J$704,0)</f>
        <v>0</v>
      </c>
      <c r="D731">
        <f>IF(ISNUMBER($K$704),$K$704,0)</f>
        <v>0</v>
      </c>
      <c r="E731">
        <f>IF(ISNUMBER($L$704),$L$704,0)</f>
        <v>0</v>
      </c>
      <c r="F731">
        <f>IF(ISNUMBER($M$704),$M$704,0)</f>
        <v>0</v>
      </c>
      <c r="G731">
        <f>IF(ISNUMBER($N$704),$N$704,0)</f>
        <v>0</v>
      </c>
      <c r="H731">
        <f>IF(ISNUMBER($O$704),$O$704,0)</f>
        <v>0</v>
      </c>
      <c r="I731">
        <f>IF(AND(ISNUMBER($J$704),ISNUMBER($L$704),ISNUMBER($N$704),$L$704&gt;$J$704,$N$704&gt;$L$704),1,0)</f>
        <v>0</v>
      </c>
      <c r="J731">
        <f>IF($I731=1,IF(ISNUMBER($AF$704),$AF$704,10000),0)</f>
        <v>0</v>
      </c>
      <c r="K731">
        <f t="shared" si="61"/>
        <v>0</v>
      </c>
      <c r="L731">
        <f t="shared" si="62"/>
        <v>0</v>
      </c>
      <c r="M731">
        <f t="shared" si="63"/>
        <v>0</v>
      </c>
      <c r="N731">
        <f t="shared" si="64"/>
        <v>0</v>
      </c>
      <c r="O731">
        <f t="shared" si="65"/>
        <v>0</v>
      </c>
      <c r="P731">
        <f t="shared" si="66"/>
        <v>0</v>
      </c>
      <c r="Q731">
        <f t="shared" si="67"/>
        <v>0</v>
      </c>
      <c r="R731">
        <f t="shared" si="68"/>
        <v>0</v>
      </c>
      <c r="S731">
        <f t="shared" si="69"/>
        <v>0</v>
      </c>
      <c r="T731">
        <f t="shared" si="70"/>
        <v>0</v>
      </c>
      <c r="U731">
        <f t="shared" si="71"/>
        <v>0</v>
      </c>
      <c r="V731">
        <f t="shared" si="72"/>
        <v>0</v>
      </c>
      <c r="W731">
        <f t="shared" si="73"/>
        <v>1</v>
      </c>
      <c r="X731">
        <f t="shared" si="74"/>
        <v>1</v>
      </c>
      <c r="Y731">
        <f t="shared" si="75"/>
        <v>0</v>
      </c>
      <c r="Z731">
        <f t="shared" si="76"/>
        <v>0</v>
      </c>
    </row>
    <row r="732" spans="1:26" hidden="1" outlineLevel="1" x14ac:dyDescent="0.3">
      <c r="A732" t="s">
        <v>1956</v>
      </c>
      <c r="B732">
        <v>7</v>
      </c>
      <c r="C732">
        <f>IF(ISNUMBER($L$704),$L$704,0)</f>
        <v>0</v>
      </c>
      <c r="D732">
        <f>IF(ISNUMBER($M$704),$M$704,0)</f>
        <v>0</v>
      </c>
      <c r="E732">
        <f>IF(ISNUMBER($N$704),$N$704,0)</f>
        <v>0</v>
      </c>
      <c r="F732">
        <f>IF(ISNUMBER($O$704),$O$704,0)</f>
        <v>0</v>
      </c>
      <c r="G732">
        <f>IF(ISNUMBER($P$704),$P$704,0)</f>
        <v>0</v>
      </c>
      <c r="H732">
        <f>IF(ISNUMBER($Q$704),$Q$704,0)</f>
        <v>0</v>
      </c>
      <c r="I732">
        <f>IF(AND(ISNUMBER($L$704),ISNUMBER($N$704),ISNUMBER($P$704),$N$704&gt;$L$704,$P$704&gt;$N$704),1,0)</f>
        <v>0</v>
      </c>
      <c r="J732">
        <f>IF($I732=1,IF(ISNUMBER($AG$704),$AG$704,10000),0)</f>
        <v>0</v>
      </c>
      <c r="K732">
        <f t="shared" si="61"/>
        <v>0</v>
      </c>
      <c r="L732">
        <f t="shared" si="62"/>
        <v>0</v>
      </c>
      <c r="M732">
        <f t="shared" si="63"/>
        <v>0</v>
      </c>
      <c r="N732">
        <f t="shared" si="64"/>
        <v>0</v>
      </c>
      <c r="O732">
        <f t="shared" si="65"/>
        <v>0</v>
      </c>
      <c r="P732">
        <f t="shared" si="66"/>
        <v>0</v>
      </c>
      <c r="Q732">
        <f t="shared" si="67"/>
        <v>0</v>
      </c>
      <c r="R732">
        <f t="shared" si="68"/>
        <v>0</v>
      </c>
      <c r="S732">
        <f t="shared" si="69"/>
        <v>0</v>
      </c>
      <c r="T732">
        <f t="shared" si="70"/>
        <v>0</v>
      </c>
      <c r="U732">
        <f t="shared" si="71"/>
        <v>0</v>
      </c>
      <c r="V732">
        <f t="shared" si="72"/>
        <v>0</v>
      </c>
      <c r="W732">
        <f t="shared" si="73"/>
        <v>1</v>
      </c>
      <c r="X732">
        <f t="shared" si="74"/>
        <v>1</v>
      </c>
      <c r="Y732">
        <f t="shared" si="75"/>
        <v>0</v>
      </c>
      <c r="Z732">
        <f t="shared" si="76"/>
        <v>0</v>
      </c>
    </row>
    <row r="733" spans="1:26" hidden="1" outlineLevel="1" x14ac:dyDescent="0.3">
      <c r="A733" t="s">
        <v>1957</v>
      </c>
      <c r="B733">
        <v>8</v>
      </c>
      <c r="C733">
        <f>IF(ISNUMBER($N$704),$N$704,0)</f>
        <v>0</v>
      </c>
      <c r="D733">
        <f>IF(ISNUMBER($O$704),$O$704,0)</f>
        <v>0</v>
      </c>
      <c r="E733">
        <f>IF(ISNUMBER($P$704),$P$704,0)</f>
        <v>0</v>
      </c>
      <c r="F733">
        <f>IF(ISNUMBER($Q$704),$Q$704,0)</f>
        <v>0</v>
      </c>
      <c r="G733">
        <f>IF(ISNUMBER($R$704),$R$704,0)</f>
        <v>0</v>
      </c>
      <c r="H733">
        <f>IF(ISNUMBER($S$704),$S$704,0)</f>
        <v>0</v>
      </c>
      <c r="I733">
        <f>IF(AND(ISNUMBER($N$704),ISNUMBER($P$704),ISNUMBER($R$704),$P$704&gt;$N$704,$R$704&gt;$P$704),1,0)</f>
        <v>0</v>
      </c>
      <c r="J733">
        <f>IF($I733=1,IF(ISNUMBER($AH$704),$AH$704,10000),0)</f>
        <v>0</v>
      </c>
      <c r="K733">
        <f t="shared" si="61"/>
        <v>0</v>
      </c>
      <c r="L733">
        <f t="shared" si="62"/>
        <v>0</v>
      </c>
      <c r="M733">
        <f t="shared" si="63"/>
        <v>0</v>
      </c>
      <c r="N733">
        <f t="shared" si="64"/>
        <v>0</v>
      </c>
      <c r="O733">
        <f t="shared" si="65"/>
        <v>0</v>
      </c>
      <c r="P733">
        <f t="shared" si="66"/>
        <v>0</v>
      </c>
      <c r="Q733">
        <f t="shared" si="67"/>
        <v>0</v>
      </c>
      <c r="R733">
        <f t="shared" si="68"/>
        <v>0</v>
      </c>
      <c r="S733">
        <f t="shared" si="69"/>
        <v>0</v>
      </c>
      <c r="T733">
        <f t="shared" si="70"/>
        <v>0</v>
      </c>
      <c r="U733">
        <f t="shared" si="71"/>
        <v>0</v>
      </c>
      <c r="V733">
        <f t="shared" si="72"/>
        <v>0</v>
      </c>
      <c r="W733">
        <f t="shared" si="73"/>
        <v>1</v>
      </c>
      <c r="X733">
        <f t="shared" si="74"/>
        <v>1</v>
      </c>
      <c r="Y733">
        <f t="shared" si="75"/>
        <v>0</v>
      </c>
      <c r="Z733">
        <f t="shared" si="76"/>
        <v>0</v>
      </c>
    </row>
    <row r="734" spans="1:26" hidden="1" outlineLevel="1" x14ac:dyDescent="0.3">
      <c r="A734" t="s">
        <v>1958</v>
      </c>
      <c r="B734">
        <v>9</v>
      </c>
      <c r="C734">
        <f>IF(ISNUMBER($P$704),$P$704,0)</f>
        <v>0</v>
      </c>
      <c r="D734">
        <f>IF(ISNUMBER($Q$704),$Q$704,0)</f>
        <v>0</v>
      </c>
      <c r="E734">
        <f>IF(ISNUMBER($R$704),$R$704,0)</f>
        <v>0</v>
      </c>
      <c r="F734">
        <f>IF(ISNUMBER($S$704),$S$704,0)</f>
        <v>0</v>
      </c>
      <c r="G734">
        <f>IF(ISNUMBER($T$704),$T$704,0)</f>
        <v>0</v>
      </c>
      <c r="H734">
        <f>IF(ISNUMBER($U$704),$U$704,0)</f>
        <v>0</v>
      </c>
      <c r="I734">
        <f>IF(AND(ISNUMBER($P$704),ISNUMBER($R$704),ISNUMBER($T$704),$R$704&gt;$P$704,$T$704&gt;$R$704),1,0)</f>
        <v>0</v>
      </c>
      <c r="J734">
        <f>IF($I734=1,IF(ISNUMBER($AI$704),$AI$704,10000),0)</f>
        <v>0</v>
      </c>
      <c r="K734">
        <f t="shared" si="61"/>
        <v>0</v>
      </c>
      <c r="L734">
        <f t="shared" si="62"/>
        <v>0</v>
      </c>
      <c r="M734">
        <f t="shared" si="63"/>
        <v>0</v>
      </c>
      <c r="N734">
        <f t="shared" si="64"/>
        <v>0</v>
      </c>
      <c r="O734">
        <f t="shared" si="65"/>
        <v>0</v>
      </c>
      <c r="P734">
        <f t="shared" si="66"/>
        <v>0</v>
      </c>
      <c r="Q734">
        <f t="shared" si="67"/>
        <v>0</v>
      </c>
      <c r="R734">
        <f t="shared" si="68"/>
        <v>0</v>
      </c>
      <c r="S734">
        <f t="shared" si="69"/>
        <v>0</v>
      </c>
      <c r="T734">
        <f t="shared" si="70"/>
        <v>0</v>
      </c>
      <c r="U734">
        <f t="shared" si="71"/>
        <v>0</v>
      </c>
      <c r="V734">
        <f t="shared" si="72"/>
        <v>0</v>
      </c>
      <c r="W734">
        <f t="shared" si="73"/>
        <v>1</v>
      </c>
      <c r="X734">
        <f t="shared" si="74"/>
        <v>1</v>
      </c>
      <c r="Y734">
        <f t="shared" si="75"/>
        <v>0</v>
      </c>
      <c r="Z734">
        <f t="shared" si="76"/>
        <v>0</v>
      </c>
    </row>
    <row r="735" spans="1:26" hidden="1" outlineLevel="1" x14ac:dyDescent="0.3">
      <c r="A735" t="s">
        <v>1959</v>
      </c>
      <c r="B735">
        <v>10</v>
      </c>
      <c r="C735">
        <f>IF(ISNUMBER($R$704),$R$704,0)</f>
        <v>0</v>
      </c>
      <c r="D735">
        <f>IF(ISNUMBER($S$704),$S$704,0)</f>
        <v>0</v>
      </c>
      <c r="E735">
        <f>IF(ISNUMBER($T$704),$T$704,0)</f>
        <v>0</v>
      </c>
      <c r="F735">
        <f>IF(ISNUMBER($U$704),$U$704,0)</f>
        <v>0</v>
      </c>
      <c r="G735">
        <f>IF(ISNUMBER($V$704),$V$704,0)</f>
        <v>0</v>
      </c>
      <c r="H735">
        <f>IF(ISNUMBER($W$704),$W$704,0)</f>
        <v>0</v>
      </c>
      <c r="I735">
        <f>IF(AND(ISNUMBER($R$704),ISNUMBER($T$704),ISNUMBER($V$704),$T$704&gt;$R$704,$V$704&gt;$T$704),1,0)</f>
        <v>0</v>
      </c>
      <c r="J735">
        <f>IF($I735=1,IF(ISNUMBER($AJ$704),$AJ$704,10000),0)</f>
        <v>0</v>
      </c>
      <c r="K735">
        <f t="shared" si="61"/>
        <v>0</v>
      </c>
      <c r="L735">
        <f t="shared" si="62"/>
        <v>0</v>
      </c>
      <c r="M735">
        <f t="shared" si="63"/>
        <v>0</v>
      </c>
      <c r="N735">
        <f t="shared" si="64"/>
        <v>0</v>
      </c>
      <c r="O735">
        <f t="shared" si="65"/>
        <v>0</v>
      </c>
      <c r="P735">
        <f t="shared" si="66"/>
        <v>0</v>
      </c>
      <c r="Q735">
        <f t="shared" si="67"/>
        <v>0</v>
      </c>
      <c r="R735">
        <f t="shared" si="68"/>
        <v>0</v>
      </c>
      <c r="S735">
        <f t="shared" si="69"/>
        <v>0</v>
      </c>
      <c r="T735">
        <f t="shared" si="70"/>
        <v>0</v>
      </c>
      <c r="U735">
        <f t="shared" si="71"/>
        <v>0</v>
      </c>
      <c r="V735">
        <f t="shared" si="72"/>
        <v>0</v>
      </c>
      <c r="W735">
        <f t="shared" si="73"/>
        <v>1</v>
      </c>
      <c r="X735">
        <f t="shared" si="74"/>
        <v>1</v>
      </c>
      <c r="Y735">
        <f t="shared" si="75"/>
        <v>0</v>
      </c>
      <c r="Z735">
        <f t="shared" si="76"/>
        <v>0</v>
      </c>
    </row>
    <row r="736" spans="1:26" hidden="1" outlineLevel="1" x14ac:dyDescent="0.3">
      <c r="A736" t="s">
        <v>1960</v>
      </c>
      <c r="B736">
        <v>11</v>
      </c>
      <c r="C736">
        <f>IF(ISNUMBER($T$704),$T$704,0)</f>
        <v>0</v>
      </c>
      <c r="D736">
        <f>IF(ISNUMBER($U$704),$U$704,0)</f>
        <v>0</v>
      </c>
      <c r="E736">
        <f>IF(ISNUMBER($V$704),$V$704,0)</f>
        <v>0</v>
      </c>
      <c r="F736">
        <f>IF(ISNUMBER($W$704),$W$704,0)</f>
        <v>0</v>
      </c>
      <c r="G736">
        <f>IF(ISNUMBER($X$704),$X$704,0)</f>
        <v>0</v>
      </c>
      <c r="H736">
        <f>IF(ISNUMBER($Y$704),$Y$704,0)</f>
        <v>0</v>
      </c>
      <c r="I736">
        <f>IF(AND(ISNUMBER($T$704),ISNUMBER($V$704),ISNUMBER($X$704),$V$704&gt;$T$704,$X$704&gt;$V$704),1,0)</f>
        <v>0</v>
      </c>
      <c r="J736">
        <f>IF($I736=1,IF(ISNUMBER($AK$704),$AK$704,10000),0)</f>
        <v>0</v>
      </c>
      <c r="K736">
        <f t="shared" si="61"/>
        <v>0</v>
      </c>
      <c r="L736">
        <f t="shared" si="62"/>
        <v>0</v>
      </c>
      <c r="M736">
        <f t="shared" si="63"/>
        <v>0</v>
      </c>
      <c r="N736">
        <f t="shared" si="64"/>
        <v>0</v>
      </c>
      <c r="O736">
        <f t="shared" si="65"/>
        <v>0</v>
      </c>
      <c r="P736">
        <f t="shared" si="66"/>
        <v>0</v>
      </c>
      <c r="Q736">
        <f t="shared" si="67"/>
        <v>0</v>
      </c>
      <c r="R736">
        <f t="shared" si="68"/>
        <v>0</v>
      </c>
      <c r="S736">
        <f t="shared" si="69"/>
        <v>0</v>
      </c>
      <c r="T736">
        <f t="shared" si="70"/>
        <v>0</v>
      </c>
      <c r="U736">
        <f t="shared" si="71"/>
        <v>0</v>
      </c>
      <c r="V736">
        <f t="shared" si="72"/>
        <v>0</v>
      </c>
      <c r="W736">
        <f t="shared" si="73"/>
        <v>1</v>
      </c>
      <c r="X736">
        <f t="shared" si="74"/>
        <v>1</v>
      </c>
      <c r="Y736">
        <f t="shared" si="75"/>
        <v>0</v>
      </c>
      <c r="Z736">
        <f t="shared" si="76"/>
        <v>0</v>
      </c>
    </row>
    <row r="737" spans="1:26" hidden="1" outlineLevel="1" x14ac:dyDescent="0.3">
      <c r="A737" t="s">
        <v>1961</v>
      </c>
      <c r="B737">
        <v>12</v>
      </c>
      <c r="C737">
        <f>IF(ISNUMBER($V$704),$V$704,0)</f>
        <v>0</v>
      </c>
      <c r="D737">
        <f>IF(ISNUMBER($W$704),$W$704,0)</f>
        <v>0</v>
      </c>
      <c r="E737">
        <f>IF(ISNUMBER($X$704),$X$704,0)</f>
        <v>0</v>
      </c>
      <c r="F737">
        <f>IF(ISNUMBER($Y$704),$Y$704,0)</f>
        <v>0</v>
      </c>
      <c r="G737">
        <f>IF(ISNUMBER($Z$704),$Z$704,0)</f>
        <v>0</v>
      </c>
      <c r="H737">
        <f>IF(ISNUMBER($AA$704),$AA$704,0)</f>
        <v>0</v>
      </c>
      <c r="I737">
        <f>IF(AND(ISNUMBER($V$704),ISNUMBER($X$704),ISNUMBER($Z$704),$X$704&gt;$V$704,$Z$704&gt;$X$704),1,0)</f>
        <v>0</v>
      </c>
      <c r="J737">
        <f>IF($I737=1,IF(ISNUMBER($AL$704),$AL$704,10000),0)</f>
        <v>0</v>
      </c>
      <c r="K737">
        <f t="shared" si="61"/>
        <v>0</v>
      </c>
      <c r="L737">
        <f t="shared" si="62"/>
        <v>0</v>
      </c>
      <c r="M737">
        <f t="shared" si="63"/>
        <v>0</v>
      </c>
      <c r="N737">
        <f t="shared" si="64"/>
        <v>0</v>
      </c>
      <c r="O737">
        <f t="shared" si="65"/>
        <v>0</v>
      </c>
      <c r="P737">
        <f t="shared" si="66"/>
        <v>0</v>
      </c>
      <c r="Q737">
        <f t="shared" si="67"/>
        <v>0</v>
      </c>
      <c r="R737">
        <f t="shared" si="68"/>
        <v>0</v>
      </c>
      <c r="S737">
        <f t="shared" si="69"/>
        <v>0</v>
      </c>
      <c r="T737">
        <f t="shared" si="70"/>
        <v>0</v>
      </c>
      <c r="U737">
        <f t="shared" si="71"/>
        <v>0</v>
      </c>
      <c r="V737">
        <f t="shared" si="72"/>
        <v>0</v>
      </c>
      <c r="W737">
        <f t="shared" si="73"/>
        <v>1</v>
      </c>
      <c r="X737">
        <f t="shared" si="74"/>
        <v>1</v>
      </c>
      <c r="Y737">
        <f t="shared" si="75"/>
        <v>0</v>
      </c>
      <c r="Z737">
        <f t="shared" si="76"/>
        <v>0</v>
      </c>
    </row>
    <row r="738" spans="1:26" hidden="1" outlineLevel="1" x14ac:dyDescent="0.3">
      <c r="A738" t="s">
        <v>1962</v>
      </c>
    </row>
    <row r="739" spans="1:26" hidden="1" outlineLevel="1" x14ac:dyDescent="0.3">
      <c r="A739" t="s">
        <v>1963</v>
      </c>
      <c r="B739">
        <v>2</v>
      </c>
      <c r="C739">
        <f>IF(ISNUMBER($B$705),$B$705,0)</f>
        <v>0</v>
      </c>
      <c r="D739">
        <f>IF(ISNUMBER($C$705),$C$705,0)</f>
        <v>600</v>
      </c>
      <c r="E739">
        <f>IF(ISNUMBER($D$705),$D$705,0)</f>
        <v>23550</v>
      </c>
      <c r="F739">
        <f>IF(ISNUMBER($E$705),$E$705,0)</f>
        <v>600</v>
      </c>
      <c r="G739">
        <f>IF(ISNUMBER($F$705),$F$705,0)</f>
        <v>0</v>
      </c>
      <c r="H739">
        <f>IF(ISNUMBER($G$705),$G$705,0)</f>
        <v>0</v>
      </c>
      <c r="I739">
        <f>IF(AND(ISNUMBER($B$705),ISNUMBER($D$705),ISNUMBER($F$705),$D$705&gt;$B$705,$F$705&gt;$D$705),1,0)</f>
        <v>0</v>
      </c>
      <c r="J739">
        <f>IF($I739=1,IF(ISNUMBER($AB$705),$AB$705,10000),0)</f>
        <v>0</v>
      </c>
      <c r="K739">
        <f t="shared" ref="K739:K749" si="77">IF($I739=1,($F739-$D739)/($E739-$C739),0)</f>
        <v>0</v>
      </c>
      <c r="L739">
        <f t="shared" ref="L739:L749" si="78">IF($I739=1,($H739-$F739)/($G739-$E739),0)</f>
        <v>0</v>
      </c>
      <c r="M739">
        <f t="shared" ref="M739:M749" si="79">ATAN($K739)</f>
        <v>0</v>
      </c>
      <c r="N739">
        <f t="shared" ref="N739:N749" si="80">ATAN($L739)</f>
        <v>0</v>
      </c>
      <c r="O739">
        <f t="shared" ref="O739:O749" si="81">$N739-$M739</f>
        <v>0</v>
      </c>
      <c r="P739">
        <f t="shared" ref="P739:P749" si="82">IF($I739=1,$J739*TAN(ABS($O739)/2),0)</f>
        <v>0</v>
      </c>
      <c r="Q739">
        <f t="shared" ref="Q739:Q749" si="83">$E739-$P739*COS($M739)</f>
        <v>23550</v>
      </c>
      <c r="R739">
        <f t="shared" ref="R739:R749" si="84">$E739+$P739*COS($N739)</f>
        <v>23550</v>
      </c>
      <c r="S739">
        <f t="shared" ref="S739:S749" si="85">$F739-$P739*SIN($M739)</f>
        <v>600</v>
      </c>
      <c r="T739">
        <f t="shared" ref="T739:T749" si="86">SIGN($L739-$K739)</f>
        <v>0</v>
      </c>
      <c r="U739">
        <f t="shared" ref="U739:U749" si="87">$Q739-$T739*$J739*SIN($M739)</f>
        <v>23550</v>
      </c>
      <c r="V739">
        <f t="shared" ref="V739:V749" si="88">$S739+$T739*$J739*COS($M739)</f>
        <v>600</v>
      </c>
      <c r="W739">
        <f t="shared" ref="W739:W749" si="89">IF($I739=0,1,IF(AND($P739*COS($M739)&lt;=($E739-$C739)+0.001,$P739*COS($N739)&lt;=($G739-$E739)+0.001),1,0))</f>
        <v>1</v>
      </c>
      <c r="X739">
        <f t="shared" ref="X739:X749" si="90">IF(OR($I739=0,$I740=0),1,IF($R739&lt;=$Q740+0.001,1,0))</f>
        <v>1</v>
      </c>
      <c r="Y739">
        <f t="shared" ref="Y739:Y749" si="91">IF($Z739=1,$T739*($D$13-$U739)/SQRT(MAX(0.000000001,$J739^2-($D$13-$U739)^2)),0)</f>
        <v>0</v>
      </c>
      <c r="Z739">
        <f t="shared" ref="Z739:Z749" si="92">IF(AND($I739=1,$W739=1,$D$13&gt;=$Q739,$D$13&lt;=$R739),1,0)</f>
        <v>0</v>
      </c>
    </row>
    <row r="740" spans="1:26" hidden="1" outlineLevel="1" x14ac:dyDescent="0.3">
      <c r="A740" t="s">
        <v>1964</v>
      </c>
      <c r="B740">
        <v>3</v>
      </c>
      <c r="C740">
        <f>IF(ISNUMBER($D$705),$D$705,0)</f>
        <v>23550</v>
      </c>
      <c r="D740">
        <f>IF(ISNUMBER($E$705),$E$705,0)</f>
        <v>600</v>
      </c>
      <c r="E740">
        <f>IF(ISNUMBER($F$705),$F$705,0)</f>
        <v>0</v>
      </c>
      <c r="F740">
        <f>IF(ISNUMBER($G$705),$G$705,0)</f>
        <v>0</v>
      </c>
      <c r="G740">
        <f>IF(ISNUMBER($H$705),$H$705,0)</f>
        <v>0</v>
      </c>
      <c r="H740">
        <f>IF(ISNUMBER($I$705),$I$705,0)</f>
        <v>0</v>
      </c>
      <c r="I740">
        <f>IF(AND(ISNUMBER($D$705),ISNUMBER($F$705),ISNUMBER($H$705),$F$705&gt;$D$705,$H$705&gt;$F$705),1,0)</f>
        <v>0</v>
      </c>
      <c r="J740">
        <f>IF($I740=1,IF(ISNUMBER($AC$705),$AC$705,10000),0)</f>
        <v>0</v>
      </c>
      <c r="K740">
        <f t="shared" si="77"/>
        <v>0</v>
      </c>
      <c r="L740">
        <f t="shared" si="78"/>
        <v>0</v>
      </c>
      <c r="M740">
        <f t="shared" si="79"/>
        <v>0</v>
      </c>
      <c r="N740">
        <f t="shared" si="80"/>
        <v>0</v>
      </c>
      <c r="O740">
        <f t="shared" si="81"/>
        <v>0</v>
      </c>
      <c r="P740">
        <f t="shared" si="82"/>
        <v>0</v>
      </c>
      <c r="Q740">
        <f t="shared" si="83"/>
        <v>0</v>
      </c>
      <c r="R740">
        <f t="shared" si="84"/>
        <v>0</v>
      </c>
      <c r="S740">
        <f t="shared" si="85"/>
        <v>0</v>
      </c>
      <c r="T740">
        <f t="shared" si="86"/>
        <v>0</v>
      </c>
      <c r="U740">
        <f t="shared" si="87"/>
        <v>0</v>
      </c>
      <c r="V740">
        <f t="shared" si="88"/>
        <v>0</v>
      </c>
      <c r="W740">
        <f t="shared" si="89"/>
        <v>1</v>
      </c>
      <c r="X740">
        <f t="shared" si="90"/>
        <v>1</v>
      </c>
      <c r="Y740">
        <f t="shared" si="91"/>
        <v>0</v>
      </c>
      <c r="Z740">
        <f t="shared" si="92"/>
        <v>0</v>
      </c>
    </row>
    <row r="741" spans="1:26" hidden="1" outlineLevel="1" x14ac:dyDescent="0.3">
      <c r="A741" t="s">
        <v>1965</v>
      </c>
      <c r="B741">
        <v>4</v>
      </c>
      <c r="C741">
        <f>IF(ISNUMBER($F$705),$F$705,0)</f>
        <v>0</v>
      </c>
      <c r="D741">
        <f>IF(ISNUMBER($G$705),$G$705,0)</f>
        <v>0</v>
      </c>
      <c r="E741">
        <f>IF(ISNUMBER($H$705),$H$705,0)</f>
        <v>0</v>
      </c>
      <c r="F741">
        <f>IF(ISNUMBER($I$705),$I$705,0)</f>
        <v>0</v>
      </c>
      <c r="G741">
        <f>IF(ISNUMBER($J$705),$J$705,0)</f>
        <v>0</v>
      </c>
      <c r="H741">
        <f>IF(ISNUMBER($K$705),$K$705,0)</f>
        <v>0</v>
      </c>
      <c r="I741">
        <f>IF(AND(ISNUMBER($F$705),ISNUMBER($H$705),ISNUMBER($J$705),$H$705&gt;$F$705,$J$705&gt;$H$705),1,0)</f>
        <v>0</v>
      </c>
      <c r="J741">
        <f>IF($I741=1,IF(ISNUMBER($AD$705),$AD$705,10000),0)</f>
        <v>0</v>
      </c>
      <c r="K741">
        <f t="shared" si="77"/>
        <v>0</v>
      </c>
      <c r="L741">
        <f t="shared" si="78"/>
        <v>0</v>
      </c>
      <c r="M741">
        <f t="shared" si="79"/>
        <v>0</v>
      </c>
      <c r="N741">
        <f t="shared" si="80"/>
        <v>0</v>
      </c>
      <c r="O741">
        <f t="shared" si="81"/>
        <v>0</v>
      </c>
      <c r="P741">
        <f t="shared" si="82"/>
        <v>0</v>
      </c>
      <c r="Q741">
        <f t="shared" si="83"/>
        <v>0</v>
      </c>
      <c r="R741">
        <f t="shared" si="84"/>
        <v>0</v>
      </c>
      <c r="S741">
        <f t="shared" si="85"/>
        <v>0</v>
      </c>
      <c r="T741">
        <f t="shared" si="86"/>
        <v>0</v>
      </c>
      <c r="U741">
        <f t="shared" si="87"/>
        <v>0</v>
      </c>
      <c r="V741">
        <f t="shared" si="88"/>
        <v>0</v>
      </c>
      <c r="W741">
        <f t="shared" si="89"/>
        <v>1</v>
      </c>
      <c r="X741">
        <f t="shared" si="90"/>
        <v>1</v>
      </c>
      <c r="Y741">
        <f t="shared" si="91"/>
        <v>0</v>
      </c>
      <c r="Z741">
        <f t="shared" si="92"/>
        <v>0</v>
      </c>
    </row>
    <row r="742" spans="1:26" hidden="1" outlineLevel="1" x14ac:dyDescent="0.3">
      <c r="A742" t="s">
        <v>1966</v>
      </c>
      <c r="B742">
        <v>5</v>
      </c>
      <c r="C742">
        <f>IF(ISNUMBER($H$705),$H$705,0)</f>
        <v>0</v>
      </c>
      <c r="D742">
        <f>IF(ISNUMBER($I$705),$I$705,0)</f>
        <v>0</v>
      </c>
      <c r="E742">
        <f>IF(ISNUMBER($J$705),$J$705,0)</f>
        <v>0</v>
      </c>
      <c r="F742">
        <f>IF(ISNUMBER($K$705),$K$705,0)</f>
        <v>0</v>
      </c>
      <c r="G742">
        <f>IF(ISNUMBER($L$705),$L$705,0)</f>
        <v>0</v>
      </c>
      <c r="H742">
        <f>IF(ISNUMBER($M$705),$M$705,0)</f>
        <v>0</v>
      </c>
      <c r="I742">
        <f>IF(AND(ISNUMBER($H$705),ISNUMBER($J$705),ISNUMBER($L$705),$J$705&gt;$H$705,$L$705&gt;$J$705),1,0)</f>
        <v>0</v>
      </c>
      <c r="J742">
        <f>IF($I742=1,IF(ISNUMBER($AE$705),$AE$705,10000),0)</f>
        <v>0</v>
      </c>
      <c r="K742">
        <f t="shared" si="77"/>
        <v>0</v>
      </c>
      <c r="L742">
        <f t="shared" si="78"/>
        <v>0</v>
      </c>
      <c r="M742">
        <f t="shared" si="79"/>
        <v>0</v>
      </c>
      <c r="N742">
        <f t="shared" si="80"/>
        <v>0</v>
      </c>
      <c r="O742">
        <f t="shared" si="81"/>
        <v>0</v>
      </c>
      <c r="P742">
        <f t="shared" si="82"/>
        <v>0</v>
      </c>
      <c r="Q742">
        <f t="shared" si="83"/>
        <v>0</v>
      </c>
      <c r="R742">
        <f t="shared" si="84"/>
        <v>0</v>
      </c>
      <c r="S742">
        <f t="shared" si="85"/>
        <v>0</v>
      </c>
      <c r="T742">
        <f t="shared" si="86"/>
        <v>0</v>
      </c>
      <c r="U742">
        <f t="shared" si="87"/>
        <v>0</v>
      </c>
      <c r="V742">
        <f t="shared" si="88"/>
        <v>0</v>
      </c>
      <c r="W742">
        <f t="shared" si="89"/>
        <v>1</v>
      </c>
      <c r="X742">
        <f t="shared" si="90"/>
        <v>1</v>
      </c>
      <c r="Y742">
        <f t="shared" si="91"/>
        <v>0</v>
      </c>
      <c r="Z742">
        <f t="shared" si="92"/>
        <v>0</v>
      </c>
    </row>
    <row r="743" spans="1:26" hidden="1" outlineLevel="1" x14ac:dyDescent="0.3">
      <c r="A743" t="s">
        <v>1967</v>
      </c>
      <c r="B743">
        <v>6</v>
      </c>
      <c r="C743">
        <f>IF(ISNUMBER($J$705),$J$705,0)</f>
        <v>0</v>
      </c>
      <c r="D743">
        <f>IF(ISNUMBER($K$705),$K$705,0)</f>
        <v>0</v>
      </c>
      <c r="E743">
        <f>IF(ISNUMBER($L$705),$L$705,0)</f>
        <v>0</v>
      </c>
      <c r="F743">
        <f>IF(ISNUMBER($M$705),$M$705,0)</f>
        <v>0</v>
      </c>
      <c r="G743">
        <f>IF(ISNUMBER($N$705),$N$705,0)</f>
        <v>0</v>
      </c>
      <c r="H743">
        <f>IF(ISNUMBER($O$705),$O$705,0)</f>
        <v>0</v>
      </c>
      <c r="I743">
        <f>IF(AND(ISNUMBER($J$705),ISNUMBER($L$705),ISNUMBER($N$705),$L$705&gt;$J$705,$N$705&gt;$L$705),1,0)</f>
        <v>0</v>
      </c>
      <c r="J743">
        <f>IF($I743=1,IF(ISNUMBER($AF$705),$AF$705,10000),0)</f>
        <v>0</v>
      </c>
      <c r="K743">
        <f t="shared" si="77"/>
        <v>0</v>
      </c>
      <c r="L743">
        <f t="shared" si="78"/>
        <v>0</v>
      </c>
      <c r="M743">
        <f t="shared" si="79"/>
        <v>0</v>
      </c>
      <c r="N743">
        <f t="shared" si="80"/>
        <v>0</v>
      </c>
      <c r="O743">
        <f t="shared" si="81"/>
        <v>0</v>
      </c>
      <c r="P743">
        <f t="shared" si="82"/>
        <v>0</v>
      </c>
      <c r="Q743">
        <f t="shared" si="83"/>
        <v>0</v>
      </c>
      <c r="R743">
        <f t="shared" si="84"/>
        <v>0</v>
      </c>
      <c r="S743">
        <f t="shared" si="85"/>
        <v>0</v>
      </c>
      <c r="T743">
        <f t="shared" si="86"/>
        <v>0</v>
      </c>
      <c r="U743">
        <f t="shared" si="87"/>
        <v>0</v>
      </c>
      <c r="V743">
        <f t="shared" si="88"/>
        <v>0</v>
      </c>
      <c r="W743">
        <f t="shared" si="89"/>
        <v>1</v>
      </c>
      <c r="X743">
        <f t="shared" si="90"/>
        <v>1</v>
      </c>
      <c r="Y743">
        <f t="shared" si="91"/>
        <v>0</v>
      </c>
      <c r="Z743">
        <f t="shared" si="92"/>
        <v>0</v>
      </c>
    </row>
    <row r="744" spans="1:26" hidden="1" outlineLevel="1" x14ac:dyDescent="0.3">
      <c r="A744" t="s">
        <v>1968</v>
      </c>
      <c r="B744">
        <v>7</v>
      </c>
      <c r="C744">
        <f>IF(ISNUMBER($L$705),$L$705,0)</f>
        <v>0</v>
      </c>
      <c r="D744">
        <f>IF(ISNUMBER($M$705),$M$705,0)</f>
        <v>0</v>
      </c>
      <c r="E744">
        <f>IF(ISNUMBER($N$705),$N$705,0)</f>
        <v>0</v>
      </c>
      <c r="F744">
        <f>IF(ISNUMBER($O$705),$O$705,0)</f>
        <v>0</v>
      </c>
      <c r="G744">
        <f>IF(ISNUMBER($P$705),$P$705,0)</f>
        <v>0</v>
      </c>
      <c r="H744">
        <f>IF(ISNUMBER($Q$705),$Q$705,0)</f>
        <v>0</v>
      </c>
      <c r="I744">
        <f>IF(AND(ISNUMBER($L$705),ISNUMBER($N$705),ISNUMBER($P$705),$N$705&gt;$L$705,$P$705&gt;$N$705),1,0)</f>
        <v>0</v>
      </c>
      <c r="J744">
        <f>IF($I744=1,IF(ISNUMBER($AG$705),$AG$705,10000),0)</f>
        <v>0</v>
      </c>
      <c r="K744">
        <f t="shared" si="77"/>
        <v>0</v>
      </c>
      <c r="L744">
        <f t="shared" si="78"/>
        <v>0</v>
      </c>
      <c r="M744">
        <f t="shared" si="79"/>
        <v>0</v>
      </c>
      <c r="N744">
        <f t="shared" si="80"/>
        <v>0</v>
      </c>
      <c r="O744">
        <f t="shared" si="81"/>
        <v>0</v>
      </c>
      <c r="P744">
        <f t="shared" si="82"/>
        <v>0</v>
      </c>
      <c r="Q744">
        <f t="shared" si="83"/>
        <v>0</v>
      </c>
      <c r="R744">
        <f t="shared" si="84"/>
        <v>0</v>
      </c>
      <c r="S744">
        <f t="shared" si="85"/>
        <v>0</v>
      </c>
      <c r="T744">
        <f t="shared" si="86"/>
        <v>0</v>
      </c>
      <c r="U744">
        <f t="shared" si="87"/>
        <v>0</v>
      </c>
      <c r="V744">
        <f t="shared" si="88"/>
        <v>0</v>
      </c>
      <c r="W744">
        <f t="shared" si="89"/>
        <v>1</v>
      </c>
      <c r="X744">
        <f t="shared" si="90"/>
        <v>1</v>
      </c>
      <c r="Y744">
        <f t="shared" si="91"/>
        <v>0</v>
      </c>
      <c r="Z744">
        <f t="shared" si="92"/>
        <v>0</v>
      </c>
    </row>
    <row r="745" spans="1:26" hidden="1" outlineLevel="1" x14ac:dyDescent="0.3">
      <c r="A745" t="s">
        <v>1969</v>
      </c>
      <c r="B745">
        <v>8</v>
      </c>
      <c r="C745">
        <f>IF(ISNUMBER($N$705),$N$705,0)</f>
        <v>0</v>
      </c>
      <c r="D745">
        <f>IF(ISNUMBER($O$705),$O$705,0)</f>
        <v>0</v>
      </c>
      <c r="E745">
        <f>IF(ISNUMBER($P$705),$P$705,0)</f>
        <v>0</v>
      </c>
      <c r="F745">
        <f>IF(ISNUMBER($Q$705),$Q$705,0)</f>
        <v>0</v>
      </c>
      <c r="G745">
        <f>IF(ISNUMBER($R$705),$R$705,0)</f>
        <v>0</v>
      </c>
      <c r="H745">
        <f>IF(ISNUMBER($S$705),$S$705,0)</f>
        <v>0</v>
      </c>
      <c r="I745">
        <f>IF(AND(ISNUMBER($N$705),ISNUMBER($P$705),ISNUMBER($R$705),$P$705&gt;$N$705,$R$705&gt;$P$705),1,0)</f>
        <v>0</v>
      </c>
      <c r="J745">
        <f>IF($I745=1,IF(ISNUMBER($AH$705),$AH$705,10000),0)</f>
        <v>0</v>
      </c>
      <c r="K745">
        <f t="shared" si="77"/>
        <v>0</v>
      </c>
      <c r="L745">
        <f t="shared" si="78"/>
        <v>0</v>
      </c>
      <c r="M745">
        <f t="shared" si="79"/>
        <v>0</v>
      </c>
      <c r="N745">
        <f t="shared" si="80"/>
        <v>0</v>
      </c>
      <c r="O745">
        <f t="shared" si="81"/>
        <v>0</v>
      </c>
      <c r="P745">
        <f t="shared" si="82"/>
        <v>0</v>
      </c>
      <c r="Q745">
        <f t="shared" si="83"/>
        <v>0</v>
      </c>
      <c r="R745">
        <f t="shared" si="84"/>
        <v>0</v>
      </c>
      <c r="S745">
        <f t="shared" si="85"/>
        <v>0</v>
      </c>
      <c r="T745">
        <f t="shared" si="86"/>
        <v>0</v>
      </c>
      <c r="U745">
        <f t="shared" si="87"/>
        <v>0</v>
      </c>
      <c r="V745">
        <f t="shared" si="88"/>
        <v>0</v>
      </c>
      <c r="W745">
        <f t="shared" si="89"/>
        <v>1</v>
      </c>
      <c r="X745">
        <f t="shared" si="90"/>
        <v>1</v>
      </c>
      <c r="Y745">
        <f t="shared" si="91"/>
        <v>0</v>
      </c>
      <c r="Z745">
        <f t="shared" si="92"/>
        <v>0</v>
      </c>
    </row>
    <row r="746" spans="1:26" hidden="1" outlineLevel="1" x14ac:dyDescent="0.3">
      <c r="A746" t="s">
        <v>1970</v>
      </c>
      <c r="B746">
        <v>9</v>
      </c>
      <c r="C746">
        <f>IF(ISNUMBER($P$705),$P$705,0)</f>
        <v>0</v>
      </c>
      <c r="D746">
        <f>IF(ISNUMBER($Q$705),$Q$705,0)</f>
        <v>0</v>
      </c>
      <c r="E746">
        <f>IF(ISNUMBER($R$705),$R$705,0)</f>
        <v>0</v>
      </c>
      <c r="F746">
        <f>IF(ISNUMBER($S$705),$S$705,0)</f>
        <v>0</v>
      </c>
      <c r="G746">
        <f>IF(ISNUMBER($T$705),$T$705,0)</f>
        <v>0</v>
      </c>
      <c r="H746">
        <f>IF(ISNUMBER($U$705),$U$705,0)</f>
        <v>0</v>
      </c>
      <c r="I746">
        <f>IF(AND(ISNUMBER($P$705),ISNUMBER($R$705),ISNUMBER($T$705),$R$705&gt;$P$705,$T$705&gt;$R$705),1,0)</f>
        <v>0</v>
      </c>
      <c r="J746">
        <f>IF($I746=1,IF(ISNUMBER($AI$705),$AI$705,10000),0)</f>
        <v>0</v>
      </c>
      <c r="K746">
        <f t="shared" si="77"/>
        <v>0</v>
      </c>
      <c r="L746">
        <f t="shared" si="78"/>
        <v>0</v>
      </c>
      <c r="M746">
        <f t="shared" si="79"/>
        <v>0</v>
      </c>
      <c r="N746">
        <f t="shared" si="80"/>
        <v>0</v>
      </c>
      <c r="O746">
        <f t="shared" si="81"/>
        <v>0</v>
      </c>
      <c r="P746">
        <f t="shared" si="82"/>
        <v>0</v>
      </c>
      <c r="Q746">
        <f t="shared" si="83"/>
        <v>0</v>
      </c>
      <c r="R746">
        <f t="shared" si="84"/>
        <v>0</v>
      </c>
      <c r="S746">
        <f t="shared" si="85"/>
        <v>0</v>
      </c>
      <c r="T746">
        <f t="shared" si="86"/>
        <v>0</v>
      </c>
      <c r="U746">
        <f t="shared" si="87"/>
        <v>0</v>
      </c>
      <c r="V746">
        <f t="shared" si="88"/>
        <v>0</v>
      </c>
      <c r="W746">
        <f t="shared" si="89"/>
        <v>1</v>
      </c>
      <c r="X746">
        <f t="shared" si="90"/>
        <v>1</v>
      </c>
      <c r="Y746">
        <f t="shared" si="91"/>
        <v>0</v>
      </c>
      <c r="Z746">
        <f t="shared" si="92"/>
        <v>0</v>
      </c>
    </row>
    <row r="747" spans="1:26" hidden="1" outlineLevel="1" x14ac:dyDescent="0.3">
      <c r="A747" t="s">
        <v>1971</v>
      </c>
      <c r="B747">
        <v>10</v>
      </c>
      <c r="C747">
        <f>IF(ISNUMBER($R$705),$R$705,0)</f>
        <v>0</v>
      </c>
      <c r="D747">
        <f>IF(ISNUMBER($S$705),$S$705,0)</f>
        <v>0</v>
      </c>
      <c r="E747">
        <f>IF(ISNUMBER($T$705),$T$705,0)</f>
        <v>0</v>
      </c>
      <c r="F747">
        <f>IF(ISNUMBER($U$705),$U$705,0)</f>
        <v>0</v>
      </c>
      <c r="G747">
        <f>IF(ISNUMBER($V$705),$V$705,0)</f>
        <v>0</v>
      </c>
      <c r="H747">
        <f>IF(ISNUMBER($W$705),$W$705,0)</f>
        <v>0</v>
      </c>
      <c r="I747">
        <f>IF(AND(ISNUMBER($R$705),ISNUMBER($T$705),ISNUMBER($V$705),$T$705&gt;$R$705,$V$705&gt;$T$705),1,0)</f>
        <v>0</v>
      </c>
      <c r="J747">
        <f>IF($I747=1,IF(ISNUMBER($AJ$705),$AJ$705,10000),0)</f>
        <v>0</v>
      </c>
      <c r="K747">
        <f t="shared" si="77"/>
        <v>0</v>
      </c>
      <c r="L747">
        <f t="shared" si="78"/>
        <v>0</v>
      </c>
      <c r="M747">
        <f t="shared" si="79"/>
        <v>0</v>
      </c>
      <c r="N747">
        <f t="shared" si="80"/>
        <v>0</v>
      </c>
      <c r="O747">
        <f t="shared" si="81"/>
        <v>0</v>
      </c>
      <c r="P747">
        <f t="shared" si="82"/>
        <v>0</v>
      </c>
      <c r="Q747">
        <f t="shared" si="83"/>
        <v>0</v>
      </c>
      <c r="R747">
        <f t="shared" si="84"/>
        <v>0</v>
      </c>
      <c r="S747">
        <f t="shared" si="85"/>
        <v>0</v>
      </c>
      <c r="T747">
        <f t="shared" si="86"/>
        <v>0</v>
      </c>
      <c r="U747">
        <f t="shared" si="87"/>
        <v>0</v>
      </c>
      <c r="V747">
        <f t="shared" si="88"/>
        <v>0</v>
      </c>
      <c r="W747">
        <f t="shared" si="89"/>
        <v>1</v>
      </c>
      <c r="X747">
        <f t="shared" si="90"/>
        <v>1</v>
      </c>
      <c r="Y747">
        <f t="shared" si="91"/>
        <v>0</v>
      </c>
      <c r="Z747">
        <f t="shared" si="92"/>
        <v>0</v>
      </c>
    </row>
    <row r="748" spans="1:26" hidden="1" outlineLevel="1" x14ac:dyDescent="0.3">
      <c r="A748" t="s">
        <v>1972</v>
      </c>
      <c r="B748">
        <v>11</v>
      </c>
      <c r="C748">
        <f>IF(ISNUMBER($T$705),$T$705,0)</f>
        <v>0</v>
      </c>
      <c r="D748">
        <f>IF(ISNUMBER($U$705),$U$705,0)</f>
        <v>0</v>
      </c>
      <c r="E748">
        <f>IF(ISNUMBER($V$705),$V$705,0)</f>
        <v>0</v>
      </c>
      <c r="F748">
        <f>IF(ISNUMBER($W$705),$W$705,0)</f>
        <v>0</v>
      </c>
      <c r="G748">
        <f>IF(ISNUMBER($X$705),$X$705,0)</f>
        <v>0</v>
      </c>
      <c r="H748">
        <f>IF(ISNUMBER($Y$705),$Y$705,0)</f>
        <v>0</v>
      </c>
      <c r="I748">
        <f>IF(AND(ISNUMBER($T$705),ISNUMBER($V$705),ISNUMBER($X$705),$V$705&gt;$T$705,$X$705&gt;$V$705),1,0)</f>
        <v>0</v>
      </c>
      <c r="J748">
        <f>IF($I748=1,IF(ISNUMBER($AK$705),$AK$705,10000),0)</f>
        <v>0</v>
      </c>
      <c r="K748">
        <f t="shared" si="77"/>
        <v>0</v>
      </c>
      <c r="L748">
        <f t="shared" si="78"/>
        <v>0</v>
      </c>
      <c r="M748">
        <f t="shared" si="79"/>
        <v>0</v>
      </c>
      <c r="N748">
        <f t="shared" si="80"/>
        <v>0</v>
      </c>
      <c r="O748">
        <f t="shared" si="81"/>
        <v>0</v>
      </c>
      <c r="P748">
        <f t="shared" si="82"/>
        <v>0</v>
      </c>
      <c r="Q748">
        <f t="shared" si="83"/>
        <v>0</v>
      </c>
      <c r="R748">
        <f t="shared" si="84"/>
        <v>0</v>
      </c>
      <c r="S748">
        <f t="shared" si="85"/>
        <v>0</v>
      </c>
      <c r="T748">
        <f t="shared" si="86"/>
        <v>0</v>
      </c>
      <c r="U748">
        <f t="shared" si="87"/>
        <v>0</v>
      </c>
      <c r="V748">
        <f t="shared" si="88"/>
        <v>0</v>
      </c>
      <c r="W748">
        <f t="shared" si="89"/>
        <v>1</v>
      </c>
      <c r="X748">
        <f t="shared" si="90"/>
        <v>1</v>
      </c>
      <c r="Y748">
        <f t="shared" si="91"/>
        <v>0</v>
      </c>
      <c r="Z748">
        <f t="shared" si="92"/>
        <v>0</v>
      </c>
    </row>
    <row r="749" spans="1:26" hidden="1" outlineLevel="1" x14ac:dyDescent="0.3">
      <c r="A749" t="s">
        <v>1973</v>
      </c>
      <c r="B749">
        <v>12</v>
      </c>
      <c r="C749">
        <f>IF(ISNUMBER($V$705),$V$705,0)</f>
        <v>0</v>
      </c>
      <c r="D749">
        <f>IF(ISNUMBER($W$705),$W$705,0)</f>
        <v>0</v>
      </c>
      <c r="E749">
        <f>IF(ISNUMBER($X$705),$X$705,0)</f>
        <v>0</v>
      </c>
      <c r="F749">
        <f>IF(ISNUMBER($Y$705),$Y$705,0)</f>
        <v>0</v>
      </c>
      <c r="G749">
        <f>IF(ISNUMBER($Z$705),$Z$705,0)</f>
        <v>0</v>
      </c>
      <c r="H749">
        <f>IF(ISNUMBER($AA$705),$AA$705,0)</f>
        <v>0</v>
      </c>
      <c r="I749">
        <f>IF(AND(ISNUMBER($V$705),ISNUMBER($X$705),ISNUMBER($Z$705),$X$705&gt;$V$705,$Z$705&gt;$X$705),1,0)</f>
        <v>0</v>
      </c>
      <c r="J749">
        <f>IF($I749=1,IF(ISNUMBER($AL$705),$AL$705,10000),0)</f>
        <v>0</v>
      </c>
      <c r="K749">
        <f t="shared" si="77"/>
        <v>0</v>
      </c>
      <c r="L749">
        <f t="shared" si="78"/>
        <v>0</v>
      </c>
      <c r="M749">
        <f t="shared" si="79"/>
        <v>0</v>
      </c>
      <c r="N749">
        <f t="shared" si="80"/>
        <v>0</v>
      </c>
      <c r="O749">
        <f t="shared" si="81"/>
        <v>0</v>
      </c>
      <c r="P749">
        <f t="shared" si="82"/>
        <v>0</v>
      </c>
      <c r="Q749">
        <f t="shared" si="83"/>
        <v>0</v>
      </c>
      <c r="R749">
        <f t="shared" si="84"/>
        <v>0</v>
      </c>
      <c r="S749">
        <f t="shared" si="85"/>
        <v>0</v>
      </c>
      <c r="T749">
        <f t="shared" si="86"/>
        <v>0</v>
      </c>
      <c r="U749">
        <f t="shared" si="87"/>
        <v>0</v>
      </c>
      <c r="V749">
        <f t="shared" si="88"/>
        <v>0</v>
      </c>
      <c r="W749">
        <f t="shared" si="89"/>
        <v>1</v>
      </c>
      <c r="X749">
        <f t="shared" si="90"/>
        <v>1</v>
      </c>
      <c r="Y749">
        <f t="shared" si="91"/>
        <v>0</v>
      </c>
      <c r="Z749">
        <f t="shared" si="92"/>
        <v>0</v>
      </c>
    </row>
    <row r="750" spans="1:26" hidden="1" outlineLevel="1" x14ac:dyDescent="0.3">
      <c r="A750" t="s">
        <v>1974</v>
      </c>
    </row>
    <row r="751" spans="1:26" hidden="1" outlineLevel="1" x14ac:dyDescent="0.3">
      <c r="A751" t="s">
        <v>1975</v>
      </c>
      <c r="B751">
        <v>2</v>
      </c>
      <c r="C751">
        <f>IF(ISNUMBER($B$706),$B$706,0)</f>
        <v>0</v>
      </c>
      <c r="D751">
        <f>IF(ISNUMBER($C$706),$C$706,0)</f>
        <v>600</v>
      </c>
      <c r="E751">
        <f>IF(ISNUMBER($D$706),$D$706,0)</f>
        <v>23550</v>
      </c>
      <c r="F751">
        <f>IF(ISNUMBER($E$706),$E$706,0)</f>
        <v>600</v>
      </c>
      <c r="G751">
        <f>IF(ISNUMBER($F$706),$F$706,0)</f>
        <v>0</v>
      </c>
      <c r="H751">
        <f>IF(ISNUMBER($G$706),$G$706,0)</f>
        <v>0</v>
      </c>
      <c r="I751">
        <f>IF(AND(ISNUMBER($B$706),ISNUMBER($D$706),ISNUMBER($F$706),$D$706&gt;$B$706,$F$706&gt;$D$706),1,0)</f>
        <v>0</v>
      </c>
      <c r="J751">
        <f>IF($I751=1,IF(ISNUMBER($AB$706),$AB$706,10000),0)</f>
        <v>0</v>
      </c>
      <c r="K751">
        <f t="shared" ref="K751:K761" si="93">IF($I751=1,($F751-$D751)/($E751-$C751),0)</f>
        <v>0</v>
      </c>
      <c r="L751">
        <f t="shared" ref="L751:L761" si="94">IF($I751=1,($H751-$F751)/($G751-$E751),0)</f>
        <v>0</v>
      </c>
      <c r="M751">
        <f t="shared" ref="M751:M761" si="95">ATAN($K751)</f>
        <v>0</v>
      </c>
      <c r="N751">
        <f t="shared" ref="N751:N761" si="96">ATAN($L751)</f>
        <v>0</v>
      </c>
      <c r="O751">
        <f t="shared" ref="O751:O761" si="97">$N751-$M751</f>
        <v>0</v>
      </c>
      <c r="P751">
        <f t="shared" ref="P751:P761" si="98">IF($I751=1,$J751*TAN(ABS($O751)/2),0)</f>
        <v>0</v>
      </c>
      <c r="Q751">
        <f t="shared" ref="Q751:Q761" si="99">$E751-$P751*COS($M751)</f>
        <v>23550</v>
      </c>
      <c r="R751">
        <f t="shared" ref="R751:R761" si="100">$E751+$P751*COS($N751)</f>
        <v>23550</v>
      </c>
      <c r="S751">
        <f t="shared" ref="S751:S761" si="101">$F751-$P751*SIN($M751)</f>
        <v>600</v>
      </c>
      <c r="T751">
        <f t="shared" ref="T751:T761" si="102">SIGN($L751-$K751)</f>
        <v>0</v>
      </c>
      <c r="U751">
        <f t="shared" ref="U751:U761" si="103">$Q751-$T751*$J751*SIN($M751)</f>
        <v>23550</v>
      </c>
      <c r="V751">
        <f t="shared" ref="V751:V761" si="104">$S751+$T751*$J751*COS($M751)</f>
        <v>600</v>
      </c>
      <c r="W751">
        <f t="shared" ref="W751:W761" si="105">IF($I751=0,1,IF(AND($P751*COS($M751)&lt;=($E751-$C751)+0.001,$P751*COS($N751)&lt;=($G751-$E751)+0.001),1,0))</f>
        <v>1</v>
      </c>
      <c r="X751">
        <f t="shared" ref="X751:X761" si="106">IF(OR($I751=0,$I752=0),1,IF($R751&lt;=$Q752+0.001,1,0))</f>
        <v>1</v>
      </c>
      <c r="Y751">
        <f t="shared" ref="Y751:Y761" si="107">IF($Z751=1,$T751*($D$13-$U751)/SQRT(MAX(0.000000001,$J751^2-($D$13-$U751)^2)),0)</f>
        <v>0</v>
      </c>
      <c r="Z751">
        <f t="shared" ref="Z751:Z761" si="108">IF(AND($I751=1,$W751=1,$D$13&gt;=$Q751,$D$13&lt;=$R751),1,0)</f>
        <v>0</v>
      </c>
    </row>
    <row r="752" spans="1:26" hidden="1" outlineLevel="1" x14ac:dyDescent="0.3">
      <c r="A752" t="s">
        <v>1976</v>
      </c>
      <c r="B752">
        <v>3</v>
      </c>
      <c r="C752">
        <f>IF(ISNUMBER($D$706),$D$706,0)</f>
        <v>23550</v>
      </c>
      <c r="D752">
        <f>IF(ISNUMBER($E$706),$E$706,0)</f>
        <v>600</v>
      </c>
      <c r="E752">
        <f>IF(ISNUMBER($F$706),$F$706,0)</f>
        <v>0</v>
      </c>
      <c r="F752">
        <f>IF(ISNUMBER($G$706),$G$706,0)</f>
        <v>0</v>
      </c>
      <c r="G752">
        <f>IF(ISNUMBER($H$706),$H$706,0)</f>
        <v>0</v>
      </c>
      <c r="H752">
        <f>IF(ISNUMBER($I$706),$I$706,0)</f>
        <v>0</v>
      </c>
      <c r="I752">
        <f>IF(AND(ISNUMBER($D$706),ISNUMBER($F$706),ISNUMBER($H$706),$F$706&gt;$D$706,$H$706&gt;$F$706),1,0)</f>
        <v>0</v>
      </c>
      <c r="J752">
        <f>IF($I752=1,IF(ISNUMBER($AC$706),$AC$706,10000),0)</f>
        <v>0</v>
      </c>
      <c r="K752">
        <f t="shared" si="93"/>
        <v>0</v>
      </c>
      <c r="L752">
        <f t="shared" si="94"/>
        <v>0</v>
      </c>
      <c r="M752">
        <f t="shared" si="95"/>
        <v>0</v>
      </c>
      <c r="N752">
        <f t="shared" si="96"/>
        <v>0</v>
      </c>
      <c r="O752">
        <f t="shared" si="97"/>
        <v>0</v>
      </c>
      <c r="P752">
        <f t="shared" si="98"/>
        <v>0</v>
      </c>
      <c r="Q752">
        <f t="shared" si="99"/>
        <v>0</v>
      </c>
      <c r="R752">
        <f t="shared" si="100"/>
        <v>0</v>
      </c>
      <c r="S752">
        <f t="shared" si="101"/>
        <v>0</v>
      </c>
      <c r="T752">
        <f t="shared" si="102"/>
        <v>0</v>
      </c>
      <c r="U752">
        <f t="shared" si="103"/>
        <v>0</v>
      </c>
      <c r="V752">
        <f t="shared" si="104"/>
        <v>0</v>
      </c>
      <c r="W752">
        <f t="shared" si="105"/>
        <v>1</v>
      </c>
      <c r="X752">
        <f t="shared" si="106"/>
        <v>1</v>
      </c>
      <c r="Y752">
        <f t="shared" si="107"/>
        <v>0</v>
      </c>
      <c r="Z752">
        <f t="shared" si="108"/>
        <v>0</v>
      </c>
    </row>
    <row r="753" spans="1:26" hidden="1" outlineLevel="1" x14ac:dyDescent="0.3">
      <c r="A753" t="s">
        <v>1977</v>
      </c>
      <c r="B753">
        <v>4</v>
      </c>
      <c r="C753">
        <f>IF(ISNUMBER($F$706),$F$706,0)</f>
        <v>0</v>
      </c>
      <c r="D753">
        <f>IF(ISNUMBER($G$706),$G$706,0)</f>
        <v>0</v>
      </c>
      <c r="E753">
        <f>IF(ISNUMBER($H$706),$H$706,0)</f>
        <v>0</v>
      </c>
      <c r="F753">
        <f>IF(ISNUMBER($I$706),$I$706,0)</f>
        <v>0</v>
      </c>
      <c r="G753">
        <f>IF(ISNUMBER($J$706),$J$706,0)</f>
        <v>0</v>
      </c>
      <c r="H753">
        <f>IF(ISNUMBER($K$706),$K$706,0)</f>
        <v>0</v>
      </c>
      <c r="I753">
        <f>IF(AND(ISNUMBER($F$706),ISNUMBER($H$706),ISNUMBER($J$706),$H$706&gt;$F$706,$J$706&gt;$H$706),1,0)</f>
        <v>0</v>
      </c>
      <c r="J753">
        <f>IF($I753=1,IF(ISNUMBER($AD$706),$AD$706,10000),0)</f>
        <v>0</v>
      </c>
      <c r="K753">
        <f t="shared" si="93"/>
        <v>0</v>
      </c>
      <c r="L753">
        <f t="shared" si="94"/>
        <v>0</v>
      </c>
      <c r="M753">
        <f t="shared" si="95"/>
        <v>0</v>
      </c>
      <c r="N753">
        <f t="shared" si="96"/>
        <v>0</v>
      </c>
      <c r="O753">
        <f t="shared" si="97"/>
        <v>0</v>
      </c>
      <c r="P753">
        <f t="shared" si="98"/>
        <v>0</v>
      </c>
      <c r="Q753">
        <f t="shared" si="99"/>
        <v>0</v>
      </c>
      <c r="R753">
        <f t="shared" si="100"/>
        <v>0</v>
      </c>
      <c r="S753">
        <f t="shared" si="101"/>
        <v>0</v>
      </c>
      <c r="T753">
        <f t="shared" si="102"/>
        <v>0</v>
      </c>
      <c r="U753">
        <f t="shared" si="103"/>
        <v>0</v>
      </c>
      <c r="V753">
        <f t="shared" si="104"/>
        <v>0</v>
      </c>
      <c r="W753">
        <f t="shared" si="105"/>
        <v>1</v>
      </c>
      <c r="X753">
        <f t="shared" si="106"/>
        <v>1</v>
      </c>
      <c r="Y753">
        <f t="shared" si="107"/>
        <v>0</v>
      </c>
      <c r="Z753">
        <f t="shared" si="108"/>
        <v>0</v>
      </c>
    </row>
    <row r="754" spans="1:26" hidden="1" outlineLevel="1" x14ac:dyDescent="0.3">
      <c r="A754" t="s">
        <v>1978</v>
      </c>
      <c r="B754">
        <v>5</v>
      </c>
      <c r="C754">
        <f>IF(ISNUMBER($H$706),$H$706,0)</f>
        <v>0</v>
      </c>
      <c r="D754">
        <f>IF(ISNUMBER($I$706),$I$706,0)</f>
        <v>0</v>
      </c>
      <c r="E754">
        <f>IF(ISNUMBER($J$706),$J$706,0)</f>
        <v>0</v>
      </c>
      <c r="F754">
        <f>IF(ISNUMBER($K$706),$K$706,0)</f>
        <v>0</v>
      </c>
      <c r="G754">
        <f>IF(ISNUMBER($L$706),$L$706,0)</f>
        <v>0</v>
      </c>
      <c r="H754">
        <f>IF(ISNUMBER($M$706),$M$706,0)</f>
        <v>0</v>
      </c>
      <c r="I754">
        <f>IF(AND(ISNUMBER($H$706),ISNUMBER($J$706),ISNUMBER($L$706),$J$706&gt;$H$706,$L$706&gt;$J$706),1,0)</f>
        <v>0</v>
      </c>
      <c r="J754">
        <f>IF($I754=1,IF(ISNUMBER($AE$706),$AE$706,10000),0)</f>
        <v>0</v>
      </c>
      <c r="K754">
        <f t="shared" si="93"/>
        <v>0</v>
      </c>
      <c r="L754">
        <f t="shared" si="94"/>
        <v>0</v>
      </c>
      <c r="M754">
        <f t="shared" si="95"/>
        <v>0</v>
      </c>
      <c r="N754">
        <f t="shared" si="96"/>
        <v>0</v>
      </c>
      <c r="O754">
        <f t="shared" si="97"/>
        <v>0</v>
      </c>
      <c r="P754">
        <f t="shared" si="98"/>
        <v>0</v>
      </c>
      <c r="Q754">
        <f t="shared" si="99"/>
        <v>0</v>
      </c>
      <c r="R754">
        <f t="shared" si="100"/>
        <v>0</v>
      </c>
      <c r="S754">
        <f t="shared" si="101"/>
        <v>0</v>
      </c>
      <c r="T754">
        <f t="shared" si="102"/>
        <v>0</v>
      </c>
      <c r="U754">
        <f t="shared" si="103"/>
        <v>0</v>
      </c>
      <c r="V754">
        <f t="shared" si="104"/>
        <v>0</v>
      </c>
      <c r="W754">
        <f t="shared" si="105"/>
        <v>1</v>
      </c>
      <c r="X754">
        <f t="shared" si="106"/>
        <v>1</v>
      </c>
      <c r="Y754">
        <f t="shared" si="107"/>
        <v>0</v>
      </c>
      <c r="Z754">
        <f t="shared" si="108"/>
        <v>0</v>
      </c>
    </row>
    <row r="755" spans="1:26" hidden="1" outlineLevel="1" x14ac:dyDescent="0.3">
      <c r="A755" t="s">
        <v>1979</v>
      </c>
      <c r="B755">
        <v>6</v>
      </c>
      <c r="C755">
        <f>IF(ISNUMBER($J$706),$J$706,0)</f>
        <v>0</v>
      </c>
      <c r="D755">
        <f>IF(ISNUMBER($K$706),$K$706,0)</f>
        <v>0</v>
      </c>
      <c r="E755">
        <f>IF(ISNUMBER($L$706),$L$706,0)</f>
        <v>0</v>
      </c>
      <c r="F755">
        <f>IF(ISNUMBER($M$706),$M$706,0)</f>
        <v>0</v>
      </c>
      <c r="G755">
        <f>IF(ISNUMBER($N$706),$N$706,0)</f>
        <v>0</v>
      </c>
      <c r="H755">
        <f>IF(ISNUMBER($O$706),$O$706,0)</f>
        <v>0</v>
      </c>
      <c r="I755">
        <f>IF(AND(ISNUMBER($J$706),ISNUMBER($L$706),ISNUMBER($N$706),$L$706&gt;$J$706,$N$706&gt;$L$706),1,0)</f>
        <v>0</v>
      </c>
      <c r="J755">
        <f>IF($I755=1,IF(ISNUMBER($AF$706),$AF$706,10000),0)</f>
        <v>0</v>
      </c>
      <c r="K755">
        <f t="shared" si="93"/>
        <v>0</v>
      </c>
      <c r="L755">
        <f t="shared" si="94"/>
        <v>0</v>
      </c>
      <c r="M755">
        <f t="shared" si="95"/>
        <v>0</v>
      </c>
      <c r="N755">
        <f t="shared" si="96"/>
        <v>0</v>
      </c>
      <c r="O755">
        <f t="shared" si="97"/>
        <v>0</v>
      </c>
      <c r="P755">
        <f t="shared" si="98"/>
        <v>0</v>
      </c>
      <c r="Q755">
        <f t="shared" si="99"/>
        <v>0</v>
      </c>
      <c r="R755">
        <f t="shared" si="100"/>
        <v>0</v>
      </c>
      <c r="S755">
        <f t="shared" si="101"/>
        <v>0</v>
      </c>
      <c r="T755">
        <f t="shared" si="102"/>
        <v>0</v>
      </c>
      <c r="U755">
        <f t="shared" si="103"/>
        <v>0</v>
      </c>
      <c r="V755">
        <f t="shared" si="104"/>
        <v>0</v>
      </c>
      <c r="W755">
        <f t="shared" si="105"/>
        <v>1</v>
      </c>
      <c r="X755">
        <f t="shared" si="106"/>
        <v>1</v>
      </c>
      <c r="Y755">
        <f t="shared" si="107"/>
        <v>0</v>
      </c>
      <c r="Z755">
        <f t="shared" si="108"/>
        <v>0</v>
      </c>
    </row>
    <row r="756" spans="1:26" hidden="1" outlineLevel="1" x14ac:dyDescent="0.3">
      <c r="A756" t="s">
        <v>1980</v>
      </c>
      <c r="B756">
        <v>7</v>
      </c>
      <c r="C756">
        <f>IF(ISNUMBER($L$706),$L$706,0)</f>
        <v>0</v>
      </c>
      <c r="D756">
        <f>IF(ISNUMBER($M$706),$M$706,0)</f>
        <v>0</v>
      </c>
      <c r="E756">
        <f>IF(ISNUMBER($N$706),$N$706,0)</f>
        <v>0</v>
      </c>
      <c r="F756">
        <f>IF(ISNUMBER($O$706),$O$706,0)</f>
        <v>0</v>
      </c>
      <c r="G756">
        <f>IF(ISNUMBER($P$706),$P$706,0)</f>
        <v>0</v>
      </c>
      <c r="H756">
        <f>IF(ISNUMBER($Q$706),$Q$706,0)</f>
        <v>0</v>
      </c>
      <c r="I756">
        <f>IF(AND(ISNUMBER($L$706),ISNUMBER($N$706),ISNUMBER($P$706),$N$706&gt;$L$706,$P$706&gt;$N$706),1,0)</f>
        <v>0</v>
      </c>
      <c r="J756">
        <f>IF($I756=1,IF(ISNUMBER($AG$706),$AG$706,10000),0)</f>
        <v>0</v>
      </c>
      <c r="K756">
        <f t="shared" si="93"/>
        <v>0</v>
      </c>
      <c r="L756">
        <f t="shared" si="94"/>
        <v>0</v>
      </c>
      <c r="M756">
        <f t="shared" si="95"/>
        <v>0</v>
      </c>
      <c r="N756">
        <f t="shared" si="96"/>
        <v>0</v>
      </c>
      <c r="O756">
        <f t="shared" si="97"/>
        <v>0</v>
      </c>
      <c r="P756">
        <f t="shared" si="98"/>
        <v>0</v>
      </c>
      <c r="Q756">
        <f t="shared" si="99"/>
        <v>0</v>
      </c>
      <c r="R756">
        <f t="shared" si="100"/>
        <v>0</v>
      </c>
      <c r="S756">
        <f t="shared" si="101"/>
        <v>0</v>
      </c>
      <c r="T756">
        <f t="shared" si="102"/>
        <v>0</v>
      </c>
      <c r="U756">
        <f t="shared" si="103"/>
        <v>0</v>
      </c>
      <c r="V756">
        <f t="shared" si="104"/>
        <v>0</v>
      </c>
      <c r="W756">
        <f t="shared" si="105"/>
        <v>1</v>
      </c>
      <c r="X756">
        <f t="shared" si="106"/>
        <v>1</v>
      </c>
      <c r="Y756">
        <f t="shared" si="107"/>
        <v>0</v>
      </c>
      <c r="Z756">
        <f t="shared" si="108"/>
        <v>0</v>
      </c>
    </row>
    <row r="757" spans="1:26" hidden="1" outlineLevel="1" x14ac:dyDescent="0.3">
      <c r="A757" t="s">
        <v>1981</v>
      </c>
      <c r="B757">
        <v>8</v>
      </c>
      <c r="C757">
        <f>IF(ISNUMBER($N$706),$N$706,0)</f>
        <v>0</v>
      </c>
      <c r="D757">
        <f>IF(ISNUMBER($O$706),$O$706,0)</f>
        <v>0</v>
      </c>
      <c r="E757">
        <f>IF(ISNUMBER($P$706),$P$706,0)</f>
        <v>0</v>
      </c>
      <c r="F757">
        <f>IF(ISNUMBER($Q$706),$Q$706,0)</f>
        <v>0</v>
      </c>
      <c r="G757">
        <f>IF(ISNUMBER($R$706),$R$706,0)</f>
        <v>0</v>
      </c>
      <c r="H757">
        <f>IF(ISNUMBER($S$706),$S$706,0)</f>
        <v>0</v>
      </c>
      <c r="I757">
        <f>IF(AND(ISNUMBER($N$706),ISNUMBER($P$706),ISNUMBER($R$706),$P$706&gt;$N$706,$R$706&gt;$P$706),1,0)</f>
        <v>0</v>
      </c>
      <c r="J757">
        <f>IF($I757=1,IF(ISNUMBER($AH$706),$AH$706,10000),0)</f>
        <v>0</v>
      </c>
      <c r="K757">
        <f t="shared" si="93"/>
        <v>0</v>
      </c>
      <c r="L757">
        <f t="shared" si="94"/>
        <v>0</v>
      </c>
      <c r="M757">
        <f t="shared" si="95"/>
        <v>0</v>
      </c>
      <c r="N757">
        <f t="shared" si="96"/>
        <v>0</v>
      </c>
      <c r="O757">
        <f t="shared" si="97"/>
        <v>0</v>
      </c>
      <c r="P757">
        <f t="shared" si="98"/>
        <v>0</v>
      </c>
      <c r="Q757">
        <f t="shared" si="99"/>
        <v>0</v>
      </c>
      <c r="R757">
        <f t="shared" si="100"/>
        <v>0</v>
      </c>
      <c r="S757">
        <f t="shared" si="101"/>
        <v>0</v>
      </c>
      <c r="T757">
        <f t="shared" si="102"/>
        <v>0</v>
      </c>
      <c r="U757">
        <f t="shared" si="103"/>
        <v>0</v>
      </c>
      <c r="V757">
        <f t="shared" si="104"/>
        <v>0</v>
      </c>
      <c r="W757">
        <f t="shared" si="105"/>
        <v>1</v>
      </c>
      <c r="X757">
        <f t="shared" si="106"/>
        <v>1</v>
      </c>
      <c r="Y757">
        <f t="shared" si="107"/>
        <v>0</v>
      </c>
      <c r="Z757">
        <f t="shared" si="108"/>
        <v>0</v>
      </c>
    </row>
    <row r="758" spans="1:26" hidden="1" outlineLevel="1" x14ac:dyDescent="0.3">
      <c r="A758" t="s">
        <v>1982</v>
      </c>
      <c r="B758">
        <v>9</v>
      </c>
      <c r="C758">
        <f>IF(ISNUMBER($P$706),$P$706,0)</f>
        <v>0</v>
      </c>
      <c r="D758">
        <f>IF(ISNUMBER($Q$706),$Q$706,0)</f>
        <v>0</v>
      </c>
      <c r="E758">
        <f>IF(ISNUMBER($R$706),$R$706,0)</f>
        <v>0</v>
      </c>
      <c r="F758">
        <f>IF(ISNUMBER($S$706),$S$706,0)</f>
        <v>0</v>
      </c>
      <c r="G758">
        <f>IF(ISNUMBER($T$706),$T$706,0)</f>
        <v>0</v>
      </c>
      <c r="H758">
        <f>IF(ISNUMBER($U$706),$U$706,0)</f>
        <v>0</v>
      </c>
      <c r="I758">
        <f>IF(AND(ISNUMBER($P$706),ISNUMBER($R$706),ISNUMBER($T$706),$R$706&gt;$P$706,$T$706&gt;$R$706),1,0)</f>
        <v>0</v>
      </c>
      <c r="J758">
        <f>IF($I758=1,IF(ISNUMBER($AI$706),$AI$706,10000),0)</f>
        <v>0</v>
      </c>
      <c r="K758">
        <f t="shared" si="93"/>
        <v>0</v>
      </c>
      <c r="L758">
        <f t="shared" si="94"/>
        <v>0</v>
      </c>
      <c r="M758">
        <f t="shared" si="95"/>
        <v>0</v>
      </c>
      <c r="N758">
        <f t="shared" si="96"/>
        <v>0</v>
      </c>
      <c r="O758">
        <f t="shared" si="97"/>
        <v>0</v>
      </c>
      <c r="P758">
        <f t="shared" si="98"/>
        <v>0</v>
      </c>
      <c r="Q758">
        <f t="shared" si="99"/>
        <v>0</v>
      </c>
      <c r="R758">
        <f t="shared" si="100"/>
        <v>0</v>
      </c>
      <c r="S758">
        <f t="shared" si="101"/>
        <v>0</v>
      </c>
      <c r="T758">
        <f t="shared" si="102"/>
        <v>0</v>
      </c>
      <c r="U758">
        <f t="shared" si="103"/>
        <v>0</v>
      </c>
      <c r="V758">
        <f t="shared" si="104"/>
        <v>0</v>
      </c>
      <c r="W758">
        <f t="shared" si="105"/>
        <v>1</v>
      </c>
      <c r="X758">
        <f t="shared" si="106"/>
        <v>1</v>
      </c>
      <c r="Y758">
        <f t="shared" si="107"/>
        <v>0</v>
      </c>
      <c r="Z758">
        <f t="shared" si="108"/>
        <v>0</v>
      </c>
    </row>
    <row r="759" spans="1:26" hidden="1" outlineLevel="1" x14ac:dyDescent="0.3">
      <c r="A759" t="s">
        <v>1983</v>
      </c>
      <c r="B759">
        <v>10</v>
      </c>
      <c r="C759">
        <f>IF(ISNUMBER($R$706),$R$706,0)</f>
        <v>0</v>
      </c>
      <c r="D759">
        <f>IF(ISNUMBER($S$706),$S$706,0)</f>
        <v>0</v>
      </c>
      <c r="E759">
        <f>IF(ISNUMBER($T$706),$T$706,0)</f>
        <v>0</v>
      </c>
      <c r="F759">
        <f>IF(ISNUMBER($U$706),$U$706,0)</f>
        <v>0</v>
      </c>
      <c r="G759">
        <f>IF(ISNUMBER($V$706),$V$706,0)</f>
        <v>0</v>
      </c>
      <c r="H759">
        <f>IF(ISNUMBER($W$706),$W$706,0)</f>
        <v>0</v>
      </c>
      <c r="I759">
        <f>IF(AND(ISNUMBER($R$706),ISNUMBER($T$706),ISNUMBER($V$706),$T$706&gt;$R$706,$V$706&gt;$T$706),1,0)</f>
        <v>0</v>
      </c>
      <c r="J759">
        <f>IF($I759=1,IF(ISNUMBER($AJ$706),$AJ$706,10000),0)</f>
        <v>0</v>
      </c>
      <c r="K759">
        <f t="shared" si="93"/>
        <v>0</v>
      </c>
      <c r="L759">
        <f t="shared" si="94"/>
        <v>0</v>
      </c>
      <c r="M759">
        <f t="shared" si="95"/>
        <v>0</v>
      </c>
      <c r="N759">
        <f t="shared" si="96"/>
        <v>0</v>
      </c>
      <c r="O759">
        <f t="shared" si="97"/>
        <v>0</v>
      </c>
      <c r="P759">
        <f t="shared" si="98"/>
        <v>0</v>
      </c>
      <c r="Q759">
        <f t="shared" si="99"/>
        <v>0</v>
      </c>
      <c r="R759">
        <f t="shared" si="100"/>
        <v>0</v>
      </c>
      <c r="S759">
        <f t="shared" si="101"/>
        <v>0</v>
      </c>
      <c r="T759">
        <f t="shared" si="102"/>
        <v>0</v>
      </c>
      <c r="U759">
        <f t="shared" si="103"/>
        <v>0</v>
      </c>
      <c r="V759">
        <f t="shared" si="104"/>
        <v>0</v>
      </c>
      <c r="W759">
        <f t="shared" si="105"/>
        <v>1</v>
      </c>
      <c r="X759">
        <f t="shared" si="106"/>
        <v>1</v>
      </c>
      <c r="Y759">
        <f t="shared" si="107"/>
        <v>0</v>
      </c>
      <c r="Z759">
        <f t="shared" si="108"/>
        <v>0</v>
      </c>
    </row>
    <row r="760" spans="1:26" hidden="1" outlineLevel="1" x14ac:dyDescent="0.3">
      <c r="A760" t="s">
        <v>1984</v>
      </c>
      <c r="B760">
        <v>11</v>
      </c>
      <c r="C760">
        <f>IF(ISNUMBER($T$706),$T$706,0)</f>
        <v>0</v>
      </c>
      <c r="D760">
        <f>IF(ISNUMBER($U$706),$U$706,0)</f>
        <v>0</v>
      </c>
      <c r="E760">
        <f>IF(ISNUMBER($V$706),$V$706,0)</f>
        <v>0</v>
      </c>
      <c r="F760">
        <f>IF(ISNUMBER($W$706),$W$706,0)</f>
        <v>0</v>
      </c>
      <c r="G760">
        <f>IF(ISNUMBER($X$706),$X$706,0)</f>
        <v>0</v>
      </c>
      <c r="H760">
        <f>IF(ISNUMBER($Y$706),$Y$706,0)</f>
        <v>0</v>
      </c>
      <c r="I760">
        <f>IF(AND(ISNUMBER($T$706),ISNUMBER($V$706),ISNUMBER($X$706),$V$706&gt;$T$706,$X$706&gt;$V$706),1,0)</f>
        <v>0</v>
      </c>
      <c r="J760">
        <f>IF($I760=1,IF(ISNUMBER($AK$706),$AK$706,10000),0)</f>
        <v>0</v>
      </c>
      <c r="K760">
        <f t="shared" si="93"/>
        <v>0</v>
      </c>
      <c r="L760">
        <f t="shared" si="94"/>
        <v>0</v>
      </c>
      <c r="M760">
        <f t="shared" si="95"/>
        <v>0</v>
      </c>
      <c r="N760">
        <f t="shared" si="96"/>
        <v>0</v>
      </c>
      <c r="O760">
        <f t="shared" si="97"/>
        <v>0</v>
      </c>
      <c r="P760">
        <f t="shared" si="98"/>
        <v>0</v>
      </c>
      <c r="Q760">
        <f t="shared" si="99"/>
        <v>0</v>
      </c>
      <c r="R760">
        <f t="shared" si="100"/>
        <v>0</v>
      </c>
      <c r="S760">
        <f t="shared" si="101"/>
        <v>0</v>
      </c>
      <c r="T760">
        <f t="shared" si="102"/>
        <v>0</v>
      </c>
      <c r="U760">
        <f t="shared" si="103"/>
        <v>0</v>
      </c>
      <c r="V760">
        <f t="shared" si="104"/>
        <v>0</v>
      </c>
      <c r="W760">
        <f t="shared" si="105"/>
        <v>1</v>
      </c>
      <c r="X760">
        <f t="shared" si="106"/>
        <v>1</v>
      </c>
      <c r="Y760">
        <f t="shared" si="107"/>
        <v>0</v>
      </c>
      <c r="Z760">
        <f t="shared" si="108"/>
        <v>0</v>
      </c>
    </row>
    <row r="761" spans="1:26" hidden="1" outlineLevel="1" x14ac:dyDescent="0.3">
      <c r="A761" t="s">
        <v>1985</v>
      </c>
      <c r="B761">
        <v>12</v>
      </c>
      <c r="C761">
        <f>IF(ISNUMBER($V$706),$V$706,0)</f>
        <v>0</v>
      </c>
      <c r="D761">
        <f>IF(ISNUMBER($W$706),$W$706,0)</f>
        <v>0</v>
      </c>
      <c r="E761">
        <f>IF(ISNUMBER($X$706),$X$706,0)</f>
        <v>0</v>
      </c>
      <c r="F761">
        <f>IF(ISNUMBER($Y$706),$Y$706,0)</f>
        <v>0</v>
      </c>
      <c r="G761">
        <f>IF(ISNUMBER($Z$706),$Z$706,0)</f>
        <v>0</v>
      </c>
      <c r="H761">
        <f>IF(ISNUMBER($AA$706),$AA$706,0)</f>
        <v>0</v>
      </c>
      <c r="I761">
        <f>IF(AND(ISNUMBER($V$706),ISNUMBER($X$706),ISNUMBER($Z$706),$X$706&gt;$V$706,$Z$706&gt;$X$706),1,0)</f>
        <v>0</v>
      </c>
      <c r="J761">
        <f>IF($I761=1,IF(ISNUMBER($AL$706),$AL$706,10000),0)</f>
        <v>0</v>
      </c>
      <c r="K761">
        <f t="shared" si="93"/>
        <v>0</v>
      </c>
      <c r="L761">
        <f t="shared" si="94"/>
        <v>0</v>
      </c>
      <c r="M761">
        <f t="shared" si="95"/>
        <v>0</v>
      </c>
      <c r="N761">
        <f t="shared" si="96"/>
        <v>0</v>
      </c>
      <c r="O761">
        <f t="shared" si="97"/>
        <v>0</v>
      </c>
      <c r="P761">
        <f t="shared" si="98"/>
        <v>0</v>
      </c>
      <c r="Q761">
        <f t="shared" si="99"/>
        <v>0</v>
      </c>
      <c r="R761">
        <f t="shared" si="100"/>
        <v>0</v>
      </c>
      <c r="S761">
        <f t="shared" si="101"/>
        <v>0</v>
      </c>
      <c r="T761">
        <f t="shared" si="102"/>
        <v>0</v>
      </c>
      <c r="U761">
        <f t="shared" si="103"/>
        <v>0</v>
      </c>
      <c r="V761">
        <f t="shared" si="104"/>
        <v>0</v>
      </c>
      <c r="W761">
        <f t="shared" si="105"/>
        <v>1</v>
      </c>
      <c r="X761">
        <f t="shared" si="106"/>
        <v>1</v>
      </c>
      <c r="Y761">
        <f t="shared" si="107"/>
        <v>0</v>
      </c>
      <c r="Z761">
        <f t="shared" si="108"/>
        <v>0</v>
      </c>
    </row>
    <row r="762" spans="1:26" hidden="1" outlineLevel="1" x14ac:dyDescent="0.3">
      <c r="A762" t="s">
        <v>1986</v>
      </c>
    </row>
    <row r="763" spans="1:26" hidden="1" outlineLevel="1" x14ac:dyDescent="0.3">
      <c r="A763" t="s">
        <v>1987</v>
      </c>
      <c r="B763">
        <v>2</v>
      </c>
      <c r="C763">
        <f>IF(ISNUMBER($B$707),$B$707,0)</f>
        <v>0</v>
      </c>
      <c r="D763">
        <f>IF(ISNUMBER($C$707),$C$707,0)</f>
        <v>600</v>
      </c>
      <c r="E763">
        <f>IF(ISNUMBER($D$707),$D$707,0)</f>
        <v>23550</v>
      </c>
      <c r="F763">
        <f>IF(ISNUMBER($E$707),$E$707,0)</f>
        <v>600</v>
      </c>
      <c r="G763">
        <f>IF(ISNUMBER($F$707),$F$707,0)</f>
        <v>0</v>
      </c>
      <c r="H763">
        <f>IF(ISNUMBER($G$707),$G$707,0)</f>
        <v>0</v>
      </c>
      <c r="I763">
        <f>IF(AND(ISNUMBER($B$707),ISNUMBER($D$707),ISNUMBER($F$707),$D$707&gt;$B$707,$F$707&gt;$D$707),1,0)</f>
        <v>0</v>
      </c>
      <c r="J763">
        <f>IF($I763=1,IF(ISNUMBER($AB$707),$AB$707,10000),0)</f>
        <v>0</v>
      </c>
      <c r="K763">
        <f t="shared" ref="K763:K773" si="109">IF($I763=1,($F763-$D763)/($E763-$C763),0)</f>
        <v>0</v>
      </c>
      <c r="L763">
        <f t="shared" ref="L763:L773" si="110">IF($I763=1,($H763-$F763)/($G763-$E763),0)</f>
        <v>0</v>
      </c>
      <c r="M763">
        <f t="shared" ref="M763:M773" si="111">ATAN($K763)</f>
        <v>0</v>
      </c>
      <c r="N763">
        <f t="shared" ref="N763:N773" si="112">ATAN($L763)</f>
        <v>0</v>
      </c>
      <c r="O763">
        <f t="shared" ref="O763:O773" si="113">$N763-$M763</f>
        <v>0</v>
      </c>
      <c r="P763">
        <f t="shared" ref="P763:P773" si="114">IF($I763=1,$J763*TAN(ABS($O763)/2),0)</f>
        <v>0</v>
      </c>
      <c r="Q763">
        <f t="shared" ref="Q763:Q773" si="115">$E763-$P763*COS($M763)</f>
        <v>23550</v>
      </c>
      <c r="R763">
        <f t="shared" ref="R763:R773" si="116">$E763+$P763*COS($N763)</f>
        <v>23550</v>
      </c>
      <c r="S763">
        <f t="shared" ref="S763:S773" si="117">$F763-$P763*SIN($M763)</f>
        <v>600</v>
      </c>
      <c r="T763">
        <f t="shared" ref="T763:T773" si="118">SIGN($L763-$K763)</f>
        <v>0</v>
      </c>
      <c r="U763">
        <f t="shared" ref="U763:U773" si="119">$Q763-$T763*$J763*SIN($M763)</f>
        <v>23550</v>
      </c>
      <c r="V763">
        <f t="shared" ref="V763:V773" si="120">$S763+$T763*$J763*COS($M763)</f>
        <v>600</v>
      </c>
      <c r="W763">
        <f t="shared" ref="W763:W773" si="121">IF($I763=0,1,IF(AND($P763*COS($M763)&lt;=($E763-$C763)+0.001,$P763*COS($N763)&lt;=($G763-$E763)+0.001),1,0))</f>
        <v>1</v>
      </c>
      <c r="X763">
        <f t="shared" ref="X763:X773" si="122">IF(OR($I763=0,$I764=0),1,IF($R763&lt;=$Q764+0.001,1,0))</f>
        <v>1</v>
      </c>
      <c r="Y763">
        <f t="shared" ref="Y763:Y773" si="123">IF($Z763=1,$T763*($D$13-$U763)/SQRT(MAX(0.000000001,$J763^2-($D$13-$U763)^2)),0)</f>
        <v>0</v>
      </c>
      <c r="Z763">
        <f t="shared" ref="Z763:Z773" si="124">IF(AND($I763=1,$W763=1,$D$13&gt;=$Q763,$D$13&lt;=$R763),1,0)</f>
        <v>0</v>
      </c>
    </row>
    <row r="764" spans="1:26" hidden="1" outlineLevel="1" x14ac:dyDescent="0.3">
      <c r="A764" t="s">
        <v>1988</v>
      </c>
      <c r="B764">
        <v>3</v>
      </c>
      <c r="C764">
        <f>IF(ISNUMBER($D$707),$D$707,0)</f>
        <v>23550</v>
      </c>
      <c r="D764">
        <f>IF(ISNUMBER($E$707),$E$707,0)</f>
        <v>600</v>
      </c>
      <c r="E764">
        <f>IF(ISNUMBER($F$707),$F$707,0)</f>
        <v>0</v>
      </c>
      <c r="F764">
        <f>IF(ISNUMBER($G$707),$G$707,0)</f>
        <v>0</v>
      </c>
      <c r="G764">
        <f>IF(ISNUMBER($H$707),$H$707,0)</f>
        <v>0</v>
      </c>
      <c r="H764">
        <f>IF(ISNUMBER($I$707),$I$707,0)</f>
        <v>0</v>
      </c>
      <c r="I764">
        <f>IF(AND(ISNUMBER($D$707),ISNUMBER($F$707),ISNUMBER($H$707),$F$707&gt;$D$707,$H$707&gt;$F$707),1,0)</f>
        <v>0</v>
      </c>
      <c r="J764">
        <f>IF($I764=1,IF(ISNUMBER($AC$707),$AC$707,10000),0)</f>
        <v>0</v>
      </c>
      <c r="K764">
        <f t="shared" si="109"/>
        <v>0</v>
      </c>
      <c r="L764">
        <f t="shared" si="110"/>
        <v>0</v>
      </c>
      <c r="M764">
        <f t="shared" si="111"/>
        <v>0</v>
      </c>
      <c r="N764">
        <f t="shared" si="112"/>
        <v>0</v>
      </c>
      <c r="O764">
        <f t="shared" si="113"/>
        <v>0</v>
      </c>
      <c r="P764">
        <f t="shared" si="114"/>
        <v>0</v>
      </c>
      <c r="Q764">
        <f t="shared" si="115"/>
        <v>0</v>
      </c>
      <c r="R764">
        <f t="shared" si="116"/>
        <v>0</v>
      </c>
      <c r="S764">
        <f t="shared" si="117"/>
        <v>0</v>
      </c>
      <c r="T764">
        <f t="shared" si="118"/>
        <v>0</v>
      </c>
      <c r="U764">
        <f t="shared" si="119"/>
        <v>0</v>
      </c>
      <c r="V764">
        <f t="shared" si="120"/>
        <v>0</v>
      </c>
      <c r="W764">
        <f t="shared" si="121"/>
        <v>1</v>
      </c>
      <c r="X764">
        <f t="shared" si="122"/>
        <v>1</v>
      </c>
      <c r="Y764">
        <f t="shared" si="123"/>
        <v>0</v>
      </c>
      <c r="Z764">
        <f t="shared" si="124"/>
        <v>0</v>
      </c>
    </row>
    <row r="765" spans="1:26" hidden="1" outlineLevel="1" x14ac:dyDescent="0.3">
      <c r="A765" t="s">
        <v>1989</v>
      </c>
      <c r="B765">
        <v>4</v>
      </c>
      <c r="C765">
        <f>IF(ISNUMBER($F$707),$F$707,0)</f>
        <v>0</v>
      </c>
      <c r="D765">
        <f>IF(ISNUMBER($G$707),$G$707,0)</f>
        <v>0</v>
      </c>
      <c r="E765">
        <f>IF(ISNUMBER($H$707),$H$707,0)</f>
        <v>0</v>
      </c>
      <c r="F765">
        <f>IF(ISNUMBER($I$707),$I$707,0)</f>
        <v>0</v>
      </c>
      <c r="G765">
        <f>IF(ISNUMBER($J$707),$J$707,0)</f>
        <v>0</v>
      </c>
      <c r="H765">
        <f>IF(ISNUMBER($K$707),$K$707,0)</f>
        <v>0</v>
      </c>
      <c r="I765">
        <f>IF(AND(ISNUMBER($F$707),ISNUMBER($H$707),ISNUMBER($J$707),$H$707&gt;$F$707,$J$707&gt;$H$707),1,0)</f>
        <v>0</v>
      </c>
      <c r="J765">
        <f>IF($I765=1,IF(ISNUMBER($AD$707),$AD$707,10000),0)</f>
        <v>0</v>
      </c>
      <c r="K765">
        <f t="shared" si="109"/>
        <v>0</v>
      </c>
      <c r="L765">
        <f t="shared" si="110"/>
        <v>0</v>
      </c>
      <c r="M765">
        <f t="shared" si="111"/>
        <v>0</v>
      </c>
      <c r="N765">
        <f t="shared" si="112"/>
        <v>0</v>
      </c>
      <c r="O765">
        <f t="shared" si="113"/>
        <v>0</v>
      </c>
      <c r="P765">
        <f t="shared" si="114"/>
        <v>0</v>
      </c>
      <c r="Q765">
        <f t="shared" si="115"/>
        <v>0</v>
      </c>
      <c r="R765">
        <f t="shared" si="116"/>
        <v>0</v>
      </c>
      <c r="S765">
        <f t="shared" si="117"/>
        <v>0</v>
      </c>
      <c r="T765">
        <f t="shared" si="118"/>
        <v>0</v>
      </c>
      <c r="U765">
        <f t="shared" si="119"/>
        <v>0</v>
      </c>
      <c r="V765">
        <f t="shared" si="120"/>
        <v>0</v>
      </c>
      <c r="W765">
        <f t="shared" si="121"/>
        <v>1</v>
      </c>
      <c r="X765">
        <f t="shared" si="122"/>
        <v>1</v>
      </c>
      <c r="Y765">
        <f t="shared" si="123"/>
        <v>0</v>
      </c>
      <c r="Z765">
        <f t="shared" si="124"/>
        <v>0</v>
      </c>
    </row>
    <row r="766" spans="1:26" hidden="1" outlineLevel="1" x14ac:dyDescent="0.3">
      <c r="A766" t="s">
        <v>1990</v>
      </c>
      <c r="B766">
        <v>5</v>
      </c>
      <c r="C766">
        <f>IF(ISNUMBER($H$707),$H$707,0)</f>
        <v>0</v>
      </c>
      <c r="D766">
        <f>IF(ISNUMBER($I$707),$I$707,0)</f>
        <v>0</v>
      </c>
      <c r="E766">
        <f>IF(ISNUMBER($J$707),$J$707,0)</f>
        <v>0</v>
      </c>
      <c r="F766">
        <f>IF(ISNUMBER($K$707),$K$707,0)</f>
        <v>0</v>
      </c>
      <c r="G766">
        <f>IF(ISNUMBER($L$707),$L$707,0)</f>
        <v>0</v>
      </c>
      <c r="H766">
        <f>IF(ISNUMBER($M$707),$M$707,0)</f>
        <v>0</v>
      </c>
      <c r="I766">
        <f>IF(AND(ISNUMBER($H$707),ISNUMBER($J$707),ISNUMBER($L$707),$J$707&gt;$H$707,$L$707&gt;$J$707),1,0)</f>
        <v>0</v>
      </c>
      <c r="J766">
        <f>IF($I766=1,IF(ISNUMBER($AE$707),$AE$707,10000),0)</f>
        <v>0</v>
      </c>
      <c r="K766">
        <f t="shared" si="109"/>
        <v>0</v>
      </c>
      <c r="L766">
        <f t="shared" si="110"/>
        <v>0</v>
      </c>
      <c r="M766">
        <f t="shared" si="111"/>
        <v>0</v>
      </c>
      <c r="N766">
        <f t="shared" si="112"/>
        <v>0</v>
      </c>
      <c r="O766">
        <f t="shared" si="113"/>
        <v>0</v>
      </c>
      <c r="P766">
        <f t="shared" si="114"/>
        <v>0</v>
      </c>
      <c r="Q766">
        <f t="shared" si="115"/>
        <v>0</v>
      </c>
      <c r="R766">
        <f t="shared" si="116"/>
        <v>0</v>
      </c>
      <c r="S766">
        <f t="shared" si="117"/>
        <v>0</v>
      </c>
      <c r="T766">
        <f t="shared" si="118"/>
        <v>0</v>
      </c>
      <c r="U766">
        <f t="shared" si="119"/>
        <v>0</v>
      </c>
      <c r="V766">
        <f t="shared" si="120"/>
        <v>0</v>
      </c>
      <c r="W766">
        <f t="shared" si="121"/>
        <v>1</v>
      </c>
      <c r="X766">
        <f t="shared" si="122"/>
        <v>1</v>
      </c>
      <c r="Y766">
        <f t="shared" si="123"/>
        <v>0</v>
      </c>
      <c r="Z766">
        <f t="shared" si="124"/>
        <v>0</v>
      </c>
    </row>
    <row r="767" spans="1:26" hidden="1" outlineLevel="1" x14ac:dyDescent="0.3">
      <c r="A767" t="s">
        <v>1991</v>
      </c>
      <c r="B767">
        <v>6</v>
      </c>
      <c r="C767">
        <f>IF(ISNUMBER($J$707),$J$707,0)</f>
        <v>0</v>
      </c>
      <c r="D767">
        <f>IF(ISNUMBER($K$707),$K$707,0)</f>
        <v>0</v>
      </c>
      <c r="E767">
        <f>IF(ISNUMBER($L$707),$L$707,0)</f>
        <v>0</v>
      </c>
      <c r="F767">
        <f>IF(ISNUMBER($M$707),$M$707,0)</f>
        <v>0</v>
      </c>
      <c r="G767">
        <f>IF(ISNUMBER($N$707),$N$707,0)</f>
        <v>0</v>
      </c>
      <c r="H767">
        <f>IF(ISNUMBER($O$707),$O$707,0)</f>
        <v>0</v>
      </c>
      <c r="I767">
        <f>IF(AND(ISNUMBER($J$707),ISNUMBER($L$707),ISNUMBER($N$707),$L$707&gt;$J$707,$N$707&gt;$L$707),1,0)</f>
        <v>0</v>
      </c>
      <c r="J767">
        <f>IF($I767=1,IF(ISNUMBER($AF$707),$AF$707,10000),0)</f>
        <v>0</v>
      </c>
      <c r="K767">
        <f t="shared" si="109"/>
        <v>0</v>
      </c>
      <c r="L767">
        <f t="shared" si="110"/>
        <v>0</v>
      </c>
      <c r="M767">
        <f t="shared" si="111"/>
        <v>0</v>
      </c>
      <c r="N767">
        <f t="shared" si="112"/>
        <v>0</v>
      </c>
      <c r="O767">
        <f t="shared" si="113"/>
        <v>0</v>
      </c>
      <c r="P767">
        <f t="shared" si="114"/>
        <v>0</v>
      </c>
      <c r="Q767">
        <f t="shared" si="115"/>
        <v>0</v>
      </c>
      <c r="R767">
        <f t="shared" si="116"/>
        <v>0</v>
      </c>
      <c r="S767">
        <f t="shared" si="117"/>
        <v>0</v>
      </c>
      <c r="T767">
        <f t="shared" si="118"/>
        <v>0</v>
      </c>
      <c r="U767">
        <f t="shared" si="119"/>
        <v>0</v>
      </c>
      <c r="V767">
        <f t="shared" si="120"/>
        <v>0</v>
      </c>
      <c r="W767">
        <f t="shared" si="121"/>
        <v>1</v>
      </c>
      <c r="X767">
        <f t="shared" si="122"/>
        <v>1</v>
      </c>
      <c r="Y767">
        <f t="shared" si="123"/>
        <v>0</v>
      </c>
      <c r="Z767">
        <f t="shared" si="124"/>
        <v>0</v>
      </c>
    </row>
    <row r="768" spans="1:26" hidden="1" outlineLevel="1" x14ac:dyDescent="0.3">
      <c r="A768" t="s">
        <v>1992</v>
      </c>
      <c r="B768">
        <v>7</v>
      </c>
      <c r="C768">
        <f>IF(ISNUMBER($L$707),$L$707,0)</f>
        <v>0</v>
      </c>
      <c r="D768">
        <f>IF(ISNUMBER($M$707),$M$707,0)</f>
        <v>0</v>
      </c>
      <c r="E768">
        <f>IF(ISNUMBER($N$707),$N$707,0)</f>
        <v>0</v>
      </c>
      <c r="F768">
        <f>IF(ISNUMBER($O$707),$O$707,0)</f>
        <v>0</v>
      </c>
      <c r="G768">
        <f>IF(ISNUMBER($P$707),$P$707,0)</f>
        <v>0</v>
      </c>
      <c r="H768">
        <f>IF(ISNUMBER($Q$707),$Q$707,0)</f>
        <v>0</v>
      </c>
      <c r="I768">
        <f>IF(AND(ISNUMBER($L$707),ISNUMBER($N$707),ISNUMBER($P$707),$N$707&gt;$L$707,$P$707&gt;$N$707),1,0)</f>
        <v>0</v>
      </c>
      <c r="J768">
        <f>IF($I768=1,IF(ISNUMBER($AG$707),$AG$707,10000),0)</f>
        <v>0</v>
      </c>
      <c r="K768">
        <f t="shared" si="109"/>
        <v>0</v>
      </c>
      <c r="L768">
        <f t="shared" si="110"/>
        <v>0</v>
      </c>
      <c r="M768">
        <f t="shared" si="111"/>
        <v>0</v>
      </c>
      <c r="N768">
        <f t="shared" si="112"/>
        <v>0</v>
      </c>
      <c r="O768">
        <f t="shared" si="113"/>
        <v>0</v>
      </c>
      <c r="P768">
        <f t="shared" si="114"/>
        <v>0</v>
      </c>
      <c r="Q768">
        <f t="shared" si="115"/>
        <v>0</v>
      </c>
      <c r="R768">
        <f t="shared" si="116"/>
        <v>0</v>
      </c>
      <c r="S768">
        <f t="shared" si="117"/>
        <v>0</v>
      </c>
      <c r="T768">
        <f t="shared" si="118"/>
        <v>0</v>
      </c>
      <c r="U768">
        <f t="shared" si="119"/>
        <v>0</v>
      </c>
      <c r="V768">
        <f t="shared" si="120"/>
        <v>0</v>
      </c>
      <c r="W768">
        <f t="shared" si="121"/>
        <v>1</v>
      </c>
      <c r="X768">
        <f t="shared" si="122"/>
        <v>1</v>
      </c>
      <c r="Y768">
        <f t="shared" si="123"/>
        <v>0</v>
      </c>
      <c r="Z768">
        <f t="shared" si="124"/>
        <v>0</v>
      </c>
    </row>
    <row r="769" spans="1:26" hidden="1" outlineLevel="1" x14ac:dyDescent="0.3">
      <c r="A769" t="s">
        <v>1993</v>
      </c>
      <c r="B769">
        <v>8</v>
      </c>
      <c r="C769">
        <f>IF(ISNUMBER($N$707),$N$707,0)</f>
        <v>0</v>
      </c>
      <c r="D769">
        <f>IF(ISNUMBER($O$707),$O$707,0)</f>
        <v>0</v>
      </c>
      <c r="E769">
        <f>IF(ISNUMBER($P$707),$P$707,0)</f>
        <v>0</v>
      </c>
      <c r="F769">
        <f>IF(ISNUMBER($Q$707),$Q$707,0)</f>
        <v>0</v>
      </c>
      <c r="G769">
        <f>IF(ISNUMBER($R$707),$R$707,0)</f>
        <v>0</v>
      </c>
      <c r="H769">
        <f>IF(ISNUMBER($S$707),$S$707,0)</f>
        <v>0</v>
      </c>
      <c r="I769">
        <f>IF(AND(ISNUMBER($N$707),ISNUMBER($P$707),ISNUMBER($R$707),$P$707&gt;$N$707,$R$707&gt;$P$707),1,0)</f>
        <v>0</v>
      </c>
      <c r="J769">
        <f>IF($I769=1,IF(ISNUMBER($AH$707),$AH$707,10000),0)</f>
        <v>0</v>
      </c>
      <c r="K769">
        <f t="shared" si="109"/>
        <v>0</v>
      </c>
      <c r="L769">
        <f t="shared" si="110"/>
        <v>0</v>
      </c>
      <c r="M769">
        <f t="shared" si="111"/>
        <v>0</v>
      </c>
      <c r="N769">
        <f t="shared" si="112"/>
        <v>0</v>
      </c>
      <c r="O769">
        <f t="shared" si="113"/>
        <v>0</v>
      </c>
      <c r="P769">
        <f t="shared" si="114"/>
        <v>0</v>
      </c>
      <c r="Q769">
        <f t="shared" si="115"/>
        <v>0</v>
      </c>
      <c r="R769">
        <f t="shared" si="116"/>
        <v>0</v>
      </c>
      <c r="S769">
        <f t="shared" si="117"/>
        <v>0</v>
      </c>
      <c r="T769">
        <f t="shared" si="118"/>
        <v>0</v>
      </c>
      <c r="U769">
        <f t="shared" si="119"/>
        <v>0</v>
      </c>
      <c r="V769">
        <f t="shared" si="120"/>
        <v>0</v>
      </c>
      <c r="W769">
        <f t="shared" si="121"/>
        <v>1</v>
      </c>
      <c r="X769">
        <f t="shared" si="122"/>
        <v>1</v>
      </c>
      <c r="Y769">
        <f t="shared" si="123"/>
        <v>0</v>
      </c>
      <c r="Z769">
        <f t="shared" si="124"/>
        <v>0</v>
      </c>
    </row>
    <row r="770" spans="1:26" hidden="1" outlineLevel="1" x14ac:dyDescent="0.3">
      <c r="A770" t="s">
        <v>1994</v>
      </c>
      <c r="B770">
        <v>9</v>
      </c>
      <c r="C770">
        <f>IF(ISNUMBER($P$707),$P$707,0)</f>
        <v>0</v>
      </c>
      <c r="D770">
        <f>IF(ISNUMBER($Q$707),$Q$707,0)</f>
        <v>0</v>
      </c>
      <c r="E770">
        <f>IF(ISNUMBER($R$707),$R$707,0)</f>
        <v>0</v>
      </c>
      <c r="F770">
        <f>IF(ISNUMBER($S$707),$S$707,0)</f>
        <v>0</v>
      </c>
      <c r="G770">
        <f>IF(ISNUMBER($T$707),$T$707,0)</f>
        <v>0</v>
      </c>
      <c r="H770">
        <f>IF(ISNUMBER($U$707),$U$707,0)</f>
        <v>0</v>
      </c>
      <c r="I770">
        <f>IF(AND(ISNUMBER($P$707),ISNUMBER($R$707),ISNUMBER($T$707),$R$707&gt;$P$707,$T$707&gt;$R$707),1,0)</f>
        <v>0</v>
      </c>
      <c r="J770">
        <f>IF($I770=1,IF(ISNUMBER($AI$707),$AI$707,10000),0)</f>
        <v>0</v>
      </c>
      <c r="K770">
        <f t="shared" si="109"/>
        <v>0</v>
      </c>
      <c r="L770">
        <f t="shared" si="110"/>
        <v>0</v>
      </c>
      <c r="M770">
        <f t="shared" si="111"/>
        <v>0</v>
      </c>
      <c r="N770">
        <f t="shared" si="112"/>
        <v>0</v>
      </c>
      <c r="O770">
        <f t="shared" si="113"/>
        <v>0</v>
      </c>
      <c r="P770">
        <f t="shared" si="114"/>
        <v>0</v>
      </c>
      <c r="Q770">
        <f t="shared" si="115"/>
        <v>0</v>
      </c>
      <c r="R770">
        <f t="shared" si="116"/>
        <v>0</v>
      </c>
      <c r="S770">
        <f t="shared" si="117"/>
        <v>0</v>
      </c>
      <c r="T770">
        <f t="shared" si="118"/>
        <v>0</v>
      </c>
      <c r="U770">
        <f t="shared" si="119"/>
        <v>0</v>
      </c>
      <c r="V770">
        <f t="shared" si="120"/>
        <v>0</v>
      </c>
      <c r="W770">
        <f t="shared" si="121"/>
        <v>1</v>
      </c>
      <c r="X770">
        <f t="shared" si="122"/>
        <v>1</v>
      </c>
      <c r="Y770">
        <f t="shared" si="123"/>
        <v>0</v>
      </c>
      <c r="Z770">
        <f t="shared" si="124"/>
        <v>0</v>
      </c>
    </row>
    <row r="771" spans="1:26" hidden="1" outlineLevel="1" x14ac:dyDescent="0.3">
      <c r="A771" t="s">
        <v>1995</v>
      </c>
      <c r="B771">
        <v>10</v>
      </c>
      <c r="C771">
        <f>IF(ISNUMBER($R$707),$R$707,0)</f>
        <v>0</v>
      </c>
      <c r="D771">
        <f>IF(ISNUMBER($S$707),$S$707,0)</f>
        <v>0</v>
      </c>
      <c r="E771">
        <f>IF(ISNUMBER($T$707),$T$707,0)</f>
        <v>0</v>
      </c>
      <c r="F771">
        <f>IF(ISNUMBER($U$707),$U$707,0)</f>
        <v>0</v>
      </c>
      <c r="G771">
        <f>IF(ISNUMBER($V$707),$V$707,0)</f>
        <v>0</v>
      </c>
      <c r="H771">
        <f>IF(ISNUMBER($W$707),$W$707,0)</f>
        <v>0</v>
      </c>
      <c r="I771">
        <f>IF(AND(ISNUMBER($R$707),ISNUMBER($T$707),ISNUMBER($V$707),$T$707&gt;$R$707,$V$707&gt;$T$707),1,0)</f>
        <v>0</v>
      </c>
      <c r="J771">
        <f>IF($I771=1,IF(ISNUMBER($AJ$707),$AJ$707,10000),0)</f>
        <v>0</v>
      </c>
      <c r="K771">
        <f t="shared" si="109"/>
        <v>0</v>
      </c>
      <c r="L771">
        <f t="shared" si="110"/>
        <v>0</v>
      </c>
      <c r="M771">
        <f t="shared" si="111"/>
        <v>0</v>
      </c>
      <c r="N771">
        <f t="shared" si="112"/>
        <v>0</v>
      </c>
      <c r="O771">
        <f t="shared" si="113"/>
        <v>0</v>
      </c>
      <c r="P771">
        <f t="shared" si="114"/>
        <v>0</v>
      </c>
      <c r="Q771">
        <f t="shared" si="115"/>
        <v>0</v>
      </c>
      <c r="R771">
        <f t="shared" si="116"/>
        <v>0</v>
      </c>
      <c r="S771">
        <f t="shared" si="117"/>
        <v>0</v>
      </c>
      <c r="T771">
        <f t="shared" si="118"/>
        <v>0</v>
      </c>
      <c r="U771">
        <f t="shared" si="119"/>
        <v>0</v>
      </c>
      <c r="V771">
        <f t="shared" si="120"/>
        <v>0</v>
      </c>
      <c r="W771">
        <f t="shared" si="121"/>
        <v>1</v>
      </c>
      <c r="X771">
        <f t="shared" si="122"/>
        <v>1</v>
      </c>
      <c r="Y771">
        <f t="shared" si="123"/>
        <v>0</v>
      </c>
      <c r="Z771">
        <f t="shared" si="124"/>
        <v>0</v>
      </c>
    </row>
    <row r="772" spans="1:26" hidden="1" outlineLevel="1" x14ac:dyDescent="0.3">
      <c r="A772" t="s">
        <v>1996</v>
      </c>
      <c r="B772">
        <v>11</v>
      </c>
      <c r="C772">
        <f>IF(ISNUMBER($T$707),$T$707,0)</f>
        <v>0</v>
      </c>
      <c r="D772">
        <f>IF(ISNUMBER($U$707),$U$707,0)</f>
        <v>0</v>
      </c>
      <c r="E772">
        <f>IF(ISNUMBER($V$707),$V$707,0)</f>
        <v>0</v>
      </c>
      <c r="F772">
        <f>IF(ISNUMBER($W$707),$W$707,0)</f>
        <v>0</v>
      </c>
      <c r="G772">
        <f>IF(ISNUMBER($X$707),$X$707,0)</f>
        <v>0</v>
      </c>
      <c r="H772">
        <f>IF(ISNUMBER($Y$707),$Y$707,0)</f>
        <v>0</v>
      </c>
      <c r="I772">
        <f>IF(AND(ISNUMBER($T$707),ISNUMBER($V$707),ISNUMBER($X$707),$V$707&gt;$T$707,$X$707&gt;$V$707),1,0)</f>
        <v>0</v>
      </c>
      <c r="J772">
        <f>IF($I772=1,IF(ISNUMBER($AK$707),$AK$707,10000),0)</f>
        <v>0</v>
      </c>
      <c r="K772">
        <f t="shared" si="109"/>
        <v>0</v>
      </c>
      <c r="L772">
        <f t="shared" si="110"/>
        <v>0</v>
      </c>
      <c r="M772">
        <f t="shared" si="111"/>
        <v>0</v>
      </c>
      <c r="N772">
        <f t="shared" si="112"/>
        <v>0</v>
      </c>
      <c r="O772">
        <f t="shared" si="113"/>
        <v>0</v>
      </c>
      <c r="P772">
        <f t="shared" si="114"/>
        <v>0</v>
      </c>
      <c r="Q772">
        <f t="shared" si="115"/>
        <v>0</v>
      </c>
      <c r="R772">
        <f t="shared" si="116"/>
        <v>0</v>
      </c>
      <c r="S772">
        <f t="shared" si="117"/>
        <v>0</v>
      </c>
      <c r="T772">
        <f t="shared" si="118"/>
        <v>0</v>
      </c>
      <c r="U772">
        <f t="shared" si="119"/>
        <v>0</v>
      </c>
      <c r="V772">
        <f t="shared" si="120"/>
        <v>0</v>
      </c>
      <c r="W772">
        <f t="shared" si="121"/>
        <v>1</v>
      </c>
      <c r="X772">
        <f t="shared" si="122"/>
        <v>1</v>
      </c>
      <c r="Y772">
        <f t="shared" si="123"/>
        <v>0</v>
      </c>
      <c r="Z772">
        <f t="shared" si="124"/>
        <v>0</v>
      </c>
    </row>
    <row r="773" spans="1:26" hidden="1" outlineLevel="1" x14ac:dyDescent="0.3">
      <c r="A773" t="s">
        <v>1997</v>
      </c>
      <c r="B773">
        <v>12</v>
      </c>
      <c r="C773">
        <f>IF(ISNUMBER($V$707),$V$707,0)</f>
        <v>0</v>
      </c>
      <c r="D773">
        <f>IF(ISNUMBER($W$707),$W$707,0)</f>
        <v>0</v>
      </c>
      <c r="E773">
        <f>IF(ISNUMBER($X$707),$X$707,0)</f>
        <v>0</v>
      </c>
      <c r="F773">
        <f>IF(ISNUMBER($Y$707),$Y$707,0)</f>
        <v>0</v>
      </c>
      <c r="G773">
        <f>IF(ISNUMBER($Z$707),$Z$707,0)</f>
        <v>0</v>
      </c>
      <c r="H773">
        <f>IF(ISNUMBER($AA$707),$AA$707,0)</f>
        <v>0</v>
      </c>
      <c r="I773">
        <f>IF(AND(ISNUMBER($V$707),ISNUMBER($X$707),ISNUMBER($Z$707),$X$707&gt;$V$707,$Z$707&gt;$X$707),1,0)</f>
        <v>0</v>
      </c>
      <c r="J773">
        <f>IF($I773=1,IF(ISNUMBER($AL$707),$AL$707,10000),0)</f>
        <v>0</v>
      </c>
      <c r="K773">
        <f t="shared" si="109"/>
        <v>0</v>
      </c>
      <c r="L773">
        <f t="shared" si="110"/>
        <v>0</v>
      </c>
      <c r="M773">
        <f t="shared" si="111"/>
        <v>0</v>
      </c>
      <c r="N773">
        <f t="shared" si="112"/>
        <v>0</v>
      </c>
      <c r="O773">
        <f t="shared" si="113"/>
        <v>0</v>
      </c>
      <c r="P773">
        <f t="shared" si="114"/>
        <v>0</v>
      </c>
      <c r="Q773">
        <f t="shared" si="115"/>
        <v>0</v>
      </c>
      <c r="R773">
        <f t="shared" si="116"/>
        <v>0</v>
      </c>
      <c r="S773">
        <f t="shared" si="117"/>
        <v>0</v>
      </c>
      <c r="T773">
        <f t="shared" si="118"/>
        <v>0</v>
      </c>
      <c r="U773">
        <f t="shared" si="119"/>
        <v>0</v>
      </c>
      <c r="V773">
        <f t="shared" si="120"/>
        <v>0</v>
      </c>
      <c r="W773">
        <f t="shared" si="121"/>
        <v>1</v>
      </c>
      <c r="X773">
        <f t="shared" si="122"/>
        <v>1</v>
      </c>
      <c r="Y773">
        <f t="shared" si="123"/>
        <v>0</v>
      </c>
      <c r="Z773">
        <f t="shared" si="124"/>
        <v>0</v>
      </c>
    </row>
    <row r="774" spans="1:26" hidden="1" outlineLevel="1" x14ac:dyDescent="0.3">
      <c r="A774" t="s">
        <v>1998</v>
      </c>
    </row>
    <row r="775" spans="1:26" hidden="1" outlineLevel="1" x14ac:dyDescent="0.3">
      <c r="A775" t="s">
        <v>1999</v>
      </c>
      <c r="B775">
        <v>2</v>
      </c>
      <c r="C775">
        <f>IF(ISNUMBER($B$708),$B$708,0)</f>
        <v>0</v>
      </c>
      <c r="D775">
        <f>IF(ISNUMBER($C$708),$C$708,0)</f>
        <v>600</v>
      </c>
      <c r="E775">
        <f>IF(ISNUMBER($D$708),$D$708,0)</f>
        <v>23550</v>
      </c>
      <c r="F775">
        <f>IF(ISNUMBER($E$708),$E$708,0)</f>
        <v>600</v>
      </c>
      <c r="G775">
        <f>IF(ISNUMBER($F$708),$F$708,0)</f>
        <v>0</v>
      </c>
      <c r="H775">
        <f>IF(ISNUMBER($G$708),$G$708,0)</f>
        <v>0</v>
      </c>
      <c r="I775">
        <f>IF(AND(ISNUMBER($B$708),ISNUMBER($D$708),ISNUMBER($F$708),$D$708&gt;$B$708,$F$708&gt;$D$708),1,0)</f>
        <v>0</v>
      </c>
      <c r="J775">
        <f>IF($I775=1,IF(ISNUMBER($AB$708),$AB$708,10000),0)</f>
        <v>0</v>
      </c>
      <c r="K775">
        <f t="shared" ref="K775:K785" si="125">IF($I775=1,($F775-$D775)/($E775-$C775),0)</f>
        <v>0</v>
      </c>
      <c r="L775">
        <f t="shared" ref="L775:L785" si="126">IF($I775=1,($H775-$F775)/($G775-$E775),0)</f>
        <v>0</v>
      </c>
      <c r="M775">
        <f t="shared" ref="M775:M785" si="127">ATAN($K775)</f>
        <v>0</v>
      </c>
      <c r="N775">
        <f t="shared" ref="N775:N785" si="128">ATAN($L775)</f>
        <v>0</v>
      </c>
      <c r="O775">
        <f t="shared" ref="O775:O785" si="129">$N775-$M775</f>
        <v>0</v>
      </c>
      <c r="P775">
        <f t="shared" ref="P775:P785" si="130">IF($I775=1,$J775*TAN(ABS($O775)/2),0)</f>
        <v>0</v>
      </c>
      <c r="Q775">
        <f t="shared" ref="Q775:Q785" si="131">$E775-$P775*COS($M775)</f>
        <v>23550</v>
      </c>
      <c r="R775">
        <f t="shared" ref="R775:R785" si="132">$E775+$P775*COS($N775)</f>
        <v>23550</v>
      </c>
      <c r="S775">
        <f t="shared" ref="S775:S785" si="133">$F775-$P775*SIN($M775)</f>
        <v>600</v>
      </c>
      <c r="T775">
        <f t="shared" ref="T775:T785" si="134">SIGN($L775-$K775)</f>
        <v>0</v>
      </c>
      <c r="U775">
        <f t="shared" ref="U775:U785" si="135">$Q775-$T775*$J775*SIN($M775)</f>
        <v>23550</v>
      </c>
      <c r="V775">
        <f t="shared" ref="V775:V785" si="136">$S775+$T775*$J775*COS($M775)</f>
        <v>600</v>
      </c>
      <c r="W775">
        <f t="shared" ref="W775:W785" si="137">IF($I775=0,1,IF(AND($P775*COS($M775)&lt;=($E775-$C775)+0.001,$P775*COS($N775)&lt;=($G775-$E775)+0.001),1,0))</f>
        <v>1</v>
      </c>
      <c r="X775">
        <f t="shared" ref="X775:X785" si="138">IF(OR($I775=0,$I776=0),1,IF($R775&lt;=$Q776+0.001,1,0))</f>
        <v>1</v>
      </c>
      <c r="Y775">
        <f t="shared" ref="Y775:Y785" si="139">IF($Z775=1,$T775*($D$13-$U775)/SQRT(MAX(0.000000001,$J775^2-($D$13-$U775)^2)),0)</f>
        <v>0</v>
      </c>
      <c r="Z775">
        <f t="shared" ref="Z775:Z785" si="140">IF(AND($I775=1,$W775=1,$D$13&gt;=$Q775,$D$13&lt;=$R775),1,0)</f>
        <v>0</v>
      </c>
    </row>
    <row r="776" spans="1:26" hidden="1" outlineLevel="1" x14ac:dyDescent="0.3">
      <c r="A776" t="s">
        <v>2000</v>
      </c>
      <c r="B776">
        <v>3</v>
      </c>
      <c r="C776">
        <f>IF(ISNUMBER($D$708),$D$708,0)</f>
        <v>23550</v>
      </c>
      <c r="D776">
        <f>IF(ISNUMBER($E$708),$E$708,0)</f>
        <v>600</v>
      </c>
      <c r="E776">
        <f>IF(ISNUMBER($F$708),$F$708,0)</f>
        <v>0</v>
      </c>
      <c r="F776">
        <f>IF(ISNUMBER($G$708),$G$708,0)</f>
        <v>0</v>
      </c>
      <c r="G776">
        <f>IF(ISNUMBER($H$708),$H$708,0)</f>
        <v>0</v>
      </c>
      <c r="H776">
        <f>IF(ISNUMBER($I$708),$I$708,0)</f>
        <v>0</v>
      </c>
      <c r="I776">
        <f>IF(AND(ISNUMBER($D$708),ISNUMBER($F$708),ISNUMBER($H$708),$F$708&gt;$D$708,$H$708&gt;$F$708),1,0)</f>
        <v>0</v>
      </c>
      <c r="J776">
        <f>IF($I776=1,IF(ISNUMBER($AC$708),$AC$708,10000),0)</f>
        <v>0</v>
      </c>
      <c r="K776">
        <f t="shared" si="125"/>
        <v>0</v>
      </c>
      <c r="L776">
        <f t="shared" si="126"/>
        <v>0</v>
      </c>
      <c r="M776">
        <f t="shared" si="127"/>
        <v>0</v>
      </c>
      <c r="N776">
        <f t="shared" si="128"/>
        <v>0</v>
      </c>
      <c r="O776">
        <f t="shared" si="129"/>
        <v>0</v>
      </c>
      <c r="P776">
        <f t="shared" si="130"/>
        <v>0</v>
      </c>
      <c r="Q776">
        <f t="shared" si="131"/>
        <v>0</v>
      </c>
      <c r="R776">
        <f t="shared" si="132"/>
        <v>0</v>
      </c>
      <c r="S776">
        <f t="shared" si="133"/>
        <v>0</v>
      </c>
      <c r="T776">
        <f t="shared" si="134"/>
        <v>0</v>
      </c>
      <c r="U776">
        <f t="shared" si="135"/>
        <v>0</v>
      </c>
      <c r="V776">
        <f t="shared" si="136"/>
        <v>0</v>
      </c>
      <c r="W776">
        <f t="shared" si="137"/>
        <v>1</v>
      </c>
      <c r="X776">
        <f t="shared" si="138"/>
        <v>1</v>
      </c>
      <c r="Y776">
        <f t="shared" si="139"/>
        <v>0</v>
      </c>
      <c r="Z776">
        <f t="shared" si="140"/>
        <v>0</v>
      </c>
    </row>
    <row r="777" spans="1:26" hidden="1" outlineLevel="1" x14ac:dyDescent="0.3">
      <c r="A777" t="s">
        <v>2001</v>
      </c>
      <c r="B777">
        <v>4</v>
      </c>
      <c r="C777">
        <f>IF(ISNUMBER($F$708),$F$708,0)</f>
        <v>0</v>
      </c>
      <c r="D777">
        <f>IF(ISNUMBER($G$708),$G$708,0)</f>
        <v>0</v>
      </c>
      <c r="E777">
        <f>IF(ISNUMBER($H$708),$H$708,0)</f>
        <v>0</v>
      </c>
      <c r="F777">
        <f>IF(ISNUMBER($I$708),$I$708,0)</f>
        <v>0</v>
      </c>
      <c r="G777">
        <f>IF(ISNUMBER($J$708),$J$708,0)</f>
        <v>0</v>
      </c>
      <c r="H777">
        <f>IF(ISNUMBER($K$708),$K$708,0)</f>
        <v>0</v>
      </c>
      <c r="I777">
        <f>IF(AND(ISNUMBER($F$708),ISNUMBER($H$708),ISNUMBER($J$708),$H$708&gt;$F$708,$J$708&gt;$H$708),1,0)</f>
        <v>0</v>
      </c>
      <c r="J777">
        <f>IF($I777=1,IF(ISNUMBER($AD$708),$AD$708,10000),0)</f>
        <v>0</v>
      </c>
      <c r="K777">
        <f t="shared" si="125"/>
        <v>0</v>
      </c>
      <c r="L777">
        <f t="shared" si="126"/>
        <v>0</v>
      </c>
      <c r="M777">
        <f t="shared" si="127"/>
        <v>0</v>
      </c>
      <c r="N777">
        <f t="shared" si="128"/>
        <v>0</v>
      </c>
      <c r="O777">
        <f t="shared" si="129"/>
        <v>0</v>
      </c>
      <c r="P777">
        <f t="shared" si="130"/>
        <v>0</v>
      </c>
      <c r="Q777">
        <f t="shared" si="131"/>
        <v>0</v>
      </c>
      <c r="R777">
        <f t="shared" si="132"/>
        <v>0</v>
      </c>
      <c r="S777">
        <f t="shared" si="133"/>
        <v>0</v>
      </c>
      <c r="T777">
        <f t="shared" si="134"/>
        <v>0</v>
      </c>
      <c r="U777">
        <f t="shared" si="135"/>
        <v>0</v>
      </c>
      <c r="V777">
        <f t="shared" si="136"/>
        <v>0</v>
      </c>
      <c r="W777">
        <f t="shared" si="137"/>
        <v>1</v>
      </c>
      <c r="X777">
        <f t="shared" si="138"/>
        <v>1</v>
      </c>
      <c r="Y777">
        <f t="shared" si="139"/>
        <v>0</v>
      </c>
      <c r="Z777">
        <f t="shared" si="140"/>
        <v>0</v>
      </c>
    </row>
    <row r="778" spans="1:26" hidden="1" outlineLevel="1" x14ac:dyDescent="0.3">
      <c r="A778" t="s">
        <v>2002</v>
      </c>
      <c r="B778">
        <v>5</v>
      </c>
      <c r="C778">
        <f>IF(ISNUMBER($H$708),$H$708,0)</f>
        <v>0</v>
      </c>
      <c r="D778">
        <f>IF(ISNUMBER($I$708),$I$708,0)</f>
        <v>0</v>
      </c>
      <c r="E778">
        <f>IF(ISNUMBER($J$708),$J$708,0)</f>
        <v>0</v>
      </c>
      <c r="F778">
        <f>IF(ISNUMBER($K$708),$K$708,0)</f>
        <v>0</v>
      </c>
      <c r="G778">
        <f>IF(ISNUMBER($L$708),$L$708,0)</f>
        <v>0</v>
      </c>
      <c r="H778">
        <f>IF(ISNUMBER($M$708),$M$708,0)</f>
        <v>0</v>
      </c>
      <c r="I778">
        <f>IF(AND(ISNUMBER($H$708),ISNUMBER($J$708),ISNUMBER($L$708),$J$708&gt;$H$708,$L$708&gt;$J$708),1,0)</f>
        <v>0</v>
      </c>
      <c r="J778">
        <f>IF($I778=1,IF(ISNUMBER($AE$708),$AE$708,10000),0)</f>
        <v>0</v>
      </c>
      <c r="K778">
        <f t="shared" si="125"/>
        <v>0</v>
      </c>
      <c r="L778">
        <f t="shared" si="126"/>
        <v>0</v>
      </c>
      <c r="M778">
        <f t="shared" si="127"/>
        <v>0</v>
      </c>
      <c r="N778">
        <f t="shared" si="128"/>
        <v>0</v>
      </c>
      <c r="O778">
        <f t="shared" si="129"/>
        <v>0</v>
      </c>
      <c r="P778">
        <f t="shared" si="130"/>
        <v>0</v>
      </c>
      <c r="Q778">
        <f t="shared" si="131"/>
        <v>0</v>
      </c>
      <c r="R778">
        <f t="shared" si="132"/>
        <v>0</v>
      </c>
      <c r="S778">
        <f t="shared" si="133"/>
        <v>0</v>
      </c>
      <c r="T778">
        <f t="shared" si="134"/>
        <v>0</v>
      </c>
      <c r="U778">
        <f t="shared" si="135"/>
        <v>0</v>
      </c>
      <c r="V778">
        <f t="shared" si="136"/>
        <v>0</v>
      </c>
      <c r="W778">
        <f t="shared" si="137"/>
        <v>1</v>
      </c>
      <c r="X778">
        <f t="shared" si="138"/>
        <v>1</v>
      </c>
      <c r="Y778">
        <f t="shared" si="139"/>
        <v>0</v>
      </c>
      <c r="Z778">
        <f t="shared" si="140"/>
        <v>0</v>
      </c>
    </row>
    <row r="779" spans="1:26" hidden="1" outlineLevel="1" x14ac:dyDescent="0.3">
      <c r="A779" t="s">
        <v>2003</v>
      </c>
      <c r="B779">
        <v>6</v>
      </c>
      <c r="C779">
        <f>IF(ISNUMBER($J$708),$J$708,0)</f>
        <v>0</v>
      </c>
      <c r="D779">
        <f>IF(ISNUMBER($K$708),$K$708,0)</f>
        <v>0</v>
      </c>
      <c r="E779">
        <f>IF(ISNUMBER($L$708),$L$708,0)</f>
        <v>0</v>
      </c>
      <c r="F779">
        <f>IF(ISNUMBER($M$708),$M$708,0)</f>
        <v>0</v>
      </c>
      <c r="G779">
        <f>IF(ISNUMBER($N$708),$N$708,0)</f>
        <v>0</v>
      </c>
      <c r="H779">
        <f>IF(ISNUMBER($O$708),$O$708,0)</f>
        <v>0</v>
      </c>
      <c r="I779">
        <f>IF(AND(ISNUMBER($J$708),ISNUMBER($L$708),ISNUMBER($N$708),$L$708&gt;$J$708,$N$708&gt;$L$708),1,0)</f>
        <v>0</v>
      </c>
      <c r="J779">
        <f>IF($I779=1,IF(ISNUMBER($AF$708),$AF$708,10000),0)</f>
        <v>0</v>
      </c>
      <c r="K779">
        <f t="shared" si="125"/>
        <v>0</v>
      </c>
      <c r="L779">
        <f t="shared" si="126"/>
        <v>0</v>
      </c>
      <c r="M779">
        <f t="shared" si="127"/>
        <v>0</v>
      </c>
      <c r="N779">
        <f t="shared" si="128"/>
        <v>0</v>
      </c>
      <c r="O779">
        <f t="shared" si="129"/>
        <v>0</v>
      </c>
      <c r="P779">
        <f t="shared" si="130"/>
        <v>0</v>
      </c>
      <c r="Q779">
        <f t="shared" si="131"/>
        <v>0</v>
      </c>
      <c r="R779">
        <f t="shared" si="132"/>
        <v>0</v>
      </c>
      <c r="S779">
        <f t="shared" si="133"/>
        <v>0</v>
      </c>
      <c r="T779">
        <f t="shared" si="134"/>
        <v>0</v>
      </c>
      <c r="U779">
        <f t="shared" si="135"/>
        <v>0</v>
      </c>
      <c r="V779">
        <f t="shared" si="136"/>
        <v>0</v>
      </c>
      <c r="W779">
        <f t="shared" si="137"/>
        <v>1</v>
      </c>
      <c r="X779">
        <f t="shared" si="138"/>
        <v>1</v>
      </c>
      <c r="Y779">
        <f t="shared" si="139"/>
        <v>0</v>
      </c>
      <c r="Z779">
        <f t="shared" si="140"/>
        <v>0</v>
      </c>
    </row>
    <row r="780" spans="1:26" hidden="1" outlineLevel="1" x14ac:dyDescent="0.3">
      <c r="A780" t="s">
        <v>2004</v>
      </c>
      <c r="B780">
        <v>7</v>
      </c>
      <c r="C780">
        <f>IF(ISNUMBER($L$708),$L$708,0)</f>
        <v>0</v>
      </c>
      <c r="D780">
        <f>IF(ISNUMBER($M$708),$M$708,0)</f>
        <v>0</v>
      </c>
      <c r="E780">
        <f>IF(ISNUMBER($N$708),$N$708,0)</f>
        <v>0</v>
      </c>
      <c r="F780">
        <f>IF(ISNUMBER($O$708),$O$708,0)</f>
        <v>0</v>
      </c>
      <c r="G780">
        <f>IF(ISNUMBER($P$708),$P$708,0)</f>
        <v>0</v>
      </c>
      <c r="H780">
        <f>IF(ISNUMBER($Q$708),$Q$708,0)</f>
        <v>0</v>
      </c>
      <c r="I780">
        <f>IF(AND(ISNUMBER($L$708),ISNUMBER($N$708),ISNUMBER($P$708),$N$708&gt;$L$708,$P$708&gt;$N$708),1,0)</f>
        <v>0</v>
      </c>
      <c r="J780">
        <f>IF($I780=1,IF(ISNUMBER($AG$708),$AG$708,10000),0)</f>
        <v>0</v>
      </c>
      <c r="K780">
        <f t="shared" si="125"/>
        <v>0</v>
      </c>
      <c r="L780">
        <f t="shared" si="126"/>
        <v>0</v>
      </c>
      <c r="M780">
        <f t="shared" si="127"/>
        <v>0</v>
      </c>
      <c r="N780">
        <f t="shared" si="128"/>
        <v>0</v>
      </c>
      <c r="O780">
        <f t="shared" si="129"/>
        <v>0</v>
      </c>
      <c r="P780">
        <f t="shared" si="130"/>
        <v>0</v>
      </c>
      <c r="Q780">
        <f t="shared" si="131"/>
        <v>0</v>
      </c>
      <c r="R780">
        <f t="shared" si="132"/>
        <v>0</v>
      </c>
      <c r="S780">
        <f t="shared" si="133"/>
        <v>0</v>
      </c>
      <c r="T780">
        <f t="shared" si="134"/>
        <v>0</v>
      </c>
      <c r="U780">
        <f t="shared" si="135"/>
        <v>0</v>
      </c>
      <c r="V780">
        <f t="shared" si="136"/>
        <v>0</v>
      </c>
      <c r="W780">
        <f t="shared" si="137"/>
        <v>1</v>
      </c>
      <c r="X780">
        <f t="shared" si="138"/>
        <v>1</v>
      </c>
      <c r="Y780">
        <f t="shared" si="139"/>
        <v>0</v>
      </c>
      <c r="Z780">
        <f t="shared" si="140"/>
        <v>0</v>
      </c>
    </row>
    <row r="781" spans="1:26" hidden="1" outlineLevel="1" x14ac:dyDescent="0.3">
      <c r="A781" t="s">
        <v>2005</v>
      </c>
      <c r="B781">
        <v>8</v>
      </c>
      <c r="C781">
        <f>IF(ISNUMBER($N$708),$N$708,0)</f>
        <v>0</v>
      </c>
      <c r="D781">
        <f>IF(ISNUMBER($O$708),$O$708,0)</f>
        <v>0</v>
      </c>
      <c r="E781">
        <f>IF(ISNUMBER($P$708),$P$708,0)</f>
        <v>0</v>
      </c>
      <c r="F781">
        <f>IF(ISNUMBER($Q$708),$Q$708,0)</f>
        <v>0</v>
      </c>
      <c r="G781">
        <f>IF(ISNUMBER($R$708),$R$708,0)</f>
        <v>0</v>
      </c>
      <c r="H781">
        <f>IF(ISNUMBER($S$708),$S$708,0)</f>
        <v>0</v>
      </c>
      <c r="I781">
        <f>IF(AND(ISNUMBER($N$708),ISNUMBER($P$708),ISNUMBER($R$708),$P$708&gt;$N$708,$R$708&gt;$P$708),1,0)</f>
        <v>0</v>
      </c>
      <c r="J781">
        <f>IF($I781=1,IF(ISNUMBER($AH$708),$AH$708,10000),0)</f>
        <v>0</v>
      </c>
      <c r="K781">
        <f t="shared" si="125"/>
        <v>0</v>
      </c>
      <c r="L781">
        <f t="shared" si="126"/>
        <v>0</v>
      </c>
      <c r="M781">
        <f t="shared" si="127"/>
        <v>0</v>
      </c>
      <c r="N781">
        <f t="shared" si="128"/>
        <v>0</v>
      </c>
      <c r="O781">
        <f t="shared" si="129"/>
        <v>0</v>
      </c>
      <c r="P781">
        <f t="shared" si="130"/>
        <v>0</v>
      </c>
      <c r="Q781">
        <f t="shared" si="131"/>
        <v>0</v>
      </c>
      <c r="R781">
        <f t="shared" si="132"/>
        <v>0</v>
      </c>
      <c r="S781">
        <f t="shared" si="133"/>
        <v>0</v>
      </c>
      <c r="T781">
        <f t="shared" si="134"/>
        <v>0</v>
      </c>
      <c r="U781">
        <f t="shared" si="135"/>
        <v>0</v>
      </c>
      <c r="V781">
        <f t="shared" si="136"/>
        <v>0</v>
      </c>
      <c r="W781">
        <f t="shared" si="137"/>
        <v>1</v>
      </c>
      <c r="X781">
        <f t="shared" si="138"/>
        <v>1</v>
      </c>
      <c r="Y781">
        <f t="shared" si="139"/>
        <v>0</v>
      </c>
      <c r="Z781">
        <f t="shared" si="140"/>
        <v>0</v>
      </c>
    </row>
    <row r="782" spans="1:26" hidden="1" outlineLevel="1" x14ac:dyDescent="0.3">
      <c r="A782" t="s">
        <v>2006</v>
      </c>
      <c r="B782">
        <v>9</v>
      </c>
      <c r="C782">
        <f>IF(ISNUMBER($P$708),$P$708,0)</f>
        <v>0</v>
      </c>
      <c r="D782">
        <f>IF(ISNUMBER($Q$708),$Q$708,0)</f>
        <v>0</v>
      </c>
      <c r="E782">
        <f>IF(ISNUMBER($R$708),$R$708,0)</f>
        <v>0</v>
      </c>
      <c r="F782">
        <f>IF(ISNUMBER($S$708),$S$708,0)</f>
        <v>0</v>
      </c>
      <c r="G782">
        <f>IF(ISNUMBER($T$708),$T$708,0)</f>
        <v>0</v>
      </c>
      <c r="H782">
        <f>IF(ISNUMBER($U$708),$U$708,0)</f>
        <v>0</v>
      </c>
      <c r="I782">
        <f>IF(AND(ISNUMBER($P$708),ISNUMBER($R$708),ISNUMBER($T$708),$R$708&gt;$P$708,$T$708&gt;$R$708),1,0)</f>
        <v>0</v>
      </c>
      <c r="J782">
        <f>IF($I782=1,IF(ISNUMBER($AI$708),$AI$708,10000),0)</f>
        <v>0</v>
      </c>
      <c r="K782">
        <f t="shared" si="125"/>
        <v>0</v>
      </c>
      <c r="L782">
        <f t="shared" si="126"/>
        <v>0</v>
      </c>
      <c r="M782">
        <f t="shared" si="127"/>
        <v>0</v>
      </c>
      <c r="N782">
        <f t="shared" si="128"/>
        <v>0</v>
      </c>
      <c r="O782">
        <f t="shared" si="129"/>
        <v>0</v>
      </c>
      <c r="P782">
        <f t="shared" si="130"/>
        <v>0</v>
      </c>
      <c r="Q782">
        <f t="shared" si="131"/>
        <v>0</v>
      </c>
      <c r="R782">
        <f t="shared" si="132"/>
        <v>0</v>
      </c>
      <c r="S782">
        <f t="shared" si="133"/>
        <v>0</v>
      </c>
      <c r="T782">
        <f t="shared" si="134"/>
        <v>0</v>
      </c>
      <c r="U782">
        <f t="shared" si="135"/>
        <v>0</v>
      </c>
      <c r="V782">
        <f t="shared" si="136"/>
        <v>0</v>
      </c>
      <c r="W782">
        <f t="shared" si="137"/>
        <v>1</v>
      </c>
      <c r="X782">
        <f t="shared" si="138"/>
        <v>1</v>
      </c>
      <c r="Y782">
        <f t="shared" si="139"/>
        <v>0</v>
      </c>
      <c r="Z782">
        <f t="shared" si="140"/>
        <v>0</v>
      </c>
    </row>
    <row r="783" spans="1:26" hidden="1" outlineLevel="1" x14ac:dyDescent="0.3">
      <c r="A783" t="s">
        <v>2007</v>
      </c>
      <c r="B783">
        <v>10</v>
      </c>
      <c r="C783">
        <f>IF(ISNUMBER($R$708),$R$708,0)</f>
        <v>0</v>
      </c>
      <c r="D783">
        <f>IF(ISNUMBER($S$708),$S$708,0)</f>
        <v>0</v>
      </c>
      <c r="E783">
        <f>IF(ISNUMBER($T$708),$T$708,0)</f>
        <v>0</v>
      </c>
      <c r="F783">
        <f>IF(ISNUMBER($U$708),$U$708,0)</f>
        <v>0</v>
      </c>
      <c r="G783">
        <f>IF(ISNUMBER($V$708),$V$708,0)</f>
        <v>0</v>
      </c>
      <c r="H783">
        <f>IF(ISNUMBER($W$708),$W$708,0)</f>
        <v>0</v>
      </c>
      <c r="I783">
        <f>IF(AND(ISNUMBER($R$708),ISNUMBER($T$708),ISNUMBER($V$708),$T$708&gt;$R$708,$V$708&gt;$T$708),1,0)</f>
        <v>0</v>
      </c>
      <c r="J783">
        <f>IF($I783=1,IF(ISNUMBER($AJ$708),$AJ$708,10000),0)</f>
        <v>0</v>
      </c>
      <c r="K783">
        <f t="shared" si="125"/>
        <v>0</v>
      </c>
      <c r="L783">
        <f t="shared" si="126"/>
        <v>0</v>
      </c>
      <c r="M783">
        <f t="shared" si="127"/>
        <v>0</v>
      </c>
      <c r="N783">
        <f t="shared" si="128"/>
        <v>0</v>
      </c>
      <c r="O783">
        <f t="shared" si="129"/>
        <v>0</v>
      </c>
      <c r="P783">
        <f t="shared" si="130"/>
        <v>0</v>
      </c>
      <c r="Q783">
        <f t="shared" si="131"/>
        <v>0</v>
      </c>
      <c r="R783">
        <f t="shared" si="132"/>
        <v>0</v>
      </c>
      <c r="S783">
        <f t="shared" si="133"/>
        <v>0</v>
      </c>
      <c r="T783">
        <f t="shared" si="134"/>
        <v>0</v>
      </c>
      <c r="U783">
        <f t="shared" si="135"/>
        <v>0</v>
      </c>
      <c r="V783">
        <f t="shared" si="136"/>
        <v>0</v>
      </c>
      <c r="W783">
        <f t="shared" si="137"/>
        <v>1</v>
      </c>
      <c r="X783">
        <f t="shared" si="138"/>
        <v>1</v>
      </c>
      <c r="Y783">
        <f t="shared" si="139"/>
        <v>0</v>
      </c>
      <c r="Z783">
        <f t="shared" si="140"/>
        <v>0</v>
      </c>
    </row>
    <row r="784" spans="1:26" hidden="1" outlineLevel="1" x14ac:dyDescent="0.3">
      <c r="A784" t="s">
        <v>2008</v>
      </c>
      <c r="B784">
        <v>11</v>
      </c>
      <c r="C784">
        <f>IF(ISNUMBER($T$708),$T$708,0)</f>
        <v>0</v>
      </c>
      <c r="D784">
        <f>IF(ISNUMBER($U$708),$U$708,0)</f>
        <v>0</v>
      </c>
      <c r="E784">
        <f>IF(ISNUMBER($V$708),$V$708,0)</f>
        <v>0</v>
      </c>
      <c r="F784">
        <f>IF(ISNUMBER($W$708),$W$708,0)</f>
        <v>0</v>
      </c>
      <c r="G784">
        <f>IF(ISNUMBER($X$708),$X$708,0)</f>
        <v>0</v>
      </c>
      <c r="H784">
        <f>IF(ISNUMBER($Y$708),$Y$708,0)</f>
        <v>0</v>
      </c>
      <c r="I784">
        <f>IF(AND(ISNUMBER($T$708),ISNUMBER($V$708),ISNUMBER($X$708),$V$708&gt;$T$708,$X$708&gt;$V$708),1,0)</f>
        <v>0</v>
      </c>
      <c r="J784">
        <f>IF($I784=1,IF(ISNUMBER($AK$708),$AK$708,10000),0)</f>
        <v>0</v>
      </c>
      <c r="K784">
        <f t="shared" si="125"/>
        <v>0</v>
      </c>
      <c r="L784">
        <f t="shared" si="126"/>
        <v>0</v>
      </c>
      <c r="M784">
        <f t="shared" si="127"/>
        <v>0</v>
      </c>
      <c r="N784">
        <f t="shared" si="128"/>
        <v>0</v>
      </c>
      <c r="O784">
        <f t="shared" si="129"/>
        <v>0</v>
      </c>
      <c r="P784">
        <f t="shared" si="130"/>
        <v>0</v>
      </c>
      <c r="Q784">
        <f t="shared" si="131"/>
        <v>0</v>
      </c>
      <c r="R784">
        <f t="shared" si="132"/>
        <v>0</v>
      </c>
      <c r="S784">
        <f t="shared" si="133"/>
        <v>0</v>
      </c>
      <c r="T784">
        <f t="shared" si="134"/>
        <v>0</v>
      </c>
      <c r="U784">
        <f t="shared" si="135"/>
        <v>0</v>
      </c>
      <c r="V784">
        <f t="shared" si="136"/>
        <v>0</v>
      </c>
      <c r="W784">
        <f t="shared" si="137"/>
        <v>1</v>
      </c>
      <c r="X784">
        <f t="shared" si="138"/>
        <v>1</v>
      </c>
      <c r="Y784">
        <f t="shared" si="139"/>
        <v>0</v>
      </c>
      <c r="Z784">
        <f t="shared" si="140"/>
        <v>0</v>
      </c>
    </row>
    <row r="785" spans="1:41" hidden="1" outlineLevel="1" x14ac:dyDescent="0.3">
      <c r="A785" t="s">
        <v>2009</v>
      </c>
      <c r="B785">
        <v>12</v>
      </c>
      <c r="C785">
        <f>IF(ISNUMBER($V$708),$V$708,0)</f>
        <v>0</v>
      </c>
      <c r="D785">
        <f>IF(ISNUMBER($W$708),$W$708,0)</f>
        <v>0</v>
      </c>
      <c r="E785">
        <f>IF(ISNUMBER($X$708),$X$708,0)</f>
        <v>0</v>
      </c>
      <c r="F785">
        <f>IF(ISNUMBER($Y$708),$Y$708,0)</f>
        <v>0</v>
      </c>
      <c r="G785">
        <f>IF(ISNUMBER($Z$708),$Z$708,0)</f>
        <v>0</v>
      </c>
      <c r="H785">
        <f>IF(ISNUMBER($AA$708),$AA$708,0)</f>
        <v>0</v>
      </c>
      <c r="I785">
        <f>IF(AND(ISNUMBER($V$708),ISNUMBER($X$708),ISNUMBER($Z$708),$X$708&gt;$V$708,$Z$708&gt;$X$708),1,0)</f>
        <v>0</v>
      </c>
      <c r="J785">
        <f>IF($I785=1,IF(ISNUMBER($AL$708),$AL$708,10000),0)</f>
        <v>0</v>
      </c>
      <c r="K785">
        <f t="shared" si="125"/>
        <v>0</v>
      </c>
      <c r="L785">
        <f t="shared" si="126"/>
        <v>0</v>
      </c>
      <c r="M785">
        <f t="shared" si="127"/>
        <v>0</v>
      </c>
      <c r="N785">
        <f t="shared" si="128"/>
        <v>0</v>
      </c>
      <c r="O785">
        <f t="shared" si="129"/>
        <v>0</v>
      </c>
      <c r="P785">
        <f t="shared" si="130"/>
        <v>0</v>
      </c>
      <c r="Q785">
        <f t="shared" si="131"/>
        <v>0</v>
      </c>
      <c r="R785">
        <f t="shared" si="132"/>
        <v>0</v>
      </c>
      <c r="S785">
        <f t="shared" si="133"/>
        <v>0</v>
      </c>
      <c r="T785">
        <f t="shared" si="134"/>
        <v>0</v>
      </c>
      <c r="U785">
        <f t="shared" si="135"/>
        <v>0</v>
      </c>
      <c r="V785">
        <f t="shared" si="136"/>
        <v>0</v>
      </c>
      <c r="W785">
        <f t="shared" si="137"/>
        <v>1</v>
      </c>
      <c r="X785">
        <f t="shared" si="138"/>
        <v>1</v>
      </c>
      <c r="Y785">
        <f t="shared" si="139"/>
        <v>0</v>
      </c>
      <c r="Z785">
        <f t="shared" si="140"/>
        <v>0</v>
      </c>
    </row>
    <row r="786" spans="1:41" hidden="1" outlineLevel="1" x14ac:dyDescent="0.3">
      <c r="A786" t="s">
        <v>2010</v>
      </c>
    </row>
    <row r="787" spans="1:41" hidden="1" outlineLevel="1" x14ac:dyDescent="0.3">
      <c r="A787" t="s">
        <v>2011</v>
      </c>
      <c r="B787">
        <v>2</v>
      </c>
      <c r="C787">
        <f>IF(ISNUMBER($B$709),$B$709,0)</f>
        <v>0</v>
      </c>
      <c r="D787">
        <f>IF(ISNUMBER($C$709),$C$709,0)</f>
        <v>600</v>
      </c>
      <c r="E787">
        <f>IF(ISNUMBER($D$709),$D$709,0)</f>
        <v>23550</v>
      </c>
      <c r="F787">
        <f>IF(ISNUMBER($E$709),$E$709,0)</f>
        <v>600</v>
      </c>
      <c r="G787">
        <f>IF(ISNUMBER($F$709),$F$709,0)</f>
        <v>0</v>
      </c>
      <c r="H787">
        <f>IF(ISNUMBER($G$709),$G$709,0)</f>
        <v>0</v>
      </c>
      <c r="I787">
        <f>IF(AND(ISNUMBER($B$709),ISNUMBER($D$709),ISNUMBER($F$709),$D$709&gt;$B$709,$F$709&gt;$D$709),1,0)</f>
        <v>0</v>
      </c>
      <c r="J787">
        <f>IF($I787=1,IF(ISNUMBER($AB$709),$AB$709,10000),0)</f>
        <v>0</v>
      </c>
      <c r="K787">
        <f t="shared" ref="K787:K797" si="141">IF($I787=1,($F787-$D787)/($E787-$C787),0)</f>
        <v>0</v>
      </c>
      <c r="L787">
        <f t="shared" ref="L787:L797" si="142">IF($I787=1,($H787-$F787)/($G787-$E787),0)</f>
        <v>0</v>
      </c>
      <c r="M787">
        <f t="shared" ref="M787:M797" si="143">ATAN($K787)</f>
        <v>0</v>
      </c>
      <c r="N787">
        <f t="shared" ref="N787:N797" si="144">ATAN($L787)</f>
        <v>0</v>
      </c>
      <c r="O787">
        <f t="shared" ref="O787:O797" si="145">$N787-$M787</f>
        <v>0</v>
      </c>
      <c r="P787">
        <f t="shared" ref="P787:P797" si="146">IF($I787=1,$J787*TAN(ABS($O787)/2),0)</f>
        <v>0</v>
      </c>
      <c r="Q787">
        <f t="shared" ref="Q787:Q797" si="147">$E787-$P787*COS($M787)</f>
        <v>23550</v>
      </c>
      <c r="R787">
        <f t="shared" ref="R787:R797" si="148">$E787+$P787*COS($N787)</f>
        <v>23550</v>
      </c>
      <c r="S787">
        <f t="shared" ref="S787:S797" si="149">$F787-$P787*SIN($M787)</f>
        <v>600</v>
      </c>
      <c r="T787">
        <f t="shared" ref="T787:T797" si="150">SIGN($L787-$K787)</f>
        <v>0</v>
      </c>
      <c r="U787">
        <f t="shared" ref="U787:U797" si="151">$Q787-$T787*$J787*SIN($M787)</f>
        <v>23550</v>
      </c>
      <c r="V787">
        <f t="shared" ref="V787:V797" si="152">$S787+$T787*$J787*COS($M787)</f>
        <v>600</v>
      </c>
      <c r="W787">
        <f t="shared" ref="W787:W797" si="153">IF($I787=0,1,IF(AND($P787*COS($M787)&lt;=($E787-$C787)+0.001,$P787*COS($N787)&lt;=($G787-$E787)+0.001),1,0))</f>
        <v>1</v>
      </c>
      <c r="X787">
        <f t="shared" ref="X787:X797" si="154">IF(OR($I787=0,$I788=0),1,IF($R787&lt;=$Q788+0.001,1,0))</f>
        <v>1</v>
      </c>
      <c r="Y787">
        <f t="shared" ref="Y787:Y797" si="155">IF($Z787=1,$T787*($D$13-$U787)/SQRT(MAX(0.000000001,$J787^2-($D$13-$U787)^2)),0)</f>
        <v>0</v>
      </c>
      <c r="Z787">
        <f t="shared" ref="Z787:Z797" si="156">IF(AND($I787=1,$W787=1,$D$13&gt;=$Q787,$D$13&lt;=$R787),1,0)</f>
        <v>0</v>
      </c>
    </row>
    <row r="788" spans="1:41" hidden="1" outlineLevel="1" x14ac:dyDescent="0.3">
      <c r="A788" t="s">
        <v>2012</v>
      </c>
      <c r="B788">
        <v>3</v>
      </c>
      <c r="C788">
        <f>IF(ISNUMBER($D$709),$D$709,0)</f>
        <v>23550</v>
      </c>
      <c r="D788">
        <f>IF(ISNUMBER($E$709),$E$709,0)</f>
        <v>600</v>
      </c>
      <c r="E788">
        <f>IF(ISNUMBER($F$709),$F$709,0)</f>
        <v>0</v>
      </c>
      <c r="F788">
        <f>IF(ISNUMBER($G$709),$G$709,0)</f>
        <v>0</v>
      </c>
      <c r="G788">
        <f>IF(ISNUMBER($H$709),$H$709,0)</f>
        <v>0</v>
      </c>
      <c r="H788">
        <f>IF(ISNUMBER($I$709),$I$709,0)</f>
        <v>0</v>
      </c>
      <c r="I788">
        <f>IF(AND(ISNUMBER($D$709),ISNUMBER($F$709),ISNUMBER($H$709),$F$709&gt;$D$709,$H$709&gt;$F$709),1,0)</f>
        <v>0</v>
      </c>
      <c r="J788">
        <f>IF($I788=1,IF(ISNUMBER($AC$709),$AC$709,10000),0)</f>
        <v>0</v>
      </c>
      <c r="K788">
        <f t="shared" si="141"/>
        <v>0</v>
      </c>
      <c r="L788">
        <f t="shared" si="142"/>
        <v>0</v>
      </c>
      <c r="M788">
        <f t="shared" si="143"/>
        <v>0</v>
      </c>
      <c r="N788">
        <f t="shared" si="144"/>
        <v>0</v>
      </c>
      <c r="O788">
        <f t="shared" si="145"/>
        <v>0</v>
      </c>
      <c r="P788">
        <f t="shared" si="146"/>
        <v>0</v>
      </c>
      <c r="Q788">
        <f t="shared" si="147"/>
        <v>0</v>
      </c>
      <c r="R788">
        <f t="shared" si="148"/>
        <v>0</v>
      </c>
      <c r="S788">
        <f t="shared" si="149"/>
        <v>0</v>
      </c>
      <c r="T788">
        <f t="shared" si="150"/>
        <v>0</v>
      </c>
      <c r="U788">
        <f t="shared" si="151"/>
        <v>0</v>
      </c>
      <c r="V788">
        <f t="shared" si="152"/>
        <v>0</v>
      </c>
      <c r="W788">
        <f t="shared" si="153"/>
        <v>1</v>
      </c>
      <c r="X788">
        <f t="shared" si="154"/>
        <v>1</v>
      </c>
      <c r="Y788">
        <f t="shared" si="155"/>
        <v>0</v>
      </c>
      <c r="Z788">
        <f t="shared" si="156"/>
        <v>0</v>
      </c>
    </row>
    <row r="789" spans="1:41" hidden="1" outlineLevel="1" x14ac:dyDescent="0.3">
      <c r="A789" t="s">
        <v>2013</v>
      </c>
      <c r="B789">
        <v>4</v>
      </c>
      <c r="C789">
        <f>IF(ISNUMBER($F$709),$F$709,0)</f>
        <v>0</v>
      </c>
      <c r="D789">
        <f>IF(ISNUMBER($G$709),$G$709,0)</f>
        <v>0</v>
      </c>
      <c r="E789">
        <f>IF(ISNUMBER($H$709),$H$709,0)</f>
        <v>0</v>
      </c>
      <c r="F789">
        <f>IF(ISNUMBER($I$709),$I$709,0)</f>
        <v>0</v>
      </c>
      <c r="G789">
        <f>IF(ISNUMBER($J$709),$J$709,0)</f>
        <v>0</v>
      </c>
      <c r="H789">
        <f>IF(ISNUMBER($K$709),$K$709,0)</f>
        <v>0</v>
      </c>
      <c r="I789">
        <f>IF(AND(ISNUMBER($F$709),ISNUMBER($H$709),ISNUMBER($J$709),$H$709&gt;$F$709,$J$709&gt;$H$709),1,0)</f>
        <v>0</v>
      </c>
      <c r="J789">
        <f>IF($I789=1,IF(ISNUMBER($AD$709),$AD$709,10000),0)</f>
        <v>0</v>
      </c>
      <c r="K789">
        <f t="shared" si="141"/>
        <v>0</v>
      </c>
      <c r="L789">
        <f t="shared" si="142"/>
        <v>0</v>
      </c>
      <c r="M789">
        <f t="shared" si="143"/>
        <v>0</v>
      </c>
      <c r="N789">
        <f t="shared" si="144"/>
        <v>0</v>
      </c>
      <c r="O789">
        <f t="shared" si="145"/>
        <v>0</v>
      </c>
      <c r="P789">
        <f t="shared" si="146"/>
        <v>0</v>
      </c>
      <c r="Q789">
        <f t="shared" si="147"/>
        <v>0</v>
      </c>
      <c r="R789">
        <f t="shared" si="148"/>
        <v>0</v>
      </c>
      <c r="S789">
        <f t="shared" si="149"/>
        <v>0</v>
      </c>
      <c r="T789">
        <f t="shared" si="150"/>
        <v>0</v>
      </c>
      <c r="U789">
        <f t="shared" si="151"/>
        <v>0</v>
      </c>
      <c r="V789">
        <f t="shared" si="152"/>
        <v>0</v>
      </c>
      <c r="W789">
        <f t="shared" si="153"/>
        <v>1</v>
      </c>
      <c r="X789">
        <f t="shared" si="154"/>
        <v>1</v>
      </c>
      <c r="Y789">
        <f t="shared" si="155"/>
        <v>0</v>
      </c>
      <c r="Z789">
        <f t="shared" si="156"/>
        <v>0</v>
      </c>
    </row>
    <row r="790" spans="1:41" hidden="1" outlineLevel="1" x14ac:dyDescent="0.3">
      <c r="A790" t="s">
        <v>2014</v>
      </c>
      <c r="B790">
        <v>5</v>
      </c>
      <c r="C790">
        <f>IF(ISNUMBER($H$709),$H$709,0)</f>
        <v>0</v>
      </c>
      <c r="D790">
        <f>IF(ISNUMBER($I$709),$I$709,0)</f>
        <v>0</v>
      </c>
      <c r="E790">
        <f>IF(ISNUMBER($J$709),$J$709,0)</f>
        <v>0</v>
      </c>
      <c r="F790">
        <f>IF(ISNUMBER($K$709),$K$709,0)</f>
        <v>0</v>
      </c>
      <c r="G790">
        <f>IF(ISNUMBER($L$709),$L$709,0)</f>
        <v>0</v>
      </c>
      <c r="H790">
        <f>IF(ISNUMBER($M$709),$M$709,0)</f>
        <v>0</v>
      </c>
      <c r="I790">
        <f>IF(AND(ISNUMBER($H$709),ISNUMBER($J$709),ISNUMBER($L$709),$J$709&gt;$H$709,$L$709&gt;$J$709),1,0)</f>
        <v>0</v>
      </c>
      <c r="J790">
        <f>IF($I790=1,IF(ISNUMBER($AE$709),$AE$709,10000),0)</f>
        <v>0</v>
      </c>
      <c r="K790">
        <f t="shared" si="141"/>
        <v>0</v>
      </c>
      <c r="L790">
        <f t="shared" si="142"/>
        <v>0</v>
      </c>
      <c r="M790">
        <f t="shared" si="143"/>
        <v>0</v>
      </c>
      <c r="N790">
        <f t="shared" si="144"/>
        <v>0</v>
      </c>
      <c r="O790">
        <f t="shared" si="145"/>
        <v>0</v>
      </c>
      <c r="P790">
        <f t="shared" si="146"/>
        <v>0</v>
      </c>
      <c r="Q790">
        <f t="shared" si="147"/>
        <v>0</v>
      </c>
      <c r="R790">
        <f t="shared" si="148"/>
        <v>0</v>
      </c>
      <c r="S790">
        <f t="shared" si="149"/>
        <v>0</v>
      </c>
      <c r="T790">
        <f t="shared" si="150"/>
        <v>0</v>
      </c>
      <c r="U790">
        <f t="shared" si="151"/>
        <v>0</v>
      </c>
      <c r="V790">
        <f t="shared" si="152"/>
        <v>0</v>
      </c>
      <c r="W790">
        <f t="shared" si="153"/>
        <v>1</v>
      </c>
      <c r="X790">
        <f t="shared" si="154"/>
        <v>1</v>
      </c>
      <c r="Y790">
        <f t="shared" si="155"/>
        <v>0</v>
      </c>
      <c r="Z790">
        <f t="shared" si="156"/>
        <v>0</v>
      </c>
    </row>
    <row r="791" spans="1:41" hidden="1" outlineLevel="1" x14ac:dyDescent="0.3">
      <c r="A791" t="s">
        <v>2015</v>
      </c>
      <c r="B791">
        <v>6</v>
      </c>
      <c r="C791">
        <f>IF(ISNUMBER($J$709),$J$709,0)</f>
        <v>0</v>
      </c>
      <c r="D791">
        <f>IF(ISNUMBER($K$709),$K$709,0)</f>
        <v>0</v>
      </c>
      <c r="E791">
        <f>IF(ISNUMBER($L$709),$L$709,0)</f>
        <v>0</v>
      </c>
      <c r="F791">
        <f>IF(ISNUMBER($M$709),$M$709,0)</f>
        <v>0</v>
      </c>
      <c r="G791">
        <f>IF(ISNUMBER($N$709),$N$709,0)</f>
        <v>0</v>
      </c>
      <c r="H791">
        <f>IF(ISNUMBER($O$709),$O$709,0)</f>
        <v>0</v>
      </c>
      <c r="I791">
        <f>IF(AND(ISNUMBER($J$709),ISNUMBER($L$709),ISNUMBER($N$709),$L$709&gt;$J$709,$N$709&gt;$L$709),1,0)</f>
        <v>0</v>
      </c>
      <c r="J791">
        <f>IF($I791=1,IF(ISNUMBER($AF$709),$AF$709,10000),0)</f>
        <v>0</v>
      </c>
      <c r="K791">
        <f t="shared" si="141"/>
        <v>0</v>
      </c>
      <c r="L791">
        <f t="shared" si="142"/>
        <v>0</v>
      </c>
      <c r="M791">
        <f t="shared" si="143"/>
        <v>0</v>
      </c>
      <c r="N791">
        <f t="shared" si="144"/>
        <v>0</v>
      </c>
      <c r="O791">
        <f t="shared" si="145"/>
        <v>0</v>
      </c>
      <c r="P791">
        <f t="shared" si="146"/>
        <v>0</v>
      </c>
      <c r="Q791">
        <f t="shared" si="147"/>
        <v>0</v>
      </c>
      <c r="R791">
        <f t="shared" si="148"/>
        <v>0</v>
      </c>
      <c r="S791">
        <f t="shared" si="149"/>
        <v>0</v>
      </c>
      <c r="T791">
        <f t="shared" si="150"/>
        <v>0</v>
      </c>
      <c r="U791">
        <f t="shared" si="151"/>
        <v>0</v>
      </c>
      <c r="V791">
        <f t="shared" si="152"/>
        <v>0</v>
      </c>
      <c r="W791">
        <f t="shared" si="153"/>
        <v>1</v>
      </c>
      <c r="X791">
        <f t="shared" si="154"/>
        <v>1</v>
      </c>
      <c r="Y791">
        <f t="shared" si="155"/>
        <v>0</v>
      </c>
      <c r="Z791">
        <f t="shared" si="156"/>
        <v>0</v>
      </c>
    </row>
    <row r="792" spans="1:41" hidden="1" outlineLevel="1" x14ac:dyDescent="0.3">
      <c r="A792" t="s">
        <v>2016</v>
      </c>
      <c r="B792">
        <v>7</v>
      </c>
      <c r="C792">
        <f>IF(ISNUMBER($L$709),$L$709,0)</f>
        <v>0</v>
      </c>
      <c r="D792">
        <f>IF(ISNUMBER($M$709),$M$709,0)</f>
        <v>0</v>
      </c>
      <c r="E792">
        <f>IF(ISNUMBER($N$709),$N$709,0)</f>
        <v>0</v>
      </c>
      <c r="F792">
        <f>IF(ISNUMBER($O$709),$O$709,0)</f>
        <v>0</v>
      </c>
      <c r="G792">
        <f>IF(ISNUMBER($P$709),$P$709,0)</f>
        <v>0</v>
      </c>
      <c r="H792">
        <f>IF(ISNUMBER($Q$709),$Q$709,0)</f>
        <v>0</v>
      </c>
      <c r="I792">
        <f>IF(AND(ISNUMBER($L$709),ISNUMBER($N$709),ISNUMBER($P$709),$N$709&gt;$L$709,$P$709&gt;$N$709),1,0)</f>
        <v>0</v>
      </c>
      <c r="J792">
        <f>IF($I792=1,IF(ISNUMBER($AG$709),$AG$709,10000),0)</f>
        <v>0</v>
      </c>
      <c r="K792">
        <f t="shared" si="141"/>
        <v>0</v>
      </c>
      <c r="L792">
        <f t="shared" si="142"/>
        <v>0</v>
      </c>
      <c r="M792">
        <f t="shared" si="143"/>
        <v>0</v>
      </c>
      <c r="N792">
        <f t="shared" si="144"/>
        <v>0</v>
      </c>
      <c r="O792">
        <f t="shared" si="145"/>
        <v>0</v>
      </c>
      <c r="P792">
        <f t="shared" si="146"/>
        <v>0</v>
      </c>
      <c r="Q792">
        <f t="shared" si="147"/>
        <v>0</v>
      </c>
      <c r="R792">
        <f t="shared" si="148"/>
        <v>0</v>
      </c>
      <c r="S792">
        <f t="shared" si="149"/>
        <v>0</v>
      </c>
      <c r="T792">
        <f t="shared" si="150"/>
        <v>0</v>
      </c>
      <c r="U792">
        <f t="shared" si="151"/>
        <v>0</v>
      </c>
      <c r="V792">
        <f t="shared" si="152"/>
        <v>0</v>
      </c>
      <c r="W792">
        <f t="shared" si="153"/>
        <v>1</v>
      </c>
      <c r="X792">
        <f t="shared" si="154"/>
        <v>1</v>
      </c>
      <c r="Y792">
        <f t="shared" si="155"/>
        <v>0</v>
      </c>
      <c r="Z792">
        <f t="shared" si="156"/>
        <v>0</v>
      </c>
    </row>
    <row r="793" spans="1:41" hidden="1" outlineLevel="1" x14ac:dyDescent="0.3">
      <c r="A793" t="s">
        <v>2017</v>
      </c>
      <c r="B793">
        <v>8</v>
      </c>
      <c r="C793">
        <f>IF(ISNUMBER($N$709),$N$709,0)</f>
        <v>0</v>
      </c>
      <c r="D793">
        <f>IF(ISNUMBER($O$709),$O$709,0)</f>
        <v>0</v>
      </c>
      <c r="E793">
        <f>IF(ISNUMBER($P$709),$P$709,0)</f>
        <v>0</v>
      </c>
      <c r="F793">
        <f>IF(ISNUMBER($Q$709),$Q$709,0)</f>
        <v>0</v>
      </c>
      <c r="G793">
        <f>IF(ISNUMBER($R$709),$R$709,0)</f>
        <v>0</v>
      </c>
      <c r="H793">
        <f>IF(ISNUMBER($S$709),$S$709,0)</f>
        <v>0</v>
      </c>
      <c r="I793">
        <f>IF(AND(ISNUMBER($N$709),ISNUMBER($P$709),ISNUMBER($R$709),$P$709&gt;$N$709,$R$709&gt;$P$709),1,0)</f>
        <v>0</v>
      </c>
      <c r="J793">
        <f>IF($I793=1,IF(ISNUMBER($AH$709),$AH$709,10000),0)</f>
        <v>0</v>
      </c>
      <c r="K793">
        <f t="shared" si="141"/>
        <v>0</v>
      </c>
      <c r="L793">
        <f t="shared" si="142"/>
        <v>0</v>
      </c>
      <c r="M793">
        <f t="shared" si="143"/>
        <v>0</v>
      </c>
      <c r="N793">
        <f t="shared" si="144"/>
        <v>0</v>
      </c>
      <c r="O793">
        <f t="shared" si="145"/>
        <v>0</v>
      </c>
      <c r="P793">
        <f t="shared" si="146"/>
        <v>0</v>
      </c>
      <c r="Q793">
        <f t="shared" si="147"/>
        <v>0</v>
      </c>
      <c r="R793">
        <f t="shared" si="148"/>
        <v>0</v>
      </c>
      <c r="S793">
        <f t="shared" si="149"/>
        <v>0</v>
      </c>
      <c r="T793">
        <f t="shared" si="150"/>
        <v>0</v>
      </c>
      <c r="U793">
        <f t="shared" si="151"/>
        <v>0</v>
      </c>
      <c r="V793">
        <f t="shared" si="152"/>
        <v>0</v>
      </c>
      <c r="W793">
        <f t="shared" si="153"/>
        <v>1</v>
      </c>
      <c r="X793">
        <f t="shared" si="154"/>
        <v>1</v>
      </c>
      <c r="Y793">
        <f t="shared" si="155"/>
        <v>0</v>
      </c>
      <c r="Z793">
        <f t="shared" si="156"/>
        <v>0</v>
      </c>
    </row>
    <row r="794" spans="1:41" hidden="1" outlineLevel="1" x14ac:dyDescent="0.3">
      <c r="A794" t="s">
        <v>2018</v>
      </c>
      <c r="B794">
        <v>9</v>
      </c>
      <c r="C794">
        <f>IF(ISNUMBER($P$709),$P$709,0)</f>
        <v>0</v>
      </c>
      <c r="D794">
        <f>IF(ISNUMBER($Q$709),$Q$709,0)</f>
        <v>0</v>
      </c>
      <c r="E794">
        <f>IF(ISNUMBER($R$709),$R$709,0)</f>
        <v>0</v>
      </c>
      <c r="F794">
        <f>IF(ISNUMBER($S$709),$S$709,0)</f>
        <v>0</v>
      </c>
      <c r="G794">
        <f>IF(ISNUMBER($T$709),$T$709,0)</f>
        <v>0</v>
      </c>
      <c r="H794">
        <f>IF(ISNUMBER($U$709),$U$709,0)</f>
        <v>0</v>
      </c>
      <c r="I794">
        <f>IF(AND(ISNUMBER($P$709),ISNUMBER($R$709),ISNUMBER($T$709),$R$709&gt;$P$709,$T$709&gt;$R$709),1,0)</f>
        <v>0</v>
      </c>
      <c r="J794">
        <f>IF($I794=1,IF(ISNUMBER($AI$709),$AI$709,10000),0)</f>
        <v>0</v>
      </c>
      <c r="K794">
        <f t="shared" si="141"/>
        <v>0</v>
      </c>
      <c r="L794">
        <f t="shared" si="142"/>
        <v>0</v>
      </c>
      <c r="M794">
        <f t="shared" si="143"/>
        <v>0</v>
      </c>
      <c r="N794">
        <f t="shared" si="144"/>
        <v>0</v>
      </c>
      <c r="O794">
        <f t="shared" si="145"/>
        <v>0</v>
      </c>
      <c r="P794">
        <f t="shared" si="146"/>
        <v>0</v>
      </c>
      <c r="Q794">
        <f t="shared" si="147"/>
        <v>0</v>
      </c>
      <c r="R794">
        <f t="shared" si="148"/>
        <v>0</v>
      </c>
      <c r="S794">
        <f t="shared" si="149"/>
        <v>0</v>
      </c>
      <c r="T794">
        <f t="shared" si="150"/>
        <v>0</v>
      </c>
      <c r="U794">
        <f t="shared" si="151"/>
        <v>0</v>
      </c>
      <c r="V794">
        <f t="shared" si="152"/>
        <v>0</v>
      </c>
      <c r="W794">
        <f t="shared" si="153"/>
        <v>1</v>
      </c>
      <c r="X794">
        <f t="shared" si="154"/>
        <v>1</v>
      </c>
      <c r="Y794">
        <f t="shared" si="155"/>
        <v>0</v>
      </c>
      <c r="Z794">
        <f t="shared" si="156"/>
        <v>0</v>
      </c>
    </row>
    <row r="795" spans="1:41" hidden="1" outlineLevel="1" x14ac:dyDescent="0.3">
      <c r="A795" t="s">
        <v>2019</v>
      </c>
      <c r="B795">
        <v>10</v>
      </c>
      <c r="C795">
        <f>IF(ISNUMBER($R$709),$R$709,0)</f>
        <v>0</v>
      </c>
      <c r="D795">
        <f>IF(ISNUMBER($S$709),$S$709,0)</f>
        <v>0</v>
      </c>
      <c r="E795">
        <f>IF(ISNUMBER($T$709),$T$709,0)</f>
        <v>0</v>
      </c>
      <c r="F795">
        <f>IF(ISNUMBER($U$709),$U$709,0)</f>
        <v>0</v>
      </c>
      <c r="G795">
        <f>IF(ISNUMBER($V$709),$V$709,0)</f>
        <v>0</v>
      </c>
      <c r="H795">
        <f>IF(ISNUMBER($W$709),$W$709,0)</f>
        <v>0</v>
      </c>
      <c r="I795">
        <f>IF(AND(ISNUMBER($R$709),ISNUMBER($T$709),ISNUMBER($V$709),$T$709&gt;$R$709,$V$709&gt;$T$709),1,0)</f>
        <v>0</v>
      </c>
      <c r="J795">
        <f>IF($I795=1,IF(ISNUMBER($AJ$709),$AJ$709,10000),0)</f>
        <v>0</v>
      </c>
      <c r="K795">
        <f t="shared" si="141"/>
        <v>0</v>
      </c>
      <c r="L795">
        <f t="shared" si="142"/>
        <v>0</v>
      </c>
      <c r="M795">
        <f t="shared" si="143"/>
        <v>0</v>
      </c>
      <c r="N795">
        <f t="shared" si="144"/>
        <v>0</v>
      </c>
      <c r="O795">
        <f t="shared" si="145"/>
        <v>0</v>
      </c>
      <c r="P795">
        <f t="shared" si="146"/>
        <v>0</v>
      </c>
      <c r="Q795">
        <f t="shared" si="147"/>
        <v>0</v>
      </c>
      <c r="R795">
        <f t="shared" si="148"/>
        <v>0</v>
      </c>
      <c r="S795">
        <f t="shared" si="149"/>
        <v>0</v>
      </c>
      <c r="T795">
        <f t="shared" si="150"/>
        <v>0</v>
      </c>
      <c r="U795">
        <f t="shared" si="151"/>
        <v>0</v>
      </c>
      <c r="V795">
        <f t="shared" si="152"/>
        <v>0</v>
      </c>
      <c r="W795">
        <f t="shared" si="153"/>
        <v>1</v>
      </c>
      <c r="X795">
        <f t="shared" si="154"/>
        <v>1</v>
      </c>
      <c r="Y795">
        <f t="shared" si="155"/>
        <v>0</v>
      </c>
      <c r="Z795">
        <f t="shared" si="156"/>
        <v>0</v>
      </c>
    </row>
    <row r="796" spans="1:41" hidden="1" outlineLevel="1" x14ac:dyDescent="0.3">
      <c r="A796" t="s">
        <v>2020</v>
      </c>
      <c r="B796">
        <v>11</v>
      </c>
      <c r="C796">
        <f>IF(ISNUMBER($T$709),$T$709,0)</f>
        <v>0</v>
      </c>
      <c r="D796">
        <f>IF(ISNUMBER($U$709),$U$709,0)</f>
        <v>0</v>
      </c>
      <c r="E796">
        <f>IF(ISNUMBER($V$709),$V$709,0)</f>
        <v>0</v>
      </c>
      <c r="F796">
        <f>IF(ISNUMBER($W$709),$W$709,0)</f>
        <v>0</v>
      </c>
      <c r="G796">
        <f>IF(ISNUMBER($X$709),$X$709,0)</f>
        <v>0</v>
      </c>
      <c r="H796">
        <f>IF(ISNUMBER($Y$709),$Y$709,0)</f>
        <v>0</v>
      </c>
      <c r="I796">
        <f>IF(AND(ISNUMBER($T$709),ISNUMBER($V$709),ISNUMBER($X$709),$V$709&gt;$T$709,$X$709&gt;$V$709),1,0)</f>
        <v>0</v>
      </c>
      <c r="J796">
        <f>IF($I796=1,IF(ISNUMBER($AK$709),$AK$709,10000),0)</f>
        <v>0</v>
      </c>
      <c r="K796">
        <f t="shared" si="141"/>
        <v>0</v>
      </c>
      <c r="L796">
        <f t="shared" si="142"/>
        <v>0</v>
      </c>
      <c r="M796">
        <f t="shared" si="143"/>
        <v>0</v>
      </c>
      <c r="N796">
        <f t="shared" si="144"/>
        <v>0</v>
      </c>
      <c r="O796">
        <f t="shared" si="145"/>
        <v>0</v>
      </c>
      <c r="P796">
        <f t="shared" si="146"/>
        <v>0</v>
      </c>
      <c r="Q796">
        <f t="shared" si="147"/>
        <v>0</v>
      </c>
      <c r="R796">
        <f t="shared" si="148"/>
        <v>0</v>
      </c>
      <c r="S796">
        <f t="shared" si="149"/>
        <v>0</v>
      </c>
      <c r="T796">
        <f t="shared" si="150"/>
        <v>0</v>
      </c>
      <c r="U796">
        <f t="shared" si="151"/>
        <v>0</v>
      </c>
      <c r="V796">
        <f t="shared" si="152"/>
        <v>0</v>
      </c>
      <c r="W796">
        <f t="shared" si="153"/>
        <v>1</v>
      </c>
      <c r="X796">
        <f t="shared" si="154"/>
        <v>1</v>
      </c>
      <c r="Y796">
        <f t="shared" si="155"/>
        <v>0</v>
      </c>
      <c r="Z796">
        <f t="shared" si="156"/>
        <v>0</v>
      </c>
    </row>
    <row r="797" spans="1:41" hidden="1" outlineLevel="1" x14ac:dyDescent="0.3">
      <c r="A797" t="s">
        <v>2021</v>
      </c>
      <c r="B797">
        <v>12</v>
      </c>
      <c r="C797">
        <f>IF(ISNUMBER($V$709),$V$709,0)</f>
        <v>0</v>
      </c>
      <c r="D797">
        <f>IF(ISNUMBER($W$709),$W$709,0)</f>
        <v>0</v>
      </c>
      <c r="E797">
        <f>IF(ISNUMBER($X$709),$X$709,0)</f>
        <v>0</v>
      </c>
      <c r="F797">
        <f>IF(ISNUMBER($Y$709),$Y$709,0)</f>
        <v>0</v>
      </c>
      <c r="G797">
        <f>IF(ISNUMBER($Z$709),$Z$709,0)</f>
        <v>0</v>
      </c>
      <c r="H797">
        <f>IF(ISNUMBER($AA$709),$AA$709,0)</f>
        <v>0</v>
      </c>
      <c r="I797">
        <f>IF(AND(ISNUMBER($V$709),ISNUMBER($X$709),ISNUMBER($Z$709),$X$709&gt;$V$709,$Z$709&gt;$X$709),1,0)</f>
        <v>0</v>
      </c>
      <c r="J797">
        <f>IF($I797=1,IF(ISNUMBER($AL$709),$AL$709,10000),0)</f>
        <v>0</v>
      </c>
      <c r="K797">
        <f t="shared" si="141"/>
        <v>0</v>
      </c>
      <c r="L797">
        <f t="shared" si="142"/>
        <v>0</v>
      </c>
      <c r="M797">
        <f t="shared" si="143"/>
        <v>0</v>
      </c>
      <c r="N797">
        <f t="shared" si="144"/>
        <v>0</v>
      </c>
      <c r="O797">
        <f t="shared" si="145"/>
        <v>0</v>
      </c>
      <c r="P797">
        <f t="shared" si="146"/>
        <v>0</v>
      </c>
      <c r="Q797">
        <f t="shared" si="147"/>
        <v>0</v>
      </c>
      <c r="R797">
        <f t="shared" si="148"/>
        <v>0</v>
      </c>
      <c r="S797">
        <f t="shared" si="149"/>
        <v>0</v>
      </c>
      <c r="T797">
        <f t="shared" si="150"/>
        <v>0</v>
      </c>
      <c r="U797">
        <f t="shared" si="151"/>
        <v>0</v>
      </c>
      <c r="V797">
        <f t="shared" si="152"/>
        <v>0</v>
      </c>
      <c r="W797">
        <f t="shared" si="153"/>
        <v>1</v>
      </c>
      <c r="X797">
        <f t="shared" si="154"/>
        <v>1</v>
      </c>
      <c r="Y797">
        <f t="shared" si="155"/>
        <v>0</v>
      </c>
      <c r="Z797">
        <f t="shared" si="156"/>
        <v>0</v>
      </c>
    </row>
    <row r="798" spans="1:41" hidden="1" outlineLevel="1" x14ac:dyDescent="0.3"/>
    <row r="799" spans="1:41" hidden="1" outlineLevel="1" x14ac:dyDescent="0.3"/>
    <row r="800" spans="1:41" hidden="1" outlineLevel="1" x14ac:dyDescent="0.3">
      <c r="U800">
        <f t="shared" ref="U800:AO800" si="157">IF(U$35&lt;=$B$703,$C$703,IF($D$703="",$C$703,IF(U$35&lt;=$D$703,$C$703+($E$703-$C$703)*(U$35-$B$703)/($D$703-$B$703),IF($F$703="",$E$703,IF(U$35&lt;=$F$703,$E$703+($G$703-$E$703)*(U$35-$D$703)/($F$703-$D$703),IF($H$703="",$G$703,IF(U$35&lt;=$H$703,$G$703+($I$703-$G$703)*(U$35-$F$703)/($H$703-$F$703),IF($J$703="",$I$703,IF(U$35&lt;=$J$703,$I$703+($K$703-$I$703)*(U$35-$H$703)/($J$703-$H$703),IF($L$703="",$K$703,IF(U$35&lt;=$L$703,$K$703+($M$703-$K$703)*(U$35-$J$703)/($L$703-$J$703),IF($N$703="",$M$703,IF(U$35&lt;=$N$703,$M$703+($O$703-$M$703)*(U$35-$L$703)/($N$703-$L$703),IF($P$703="",$O$703,IF(U$35&lt;=$P$703,$O$703+($Q$703-$O$703)*(U$35-$N$703)/($P$703-$N$703),IF($R$703="",$Q$703,IF(U$35&lt;=$R$703,$Q$703+($S$703-$Q$703)*(U$35-$P$703)/($R$703-$P$703),IF($T$703="",$S$703,IF(U$35&lt;=$T$703,$S$703+($U$703-$S$703)*(U$35-$R$703)/($T$703-$R$703),IF($V$703="",$U$703,IF(U$35&lt;=$V$703,$U$703+($W$703-$U$703)*(U$35-$T$703)/($V$703-$T$703),IF($X$703="",$W$703,IF(U$35&lt;=$X$703,$W$703+($Y$703-$W$703)*(U$35-$V$703)/($X$703-$V$703),IF($Z$703="",$Y$703,IF(U$35&lt;=$Z$703,$Y$703+($AA$703-$Y$703)*(U$35-$X$703)/($Z$703-$X$703),$AA$703)))))))))))))))))))))))))</f>
        <v>600</v>
      </c>
      <c r="V800">
        <f t="shared" si="157"/>
        <v>673.59375</v>
      </c>
      <c r="W800">
        <f t="shared" si="157"/>
        <v>747.1875</v>
      </c>
      <c r="X800">
        <f t="shared" si="157"/>
        <v>820.78125</v>
      </c>
      <c r="Y800">
        <f t="shared" si="157"/>
        <v>779</v>
      </c>
      <c r="Z800">
        <f t="shared" si="157"/>
        <v>661.25</v>
      </c>
      <c r="AA800">
        <f t="shared" si="157"/>
        <v>543.5</v>
      </c>
      <c r="AB800">
        <f t="shared" si="157"/>
        <v>482.11920529801324</v>
      </c>
      <c r="AC800">
        <f t="shared" si="157"/>
        <v>638.07947019867549</v>
      </c>
      <c r="AD800">
        <f t="shared" si="157"/>
        <v>794.0397350993378</v>
      </c>
      <c r="AE800">
        <f t="shared" si="157"/>
        <v>950</v>
      </c>
      <c r="AF800">
        <f t="shared" si="157"/>
        <v>794.0397350993378</v>
      </c>
      <c r="AG800">
        <f t="shared" si="157"/>
        <v>638.07947019867549</v>
      </c>
      <c r="AH800">
        <f t="shared" si="157"/>
        <v>482.11920529801324</v>
      </c>
      <c r="AI800">
        <f t="shared" si="157"/>
        <v>543.5</v>
      </c>
      <c r="AJ800">
        <f t="shared" si="157"/>
        <v>661.25</v>
      </c>
      <c r="AK800">
        <f t="shared" si="157"/>
        <v>779</v>
      </c>
      <c r="AL800">
        <f t="shared" si="157"/>
        <v>820.78125</v>
      </c>
      <c r="AM800">
        <f t="shared" si="157"/>
        <v>747.1875</v>
      </c>
      <c r="AN800">
        <f t="shared" si="157"/>
        <v>673.59375</v>
      </c>
      <c r="AO800">
        <f t="shared" si="157"/>
        <v>600</v>
      </c>
    </row>
    <row r="801" spans="21:41" hidden="1" outlineLevel="1" x14ac:dyDescent="0.3">
      <c r="U801">
        <f t="shared" ref="U801:AO801" si="158">IF(U$35&lt;=$B$704,$C$704,IF($D$704="",$C$704,IF(U$35&lt;=$D$704,$C$704+($E$704-$C$704)*(U$35-$B$704)/($D$704-$B$704),IF($F$704="",$E$704,IF(U$35&lt;=$F$704,$E$704+($G$704-$E$704)*(U$35-$D$704)/($F$704-$D$704),IF($H$704="",$G$704,IF(U$35&lt;=$H$704,$G$704+($I$704-$G$704)*(U$35-$F$704)/($H$704-$F$704),IF($J$704="",$I$704,IF(U$35&lt;=$J$704,$I$704+($K$704-$I$704)*(U$35-$H$704)/($J$704-$H$704),IF($L$704="",$K$704,IF(U$35&lt;=$L$704,$K$704+($M$704-$K$704)*(U$35-$J$704)/($L$704-$J$704),IF($N$704="",$M$704,IF(U$35&lt;=$N$704,$M$704+($O$704-$M$704)*(U$35-$L$704)/($N$704-$L$704),IF($P$704="",$O$704,IF(U$35&lt;=$P$704,$O$704+($Q$704-$O$704)*(U$35-$N$704)/($P$704-$N$704),IF($R$704="",$Q$704,IF(U$35&lt;=$R$704,$Q$704+($S$704-$Q$704)*(U$35-$P$704)/($R$704-$P$704),IF($T$704="",$S$704,IF(U$35&lt;=$T$704,$S$704+($U$704-$S$704)*(U$35-$R$704)/($T$704-$R$704),IF($V$704="",$U$704,IF(U$35&lt;=$V$704,$U$704+($W$704-$U$704)*(U$35-$T$704)/($V$704-$T$704),IF($X$704="",$W$704,IF(U$35&lt;=$X$704,$W$704+($Y$704-$W$704)*(U$35-$V$704)/($X$704-$V$704),IF($Z$704="",$Y$704,IF(U$35&lt;=$Z$704,$Y$704+($AA$704-$Y$704)*(U$35-$X$704)/($Z$704-$X$704),$AA$704)))))))))))))))))))))))))</f>
        <v>600</v>
      </c>
      <c r="V801">
        <f t="shared" si="158"/>
        <v>600</v>
      </c>
      <c r="W801">
        <f t="shared" si="158"/>
        <v>600</v>
      </c>
      <c r="X801">
        <f t="shared" si="158"/>
        <v>600</v>
      </c>
      <c r="Y801">
        <f t="shared" si="158"/>
        <v>600</v>
      </c>
      <c r="Z801">
        <f t="shared" si="158"/>
        <v>600</v>
      </c>
      <c r="AA801">
        <f t="shared" si="158"/>
        <v>600</v>
      </c>
      <c r="AB801">
        <f t="shared" si="158"/>
        <v>600</v>
      </c>
      <c r="AC801">
        <f t="shared" si="158"/>
        <v>600</v>
      </c>
      <c r="AD801">
        <f t="shared" si="158"/>
        <v>600</v>
      </c>
      <c r="AE801">
        <f t="shared" si="158"/>
        <v>600</v>
      </c>
      <c r="AF801">
        <f t="shared" si="158"/>
        <v>600</v>
      </c>
      <c r="AG801">
        <f t="shared" si="158"/>
        <v>600</v>
      </c>
      <c r="AH801">
        <f t="shared" si="158"/>
        <v>600</v>
      </c>
      <c r="AI801">
        <f t="shared" si="158"/>
        <v>600</v>
      </c>
      <c r="AJ801">
        <f t="shared" si="158"/>
        <v>600</v>
      </c>
      <c r="AK801">
        <f t="shared" si="158"/>
        <v>600</v>
      </c>
      <c r="AL801">
        <f t="shared" si="158"/>
        <v>600</v>
      </c>
      <c r="AM801">
        <f t="shared" si="158"/>
        <v>600</v>
      </c>
      <c r="AN801">
        <f t="shared" si="158"/>
        <v>600</v>
      </c>
      <c r="AO801">
        <f t="shared" si="158"/>
        <v>600</v>
      </c>
    </row>
    <row r="802" spans="21:41" hidden="1" outlineLevel="1" x14ac:dyDescent="0.3">
      <c r="U802">
        <f t="shared" ref="U802:AO802" si="159">IF(U$35&lt;=$B$705,$C$705,IF($D$705="",$C$705,IF(U$35&lt;=$D$705,$C$705+($E$705-$C$705)*(U$35-$B$705)/($D$705-$B$705),IF($F$705="",$E$705,IF(U$35&lt;=$F$705,$E$705+($G$705-$E$705)*(U$35-$D$705)/($F$705-$D$705),IF($H$705="",$G$705,IF(U$35&lt;=$H$705,$G$705+($I$705-$G$705)*(U$35-$F$705)/($H$705-$F$705),IF($J$705="",$I$705,IF(U$35&lt;=$J$705,$I$705+($K$705-$I$705)*(U$35-$H$705)/($J$705-$H$705),IF($L$705="",$K$705,IF(U$35&lt;=$L$705,$K$705+($M$705-$K$705)*(U$35-$J$705)/($L$705-$J$705),IF($N$705="",$M$705,IF(U$35&lt;=$N$705,$M$705+($O$705-$M$705)*(U$35-$L$705)/($N$705-$L$705),IF($P$705="",$O$705,IF(U$35&lt;=$P$705,$O$705+($Q$705-$O$705)*(U$35-$N$705)/($P$705-$N$705),IF($R$705="",$Q$705,IF(U$35&lt;=$R$705,$Q$705+($S$705-$Q$705)*(U$35-$P$705)/($R$705-$P$705),IF($T$705="",$S$705,IF(U$35&lt;=$T$705,$S$705+($U$705-$S$705)*(U$35-$R$705)/($T$705-$R$705),IF($V$705="",$U$705,IF(U$35&lt;=$V$705,$U$705+($W$705-$U$705)*(U$35-$T$705)/($V$705-$T$705),IF($X$705="",$W$705,IF(U$35&lt;=$X$705,$W$705+($Y$705-$W$705)*(U$35-$V$705)/($X$705-$V$705),IF($Z$705="",$Y$705,IF(U$35&lt;=$Z$705,$Y$705+($AA$705-$Y$705)*(U$35-$X$705)/($Z$705-$X$705),$AA$705)))))))))))))))))))))))))</f>
        <v>600</v>
      </c>
      <c r="V802">
        <f t="shared" si="159"/>
        <v>600</v>
      </c>
      <c r="W802">
        <f t="shared" si="159"/>
        <v>600</v>
      </c>
      <c r="X802">
        <f t="shared" si="159"/>
        <v>600</v>
      </c>
      <c r="Y802">
        <f t="shared" si="159"/>
        <v>600</v>
      </c>
      <c r="Z802">
        <f t="shared" si="159"/>
        <v>600</v>
      </c>
      <c r="AA802">
        <f t="shared" si="159"/>
        <v>600</v>
      </c>
      <c r="AB802">
        <f t="shared" si="159"/>
        <v>600</v>
      </c>
      <c r="AC802">
        <f t="shared" si="159"/>
        <v>600</v>
      </c>
      <c r="AD802">
        <f t="shared" si="159"/>
        <v>600</v>
      </c>
      <c r="AE802">
        <f t="shared" si="159"/>
        <v>600</v>
      </c>
      <c r="AF802">
        <f t="shared" si="159"/>
        <v>600</v>
      </c>
      <c r="AG802">
        <f t="shared" si="159"/>
        <v>600</v>
      </c>
      <c r="AH802">
        <f t="shared" si="159"/>
        <v>600</v>
      </c>
      <c r="AI802">
        <f t="shared" si="159"/>
        <v>600</v>
      </c>
      <c r="AJ802">
        <f t="shared" si="159"/>
        <v>600</v>
      </c>
      <c r="AK802">
        <f t="shared" si="159"/>
        <v>600</v>
      </c>
      <c r="AL802">
        <f t="shared" si="159"/>
        <v>600</v>
      </c>
      <c r="AM802">
        <f t="shared" si="159"/>
        <v>600</v>
      </c>
      <c r="AN802">
        <f t="shared" si="159"/>
        <v>600</v>
      </c>
      <c r="AO802">
        <f t="shared" si="159"/>
        <v>600</v>
      </c>
    </row>
    <row r="803" spans="21:41" hidden="1" outlineLevel="1" x14ac:dyDescent="0.3">
      <c r="U803">
        <f t="shared" ref="U803:AO803" si="160">IF(U$35&lt;=$B$706,$C$706,IF($D$706="",$C$706,IF(U$35&lt;=$D$706,$C$706+($E$706-$C$706)*(U$35-$B$706)/($D$706-$B$706),IF($F$706="",$E$706,IF(U$35&lt;=$F$706,$E$706+($G$706-$E$706)*(U$35-$D$706)/($F$706-$D$706),IF($H$706="",$G$706,IF(U$35&lt;=$H$706,$G$706+($I$706-$G$706)*(U$35-$F$706)/($H$706-$F$706),IF($J$706="",$I$706,IF(U$35&lt;=$J$706,$I$706+($K$706-$I$706)*(U$35-$H$706)/($J$706-$H$706),IF($L$706="",$K$706,IF(U$35&lt;=$L$706,$K$706+($M$706-$K$706)*(U$35-$J$706)/($L$706-$J$706),IF($N$706="",$M$706,IF(U$35&lt;=$N$706,$M$706+($O$706-$M$706)*(U$35-$L$706)/($N$706-$L$706),IF($P$706="",$O$706,IF(U$35&lt;=$P$706,$O$706+($Q$706-$O$706)*(U$35-$N$706)/($P$706-$N$706),IF($R$706="",$Q$706,IF(U$35&lt;=$R$706,$Q$706+($S$706-$Q$706)*(U$35-$P$706)/($R$706-$P$706),IF($T$706="",$S$706,IF(U$35&lt;=$T$706,$S$706+($U$706-$S$706)*(U$35-$R$706)/($T$706-$R$706),IF($V$706="",$U$706,IF(U$35&lt;=$V$706,$U$706+($W$706-$U$706)*(U$35-$T$706)/($V$706-$T$706),IF($X$706="",$W$706,IF(U$35&lt;=$X$706,$W$706+($Y$706-$W$706)*(U$35-$V$706)/($X$706-$V$706),IF($Z$706="",$Y$706,IF(U$35&lt;=$Z$706,$Y$706+($AA$706-$Y$706)*(U$35-$X$706)/($Z$706-$X$706),$AA$706)))))))))))))))))))))))))</f>
        <v>600</v>
      </c>
      <c r="V803">
        <f t="shared" si="160"/>
        <v>600</v>
      </c>
      <c r="W803">
        <f t="shared" si="160"/>
        <v>600</v>
      </c>
      <c r="X803">
        <f t="shared" si="160"/>
        <v>600</v>
      </c>
      <c r="Y803">
        <f t="shared" si="160"/>
        <v>600</v>
      </c>
      <c r="Z803">
        <f t="shared" si="160"/>
        <v>600</v>
      </c>
      <c r="AA803">
        <f t="shared" si="160"/>
        <v>600</v>
      </c>
      <c r="AB803">
        <f t="shared" si="160"/>
        <v>600</v>
      </c>
      <c r="AC803">
        <f t="shared" si="160"/>
        <v>600</v>
      </c>
      <c r="AD803">
        <f t="shared" si="160"/>
        <v>600</v>
      </c>
      <c r="AE803">
        <f t="shared" si="160"/>
        <v>600</v>
      </c>
      <c r="AF803">
        <f t="shared" si="160"/>
        <v>600</v>
      </c>
      <c r="AG803">
        <f t="shared" si="160"/>
        <v>600</v>
      </c>
      <c r="AH803">
        <f t="shared" si="160"/>
        <v>600</v>
      </c>
      <c r="AI803">
        <f t="shared" si="160"/>
        <v>600</v>
      </c>
      <c r="AJ803">
        <f t="shared" si="160"/>
        <v>600</v>
      </c>
      <c r="AK803">
        <f t="shared" si="160"/>
        <v>600</v>
      </c>
      <c r="AL803">
        <f t="shared" si="160"/>
        <v>600</v>
      </c>
      <c r="AM803">
        <f t="shared" si="160"/>
        <v>600</v>
      </c>
      <c r="AN803">
        <f t="shared" si="160"/>
        <v>600</v>
      </c>
      <c r="AO803">
        <f t="shared" si="160"/>
        <v>600</v>
      </c>
    </row>
    <row r="804" spans="21:41" hidden="1" outlineLevel="1" x14ac:dyDescent="0.3">
      <c r="U804">
        <f t="shared" ref="U804:AO804" si="161">IF(U$35&lt;=$B$707,$C$707,IF($D$707="",$C$707,IF(U$35&lt;=$D$707,$C$707+($E$707-$C$707)*(U$35-$B$707)/($D$707-$B$707),IF($F$707="",$E$707,IF(U$35&lt;=$F$707,$E$707+($G$707-$E$707)*(U$35-$D$707)/($F$707-$D$707),IF($H$707="",$G$707,IF(U$35&lt;=$H$707,$G$707+($I$707-$G$707)*(U$35-$F$707)/($H$707-$F$707),IF($J$707="",$I$707,IF(U$35&lt;=$J$707,$I$707+($K$707-$I$707)*(U$35-$H$707)/($J$707-$H$707),IF($L$707="",$K$707,IF(U$35&lt;=$L$707,$K$707+($M$707-$K$707)*(U$35-$J$707)/($L$707-$J$707),IF($N$707="",$M$707,IF(U$35&lt;=$N$707,$M$707+($O$707-$M$707)*(U$35-$L$707)/($N$707-$L$707),IF($P$707="",$O$707,IF(U$35&lt;=$P$707,$O$707+($Q$707-$O$707)*(U$35-$N$707)/($P$707-$N$707),IF($R$707="",$Q$707,IF(U$35&lt;=$R$707,$Q$707+($S$707-$Q$707)*(U$35-$P$707)/($R$707-$P$707),IF($T$707="",$S$707,IF(U$35&lt;=$T$707,$S$707+($U$707-$S$707)*(U$35-$R$707)/($T$707-$R$707),IF($V$707="",$U$707,IF(U$35&lt;=$V$707,$U$707+($W$707-$U$707)*(U$35-$T$707)/($V$707-$T$707),IF($X$707="",$W$707,IF(U$35&lt;=$X$707,$W$707+($Y$707-$W$707)*(U$35-$V$707)/($X$707-$V$707),IF($Z$707="",$Y$707,IF(U$35&lt;=$Z$707,$Y$707+($AA$707-$Y$707)*(U$35-$X$707)/($Z$707-$X$707),$AA$707)))))))))))))))))))))))))</f>
        <v>600</v>
      </c>
      <c r="V804">
        <f t="shared" si="161"/>
        <v>600</v>
      </c>
      <c r="W804">
        <f t="shared" si="161"/>
        <v>600</v>
      </c>
      <c r="X804">
        <f t="shared" si="161"/>
        <v>600</v>
      </c>
      <c r="Y804">
        <f t="shared" si="161"/>
        <v>600</v>
      </c>
      <c r="Z804">
        <f t="shared" si="161"/>
        <v>600</v>
      </c>
      <c r="AA804">
        <f t="shared" si="161"/>
        <v>600</v>
      </c>
      <c r="AB804">
        <f t="shared" si="161"/>
        <v>600</v>
      </c>
      <c r="AC804">
        <f t="shared" si="161"/>
        <v>600</v>
      </c>
      <c r="AD804">
        <f t="shared" si="161"/>
        <v>600</v>
      </c>
      <c r="AE804">
        <f t="shared" si="161"/>
        <v>600</v>
      </c>
      <c r="AF804">
        <f t="shared" si="161"/>
        <v>600</v>
      </c>
      <c r="AG804">
        <f t="shared" si="161"/>
        <v>600</v>
      </c>
      <c r="AH804">
        <f t="shared" si="161"/>
        <v>600</v>
      </c>
      <c r="AI804">
        <f t="shared" si="161"/>
        <v>600</v>
      </c>
      <c r="AJ804">
        <f t="shared" si="161"/>
        <v>600</v>
      </c>
      <c r="AK804">
        <f t="shared" si="161"/>
        <v>600</v>
      </c>
      <c r="AL804">
        <f t="shared" si="161"/>
        <v>600</v>
      </c>
      <c r="AM804">
        <f t="shared" si="161"/>
        <v>600</v>
      </c>
      <c r="AN804">
        <f t="shared" si="161"/>
        <v>600</v>
      </c>
      <c r="AO804">
        <f t="shared" si="161"/>
        <v>600</v>
      </c>
    </row>
    <row r="805" spans="21:41" hidden="1" outlineLevel="1" x14ac:dyDescent="0.3">
      <c r="U805">
        <f t="shared" ref="U805:AO805" si="162">IF(U$35&lt;=$B$708,$C$708,IF($D$708="",$C$708,IF(U$35&lt;=$D$708,$C$708+($E$708-$C$708)*(U$35-$B$708)/($D$708-$B$708),IF($F$708="",$E$708,IF(U$35&lt;=$F$708,$E$708+($G$708-$E$708)*(U$35-$D$708)/($F$708-$D$708),IF($H$708="",$G$708,IF(U$35&lt;=$H$708,$G$708+($I$708-$G$708)*(U$35-$F$708)/($H$708-$F$708),IF($J$708="",$I$708,IF(U$35&lt;=$J$708,$I$708+($K$708-$I$708)*(U$35-$H$708)/($J$708-$H$708),IF($L$708="",$K$708,IF(U$35&lt;=$L$708,$K$708+($M$708-$K$708)*(U$35-$J$708)/($L$708-$J$708),IF($N$708="",$M$708,IF(U$35&lt;=$N$708,$M$708+($O$708-$M$708)*(U$35-$L$708)/($N$708-$L$708),IF($P$708="",$O$708,IF(U$35&lt;=$P$708,$O$708+($Q$708-$O$708)*(U$35-$N$708)/($P$708-$N$708),IF($R$708="",$Q$708,IF(U$35&lt;=$R$708,$Q$708+($S$708-$Q$708)*(U$35-$P$708)/($R$708-$P$708),IF($T$708="",$S$708,IF(U$35&lt;=$T$708,$S$708+($U$708-$S$708)*(U$35-$R$708)/($T$708-$R$708),IF($V$708="",$U$708,IF(U$35&lt;=$V$708,$U$708+($W$708-$U$708)*(U$35-$T$708)/($V$708-$T$708),IF($X$708="",$W$708,IF(U$35&lt;=$X$708,$W$708+($Y$708-$W$708)*(U$35-$V$708)/($X$708-$V$708),IF($Z$708="",$Y$708,IF(U$35&lt;=$Z$708,$Y$708+($AA$708-$Y$708)*(U$35-$X$708)/($Z$708-$X$708),$AA$708)))))))))))))))))))))))))</f>
        <v>600</v>
      </c>
      <c r="V805">
        <f t="shared" si="162"/>
        <v>600</v>
      </c>
      <c r="W805">
        <f t="shared" si="162"/>
        <v>600</v>
      </c>
      <c r="X805">
        <f t="shared" si="162"/>
        <v>600</v>
      </c>
      <c r="Y805">
        <f t="shared" si="162"/>
        <v>600</v>
      </c>
      <c r="Z805">
        <f t="shared" si="162"/>
        <v>600</v>
      </c>
      <c r="AA805">
        <f t="shared" si="162"/>
        <v>600</v>
      </c>
      <c r="AB805">
        <f t="shared" si="162"/>
        <v>600</v>
      </c>
      <c r="AC805">
        <f t="shared" si="162"/>
        <v>600</v>
      </c>
      <c r="AD805">
        <f t="shared" si="162"/>
        <v>600</v>
      </c>
      <c r="AE805">
        <f t="shared" si="162"/>
        <v>600</v>
      </c>
      <c r="AF805">
        <f t="shared" si="162"/>
        <v>600</v>
      </c>
      <c r="AG805">
        <f t="shared" si="162"/>
        <v>600</v>
      </c>
      <c r="AH805">
        <f t="shared" si="162"/>
        <v>600</v>
      </c>
      <c r="AI805">
        <f t="shared" si="162"/>
        <v>600</v>
      </c>
      <c r="AJ805">
        <f t="shared" si="162"/>
        <v>600</v>
      </c>
      <c r="AK805">
        <f t="shared" si="162"/>
        <v>600</v>
      </c>
      <c r="AL805">
        <f t="shared" si="162"/>
        <v>600</v>
      </c>
      <c r="AM805">
        <f t="shared" si="162"/>
        <v>600</v>
      </c>
      <c r="AN805">
        <f t="shared" si="162"/>
        <v>600</v>
      </c>
      <c r="AO805">
        <f t="shared" si="162"/>
        <v>600</v>
      </c>
    </row>
    <row r="806" spans="21:41" hidden="1" outlineLevel="1" x14ac:dyDescent="0.3">
      <c r="U806">
        <f t="shared" ref="U806:AO806" si="163">IF(U$35&lt;=$B$709,$C$709,IF($D$709="",$C$709,IF(U$35&lt;=$D$709,$C$709+($E$709-$C$709)*(U$35-$B$709)/($D$709-$B$709),IF($F$709="",$E$709,IF(U$35&lt;=$F$709,$E$709+($G$709-$E$709)*(U$35-$D$709)/($F$709-$D$709),IF($H$709="",$G$709,IF(U$35&lt;=$H$709,$G$709+($I$709-$G$709)*(U$35-$F$709)/($H$709-$F$709),IF($J$709="",$I$709,IF(U$35&lt;=$J$709,$I$709+($K$709-$I$709)*(U$35-$H$709)/($J$709-$H$709),IF($L$709="",$K$709,IF(U$35&lt;=$L$709,$K$709+($M$709-$K$709)*(U$35-$J$709)/($L$709-$J$709),IF($N$709="",$M$709,IF(U$35&lt;=$N$709,$M$709+($O$709-$M$709)*(U$35-$L$709)/($N$709-$L$709),IF($P$709="",$O$709,IF(U$35&lt;=$P$709,$O$709+($Q$709-$O$709)*(U$35-$N$709)/($P$709-$N$709),IF($R$709="",$Q$709,IF(U$35&lt;=$R$709,$Q$709+($S$709-$Q$709)*(U$35-$P$709)/($R$709-$P$709),IF($T$709="",$S$709,IF(U$35&lt;=$T$709,$S$709+($U$709-$S$709)*(U$35-$R$709)/($T$709-$R$709),IF($V$709="",$U$709,IF(U$35&lt;=$V$709,$U$709+($W$709-$U$709)*(U$35-$T$709)/($V$709-$T$709),IF($X$709="",$W$709,IF(U$35&lt;=$X$709,$W$709+($Y$709-$W$709)*(U$35-$V$709)/($X$709-$V$709),IF($Z$709="",$Y$709,IF(U$35&lt;=$Z$709,$Y$709+($AA$709-$Y$709)*(U$35-$X$709)/($Z$709-$X$709),$AA$709)))))))))))))))))))))))))</f>
        <v>600</v>
      </c>
      <c r="V806">
        <f t="shared" si="163"/>
        <v>600</v>
      </c>
      <c r="W806">
        <f t="shared" si="163"/>
        <v>600</v>
      </c>
      <c r="X806">
        <f t="shared" si="163"/>
        <v>600</v>
      </c>
      <c r="Y806">
        <f t="shared" si="163"/>
        <v>600</v>
      </c>
      <c r="Z806">
        <f t="shared" si="163"/>
        <v>600</v>
      </c>
      <c r="AA806">
        <f t="shared" si="163"/>
        <v>600</v>
      </c>
      <c r="AB806">
        <f t="shared" si="163"/>
        <v>600</v>
      </c>
      <c r="AC806">
        <f t="shared" si="163"/>
        <v>600</v>
      </c>
      <c r="AD806">
        <f t="shared" si="163"/>
        <v>600</v>
      </c>
      <c r="AE806">
        <f t="shared" si="163"/>
        <v>600</v>
      </c>
      <c r="AF806">
        <f t="shared" si="163"/>
        <v>600</v>
      </c>
      <c r="AG806">
        <f t="shared" si="163"/>
        <v>600</v>
      </c>
      <c r="AH806">
        <f t="shared" si="163"/>
        <v>600</v>
      </c>
      <c r="AI806">
        <f t="shared" si="163"/>
        <v>600</v>
      </c>
      <c r="AJ806">
        <f t="shared" si="163"/>
        <v>600</v>
      </c>
      <c r="AK806">
        <f t="shared" si="163"/>
        <v>600</v>
      </c>
      <c r="AL806">
        <f t="shared" si="163"/>
        <v>600</v>
      </c>
      <c r="AM806">
        <f t="shared" si="163"/>
        <v>600</v>
      </c>
      <c r="AN806">
        <f t="shared" si="163"/>
        <v>600</v>
      </c>
      <c r="AO806">
        <f t="shared" si="163"/>
        <v>600</v>
      </c>
    </row>
    <row r="807" spans="21:41" hidden="1" outlineLevel="1" x14ac:dyDescent="0.3"/>
    <row r="808" spans="21:41" hidden="1" outlineLevel="1" x14ac:dyDescent="0.3"/>
    <row r="809" spans="21:41" hidden="1" outlineLevel="1" x14ac:dyDescent="0.3"/>
    <row r="810" spans="21:41" hidden="1" outlineLevel="1" x14ac:dyDescent="0.3">
      <c r="U810">
        <f t="shared" ref="U810:AO810" si="164">U800+IF(AND($I715=1,$W715=1,U$35&gt;=$Q715,U$35&lt;=$R715),$V715-$T715*SQRT(MAX(0,$J715^2-(U$35-$U715)^2))-U800,0)+IF(AND($I716=1,$W716=1,U$35&gt;=$Q716,U$35&lt;=$R716),$V716-$T716*SQRT(MAX(0,$J716^2-(U$35-$U716)^2))-U800,0)+IF(AND($I717=1,$W717=1,U$35&gt;=$Q717,U$35&lt;=$R717),$V717-$T717*SQRT(MAX(0,$J717^2-(U$35-$U717)^2))-U800,0)+IF(AND($I718=1,$W718=1,U$35&gt;=$Q718,U$35&lt;=$R718),$V718-$T718*SQRT(MAX(0,$J718^2-(U$35-$U718)^2))-U800,0)+IF(AND($I719=1,$W719=1,U$35&gt;=$Q719,U$35&lt;=$R719),$V719-$T719*SQRT(MAX(0,$J719^2-(U$35-$U719)^2))-U800,0)+IF(AND($I720=1,$W720=1,U$35&gt;=$Q720,U$35&lt;=$R720),$V720-$T720*SQRT(MAX(0,$J720^2-(U$35-$U720)^2))-U800,0)+IF(AND($I721=1,$W721=1,U$35&gt;=$Q721,U$35&lt;=$R721),$V721-$T721*SQRT(MAX(0,$J721^2-(U$35-$U721)^2))-U800,0)+IF(AND($I722=1,$W722=1,U$35&gt;=$Q722,U$35&lt;=$R722),$V722-$T722*SQRT(MAX(0,$J722^2-(U$35-$U722)^2))-U800,0)+IF(AND($I723=1,$W723=1,U$35&gt;=$Q723,U$35&lt;=$R723),$V723-$T723*SQRT(MAX(0,$J723^2-(U$35-$U723)^2))-U800,0)+IF(AND($I724=1,$W724=1,U$35&gt;=$Q724,U$35&lt;=$R724),$V724-$T724*SQRT(MAX(0,$J724^2-(U$35-$U724)^2))-U800,0)+IF(AND($I725=1,$W725=1,U$35&gt;=$Q725,U$35&lt;=$R725),$V725-$T725*SQRT(MAX(0,$J725^2-(U$35-$U725)^2))-U800,0)</f>
        <v>600</v>
      </c>
      <c r="V810">
        <f t="shared" si="164"/>
        <v>673.59375</v>
      </c>
      <c r="W810">
        <f t="shared" si="164"/>
        <v>747.1875</v>
      </c>
      <c r="X810">
        <f t="shared" si="164"/>
        <v>814.87060458109227</v>
      </c>
      <c r="Y810">
        <f t="shared" si="164"/>
        <v>778.51120283263117</v>
      </c>
      <c r="Z810">
        <f t="shared" si="164"/>
        <v>661.25</v>
      </c>
      <c r="AA810">
        <f t="shared" si="164"/>
        <v>545.97768675861698</v>
      </c>
      <c r="AB810">
        <f t="shared" si="164"/>
        <v>524.14006292137128</v>
      </c>
      <c r="AC810">
        <f t="shared" si="164"/>
        <v>638.07947019867549</v>
      </c>
      <c r="AD810">
        <f t="shared" si="164"/>
        <v>793.09861816553166</v>
      </c>
      <c r="AE810">
        <f t="shared" si="164"/>
        <v>862.66591107768727</v>
      </c>
      <c r="AF810">
        <f t="shared" si="164"/>
        <v>793.09861816553166</v>
      </c>
      <c r="AG810">
        <f t="shared" si="164"/>
        <v>638.07947019867549</v>
      </c>
      <c r="AH810">
        <f t="shared" si="164"/>
        <v>524.14006292136946</v>
      </c>
      <c r="AI810">
        <f t="shared" si="164"/>
        <v>545.97768675861516</v>
      </c>
      <c r="AJ810">
        <f t="shared" si="164"/>
        <v>661.25</v>
      </c>
      <c r="AK810">
        <f t="shared" si="164"/>
        <v>778.51120283263117</v>
      </c>
      <c r="AL810">
        <f t="shared" si="164"/>
        <v>814.87060458109227</v>
      </c>
      <c r="AM810">
        <f t="shared" si="164"/>
        <v>747.1875</v>
      </c>
      <c r="AN810">
        <f t="shared" si="164"/>
        <v>673.59375</v>
      </c>
      <c r="AO810">
        <f t="shared" si="164"/>
        <v>600</v>
      </c>
    </row>
    <row r="811" spans="21:41" hidden="1" outlineLevel="1" x14ac:dyDescent="0.3">
      <c r="U811">
        <f t="shared" ref="U811:AO811" si="165">U801+IF(AND($I727=1,$W727=1,U$35&gt;=$Q727,U$35&lt;=$R727),$V727-$T727*SQRT(MAX(0,$J727^2-(U$35-$U727)^2))-U801,0)+IF(AND($I728=1,$W728=1,U$35&gt;=$Q728,U$35&lt;=$R728),$V728-$T728*SQRT(MAX(0,$J728^2-(U$35-$U728)^2))-U801,0)+IF(AND($I729=1,$W729=1,U$35&gt;=$Q729,U$35&lt;=$R729),$V729-$T729*SQRT(MAX(0,$J729^2-(U$35-$U729)^2))-U801,0)+IF(AND($I730=1,$W730=1,U$35&gt;=$Q730,U$35&lt;=$R730),$V730-$T730*SQRT(MAX(0,$J730^2-(U$35-$U730)^2))-U801,0)+IF(AND($I731=1,$W731=1,U$35&gt;=$Q731,U$35&lt;=$R731),$V731-$T731*SQRT(MAX(0,$J731^2-(U$35-$U731)^2))-U801,0)+IF(AND($I732=1,$W732=1,U$35&gt;=$Q732,U$35&lt;=$R732),$V732-$T732*SQRT(MAX(0,$J732^2-(U$35-$U732)^2))-U801,0)+IF(AND($I733=1,$W733=1,U$35&gt;=$Q733,U$35&lt;=$R733),$V733-$T733*SQRT(MAX(0,$J733^2-(U$35-$U733)^2))-U801,0)+IF(AND($I734=1,$W734=1,U$35&gt;=$Q734,U$35&lt;=$R734),$V734-$T734*SQRT(MAX(0,$J734^2-(U$35-$U734)^2))-U801,0)+IF(AND($I735=1,$W735=1,U$35&gt;=$Q735,U$35&lt;=$R735),$V735-$T735*SQRT(MAX(0,$J735^2-(U$35-$U735)^2))-U801,0)+IF(AND($I736=1,$W736=1,U$35&gt;=$Q736,U$35&lt;=$R736),$V736-$T736*SQRT(MAX(0,$J736^2-(U$35-$U736)^2))-U801,0)+IF(AND($I737=1,$W737=1,U$35&gt;=$Q737,U$35&lt;=$R737),$V737-$T737*SQRT(MAX(0,$J737^2-(U$35-$U737)^2))-U801,0)</f>
        <v>600</v>
      </c>
      <c r="V811">
        <f t="shared" si="165"/>
        <v>600</v>
      </c>
      <c r="W811">
        <f t="shared" si="165"/>
        <v>600</v>
      </c>
      <c r="X811">
        <f t="shared" si="165"/>
        <v>600</v>
      </c>
      <c r="Y811">
        <f t="shared" si="165"/>
        <v>600</v>
      </c>
      <c r="Z811">
        <f t="shared" si="165"/>
        <v>600</v>
      </c>
      <c r="AA811">
        <f t="shared" si="165"/>
        <v>600</v>
      </c>
      <c r="AB811">
        <f t="shared" si="165"/>
        <v>600</v>
      </c>
      <c r="AC811">
        <f t="shared" si="165"/>
        <v>600</v>
      </c>
      <c r="AD811">
        <f t="shared" si="165"/>
        <v>600</v>
      </c>
      <c r="AE811">
        <f t="shared" si="165"/>
        <v>600</v>
      </c>
      <c r="AF811">
        <f t="shared" si="165"/>
        <v>600</v>
      </c>
      <c r="AG811">
        <f t="shared" si="165"/>
        <v>600</v>
      </c>
      <c r="AH811">
        <f t="shared" si="165"/>
        <v>600</v>
      </c>
      <c r="AI811">
        <f t="shared" si="165"/>
        <v>600</v>
      </c>
      <c r="AJ811">
        <f t="shared" si="165"/>
        <v>600</v>
      </c>
      <c r="AK811">
        <f t="shared" si="165"/>
        <v>600</v>
      </c>
      <c r="AL811">
        <f t="shared" si="165"/>
        <v>600</v>
      </c>
      <c r="AM811">
        <f t="shared" si="165"/>
        <v>600</v>
      </c>
      <c r="AN811">
        <f t="shared" si="165"/>
        <v>600</v>
      </c>
      <c r="AO811">
        <f t="shared" si="165"/>
        <v>600</v>
      </c>
    </row>
    <row r="812" spans="21:41" hidden="1" outlineLevel="1" x14ac:dyDescent="0.3">
      <c r="U812">
        <f t="shared" ref="U812:AO812" si="166">U802+IF(AND($I739=1,$W739=1,U$35&gt;=$Q739,U$35&lt;=$R739),$V739-$T739*SQRT(MAX(0,$J739^2-(U$35-$U739)^2))-U802,0)+IF(AND($I740=1,$W740=1,U$35&gt;=$Q740,U$35&lt;=$R740),$V740-$T740*SQRT(MAX(0,$J740^2-(U$35-$U740)^2))-U802,0)+IF(AND($I741=1,$W741=1,U$35&gt;=$Q741,U$35&lt;=$R741),$V741-$T741*SQRT(MAX(0,$J741^2-(U$35-$U741)^2))-U802,0)+IF(AND($I742=1,$W742=1,U$35&gt;=$Q742,U$35&lt;=$R742),$V742-$T742*SQRT(MAX(0,$J742^2-(U$35-$U742)^2))-U802,0)+IF(AND($I743=1,$W743=1,U$35&gt;=$Q743,U$35&lt;=$R743),$V743-$T743*SQRT(MAX(0,$J743^2-(U$35-$U743)^2))-U802,0)+IF(AND($I744=1,$W744=1,U$35&gt;=$Q744,U$35&lt;=$R744),$V744-$T744*SQRT(MAX(0,$J744^2-(U$35-$U744)^2))-U802,0)+IF(AND($I745=1,$W745=1,U$35&gt;=$Q745,U$35&lt;=$R745),$V745-$T745*SQRT(MAX(0,$J745^2-(U$35-$U745)^2))-U802,0)+IF(AND($I746=1,$W746=1,U$35&gt;=$Q746,U$35&lt;=$R746),$V746-$T746*SQRT(MAX(0,$J746^2-(U$35-$U746)^2))-U802,0)+IF(AND($I747=1,$W747=1,U$35&gt;=$Q747,U$35&lt;=$R747),$V747-$T747*SQRT(MAX(0,$J747^2-(U$35-$U747)^2))-U802,0)+IF(AND($I748=1,$W748=1,U$35&gt;=$Q748,U$35&lt;=$R748),$V748-$T748*SQRT(MAX(0,$J748^2-(U$35-$U748)^2))-U802,0)+IF(AND($I749=1,$W749=1,U$35&gt;=$Q749,U$35&lt;=$R749),$V749-$T749*SQRT(MAX(0,$J749^2-(U$35-$U749)^2))-U802,0)</f>
        <v>600</v>
      </c>
      <c r="V812">
        <f t="shared" si="166"/>
        <v>600</v>
      </c>
      <c r="W812">
        <f t="shared" si="166"/>
        <v>600</v>
      </c>
      <c r="X812">
        <f t="shared" si="166"/>
        <v>600</v>
      </c>
      <c r="Y812">
        <f t="shared" si="166"/>
        <v>600</v>
      </c>
      <c r="Z812">
        <f t="shared" si="166"/>
        <v>600</v>
      </c>
      <c r="AA812">
        <f t="shared" si="166"/>
        <v>600</v>
      </c>
      <c r="AB812">
        <f t="shared" si="166"/>
        <v>600</v>
      </c>
      <c r="AC812">
        <f t="shared" si="166"/>
        <v>600</v>
      </c>
      <c r="AD812">
        <f t="shared" si="166"/>
        <v>600</v>
      </c>
      <c r="AE812">
        <f t="shared" si="166"/>
        <v>600</v>
      </c>
      <c r="AF812">
        <f t="shared" si="166"/>
        <v>600</v>
      </c>
      <c r="AG812">
        <f t="shared" si="166"/>
        <v>600</v>
      </c>
      <c r="AH812">
        <f t="shared" si="166"/>
        <v>600</v>
      </c>
      <c r="AI812">
        <f t="shared" si="166"/>
        <v>600</v>
      </c>
      <c r="AJ812">
        <f t="shared" si="166"/>
        <v>600</v>
      </c>
      <c r="AK812">
        <f t="shared" si="166"/>
        <v>600</v>
      </c>
      <c r="AL812">
        <f t="shared" si="166"/>
        <v>600</v>
      </c>
      <c r="AM812">
        <f t="shared" si="166"/>
        <v>600</v>
      </c>
      <c r="AN812">
        <f t="shared" si="166"/>
        <v>600</v>
      </c>
      <c r="AO812">
        <f t="shared" si="166"/>
        <v>600</v>
      </c>
    </row>
    <row r="813" spans="21:41" hidden="1" outlineLevel="1" x14ac:dyDescent="0.3">
      <c r="U813">
        <f t="shared" ref="U813:AO813" si="167">U803+IF(AND($I751=1,$W751=1,U$35&gt;=$Q751,U$35&lt;=$R751),$V751-$T751*SQRT(MAX(0,$J751^2-(U$35-$U751)^2))-U803,0)+IF(AND($I752=1,$W752=1,U$35&gt;=$Q752,U$35&lt;=$R752),$V752-$T752*SQRT(MAX(0,$J752^2-(U$35-$U752)^2))-U803,0)+IF(AND($I753=1,$W753=1,U$35&gt;=$Q753,U$35&lt;=$R753),$V753-$T753*SQRT(MAX(0,$J753^2-(U$35-$U753)^2))-U803,0)+IF(AND($I754=1,$W754=1,U$35&gt;=$Q754,U$35&lt;=$R754),$V754-$T754*SQRT(MAX(0,$J754^2-(U$35-$U754)^2))-U803,0)+IF(AND($I755=1,$W755=1,U$35&gt;=$Q755,U$35&lt;=$R755),$V755-$T755*SQRT(MAX(0,$J755^2-(U$35-$U755)^2))-U803,0)+IF(AND($I756=1,$W756=1,U$35&gt;=$Q756,U$35&lt;=$R756),$V756-$T756*SQRT(MAX(0,$J756^2-(U$35-$U756)^2))-U803,0)+IF(AND($I757=1,$W757=1,U$35&gt;=$Q757,U$35&lt;=$R757),$V757-$T757*SQRT(MAX(0,$J757^2-(U$35-$U757)^2))-U803,0)+IF(AND($I758=1,$W758=1,U$35&gt;=$Q758,U$35&lt;=$R758),$V758-$T758*SQRT(MAX(0,$J758^2-(U$35-$U758)^2))-U803,0)+IF(AND($I759=1,$W759=1,U$35&gt;=$Q759,U$35&lt;=$R759),$V759-$T759*SQRT(MAX(0,$J759^2-(U$35-$U759)^2))-U803,0)+IF(AND($I760=1,$W760=1,U$35&gt;=$Q760,U$35&lt;=$R760),$V760-$T760*SQRT(MAX(0,$J760^2-(U$35-$U760)^2))-U803,0)+IF(AND($I761=1,$W761=1,U$35&gt;=$Q761,U$35&lt;=$R761),$V761-$T761*SQRT(MAX(0,$J761^2-(U$35-$U761)^2))-U803,0)</f>
        <v>600</v>
      </c>
      <c r="V813">
        <f t="shared" si="167"/>
        <v>600</v>
      </c>
      <c r="W813">
        <f t="shared" si="167"/>
        <v>600</v>
      </c>
      <c r="X813">
        <f t="shared" si="167"/>
        <v>600</v>
      </c>
      <c r="Y813">
        <f t="shared" si="167"/>
        <v>600</v>
      </c>
      <c r="Z813">
        <f t="shared" si="167"/>
        <v>600</v>
      </c>
      <c r="AA813">
        <f t="shared" si="167"/>
        <v>600</v>
      </c>
      <c r="AB813">
        <f t="shared" si="167"/>
        <v>600</v>
      </c>
      <c r="AC813">
        <f t="shared" si="167"/>
        <v>600</v>
      </c>
      <c r="AD813">
        <f t="shared" si="167"/>
        <v>600</v>
      </c>
      <c r="AE813">
        <f t="shared" si="167"/>
        <v>600</v>
      </c>
      <c r="AF813">
        <f t="shared" si="167"/>
        <v>600</v>
      </c>
      <c r="AG813">
        <f t="shared" si="167"/>
        <v>600</v>
      </c>
      <c r="AH813">
        <f t="shared" si="167"/>
        <v>600</v>
      </c>
      <c r="AI813">
        <f t="shared" si="167"/>
        <v>600</v>
      </c>
      <c r="AJ813">
        <f t="shared" si="167"/>
        <v>600</v>
      </c>
      <c r="AK813">
        <f t="shared" si="167"/>
        <v>600</v>
      </c>
      <c r="AL813">
        <f t="shared" si="167"/>
        <v>600</v>
      </c>
      <c r="AM813">
        <f t="shared" si="167"/>
        <v>600</v>
      </c>
      <c r="AN813">
        <f t="shared" si="167"/>
        <v>600</v>
      </c>
      <c r="AO813">
        <f t="shared" si="167"/>
        <v>600</v>
      </c>
    </row>
    <row r="814" spans="21:41" hidden="1" outlineLevel="1" x14ac:dyDescent="0.3">
      <c r="U814">
        <f t="shared" ref="U814:AO814" si="168">U804+IF(AND($I763=1,$W763=1,U$35&gt;=$Q763,U$35&lt;=$R763),$V763-$T763*SQRT(MAX(0,$J763^2-(U$35-$U763)^2))-U804,0)+IF(AND($I764=1,$W764=1,U$35&gt;=$Q764,U$35&lt;=$R764),$V764-$T764*SQRT(MAX(0,$J764^2-(U$35-$U764)^2))-U804,0)+IF(AND($I765=1,$W765=1,U$35&gt;=$Q765,U$35&lt;=$R765),$V765-$T765*SQRT(MAX(0,$J765^2-(U$35-$U765)^2))-U804,0)+IF(AND($I766=1,$W766=1,U$35&gt;=$Q766,U$35&lt;=$R766),$V766-$T766*SQRT(MAX(0,$J766^2-(U$35-$U766)^2))-U804,0)+IF(AND($I767=1,$W767=1,U$35&gt;=$Q767,U$35&lt;=$R767),$V767-$T767*SQRT(MAX(0,$J767^2-(U$35-$U767)^2))-U804,0)+IF(AND($I768=1,$W768=1,U$35&gt;=$Q768,U$35&lt;=$R768),$V768-$T768*SQRT(MAX(0,$J768^2-(U$35-$U768)^2))-U804,0)+IF(AND($I769=1,$W769=1,U$35&gt;=$Q769,U$35&lt;=$R769),$V769-$T769*SQRT(MAX(0,$J769^2-(U$35-$U769)^2))-U804,0)+IF(AND($I770=1,$W770=1,U$35&gt;=$Q770,U$35&lt;=$R770),$V770-$T770*SQRT(MAX(0,$J770^2-(U$35-$U770)^2))-U804,0)+IF(AND($I771=1,$W771=1,U$35&gt;=$Q771,U$35&lt;=$R771),$V771-$T771*SQRT(MAX(0,$J771^2-(U$35-$U771)^2))-U804,0)+IF(AND($I772=1,$W772=1,U$35&gt;=$Q772,U$35&lt;=$R772),$V772-$T772*SQRT(MAX(0,$J772^2-(U$35-$U772)^2))-U804,0)+IF(AND($I773=1,$W773=1,U$35&gt;=$Q773,U$35&lt;=$R773),$V773-$T773*SQRT(MAX(0,$J773^2-(U$35-$U773)^2))-U804,0)</f>
        <v>600</v>
      </c>
      <c r="V814">
        <f t="shared" si="168"/>
        <v>600</v>
      </c>
      <c r="W814">
        <f t="shared" si="168"/>
        <v>600</v>
      </c>
      <c r="X814">
        <f t="shared" si="168"/>
        <v>600</v>
      </c>
      <c r="Y814">
        <f t="shared" si="168"/>
        <v>600</v>
      </c>
      <c r="Z814">
        <f t="shared" si="168"/>
        <v>600</v>
      </c>
      <c r="AA814">
        <f t="shared" si="168"/>
        <v>600</v>
      </c>
      <c r="AB814">
        <f t="shared" si="168"/>
        <v>600</v>
      </c>
      <c r="AC814">
        <f t="shared" si="168"/>
        <v>600</v>
      </c>
      <c r="AD814">
        <f t="shared" si="168"/>
        <v>600</v>
      </c>
      <c r="AE814">
        <f t="shared" si="168"/>
        <v>600</v>
      </c>
      <c r="AF814">
        <f t="shared" si="168"/>
        <v>600</v>
      </c>
      <c r="AG814">
        <f t="shared" si="168"/>
        <v>600</v>
      </c>
      <c r="AH814">
        <f t="shared" si="168"/>
        <v>600</v>
      </c>
      <c r="AI814">
        <f t="shared" si="168"/>
        <v>600</v>
      </c>
      <c r="AJ814">
        <f t="shared" si="168"/>
        <v>600</v>
      </c>
      <c r="AK814">
        <f t="shared" si="168"/>
        <v>600</v>
      </c>
      <c r="AL814">
        <f t="shared" si="168"/>
        <v>600</v>
      </c>
      <c r="AM814">
        <f t="shared" si="168"/>
        <v>600</v>
      </c>
      <c r="AN814">
        <f t="shared" si="168"/>
        <v>600</v>
      </c>
      <c r="AO814">
        <f t="shared" si="168"/>
        <v>600</v>
      </c>
    </row>
    <row r="815" spans="21:41" hidden="1" outlineLevel="1" x14ac:dyDescent="0.3">
      <c r="U815">
        <f t="shared" ref="U815:AO815" si="169">U805+IF(AND($I775=1,$W775=1,U$35&gt;=$Q775,U$35&lt;=$R775),$V775-$T775*SQRT(MAX(0,$J775^2-(U$35-$U775)^2))-U805,0)+IF(AND($I776=1,$W776=1,U$35&gt;=$Q776,U$35&lt;=$R776),$V776-$T776*SQRT(MAX(0,$J776^2-(U$35-$U776)^2))-U805,0)+IF(AND($I777=1,$W777=1,U$35&gt;=$Q777,U$35&lt;=$R777),$V777-$T777*SQRT(MAX(0,$J777^2-(U$35-$U777)^2))-U805,0)+IF(AND($I778=1,$W778=1,U$35&gt;=$Q778,U$35&lt;=$R778),$V778-$T778*SQRT(MAX(0,$J778^2-(U$35-$U778)^2))-U805,0)+IF(AND($I779=1,$W779=1,U$35&gt;=$Q779,U$35&lt;=$R779),$V779-$T779*SQRT(MAX(0,$J779^2-(U$35-$U779)^2))-U805,0)+IF(AND($I780=1,$W780=1,U$35&gt;=$Q780,U$35&lt;=$R780),$V780-$T780*SQRT(MAX(0,$J780^2-(U$35-$U780)^2))-U805,0)+IF(AND($I781=1,$W781=1,U$35&gt;=$Q781,U$35&lt;=$R781),$V781-$T781*SQRT(MAX(0,$J781^2-(U$35-$U781)^2))-U805,0)+IF(AND($I782=1,$W782=1,U$35&gt;=$Q782,U$35&lt;=$R782),$V782-$T782*SQRT(MAX(0,$J782^2-(U$35-$U782)^2))-U805,0)+IF(AND($I783=1,$W783=1,U$35&gt;=$Q783,U$35&lt;=$R783),$V783-$T783*SQRT(MAX(0,$J783^2-(U$35-$U783)^2))-U805,0)+IF(AND($I784=1,$W784=1,U$35&gt;=$Q784,U$35&lt;=$R784),$V784-$T784*SQRT(MAX(0,$J784^2-(U$35-$U784)^2))-U805,0)+IF(AND($I785=1,$W785=1,U$35&gt;=$Q785,U$35&lt;=$R785),$V785-$T785*SQRT(MAX(0,$J785^2-(U$35-$U785)^2))-U805,0)</f>
        <v>600</v>
      </c>
      <c r="V815">
        <f t="shared" si="169"/>
        <v>600</v>
      </c>
      <c r="W815">
        <f t="shared" si="169"/>
        <v>600</v>
      </c>
      <c r="X815">
        <f t="shared" si="169"/>
        <v>600</v>
      </c>
      <c r="Y815">
        <f t="shared" si="169"/>
        <v>600</v>
      </c>
      <c r="Z815">
        <f t="shared" si="169"/>
        <v>600</v>
      </c>
      <c r="AA815">
        <f t="shared" si="169"/>
        <v>600</v>
      </c>
      <c r="AB815">
        <f t="shared" si="169"/>
        <v>600</v>
      </c>
      <c r="AC815">
        <f t="shared" si="169"/>
        <v>600</v>
      </c>
      <c r="AD815">
        <f t="shared" si="169"/>
        <v>600</v>
      </c>
      <c r="AE815">
        <f t="shared" si="169"/>
        <v>600</v>
      </c>
      <c r="AF815">
        <f t="shared" si="169"/>
        <v>600</v>
      </c>
      <c r="AG815">
        <f t="shared" si="169"/>
        <v>600</v>
      </c>
      <c r="AH815">
        <f t="shared" si="169"/>
        <v>600</v>
      </c>
      <c r="AI815">
        <f t="shared" si="169"/>
        <v>600</v>
      </c>
      <c r="AJ815">
        <f t="shared" si="169"/>
        <v>600</v>
      </c>
      <c r="AK815">
        <f t="shared" si="169"/>
        <v>600</v>
      </c>
      <c r="AL815">
        <f t="shared" si="169"/>
        <v>600</v>
      </c>
      <c r="AM815">
        <f t="shared" si="169"/>
        <v>600</v>
      </c>
      <c r="AN815">
        <f t="shared" si="169"/>
        <v>600</v>
      </c>
      <c r="AO815">
        <f t="shared" si="169"/>
        <v>600</v>
      </c>
    </row>
    <row r="816" spans="21:41" hidden="1" outlineLevel="1" x14ac:dyDescent="0.3">
      <c r="U816">
        <f t="shared" ref="U816:AO816" si="170">U806+IF(AND($I787=1,$W787=1,U$35&gt;=$Q787,U$35&lt;=$R787),$V787-$T787*SQRT(MAX(0,$J787^2-(U$35-$U787)^2))-U806,0)+IF(AND($I788=1,$W788=1,U$35&gt;=$Q788,U$35&lt;=$R788),$V788-$T788*SQRT(MAX(0,$J788^2-(U$35-$U788)^2))-U806,0)+IF(AND($I789=1,$W789=1,U$35&gt;=$Q789,U$35&lt;=$R789),$V789-$T789*SQRT(MAX(0,$J789^2-(U$35-$U789)^2))-U806,0)+IF(AND($I790=1,$W790=1,U$35&gt;=$Q790,U$35&lt;=$R790),$V790-$T790*SQRT(MAX(0,$J790^2-(U$35-$U790)^2))-U806,0)+IF(AND($I791=1,$W791=1,U$35&gt;=$Q791,U$35&lt;=$R791),$V791-$T791*SQRT(MAX(0,$J791^2-(U$35-$U791)^2))-U806,0)+IF(AND($I792=1,$W792=1,U$35&gt;=$Q792,U$35&lt;=$R792),$V792-$T792*SQRT(MAX(0,$J792^2-(U$35-$U792)^2))-U806,0)+IF(AND($I793=1,$W793=1,U$35&gt;=$Q793,U$35&lt;=$R793),$V793-$T793*SQRT(MAX(0,$J793^2-(U$35-$U793)^2))-U806,0)+IF(AND($I794=1,$W794=1,U$35&gt;=$Q794,U$35&lt;=$R794),$V794-$T794*SQRT(MAX(0,$J794^2-(U$35-$U794)^2))-U806,0)+IF(AND($I795=1,$W795=1,U$35&gt;=$Q795,U$35&lt;=$R795),$V795-$T795*SQRT(MAX(0,$J795^2-(U$35-$U795)^2))-U806,0)+IF(AND($I796=1,$W796=1,U$35&gt;=$Q796,U$35&lt;=$R796),$V796-$T796*SQRT(MAX(0,$J796^2-(U$35-$U796)^2))-U806,0)+IF(AND($I797=1,$W797=1,U$35&gt;=$Q797,U$35&lt;=$R797),$V797-$T797*SQRT(MAX(0,$J797^2-(U$35-$U797)^2))-U806,0)</f>
        <v>600</v>
      </c>
      <c r="V816">
        <f t="shared" si="170"/>
        <v>600</v>
      </c>
      <c r="W816">
        <f t="shared" si="170"/>
        <v>600</v>
      </c>
      <c r="X816">
        <f t="shared" si="170"/>
        <v>600</v>
      </c>
      <c r="Y816">
        <f t="shared" si="170"/>
        <v>600</v>
      </c>
      <c r="Z816">
        <f t="shared" si="170"/>
        <v>600</v>
      </c>
      <c r="AA816">
        <f t="shared" si="170"/>
        <v>600</v>
      </c>
      <c r="AB816">
        <f t="shared" si="170"/>
        <v>600</v>
      </c>
      <c r="AC816">
        <f t="shared" si="170"/>
        <v>600</v>
      </c>
      <c r="AD816">
        <f t="shared" si="170"/>
        <v>600</v>
      </c>
      <c r="AE816">
        <f t="shared" si="170"/>
        <v>600</v>
      </c>
      <c r="AF816">
        <f t="shared" si="170"/>
        <v>600</v>
      </c>
      <c r="AG816">
        <f t="shared" si="170"/>
        <v>600</v>
      </c>
      <c r="AH816">
        <f t="shared" si="170"/>
        <v>600</v>
      </c>
      <c r="AI816">
        <f t="shared" si="170"/>
        <v>600</v>
      </c>
      <c r="AJ816">
        <f t="shared" si="170"/>
        <v>600</v>
      </c>
      <c r="AK816">
        <f t="shared" si="170"/>
        <v>600</v>
      </c>
      <c r="AL816">
        <f t="shared" si="170"/>
        <v>600</v>
      </c>
      <c r="AM816">
        <f t="shared" si="170"/>
        <v>600</v>
      </c>
      <c r="AN816">
        <f t="shared" si="170"/>
        <v>600</v>
      </c>
      <c r="AO816">
        <f t="shared" si="170"/>
        <v>600</v>
      </c>
    </row>
    <row r="817" spans="1:16" hidden="1" outlineLevel="1" x14ac:dyDescent="0.3"/>
    <row r="818" spans="1:16" collapsed="1" x14ac:dyDescent="0.3"/>
    <row r="819" spans="1:16" x14ac:dyDescent="0.3">
      <c r="A819" t="s">
        <v>2022</v>
      </c>
      <c r="E819" t="s">
        <v>2122</v>
      </c>
      <c r="F819" t="s">
        <v>2123</v>
      </c>
      <c r="G819" t="s">
        <v>2124</v>
      </c>
      <c r="H819" t="s">
        <v>2125</v>
      </c>
      <c r="I819" t="s">
        <v>2126</v>
      </c>
      <c r="J819" t="s">
        <v>2127</v>
      </c>
      <c r="K819" t="s">
        <v>2128</v>
      </c>
      <c r="L819" t="s">
        <v>2129</v>
      </c>
      <c r="M819" t="s">
        <v>2130</v>
      </c>
      <c r="N819" t="s">
        <v>2131</v>
      </c>
      <c r="O819" t="s">
        <v>2132</v>
      </c>
      <c r="P819" t="str">
        <f>IFERROR(IF(AND(OR(capOpt=1,capOpt=2),IF(capOpt=2,AND(ISNUMBER(capRmin),capRmin&gt;0,MIN($C$820:$C$826)=1),TRUE)),"OK","BLOCK"),"BLOCK")</f>
        <v>OK</v>
      </c>
    </row>
    <row r="820" spans="1:16" x14ac:dyDescent="0.3">
      <c r="A820" t="s">
        <v>1508</v>
      </c>
      <c r="B820">
        <f>SUMPRODUCT(($E715:$E725&lt;$D$13)*($I715:$I725)*($W715:$W725)*ABS($O715:$O725))+0.5*SUMPRODUCT(($E715:$E725=$D$13)*($I715:$I725)*($W715:$W725)*ABS($O715:$O725))</f>
        <v>0.52512382208955666</v>
      </c>
      <c r="C820">
        <f>IF($E$25&gt;0,IF(AND(SUMPRODUCT(($I715:$I725=1)*($W715:$W725=0))=0,MIN($X715:$X725)=1,$L820=1),1,0),1)</f>
        <v>1</v>
      </c>
      <c r="D820">
        <f t="shared" ref="D820:D826" si="171">$AE810</f>
        <v>862.66591107768727</v>
      </c>
      <c r="E820">
        <f>SUM($C843:$C855)</f>
        <v>7</v>
      </c>
      <c r="F820">
        <f>SUM($F843:$F855)</f>
        <v>0</v>
      </c>
      <c r="G820">
        <f>SUM($G843:$G855)</f>
        <v>0</v>
      </c>
      <c r="H820">
        <f>SUM($H843:$H855)</f>
        <v>0</v>
      </c>
      <c r="I820">
        <f>MIN($E843:$E855)</f>
        <v>0</v>
      </c>
      <c r="J820">
        <f>MAX($E843:$E855)</f>
        <v>23550</v>
      </c>
      <c r="K820">
        <f>SUMPRODUCT(--ISNUMBER($AB$703:$AL$703),--((($AB$703:$AL$703&lt;capRmin)+($AB$703:$AL$703&lt;=0))&gt;0))+SUMPRODUCT((LEN($AB$703:$AL$703)&gt;0)*(1-ISNUMBER($AB$703:$AL$703)))</f>
        <v>0</v>
      </c>
      <c r="L820">
        <f t="shared" ref="L820:L826" si="172">IF(AND($E820&gt;=2,$F820=0,$G820=0,$H820=0,ABS($I820)&lt;=1,ABS($J820-2*$D$13)&lt;=1,$K820=0),1,0)</f>
        <v>1</v>
      </c>
      <c r="M820">
        <f>SUM($Z715:$Z725)</f>
        <v>1</v>
      </c>
      <c r="N820">
        <f>SUM($Y715:$Y725)</f>
        <v>0</v>
      </c>
      <c r="O820">
        <f t="shared" ref="O820:O826" si="173">ATAN(ABS(IF($M820&gt;=1,$N820,($AF810-$AD810)/($AF$35-$AD$35))))</f>
        <v>0</v>
      </c>
    </row>
    <row r="821" spans="1:16" x14ac:dyDescent="0.3">
      <c r="A821" t="s">
        <v>1509</v>
      </c>
      <c r="B821">
        <f>SUMPRODUCT(($E727:$E737&lt;$D$13)*($I727:$I737)*($W727:$W737)*ABS($O727:$O737))+0.5*SUMPRODUCT(($E727:$E737=$D$13)*($I727:$I737)*($W727:$W737)*ABS($O727:$O737))</f>
        <v>0</v>
      </c>
      <c r="C821">
        <f>IF($E$26&gt;0,IF(AND(SUMPRODUCT(($I727:$I737=1)*($W727:$W737=0))=0,MIN($X727:$X737)=1,$L821=1),1,0),1)</f>
        <v>1</v>
      </c>
      <c r="D821">
        <f t="shared" si="171"/>
        <v>600</v>
      </c>
      <c r="E821">
        <f>SUM($C857:$C869)</f>
        <v>2</v>
      </c>
      <c r="F821">
        <f>SUM($F857:$F869)</f>
        <v>0</v>
      </c>
      <c r="G821">
        <f>SUM($G857:$G869)</f>
        <v>0</v>
      </c>
      <c r="H821">
        <f>SUM($H857:$H869)</f>
        <v>0</v>
      </c>
      <c r="I821">
        <f>MIN($E857:$E869)</f>
        <v>0</v>
      </c>
      <c r="J821">
        <f>MAX($E857:$E869)</f>
        <v>23550</v>
      </c>
      <c r="K821">
        <f>SUMPRODUCT(--ISNUMBER($AB$704:$AL$704),--((($AB$704:$AL$704&lt;capRmin)+($AB$704:$AL$704&lt;=0))&gt;0))+SUMPRODUCT((LEN($AB$704:$AL$704)&gt;0)*(1-ISNUMBER($AB$704:$AL$704)))</f>
        <v>0</v>
      </c>
      <c r="L821">
        <f t="shared" si="172"/>
        <v>1</v>
      </c>
      <c r="M821">
        <f>SUM($Z727:$Z737)</f>
        <v>0</v>
      </c>
      <c r="N821">
        <f>SUM($Y727:$Y737)</f>
        <v>0</v>
      </c>
      <c r="O821">
        <f t="shared" si="173"/>
        <v>0</v>
      </c>
    </row>
    <row r="822" spans="1:16" x14ac:dyDescent="0.3">
      <c r="A822" t="s">
        <v>1510</v>
      </c>
      <c r="B822">
        <f>SUMPRODUCT(($E739:$E749&lt;$D$13)*($I739:$I749)*($W739:$W749)*ABS($O739:$O749))+0.5*SUMPRODUCT(($E739:$E749=$D$13)*($I739:$I749)*($W739:$W749)*ABS($O739:$O749))</f>
        <v>0</v>
      </c>
      <c r="C822">
        <f>IF($E$27&gt;0,IF(AND(SUMPRODUCT(($I739:$I749=1)*($W739:$W749=0))=0,MIN($X739:$X749)=1,$L822=1),1,0),1)</f>
        <v>1</v>
      </c>
      <c r="D822">
        <f t="shared" si="171"/>
        <v>600</v>
      </c>
      <c r="E822">
        <f>SUM($C871:$C883)</f>
        <v>2</v>
      </c>
      <c r="F822">
        <f>SUM($F871:$F883)</f>
        <v>0</v>
      </c>
      <c r="G822">
        <f>SUM($G871:$G883)</f>
        <v>0</v>
      </c>
      <c r="H822">
        <f>SUM($H871:$H883)</f>
        <v>0</v>
      </c>
      <c r="I822">
        <f>MIN($E871:$E883)</f>
        <v>0</v>
      </c>
      <c r="J822">
        <f>MAX($E871:$E883)</f>
        <v>23550</v>
      </c>
      <c r="K822">
        <f>SUMPRODUCT(--ISNUMBER($AB$705:$AL$705),--((($AB$705:$AL$705&lt;capRmin)+($AB$705:$AL$705&lt;=0))&gt;0))+SUMPRODUCT((LEN($AB$705:$AL$705)&gt;0)*(1-ISNUMBER($AB$705:$AL$705)))</f>
        <v>0</v>
      </c>
      <c r="L822">
        <f t="shared" si="172"/>
        <v>1</v>
      </c>
      <c r="M822">
        <f>SUM($Z739:$Z749)</f>
        <v>0</v>
      </c>
      <c r="N822">
        <f>SUM($Y739:$Y749)</f>
        <v>0</v>
      </c>
      <c r="O822">
        <f t="shared" si="173"/>
        <v>0</v>
      </c>
    </row>
    <row r="823" spans="1:16" x14ac:dyDescent="0.3">
      <c r="A823" t="s">
        <v>1511</v>
      </c>
      <c r="B823">
        <f>SUMPRODUCT(($E751:$E761&lt;$D$13)*($I751:$I761)*($W751:$W761)*ABS($O751:$O761))+0.5*SUMPRODUCT(($E751:$E761=$D$13)*($I751:$I761)*($W751:$W761)*ABS($O751:$O761))</f>
        <v>0</v>
      </c>
      <c r="C823">
        <f>IF($E$28&gt;0,IF(AND(SUMPRODUCT(($I751:$I761=1)*($W751:$W761=0))=0,MIN($X751:$X761)=1,$L823=1),1,0),1)</f>
        <v>1</v>
      </c>
      <c r="D823">
        <f t="shared" si="171"/>
        <v>600</v>
      </c>
      <c r="E823">
        <f>SUM($C885:$C897)</f>
        <v>2</v>
      </c>
      <c r="F823">
        <f>SUM($F885:$F897)</f>
        <v>0</v>
      </c>
      <c r="G823">
        <f>SUM($G885:$G897)</f>
        <v>0</v>
      </c>
      <c r="H823">
        <f>SUM($H885:$H897)</f>
        <v>0</v>
      </c>
      <c r="I823">
        <f>MIN($E885:$E897)</f>
        <v>0</v>
      </c>
      <c r="J823">
        <f>MAX($E885:$E897)</f>
        <v>23550</v>
      </c>
      <c r="K823">
        <f>SUMPRODUCT(--ISNUMBER($AB$706:$AL$706),--((($AB$706:$AL$706&lt;capRmin)+($AB$706:$AL$706&lt;=0))&gt;0))+SUMPRODUCT((LEN($AB$706:$AL$706)&gt;0)*(1-ISNUMBER($AB$706:$AL$706)))</f>
        <v>0</v>
      </c>
      <c r="L823">
        <f t="shared" si="172"/>
        <v>1</v>
      </c>
      <c r="M823">
        <f>SUM($Z751:$Z761)</f>
        <v>0</v>
      </c>
      <c r="N823">
        <f>SUM($Y751:$Y761)</f>
        <v>0</v>
      </c>
      <c r="O823">
        <f t="shared" si="173"/>
        <v>0</v>
      </c>
    </row>
    <row r="824" spans="1:16" x14ac:dyDescent="0.3">
      <c r="A824" t="s">
        <v>1512</v>
      </c>
      <c r="B824">
        <f>SUMPRODUCT(($E763:$E773&lt;$D$13)*($I763:$I773)*($W763:$W773)*ABS($O763:$O773))+0.5*SUMPRODUCT(($E763:$E773=$D$13)*($I763:$I773)*($W763:$W773)*ABS($O763:$O773))</f>
        <v>0</v>
      </c>
      <c r="C824">
        <f>IF($E$29&gt;0,IF(AND(SUMPRODUCT(($I763:$I773=1)*($W763:$W773=0))=0,MIN($X763:$X773)=1,$L824=1),1,0),1)</f>
        <v>1</v>
      </c>
      <c r="D824">
        <f t="shared" si="171"/>
        <v>600</v>
      </c>
      <c r="E824">
        <f>SUM($C899:$C911)</f>
        <v>2</v>
      </c>
      <c r="F824">
        <f>SUM($F899:$F911)</f>
        <v>0</v>
      </c>
      <c r="G824">
        <f>SUM($G899:$G911)</f>
        <v>0</v>
      </c>
      <c r="H824">
        <f>SUM($H899:$H911)</f>
        <v>0</v>
      </c>
      <c r="I824">
        <f>MIN($E899:$E911)</f>
        <v>0</v>
      </c>
      <c r="J824">
        <f>MAX($E899:$E911)</f>
        <v>23550</v>
      </c>
      <c r="K824">
        <f>SUMPRODUCT(--ISNUMBER($AB$707:$AL$707),--((($AB$707:$AL$707&lt;capRmin)+($AB$707:$AL$707&lt;=0))&gt;0))+SUMPRODUCT((LEN($AB$707:$AL$707)&gt;0)*(1-ISNUMBER($AB$707:$AL$707)))</f>
        <v>0</v>
      </c>
      <c r="L824">
        <f t="shared" si="172"/>
        <v>1</v>
      </c>
      <c r="M824">
        <f>SUM($Z763:$Z773)</f>
        <v>0</v>
      </c>
      <c r="N824">
        <f>SUM($Y763:$Y773)</f>
        <v>0</v>
      </c>
      <c r="O824">
        <f t="shared" si="173"/>
        <v>0</v>
      </c>
    </row>
    <row r="825" spans="1:16" x14ac:dyDescent="0.3">
      <c r="A825" t="s">
        <v>1513</v>
      </c>
      <c r="B825">
        <f>SUMPRODUCT(($E775:$E785&lt;$D$13)*($I775:$I785)*($W775:$W785)*ABS($O775:$O785))+0.5*SUMPRODUCT(($E775:$E785=$D$13)*($I775:$I785)*($W775:$W785)*ABS($O775:$O785))</f>
        <v>0</v>
      </c>
      <c r="C825">
        <f>IF($E$30&gt;0,IF(AND(SUMPRODUCT(($I775:$I785=1)*($W775:$W785=0))=0,MIN($X775:$X785)=1,$L825=1),1,0),1)</f>
        <v>1</v>
      </c>
      <c r="D825">
        <f t="shared" si="171"/>
        <v>600</v>
      </c>
      <c r="E825">
        <f>SUM($C913:$C925)</f>
        <v>2</v>
      </c>
      <c r="F825">
        <f>SUM($F913:$F925)</f>
        <v>0</v>
      </c>
      <c r="G825">
        <f>SUM($G913:$G925)</f>
        <v>0</v>
      </c>
      <c r="H825">
        <f>SUM($H913:$H925)</f>
        <v>0</v>
      </c>
      <c r="I825">
        <f>MIN($E913:$E925)</f>
        <v>0</v>
      </c>
      <c r="J825">
        <f>MAX($E913:$E925)</f>
        <v>23550</v>
      </c>
      <c r="K825">
        <f>SUMPRODUCT(--ISNUMBER($AB$708:$AL$708),--((($AB$708:$AL$708&lt;capRmin)+($AB$708:$AL$708&lt;=0))&gt;0))+SUMPRODUCT((LEN($AB$708:$AL$708)&gt;0)*(1-ISNUMBER($AB$708:$AL$708)))</f>
        <v>0</v>
      </c>
      <c r="L825">
        <f t="shared" si="172"/>
        <v>1</v>
      </c>
      <c r="M825">
        <f>SUM($Z775:$Z785)</f>
        <v>0</v>
      </c>
      <c r="N825">
        <f>SUM($Y775:$Y785)</f>
        <v>0</v>
      </c>
      <c r="O825">
        <f t="shared" si="173"/>
        <v>0</v>
      </c>
    </row>
    <row r="826" spans="1:16" x14ac:dyDescent="0.3">
      <c r="A826" t="s">
        <v>1514</v>
      </c>
      <c r="B826">
        <f>SUMPRODUCT(($E787:$E797&lt;$D$13)*($I787:$I797)*($W787:$W797)*ABS($O787:$O797))+0.5*SUMPRODUCT(($E787:$E797=$D$13)*($I787:$I797)*($W787:$W797)*ABS($O787:$O797))</f>
        <v>0</v>
      </c>
      <c r="C826">
        <f>IF($E$31&gt;0,IF(AND(SUMPRODUCT(($I787:$I797=1)*($W787:$W797=0))=0,MIN($X787:$X797)=1,$L826=1),1,0),1)</f>
        <v>1</v>
      </c>
      <c r="D826">
        <f t="shared" si="171"/>
        <v>600</v>
      </c>
      <c r="E826">
        <f>SUM($C927:$C939)</f>
        <v>2</v>
      </c>
      <c r="F826">
        <f>SUM($F927:$F939)</f>
        <v>0</v>
      </c>
      <c r="G826">
        <f>SUM($G927:$G939)</f>
        <v>0</v>
      </c>
      <c r="H826">
        <f>SUM($H927:$H939)</f>
        <v>0</v>
      </c>
      <c r="I826">
        <f>MIN($E927:$E939)</f>
        <v>0</v>
      </c>
      <c r="J826">
        <f>MAX($E927:$E939)</f>
        <v>23550</v>
      </c>
      <c r="K826">
        <f>SUMPRODUCT(--ISNUMBER($AB$709:$AL$709),--((($AB$709:$AL$709&lt;capRmin)+($AB$709:$AL$709&lt;=0))&gt;0))+SUMPRODUCT((LEN($AB$709:$AL$709)&gt;0)*(1-ISNUMBER($AB$709:$AL$709)))</f>
        <v>0</v>
      </c>
      <c r="L826">
        <f t="shared" si="172"/>
        <v>1</v>
      </c>
      <c r="M826">
        <f>SUM($Z787:$Z797)</f>
        <v>0</v>
      </c>
      <c r="N826">
        <f>SUM($Y787:$Y797)</f>
        <v>0</v>
      </c>
      <c r="O826">
        <f t="shared" si="173"/>
        <v>0</v>
      </c>
    </row>
    <row r="842" spans="1:8" x14ac:dyDescent="0.3">
      <c r="A842" t="s">
        <v>2024</v>
      </c>
    </row>
    <row r="843" spans="1:8" hidden="1" outlineLevel="2" x14ac:dyDescent="0.3">
      <c r="A843" t="s">
        <v>2025</v>
      </c>
      <c r="B843">
        <v>1</v>
      </c>
      <c r="C843">
        <f>IF(ISNUMBER($B$703),1,0)</f>
        <v>1</v>
      </c>
      <c r="D843">
        <f>IF(ISNUMBER($C$703),1,0)</f>
        <v>1</v>
      </c>
      <c r="E843">
        <f>IF($C843=1,$B$703,"")</f>
        <v>0</v>
      </c>
      <c r="F843">
        <v>0</v>
      </c>
      <c r="G843">
        <v>0</v>
      </c>
      <c r="H843">
        <f t="shared" ref="H843:H855" si="174">--($C843&lt;&gt;$D843)</f>
        <v>0</v>
      </c>
    </row>
    <row r="844" spans="1:8" hidden="1" outlineLevel="2" x14ac:dyDescent="0.3">
      <c r="A844" t="s">
        <v>2026</v>
      </c>
      <c r="B844">
        <v>2</v>
      </c>
      <c r="C844">
        <f>IF(ISNUMBER($D$703),1,0)</f>
        <v>1</v>
      </c>
      <c r="D844">
        <f>IF(ISNUMBER($E$703),1,0)</f>
        <v>1</v>
      </c>
      <c r="E844">
        <f>IF($C844=1,$D$703,"")</f>
        <v>4000</v>
      </c>
      <c r="F844">
        <f t="shared" ref="F844:F855" si="175">IF(AND($C844=1,$C843=0),1,0)</f>
        <v>0</v>
      </c>
      <c r="G844">
        <f>IF(AND($C844=1,$C843=1,$D$703&lt;=$B$703),1,0)</f>
        <v>0</v>
      </c>
      <c r="H844">
        <f t="shared" si="174"/>
        <v>0</v>
      </c>
    </row>
    <row r="845" spans="1:8" hidden="1" outlineLevel="2" x14ac:dyDescent="0.3">
      <c r="A845" t="s">
        <v>2027</v>
      </c>
      <c r="B845">
        <v>3</v>
      </c>
      <c r="C845">
        <f>IF(ISNUMBER($F$703),1,0)</f>
        <v>1</v>
      </c>
      <c r="D845">
        <f>IF(ISNUMBER($G$703),1,0)</f>
        <v>1</v>
      </c>
      <c r="E845">
        <f>IF($C845=1,$F$703,"")</f>
        <v>8000</v>
      </c>
      <c r="F845">
        <f t="shared" si="175"/>
        <v>0</v>
      </c>
      <c r="G845">
        <f>IF(AND($C845=1,$C844=1,$F$703&lt;=$D$703),1,0)</f>
        <v>0</v>
      </c>
      <c r="H845">
        <f t="shared" si="174"/>
        <v>0</v>
      </c>
    </row>
    <row r="846" spans="1:8" hidden="1" outlineLevel="2" x14ac:dyDescent="0.3">
      <c r="A846" t="s">
        <v>2028</v>
      </c>
      <c r="B846">
        <v>4</v>
      </c>
      <c r="C846">
        <f>IF(ISNUMBER($H$703),1,0)</f>
        <v>1</v>
      </c>
      <c r="D846">
        <f>IF(ISNUMBER($I$703),1,0)</f>
        <v>1</v>
      </c>
      <c r="E846">
        <f>IF($C846=1,$H$703,"")</f>
        <v>11775</v>
      </c>
      <c r="F846">
        <f t="shared" si="175"/>
        <v>0</v>
      </c>
      <c r="G846">
        <f>IF(AND($C846=1,$C845=1,$H$703&lt;=$F$703),1,0)</f>
        <v>0</v>
      </c>
      <c r="H846">
        <f t="shared" si="174"/>
        <v>0</v>
      </c>
    </row>
    <row r="847" spans="1:8" hidden="1" outlineLevel="2" x14ac:dyDescent="0.3">
      <c r="A847" t="s">
        <v>2029</v>
      </c>
      <c r="B847">
        <v>5</v>
      </c>
      <c r="C847">
        <f>IF(ISNUMBER($J$703),1,0)</f>
        <v>1</v>
      </c>
      <c r="D847">
        <f>IF(ISNUMBER($K$703),1,0)</f>
        <v>1</v>
      </c>
      <c r="E847">
        <f>IF($C847=1,$J$703,"")</f>
        <v>15550</v>
      </c>
      <c r="F847">
        <f t="shared" si="175"/>
        <v>0</v>
      </c>
      <c r="G847">
        <f>IF(AND($C847=1,$C846=1,$J$703&lt;=$H$703),1,0)</f>
        <v>0</v>
      </c>
      <c r="H847">
        <f t="shared" si="174"/>
        <v>0</v>
      </c>
    </row>
    <row r="848" spans="1:8" hidden="1" outlineLevel="2" x14ac:dyDescent="0.3">
      <c r="A848" t="s">
        <v>2030</v>
      </c>
      <c r="B848">
        <v>6</v>
      </c>
      <c r="C848">
        <f>IF(ISNUMBER($L$703),1,0)</f>
        <v>1</v>
      </c>
      <c r="D848">
        <f>IF(ISNUMBER($M$703),1,0)</f>
        <v>1</v>
      </c>
      <c r="E848">
        <f>IF($C848=1,$L$703,"")</f>
        <v>19550</v>
      </c>
      <c r="F848">
        <f t="shared" si="175"/>
        <v>0</v>
      </c>
      <c r="G848">
        <f>IF(AND($C848=1,$C847=1,$L$703&lt;=$J$703),1,0)</f>
        <v>0</v>
      </c>
      <c r="H848">
        <f t="shared" si="174"/>
        <v>0</v>
      </c>
    </row>
    <row r="849" spans="1:8" hidden="1" outlineLevel="2" x14ac:dyDescent="0.3">
      <c r="A849" t="s">
        <v>2031</v>
      </c>
      <c r="B849">
        <v>7</v>
      </c>
      <c r="C849">
        <f>IF(ISNUMBER($N$703),1,0)</f>
        <v>1</v>
      </c>
      <c r="D849">
        <f>IF(ISNUMBER($O$703),1,0)</f>
        <v>1</v>
      </c>
      <c r="E849">
        <f>IF($C849=1,$N$703,"")</f>
        <v>23550</v>
      </c>
      <c r="F849">
        <f t="shared" si="175"/>
        <v>0</v>
      </c>
      <c r="G849">
        <f>IF(AND($C849=1,$C848=1,$N$703&lt;=$L$703),1,0)</f>
        <v>0</v>
      </c>
      <c r="H849">
        <f t="shared" si="174"/>
        <v>0</v>
      </c>
    </row>
    <row r="850" spans="1:8" hidden="1" outlineLevel="2" x14ac:dyDescent="0.3">
      <c r="A850" t="s">
        <v>2032</v>
      </c>
      <c r="B850">
        <v>8</v>
      </c>
      <c r="C850">
        <f>IF(ISNUMBER($P$703),1,0)</f>
        <v>0</v>
      </c>
      <c r="D850">
        <f>IF(ISNUMBER($Q$703),1,0)</f>
        <v>0</v>
      </c>
      <c r="E850" t="str">
        <f>IF($C850=1,$P$703,"")</f>
        <v/>
      </c>
      <c r="F850">
        <f t="shared" si="175"/>
        <v>0</v>
      </c>
      <c r="G850">
        <f>IF(AND($C850=1,$C849=1,$P$703&lt;=$N$703),1,0)</f>
        <v>0</v>
      </c>
      <c r="H850">
        <f t="shared" si="174"/>
        <v>0</v>
      </c>
    </row>
    <row r="851" spans="1:8" hidden="1" outlineLevel="2" x14ac:dyDescent="0.3">
      <c r="A851" t="s">
        <v>2033</v>
      </c>
      <c r="B851">
        <v>9</v>
      </c>
      <c r="C851">
        <f>IF(ISNUMBER($R$703),1,0)</f>
        <v>0</v>
      </c>
      <c r="D851">
        <f>IF(ISNUMBER($S$703),1,0)</f>
        <v>0</v>
      </c>
      <c r="E851" t="str">
        <f>IF($C851=1,$R$703,"")</f>
        <v/>
      </c>
      <c r="F851">
        <f t="shared" si="175"/>
        <v>0</v>
      </c>
      <c r="G851">
        <f>IF(AND($C851=1,$C850=1,$R$703&lt;=$P$703),1,0)</f>
        <v>0</v>
      </c>
      <c r="H851">
        <f t="shared" si="174"/>
        <v>0</v>
      </c>
    </row>
    <row r="852" spans="1:8" hidden="1" outlineLevel="2" x14ac:dyDescent="0.3">
      <c r="A852" t="s">
        <v>2034</v>
      </c>
      <c r="B852">
        <v>10</v>
      </c>
      <c r="C852">
        <f>IF(ISNUMBER($T$703),1,0)</f>
        <v>0</v>
      </c>
      <c r="D852">
        <f>IF(ISNUMBER($U$703),1,0)</f>
        <v>0</v>
      </c>
      <c r="E852" t="str">
        <f>IF($C852=1,$T$703,"")</f>
        <v/>
      </c>
      <c r="F852">
        <f t="shared" si="175"/>
        <v>0</v>
      </c>
      <c r="G852">
        <f>IF(AND($C852=1,$C851=1,$T$703&lt;=$R$703),1,0)</f>
        <v>0</v>
      </c>
      <c r="H852">
        <f t="shared" si="174"/>
        <v>0</v>
      </c>
    </row>
    <row r="853" spans="1:8" hidden="1" outlineLevel="2" x14ac:dyDescent="0.3">
      <c r="A853" t="s">
        <v>2035</v>
      </c>
      <c r="B853">
        <v>11</v>
      </c>
      <c r="C853">
        <f>IF(ISNUMBER($V$703),1,0)</f>
        <v>0</v>
      </c>
      <c r="D853">
        <f>IF(ISNUMBER($W$703),1,0)</f>
        <v>0</v>
      </c>
      <c r="E853" t="str">
        <f>IF($C853=1,$V$703,"")</f>
        <v/>
      </c>
      <c r="F853">
        <f t="shared" si="175"/>
        <v>0</v>
      </c>
      <c r="G853">
        <f>IF(AND($C853=1,$C852=1,$V$703&lt;=$T$703),1,0)</f>
        <v>0</v>
      </c>
      <c r="H853">
        <f t="shared" si="174"/>
        <v>0</v>
      </c>
    </row>
    <row r="854" spans="1:8" hidden="1" outlineLevel="2" x14ac:dyDescent="0.3">
      <c r="A854" t="s">
        <v>2036</v>
      </c>
      <c r="B854">
        <v>12</v>
      </c>
      <c r="C854">
        <f>IF(ISNUMBER($X$703),1,0)</f>
        <v>0</v>
      </c>
      <c r="D854">
        <f>IF(ISNUMBER($Y$703),1,0)</f>
        <v>0</v>
      </c>
      <c r="E854" t="str">
        <f>IF($C854=1,$X$703,"")</f>
        <v/>
      </c>
      <c r="F854">
        <f t="shared" si="175"/>
        <v>0</v>
      </c>
      <c r="G854">
        <f>IF(AND($C854=1,$C853=1,$X$703&lt;=$V$703),1,0)</f>
        <v>0</v>
      </c>
      <c r="H854">
        <f t="shared" si="174"/>
        <v>0</v>
      </c>
    </row>
    <row r="855" spans="1:8" hidden="1" outlineLevel="2" x14ac:dyDescent="0.3">
      <c r="A855" t="s">
        <v>2037</v>
      </c>
      <c r="B855">
        <v>13</v>
      </c>
      <c r="C855">
        <f>IF(ISNUMBER($Z$703),1,0)</f>
        <v>0</v>
      </c>
      <c r="D855">
        <f>IF(ISNUMBER($AA$703),1,0)</f>
        <v>0</v>
      </c>
      <c r="E855" t="str">
        <f>IF($C855=1,$Z$703,"")</f>
        <v/>
      </c>
      <c r="F855">
        <f t="shared" si="175"/>
        <v>0</v>
      </c>
      <c r="G855">
        <f>IF(AND($C855=1,$C854=1,$Z$703&lt;=$X$703),1,0)</f>
        <v>0</v>
      </c>
      <c r="H855">
        <f t="shared" si="174"/>
        <v>0</v>
      </c>
    </row>
    <row r="856" spans="1:8" hidden="1" outlineLevel="2" x14ac:dyDescent="0.3">
      <c r="A856" t="s">
        <v>2038</v>
      </c>
    </row>
    <row r="857" spans="1:8" hidden="1" outlineLevel="2" x14ac:dyDescent="0.3">
      <c r="A857" t="s">
        <v>2039</v>
      </c>
      <c r="B857">
        <v>1</v>
      </c>
      <c r="C857">
        <f>IF(ISNUMBER($B$704),1,0)</f>
        <v>1</v>
      </c>
      <c r="D857">
        <f>IF(ISNUMBER($C$704),1,0)</f>
        <v>1</v>
      </c>
      <c r="E857">
        <f>IF($C857=1,$B$704,"")</f>
        <v>0</v>
      </c>
      <c r="F857">
        <v>0</v>
      </c>
      <c r="G857">
        <v>0</v>
      </c>
      <c r="H857">
        <f t="shared" ref="H857:H869" si="176">--($C857&lt;&gt;$D857)</f>
        <v>0</v>
      </c>
    </row>
    <row r="858" spans="1:8" hidden="1" outlineLevel="2" x14ac:dyDescent="0.3">
      <c r="A858" t="s">
        <v>2040</v>
      </c>
      <c r="B858">
        <v>2</v>
      </c>
      <c r="C858">
        <f>IF(ISNUMBER($D$704),1,0)</f>
        <v>1</v>
      </c>
      <c r="D858">
        <f>IF(ISNUMBER($E$704),1,0)</f>
        <v>1</v>
      </c>
      <c r="E858">
        <f>IF($C858=1,$D$704,"")</f>
        <v>23550</v>
      </c>
      <c r="F858">
        <f t="shared" ref="F858:F869" si="177">IF(AND($C858=1,$C857=0),1,0)</f>
        <v>0</v>
      </c>
      <c r="G858">
        <f>IF(AND($C858=1,$C857=1,$D$704&lt;=$B$704),1,0)</f>
        <v>0</v>
      </c>
      <c r="H858">
        <f t="shared" si="176"/>
        <v>0</v>
      </c>
    </row>
    <row r="859" spans="1:8" hidden="1" outlineLevel="2" x14ac:dyDescent="0.3">
      <c r="A859" t="s">
        <v>2041</v>
      </c>
      <c r="B859">
        <v>3</v>
      </c>
      <c r="C859">
        <f>IF(ISNUMBER($F$704),1,0)</f>
        <v>0</v>
      </c>
      <c r="D859">
        <f>IF(ISNUMBER($G$704),1,0)</f>
        <v>0</v>
      </c>
      <c r="E859" t="str">
        <f>IF($C859=1,$F$704,"")</f>
        <v/>
      </c>
      <c r="F859">
        <f t="shared" si="177"/>
        <v>0</v>
      </c>
      <c r="G859">
        <f>IF(AND($C859=1,$C858=1,$F$704&lt;=$D$704),1,0)</f>
        <v>0</v>
      </c>
      <c r="H859">
        <f t="shared" si="176"/>
        <v>0</v>
      </c>
    </row>
    <row r="860" spans="1:8" hidden="1" outlineLevel="2" x14ac:dyDescent="0.3">
      <c r="A860" t="s">
        <v>2042</v>
      </c>
      <c r="B860">
        <v>4</v>
      </c>
      <c r="C860">
        <f>IF(ISNUMBER($H$704),1,0)</f>
        <v>0</v>
      </c>
      <c r="D860">
        <f>IF(ISNUMBER($I$704),1,0)</f>
        <v>0</v>
      </c>
      <c r="E860" t="str">
        <f>IF($C860=1,$H$704,"")</f>
        <v/>
      </c>
      <c r="F860">
        <f t="shared" si="177"/>
        <v>0</v>
      </c>
      <c r="G860">
        <f>IF(AND($C860=1,$C859=1,$H$704&lt;=$F$704),1,0)</f>
        <v>0</v>
      </c>
      <c r="H860">
        <f t="shared" si="176"/>
        <v>0</v>
      </c>
    </row>
    <row r="861" spans="1:8" hidden="1" outlineLevel="2" x14ac:dyDescent="0.3">
      <c r="A861" t="s">
        <v>2043</v>
      </c>
      <c r="B861">
        <v>5</v>
      </c>
      <c r="C861">
        <f>IF(ISNUMBER($J$704),1,0)</f>
        <v>0</v>
      </c>
      <c r="D861">
        <f>IF(ISNUMBER($K$704),1,0)</f>
        <v>0</v>
      </c>
      <c r="E861" t="str">
        <f>IF($C861=1,$J$704,"")</f>
        <v/>
      </c>
      <c r="F861">
        <f t="shared" si="177"/>
        <v>0</v>
      </c>
      <c r="G861">
        <f>IF(AND($C861=1,$C860=1,$J$704&lt;=$H$704),1,0)</f>
        <v>0</v>
      </c>
      <c r="H861">
        <f t="shared" si="176"/>
        <v>0</v>
      </c>
    </row>
    <row r="862" spans="1:8" hidden="1" outlineLevel="2" x14ac:dyDescent="0.3">
      <c r="A862" t="s">
        <v>2044</v>
      </c>
      <c r="B862">
        <v>6</v>
      </c>
      <c r="C862">
        <f>IF(ISNUMBER($L$704),1,0)</f>
        <v>0</v>
      </c>
      <c r="D862">
        <f>IF(ISNUMBER($M$704),1,0)</f>
        <v>0</v>
      </c>
      <c r="E862" t="str">
        <f>IF($C862=1,$L$704,"")</f>
        <v/>
      </c>
      <c r="F862">
        <f t="shared" si="177"/>
        <v>0</v>
      </c>
      <c r="G862">
        <f>IF(AND($C862=1,$C861=1,$L$704&lt;=$J$704),1,0)</f>
        <v>0</v>
      </c>
      <c r="H862">
        <f t="shared" si="176"/>
        <v>0</v>
      </c>
    </row>
    <row r="863" spans="1:8" hidden="1" outlineLevel="2" x14ac:dyDescent="0.3">
      <c r="A863" t="s">
        <v>2045</v>
      </c>
      <c r="B863">
        <v>7</v>
      </c>
      <c r="C863">
        <f>IF(ISNUMBER($N$704),1,0)</f>
        <v>0</v>
      </c>
      <c r="D863">
        <f>IF(ISNUMBER($O$704),1,0)</f>
        <v>0</v>
      </c>
      <c r="E863" t="str">
        <f>IF($C863=1,$N$704,"")</f>
        <v/>
      </c>
      <c r="F863">
        <f t="shared" si="177"/>
        <v>0</v>
      </c>
      <c r="G863">
        <f>IF(AND($C863=1,$C862=1,$N$704&lt;=$L$704),1,0)</f>
        <v>0</v>
      </c>
      <c r="H863">
        <f t="shared" si="176"/>
        <v>0</v>
      </c>
    </row>
    <row r="864" spans="1:8" hidden="1" outlineLevel="2" x14ac:dyDescent="0.3">
      <c r="A864" t="s">
        <v>2046</v>
      </c>
      <c r="B864">
        <v>8</v>
      </c>
      <c r="C864">
        <f>IF(ISNUMBER($P$704),1,0)</f>
        <v>0</v>
      </c>
      <c r="D864">
        <f>IF(ISNUMBER($Q$704),1,0)</f>
        <v>0</v>
      </c>
      <c r="E864" t="str">
        <f>IF($C864=1,$P$704,"")</f>
        <v/>
      </c>
      <c r="F864">
        <f t="shared" si="177"/>
        <v>0</v>
      </c>
      <c r="G864">
        <f>IF(AND($C864=1,$C863=1,$P$704&lt;=$N$704),1,0)</f>
        <v>0</v>
      </c>
      <c r="H864">
        <f t="shared" si="176"/>
        <v>0</v>
      </c>
    </row>
    <row r="865" spans="1:8" hidden="1" outlineLevel="2" x14ac:dyDescent="0.3">
      <c r="A865" t="s">
        <v>2047</v>
      </c>
      <c r="B865">
        <v>9</v>
      </c>
      <c r="C865">
        <f>IF(ISNUMBER($R$704),1,0)</f>
        <v>0</v>
      </c>
      <c r="D865">
        <f>IF(ISNUMBER($S$704),1,0)</f>
        <v>0</v>
      </c>
      <c r="E865" t="str">
        <f>IF($C865=1,$R$704,"")</f>
        <v/>
      </c>
      <c r="F865">
        <f t="shared" si="177"/>
        <v>0</v>
      </c>
      <c r="G865">
        <f>IF(AND($C865=1,$C864=1,$R$704&lt;=$P$704),1,0)</f>
        <v>0</v>
      </c>
      <c r="H865">
        <f t="shared" si="176"/>
        <v>0</v>
      </c>
    </row>
    <row r="866" spans="1:8" hidden="1" outlineLevel="2" x14ac:dyDescent="0.3">
      <c r="A866" t="s">
        <v>2048</v>
      </c>
      <c r="B866">
        <v>10</v>
      </c>
      <c r="C866">
        <f>IF(ISNUMBER($T$704),1,0)</f>
        <v>0</v>
      </c>
      <c r="D866">
        <f>IF(ISNUMBER($U$704),1,0)</f>
        <v>0</v>
      </c>
      <c r="E866" t="str">
        <f>IF($C866=1,$T$704,"")</f>
        <v/>
      </c>
      <c r="F866">
        <f t="shared" si="177"/>
        <v>0</v>
      </c>
      <c r="G866">
        <f>IF(AND($C866=1,$C865=1,$T$704&lt;=$R$704),1,0)</f>
        <v>0</v>
      </c>
      <c r="H866">
        <f t="shared" si="176"/>
        <v>0</v>
      </c>
    </row>
    <row r="867" spans="1:8" hidden="1" outlineLevel="2" x14ac:dyDescent="0.3">
      <c r="A867" t="s">
        <v>2049</v>
      </c>
      <c r="B867">
        <v>11</v>
      </c>
      <c r="C867">
        <f>IF(ISNUMBER($V$704),1,0)</f>
        <v>0</v>
      </c>
      <c r="D867">
        <f>IF(ISNUMBER($W$704),1,0)</f>
        <v>0</v>
      </c>
      <c r="E867" t="str">
        <f>IF($C867=1,$V$704,"")</f>
        <v/>
      </c>
      <c r="F867">
        <f t="shared" si="177"/>
        <v>0</v>
      </c>
      <c r="G867">
        <f>IF(AND($C867=1,$C866=1,$V$704&lt;=$T$704),1,0)</f>
        <v>0</v>
      </c>
      <c r="H867">
        <f t="shared" si="176"/>
        <v>0</v>
      </c>
    </row>
    <row r="868" spans="1:8" hidden="1" outlineLevel="2" x14ac:dyDescent="0.3">
      <c r="A868" t="s">
        <v>2050</v>
      </c>
      <c r="B868">
        <v>12</v>
      </c>
      <c r="C868">
        <f>IF(ISNUMBER($X$704),1,0)</f>
        <v>0</v>
      </c>
      <c r="D868">
        <f>IF(ISNUMBER($Y$704),1,0)</f>
        <v>0</v>
      </c>
      <c r="E868" t="str">
        <f>IF($C868=1,$X$704,"")</f>
        <v/>
      </c>
      <c r="F868">
        <f t="shared" si="177"/>
        <v>0</v>
      </c>
      <c r="G868">
        <f>IF(AND($C868=1,$C867=1,$X$704&lt;=$V$704),1,0)</f>
        <v>0</v>
      </c>
      <c r="H868">
        <f t="shared" si="176"/>
        <v>0</v>
      </c>
    </row>
    <row r="869" spans="1:8" hidden="1" outlineLevel="2" x14ac:dyDescent="0.3">
      <c r="A869" t="s">
        <v>2051</v>
      </c>
      <c r="B869">
        <v>13</v>
      </c>
      <c r="C869">
        <f>IF(ISNUMBER($Z$704),1,0)</f>
        <v>0</v>
      </c>
      <c r="D869">
        <f>IF(ISNUMBER($AA$704),1,0)</f>
        <v>0</v>
      </c>
      <c r="E869" t="str">
        <f>IF($C869=1,$Z$704,"")</f>
        <v/>
      </c>
      <c r="F869">
        <f t="shared" si="177"/>
        <v>0</v>
      </c>
      <c r="G869">
        <f>IF(AND($C869=1,$C868=1,$Z$704&lt;=$X$704),1,0)</f>
        <v>0</v>
      </c>
      <c r="H869">
        <f t="shared" si="176"/>
        <v>0</v>
      </c>
    </row>
    <row r="870" spans="1:8" hidden="1" outlineLevel="2" x14ac:dyDescent="0.3">
      <c r="A870" t="s">
        <v>2052</v>
      </c>
    </row>
    <row r="871" spans="1:8" hidden="1" outlineLevel="2" x14ac:dyDescent="0.3">
      <c r="A871" t="s">
        <v>2053</v>
      </c>
      <c r="B871">
        <v>1</v>
      </c>
      <c r="C871">
        <f>IF(ISNUMBER($B$705),1,0)</f>
        <v>1</v>
      </c>
      <c r="D871">
        <f>IF(ISNUMBER($C$705),1,0)</f>
        <v>1</v>
      </c>
      <c r="E871">
        <f>IF($C871=1,$B$705,"")</f>
        <v>0</v>
      </c>
      <c r="F871">
        <v>0</v>
      </c>
      <c r="G871">
        <v>0</v>
      </c>
      <c r="H871">
        <f t="shared" ref="H871:H883" si="178">--($C871&lt;&gt;$D871)</f>
        <v>0</v>
      </c>
    </row>
    <row r="872" spans="1:8" hidden="1" outlineLevel="2" x14ac:dyDescent="0.3">
      <c r="A872" t="s">
        <v>2054</v>
      </c>
      <c r="B872">
        <v>2</v>
      </c>
      <c r="C872">
        <f>IF(ISNUMBER($D$705),1,0)</f>
        <v>1</v>
      </c>
      <c r="D872">
        <f>IF(ISNUMBER($E$705),1,0)</f>
        <v>1</v>
      </c>
      <c r="E872">
        <f>IF($C872=1,$D$705,"")</f>
        <v>23550</v>
      </c>
      <c r="F872">
        <f t="shared" ref="F872:F883" si="179">IF(AND($C872=1,$C871=0),1,0)</f>
        <v>0</v>
      </c>
      <c r="G872">
        <f>IF(AND($C872=1,$C871=1,$D$705&lt;=$B$705),1,0)</f>
        <v>0</v>
      </c>
      <c r="H872">
        <f t="shared" si="178"/>
        <v>0</v>
      </c>
    </row>
    <row r="873" spans="1:8" hidden="1" outlineLevel="2" x14ac:dyDescent="0.3">
      <c r="A873" t="s">
        <v>2055</v>
      </c>
      <c r="B873">
        <v>3</v>
      </c>
      <c r="C873">
        <f>IF(ISNUMBER($F$705),1,0)</f>
        <v>0</v>
      </c>
      <c r="D873">
        <f>IF(ISNUMBER($G$705),1,0)</f>
        <v>0</v>
      </c>
      <c r="E873" t="str">
        <f>IF($C873=1,$F$705,"")</f>
        <v/>
      </c>
      <c r="F873">
        <f t="shared" si="179"/>
        <v>0</v>
      </c>
      <c r="G873">
        <f>IF(AND($C873=1,$C872=1,$F$705&lt;=$D$705),1,0)</f>
        <v>0</v>
      </c>
      <c r="H873">
        <f t="shared" si="178"/>
        <v>0</v>
      </c>
    </row>
    <row r="874" spans="1:8" hidden="1" outlineLevel="2" x14ac:dyDescent="0.3">
      <c r="A874" t="s">
        <v>2056</v>
      </c>
      <c r="B874">
        <v>4</v>
      </c>
      <c r="C874">
        <f>IF(ISNUMBER($H$705),1,0)</f>
        <v>0</v>
      </c>
      <c r="D874">
        <f>IF(ISNUMBER($I$705),1,0)</f>
        <v>0</v>
      </c>
      <c r="E874" t="str">
        <f>IF($C874=1,$H$705,"")</f>
        <v/>
      </c>
      <c r="F874">
        <f t="shared" si="179"/>
        <v>0</v>
      </c>
      <c r="G874">
        <f>IF(AND($C874=1,$C873=1,$H$705&lt;=$F$705),1,0)</f>
        <v>0</v>
      </c>
      <c r="H874">
        <f t="shared" si="178"/>
        <v>0</v>
      </c>
    </row>
    <row r="875" spans="1:8" hidden="1" outlineLevel="2" x14ac:dyDescent="0.3">
      <c r="A875" t="s">
        <v>2057</v>
      </c>
      <c r="B875">
        <v>5</v>
      </c>
      <c r="C875">
        <f>IF(ISNUMBER($J$705),1,0)</f>
        <v>0</v>
      </c>
      <c r="D875">
        <f>IF(ISNUMBER($K$705),1,0)</f>
        <v>0</v>
      </c>
      <c r="E875" t="str">
        <f>IF($C875=1,$J$705,"")</f>
        <v/>
      </c>
      <c r="F875">
        <f t="shared" si="179"/>
        <v>0</v>
      </c>
      <c r="G875">
        <f>IF(AND($C875=1,$C874=1,$J$705&lt;=$H$705),1,0)</f>
        <v>0</v>
      </c>
      <c r="H875">
        <f t="shared" si="178"/>
        <v>0</v>
      </c>
    </row>
    <row r="876" spans="1:8" hidden="1" outlineLevel="2" x14ac:dyDescent="0.3">
      <c r="A876" t="s">
        <v>2058</v>
      </c>
      <c r="B876">
        <v>6</v>
      </c>
      <c r="C876">
        <f>IF(ISNUMBER($L$705),1,0)</f>
        <v>0</v>
      </c>
      <c r="D876">
        <f>IF(ISNUMBER($M$705),1,0)</f>
        <v>0</v>
      </c>
      <c r="E876" t="str">
        <f>IF($C876=1,$L$705,"")</f>
        <v/>
      </c>
      <c r="F876">
        <f t="shared" si="179"/>
        <v>0</v>
      </c>
      <c r="G876">
        <f>IF(AND($C876=1,$C875=1,$L$705&lt;=$J$705),1,0)</f>
        <v>0</v>
      </c>
      <c r="H876">
        <f t="shared" si="178"/>
        <v>0</v>
      </c>
    </row>
    <row r="877" spans="1:8" hidden="1" outlineLevel="2" x14ac:dyDescent="0.3">
      <c r="A877" t="s">
        <v>2059</v>
      </c>
      <c r="B877">
        <v>7</v>
      </c>
      <c r="C877">
        <f>IF(ISNUMBER($N$705),1,0)</f>
        <v>0</v>
      </c>
      <c r="D877">
        <f>IF(ISNUMBER($O$705),1,0)</f>
        <v>0</v>
      </c>
      <c r="E877" t="str">
        <f>IF($C877=1,$N$705,"")</f>
        <v/>
      </c>
      <c r="F877">
        <f t="shared" si="179"/>
        <v>0</v>
      </c>
      <c r="G877">
        <f>IF(AND($C877=1,$C876=1,$N$705&lt;=$L$705),1,0)</f>
        <v>0</v>
      </c>
      <c r="H877">
        <f t="shared" si="178"/>
        <v>0</v>
      </c>
    </row>
    <row r="878" spans="1:8" hidden="1" outlineLevel="2" x14ac:dyDescent="0.3">
      <c r="A878" t="s">
        <v>2060</v>
      </c>
      <c r="B878">
        <v>8</v>
      </c>
      <c r="C878">
        <f>IF(ISNUMBER($P$705),1,0)</f>
        <v>0</v>
      </c>
      <c r="D878">
        <f>IF(ISNUMBER($Q$705),1,0)</f>
        <v>0</v>
      </c>
      <c r="E878" t="str">
        <f>IF($C878=1,$P$705,"")</f>
        <v/>
      </c>
      <c r="F878">
        <f t="shared" si="179"/>
        <v>0</v>
      </c>
      <c r="G878">
        <f>IF(AND($C878=1,$C877=1,$P$705&lt;=$N$705),1,0)</f>
        <v>0</v>
      </c>
      <c r="H878">
        <f t="shared" si="178"/>
        <v>0</v>
      </c>
    </row>
    <row r="879" spans="1:8" hidden="1" outlineLevel="2" x14ac:dyDescent="0.3">
      <c r="A879" t="s">
        <v>2061</v>
      </c>
      <c r="B879">
        <v>9</v>
      </c>
      <c r="C879">
        <f>IF(ISNUMBER($R$705),1,0)</f>
        <v>0</v>
      </c>
      <c r="D879">
        <f>IF(ISNUMBER($S$705),1,0)</f>
        <v>0</v>
      </c>
      <c r="E879" t="str">
        <f>IF($C879=1,$R$705,"")</f>
        <v/>
      </c>
      <c r="F879">
        <f t="shared" si="179"/>
        <v>0</v>
      </c>
      <c r="G879">
        <f>IF(AND($C879=1,$C878=1,$R$705&lt;=$P$705),1,0)</f>
        <v>0</v>
      </c>
      <c r="H879">
        <f t="shared" si="178"/>
        <v>0</v>
      </c>
    </row>
    <row r="880" spans="1:8" hidden="1" outlineLevel="2" x14ac:dyDescent="0.3">
      <c r="A880" t="s">
        <v>2062</v>
      </c>
      <c r="B880">
        <v>10</v>
      </c>
      <c r="C880">
        <f>IF(ISNUMBER($T$705),1,0)</f>
        <v>0</v>
      </c>
      <c r="D880">
        <f>IF(ISNUMBER($U$705),1,0)</f>
        <v>0</v>
      </c>
      <c r="E880" t="str">
        <f>IF($C880=1,$T$705,"")</f>
        <v/>
      </c>
      <c r="F880">
        <f t="shared" si="179"/>
        <v>0</v>
      </c>
      <c r="G880">
        <f>IF(AND($C880=1,$C879=1,$T$705&lt;=$R$705),1,0)</f>
        <v>0</v>
      </c>
      <c r="H880">
        <f t="shared" si="178"/>
        <v>0</v>
      </c>
    </row>
    <row r="881" spans="1:8" hidden="1" outlineLevel="2" x14ac:dyDescent="0.3">
      <c r="A881" t="s">
        <v>2063</v>
      </c>
      <c r="B881">
        <v>11</v>
      </c>
      <c r="C881">
        <f>IF(ISNUMBER($V$705),1,0)</f>
        <v>0</v>
      </c>
      <c r="D881">
        <f>IF(ISNUMBER($W$705),1,0)</f>
        <v>0</v>
      </c>
      <c r="E881" t="str">
        <f>IF($C881=1,$V$705,"")</f>
        <v/>
      </c>
      <c r="F881">
        <f t="shared" si="179"/>
        <v>0</v>
      </c>
      <c r="G881">
        <f>IF(AND($C881=1,$C880=1,$V$705&lt;=$T$705),1,0)</f>
        <v>0</v>
      </c>
      <c r="H881">
        <f t="shared" si="178"/>
        <v>0</v>
      </c>
    </row>
    <row r="882" spans="1:8" hidden="1" outlineLevel="2" x14ac:dyDescent="0.3">
      <c r="A882" t="s">
        <v>2064</v>
      </c>
      <c r="B882">
        <v>12</v>
      </c>
      <c r="C882">
        <f>IF(ISNUMBER($X$705),1,0)</f>
        <v>0</v>
      </c>
      <c r="D882">
        <f>IF(ISNUMBER($Y$705),1,0)</f>
        <v>0</v>
      </c>
      <c r="E882" t="str">
        <f>IF($C882=1,$X$705,"")</f>
        <v/>
      </c>
      <c r="F882">
        <f t="shared" si="179"/>
        <v>0</v>
      </c>
      <c r="G882">
        <f>IF(AND($C882=1,$C881=1,$X$705&lt;=$V$705),1,0)</f>
        <v>0</v>
      </c>
      <c r="H882">
        <f t="shared" si="178"/>
        <v>0</v>
      </c>
    </row>
    <row r="883" spans="1:8" hidden="1" outlineLevel="2" x14ac:dyDescent="0.3">
      <c r="A883" t="s">
        <v>2065</v>
      </c>
      <c r="B883">
        <v>13</v>
      </c>
      <c r="C883">
        <f>IF(ISNUMBER($Z$705),1,0)</f>
        <v>0</v>
      </c>
      <c r="D883">
        <f>IF(ISNUMBER($AA$705),1,0)</f>
        <v>0</v>
      </c>
      <c r="E883" t="str">
        <f>IF($C883=1,$Z$705,"")</f>
        <v/>
      </c>
      <c r="F883">
        <f t="shared" si="179"/>
        <v>0</v>
      </c>
      <c r="G883">
        <f>IF(AND($C883=1,$C882=1,$Z$705&lt;=$X$705),1,0)</f>
        <v>0</v>
      </c>
      <c r="H883">
        <f t="shared" si="178"/>
        <v>0</v>
      </c>
    </row>
    <row r="884" spans="1:8" hidden="1" outlineLevel="2" x14ac:dyDescent="0.3">
      <c r="A884" t="s">
        <v>2066</v>
      </c>
    </row>
    <row r="885" spans="1:8" hidden="1" outlineLevel="2" x14ac:dyDescent="0.3">
      <c r="A885" t="s">
        <v>2067</v>
      </c>
      <c r="B885">
        <v>1</v>
      </c>
      <c r="C885">
        <f>IF(ISNUMBER($B$706),1,0)</f>
        <v>1</v>
      </c>
      <c r="D885">
        <f>IF(ISNUMBER($C$706),1,0)</f>
        <v>1</v>
      </c>
      <c r="E885">
        <f>IF($C885=1,$B$706,"")</f>
        <v>0</v>
      </c>
      <c r="F885">
        <v>0</v>
      </c>
      <c r="G885">
        <v>0</v>
      </c>
      <c r="H885">
        <f t="shared" ref="H885:H897" si="180">--($C885&lt;&gt;$D885)</f>
        <v>0</v>
      </c>
    </row>
    <row r="886" spans="1:8" hidden="1" outlineLevel="2" x14ac:dyDescent="0.3">
      <c r="A886" t="s">
        <v>2068</v>
      </c>
      <c r="B886">
        <v>2</v>
      </c>
      <c r="C886">
        <f>IF(ISNUMBER($D$706),1,0)</f>
        <v>1</v>
      </c>
      <c r="D886">
        <f>IF(ISNUMBER($E$706),1,0)</f>
        <v>1</v>
      </c>
      <c r="E886">
        <f>IF($C886=1,$D$706,"")</f>
        <v>23550</v>
      </c>
      <c r="F886">
        <f t="shared" ref="F886:F897" si="181">IF(AND($C886=1,$C885=0),1,0)</f>
        <v>0</v>
      </c>
      <c r="G886">
        <f>IF(AND($C886=1,$C885=1,$D$706&lt;=$B$706),1,0)</f>
        <v>0</v>
      </c>
      <c r="H886">
        <f t="shared" si="180"/>
        <v>0</v>
      </c>
    </row>
    <row r="887" spans="1:8" hidden="1" outlineLevel="2" x14ac:dyDescent="0.3">
      <c r="A887" t="s">
        <v>2069</v>
      </c>
      <c r="B887">
        <v>3</v>
      </c>
      <c r="C887">
        <f>IF(ISNUMBER($F$706),1,0)</f>
        <v>0</v>
      </c>
      <c r="D887">
        <f>IF(ISNUMBER($G$706),1,0)</f>
        <v>0</v>
      </c>
      <c r="E887" t="str">
        <f>IF($C887=1,$F$706,"")</f>
        <v/>
      </c>
      <c r="F887">
        <f t="shared" si="181"/>
        <v>0</v>
      </c>
      <c r="G887">
        <f>IF(AND($C887=1,$C886=1,$F$706&lt;=$D$706),1,0)</f>
        <v>0</v>
      </c>
      <c r="H887">
        <f t="shared" si="180"/>
        <v>0</v>
      </c>
    </row>
    <row r="888" spans="1:8" hidden="1" outlineLevel="2" x14ac:dyDescent="0.3">
      <c r="A888" t="s">
        <v>2070</v>
      </c>
      <c r="B888">
        <v>4</v>
      </c>
      <c r="C888">
        <f>IF(ISNUMBER($H$706),1,0)</f>
        <v>0</v>
      </c>
      <c r="D888">
        <f>IF(ISNUMBER($I$706),1,0)</f>
        <v>0</v>
      </c>
      <c r="E888" t="str">
        <f>IF($C888=1,$H$706,"")</f>
        <v/>
      </c>
      <c r="F888">
        <f t="shared" si="181"/>
        <v>0</v>
      </c>
      <c r="G888">
        <f>IF(AND($C888=1,$C887=1,$H$706&lt;=$F$706),1,0)</f>
        <v>0</v>
      </c>
      <c r="H888">
        <f t="shared" si="180"/>
        <v>0</v>
      </c>
    </row>
    <row r="889" spans="1:8" hidden="1" outlineLevel="2" x14ac:dyDescent="0.3">
      <c r="A889" t="s">
        <v>2071</v>
      </c>
      <c r="B889">
        <v>5</v>
      </c>
      <c r="C889">
        <f>IF(ISNUMBER($J$706),1,0)</f>
        <v>0</v>
      </c>
      <c r="D889">
        <f>IF(ISNUMBER($K$706),1,0)</f>
        <v>0</v>
      </c>
      <c r="E889" t="str">
        <f>IF($C889=1,$J$706,"")</f>
        <v/>
      </c>
      <c r="F889">
        <f t="shared" si="181"/>
        <v>0</v>
      </c>
      <c r="G889">
        <f>IF(AND($C889=1,$C888=1,$J$706&lt;=$H$706),1,0)</f>
        <v>0</v>
      </c>
      <c r="H889">
        <f t="shared" si="180"/>
        <v>0</v>
      </c>
    </row>
    <row r="890" spans="1:8" hidden="1" outlineLevel="2" x14ac:dyDescent="0.3">
      <c r="A890" t="s">
        <v>2072</v>
      </c>
      <c r="B890">
        <v>6</v>
      </c>
      <c r="C890">
        <f>IF(ISNUMBER($L$706),1,0)</f>
        <v>0</v>
      </c>
      <c r="D890">
        <f>IF(ISNUMBER($M$706),1,0)</f>
        <v>0</v>
      </c>
      <c r="E890" t="str">
        <f>IF($C890=1,$L$706,"")</f>
        <v/>
      </c>
      <c r="F890">
        <f t="shared" si="181"/>
        <v>0</v>
      </c>
      <c r="G890">
        <f>IF(AND($C890=1,$C889=1,$L$706&lt;=$J$706),1,0)</f>
        <v>0</v>
      </c>
      <c r="H890">
        <f t="shared" si="180"/>
        <v>0</v>
      </c>
    </row>
    <row r="891" spans="1:8" hidden="1" outlineLevel="2" x14ac:dyDescent="0.3">
      <c r="A891" t="s">
        <v>2073</v>
      </c>
      <c r="B891">
        <v>7</v>
      </c>
      <c r="C891">
        <f>IF(ISNUMBER($N$706),1,0)</f>
        <v>0</v>
      </c>
      <c r="D891">
        <f>IF(ISNUMBER($O$706),1,0)</f>
        <v>0</v>
      </c>
      <c r="E891" t="str">
        <f>IF($C891=1,$N$706,"")</f>
        <v/>
      </c>
      <c r="F891">
        <f t="shared" si="181"/>
        <v>0</v>
      </c>
      <c r="G891">
        <f>IF(AND($C891=1,$C890=1,$N$706&lt;=$L$706),1,0)</f>
        <v>0</v>
      </c>
      <c r="H891">
        <f t="shared" si="180"/>
        <v>0</v>
      </c>
    </row>
    <row r="892" spans="1:8" hidden="1" outlineLevel="2" x14ac:dyDescent="0.3">
      <c r="A892" t="s">
        <v>2074</v>
      </c>
      <c r="B892">
        <v>8</v>
      </c>
      <c r="C892">
        <f>IF(ISNUMBER($P$706),1,0)</f>
        <v>0</v>
      </c>
      <c r="D892">
        <f>IF(ISNUMBER($Q$706),1,0)</f>
        <v>0</v>
      </c>
      <c r="E892" t="str">
        <f>IF($C892=1,$P$706,"")</f>
        <v/>
      </c>
      <c r="F892">
        <f t="shared" si="181"/>
        <v>0</v>
      </c>
      <c r="G892">
        <f>IF(AND($C892=1,$C891=1,$P$706&lt;=$N$706),1,0)</f>
        <v>0</v>
      </c>
      <c r="H892">
        <f t="shared" si="180"/>
        <v>0</v>
      </c>
    </row>
    <row r="893" spans="1:8" hidden="1" outlineLevel="2" x14ac:dyDescent="0.3">
      <c r="A893" t="s">
        <v>2075</v>
      </c>
      <c r="B893">
        <v>9</v>
      </c>
      <c r="C893">
        <f>IF(ISNUMBER($R$706),1,0)</f>
        <v>0</v>
      </c>
      <c r="D893">
        <f>IF(ISNUMBER($S$706),1,0)</f>
        <v>0</v>
      </c>
      <c r="E893" t="str">
        <f>IF($C893=1,$R$706,"")</f>
        <v/>
      </c>
      <c r="F893">
        <f t="shared" si="181"/>
        <v>0</v>
      </c>
      <c r="G893">
        <f>IF(AND($C893=1,$C892=1,$R$706&lt;=$P$706),1,0)</f>
        <v>0</v>
      </c>
      <c r="H893">
        <f t="shared" si="180"/>
        <v>0</v>
      </c>
    </row>
    <row r="894" spans="1:8" hidden="1" outlineLevel="2" x14ac:dyDescent="0.3">
      <c r="A894" t="s">
        <v>2076</v>
      </c>
      <c r="B894">
        <v>10</v>
      </c>
      <c r="C894">
        <f>IF(ISNUMBER($T$706),1,0)</f>
        <v>0</v>
      </c>
      <c r="D894">
        <f>IF(ISNUMBER($U$706),1,0)</f>
        <v>0</v>
      </c>
      <c r="E894" t="str">
        <f>IF($C894=1,$T$706,"")</f>
        <v/>
      </c>
      <c r="F894">
        <f t="shared" si="181"/>
        <v>0</v>
      </c>
      <c r="G894">
        <f>IF(AND($C894=1,$C893=1,$T$706&lt;=$R$706),1,0)</f>
        <v>0</v>
      </c>
      <c r="H894">
        <f t="shared" si="180"/>
        <v>0</v>
      </c>
    </row>
    <row r="895" spans="1:8" hidden="1" outlineLevel="2" x14ac:dyDescent="0.3">
      <c r="A895" t="s">
        <v>2077</v>
      </c>
      <c r="B895">
        <v>11</v>
      </c>
      <c r="C895">
        <f>IF(ISNUMBER($V$706),1,0)</f>
        <v>0</v>
      </c>
      <c r="D895">
        <f>IF(ISNUMBER($W$706),1,0)</f>
        <v>0</v>
      </c>
      <c r="E895" t="str">
        <f>IF($C895=1,$V$706,"")</f>
        <v/>
      </c>
      <c r="F895">
        <f t="shared" si="181"/>
        <v>0</v>
      </c>
      <c r="G895">
        <f>IF(AND($C895=1,$C894=1,$V$706&lt;=$T$706),1,0)</f>
        <v>0</v>
      </c>
      <c r="H895">
        <f t="shared" si="180"/>
        <v>0</v>
      </c>
    </row>
    <row r="896" spans="1:8" hidden="1" outlineLevel="2" x14ac:dyDescent="0.3">
      <c r="A896" t="s">
        <v>2078</v>
      </c>
      <c r="B896">
        <v>12</v>
      </c>
      <c r="C896">
        <f>IF(ISNUMBER($X$706),1,0)</f>
        <v>0</v>
      </c>
      <c r="D896">
        <f>IF(ISNUMBER($Y$706),1,0)</f>
        <v>0</v>
      </c>
      <c r="E896" t="str">
        <f>IF($C896=1,$X$706,"")</f>
        <v/>
      </c>
      <c r="F896">
        <f t="shared" si="181"/>
        <v>0</v>
      </c>
      <c r="G896">
        <f>IF(AND($C896=1,$C895=1,$X$706&lt;=$V$706),1,0)</f>
        <v>0</v>
      </c>
      <c r="H896">
        <f t="shared" si="180"/>
        <v>0</v>
      </c>
    </row>
    <row r="897" spans="1:8" hidden="1" outlineLevel="2" x14ac:dyDescent="0.3">
      <c r="A897" t="s">
        <v>2079</v>
      </c>
      <c r="B897">
        <v>13</v>
      </c>
      <c r="C897">
        <f>IF(ISNUMBER($Z$706),1,0)</f>
        <v>0</v>
      </c>
      <c r="D897">
        <f>IF(ISNUMBER($AA$706),1,0)</f>
        <v>0</v>
      </c>
      <c r="E897" t="str">
        <f>IF($C897=1,$Z$706,"")</f>
        <v/>
      </c>
      <c r="F897">
        <f t="shared" si="181"/>
        <v>0</v>
      </c>
      <c r="G897">
        <f>IF(AND($C897=1,$C896=1,$Z$706&lt;=$X$706),1,0)</f>
        <v>0</v>
      </c>
      <c r="H897">
        <f t="shared" si="180"/>
        <v>0</v>
      </c>
    </row>
    <row r="898" spans="1:8" hidden="1" outlineLevel="2" x14ac:dyDescent="0.3">
      <c r="A898" t="s">
        <v>2080</v>
      </c>
    </row>
    <row r="899" spans="1:8" hidden="1" outlineLevel="2" x14ac:dyDescent="0.3">
      <c r="A899" t="s">
        <v>2081</v>
      </c>
      <c r="B899">
        <v>1</v>
      </c>
      <c r="C899">
        <f>IF(ISNUMBER($B$707),1,0)</f>
        <v>1</v>
      </c>
      <c r="D899">
        <f>IF(ISNUMBER($C$707),1,0)</f>
        <v>1</v>
      </c>
      <c r="E899">
        <f>IF($C899=1,$B$707,"")</f>
        <v>0</v>
      </c>
      <c r="F899">
        <v>0</v>
      </c>
      <c r="G899">
        <v>0</v>
      </c>
      <c r="H899">
        <f t="shared" ref="H899:H911" si="182">--($C899&lt;&gt;$D899)</f>
        <v>0</v>
      </c>
    </row>
    <row r="900" spans="1:8" hidden="1" outlineLevel="2" x14ac:dyDescent="0.3">
      <c r="A900" t="s">
        <v>2082</v>
      </c>
      <c r="B900">
        <v>2</v>
      </c>
      <c r="C900">
        <f>IF(ISNUMBER($D$707),1,0)</f>
        <v>1</v>
      </c>
      <c r="D900">
        <f>IF(ISNUMBER($E$707),1,0)</f>
        <v>1</v>
      </c>
      <c r="E900">
        <f>IF($C900=1,$D$707,"")</f>
        <v>23550</v>
      </c>
      <c r="F900">
        <f t="shared" ref="F900:F911" si="183">IF(AND($C900=1,$C899=0),1,0)</f>
        <v>0</v>
      </c>
      <c r="G900">
        <f>IF(AND($C900=1,$C899=1,$D$707&lt;=$B$707),1,0)</f>
        <v>0</v>
      </c>
      <c r="H900">
        <f t="shared" si="182"/>
        <v>0</v>
      </c>
    </row>
    <row r="901" spans="1:8" hidden="1" outlineLevel="2" x14ac:dyDescent="0.3">
      <c r="A901" t="s">
        <v>2083</v>
      </c>
      <c r="B901">
        <v>3</v>
      </c>
      <c r="C901">
        <f>IF(ISNUMBER($F$707),1,0)</f>
        <v>0</v>
      </c>
      <c r="D901">
        <f>IF(ISNUMBER($G$707),1,0)</f>
        <v>0</v>
      </c>
      <c r="E901" t="str">
        <f>IF($C901=1,$F$707,"")</f>
        <v/>
      </c>
      <c r="F901">
        <f t="shared" si="183"/>
        <v>0</v>
      </c>
      <c r="G901">
        <f>IF(AND($C901=1,$C900=1,$F$707&lt;=$D$707),1,0)</f>
        <v>0</v>
      </c>
      <c r="H901">
        <f t="shared" si="182"/>
        <v>0</v>
      </c>
    </row>
    <row r="902" spans="1:8" hidden="1" outlineLevel="2" x14ac:dyDescent="0.3">
      <c r="A902" t="s">
        <v>2084</v>
      </c>
      <c r="B902">
        <v>4</v>
      </c>
      <c r="C902">
        <f>IF(ISNUMBER($H$707),1,0)</f>
        <v>0</v>
      </c>
      <c r="D902">
        <f>IF(ISNUMBER($I$707),1,0)</f>
        <v>0</v>
      </c>
      <c r="E902" t="str">
        <f>IF($C902=1,$H$707,"")</f>
        <v/>
      </c>
      <c r="F902">
        <f t="shared" si="183"/>
        <v>0</v>
      </c>
      <c r="G902">
        <f>IF(AND($C902=1,$C901=1,$H$707&lt;=$F$707),1,0)</f>
        <v>0</v>
      </c>
      <c r="H902">
        <f t="shared" si="182"/>
        <v>0</v>
      </c>
    </row>
    <row r="903" spans="1:8" hidden="1" outlineLevel="2" x14ac:dyDescent="0.3">
      <c r="A903" t="s">
        <v>2085</v>
      </c>
      <c r="B903">
        <v>5</v>
      </c>
      <c r="C903">
        <f>IF(ISNUMBER($J$707),1,0)</f>
        <v>0</v>
      </c>
      <c r="D903">
        <f>IF(ISNUMBER($K$707),1,0)</f>
        <v>0</v>
      </c>
      <c r="E903" t="str">
        <f>IF($C903=1,$J$707,"")</f>
        <v/>
      </c>
      <c r="F903">
        <f t="shared" si="183"/>
        <v>0</v>
      </c>
      <c r="G903">
        <f>IF(AND($C903=1,$C902=1,$J$707&lt;=$H$707),1,0)</f>
        <v>0</v>
      </c>
      <c r="H903">
        <f t="shared" si="182"/>
        <v>0</v>
      </c>
    </row>
    <row r="904" spans="1:8" hidden="1" outlineLevel="2" x14ac:dyDescent="0.3">
      <c r="A904" t="s">
        <v>2086</v>
      </c>
      <c r="B904">
        <v>6</v>
      </c>
      <c r="C904">
        <f>IF(ISNUMBER($L$707),1,0)</f>
        <v>0</v>
      </c>
      <c r="D904">
        <f>IF(ISNUMBER($M$707),1,0)</f>
        <v>0</v>
      </c>
      <c r="E904" t="str">
        <f>IF($C904=1,$L$707,"")</f>
        <v/>
      </c>
      <c r="F904">
        <f t="shared" si="183"/>
        <v>0</v>
      </c>
      <c r="G904">
        <f>IF(AND($C904=1,$C903=1,$L$707&lt;=$J$707),1,0)</f>
        <v>0</v>
      </c>
      <c r="H904">
        <f t="shared" si="182"/>
        <v>0</v>
      </c>
    </row>
    <row r="905" spans="1:8" hidden="1" outlineLevel="2" x14ac:dyDescent="0.3">
      <c r="A905" t="s">
        <v>2087</v>
      </c>
      <c r="B905">
        <v>7</v>
      </c>
      <c r="C905">
        <f>IF(ISNUMBER($N$707),1,0)</f>
        <v>0</v>
      </c>
      <c r="D905">
        <f>IF(ISNUMBER($O$707),1,0)</f>
        <v>0</v>
      </c>
      <c r="E905" t="str">
        <f>IF($C905=1,$N$707,"")</f>
        <v/>
      </c>
      <c r="F905">
        <f t="shared" si="183"/>
        <v>0</v>
      </c>
      <c r="G905">
        <f>IF(AND($C905=1,$C904=1,$N$707&lt;=$L$707),1,0)</f>
        <v>0</v>
      </c>
      <c r="H905">
        <f t="shared" si="182"/>
        <v>0</v>
      </c>
    </row>
    <row r="906" spans="1:8" hidden="1" outlineLevel="2" x14ac:dyDescent="0.3">
      <c r="A906" t="s">
        <v>2088</v>
      </c>
      <c r="B906">
        <v>8</v>
      </c>
      <c r="C906">
        <f>IF(ISNUMBER($P$707),1,0)</f>
        <v>0</v>
      </c>
      <c r="D906">
        <f>IF(ISNUMBER($Q$707),1,0)</f>
        <v>0</v>
      </c>
      <c r="E906" t="str">
        <f>IF($C906=1,$P$707,"")</f>
        <v/>
      </c>
      <c r="F906">
        <f t="shared" si="183"/>
        <v>0</v>
      </c>
      <c r="G906">
        <f>IF(AND($C906=1,$C905=1,$P$707&lt;=$N$707),1,0)</f>
        <v>0</v>
      </c>
      <c r="H906">
        <f t="shared" si="182"/>
        <v>0</v>
      </c>
    </row>
    <row r="907" spans="1:8" hidden="1" outlineLevel="2" x14ac:dyDescent="0.3">
      <c r="A907" t="s">
        <v>2089</v>
      </c>
      <c r="B907">
        <v>9</v>
      </c>
      <c r="C907">
        <f>IF(ISNUMBER($R$707),1,0)</f>
        <v>0</v>
      </c>
      <c r="D907">
        <f>IF(ISNUMBER($S$707),1,0)</f>
        <v>0</v>
      </c>
      <c r="E907" t="str">
        <f>IF($C907=1,$R$707,"")</f>
        <v/>
      </c>
      <c r="F907">
        <f t="shared" si="183"/>
        <v>0</v>
      </c>
      <c r="G907">
        <f>IF(AND($C907=1,$C906=1,$R$707&lt;=$P$707),1,0)</f>
        <v>0</v>
      </c>
      <c r="H907">
        <f t="shared" si="182"/>
        <v>0</v>
      </c>
    </row>
    <row r="908" spans="1:8" hidden="1" outlineLevel="2" x14ac:dyDescent="0.3">
      <c r="A908" t="s">
        <v>2090</v>
      </c>
      <c r="B908">
        <v>10</v>
      </c>
      <c r="C908">
        <f>IF(ISNUMBER($T$707),1,0)</f>
        <v>0</v>
      </c>
      <c r="D908">
        <f>IF(ISNUMBER($U$707),1,0)</f>
        <v>0</v>
      </c>
      <c r="E908" t="str">
        <f>IF($C908=1,$T$707,"")</f>
        <v/>
      </c>
      <c r="F908">
        <f t="shared" si="183"/>
        <v>0</v>
      </c>
      <c r="G908">
        <f>IF(AND($C908=1,$C907=1,$T$707&lt;=$R$707),1,0)</f>
        <v>0</v>
      </c>
      <c r="H908">
        <f t="shared" si="182"/>
        <v>0</v>
      </c>
    </row>
    <row r="909" spans="1:8" hidden="1" outlineLevel="2" x14ac:dyDescent="0.3">
      <c r="A909" t="s">
        <v>2091</v>
      </c>
      <c r="B909">
        <v>11</v>
      </c>
      <c r="C909">
        <f>IF(ISNUMBER($V$707),1,0)</f>
        <v>0</v>
      </c>
      <c r="D909">
        <f>IF(ISNUMBER($W$707),1,0)</f>
        <v>0</v>
      </c>
      <c r="E909" t="str">
        <f>IF($C909=1,$V$707,"")</f>
        <v/>
      </c>
      <c r="F909">
        <f t="shared" si="183"/>
        <v>0</v>
      </c>
      <c r="G909">
        <f>IF(AND($C909=1,$C908=1,$V$707&lt;=$T$707),1,0)</f>
        <v>0</v>
      </c>
      <c r="H909">
        <f t="shared" si="182"/>
        <v>0</v>
      </c>
    </row>
    <row r="910" spans="1:8" hidden="1" outlineLevel="2" x14ac:dyDescent="0.3">
      <c r="A910" t="s">
        <v>2092</v>
      </c>
      <c r="B910">
        <v>12</v>
      </c>
      <c r="C910">
        <f>IF(ISNUMBER($X$707),1,0)</f>
        <v>0</v>
      </c>
      <c r="D910">
        <f>IF(ISNUMBER($Y$707),1,0)</f>
        <v>0</v>
      </c>
      <c r="E910" t="str">
        <f>IF($C910=1,$X$707,"")</f>
        <v/>
      </c>
      <c r="F910">
        <f t="shared" si="183"/>
        <v>0</v>
      </c>
      <c r="G910">
        <f>IF(AND($C910=1,$C909=1,$X$707&lt;=$V$707),1,0)</f>
        <v>0</v>
      </c>
      <c r="H910">
        <f t="shared" si="182"/>
        <v>0</v>
      </c>
    </row>
    <row r="911" spans="1:8" hidden="1" outlineLevel="2" x14ac:dyDescent="0.3">
      <c r="A911" t="s">
        <v>2093</v>
      </c>
      <c r="B911">
        <v>13</v>
      </c>
      <c r="C911">
        <f>IF(ISNUMBER($Z$707),1,0)</f>
        <v>0</v>
      </c>
      <c r="D911">
        <f>IF(ISNUMBER($AA$707),1,0)</f>
        <v>0</v>
      </c>
      <c r="E911" t="str">
        <f>IF($C911=1,$Z$707,"")</f>
        <v/>
      </c>
      <c r="F911">
        <f t="shared" si="183"/>
        <v>0</v>
      </c>
      <c r="G911">
        <f>IF(AND($C911=1,$C910=1,$Z$707&lt;=$X$707),1,0)</f>
        <v>0</v>
      </c>
      <c r="H911">
        <f t="shared" si="182"/>
        <v>0</v>
      </c>
    </row>
    <row r="912" spans="1:8" hidden="1" outlineLevel="2" x14ac:dyDescent="0.3">
      <c r="A912" t="s">
        <v>2094</v>
      </c>
    </row>
    <row r="913" spans="1:8" hidden="1" outlineLevel="2" x14ac:dyDescent="0.3">
      <c r="A913" t="s">
        <v>2095</v>
      </c>
      <c r="B913">
        <v>1</v>
      </c>
      <c r="C913">
        <f>IF(ISNUMBER($B$708),1,0)</f>
        <v>1</v>
      </c>
      <c r="D913">
        <f>IF(ISNUMBER($C$708),1,0)</f>
        <v>1</v>
      </c>
      <c r="E913">
        <f>IF($C913=1,$B$708,"")</f>
        <v>0</v>
      </c>
      <c r="F913">
        <v>0</v>
      </c>
      <c r="G913">
        <v>0</v>
      </c>
      <c r="H913">
        <f t="shared" ref="H913:H925" si="184">--($C913&lt;&gt;$D913)</f>
        <v>0</v>
      </c>
    </row>
    <row r="914" spans="1:8" hidden="1" outlineLevel="2" x14ac:dyDescent="0.3">
      <c r="A914" t="s">
        <v>2096</v>
      </c>
      <c r="B914">
        <v>2</v>
      </c>
      <c r="C914">
        <f>IF(ISNUMBER($D$708),1,0)</f>
        <v>1</v>
      </c>
      <c r="D914">
        <f>IF(ISNUMBER($E$708),1,0)</f>
        <v>1</v>
      </c>
      <c r="E914">
        <f>IF($C914=1,$D$708,"")</f>
        <v>23550</v>
      </c>
      <c r="F914">
        <f t="shared" ref="F914:F925" si="185">IF(AND($C914=1,$C913=0),1,0)</f>
        <v>0</v>
      </c>
      <c r="G914">
        <f>IF(AND($C914=1,$C913=1,$D$708&lt;=$B$708),1,0)</f>
        <v>0</v>
      </c>
      <c r="H914">
        <f t="shared" si="184"/>
        <v>0</v>
      </c>
    </row>
    <row r="915" spans="1:8" hidden="1" outlineLevel="2" x14ac:dyDescent="0.3">
      <c r="A915" t="s">
        <v>2097</v>
      </c>
      <c r="B915">
        <v>3</v>
      </c>
      <c r="C915">
        <f>IF(ISNUMBER($F$708),1,0)</f>
        <v>0</v>
      </c>
      <c r="D915">
        <f>IF(ISNUMBER($G$708),1,0)</f>
        <v>0</v>
      </c>
      <c r="E915" t="str">
        <f>IF($C915=1,$F$708,"")</f>
        <v/>
      </c>
      <c r="F915">
        <f t="shared" si="185"/>
        <v>0</v>
      </c>
      <c r="G915">
        <f>IF(AND($C915=1,$C914=1,$F$708&lt;=$D$708),1,0)</f>
        <v>0</v>
      </c>
      <c r="H915">
        <f t="shared" si="184"/>
        <v>0</v>
      </c>
    </row>
    <row r="916" spans="1:8" hidden="1" outlineLevel="2" x14ac:dyDescent="0.3">
      <c r="A916" t="s">
        <v>2098</v>
      </c>
      <c r="B916">
        <v>4</v>
      </c>
      <c r="C916">
        <f>IF(ISNUMBER($H$708),1,0)</f>
        <v>0</v>
      </c>
      <c r="D916">
        <f>IF(ISNUMBER($I$708),1,0)</f>
        <v>0</v>
      </c>
      <c r="E916" t="str">
        <f>IF($C916=1,$H$708,"")</f>
        <v/>
      </c>
      <c r="F916">
        <f t="shared" si="185"/>
        <v>0</v>
      </c>
      <c r="G916">
        <f>IF(AND($C916=1,$C915=1,$H$708&lt;=$F$708),1,0)</f>
        <v>0</v>
      </c>
      <c r="H916">
        <f t="shared" si="184"/>
        <v>0</v>
      </c>
    </row>
    <row r="917" spans="1:8" hidden="1" outlineLevel="2" x14ac:dyDescent="0.3">
      <c r="A917" t="s">
        <v>2099</v>
      </c>
      <c r="B917">
        <v>5</v>
      </c>
      <c r="C917">
        <f>IF(ISNUMBER($J$708),1,0)</f>
        <v>0</v>
      </c>
      <c r="D917">
        <f>IF(ISNUMBER($K$708),1,0)</f>
        <v>0</v>
      </c>
      <c r="E917" t="str">
        <f>IF($C917=1,$J$708,"")</f>
        <v/>
      </c>
      <c r="F917">
        <f t="shared" si="185"/>
        <v>0</v>
      </c>
      <c r="G917">
        <f>IF(AND($C917=1,$C916=1,$J$708&lt;=$H$708),1,0)</f>
        <v>0</v>
      </c>
      <c r="H917">
        <f t="shared" si="184"/>
        <v>0</v>
      </c>
    </row>
    <row r="918" spans="1:8" hidden="1" outlineLevel="2" x14ac:dyDescent="0.3">
      <c r="A918" t="s">
        <v>2100</v>
      </c>
      <c r="B918">
        <v>6</v>
      </c>
      <c r="C918">
        <f>IF(ISNUMBER($L$708),1,0)</f>
        <v>0</v>
      </c>
      <c r="D918">
        <f>IF(ISNUMBER($M$708),1,0)</f>
        <v>0</v>
      </c>
      <c r="E918" t="str">
        <f>IF($C918=1,$L$708,"")</f>
        <v/>
      </c>
      <c r="F918">
        <f t="shared" si="185"/>
        <v>0</v>
      </c>
      <c r="G918">
        <f>IF(AND($C918=1,$C917=1,$L$708&lt;=$J$708),1,0)</f>
        <v>0</v>
      </c>
      <c r="H918">
        <f t="shared" si="184"/>
        <v>0</v>
      </c>
    </row>
    <row r="919" spans="1:8" hidden="1" outlineLevel="2" x14ac:dyDescent="0.3">
      <c r="A919" t="s">
        <v>2101</v>
      </c>
      <c r="B919">
        <v>7</v>
      </c>
      <c r="C919">
        <f>IF(ISNUMBER($N$708),1,0)</f>
        <v>0</v>
      </c>
      <c r="D919">
        <f>IF(ISNUMBER($O$708),1,0)</f>
        <v>0</v>
      </c>
      <c r="E919" t="str">
        <f>IF($C919=1,$N$708,"")</f>
        <v/>
      </c>
      <c r="F919">
        <f t="shared" si="185"/>
        <v>0</v>
      </c>
      <c r="G919">
        <f>IF(AND($C919=1,$C918=1,$N$708&lt;=$L$708),1,0)</f>
        <v>0</v>
      </c>
      <c r="H919">
        <f t="shared" si="184"/>
        <v>0</v>
      </c>
    </row>
    <row r="920" spans="1:8" hidden="1" outlineLevel="2" x14ac:dyDescent="0.3">
      <c r="A920" t="s">
        <v>2102</v>
      </c>
      <c r="B920">
        <v>8</v>
      </c>
      <c r="C920">
        <f>IF(ISNUMBER($P$708),1,0)</f>
        <v>0</v>
      </c>
      <c r="D920">
        <f>IF(ISNUMBER($Q$708),1,0)</f>
        <v>0</v>
      </c>
      <c r="E920" t="str">
        <f>IF($C920=1,$P$708,"")</f>
        <v/>
      </c>
      <c r="F920">
        <f t="shared" si="185"/>
        <v>0</v>
      </c>
      <c r="G920">
        <f>IF(AND($C920=1,$C919=1,$P$708&lt;=$N$708),1,0)</f>
        <v>0</v>
      </c>
      <c r="H920">
        <f t="shared" si="184"/>
        <v>0</v>
      </c>
    </row>
    <row r="921" spans="1:8" hidden="1" outlineLevel="2" x14ac:dyDescent="0.3">
      <c r="A921" t="s">
        <v>2103</v>
      </c>
      <c r="B921">
        <v>9</v>
      </c>
      <c r="C921">
        <f>IF(ISNUMBER($R$708),1,0)</f>
        <v>0</v>
      </c>
      <c r="D921">
        <f>IF(ISNUMBER($S$708),1,0)</f>
        <v>0</v>
      </c>
      <c r="E921" t="str">
        <f>IF($C921=1,$R$708,"")</f>
        <v/>
      </c>
      <c r="F921">
        <f t="shared" si="185"/>
        <v>0</v>
      </c>
      <c r="G921">
        <f>IF(AND($C921=1,$C920=1,$R$708&lt;=$P$708),1,0)</f>
        <v>0</v>
      </c>
      <c r="H921">
        <f t="shared" si="184"/>
        <v>0</v>
      </c>
    </row>
    <row r="922" spans="1:8" hidden="1" outlineLevel="2" x14ac:dyDescent="0.3">
      <c r="A922" t="s">
        <v>2104</v>
      </c>
      <c r="B922">
        <v>10</v>
      </c>
      <c r="C922">
        <f>IF(ISNUMBER($T$708),1,0)</f>
        <v>0</v>
      </c>
      <c r="D922">
        <f>IF(ISNUMBER($U$708),1,0)</f>
        <v>0</v>
      </c>
      <c r="E922" t="str">
        <f>IF($C922=1,$T$708,"")</f>
        <v/>
      </c>
      <c r="F922">
        <f t="shared" si="185"/>
        <v>0</v>
      </c>
      <c r="G922">
        <f>IF(AND($C922=1,$C921=1,$T$708&lt;=$R$708),1,0)</f>
        <v>0</v>
      </c>
      <c r="H922">
        <f t="shared" si="184"/>
        <v>0</v>
      </c>
    </row>
    <row r="923" spans="1:8" hidden="1" outlineLevel="2" x14ac:dyDescent="0.3">
      <c r="A923" t="s">
        <v>2105</v>
      </c>
      <c r="B923">
        <v>11</v>
      </c>
      <c r="C923">
        <f>IF(ISNUMBER($V$708),1,0)</f>
        <v>0</v>
      </c>
      <c r="D923">
        <f>IF(ISNUMBER($W$708),1,0)</f>
        <v>0</v>
      </c>
      <c r="E923" t="str">
        <f>IF($C923=1,$V$708,"")</f>
        <v/>
      </c>
      <c r="F923">
        <f t="shared" si="185"/>
        <v>0</v>
      </c>
      <c r="G923">
        <f>IF(AND($C923=1,$C922=1,$V$708&lt;=$T$708),1,0)</f>
        <v>0</v>
      </c>
      <c r="H923">
        <f t="shared" si="184"/>
        <v>0</v>
      </c>
    </row>
    <row r="924" spans="1:8" hidden="1" outlineLevel="2" x14ac:dyDescent="0.3">
      <c r="A924" t="s">
        <v>2106</v>
      </c>
      <c r="B924">
        <v>12</v>
      </c>
      <c r="C924">
        <f>IF(ISNUMBER($X$708),1,0)</f>
        <v>0</v>
      </c>
      <c r="D924">
        <f>IF(ISNUMBER($Y$708),1,0)</f>
        <v>0</v>
      </c>
      <c r="E924" t="str">
        <f>IF($C924=1,$X$708,"")</f>
        <v/>
      </c>
      <c r="F924">
        <f t="shared" si="185"/>
        <v>0</v>
      </c>
      <c r="G924">
        <f>IF(AND($C924=1,$C923=1,$X$708&lt;=$V$708),1,0)</f>
        <v>0</v>
      </c>
      <c r="H924">
        <f t="shared" si="184"/>
        <v>0</v>
      </c>
    </row>
    <row r="925" spans="1:8" hidden="1" outlineLevel="2" x14ac:dyDescent="0.3">
      <c r="A925" t="s">
        <v>2107</v>
      </c>
      <c r="B925">
        <v>13</v>
      </c>
      <c r="C925">
        <f>IF(ISNUMBER($Z$708),1,0)</f>
        <v>0</v>
      </c>
      <c r="D925">
        <f>IF(ISNUMBER($AA$708),1,0)</f>
        <v>0</v>
      </c>
      <c r="E925" t="str">
        <f>IF($C925=1,$Z$708,"")</f>
        <v/>
      </c>
      <c r="F925">
        <f t="shared" si="185"/>
        <v>0</v>
      </c>
      <c r="G925">
        <f>IF(AND($C925=1,$C924=1,$Z$708&lt;=$X$708),1,0)</f>
        <v>0</v>
      </c>
      <c r="H925">
        <f t="shared" si="184"/>
        <v>0</v>
      </c>
    </row>
    <row r="926" spans="1:8" hidden="1" outlineLevel="2" x14ac:dyDescent="0.3">
      <c r="A926" t="s">
        <v>2108</v>
      </c>
    </row>
    <row r="927" spans="1:8" hidden="1" outlineLevel="2" x14ac:dyDescent="0.3">
      <c r="A927" t="s">
        <v>2109</v>
      </c>
      <c r="B927">
        <v>1</v>
      </c>
      <c r="C927">
        <f>IF(ISNUMBER($B$709),1,0)</f>
        <v>1</v>
      </c>
      <c r="D927">
        <f>IF(ISNUMBER($C$709),1,0)</f>
        <v>1</v>
      </c>
      <c r="E927">
        <f>IF($C927=1,$B$709,"")</f>
        <v>0</v>
      </c>
      <c r="F927">
        <v>0</v>
      </c>
      <c r="G927">
        <v>0</v>
      </c>
      <c r="H927">
        <f t="shared" ref="H927:H939" si="186">--($C927&lt;&gt;$D927)</f>
        <v>0</v>
      </c>
    </row>
    <row r="928" spans="1:8" hidden="1" outlineLevel="2" x14ac:dyDescent="0.3">
      <c r="A928" t="s">
        <v>2110</v>
      </c>
      <c r="B928">
        <v>2</v>
      </c>
      <c r="C928">
        <f>IF(ISNUMBER($D$709),1,0)</f>
        <v>1</v>
      </c>
      <c r="D928">
        <f>IF(ISNUMBER($E$709),1,0)</f>
        <v>1</v>
      </c>
      <c r="E928">
        <f>IF($C928=1,$D$709,"")</f>
        <v>23550</v>
      </c>
      <c r="F928">
        <f t="shared" ref="F928:F939" si="187">IF(AND($C928=1,$C927=0),1,0)</f>
        <v>0</v>
      </c>
      <c r="G928">
        <f>IF(AND($C928=1,$C927=1,$D$709&lt;=$B$709),1,0)</f>
        <v>0</v>
      </c>
      <c r="H928">
        <f t="shared" si="186"/>
        <v>0</v>
      </c>
    </row>
    <row r="929" spans="1:8" hidden="1" outlineLevel="2" x14ac:dyDescent="0.3">
      <c r="A929" t="s">
        <v>2111</v>
      </c>
      <c r="B929">
        <v>3</v>
      </c>
      <c r="C929">
        <f>IF(ISNUMBER($F$709),1,0)</f>
        <v>0</v>
      </c>
      <c r="D929">
        <f>IF(ISNUMBER($G$709),1,0)</f>
        <v>0</v>
      </c>
      <c r="E929" t="str">
        <f>IF($C929=1,$F$709,"")</f>
        <v/>
      </c>
      <c r="F929">
        <f t="shared" si="187"/>
        <v>0</v>
      </c>
      <c r="G929">
        <f>IF(AND($C929=1,$C928=1,$F$709&lt;=$D$709),1,0)</f>
        <v>0</v>
      </c>
      <c r="H929">
        <f t="shared" si="186"/>
        <v>0</v>
      </c>
    </row>
    <row r="930" spans="1:8" hidden="1" outlineLevel="2" x14ac:dyDescent="0.3">
      <c r="A930" t="s">
        <v>2112</v>
      </c>
      <c r="B930">
        <v>4</v>
      </c>
      <c r="C930">
        <f>IF(ISNUMBER($H$709),1,0)</f>
        <v>0</v>
      </c>
      <c r="D930">
        <f>IF(ISNUMBER($I$709),1,0)</f>
        <v>0</v>
      </c>
      <c r="E930" t="str">
        <f>IF($C930=1,$H$709,"")</f>
        <v/>
      </c>
      <c r="F930">
        <f t="shared" si="187"/>
        <v>0</v>
      </c>
      <c r="G930">
        <f>IF(AND($C930=1,$C929=1,$H$709&lt;=$F$709),1,0)</f>
        <v>0</v>
      </c>
      <c r="H930">
        <f t="shared" si="186"/>
        <v>0</v>
      </c>
    </row>
    <row r="931" spans="1:8" hidden="1" outlineLevel="2" x14ac:dyDescent="0.3">
      <c r="A931" t="s">
        <v>2113</v>
      </c>
      <c r="B931">
        <v>5</v>
      </c>
      <c r="C931">
        <f>IF(ISNUMBER($J$709),1,0)</f>
        <v>0</v>
      </c>
      <c r="D931">
        <f>IF(ISNUMBER($K$709),1,0)</f>
        <v>0</v>
      </c>
      <c r="E931" t="str">
        <f>IF($C931=1,$J$709,"")</f>
        <v/>
      </c>
      <c r="F931">
        <f t="shared" si="187"/>
        <v>0</v>
      </c>
      <c r="G931">
        <f>IF(AND($C931=1,$C930=1,$J$709&lt;=$H$709),1,0)</f>
        <v>0</v>
      </c>
      <c r="H931">
        <f t="shared" si="186"/>
        <v>0</v>
      </c>
    </row>
    <row r="932" spans="1:8" hidden="1" outlineLevel="2" x14ac:dyDescent="0.3">
      <c r="A932" t="s">
        <v>2114</v>
      </c>
      <c r="B932">
        <v>6</v>
      </c>
      <c r="C932">
        <f>IF(ISNUMBER($L$709),1,0)</f>
        <v>0</v>
      </c>
      <c r="D932">
        <f>IF(ISNUMBER($M$709),1,0)</f>
        <v>0</v>
      </c>
      <c r="E932" t="str">
        <f>IF($C932=1,$L$709,"")</f>
        <v/>
      </c>
      <c r="F932">
        <f t="shared" si="187"/>
        <v>0</v>
      </c>
      <c r="G932">
        <f>IF(AND($C932=1,$C931=1,$L$709&lt;=$J$709),1,0)</f>
        <v>0</v>
      </c>
      <c r="H932">
        <f t="shared" si="186"/>
        <v>0</v>
      </c>
    </row>
    <row r="933" spans="1:8" hidden="1" outlineLevel="2" x14ac:dyDescent="0.3">
      <c r="A933" t="s">
        <v>2115</v>
      </c>
      <c r="B933">
        <v>7</v>
      </c>
      <c r="C933">
        <f>IF(ISNUMBER($N$709),1,0)</f>
        <v>0</v>
      </c>
      <c r="D933">
        <f>IF(ISNUMBER($O$709),1,0)</f>
        <v>0</v>
      </c>
      <c r="E933" t="str">
        <f>IF($C933=1,$N$709,"")</f>
        <v/>
      </c>
      <c r="F933">
        <f t="shared" si="187"/>
        <v>0</v>
      </c>
      <c r="G933">
        <f>IF(AND($C933=1,$C932=1,$N$709&lt;=$L$709),1,0)</f>
        <v>0</v>
      </c>
      <c r="H933">
        <f t="shared" si="186"/>
        <v>0</v>
      </c>
    </row>
    <row r="934" spans="1:8" hidden="1" outlineLevel="2" x14ac:dyDescent="0.3">
      <c r="A934" t="s">
        <v>2116</v>
      </c>
      <c r="B934">
        <v>8</v>
      </c>
      <c r="C934">
        <f>IF(ISNUMBER($P$709),1,0)</f>
        <v>0</v>
      </c>
      <c r="D934">
        <f>IF(ISNUMBER($Q$709),1,0)</f>
        <v>0</v>
      </c>
      <c r="E934" t="str">
        <f>IF($C934=1,$P$709,"")</f>
        <v/>
      </c>
      <c r="F934">
        <f t="shared" si="187"/>
        <v>0</v>
      </c>
      <c r="G934">
        <f>IF(AND($C934=1,$C933=1,$P$709&lt;=$N$709),1,0)</f>
        <v>0</v>
      </c>
      <c r="H934">
        <f t="shared" si="186"/>
        <v>0</v>
      </c>
    </row>
    <row r="935" spans="1:8" hidden="1" outlineLevel="2" x14ac:dyDescent="0.3">
      <c r="A935" t="s">
        <v>2117</v>
      </c>
      <c r="B935">
        <v>9</v>
      </c>
      <c r="C935">
        <f>IF(ISNUMBER($R$709),1,0)</f>
        <v>0</v>
      </c>
      <c r="D935">
        <f>IF(ISNUMBER($S$709),1,0)</f>
        <v>0</v>
      </c>
      <c r="E935" t="str">
        <f>IF($C935=1,$R$709,"")</f>
        <v/>
      </c>
      <c r="F935">
        <f t="shared" si="187"/>
        <v>0</v>
      </c>
      <c r="G935">
        <f>IF(AND($C935=1,$C934=1,$R$709&lt;=$P$709),1,0)</f>
        <v>0</v>
      </c>
      <c r="H935">
        <f t="shared" si="186"/>
        <v>0</v>
      </c>
    </row>
    <row r="936" spans="1:8" hidden="1" outlineLevel="2" x14ac:dyDescent="0.3">
      <c r="A936" t="s">
        <v>2118</v>
      </c>
      <c r="B936">
        <v>10</v>
      </c>
      <c r="C936">
        <f>IF(ISNUMBER($T$709),1,0)</f>
        <v>0</v>
      </c>
      <c r="D936">
        <f>IF(ISNUMBER($U$709),1,0)</f>
        <v>0</v>
      </c>
      <c r="E936" t="str">
        <f>IF($C936=1,$T$709,"")</f>
        <v/>
      </c>
      <c r="F936">
        <f t="shared" si="187"/>
        <v>0</v>
      </c>
      <c r="G936">
        <f>IF(AND($C936=1,$C935=1,$T$709&lt;=$R$709),1,0)</f>
        <v>0</v>
      </c>
      <c r="H936">
        <f t="shared" si="186"/>
        <v>0</v>
      </c>
    </row>
    <row r="937" spans="1:8" hidden="1" outlineLevel="2" x14ac:dyDescent="0.3">
      <c r="A937" t="s">
        <v>2119</v>
      </c>
      <c r="B937">
        <v>11</v>
      </c>
      <c r="C937">
        <f>IF(ISNUMBER($V$709),1,0)</f>
        <v>0</v>
      </c>
      <c r="D937">
        <f>IF(ISNUMBER($W$709),1,0)</f>
        <v>0</v>
      </c>
      <c r="E937" t="str">
        <f>IF($C937=1,$V$709,"")</f>
        <v/>
      </c>
      <c r="F937">
        <f t="shared" si="187"/>
        <v>0</v>
      </c>
      <c r="G937">
        <f>IF(AND($C937=1,$C936=1,$V$709&lt;=$T$709),1,0)</f>
        <v>0</v>
      </c>
      <c r="H937">
        <f t="shared" si="186"/>
        <v>0</v>
      </c>
    </row>
    <row r="938" spans="1:8" hidden="1" outlineLevel="2" x14ac:dyDescent="0.3">
      <c r="A938" t="s">
        <v>2120</v>
      </c>
      <c r="B938">
        <v>12</v>
      </c>
      <c r="C938">
        <f>IF(ISNUMBER($X$709),1,0)</f>
        <v>0</v>
      </c>
      <c r="D938">
        <f>IF(ISNUMBER($Y$709),1,0)</f>
        <v>0</v>
      </c>
      <c r="E938" t="str">
        <f>IF($C938=1,$X$709,"")</f>
        <v/>
      </c>
      <c r="F938">
        <f t="shared" si="187"/>
        <v>0</v>
      </c>
      <c r="G938">
        <f>IF(AND($C938=1,$C937=1,$X$709&lt;=$V$709),1,0)</f>
        <v>0</v>
      </c>
      <c r="H938">
        <f t="shared" si="186"/>
        <v>0</v>
      </c>
    </row>
    <row r="939" spans="1:8" hidden="1" outlineLevel="2" x14ac:dyDescent="0.3">
      <c r="A939" t="s">
        <v>2121</v>
      </c>
      <c r="B939">
        <v>13</v>
      </c>
      <c r="C939">
        <f>IF(ISNUMBER($Z$709),1,0)</f>
        <v>0</v>
      </c>
      <c r="D939">
        <f>IF(ISNUMBER($AA$709),1,0)</f>
        <v>0</v>
      </c>
      <c r="E939" t="str">
        <f>IF($C939=1,$Z$709,"")</f>
        <v/>
      </c>
      <c r="F939">
        <f t="shared" si="187"/>
        <v>0</v>
      </c>
      <c r="G939">
        <f>IF(AND($C939=1,$C938=1,$Z$709&lt;=$X$709),1,0)</f>
        <v>0</v>
      </c>
      <c r="H939">
        <f t="shared" si="186"/>
        <v>0</v>
      </c>
    </row>
    <row r="940" spans="1:8" hidden="1" outlineLevel="2" x14ac:dyDescent="0.3"/>
    <row r="941" spans="1:8" collapsed="1" x14ac:dyDescent="0.3"/>
  </sheetData>
  <mergeCells count="13">
    <mergeCell ref="A116:H116"/>
    <mergeCell ref="A131:H131"/>
    <mergeCell ref="A87:J87"/>
    <mergeCell ref="A88:J88"/>
    <mergeCell ref="A90:H90"/>
    <mergeCell ref="A91:H91"/>
    <mergeCell ref="A93:H93"/>
    <mergeCell ref="A71:S71"/>
    <mergeCell ref="A1:S1"/>
    <mergeCell ref="A2:S2"/>
    <mergeCell ref="A4:S4"/>
    <mergeCell ref="A23:S23"/>
    <mergeCell ref="A58:S58"/>
  </mergeCells>
  <dataValidations disablePrompts="1" count="4">
    <dataValidation type="list" allowBlank="1" showInputMessage="1" showErrorMessage="1" promptTitle="Kiểu đoạn" prompt="1=thẳng · 2=parabol phẳng cuối đoạn · 3=parabol phẳng đầu đoạn. Bỏ trống = 2." sqref="L36:O42" xr:uid="{B1D85D21-9B52-49BE-962D-D117CE318960}">
      <formula1>"1,2,3"</formula1>
    </dataValidation>
    <dataValidation type="whole" showInputMessage="1" showErrorMessage="1" errorTitle="Sai capOpt" error="Chỉ được nhập 1 hoặc 2." promptTitle="Kiểu khai cáp" prompt="1 = parabol cũ · 2 = fillet R mới (chỉ nhận 1 hoặc 2)" sqref="Q33" xr:uid="{91354EFE-6F60-48A1-ADE5-2EF3DEB29E7E}">
      <formula1>1</formula1>
      <formula2>2</formula2>
    </dataValidation>
    <dataValidation type="decimal" operator="greaterThanOrEqual" allowBlank="1" showInputMessage="1" showErrorMessage="1" errorTitle="R không hợp lệ" error="Bán kính R phải là SỐ và &gt;= Rmin (ô B711). Bỏ trống = dùng 10000." promptTitle="Bán kính cung R (mm)" prompt="Số, &gt;= Rmin. Bỏ trống -&gt; 10000." sqref="AB703:AL709" xr:uid="{646AC87B-E052-4C72-8670-80EA5399EE11}">
      <formula1>capRmin</formula1>
    </dataValidation>
    <dataValidation type="decimal" operator="greaterThan" showInputMessage="1" showErrorMessage="1" errorTitle="Rmin không hợp lệ" error="Rmin (bán kính cong tối thiểu) phải là SỐ &gt; 0. Điển hình 4000 mm theo hệ neo/gen." promptTitle="Rmin (mm)" prompt="Số &gt; 0. Bán kính cung tối thiểu cho phép của cáp." sqref="B711" xr:uid="{0310428D-6789-47EB-BC8D-EA62A4824714}">
      <formula1>0</formula1>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F173"/>
  <sheetViews>
    <sheetView topLeftCell="A100" workbookViewId="0">
      <selection activeCell="F81" sqref="F81"/>
    </sheetView>
  </sheetViews>
  <sheetFormatPr defaultColWidth="8.6640625" defaultRowHeight="14.4" x14ac:dyDescent="0.3"/>
  <cols>
    <col min="1" max="1" width="2" customWidth="1"/>
    <col min="2" max="2" width="46" customWidth="1"/>
    <col min="3" max="3" width="7.5546875" bestFit="1" customWidth="1"/>
    <col min="4" max="4" width="14" customWidth="1"/>
    <col min="5" max="5" width="10" customWidth="1"/>
    <col min="6" max="6" width="52" customWidth="1"/>
  </cols>
  <sheetData>
    <row r="2" spans="2:6" ht="16.8" x14ac:dyDescent="0.3">
      <c r="B2" s="2" t="s">
        <v>999</v>
      </c>
    </row>
    <row r="4" spans="2:6" x14ac:dyDescent="0.3">
      <c r="B4" s="5" t="s">
        <v>1000</v>
      </c>
    </row>
    <row r="5" spans="2:6" x14ac:dyDescent="0.3">
      <c r="B5" s="7" t="s">
        <v>1001</v>
      </c>
      <c r="D5" s="16">
        <f>hthan/2</f>
        <v>0.8</v>
      </c>
      <c r="E5" s="16">
        <f>-hthan/2</f>
        <v>-0.8</v>
      </c>
    </row>
    <row r="7" spans="2:6" ht="55.2" x14ac:dyDescent="0.3">
      <c r="B7" s="18" t="s">
        <v>634</v>
      </c>
      <c r="C7" s="18" t="s">
        <v>1002</v>
      </c>
      <c r="D7" s="18" t="s">
        <v>1003</v>
      </c>
      <c r="E7" s="18" t="s">
        <v>1004</v>
      </c>
      <c r="F7" s="18" t="s">
        <v>1005</v>
      </c>
    </row>
    <row r="8" spans="2:6" x14ac:dyDescent="0.3">
      <c r="B8" s="14">
        <f>1</f>
        <v>1</v>
      </c>
      <c r="C8" s="23">
        <f>SUMPRODUCT((pileX&gt;$D$5)*'TS-PILE'!C124:C127)</f>
        <v>23898.942108114716</v>
      </c>
      <c r="D8" s="23">
        <f>SUMPRODUCT((pileX&gt;$D$5)*(pileX-$D$5)*'TS-PILE'!C124:C127)</f>
        <v>23898.942108114716</v>
      </c>
      <c r="E8" s="23">
        <f>SUMPRODUCT((pileX&lt;$E$5)*'TS-PILE'!C124:C127)</f>
        <v>-435.56416252509604</v>
      </c>
      <c r="F8" s="23">
        <f>SUMPRODUCT((pileX&lt;$E$5)*($E$5-pileX)*'TS-PILE'!C124:C127)</f>
        <v>-435.56416252509604</v>
      </c>
    </row>
    <row r="9" spans="2:6" x14ac:dyDescent="0.3">
      <c r="B9" s="14">
        <f>2</f>
        <v>2</v>
      </c>
      <c r="C9" s="23">
        <f>SUMPRODUCT((pileX&gt;$D$5)*'TS-PILE'!D124:D127)</f>
        <v>24281.653356114719</v>
      </c>
      <c r="D9" s="23">
        <f>SUMPRODUCT((pileX&gt;$D$5)*(pileX-$D$5)*'TS-PILE'!D124:D127)</f>
        <v>24281.653356114719</v>
      </c>
      <c r="E9" s="23">
        <f>SUMPRODUCT((pileX&lt;$E$5)*'TS-PILE'!D124:D127)</f>
        <v>-52.852914525094306</v>
      </c>
      <c r="F9" s="23">
        <f>SUMPRODUCT((pileX&lt;$E$5)*($E$5-pileX)*'TS-PILE'!D124:D127)</f>
        <v>-52.852914525094306</v>
      </c>
    </row>
    <row r="10" spans="2:6" x14ac:dyDescent="0.3">
      <c r="B10" s="14">
        <f>3</f>
        <v>3</v>
      </c>
      <c r="C10" s="23">
        <f>SUMPRODUCT((pileX&gt;$D$5)*'TS-PILE'!E124:E127)</f>
        <v>24544.767339114722</v>
      </c>
      <c r="D10" s="23">
        <f>SUMPRODUCT((pileX&gt;$D$5)*(pileX-$D$5)*'TS-PILE'!E124:E127)</f>
        <v>24544.767339114722</v>
      </c>
      <c r="E10" s="23">
        <f>SUMPRODUCT((pileX&lt;$E$5)*'TS-PILE'!E124:E127)</f>
        <v>210.26106847490328</v>
      </c>
      <c r="F10" s="23">
        <f>SUMPRODUCT((pileX&lt;$E$5)*($E$5-pileX)*'TS-PILE'!E124:E127)</f>
        <v>210.26106847490328</v>
      </c>
    </row>
    <row r="11" spans="2:6" x14ac:dyDescent="0.3">
      <c r="B11" s="14">
        <f>4</f>
        <v>4</v>
      </c>
      <c r="C11" s="23">
        <f>SUMPRODUCT((pileX&gt;$D$5)*'TS-PILE'!F124:F127)</f>
        <v>24568.686792114717</v>
      </c>
      <c r="D11" s="23">
        <f>SUMPRODUCT((pileX&gt;$D$5)*(pileX-$D$5)*'TS-PILE'!F124:F127)</f>
        <v>24568.686792114717</v>
      </c>
      <c r="E11" s="23">
        <f>SUMPRODUCT((pileX&lt;$E$5)*'TS-PILE'!F124:F127)</f>
        <v>234.18052147490505</v>
      </c>
      <c r="F11" s="23">
        <f>SUMPRODUCT((pileX&lt;$E$5)*($E$5-pileX)*'TS-PILE'!F124:F127)</f>
        <v>234.18052147490505</v>
      </c>
    </row>
    <row r="12" spans="2:6" x14ac:dyDescent="0.3">
      <c r="B12" s="14">
        <f>5</f>
        <v>5</v>
      </c>
      <c r="C12" s="23">
        <f>SUMPRODUCT((pileX&gt;$D$5)*'TS-PILE'!G124:G127)</f>
        <v>24879.639681114717</v>
      </c>
      <c r="D12" s="23">
        <f>SUMPRODUCT((pileX&gt;$D$5)*(pileX-$D$5)*'TS-PILE'!G124:G127)</f>
        <v>24879.639681114717</v>
      </c>
      <c r="E12" s="23">
        <f>SUMPRODUCT((pileX&lt;$E$5)*'TS-PILE'!G124:G127)</f>
        <v>545.13341047490371</v>
      </c>
      <c r="F12" s="23">
        <f>SUMPRODUCT((pileX&lt;$E$5)*($E$5-pileX)*'TS-PILE'!G124:G127)</f>
        <v>545.13341047490371</v>
      </c>
    </row>
    <row r="13" spans="2:6" x14ac:dyDescent="0.3">
      <c r="B13" s="14">
        <f>6</f>
        <v>6</v>
      </c>
      <c r="C13" s="23">
        <f>SUMPRODUCT((pileX&gt;$D$5)*'TS-PILE'!H124:H127)</f>
        <v>25190.592570114721</v>
      </c>
      <c r="D13" s="23">
        <f>SUMPRODUCT((pileX&gt;$D$5)*(pileX-$D$5)*'TS-PILE'!H124:H127)</f>
        <v>25190.592570114721</v>
      </c>
      <c r="E13" s="23">
        <f>SUMPRODUCT((pileX&lt;$E$5)*'TS-PILE'!H124:H127)</f>
        <v>856.08629947490454</v>
      </c>
      <c r="F13" s="23">
        <f>SUMPRODUCT((pileX&lt;$E$5)*($E$5-pileX)*'TS-PILE'!H124:H127)</f>
        <v>856.08629947490454</v>
      </c>
    </row>
    <row r="14" spans="2:6" x14ac:dyDescent="0.3">
      <c r="B14" s="14">
        <f>7</f>
        <v>7</v>
      </c>
      <c r="C14" s="23">
        <f>SUMPRODUCT((pileX&gt;$D$5)*'TS-PILE'!I124:I127)</f>
        <v>23898.942108114716</v>
      </c>
      <c r="D14" s="23">
        <f>SUMPRODUCT((pileX&gt;$D$5)*(pileX-$D$5)*'TS-PILE'!I124:I127)</f>
        <v>23898.942108114716</v>
      </c>
      <c r="E14" s="23">
        <f>SUMPRODUCT((pileX&lt;$E$5)*'TS-PILE'!I124:I127)</f>
        <v>-435.56416252509575</v>
      </c>
      <c r="F14" s="23">
        <f>SUMPRODUCT((pileX&lt;$E$5)*($E$5-pileX)*'TS-PILE'!I124:I127)</f>
        <v>-435.56416252509575</v>
      </c>
    </row>
    <row r="15" spans="2:6" x14ac:dyDescent="0.3">
      <c r="B15" s="14">
        <f>8</f>
        <v>8</v>
      </c>
      <c r="C15" s="23">
        <f>SUMPRODUCT((pileX&gt;$D$5)*'TS-PILE'!J124:J127)</f>
        <v>24281.653356114719</v>
      </c>
      <c r="D15" s="23">
        <f>SUMPRODUCT((pileX&gt;$D$5)*(pileX-$D$5)*'TS-PILE'!J124:J127)</f>
        <v>24281.653356114719</v>
      </c>
      <c r="E15" s="23">
        <f>SUMPRODUCT((pileX&lt;$E$5)*'TS-PILE'!J124:J127)</f>
        <v>-52.852914525094022</v>
      </c>
      <c r="F15" s="23">
        <f>SUMPRODUCT((pileX&lt;$E$5)*($E$5-pileX)*'TS-PILE'!J124:J127)</f>
        <v>-52.852914525094022</v>
      </c>
    </row>
    <row r="16" spans="2:6" x14ac:dyDescent="0.3">
      <c r="B16" s="14">
        <f>9</f>
        <v>9</v>
      </c>
      <c r="C16" s="23">
        <f>SUMPRODUCT((pileX&gt;$D$5)*'TS-PILE'!K124:K127)</f>
        <v>24544.767339114715</v>
      </c>
      <c r="D16" s="23">
        <f>SUMPRODUCT((pileX&gt;$D$5)*(pileX-$D$5)*'TS-PILE'!K124:K127)</f>
        <v>24544.767339114715</v>
      </c>
      <c r="E16" s="23">
        <f>SUMPRODUCT((pileX&lt;$E$5)*'TS-PILE'!K124:K127)</f>
        <v>210.26106847490328</v>
      </c>
      <c r="F16" s="23">
        <f>SUMPRODUCT((pileX&lt;$E$5)*($E$5-pileX)*'TS-PILE'!K124:K127)</f>
        <v>210.26106847490328</v>
      </c>
    </row>
    <row r="17" spans="2:6" x14ac:dyDescent="0.3">
      <c r="B17" s="14">
        <f>10</f>
        <v>10</v>
      </c>
      <c r="C17" s="23">
        <f>SUMPRODUCT((pileX&gt;$D$5)*'TS-PILE'!L124:L127)</f>
        <v>24568.686792114724</v>
      </c>
      <c r="D17" s="23">
        <f>SUMPRODUCT((pileX&gt;$D$5)*(pileX-$D$5)*'TS-PILE'!L124:L127)</f>
        <v>24568.686792114724</v>
      </c>
      <c r="E17" s="23">
        <f>SUMPRODUCT((pileX&lt;$E$5)*'TS-PILE'!L124:L127)</f>
        <v>234.18052147490505</v>
      </c>
      <c r="F17" s="23">
        <f>SUMPRODUCT((pileX&lt;$E$5)*($E$5-pileX)*'TS-PILE'!L124:L127)</f>
        <v>234.18052147490505</v>
      </c>
    </row>
    <row r="18" spans="2:6" x14ac:dyDescent="0.3">
      <c r="B18" s="14">
        <f>11</f>
        <v>11</v>
      </c>
      <c r="C18" s="23">
        <f>SUMPRODUCT((pileX&gt;$D$5)*'TS-PILE'!M124:M127)</f>
        <v>24879.639681114717</v>
      </c>
      <c r="D18" s="23">
        <f>SUMPRODUCT((pileX&gt;$D$5)*(pileX-$D$5)*'TS-PILE'!M124:M127)</f>
        <v>24879.639681114717</v>
      </c>
      <c r="E18" s="23">
        <f>SUMPRODUCT((pileX&lt;$E$5)*'TS-PILE'!M124:M127)</f>
        <v>545.13341047490371</v>
      </c>
      <c r="F18" s="23">
        <f>SUMPRODUCT((pileX&lt;$E$5)*($E$5-pileX)*'TS-PILE'!M124:M127)</f>
        <v>545.13341047490371</v>
      </c>
    </row>
    <row r="19" spans="2:6" x14ac:dyDescent="0.3">
      <c r="B19" s="14">
        <f>12</f>
        <v>12</v>
      </c>
      <c r="C19" s="23">
        <f>SUMPRODUCT((pileX&gt;$D$5)*'TS-PILE'!N124:N127)</f>
        <v>25190.592570114721</v>
      </c>
      <c r="D19" s="23">
        <f>SUMPRODUCT((pileX&gt;$D$5)*(pileX-$D$5)*'TS-PILE'!N124:N127)</f>
        <v>25190.592570114721</v>
      </c>
      <c r="E19" s="23">
        <f>SUMPRODUCT((pileX&lt;$E$5)*'TS-PILE'!N124:N127)</f>
        <v>856.08629947490454</v>
      </c>
      <c r="F19" s="23">
        <f>SUMPRODUCT((pileX&lt;$E$5)*($E$5-pileX)*'TS-PILE'!N124:N127)</f>
        <v>856.08629947490454</v>
      </c>
    </row>
    <row r="20" spans="2:6" x14ac:dyDescent="0.3">
      <c r="B20" s="14">
        <f>13</f>
        <v>13</v>
      </c>
      <c r="C20" s="23">
        <f>SUMPRODUCT((pileX&gt;$D$5)*'TS-PILE'!O124:O127)</f>
        <v>23801.101415630026</v>
      </c>
      <c r="D20" s="23">
        <f>SUMPRODUCT((pileX&gt;$D$5)*(pileX-$D$5)*'TS-PILE'!O124:O127)</f>
        <v>23801.101415630026</v>
      </c>
      <c r="E20" s="23">
        <f>SUMPRODUCT((pileX&lt;$E$5)*'TS-PILE'!O124:O127)</f>
        <v>-797.25393404040506</v>
      </c>
      <c r="F20" s="23">
        <f>SUMPRODUCT((pileX&lt;$E$5)*($E$5-pileX)*'TS-PILE'!O124:O127)</f>
        <v>-797.25393404040506</v>
      </c>
    </row>
    <row r="21" spans="2:6" x14ac:dyDescent="0.3">
      <c r="B21" s="14">
        <f>14</f>
        <v>14</v>
      </c>
      <c r="C21" s="23">
        <f>SUMPRODUCT((pileX&gt;$D$5)*'TS-PILE'!P124:P127)</f>
        <v>24118.585535306906</v>
      </c>
      <c r="D21" s="23">
        <f>SUMPRODUCT((pileX&gt;$D$5)*(pileX-$D$5)*'TS-PILE'!P124:P127)</f>
        <v>24118.585535306906</v>
      </c>
      <c r="E21" s="23">
        <f>SUMPRODUCT((pileX&lt;$E$5)*'TS-PILE'!P124:P127)</f>
        <v>-655.66920038395028</v>
      </c>
      <c r="F21" s="23">
        <f>SUMPRODUCT((pileX&lt;$E$5)*($E$5-pileX)*'TS-PILE'!P124:P127)</f>
        <v>-655.66920038395028</v>
      </c>
    </row>
    <row r="22" spans="2:6" x14ac:dyDescent="0.3">
      <c r="B22" s="14">
        <f>15</f>
        <v>15</v>
      </c>
      <c r="C22" s="23">
        <f>SUMPRODUCT((pileX&gt;$D$5)*'TS-PILE'!Q124:Q127)</f>
        <v>24336.855867584756</v>
      </c>
      <c r="D22" s="23">
        <f>SUMPRODUCT((pileX&gt;$D$5)*(pileX-$D$5)*'TS-PILE'!Q124:Q127)</f>
        <v>24336.855867584756</v>
      </c>
      <c r="E22" s="23">
        <f>SUMPRODUCT((pileX&lt;$E$5)*'TS-PILE'!Q124:Q127)</f>
        <v>-558.32969599513228</v>
      </c>
      <c r="F22" s="23">
        <f>SUMPRODUCT((pileX&lt;$E$5)*($E$5-pileX)*'TS-PILE'!Q124:Q127)</f>
        <v>-558.32969599513228</v>
      </c>
    </row>
    <row r="23" spans="2:6" x14ac:dyDescent="0.3">
      <c r="B23" s="14">
        <f>16</f>
        <v>16</v>
      </c>
      <c r="C23" s="23">
        <f>SUMPRODUCT((pileX&gt;$D$5)*'TS-PILE'!R124:R127)</f>
        <v>24356.69862506456</v>
      </c>
      <c r="D23" s="23">
        <f>SUMPRODUCT((pileX&gt;$D$5)*(pileX-$D$5)*'TS-PILE'!R124:R127)</f>
        <v>24356.69862506456</v>
      </c>
      <c r="E23" s="23">
        <f>SUMPRODUCT((pileX&lt;$E$5)*'TS-PILE'!R124:R127)</f>
        <v>-549.4806501416025</v>
      </c>
      <c r="F23" s="23">
        <f>SUMPRODUCT((pileX&lt;$E$5)*($E$5-pileX)*'TS-PILE'!R124:R127)</f>
        <v>-549.4806501416025</v>
      </c>
    </row>
    <row r="24" spans="2:6" x14ac:dyDescent="0.3">
      <c r="B24" s="14">
        <f>17</f>
        <v>17</v>
      </c>
      <c r="C24" s="23">
        <f>SUMPRODUCT((pileX&gt;$D$5)*'TS-PILE'!S124:S127)</f>
        <v>24614.654472302023</v>
      </c>
      <c r="D24" s="23">
        <f>SUMPRODUCT((pileX&gt;$D$5)*(pileX-$D$5)*'TS-PILE'!S124:S127)</f>
        <v>24614.654472302023</v>
      </c>
      <c r="E24" s="23">
        <f>SUMPRODUCT((pileX&lt;$E$5)*'TS-PILE'!S124:S127)</f>
        <v>-434.44305404573129</v>
      </c>
      <c r="F24" s="23">
        <f>SUMPRODUCT((pileX&lt;$E$5)*($E$5-pileX)*'TS-PILE'!S124:S127)</f>
        <v>-434.44305404573129</v>
      </c>
    </row>
    <row r="25" spans="2:6" x14ac:dyDescent="0.3">
      <c r="B25" s="14">
        <f>18</f>
        <v>18</v>
      </c>
      <c r="C25" s="23">
        <f>SUMPRODUCT((pileX&gt;$D$5)*'TS-PILE'!T124:T127)</f>
        <v>24872.610319539479</v>
      </c>
      <c r="D25" s="23">
        <f>SUMPRODUCT((pileX&gt;$D$5)*(pileX-$D$5)*'TS-PILE'!T124:T127)</f>
        <v>24872.610319539479</v>
      </c>
      <c r="E25" s="23">
        <f>SUMPRODUCT((pileX&lt;$E$5)*'TS-PILE'!T124:T127)</f>
        <v>-319.40545794985786</v>
      </c>
      <c r="F25" s="23">
        <f>SUMPRODUCT((pileX&lt;$E$5)*($E$5-pileX)*'TS-PILE'!T124:T127)</f>
        <v>-319.40545794985786</v>
      </c>
    </row>
    <row r="26" spans="2:6" x14ac:dyDescent="0.3">
      <c r="B26" s="14">
        <f>19</f>
        <v>19</v>
      </c>
      <c r="C26" s="23">
        <f>SUMPRODUCT((pileX&gt;$D$5)*'TS-PILE'!U124:U127)</f>
        <v>24325.429443538636</v>
      </c>
      <c r="D26" s="23">
        <f>SUMPRODUCT((pileX&gt;$D$5)*(pileX-$D$5)*'TS-PILE'!U124:U127)</f>
        <v>24325.429443538636</v>
      </c>
      <c r="E26" s="23">
        <f>SUMPRODUCT((pileX&lt;$E$5)*'TS-PILE'!U124:U127)</f>
        <v>5920.0482979483895</v>
      </c>
      <c r="F26" s="23">
        <f>SUMPRODUCT((pileX&lt;$E$5)*($E$5-pileX)*'TS-PILE'!U124:U127)</f>
        <v>5920.0482979483895</v>
      </c>
    </row>
    <row r="27" spans="2:6" x14ac:dyDescent="0.3">
      <c r="B27" s="14">
        <f>20</f>
        <v>20</v>
      </c>
      <c r="C27" s="23">
        <f>SUMPRODUCT((pileX&gt;$D$5)*'TS-PILE'!V124:V127)</f>
        <v>24995.174127538638</v>
      </c>
      <c r="D27" s="23">
        <f>SUMPRODUCT((pileX&gt;$D$5)*(pileX-$D$5)*'TS-PILE'!V124:V127)</f>
        <v>24995.174127538638</v>
      </c>
      <c r="E27" s="23">
        <f>SUMPRODUCT((pileX&lt;$E$5)*'TS-PILE'!V124:V127)</f>
        <v>6589.7929819483907</v>
      </c>
      <c r="F27" s="23">
        <f>SUMPRODUCT((pileX&lt;$E$5)*($E$5-pileX)*'TS-PILE'!V124:V127)</f>
        <v>6589.7929819483907</v>
      </c>
    </row>
    <row r="28" spans="2:6" x14ac:dyDescent="0.3">
      <c r="B28" s="14">
        <f>21</f>
        <v>21</v>
      </c>
      <c r="C28" s="23">
        <f>SUMPRODUCT((pileX&gt;$D$5)*'TS-PILE'!W124:W127)</f>
        <v>25455.623597788639</v>
      </c>
      <c r="D28" s="23">
        <f>SUMPRODUCT((pileX&gt;$D$5)*(pileX-$D$5)*'TS-PILE'!W124:W127)</f>
        <v>25455.623597788639</v>
      </c>
      <c r="E28" s="23">
        <f>SUMPRODUCT((pileX&lt;$E$5)*'TS-PILE'!W124:W127)</f>
        <v>7050.2424521983903</v>
      </c>
      <c r="F28" s="23">
        <f>SUMPRODUCT((pileX&lt;$E$5)*($E$5-pileX)*'TS-PILE'!W124:W127)</f>
        <v>7050.2424521983903</v>
      </c>
    </row>
    <row r="29" spans="2:6" x14ac:dyDescent="0.3">
      <c r="B29" s="14">
        <f>22</f>
        <v>22</v>
      </c>
      <c r="C29" s="23">
        <f>SUMPRODUCT((pileX&gt;$D$5)*'TS-PILE'!X124:X127)</f>
        <v>25497.482640538634</v>
      </c>
      <c r="D29" s="23">
        <f>SUMPRODUCT((pileX&gt;$D$5)*(pileX-$D$5)*'TS-PILE'!X124:X127)</f>
        <v>25497.482640538634</v>
      </c>
      <c r="E29" s="23">
        <f>SUMPRODUCT((pileX&lt;$E$5)*'TS-PILE'!X124:X127)</f>
        <v>7092.1014949483897</v>
      </c>
      <c r="F29" s="23">
        <f>SUMPRODUCT((pileX&lt;$E$5)*($E$5-pileX)*'TS-PILE'!X124:X127)</f>
        <v>7092.1014949483897</v>
      </c>
    </row>
    <row r="30" spans="2:6" x14ac:dyDescent="0.3">
      <c r="B30" s="14">
        <f>23</f>
        <v>23</v>
      </c>
      <c r="C30" s="23">
        <f>SUMPRODUCT((pileX&gt;$D$5)*'TS-PILE'!Y124:Y127)</f>
        <v>26041.650196288632</v>
      </c>
      <c r="D30" s="23">
        <f>SUMPRODUCT((pileX&gt;$D$5)*(pileX-$D$5)*'TS-PILE'!Y124:Y127)</f>
        <v>26041.650196288632</v>
      </c>
      <c r="E30" s="23">
        <f>SUMPRODUCT((pileX&lt;$E$5)*'TS-PILE'!Y124:Y127)</f>
        <v>7636.2690506983899</v>
      </c>
      <c r="F30" s="23">
        <f>SUMPRODUCT((pileX&lt;$E$5)*($E$5-pileX)*'TS-PILE'!Y124:Y127)</f>
        <v>7636.2690506983899</v>
      </c>
    </row>
    <row r="31" spans="2:6" x14ac:dyDescent="0.3">
      <c r="B31" s="14">
        <f>24</f>
        <v>24</v>
      </c>
      <c r="C31" s="23">
        <f>SUMPRODUCT((pileX&gt;$D$5)*'TS-PILE'!Z124:Z127)</f>
        <v>26585.817752038634</v>
      </c>
      <c r="D31" s="23">
        <f>SUMPRODUCT((pileX&gt;$D$5)*(pileX-$D$5)*'TS-PILE'!Z124:Z127)</f>
        <v>26585.817752038634</v>
      </c>
      <c r="E31" s="23">
        <f>SUMPRODUCT((pileX&lt;$E$5)*'TS-PILE'!Z124:Z127)</f>
        <v>8180.4366064483893</v>
      </c>
      <c r="F31" s="23">
        <f>SUMPRODUCT((pileX&lt;$E$5)*($E$5-pileX)*'TS-PILE'!Z124:Z127)</f>
        <v>8180.4366064483893</v>
      </c>
    </row>
    <row r="32" spans="2:6" x14ac:dyDescent="0.3">
      <c r="B32" s="14">
        <f>25</f>
        <v>25</v>
      </c>
      <c r="C32" s="23">
        <f>SUMPRODUCT((pileX&gt;$D$5)*'TS-PILE'!AA124:AA127)</f>
        <v>24325.429443538636</v>
      </c>
      <c r="D32" s="23">
        <f>SUMPRODUCT((pileX&gt;$D$5)*(pileX-$D$5)*'TS-PILE'!AA124:AA127)</f>
        <v>24325.429443538636</v>
      </c>
      <c r="E32" s="23">
        <f>SUMPRODUCT((pileX&lt;$E$5)*'TS-PILE'!AA124:AA127)</f>
        <v>5920.0482979483895</v>
      </c>
      <c r="F32" s="23">
        <f>SUMPRODUCT((pileX&lt;$E$5)*($E$5-pileX)*'TS-PILE'!AA124:AA127)</f>
        <v>5920.0482979483895</v>
      </c>
    </row>
    <row r="33" spans="2:6" x14ac:dyDescent="0.3">
      <c r="B33" s="14">
        <f>26</f>
        <v>26</v>
      </c>
      <c r="C33" s="23">
        <f>SUMPRODUCT((pileX&gt;$D$5)*'TS-PILE'!AB124:AB127)</f>
        <v>24995.174127538638</v>
      </c>
      <c r="D33" s="23">
        <f>SUMPRODUCT((pileX&gt;$D$5)*(pileX-$D$5)*'TS-PILE'!AB124:AB127)</f>
        <v>24995.174127538638</v>
      </c>
      <c r="E33" s="23">
        <f>SUMPRODUCT((pileX&lt;$E$5)*'TS-PILE'!AB124:AB127)</f>
        <v>6589.7929819483907</v>
      </c>
      <c r="F33" s="23">
        <f>SUMPRODUCT((pileX&lt;$E$5)*($E$5-pileX)*'TS-PILE'!AB124:AB127)</f>
        <v>6589.7929819483907</v>
      </c>
    </row>
    <row r="34" spans="2:6" x14ac:dyDescent="0.3">
      <c r="B34" s="14">
        <f>27</f>
        <v>27</v>
      </c>
      <c r="C34" s="23">
        <f>SUMPRODUCT((pileX&gt;$D$5)*'TS-PILE'!AC124:AC127)</f>
        <v>25455.623597788639</v>
      </c>
      <c r="D34" s="23">
        <f>SUMPRODUCT((pileX&gt;$D$5)*(pileX-$D$5)*'TS-PILE'!AC124:AC127)</f>
        <v>25455.623597788639</v>
      </c>
      <c r="E34" s="23">
        <f>SUMPRODUCT((pileX&lt;$E$5)*'TS-PILE'!AC124:AC127)</f>
        <v>7050.2424521983903</v>
      </c>
      <c r="F34" s="23">
        <f>SUMPRODUCT((pileX&lt;$E$5)*($E$5-pileX)*'TS-PILE'!AC124:AC127)</f>
        <v>7050.2424521983903</v>
      </c>
    </row>
    <row r="35" spans="2:6" x14ac:dyDescent="0.3">
      <c r="B35" s="14">
        <f>28</f>
        <v>28</v>
      </c>
      <c r="C35" s="23">
        <f>SUMPRODUCT((pileX&gt;$D$5)*'TS-PILE'!AD124:AD127)</f>
        <v>25497.482640538641</v>
      </c>
      <c r="D35" s="23">
        <f>SUMPRODUCT((pileX&gt;$D$5)*(pileX-$D$5)*'TS-PILE'!AD124:AD127)</f>
        <v>25497.482640538641</v>
      </c>
      <c r="E35" s="23">
        <f>SUMPRODUCT((pileX&lt;$E$5)*'TS-PILE'!AD124:AD127)</f>
        <v>7092.1014949483897</v>
      </c>
      <c r="F35" s="23">
        <f>SUMPRODUCT((pileX&lt;$E$5)*($E$5-pileX)*'TS-PILE'!AD124:AD127)</f>
        <v>7092.1014949483897</v>
      </c>
    </row>
    <row r="36" spans="2:6" x14ac:dyDescent="0.3">
      <c r="B36" s="14">
        <f>29</f>
        <v>29</v>
      </c>
      <c r="C36" s="23">
        <f>SUMPRODUCT((pileX&gt;$D$5)*'TS-PILE'!AE124:AE127)</f>
        <v>26041.650196288636</v>
      </c>
      <c r="D36" s="23">
        <f>SUMPRODUCT((pileX&gt;$D$5)*(pileX-$D$5)*'TS-PILE'!AE124:AE127)</f>
        <v>26041.650196288636</v>
      </c>
      <c r="E36" s="23">
        <f>SUMPRODUCT((pileX&lt;$E$5)*'TS-PILE'!AE124:AE127)</f>
        <v>7636.269050698389</v>
      </c>
      <c r="F36" s="23">
        <f>SUMPRODUCT((pileX&lt;$E$5)*($E$5-pileX)*'TS-PILE'!AE124:AE127)</f>
        <v>7636.269050698389</v>
      </c>
    </row>
    <row r="37" spans="2:6" x14ac:dyDescent="0.3">
      <c r="B37" s="14">
        <f>30</f>
        <v>30</v>
      </c>
      <c r="C37" s="23">
        <f>SUMPRODUCT((pileX&gt;$D$5)*'TS-PILE'!AF124:AF127)</f>
        <v>26585.817752038638</v>
      </c>
      <c r="D37" s="23">
        <f>SUMPRODUCT((pileX&gt;$D$5)*(pileX-$D$5)*'TS-PILE'!AF124:AF127)</f>
        <v>26585.817752038638</v>
      </c>
      <c r="E37" s="23">
        <f>SUMPRODUCT((pileX&lt;$E$5)*'TS-PILE'!AF124:AF127)</f>
        <v>8180.4366064483884</v>
      </c>
      <c r="F37" s="23">
        <f>SUMPRODUCT((pileX&lt;$E$5)*($E$5-pileX)*'TS-PILE'!AF124:AF127)</f>
        <v>8180.4366064483884</v>
      </c>
    </row>
    <row r="38" spans="2:6" x14ac:dyDescent="0.3">
      <c r="B38" s="14">
        <f>31</f>
        <v>31</v>
      </c>
      <c r="C38" s="23">
        <f>SUMPRODUCT((pileX&gt;$D$5)*'TS-PILE'!AG124:AG127)</f>
        <v>24154.208231690431</v>
      </c>
      <c r="D38" s="23">
        <f>SUMPRODUCT((pileX&gt;$D$5)*(pileX-$D$5)*'TS-PILE'!AG124:AG127)</f>
        <v>24154.208231690431</v>
      </c>
      <c r="E38" s="23">
        <f>SUMPRODUCT((pileX&lt;$E$5)*'TS-PILE'!AG124:AG127)</f>
        <v>5287.0911977965934</v>
      </c>
      <c r="F38" s="23">
        <f>SUMPRODUCT((pileX&lt;$E$5)*($E$5-pileX)*'TS-PILE'!AG124:AG127)</f>
        <v>5287.0911977965934</v>
      </c>
    </row>
    <row r="39" spans="2:6" x14ac:dyDescent="0.3">
      <c r="B39" s="14">
        <f>32</f>
        <v>32</v>
      </c>
      <c r="C39" s="23">
        <f>SUMPRODUCT((pileX&gt;$D$5)*'TS-PILE'!AH124:AH127)</f>
        <v>24709.805441124961</v>
      </c>
      <c r="D39" s="23">
        <f>SUMPRODUCT((pileX&gt;$D$5)*(pileX-$D$5)*'TS-PILE'!AH124:AH127)</f>
        <v>24709.805441124961</v>
      </c>
      <c r="E39" s="23">
        <f>SUMPRODUCT((pileX&lt;$E$5)*'TS-PILE'!AH124:AH127)</f>
        <v>5534.8644816953965</v>
      </c>
      <c r="F39" s="23">
        <f>SUMPRODUCT((pileX&lt;$E$5)*($E$5-pileX)*'TS-PILE'!AH124:AH127)</f>
        <v>5534.8644816953965</v>
      </c>
    </row>
    <row r="40" spans="2:6" x14ac:dyDescent="0.3">
      <c r="B40" s="14">
        <f>33</f>
        <v>33</v>
      </c>
      <c r="C40" s="23">
        <f>SUMPRODUCT((pileX&gt;$D$5)*'TS-PILE'!AI124:AI127)</f>
        <v>25091.778522611196</v>
      </c>
      <c r="D40" s="23">
        <f>SUMPRODUCT((pileX&gt;$D$5)*(pileX-$D$5)*'TS-PILE'!AI124:AI127)</f>
        <v>25091.778522611196</v>
      </c>
      <c r="E40" s="23">
        <f>SUMPRODUCT((pileX&lt;$E$5)*'TS-PILE'!AI124:AI127)</f>
        <v>5705.208614375827</v>
      </c>
      <c r="F40" s="23">
        <f>SUMPRODUCT((pileX&lt;$E$5)*($E$5-pileX)*'TS-PILE'!AI124:AI127)</f>
        <v>5705.208614375827</v>
      </c>
    </row>
    <row r="41" spans="2:6" x14ac:dyDescent="0.3">
      <c r="B41" s="14">
        <f>34</f>
        <v>34</v>
      </c>
      <c r="C41" s="23">
        <f>SUMPRODUCT((pileX&gt;$D$5)*'TS-PILE'!AJ124:AJ127)</f>
        <v>25126.503348200855</v>
      </c>
      <c r="D41" s="23">
        <f>SUMPRODUCT((pileX&gt;$D$5)*(pileX-$D$5)*'TS-PILE'!AJ124:AJ127)</f>
        <v>25126.503348200855</v>
      </c>
      <c r="E41" s="23">
        <f>SUMPRODUCT((pileX&lt;$E$5)*'TS-PILE'!AJ124:AJ127)</f>
        <v>5720.6944446195021</v>
      </c>
      <c r="F41" s="23">
        <f>SUMPRODUCT((pileX&lt;$E$5)*($E$5-pileX)*'TS-PILE'!AJ124:AJ127)</f>
        <v>5720.6944446195021</v>
      </c>
    </row>
    <row r="42" spans="2:6" x14ac:dyDescent="0.3">
      <c r="B42" s="14">
        <f>35</f>
        <v>35</v>
      </c>
      <c r="C42" s="23">
        <f>SUMPRODUCT((pileX&gt;$D$5)*'TS-PILE'!AK124:AK127)</f>
        <v>25577.926080866408</v>
      </c>
      <c r="D42" s="23">
        <f>SUMPRODUCT((pileX&gt;$D$5)*(pileX-$D$5)*'TS-PILE'!AK124:AK127)</f>
        <v>25577.926080866408</v>
      </c>
      <c r="E42" s="23">
        <f>SUMPRODUCT((pileX&lt;$E$5)*'TS-PILE'!AK124:AK127)</f>
        <v>5922.0102377872809</v>
      </c>
      <c r="F42" s="23">
        <f>SUMPRODUCT((pileX&lt;$E$5)*($E$5-pileX)*'TS-PILE'!AK124:AK127)</f>
        <v>5922.0102377872809</v>
      </c>
    </row>
    <row r="43" spans="2:6" x14ac:dyDescent="0.3">
      <c r="B43" s="14">
        <f>36</f>
        <v>36</v>
      </c>
      <c r="C43" s="23">
        <f>SUMPRODUCT((pileX&gt;$D$5)*'TS-PILE'!AL124:AL127)</f>
        <v>26029.348813531968</v>
      </c>
      <c r="D43" s="23">
        <f>SUMPRODUCT((pileX&gt;$D$5)*(pileX-$D$5)*'TS-PILE'!AL124:AL127)</f>
        <v>26029.348813531968</v>
      </c>
      <c r="E43" s="23">
        <f>SUMPRODUCT((pileX&lt;$E$5)*'TS-PILE'!AL124:AL127)</f>
        <v>6123.3260309550551</v>
      </c>
      <c r="F43" s="23">
        <f>SUMPRODUCT((pileX&lt;$E$5)*($E$5-pileX)*'TS-PILE'!AL124:AL127)</f>
        <v>6123.3260309550551</v>
      </c>
    </row>
    <row r="44" spans="2:6" x14ac:dyDescent="0.3">
      <c r="B44" s="14">
        <f>37</f>
        <v>37</v>
      </c>
      <c r="C44" s="23">
        <f>SUMPRODUCT((pileX&gt;$D$5)*'TS-PILE'!AM124:AM127)</f>
        <v>20078.073270760451</v>
      </c>
      <c r="D44" s="23">
        <f>SUMPRODUCT((pileX&gt;$D$5)*(pileX-$D$5)*'TS-PILE'!AM124:AM127)</f>
        <v>20078.073270760451</v>
      </c>
      <c r="E44" s="23">
        <f>SUMPRODUCT((pileX&lt;$E$5)*'TS-PILE'!AM124:AM127)</f>
        <v>1672.6921251702029</v>
      </c>
      <c r="F44" s="23">
        <f>SUMPRODUCT((pileX&lt;$E$5)*($E$5-pileX)*'TS-PILE'!AM124:AM127)</f>
        <v>1672.6921251702029</v>
      </c>
    </row>
    <row r="45" spans="2:6" x14ac:dyDescent="0.3">
      <c r="B45" s="14">
        <f>38</f>
        <v>38</v>
      </c>
      <c r="C45" s="23">
        <f>SUMPRODUCT((pileX&gt;$D$5)*'TS-PILE'!AN124:AN127)</f>
        <v>20747.817954760452</v>
      </c>
      <c r="D45" s="23">
        <f>SUMPRODUCT((pileX&gt;$D$5)*(pileX-$D$5)*'TS-PILE'!AN124:AN127)</f>
        <v>20747.817954760452</v>
      </c>
      <c r="E45" s="23">
        <f>SUMPRODUCT((pileX&lt;$E$5)*'TS-PILE'!AN124:AN127)</f>
        <v>2342.4368091702036</v>
      </c>
      <c r="F45" s="23">
        <f>SUMPRODUCT((pileX&lt;$E$5)*($E$5-pileX)*'TS-PILE'!AN124:AN127)</f>
        <v>2342.4368091702036</v>
      </c>
    </row>
    <row r="46" spans="2:6" x14ac:dyDescent="0.3">
      <c r="B46" s="14">
        <f>39</f>
        <v>39</v>
      </c>
      <c r="C46" s="23">
        <f>SUMPRODUCT((pileX&gt;$D$5)*'TS-PILE'!AO124:AO127)</f>
        <v>21208.267425010457</v>
      </c>
      <c r="D46" s="23">
        <f>SUMPRODUCT((pileX&gt;$D$5)*(pileX-$D$5)*'TS-PILE'!AO124:AO127)</f>
        <v>21208.267425010457</v>
      </c>
      <c r="E46" s="23">
        <f>SUMPRODUCT((pileX&lt;$E$5)*'TS-PILE'!AO124:AO127)</f>
        <v>2802.8862794202037</v>
      </c>
      <c r="F46" s="23">
        <f>SUMPRODUCT((pileX&lt;$E$5)*($E$5-pileX)*'TS-PILE'!AO124:AO127)</f>
        <v>2802.8862794202037</v>
      </c>
    </row>
    <row r="47" spans="2:6" x14ac:dyDescent="0.3">
      <c r="B47" s="14">
        <f>40</f>
        <v>40</v>
      </c>
      <c r="C47" s="23">
        <f>SUMPRODUCT((pileX&gt;$D$5)*'TS-PILE'!AP124:AP127)</f>
        <v>21250.126467760452</v>
      </c>
      <c r="D47" s="23">
        <f>SUMPRODUCT((pileX&gt;$D$5)*(pileX-$D$5)*'TS-PILE'!AP124:AP127)</f>
        <v>21250.126467760452</v>
      </c>
      <c r="E47" s="23">
        <f>SUMPRODUCT((pileX&lt;$E$5)*'TS-PILE'!AP124:AP127)</f>
        <v>2844.7453221702035</v>
      </c>
      <c r="F47" s="23">
        <f>SUMPRODUCT((pileX&lt;$E$5)*($E$5-pileX)*'TS-PILE'!AP124:AP127)</f>
        <v>2844.7453221702035</v>
      </c>
    </row>
    <row r="48" spans="2:6" x14ac:dyDescent="0.3">
      <c r="B48" s="14">
        <f>41</f>
        <v>41</v>
      </c>
      <c r="C48" s="23">
        <f>SUMPRODUCT((pileX&gt;$D$5)*'TS-PILE'!AQ124:AQ127)</f>
        <v>21794.294023510451</v>
      </c>
      <c r="D48" s="23">
        <f>SUMPRODUCT((pileX&gt;$D$5)*(pileX-$D$5)*'TS-PILE'!AQ124:AQ127)</f>
        <v>21794.294023510451</v>
      </c>
      <c r="E48" s="23">
        <f>SUMPRODUCT((pileX&lt;$E$5)*'TS-PILE'!AQ124:AQ127)</f>
        <v>3388.9128779202028</v>
      </c>
      <c r="F48" s="23">
        <f>SUMPRODUCT((pileX&lt;$E$5)*($E$5-pileX)*'TS-PILE'!AQ124:AQ127)</f>
        <v>3388.9128779202028</v>
      </c>
    </row>
    <row r="49" spans="2:6" x14ac:dyDescent="0.3">
      <c r="B49" s="14">
        <f>42</f>
        <v>42</v>
      </c>
      <c r="C49" s="23">
        <f>SUMPRODUCT((pileX&gt;$D$5)*'TS-PILE'!AR124:AR127)</f>
        <v>22338.461579260449</v>
      </c>
      <c r="D49" s="23">
        <f>SUMPRODUCT((pileX&gt;$D$5)*(pileX-$D$5)*'TS-PILE'!AR124:AR127)</f>
        <v>22338.461579260449</v>
      </c>
      <c r="E49" s="23">
        <f>SUMPRODUCT((pileX&lt;$E$5)*'TS-PILE'!AR124:AR127)</f>
        <v>3933.0804336702022</v>
      </c>
      <c r="F49" s="23">
        <f>SUMPRODUCT((pileX&lt;$E$5)*($E$5-pileX)*'TS-PILE'!AR124:AR127)</f>
        <v>3933.0804336702022</v>
      </c>
    </row>
    <row r="50" spans="2:6" x14ac:dyDescent="0.3">
      <c r="B50" s="14">
        <f>43</f>
        <v>43</v>
      </c>
      <c r="C50" s="23">
        <f>SUMPRODUCT((pileX&gt;$D$5)*'TS-PILE'!AS124:AS127)</f>
        <v>19906.852058912249</v>
      </c>
      <c r="D50" s="23">
        <f>SUMPRODUCT((pileX&gt;$D$5)*(pileX-$D$5)*'TS-PILE'!AS124:AS127)</f>
        <v>19906.852058912249</v>
      </c>
      <c r="E50" s="23">
        <f>SUMPRODUCT((pileX&lt;$E$5)*'TS-PILE'!AS124:AS127)</f>
        <v>1039.7350250184095</v>
      </c>
      <c r="F50" s="23">
        <f>SUMPRODUCT((pileX&lt;$E$5)*($E$5-pileX)*'TS-PILE'!AS124:AS127)</f>
        <v>1039.7350250184095</v>
      </c>
    </row>
    <row r="51" spans="2:6" x14ac:dyDescent="0.3">
      <c r="B51" s="14">
        <f>44</f>
        <v>44</v>
      </c>
      <c r="C51" s="23">
        <f>SUMPRODUCT((pileX&gt;$D$5)*'TS-PILE'!AT124:AT127)</f>
        <v>20462.449268346776</v>
      </c>
      <c r="D51" s="23">
        <f>SUMPRODUCT((pileX&gt;$D$5)*(pileX-$D$5)*'TS-PILE'!AT124:AT127)</f>
        <v>20462.449268346776</v>
      </c>
      <c r="E51" s="23">
        <f>SUMPRODUCT((pileX&lt;$E$5)*'TS-PILE'!AT124:AT127)</f>
        <v>1287.5083089172131</v>
      </c>
      <c r="F51" s="23">
        <f>SUMPRODUCT((pileX&lt;$E$5)*($E$5-pileX)*'TS-PILE'!AT124:AT127)</f>
        <v>1287.5083089172131</v>
      </c>
    </row>
    <row r="52" spans="2:6" x14ac:dyDescent="0.3">
      <c r="B52" s="14">
        <f>45</f>
        <v>45</v>
      </c>
      <c r="C52" s="23">
        <f>SUMPRODUCT((pileX&gt;$D$5)*'TS-PILE'!AU124:AU127)</f>
        <v>20844.422349833014</v>
      </c>
      <c r="D52" s="23">
        <f>SUMPRODUCT((pileX&gt;$D$5)*(pileX-$D$5)*'TS-PILE'!AU124:AU127)</f>
        <v>20844.422349833014</v>
      </c>
      <c r="E52" s="23">
        <f>SUMPRODUCT((pileX&lt;$E$5)*'TS-PILE'!AU124:AU127)</f>
        <v>1457.8524415976426</v>
      </c>
      <c r="F52" s="23">
        <f>SUMPRODUCT((pileX&lt;$E$5)*($E$5-pileX)*'TS-PILE'!AU124:AU127)</f>
        <v>1457.8524415976426</v>
      </c>
    </row>
    <row r="53" spans="2:6" x14ac:dyDescent="0.3">
      <c r="B53" s="14">
        <f>46</f>
        <v>46</v>
      </c>
      <c r="C53" s="23">
        <f>SUMPRODUCT((pileX&gt;$D$5)*'TS-PILE'!AV124:AV127)</f>
        <v>20879.14717542267</v>
      </c>
      <c r="D53" s="23">
        <f>SUMPRODUCT((pileX&gt;$D$5)*(pileX-$D$5)*'TS-PILE'!AV124:AV127)</f>
        <v>20879.14717542267</v>
      </c>
      <c r="E53" s="23">
        <f>SUMPRODUCT((pileX&lt;$E$5)*'TS-PILE'!AV124:AV127)</f>
        <v>1473.3382718413161</v>
      </c>
      <c r="F53" s="23">
        <f>SUMPRODUCT((pileX&lt;$E$5)*($E$5-pileX)*'TS-PILE'!AV124:AV127)</f>
        <v>1473.3382718413161</v>
      </c>
    </row>
    <row r="54" spans="2:6" x14ac:dyDescent="0.3">
      <c r="B54" s="14">
        <f>47</f>
        <v>47</v>
      </c>
      <c r="C54" s="23">
        <f>SUMPRODUCT((pileX&gt;$D$5)*'TS-PILE'!AW124:AW127)</f>
        <v>21330.56990808823</v>
      </c>
      <c r="D54" s="23">
        <f>SUMPRODUCT((pileX&gt;$D$5)*(pileX-$D$5)*'TS-PILE'!AW124:AW127)</f>
        <v>21330.56990808823</v>
      </c>
      <c r="E54" s="23">
        <f>SUMPRODUCT((pileX&lt;$E$5)*'TS-PILE'!AW124:AW127)</f>
        <v>1674.6540650090969</v>
      </c>
      <c r="F54" s="23">
        <f>SUMPRODUCT((pileX&lt;$E$5)*($E$5-pileX)*'TS-PILE'!AW124:AW127)</f>
        <v>1674.6540650090969</v>
      </c>
    </row>
    <row r="55" spans="2:6" x14ac:dyDescent="0.3">
      <c r="B55" s="14">
        <f>48</f>
        <v>48</v>
      </c>
      <c r="C55" s="23">
        <f>SUMPRODUCT((pileX&gt;$D$5)*'TS-PILE'!AX124:AX127)</f>
        <v>21781.992640753782</v>
      </c>
      <c r="D55" s="23">
        <f>SUMPRODUCT((pileX&gt;$D$5)*(pileX-$D$5)*'TS-PILE'!AX124:AX127)</f>
        <v>21781.992640753782</v>
      </c>
      <c r="E55" s="23">
        <f>SUMPRODUCT((pileX&lt;$E$5)*'TS-PILE'!AX124:AX127)</f>
        <v>1875.9698581768707</v>
      </c>
      <c r="F55" s="23">
        <f>SUMPRODUCT((pileX&lt;$E$5)*($E$5-pileX)*'TS-PILE'!AX124:AX127)</f>
        <v>1875.9698581768707</v>
      </c>
    </row>
    <row r="56" spans="2:6" x14ac:dyDescent="0.3">
      <c r="B56" s="14">
        <f>49</f>
        <v>49</v>
      </c>
      <c r="C56" s="23">
        <f>SUMPRODUCT((pileX&gt;$D$5)*'TS-PILE'!AY124:AY127)</f>
        <v>20896.108359645241</v>
      </c>
      <c r="D56" s="23">
        <f>SUMPRODUCT((pileX&gt;$D$5)*(pileX-$D$5)*'TS-PILE'!AY124:AY127)</f>
        <v>20896.108359645241</v>
      </c>
      <c r="E56" s="23">
        <f>SUMPRODUCT((pileX&lt;$E$5)*'TS-PILE'!AY124:AY127)</f>
        <v>5901.196644337102</v>
      </c>
      <c r="F56" s="23">
        <f>SUMPRODUCT((pileX&lt;$E$5)*($E$5-pileX)*'TS-PILE'!AY124:AY127)</f>
        <v>5901.196644337102</v>
      </c>
    </row>
    <row r="57" spans="2:6" x14ac:dyDescent="0.3">
      <c r="B57" s="14">
        <f>50</f>
        <v>50</v>
      </c>
      <c r="C57" s="23">
        <f>SUMPRODUCT((pileX&gt;$D$5)*'TS-PILE'!AZ124:AZ127)</f>
        <v>16648.752186867052</v>
      </c>
      <c r="D57" s="23">
        <f>SUMPRODUCT((pileX&gt;$D$5)*(pileX-$D$5)*'TS-PILE'!AZ124:AZ127)</f>
        <v>16648.752186867052</v>
      </c>
      <c r="E57" s="23">
        <f>SUMPRODUCT((pileX&lt;$E$5)*'TS-PILE'!AZ124:AZ127)</f>
        <v>1653.8404715589159</v>
      </c>
      <c r="F57" s="23">
        <f>SUMPRODUCT((pileX&lt;$E$5)*($E$5-pileX)*'TS-PILE'!AZ124:AZ127)</f>
        <v>1653.8404715589159</v>
      </c>
    </row>
    <row r="58" spans="2:6" x14ac:dyDescent="0.3">
      <c r="B58" s="14">
        <f>51</f>
        <v>51</v>
      </c>
      <c r="C58" s="23">
        <f>SUMPRODUCT((pileX&gt;$D$5)*'TS-PILE'!BA124:BA127)</f>
        <v>23800.233765487072</v>
      </c>
      <c r="D58" s="23">
        <f>SUMPRODUCT((pileX&gt;$D$5)*(pileX-$D$5)*'TS-PILE'!BA124:BA127)</f>
        <v>23800.233765487072</v>
      </c>
      <c r="E58" s="23">
        <f>SUMPRODUCT((pileX&lt;$E$5)*'TS-PILE'!BA124:BA127)</f>
        <v>5985.9904783999527</v>
      </c>
      <c r="F58" s="23">
        <f>SUMPRODUCT((pileX&lt;$E$5)*($E$5-pileX)*'TS-PILE'!BA124:BA127)</f>
        <v>5985.9904783999527</v>
      </c>
    </row>
    <row r="59" spans="2:6" x14ac:dyDescent="0.3">
      <c r="B59" s="14">
        <f>52</f>
        <v>52</v>
      </c>
      <c r="C59" s="23">
        <f>SUMPRODUCT((pileX&gt;$D$5)*'TS-PILE'!BB124:BB127)</f>
        <v>24316.893950287074</v>
      </c>
      <c r="D59" s="23">
        <f>SUMPRODUCT((pileX&gt;$D$5)*(pileX-$D$5)*'TS-PILE'!BB124:BB127)</f>
        <v>24316.893950287074</v>
      </c>
      <c r="E59" s="23">
        <f>SUMPRODUCT((pileX&lt;$E$5)*'TS-PILE'!BB124:BB127)</f>
        <v>6502.6506631999528</v>
      </c>
      <c r="F59" s="23">
        <f>SUMPRODUCT((pileX&lt;$E$5)*($E$5-pileX)*'TS-PILE'!BB124:BB127)</f>
        <v>6502.6506631999528</v>
      </c>
    </row>
    <row r="60" spans="2:6" x14ac:dyDescent="0.3">
      <c r="B60" s="14">
        <f>53</f>
        <v>53</v>
      </c>
      <c r="C60" s="23">
        <f>SUMPRODUCT((pileX&gt;$D$5)*'TS-PILE'!BC124:BC127)</f>
        <v>24672.097827337075</v>
      </c>
      <c r="D60" s="23">
        <f>SUMPRODUCT((pileX&gt;$D$5)*(pileX-$D$5)*'TS-PILE'!BC124:BC127)</f>
        <v>24672.097827337075</v>
      </c>
      <c r="E60" s="23">
        <f>SUMPRODUCT((pileX&lt;$E$5)*'TS-PILE'!BC124:BC127)</f>
        <v>6857.8545402499531</v>
      </c>
      <c r="F60" s="23">
        <f>SUMPRODUCT((pileX&lt;$E$5)*($E$5-pileX)*'TS-PILE'!BC124:BC127)</f>
        <v>6857.8545402499531</v>
      </c>
    </row>
    <row r="61" spans="2:6" x14ac:dyDescent="0.3">
      <c r="B61" s="14">
        <f>54</f>
        <v>54</v>
      </c>
      <c r="C61" s="23">
        <f>SUMPRODUCT((pileX&gt;$D$5)*'TS-PILE'!BD124:BD127)</f>
        <v>24704.389088887074</v>
      </c>
      <c r="D61" s="23">
        <f>SUMPRODUCT((pileX&gt;$D$5)*(pileX-$D$5)*'TS-PILE'!BD124:BD127)</f>
        <v>24704.389088887074</v>
      </c>
      <c r="E61" s="23">
        <f>SUMPRODUCT((pileX&lt;$E$5)*'TS-PILE'!BD124:BD127)</f>
        <v>6890.145801799953</v>
      </c>
      <c r="F61" s="23">
        <f>SUMPRODUCT((pileX&lt;$E$5)*($E$5-pileX)*'TS-PILE'!BD124:BD127)</f>
        <v>6890.145801799953</v>
      </c>
    </row>
    <row r="62" spans="2:6" x14ac:dyDescent="0.3">
      <c r="B62" s="14">
        <f>55</f>
        <v>55</v>
      </c>
      <c r="C62" s="23">
        <f>SUMPRODUCT((pileX&gt;$D$5)*'TS-PILE'!BE124:BE127)</f>
        <v>25124.175489037076</v>
      </c>
      <c r="D62" s="23">
        <f>SUMPRODUCT((pileX&gt;$D$5)*(pileX-$D$5)*'TS-PILE'!BE124:BE127)</f>
        <v>25124.175489037076</v>
      </c>
      <c r="E62" s="23">
        <f>SUMPRODUCT((pileX&lt;$E$5)*'TS-PILE'!BE124:BE127)</f>
        <v>7309.9322019499559</v>
      </c>
      <c r="F62" s="23">
        <f>SUMPRODUCT((pileX&lt;$E$5)*($E$5-pileX)*'TS-PILE'!BE124:BE127)</f>
        <v>7309.9322019499559</v>
      </c>
    </row>
    <row r="63" spans="2:6" x14ac:dyDescent="0.3">
      <c r="B63" s="14">
        <f>56</f>
        <v>56</v>
      </c>
      <c r="C63" s="23">
        <f>SUMPRODUCT((pileX&gt;$D$5)*'TS-PILE'!BF124:BF127)</f>
        <v>25543.961889187074</v>
      </c>
      <c r="D63" s="23">
        <f>SUMPRODUCT((pileX&gt;$D$5)*(pileX-$D$5)*'TS-PILE'!BF124:BF127)</f>
        <v>25543.961889187074</v>
      </c>
      <c r="E63" s="23">
        <f>SUMPRODUCT((pileX&lt;$E$5)*'TS-PILE'!BF124:BF127)</f>
        <v>7729.7186020999543</v>
      </c>
      <c r="F63" s="23">
        <f>SUMPRODUCT((pileX&lt;$E$5)*($E$5-pileX)*'TS-PILE'!BF124:BF127)</f>
        <v>7729.7186020999543</v>
      </c>
    </row>
    <row r="64" spans="2:6" x14ac:dyDescent="0.3">
      <c r="B64" s="14">
        <f>57</f>
        <v>57</v>
      </c>
      <c r="C64" s="23">
        <f>SUMPRODUCT((pileX&gt;$D$5)*'TS-PILE'!BG124:BG127)</f>
        <v>21492.654077528197</v>
      </c>
      <c r="D64" s="23">
        <f>SUMPRODUCT((pileX&gt;$D$5)*(pileX-$D$5)*'TS-PILE'!BG124:BG127)</f>
        <v>21492.654077528197</v>
      </c>
      <c r="E64" s="23">
        <f>SUMPRODUCT((pileX&lt;$E$5)*'TS-PILE'!BG124:BG127)</f>
        <v>2688.3074580614257</v>
      </c>
      <c r="F64" s="23">
        <f>SUMPRODUCT((pileX&lt;$E$5)*($E$5-pileX)*'TS-PILE'!BG124:BG127)</f>
        <v>2688.3074580614257</v>
      </c>
    </row>
    <row r="65" spans="2:6" x14ac:dyDescent="0.3">
      <c r="B65" s="14">
        <f>58</f>
        <v>58</v>
      </c>
      <c r="C65" s="23">
        <f>SUMPRODUCT((pileX&gt;$D$5)*'TS-PILE'!BH124:BH127)</f>
        <v>17738.081918745615</v>
      </c>
      <c r="D65" s="23">
        <f>SUMPRODUCT((pileX&gt;$D$5)*(pileX-$D$5)*'TS-PILE'!BH124:BH127)</f>
        <v>17738.081918745615</v>
      </c>
      <c r="E65" s="23">
        <f>SUMPRODUCT((pileX&lt;$E$5)*'TS-PILE'!BH124:BH127)</f>
        <v>6442.8796168440113</v>
      </c>
      <c r="F65" s="23">
        <f>SUMPRODUCT((pileX&lt;$E$5)*($E$5-pileX)*'TS-PILE'!BH124:BH127)</f>
        <v>6442.8796168440113</v>
      </c>
    </row>
    <row r="66" spans="2:6" x14ac:dyDescent="0.3">
      <c r="B66" s="14">
        <f>59</f>
        <v>59</v>
      </c>
      <c r="C66" s="23">
        <f>SUMPRODUCT((pileX&gt;$D$5)*'TS-PILE'!BI124:BI127)</f>
        <v>21026.634483154659</v>
      </c>
      <c r="D66" s="23">
        <f>SUMPRODUCT((pileX&gt;$D$5)*(pileX-$D$5)*'TS-PILE'!BI124:BI127)</f>
        <v>21026.634483154659</v>
      </c>
      <c r="E66" s="23">
        <f>SUMPRODUCT((pileX&lt;$E$5)*'TS-PILE'!BI124:BI127)</f>
        <v>9075.3265403323658</v>
      </c>
      <c r="F66" s="23">
        <f>SUMPRODUCT((pileX&lt;$E$5)*($E$5-pileX)*'TS-PILE'!BI124:BI127)</f>
        <v>9075.3265403323658</v>
      </c>
    </row>
    <row r="67" spans="2:6" x14ac:dyDescent="0.3">
      <c r="B67" s="14">
        <f>60</f>
        <v>60</v>
      </c>
      <c r="C67" s="23">
        <f>SUMPRODUCT((pileX&gt;$D$5)*'TS-PILE'!BJ124:BJ127)</f>
        <v>18502.000325030349</v>
      </c>
      <c r="D67" s="23">
        <f>SUMPRODUCT((pileX&gt;$D$5)*(pileX-$D$5)*'TS-PILE'!BJ124:BJ127)</f>
        <v>18502.000325030349</v>
      </c>
      <c r="E67" s="23">
        <f>SUMPRODUCT((pileX&lt;$E$5)*'TS-PILE'!BJ124:BJ127)</f>
        <v>11599.960698456676</v>
      </c>
      <c r="F67" s="23">
        <f>SUMPRODUCT((pileX&lt;$E$5)*($E$5-pileX)*'TS-PILE'!BJ124:BJ127)</f>
        <v>11599.960698456676</v>
      </c>
    </row>
    <row r="68" spans="2:6" x14ac:dyDescent="0.3">
      <c r="B68" s="14">
        <f>61</f>
        <v>61</v>
      </c>
      <c r="C68" s="23">
        <f>SUMPRODUCT((pileX&gt;$D$5)*'TS-PILE'!BK124:BK127)</f>
        <v>18502.000325030349</v>
      </c>
      <c r="D68" s="23">
        <f>SUMPRODUCT((pileX&gt;$D$5)*(pileX-$D$5)*'TS-PILE'!BK124:BK127)</f>
        <v>18502.000325030349</v>
      </c>
      <c r="E68" s="23">
        <f>SUMPRODUCT((pileX&lt;$E$5)*'TS-PILE'!BK124:BK127)</f>
        <v>11599.960698456676</v>
      </c>
      <c r="F68" s="23">
        <f>SUMPRODUCT((pileX&lt;$E$5)*($E$5-pileX)*'TS-PILE'!BK124:BK127)</f>
        <v>11599.960698456676</v>
      </c>
    </row>
    <row r="69" spans="2:6" x14ac:dyDescent="0.3">
      <c r="B69" s="14">
        <f>62</f>
        <v>62</v>
      </c>
      <c r="C69" s="23">
        <f>SUMPRODUCT((pileX&gt;$D$5)*'TS-PILE'!BL124:BL127)</f>
        <v>18502.000325030349</v>
      </c>
      <c r="D69" s="23">
        <f>SUMPRODUCT((pileX&gt;$D$5)*(pileX-$D$5)*'TS-PILE'!BL124:BL127)</f>
        <v>18502.000325030349</v>
      </c>
      <c r="E69" s="23">
        <f>SUMPRODUCT((pileX&lt;$E$5)*'TS-PILE'!BL124:BL127)</f>
        <v>11599.960698456676</v>
      </c>
      <c r="F69" s="23">
        <f>SUMPRODUCT((pileX&lt;$E$5)*($E$5-pileX)*'TS-PILE'!BL124:BL127)</f>
        <v>11599.960698456676</v>
      </c>
    </row>
    <row r="71" spans="2:6" x14ac:dyDescent="0.3">
      <c r="B71" s="28" t="s">
        <v>1006</v>
      </c>
      <c r="C71" s="27">
        <f>MAX(IF(AND(1&gt;=(3*nLan+1),1&lt;=(9*nLan+8)),C$8,-1E+99),IF(AND(2&gt;=(3*nLan+1),2&lt;=(9*nLan+8)),C$9,-1E+99),IF(AND(3&gt;=(3*nLan+1),3&lt;=(9*nLan+8)),C$10,-1E+99),IF(AND(4&gt;=(3*nLan+1),4&lt;=(9*nLan+8)),C$11,-1E+99),IF(AND(5&gt;=(3*nLan+1),5&lt;=(9*nLan+8)),C$12,-1E+99),IF(AND(6&gt;=(3*nLan+1),6&lt;=(9*nLan+8)),C$13,-1E+99),IF(AND(7&gt;=(3*nLan+1),7&lt;=(9*nLan+8)),C$14,-1E+99),IF(AND(8&gt;=(3*nLan+1),8&lt;=(9*nLan+8)),C$15,-1E+99),IF(AND(9&gt;=(3*nLan+1),9&lt;=(9*nLan+8)),C$16,-1E+99),IF(AND(10&gt;=(3*nLan+1),10&lt;=(9*nLan+8)),C$17,-1E+99),IF(AND(11&gt;=(3*nLan+1),11&lt;=(9*nLan+8)),C$18,-1E+99),IF(AND(12&gt;=(3*nLan+1),12&lt;=(9*nLan+8)),C$19,-1E+99),IF(AND(13&gt;=(3*nLan+1),13&lt;=(9*nLan+8)),C$20,-1E+99),IF(AND(14&gt;=(3*nLan+1),14&lt;=(9*nLan+8)),C$21,-1E+99),IF(AND(15&gt;=(3*nLan+1),15&lt;=(9*nLan+8)),C$22,-1E+99),IF(AND(16&gt;=(3*nLan+1),16&lt;=(9*nLan+8)),C$23,-1E+99),IF(AND(17&gt;=(3*nLan+1),17&lt;=(9*nLan+8)),C$24,-1E+99),IF(AND(18&gt;=(3*nLan+1),18&lt;=(9*nLan+8)),C$25,-1E+99),IF(AND(19&gt;=(3*nLan+1),19&lt;=(9*nLan+8)),C$26,-1E+99),IF(AND(20&gt;=(3*nLan+1),20&lt;=(9*nLan+8)),C$27,-1E+99),IF(AND(21&gt;=(3*nLan+1),21&lt;=(9*nLan+8)),C$28,-1E+99),IF(AND(22&gt;=(3*nLan+1),22&lt;=(9*nLan+8)),C$29,-1E+99),IF(AND(23&gt;=(3*nLan+1),23&lt;=(9*nLan+8)),C$30,-1E+99),IF(AND(24&gt;=(3*nLan+1),24&lt;=(9*nLan+8)),C$31,-1E+99),IF(AND(25&gt;=(3*nLan+1),25&lt;=(9*nLan+8)),C$32,-1E+99),IF(AND(26&gt;=(3*nLan+1),26&lt;=(9*nLan+8)),C$33,-1E+99),IF(AND(27&gt;=(3*nLan+1),27&lt;=(9*nLan+8)),C$34,-1E+99),IF(AND(28&gt;=(3*nLan+1),28&lt;=(9*nLan+8)),C$35,-1E+99),IF(AND(29&gt;=(3*nLan+1),29&lt;=(9*nLan+8)),C$36,-1E+99),IF(AND(30&gt;=(3*nLan+1),30&lt;=(9*nLan+8)),C$37,-1E+99),IF(AND(31&gt;=(3*nLan+1),31&lt;=(9*nLan+8)),C$38,-1E+99),IF(AND(32&gt;=(3*nLan+1),32&lt;=(9*nLan+8)),C$39,-1E+99),IF(AND(33&gt;=(3*nLan+1),33&lt;=(9*nLan+8)),C$40,-1E+99),IF(AND(34&gt;=(3*nLan+1),34&lt;=(9*nLan+8)),C$41,-1E+99),IF(AND(35&gt;=(3*nLan+1),35&lt;=(9*nLan+8)),C$42,-1E+99),IF(AND(36&gt;=(3*nLan+1),36&lt;=(9*nLan+8)),C$43,-1E+99),IF(AND(37&gt;=(3*nLan+1),37&lt;=(9*nLan+8)),C$44,-1E+99),IF(AND(38&gt;=(3*nLan+1),38&lt;=(9*nLan+8)),C$45,-1E+99),IF(AND(39&gt;=(3*nLan+1),39&lt;=(9*nLan+8)),C$46,-1E+99),IF(AND(40&gt;=(3*nLan+1),40&lt;=(9*nLan+8)),C$47,-1E+99),IF(AND(41&gt;=(3*nLan+1),41&lt;=(9*nLan+8)),C$48,-1E+99),IF(AND(42&gt;=(3*nLan+1),42&lt;=(9*nLan+8)),C$49,-1E+99),IF(AND(43&gt;=(3*nLan+1),43&lt;=(9*nLan+8)),C$50,-1E+99),IF(AND(44&gt;=(3*nLan+1),44&lt;=(9*nLan+8)),C$51,-1E+99),IF(AND(45&gt;=(3*nLan+1),45&lt;=(9*nLan+8)),C$52,-1E+99),IF(AND(46&gt;=(3*nLan+1),46&lt;=(9*nLan+8)),C$53,-1E+99),IF(AND(47&gt;=(3*nLan+1),47&lt;=(9*nLan+8)),C$54,-1E+99),IF(AND(48&gt;=(3*nLan+1),48&lt;=(9*nLan+8)),C$55,-1E+99),IF(AND(49&gt;=(3*nLan+1),49&lt;=(9*nLan+8)),C$56,-1E+99),IF(AND(50&gt;=(3*nLan+1),50&lt;=(9*nLan+8)),C$57,-1E+99),IF(AND(51&gt;=(3*nLan+1),51&lt;=(9*nLan+8)),C$58,-1E+99),IF(AND(52&gt;=(3*nLan+1),52&lt;=(9*nLan+8)),C$59,-1E+99),IF(AND(53&gt;=(3*nLan+1),53&lt;=(9*nLan+8)),C$60,-1E+99),IF(AND(54&gt;=(3*nLan+1),54&lt;=(9*nLan+8)),C$61,-1E+99),IF(AND(55&gt;=(3*nLan+1),55&lt;=(9*nLan+8)),C$62,-1E+99),IF(AND(56&gt;=(3*nLan+1),56&lt;=(9*nLan+8)),C$63,-1E+99),IF(AND(57&gt;=(3*nLan+1),57&lt;=(9*nLan+8)),C$64,-1E+99),IF(AND(58&gt;=(3*nLan+1),58&lt;=(9*nLan+8)),C$65,-1E+99),IF(AND(59&gt;=(3*nLan+1),59&lt;=(9*nLan+8)),C$66,-1E+99),IF(AND(60&gt;=(3*nLan+1),60&lt;=(9*nLan+8)),C$67,-1E+99),IF(AND(61&gt;=(3*nLan+1),61&lt;=(9*nLan+8)),C$68,-1E+99),IF(AND(62&gt;=(3*nLan+1),62&lt;=(9*nLan+8)),C$69,-1E+99))</f>
        <v>26585.817752038638</v>
      </c>
      <c r="D71" s="27">
        <f>MAX(IF(AND(1&gt;=(3*nLan+1),1&lt;=(9*nLan+8)),D$8,-1E+99),IF(AND(2&gt;=(3*nLan+1),2&lt;=(9*nLan+8)),D$9,-1E+99),IF(AND(3&gt;=(3*nLan+1),3&lt;=(9*nLan+8)),D$10,-1E+99),IF(AND(4&gt;=(3*nLan+1),4&lt;=(9*nLan+8)),D$11,-1E+99),IF(AND(5&gt;=(3*nLan+1),5&lt;=(9*nLan+8)),D$12,-1E+99),IF(AND(6&gt;=(3*nLan+1),6&lt;=(9*nLan+8)),D$13,-1E+99),IF(AND(7&gt;=(3*nLan+1),7&lt;=(9*nLan+8)),D$14,-1E+99),IF(AND(8&gt;=(3*nLan+1),8&lt;=(9*nLan+8)),D$15,-1E+99),IF(AND(9&gt;=(3*nLan+1),9&lt;=(9*nLan+8)),D$16,-1E+99),IF(AND(10&gt;=(3*nLan+1),10&lt;=(9*nLan+8)),D$17,-1E+99),IF(AND(11&gt;=(3*nLan+1),11&lt;=(9*nLan+8)),D$18,-1E+99),IF(AND(12&gt;=(3*nLan+1),12&lt;=(9*nLan+8)),D$19,-1E+99),IF(AND(13&gt;=(3*nLan+1),13&lt;=(9*nLan+8)),D$20,-1E+99),IF(AND(14&gt;=(3*nLan+1),14&lt;=(9*nLan+8)),D$21,-1E+99),IF(AND(15&gt;=(3*nLan+1),15&lt;=(9*nLan+8)),D$22,-1E+99),IF(AND(16&gt;=(3*nLan+1),16&lt;=(9*nLan+8)),D$23,-1E+99),IF(AND(17&gt;=(3*nLan+1),17&lt;=(9*nLan+8)),D$24,-1E+99),IF(AND(18&gt;=(3*nLan+1),18&lt;=(9*nLan+8)),D$25,-1E+99),IF(AND(19&gt;=(3*nLan+1),19&lt;=(9*nLan+8)),D$26,-1E+99),IF(AND(20&gt;=(3*nLan+1),20&lt;=(9*nLan+8)),D$27,-1E+99),IF(AND(21&gt;=(3*nLan+1),21&lt;=(9*nLan+8)),D$28,-1E+99),IF(AND(22&gt;=(3*nLan+1),22&lt;=(9*nLan+8)),D$29,-1E+99),IF(AND(23&gt;=(3*nLan+1),23&lt;=(9*nLan+8)),D$30,-1E+99),IF(AND(24&gt;=(3*nLan+1),24&lt;=(9*nLan+8)),D$31,-1E+99),IF(AND(25&gt;=(3*nLan+1),25&lt;=(9*nLan+8)),D$32,-1E+99),IF(AND(26&gt;=(3*nLan+1),26&lt;=(9*nLan+8)),D$33,-1E+99),IF(AND(27&gt;=(3*nLan+1),27&lt;=(9*nLan+8)),D$34,-1E+99),IF(AND(28&gt;=(3*nLan+1),28&lt;=(9*nLan+8)),D$35,-1E+99),IF(AND(29&gt;=(3*nLan+1),29&lt;=(9*nLan+8)),D$36,-1E+99),IF(AND(30&gt;=(3*nLan+1),30&lt;=(9*nLan+8)),D$37,-1E+99),IF(AND(31&gt;=(3*nLan+1),31&lt;=(9*nLan+8)),D$38,-1E+99),IF(AND(32&gt;=(3*nLan+1),32&lt;=(9*nLan+8)),D$39,-1E+99),IF(AND(33&gt;=(3*nLan+1),33&lt;=(9*nLan+8)),D$40,-1E+99),IF(AND(34&gt;=(3*nLan+1),34&lt;=(9*nLan+8)),D$41,-1E+99),IF(AND(35&gt;=(3*nLan+1),35&lt;=(9*nLan+8)),D$42,-1E+99),IF(AND(36&gt;=(3*nLan+1),36&lt;=(9*nLan+8)),D$43,-1E+99),IF(AND(37&gt;=(3*nLan+1),37&lt;=(9*nLan+8)),D$44,-1E+99),IF(AND(38&gt;=(3*nLan+1),38&lt;=(9*nLan+8)),D$45,-1E+99),IF(AND(39&gt;=(3*nLan+1),39&lt;=(9*nLan+8)),D$46,-1E+99),IF(AND(40&gt;=(3*nLan+1),40&lt;=(9*nLan+8)),D$47,-1E+99),IF(AND(41&gt;=(3*nLan+1),41&lt;=(9*nLan+8)),D$48,-1E+99),IF(AND(42&gt;=(3*nLan+1),42&lt;=(9*nLan+8)),D$49,-1E+99),IF(AND(43&gt;=(3*nLan+1),43&lt;=(9*nLan+8)),D$50,-1E+99),IF(AND(44&gt;=(3*nLan+1),44&lt;=(9*nLan+8)),D$51,-1E+99),IF(AND(45&gt;=(3*nLan+1),45&lt;=(9*nLan+8)),D$52,-1E+99),IF(AND(46&gt;=(3*nLan+1),46&lt;=(9*nLan+8)),D$53,-1E+99),IF(AND(47&gt;=(3*nLan+1),47&lt;=(9*nLan+8)),D$54,-1E+99),IF(AND(48&gt;=(3*nLan+1),48&lt;=(9*nLan+8)),D$55,-1E+99),IF(AND(49&gt;=(3*nLan+1),49&lt;=(9*nLan+8)),D$56,-1E+99),IF(AND(50&gt;=(3*nLan+1),50&lt;=(9*nLan+8)),D$57,-1E+99),IF(AND(51&gt;=(3*nLan+1),51&lt;=(9*nLan+8)),D$58,-1E+99),IF(AND(52&gt;=(3*nLan+1),52&lt;=(9*nLan+8)),D$59,-1E+99),IF(AND(53&gt;=(3*nLan+1),53&lt;=(9*nLan+8)),D$60,-1E+99),IF(AND(54&gt;=(3*nLan+1),54&lt;=(9*nLan+8)),D$61,-1E+99),IF(AND(55&gt;=(3*nLan+1),55&lt;=(9*nLan+8)),D$62,-1E+99),IF(AND(56&gt;=(3*nLan+1),56&lt;=(9*nLan+8)),D$63,-1E+99),IF(AND(57&gt;=(3*nLan+1),57&lt;=(9*nLan+8)),D$64,-1E+99),IF(AND(58&gt;=(3*nLan+1),58&lt;=(9*nLan+8)),D$65,-1E+99),IF(AND(59&gt;=(3*nLan+1),59&lt;=(9*nLan+8)),D$66,-1E+99),IF(AND(60&gt;=(3*nLan+1),60&lt;=(9*nLan+8)),D$67,-1E+99),IF(AND(61&gt;=(3*nLan+1),61&lt;=(9*nLan+8)),D$68,-1E+99),IF(AND(62&gt;=(3*nLan+1),62&lt;=(9*nLan+8)),D$69,-1E+99))</f>
        <v>26585.817752038638</v>
      </c>
      <c r="E71" s="27">
        <f>MAX(IF(AND(1&gt;=(3*nLan+1),1&lt;=(9*nLan+8)),E$8,-1E+99),IF(AND(2&gt;=(3*nLan+1),2&lt;=(9*nLan+8)),E$9,-1E+99),IF(AND(3&gt;=(3*nLan+1),3&lt;=(9*nLan+8)),E$10,-1E+99),IF(AND(4&gt;=(3*nLan+1),4&lt;=(9*nLan+8)),E$11,-1E+99),IF(AND(5&gt;=(3*nLan+1),5&lt;=(9*nLan+8)),E$12,-1E+99),IF(AND(6&gt;=(3*nLan+1),6&lt;=(9*nLan+8)),E$13,-1E+99),IF(AND(7&gt;=(3*nLan+1),7&lt;=(9*nLan+8)),E$14,-1E+99),IF(AND(8&gt;=(3*nLan+1),8&lt;=(9*nLan+8)),E$15,-1E+99),IF(AND(9&gt;=(3*nLan+1),9&lt;=(9*nLan+8)),E$16,-1E+99),IF(AND(10&gt;=(3*nLan+1),10&lt;=(9*nLan+8)),E$17,-1E+99),IF(AND(11&gt;=(3*nLan+1),11&lt;=(9*nLan+8)),E$18,-1E+99),IF(AND(12&gt;=(3*nLan+1),12&lt;=(9*nLan+8)),E$19,-1E+99),IF(AND(13&gt;=(3*nLan+1),13&lt;=(9*nLan+8)),E$20,-1E+99),IF(AND(14&gt;=(3*nLan+1),14&lt;=(9*nLan+8)),E$21,-1E+99),IF(AND(15&gt;=(3*nLan+1),15&lt;=(9*nLan+8)),E$22,-1E+99),IF(AND(16&gt;=(3*nLan+1),16&lt;=(9*nLan+8)),E$23,-1E+99),IF(AND(17&gt;=(3*nLan+1),17&lt;=(9*nLan+8)),E$24,-1E+99),IF(AND(18&gt;=(3*nLan+1),18&lt;=(9*nLan+8)),E$25,-1E+99),IF(AND(19&gt;=(3*nLan+1),19&lt;=(9*nLan+8)),E$26,-1E+99),IF(AND(20&gt;=(3*nLan+1),20&lt;=(9*nLan+8)),E$27,-1E+99),IF(AND(21&gt;=(3*nLan+1),21&lt;=(9*nLan+8)),E$28,-1E+99),IF(AND(22&gt;=(3*nLan+1),22&lt;=(9*nLan+8)),E$29,-1E+99),IF(AND(23&gt;=(3*nLan+1),23&lt;=(9*nLan+8)),E$30,-1E+99),IF(AND(24&gt;=(3*nLan+1),24&lt;=(9*nLan+8)),E$31,-1E+99),IF(AND(25&gt;=(3*nLan+1),25&lt;=(9*nLan+8)),E$32,-1E+99),IF(AND(26&gt;=(3*nLan+1),26&lt;=(9*nLan+8)),E$33,-1E+99),IF(AND(27&gt;=(3*nLan+1),27&lt;=(9*nLan+8)),E$34,-1E+99),IF(AND(28&gt;=(3*nLan+1),28&lt;=(9*nLan+8)),E$35,-1E+99),IF(AND(29&gt;=(3*nLan+1),29&lt;=(9*nLan+8)),E$36,-1E+99),IF(AND(30&gt;=(3*nLan+1),30&lt;=(9*nLan+8)),E$37,-1E+99),IF(AND(31&gt;=(3*nLan+1),31&lt;=(9*nLan+8)),E$38,-1E+99),IF(AND(32&gt;=(3*nLan+1),32&lt;=(9*nLan+8)),E$39,-1E+99),IF(AND(33&gt;=(3*nLan+1),33&lt;=(9*nLan+8)),E$40,-1E+99),IF(AND(34&gt;=(3*nLan+1),34&lt;=(9*nLan+8)),E$41,-1E+99),IF(AND(35&gt;=(3*nLan+1),35&lt;=(9*nLan+8)),E$42,-1E+99),IF(AND(36&gt;=(3*nLan+1),36&lt;=(9*nLan+8)),E$43,-1E+99),IF(AND(37&gt;=(3*nLan+1),37&lt;=(9*nLan+8)),E$44,-1E+99),IF(AND(38&gt;=(3*nLan+1),38&lt;=(9*nLan+8)),E$45,-1E+99),IF(AND(39&gt;=(3*nLan+1),39&lt;=(9*nLan+8)),E$46,-1E+99),IF(AND(40&gt;=(3*nLan+1),40&lt;=(9*nLan+8)),E$47,-1E+99),IF(AND(41&gt;=(3*nLan+1),41&lt;=(9*nLan+8)),E$48,-1E+99),IF(AND(42&gt;=(3*nLan+1),42&lt;=(9*nLan+8)),E$49,-1E+99),IF(AND(43&gt;=(3*nLan+1),43&lt;=(9*nLan+8)),E$50,-1E+99),IF(AND(44&gt;=(3*nLan+1),44&lt;=(9*nLan+8)),E$51,-1E+99),IF(AND(45&gt;=(3*nLan+1),45&lt;=(9*nLan+8)),E$52,-1E+99),IF(AND(46&gt;=(3*nLan+1),46&lt;=(9*nLan+8)),E$53,-1E+99),IF(AND(47&gt;=(3*nLan+1),47&lt;=(9*nLan+8)),E$54,-1E+99),IF(AND(48&gt;=(3*nLan+1),48&lt;=(9*nLan+8)),E$55,-1E+99),IF(AND(49&gt;=(3*nLan+1),49&lt;=(9*nLan+8)),E$56,-1E+99),IF(AND(50&gt;=(3*nLan+1),50&lt;=(9*nLan+8)),E$57,-1E+99),IF(AND(51&gt;=(3*nLan+1),51&lt;=(9*nLan+8)),E$58,-1E+99),IF(AND(52&gt;=(3*nLan+1),52&lt;=(9*nLan+8)),E$59,-1E+99),IF(AND(53&gt;=(3*nLan+1),53&lt;=(9*nLan+8)),E$60,-1E+99),IF(AND(54&gt;=(3*nLan+1),54&lt;=(9*nLan+8)),E$61,-1E+99),IF(AND(55&gt;=(3*nLan+1),55&lt;=(9*nLan+8)),E$62,-1E+99),IF(AND(56&gt;=(3*nLan+1),56&lt;=(9*nLan+8)),E$63,-1E+99),IF(AND(57&gt;=(3*nLan+1),57&lt;=(9*nLan+8)),E$64,-1E+99),IF(AND(58&gt;=(3*nLan+1),58&lt;=(9*nLan+8)),E$65,-1E+99),IF(AND(59&gt;=(3*nLan+1),59&lt;=(9*nLan+8)),E$66,-1E+99),IF(AND(60&gt;=(3*nLan+1),60&lt;=(9*nLan+8)),E$67,-1E+99),IF(AND(61&gt;=(3*nLan+1),61&lt;=(9*nLan+8)),E$68,-1E+99),IF(AND(62&gt;=(3*nLan+1),62&lt;=(9*nLan+8)),E$69,-1E+99))</f>
        <v>11599.960698456676</v>
      </c>
      <c r="F71" s="27">
        <f>MAX(IF(AND(1&gt;=(3*nLan+1),1&lt;=(9*nLan+8)),F$8,-1E+99),IF(AND(2&gt;=(3*nLan+1),2&lt;=(9*nLan+8)),F$9,-1E+99),IF(AND(3&gt;=(3*nLan+1),3&lt;=(9*nLan+8)),F$10,-1E+99),IF(AND(4&gt;=(3*nLan+1),4&lt;=(9*nLan+8)),F$11,-1E+99),IF(AND(5&gt;=(3*nLan+1),5&lt;=(9*nLan+8)),F$12,-1E+99),IF(AND(6&gt;=(3*nLan+1),6&lt;=(9*nLan+8)),F$13,-1E+99),IF(AND(7&gt;=(3*nLan+1),7&lt;=(9*nLan+8)),F$14,-1E+99),IF(AND(8&gt;=(3*nLan+1),8&lt;=(9*nLan+8)),F$15,-1E+99),IF(AND(9&gt;=(3*nLan+1),9&lt;=(9*nLan+8)),F$16,-1E+99),IF(AND(10&gt;=(3*nLan+1),10&lt;=(9*nLan+8)),F$17,-1E+99),IF(AND(11&gt;=(3*nLan+1),11&lt;=(9*nLan+8)),F$18,-1E+99),IF(AND(12&gt;=(3*nLan+1),12&lt;=(9*nLan+8)),F$19,-1E+99),IF(AND(13&gt;=(3*nLan+1),13&lt;=(9*nLan+8)),F$20,-1E+99),IF(AND(14&gt;=(3*nLan+1),14&lt;=(9*nLan+8)),F$21,-1E+99),IF(AND(15&gt;=(3*nLan+1),15&lt;=(9*nLan+8)),F$22,-1E+99),IF(AND(16&gt;=(3*nLan+1),16&lt;=(9*nLan+8)),F$23,-1E+99),IF(AND(17&gt;=(3*nLan+1),17&lt;=(9*nLan+8)),F$24,-1E+99),IF(AND(18&gt;=(3*nLan+1),18&lt;=(9*nLan+8)),F$25,-1E+99),IF(AND(19&gt;=(3*nLan+1),19&lt;=(9*nLan+8)),F$26,-1E+99),IF(AND(20&gt;=(3*nLan+1),20&lt;=(9*nLan+8)),F$27,-1E+99),IF(AND(21&gt;=(3*nLan+1),21&lt;=(9*nLan+8)),F$28,-1E+99),IF(AND(22&gt;=(3*nLan+1),22&lt;=(9*nLan+8)),F$29,-1E+99),IF(AND(23&gt;=(3*nLan+1),23&lt;=(9*nLan+8)),F$30,-1E+99),IF(AND(24&gt;=(3*nLan+1),24&lt;=(9*nLan+8)),F$31,-1E+99),IF(AND(25&gt;=(3*nLan+1),25&lt;=(9*nLan+8)),F$32,-1E+99),IF(AND(26&gt;=(3*nLan+1),26&lt;=(9*nLan+8)),F$33,-1E+99),IF(AND(27&gt;=(3*nLan+1),27&lt;=(9*nLan+8)),F$34,-1E+99),IF(AND(28&gt;=(3*nLan+1),28&lt;=(9*nLan+8)),F$35,-1E+99),IF(AND(29&gt;=(3*nLan+1),29&lt;=(9*nLan+8)),F$36,-1E+99),IF(AND(30&gt;=(3*nLan+1),30&lt;=(9*nLan+8)),F$37,-1E+99),IF(AND(31&gt;=(3*nLan+1),31&lt;=(9*nLan+8)),F$38,-1E+99),IF(AND(32&gt;=(3*nLan+1),32&lt;=(9*nLan+8)),F$39,-1E+99),IF(AND(33&gt;=(3*nLan+1),33&lt;=(9*nLan+8)),F$40,-1E+99),IF(AND(34&gt;=(3*nLan+1),34&lt;=(9*nLan+8)),F$41,-1E+99),IF(AND(35&gt;=(3*nLan+1),35&lt;=(9*nLan+8)),F$42,-1E+99),IF(AND(36&gt;=(3*nLan+1),36&lt;=(9*nLan+8)),F$43,-1E+99),IF(AND(37&gt;=(3*nLan+1),37&lt;=(9*nLan+8)),F$44,-1E+99),IF(AND(38&gt;=(3*nLan+1),38&lt;=(9*nLan+8)),F$45,-1E+99),IF(AND(39&gt;=(3*nLan+1),39&lt;=(9*nLan+8)),F$46,-1E+99),IF(AND(40&gt;=(3*nLan+1),40&lt;=(9*nLan+8)),F$47,-1E+99),IF(AND(41&gt;=(3*nLan+1),41&lt;=(9*nLan+8)),F$48,-1E+99),IF(AND(42&gt;=(3*nLan+1),42&lt;=(9*nLan+8)),F$49,-1E+99),IF(AND(43&gt;=(3*nLan+1),43&lt;=(9*nLan+8)),F$50,-1E+99),IF(AND(44&gt;=(3*nLan+1),44&lt;=(9*nLan+8)),F$51,-1E+99),IF(AND(45&gt;=(3*nLan+1),45&lt;=(9*nLan+8)),F$52,-1E+99),IF(AND(46&gt;=(3*nLan+1),46&lt;=(9*nLan+8)),F$53,-1E+99),IF(AND(47&gt;=(3*nLan+1),47&lt;=(9*nLan+8)),F$54,-1E+99),IF(AND(48&gt;=(3*nLan+1),48&lt;=(9*nLan+8)),F$55,-1E+99),IF(AND(49&gt;=(3*nLan+1),49&lt;=(9*nLan+8)),F$56,-1E+99),IF(AND(50&gt;=(3*nLan+1),50&lt;=(9*nLan+8)),F$57,-1E+99),IF(AND(51&gt;=(3*nLan+1),51&lt;=(9*nLan+8)),F$58,-1E+99),IF(AND(52&gt;=(3*nLan+1),52&lt;=(9*nLan+8)),F$59,-1E+99),IF(AND(53&gt;=(3*nLan+1),53&lt;=(9*nLan+8)),F$60,-1E+99),IF(AND(54&gt;=(3*nLan+1),54&lt;=(9*nLan+8)),F$61,-1E+99),IF(AND(55&gt;=(3*nLan+1),55&lt;=(9*nLan+8)),F$62,-1E+99),IF(AND(56&gt;=(3*nLan+1),56&lt;=(9*nLan+8)),F$63,-1E+99),IF(AND(57&gt;=(3*nLan+1),57&lt;=(9*nLan+8)),F$64,-1E+99),IF(AND(58&gt;=(3*nLan+1),58&lt;=(9*nLan+8)),F$65,-1E+99),IF(AND(59&gt;=(3*nLan+1),59&lt;=(9*nLan+8)),F$66,-1E+99),IF(AND(60&gt;=(3*nLan+1),60&lt;=(9*nLan+8)),F$67,-1E+99),IF(AND(61&gt;=(3*nLan+1),61&lt;=(9*nLan+8)),F$68,-1E+99),IF(AND(62&gt;=(3*nLan+1),62&lt;=(9*nLan+8)),F$69,-1E+99))</f>
        <v>11599.960698456676</v>
      </c>
    </row>
    <row r="72" spans="2:6" x14ac:dyDescent="0.3">
      <c r="B72" s="28" t="s">
        <v>1007</v>
      </c>
      <c r="D72" s="27">
        <f>MAX(IF(AND(1&gt;=(1),1&lt;=(3*nLan)),D$8,-1E+99),IF(AND(2&gt;=(1),2&lt;=(3*nLan)),D$9,-1E+99),IF(AND(3&gt;=(1),3&lt;=(3*nLan)),D$10,-1E+99),IF(AND(4&gt;=(1),4&lt;=(3*nLan)),D$11,-1E+99),IF(AND(5&gt;=(1),5&lt;=(3*nLan)),D$12,-1E+99),IF(AND(6&gt;=(1),6&lt;=(3*nLan)),D$13,-1E+99),IF(AND(7&gt;=(1),7&lt;=(3*nLan)),D$14,-1E+99),IF(AND(8&gt;=(1),8&lt;=(3*nLan)),D$15,-1E+99),IF(AND(9&gt;=(1),9&lt;=(3*nLan)),D$16,-1E+99),IF(AND(10&gt;=(1),10&lt;=(3*nLan)),D$17,-1E+99),IF(AND(11&gt;=(1),11&lt;=(3*nLan)),D$18,-1E+99),IF(AND(12&gt;=(1),12&lt;=(3*nLan)),D$19,-1E+99),IF(AND(13&gt;=(1),13&lt;=(3*nLan)),D$20,-1E+99),IF(AND(14&gt;=(1),14&lt;=(3*nLan)),D$21,-1E+99),IF(AND(15&gt;=(1),15&lt;=(3*nLan)),D$22,-1E+99),IF(AND(16&gt;=(1),16&lt;=(3*nLan)),D$23,-1E+99),IF(AND(17&gt;=(1),17&lt;=(3*nLan)),D$24,-1E+99),IF(AND(18&gt;=(1),18&lt;=(3*nLan)),D$25,-1E+99),IF(AND(19&gt;=(1),19&lt;=(3*nLan)),D$26,-1E+99),IF(AND(20&gt;=(1),20&lt;=(3*nLan)),D$27,-1E+99),IF(AND(21&gt;=(1),21&lt;=(3*nLan)),D$28,-1E+99),IF(AND(22&gt;=(1),22&lt;=(3*nLan)),D$29,-1E+99),IF(AND(23&gt;=(1),23&lt;=(3*nLan)),D$30,-1E+99),IF(AND(24&gt;=(1),24&lt;=(3*nLan)),D$31,-1E+99),IF(AND(25&gt;=(1),25&lt;=(3*nLan)),D$32,-1E+99),IF(AND(26&gt;=(1),26&lt;=(3*nLan)),D$33,-1E+99),IF(AND(27&gt;=(1),27&lt;=(3*nLan)),D$34,-1E+99),IF(AND(28&gt;=(1),28&lt;=(3*nLan)),D$35,-1E+99),IF(AND(29&gt;=(1),29&lt;=(3*nLan)),D$36,-1E+99),IF(AND(30&gt;=(1),30&lt;=(3*nLan)),D$37,-1E+99),IF(AND(31&gt;=(1),31&lt;=(3*nLan)),D$38,-1E+99),IF(AND(32&gt;=(1),32&lt;=(3*nLan)),D$39,-1E+99),IF(AND(33&gt;=(1),33&lt;=(3*nLan)),D$40,-1E+99),IF(AND(34&gt;=(1),34&lt;=(3*nLan)),D$41,-1E+99),IF(AND(35&gt;=(1),35&lt;=(3*nLan)),D$42,-1E+99),IF(AND(36&gt;=(1),36&lt;=(3*nLan)),D$43,-1E+99),IF(AND(37&gt;=(1),37&lt;=(3*nLan)),D$44,-1E+99),IF(AND(38&gt;=(1),38&lt;=(3*nLan)),D$45,-1E+99),IF(AND(39&gt;=(1),39&lt;=(3*nLan)),D$46,-1E+99),IF(AND(40&gt;=(1),40&lt;=(3*nLan)),D$47,-1E+99),IF(AND(41&gt;=(1),41&lt;=(3*nLan)),D$48,-1E+99),IF(AND(42&gt;=(1),42&lt;=(3*nLan)),D$49,-1E+99),IF(AND(43&gt;=(1),43&lt;=(3*nLan)),D$50,-1E+99),IF(AND(44&gt;=(1),44&lt;=(3*nLan)),D$51,-1E+99),IF(AND(45&gt;=(1),45&lt;=(3*nLan)),D$52,-1E+99),IF(AND(46&gt;=(1),46&lt;=(3*nLan)),D$53,-1E+99),IF(AND(47&gt;=(1),47&lt;=(3*nLan)),D$54,-1E+99),IF(AND(48&gt;=(1),48&lt;=(3*nLan)),D$55,-1E+99),IF(AND(49&gt;=(1),49&lt;=(3*nLan)),D$56,-1E+99),IF(AND(50&gt;=(1),50&lt;=(3*nLan)),D$57,-1E+99),IF(AND(51&gt;=(1),51&lt;=(3*nLan)),D$58,-1E+99),IF(AND(52&gt;=(1),52&lt;=(3*nLan)),D$59,-1E+99),IF(AND(53&gt;=(1),53&lt;=(3*nLan)),D$60,-1E+99),IF(AND(54&gt;=(1),54&lt;=(3*nLan)),D$61,-1E+99),IF(AND(55&gt;=(1),55&lt;=(3*nLan)),D$62,-1E+99),IF(AND(56&gt;=(1),56&lt;=(3*nLan)),D$63,-1E+99),IF(AND(57&gt;=(1),57&lt;=(3*nLan)),D$64,-1E+99),IF(AND(58&gt;=(1),58&lt;=(3*nLan)),D$65,-1E+99),IF(AND(59&gt;=(1),59&lt;=(3*nLan)),D$66,-1E+99),IF(AND(60&gt;=(1),60&lt;=(3*nLan)),D$67,-1E+99),IF(AND(61&gt;=(1),61&lt;=(3*nLan)),D$68,-1E+99),IF(AND(62&gt;=(1),62&lt;=(3*nLan)),D$69,-1E+99))</f>
        <v>25190.592570114721</v>
      </c>
      <c r="F72" s="27">
        <f>MAX(IF(AND(1&gt;=(1),1&lt;=(3*nLan)),F$8,-1E+99),IF(AND(2&gt;=(1),2&lt;=(3*nLan)),F$9,-1E+99),IF(AND(3&gt;=(1),3&lt;=(3*nLan)),F$10,-1E+99),IF(AND(4&gt;=(1),4&lt;=(3*nLan)),F$11,-1E+99),IF(AND(5&gt;=(1),5&lt;=(3*nLan)),F$12,-1E+99),IF(AND(6&gt;=(1),6&lt;=(3*nLan)),F$13,-1E+99),IF(AND(7&gt;=(1),7&lt;=(3*nLan)),F$14,-1E+99),IF(AND(8&gt;=(1),8&lt;=(3*nLan)),F$15,-1E+99),IF(AND(9&gt;=(1),9&lt;=(3*nLan)),F$16,-1E+99),IF(AND(10&gt;=(1),10&lt;=(3*nLan)),F$17,-1E+99),IF(AND(11&gt;=(1),11&lt;=(3*nLan)),F$18,-1E+99),IF(AND(12&gt;=(1),12&lt;=(3*nLan)),F$19,-1E+99),IF(AND(13&gt;=(1),13&lt;=(3*nLan)),F$20,-1E+99),IF(AND(14&gt;=(1),14&lt;=(3*nLan)),F$21,-1E+99),IF(AND(15&gt;=(1),15&lt;=(3*nLan)),F$22,-1E+99),IF(AND(16&gt;=(1),16&lt;=(3*nLan)),F$23,-1E+99),IF(AND(17&gt;=(1),17&lt;=(3*nLan)),F$24,-1E+99),IF(AND(18&gt;=(1),18&lt;=(3*nLan)),F$25,-1E+99),IF(AND(19&gt;=(1),19&lt;=(3*nLan)),F$26,-1E+99),IF(AND(20&gt;=(1),20&lt;=(3*nLan)),F$27,-1E+99),IF(AND(21&gt;=(1),21&lt;=(3*nLan)),F$28,-1E+99),IF(AND(22&gt;=(1),22&lt;=(3*nLan)),F$29,-1E+99),IF(AND(23&gt;=(1),23&lt;=(3*nLan)),F$30,-1E+99),IF(AND(24&gt;=(1),24&lt;=(3*nLan)),F$31,-1E+99),IF(AND(25&gt;=(1),25&lt;=(3*nLan)),F$32,-1E+99),IF(AND(26&gt;=(1),26&lt;=(3*nLan)),F$33,-1E+99),IF(AND(27&gt;=(1),27&lt;=(3*nLan)),F$34,-1E+99),IF(AND(28&gt;=(1),28&lt;=(3*nLan)),F$35,-1E+99),IF(AND(29&gt;=(1),29&lt;=(3*nLan)),F$36,-1E+99),IF(AND(30&gt;=(1),30&lt;=(3*nLan)),F$37,-1E+99),IF(AND(31&gt;=(1),31&lt;=(3*nLan)),F$38,-1E+99),IF(AND(32&gt;=(1),32&lt;=(3*nLan)),F$39,-1E+99),IF(AND(33&gt;=(1),33&lt;=(3*nLan)),F$40,-1E+99),IF(AND(34&gt;=(1),34&lt;=(3*nLan)),F$41,-1E+99),IF(AND(35&gt;=(1),35&lt;=(3*nLan)),F$42,-1E+99),IF(AND(36&gt;=(1),36&lt;=(3*nLan)),F$43,-1E+99),IF(AND(37&gt;=(1),37&lt;=(3*nLan)),F$44,-1E+99),IF(AND(38&gt;=(1),38&lt;=(3*nLan)),F$45,-1E+99),IF(AND(39&gt;=(1),39&lt;=(3*nLan)),F$46,-1E+99),IF(AND(40&gt;=(1),40&lt;=(3*nLan)),F$47,-1E+99),IF(AND(41&gt;=(1),41&lt;=(3*nLan)),F$48,-1E+99),IF(AND(42&gt;=(1),42&lt;=(3*nLan)),F$49,-1E+99),IF(AND(43&gt;=(1),43&lt;=(3*nLan)),F$50,-1E+99),IF(AND(44&gt;=(1),44&lt;=(3*nLan)),F$51,-1E+99),IF(AND(45&gt;=(1),45&lt;=(3*nLan)),F$52,-1E+99),IF(AND(46&gt;=(1),46&lt;=(3*nLan)),F$53,-1E+99),IF(AND(47&gt;=(1),47&lt;=(3*nLan)),F$54,-1E+99),IF(AND(48&gt;=(1),48&lt;=(3*nLan)),F$55,-1E+99),IF(AND(49&gt;=(1),49&lt;=(3*nLan)),F$56,-1E+99),IF(AND(50&gt;=(1),50&lt;=(3*nLan)),F$57,-1E+99),IF(AND(51&gt;=(1),51&lt;=(3*nLan)),F$58,-1E+99),IF(AND(52&gt;=(1),52&lt;=(3*nLan)),F$59,-1E+99),IF(AND(53&gt;=(1),53&lt;=(3*nLan)),F$60,-1E+99),IF(AND(54&gt;=(1),54&lt;=(3*nLan)),F$61,-1E+99),IF(AND(55&gt;=(1),55&lt;=(3*nLan)),F$62,-1E+99),IF(AND(56&gt;=(1),56&lt;=(3*nLan)),F$63,-1E+99),IF(AND(57&gt;=(1),57&lt;=(3*nLan)),F$64,-1E+99),IF(AND(58&gt;=(1),58&lt;=(3*nLan)),F$65,-1E+99),IF(AND(59&gt;=(1),59&lt;=(3*nLan)),F$66,-1E+99),IF(AND(60&gt;=(1),60&lt;=(3*nLan)),F$67,-1E+99),IF(AND(61&gt;=(1),61&lt;=(3*nLan)),F$68,-1E+99),IF(AND(62&gt;=(1),62&lt;=(3*nLan)),F$69,-1E+99))</f>
        <v>856.08629947490454</v>
      </c>
    </row>
    <row r="74" spans="2:6" x14ac:dyDescent="0.3">
      <c r="B74" s="5" t="s">
        <v>1008</v>
      </c>
    </row>
    <row r="75" spans="2:6" x14ac:dyDescent="0.3">
      <c r="B75" s="7" t="s">
        <v>913</v>
      </c>
      <c r="D75" s="25">
        <f>Cbe*1000</f>
        <v>11400</v>
      </c>
    </row>
    <row r="76" spans="2:6" x14ac:dyDescent="0.3">
      <c r="B76" s="7" t="s">
        <v>914</v>
      </c>
      <c r="D76" s="25">
        <f>Hbe*1000</f>
        <v>2000</v>
      </c>
    </row>
    <row r="77" spans="2:6" x14ac:dyDescent="0.3">
      <c r="B77" s="7" t="s">
        <v>915</v>
      </c>
      <c r="D77" s="15">
        <v>150</v>
      </c>
      <c r="E77" s="7" t="s">
        <v>323</v>
      </c>
    </row>
    <row r="78" spans="2:6" x14ac:dyDescent="0.3">
      <c r="B78" s="7" t="s">
        <v>916</v>
      </c>
      <c r="D78" s="15">
        <v>32</v>
      </c>
      <c r="E78" s="7" t="s">
        <v>323</v>
      </c>
    </row>
    <row r="79" spans="2:6" x14ac:dyDescent="0.3">
      <c r="B79" s="7" t="s">
        <v>917</v>
      </c>
      <c r="D79" s="15">
        <v>150</v>
      </c>
      <c r="E79" s="7" t="s">
        <v>323</v>
      </c>
    </row>
    <row r="80" spans="2:6" x14ac:dyDescent="0.3">
      <c r="B80" s="7" t="s">
        <v>918</v>
      </c>
      <c r="D80" s="25">
        <f>PI()*D78^2/4*D75/D79</f>
        <v>61122.826668243011</v>
      </c>
    </row>
    <row r="81" spans="2:6" x14ac:dyDescent="0.3">
      <c r="B81" s="7" t="s">
        <v>919</v>
      </c>
      <c r="D81" s="25">
        <f>D76-D77</f>
        <v>1850</v>
      </c>
    </row>
    <row r="82" spans="2:6" x14ac:dyDescent="0.3">
      <c r="B82" s="7" t="s">
        <v>920</v>
      </c>
      <c r="D82" s="27">
        <f>MAX(D71,F71)</f>
        <v>26585.817752038638</v>
      </c>
      <c r="E82" s="7" t="s">
        <v>813</v>
      </c>
    </row>
    <row r="83" spans="2:6" x14ac:dyDescent="0.3">
      <c r="B83" s="7" t="s">
        <v>921</v>
      </c>
      <c r="D83" s="27">
        <f>MAX(C71,E71)</f>
        <v>26585.817752038638</v>
      </c>
      <c r="E83" s="7" t="s">
        <v>72</v>
      </c>
    </row>
    <row r="84" spans="2:6" x14ac:dyDescent="0.3">
      <c r="B84" s="7" t="s">
        <v>922</v>
      </c>
      <c r="D84" s="27">
        <f>MAX(D72,F72)</f>
        <v>25190.592570114721</v>
      </c>
      <c r="E84" s="7" t="s">
        <v>813</v>
      </c>
    </row>
    <row r="85" spans="2:6" x14ac:dyDescent="0.3">
      <c r="B85" s="7" t="s">
        <v>923</v>
      </c>
      <c r="D85" s="16">
        <f>MAX(0.65,MIN(0.85,0.85-0.05*(fc_-28)/7))</f>
        <v>0.83571428571428574</v>
      </c>
    </row>
    <row r="86" spans="2:6" x14ac:dyDescent="0.3">
      <c r="B86" s="7" t="s">
        <v>924</v>
      </c>
      <c r="D86" s="27">
        <f>D80*fy_/(0.85*fc_*D75)</f>
        <v>84.104336660809096</v>
      </c>
    </row>
    <row r="87" spans="2:6" x14ac:dyDescent="0.3">
      <c r="B87" s="7" t="s">
        <v>925</v>
      </c>
      <c r="D87" s="27">
        <f>D86/D85</f>
        <v>100.63766779925875</v>
      </c>
    </row>
    <row r="88" spans="2:6" x14ac:dyDescent="0.3">
      <c r="B88" s="7" t="s">
        <v>926</v>
      </c>
      <c r="D88" s="34">
        <f>0.003*(D81-D87)/D87</f>
        <v>5.2148336814308395E-2</v>
      </c>
    </row>
    <row r="89" spans="2:6" x14ac:dyDescent="0.3">
      <c r="B89" s="7" t="s">
        <v>927</v>
      </c>
      <c r="D89" s="16">
        <f>MIN(0.9,MAX(0.75,0.75+0.15*(D88-0.002)/0.003))</f>
        <v>0.9</v>
      </c>
    </row>
    <row r="90" spans="2:6" x14ac:dyDescent="0.3">
      <c r="B90" s="7" t="s">
        <v>928</v>
      </c>
      <c r="D90" s="23">
        <f>D80*fy_*(D81-D86/2)/10^6</f>
        <v>44202.752776146583</v>
      </c>
      <c r="E90" s="7" t="s">
        <v>813</v>
      </c>
    </row>
    <row r="91" spans="2:6" x14ac:dyDescent="0.3">
      <c r="B91" s="7" t="s">
        <v>929</v>
      </c>
      <c r="D91" s="27">
        <f>D89*D90</f>
        <v>39782.477498531924</v>
      </c>
      <c r="E91" s="7" t="s">
        <v>813</v>
      </c>
    </row>
    <row r="92" spans="2:6" x14ac:dyDescent="0.3">
      <c r="B92" s="7" t="s">
        <v>863</v>
      </c>
      <c r="D92" s="28" t="str">
        <f>IF(D91&gt;=D82,"ĐẠT","KHÔNG ĐẠT")</f>
        <v>ĐẠT</v>
      </c>
      <c r="E92" s="13">
        <f>IF(D82=0,"",D91/D82)</f>
        <v>1.496379681436782</v>
      </c>
    </row>
    <row r="93" spans="2:6" x14ac:dyDescent="0.3">
      <c r="B93" s="7" t="s">
        <v>930</v>
      </c>
      <c r="D93" s="23">
        <f>1.07*fr_*D75*D76^2/6/10^6</f>
        <v>28060.702977081677</v>
      </c>
      <c r="E93" s="7" t="s">
        <v>813</v>
      </c>
      <c r="F93" s="12" t="s">
        <v>931</v>
      </c>
    </row>
    <row r="94" spans="2:6" x14ac:dyDescent="0.3">
      <c r="B94" s="7" t="s">
        <v>866</v>
      </c>
      <c r="D94" s="28" t="str">
        <f>IF(D91&gt;=MIN(D93,1.33*D82),"ĐẠT","KHÔNG ĐẠT")</f>
        <v>ĐẠT</v>
      </c>
    </row>
    <row r="95" spans="2:6" x14ac:dyDescent="0.3">
      <c r="B95" s="7" t="s">
        <v>932</v>
      </c>
      <c r="D95" s="11">
        <v>1</v>
      </c>
    </row>
    <row r="96" spans="2:6" x14ac:dyDescent="0.3">
      <c r="B96" s="7" t="s">
        <v>878</v>
      </c>
      <c r="D96" s="13">
        <f>Es_/Ec_</f>
        <v>6.3796799429981235</v>
      </c>
    </row>
    <row r="97" spans="2:6" x14ac:dyDescent="0.3">
      <c r="B97" s="7" t="s">
        <v>879</v>
      </c>
      <c r="D97" s="34">
        <f>D80/(D75*D81)</f>
        <v>2.8981899795278809E-3</v>
      </c>
    </row>
    <row r="98" spans="2:6" x14ac:dyDescent="0.3">
      <c r="B98" s="7" t="s">
        <v>880</v>
      </c>
      <c r="D98" s="16">
        <f>SQRT(2*D97*D96+(D97*D96)^2)-D97*D96</f>
        <v>0.17469668486501419</v>
      </c>
    </row>
    <row r="99" spans="2:6" x14ac:dyDescent="0.3">
      <c r="B99" s="7" t="s">
        <v>881</v>
      </c>
      <c r="D99" s="16">
        <f>1-D98/3</f>
        <v>0.94176777171166193</v>
      </c>
    </row>
    <row r="100" spans="2:6" x14ac:dyDescent="0.3">
      <c r="B100" s="7" t="s">
        <v>933</v>
      </c>
      <c r="D100" s="23">
        <f>D84*10^6/(D80*D99*D81)</f>
        <v>236.54806548671166</v>
      </c>
      <c r="E100" s="7" t="s">
        <v>160</v>
      </c>
      <c r="F100" s="12" t="s">
        <v>934</v>
      </c>
    </row>
    <row r="101" spans="2:6" x14ac:dyDescent="0.3">
      <c r="B101" s="7" t="s">
        <v>935</v>
      </c>
      <c r="D101" s="16">
        <f>1+D77/(0.7*(D76-D77))</f>
        <v>1.1158301158301158</v>
      </c>
    </row>
    <row r="102" spans="2:6" x14ac:dyDescent="0.3">
      <c r="B102" s="7" t="s">
        <v>936</v>
      </c>
      <c r="D102" s="23">
        <f>IF(D100&lt;=0,9999,123000*D95/(D101*D100)-2*D77)</f>
        <v>166.00184061208057</v>
      </c>
      <c r="E102" s="7" t="s">
        <v>323</v>
      </c>
      <c r="F102" s="12" t="s">
        <v>937</v>
      </c>
    </row>
    <row r="103" spans="2:6" x14ac:dyDescent="0.3">
      <c r="B103" s="7" t="s">
        <v>938</v>
      </c>
      <c r="D103" s="28" t="str">
        <f>IF(AND(D100&lt;=0.6*fy_,D79&lt;=D102),"ĐẠT","KHÔNG ĐẠT")</f>
        <v>ĐẠT</v>
      </c>
      <c r="E103" s="13">
        <f>IF(D100=0,"",D100/(0.6*fy_))</f>
        <v>0.98561693952796525</v>
      </c>
    </row>
    <row r="104" spans="2:6" x14ac:dyDescent="0.3">
      <c r="B104" s="7" t="s">
        <v>939</v>
      </c>
      <c r="D104" s="15">
        <f>INT(D75/D106)</f>
        <v>38</v>
      </c>
      <c r="E104" s="7" t="s">
        <v>940</v>
      </c>
      <c r="F104" s="12" t="s">
        <v>941</v>
      </c>
    </row>
    <row r="105" spans="2:6" x14ac:dyDescent="0.3">
      <c r="B105" s="7" t="s">
        <v>942</v>
      </c>
      <c r="D105" s="15">
        <v>18</v>
      </c>
      <c r="E105" s="7" t="s">
        <v>323</v>
      </c>
    </row>
    <row r="106" spans="2:6" x14ac:dyDescent="0.3">
      <c r="B106" s="7" t="s">
        <v>943</v>
      </c>
      <c r="D106" s="15">
        <v>300</v>
      </c>
      <c r="E106" s="7" t="s">
        <v>323</v>
      </c>
    </row>
    <row r="107" spans="2:6" x14ac:dyDescent="0.3">
      <c r="B107" s="7" t="s">
        <v>944</v>
      </c>
      <c r="D107" s="25">
        <f>D104*PI()*D105^2/4</f>
        <v>9669.8221877493834</v>
      </c>
    </row>
    <row r="108" spans="2:6" x14ac:dyDescent="0.3">
      <c r="B108" s="7" t="s">
        <v>945</v>
      </c>
      <c r="D108" s="25">
        <f>0.083*SQRT(fc_)*D75*D106/fy_</f>
        <v>3886.9131293354112</v>
      </c>
    </row>
    <row r="109" spans="2:6" x14ac:dyDescent="0.3">
      <c r="B109" s="7" t="s">
        <v>946</v>
      </c>
      <c r="D109" s="27">
        <f>MAX(D81-D86/2,0.9*D81,0.72*D76)</f>
        <v>1807.9478316695954</v>
      </c>
    </row>
    <row r="110" spans="2:6" x14ac:dyDescent="0.3">
      <c r="B110" s="7" t="s">
        <v>947</v>
      </c>
      <c r="D110" s="34">
        <f>MAX(0,(MAX(D82*10^6,D83*1000*D109)/D109+D83*1000)/(Es_*D80))</f>
        <v>4.3495726885045341E-3</v>
      </c>
      <c r="E110" s="7" t="s">
        <v>948</v>
      </c>
    </row>
    <row r="111" spans="2:6" x14ac:dyDescent="0.3">
      <c r="B111" s="7" t="s">
        <v>949</v>
      </c>
      <c r="D111" s="27">
        <f>MIN(2000,MAX(300,D109*35/36))</f>
        <v>1757.7270585676622</v>
      </c>
    </row>
    <row r="112" spans="2:6" x14ac:dyDescent="0.3">
      <c r="B112" s="7" t="s">
        <v>950</v>
      </c>
      <c r="D112" s="16">
        <f>IF(D107&gt;=D108,4.8/(1+750*D110),4.8/(1+750*D110)*1300/(1000+D111))</f>
        <v>1.1261843809147176</v>
      </c>
    </row>
    <row r="113" spans="2:6" x14ac:dyDescent="0.3">
      <c r="B113" s="7" t="s">
        <v>951</v>
      </c>
      <c r="D113" s="27">
        <f>29+3500*D110</f>
        <v>44.223504409765866</v>
      </c>
    </row>
    <row r="114" spans="2:6" x14ac:dyDescent="0.3">
      <c r="B114" s="7" t="s">
        <v>952</v>
      </c>
      <c r="D114" s="23">
        <f>0.083*D112*SQRT(fc_)*D75*D109/1000</f>
        <v>10552.101636550431</v>
      </c>
      <c r="E114" s="7" t="s">
        <v>72</v>
      </c>
    </row>
    <row r="115" spans="2:6" x14ac:dyDescent="0.3">
      <c r="B115" s="7" t="s">
        <v>953</v>
      </c>
      <c r="D115" s="23">
        <f>IF(D107&gt;=D108,D107*fy_*D109/(TAN(RADIANS(D113))*D106)/1000,0)</f>
        <v>23950.5797422588</v>
      </c>
      <c r="E115" s="7" t="s">
        <v>72</v>
      </c>
      <c r="F115" s="12" t="s">
        <v>954</v>
      </c>
    </row>
    <row r="116" spans="2:6" x14ac:dyDescent="0.3">
      <c r="B116" s="7" t="s">
        <v>955</v>
      </c>
      <c r="D116" s="23">
        <f>MIN(D114+D115,0.25*fc_*D75*D109/1000)</f>
        <v>34502.681378809233</v>
      </c>
      <c r="E116" s="7" t="s">
        <v>72</v>
      </c>
    </row>
    <row r="117" spans="2:6" x14ac:dyDescent="0.3">
      <c r="B117" s="7" t="s">
        <v>956</v>
      </c>
      <c r="D117" s="27">
        <f>0.9*D116</f>
        <v>31052.413240928312</v>
      </c>
      <c r="E117" s="7" t="s">
        <v>72</v>
      </c>
    </row>
    <row r="118" spans="2:6" x14ac:dyDescent="0.3">
      <c r="B118" s="7" t="s">
        <v>957</v>
      </c>
      <c r="D118" s="28" t="str">
        <f>IF(AND(D117&gt;=D83,OR(D83&lt;=0.5*0.9*D114,D107&gt;=D108)),"ĐẠT","KHÔNG ĐẠT")</f>
        <v>ĐẠT</v>
      </c>
      <c r="E118" s="13">
        <f>IF(D83=0,"",D117/D83)</f>
        <v>1.1680066993067073</v>
      </c>
    </row>
    <row r="119" spans="2:6" x14ac:dyDescent="0.3">
      <c r="B119" s="7" t="s">
        <v>958</v>
      </c>
      <c r="D119" s="33">
        <f>D83*1000/(0.9*D75*D109)</f>
        <v>1.433232896340445</v>
      </c>
    </row>
    <row r="120" spans="2:6" x14ac:dyDescent="0.3">
      <c r="B120" s="7" t="s">
        <v>959</v>
      </c>
      <c r="D120" s="27">
        <f>IF(D119&lt;0.125*fc_,MIN(0.8*D109,600),MIN(0.4*D109,300))</f>
        <v>600</v>
      </c>
      <c r="E120" s="7" t="s">
        <v>960</v>
      </c>
    </row>
    <row r="121" spans="2:6" x14ac:dyDescent="0.3">
      <c r="B121" s="7" t="s">
        <v>961</v>
      </c>
      <c r="D121" s="28" t="str">
        <f>IF(OR(D104=0,D106&lt;=D120),"ĐẠT","KHÔNG ĐẠT")</f>
        <v>ĐẠT</v>
      </c>
    </row>
    <row r="122" spans="2:6" x14ac:dyDescent="0.3">
      <c r="B122" s="7" t="s">
        <v>962</v>
      </c>
      <c r="D122" s="33">
        <f>MIN(1.27,MAX(0.233,0.75*D75*D76/(2*(D75+D76)*fy_)))</f>
        <v>1.27</v>
      </c>
      <c r="E122" s="7" t="s">
        <v>963</v>
      </c>
    </row>
    <row r="123" spans="2:6" x14ac:dyDescent="0.3">
      <c r="B123" s="7" t="s">
        <v>964</v>
      </c>
      <c r="D123" s="15">
        <v>20</v>
      </c>
      <c r="E123" s="7" t="s">
        <v>323</v>
      </c>
    </row>
    <row r="124" spans="2:6" x14ac:dyDescent="0.3">
      <c r="B124" s="7"/>
      <c r="D124" s="15">
        <v>150</v>
      </c>
      <c r="E124" s="7" t="s">
        <v>323</v>
      </c>
    </row>
    <row r="125" spans="2:6" x14ac:dyDescent="0.3">
      <c r="B125" s="7" t="s">
        <v>965</v>
      </c>
      <c r="D125" s="28" t="str">
        <f>IF(PI()*D123^2/4/D124&gt;=D122,"ĐẠT","KHÔNG ĐẠT")</f>
        <v>ĐẠT</v>
      </c>
    </row>
    <row r="128" spans="2:6" x14ac:dyDescent="0.3">
      <c r="B128" s="5" t="s">
        <v>1009</v>
      </c>
    </row>
    <row r="129" spans="2:4" x14ac:dyDescent="0.3">
      <c r="B129" s="7" t="s">
        <v>1010</v>
      </c>
      <c r="D129" s="23">
        <f>D109</f>
        <v>1807.9478316695954</v>
      </c>
    </row>
    <row r="130" spans="2:4" x14ac:dyDescent="0.3">
      <c r="B130" s="7" t="s">
        <v>1824</v>
      </c>
      <c r="D130" s="27">
        <f>0.9*0.33*SQRT(fc_)*(1000*IF(D138=1,PI()*(Dcoc+D129/1000),D139))*D129/1000</f>
        <v>27792.213919548896</v>
      </c>
    </row>
    <row r="131" spans="2:4" x14ac:dyDescent="0.3">
      <c r="B131" s="7" t="s">
        <v>1011</v>
      </c>
      <c r="D131" s="27">
        <f>Pmax_CD</f>
        <v>7641.2682845570025</v>
      </c>
    </row>
    <row r="132" spans="2:4" ht="110.4" x14ac:dyDescent="0.3">
      <c r="B132" s="7" t="s">
        <v>1012</v>
      </c>
      <c r="D132" s="28" t="str">
        <f>IF(D138=1,IF(AND(D134="GÓC",D135&gt;0,D136&gt;0,(D135^2+D136^2)&lt;D137^2),"BLOCKED — CỌC GÓC: 2 CUNG CẮT CHỒNG, HÌNH HỌC XẤP XỈ — KIỂM TAY","CHƯA XÁC NHẬN VỊ TRÍ CỌC / CHU VI BỊ CẮT — khai D134 (TRONG/BIÊN/GÓC) &amp; c1"&amp;IF(D134="GÓC","/c2","")&amp;" (m)"),IF(D130&gt;=D131,"ĐẠT","KHÔNG ĐẠT"))</f>
        <v>CHƯA XÁC NHẬN VỊ TRÍ CỌC / CHU VI BỊ CẮT — khai D134 (TRONG/BIÊN/GÓC) &amp; c1 (m)</v>
      </c>
    </row>
    <row r="133" spans="2:4" x14ac:dyDescent="0.3">
      <c r="B133" t="s">
        <v>1817</v>
      </c>
    </row>
    <row r="134" spans="2:4" x14ac:dyDescent="0.3">
      <c r="B134" t="s">
        <v>1818</v>
      </c>
      <c r="D134" s="119"/>
    </row>
    <row r="135" spans="2:4" x14ac:dyDescent="0.3">
      <c r="B135" t="s">
        <v>1819</v>
      </c>
      <c r="D135" s="119"/>
    </row>
    <row r="136" spans="2:4" x14ac:dyDescent="0.3">
      <c r="B136" t="s">
        <v>1820</v>
      </c>
      <c r="D136" s="119"/>
    </row>
    <row r="137" spans="2:4" x14ac:dyDescent="0.3">
      <c r="B137" t="s">
        <v>1821</v>
      </c>
      <c r="D137">
        <f>(Dcoc+D129/1000)/2</f>
        <v>1.5039739158347976</v>
      </c>
    </row>
    <row r="138" spans="2:4" x14ac:dyDescent="0.3">
      <c r="B138" t="s">
        <v>1822</v>
      </c>
      <c r="D138">
        <f>IF(OR(D134="",AND(OR(D134="BIÊN",D134="GÓC"),OR(D135&lt;=0,D135="")),AND(D134="GÓC",OR(D136&lt;=0,D136="")),AND(D134="GÓC",(D135^2+D136^2)&lt;D137^2),D139&lt;=0.25*PI()*(Dcoc+D129/1000)),1,0)</f>
        <v>1</v>
      </c>
    </row>
    <row r="139" spans="2:4" x14ac:dyDescent="0.3">
      <c r="B139" t="s">
        <v>1823</v>
      </c>
      <c r="D139">
        <f>PI()*(Dcoc+D129/1000)-IF(OR(D134="TRONG",D134=""),0,IF(OR(D135&lt;=0,D135=""),0,IF(D135&gt;=D137,0,2*D137*ACOS(MIN(1,D135/D137)))))-IF(D134="GÓC",IF(OR(D136&lt;=0,D136=""),0,IF(D136&gt;=D137,0,2*D137*ACOS(MIN(1,D136/D137)))),0)</f>
        <v>9.4497468103545472</v>
      </c>
    </row>
    <row r="147" spans="2:5" x14ac:dyDescent="0.3">
      <c r="B147" t="s">
        <v>1847</v>
      </c>
    </row>
    <row r="148" spans="2:5" x14ac:dyDescent="0.3">
      <c r="B148" t="s">
        <v>1848</v>
      </c>
      <c r="D148">
        <f>sThan/2+hthan/2</f>
        <v>2.8</v>
      </c>
    </row>
    <row r="149" spans="2:5" x14ac:dyDescent="0.3">
      <c r="B149" t="s">
        <v>1849</v>
      </c>
      <c r="D149">
        <f>IF(nThan&lt;2,0,MAX(MAX('TS-PILE'!$U$190:$BF$190),MAX(0,MAX('PILE NLAN'!$G$6:$G$311))*MAX(SUMPRODUCT((pileX&gt;D148)*pileN*(pileX-D148)),SUMPRODUCT((pileX&lt;-D148)*pileN*(-D148-pileX)))))</f>
        <v>0</v>
      </c>
    </row>
    <row r="150" spans="2:5" x14ac:dyDescent="0.3">
      <c r="B150" t="s">
        <v>1850</v>
      </c>
      <c r="D150" t="str">
        <f>IF(nThan&lt;2,"KHÔNG ÁP DỤNG (1 thân)",IF(D91&gt;=D149,"ĐẠT","KHÔNG ĐẠT"))</f>
        <v>KHÔNG ÁP DỤNG (1 thân)</v>
      </c>
      <c r="E150" t="str">
        <f>IF(nThan&lt;2,"",IF(D149=0,"≤ đơn thân (bao trùm)",D91/MAX(D149,0.001)))</f>
        <v/>
      </c>
    </row>
    <row r="151" spans="2:5" x14ac:dyDescent="0.3">
      <c r="B151" t="s">
        <v>1851</v>
      </c>
      <c r="D151">
        <f>IF(nThan&lt;2,0,MAX(MAX('TS-PILE'!$U$191:$BF$191),MAX(0,MAX('PILE NLAN'!$G$6:$G$311))*MAX(SUMPRODUCT((pileX&lt;0)*pileN*ABS(ABS(pileX)-sThan/2)),SUMPRODUCT((pileX&gt;0)*pileN*ABS(ABS(pileX)-sThan/2)))))</f>
        <v>0</v>
      </c>
    </row>
    <row r="152" spans="2:5" x14ac:dyDescent="0.3">
      <c r="B152" t="s">
        <v>1852</v>
      </c>
      <c r="D152">
        <f>PI()*D123^2/4*(Cbe*1000/D124)</f>
        <v>23876.104167282429</v>
      </c>
    </row>
    <row r="153" spans="2:5" x14ac:dyDescent="0.3">
      <c r="B153" t="s">
        <v>1853</v>
      </c>
      <c r="D153">
        <f>0.9*D152*fy_*(D81-(D152*fy_/(0.85*fc_*Cbe*1000))/2)/10^6</f>
        <v>15760.291975978042</v>
      </c>
    </row>
    <row r="154" spans="2:5" x14ac:dyDescent="0.3">
      <c r="B154" t="s">
        <v>1854</v>
      </c>
      <c r="D154" t="str">
        <f>IF(nThan&lt;2,"KHÔNG ÁP DỤNG (1 thân)",IF(D153&gt;=D151,"ĐẠT","KHÔNG ĐẠT — CẦN THÊM THÉP MẶT TRÊN CHO UỐN ÂM"))</f>
        <v>KHÔNG ÁP DỤNG (1 thân)</v>
      </c>
      <c r="E154" t="str">
        <f>IF(nThan&lt;2,"",IF(D151=0,"—",D153/MAX(D151,0.001)))</f>
        <v/>
      </c>
    </row>
    <row r="156" spans="2:5" x14ac:dyDescent="0.3">
      <c r="B156" t="s">
        <v>1855</v>
      </c>
      <c r="D156" t="str">
        <f>IF(nThan&lt;2,"KHÔNG ÁP DỤNG (1 thân)",IF(AND(D150="ĐẠT",D154="ĐẠT"),"ĐẠT — bệ 2 thân (cánh hẫng bao + uốn âm)","KHÔNG ĐẠT — bệ 2 thân (xem uốn âm / thép mặt trên)"))</f>
        <v>KHÔNG ÁP DỤNG (1 thân)</v>
      </c>
    </row>
    <row r="157" spans="2:5" x14ac:dyDescent="0.3">
      <c r="B157" t="s">
        <v>1884</v>
      </c>
    </row>
    <row r="158" spans="2:5" x14ac:dyDescent="0.3">
      <c r="B158" t="s">
        <v>1883</v>
      </c>
    </row>
    <row r="160" spans="2:5" x14ac:dyDescent="0.3">
      <c r="B160" t="s">
        <v>1890</v>
      </c>
    </row>
    <row r="161" spans="2:4" x14ac:dyDescent="0.3">
      <c r="B161" t="s">
        <v>1891</v>
      </c>
      <c r="D161">
        <f>MAX(INPUT!$F$31,INPUT!$F$32)/MIN(INPUT!$F$31,INPUT!$F$32)</f>
        <v>3.4375</v>
      </c>
    </row>
    <row r="162" spans="2:4" x14ac:dyDescent="0.3">
      <c r="B162" t="s">
        <v>1892</v>
      </c>
      <c r="D162">
        <f>INPUT!$F$32/2+D109/2000</f>
        <v>1.7039739158347977</v>
      </c>
    </row>
    <row r="163" spans="2:4" x14ac:dyDescent="0.3">
      <c r="B163" t="s">
        <v>1893</v>
      </c>
      <c r="D163">
        <f>INPUT!$F$31/2+D109/2000</f>
        <v>3.6539739158347979</v>
      </c>
    </row>
    <row r="164" spans="2:4" x14ac:dyDescent="0.3">
      <c r="B164" t="s">
        <v>1894</v>
      </c>
      <c r="D164">
        <f>2*(INPUT!$F$32*1000+INPUT!$F$31*1000+2*D109)</f>
        <v>21431.79132667838</v>
      </c>
    </row>
    <row r="165" spans="2:4" x14ac:dyDescent="0.3">
      <c r="B165" t="s">
        <v>1895</v>
      </c>
      <c r="D165">
        <f>MIN(0.126,0.063+0.126/D161)</f>
        <v>9.9654545454545454E-2</v>
      </c>
    </row>
    <row r="166" spans="2:4" x14ac:dyDescent="0.3">
      <c r="B166" t="s">
        <v>1896</v>
      </c>
      <c r="D166">
        <f>D165*SQRT(fc_)*D164*D109/1000</f>
        <v>21149.597502903944</v>
      </c>
    </row>
    <row r="167" spans="2:4" x14ac:dyDescent="0.3">
      <c r="B167" t="s">
        <v>1897</v>
      </c>
      <c r="D167">
        <f>0.9*D166</f>
        <v>19034.637752613551</v>
      </c>
    </row>
    <row r="168" spans="2:4" x14ac:dyDescent="0.3">
      <c r="B168" t="s">
        <v>1898</v>
      </c>
      <c r="D168">
        <f>IF(nThan&gt;=2,0,MAX('TS-PILE'!$U$193:$BF$193))</f>
        <v>27465.718796838984</v>
      </c>
    </row>
    <row r="169" spans="2:4" x14ac:dyDescent="0.3">
      <c r="B169" t="s">
        <v>1899</v>
      </c>
      <c r="D169">
        <f>IF(nThan&gt;=2,0,MAX('TS-PILE'!$U$192:$BF$192))</f>
        <v>34766.254358487029</v>
      </c>
    </row>
    <row r="170" spans="2:4" x14ac:dyDescent="0.3">
      <c r="B170" t="s">
        <v>1900</v>
      </c>
      <c r="D170">
        <f>SUMPRODUCT(('TS-PILE'!$BP$169:$BP$188&gt;0.001)*('TS-PILE'!$BP$169:$BP$188&lt;0.999))</f>
        <v>4</v>
      </c>
    </row>
    <row r="171" spans="2:4" x14ac:dyDescent="0.3">
      <c r="B171" t="s">
        <v>1901</v>
      </c>
      <c r="D171" t="str">
        <f>IF(nThan&gt;=2,"—",IF(D167&gt;=D168,"ĐẠT","KHÔNG ĐẠT"))</f>
        <v>KHÔNG ĐẠT</v>
      </c>
    </row>
    <row r="172" spans="2:4" x14ac:dyDescent="0.3">
      <c r="B172" t="s">
        <v>1902</v>
      </c>
      <c r="D172" t="str">
        <f>IF(nThan&gt;=2,"KIỂM TAY — 2 thân: chọc thủng từng cột + xét chồng chu vi §13.3.6.1",IF(D161&gt;=2,IF(D118="ĐẠT","ĐẠT — thân dạng tường: CẮT 1 CHIỀU (mục 2, D118) khống chế &amp; đạt; chọc thủng 2 chiều không áp dụng (xem D171)","KHÔNG ĐẠT — thân dạng tường: CẮT 1 CHIỀU (mục 2, D118) chưa đạt"),IF(D167&gt;=D168,"ĐẠT — chọc thủng 2 chiều khống chế","KHÔNG ĐẠT — chọc thủng 2 chiều")))</f>
        <v>ĐẠT — thân dạng tường: CẮT 1 CHIỀU (mục 2, D118) khống chế &amp; đạt; chọc thủng 2 chiều không áp dụng (xem D171)</v>
      </c>
    </row>
    <row r="173" spans="2:4" x14ac:dyDescent="0.3">
      <c r="B173" t="s">
        <v>1903</v>
      </c>
    </row>
  </sheetData>
  <conditionalFormatting sqref="D92">
    <cfRule type="cellIs" dxfId="13" priority="2" operator="equal">
      <formula>"ĐẠT"</formula>
    </cfRule>
    <cfRule type="cellIs" dxfId="12" priority="3" operator="equal">
      <formula>"KHÔNG ĐẠT"</formula>
    </cfRule>
  </conditionalFormatting>
  <conditionalFormatting sqref="D94">
    <cfRule type="cellIs" dxfId="11" priority="4" operator="equal">
      <formula>"ĐẠT"</formula>
    </cfRule>
    <cfRule type="cellIs" dxfId="10" priority="5" operator="equal">
      <formula>"KHÔNG ĐẠT"</formula>
    </cfRule>
  </conditionalFormatting>
  <conditionalFormatting sqref="D103">
    <cfRule type="cellIs" dxfId="9" priority="6" operator="equal">
      <formula>"ĐẠT"</formula>
    </cfRule>
    <cfRule type="cellIs" dxfId="8" priority="7" operator="equal">
      <formula>"KHÔNG ĐẠT"</formula>
    </cfRule>
  </conditionalFormatting>
  <conditionalFormatting sqref="D118">
    <cfRule type="cellIs" dxfId="7" priority="8" operator="equal">
      <formula>"ĐẠT"</formula>
    </cfRule>
    <cfRule type="cellIs" dxfId="6" priority="9" operator="equal">
      <formula>"KHÔNG ĐẠT"</formula>
    </cfRule>
  </conditionalFormatting>
  <conditionalFormatting sqref="D121">
    <cfRule type="cellIs" dxfId="5" priority="10" operator="equal">
      <formula>"ĐẠT"</formula>
    </cfRule>
    <cfRule type="cellIs" dxfId="4" priority="11" operator="equal">
      <formula>"KHÔNG ĐẠT"</formula>
    </cfRule>
  </conditionalFormatting>
  <conditionalFormatting sqref="D125">
    <cfRule type="cellIs" dxfId="3" priority="12" operator="equal">
      <formula>"ĐẠT"</formula>
    </cfRule>
    <cfRule type="cellIs" dxfId="2" priority="13" operator="equal">
      <formula>"KHÔNG ĐẠT"</formula>
    </cfRule>
  </conditionalFormatting>
  <conditionalFormatting sqref="D132">
    <cfRule type="cellIs" dxfId="1" priority="14" operator="equal">
      <formula>"ĐẠT"</formula>
    </cfRule>
    <cfRule type="cellIs" dxfId="0" priority="15" operator="equal">
      <formula>"KHÔNG ĐẠT"</formula>
    </cfRule>
  </conditionalFormatting>
  <dataValidations count="1">
    <dataValidation type="list" allowBlank="1" showInputMessage="1" showErrorMessage="1" promptTitle="Vị trí cọc chọc thủng" prompt="Chọn vị trí của cọc BẤT LỢI NHẤT cho chọc thủng: TRONG (cọc trong, chu vi tròn đầy đủ) / BIÊN (sát 1 mép) / GÓC (sát 2 mép). BIÊN→khai c1; GÓC→khai c1 và c2 (k/c tim cọc đến mép, m)." sqref="D134" xr:uid="{8EB0D108-5897-4DBB-8F80-57DDC056760B}">
      <formula1>"TRONG,BIÊN,GÓC"</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K179"/>
  <sheetViews>
    <sheetView workbookViewId="0"/>
  </sheetViews>
  <sheetFormatPr defaultColWidth="8.6640625" defaultRowHeight="14.4" x14ac:dyDescent="0.3"/>
  <cols>
    <col min="1" max="1" width="2" customWidth="1"/>
    <col min="2" max="2" width="16" customWidth="1"/>
    <col min="3" max="11" width="12" customWidth="1"/>
  </cols>
  <sheetData>
    <row r="2" spans="2:8" ht="16.8" x14ac:dyDescent="0.3">
      <c r="B2" s="2" t="s">
        <v>1013</v>
      </c>
    </row>
    <row r="4" spans="2:8" x14ac:dyDescent="0.3">
      <c r="B4" s="5" t="s">
        <v>1014</v>
      </c>
    </row>
    <row r="5" spans="2:8" x14ac:dyDescent="0.3">
      <c r="B5" s="18" t="s">
        <v>642</v>
      </c>
      <c r="C5" s="18" t="s">
        <v>634</v>
      </c>
      <c r="D5" s="18" t="s">
        <v>1015</v>
      </c>
      <c r="E5" s="18" t="s">
        <v>1016</v>
      </c>
      <c r="F5" s="18" t="s">
        <v>1017</v>
      </c>
      <c r="G5" s="18" t="s">
        <v>1018</v>
      </c>
      <c r="H5" s="18" t="s">
        <v>1019</v>
      </c>
    </row>
    <row r="6" spans="2:8" x14ac:dyDescent="0.3">
      <c r="B6" s="8"/>
      <c r="C6" s="8"/>
      <c r="D6" s="8"/>
      <c r="E6" s="8"/>
      <c r="F6" s="8"/>
      <c r="G6" s="8"/>
      <c r="H6" s="8"/>
    </row>
    <row r="7" spans="2:8" x14ac:dyDescent="0.3">
      <c r="B7" s="8"/>
      <c r="C7" s="8"/>
      <c r="D7" s="8"/>
      <c r="E7" s="8"/>
      <c r="F7" s="8"/>
      <c r="G7" s="8"/>
      <c r="H7" s="8"/>
    </row>
    <row r="8" spans="2:8" x14ac:dyDescent="0.3">
      <c r="B8" s="8"/>
      <c r="C8" s="8"/>
      <c r="D8" s="8"/>
      <c r="E8" s="8"/>
      <c r="F8" s="8"/>
      <c r="G8" s="8"/>
      <c r="H8" s="8"/>
    </row>
    <row r="9" spans="2:8" x14ac:dyDescent="0.3">
      <c r="B9" s="8"/>
      <c r="C9" s="8"/>
      <c r="D9" s="8"/>
      <c r="E9" s="8"/>
      <c r="F9" s="8"/>
      <c r="G9" s="8"/>
      <c r="H9" s="8"/>
    </row>
    <row r="10" spans="2:8" x14ac:dyDescent="0.3">
      <c r="B10" s="8"/>
      <c r="C10" s="8"/>
      <c r="D10" s="8"/>
      <c r="E10" s="8"/>
      <c r="F10" s="8"/>
      <c r="G10" s="8"/>
      <c r="H10" s="8"/>
    </row>
    <row r="11" spans="2:8" x14ac:dyDescent="0.3">
      <c r="B11" s="8"/>
      <c r="C11" s="8"/>
      <c r="D11" s="8"/>
      <c r="E11" s="8"/>
      <c r="F11" s="8"/>
      <c r="G11" s="8"/>
      <c r="H11" s="8"/>
    </row>
    <row r="12" spans="2:8" x14ac:dyDescent="0.3">
      <c r="B12" s="8"/>
      <c r="C12" s="8"/>
      <c r="D12" s="8"/>
      <c r="E12" s="8"/>
      <c r="F12" s="8"/>
      <c r="G12" s="8"/>
      <c r="H12" s="8"/>
    </row>
    <row r="13" spans="2:8" x14ac:dyDescent="0.3">
      <c r="B13" s="8"/>
      <c r="C13" s="8"/>
      <c r="D13" s="8"/>
      <c r="E13" s="8"/>
      <c r="F13" s="8"/>
      <c r="G13" s="8"/>
      <c r="H13" s="8"/>
    </row>
    <row r="14" spans="2:8" x14ac:dyDescent="0.3">
      <c r="B14" s="8"/>
      <c r="C14" s="8"/>
      <c r="D14" s="8"/>
      <c r="E14" s="8"/>
      <c r="F14" s="8"/>
      <c r="G14" s="8"/>
      <c r="H14" s="8"/>
    </row>
    <row r="15" spans="2:8" x14ac:dyDescent="0.3">
      <c r="B15" s="8"/>
      <c r="C15" s="8"/>
      <c r="D15" s="8"/>
      <c r="E15" s="8"/>
      <c r="F15" s="8"/>
      <c r="G15" s="8"/>
      <c r="H15" s="8"/>
    </row>
    <row r="16" spans="2:8" x14ac:dyDescent="0.3">
      <c r="B16" s="8"/>
      <c r="C16" s="8"/>
      <c r="D16" s="8"/>
      <c r="E16" s="8"/>
      <c r="F16" s="8"/>
      <c r="G16" s="8"/>
      <c r="H16" s="8"/>
    </row>
    <row r="17" spans="2:8" x14ac:dyDescent="0.3">
      <c r="B17" s="8"/>
      <c r="C17" s="8"/>
      <c r="D17" s="8"/>
      <c r="E17" s="8"/>
      <c r="F17" s="8"/>
      <c r="G17" s="8"/>
      <c r="H17" s="8"/>
    </row>
    <row r="18" spans="2:8" x14ac:dyDescent="0.3">
      <c r="B18" s="8"/>
      <c r="C18" s="8"/>
      <c r="D18" s="8"/>
      <c r="E18" s="8"/>
      <c r="F18" s="8"/>
      <c r="G18" s="8"/>
      <c r="H18" s="8"/>
    </row>
    <row r="19" spans="2:8" x14ac:dyDescent="0.3">
      <c r="B19" s="8"/>
      <c r="C19" s="8"/>
      <c r="D19" s="8"/>
      <c r="E19" s="8"/>
      <c r="F19" s="8"/>
      <c r="G19" s="8"/>
      <c r="H19" s="8"/>
    </row>
    <row r="20" spans="2:8" x14ac:dyDescent="0.3">
      <c r="B20" s="8"/>
      <c r="C20" s="8"/>
      <c r="D20" s="8"/>
      <c r="E20" s="8"/>
      <c r="F20" s="8"/>
      <c r="G20" s="8"/>
      <c r="H20" s="8"/>
    </row>
    <row r="21" spans="2:8" x14ac:dyDescent="0.3">
      <c r="B21" s="8"/>
      <c r="C21" s="8"/>
      <c r="D21" s="8"/>
      <c r="E21" s="8"/>
      <c r="F21" s="8"/>
      <c r="G21" s="8"/>
      <c r="H21" s="8"/>
    </row>
    <row r="22" spans="2:8" x14ac:dyDescent="0.3">
      <c r="B22" s="8"/>
      <c r="C22" s="8"/>
      <c r="D22" s="8"/>
      <c r="E22" s="8"/>
      <c r="F22" s="8"/>
      <c r="G22" s="8"/>
      <c r="H22" s="8"/>
    </row>
    <row r="23" spans="2:8" x14ac:dyDescent="0.3">
      <c r="B23" s="8"/>
      <c r="C23" s="8"/>
      <c r="D23" s="8"/>
      <c r="E23" s="8"/>
      <c r="F23" s="8"/>
      <c r="G23" s="8"/>
      <c r="H23" s="8"/>
    </row>
    <row r="24" spans="2:8" x14ac:dyDescent="0.3">
      <c r="B24" s="8"/>
      <c r="C24" s="8"/>
      <c r="D24" s="8"/>
      <c r="E24" s="8"/>
      <c r="F24" s="8"/>
      <c r="G24" s="8"/>
      <c r="H24" s="8"/>
    </row>
    <row r="25" spans="2:8" x14ac:dyDescent="0.3">
      <c r="B25" s="8"/>
      <c r="C25" s="8"/>
      <c r="D25" s="8"/>
      <c r="E25" s="8"/>
      <c r="F25" s="8"/>
      <c r="G25" s="8"/>
      <c r="H25" s="8"/>
    </row>
    <row r="26" spans="2:8" x14ac:dyDescent="0.3">
      <c r="B26" s="8"/>
      <c r="C26" s="8"/>
      <c r="D26" s="8"/>
      <c r="E26" s="8"/>
      <c r="F26" s="8"/>
      <c r="G26" s="8"/>
      <c r="H26" s="8"/>
    </row>
    <row r="27" spans="2:8" x14ac:dyDescent="0.3">
      <c r="B27" s="8"/>
      <c r="C27" s="8"/>
      <c r="D27" s="8"/>
      <c r="E27" s="8"/>
      <c r="F27" s="8"/>
      <c r="G27" s="8"/>
      <c r="H27" s="8"/>
    </row>
    <row r="28" spans="2:8" x14ac:dyDescent="0.3">
      <c r="B28" s="8"/>
      <c r="C28" s="8"/>
      <c r="D28" s="8"/>
      <c r="E28" s="8"/>
      <c r="F28" s="8"/>
      <c r="G28" s="8"/>
      <c r="H28" s="8"/>
    </row>
    <row r="29" spans="2:8" x14ac:dyDescent="0.3">
      <c r="B29" s="8"/>
      <c r="C29" s="8"/>
      <c r="D29" s="8"/>
      <c r="E29" s="8"/>
      <c r="F29" s="8"/>
      <c r="G29" s="8"/>
      <c r="H29" s="8"/>
    </row>
    <row r="30" spans="2:8" x14ac:dyDescent="0.3">
      <c r="B30" s="8"/>
      <c r="C30" s="8"/>
      <c r="D30" s="8"/>
      <c r="E30" s="8"/>
      <c r="F30" s="8"/>
      <c r="G30" s="8"/>
      <c r="H30" s="8"/>
    </row>
    <row r="31" spans="2:8" x14ac:dyDescent="0.3">
      <c r="B31" s="8"/>
      <c r="C31" s="8"/>
      <c r="D31" s="8"/>
      <c r="E31" s="8"/>
      <c r="F31" s="8"/>
      <c r="G31" s="8"/>
      <c r="H31" s="8"/>
    </row>
    <row r="32" spans="2:8" x14ac:dyDescent="0.3">
      <c r="B32" s="8"/>
      <c r="C32" s="8"/>
      <c r="D32" s="8"/>
      <c r="E32" s="8"/>
      <c r="F32" s="8"/>
      <c r="G32" s="8"/>
      <c r="H32" s="8"/>
    </row>
    <row r="33" spans="2:8" x14ac:dyDescent="0.3">
      <c r="B33" s="8"/>
      <c r="C33" s="8"/>
      <c r="D33" s="8"/>
      <c r="E33" s="8"/>
      <c r="F33" s="8"/>
      <c r="G33" s="8"/>
      <c r="H33" s="8"/>
    </row>
    <row r="34" spans="2:8" x14ac:dyDescent="0.3">
      <c r="B34" s="8"/>
      <c r="C34" s="8"/>
      <c r="D34" s="8"/>
      <c r="E34" s="8"/>
      <c r="F34" s="8"/>
      <c r="G34" s="8"/>
      <c r="H34" s="8"/>
    </row>
    <row r="35" spans="2:8" x14ac:dyDescent="0.3">
      <c r="B35" s="8"/>
      <c r="C35" s="8"/>
      <c r="D35" s="8"/>
      <c r="E35" s="8"/>
      <c r="F35" s="8"/>
      <c r="G35" s="8"/>
      <c r="H35" s="8"/>
    </row>
    <row r="36" spans="2:8" x14ac:dyDescent="0.3">
      <c r="B36" s="8"/>
      <c r="C36" s="8"/>
      <c r="D36" s="8"/>
      <c r="E36" s="8"/>
      <c r="F36" s="8"/>
      <c r="G36" s="8"/>
      <c r="H36" s="8"/>
    </row>
    <row r="37" spans="2:8" x14ac:dyDescent="0.3">
      <c r="B37" s="8"/>
      <c r="C37" s="8"/>
      <c r="D37" s="8"/>
      <c r="E37" s="8"/>
      <c r="F37" s="8"/>
      <c r="G37" s="8"/>
      <c r="H37" s="8"/>
    </row>
    <row r="38" spans="2:8" x14ac:dyDescent="0.3">
      <c r="B38" s="8"/>
      <c r="C38" s="8"/>
      <c r="D38" s="8"/>
      <c r="E38" s="8"/>
      <c r="F38" s="8"/>
      <c r="G38" s="8"/>
      <c r="H38" s="8"/>
    </row>
    <row r="39" spans="2:8" x14ac:dyDescent="0.3">
      <c r="B39" s="8"/>
      <c r="C39" s="8"/>
      <c r="D39" s="8"/>
      <c r="E39" s="8"/>
      <c r="F39" s="8"/>
      <c r="G39" s="8"/>
      <c r="H39" s="8"/>
    </row>
    <row r="40" spans="2:8" x14ac:dyDescent="0.3">
      <c r="B40" s="8"/>
      <c r="C40" s="8"/>
      <c r="D40" s="8"/>
      <c r="E40" s="8"/>
      <c r="F40" s="8"/>
      <c r="G40" s="8"/>
      <c r="H40" s="8"/>
    </row>
    <row r="41" spans="2:8" x14ac:dyDescent="0.3">
      <c r="B41" s="8"/>
      <c r="C41" s="8"/>
      <c r="D41" s="8"/>
      <c r="E41" s="8"/>
      <c r="F41" s="8"/>
      <c r="G41" s="8"/>
      <c r="H41" s="8"/>
    </row>
    <row r="42" spans="2:8" x14ac:dyDescent="0.3">
      <c r="B42" s="8"/>
      <c r="C42" s="8"/>
      <c r="D42" s="8"/>
      <c r="E42" s="8"/>
      <c r="F42" s="8"/>
      <c r="G42" s="8"/>
      <c r="H42" s="8"/>
    </row>
    <row r="43" spans="2:8" x14ac:dyDescent="0.3">
      <c r="B43" s="8"/>
      <c r="C43" s="8"/>
      <c r="D43" s="8"/>
      <c r="E43" s="8"/>
      <c r="F43" s="8"/>
      <c r="G43" s="8"/>
      <c r="H43" s="8"/>
    </row>
    <row r="44" spans="2:8" x14ac:dyDescent="0.3">
      <c r="B44" s="8"/>
      <c r="C44" s="8"/>
      <c r="D44" s="8"/>
      <c r="E44" s="8"/>
      <c r="F44" s="8"/>
      <c r="G44" s="8"/>
      <c r="H44" s="8"/>
    </row>
    <row r="45" spans="2:8" x14ac:dyDescent="0.3">
      <c r="B45" s="8"/>
      <c r="C45" s="8"/>
      <c r="D45" s="8"/>
      <c r="E45" s="8"/>
      <c r="F45" s="8"/>
      <c r="G45" s="8"/>
      <c r="H45" s="8"/>
    </row>
    <row r="46" spans="2:8" x14ac:dyDescent="0.3">
      <c r="B46" s="8"/>
      <c r="C46" s="8"/>
      <c r="D46" s="8"/>
      <c r="E46" s="8"/>
      <c r="F46" s="8"/>
      <c r="G46" s="8"/>
      <c r="H46" s="8"/>
    </row>
    <row r="47" spans="2:8" x14ac:dyDescent="0.3">
      <c r="B47" s="8"/>
      <c r="C47" s="8"/>
      <c r="D47" s="8"/>
      <c r="E47" s="8"/>
      <c r="F47" s="8"/>
      <c r="G47" s="8"/>
      <c r="H47" s="8"/>
    </row>
    <row r="48" spans="2:8" x14ac:dyDescent="0.3">
      <c r="B48" s="8"/>
      <c r="C48" s="8"/>
      <c r="D48" s="8"/>
      <c r="E48" s="8"/>
      <c r="F48" s="8"/>
      <c r="G48" s="8"/>
      <c r="H48" s="8"/>
    </row>
    <row r="49" spans="2:8" x14ac:dyDescent="0.3">
      <c r="B49" s="8"/>
      <c r="C49" s="8"/>
      <c r="D49" s="8"/>
      <c r="E49" s="8"/>
      <c r="F49" s="8"/>
      <c r="G49" s="8"/>
      <c r="H49" s="8"/>
    </row>
    <row r="50" spans="2:8" x14ac:dyDescent="0.3">
      <c r="B50" s="8"/>
      <c r="C50" s="8"/>
      <c r="D50" s="8"/>
      <c r="E50" s="8"/>
      <c r="F50" s="8"/>
      <c r="G50" s="8"/>
      <c r="H50" s="8"/>
    </row>
    <row r="51" spans="2:8" x14ac:dyDescent="0.3">
      <c r="B51" s="8"/>
      <c r="C51" s="8"/>
      <c r="D51" s="8"/>
      <c r="E51" s="8"/>
      <c r="F51" s="8"/>
      <c r="G51" s="8"/>
      <c r="H51" s="8"/>
    </row>
    <row r="52" spans="2:8" x14ac:dyDescent="0.3">
      <c r="B52" s="8"/>
      <c r="C52" s="8"/>
      <c r="D52" s="8"/>
      <c r="E52" s="8"/>
      <c r="F52" s="8"/>
      <c r="G52" s="8"/>
      <c r="H52" s="8"/>
    </row>
    <row r="53" spans="2:8" x14ac:dyDescent="0.3">
      <c r="B53" s="8"/>
      <c r="C53" s="8"/>
      <c r="D53" s="8"/>
      <c r="E53" s="8"/>
      <c r="F53" s="8"/>
      <c r="G53" s="8"/>
      <c r="H53" s="8"/>
    </row>
    <row r="54" spans="2:8" x14ac:dyDescent="0.3">
      <c r="B54" s="8"/>
      <c r="C54" s="8"/>
      <c r="D54" s="8"/>
      <c r="E54" s="8"/>
      <c r="F54" s="8"/>
      <c r="G54" s="8"/>
      <c r="H54" s="8"/>
    </row>
    <row r="55" spans="2:8" x14ac:dyDescent="0.3">
      <c r="B55" s="8"/>
      <c r="C55" s="8"/>
      <c r="D55" s="8"/>
      <c r="E55" s="8"/>
      <c r="F55" s="8"/>
      <c r="G55" s="8"/>
      <c r="H55" s="8"/>
    </row>
    <row r="56" spans="2:8" x14ac:dyDescent="0.3">
      <c r="B56" s="8"/>
      <c r="C56" s="8"/>
      <c r="D56" s="8"/>
      <c r="E56" s="8"/>
      <c r="F56" s="8"/>
      <c r="G56" s="8"/>
      <c r="H56" s="8"/>
    </row>
    <row r="57" spans="2:8" x14ac:dyDescent="0.3">
      <c r="B57" s="8"/>
      <c r="C57" s="8"/>
      <c r="D57" s="8"/>
      <c r="E57" s="8"/>
      <c r="F57" s="8"/>
      <c r="G57" s="8"/>
      <c r="H57" s="8"/>
    </row>
    <row r="58" spans="2:8" x14ac:dyDescent="0.3">
      <c r="B58" s="8"/>
      <c r="C58" s="8"/>
      <c r="D58" s="8"/>
      <c r="E58" s="8"/>
      <c r="F58" s="8"/>
      <c r="G58" s="8"/>
      <c r="H58" s="8"/>
    </row>
    <row r="59" spans="2:8" x14ac:dyDescent="0.3">
      <c r="B59" s="8"/>
      <c r="C59" s="8"/>
      <c r="D59" s="8"/>
      <c r="E59" s="8"/>
      <c r="F59" s="8"/>
      <c r="G59" s="8"/>
      <c r="H59" s="8"/>
    </row>
    <row r="60" spans="2:8" x14ac:dyDescent="0.3">
      <c r="B60" s="8"/>
      <c r="C60" s="8"/>
      <c r="D60" s="8"/>
      <c r="E60" s="8"/>
      <c r="F60" s="8"/>
      <c r="G60" s="8"/>
      <c r="H60" s="8"/>
    </row>
    <row r="61" spans="2:8" x14ac:dyDescent="0.3">
      <c r="B61" s="8"/>
      <c r="C61" s="8"/>
      <c r="D61" s="8"/>
      <c r="E61" s="8"/>
      <c r="F61" s="8"/>
      <c r="G61" s="8"/>
      <c r="H61" s="8"/>
    </row>
    <row r="62" spans="2:8" x14ac:dyDescent="0.3">
      <c r="B62" s="8"/>
      <c r="C62" s="8"/>
      <c r="D62" s="8"/>
      <c r="E62" s="8"/>
      <c r="F62" s="8"/>
      <c r="G62" s="8"/>
      <c r="H62" s="8"/>
    </row>
    <row r="63" spans="2:8" x14ac:dyDescent="0.3">
      <c r="B63" s="8"/>
      <c r="C63" s="8"/>
      <c r="D63" s="8"/>
      <c r="E63" s="8"/>
      <c r="F63" s="8"/>
      <c r="G63" s="8"/>
      <c r="H63" s="8"/>
    </row>
    <row r="64" spans="2:8" x14ac:dyDescent="0.3">
      <c r="B64" s="8"/>
      <c r="C64" s="8"/>
      <c r="D64" s="8"/>
      <c r="E64" s="8"/>
      <c r="F64" s="8"/>
      <c r="G64" s="8"/>
      <c r="H64" s="8"/>
    </row>
    <row r="65" spans="2:8" x14ac:dyDescent="0.3">
      <c r="B65" s="8"/>
      <c r="C65" s="8"/>
      <c r="D65" s="8"/>
      <c r="E65" s="8"/>
      <c r="F65" s="8"/>
      <c r="G65" s="8"/>
      <c r="H65" s="8"/>
    </row>
    <row r="66" spans="2:8" x14ac:dyDescent="0.3">
      <c r="B66" s="8"/>
      <c r="C66" s="8"/>
      <c r="D66" s="8"/>
      <c r="E66" s="8"/>
      <c r="F66" s="8"/>
      <c r="G66" s="8"/>
      <c r="H66" s="8"/>
    </row>
    <row r="67" spans="2:8" x14ac:dyDescent="0.3">
      <c r="B67" s="8"/>
      <c r="C67" s="8"/>
      <c r="D67" s="8"/>
      <c r="E67" s="8"/>
      <c r="F67" s="8"/>
      <c r="G67" s="8"/>
      <c r="H67" s="8"/>
    </row>
    <row r="68" spans="2:8" x14ac:dyDescent="0.3">
      <c r="B68" s="8"/>
      <c r="C68" s="8"/>
      <c r="D68" s="8"/>
      <c r="E68" s="8"/>
      <c r="F68" s="8"/>
      <c r="G68" s="8"/>
      <c r="H68" s="8"/>
    </row>
    <row r="69" spans="2:8" x14ac:dyDescent="0.3">
      <c r="B69" s="8"/>
      <c r="C69" s="8"/>
      <c r="D69" s="8"/>
      <c r="E69" s="8"/>
      <c r="F69" s="8"/>
      <c r="G69" s="8"/>
      <c r="H69" s="8"/>
    </row>
    <row r="70" spans="2:8" x14ac:dyDescent="0.3">
      <c r="B70" s="8"/>
      <c r="C70" s="8"/>
      <c r="D70" s="8"/>
      <c r="E70" s="8"/>
      <c r="F70" s="8"/>
      <c r="G70" s="8"/>
      <c r="H70" s="8"/>
    </row>
    <row r="71" spans="2:8" x14ac:dyDescent="0.3">
      <c r="B71" s="8"/>
      <c r="C71" s="8"/>
      <c r="D71" s="8"/>
      <c r="E71" s="8"/>
      <c r="F71" s="8"/>
      <c r="G71" s="8"/>
      <c r="H71" s="8"/>
    </row>
    <row r="72" spans="2:8" x14ac:dyDescent="0.3">
      <c r="B72" s="8"/>
      <c r="C72" s="8"/>
      <c r="D72" s="8"/>
      <c r="E72" s="8"/>
      <c r="F72" s="8"/>
      <c r="G72" s="8"/>
      <c r="H72" s="8"/>
    </row>
    <row r="73" spans="2:8" x14ac:dyDescent="0.3">
      <c r="B73" s="8"/>
      <c r="C73" s="8"/>
      <c r="D73" s="8"/>
      <c r="E73" s="8"/>
      <c r="F73" s="8"/>
      <c r="G73" s="8"/>
      <c r="H73" s="8"/>
    </row>
    <row r="74" spans="2:8" x14ac:dyDescent="0.3">
      <c r="B74" s="8"/>
      <c r="C74" s="8"/>
      <c r="D74" s="8"/>
      <c r="E74" s="8"/>
      <c r="F74" s="8"/>
      <c r="G74" s="8"/>
      <c r="H74" s="8"/>
    </row>
    <row r="75" spans="2:8" x14ac:dyDescent="0.3">
      <c r="B75" s="8"/>
      <c r="C75" s="8"/>
      <c r="D75" s="8"/>
      <c r="E75" s="8"/>
      <c r="F75" s="8"/>
      <c r="G75" s="8"/>
      <c r="H75" s="8"/>
    </row>
    <row r="76" spans="2:8" x14ac:dyDescent="0.3">
      <c r="B76" s="8"/>
      <c r="C76" s="8"/>
      <c r="D76" s="8"/>
      <c r="E76" s="8"/>
      <c r="F76" s="8"/>
      <c r="G76" s="8"/>
      <c r="H76" s="8"/>
    </row>
    <row r="77" spans="2:8" x14ac:dyDescent="0.3">
      <c r="B77" s="8"/>
      <c r="C77" s="8"/>
      <c r="D77" s="8"/>
      <c r="E77" s="8"/>
      <c r="F77" s="8"/>
      <c r="G77" s="8"/>
      <c r="H77" s="8"/>
    </row>
    <row r="78" spans="2:8" x14ac:dyDescent="0.3">
      <c r="B78" s="8"/>
      <c r="C78" s="8"/>
      <c r="D78" s="8"/>
      <c r="E78" s="8"/>
      <c r="F78" s="8"/>
      <c r="G78" s="8"/>
      <c r="H78" s="8"/>
    </row>
    <row r="79" spans="2:8" x14ac:dyDescent="0.3">
      <c r="B79" s="8"/>
      <c r="C79" s="8"/>
      <c r="D79" s="8"/>
      <c r="E79" s="8"/>
      <c r="F79" s="8"/>
      <c r="G79" s="8"/>
      <c r="H79" s="8"/>
    </row>
    <row r="80" spans="2:8" x14ac:dyDescent="0.3">
      <c r="B80" s="8"/>
      <c r="C80" s="8"/>
      <c r="D80" s="8"/>
      <c r="E80" s="8"/>
      <c r="F80" s="8"/>
      <c r="G80" s="8"/>
      <c r="H80" s="8"/>
    </row>
    <row r="81" spans="2:11" x14ac:dyDescent="0.3">
      <c r="B81" s="8"/>
      <c r="C81" s="8"/>
      <c r="D81" s="8"/>
      <c r="E81" s="8"/>
      <c r="F81" s="8"/>
      <c r="G81" s="8"/>
      <c r="H81" s="8"/>
    </row>
    <row r="82" spans="2:11" x14ac:dyDescent="0.3">
      <c r="B82" s="8"/>
      <c r="C82" s="8"/>
      <c r="D82" s="8"/>
      <c r="E82" s="8"/>
      <c r="F82" s="8"/>
      <c r="G82" s="8"/>
      <c r="H82" s="8"/>
    </row>
    <row r="83" spans="2:11" x14ac:dyDescent="0.3">
      <c r="B83" s="8"/>
      <c r="C83" s="8"/>
      <c r="D83" s="8"/>
      <c r="E83" s="8"/>
      <c r="F83" s="8"/>
      <c r="G83" s="8"/>
      <c r="H83" s="8"/>
    </row>
    <row r="84" spans="2:11" x14ac:dyDescent="0.3">
      <c r="B84" s="8"/>
      <c r="C84" s="8"/>
      <c r="D84" s="8"/>
      <c r="E84" s="8"/>
      <c r="F84" s="8"/>
      <c r="G84" s="8"/>
      <c r="H84" s="8"/>
    </row>
    <row r="85" spans="2:11" x14ac:dyDescent="0.3">
      <c r="B85" s="8"/>
      <c r="C85" s="8"/>
      <c r="D85" s="8"/>
      <c r="E85" s="8"/>
      <c r="F85" s="8"/>
      <c r="G85" s="8"/>
      <c r="H85" s="8"/>
    </row>
    <row r="88" spans="2:11" x14ac:dyDescent="0.3">
      <c r="B88" s="5" t="s">
        <v>1020</v>
      </c>
    </row>
    <row r="90" spans="2:11" x14ac:dyDescent="0.3">
      <c r="B90" s="18" t="s">
        <v>1021</v>
      </c>
      <c r="C90" s="18" t="s">
        <v>1022</v>
      </c>
      <c r="D90" s="18" t="s">
        <v>1023</v>
      </c>
      <c r="E90" s="18" t="s">
        <v>1024</v>
      </c>
      <c r="F90" s="18" t="s">
        <v>1025</v>
      </c>
      <c r="G90" s="18" t="s">
        <v>1026</v>
      </c>
      <c r="H90" s="18" t="s">
        <v>1027</v>
      </c>
      <c r="I90" s="18" t="s">
        <v>1028</v>
      </c>
      <c r="J90" s="18" t="s">
        <v>1029</v>
      </c>
      <c r="K90" s="18" t="s">
        <v>1030</v>
      </c>
    </row>
    <row r="91" spans="2:11" x14ac:dyDescent="0.3">
      <c r="B91" s="19" t="str">
        <f t="shared" ref="B91:B122" si="0">IF($B6="","","Coc")</f>
        <v/>
      </c>
      <c r="C91" s="14" t="str">
        <f t="shared" ref="C91:C122" si="1">IF($B6="","",$B6)</f>
        <v/>
      </c>
      <c r="D91" s="14" t="str">
        <f t="shared" ref="D91:D122" si="2">IF($B6="","",$C6)</f>
        <v/>
      </c>
      <c r="E91" s="19" t="str">
        <f t="shared" ref="E91:E122" si="3">IF($B6="","",IF($C6&lt;=3*nLan,"SD",IF($C6&lt;=9*nLan+2,"CĐ","ĐB")))</f>
        <v/>
      </c>
      <c r="F91" s="13" t="str">
        <f t="shared" ref="F91:F122" si="4">IF($B6="","",$D6)</f>
        <v/>
      </c>
      <c r="G91" s="13" t="str">
        <f t="shared" ref="G91:G122" si="5">IF($B6="","",$E6)</f>
        <v/>
      </c>
      <c r="H91" s="13" t="str">
        <f t="shared" ref="H91:H122" si="6">IF($B6="","",$F6)</f>
        <v/>
      </c>
      <c r="I91" s="13" t="str">
        <f t="shared" ref="I91:I122" si="7">IF($B6="","",0)</f>
        <v/>
      </c>
      <c r="J91" s="13" t="str">
        <f t="shared" ref="J91:J122" si="8">IF($B6="","",$G6)</f>
        <v/>
      </c>
      <c r="K91" s="13" t="str">
        <f t="shared" ref="K91:K122" si="9">IF($B6="","",$H6)</f>
        <v/>
      </c>
    </row>
    <row r="92" spans="2:11" x14ac:dyDescent="0.3">
      <c r="B92" s="19" t="str">
        <f t="shared" si="0"/>
        <v/>
      </c>
      <c r="C92" s="14" t="str">
        <f t="shared" si="1"/>
        <v/>
      </c>
      <c r="D92" s="14" t="str">
        <f t="shared" si="2"/>
        <v/>
      </c>
      <c r="E92" s="19" t="str">
        <f t="shared" si="3"/>
        <v/>
      </c>
      <c r="F92" s="13" t="str">
        <f t="shared" si="4"/>
        <v/>
      </c>
      <c r="G92" s="13" t="str">
        <f t="shared" si="5"/>
        <v/>
      </c>
      <c r="H92" s="13" t="str">
        <f t="shared" si="6"/>
        <v/>
      </c>
      <c r="I92" s="13" t="str">
        <f t="shared" si="7"/>
        <v/>
      </c>
      <c r="J92" s="13" t="str">
        <f t="shared" si="8"/>
        <v/>
      </c>
      <c r="K92" s="13" t="str">
        <f t="shared" si="9"/>
        <v/>
      </c>
    </row>
    <row r="93" spans="2:11" x14ac:dyDescent="0.3">
      <c r="B93" s="19" t="str">
        <f t="shared" si="0"/>
        <v/>
      </c>
      <c r="C93" s="14" t="str">
        <f t="shared" si="1"/>
        <v/>
      </c>
      <c r="D93" s="14" t="str">
        <f t="shared" si="2"/>
        <v/>
      </c>
      <c r="E93" s="19" t="str">
        <f t="shared" si="3"/>
        <v/>
      </c>
      <c r="F93" s="13" t="str">
        <f t="shared" si="4"/>
        <v/>
      </c>
      <c r="G93" s="13" t="str">
        <f t="shared" si="5"/>
        <v/>
      </c>
      <c r="H93" s="13" t="str">
        <f t="shared" si="6"/>
        <v/>
      </c>
      <c r="I93" s="13" t="str">
        <f t="shared" si="7"/>
        <v/>
      </c>
      <c r="J93" s="13" t="str">
        <f t="shared" si="8"/>
        <v/>
      </c>
      <c r="K93" s="13" t="str">
        <f t="shared" si="9"/>
        <v/>
      </c>
    </row>
    <row r="94" spans="2:11" x14ac:dyDescent="0.3">
      <c r="B94" s="19" t="str">
        <f t="shared" si="0"/>
        <v/>
      </c>
      <c r="C94" s="14" t="str">
        <f t="shared" si="1"/>
        <v/>
      </c>
      <c r="D94" s="14" t="str">
        <f t="shared" si="2"/>
        <v/>
      </c>
      <c r="E94" s="19" t="str">
        <f t="shared" si="3"/>
        <v/>
      </c>
      <c r="F94" s="13" t="str">
        <f t="shared" si="4"/>
        <v/>
      </c>
      <c r="G94" s="13" t="str">
        <f t="shared" si="5"/>
        <v/>
      </c>
      <c r="H94" s="13" t="str">
        <f t="shared" si="6"/>
        <v/>
      </c>
      <c r="I94" s="13" t="str">
        <f t="shared" si="7"/>
        <v/>
      </c>
      <c r="J94" s="13" t="str">
        <f t="shared" si="8"/>
        <v/>
      </c>
      <c r="K94" s="13" t="str">
        <f t="shared" si="9"/>
        <v/>
      </c>
    </row>
    <row r="95" spans="2:11" x14ac:dyDescent="0.3">
      <c r="B95" s="19" t="str">
        <f t="shared" si="0"/>
        <v/>
      </c>
      <c r="C95" s="14" t="str">
        <f t="shared" si="1"/>
        <v/>
      </c>
      <c r="D95" s="14" t="str">
        <f t="shared" si="2"/>
        <v/>
      </c>
      <c r="E95" s="19" t="str">
        <f t="shared" si="3"/>
        <v/>
      </c>
      <c r="F95" s="13" t="str">
        <f t="shared" si="4"/>
        <v/>
      </c>
      <c r="G95" s="13" t="str">
        <f t="shared" si="5"/>
        <v/>
      </c>
      <c r="H95" s="13" t="str">
        <f t="shared" si="6"/>
        <v/>
      </c>
      <c r="I95" s="13" t="str">
        <f t="shared" si="7"/>
        <v/>
      </c>
      <c r="J95" s="13" t="str">
        <f t="shared" si="8"/>
        <v/>
      </c>
      <c r="K95" s="13" t="str">
        <f t="shared" si="9"/>
        <v/>
      </c>
    </row>
    <row r="96" spans="2:11" x14ac:dyDescent="0.3">
      <c r="B96" s="19" t="str">
        <f t="shared" si="0"/>
        <v/>
      </c>
      <c r="C96" s="14" t="str">
        <f t="shared" si="1"/>
        <v/>
      </c>
      <c r="D96" s="14" t="str">
        <f t="shared" si="2"/>
        <v/>
      </c>
      <c r="E96" s="19" t="str">
        <f t="shared" si="3"/>
        <v/>
      </c>
      <c r="F96" s="13" t="str">
        <f t="shared" si="4"/>
        <v/>
      </c>
      <c r="G96" s="13" t="str">
        <f t="shared" si="5"/>
        <v/>
      </c>
      <c r="H96" s="13" t="str">
        <f t="shared" si="6"/>
        <v/>
      </c>
      <c r="I96" s="13" t="str">
        <f t="shared" si="7"/>
        <v/>
      </c>
      <c r="J96" s="13" t="str">
        <f t="shared" si="8"/>
        <v/>
      </c>
      <c r="K96" s="13" t="str">
        <f t="shared" si="9"/>
        <v/>
      </c>
    </row>
    <row r="97" spans="2:11" x14ac:dyDescent="0.3">
      <c r="B97" s="19" t="str">
        <f t="shared" si="0"/>
        <v/>
      </c>
      <c r="C97" s="14" t="str">
        <f t="shared" si="1"/>
        <v/>
      </c>
      <c r="D97" s="14" t="str">
        <f t="shared" si="2"/>
        <v/>
      </c>
      <c r="E97" s="19" t="str">
        <f t="shared" si="3"/>
        <v/>
      </c>
      <c r="F97" s="13" t="str">
        <f t="shared" si="4"/>
        <v/>
      </c>
      <c r="G97" s="13" t="str">
        <f t="shared" si="5"/>
        <v/>
      </c>
      <c r="H97" s="13" t="str">
        <f t="shared" si="6"/>
        <v/>
      </c>
      <c r="I97" s="13" t="str">
        <f t="shared" si="7"/>
        <v/>
      </c>
      <c r="J97" s="13" t="str">
        <f t="shared" si="8"/>
        <v/>
      </c>
      <c r="K97" s="13" t="str">
        <f t="shared" si="9"/>
        <v/>
      </c>
    </row>
    <row r="98" spans="2:11" x14ac:dyDescent="0.3">
      <c r="B98" s="19" t="str">
        <f t="shared" si="0"/>
        <v/>
      </c>
      <c r="C98" s="14" t="str">
        <f t="shared" si="1"/>
        <v/>
      </c>
      <c r="D98" s="14" t="str">
        <f t="shared" si="2"/>
        <v/>
      </c>
      <c r="E98" s="19" t="str">
        <f t="shared" si="3"/>
        <v/>
      </c>
      <c r="F98" s="13" t="str">
        <f t="shared" si="4"/>
        <v/>
      </c>
      <c r="G98" s="13" t="str">
        <f t="shared" si="5"/>
        <v/>
      </c>
      <c r="H98" s="13" t="str">
        <f t="shared" si="6"/>
        <v/>
      </c>
      <c r="I98" s="13" t="str">
        <f t="shared" si="7"/>
        <v/>
      </c>
      <c r="J98" s="13" t="str">
        <f t="shared" si="8"/>
        <v/>
      </c>
      <c r="K98" s="13" t="str">
        <f t="shared" si="9"/>
        <v/>
      </c>
    </row>
    <row r="99" spans="2:11" x14ac:dyDescent="0.3">
      <c r="B99" s="19" t="str">
        <f t="shared" si="0"/>
        <v/>
      </c>
      <c r="C99" s="14" t="str">
        <f t="shared" si="1"/>
        <v/>
      </c>
      <c r="D99" s="14" t="str">
        <f t="shared" si="2"/>
        <v/>
      </c>
      <c r="E99" s="19" t="str">
        <f t="shared" si="3"/>
        <v/>
      </c>
      <c r="F99" s="13" t="str">
        <f t="shared" si="4"/>
        <v/>
      </c>
      <c r="G99" s="13" t="str">
        <f t="shared" si="5"/>
        <v/>
      </c>
      <c r="H99" s="13" t="str">
        <f t="shared" si="6"/>
        <v/>
      </c>
      <c r="I99" s="13" t="str">
        <f t="shared" si="7"/>
        <v/>
      </c>
      <c r="J99" s="13" t="str">
        <f t="shared" si="8"/>
        <v/>
      </c>
      <c r="K99" s="13" t="str">
        <f t="shared" si="9"/>
        <v/>
      </c>
    </row>
    <row r="100" spans="2:11" x14ac:dyDescent="0.3">
      <c r="B100" s="19" t="str">
        <f t="shared" si="0"/>
        <v/>
      </c>
      <c r="C100" s="14" t="str">
        <f t="shared" si="1"/>
        <v/>
      </c>
      <c r="D100" s="14" t="str">
        <f t="shared" si="2"/>
        <v/>
      </c>
      <c r="E100" s="19" t="str">
        <f t="shared" si="3"/>
        <v/>
      </c>
      <c r="F100" s="13" t="str">
        <f t="shared" si="4"/>
        <v/>
      </c>
      <c r="G100" s="13" t="str">
        <f t="shared" si="5"/>
        <v/>
      </c>
      <c r="H100" s="13" t="str">
        <f t="shared" si="6"/>
        <v/>
      </c>
      <c r="I100" s="13" t="str">
        <f t="shared" si="7"/>
        <v/>
      </c>
      <c r="J100" s="13" t="str">
        <f t="shared" si="8"/>
        <v/>
      </c>
      <c r="K100" s="13" t="str">
        <f t="shared" si="9"/>
        <v/>
      </c>
    </row>
    <row r="101" spans="2:11" x14ac:dyDescent="0.3">
      <c r="B101" s="19" t="str">
        <f t="shared" si="0"/>
        <v/>
      </c>
      <c r="C101" s="14" t="str">
        <f t="shared" si="1"/>
        <v/>
      </c>
      <c r="D101" s="14" t="str">
        <f t="shared" si="2"/>
        <v/>
      </c>
      <c r="E101" s="19" t="str">
        <f t="shared" si="3"/>
        <v/>
      </c>
      <c r="F101" s="13" t="str">
        <f t="shared" si="4"/>
        <v/>
      </c>
      <c r="G101" s="13" t="str">
        <f t="shared" si="5"/>
        <v/>
      </c>
      <c r="H101" s="13" t="str">
        <f t="shared" si="6"/>
        <v/>
      </c>
      <c r="I101" s="13" t="str">
        <f t="shared" si="7"/>
        <v/>
      </c>
      <c r="J101" s="13" t="str">
        <f t="shared" si="8"/>
        <v/>
      </c>
      <c r="K101" s="13" t="str">
        <f t="shared" si="9"/>
        <v/>
      </c>
    </row>
    <row r="102" spans="2:11" x14ac:dyDescent="0.3">
      <c r="B102" s="19" t="str">
        <f t="shared" si="0"/>
        <v/>
      </c>
      <c r="C102" s="14" t="str">
        <f t="shared" si="1"/>
        <v/>
      </c>
      <c r="D102" s="14" t="str">
        <f t="shared" si="2"/>
        <v/>
      </c>
      <c r="E102" s="19" t="str">
        <f t="shared" si="3"/>
        <v/>
      </c>
      <c r="F102" s="13" t="str">
        <f t="shared" si="4"/>
        <v/>
      </c>
      <c r="G102" s="13" t="str">
        <f t="shared" si="5"/>
        <v/>
      </c>
      <c r="H102" s="13" t="str">
        <f t="shared" si="6"/>
        <v/>
      </c>
      <c r="I102" s="13" t="str">
        <f t="shared" si="7"/>
        <v/>
      </c>
      <c r="J102" s="13" t="str">
        <f t="shared" si="8"/>
        <v/>
      </c>
      <c r="K102" s="13" t="str">
        <f t="shared" si="9"/>
        <v/>
      </c>
    </row>
    <row r="103" spans="2:11" x14ac:dyDescent="0.3">
      <c r="B103" s="19" t="str">
        <f t="shared" si="0"/>
        <v/>
      </c>
      <c r="C103" s="14" t="str">
        <f t="shared" si="1"/>
        <v/>
      </c>
      <c r="D103" s="14" t="str">
        <f t="shared" si="2"/>
        <v/>
      </c>
      <c r="E103" s="19" t="str">
        <f t="shared" si="3"/>
        <v/>
      </c>
      <c r="F103" s="13" t="str">
        <f t="shared" si="4"/>
        <v/>
      </c>
      <c r="G103" s="13" t="str">
        <f t="shared" si="5"/>
        <v/>
      </c>
      <c r="H103" s="13" t="str">
        <f t="shared" si="6"/>
        <v/>
      </c>
      <c r="I103" s="13" t="str">
        <f t="shared" si="7"/>
        <v/>
      </c>
      <c r="J103" s="13" t="str">
        <f t="shared" si="8"/>
        <v/>
      </c>
      <c r="K103" s="13" t="str">
        <f t="shared" si="9"/>
        <v/>
      </c>
    </row>
    <row r="104" spans="2:11" x14ac:dyDescent="0.3">
      <c r="B104" s="19" t="str">
        <f t="shared" si="0"/>
        <v/>
      </c>
      <c r="C104" s="14" t="str">
        <f t="shared" si="1"/>
        <v/>
      </c>
      <c r="D104" s="14" t="str">
        <f t="shared" si="2"/>
        <v/>
      </c>
      <c r="E104" s="19" t="str">
        <f t="shared" si="3"/>
        <v/>
      </c>
      <c r="F104" s="13" t="str">
        <f t="shared" si="4"/>
        <v/>
      </c>
      <c r="G104" s="13" t="str">
        <f t="shared" si="5"/>
        <v/>
      </c>
      <c r="H104" s="13" t="str">
        <f t="shared" si="6"/>
        <v/>
      </c>
      <c r="I104" s="13" t="str">
        <f t="shared" si="7"/>
        <v/>
      </c>
      <c r="J104" s="13" t="str">
        <f t="shared" si="8"/>
        <v/>
      </c>
      <c r="K104" s="13" t="str">
        <f t="shared" si="9"/>
        <v/>
      </c>
    </row>
    <row r="105" spans="2:11" x14ac:dyDescent="0.3">
      <c r="B105" s="19" t="str">
        <f t="shared" si="0"/>
        <v/>
      </c>
      <c r="C105" s="14" t="str">
        <f t="shared" si="1"/>
        <v/>
      </c>
      <c r="D105" s="14" t="str">
        <f t="shared" si="2"/>
        <v/>
      </c>
      <c r="E105" s="19" t="str">
        <f t="shared" si="3"/>
        <v/>
      </c>
      <c r="F105" s="13" t="str">
        <f t="shared" si="4"/>
        <v/>
      </c>
      <c r="G105" s="13" t="str">
        <f t="shared" si="5"/>
        <v/>
      </c>
      <c r="H105" s="13" t="str">
        <f t="shared" si="6"/>
        <v/>
      </c>
      <c r="I105" s="13" t="str">
        <f t="shared" si="7"/>
        <v/>
      </c>
      <c r="J105" s="13" t="str">
        <f t="shared" si="8"/>
        <v/>
      </c>
      <c r="K105" s="13" t="str">
        <f t="shared" si="9"/>
        <v/>
      </c>
    </row>
    <row r="106" spans="2:11" x14ac:dyDescent="0.3">
      <c r="B106" s="19" t="str">
        <f t="shared" si="0"/>
        <v/>
      </c>
      <c r="C106" s="14" t="str">
        <f t="shared" si="1"/>
        <v/>
      </c>
      <c r="D106" s="14" t="str">
        <f t="shared" si="2"/>
        <v/>
      </c>
      <c r="E106" s="19" t="str">
        <f t="shared" si="3"/>
        <v/>
      </c>
      <c r="F106" s="13" t="str">
        <f t="shared" si="4"/>
        <v/>
      </c>
      <c r="G106" s="13" t="str">
        <f t="shared" si="5"/>
        <v/>
      </c>
      <c r="H106" s="13" t="str">
        <f t="shared" si="6"/>
        <v/>
      </c>
      <c r="I106" s="13" t="str">
        <f t="shared" si="7"/>
        <v/>
      </c>
      <c r="J106" s="13" t="str">
        <f t="shared" si="8"/>
        <v/>
      </c>
      <c r="K106" s="13" t="str">
        <f t="shared" si="9"/>
        <v/>
      </c>
    </row>
    <row r="107" spans="2:11" x14ac:dyDescent="0.3">
      <c r="B107" s="19" t="str">
        <f t="shared" si="0"/>
        <v/>
      </c>
      <c r="C107" s="14" t="str">
        <f t="shared" si="1"/>
        <v/>
      </c>
      <c r="D107" s="14" t="str">
        <f t="shared" si="2"/>
        <v/>
      </c>
      <c r="E107" s="19" t="str">
        <f t="shared" si="3"/>
        <v/>
      </c>
      <c r="F107" s="13" t="str">
        <f t="shared" si="4"/>
        <v/>
      </c>
      <c r="G107" s="13" t="str">
        <f t="shared" si="5"/>
        <v/>
      </c>
      <c r="H107" s="13" t="str">
        <f t="shared" si="6"/>
        <v/>
      </c>
      <c r="I107" s="13" t="str">
        <f t="shared" si="7"/>
        <v/>
      </c>
      <c r="J107" s="13" t="str">
        <f t="shared" si="8"/>
        <v/>
      </c>
      <c r="K107" s="13" t="str">
        <f t="shared" si="9"/>
        <v/>
      </c>
    </row>
    <row r="108" spans="2:11" x14ac:dyDescent="0.3">
      <c r="B108" s="19" t="str">
        <f t="shared" si="0"/>
        <v/>
      </c>
      <c r="C108" s="14" t="str">
        <f t="shared" si="1"/>
        <v/>
      </c>
      <c r="D108" s="14" t="str">
        <f t="shared" si="2"/>
        <v/>
      </c>
      <c r="E108" s="19" t="str">
        <f t="shared" si="3"/>
        <v/>
      </c>
      <c r="F108" s="13" t="str">
        <f t="shared" si="4"/>
        <v/>
      </c>
      <c r="G108" s="13" t="str">
        <f t="shared" si="5"/>
        <v/>
      </c>
      <c r="H108" s="13" t="str">
        <f t="shared" si="6"/>
        <v/>
      </c>
      <c r="I108" s="13" t="str">
        <f t="shared" si="7"/>
        <v/>
      </c>
      <c r="J108" s="13" t="str">
        <f t="shared" si="8"/>
        <v/>
      </c>
      <c r="K108" s="13" t="str">
        <f t="shared" si="9"/>
        <v/>
      </c>
    </row>
    <row r="109" spans="2:11" x14ac:dyDescent="0.3">
      <c r="B109" s="19" t="str">
        <f t="shared" si="0"/>
        <v/>
      </c>
      <c r="C109" s="14" t="str">
        <f t="shared" si="1"/>
        <v/>
      </c>
      <c r="D109" s="14" t="str">
        <f t="shared" si="2"/>
        <v/>
      </c>
      <c r="E109" s="19" t="str">
        <f t="shared" si="3"/>
        <v/>
      </c>
      <c r="F109" s="13" t="str">
        <f t="shared" si="4"/>
        <v/>
      </c>
      <c r="G109" s="13" t="str">
        <f t="shared" si="5"/>
        <v/>
      </c>
      <c r="H109" s="13" t="str">
        <f t="shared" si="6"/>
        <v/>
      </c>
      <c r="I109" s="13" t="str">
        <f t="shared" si="7"/>
        <v/>
      </c>
      <c r="J109" s="13" t="str">
        <f t="shared" si="8"/>
        <v/>
      </c>
      <c r="K109" s="13" t="str">
        <f t="shared" si="9"/>
        <v/>
      </c>
    </row>
    <row r="110" spans="2:11" x14ac:dyDescent="0.3">
      <c r="B110" s="19" t="str">
        <f t="shared" si="0"/>
        <v/>
      </c>
      <c r="C110" s="14" t="str">
        <f t="shared" si="1"/>
        <v/>
      </c>
      <c r="D110" s="14" t="str">
        <f t="shared" si="2"/>
        <v/>
      </c>
      <c r="E110" s="19" t="str">
        <f t="shared" si="3"/>
        <v/>
      </c>
      <c r="F110" s="13" t="str">
        <f t="shared" si="4"/>
        <v/>
      </c>
      <c r="G110" s="13" t="str">
        <f t="shared" si="5"/>
        <v/>
      </c>
      <c r="H110" s="13" t="str">
        <f t="shared" si="6"/>
        <v/>
      </c>
      <c r="I110" s="13" t="str">
        <f t="shared" si="7"/>
        <v/>
      </c>
      <c r="J110" s="13" t="str">
        <f t="shared" si="8"/>
        <v/>
      </c>
      <c r="K110" s="13" t="str">
        <f t="shared" si="9"/>
        <v/>
      </c>
    </row>
    <row r="111" spans="2:11" x14ac:dyDescent="0.3">
      <c r="B111" s="19" t="str">
        <f t="shared" si="0"/>
        <v/>
      </c>
      <c r="C111" s="14" t="str">
        <f t="shared" si="1"/>
        <v/>
      </c>
      <c r="D111" s="14" t="str">
        <f t="shared" si="2"/>
        <v/>
      </c>
      <c r="E111" s="19" t="str">
        <f t="shared" si="3"/>
        <v/>
      </c>
      <c r="F111" s="13" t="str">
        <f t="shared" si="4"/>
        <v/>
      </c>
      <c r="G111" s="13" t="str">
        <f t="shared" si="5"/>
        <v/>
      </c>
      <c r="H111" s="13" t="str">
        <f t="shared" si="6"/>
        <v/>
      </c>
      <c r="I111" s="13" t="str">
        <f t="shared" si="7"/>
        <v/>
      </c>
      <c r="J111" s="13" t="str">
        <f t="shared" si="8"/>
        <v/>
      </c>
      <c r="K111" s="13" t="str">
        <f t="shared" si="9"/>
        <v/>
      </c>
    </row>
    <row r="112" spans="2:11" x14ac:dyDescent="0.3">
      <c r="B112" s="19" t="str">
        <f t="shared" si="0"/>
        <v/>
      </c>
      <c r="C112" s="14" t="str">
        <f t="shared" si="1"/>
        <v/>
      </c>
      <c r="D112" s="14" t="str">
        <f t="shared" si="2"/>
        <v/>
      </c>
      <c r="E112" s="19" t="str">
        <f t="shared" si="3"/>
        <v/>
      </c>
      <c r="F112" s="13" t="str">
        <f t="shared" si="4"/>
        <v/>
      </c>
      <c r="G112" s="13" t="str">
        <f t="shared" si="5"/>
        <v/>
      </c>
      <c r="H112" s="13" t="str">
        <f t="shared" si="6"/>
        <v/>
      </c>
      <c r="I112" s="13" t="str">
        <f t="shared" si="7"/>
        <v/>
      </c>
      <c r="J112" s="13" t="str">
        <f t="shared" si="8"/>
        <v/>
      </c>
      <c r="K112" s="13" t="str">
        <f t="shared" si="9"/>
        <v/>
      </c>
    </row>
    <row r="113" spans="2:11" x14ac:dyDescent="0.3">
      <c r="B113" s="19" t="str">
        <f t="shared" si="0"/>
        <v/>
      </c>
      <c r="C113" s="14" t="str">
        <f t="shared" si="1"/>
        <v/>
      </c>
      <c r="D113" s="14" t="str">
        <f t="shared" si="2"/>
        <v/>
      </c>
      <c r="E113" s="19" t="str">
        <f t="shared" si="3"/>
        <v/>
      </c>
      <c r="F113" s="13" t="str">
        <f t="shared" si="4"/>
        <v/>
      </c>
      <c r="G113" s="13" t="str">
        <f t="shared" si="5"/>
        <v/>
      </c>
      <c r="H113" s="13" t="str">
        <f t="shared" si="6"/>
        <v/>
      </c>
      <c r="I113" s="13" t="str">
        <f t="shared" si="7"/>
        <v/>
      </c>
      <c r="J113" s="13" t="str">
        <f t="shared" si="8"/>
        <v/>
      </c>
      <c r="K113" s="13" t="str">
        <f t="shared" si="9"/>
        <v/>
      </c>
    </row>
    <row r="114" spans="2:11" x14ac:dyDescent="0.3">
      <c r="B114" s="19" t="str">
        <f t="shared" si="0"/>
        <v/>
      </c>
      <c r="C114" s="14" t="str">
        <f t="shared" si="1"/>
        <v/>
      </c>
      <c r="D114" s="14" t="str">
        <f t="shared" si="2"/>
        <v/>
      </c>
      <c r="E114" s="19" t="str">
        <f t="shared" si="3"/>
        <v/>
      </c>
      <c r="F114" s="13" t="str">
        <f t="shared" si="4"/>
        <v/>
      </c>
      <c r="G114" s="13" t="str">
        <f t="shared" si="5"/>
        <v/>
      </c>
      <c r="H114" s="13" t="str">
        <f t="shared" si="6"/>
        <v/>
      </c>
      <c r="I114" s="13" t="str">
        <f t="shared" si="7"/>
        <v/>
      </c>
      <c r="J114" s="13" t="str">
        <f t="shared" si="8"/>
        <v/>
      </c>
      <c r="K114" s="13" t="str">
        <f t="shared" si="9"/>
        <v/>
      </c>
    </row>
    <row r="115" spans="2:11" x14ac:dyDescent="0.3">
      <c r="B115" s="19" t="str">
        <f t="shared" si="0"/>
        <v/>
      </c>
      <c r="C115" s="14" t="str">
        <f t="shared" si="1"/>
        <v/>
      </c>
      <c r="D115" s="14" t="str">
        <f t="shared" si="2"/>
        <v/>
      </c>
      <c r="E115" s="19" t="str">
        <f t="shared" si="3"/>
        <v/>
      </c>
      <c r="F115" s="13" t="str">
        <f t="shared" si="4"/>
        <v/>
      </c>
      <c r="G115" s="13" t="str">
        <f t="shared" si="5"/>
        <v/>
      </c>
      <c r="H115" s="13" t="str">
        <f t="shared" si="6"/>
        <v/>
      </c>
      <c r="I115" s="13" t="str">
        <f t="shared" si="7"/>
        <v/>
      </c>
      <c r="J115" s="13" t="str">
        <f t="shared" si="8"/>
        <v/>
      </c>
      <c r="K115" s="13" t="str">
        <f t="shared" si="9"/>
        <v/>
      </c>
    </row>
    <row r="116" spans="2:11" x14ac:dyDescent="0.3">
      <c r="B116" s="19" t="str">
        <f t="shared" si="0"/>
        <v/>
      </c>
      <c r="C116" s="14" t="str">
        <f t="shared" si="1"/>
        <v/>
      </c>
      <c r="D116" s="14" t="str">
        <f t="shared" si="2"/>
        <v/>
      </c>
      <c r="E116" s="19" t="str">
        <f t="shared" si="3"/>
        <v/>
      </c>
      <c r="F116" s="13" t="str">
        <f t="shared" si="4"/>
        <v/>
      </c>
      <c r="G116" s="13" t="str">
        <f t="shared" si="5"/>
        <v/>
      </c>
      <c r="H116" s="13" t="str">
        <f t="shared" si="6"/>
        <v/>
      </c>
      <c r="I116" s="13" t="str">
        <f t="shared" si="7"/>
        <v/>
      </c>
      <c r="J116" s="13" t="str">
        <f t="shared" si="8"/>
        <v/>
      </c>
      <c r="K116" s="13" t="str">
        <f t="shared" si="9"/>
        <v/>
      </c>
    </row>
    <row r="117" spans="2:11" x14ac:dyDescent="0.3">
      <c r="B117" s="19" t="str">
        <f t="shared" si="0"/>
        <v/>
      </c>
      <c r="C117" s="14" t="str">
        <f t="shared" si="1"/>
        <v/>
      </c>
      <c r="D117" s="14" t="str">
        <f t="shared" si="2"/>
        <v/>
      </c>
      <c r="E117" s="19" t="str">
        <f t="shared" si="3"/>
        <v/>
      </c>
      <c r="F117" s="13" t="str">
        <f t="shared" si="4"/>
        <v/>
      </c>
      <c r="G117" s="13" t="str">
        <f t="shared" si="5"/>
        <v/>
      </c>
      <c r="H117" s="13" t="str">
        <f t="shared" si="6"/>
        <v/>
      </c>
      <c r="I117" s="13" t="str">
        <f t="shared" si="7"/>
        <v/>
      </c>
      <c r="J117" s="13" t="str">
        <f t="shared" si="8"/>
        <v/>
      </c>
      <c r="K117" s="13" t="str">
        <f t="shared" si="9"/>
        <v/>
      </c>
    </row>
    <row r="118" spans="2:11" x14ac:dyDescent="0.3">
      <c r="B118" s="19" t="str">
        <f t="shared" si="0"/>
        <v/>
      </c>
      <c r="C118" s="14" t="str">
        <f t="shared" si="1"/>
        <v/>
      </c>
      <c r="D118" s="14" t="str">
        <f t="shared" si="2"/>
        <v/>
      </c>
      <c r="E118" s="19" t="str">
        <f t="shared" si="3"/>
        <v/>
      </c>
      <c r="F118" s="13" t="str">
        <f t="shared" si="4"/>
        <v/>
      </c>
      <c r="G118" s="13" t="str">
        <f t="shared" si="5"/>
        <v/>
      </c>
      <c r="H118" s="13" t="str">
        <f t="shared" si="6"/>
        <v/>
      </c>
      <c r="I118" s="13" t="str">
        <f t="shared" si="7"/>
        <v/>
      </c>
      <c r="J118" s="13" t="str">
        <f t="shared" si="8"/>
        <v/>
      </c>
      <c r="K118" s="13" t="str">
        <f t="shared" si="9"/>
        <v/>
      </c>
    </row>
    <row r="119" spans="2:11" x14ac:dyDescent="0.3">
      <c r="B119" s="19" t="str">
        <f t="shared" si="0"/>
        <v/>
      </c>
      <c r="C119" s="14" t="str">
        <f t="shared" si="1"/>
        <v/>
      </c>
      <c r="D119" s="14" t="str">
        <f t="shared" si="2"/>
        <v/>
      </c>
      <c r="E119" s="19" t="str">
        <f t="shared" si="3"/>
        <v/>
      </c>
      <c r="F119" s="13" t="str">
        <f t="shared" si="4"/>
        <v/>
      </c>
      <c r="G119" s="13" t="str">
        <f t="shared" si="5"/>
        <v/>
      </c>
      <c r="H119" s="13" t="str">
        <f t="shared" si="6"/>
        <v/>
      </c>
      <c r="I119" s="13" t="str">
        <f t="shared" si="7"/>
        <v/>
      </c>
      <c r="J119" s="13" t="str">
        <f t="shared" si="8"/>
        <v/>
      </c>
      <c r="K119" s="13" t="str">
        <f t="shared" si="9"/>
        <v/>
      </c>
    </row>
    <row r="120" spans="2:11" x14ac:dyDescent="0.3">
      <c r="B120" s="19" t="str">
        <f t="shared" si="0"/>
        <v/>
      </c>
      <c r="C120" s="14" t="str">
        <f t="shared" si="1"/>
        <v/>
      </c>
      <c r="D120" s="14" t="str">
        <f t="shared" si="2"/>
        <v/>
      </c>
      <c r="E120" s="19" t="str">
        <f t="shared" si="3"/>
        <v/>
      </c>
      <c r="F120" s="13" t="str">
        <f t="shared" si="4"/>
        <v/>
      </c>
      <c r="G120" s="13" t="str">
        <f t="shared" si="5"/>
        <v/>
      </c>
      <c r="H120" s="13" t="str">
        <f t="shared" si="6"/>
        <v/>
      </c>
      <c r="I120" s="13" t="str">
        <f t="shared" si="7"/>
        <v/>
      </c>
      <c r="J120" s="13" t="str">
        <f t="shared" si="8"/>
        <v/>
      </c>
      <c r="K120" s="13" t="str">
        <f t="shared" si="9"/>
        <v/>
      </c>
    </row>
    <row r="121" spans="2:11" x14ac:dyDescent="0.3">
      <c r="B121" s="19" t="str">
        <f t="shared" si="0"/>
        <v/>
      </c>
      <c r="C121" s="14" t="str">
        <f t="shared" si="1"/>
        <v/>
      </c>
      <c r="D121" s="14" t="str">
        <f t="shared" si="2"/>
        <v/>
      </c>
      <c r="E121" s="19" t="str">
        <f t="shared" si="3"/>
        <v/>
      </c>
      <c r="F121" s="13" t="str">
        <f t="shared" si="4"/>
        <v/>
      </c>
      <c r="G121" s="13" t="str">
        <f t="shared" si="5"/>
        <v/>
      </c>
      <c r="H121" s="13" t="str">
        <f t="shared" si="6"/>
        <v/>
      </c>
      <c r="I121" s="13" t="str">
        <f t="shared" si="7"/>
        <v/>
      </c>
      <c r="J121" s="13" t="str">
        <f t="shared" si="8"/>
        <v/>
      </c>
      <c r="K121" s="13" t="str">
        <f t="shared" si="9"/>
        <v/>
      </c>
    </row>
    <row r="122" spans="2:11" x14ac:dyDescent="0.3">
      <c r="B122" s="19" t="str">
        <f t="shared" si="0"/>
        <v/>
      </c>
      <c r="C122" s="14" t="str">
        <f t="shared" si="1"/>
        <v/>
      </c>
      <c r="D122" s="14" t="str">
        <f t="shared" si="2"/>
        <v/>
      </c>
      <c r="E122" s="19" t="str">
        <f t="shared" si="3"/>
        <v/>
      </c>
      <c r="F122" s="13" t="str">
        <f t="shared" si="4"/>
        <v/>
      </c>
      <c r="G122" s="13" t="str">
        <f t="shared" si="5"/>
        <v/>
      </c>
      <c r="H122" s="13" t="str">
        <f t="shared" si="6"/>
        <v/>
      </c>
      <c r="I122" s="13" t="str">
        <f t="shared" si="7"/>
        <v/>
      </c>
      <c r="J122" s="13" t="str">
        <f t="shared" si="8"/>
        <v/>
      </c>
      <c r="K122" s="13" t="str">
        <f t="shared" si="9"/>
        <v/>
      </c>
    </row>
    <row r="123" spans="2:11" x14ac:dyDescent="0.3">
      <c r="B123" s="19" t="str">
        <f t="shared" ref="B123:B154" si="10">IF($B38="","","Coc")</f>
        <v/>
      </c>
      <c r="C123" s="14" t="str">
        <f t="shared" ref="C123:C154" si="11">IF($B38="","",$B38)</f>
        <v/>
      </c>
      <c r="D123" s="14" t="str">
        <f t="shared" ref="D123:D154" si="12">IF($B38="","",$C38)</f>
        <v/>
      </c>
      <c r="E123" s="19" t="str">
        <f t="shared" ref="E123:E154" si="13">IF($B38="","",IF($C38&lt;=3*nLan,"SD",IF($C38&lt;=9*nLan+2,"CĐ","ĐB")))</f>
        <v/>
      </c>
      <c r="F123" s="13" t="str">
        <f t="shared" ref="F123:F154" si="14">IF($B38="","",$D38)</f>
        <v/>
      </c>
      <c r="G123" s="13" t="str">
        <f t="shared" ref="G123:G154" si="15">IF($B38="","",$E38)</f>
        <v/>
      </c>
      <c r="H123" s="13" t="str">
        <f t="shared" ref="H123:H154" si="16">IF($B38="","",$F38)</f>
        <v/>
      </c>
      <c r="I123" s="13" t="str">
        <f t="shared" ref="I123:I154" si="17">IF($B38="","",0)</f>
        <v/>
      </c>
      <c r="J123" s="13" t="str">
        <f t="shared" ref="J123:J154" si="18">IF($B38="","",$G38)</f>
        <v/>
      </c>
      <c r="K123" s="13" t="str">
        <f t="shared" ref="K123:K154" si="19">IF($B38="","",$H38)</f>
        <v/>
      </c>
    </row>
    <row r="124" spans="2:11" x14ac:dyDescent="0.3">
      <c r="B124" s="19" t="str">
        <f t="shared" si="10"/>
        <v/>
      </c>
      <c r="C124" s="14" t="str">
        <f t="shared" si="11"/>
        <v/>
      </c>
      <c r="D124" s="14" t="str">
        <f t="shared" si="12"/>
        <v/>
      </c>
      <c r="E124" s="19" t="str">
        <f t="shared" si="13"/>
        <v/>
      </c>
      <c r="F124" s="13" t="str">
        <f t="shared" si="14"/>
        <v/>
      </c>
      <c r="G124" s="13" t="str">
        <f t="shared" si="15"/>
        <v/>
      </c>
      <c r="H124" s="13" t="str">
        <f t="shared" si="16"/>
        <v/>
      </c>
      <c r="I124" s="13" t="str">
        <f t="shared" si="17"/>
        <v/>
      </c>
      <c r="J124" s="13" t="str">
        <f t="shared" si="18"/>
        <v/>
      </c>
      <c r="K124" s="13" t="str">
        <f t="shared" si="19"/>
        <v/>
      </c>
    </row>
    <row r="125" spans="2:11" x14ac:dyDescent="0.3">
      <c r="B125" s="19" t="str">
        <f t="shared" si="10"/>
        <v/>
      </c>
      <c r="C125" s="14" t="str">
        <f t="shared" si="11"/>
        <v/>
      </c>
      <c r="D125" s="14" t="str">
        <f t="shared" si="12"/>
        <v/>
      </c>
      <c r="E125" s="19" t="str">
        <f t="shared" si="13"/>
        <v/>
      </c>
      <c r="F125" s="13" t="str">
        <f t="shared" si="14"/>
        <v/>
      </c>
      <c r="G125" s="13" t="str">
        <f t="shared" si="15"/>
        <v/>
      </c>
      <c r="H125" s="13" t="str">
        <f t="shared" si="16"/>
        <v/>
      </c>
      <c r="I125" s="13" t="str">
        <f t="shared" si="17"/>
        <v/>
      </c>
      <c r="J125" s="13" t="str">
        <f t="shared" si="18"/>
        <v/>
      </c>
      <c r="K125" s="13" t="str">
        <f t="shared" si="19"/>
        <v/>
      </c>
    </row>
    <row r="126" spans="2:11" x14ac:dyDescent="0.3">
      <c r="B126" s="19" t="str">
        <f t="shared" si="10"/>
        <v/>
      </c>
      <c r="C126" s="14" t="str">
        <f t="shared" si="11"/>
        <v/>
      </c>
      <c r="D126" s="14" t="str">
        <f t="shared" si="12"/>
        <v/>
      </c>
      <c r="E126" s="19" t="str">
        <f t="shared" si="13"/>
        <v/>
      </c>
      <c r="F126" s="13" t="str">
        <f t="shared" si="14"/>
        <v/>
      </c>
      <c r="G126" s="13" t="str">
        <f t="shared" si="15"/>
        <v/>
      </c>
      <c r="H126" s="13" t="str">
        <f t="shared" si="16"/>
        <v/>
      </c>
      <c r="I126" s="13" t="str">
        <f t="shared" si="17"/>
        <v/>
      </c>
      <c r="J126" s="13" t="str">
        <f t="shared" si="18"/>
        <v/>
      </c>
      <c r="K126" s="13" t="str">
        <f t="shared" si="19"/>
        <v/>
      </c>
    </row>
    <row r="127" spans="2:11" x14ac:dyDescent="0.3">
      <c r="B127" s="19" t="str">
        <f t="shared" si="10"/>
        <v/>
      </c>
      <c r="C127" s="14" t="str">
        <f t="shared" si="11"/>
        <v/>
      </c>
      <c r="D127" s="14" t="str">
        <f t="shared" si="12"/>
        <v/>
      </c>
      <c r="E127" s="19" t="str">
        <f t="shared" si="13"/>
        <v/>
      </c>
      <c r="F127" s="13" t="str">
        <f t="shared" si="14"/>
        <v/>
      </c>
      <c r="G127" s="13" t="str">
        <f t="shared" si="15"/>
        <v/>
      </c>
      <c r="H127" s="13" t="str">
        <f t="shared" si="16"/>
        <v/>
      </c>
      <c r="I127" s="13" t="str">
        <f t="shared" si="17"/>
        <v/>
      </c>
      <c r="J127" s="13" t="str">
        <f t="shared" si="18"/>
        <v/>
      </c>
      <c r="K127" s="13" t="str">
        <f t="shared" si="19"/>
        <v/>
      </c>
    </row>
    <row r="128" spans="2:11" x14ac:dyDescent="0.3">
      <c r="B128" s="19" t="str">
        <f t="shared" si="10"/>
        <v/>
      </c>
      <c r="C128" s="14" t="str">
        <f t="shared" si="11"/>
        <v/>
      </c>
      <c r="D128" s="14" t="str">
        <f t="shared" si="12"/>
        <v/>
      </c>
      <c r="E128" s="19" t="str">
        <f t="shared" si="13"/>
        <v/>
      </c>
      <c r="F128" s="13" t="str">
        <f t="shared" si="14"/>
        <v/>
      </c>
      <c r="G128" s="13" t="str">
        <f t="shared" si="15"/>
        <v/>
      </c>
      <c r="H128" s="13" t="str">
        <f t="shared" si="16"/>
        <v/>
      </c>
      <c r="I128" s="13" t="str">
        <f t="shared" si="17"/>
        <v/>
      </c>
      <c r="J128" s="13" t="str">
        <f t="shared" si="18"/>
        <v/>
      </c>
      <c r="K128" s="13" t="str">
        <f t="shared" si="19"/>
        <v/>
      </c>
    </row>
    <row r="129" spans="2:11" x14ac:dyDescent="0.3">
      <c r="B129" s="19" t="str">
        <f t="shared" si="10"/>
        <v/>
      </c>
      <c r="C129" s="14" t="str">
        <f t="shared" si="11"/>
        <v/>
      </c>
      <c r="D129" s="14" t="str">
        <f t="shared" si="12"/>
        <v/>
      </c>
      <c r="E129" s="19" t="str">
        <f t="shared" si="13"/>
        <v/>
      </c>
      <c r="F129" s="13" t="str">
        <f t="shared" si="14"/>
        <v/>
      </c>
      <c r="G129" s="13" t="str">
        <f t="shared" si="15"/>
        <v/>
      </c>
      <c r="H129" s="13" t="str">
        <f t="shared" si="16"/>
        <v/>
      </c>
      <c r="I129" s="13" t="str">
        <f t="shared" si="17"/>
        <v/>
      </c>
      <c r="J129" s="13" t="str">
        <f t="shared" si="18"/>
        <v/>
      </c>
      <c r="K129" s="13" t="str">
        <f t="shared" si="19"/>
        <v/>
      </c>
    </row>
    <row r="130" spans="2:11" x14ac:dyDescent="0.3">
      <c r="B130" s="19" t="str">
        <f t="shared" si="10"/>
        <v/>
      </c>
      <c r="C130" s="14" t="str">
        <f t="shared" si="11"/>
        <v/>
      </c>
      <c r="D130" s="14" t="str">
        <f t="shared" si="12"/>
        <v/>
      </c>
      <c r="E130" s="19" t="str">
        <f t="shared" si="13"/>
        <v/>
      </c>
      <c r="F130" s="13" t="str">
        <f t="shared" si="14"/>
        <v/>
      </c>
      <c r="G130" s="13" t="str">
        <f t="shared" si="15"/>
        <v/>
      </c>
      <c r="H130" s="13" t="str">
        <f t="shared" si="16"/>
        <v/>
      </c>
      <c r="I130" s="13" t="str">
        <f t="shared" si="17"/>
        <v/>
      </c>
      <c r="J130" s="13" t="str">
        <f t="shared" si="18"/>
        <v/>
      </c>
      <c r="K130" s="13" t="str">
        <f t="shared" si="19"/>
        <v/>
      </c>
    </row>
    <row r="131" spans="2:11" x14ac:dyDescent="0.3">
      <c r="B131" s="19" t="str">
        <f t="shared" si="10"/>
        <v/>
      </c>
      <c r="C131" s="14" t="str">
        <f t="shared" si="11"/>
        <v/>
      </c>
      <c r="D131" s="14" t="str">
        <f t="shared" si="12"/>
        <v/>
      </c>
      <c r="E131" s="19" t="str">
        <f t="shared" si="13"/>
        <v/>
      </c>
      <c r="F131" s="13" t="str">
        <f t="shared" si="14"/>
        <v/>
      </c>
      <c r="G131" s="13" t="str">
        <f t="shared" si="15"/>
        <v/>
      </c>
      <c r="H131" s="13" t="str">
        <f t="shared" si="16"/>
        <v/>
      </c>
      <c r="I131" s="13" t="str">
        <f t="shared" si="17"/>
        <v/>
      </c>
      <c r="J131" s="13" t="str">
        <f t="shared" si="18"/>
        <v/>
      </c>
      <c r="K131" s="13" t="str">
        <f t="shared" si="19"/>
        <v/>
      </c>
    </row>
    <row r="132" spans="2:11" x14ac:dyDescent="0.3">
      <c r="B132" s="19" t="str">
        <f t="shared" si="10"/>
        <v/>
      </c>
      <c r="C132" s="14" t="str">
        <f t="shared" si="11"/>
        <v/>
      </c>
      <c r="D132" s="14" t="str">
        <f t="shared" si="12"/>
        <v/>
      </c>
      <c r="E132" s="19" t="str">
        <f t="shared" si="13"/>
        <v/>
      </c>
      <c r="F132" s="13" t="str">
        <f t="shared" si="14"/>
        <v/>
      </c>
      <c r="G132" s="13" t="str">
        <f t="shared" si="15"/>
        <v/>
      </c>
      <c r="H132" s="13" t="str">
        <f t="shared" si="16"/>
        <v/>
      </c>
      <c r="I132" s="13" t="str">
        <f t="shared" si="17"/>
        <v/>
      </c>
      <c r="J132" s="13" t="str">
        <f t="shared" si="18"/>
        <v/>
      </c>
      <c r="K132" s="13" t="str">
        <f t="shared" si="19"/>
        <v/>
      </c>
    </row>
    <row r="133" spans="2:11" x14ac:dyDescent="0.3">
      <c r="B133" s="19" t="str">
        <f t="shared" si="10"/>
        <v/>
      </c>
      <c r="C133" s="14" t="str">
        <f t="shared" si="11"/>
        <v/>
      </c>
      <c r="D133" s="14" t="str">
        <f t="shared" si="12"/>
        <v/>
      </c>
      <c r="E133" s="19" t="str">
        <f t="shared" si="13"/>
        <v/>
      </c>
      <c r="F133" s="13" t="str">
        <f t="shared" si="14"/>
        <v/>
      </c>
      <c r="G133" s="13" t="str">
        <f t="shared" si="15"/>
        <v/>
      </c>
      <c r="H133" s="13" t="str">
        <f t="shared" si="16"/>
        <v/>
      </c>
      <c r="I133" s="13" t="str">
        <f t="shared" si="17"/>
        <v/>
      </c>
      <c r="J133" s="13" t="str">
        <f t="shared" si="18"/>
        <v/>
      </c>
      <c r="K133" s="13" t="str">
        <f t="shared" si="19"/>
        <v/>
      </c>
    </row>
    <row r="134" spans="2:11" x14ac:dyDescent="0.3">
      <c r="B134" s="19" t="str">
        <f t="shared" si="10"/>
        <v/>
      </c>
      <c r="C134" s="14" t="str">
        <f t="shared" si="11"/>
        <v/>
      </c>
      <c r="D134" s="14" t="str">
        <f t="shared" si="12"/>
        <v/>
      </c>
      <c r="E134" s="19" t="str">
        <f t="shared" si="13"/>
        <v/>
      </c>
      <c r="F134" s="13" t="str">
        <f t="shared" si="14"/>
        <v/>
      </c>
      <c r="G134" s="13" t="str">
        <f t="shared" si="15"/>
        <v/>
      </c>
      <c r="H134" s="13" t="str">
        <f t="shared" si="16"/>
        <v/>
      </c>
      <c r="I134" s="13" t="str">
        <f t="shared" si="17"/>
        <v/>
      </c>
      <c r="J134" s="13" t="str">
        <f t="shared" si="18"/>
        <v/>
      </c>
      <c r="K134" s="13" t="str">
        <f t="shared" si="19"/>
        <v/>
      </c>
    </row>
    <row r="135" spans="2:11" x14ac:dyDescent="0.3">
      <c r="B135" s="19" t="str">
        <f t="shared" si="10"/>
        <v/>
      </c>
      <c r="C135" s="14" t="str">
        <f t="shared" si="11"/>
        <v/>
      </c>
      <c r="D135" s="14" t="str">
        <f t="shared" si="12"/>
        <v/>
      </c>
      <c r="E135" s="19" t="str">
        <f t="shared" si="13"/>
        <v/>
      </c>
      <c r="F135" s="13" t="str">
        <f t="shared" si="14"/>
        <v/>
      </c>
      <c r="G135" s="13" t="str">
        <f t="shared" si="15"/>
        <v/>
      </c>
      <c r="H135" s="13" t="str">
        <f t="shared" si="16"/>
        <v/>
      </c>
      <c r="I135" s="13" t="str">
        <f t="shared" si="17"/>
        <v/>
      </c>
      <c r="J135" s="13" t="str">
        <f t="shared" si="18"/>
        <v/>
      </c>
      <c r="K135" s="13" t="str">
        <f t="shared" si="19"/>
        <v/>
      </c>
    </row>
    <row r="136" spans="2:11" x14ac:dyDescent="0.3">
      <c r="B136" s="19" t="str">
        <f t="shared" si="10"/>
        <v/>
      </c>
      <c r="C136" s="14" t="str">
        <f t="shared" si="11"/>
        <v/>
      </c>
      <c r="D136" s="14" t="str">
        <f t="shared" si="12"/>
        <v/>
      </c>
      <c r="E136" s="19" t="str">
        <f t="shared" si="13"/>
        <v/>
      </c>
      <c r="F136" s="13" t="str">
        <f t="shared" si="14"/>
        <v/>
      </c>
      <c r="G136" s="13" t="str">
        <f t="shared" si="15"/>
        <v/>
      </c>
      <c r="H136" s="13" t="str">
        <f t="shared" si="16"/>
        <v/>
      </c>
      <c r="I136" s="13" t="str">
        <f t="shared" si="17"/>
        <v/>
      </c>
      <c r="J136" s="13" t="str">
        <f t="shared" si="18"/>
        <v/>
      </c>
      <c r="K136" s="13" t="str">
        <f t="shared" si="19"/>
        <v/>
      </c>
    </row>
    <row r="137" spans="2:11" x14ac:dyDescent="0.3">
      <c r="B137" s="19" t="str">
        <f t="shared" si="10"/>
        <v/>
      </c>
      <c r="C137" s="14" t="str">
        <f t="shared" si="11"/>
        <v/>
      </c>
      <c r="D137" s="14" t="str">
        <f t="shared" si="12"/>
        <v/>
      </c>
      <c r="E137" s="19" t="str">
        <f t="shared" si="13"/>
        <v/>
      </c>
      <c r="F137" s="13" t="str">
        <f t="shared" si="14"/>
        <v/>
      </c>
      <c r="G137" s="13" t="str">
        <f t="shared" si="15"/>
        <v/>
      </c>
      <c r="H137" s="13" t="str">
        <f t="shared" si="16"/>
        <v/>
      </c>
      <c r="I137" s="13" t="str">
        <f t="shared" si="17"/>
        <v/>
      </c>
      <c r="J137" s="13" t="str">
        <f t="shared" si="18"/>
        <v/>
      </c>
      <c r="K137" s="13" t="str">
        <f t="shared" si="19"/>
        <v/>
      </c>
    </row>
    <row r="138" spans="2:11" x14ac:dyDescent="0.3">
      <c r="B138" s="19" t="str">
        <f t="shared" si="10"/>
        <v/>
      </c>
      <c r="C138" s="14" t="str">
        <f t="shared" si="11"/>
        <v/>
      </c>
      <c r="D138" s="14" t="str">
        <f t="shared" si="12"/>
        <v/>
      </c>
      <c r="E138" s="19" t="str">
        <f t="shared" si="13"/>
        <v/>
      </c>
      <c r="F138" s="13" t="str">
        <f t="shared" si="14"/>
        <v/>
      </c>
      <c r="G138" s="13" t="str">
        <f t="shared" si="15"/>
        <v/>
      </c>
      <c r="H138" s="13" t="str">
        <f t="shared" si="16"/>
        <v/>
      </c>
      <c r="I138" s="13" t="str">
        <f t="shared" si="17"/>
        <v/>
      </c>
      <c r="J138" s="13" t="str">
        <f t="shared" si="18"/>
        <v/>
      </c>
      <c r="K138" s="13" t="str">
        <f t="shared" si="19"/>
        <v/>
      </c>
    </row>
    <row r="139" spans="2:11" x14ac:dyDescent="0.3">
      <c r="B139" s="19" t="str">
        <f t="shared" si="10"/>
        <v/>
      </c>
      <c r="C139" s="14" t="str">
        <f t="shared" si="11"/>
        <v/>
      </c>
      <c r="D139" s="14" t="str">
        <f t="shared" si="12"/>
        <v/>
      </c>
      <c r="E139" s="19" t="str">
        <f t="shared" si="13"/>
        <v/>
      </c>
      <c r="F139" s="13" t="str">
        <f t="shared" si="14"/>
        <v/>
      </c>
      <c r="G139" s="13" t="str">
        <f t="shared" si="15"/>
        <v/>
      </c>
      <c r="H139" s="13" t="str">
        <f t="shared" si="16"/>
        <v/>
      </c>
      <c r="I139" s="13" t="str">
        <f t="shared" si="17"/>
        <v/>
      </c>
      <c r="J139" s="13" t="str">
        <f t="shared" si="18"/>
        <v/>
      </c>
      <c r="K139" s="13" t="str">
        <f t="shared" si="19"/>
        <v/>
      </c>
    </row>
    <row r="140" spans="2:11" x14ac:dyDescent="0.3">
      <c r="B140" s="19" t="str">
        <f t="shared" si="10"/>
        <v/>
      </c>
      <c r="C140" s="14" t="str">
        <f t="shared" si="11"/>
        <v/>
      </c>
      <c r="D140" s="14" t="str">
        <f t="shared" si="12"/>
        <v/>
      </c>
      <c r="E140" s="19" t="str">
        <f t="shared" si="13"/>
        <v/>
      </c>
      <c r="F140" s="13" t="str">
        <f t="shared" si="14"/>
        <v/>
      </c>
      <c r="G140" s="13" t="str">
        <f t="shared" si="15"/>
        <v/>
      </c>
      <c r="H140" s="13" t="str">
        <f t="shared" si="16"/>
        <v/>
      </c>
      <c r="I140" s="13" t="str">
        <f t="shared" si="17"/>
        <v/>
      </c>
      <c r="J140" s="13" t="str">
        <f t="shared" si="18"/>
        <v/>
      </c>
      <c r="K140" s="13" t="str">
        <f t="shared" si="19"/>
        <v/>
      </c>
    </row>
    <row r="141" spans="2:11" x14ac:dyDescent="0.3">
      <c r="B141" s="19" t="str">
        <f t="shared" si="10"/>
        <v/>
      </c>
      <c r="C141" s="14" t="str">
        <f t="shared" si="11"/>
        <v/>
      </c>
      <c r="D141" s="14" t="str">
        <f t="shared" si="12"/>
        <v/>
      </c>
      <c r="E141" s="19" t="str">
        <f t="shared" si="13"/>
        <v/>
      </c>
      <c r="F141" s="13" t="str">
        <f t="shared" si="14"/>
        <v/>
      </c>
      <c r="G141" s="13" t="str">
        <f t="shared" si="15"/>
        <v/>
      </c>
      <c r="H141" s="13" t="str">
        <f t="shared" si="16"/>
        <v/>
      </c>
      <c r="I141" s="13" t="str">
        <f t="shared" si="17"/>
        <v/>
      </c>
      <c r="J141" s="13" t="str">
        <f t="shared" si="18"/>
        <v/>
      </c>
      <c r="K141" s="13" t="str">
        <f t="shared" si="19"/>
        <v/>
      </c>
    </row>
    <row r="142" spans="2:11" x14ac:dyDescent="0.3">
      <c r="B142" s="19" t="str">
        <f t="shared" si="10"/>
        <v/>
      </c>
      <c r="C142" s="14" t="str">
        <f t="shared" si="11"/>
        <v/>
      </c>
      <c r="D142" s="14" t="str">
        <f t="shared" si="12"/>
        <v/>
      </c>
      <c r="E142" s="19" t="str">
        <f t="shared" si="13"/>
        <v/>
      </c>
      <c r="F142" s="13" t="str">
        <f t="shared" si="14"/>
        <v/>
      </c>
      <c r="G142" s="13" t="str">
        <f t="shared" si="15"/>
        <v/>
      </c>
      <c r="H142" s="13" t="str">
        <f t="shared" si="16"/>
        <v/>
      </c>
      <c r="I142" s="13" t="str">
        <f t="shared" si="17"/>
        <v/>
      </c>
      <c r="J142" s="13" t="str">
        <f t="shared" si="18"/>
        <v/>
      </c>
      <c r="K142" s="13" t="str">
        <f t="shared" si="19"/>
        <v/>
      </c>
    </row>
    <row r="143" spans="2:11" x14ac:dyDescent="0.3">
      <c r="B143" s="19" t="str">
        <f t="shared" si="10"/>
        <v/>
      </c>
      <c r="C143" s="14" t="str">
        <f t="shared" si="11"/>
        <v/>
      </c>
      <c r="D143" s="14" t="str">
        <f t="shared" si="12"/>
        <v/>
      </c>
      <c r="E143" s="19" t="str">
        <f t="shared" si="13"/>
        <v/>
      </c>
      <c r="F143" s="13" t="str">
        <f t="shared" si="14"/>
        <v/>
      </c>
      <c r="G143" s="13" t="str">
        <f t="shared" si="15"/>
        <v/>
      </c>
      <c r="H143" s="13" t="str">
        <f t="shared" si="16"/>
        <v/>
      </c>
      <c r="I143" s="13" t="str">
        <f t="shared" si="17"/>
        <v/>
      </c>
      <c r="J143" s="13" t="str">
        <f t="shared" si="18"/>
        <v/>
      </c>
      <c r="K143" s="13" t="str">
        <f t="shared" si="19"/>
        <v/>
      </c>
    </row>
    <row r="144" spans="2:11" x14ac:dyDescent="0.3">
      <c r="B144" s="19" t="str">
        <f t="shared" si="10"/>
        <v/>
      </c>
      <c r="C144" s="14" t="str">
        <f t="shared" si="11"/>
        <v/>
      </c>
      <c r="D144" s="14" t="str">
        <f t="shared" si="12"/>
        <v/>
      </c>
      <c r="E144" s="19" t="str">
        <f t="shared" si="13"/>
        <v/>
      </c>
      <c r="F144" s="13" t="str">
        <f t="shared" si="14"/>
        <v/>
      </c>
      <c r="G144" s="13" t="str">
        <f t="shared" si="15"/>
        <v/>
      </c>
      <c r="H144" s="13" t="str">
        <f t="shared" si="16"/>
        <v/>
      </c>
      <c r="I144" s="13" t="str">
        <f t="shared" si="17"/>
        <v/>
      </c>
      <c r="J144" s="13" t="str">
        <f t="shared" si="18"/>
        <v/>
      </c>
      <c r="K144" s="13" t="str">
        <f t="shared" si="19"/>
        <v/>
      </c>
    </row>
    <row r="145" spans="2:11" x14ac:dyDescent="0.3">
      <c r="B145" s="19" t="str">
        <f t="shared" si="10"/>
        <v/>
      </c>
      <c r="C145" s="14" t="str">
        <f t="shared" si="11"/>
        <v/>
      </c>
      <c r="D145" s="14" t="str">
        <f t="shared" si="12"/>
        <v/>
      </c>
      <c r="E145" s="19" t="str">
        <f t="shared" si="13"/>
        <v/>
      </c>
      <c r="F145" s="13" t="str">
        <f t="shared" si="14"/>
        <v/>
      </c>
      <c r="G145" s="13" t="str">
        <f t="shared" si="15"/>
        <v/>
      </c>
      <c r="H145" s="13" t="str">
        <f t="shared" si="16"/>
        <v/>
      </c>
      <c r="I145" s="13" t="str">
        <f t="shared" si="17"/>
        <v/>
      </c>
      <c r="J145" s="13" t="str">
        <f t="shared" si="18"/>
        <v/>
      </c>
      <c r="K145" s="13" t="str">
        <f t="shared" si="19"/>
        <v/>
      </c>
    </row>
    <row r="146" spans="2:11" x14ac:dyDescent="0.3">
      <c r="B146" s="19" t="str">
        <f t="shared" si="10"/>
        <v/>
      </c>
      <c r="C146" s="14" t="str">
        <f t="shared" si="11"/>
        <v/>
      </c>
      <c r="D146" s="14" t="str">
        <f t="shared" si="12"/>
        <v/>
      </c>
      <c r="E146" s="19" t="str">
        <f t="shared" si="13"/>
        <v/>
      </c>
      <c r="F146" s="13" t="str">
        <f t="shared" si="14"/>
        <v/>
      </c>
      <c r="G146" s="13" t="str">
        <f t="shared" si="15"/>
        <v/>
      </c>
      <c r="H146" s="13" t="str">
        <f t="shared" si="16"/>
        <v/>
      </c>
      <c r="I146" s="13" t="str">
        <f t="shared" si="17"/>
        <v/>
      </c>
      <c r="J146" s="13" t="str">
        <f t="shared" si="18"/>
        <v/>
      </c>
      <c r="K146" s="13" t="str">
        <f t="shared" si="19"/>
        <v/>
      </c>
    </row>
    <row r="147" spans="2:11" x14ac:dyDescent="0.3">
      <c r="B147" s="19" t="str">
        <f t="shared" si="10"/>
        <v/>
      </c>
      <c r="C147" s="14" t="str">
        <f t="shared" si="11"/>
        <v/>
      </c>
      <c r="D147" s="14" t="str">
        <f t="shared" si="12"/>
        <v/>
      </c>
      <c r="E147" s="19" t="str">
        <f t="shared" si="13"/>
        <v/>
      </c>
      <c r="F147" s="13" t="str">
        <f t="shared" si="14"/>
        <v/>
      </c>
      <c r="G147" s="13" t="str">
        <f t="shared" si="15"/>
        <v/>
      </c>
      <c r="H147" s="13" t="str">
        <f t="shared" si="16"/>
        <v/>
      </c>
      <c r="I147" s="13" t="str">
        <f t="shared" si="17"/>
        <v/>
      </c>
      <c r="J147" s="13" t="str">
        <f t="shared" si="18"/>
        <v/>
      </c>
      <c r="K147" s="13" t="str">
        <f t="shared" si="19"/>
        <v/>
      </c>
    </row>
    <row r="148" spans="2:11" x14ac:dyDescent="0.3">
      <c r="B148" s="19" t="str">
        <f t="shared" si="10"/>
        <v/>
      </c>
      <c r="C148" s="14" t="str">
        <f t="shared" si="11"/>
        <v/>
      </c>
      <c r="D148" s="14" t="str">
        <f t="shared" si="12"/>
        <v/>
      </c>
      <c r="E148" s="19" t="str">
        <f t="shared" si="13"/>
        <v/>
      </c>
      <c r="F148" s="13" t="str">
        <f t="shared" si="14"/>
        <v/>
      </c>
      <c r="G148" s="13" t="str">
        <f t="shared" si="15"/>
        <v/>
      </c>
      <c r="H148" s="13" t="str">
        <f t="shared" si="16"/>
        <v/>
      </c>
      <c r="I148" s="13" t="str">
        <f t="shared" si="17"/>
        <v/>
      </c>
      <c r="J148" s="13" t="str">
        <f t="shared" si="18"/>
        <v/>
      </c>
      <c r="K148" s="13" t="str">
        <f t="shared" si="19"/>
        <v/>
      </c>
    </row>
    <row r="149" spans="2:11" x14ac:dyDescent="0.3">
      <c r="B149" s="19" t="str">
        <f t="shared" si="10"/>
        <v/>
      </c>
      <c r="C149" s="14" t="str">
        <f t="shared" si="11"/>
        <v/>
      </c>
      <c r="D149" s="14" t="str">
        <f t="shared" si="12"/>
        <v/>
      </c>
      <c r="E149" s="19" t="str">
        <f t="shared" si="13"/>
        <v/>
      </c>
      <c r="F149" s="13" t="str">
        <f t="shared" si="14"/>
        <v/>
      </c>
      <c r="G149" s="13" t="str">
        <f t="shared" si="15"/>
        <v/>
      </c>
      <c r="H149" s="13" t="str">
        <f t="shared" si="16"/>
        <v/>
      </c>
      <c r="I149" s="13" t="str">
        <f t="shared" si="17"/>
        <v/>
      </c>
      <c r="J149" s="13" t="str">
        <f t="shared" si="18"/>
        <v/>
      </c>
      <c r="K149" s="13" t="str">
        <f t="shared" si="19"/>
        <v/>
      </c>
    </row>
    <row r="150" spans="2:11" x14ac:dyDescent="0.3">
      <c r="B150" s="19" t="str">
        <f t="shared" si="10"/>
        <v/>
      </c>
      <c r="C150" s="14" t="str">
        <f t="shared" si="11"/>
        <v/>
      </c>
      <c r="D150" s="14" t="str">
        <f t="shared" si="12"/>
        <v/>
      </c>
      <c r="E150" s="19" t="str">
        <f t="shared" si="13"/>
        <v/>
      </c>
      <c r="F150" s="13" t="str">
        <f t="shared" si="14"/>
        <v/>
      </c>
      <c r="G150" s="13" t="str">
        <f t="shared" si="15"/>
        <v/>
      </c>
      <c r="H150" s="13" t="str">
        <f t="shared" si="16"/>
        <v/>
      </c>
      <c r="I150" s="13" t="str">
        <f t="shared" si="17"/>
        <v/>
      </c>
      <c r="J150" s="13" t="str">
        <f t="shared" si="18"/>
        <v/>
      </c>
      <c r="K150" s="13" t="str">
        <f t="shared" si="19"/>
        <v/>
      </c>
    </row>
    <row r="151" spans="2:11" x14ac:dyDescent="0.3">
      <c r="B151" s="19" t="str">
        <f t="shared" si="10"/>
        <v/>
      </c>
      <c r="C151" s="14" t="str">
        <f t="shared" si="11"/>
        <v/>
      </c>
      <c r="D151" s="14" t="str">
        <f t="shared" si="12"/>
        <v/>
      </c>
      <c r="E151" s="19" t="str">
        <f t="shared" si="13"/>
        <v/>
      </c>
      <c r="F151" s="13" t="str">
        <f t="shared" si="14"/>
        <v/>
      </c>
      <c r="G151" s="13" t="str">
        <f t="shared" si="15"/>
        <v/>
      </c>
      <c r="H151" s="13" t="str">
        <f t="shared" si="16"/>
        <v/>
      </c>
      <c r="I151" s="13" t="str">
        <f t="shared" si="17"/>
        <v/>
      </c>
      <c r="J151" s="13" t="str">
        <f t="shared" si="18"/>
        <v/>
      </c>
      <c r="K151" s="13" t="str">
        <f t="shared" si="19"/>
        <v/>
      </c>
    </row>
    <row r="152" spans="2:11" x14ac:dyDescent="0.3">
      <c r="B152" s="19" t="str">
        <f t="shared" si="10"/>
        <v/>
      </c>
      <c r="C152" s="14" t="str">
        <f t="shared" si="11"/>
        <v/>
      </c>
      <c r="D152" s="14" t="str">
        <f t="shared" si="12"/>
        <v/>
      </c>
      <c r="E152" s="19" t="str">
        <f t="shared" si="13"/>
        <v/>
      </c>
      <c r="F152" s="13" t="str">
        <f t="shared" si="14"/>
        <v/>
      </c>
      <c r="G152" s="13" t="str">
        <f t="shared" si="15"/>
        <v/>
      </c>
      <c r="H152" s="13" t="str">
        <f t="shared" si="16"/>
        <v/>
      </c>
      <c r="I152" s="13" t="str">
        <f t="shared" si="17"/>
        <v/>
      </c>
      <c r="J152" s="13" t="str">
        <f t="shared" si="18"/>
        <v/>
      </c>
      <c r="K152" s="13" t="str">
        <f t="shared" si="19"/>
        <v/>
      </c>
    </row>
    <row r="153" spans="2:11" x14ac:dyDescent="0.3">
      <c r="B153" s="19" t="str">
        <f t="shared" si="10"/>
        <v/>
      </c>
      <c r="C153" s="14" t="str">
        <f t="shared" si="11"/>
        <v/>
      </c>
      <c r="D153" s="14" t="str">
        <f t="shared" si="12"/>
        <v/>
      </c>
      <c r="E153" s="19" t="str">
        <f t="shared" si="13"/>
        <v/>
      </c>
      <c r="F153" s="13" t="str">
        <f t="shared" si="14"/>
        <v/>
      </c>
      <c r="G153" s="13" t="str">
        <f t="shared" si="15"/>
        <v/>
      </c>
      <c r="H153" s="13" t="str">
        <f t="shared" si="16"/>
        <v/>
      </c>
      <c r="I153" s="13" t="str">
        <f t="shared" si="17"/>
        <v/>
      </c>
      <c r="J153" s="13" t="str">
        <f t="shared" si="18"/>
        <v/>
      </c>
      <c r="K153" s="13" t="str">
        <f t="shared" si="19"/>
        <v/>
      </c>
    </row>
    <row r="154" spans="2:11" x14ac:dyDescent="0.3">
      <c r="B154" s="19" t="str">
        <f t="shared" si="10"/>
        <v/>
      </c>
      <c r="C154" s="14" t="str">
        <f t="shared" si="11"/>
        <v/>
      </c>
      <c r="D154" s="14" t="str">
        <f t="shared" si="12"/>
        <v/>
      </c>
      <c r="E154" s="19" t="str">
        <f t="shared" si="13"/>
        <v/>
      </c>
      <c r="F154" s="13" t="str">
        <f t="shared" si="14"/>
        <v/>
      </c>
      <c r="G154" s="13" t="str">
        <f t="shared" si="15"/>
        <v/>
      </c>
      <c r="H154" s="13" t="str">
        <f t="shared" si="16"/>
        <v/>
      </c>
      <c r="I154" s="13" t="str">
        <f t="shared" si="17"/>
        <v/>
      </c>
      <c r="J154" s="13" t="str">
        <f t="shared" si="18"/>
        <v/>
      </c>
      <c r="K154" s="13" t="str">
        <f t="shared" si="19"/>
        <v/>
      </c>
    </row>
    <row r="155" spans="2:11" x14ac:dyDescent="0.3">
      <c r="B155" s="19" t="str">
        <f t="shared" ref="B155:B170" si="20">IF($B70="","","Coc")</f>
        <v/>
      </c>
      <c r="C155" s="14" t="str">
        <f t="shared" ref="C155:C170" si="21">IF($B70="","",$B70)</f>
        <v/>
      </c>
      <c r="D155" s="14" t="str">
        <f t="shared" ref="D155:D170" si="22">IF($B70="","",$C70)</f>
        <v/>
      </c>
      <c r="E155" s="19" t="str">
        <f t="shared" ref="E155:E170" si="23">IF($B70="","",IF($C70&lt;=3*nLan,"SD",IF($C70&lt;=9*nLan+2,"CĐ","ĐB")))</f>
        <v/>
      </c>
      <c r="F155" s="13" t="str">
        <f t="shared" ref="F155:F170" si="24">IF($B70="","",$D70)</f>
        <v/>
      </c>
      <c r="G155" s="13" t="str">
        <f t="shared" ref="G155:G170" si="25">IF($B70="","",$E70)</f>
        <v/>
      </c>
      <c r="H155" s="13" t="str">
        <f t="shared" ref="H155:H170" si="26">IF($B70="","",$F70)</f>
        <v/>
      </c>
      <c r="I155" s="13" t="str">
        <f t="shared" ref="I155:I170" si="27">IF($B70="","",0)</f>
        <v/>
      </c>
      <c r="J155" s="13" t="str">
        <f t="shared" ref="J155:J170" si="28">IF($B70="","",$G70)</f>
        <v/>
      </c>
      <c r="K155" s="13" t="str">
        <f t="shared" ref="K155:K170" si="29">IF($B70="","",$H70)</f>
        <v/>
      </c>
    </row>
    <row r="156" spans="2:11" x14ac:dyDescent="0.3">
      <c r="B156" s="19" t="str">
        <f t="shared" si="20"/>
        <v/>
      </c>
      <c r="C156" s="14" t="str">
        <f t="shared" si="21"/>
        <v/>
      </c>
      <c r="D156" s="14" t="str">
        <f t="shared" si="22"/>
        <v/>
      </c>
      <c r="E156" s="19" t="str">
        <f t="shared" si="23"/>
        <v/>
      </c>
      <c r="F156" s="13" t="str">
        <f t="shared" si="24"/>
        <v/>
      </c>
      <c r="G156" s="13" t="str">
        <f t="shared" si="25"/>
        <v/>
      </c>
      <c r="H156" s="13" t="str">
        <f t="shared" si="26"/>
        <v/>
      </c>
      <c r="I156" s="13" t="str">
        <f t="shared" si="27"/>
        <v/>
      </c>
      <c r="J156" s="13" t="str">
        <f t="shared" si="28"/>
        <v/>
      </c>
      <c r="K156" s="13" t="str">
        <f t="shared" si="29"/>
        <v/>
      </c>
    </row>
    <row r="157" spans="2:11" x14ac:dyDescent="0.3">
      <c r="B157" s="19" t="str">
        <f t="shared" si="20"/>
        <v/>
      </c>
      <c r="C157" s="14" t="str">
        <f t="shared" si="21"/>
        <v/>
      </c>
      <c r="D157" s="14" t="str">
        <f t="shared" si="22"/>
        <v/>
      </c>
      <c r="E157" s="19" t="str">
        <f t="shared" si="23"/>
        <v/>
      </c>
      <c r="F157" s="13" t="str">
        <f t="shared" si="24"/>
        <v/>
      </c>
      <c r="G157" s="13" t="str">
        <f t="shared" si="25"/>
        <v/>
      </c>
      <c r="H157" s="13" t="str">
        <f t="shared" si="26"/>
        <v/>
      </c>
      <c r="I157" s="13" t="str">
        <f t="shared" si="27"/>
        <v/>
      </c>
      <c r="J157" s="13" t="str">
        <f t="shared" si="28"/>
        <v/>
      </c>
      <c r="K157" s="13" t="str">
        <f t="shared" si="29"/>
        <v/>
      </c>
    </row>
    <row r="158" spans="2:11" x14ac:dyDescent="0.3">
      <c r="B158" s="19" t="str">
        <f t="shared" si="20"/>
        <v/>
      </c>
      <c r="C158" s="14" t="str">
        <f t="shared" si="21"/>
        <v/>
      </c>
      <c r="D158" s="14" t="str">
        <f t="shared" si="22"/>
        <v/>
      </c>
      <c r="E158" s="19" t="str">
        <f t="shared" si="23"/>
        <v/>
      </c>
      <c r="F158" s="13" t="str">
        <f t="shared" si="24"/>
        <v/>
      </c>
      <c r="G158" s="13" t="str">
        <f t="shared" si="25"/>
        <v/>
      </c>
      <c r="H158" s="13" t="str">
        <f t="shared" si="26"/>
        <v/>
      </c>
      <c r="I158" s="13" t="str">
        <f t="shared" si="27"/>
        <v/>
      </c>
      <c r="J158" s="13" t="str">
        <f t="shared" si="28"/>
        <v/>
      </c>
      <c r="K158" s="13" t="str">
        <f t="shared" si="29"/>
        <v/>
      </c>
    </row>
    <row r="159" spans="2:11" x14ac:dyDescent="0.3">
      <c r="B159" s="19" t="str">
        <f t="shared" si="20"/>
        <v/>
      </c>
      <c r="C159" s="14" t="str">
        <f t="shared" si="21"/>
        <v/>
      </c>
      <c r="D159" s="14" t="str">
        <f t="shared" si="22"/>
        <v/>
      </c>
      <c r="E159" s="19" t="str">
        <f t="shared" si="23"/>
        <v/>
      </c>
      <c r="F159" s="13" t="str">
        <f t="shared" si="24"/>
        <v/>
      </c>
      <c r="G159" s="13" t="str">
        <f t="shared" si="25"/>
        <v/>
      </c>
      <c r="H159" s="13" t="str">
        <f t="shared" si="26"/>
        <v/>
      </c>
      <c r="I159" s="13" t="str">
        <f t="shared" si="27"/>
        <v/>
      </c>
      <c r="J159" s="13" t="str">
        <f t="shared" si="28"/>
        <v/>
      </c>
      <c r="K159" s="13" t="str">
        <f t="shared" si="29"/>
        <v/>
      </c>
    </row>
    <row r="160" spans="2:11" x14ac:dyDescent="0.3">
      <c r="B160" s="19" t="str">
        <f t="shared" si="20"/>
        <v/>
      </c>
      <c r="C160" s="14" t="str">
        <f t="shared" si="21"/>
        <v/>
      </c>
      <c r="D160" s="14" t="str">
        <f t="shared" si="22"/>
        <v/>
      </c>
      <c r="E160" s="19" t="str">
        <f t="shared" si="23"/>
        <v/>
      </c>
      <c r="F160" s="13" t="str">
        <f t="shared" si="24"/>
        <v/>
      </c>
      <c r="G160" s="13" t="str">
        <f t="shared" si="25"/>
        <v/>
      </c>
      <c r="H160" s="13" t="str">
        <f t="shared" si="26"/>
        <v/>
      </c>
      <c r="I160" s="13" t="str">
        <f t="shared" si="27"/>
        <v/>
      </c>
      <c r="J160" s="13" t="str">
        <f t="shared" si="28"/>
        <v/>
      </c>
      <c r="K160" s="13" t="str">
        <f t="shared" si="29"/>
        <v/>
      </c>
    </row>
    <row r="161" spans="2:11" x14ac:dyDescent="0.3">
      <c r="B161" s="19" t="str">
        <f t="shared" si="20"/>
        <v/>
      </c>
      <c r="C161" s="14" t="str">
        <f t="shared" si="21"/>
        <v/>
      </c>
      <c r="D161" s="14" t="str">
        <f t="shared" si="22"/>
        <v/>
      </c>
      <c r="E161" s="19" t="str">
        <f t="shared" si="23"/>
        <v/>
      </c>
      <c r="F161" s="13" t="str">
        <f t="shared" si="24"/>
        <v/>
      </c>
      <c r="G161" s="13" t="str">
        <f t="shared" si="25"/>
        <v/>
      </c>
      <c r="H161" s="13" t="str">
        <f t="shared" si="26"/>
        <v/>
      </c>
      <c r="I161" s="13" t="str">
        <f t="shared" si="27"/>
        <v/>
      </c>
      <c r="J161" s="13" t="str">
        <f t="shared" si="28"/>
        <v/>
      </c>
      <c r="K161" s="13" t="str">
        <f t="shared" si="29"/>
        <v/>
      </c>
    </row>
    <row r="162" spans="2:11" x14ac:dyDescent="0.3">
      <c r="B162" s="19" t="str">
        <f t="shared" si="20"/>
        <v/>
      </c>
      <c r="C162" s="14" t="str">
        <f t="shared" si="21"/>
        <v/>
      </c>
      <c r="D162" s="14" t="str">
        <f t="shared" si="22"/>
        <v/>
      </c>
      <c r="E162" s="19" t="str">
        <f t="shared" si="23"/>
        <v/>
      </c>
      <c r="F162" s="13" t="str">
        <f t="shared" si="24"/>
        <v/>
      </c>
      <c r="G162" s="13" t="str">
        <f t="shared" si="25"/>
        <v/>
      </c>
      <c r="H162" s="13" t="str">
        <f t="shared" si="26"/>
        <v/>
      </c>
      <c r="I162" s="13" t="str">
        <f t="shared" si="27"/>
        <v/>
      </c>
      <c r="J162" s="13" t="str">
        <f t="shared" si="28"/>
        <v/>
      </c>
      <c r="K162" s="13" t="str">
        <f t="shared" si="29"/>
        <v/>
      </c>
    </row>
    <row r="163" spans="2:11" x14ac:dyDescent="0.3">
      <c r="B163" s="19" t="str">
        <f t="shared" si="20"/>
        <v/>
      </c>
      <c r="C163" s="14" t="str">
        <f t="shared" si="21"/>
        <v/>
      </c>
      <c r="D163" s="14" t="str">
        <f t="shared" si="22"/>
        <v/>
      </c>
      <c r="E163" s="19" t="str">
        <f t="shared" si="23"/>
        <v/>
      </c>
      <c r="F163" s="13" t="str">
        <f t="shared" si="24"/>
        <v/>
      </c>
      <c r="G163" s="13" t="str">
        <f t="shared" si="25"/>
        <v/>
      </c>
      <c r="H163" s="13" t="str">
        <f t="shared" si="26"/>
        <v/>
      </c>
      <c r="I163" s="13" t="str">
        <f t="shared" si="27"/>
        <v/>
      </c>
      <c r="J163" s="13" t="str">
        <f t="shared" si="28"/>
        <v/>
      </c>
      <c r="K163" s="13" t="str">
        <f t="shared" si="29"/>
        <v/>
      </c>
    </row>
    <row r="164" spans="2:11" x14ac:dyDescent="0.3">
      <c r="B164" s="19" t="str">
        <f t="shared" si="20"/>
        <v/>
      </c>
      <c r="C164" s="14" t="str">
        <f t="shared" si="21"/>
        <v/>
      </c>
      <c r="D164" s="14" t="str">
        <f t="shared" si="22"/>
        <v/>
      </c>
      <c r="E164" s="19" t="str">
        <f t="shared" si="23"/>
        <v/>
      </c>
      <c r="F164" s="13" t="str">
        <f t="shared" si="24"/>
        <v/>
      </c>
      <c r="G164" s="13" t="str">
        <f t="shared" si="25"/>
        <v/>
      </c>
      <c r="H164" s="13" t="str">
        <f t="shared" si="26"/>
        <v/>
      </c>
      <c r="I164" s="13" t="str">
        <f t="shared" si="27"/>
        <v/>
      </c>
      <c r="J164" s="13" t="str">
        <f t="shared" si="28"/>
        <v/>
      </c>
      <c r="K164" s="13" t="str">
        <f t="shared" si="29"/>
        <v/>
      </c>
    </row>
    <row r="165" spans="2:11" x14ac:dyDescent="0.3">
      <c r="B165" s="19" t="str">
        <f t="shared" si="20"/>
        <v/>
      </c>
      <c r="C165" s="14" t="str">
        <f t="shared" si="21"/>
        <v/>
      </c>
      <c r="D165" s="14" t="str">
        <f t="shared" si="22"/>
        <v/>
      </c>
      <c r="E165" s="19" t="str">
        <f t="shared" si="23"/>
        <v/>
      </c>
      <c r="F165" s="13" t="str">
        <f t="shared" si="24"/>
        <v/>
      </c>
      <c r="G165" s="13" t="str">
        <f t="shared" si="25"/>
        <v/>
      </c>
      <c r="H165" s="13" t="str">
        <f t="shared" si="26"/>
        <v/>
      </c>
      <c r="I165" s="13" t="str">
        <f t="shared" si="27"/>
        <v/>
      </c>
      <c r="J165" s="13" t="str">
        <f t="shared" si="28"/>
        <v/>
      </c>
      <c r="K165" s="13" t="str">
        <f t="shared" si="29"/>
        <v/>
      </c>
    </row>
    <row r="166" spans="2:11" x14ac:dyDescent="0.3">
      <c r="B166" s="19" t="str">
        <f t="shared" si="20"/>
        <v/>
      </c>
      <c r="C166" s="14" t="str">
        <f t="shared" si="21"/>
        <v/>
      </c>
      <c r="D166" s="14" t="str">
        <f t="shared" si="22"/>
        <v/>
      </c>
      <c r="E166" s="19" t="str">
        <f t="shared" si="23"/>
        <v/>
      </c>
      <c r="F166" s="13" t="str">
        <f t="shared" si="24"/>
        <v/>
      </c>
      <c r="G166" s="13" t="str">
        <f t="shared" si="25"/>
        <v/>
      </c>
      <c r="H166" s="13" t="str">
        <f t="shared" si="26"/>
        <v/>
      </c>
      <c r="I166" s="13" t="str">
        <f t="shared" si="27"/>
        <v/>
      </c>
      <c r="J166" s="13" t="str">
        <f t="shared" si="28"/>
        <v/>
      </c>
      <c r="K166" s="13" t="str">
        <f t="shared" si="29"/>
        <v/>
      </c>
    </row>
    <row r="167" spans="2:11" x14ac:dyDescent="0.3">
      <c r="B167" s="19" t="str">
        <f t="shared" si="20"/>
        <v/>
      </c>
      <c r="C167" s="14" t="str">
        <f t="shared" si="21"/>
        <v/>
      </c>
      <c r="D167" s="14" t="str">
        <f t="shared" si="22"/>
        <v/>
      </c>
      <c r="E167" s="19" t="str">
        <f t="shared" si="23"/>
        <v/>
      </c>
      <c r="F167" s="13" t="str">
        <f t="shared" si="24"/>
        <v/>
      </c>
      <c r="G167" s="13" t="str">
        <f t="shared" si="25"/>
        <v/>
      </c>
      <c r="H167" s="13" t="str">
        <f t="shared" si="26"/>
        <v/>
      </c>
      <c r="I167" s="13" t="str">
        <f t="shared" si="27"/>
        <v/>
      </c>
      <c r="J167" s="13" t="str">
        <f t="shared" si="28"/>
        <v/>
      </c>
      <c r="K167" s="13" t="str">
        <f t="shared" si="29"/>
        <v/>
      </c>
    </row>
    <row r="168" spans="2:11" x14ac:dyDescent="0.3">
      <c r="B168" s="19" t="str">
        <f t="shared" si="20"/>
        <v/>
      </c>
      <c r="C168" s="14" t="str">
        <f t="shared" si="21"/>
        <v/>
      </c>
      <c r="D168" s="14" t="str">
        <f t="shared" si="22"/>
        <v/>
      </c>
      <c r="E168" s="19" t="str">
        <f t="shared" si="23"/>
        <v/>
      </c>
      <c r="F168" s="13" t="str">
        <f t="shared" si="24"/>
        <v/>
      </c>
      <c r="G168" s="13" t="str">
        <f t="shared" si="25"/>
        <v/>
      </c>
      <c r="H168" s="13" t="str">
        <f t="shared" si="26"/>
        <v/>
      </c>
      <c r="I168" s="13" t="str">
        <f t="shared" si="27"/>
        <v/>
      </c>
      <c r="J168" s="13" t="str">
        <f t="shared" si="28"/>
        <v/>
      </c>
      <c r="K168" s="13" t="str">
        <f t="shared" si="29"/>
        <v/>
      </c>
    </row>
    <row r="169" spans="2:11" x14ac:dyDescent="0.3">
      <c r="B169" s="19" t="str">
        <f t="shared" si="20"/>
        <v/>
      </c>
      <c r="C169" s="14" t="str">
        <f t="shared" si="21"/>
        <v/>
      </c>
      <c r="D169" s="14" t="str">
        <f t="shared" si="22"/>
        <v/>
      </c>
      <c r="E169" s="19" t="str">
        <f t="shared" si="23"/>
        <v/>
      </c>
      <c r="F169" s="13" t="str">
        <f t="shared" si="24"/>
        <v/>
      </c>
      <c r="G169" s="13" t="str">
        <f t="shared" si="25"/>
        <v/>
      </c>
      <c r="H169" s="13" t="str">
        <f t="shared" si="26"/>
        <v/>
      </c>
      <c r="I169" s="13" t="str">
        <f t="shared" si="27"/>
        <v/>
      </c>
      <c r="J169" s="13" t="str">
        <f t="shared" si="28"/>
        <v/>
      </c>
      <c r="K169" s="13" t="str">
        <f t="shared" si="29"/>
        <v/>
      </c>
    </row>
    <row r="170" spans="2:11" x14ac:dyDescent="0.3">
      <c r="B170" s="19" t="str">
        <f t="shared" si="20"/>
        <v/>
      </c>
      <c r="C170" s="14" t="str">
        <f t="shared" si="21"/>
        <v/>
      </c>
      <c r="D170" s="14" t="str">
        <f t="shared" si="22"/>
        <v/>
      </c>
      <c r="E170" s="19" t="str">
        <f t="shared" si="23"/>
        <v/>
      </c>
      <c r="F170" s="13" t="str">
        <f t="shared" si="24"/>
        <v/>
      </c>
      <c r="G170" s="13" t="str">
        <f t="shared" si="25"/>
        <v/>
      </c>
      <c r="H170" s="13" t="str">
        <f t="shared" si="26"/>
        <v/>
      </c>
      <c r="I170" s="13" t="str">
        <f t="shared" si="27"/>
        <v/>
      </c>
      <c r="J170" s="13" t="str">
        <f t="shared" si="28"/>
        <v/>
      </c>
      <c r="K170" s="13" t="str">
        <f t="shared" si="29"/>
        <v/>
      </c>
    </row>
    <row r="173" spans="2:11" x14ac:dyDescent="0.3">
      <c r="B173" s="5" t="s">
        <v>1031</v>
      </c>
    </row>
    <row r="174" spans="2:11" x14ac:dyDescent="0.3">
      <c r="B174" s="7" t="s">
        <v>1032</v>
      </c>
      <c r="D174" s="27">
        <f>Pmax_CD</f>
        <v>7641.2682845570025</v>
      </c>
      <c r="E174" s="30">
        <f>Pmax_CD/9.81</f>
        <v>778.92643063781873</v>
      </c>
    </row>
    <row r="175" spans="2:11" x14ac:dyDescent="0.3">
      <c r="B175" s="7" t="s">
        <v>1033</v>
      </c>
      <c r="D175" s="27">
        <f>Pmax_DB</f>
        <v>5720.0895918401093</v>
      </c>
      <c r="E175" s="30">
        <f>Pmax_DB/9.81</f>
        <v>583.08762404078584</v>
      </c>
    </row>
    <row r="176" spans="2:11" x14ac:dyDescent="0.3">
      <c r="B176" s="7" t="s">
        <v>1034</v>
      </c>
      <c r="D176" s="27">
        <f>Pmax_SD</f>
        <v>6927.9671780045619</v>
      </c>
      <c r="E176" s="30">
        <f>Pmax_SD/9.81</f>
        <v>706.21479898109703</v>
      </c>
    </row>
    <row r="177" spans="2:5" x14ac:dyDescent="0.3">
      <c r="B177" s="7" t="s">
        <v>1035</v>
      </c>
      <c r="D177" s="27">
        <f>'TS-PILE'!D108</f>
        <v>0</v>
      </c>
      <c r="E177" s="30">
        <f>'TS-PILE'!D108/9.81</f>
        <v>0</v>
      </c>
    </row>
    <row r="179" spans="2:5" x14ac:dyDescent="0.3">
      <c r="B179" s="12" t="s">
        <v>1036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O252"/>
  <sheetViews>
    <sheetView showGridLines="0" workbookViewId="0">
      <selection activeCell="H5" sqref="H5"/>
    </sheetView>
  </sheetViews>
  <sheetFormatPr defaultRowHeight="14.4" x14ac:dyDescent="0.3"/>
  <cols>
    <col min="1" max="1" width="11" customWidth="1"/>
    <col min="2" max="2" width="42" customWidth="1"/>
    <col min="3" max="3" width="18" customWidth="1"/>
    <col min="4" max="15" width="14" customWidth="1"/>
  </cols>
  <sheetData>
    <row r="1" spans="1:15" ht="28.05" customHeight="1" x14ac:dyDescent="0.3">
      <c r="A1" s="150" t="s">
        <v>1190</v>
      </c>
      <c r="B1" s="150"/>
      <c r="C1" s="150"/>
      <c r="D1" s="150"/>
      <c r="E1" s="150"/>
      <c r="F1" s="150"/>
      <c r="G1" s="150"/>
      <c r="H1" s="150"/>
      <c r="I1" s="150"/>
      <c r="J1" s="150"/>
      <c r="K1" s="150"/>
      <c r="L1" s="150"/>
      <c r="M1" s="150"/>
      <c r="N1" s="150"/>
      <c r="O1" s="150"/>
    </row>
    <row r="2" spans="1:15" ht="34.049999999999997" customHeight="1" x14ac:dyDescent="0.3">
      <c r="A2" s="147" t="s">
        <v>1191</v>
      </c>
      <c r="B2" s="147"/>
      <c r="C2" s="147"/>
      <c r="D2" s="147"/>
      <c r="E2" s="147"/>
      <c r="F2" s="147"/>
      <c r="G2" s="147"/>
      <c r="H2" s="147"/>
      <c r="I2" s="147"/>
      <c r="J2" s="147"/>
      <c r="K2" s="147"/>
      <c r="L2" s="147"/>
      <c r="M2" s="147"/>
      <c r="N2" s="147"/>
      <c r="O2" s="147"/>
    </row>
    <row r="4" spans="1:15" x14ac:dyDescent="0.3">
      <c r="A4" s="36" t="s">
        <v>1192</v>
      </c>
      <c r="B4" s="36" t="s">
        <v>1193</v>
      </c>
      <c r="C4" s="36" t="s">
        <v>1194</v>
      </c>
      <c r="D4" s="36" t="s">
        <v>1195</v>
      </c>
      <c r="E4" s="36" t="s">
        <v>1058</v>
      </c>
      <c r="F4" s="36" t="s">
        <v>1060</v>
      </c>
      <c r="G4" s="36" t="s">
        <v>541</v>
      </c>
      <c r="H4" s="36" t="s">
        <v>503</v>
      </c>
      <c r="I4" s="36" t="s">
        <v>507</v>
      </c>
      <c r="J4" s="36" t="s">
        <v>508</v>
      </c>
      <c r="K4" s="36" t="s">
        <v>512</v>
      </c>
      <c r="L4" s="36" t="s">
        <v>1196</v>
      </c>
      <c r="M4" s="36" t="s">
        <v>1197</v>
      </c>
      <c r="N4" s="36" t="s">
        <v>1198</v>
      </c>
      <c r="O4" s="36" t="s">
        <v>1199</v>
      </c>
    </row>
    <row r="5" spans="1:15" x14ac:dyDescent="0.3">
      <c r="A5" s="38">
        <f>'TO HOP'!N131</f>
        <v>1</v>
      </c>
      <c r="B5" s="38" t="str">
        <f>'TO HOP'!B131</f>
        <v>SD I - 2 nhịp lệch tâm 1 làn</v>
      </c>
      <c r="C5" s="38" t="s">
        <v>1200</v>
      </c>
      <c r="D5" s="39">
        <f>'HE GOI'!D18</f>
        <v>-1521.6710398757043</v>
      </c>
      <c r="E5" s="39">
        <f>IF(csmode=1,0,'HE GOI'!D20)</f>
        <v>512.34715147329803</v>
      </c>
      <c r="F5" s="39">
        <f>IF(csmode=1,'HE GOI'!D24,'HE GOI'!D21)</f>
        <v>320.21696967081334</v>
      </c>
      <c r="G5" s="39">
        <f>'HE GOI'!D22</f>
        <v>1034.6545125000002</v>
      </c>
      <c r="H5" s="39">
        <f>IF(OR($A5=0,NOT(ISNUMBER($D5)),NOT(ISNUMBER($E5)),NOT(ISNUMBER($F5))),"",SUMPRODUCT(INDEX('TO HOP'!$C$66:$AT$127,$A5,0),'TO HOP'!$C$53:$AT$53)-INDEX('TO HOP'!$AD$66:$AD$127,$A5)*'TO HOP'!$AD$53-INDEX('TO HOP'!$AR$66:$AR$127,$A5)*'TO HOP'!$AR$53-INDEX('TO HOP'!$AS$66:$AS$127,$A5)*'TO HOP'!$AS$53+INDEX('TO HOP'!$AD$66:$AD$127,$A5)*$G5+INDEX('TO HOP'!$AR$66:$AR$127,$A5)*$D5+INDEX('TO HOP'!$AS$66:$AS$127,$A5)*($E5+$F5))</f>
        <v>706.41904376840739</v>
      </c>
      <c r="I5" s="39">
        <f>IF($H5="","",SUMPRODUCT(INDEX('TO HOP'!$C$66:$AT$127,$A5,0),'TO HOP'!$C$57:$AT$57)-INDEX('TO HOP'!$AD$66:$AD$127,$A5)*'TO HOP'!$AD$57-INDEX('TO HOP'!$AR$66:$AR$127,$A5)*'TO HOP'!$AR$57-INDEX('TO HOP'!$AS$66:$AS$127,$A5)*'TO HOP'!$AS$57+(INDEX('TO HOP'!$AD$66:$AD$127,$A5)*$G5+INDEX('TO HOP'!$AR$66:$AR$127,$A5)*$D5+INDEX('TO HOP'!$AS$66:$AS$127,$A5)*($E5+$F5))*(Hbe+Hcot+hxm+hgoi))</f>
        <v>9245.9848957260438</v>
      </c>
      <c r="J5" s="39">
        <f>IF($H5="","",SUMPRODUCT(INDEX('TO HOP'!$C$66:$AT$127,$A5,0),'TO HOP'!$C$58:$AT$58)-INDEX('TO HOP'!$AD$66:$AD$127,$A5)*'TO HOP'!$AD$58-INDEX('TO HOP'!$AR$66:$AR$127,$A5)*'TO HOP'!$AR$58-INDEX('TO HOP'!$AS$66:$AS$127,$A5)*'TO HOP'!$AS$58+INDEX('TO HOP'!$AD$66:$AD$127,$A5)*$G5+INDEX('TO HOP'!$AR$66:$AR$127,$A5)*$D5+INDEX('TO HOP'!$AS$66:$AS$127,$A5)*($E5+$F5))</f>
        <v>706.41904376840739</v>
      </c>
      <c r="K5" s="39">
        <f>IF($H5="","",SUMPRODUCT(INDEX('TO HOP'!$C$66:$AT$127,$A5,0),'TO HOP'!$C$62:$AT$62)-INDEX('TO HOP'!$AD$66:$AD$127,$A5)*'TO HOP'!$AD$62-INDEX('TO HOP'!$AR$66:$AR$127,$A5)*'TO HOP'!$AR$62-INDEX('TO HOP'!$AS$66:$AS$127,$A5)*'TO HOP'!$AS$62+(INDEX('TO HOP'!$AD$66:$AD$127,$A5)*$G5+INDEX('TO HOP'!$AR$66:$AR$127,$A5)*$D5+INDEX('TO HOP'!$AS$66:$AS$127,$A5)*($E5+$F5))*(Hcot+hxm+hgoi))</f>
        <v>7833.1468081892272</v>
      </c>
      <c r="L5" s="39">
        <f t="shared" ref="L5:L68" si="0">IF(H5="","",ABS(H5))</f>
        <v>706.41904376840739</v>
      </c>
      <c r="M5" s="39">
        <f t="shared" ref="M5:M68" si="1">IF(I5="","",ABS(I5))</f>
        <v>9245.9848957260438</v>
      </c>
      <c r="N5" s="39">
        <f t="shared" ref="N5:N68" si="2">IF(J5="","",ABS(J5))</f>
        <v>706.41904376840739</v>
      </c>
      <c r="O5" s="39">
        <f t="shared" ref="O5:O68" si="3">IF(K5="","",ABS(K5))</f>
        <v>7833.1468081892272</v>
      </c>
    </row>
    <row r="6" spans="1:15" x14ac:dyDescent="0.3">
      <c r="A6" s="38">
        <f>'TO HOP'!N131</f>
        <v>1</v>
      </c>
      <c r="B6" s="38" t="str">
        <f>'TO HOP'!B131</f>
        <v>SD I - 2 nhịp lệch tâm 1 làn</v>
      </c>
      <c r="C6" s="38" t="s">
        <v>1201</v>
      </c>
      <c r="D6" s="39">
        <f>'HE GOI'!D18</f>
        <v>-1521.6710398757043</v>
      </c>
      <c r="E6" s="39">
        <f>IF(csmode=1,0,'HE GOI'!D20)</f>
        <v>512.34715147329803</v>
      </c>
      <c r="F6" s="39">
        <f>IF(csmode=1,'HE GOI'!D24,'HE GOI'!D21)</f>
        <v>320.21696967081334</v>
      </c>
      <c r="G6" s="39">
        <f>'HE GOI'!D23</f>
        <v>-1034.6545125000002</v>
      </c>
      <c r="H6" s="39">
        <f>IF(OR($A6=0,NOT(ISNUMBER($D6)),NOT(ISNUMBER($E6)),NOT(ISNUMBER($F6))),"",SUMPRODUCT(INDEX('TO HOP'!$C$66:$AT$127,$A6,0),'TO HOP'!$C$53:$AT$53)-INDEX('TO HOP'!$AD$66:$AD$127,$A6)*'TO HOP'!$AD$53-INDEX('TO HOP'!$AR$66:$AR$127,$A6)*'TO HOP'!$AR$53-INDEX('TO HOP'!$AS$66:$AS$127,$A6)*'TO HOP'!$AS$53+INDEX('TO HOP'!$AD$66:$AD$127,$A6)*$G6+INDEX('TO HOP'!$AR$66:$AR$127,$A6)*$D6+INDEX('TO HOP'!$AS$66:$AS$127,$A6)*($E6+$F6))</f>
        <v>-1362.8899812315933</v>
      </c>
      <c r="I6" s="39">
        <f>IF($H6="","",SUMPRODUCT(INDEX('TO HOP'!$C$66:$AT$127,$A6,0),'TO HOP'!$C$57:$AT$57)-INDEX('TO HOP'!$AD$66:$AD$127,$A6)*'TO HOP'!$AD$57-INDEX('TO HOP'!$AR$66:$AR$127,$A6)*'TO HOP'!$AR$57-INDEX('TO HOP'!$AS$66:$AS$127,$A6)*'TO HOP'!$AS$57+(INDEX('TO HOP'!$AD$66:$AD$127,$A6)*$G6+INDEX('TO HOP'!$AR$66:$AR$127,$A6)*$D6+INDEX('TO HOP'!$AS$66:$AS$127,$A6)*($E6+$F6))*(Hbe+Hcot+hxm+hgoi))</f>
        <v>-16165.129931273963</v>
      </c>
      <c r="J6" s="39">
        <f>IF($H6="","",SUMPRODUCT(INDEX('TO HOP'!$C$66:$AT$127,$A6,0),'TO HOP'!$C$58:$AT$58)-INDEX('TO HOP'!$AD$66:$AD$127,$A6)*'TO HOP'!$AD$58-INDEX('TO HOP'!$AR$66:$AR$127,$A6)*'TO HOP'!$AR$58-INDEX('TO HOP'!$AS$66:$AS$127,$A6)*'TO HOP'!$AS$58+INDEX('TO HOP'!$AD$66:$AD$127,$A6)*$G6+INDEX('TO HOP'!$AR$66:$AR$127,$A6)*$D6+INDEX('TO HOP'!$AS$66:$AS$127,$A6)*($E6+$F6))</f>
        <v>-1362.8899812315933</v>
      </c>
      <c r="K6" s="39">
        <f>IF($H6="","",SUMPRODUCT(INDEX('TO HOP'!$C$66:$AT$127,$A6,0),'TO HOP'!$C$62:$AT$62)-INDEX('TO HOP'!$AD$66:$AD$127,$A6)*'TO HOP'!$AD$62-INDEX('TO HOP'!$AR$66:$AR$127,$A6)*'TO HOP'!$AR$62-INDEX('TO HOP'!$AS$66:$AS$127,$A6)*'TO HOP'!$AS$62+(INDEX('TO HOP'!$AD$66:$AD$127,$A6)*$G6+INDEX('TO HOP'!$AR$66:$AR$127,$A6)*$D6+INDEX('TO HOP'!$AS$66:$AS$127,$A6)*($E6+$F6))*(Hcot+hxm+hgoi))</f>
        <v>-13439.349968810779</v>
      </c>
      <c r="L6" s="39">
        <f t="shared" si="0"/>
        <v>1362.8899812315933</v>
      </c>
      <c r="M6" s="39">
        <f t="shared" si="1"/>
        <v>16165.129931273963</v>
      </c>
      <c r="N6" s="39">
        <f t="shared" si="2"/>
        <v>1362.8899812315933</v>
      </c>
      <c r="O6" s="39">
        <f t="shared" si="3"/>
        <v>13439.349968810779</v>
      </c>
    </row>
    <row r="7" spans="1:15" x14ac:dyDescent="0.3">
      <c r="A7" s="38">
        <f>'TO HOP'!N131</f>
        <v>1</v>
      </c>
      <c r="B7" s="38" t="str">
        <f>'TO HOP'!B131</f>
        <v>SD I - 2 nhịp lệch tâm 1 làn</v>
      </c>
      <c r="C7" s="38" t="s">
        <v>1202</v>
      </c>
      <c r="D7" s="39">
        <f>'HE GOI'!D19</f>
        <v>1383.337308977915</v>
      </c>
      <c r="E7" s="39">
        <f>IF(csmode=1,0,'HE GOI'!D20)</f>
        <v>512.34715147329803</v>
      </c>
      <c r="F7" s="39">
        <f>IF(csmode=1,'HE GOI'!D24,'HE GOI'!D21)</f>
        <v>320.21696967081334</v>
      </c>
      <c r="G7" s="39">
        <f>'HE GOI'!D22</f>
        <v>1034.6545125000002</v>
      </c>
      <c r="H7" s="39">
        <f>IF(OR($A7=0,NOT(ISNUMBER($D7)),NOT(ISNUMBER($E7)),NOT(ISNUMBER($F7))),"",SUMPRODUCT(INDEX('TO HOP'!$C$66:$AT$127,$A7,0),'TO HOP'!$C$53:$AT$53)-INDEX('TO HOP'!$AD$66:$AD$127,$A7)*'TO HOP'!$AD$53-INDEX('TO HOP'!$AR$66:$AR$127,$A7)*'TO HOP'!$AR$53-INDEX('TO HOP'!$AS$66:$AS$127,$A7)*'TO HOP'!$AS$53+INDEX('TO HOP'!$AD$66:$AD$127,$A7)*$G7+INDEX('TO HOP'!$AR$66:$AR$127,$A7)*$D7+INDEX('TO HOP'!$AS$66:$AS$127,$A7)*($E7+$F7))</f>
        <v>3611.4273926220267</v>
      </c>
      <c r="I7" s="39">
        <f>IF($H7="","",SUMPRODUCT(INDEX('TO HOP'!$C$66:$AT$127,$A7,0),'TO HOP'!$C$57:$AT$57)-INDEX('TO HOP'!$AD$66:$AD$127,$A7)*'TO HOP'!$AD$57-INDEX('TO HOP'!$AR$66:$AR$127,$A7)*'TO HOP'!$AR$57-INDEX('TO HOP'!$AS$66:$AS$127,$A7)*'TO HOP'!$AS$57+(INDEX('TO HOP'!$AD$66:$AD$127,$A7)*$G7+INDEX('TO HOP'!$AR$66:$AR$127,$A7)*$D7+INDEX('TO HOP'!$AS$66:$AS$127,$A7)*($E7+$F7))*(Hbe+Hcot+hxm+hgoi))</f>
        <v>44919.487419648496</v>
      </c>
      <c r="J7" s="39">
        <f>IF($H7="","",SUMPRODUCT(INDEX('TO HOP'!$C$66:$AT$127,$A7,0),'TO HOP'!$C$58:$AT$58)-INDEX('TO HOP'!$AD$66:$AD$127,$A7)*'TO HOP'!$AD$58-INDEX('TO HOP'!$AR$66:$AR$127,$A7)*'TO HOP'!$AR$58-INDEX('TO HOP'!$AS$66:$AS$127,$A7)*'TO HOP'!$AS$58+INDEX('TO HOP'!$AD$66:$AD$127,$A7)*$G7+INDEX('TO HOP'!$AR$66:$AR$127,$A7)*$D7+INDEX('TO HOP'!$AS$66:$AS$127,$A7)*($E7+$F7))</f>
        <v>3611.4273926220267</v>
      </c>
      <c r="K7" s="39">
        <f>IF($H7="","",SUMPRODUCT(INDEX('TO HOP'!$C$66:$AT$127,$A7,0),'TO HOP'!$C$62:$AT$62)-INDEX('TO HOP'!$AD$66:$AD$127,$A7)*'TO HOP'!$AD$62-INDEX('TO HOP'!$AR$66:$AR$127,$A7)*'TO HOP'!$AR$62-INDEX('TO HOP'!$AS$66:$AS$127,$A7)*'TO HOP'!$AS$62+(INDEX('TO HOP'!$AD$66:$AD$127,$A7)*$G7+INDEX('TO HOP'!$AR$66:$AR$127,$A7)*$D7+INDEX('TO HOP'!$AS$66:$AS$127,$A7)*($E7+$F7))*(Hcot+hxm+hgoi))</f>
        <v>37696.632634404443</v>
      </c>
      <c r="L7" s="39">
        <f t="shared" si="0"/>
        <v>3611.4273926220267</v>
      </c>
      <c r="M7" s="39">
        <f t="shared" si="1"/>
        <v>44919.487419648496</v>
      </c>
      <c r="N7" s="39">
        <f t="shared" si="2"/>
        <v>3611.4273926220267</v>
      </c>
      <c r="O7" s="39">
        <f t="shared" si="3"/>
        <v>37696.632634404443</v>
      </c>
    </row>
    <row r="8" spans="1:15" x14ac:dyDescent="0.3">
      <c r="A8" s="38">
        <f>'TO HOP'!N131</f>
        <v>1</v>
      </c>
      <c r="B8" s="38" t="str">
        <f>'TO HOP'!B131</f>
        <v>SD I - 2 nhịp lệch tâm 1 làn</v>
      </c>
      <c r="C8" s="38" t="s">
        <v>1203</v>
      </c>
      <c r="D8" s="39">
        <f>'HE GOI'!D19</f>
        <v>1383.337308977915</v>
      </c>
      <c r="E8" s="39">
        <f>IF(csmode=1,0,'HE GOI'!D20)</f>
        <v>512.34715147329803</v>
      </c>
      <c r="F8" s="39">
        <f>IF(csmode=1,'HE GOI'!D24,'HE GOI'!D21)</f>
        <v>320.21696967081334</v>
      </c>
      <c r="G8" s="39">
        <f>'HE GOI'!D23</f>
        <v>-1034.6545125000002</v>
      </c>
      <c r="H8" s="39">
        <f>IF(OR($A8=0,NOT(ISNUMBER($D8)),NOT(ISNUMBER($E8)),NOT(ISNUMBER($F8))),"",SUMPRODUCT(INDEX('TO HOP'!$C$66:$AT$127,$A8,0),'TO HOP'!$C$53:$AT$53)-INDEX('TO HOP'!$AD$66:$AD$127,$A8)*'TO HOP'!$AD$53-INDEX('TO HOP'!$AR$66:$AR$127,$A8)*'TO HOP'!$AR$53-INDEX('TO HOP'!$AS$66:$AS$127,$A8)*'TO HOP'!$AS$53+INDEX('TO HOP'!$AD$66:$AD$127,$A8)*$G8+INDEX('TO HOP'!$AR$66:$AR$127,$A8)*$D8+INDEX('TO HOP'!$AS$66:$AS$127,$A8)*($E8+$F8))</f>
        <v>1542.1183676220262</v>
      </c>
      <c r="I8" s="39">
        <f>IF($H8="","",SUMPRODUCT(INDEX('TO HOP'!$C$66:$AT$127,$A8,0),'TO HOP'!$C$57:$AT$57)-INDEX('TO HOP'!$AD$66:$AD$127,$A8)*'TO HOP'!$AD$57-INDEX('TO HOP'!$AR$66:$AR$127,$A8)*'TO HOP'!$AR$57-INDEX('TO HOP'!$AS$66:$AS$127,$A8)*'TO HOP'!$AS$57+(INDEX('TO HOP'!$AD$66:$AD$127,$A8)*$G8+INDEX('TO HOP'!$AR$66:$AR$127,$A8)*$D8+INDEX('TO HOP'!$AS$66:$AS$127,$A8)*($E8+$F8))*(Hbe+Hcot+hxm+hgoi))</f>
        <v>19508.372592648484</v>
      </c>
      <c r="J8" s="39">
        <f>IF($H8="","",SUMPRODUCT(INDEX('TO HOP'!$C$66:$AT$127,$A8,0),'TO HOP'!$C$58:$AT$58)-INDEX('TO HOP'!$AD$66:$AD$127,$A8)*'TO HOP'!$AD$58-INDEX('TO HOP'!$AR$66:$AR$127,$A8)*'TO HOP'!$AR$58-INDEX('TO HOP'!$AS$66:$AS$127,$A8)*'TO HOP'!$AS$58+INDEX('TO HOP'!$AD$66:$AD$127,$A8)*$G8+INDEX('TO HOP'!$AR$66:$AR$127,$A8)*$D8+INDEX('TO HOP'!$AS$66:$AS$127,$A8)*($E8+$F8))</f>
        <v>1542.1183676220262</v>
      </c>
      <c r="K8" s="39">
        <f>IF($H8="","",SUMPRODUCT(INDEX('TO HOP'!$C$66:$AT$127,$A8,0),'TO HOP'!$C$62:$AT$62)-INDEX('TO HOP'!$AD$66:$AD$127,$A8)*'TO HOP'!$AD$62-INDEX('TO HOP'!$AR$66:$AR$127,$A8)*'TO HOP'!$AR$62-INDEX('TO HOP'!$AS$66:$AS$127,$A8)*'TO HOP'!$AS$62+(INDEX('TO HOP'!$AD$66:$AD$127,$A8)*$G8+INDEX('TO HOP'!$AR$66:$AR$127,$A8)*$D8+INDEX('TO HOP'!$AS$66:$AS$127,$A8)*($E8+$F8))*(Hcot+hxm+hgoi))</f>
        <v>16424.135857404428</v>
      </c>
      <c r="L8" s="39">
        <f t="shared" si="0"/>
        <v>1542.1183676220262</v>
      </c>
      <c r="M8" s="39">
        <f t="shared" si="1"/>
        <v>19508.372592648484</v>
      </c>
      <c r="N8" s="39">
        <f t="shared" si="2"/>
        <v>1542.1183676220262</v>
      </c>
      <c r="O8" s="39">
        <f t="shared" si="3"/>
        <v>16424.135857404428</v>
      </c>
    </row>
    <row r="9" spans="1:15" x14ac:dyDescent="0.3">
      <c r="A9" s="38">
        <f>'TO HOP'!N132</f>
        <v>2</v>
      </c>
      <c r="B9" s="38" t="str">
        <f>'TO HOP'!B132</f>
        <v>SD I - 2 nhịp lệch tâm 2 làn</v>
      </c>
      <c r="C9" s="38" t="s">
        <v>1200</v>
      </c>
      <c r="D9" s="39">
        <f>'HE GOI'!D18</f>
        <v>-1521.6710398757043</v>
      </c>
      <c r="E9" s="39">
        <f>IF(csmode=1,0,'HE GOI'!D20)</f>
        <v>512.34715147329803</v>
      </c>
      <c r="F9" s="39">
        <f>IF(csmode=1,'HE GOI'!D24,'HE GOI'!D21)</f>
        <v>320.21696967081334</v>
      </c>
      <c r="G9" s="39">
        <f>'HE GOI'!D22</f>
        <v>1034.6545125000002</v>
      </c>
      <c r="H9" s="39">
        <f>IF(OR($A9=0,NOT(ISNUMBER($D9)),NOT(ISNUMBER($E9)),NOT(ISNUMBER($F9))),"",SUMPRODUCT(INDEX('TO HOP'!$C$66:$AT$127,$A9,0),'TO HOP'!$C$53:$AT$53)-INDEX('TO HOP'!$AD$66:$AD$127,$A9)*'TO HOP'!$AD$53-INDEX('TO HOP'!$AR$66:$AR$127,$A9)*'TO HOP'!$AR$53-INDEX('TO HOP'!$AS$66:$AS$127,$A9)*'TO HOP'!$AS$53+INDEX('TO HOP'!$AD$66:$AD$127,$A9)*$G9+INDEX('TO HOP'!$AR$66:$AR$127,$A9)*$D9+INDEX('TO HOP'!$AS$66:$AS$127,$A9)*($E9+$F9))</f>
        <v>706.41904376840739</v>
      </c>
      <c r="I9" s="39">
        <f>IF($H9="","",SUMPRODUCT(INDEX('TO HOP'!$C$66:$AT$127,$A9,0),'TO HOP'!$C$57:$AT$57)-INDEX('TO HOP'!$AD$66:$AD$127,$A9)*'TO HOP'!$AD$57-INDEX('TO HOP'!$AR$66:$AR$127,$A9)*'TO HOP'!$AR$57-INDEX('TO HOP'!$AS$66:$AS$127,$A9)*'TO HOP'!$AS$57+(INDEX('TO HOP'!$AD$66:$AD$127,$A9)*$G9+INDEX('TO HOP'!$AR$66:$AR$127,$A9)*$D9+INDEX('TO HOP'!$AS$66:$AS$127,$A9)*($E9+$F9))*(Hbe+Hcot+hxm+hgoi))</f>
        <v>9245.9848957260438</v>
      </c>
      <c r="J9" s="39">
        <f>IF($H9="","",SUMPRODUCT(INDEX('TO HOP'!$C$66:$AT$127,$A9,0),'TO HOP'!$C$58:$AT$58)-INDEX('TO HOP'!$AD$66:$AD$127,$A9)*'TO HOP'!$AD$58-INDEX('TO HOP'!$AR$66:$AR$127,$A9)*'TO HOP'!$AR$58-INDEX('TO HOP'!$AS$66:$AS$127,$A9)*'TO HOP'!$AS$58+INDEX('TO HOP'!$AD$66:$AD$127,$A9)*$G9+INDEX('TO HOP'!$AR$66:$AR$127,$A9)*$D9+INDEX('TO HOP'!$AS$66:$AS$127,$A9)*($E9+$F9))</f>
        <v>706.41904376840739</v>
      </c>
      <c r="K9" s="39">
        <f>IF($H9="","",SUMPRODUCT(INDEX('TO HOP'!$C$66:$AT$127,$A9,0),'TO HOP'!$C$62:$AT$62)-INDEX('TO HOP'!$AD$66:$AD$127,$A9)*'TO HOP'!$AD$62-INDEX('TO HOP'!$AR$66:$AR$127,$A9)*'TO HOP'!$AR$62-INDEX('TO HOP'!$AS$66:$AS$127,$A9)*'TO HOP'!$AS$62+(INDEX('TO HOP'!$AD$66:$AD$127,$A9)*$G9+INDEX('TO HOP'!$AR$66:$AR$127,$A9)*$D9+INDEX('TO HOP'!$AS$66:$AS$127,$A9)*($E9+$F9))*(Hcot+hxm+hgoi))</f>
        <v>7833.1468081892272</v>
      </c>
      <c r="L9" s="39">
        <f t="shared" si="0"/>
        <v>706.41904376840739</v>
      </c>
      <c r="M9" s="39">
        <f t="shared" si="1"/>
        <v>9245.9848957260438</v>
      </c>
      <c r="N9" s="39">
        <f t="shared" si="2"/>
        <v>706.41904376840739</v>
      </c>
      <c r="O9" s="39">
        <f t="shared" si="3"/>
        <v>7833.1468081892272</v>
      </c>
    </row>
    <row r="10" spans="1:15" x14ac:dyDescent="0.3">
      <c r="A10" s="38">
        <f>'TO HOP'!N132</f>
        <v>2</v>
      </c>
      <c r="B10" s="38" t="str">
        <f>'TO HOP'!B132</f>
        <v>SD I - 2 nhịp lệch tâm 2 làn</v>
      </c>
      <c r="C10" s="38" t="s">
        <v>1201</v>
      </c>
      <c r="D10" s="39">
        <f>'HE GOI'!D18</f>
        <v>-1521.6710398757043</v>
      </c>
      <c r="E10" s="39">
        <f>IF(csmode=1,0,'HE GOI'!D20)</f>
        <v>512.34715147329803</v>
      </c>
      <c r="F10" s="39">
        <f>IF(csmode=1,'HE GOI'!D24,'HE GOI'!D21)</f>
        <v>320.21696967081334</v>
      </c>
      <c r="G10" s="39">
        <f>'HE GOI'!D23</f>
        <v>-1034.6545125000002</v>
      </c>
      <c r="H10" s="39">
        <f>IF(OR($A10=0,NOT(ISNUMBER($D10)),NOT(ISNUMBER($E10)),NOT(ISNUMBER($F10))),"",SUMPRODUCT(INDEX('TO HOP'!$C$66:$AT$127,$A10,0),'TO HOP'!$C$53:$AT$53)-INDEX('TO HOP'!$AD$66:$AD$127,$A10)*'TO HOP'!$AD$53-INDEX('TO HOP'!$AR$66:$AR$127,$A10)*'TO HOP'!$AR$53-INDEX('TO HOP'!$AS$66:$AS$127,$A10)*'TO HOP'!$AS$53+INDEX('TO HOP'!$AD$66:$AD$127,$A10)*$G10+INDEX('TO HOP'!$AR$66:$AR$127,$A10)*$D10+INDEX('TO HOP'!$AS$66:$AS$127,$A10)*($E10+$F10))</f>
        <v>-1362.8899812315933</v>
      </c>
      <c r="I10" s="39">
        <f>IF($H10="","",SUMPRODUCT(INDEX('TO HOP'!$C$66:$AT$127,$A10,0),'TO HOP'!$C$57:$AT$57)-INDEX('TO HOP'!$AD$66:$AD$127,$A10)*'TO HOP'!$AD$57-INDEX('TO HOP'!$AR$66:$AR$127,$A10)*'TO HOP'!$AR$57-INDEX('TO HOP'!$AS$66:$AS$127,$A10)*'TO HOP'!$AS$57+(INDEX('TO HOP'!$AD$66:$AD$127,$A10)*$G10+INDEX('TO HOP'!$AR$66:$AR$127,$A10)*$D10+INDEX('TO HOP'!$AS$66:$AS$127,$A10)*($E10+$F10))*(Hbe+Hcot+hxm+hgoi))</f>
        <v>-16165.129931273963</v>
      </c>
      <c r="J10" s="39">
        <f>IF($H10="","",SUMPRODUCT(INDEX('TO HOP'!$C$66:$AT$127,$A10,0),'TO HOP'!$C$58:$AT$58)-INDEX('TO HOP'!$AD$66:$AD$127,$A10)*'TO HOP'!$AD$58-INDEX('TO HOP'!$AR$66:$AR$127,$A10)*'TO HOP'!$AR$58-INDEX('TO HOP'!$AS$66:$AS$127,$A10)*'TO HOP'!$AS$58+INDEX('TO HOP'!$AD$66:$AD$127,$A10)*$G10+INDEX('TO HOP'!$AR$66:$AR$127,$A10)*$D10+INDEX('TO HOP'!$AS$66:$AS$127,$A10)*($E10+$F10))</f>
        <v>-1362.8899812315933</v>
      </c>
      <c r="K10" s="39">
        <f>IF($H10="","",SUMPRODUCT(INDEX('TO HOP'!$C$66:$AT$127,$A10,0),'TO HOP'!$C$62:$AT$62)-INDEX('TO HOP'!$AD$66:$AD$127,$A10)*'TO HOP'!$AD$62-INDEX('TO HOP'!$AR$66:$AR$127,$A10)*'TO HOP'!$AR$62-INDEX('TO HOP'!$AS$66:$AS$127,$A10)*'TO HOP'!$AS$62+(INDEX('TO HOP'!$AD$66:$AD$127,$A10)*$G10+INDEX('TO HOP'!$AR$66:$AR$127,$A10)*$D10+INDEX('TO HOP'!$AS$66:$AS$127,$A10)*($E10+$F10))*(Hcot+hxm+hgoi))</f>
        <v>-13439.349968810779</v>
      </c>
      <c r="L10" s="39">
        <f t="shared" si="0"/>
        <v>1362.8899812315933</v>
      </c>
      <c r="M10" s="39">
        <f t="shared" si="1"/>
        <v>16165.129931273963</v>
      </c>
      <c r="N10" s="39">
        <f t="shared" si="2"/>
        <v>1362.8899812315933</v>
      </c>
      <c r="O10" s="39">
        <f t="shared" si="3"/>
        <v>13439.349968810779</v>
      </c>
    </row>
    <row r="11" spans="1:15" x14ac:dyDescent="0.3">
      <c r="A11" s="38">
        <f>'TO HOP'!N132</f>
        <v>2</v>
      </c>
      <c r="B11" s="38" t="str">
        <f>'TO HOP'!B132</f>
        <v>SD I - 2 nhịp lệch tâm 2 làn</v>
      </c>
      <c r="C11" s="38" t="s">
        <v>1202</v>
      </c>
      <c r="D11" s="39">
        <f>'HE GOI'!D19</f>
        <v>1383.337308977915</v>
      </c>
      <c r="E11" s="39">
        <f>IF(csmode=1,0,'HE GOI'!D20)</f>
        <v>512.34715147329803</v>
      </c>
      <c r="F11" s="39">
        <f>IF(csmode=1,'HE GOI'!D24,'HE GOI'!D21)</f>
        <v>320.21696967081334</v>
      </c>
      <c r="G11" s="39">
        <f>'HE GOI'!D22</f>
        <v>1034.6545125000002</v>
      </c>
      <c r="H11" s="39">
        <f>IF(OR($A11=0,NOT(ISNUMBER($D11)),NOT(ISNUMBER($E11)),NOT(ISNUMBER($F11))),"",SUMPRODUCT(INDEX('TO HOP'!$C$66:$AT$127,$A11,0),'TO HOP'!$C$53:$AT$53)-INDEX('TO HOP'!$AD$66:$AD$127,$A11)*'TO HOP'!$AD$53-INDEX('TO HOP'!$AR$66:$AR$127,$A11)*'TO HOP'!$AR$53-INDEX('TO HOP'!$AS$66:$AS$127,$A11)*'TO HOP'!$AS$53+INDEX('TO HOP'!$AD$66:$AD$127,$A11)*$G11+INDEX('TO HOP'!$AR$66:$AR$127,$A11)*$D11+INDEX('TO HOP'!$AS$66:$AS$127,$A11)*($E11+$F11))</f>
        <v>3611.4273926220267</v>
      </c>
      <c r="I11" s="39">
        <f>IF($H11="","",SUMPRODUCT(INDEX('TO HOP'!$C$66:$AT$127,$A11,0),'TO HOP'!$C$57:$AT$57)-INDEX('TO HOP'!$AD$66:$AD$127,$A11)*'TO HOP'!$AD$57-INDEX('TO HOP'!$AR$66:$AR$127,$A11)*'TO HOP'!$AR$57-INDEX('TO HOP'!$AS$66:$AS$127,$A11)*'TO HOP'!$AS$57+(INDEX('TO HOP'!$AD$66:$AD$127,$A11)*$G11+INDEX('TO HOP'!$AR$66:$AR$127,$A11)*$D11+INDEX('TO HOP'!$AS$66:$AS$127,$A11)*($E11+$F11))*(Hbe+Hcot+hxm+hgoi))</f>
        <v>44919.487419648496</v>
      </c>
      <c r="J11" s="39">
        <f>IF($H11="","",SUMPRODUCT(INDEX('TO HOP'!$C$66:$AT$127,$A11,0),'TO HOP'!$C$58:$AT$58)-INDEX('TO HOP'!$AD$66:$AD$127,$A11)*'TO HOP'!$AD$58-INDEX('TO HOP'!$AR$66:$AR$127,$A11)*'TO HOP'!$AR$58-INDEX('TO HOP'!$AS$66:$AS$127,$A11)*'TO HOP'!$AS$58+INDEX('TO HOP'!$AD$66:$AD$127,$A11)*$G11+INDEX('TO HOP'!$AR$66:$AR$127,$A11)*$D11+INDEX('TO HOP'!$AS$66:$AS$127,$A11)*($E11+$F11))</f>
        <v>3611.4273926220267</v>
      </c>
      <c r="K11" s="39">
        <f>IF($H11="","",SUMPRODUCT(INDEX('TO HOP'!$C$66:$AT$127,$A11,0),'TO HOP'!$C$62:$AT$62)-INDEX('TO HOP'!$AD$66:$AD$127,$A11)*'TO HOP'!$AD$62-INDEX('TO HOP'!$AR$66:$AR$127,$A11)*'TO HOP'!$AR$62-INDEX('TO HOP'!$AS$66:$AS$127,$A11)*'TO HOP'!$AS$62+(INDEX('TO HOP'!$AD$66:$AD$127,$A11)*$G11+INDEX('TO HOP'!$AR$66:$AR$127,$A11)*$D11+INDEX('TO HOP'!$AS$66:$AS$127,$A11)*($E11+$F11))*(Hcot+hxm+hgoi))</f>
        <v>37696.632634404443</v>
      </c>
      <c r="L11" s="39">
        <f t="shared" si="0"/>
        <v>3611.4273926220267</v>
      </c>
      <c r="M11" s="39">
        <f t="shared" si="1"/>
        <v>44919.487419648496</v>
      </c>
      <c r="N11" s="39">
        <f t="shared" si="2"/>
        <v>3611.4273926220267</v>
      </c>
      <c r="O11" s="39">
        <f t="shared" si="3"/>
        <v>37696.632634404443</v>
      </c>
    </row>
    <row r="12" spans="1:15" x14ac:dyDescent="0.3">
      <c r="A12" s="38">
        <f>'TO HOP'!N132</f>
        <v>2</v>
      </c>
      <c r="B12" s="38" t="str">
        <f>'TO HOP'!B132</f>
        <v>SD I - 2 nhịp lệch tâm 2 làn</v>
      </c>
      <c r="C12" s="38" t="s">
        <v>1203</v>
      </c>
      <c r="D12" s="39">
        <f>'HE GOI'!D19</f>
        <v>1383.337308977915</v>
      </c>
      <c r="E12" s="39">
        <f>IF(csmode=1,0,'HE GOI'!D20)</f>
        <v>512.34715147329803</v>
      </c>
      <c r="F12" s="39">
        <f>IF(csmode=1,'HE GOI'!D24,'HE GOI'!D21)</f>
        <v>320.21696967081334</v>
      </c>
      <c r="G12" s="39">
        <f>'HE GOI'!D23</f>
        <v>-1034.6545125000002</v>
      </c>
      <c r="H12" s="39">
        <f>IF(OR($A12=0,NOT(ISNUMBER($D12)),NOT(ISNUMBER($E12)),NOT(ISNUMBER($F12))),"",SUMPRODUCT(INDEX('TO HOP'!$C$66:$AT$127,$A12,0),'TO HOP'!$C$53:$AT$53)-INDEX('TO HOP'!$AD$66:$AD$127,$A12)*'TO HOP'!$AD$53-INDEX('TO HOP'!$AR$66:$AR$127,$A12)*'TO HOP'!$AR$53-INDEX('TO HOP'!$AS$66:$AS$127,$A12)*'TO HOP'!$AS$53+INDEX('TO HOP'!$AD$66:$AD$127,$A12)*$G12+INDEX('TO HOP'!$AR$66:$AR$127,$A12)*$D12+INDEX('TO HOP'!$AS$66:$AS$127,$A12)*($E12+$F12))</f>
        <v>1542.1183676220262</v>
      </c>
      <c r="I12" s="39">
        <f>IF($H12="","",SUMPRODUCT(INDEX('TO HOP'!$C$66:$AT$127,$A12,0),'TO HOP'!$C$57:$AT$57)-INDEX('TO HOP'!$AD$66:$AD$127,$A12)*'TO HOP'!$AD$57-INDEX('TO HOP'!$AR$66:$AR$127,$A12)*'TO HOP'!$AR$57-INDEX('TO HOP'!$AS$66:$AS$127,$A12)*'TO HOP'!$AS$57+(INDEX('TO HOP'!$AD$66:$AD$127,$A12)*$G12+INDEX('TO HOP'!$AR$66:$AR$127,$A12)*$D12+INDEX('TO HOP'!$AS$66:$AS$127,$A12)*($E12+$F12))*(Hbe+Hcot+hxm+hgoi))</f>
        <v>19508.372592648484</v>
      </c>
      <c r="J12" s="39">
        <f>IF($H12="","",SUMPRODUCT(INDEX('TO HOP'!$C$66:$AT$127,$A12,0),'TO HOP'!$C$58:$AT$58)-INDEX('TO HOP'!$AD$66:$AD$127,$A12)*'TO HOP'!$AD$58-INDEX('TO HOP'!$AR$66:$AR$127,$A12)*'TO HOP'!$AR$58-INDEX('TO HOP'!$AS$66:$AS$127,$A12)*'TO HOP'!$AS$58+INDEX('TO HOP'!$AD$66:$AD$127,$A12)*$G12+INDEX('TO HOP'!$AR$66:$AR$127,$A12)*$D12+INDEX('TO HOP'!$AS$66:$AS$127,$A12)*($E12+$F12))</f>
        <v>1542.1183676220262</v>
      </c>
      <c r="K12" s="39">
        <f>IF($H12="","",SUMPRODUCT(INDEX('TO HOP'!$C$66:$AT$127,$A12,0),'TO HOP'!$C$62:$AT$62)-INDEX('TO HOP'!$AD$66:$AD$127,$A12)*'TO HOP'!$AD$62-INDEX('TO HOP'!$AR$66:$AR$127,$A12)*'TO HOP'!$AR$62-INDEX('TO HOP'!$AS$66:$AS$127,$A12)*'TO HOP'!$AS$62+(INDEX('TO HOP'!$AD$66:$AD$127,$A12)*$G12+INDEX('TO HOP'!$AR$66:$AR$127,$A12)*$D12+INDEX('TO HOP'!$AS$66:$AS$127,$A12)*($E12+$F12))*(Hcot+hxm+hgoi))</f>
        <v>16424.135857404428</v>
      </c>
      <c r="L12" s="39">
        <f t="shared" si="0"/>
        <v>1542.1183676220262</v>
      </c>
      <c r="M12" s="39">
        <f t="shared" si="1"/>
        <v>19508.372592648484</v>
      </c>
      <c r="N12" s="39">
        <f t="shared" si="2"/>
        <v>1542.1183676220262</v>
      </c>
      <c r="O12" s="39">
        <f t="shared" si="3"/>
        <v>16424.135857404428</v>
      </c>
    </row>
    <row r="13" spans="1:15" x14ac:dyDescent="0.3">
      <c r="A13" s="38">
        <f>'TO HOP'!N133</f>
        <v>3</v>
      </c>
      <c r="B13" s="38" t="str">
        <f>'TO HOP'!B133</f>
        <v>SD I - 2 nhịp lệch tâm 3 làn</v>
      </c>
      <c r="C13" s="38" t="s">
        <v>1200</v>
      </c>
      <c r="D13" s="39">
        <f>'HE GOI'!D18</f>
        <v>-1521.6710398757043</v>
      </c>
      <c r="E13" s="39">
        <f>IF(csmode=1,0,'HE GOI'!D20)</f>
        <v>512.34715147329803</v>
      </c>
      <c r="F13" s="39">
        <f>IF(csmode=1,'HE GOI'!D24,'HE GOI'!D21)</f>
        <v>320.21696967081334</v>
      </c>
      <c r="G13" s="39">
        <f>'HE GOI'!D22</f>
        <v>1034.6545125000002</v>
      </c>
      <c r="H13" s="39">
        <f>IF(OR($A13=0,NOT(ISNUMBER($D13)),NOT(ISNUMBER($E13)),NOT(ISNUMBER($F13))),"",SUMPRODUCT(INDEX('TO HOP'!$C$66:$AT$127,$A13,0),'TO HOP'!$C$53:$AT$53)-INDEX('TO HOP'!$AD$66:$AD$127,$A13)*'TO HOP'!$AD$53-INDEX('TO HOP'!$AR$66:$AR$127,$A13)*'TO HOP'!$AR$53-INDEX('TO HOP'!$AS$66:$AS$127,$A13)*'TO HOP'!$AS$53+INDEX('TO HOP'!$AD$66:$AD$127,$A13)*$G13+INDEX('TO HOP'!$AR$66:$AR$127,$A13)*$D13+INDEX('TO HOP'!$AS$66:$AS$127,$A13)*($E13+$F13))</f>
        <v>706.41904376840739</v>
      </c>
      <c r="I13" s="39">
        <f>IF($H13="","",SUMPRODUCT(INDEX('TO HOP'!$C$66:$AT$127,$A13,0),'TO HOP'!$C$57:$AT$57)-INDEX('TO HOP'!$AD$66:$AD$127,$A13)*'TO HOP'!$AD$57-INDEX('TO HOP'!$AR$66:$AR$127,$A13)*'TO HOP'!$AR$57-INDEX('TO HOP'!$AS$66:$AS$127,$A13)*'TO HOP'!$AS$57+(INDEX('TO HOP'!$AD$66:$AD$127,$A13)*$G13+INDEX('TO HOP'!$AR$66:$AR$127,$A13)*$D13+INDEX('TO HOP'!$AS$66:$AS$127,$A13)*($E13+$F13))*(Hbe+Hcot+hxm+hgoi))</f>
        <v>9245.9848957260438</v>
      </c>
      <c r="J13" s="39">
        <f>IF($H13="","",SUMPRODUCT(INDEX('TO HOP'!$C$66:$AT$127,$A13,0),'TO HOP'!$C$58:$AT$58)-INDEX('TO HOP'!$AD$66:$AD$127,$A13)*'TO HOP'!$AD$58-INDEX('TO HOP'!$AR$66:$AR$127,$A13)*'TO HOP'!$AR$58-INDEX('TO HOP'!$AS$66:$AS$127,$A13)*'TO HOP'!$AS$58+INDEX('TO HOP'!$AD$66:$AD$127,$A13)*$G13+INDEX('TO HOP'!$AR$66:$AR$127,$A13)*$D13+INDEX('TO HOP'!$AS$66:$AS$127,$A13)*($E13+$F13))</f>
        <v>706.41904376840739</v>
      </c>
      <c r="K13" s="39">
        <f>IF($H13="","",SUMPRODUCT(INDEX('TO HOP'!$C$66:$AT$127,$A13,0),'TO HOP'!$C$62:$AT$62)-INDEX('TO HOP'!$AD$66:$AD$127,$A13)*'TO HOP'!$AD$62-INDEX('TO HOP'!$AR$66:$AR$127,$A13)*'TO HOP'!$AR$62-INDEX('TO HOP'!$AS$66:$AS$127,$A13)*'TO HOP'!$AS$62+(INDEX('TO HOP'!$AD$66:$AD$127,$A13)*$G13+INDEX('TO HOP'!$AR$66:$AR$127,$A13)*$D13+INDEX('TO HOP'!$AS$66:$AS$127,$A13)*($E13+$F13))*(Hcot+hxm+hgoi))</f>
        <v>7833.1468081892272</v>
      </c>
      <c r="L13" s="39">
        <f t="shared" si="0"/>
        <v>706.41904376840739</v>
      </c>
      <c r="M13" s="39">
        <f t="shared" si="1"/>
        <v>9245.9848957260438</v>
      </c>
      <c r="N13" s="39">
        <f t="shared" si="2"/>
        <v>706.41904376840739</v>
      </c>
      <c r="O13" s="39">
        <f t="shared" si="3"/>
        <v>7833.1468081892272</v>
      </c>
    </row>
    <row r="14" spans="1:15" x14ac:dyDescent="0.3">
      <c r="A14" s="38">
        <f>'TO HOP'!N133</f>
        <v>3</v>
      </c>
      <c r="B14" s="38" t="str">
        <f>'TO HOP'!B133</f>
        <v>SD I - 2 nhịp lệch tâm 3 làn</v>
      </c>
      <c r="C14" s="38" t="s">
        <v>1201</v>
      </c>
      <c r="D14" s="39">
        <f>'HE GOI'!D18</f>
        <v>-1521.6710398757043</v>
      </c>
      <c r="E14" s="39">
        <f>IF(csmode=1,0,'HE GOI'!D20)</f>
        <v>512.34715147329803</v>
      </c>
      <c r="F14" s="39">
        <f>IF(csmode=1,'HE GOI'!D24,'HE GOI'!D21)</f>
        <v>320.21696967081334</v>
      </c>
      <c r="G14" s="39">
        <f>'HE GOI'!D23</f>
        <v>-1034.6545125000002</v>
      </c>
      <c r="H14" s="39">
        <f>IF(OR($A14=0,NOT(ISNUMBER($D14)),NOT(ISNUMBER($E14)),NOT(ISNUMBER($F14))),"",SUMPRODUCT(INDEX('TO HOP'!$C$66:$AT$127,$A14,0),'TO HOP'!$C$53:$AT$53)-INDEX('TO HOP'!$AD$66:$AD$127,$A14)*'TO HOP'!$AD$53-INDEX('TO HOP'!$AR$66:$AR$127,$A14)*'TO HOP'!$AR$53-INDEX('TO HOP'!$AS$66:$AS$127,$A14)*'TO HOP'!$AS$53+INDEX('TO HOP'!$AD$66:$AD$127,$A14)*$G14+INDEX('TO HOP'!$AR$66:$AR$127,$A14)*$D14+INDEX('TO HOP'!$AS$66:$AS$127,$A14)*($E14+$F14))</f>
        <v>-1362.8899812315933</v>
      </c>
      <c r="I14" s="39">
        <f>IF($H14="","",SUMPRODUCT(INDEX('TO HOP'!$C$66:$AT$127,$A14,0),'TO HOP'!$C$57:$AT$57)-INDEX('TO HOP'!$AD$66:$AD$127,$A14)*'TO HOP'!$AD$57-INDEX('TO HOP'!$AR$66:$AR$127,$A14)*'TO HOP'!$AR$57-INDEX('TO HOP'!$AS$66:$AS$127,$A14)*'TO HOP'!$AS$57+(INDEX('TO HOP'!$AD$66:$AD$127,$A14)*$G14+INDEX('TO HOP'!$AR$66:$AR$127,$A14)*$D14+INDEX('TO HOP'!$AS$66:$AS$127,$A14)*($E14+$F14))*(Hbe+Hcot+hxm+hgoi))</f>
        <v>-16165.129931273963</v>
      </c>
      <c r="J14" s="39">
        <f>IF($H14="","",SUMPRODUCT(INDEX('TO HOP'!$C$66:$AT$127,$A14,0),'TO HOP'!$C$58:$AT$58)-INDEX('TO HOP'!$AD$66:$AD$127,$A14)*'TO HOP'!$AD$58-INDEX('TO HOP'!$AR$66:$AR$127,$A14)*'TO HOP'!$AR$58-INDEX('TO HOP'!$AS$66:$AS$127,$A14)*'TO HOP'!$AS$58+INDEX('TO HOP'!$AD$66:$AD$127,$A14)*$G14+INDEX('TO HOP'!$AR$66:$AR$127,$A14)*$D14+INDEX('TO HOP'!$AS$66:$AS$127,$A14)*($E14+$F14))</f>
        <v>-1362.8899812315933</v>
      </c>
      <c r="K14" s="39">
        <f>IF($H14="","",SUMPRODUCT(INDEX('TO HOP'!$C$66:$AT$127,$A14,0),'TO HOP'!$C$62:$AT$62)-INDEX('TO HOP'!$AD$66:$AD$127,$A14)*'TO HOP'!$AD$62-INDEX('TO HOP'!$AR$66:$AR$127,$A14)*'TO HOP'!$AR$62-INDEX('TO HOP'!$AS$66:$AS$127,$A14)*'TO HOP'!$AS$62+(INDEX('TO HOP'!$AD$66:$AD$127,$A14)*$G14+INDEX('TO HOP'!$AR$66:$AR$127,$A14)*$D14+INDEX('TO HOP'!$AS$66:$AS$127,$A14)*($E14+$F14))*(Hcot+hxm+hgoi))</f>
        <v>-13439.349968810779</v>
      </c>
      <c r="L14" s="39">
        <f t="shared" si="0"/>
        <v>1362.8899812315933</v>
      </c>
      <c r="M14" s="39">
        <f t="shared" si="1"/>
        <v>16165.129931273963</v>
      </c>
      <c r="N14" s="39">
        <f t="shared" si="2"/>
        <v>1362.8899812315933</v>
      </c>
      <c r="O14" s="39">
        <f t="shared" si="3"/>
        <v>13439.349968810779</v>
      </c>
    </row>
    <row r="15" spans="1:15" x14ac:dyDescent="0.3">
      <c r="A15" s="38">
        <f>'TO HOP'!N133</f>
        <v>3</v>
      </c>
      <c r="B15" s="38" t="str">
        <f>'TO HOP'!B133</f>
        <v>SD I - 2 nhịp lệch tâm 3 làn</v>
      </c>
      <c r="C15" s="38" t="s">
        <v>1202</v>
      </c>
      <c r="D15" s="39">
        <f>'HE GOI'!D19</f>
        <v>1383.337308977915</v>
      </c>
      <c r="E15" s="39">
        <f>IF(csmode=1,0,'HE GOI'!D20)</f>
        <v>512.34715147329803</v>
      </c>
      <c r="F15" s="39">
        <f>IF(csmode=1,'HE GOI'!D24,'HE GOI'!D21)</f>
        <v>320.21696967081334</v>
      </c>
      <c r="G15" s="39">
        <f>'HE GOI'!D22</f>
        <v>1034.6545125000002</v>
      </c>
      <c r="H15" s="39">
        <f>IF(OR($A15=0,NOT(ISNUMBER($D15)),NOT(ISNUMBER($E15)),NOT(ISNUMBER($F15))),"",SUMPRODUCT(INDEX('TO HOP'!$C$66:$AT$127,$A15,0),'TO HOP'!$C$53:$AT$53)-INDEX('TO HOP'!$AD$66:$AD$127,$A15)*'TO HOP'!$AD$53-INDEX('TO HOP'!$AR$66:$AR$127,$A15)*'TO HOP'!$AR$53-INDEX('TO HOP'!$AS$66:$AS$127,$A15)*'TO HOP'!$AS$53+INDEX('TO HOP'!$AD$66:$AD$127,$A15)*$G15+INDEX('TO HOP'!$AR$66:$AR$127,$A15)*$D15+INDEX('TO HOP'!$AS$66:$AS$127,$A15)*($E15+$F15))</f>
        <v>3611.4273926220267</v>
      </c>
      <c r="I15" s="39">
        <f>IF($H15="","",SUMPRODUCT(INDEX('TO HOP'!$C$66:$AT$127,$A15,0),'TO HOP'!$C$57:$AT$57)-INDEX('TO HOP'!$AD$66:$AD$127,$A15)*'TO HOP'!$AD$57-INDEX('TO HOP'!$AR$66:$AR$127,$A15)*'TO HOP'!$AR$57-INDEX('TO HOP'!$AS$66:$AS$127,$A15)*'TO HOP'!$AS$57+(INDEX('TO HOP'!$AD$66:$AD$127,$A15)*$G15+INDEX('TO HOP'!$AR$66:$AR$127,$A15)*$D15+INDEX('TO HOP'!$AS$66:$AS$127,$A15)*($E15+$F15))*(Hbe+Hcot+hxm+hgoi))</f>
        <v>44919.487419648496</v>
      </c>
      <c r="J15" s="39">
        <f>IF($H15="","",SUMPRODUCT(INDEX('TO HOP'!$C$66:$AT$127,$A15,0),'TO HOP'!$C$58:$AT$58)-INDEX('TO HOP'!$AD$66:$AD$127,$A15)*'TO HOP'!$AD$58-INDEX('TO HOP'!$AR$66:$AR$127,$A15)*'TO HOP'!$AR$58-INDEX('TO HOP'!$AS$66:$AS$127,$A15)*'TO HOP'!$AS$58+INDEX('TO HOP'!$AD$66:$AD$127,$A15)*$G15+INDEX('TO HOP'!$AR$66:$AR$127,$A15)*$D15+INDEX('TO HOP'!$AS$66:$AS$127,$A15)*($E15+$F15))</f>
        <v>3611.4273926220267</v>
      </c>
      <c r="K15" s="39">
        <f>IF($H15="","",SUMPRODUCT(INDEX('TO HOP'!$C$66:$AT$127,$A15,0),'TO HOP'!$C$62:$AT$62)-INDEX('TO HOP'!$AD$66:$AD$127,$A15)*'TO HOP'!$AD$62-INDEX('TO HOP'!$AR$66:$AR$127,$A15)*'TO HOP'!$AR$62-INDEX('TO HOP'!$AS$66:$AS$127,$A15)*'TO HOP'!$AS$62+(INDEX('TO HOP'!$AD$66:$AD$127,$A15)*$G15+INDEX('TO HOP'!$AR$66:$AR$127,$A15)*$D15+INDEX('TO HOP'!$AS$66:$AS$127,$A15)*($E15+$F15))*(Hcot+hxm+hgoi))</f>
        <v>37696.632634404443</v>
      </c>
      <c r="L15" s="39">
        <f t="shared" si="0"/>
        <v>3611.4273926220267</v>
      </c>
      <c r="M15" s="39">
        <f t="shared" si="1"/>
        <v>44919.487419648496</v>
      </c>
      <c r="N15" s="39">
        <f t="shared" si="2"/>
        <v>3611.4273926220267</v>
      </c>
      <c r="O15" s="39">
        <f t="shared" si="3"/>
        <v>37696.632634404443</v>
      </c>
    </row>
    <row r="16" spans="1:15" x14ac:dyDescent="0.3">
      <c r="A16" s="38">
        <f>'TO HOP'!N133</f>
        <v>3</v>
      </c>
      <c r="B16" s="38" t="str">
        <f>'TO HOP'!B133</f>
        <v>SD I - 2 nhịp lệch tâm 3 làn</v>
      </c>
      <c r="C16" s="38" t="s">
        <v>1203</v>
      </c>
      <c r="D16" s="39">
        <f>'HE GOI'!D19</f>
        <v>1383.337308977915</v>
      </c>
      <c r="E16" s="39">
        <f>IF(csmode=1,0,'HE GOI'!D20)</f>
        <v>512.34715147329803</v>
      </c>
      <c r="F16" s="39">
        <f>IF(csmode=1,'HE GOI'!D24,'HE GOI'!D21)</f>
        <v>320.21696967081334</v>
      </c>
      <c r="G16" s="39">
        <f>'HE GOI'!D23</f>
        <v>-1034.6545125000002</v>
      </c>
      <c r="H16" s="39">
        <f>IF(OR($A16=0,NOT(ISNUMBER($D16)),NOT(ISNUMBER($E16)),NOT(ISNUMBER($F16))),"",SUMPRODUCT(INDEX('TO HOP'!$C$66:$AT$127,$A16,0),'TO HOP'!$C$53:$AT$53)-INDEX('TO HOP'!$AD$66:$AD$127,$A16)*'TO HOP'!$AD$53-INDEX('TO HOP'!$AR$66:$AR$127,$A16)*'TO HOP'!$AR$53-INDEX('TO HOP'!$AS$66:$AS$127,$A16)*'TO HOP'!$AS$53+INDEX('TO HOP'!$AD$66:$AD$127,$A16)*$G16+INDEX('TO HOP'!$AR$66:$AR$127,$A16)*$D16+INDEX('TO HOP'!$AS$66:$AS$127,$A16)*($E16+$F16))</f>
        <v>1542.1183676220262</v>
      </c>
      <c r="I16" s="39">
        <f>IF($H16="","",SUMPRODUCT(INDEX('TO HOP'!$C$66:$AT$127,$A16,0),'TO HOP'!$C$57:$AT$57)-INDEX('TO HOP'!$AD$66:$AD$127,$A16)*'TO HOP'!$AD$57-INDEX('TO HOP'!$AR$66:$AR$127,$A16)*'TO HOP'!$AR$57-INDEX('TO HOP'!$AS$66:$AS$127,$A16)*'TO HOP'!$AS$57+(INDEX('TO HOP'!$AD$66:$AD$127,$A16)*$G16+INDEX('TO HOP'!$AR$66:$AR$127,$A16)*$D16+INDEX('TO HOP'!$AS$66:$AS$127,$A16)*($E16+$F16))*(Hbe+Hcot+hxm+hgoi))</f>
        <v>19508.372592648484</v>
      </c>
      <c r="J16" s="39">
        <f>IF($H16="","",SUMPRODUCT(INDEX('TO HOP'!$C$66:$AT$127,$A16,0),'TO HOP'!$C$58:$AT$58)-INDEX('TO HOP'!$AD$66:$AD$127,$A16)*'TO HOP'!$AD$58-INDEX('TO HOP'!$AR$66:$AR$127,$A16)*'TO HOP'!$AR$58-INDEX('TO HOP'!$AS$66:$AS$127,$A16)*'TO HOP'!$AS$58+INDEX('TO HOP'!$AD$66:$AD$127,$A16)*$G16+INDEX('TO HOP'!$AR$66:$AR$127,$A16)*$D16+INDEX('TO HOP'!$AS$66:$AS$127,$A16)*($E16+$F16))</f>
        <v>1542.1183676220262</v>
      </c>
      <c r="K16" s="39">
        <f>IF($H16="","",SUMPRODUCT(INDEX('TO HOP'!$C$66:$AT$127,$A16,0),'TO HOP'!$C$62:$AT$62)-INDEX('TO HOP'!$AD$66:$AD$127,$A16)*'TO HOP'!$AD$62-INDEX('TO HOP'!$AR$66:$AR$127,$A16)*'TO HOP'!$AR$62-INDEX('TO HOP'!$AS$66:$AS$127,$A16)*'TO HOP'!$AS$62+(INDEX('TO HOP'!$AD$66:$AD$127,$A16)*$G16+INDEX('TO HOP'!$AR$66:$AR$127,$A16)*$D16+INDEX('TO HOP'!$AS$66:$AS$127,$A16)*($E16+$F16))*(Hcot+hxm+hgoi))</f>
        <v>16424.135857404428</v>
      </c>
      <c r="L16" s="39">
        <f t="shared" si="0"/>
        <v>1542.1183676220262</v>
      </c>
      <c r="M16" s="39">
        <f t="shared" si="1"/>
        <v>19508.372592648484</v>
      </c>
      <c r="N16" s="39">
        <f t="shared" si="2"/>
        <v>1542.1183676220262</v>
      </c>
      <c r="O16" s="39">
        <f t="shared" si="3"/>
        <v>16424.135857404428</v>
      </c>
    </row>
    <row r="17" spans="1:15" x14ac:dyDescent="0.3">
      <c r="A17" s="38">
        <f>'TO HOP'!N134</f>
        <v>4</v>
      </c>
      <c r="B17" s="38" t="str">
        <f>'TO HOP'!B134</f>
        <v>SD I - 2 nhịp lệch tâm 4 làn</v>
      </c>
      <c r="C17" s="38" t="s">
        <v>1200</v>
      </c>
      <c r="D17" s="39">
        <f>'HE GOI'!D18</f>
        <v>-1521.6710398757043</v>
      </c>
      <c r="E17" s="39">
        <f>IF(csmode=1,0,'HE GOI'!D20)</f>
        <v>512.34715147329803</v>
      </c>
      <c r="F17" s="39">
        <f>IF(csmode=1,'HE GOI'!D24,'HE GOI'!D21)</f>
        <v>320.21696967081334</v>
      </c>
      <c r="G17" s="39">
        <f>'HE GOI'!D22</f>
        <v>1034.6545125000002</v>
      </c>
      <c r="H17" s="39">
        <f>IF(OR($A17=0,NOT(ISNUMBER($D17)),NOT(ISNUMBER($E17)),NOT(ISNUMBER($F17))),"",SUMPRODUCT(INDEX('TO HOP'!$C$66:$AT$127,$A17,0),'TO HOP'!$C$53:$AT$53)-INDEX('TO HOP'!$AD$66:$AD$127,$A17)*'TO HOP'!$AD$53-INDEX('TO HOP'!$AR$66:$AR$127,$A17)*'TO HOP'!$AR$53-INDEX('TO HOP'!$AS$66:$AS$127,$A17)*'TO HOP'!$AS$53+INDEX('TO HOP'!$AD$66:$AD$127,$A17)*$G17+INDEX('TO HOP'!$AR$66:$AR$127,$A17)*$D17+INDEX('TO HOP'!$AS$66:$AS$127,$A17)*($E17+$F17))</f>
        <v>706.41904376840739</v>
      </c>
      <c r="I17" s="39">
        <f>IF($H17="","",SUMPRODUCT(INDEX('TO HOP'!$C$66:$AT$127,$A17,0),'TO HOP'!$C$57:$AT$57)-INDEX('TO HOP'!$AD$66:$AD$127,$A17)*'TO HOP'!$AD$57-INDEX('TO HOP'!$AR$66:$AR$127,$A17)*'TO HOP'!$AR$57-INDEX('TO HOP'!$AS$66:$AS$127,$A17)*'TO HOP'!$AS$57+(INDEX('TO HOP'!$AD$66:$AD$127,$A17)*$G17+INDEX('TO HOP'!$AR$66:$AR$127,$A17)*$D17+INDEX('TO HOP'!$AS$66:$AS$127,$A17)*($E17+$F17))*(Hbe+Hcot+hxm+hgoi))</f>
        <v>9245.9848957260438</v>
      </c>
      <c r="J17" s="39">
        <f>IF($H17="","",SUMPRODUCT(INDEX('TO HOP'!$C$66:$AT$127,$A17,0),'TO HOP'!$C$58:$AT$58)-INDEX('TO HOP'!$AD$66:$AD$127,$A17)*'TO HOP'!$AD$58-INDEX('TO HOP'!$AR$66:$AR$127,$A17)*'TO HOP'!$AR$58-INDEX('TO HOP'!$AS$66:$AS$127,$A17)*'TO HOP'!$AS$58+INDEX('TO HOP'!$AD$66:$AD$127,$A17)*$G17+INDEX('TO HOP'!$AR$66:$AR$127,$A17)*$D17+INDEX('TO HOP'!$AS$66:$AS$127,$A17)*($E17+$F17))</f>
        <v>706.41904376840739</v>
      </c>
      <c r="K17" s="39">
        <f>IF($H17="","",SUMPRODUCT(INDEX('TO HOP'!$C$66:$AT$127,$A17,0),'TO HOP'!$C$62:$AT$62)-INDEX('TO HOP'!$AD$66:$AD$127,$A17)*'TO HOP'!$AD$62-INDEX('TO HOP'!$AR$66:$AR$127,$A17)*'TO HOP'!$AR$62-INDEX('TO HOP'!$AS$66:$AS$127,$A17)*'TO HOP'!$AS$62+(INDEX('TO HOP'!$AD$66:$AD$127,$A17)*$G17+INDEX('TO HOP'!$AR$66:$AR$127,$A17)*$D17+INDEX('TO HOP'!$AS$66:$AS$127,$A17)*($E17+$F17))*(Hcot+hxm+hgoi))</f>
        <v>7833.1468081892272</v>
      </c>
      <c r="L17" s="39">
        <f t="shared" si="0"/>
        <v>706.41904376840739</v>
      </c>
      <c r="M17" s="39">
        <f t="shared" si="1"/>
        <v>9245.9848957260438</v>
      </c>
      <c r="N17" s="39">
        <f t="shared" si="2"/>
        <v>706.41904376840739</v>
      </c>
      <c r="O17" s="39">
        <f t="shared" si="3"/>
        <v>7833.1468081892272</v>
      </c>
    </row>
    <row r="18" spans="1:15" x14ac:dyDescent="0.3">
      <c r="A18" s="38">
        <f>'TO HOP'!N134</f>
        <v>4</v>
      </c>
      <c r="B18" s="38" t="str">
        <f>'TO HOP'!B134</f>
        <v>SD I - 2 nhịp lệch tâm 4 làn</v>
      </c>
      <c r="C18" s="38" t="s">
        <v>1201</v>
      </c>
      <c r="D18" s="39">
        <f>'HE GOI'!D18</f>
        <v>-1521.6710398757043</v>
      </c>
      <c r="E18" s="39">
        <f>IF(csmode=1,0,'HE GOI'!D20)</f>
        <v>512.34715147329803</v>
      </c>
      <c r="F18" s="39">
        <f>IF(csmode=1,'HE GOI'!D24,'HE GOI'!D21)</f>
        <v>320.21696967081334</v>
      </c>
      <c r="G18" s="39">
        <f>'HE GOI'!D23</f>
        <v>-1034.6545125000002</v>
      </c>
      <c r="H18" s="39">
        <f>IF(OR($A18=0,NOT(ISNUMBER($D18)),NOT(ISNUMBER($E18)),NOT(ISNUMBER($F18))),"",SUMPRODUCT(INDEX('TO HOP'!$C$66:$AT$127,$A18,0),'TO HOP'!$C$53:$AT$53)-INDEX('TO HOP'!$AD$66:$AD$127,$A18)*'TO HOP'!$AD$53-INDEX('TO HOP'!$AR$66:$AR$127,$A18)*'TO HOP'!$AR$53-INDEX('TO HOP'!$AS$66:$AS$127,$A18)*'TO HOP'!$AS$53+INDEX('TO HOP'!$AD$66:$AD$127,$A18)*$G18+INDEX('TO HOP'!$AR$66:$AR$127,$A18)*$D18+INDEX('TO HOP'!$AS$66:$AS$127,$A18)*($E18+$F18))</f>
        <v>-1362.8899812315933</v>
      </c>
      <c r="I18" s="39">
        <f>IF($H18="","",SUMPRODUCT(INDEX('TO HOP'!$C$66:$AT$127,$A18,0),'TO HOP'!$C$57:$AT$57)-INDEX('TO HOP'!$AD$66:$AD$127,$A18)*'TO HOP'!$AD$57-INDEX('TO HOP'!$AR$66:$AR$127,$A18)*'TO HOP'!$AR$57-INDEX('TO HOP'!$AS$66:$AS$127,$A18)*'TO HOP'!$AS$57+(INDEX('TO HOP'!$AD$66:$AD$127,$A18)*$G18+INDEX('TO HOP'!$AR$66:$AR$127,$A18)*$D18+INDEX('TO HOP'!$AS$66:$AS$127,$A18)*($E18+$F18))*(Hbe+Hcot+hxm+hgoi))</f>
        <v>-16165.129931273963</v>
      </c>
      <c r="J18" s="39">
        <f>IF($H18="","",SUMPRODUCT(INDEX('TO HOP'!$C$66:$AT$127,$A18,0),'TO HOP'!$C$58:$AT$58)-INDEX('TO HOP'!$AD$66:$AD$127,$A18)*'TO HOP'!$AD$58-INDEX('TO HOP'!$AR$66:$AR$127,$A18)*'TO HOP'!$AR$58-INDEX('TO HOP'!$AS$66:$AS$127,$A18)*'TO HOP'!$AS$58+INDEX('TO HOP'!$AD$66:$AD$127,$A18)*$G18+INDEX('TO HOP'!$AR$66:$AR$127,$A18)*$D18+INDEX('TO HOP'!$AS$66:$AS$127,$A18)*($E18+$F18))</f>
        <v>-1362.8899812315933</v>
      </c>
      <c r="K18" s="39">
        <f>IF($H18="","",SUMPRODUCT(INDEX('TO HOP'!$C$66:$AT$127,$A18,0),'TO HOP'!$C$62:$AT$62)-INDEX('TO HOP'!$AD$66:$AD$127,$A18)*'TO HOP'!$AD$62-INDEX('TO HOP'!$AR$66:$AR$127,$A18)*'TO HOP'!$AR$62-INDEX('TO HOP'!$AS$66:$AS$127,$A18)*'TO HOP'!$AS$62+(INDEX('TO HOP'!$AD$66:$AD$127,$A18)*$G18+INDEX('TO HOP'!$AR$66:$AR$127,$A18)*$D18+INDEX('TO HOP'!$AS$66:$AS$127,$A18)*($E18+$F18))*(Hcot+hxm+hgoi))</f>
        <v>-13439.349968810779</v>
      </c>
      <c r="L18" s="39">
        <f t="shared" si="0"/>
        <v>1362.8899812315933</v>
      </c>
      <c r="M18" s="39">
        <f t="shared" si="1"/>
        <v>16165.129931273963</v>
      </c>
      <c r="N18" s="39">
        <f t="shared" si="2"/>
        <v>1362.8899812315933</v>
      </c>
      <c r="O18" s="39">
        <f t="shared" si="3"/>
        <v>13439.349968810779</v>
      </c>
    </row>
    <row r="19" spans="1:15" x14ac:dyDescent="0.3">
      <c r="A19" s="38">
        <f>'TO HOP'!N134</f>
        <v>4</v>
      </c>
      <c r="B19" s="38" t="str">
        <f>'TO HOP'!B134</f>
        <v>SD I - 2 nhịp lệch tâm 4 làn</v>
      </c>
      <c r="C19" s="38" t="s">
        <v>1202</v>
      </c>
      <c r="D19" s="39">
        <f>'HE GOI'!D19</f>
        <v>1383.337308977915</v>
      </c>
      <c r="E19" s="39">
        <f>IF(csmode=1,0,'HE GOI'!D20)</f>
        <v>512.34715147329803</v>
      </c>
      <c r="F19" s="39">
        <f>IF(csmode=1,'HE GOI'!D24,'HE GOI'!D21)</f>
        <v>320.21696967081334</v>
      </c>
      <c r="G19" s="39">
        <f>'HE GOI'!D22</f>
        <v>1034.6545125000002</v>
      </c>
      <c r="H19" s="39">
        <f>IF(OR($A19=0,NOT(ISNUMBER($D19)),NOT(ISNUMBER($E19)),NOT(ISNUMBER($F19))),"",SUMPRODUCT(INDEX('TO HOP'!$C$66:$AT$127,$A19,0),'TO HOP'!$C$53:$AT$53)-INDEX('TO HOP'!$AD$66:$AD$127,$A19)*'TO HOP'!$AD$53-INDEX('TO HOP'!$AR$66:$AR$127,$A19)*'TO HOP'!$AR$53-INDEX('TO HOP'!$AS$66:$AS$127,$A19)*'TO HOP'!$AS$53+INDEX('TO HOP'!$AD$66:$AD$127,$A19)*$G19+INDEX('TO HOP'!$AR$66:$AR$127,$A19)*$D19+INDEX('TO HOP'!$AS$66:$AS$127,$A19)*($E19+$F19))</f>
        <v>3611.4273926220267</v>
      </c>
      <c r="I19" s="39">
        <f>IF($H19="","",SUMPRODUCT(INDEX('TO HOP'!$C$66:$AT$127,$A19,0),'TO HOP'!$C$57:$AT$57)-INDEX('TO HOP'!$AD$66:$AD$127,$A19)*'TO HOP'!$AD$57-INDEX('TO HOP'!$AR$66:$AR$127,$A19)*'TO HOP'!$AR$57-INDEX('TO HOP'!$AS$66:$AS$127,$A19)*'TO HOP'!$AS$57+(INDEX('TO HOP'!$AD$66:$AD$127,$A19)*$G19+INDEX('TO HOP'!$AR$66:$AR$127,$A19)*$D19+INDEX('TO HOP'!$AS$66:$AS$127,$A19)*($E19+$F19))*(Hbe+Hcot+hxm+hgoi))</f>
        <v>44919.487419648496</v>
      </c>
      <c r="J19" s="39">
        <f>IF($H19="","",SUMPRODUCT(INDEX('TO HOP'!$C$66:$AT$127,$A19,0),'TO HOP'!$C$58:$AT$58)-INDEX('TO HOP'!$AD$66:$AD$127,$A19)*'TO HOP'!$AD$58-INDEX('TO HOP'!$AR$66:$AR$127,$A19)*'TO HOP'!$AR$58-INDEX('TO HOP'!$AS$66:$AS$127,$A19)*'TO HOP'!$AS$58+INDEX('TO HOP'!$AD$66:$AD$127,$A19)*$G19+INDEX('TO HOP'!$AR$66:$AR$127,$A19)*$D19+INDEX('TO HOP'!$AS$66:$AS$127,$A19)*($E19+$F19))</f>
        <v>3611.4273926220267</v>
      </c>
      <c r="K19" s="39">
        <f>IF($H19="","",SUMPRODUCT(INDEX('TO HOP'!$C$66:$AT$127,$A19,0),'TO HOP'!$C$62:$AT$62)-INDEX('TO HOP'!$AD$66:$AD$127,$A19)*'TO HOP'!$AD$62-INDEX('TO HOP'!$AR$66:$AR$127,$A19)*'TO HOP'!$AR$62-INDEX('TO HOP'!$AS$66:$AS$127,$A19)*'TO HOP'!$AS$62+(INDEX('TO HOP'!$AD$66:$AD$127,$A19)*$G19+INDEX('TO HOP'!$AR$66:$AR$127,$A19)*$D19+INDEX('TO HOP'!$AS$66:$AS$127,$A19)*($E19+$F19))*(Hcot+hxm+hgoi))</f>
        <v>37696.632634404443</v>
      </c>
      <c r="L19" s="39">
        <f t="shared" si="0"/>
        <v>3611.4273926220267</v>
      </c>
      <c r="M19" s="39">
        <f t="shared" si="1"/>
        <v>44919.487419648496</v>
      </c>
      <c r="N19" s="39">
        <f t="shared" si="2"/>
        <v>3611.4273926220267</v>
      </c>
      <c r="O19" s="39">
        <f t="shared" si="3"/>
        <v>37696.632634404443</v>
      </c>
    </row>
    <row r="20" spans="1:15" x14ac:dyDescent="0.3">
      <c r="A20" s="38">
        <f>'TO HOP'!N134</f>
        <v>4</v>
      </c>
      <c r="B20" s="38" t="str">
        <f>'TO HOP'!B134</f>
        <v>SD I - 2 nhịp lệch tâm 4 làn</v>
      </c>
      <c r="C20" s="38" t="s">
        <v>1203</v>
      </c>
      <c r="D20" s="39">
        <f>'HE GOI'!D19</f>
        <v>1383.337308977915</v>
      </c>
      <c r="E20" s="39">
        <f>IF(csmode=1,0,'HE GOI'!D20)</f>
        <v>512.34715147329803</v>
      </c>
      <c r="F20" s="39">
        <f>IF(csmode=1,'HE GOI'!D24,'HE GOI'!D21)</f>
        <v>320.21696967081334</v>
      </c>
      <c r="G20" s="39">
        <f>'HE GOI'!D23</f>
        <v>-1034.6545125000002</v>
      </c>
      <c r="H20" s="39">
        <f>IF(OR($A20=0,NOT(ISNUMBER($D20)),NOT(ISNUMBER($E20)),NOT(ISNUMBER($F20))),"",SUMPRODUCT(INDEX('TO HOP'!$C$66:$AT$127,$A20,0),'TO HOP'!$C$53:$AT$53)-INDEX('TO HOP'!$AD$66:$AD$127,$A20)*'TO HOP'!$AD$53-INDEX('TO HOP'!$AR$66:$AR$127,$A20)*'TO HOP'!$AR$53-INDEX('TO HOP'!$AS$66:$AS$127,$A20)*'TO HOP'!$AS$53+INDEX('TO HOP'!$AD$66:$AD$127,$A20)*$G20+INDEX('TO HOP'!$AR$66:$AR$127,$A20)*$D20+INDEX('TO HOP'!$AS$66:$AS$127,$A20)*($E20+$F20))</f>
        <v>1542.1183676220262</v>
      </c>
      <c r="I20" s="39">
        <f>IF($H20="","",SUMPRODUCT(INDEX('TO HOP'!$C$66:$AT$127,$A20,0),'TO HOP'!$C$57:$AT$57)-INDEX('TO HOP'!$AD$66:$AD$127,$A20)*'TO HOP'!$AD$57-INDEX('TO HOP'!$AR$66:$AR$127,$A20)*'TO HOP'!$AR$57-INDEX('TO HOP'!$AS$66:$AS$127,$A20)*'TO HOP'!$AS$57+(INDEX('TO HOP'!$AD$66:$AD$127,$A20)*$G20+INDEX('TO HOP'!$AR$66:$AR$127,$A20)*$D20+INDEX('TO HOP'!$AS$66:$AS$127,$A20)*($E20+$F20))*(Hbe+Hcot+hxm+hgoi))</f>
        <v>19508.372592648484</v>
      </c>
      <c r="J20" s="39">
        <f>IF($H20="","",SUMPRODUCT(INDEX('TO HOP'!$C$66:$AT$127,$A20,0),'TO HOP'!$C$58:$AT$58)-INDEX('TO HOP'!$AD$66:$AD$127,$A20)*'TO HOP'!$AD$58-INDEX('TO HOP'!$AR$66:$AR$127,$A20)*'TO HOP'!$AR$58-INDEX('TO HOP'!$AS$66:$AS$127,$A20)*'TO HOP'!$AS$58+INDEX('TO HOP'!$AD$66:$AD$127,$A20)*$G20+INDEX('TO HOP'!$AR$66:$AR$127,$A20)*$D20+INDEX('TO HOP'!$AS$66:$AS$127,$A20)*($E20+$F20))</f>
        <v>1542.1183676220262</v>
      </c>
      <c r="K20" s="39">
        <f>IF($H20="","",SUMPRODUCT(INDEX('TO HOP'!$C$66:$AT$127,$A20,0),'TO HOP'!$C$62:$AT$62)-INDEX('TO HOP'!$AD$66:$AD$127,$A20)*'TO HOP'!$AD$62-INDEX('TO HOP'!$AR$66:$AR$127,$A20)*'TO HOP'!$AR$62-INDEX('TO HOP'!$AS$66:$AS$127,$A20)*'TO HOP'!$AS$62+(INDEX('TO HOP'!$AD$66:$AD$127,$A20)*$G20+INDEX('TO HOP'!$AR$66:$AR$127,$A20)*$D20+INDEX('TO HOP'!$AS$66:$AS$127,$A20)*($E20+$F20))*(Hcot+hxm+hgoi))</f>
        <v>16424.135857404428</v>
      </c>
      <c r="L20" s="39">
        <f t="shared" si="0"/>
        <v>1542.1183676220262</v>
      </c>
      <c r="M20" s="39">
        <f t="shared" si="1"/>
        <v>19508.372592648484</v>
      </c>
      <c r="N20" s="39">
        <f t="shared" si="2"/>
        <v>1542.1183676220262</v>
      </c>
      <c r="O20" s="39">
        <f t="shared" si="3"/>
        <v>16424.135857404428</v>
      </c>
    </row>
    <row r="21" spans="1:15" x14ac:dyDescent="0.3">
      <c r="A21" s="38">
        <f>'TO HOP'!N135</f>
        <v>5</v>
      </c>
      <c r="B21" s="38" t="str">
        <f>'TO HOP'!B135</f>
        <v>SD I - 2 nhịp lệch tâm 5 làn</v>
      </c>
      <c r="C21" s="38" t="s">
        <v>1200</v>
      </c>
      <c r="D21" s="39">
        <f>'HE GOI'!D18</f>
        <v>-1521.6710398757043</v>
      </c>
      <c r="E21" s="39">
        <f>IF(csmode=1,0,'HE GOI'!D20)</f>
        <v>512.34715147329803</v>
      </c>
      <c r="F21" s="39">
        <f>IF(csmode=1,'HE GOI'!D24,'HE GOI'!D21)</f>
        <v>320.21696967081334</v>
      </c>
      <c r="G21" s="39">
        <f>'HE GOI'!D22</f>
        <v>1034.6545125000002</v>
      </c>
      <c r="H21" s="39">
        <f>IF(OR($A21=0,NOT(ISNUMBER($D21)),NOT(ISNUMBER($E21)),NOT(ISNUMBER($F21))),"",SUMPRODUCT(INDEX('TO HOP'!$C$66:$AT$127,$A21,0),'TO HOP'!$C$53:$AT$53)-INDEX('TO HOP'!$AD$66:$AD$127,$A21)*'TO HOP'!$AD$53-INDEX('TO HOP'!$AR$66:$AR$127,$A21)*'TO HOP'!$AR$53-INDEX('TO HOP'!$AS$66:$AS$127,$A21)*'TO HOP'!$AS$53+INDEX('TO HOP'!$AD$66:$AD$127,$A21)*$G21+INDEX('TO HOP'!$AR$66:$AR$127,$A21)*$D21+INDEX('TO HOP'!$AS$66:$AS$127,$A21)*($E21+$F21))</f>
        <v>706.41904376840739</v>
      </c>
      <c r="I21" s="39">
        <f>IF($H21="","",SUMPRODUCT(INDEX('TO HOP'!$C$66:$AT$127,$A21,0),'TO HOP'!$C$57:$AT$57)-INDEX('TO HOP'!$AD$66:$AD$127,$A21)*'TO HOP'!$AD$57-INDEX('TO HOP'!$AR$66:$AR$127,$A21)*'TO HOP'!$AR$57-INDEX('TO HOP'!$AS$66:$AS$127,$A21)*'TO HOP'!$AS$57+(INDEX('TO HOP'!$AD$66:$AD$127,$A21)*$G21+INDEX('TO HOP'!$AR$66:$AR$127,$A21)*$D21+INDEX('TO HOP'!$AS$66:$AS$127,$A21)*($E21+$F21))*(Hbe+Hcot+hxm+hgoi))</f>
        <v>9245.9848957260438</v>
      </c>
      <c r="J21" s="39">
        <f>IF($H21="","",SUMPRODUCT(INDEX('TO HOP'!$C$66:$AT$127,$A21,0),'TO HOP'!$C$58:$AT$58)-INDEX('TO HOP'!$AD$66:$AD$127,$A21)*'TO HOP'!$AD$58-INDEX('TO HOP'!$AR$66:$AR$127,$A21)*'TO HOP'!$AR$58-INDEX('TO HOP'!$AS$66:$AS$127,$A21)*'TO HOP'!$AS$58+INDEX('TO HOP'!$AD$66:$AD$127,$A21)*$G21+INDEX('TO HOP'!$AR$66:$AR$127,$A21)*$D21+INDEX('TO HOP'!$AS$66:$AS$127,$A21)*($E21+$F21))</f>
        <v>706.41904376840739</v>
      </c>
      <c r="K21" s="39">
        <f>IF($H21="","",SUMPRODUCT(INDEX('TO HOP'!$C$66:$AT$127,$A21,0),'TO HOP'!$C$62:$AT$62)-INDEX('TO HOP'!$AD$66:$AD$127,$A21)*'TO HOP'!$AD$62-INDEX('TO HOP'!$AR$66:$AR$127,$A21)*'TO HOP'!$AR$62-INDEX('TO HOP'!$AS$66:$AS$127,$A21)*'TO HOP'!$AS$62+(INDEX('TO HOP'!$AD$66:$AD$127,$A21)*$G21+INDEX('TO HOP'!$AR$66:$AR$127,$A21)*$D21+INDEX('TO HOP'!$AS$66:$AS$127,$A21)*($E21+$F21))*(Hcot+hxm+hgoi))</f>
        <v>7833.1468081892272</v>
      </c>
      <c r="L21" s="39">
        <f t="shared" si="0"/>
        <v>706.41904376840739</v>
      </c>
      <c r="M21" s="39">
        <f t="shared" si="1"/>
        <v>9245.9848957260438</v>
      </c>
      <c r="N21" s="39">
        <f t="shared" si="2"/>
        <v>706.41904376840739</v>
      </c>
      <c r="O21" s="39">
        <f t="shared" si="3"/>
        <v>7833.1468081892272</v>
      </c>
    </row>
    <row r="22" spans="1:15" x14ac:dyDescent="0.3">
      <c r="A22" s="38">
        <f>'TO HOP'!N135</f>
        <v>5</v>
      </c>
      <c r="B22" s="38" t="str">
        <f>'TO HOP'!B135</f>
        <v>SD I - 2 nhịp lệch tâm 5 làn</v>
      </c>
      <c r="C22" s="38" t="s">
        <v>1201</v>
      </c>
      <c r="D22" s="39">
        <f>'HE GOI'!D18</f>
        <v>-1521.6710398757043</v>
      </c>
      <c r="E22" s="39">
        <f>IF(csmode=1,0,'HE GOI'!D20)</f>
        <v>512.34715147329803</v>
      </c>
      <c r="F22" s="39">
        <f>IF(csmode=1,'HE GOI'!D24,'HE GOI'!D21)</f>
        <v>320.21696967081334</v>
      </c>
      <c r="G22" s="39">
        <f>'HE GOI'!D23</f>
        <v>-1034.6545125000002</v>
      </c>
      <c r="H22" s="39">
        <f>IF(OR($A22=0,NOT(ISNUMBER($D22)),NOT(ISNUMBER($E22)),NOT(ISNUMBER($F22))),"",SUMPRODUCT(INDEX('TO HOP'!$C$66:$AT$127,$A22,0),'TO HOP'!$C$53:$AT$53)-INDEX('TO HOP'!$AD$66:$AD$127,$A22)*'TO HOP'!$AD$53-INDEX('TO HOP'!$AR$66:$AR$127,$A22)*'TO HOP'!$AR$53-INDEX('TO HOP'!$AS$66:$AS$127,$A22)*'TO HOP'!$AS$53+INDEX('TO HOP'!$AD$66:$AD$127,$A22)*$G22+INDEX('TO HOP'!$AR$66:$AR$127,$A22)*$D22+INDEX('TO HOP'!$AS$66:$AS$127,$A22)*($E22+$F22))</f>
        <v>-1362.8899812315933</v>
      </c>
      <c r="I22" s="39">
        <f>IF($H22="","",SUMPRODUCT(INDEX('TO HOP'!$C$66:$AT$127,$A22,0),'TO HOP'!$C$57:$AT$57)-INDEX('TO HOP'!$AD$66:$AD$127,$A22)*'TO HOP'!$AD$57-INDEX('TO HOP'!$AR$66:$AR$127,$A22)*'TO HOP'!$AR$57-INDEX('TO HOP'!$AS$66:$AS$127,$A22)*'TO HOP'!$AS$57+(INDEX('TO HOP'!$AD$66:$AD$127,$A22)*$G22+INDEX('TO HOP'!$AR$66:$AR$127,$A22)*$D22+INDEX('TO HOP'!$AS$66:$AS$127,$A22)*($E22+$F22))*(Hbe+Hcot+hxm+hgoi))</f>
        <v>-16165.129931273963</v>
      </c>
      <c r="J22" s="39">
        <f>IF($H22="","",SUMPRODUCT(INDEX('TO HOP'!$C$66:$AT$127,$A22,0),'TO HOP'!$C$58:$AT$58)-INDEX('TO HOP'!$AD$66:$AD$127,$A22)*'TO HOP'!$AD$58-INDEX('TO HOP'!$AR$66:$AR$127,$A22)*'TO HOP'!$AR$58-INDEX('TO HOP'!$AS$66:$AS$127,$A22)*'TO HOP'!$AS$58+INDEX('TO HOP'!$AD$66:$AD$127,$A22)*$G22+INDEX('TO HOP'!$AR$66:$AR$127,$A22)*$D22+INDEX('TO HOP'!$AS$66:$AS$127,$A22)*($E22+$F22))</f>
        <v>-1362.8899812315933</v>
      </c>
      <c r="K22" s="39">
        <f>IF($H22="","",SUMPRODUCT(INDEX('TO HOP'!$C$66:$AT$127,$A22,0),'TO HOP'!$C$62:$AT$62)-INDEX('TO HOP'!$AD$66:$AD$127,$A22)*'TO HOP'!$AD$62-INDEX('TO HOP'!$AR$66:$AR$127,$A22)*'TO HOP'!$AR$62-INDEX('TO HOP'!$AS$66:$AS$127,$A22)*'TO HOP'!$AS$62+(INDEX('TO HOP'!$AD$66:$AD$127,$A22)*$G22+INDEX('TO HOP'!$AR$66:$AR$127,$A22)*$D22+INDEX('TO HOP'!$AS$66:$AS$127,$A22)*($E22+$F22))*(Hcot+hxm+hgoi))</f>
        <v>-13439.349968810779</v>
      </c>
      <c r="L22" s="39">
        <f t="shared" si="0"/>
        <v>1362.8899812315933</v>
      </c>
      <c r="M22" s="39">
        <f t="shared" si="1"/>
        <v>16165.129931273963</v>
      </c>
      <c r="N22" s="39">
        <f t="shared" si="2"/>
        <v>1362.8899812315933</v>
      </c>
      <c r="O22" s="39">
        <f t="shared" si="3"/>
        <v>13439.349968810779</v>
      </c>
    </row>
    <row r="23" spans="1:15" x14ac:dyDescent="0.3">
      <c r="A23" s="38">
        <f>'TO HOP'!N135</f>
        <v>5</v>
      </c>
      <c r="B23" s="38" t="str">
        <f>'TO HOP'!B135</f>
        <v>SD I - 2 nhịp lệch tâm 5 làn</v>
      </c>
      <c r="C23" s="38" t="s">
        <v>1202</v>
      </c>
      <c r="D23" s="39">
        <f>'HE GOI'!D19</f>
        <v>1383.337308977915</v>
      </c>
      <c r="E23" s="39">
        <f>IF(csmode=1,0,'HE GOI'!D20)</f>
        <v>512.34715147329803</v>
      </c>
      <c r="F23" s="39">
        <f>IF(csmode=1,'HE GOI'!D24,'HE GOI'!D21)</f>
        <v>320.21696967081334</v>
      </c>
      <c r="G23" s="39">
        <f>'HE GOI'!D22</f>
        <v>1034.6545125000002</v>
      </c>
      <c r="H23" s="39">
        <f>IF(OR($A23=0,NOT(ISNUMBER($D23)),NOT(ISNUMBER($E23)),NOT(ISNUMBER($F23))),"",SUMPRODUCT(INDEX('TO HOP'!$C$66:$AT$127,$A23,0),'TO HOP'!$C$53:$AT$53)-INDEX('TO HOP'!$AD$66:$AD$127,$A23)*'TO HOP'!$AD$53-INDEX('TO HOP'!$AR$66:$AR$127,$A23)*'TO HOP'!$AR$53-INDEX('TO HOP'!$AS$66:$AS$127,$A23)*'TO HOP'!$AS$53+INDEX('TO HOP'!$AD$66:$AD$127,$A23)*$G23+INDEX('TO HOP'!$AR$66:$AR$127,$A23)*$D23+INDEX('TO HOP'!$AS$66:$AS$127,$A23)*($E23+$F23))</f>
        <v>3611.4273926220267</v>
      </c>
      <c r="I23" s="39">
        <f>IF($H23="","",SUMPRODUCT(INDEX('TO HOP'!$C$66:$AT$127,$A23,0),'TO HOP'!$C$57:$AT$57)-INDEX('TO HOP'!$AD$66:$AD$127,$A23)*'TO HOP'!$AD$57-INDEX('TO HOP'!$AR$66:$AR$127,$A23)*'TO HOP'!$AR$57-INDEX('TO HOP'!$AS$66:$AS$127,$A23)*'TO HOP'!$AS$57+(INDEX('TO HOP'!$AD$66:$AD$127,$A23)*$G23+INDEX('TO HOP'!$AR$66:$AR$127,$A23)*$D23+INDEX('TO HOP'!$AS$66:$AS$127,$A23)*($E23+$F23))*(Hbe+Hcot+hxm+hgoi))</f>
        <v>44919.487419648496</v>
      </c>
      <c r="J23" s="39">
        <f>IF($H23="","",SUMPRODUCT(INDEX('TO HOP'!$C$66:$AT$127,$A23,0),'TO HOP'!$C$58:$AT$58)-INDEX('TO HOP'!$AD$66:$AD$127,$A23)*'TO HOP'!$AD$58-INDEX('TO HOP'!$AR$66:$AR$127,$A23)*'TO HOP'!$AR$58-INDEX('TO HOP'!$AS$66:$AS$127,$A23)*'TO HOP'!$AS$58+INDEX('TO HOP'!$AD$66:$AD$127,$A23)*$G23+INDEX('TO HOP'!$AR$66:$AR$127,$A23)*$D23+INDEX('TO HOP'!$AS$66:$AS$127,$A23)*($E23+$F23))</f>
        <v>3611.4273926220267</v>
      </c>
      <c r="K23" s="39">
        <f>IF($H23="","",SUMPRODUCT(INDEX('TO HOP'!$C$66:$AT$127,$A23,0),'TO HOP'!$C$62:$AT$62)-INDEX('TO HOP'!$AD$66:$AD$127,$A23)*'TO HOP'!$AD$62-INDEX('TO HOP'!$AR$66:$AR$127,$A23)*'TO HOP'!$AR$62-INDEX('TO HOP'!$AS$66:$AS$127,$A23)*'TO HOP'!$AS$62+(INDEX('TO HOP'!$AD$66:$AD$127,$A23)*$G23+INDEX('TO HOP'!$AR$66:$AR$127,$A23)*$D23+INDEX('TO HOP'!$AS$66:$AS$127,$A23)*($E23+$F23))*(Hcot+hxm+hgoi))</f>
        <v>37696.632634404443</v>
      </c>
      <c r="L23" s="39">
        <f t="shared" si="0"/>
        <v>3611.4273926220267</v>
      </c>
      <c r="M23" s="39">
        <f t="shared" si="1"/>
        <v>44919.487419648496</v>
      </c>
      <c r="N23" s="39">
        <f t="shared" si="2"/>
        <v>3611.4273926220267</v>
      </c>
      <c r="O23" s="39">
        <f t="shared" si="3"/>
        <v>37696.632634404443</v>
      </c>
    </row>
    <row r="24" spans="1:15" x14ac:dyDescent="0.3">
      <c r="A24" s="38">
        <f>'TO HOP'!N135</f>
        <v>5</v>
      </c>
      <c r="B24" s="38" t="str">
        <f>'TO HOP'!B135</f>
        <v>SD I - 2 nhịp lệch tâm 5 làn</v>
      </c>
      <c r="C24" s="38" t="s">
        <v>1203</v>
      </c>
      <c r="D24" s="39">
        <f>'HE GOI'!D19</f>
        <v>1383.337308977915</v>
      </c>
      <c r="E24" s="39">
        <f>IF(csmode=1,0,'HE GOI'!D20)</f>
        <v>512.34715147329803</v>
      </c>
      <c r="F24" s="39">
        <f>IF(csmode=1,'HE GOI'!D24,'HE GOI'!D21)</f>
        <v>320.21696967081334</v>
      </c>
      <c r="G24" s="39">
        <f>'HE GOI'!D23</f>
        <v>-1034.6545125000002</v>
      </c>
      <c r="H24" s="39">
        <f>IF(OR($A24=0,NOT(ISNUMBER($D24)),NOT(ISNUMBER($E24)),NOT(ISNUMBER($F24))),"",SUMPRODUCT(INDEX('TO HOP'!$C$66:$AT$127,$A24,0),'TO HOP'!$C$53:$AT$53)-INDEX('TO HOP'!$AD$66:$AD$127,$A24)*'TO HOP'!$AD$53-INDEX('TO HOP'!$AR$66:$AR$127,$A24)*'TO HOP'!$AR$53-INDEX('TO HOP'!$AS$66:$AS$127,$A24)*'TO HOP'!$AS$53+INDEX('TO HOP'!$AD$66:$AD$127,$A24)*$G24+INDEX('TO HOP'!$AR$66:$AR$127,$A24)*$D24+INDEX('TO HOP'!$AS$66:$AS$127,$A24)*($E24+$F24))</f>
        <v>1542.1183676220262</v>
      </c>
      <c r="I24" s="39">
        <f>IF($H24="","",SUMPRODUCT(INDEX('TO HOP'!$C$66:$AT$127,$A24,0),'TO HOP'!$C$57:$AT$57)-INDEX('TO HOP'!$AD$66:$AD$127,$A24)*'TO HOP'!$AD$57-INDEX('TO HOP'!$AR$66:$AR$127,$A24)*'TO HOP'!$AR$57-INDEX('TO HOP'!$AS$66:$AS$127,$A24)*'TO HOP'!$AS$57+(INDEX('TO HOP'!$AD$66:$AD$127,$A24)*$G24+INDEX('TO HOP'!$AR$66:$AR$127,$A24)*$D24+INDEX('TO HOP'!$AS$66:$AS$127,$A24)*($E24+$F24))*(Hbe+Hcot+hxm+hgoi))</f>
        <v>19508.372592648484</v>
      </c>
      <c r="J24" s="39">
        <f>IF($H24="","",SUMPRODUCT(INDEX('TO HOP'!$C$66:$AT$127,$A24,0),'TO HOP'!$C$58:$AT$58)-INDEX('TO HOP'!$AD$66:$AD$127,$A24)*'TO HOP'!$AD$58-INDEX('TO HOP'!$AR$66:$AR$127,$A24)*'TO HOP'!$AR$58-INDEX('TO HOP'!$AS$66:$AS$127,$A24)*'TO HOP'!$AS$58+INDEX('TO HOP'!$AD$66:$AD$127,$A24)*$G24+INDEX('TO HOP'!$AR$66:$AR$127,$A24)*$D24+INDEX('TO HOP'!$AS$66:$AS$127,$A24)*($E24+$F24))</f>
        <v>1542.1183676220262</v>
      </c>
      <c r="K24" s="39">
        <f>IF($H24="","",SUMPRODUCT(INDEX('TO HOP'!$C$66:$AT$127,$A24,0),'TO HOP'!$C$62:$AT$62)-INDEX('TO HOP'!$AD$66:$AD$127,$A24)*'TO HOP'!$AD$62-INDEX('TO HOP'!$AR$66:$AR$127,$A24)*'TO HOP'!$AR$62-INDEX('TO HOP'!$AS$66:$AS$127,$A24)*'TO HOP'!$AS$62+(INDEX('TO HOP'!$AD$66:$AD$127,$A24)*$G24+INDEX('TO HOP'!$AR$66:$AR$127,$A24)*$D24+INDEX('TO HOP'!$AS$66:$AS$127,$A24)*($E24+$F24))*(Hcot+hxm+hgoi))</f>
        <v>16424.135857404428</v>
      </c>
      <c r="L24" s="39">
        <f t="shared" si="0"/>
        <v>1542.1183676220262</v>
      </c>
      <c r="M24" s="39">
        <f t="shared" si="1"/>
        <v>19508.372592648484</v>
      </c>
      <c r="N24" s="39">
        <f t="shared" si="2"/>
        <v>1542.1183676220262</v>
      </c>
      <c r="O24" s="39">
        <f t="shared" si="3"/>
        <v>16424.135857404428</v>
      </c>
    </row>
    <row r="25" spans="1:15" x14ac:dyDescent="0.3">
      <c r="A25" s="38">
        <f>'TO HOP'!N136</f>
        <v>6</v>
      </c>
      <c r="B25" s="38" t="str">
        <f>'TO HOP'!B136</f>
        <v>SD I - 2 nhịp lệch tâm 6 làn</v>
      </c>
      <c r="C25" s="38" t="s">
        <v>1200</v>
      </c>
      <c r="D25" s="39">
        <f>'HE GOI'!D18</f>
        <v>-1521.6710398757043</v>
      </c>
      <c r="E25" s="39">
        <f>IF(csmode=1,0,'HE GOI'!D20)</f>
        <v>512.34715147329803</v>
      </c>
      <c r="F25" s="39">
        <f>IF(csmode=1,'HE GOI'!D24,'HE GOI'!D21)</f>
        <v>320.21696967081334</v>
      </c>
      <c r="G25" s="39">
        <f>'HE GOI'!D22</f>
        <v>1034.6545125000002</v>
      </c>
      <c r="H25" s="39">
        <f>IF(OR($A25=0,NOT(ISNUMBER($D25)),NOT(ISNUMBER($E25)),NOT(ISNUMBER($F25))),"",SUMPRODUCT(INDEX('TO HOP'!$C$66:$AT$127,$A25,0),'TO HOP'!$C$53:$AT$53)-INDEX('TO HOP'!$AD$66:$AD$127,$A25)*'TO HOP'!$AD$53-INDEX('TO HOP'!$AR$66:$AR$127,$A25)*'TO HOP'!$AR$53-INDEX('TO HOP'!$AS$66:$AS$127,$A25)*'TO HOP'!$AS$53+INDEX('TO HOP'!$AD$66:$AD$127,$A25)*$G25+INDEX('TO HOP'!$AR$66:$AR$127,$A25)*$D25+INDEX('TO HOP'!$AS$66:$AS$127,$A25)*($E25+$F25))</f>
        <v>706.41904376840739</v>
      </c>
      <c r="I25" s="39">
        <f>IF($H25="","",SUMPRODUCT(INDEX('TO HOP'!$C$66:$AT$127,$A25,0),'TO HOP'!$C$57:$AT$57)-INDEX('TO HOP'!$AD$66:$AD$127,$A25)*'TO HOP'!$AD$57-INDEX('TO HOP'!$AR$66:$AR$127,$A25)*'TO HOP'!$AR$57-INDEX('TO HOP'!$AS$66:$AS$127,$A25)*'TO HOP'!$AS$57+(INDEX('TO HOP'!$AD$66:$AD$127,$A25)*$G25+INDEX('TO HOP'!$AR$66:$AR$127,$A25)*$D25+INDEX('TO HOP'!$AS$66:$AS$127,$A25)*($E25+$F25))*(Hbe+Hcot+hxm+hgoi))</f>
        <v>9245.9848957260438</v>
      </c>
      <c r="J25" s="39">
        <f>IF($H25="","",SUMPRODUCT(INDEX('TO HOP'!$C$66:$AT$127,$A25,0),'TO HOP'!$C$58:$AT$58)-INDEX('TO HOP'!$AD$66:$AD$127,$A25)*'TO HOP'!$AD$58-INDEX('TO HOP'!$AR$66:$AR$127,$A25)*'TO HOP'!$AR$58-INDEX('TO HOP'!$AS$66:$AS$127,$A25)*'TO HOP'!$AS$58+INDEX('TO HOP'!$AD$66:$AD$127,$A25)*$G25+INDEX('TO HOP'!$AR$66:$AR$127,$A25)*$D25+INDEX('TO HOP'!$AS$66:$AS$127,$A25)*($E25+$F25))</f>
        <v>706.41904376840739</v>
      </c>
      <c r="K25" s="39">
        <f>IF($H25="","",SUMPRODUCT(INDEX('TO HOP'!$C$66:$AT$127,$A25,0),'TO HOP'!$C$62:$AT$62)-INDEX('TO HOP'!$AD$66:$AD$127,$A25)*'TO HOP'!$AD$62-INDEX('TO HOP'!$AR$66:$AR$127,$A25)*'TO HOP'!$AR$62-INDEX('TO HOP'!$AS$66:$AS$127,$A25)*'TO HOP'!$AS$62+(INDEX('TO HOP'!$AD$66:$AD$127,$A25)*$G25+INDEX('TO HOP'!$AR$66:$AR$127,$A25)*$D25+INDEX('TO HOP'!$AS$66:$AS$127,$A25)*($E25+$F25))*(Hcot+hxm+hgoi))</f>
        <v>7833.1468081892272</v>
      </c>
      <c r="L25" s="39">
        <f t="shared" si="0"/>
        <v>706.41904376840739</v>
      </c>
      <c r="M25" s="39">
        <f t="shared" si="1"/>
        <v>9245.9848957260438</v>
      </c>
      <c r="N25" s="39">
        <f t="shared" si="2"/>
        <v>706.41904376840739</v>
      </c>
      <c r="O25" s="39">
        <f t="shared" si="3"/>
        <v>7833.1468081892272</v>
      </c>
    </row>
    <row r="26" spans="1:15" x14ac:dyDescent="0.3">
      <c r="A26" s="38">
        <f>'TO HOP'!N136</f>
        <v>6</v>
      </c>
      <c r="B26" s="38" t="str">
        <f>'TO HOP'!B136</f>
        <v>SD I - 2 nhịp lệch tâm 6 làn</v>
      </c>
      <c r="C26" s="38" t="s">
        <v>1201</v>
      </c>
      <c r="D26" s="39">
        <f>'HE GOI'!D18</f>
        <v>-1521.6710398757043</v>
      </c>
      <c r="E26" s="39">
        <f>IF(csmode=1,0,'HE GOI'!D20)</f>
        <v>512.34715147329803</v>
      </c>
      <c r="F26" s="39">
        <f>IF(csmode=1,'HE GOI'!D24,'HE GOI'!D21)</f>
        <v>320.21696967081334</v>
      </c>
      <c r="G26" s="39">
        <f>'HE GOI'!D23</f>
        <v>-1034.6545125000002</v>
      </c>
      <c r="H26" s="39">
        <f>IF(OR($A26=0,NOT(ISNUMBER($D26)),NOT(ISNUMBER($E26)),NOT(ISNUMBER($F26))),"",SUMPRODUCT(INDEX('TO HOP'!$C$66:$AT$127,$A26,0),'TO HOP'!$C$53:$AT$53)-INDEX('TO HOP'!$AD$66:$AD$127,$A26)*'TO HOP'!$AD$53-INDEX('TO HOP'!$AR$66:$AR$127,$A26)*'TO HOP'!$AR$53-INDEX('TO HOP'!$AS$66:$AS$127,$A26)*'TO HOP'!$AS$53+INDEX('TO HOP'!$AD$66:$AD$127,$A26)*$G26+INDEX('TO HOP'!$AR$66:$AR$127,$A26)*$D26+INDEX('TO HOP'!$AS$66:$AS$127,$A26)*($E26+$F26))</f>
        <v>-1362.8899812315933</v>
      </c>
      <c r="I26" s="39">
        <f>IF($H26="","",SUMPRODUCT(INDEX('TO HOP'!$C$66:$AT$127,$A26,0),'TO HOP'!$C$57:$AT$57)-INDEX('TO HOP'!$AD$66:$AD$127,$A26)*'TO HOP'!$AD$57-INDEX('TO HOP'!$AR$66:$AR$127,$A26)*'TO HOP'!$AR$57-INDEX('TO HOP'!$AS$66:$AS$127,$A26)*'TO HOP'!$AS$57+(INDEX('TO HOP'!$AD$66:$AD$127,$A26)*$G26+INDEX('TO HOP'!$AR$66:$AR$127,$A26)*$D26+INDEX('TO HOP'!$AS$66:$AS$127,$A26)*($E26+$F26))*(Hbe+Hcot+hxm+hgoi))</f>
        <v>-16165.129931273963</v>
      </c>
      <c r="J26" s="39">
        <f>IF($H26="","",SUMPRODUCT(INDEX('TO HOP'!$C$66:$AT$127,$A26,0),'TO HOP'!$C$58:$AT$58)-INDEX('TO HOP'!$AD$66:$AD$127,$A26)*'TO HOP'!$AD$58-INDEX('TO HOP'!$AR$66:$AR$127,$A26)*'TO HOP'!$AR$58-INDEX('TO HOP'!$AS$66:$AS$127,$A26)*'TO HOP'!$AS$58+INDEX('TO HOP'!$AD$66:$AD$127,$A26)*$G26+INDEX('TO HOP'!$AR$66:$AR$127,$A26)*$D26+INDEX('TO HOP'!$AS$66:$AS$127,$A26)*($E26+$F26))</f>
        <v>-1362.8899812315933</v>
      </c>
      <c r="K26" s="39">
        <f>IF($H26="","",SUMPRODUCT(INDEX('TO HOP'!$C$66:$AT$127,$A26,0),'TO HOP'!$C$62:$AT$62)-INDEX('TO HOP'!$AD$66:$AD$127,$A26)*'TO HOP'!$AD$62-INDEX('TO HOP'!$AR$66:$AR$127,$A26)*'TO HOP'!$AR$62-INDEX('TO HOP'!$AS$66:$AS$127,$A26)*'TO HOP'!$AS$62+(INDEX('TO HOP'!$AD$66:$AD$127,$A26)*$G26+INDEX('TO HOP'!$AR$66:$AR$127,$A26)*$D26+INDEX('TO HOP'!$AS$66:$AS$127,$A26)*($E26+$F26))*(Hcot+hxm+hgoi))</f>
        <v>-13439.349968810779</v>
      </c>
      <c r="L26" s="39">
        <f t="shared" si="0"/>
        <v>1362.8899812315933</v>
      </c>
      <c r="M26" s="39">
        <f t="shared" si="1"/>
        <v>16165.129931273963</v>
      </c>
      <c r="N26" s="39">
        <f t="shared" si="2"/>
        <v>1362.8899812315933</v>
      </c>
      <c r="O26" s="39">
        <f t="shared" si="3"/>
        <v>13439.349968810779</v>
      </c>
    </row>
    <row r="27" spans="1:15" x14ac:dyDescent="0.3">
      <c r="A27" s="38">
        <f>'TO HOP'!N136</f>
        <v>6</v>
      </c>
      <c r="B27" s="38" t="str">
        <f>'TO HOP'!B136</f>
        <v>SD I - 2 nhịp lệch tâm 6 làn</v>
      </c>
      <c r="C27" s="38" t="s">
        <v>1202</v>
      </c>
      <c r="D27" s="39">
        <f>'HE GOI'!D19</f>
        <v>1383.337308977915</v>
      </c>
      <c r="E27" s="39">
        <f>IF(csmode=1,0,'HE GOI'!D20)</f>
        <v>512.34715147329803</v>
      </c>
      <c r="F27" s="39">
        <f>IF(csmode=1,'HE GOI'!D24,'HE GOI'!D21)</f>
        <v>320.21696967081334</v>
      </c>
      <c r="G27" s="39">
        <f>'HE GOI'!D22</f>
        <v>1034.6545125000002</v>
      </c>
      <c r="H27" s="39">
        <f>IF(OR($A27=0,NOT(ISNUMBER($D27)),NOT(ISNUMBER($E27)),NOT(ISNUMBER($F27))),"",SUMPRODUCT(INDEX('TO HOP'!$C$66:$AT$127,$A27,0),'TO HOP'!$C$53:$AT$53)-INDEX('TO HOP'!$AD$66:$AD$127,$A27)*'TO HOP'!$AD$53-INDEX('TO HOP'!$AR$66:$AR$127,$A27)*'TO HOP'!$AR$53-INDEX('TO HOP'!$AS$66:$AS$127,$A27)*'TO HOP'!$AS$53+INDEX('TO HOP'!$AD$66:$AD$127,$A27)*$G27+INDEX('TO HOP'!$AR$66:$AR$127,$A27)*$D27+INDEX('TO HOP'!$AS$66:$AS$127,$A27)*($E27+$F27))</f>
        <v>3611.4273926220267</v>
      </c>
      <c r="I27" s="39">
        <f>IF($H27="","",SUMPRODUCT(INDEX('TO HOP'!$C$66:$AT$127,$A27,0),'TO HOP'!$C$57:$AT$57)-INDEX('TO HOP'!$AD$66:$AD$127,$A27)*'TO HOP'!$AD$57-INDEX('TO HOP'!$AR$66:$AR$127,$A27)*'TO HOP'!$AR$57-INDEX('TO HOP'!$AS$66:$AS$127,$A27)*'TO HOP'!$AS$57+(INDEX('TO HOP'!$AD$66:$AD$127,$A27)*$G27+INDEX('TO HOP'!$AR$66:$AR$127,$A27)*$D27+INDEX('TO HOP'!$AS$66:$AS$127,$A27)*($E27+$F27))*(Hbe+Hcot+hxm+hgoi))</f>
        <v>44919.487419648496</v>
      </c>
      <c r="J27" s="39">
        <f>IF($H27="","",SUMPRODUCT(INDEX('TO HOP'!$C$66:$AT$127,$A27,0),'TO HOP'!$C$58:$AT$58)-INDEX('TO HOP'!$AD$66:$AD$127,$A27)*'TO HOP'!$AD$58-INDEX('TO HOP'!$AR$66:$AR$127,$A27)*'TO HOP'!$AR$58-INDEX('TO HOP'!$AS$66:$AS$127,$A27)*'TO HOP'!$AS$58+INDEX('TO HOP'!$AD$66:$AD$127,$A27)*$G27+INDEX('TO HOP'!$AR$66:$AR$127,$A27)*$D27+INDEX('TO HOP'!$AS$66:$AS$127,$A27)*($E27+$F27))</f>
        <v>3611.4273926220267</v>
      </c>
      <c r="K27" s="39">
        <f>IF($H27="","",SUMPRODUCT(INDEX('TO HOP'!$C$66:$AT$127,$A27,0),'TO HOP'!$C$62:$AT$62)-INDEX('TO HOP'!$AD$66:$AD$127,$A27)*'TO HOP'!$AD$62-INDEX('TO HOP'!$AR$66:$AR$127,$A27)*'TO HOP'!$AR$62-INDEX('TO HOP'!$AS$66:$AS$127,$A27)*'TO HOP'!$AS$62+(INDEX('TO HOP'!$AD$66:$AD$127,$A27)*$G27+INDEX('TO HOP'!$AR$66:$AR$127,$A27)*$D27+INDEX('TO HOP'!$AS$66:$AS$127,$A27)*($E27+$F27))*(Hcot+hxm+hgoi))</f>
        <v>37696.632634404443</v>
      </c>
      <c r="L27" s="39">
        <f t="shared" si="0"/>
        <v>3611.4273926220267</v>
      </c>
      <c r="M27" s="39">
        <f t="shared" si="1"/>
        <v>44919.487419648496</v>
      </c>
      <c r="N27" s="39">
        <f t="shared" si="2"/>
        <v>3611.4273926220267</v>
      </c>
      <c r="O27" s="39">
        <f t="shared" si="3"/>
        <v>37696.632634404443</v>
      </c>
    </row>
    <row r="28" spans="1:15" x14ac:dyDescent="0.3">
      <c r="A28" s="38">
        <f>'TO HOP'!N136</f>
        <v>6</v>
      </c>
      <c r="B28" s="38" t="str">
        <f>'TO HOP'!B136</f>
        <v>SD I - 2 nhịp lệch tâm 6 làn</v>
      </c>
      <c r="C28" s="38" t="s">
        <v>1203</v>
      </c>
      <c r="D28" s="39">
        <f>'HE GOI'!D19</f>
        <v>1383.337308977915</v>
      </c>
      <c r="E28" s="39">
        <f>IF(csmode=1,0,'HE GOI'!D20)</f>
        <v>512.34715147329803</v>
      </c>
      <c r="F28" s="39">
        <f>IF(csmode=1,'HE GOI'!D24,'HE GOI'!D21)</f>
        <v>320.21696967081334</v>
      </c>
      <c r="G28" s="39">
        <f>'HE GOI'!D23</f>
        <v>-1034.6545125000002</v>
      </c>
      <c r="H28" s="39">
        <f>IF(OR($A28=0,NOT(ISNUMBER($D28)),NOT(ISNUMBER($E28)),NOT(ISNUMBER($F28))),"",SUMPRODUCT(INDEX('TO HOP'!$C$66:$AT$127,$A28,0),'TO HOP'!$C$53:$AT$53)-INDEX('TO HOP'!$AD$66:$AD$127,$A28)*'TO HOP'!$AD$53-INDEX('TO HOP'!$AR$66:$AR$127,$A28)*'TO HOP'!$AR$53-INDEX('TO HOP'!$AS$66:$AS$127,$A28)*'TO HOP'!$AS$53+INDEX('TO HOP'!$AD$66:$AD$127,$A28)*$G28+INDEX('TO HOP'!$AR$66:$AR$127,$A28)*$D28+INDEX('TO HOP'!$AS$66:$AS$127,$A28)*($E28+$F28))</f>
        <v>1542.1183676220262</v>
      </c>
      <c r="I28" s="39">
        <f>IF($H28="","",SUMPRODUCT(INDEX('TO HOP'!$C$66:$AT$127,$A28,0),'TO HOP'!$C$57:$AT$57)-INDEX('TO HOP'!$AD$66:$AD$127,$A28)*'TO HOP'!$AD$57-INDEX('TO HOP'!$AR$66:$AR$127,$A28)*'TO HOP'!$AR$57-INDEX('TO HOP'!$AS$66:$AS$127,$A28)*'TO HOP'!$AS$57+(INDEX('TO HOP'!$AD$66:$AD$127,$A28)*$G28+INDEX('TO HOP'!$AR$66:$AR$127,$A28)*$D28+INDEX('TO HOP'!$AS$66:$AS$127,$A28)*($E28+$F28))*(Hbe+Hcot+hxm+hgoi))</f>
        <v>19508.372592648484</v>
      </c>
      <c r="J28" s="39">
        <f>IF($H28="","",SUMPRODUCT(INDEX('TO HOP'!$C$66:$AT$127,$A28,0),'TO HOP'!$C$58:$AT$58)-INDEX('TO HOP'!$AD$66:$AD$127,$A28)*'TO HOP'!$AD$58-INDEX('TO HOP'!$AR$66:$AR$127,$A28)*'TO HOP'!$AR$58-INDEX('TO HOP'!$AS$66:$AS$127,$A28)*'TO HOP'!$AS$58+INDEX('TO HOP'!$AD$66:$AD$127,$A28)*$G28+INDEX('TO HOP'!$AR$66:$AR$127,$A28)*$D28+INDEX('TO HOP'!$AS$66:$AS$127,$A28)*($E28+$F28))</f>
        <v>1542.1183676220262</v>
      </c>
      <c r="K28" s="39">
        <f>IF($H28="","",SUMPRODUCT(INDEX('TO HOP'!$C$66:$AT$127,$A28,0),'TO HOP'!$C$62:$AT$62)-INDEX('TO HOP'!$AD$66:$AD$127,$A28)*'TO HOP'!$AD$62-INDEX('TO HOP'!$AR$66:$AR$127,$A28)*'TO HOP'!$AR$62-INDEX('TO HOP'!$AS$66:$AS$127,$A28)*'TO HOP'!$AS$62+(INDEX('TO HOP'!$AD$66:$AD$127,$A28)*$G28+INDEX('TO HOP'!$AR$66:$AR$127,$A28)*$D28+INDEX('TO HOP'!$AS$66:$AS$127,$A28)*($E28+$F28))*(Hcot+hxm+hgoi))</f>
        <v>16424.135857404428</v>
      </c>
      <c r="L28" s="39">
        <f t="shared" si="0"/>
        <v>1542.1183676220262</v>
      </c>
      <c r="M28" s="39">
        <f t="shared" si="1"/>
        <v>19508.372592648484</v>
      </c>
      <c r="N28" s="39">
        <f t="shared" si="2"/>
        <v>1542.1183676220262</v>
      </c>
      <c r="O28" s="39">
        <f t="shared" si="3"/>
        <v>16424.135857404428</v>
      </c>
    </row>
    <row r="29" spans="1:15" x14ac:dyDescent="0.3">
      <c r="A29" s="38">
        <f>'TO HOP'!N137</f>
        <v>7</v>
      </c>
      <c r="B29" s="38" t="str">
        <f>'TO HOP'!B137</f>
        <v>SD I - 2 nhịp đúng tâm 1 làn</v>
      </c>
      <c r="C29" s="38" t="s">
        <v>1200</v>
      </c>
      <c r="D29" s="39">
        <f>'HE GOI'!D18</f>
        <v>-1521.6710398757043</v>
      </c>
      <c r="E29" s="39">
        <f>IF(csmode=1,0,'HE GOI'!D20)</f>
        <v>512.34715147329803</v>
      </c>
      <c r="F29" s="39">
        <f>IF(csmode=1,'HE GOI'!D24,'HE GOI'!D21)</f>
        <v>320.21696967081334</v>
      </c>
      <c r="G29" s="39">
        <f>'HE GOI'!D22</f>
        <v>1034.6545125000002</v>
      </c>
      <c r="H29" s="39">
        <f>IF(OR($A29=0,NOT(ISNUMBER($D29)),NOT(ISNUMBER($E29)),NOT(ISNUMBER($F29))),"",SUMPRODUCT(INDEX('TO HOP'!$C$66:$AT$127,$A29,0),'TO HOP'!$C$53:$AT$53)-INDEX('TO HOP'!$AD$66:$AD$127,$A29)*'TO HOP'!$AD$53-INDEX('TO HOP'!$AR$66:$AR$127,$A29)*'TO HOP'!$AR$53-INDEX('TO HOP'!$AS$66:$AS$127,$A29)*'TO HOP'!$AS$53+INDEX('TO HOP'!$AD$66:$AD$127,$A29)*$G29+INDEX('TO HOP'!$AR$66:$AR$127,$A29)*$D29+INDEX('TO HOP'!$AS$66:$AS$127,$A29)*($E29+$F29))</f>
        <v>706.41904376840739</v>
      </c>
      <c r="I29" s="39">
        <f>IF($H29="","",SUMPRODUCT(INDEX('TO HOP'!$C$66:$AT$127,$A29,0),'TO HOP'!$C$57:$AT$57)-INDEX('TO HOP'!$AD$66:$AD$127,$A29)*'TO HOP'!$AD$57-INDEX('TO HOP'!$AR$66:$AR$127,$A29)*'TO HOP'!$AR$57-INDEX('TO HOP'!$AS$66:$AS$127,$A29)*'TO HOP'!$AS$57+(INDEX('TO HOP'!$AD$66:$AD$127,$A29)*$G29+INDEX('TO HOP'!$AR$66:$AR$127,$A29)*$D29+INDEX('TO HOP'!$AS$66:$AS$127,$A29)*($E29+$F29))*(Hbe+Hcot+hxm+hgoi))</f>
        <v>9245.9848957260438</v>
      </c>
      <c r="J29" s="39">
        <f>IF($H29="","",SUMPRODUCT(INDEX('TO HOP'!$C$66:$AT$127,$A29,0),'TO HOP'!$C$58:$AT$58)-INDEX('TO HOP'!$AD$66:$AD$127,$A29)*'TO HOP'!$AD$58-INDEX('TO HOP'!$AR$66:$AR$127,$A29)*'TO HOP'!$AR$58-INDEX('TO HOP'!$AS$66:$AS$127,$A29)*'TO HOP'!$AS$58+INDEX('TO HOP'!$AD$66:$AD$127,$A29)*$G29+INDEX('TO HOP'!$AR$66:$AR$127,$A29)*$D29+INDEX('TO HOP'!$AS$66:$AS$127,$A29)*($E29+$F29))</f>
        <v>706.41904376840739</v>
      </c>
      <c r="K29" s="39">
        <f>IF($H29="","",SUMPRODUCT(INDEX('TO HOP'!$C$66:$AT$127,$A29,0),'TO HOP'!$C$62:$AT$62)-INDEX('TO HOP'!$AD$66:$AD$127,$A29)*'TO HOP'!$AD$62-INDEX('TO HOP'!$AR$66:$AR$127,$A29)*'TO HOP'!$AR$62-INDEX('TO HOP'!$AS$66:$AS$127,$A29)*'TO HOP'!$AS$62+(INDEX('TO HOP'!$AD$66:$AD$127,$A29)*$G29+INDEX('TO HOP'!$AR$66:$AR$127,$A29)*$D29+INDEX('TO HOP'!$AS$66:$AS$127,$A29)*($E29+$F29))*(Hcot+hxm+hgoi))</f>
        <v>7833.1468081892272</v>
      </c>
      <c r="L29" s="39">
        <f t="shared" si="0"/>
        <v>706.41904376840739</v>
      </c>
      <c r="M29" s="39">
        <f t="shared" si="1"/>
        <v>9245.9848957260438</v>
      </c>
      <c r="N29" s="39">
        <f t="shared" si="2"/>
        <v>706.41904376840739</v>
      </c>
      <c r="O29" s="39">
        <f t="shared" si="3"/>
        <v>7833.1468081892272</v>
      </c>
    </row>
    <row r="30" spans="1:15" x14ac:dyDescent="0.3">
      <c r="A30" s="38">
        <f>'TO HOP'!N137</f>
        <v>7</v>
      </c>
      <c r="B30" s="38" t="str">
        <f>'TO HOP'!B137</f>
        <v>SD I - 2 nhịp đúng tâm 1 làn</v>
      </c>
      <c r="C30" s="38" t="s">
        <v>1201</v>
      </c>
      <c r="D30" s="39">
        <f>'HE GOI'!D18</f>
        <v>-1521.6710398757043</v>
      </c>
      <c r="E30" s="39">
        <f>IF(csmode=1,0,'HE GOI'!D20)</f>
        <v>512.34715147329803</v>
      </c>
      <c r="F30" s="39">
        <f>IF(csmode=1,'HE GOI'!D24,'HE GOI'!D21)</f>
        <v>320.21696967081334</v>
      </c>
      <c r="G30" s="39">
        <f>'HE GOI'!D23</f>
        <v>-1034.6545125000002</v>
      </c>
      <c r="H30" s="39">
        <f>IF(OR($A30=0,NOT(ISNUMBER($D30)),NOT(ISNUMBER($E30)),NOT(ISNUMBER($F30))),"",SUMPRODUCT(INDEX('TO HOP'!$C$66:$AT$127,$A30,0),'TO HOP'!$C$53:$AT$53)-INDEX('TO HOP'!$AD$66:$AD$127,$A30)*'TO HOP'!$AD$53-INDEX('TO HOP'!$AR$66:$AR$127,$A30)*'TO HOP'!$AR$53-INDEX('TO HOP'!$AS$66:$AS$127,$A30)*'TO HOP'!$AS$53+INDEX('TO HOP'!$AD$66:$AD$127,$A30)*$G30+INDEX('TO HOP'!$AR$66:$AR$127,$A30)*$D30+INDEX('TO HOP'!$AS$66:$AS$127,$A30)*($E30+$F30))</f>
        <v>-1362.8899812315933</v>
      </c>
      <c r="I30" s="39">
        <f>IF($H30="","",SUMPRODUCT(INDEX('TO HOP'!$C$66:$AT$127,$A30,0),'TO HOP'!$C$57:$AT$57)-INDEX('TO HOP'!$AD$66:$AD$127,$A30)*'TO HOP'!$AD$57-INDEX('TO HOP'!$AR$66:$AR$127,$A30)*'TO HOP'!$AR$57-INDEX('TO HOP'!$AS$66:$AS$127,$A30)*'TO HOP'!$AS$57+(INDEX('TO HOP'!$AD$66:$AD$127,$A30)*$G30+INDEX('TO HOP'!$AR$66:$AR$127,$A30)*$D30+INDEX('TO HOP'!$AS$66:$AS$127,$A30)*($E30+$F30))*(Hbe+Hcot+hxm+hgoi))</f>
        <v>-16165.129931273963</v>
      </c>
      <c r="J30" s="39">
        <f>IF($H30="","",SUMPRODUCT(INDEX('TO HOP'!$C$66:$AT$127,$A30,0),'TO HOP'!$C$58:$AT$58)-INDEX('TO HOP'!$AD$66:$AD$127,$A30)*'TO HOP'!$AD$58-INDEX('TO HOP'!$AR$66:$AR$127,$A30)*'TO HOP'!$AR$58-INDEX('TO HOP'!$AS$66:$AS$127,$A30)*'TO HOP'!$AS$58+INDEX('TO HOP'!$AD$66:$AD$127,$A30)*$G30+INDEX('TO HOP'!$AR$66:$AR$127,$A30)*$D30+INDEX('TO HOP'!$AS$66:$AS$127,$A30)*($E30+$F30))</f>
        <v>-1362.8899812315933</v>
      </c>
      <c r="K30" s="39">
        <f>IF($H30="","",SUMPRODUCT(INDEX('TO HOP'!$C$66:$AT$127,$A30,0),'TO HOP'!$C$62:$AT$62)-INDEX('TO HOP'!$AD$66:$AD$127,$A30)*'TO HOP'!$AD$62-INDEX('TO HOP'!$AR$66:$AR$127,$A30)*'TO HOP'!$AR$62-INDEX('TO HOP'!$AS$66:$AS$127,$A30)*'TO HOP'!$AS$62+(INDEX('TO HOP'!$AD$66:$AD$127,$A30)*$G30+INDEX('TO HOP'!$AR$66:$AR$127,$A30)*$D30+INDEX('TO HOP'!$AS$66:$AS$127,$A30)*($E30+$F30))*(Hcot+hxm+hgoi))</f>
        <v>-13439.349968810779</v>
      </c>
      <c r="L30" s="39">
        <f t="shared" si="0"/>
        <v>1362.8899812315933</v>
      </c>
      <c r="M30" s="39">
        <f t="shared" si="1"/>
        <v>16165.129931273963</v>
      </c>
      <c r="N30" s="39">
        <f t="shared" si="2"/>
        <v>1362.8899812315933</v>
      </c>
      <c r="O30" s="39">
        <f t="shared" si="3"/>
        <v>13439.349968810779</v>
      </c>
    </row>
    <row r="31" spans="1:15" x14ac:dyDescent="0.3">
      <c r="A31" s="38">
        <f>'TO HOP'!N137</f>
        <v>7</v>
      </c>
      <c r="B31" s="38" t="str">
        <f>'TO HOP'!B137</f>
        <v>SD I - 2 nhịp đúng tâm 1 làn</v>
      </c>
      <c r="C31" s="38" t="s">
        <v>1202</v>
      </c>
      <c r="D31" s="39">
        <f>'HE GOI'!D19</f>
        <v>1383.337308977915</v>
      </c>
      <c r="E31" s="39">
        <f>IF(csmode=1,0,'HE GOI'!D20)</f>
        <v>512.34715147329803</v>
      </c>
      <c r="F31" s="39">
        <f>IF(csmode=1,'HE GOI'!D24,'HE GOI'!D21)</f>
        <v>320.21696967081334</v>
      </c>
      <c r="G31" s="39">
        <f>'HE GOI'!D22</f>
        <v>1034.6545125000002</v>
      </c>
      <c r="H31" s="39">
        <f>IF(OR($A31=0,NOT(ISNUMBER($D31)),NOT(ISNUMBER($E31)),NOT(ISNUMBER($F31))),"",SUMPRODUCT(INDEX('TO HOP'!$C$66:$AT$127,$A31,0),'TO HOP'!$C$53:$AT$53)-INDEX('TO HOP'!$AD$66:$AD$127,$A31)*'TO HOP'!$AD$53-INDEX('TO HOP'!$AR$66:$AR$127,$A31)*'TO HOP'!$AR$53-INDEX('TO HOP'!$AS$66:$AS$127,$A31)*'TO HOP'!$AS$53+INDEX('TO HOP'!$AD$66:$AD$127,$A31)*$G31+INDEX('TO HOP'!$AR$66:$AR$127,$A31)*$D31+INDEX('TO HOP'!$AS$66:$AS$127,$A31)*($E31+$F31))</f>
        <v>3611.4273926220267</v>
      </c>
      <c r="I31" s="39">
        <f>IF($H31="","",SUMPRODUCT(INDEX('TO HOP'!$C$66:$AT$127,$A31,0),'TO HOP'!$C$57:$AT$57)-INDEX('TO HOP'!$AD$66:$AD$127,$A31)*'TO HOP'!$AD$57-INDEX('TO HOP'!$AR$66:$AR$127,$A31)*'TO HOP'!$AR$57-INDEX('TO HOP'!$AS$66:$AS$127,$A31)*'TO HOP'!$AS$57+(INDEX('TO HOP'!$AD$66:$AD$127,$A31)*$G31+INDEX('TO HOP'!$AR$66:$AR$127,$A31)*$D31+INDEX('TO HOP'!$AS$66:$AS$127,$A31)*($E31+$F31))*(Hbe+Hcot+hxm+hgoi))</f>
        <v>44919.487419648496</v>
      </c>
      <c r="J31" s="39">
        <f>IF($H31="","",SUMPRODUCT(INDEX('TO HOP'!$C$66:$AT$127,$A31,0),'TO HOP'!$C$58:$AT$58)-INDEX('TO HOP'!$AD$66:$AD$127,$A31)*'TO HOP'!$AD$58-INDEX('TO HOP'!$AR$66:$AR$127,$A31)*'TO HOP'!$AR$58-INDEX('TO HOP'!$AS$66:$AS$127,$A31)*'TO HOP'!$AS$58+INDEX('TO HOP'!$AD$66:$AD$127,$A31)*$G31+INDEX('TO HOP'!$AR$66:$AR$127,$A31)*$D31+INDEX('TO HOP'!$AS$66:$AS$127,$A31)*($E31+$F31))</f>
        <v>3611.4273926220267</v>
      </c>
      <c r="K31" s="39">
        <f>IF($H31="","",SUMPRODUCT(INDEX('TO HOP'!$C$66:$AT$127,$A31,0),'TO HOP'!$C$62:$AT$62)-INDEX('TO HOP'!$AD$66:$AD$127,$A31)*'TO HOP'!$AD$62-INDEX('TO HOP'!$AR$66:$AR$127,$A31)*'TO HOP'!$AR$62-INDEX('TO HOP'!$AS$66:$AS$127,$A31)*'TO HOP'!$AS$62+(INDEX('TO HOP'!$AD$66:$AD$127,$A31)*$G31+INDEX('TO HOP'!$AR$66:$AR$127,$A31)*$D31+INDEX('TO HOP'!$AS$66:$AS$127,$A31)*($E31+$F31))*(Hcot+hxm+hgoi))</f>
        <v>37696.632634404443</v>
      </c>
      <c r="L31" s="39">
        <f t="shared" si="0"/>
        <v>3611.4273926220267</v>
      </c>
      <c r="M31" s="39">
        <f t="shared" si="1"/>
        <v>44919.487419648496</v>
      </c>
      <c r="N31" s="39">
        <f t="shared" si="2"/>
        <v>3611.4273926220267</v>
      </c>
      <c r="O31" s="39">
        <f t="shared" si="3"/>
        <v>37696.632634404443</v>
      </c>
    </row>
    <row r="32" spans="1:15" x14ac:dyDescent="0.3">
      <c r="A32" s="38">
        <f>'TO HOP'!N137</f>
        <v>7</v>
      </c>
      <c r="B32" s="38" t="str">
        <f>'TO HOP'!B137</f>
        <v>SD I - 2 nhịp đúng tâm 1 làn</v>
      </c>
      <c r="C32" s="38" t="s">
        <v>1203</v>
      </c>
      <c r="D32" s="39">
        <f>'HE GOI'!D19</f>
        <v>1383.337308977915</v>
      </c>
      <c r="E32" s="39">
        <f>IF(csmode=1,0,'HE GOI'!D20)</f>
        <v>512.34715147329803</v>
      </c>
      <c r="F32" s="39">
        <f>IF(csmode=1,'HE GOI'!D24,'HE GOI'!D21)</f>
        <v>320.21696967081334</v>
      </c>
      <c r="G32" s="39">
        <f>'HE GOI'!D23</f>
        <v>-1034.6545125000002</v>
      </c>
      <c r="H32" s="39">
        <f>IF(OR($A32=0,NOT(ISNUMBER($D32)),NOT(ISNUMBER($E32)),NOT(ISNUMBER($F32))),"",SUMPRODUCT(INDEX('TO HOP'!$C$66:$AT$127,$A32,0),'TO HOP'!$C$53:$AT$53)-INDEX('TO HOP'!$AD$66:$AD$127,$A32)*'TO HOP'!$AD$53-INDEX('TO HOP'!$AR$66:$AR$127,$A32)*'TO HOP'!$AR$53-INDEX('TO HOP'!$AS$66:$AS$127,$A32)*'TO HOP'!$AS$53+INDEX('TO HOP'!$AD$66:$AD$127,$A32)*$G32+INDEX('TO HOP'!$AR$66:$AR$127,$A32)*$D32+INDEX('TO HOP'!$AS$66:$AS$127,$A32)*($E32+$F32))</f>
        <v>1542.1183676220262</v>
      </c>
      <c r="I32" s="39">
        <f>IF($H32="","",SUMPRODUCT(INDEX('TO HOP'!$C$66:$AT$127,$A32,0),'TO HOP'!$C$57:$AT$57)-INDEX('TO HOP'!$AD$66:$AD$127,$A32)*'TO HOP'!$AD$57-INDEX('TO HOP'!$AR$66:$AR$127,$A32)*'TO HOP'!$AR$57-INDEX('TO HOP'!$AS$66:$AS$127,$A32)*'TO HOP'!$AS$57+(INDEX('TO HOP'!$AD$66:$AD$127,$A32)*$G32+INDEX('TO HOP'!$AR$66:$AR$127,$A32)*$D32+INDEX('TO HOP'!$AS$66:$AS$127,$A32)*($E32+$F32))*(Hbe+Hcot+hxm+hgoi))</f>
        <v>19508.372592648484</v>
      </c>
      <c r="J32" s="39">
        <f>IF($H32="","",SUMPRODUCT(INDEX('TO HOP'!$C$66:$AT$127,$A32,0),'TO HOP'!$C$58:$AT$58)-INDEX('TO HOP'!$AD$66:$AD$127,$A32)*'TO HOP'!$AD$58-INDEX('TO HOP'!$AR$66:$AR$127,$A32)*'TO HOP'!$AR$58-INDEX('TO HOP'!$AS$66:$AS$127,$A32)*'TO HOP'!$AS$58+INDEX('TO HOP'!$AD$66:$AD$127,$A32)*$G32+INDEX('TO HOP'!$AR$66:$AR$127,$A32)*$D32+INDEX('TO HOP'!$AS$66:$AS$127,$A32)*($E32+$F32))</f>
        <v>1542.1183676220262</v>
      </c>
      <c r="K32" s="39">
        <f>IF($H32="","",SUMPRODUCT(INDEX('TO HOP'!$C$66:$AT$127,$A32,0),'TO HOP'!$C$62:$AT$62)-INDEX('TO HOP'!$AD$66:$AD$127,$A32)*'TO HOP'!$AD$62-INDEX('TO HOP'!$AR$66:$AR$127,$A32)*'TO HOP'!$AR$62-INDEX('TO HOP'!$AS$66:$AS$127,$A32)*'TO HOP'!$AS$62+(INDEX('TO HOP'!$AD$66:$AD$127,$A32)*$G32+INDEX('TO HOP'!$AR$66:$AR$127,$A32)*$D32+INDEX('TO HOP'!$AS$66:$AS$127,$A32)*($E32+$F32))*(Hcot+hxm+hgoi))</f>
        <v>16424.135857404428</v>
      </c>
      <c r="L32" s="39">
        <f t="shared" si="0"/>
        <v>1542.1183676220262</v>
      </c>
      <c r="M32" s="39">
        <f t="shared" si="1"/>
        <v>19508.372592648484</v>
      </c>
      <c r="N32" s="39">
        <f t="shared" si="2"/>
        <v>1542.1183676220262</v>
      </c>
      <c r="O32" s="39">
        <f t="shared" si="3"/>
        <v>16424.135857404428</v>
      </c>
    </row>
    <row r="33" spans="1:15" x14ac:dyDescent="0.3">
      <c r="A33" s="38">
        <f>'TO HOP'!N138</f>
        <v>8</v>
      </c>
      <c r="B33" s="38" t="str">
        <f>'TO HOP'!B138</f>
        <v>SD I - 2 nhịp đúng tâm 2 làn</v>
      </c>
      <c r="C33" s="38" t="s">
        <v>1200</v>
      </c>
      <c r="D33" s="39">
        <f>'HE GOI'!D18</f>
        <v>-1521.6710398757043</v>
      </c>
      <c r="E33" s="39">
        <f>IF(csmode=1,0,'HE GOI'!D20)</f>
        <v>512.34715147329803</v>
      </c>
      <c r="F33" s="39">
        <f>IF(csmode=1,'HE GOI'!D24,'HE GOI'!D21)</f>
        <v>320.21696967081334</v>
      </c>
      <c r="G33" s="39">
        <f>'HE GOI'!D22</f>
        <v>1034.6545125000002</v>
      </c>
      <c r="H33" s="39">
        <f>IF(OR($A33=0,NOT(ISNUMBER($D33)),NOT(ISNUMBER($E33)),NOT(ISNUMBER($F33))),"",SUMPRODUCT(INDEX('TO HOP'!$C$66:$AT$127,$A33,0),'TO HOP'!$C$53:$AT$53)-INDEX('TO HOP'!$AD$66:$AD$127,$A33)*'TO HOP'!$AD$53-INDEX('TO HOP'!$AR$66:$AR$127,$A33)*'TO HOP'!$AR$53-INDEX('TO HOP'!$AS$66:$AS$127,$A33)*'TO HOP'!$AS$53+INDEX('TO HOP'!$AD$66:$AD$127,$A33)*$G33+INDEX('TO HOP'!$AR$66:$AR$127,$A33)*$D33+INDEX('TO HOP'!$AS$66:$AS$127,$A33)*($E33+$F33))</f>
        <v>706.41904376840739</v>
      </c>
      <c r="I33" s="39">
        <f>IF($H33="","",SUMPRODUCT(INDEX('TO HOP'!$C$66:$AT$127,$A33,0),'TO HOP'!$C$57:$AT$57)-INDEX('TO HOP'!$AD$66:$AD$127,$A33)*'TO HOP'!$AD$57-INDEX('TO HOP'!$AR$66:$AR$127,$A33)*'TO HOP'!$AR$57-INDEX('TO HOP'!$AS$66:$AS$127,$A33)*'TO HOP'!$AS$57+(INDEX('TO HOP'!$AD$66:$AD$127,$A33)*$G33+INDEX('TO HOP'!$AR$66:$AR$127,$A33)*$D33+INDEX('TO HOP'!$AS$66:$AS$127,$A33)*($E33+$F33))*(Hbe+Hcot+hxm+hgoi))</f>
        <v>9245.9848957260438</v>
      </c>
      <c r="J33" s="39">
        <f>IF($H33="","",SUMPRODUCT(INDEX('TO HOP'!$C$66:$AT$127,$A33,0),'TO HOP'!$C$58:$AT$58)-INDEX('TO HOP'!$AD$66:$AD$127,$A33)*'TO HOP'!$AD$58-INDEX('TO HOP'!$AR$66:$AR$127,$A33)*'TO HOP'!$AR$58-INDEX('TO HOP'!$AS$66:$AS$127,$A33)*'TO HOP'!$AS$58+INDEX('TO HOP'!$AD$66:$AD$127,$A33)*$G33+INDEX('TO HOP'!$AR$66:$AR$127,$A33)*$D33+INDEX('TO HOP'!$AS$66:$AS$127,$A33)*($E33+$F33))</f>
        <v>706.41904376840739</v>
      </c>
      <c r="K33" s="39">
        <f>IF($H33="","",SUMPRODUCT(INDEX('TO HOP'!$C$66:$AT$127,$A33,0),'TO HOP'!$C$62:$AT$62)-INDEX('TO HOP'!$AD$66:$AD$127,$A33)*'TO HOP'!$AD$62-INDEX('TO HOP'!$AR$66:$AR$127,$A33)*'TO HOP'!$AR$62-INDEX('TO HOP'!$AS$66:$AS$127,$A33)*'TO HOP'!$AS$62+(INDEX('TO HOP'!$AD$66:$AD$127,$A33)*$G33+INDEX('TO HOP'!$AR$66:$AR$127,$A33)*$D33+INDEX('TO HOP'!$AS$66:$AS$127,$A33)*($E33+$F33))*(Hcot+hxm+hgoi))</f>
        <v>7833.1468081892272</v>
      </c>
      <c r="L33" s="39">
        <f t="shared" si="0"/>
        <v>706.41904376840739</v>
      </c>
      <c r="M33" s="39">
        <f t="shared" si="1"/>
        <v>9245.9848957260438</v>
      </c>
      <c r="N33" s="39">
        <f t="shared" si="2"/>
        <v>706.41904376840739</v>
      </c>
      <c r="O33" s="39">
        <f t="shared" si="3"/>
        <v>7833.1468081892272</v>
      </c>
    </row>
    <row r="34" spans="1:15" x14ac:dyDescent="0.3">
      <c r="A34" s="38">
        <f>'TO HOP'!N138</f>
        <v>8</v>
      </c>
      <c r="B34" s="38" t="str">
        <f>'TO HOP'!B138</f>
        <v>SD I - 2 nhịp đúng tâm 2 làn</v>
      </c>
      <c r="C34" s="38" t="s">
        <v>1201</v>
      </c>
      <c r="D34" s="39">
        <f>'HE GOI'!D18</f>
        <v>-1521.6710398757043</v>
      </c>
      <c r="E34" s="39">
        <f>IF(csmode=1,0,'HE GOI'!D20)</f>
        <v>512.34715147329803</v>
      </c>
      <c r="F34" s="39">
        <f>IF(csmode=1,'HE GOI'!D24,'HE GOI'!D21)</f>
        <v>320.21696967081334</v>
      </c>
      <c r="G34" s="39">
        <f>'HE GOI'!D23</f>
        <v>-1034.6545125000002</v>
      </c>
      <c r="H34" s="39">
        <f>IF(OR($A34=0,NOT(ISNUMBER($D34)),NOT(ISNUMBER($E34)),NOT(ISNUMBER($F34))),"",SUMPRODUCT(INDEX('TO HOP'!$C$66:$AT$127,$A34,0),'TO HOP'!$C$53:$AT$53)-INDEX('TO HOP'!$AD$66:$AD$127,$A34)*'TO HOP'!$AD$53-INDEX('TO HOP'!$AR$66:$AR$127,$A34)*'TO HOP'!$AR$53-INDEX('TO HOP'!$AS$66:$AS$127,$A34)*'TO HOP'!$AS$53+INDEX('TO HOP'!$AD$66:$AD$127,$A34)*$G34+INDEX('TO HOP'!$AR$66:$AR$127,$A34)*$D34+INDEX('TO HOP'!$AS$66:$AS$127,$A34)*($E34+$F34))</f>
        <v>-1362.8899812315933</v>
      </c>
      <c r="I34" s="39">
        <f>IF($H34="","",SUMPRODUCT(INDEX('TO HOP'!$C$66:$AT$127,$A34,0),'TO HOP'!$C$57:$AT$57)-INDEX('TO HOP'!$AD$66:$AD$127,$A34)*'TO HOP'!$AD$57-INDEX('TO HOP'!$AR$66:$AR$127,$A34)*'TO HOP'!$AR$57-INDEX('TO HOP'!$AS$66:$AS$127,$A34)*'TO HOP'!$AS$57+(INDEX('TO HOP'!$AD$66:$AD$127,$A34)*$G34+INDEX('TO HOP'!$AR$66:$AR$127,$A34)*$D34+INDEX('TO HOP'!$AS$66:$AS$127,$A34)*($E34+$F34))*(Hbe+Hcot+hxm+hgoi))</f>
        <v>-16165.129931273963</v>
      </c>
      <c r="J34" s="39">
        <f>IF($H34="","",SUMPRODUCT(INDEX('TO HOP'!$C$66:$AT$127,$A34,0),'TO HOP'!$C$58:$AT$58)-INDEX('TO HOP'!$AD$66:$AD$127,$A34)*'TO HOP'!$AD$58-INDEX('TO HOP'!$AR$66:$AR$127,$A34)*'TO HOP'!$AR$58-INDEX('TO HOP'!$AS$66:$AS$127,$A34)*'TO HOP'!$AS$58+INDEX('TO HOP'!$AD$66:$AD$127,$A34)*$G34+INDEX('TO HOP'!$AR$66:$AR$127,$A34)*$D34+INDEX('TO HOP'!$AS$66:$AS$127,$A34)*($E34+$F34))</f>
        <v>-1362.8899812315933</v>
      </c>
      <c r="K34" s="39">
        <f>IF($H34="","",SUMPRODUCT(INDEX('TO HOP'!$C$66:$AT$127,$A34,0),'TO HOP'!$C$62:$AT$62)-INDEX('TO HOP'!$AD$66:$AD$127,$A34)*'TO HOP'!$AD$62-INDEX('TO HOP'!$AR$66:$AR$127,$A34)*'TO HOP'!$AR$62-INDEX('TO HOP'!$AS$66:$AS$127,$A34)*'TO HOP'!$AS$62+(INDEX('TO HOP'!$AD$66:$AD$127,$A34)*$G34+INDEX('TO HOP'!$AR$66:$AR$127,$A34)*$D34+INDEX('TO HOP'!$AS$66:$AS$127,$A34)*($E34+$F34))*(Hcot+hxm+hgoi))</f>
        <v>-13439.349968810779</v>
      </c>
      <c r="L34" s="39">
        <f t="shared" si="0"/>
        <v>1362.8899812315933</v>
      </c>
      <c r="M34" s="39">
        <f t="shared" si="1"/>
        <v>16165.129931273963</v>
      </c>
      <c r="N34" s="39">
        <f t="shared" si="2"/>
        <v>1362.8899812315933</v>
      </c>
      <c r="O34" s="39">
        <f t="shared" si="3"/>
        <v>13439.349968810779</v>
      </c>
    </row>
    <row r="35" spans="1:15" x14ac:dyDescent="0.3">
      <c r="A35" s="38">
        <f>'TO HOP'!N138</f>
        <v>8</v>
      </c>
      <c r="B35" s="38" t="str">
        <f>'TO HOP'!B138</f>
        <v>SD I - 2 nhịp đúng tâm 2 làn</v>
      </c>
      <c r="C35" s="38" t="s">
        <v>1202</v>
      </c>
      <c r="D35" s="39">
        <f>'HE GOI'!D19</f>
        <v>1383.337308977915</v>
      </c>
      <c r="E35" s="39">
        <f>IF(csmode=1,0,'HE GOI'!D20)</f>
        <v>512.34715147329803</v>
      </c>
      <c r="F35" s="39">
        <f>IF(csmode=1,'HE GOI'!D24,'HE GOI'!D21)</f>
        <v>320.21696967081334</v>
      </c>
      <c r="G35" s="39">
        <f>'HE GOI'!D22</f>
        <v>1034.6545125000002</v>
      </c>
      <c r="H35" s="39">
        <f>IF(OR($A35=0,NOT(ISNUMBER($D35)),NOT(ISNUMBER($E35)),NOT(ISNUMBER($F35))),"",SUMPRODUCT(INDEX('TO HOP'!$C$66:$AT$127,$A35,0),'TO HOP'!$C$53:$AT$53)-INDEX('TO HOP'!$AD$66:$AD$127,$A35)*'TO HOP'!$AD$53-INDEX('TO HOP'!$AR$66:$AR$127,$A35)*'TO HOP'!$AR$53-INDEX('TO HOP'!$AS$66:$AS$127,$A35)*'TO HOP'!$AS$53+INDEX('TO HOP'!$AD$66:$AD$127,$A35)*$G35+INDEX('TO HOP'!$AR$66:$AR$127,$A35)*$D35+INDEX('TO HOP'!$AS$66:$AS$127,$A35)*($E35+$F35))</f>
        <v>3611.4273926220267</v>
      </c>
      <c r="I35" s="39">
        <f>IF($H35="","",SUMPRODUCT(INDEX('TO HOP'!$C$66:$AT$127,$A35,0),'TO HOP'!$C$57:$AT$57)-INDEX('TO HOP'!$AD$66:$AD$127,$A35)*'TO HOP'!$AD$57-INDEX('TO HOP'!$AR$66:$AR$127,$A35)*'TO HOP'!$AR$57-INDEX('TO HOP'!$AS$66:$AS$127,$A35)*'TO HOP'!$AS$57+(INDEX('TO HOP'!$AD$66:$AD$127,$A35)*$G35+INDEX('TO HOP'!$AR$66:$AR$127,$A35)*$D35+INDEX('TO HOP'!$AS$66:$AS$127,$A35)*($E35+$F35))*(Hbe+Hcot+hxm+hgoi))</f>
        <v>44919.487419648496</v>
      </c>
      <c r="J35" s="39">
        <f>IF($H35="","",SUMPRODUCT(INDEX('TO HOP'!$C$66:$AT$127,$A35,0),'TO HOP'!$C$58:$AT$58)-INDEX('TO HOP'!$AD$66:$AD$127,$A35)*'TO HOP'!$AD$58-INDEX('TO HOP'!$AR$66:$AR$127,$A35)*'TO HOP'!$AR$58-INDEX('TO HOP'!$AS$66:$AS$127,$A35)*'TO HOP'!$AS$58+INDEX('TO HOP'!$AD$66:$AD$127,$A35)*$G35+INDEX('TO HOP'!$AR$66:$AR$127,$A35)*$D35+INDEX('TO HOP'!$AS$66:$AS$127,$A35)*($E35+$F35))</f>
        <v>3611.4273926220267</v>
      </c>
      <c r="K35" s="39">
        <f>IF($H35="","",SUMPRODUCT(INDEX('TO HOP'!$C$66:$AT$127,$A35,0),'TO HOP'!$C$62:$AT$62)-INDEX('TO HOP'!$AD$66:$AD$127,$A35)*'TO HOP'!$AD$62-INDEX('TO HOP'!$AR$66:$AR$127,$A35)*'TO HOP'!$AR$62-INDEX('TO HOP'!$AS$66:$AS$127,$A35)*'TO HOP'!$AS$62+(INDEX('TO HOP'!$AD$66:$AD$127,$A35)*$G35+INDEX('TO HOP'!$AR$66:$AR$127,$A35)*$D35+INDEX('TO HOP'!$AS$66:$AS$127,$A35)*($E35+$F35))*(Hcot+hxm+hgoi))</f>
        <v>37696.632634404443</v>
      </c>
      <c r="L35" s="39">
        <f t="shared" si="0"/>
        <v>3611.4273926220267</v>
      </c>
      <c r="M35" s="39">
        <f t="shared" si="1"/>
        <v>44919.487419648496</v>
      </c>
      <c r="N35" s="39">
        <f t="shared" si="2"/>
        <v>3611.4273926220267</v>
      </c>
      <c r="O35" s="39">
        <f t="shared" si="3"/>
        <v>37696.632634404443</v>
      </c>
    </row>
    <row r="36" spans="1:15" x14ac:dyDescent="0.3">
      <c r="A36" s="38">
        <f>'TO HOP'!N138</f>
        <v>8</v>
      </c>
      <c r="B36" s="38" t="str">
        <f>'TO HOP'!B138</f>
        <v>SD I - 2 nhịp đúng tâm 2 làn</v>
      </c>
      <c r="C36" s="38" t="s">
        <v>1203</v>
      </c>
      <c r="D36" s="39">
        <f>'HE GOI'!D19</f>
        <v>1383.337308977915</v>
      </c>
      <c r="E36" s="39">
        <f>IF(csmode=1,0,'HE GOI'!D20)</f>
        <v>512.34715147329803</v>
      </c>
      <c r="F36" s="39">
        <f>IF(csmode=1,'HE GOI'!D24,'HE GOI'!D21)</f>
        <v>320.21696967081334</v>
      </c>
      <c r="G36" s="39">
        <f>'HE GOI'!D23</f>
        <v>-1034.6545125000002</v>
      </c>
      <c r="H36" s="39">
        <f>IF(OR($A36=0,NOT(ISNUMBER($D36)),NOT(ISNUMBER($E36)),NOT(ISNUMBER($F36))),"",SUMPRODUCT(INDEX('TO HOP'!$C$66:$AT$127,$A36,0),'TO HOP'!$C$53:$AT$53)-INDEX('TO HOP'!$AD$66:$AD$127,$A36)*'TO HOP'!$AD$53-INDEX('TO HOP'!$AR$66:$AR$127,$A36)*'TO HOP'!$AR$53-INDEX('TO HOP'!$AS$66:$AS$127,$A36)*'TO HOP'!$AS$53+INDEX('TO HOP'!$AD$66:$AD$127,$A36)*$G36+INDEX('TO HOP'!$AR$66:$AR$127,$A36)*$D36+INDEX('TO HOP'!$AS$66:$AS$127,$A36)*($E36+$F36))</f>
        <v>1542.1183676220262</v>
      </c>
      <c r="I36" s="39">
        <f>IF($H36="","",SUMPRODUCT(INDEX('TO HOP'!$C$66:$AT$127,$A36,0),'TO HOP'!$C$57:$AT$57)-INDEX('TO HOP'!$AD$66:$AD$127,$A36)*'TO HOP'!$AD$57-INDEX('TO HOP'!$AR$66:$AR$127,$A36)*'TO HOP'!$AR$57-INDEX('TO HOP'!$AS$66:$AS$127,$A36)*'TO HOP'!$AS$57+(INDEX('TO HOP'!$AD$66:$AD$127,$A36)*$G36+INDEX('TO HOP'!$AR$66:$AR$127,$A36)*$D36+INDEX('TO HOP'!$AS$66:$AS$127,$A36)*($E36+$F36))*(Hbe+Hcot+hxm+hgoi))</f>
        <v>19508.372592648484</v>
      </c>
      <c r="J36" s="39">
        <f>IF($H36="","",SUMPRODUCT(INDEX('TO HOP'!$C$66:$AT$127,$A36,0),'TO HOP'!$C$58:$AT$58)-INDEX('TO HOP'!$AD$66:$AD$127,$A36)*'TO HOP'!$AD$58-INDEX('TO HOP'!$AR$66:$AR$127,$A36)*'TO HOP'!$AR$58-INDEX('TO HOP'!$AS$66:$AS$127,$A36)*'TO HOP'!$AS$58+INDEX('TO HOP'!$AD$66:$AD$127,$A36)*$G36+INDEX('TO HOP'!$AR$66:$AR$127,$A36)*$D36+INDEX('TO HOP'!$AS$66:$AS$127,$A36)*($E36+$F36))</f>
        <v>1542.1183676220262</v>
      </c>
      <c r="K36" s="39">
        <f>IF($H36="","",SUMPRODUCT(INDEX('TO HOP'!$C$66:$AT$127,$A36,0),'TO HOP'!$C$62:$AT$62)-INDEX('TO HOP'!$AD$66:$AD$127,$A36)*'TO HOP'!$AD$62-INDEX('TO HOP'!$AR$66:$AR$127,$A36)*'TO HOP'!$AR$62-INDEX('TO HOP'!$AS$66:$AS$127,$A36)*'TO HOP'!$AS$62+(INDEX('TO HOP'!$AD$66:$AD$127,$A36)*$G36+INDEX('TO HOP'!$AR$66:$AR$127,$A36)*$D36+INDEX('TO HOP'!$AS$66:$AS$127,$A36)*($E36+$F36))*(Hcot+hxm+hgoi))</f>
        <v>16424.135857404428</v>
      </c>
      <c r="L36" s="39">
        <f t="shared" si="0"/>
        <v>1542.1183676220262</v>
      </c>
      <c r="M36" s="39">
        <f t="shared" si="1"/>
        <v>19508.372592648484</v>
      </c>
      <c r="N36" s="39">
        <f t="shared" si="2"/>
        <v>1542.1183676220262</v>
      </c>
      <c r="O36" s="39">
        <f t="shared" si="3"/>
        <v>16424.135857404428</v>
      </c>
    </row>
    <row r="37" spans="1:15" x14ac:dyDescent="0.3">
      <c r="A37" s="38">
        <f>'TO HOP'!N139</f>
        <v>9</v>
      </c>
      <c r="B37" s="38" t="str">
        <f>'TO HOP'!B139</f>
        <v>SD I - 2 nhịp đúng tâm 3 làn</v>
      </c>
      <c r="C37" s="38" t="s">
        <v>1200</v>
      </c>
      <c r="D37" s="39">
        <f>'HE GOI'!D18</f>
        <v>-1521.6710398757043</v>
      </c>
      <c r="E37" s="39">
        <f>IF(csmode=1,0,'HE GOI'!D20)</f>
        <v>512.34715147329803</v>
      </c>
      <c r="F37" s="39">
        <f>IF(csmode=1,'HE GOI'!D24,'HE GOI'!D21)</f>
        <v>320.21696967081334</v>
      </c>
      <c r="G37" s="39">
        <f>'HE GOI'!D22</f>
        <v>1034.6545125000002</v>
      </c>
      <c r="H37" s="39">
        <f>IF(OR($A37=0,NOT(ISNUMBER($D37)),NOT(ISNUMBER($E37)),NOT(ISNUMBER($F37))),"",SUMPRODUCT(INDEX('TO HOP'!$C$66:$AT$127,$A37,0),'TO HOP'!$C$53:$AT$53)-INDEX('TO HOP'!$AD$66:$AD$127,$A37)*'TO HOP'!$AD$53-INDEX('TO HOP'!$AR$66:$AR$127,$A37)*'TO HOP'!$AR$53-INDEX('TO HOP'!$AS$66:$AS$127,$A37)*'TO HOP'!$AS$53+INDEX('TO HOP'!$AD$66:$AD$127,$A37)*$G37+INDEX('TO HOP'!$AR$66:$AR$127,$A37)*$D37+INDEX('TO HOP'!$AS$66:$AS$127,$A37)*($E37+$F37))</f>
        <v>706.41904376840739</v>
      </c>
      <c r="I37" s="39">
        <f>IF($H37="","",SUMPRODUCT(INDEX('TO HOP'!$C$66:$AT$127,$A37,0),'TO HOP'!$C$57:$AT$57)-INDEX('TO HOP'!$AD$66:$AD$127,$A37)*'TO HOP'!$AD$57-INDEX('TO HOP'!$AR$66:$AR$127,$A37)*'TO HOP'!$AR$57-INDEX('TO HOP'!$AS$66:$AS$127,$A37)*'TO HOP'!$AS$57+(INDEX('TO HOP'!$AD$66:$AD$127,$A37)*$G37+INDEX('TO HOP'!$AR$66:$AR$127,$A37)*$D37+INDEX('TO HOP'!$AS$66:$AS$127,$A37)*($E37+$F37))*(Hbe+Hcot+hxm+hgoi))</f>
        <v>9245.9848957260438</v>
      </c>
      <c r="J37" s="39">
        <f>IF($H37="","",SUMPRODUCT(INDEX('TO HOP'!$C$66:$AT$127,$A37,0),'TO HOP'!$C$58:$AT$58)-INDEX('TO HOP'!$AD$66:$AD$127,$A37)*'TO HOP'!$AD$58-INDEX('TO HOP'!$AR$66:$AR$127,$A37)*'TO HOP'!$AR$58-INDEX('TO HOP'!$AS$66:$AS$127,$A37)*'TO HOP'!$AS$58+INDEX('TO HOP'!$AD$66:$AD$127,$A37)*$G37+INDEX('TO HOP'!$AR$66:$AR$127,$A37)*$D37+INDEX('TO HOP'!$AS$66:$AS$127,$A37)*($E37+$F37))</f>
        <v>706.41904376840739</v>
      </c>
      <c r="K37" s="39">
        <f>IF($H37="","",SUMPRODUCT(INDEX('TO HOP'!$C$66:$AT$127,$A37,0),'TO HOP'!$C$62:$AT$62)-INDEX('TO HOP'!$AD$66:$AD$127,$A37)*'TO HOP'!$AD$62-INDEX('TO HOP'!$AR$66:$AR$127,$A37)*'TO HOP'!$AR$62-INDEX('TO HOP'!$AS$66:$AS$127,$A37)*'TO HOP'!$AS$62+(INDEX('TO HOP'!$AD$66:$AD$127,$A37)*$G37+INDEX('TO HOP'!$AR$66:$AR$127,$A37)*$D37+INDEX('TO HOP'!$AS$66:$AS$127,$A37)*($E37+$F37))*(Hcot+hxm+hgoi))</f>
        <v>7833.1468081892272</v>
      </c>
      <c r="L37" s="39">
        <f t="shared" si="0"/>
        <v>706.41904376840739</v>
      </c>
      <c r="M37" s="39">
        <f t="shared" si="1"/>
        <v>9245.9848957260438</v>
      </c>
      <c r="N37" s="39">
        <f t="shared" si="2"/>
        <v>706.41904376840739</v>
      </c>
      <c r="O37" s="39">
        <f t="shared" si="3"/>
        <v>7833.1468081892272</v>
      </c>
    </row>
    <row r="38" spans="1:15" x14ac:dyDescent="0.3">
      <c r="A38" s="38">
        <f>'TO HOP'!N139</f>
        <v>9</v>
      </c>
      <c r="B38" s="38" t="str">
        <f>'TO HOP'!B139</f>
        <v>SD I - 2 nhịp đúng tâm 3 làn</v>
      </c>
      <c r="C38" s="38" t="s">
        <v>1201</v>
      </c>
      <c r="D38" s="39">
        <f>'HE GOI'!D18</f>
        <v>-1521.6710398757043</v>
      </c>
      <c r="E38" s="39">
        <f>IF(csmode=1,0,'HE GOI'!D20)</f>
        <v>512.34715147329803</v>
      </c>
      <c r="F38" s="39">
        <f>IF(csmode=1,'HE GOI'!D24,'HE GOI'!D21)</f>
        <v>320.21696967081334</v>
      </c>
      <c r="G38" s="39">
        <f>'HE GOI'!D23</f>
        <v>-1034.6545125000002</v>
      </c>
      <c r="H38" s="39">
        <f>IF(OR($A38=0,NOT(ISNUMBER($D38)),NOT(ISNUMBER($E38)),NOT(ISNUMBER($F38))),"",SUMPRODUCT(INDEX('TO HOP'!$C$66:$AT$127,$A38,0),'TO HOP'!$C$53:$AT$53)-INDEX('TO HOP'!$AD$66:$AD$127,$A38)*'TO HOP'!$AD$53-INDEX('TO HOP'!$AR$66:$AR$127,$A38)*'TO HOP'!$AR$53-INDEX('TO HOP'!$AS$66:$AS$127,$A38)*'TO HOP'!$AS$53+INDEX('TO HOP'!$AD$66:$AD$127,$A38)*$G38+INDEX('TO HOP'!$AR$66:$AR$127,$A38)*$D38+INDEX('TO HOP'!$AS$66:$AS$127,$A38)*($E38+$F38))</f>
        <v>-1362.8899812315933</v>
      </c>
      <c r="I38" s="39">
        <f>IF($H38="","",SUMPRODUCT(INDEX('TO HOP'!$C$66:$AT$127,$A38,0),'TO HOP'!$C$57:$AT$57)-INDEX('TO HOP'!$AD$66:$AD$127,$A38)*'TO HOP'!$AD$57-INDEX('TO HOP'!$AR$66:$AR$127,$A38)*'TO HOP'!$AR$57-INDEX('TO HOP'!$AS$66:$AS$127,$A38)*'TO HOP'!$AS$57+(INDEX('TO HOP'!$AD$66:$AD$127,$A38)*$G38+INDEX('TO HOP'!$AR$66:$AR$127,$A38)*$D38+INDEX('TO HOP'!$AS$66:$AS$127,$A38)*($E38+$F38))*(Hbe+Hcot+hxm+hgoi))</f>
        <v>-16165.129931273963</v>
      </c>
      <c r="J38" s="39">
        <f>IF($H38="","",SUMPRODUCT(INDEX('TO HOP'!$C$66:$AT$127,$A38,0),'TO HOP'!$C$58:$AT$58)-INDEX('TO HOP'!$AD$66:$AD$127,$A38)*'TO HOP'!$AD$58-INDEX('TO HOP'!$AR$66:$AR$127,$A38)*'TO HOP'!$AR$58-INDEX('TO HOP'!$AS$66:$AS$127,$A38)*'TO HOP'!$AS$58+INDEX('TO HOP'!$AD$66:$AD$127,$A38)*$G38+INDEX('TO HOP'!$AR$66:$AR$127,$A38)*$D38+INDEX('TO HOP'!$AS$66:$AS$127,$A38)*($E38+$F38))</f>
        <v>-1362.8899812315933</v>
      </c>
      <c r="K38" s="39">
        <f>IF($H38="","",SUMPRODUCT(INDEX('TO HOP'!$C$66:$AT$127,$A38,0),'TO HOP'!$C$62:$AT$62)-INDEX('TO HOP'!$AD$66:$AD$127,$A38)*'TO HOP'!$AD$62-INDEX('TO HOP'!$AR$66:$AR$127,$A38)*'TO HOP'!$AR$62-INDEX('TO HOP'!$AS$66:$AS$127,$A38)*'TO HOP'!$AS$62+(INDEX('TO HOP'!$AD$66:$AD$127,$A38)*$G38+INDEX('TO HOP'!$AR$66:$AR$127,$A38)*$D38+INDEX('TO HOP'!$AS$66:$AS$127,$A38)*($E38+$F38))*(Hcot+hxm+hgoi))</f>
        <v>-13439.349968810779</v>
      </c>
      <c r="L38" s="39">
        <f t="shared" si="0"/>
        <v>1362.8899812315933</v>
      </c>
      <c r="M38" s="39">
        <f t="shared" si="1"/>
        <v>16165.129931273963</v>
      </c>
      <c r="N38" s="39">
        <f t="shared" si="2"/>
        <v>1362.8899812315933</v>
      </c>
      <c r="O38" s="39">
        <f t="shared" si="3"/>
        <v>13439.349968810779</v>
      </c>
    </row>
    <row r="39" spans="1:15" x14ac:dyDescent="0.3">
      <c r="A39" s="38">
        <f>'TO HOP'!N139</f>
        <v>9</v>
      </c>
      <c r="B39" s="38" t="str">
        <f>'TO HOP'!B139</f>
        <v>SD I - 2 nhịp đúng tâm 3 làn</v>
      </c>
      <c r="C39" s="38" t="s">
        <v>1202</v>
      </c>
      <c r="D39" s="39">
        <f>'HE GOI'!D19</f>
        <v>1383.337308977915</v>
      </c>
      <c r="E39" s="39">
        <f>IF(csmode=1,0,'HE GOI'!D20)</f>
        <v>512.34715147329803</v>
      </c>
      <c r="F39" s="39">
        <f>IF(csmode=1,'HE GOI'!D24,'HE GOI'!D21)</f>
        <v>320.21696967081334</v>
      </c>
      <c r="G39" s="39">
        <f>'HE GOI'!D22</f>
        <v>1034.6545125000002</v>
      </c>
      <c r="H39" s="39">
        <f>IF(OR($A39=0,NOT(ISNUMBER($D39)),NOT(ISNUMBER($E39)),NOT(ISNUMBER($F39))),"",SUMPRODUCT(INDEX('TO HOP'!$C$66:$AT$127,$A39,0),'TO HOP'!$C$53:$AT$53)-INDEX('TO HOP'!$AD$66:$AD$127,$A39)*'TO HOP'!$AD$53-INDEX('TO HOP'!$AR$66:$AR$127,$A39)*'TO HOP'!$AR$53-INDEX('TO HOP'!$AS$66:$AS$127,$A39)*'TO HOP'!$AS$53+INDEX('TO HOP'!$AD$66:$AD$127,$A39)*$G39+INDEX('TO HOP'!$AR$66:$AR$127,$A39)*$D39+INDEX('TO HOP'!$AS$66:$AS$127,$A39)*($E39+$F39))</f>
        <v>3611.4273926220267</v>
      </c>
      <c r="I39" s="39">
        <f>IF($H39="","",SUMPRODUCT(INDEX('TO HOP'!$C$66:$AT$127,$A39,0),'TO HOP'!$C$57:$AT$57)-INDEX('TO HOP'!$AD$66:$AD$127,$A39)*'TO HOP'!$AD$57-INDEX('TO HOP'!$AR$66:$AR$127,$A39)*'TO HOP'!$AR$57-INDEX('TO HOP'!$AS$66:$AS$127,$A39)*'TO HOP'!$AS$57+(INDEX('TO HOP'!$AD$66:$AD$127,$A39)*$G39+INDEX('TO HOP'!$AR$66:$AR$127,$A39)*$D39+INDEX('TO HOP'!$AS$66:$AS$127,$A39)*($E39+$F39))*(Hbe+Hcot+hxm+hgoi))</f>
        <v>44919.487419648496</v>
      </c>
      <c r="J39" s="39">
        <f>IF($H39="","",SUMPRODUCT(INDEX('TO HOP'!$C$66:$AT$127,$A39,0),'TO HOP'!$C$58:$AT$58)-INDEX('TO HOP'!$AD$66:$AD$127,$A39)*'TO HOP'!$AD$58-INDEX('TO HOP'!$AR$66:$AR$127,$A39)*'TO HOP'!$AR$58-INDEX('TO HOP'!$AS$66:$AS$127,$A39)*'TO HOP'!$AS$58+INDEX('TO HOP'!$AD$66:$AD$127,$A39)*$G39+INDEX('TO HOP'!$AR$66:$AR$127,$A39)*$D39+INDEX('TO HOP'!$AS$66:$AS$127,$A39)*($E39+$F39))</f>
        <v>3611.4273926220267</v>
      </c>
      <c r="K39" s="39">
        <f>IF($H39="","",SUMPRODUCT(INDEX('TO HOP'!$C$66:$AT$127,$A39,0),'TO HOP'!$C$62:$AT$62)-INDEX('TO HOP'!$AD$66:$AD$127,$A39)*'TO HOP'!$AD$62-INDEX('TO HOP'!$AR$66:$AR$127,$A39)*'TO HOP'!$AR$62-INDEX('TO HOP'!$AS$66:$AS$127,$A39)*'TO HOP'!$AS$62+(INDEX('TO HOP'!$AD$66:$AD$127,$A39)*$G39+INDEX('TO HOP'!$AR$66:$AR$127,$A39)*$D39+INDEX('TO HOP'!$AS$66:$AS$127,$A39)*($E39+$F39))*(Hcot+hxm+hgoi))</f>
        <v>37696.632634404443</v>
      </c>
      <c r="L39" s="39">
        <f t="shared" si="0"/>
        <v>3611.4273926220267</v>
      </c>
      <c r="M39" s="39">
        <f t="shared" si="1"/>
        <v>44919.487419648496</v>
      </c>
      <c r="N39" s="39">
        <f t="shared" si="2"/>
        <v>3611.4273926220267</v>
      </c>
      <c r="O39" s="39">
        <f t="shared" si="3"/>
        <v>37696.632634404443</v>
      </c>
    </row>
    <row r="40" spans="1:15" x14ac:dyDescent="0.3">
      <c r="A40" s="38">
        <f>'TO HOP'!N139</f>
        <v>9</v>
      </c>
      <c r="B40" s="38" t="str">
        <f>'TO HOP'!B139</f>
        <v>SD I - 2 nhịp đúng tâm 3 làn</v>
      </c>
      <c r="C40" s="38" t="s">
        <v>1203</v>
      </c>
      <c r="D40" s="39">
        <f>'HE GOI'!D19</f>
        <v>1383.337308977915</v>
      </c>
      <c r="E40" s="39">
        <f>IF(csmode=1,0,'HE GOI'!D20)</f>
        <v>512.34715147329803</v>
      </c>
      <c r="F40" s="39">
        <f>IF(csmode=1,'HE GOI'!D24,'HE GOI'!D21)</f>
        <v>320.21696967081334</v>
      </c>
      <c r="G40" s="39">
        <f>'HE GOI'!D23</f>
        <v>-1034.6545125000002</v>
      </c>
      <c r="H40" s="39">
        <f>IF(OR($A40=0,NOT(ISNUMBER($D40)),NOT(ISNUMBER($E40)),NOT(ISNUMBER($F40))),"",SUMPRODUCT(INDEX('TO HOP'!$C$66:$AT$127,$A40,0),'TO HOP'!$C$53:$AT$53)-INDEX('TO HOP'!$AD$66:$AD$127,$A40)*'TO HOP'!$AD$53-INDEX('TO HOP'!$AR$66:$AR$127,$A40)*'TO HOP'!$AR$53-INDEX('TO HOP'!$AS$66:$AS$127,$A40)*'TO HOP'!$AS$53+INDEX('TO HOP'!$AD$66:$AD$127,$A40)*$G40+INDEX('TO HOP'!$AR$66:$AR$127,$A40)*$D40+INDEX('TO HOP'!$AS$66:$AS$127,$A40)*($E40+$F40))</f>
        <v>1542.1183676220262</v>
      </c>
      <c r="I40" s="39">
        <f>IF($H40="","",SUMPRODUCT(INDEX('TO HOP'!$C$66:$AT$127,$A40,0),'TO HOP'!$C$57:$AT$57)-INDEX('TO HOP'!$AD$66:$AD$127,$A40)*'TO HOP'!$AD$57-INDEX('TO HOP'!$AR$66:$AR$127,$A40)*'TO HOP'!$AR$57-INDEX('TO HOP'!$AS$66:$AS$127,$A40)*'TO HOP'!$AS$57+(INDEX('TO HOP'!$AD$66:$AD$127,$A40)*$G40+INDEX('TO HOP'!$AR$66:$AR$127,$A40)*$D40+INDEX('TO HOP'!$AS$66:$AS$127,$A40)*($E40+$F40))*(Hbe+Hcot+hxm+hgoi))</f>
        <v>19508.372592648484</v>
      </c>
      <c r="J40" s="39">
        <f>IF($H40="","",SUMPRODUCT(INDEX('TO HOP'!$C$66:$AT$127,$A40,0),'TO HOP'!$C$58:$AT$58)-INDEX('TO HOP'!$AD$66:$AD$127,$A40)*'TO HOP'!$AD$58-INDEX('TO HOP'!$AR$66:$AR$127,$A40)*'TO HOP'!$AR$58-INDEX('TO HOP'!$AS$66:$AS$127,$A40)*'TO HOP'!$AS$58+INDEX('TO HOP'!$AD$66:$AD$127,$A40)*$G40+INDEX('TO HOP'!$AR$66:$AR$127,$A40)*$D40+INDEX('TO HOP'!$AS$66:$AS$127,$A40)*($E40+$F40))</f>
        <v>1542.1183676220262</v>
      </c>
      <c r="K40" s="39">
        <f>IF($H40="","",SUMPRODUCT(INDEX('TO HOP'!$C$66:$AT$127,$A40,0),'TO HOP'!$C$62:$AT$62)-INDEX('TO HOP'!$AD$66:$AD$127,$A40)*'TO HOP'!$AD$62-INDEX('TO HOP'!$AR$66:$AR$127,$A40)*'TO HOP'!$AR$62-INDEX('TO HOP'!$AS$66:$AS$127,$A40)*'TO HOP'!$AS$62+(INDEX('TO HOP'!$AD$66:$AD$127,$A40)*$G40+INDEX('TO HOP'!$AR$66:$AR$127,$A40)*$D40+INDEX('TO HOP'!$AS$66:$AS$127,$A40)*($E40+$F40))*(Hcot+hxm+hgoi))</f>
        <v>16424.135857404428</v>
      </c>
      <c r="L40" s="39">
        <f t="shared" si="0"/>
        <v>1542.1183676220262</v>
      </c>
      <c r="M40" s="39">
        <f t="shared" si="1"/>
        <v>19508.372592648484</v>
      </c>
      <c r="N40" s="39">
        <f t="shared" si="2"/>
        <v>1542.1183676220262</v>
      </c>
      <c r="O40" s="39">
        <f t="shared" si="3"/>
        <v>16424.135857404428</v>
      </c>
    </row>
    <row r="41" spans="1:15" x14ac:dyDescent="0.3">
      <c r="A41" s="38">
        <f>'TO HOP'!N140</f>
        <v>10</v>
      </c>
      <c r="B41" s="38" t="str">
        <f>'TO HOP'!B140</f>
        <v>SD I - 2 nhịp đúng tâm 4 làn</v>
      </c>
      <c r="C41" s="38" t="s">
        <v>1200</v>
      </c>
      <c r="D41" s="39">
        <f>'HE GOI'!D18</f>
        <v>-1521.6710398757043</v>
      </c>
      <c r="E41" s="39">
        <f>IF(csmode=1,0,'HE GOI'!D20)</f>
        <v>512.34715147329803</v>
      </c>
      <c r="F41" s="39">
        <f>IF(csmode=1,'HE GOI'!D24,'HE GOI'!D21)</f>
        <v>320.21696967081334</v>
      </c>
      <c r="G41" s="39">
        <f>'HE GOI'!D22</f>
        <v>1034.6545125000002</v>
      </c>
      <c r="H41" s="39">
        <f>IF(OR($A41=0,NOT(ISNUMBER($D41)),NOT(ISNUMBER($E41)),NOT(ISNUMBER($F41))),"",SUMPRODUCT(INDEX('TO HOP'!$C$66:$AT$127,$A41,0),'TO HOP'!$C$53:$AT$53)-INDEX('TO HOP'!$AD$66:$AD$127,$A41)*'TO HOP'!$AD$53-INDEX('TO HOP'!$AR$66:$AR$127,$A41)*'TO HOP'!$AR$53-INDEX('TO HOP'!$AS$66:$AS$127,$A41)*'TO HOP'!$AS$53+INDEX('TO HOP'!$AD$66:$AD$127,$A41)*$G41+INDEX('TO HOP'!$AR$66:$AR$127,$A41)*$D41+INDEX('TO HOP'!$AS$66:$AS$127,$A41)*($E41+$F41))</f>
        <v>706.41904376840739</v>
      </c>
      <c r="I41" s="39">
        <f>IF($H41="","",SUMPRODUCT(INDEX('TO HOP'!$C$66:$AT$127,$A41,0),'TO HOP'!$C$57:$AT$57)-INDEX('TO HOP'!$AD$66:$AD$127,$A41)*'TO HOP'!$AD$57-INDEX('TO HOP'!$AR$66:$AR$127,$A41)*'TO HOP'!$AR$57-INDEX('TO HOP'!$AS$66:$AS$127,$A41)*'TO HOP'!$AS$57+(INDEX('TO HOP'!$AD$66:$AD$127,$A41)*$G41+INDEX('TO HOP'!$AR$66:$AR$127,$A41)*$D41+INDEX('TO HOP'!$AS$66:$AS$127,$A41)*($E41+$F41))*(Hbe+Hcot+hxm+hgoi))</f>
        <v>9245.9848957260438</v>
      </c>
      <c r="J41" s="39">
        <f>IF($H41="","",SUMPRODUCT(INDEX('TO HOP'!$C$66:$AT$127,$A41,0),'TO HOP'!$C$58:$AT$58)-INDEX('TO HOP'!$AD$66:$AD$127,$A41)*'TO HOP'!$AD$58-INDEX('TO HOP'!$AR$66:$AR$127,$A41)*'TO HOP'!$AR$58-INDEX('TO HOP'!$AS$66:$AS$127,$A41)*'TO HOP'!$AS$58+INDEX('TO HOP'!$AD$66:$AD$127,$A41)*$G41+INDEX('TO HOP'!$AR$66:$AR$127,$A41)*$D41+INDEX('TO HOP'!$AS$66:$AS$127,$A41)*($E41+$F41))</f>
        <v>706.41904376840739</v>
      </c>
      <c r="K41" s="39">
        <f>IF($H41="","",SUMPRODUCT(INDEX('TO HOP'!$C$66:$AT$127,$A41,0),'TO HOP'!$C$62:$AT$62)-INDEX('TO HOP'!$AD$66:$AD$127,$A41)*'TO HOP'!$AD$62-INDEX('TO HOP'!$AR$66:$AR$127,$A41)*'TO HOP'!$AR$62-INDEX('TO HOP'!$AS$66:$AS$127,$A41)*'TO HOP'!$AS$62+(INDEX('TO HOP'!$AD$66:$AD$127,$A41)*$G41+INDEX('TO HOP'!$AR$66:$AR$127,$A41)*$D41+INDEX('TO HOP'!$AS$66:$AS$127,$A41)*($E41+$F41))*(Hcot+hxm+hgoi))</f>
        <v>7833.1468081892272</v>
      </c>
      <c r="L41" s="39">
        <f t="shared" si="0"/>
        <v>706.41904376840739</v>
      </c>
      <c r="M41" s="39">
        <f t="shared" si="1"/>
        <v>9245.9848957260438</v>
      </c>
      <c r="N41" s="39">
        <f t="shared" si="2"/>
        <v>706.41904376840739</v>
      </c>
      <c r="O41" s="39">
        <f t="shared" si="3"/>
        <v>7833.1468081892272</v>
      </c>
    </row>
    <row r="42" spans="1:15" x14ac:dyDescent="0.3">
      <c r="A42" s="38">
        <f>'TO HOP'!N140</f>
        <v>10</v>
      </c>
      <c r="B42" s="38" t="str">
        <f>'TO HOP'!B140</f>
        <v>SD I - 2 nhịp đúng tâm 4 làn</v>
      </c>
      <c r="C42" s="38" t="s">
        <v>1201</v>
      </c>
      <c r="D42" s="39">
        <f>'HE GOI'!D18</f>
        <v>-1521.6710398757043</v>
      </c>
      <c r="E42" s="39">
        <f>IF(csmode=1,0,'HE GOI'!D20)</f>
        <v>512.34715147329803</v>
      </c>
      <c r="F42" s="39">
        <f>IF(csmode=1,'HE GOI'!D24,'HE GOI'!D21)</f>
        <v>320.21696967081334</v>
      </c>
      <c r="G42" s="39">
        <f>'HE GOI'!D23</f>
        <v>-1034.6545125000002</v>
      </c>
      <c r="H42" s="39">
        <f>IF(OR($A42=0,NOT(ISNUMBER($D42)),NOT(ISNUMBER($E42)),NOT(ISNUMBER($F42))),"",SUMPRODUCT(INDEX('TO HOP'!$C$66:$AT$127,$A42,0),'TO HOP'!$C$53:$AT$53)-INDEX('TO HOP'!$AD$66:$AD$127,$A42)*'TO HOP'!$AD$53-INDEX('TO HOP'!$AR$66:$AR$127,$A42)*'TO HOP'!$AR$53-INDEX('TO HOP'!$AS$66:$AS$127,$A42)*'TO HOP'!$AS$53+INDEX('TO HOP'!$AD$66:$AD$127,$A42)*$G42+INDEX('TO HOP'!$AR$66:$AR$127,$A42)*$D42+INDEX('TO HOP'!$AS$66:$AS$127,$A42)*($E42+$F42))</f>
        <v>-1362.8899812315933</v>
      </c>
      <c r="I42" s="39">
        <f>IF($H42="","",SUMPRODUCT(INDEX('TO HOP'!$C$66:$AT$127,$A42,0),'TO HOP'!$C$57:$AT$57)-INDEX('TO HOP'!$AD$66:$AD$127,$A42)*'TO HOP'!$AD$57-INDEX('TO HOP'!$AR$66:$AR$127,$A42)*'TO HOP'!$AR$57-INDEX('TO HOP'!$AS$66:$AS$127,$A42)*'TO HOP'!$AS$57+(INDEX('TO HOP'!$AD$66:$AD$127,$A42)*$G42+INDEX('TO HOP'!$AR$66:$AR$127,$A42)*$D42+INDEX('TO HOP'!$AS$66:$AS$127,$A42)*($E42+$F42))*(Hbe+Hcot+hxm+hgoi))</f>
        <v>-16165.129931273963</v>
      </c>
      <c r="J42" s="39">
        <f>IF($H42="","",SUMPRODUCT(INDEX('TO HOP'!$C$66:$AT$127,$A42,0),'TO HOP'!$C$58:$AT$58)-INDEX('TO HOP'!$AD$66:$AD$127,$A42)*'TO HOP'!$AD$58-INDEX('TO HOP'!$AR$66:$AR$127,$A42)*'TO HOP'!$AR$58-INDEX('TO HOP'!$AS$66:$AS$127,$A42)*'TO HOP'!$AS$58+INDEX('TO HOP'!$AD$66:$AD$127,$A42)*$G42+INDEX('TO HOP'!$AR$66:$AR$127,$A42)*$D42+INDEX('TO HOP'!$AS$66:$AS$127,$A42)*($E42+$F42))</f>
        <v>-1362.8899812315933</v>
      </c>
      <c r="K42" s="39">
        <f>IF($H42="","",SUMPRODUCT(INDEX('TO HOP'!$C$66:$AT$127,$A42,0),'TO HOP'!$C$62:$AT$62)-INDEX('TO HOP'!$AD$66:$AD$127,$A42)*'TO HOP'!$AD$62-INDEX('TO HOP'!$AR$66:$AR$127,$A42)*'TO HOP'!$AR$62-INDEX('TO HOP'!$AS$66:$AS$127,$A42)*'TO HOP'!$AS$62+(INDEX('TO HOP'!$AD$66:$AD$127,$A42)*$G42+INDEX('TO HOP'!$AR$66:$AR$127,$A42)*$D42+INDEX('TO HOP'!$AS$66:$AS$127,$A42)*($E42+$F42))*(Hcot+hxm+hgoi))</f>
        <v>-13439.349968810779</v>
      </c>
      <c r="L42" s="39">
        <f t="shared" si="0"/>
        <v>1362.8899812315933</v>
      </c>
      <c r="M42" s="39">
        <f t="shared" si="1"/>
        <v>16165.129931273963</v>
      </c>
      <c r="N42" s="39">
        <f t="shared" si="2"/>
        <v>1362.8899812315933</v>
      </c>
      <c r="O42" s="39">
        <f t="shared" si="3"/>
        <v>13439.349968810779</v>
      </c>
    </row>
    <row r="43" spans="1:15" x14ac:dyDescent="0.3">
      <c r="A43" s="38">
        <f>'TO HOP'!N140</f>
        <v>10</v>
      </c>
      <c r="B43" s="38" t="str">
        <f>'TO HOP'!B140</f>
        <v>SD I - 2 nhịp đúng tâm 4 làn</v>
      </c>
      <c r="C43" s="38" t="s">
        <v>1202</v>
      </c>
      <c r="D43" s="39">
        <f>'HE GOI'!D19</f>
        <v>1383.337308977915</v>
      </c>
      <c r="E43" s="39">
        <f>IF(csmode=1,0,'HE GOI'!D20)</f>
        <v>512.34715147329803</v>
      </c>
      <c r="F43" s="39">
        <f>IF(csmode=1,'HE GOI'!D24,'HE GOI'!D21)</f>
        <v>320.21696967081334</v>
      </c>
      <c r="G43" s="39">
        <f>'HE GOI'!D22</f>
        <v>1034.6545125000002</v>
      </c>
      <c r="H43" s="39">
        <f>IF(OR($A43=0,NOT(ISNUMBER($D43)),NOT(ISNUMBER($E43)),NOT(ISNUMBER($F43))),"",SUMPRODUCT(INDEX('TO HOP'!$C$66:$AT$127,$A43,0),'TO HOP'!$C$53:$AT$53)-INDEX('TO HOP'!$AD$66:$AD$127,$A43)*'TO HOP'!$AD$53-INDEX('TO HOP'!$AR$66:$AR$127,$A43)*'TO HOP'!$AR$53-INDEX('TO HOP'!$AS$66:$AS$127,$A43)*'TO HOP'!$AS$53+INDEX('TO HOP'!$AD$66:$AD$127,$A43)*$G43+INDEX('TO HOP'!$AR$66:$AR$127,$A43)*$D43+INDEX('TO HOP'!$AS$66:$AS$127,$A43)*($E43+$F43))</f>
        <v>3611.4273926220267</v>
      </c>
      <c r="I43" s="39">
        <f>IF($H43="","",SUMPRODUCT(INDEX('TO HOP'!$C$66:$AT$127,$A43,0),'TO HOP'!$C$57:$AT$57)-INDEX('TO HOP'!$AD$66:$AD$127,$A43)*'TO HOP'!$AD$57-INDEX('TO HOP'!$AR$66:$AR$127,$A43)*'TO HOP'!$AR$57-INDEX('TO HOP'!$AS$66:$AS$127,$A43)*'TO HOP'!$AS$57+(INDEX('TO HOP'!$AD$66:$AD$127,$A43)*$G43+INDEX('TO HOP'!$AR$66:$AR$127,$A43)*$D43+INDEX('TO HOP'!$AS$66:$AS$127,$A43)*($E43+$F43))*(Hbe+Hcot+hxm+hgoi))</f>
        <v>44919.487419648496</v>
      </c>
      <c r="J43" s="39">
        <f>IF($H43="","",SUMPRODUCT(INDEX('TO HOP'!$C$66:$AT$127,$A43,0),'TO HOP'!$C$58:$AT$58)-INDEX('TO HOP'!$AD$66:$AD$127,$A43)*'TO HOP'!$AD$58-INDEX('TO HOP'!$AR$66:$AR$127,$A43)*'TO HOP'!$AR$58-INDEX('TO HOP'!$AS$66:$AS$127,$A43)*'TO HOP'!$AS$58+INDEX('TO HOP'!$AD$66:$AD$127,$A43)*$G43+INDEX('TO HOP'!$AR$66:$AR$127,$A43)*$D43+INDEX('TO HOP'!$AS$66:$AS$127,$A43)*($E43+$F43))</f>
        <v>3611.4273926220267</v>
      </c>
      <c r="K43" s="39">
        <f>IF($H43="","",SUMPRODUCT(INDEX('TO HOP'!$C$66:$AT$127,$A43,0),'TO HOP'!$C$62:$AT$62)-INDEX('TO HOP'!$AD$66:$AD$127,$A43)*'TO HOP'!$AD$62-INDEX('TO HOP'!$AR$66:$AR$127,$A43)*'TO HOP'!$AR$62-INDEX('TO HOP'!$AS$66:$AS$127,$A43)*'TO HOP'!$AS$62+(INDEX('TO HOP'!$AD$66:$AD$127,$A43)*$G43+INDEX('TO HOP'!$AR$66:$AR$127,$A43)*$D43+INDEX('TO HOP'!$AS$66:$AS$127,$A43)*($E43+$F43))*(Hcot+hxm+hgoi))</f>
        <v>37696.632634404443</v>
      </c>
      <c r="L43" s="39">
        <f t="shared" si="0"/>
        <v>3611.4273926220267</v>
      </c>
      <c r="M43" s="39">
        <f t="shared" si="1"/>
        <v>44919.487419648496</v>
      </c>
      <c r="N43" s="39">
        <f t="shared" si="2"/>
        <v>3611.4273926220267</v>
      </c>
      <c r="O43" s="39">
        <f t="shared" si="3"/>
        <v>37696.632634404443</v>
      </c>
    </row>
    <row r="44" spans="1:15" x14ac:dyDescent="0.3">
      <c r="A44" s="38">
        <f>'TO HOP'!N140</f>
        <v>10</v>
      </c>
      <c r="B44" s="38" t="str">
        <f>'TO HOP'!B140</f>
        <v>SD I - 2 nhịp đúng tâm 4 làn</v>
      </c>
      <c r="C44" s="38" t="s">
        <v>1203</v>
      </c>
      <c r="D44" s="39">
        <f>'HE GOI'!D19</f>
        <v>1383.337308977915</v>
      </c>
      <c r="E44" s="39">
        <f>IF(csmode=1,0,'HE GOI'!D20)</f>
        <v>512.34715147329803</v>
      </c>
      <c r="F44" s="39">
        <f>IF(csmode=1,'HE GOI'!D24,'HE GOI'!D21)</f>
        <v>320.21696967081334</v>
      </c>
      <c r="G44" s="39">
        <f>'HE GOI'!D23</f>
        <v>-1034.6545125000002</v>
      </c>
      <c r="H44" s="39">
        <f>IF(OR($A44=0,NOT(ISNUMBER($D44)),NOT(ISNUMBER($E44)),NOT(ISNUMBER($F44))),"",SUMPRODUCT(INDEX('TO HOP'!$C$66:$AT$127,$A44,0),'TO HOP'!$C$53:$AT$53)-INDEX('TO HOP'!$AD$66:$AD$127,$A44)*'TO HOP'!$AD$53-INDEX('TO HOP'!$AR$66:$AR$127,$A44)*'TO HOP'!$AR$53-INDEX('TO HOP'!$AS$66:$AS$127,$A44)*'TO HOP'!$AS$53+INDEX('TO HOP'!$AD$66:$AD$127,$A44)*$G44+INDEX('TO HOP'!$AR$66:$AR$127,$A44)*$D44+INDEX('TO HOP'!$AS$66:$AS$127,$A44)*($E44+$F44))</f>
        <v>1542.1183676220262</v>
      </c>
      <c r="I44" s="39">
        <f>IF($H44="","",SUMPRODUCT(INDEX('TO HOP'!$C$66:$AT$127,$A44,0),'TO HOP'!$C$57:$AT$57)-INDEX('TO HOP'!$AD$66:$AD$127,$A44)*'TO HOP'!$AD$57-INDEX('TO HOP'!$AR$66:$AR$127,$A44)*'TO HOP'!$AR$57-INDEX('TO HOP'!$AS$66:$AS$127,$A44)*'TO HOP'!$AS$57+(INDEX('TO HOP'!$AD$66:$AD$127,$A44)*$G44+INDEX('TO HOP'!$AR$66:$AR$127,$A44)*$D44+INDEX('TO HOP'!$AS$66:$AS$127,$A44)*($E44+$F44))*(Hbe+Hcot+hxm+hgoi))</f>
        <v>19508.372592648484</v>
      </c>
      <c r="J44" s="39">
        <f>IF($H44="","",SUMPRODUCT(INDEX('TO HOP'!$C$66:$AT$127,$A44,0),'TO HOP'!$C$58:$AT$58)-INDEX('TO HOP'!$AD$66:$AD$127,$A44)*'TO HOP'!$AD$58-INDEX('TO HOP'!$AR$66:$AR$127,$A44)*'TO HOP'!$AR$58-INDEX('TO HOP'!$AS$66:$AS$127,$A44)*'TO HOP'!$AS$58+INDEX('TO HOP'!$AD$66:$AD$127,$A44)*$G44+INDEX('TO HOP'!$AR$66:$AR$127,$A44)*$D44+INDEX('TO HOP'!$AS$66:$AS$127,$A44)*($E44+$F44))</f>
        <v>1542.1183676220262</v>
      </c>
      <c r="K44" s="39">
        <f>IF($H44="","",SUMPRODUCT(INDEX('TO HOP'!$C$66:$AT$127,$A44,0),'TO HOP'!$C$62:$AT$62)-INDEX('TO HOP'!$AD$66:$AD$127,$A44)*'TO HOP'!$AD$62-INDEX('TO HOP'!$AR$66:$AR$127,$A44)*'TO HOP'!$AR$62-INDEX('TO HOP'!$AS$66:$AS$127,$A44)*'TO HOP'!$AS$62+(INDEX('TO HOP'!$AD$66:$AD$127,$A44)*$G44+INDEX('TO HOP'!$AR$66:$AR$127,$A44)*$D44+INDEX('TO HOP'!$AS$66:$AS$127,$A44)*($E44+$F44))*(Hcot+hxm+hgoi))</f>
        <v>16424.135857404428</v>
      </c>
      <c r="L44" s="39">
        <f t="shared" si="0"/>
        <v>1542.1183676220262</v>
      </c>
      <c r="M44" s="39">
        <f t="shared" si="1"/>
        <v>19508.372592648484</v>
      </c>
      <c r="N44" s="39">
        <f t="shared" si="2"/>
        <v>1542.1183676220262</v>
      </c>
      <c r="O44" s="39">
        <f t="shared" si="3"/>
        <v>16424.135857404428</v>
      </c>
    </row>
    <row r="45" spans="1:15" x14ac:dyDescent="0.3">
      <c r="A45" s="38">
        <f>'TO HOP'!N141</f>
        <v>11</v>
      </c>
      <c r="B45" s="38" t="str">
        <f>'TO HOP'!B141</f>
        <v>SD I - 2 nhịp đúng tâm 5 làn</v>
      </c>
      <c r="C45" s="38" t="s">
        <v>1200</v>
      </c>
      <c r="D45" s="39">
        <f>'HE GOI'!D18</f>
        <v>-1521.6710398757043</v>
      </c>
      <c r="E45" s="39">
        <f>IF(csmode=1,0,'HE GOI'!D20)</f>
        <v>512.34715147329803</v>
      </c>
      <c r="F45" s="39">
        <f>IF(csmode=1,'HE GOI'!D24,'HE GOI'!D21)</f>
        <v>320.21696967081334</v>
      </c>
      <c r="G45" s="39">
        <f>'HE GOI'!D22</f>
        <v>1034.6545125000002</v>
      </c>
      <c r="H45" s="39">
        <f>IF(OR($A45=0,NOT(ISNUMBER($D45)),NOT(ISNUMBER($E45)),NOT(ISNUMBER($F45))),"",SUMPRODUCT(INDEX('TO HOP'!$C$66:$AT$127,$A45,0),'TO HOP'!$C$53:$AT$53)-INDEX('TO HOP'!$AD$66:$AD$127,$A45)*'TO HOP'!$AD$53-INDEX('TO HOP'!$AR$66:$AR$127,$A45)*'TO HOP'!$AR$53-INDEX('TO HOP'!$AS$66:$AS$127,$A45)*'TO HOP'!$AS$53+INDEX('TO HOP'!$AD$66:$AD$127,$A45)*$G45+INDEX('TO HOP'!$AR$66:$AR$127,$A45)*$D45+INDEX('TO HOP'!$AS$66:$AS$127,$A45)*($E45+$F45))</f>
        <v>706.41904376840739</v>
      </c>
      <c r="I45" s="39">
        <f>IF($H45="","",SUMPRODUCT(INDEX('TO HOP'!$C$66:$AT$127,$A45,0),'TO HOP'!$C$57:$AT$57)-INDEX('TO HOP'!$AD$66:$AD$127,$A45)*'TO HOP'!$AD$57-INDEX('TO HOP'!$AR$66:$AR$127,$A45)*'TO HOP'!$AR$57-INDEX('TO HOP'!$AS$66:$AS$127,$A45)*'TO HOP'!$AS$57+(INDEX('TO HOP'!$AD$66:$AD$127,$A45)*$G45+INDEX('TO HOP'!$AR$66:$AR$127,$A45)*$D45+INDEX('TO HOP'!$AS$66:$AS$127,$A45)*($E45+$F45))*(Hbe+Hcot+hxm+hgoi))</f>
        <v>9245.9848957260438</v>
      </c>
      <c r="J45" s="39">
        <f>IF($H45="","",SUMPRODUCT(INDEX('TO HOP'!$C$66:$AT$127,$A45,0),'TO HOP'!$C$58:$AT$58)-INDEX('TO HOP'!$AD$66:$AD$127,$A45)*'TO HOP'!$AD$58-INDEX('TO HOP'!$AR$66:$AR$127,$A45)*'TO HOP'!$AR$58-INDEX('TO HOP'!$AS$66:$AS$127,$A45)*'TO HOP'!$AS$58+INDEX('TO HOP'!$AD$66:$AD$127,$A45)*$G45+INDEX('TO HOP'!$AR$66:$AR$127,$A45)*$D45+INDEX('TO HOP'!$AS$66:$AS$127,$A45)*($E45+$F45))</f>
        <v>706.41904376840739</v>
      </c>
      <c r="K45" s="39">
        <f>IF($H45="","",SUMPRODUCT(INDEX('TO HOP'!$C$66:$AT$127,$A45,0),'TO HOP'!$C$62:$AT$62)-INDEX('TO HOP'!$AD$66:$AD$127,$A45)*'TO HOP'!$AD$62-INDEX('TO HOP'!$AR$66:$AR$127,$A45)*'TO HOP'!$AR$62-INDEX('TO HOP'!$AS$66:$AS$127,$A45)*'TO HOP'!$AS$62+(INDEX('TO HOP'!$AD$66:$AD$127,$A45)*$G45+INDEX('TO HOP'!$AR$66:$AR$127,$A45)*$D45+INDEX('TO HOP'!$AS$66:$AS$127,$A45)*($E45+$F45))*(Hcot+hxm+hgoi))</f>
        <v>7833.1468081892272</v>
      </c>
      <c r="L45" s="39">
        <f t="shared" si="0"/>
        <v>706.41904376840739</v>
      </c>
      <c r="M45" s="39">
        <f t="shared" si="1"/>
        <v>9245.9848957260438</v>
      </c>
      <c r="N45" s="39">
        <f t="shared" si="2"/>
        <v>706.41904376840739</v>
      </c>
      <c r="O45" s="39">
        <f t="shared" si="3"/>
        <v>7833.1468081892272</v>
      </c>
    </row>
    <row r="46" spans="1:15" x14ac:dyDescent="0.3">
      <c r="A46" s="38">
        <f>'TO HOP'!N141</f>
        <v>11</v>
      </c>
      <c r="B46" s="38" t="str">
        <f>'TO HOP'!B141</f>
        <v>SD I - 2 nhịp đúng tâm 5 làn</v>
      </c>
      <c r="C46" s="38" t="s">
        <v>1201</v>
      </c>
      <c r="D46" s="39">
        <f>'HE GOI'!D18</f>
        <v>-1521.6710398757043</v>
      </c>
      <c r="E46" s="39">
        <f>IF(csmode=1,0,'HE GOI'!D20)</f>
        <v>512.34715147329803</v>
      </c>
      <c r="F46" s="39">
        <f>IF(csmode=1,'HE GOI'!D24,'HE GOI'!D21)</f>
        <v>320.21696967081334</v>
      </c>
      <c r="G46" s="39">
        <f>'HE GOI'!D23</f>
        <v>-1034.6545125000002</v>
      </c>
      <c r="H46" s="39">
        <f>IF(OR($A46=0,NOT(ISNUMBER($D46)),NOT(ISNUMBER($E46)),NOT(ISNUMBER($F46))),"",SUMPRODUCT(INDEX('TO HOP'!$C$66:$AT$127,$A46,0),'TO HOP'!$C$53:$AT$53)-INDEX('TO HOP'!$AD$66:$AD$127,$A46)*'TO HOP'!$AD$53-INDEX('TO HOP'!$AR$66:$AR$127,$A46)*'TO HOP'!$AR$53-INDEX('TO HOP'!$AS$66:$AS$127,$A46)*'TO HOP'!$AS$53+INDEX('TO HOP'!$AD$66:$AD$127,$A46)*$G46+INDEX('TO HOP'!$AR$66:$AR$127,$A46)*$D46+INDEX('TO HOP'!$AS$66:$AS$127,$A46)*($E46+$F46))</f>
        <v>-1362.8899812315933</v>
      </c>
      <c r="I46" s="39">
        <f>IF($H46="","",SUMPRODUCT(INDEX('TO HOP'!$C$66:$AT$127,$A46,0),'TO HOP'!$C$57:$AT$57)-INDEX('TO HOP'!$AD$66:$AD$127,$A46)*'TO HOP'!$AD$57-INDEX('TO HOP'!$AR$66:$AR$127,$A46)*'TO HOP'!$AR$57-INDEX('TO HOP'!$AS$66:$AS$127,$A46)*'TO HOP'!$AS$57+(INDEX('TO HOP'!$AD$66:$AD$127,$A46)*$G46+INDEX('TO HOP'!$AR$66:$AR$127,$A46)*$D46+INDEX('TO HOP'!$AS$66:$AS$127,$A46)*($E46+$F46))*(Hbe+Hcot+hxm+hgoi))</f>
        <v>-16165.129931273963</v>
      </c>
      <c r="J46" s="39">
        <f>IF($H46="","",SUMPRODUCT(INDEX('TO HOP'!$C$66:$AT$127,$A46,0),'TO HOP'!$C$58:$AT$58)-INDEX('TO HOP'!$AD$66:$AD$127,$A46)*'TO HOP'!$AD$58-INDEX('TO HOP'!$AR$66:$AR$127,$A46)*'TO HOP'!$AR$58-INDEX('TO HOP'!$AS$66:$AS$127,$A46)*'TO HOP'!$AS$58+INDEX('TO HOP'!$AD$66:$AD$127,$A46)*$G46+INDEX('TO HOP'!$AR$66:$AR$127,$A46)*$D46+INDEX('TO HOP'!$AS$66:$AS$127,$A46)*($E46+$F46))</f>
        <v>-1362.8899812315933</v>
      </c>
      <c r="K46" s="39">
        <f>IF($H46="","",SUMPRODUCT(INDEX('TO HOP'!$C$66:$AT$127,$A46,0),'TO HOP'!$C$62:$AT$62)-INDEX('TO HOP'!$AD$66:$AD$127,$A46)*'TO HOP'!$AD$62-INDEX('TO HOP'!$AR$66:$AR$127,$A46)*'TO HOP'!$AR$62-INDEX('TO HOP'!$AS$66:$AS$127,$A46)*'TO HOP'!$AS$62+(INDEX('TO HOP'!$AD$66:$AD$127,$A46)*$G46+INDEX('TO HOP'!$AR$66:$AR$127,$A46)*$D46+INDEX('TO HOP'!$AS$66:$AS$127,$A46)*($E46+$F46))*(Hcot+hxm+hgoi))</f>
        <v>-13439.349968810779</v>
      </c>
      <c r="L46" s="39">
        <f t="shared" si="0"/>
        <v>1362.8899812315933</v>
      </c>
      <c r="M46" s="39">
        <f t="shared" si="1"/>
        <v>16165.129931273963</v>
      </c>
      <c r="N46" s="39">
        <f t="shared" si="2"/>
        <v>1362.8899812315933</v>
      </c>
      <c r="O46" s="39">
        <f t="shared" si="3"/>
        <v>13439.349968810779</v>
      </c>
    </row>
    <row r="47" spans="1:15" x14ac:dyDescent="0.3">
      <c r="A47" s="38">
        <f>'TO HOP'!N141</f>
        <v>11</v>
      </c>
      <c r="B47" s="38" t="str">
        <f>'TO HOP'!B141</f>
        <v>SD I - 2 nhịp đúng tâm 5 làn</v>
      </c>
      <c r="C47" s="38" t="s">
        <v>1202</v>
      </c>
      <c r="D47" s="39">
        <f>'HE GOI'!D19</f>
        <v>1383.337308977915</v>
      </c>
      <c r="E47" s="39">
        <f>IF(csmode=1,0,'HE GOI'!D20)</f>
        <v>512.34715147329803</v>
      </c>
      <c r="F47" s="39">
        <f>IF(csmode=1,'HE GOI'!D24,'HE GOI'!D21)</f>
        <v>320.21696967081334</v>
      </c>
      <c r="G47" s="39">
        <f>'HE GOI'!D22</f>
        <v>1034.6545125000002</v>
      </c>
      <c r="H47" s="39">
        <f>IF(OR($A47=0,NOT(ISNUMBER($D47)),NOT(ISNUMBER($E47)),NOT(ISNUMBER($F47))),"",SUMPRODUCT(INDEX('TO HOP'!$C$66:$AT$127,$A47,0),'TO HOP'!$C$53:$AT$53)-INDEX('TO HOP'!$AD$66:$AD$127,$A47)*'TO HOP'!$AD$53-INDEX('TO HOP'!$AR$66:$AR$127,$A47)*'TO HOP'!$AR$53-INDEX('TO HOP'!$AS$66:$AS$127,$A47)*'TO HOP'!$AS$53+INDEX('TO HOP'!$AD$66:$AD$127,$A47)*$G47+INDEX('TO HOP'!$AR$66:$AR$127,$A47)*$D47+INDEX('TO HOP'!$AS$66:$AS$127,$A47)*($E47+$F47))</f>
        <v>3611.4273926220267</v>
      </c>
      <c r="I47" s="39">
        <f>IF($H47="","",SUMPRODUCT(INDEX('TO HOP'!$C$66:$AT$127,$A47,0),'TO HOP'!$C$57:$AT$57)-INDEX('TO HOP'!$AD$66:$AD$127,$A47)*'TO HOP'!$AD$57-INDEX('TO HOP'!$AR$66:$AR$127,$A47)*'TO HOP'!$AR$57-INDEX('TO HOP'!$AS$66:$AS$127,$A47)*'TO HOP'!$AS$57+(INDEX('TO HOP'!$AD$66:$AD$127,$A47)*$G47+INDEX('TO HOP'!$AR$66:$AR$127,$A47)*$D47+INDEX('TO HOP'!$AS$66:$AS$127,$A47)*($E47+$F47))*(Hbe+Hcot+hxm+hgoi))</f>
        <v>44919.487419648496</v>
      </c>
      <c r="J47" s="39">
        <f>IF($H47="","",SUMPRODUCT(INDEX('TO HOP'!$C$66:$AT$127,$A47,0),'TO HOP'!$C$58:$AT$58)-INDEX('TO HOP'!$AD$66:$AD$127,$A47)*'TO HOP'!$AD$58-INDEX('TO HOP'!$AR$66:$AR$127,$A47)*'TO HOP'!$AR$58-INDEX('TO HOP'!$AS$66:$AS$127,$A47)*'TO HOP'!$AS$58+INDEX('TO HOP'!$AD$66:$AD$127,$A47)*$G47+INDEX('TO HOP'!$AR$66:$AR$127,$A47)*$D47+INDEX('TO HOP'!$AS$66:$AS$127,$A47)*($E47+$F47))</f>
        <v>3611.4273926220267</v>
      </c>
      <c r="K47" s="39">
        <f>IF($H47="","",SUMPRODUCT(INDEX('TO HOP'!$C$66:$AT$127,$A47,0),'TO HOP'!$C$62:$AT$62)-INDEX('TO HOP'!$AD$66:$AD$127,$A47)*'TO HOP'!$AD$62-INDEX('TO HOP'!$AR$66:$AR$127,$A47)*'TO HOP'!$AR$62-INDEX('TO HOP'!$AS$66:$AS$127,$A47)*'TO HOP'!$AS$62+(INDEX('TO HOP'!$AD$66:$AD$127,$A47)*$G47+INDEX('TO HOP'!$AR$66:$AR$127,$A47)*$D47+INDEX('TO HOP'!$AS$66:$AS$127,$A47)*($E47+$F47))*(Hcot+hxm+hgoi))</f>
        <v>37696.632634404443</v>
      </c>
      <c r="L47" s="39">
        <f t="shared" si="0"/>
        <v>3611.4273926220267</v>
      </c>
      <c r="M47" s="39">
        <f t="shared" si="1"/>
        <v>44919.487419648496</v>
      </c>
      <c r="N47" s="39">
        <f t="shared" si="2"/>
        <v>3611.4273926220267</v>
      </c>
      <c r="O47" s="39">
        <f t="shared" si="3"/>
        <v>37696.632634404443</v>
      </c>
    </row>
    <row r="48" spans="1:15" x14ac:dyDescent="0.3">
      <c r="A48" s="38">
        <f>'TO HOP'!N141</f>
        <v>11</v>
      </c>
      <c r="B48" s="38" t="str">
        <f>'TO HOP'!B141</f>
        <v>SD I - 2 nhịp đúng tâm 5 làn</v>
      </c>
      <c r="C48" s="38" t="s">
        <v>1203</v>
      </c>
      <c r="D48" s="39">
        <f>'HE GOI'!D19</f>
        <v>1383.337308977915</v>
      </c>
      <c r="E48" s="39">
        <f>IF(csmode=1,0,'HE GOI'!D20)</f>
        <v>512.34715147329803</v>
      </c>
      <c r="F48" s="39">
        <f>IF(csmode=1,'HE GOI'!D24,'HE GOI'!D21)</f>
        <v>320.21696967081334</v>
      </c>
      <c r="G48" s="39">
        <f>'HE GOI'!D23</f>
        <v>-1034.6545125000002</v>
      </c>
      <c r="H48" s="39">
        <f>IF(OR($A48=0,NOT(ISNUMBER($D48)),NOT(ISNUMBER($E48)),NOT(ISNUMBER($F48))),"",SUMPRODUCT(INDEX('TO HOP'!$C$66:$AT$127,$A48,0),'TO HOP'!$C$53:$AT$53)-INDEX('TO HOP'!$AD$66:$AD$127,$A48)*'TO HOP'!$AD$53-INDEX('TO HOP'!$AR$66:$AR$127,$A48)*'TO HOP'!$AR$53-INDEX('TO HOP'!$AS$66:$AS$127,$A48)*'TO HOP'!$AS$53+INDEX('TO HOP'!$AD$66:$AD$127,$A48)*$G48+INDEX('TO HOP'!$AR$66:$AR$127,$A48)*$D48+INDEX('TO HOP'!$AS$66:$AS$127,$A48)*($E48+$F48))</f>
        <v>1542.1183676220262</v>
      </c>
      <c r="I48" s="39">
        <f>IF($H48="","",SUMPRODUCT(INDEX('TO HOP'!$C$66:$AT$127,$A48,0),'TO HOP'!$C$57:$AT$57)-INDEX('TO HOP'!$AD$66:$AD$127,$A48)*'TO HOP'!$AD$57-INDEX('TO HOP'!$AR$66:$AR$127,$A48)*'TO HOP'!$AR$57-INDEX('TO HOP'!$AS$66:$AS$127,$A48)*'TO HOP'!$AS$57+(INDEX('TO HOP'!$AD$66:$AD$127,$A48)*$G48+INDEX('TO HOP'!$AR$66:$AR$127,$A48)*$D48+INDEX('TO HOP'!$AS$66:$AS$127,$A48)*($E48+$F48))*(Hbe+Hcot+hxm+hgoi))</f>
        <v>19508.372592648484</v>
      </c>
      <c r="J48" s="39">
        <f>IF($H48="","",SUMPRODUCT(INDEX('TO HOP'!$C$66:$AT$127,$A48,0),'TO HOP'!$C$58:$AT$58)-INDEX('TO HOP'!$AD$66:$AD$127,$A48)*'TO HOP'!$AD$58-INDEX('TO HOP'!$AR$66:$AR$127,$A48)*'TO HOP'!$AR$58-INDEX('TO HOP'!$AS$66:$AS$127,$A48)*'TO HOP'!$AS$58+INDEX('TO HOP'!$AD$66:$AD$127,$A48)*$G48+INDEX('TO HOP'!$AR$66:$AR$127,$A48)*$D48+INDEX('TO HOP'!$AS$66:$AS$127,$A48)*($E48+$F48))</f>
        <v>1542.1183676220262</v>
      </c>
      <c r="K48" s="39">
        <f>IF($H48="","",SUMPRODUCT(INDEX('TO HOP'!$C$66:$AT$127,$A48,0),'TO HOP'!$C$62:$AT$62)-INDEX('TO HOP'!$AD$66:$AD$127,$A48)*'TO HOP'!$AD$62-INDEX('TO HOP'!$AR$66:$AR$127,$A48)*'TO HOP'!$AR$62-INDEX('TO HOP'!$AS$66:$AS$127,$A48)*'TO HOP'!$AS$62+(INDEX('TO HOP'!$AD$66:$AD$127,$A48)*$G48+INDEX('TO HOP'!$AR$66:$AR$127,$A48)*$D48+INDEX('TO HOP'!$AS$66:$AS$127,$A48)*($E48+$F48))*(Hcot+hxm+hgoi))</f>
        <v>16424.135857404428</v>
      </c>
      <c r="L48" s="39">
        <f t="shared" si="0"/>
        <v>1542.1183676220262</v>
      </c>
      <c r="M48" s="39">
        <f t="shared" si="1"/>
        <v>19508.372592648484</v>
      </c>
      <c r="N48" s="39">
        <f t="shared" si="2"/>
        <v>1542.1183676220262</v>
      </c>
      <c r="O48" s="39">
        <f t="shared" si="3"/>
        <v>16424.135857404428</v>
      </c>
    </row>
    <row r="49" spans="1:15" x14ac:dyDescent="0.3">
      <c r="A49" s="38">
        <f>'TO HOP'!N142</f>
        <v>12</v>
      </c>
      <c r="B49" s="38" t="str">
        <f>'TO HOP'!B142</f>
        <v>SD I - 2 nhịp đúng tâm 6 làn</v>
      </c>
      <c r="C49" s="38" t="s">
        <v>1200</v>
      </c>
      <c r="D49" s="39">
        <f>'HE GOI'!D18</f>
        <v>-1521.6710398757043</v>
      </c>
      <c r="E49" s="39">
        <f>IF(csmode=1,0,'HE GOI'!D20)</f>
        <v>512.34715147329803</v>
      </c>
      <c r="F49" s="39">
        <f>IF(csmode=1,'HE GOI'!D24,'HE GOI'!D21)</f>
        <v>320.21696967081334</v>
      </c>
      <c r="G49" s="39">
        <f>'HE GOI'!D22</f>
        <v>1034.6545125000002</v>
      </c>
      <c r="H49" s="39">
        <f>IF(OR($A49=0,NOT(ISNUMBER($D49)),NOT(ISNUMBER($E49)),NOT(ISNUMBER($F49))),"",SUMPRODUCT(INDEX('TO HOP'!$C$66:$AT$127,$A49,0),'TO HOP'!$C$53:$AT$53)-INDEX('TO HOP'!$AD$66:$AD$127,$A49)*'TO HOP'!$AD$53-INDEX('TO HOP'!$AR$66:$AR$127,$A49)*'TO HOP'!$AR$53-INDEX('TO HOP'!$AS$66:$AS$127,$A49)*'TO HOP'!$AS$53+INDEX('TO HOP'!$AD$66:$AD$127,$A49)*$G49+INDEX('TO HOP'!$AR$66:$AR$127,$A49)*$D49+INDEX('TO HOP'!$AS$66:$AS$127,$A49)*($E49+$F49))</f>
        <v>706.41904376840739</v>
      </c>
      <c r="I49" s="39">
        <f>IF($H49="","",SUMPRODUCT(INDEX('TO HOP'!$C$66:$AT$127,$A49,0),'TO HOP'!$C$57:$AT$57)-INDEX('TO HOP'!$AD$66:$AD$127,$A49)*'TO HOP'!$AD$57-INDEX('TO HOP'!$AR$66:$AR$127,$A49)*'TO HOP'!$AR$57-INDEX('TO HOP'!$AS$66:$AS$127,$A49)*'TO HOP'!$AS$57+(INDEX('TO HOP'!$AD$66:$AD$127,$A49)*$G49+INDEX('TO HOP'!$AR$66:$AR$127,$A49)*$D49+INDEX('TO HOP'!$AS$66:$AS$127,$A49)*($E49+$F49))*(Hbe+Hcot+hxm+hgoi))</f>
        <v>9245.9848957260438</v>
      </c>
      <c r="J49" s="39">
        <f>IF($H49="","",SUMPRODUCT(INDEX('TO HOP'!$C$66:$AT$127,$A49,0),'TO HOP'!$C$58:$AT$58)-INDEX('TO HOP'!$AD$66:$AD$127,$A49)*'TO HOP'!$AD$58-INDEX('TO HOP'!$AR$66:$AR$127,$A49)*'TO HOP'!$AR$58-INDEX('TO HOP'!$AS$66:$AS$127,$A49)*'TO HOP'!$AS$58+INDEX('TO HOP'!$AD$66:$AD$127,$A49)*$G49+INDEX('TO HOP'!$AR$66:$AR$127,$A49)*$D49+INDEX('TO HOP'!$AS$66:$AS$127,$A49)*($E49+$F49))</f>
        <v>706.41904376840739</v>
      </c>
      <c r="K49" s="39">
        <f>IF($H49="","",SUMPRODUCT(INDEX('TO HOP'!$C$66:$AT$127,$A49,0),'TO HOP'!$C$62:$AT$62)-INDEX('TO HOP'!$AD$66:$AD$127,$A49)*'TO HOP'!$AD$62-INDEX('TO HOP'!$AR$66:$AR$127,$A49)*'TO HOP'!$AR$62-INDEX('TO HOP'!$AS$66:$AS$127,$A49)*'TO HOP'!$AS$62+(INDEX('TO HOP'!$AD$66:$AD$127,$A49)*$G49+INDEX('TO HOP'!$AR$66:$AR$127,$A49)*$D49+INDEX('TO HOP'!$AS$66:$AS$127,$A49)*($E49+$F49))*(Hcot+hxm+hgoi))</f>
        <v>7833.1468081892272</v>
      </c>
      <c r="L49" s="39">
        <f t="shared" si="0"/>
        <v>706.41904376840739</v>
      </c>
      <c r="M49" s="39">
        <f t="shared" si="1"/>
        <v>9245.9848957260438</v>
      </c>
      <c r="N49" s="39">
        <f t="shared" si="2"/>
        <v>706.41904376840739</v>
      </c>
      <c r="O49" s="39">
        <f t="shared" si="3"/>
        <v>7833.1468081892272</v>
      </c>
    </row>
    <row r="50" spans="1:15" x14ac:dyDescent="0.3">
      <c r="A50" s="38">
        <f>'TO HOP'!N142</f>
        <v>12</v>
      </c>
      <c r="B50" s="38" t="str">
        <f>'TO HOP'!B142</f>
        <v>SD I - 2 nhịp đúng tâm 6 làn</v>
      </c>
      <c r="C50" s="38" t="s">
        <v>1201</v>
      </c>
      <c r="D50" s="39">
        <f>'HE GOI'!D18</f>
        <v>-1521.6710398757043</v>
      </c>
      <c r="E50" s="39">
        <f>IF(csmode=1,0,'HE GOI'!D20)</f>
        <v>512.34715147329803</v>
      </c>
      <c r="F50" s="39">
        <f>IF(csmode=1,'HE GOI'!D24,'HE GOI'!D21)</f>
        <v>320.21696967081334</v>
      </c>
      <c r="G50" s="39">
        <f>'HE GOI'!D23</f>
        <v>-1034.6545125000002</v>
      </c>
      <c r="H50" s="39">
        <f>IF(OR($A50=0,NOT(ISNUMBER($D50)),NOT(ISNUMBER($E50)),NOT(ISNUMBER($F50))),"",SUMPRODUCT(INDEX('TO HOP'!$C$66:$AT$127,$A50,0),'TO HOP'!$C$53:$AT$53)-INDEX('TO HOP'!$AD$66:$AD$127,$A50)*'TO HOP'!$AD$53-INDEX('TO HOP'!$AR$66:$AR$127,$A50)*'TO HOP'!$AR$53-INDEX('TO HOP'!$AS$66:$AS$127,$A50)*'TO HOP'!$AS$53+INDEX('TO HOP'!$AD$66:$AD$127,$A50)*$G50+INDEX('TO HOP'!$AR$66:$AR$127,$A50)*$D50+INDEX('TO HOP'!$AS$66:$AS$127,$A50)*($E50+$F50))</f>
        <v>-1362.8899812315933</v>
      </c>
      <c r="I50" s="39">
        <f>IF($H50="","",SUMPRODUCT(INDEX('TO HOP'!$C$66:$AT$127,$A50,0),'TO HOP'!$C$57:$AT$57)-INDEX('TO HOP'!$AD$66:$AD$127,$A50)*'TO HOP'!$AD$57-INDEX('TO HOP'!$AR$66:$AR$127,$A50)*'TO HOP'!$AR$57-INDEX('TO HOP'!$AS$66:$AS$127,$A50)*'TO HOP'!$AS$57+(INDEX('TO HOP'!$AD$66:$AD$127,$A50)*$G50+INDEX('TO HOP'!$AR$66:$AR$127,$A50)*$D50+INDEX('TO HOP'!$AS$66:$AS$127,$A50)*($E50+$F50))*(Hbe+Hcot+hxm+hgoi))</f>
        <v>-16165.129931273963</v>
      </c>
      <c r="J50" s="39">
        <f>IF($H50="","",SUMPRODUCT(INDEX('TO HOP'!$C$66:$AT$127,$A50,0),'TO HOP'!$C$58:$AT$58)-INDEX('TO HOP'!$AD$66:$AD$127,$A50)*'TO HOP'!$AD$58-INDEX('TO HOP'!$AR$66:$AR$127,$A50)*'TO HOP'!$AR$58-INDEX('TO HOP'!$AS$66:$AS$127,$A50)*'TO HOP'!$AS$58+INDEX('TO HOP'!$AD$66:$AD$127,$A50)*$G50+INDEX('TO HOP'!$AR$66:$AR$127,$A50)*$D50+INDEX('TO HOP'!$AS$66:$AS$127,$A50)*($E50+$F50))</f>
        <v>-1362.8899812315933</v>
      </c>
      <c r="K50" s="39">
        <f>IF($H50="","",SUMPRODUCT(INDEX('TO HOP'!$C$66:$AT$127,$A50,0),'TO HOP'!$C$62:$AT$62)-INDEX('TO HOP'!$AD$66:$AD$127,$A50)*'TO HOP'!$AD$62-INDEX('TO HOP'!$AR$66:$AR$127,$A50)*'TO HOP'!$AR$62-INDEX('TO HOP'!$AS$66:$AS$127,$A50)*'TO HOP'!$AS$62+(INDEX('TO HOP'!$AD$66:$AD$127,$A50)*$G50+INDEX('TO HOP'!$AR$66:$AR$127,$A50)*$D50+INDEX('TO HOP'!$AS$66:$AS$127,$A50)*($E50+$F50))*(Hcot+hxm+hgoi))</f>
        <v>-13439.349968810779</v>
      </c>
      <c r="L50" s="39">
        <f t="shared" si="0"/>
        <v>1362.8899812315933</v>
      </c>
      <c r="M50" s="39">
        <f t="shared" si="1"/>
        <v>16165.129931273963</v>
      </c>
      <c r="N50" s="39">
        <f t="shared" si="2"/>
        <v>1362.8899812315933</v>
      </c>
      <c r="O50" s="39">
        <f t="shared" si="3"/>
        <v>13439.349968810779</v>
      </c>
    </row>
    <row r="51" spans="1:15" x14ac:dyDescent="0.3">
      <c r="A51" s="38">
        <f>'TO HOP'!N142</f>
        <v>12</v>
      </c>
      <c r="B51" s="38" t="str">
        <f>'TO HOP'!B142</f>
        <v>SD I - 2 nhịp đúng tâm 6 làn</v>
      </c>
      <c r="C51" s="38" t="s">
        <v>1202</v>
      </c>
      <c r="D51" s="39">
        <f>'HE GOI'!D19</f>
        <v>1383.337308977915</v>
      </c>
      <c r="E51" s="39">
        <f>IF(csmode=1,0,'HE GOI'!D20)</f>
        <v>512.34715147329803</v>
      </c>
      <c r="F51" s="39">
        <f>IF(csmode=1,'HE GOI'!D24,'HE GOI'!D21)</f>
        <v>320.21696967081334</v>
      </c>
      <c r="G51" s="39">
        <f>'HE GOI'!D22</f>
        <v>1034.6545125000002</v>
      </c>
      <c r="H51" s="39">
        <f>IF(OR($A51=0,NOT(ISNUMBER($D51)),NOT(ISNUMBER($E51)),NOT(ISNUMBER($F51))),"",SUMPRODUCT(INDEX('TO HOP'!$C$66:$AT$127,$A51,0),'TO HOP'!$C$53:$AT$53)-INDEX('TO HOP'!$AD$66:$AD$127,$A51)*'TO HOP'!$AD$53-INDEX('TO HOP'!$AR$66:$AR$127,$A51)*'TO HOP'!$AR$53-INDEX('TO HOP'!$AS$66:$AS$127,$A51)*'TO HOP'!$AS$53+INDEX('TO HOP'!$AD$66:$AD$127,$A51)*$G51+INDEX('TO HOP'!$AR$66:$AR$127,$A51)*$D51+INDEX('TO HOP'!$AS$66:$AS$127,$A51)*($E51+$F51))</f>
        <v>3611.4273926220267</v>
      </c>
      <c r="I51" s="39">
        <f>IF($H51="","",SUMPRODUCT(INDEX('TO HOP'!$C$66:$AT$127,$A51,0),'TO HOP'!$C$57:$AT$57)-INDEX('TO HOP'!$AD$66:$AD$127,$A51)*'TO HOP'!$AD$57-INDEX('TO HOP'!$AR$66:$AR$127,$A51)*'TO HOP'!$AR$57-INDEX('TO HOP'!$AS$66:$AS$127,$A51)*'TO HOP'!$AS$57+(INDEX('TO HOP'!$AD$66:$AD$127,$A51)*$G51+INDEX('TO HOP'!$AR$66:$AR$127,$A51)*$D51+INDEX('TO HOP'!$AS$66:$AS$127,$A51)*($E51+$F51))*(Hbe+Hcot+hxm+hgoi))</f>
        <v>44919.487419648496</v>
      </c>
      <c r="J51" s="39">
        <f>IF($H51="","",SUMPRODUCT(INDEX('TO HOP'!$C$66:$AT$127,$A51,0),'TO HOP'!$C$58:$AT$58)-INDEX('TO HOP'!$AD$66:$AD$127,$A51)*'TO HOP'!$AD$58-INDEX('TO HOP'!$AR$66:$AR$127,$A51)*'TO HOP'!$AR$58-INDEX('TO HOP'!$AS$66:$AS$127,$A51)*'TO HOP'!$AS$58+INDEX('TO HOP'!$AD$66:$AD$127,$A51)*$G51+INDEX('TO HOP'!$AR$66:$AR$127,$A51)*$D51+INDEX('TO HOP'!$AS$66:$AS$127,$A51)*($E51+$F51))</f>
        <v>3611.4273926220267</v>
      </c>
      <c r="K51" s="39">
        <f>IF($H51="","",SUMPRODUCT(INDEX('TO HOP'!$C$66:$AT$127,$A51,0),'TO HOP'!$C$62:$AT$62)-INDEX('TO HOP'!$AD$66:$AD$127,$A51)*'TO HOP'!$AD$62-INDEX('TO HOP'!$AR$66:$AR$127,$A51)*'TO HOP'!$AR$62-INDEX('TO HOP'!$AS$66:$AS$127,$A51)*'TO HOP'!$AS$62+(INDEX('TO HOP'!$AD$66:$AD$127,$A51)*$G51+INDEX('TO HOP'!$AR$66:$AR$127,$A51)*$D51+INDEX('TO HOP'!$AS$66:$AS$127,$A51)*($E51+$F51))*(Hcot+hxm+hgoi))</f>
        <v>37696.632634404443</v>
      </c>
      <c r="L51" s="39">
        <f t="shared" si="0"/>
        <v>3611.4273926220267</v>
      </c>
      <c r="M51" s="39">
        <f t="shared" si="1"/>
        <v>44919.487419648496</v>
      </c>
      <c r="N51" s="39">
        <f t="shared" si="2"/>
        <v>3611.4273926220267</v>
      </c>
      <c r="O51" s="39">
        <f t="shared" si="3"/>
        <v>37696.632634404443</v>
      </c>
    </row>
    <row r="52" spans="1:15" x14ac:dyDescent="0.3">
      <c r="A52" s="38">
        <f>'TO HOP'!N142</f>
        <v>12</v>
      </c>
      <c r="B52" s="38" t="str">
        <f>'TO HOP'!B142</f>
        <v>SD I - 2 nhịp đúng tâm 6 làn</v>
      </c>
      <c r="C52" s="38" t="s">
        <v>1203</v>
      </c>
      <c r="D52" s="39">
        <f>'HE GOI'!D19</f>
        <v>1383.337308977915</v>
      </c>
      <c r="E52" s="39">
        <f>IF(csmode=1,0,'HE GOI'!D20)</f>
        <v>512.34715147329803</v>
      </c>
      <c r="F52" s="39">
        <f>IF(csmode=1,'HE GOI'!D24,'HE GOI'!D21)</f>
        <v>320.21696967081334</v>
      </c>
      <c r="G52" s="39">
        <f>'HE GOI'!D23</f>
        <v>-1034.6545125000002</v>
      </c>
      <c r="H52" s="39">
        <f>IF(OR($A52=0,NOT(ISNUMBER($D52)),NOT(ISNUMBER($E52)),NOT(ISNUMBER($F52))),"",SUMPRODUCT(INDEX('TO HOP'!$C$66:$AT$127,$A52,0),'TO HOP'!$C$53:$AT$53)-INDEX('TO HOP'!$AD$66:$AD$127,$A52)*'TO HOP'!$AD$53-INDEX('TO HOP'!$AR$66:$AR$127,$A52)*'TO HOP'!$AR$53-INDEX('TO HOP'!$AS$66:$AS$127,$A52)*'TO HOP'!$AS$53+INDEX('TO HOP'!$AD$66:$AD$127,$A52)*$G52+INDEX('TO HOP'!$AR$66:$AR$127,$A52)*$D52+INDEX('TO HOP'!$AS$66:$AS$127,$A52)*($E52+$F52))</f>
        <v>1542.1183676220262</v>
      </c>
      <c r="I52" s="39">
        <f>IF($H52="","",SUMPRODUCT(INDEX('TO HOP'!$C$66:$AT$127,$A52,0),'TO HOP'!$C$57:$AT$57)-INDEX('TO HOP'!$AD$66:$AD$127,$A52)*'TO HOP'!$AD$57-INDEX('TO HOP'!$AR$66:$AR$127,$A52)*'TO HOP'!$AR$57-INDEX('TO HOP'!$AS$66:$AS$127,$A52)*'TO HOP'!$AS$57+(INDEX('TO HOP'!$AD$66:$AD$127,$A52)*$G52+INDEX('TO HOP'!$AR$66:$AR$127,$A52)*$D52+INDEX('TO HOP'!$AS$66:$AS$127,$A52)*($E52+$F52))*(Hbe+Hcot+hxm+hgoi))</f>
        <v>19508.372592648484</v>
      </c>
      <c r="J52" s="39">
        <f>IF($H52="","",SUMPRODUCT(INDEX('TO HOP'!$C$66:$AT$127,$A52,0),'TO HOP'!$C$58:$AT$58)-INDEX('TO HOP'!$AD$66:$AD$127,$A52)*'TO HOP'!$AD$58-INDEX('TO HOP'!$AR$66:$AR$127,$A52)*'TO HOP'!$AR$58-INDEX('TO HOP'!$AS$66:$AS$127,$A52)*'TO HOP'!$AS$58+INDEX('TO HOP'!$AD$66:$AD$127,$A52)*$G52+INDEX('TO HOP'!$AR$66:$AR$127,$A52)*$D52+INDEX('TO HOP'!$AS$66:$AS$127,$A52)*($E52+$F52))</f>
        <v>1542.1183676220262</v>
      </c>
      <c r="K52" s="39">
        <f>IF($H52="","",SUMPRODUCT(INDEX('TO HOP'!$C$66:$AT$127,$A52,0),'TO HOP'!$C$62:$AT$62)-INDEX('TO HOP'!$AD$66:$AD$127,$A52)*'TO HOP'!$AD$62-INDEX('TO HOP'!$AR$66:$AR$127,$A52)*'TO HOP'!$AR$62-INDEX('TO HOP'!$AS$66:$AS$127,$A52)*'TO HOP'!$AS$62+(INDEX('TO HOP'!$AD$66:$AD$127,$A52)*$G52+INDEX('TO HOP'!$AR$66:$AR$127,$A52)*$D52+INDEX('TO HOP'!$AS$66:$AS$127,$A52)*($E52+$F52))*(Hcot+hxm+hgoi))</f>
        <v>16424.135857404428</v>
      </c>
      <c r="L52" s="39">
        <f t="shared" si="0"/>
        <v>1542.1183676220262</v>
      </c>
      <c r="M52" s="39">
        <f t="shared" si="1"/>
        <v>19508.372592648484</v>
      </c>
      <c r="N52" s="39">
        <f t="shared" si="2"/>
        <v>1542.1183676220262</v>
      </c>
      <c r="O52" s="39">
        <f t="shared" si="3"/>
        <v>16424.135857404428</v>
      </c>
    </row>
    <row r="53" spans="1:15" x14ac:dyDescent="0.3">
      <c r="A53" s="38">
        <f>'TO HOP'!N143</f>
        <v>13</v>
      </c>
      <c r="B53" s="38" t="str">
        <f>'TO HOP'!B143</f>
        <v>SD I - 1 nhịp 1 làn</v>
      </c>
      <c r="C53" s="38" t="s">
        <v>1200</v>
      </c>
      <c r="D53" s="39">
        <f>'HE GOI'!D18</f>
        <v>-1521.6710398757043</v>
      </c>
      <c r="E53" s="39">
        <f>IF(csmode=1,0,'HE GOI'!D20)</f>
        <v>512.34715147329803</v>
      </c>
      <c r="F53" s="39">
        <f>IF(csmode=1,'HE GOI'!D24,'HE GOI'!D21)</f>
        <v>320.21696967081334</v>
      </c>
      <c r="G53" s="39">
        <f>'HE GOI'!D22</f>
        <v>1034.6545125000002</v>
      </c>
      <c r="H53" s="39">
        <f>IF(OR($A53=0,NOT(ISNUMBER($D53)),NOT(ISNUMBER($E53)),NOT(ISNUMBER($F53))),"",SUMPRODUCT(INDEX('TO HOP'!$C$66:$AT$127,$A53,0),'TO HOP'!$C$53:$AT$53)-INDEX('TO HOP'!$AD$66:$AD$127,$A53)*'TO HOP'!$AD$53-INDEX('TO HOP'!$AR$66:$AR$127,$A53)*'TO HOP'!$AR$53-INDEX('TO HOP'!$AS$66:$AS$127,$A53)*'TO HOP'!$AS$53+INDEX('TO HOP'!$AD$66:$AD$127,$A53)*$G53+INDEX('TO HOP'!$AR$66:$AR$127,$A53)*$D53+INDEX('TO HOP'!$AS$66:$AS$127,$A53)*($E53+$F53))</f>
        <v>706.41904376840739</v>
      </c>
      <c r="I53" s="39">
        <f>IF($H53="","",SUMPRODUCT(INDEX('TO HOP'!$C$66:$AT$127,$A53,0),'TO HOP'!$C$57:$AT$57)-INDEX('TO HOP'!$AD$66:$AD$127,$A53)*'TO HOP'!$AD$57-INDEX('TO HOP'!$AR$66:$AR$127,$A53)*'TO HOP'!$AR$57-INDEX('TO HOP'!$AS$66:$AS$127,$A53)*'TO HOP'!$AS$57+(INDEX('TO HOP'!$AD$66:$AD$127,$A53)*$G53+INDEX('TO HOP'!$AR$66:$AR$127,$A53)*$D53+INDEX('TO HOP'!$AS$66:$AS$127,$A53)*($E53+$F53))*(Hbe+Hcot+hxm+hgoi))</f>
        <v>9865.7278477260443</v>
      </c>
      <c r="J53" s="39">
        <f>IF($H53="","",SUMPRODUCT(INDEX('TO HOP'!$C$66:$AT$127,$A53,0),'TO HOP'!$C$58:$AT$58)-INDEX('TO HOP'!$AD$66:$AD$127,$A53)*'TO HOP'!$AD$58-INDEX('TO HOP'!$AR$66:$AR$127,$A53)*'TO HOP'!$AR$58-INDEX('TO HOP'!$AS$66:$AS$127,$A53)*'TO HOP'!$AS$58+INDEX('TO HOP'!$AD$66:$AD$127,$A53)*$G53+INDEX('TO HOP'!$AR$66:$AR$127,$A53)*$D53+INDEX('TO HOP'!$AS$66:$AS$127,$A53)*($E53+$F53))</f>
        <v>706.41904376840739</v>
      </c>
      <c r="K53" s="39">
        <f>IF($H53="","",SUMPRODUCT(INDEX('TO HOP'!$C$66:$AT$127,$A53,0),'TO HOP'!$C$62:$AT$62)-INDEX('TO HOP'!$AD$66:$AD$127,$A53)*'TO HOP'!$AD$62-INDEX('TO HOP'!$AR$66:$AR$127,$A53)*'TO HOP'!$AR$62-INDEX('TO HOP'!$AS$66:$AS$127,$A53)*'TO HOP'!$AS$62+(INDEX('TO HOP'!$AD$66:$AD$127,$A53)*$G53+INDEX('TO HOP'!$AR$66:$AR$127,$A53)*$D53+INDEX('TO HOP'!$AS$66:$AS$127,$A53)*($E53+$F53))*(Hcot+hxm+hgoi))</f>
        <v>8452.8897601892277</v>
      </c>
      <c r="L53" s="39">
        <f t="shared" si="0"/>
        <v>706.41904376840739</v>
      </c>
      <c r="M53" s="39">
        <f t="shared" si="1"/>
        <v>9865.7278477260443</v>
      </c>
      <c r="N53" s="39">
        <f t="shared" si="2"/>
        <v>706.41904376840739</v>
      </c>
      <c r="O53" s="39">
        <f t="shared" si="3"/>
        <v>8452.8897601892277</v>
      </c>
    </row>
    <row r="54" spans="1:15" x14ac:dyDescent="0.3">
      <c r="A54" s="38">
        <f>'TO HOP'!N143</f>
        <v>13</v>
      </c>
      <c r="B54" s="38" t="str">
        <f>'TO HOP'!B143</f>
        <v>SD I - 1 nhịp 1 làn</v>
      </c>
      <c r="C54" s="38" t="s">
        <v>1201</v>
      </c>
      <c r="D54" s="39">
        <f>'HE GOI'!D18</f>
        <v>-1521.6710398757043</v>
      </c>
      <c r="E54" s="39">
        <f>IF(csmode=1,0,'HE GOI'!D20)</f>
        <v>512.34715147329803</v>
      </c>
      <c r="F54" s="39">
        <f>IF(csmode=1,'HE GOI'!D24,'HE GOI'!D21)</f>
        <v>320.21696967081334</v>
      </c>
      <c r="G54" s="39">
        <f>'HE GOI'!D23</f>
        <v>-1034.6545125000002</v>
      </c>
      <c r="H54" s="39">
        <f>IF(OR($A54=0,NOT(ISNUMBER($D54)),NOT(ISNUMBER($E54)),NOT(ISNUMBER($F54))),"",SUMPRODUCT(INDEX('TO HOP'!$C$66:$AT$127,$A54,0),'TO HOP'!$C$53:$AT$53)-INDEX('TO HOP'!$AD$66:$AD$127,$A54)*'TO HOP'!$AD$53-INDEX('TO HOP'!$AR$66:$AR$127,$A54)*'TO HOP'!$AR$53-INDEX('TO HOP'!$AS$66:$AS$127,$A54)*'TO HOP'!$AS$53+INDEX('TO HOP'!$AD$66:$AD$127,$A54)*$G54+INDEX('TO HOP'!$AR$66:$AR$127,$A54)*$D54+INDEX('TO HOP'!$AS$66:$AS$127,$A54)*($E54+$F54))</f>
        <v>-1362.8899812315933</v>
      </c>
      <c r="I54" s="39">
        <f>IF($H54="","",SUMPRODUCT(INDEX('TO HOP'!$C$66:$AT$127,$A54,0),'TO HOP'!$C$57:$AT$57)-INDEX('TO HOP'!$AD$66:$AD$127,$A54)*'TO HOP'!$AD$57-INDEX('TO HOP'!$AR$66:$AR$127,$A54)*'TO HOP'!$AR$57-INDEX('TO HOP'!$AS$66:$AS$127,$A54)*'TO HOP'!$AS$57+(INDEX('TO HOP'!$AD$66:$AD$127,$A54)*$G54+INDEX('TO HOP'!$AR$66:$AR$127,$A54)*$D54+INDEX('TO HOP'!$AS$66:$AS$127,$A54)*($E54+$F54))*(Hbe+Hcot+hxm+hgoi))</f>
        <v>-15545.386979273962</v>
      </c>
      <c r="J54" s="39">
        <f>IF($H54="","",SUMPRODUCT(INDEX('TO HOP'!$C$66:$AT$127,$A54,0),'TO HOP'!$C$58:$AT$58)-INDEX('TO HOP'!$AD$66:$AD$127,$A54)*'TO HOP'!$AD$58-INDEX('TO HOP'!$AR$66:$AR$127,$A54)*'TO HOP'!$AR$58-INDEX('TO HOP'!$AS$66:$AS$127,$A54)*'TO HOP'!$AS$58+INDEX('TO HOP'!$AD$66:$AD$127,$A54)*$G54+INDEX('TO HOP'!$AR$66:$AR$127,$A54)*$D54+INDEX('TO HOP'!$AS$66:$AS$127,$A54)*($E54+$F54))</f>
        <v>-1362.8899812315933</v>
      </c>
      <c r="K54" s="39">
        <f>IF($H54="","",SUMPRODUCT(INDEX('TO HOP'!$C$66:$AT$127,$A54,0),'TO HOP'!$C$62:$AT$62)-INDEX('TO HOP'!$AD$66:$AD$127,$A54)*'TO HOP'!$AD$62-INDEX('TO HOP'!$AR$66:$AR$127,$A54)*'TO HOP'!$AR$62-INDEX('TO HOP'!$AS$66:$AS$127,$A54)*'TO HOP'!$AS$62+(INDEX('TO HOP'!$AD$66:$AD$127,$A54)*$G54+INDEX('TO HOP'!$AR$66:$AR$127,$A54)*$D54+INDEX('TO HOP'!$AS$66:$AS$127,$A54)*($E54+$F54))*(Hcot+hxm+hgoi))</f>
        <v>-12819.607016810778</v>
      </c>
      <c r="L54" s="39">
        <f t="shared" si="0"/>
        <v>1362.8899812315933</v>
      </c>
      <c r="M54" s="39">
        <f t="shared" si="1"/>
        <v>15545.386979273962</v>
      </c>
      <c r="N54" s="39">
        <f t="shared" si="2"/>
        <v>1362.8899812315933</v>
      </c>
      <c r="O54" s="39">
        <f t="shared" si="3"/>
        <v>12819.607016810778</v>
      </c>
    </row>
    <row r="55" spans="1:15" x14ac:dyDescent="0.3">
      <c r="A55" s="38">
        <f>'TO HOP'!N143</f>
        <v>13</v>
      </c>
      <c r="B55" s="38" t="str">
        <f>'TO HOP'!B143</f>
        <v>SD I - 1 nhịp 1 làn</v>
      </c>
      <c r="C55" s="38" t="s">
        <v>1202</v>
      </c>
      <c r="D55" s="39">
        <f>'HE GOI'!D19</f>
        <v>1383.337308977915</v>
      </c>
      <c r="E55" s="39">
        <f>IF(csmode=1,0,'HE GOI'!D20)</f>
        <v>512.34715147329803</v>
      </c>
      <c r="F55" s="39">
        <f>IF(csmode=1,'HE GOI'!D24,'HE GOI'!D21)</f>
        <v>320.21696967081334</v>
      </c>
      <c r="G55" s="39">
        <f>'HE GOI'!D22</f>
        <v>1034.6545125000002</v>
      </c>
      <c r="H55" s="39">
        <f>IF(OR($A55=0,NOT(ISNUMBER($D55)),NOT(ISNUMBER($E55)),NOT(ISNUMBER($F55))),"",SUMPRODUCT(INDEX('TO HOP'!$C$66:$AT$127,$A55,0),'TO HOP'!$C$53:$AT$53)-INDEX('TO HOP'!$AD$66:$AD$127,$A55)*'TO HOP'!$AD$53-INDEX('TO HOP'!$AR$66:$AR$127,$A55)*'TO HOP'!$AR$53-INDEX('TO HOP'!$AS$66:$AS$127,$A55)*'TO HOP'!$AS$53+INDEX('TO HOP'!$AD$66:$AD$127,$A55)*$G55+INDEX('TO HOP'!$AR$66:$AR$127,$A55)*$D55+INDEX('TO HOP'!$AS$66:$AS$127,$A55)*($E55+$F55))</f>
        <v>3611.4273926220267</v>
      </c>
      <c r="I55" s="39">
        <f>IF($H55="","",SUMPRODUCT(INDEX('TO HOP'!$C$66:$AT$127,$A55,0),'TO HOP'!$C$57:$AT$57)-INDEX('TO HOP'!$AD$66:$AD$127,$A55)*'TO HOP'!$AD$57-INDEX('TO HOP'!$AR$66:$AR$127,$A55)*'TO HOP'!$AR$57-INDEX('TO HOP'!$AS$66:$AS$127,$A55)*'TO HOP'!$AS$57+(INDEX('TO HOP'!$AD$66:$AD$127,$A55)*$G55+INDEX('TO HOP'!$AR$66:$AR$127,$A55)*$D55+INDEX('TO HOP'!$AS$66:$AS$127,$A55)*($E55+$F55))*(Hbe+Hcot+hxm+hgoi))</f>
        <v>45539.230371648497</v>
      </c>
      <c r="J55" s="39">
        <f>IF($H55="","",SUMPRODUCT(INDEX('TO HOP'!$C$66:$AT$127,$A55,0),'TO HOP'!$C$58:$AT$58)-INDEX('TO HOP'!$AD$66:$AD$127,$A55)*'TO HOP'!$AD$58-INDEX('TO HOP'!$AR$66:$AR$127,$A55)*'TO HOP'!$AR$58-INDEX('TO HOP'!$AS$66:$AS$127,$A55)*'TO HOP'!$AS$58+INDEX('TO HOP'!$AD$66:$AD$127,$A55)*$G55+INDEX('TO HOP'!$AR$66:$AR$127,$A55)*$D55+INDEX('TO HOP'!$AS$66:$AS$127,$A55)*($E55+$F55))</f>
        <v>3611.4273926220267</v>
      </c>
      <c r="K55" s="39">
        <f>IF($H55="","",SUMPRODUCT(INDEX('TO HOP'!$C$66:$AT$127,$A55,0),'TO HOP'!$C$62:$AT$62)-INDEX('TO HOP'!$AD$66:$AD$127,$A55)*'TO HOP'!$AD$62-INDEX('TO HOP'!$AR$66:$AR$127,$A55)*'TO HOP'!$AR$62-INDEX('TO HOP'!$AS$66:$AS$127,$A55)*'TO HOP'!$AS$62+(INDEX('TO HOP'!$AD$66:$AD$127,$A55)*$G55+INDEX('TO HOP'!$AR$66:$AR$127,$A55)*$D55+INDEX('TO HOP'!$AS$66:$AS$127,$A55)*($E55+$F55))*(Hcot+hxm+hgoi))</f>
        <v>38316.375586404443</v>
      </c>
      <c r="L55" s="39">
        <f t="shared" si="0"/>
        <v>3611.4273926220267</v>
      </c>
      <c r="M55" s="39">
        <f t="shared" si="1"/>
        <v>45539.230371648497</v>
      </c>
      <c r="N55" s="39">
        <f t="shared" si="2"/>
        <v>3611.4273926220267</v>
      </c>
      <c r="O55" s="39">
        <f t="shared" si="3"/>
        <v>38316.375586404443</v>
      </c>
    </row>
    <row r="56" spans="1:15" x14ac:dyDescent="0.3">
      <c r="A56" s="38">
        <f>'TO HOP'!N143</f>
        <v>13</v>
      </c>
      <c r="B56" s="38" t="str">
        <f>'TO HOP'!B143</f>
        <v>SD I - 1 nhịp 1 làn</v>
      </c>
      <c r="C56" s="38" t="s">
        <v>1203</v>
      </c>
      <c r="D56" s="39">
        <f>'HE GOI'!D19</f>
        <v>1383.337308977915</v>
      </c>
      <c r="E56" s="39">
        <f>IF(csmode=1,0,'HE GOI'!D20)</f>
        <v>512.34715147329803</v>
      </c>
      <c r="F56" s="39">
        <f>IF(csmode=1,'HE GOI'!D24,'HE GOI'!D21)</f>
        <v>320.21696967081334</v>
      </c>
      <c r="G56" s="39">
        <f>'HE GOI'!D23</f>
        <v>-1034.6545125000002</v>
      </c>
      <c r="H56" s="39">
        <f>IF(OR($A56=0,NOT(ISNUMBER($D56)),NOT(ISNUMBER($E56)),NOT(ISNUMBER($F56))),"",SUMPRODUCT(INDEX('TO HOP'!$C$66:$AT$127,$A56,0),'TO HOP'!$C$53:$AT$53)-INDEX('TO HOP'!$AD$66:$AD$127,$A56)*'TO HOP'!$AD$53-INDEX('TO HOP'!$AR$66:$AR$127,$A56)*'TO HOP'!$AR$53-INDEX('TO HOP'!$AS$66:$AS$127,$A56)*'TO HOP'!$AS$53+INDEX('TO HOP'!$AD$66:$AD$127,$A56)*$G56+INDEX('TO HOP'!$AR$66:$AR$127,$A56)*$D56+INDEX('TO HOP'!$AS$66:$AS$127,$A56)*($E56+$F56))</f>
        <v>1542.1183676220262</v>
      </c>
      <c r="I56" s="39">
        <f>IF($H56="","",SUMPRODUCT(INDEX('TO HOP'!$C$66:$AT$127,$A56,0),'TO HOP'!$C$57:$AT$57)-INDEX('TO HOP'!$AD$66:$AD$127,$A56)*'TO HOP'!$AD$57-INDEX('TO HOP'!$AR$66:$AR$127,$A56)*'TO HOP'!$AR$57-INDEX('TO HOP'!$AS$66:$AS$127,$A56)*'TO HOP'!$AS$57+(INDEX('TO HOP'!$AD$66:$AD$127,$A56)*$G56+INDEX('TO HOP'!$AR$66:$AR$127,$A56)*$D56+INDEX('TO HOP'!$AS$66:$AS$127,$A56)*($E56+$F56))*(Hbe+Hcot+hxm+hgoi))</f>
        <v>20128.115544648485</v>
      </c>
      <c r="J56" s="39">
        <f>IF($H56="","",SUMPRODUCT(INDEX('TO HOP'!$C$66:$AT$127,$A56,0),'TO HOP'!$C$58:$AT$58)-INDEX('TO HOP'!$AD$66:$AD$127,$A56)*'TO HOP'!$AD$58-INDEX('TO HOP'!$AR$66:$AR$127,$A56)*'TO HOP'!$AR$58-INDEX('TO HOP'!$AS$66:$AS$127,$A56)*'TO HOP'!$AS$58+INDEX('TO HOP'!$AD$66:$AD$127,$A56)*$G56+INDEX('TO HOP'!$AR$66:$AR$127,$A56)*$D56+INDEX('TO HOP'!$AS$66:$AS$127,$A56)*($E56+$F56))</f>
        <v>1542.1183676220262</v>
      </c>
      <c r="K56" s="39">
        <f>IF($H56="","",SUMPRODUCT(INDEX('TO HOP'!$C$66:$AT$127,$A56,0),'TO HOP'!$C$62:$AT$62)-INDEX('TO HOP'!$AD$66:$AD$127,$A56)*'TO HOP'!$AD$62-INDEX('TO HOP'!$AR$66:$AR$127,$A56)*'TO HOP'!$AR$62-INDEX('TO HOP'!$AS$66:$AS$127,$A56)*'TO HOP'!$AS$62+(INDEX('TO HOP'!$AD$66:$AD$127,$A56)*$G56+INDEX('TO HOP'!$AR$66:$AR$127,$A56)*$D56+INDEX('TO HOP'!$AS$66:$AS$127,$A56)*($E56+$F56))*(Hcot+hxm+hgoi))</f>
        <v>17043.878809404428</v>
      </c>
      <c r="L56" s="39">
        <f t="shared" si="0"/>
        <v>1542.1183676220262</v>
      </c>
      <c r="M56" s="39">
        <f t="shared" si="1"/>
        <v>20128.115544648485</v>
      </c>
      <c r="N56" s="39">
        <f t="shared" si="2"/>
        <v>1542.1183676220262</v>
      </c>
      <c r="O56" s="39">
        <f t="shared" si="3"/>
        <v>17043.878809404428</v>
      </c>
    </row>
    <row r="57" spans="1:15" x14ac:dyDescent="0.3">
      <c r="A57" s="38">
        <f>'TO HOP'!N144</f>
        <v>14</v>
      </c>
      <c r="B57" s="38" t="str">
        <f>'TO HOP'!B144</f>
        <v>SD I - 1 nhịp 2 làn</v>
      </c>
      <c r="C57" s="38" t="s">
        <v>1200</v>
      </c>
      <c r="D57" s="39">
        <f>'HE GOI'!D18</f>
        <v>-1521.6710398757043</v>
      </c>
      <c r="E57" s="39">
        <f>IF(csmode=1,0,'HE GOI'!D20)</f>
        <v>512.34715147329803</v>
      </c>
      <c r="F57" s="39">
        <f>IF(csmode=1,'HE GOI'!D24,'HE GOI'!D21)</f>
        <v>320.21696967081334</v>
      </c>
      <c r="G57" s="39">
        <f>'HE GOI'!D22</f>
        <v>1034.6545125000002</v>
      </c>
      <c r="H57" s="39">
        <f>IF(OR($A57=0,NOT(ISNUMBER($D57)),NOT(ISNUMBER($E57)),NOT(ISNUMBER($F57))),"",SUMPRODUCT(INDEX('TO HOP'!$C$66:$AT$127,$A57,0),'TO HOP'!$C$53:$AT$53)-INDEX('TO HOP'!$AD$66:$AD$127,$A57)*'TO HOP'!$AD$53-INDEX('TO HOP'!$AR$66:$AR$127,$A57)*'TO HOP'!$AR$53-INDEX('TO HOP'!$AS$66:$AS$127,$A57)*'TO HOP'!$AS$53+INDEX('TO HOP'!$AD$66:$AD$127,$A57)*$G57+INDEX('TO HOP'!$AR$66:$AR$127,$A57)*$D57+INDEX('TO HOP'!$AS$66:$AS$127,$A57)*($E57+$F57))</f>
        <v>706.41904376840739</v>
      </c>
      <c r="I57" s="39">
        <f>IF($H57="","",SUMPRODUCT(INDEX('TO HOP'!$C$66:$AT$127,$A57,0),'TO HOP'!$C$57:$AT$57)-INDEX('TO HOP'!$AD$66:$AD$127,$A57)*'TO HOP'!$AD$57-INDEX('TO HOP'!$AR$66:$AR$127,$A57)*'TO HOP'!$AR$57-INDEX('TO HOP'!$AS$66:$AS$127,$A57)*'TO HOP'!$AS$57+(INDEX('TO HOP'!$AD$66:$AD$127,$A57)*$G57+INDEX('TO HOP'!$AR$66:$AR$127,$A57)*$D57+INDEX('TO HOP'!$AS$66:$AS$127,$A57)*($E57+$F57))*(Hbe+Hcot+hxm+hgoi))</f>
        <v>10278.889815726045</v>
      </c>
      <c r="J57" s="39">
        <f>IF($H57="","",SUMPRODUCT(INDEX('TO HOP'!$C$66:$AT$127,$A57,0),'TO HOP'!$C$58:$AT$58)-INDEX('TO HOP'!$AD$66:$AD$127,$A57)*'TO HOP'!$AD$58-INDEX('TO HOP'!$AR$66:$AR$127,$A57)*'TO HOP'!$AR$58-INDEX('TO HOP'!$AS$66:$AS$127,$A57)*'TO HOP'!$AS$58+INDEX('TO HOP'!$AD$66:$AD$127,$A57)*$G57+INDEX('TO HOP'!$AR$66:$AR$127,$A57)*$D57+INDEX('TO HOP'!$AS$66:$AS$127,$A57)*($E57+$F57))</f>
        <v>706.41904376840739</v>
      </c>
      <c r="K57" s="39">
        <f>IF($H57="","",SUMPRODUCT(INDEX('TO HOP'!$C$66:$AT$127,$A57,0),'TO HOP'!$C$62:$AT$62)-INDEX('TO HOP'!$AD$66:$AD$127,$A57)*'TO HOP'!$AD$62-INDEX('TO HOP'!$AR$66:$AR$127,$A57)*'TO HOP'!$AR$62-INDEX('TO HOP'!$AS$66:$AS$127,$A57)*'TO HOP'!$AS$62+(INDEX('TO HOP'!$AD$66:$AD$127,$A57)*$G57+INDEX('TO HOP'!$AR$66:$AR$127,$A57)*$D57+INDEX('TO HOP'!$AS$66:$AS$127,$A57)*($E57+$F57))*(Hcot+hxm+hgoi))</f>
        <v>8866.051728189228</v>
      </c>
      <c r="L57" s="39">
        <f t="shared" si="0"/>
        <v>706.41904376840739</v>
      </c>
      <c r="M57" s="39">
        <f t="shared" si="1"/>
        <v>10278.889815726045</v>
      </c>
      <c r="N57" s="39">
        <f t="shared" si="2"/>
        <v>706.41904376840739</v>
      </c>
      <c r="O57" s="39">
        <f t="shared" si="3"/>
        <v>8866.051728189228</v>
      </c>
    </row>
    <row r="58" spans="1:15" x14ac:dyDescent="0.3">
      <c r="A58" s="38">
        <f>'TO HOP'!N144</f>
        <v>14</v>
      </c>
      <c r="B58" s="38" t="str">
        <f>'TO HOP'!B144</f>
        <v>SD I - 1 nhịp 2 làn</v>
      </c>
      <c r="C58" s="38" t="s">
        <v>1201</v>
      </c>
      <c r="D58" s="39">
        <f>'HE GOI'!D18</f>
        <v>-1521.6710398757043</v>
      </c>
      <c r="E58" s="39">
        <f>IF(csmode=1,0,'HE GOI'!D20)</f>
        <v>512.34715147329803</v>
      </c>
      <c r="F58" s="39">
        <f>IF(csmode=1,'HE GOI'!D24,'HE GOI'!D21)</f>
        <v>320.21696967081334</v>
      </c>
      <c r="G58" s="39">
        <f>'HE GOI'!D23</f>
        <v>-1034.6545125000002</v>
      </c>
      <c r="H58" s="39">
        <f>IF(OR($A58=0,NOT(ISNUMBER($D58)),NOT(ISNUMBER($E58)),NOT(ISNUMBER($F58))),"",SUMPRODUCT(INDEX('TO HOP'!$C$66:$AT$127,$A58,0),'TO HOP'!$C$53:$AT$53)-INDEX('TO HOP'!$AD$66:$AD$127,$A58)*'TO HOP'!$AD$53-INDEX('TO HOP'!$AR$66:$AR$127,$A58)*'TO HOP'!$AR$53-INDEX('TO HOP'!$AS$66:$AS$127,$A58)*'TO HOP'!$AS$53+INDEX('TO HOP'!$AD$66:$AD$127,$A58)*$G58+INDEX('TO HOP'!$AR$66:$AR$127,$A58)*$D58+INDEX('TO HOP'!$AS$66:$AS$127,$A58)*($E58+$F58))</f>
        <v>-1362.8899812315933</v>
      </c>
      <c r="I58" s="39">
        <f>IF($H58="","",SUMPRODUCT(INDEX('TO HOP'!$C$66:$AT$127,$A58,0),'TO HOP'!$C$57:$AT$57)-INDEX('TO HOP'!$AD$66:$AD$127,$A58)*'TO HOP'!$AD$57-INDEX('TO HOP'!$AR$66:$AR$127,$A58)*'TO HOP'!$AR$57-INDEX('TO HOP'!$AS$66:$AS$127,$A58)*'TO HOP'!$AS$57+(INDEX('TO HOP'!$AD$66:$AD$127,$A58)*$G58+INDEX('TO HOP'!$AR$66:$AR$127,$A58)*$D58+INDEX('TO HOP'!$AS$66:$AS$127,$A58)*($E58+$F58))*(Hbe+Hcot+hxm+hgoi))</f>
        <v>-15132.225011273962</v>
      </c>
      <c r="J58" s="39">
        <f>IF($H58="","",SUMPRODUCT(INDEX('TO HOP'!$C$66:$AT$127,$A58,0),'TO HOP'!$C$58:$AT$58)-INDEX('TO HOP'!$AD$66:$AD$127,$A58)*'TO HOP'!$AD$58-INDEX('TO HOP'!$AR$66:$AR$127,$A58)*'TO HOP'!$AR$58-INDEX('TO HOP'!$AS$66:$AS$127,$A58)*'TO HOP'!$AS$58+INDEX('TO HOP'!$AD$66:$AD$127,$A58)*$G58+INDEX('TO HOP'!$AR$66:$AR$127,$A58)*$D58+INDEX('TO HOP'!$AS$66:$AS$127,$A58)*($E58+$F58))</f>
        <v>-1362.8899812315933</v>
      </c>
      <c r="K58" s="39">
        <f>IF($H58="","",SUMPRODUCT(INDEX('TO HOP'!$C$66:$AT$127,$A58,0),'TO HOP'!$C$62:$AT$62)-INDEX('TO HOP'!$AD$66:$AD$127,$A58)*'TO HOP'!$AD$62-INDEX('TO HOP'!$AR$66:$AR$127,$A58)*'TO HOP'!$AR$62-INDEX('TO HOP'!$AS$66:$AS$127,$A58)*'TO HOP'!$AS$62+(INDEX('TO HOP'!$AD$66:$AD$127,$A58)*$G58+INDEX('TO HOP'!$AR$66:$AR$127,$A58)*$D58+INDEX('TO HOP'!$AS$66:$AS$127,$A58)*($E58+$F58))*(Hcot+hxm+hgoi))</f>
        <v>-12406.445048810778</v>
      </c>
      <c r="L58" s="39">
        <f t="shared" si="0"/>
        <v>1362.8899812315933</v>
      </c>
      <c r="M58" s="39">
        <f t="shared" si="1"/>
        <v>15132.225011273962</v>
      </c>
      <c r="N58" s="39">
        <f t="shared" si="2"/>
        <v>1362.8899812315933</v>
      </c>
      <c r="O58" s="39">
        <f t="shared" si="3"/>
        <v>12406.445048810778</v>
      </c>
    </row>
    <row r="59" spans="1:15" x14ac:dyDescent="0.3">
      <c r="A59" s="38">
        <f>'TO HOP'!N144</f>
        <v>14</v>
      </c>
      <c r="B59" s="38" t="str">
        <f>'TO HOP'!B144</f>
        <v>SD I - 1 nhịp 2 làn</v>
      </c>
      <c r="C59" s="38" t="s">
        <v>1202</v>
      </c>
      <c r="D59" s="39">
        <f>'HE GOI'!D19</f>
        <v>1383.337308977915</v>
      </c>
      <c r="E59" s="39">
        <f>IF(csmode=1,0,'HE GOI'!D20)</f>
        <v>512.34715147329803</v>
      </c>
      <c r="F59" s="39">
        <f>IF(csmode=1,'HE GOI'!D24,'HE GOI'!D21)</f>
        <v>320.21696967081334</v>
      </c>
      <c r="G59" s="39">
        <f>'HE GOI'!D22</f>
        <v>1034.6545125000002</v>
      </c>
      <c r="H59" s="39">
        <f>IF(OR($A59=0,NOT(ISNUMBER($D59)),NOT(ISNUMBER($E59)),NOT(ISNUMBER($F59))),"",SUMPRODUCT(INDEX('TO HOP'!$C$66:$AT$127,$A59,0),'TO HOP'!$C$53:$AT$53)-INDEX('TO HOP'!$AD$66:$AD$127,$A59)*'TO HOP'!$AD$53-INDEX('TO HOP'!$AR$66:$AR$127,$A59)*'TO HOP'!$AR$53-INDEX('TO HOP'!$AS$66:$AS$127,$A59)*'TO HOP'!$AS$53+INDEX('TO HOP'!$AD$66:$AD$127,$A59)*$G59+INDEX('TO HOP'!$AR$66:$AR$127,$A59)*$D59+INDEX('TO HOP'!$AS$66:$AS$127,$A59)*($E59+$F59))</f>
        <v>3611.4273926220267</v>
      </c>
      <c r="I59" s="39">
        <f>IF($H59="","",SUMPRODUCT(INDEX('TO HOP'!$C$66:$AT$127,$A59,0),'TO HOP'!$C$57:$AT$57)-INDEX('TO HOP'!$AD$66:$AD$127,$A59)*'TO HOP'!$AD$57-INDEX('TO HOP'!$AR$66:$AR$127,$A59)*'TO HOP'!$AR$57-INDEX('TO HOP'!$AS$66:$AS$127,$A59)*'TO HOP'!$AS$57+(INDEX('TO HOP'!$AD$66:$AD$127,$A59)*$G59+INDEX('TO HOP'!$AR$66:$AR$127,$A59)*$D59+INDEX('TO HOP'!$AS$66:$AS$127,$A59)*($E59+$F59))*(Hbe+Hcot+hxm+hgoi))</f>
        <v>45952.392339648497</v>
      </c>
      <c r="J59" s="39">
        <f>IF($H59="","",SUMPRODUCT(INDEX('TO HOP'!$C$66:$AT$127,$A59,0),'TO HOP'!$C$58:$AT$58)-INDEX('TO HOP'!$AD$66:$AD$127,$A59)*'TO HOP'!$AD$58-INDEX('TO HOP'!$AR$66:$AR$127,$A59)*'TO HOP'!$AR$58-INDEX('TO HOP'!$AS$66:$AS$127,$A59)*'TO HOP'!$AS$58+INDEX('TO HOP'!$AD$66:$AD$127,$A59)*$G59+INDEX('TO HOP'!$AR$66:$AR$127,$A59)*$D59+INDEX('TO HOP'!$AS$66:$AS$127,$A59)*($E59+$F59))</f>
        <v>3611.4273926220267</v>
      </c>
      <c r="K59" s="39">
        <f>IF($H59="","",SUMPRODUCT(INDEX('TO HOP'!$C$66:$AT$127,$A59,0),'TO HOP'!$C$62:$AT$62)-INDEX('TO HOP'!$AD$66:$AD$127,$A59)*'TO HOP'!$AD$62-INDEX('TO HOP'!$AR$66:$AR$127,$A59)*'TO HOP'!$AR$62-INDEX('TO HOP'!$AS$66:$AS$127,$A59)*'TO HOP'!$AS$62+(INDEX('TO HOP'!$AD$66:$AD$127,$A59)*$G59+INDEX('TO HOP'!$AR$66:$AR$127,$A59)*$D59+INDEX('TO HOP'!$AS$66:$AS$127,$A59)*($E59+$F59))*(Hcot+hxm+hgoi))</f>
        <v>38729.537554404444</v>
      </c>
      <c r="L59" s="39">
        <f t="shared" si="0"/>
        <v>3611.4273926220267</v>
      </c>
      <c r="M59" s="39">
        <f t="shared" si="1"/>
        <v>45952.392339648497</v>
      </c>
      <c r="N59" s="39">
        <f t="shared" si="2"/>
        <v>3611.4273926220267</v>
      </c>
      <c r="O59" s="39">
        <f t="shared" si="3"/>
        <v>38729.537554404444</v>
      </c>
    </row>
    <row r="60" spans="1:15" x14ac:dyDescent="0.3">
      <c r="A60" s="38">
        <f>'TO HOP'!N144</f>
        <v>14</v>
      </c>
      <c r="B60" s="38" t="str">
        <f>'TO HOP'!B144</f>
        <v>SD I - 1 nhịp 2 làn</v>
      </c>
      <c r="C60" s="38" t="s">
        <v>1203</v>
      </c>
      <c r="D60" s="39">
        <f>'HE GOI'!D19</f>
        <v>1383.337308977915</v>
      </c>
      <c r="E60" s="39">
        <f>IF(csmode=1,0,'HE GOI'!D20)</f>
        <v>512.34715147329803</v>
      </c>
      <c r="F60" s="39">
        <f>IF(csmode=1,'HE GOI'!D24,'HE GOI'!D21)</f>
        <v>320.21696967081334</v>
      </c>
      <c r="G60" s="39">
        <f>'HE GOI'!D23</f>
        <v>-1034.6545125000002</v>
      </c>
      <c r="H60" s="39">
        <f>IF(OR($A60=0,NOT(ISNUMBER($D60)),NOT(ISNUMBER($E60)),NOT(ISNUMBER($F60))),"",SUMPRODUCT(INDEX('TO HOP'!$C$66:$AT$127,$A60,0),'TO HOP'!$C$53:$AT$53)-INDEX('TO HOP'!$AD$66:$AD$127,$A60)*'TO HOP'!$AD$53-INDEX('TO HOP'!$AR$66:$AR$127,$A60)*'TO HOP'!$AR$53-INDEX('TO HOP'!$AS$66:$AS$127,$A60)*'TO HOP'!$AS$53+INDEX('TO HOP'!$AD$66:$AD$127,$A60)*$G60+INDEX('TO HOP'!$AR$66:$AR$127,$A60)*$D60+INDEX('TO HOP'!$AS$66:$AS$127,$A60)*($E60+$F60))</f>
        <v>1542.1183676220262</v>
      </c>
      <c r="I60" s="39">
        <f>IF($H60="","",SUMPRODUCT(INDEX('TO HOP'!$C$66:$AT$127,$A60,0),'TO HOP'!$C$57:$AT$57)-INDEX('TO HOP'!$AD$66:$AD$127,$A60)*'TO HOP'!$AD$57-INDEX('TO HOP'!$AR$66:$AR$127,$A60)*'TO HOP'!$AR$57-INDEX('TO HOP'!$AS$66:$AS$127,$A60)*'TO HOP'!$AS$57+(INDEX('TO HOP'!$AD$66:$AD$127,$A60)*$G60+INDEX('TO HOP'!$AR$66:$AR$127,$A60)*$D60+INDEX('TO HOP'!$AS$66:$AS$127,$A60)*($E60+$F60))*(Hbe+Hcot+hxm+hgoi))</f>
        <v>20541.277512648485</v>
      </c>
      <c r="J60" s="39">
        <f>IF($H60="","",SUMPRODUCT(INDEX('TO HOP'!$C$66:$AT$127,$A60,0),'TO HOP'!$C$58:$AT$58)-INDEX('TO HOP'!$AD$66:$AD$127,$A60)*'TO HOP'!$AD$58-INDEX('TO HOP'!$AR$66:$AR$127,$A60)*'TO HOP'!$AR$58-INDEX('TO HOP'!$AS$66:$AS$127,$A60)*'TO HOP'!$AS$58+INDEX('TO HOP'!$AD$66:$AD$127,$A60)*$G60+INDEX('TO HOP'!$AR$66:$AR$127,$A60)*$D60+INDEX('TO HOP'!$AS$66:$AS$127,$A60)*($E60+$F60))</f>
        <v>1542.1183676220262</v>
      </c>
      <c r="K60" s="39">
        <f>IF($H60="","",SUMPRODUCT(INDEX('TO HOP'!$C$66:$AT$127,$A60,0),'TO HOP'!$C$62:$AT$62)-INDEX('TO HOP'!$AD$66:$AD$127,$A60)*'TO HOP'!$AD$62-INDEX('TO HOP'!$AR$66:$AR$127,$A60)*'TO HOP'!$AR$62-INDEX('TO HOP'!$AS$66:$AS$127,$A60)*'TO HOP'!$AS$62+(INDEX('TO HOP'!$AD$66:$AD$127,$A60)*$G60+INDEX('TO HOP'!$AR$66:$AR$127,$A60)*$D60+INDEX('TO HOP'!$AS$66:$AS$127,$A60)*($E60+$F60))*(Hcot+hxm+hgoi))</f>
        <v>17457.040777404429</v>
      </c>
      <c r="L60" s="39">
        <f t="shared" si="0"/>
        <v>1542.1183676220262</v>
      </c>
      <c r="M60" s="39">
        <f t="shared" si="1"/>
        <v>20541.277512648485</v>
      </c>
      <c r="N60" s="39">
        <f t="shared" si="2"/>
        <v>1542.1183676220262</v>
      </c>
      <c r="O60" s="39">
        <f t="shared" si="3"/>
        <v>17457.040777404429</v>
      </c>
    </row>
    <row r="61" spans="1:15" x14ac:dyDescent="0.3">
      <c r="A61" s="38">
        <f>'TO HOP'!N145</f>
        <v>15</v>
      </c>
      <c r="B61" s="38" t="str">
        <f>'TO HOP'!B145</f>
        <v>SD I - 1 nhịp 3 làn</v>
      </c>
      <c r="C61" s="38" t="s">
        <v>1200</v>
      </c>
      <c r="D61" s="39">
        <f>'HE GOI'!D18</f>
        <v>-1521.6710398757043</v>
      </c>
      <c r="E61" s="39">
        <f>IF(csmode=1,0,'HE GOI'!D20)</f>
        <v>512.34715147329803</v>
      </c>
      <c r="F61" s="39">
        <f>IF(csmode=1,'HE GOI'!D24,'HE GOI'!D21)</f>
        <v>320.21696967081334</v>
      </c>
      <c r="G61" s="39">
        <f>'HE GOI'!D22</f>
        <v>1034.6545125000002</v>
      </c>
      <c r="H61" s="39">
        <f>IF(OR($A61=0,NOT(ISNUMBER($D61)),NOT(ISNUMBER($E61)),NOT(ISNUMBER($F61))),"",SUMPRODUCT(INDEX('TO HOP'!$C$66:$AT$127,$A61,0),'TO HOP'!$C$53:$AT$53)-INDEX('TO HOP'!$AD$66:$AD$127,$A61)*'TO HOP'!$AD$53-INDEX('TO HOP'!$AR$66:$AR$127,$A61)*'TO HOP'!$AR$53-INDEX('TO HOP'!$AS$66:$AS$127,$A61)*'TO HOP'!$AS$53+INDEX('TO HOP'!$AD$66:$AD$127,$A61)*$G61+INDEX('TO HOP'!$AR$66:$AR$127,$A61)*$D61+INDEX('TO HOP'!$AS$66:$AS$127,$A61)*($E61+$F61))</f>
        <v>706.41904376840739</v>
      </c>
      <c r="I61" s="39">
        <f>IF($H61="","",SUMPRODUCT(INDEX('TO HOP'!$C$66:$AT$127,$A61,0),'TO HOP'!$C$57:$AT$57)-INDEX('TO HOP'!$AD$66:$AD$127,$A61)*'TO HOP'!$AD$57-INDEX('TO HOP'!$AR$66:$AR$127,$A61)*'TO HOP'!$AR$57-INDEX('TO HOP'!$AS$66:$AS$127,$A61)*'TO HOP'!$AS$57+(INDEX('TO HOP'!$AD$66:$AD$127,$A61)*$G61+INDEX('TO HOP'!$AR$66:$AR$127,$A61)*$D61+INDEX('TO HOP'!$AS$66:$AS$127,$A61)*($E61+$F61))*(Hbe+Hcot+hxm+hgoi))</f>
        <v>10562.938668726045</v>
      </c>
      <c r="J61" s="39">
        <f>IF($H61="","",SUMPRODUCT(INDEX('TO HOP'!$C$66:$AT$127,$A61,0),'TO HOP'!$C$58:$AT$58)-INDEX('TO HOP'!$AD$66:$AD$127,$A61)*'TO HOP'!$AD$58-INDEX('TO HOP'!$AR$66:$AR$127,$A61)*'TO HOP'!$AR$58-INDEX('TO HOP'!$AS$66:$AS$127,$A61)*'TO HOP'!$AS$58+INDEX('TO HOP'!$AD$66:$AD$127,$A61)*$G61+INDEX('TO HOP'!$AR$66:$AR$127,$A61)*$D61+INDEX('TO HOP'!$AS$66:$AS$127,$A61)*($E61+$F61))</f>
        <v>706.41904376840739</v>
      </c>
      <c r="K61" s="39">
        <f>IF($H61="","",SUMPRODUCT(INDEX('TO HOP'!$C$66:$AT$127,$A61,0),'TO HOP'!$C$62:$AT$62)-INDEX('TO HOP'!$AD$66:$AD$127,$A61)*'TO HOP'!$AD$62-INDEX('TO HOP'!$AR$66:$AR$127,$A61)*'TO HOP'!$AR$62-INDEX('TO HOP'!$AS$66:$AS$127,$A61)*'TO HOP'!$AS$62+(INDEX('TO HOP'!$AD$66:$AD$127,$A61)*$G61+INDEX('TO HOP'!$AR$66:$AR$127,$A61)*$D61+INDEX('TO HOP'!$AS$66:$AS$127,$A61)*($E61+$F61))*(Hcot+hxm+hgoi))</f>
        <v>9150.1005811892283</v>
      </c>
      <c r="L61" s="39">
        <f t="shared" si="0"/>
        <v>706.41904376840739</v>
      </c>
      <c r="M61" s="39">
        <f t="shared" si="1"/>
        <v>10562.938668726045</v>
      </c>
      <c r="N61" s="39">
        <f t="shared" si="2"/>
        <v>706.41904376840739</v>
      </c>
      <c r="O61" s="39">
        <f t="shared" si="3"/>
        <v>9150.1005811892283</v>
      </c>
    </row>
    <row r="62" spans="1:15" x14ac:dyDescent="0.3">
      <c r="A62" s="38">
        <f>'TO HOP'!N145</f>
        <v>15</v>
      </c>
      <c r="B62" s="38" t="str">
        <f>'TO HOP'!B145</f>
        <v>SD I - 1 nhịp 3 làn</v>
      </c>
      <c r="C62" s="38" t="s">
        <v>1201</v>
      </c>
      <c r="D62" s="39">
        <f>'HE GOI'!D18</f>
        <v>-1521.6710398757043</v>
      </c>
      <c r="E62" s="39">
        <f>IF(csmode=1,0,'HE GOI'!D20)</f>
        <v>512.34715147329803</v>
      </c>
      <c r="F62" s="39">
        <f>IF(csmode=1,'HE GOI'!D24,'HE GOI'!D21)</f>
        <v>320.21696967081334</v>
      </c>
      <c r="G62" s="39">
        <f>'HE GOI'!D23</f>
        <v>-1034.6545125000002</v>
      </c>
      <c r="H62" s="39">
        <f>IF(OR($A62=0,NOT(ISNUMBER($D62)),NOT(ISNUMBER($E62)),NOT(ISNUMBER($F62))),"",SUMPRODUCT(INDEX('TO HOP'!$C$66:$AT$127,$A62,0),'TO HOP'!$C$53:$AT$53)-INDEX('TO HOP'!$AD$66:$AD$127,$A62)*'TO HOP'!$AD$53-INDEX('TO HOP'!$AR$66:$AR$127,$A62)*'TO HOP'!$AR$53-INDEX('TO HOP'!$AS$66:$AS$127,$A62)*'TO HOP'!$AS$53+INDEX('TO HOP'!$AD$66:$AD$127,$A62)*$G62+INDEX('TO HOP'!$AR$66:$AR$127,$A62)*$D62+INDEX('TO HOP'!$AS$66:$AS$127,$A62)*($E62+$F62))</f>
        <v>-1362.8899812315933</v>
      </c>
      <c r="I62" s="39">
        <f>IF($H62="","",SUMPRODUCT(INDEX('TO HOP'!$C$66:$AT$127,$A62,0),'TO HOP'!$C$57:$AT$57)-INDEX('TO HOP'!$AD$66:$AD$127,$A62)*'TO HOP'!$AD$57-INDEX('TO HOP'!$AR$66:$AR$127,$A62)*'TO HOP'!$AR$57-INDEX('TO HOP'!$AS$66:$AS$127,$A62)*'TO HOP'!$AS$57+(INDEX('TO HOP'!$AD$66:$AD$127,$A62)*$G62+INDEX('TO HOP'!$AR$66:$AR$127,$A62)*$D62+INDEX('TO HOP'!$AS$66:$AS$127,$A62)*($E62+$F62))*(Hbe+Hcot+hxm+hgoi))</f>
        <v>-14848.176158273962</v>
      </c>
      <c r="J62" s="39">
        <f>IF($H62="","",SUMPRODUCT(INDEX('TO HOP'!$C$66:$AT$127,$A62,0),'TO HOP'!$C$58:$AT$58)-INDEX('TO HOP'!$AD$66:$AD$127,$A62)*'TO HOP'!$AD$58-INDEX('TO HOP'!$AR$66:$AR$127,$A62)*'TO HOP'!$AR$58-INDEX('TO HOP'!$AS$66:$AS$127,$A62)*'TO HOP'!$AS$58+INDEX('TO HOP'!$AD$66:$AD$127,$A62)*$G62+INDEX('TO HOP'!$AR$66:$AR$127,$A62)*$D62+INDEX('TO HOP'!$AS$66:$AS$127,$A62)*($E62+$F62))</f>
        <v>-1362.8899812315933</v>
      </c>
      <c r="K62" s="39">
        <f>IF($H62="","",SUMPRODUCT(INDEX('TO HOP'!$C$66:$AT$127,$A62,0),'TO HOP'!$C$62:$AT$62)-INDEX('TO HOP'!$AD$66:$AD$127,$A62)*'TO HOP'!$AD$62-INDEX('TO HOP'!$AR$66:$AR$127,$A62)*'TO HOP'!$AR$62-INDEX('TO HOP'!$AS$66:$AS$127,$A62)*'TO HOP'!$AS$62+(INDEX('TO HOP'!$AD$66:$AD$127,$A62)*$G62+INDEX('TO HOP'!$AR$66:$AR$127,$A62)*$D62+INDEX('TO HOP'!$AS$66:$AS$127,$A62)*($E62+$F62))*(Hcot+hxm+hgoi))</f>
        <v>-12122.396195810777</v>
      </c>
      <c r="L62" s="39">
        <f t="shared" si="0"/>
        <v>1362.8899812315933</v>
      </c>
      <c r="M62" s="39">
        <f t="shared" si="1"/>
        <v>14848.176158273962</v>
      </c>
      <c r="N62" s="39">
        <f t="shared" si="2"/>
        <v>1362.8899812315933</v>
      </c>
      <c r="O62" s="39">
        <f t="shared" si="3"/>
        <v>12122.396195810777</v>
      </c>
    </row>
    <row r="63" spans="1:15" x14ac:dyDescent="0.3">
      <c r="A63" s="38">
        <f>'TO HOP'!N145</f>
        <v>15</v>
      </c>
      <c r="B63" s="38" t="str">
        <f>'TO HOP'!B145</f>
        <v>SD I - 1 nhịp 3 làn</v>
      </c>
      <c r="C63" s="38" t="s">
        <v>1202</v>
      </c>
      <c r="D63" s="39">
        <f>'HE GOI'!D19</f>
        <v>1383.337308977915</v>
      </c>
      <c r="E63" s="39">
        <f>IF(csmode=1,0,'HE GOI'!D20)</f>
        <v>512.34715147329803</v>
      </c>
      <c r="F63" s="39">
        <f>IF(csmode=1,'HE GOI'!D24,'HE GOI'!D21)</f>
        <v>320.21696967081334</v>
      </c>
      <c r="G63" s="39">
        <f>'HE GOI'!D22</f>
        <v>1034.6545125000002</v>
      </c>
      <c r="H63" s="39">
        <f>IF(OR($A63=0,NOT(ISNUMBER($D63)),NOT(ISNUMBER($E63)),NOT(ISNUMBER($F63))),"",SUMPRODUCT(INDEX('TO HOP'!$C$66:$AT$127,$A63,0),'TO HOP'!$C$53:$AT$53)-INDEX('TO HOP'!$AD$66:$AD$127,$A63)*'TO HOP'!$AD$53-INDEX('TO HOP'!$AR$66:$AR$127,$A63)*'TO HOP'!$AR$53-INDEX('TO HOP'!$AS$66:$AS$127,$A63)*'TO HOP'!$AS$53+INDEX('TO HOP'!$AD$66:$AD$127,$A63)*$G63+INDEX('TO HOP'!$AR$66:$AR$127,$A63)*$D63+INDEX('TO HOP'!$AS$66:$AS$127,$A63)*($E63+$F63))</f>
        <v>3611.4273926220267</v>
      </c>
      <c r="I63" s="39">
        <f>IF($H63="","",SUMPRODUCT(INDEX('TO HOP'!$C$66:$AT$127,$A63,0),'TO HOP'!$C$57:$AT$57)-INDEX('TO HOP'!$AD$66:$AD$127,$A63)*'TO HOP'!$AD$57-INDEX('TO HOP'!$AR$66:$AR$127,$A63)*'TO HOP'!$AR$57-INDEX('TO HOP'!$AS$66:$AS$127,$A63)*'TO HOP'!$AS$57+(INDEX('TO HOP'!$AD$66:$AD$127,$A63)*$G63+INDEX('TO HOP'!$AR$66:$AR$127,$A63)*$D63+INDEX('TO HOP'!$AS$66:$AS$127,$A63)*($E63+$F63))*(Hbe+Hcot+hxm+hgoi))</f>
        <v>46236.441192648497</v>
      </c>
      <c r="J63" s="39">
        <f>IF($H63="","",SUMPRODUCT(INDEX('TO HOP'!$C$66:$AT$127,$A63,0),'TO HOP'!$C$58:$AT$58)-INDEX('TO HOP'!$AD$66:$AD$127,$A63)*'TO HOP'!$AD$58-INDEX('TO HOP'!$AR$66:$AR$127,$A63)*'TO HOP'!$AR$58-INDEX('TO HOP'!$AS$66:$AS$127,$A63)*'TO HOP'!$AS$58+INDEX('TO HOP'!$AD$66:$AD$127,$A63)*$G63+INDEX('TO HOP'!$AR$66:$AR$127,$A63)*$D63+INDEX('TO HOP'!$AS$66:$AS$127,$A63)*($E63+$F63))</f>
        <v>3611.4273926220267</v>
      </c>
      <c r="K63" s="39">
        <f>IF($H63="","",SUMPRODUCT(INDEX('TO HOP'!$C$66:$AT$127,$A63,0),'TO HOP'!$C$62:$AT$62)-INDEX('TO HOP'!$AD$66:$AD$127,$A63)*'TO HOP'!$AD$62-INDEX('TO HOP'!$AR$66:$AR$127,$A63)*'TO HOP'!$AR$62-INDEX('TO HOP'!$AS$66:$AS$127,$A63)*'TO HOP'!$AS$62+(INDEX('TO HOP'!$AD$66:$AD$127,$A63)*$G63+INDEX('TO HOP'!$AR$66:$AR$127,$A63)*$D63+INDEX('TO HOP'!$AS$66:$AS$127,$A63)*($E63+$F63))*(Hcot+hxm+hgoi))</f>
        <v>39013.586407404444</v>
      </c>
      <c r="L63" s="39">
        <f t="shared" si="0"/>
        <v>3611.4273926220267</v>
      </c>
      <c r="M63" s="39">
        <f t="shared" si="1"/>
        <v>46236.441192648497</v>
      </c>
      <c r="N63" s="39">
        <f t="shared" si="2"/>
        <v>3611.4273926220267</v>
      </c>
      <c r="O63" s="39">
        <f t="shared" si="3"/>
        <v>39013.586407404444</v>
      </c>
    </row>
    <row r="64" spans="1:15" x14ac:dyDescent="0.3">
      <c r="A64" s="38">
        <f>'TO HOP'!N145</f>
        <v>15</v>
      </c>
      <c r="B64" s="38" t="str">
        <f>'TO HOP'!B145</f>
        <v>SD I - 1 nhịp 3 làn</v>
      </c>
      <c r="C64" s="38" t="s">
        <v>1203</v>
      </c>
      <c r="D64" s="39">
        <f>'HE GOI'!D19</f>
        <v>1383.337308977915</v>
      </c>
      <c r="E64" s="39">
        <f>IF(csmode=1,0,'HE GOI'!D20)</f>
        <v>512.34715147329803</v>
      </c>
      <c r="F64" s="39">
        <f>IF(csmode=1,'HE GOI'!D24,'HE GOI'!D21)</f>
        <v>320.21696967081334</v>
      </c>
      <c r="G64" s="39">
        <f>'HE GOI'!D23</f>
        <v>-1034.6545125000002</v>
      </c>
      <c r="H64" s="39">
        <f>IF(OR($A64=0,NOT(ISNUMBER($D64)),NOT(ISNUMBER($E64)),NOT(ISNUMBER($F64))),"",SUMPRODUCT(INDEX('TO HOP'!$C$66:$AT$127,$A64,0),'TO HOP'!$C$53:$AT$53)-INDEX('TO HOP'!$AD$66:$AD$127,$A64)*'TO HOP'!$AD$53-INDEX('TO HOP'!$AR$66:$AR$127,$A64)*'TO HOP'!$AR$53-INDEX('TO HOP'!$AS$66:$AS$127,$A64)*'TO HOP'!$AS$53+INDEX('TO HOP'!$AD$66:$AD$127,$A64)*$G64+INDEX('TO HOP'!$AR$66:$AR$127,$A64)*$D64+INDEX('TO HOP'!$AS$66:$AS$127,$A64)*($E64+$F64))</f>
        <v>1542.1183676220262</v>
      </c>
      <c r="I64" s="39">
        <f>IF($H64="","",SUMPRODUCT(INDEX('TO HOP'!$C$66:$AT$127,$A64,0),'TO HOP'!$C$57:$AT$57)-INDEX('TO HOP'!$AD$66:$AD$127,$A64)*'TO HOP'!$AD$57-INDEX('TO HOP'!$AR$66:$AR$127,$A64)*'TO HOP'!$AR$57-INDEX('TO HOP'!$AS$66:$AS$127,$A64)*'TO HOP'!$AS$57+(INDEX('TO HOP'!$AD$66:$AD$127,$A64)*$G64+INDEX('TO HOP'!$AR$66:$AR$127,$A64)*$D64+INDEX('TO HOP'!$AS$66:$AS$127,$A64)*($E64+$F64))*(Hbe+Hcot+hxm+hgoi))</f>
        <v>20825.326365648485</v>
      </c>
      <c r="J64" s="39">
        <f>IF($H64="","",SUMPRODUCT(INDEX('TO HOP'!$C$66:$AT$127,$A64,0),'TO HOP'!$C$58:$AT$58)-INDEX('TO HOP'!$AD$66:$AD$127,$A64)*'TO HOP'!$AD$58-INDEX('TO HOP'!$AR$66:$AR$127,$A64)*'TO HOP'!$AR$58-INDEX('TO HOP'!$AS$66:$AS$127,$A64)*'TO HOP'!$AS$58+INDEX('TO HOP'!$AD$66:$AD$127,$A64)*$G64+INDEX('TO HOP'!$AR$66:$AR$127,$A64)*$D64+INDEX('TO HOP'!$AS$66:$AS$127,$A64)*($E64+$F64))</f>
        <v>1542.1183676220262</v>
      </c>
      <c r="K64" s="39">
        <f>IF($H64="","",SUMPRODUCT(INDEX('TO HOP'!$C$66:$AT$127,$A64,0),'TO HOP'!$C$62:$AT$62)-INDEX('TO HOP'!$AD$66:$AD$127,$A64)*'TO HOP'!$AD$62-INDEX('TO HOP'!$AR$66:$AR$127,$A64)*'TO HOP'!$AR$62-INDEX('TO HOP'!$AS$66:$AS$127,$A64)*'TO HOP'!$AS$62+(INDEX('TO HOP'!$AD$66:$AD$127,$A64)*$G64+INDEX('TO HOP'!$AR$66:$AR$127,$A64)*$D64+INDEX('TO HOP'!$AS$66:$AS$127,$A64)*($E64+$F64))*(Hcot+hxm+hgoi))</f>
        <v>17741.089630404429</v>
      </c>
      <c r="L64" s="39">
        <f t="shared" si="0"/>
        <v>1542.1183676220262</v>
      </c>
      <c r="M64" s="39">
        <f t="shared" si="1"/>
        <v>20825.326365648485</v>
      </c>
      <c r="N64" s="39">
        <f t="shared" si="2"/>
        <v>1542.1183676220262</v>
      </c>
      <c r="O64" s="39">
        <f t="shared" si="3"/>
        <v>17741.089630404429</v>
      </c>
    </row>
    <row r="65" spans="1:15" x14ac:dyDescent="0.3">
      <c r="A65" s="38">
        <f>'TO HOP'!N146</f>
        <v>16</v>
      </c>
      <c r="B65" s="38" t="str">
        <f>'TO HOP'!B146</f>
        <v>SD I - 1 nhịp 4 làn</v>
      </c>
      <c r="C65" s="38" t="s">
        <v>1200</v>
      </c>
      <c r="D65" s="39">
        <f>'HE GOI'!D18</f>
        <v>-1521.6710398757043</v>
      </c>
      <c r="E65" s="39">
        <f>IF(csmode=1,0,'HE GOI'!D20)</f>
        <v>512.34715147329803</v>
      </c>
      <c r="F65" s="39">
        <f>IF(csmode=1,'HE GOI'!D24,'HE GOI'!D21)</f>
        <v>320.21696967081334</v>
      </c>
      <c r="G65" s="39">
        <f>'HE GOI'!D22</f>
        <v>1034.6545125000002</v>
      </c>
      <c r="H65" s="39">
        <f>IF(OR($A65=0,NOT(ISNUMBER($D65)),NOT(ISNUMBER($E65)),NOT(ISNUMBER($F65))),"",SUMPRODUCT(INDEX('TO HOP'!$C$66:$AT$127,$A65,0),'TO HOP'!$C$53:$AT$53)-INDEX('TO HOP'!$AD$66:$AD$127,$A65)*'TO HOP'!$AD$53-INDEX('TO HOP'!$AR$66:$AR$127,$A65)*'TO HOP'!$AR$53-INDEX('TO HOP'!$AS$66:$AS$127,$A65)*'TO HOP'!$AS$53+INDEX('TO HOP'!$AD$66:$AD$127,$A65)*$G65+INDEX('TO HOP'!$AR$66:$AR$127,$A65)*$D65+INDEX('TO HOP'!$AS$66:$AS$127,$A65)*($E65+$F65))</f>
        <v>706.41904376840739</v>
      </c>
      <c r="I65" s="39">
        <f>IF($H65="","",SUMPRODUCT(INDEX('TO HOP'!$C$66:$AT$127,$A65,0),'TO HOP'!$C$57:$AT$57)-INDEX('TO HOP'!$AD$66:$AD$127,$A65)*'TO HOP'!$AD$57-INDEX('TO HOP'!$AR$66:$AR$127,$A65)*'TO HOP'!$AR$57-INDEX('TO HOP'!$AS$66:$AS$127,$A65)*'TO HOP'!$AS$57+(INDEX('TO HOP'!$AD$66:$AD$127,$A65)*$G65+INDEX('TO HOP'!$AR$66:$AR$127,$A65)*$D65+INDEX('TO HOP'!$AS$66:$AS$127,$A65)*($E65+$F65))*(Hbe+Hcot+hxm+hgoi))</f>
        <v>10588.761291726045</v>
      </c>
      <c r="J65" s="39">
        <f>IF($H65="","",SUMPRODUCT(INDEX('TO HOP'!$C$66:$AT$127,$A65,0),'TO HOP'!$C$58:$AT$58)-INDEX('TO HOP'!$AD$66:$AD$127,$A65)*'TO HOP'!$AD$58-INDEX('TO HOP'!$AR$66:$AR$127,$A65)*'TO HOP'!$AR$58-INDEX('TO HOP'!$AS$66:$AS$127,$A65)*'TO HOP'!$AS$58+INDEX('TO HOP'!$AD$66:$AD$127,$A65)*$G65+INDEX('TO HOP'!$AR$66:$AR$127,$A65)*$D65+INDEX('TO HOP'!$AS$66:$AS$127,$A65)*($E65+$F65))</f>
        <v>706.41904376840739</v>
      </c>
      <c r="K65" s="39">
        <f>IF($H65="","",SUMPRODUCT(INDEX('TO HOP'!$C$66:$AT$127,$A65,0),'TO HOP'!$C$62:$AT$62)-INDEX('TO HOP'!$AD$66:$AD$127,$A65)*'TO HOP'!$AD$62-INDEX('TO HOP'!$AR$66:$AR$127,$A65)*'TO HOP'!$AR$62-INDEX('TO HOP'!$AS$66:$AS$127,$A65)*'TO HOP'!$AS$62+(INDEX('TO HOP'!$AD$66:$AD$127,$A65)*$G65+INDEX('TO HOP'!$AR$66:$AR$127,$A65)*$D65+INDEX('TO HOP'!$AS$66:$AS$127,$A65)*($E65+$F65))*(Hcot+hxm+hgoi))</f>
        <v>9175.9232041892283</v>
      </c>
      <c r="L65" s="39">
        <f t="shared" si="0"/>
        <v>706.41904376840739</v>
      </c>
      <c r="M65" s="39">
        <f t="shared" si="1"/>
        <v>10588.761291726045</v>
      </c>
      <c r="N65" s="39">
        <f t="shared" si="2"/>
        <v>706.41904376840739</v>
      </c>
      <c r="O65" s="39">
        <f t="shared" si="3"/>
        <v>9175.9232041892283</v>
      </c>
    </row>
    <row r="66" spans="1:15" x14ac:dyDescent="0.3">
      <c r="A66" s="38">
        <f>'TO HOP'!N146</f>
        <v>16</v>
      </c>
      <c r="B66" s="38" t="str">
        <f>'TO HOP'!B146</f>
        <v>SD I - 1 nhịp 4 làn</v>
      </c>
      <c r="C66" s="38" t="s">
        <v>1201</v>
      </c>
      <c r="D66" s="39">
        <f>'HE GOI'!D18</f>
        <v>-1521.6710398757043</v>
      </c>
      <c r="E66" s="39">
        <f>IF(csmode=1,0,'HE GOI'!D20)</f>
        <v>512.34715147329803</v>
      </c>
      <c r="F66" s="39">
        <f>IF(csmode=1,'HE GOI'!D24,'HE GOI'!D21)</f>
        <v>320.21696967081334</v>
      </c>
      <c r="G66" s="39">
        <f>'HE GOI'!D23</f>
        <v>-1034.6545125000002</v>
      </c>
      <c r="H66" s="39">
        <f>IF(OR($A66=0,NOT(ISNUMBER($D66)),NOT(ISNUMBER($E66)),NOT(ISNUMBER($F66))),"",SUMPRODUCT(INDEX('TO HOP'!$C$66:$AT$127,$A66,0),'TO HOP'!$C$53:$AT$53)-INDEX('TO HOP'!$AD$66:$AD$127,$A66)*'TO HOP'!$AD$53-INDEX('TO HOP'!$AR$66:$AR$127,$A66)*'TO HOP'!$AR$53-INDEX('TO HOP'!$AS$66:$AS$127,$A66)*'TO HOP'!$AS$53+INDEX('TO HOP'!$AD$66:$AD$127,$A66)*$G66+INDEX('TO HOP'!$AR$66:$AR$127,$A66)*$D66+INDEX('TO HOP'!$AS$66:$AS$127,$A66)*($E66+$F66))</f>
        <v>-1362.8899812315933</v>
      </c>
      <c r="I66" s="39">
        <f>IF($H66="","",SUMPRODUCT(INDEX('TO HOP'!$C$66:$AT$127,$A66,0),'TO HOP'!$C$57:$AT$57)-INDEX('TO HOP'!$AD$66:$AD$127,$A66)*'TO HOP'!$AD$57-INDEX('TO HOP'!$AR$66:$AR$127,$A66)*'TO HOP'!$AR$57-INDEX('TO HOP'!$AS$66:$AS$127,$A66)*'TO HOP'!$AS$57+(INDEX('TO HOP'!$AD$66:$AD$127,$A66)*$G66+INDEX('TO HOP'!$AR$66:$AR$127,$A66)*$D66+INDEX('TO HOP'!$AS$66:$AS$127,$A66)*($E66+$F66))*(Hbe+Hcot+hxm+hgoi))</f>
        <v>-14822.353535273962</v>
      </c>
      <c r="J66" s="39">
        <f>IF($H66="","",SUMPRODUCT(INDEX('TO HOP'!$C$66:$AT$127,$A66,0),'TO HOP'!$C$58:$AT$58)-INDEX('TO HOP'!$AD$66:$AD$127,$A66)*'TO HOP'!$AD$58-INDEX('TO HOP'!$AR$66:$AR$127,$A66)*'TO HOP'!$AR$58-INDEX('TO HOP'!$AS$66:$AS$127,$A66)*'TO HOP'!$AS$58+INDEX('TO HOP'!$AD$66:$AD$127,$A66)*$G66+INDEX('TO HOP'!$AR$66:$AR$127,$A66)*$D66+INDEX('TO HOP'!$AS$66:$AS$127,$A66)*($E66+$F66))</f>
        <v>-1362.8899812315933</v>
      </c>
      <c r="K66" s="39">
        <f>IF($H66="","",SUMPRODUCT(INDEX('TO HOP'!$C$66:$AT$127,$A66,0),'TO HOP'!$C$62:$AT$62)-INDEX('TO HOP'!$AD$66:$AD$127,$A66)*'TO HOP'!$AD$62-INDEX('TO HOP'!$AR$66:$AR$127,$A66)*'TO HOP'!$AR$62-INDEX('TO HOP'!$AS$66:$AS$127,$A66)*'TO HOP'!$AS$62+(INDEX('TO HOP'!$AD$66:$AD$127,$A66)*$G66+INDEX('TO HOP'!$AR$66:$AR$127,$A66)*$D66+INDEX('TO HOP'!$AS$66:$AS$127,$A66)*($E66+$F66))*(Hcot+hxm+hgoi))</f>
        <v>-12096.573572810777</v>
      </c>
      <c r="L66" s="39">
        <f t="shared" si="0"/>
        <v>1362.8899812315933</v>
      </c>
      <c r="M66" s="39">
        <f t="shared" si="1"/>
        <v>14822.353535273962</v>
      </c>
      <c r="N66" s="39">
        <f t="shared" si="2"/>
        <v>1362.8899812315933</v>
      </c>
      <c r="O66" s="39">
        <f t="shared" si="3"/>
        <v>12096.573572810777</v>
      </c>
    </row>
    <row r="67" spans="1:15" x14ac:dyDescent="0.3">
      <c r="A67" s="38">
        <f>'TO HOP'!N146</f>
        <v>16</v>
      </c>
      <c r="B67" s="38" t="str">
        <f>'TO HOP'!B146</f>
        <v>SD I - 1 nhịp 4 làn</v>
      </c>
      <c r="C67" s="38" t="s">
        <v>1202</v>
      </c>
      <c r="D67" s="39">
        <f>'HE GOI'!D19</f>
        <v>1383.337308977915</v>
      </c>
      <c r="E67" s="39">
        <f>IF(csmode=1,0,'HE GOI'!D20)</f>
        <v>512.34715147329803</v>
      </c>
      <c r="F67" s="39">
        <f>IF(csmode=1,'HE GOI'!D24,'HE GOI'!D21)</f>
        <v>320.21696967081334</v>
      </c>
      <c r="G67" s="39">
        <f>'HE GOI'!D22</f>
        <v>1034.6545125000002</v>
      </c>
      <c r="H67" s="39">
        <f>IF(OR($A67=0,NOT(ISNUMBER($D67)),NOT(ISNUMBER($E67)),NOT(ISNUMBER($F67))),"",SUMPRODUCT(INDEX('TO HOP'!$C$66:$AT$127,$A67,0),'TO HOP'!$C$53:$AT$53)-INDEX('TO HOP'!$AD$66:$AD$127,$A67)*'TO HOP'!$AD$53-INDEX('TO HOP'!$AR$66:$AR$127,$A67)*'TO HOP'!$AR$53-INDEX('TO HOP'!$AS$66:$AS$127,$A67)*'TO HOP'!$AS$53+INDEX('TO HOP'!$AD$66:$AD$127,$A67)*$G67+INDEX('TO HOP'!$AR$66:$AR$127,$A67)*$D67+INDEX('TO HOP'!$AS$66:$AS$127,$A67)*($E67+$F67))</f>
        <v>3611.4273926220267</v>
      </c>
      <c r="I67" s="39">
        <f>IF($H67="","",SUMPRODUCT(INDEX('TO HOP'!$C$66:$AT$127,$A67,0),'TO HOP'!$C$57:$AT$57)-INDEX('TO HOP'!$AD$66:$AD$127,$A67)*'TO HOP'!$AD$57-INDEX('TO HOP'!$AR$66:$AR$127,$A67)*'TO HOP'!$AR$57-INDEX('TO HOP'!$AS$66:$AS$127,$A67)*'TO HOP'!$AS$57+(INDEX('TO HOP'!$AD$66:$AD$127,$A67)*$G67+INDEX('TO HOP'!$AR$66:$AR$127,$A67)*$D67+INDEX('TO HOP'!$AS$66:$AS$127,$A67)*($E67+$F67))*(Hbe+Hcot+hxm+hgoi))</f>
        <v>46262.263815648497</v>
      </c>
      <c r="J67" s="39">
        <f>IF($H67="","",SUMPRODUCT(INDEX('TO HOP'!$C$66:$AT$127,$A67,0),'TO HOP'!$C$58:$AT$58)-INDEX('TO HOP'!$AD$66:$AD$127,$A67)*'TO HOP'!$AD$58-INDEX('TO HOP'!$AR$66:$AR$127,$A67)*'TO HOP'!$AR$58-INDEX('TO HOP'!$AS$66:$AS$127,$A67)*'TO HOP'!$AS$58+INDEX('TO HOP'!$AD$66:$AD$127,$A67)*$G67+INDEX('TO HOP'!$AR$66:$AR$127,$A67)*$D67+INDEX('TO HOP'!$AS$66:$AS$127,$A67)*($E67+$F67))</f>
        <v>3611.4273926220267</v>
      </c>
      <c r="K67" s="39">
        <f>IF($H67="","",SUMPRODUCT(INDEX('TO HOP'!$C$66:$AT$127,$A67,0),'TO HOP'!$C$62:$AT$62)-INDEX('TO HOP'!$AD$66:$AD$127,$A67)*'TO HOP'!$AD$62-INDEX('TO HOP'!$AR$66:$AR$127,$A67)*'TO HOP'!$AR$62-INDEX('TO HOP'!$AS$66:$AS$127,$A67)*'TO HOP'!$AS$62+(INDEX('TO HOP'!$AD$66:$AD$127,$A67)*$G67+INDEX('TO HOP'!$AR$66:$AR$127,$A67)*$D67+INDEX('TO HOP'!$AS$66:$AS$127,$A67)*($E67+$F67))*(Hcot+hxm+hgoi))</f>
        <v>39039.409030404444</v>
      </c>
      <c r="L67" s="39">
        <f t="shared" si="0"/>
        <v>3611.4273926220267</v>
      </c>
      <c r="M67" s="39">
        <f t="shared" si="1"/>
        <v>46262.263815648497</v>
      </c>
      <c r="N67" s="39">
        <f t="shared" si="2"/>
        <v>3611.4273926220267</v>
      </c>
      <c r="O67" s="39">
        <f t="shared" si="3"/>
        <v>39039.409030404444</v>
      </c>
    </row>
    <row r="68" spans="1:15" x14ac:dyDescent="0.3">
      <c r="A68" s="38">
        <f>'TO HOP'!N146</f>
        <v>16</v>
      </c>
      <c r="B68" s="38" t="str">
        <f>'TO HOP'!B146</f>
        <v>SD I - 1 nhịp 4 làn</v>
      </c>
      <c r="C68" s="38" t="s">
        <v>1203</v>
      </c>
      <c r="D68" s="39">
        <f>'HE GOI'!D19</f>
        <v>1383.337308977915</v>
      </c>
      <c r="E68" s="39">
        <f>IF(csmode=1,0,'HE GOI'!D20)</f>
        <v>512.34715147329803</v>
      </c>
      <c r="F68" s="39">
        <f>IF(csmode=1,'HE GOI'!D24,'HE GOI'!D21)</f>
        <v>320.21696967081334</v>
      </c>
      <c r="G68" s="39">
        <f>'HE GOI'!D23</f>
        <v>-1034.6545125000002</v>
      </c>
      <c r="H68" s="39">
        <f>IF(OR($A68=0,NOT(ISNUMBER($D68)),NOT(ISNUMBER($E68)),NOT(ISNUMBER($F68))),"",SUMPRODUCT(INDEX('TO HOP'!$C$66:$AT$127,$A68,0),'TO HOP'!$C$53:$AT$53)-INDEX('TO HOP'!$AD$66:$AD$127,$A68)*'TO HOP'!$AD$53-INDEX('TO HOP'!$AR$66:$AR$127,$A68)*'TO HOP'!$AR$53-INDEX('TO HOP'!$AS$66:$AS$127,$A68)*'TO HOP'!$AS$53+INDEX('TO HOP'!$AD$66:$AD$127,$A68)*$G68+INDEX('TO HOP'!$AR$66:$AR$127,$A68)*$D68+INDEX('TO HOP'!$AS$66:$AS$127,$A68)*($E68+$F68))</f>
        <v>1542.1183676220262</v>
      </c>
      <c r="I68" s="39">
        <f>IF($H68="","",SUMPRODUCT(INDEX('TO HOP'!$C$66:$AT$127,$A68,0),'TO HOP'!$C$57:$AT$57)-INDEX('TO HOP'!$AD$66:$AD$127,$A68)*'TO HOP'!$AD$57-INDEX('TO HOP'!$AR$66:$AR$127,$A68)*'TO HOP'!$AR$57-INDEX('TO HOP'!$AS$66:$AS$127,$A68)*'TO HOP'!$AS$57+(INDEX('TO HOP'!$AD$66:$AD$127,$A68)*$G68+INDEX('TO HOP'!$AR$66:$AR$127,$A68)*$D68+INDEX('TO HOP'!$AS$66:$AS$127,$A68)*($E68+$F68))*(Hbe+Hcot+hxm+hgoi))</f>
        <v>20851.148988648485</v>
      </c>
      <c r="J68" s="39">
        <f>IF($H68="","",SUMPRODUCT(INDEX('TO HOP'!$C$66:$AT$127,$A68,0),'TO HOP'!$C$58:$AT$58)-INDEX('TO HOP'!$AD$66:$AD$127,$A68)*'TO HOP'!$AD$58-INDEX('TO HOP'!$AR$66:$AR$127,$A68)*'TO HOP'!$AR$58-INDEX('TO HOP'!$AS$66:$AS$127,$A68)*'TO HOP'!$AS$58+INDEX('TO HOP'!$AD$66:$AD$127,$A68)*$G68+INDEX('TO HOP'!$AR$66:$AR$127,$A68)*$D68+INDEX('TO HOP'!$AS$66:$AS$127,$A68)*($E68+$F68))</f>
        <v>1542.1183676220262</v>
      </c>
      <c r="K68" s="39">
        <f>IF($H68="","",SUMPRODUCT(INDEX('TO HOP'!$C$66:$AT$127,$A68,0),'TO HOP'!$C$62:$AT$62)-INDEX('TO HOP'!$AD$66:$AD$127,$A68)*'TO HOP'!$AD$62-INDEX('TO HOP'!$AR$66:$AR$127,$A68)*'TO HOP'!$AR$62-INDEX('TO HOP'!$AS$66:$AS$127,$A68)*'TO HOP'!$AS$62+(INDEX('TO HOP'!$AD$66:$AD$127,$A68)*$G68+INDEX('TO HOP'!$AR$66:$AR$127,$A68)*$D68+INDEX('TO HOP'!$AS$66:$AS$127,$A68)*($E68+$F68))*(Hcot+hxm+hgoi))</f>
        <v>17766.912253404429</v>
      </c>
      <c r="L68" s="39">
        <f t="shared" si="0"/>
        <v>1542.1183676220262</v>
      </c>
      <c r="M68" s="39">
        <f t="shared" si="1"/>
        <v>20851.148988648485</v>
      </c>
      <c r="N68" s="39">
        <f t="shared" si="2"/>
        <v>1542.1183676220262</v>
      </c>
      <c r="O68" s="39">
        <f t="shared" si="3"/>
        <v>17766.912253404429</v>
      </c>
    </row>
    <row r="69" spans="1:15" x14ac:dyDescent="0.3">
      <c r="A69" s="38">
        <f>'TO HOP'!N147</f>
        <v>17</v>
      </c>
      <c r="B69" s="38" t="str">
        <f>'TO HOP'!B147</f>
        <v>SD I - 1 nhịp 5 làn</v>
      </c>
      <c r="C69" s="38" t="s">
        <v>1200</v>
      </c>
      <c r="D69" s="39">
        <f>'HE GOI'!D18</f>
        <v>-1521.6710398757043</v>
      </c>
      <c r="E69" s="39">
        <f>IF(csmode=1,0,'HE GOI'!D20)</f>
        <v>512.34715147329803</v>
      </c>
      <c r="F69" s="39">
        <f>IF(csmode=1,'HE GOI'!D24,'HE GOI'!D21)</f>
        <v>320.21696967081334</v>
      </c>
      <c r="G69" s="39">
        <f>'HE GOI'!D22</f>
        <v>1034.6545125000002</v>
      </c>
      <c r="H69" s="39">
        <f>IF(OR($A69=0,NOT(ISNUMBER($D69)),NOT(ISNUMBER($E69)),NOT(ISNUMBER($F69))),"",SUMPRODUCT(INDEX('TO HOP'!$C$66:$AT$127,$A69,0),'TO HOP'!$C$53:$AT$53)-INDEX('TO HOP'!$AD$66:$AD$127,$A69)*'TO HOP'!$AD$53-INDEX('TO HOP'!$AR$66:$AR$127,$A69)*'TO HOP'!$AR$53-INDEX('TO HOP'!$AS$66:$AS$127,$A69)*'TO HOP'!$AS$53+INDEX('TO HOP'!$AD$66:$AD$127,$A69)*$G69+INDEX('TO HOP'!$AR$66:$AR$127,$A69)*$D69+INDEX('TO HOP'!$AS$66:$AS$127,$A69)*($E69+$F69))</f>
        <v>706.41904376840739</v>
      </c>
      <c r="I69" s="39">
        <f>IF($H69="","",SUMPRODUCT(INDEX('TO HOP'!$C$66:$AT$127,$A69,0),'TO HOP'!$C$57:$AT$57)-INDEX('TO HOP'!$AD$66:$AD$127,$A69)*'TO HOP'!$AD$57-INDEX('TO HOP'!$AR$66:$AR$127,$A69)*'TO HOP'!$AR$57-INDEX('TO HOP'!$AS$66:$AS$127,$A69)*'TO HOP'!$AS$57+(INDEX('TO HOP'!$AD$66:$AD$127,$A69)*$G69+INDEX('TO HOP'!$AR$66:$AR$127,$A69)*$D69+INDEX('TO HOP'!$AS$66:$AS$127,$A69)*($E69+$F69))*(Hbe+Hcot+hxm+hgoi))</f>
        <v>10924.455390726045</v>
      </c>
      <c r="J69" s="39">
        <f>IF($H69="","",SUMPRODUCT(INDEX('TO HOP'!$C$66:$AT$127,$A69,0),'TO HOP'!$C$58:$AT$58)-INDEX('TO HOP'!$AD$66:$AD$127,$A69)*'TO HOP'!$AD$58-INDEX('TO HOP'!$AR$66:$AR$127,$A69)*'TO HOP'!$AR$58-INDEX('TO HOP'!$AS$66:$AS$127,$A69)*'TO HOP'!$AS$58+INDEX('TO HOP'!$AD$66:$AD$127,$A69)*$G69+INDEX('TO HOP'!$AR$66:$AR$127,$A69)*$D69+INDEX('TO HOP'!$AS$66:$AS$127,$A69)*($E69+$F69))</f>
        <v>706.41904376840739</v>
      </c>
      <c r="K69" s="39">
        <f>IF($H69="","",SUMPRODUCT(INDEX('TO HOP'!$C$66:$AT$127,$A69,0),'TO HOP'!$C$62:$AT$62)-INDEX('TO HOP'!$AD$66:$AD$127,$A69)*'TO HOP'!$AD$62-INDEX('TO HOP'!$AR$66:$AR$127,$A69)*'TO HOP'!$AR$62-INDEX('TO HOP'!$AS$66:$AS$127,$A69)*'TO HOP'!$AS$62+(INDEX('TO HOP'!$AD$66:$AD$127,$A69)*$G69+INDEX('TO HOP'!$AR$66:$AR$127,$A69)*$D69+INDEX('TO HOP'!$AS$66:$AS$127,$A69)*($E69+$F69))*(Hcot+hxm+hgoi))</f>
        <v>9511.6173031892267</v>
      </c>
      <c r="L69" s="39">
        <f t="shared" ref="L69:L132" si="4">IF(H69="","",ABS(H69))</f>
        <v>706.41904376840739</v>
      </c>
      <c r="M69" s="39">
        <f t="shared" ref="M69:M132" si="5">IF(I69="","",ABS(I69))</f>
        <v>10924.455390726045</v>
      </c>
      <c r="N69" s="39">
        <f t="shared" ref="N69:N132" si="6">IF(J69="","",ABS(J69))</f>
        <v>706.41904376840739</v>
      </c>
      <c r="O69" s="39">
        <f t="shared" ref="O69:O132" si="7">IF(K69="","",ABS(K69))</f>
        <v>9511.6173031892267</v>
      </c>
    </row>
    <row r="70" spans="1:15" x14ac:dyDescent="0.3">
      <c r="A70" s="38">
        <f>'TO HOP'!N147</f>
        <v>17</v>
      </c>
      <c r="B70" s="38" t="str">
        <f>'TO HOP'!B147</f>
        <v>SD I - 1 nhịp 5 làn</v>
      </c>
      <c r="C70" s="38" t="s">
        <v>1201</v>
      </c>
      <c r="D70" s="39">
        <f>'HE GOI'!D18</f>
        <v>-1521.6710398757043</v>
      </c>
      <c r="E70" s="39">
        <f>IF(csmode=1,0,'HE GOI'!D20)</f>
        <v>512.34715147329803</v>
      </c>
      <c r="F70" s="39">
        <f>IF(csmode=1,'HE GOI'!D24,'HE GOI'!D21)</f>
        <v>320.21696967081334</v>
      </c>
      <c r="G70" s="39">
        <f>'HE GOI'!D23</f>
        <v>-1034.6545125000002</v>
      </c>
      <c r="H70" s="39">
        <f>IF(OR($A70=0,NOT(ISNUMBER($D70)),NOT(ISNUMBER($E70)),NOT(ISNUMBER($F70))),"",SUMPRODUCT(INDEX('TO HOP'!$C$66:$AT$127,$A70,0),'TO HOP'!$C$53:$AT$53)-INDEX('TO HOP'!$AD$66:$AD$127,$A70)*'TO HOP'!$AD$53-INDEX('TO HOP'!$AR$66:$AR$127,$A70)*'TO HOP'!$AR$53-INDEX('TO HOP'!$AS$66:$AS$127,$A70)*'TO HOP'!$AS$53+INDEX('TO HOP'!$AD$66:$AD$127,$A70)*$G70+INDEX('TO HOP'!$AR$66:$AR$127,$A70)*$D70+INDEX('TO HOP'!$AS$66:$AS$127,$A70)*($E70+$F70))</f>
        <v>-1362.8899812315933</v>
      </c>
      <c r="I70" s="39">
        <f>IF($H70="","",SUMPRODUCT(INDEX('TO HOP'!$C$66:$AT$127,$A70,0),'TO HOP'!$C$57:$AT$57)-INDEX('TO HOP'!$AD$66:$AD$127,$A70)*'TO HOP'!$AD$57-INDEX('TO HOP'!$AR$66:$AR$127,$A70)*'TO HOP'!$AR$57-INDEX('TO HOP'!$AS$66:$AS$127,$A70)*'TO HOP'!$AS$57+(INDEX('TO HOP'!$AD$66:$AD$127,$A70)*$G70+INDEX('TO HOP'!$AR$66:$AR$127,$A70)*$D70+INDEX('TO HOP'!$AS$66:$AS$127,$A70)*($E70+$F70))*(Hbe+Hcot+hxm+hgoi))</f>
        <v>-14486.659436273962</v>
      </c>
      <c r="J70" s="39">
        <f>IF($H70="","",SUMPRODUCT(INDEX('TO HOP'!$C$66:$AT$127,$A70,0),'TO HOP'!$C$58:$AT$58)-INDEX('TO HOP'!$AD$66:$AD$127,$A70)*'TO HOP'!$AD$58-INDEX('TO HOP'!$AR$66:$AR$127,$A70)*'TO HOP'!$AR$58-INDEX('TO HOP'!$AS$66:$AS$127,$A70)*'TO HOP'!$AS$58+INDEX('TO HOP'!$AD$66:$AD$127,$A70)*$G70+INDEX('TO HOP'!$AR$66:$AR$127,$A70)*$D70+INDEX('TO HOP'!$AS$66:$AS$127,$A70)*($E70+$F70))</f>
        <v>-1362.8899812315933</v>
      </c>
      <c r="K70" s="39">
        <f>IF($H70="","",SUMPRODUCT(INDEX('TO HOP'!$C$66:$AT$127,$A70,0),'TO HOP'!$C$62:$AT$62)-INDEX('TO HOP'!$AD$66:$AD$127,$A70)*'TO HOP'!$AD$62-INDEX('TO HOP'!$AR$66:$AR$127,$A70)*'TO HOP'!$AR$62-INDEX('TO HOP'!$AS$66:$AS$127,$A70)*'TO HOP'!$AS$62+(INDEX('TO HOP'!$AD$66:$AD$127,$A70)*$G70+INDEX('TO HOP'!$AR$66:$AR$127,$A70)*$D70+INDEX('TO HOP'!$AS$66:$AS$127,$A70)*($E70+$F70))*(Hcot+hxm+hgoi))</f>
        <v>-11760.879473810779</v>
      </c>
      <c r="L70" s="39">
        <f t="shared" si="4"/>
        <v>1362.8899812315933</v>
      </c>
      <c r="M70" s="39">
        <f t="shared" si="5"/>
        <v>14486.659436273962</v>
      </c>
      <c r="N70" s="39">
        <f t="shared" si="6"/>
        <v>1362.8899812315933</v>
      </c>
      <c r="O70" s="39">
        <f t="shared" si="7"/>
        <v>11760.879473810779</v>
      </c>
    </row>
    <row r="71" spans="1:15" x14ac:dyDescent="0.3">
      <c r="A71" s="38">
        <f>'TO HOP'!N147</f>
        <v>17</v>
      </c>
      <c r="B71" s="38" t="str">
        <f>'TO HOP'!B147</f>
        <v>SD I - 1 nhịp 5 làn</v>
      </c>
      <c r="C71" s="38" t="s">
        <v>1202</v>
      </c>
      <c r="D71" s="39">
        <f>'HE GOI'!D19</f>
        <v>1383.337308977915</v>
      </c>
      <c r="E71" s="39">
        <f>IF(csmode=1,0,'HE GOI'!D20)</f>
        <v>512.34715147329803</v>
      </c>
      <c r="F71" s="39">
        <f>IF(csmode=1,'HE GOI'!D24,'HE GOI'!D21)</f>
        <v>320.21696967081334</v>
      </c>
      <c r="G71" s="39">
        <f>'HE GOI'!D22</f>
        <v>1034.6545125000002</v>
      </c>
      <c r="H71" s="39">
        <f>IF(OR($A71=0,NOT(ISNUMBER($D71)),NOT(ISNUMBER($E71)),NOT(ISNUMBER($F71))),"",SUMPRODUCT(INDEX('TO HOP'!$C$66:$AT$127,$A71,0),'TO HOP'!$C$53:$AT$53)-INDEX('TO HOP'!$AD$66:$AD$127,$A71)*'TO HOP'!$AD$53-INDEX('TO HOP'!$AR$66:$AR$127,$A71)*'TO HOP'!$AR$53-INDEX('TO HOP'!$AS$66:$AS$127,$A71)*'TO HOP'!$AS$53+INDEX('TO HOP'!$AD$66:$AD$127,$A71)*$G71+INDEX('TO HOP'!$AR$66:$AR$127,$A71)*$D71+INDEX('TO HOP'!$AS$66:$AS$127,$A71)*($E71+$F71))</f>
        <v>3611.4273926220267</v>
      </c>
      <c r="I71" s="39">
        <f>IF($H71="","",SUMPRODUCT(INDEX('TO HOP'!$C$66:$AT$127,$A71,0),'TO HOP'!$C$57:$AT$57)-INDEX('TO HOP'!$AD$66:$AD$127,$A71)*'TO HOP'!$AD$57-INDEX('TO HOP'!$AR$66:$AR$127,$A71)*'TO HOP'!$AR$57-INDEX('TO HOP'!$AS$66:$AS$127,$A71)*'TO HOP'!$AS$57+(INDEX('TO HOP'!$AD$66:$AD$127,$A71)*$G71+INDEX('TO HOP'!$AR$66:$AR$127,$A71)*$D71+INDEX('TO HOP'!$AS$66:$AS$127,$A71)*($E71+$F71))*(Hbe+Hcot+hxm+hgoi))</f>
        <v>46597.957914648498</v>
      </c>
      <c r="J71" s="39">
        <f>IF($H71="","",SUMPRODUCT(INDEX('TO HOP'!$C$66:$AT$127,$A71,0),'TO HOP'!$C$58:$AT$58)-INDEX('TO HOP'!$AD$66:$AD$127,$A71)*'TO HOP'!$AD$58-INDEX('TO HOP'!$AR$66:$AR$127,$A71)*'TO HOP'!$AR$58-INDEX('TO HOP'!$AS$66:$AS$127,$A71)*'TO HOP'!$AS$58+INDEX('TO HOP'!$AD$66:$AD$127,$A71)*$G71+INDEX('TO HOP'!$AR$66:$AR$127,$A71)*$D71+INDEX('TO HOP'!$AS$66:$AS$127,$A71)*($E71+$F71))</f>
        <v>3611.4273926220267</v>
      </c>
      <c r="K71" s="39">
        <f>IF($H71="","",SUMPRODUCT(INDEX('TO HOP'!$C$66:$AT$127,$A71,0),'TO HOP'!$C$62:$AT$62)-INDEX('TO HOP'!$AD$66:$AD$127,$A71)*'TO HOP'!$AD$62-INDEX('TO HOP'!$AR$66:$AR$127,$A71)*'TO HOP'!$AR$62-INDEX('TO HOP'!$AS$66:$AS$127,$A71)*'TO HOP'!$AS$62+(INDEX('TO HOP'!$AD$66:$AD$127,$A71)*$G71+INDEX('TO HOP'!$AR$66:$AR$127,$A71)*$D71+INDEX('TO HOP'!$AS$66:$AS$127,$A71)*($E71+$F71))*(Hcot+hxm+hgoi))</f>
        <v>39375.103129404444</v>
      </c>
      <c r="L71" s="39">
        <f t="shared" si="4"/>
        <v>3611.4273926220267</v>
      </c>
      <c r="M71" s="39">
        <f t="shared" si="5"/>
        <v>46597.957914648498</v>
      </c>
      <c r="N71" s="39">
        <f t="shared" si="6"/>
        <v>3611.4273926220267</v>
      </c>
      <c r="O71" s="39">
        <f t="shared" si="7"/>
        <v>39375.103129404444</v>
      </c>
    </row>
    <row r="72" spans="1:15" x14ac:dyDescent="0.3">
      <c r="A72" s="38">
        <f>'TO HOP'!N147</f>
        <v>17</v>
      </c>
      <c r="B72" s="38" t="str">
        <f>'TO HOP'!B147</f>
        <v>SD I - 1 nhịp 5 làn</v>
      </c>
      <c r="C72" s="38" t="s">
        <v>1203</v>
      </c>
      <c r="D72" s="39">
        <f>'HE GOI'!D19</f>
        <v>1383.337308977915</v>
      </c>
      <c r="E72" s="39">
        <f>IF(csmode=1,0,'HE GOI'!D20)</f>
        <v>512.34715147329803</v>
      </c>
      <c r="F72" s="39">
        <f>IF(csmode=1,'HE GOI'!D24,'HE GOI'!D21)</f>
        <v>320.21696967081334</v>
      </c>
      <c r="G72" s="39">
        <f>'HE GOI'!D23</f>
        <v>-1034.6545125000002</v>
      </c>
      <c r="H72" s="39">
        <f>IF(OR($A72=0,NOT(ISNUMBER($D72)),NOT(ISNUMBER($E72)),NOT(ISNUMBER($F72))),"",SUMPRODUCT(INDEX('TO HOP'!$C$66:$AT$127,$A72,0),'TO HOP'!$C$53:$AT$53)-INDEX('TO HOP'!$AD$66:$AD$127,$A72)*'TO HOP'!$AD$53-INDEX('TO HOP'!$AR$66:$AR$127,$A72)*'TO HOP'!$AR$53-INDEX('TO HOP'!$AS$66:$AS$127,$A72)*'TO HOP'!$AS$53+INDEX('TO HOP'!$AD$66:$AD$127,$A72)*$G72+INDEX('TO HOP'!$AR$66:$AR$127,$A72)*$D72+INDEX('TO HOP'!$AS$66:$AS$127,$A72)*($E72+$F72))</f>
        <v>1542.1183676220262</v>
      </c>
      <c r="I72" s="39">
        <f>IF($H72="","",SUMPRODUCT(INDEX('TO HOP'!$C$66:$AT$127,$A72,0),'TO HOP'!$C$57:$AT$57)-INDEX('TO HOP'!$AD$66:$AD$127,$A72)*'TO HOP'!$AD$57-INDEX('TO HOP'!$AR$66:$AR$127,$A72)*'TO HOP'!$AR$57-INDEX('TO HOP'!$AS$66:$AS$127,$A72)*'TO HOP'!$AS$57+(INDEX('TO HOP'!$AD$66:$AD$127,$A72)*$G72+INDEX('TO HOP'!$AR$66:$AR$127,$A72)*$D72+INDEX('TO HOP'!$AS$66:$AS$127,$A72)*($E72+$F72))*(Hbe+Hcot+hxm+hgoi))</f>
        <v>21186.843087648485</v>
      </c>
      <c r="J72" s="39">
        <f>IF($H72="","",SUMPRODUCT(INDEX('TO HOP'!$C$66:$AT$127,$A72,0),'TO HOP'!$C$58:$AT$58)-INDEX('TO HOP'!$AD$66:$AD$127,$A72)*'TO HOP'!$AD$58-INDEX('TO HOP'!$AR$66:$AR$127,$A72)*'TO HOP'!$AR$58-INDEX('TO HOP'!$AS$66:$AS$127,$A72)*'TO HOP'!$AS$58+INDEX('TO HOP'!$AD$66:$AD$127,$A72)*$G72+INDEX('TO HOP'!$AR$66:$AR$127,$A72)*$D72+INDEX('TO HOP'!$AS$66:$AS$127,$A72)*($E72+$F72))</f>
        <v>1542.1183676220262</v>
      </c>
      <c r="K72" s="39">
        <f>IF($H72="","",SUMPRODUCT(INDEX('TO HOP'!$C$66:$AT$127,$A72,0),'TO HOP'!$C$62:$AT$62)-INDEX('TO HOP'!$AD$66:$AD$127,$A72)*'TO HOP'!$AD$62-INDEX('TO HOP'!$AR$66:$AR$127,$A72)*'TO HOP'!$AR$62-INDEX('TO HOP'!$AS$66:$AS$127,$A72)*'TO HOP'!$AS$62+(INDEX('TO HOP'!$AD$66:$AD$127,$A72)*$G72+INDEX('TO HOP'!$AR$66:$AR$127,$A72)*$D72+INDEX('TO HOP'!$AS$66:$AS$127,$A72)*($E72+$F72))*(Hcot+hxm+hgoi))</f>
        <v>18102.606352404429</v>
      </c>
      <c r="L72" s="39">
        <f t="shared" si="4"/>
        <v>1542.1183676220262</v>
      </c>
      <c r="M72" s="39">
        <f t="shared" si="5"/>
        <v>21186.843087648485</v>
      </c>
      <c r="N72" s="39">
        <f t="shared" si="6"/>
        <v>1542.1183676220262</v>
      </c>
      <c r="O72" s="39">
        <f t="shared" si="7"/>
        <v>18102.606352404429</v>
      </c>
    </row>
    <row r="73" spans="1:15" x14ac:dyDescent="0.3">
      <c r="A73" s="38">
        <f>'TO HOP'!N148</f>
        <v>18</v>
      </c>
      <c r="B73" s="38" t="str">
        <f>'TO HOP'!B148</f>
        <v>SD I - 1 nhịp 6 làn</v>
      </c>
      <c r="C73" s="38" t="s">
        <v>1200</v>
      </c>
      <c r="D73" s="39">
        <f>'HE GOI'!D18</f>
        <v>-1521.6710398757043</v>
      </c>
      <c r="E73" s="39">
        <f>IF(csmode=1,0,'HE GOI'!D20)</f>
        <v>512.34715147329803</v>
      </c>
      <c r="F73" s="39">
        <f>IF(csmode=1,'HE GOI'!D24,'HE GOI'!D21)</f>
        <v>320.21696967081334</v>
      </c>
      <c r="G73" s="39">
        <f>'HE GOI'!D22</f>
        <v>1034.6545125000002</v>
      </c>
      <c r="H73" s="39">
        <f>IF(OR($A73=0,NOT(ISNUMBER($D73)),NOT(ISNUMBER($E73)),NOT(ISNUMBER($F73))),"",SUMPRODUCT(INDEX('TO HOP'!$C$66:$AT$127,$A73,0),'TO HOP'!$C$53:$AT$53)-INDEX('TO HOP'!$AD$66:$AD$127,$A73)*'TO HOP'!$AD$53-INDEX('TO HOP'!$AR$66:$AR$127,$A73)*'TO HOP'!$AR$53-INDEX('TO HOP'!$AS$66:$AS$127,$A73)*'TO HOP'!$AS$53+INDEX('TO HOP'!$AD$66:$AD$127,$A73)*$G73+INDEX('TO HOP'!$AR$66:$AR$127,$A73)*$D73+INDEX('TO HOP'!$AS$66:$AS$127,$A73)*($E73+$F73))</f>
        <v>706.41904376840739</v>
      </c>
      <c r="I73" s="39">
        <f>IF($H73="","",SUMPRODUCT(INDEX('TO HOP'!$C$66:$AT$127,$A73,0),'TO HOP'!$C$57:$AT$57)-INDEX('TO HOP'!$AD$66:$AD$127,$A73)*'TO HOP'!$AD$57-INDEX('TO HOP'!$AR$66:$AR$127,$A73)*'TO HOP'!$AR$57-INDEX('TO HOP'!$AS$66:$AS$127,$A73)*'TO HOP'!$AS$57+(INDEX('TO HOP'!$AD$66:$AD$127,$A73)*$G73+INDEX('TO HOP'!$AR$66:$AR$127,$A73)*$D73+INDEX('TO HOP'!$AS$66:$AS$127,$A73)*($E73+$F73))*(Hbe+Hcot+hxm+hgoi))</f>
        <v>11260.149489726045</v>
      </c>
      <c r="J73" s="39">
        <f>IF($H73="","",SUMPRODUCT(INDEX('TO HOP'!$C$66:$AT$127,$A73,0),'TO HOP'!$C$58:$AT$58)-INDEX('TO HOP'!$AD$66:$AD$127,$A73)*'TO HOP'!$AD$58-INDEX('TO HOP'!$AR$66:$AR$127,$A73)*'TO HOP'!$AR$58-INDEX('TO HOP'!$AS$66:$AS$127,$A73)*'TO HOP'!$AS$58+INDEX('TO HOP'!$AD$66:$AD$127,$A73)*$G73+INDEX('TO HOP'!$AR$66:$AR$127,$A73)*$D73+INDEX('TO HOP'!$AS$66:$AS$127,$A73)*($E73+$F73))</f>
        <v>706.41904376840739</v>
      </c>
      <c r="K73" s="39">
        <f>IF($H73="","",SUMPRODUCT(INDEX('TO HOP'!$C$66:$AT$127,$A73,0),'TO HOP'!$C$62:$AT$62)-INDEX('TO HOP'!$AD$66:$AD$127,$A73)*'TO HOP'!$AD$62-INDEX('TO HOP'!$AR$66:$AR$127,$A73)*'TO HOP'!$AR$62-INDEX('TO HOP'!$AS$66:$AS$127,$A73)*'TO HOP'!$AS$62+(INDEX('TO HOP'!$AD$66:$AD$127,$A73)*$G73+INDEX('TO HOP'!$AR$66:$AR$127,$A73)*$D73+INDEX('TO HOP'!$AS$66:$AS$127,$A73)*($E73+$F73))*(Hcot+hxm+hgoi))</f>
        <v>9847.311402189227</v>
      </c>
      <c r="L73" s="39">
        <f t="shared" si="4"/>
        <v>706.41904376840739</v>
      </c>
      <c r="M73" s="39">
        <f t="shared" si="5"/>
        <v>11260.149489726045</v>
      </c>
      <c r="N73" s="39">
        <f t="shared" si="6"/>
        <v>706.41904376840739</v>
      </c>
      <c r="O73" s="39">
        <f t="shared" si="7"/>
        <v>9847.311402189227</v>
      </c>
    </row>
    <row r="74" spans="1:15" x14ac:dyDescent="0.3">
      <c r="A74" s="38">
        <f>'TO HOP'!N148</f>
        <v>18</v>
      </c>
      <c r="B74" s="38" t="str">
        <f>'TO HOP'!B148</f>
        <v>SD I - 1 nhịp 6 làn</v>
      </c>
      <c r="C74" s="38" t="s">
        <v>1201</v>
      </c>
      <c r="D74" s="39">
        <f>'HE GOI'!D18</f>
        <v>-1521.6710398757043</v>
      </c>
      <c r="E74" s="39">
        <f>IF(csmode=1,0,'HE GOI'!D20)</f>
        <v>512.34715147329803</v>
      </c>
      <c r="F74" s="39">
        <f>IF(csmode=1,'HE GOI'!D24,'HE GOI'!D21)</f>
        <v>320.21696967081334</v>
      </c>
      <c r="G74" s="39">
        <f>'HE GOI'!D23</f>
        <v>-1034.6545125000002</v>
      </c>
      <c r="H74" s="39">
        <f>IF(OR($A74=0,NOT(ISNUMBER($D74)),NOT(ISNUMBER($E74)),NOT(ISNUMBER($F74))),"",SUMPRODUCT(INDEX('TO HOP'!$C$66:$AT$127,$A74,0),'TO HOP'!$C$53:$AT$53)-INDEX('TO HOP'!$AD$66:$AD$127,$A74)*'TO HOP'!$AD$53-INDEX('TO HOP'!$AR$66:$AR$127,$A74)*'TO HOP'!$AR$53-INDEX('TO HOP'!$AS$66:$AS$127,$A74)*'TO HOP'!$AS$53+INDEX('TO HOP'!$AD$66:$AD$127,$A74)*$G74+INDEX('TO HOP'!$AR$66:$AR$127,$A74)*$D74+INDEX('TO HOP'!$AS$66:$AS$127,$A74)*($E74+$F74))</f>
        <v>-1362.8899812315933</v>
      </c>
      <c r="I74" s="39">
        <f>IF($H74="","",SUMPRODUCT(INDEX('TO HOP'!$C$66:$AT$127,$A74,0),'TO HOP'!$C$57:$AT$57)-INDEX('TO HOP'!$AD$66:$AD$127,$A74)*'TO HOP'!$AD$57-INDEX('TO HOP'!$AR$66:$AR$127,$A74)*'TO HOP'!$AR$57-INDEX('TO HOP'!$AS$66:$AS$127,$A74)*'TO HOP'!$AS$57+(INDEX('TO HOP'!$AD$66:$AD$127,$A74)*$G74+INDEX('TO HOP'!$AR$66:$AR$127,$A74)*$D74+INDEX('TO HOP'!$AS$66:$AS$127,$A74)*($E74+$F74))*(Hbe+Hcot+hxm+hgoi))</f>
        <v>-14150.965337273961</v>
      </c>
      <c r="J74" s="39">
        <f>IF($H74="","",SUMPRODUCT(INDEX('TO HOP'!$C$66:$AT$127,$A74,0),'TO HOP'!$C$58:$AT$58)-INDEX('TO HOP'!$AD$66:$AD$127,$A74)*'TO HOP'!$AD$58-INDEX('TO HOP'!$AR$66:$AR$127,$A74)*'TO HOP'!$AR$58-INDEX('TO HOP'!$AS$66:$AS$127,$A74)*'TO HOP'!$AS$58+INDEX('TO HOP'!$AD$66:$AD$127,$A74)*$G74+INDEX('TO HOP'!$AR$66:$AR$127,$A74)*$D74+INDEX('TO HOP'!$AS$66:$AS$127,$A74)*($E74+$F74))</f>
        <v>-1362.8899812315933</v>
      </c>
      <c r="K74" s="39">
        <f>IF($H74="","",SUMPRODUCT(INDEX('TO HOP'!$C$66:$AT$127,$A74,0),'TO HOP'!$C$62:$AT$62)-INDEX('TO HOP'!$AD$66:$AD$127,$A74)*'TO HOP'!$AD$62-INDEX('TO HOP'!$AR$66:$AR$127,$A74)*'TO HOP'!$AR$62-INDEX('TO HOP'!$AS$66:$AS$127,$A74)*'TO HOP'!$AS$62+(INDEX('TO HOP'!$AD$66:$AD$127,$A74)*$G74+INDEX('TO HOP'!$AR$66:$AR$127,$A74)*$D74+INDEX('TO HOP'!$AS$66:$AS$127,$A74)*($E74+$F74))*(Hcot+hxm+hgoi))</f>
        <v>-11425.185374810779</v>
      </c>
      <c r="L74" s="39">
        <f t="shared" si="4"/>
        <v>1362.8899812315933</v>
      </c>
      <c r="M74" s="39">
        <f t="shared" si="5"/>
        <v>14150.965337273961</v>
      </c>
      <c r="N74" s="39">
        <f t="shared" si="6"/>
        <v>1362.8899812315933</v>
      </c>
      <c r="O74" s="39">
        <f t="shared" si="7"/>
        <v>11425.185374810779</v>
      </c>
    </row>
    <row r="75" spans="1:15" x14ac:dyDescent="0.3">
      <c r="A75" s="38">
        <f>'TO HOP'!N148</f>
        <v>18</v>
      </c>
      <c r="B75" s="38" t="str">
        <f>'TO HOP'!B148</f>
        <v>SD I - 1 nhịp 6 làn</v>
      </c>
      <c r="C75" s="38" t="s">
        <v>1202</v>
      </c>
      <c r="D75" s="39">
        <f>'HE GOI'!D19</f>
        <v>1383.337308977915</v>
      </c>
      <c r="E75" s="39">
        <f>IF(csmode=1,0,'HE GOI'!D20)</f>
        <v>512.34715147329803</v>
      </c>
      <c r="F75" s="39">
        <f>IF(csmode=1,'HE GOI'!D24,'HE GOI'!D21)</f>
        <v>320.21696967081334</v>
      </c>
      <c r="G75" s="39">
        <f>'HE GOI'!D22</f>
        <v>1034.6545125000002</v>
      </c>
      <c r="H75" s="39">
        <f>IF(OR($A75=0,NOT(ISNUMBER($D75)),NOT(ISNUMBER($E75)),NOT(ISNUMBER($F75))),"",SUMPRODUCT(INDEX('TO HOP'!$C$66:$AT$127,$A75,0),'TO HOP'!$C$53:$AT$53)-INDEX('TO HOP'!$AD$66:$AD$127,$A75)*'TO HOP'!$AD$53-INDEX('TO HOP'!$AR$66:$AR$127,$A75)*'TO HOP'!$AR$53-INDEX('TO HOP'!$AS$66:$AS$127,$A75)*'TO HOP'!$AS$53+INDEX('TO HOP'!$AD$66:$AD$127,$A75)*$G75+INDEX('TO HOP'!$AR$66:$AR$127,$A75)*$D75+INDEX('TO HOP'!$AS$66:$AS$127,$A75)*($E75+$F75))</f>
        <v>3611.4273926220267</v>
      </c>
      <c r="I75" s="39">
        <f>IF($H75="","",SUMPRODUCT(INDEX('TO HOP'!$C$66:$AT$127,$A75,0),'TO HOP'!$C$57:$AT$57)-INDEX('TO HOP'!$AD$66:$AD$127,$A75)*'TO HOP'!$AD$57-INDEX('TO HOP'!$AR$66:$AR$127,$A75)*'TO HOP'!$AR$57-INDEX('TO HOP'!$AS$66:$AS$127,$A75)*'TO HOP'!$AS$57+(INDEX('TO HOP'!$AD$66:$AD$127,$A75)*$G75+INDEX('TO HOP'!$AR$66:$AR$127,$A75)*$D75+INDEX('TO HOP'!$AS$66:$AS$127,$A75)*($E75+$F75))*(Hbe+Hcot+hxm+hgoi))</f>
        <v>46933.652013648498</v>
      </c>
      <c r="J75" s="39">
        <f>IF($H75="","",SUMPRODUCT(INDEX('TO HOP'!$C$66:$AT$127,$A75,0),'TO HOP'!$C$58:$AT$58)-INDEX('TO HOP'!$AD$66:$AD$127,$A75)*'TO HOP'!$AD$58-INDEX('TO HOP'!$AR$66:$AR$127,$A75)*'TO HOP'!$AR$58-INDEX('TO HOP'!$AS$66:$AS$127,$A75)*'TO HOP'!$AS$58+INDEX('TO HOP'!$AD$66:$AD$127,$A75)*$G75+INDEX('TO HOP'!$AR$66:$AR$127,$A75)*$D75+INDEX('TO HOP'!$AS$66:$AS$127,$A75)*($E75+$F75))</f>
        <v>3611.4273926220267</v>
      </c>
      <c r="K75" s="39">
        <f>IF($H75="","",SUMPRODUCT(INDEX('TO HOP'!$C$66:$AT$127,$A75,0),'TO HOP'!$C$62:$AT$62)-INDEX('TO HOP'!$AD$66:$AD$127,$A75)*'TO HOP'!$AD$62-INDEX('TO HOP'!$AR$66:$AR$127,$A75)*'TO HOP'!$AR$62-INDEX('TO HOP'!$AS$66:$AS$127,$A75)*'TO HOP'!$AS$62+(INDEX('TO HOP'!$AD$66:$AD$127,$A75)*$G75+INDEX('TO HOP'!$AR$66:$AR$127,$A75)*$D75+INDEX('TO HOP'!$AS$66:$AS$127,$A75)*($E75+$F75))*(Hcot+hxm+hgoi))</f>
        <v>39710.797228404444</v>
      </c>
      <c r="L75" s="39">
        <f t="shared" si="4"/>
        <v>3611.4273926220267</v>
      </c>
      <c r="M75" s="39">
        <f t="shared" si="5"/>
        <v>46933.652013648498</v>
      </c>
      <c r="N75" s="39">
        <f t="shared" si="6"/>
        <v>3611.4273926220267</v>
      </c>
      <c r="O75" s="39">
        <f t="shared" si="7"/>
        <v>39710.797228404444</v>
      </c>
    </row>
    <row r="76" spans="1:15" x14ac:dyDescent="0.3">
      <c r="A76" s="38">
        <f>'TO HOP'!N148</f>
        <v>18</v>
      </c>
      <c r="B76" s="38" t="str">
        <f>'TO HOP'!B148</f>
        <v>SD I - 1 nhịp 6 làn</v>
      </c>
      <c r="C76" s="38" t="s">
        <v>1203</v>
      </c>
      <c r="D76" s="39">
        <f>'HE GOI'!D19</f>
        <v>1383.337308977915</v>
      </c>
      <c r="E76" s="39">
        <f>IF(csmode=1,0,'HE GOI'!D20)</f>
        <v>512.34715147329803</v>
      </c>
      <c r="F76" s="39">
        <f>IF(csmode=1,'HE GOI'!D24,'HE GOI'!D21)</f>
        <v>320.21696967081334</v>
      </c>
      <c r="G76" s="39">
        <f>'HE GOI'!D23</f>
        <v>-1034.6545125000002</v>
      </c>
      <c r="H76" s="39">
        <f>IF(OR($A76=0,NOT(ISNUMBER($D76)),NOT(ISNUMBER($E76)),NOT(ISNUMBER($F76))),"",SUMPRODUCT(INDEX('TO HOP'!$C$66:$AT$127,$A76,0),'TO HOP'!$C$53:$AT$53)-INDEX('TO HOP'!$AD$66:$AD$127,$A76)*'TO HOP'!$AD$53-INDEX('TO HOP'!$AR$66:$AR$127,$A76)*'TO HOP'!$AR$53-INDEX('TO HOP'!$AS$66:$AS$127,$A76)*'TO HOP'!$AS$53+INDEX('TO HOP'!$AD$66:$AD$127,$A76)*$G76+INDEX('TO HOP'!$AR$66:$AR$127,$A76)*$D76+INDEX('TO HOP'!$AS$66:$AS$127,$A76)*($E76+$F76))</f>
        <v>1542.1183676220262</v>
      </c>
      <c r="I76" s="39">
        <f>IF($H76="","",SUMPRODUCT(INDEX('TO HOP'!$C$66:$AT$127,$A76,0),'TO HOP'!$C$57:$AT$57)-INDEX('TO HOP'!$AD$66:$AD$127,$A76)*'TO HOP'!$AD$57-INDEX('TO HOP'!$AR$66:$AR$127,$A76)*'TO HOP'!$AR$57-INDEX('TO HOP'!$AS$66:$AS$127,$A76)*'TO HOP'!$AS$57+(INDEX('TO HOP'!$AD$66:$AD$127,$A76)*$G76+INDEX('TO HOP'!$AR$66:$AR$127,$A76)*$D76+INDEX('TO HOP'!$AS$66:$AS$127,$A76)*($E76+$F76))*(Hbe+Hcot+hxm+hgoi))</f>
        <v>21522.537186648486</v>
      </c>
      <c r="J76" s="39">
        <f>IF($H76="","",SUMPRODUCT(INDEX('TO HOP'!$C$66:$AT$127,$A76,0),'TO HOP'!$C$58:$AT$58)-INDEX('TO HOP'!$AD$66:$AD$127,$A76)*'TO HOP'!$AD$58-INDEX('TO HOP'!$AR$66:$AR$127,$A76)*'TO HOP'!$AR$58-INDEX('TO HOP'!$AS$66:$AS$127,$A76)*'TO HOP'!$AS$58+INDEX('TO HOP'!$AD$66:$AD$127,$A76)*$G76+INDEX('TO HOP'!$AR$66:$AR$127,$A76)*$D76+INDEX('TO HOP'!$AS$66:$AS$127,$A76)*($E76+$F76))</f>
        <v>1542.1183676220262</v>
      </c>
      <c r="K76" s="39">
        <f>IF($H76="","",SUMPRODUCT(INDEX('TO HOP'!$C$66:$AT$127,$A76,0),'TO HOP'!$C$62:$AT$62)-INDEX('TO HOP'!$AD$66:$AD$127,$A76)*'TO HOP'!$AD$62-INDEX('TO HOP'!$AR$66:$AR$127,$A76)*'TO HOP'!$AR$62-INDEX('TO HOP'!$AS$66:$AS$127,$A76)*'TO HOP'!$AS$62+(INDEX('TO HOP'!$AD$66:$AD$127,$A76)*$G76+INDEX('TO HOP'!$AR$66:$AR$127,$A76)*$D76+INDEX('TO HOP'!$AS$66:$AS$127,$A76)*($E76+$F76))*(Hcot+hxm+hgoi))</f>
        <v>18438.30045140443</v>
      </c>
      <c r="L76" s="39">
        <f t="shared" si="4"/>
        <v>1542.1183676220262</v>
      </c>
      <c r="M76" s="39">
        <f t="shared" si="5"/>
        <v>21522.537186648486</v>
      </c>
      <c r="N76" s="39">
        <f t="shared" si="6"/>
        <v>1542.1183676220262</v>
      </c>
      <c r="O76" s="39">
        <f t="shared" si="7"/>
        <v>18438.30045140443</v>
      </c>
    </row>
    <row r="77" spans="1:15" x14ac:dyDescent="0.3">
      <c r="A77" s="38">
        <f>'TO HOP'!N149</f>
        <v>19</v>
      </c>
      <c r="B77" s="38" t="str">
        <f>'TO HOP'!B149</f>
        <v>CĐ I(a) max - 2 nhịp lệch tâm 1 làn</v>
      </c>
      <c r="C77" s="38" t="s">
        <v>1200</v>
      </c>
      <c r="D77" s="39">
        <f>'HE GOI'!D18</f>
        <v>-1521.6710398757043</v>
      </c>
      <c r="E77" s="39">
        <f>IF(csmode=1,0,'HE GOI'!D20)</f>
        <v>512.34715147329803</v>
      </c>
      <c r="F77" s="39">
        <f>IF(csmode=1,'HE GOI'!D24,'HE GOI'!D21)</f>
        <v>320.21696967081334</v>
      </c>
      <c r="G77" s="39">
        <f>'HE GOI'!D22</f>
        <v>1034.6545125000002</v>
      </c>
      <c r="H77" s="39">
        <f>IF(OR($A77=0,NOT(ISNUMBER($D77)),NOT(ISNUMBER($E77)),NOT(ISNUMBER($F77))),"",SUMPRODUCT(INDEX('TO HOP'!$C$66:$AT$127,$A77,0),'TO HOP'!$C$53:$AT$53)-INDEX('TO HOP'!$AD$66:$AD$127,$A77)*'TO HOP'!$AD$53-INDEX('TO HOP'!$AR$66:$AR$127,$A77)*'TO HOP'!$AR$53-INDEX('TO HOP'!$AS$66:$AS$127,$A77)*'TO HOP'!$AS$53+INDEX('TO HOP'!$AD$66:$AD$127,$A77)*$G77+INDEX('TO HOP'!$AR$66:$AR$127,$A77)*$D77+INDEX('TO HOP'!$AS$66:$AS$127,$A77)*($E77+$F77))</f>
        <v>1244.6323031342038</v>
      </c>
      <c r="I77" s="39">
        <f>IF($H77="","",SUMPRODUCT(INDEX('TO HOP'!$C$66:$AT$127,$A77,0),'TO HOP'!$C$57:$AT$57)-INDEX('TO HOP'!$AD$66:$AD$127,$A77)*'TO HOP'!$AD$57-INDEX('TO HOP'!$AR$66:$AR$127,$A77)*'TO HOP'!$AR$57-INDEX('TO HOP'!$AS$66:$AS$127,$A77)*'TO HOP'!$AS$57+(INDEX('TO HOP'!$AD$66:$AD$127,$A77)*$G77+INDEX('TO HOP'!$AR$66:$AR$127,$A77)*$D77+INDEX('TO HOP'!$AS$66:$AS$127,$A77)*($E77+$F77))*(Hbe+Hcot+hxm+hgoi))</f>
        <v>16254.514369988025</v>
      </c>
      <c r="J77" s="39">
        <f>IF($H77="","",SUMPRODUCT(INDEX('TO HOP'!$C$66:$AT$127,$A77,0),'TO HOP'!$C$58:$AT$58)-INDEX('TO HOP'!$AD$66:$AD$127,$A77)*'TO HOP'!$AD$58-INDEX('TO HOP'!$AR$66:$AR$127,$A77)*'TO HOP'!$AR$58-INDEX('TO HOP'!$AS$66:$AS$127,$A77)*'TO HOP'!$AS$58+INDEX('TO HOP'!$AD$66:$AD$127,$A77)*$G77+INDEX('TO HOP'!$AR$66:$AR$127,$A77)*$D77+INDEX('TO HOP'!$AS$66:$AS$127,$A77)*($E77+$F77))</f>
        <v>1244.6323031342038</v>
      </c>
      <c r="K77" s="39">
        <f>IF($H77="","",SUMPRODUCT(INDEX('TO HOP'!$C$66:$AT$127,$A77,0),'TO HOP'!$C$62:$AT$62)-INDEX('TO HOP'!$AD$66:$AD$127,$A77)*'TO HOP'!$AD$62-INDEX('TO HOP'!$AR$66:$AR$127,$A77)*'TO HOP'!$AR$62-INDEX('TO HOP'!$AS$66:$AS$127,$A77)*'TO HOP'!$AS$62+(INDEX('TO HOP'!$AD$66:$AD$127,$A77)*$G77+INDEX('TO HOP'!$AR$66:$AR$127,$A77)*$D77+INDEX('TO HOP'!$AS$66:$AS$127,$A77)*($E77+$F77))*(Hcot+hxm+hgoi))</f>
        <v>13765.249763719617</v>
      </c>
      <c r="L77" s="39">
        <f t="shared" si="4"/>
        <v>1244.6323031342038</v>
      </c>
      <c r="M77" s="39">
        <f t="shared" si="5"/>
        <v>16254.514369988025</v>
      </c>
      <c r="N77" s="39">
        <f t="shared" si="6"/>
        <v>1244.6323031342038</v>
      </c>
      <c r="O77" s="39">
        <f t="shared" si="7"/>
        <v>13765.249763719617</v>
      </c>
    </row>
    <row r="78" spans="1:15" x14ac:dyDescent="0.3">
      <c r="A78" s="38">
        <f>'TO HOP'!N149</f>
        <v>19</v>
      </c>
      <c r="B78" s="38" t="str">
        <f>'TO HOP'!B149</f>
        <v>CĐ I(a) max - 2 nhịp lệch tâm 1 làn</v>
      </c>
      <c r="C78" s="38" t="s">
        <v>1201</v>
      </c>
      <c r="D78" s="39">
        <f>'HE GOI'!D18</f>
        <v>-1521.6710398757043</v>
      </c>
      <c r="E78" s="39">
        <f>IF(csmode=1,0,'HE GOI'!D20)</f>
        <v>512.34715147329803</v>
      </c>
      <c r="F78" s="39">
        <f>IF(csmode=1,'HE GOI'!D24,'HE GOI'!D21)</f>
        <v>320.21696967081334</v>
      </c>
      <c r="G78" s="39">
        <f>'HE GOI'!D23</f>
        <v>-1034.6545125000002</v>
      </c>
      <c r="H78" s="39">
        <f>IF(OR($A78=0,NOT(ISNUMBER($D78)),NOT(ISNUMBER($E78)),NOT(ISNUMBER($F78))),"",SUMPRODUCT(INDEX('TO HOP'!$C$66:$AT$127,$A78,0),'TO HOP'!$C$53:$AT$53)-INDEX('TO HOP'!$AD$66:$AD$127,$A78)*'TO HOP'!$AD$53-INDEX('TO HOP'!$AR$66:$AR$127,$A78)*'TO HOP'!$AR$53-INDEX('TO HOP'!$AS$66:$AS$127,$A78)*'TO HOP'!$AS$53+INDEX('TO HOP'!$AD$66:$AD$127,$A78)*$G78+INDEX('TO HOP'!$AR$66:$AR$127,$A78)*$D78+INDEX('TO HOP'!$AS$66:$AS$127,$A78)*($E78+$F78))</f>
        <v>-824.67672186579659</v>
      </c>
      <c r="I78" s="39">
        <f>IF($H78="","",SUMPRODUCT(INDEX('TO HOP'!$C$66:$AT$127,$A78,0),'TO HOP'!$C$57:$AT$57)-INDEX('TO HOP'!$AD$66:$AD$127,$A78)*'TO HOP'!$AD$57-INDEX('TO HOP'!$AR$66:$AR$127,$A78)*'TO HOP'!$AR$57-INDEX('TO HOP'!$AS$66:$AS$127,$A78)*'TO HOP'!$AS$57+(INDEX('TO HOP'!$AD$66:$AD$127,$A78)*$G78+INDEX('TO HOP'!$AR$66:$AR$127,$A78)*$D78+INDEX('TO HOP'!$AS$66:$AS$127,$A78)*($E78+$F78))*(Hbe+Hcot+hxm+hgoi))</f>
        <v>-9156.6004570119821</v>
      </c>
      <c r="J78" s="39">
        <f>IF($H78="","",SUMPRODUCT(INDEX('TO HOP'!$C$66:$AT$127,$A78,0),'TO HOP'!$C$58:$AT$58)-INDEX('TO HOP'!$AD$66:$AD$127,$A78)*'TO HOP'!$AD$58-INDEX('TO HOP'!$AR$66:$AR$127,$A78)*'TO HOP'!$AR$58-INDEX('TO HOP'!$AS$66:$AS$127,$A78)*'TO HOP'!$AS$58+INDEX('TO HOP'!$AD$66:$AD$127,$A78)*$G78+INDEX('TO HOP'!$AR$66:$AR$127,$A78)*$D78+INDEX('TO HOP'!$AS$66:$AS$127,$A78)*($E78+$F78))</f>
        <v>-824.67672186579659</v>
      </c>
      <c r="K78" s="39">
        <f>IF($H78="","",SUMPRODUCT(INDEX('TO HOP'!$C$66:$AT$127,$A78,0),'TO HOP'!$C$62:$AT$62)-INDEX('TO HOP'!$AD$66:$AD$127,$A78)*'TO HOP'!$AD$62-INDEX('TO HOP'!$AR$66:$AR$127,$A78)*'TO HOP'!$AR$62-INDEX('TO HOP'!$AS$66:$AS$127,$A78)*'TO HOP'!$AS$62+(INDEX('TO HOP'!$AD$66:$AD$127,$A78)*$G78+INDEX('TO HOP'!$AR$66:$AR$127,$A78)*$D78+INDEX('TO HOP'!$AS$66:$AS$127,$A78)*($E78+$F78))*(Hcot+hxm+hgoi))</f>
        <v>-7507.2470132803865</v>
      </c>
      <c r="L78" s="39">
        <f t="shared" si="4"/>
        <v>824.67672186579659</v>
      </c>
      <c r="M78" s="39">
        <f t="shared" si="5"/>
        <v>9156.6004570119821</v>
      </c>
      <c r="N78" s="39">
        <f t="shared" si="6"/>
        <v>824.67672186579659</v>
      </c>
      <c r="O78" s="39">
        <f t="shared" si="7"/>
        <v>7507.2470132803865</v>
      </c>
    </row>
    <row r="79" spans="1:15" x14ac:dyDescent="0.3">
      <c r="A79" s="38">
        <f>'TO HOP'!N149</f>
        <v>19</v>
      </c>
      <c r="B79" s="38" t="str">
        <f>'TO HOP'!B149</f>
        <v>CĐ I(a) max - 2 nhịp lệch tâm 1 làn</v>
      </c>
      <c r="C79" s="38" t="s">
        <v>1202</v>
      </c>
      <c r="D79" s="39">
        <f>'HE GOI'!D19</f>
        <v>1383.337308977915</v>
      </c>
      <c r="E79" s="39">
        <f>IF(csmode=1,0,'HE GOI'!D20)</f>
        <v>512.34715147329803</v>
      </c>
      <c r="F79" s="39">
        <f>IF(csmode=1,'HE GOI'!D24,'HE GOI'!D21)</f>
        <v>320.21696967081334</v>
      </c>
      <c r="G79" s="39">
        <f>'HE GOI'!D22</f>
        <v>1034.6545125000002</v>
      </c>
      <c r="H79" s="39">
        <f>IF(OR($A79=0,NOT(ISNUMBER($D79)),NOT(ISNUMBER($E79)),NOT(ISNUMBER($F79))),"",SUMPRODUCT(INDEX('TO HOP'!$C$66:$AT$127,$A79,0),'TO HOP'!$C$53:$AT$53)-INDEX('TO HOP'!$AD$66:$AD$127,$A79)*'TO HOP'!$AD$53-INDEX('TO HOP'!$AR$66:$AR$127,$A79)*'TO HOP'!$AR$53-INDEX('TO HOP'!$AS$66:$AS$127,$A79)*'TO HOP'!$AS$53+INDEX('TO HOP'!$AD$66:$AD$127,$A79)*$G79+INDEX('TO HOP'!$AR$66:$AR$127,$A79)*$D79+INDEX('TO HOP'!$AS$66:$AS$127,$A79)*($E79+$F79))</f>
        <v>2697.1364775610136</v>
      </c>
      <c r="I79" s="39">
        <f>IF($H79="","",SUMPRODUCT(INDEX('TO HOP'!$C$66:$AT$127,$A79,0),'TO HOP'!$C$57:$AT$57)-INDEX('TO HOP'!$AD$66:$AD$127,$A79)*'TO HOP'!$AD$57-INDEX('TO HOP'!$AR$66:$AR$127,$A79)*'TO HOP'!$AR$57-INDEX('TO HOP'!$AS$66:$AS$127,$A79)*'TO HOP'!$AS$57+(INDEX('TO HOP'!$AD$66:$AD$127,$A79)*$G79+INDEX('TO HOP'!$AR$66:$AR$127,$A79)*$D79+INDEX('TO HOP'!$AS$66:$AS$127,$A79)*($E79+$F79))*(Hbe+Hcot+hxm+hgoi))</f>
        <v>34091.265631949253</v>
      </c>
      <c r="J79" s="39">
        <f>IF($H79="","",SUMPRODUCT(INDEX('TO HOP'!$C$66:$AT$127,$A79,0),'TO HOP'!$C$58:$AT$58)-INDEX('TO HOP'!$AD$66:$AD$127,$A79)*'TO HOP'!$AD$58-INDEX('TO HOP'!$AR$66:$AR$127,$A79)*'TO HOP'!$AR$58-INDEX('TO HOP'!$AS$66:$AS$127,$A79)*'TO HOP'!$AS$58+INDEX('TO HOP'!$AD$66:$AD$127,$A79)*$G79+INDEX('TO HOP'!$AR$66:$AR$127,$A79)*$D79+INDEX('TO HOP'!$AS$66:$AS$127,$A79)*($E79+$F79))</f>
        <v>2697.1364775610136</v>
      </c>
      <c r="K79" s="39">
        <f>IF($H79="","",SUMPRODUCT(INDEX('TO HOP'!$C$66:$AT$127,$A79,0),'TO HOP'!$C$62:$AT$62)-INDEX('TO HOP'!$AD$66:$AD$127,$A79)*'TO HOP'!$AD$62-INDEX('TO HOP'!$AR$66:$AR$127,$A79)*'TO HOP'!$AR$62-INDEX('TO HOP'!$AS$66:$AS$127,$A79)*'TO HOP'!$AS$62+(INDEX('TO HOP'!$AD$66:$AD$127,$A79)*$G79+INDEX('TO HOP'!$AR$66:$AR$127,$A79)*$D79+INDEX('TO HOP'!$AS$66:$AS$127,$A79)*($E79+$F79))*(Hcot+hxm+hgoi))</f>
        <v>28696.992676827227</v>
      </c>
      <c r="L79" s="39">
        <f t="shared" si="4"/>
        <v>2697.1364775610136</v>
      </c>
      <c r="M79" s="39">
        <f t="shared" si="5"/>
        <v>34091.265631949253</v>
      </c>
      <c r="N79" s="39">
        <f t="shared" si="6"/>
        <v>2697.1364775610136</v>
      </c>
      <c r="O79" s="39">
        <f t="shared" si="7"/>
        <v>28696.992676827227</v>
      </c>
    </row>
    <row r="80" spans="1:15" x14ac:dyDescent="0.3">
      <c r="A80" s="38">
        <f>'TO HOP'!N149</f>
        <v>19</v>
      </c>
      <c r="B80" s="38" t="str">
        <f>'TO HOP'!B149</f>
        <v>CĐ I(a) max - 2 nhịp lệch tâm 1 làn</v>
      </c>
      <c r="C80" s="38" t="s">
        <v>1203</v>
      </c>
      <c r="D80" s="39">
        <f>'HE GOI'!D19</f>
        <v>1383.337308977915</v>
      </c>
      <c r="E80" s="39">
        <f>IF(csmode=1,0,'HE GOI'!D20)</f>
        <v>512.34715147329803</v>
      </c>
      <c r="F80" s="39">
        <f>IF(csmode=1,'HE GOI'!D24,'HE GOI'!D21)</f>
        <v>320.21696967081334</v>
      </c>
      <c r="G80" s="39">
        <f>'HE GOI'!D23</f>
        <v>-1034.6545125000002</v>
      </c>
      <c r="H80" s="39">
        <f>IF(OR($A80=0,NOT(ISNUMBER($D80)),NOT(ISNUMBER($E80)),NOT(ISNUMBER($F80))),"",SUMPRODUCT(INDEX('TO HOP'!$C$66:$AT$127,$A80,0),'TO HOP'!$C$53:$AT$53)-INDEX('TO HOP'!$AD$66:$AD$127,$A80)*'TO HOP'!$AD$53-INDEX('TO HOP'!$AR$66:$AR$127,$A80)*'TO HOP'!$AR$53-INDEX('TO HOP'!$AS$66:$AS$127,$A80)*'TO HOP'!$AS$53+INDEX('TO HOP'!$AD$66:$AD$127,$A80)*$G80+INDEX('TO HOP'!$AR$66:$AR$127,$A80)*$D80+INDEX('TO HOP'!$AS$66:$AS$127,$A80)*($E80+$F80))</f>
        <v>627.82745256101293</v>
      </c>
      <c r="I80" s="39">
        <f>IF($H80="","",SUMPRODUCT(INDEX('TO HOP'!$C$66:$AT$127,$A80,0),'TO HOP'!$C$57:$AT$57)-INDEX('TO HOP'!$AD$66:$AD$127,$A80)*'TO HOP'!$AD$57-INDEX('TO HOP'!$AR$66:$AR$127,$A80)*'TO HOP'!$AR$57-INDEX('TO HOP'!$AS$66:$AS$127,$A80)*'TO HOP'!$AS$57+(INDEX('TO HOP'!$AD$66:$AD$127,$A80)*$G80+INDEX('TO HOP'!$AR$66:$AR$127,$A80)*$D80+INDEX('TO HOP'!$AS$66:$AS$127,$A80)*($E80+$F80))*(Hbe+Hcot+hxm+hgoi))</f>
        <v>8680.1508049492404</v>
      </c>
      <c r="J80" s="39">
        <f>IF($H80="","",SUMPRODUCT(INDEX('TO HOP'!$C$66:$AT$127,$A80,0),'TO HOP'!$C$58:$AT$58)-INDEX('TO HOP'!$AD$66:$AD$127,$A80)*'TO HOP'!$AD$58-INDEX('TO HOP'!$AR$66:$AR$127,$A80)*'TO HOP'!$AR$58-INDEX('TO HOP'!$AS$66:$AS$127,$A80)*'TO HOP'!$AS$58+INDEX('TO HOP'!$AD$66:$AD$127,$A80)*$G80+INDEX('TO HOP'!$AR$66:$AR$127,$A80)*$D80+INDEX('TO HOP'!$AS$66:$AS$127,$A80)*($E80+$F80))</f>
        <v>627.82745256101293</v>
      </c>
      <c r="K80" s="39">
        <f>IF($H80="","",SUMPRODUCT(INDEX('TO HOP'!$C$66:$AT$127,$A80,0),'TO HOP'!$C$62:$AT$62)-INDEX('TO HOP'!$AD$66:$AD$127,$A80)*'TO HOP'!$AD$62-INDEX('TO HOP'!$AR$66:$AR$127,$A80)*'TO HOP'!$AR$62-INDEX('TO HOP'!$AS$66:$AS$127,$A80)*'TO HOP'!$AS$62+(INDEX('TO HOP'!$AD$66:$AD$127,$A80)*$G80+INDEX('TO HOP'!$AR$66:$AR$127,$A80)*$D80+INDEX('TO HOP'!$AS$66:$AS$127,$A80)*($E80+$F80))*(Hcot+hxm+hgoi))</f>
        <v>7424.4958998272159</v>
      </c>
      <c r="L80" s="39">
        <f t="shared" si="4"/>
        <v>627.82745256101293</v>
      </c>
      <c r="M80" s="39">
        <f t="shared" si="5"/>
        <v>8680.1508049492404</v>
      </c>
      <c r="N80" s="39">
        <f t="shared" si="6"/>
        <v>627.82745256101293</v>
      </c>
      <c r="O80" s="39">
        <f t="shared" si="7"/>
        <v>7424.4958998272159</v>
      </c>
    </row>
    <row r="81" spans="1:15" x14ac:dyDescent="0.3">
      <c r="A81" s="38">
        <f>'TO HOP'!N150</f>
        <v>20</v>
      </c>
      <c r="B81" s="38" t="str">
        <f>'TO HOP'!B150</f>
        <v>CĐ I(a) max - 2 nhịp lệch tâm 2 làn</v>
      </c>
      <c r="C81" s="38" t="s">
        <v>1200</v>
      </c>
      <c r="D81" s="39">
        <f>'HE GOI'!D18</f>
        <v>-1521.6710398757043</v>
      </c>
      <c r="E81" s="39">
        <f>IF(csmode=1,0,'HE GOI'!D20)</f>
        <v>512.34715147329803</v>
      </c>
      <c r="F81" s="39">
        <f>IF(csmode=1,'HE GOI'!D24,'HE GOI'!D21)</f>
        <v>320.21696967081334</v>
      </c>
      <c r="G81" s="39">
        <f>'HE GOI'!D22</f>
        <v>1034.6545125000002</v>
      </c>
      <c r="H81" s="39">
        <f>IF(OR($A81=0,NOT(ISNUMBER($D81)),NOT(ISNUMBER($E81)),NOT(ISNUMBER($F81))),"",SUMPRODUCT(INDEX('TO HOP'!$C$66:$AT$127,$A81,0),'TO HOP'!$C$53:$AT$53)-INDEX('TO HOP'!$AD$66:$AD$127,$A81)*'TO HOP'!$AD$53-INDEX('TO HOP'!$AR$66:$AR$127,$A81)*'TO HOP'!$AR$53-INDEX('TO HOP'!$AS$66:$AS$127,$A81)*'TO HOP'!$AS$53+INDEX('TO HOP'!$AD$66:$AD$127,$A81)*$G81+INDEX('TO HOP'!$AR$66:$AR$127,$A81)*$D81+INDEX('TO HOP'!$AS$66:$AS$127,$A81)*($E81+$F81))</f>
        <v>1244.6323031342038</v>
      </c>
      <c r="I81" s="39">
        <f>IF($H81="","",SUMPRODUCT(INDEX('TO HOP'!$C$66:$AT$127,$A81,0),'TO HOP'!$C$57:$AT$57)-INDEX('TO HOP'!$AD$66:$AD$127,$A81)*'TO HOP'!$AD$57-INDEX('TO HOP'!$AR$66:$AR$127,$A81)*'TO HOP'!$AR$57-INDEX('TO HOP'!$AS$66:$AS$127,$A81)*'TO HOP'!$AS$57+(INDEX('TO HOP'!$AD$66:$AD$127,$A81)*$G81+INDEX('TO HOP'!$AR$66:$AR$127,$A81)*$D81+INDEX('TO HOP'!$AS$66:$AS$127,$A81)*($E81+$F81))*(Hbe+Hcot+hxm+hgoi))</f>
        <v>16254.514369988025</v>
      </c>
      <c r="J81" s="39">
        <f>IF($H81="","",SUMPRODUCT(INDEX('TO HOP'!$C$66:$AT$127,$A81,0),'TO HOP'!$C$58:$AT$58)-INDEX('TO HOP'!$AD$66:$AD$127,$A81)*'TO HOP'!$AD$58-INDEX('TO HOP'!$AR$66:$AR$127,$A81)*'TO HOP'!$AR$58-INDEX('TO HOP'!$AS$66:$AS$127,$A81)*'TO HOP'!$AS$58+INDEX('TO HOP'!$AD$66:$AD$127,$A81)*$G81+INDEX('TO HOP'!$AR$66:$AR$127,$A81)*$D81+INDEX('TO HOP'!$AS$66:$AS$127,$A81)*($E81+$F81))</f>
        <v>1244.6323031342038</v>
      </c>
      <c r="K81" s="39">
        <f>IF($H81="","",SUMPRODUCT(INDEX('TO HOP'!$C$66:$AT$127,$A81,0),'TO HOP'!$C$62:$AT$62)-INDEX('TO HOP'!$AD$66:$AD$127,$A81)*'TO HOP'!$AD$62-INDEX('TO HOP'!$AR$66:$AR$127,$A81)*'TO HOP'!$AR$62-INDEX('TO HOP'!$AS$66:$AS$127,$A81)*'TO HOP'!$AS$62+(INDEX('TO HOP'!$AD$66:$AD$127,$A81)*$G81+INDEX('TO HOP'!$AR$66:$AR$127,$A81)*$D81+INDEX('TO HOP'!$AS$66:$AS$127,$A81)*($E81+$F81))*(Hcot+hxm+hgoi))</f>
        <v>13765.249763719617</v>
      </c>
      <c r="L81" s="39">
        <f t="shared" si="4"/>
        <v>1244.6323031342038</v>
      </c>
      <c r="M81" s="39">
        <f t="shared" si="5"/>
        <v>16254.514369988025</v>
      </c>
      <c r="N81" s="39">
        <f t="shared" si="6"/>
        <v>1244.6323031342038</v>
      </c>
      <c r="O81" s="39">
        <f t="shared" si="7"/>
        <v>13765.249763719617</v>
      </c>
    </row>
    <row r="82" spans="1:15" x14ac:dyDescent="0.3">
      <c r="A82" s="38">
        <f>'TO HOP'!N150</f>
        <v>20</v>
      </c>
      <c r="B82" s="38" t="str">
        <f>'TO HOP'!B150</f>
        <v>CĐ I(a) max - 2 nhịp lệch tâm 2 làn</v>
      </c>
      <c r="C82" s="38" t="s">
        <v>1201</v>
      </c>
      <c r="D82" s="39">
        <f>'HE GOI'!D18</f>
        <v>-1521.6710398757043</v>
      </c>
      <c r="E82" s="39">
        <f>IF(csmode=1,0,'HE GOI'!D20)</f>
        <v>512.34715147329803</v>
      </c>
      <c r="F82" s="39">
        <f>IF(csmode=1,'HE GOI'!D24,'HE GOI'!D21)</f>
        <v>320.21696967081334</v>
      </c>
      <c r="G82" s="39">
        <f>'HE GOI'!D23</f>
        <v>-1034.6545125000002</v>
      </c>
      <c r="H82" s="39">
        <f>IF(OR($A82=0,NOT(ISNUMBER($D82)),NOT(ISNUMBER($E82)),NOT(ISNUMBER($F82))),"",SUMPRODUCT(INDEX('TO HOP'!$C$66:$AT$127,$A82,0),'TO HOP'!$C$53:$AT$53)-INDEX('TO HOP'!$AD$66:$AD$127,$A82)*'TO HOP'!$AD$53-INDEX('TO HOP'!$AR$66:$AR$127,$A82)*'TO HOP'!$AR$53-INDEX('TO HOP'!$AS$66:$AS$127,$A82)*'TO HOP'!$AS$53+INDEX('TO HOP'!$AD$66:$AD$127,$A82)*$G82+INDEX('TO HOP'!$AR$66:$AR$127,$A82)*$D82+INDEX('TO HOP'!$AS$66:$AS$127,$A82)*($E82+$F82))</f>
        <v>-824.67672186579659</v>
      </c>
      <c r="I82" s="39">
        <f>IF($H82="","",SUMPRODUCT(INDEX('TO HOP'!$C$66:$AT$127,$A82,0),'TO HOP'!$C$57:$AT$57)-INDEX('TO HOP'!$AD$66:$AD$127,$A82)*'TO HOP'!$AD$57-INDEX('TO HOP'!$AR$66:$AR$127,$A82)*'TO HOP'!$AR$57-INDEX('TO HOP'!$AS$66:$AS$127,$A82)*'TO HOP'!$AS$57+(INDEX('TO HOP'!$AD$66:$AD$127,$A82)*$G82+INDEX('TO HOP'!$AR$66:$AR$127,$A82)*$D82+INDEX('TO HOP'!$AS$66:$AS$127,$A82)*($E82+$F82))*(Hbe+Hcot+hxm+hgoi))</f>
        <v>-9156.6004570119821</v>
      </c>
      <c r="J82" s="39">
        <f>IF($H82="","",SUMPRODUCT(INDEX('TO HOP'!$C$66:$AT$127,$A82,0),'TO HOP'!$C$58:$AT$58)-INDEX('TO HOP'!$AD$66:$AD$127,$A82)*'TO HOP'!$AD$58-INDEX('TO HOP'!$AR$66:$AR$127,$A82)*'TO HOP'!$AR$58-INDEX('TO HOP'!$AS$66:$AS$127,$A82)*'TO HOP'!$AS$58+INDEX('TO HOP'!$AD$66:$AD$127,$A82)*$G82+INDEX('TO HOP'!$AR$66:$AR$127,$A82)*$D82+INDEX('TO HOP'!$AS$66:$AS$127,$A82)*($E82+$F82))</f>
        <v>-824.67672186579659</v>
      </c>
      <c r="K82" s="39">
        <f>IF($H82="","",SUMPRODUCT(INDEX('TO HOP'!$C$66:$AT$127,$A82,0),'TO HOP'!$C$62:$AT$62)-INDEX('TO HOP'!$AD$66:$AD$127,$A82)*'TO HOP'!$AD$62-INDEX('TO HOP'!$AR$66:$AR$127,$A82)*'TO HOP'!$AR$62-INDEX('TO HOP'!$AS$66:$AS$127,$A82)*'TO HOP'!$AS$62+(INDEX('TO HOP'!$AD$66:$AD$127,$A82)*$G82+INDEX('TO HOP'!$AR$66:$AR$127,$A82)*$D82+INDEX('TO HOP'!$AS$66:$AS$127,$A82)*($E82+$F82))*(Hcot+hxm+hgoi))</f>
        <v>-7507.2470132803865</v>
      </c>
      <c r="L82" s="39">
        <f t="shared" si="4"/>
        <v>824.67672186579659</v>
      </c>
      <c r="M82" s="39">
        <f t="shared" si="5"/>
        <v>9156.6004570119821</v>
      </c>
      <c r="N82" s="39">
        <f t="shared" si="6"/>
        <v>824.67672186579659</v>
      </c>
      <c r="O82" s="39">
        <f t="shared" si="7"/>
        <v>7507.2470132803865</v>
      </c>
    </row>
    <row r="83" spans="1:15" x14ac:dyDescent="0.3">
      <c r="A83" s="38">
        <f>'TO HOP'!N150</f>
        <v>20</v>
      </c>
      <c r="B83" s="38" t="str">
        <f>'TO HOP'!B150</f>
        <v>CĐ I(a) max - 2 nhịp lệch tâm 2 làn</v>
      </c>
      <c r="C83" s="38" t="s">
        <v>1202</v>
      </c>
      <c r="D83" s="39">
        <f>'HE GOI'!D19</f>
        <v>1383.337308977915</v>
      </c>
      <c r="E83" s="39">
        <f>IF(csmode=1,0,'HE GOI'!D20)</f>
        <v>512.34715147329803</v>
      </c>
      <c r="F83" s="39">
        <f>IF(csmode=1,'HE GOI'!D24,'HE GOI'!D21)</f>
        <v>320.21696967081334</v>
      </c>
      <c r="G83" s="39">
        <f>'HE GOI'!D22</f>
        <v>1034.6545125000002</v>
      </c>
      <c r="H83" s="39">
        <f>IF(OR($A83=0,NOT(ISNUMBER($D83)),NOT(ISNUMBER($E83)),NOT(ISNUMBER($F83))),"",SUMPRODUCT(INDEX('TO HOP'!$C$66:$AT$127,$A83,0),'TO HOP'!$C$53:$AT$53)-INDEX('TO HOP'!$AD$66:$AD$127,$A83)*'TO HOP'!$AD$53-INDEX('TO HOP'!$AR$66:$AR$127,$A83)*'TO HOP'!$AR$53-INDEX('TO HOP'!$AS$66:$AS$127,$A83)*'TO HOP'!$AS$53+INDEX('TO HOP'!$AD$66:$AD$127,$A83)*$G83+INDEX('TO HOP'!$AR$66:$AR$127,$A83)*$D83+INDEX('TO HOP'!$AS$66:$AS$127,$A83)*($E83+$F83))</f>
        <v>2697.1364775610136</v>
      </c>
      <c r="I83" s="39">
        <f>IF($H83="","",SUMPRODUCT(INDEX('TO HOP'!$C$66:$AT$127,$A83,0),'TO HOP'!$C$57:$AT$57)-INDEX('TO HOP'!$AD$66:$AD$127,$A83)*'TO HOP'!$AD$57-INDEX('TO HOP'!$AR$66:$AR$127,$A83)*'TO HOP'!$AR$57-INDEX('TO HOP'!$AS$66:$AS$127,$A83)*'TO HOP'!$AS$57+(INDEX('TO HOP'!$AD$66:$AD$127,$A83)*$G83+INDEX('TO HOP'!$AR$66:$AR$127,$A83)*$D83+INDEX('TO HOP'!$AS$66:$AS$127,$A83)*($E83+$F83))*(Hbe+Hcot+hxm+hgoi))</f>
        <v>34091.265631949253</v>
      </c>
      <c r="J83" s="39">
        <f>IF($H83="","",SUMPRODUCT(INDEX('TO HOP'!$C$66:$AT$127,$A83,0),'TO HOP'!$C$58:$AT$58)-INDEX('TO HOP'!$AD$66:$AD$127,$A83)*'TO HOP'!$AD$58-INDEX('TO HOP'!$AR$66:$AR$127,$A83)*'TO HOP'!$AR$58-INDEX('TO HOP'!$AS$66:$AS$127,$A83)*'TO HOP'!$AS$58+INDEX('TO HOP'!$AD$66:$AD$127,$A83)*$G83+INDEX('TO HOP'!$AR$66:$AR$127,$A83)*$D83+INDEX('TO HOP'!$AS$66:$AS$127,$A83)*($E83+$F83))</f>
        <v>2697.1364775610136</v>
      </c>
      <c r="K83" s="39">
        <f>IF($H83="","",SUMPRODUCT(INDEX('TO HOP'!$C$66:$AT$127,$A83,0),'TO HOP'!$C$62:$AT$62)-INDEX('TO HOP'!$AD$66:$AD$127,$A83)*'TO HOP'!$AD$62-INDEX('TO HOP'!$AR$66:$AR$127,$A83)*'TO HOP'!$AR$62-INDEX('TO HOP'!$AS$66:$AS$127,$A83)*'TO HOP'!$AS$62+(INDEX('TO HOP'!$AD$66:$AD$127,$A83)*$G83+INDEX('TO HOP'!$AR$66:$AR$127,$A83)*$D83+INDEX('TO HOP'!$AS$66:$AS$127,$A83)*($E83+$F83))*(Hcot+hxm+hgoi))</f>
        <v>28696.992676827227</v>
      </c>
      <c r="L83" s="39">
        <f t="shared" si="4"/>
        <v>2697.1364775610136</v>
      </c>
      <c r="M83" s="39">
        <f t="shared" si="5"/>
        <v>34091.265631949253</v>
      </c>
      <c r="N83" s="39">
        <f t="shared" si="6"/>
        <v>2697.1364775610136</v>
      </c>
      <c r="O83" s="39">
        <f t="shared" si="7"/>
        <v>28696.992676827227</v>
      </c>
    </row>
    <row r="84" spans="1:15" x14ac:dyDescent="0.3">
      <c r="A84" s="38">
        <f>'TO HOP'!N150</f>
        <v>20</v>
      </c>
      <c r="B84" s="38" t="str">
        <f>'TO HOP'!B150</f>
        <v>CĐ I(a) max - 2 nhịp lệch tâm 2 làn</v>
      </c>
      <c r="C84" s="38" t="s">
        <v>1203</v>
      </c>
      <c r="D84" s="39">
        <f>'HE GOI'!D19</f>
        <v>1383.337308977915</v>
      </c>
      <c r="E84" s="39">
        <f>IF(csmode=1,0,'HE GOI'!D20)</f>
        <v>512.34715147329803</v>
      </c>
      <c r="F84" s="39">
        <f>IF(csmode=1,'HE GOI'!D24,'HE GOI'!D21)</f>
        <v>320.21696967081334</v>
      </c>
      <c r="G84" s="39">
        <f>'HE GOI'!D23</f>
        <v>-1034.6545125000002</v>
      </c>
      <c r="H84" s="39">
        <f>IF(OR($A84=0,NOT(ISNUMBER($D84)),NOT(ISNUMBER($E84)),NOT(ISNUMBER($F84))),"",SUMPRODUCT(INDEX('TO HOP'!$C$66:$AT$127,$A84,0),'TO HOP'!$C$53:$AT$53)-INDEX('TO HOP'!$AD$66:$AD$127,$A84)*'TO HOP'!$AD$53-INDEX('TO HOP'!$AR$66:$AR$127,$A84)*'TO HOP'!$AR$53-INDEX('TO HOP'!$AS$66:$AS$127,$A84)*'TO HOP'!$AS$53+INDEX('TO HOP'!$AD$66:$AD$127,$A84)*$G84+INDEX('TO HOP'!$AR$66:$AR$127,$A84)*$D84+INDEX('TO HOP'!$AS$66:$AS$127,$A84)*($E84+$F84))</f>
        <v>627.82745256101293</v>
      </c>
      <c r="I84" s="39">
        <f>IF($H84="","",SUMPRODUCT(INDEX('TO HOP'!$C$66:$AT$127,$A84,0),'TO HOP'!$C$57:$AT$57)-INDEX('TO HOP'!$AD$66:$AD$127,$A84)*'TO HOP'!$AD$57-INDEX('TO HOP'!$AR$66:$AR$127,$A84)*'TO HOP'!$AR$57-INDEX('TO HOP'!$AS$66:$AS$127,$A84)*'TO HOP'!$AS$57+(INDEX('TO HOP'!$AD$66:$AD$127,$A84)*$G84+INDEX('TO HOP'!$AR$66:$AR$127,$A84)*$D84+INDEX('TO HOP'!$AS$66:$AS$127,$A84)*($E84+$F84))*(Hbe+Hcot+hxm+hgoi))</f>
        <v>8680.1508049492404</v>
      </c>
      <c r="J84" s="39">
        <f>IF($H84="","",SUMPRODUCT(INDEX('TO HOP'!$C$66:$AT$127,$A84,0),'TO HOP'!$C$58:$AT$58)-INDEX('TO HOP'!$AD$66:$AD$127,$A84)*'TO HOP'!$AD$58-INDEX('TO HOP'!$AR$66:$AR$127,$A84)*'TO HOP'!$AR$58-INDEX('TO HOP'!$AS$66:$AS$127,$A84)*'TO HOP'!$AS$58+INDEX('TO HOP'!$AD$66:$AD$127,$A84)*$G84+INDEX('TO HOP'!$AR$66:$AR$127,$A84)*$D84+INDEX('TO HOP'!$AS$66:$AS$127,$A84)*($E84+$F84))</f>
        <v>627.82745256101293</v>
      </c>
      <c r="K84" s="39">
        <f>IF($H84="","",SUMPRODUCT(INDEX('TO HOP'!$C$66:$AT$127,$A84,0),'TO HOP'!$C$62:$AT$62)-INDEX('TO HOP'!$AD$66:$AD$127,$A84)*'TO HOP'!$AD$62-INDEX('TO HOP'!$AR$66:$AR$127,$A84)*'TO HOP'!$AR$62-INDEX('TO HOP'!$AS$66:$AS$127,$A84)*'TO HOP'!$AS$62+(INDEX('TO HOP'!$AD$66:$AD$127,$A84)*$G84+INDEX('TO HOP'!$AR$66:$AR$127,$A84)*$D84+INDEX('TO HOP'!$AS$66:$AS$127,$A84)*($E84+$F84))*(Hcot+hxm+hgoi))</f>
        <v>7424.4958998272159</v>
      </c>
      <c r="L84" s="39">
        <f t="shared" si="4"/>
        <v>627.82745256101293</v>
      </c>
      <c r="M84" s="39">
        <f t="shared" si="5"/>
        <v>8680.1508049492404</v>
      </c>
      <c r="N84" s="39">
        <f t="shared" si="6"/>
        <v>627.82745256101293</v>
      </c>
      <c r="O84" s="39">
        <f t="shared" si="7"/>
        <v>7424.4958998272159</v>
      </c>
    </row>
    <row r="85" spans="1:15" x14ac:dyDescent="0.3">
      <c r="A85" s="38">
        <f>'TO HOP'!N151</f>
        <v>21</v>
      </c>
      <c r="B85" s="38" t="str">
        <f>'TO HOP'!B151</f>
        <v>CĐ I(a) max - 2 nhịp lệch tâm 3 làn</v>
      </c>
      <c r="C85" s="38" t="s">
        <v>1200</v>
      </c>
      <c r="D85" s="39">
        <f>'HE GOI'!D18</f>
        <v>-1521.6710398757043</v>
      </c>
      <c r="E85" s="39">
        <f>IF(csmode=1,0,'HE GOI'!D20)</f>
        <v>512.34715147329803</v>
      </c>
      <c r="F85" s="39">
        <f>IF(csmode=1,'HE GOI'!D24,'HE GOI'!D21)</f>
        <v>320.21696967081334</v>
      </c>
      <c r="G85" s="39">
        <f>'HE GOI'!D22</f>
        <v>1034.6545125000002</v>
      </c>
      <c r="H85" s="39">
        <f>IF(OR($A85=0,NOT(ISNUMBER($D85)),NOT(ISNUMBER($E85)),NOT(ISNUMBER($F85))),"",SUMPRODUCT(INDEX('TO HOP'!$C$66:$AT$127,$A85,0),'TO HOP'!$C$53:$AT$53)-INDEX('TO HOP'!$AD$66:$AD$127,$A85)*'TO HOP'!$AD$53-INDEX('TO HOP'!$AR$66:$AR$127,$A85)*'TO HOP'!$AR$53-INDEX('TO HOP'!$AS$66:$AS$127,$A85)*'TO HOP'!$AS$53+INDEX('TO HOP'!$AD$66:$AD$127,$A85)*$G85+INDEX('TO HOP'!$AR$66:$AR$127,$A85)*$D85+INDEX('TO HOP'!$AS$66:$AS$127,$A85)*($E85+$F85))</f>
        <v>1244.6323031342038</v>
      </c>
      <c r="I85" s="39">
        <f>IF($H85="","",SUMPRODUCT(INDEX('TO HOP'!$C$66:$AT$127,$A85,0),'TO HOP'!$C$57:$AT$57)-INDEX('TO HOP'!$AD$66:$AD$127,$A85)*'TO HOP'!$AD$57-INDEX('TO HOP'!$AR$66:$AR$127,$A85)*'TO HOP'!$AR$57-INDEX('TO HOP'!$AS$66:$AS$127,$A85)*'TO HOP'!$AS$57+(INDEX('TO HOP'!$AD$66:$AD$127,$A85)*$G85+INDEX('TO HOP'!$AR$66:$AR$127,$A85)*$D85+INDEX('TO HOP'!$AS$66:$AS$127,$A85)*($E85+$F85))*(Hbe+Hcot+hxm+hgoi))</f>
        <v>16254.514369988025</v>
      </c>
      <c r="J85" s="39">
        <f>IF($H85="","",SUMPRODUCT(INDEX('TO HOP'!$C$66:$AT$127,$A85,0),'TO HOP'!$C$58:$AT$58)-INDEX('TO HOP'!$AD$66:$AD$127,$A85)*'TO HOP'!$AD$58-INDEX('TO HOP'!$AR$66:$AR$127,$A85)*'TO HOP'!$AR$58-INDEX('TO HOP'!$AS$66:$AS$127,$A85)*'TO HOP'!$AS$58+INDEX('TO HOP'!$AD$66:$AD$127,$A85)*$G85+INDEX('TO HOP'!$AR$66:$AR$127,$A85)*$D85+INDEX('TO HOP'!$AS$66:$AS$127,$A85)*($E85+$F85))</f>
        <v>1244.6323031342038</v>
      </c>
      <c r="K85" s="39">
        <f>IF($H85="","",SUMPRODUCT(INDEX('TO HOP'!$C$66:$AT$127,$A85,0),'TO HOP'!$C$62:$AT$62)-INDEX('TO HOP'!$AD$66:$AD$127,$A85)*'TO HOP'!$AD$62-INDEX('TO HOP'!$AR$66:$AR$127,$A85)*'TO HOP'!$AR$62-INDEX('TO HOP'!$AS$66:$AS$127,$A85)*'TO HOP'!$AS$62+(INDEX('TO HOP'!$AD$66:$AD$127,$A85)*$G85+INDEX('TO HOP'!$AR$66:$AR$127,$A85)*$D85+INDEX('TO HOP'!$AS$66:$AS$127,$A85)*($E85+$F85))*(Hcot+hxm+hgoi))</f>
        <v>13765.249763719617</v>
      </c>
      <c r="L85" s="39">
        <f t="shared" si="4"/>
        <v>1244.6323031342038</v>
      </c>
      <c r="M85" s="39">
        <f t="shared" si="5"/>
        <v>16254.514369988025</v>
      </c>
      <c r="N85" s="39">
        <f t="shared" si="6"/>
        <v>1244.6323031342038</v>
      </c>
      <c r="O85" s="39">
        <f t="shared" si="7"/>
        <v>13765.249763719617</v>
      </c>
    </row>
    <row r="86" spans="1:15" x14ac:dyDescent="0.3">
      <c r="A86" s="38">
        <f>'TO HOP'!N151</f>
        <v>21</v>
      </c>
      <c r="B86" s="38" t="str">
        <f>'TO HOP'!B151</f>
        <v>CĐ I(a) max - 2 nhịp lệch tâm 3 làn</v>
      </c>
      <c r="C86" s="38" t="s">
        <v>1201</v>
      </c>
      <c r="D86" s="39">
        <f>'HE GOI'!D18</f>
        <v>-1521.6710398757043</v>
      </c>
      <c r="E86" s="39">
        <f>IF(csmode=1,0,'HE GOI'!D20)</f>
        <v>512.34715147329803</v>
      </c>
      <c r="F86" s="39">
        <f>IF(csmode=1,'HE GOI'!D24,'HE GOI'!D21)</f>
        <v>320.21696967081334</v>
      </c>
      <c r="G86" s="39">
        <f>'HE GOI'!D23</f>
        <v>-1034.6545125000002</v>
      </c>
      <c r="H86" s="39">
        <f>IF(OR($A86=0,NOT(ISNUMBER($D86)),NOT(ISNUMBER($E86)),NOT(ISNUMBER($F86))),"",SUMPRODUCT(INDEX('TO HOP'!$C$66:$AT$127,$A86,0),'TO HOP'!$C$53:$AT$53)-INDEX('TO HOP'!$AD$66:$AD$127,$A86)*'TO HOP'!$AD$53-INDEX('TO HOP'!$AR$66:$AR$127,$A86)*'TO HOP'!$AR$53-INDEX('TO HOP'!$AS$66:$AS$127,$A86)*'TO HOP'!$AS$53+INDEX('TO HOP'!$AD$66:$AD$127,$A86)*$G86+INDEX('TO HOP'!$AR$66:$AR$127,$A86)*$D86+INDEX('TO HOP'!$AS$66:$AS$127,$A86)*($E86+$F86))</f>
        <v>-824.67672186579659</v>
      </c>
      <c r="I86" s="39">
        <f>IF($H86="","",SUMPRODUCT(INDEX('TO HOP'!$C$66:$AT$127,$A86,0),'TO HOP'!$C$57:$AT$57)-INDEX('TO HOP'!$AD$66:$AD$127,$A86)*'TO HOP'!$AD$57-INDEX('TO HOP'!$AR$66:$AR$127,$A86)*'TO HOP'!$AR$57-INDEX('TO HOP'!$AS$66:$AS$127,$A86)*'TO HOP'!$AS$57+(INDEX('TO HOP'!$AD$66:$AD$127,$A86)*$G86+INDEX('TO HOP'!$AR$66:$AR$127,$A86)*$D86+INDEX('TO HOP'!$AS$66:$AS$127,$A86)*($E86+$F86))*(Hbe+Hcot+hxm+hgoi))</f>
        <v>-9156.6004570119821</v>
      </c>
      <c r="J86" s="39">
        <f>IF($H86="","",SUMPRODUCT(INDEX('TO HOP'!$C$66:$AT$127,$A86,0),'TO HOP'!$C$58:$AT$58)-INDEX('TO HOP'!$AD$66:$AD$127,$A86)*'TO HOP'!$AD$58-INDEX('TO HOP'!$AR$66:$AR$127,$A86)*'TO HOP'!$AR$58-INDEX('TO HOP'!$AS$66:$AS$127,$A86)*'TO HOP'!$AS$58+INDEX('TO HOP'!$AD$66:$AD$127,$A86)*$G86+INDEX('TO HOP'!$AR$66:$AR$127,$A86)*$D86+INDEX('TO HOP'!$AS$66:$AS$127,$A86)*($E86+$F86))</f>
        <v>-824.67672186579659</v>
      </c>
      <c r="K86" s="39">
        <f>IF($H86="","",SUMPRODUCT(INDEX('TO HOP'!$C$66:$AT$127,$A86,0),'TO HOP'!$C$62:$AT$62)-INDEX('TO HOP'!$AD$66:$AD$127,$A86)*'TO HOP'!$AD$62-INDEX('TO HOP'!$AR$66:$AR$127,$A86)*'TO HOP'!$AR$62-INDEX('TO HOP'!$AS$66:$AS$127,$A86)*'TO HOP'!$AS$62+(INDEX('TO HOP'!$AD$66:$AD$127,$A86)*$G86+INDEX('TO HOP'!$AR$66:$AR$127,$A86)*$D86+INDEX('TO HOP'!$AS$66:$AS$127,$A86)*($E86+$F86))*(Hcot+hxm+hgoi))</f>
        <v>-7507.2470132803865</v>
      </c>
      <c r="L86" s="39">
        <f t="shared" si="4"/>
        <v>824.67672186579659</v>
      </c>
      <c r="M86" s="39">
        <f t="shared" si="5"/>
        <v>9156.6004570119821</v>
      </c>
      <c r="N86" s="39">
        <f t="shared" si="6"/>
        <v>824.67672186579659</v>
      </c>
      <c r="O86" s="39">
        <f t="shared" si="7"/>
        <v>7507.2470132803865</v>
      </c>
    </row>
    <row r="87" spans="1:15" x14ac:dyDescent="0.3">
      <c r="A87" s="38">
        <f>'TO HOP'!N151</f>
        <v>21</v>
      </c>
      <c r="B87" s="38" t="str">
        <f>'TO HOP'!B151</f>
        <v>CĐ I(a) max - 2 nhịp lệch tâm 3 làn</v>
      </c>
      <c r="C87" s="38" t="s">
        <v>1202</v>
      </c>
      <c r="D87" s="39">
        <f>'HE GOI'!D19</f>
        <v>1383.337308977915</v>
      </c>
      <c r="E87" s="39">
        <f>IF(csmode=1,0,'HE GOI'!D20)</f>
        <v>512.34715147329803</v>
      </c>
      <c r="F87" s="39">
        <f>IF(csmode=1,'HE GOI'!D24,'HE GOI'!D21)</f>
        <v>320.21696967081334</v>
      </c>
      <c r="G87" s="39">
        <f>'HE GOI'!D22</f>
        <v>1034.6545125000002</v>
      </c>
      <c r="H87" s="39">
        <f>IF(OR($A87=0,NOT(ISNUMBER($D87)),NOT(ISNUMBER($E87)),NOT(ISNUMBER($F87))),"",SUMPRODUCT(INDEX('TO HOP'!$C$66:$AT$127,$A87,0),'TO HOP'!$C$53:$AT$53)-INDEX('TO HOP'!$AD$66:$AD$127,$A87)*'TO HOP'!$AD$53-INDEX('TO HOP'!$AR$66:$AR$127,$A87)*'TO HOP'!$AR$53-INDEX('TO HOP'!$AS$66:$AS$127,$A87)*'TO HOP'!$AS$53+INDEX('TO HOP'!$AD$66:$AD$127,$A87)*$G87+INDEX('TO HOP'!$AR$66:$AR$127,$A87)*$D87+INDEX('TO HOP'!$AS$66:$AS$127,$A87)*($E87+$F87))</f>
        <v>2697.1364775610136</v>
      </c>
      <c r="I87" s="39">
        <f>IF($H87="","",SUMPRODUCT(INDEX('TO HOP'!$C$66:$AT$127,$A87,0),'TO HOP'!$C$57:$AT$57)-INDEX('TO HOP'!$AD$66:$AD$127,$A87)*'TO HOP'!$AD$57-INDEX('TO HOP'!$AR$66:$AR$127,$A87)*'TO HOP'!$AR$57-INDEX('TO HOP'!$AS$66:$AS$127,$A87)*'TO HOP'!$AS$57+(INDEX('TO HOP'!$AD$66:$AD$127,$A87)*$G87+INDEX('TO HOP'!$AR$66:$AR$127,$A87)*$D87+INDEX('TO HOP'!$AS$66:$AS$127,$A87)*($E87+$F87))*(Hbe+Hcot+hxm+hgoi))</f>
        <v>34091.265631949253</v>
      </c>
      <c r="J87" s="39">
        <f>IF($H87="","",SUMPRODUCT(INDEX('TO HOP'!$C$66:$AT$127,$A87,0),'TO HOP'!$C$58:$AT$58)-INDEX('TO HOP'!$AD$66:$AD$127,$A87)*'TO HOP'!$AD$58-INDEX('TO HOP'!$AR$66:$AR$127,$A87)*'TO HOP'!$AR$58-INDEX('TO HOP'!$AS$66:$AS$127,$A87)*'TO HOP'!$AS$58+INDEX('TO HOP'!$AD$66:$AD$127,$A87)*$G87+INDEX('TO HOP'!$AR$66:$AR$127,$A87)*$D87+INDEX('TO HOP'!$AS$66:$AS$127,$A87)*($E87+$F87))</f>
        <v>2697.1364775610136</v>
      </c>
      <c r="K87" s="39">
        <f>IF($H87="","",SUMPRODUCT(INDEX('TO HOP'!$C$66:$AT$127,$A87,0),'TO HOP'!$C$62:$AT$62)-INDEX('TO HOP'!$AD$66:$AD$127,$A87)*'TO HOP'!$AD$62-INDEX('TO HOP'!$AR$66:$AR$127,$A87)*'TO HOP'!$AR$62-INDEX('TO HOP'!$AS$66:$AS$127,$A87)*'TO HOP'!$AS$62+(INDEX('TO HOP'!$AD$66:$AD$127,$A87)*$G87+INDEX('TO HOP'!$AR$66:$AR$127,$A87)*$D87+INDEX('TO HOP'!$AS$66:$AS$127,$A87)*($E87+$F87))*(Hcot+hxm+hgoi))</f>
        <v>28696.992676827227</v>
      </c>
      <c r="L87" s="39">
        <f t="shared" si="4"/>
        <v>2697.1364775610136</v>
      </c>
      <c r="M87" s="39">
        <f t="shared" si="5"/>
        <v>34091.265631949253</v>
      </c>
      <c r="N87" s="39">
        <f t="shared" si="6"/>
        <v>2697.1364775610136</v>
      </c>
      <c r="O87" s="39">
        <f t="shared" si="7"/>
        <v>28696.992676827227</v>
      </c>
    </row>
    <row r="88" spans="1:15" x14ac:dyDescent="0.3">
      <c r="A88" s="38">
        <f>'TO HOP'!N151</f>
        <v>21</v>
      </c>
      <c r="B88" s="38" t="str">
        <f>'TO HOP'!B151</f>
        <v>CĐ I(a) max - 2 nhịp lệch tâm 3 làn</v>
      </c>
      <c r="C88" s="38" t="s">
        <v>1203</v>
      </c>
      <c r="D88" s="39">
        <f>'HE GOI'!D19</f>
        <v>1383.337308977915</v>
      </c>
      <c r="E88" s="39">
        <f>IF(csmode=1,0,'HE GOI'!D20)</f>
        <v>512.34715147329803</v>
      </c>
      <c r="F88" s="39">
        <f>IF(csmode=1,'HE GOI'!D24,'HE GOI'!D21)</f>
        <v>320.21696967081334</v>
      </c>
      <c r="G88" s="39">
        <f>'HE GOI'!D23</f>
        <v>-1034.6545125000002</v>
      </c>
      <c r="H88" s="39">
        <f>IF(OR($A88=0,NOT(ISNUMBER($D88)),NOT(ISNUMBER($E88)),NOT(ISNUMBER($F88))),"",SUMPRODUCT(INDEX('TO HOP'!$C$66:$AT$127,$A88,0),'TO HOP'!$C$53:$AT$53)-INDEX('TO HOP'!$AD$66:$AD$127,$A88)*'TO HOP'!$AD$53-INDEX('TO HOP'!$AR$66:$AR$127,$A88)*'TO HOP'!$AR$53-INDEX('TO HOP'!$AS$66:$AS$127,$A88)*'TO HOP'!$AS$53+INDEX('TO HOP'!$AD$66:$AD$127,$A88)*$G88+INDEX('TO HOP'!$AR$66:$AR$127,$A88)*$D88+INDEX('TO HOP'!$AS$66:$AS$127,$A88)*($E88+$F88))</f>
        <v>627.82745256101293</v>
      </c>
      <c r="I88" s="39">
        <f>IF($H88="","",SUMPRODUCT(INDEX('TO HOP'!$C$66:$AT$127,$A88,0),'TO HOP'!$C$57:$AT$57)-INDEX('TO HOP'!$AD$66:$AD$127,$A88)*'TO HOP'!$AD$57-INDEX('TO HOP'!$AR$66:$AR$127,$A88)*'TO HOP'!$AR$57-INDEX('TO HOP'!$AS$66:$AS$127,$A88)*'TO HOP'!$AS$57+(INDEX('TO HOP'!$AD$66:$AD$127,$A88)*$G88+INDEX('TO HOP'!$AR$66:$AR$127,$A88)*$D88+INDEX('TO HOP'!$AS$66:$AS$127,$A88)*($E88+$F88))*(Hbe+Hcot+hxm+hgoi))</f>
        <v>8680.1508049492404</v>
      </c>
      <c r="J88" s="39">
        <f>IF($H88="","",SUMPRODUCT(INDEX('TO HOP'!$C$66:$AT$127,$A88,0),'TO HOP'!$C$58:$AT$58)-INDEX('TO HOP'!$AD$66:$AD$127,$A88)*'TO HOP'!$AD$58-INDEX('TO HOP'!$AR$66:$AR$127,$A88)*'TO HOP'!$AR$58-INDEX('TO HOP'!$AS$66:$AS$127,$A88)*'TO HOP'!$AS$58+INDEX('TO HOP'!$AD$66:$AD$127,$A88)*$G88+INDEX('TO HOP'!$AR$66:$AR$127,$A88)*$D88+INDEX('TO HOP'!$AS$66:$AS$127,$A88)*($E88+$F88))</f>
        <v>627.82745256101293</v>
      </c>
      <c r="K88" s="39">
        <f>IF($H88="","",SUMPRODUCT(INDEX('TO HOP'!$C$66:$AT$127,$A88,0),'TO HOP'!$C$62:$AT$62)-INDEX('TO HOP'!$AD$66:$AD$127,$A88)*'TO HOP'!$AD$62-INDEX('TO HOP'!$AR$66:$AR$127,$A88)*'TO HOP'!$AR$62-INDEX('TO HOP'!$AS$66:$AS$127,$A88)*'TO HOP'!$AS$62+(INDEX('TO HOP'!$AD$66:$AD$127,$A88)*$G88+INDEX('TO HOP'!$AR$66:$AR$127,$A88)*$D88+INDEX('TO HOP'!$AS$66:$AS$127,$A88)*($E88+$F88))*(Hcot+hxm+hgoi))</f>
        <v>7424.4958998272159</v>
      </c>
      <c r="L88" s="39">
        <f t="shared" si="4"/>
        <v>627.82745256101293</v>
      </c>
      <c r="M88" s="39">
        <f t="shared" si="5"/>
        <v>8680.1508049492404</v>
      </c>
      <c r="N88" s="39">
        <f t="shared" si="6"/>
        <v>627.82745256101293</v>
      </c>
      <c r="O88" s="39">
        <f t="shared" si="7"/>
        <v>7424.4958998272159</v>
      </c>
    </row>
    <row r="89" spans="1:15" x14ac:dyDescent="0.3">
      <c r="A89" s="38">
        <f>'TO HOP'!N152</f>
        <v>22</v>
      </c>
      <c r="B89" s="38" t="str">
        <f>'TO HOP'!B152</f>
        <v>CĐ I(a) max - 2 nhịp lệch tâm 4 làn</v>
      </c>
      <c r="C89" s="38" t="s">
        <v>1200</v>
      </c>
      <c r="D89" s="39">
        <f>'HE GOI'!D18</f>
        <v>-1521.6710398757043</v>
      </c>
      <c r="E89" s="39">
        <f>IF(csmode=1,0,'HE GOI'!D20)</f>
        <v>512.34715147329803</v>
      </c>
      <c r="F89" s="39">
        <f>IF(csmode=1,'HE GOI'!D24,'HE GOI'!D21)</f>
        <v>320.21696967081334</v>
      </c>
      <c r="G89" s="39">
        <f>'HE GOI'!D22</f>
        <v>1034.6545125000002</v>
      </c>
      <c r="H89" s="39">
        <f>IF(OR($A89=0,NOT(ISNUMBER($D89)),NOT(ISNUMBER($E89)),NOT(ISNUMBER($F89))),"",SUMPRODUCT(INDEX('TO HOP'!$C$66:$AT$127,$A89,0),'TO HOP'!$C$53:$AT$53)-INDEX('TO HOP'!$AD$66:$AD$127,$A89)*'TO HOP'!$AD$53-INDEX('TO HOP'!$AR$66:$AR$127,$A89)*'TO HOP'!$AR$53-INDEX('TO HOP'!$AS$66:$AS$127,$A89)*'TO HOP'!$AS$53+INDEX('TO HOP'!$AD$66:$AD$127,$A89)*$G89+INDEX('TO HOP'!$AR$66:$AR$127,$A89)*$D89+INDEX('TO HOP'!$AS$66:$AS$127,$A89)*($E89+$F89))</f>
        <v>1244.6323031342038</v>
      </c>
      <c r="I89" s="39">
        <f>IF($H89="","",SUMPRODUCT(INDEX('TO HOP'!$C$66:$AT$127,$A89,0),'TO HOP'!$C$57:$AT$57)-INDEX('TO HOP'!$AD$66:$AD$127,$A89)*'TO HOP'!$AD$57-INDEX('TO HOP'!$AR$66:$AR$127,$A89)*'TO HOP'!$AR$57-INDEX('TO HOP'!$AS$66:$AS$127,$A89)*'TO HOP'!$AS$57+(INDEX('TO HOP'!$AD$66:$AD$127,$A89)*$G89+INDEX('TO HOP'!$AR$66:$AR$127,$A89)*$D89+INDEX('TO HOP'!$AS$66:$AS$127,$A89)*($E89+$F89))*(Hbe+Hcot+hxm+hgoi))</f>
        <v>16254.514369988025</v>
      </c>
      <c r="J89" s="39">
        <f>IF($H89="","",SUMPRODUCT(INDEX('TO HOP'!$C$66:$AT$127,$A89,0),'TO HOP'!$C$58:$AT$58)-INDEX('TO HOP'!$AD$66:$AD$127,$A89)*'TO HOP'!$AD$58-INDEX('TO HOP'!$AR$66:$AR$127,$A89)*'TO HOP'!$AR$58-INDEX('TO HOP'!$AS$66:$AS$127,$A89)*'TO HOP'!$AS$58+INDEX('TO HOP'!$AD$66:$AD$127,$A89)*$G89+INDEX('TO HOP'!$AR$66:$AR$127,$A89)*$D89+INDEX('TO HOP'!$AS$66:$AS$127,$A89)*($E89+$F89))</f>
        <v>1244.6323031342038</v>
      </c>
      <c r="K89" s="39">
        <f>IF($H89="","",SUMPRODUCT(INDEX('TO HOP'!$C$66:$AT$127,$A89,0),'TO HOP'!$C$62:$AT$62)-INDEX('TO HOP'!$AD$66:$AD$127,$A89)*'TO HOP'!$AD$62-INDEX('TO HOP'!$AR$66:$AR$127,$A89)*'TO HOP'!$AR$62-INDEX('TO HOP'!$AS$66:$AS$127,$A89)*'TO HOP'!$AS$62+(INDEX('TO HOP'!$AD$66:$AD$127,$A89)*$G89+INDEX('TO HOP'!$AR$66:$AR$127,$A89)*$D89+INDEX('TO HOP'!$AS$66:$AS$127,$A89)*($E89+$F89))*(Hcot+hxm+hgoi))</f>
        <v>13765.249763719617</v>
      </c>
      <c r="L89" s="39">
        <f t="shared" si="4"/>
        <v>1244.6323031342038</v>
      </c>
      <c r="M89" s="39">
        <f t="shared" si="5"/>
        <v>16254.514369988025</v>
      </c>
      <c r="N89" s="39">
        <f t="shared" si="6"/>
        <v>1244.6323031342038</v>
      </c>
      <c r="O89" s="39">
        <f t="shared" si="7"/>
        <v>13765.249763719617</v>
      </c>
    </row>
    <row r="90" spans="1:15" x14ac:dyDescent="0.3">
      <c r="A90" s="38">
        <f>'TO HOP'!N152</f>
        <v>22</v>
      </c>
      <c r="B90" s="38" t="str">
        <f>'TO HOP'!B152</f>
        <v>CĐ I(a) max - 2 nhịp lệch tâm 4 làn</v>
      </c>
      <c r="C90" s="38" t="s">
        <v>1201</v>
      </c>
      <c r="D90" s="39">
        <f>'HE GOI'!D18</f>
        <v>-1521.6710398757043</v>
      </c>
      <c r="E90" s="39">
        <f>IF(csmode=1,0,'HE GOI'!D20)</f>
        <v>512.34715147329803</v>
      </c>
      <c r="F90" s="39">
        <f>IF(csmode=1,'HE GOI'!D24,'HE GOI'!D21)</f>
        <v>320.21696967081334</v>
      </c>
      <c r="G90" s="39">
        <f>'HE GOI'!D23</f>
        <v>-1034.6545125000002</v>
      </c>
      <c r="H90" s="39">
        <f>IF(OR($A90=0,NOT(ISNUMBER($D90)),NOT(ISNUMBER($E90)),NOT(ISNUMBER($F90))),"",SUMPRODUCT(INDEX('TO HOP'!$C$66:$AT$127,$A90,0),'TO HOP'!$C$53:$AT$53)-INDEX('TO HOP'!$AD$66:$AD$127,$A90)*'TO HOP'!$AD$53-INDEX('TO HOP'!$AR$66:$AR$127,$A90)*'TO HOP'!$AR$53-INDEX('TO HOP'!$AS$66:$AS$127,$A90)*'TO HOP'!$AS$53+INDEX('TO HOP'!$AD$66:$AD$127,$A90)*$G90+INDEX('TO HOP'!$AR$66:$AR$127,$A90)*$D90+INDEX('TO HOP'!$AS$66:$AS$127,$A90)*($E90+$F90))</f>
        <v>-824.67672186579659</v>
      </c>
      <c r="I90" s="39">
        <f>IF($H90="","",SUMPRODUCT(INDEX('TO HOP'!$C$66:$AT$127,$A90,0),'TO HOP'!$C$57:$AT$57)-INDEX('TO HOP'!$AD$66:$AD$127,$A90)*'TO HOP'!$AD$57-INDEX('TO HOP'!$AR$66:$AR$127,$A90)*'TO HOP'!$AR$57-INDEX('TO HOP'!$AS$66:$AS$127,$A90)*'TO HOP'!$AS$57+(INDEX('TO HOP'!$AD$66:$AD$127,$A90)*$G90+INDEX('TO HOP'!$AR$66:$AR$127,$A90)*$D90+INDEX('TO HOP'!$AS$66:$AS$127,$A90)*($E90+$F90))*(Hbe+Hcot+hxm+hgoi))</f>
        <v>-9156.6004570119821</v>
      </c>
      <c r="J90" s="39">
        <f>IF($H90="","",SUMPRODUCT(INDEX('TO HOP'!$C$66:$AT$127,$A90,0),'TO HOP'!$C$58:$AT$58)-INDEX('TO HOP'!$AD$66:$AD$127,$A90)*'TO HOP'!$AD$58-INDEX('TO HOP'!$AR$66:$AR$127,$A90)*'TO HOP'!$AR$58-INDEX('TO HOP'!$AS$66:$AS$127,$A90)*'TO HOP'!$AS$58+INDEX('TO HOP'!$AD$66:$AD$127,$A90)*$G90+INDEX('TO HOP'!$AR$66:$AR$127,$A90)*$D90+INDEX('TO HOP'!$AS$66:$AS$127,$A90)*($E90+$F90))</f>
        <v>-824.67672186579659</v>
      </c>
      <c r="K90" s="39">
        <f>IF($H90="","",SUMPRODUCT(INDEX('TO HOP'!$C$66:$AT$127,$A90,0),'TO HOP'!$C$62:$AT$62)-INDEX('TO HOP'!$AD$66:$AD$127,$A90)*'TO HOP'!$AD$62-INDEX('TO HOP'!$AR$66:$AR$127,$A90)*'TO HOP'!$AR$62-INDEX('TO HOP'!$AS$66:$AS$127,$A90)*'TO HOP'!$AS$62+(INDEX('TO HOP'!$AD$66:$AD$127,$A90)*$G90+INDEX('TO HOP'!$AR$66:$AR$127,$A90)*$D90+INDEX('TO HOP'!$AS$66:$AS$127,$A90)*($E90+$F90))*(Hcot+hxm+hgoi))</f>
        <v>-7507.2470132803865</v>
      </c>
      <c r="L90" s="39">
        <f t="shared" si="4"/>
        <v>824.67672186579659</v>
      </c>
      <c r="M90" s="39">
        <f t="shared" si="5"/>
        <v>9156.6004570119821</v>
      </c>
      <c r="N90" s="39">
        <f t="shared" si="6"/>
        <v>824.67672186579659</v>
      </c>
      <c r="O90" s="39">
        <f t="shared" si="7"/>
        <v>7507.2470132803865</v>
      </c>
    </row>
    <row r="91" spans="1:15" x14ac:dyDescent="0.3">
      <c r="A91" s="38">
        <f>'TO HOP'!N152</f>
        <v>22</v>
      </c>
      <c r="B91" s="38" t="str">
        <f>'TO HOP'!B152</f>
        <v>CĐ I(a) max - 2 nhịp lệch tâm 4 làn</v>
      </c>
      <c r="C91" s="38" t="s">
        <v>1202</v>
      </c>
      <c r="D91" s="39">
        <f>'HE GOI'!D19</f>
        <v>1383.337308977915</v>
      </c>
      <c r="E91" s="39">
        <f>IF(csmode=1,0,'HE GOI'!D20)</f>
        <v>512.34715147329803</v>
      </c>
      <c r="F91" s="39">
        <f>IF(csmode=1,'HE GOI'!D24,'HE GOI'!D21)</f>
        <v>320.21696967081334</v>
      </c>
      <c r="G91" s="39">
        <f>'HE GOI'!D22</f>
        <v>1034.6545125000002</v>
      </c>
      <c r="H91" s="39">
        <f>IF(OR($A91=0,NOT(ISNUMBER($D91)),NOT(ISNUMBER($E91)),NOT(ISNUMBER($F91))),"",SUMPRODUCT(INDEX('TO HOP'!$C$66:$AT$127,$A91,0),'TO HOP'!$C$53:$AT$53)-INDEX('TO HOP'!$AD$66:$AD$127,$A91)*'TO HOP'!$AD$53-INDEX('TO HOP'!$AR$66:$AR$127,$A91)*'TO HOP'!$AR$53-INDEX('TO HOP'!$AS$66:$AS$127,$A91)*'TO HOP'!$AS$53+INDEX('TO HOP'!$AD$66:$AD$127,$A91)*$G91+INDEX('TO HOP'!$AR$66:$AR$127,$A91)*$D91+INDEX('TO HOP'!$AS$66:$AS$127,$A91)*($E91+$F91))</f>
        <v>2697.1364775610136</v>
      </c>
      <c r="I91" s="39">
        <f>IF($H91="","",SUMPRODUCT(INDEX('TO HOP'!$C$66:$AT$127,$A91,0),'TO HOP'!$C$57:$AT$57)-INDEX('TO HOP'!$AD$66:$AD$127,$A91)*'TO HOP'!$AD$57-INDEX('TO HOP'!$AR$66:$AR$127,$A91)*'TO HOP'!$AR$57-INDEX('TO HOP'!$AS$66:$AS$127,$A91)*'TO HOP'!$AS$57+(INDEX('TO HOP'!$AD$66:$AD$127,$A91)*$G91+INDEX('TO HOP'!$AR$66:$AR$127,$A91)*$D91+INDEX('TO HOP'!$AS$66:$AS$127,$A91)*($E91+$F91))*(Hbe+Hcot+hxm+hgoi))</f>
        <v>34091.265631949253</v>
      </c>
      <c r="J91" s="39">
        <f>IF($H91="","",SUMPRODUCT(INDEX('TO HOP'!$C$66:$AT$127,$A91,0),'TO HOP'!$C$58:$AT$58)-INDEX('TO HOP'!$AD$66:$AD$127,$A91)*'TO HOP'!$AD$58-INDEX('TO HOP'!$AR$66:$AR$127,$A91)*'TO HOP'!$AR$58-INDEX('TO HOP'!$AS$66:$AS$127,$A91)*'TO HOP'!$AS$58+INDEX('TO HOP'!$AD$66:$AD$127,$A91)*$G91+INDEX('TO HOP'!$AR$66:$AR$127,$A91)*$D91+INDEX('TO HOP'!$AS$66:$AS$127,$A91)*($E91+$F91))</f>
        <v>2697.1364775610136</v>
      </c>
      <c r="K91" s="39">
        <f>IF($H91="","",SUMPRODUCT(INDEX('TO HOP'!$C$66:$AT$127,$A91,0),'TO HOP'!$C$62:$AT$62)-INDEX('TO HOP'!$AD$66:$AD$127,$A91)*'TO HOP'!$AD$62-INDEX('TO HOP'!$AR$66:$AR$127,$A91)*'TO HOP'!$AR$62-INDEX('TO HOP'!$AS$66:$AS$127,$A91)*'TO HOP'!$AS$62+(INDEX('TO HOP'!$AD$66:$AD$127,$A91)*$G91+INDEX('TO HOP'!$AR$66:$AR$127,$A91)*$D91+INDEX('TO HOP'!$AS$66:$AS$127,$A91)*($E91+$F91))*(Hcot+hxm+hgoi))</f>
        <v>28696.992676827227</v>
      </c>
      <c r="L91" s="39">
        <f t="shared" si="4"/>
        <v>2697.1364775610136</v>
      </c>
      <c r="M91" s="39">
        <f t="shared" si="5"/>
        <v>34091.265631949253</v>
      </c>
      <c r="N91" s="39">
        <f t="shared" si="6"/>
        <v>2697.1364775610136</v>
      </c>
      <c r="O91" s="39">
        <f t="shared" si="7"/>
        <v>28696.992676827227</v>
      </c>
    </row>
    <row r="92" spans="1:15" x14ac:dyDescent="0.3">
      <c r="A92" s="38">
        <f>'TO HOP'!N152</f>
        <v>22</v>
      </c>
      <c r="B92" s="38" t="str">
        <f>'TO HOP'!B152</f>
        <v>CĐ I(a) max - 2 nhịp lệch tâm 4 làn</v>
      </c>
      <c r="C92" s="38" t="s">
        <v>1203</v>
      </c>
      <c r="D92" s="39">
        <f>'HE GOI'!D19</f>
        <v>1383.337308977915</v>
      </c>
      <c r="E92" s="39">
        <f>IF(csmode=1,0,'HE GOI'!D20)</f>
        <v>512.34715147329803</v>
      </c>
      <c r="F92" s="39">
        <f>IF(csmode=1,'HE GOI'!D24,'HE GOI'!D21)</f>
        <v>320.21696967081334</v>
      </c>
      <c r="G92" s="39">
        <f>'HE GOI'!D23</f>
        <v>-1034.6545125000002</v>
      </c>
      <c r="H92" s="39">
        <f>IF(OR($A92=0,NOT(ISNUMBER($D92)),NOT(ISNUMBER($E92)),NOT(ISNUMBER($F92))),"",SUMPRODUCT(INDEX('TO HOP'!$C$66:$AT$127,$A92,0),'TO HOP'!$C$53:$AT$53)-INDEX('TO HOP'!$AD$66:$AD$127,$A92)*'TO HOP'!$AD$53-INDEX('TO HOP'!$AR$66:$AR$127,$A92)*'TO HOP'!$AR$53-INDEX('TO HOP'!$AS$66:$AS$127,$A92)*'TO HOP'!$AS$53+INDEX('TO HOP'!$AD$66:$AD$127,$A92)*$G92+INDEX('TO HOP'!$AR$66:$AR$127,$A92)*$D92+INDEX('TO HOP'!$AS$66:$AS$127,$A92)*($E92+$F92))</f>
        <v>627.82745256101293</v>
      </c>
      <c r="I92" s="39">
        <f>IF($H92="","",SUMPRODUCT(INDEX('TO HOP'!$C$66:$AT$127,$A92,0),'TO HOP'!$C$57:$AT$57)-INDEX('TO HOP'!$AD$66:$AD$127,$A92)*'TO HOP'!$AD$57-INDEX('TO HOP'!$AR$66:$AR$127,$A92)*'TO HOP'!$AR$57-INDEX('TO HOP'!$AS$66:$AS$127,$A92)*'TO HOP'!$AS$57+(INDEX('TO HOP'!$AD$66:$AD$127,$A92)*$G92+INDEX('TO HOP'!$AR$66:$AR$127,$A92)*$D92+INDEX('TO HOP'!$AS$66:$AS$127,$A92)*($E92+$F92))*(Hbe+Hcot+hxm+hgoi))</f>
        <v>8680.1508049492404</v>
      </c>
      <c r="J92" s="39">
        <f>IF($H92="","",SUMPRODUCT(INDEX('TO HOP'!$C$66:$AT$127,$A92,0),'TO HOP'!$C$58:$AT$58)-INDEX('TO HOP'!$AD$66:$AD$127,$A92)*'TO HOP'!$AD$58-INDEX('TO HOP'!$AR$66:$AR$127,$A92)*'TO HOP'!$AR$58-INDEX('TO HOP'!$AS$66:$AS$127,$A92)*'TO HOP'!$AS$58+INDEX('TO HOP'!$AD$66:$AD$127,$A92)*$G92+INDEX('TO HOP'!$AR$66:$AR$127,$A92)*$D92+INDEX('TO HOP'!$AS$66:$AS$127,$A92)*($E92+$F92))</f>
        <v>627.82745256101293</v>
      </c>
      <c r="K92" s="39">
        <f>IF($H92="","",SUMPRODUCT(INDEX('TO HOP'!$C$66:$AT$127,$A92,0),'TO HOP'!$C$62:$AT$62)-INDEX('TO HOP'!$AD$66:$AD$127,$A92)*'TO HOP'!$AD$62-INDEX('TO HOP'!$AR$66:$AR$127,$A92)*'TO HOP'!$AR$62-INDEX('TO HOP'!$AS$66:$AS$127,$A92)*'TO HOP'!$AS$62+(INDEX('TO HOP'!$AD$66:$AD$127,$A92)*$G92+INDEX('TO HOP'!$AR$66:$AR$127,$A92)*$D92+INDEX('TO HOP'!$AS$66:$AS$127,$A92)*($E92+$F92))*(Hcot+hxm+hgoi))</f>
        <v>7424.4958998272159</v>
      </c>
      <c r="L92" s="39">
        <f t="shared" si="4"/>
        <v>627.82745256101293</v>
      </c>
      <c r="M92" s="39">
        <f t="shared" si="5"/>
        <v>8680.1508049492404</v>
      </c>
      <c r="N92" s="39">
        <f t="shared" si="6"/>
        <v>627.82745256101293</v>
      </c>
      <c r="O92" s="39">
        <f t="shared" si="7"/>
        <v>7424.4958998272159</v>
      </c>
    </row>
    <row r="93" spans="1:15" x14ac:dyDescent="0.3">
      <c r="A93" s="38">
        <f>'TO HOP'!N153</f>
        <v>23</v>
      </c>
      <c r="B93" s="38" t="str">
        <f>'TO HOP'!B153</f>
        <v>CĐ I(a) max - 2 nhịp lệch tâm 5 làn</v>
      </c>
      <c r="C93" s="38" t="s">
        <v>1200</v>
      </c>
      <c r="D93" s="39">
        <f>'HE GOI'!D18</f>
        <v>-1521.6710398757043</v>
      </c>
      <c r="E93" s="39">
        <f>IF(csmode=1,0,'HE GOI'!D20)</f>
        <v>512.34715147329803</v>
      </c>
      <c r="F93" s="39">
        <f>IF(csmode=1,'HE GOI'!D24,'HE GOI'!D21)</f>
        <v>320.21696967081334</v>
      </c>
      <c r="G93" s="39">
        <f>'HE GOI'!D22</f>
        <v>1034.6545125000002</v>
      </c>
      <c r="H93" s="39">
        <f>IF(OR($A93=0,NOT(ISNUMBER($D93)),NOT(ISNUMBER($E93)),NOT(ISNUMBER($F93))),"",SUMPRODUCT(INDEX('TO HOP'!$C$66:$AT$127,$A93,0),'TO HOP'!$C$53:$AT$53)-INDEX('TO HOP'!$AD$66:$AD$127,$A93)*'TO HOP'!$AD$53-INDEX('TO HOP'!$AR$66:$AR$127,$A93)*'TO HOP'!$AR$53-INDEX('TO HOP'!$AS$66:$AS$127,$A93)*'TO HOP'!$AS$53+INDEX('TO HOP'!$AD$66:$AD$127,$A93)*$G93+INDEX('TO HOP'!$AR$66:$AR$127,$A93)*$D93+INDEX('TO HOP'!$AS$66:$AS$127,$A93)*($E93+$F93))</f>
        <v>1244.6323031342038</v>
      </c>
      <c r="I93" s="39">
        <f>IF($H93="","",SUMPRODUCT(INDEX('TO HOP'!$C$66:$AT$127,$A93,0),'TO HOP'!$C$57:$AT$57)-INDEX('TO HOP'!$AD$66:$AD$127,$A93)*'TO HOP'!$AD$57-INDEX('TO HOP'!$AR$66:$AR$127,$A93)*'TO HOP'!$AR$57-INDEX('TO HOP'!$AS$66:$AS$127,$A93)*'TO HOP'!$AS$57+(INDEX('TO HOP'!$AD$66:$AD$127,$A93)*$G93+INDEX('TO HOP'!$AR$66:$AR$127,$A93)*$D93+INDEX('TO HOP'!$AS$66:$AS$127,$A93)*($E93+$F93))*(Hbe+Hcot+hxm+hgoi))</f>
        <v>16254.514369988025</v>
      </c>
      <c r="J93" s="39">
        <f>IF($H93="","",SUMPRODUCT(INDEX('TO HOP'!$C$66:$AT$127,$A93,0),'TO HOP'!$C$58:$AT$58)-INDEX('TO HOP'!$AD$66:$AD$127,$A93)*'TO HOP'!$AD$58-INDEX('TO HOP'!$AR$66:$AR$127,$A93)*'TO HOP'!$AR$58-INDEX('TO HOP'!$AS$66:$AS$127,$A93)*'TO HOP'!$AS$58+INDEX('TO HOP'!$AD$66:$AD$127,$A93)*$G93+INDEX('TO HOP'!$AR$66:$AR$127,$A93)*$D93+INDEX('TO HOP'!$AS$66:$AS$127,$A93)*($E93+$F93))</f>
        <v>1244.6323031342038</v>
      </c>
      <c r="K93" s="39">
        <f>IF($H93="","",SUMPRODUCT(INDEX('TO HOP'!$C$66:$AT$127,$A93,0),'TO HOP'!$C$62:$AT$62)-INDEX('TO HOP'!$AD$66:$AD$127,$A93)*'TO HOP'!$AD$62-INDEX('TO HOP'!$AR$66:$AR$127,$A93)*'TO HOP'!$AR$62-INDEX('TO HOP'!$AS$66:$AS$127,$A93)*'TO HOP'!$AS$62+(INDEX('TO HOP'!$AD$66:$AD$127,$A93)*$G93+INDEX('TO HOP'!$AR$66:$AR$127,$A93)*$D93+INDEX('TO HOP'!$AS$66:$AS$127,$A93)*($E93+$F93))*(Hcot+hxm+hgoi))</f>
        <v>13765.249763719617</v>
      </c>
      <c r="L93" s="39">
        <f t="shared" si="4"/>
        <v>1244.6323031342038</v>
      </c>
      <c r="M93" s="39">
        <f t="shared" si="5"/>
        <v>16254.514369988025</v>
      </c>
      <c r="N93" s="39">
        <f t="shared" si="6"/>
        <v>1244.6323031342038</v>
      </c>
      <c r="O93" s="39">
        <f t="shared" si="7"/>
        <v>13765.249763719617</v>
      </c>
    </row>
    <row r="94" spans="1:15" x14ac:dyDescent="0.3">
      <c r="A94" s="38">
        <f>'TO HOP'!N153</f>
        <v>23</v>
      </c>
      <c r="B94" s="38" t="str">
        <f>'TO HOP'!B153</f>
        <v>CĐ I(a) max - 2 nhịp lệch tâm 5 làn</v>
      </c>
      <c r="C94" s="38" t="s">
        <v>1201</v>
      </c>
      <c r="D94" s="39">
        <f>'HE GOI'!D18</f>
        <v>-1521.6710398757043</v>
      </c>
      <c r="E94" s="39">
        <f>IF(csmode=1,0,'HE GOI'!D20)</f>
        <v>512.34715147329803</v>
      </c>
      <c r="F94" s="39">
        <f>IF(csmode=1,'HE GOI'!D24,'HE GOI'!D21)</f>
        <v>320.21696967081334</v>
      </c>
      <c r="G94" s="39">
        <f>'HE GOI'!D23</f>
        <v>-1034.6545125000002</v>
      </c>
      <c r="H94" s="39">
        <f>IF(OR($A94=0,NOT(ISNUMBER($D94)),NOT(ISNUMBER($E94)),NOT(ISNUMBER($F94))),"",SUMPRODUCT(INDEX('TO HOP'!$C$66:$AT$127,$A94,0),'TO HOP'!$C$53:$AT$53)-INDEX('TO HOP'!$AD$66:$AD$127,$A94)*'TO HOP'!$AD$53-INDEX('TO HOP'!$AR$66:$AR$127,$A94)*'TO HOP'!$AR$53-INDEX('TO HOP'!$AS$66:$AS$127,$A94)*'TO HOP'!$AS$53+INDEX('TO HOP'!$AD$66:$AD$127,$A94)*$G94+INDEX('TO HOP'!$AR$66:$AR$127,$A94)*$D94+INDEX('TO HOP'!$AS$66:$AS$127,$A94)*($E94+$F94))</f>
        <v>-824.67672186579659</v>
      </c>
      <c r="I94" s="39">
        <f>IF($H94="","",SUMPRODUCT(INDEX('TO HOP'!$C$66:$AT$127,$A94,0),'TO HOP'!$C$57:$AT$57)-INDEX('TO HOP'!$AD$66:$AD$127,$A94)*'TO HOP'!$AD$57-INDEX('TO HOP'!$AR$66:$AR$127,$A94)*'TO HOP'!$AR$57-INDEX('TO HOP'!$AS$66:$AS$127,$A94)*'TO HOP'!$AS$57+(INDEX('TO HOP'!$AD$66:$AD$127,$A94)*$G94+INDEX('TO HOP'!$AR$66:$AR$127,$A94)*$D94+INDEX('TO HOP'!$AS$66:$AS$127,$A94)*($E94+$F94))*(Hbe+Hcot+hxm+hgoi))</f>
        <v>-9156.6004570119821</v>
      </c>
      <c r="J94" s="39">
        <f>IF($H94="","",SUMPRODUCT(INDEX('TO HOP'!$C$66:$AT$127,$A94,0),'TO HOP'!$C$58:$AT$58)-INDEX('TO HOP'!$AD$66:$AD$127,$A94)*'TO HOP'!$AD$58-INDEX('TO HOP'!$AR$66:$AR$127,$A94)*'TO HOP'!$AR$58-INDEX('TO HOP'!$AS$66:$AS$127,$A94)*'TO HOP'!$AS$58+INDEX('TO HOP'!$AD$66:$AD$127,$A94)*$G94+INDEX('TO HOP'!$AR$66:$AR$127,$A94)*$D94+INDEX('TO HOP'!$AS$66:$AS$127,$A94)*($E94+$F94))</f>
        <v>-824.67672186579659</v>
      </c>
      <c r="K94" s="39">
        <f>IF($H94="","",SUMPRODUCT(INDEX('TO HOP'!$C$66:$AT$127,$A94,0),'TO HOP'!$C$62:$AT$62)-INDEX('TO HOP'!$AD$66:$AD$127,$A94)*'TO HOP'!$AD$62-INDEX('TO HOP'!$AR$66:$AR$127,$A94)*'TO HOP'!$AR$62-INDEX('TO HOP'!$AS$66:$AS$127,$A94)*'TO HOP'!$AS$62+(INDEX('TO HOP'!$AD$66:$AD$127,$A94)*$G94+INDEX('TO HOP'!$AR$66:$AR$127,$A94)*$D94+INDEX('TO HOP'!$AS$66:$AS$127,$A94)*($E94+$F94))*(Hcot+hxm+hgoi))</f>
        <v>-7507.2470132803865</v>
      </c>
      <c r="L94" s="39">
        <f t="shared" si="4"/>
        <v>824.67672186579659</v>
      </c>
      <c r="M94" s="39">
        <f t="shared" si="5"/>
        <v>9156.6004570119821</v>
      </c>
      <c r="N94" s="39">
        <f t="shared" si="6"/>
        <v>824.67672186579659</v>
      </c>
      <c r="O94" s="39">
        <f t="shared" si="7"/>
        <v>7507.2470132803865</v>
      </c>
    </row>
    <row r="95" spans="1:15" x14ac:dyDescent="0.3">
      <c r="A95" s="38">
        <f>'TO HOP'!N153</f>
        <v>23</v>
      </c>
      <c r="B95" s="38" t="str">
        <f>'TO HOP'!B153</f>
        <v>CĐ I(a) max - 2 nhịp lệch tâm 5 làn</v>
      </c>
      <c r="C95" s="38" t="s">
        <v>1202</v>
      </c>
      <c r="D95" s="39">
        <f>'HE GOI'!D19</f>
        <v>1383.337308977915</v>
      </c>
      <c r="E95" s="39">
        <f>IF(csmode=1,0,'HE GOI'!D20)</f>
        <v>512.34715147329803</v>
      </c>
      <c r="F95" s="39">
        <f>IF(csmode=1,'HE GOI'!D24,'HE GOI'!D21)</f>
        <v>320.21696967081334</v>
      </c>
      <c r="G95" s="39">
        <f>'HE GOI'!D22</f>
        <v>1034.6545125000002</v>
      </c>
      <c r="H95" s="39">
        <f>IF(OR($A95=0,NOT(ISNUMBER($D95)),NOT(ISNUMBER($E95)),NOT(ISNUMBER($F95))),"",SUMPRODUCT(INDEX('TO HOP'!$C$66:$AT$127,$A95,0),'TO HOP'!$C$53:$AT$53)-INDEX('TO HOP'!$AD$66:$AD$127,$A95)*'TO HOP'!$AD$53-INDEX('TO HOP'!$AR$66:$AR$127,$A95)*'TO HOP'!$AR$53-INDEX('TO HOP'!$AS$66:$AS$127,$A95)*'TO HOP'!$AS$53+INDEX('TO HOP'!$AD$66:$AD$127,$A95)*$G95+INDEX('TO HOP'!$AR$66:$AR$127,$A95)*$D95+INDEX('TO HOP'!$AS$66:$AS$127,$A95)*($E95+$F95))</f>
        <v>2697.1364775610136</v>
      </c>
      <c r="I95" s="39">
        <f>IF($H95="","",SUMPRODUCT(INDEX('TO HOP'!$C$66:$AT$127,$A95,0),'TO HOP'!$C$57:$AT$57)-INDEX('TO HOP'!$AD$66:$AD$127,$A95)*'TO HOP'!$AD$57-INDEX('TO HOP'!$AR$66:$AR$127,$A95)*'TO HOP'!$AR$57-INDEX('TO HOP'!$AS$66:$AS$127,$A95)*'TO HOP'!$AS$57+(INDEX('TO HOP'!$AD$66:$AD$127,$A95)*$G95+INDEX('TO HOP'!$AR$66:$AR$127,$A95)*$D95+INDEX('TO HOP'!$AS$66:$AS$127,$A95)*($E95+$F95))*(Hbe+Hcot+hxm+hgoi))</f>
        <v>34091.265631949253</v>
      </c>
      <c r="J95" s="39">
        <f>IF($H95="","",SUMPRODUCT(INDEX('TO HOP'!$C$66:$AT$127,$A95,0),'TO HOP'!$C$58:$AT$58)-INDEX('TO HOP'!$AD$66:$AD$127,$A95)*'TO HOP'!$AD$58-INDEX('TO HOP'!$AR$66:$AR$127,$A95)*'TO HOP'!$AR$58-INDEX('TO HOP'!$AS$66:$AS$127,$A95)*'TO HOP'!$AS$58+INDEX('TO HOP'!$AD$66:$AD$127,$A95)*$G95+INDEX('TO HOP'!$AR$66:$AR$127,$A95)*$D95+INDEX('TO HOP'!$AS$66:$AS$127,$A95)*($E95+$F95))</f>
        <v>2697.1364775610136</v>
      </c>
      <c r="K95" s="39">
        <f>IF($H95="","",SUMPRODUCT(INDEX('TO HOP'!$C$66:$AT$127,$A95,0),'TO HOP'!$C$62:$AT$62)-INDEX('TO HOP'!$AD$66:$AD$127,$A95)*'TO HOP'!$AD$62-INDEX('TO HOP'!$AR$66:$AR$127,$A95)*'TO HOP'!$AR$62-INDEX('TO HOP'!$AS$66:$AS$127,$A95)*'TO HOP'!$AS$62+(INDEX('TO HOP'!$AD$66:$AD$127,$A95)*$G95+INDEX('TO HOP'!$AR$66:$AR$127,$A95)*$D95+INDEX('TO HOP'!$AS$66:$AS$127,$A95)*($E95+$F95))*(Hcot+hxm+hgoi))</f>
        <v>28696.992676827227</v>
      </c>
      <c r="L95" s="39">
        <f t="shared" si="4"/>
        <v>2697.1364775610136</v>
      </c>
      <c r="M95" s="39">
        <f t="shared" si="5"/>
        <v>34091.265631949253</v>
      </c>
      <c r="N95" s="39">
        <f t="shared" si="6"/>
        <v>2697.1364775610136</v>
      </c>
      <c r="O95" s="39">
        <f t="shared" si="7"/>
        <v>28696.992676827227</v>
      </c>
    </row>
    <row r="96" spans="1:15" x14ac:dyDescent="0.3">
      <c r="A96" s="38">
        <f>'TO HOP'!N153</f>
        <v>23</v>
      </c>
      <c r="B96" s="38" t="str">
        <f>'TO HOP'!B153</f>
        <v>CĐ I(a) max - 2 nhịp lệch tâm 5 làn</v>
      </c>
      <c r="C96" s="38" t="s">
        <v>1203</v>
      </c>
      <c r="D96" s="39">
        <f>'HE GOI'!D19</f>
        <v>1383.337308977915</v>
      </c>
      <c r="E96" s="39">
        <f>IF(csmode=1,0,'HE GOI'!D20)</f>
        <v>512.34715147329803</v>
      </c>
      <c r="F96" s="39">
        <f>IF(csmode=1,'HE GOI'!D24,'HE GOI'!D21)</f>
        <v>320.21696967081334</v>
      </c>
      <c r="G96" s="39">
        <f>'HE GOI'!D23</f>
        <v>-1034.6545125000002</v>
      </c>
      <c r="H96" s="39">
        <f>IF(OR($A96=0,NOT(ISNUMBER($D96)),NOT(ISNUMBER($E96)),NOT(ISNUMBER($F96))),"",SUMPRODUCT(INDEX('TO HOP'!$C$66:$AT$127,$A96,0),'TO HOP'!$C$53:$AT$53)-INDEX('TO HOP'!$AD$66:$AD$127,$A96)*'TO HOP'!$AD$53-INDEX('TO HOP'!$AR$66:$AR$127,$A96)*'TO HOP'!$AR$53-INDEX('TO HOP'!$AS$66:$AS$127,$A96)*'TO HOP'!$AS$53+INDEX('TO HOP'!$AD$66:$AD$127,$A96)*$G96+INDEX('TO HOP'!$AR$66:$AR$127,$A96)*$D96+INDEX('TO HOP'!$AS$66:$AS$127,$A96)*($E96+$F96))</f>
        <v>627.82745256101293</v>
      </c>
      <c r="I96" s="39">
        <f>IF($H96="","",SUMPRODUCT(INDEX('TO HOP'!$C$66:$AT$127,$A96,0),'TO HOP'!$C$57:$AT$57)-INDEX('TO HOP'!$AD$66:$AD$127,$A96)*'TO HOP'!$AD$57-INDEX('TO HOP'!$AR$66:$AR$127,$A96)*'TO HOP'!$AR$57-INDEX('TO HOP'!$AS$66:$AS$127,$A96)*'TO HOP'!$AS$57+(INDEX('TO HOP'!$AD$66:$AD$127,$A96)*$G96+INDEX('TO HOP'!$AR$66:$AR$127,$A96)*$D96+INDEX('TO HOP'!$AS$66:$AS$127,$A96)*($E96+$F96))*(Hbe+Hcot+hxm+hgoi))</f>
        <v>8680.1508049492404</v>
      </c>
      <c r="J96" s="39">
        <f>IF($H96="","",SUMPRODUCT(INDEX('TO HOP'!$C$66:$AT$127,$A96,0),'TO HOP'!$C$58:$AT$58)-INDEX('TO HOP'!$AD$66:$AD$127,$A96)*'TO HOP'!$AD$58-INDEX('TO HOP'!$AR$66:$AR$127,$A96)*'TO HOP'!$AR$58-INDEX('TO HOP'!$AS$66:$AS$127,$A96)*'TO HOP'!$AS$58+INDEX('TO HOP'!$AD$66:$AD$127,$A96)*$G96+INDEX('TO HOP'!$AR$66:$AR$127,$A96)*$D96+INDEX('TO HOP'!$AS$66:$AS$127,$A96)*($E96+$F96))</f>
        <v>627.82745256101293</v>
      </c>
      <c r="K96" s="39">
        <f>IF($H96="","",SUMPRODUCT(INDEX('TO HOP'!$C$66:$AT$127,$A96,0),'TO HOP'!$C$62:$AT$62)-INDEX('TO HOP'!$AD$66:$AD$127,$A96)*'TO HOP'!$AD$62-INDEX('TO HOP'!$AR$66:$AR$127,$A96)*'TO HOP'!$AR$62-INDEX('TO HOP'!$AS$66:$AS$127,$A96)*'TO HOP'!$AS$62+(INDEX('TO HOP'!$AD$66:$AD$127,$A96)*$G96+INDEX('TO HOP'!$AR$66:$AR$127,$A96)*$D96+INDEX('TO HOP'!$AS$66:$AS$127,$A96)*($E96+$F96))*(Hcot+hxm+hgoi))</f>
        <v>7424.4958998272159</v>
      </c>
      <c r="L96" s="39">
        <f t="shared" si="4"/>
        <v>627.82745256101293</v>
      </c>
      <c r="M96" s="39">
        <f t="shared" si="5"/>
        <v>8680.1508049492404</v>
      </c>
      <c r="N96" s="39">
        <f t="shared" si="6"/>
        <v>627.82745256101293</v>
      </c>
      <c r="O96" s="39">
        <f t="shared" si="7"/>
        <v>7424.4958998272159</v>
      </c>
    </row>
    <row r="97" spans="1:15" x14ac:dyDescent="0.3">
      <c r="A97" s="38">
        <f>'TO HOP'!N154</f>
        <v>24</v>
      </c>
      <c r="B97" s="38" t="str">
        <f>'TO HOP'!B154</f>
        <v>CĐ I(a) max - 2 nhịp lệch tâm 6 làn</v>
      </c>
      <c r="C97" s="38" t="s">
        <v>1200</v>
      </c>
      <c r="D97" s="39">
        <f>'HE GOI'!D18</f>
        <v>-1521.6710398757043</v>
      </c>
      <c r="E97" s="39">
        <f>IF(csmode=1,0,'HE GOI'!D20)</f>
        <v>512.34715147329803</v>
      </c>
      <c r="F97" s="39">
        <f>IF(csmode=1,'HE GOI'!D24,'HE GOI'!D21)</f>
        <v>320.21696967081334</v>
      </c>
      <c r="G97" s="39">
        <f>'HE GOI'!D22</f>
        <v>1034.6545125000002</v>
      </c>
      <c r="H97" s="39">
        <f>IF(OR($A97=0,NOT(ISNUMBER($D97)),NOT(ISNUMBER($E97)),NOT(ISNUMBER($F97))),"",SUMPRODUCT(INDEX('TO HOP'!$C$66:$AT$127,$A97,0),'TO HOP'!$C$53:$AT$53)-INDEX('TO HOP'!$AD$66:$AD$127,$A97)*'TO HOP'!$AD$53-INDEX('TO HOP'!$AR$66:$AR$127,$A97)*'TO HOP'!$AR$53-INDEX('TO HOP'!$AS$66:$AS$127,$A97)*'TO HOP'!$AS$53+INDEX('TO HOP'!$AD$66:$AD$127,$A97)*$G97+INDEX('TO HOP'!$AR$66:$AR$127,$A97)*$D97+INDEX('TO HOP'!$AS$66:$AS$127,$A97)*($E97+$F97))</f>
        <v>1244.6323031342038</v>
      </c>
      <c r="I97" s="39">
        <f>IF($H97="","",SUMPRODUCT(INDEX('TO HOP'!$C$66:$AT$127,$A97,0),'TO HOP'!$C$57:$AT$57)-INDEX('TO HOP'!$AD$66:$AD$127,$A97)*'TO HOP'!$AD$57-INDEX('TO HOP'!$AR$66:$AR$127,$A97)*'TO HOP'!$AR$57-INDEX('TO HOP'!$AS$66:$AS$127,$A97)*'TO HOP'!$AS$57+(INDEX('TO HOP'!$AD$66:$AD$127,$A97)*$G97+INDEX('TO HOP'!$AR$66:$AR$127,$A97)*$D97+INDEX('TO HOP'!$AS$66:$AS$127,$A97)*($E97+$F97))*(Hbe+Hcot+hxm+hgoi))</f>
        <v>16254.514369988025</v>
      </c>
      <c r="J97" s="39">
        <f>IF($H97="","",SUMPRODUCT(INDEX('TO HOP'!$C$66:$AT$127,$A97,0),'TO HOP'!$C$58:$AT$58)-INDEX('TO HOP'!$AD$66:$AD$127,$A97)*'TO HOP'!$AD$58-INDEX('TO HOP'!$AR$66:$AR$127,$A97)*'TO HOP'!$AR$58-INDEX('TO HOP'!$AS$66:$AS$127,$A97)*'TO HOP'!$AS$58+INDEX('TO HOP'!$AD$66:$AD$127,$A97)*$G97+INDEX('TO HOP'!$AR$66:$AR$127,$A97)*$D97+INDEX('TO HOP'!$AS$66:$AS$127,$A97)*($E97+$F97))</f>
        <v>1244.6323031342038</v>
      </c>
      <c r="K97" s="39">
        <f>IF($H97="","",SUMPRODUCT(INDEX('TO HOP'!$C$66:$AT$127,$A97,0),'TO HOP'!$C$62:$AT$62)-INDEX('TO HOP'!$AD$66:$AD$127,$A97)*'TO HOP'!$AD$62-INDEX('TO HOP'!$AR$66:$AR$127,$A97)*'TO HOP'!$AR$62-INDEX('TO HOP'!$AS$66:$AS$127,$A97)*'TO HOP'!$AS$62+(INDEX('TO HOP'!$AD$66:$AD$127,$A97)*$G97+INDEX('TO HOP'!$AR$66:$AR$127,$A97)*$D97+INDEX('TO HOP'!$AS$66:$AS$127,$A97)*($E97+$F97))*(Hcot+hxm+hgoi))</f>
        <v>13765.249763719617</v>
      </c>
      <c r="L97" s="39">
        <f t="shared" si="4"/>
        <v>1244.6323031342038</v>
      </c>
      <c r="M97" s="39">
        <f t="shared" si="5"/>
        <v>16254.514369988025</v>
      </c>
      <c r="N97" s="39">
        <f t="shared" si="6"/>
        <v>1244.6323031342038</v>
      </c>
      <c r="O97" s="39">
        <f t="shared" si="7"/>
        <v>13765.249763719617</v>
      </c>
    </row>
    <row r="98" spans="1:15" x14ac:dyDescent="0.3">
      <c r="A98" s="38">
        <f>'TO HOP'!N154</f>
        <v>24</v>
      </c>
      <c r="B98" s="38" t="str">
        <f>'TO HOP'!B154</f>
        <v>CĐ I(a) max - 2 nhịp lệch tâm 6 làn</v>
      </c>
      <c r="C98" s="38" t="s">
        <v>1201</v>
      </c>
      <c r="D98" s="39">
        <f>'HE GOI'!D18</f>
        <v>-1521.6710398757043</v>
      </c>
      <c r="E98" s="39">
        <f>IF(csmode=1,0,'HE GOI'!D20)</f>
        <v>512.34715147329803</v>
      </c>
      <c r="F98" s="39">
        <f>IF(csmode=1,'HE GOI'!D24,'HE GOI'!D21)</f>
        <v>320.21696967081334</v>
      </c>
      <c r="G98" s="39">
        <f>'HE GOI'!D23</f>
        <v>-1034.6545125000002</v>
      </c>
      <c r="H98" s="39">
        <f>IF(OR($A98=0,NOT(ISNUMBER($D98)),NOT(ISNUMBER($E98)),NOT(ISNUMBER($F98))),"",SUMPRODUCT(INDEX('TO HOP'!$C$66:$AT$127,$A98,0),'TO HOP'!$C$53:$AT$53)-INDEX('TO HOP'!$AD$66:$AD$127,$A98)*'TO HOP'!$AD$53-INDEX('TO HOP'!$AR$66:$AR$127,$A98)*'TO HOP'!$AR$53-INDEX('TO HOP'!$AS$66:$AS$127,$A98)*'TO HOP'!$AS$53+INDEX('TO HOP'!$AD$66:$AD$127,$A98)*$G98+INDEX('TO HOP'!$AR$66:$AR$127,$A98)*$D98+INDEX('TO HOP'!$AS$66:$AS$127,$A98)*($E98+$F98))</f>
        <v>-824.67672186579659</v>
      </c>
      <c r="I98" s="39">
        <f>IF($H98="","",SUMPRODUCT(INDEX('TO HOP'!$C$66:$AT$127,$A98,0),'TO HOP'!$C$57:$AT$57)-INDEX('TO HOP'!$AD$66:$AD$127,$A98)*'TO HOP'!$AD$57-INDEX('TO HOP'!$AR$66:$AR$127,$A98)*'TO HOP'!$AR$57-INDEX('TO HOP'!$AS$66:$AS$127,$A98)*'TO HOP'!$AS$57+(INDEX('TO HOP'!$AD$66:$AD$127,$A98)*$G98+INDEX('TO HOP'!$AR$66:$AR$127,$A98)*$D98+INDEX('TO HOP'!$AS$66:$AS$127,$A98)*($E98+$F98))*(Hbe+Hcot+hxm+hgoi))</f>
        <v>-9156.6004570119821</v>
      </c>
      <c r="J98" s="39">
        <f>IF($H98="","",SUMPRODUCT(INDEX('TO HOP'!$C$66:$AT$127,$A98,0),'TO HOP'!$C$58:$AT$58)-INDEX('TO HOP'!$AD$66:$AD$127,$A98)*'TO HOP'!$AD$58-INDEX('TO HOP'!$AR$66:$AR$127,$A98)*'TO HOP'!$AR$58-INDEX('TO HOP'!$AS$66:$AS$127,$A98)*'TO HOP'!$AS$58+INDEX('TO HOP'!$AD$66:$AD$127,$A98)*$G98+INDEX('TO HOP'!$AR$66:$AR$127,$A98)*$D98+INDEX('TO HOP'!$AS$66:$AS$127,$A98)*($E98+$F98))</f>
        <v>-824.67672186579659</v>
      </c>
      <c r="K98" s="39">
        <f>IF($H98="","",SUMPRODUCT(INDEX('TO HOP'!$C$66:$AT$127,$A98,0),'TO HOP'!$C$62:$AT$62)-INDEX('TO HOP'!$AD$66:$AD$127,$A98)*'TO HOP'!$AD$62-INDEX('TO HOP'!$AR$66:$AR$127,$A98)*'TO HOP'!$AR$62-INDEX('TO HOP'!$AS$66:$AS$127,$A98)*'TO HOP'!$AS$62+(INDEX('TO HOP'!$AD$66:$AD$127,$A98)*$G98+INDEX('TO HOP'!$AR$66:$AR$127,$A98)*$D98+INDEX('TO HOP'!$AS$66:$AS$127,$A98)*($E98+$F98))*(Hcot+hxm+hgoi))</f>
        <v>-7507.2470132803865</v>
      </c>
      <c r="L98" s="39">
        <f t="shared" si="4"/>
        <v>824.67672186579659</v>
      </c>
      <c r="M98" s="39">
        <f t="shared" si="5"/>
        <v>9156.6004570119821</v>
      </c>
      <c r="N98" s="39">
        <f t="shared" si="6"/>
        <v>824.67672186579659</v>
      </c>
      <c r="O98" s="39">
        <f t="shared" si="7"/>
        <v>7507.2470132803865</v>
      </c>
    </row>
    <row r="99" spans="1:15" x14ac:dyDescent="0.3">
      <c r="A99" s="38">
        <f>'TO HOP'!N154</f>
        <v>24</v>
      </c>
      <c r="B99" s="38" t="str">
        <f>'TO HOP'!B154</f>
        <v>CĐ I(a) max - 2 nhịp lệch tâm 6 làn</v>
      </c>
      <c r="C99" s="38" t="s">
        <v>1202</v>
      </c>
      <c r="D99" s="39">
        <f>'HE GOI'!D19</f>
        <v>1383.337308977915</v>
      </c>
      <c r="E99" s="39">
        <f>IF(csmode=1,0,'HE GOI'!D20)</f>
        <v>512.34715147329803</v>
      </c>
      <c r="F99" s="39">
        <f>IF(csmode=1,'HE GOI'!D24,'HE GOI'!D21)</f>
        <v>320.21696967081334</v>
      </c>
      <c r="G99" s="39">
        <f>'HE GOI'!D22</f>
        <v>1034.6545125000002</v>
      </c>
      <c r="H99" s="39">
        <f>IF(OR($A99=0,NOT(ISNUMBER($D99)),NOT(ISNUMBER($E99)),NOT(ISNUMBER($F99))),"",SUMPRODUCT(INDEX('TO HOP'!$C$66:$AT$127,$A99,0),'TO HOP'!$C$53:$AT$53)-INDEX('TO HOP'!$AD$66:$AD$127,$A99)*'TO HOP'!$AD$53-INDEX('TO HOP'!$AR$66:$AR$127,$A99)*'TO HOP'!$AR$53-INDEX('TO HOP'!$AS$66:$AS$127,$A99)*'TO HOP'!$AS$53+INDEX('TO HOP'!$AD$66:$AD$127,$A99)*$G99+INDEX('TO HOP'!$AR$66:$AR$127,$A99)*$D99+INDEX('TO HOP'!$AS$66:$AS$127,$A99)*($E99+$F99))</f>
        <v>2697.1364775610136</v>
      </c>
      <c r="I99" s="39">
        <f>IF($H99="","",SUMPRODUCT(INDEX('TO HOP'!$C$66:$AT$127,$A99,0),'TO HOP'!$C$57:$AT$57)-INDEX('TO HOP'!$AD$66:$AD$127,$A99)*'TO HOP'!$AD$57-INDEX('TO HOP'!$AR$66:$AR$127,$A99)*'TO HOP'!$AR$57-INDEX('TO HOP'!$AS$66:$AS$127,$A99)*'TO HOP'!$AS$57+(INDEX('TO HOP'!$AD$66:$AD$127,$A99)*$G99+INDEX('TO HOP'!$AR$66:$AR$127,$A99)*$D99+INDEX('TO HOP'!$AS$66:$AS$127,$A99)*($E99+$F99))*(Hbe+Hcot+hxm+hgoi))</f>
        <v>34091.265631949253</v>
      </c>
      <c r="J99" s="39">
        <f>IF($H99="","",SUMPRODUCT(INDEX('TO HOP'!$C$66:$AT$127,$A99,0),'TO HOP'!$C$58:$AT$58)-INDEX('TO HOP'!$AD$66:$AD$127,$A99)*'TO HOP'!$AD$58-INDEX('TO HOP'!$AR$66:$AR$127,$A99)*'TO HOP'!$AR$58-INDEX('TO HOP'!$AS$66:$AS$127,$A99)*'TO HOP'!$AS$58+INDEX('TO HOP'!$AD$66:$AD$127,$A99)*$G99+INDEX('TO HOP'!$AR$66:$AR$127,$A99)*$D99+INDEX('TO HOP'!$AS$66:$AS$127,$A99)*($E99+$F99))</f>
        <v>2697.1364775610136</v>
      </c>
      <c r="K99" s="39">
        <f>IF($H99="","",SUMPRODUCT(INDEX('TO HOP'!$C$66:$AT$127,$A99,0),'TO HOP'!$C$62:$AT$62)-INDEX('TO HOP'!$AD$66:$AD$127,$A99)*'TO HOP'!$AD$62-INDEX('TO HOP'!$AR$66:$AR$127,$A99)*'TO HOP'!$AR$62-INDEX('TO HOP'!$AS$66:$AS$127,$A99)*'TO HOP'!$AS$62+(INDEX('TO HOP'!$AD$66:$AD$127,$A99)*$G99+INDEX('TO HOP'!$AR$66:$AR$127,$A99)*$D99+INDEX('TO HOP'!$AS$66:$AS$127,$A99)*($E99+$F99))*(Hcot+hxm+hgoi))</f>
        <v>28696.992676827227</v>
      </c>
      <c r="L99" s="39">
        <f t="shared" si="4"/>
        <v>2697.1364775610136</v>
      </c>
      <c r="M99" s="39">
        <f t="shared" si="5"/>
        <v>34091.265631949253</v>
      </c>
      <c r="N99" s="39">
        <f t="shared" si="6"/>
        <v>2697.1364775610136</v>
      </c>
      <c r="O99" s="39">
        <f t="shared" si="7"/>
        <v>28696.992676827227</v>
      </c>
    </row>
    <row r="100" spans="1:15" x14ac:dyDescent="0.3">
      <c r="A100" s="38">
        <f>'TO HOP'!N154</f>
        <v>24</v>
      </c>
      <c r="B100" s="38" t="str">
        <f>'TO HOP'!B154</f>
        <v>CĐ I(a) max - 2 nhịp lệch tâm 6 làn</v>
      </c>
      <c r="C100" s="38" t="s">
        <v>1203</v>
      </c>
      <c r="D100" s="39">
        <f>'HE GOI'!D19</f>
        <v>1383.337308977915</v>
      </c>
      <c r="E100" s="39">
        <f>IF(csmode=1,0,'HE GOI'!D20)</f>
        <v>512.34715147329803</v>
      </c>
      <c r="F100" s="39">
        <f>IF(csmode=1,'HE GOI'!D24,'HE GOI'!D21)</f>
        <v>320.21696967081334</v>
      </c>
      <c r="G100" s="39">
        <f>'HE GOI'!D23</f>
        <v>-1034.6545125000002</v>
      </c>
      <c r="H100" s="39">
        <f>IF(OR($A100=0,NOT(ISNUMBER($D100)),NOT(ISNUMBER($E100)),NOT(ISNUMBER($F100))),"",SUMPRODUCT(INDEX('TO HOP'!$C$66:$AT$127,$A100,0),'TO HOP'!$C$53:$AT$53)-INDEX('TO HOP'!$AD$66:$AD$127,$A100)*'TO HOP'!$AD$53-INDEX('TO HOP'!$AR$66:$AR$127,$A100)*'TO HOP'!$AR$53-INDEX('TO HOP'!$AS$66:$AS$127,$A100)*'TO HOP'!$AS$53+INDEX('TO HOP'!$AD$66:$AD$127,$A100)*$G100+INDEX('TO HOP'!$AR$66:$AR$127,$A100)*$D100+INDEX('TO HOP'!$AS$66:$AS$127,$A100)*($E100+$F100))</f>
        <v>627.82745256101293</v>
      </c>
      <c r="I100" s="39">
        <f>IF($H100="","",SUMPRODUCT(INDEX('TO HOP'!$C$66:$AT$127,$A100,0),'TO HOP'!$C$57:$AT$57)-INDEX('TO HOP'!$AD$66:$AD$127,$A100)*'TO HOP'!$AD$57-INDEX('TO HOP'!$AR$66:$AR$127,$A100)*'TO HOP'!$AR$57-INDEX('TO HOP'!$AS$66:$AS$127,$A100)*'TO HOP'!$AS$57+(INDEX('TO HOP'!$AD$66:$AD$127,$A100)*$G100+INDEX('TO HOP'!$AR$66:$AR$127,$A100)*$D100+INDEX('TO HOP'!$AS$66:$AS$127,$A100)*($E100+$F100))*(Hbe+Hcot+hxm+hgoi))</f>
        <v>8680.1508049492404</v>
      </c>
      <c r="J100" s="39">
        <f>IF($H100="","",SUMPRODUCT(INDEX('TO HOP'!$C$66:$AT$127,$A100,0),'TO HOP'!$C$58:$AT$58)-INDEX('TO HOP'!$AD$66:$AD$127,$A100)*'TO HOP'!$AD$58-INDEX('TO HOP'!$AR$66:$AR$127,$A100)*'TO HOP'!$AR$58-INDEX('TO HOP'!$AS$66:$AS$127,$A100)*'TO HOP'!$AS$58+INDEX('TO HOP'!$AD$66:$AD$127,$A100)*$G100+INDEX('TO HOP'!$AR$66:$AR$127,$A100)*$D100+INDEX('TO HOP'!$AS$66:$AS$127,$A100)*($E100+$F100))</f>
        <v>627.82745256101293</v>
      </c>
      <c r="K100" s="39">
        <f>IF($H100="","",SUMPRODUCT(INDEX('TO HOP'!$C$66:$AT$127,$A100,0),'TO HOP'!$C$62:$AT$62)-INDEX('TO HOP'!$AD$66:$AD$127,$A100)*'TO HOP'!$AD$62-INDEX('TO HOP'!$AR$66:$AR$127,$A100)*'TO HOP'!$AR$62-INDEX('TO HOP'!$AS$66:$AS$127,$A100)*'TO HOP'!$AS$62+(INDEX('TO HOP'!$AD$66:$AD$127,$A100)*$G100+INDEX('TO HOP'!$AR$66:$AR$127,$A100)*$D100+INDEX('TO HOP'!$AS$66:$AS$127,$A100)*($E100+$F100))*(Hcot+hxm+hgoi))</f>
        <v>7424.4958998272159</v>
      </c>
      <c r="L100" s="39">
        <f t="shared" si="4"/>
        <v>627.82745256101293</v>
      </c>
      <c r="M100" s="39">
        <f t="shared" si="5"/>
        <v>8680.1508049492404</v>
      </c>
      <c r="N100" s="39">
        <f t="shared" si="6"/>
        <v>627.82745256101293</v>
      </c>
      <c r="O100" s="39">
        <f t="shared" si="7"/>
        <v>7424.4958998272159</v>
      </c>
    </row>
    <row r="101" spans="1:15" x14ac:dyDescent="0.3">
      <c r="A101" s="38">
        <f>'TO HOP'!N155</f>
        <v>25</v>
      </c>
      <c r="B101" s="38" t="str">
        <f>'TO HOP'!B155</f>
        <v>CĐ I(a) max - 2 nhịp đúng tâm 1 làn</v>
      </c>
      <c r="C101" s="38" t="s">
        <v>1200</v>
      </c>
      <c r="D101" s="39">
        <f>'HE GOI'!D18</f>
        <v>-1521.6710398757043</v>
      </c>
      <c r="E101" s="39">
        <f>IF(csmode=1,0,'HE GOI'!D20)</f>
        <v>512.34715147329803</v>
      </c>
      <c r="F101" s="39">
        <f>IF(csmode=1,'HE GOI'!D24,'HE GOI'!D21)</f>
        <v>320.21696967081334</v>
      </c>
      <c r="G101" s="39">
        <f>'HE GOI'!D22</f>
        <v>1034.6545125000002</v>
      </c>
      <c r="H101" s="39">
        <f>IF(OR($A101=0,NOT(ISNUMBER($D101)),NOT(ISNUMBER($E101)),NOT(ISNUMBER($F101))),"",SUMPRODUCT(INDEX('TO HOP'!$C$66:$AT$127,$A101,0),'TO HOP'!$C$53:$AT$53)-INDEX('TO HOP'!$AD$66:$AD$127,$A101)*'TO HOP'!$AD$53-INDEX('TO HOP'!$AR$66:$AR$127,$A101)*'TO HOP'!$AR$53-INDEX('TO HOP'!$AS$66:$AS$127,$A101)*'TO HOP'!$AS$53+INDEX('TO HOP'!$AD$66:$AD$127,$A101)*$G101+INDEX('TO HOP'!$AR$66:$AR$127,$A101)*$D101+INDEX('TO HOP'!$AS$66:$AS$127,$A101)*($E101+$F101))</f>
        <v>1244.6323031342038</v>
      </c>
      <c r="I101" s="39">
        <f>IF($H101="","",SUMPRODUCT(INDEX('TO HOP'!$C$66:$AT$127,$A101,0),'TO HOP'!$C$57:$AT$57)-INDEX('TO HOP'!$AD$66:$AD$127,$A101)*'TO HOP'!$AD$57-INDEX('TO HOP'!$AR$66:$AR$127,$A101)*'TO HOP'!$AR$57-INDEX('TO HOP'!$AS$66:$AS$127,$A101)*'TO HOP'!$AS$57+(INDEX('TO HOP'!$AD$66:$AD$127,$A101)*$G101+INDEX('TO HOP'!$AR$66:$AR$127,$A101)*$D101+INDEX('TO HOP'!$AS$66:$AS$127,$A101)*($E101+$F101))*(Hbe+Hcot+hxm+hgoi))</f>
        <v>16254.514369988025</v>
      </c>
      <c r="J101" s="39">
        <f>IF($H101="","",SUMPRODUCT(INDEX('TO HOP'!$C$66:$AT$127,$A101,0),'TO HOP'!$C$58:$AT$58)-INDEX('TO HOP'!$AD$66:$AD$127,$A101)*'TO HOP'!$AD$58-INDEX('TO HOP'!$AR$66:$AR$127,$A101)*'TO HOP'!$AR$58-INDEX('TO HOP'!$AS$66:$AS$127,$A101)*'TO HOP'!$AS$58+INDEX('TO HOP'!$AD$66:$AD$127,$A101)*$G101+INDEX('TO HOP'!$AR$66:$AR$127,$A101)*$D101+INDEX('TO HOP'!$AS$66:$AS$127,$A101)*($E101+$F101))</f>
        <v>1244.6323031342038</v>
      </c>
      <c r="K101" s="39">
        <f>IF($H101="","",SUMPRODUCT(INDEX('TO HOP'!$C$66:$AT$127,$A101,0),'TO HOP'!$C$62:$AT$62)-INDEX('TO HOP'!$AD$66:$AD$127,$A101)*'TO HOP'!$AD$62-INDEX('TO HOP'!$AR$66:$AR$127,$A101)*'TO HOP'!$AR$62-INDEX('TO HOP'!$AS$66:$AS$127,$A101)*'TO HOP'!$AS$62+(INDEX('TO HOP'!$AD$66:$AD$127,$A101)*$G101+INDEX('TO HOP'!$AR$66:$AR$127,$A101)*$D101+INDEX('TO HOP'!$AS$66:$AS$127,$A101)*($E101+$F101))*(Hcot+hxm+hgoi))</f>
        <v>13765.249763719617</v>
      </c>
      <c r="L101" s="39">
        <f t="shared" si="4"/>
        <v>1244.6323031342038</v>
      </c>
      <c r="M101" s="39">
        <f t="shared" si="5"/>
        <v>16254.514369988025</v>
      </c>
      <c r="N101" s="39">
        <f t="shared" si="6"/>
        <v>1244.6323031342038</v>
      </c>
      <c r="O101" s="39">
        <f t="shared" si="7"/>
        <v>13765.249763719617</v>
      </c>
    </row>
    <row r="102" spans="1:15" x14ac:dyDescent="0.3">
      <c r="A102" s="38">
        <f>'TO HOP'!N155</f>
        <v>25</v>
      </c>
      <c r="B102" s="38" t="str">
        <f>'TO HOP'!B155</f>
        <v>CĐ I(a) max - 2 nhịp đúng tâm 1 làn</v>
      </c>
      <c r="C102" s="38" t="s">
        <v>1201</v>
      </c>
      <c r="D102" s="39">
        <f>'HE GOI'!D18</f>
        <v>-1521.6710398757043</v>
      </c>
      <c r="E102" s="39">
        <f>IF(csmode=1,0,'HE GOI'!D20)</f>
        <v>512.34715147329803</v>
      </c>
      <c r="F102" s="39">
        <f>IF(csmode=1,'HE GOI'!D24,'HE GOI'!D21)</f>
        <v>320.21696967081334</v>
      </c>
      <c r="G102" s="39">
        <f>'HE GOI'!D23</f>
        <v>-1034.6545125000002</v>
      </c>
      <c r="H102" s="39">
        <f>IF(OR($A102=0,NOT(ISNUMBER($D102)),NOT(ISNUMBER($E102)),NOT(ISNUMBER($F102))),"",SUMPRODUCT(INDEX('TO HOP'!$C$66:$AT$127,$A102,0),'TO HOP'!$C$53:$AT$53)-INDEX('TO HOP'!$AD$66:$AD$127,$A102)*'TO HOP'!$AD$53-INDEX('TO HOP'!$AR$66:$AR$127,$A102)*'TO HOP'!$AR$53-INDEX('TO HOP'!$AS$66:$AS$127,$A102)*'TO HOP'!$AS$53+INDEX('TO HOP'!$AD$66:$AD$127,$A102)*$G102+INDEX('TO HOP'!$AR$66:$AR$127,$A102)*$D102+INDEX('TO HOP'!$AS$66:$AS$127,$A102)*($E102+$F102))</f>
        <v>-824.67672186579659</v>
      </c>
      <c r="I102" s="39">
        <f>IF($H102="","",SUMPRODUCT(INDEX('TO HOP'!$C$66:$AT$127,$A102,0),'TO HOP'!$C$57:$AT$57)-INDEX('TO HOP'!$AD$66:$AD$127,$A102)*'TO HOP'!$AD$57-INDEX('TO HOP'!$AR$66:$AR$127,$A102)*'TO HOP'!$AR$57-INDEX('TO HOP'!$AS$66:$AS$127,$A102)*'TO HOP'!$AS$57+(INDEX('TO HOP'!$AD$66:$AD$127,$A102)*$G102+INDEX('TO HOP'!$AR$66:$AR$127,$A102)*$D102+INDEX('TO HOP'!$AS$66:$AS$127,$A102)*($E102+$F102))*(Hbe+Hcot+hxm+hgoi))</f>
        <v>-9156.6004570119821</v>
      </c>
      <c r="J102" s="39">
        <f>IF($H102="","",SUMPRODUCT(INDEX('TO HOP'!$C$66:$AT$127,$A102,0),'TO HOP'!$C$58:$AT$58)-INDEX('TO HOP'!$AD$66:$AD$127,$A102)*'TO HOP'!$AD$58-INDEX('TO HOP'!$AR$66:$AR$127,$A102)*'TO HOP'!$AR$58-INDEX('TO HOP'!$AS$66:$AS$127,$A102)*'TO HOP'!$AS$58+INDEX('TO HOP'!$AD$66:$AD$127,$A102)*$G102+INDEX('TO HOP'!$AR$66:$AR$127,$A102)*$D102+INDEX('TO HOP'!$AS$66:$AS$127,$A102)*($E102+$F102))</f>
        <v>-824.67672186579659</v>
      </c>
      <c r="K102" s="39">
        <f>IF($H102="","",SUMPRODUCT(INDEX('TO HOP'!$C$66:$AT$127,$A102,0),'TO HOP'!$C$62:$AT$62)-INDEX('TO HOP'!$AD$66:$AD$127,$A102)*'TO HOP'!$AD$62-INDEX('TO HOP'!$AR$66:$AR$127,$A102)*'TO HOP'!$AR$62-INDEX('TO HOP'!$AS$66:$AS$127,$A102)*'TO HOP'!$AS$62+(INDEX('TO HOP'!$AD$66:$AD$127,$A102)*$G102+INDEX('TO HOP'!$AR$66:$AR$127,$A102)*$D102+INDEX('TO HOP'!$AS$66:$AS$127,$A102)*($E102+$F102))*(Hcot+hxm+hgoi))</f>
        <v>-7507.2470132803865</v>
      </c>
      <c r="L102" s="39">
        <f t="shared" si="4"/>
        <v>824.67672186579659</v>
      </c>
      <c r="M102" s="39">
        <f t="shared" si="5"/>
        <v>9156.6004570119821</v>
      </c>
      <c r="N102" s="39">
        <f t="shared" si="6"/>
        <v>824.67672186579659</v>
      </c>
      <c r="O102" s="39">
        <f t="shared" si="7"/>
        <v>7507.2470132803865</v>
      </c>
    </row>
    <row r="103" spans="1:15" x14ac:dyDescent="0.3">
      <c r="A103" s="38">
        <f>'TO HOP'!N155</f>
        <v>25</v>
      </c>
      <c r="B103" s="38" t="str">
        <f>'TO HOP'!B155</f>
        <v>CĐ I(a) max - 2 nhịp đúng tâm 1 làn</v>
      </c>
      <c r="C103" s="38" t="s">
        <v>1202</v>
      </c>
      <c r="D103" s="39">
        <f>'HE GOI'!D19</f>
        <v>1383.337308977915</v>
      </c>
      <c r="E103" s="39">
        <f>IF(csmode=1,0,'HE GOI'!D20)</f>
        <v>512.34715147329803</v>
      </c>
      <c r="F103" s="39">
        <f>IF(csmode=1,'HE GOI'!D24,'HE GOI'!D21)</f>
        <v>320.21696967081334</v>
      </c>
      <c r="G103" s="39">
        <f>'HE GOI'!D22</f>
        <v>1034.6545125000002</v>
      </c>
      <c r="H103" s="39">
        <f>IF(OR($A103=0,NOT(ISNUMBER($D103)),NOT(ISNUMBER($E103)),NOT(ISNUMBER($F103))),"",SUMPRODUCT(INDEX('TO HOP'!$C$66:$AT$127,$A103,0),'TO HOP'!$C$53:$AT$53)-INDEX('TO HOP'!$AD$66:$AD$127,$A103)*'TO HOP'!$AD$53-INDEX('TO HOP'!$AR$66:$AR$127,$A103)*'TO HOP'!$AR$53-INDEX('TO HOP'!$AS$66:$AS$127,$A103)*'TO HOP'!$AS$53+INDEX('TO HOP'!$AD$66:$AD$127,$A103)*$G103+INDEX('TO HOP'!$AR$66:$AR$127,$A103)*$D103+INDEX('TO HOP'!$AS$66:$AS$127,$A103)*($E103+$F103))</f>
        <v>2697.1364775610136</v>
      </c>
      <c r="I103" s="39">
        <f>IF($H103="","",SUMPRODUCT(INDEX('TO HOP'!$C$66:$AT$127,$A103,0),'TO HOP'!$C$57:$AT$57)-INDEX('TO HOP'!$AD$66:$AD$127,$A103)*'TO HOP'!$AD$57-INDEX('TO HOP'!$AR$66:$AR$127,$A103)*'TO HOP'!$AR$57-INDEX('TO HOP'!$AS$66:$AS$127,$A103)*'TO HOP'!$AS$57+(INDEX('TO HOP'!$AD$66:$AD$127,$A103)*$G103+INDEX('TO HOP'!$AR$66:$AR$127,$A103)*$D103+INDEX('TO HOP'!$AS$66:$AS$127,$A103)*($E103+$F103))*(Hbe+Hcot+hxm+hgoi))</f>
        <v>34091.265631949253</v>
      </c>
      <c r="J103" s="39">
        <f>IF($H103="","",SUMPRODUCT(INDEX('TO HOP'!$C$66:$AT$127,$A103,0),'TO HOP'!$C$58:$AT$58)-INDEX('TO HOP'!$AD$66:$AD$127,$A103)*'TO HOP'!$AD$58-INDEX('TO HOP'!$AR$66:$AR$127,$A103)*'TO HOP'!$AR$58-INDEX('TO HOP'!$AS$66:$AS$127,$A103)*'TO HOP'!$AS$58+INDEX('TO HOP'!$AD$66:$AD$127,$A103)*$G103+INDEX('TO HOP'!$AR$66:$AR$127,$A103)*$D103+INDEX('TO HOP'!$AS$66:$AS$127,$A103)*($E103+$F103))</f>
        <v>2697.1364775610136</v>
      </c>
      <c r="K103" s="39">
        <f>IF($H103="","",SUMPRODUCT(INDEX('TO HOP'!$C$66:$AT$127,$A103,0),'TO HOP'!$C$62:$AT$62)-INDEX('TO HOP'!$AD$66:$AD$127,$A103)*'TO HOP'!$AD$62-INDEX('TO HOP'!$AR$66:$AR$127,$A103)*'TO HOP'!$AR$62-INDEX('TO HOP'!$AS$66:$AS$127,$A103)*'TO HOP'!$AS$62+(INDEX('TO HOP'!$AD$66:$AD$127,$A103)*$G103+INDEX('TO HOP'!$AR$66:$AR$127,$A103)*$D103+INDEX('TO HOP'!$AS$66:$AS$127,$A103)*($E103+$F103))*(Hcot+hxm+hgoi))</f>
        <v>28696.992676827227</v>
      </c>
      <c r="L103" s="39">
        <f t="shared" si="4"/>
        <v>2697.1364775610136</v>
      </c>
      <c r="M103" s="39">
        <f t="shared" si="5"/>
        <v>34091.265631949253</v>
      </c>
      <c r="N103" s="39">
        <f t="shared" si="6"/>
        <v>2697.1364775610136</v>
      </c>
      <c r="O103" s="39">
        <f t="shared" si="7"/>
        <v>28696.992676827227</v>
      </c>
    </row>
    <row r="104" spans="1:15" x14ac:dyDescent="0.3">
      <c r="A104" s="38">
        <f>'TO HOP'!N155</f>
        <v>25</v>
      </c>
      <c r="B104" s="38" t="str">
        <f>'TO HOP'!B155</f>
        <v>CĐ I(a) max - 2 nhịp đúng tâm 1 làn</v>
      </c>
      <c r="C104" s="38" t="s">
        <v>1203</v>
      </c>
      <c r="D104" s="39">
        <f>'HE GOI'!D19</f>
        <v>1383.337308977915</v>
      </c>
      <c r="E104" s="39">
        <f>IF(csmode=1,0,'HE GOI'!D20)</f>
        <v>512.34715147329803</v>
      </c>
      <c r="F104" s="39">
        <f>IF(csmode=1,'HE GOI'!D24,'HE GOI'!D21)</f>
        <v>320.21696967081334</v>
      </c>
      <c r="G104" s="39">
        <f>'HE GOI'!D23</f>
        <v>-1034.6545125000002</v>
      </c>
      <c r="H104" s="39">
        <f>IF(OR($A104=0,NOT(ISNUMBER($D104)),NOT(ISNUMBER($E104)),NOT(ISNUMBER($F104))),"",SUMPRODUCT(INDEX('TO HOP'!$C$66:$AT$127,$A104,0),'TO HOP'!$C$53:$AT$53)-INDEX('TO HOP'!$AD$66:$AD$127,$A104)*'TO HOP'!$AD$53-INDEX('TO HOP'!$AR$66:$AR$127,$A104)*'TO HOP'!$AR$53-INDEX('TO HOP'!$AS$66:$AS$127,$A104)*'TO HOP'!$AS$53+INDEX('TO HOP'!$AD$66:$AD$127,$A104)*$G104+INDEX('TO HOP'!$AR$66:$AR$127,$A104)*$D104+INDEX('TO HOP'!$AS$66:$AS$127,$A104)*($E104+$F104))</f>
        <v>627.82745256101293</v>
      </c>
      <c r="I104" s="39">
        <f>IF($H104="","",SUMPRODUCT(INDEX('TO HOP'!$C$66:$AT$127,$A104,0),'TO HOP'!$C$57:$AT$57)-INDEX('TO HOP'!$AD$66:$AD$127,$A104)*'TO HOP'!$AD$57-INDEX('TO HOP'!$AR$66:$AR$127,$A104)*'TO HOP'!$AR$57-INDEX('TO HOP'!$AS$66:$AS$127,$A104)*'TO HOP'!$AS$57+(INDEX('TO HOP'!$AD$66:$AD$127,$A104)*$G104+INDEX('TO HOP'!$AR$66:$AR$127,$A104)*$D104+INDEX('TO HOP'!$AS$66:$AS$127,$A104)*($E104+$F104))*(Hbe+Hcot+hxm+hgoi))</f>
        <v>8680.1508049492404</v>
      </c>
      <c r="J104" s="39">
        <f>IF($H104="","",SUMPRODUCT(INDEX('TO HOP'!$C$66:$AT$127,$A104,0),'TO HOP'!$C$58:$AT$58)-INDEX('TO HOP'!$AD$66:$AD$127,$A104)*'TO HOP'!$AD$58-INDEX('TO HOP'!$AR$66:$AR$127,$A104)*'TO HOP'!$AR$58-INDEX('TO HOP'!$AS$66:$AS$127,$A104)*'TO HOP'!$AS$58+INDEX('TO HOP'!$AD$66:$AD$127,$A104)*$G104+INDEX('TO HOP'!$AR$66:$AR$127,$A104)*$D104+INDEX('TO HOP'!$AS$66:$AS$127,$A104)*($E104+$F104))</f>
        <v>627.82745256101293</v>
      </c>
      <c r="K104" s="39">
        <f>IF($H104="","",SUMPRODUCT(INDEX('TO HOP'!$C$66:$AT$127,$A104,0),'TO HOP'!$C$62:$AT$62)-INDEX('TO HOP'!$AD$66:$AD$127,$A104)*'TO HOP'!$AD$62-INDEX('TO HOP'!$AR$66:$AR$127,$A104)*'TO HOP'!$AR$62-INDEX('TO HOP'!$AS$66:$AS$127,$A104)*'TO HOP'!$AS$62+(INDEX('TO HOP'!$AD$66:$AD$127,$A104)*$G104+INDEX('TO HOP'!$AR$66:$AR$127,$A104)*$D104+INDEX('TO HOP'!$AS$66:$AS$127,$A104)*($E104+$F104))*(Hcot+hxm+hgoi))</f>
        <v>7424.4958998272159</v>
      </c>
      <c r="L104" s="39">
        <f t="shared" si="4"/>
        <v>627.82745256101293</v>
      </c>
      <c r="M104" s="39">
        <f t="shared" si="5"/>
        <v>8680.1508049492404</v>
      </c>
      <c r="N104" s="39">
        <f t="shared" si="6"/>
        <v>627.82745256101293</v>
      </c>
      <c r="O104" s="39">
        <f t="shared" si="7"/>
        <v>7424.4958998272159</v>
      </c>
    </row>
    <row r="105" spans="1:15" x14ac:dyDescent="0.3">
      <c r="A105" s="38">
        <f>'TO HOP'!N156</f>
        <v>26</v>
      </c>
      <c r="B105" s="38" t="str">
        <f>'TO HOP'!B156</f>
        <v>CĐ I(a) max - 2 nhịp đúng tâm 2 làn</v>
      </c>
      <c r="C105" s="38" t="s">
        <v>1200</v>
      </c>
      <c r="D105" s="39">
        <f>'HE GOI'!D18</f>
        <v>-1521.6710398757043</v>
      </c>
      <c r="E105" s="39">
        <f>IF(csmode=1,0,'HE GOI'!D20)</f>
        <v>512.34715147329803</v>
      </c>
      <c r="F105" s="39">
        <f>IF(csmode=1,'HE GOI'!D24,'HE GOI'!D21)</f>
        <v>320.21696967081334</v>
      </c>
      <c r="G105" s="39">
        <f>'HE GOI'!D22</f>
        <v>1034.6545125000002</v>
      </c>
      <c r="H105" s="39">
        <f>IF(OR($A105=0,NOT(ISNUMBER($D105)),NOT(ISNUMBER($E105)),NOT(ISNUMBER($F105))),"",SUMPRODUCT(INDEX('TO HOP'!$C$66:$AT$127,$A105,0),'TO HOP'!$C$53:$AT$53)-INDEX('TO HOP'!$AD$66:$AD$127,$A105)*'TO HOP'!$AD$53-INDEX('TO HOP'!$AR$66:$AR$127,$A105)*'TO HOP'!$AR$53-INDEX('TO HOP'!$AS$66:$AS$127,$A105)*'TO HOP'!$AS$53+INDEX('TO HOP'!$AD$66:$AD$127,$A105)*$G105+INDEX('TO HOP'!$AR$66:$AR$127,$A105)*$D105+INDEX('TO HOP'!$AS$66:$AS$127,$A105)*($E105+$F105))</f>
        <v>1244.6323031342038</v>
      </c>
      <c r="I105" s="39">
        <f>IF($H105="","",SUMPRODUCT(INDEX('TO HOP'!$C$66:$AT$127,$A105,0),'TO HOP'!$C$57:$AT$57)-INDEX('TO HOP'!$AD$66:$AD$127,$A105)*'TO HOP'!$AD$57-INDEX('TO HOP'!$AR$66:$AR$127,$A105)*'TO HOP'!$AR$57-INDEX('TO HOP'!$AS$66:$AS$127,$A105)*'TO HOP'!$AS$57+(INDEX('TO HOP'!$AD$66:$AD$127,$A105)*$G105+INDEX('TO HOP'!$AR$66:$AR$127,$A105)*$D105+INDEX('TO HOP'!$AS$66:$AS$127,$A105)*($E105+$F105))*(Hbe+Hcot+hxm+hgoi))</f>
        <v>16254.514369988025</v>
      </c>
      <c r="J105" s="39">
        <f>IF($H105="","",SUMPRODUCT(INDEX('TO HOP'!$C$66:$AT$127,$A105,0),'TO HOP'!$C$58:$AT$58)-INDEX('TO HOP'!$AD$66:$AD$127,$A105)*'TO HOP'!$AD$58-INDEX('TO HOP'!$AR$66:$AR$127,$A105)*'TO HOP'!$AR$58-INDEX('TO HOP'!$AS$66:$AS$127,$A105)*'TO HOP'!$AS$58+INDEX('TO HOP'!$AD$66:$AD$127,$A105)*$G105+INDEX('TO HOP'!$AR$66:$AR$127,$A105)*$D105+INDEX('TO HOP'!$AS$66:$AS$127,$A105)*($E105+$F105))</f>
        <v>1244.6323031342038</v>
      </c>
      <c r="K105" s="39">
        <f>IF($H105="","",SUMPRODUCT(INDEX('TO HOP'!$C$66:$AT$127,$A105,0),'TO HOP'!$C$62:$AT$62)-INDEX('TO HOP'!$AD$66:$AD$127,$A105)*'TO HOP'!$AD$62-INDEX('TO HOP'!$AR$66:$AR$127,$A105)*'TO HOP'!$AR$62-INDEX('TO HOP'!$AS$66:$AS$127,$A105)*'TO HOP'!$AS$62+(INDEX('TO HOP'!$AD$66:$AD$127,$A105)*$G105+INDEX('TO HOP'!$AR$66:$AR$127,$A105)*$D105+INDEX('TO HOP'!$AS$66:$AS$127,$A105)*($E105+$F105))*(Hcot+hxm+hgoi))</f>
        <v>13765.249763719617</v>
      </c>
      <c r="L105" s="39">
        <f t="shared" si="4"/>
        <v>1244.6323031342038</v>
      </c>
      <c r="M105" s="39">
        <f t="shared" si="5"/>
        <v>16254.514369988025</v>
      </c>
      <c r="N105" s="39">
        <f t="shared" si="6"/>
        <v>1244.6323031342038</v>
      </c>
      <c r="O105" s="39">
        <f t="shared" si="7"/>
        <v>13765.249763719617</v>
      </c>
    </row>
    <row r="106" spans="1:15" x14ac:dyDescent="0.3">
      <c r="A106" s="38">
        <f>'TO HOP'!N156</f>
        <v>26</v>
      </c>
      <c r="B106" s="38" t="str">
        <f>'TO HOP'!B156</f>
        <v>CĐ I(a) max - 2 nhịp đúng tâm 2 làn</v>
      </c>
      <c r="C106" s="38" t="s">
        <v>1201</v>
      </c>
      <c r="D106" s="39">
        <f>'HE GOI'!D18</f>
        <v>-1521.6710398757043</v>
      </c>
      <c r="E106" s="39">
        <f>IF(csmode=1,0,'HE GOI'!D20)</f>
        <v>512.34715147329803</v>
      </c>
      <c r="F106" s="39">
        <f>IF(csmode=1,'HE GOI'!D24,'HE GOI'!D21)</f>
        <v>320.21696967081334</v>
      </c>
      <c r="G106" s="39">
        <f>'HE GOI'!D23</f>
        <v>-1034.6545125000002</v>
      </c>
      <c r="H106" s="39">
        <f>IF(OR($A106=0,NOT(ISNUMBER($D106)),NOT(ISNUMBER($E106)),NOT(ISNUMBER($F106))),"",SUMPRODUCT(INDEX('TO HOP'!$C$66:$AT$127,$A106,0),'TO HOP'!$C$53:$AT$53)-INDEX('TO HOP'!$AD$66:$AD$127,$A106)*'TO HOP'!$AD$53-INDEX('TO HOP'!$AR$66:$AR$127,$A106)*'TO HOP'!$AR$53-INDEX('TO HOP'!$AS$66:$AS$127,$A106)*'TO HOP'!$AS$53+INDEX('TO HOP'!$AD$66:$AD$127,$A106)*$G106+INDEX('TO HOP'!$AR$66:$AR$127,$A106)*$D106+INDEX('TO HOP'!$AS$66:$AS$127,$A106)*($E106+$F106))</f>
        <v>-824.67672186579659</v>
      </c>
      <c r="I106" s="39">
        <f>IF($H106="","",SUMPRODUCT(INDEX('TO HOP'!$C$66:$AT$127,$A106,0),'TO HOP'!$C$57:$AT$57)-INDEX('TO HOP'!$AD$66:$AD$127,$A106)*'TO HOP'!$AD$57-INDEX('TO HOP'!$AR$66:$AR$127,$A106)*'TO HOP'!$AR$57-INDEX('TO HOP'!$AS$66:$AS$127,$A106)*'TO HOP'!$AS$57+(INDEX('TO HOP'!$AD$66:$AD$127,$A106)*$G106+INDEX('TO HOP'!$AR$66:$AR$127,$A106)*$D106+INDEX('TO HOP'!$AS$66:$AS$127,$A106)*($E106+$F106))*(Hbe+Hcot+hxm+hgoi))</f>
        <v>-9156.6004570119821</v>
      </c>
      <c r="J106" s="39">
        <f>IF($H106="","",SUMPRODUCT(INDEX('TO HOP'!$C$66:$AT$127,$A106,0),'TO HOP'!$C$58:$AT$58)-INDEX('TO HOP'!$AD$66:$AD$127,$A106)*'TO HOP'!$AD$58-INDEX('TO HOP'!$AR$66:$AR$127,$A106)*'TO HOP'!$AR$58-INDEX('TO HOP'!$AS$66:$AS$127,$A106)*'TO HOP'!$AS$58+INDEX('TO HOP'!$AD$66:$AD$127,$A106)*$G106+INDEX('TO HOP'!$AR$66:$AR$127,$A106)*$D106+INDEX('TO HOP'!$AS$66:$AS$127,$A106)*($E106+$F106))</f>
        <v>-824.67672186579659</v>
      </c>
      <c r="K106" s="39">
        <f>IF($H106="","",SUMPRODUCT(INDEX('TO HOP'!$C$66:$AT$127,$A106,0),'TO HOP'!$C$62:$AT$62)-INDEX('TO HOP'!$AD$66:$AD$127,$A106)*'TO HOP'!$AD$62-INDEX('TO HOP'!$AR$66:$AR$127,$A106)*'TO HOP'!$AR$62-INDEX('TO HOP'!$AS$66:$AS$127,$A106)*'TO HOP'!$AS$62+(INDEX('TO HOP'!$AD$66:$AD$127,$A106)*$G106+INDEX('TO HOP'!$AR$66:$AR$127,$A106)*$D106+INDEX('TO HOP'!$AS$66:$AS$127,$A106)*($E106+$F106))*(Hcot+hxm+hgoi))</f>
        <v>-7507.2470132803865</v>
      </c>
      <c r="L106" s="39">
        <f t="shared" si="4"/>
        <v>824.67672186579659</v>
      </c>
      <c r="M106" s="39">
        <f t="shared" si="5"/>
        <v>9156.6004570119821</v>
      </c>
      <c r="N106" s="39">
        <f t="shared" si="6"/>
        <v>824.67672186579659</v>
      </c>
      <c r="O106" s="39">
        <f t="shared" si="7"/>
        <v>7507.2470132803865</v>
      </c>
    </row>
    <row r="107" spans="1:15" x14ac:dyDescent="0.3">
      <c r="A107" s="38">
        <f>'TO HOP'!N156</f>
        <v>26</v>
      </c>
      <c r="B107" s="38" t="str">
        <f>'TO HOP'!B156</f>
        <v>CĐ I(a) max - 2 nhịp đúng tâm 2 làn</v>
      </c>
      <c r="C107" s="38" t="s">
        <v>1202</v>
      </c>
      <c r="D107" s="39">
        <f>'HE GOI'!D19</f>
        <v>1383.337308977915</v>
      </c>
      <c r="E107" s="39">
        <f>IF(csmode=1,0,'HE GOI'!D20)</f>
        <v>512.34715147329803</v>
      </c>
      <c r="F107" s="39">
        <f>IF(csmode=1,'HE GOI'!D24,'HE GOI'!D21)</f>
        <v>320.21696967081334</v>
      </c>
      <c r="G107" s="39">
        <f>'HE GOI'!D22</f>
        <v>1034.6545125000002</v>
      </c>
      <c r="H107" s="39">
        <f>IF(OR($A107=0,NOT(ISNUMBER($D107)),NOT(ISNUMBER($E107)),NOT(ISNUMBER($F107))),"",SUMPRODUCT(INDEX('TO HOP'!$C$66:$AT$127,$A107,0),'TO HOP'!$C$53:$AT$53)-INDEX('TO HOP'!$AD$66:$AD$127,$A107)*'TO HOP'!$AD$53-INDEX('TO HOP'!$AR$66:$AR$127,$A107)*'TO HOP'!$AR$53-INDEX('TO HOP'!$AS$66:$AS$127,$A107)*'TO HOP'!$AS$53+INDEX('TO HOP'!$AD$66:$AD$127,$A107)*$G107+INDEX('TO HOP'!$AR$66:$AR$127,$A107)*$D107+INDEX('TO HOP'!$AS$66:$AS$127,$A107)*($E107+$F107))</f>
        <v>2697.1364775610136</v>
      </c>
      <c r="I107" s="39">
        <f>IF($H107="","",SUMPRODUCT(INDEX('TO HOP'!$C$66:$AT$127,$A107,0),'TO HOP'!$C$57:$AT$57)-INDEX('TO HOP'!$AD$66:$AD$127,$A107)*'TO HOP'!$AD$57-INDEX('TO HOP'!$AR$66:$AR$127,$A107)*'TO HOP'!$AR$57-INDEX('TO HOP'!$AS$66:$AS$127,$A107)*'TO HOP'!$AS$57+(INDEX('TO HOP'!$AD$66:$AD$127,$A107)*$G107+INDEX('TO HOP'!$AR$66:$AR$127,$A107)*$D107+INDEX('TO HOP'!$AS$66:$AS$127,$A107)*($E107+$F107))*(Hbe+Hcot+hxm+hgoi))</f>
        <v>34091.265631949253</v>
      </c>
      <c r="J107" s="39">
        <f>IF($H107="","",SUMPRODUCT(INDEX('TO HOP'!$C$66:$AT$127,$A107,0),'TO HOP'!$C$58:$AT$58)-INDEX('TO HOP'!$AD$66:$AD$127,$A107)*'TO HOP'!$AD$58-INDEX('TO HOP'!$AR$66:$AR$127,$A107)*'TO HOP'!$AR$58-INDEX('TO HOP'!$AS$66:$AS$127,$A107)*'TO HOP'!$AS$58+INDEX('TO HOP'!$AD$66:$AD$127,$A107)*$G107+INDEX('TO HOP'!$AR$66:$AR$127,$A107)*$D107+INDEX('TO HOP'!$AS$66:$AS$127,$A107)*($E107+$F107))</f>
        <v>2697.1364775610136</v>
      </c>
      <c r="K107" s="39">
        <f>IF($H107="","",SUMPRODUCT(INDEX('TO HOP'!$C$66:$AT$127,$A107,0),'TO HOP'!$C$62:$AT$62)-INDEX('TO HOP'!$AD$66:$AD$127,$A107)*'TO HOP'!$AD$62-INDEX('TO HOP'!$AR$66:$AR$127,$A107)*'TO HOP'!$AR$62-INDEX('TO HOP'!$AS$66:$AS$127,$A107)*'TO HOP'!$AS$62+(INDEX('TO HOP'!$AD$66:$AD$127,$A107)*$G107+INDEX('TO HOP'!$AR$66:$AR$127,$A107)*$D107+INDEX('TO HOP'!$AS$66:$AS$127,$A107)*($E107+$F107))*(Hcot+hxm+hgoi))</f>
        <v>28696.992676827227</v>
      </c>
      <c r="L107" s="39">
        <f t="shared" si="4"/>
        <v>2697.1364775610136</v>
      </c>
      <c r="M107" s="39">
        <f t="shared" si="5"/>
        <v>34091.265631949253</v>
      </c>
      <c r="N107" s="39">
        <f t="shared" si="6"/>
        <v>2697.1364775610136</v>
      </c>
      <c r="O107" s="39">
        <f t="shared" si="7"/>
        <v>28696.992676827227</v>
      </c>
    </row>
    <row r="108" spans="1:15" x14ac:dyDescent="0.3">
      <c r="A108" s="38">
        <f>'TO HOP'!N156</f>
        <v>26</v>
      </c>
      <c r="B108" s="38" t="str">
        <f>'TO HOP'!B156</f>
        <v>CĐ I(a) max - 2 nhịp đúng tâm 2 làn</v>
      </c>
      <c r="C108" s="38" t="s">
        <v>1203</v>
      </c>
      <c r="D108" s="39">
        <f>'HE GOI'!D19</f>
        <v>1383.337308977915</v>
      </c>
      <c r="E108" s="39">
        <f>IF(csmode=1,0,'HE GOI'!D20)</f>
        <v>512.34715147329803</v>
      </c>
      <c r="F108" s="39">
        <f>IF(csmode=1,'HE GOI'!D24,'HE GOI'!D21)</f>
        <v>320.21696967081334</v>
      </c>
      <c r="G108" s="39">
        <f>'HE GOI'!D23</f>
        <v>-1034.6545125000002</v>
      </c>
      <c r="H108" s="39">
        <f>IF(OR($A108=0,NOT(ISNUMBER($D108)),NOT(ISNUMBER($E108)),NOT(ISNUMBER($F108))),"",SUMPRODUCT(INDEX('TO HOP'!$C$66:$AT$127,$A108,0),'TO HOP'!$C$53:$AT$53)-INDEX('TO HOP'!$AD$66:$AD$127,$A108)*'TO HOP'!$AD$53-INDEX('TO HOP'!$AR$66:$AR$127,$A108)*'TO HOP'!$AR$53-INDEX('TO HOP'!$AS$66:$AS$127,$A108)*'TO HOP'!$AS$53+INDEX('TO HOP'!$AD$66:$AD$127,$A108)*$G108+INDEX('TO HOP'!$AR$66:$AR$127,$A108)*$D108+INDEX('TO HOP'!$AS$66:$AS$127,$A108)*($E108+$F108))</f>
        <v>627.82745256101293</v>
      </c>
      <c r="I108" s="39">
        <f>IF($H108="","",SUMPRODUCT(INDEX('TO HOP'!$C$66:$AT$127,$A108,0),'TO HOP'!$C$57:$AT$57)-INDEX('TO HOP'!$AD$66:$AD$127,$A108)*'TO HOP'!$AD$57-INDEX('TO HOP'!$AR$66:$AR$127,$A108)*'TO HOP'!$AR$57-INDEX('TO HOP'!$AS$66:$AS$127,$A108)*'TO HOP'!$AS$57+(INDEX('TO HOP'!$AD$66:$AD$127,$A108)*$G108+INDEX('TO HOP'!$AR$66:$AR$127,$A108)*$D108+INDEX('TO HOP'!$AS$66:$AS$127,$A108)*($E108+$F108))*(Hbe+Hcot+hxm+hgoi))</f>
        <v>8680.1508049492404</v>
      </c>
      <c r="J108" s="39">
        <f>IF($H108="","",SUMPRODUCT(INDEX('TO HOP'!$C$66:$AT$127,$A108,0),'TO HOP'!$C$58:$AT$58)-INDEX('TO HOP'!$AD$66:$AD$127,$A108)*'TO HOP'!$AD$58-INDEX('TO HOP'!$AR$66:$AR$127,$A108)*'TO HOP'!$AR$58-INDEX('TO HOP'!$AS$66:$AS$127,$A108)*'TO HOP'!$AS$58+INDEX('TO HOP'!$AD$66:$AD$127,$A108)*$G108+INDEX('TO HOP'!$AR$66:$AR$127,$A108)*$D108+INDEX('TO HOP'!$AS$66:$AS$127,$A108)*($E108+$F108))</f>
        <v>627.82745256101293</v>
      </c>
      <c r="K108" s="39">
        <f>IF($H108="","",SUMPRODUCT(INDEX('TO HOP'!$C$66:$AT$127,$A108,0),'TO HOP'!$C$62:$AT$62)-INDEX('TO HOP'!$AD$66:$AD$127,$A108)*'TO HOP'!$AD$62-INDEX('TO HOP'!$AR$66:$AR$127,$A108)*'TO HOP'!$AR$62-INDEX('TO HOP'!$AS$66:$AS$127,$A108)*'TO HOP'!$AS$62+(INDEX('TO HOP'!$AD$66:$AD$127,$A108)*$G108+INDEX('TO HOP'!$AR$66:$AR$127,$A108)*$D108+INDEX('TO HOP'!$AS$66:$AS$127,$A108)*($E108+$F108))*(Hcot+hxm+hgoi))</f>
        <v>7424.4958998272159</v>
      </c>
      <c r="L108" s="39">
        <f t="shared" si="4"/>
        <v>627.82745256101293</v>
      </c>
      <c r="M108" s="39">
        <f t="shared" si="5"/>
        <v>8680.1508049492404</v>
      </c>
      <c r="N108" s="39">
        <f t="shared" si="6"/>
        <v>627.82745256101293</v>
      </c>
      <c r="O108" s="39">
        <f t="shared" si="7"/>
        <v>7424.4958998272159</v>
      </c>
    </row>
    <row r="109" spans="1:15" x14ac:dyDescent="0.3">
      <c r="A109" s="38">
        <f>'TO HOP'!N157</f>
        <v>27</v>
      </c>
      <c r="B109" s="38" t="str">
        <f>'TO HOP'!B157</f>
        <v>CĐ I(a) max - 2 nhịp đúng tâm 3 làn</v>
      </c>
      <c r="C109" s="38" t="s">
        <v>1200</v>
      </c>
      <c r="D109" s="39">
        <f>'HE GOI'!D18</f>
        <v>-1521.6710398757043</v>
      </c>
      <c r="E109" s="39">
        <f>IF(csmode=1,0,'HE GOI'!D20)</f>
        <v>512.34715147329803</v>
      </c>
      <c r="F109" s="39">
        <f>IF(csmode=1,'HE GOI'!D24,'HE GOI'!D21)</f>
        <v>320.21696967081334</v>
      </c>
      <c r="G109" s="39">
        <f>'HE GOI'!D22</f>
        <v>1034.6545125000002</v>
      </c>
      <c r="H109" s="39">
        <f>IF(OR($A109=0,NOT(ISNUMBER($D109)),NOT(ISNUMBER($E109)),NOT(ISNUMBER($F109))),"",SUMPRODUCT(INDEX('TO HOP'!$C$66:$AT$127,$A109,0),'TO HOP'!$C$53:$AT$53)-INDEX('TO HOP'!$AD$66:$AD$127,$A109)*'TO HOP'!$AD$53-INDEX('TO HOP'!$AR$66:$AR$127,$A109)*'TO HOP'!$AR$53-INDEX('TO HOP'!$AS$66:$AS$127,$A109)*'TO HOP'!$AS$53+INDEX('TO HOP'!$AD$66:$AD$127,$A109)*$G109+INDEX('TO HOP'!$AR$66:$AR$127,$A109)*$D109+INDEX('TO HOP'!$AS$66:$AS$127,$A109)*($E109+$F109))</f>
        <v>1244.6323031342038</v>
      </c>
      <c r="I109" s="39">
        <f>IF($H109="","",SUMPRODUCT(INDEX('TO HOP'!$C$66:$AT$127,$A109,0),'TO HOP'!$C$57:$AT$57)-INDEX('TO HOP'!$AD$66:$AD$127,$A109)*'TO HOP'!$AD$57-INDEX('TO HOP'!$AR$66:$AR$127,$A109)*'TO HOP'!$AR$57-INDEX('TO HOP'!$AS$66:$AS$127,$A109)*'TO HOP'!$AS$57+(INDEX('TO HOP'!$AD$66:$AD$127,$A109)*$G109+INDEX('TO HOP'!$AR$66:$AR$127,$A109)*$D109+INDEX('TO HOP'!$AS$66:$AS$127,$A109)*($E109+$F109))*(Hbe+Hcot+hxm+hgoi))</f>
        <v>16254.514369988025</v>
      </c>
      <c r="J109" s="39">
        <f>IF($H109="","",SUMPRODUCT(INDEX('TO HOP'!$C$66:$AT$127,$A109,0),'TO HOP'!$C$58:$AT$58)-INDEX('TO HOP'!$AD$66:$AD$127,$A109)*'TO HOP'!$AD$58-INDEX('TO HOP'!$AR$66:$AR$127,$A109)*'TO HOP'!$AR$58-INDEX('TO HOP'!$AS$66:$AS$127,$A109)*'TO HOP'!$AS$58+INDEX('TO HOP'!$AD$66:$AD$127,$A109)*$G109+INDEX('TO HOP'!$AR$66:$AR$127,$A109)*$D109+INDEX('TO HOP'!$AS$66:$AS$127,$A109)*($E109+$F109))</f>
        <v>1244.6323031342038</v>
      </c>
      <c r="K109" s="39">
        <f>IF($H109="","",SUMPRODUCT(INDEX('TO HOP'!$C$66:$AT$127,$A109,0),'TO HOP'!$C$62:$AT$62)-INDEX('TO HOP'!$AD$66:$AD$127,$A109)*'TO HOP'!$AD$62-INDEX('TO HOP'!$AR$66:$AR$127,$A109)*'TO HOP'!$AR$62-INDEX('TO HOP'!$AS$66:$AS$127,$A109)*'TO HOP'!$AS$62+(INDEX('TO HOP'!$AD$66:$AD$127,$A109)*$G109+INDEX('TO HOP'!$AR$66:$AR$127,$A109)*$D109+INDEX('TO HOP'!$AS$66:$AS$127,$A109)*($E109+$F109))*(Hcot+hxm+hgoi))</f>
        <v>13765.249763719617</v>
      </c>
      <c r="L109" s="39">
        <f t="shared" si="4"/>
        <v>1244.6323031342038</v>
      </c>
      <c r="M109" s="39">
        <f t="shared" si="5"/>
        <v>16254.514369988025</v>
      </c>
      <c r="N109" s="39">
        <f t="shared" si="6"/>
        <v>1244.6323031342038</v>
      </c>
      <c r="O109" s="39">
        <f t="shared" si="7"/>
        <v>13765.249763719617</v>
      </c>
    </row>
    <row r="110" spans="1:15" x14ac:dyDescent="0.3">
      <c r="A110" s="38">
        <f>'TO HOP'!N157</f>
        <v>27</v>
      </c>
      <c r="B110" s="38" t="str">
        <f>'TO HOP'!B157</f>
        <v>CĐ I(a) max - 2 nhịp đúng tâm 3 làn</v>
      </c>
      <c r="C110" s="38" t="s">
        <v>1201</v>
      </c>
      <c r="D110" s="39">
        <f>'HE GOI'!D18</f>
        <v>-1521.6710398757043</v>
      </c>
      <c r="E110" s="39">
        <f>IF(csmode=1,0,'HE GOI'!D20)</f>
        <v>512.34715147329803</v>
      </c>
      <c r="F110" s="39">
        <f>IF(csmode=1,'HE GOI'!D24,'HE GOI'!D21)</f>
        <v>320.21696967081334</v>
      </c>
      <c r="G110" s="39">
        <f>'HE GOI'!D23</f>
        <v>-1034.6545125000002</v>
      </c>
      <c r="H110" s="39">
        <f>IF(OR($A110=0,NOT(ISNUMBER($D110)),NOT(ISNUMBER($E110)),NOT(ISNUMBER($F110))),"",SUMPRODUCT(INDEX('TO HOP'!$C$66:$AT$127,$A110,0),'TO HOP'!$C$53:$AT$53)-INDEX('TO HOP'!$AD$66:$AD$127,$A110)*'TO HOP'!$AD$53-INDEX('TO HOP'!$AR$66:$AR$127,$A110)*'TO HOP'!$AR$53-INDEX('TO HOP'!$AS$66:$AS$127,$A110)*'TO HOP'!$AS$53+INDEX('TO HOP'!$AD$66:$AD$127,$A110)*$G110+INDEX('TO HOP'!$AR$66:$AR$127,$A110)*$D110+INDEX('TO HOP'!$AS$66:$AS$127,$A110)*($E110+$F110))</f>
        <v>-824.67672186579659</v>
      </c>
      <c r="I110" s="39">
        <f>IF($H110="","",SUMPRODUCT(INDEX('TO HOP'!$C$66:$AT$127,$A110,0),'TO HOP'!$C$57:$AT$57)-INDEX('TO HOP'!$AD$66:$AD$127,$A110)*'TO HOP'!$AD$57-INDEX('TO HOP'!$AR$66:$AR$127,$A110)*'TO HOP'!$AR$57-INDEX('TO HOP'!$AS$66:$AS$127,$A110)*'TO HOP'!$AS$57+(INDEX('TO HOP'!$AD$66:$AD$127,$A110)*$G110+INDEX('TO HOP'!$AR$66:$AR$127,$A110)*$D110+INDEX('TO HOP'!$AS$66:$AS$127,$A110)*($E110+$F110))*(Hbe+Hcot+hxm+hgoi))</f>
        <v>-9156.6004570119821</v>
      </c>
      <c r="J110" s="39">
        <f>IF($H110="","",SUMPRODUCT(INDEX('TO HOP'!$C$66:$AT$127,$A110,0),'TO HOP'!$C$58:$AT$58)-INDEX('TO HOP'!$AD$66:$AD$127,$A110)*'TO HOP'!$AD$58-INDEX('TO HOP'!$AR$66:$AR$127,$A110)*'TO HOP'!$AR$58-INDEX('TO HOP'!$AS$66:$AS$127,$A110)*'TO HOP'!$AS$58+INDEX('TO HOP'!$AD$66:$AD$127,$A110)*$G110+INDEX('TO HOP'!$AR$66:$AR$127,$A110)*$D110+INDEX('TO HOP'!$AS$66:$AS$127,$A110)*($E110+$F110))</f>
        <v>-824.67672186579659</v>
      </c>
      <c r="K110" s="39">
        <f>IF($H110="","",SUMPRODUCT(INDEX('TO HOP'!$C$66:$AT$127,$A110,0),'TO HOP'!$C$62:$AT$62)-INDEX('TO HOP'!$AD$66:$AD$127,$A110)*'TO HOP'!$AD$62-INDEX('TO HOP'!$AR$66:$AR$127,$A110)*'TO HOP'!$AR$62-INDEX('TO HOP'!$AS$66:$AS$127,$A110)*'TO HOP'!$AS$62+(INDEX('TO HOP'!$AD$66:$AD$127,$A110)*$G110+INDEX('TO HOP'!$AR$66:$AR$127,$A110)*$D110+INDEX('TO HOP'!$AS$66:$AS$127,$A110)*($E110+$F110))*(Hcot+hxm+hgoi))</f>
        <v>-7507.2470132803865</v>
      </c>
      <c r="L110" s="39">
        <f t="shared" si="4"/>
        <v>824.67672186579659</v>
      </c>
      <c r="M110" s="39">
        <f t="shared" si="5"/>
        <v>9156.6004570119821</v>
      </c>
      <c r="N110" s="39">
        <f t="shared" si="6"/>
        <v>824.67672186579659</v>
      </c>
      <c r="O110" s="39">
        <f t="shared" si="7"/>
        <v>7507.2470132803865</v>
      </c>
    </row>
    <row r="111" spans="1:15" x14ac:dyDescent="0.3">
      <c r="A111" s="38">
        <f>'TO HOP'!N157</f>
        <v>27</v>
      </c>
      <c r="B111" s="38" t="str">
        <f>'TO HOP'!B157</f>
        <v>CĐ I(a) max - 2 nhịp đúng tâm 3 làn</v>
      </c>
      <c r="C111" s="38" t="s">
        <v>1202</v>
      </c>
      <c r="D111" s="39">
        <f>'HE GOI'!D19</f>
        <v>1383.337308977915</v>
      </c>
      <c r="E111" s="39">
        <f>IF(csmode=1,0,'HE GOI'!D20)</f>
        <v>512.34715147329803</v>
      </c>
      <c r="F111" s="39">
        <f>IF(csmode=1,'HE GOI'!D24,'HE GOI'!D21)</f>
        <v>320.21696967081334</v>
      </c>
      <c r="G111" s="39">
        <f>'HE GOI'!D22</f>
        <v>1034.6545125000002</v>
      </c>
      <c r="H111" s="39">
        <f>IF(OR($A111=0,NOT(ISNUMBER($D111)),NOT(ISNUMBER($E111)),NOT(ISNUMBER($F111))),"",SUMPRODUCT(INDEX('TO HOP'!$C$66:$AT$127,$A111,0),'TO HOP'!$C$53:$AT$53)-INDEX('TO HOP'!$AD$66:$AD$127,$A111)*'TO HOP'!$AD$53-INDEX('TO HOP'!$AR$66:$AR$127,$A111)*'TO HOP'!$AR$53-INDEX('TO HOP'!$AS$66:$AS$127,$A111)*'TO HOP'!$AS$53+INDEX('TO HOP'!$AD$66:$AD$127,$A111)*$G111+INDEX('TO HOP'!$AR$66:$AR$127,$A111)*$D111+INDEX('TO HOP'!$AS$66:$AS$127,$A111)*($E111+$F111))</f>
        <v>2697.1364775610136</v>
      </c>
      <c r="I111" s="39">
        <f>IF($H111="","",SUMPRODUCT(INDEX('TO HOP'!$C$66:$AT$127,$A111,0),'TO HOP'!$C$57:$AT$57)-INDEX('TO HOP'!$AD$66:$AD$127,$A111)*'TO HOP'!$AD$57-INDEX('TO HOP'!$AR$66:$AR$127,$A111)*'TO HOP'!$AR$57-INDEX('TO HOP'!$AS$66:$AS$127,$A111)*'TO HOP'!$AS$57+(INDEX('TO HOP'!$AD$66:$AD$127,$A111)*$G111+INDEX('TO HOP'!$AR$66:$AR$127,$A111)*$D111+INDEX('TO HOP'!$AS$66:$AS$127,$A111)*($E111+$F111))*(Hbe+Hcot+hxm+hgoi))</f>
        <v>34091.265631949253</v>
      </c>
      <c r="J111" s="39">
        <f>IF($H111="","",SUMPRODUCT(INDEX('TO HOP'!$C$66:$AT$127,$A111,0),'TO HOP'!$C$58:$AT$58)-INDEX('TO HOP'!$AD$66:$AD$127,$A111)*'TO HOP'!$AD$58-INDEX('TO HOP'!$AR$66:$AR$127,$A111)*'TO HOP'!$AR$58-INDEX('TO HOP'!$AS$66:$AS$127,$A111)*'TO HOP'!$AS$58+INDEX('TO HOP'!$AD$66:$AD$127,$A111)*$G111+INDEX('TO HOP'!$AR$66:$AR$127,$A111)*$D111+INDEX('TO HOP'!$AS$66:$AS$127,$A111)*($E111+$F111))</f>
        <v>2697.1364775610136</v>
      </c>
      <c r="K111" s="39">
        <f>IF($H111="","",SUMPRODUCT(INDEX('TO HOP'!$C$66:$AT$127,$A111,0),'TO HOP'!$C$62:$AT$62)-INDEX('TO HOP'!$AD$66:$AD$127,$A111)*'TO HOP'!$AD$62-INDEX('TO HOP'!$AR$66:$AR$127,$A111)*'TO HOP'!$AR$62-INDEX('TO HOP'!$AS$66:$AS$127,$A111)*'TO HOP'!$AS$62+(INDEX('TO HOP'!$AD$66:$AD$127,$A111)*$G111+INDEX('TO HOP'!$AR$66:$AR$127,$A111)*$D111+INDEX('TO HOP'!$AS$66:$AS$127,$A111)*($E111+$F111))*(Hcot+hxm+hgoi))</f>
        <v>28696.992676827227</v>
      </c>
      <c r="L111" s="39">
        <f t="shared" si="4"/>
        <v>2697.1364775610136</v>
      </c>
      <c r="M111" s="39">
        <f t="shared" si="5"/>
        <v>34091.265631949253</v>
      </c>
      <c r="N111" s="39">
        <f t="shared" si="6"/>
        <v>2697.1364775610136</v>
      </c>
      <c r="O111" s="39">
        <f t="shared" si="7"/>
        <v>28696.992676827227</v>
      </c>
    </row>
    <row r="112" spans="1:15" x14ac:dyDescent="0.3">
      <c r="A112" s="38">
        <f>'TO HOP'!N157</f>
        <v>27</v>
      </c>
      <c r="B112" s="38" t="str">
        <f>'TO HOP'!B157</f>
        <v>CĐ I(a) max - 2 nhịp đúng tâm 3 làn</v>
      </c>
      <c r="C112" s="38" t="s">
        <v>1203</v>
      </c>
      <c r="D112" s="39">
        <f>'HE GOI'!D19</f>
        <v>1383.337308977915</v>
      </c>
      <c r="E112" s="39">
        <f>IF(csmode=1,0,'HE GOI'!D20)</f>
        <v>512.34715147329803</v>
      </c>
      <c r="F112" s="39">
        <f>IF(csmode=1,'HE GOI'!D24,'HE GOI'!D21)</f>
        <v>320.21696967081334</v>
      </c>
      <c r="G112" s="39">
        <f>'HE GOI'!D23</f>
        <v>-1034.6545125000002</v>
      </c>
      <c r="H112" s="39">
        <f>IF(OR($A112=0,NOT(ISNUMBER($D112)),NOT(ISNUMBER($E112)),NOT(ISNUMBER($F112))),"",SUMPRODUCT(INDEX('TO HOP'!$C$66:$AT$127,$A112,0),'TO HOP'!$C$53:$AT$53)-INDEX('TO HOP'!$AD$66:$AD$127,$A112)*'TO HOP'!$AD$53-INDEX('TO HOP'!$AR$66:$AR$127,$A112)*'TO HOP'!$AR$53-INDEX('TO HOP'!$AS$66:$AS$127,$A112)*'TO HOP'!$AS$53+INDEX('TO HOP'!$AD$66:$AD$127,$A112)*$G112+INDEX('TO HOP'!$AR$66:$AR$127,$A112)*$D112+INDEX('TO HOP'!$AS$66:$AS$127,$A112)*($E112+$F112))</f>
        <v>627.82745256101293</v>
      </c>
      <c r="I112" s="39">
        <f>IF($H112="","",SUMPRODUCT(INDEX('TO HOP'!$C$66:$AT$127,$A112,0),'TO HOP'!$C$57:$AT$57)-INDEX('TO HOP'!$AD$66:$AD$127,$A112)*'TO HOP'!$AD$57-INDEX('TO HOP'!$AR$66:$AR$127,$A112)*'TO HOP'!$AR$57-INDEX('TO HOP'!$AS$66:$AS$127,$A112)*'TO HOP'!$AS$57+(INDEX('TO HOP'!$AD$66:$AD$127,$A112)*$G112+INDEX('TO HOP'!$AR$66:$AR$127,$A112)*$D112+INDEX('TO HOP'!$AS$66:$AS$127,$A112)*($E112+$F112))*(Hbe+Hcot+hxm+hgoi))</f>
        <v>8680.1508049492404</v>
      </c>
      <c r="J112" s="39">
        <f>IF($H112="","",SUMPRODUCT(INDEX('TO HOP'!$C$66:$AT$127,$A112,0),'TO HOP'!$C$58:$AT$58)-INDEX('TO HOP'!$AD$66:$AD$127,$A112)*'TO HOP'!$AD$58-INDEX('TO HOP'!$AR$66:$AR$127,$A112)*'TO HOP'!$AR$58-INDEX('TO HOP'!$AS$66:$AS$127,$A112)*'TO HOP'!$AS$58+INDEX('TO HOP'!$AD$66:$AD$127,$A112)*$G112+INDEX('TO HOP'!$AR$66:$AR$127,$A112)*$D112+INDEX('TO HOP'!$AS$66:$AS$127,$A112)*($E112+$F112))</f>
        <v>627.82745256101293</v>
      </c>
      <c r="K112" s="39">
        <f>IF($H112="","",SUMPRODUCT(INDEX('TO HOP'!$C$66:$AT$127,$A112,0),'TO HOP'!$C$62:$AT$62)-INDEX('TO HOP'!$AD$66:$AD$127,$A112)*'TO HOP'!$AD$62-INDEX('TO HOP'!$AR$66:$AR$127,$A112)*'TO HOP'!$AR$62-INDEX('TO HOP'!$AS$66:$AS$127,$A112)*'TO HOP'!$AS$62+(INDEX('TO HOP'!$AD$66:$AD$127,$A112)*$G112+INDEX('TO HOP'!$AR$66:$AR$127,$A112)*$D112+INDEX('TO HOP'!$AS$66:$AS$127,$A112)*($E112+$F112))*(Hcot+hxm+hgoi))</f>
        <v>7424.4958998272159</v>
      </c>
      <c r="L112" s="39">
        <f t="shared" si="4"/>
        <v>627.82745256101293</v>
      </c>
      <c r="M112" s="39">
        <f t="shared" si="5"/>
        <v>8680.1508049492404</v>
      </c>
      <c r="N112" s="39">
        <f t="shared" si="6"/>
        <v>627.82745256101293</v>
      </c>
      <c r="O112" s="39">
        <f t="shared" si="7"/>
        <v>7424.4958998272159</v>
      </c>
    </row>
    <row r="113" spans="1:15" x14ac:dyDescent="0.3">
      <c r="A113" s="38">
        <f>'TO HOP'!N158</f>
        <v>28</v>
      </c>
      <c r="B113" s="38" t="str">
        <f>'TO HOP'!B158</f>
        <v>CĐ I(a) max - 2 nhịp đúng tâm 4 làn</v>
      </c>
      <c r="C113" s="38" t="s">
        <v>1200</v>
      </c>
      <c r="D113" s="39">
        <f>'HE GOI'!D18</f>
        <v>-1521.6710398757043</v>
      </c>
      <c r="E113" s="39">
        <f>IF(csmode=1,0,'HE GOI'!D20)</f>
        <v>512.34715147329803</v>
      </c>
      <c r="F113" s="39">
        <f>IF(csmode=1,'HE GOI'!D24,'HE GOI'!D21)</f>
        <v>320.21696967081334</v>
      </c>
      <c r="G113" s="39">
        <f>'HE GOI'!D22</f>
        <v>1034.6545125000002</v>
      </c>
      <c r="H113" s="39">
        <f>IF(OR($A113=0,NOT(ISNUMBER($D113)),NOT(ISNUMBER($E113)),NOT(ISNUMBER($F113))),"",SUMPRODUCT(INDEX('TO HOP'!$C$66:$AT$127,$A113,0),'TO HOP'!$C$53:$AT$53)-INDEX('TO HOP'!$AD$66:$AD$127,$A113)*'TO HOP'!$AD$53-INDEX('TO HOP'!$AR$66:$AR$127,$A113)*'TO HOP'!$AR$53-INDEX('TO HOP'!$AS$66:$AS$127,$A113)*'TO HOP'!$AS$53+INDEX('TO HOP'!$AD$66:$AD$127,$A113)*$G113+INDEX('TO HOP'!$AR$66:$AR$127,$A113)*$D113+INDEX('TO HOP'!$AS$66:$AS$127,$A113)*($E113+$F113))</f>
        <v>1244.6323031342038</v>
      </c>
      <c r="I113" s="39">
        <f>IF($H113="","",SUMPRODUCT(INDEX('TO HOP'!$C$66:$AT$127,$A113,0),'TO HOP'!$C$57:$AT$57)-INDEX('TO HOP'!$AD$66:$AD$127,$A113)*'TO HOP'!$AD$57-INDEX('TO HOP'!$AR$66:$AR$127,$A113)*'TO HOP'!$AR$57-INDEX('TO HOP'!$AS$66:$AS$127,$A113)*'TO HOP'!$AS$57+(INDEX('TO HOP'!$AD$66:$AD$127,$A113)*$G113+INDEX('TO HOP'!$AR$66:$AR$127,$A113)*$D113+INDEX('TO HOP'!$AS$66:$AS$127,$A113)*($E113+$F113))*(Hbe+Hcot+hxm+hgoi))</f>
        <v>16254.514369988025</v>
      </c>
      <c r="J113" s="39">
        <f>IF($H113="","",SUMPRODUCT(INDEX('TO HOP'!$C$66:$AT$127,$A113,0),'TO HOP'!$C$58:$AT$58)-INDEX('TO HOP'!$AD$66:$AD$127,$A113)*'TO HOP'!$AD$58-INDEX('TO HOP'!$AR$66:$AR$127,$A113)*'TO HOP'!$AR$58-INDEX('TO HOP'!$AS$66:$AS$127,$A113)*'TO HOP'!$AS$58+INDEX('TO HOP'!$AD$66:$AD$127,$A113)*$G113+INDEX('TO HOP'!$AR$66:$AR$127,$A113)*$D113+INDEX('TO HOP'!$AS$66:$AS$127,$A113)*($E113+$F113))</f>
        <v>1244.6323031342038</v>
      </c>
      <c r="K113" s="39">
        <f>IF($H113="","",SUMPRODUCT(INDEX('TO HOP'!$C$66:$AT$127,$A113,0),'TO HOP'!$C$62:$AT$62)-INDEX('TO HOP'!$AD$66:$AD$127,$A113)*'TO HOP'!$AD$62-INDEX('TO HOP'!$AR$66:$AR$127,$A113)*'TO HOP'!$AR$62-INDEX('TO HOP'!$AS$66:$AS$127,$A113)*'TO HOP'!$AS$62+(INDEX('TO HOP'!$AD$66:$AD$127,$A113)*$G113+INDEX('TO HOP'!$AR$66:$AR$127,$A113)*$D113+INDEX('TO HOP'!$AS$66:$AS$127,$A113)*($E113+$F113))*(Hcot+hxm+hgoi))</f>
        <v>13765.249763719617</v>
      </c>
      <c r="L113" s="39">
        <f t="shared" si="4"/>
        <v>1244.6323031342038</v>
      </c>
      <c r="M113" s="39">
        <f t="shared" si="5"/>
        <v>16254.514369988025</v>
      </c>
      <c r="N113" s="39">
        <f t="shared" si="6"/>
        <v>1244.6323031342038</v>
      </c>
      <c r="O113" s="39">
        <f t="shared" si="7"/>
        <v>13765.249763719617</v>
      </c>
    </row>
    <row r="114" spans="1:15" x14ac:dyDescent="0.3">
      <c r="A114" s="38">
        <f>'TO HOP'!N158</f>
        <v>28</v>
      </c>
      <c r="B114" s="38" t="str">
        <f>'TO HOP'!B158</f>
        <v>CĐ I(a) max - 2 nhịp đúng tâm 4 làn</v>
      </c>
      <c r="C114" s="38" t="s">
        <v>1201</v>
      </c>
      <c r="D114" s="39">
        <f>'HE GOI'!D18</f>
        <v>-1521.6710398757043</v>
      </c>
      <c r="E114" s="39">
        <f>IF(csmode=1,0,'HE GOI'!D20)</f>
        <v>512.34715147329803</v>
      </c>
      <c r="F114" s="39">
        <f>IF(csmode=1,'HE GOI'!D24,'HE GOI'!D21)</f>
        <v>320.21696967081334</v>
      </c>
      <c r="G114" s="39">
        <f>'HE GOI'!D23</f>
        <v>-1034.6545125000002</v>
      </c>
      <c r="H114" s="39">
        <f>IF(OR($A114=0,NOT(ISNUMBER($D114)),NOT(ISNUMBER($E114)),NOT(ISNUMBER($F114))),"",SUMPRODUCT(INDEX('TO HOP'!$C$66:$AT$127,$A114,0),'TO HOP'!$C$53:$AT$53)-INDEX('TO HOP'!$AD$66:$AD$127,$A114)*'TO HOP'!$AD$53-INDEX('TO HOP'!$AR$66:$AR$127,$A114)*'TO HOP'!$AR$53-INDEX('TO HOP'!$AS$66:$AS$127,$A114)*'TO HOP'!$AS$53+INDEX('TO HOP'!$AD$66:$AD$127,$A114)*$G114+INDEX('TO HOP'!$AR$66:$AR$127,$A114)*$D114+INDEX('TO HOP'!$AS$66:$AS$127,$A114)*($E114+$F114))</f>
        <v>-824.67672186579659</v>
      </c>
      <c r="I114" s="39">
        <f>IF($H114="","",SUMPRODUCT(INDEX('TO HOP'!$C$66:$AT$127,$A114,0),'TO HOP'!$C$57:$AT$57)-INDEX('TO HOP'!$AD$66:$AD$127,$A114)*'TO HOP'!$AD$57-INDEX('TO HOP'!$AR$66:$AR$127,$A114)*'TO HOP'!$AR$57-INDEX('TO HOP'!$AS$66:$AS$127,$A114)*'TO HOP'!$AS$57+(INDEX('TO HOP'!$AD$66:$AD$127,$A114)*$G114+INDEX('TO HOP'!$AR$66:$AR$127,$A114)*$D114+INDEX('TO HOP'!$AS$66:$AS$127,$A114)*($E114+$F114))*(Hbe+Hcot+hxm+hgoi))</f>
        <v>-9156.6004570119821</v>
      </c>
      <c r="J114" s="39">
        <f>IF($H114="","",SUMPRODUCT(INDEX('TO HOP'!$C$66:$AT$127,$A114,0),'TO HOP'!$C$58:$AT$58)-INDEX('TO HOP'!$AD$66:$AD$127,$A114)*'TO HOP'!$AD$58-INDEX('TO HOP'!$AR$66:$AR$127,$A114)*'TO HOP'!$AR$58-INDEX('TO HOP'!$AS$66:$AS$127,$A114)*'TO HOP'!$AS$58+INDEX('TO HOP'!$AD$66:$AD$127,$A114)*$G114+INDEX('TO HOP'!$AR$66:$AR$127,$A114)*$D114+INDEX('TO HOP'!$AS$66:$AS$127,$A114)*($E114+$F114))</f>
        <v>-824.67672186579659</v>
      </c>
      <c r="K114" s="39">
        <f>IF($H114="","",SUMPRODUCT(INDEX('TO HOP'!$C$66:$AT$127,$A114,0),'TO HOP'!$C$62:$AT$62)-INDEX('TO HOP'!$AD$66:$AD$127,$A114)*'TO HOP'!$AD$62-INDEX('TO HOP'!$AR$66:$AR$127,$A114)*'TO HOP'!$AR$62-INDEX('TO HOP'!$AS$66:$AS$127,$A114)*'TO HOP'!$AS$62+(INDEX('TO HOP'!$AD$66:$AD$127,$A114)*$G114+INDEX('TO HOP'!$AR$66:$AR$127,$A114)*$D114+INDEX('TO HOP'!$AS$66:$AS$127,$A114)*($E114+$F114))*(Hcot+hxm+hgoi))</f>
        <v>-7507.2470132803865</v>
      </c>
      <c r="L114" s="39">
        <f t="shared" si="4"/>
        <v>824.67672186579659</v>
      </c>
      <c r="M114" s="39">
        <f t="shared" si="5"/>
        <v>9156.6004570119821</v>
      </c>
      <c r="N114" s="39">
        <f t="shared" si="6"/>
        <v>824.67672186579659</v>
      </c>
      <c r="O114" s="39">
        <f t="shared" si="7"/>
        <v>7507.2470132803865</v>
      </c>
    </row>
    <row r="115" spans="1:15" x14ac:dyDescent="0.3">
      <c r="A115" s="38">
        <f>'TO HOP'!N158</f>
        <v>28</v>
      </c>
      <c r="B115" s="38" t="str">
        <f>'TO HOP'!B158</f>
        <v>CĐ I(a) max - 2 nhịp đúng tâm 4 làn</v>
      </c>
      <c r="C115" s="38" t="s">
        <v>1202</v>
      </c>
      <c r="D115" s="39">
        <f>'HE GOI'!D19</f>
        <v>1383.337308977915</v>
      </c>
      <c r="E115" s="39">
        <f>IF(csmode=1,0,'HE GOI'!D20)</f>
        <v>512.34715147329803</v>
      </c>
      <c r="F115" s="39">
        <f>IF(csmode=1,'HE GOI'!D24,'HE GOI'!D21)</f>
        <v>320.21696967081334</v>
      </c>
      <c r="G115" s="39">
        <f>'HE GOI'!D22</f>
        <v>1034.6545125000002</v>
      </c>
      <c r="H115" s="39">
        <f>IF(OR($A115=0,NOT(ISNUMBER($D115)),NOT(ISNUMBER($E115)),NOT(ISNUMBER($F115))),"",SUMPRODUCT(INDEX('TO HOP'!$C$66:$AT$127,$A115,0),'TO HOP'!$C$53:$AT$53)-INDEX('TO HOP'!$AD$66:$AD$127,$A115)*'TO HOP'!$AD$53-INDEX('TO HOP'!$AR$66:$AR$127,$A115)*'TO HOP'!$AR$53-INDEX('TO HOP'!$AS$66:$AS$127,$A115)*'TO HOP'!$AS$53+INDEX('TO HOP'!$AD$66:$AD$127,$A115)*$G115+INDEX('TO HOP'!$AR$66:$AR$127,$A115)*$D115+INDEX('TO HOP'!$AS$66:$AS$127,$A115)*($E115+$F115))</f>
        <v>2697.1364775610136</v>
      </c>
      <c r="I115" s="39">
        <f>IF($H115="","",SUMPRODUCT(INDEX('TO HOP'!$C$66:$AT$127,$A115,0),'TO HOP'!$C$57:$AT$57)-INDEX('TO HOP'!$AD$66:$AD$127,$A115)*'TO HOP'!$AD$57-INDEX('TO HOP'!$AR$66:$AR$127,$A115)*'TO HOP'!$AR$57-INDEX('TO HOP'!$AS$66:$AS$127,$A115)*'TO HOP'!$AS$57+(INDEX('TO HOP'!$AD$66:$AD$127,$A115)*$G115+INDEX('TO HOP'!$AR$66:$AR$127,$A115)*$D115+INDEX('TO HOP'!$AS$66:$AS$127,$A115)*($E115+$F115))*(Hbe+Hcot+hxm+hgoi))</f>
        <v>34091.265631949253</v>
      </c>
      <c r="J115" s="39">
        <f>IF($H115="","",SUMPRODUCT(INDEX('TO HOP'!$C$66:$AT$127,$A115,0),'TO HOP'!$C$58:$AT$58)-INDEX('TO HOP'!$AD$66:$AD$127,$A115)*'TO HOP'!$AD$58-INDEX('TO HOP'!$AR$66:$AR$127,$A115)*'TO HOP'!$AR$58-INDEX('TO HOP'!$AS$66:$AS$127,$A115)*'TO HOP'!$AS$58+INDEX('TO HOP'!$AD$66:$AD$127,$A115)*$G115+INDEX('TO HOP'!$AR$66:$AR$127,$A115)*$D115+INDEX('TO HOP'!$AS$66:$AS$127,$A115)*($E115+$F115))</f>
        <v>2697.1364775610136</v>
      </c>
      <c r="K115" s="39">
        <f>IF($H115="","",SUMPRODUCT(INDEX('TO HOP'!$C$66:$AT$127,$A115,0),'TO HOP'!$C$62:$AT$62)-INDEX('TO HOP'!$AD$66:$AD$127,$A115)*'TO HOP'!$AD$62-INDEX('TO HOP'!$AR$66:$AR$127,$A115)*'TO HOP'!$AR$62-INDEX('TO HOP'!$AS$66:$AS$127,$A115)*'TO HOP'!$AS$62+(INDEX('TO HOP'!$AD$66:$AD$127,$A115)*$G115+INDEX('TO HOP'!$AR$66:$AR$127,$A115)*$D115+INDEX('TO HOP'!$AS$66:$AS$127,$A115)*($E115+$F115))*(Hcot+hxm+hgoi))</f>
        <v>28696.992676827227</v>
      </c>
      <c r="L115" s="39">
        <f t="shared" si="4"/>
        <v>2697.1364775610136</v>
      </c>
      <c r="M115" s="39">
        <f t="shared" si="5"/>
        <v>34091.265631949253</v>
      </c>
      <c r="N115" s="39">
        <f t="shared" si="6"/>
        <v>2697.1364775610136</v>
      </c>
      <c r="O115" s="39">
        <f t="shared" si="7"/>
        <v>28696.992676827227</v>
      </c>
    </row>
    <row r="116" spans="1:15" x14ac:dyDescent="0.3">
      <c r="A116" s="38">
        <f>'TO HOP'!N158</f>
        <v>28</v>
      </c>
      <c r="B116" s="38" t="str">
        <f>'TO HOP'!B158</f>
        <v>CĐ I(a) max - 2 nhịp đúng tâm 4 làn</v>
      </c>
      <c r="C116" s="38" t="s">
        <v>1203</v>
      </c>
      <c r="D116" s="39">
        <f>'HE GOI'!D19</f>
        <v>1383.337308977915</v>
      </c>
      <c r="E116" s="39">
        <f>IF(csmode=1,0,'HE GOI'!D20)</f>
        <v>512.34715147329803</v>
      </c>
      <c r="F116" s="39">
        <f>IF(csmode=1,'HE GOI'!D24,'HE GOI'!D21)</f>
        <v>320.21696967081334</v>
      </c>
      <c r="G116" s="39">
        <f>'HE GOI'!D23</f>
        <v>-1034.6545125000002</v>
      </c>
      <c r="H116" s="39">
        <f>IF(OR($A116=0,NOT(ISNUMBER($D116)),NOT(ISNUMBER($E116)),NOT(ISNUMBER($F116))),"",SUMPRODUCT(INDEX('TO HOP'!$C$66:$AT$127,$A116,0),'TO HOP'!$C$53:$AT$53)-INDEX('TO HOP'!$AD$66:$AD$127,$A116)*'TO HOP'!$AD$53-INDEX('TO HOP'!$AR$66:$AR$127,$A116)*'TO HOP'!$AR$53-INDEX('TO HOP'!$AS$66:$AS$127,$A116)*'TO HOP'!$AS$53+INDEX('TO HOP'!$AD$66:$AD$127,$A116)*$G116+INDEX('TO HOP'!$AR$66:$AR$127,$A116)*$D116+INDEX('TO HOP'!$AS$66:$AS$127,$A116)*($E116+$F116))</f>
        <v>627.82745256101293</v>
      </c>
      <c r="I116" s="39">
        <f>IF($H116="","",SUMPRODUCT(INDEX('TO HOP'!$C$66:$AT$127,$A116,0),'TO HOP'!$C$57:$AT$57)-INDEX('TO HOP'!$AD$66:$AD$127,$A116)*'TO HOP'!$AD$57-INDEX('TO HOP'!$AR$66:$AR$127,$A116)*'TO HOP'!$AR$57-INDEX('TO HOP'!$AS$66:$AS$127,$A116)*'TO HOP'!$AS$57+(INDEX('TO HOP'!$AD$66:$AD$127,$A116)*$G116+INDEX('TO HOP'!$AR$66:$AR$127,$A116)*$D116+INDEX('TO HOP'!$AS$66:$AS$127,$A116)*($E116+$F116))*(Hbe+Hcot+hxm+hgoi))</f>
        <v>8680.1508049492404</v>
      </c>
      <c r="J116" s="39">
        <f>IF($H116="","",SUMPRODUCT(INDEX('TO HOP'!$C$66:$AT$127,$A116,0),'TO HOP'!$C$58:$AT$58)-INDEX('TO HOP'!$AD$66:$AD$127,$A116)*'TO HOP'!$AD$58-INDEX('TO HOP'!$AR$66:$AR$127,$A116)*'TO HOP'!$AR$58-INDEX('TO HOP'!$AS$66:$AS$127,$A116)*'TO HOP'!$AS$58+INDEX('TO HOP'!$AD$66:$AD$127,$A116)*$G116+INDEX('TO HOP'!$AR$66:$AR$127,$A116)*$D116+INDEX('TO HOP'!$AS$66:$AS$127,$A116)*($E116+$F116))</f>
        <v>627.82745256101293</v>
      </c>
      <c r="K116" s="39">
        <f>IF($H116="","",SUMPRODUCT(INDEX('TO HOP'!$C$66:$AT$127,$A116,0),'TO HOP'!$C$62:$AT$62)-INDEX('TO HOP'!$AD$66:$AD$127,$A116)*'TO HOP'!$AD$62-INDEX('TO HOP'!$AR$66:$AR$127,$A116)*'TO HOP'!$AR$62-INDEX('TO HOP'!$AS$66:$AS$127,$A116)*'TO HOP'!$AS$62+(INDEX('TO HOP'!$AD$66:$AD$127,$A116)*$G116+INDEX('TO HOP'!$AR$66:$AR$127,$A116)*$D116+INDEX('TO HOP'!$AS$66:$AS$127,$A116)*($E116+$F116))*(Hcot+hxm+hgoi))</f>
        <v>7424.4958998272159</v>
      </c>
      <c r="L116" s="39">
        <f t="shared" si="4"/>
        <v>627.82745256101293</v>
      </c>
      <c r="M116" s="39">
        <f t="shared" si="5"/>
        <v>8680.1508049492404</v>
      </c>
      <c r="N116" s="39">
        <f t="shared" si="6"/>
        <v>627.82745256101293</v>
      </c>
      <c r="O116" s="39">
        <f t="shared" si="7"/>
        <v>7424.4958998272159</v>
      </c>
    </row>
    <row r="117" spans="1:15" x14ac:dyDescent="0.3">
      <c r="A117" s="38">
        <f>'TO HOP'!N159</f>
        <v>29</v>
      </c>
      <c r="B117" s="38" t="str">
        <f>'TO HOP'!B159</f>
        <v>CĐ I(a) max - 2 nhịp đúng tâm 5 làn</v>
      </c>
      <c r="C117" s="38" t="s">
        <v>1200</v>
      </c>
      <c r="D117" s="39">
        <f>'HE GOI'!D18</f>
        <v>-1521.6710398757043</v>
      </c>
      <c r="E117" s="39">
        <f>IF(csmode=1,0,'HE GOI'!D20)</f>
        <v>512.34715147329803</v>
      </c>
      <c r="F117" s="39">
        <f>IF(csmode=1,'HE GOI'!D24,'HE GOI'!D21)</f>
        <v>320.21696967081334</v>
      </c>
      <c r="G117" s="39">
        <f>'HE GOI'!D22</f>
        <v>1034.6545125000002</v>
      </c>
      <c r="H117" s="39">
        <f>IF(OR($A117=0,NOT(ISNUMBER($D117)),NOT(ISNUMBER($E117)),NOT(ISNUMBER($F117))),"",SUMPRODUCT(INDEX('TO HOP'!$C$66:$AT$127,$A117,0),'TO HOP'!$C$53:$AT$53)-INDEX('TO HOP'!$AD$66:$AD$127,$A117)*'TO HOP'!$AD$53-INDEX('TO HOP'!$AR$66:$AR$127,$A117)*'TO HOP'!$AR$53-INDEX('TO HOP'!$AS$66:$AS$127,$A117)*'TO HOP'!$AS$53+INDEX('TO HOP'!$AD$66:$AD$127,$A117)*$G117+INDEX('TO HOP'!$AR$66:$AR$127,$A117)*$D117+INDEX('TO HOP'!$AS$66:$AS$127,$A117)*($E117+$F117))</f>
        <v>1244.6323031342038</v>
      </c>
      <c r="I117" s="39">
        <f>IF($H117="","",SUMPRODUCT(INDEX('TO HOP'!$C$66:$AT$127,$A117,0),'TO HOP'!$C$57:$AT$57)-INDEX('TO HOP'!$AD$66:$AD$127,$A117)*'TO HOP'!$AD$57-INDEX('TO HOP'!$AR$66:$AR$127,$A117)*'TO HOP'!$AR$57-INDEX('TO HOP'!$AS$66:$AS$127,$A117)*'TO HOP'!$AS$57+(INDEX('TO HOP'!$AD$66:$AD$127,$A117)*$G117+INDEX('TO HOP'!$AR$66:$AR$127,$A117)*$D117+INDEX('TO HOP'!$AS$66:$AS$127,$A117)*($E117+$F117))*(Hbe+Hcot+hxm+hgoi))</f>
        <v>16254.514369988025</v>
      </c>
      <c r="J117" s="39">
        <f>IF($H117="","",SUMPRODUCT(INDEX('TO HOP'!$C$66:$AT$127,$A117,0),'TO HOP'!$C$58:$AT$58)-INDEX('TO HOP'!$AD$66:$AD$127,$A117)*'TO HOP'!$AD$58-INDEX('TO HOP'!$AR$66:$AR$127,$A117)*'TO HOP'!$AR$58-INDEX('TO HOP'!$AS$66:$AS$127,$A117)*'TO HOP'!$AS$58+INDEX('TO HOP'!$AD$66:$AD$127,$A117)*$G117+INDEX('TO HOP'!$AR$66:$AR$127,$A117)*$D117+INDEX('TO HOP'!$AS$66:$AS$127,$A117)*($E117+$F117))</f>
        <v>1244.6323031342038</v>
      </c>
      <c r="K117" s="39">
        <f>IF($H117="","",SUMPRODUCT(INDEX('TO HOP'!$C$66:$AT$127,$A117,0),'TO HOP'!$C$62:$AT$62)-INDEX('TO HOP'!$AD$66:$AD$127,$A117)*'TO HOP'!$AD$62-INDEX('TO HOP'!$AR$66:$AR$127,$A117)*'TO HOP'!$AR$62-INDEX('TO HOP'!$AS$66:$AS$127,$A117)*'TO HOP'!$AS$62+(INDEX('TO HOP'!$AD$66:$AD$127,$A117)*$G117+INDEX('TO HOP'!$AR$66:$AR$127,$A117)*$D117+INDEX('TO HOP'!$AS$66:$AS$127,$A117)*($E117+$F117))*(Hcot+hxm+hgoi))</f>
        <v>13765.249763719617</v>
      </c>
      <c r="L117" s="39">
        <f t="shared" si="4"/>
        <v>1244.6323031342038</v>
      </c>
      <c r="M117" s="39">
        <f t="shared" si="5"/>
        <v>16254.514369988025</v>
      </c>
      <c r="N117" s="39">
        <f t="shared" si="6"/>
        <v>1244.6323031342038</v>
      </c>
      <c r="O117" s="39">
        <f t="shared" si="7"/>
        <v>13765.249763719617</v>
      </c>
    </row>
    <row r="118" spans="1:15" x14ac:dyDescent="0.3">
      <c r="A118" s="38">
        <f>'TO HOP'!N159</f>
        <v>29</v>
      </c>
      <c r="B118" s="38" t="str">
        <f>'TO HOP'!B159</f>
        <v>CĐ I(a) max - 2 nhịp đúng tâm 5 làn</v>
      </c>
      <c r="C118" s="38" t="s">
        <v>1201</v>
      </c>
      <c r="D118" s="39">
        <f>'HE GOI'!D18</f>
        <v>-1521.6710398757043</v>
      </c>
      <c r="E118" s="39">
        <f>IF(csmode=1,0,'HE GOI'!D20)</f>
        <v>512.34715147329803</v>
      </c>
      <c r="F118" s="39">
        <f>IF(csmode=1,'HE GOI'!D24,'HE GOI'!D21)</f>
        <v>320.21696967081334</v>
      </c>
      <c r="G118" s="39">
        <f>'HE GOI'!D23</f>
        <v>-1034.6545125000002</v>
      </c>
      <c r="H118" s="39">
        <f>IF(OR($A118=0,NOT(ISNUMBER($D118)),NOT(ISNUMBER($E118)),NOT(ISNUMBER($F118))),"",SUMPRODUCT(INDEX('TO HOP'!$C$66:$AT$127,$A118,0),'TO HOP'!$C$53:$AT$53)-INDEX('TO HOP'!$AD$66:$AD$127,$A118)*'TO HOP'!$AD$53-INDEX('TO HOP'!$AR$66:$AR$127,$A118)*'TO HOP'!$AR$53-INDEX('TO HOP'!$AS$66:$AS$127,$A118)*'TO HOP'!$AS$53+INDEX('TO HOP'!$AD$66:$AD$127,$A118)*$G118+INDEX('TO HOP'!$AR$66:$AR$127,$A118)*$D118+INDEX('TO HOP'!$AS$66:$AS$127,$A118)*($E118+$F118))</f>
        <v>-824.67672186579659</v>
      </c>
      <c r="I118" s="39">
        <f>IF($H118="","",SUMPRODUCT(INDEX('TO HOP'!$C$66:$AT$127,$A118,0),'TO HOP'!$C$57:$AT$57)-INDEX('TO HOP'!$AD$66:$AD$127,$A118)*'TO HOP'!$AD$57-INDEX('TO HOP'!$AR$66:$AR$127,$A118)*'TO HOP'!$AR$57-INDEX('TO HOP'!$AS$66:$AS$127,$A118)*'TO HOP'!$AS$57+(INDEX('TO HOP'!$AD$66:$AD$127,$A118)*$G118+INDEX('TO HOP'!$AR$66:$AR$127,$A118)*$D118+INDEX('TO HOP'!$AS$66:$AS$127,$A118)*($E118+$F118))*(Hbe+Hcot+hxm+hgoi))</f>
        <v>-9156.6004570119821</v>
      </c>
      <c r="J118" s="39">
        <f>IF($H118="","",SUMPRODUCT(INDEX('TO HOP'!$C$66:$AT$127,$A118,0),'TO HOP'!$C$58:$AT$58)-INDEX('TO HOP'!$AD$66:$AD$127,$A118)*'TO HOP'!$AD$58-INDEX('TO HOP'!$AR$66:$AR$127,$A118)*'TO HOP'!$AR$58-INDEX('TO HOP'!$AS$66:$AS$127,$A118)*'TO HOP'!$AS$58+INDEX('TO HOP'!$AD$66:$AD$127,$A118)*$G118+INDEX('TO HOP'!$AR$66:$AR$127,$A118)*$D118+INDEX('TO HOP'!$AS$66:$AS$127,$A118)*($E118+$F118))</f>
        <v>-824.67672186579659</v>
      </c>
      <c r="K118" s="39">
        <f>IF($H118="","",SUMPRODUCT(INDEX('TO HOP'!$C$66:$AT$127,$A118,0),'TO HOP'!$C$62:$AT$62)-INDEX('TO HOP'!$AD$66:$AD$127,$A118)*'TO HOP'!$AD$62-INDEX('TO HOP'!$AR$66:$AR$127,$A118)*'TO HOP'!$AR$62-INDEX('TO HOP'!$AS$66:$AS$127,$A118)*'TO HOP'!$AS$62+(INDEX('TO HOP'!$AD$66:$AD$127,$A118)*$G118+INDEX('TO HOP'!$AR$66:$AR$127,$A118)*$D118+INDEX('TO HOP'!$AS$66:$AS$127,$A118)*($E118+$F118))*(Hcot+hxm+hgoi))</f>
        <v>-7507.2470132803865</v>
      </c>
      <c r="L118" s="39">
        <f t="shared" si="4"/>
        <v>824.67672186579659</v>
      </c>
      <c r="M118" s="39">
        <f t="shared" si="5"/>
        <v>9156.6004570119821</v>
      </c>
      <c r="N118" s="39">
        <f t="shared" si="6"/>
        <v>824.67672186579659</v>
      </c>
      <c r="O118" s="39">
        <f t="shared" si="7"/>
        <v>7507.2470132803865</v>
      </c>
    </row>
    <row r="119" spans="1:15" x14ac:dyDescent="0.3">
      <c r="A119" s="38">
        <f>'TO HOP'!N159</f>
        <v>29</v>
      </c>
      <c r="B119" s="38" t="str">
        <f>'TO HOP'!B159</f>
        <v>CĐ I(a) max - 2 nhịp đúng tâm 5 làn</v>
      </c>
      <c r="C119" s="38" t="s">
        <v>1202</v>
      </c>
      <c r="D119" s="39">
        <f>'HE GOI'!D19</f>
        <v>1383.337308977915</v>
      </c>
      <c r="E119" s="39">
        <f>IF(csmode=1,0,'HE GOI'!D20)</f>
        <v>512.34715147329803</v>
      </c>
      <c r="F119" s="39">
        <f>IF(csmode=1,'HE GOI'!D24,'HE GOI'!D21)</f>
        <v>320.21696967081334</v>
      </c>
      <c r="G119" s="39">
        <f>'HE GOI'!D22</f>
        <v>1034.6545125000002</v>
      </c>
      <c r="H119" s="39">
        <f>IF(OR($A119=0,NOT(ISNUMBER($D119)),NOT(ISNUMBER($E119)),NOT(ISNUMBER($F119))),"",SUMPRODUCT(INDEX('TO HOP'!$C$66:$AT$127,$A119,0),'TO HOP'!$C$53:$AT$53)-INDEX('TO HOP'!$AD$66:$AD$127,$A119)*'TO HOP'!$AD$53-INDEX('TO HOP'!$AR$66:$AR$127,$A119)*'TO HOP'!$AR$53-INDEX('TO HOP'!$AS$66:$AS$127,$A119)*'TO HOP'!$AS$53+INDEX('TO HOP'!$AD$66:$AD$127,$A119)*$G119+INDEX('TO HOP'!$AR$66:$AR$127,$A119)*$D119+INDEX('TO HOP'!$AS$66:$AS$127,$A119)*($E119+$F119))</f>
        <v>2697.1364775610136</v>
      </c>
      <c r="I119" s="39">
        <f>IF($H119="","",SUMPRODUCT(INDEX('TO HOP'!$C$66:$AT$127,$A119,0),'TO HOP'!$C$57:$AT$57)-INDEX('TO HOP'!$AD$66:$AD$127,$A119)*'TO HOP'!$AD$57-INDEX('TO HOP'!$AR$66:$AR$127,$A119)*'TO HOP'!$AR$57-INDEX('TO HOP'!$AS$66:$AS$127,$A119)*'TO HOP'!$AS$57+(INDEX('TO HOP'!$AD$66:$AD$127,$A119)*$G119+INDEX('TO HOP'!$AR$66:$AR$127,$A119)*$D119+INDEX('TO HOP'!$AS$66:$AS$127,$A119)*($E119+$F119))*(Hbe+Hcot+hxm+hgoi))</f>
        <v>34091.265631949253</v>
      </c>
      <c r="J119" s="39">
        <f>IF($H119="","",SUMPRODUCT(INDEX('TO HOP'!$C$66:$AT$127,$A119,0),'TO HOP'!$C$58:$AT$58)-INDEX('TO HOP'!$AD$66:$AD$127,$A119)*'TO HOP'!$AD$58-INDEX('TO HOP'!$AR$66:$AR$127,$A119)*'TO HOP'!$AR$58-INDEX('TO HOP'!$AS$66:$AS$127,$A119)*'TO HOP'!$AS$58+INDEX('TO HOP'!$AD$66:$AD$127,$A119)*$G119+INDEX('TO HOP'!$AR$66:$AR$127,$A119)*$D119+INDEX('TO HOP'!$AS$66:$AS$127,$A119)*($E119+$F119))</f>
        <v>2697.1364775610136</v>
      </c>
      <c r="K119" s="39">
        <f>IF($H119="","",SUMPRODUCT(INDEX('TO HOP'!$C$66:$AT$127,$A119,0),'TO HOP'!$C$62:$AT$62)-INDEX('TO HOP'!$AD$66:$AD$127,$A119)*'TO HOP'!$AD$62-INDEX('TO HOP'!$AR$66:$AR$127,$A119)*'TO HOP'!$AR$62-INDEX('TO HOP'!$AS$66:$AS$127,$A119)*'TO HOP'!$AS$62+(INDEX('TO HOP'!$AD$66:$AD$127,$A119)*$G119+INDEX('TO HOP'!$AR$66:$AR$127,$A119)*$D119+INDEX('TO HOP'!$AS$66:$AS$127,$A119)*($E119+$F119))*(Hcot+hxm+hgoi))</f>
        <v>28696.992676827227</v>
      </c>
      <c r="L119" s="39">
        <f t="shared" si="4"/>
        <v>2697.1364775610136</v>
      </c>
      <c r="M119" s="39">
        <f t="shared" si="5"/>
        <v>34091.265631949253</v>
      </c>
      <c r="N119" s="39">
        <f t="shared" si="6"/>
        <v>2697.1364775610136</v>
      </c>
      <c r="O119" s="39">
        <f t="shared" si="7"/>
        <v>28696.992676827227</v>
      </c>
    </row>
    <row r="120" spans="1:15" x14ac:dyDescent="0.3">
      <c r="A120" s="38">
        <f>'TO HOP'!N159</f>
        <v>29</v>
      </c>
      <c r="B120" s="38" t="str">
        <f>'TO HOP'!B159</f>
        <v>CĐ I(a) max - 2 nhịp đúng tâm 5 làn</v>
      </c>
      <c r="C120" s="38" t="s">
        <v>1203</v>
      </c>
      <c r="D120" s="39">
        <f>'HE GOI'!D19</f>
        <v>1383.337308977915</v>
      </c>
      <c r="E120" s="39">
        <f>IF(csmode=1,0,'HE GOI'!D20)</f>
        <v>512.34715147329803</v>
      </c>
      <c r="F120" s="39">
        <f>IF(csmode=1,'HE GOI'!D24,'HE GOI'!D21)</f>
        <v>320.21696967081334</v>
      </c>
      <c r="G120" s="39">
        <f>'HE GOI'!D23</f>
        <v>-1034.6545125000002</v>
      </c>
      <c r="H120" s="39">
        <f>IF(OR($A120=0,NOT(ISNUMBER($D120)),NOT(ISNUMBER($E120)),NOT(ISNUMBER($F120))),"",SUMPRODUCT(INDEX('TO HOP'!$C$66:$AT$127,$A120,0),'TO HOP'!$C$53:$AT$53)-INDEX('TO HOP'!$AD$66:$AD$127,$A120)*'TO HOP'!$AD$53-INDEX('TO HOP'!$AR$66:$AR$127,$A120)*'TO HOP'!$AR$53-INDEX('TO HOP'!$AS$66:$AS$127,$A120)*'TO HOP'!$AS$53+INDEX('TO HOP'!$AD$66:$AD$127,$A120)*$G120+INDEX('TO HOP'!$AR$66:$AR$127,$A120)*$D120+INDEX('TO HOP'!$AS$66:$AS$127,$A120)*($E120+$F120))</f>
        <v>627.82745256101293</v>
      </c>
      <c r="I120" s="39">
        <f>IF($H120="","",SUMPRODUCT(INDEX('TO HOP'!$C$66:$AT$127,$A120,0),'TO HOP'!$C$57:$AT$57)-INDEX('TO HOP'!$AD$66:$AD$127,$A120)*'TO HOP'!$AD$57-INDEX('TO HOP'!$AR$66:$AR$127,$A120)*'TO HOP'!$AR$57-INDEX('TO HOP'!$AS$66:$AS$127,$A120)*'TO HOP'!$AS$57+(INDEX('TO HOP'!$AD$66:$AD$127,$A120)*$G120+INDEX('TO HOP'!$AR$66:$AR$127,$A120)*$D120+INDEX('TO HOP'!$AS$66:$AS$127,$A120)*($E120+$F120))*(Hbe+Hcot+hxm+hgoi))</f>
        <v>8680.1508049492404</v>
      </c>
      <c r="J120" s="39">
        <f>IF($H120="","",SUMPRODUCT(INDEX('TO HOP'!$C$66:$AT$127,$A120,0),'TO HOP'!$C$58:$AT$58)-INDEX('TO HOP'!$AD$66:$AD$127,$A120)*'TO HOP'!$AD$58-INDEX('TO HOP'!$AR$66:$AR$127,$A120)*'TO HOP'!$AR$58-INDEX('TO HOP'!$AS$66:$AS$127,$A120)*'TO HOP'!$AS$58+INDEX('TO HOP'!$AD$66:$AD$127,$A120)*$G120+INDEX('TO HOP'!$AR$66:$AR$127,$A120)*$D120+INDEX('TO HOP'!$AS$66:$AS$127,$A120)*($E120+$F120))</f>
        <v>627.82745256101293</v>
      </c>
      <c r="K120" s="39">
        <f>IF($H120="","",SUMPRODUCT(INDEX('TO HOP'!$C$66:$AT$127,$A120,0),'TO HOP'!$C$62:$AT$62)-INDEX('TO HOP'!$AD$66:$AD$127,$A120)*'TO HOP'!$AD$62-INDEX('TO HOP'!$AR$66:$AR$127,$A120)*'TO HOP'!$AR$62-INDEX('TO HOP'!$AS$66:$AS$127,$A120)*'TO HOP'!$AS$62+(INDEX('TO HOP'!$AD$66:$AD$127,$A120)*$G120+INDEX('TO HOP'!$AR$66:$AR$127,$A120)*$D120+INDEX('TO HOP'!$AS$66:$AS$127,$A120)*($E120+$F120))*(Hcot+hxm+hgoi))</f>
        <v>7424.4958998272159</v>
      </c>
      <c r="L120" s="39">
        <f t="shared" si="4"/>
        <v>627.82745256101293</v>
      </c>
      <c r="M120" s="39">
        <f t="shared" si="5"/>
        <v>8680.1508049492404</v>
      </c>
      <c r="N120" s="39">
        <f t="shared" si="6"/>
        <v>627.82745256101293</v>
      </c>
      <c r="O120" s="39">
        <f t="shared" si="7"/>
        <v>7424.4958998272159</v>
      </c>
    </row>
    <row r="121" spans="1:15" x14ac:dyDescent="0.3">
      <c r="A121" s="38">
        <f>'TO HOP'!N160</f>
        <v>30</v>
      </c>
      <c r="B121" s="38" t="str">
        <f>'TO HOP'!B160</f>
        <v>CĐ I(a) max - 2 nhịp đúng tâm 6 làn</v>
      </c>
      <c r="C121" s="38" t="s">
        <v>1200</v>
      </c>
      <c r="D121" s="39">
        <f>'HE GOI'!D18</f>
        <v>-1521.6710398757043</v>
      </c>
      <c r="E121" s="39">
        <f>IF(csmode=1,0,'HE GOI'!D20)</f>
        <v>512.34715147329803</v>
      </c>
      <c r="F121" s="39">
        <f>IF(csmode=1,'HE GOI'!D24,'HE GOI'!D21)</f>
        <v>320.21696967081334</v>
      </c>
      <c r="G121" s="39">
        <f>'HE GOI'!D22</f>
        <v>1034.6545125000002</v>
      </c>
      <c r="H121" s="39">
        <f>IF(OR($A121=0,NOT(ISNUMBER($D121)),NOT(ISNUMBER($E121)),NOT(ISNUMBER($F121))),"",SUMPRODUCT(INDEX('TO HOP'!$C$66:$AT$127,$A121,0),'TO HOP'!$C$53:$AT$53)-INDEX('TO HOP'!$AD$66:$AD$127,$A121)*'TO HOP'!$AD$53-INDEX('TO HOP'!$AR$66:$AR$127,$A121)*'TO HOP'!$AR$53-INDEX('TO HOP'!$AS$66:$AS$127,$A121)*'TO HOP'!$AS$53+INDEX('TO HOP'!$AD$66:$AD$127,$A121)*$G121+INDEX('TO HOP'!$AR$66:$AR$127,$A121)*$D121+INDEX('TO HOP'!$AS$66:$AS$127,$A121)*($E121+$F121))</f>
        <v>1244.6323031342038</v>
      </c>
      <c r="I121" s="39">
        <f>IF($H121="","",SUMPRODUCT(INDEX('TO HOP'!$C$66:$AT$127,$A121,0),'TO HOP'!$C$57:$AT$57)-INDEX('TO HOP'!$AD$66:$AD$127,$A121)*'TO HOP'!$AD$57-INDEX('TO HOP'!$AR$66:$AR$127,$A121)*'TO HOP'!$AR$57-INDEX('TO HOP'!$AS$66:$AS$127,$A121)*'TO HOP'!$AS$57+(INDEX('TO HOP'!$AD$66:$AD$127,$A121)*$G121+INDEX('TO HOP'!$AR$66:$AR$127,$A121)*$D121+INDEX('TO HOP'!$AS$66:$AS$127,$A121)*($E121+$F121))*(Hbe+Hcot+hxm+hgoi))</f>
        <v>16254.514369988025</v>
      </c>
      <c r="J121" s="39">
        <f>IF($H121="","",SUMPRODUCT(INDEX('TO HOP'!$C$66:$AT$127,$A121,0),'TO HOP'!$C$58:$AT$58)-INDEX('TO HOP'!$AD$66:$AD$127,$A121)*'TO HOP'!$AD$58-INDEX('TO HOP'!$AR$66:$AR$127,$A121)*'TO HOP'!$AR$58-INDEX('TO HOP'!$AS$66:$AS$127,$A121)*'TO HOP'!$AS$58+INDEX('TO HOP'!$AD$66:$AD$127,$A121)*$G121+INDEX('TO HOP'!$AR$66:$AR$127,$A121)*$D121+INDEX('TO HOP'!$AS$66:$AS$127,$A121)*($E121+$F121))</f>
        <v>1244.6323031342038</v>
      </c>
      <c r="K121" s="39">
        <f>IF($H121="","",SUMPRODUCT(INDEX('TO HOP'!$C$66:$AT$127,$A121,0),'TO HOP'!$C$62:$AT$62)-INDEX('TO HOP'!$AD$66:$AD$127,$A121)*'TO HOP'!$AD$62-INDEX('TO HOP'!$AR$66:$AR$127,$A121)*'TO HOP'!$AR$62-INDEX('TO HOP'!$AS$66:$AS$127,$A121)*'TO HOP'!$AS$62+(INDEX('TO HOP'!$AD$66:$AD$127,$A121)*$G121+INDEX('TO HOP'!$AR$66:$AR$127,$A121)*$D121+INDEX('TO HOP'!$AS$66:$AS$127,$A121)*($E121+$F121))*(Hcot+hxm+hgoi))</f>
        <v>13765.249763719617</v>
      </c>
      <c r="L121" s="39">
        <f t="shared" si="4"/>
        <v>1244.6323031342038</v>
      </c>
      <c r="M121" s="39">
        <f t="shared" si="5"/>
        <v>16254.514369988025</v>
      </c>
      <c r="N121" s="39">
        <f t="shared" si="6"/>
        <v>1244.6323031342038</v>
      </c>
      <c r="O121" s="39">
        <f t="shared" si="7"/>
        <v>13765.249763719617</v>
      </c>
    </row>
    <row r="122" spans="1:15" x14ac:dyDescent="0.3">
      <c r="A122" s="38">
        <f>'TO HOP'!N160</f>
        <v>30</v>
      </c>
      <c r="B122" s="38" t="str">
        <f>'TO HOP'!B160</f>
        <v>CĐ I(a) max - 2 nhịp đúng tâm 6 làn</v>
      </c>
      <c r="C122" s="38" t="s">
        <v>1201</v>
      </c>
      <c r="D122" s="39">
        <f>'HE GOI'!D18</f>
        <v>-1521.6710398757043</v>
      </c>
      <c r="E122" s="39">
        <f>IF(csmode=1,0,'HE GOI'!D20)</f>
        <v>512.34715147329803</v>
      </c>
      <c r="F122" s="39">
        <f>IF(csmode=1,'HE GOI'!D24,'HE GOI'!D21)</f>
        <v>320.21696967081334</v>
      </c>
      <c r="G122" s="39">
        <f>'HE GOI'!D23</f>
        <v>-1034.6545125000002</v>
      </c>
      <c r="H122" s="39">
        <f>IF(OR($A122=0,NOT(ISNUMBER($D122)),NOT(ISNUMBER($E122)),NOT(ISNUMBER($F122))),"",SUMPRODUCT(INDEX('TO HOP'!$C$66:$AT$127,$A122,0),'TO HOP'!$C$53:$AT$53)-INDEX('TO HOP'!$AD$66:$AD$127,$A122)*'TO HOP'!$AD$53-INDEX('TO HOP'!$AR$66:$AR$127,$A122)*'TO HOP'!$AR$53-INDEX('TO HOP'!$AS$66:$AS$127,$A122)*'TO HOP'!$AS$53+INDEX('TO HOP'!$AD$66:$AD$127,$A122)*$G122+INDEX('TO HOP'!$AR$66:$AR$127,$A122)*$D122+INDEX('TO HOP'!$AS$66:$AS$127,$A122)*($E122+$F122))</f>
        <v>-824.67672186579659</v>
      </c>
      <c r="I122" s="39">
        <f>IF($H122="","",SUMPRODUCT(INDEX('TO HOP'!$C$66:$AT$127,$A122,0),'TO HOP'!$C$57:$AT$57)-INDEX('TO HOP'!$AD$66:$AD$127,$A122)*'TO HOP'!$AD$57-INDEX('TO HOP'!$AR$66:$AR$127,$A122)*'TO HOP'!$AR$57-INDEX('TO HOP'!$AS$66:$AS$127,$A122)*'TO HOP'!$AS$57+(INDEX('TO HOP'!$AD$66:$AD$127,$A122)*$G122+INDEX('TO HOP'!$AR$66:$AR$127,$A122)*$D122+INDEX('TO HOP'!$AS$66:$AS$127,$A122)*($E122+$F122))*(Hbe+Hcot+hxm+hgoi))</f>
        <v>-9156.6004570119821</v>
      </c>
      <c r="J122" s="39">
        <f>IF($H122="","",SUMPRODUCT(INDEX('TO HOP'!$C$66:$AT$127,$A122,0),'TO HOP'!$C$58:$AT$58)-INDEX('TO HOP'!$AD$66:$AD$127,$A122)*'TO HOP'!$AD$58-INDEX('TO HOP'!$AR$66:$AR$127,$A122)*'TO HOP'!$AR$58-INDEX('TO HOP'!$AS$66:$AS$127,$A122)*'TO HOP'!$AS$58+INDEX('TO HOP'!$AD$66:$AD$127,$A122)*$G122+INDEX('TO HOP'!$AR$66:$AR$127,$A122)*$D122+INDEX('TO HOP'!$AS$66:$AS$127,$A122)*($E122+$F122))</f>
        <v>-824.67672186579659</v>
      </c>
      <c r="K122" s="39">
        <f>IF($H122="","",SUMPRODUCT(INDEX('TO HOP'!$C$66:$AT$127,$A122,0),'TO HOP'!$C$62:$AT$62)-INDEX('TO HOP'!$AD$66:$AD$127,$A122)*'TO HOP'!$AD$62-INDEX('TO HOP'!$AR$66:$AR$127,$A122)*'TO HOP'!$AR$62-INDEX('TO HOP'!$AS$66:$AS$127,$A122)*'TO HOP'!$AS$62+(INDEX('TO HOP'!$AD$66:$AD$127,$A122)*$G122+INDEX('TO HOP'!$AR$66:$AR$127,$A122)*$D122+INDEX('TO HOP'!$AS$66:$AS$127,$A122)*($E122+$F122))*(Hcot+hxm+hgoi))</f>
        <v>-7507.2470132803865</v>
      </c>
      <c r="L122" s="39">
        <f t="shared" si="4"/>
        <v>824.67672186579659</v>
      </c>
      <c r="M122" s="39">
        <f t="shared" si="5"/>
        <v>9156.6004570119821</v>
      </c>
      <c r="N122" s="39">
        <f t="shared" si="6"/>
        <v>824.67672186579659</v>
      </c>
      <c r="O122" s="39">
        <f t="shared" si="7"/>
        <v>7507.2470132803865</v>
      </c>
    </row>
    <row r="123" spans="1:15" x14ac:dyDescent="0.3">
      <c r="A123" s="38">
        <f>'TO HOP'!N160</f>
        <v>30</v>
      </c>
      <c r="B123" s="38" t="str">
        <f>'TO HOP'!B160</f>
        <v>CĐ I(a) max - 2 nhịp đúng tâm 6 làn</v>
      </c>
      <c r="C123" s="38" t="s">
        <v>1202</v>
      </c>
      <c r="D123" s="39">
        <f>'HE GOI'!D19</f>
        <v>1383.337308977915</v>
      </c>
      <c r="E123" s="39">
        <f>IF(csmode=1,0,'HE GOI'!D20)</f>
        <v>512.34715147329803</v>
      </c>
      <c r="F123" s="39">
        <f>IF(csmode=1,'HE GOI'!D24,'HE GOI'!D21)</f>
        <v>320.21696967081334</v>
      </c>
      <c r="G123" s="39">
        <f>'HE GOI'!D22</f>
        <v>1034.6545125000002</v>
      </c>
      <c r="H123" s="39">
        <f>IF(OR($A123=0,NOT(ISNUMBER($D123)),NOT(ISNUMBER($E123)),NOT(ISNUMBER($F123))),"",SUMPRODUCT(INDEX('TO HOP'!$C$66:$AT$127,$A123,0),'TO HOP'!$C$53:$AT$53)-INDEX('TO HOP'!$AD$66:$AD$127,$A123)*'TO HOP'!$AD$53-INDEX('TO HOP'!$AR$66:$AR$127,$A123)*'TO HOP'!$AR$53-INDEX('TO HOP'!$AS$66:$AS$127,$A123)*'TO HOP'!$AS$53+INDEX('TO HOP'!$AD$66:$AD$127,$A123)*$G123+INDEX('TO HOP'!$AR$66:$AR$127,$A123)*$D123+INDEX('TO HOP'!$AS$66:$AS$127,$A123)*($E123+$F123))</f>
        <v>2697.1364775610136</v>
      </c>
      <c r="I123" s="39">
        <f>IF($H123="","",SUMPRODUCT(INDEX('TO HOP'!$C$66:$AT$127,$A123,0),'TO HOP'!$C$57:$AT$57)-INDEX('TO HOP'!$AD$66:$AD$127,$A123)*'TO HOP'!$AD$57-INDEX('TO HOP'!$AR$66:$AR$127,$A123)*'TO HOP'!$AR$57-INDEX('TO HOP'!$AS$66:$AS$127,$A123)*'TO HOP'!$AS$57+(INDEX('TO HOP'!$AD$66:$AD$127,$A123)*$G123+INDEX('TO HOP'!$AR$66:$AR$127,$A123)*$D123+INDEX('TO HOP'!$AS$66:$AS$127,$A123)*($E123+$F123))*(Hbe+Hcot+hxm+hgoi))</f>
        <v>34091.265631949253</v>
      </c>
      <c r="J123" s="39">
        <f>IF($H123="","",SUMPRODUCT(INDEX('TO HOP'!$C$66:$AT$127,$A123,0),'TO HOP'!$C$58:$AT$58)-INDEX('TO HOP'!$AD$66:$AD$127,$A123)*'TO HOP'!$AD$58-INDEX('TO HOP'!$AR$66:$AR$127,$A123)*'TO HOP'!$AR$58-INDEX('TO HOP'!$AS$66:$AS$127,$A123)*'TO HOP'!$AS$58+INDEX('TO HOP'!$AD$66:$AD$127,$A123)*$G123+INDEX('TO HOP'!$AR$66:$AR$127,$A123)*$D123+INDEX('TO HOP'!$AS$66:$AS$127,$A123)*($E123+$F123))</f>
        <v>2697.1364775610136</v>
      </c>
      <c r="K123" s="39">
        <f>IF($H123="","",SUMPRODUCT(INDEX('TO HOP'!$C$66:$AT$127,$A123,0),'TO HOP'!$C$62:$AT$62)-INDEX('TO HOP'!$AD$66:$AD$127,$A123)*'TO HOP'!$AD$62-INDEX('TO HOP'!$AR$66:$AR$127,$A123)*'TO HOP'!$AR$62-INDEX('TO HOP'!$AS$66:$AS$127,$A123)*'TO HOP'!$AS$62+(INDEX('TO HOP'!$AD$66:$AD$127,$A123)*$G123+INDEX('TO HOP'!$AR$66:$AR$127,$A123)*$D123+INDEX('TO HOP'!$AS$66:$AS$127,$A123)*($E123+$F123))*(Hcot+hxm+hgoi))</f>
        <v>28696.992676827227</v>
      </c>
      <c r="L123" s="39">
        <f t="shared" si="4"/>
        <v>2697.1364775610136</v>
      </c>
      <c r="M123" s="39">
        <f t="shared" si="5"/>
        <v>34091.265631949253</v>
      </c>
      <c r="N123" s="39">
        <f t="shared" si="6"/>
        <v>2697.1364775610136</v>
      </c>
      <c r="O123" s="39">
        <f t="shared" si="7"/>
        <v>28696.992676827227</v>
      </c>
    </row>
    <row r="124" spans="1:15" x14ac:dyDescent="0.3">
      <c r="A124" s="38">
        <f>'TO HOP'!N160</f>
        <v>30</v>
      </c>
      <c r="B124" s="38" t="str">
        <f>'TO HOP'!B160</f>
        <v>CĐ I(a) max - 2 nhịp đúng tâm 6 làn</v>
      </c>
      <c r="C124" s="38" t="s">
        <v>1203</v>
      </c>
      <c r="D124" s="39">
        <f>'HE GOI'!D19</f>
        <v>1383.337308977915</v>
      </c>
      <c r="E124" s="39">
        <f>IF(csmode=1,0,'HE GOI'!D20)</f>
        <v>512.34715147329803</v>
      </c>
      <c r="F124" s="39">
        <f>IF(csmode=1,'HE GOI'!D24,'HE GOI'!D21)</f>
        <v>320.21696967081334</v>
      </c>
      <c r="G124" s="39">
        <f>'HE GOI'!D23</f>
        <v>-1034.6545125000002</v>
      </c>
      <c r="H124" s="39">
        <f>IF(OR($A124=0,NOT(ISNUMBER($D124)),NOT(ISNUMBER($E124)),NOT(ISNUMBER($F124))),"",SUMPRODUCT(INDEX('TO HOP'!$C$66:$AT$127,$A124,0),'TO HOP'!$C$53:$AT$53)-INDEX('TO HOP'!$AD$66:$AD$127,$A124)*'TO HOP'!$AD$53-INDEX('TO HOP'!$AR$66:$AR$127,$A124)*'TO HOP'!$AR$53-INDEX('TO HOP'!$AS$66:$AS$127,$A124)*'TO HOP'!$AS$53+INDEX('TO HOP'!$AD$66:$AD$127,$A124)*$G124+INDEX('TO HOP'!$AR$66:$AR$127,$A124)*$D124+INDEX('TO HOP'!$AS$66:$AS$127,$A124)*($E124+$F124))</f>
        <v>627.82745256101293</v>
      </c>
      <c r="I124" s="39">
        <f>IF($H124="","",SUMPRODUCT(INDEX('TO HOP'!$C$66:$AT$127,$A124,0),'TO HOP'!$C$57:$AT$57)-INDEX('TO HOP'!$AD$66:$AD$127,$A124)*'TO HOP'!$AD$57-INDEX('TO HOP'!$AR$66:$AR$127,$A124)*'TO HOP'!$AR$57-INDEX('TO HOP'!$AS$66:$AS$127,$A124)*'TO HOP'!$AS$57+(INDEX('TO HOP'!$AD$66:$AD$127,$A124)*$G124+INDEX('TO HOP'!$AR$66:$AR$127,$A124)*$D124+INDEX('TO HOP'!$AS$66:$AS$127,$A124)*($E124+$F124))*(Hbe+Hcot+hxm+hgoi))</f>
        <v>8680.1508049492404</v>
      </c>
      <c r="J124" s="39">
        <f>IF($H124="","",SUMPRODUCT(INDEX('TO HOP'!$C$66:$AT$127,$A124,0),'TO HOP'!$C$58:$AT$58)-INDEX('TO HOP'!$AD$66:$AD$127,$A124)*'TO HOP'!$AD$58-INDEX('TO HOP'!$AR$66:$AR$127,$A124)*'TO HOP'!$AR$58-INDEX('TO HOP'!$AS$66:$AS$127,$A124)*'TO HOP'!$AS$58+INDEX('TO HOP'!$AD$66:$AD$127,$A124)*$G124+INDEX('TO HOP'!$AR$66:$AR$127,$A124)*$D124+INDEX('TO HOP'!$AS$66:$AS$127,$A124)*($E124+$F124))</f>
        <v>627.82745256101293</v>
      </c>
      <c r="K124" s="39">
        <f>IF($H124="","",SUMPRODUCT(INDEX('TO HOP'!$C$66:$AT$127,$A124,0),'TO HOP'!$C$62:$AT$62)-INDEX('TO HOP'!$AD$66:$AD$127,$A124)*'TO HOP'!$AD$62-INDEX('TO HOP'!$AR$66:$AR$127,$A124)*'TO HOP'!$AR$62-INDEX('TO HOP'!$AS$66:$AS$127,$A124)*'TO HOP'!$AS$62+(INDEX('TO HOP'!$AD$66:$AD$127,$A124)*$G124+INDEX('TO HOP'!$AR$66:$AR$127,$A124)*$D124+INDEX('TO HOP'!$AS$66:$AS$127,$A124)*($E124+$F124))*(Hcot+hxm+hgoi))</f>
        <v>7424.4958998272159</v>
      </c>
      <c r="L124" s="39">
        <f t="shared" si="4"/>
        <v>627.82745256101293</v>
      </c>
      <c r="M124" s="39">
        <f t="shared" si="5"/>
        <v>8680.1508049492404</v>
      </c>
      <c r="N124" s="39">
        <f t="shared" si="6"/>
        <v>627.82745256101293</v>
      </c>
      <c r="O124" s="39">
        <f t="shared" si="7"/>
        <v>7424.4958998272159</v>
      </c>
    </row>
    <row r="125" spans="1:15" x14ac:dyDescent="0.3">
      <c r="A125" s="38">
        <f>'TO HOP'!N161</f>
        <v>31</v>
      </c>
      <c r="B125" s="38" t="str">
        <f>'TO HOP'!B161</f>
        <v>CĐ I(a) max - 1 nhịp 1 làn</v>
      </c>
      <c r="C125" s="38" t="s">
        <v>1200</v>
      </c>
      <c r="D125" s="39">
        <f>'HE GOI'!D18</f>
        <v>-1521.6710398757043</v>
      </c>
      <c r="E125" s="39">
        <f>IF(csmode=1,0,'HE GOI'!D20)</f>
        <v>512.34715147329803</v>
      </c>
      <c r="F125" s="39">
        <f>IF(csmode=1,'HE GOI'!D24,'HE GOI'!D21)</f>
        <v>320.21696967081334</v>
      </c>
      <c r="G125" s="39">
        <f>'HE GOI'!D22</f>
        <v>1034.6545125000002</v>
      </c>
      <c r="H125" s="39">
        <f>IF(OR($A125=0,NOT(ISNUMBER($D125)),NOT(ISNUMBER($E125)),NOT(ISNUMBER($F125))),"",SUMPRODUCT(INDEX('TO HOP'!$C$66:$AT$127,$A125,0),'TO HOP'!$C$53:$AT$53)-INDEX('TO HOP'!$AD$66:$AD$127,$A125)*'TO HOP'!$AD$53-INDEX('TO HOP'!$AR$66:$AR$127,$A125)*'TO HOP'!$AR$53-INDEX('TO HOP'!$AS$66:$AS$127,$A125)*'TO HOP'!$AS$53+INDEX('TO HOP'!$AD$66:$AD$127,$A125)*$G125+INDEX('TO HOP'!$AR$66:$AR$127,$A125)*$D125+INDEX('TO HOP'!$AS$66:$AS$127,$A125)*($E125+$F125))</f>
        <v>1244.6323031342038</v>
      </c>
      <c r="I125" s="39">
        <f>IF($H125="","",SUMPRODUCT(INDEX('TO HOP'!$C$66:$AT$127,$A125,0),'TO HOP'!$C$57:$AT$57)-INDEX('TO HOP'!$AD$66:$AD$127,$A125)*'TO HOP'!$AD$57-INDEX('TO HOP'!$AR$66:$AR$127,$A125)*'TO HOP'!$AR$57-INDEX('TO HOP'!$AS$66:$AS$127,$A125)*'TO HOP'!$AS$57+(INDEX('TO HOP'!$AD$66:$AD$127,$A125)*$G125+INDEX('TO HOP'!$AR$66:$AR$127,$A125)*$D125+INDEX('TO HOP'!$AS$66:$AS$127,$A125)*($E125+$F125))*(Hbe+Hcot+hxm+hgoi))</f>
        <v>17339.064535988025</v>
      </c>
      <c r="J125" s="39">
        <f>IF($H125="","",SUMPRODUCT(INDEX('TO HOP'!$C$66:$AT$127,$A125,0),'TO HOP'!$C$58:$AT$58)-INDEX('TO HOP'!$AD$66:$AD$127,$A125)*'TO HOP'!$AD$58-INDEX('TO HOP'!$AR$66:$AR$127,$A125)*'TO HOP'!$AR$58-INDEX('TO HOP'!$AS$66:$AS$127,$A125)*'TO HOP'!$AS$58+INDEX('TO HOP'!$AD$66:$AD$127,$A125)*$G125+INDEX('TO HOP'!$AR$66:$AR$127,$A125)*$D125+INDEX('TO HOP'!$AS$66:$AS$127,$A125)*($E125+$F125))</f>
        <v>1244.6323031342038</v>
      </c>
      <c r="K125" s="39">
        <f>IF($H125="","",SUMPRODUCT(INDEX('TO HOP'!$C$66:$AT$127,$A125,0),'TO HOP'!$C$62:$AT$62)-INDEX('TO HOP'!$AD$66:$AD$127,$A125)*'TO HOP'!$AD$62-INDEX('TO HOP'!$AR$66:$AR$127,$A125)*'TO HOP'!$AR$62-INDEX('TO HOP'!$AS$66:$AS$127,$A125)*'TO HOP'!$AS$62+(INDEX('TO HOP'!$AD$66:$AD$127,$A125)*$G125+INDEX('TO HOP'!$AR$66:$AR$127,$A125)*$D125+INDEX('TO HOP'!$AS$66:$AS$127,$A125)*($E125+$F125))*(Hcot+hxm+hgoi))</f>
        <v>14849.799929719615</v>
      </c>
      <c r="L125" s="39">
        <f t="shared" si="4"/>
        <v>1244.6323031342038</v>
      </c>
      <c r="M125" s="39">
        <f t="shared" si="5"/>
        <v>17339.064535988025</v>
      </c>
      <c r="N125" s="39">
        <f t="shared" si="6"/>
        <v>1244.6323031342038</v>
      </c>
      <c r="O125" s="39">
        <f t="shared" si="7"/>
        <v>14849.799929719615</v>
      </c>
    </row>
    <row r="126" spans="1:15" x14ac:dyDescent="0.3">
      <c r="A126" s="38">
        <f>'TO HOP'!N161</f>
        <v>31</v>
      </c>
      <c r="B126" s="38" t="str">
        <f>'TO HOP'!B161</f>
        <v>CĐ I(a) max - 1 nhịp 1 làn</v>
      </c>
      <c r="C126" s="38" t="s">
        <v>1201</v>
      </c>
      <c r="D126" s="39">
        <f>'HE GOI'!D18</f>
        <v>-1521.6710398757043</v>
      </c>
      <c r="E126" s="39">
        <f>IF(csmode=1,0,'HE GOI'!D20)</f>
        <v>512.34715147329803</v>
      </c>
      <c r="F126" s="39">
        <f>IF(csmode=1,'HE GOI'!D24,'HE GOI'!D21)</f>
        <v>320.21696967081334</v>
      </c>
      <c r="G126" s="39">
        <f>'HE GOI'!D23</f>
        <v>-1034.6545125000002</v>
      </c>
      <c r="H126" s="39">
        <f>IF(OR($A126=0,NOT(ISNUMBER($D126)),NOT(ISNUMBER($E126)),NOT(ISNUMBER($F126))),"",SUMPRODUCT(INDEX('TO HOP'!$C$66:$AT$127,$A126,0),'TO HOP'!$C$53:$AT$53)-INDEX('TO HOP'!$AD$66:$AD$127,$A126)*'TO HOP'!$AD$53-INDEX('TO HOP'!$AR$66:$AR$127,$A126)*'TO HOP'!$AR$53-INDEX('TO HOP'!$AS$66:$AS$127,$A126)*'TO HOP'!$AS$53+INDEX('TO HOP'!$AD$66:$AD$127,$A126)*$G126+INDEX('TO HOP'!$AR$66:$AR$127,$A126)*$D126+INDEX('TO HOP'!$AS$66:$AS$127,$A126)*($E126+$F126))</f>
        <v>-824.67672186579659</v>
      </c>
      <c r="I126" s="39">
        <f>IF($H126="","",SUMPRODUCT(INDEX('TO HOP'!$C$66:$AT$127,$A126,0),'TO HOP'!$C$57:$AT$57)-INDEX('TO HOP'!$AD$66:$AD$127,$A126)*'TO HOP'!$AD$57-INDEX('TO HOP'!$AR$66:$AR$127,$A126)*'TO HOP'!$AR$57-INDEX('TO HOP'!$AS$66:$AS$127,$A126)*'TO HOP'!$AS$57+(INDEX('TO HOP'!$AD$66:$AD$127,$A126)*$G126+INDEX('TO HOP'!$AR$66:$AR$127,$A126)*$D126+INDEX('TO HOP'!$AS$66:$AS$127,$A126)*($E126+$F126))*(Hbe+Hcot+hxm+hgoi))</f>
        <v>-8072.0502910119812</v>
      </c>
      <c r="J126" s="39">
        <f>IF($H126="","",SUMPRODUCT(INDEX('TO HOP'!$C$66:$AT$127,$A126,0),'TO HOP'!$C$58:$AT$58)-INDEX('TO HOP'!$AD$66:$AD$127,$A126)*'TO HOP'!$AD$58-INDEX('TO HOP'!$AR$66:$AR$127,$A126)*'TO HOP'!$AR$58-INDEX('TO HOP'!$AS$66:$AS$127,$A126)*'TO HOP'!$AS$58+INDEX('TO HOP'!$AD$66:$AD$127,$A126)*$G126+INDEX('TO HOP'!$AR$66:$AR$127,$A126)*$D126+INDEX('TO HOP'!$AS$66:$AS$127,$A126)*($E126+$F126))</f>
        <v>-824.67672186579659</v>
      </c>
      <c r="K126" s="39">
        <f>IF($H126="","",SUMPRODUCT(INDEX('TO HOP'!$C$66:$AT$127,$A126,0),'TO HOP'!$C$62:$AT$62)-INDEX('TO HOP'!$AD$66:$AD$127,$A126)*'TO HOP'!$AD$62-INDEX('TO HOP'!$AR$66:$AR$127,$A126)*'TO HOP'!$AR$62-INDEX('TO HOP'!$AS$66:$AS$127,$A126)*'TO HOP'!$AS$62+(INDEX('TO HOP'!$AD$66:$AD$127,$A126)*$G126+INDEX('TO HOP'!$AR$66:$AR$127,$A126)*$D126+INDEX('TO HOP'!$AS$66:$AS$127,$A126)*($E126+$F126))*(Hcot+hxm+hgoi))</f>
        <v>-6422.6968472803892</v>
      </c>
      <c r="L126" s="39">
        <f t="shared" si="4"/>
        <v>824.67672186579659</v>
      </c>
      <c r="M126" s="39">
        <f t="shared" si="5"/>
        <v>8072.0502910119812</v>
      </c>
      <c r="N126" s="39">
        <f t="shared" si="6"/>
        <v>824.67672186579659</v>
      </c>
      <c r="O126" s="39">
        <f t="shared" si="7"/>
        <v>6422.6968472803892</v>
      </c>
    </row>
    <row r="127" spans="1:15" x14ac:dyDescent="0.3">
      <c r="A127" s="38">
        <f>'TO HOP'!N161</f>
        <v>31</v>
      </c>
      <c r="B127" s="38" t="str">
        <f>'TO HOP'!B161</f>
        <v>CĐ I(a) max - 1 nhịp 1 làn</v>
      </c>
      <c r="C127" s="38" t="s">
        <v>1202</v>
      </c>
      <c r="D127" s="39">
        <f>'HE GOI'!D19</f>
        <v>1383.337308977915</v>
      </c>
      <c r="E127" s="39">
        <f>IF(csmode=1,0,'HE GOI'!D20)</f>
        <v>512.34715147329803</v>
      </c>
      <c r="F127" s="39">
        <f>IF(csmode=1,'HE GOI'!D24,'HE GOI'!D21)</f>
        <v>320.21696967081334</v>
      </c>
      <c r="G127" s="39">
        <f>'HE GOI'!D22</f>
        <v>1034.6545125000002</v>
      </c>
      <c r="H127" s="39">
        <f>IF(OR($A127=0,NOT(ISNUMBER($D127)),NOT(ISNUMBER($E127)),NOT(ISNUMBER($F127))),"",SUMPRODUCT(INDEX('TO HOP'!$C$66:$AT$127,$A127,0),'TO HOP'!$C$53:$AT$53)-INDEX('TO HOP'!$AD$66:$AD$127,$A127)*'TO HOP'!$AD$53-INDEX('TO HOP'!$AR$66:$AR$127,$A127)*'TO HOP'!$AR$53-INDEX('TO HOP'!$AS$66:$AS$127,$A127)*'TO HOP'!$AS$53+INDEX('TO HOP'!$AD$66:$AD$127,$A127)*$G127+INDEX('TO HOP'!$AR$66:$AR$127,$A127)*$D127+INDEX('TO HOP'!$AS$66:$AS$127,$A127)*($E127+$F127))</f>
        <v>2697.1364775610136</v>
      </c>
      <c r="I127" s="39">
        <f>IF($H127="","",SUMPRODUCT(INDEX('TO HOP'!$C$66:$AT$127,$A127,0),'TO HOP'!$C$57:$AT$57)-INDEX('TO HOP'!$AD$66:$AD$127,$A127)*'TO HOP'!$AD$57-INDEX('TO HOP'!$AR$66:$AR$127,$A127)*'TO HOP'!$AR$57-INDEX('TO HOP'!$AS$66:$AS$127,$A127)*'TO HOP'!$AS$57+(INDEX('TO HOP'!$AD$66:$AD$127,$A127)*$G127+INDEX('TO HOP'!$AR$66:$AR$127,$A127)*$D127+INDEX('TO HOP'!$AS$66:$AS$127,$A127)*($E127+$F127))*(Hbe+Hcot+hxm+hgoi))</f>
        <v>35175.815797949253</v>
      </c>
      <c r="J127" s="39">
        <f>IF($H127="","",SUMPRODUCT(INDEX('TO HOP'!$C$66:$AT$127,$A127,0),'TO HOP'!$C$58:$AT$58)-INDEX('TO HOP'!$AD$66:$AD$127,$A127)*'TO HOP'!$AD$58-INDEX('TO HOP'!$AR$66:$AR$127,$A127)*'TO HOP'!$AR$58-INDEX('TO HOP'!$AS$66:$AS$127,$A127)*'TO HOP'!$AS$58+INDEX('TO HOP'!$AD$66:$AD$127,$A127)*$G127+INDEX('TO HOP'!$AR$66:$AR$127,$A127)*$D127+INDEX('TO HOP'!$AS$66:$AS$127,$A127)*($E127+$F127))</f>
        <v>2697.1364775610136</v>
      </c>
      <c r="K127" s="39">
        <f>IF($H127="","",SUMPRODUCT(INDEX('TO HOP'!$C$66:$AT$127,$A127,0),'TO HOP'!$C$62:$AT$62)-INDEX('TO HOP'!$AD$66:$AD$127,$A127)*'TO HOP'!$AD$62-INDEX('TO HOP'!$AR$66:$AR$127,$A127)*'TO HOP'!$AR$62-INDEX('TO HOP'!$AS$66:$AS$127,$A127)*'TO HOP'!$AS$62+(INDEX('TO HOP'!$AD$66:$AD$127,$A127)*$G127+INDEX('TO HOP'!$AR$66:$AR$127,$A127)*$D127+INDEX('TO HOP'!$AS$66:$AS$127,$A127)*($E127+$F127))*(Hcot+hxm+hgoi))</f>
        <v>29781.542842827224</v>
      </c>
      <c r="L127" s="39">
        <f t="shared" si="4"/>
        <v>2697.1364775610136</v>
      </c>
      <c r="M127" s="39">
        <f t="shared" si="5"/>
        <v>35175.815797949253</v>
      </c>
      <c r="N127" s="39">
        <f t="shared" si="6"/>
        <v>2697.1364775610136</v>
      </c>
      <c r="O127" s="39">
        <f t="shared" si="7"/>
        <v>29781.542842827224</v>
      </c>
    </row>
    <row r="128" spans="1:15" x14ac:dyDescent="0.3">
      <c r="A128" s="38">
        <f>'TO HOP'!N161</f>
        <v>31</v>
      </c>
      <c r="B128" s="38" t="str">
        <f>'TO HOP'!B161</f>
        <v>CĐ I(a) max - 1 nhịp 1 làn</v>
      </c>
      <c r="C128" s="38" t="s">
        <v>1203</v>
      </c>
      <c r="D128" s="39">
        <f>'HE GOI'!D19</f>
        <v>1383.337308977915</v>
      </c>
      <c r="E128" s="39">
        <f>IF(csmode=1,0,'HE GOI'!D20)</f>
        <v>512.34715147329803</v>
      </c>
      <c r="F128" s="39">
        <f>IF(csmode=1,'HE GOI'!D24,'HE GOI'!D21)</f>
        <v>320.21696967081334</v>
      </c>
      <c r="G128" s="39">
        <f>'HE GOI'!D23</f>
        <v>-1034.6545125000002</v>
      </c>
      <c r="H128" s="39">
        <f>IF(OR($A128=0,NOT(ISNUMBER($D128)),NOT(ISNUMBER($E128)),NOT(ISNUMBER($F128))),"",SUMPRODUCT(INDEX('TO HOP'!$C$66:$AT$127,$A128,0),'TO HOP'!$C$53:$AT$53)-INDEX('TO HOP'!$AD$66:$AD$127,$A128)*'TO HOP'!$AD$53-INDEX('TO HOP'!$AR$66:$AR$127,$A128)*'TO HOP'!$AR$53-INDEX('TO HOP'!$AS$66:$AS$127,$A128)*'TO HOP'!$AS$53+INDEX('TO HOP'!$AD$66:$AD$127,$A128)*$G128+INDEX('TO HOP'!$AR$66:$AR$127,$A128)*$D128+INDEX('TO HOP'!$AS$66:$AS$127,$A128)*($E128+$F128))</f>
        <v>627.82745256101293</v>
      </c>
      <c r="I128" s="39">
        <f>IF($H128="","",SUMPRODUCT(INDEX('TO HOP'!$C$66:$AT$127,$A128,0),'TO HOP'!$C$57:$AT$57)-INDEX('TO HOP'!$AD$66:$AD$127,$A128)*'TO HOP'!$AD$57-INDEX('TO HOP'!$AR$66:$AR$127,$A128)*'TO HOP'!$AR$57-INDEX('TO HOP'!$AS$66:$AS$127,$A128)*'TO HOP'!$AS$57+(INDEX('TO HOP'!$AD$66:$AD$127,$A128)*$G128+INDEX('TO HOP'!$AR$66:$AR$127,$A128)*$D128+INDEX('TO HOP'!$AS$66:$AS$127,$A128)*($E128+$F128))*(Hbe+Hcot+hxm+hgoi))</f>
        <v>9764.7009709492413</v>
      </c>
      <c r="J128" s="39">
        <f>IF($H128="","",SUMPRODUCT(INDEX('TO HOP'!$C$66:$AT$127,$A128,0),'TO HOP'!$C$58:$AT$58)-INDEX('TO HOP'!$AD$66:$AD$127,$A128)*'TO HOP'!$AD$58-INDEX('TO HOP'!$AR$66:$AR$127,$A128)*'TO HOP'!$AR$58-INDEX('TO HOP'!$AS$66:$AS$127,$A128)*'TO HOP'!$AS$58+INDEX('TO HOP'!$AD$66:$AD$127,$A128)*$G128+INDEX('TO HOP'!$AR$66:$AR$127,$A128)*$D128+INDEX('TO HOP'!$AS$66:$AS$127,$A128)*($E128+$F128))</f>
        <v>627.82745256101293</v>
      </c>
      <c r="K128" s="39">
        <f>IF($H128="","",SUMPRODUCT(INDEX('TO HOP'!$C$66:$AT$127,$A128,0),'TO HOP'!$C$62:$AT$62)-INDEX('TO HOP'!$AD$66:$AD$127,$A128)*'TO HOP'!$AD$62-INDEX('TO HOP'!$AR$66:$AR$127,$A128)*'TO HOP'!$AR$62-INDEX('TO HOP'!$AS$66:$AS$127,$A128)*'TO HOP'!$AS$62+(INDEX('TO HOP'!$AD$66:$AD$127,$A128)*$G128+INDEX('TO HOP'!$AR$66:$AR$127,$A128)*$D128+INDEX('TO HOP'!$AS$66:$AS$127,$A128)*($E128+$F128))*(Hcot+hxm+hgoi))</f>
        <v>8509.0460658272132</v>
      </c>
      <c r="L128" s="39">
        <f t="shared" si="4"/>
        <v>627.82745256101293</v>
      </c>
      <c r="M128" s="39">
        <f t="shared" si="5"/>
        <v>9764.7009709492413</v>
      </c>
      <c r="N128" s="39">
        <f t="shared" si="6"/>
        <v>627.82745256101293</v>
      </c>
      <c r="O128" s="39">
        <f t="shared" si="7"/>
        <v>8509.0460658272132</v>
      </c>
    </row>
    <row r="129" spans="1:15" x14ac:dyDescent="0.3">
      <c r="A129" s="38">
        <f>'TO HOP'!N162</f>
        <v>32</v>
      </c>
      <c r="B129" s="38" t="str">
        <f>'TO HOP'!B162</f>
        <v>CĐ I(a) max - 1 nhịp 2 làn</v>
      </c>
      <c r="C129" s="38" t="s">
        <v>1200</v>
      </c>
      <c r="D129" s="39">
        <f>'HE GOI'!D18</f>
        <v>-1521.6710398757043</v>
      </c>
      <c r="E129" s="39">
        <f>IF(csmode=1,0,'HE GOI'!D20)</f>
        <v>512.34715147329803</v>
      </c>
      <c r="F129" s="39">
        <f>IF(csmode=1,'HE GOI'!D24,'HE GOI'!D21)</f>
        <v>320.21696967081334</v>
      </c>
      <c r="G129" s="39">
        <f>'HE GOI'!D22</f>
        <v>1034.6545125000002</v>
      </c>
      <c r="H129" s="39">
        <f>IF(OR($A129=0,NOT(ISNUMBER($D129)),NOT(ISNUMBER($E129)),NOT(ISNUMBER($F129))),"",SUMPRODUCT(INDEX('TO HOP'!$C$66:$AT$127,$A129,0),'TO HOP'!$C$53:$AT$53)-INDEX('TO HOP'!$AD$66:$AD$127,$A129)*'TO HOP'!$AD$53-INDEX('TO HOP'!$AR$66:$AR$127,$A129)*'TO HOP'!$AR$53-INDEX('TO HOP'!$AS$66:$AS$127,$A129)*'TO HOP'!$AS$53+INDEX('TO HOP'!$AD$66:$AD$127,$A129)*$G129+INDEX('TO HOP'!$AR$66:$AR$127,$A129)*$D129+INDEX('TO HOP'!$AS$66:$AS$127,$A129)*($E129+$F129))</f>
        <v>1244.6323031342038</v>
      </c>
      <c r="I129" s="39">
        <f>IF($H129="","",SUMPRODUCT(INDEX('TO HOP'!$C$66:$AT$127,$A129,0),'TO HOP'!$C$57:$AT$57)-INDEX('TO HOP'!$AD$66:$AD$127,$A129)*'TO HOP'!$AD$57-INDEX('TO HOP'!$AR$66:$AR$127,$A129)*'TO HOP'!$AR$57-INDEX('TO HOP'!$AS$66:$AS$127,$A129)*'TO HOP'!$AS$57+(INDEX('TO HOP'!$AD$66:$AD$127,$A129)*$G129+INDEX('TO HOP'!$AR$66:$AR$127,$A129)*$D129+INDEX('TO HOP'!$AS$66:$AS$127,$A129)*($E129+$F129))*(Hbe+Hcot+hxm+hgoi))</f>
        <v>18062.097979988026</v>
      </c>
      <c r="J129" s="39">
        <f>IF($H129="","",SUMPRODUCT(INDEX('TO HOP'!$C$66:$AT$127,$A129,0),'TO HOP'!$C$58:$AT$58)-INDEX('TO HOP'!$AD$66:$AD$127,$A129)*'TO HOP'!$AD$58-INDEX('TO HOP'!$AR$66:$AR$127,$A129)*'TO HOP'!$AR$58-INDEX('TO HOP'!$AS$66:$AS$127,$A129)*'TO HOP'!$AS$58+INDEX('TO HOP'!$AD$66:$AD$127,$A129)*$G129+INDEX('TO HOP'!$AR$66:$AR$127,$A129)*$D129+INDEX('TO HOP'!$AS$66:$AS$127,$A129)*($E129+$F129))</f>
        <v>1244.6323031342038</v>
      </c>
      <c r="K129" s="39">
        <f>IF($H129="","",SUMPRODUCT(INDEX('TO HOP'!$C$66:$AT$127,$A129,0),'TO HOP'!$C$62:$AT$62)-INDEX('TO HOP'!$AD$66:$AD$127,$A129)*'TO HOP'!$AD$62-INDEX('TO HOP'!$AR$66:$AR$127,$A129)*'TO HOP'!$AR$62-INDEX('TO HOP'!$AS$66:$AS$127,$A129)*'TO HOP'!$AS$62+(INDEX('TO HOP'!$AD$66:$AD$127,$A129)*$G129+INDEX('TO HOP'!$AR$66:$AR$127,$A129)*$D129+INDEX('TO HOP'!$AS$66:$AS$127,$A129)*($E129+$F129))*(Hcot+hxm+hgoi))</f>
        <v>15572.833373719615</v>
      </c>
      <c r="L129" s="39">
        <f t="shared" si="4"/>
        <v>1244.6323031342038</v>
      </c>
      <c r="M129" s="39">
        <f t="shared" si="5"/>
        <v>18062.097979988026</v>
      </c>
      <c r="N129" s="39">
        <f t="shared" si="6"/>
        <v>1244.6323031342038</v>
      </c>
      <c r="O129" s="39">
        <f t="shared" si="7"/>
        <v>15572.833373719615</v>
      </c>
    </row>
    <row r="130" spans="1:15" x14ac:dyDescent="0.3">
      <c r="A130" s="38">
        <f>'TO HOP'!N162</f>
        <v>32</v>
      </c>
      <c r="B130" s="38" t="str">
        <f>'TO HOP'!B162</f>
        <v>CĐ I(a) max - 1 nhịp 2 làn</v>
      </c>
      <c r="C130" s="38" t="s">
        <v>1201</v>
      </c>
      <c r="D130" s="39">
        <f>'HE GOI'!D18</f>
        <v>-1521.6710398757043</v>
      </c>
      <c r="E130" s="39">
        <f>IF(csmode=1,0,'HE GOI'!D20)</f>
        <v>512.34715147329803</v>
      </c>
      <c r="F130" s="39">
        <f>IF(csmode=1,'HE GOI'!D24,'HE GOI'!D21)</f>
        <v>320.21696967081334</v>
      </c>
      <c r="G130" s="39">
        <f>'HE GOI'!D23</f>
        <v>-1034.6545125000002</v>
      </c>
      <c r="H130" s="39">
        <f>IF(OR($A130=0,NOT(ISNUMBER($D130)),NOT(ISNUMBER($E130)),NOT(ISNUMBER($F130))),"",SUMPRODUCT(INDEX('TO HOP'!$C$66:$AT$127,$A130,0),'TO HOP'!$C$53:$AT$53)-INDEX('TO HOP'!$AD$66:$AD$127,$A130)*'TO HOP'!$AD$53-INDEX('TO HOP'!$AR$66:$AR$127,$A130)*'TO HOP'!$AR$53-INDEX('TO HOP'!$AS$66:$AS$127,$A130)*'TO HOP'!$AS$53+INDEX('TO HOP'!$AD$66:$AD$127,$A130)*$G130+INDEX('TO HOP'!$AR$66:$AR$127,$A130)*$D130+INDEX('TO HOP'!$AS$66:$AS$127,$A130)*($E130+$F130))</f>
        <v>-824.67672186579659</v>
      </c>
      <c r="I130" s="39">
        <f>IF($H130="","",SUMPRODUCT(INDEX('TO HOP'!$C$66:$AT$127,$A130,0),'TO HOP'!$C$57:$AT$57)-INDEX('TO HOP'!$AD$66:$AD$127,$A130)*'TO HOP'!$AD$57-INDEX('TO HOP'!$AR$66:$AR$127,$A130)*'TO HOP'!$AR$57-INDEX('TO HOP'!$AS$66:$AS$127,$A130)*'TO HOP'!$AS$57+(INDEX('TO HOP'!$AD$66:$AD$127,$A130)*$G130+INDEX('TO HOP'!$AR$66:$AR$127,$A130)*$D130+INDEX('TO HOP'!$AS$66:$AS$127,$A130)*($E130+$F130))*(Hbe+Hcot+hxm+hgoi))</f>
        <v>-7349.0168470119806</v>
      </c>
      <c r="J130" s="39">
        <f>IF($H130="","",SUMPRODUCT(INDEX('TO HOP'!$C$66:$AT$127,$A130,0),'TO HOP'!$C$58:$AT$58)-INDEX('TO HOP'!$AD$66:$AD$127,$A130)*'TO HOP'!$AD$58-INDEX('TO HOP'!$AR$66:$AR$127,$A130)*'TO HOP'!$AR$58-INDEX('TO HOP'!$AS$66:$AS$127,$A130)*'TO HOP'!$AS$58+INDEX('TO HOP'!$AD$66:$AD$127,$A130)*$G130+INDEX('TO HOP'!$AR$66:$AR$127,$A130)*$D130+INDEX('TO HOP'!$AS$66:$AS$127,$A130)*($E130+$F130))</f>
        <v>-824.67672186579659</v>
      </c>
      <c r="K130" s="39">
        <f>IF($H130="","",SUMPRODUCT(INDEX('TO HOP'!$C$66:$AT$127,$A130,0),'TO HOP'!$C$62:$AT$62)-INDEX('TO HOP'!$AD$66:$AD$127,$A130)*'TO HOP'!$AD$62-INDEX('TO HOP'!$AR$66:$AR$127,$A130)*'TO HOP'!$AR$62-INDEX('TO HOP'!$AS$66:$AS$127,$A130)*'TO HOP'!$AS$62+(INDEX('TO HOP'!$AD$66:$AD$127,$A130)*$G130+INDEX('TO HOP'!$AR$66:$AR$127,$A130)*$D130+INDEX('TO HOP'!$AS$66:$AS$127,$A130)*($E130+$F130))*(Hcot+hxm+hgoi))</f>
        <v>-5699.6634032803886</v>
      </c>
      <c r="L130" s="39">
        <f t="shared" si="4"/>
        <v>824.67672186579659</v>
      </c>
      <c r="M130" s="39">
        <f t="shared" si="5"/>
        <v>7349.0168470119806</v>
      </c>
      <c r="N130" s="39">
        <f t="shared" si="6"/>
        <v>824.67672186579659</v>
      </c>
      <c r="O130" s="39">
        <f t="shared" si="7"/>
        <v>5699.6634032803886</v>
      </c>
    </row>
    <row r="131" spans="1:15" x14ac:dyDescent="0.3">
      <c r="A131" s="38">
        <f>'TO HOP'!N162</f>
        <v>32</v>
      </c>
      <c r="B131" s="38" t="str">
        <f>'TO HOP'!B162</f>
        <v>CĐ I(a) max - 1 nhịp 2 làn</v>
      </c>
      <c r="C131" s="38" t="s">
        <v>1202</v>
      </c>
      <c r="D131" s="39">
        <f>'HE GOI'!D19</f>
        <v>1383.337308977915</v>
      </c>
      <c r="E131" s="39">
        <f>IF(csmode=1,0,'HE GOI'!D20)</f>
        <v>512.34715147329803</v>
      </c>
      <c r="F131" s="39">
        <f>IF(csmode=1,'HE GOI'!D24,'HE GOI'!D21)</f>
        <v>320.21696967081334</v>
      </c>
      <c r="G131" s="39">
        <f>'HE GOI'!D22</f>
        <v>1034.6545125000002</v>
      </c>
      <c r="H131" s="39">
        <f>IF(OR($A131=0,NOT(ISNUMBER($D131)),NOT(ISNUMBER($E131)),NOT(ISNUMBER($F131))),"",SUMPRODUCT(INDEX('TO HOP'!$C$66:$AT$127,$A131,0),'TO HOP'!$C$53:$AT$53)-INDEX('TO HOP'!$AD$66:$AD$127,$A131)*'TO HOP'!$AD$53-INDEX('TO HOP'!$AR$66:$AR$127,$A131)*'TO HOP'!$AR$53-INDEX('TO HOP'!$AS$66:$AS$127,$A131)*'TO HOP'!$AS$53+INDEX('TO HOP'!$AD$66:$AD$127,$A131)*$G131+INDEX('TO HOP'!$AR$66:$AR$127,$A131)*$D131+INDEX('TO HOP'!$AS$66:$AS$127,$A131)*($E131+$F131))</f>
        <v>2697.1364775610136</v>
      </c>
      <c r="I131" s="39">
        <f>IF($H131="","",SUMPRODUCT(INDEX('TO HOP'!$C$66:$AT$127,$A131,0),'TO HOP'!$C$57:$AT$57)-INDEX('TO HOP'!$AD$66:$AD$127,$A131)*'TO HOP'!$AD$57-INDEX('TO HOP'!$AR$66:$AR$127,$A131)*'TO HOP'!$AR$57-INDEX('TO HOP'!$AS$66:$AS$127,$A131)*'TO HOP'!$AS$57+(INDEX('TO HOP'!$AD$66:$AD$127,$A131)*$G131+INDEX('TO HOP'!$AR$66:$AR$127,$A131)*$D131+INDEX('TO HOP'!$AS$66:$AS$127,$A131)*($E131+$F131))*(Hbe+Hcot+hxm+hgoi))</f>
        <v>35898.849241949254</v>
      </c>
      <c r="J131" s="39">
        <f>IF($H131="","",SUMPRODUCT(INDEX('TO HOP'!$C$66:$AT$127,$A131,0),'TO HOP'!$C$58:$AT$58)-INDEX('TO HOP'!$AD$66:$AD$127,$A131)*'TO HOP'!$AD$58-INDEX('TO HOP'!$AR$66:$AR$127,$A131)*'TO HOP'!$AR$58-INDEX('TO HOP'!$AS$66:$AS$127,$A131)*'TO HOP'!$AS$58+INDEX('TO HOP'!$AD$66:$AD$127,$A131)*$G131+INDEX('TO HOP'!$AR$66:$AR$127,$A131)*$D131+INDEX('TO HOP'!$AS$66:$AS$127,$A131)*($E131+$F131))</f>
        <v>2697.1364775610136</v>
      </c>
      <c r="K131" s="39">
        <f>IF($H131="","",SUMPRODUCT(INDEX('TO HOP'!$C$66:$AT$127,$A131,0),'TO HOP'!$C$62:$AT$62)-INDEX('TO HOP'!$AD$66:$AD$127,$A131)*'TO HOP'!$AD$62-INDEX('TO HOP'!$AR$66:$AR$127,$A131)*'TO HOP'!$AR$62-INDEX('TO HOP'!$AS$66:$AS$127,$A131)*'TO HOP'!$AS$62+(INDEX('TO HOP'!$AD$66:$AD$127,$A131)*$G131+INDEX('TO HOP'!$AR$66:$AR$127,$A131)*$D131+INDEX('TO HOP'!$AS$66:$AS$127,$A131)*($E131+$F131))*(Hcot+hxm+hgoi))</f>
        <v>30504.576286827225</v>
      </c>
      <c r="L131" s="39">
        <f t="shared" si="4"/>
        <v>2697.1364775610136</v>
      </c>
      <c r="M131" s="39">
        <f t="shared" si="5"/>
        <v>35898.849241949254</v>
      </c>
      <c r="N131" s="39">
        <f t="shared" si="6"/>
        <v>2697.1364775610136</v>
      </c>
      <c r="O131" s="39">
        <f t="shared" si="7"/>
        <v>30504.576286827225</v>
      </c>
    </row>
    <row r="132" spans="1:15" x14ac:dyDescent="0.3">
      <c r="A132" s="38">
        <f>'TO HOP'!N162</f>
        <v>32</v>
      </c>
      <c r="B132" s="38" t="str">
        <f>'TO HOP'!B162</f>
        <v>CĐ I(a) max - 1 nhịp 2 làn</v>
      </c>
      <c r="C132" s="38" t="s">
        <v>1203</v>
      </c>
      <c r="D132" s="39">
        <f>'HE GOI'!D19</f>
        <v>1383.337308977915</v>
      </c>
      <c r="E132" s="39">
        <f>IF(csmode=1,0,'HE GOI'!D20)</f>
        <v>512.34715147329803</v>
      </c>
      <c r="F132" s="39">
        <f>IF(csmode=1,'HE GOI'!D24,'HE GOI'!D21)</f>
        <v>320.21696967081334</v>
      </c>
      <c r="G132" s="39">
        <f>'HE GOI'!D23</f>
        <v>-1034.6545125000002</v>
      </c>
      <c r="H132" s="39">
        <f>IF(OR($A132=0,NOT(ISNUMBER($D132)),NOT(ISNUMBER($E132)),NOT(ISNUMBER($F132))),"",SUMPRODUCT(INDEX('TO HOP'!$C$66:$AT$127,$A132,0),'TO HOP'!$C$53:$AT$53)-INDEX('TO HOP'!$AD$66:$AD$127,$A132)*'TO HOP'!$AD$53-INDEX('TO HOP'!$AR$66:$AR$127,$A132)*'TO HOP'!$AR$53-INDEX('TO HOP'!$AS$66:$AS$127,$A132)*'TO HOP'!$AS$53+INDEX('TO HOP'!$AD$66:$AD$127,$A132)*$G132+INDEX('TO HOP'!$AR$66:$AR$127,$A132)*$D132+INDEX('TO HOP'!$AS$66:$AS$127,$A132)*($E132+$F132))</f>
        <v>627.82745256101293</v>
      </c>
      <c r="I132" s="39">
        <f>IF($H132="","",SUMPRODUCT(INDEX('TO HOP'!$C$66:$AT$127,$A132,0),'TO HOP'!$C$57:$AT$57)-INDEX('TO HOP'!$AD$66:$AD$127,$A132)*'TO HOP'!$AD$57-INDEX('TO HOP'!$AR$66:$AR$127,$A132)*'TO HOP'!$AR$57-INDEX('TO HOP'!$AS$66:$AS$127,$A132)*'TO HOP'!$AS$57+(INDEX('TO HOP'!$AD$66:$AD$127,$A132)*$G132+INDEX('TO HOP'!$AR$66:$AR$127,$A132)*$D132+INDEX('TO HOP'!$AS$66:$AS$127,$A132)*($E132+$F132))*(Hbe+Hcot+hxm+hgoi))</f>
        <v>10487.734414949242</v>
      </c>
      <c r="J132" s="39">
        <f>IF($H132="","",SUMPRODUCT(INDEX('TO HOP'!$C$66:$AT$127,$A132,0),'TO HOP'!$C$58:$AT$58)-INDEX('TO HOP'!$AD$66:$AD$127,$A132)*'TO HOP'!$AD$58-INDEX('TO HOP'!$AR$66:$AR$127,$A132)*'TO HOP'!$AR$58-INDEX('TO HOP'!$AS$66:$AS$127,$A132)*'TO HOP'!$AS$58+INDEX('TO HOP'!$AD$66:$AD$127,$A132)*$G132+INDEX('TO HOP'!$AR$66:$AR$127,$A132)*$D132+INDEX('TO HOP'!$AS$66:$AS$127,$A132)*($E132+$F132))</f>
        <v>627.82745256101293</v>
      </c>
      <c r="K132" s="39">
        <f>IF($H132="","",SUMPRODUCT(INDEX('TO HOP'!$C$66:$AT$127,$A132,0),'TO HOP'!$C$62:$AT$62)-INDEX('TO HOP'!$AD$66:$AD$127,$A132)*'TO HOP'!$AD$62-INDEX('TO HOP'!$AR$66:$AR$127,$A132)*'TO HOP'!$AR$62-INDEX('TO HOP'!$AS$66:$AS$127,$A132)*'TO HOP'!$AS$62+(INDEX('TO HOP'!$AD$66:$AD$127,$A132)*$G132+INDEX('TO HOP'!$AR$66:$AR$127,$A132)*$D132+INDEX('TO HOP'!$AS$66:$AS$127,$A132)*($E132+$F132))*(Hcot+hxm+hgoi))</f>
        <v>9232.0795098272138</v>
      </c>
      <c r="L132" s="39">
        <f t="shared" si="4"/>
        <v>627.82745256101293</v>
      </c>
      <c r="M132" s="39">
        <f t="shared" si="5"/>
        <v>10487.734414949242</v>
      </c>
      <c r="N132" s="39">
        <f t="shared" si="6"/>
        <v>627.82745256101293</v>
      </c>
      <c r="O132" s="39">
        <f t="shared" si="7"/>
        <v>9232.0795098272138</v>
      </c>
    </row>
    <row r="133" spans="1:15" x14ac:dyDescent="0.3">
      <c r="A133" s="38">
        <f>'TO HOP'!N163</f>
        <v>33</v>
      </c>
      <c r="B133" s="38" t="str">
        <f>'TO HOP'!B163</f>
        <v>CĐ I(a) max - 1 nhịp 3 làn</v>
      </c>
      <c r="C133" s="38" t="s">
        <v>1200</v>
      </c>
      <c r="D133" s="39">
        <f>'HE GOI'!D18</f>
        <v>-1521.6710398757043</v>
      </c>
      <c r="E133" s="39">
        <f>IF(csmode=1,0,'HE GOI'!D20)</f>
        <v>512.34715147329803</v>
      </c>
      <c r="F133" s="39">
        <f>IF(csmode=1,'HE GOI'!D24,'HE GOI'!D21)</f>
        <v>320.21696967081334</v>
      </c>
      <c r="G133" s="39">
        <f>'HE GOI'!D22</f>
        <v>1034.6545125000002</v>
      </c>
      <c r="H133" s="39">
        <f>IF(OR($A133=0,NOT(ISNUMBER($D133)),NOT(ISNUMBER($E133)),NOT(ISNUMBER($F133))),"",SUMPRODUCT(INDEX('TO HOP'!$C$66:$AT$127,$A133,0),'TO HOP'!$C$53:$AT$53)-INDEX('TO HOP'!$AD$66:$AD$127,$A133)*'TO HOP'!$AD$53-INDEX('TO HOP'!$AR$66:$AR$127,$A133)*'TO HOP'!$AR$53-INDEX('TO HOP'!$AS$66:$AS$127,$A133)*'TO HOP'!$AS$53+INDEX('TO HOP'!$AD$66:$AD$127,$A133)*$G133+INDEX('TO HOP'!$AR$66:$AR$127,$A133)*$D133+INDEX('TO HOP'!$AS$66:$AS$127,$A133)*($E133+$F133))</f>
        <v>1244.6323031342038</v>
      </c>
      <c r="I133" s="39">
        <f>IF($H133="","",SUMPRODUCT(INDEX('TO HOP'!$C$66:$AT$127,$A133,0),'TO HOP'!$C$57:$AT$57)-INDEX('TO HOP'!$AD$66:$AD$127,$A133)*'TO HOP'!$AD$57-INDEX('TO HOP'!$AR$66:$AR$127,$A133)*'TO HOP'!$AR$57-INDEX('TO HOP'!$AS$66:$AS$127,$A133)*'TO HOP'!$AS$57+(INDEX('TO HOP'!$AD$66:$AD$127,$A133)*$G133+INDEX('TO HOP'!$AR$66:$AR$127,$A133)*$D133+INDEX('TO HOP'!$AS$66:$AS$127,$A133)*($E133+$F133))*(Hbe+Hcot+hxm+hgoi))</f>
        <v>18559.183472738026</v>
      </c>
      <c r="J133" s="39">
        <f>IF($H133="","",SUMPRODUCT(INDEX('TO HOP'!$C$66:$AT$127,$A133,0),'TO HOP'!$C$58:$AT$58)-INDEX('TO HOP'!$AD$66:$AD$127,$A133)*'TO HOP'!$AD$58-INDEX('TO HOP'!$AR$66:$AR$127,$A133)*'TO HOP'!$AR$58-INDEX('TO HOP'!$AS$66:$AS$127,$A133)*'TO HOP'!$AS$58+INDEX('TO HOP'!$AD$66:$AD$127,$A133)*$G133+INDEX('TO HOP'!$AR$66:$AR$127,$A133)*$D133+INDEX('TO HOP'!$AS$66:$AS$127,$A133)*($E133+$F133))</f>
        <v>1244.6323031342038</v>
      </c>
      <c r="K133" s="39">
        <f>IF($H133="","",SUMPRODUCT(INDEX('TO HOP'!$C$66:$AT$127,$A133,0),'TO HOP'!$C$62:$AT$62)-INDEX('TO HOP'!$AD$66:$AD$127,$A133)*'TO HOP'!$AD$62-INDEX('TO HOP'!$AR$66:$AR$127,$A133)*'TO HOP'!$AR$62-INDEX('TO HOP'!$AS$66:$AS$127,$A133)*'TO HOP'!$AS$62+(INDEX('TO HOP'!$AD$66:$AD$127,$A133)*$G133+INDEX('TO HOP'!$AR$66:$AR$127,$A133)*$D133+INDEX('TO HOP'!$AS$66:$AS$127,$A133)*($E133+$F133))*(Hcot+hxm+hgoi))</f>
        <v>16069.918866469616</v>
      </c>
      <c r="L133" s="39">
        <f t="shared" ref="L133:L196" si="8">IF(H133="","",ABS(H133))</f>
        <v>1244.6323031342038</v>
      </c>
      <c r="M133" s="39">
        <f t="shared" ref="M133:M196" si="9">IF(I133="","",ABS(I133))</f>
        <v>18559.183472738026</v>
      </c>
      <c r="N133" s="39">
        <f t="shared" ref="N133:N196" si="10">IF(J133="","",ABS(J133))</f>
        <v>1244.6323031342038</v>
      </c>
      <c r="O133" s="39">
        <f t="shared" ref="O133:O196" si="11">IF(K133="","",ABS(K133))</f>
        <v>16069.918866469616</v>
      </c>
    </row>
    <row r="134" spans="1:15" x14ac:dyDescent="0.3">
      <c r="A134" s="38">
        <f>'TO HOP'!N163</f>
        <v>33</v>
      </c>
      <c r="B134" s="38" t="str">
        <f>'TO HOP'!B163</f>
        <v>CĐ I(a) max - 1 nhịp 3 làn</v>
      </c>
      <c r="C134" s="38" t="s">
        <v>1201</v>
      </c>
      <c r="D134" s="39">
        <f>'HE GOI'!D18</f>
        <v>-1521.6710398757043</v>
      </c>
      <c r="E134" s="39">
        <f>IF(csmode=1,0,'HE GOI'!D20)</f>
        <v>512.34715147329803</v>
      </c>
      <c r="F134" s="39">
        <f>IF(csmode=1,'HE GOI'!D24,'HE GOI'!D21)</f>
        <v>320.21696967081334</v>
      </c>
      <c r="G134" s="39">
        <f>'HE GOI'!D23</f>
        <v>-1034.6545125000002</v>
      </c>
      <c r="H134" s="39">
        <f>IF(OR($A134=0,NOT(ISNUMBER($D134)),NOT(ISNUMBER($E134)),NOT(ISNUMBER($F134))),"",SUMPRODUCT(INDEX('TO HOP'!$C$66:$AT$127,$A134,0),'TO HOP'!$C$53:$AT$53)-INDEX('TO HOP'!$AD$66:$AD$127,$A134)*'TO HOP'!$AD$53-INDEX('TO HOP'!$AR$66:$AR$127,$A134)*'TO HOP'!$AR$53-INDEX('TO HOP'!$AS$66:$AS$127,$A134)*'TO HOP'!$AS$53+INDEX('TO HOP'!$AD$66:$AD$127,$A134)*$G134+INDEX('TO HOP'!$AR$66:$AR$127,$A134)*$D134+INDEX('TO HOP'!$AS$66:$AS$127,$A134)*($E134+$F134))</f>
        <v>-824.67672186579659</v>
      </c>
      <c r="I134" s="39">
        <f>IF($H134="","",SUMPRODUCT(INDEX('TO HOP'!$C$66:$AT$127,$A134,0),'TO HOP'!$C$57:$AT$57)-INDEX('TO HOP'!$AD$66:$AD$127,$A134)*'TO HOP'!$AD$57-INDEX('TO HOP'!$AR$66:$AR$127,$A134)*'TO HOP'!$AR$57-INDEX('TO HOP'!$AS$66:$AS$127,$A134)*'TO HOP'!$AS$57+(INDEX('TO HOP'!$AD$66:$AD$127,$A134)*$G134+INDEX('TO HOP'!$AR$66:$AR$127,$A134)*$D134+INDEX('TO HOP'!$AS$66:$AS$127,$A134)*($E134+$F134))*(Hbe+Hcot+hxm+hgoi))</f>
        <v>-6851.9313542619802</v>
      </c>
      <c r="J134" s="39">
        <f>IF($H134="","",SUMPRODUCT(INDEX('TO HOP'!$C$66:$AT$127,$A134,0),'TO HOP'!$C$58:$AT$58)-INDEX('TO HOP'!$AD$66:$AD$127,$A134)*'TO HOP'!$AD$58-INDEX('TO HOP'!$AR$66:$AR$127,$A134)*'TO HOP'!$AR$58-INDEX('TO HOP'!$AS$66:$AS$127,$A134)*'TO HOP'!$AS$58+INDEX('TO HOP'!$AD$66:$AD$127,$A134)*$G134+INDEX('TO HOP'!$AR$66:$AR$127,$A134)*$D134+INDEX('TO HOP'!$AS$66:$AS$127,$A134)*($E134+$F134))</f>
        <v>-824.67672186579659</v>
      </c>
      <c r="K134" s="39">
        <f>IF($H134="","",SUMPRODUCT(INDEX('TO HOP'!$C$66:$AT$127,$A134,0),'TO HOP'!$C$62:$AT$62)-INDEX('TO HOP'!$AD$66:$AD$127,$A134)*'TO HOP'!$AD$62-INDEX('TO HOP'!$AR$66:$AR$127,$A134)*'TO HOP'!$AR$62-INDEX('TO HOP'!$AS$66:$AS$127,$A134)*'TO HOP'!$AS$62+(INDEX('TO HOP'!$AD$66:$AD$127,$A134)*$G134+INDEX('TO HOP'!$AR$66:$AR$127,$A134)*$D134+INDEX('TO HOP'!$AS$66:$AS$127,$A134)*($E134+$F134))*(Hcot+hxm+hgoi))</f>
        <v>-5202.5779105303882</v>
      </c>
      <c r="L134" s="39">
        <f t="shared" si="8"/>
        <v>824.67672186579659</v>
      </c>
      <c r="M134" s="39">
        <f t="shared" si="9"/>
        <v>6851.9313542619802</v>
      </c>
      <c r="N134" s="39">
        <f t="shared" si="10"/>
        <v>824.67672186579659</v>
      </c>
      <c r="O134" s="39">
        <f t="shared" si="11"/>
        <v>5202.5779105303882</v>
      </c>
    </row>
    <row r="135" spans="1:15" x14ac:dyDescent="0.3">
      <c r="A135" s="38">
        <f>'TO HOP'!N163</f>
        <v>33</v>
      </c>
      <c r="B135" s="38" t="str">
        <f>'TO HOP'!B163</f>
        <v>CĐ I(a) max - 1 nhịp 3 làn</v>
      </c>
      <c r="C135" s="38" t="s">
        <v>1202</v>
      </c>
      <c r="D135" s="39">
        <f>'HE GOI'!D19</f>
        <v>1383.337308977915</v>
      </c>
      <c r="E135" s="39">
        <f>IF(csmode=1,0,'HE GOI'!D20)</f>
        <v>512.34715147329803</v>
      </c>
      <c r="F135" s="39">
        <f>IF(csmode=1,'HE GOI'!D24,'HE GOI'!D21)</f>
        <v>320.21696967081334</v>
      </c>
      <c r="G135" s="39">
        <f>'HE GOI'!D22</f>
        <v>1034.6545125000002</v>
      </c>
      <c r="H135" s="39">
        <f>IF(OR($A135=0,NOT(ISNUMBER($D135)),NOT(ISNUMBER($E135)),NOT(ISNUMBER($F135))),"",SUMPRODUCT(INDEX('TO HOP'!$C$66:$AT$127,$A135,0),'TO HOP'!$C$53:$AT$53)-INDEX('TO HOP'!$AD$66:$AD$127,$A135)*'TO HOP'!$AD$53-INDEX('TO HOP'!$AR$66:$AR$127,$A135)*'TO HOP'!$AR$53-INDEX('TO HOP'!$AS$66:$AS$127,$A135)*'TO HOP'!$AS$53+INDEX('TO HOP'!$AD$66:$AD$127,$A135)*$G135+INDEX('TO HOP'!$AR$66:$AR$127,$A135)*$D135+INDEX('TO HOP'!$AS$66:$AS$127,$A135)*($E135+$F135))</f>
        <v>2697.1364775610136</v>
      </c>
      <c r="I135" s="39">
        <f>IF($H135="","",SUMPRODUCT(INDEX('TO HOP'!$C$66:$AT$127,$A135,0),'TO HOP'!$C$57:$AT$57)-INDEX('TO HOP'!$AD$66:$AD$127,$A135)*'TO HOP'!$AD$57-INDEX('TO HOP'!$AR$66:$AR$127,$A135)*'TO HOP'!$AR$57-INDEX('TO HOP'!$AS$66:$AS$127,$A135)*'TO HOP'!$AS$57+(INDEX('TO HOP'!$AD$66:$AD$127,$A135)*$G135+INDEX('TO HOP'!$AR$66:$AR$127,$A135)*$D135+INDEX('TO HOP'!$AS$66:$AS$127,$A135)*($E135+$F135))*(Hbe+Hcot+hxm+hgoi))</f>
        <v>36395.934734699251</v>
      </c>
      <c r="J135" s="39">
        <f>IF($H135="","",SUMPRODUCT(INDEX('TO HOP'!$C$66:$AT$127,$A135,0),'TO HOP'!$C$58:$AT$58)-INDEX('TO HOP'!$AD$66:$AD$127,$A135)*'TO HOP'!$AD$58-INDEX('TO HOP'!$AR$66:$AR$127,$A135)*'TO HOP'!$AR$58-INDEX('TO HOP'!$AS$66:$AS$127,$A135)*'TO HOP'!$AS$58+INDEX('TO HOP'!$AD$66:$AD$127,$A135)*$G135+INDEX('TO HOP'!$AR$66:$AR$127,$A135)*$D135+INDEX('TO HOP'!$AS$66:$AS$127,$A135)*($E135+$F135))</f>
        <v>2697.1364775610136</v>
      </c>
      <c r="K135" s="39">
        <f>IF($H135="","",SUMPRODUCT(INDEX('TO HOP'!$C$66:$AT$127,$A135,0),'TO HOP'!$C$62:$AT$62)-INDEX('TO HOP'!$AD$66:$AD$127,$A135)*'TO HOP'!$AD$62-INDEX('TO HOP'!$AR$66:$AR$127,$A135)*'TO HOP'!$AR$62-INDEX('TO HOP'!$AS$66:$AS$127,$A135)*'TO HOP'!$AS$62+(INDEX('TO HOP'!$AD$66:$AD$127,$A135)*$G135+INDEX('TO HOP'!$AR$66:$AR$127,$A135)*$D135+INDEX('TO HOP'!$AS$66:$AS$127,$A135)*($E135+$F135))*(Hcot+hxm+hgoi))</f>
        <v>31001.661779577225</v>
      </c>
      <c r="L135" s="39">
        <f t="shared" si="8"/>
        <v>2697.1364775610136</v>
      </c>
      <c r="M135" s="39">
        <f t="shared" si="9"/>
        <v>36395.934734699251</v>
      </c>
      <c r="N135" s="39">
        <f t="shared" si="10"/>
        <v>2697.1364775610136</v>
      </c>
      <c r="O135" s="39">
        <f t="shared" si="11"/>
        <v>31001.661779577225</v>
      </c>
    </row>
    <row r="136" spans="1:15" x14ac:dyDescent="0.3">
      <c r="A136" s="38">
        <f>'TO HOP'!N163</f>
        <v>33</v>
      </c>
      <c r="B136" s="38" t="str">
        <f>'TO HOP'!B163</f>
        <v>CĐ I(a) max - 1 nhịp 3 làn</v>
      </c>
      <c r="C136" s="38" t="s">
        <v>1203</v>
      </c>
      <c r="D136" s="39">
        <f>'HE GOI'!D19</f>
        <v>1383.337308977915</v>
      </c>
      <c r="E136" s="39">
        <f>IF(csmode=1,0,'HE GOI'!D20)</f>
        <v>512.34715147329803</v>
      </c>
      <c r="F136" s="39">
        <f>IF(csmode=1,'HE GOI'!D24,'HE GOI'!D21)</f>
        <v>320.21696967081334</v>
      </c>
      <c r="G136" s="39">
        <f>'HE GOI'!D23</f>
        <v>-1034.6545125000002</v>
      </c>
      <c r="H136" s="39">
        <f>IF(OR($A136=0,NOT(ISNUMBER($D136)),NOT(ISNUMBER($E136)),NOT(ISNUMBER($F136))),"",SUMPRODUCT(INDEX('TO HOP'!$C$66:$AT$127,$A136,0),'TO HOP'!$C$53:$AT$53)-INDEX('TO HOP'!$AD$66:$AD$127,$A136)*'TO HOP'!$AD$53-INDEX('TO HOP'!$AR$66:$AR$127,$A136)*'TO HOP'!$AR$53-INDEX('TO HOP'!$AS$66:$AS$127,$A136)*'TO HOP'!$AS$53+INDEX('TO HOP'!$AD$66:$AD$127,$A136)*$G136+INDEX('TO HOP'!$AR$66:$AR$127,$A136)*$D136+INDEX('TO HOP'!$AS$66:$AS$127,$A136)*($E136+$F136))</f>
        <v>627.82745256101293</v>
      </c>
      <c r="I136" s="39">
        <f>IF($H136="","",SUMPRODUCT(INDEX('TO HOP'!$C$66:$AT$127,$A136,0),'TO HOP'!$C$57:$AT$57)-INDEX('TO HOP'!$AD$66:$AD$127,$A136)*'TO HOP'!$AD$57-INDEX('TO HOP'!$AR$66:$AR$127,$A136)*'TO HOP'!$AR$57-INDEX('TO HOP'!$AS$66:$AS$127,$A136)*'TO HOP'!$AS$57+(INDEX('TO HOP'!$AD$66:$AD$127,$A136)*$G136+INDEX('TO HOP'!$AR$66:$AR$127,$A136)*$D136+INDEX('TO HOP'!$AS$66:$AS$127,$A136)*($E136+$F136))*(Hbe+Hcot+hxm+hgoi))</f>
        <v>10984.819907699242</v>
      </c>
      <c r="J136" s="39">
        <f>IF($H136="","",SUMPRODUCT(INDEX('TO HOP'!$C$66:$AT$127,$A136,0),'TO HOP'!$C$58:$AT$58)-INDEX('TO HOP'!$AD$66:$AD$127,$A136)*'TO HOP'!$AD$58-INDEX('TO HOP'!$AR$66:$AR$127,$A136)*'TO HOP'!$AR$58-INDEX('TO HOP'!$AS$66:$AS$127,$A136)*'TO HOP'!$AS$58+INDEX('TO HOP'!$AD$66:$AD$127,$A136)*$G136+INDEX('TO HOP'!$AR$66:$AR$127,$A136)*$D136+INDEX('TO HOP'!$AS$66:$AS$127,$A136)*($E136+$F136))</f>
        <v>627.82745256101293</v>
      </c>
      <c r="K136" s="39">
        <f>IF($H136="","",SUMPRODUCT(INDEX('TO HOP'!$C$66:$AT$127,$A136,0),'TO HOP'!$C$62:$AT$62)-INDEX('TO HOP'!$AD$66:$AD$127,$A136)*'TO HOP'!$AD$62-INDEX('TO HOP'!$AR$66:$AR$127,$A136)*'TO HOP'!$AR$62-INDEX('TO HOP'!$AS$66:$AS$127,$A136)*'TO HOP'!$AS$62+(INDEX('TO HOP'!$AD$66:$AD$127,$A136)*$G136+INDEX('TO HOP'!$AR$66:$AR$127,$A136)*$D136+INDEX('TO HOP'!$AS$66:$AS$127,$A136)*($E136+$F136))*(Hcot+hxm+hgoi))</f>
        <v>9729.1650025772142</v>
      </c>
      <c r="L136" s="39">
        <f t="shared" si="8"/>
        <v>627.82745256101293</v>
      </c>
      <c r="M136" s="39">
        <f t="shared" si="9"/>
        <v>10984.819907699242</v>
      </c>
      <c r="N136" s="39">
        <f t="shared" si="10"/>
        <v>627.82745256101293</v>
      </c>
      <c r="O136" s="39">
        <f t="shared" si="11"/>
        <v>9729.1650025772142</v>
      </c>
    </row>
    <row r="137" spans="1:15" x14ac:dyDescent="0.3">
      <c r="A137" s="38">
        <f>'TO HOP'!N164</f>
        <v>34</v>
      </c>
      <c r="B137" s="38" t="str">
        <f>'TO HOP'!B164</f>
        <v>CĐ I(a) max - 1 nhịp 4 làn</v>
      </c>
      <c r="C137" s="38" t="s">
        <v>1200</v>
      </c>
      <c r="D137" s="39">
        <f>'HE GOI'!D18</f>
        <v>-1521.6710398757043</v>
      </c>
      <c r="E137" s="39">
        <f>IF(csmode=1,0,'HE GOI'!D20)</f>
        <v>512.34715147329803</v>
      </c>
      <c r="F137" s="39">
        <f>IF(csmode=1,'HE GOI'!D24,'HE GOI'!D21)</f>
        <v>320.21696967081334</v>
      </c>
      <c r="G137" s="39">
        <f>'HE GOI'!D22</f>
        <v>1034.6545125000002</v>
      </c>
      <c r="H137" s="39">
        <f>IF(OR($A137=0,NOT(ISNUMBER($D137)),NOT(ISNUMBER($E137)),NOT(ISNUMBER($F137))),"",SUMPRODUCT(INDEX('TO HOP'!$C$66:$AT$127,$A137,0),'TO HOP'!$C$53:$AT$53)-INDEX('TO HOP'!$AD$66:$AD$127,$A137)*'TO HOP'!$AD$53-INDEX('TO HOP'!$AR$66:$AR$127,$A137)*'TO HOP'!$AR$53-INDEX('TO HOP'!$AS$66:$AS$127,$A137)*'TO HOP'!$AS$53+INDEX('TO HOP'!$AD$66:$AD$127,$A137)*$G137+INDEX('TO HOP'!$AR$66:$AR$127,$A137)*$D137+INDEX('TO HOP'!$AS$66:$AS$127,$A137)*($E137+$F137))</f>
        <v>1244.6323031342038</v>
      </c>
      <c r="I137" s="39">
        <f>IF($H137="","",SUMPRODUCT(INDEX('TO HOP'!$C$66:$AT$127,$A137,0),'TO HOP'!$C$57:$AT$57)-INDEX('TO HOP'!$AD$66:$AD$127,$A137)*'TO HOP'!$AD$57-INDEX('TO HOP'!$AR$66:$AR$127,$A137)*'TO HOP'!$AR$57-INDEX('TO HOP'!$AS$66:$AS$127,$A137)*'TO HOP'!$AS$57+(INDEX('TO HOP'!$AD$66:$AD$127,$A137)*$G137+INDEX('TO HOP'!$AR$66:$AR$127,$A137)*$D137+INDEX('TO HOP'!$AS$66:$AS$127,$A137)*($E137+$F137))*(Hbe+Hcot+hxm+hgoi))</f>
        <v>18604.373062988023</v>
      </c>
      <c r="J137" s="39">
        <f>IF($H137="","",SUMPRODUCT(INDEX('TO HOP'!$C$66:$AT$127,$A137,0),'TO HOP'!$C$58:$AT$58)-INDEX('TO HOP'!$AD$66:$AD$127,$A137)*'TO HOP'!$AD$58-INDEX('TO HOP'!$AR$66:$AR$127,$A137)*'TO HOP'!$AR$58-INDEX('TO HOP'!$AS$66:$AS$127,$A137)*'TO HOP'!$AS$58+INDEX('TO HOP'!$AD$66:$AD$127,$A137)*$G137+INDEX('TO HOP'!$AR$66:$AR$127,$A137)*$D137+INDEX('TO HOP'!$AS$66:$AS$127,$A137)*($E137+$F137))</f>
        <v>1244.6323031342038</v>
      </c>
      <c r="K137" s="39">
        <f>IF($H137="","",SUMPRODUCT(INDEX('TO HOP'!$C$66:$AT$127,$A137,0),'TO HOP'!$C$62:$AT$62)-INDEX('TO HOP'!$AD$66:$AD$127,$A137)*'TO HOP'!$AD$62-INDEX('TO HOP'!$AR$66:$AR$127,$A137)*'TO HOP'!$AR$62-INDEX('TO HOP'!$AS$66:$AS$127,$A137)*'TO HOP'!$AS$62+(INDEX('TO HOP'!$AD$66:$AD$127,$A137)*$G137+INDEX('TO HOP'!$AR$66:$AR$127,$A137)*$D137+INDEX('TO HOP'!$AS$66:$AS$127,$A137)*($E137+$F137))*(Hcot+hxm+hgoi))</f>
        <v>16115.108456719616</v>
      </c>
      <c r="L137" s="39">
        <f t="shared" si="8"/>
        <v>1244.6323031342038</v>
      </c>
      <c r="M137" s="39">
        <f t="shared" si="9"/>
        <v>18604.373062988023</v>
      </c>
      <c r="N137" s="39">
        <f t="shared" si="10"/>
        <v>1244.6323031342038</v>
      </c>
      <c r="O137" s="39">
        <f t="shared" si="11"/>
        <v>16115.108456719616</v>
      </c>
    </row>
    <row r="138" spans="1:15" x14ac:dyDescent="0.3">
      <c r="A138" s="38">
        <f>'TO HOP'!N164</f>
        <v>34</v>
      </c>
      <c r="B138" s="38" t="str">
        <f>'TO HOP'!B164</f>
        <v>CĐ I(a) max - 1 nhịp 4 làn</v>
      </c>
      <c r="C138" s="38" t="s">
        <v>1201</v>
      </c>
      <c r="D138" s="39">
        <f>'HE GOI'!D18</f>
        <v>-1521.6710398757043</v>
      </c>
      <c r="E138" s="39">
        <f>IF(csmode=1,0,'HE GOI'!D20)</f>
        <v>512.34715147329803</v>
      </c>
      <c r="F138" s="39">
        <f>IF(csmode=1,'HE GOI'!D24,'HE GOI'!D21)</f>
        <v>320.21696967081334</v>
      </c>
      <c r="G138" s="39">
        <f>'HE GOI'!D23</f>
        <v>-1034.6545125000002</v>
      </c>
      <c r="H138" s="39">
        <f>IF(OR($A138=0,NOT(ISNUMBER($D138)),NOT(ISNUMBER($E138)),NOT(ISNUMBER($F138))),"",SUMPRODUCT(INDEX('TO HOP'!$C$66:$AT$127,$A138,0),'TO HOP'!$C$53:$AT$53)-INDEX('TO HOP'!$AD$66:$AD$127,$A138)*'TO HOP'!$AD$53-INDEX('TO HOP'!$AR$66:$AR$127,$A138)*'TO HOP'!$AR$53-INDEX('TO HOP'!$AS$66:$AS$127,$A138)*'TO HOP'!$AS$53+INDEX('TO HOP'!$AD$66:$AD$127,$A138)*$G138+INDEX('TO HOP'!$AR$66:$AR$127,$A138)*$D138+INDEX('TO HOP'!$AS$66:$AS$127,$A138)*($E138+$F138))</f>
        <v>-824.67672186579659</v>
      </c>
      <c r="I138" s="39">
        <f>IF($H138="","",SUMPRODUCT(INDEX('TO HOP'!$C$66:$AT$127,$A138,0),'TO HOP'!$C$57:$AT$57)-INDEX('TO HOP'!$AD$66:$AD$127,$A138)*'TO HOP'!$AD$57-INDEX('TO HOP'!$AR$66:$AR$127,$A138)*'TO HOP'!$AR$57-INDEX('TO HOP'!$AS$66:$AS$127,$A138)*'TO HOP'!$AS$57+(INDEX('TO HOP'!$AD$66:$AD$127,$A138)*$G138+INDEX('TO HOP'!$AR$66:$AR$127,$A138)*$D138+INDEX('TO HOP'!$AS$66:$AS$127,$A138)*($E138+$F138))*(Hbe+Hcot+hxm+hgoi))</f>
        <v>-6806.7417640119838</v>
      </c>
      <c r="J138" s="39">
        <f>IF($H138="","",SUMPRODUCT(INDEX('TO HOP'!$C$66:$AT$127,$A138,0),'TO HOP'!$C$58:$AT$58)-INDEX('TO HOP'!$AD$66:$AD$127,$A138)*'TO HOP'!$AD$58-INDEX('TO HOP'!$AR$66:$AR$127,$A138)*'TO HOP'!$AR$58-INDEX('TO HOP'!$AS$66:$AS$127,$A138)*'TO HOP'!$AS$58+INDEX('TO HOP'!$AD$66:$AD$127,$A138)*$G138+INDEX('TO HOP'!$AR$66:$AR$127,$A138)*$D138+INDEX('TO HOP'!$AS$66:$AS$127,$A138)*($E138+$F138))</f>
        <v>-824.67672186579659</v>
      </c>
      <c r="K138" s="39">
        <f>IF($H138="","",SUMPRODUCT(INDEX('TO HOP'!$C$66:$AT$127,$A138,0),'TO HOP'!$C$62:$AT$62)-INDEX('TO HOP'!$AD$66:$AD$127,$A138)*'TO HOP'!$AD$62-INDEX('TO HOP'!$AR$66:$AR$127,$A138)*'TO HOP'!$AR$62-INDEX('TO HOP'!$AS$66:$AS$127,$A138)*'TO HOP'!$AS$62+(INDEX('TO HOP'!$AD$66:$AD$127,$A138)*$G138+INDEX('TO HOP'!$AR$66:$AR$127,$A138)*$D138+INDEX('TO HOP'!$AS$66:$AS$127,$A138)*($E138+$F138))*(Hcot+hxm+hgoi))</f>
        <v>-5157.3883202803881</v>
      </c>
      <c r="L138" s="39">
        <f t="shared" si="8"/>
        <v>824.67672186579659</v>
      </c>
      <c r="M138" s="39">
        <f t="shared" si="9"/>
        <v>6806.7417640119838</v>
      </c>
      <c r="N138" s="39">
        <f t="shared" si="10"/>
        <v>824.67672186579659</v>
      </c>
      <c r="O138" s="39">
        <f t="shared" si="11"/>
        <v>5157.3883202803881</v>
      </c>
    </row>
    <row r="139" spans="1:15" x14ac:dyDescent="0.3">
      <c r="A139" s="38">
        <f>'TO HOP'!N164</f>
        <v>34</v>
      </c>
      <c r="B139" s="38" t="str">
        <f>'TO HOP'!B164</f>
        <v>CĐ I(a) max - 1 nhịp 4 làn</v>
      </c>
      <c r="C139" s="38" t="s">
        <v>1202</v>
      </c>
      <c r="D139" s="39">
        <f>'HE GOI'!D19</f>
        <v>1383.337308977915</v>
      </c>
      <c r="E139" s="39">
        <f>IF(csmode=1,0,'HE GOI'!D20)</f>
        <v>512.34715147329803</v>
      </c>
      <c r="F139" s="39">
        <f>IF(csmode=1,'HE GOI'!D24,'HE GOI'!D21)</f>
        <v>320.21696967081334</v>
      </c>
      <c r="G139" s="39">
        <f>'HE GOI'!D22</f>
        <v>1034.6545125000002</v>
      </c>
      <c r="H139" s="39">
        <f>IF(OR($A139=0,NOT(ISNUMBER($D139)),NOT(ISNUMBER($E139)),NOT(ISNUMBER($F139))),"",SUMPRODUCT(INDEX('TO HOP'!$C$66:$AT$127,$A139,0),'TO HOP'!$C$53:$AT$53)-INDEX('TO HOP'!$AD$66:$AD$127,$A139)*'TO HOP'!$AD$53-INDEX('TO HOP'!$AR$66:$AR$127,$A139)*'TO HOP'!$AR$53-INDEX('TO HOP'!$AS$66:$AS$127,$A139)*'TO HOP'!$AS$53+INDEX('TO HOP'!$AD$66:$AD$127,$A139)*$G139+INDEX('TO HOP'!$AR$66:$AR$127,$A139)*$D139+INDEX('TO HOP'!$AS$66:$AS$127,$A139)*($E139+$F139))</f>
        <v>2697.1364775610136</v>
      </c>
      <c r="I139" s="39">
        <f>IF($H139="","",SUMPRODUCT(INDEX('TO HOP'!$C$66:$AT$127,$A139,0),'TO HOP'!$C$57:$AT$57)-INDEX('TO HOP'!$AD$66:$AD$127,$A139)*'TO HOP'!$AD$57-INDEX('TO HOP'!$AR$66:$AR$127,$A139)*'TO HOP'!$AR$57-INDEX('TO HOP'!$AS$66:$AS$127,$A139)*'TO HOP'!$AS$57+(INDEX('TO HOP'!$AD$66:$AD$127,$A139)*$G139+INDEX('TO HOP'!$AR$66:$AR$127,$A139)*$D139+INDEX('TO HOP'!$AS$66:$AS$127,$A139)*($E139+$F139))*(Hbe+Hcot+hxm+hgoi))</f>
        <v>36441.124324949247</v>
      </c>
      <c r="J139" s="39">
        <f>IF($H139="","",SUMPRODUCT(INDEX('TO HOP'!$C$66:$AT$127,$A139,0),'TO HOP'!$C$58:$AT$58)-INDEX('TO HOP'!$AD$66:$AD$127,$A139)*'TO HOP'!$AD$58-INDEX('TO HOP'!$AR$66:$AR$127,$A139)*'TO HOP'!$AR$58-INDEX('TO HOP'!$AS$66:$AS$127,$A139)*'TO HOP'!$AS$58+INDEX('TO HOP'!$AD$66:$AD$127,$A139)*$G139+INDEX('TO HOP'!$AR$66:$AR$127,$A139)*$D139+INDEX('TO HOP'!$AS$66:$AS$127,$A139)*($E139+$F139))</f>
        <v>2697.1364775610136</v>
      </c>
      <c r="K139" s="39">
        <f>IF($H139="","",SUMPRODUCT(INDEX('TO HOP'!$C$66:$AT$127,$A139,0),'TO HOP'!$C$62:$AT$62)-INDEX('TO HOP'!$AD$66:$AD$127,$A139)*'TO HOP'!$AD$62-INDEX('TO HOP'!$AR$66:$AR$127,$A139)*'TO HOP'!$AR$62-INDEX('TO HOP'!$AS$66:$AS$127,$A139)*'TO HOP'!$AS$62+(INDEX('TO HOP'!$AD$66:$AD$127,$A139)*$G139+INDEX('TO HOP'!$AR$66:$AR$127,$A139)*$D139+INDEX('TO HOP'!$AS$66:$AS$127,$A139)*($E139+$F139))*(Hcot+hxm+hgoi))</f>
        <v>31046.851369827225</v>
      </c>
      <c r="L139" s="39">
        <f t="shared" si="8"/>
        <v>2697.1364775610136</v>
      </c>
      <c r="M139" s="39">
        <f t="shared" si="9"/>
        <v>36441.124324949247</v>
      </c>
      <c r="N139" s="39">
        <f t="shared" si="10"/>
        <v>2697.1364775610136</v>
      </c>
      <c r="O139" s="39">
        <f t="shared" si="11"/>
        <v>31046.851369827225</v>
      </c>
    </row>
    <row r="140" spans="1:15" x14ac:dyDescent="0.3">
      <c r="A140" s="38">
        <f>'TO HOP'!N164</f>
        <v>34</v>
      </c>
      <c r="B140" s="38" t="str">
        <f>'TO HOP'!B164</f>
        <v>CĐ I(a) max - 1 nhịp 4 làn</v>
      </c>
      <c r="C140" s="38" t="s">
        <v>1203</v>
      </c>
      <c r="D140" s="39">
        <f>'HE GOI'!D19</f>
        <v>1383.337308977915</v>
      </c>
      <c r="E140" s="39">
        <f>IF(csmode=1,0,'HE GOI'!D20)</f>
        <v>512.34715147329803</v>
      </c>
      <c r="F140" s="39">
        <f>IF(csmode=1,'HE GOI'!D24,'HE GOI'!D21)</f>
        <v>320.21696967081334</v>
      </c>
      <c r="G140" s="39">
        <f>'HE GOI'!D23</f>
        <v>-1034.6545125000002</v>
      </c>
      <c r="H140" s="39">
        <f>IF(OR($A140=0,NOT(ISNUMBER($D140)),NOT(ISNUMBER($E140)),NOT(ISNUMBER($F140))),"",SUMPRODUCT(INDEX('TO HOP'!$C$66:$AT$127,$A140,0),'TO HOP'!$C$53:$AT$53)-INDEX('TO HOP'!$AD$66:$AD$127,$A140)*'TO HOP'!$AD$53-INDEX('TO HOP'!$AR$66:$AR$127,$A140)*'TO HOP'!$AR$53-INDEX('TO HOP'!$AS$66:$AS$127,$A140)*'TO HOP'!$AS$53+INDEX('TO HOP'!$AD$66:$AD$127,$A140)*$G140+INDEX('TO HOP'!$AR$66:$AR$127,$A140)*$D140+INDEX('TO HOP'!$AS$66:$AS$127,$A140)*($E140+$F140))</f>
        <v>627.82745256101293</v>
      </c>
      <c r="I140" s="39">
        <f>IF($H140="","",SUMPRODUCT(INDEX('TO HOP'!$C$66:$AT$127,$A140,0),'TO HOP'!$C$57:$AT$57)-INDEX('TO HOP'!$AD$66:$AD$127,$A140)*'TO HOP'!$AD$57-INDEX('TO HOP'!$AR$66:$AR$127,$A140)*'TO HOP'!$AR$57-INDEX('TO HOP'!$AS$66:$AS$127,$A140)*'TO HOP'!$AS$57+(INDEX('TO HOP'!$AD$66:$AD$127,$A140)*$G140+INDEX('TO HOP'!$AR$66:$AR$127,$A140)*$D140+INDEX('TO HOP'!$AS$66:$AS$127,$A140)*($E140+$F140))*(Hbe+Hcot+hxm+hgoi))</f>
        <v>11030.009497949239</v>
      </c>
      <c r="J140" s="39">
        <f>IF($H140="","",SUMPRODUCT(INDEX('TO HOP'!$C$66:$AT$127,$A140,0),'TO HOP'!$C$58:$AT$58)-INDEX('TO HOP'!$AD$66:$AD$127,$A140)*'TO HOP'!$AD$58-INDEX('TO HOP'!$AR$66:$AR$127,$A140)*'TO HOP'!$AR$58-INDEX('TO HOP'!$AS$66:$AS$127,$A140)*'TO HOP'!$AS$58+INDEX('TO HOP'!$AD$66:$AD$127,$A140)*$G140+INDEX('TO HOP'!$AR$66:$AR$127,$A140)*$D140+INDEX('TO HOP'!$AS$66:$AS$127,$A140)*($E140+$F140))</f>
        <v>627.82745256101293</v>
      </c>
      <c r="K140" s="39">
        <f>IF($H140="","",SUMPRODUCT(INDEX('TO HOP'!$C$66:$AT$127,$A140,0),'TO HOP'!$C$62:$AT$62)-INDEX('TO HOP'!$AD$66:$AD$127,$A140)*'TO HOP'!$AD$62-INDEX('TO HOP'!$AR$66:$AR$127,$A140)*'TO HOP'!$AR$62-INDEX('TO HOP'!$AS$66:$AS$127,$A140)*'TO HOP'!$AS$62+(INDEX('TO HOP'!$AD$66:$AD$127,$A140)*$G140+INDEX('TO HOP'!$AR$66:$AR$127,$A140)*$D140+INDEX('TO HOP'!$AS$66:$AS$127,$A140)*($E140+$F140))*(Hcot+hxm+hgoi))</f>
        <v>9774.3545928272142</v>
      </c>
      <c r="L140" s="39">
        <f t="shared" si="8"/>
        <v>627.82745256101293</v>
      </c>
      <c r="M140" s="39">
        <f t="shared" si="9"/>
        <v>11030.009497949239</v>
      </c>
      <c r="N140" s="39">
        <f t="shared" si="10"/>
        <v>627.82745256101293</v>
      </c>
      <c r="O140" s="39">
        <f t="shared" si="11"/>
        <v>9774.3545928272142</v>
      </c>
    </row>
    <row r="141" spans="1:15" x14ac:dyDescent="0.3">
      <c r="A141" s="38">
        <f>'TO HOP'!N165</f>
        <v>35</v>
      </c>
      <c r="B141" s="38" t="str">
        <f>'TO HOP'!B165</f>
        <v>CĐ I(a) max - 1 nhịp 5 làn</v>
      </c>
      <c r="C141" s="38" t="s">
        <v>1200</v>
      </c>
      <c r="D141" s="39">
        <f>'HE GOI'!D18</f>
        <v>-1521.6710398757043</v>
      </c>
      <c r="E141" s="39">
        <f>IF(csmode=1,0,'HE GOI'!D20)</f>
        <v>512.34715147329803</v>
      </c>
      <c r="F141" s="39">
        <f>IF(csmode=1,'HE GOI'!D24,'HE GOI'!D21)</f>
        <v>320.21696967081334</v>
      </c>
      <c r="G141" s="39">
        <f>'HE GOI'!D22</f>
        <v>1034.6545125000002</v>
      </c>
      <c r="H141" s="39">
        <f>IF(OR($A141=0,NOT(ISNUMBER($D141)),NOT(ISNUMBER($E141)),NOT(ISNUMBER($F141))),"",SUMPRODUCT(INDEX('TO HOP'!$C$66:$AT$127,$A141,0),'TO HOP'!$C$53:$AT$53)-INDEX('TO HOP'!$AD$66:$AD$127,$A141)*'TO HOP'!$AD$53-INDEX('TO HOP'!$AR$66:$AR$127,$A141)*'TO HOP'!$AR$53-INDEX('TO HOP'!$AS$66:$AS$127,$A141)*'TO HOP'!$AS$53+INDEX('TO HOP'!$AD$66:$AD$127,$A141)*$G141+INDEX('TO HOP'!$AR$66:$AR$127,$A141)*$D141+INDEX('TO HOP'!$AS$66:$AS$127,$A141)*($E141+$F141))</f>
        <v>1244.6323031342038</v>
      </c>
      <c r="I141" s="39">
        <f>IF($H141="","",SUMPRODUCT(INDEX('TO HOP'!$C$66:$AT$127,$A141,0),'TO HOP'!$C$57:$AT$57)-INDEX('TO HOP'!$AD$66:$AD$127,$A141)*'TO HOP'!$AD$57-INDEX('TO HOP'!$AR$66:$AR$127,$A141)*'TO HOP'!$AR$57-INDEX('TO HOP'!$AS$66:$AS$127,$A141)*'TO HOP'!$AS$57+(INDEX('TO HOP'!$AD$66:$AD$127,$A141)*$G141+INDEX('TO HOP'!$AR$66:$AR$127,$A141)*$D141+INDEX('TO HOP'!$AS$66:$AS$127,$A141)*($E141+$F141))*(Hbe+Hcot+hxm+hgoi))</f>
        <v>19191.837736238027</v>
      </c>
      <c r="J141" s="39">
        <f>IF($H141="","",SUMPRODUCT(INDEX('TO HOP'!$C$66:$AT$127,$A141,0),'TO HOP'!$C$58:$AT$58)-INDEX('TO HOP'!$AD$66:$AD$127,$A141)*'TO HOP'!$AD$58-INDEX('TO HOP'!$AR$66:$AR$127,$A141)*'TO HOP'!$AR$58-INDEX('TO HOP'!$AS$66:$AS$127,$A141)*'TO HOP'!$AS$58+INDEX('TO HOP'!$AD$66:$AD$127,$A141)*$G141+INDEX('TO HOP'!$AR$66:$AR$127,$A141)*$D141+INDEX('TO HOP'!$AS$66:$AS$127,$A141)*($E141+$F141))</f>
        <v>1244.6323031342038</v>
      </c>
      <c r="K141" s="39">
        <f>IF($H141="","",SUMPRODUCT(INDEX('TO HOP'!$C$66:$AT$127,$A141,0),'TO HOP'!$C$62:$AT$62)-INDEX('TO HOP'!$AD$66:$AD$127,$A141)*'TO HOP'!$AD$62-INDEX('TO HOP'!$AR$66:$AR$127,$A141)*'TO HOP'!$AR$62-INDEX('TO HOP'!$AS$66:$AS$127,$A141)*'TO HOP'!$AS$62+(INDEX('TO HOP'!$AD$66:$AD$127,$A141)*$G141+INDEX('TO HOP'!$AR$66:$AR$127,$A141)*$D141+INDEX('TO HOP'!$AS$66:$AS$127,$A141)*($E141+$F141))*(Hcot+hxm+hgoi))</f>
        <v>16702.573129969616</v>
      </c>
      <c r="L141" s="39">
        <f t="shared" si="8"/>
        <v>1244.6323031342038</v>
      </c>
      <c r="M141" s="39">
        <f t="shared" si="9"/>
        <v>19191.837736238027</v>
      </c>
      <c r="N141" s="39">
        <f t="shared" si="10"/>
        <v>1244.6323031342038</v>
      </c>
      <c r="O141" s="39">
        <f t="shared" si="11"/>
        <v>16702.573129969616</v>
      </c>
    </row>
    <row r="142" spans="1:15" x14ac:dyDescent="0.3">
      <c r="A142" s="38">
        <f>'TO HOP'!N165</f>
        <v>35</v>
      </c>
      <c r="B142" s="38" t="str">
        <f>'TO HOP'!B165</f>
        <v>CĐ I(a) max - 1 nhịp 5 làn</v>
      </c>
      <c r="C142" s="38" t="s">
        <v>1201</v>
      </c>
      <c r="D142" s="39">
        <f>'HE GOI'!D18</f>
        <v>-1521.6710398757043</v>
      </c>
      <c r="E142" s="39">
        <f>IF(csmode=1,0,'HE GOI'!D20)</f>
        <v>512.34715147329803</v>
      </c>
      <c r="F142" s="39">
        <f>IF(csmode=1,'HE GOI'!D24,'HE GOI'!D21)</f>
        <v>320.21696967081334</v>
      </c>
      <c r="G142" s="39">
        <f>'HE GOI'!D23</f>
        <v>-1034.6545125000002</v>
      </c>
      <c r="H142" s="39">
        <f>IF(OR($A142=0,NOT(ISNUMBER($D142)),NOT(ISNUMBER($E142)),NOT(ISNUMBER($F142))),"",SUMPRODUCT(INDEX('TO HOP'!$C$66:$AT$127,$A142,0),'TO HOP'!$C$53:$AT$53)-INDEX('TO HOP'!$AD$66:$AD$127,$A142)*'TO HOP'!$AD$53-INDEX('TO HOP'!$AR$66:$AR$127,$A142)*'TO HOP'!$AR$53-INDEX('TO HOP'!$AS$66:$AS$127,$A142)*'TO HOP'!$AS$53+INDEX('TO HOP'!$AD$66:$AD$127,$A142)*$G142+INDEX('TO HOP'!$AR$66:$AR$127,$A142)*$D142+INDEX('TO HOP'!$AS$66:$AS$127,$A142)*($E142+$F142))</f>
        <v>-824.67672186579659</v>
      </c>
      <c r="I142" s="39">
        <f>IF($H142="","",SUMPRODUCT(INDEX('TO HOP'!$C$66:$AT$127,$A142,0),'TO HOP'!$C$57:$AT$57)-INDEX('TO HOP'!$AD$66:$AD$127,$A142)*'TO HOP'!$AD$57-INDEX('TO HOP'!$AR$66:$AR$127,$A142)*'TO HOP'!$AR$57-INDEX('TO HOP'!$AS$66:$AS$127,$A142)*'TO HOP'!$AS$57+(INDEX('TO HOP'!$AD$66:$AD$127,$A142)*$G142+INDEX('TO HOP'!$AR$66:$AR$127,$A142)*$D142+INDEX('TO HOP'!$AS$66:$AS$127,$A142)*($E142+$F142))*(Hbe+Hcot+hxm+hgoi))</f>
        <v>-6219.2770907619797</v>
      </c>
      <c r="J142" s="39">
        <f>IF($H142="","",SUMPRODUCT(INDEX('TO HOP'!$C$66:$AT$127,$A142,0),'TO HOP'!$C$58:$AT$58)-INDEX('TO HOP'!$AD$66:$AD$127,$A142)*'TO HOP'!$AD$58-INDEX('TO HOP'!$AR$66:$AR$127,$A142)*'TO HOP'!$AR$58-INDEX('TO HOP'!$AS$66:$AS$127,$A142)*'TO HOP'!$AS$58+INDEX('TO HOP'!$AD$66:$AD$127,$A142)*$G142+INDEX('TO HOP'!$AR$66:$AR$127,$A142)*$D142+INDEX('TO HOP'!$AS$66:$AS$127,$A142)*($E142+$F142))</f>
        <v>-824.67672186579659</v>
      </c>
      <c r="K142" s="39">
        <f>IF($H142="","",SUMPRODUCT(INDEX('TO HOP'!$C$66:$AT$127,$A142,0),'TO HOP'!$C$62:$AT$62)-INDEX('TO HOP'!$AD$66:$AD$127,$A142)*'TO HOP'!$AD$62-INDEX('TO HOP'!$AR$66:$AR$127,$A142)*'TO HOP'!$AR$62-INDEX('TO HOP'!$AS$66:$AS$127,$A142)*'TO HOP'!$AS$62+(INDEX('TO HOP'!$AD$66:$AD$127,$A142)*$G142+INDEX('TO HOP'!$AR$66:$AR$127,$A142)*$D142+INDEX('TO HOP'!$AS$66:$AS$127,$A142)*($E142+$F142))*(Hcot+hxm+hgoi))</f>
        <v>-4569.9236470303877</v>
      </c>
      <c r="L142" s="39">
        <f t="shared" si="8"/>
        <v>824.67672186579659</v>
      </c>
      <c r="M142" s="39">
        <f t="shared" si="9"/>
        <v>6219.2770907619797</v>
      </c>
      <c r="N142" s="39">
        <f t="shared" si="10"/>
        <v>824.67672186579659</v>
      </c>
      <c r="O142" s="39">
        <f t="shared" si="11"/>
        <v>4569.9236470303877</v>
      </c>
    </row>
    <row r="143" spans="1:15" x14ac:dyDescent="0.3">
      <c r="A143" s="38">
        <f>'TO HOP'!N165</f>
        <v>35</v>
      </c>
      <c r="B143" s="38" t="str">
        <f>'TO HOP'!B165</f>
        <v>CĐ I(a) max - 1 nhịp 5 làn</v>
      </c>
      <c r="C143" s="38" t="s">
        <v>1202</v>
      </c>
      <c r="D143" s="39">
        <f>'HE GOI'!D19</f>
        <v>1383.337308977915</v>
      </c>
      <c r="E143" s="39">
        <f>IF(csmode=1,0,'HE GOI'!D20)</f>
        <v>512.34715147329803</v>
      </c>
      <c r="F143" s="39">
        <f>IF(csmode=1,'HE GOI'!D24,'HE GOI'!D21)</f>
        <v>320.21696967081334</v>
      </c>
      <c r="G143" s="39">
        <f>'HE GOI'!D22</f>
        <v>1034.6545125000002</v>
      </c>
      <c r="H143" s="39">
        <f>IF(OR($A143=0,NOT(ISNUMBER($D143)),NOT(ISNUMBER($E143)),NOT(ISNUMBER($F143))),"",SUMPRODUCT(INDEX('TO HOP'!$C$66:$AT$127,$A143,0),'TO HOP'!$C$53:$AT$53)-INDEX('TO HOP'!$AD$66:$AD$127,$A143)*'TO HOP'!$AD$53-INDEX('TO HOP'!$AR$66:$AR$127,$A143)*'TO HOP'!$AR$53-INDEX('TO HOP'!$AS$66:$AS$127,$A143)*'TO HOP'!$AS$53+INDEX('TO HOP'!$AD$66:$AD$127,$A143)*$G143+INDEX('TO HOP'!$AR$66:$AR$127,$A143)*$D143+INDEX('TO HOP'!$AS$66:$AS$127,$A143)*($E143+$F143))</f>
        <v>2697.1364775610136</v>
      </c>
      <c r="I143" s="39">
        <f>IF($H143="","",SUMPRODUCT(INDEX('TO HOP'!$C$66:$AT$127,$A143,0),'TO HOP'!$C$57:$AT$57)-INDEX('TO HOP'!$AD$66:$AD$127,$A143)*'TO HOP'!$AD$57-INDEX('TO HOP'!$AR$66:$AR$127,$A143)*'TO HOP'!$AR$57-INDEX('TO HOP'!$AS$66:$AS$127,$A143)*'TO HOP'!$AS$57+(INDEX('TO HOP'!$AD$66:$AD$127,$A143)*$G143+INDEX('TO HOP'!$AR$66:$AR$127,$A143)*$D143+INDEX('TO HOP'!$AS$66:$AS$127,$A143)*($E143+$F143))*(Hbe+Hcot+hxm+hgoi))</f>
        <v>37028.588998199251</v>
      </c>
      <c r="J143" s="39">
        <f>IF($H143="","",SUMPRODUCT(INDEX('TO HOP'!$C$66:$AT$127,$A143,0),'TO HOP'!$C$58:$AT$58)-INDEX('TO HOP'!$AD$66:$AD$127,$A143)*'TO HOP'!$AD$58-INDEX('TO HOP'!$AR$66:$AR$127,$A143)*'TO HOP'!$AR$58-INDEX('TO HOP'!$AS$66:$AS$127,$A143)*'TO HOP'!$AS$58+INDEX('TO HOP'!$AD$66:$AD$127,$A143)*$G143+INDEX('TO HOP'!$AR$66:$AR$127,$A143)*$D143+INDEX('TO HOP'!$AS$66:$AS$127,$A143)*($E143+$F143))</f>
        <v>2697.1364775610136</v>
      </c>
      <c r="K143" s="39">
        <f>IF($H143="","",SUMPRODUCT(INDEX('TO HOP'!$C$66:$AT$127,$A143,0),'TO HOP'!$C$62:$AT$62)-INDEX('TO HOP'!$AD$66:$AD$127,$A143)*'TO HOP'!$AD$62-INDEX('TO HOP'!$AR$66:$AR$127,$A143)*'TO HOP'!$AR$62-INDEX('TO HOP'!$AS$66:$AS$127,$A143)*'TO HOP'!$AS$62+(INDEX('TO HOP'!$AD$66:$AD$127,$A143)*$G143+INDEX('TO HOP'!$AR$66:$AR$127,$A143)*$D143+INDEX('TO HOP'!$AS$66:$AS$127,$A143)*($E143+$F143))*(Hcot+hxm+hgoi))</f>
        <v>31634.316043077226</v>
      </c>
      <c r="L143" s="39">
        <f t="shared" si="8"/>
        <v>2697.1364775610136</v>
      </c>
      <c r="M143" s="39">
        <f t="shared" si="9"/>
        <v>37028.588998199251</v>
      </c>
      <c r="N143" s="39">
        <f t="shared" si="10"/>
        <v>2697.1364775610136</v>
      </c>
      <c r="O143" s="39">
        <f t="shared" si="11"/>
        <v>31634.316043077226</v>
      </c>
    </row>
    <row r="144" spans="1:15" x14ac:dyDescent="0.3">
      <c r="A144" s="38">
        <f>'TO HOP'!N165</f>
        <v>35</v>
      </c>
      <c r="B144" s="38" t="str">
        <f>'TO HOP'!B165</f>
        <v>CĐ I(a) max - 1 nhịp 5 làn</v>
      </c>
      <c r="C144" s="38" t="s">
        <v>1203</v>
      </c>
      <c r="D144" s="39">
        <f>'HE GOI'!D19</f>
        <v>1383.337308977915</v>
      </c>
      <c r="E144" s="39">
        <f>IF(csmode=1,0,'HE GOI'!D20)</f>
        <v>512.34715147329803</v>
      </c>
      <c r="F144" s="39">
        <f>IF(csmode=1,'HE GOI'!D24,'HE GOI'!D21)</f>
        <v>320.21696967081334</v>
      </c>
      <c r="G144" s="39">
        <f>'HE GOI'!D23</f>
        <v>-1034.6545125000002</v>
      </c>
      <c r="H144" s="39">
        <f>IF(OR($A144=0,NOT(ISNUMBER($D144)),NOT(ISNUMBER($E144)),NOT(ISNUMBER($F144))),"",SUMPRODUCT(INDEX('TO HOP'!$C$66:$AT$127,$A144,0),'TO HOP'!$C$53:$AT$53)-INDEX('TO HOP'!$AD$66:$AD$127,$A144)*'TO HOP'!$AD$53-INDEX('TO HOP'!$AR$66:$AR$127,$A144)*'TO HOP'!$AR$53-INDEX('TO HOP'!$AS$66:$AS$127,$A144)*'TO HOP'!$AS$53+INDEX('TO HOP'!$AD$66:$AD$127,$A144)*$G144+INDEX('TO HOP'!$AR$66:$AR$127,$A144)*$D144+INDEX('TO HOP'!$AS$66:$AS$127,$A144)*($E144+$F144))</f>
        <v>627.82745256101293</v>
      </c>
      <c r="I144" s="39">
        <f>IF($H144="","",SUMPRODUCT(INDEX('TO HOP'!$C$66:$AT$127,$A144,0),'TO HOP'!$C$57:$AT$57)-INDEX('TO HOP'!$AD$66:$AD$127,$A144)*'TO HOP'!$AD$57-INDEX('TO HOP'!$AR$66:$AR$127,$A144)*'TO HOP'!$AR$57-INDEX('TO HOP'!$AS$66:$AS$127,$A144)*'TO HOP'!$AS$57+(INDEX('TO HOP'!$AD$66:$AD$127,$A144)*$G144+INDEX('TO HOP'!$AR$66:$AR$127,$A144)*$D144+INDEX('TO HOP'!$AS$66:$AS$127,$A144)*($E144+$F144))*(Hbe+Hcot+hxm+hgoi))</f>
        <v>11617.474171199243</v>
      </c>
      <c r="J144" s="39">
        <f>IF($H144="","",SUMPRODUCT(INDEX('TO HOP'!$C$66:$AT$127,$A144,0),'TO HOP'!$C$58:$AT$58)-INDEX('TO HOP'!$AD$66:$AD$127,$A144)*'TO HOP'!$AD$58-INDEX('TO HOP'!$AR$66:$AR$127,$A144)*'TO HOP'!$AR$58-INDEX('TO HOP'!$AS$66:$AS$127,$A144)*'TO HOP'!$AS$58+INDEX('TO HOP'!$AD$66:$AD$127,$A144)*$G144+INDEX('TO HOP'!$AR$66:$AR$127,$A144)*$D144+INDEX('TO HOP'!$AS$66:$AS$127,$A144)*($E144+$F144))</f>
        <v>627.82745256101293</v>
      </c>
      <c r="K144" s="39">
        <f>IF($H144="","",SUMPRODUCT(INDEX('TO HOP'!$C$66:$AT$127,$A144,0),'TO HOP'!$C$62:$AT$62)-INDEX('TO HOP'!$AD$66:$AD$127,$A144)*'TO HOP'!$AD$62-INDEX('TO HOP'!$AR$66:$AR$127,$A144)*'TO HOP'!$AR$62-INDEX('TO HOP'!$AS$66:$AS$127,$A144)*'TO HOP'!$AS$62+(INDEX('TO HOP'!$AD$66:$AD$127,$A144)*$G144+INDEX('TO HOP'!$AR$66:$AR$127,$A144)*$D144+INDEX('TO HOP'!$AS$66:$AS$127,$A144)*($E144+$F144))*(Hcot+hxm+hgoi))</f>
        <v>10361.819266077215</v>
      </c>
      <c r="L144" s="39">
        <f t="shared" si="8"/>
        <v>627.82745256101293</v>
      </c>
      <c r="M144" s="39">
        <f t="shared" si="9"/>
        <v>11617.474171199243</v>
      </c>
      <c r="N144" s="39">
        <f t="shared" si="10"/>
        <v>627.82745256101293</v>
      </c>
      <c r="O144" s="39">
        <f t="shared" si="11"/>
        <v>10361.819266077215</v>
      </c>
    </row>
    <row r="145" spans="1:15" x14ac:dyDescent="0.3">
      <c r="A145" s="38">
        <f>'TO HOP'!N166</f>
        <v>36</v>
      </c>
      <c r="B145" s="38" t="str">
        <f>'TO HOP'!B166</f>
        <v>CĐ I(a) max - 1 nhịp 6 làn</v>
      </c>
      <c r="C145" s="38" t="s">
        <v>1200</v>
      </c>
      <c r="D145" s="39">
        <f>'HE GOI'!D18</f>
        <v>-1521.6710398757043</v>
      </c>
      <c r="E145" s="39">
        <f>IF(csmode=1,0,'HE GOI'!D20)</f>
        <v>512.34715147329803</v>
      </c>
      <c r="F145" s="39">
        <f>IF(csmode=1,'HE GOI'!D24,'HE GOI'!D21)</f>
        <v>320.21696967081334</v>
      </c>
      <c r="G145" s="39">
        <f>'HE GOI'!D22</f>
        <v>1034.6545125000002</v>
      </c>
      <c r="H145" s="39">
        <f>IF(OR($A145=0,NOT(ISNUMBER($D145)),NOT(ISNUMBER($E145)),NOT(ISNUMBER($F145))),"",SUMPRODUCT(INDEX('TO HOP'!$C$66:$AT$127,$A145,0),'TO HOP'!$C$53:$AT$53)-INDEX('TO HOP'!$AD$66:$AD$127,$A145)*'TO HOP'!$AD$53-INDEX('TO HOP'!$AR$66:$AR$127,$A145)*'TO HOP'!$AR$53-INDEX('TO HOP'!$AS$66:$AS$127,$A145)*'TO HOP'!$AS$53+INDEX('TO HOP'!$AD$66:$AD$127,$A145)*$G145+INDEX('TO HOP'!$AR$66:$AR$127,$A145)*$D145+INDEX('TO HOP'!$AS$66:$AS$127,$A145)*($E145+$F145))</f>
        <v>1244.6323031342038</v>
      </c>
      <c r="I145" s="39">
        <f>IF($H145="","",SUMPRODUCT(INDEX('TO HOP'!$C$66:$AT$127,$A145,0),'TO HOP'!$C$57:$AT$57)-INDEX('TO HOP'!$AD$66:$AD$127,$A145)*'TO HOP'!$AD$57-INDEX('TO HOP'!$AR$66:$AR$127,$A145)*'TO HOP'!$AR$57-INDEX('TO HOP'!$AS$66:$AS$127,$A145)*'TO HOP'!$AS$57+(INDEX('TO HOP'!$AD$66:$AD$127,$A145)*$G145+INDEX('TO HOP'!$AR$66:$AR$127,$A145)*$D145+INDEX('TO HOP'!$AS$66:$AS$127,$A145)*($E145+$F145))*(Hbe+Hcot+hxm+hgoi))</f>
        <v>19779.302409488024</v>
      </c>
      <c r="J145" s="39">
        <f>IF($H145="","",SUMPRODUCT(INDEX('TO HOP'!$C$66:$AT$127,$A145,0),'TO HOP'!$C$58:$AT$58)-INDEX('TO HOP'!$AD$66:$AD$127,$A145)*'TO HOP'!$AD$58-INDEX('TO HOP'!$AR$66:$AR$127,$A145)*'TO HOP'!$AR$58-INDEX('TO HOP'!$AS$66:$AS$127,$A145)*'TO HOP'!$AS$58+INDEX('TO HOP'!$AD$66:$AD$127,$A145)*$G145+INDEX('TO HOP'!$AR$66:$AR$127,$A145)*$D145+INDEX('TO HOP'!$AS$66:$AS$127,$A145)*($E145+$F145))</f>
        <v>1244.6323031342038</v>
      </c>
      <c r="K145" s="39">
        <f>IF($H145="","",SUMPRODUCT(INDEX('TO HOP'!$C$66:$AT$127,$A145,0),'TO HOP'!$C$62:$AT$62)-INDEX('TO HOP'!$AD$66:$AD$127,$A145)*'TO HOP'!$AD$62-INDEX('TO HOP'!$AR$66:$AR$127,$A145)*'TO HOP'!$AR$62-INDEX('TO HOP'!$AS$66:$AS$127,$A145)*'TO HOP'!$AS$62+(INDEX('TO HOP'!$AD$66:$AD$127,$A145)*$G145+INDEX('TO HOP'!$AR$66:$AR$127,$A145)*$D145+INDEX('TO HOP'!$AS$66:$AS$127,$A145)*($E145+$F145))*(Hcot+hxm+hgoi))</f>
        <v>17290.037803219617</v>
      </c>
      <c r="L145" s="39">
        <f t="shared" si="8"/>
        <v>1244.6323031342038</v>
      </c>
      <c r="M145" s="39">
        <f t="shared" si="9"/>
        <v>19779.302409488024</v>
      </c>
      <c r="N145" s="39">
        <f t="shared" si="10"/>
        <v>1244.6323031342038</v>
      </c>
      <c r="O145" s="39">
        <f t="shared" si="11"/>
        <v>17290.037803219617</v>
      </c>
    </row>
    <row r="146" spans="1:15" x14ac:dyDescent="0.3">
      <c r="A146" s="38">
        <f>'TO HOP'!N166</f>
        <v>36</v>
      </c>
      <c r="B146" s="38" t="str">
        <f>'TO HOP'!B166</f>
        <v>CĐ I(a) max - 1 nhịp 6 làn</v>
      </c>
      <c r="C146" s="38" t="s">
        <v>1201</v>
      </c>
      <c r="D146" s="39">
        <f>'HE GOI'!D18</f>
        <v>-1521.6710398757043</v>
      </c>
      <c r="E146" s="39">
        <f>IF(csmode=1,0,'HE GOI'!D20)</f>
        <v>512.34715147329803</v>
      </c>
      <c r="F146" s="39">
        <f>IF(csmode=1,'HE GOI'!D24,'HE GOI'!D21)</f>
        <v>320.21696967081334</v>
      </c>
      <c r="G146" s="39">
        <f>'HE GOI'!D23</f>
        <v>-1034.6545125000002</v>
      </c>
      <c r="H146" s="39">
        <f>IF(OR($A146=0,NOT(ISNUMBER($D146)),NOT(ISNUMBER($E146)),NOT(ISNUMBER($F146))),"",SUMPRODUCT(INDEX('TO HOP'!$C$66:$AT$127,$A146,0),'TO HOP'!$C$53:$AT$53)-INDEX('TO HOP'!$AD$66:$AD$127,$A146)*'TO HOP'!$AD$53-INDEX('TO HOP'!$AR$66:$AR$127,$A146)*'TO HOP'!$AR$53-INDEX('TO HOP'!$AS$66:$AS$127,$A146)*'TO HOP'!$AS$53+INDEX('TO HOP'!$AD$66:$AD$127,$A146)*$G146+INDEX('TO HOP'!$AR$66:$AR$127,$A146)*$D146+INDEX('TO HOP'!$AS$66:$AS$127,$A146)*($E146+$F146))</f>
        <v>-824.67672186579659</v>
      </c>
      <c r="I146" s="39">
        <f>IF($H146="","",SUMPRODUCT(INDEX('TO HOP'!$C$66:$AT$127,$A146,0),'TO HOP'!$C$57:$AT$57)-INDEX('TO HOP'!$AD$66:$AD$127,$A146)*'TO HOP'!$AD$57-INDEX('TO HOP'!$AR$66:$AR$127,$A146)*'TO HOP'!$AR$57-INDEX('TO HOP'!$AS$66:$AS$127,$A146)*'TO HOP'!$AS$57+(INDEX('TO HOP'!$AD$66:$AD$127,$A146)*$G146+INDEX('TO HOP'!$AR$66:$AR$127,$A146)*$D146+INDEX('TO HOP'!$AS$66:$AS$127,$A146)*($E146+$F146))*(Hbe+Hcot+hxm+hgoi))</f>
        <v>-5631.8124175119829</v>
      </c>
      <c r="J146" s="39">
        <f>IF($H146="","",SUMPRODUCT(INDEX('TO HOP'!$C$66:$AT$127,$A146,0),'TO HOP'!$C$58:$AT$58)-INDEX('TO HOP'!$AD$66:$AD$127,$A146)*'TO HOP'!$AD$58-INDEX('TO HOP'!$AR$66:$AR$127,$A146)*'TO HOP'!$AR$58-INDEX('TO HOP'!$AS$66:$AS$127,$A146)*'TO HOP'!$AS$58+INDEX('TO HOP'!$AD$66:$AD$127,$A146)*$G146+INDEX('TO HOP'!$AR$66:$AR$127,$A146)*$D146+INDEX('TO HOP'!$AS$66:$AS$127,$A146)*($E146+$F146))</f>
        <v>-824.67672186579659</v>
      </c>
      <c r="K146" s="39">
        <f>IF($H146="","",SUMPRODUCT(INDEX('TO HOP'!$C$66:$AT$127,$A146,0),'TO HOP'!$C$62:$AT$62)-INDEX('TO HOP'!$AD$66:$AD$127,$A146)*'TO HOP'!$AD$62-INDEX('TO HOP'!$AR$66:$AR$127,$A146)*'TO HOP'!$AR$62-INDEX('TO HOP'!$AS$66:$AS$127,$A146)*'TO HOP'!$AS$62+(INDEX('TO HOP'!$AD$66:$AD$127,$A146)*$G146+INDEX('TO HOP'!$AR$66:$AR$127,$A146)*$D146+INDEX('TO HOP'!$AS$66:$AS$127,$A146)*($E146+$F146))*(Hcot+hxm+hgoi))</f>
        <v>-3982.4589737803872</v>
      </c>
      <c r="L146" s="39">
        <f t="shared" si="8"/>
        <v>824.67672186579659</v>
      </c>
      <c r="M146" s="39">
        <f t="shared" si="9"/>
        <v>5631.8124175119829</v>
      </c>
      <c r="N146" s="39">
        <f t="shared" si="10"/>
        <v>824.67672186579659</v>
      </c>
      <c r="O146" s="39">
        <f t="shared" si="11"/>
        <v>3982.4589737803872</v>
      </c>
    </row>
    <row r="147" spans="1:15" x14ac:dyDescent="0.3">
      <c r="A147" s="38">
        <f>'TO HOP'!N166</f>
        <v>36</v>
      </c>
      <c r="B147" s="38" t="str">
        <f>'TO HOP'!B166</f>
        <v>CĐ I(a) max - 1 nhịp 6 làn</v>
      </c>
      <c r="C147" s="38" t="s">
        <v>1202</v>
      </c>
      <c r="D147" s="39">
        <f>'HE GOI'!D19</f>
        <v>1383.337308977915</v>
      </c>
      <c r="E147" s="39">
        <f>IF(csmode=1,0,'HE GOI'!D20)</f>
        <v>512.34715147329803</v>
      </c>
      <c r="F147" s="39">
        <f>IF(csmode=1,'HE GOI'!D24,'HE GOI'!D21)</f>
        <v>320.21696967081334</v>
      </c>
      <c r="G147" s="39">
        <f>'HE GOI'!D22</f>
        <v>1034.6545125000002</v>
      </c>
      <c r="H147" s="39">
        <f>IF(OR($A147=0,NOT(ISNUMBER($D147)),NOT(ISNUMBER($E147)),NOT(ISNUMBER($F147))),"",SUMPRODUCT(INDEX('TO HOP'!$C$66:$AT$127,$A147,0),'TO HOP'!$C$53:$AT$53)-INDEX('TO HOP'!$AD$66:$AD$127,$A147)*'TO HOP'!$AD$53-INDEX('TO HOP'!$AR$66:$AR$127,$A147)*'TO HOP'!$AR$53-INDEX('TO HOP'!$AS$66:$AS$127,$A147)*'TO HOP'!$AS$53+INDEX('TO HOP'!$AD$66:$AD$127,$A147)*$G147+INDEX('TO HOP'!$AR$66:$AR$127,$A147)*$D147+INDEX('TO HOP'!$AS$66:$AS$127,$A147)*($E147+$F147))</f>
        <v>2697.1364775610136</v>
      </c>
      <c r="I147" s="39">
        <f>IF($H147="","",SUMPRODUCT(INDEX('TO HOP'!$C$66:$AT$127,$A147,0),'TO HOP'!$C$57:$AT$57)-INDEX('TO HOP'!$AD$66:$AD$127,$A147)*'TO HOP'!$AD$57-INDEX('TO HOP'!$AR$66:$AR$127,$A147)*'TO HOP'!$AR$57-INDEX('TO HOP'!$AS$66:$AS$127,$A147)*'TO HOP'!$AS$57+(INDEX('TO HOP'!$AD$66:$AD$127,$A147)*$G147+INDEX('TO HOP'!$AR$66:$AR$127,$A147)*$D147+INDEX('TO HOP'!$AS$66:$AS$127,$A147)*($E147+$F147))*(Hbe+Hcot+hxm+hgoi))</f>
        <v>37616.053671449248</v>
      </c>
      <c r="J147" s="39">
        <f>IF($H147="","",SUMPRODUCT(INDEX('TO HOP'!$C$66:$AT$127,$A147,0),'TO HOP'!$C$58:$AT$58)-INDEX('TO HOP'!$AD$66:$AD$127,$A147)*'TO HOP'!$AD$58-INDEX('TO HOP'!$AR$66:$AR$127,$A147)*'TO HOP'!$AR$58-INDEX('TO HOP'!$AS$66:$AS$127,$A147)*'TO HOP'!$AS$58+INDEX('TO HOP'!$AD$66:$AD$127,$A147)*$G147+INDEX('TO HOP'!$AR$66:$AR$127,$A147)*$D147+INDEX('TO HOP'!$AS$66:$AS$127,$A147)*($E147+$F147))</f>
        <v>2697.1364775610136</v>
      </c>
      <c r="K147" s="39">
        <f>IF($H147="","",SUMPRODUCT(INDEX('TO HOP'!$C$66:$AT$127,$A147,0),'TO HOP'!$C$62:$AT$62)-INDEX('TO HOP'!$AD$66:$AD$127,$A147)*'TO HOP'!$AD$62-INDEX('TO HOP'!$AR$66:$AR$127,$A147)*'TO HOP'!$AR$62-INDEX('TO HOP'!$AS$66:$AS$127,$A147)*'TO HOP'!$AS$62+(INDEX('TO HOP'!$AD$66:$AD$127,$A147)*$G147+INDEX('TO HOP'!$AR$66:$AR$127,$A147)*$D147+INDEX('TO HOP'!$AS$66:$AS$127,$A147)*($E147+$F147))*(Hcot+hxm+hgoi))</f>
        <v>32221.780716327226</v>
      </c>
      <c r="L147" s="39">
        <f t="shared" si="8"/>
        <v>2697.1364775610136</v>
      </c>
      <c r="M147" s="39">
        <f t="shared" si="9"/>
        <v>37616.053671449248</v>
      </c>
      <c r="N147" s="39">
        <f t="shared" si="10"/>
        <v>2697.1364775610136</v>
      </c>
      <c r="O147" s="39">
        <f t="shared" si="11"/>
        <v>32221.780716327226</v>
      </c>
    </row>
    <row r="148" spans="1:15" x14ac:dyDescent="0.3">
      <c r="A148" s="38">
        <f>'TO HOP'!N166</f>
        <v>36</v>
      </c>
      <c r="B148" s="38" t="str">
        <f>'TO HOP'!B166</f>
        <v>CĐ I(a) max - 1 nhịp 6 làn</v>
      </c>
      <c r="C148" s="38" t="s">
        <v>1203</v>
      </c>
      <c r="D148" s="39">
        <f>'HE GOI'!D19</f>
        <v>1383.337308977915</v>
      </c>
      <c r="E148" s="39">
        <f>IF(csmode=1,0,'HE GOI'!D20)</f>
        <v>512.34715147329803</v>
      </c>
      <c r="F148" s="39">
        <f>IF(csmode=1,'HE GOI'!D24,'HE GOI'!D21)</f>
        <v>320.21696967081334</v>
      </c>
      <c r="G148" s="39">
        <f>'HE GOI'!D23</f>
        <v>-1034.6545125000002</v>
      </c>
      <c r="H148" s="39">
        <f>IF(OR($A148=0,NOT(ISNUMBER($D148)),NOT(ISNUMBER($E148)),NOT(ISNUMBER($F148))),"",SUMPRODUCT(INDEX('TO HOP'!$C$66:$AT$127,$A148,0),'TO HOP'!$C$53:$AT$53)-INDEX('TO HOP'!$AD$66:$AD$127,$A148)*'TO HOP'!$AD$53-INDEX('TO HOP'!$AR$66:$AR$127,$A148)*'TO HOP'!$AR$53-INDEX('TO HOP'!$AS$66:$AS$127,$A148)*'TO HOP'!$AS$53+INDEX('TO HOP'!$AD$66:$AD$127,$A148)*$G148+INDEX('TO HOP'!$AR$66:$AR$127,$A148)*$D148+INDEX('TO HOP'!$AS$66:$AS$127,$A148)*($E148+$F148))</f>
        <v>627.82745256101293</v>
      </c>
      <c r="I148" s="39">
        <f>IF($H148="","",SUMPRODUCT(INDEX('TO HOP'!$C$66:$AT$127,$A148,0),'TO HOP'!$C$57:$AT$57)-INDEX('TO HOP'!$AD$66:$AD$127,$A148)*'TO HOP'!$AD$57-INDEX('TO HOP'!$AR$66:$AR$127,$A148)*'TO HOP'!$AR$57-INDEX('TO HOP'!$AS$66:$AS$127,$A148)*'TO HOP'!$AS$57+(INDEX('TO HOP'!$AD$66:$AD$127,$A148)*$G148+INDEX('TO HOP'!$AR$66:$AR$127,$A148)*$D148+INDEX('TO HOP'!$AS$66:$AS$127,$A148)*($E148+$F148))*(Hbe+Hcot+hxm+hgoi))</f>
        <v>12204.93884444924</v>
      </c>
      <c r="J148" s="39">
        <f>IF($H148="","",SUMPRODUCT(INDEX('TO HOP'!$C$66:$AT$127,$A148,0),'TO HOP'!$C$58:$AT$58)-INDEX('TO HOP'!$AD$66:$AD$127,$A148)*'TO HOP'!$AD$58-INDEX('TO HOP'!$AR$66:$AR$127,$A148)*'TO HOP'!$AR$58-INDEX('TO HOP'!$AS$66:$AS$127,$A148)*'TO HOP'!$AS$58+INDEX('TO HOP'!$AD$66:$AD$127,$A148)*$G148+INDEX('TO HOP'!$AR$66:$AR$127,$A148)*$D148+INDEX('TO HOP'!$AS$66:$AS$127,$A148)*($E148+$F148))</f>
        <v>627.82745256101293</v>
      </c>
      <c r="K148" s="39">
        <f>IF($H148="","",SUMPRODUCT(INDEX('TO HOP'!$C$66:$AT$127,$A148,0),'TO HOP'!$C$62:$AT$62)-INDEX('TO HOP'!$AD$66:$AD$127,$A148)*'TO HOP'!$AD$62-INDEX('TO HOP'!$AR$66:$AR$127,$A148)*'TO HOP'!$AR$62-INDEX('TO HOP'!$AS$66:$AS$127,$A148)*'TO HOP'!$AS$62+(INDEX('TO HOP'!$AD$66:$AD$127,$A148)*$G148+INDEX('TO HOP'!$AR$66:$AR$127,$A148)*$D148+INDEX('TO HOP'!$AS$66:$AS$127,$A148)*($E148+$F148))*(Hcot+hxm+hgoi))</f>
        <v>10949.283939327215</v>
      </c>
      <c r="L148" s="39">
        <f t="shared" si="8"/>
        <v>627.82745256101293</v>
      </c>
      <c r="M148" s="39">
        <f t="shared" si="9"/>
        <v>12204.93884444924</v>
      </c>
      <c r="N148" s="39">
        <f t="shared" si="10"/>
        <v>627.82745256101293</v>
      </c>
      <c r="O148" s="39">
        <f t="shared" si="11"/>
        <v>10949.283939327215</v>
      </c>
    </row>
    <row r="149" spans="1:15" x14ac:dyDescent="0.3">
      <c r="A149" s="38">
        <f>'TO HOP'!N167</f>
        <v>37</v>
      </c>
      <c r="B149" s="38" t="str">
        <f>'TO HOP'!B167</f>
        <v>CĐ I(b) min - 2 nhịp 1 làn</v>
      </c>
      <c r="C149" s="38" t="s">
        <v>1200</v>
      </c>
      <c r="D149" s="39">
        <f>'HE GOI'!D18</f>
        <v>-1521.6710398757043</v>
      </c>
      <c r="E149" s="39">
        <f>IF(csmode=1,0,'HE GOI'!D20)</f>
        <v>512.34715147329803</v>
      </c>
      <c r="F149" s="39">
        <f>IF(csmode=1,'HE GOI'!D24,'HE GOI'!D21)</f>
        <v>320.21696967081334</v>
      </c>
      <c r="G149" s="39">
        <f>'HE GOI'!D22</f>
        <v>1034.6545125000002</v>
      </c>
      <c r="H149" s="39">
        <f>IF(OR($A149=0,NOT(ISNUMBER($D149)),NOT(ISNUMBER($E149)),NOT(ISNUMBER($F149))),"",SUMPRODUCT(INDEX('TO HOP'!$C$66:$AT$127,$A149,0),'TO HOP'!$C$53:$AT$53)-INDEX('TO HOP'!$AD$66:$AD$127,$A149)*'TO HOP'!$AD$53-INDEX('TO HOP'!$AR$66:$AR$127,$A149)*'TO HOP'!$AR$53-INDEX('TO HOP'!$AS$66:$AS$127,$A149)*'TO HOP'!$AS$53+INDEX('TO HOP'!$AD$66:$AD$127,$A149)*$G149+INDEX('TO HOP'!$AR$66:$AR$127,$A149)*$D149+INDEX('TO HOP'!$AS$66:$AS$127,$A149)*($E149+$F149))</f>
        <v>1244.6323031342038</v>
      </c>
      <c r="I149" s="39">
        <f>IF($H149="","",SUMPRODUCT(INDEX('TO HOP'!$C$66:$AT$127,$A149,0),'TO HOP'!$C$57:$AT$57)-INDEX('TO HOP'!$AD$66:$AD$127,$A149)*'TO HOP'!$AD$57-INDEX('TO HOP'!$AR$66:$AR$127,$A149)*'TO HOP'!$AR$57-INDEX('TO HOP'!$AS$66:$AS$127,$A149)*'TO HOP'!$AS$57+(INDEX('TO HOP'!$AD$66:$AD$127,$A149)*$G149+INDEX('TO HOP'!$AR$66:$AR$127,$A149)*$D149+INDEX('TO HOP'!$AS$66:$AS$127,$A149)*($E149+$F149))*(Hbe+Hcot+hxm+hgoi))</f>
        <v>16254.514369988025</v>
      </c>
      <c r="J149" s="39">
        <f>IF($H149="","",SUMPRODUCT(INDEX('TO HOP'!$C$66:$AT$127,$A149,0),'TO HOP'!$C$58:$AT$58)-INDEX('TO HOP'!$AD$66:$AD$127,$A149)*'TO HOP'!$AD$58-INDEX('TO HOP'!$AR$66:$AR$127,$A149)*'TO HOP'!$AR$58-INDEX('TO HOP'!$AS$66:$AS$127,$A149)*'TO HOP'!$AS$58+INDEX('TO HOP'!$AD$66:$AD$127,$A149)*$G149+INDEX('TO HOP'!$AR$66:$AR$127,$A149)*$D149+INDEX('TO HOP'!$AS$66:$AS$127,$A149)*($E149+$F149))</f>
        <v>1244.6323031342038</v>
      </c>
      <c r="K149" s="39">
        <f>IF($H149="","",SUMPRODUCT(INDEX('TO HOP'!$C$66:$AT$127,$A149,0),'TO HOP'!$C$62:$AT$62)-INDEX('TO HOP'!$AD$66:$AD$127,$A149)*'TO HOP'!$AD$62-INDEX('TO HOP'!$AR$66:$AR$127,$A149)*'TO HOP'!$AR$62-INDEX('TO HOP'!$AS$66:$AS$127,$A149)*'TO HOP'!$AS$62+(INDEX('TO HOP'!$AD$66:$AD$127,$A149)*$G149+INDEX('TO HOP'!$AR$66:$AR$127,$A149)*$D149+INDEX('TO HOP'!$AS$66:$AS$127,$A149)*($E149+$F149))*(Hcot+hxm+hgoi))</f>
        <v>13765.249763719617</v>
      </c>
      <c r="L149" s="39">
        <f t="shared" si="8"/>
        <v>1244.6323031342038</v>
      </c>
      <c r="M149" s="39">
        <f t="shared" si="9"/>
        <v>16254.514369988025</v>
      </c>
      <c r="N149" s="39">
        <f t="shared" si="10"/>
        <v>1244.6323031342038</v>
      </c>
      <c r="O149" s="39">
        <f t="shared" si="11"/>
        <v>13765.249763719617</v>
      </c>
    </row>
    <row r="150" spans="1:15" x14ac:dyDescent="0.3">
      <c r="A150" s="38">
        <f>'TO HOP'!N167</f>
        <v>37</v>
      </c>
      <c r="B150" s="38" t="str">
        <f>'TO HOP'!B167</f>
        <v>CĐ I(b) min - 2 nhịp 1 làn</v>
      </c>
      <c r="C150" s="38" t="s">
        <v>1201</v>
      </c>
      <c r="D150" s="39">
        <f>'HE GOI'!D18</f>
        <v>-1521.6710398757043</v>
      </c>
      <c r="E150" s="39">
        <f>IF(csmode=1,0,'HE GOI'!D20)</f>
        <v>512.34715147329803</v>
      </c>
      <c r="F150" s="39">
        <f>IF(csmode=1,'HE GOI'!D24,'HE GOI'!D21)</f>
        <v>320.21696967081334</v>
      </c>
      <c r="G150" s="39">
        <f>'HE GOI'!D23</f>
        <v>-1034.6545125000002</v>
      </c>
      <c r="H150" s="39">
        <f>IF(OR($A150=0,NOT(ISNUMBER($D150)),NOT(ISNUMBER($E150)),NOT(ISNUMBER($F150))),"",SUMPRODUCT(INDEX('TO HOP'!$C$66:$AT$127,$A150,0),'TO HOP'!$C$53:$AT$53)-INDEX('TO HOP'!$AD$66:$AD$127,$A150)*'TO HOP'!$AD$53-INDEX('TO HOP'!$AR$66:$AR$127,$A150)*'TO HOP'!$AR$53-INDEX('TO HOP'!$AS$66:$AS$127,$A150)*'TO HOP'!$AS$53+INDEX('TO HOP'!$AD$66:$AD$127,$A150)*$G150+INDEX('TO HOP'!$AR$66:$AR$127,$A150)*$D150+INDEX('TO HOP'!$AS$66:$AS$127,$A150)*($E150+$F150))</f>
        <v>-824.67672186579659</v>
      </c>
      <c r="I150" s="39">
        <f>IF($H150="","",SUMPRODUCT(INDEX('TO HOP'!$C$66:$AT$127,$A150,0),'TO HOP'!$C$57:$AT$57)-INDEX('TO HOP'!$AD$66:$AD$127,$A150)*'TO HOP'!$AD$57-INDEX('TO HOP'!$AR$66:$AR$127,$A150)*'TO HOP'!$AR$57-INDEX('TO HOP'!$AS$66:$AS$127,$A150)*'TO HOP'!$AS$57+(INDEX('TO HOP'!$AD$66:$AD$127,$A150)*$G150+INDEX('TO HOP'!$AR$66:$AR$127,$A150)*$D150+INDEX('TO HOP'!$AS$66:$AS$127,$A150)*($E150+$F150))*(Hbe+Hcot+hxm+hgoi))</f>
        <v>-9156.6004570119821</v>
      </c>
      <c r="J150" s="39">
        <f>IF($H150="","",SUMPRODUCT(INDEX('TO HOP'!$C$66:$AT$127,$A150,0),'TO HOP'!$C$58:$AT$58)-INDEX('TO HOP'!$AD$66:$AD$127,$A150)*'TO HOP'!$AD$58-INDEX('TO HOP'!$AR$66:$AR$127,$A150)*'TO HOP'!$AR$58-INDEX('TO HOP'!$AS$66:$AS$127,$A150)*'TO HOP'!$AS$58+INDEX('TO HOP'!$AD$66:$AD$127,$A150)*$G150+INDEX('TO HOP'!$AR$66:$AR$127,$A150)*$D150+INDEX('TO HOP'!$AS$66:$AS$127,$A150)*($E150+$F150))</f>
        <v>-824.67672186579659</v>
      </c>
      <c r="K150" s="39">
        <f>IF($H150="","",SUMPRODUCT(INDEX('TO HOP'!$C$66:$AT$127,$A150,0),'TO HOP'!$C$62:$AT$62)-INDEX('TO HOP'!$AD$66:$AD$127,$A150)*'TO HOP'!$AD$62-INDEX('TO HOP'!$AR$66:$AR$127,$A150)*'TO HOP'!$AR$62-INDEX('TO HOP'!$AS$66:$AS$127,$A150)*'TO HOP'!$AS$62+(INDEX('TO HOP'!$AD$66:$AD$127,$A150)*$G150+INDEX('TO HOP'!$AR$66:$AR$127,$A150)*$D150+INDEX('TO HOP'!$AS$66:$AS$127,$A150)*($E150+$F150))*(Hcot+hxm+hgoi))</f>
        <v>-7507.2470132803865</v>
      </c>
      <c r="L150" s="39">
        <f t="shared" si="8"/>
        <v>824.67672186579659</v>
      </c>
      <c r="M150" s="39">
        <f t="shared" si="9"/>
        <v>9156.6004570119821</v>
      </c>
      <c r="N150" s="39">
        <f t="shared" si="10"/>
        <v>824.67672186579659</v>
      </c>
      <c r="O150" s="39">
        <f t="shared" si="11"/>
        <v>7507.2470132803865</v>
      </c>
    </row>
    <row r="151" spans="1:15" x14ac:dyDescent="0.3">
      <c r="A151" s="38">
        <f>'TO HOP'!N167</f>
        <v>37</v>
      </c>
      <c r="B151" s="38" t="str">
        <f>'TO HOP'!B167</f>
        <v>CĐ I(b) min - 2 nhịp 1 làn</v>
      </c>
      <c r="C151" s="38" t="s">
        <v>1202</v>
      </c>
      <c r="D151" s="39">
        <f>'HE GOI'!D19</f>
        <v>1383.337308977915</v>
      </c>
      <c r="E151" s="39">
        <f>IF(csmode=1,0,'HE GOI'!D20)</f>
        <v>512.34715147329803</v>
      </c>
      <c r="F151" s="39">
        <f>IF(csmode=1,'HE GOI'!D24,'HE GOI'!D21)</f>
        <v>320.21696967081334</v>
      </c>
      <c r="G151" s="39">
        <f>'HE GOI'!D22</f>
        <v>1034.6545125000002</v>
      </c>
      <c r="H151" s="39">
        <f>IF(OR($A151=0,NOT(ISNUMBER($D151)),NOT(ISNUMBER($E151)),NOT(ISNUMBER($F151))),"",SUMPRODUCT(INDEX('TO HOP'!$C$66:$AT$127,$A151,0),'TO HOP'!$C$53:$AT$53)-INDEX('TO HOP'!$AD$66:$AD$127,$A151)*'TO HOP'!$AD$53-INDEX('TO HOP'!$AR$66:$AR$127,$A151)*'TO HOP'!$AR$53-INDEX('TO HOP'!$AS$66:$AS$127,$A151)*'TO HOP'!$AS$53+INDEX('TO HOP'!$AD$66:$AD$127,$A151)*$G151+INDEX('TO HOP'!$AR$66:$AR$127,$A151)*$D151+INDEX('TO HOP'!$AS$66:$AS$127,$A151)*($E151+$F151))</f>
        <v>2697.1364775610136</v>
      </c>
      <c r="I151" s="39">
        <f>IF($H151="","",SUMPRODUCT(INDEX('TO HOP'!$C$66:$AT$127,$A151,0),'TO HOP'!$C$57:$AT$57)-INDEX('TO HOP'!$AD$66:$AD$127,$A151)*'TO HOP'!$AD$57-INDEX('TO HOP'!$AR$66:$AR$127,$A151)*'TO HOP'!$AR$57-INDEX('TO HOP'!$AS$66:$AS$127,$A151)*'TO HOP'!$AS$57+(INDEX('TO HOP'!$AD$66:$AD$127,$A151)*$G151+INDEX('TO HOP'!$AR$66:$AR$127,$A151)*$D151+INDEX('TO HOP'!$AS$66:$AS$127,$A151)*($E151+$F151))*(Hbe+Hcot+hxm+hgoi))</f>
        <v>34091.265631949253</v>
      </c>
      <c r="J151" s="39">
        <f>IF($H151="","",SUMPRODUCT(INDEX('TO HOP'!$C$66:$AT$127,$A151,0),'TO HOP'!$C$58:$AT$58)-INDEX('TO HOP'!$AD$66:$AD$127,$A151)*'TO HOP'!$AD$58-INDEX('TO HOP'!$AR$66:$AR$127,$A151)*'TO HOP'!$AR$58-INDEX('TO HOP'!$AS$66:$AS$127,$A151)*'TO HOP'!$AS$58+INDEX('TO HOP'!$AD$66:$AD$127,$A151)*$G151+INDEX('TO HOP'!$AR$66:$AR$127,$A151)*$D151+INDEX('TO HOP'!$AS$66:$AS$127,$A151)*($E151+$F151))</f>
        <v>2697.1364775610136</v>
      </c>
      <c r="K151" s="39">
        <f>IF($H151="","",SUMPRODUCT(INDEX('TO HOP'!$C$66:$AT$127,$A151,0),'TO HOP'!$C$62:$AT$62)-INDEX('TO HOP'!$AD$66:$AD$127,$A151)*'TO HOP'!$AD$62-INDEX('TO HOP'!$AR$66:$AR$127,$A151)*'TO HOP'!$AR$62-INDEX('TO HOP'!$AS$66:$AS$127,$A151)*'TO HOP'!$AS$62+(INDEX('TO HOP'!$AD$66:$AD$127,$A151)*$G151+INDEX('TO HOP'!$AR$66:$AR$127,$A151)*$D151+INDEX('TO HOP'!$AS$66:$AS$127,$A151)*($E151+$F151))*(Hcot+hxm+hgoi))</f>
        <v>28696.992676827227</v>
      </c>
      <c r="L151" s="39">
        <f t="shared" si="8"/>
        <v>2697.1364775610136</v>
      </c>
      <c r="M151" s="39">
        <f t="shared" si="9"/>
        <v>34091.265631949253</v>
      </c>
      <c r="N151" s="39">
        <f t="shared" si="10"/>
        <v>2697.1364775610136</v>
      </c>
      <c r="O151" s="39">
        <f t="shared" si="11"/>
        <v>28696.992676827227</v>
      </c>
    </row>
    <row r="152" spans="1:15" x14ac:dyDescent="0.3">
      <c r="A152" s="38">
        <f>'TO HOP'!N167</f>
        <v>37</v>
      </c>
      <c r="B152" s="38" t="str">
        <f>'TO HOP'!B167</f>
        <v>CĐ I(b) min - 2 nhịp 1 làn</v>
      </c>
      <c r="C152" s="38" t="s">
        <v>1203</v>
      </c>
      <c r="D152" s="39">
        <f>'HE GOI'!D19</f>
        <v>1383.337308977915</v>
      </c>
      <c r="E152" s="39">
        <f>IF(csmode=1,0,'HE GOI'!D20)</f>
        <v>512.34715147329803</v>
      </c>
      <c r="F152" s="39">
        <f>IF(csmode=1,'HE GOI'!D24,'HE GOI'!D21)</f>
        <v>320.21696967081334</v>
      </c>
      <c r="G152" s="39">
        <f>'HE GOI'!D23</f>
        <v>-1034.6545125000002</v>
      </c>
      <c r="H152" s="39">
        <f>IF(OR($A152=0,NOT(ISNUMBER($D152)),NOT(ISNUMBER($E152)),NOT(ISNUMBER($F152))),"",SUMPRODUCT(INDEX('TO HOP'!$C$66:$AT$127,$A152,0),'TO HOP'!$C$53:$AT$53)-INDEX('TO HOP'!$AD$66:$AD$127,$A152)*'TO HOP'!$AD$53-INDEX('TO HOP'!$AR$66:$AR$127,$A152)*'TO HOP'!$AR$53-INDEX('TO HOP'!$AS$66:$AS$127,$A152)*'TO HOP'!$AS$53+INDEX('TO HOP'!$AD$66:$AD$127,$A152)*$G152+INDEX('TO HOP'!$AR$66:$AR$127,$A152)*$D152+INDEX('TO HOP'!$AS$66:$AS$127,$A152)*($E152+$F152))</f>
        <v>627.82745256101293</v>
      </c>
      <c r="I152" s="39">
        <f>IF($H152="","",SUMPRODUCT(INDEX('TO HOP'!$C$66:$AT$127,$A152,0),'TO HOP'!$C$57:$AT$57)-INDEX('TO HOP'!$AD$66:$AD$127,$A152)*'TO HOP'!$AD$57-INDEX('TO HOP'!$AR$66:$AR$127,$A152)*'TO HOP'!$AR$57-INDEX('TO HOP'!$AS$66:$AS$127,$A152)*'TO HOP'!$AS$57+(INDEX('TO HOP'!$AD$66:$AD$127,$A152)*$G152+INDEX('TO HOP'!$AR$66:$AR$127,$A152)*$D152+INDEX('TO HOP'!$AS$66:$AS$127,$A152)*($E152+$F152))*(Hbe+Hcot+hxm+hgoi))</f>
        <v>8680.1508049492404</v>
      </c>
      <c r="J152" s="39">
        <f>IF($H152="","",SUMPRODUCT(INDEX('TO HOP'!$C$66:$AT$127,$A152,0),'TO HOP'!$C$58:$AT$58)-INDEX('TO HOP'!$AD$66:$AD$127,$A152)*'TO HOP'!$AD$58-INDEX('TO HOP'!$AR$66:$AR$127,$A152)*'TO HOP'!$AR$58-INDEX('TO HOP'!$AS$66:$AS$127,$A152)*'TO HOP'!$AS$58+INDEX('TO HOP'!$AD$66:$AD$127,$A152)*$G152+INDEX('TO HOP'!$AR$66:$AR$127,$A152)*$D152+INDEX('TO HOP'!$AS$66:$AS$127,$A152)*($E152+$F152))</f>
        <v>627.82745256101293</v>
      </c>
      <c r="K152" s="39">
        <f>IF($H152="","",SUMPRODUCT(INDEX('TO HOP'!$C$66:$AT$127,$A152,0),'TO HOP'!$C$62:$AT$62)-INDEX('TO HOP'!$AD$66:$AD$127,$A152)*'TO HOP'!$AD$62-INDEX('TO HOP'!$AR$66:$AR$127,$A152)*'TO HOP'!$AR$62-INDEX('TO HOP'!$AS$66:$AS$127,$A152)*'TO HOP'!$AS$62+(INDEX('TO HOP'!$AD$66:$AD$127,$A152)*$G152+INDEX('TO HOP'!$AR$66:$AR$127,$A152)*$D152+INDEX('TO HOP'!$AS$66:$AS$127,$A152)*($E152+$F152))*(Hcot+hxm+hgoi))</f>
        <v>7424.4958998272159</v>
      </c>
      <c r="L152" s="39">
        <f t="shared" si="8"/>
        <v>627.82745256101293</v>
      </c>
      <c r="M152" s="39">
        <f t="shared" si="9"/>
        <v>8680.1508049492404</v>
      </c>
      <c r="N152" s="39">
        <f t="shared" si="10"/>
        <v>627.82745256101293</v>
      </c>
      <c r="O152" s="39">
        <f t="shared" si="11"/>
        <v>7424.4958998272159</v>
      </c>
    </row>
    <row r="153" spans="1:15" x14ac:dyDescent="0.3">
      <c r="A153" s="38">
        <f>'TO HOP'!N168</f>
        <v>38</v>
      </c>
      <c r="B153" s="38" t="str">
        <f>'TO HOP'!B168</f>
        <v>CĐ I(b) min - 2 nhịp 2 làn</v>
      </c>
      <c r="C153" s="38" t="s">
        <v>1200</v>
      </c>
      <c r="D153" s="39">
        <f>'HE GOI'!D18</f>
        <v>-1521.6710398757043</v>
      </c>
      <c r="E153" s="39">
        <f>IF(csmode=1,0,'HE GOI'!D20)</f>
        <v>512.34715147329803</v>
      </c>
      <c r="F153" s="39">
        <f>IF(csmode=1,'HE GOI'!D24,'HE GOI'!D21)</f>
        <v>320.21696967081334</v>
      </c>
      <c r="G153" s="39">
        <f>'HE GOI'!D22</f>
        <v>1034.6545125000002</v>
      </c>
      <c r="H153" s="39">
        <f>IF(OR($A153=0,NOT(ISNUMBER($D153)),NOT(ISNUMBER($E153)),NOT(ISNUMBER($F153))),"",SUMPRODUCT(INDEX('TO HOP'!$C$66:$AT$127,$A153,0),'TO HOP'!$C$53:$AT$53)-INDEX('TO HOP'!$AD$66:$AD$127,$A153)*'TO HOP'!$AD$53-INDEX('TO HOP'!$AR$66:$AR$127,$A153)*'TO HOP'!$AR$53-INDEX('TO HOP'!$AS$66:$AS$127,$A153)*'TO HOP'!$AS$53+INDEX('TO HOP'!$AD$66:$AD$127,$A153)*$G153+INDEX('TO HOP'!$AR$66:$AR$127,$A153)*$D153+INDEX('TO HOP'!$AS$66:$AS$127,$A153)*($E153+$F153))</f>
        <v>1244.6323031342038</v>
      </c>
      <c r="I153" s="39">
        <f>IF($H153="","",SUMPRODUCT(INDEX('TO HOP'!$C$66:$AT$127,$A153,0),'TO HOP'!$C$57:$AT$57)-INDEX('TO HOP'!$AD$66:$AD$127,$A153)*'TO HOP'!$AD$57-INDEX('TO HOP'!$AR$66:$AR$127,$A153)*'TO HOP'!$AR$57-INDEX('TO HOP'!$AS$66:$AS$127,$A153)*'TO HOP'!$AS$57+(INDEX('TO HOP'!$AD$66:$AD$127,$A153)*$G153+INDEX('TO HOP'!$AR$66:$AR$127,$A153)*$D153+INDEX('TO HOP'!$AS$66:$AS$127,$A153)*($E153+$F153))*(Hbe+Hcot+hxm+hgoi))</f>
        <v>16254.514369988025</v>
      </c>
      <c r="J153" s="39">
        <f>IF($H153="","",SUMPRODUCT(INDEX('TO HOP'!$C$66:$AT$127,$A153,0),'TO HOP'!$C$58:$AT$58)-INDEX('TO HOP'!$AD$66:$AD$127,$A153)*'TO HOP'!$AD$58-INDEX('TO HOP'!$AR$66:$AR$127,$A153)*'TO HOP'!$AR$58-INDEX('TO HOP'!$AS$66:$AS$127,$A153)*'TO HOP'!$AS$58+INDEX('TO HOP'!$AD$66:$AD$127,$A153)*$G153+INDEX('TO HOP'!$AR$66:$AR$127,$A153)*$D153+INDEX('TO HOP'!$AS$66:$AS$127,$A153)*($E153+$F153))</f>
        <v>1244.6323031342038</v>
      </c>
      <c r="K153" s="39">
        <f>IF($H153="","",SUMPRODUCT(INDEX('TO HOP'!$C$66:$AT$127,$A153,0),'TO HOP'!$C$62:$AT$62)-INDEX('TO HOP'!$AD$66:$AD$127,$A153)*'TO HOP'!$AD$62-INDEX('TO HOP'!$AR$66:$AR$127,$A153)*'TO HOP'!$AR$62-INDEX('TO HOP'!$AS$66:$AS$127,$A153)*'TO HOP'!$AS$62+(INDEX('TO HOP'!$AD$66:$AD$127,$A153)*$G153+INDEX('TO HOP'!$AR$66:$AR$127,$A153)*$D153+INDEX('TO HOP'!$AS$66:$AS$127,$A153)*($E153+$F153))*(Hcot+hxm+hgoi))</f>
        <v>13765.249763719617</v>
      </c>
      <c r="L153" s="39">
        <f t="shared" si="8"/>
        <v>1244.6323031342038</v>
      </c>
      <c r="M153" s="39">
        <f t="shared" si="9"/>
        <v>16254.514369988025</v>
      </c>
      <c r="N153" s="39">
        <f t="shared" si="10"/>
        <v>1244.6323031342038</v>
      </c>
      <c r="O153" s="39">
        <f t="shared" si="11"/>
        <v>13765.249763719617</v>
      </c>
    </row>
    <row r="154" spans="1:15" x14ac:dyDescent="0.3">
      <c r="A154" s="38">
        <f>'TO HOP'!N168</f>
        <v>38</v>
      </c>
      <c r="B154" s="38" t="str">
        <f>'TO HOP'!B168</f>
        <v>CĐ I(b) min - 2 nhịp 2 làn</v>
      </c>
      <c r="C154" s="38" t="s">
        <v>1201</v>
      </c>
      <c r="D154" s="39">
        <f>'HE GOI'!D18</f>
        <v>-1521.6710398757043</v>
      </c>
      <c r="E154" s="39">
        <f>IF(csmode=1,0,'HE GOI'!D20)</f>
        <v>512.34715147329803</v>
      </c>
      <c r="F154" s="39">
        <f>IF(csmode=1,'HE GOI'!D24,'HE GOI'!D21)</f>
        <v>320.21696967081334</v>
      </c>
      <c r="G154" s="39">
        <f>'HE GOI'!D23</f>
        <v>-1034.6545125000002</v>
      </c>
      <c r="H154" s="39">
        <f>IF(OR($A154=0,NOT(ISNUMBER($D154)),NOT(ISNUMBER($E154)),NOT(ISNUMBER($F154))),"",SUMPRODUCT(INDEX('TO HOP'!$C$66:$AT$127,$A154,0),'TO HOP'!$C$53:$AT$53)-INDEX('TO HOP'!$AD$66:$AD$127,$A154)*'TO HOP'!$AD$53-INDEX('TO HOP'!$AR$66:$AR$127,$A154)*'TO HOP'!$AR$53-INDEX('TO HOP'!$AS$66:$AS$127,$A154)*'TO HOP'!$AS$53+INDEX('TO HOP'!$AD$66:$AD$127,$A154)*$G154+INDEX('TO HOP'!$AR$66:$AR$127,$A154)*$D154+INDEX('TO HOP'!$AS$66:$AS$127,$A154)*($E154+$F154))</f>
        <v>-824.67672186579659</v>
      </c>
      <c r="I154" s="39">
        <f>IF($H154="","",SUMPRODUCT(INDEX('TO HOP'!$C$66:$AT$127,$A154,0),'TO HOP'!$C$57:$AT$57)-INDEX('TO HOP'!$AD$66:$AD$127,$A154)*'TO HOP'!$AD$57-INDEX('TO HOP'!$AR$66:$AR$127,$A154)*'TO HOP'!$AR$57-INDEX('TO HOP'!$AS$66:$AS$127,$A154)*'TO HOP'!$AS$57+(INDEX('TO HOP'!$AD$66:$AD$127,$A154)*$G154+INDEX('TO HOP'!$AR$66:$AR$127,$A154)*$D154+INDEX('TO HOP'!$AS$66:$AS$127,$A154)*($E154+$F154))*(Hbe+Hcot+hxm+hgoi))</f>
        <v>-9156.6004570119821</v>
      </c>
      <c r="J154" s="39">
        <f>IF($H154="","",SUMPRODUCT(INDEX('TO HOP'!$C$66:$AT$127,$A154,0),'TO HOP'!$C$58:$AT$58)-INDEX('TO HOP'!$AD$66:$AD$127,$A154)*'TO HOP'!$AD$58-INDEX('TO HOP'!$AR$66:$AR$127,$A154)*'TO HOP'!$AR$58-INDEX('TO HOP'!$AS$66:$AS$127,$A154)*'TO HOP'!$AS$58+INDEX('TO HOP'!$AD$66:$AD$127,$A154)*$G154+INDEX('TO HOP'!$AR$66:$AR$127,$A154)*$D154+INDEX('TO HOP'!$AS$66:$AS$127,$A154)*($E154+$F154))</f>
        <v>-824.67672186579659</v>
      </c>
      <c r="K154" s="39">
        <f>IF($H154="","",SUMPRODUCT(INDEX('TO HOP'!$C$66:$AT$127,$A154,0),'TO HOP'!$C$62:$AT$62)-INDEX('TO HOP'!$AD$66:$AD$127,$A154)*'TO HOP'!$AD$62-INDEX('TO HOP'!$AR$66:$AR$127,$A154)*'TO HOP'!$AR$62-INDEX('TO HOP'!$AS$66:$AS$127,$A154)*'TO HOP'!$AS$62+(INDEX('TO HOP'!$AD$66:$AD$127,$A154)*$G154+INDEX('TO HOP'!$AR$66:$AR$127,$A154)*$D154+INDEX('TO HOP'!$AS$66:$AS$127,$A154)*($E154+$F154))*(Hcot+hxm+hgoi))</f>
        <v>-7507.2470132803865</v>
      </c>
      <c r="L154" s="39">
        <f t="shared" si="8"/>
        <v>824.67672186579659</v>
      </c>
      <c r="M154" s="39">
        <f t="shared" si="9"/>
        <v>9156.6004570119821</v>
      </c>
      <c r="N154" s="39">
        <f t="shared" si="10"/>
        <v>824.67672186579659</v>
      </c>
      <c r="O154" s="39">
        <f t="shared" si="11"/>
        <v>7507.2470132803865</v>
      </c>
    </row>
    <row r="155" spans="1:15" x14ac:dyDescent="0.3">
      <c r="A155" s="38">
        <f>'TO HOP'!N168</f>
        <v>38</v>
      </c>
      <c r="B155" s="38" t="str">
        <f>'TO HOP'!B168</f>
        <v>CĐ I(b) min - 2 nhịp 2 làn</v>
      </c>
      <c r="C155" s="38" t="s">
        <v>1202</v>
      </c>
      <c r="D155" s="39">
        <f>'HE GOI'!D19</f>
        <v>1383.337308977915</v>
      </c>
      <c r="E155" s="39">
        <f>IF(csmode=1,0,'HE GOI'!D20)</f>
        <v>512.34715147329803</v>
      </c>
      <c r="F155" s="39">
        <f>IF(csmode=1,'HE GOI'!D24,'HE GOI'!D21)</f>
        <v>320.21696967081334</v>
      </c>
      <c r="G155" s="39">
        <f>'HE GOI'!D22</f>
        <v>1034.6545125000002</v>
      </c>
      <c r="H155" s="39">
        <f>IF(OR($A155=0,NOT(ISNUMBER($D155)),NOT(ISNUMBER($E155)),NOT(ISNUMBER($F155))),"",SUMPRODUCT(INDEX('TO HOP'!$C$66:$AT$127,$A155,0),'TO HOP'!$C$53:$AT$53)-INDEX('TO HOP'!$AD$66:$AD$127,$A155)*'TO HOP'!$AD$53-INDEX('TO HOP'!$AR$66:$AR$127,$A155)*'TO HOP'!$AR$53-INDEX('TO HOP'!$AS$66:$AS$127,$A155)*'TO HOP'!$AS$53+INDEX('TO HOP'!$AD$66:$AD$127,$A155)*$G155+INDEX('TO HOP'!$AR$66:$AR$127,$A155)*$D155+INDEX('TO HOP'!$AS$66:$AS$127,$A155)*($E155+$F155))</f>
        <v>2697.1364775610136</v>
      </c>
      <c r="I155" s="39">
        <f>IF($H155="","",SUMPRODUCT(INDEX('TO HOP'!$C$66:$AT$127,$A155,0),'TO HOP'!$C$57:$AT$57)-INDEX('TO HOP'!$AD$66:$AD$127,$A155)*'TO HOP'!$AD$57-INDEX('TO HOP'!$AR$66:$AR$127,$A155)*'TO HOP'!$AR$57-INDEX('TO HOP'!$AS$66:$AS$127,$A155)*'TO HOP'!$AS$57+(INDEX('TO HOP'!$AD$66:$AD$127,$A155)*$G155+INDEX('TO HOP'!$AR$66:$AR$127,$A155)*$D155+INDEX('TO HOP'!$AS$66:$AS$127,$A155)*($E155+$F155))*(Hbe+Hcot+hxm+hgoi))</f>
        <v>34091.265631949253</v>
      </c>
      <c r="J155" s="39">
        <f>IF($H155="","",SUMPRODUCT(INDEX('TO HOP'!$C$66:$AT$127,$A155,0),'TO HOP'!$C$58:$AT$58)-INDEX('TO HOP'!$AD$66:$AD$127,$A155)*'TO HOP'!$AD$58-INDEX('TO HOP'!$AR$66:$AR$127,$A155)*'TO HOP'!$AR$58-INDEX('TO HOP'!$AS$66:$AS$127,$A155)*'TO HOP'!$AS$58+INDEX('TO HOP'!$AD$66:$AD$127,$A155)*$G155+INDEX('TO HOP'!$AR$66:$AR$127,$A155)*$D155+INDEX('TO HOP'!$AS$66:$AS$127,$A155)*($E155+$F155))</f>
        <v>2697.1364775610136</v>
      </c>
      <c r="K155" s="39">
        <f>IF($H155="","",SUMPRODUCT(INDEX('TO HOP'!$C$66:$AT$127,$A155,0),'TO HOP'!$C$62:$AT$62)-INDEX('TO HOP'!$AD$66:$AD$127,$A155)*'TO HOP'!$AD$62-INDEX('TO HOP'!$AR$66:$AR$127,$A155)*'TO HOP'!$AR$62-INDEX('TO HOP'!$AS$66:$AS$127,$A155)*'TO HOP'!$AS$62+(INDEX('TO HOP'!$AD$66:$AD$127,$A155)*$G155+INDEX('TO HOP'!$AR$66:$AR$127,$A155)*$D155+INDEX('TO HOP'!$AS$66:$AS$127,$A155)*($E155+$F155))*(Hcot+hxm+hgoi))</f>
        <v>28696.992676827227</v>
      </c>
      <c r="L155" s="39">
        <f t="shared" si="8"/>
        <v>2697.1364775610136</v>
      </c>
      <c r="M155" s="39">
        <f t="shared" si="9"/>
        <v>34091.265631949253</v>
      </c>
      <c r="N155" s="39">
        <f t="shared" si="10"/>
        <v>2697.1364775610136</v>
      </c>
      <c r="O155" s="39">
        <f t="shared" si="11"/>
        <v>28696.992676827227</v>
      </c>
    </row>
    <row r="156" spans="1:15" x14ac:dyDescent="0.3">
      <c r="A156" s="38">
        <f>'TO HOP'!N168</f>
        <v>38</v>
      </c>
      <c r="B156" s="38" t="str">
        <f>'TO HOP'!B168</f>
        <v>CĐ I(b) min - 2 nhịp 2 làn</v>
      </c>
      <c r="C156" s="38" t="s">
        <v>1203</v>
      </c>
      <c r="D156" s="39">
        <f>'HE GOI'!D19</f>
        <v>1383.337308977915</v>
      </c>
      <c r="E156" s="39">
        <f>IF(csmode=1,0,'HE GOI'!D20)</f>
        <v>512.34715147329803</v>
      </c>
      <c r="F156" s="39">
        <f>IF(csmode=1,'HE GOI'!D24,'HE GOI'!D21)</f>
        <v>320.21696967081334</v>
      </c>
      <c r="G156" s="39">
        <f>'HE GOI'!D23</f>
        <v>-1034.6545125000002</v>
      </c>
      <c r="H156" s="39">
        <f>IF(OR($A156=0,NOT(ISNUMBER($D156)),NOT(ISNUMBER($E156)),NOT(ISNUMBER($F156))),"",SUMPRODUCT(INDEX('TO HOP'!$C$66:$AT$127,$A156,0),'TO HOP'!$C$53:$AT$53)-INDEX('TO HOP'!$AD$66:$AD$127,$A156)*'TO HOP'!$AD$53-INDEX('TO HOP'!$AR$66:$AR$127,$A156)*'TO HOP'!$AR$53-INDEX('TO HOP'!$AS$66:$AS$127,$A156)*'TO HOP'!$AS$53+INDEX('TO HOP'!$AD$66:$AD$127,$A156)*$G156+INDEX('TO HOP'!$AR$66:$AR$127,$A156)*$D156+INDEX('TO HOP'!$AS$66:$AS$127,$A156)*($E156+$F156))</f>
        <v>627.82745256101293</v>
      </c>
      <c r="I156" s="39">
        <f>IF($H156="","",SUMPRODUCT(INDEX('TO HOP'!$C$66:$AT$127,$A156,0),'TO HOP'!$C$57:$AT$57)-INDEX('TO HOP'!$AD$66:$AD$127,$A156)*'TO HOP'!$AD$57-INDEX('TO HOP'!$AR$66:$AR$127,$A156)*'TO HOP'!$AR$57-INDEX('TO HOP'!$AS$66:$AS$127,$A156)*'TO HOP'!$AS$57+(INDEX('TO HOP'!$AD$66:$AD$127,$A156)*$G156+INDEX('TO HOP'!$AR$66:$AR$127,$A156)*$D156+INDEX('TO HOP'!$AS$66:$AS$127,$A156)*($E156+$F156))*(Hbe+Hcot+hxm+hgoi))</f>
        <v>8680.1508049492404</v>
      </c>
      <c r="J156" s="39">
        <f>IF($H156="","",SUMPRODUCT(INDEX('TO HOP'!$C$66:$AT$127,$A156,0),'TO HOP'!$C$58:$AT$58)-INDEX('TO HOP'!$AD$66:$AD$127,$A156)*'TO HOP'!$AD$58-INDEX('TO HOP'!$AR$66:$AR$127,$A156)*'TO HOP'!$AR$58-INDEX('TO HOP'!$AS$66:$AS$127,$A156)*'TO HOP'!$AS$58+INDEX('TO HOP'!$AD$66:$AD$127,$A156)*$G156+INDEX('TO HOP'!$AR$66:$AR$127,$A156)*$D156+INDEX('TO HOP'!$AS$66:$AS$127,$A156)*($E156+$F156))</f>
        <v>627.82745256101293</v>
      </c>
      <c r="K156" s="39">
        <f>IF($H156="","",SUMPRODUCT(INDEX('TO HOP'!$C$66:$AT$127,$A156,0),'TO HOP'!$C$62:$AT$62)-INDEX('TO HOP'!$AD$66:$AD$127,$A156)*'TO HOP'!$AD$62-INDEX('TO HOP'!$AR$66:$AR$127,$A156)*'TO HOP'!$AR$62-INDEX('TO HOP'!$AS$66:$AS$127,$A156)*'TO HOP'!$AS$62+(INDEX('TO HOP'!$AD$66:$AD$127,$A156)*$G156+INDEX('TO HOP'!$AR$66:$AR$127,$A156)*$D156+INDEX('TO HOP'!$AS$66:$AS$127,$A156)*($E156+$F156))*(Hcot+hxm+hgoi))</f>
        <v>7424.4958998272159</v>
      </c>
      <c r="L156" s="39">
        <f t="shared" si="8"/>
        <v>627.82745256101293</v>
      </c>
      <c r="M156" s="39">
        <f t="shared" si="9"/>
        <v>8680.1508049492404</v>
      </c>
      <c r="N156" s="39">
        <f t="shared" si="10"/>
        <v>627.82745256101293</v>
      </c>
      <c r="O156" s="39">
        <f t="shared" si="11"/>
        <v>7424.4958998272159</v>
      </c>
    </row>
    <row r="157" spans="1:15" x14ac:dyDescent="0.3">
      <c r="A157" s="38">
        <f>'TO HOP'!N169</f>
        <v>39</v>
      </c>
      <c r="B157" s="38" t="str">
        <f>'TO HOP'!B169</f>
        <v>CĐ I(b) min - 2 nhịp 3 làn</v>
      </c>
      <c r="C157" s="38" t="s">
        <v>1200</v>
      </c>
      <c r="D157" s="39">
        <f>'HE GOI'!D18</f>
        <v>-1521.6710398757043</v>
      </c>
      <c r="E157" s="39">
        <f>IF(csmode=1,0,'HE GOI'!D20)</f>
        <v>512.34715147329803</v>
      </c>
      <c r="F157" s="39">
        <f>IF(csmode=1,'HE GOI'!D24,'HE GOI'!D21)</f>
        <v>320.21696967081334</v>
      </c>
      <c r="G157" s="39">
        <f>'HE GOI'!D22</f>
        <v>1034.6545125000002</v>
      </c>
      <c r="H157" s="39">
        <f>IF(OR($A157=0,NOT(ISNUMBER($D157)),NOT(ISNUMBER($E157)),NOT(ISNUMBER($F157))),"",SUMPRODUCT(INDEX('TO HOP'!$C$66:$AT$127,$A157,0),'TO HOP'!$C$53:$AT$53)-INDEX('TO HOP'!$AD$66:$AD$127,$A157)*'TO HOP'!$AD$53-INDEX('TO HOP'!$AR$66:$AR$127,$A157)*'TO HOP'!$AR$53-INDEX('TO HOP'!$AS$66:$AS$127,$A157)*'TO HOP'!$AS$53+INDEX('TO HOP'!$AD$66:$AD$127,$A157)*$G157+INDEX('TO HOP'!$AR$66:$AR$127,$A157)*$D157+INDEX('TO HOP'!$AS$66:$AS$127,$A157)*($E157+$F157))</f>
        <v>1244.6323031342038</v>
      </c>
      <c r="I157" s="39">
        <f>IF($H157="","",SUMPRODUCT(INDEX('TO HOP'!$C$66:$AT$127,$A157,0),'TO HOP'!$C$57:$AT$57)-INDEX('TO HOP'!$AD$66:$AD$127,$A157)*'TO HOP'!$AD$57-INDEX('TO HOP'!$AR$66:$AR$127,$A157)*'TO HOP'!$AR$57-INDEX('TO HOP'!$AS$66:$AS$127,$A157)*'TO HOP'!$AS$57+(INDEX('TO HOP'!$AD$66:$AD$127,$A157)*$G157+INDEX('TO HOP'!$AR$66:$AR$127,$A157)*$D157+INDEX('TO HOP'!$AS$66:$AS$127,$A157)*($E157+$F157))*(Hbe+Hcot+hxm+hgoi))</f>
        <v>16254.514369988025</v>
      </c>
      <c r="J157" s="39">
        <f>IF($H157="","",SUMPRODUCT(INDEX('TO HOP'!$C$66:$AT$127,$A157,0),'TO HOP'!$C$58:$AT$58)-INDEX('TO HOP'!$AD$66:$AD$127,$A157)*'TO HOP'!$AD$58-INDEX('TO HOP'!$AR$66:$AR$127,$A157)*'TO HOP'!$AR$58-INDEX('TO HOP'!$AS$66:$AS$127,$A157)*'TO HOP'!$AS$58+INDEX('TO HOP'!$AD$66:$AD$127,$A157)*$G157+INDEX('TO HOP'!$AR$66:$AR$127,$A157)*$D157+INDEX('TO HOP'!$AS$66:$AS$127,$A157)*($E157+$F157))</f>
        <v>1244.6323031342038</v>
      </c>
      <c r="K157" s="39">
        <f>IF($H157="","",SUMPRODUCT(INDEX('TO HOP'!$C$66:$AT$127,$A157,0),'TO HOP'!$C$62:$AT$62)-INDEX('TO HOP'!$AD$66:$AD$127,$A157)*'TO HOP'!$AD$62-INDEX('TO HOP'!$AR$66:$AR$127,$A157)*'TO HOP'!$AR$62-INDEX('TO HOP'!$AS$66:$AS$127,$A157)*'TO HOP'!$AS$62+(INDEX('TO HOP'!$AD$66:$AD$127,$A157)*$G157+INDEX('TO HOP'!$AR$66:$AR$127,$A157)*$D157+INDEX('TO HOP'!$AS$66:$AS$127,$A157)*($E157+$F157))*(Hcot+hxm+hgoi))</f>
        <v>13765.249763719617</v>
      </c>
      <c r="L157" s="39">
        <f t="shared" si="8"/>
        <v>1244.6323031342038</v>
      </c>
      <c r="M157" s="39">
        <f t="shared" si="9"/>
        <v>16254.514369988025</v>
      </c>
      <c r="N157" s="39">
        <f t="shared" si="10"/>
        <v>1244.6323031342038</v>
      </c>
      <c r="O157" s="39">
        <f t="shared" si="11"/>
        <v>13765.249763719617</v>
      </c>
    </row>
    <row r="158" spans="1:15" x14ac:dyDescent="0.3">
      <c r="A158" s="38">
        <f>'TO HOP'!N169</f>
        <v>39</v>
      </c>
      <c r="B158" s="38" t="str">
        <f>'TO HOP'!B169</f>
        <v>CĐ I(b) min - 2 nhịp 3 làn</v>
      </c>
      <c r="C158" s="38" t="s">
        <v>1201</v>
      </c>
      <c r="D158" s="39">
        <f>'HE GOI'!D18</f>
        <v>-1521.6710398757043</v>
      </c>
      <c r="E158" s="39">
        <f>IF(csmode=1,0,'HE GOI'!D20)</f>
        <v>512.34715147329803</v>
      </c>
      <c r="F158" s="39">
        <f>IF(csmode=1,'HE GOI'!D24,'HE GOI'!D21)</f>
        <v>320.21696967081334</v>
      </c>
      <c r="G158" s="39">
        <f>'HE GOI'!D23</f>
        <v>-1034.6545125000002</v>
      </c>
      <c r="H158" s="39">
        <f>IF(OR($A158=0,NOT(ISNUMBER($D158)),NOT(ISNUMBER($E158)),NOT(ISNUMBER($F158))),"",SUMPRODUCT(INDEX('TO HOP'!$C$66:$AT$127,$A158,0),'TO HOP'!$C$53:$AT$53)-INDEX('TO HOP'!$AD$66:$AD$127,$A158)*'TO HOP'!$AD$53-INDEX('TO HOP'!$AR$66:$AR$127,$A158)*'TO HOP'!$AR$53-INDEX('TO HOP'!$AS$66:$AS$127,$A158)*'TO HOP'!$AS$53+INDEX('TO HOP'!$AD$66:$AD$127,$A158)*$G158+INDEX('TO HOP'!$AR$66:$AR$127,$A158)*$D158+INDEX('TO HOP'!$AS$66:$AS$127,$A158)*($E158+$F158))</f>
        <v>-824.67672186579659</v>
      </c>
      <c r="I158" s="39">
        <f>IF($H158="","",SUMPRODUCT(INDEX('TO HOP'!$C$66:$AT$127,$A158,0),'TO HOP'!$C$57:$AT$57)-INDEX('TO HOP'!$AD$66:$AD$127,$A158)*'TO HOP'!$AD$57-INDEX('TO HOP'!$AR$66:$AR$127,$A158)*'TO HOP'!$AR$57-INDEX('TO HOP'!$AS$66:$AS$127,$A158)*'TO HOP'!$AS$57+(INDEX('TO HOP'!$AD$66:$AD$127,$A158)*$G158+INDEX('TO HOP'!$AR$66:$AR$127,$A158)*$D158+INDEX('TO HOP'!$AS$66:$AS$127,$A158)*($E158+$F158))*(Hbe+Hcot+hxm+hgoi))</f>
        <v>-9156.6004570119821</v>
      </c>
      <c r="J158" s="39">
        <f>IF($H158="","",SUMPRODUCT(INDEX('TO HOP'!$C$66:$AT$127,$A158,0),'TO HOP'!$C$58:$AT$58)-INDEX('TO HOP'!$AD$66:$AD$127,$A158)*'TO HOP'!$AD$58-INDEX('TO HOP'!$AR$66:$AR$127,$A158)*'TO HOP'!$AR$58-INDEX('TO HOP'!$AS$66:$AS$127,$A158)*'TO HOP'!$AS$58+INDEX('TO HOP'!$AD$66:$AD$127,$A158)*$G158+INDEX('TO HOP'!$AR$66:$AR$127,$A158)*$D158+INDEX('TO HOP'!$AS$66:$AS$127,$A158)*($E158+$F158))</f>
        <v>-824.67672186579659</v>
      </c>
      <c r="K158" s="39">
        <f>IF($H158="","",SUMPRODUCT(INDEX('TO HOP'!$C$66:$AT$127,$A158,0),'TO HOP'!$C$62:$AT$62)-INDEX('TO HOP'!$AD$66:$AD$127,$A158)*'TO HOP'!$AD$62-INDEX('TO HOP'!$AR$66:$AR$127,$A158)*'TO HOP'!$AR$62-INDEX('TO HOP'!$AS$66:$AS$127,$A158)*'TO HOP'!$AS$62+(INDEX('TO HOP'!$AD$66:$AD$127,$A158)*$G158+INDEX('TO HOP'!$AR$66:$AR$127,$A158)*$D158+INDEX('TO HOP'!$AS$66:$AS$127,$A158)*($E158+$F158))*(Hcot+hxm+hgoi))</f>
        <v>-7507.2470132803865</v>
      </c>
      <c r="L158" s="39">
        <f t="shared" si="8"/>
        <v>824.67672186579659</v>
      </c>
      <c r="M158" s="39">
        <f t="shared" si="9"/>
        <v>9156.6004570119821</v>
      </c>
      <c r="N158" s="39">
        <f t="shared" si="10"/>
        <v>824.67672186579659</v>
      </c>
      <c r="O158" s="39">
        <f t="shared" si="11"/>
        <v>7507.2470132803865</v>
      </c>
    </row>
    <row r="159" spans="1:15" x14ac:dyDescent="0.3">
      <c r="A159" s="38">
        <f>'TO HOP'!N169</f>
        <v>39</v>
      </c>
      <c r="B159" s="38" t="str">
        <f>'TO HOP'!B169</f>
        <v>CĐ I(b) min - 2 nhịp 3 làn</v>
      </c>
      <c r="C159" s="38" t="s">
        <v>1202</v>
      </c>
      <c r="D159" s="39">
        <f>'HE GOI'!D19</f>
        <v>1383.337308977915</v>
      </c>
      <c r="E159" s="39">
        <f>IF(csmode=1,0,'HE GOI'!D20)</f>
        <v>512.34715147329803</v>
      </c>
      <c r="F159" s="39">
        <f>IF(csmode=1,'HE GOI'!D24,'HE GOI'!D21)</f>
        <v>320.21696967081334</v>
      </c>
      <c r="G159" s="39">
        <f>'HE GOI'!D22</f>
        <v>1034.6545125000002</v>
      </c>
      <c r="H159" s="39">
        <f>IF(OR($A159=0,NOT(ISNUMBER($D159)),NOT(ISNUMBER($E159)),NOT(ISNUMBER($F159))),"",SUMPRODUCT(INDEX('TO HOP'!$C$66:$AT$127,$A159,0),'TO HOP'!$C$53:$AT$53)-INDEX('TO HOP'!$AD$66:$AD$127,$A159)*'TO HOP'!$AD$53-INDEX('TO HOP'!$AR$66:$AR$127,$A159)*'TO HOP'!$AR$53-INDEX('TO HOP'!$AS$66:$AS$127,$A159)*'TO HOP'!$AS$53+INDEX('TO HOP'!$AD$66:$AD$127,$A159)*$G159+INDEX('TO HOP'!$AR$66:$AR$127,$A159)*$D159+INDEX('TO HOP'!$AS$66:$AS$127,$A159)*($E159+$F159))</f>
        <v>2697.1364775610136</v>
      </c>
      <c r="I159" s="39">
        <f>IF($H159="","",SUMPRODUCT(INDEX('TO HOP'!$C$66:$AT$127,$A159,0),'TO HOP'!$C$57:$AT$57)-INDEX('TO HOP'!$AD$66:$AD$127,$A159)*'TO HOP'!$AD$57-INDEX('TO HOP'!$AR$66:$AR$127,$A159)*'TO HOP'!$AR$57-INDEX('TO HOP'!$AS$66:$AS$127,$A159)*'TO HOP'!$AS$57+(INDEX('TO HOP'!$AD$66:$AD$127,$A159)*$G159+INDEX('TO HOP'!$AR$66:$AR$127,$A159)*$D159+INDEX('TO HOP'!$AS$66:$AS$127,$A159)*($E159+$F159))*(Hbe+Hcot+hxm+hgoi))</f>
        <v>34091.265631949253</v>
      </c>
      <c r="J159" s="39">
        <f>IF($H159="","",SUMPRODUCT(INDEX('TO HOP'!$C$66:$AT$127,$A159,0),'TO HOP'!$C$58:$AT$58)-INDEX('TO HOP'!$AD$66:$AD$127,$A159)*'TO HOP'!$AD$58-INDEX('TO HOP'!$AR$66:$AR$127,$A159)*'TO HOP'!$AR$58-INDEX('TO HOP'!$AS$66:$AS$127,$A159)*'TO HOP'!$AS$58+INDEX('TO HOP'!$AD$66:$AD$127,$A159)*$G159+INDEX('TO HOP'!$AR$66:$AR$127,$A159)*$D159+INDEX('TO HOP'!$AS$66:$AS$127,$A159)*($E159+$F159))</f>
        <v>2697.1364775610136</v>
      </c>
      <c r="K159" s="39">
        <f>IF($H159="","",SUMPRODUCT(INDEX('TO HOP'!$C$66:$AT$127,$A159,0),'TO HOP'!$C$62:$AT$62)-INDEX('TO HOP'!$AD$66:$AD$127,$A159)*'TO HOP'!$AD$62-INDEX('TO HOP'!$AR$66:$AR$127,$A159)*'TO HOP'!$AR$62-INDEX('TO HOP'!$AS$66:$AS$127,$A159)*'TO HOP'!$AS$62+(INDEX('TO HOP'!$AD$66:$AD$127,$A159)*$G159+INDEX('TO HOP'!$AR$66:$AR$127,$A159)*$D159+INDEX('TO HOP'!$AS$66:$AS$127,$A159)*($E159+$F159))*(Hcot+hxm+hgoi))</f>
        <v>28696.992676827227</v>
      </c>
      <c r="L159" s="39">
        <f t="shared" si="8"/>
        <v>2697.1364775610136</v>
      </c>
      <c r="M159" s="39">
        <f t="shared" si="9"/>
        <v>34091.265631949253</v>
      </c>
      <c r="N159" s="39">
        <f t="shared" si="10"/>
        <v>2697.1364775610136</v>
      </c>
      <c r="O159" s="39">
        <f t="shared" si="11"/>
        <v>28696.992676827227</v>
      </c>
    </row>
    <row r="160" spans="1:15" x14ac:dyDescent="0.3">
      <c r="A160" s="38">
        <f>'TO HOP'!N169</f>
        <v>39</v>
      </c>
      <c r="B160" s="38" t="str">
        <f>'TO HOP'!B169</f>
        <v>CĐ I(b) min - 2 nhịp 3 làn</v>
      </c>
      <c r="C160" s="38" t="s">
        <v>1203</v>
      </c>
      <c r="D160" s="39">
        <f>'HE GOI'!D19</f>
        <v>1383.337308977915</v>
      </c>
      <c r="E160" s="39">
        <f>IF(csmode=1,0,'HE GOI'!D20)</f>
        <v>512.34715147329803</v>
      </c>
      <c r="F160" s="39">
        <f>IF(csmode=1,'HE GOI'!D24,'HE GOI'!D21)</f>
        <v>320.21696967081334</v>
      </c>
      <c r="G160" s="39">
        <f>'HE GOI'!D23</f>
        <v>-1034.6545125000002</v>
      </c>
      <c r="H160" s="39">
        <f>IF(OR($A160=0,NOT(ISNUMBER($D160)),NOT(ISNUMBER($E160)),NOT(ISNUMBER($F160))),"",SUMPRODUCT(INDEX('TO HOP'!$C$66:$AT$127,$A160,0),'TO HOP'!$C$53:$AT$53)-INDEX('TO HOP'!$AD$66:$AD$127,$A160)*'TO HOP'!$AD$53-INDEX('TO HOP'!$AR$66:$AR$127,$A160)*'TO HOP'!$AR$53-INDEX('TO HOP'!$AS$66:$AS$127,$A160)*'TO HOP'!$AS$53+INDEX('TO HOP'!$AD$66:$AD$127,$A160)*$G160+INDEX('TO HOP'!$AR$66:$AR$127,$A160)*$D160+INDEX('TO HOP'!$AS$66:$AS$127,$A160)*($E160+$F160))</f>
        <v>627.82745256101293</v>
      </c>
      <c r="I160" s="39">
        <f>IF($H160="","",SUMPRODUCT(INDEX('TO HOP'!$C$66:$AT$127,$A160,0),'TO HOP'!$C$57:$AT$57)-INDEX('TO HOP'!$AD$66:$AD$127,$A160)*'TO HOP'!$AD$57-INDEX('TO HOP'!$AR$66:$AR$127,$A160)*'TO HOP'!$AR$57-INDEX('TO HOP'!$AS$66:$AS$127,$A160)*'TO HOP'!$AS$57+(INDEX('TO HOP'!$AD$66:$AD$127,$A160)*$G160+INDEX('TO HOP'!$AR$66:$AR$127,$A160)*$D160+INDEX('TO HOP'!$AS$66:$AS$127,$A160)*($E160+$F160))*(Hbe+Hcot+hxm+hgoi))</f>
        <v>8680.1508049492404</v>
      </c>
      <c r="J160" s="39">
        <f>IF($H160="","",SUMPRODUCT(INDEX('TO HOP'!$C$66:$AT$127,$A160,0),'TO HOP'!$C$58:$AT$58)-INDEX('TO HOP'!$AD$66:$AD$127,$A160)*'TO HOP'!$AD$58-INDEX('TO HOP'!$AR$66:$AR$127,$A160)*'TO HOP'!$AR$58-INDEX('TO HOP'!$AS$66:$AS$127,$A160)*'TO HOP'!$AS$58+INDEX('TO HOP'!$AD$66:$AD$127,$A160)*$G160+INDEX('TO HOP'!$AR$66:$AR$127,$A160)*$D160+INDEX('TO HOP'!$AS$66:$AS$127,$A160)*($E160+$F160))</f>
        <v>627.82745256101293</v>
      </c>
      <c r="K160" s="39">
        <f>IF($H160="","",SUMPRODUCT(INDEX('TO HOP'!$C$66:$AT$127,$A160,0),'TO HOP'!$C$62:$AT$62)-INDEX('TO HOP'!$AD$66:$AD$127,$A160)*'TO HOP'!$AD$62-INDEX('TO HOP'!$AR$66:$AR$127,$A160)*'TO HOP'!$AR$62-INDEX('TO HOP'!$AS$66:$AS$127,$A160)*'TO HOP'!$AS$62+(INDEX('TO HOP'!$AD$66:$AD$127,$A160)*$G160+INDEX('TO HOP'!$AR$66:$AR$127,$A160)*$D160+INDEX('TO HOP'!$AS$66:$AS$127,$A160)*($E160+$F160))*(Hcot+hxm+hgoi))</f>
        <v>7424.4958998272159</v>
      </c>
      <c r="L160" s="39">
        <f t="shared" si="8"/>
        <v>627.82745256101293</v>
      </c>
      <c r="M160" s="39">
        <f t="shared" si="9"/>
        <v>8680.1508049492404</v>
      </c>
      <c r="N160" s="39">
        <f t="shared" si="10"/>
        <v>627.82745256101293</v>
      </c>
      <c r="O160" s="39">
        <f t="shared" si="11"/>
        <v>7424.4958998272159</v>
      </c>
    </row>
    <row r="161" spans="1:15" x14ac:dyDescent="0.3">
      <c r="A161" s="38">
        <f>'TO HOP'!N170</f>
        <v>40</v>
      </c>
      <c r="B161" s="38" t="str">
        <f>'TO HOP'!B170</f>
        <v>CĐ I(b) min - 2 nhịp 4 làn</v>
      </c>
      <c r="C161" s="38" t="s">
        <v>1200</v>
      </c>
      <c r="D161" s="39">
        <f>'HE GOI'!D18</f>
        <v>-1521.6710398757043</v>
      </c>
      <c r="E161" s="39">
        <f>IF(csmode=1,0,'HE GOI'!D20)</f>
        <v>512.34715147329803</v>
      </c>
      <c r="F161" s="39">
        <f>IF(csmode=1,'HE GOI'!D24,'HE GOI'!D21)</f>
        <v>320.21696967081334</v>
      </c>
      <c r="G161" s="39">
        <f>'HE GOI'!D22</f>
        <v>1034.6545125000002</v>
      </c>
      <c r="H161" s="39">
        <f>IF(OR($A161=0,NOT(ISNUMBER($D161)),NOT(ISNUMBER($E161)),NOT(ISNUMBER($F161))),"",SUMPRODUCT(INDEX('TO HOP'!$C$66:$AT$127,$A161,0),'TO HOP'!$C$53:$AT$53)-INDEX('TO HOP'!$AD$66:$AD$127,$A161)*'TO HOP'!$AD$53-INDEX('TO HOP'!$AR$66:$AR$127,$A161)*'TO HOP'!$AR$53-INDEX('TO HOP'!$AS$66:$AS$127,$A161)*'TO HOP'!$AS$53+INDEX('TO HOP'!$AD$66:$AD$127,$A161)*$G161+INDEX('TO HOP'!$AR$66:$AR$127,$A161)*$D161+INDEX('TO HOP'!$AS$66:$AS$127,$A161)*($E161+$F161))</f>
        <v>1244.6323031342038</v>
      </c>
      <c r="I161" s="39">
        <f>IF($H161="","",SUMPRODUCT(INDEX('TO HOP'!$C$66:$AT$127,$A161,0),'TO HOP'!$C$57:$AT$57)-INDEX('TO HOP'!$AD$66:$AD$127,$A161)*'TO HOP'!$AD$57-INDEX('TO HOP'!$AR$66:$AR$127,$A161)*'TO HOP'!$AR$57-INDEX('TO HOP'!$AS$66:$AS$127,$A161)*'TO HOP'!$AS$57+(INDEX('TO HOP'!$AD$66:$AD$127,$A161)*$G161+INDEX('TO HOP'!$AR$66:$AR$127,$A161)*$D161+INDEX('TO HOP'!$AS$66:$AS$127,$A161)*($E161+$F161))*(Hbe+Hcot+hxm+hgoi))</f>
        <v>16254.514369988025</v>
      </c>
      <c r="J161" s="39">
        <f>IF($H161="","",SUMPRODUCT(INDEX('TO HOP'!$C$66:$AT$127,$A161,0),'TO HOP'!$C$58:$AT$58)-INDEX('TO HOP'!$AD$66:$AD$127,$A161)*'TO HOP'!$AD$58-INDEX('TO HOP'!$AR$66:$AR$127,$A161)*'TO HOP'!$AR$58-INDEX('TO HOP'!$AS$66:$AS$127,$A161)*'TO HOP'!$AS$58+INDEX('TO HOP'!$AD$66:$AD$127,$A161)*$G161+INDEX('TO HOP'!$AR$66:$AR$127,$A161)*$D161+INDEX('TO HOP'!$AS$66:$AS$127,$A161)*($E161+$F161))</f>
        <v>1244.6323031342038</v>
      </c>
      <c r="K161" s="39">
        <f>IF($H161="","",SUMPRODUCT(INDEX('TO HOP'!$C$66:$AT$127,$A161,0),'TO HOP'!$C$62:$AT$62)-INDEX('TO HOP'!$AD$66:$AD$127,$A161)*'TO HOP'!$AD$62-INDEX('TO HOP'!$AR$66:$AR$127,$A161)*'TO HOP'!$AR$62-INDEX('TO HOP'!$AS$66:$AS$127,$A161)*'TO HOP'!$AS$62+(INDEX('TO HOP'!$AD$66:$AD$127,$A161)*$G161+INDEX('TO HOP'!$AR$66:$AR$127,$A161)*$D161+INDEX('TO HOP'!$AS$66:$AS$127,$A161)*($E161+$F161))*(Hcot+hxm+hgoi))</f>
        <v>13765.249763719617</v>
      </c>
      <c r="L161" s="39">
        <f t="shared" si="8"/>
        <v>1244.6323031342038</v>
      </c>
      <c r="M161" s="39">
        <f t="shared" si="9"/>
        <v>16254.514369988025</v>
      </c>
      <c r="N161" s="39">
        <f t="shared" si="10"/>
        <v>1244.6323031342038</v>
      </c>
      <c r="O161" s="39">
        <f t="shared" si="11"/>
        <v>13765.249763719617</v>
      </c>
    </row>
    <row r="162" spans="1:15" x14ac:dyDescent="0.3">
      <c r="A162" s="38">
        <f>'TO HOP'!N170</f>
        <v>40</v>
      </c>
      <c r="B162" s="38" t="str">
        <f>'TO HOP'!B170</f>
        <v>CĐ I(b) min - 2 nhịp 4 làn</v>
      </c>
      <c r="C162" s="38" t="s">
        <v>1201</v>
      </c>
      <c r="D162" s="39">
        <f>'HE GOI'!D18</f>
        <v>-1521.6710398757043</v>
      </c>
      <c r="E162" s="39">
        <f>IF(csmode=1,0,'HE GOI'!D20)</f>
        <v>512.34715147329803</v>
      </c>
      <c r="F162" s="39">
        <f>IF(csmode=1,'HE GOI'!D24,'HE GOI'!D21)</f>
        <v>320.21696967081334</v>
      </c>
      <c r="G162" s="39">
        <f>'HE GOI'!D23</f>
        <v>-1034.6545125000002</v>
      </c>
      <c r="H162" s="39">
        <f>IF(OR($A162=0,NOT(ISNUMBER($D162)),NOT(ISNUMBER($E162)),NOT(ISNUMBER($F162))),"",SUMPRODUCT(INDEX('TO HOP'!$C$66:$AT$127,$A162,0),'TO HOP'!$C$53:$AT$53)-INDEX('TO HOP'!$AD$66:$AD$127,$A162)*'TO HOP'!$AD$53-INDEX('TO HOP'!$AR$66:$AR$127,$A162)*'TO HOP'!$AR$53-INDEX('TO HOP'!$AS$66:$AS$127,$A162)*'TO HOP'!$AS$53+INDEX('TO HOP'!$AD$66:$AD$127,$A162)*$G162+INDEX('TO HOP'!$AR$66:$AR$127,$A162)*$D162+INDEX('TO HOP'!$AS$66:$AS$127,$A162)*($E162+$F162))</f>
        <v>-824.67672186579659</v>
      </c>
      <c r="I162" s="39">
        <f>IF($H162="","",SUMPRODUCT(INDEX('TO HOP'!$C$66:$AT$127,$A162,0),'TO HOP'!$C$57:$AT$57)-INDEX('TO HOP'!$AD$66:$AD$127,$A162)*'TO HOP'!$AD$57-INDEX('TO HOP'!$AR$66:$AR$127,$A162)*'TO HOP'!$AR$57-INDEX('TO HOP'!$AS$66:$AS$127,$A162)*'TO HOP'!$AS$57+(INDEX('TO HOP'!$AD$66:$AD$127,$A162)*$G162+INDEX('TO HOP'!$AR$66:$AR$127,$A162)*$D162+INDEX('TO HOP'!$AS$66:$AS$127,$A162)*($E162+$F162))*(Hbe+Hcot+hxm+hgoi))</f>
        <v>-9156.6004570119821</v>
      </c>
      <c r="J162" s="39">
        <f>IF($H162="","",SUMPRODUCT(INDEX('TO HOP'!$C$66:$AT$127,$A162,0),'TO HOP'!$C$58:$AT$58)-INDEX('TO HOP'!$AD$66:$AD$127,$A162)*'TO HOP'!$AD$58-INDEX('TO HOP'!$AR$66:$AR$127,$A162)*'TO HOP'!$AR$58-INDEX('TO HOP'!$AS$66:$AS$127,$A162)*'TO HOP'!$AS$58+INDEX('TO HOP'!$AD$66:$AD$127,$A162)*$G162+INDEX('TO HOP'!$AR$66:$AR$127,$A162)*$D162+INDEX('TO HOP'!$AS$66:$AS$127,$A162)*($E162+$F162))</f>
        <v>-824.67672186579659</v>
      </c>
      <c r="K162" s="39">
        <f>IF($H162="","",SUMPRODUCT(INDEX('TO HOP'!$C$66:$AT$127,$A162,0),'TO HOP'!$C$62:$AT$62)-INDEX('TO HOP'!$AD$66:$AD$127,$A162)*'TO HOP'!$AD$62-INDEX('TO HOP'!$AR$66:$AR$127,$A162)*'TO HOP'!$AR$62-INDEX('TO HOP'!$AS$66:$AS$127,$A162)*'TO HOP'!$AS$62+(INDEX('TO HOP'!$AD$66:$AD$127,$A162)*$G162+INDEX('TO HOP'!$AR$66:$AR$127,$A162)*$D162+INDEX('TO HOP'!$AS$66:$AS$127,$A162)*($E162+$F162))*(Hcot+hxm+hgoi))</f>
        <v>-7507.2470132803865</v>
      </c>
      <c r="L162" s="39">
        <f t="shared" si="8"/>
        <v>824.67672186579659</v>
      </c>
      <c r="M162" s="39">
        <f t="shared" si="9"/>
        <v>9156.6004570119821</v>
      </c>
      <c r="N162" s="39">
        <f t="shared" si="10"/>
        <v>824.67672186579659</v>
      </c>
      <c r="O162" s="39">
        <f t="shared" si="11"/>
        <v>7507.2470132803865</v>
      </c>
    </row>
    <row r="163" spans="1:15" x14ac:dyDescent="0.3">
      <c r="A163" s="38">
        <f>'TO HOP'!N170</f>
        <v>40</v>
      </c>
      <c r="B163" s="38" t="str">
        <f>'TO HOP'!B170</f>
        <v>CĐ I(b) min - 2 nhịp 4 làn</v>
      </c>
      <c r="C163" s="38" t="s">
        <v>1202</v>
      </c>
      <c r="D163" s="39">
        <f>'HE GOI'!D19</f>
        <v>1383.337308977915</v>
      </c>
      <c r="E163" s="39">
        <f>IF(csmode=1,0,'HE GOI'!D20)</f>
        <v>512.34715147329803</v>
      </c>
      <c r="F163" s="39">
        <f>IF(csmode=1,'HE GOI'!D24,'HE GOI'!D21)</f>
        <v>320.21696967081334</v>
      </c>
      <c r="G163" s="39">
        <f>'HE GOI'!D22</f>
        <v>1034.6545125000002</v>
      </c>
      <c r="H163" s="39">
        <f>IF(OR($A163=0,NOT(ISNUMBER($D163)),NOT(ISNUMBER($E163)),NOT(ISNUMBER($F163))),"",SUMPRODUCT(INDEX('TO HOP'!$C$66:$AT$127,$A163,0),'TO HOP'!$C$53:$AT$53)-INDEX('TO HOP'!$AD$66:$AD$127,$A163)*'TO HOP'!$AD$53-INDEX('TO HOP'!$AR$66:$AR$127,$A163)*'TO HOP'!$AR$53-INDEX('TO HOP'!$AS$66:$AS$127,$A163)*'TO HOP'!$AS$53+INDEX('TO HOP'!$AD$66:$AD$127,$A163)*$G163+INDEX('TO HOP'!$AR$66:$AR$127,$A163)*$D163+INDEX('TO HOP'!$AS$66:$AS$127,$A163)*($E163+$F163))</f>
        <v>2697.1364775610136</v>
      </c>
      <c r="I163" s="39">
        <f>IF($H163="","",SUMPRODUCT(INDEX('TO HOP'!$C$66:$AT$127,$A163,0),'TO HOP'!$C$57:$AT$57)-INDEX('TO HOP'!$AD$66:$AD$127,$A163)*'TO HOP'!$AD$57-INDEX('TO HOP'!$AR$66:$AR$127,$A163)*'TO HOP'!$AR$57-INDEX('TO HOP'!$AS$66:$AS$127,$A163)*'TO HOP'!$AS$57+(INDEX('TO HOP'!$AD$66:$AD$127,$A163)*$G163+INDEX('TO HOP'!$AR$66:$AR$127,$A163)*$D163+INDEX('TO HOP'!$AS$66:$AS$127,$A163)*($E163+$F163))*(Hbe+Hcot+hxm+hgoi))</f>
        <v>34091.265631949253</v>
      </c>
      <c r="J163" s="39">
        <f>IF($H163="","",SUMPRODUCT(INDEX('TO HOP'!$C$66:$AT$127,$A163,0),'TO HOP'!$C$58:$AT$58)-INDEX('TO HOP'!$AD$66:$AD$127,$A163)*'TO HOP'!$AD$58-INDEX('TO HOP'!$AR$66:$AR$127,$A163)*'TO HOP'!$AR$58-INDEX('TO HOP'!$AS$66:$AS$127,$A163)*'TO HOP'!$AS$58+INDEX('TO HOP'!$AD$66:$AD$127,$A163)*$G163+INDEX('TO HOP'!$AR$66:$AR$127,$A163)*$D163+INDEX('TO HOP'!$AS$66:$AS$127,$A163)*($E163+$F163))</f>
        <v>2697.1364775610136</v>
      </c>
      <c r="K163" s="39">
        <f>IF($H163="","",SUMPRODUCT(INDEX('TO HOP'!$C$66:$AT$127,$A163,0),'TO HOP'!$C$62:$AT$62)-INDEX('TO HOP'!$AD$66:$AD$127,$A163)*'TO HOP'!$AD$62-INDEX('TO HOP'!$AR$66:$AR$127,$A163)*'TO HOP'!$AR$62-INDEX('TO HOP'!$AS$66:$AS$127,$A163)*'TO HOP'!$AS$62+(INDEX('TO HOP'!$AD$66:$AD$127,$A163)*$G163+INDEX('TO HOP'!$AR$66:$AR$127,$A163)*$D163+INDEX('TO HOP'!$AS$66:$AS$127,$A163)*($E163+$F163))*(Hcot+hxm+hgoi))</f>
        <v>28696.992676827227</v>
      </c>
      <c r="L163" s="39">
        <f t="shared" si="8"/>
        <v>2697.1364775610136</v>
      </c>
      <c r="M163" s="39">
        <f t="shared" si="9"/>
        <v>34091.265631949253</v>
      </c>
      <c r="N163" s="39">
        <f t="shared" si="10"/>
        <v>2697.1364775610136</v>
      </c>
      <c r="O163" s="39">
        <f t="shared" si="11"/>
        <v>28696.992676827227</v>
      </c>
    </row>
    <row r="164" spans="1:15" x14ac:dyDescent="0.3">
      <c r="A164" s="38">
        <f>'TO HOP'!N170</f>
        <v>40</v>
      </c>
      <c r="B164" s="38" t="str">
        <f>'TO HOP'!B170</f>
        <v>CĐ I(b) min - 2 nhịp 4 làn</v>
      </c>
      <c r="C164" s="38" t="s">
        <v>1203</v>
      </c>
      <c r="D164" s="39">
        <f>'HE GOI'!D19</f>
        <v>1383.337308977915</v>
      </c>
      <c r="E164" s="39">
        <f>IF(csmode=1,0,'HE GOI'!D20)</f>
        <v>512.34715147329803</v>
      </c>
      <c r="F164" s="39">
        <f>IF(csmode=1,'HE GOI'!D24,'HE GOI'!D21)</f>
        <v>320.21696967081334</v>
      </c>
      <c r="G164" s="39">
        <f>'HE GOI'!D23</f>
        <v>-1034.6545125000002</v>
      </c>
      <c r="H164" s="39">
        <f>IF(OR($A164=0,NOT(ISNUMBER($D164)),NOT(ISNUMBER($E164)),NOT(ISNUMBER($F164))),"",SUMPRODUCT(INDEX('TO HOP'!$C$66:$AT$127,$A164,0),'TO HOP'!$C$53:$AT$53)-INDEX('TO HOP'!$AD$66:$AD$127,$A164)*'TO HOP'!$AD$53-INDEX('TO HOP'!$AR$66:$AR$127,$A164)*'TO HOP'!$AR$53-INDEX('TO HOP'!$AS$66:$AS$127,$A164)*'TO HOP'!$AS$53+INDEX('TO HOP'!$AD$66:$AD$127,$A164)*$G164+INDEX('TO HOP'!$AR$66:$AR$127,$A164)*$D164+INDEX('TO HOP'!$AS$66:$AS$127,$A164)*($E164+$F164))</f>
        <v>627.82745256101293</v>
      </c>
      <c r="I164" s="39">
        <f>IF($H164="","",SUMPRODUCT(INDEX('TO HOP'!$C$66:$AT$127,$A164,0),'TO HOP'!$C$57:$AT$57)-INDEX('TO HOP'!$AD$66:$AD$127,$A164)*'TO HOP'!$AD$57-INDEX('TO HOP'!$AR$66:$AR$127,$A164)*'TO HOP'!$AR$57-INDEX('TO HOP'!$AS$66:$AS$127,$A164)*'TO HOP'!$AS$57+(INDEX('TO HOP'!$AD$66:$AD$127,$A164)*$G164+INDEX('TO HOP'!$AR$66:$AR$127,$A164)*$D164+INDEX('TO HOP'!$AS$66:$AS$127,$A164)*($E164+$F164))*(Hbe+Hcot+hxm+hgoi))</f>
        <v>8680.1508049492404</v>
      </c>
      <c r="J164" s="39">
        <f>IF($H164="","",SUMPRODUCT(INDEX('TO HOP'!$C$66:$AT$127,$A164,0),'TO HOP'!$C$58:$AT$58)-INDEX('TO HOP'!$AD$66:$AD$127,$A164)*'TO HOP'!$AD$58-INDEX('TO HOP'!$AR$66:$AR$127,$A164)*'TO HOP'!$AR$58-INDEX('TO HOP'!$AS$66:$AS$127,$A164)*'TO HOP'!$AS$58+INDEX('TO HOP'!$AD$66:$AD$127,$A164)*$G164+INDEX('TO HOP'!$AR$66:$AR$127,$A164)*$D164+INDEX('TO HOP'!$AS$66:$AS$127,$A164)*($E164+$F164))</f>
        <v>627.82745256101293</v>
      </c>
      <c r="K164" s="39">
        <f>IF($H164="","",SUMPRODUCT(INDEX('TO HOP'!$C$66:$AT$127,$A164,0),'TO HOP'!$C$62:$AT$62)-INDEX('TO HOP'!$AD$66:$AD$127,$A164)*'TO HOP'!$AD$62-INDEX('TO HOP'!$AR$66:$AR$127,$A164)*'TO HOP'!$AR$62-INDEX('TO HOP'!$AS$66:$AS$127,$A164)*'TO HOP'!$AS$62+(INDEX('TO HOP'!$AD$66:$AD$127,$A164)*$G164+INDEX('TO HOP'!$AR$66:$AR$127,$A164)*$D164+INDEX('TO HOP'!$AS$66:$AS$127,$A164)*($E164+$F164))*(Hcot+hxm+hgoi))</f>
        <v>7424.4958998272159</v>
      </c>
      <c r="L164" s="39">
        <f t="shared" si="8"/>
        <v>627.82745256101293</v>
      </c>
      <c r="M164" s="39">
        <f t="shared" si="9"/>
        <v>8680.1508049492404</v>
      </c>
      <c r="N164" s="39">
        <f t="shared" si="10"/>
        <v>627.82745256101293</v>
      </c>
      <c r="O164" s="39">
        <f t="shared" si="11"/>
        <v>7424.4958998272159</v>
      </c>
    </row>
    <row r="165" spans="1:15" x14ac:dyDescent="0.3">
      <c r="A165" s="38">
        <f>'TO HOP'!N171</f>
        <v>41</v>
      </c>
      <c r="B165" s="38" t="str">
        <f>'TO HOP'!B171</f>
        <v>CĐ I(b) min - 2 nhịp 5 làn</v>
      </c>
      <c r="C165" s="38" t="s">
        <v>1200</v>
      </c>
      <c r="D165" s="39">
        <f>'HE GOI'!D18</f>
        <v>-1521.6710398757043</v>
      </c>
      <c r="E165" s="39">
        <f>IF(csmode=1,0,'HE GOI'!D20)</f>
        <v>512.34715147329803</v>
      </c>
      <c r="F165" s="39">
        <f>IF(csmode=1,'HE GOI'!D24,'HE GOI'!D21)</f>
        <v>320.21696967081334</v>
      </c>
      <c r="G165" s="39">
        <f>'HE GOI'!D22</f>
        <v>1034.6545125000002</v>
      </c>
      <c r="H165" s="39">
        <f>IF(OR($A165=0,NOT(ISNUMBER($D165)),NOT(ISNUMBER($E165)),NOT(ISNUMBER($F165))),"",SUMPRODUCT(INDEX('TO HOP'!$C$66:$AT$127,$A165,0),'TO HOP'!$C$53:$AT$53)-INDEX('TO HOP'!$AD$66:$AD$127,$A165)*'TO HOP'!$AD$53-INDEX('TO HOP'!$AR$66:$AR$127,$A165)*'TO HOP'!$AR$53-INDEX('TO HOP'!$AS$66:$AS$127,$A165)*'TO HOP'!$AS$53+INDEX('TO HOP'!$AD$66:$AD$127,$A165)*$G165+INDEX('TO HOP'!$AR$66:$AR$127,$A165)*$D165+INDEX('TO HOP'!$AS$66:$AS$127,$A165)*($E165+$F165))</f>
        <v>1244.6323031342038</v>
      </c>
      <c r="I165" s="39">
        <f>IF($H165="","",SUMPRODUCT(INDEX('TO HOP'!$C$66:$AT$127,$A165,0),'TO HOP'!$C$57:$AT$57)-INDEX('TO HOP'!$AD$66:$AD$127,$A165)*'TO HOP'!$AD$57-INDEX('TO HOP'!$AR$66:$AR$127,$A165)*'TO HOP'!$AR$57-INDEX('TO HOP'!$AS$66:$AS$127,$A165)*'TO HOP'!$AS$57+(INDEX('TO HOP'!$AD$66:$AD$127,$A165)*$G165+INDEX('TO HOP'!$AR$66:$AR$127,$A165)*$D165+INDEX('TO HOP'!$AS$66:$AS$127,$A165)*($E165+$F165))*(Hbe+Hcot+hxm+hgoi))</f>
        <v>16254.514369988025</v>
      </c>
      <c r="J165" s="39">
        <f>IF($H165="","",SUMPRODUCT(INDEX('TO HOP'!$C$66:$AT$127,$A165,0),'TO HOP'!$C$58:$AT$58)-INDEX('TO HOP'!$AD$66:$AD$127,$A165)*'TO HOP'!$AD$58-INDEX('TO HOP'!$AR$66:$AR$127,$A165)*'TO HOP'!$AR$58-INDEX('TO HOP'!$AS$66:$AS$127,$A165)*'TO HOP'!$AS$58+INDEX('TO HOP'!$AD$66:$AD$127,$A165)*$G165+INDEX('TO HOP'!$AR$66:$AR$127,$A165)*$D165+INDEX('TO HOP'!$AS$66:$AS$127,$A165)*($E165+$F165))</f>
        <v>1244.6323031342038</v>
      </c>
      <c r="K165" s="39">
        <f>IF($H165="","",SUMPRODUCT(INDEX('TO HOP'!$C$66:$AT$127,$A165,0),'TO HOP'!$C$62:$AT$62)-INDEX('TO HOP'!$AD$66:$AD$127,$A165)*'TO HOP'!$AD$62-INDEX('TO HOP'!$AR$66:$AR$127,$A165)*'TO HOP'!$AR$62-INDEX('TO HOP'!$AS$66:$AS$127,$A165)*'TO HOP'!$AS$62+(INDEX('TO HOP'!$AD$66:$AD$127,$A165)*$G165+INDEX('TO HOP'!$AR$66:$AR$127,$A165)*$D165+INDEX('TO HOP'!$AS$66:$AS$127,$A165)*($E165+$F165))*(Hcot+hxm+hgoi))</f>
        <v>13765.249763719617</v>
      </c>
      <c r="L165" s="39">
        <f t="shared" si="8"/>
        <v>1244.6323031342038</v>
      </c>
      <c r="M165" s="39">
        <f t="shared" si="9"/>
        <v>16254.514369988025</v>
      </c>
      <c r="N165" s="39">
        <f t="shared" si="10"/>
        <v>1244.6323031342038</v>
      </c>
      <c r="O165" s="39">
        <f t="shared" si="11"/>
        <v>13765.249763719617</v>
      </c>
    </row>
    <row r="166" spans="1:15" x14ac:dyDescent="0.3">
      <c r="A166" s="38">
        <f>'TO HOP'!N171</f>
        <v>41</v>
      </c>
      <c r="B166" s="38" t="str">
        <f>'TO HOP'!B171</f>
        <v>CĐ I(b) min - 2 nhịp 5 làn</v>
      </c>
      <c r="C166" s="38" t="s">
        <v>1201</v>
      </c>
      <c r="D166" s="39">
        <f>'HE GOI'!D18</f>
        <v>-1521.6710398757043</v>
      </c>
      <c r="E166" s="39">
        <f>IF(csmode=1,0,'HE GOI'!D20)</f>
        <v>512.34715147329803</v>
      </c>
      <c r="F166" s="39">
        <f>IF(csmode=1,'HE GOI'!D24,'HE GOI'!D21)</f>
        <v>320.21696967081334</v>
      </c>
      <c r="G166" s="39">
        <f>'HE GOI'!D23</f>
        <v>-1034.6545125000002</v>
      </c>
      <c r="H166" s="39">
        <f>IF(OR($A166=0,NOT(ISNUMBER($D166)),NOT(ISNUMBER($E166)),NOT(ISNUMBER($F166))),"",SUMPRODUCT(INDEX('TO HOP'!$C$66:$AT$127,$A166,0),'TO HOP'!$C$53:$AT$53)-INDEX('TO HOP'!$AD$66:$AD$127,$A166)*'TO HOP'!$AD$53-INDEX('TO HOP'!$AR$66:$AR$127,$A166)*'TO HOP'!$AR$53-INDEX('TO HOP'!$AS$66:$AS$127,$A166)*'TO HOP'!$AS$53+INDEX('TO HOP'!$AD$66:$AD$127,$A166)*$G166+INDEX('TO HOP'!$AR$66:$AR$127,$A166)*$D166+INDEX('TO HOP'!$AS$66:$AS$127,$A166)*($E166+$F166))</f>
        <v>-824.67672186579659</v>
      </c>
      <c r="I166" s="39">
        <f>IF($H166="","",SUMPRODUCT(INDEX('TO HOP'!$C$66:$AT$127,$A166,0),'TO HOP'!$C$57:$AT$57)-INDEX('TO HOP'!$AD$66:$AD$127,$A166)*'TO HOP'!$AD$57-INDEX('TO HOP'!$AR$66:$AR$127,$A166)*'TO HOP'!$AR$57-INDEX('TO HOP'!$AS$66:$AS$127,$A166)*'TO HOP'!$AS$57+(INDEX('TO HOP'!$AD$66:$AD$127,$A166)*$G166+INDEX('TO HOP'!$AR$66:$AR$127,$A166)*$D166+INDEX('TO HOP'!$AS$66:$AS$127,$A166)*($E166+$F166))*(Hbe+Hcot+hxm+hgoi))</f>
        <v>-9156.6004570119821</v>
      </c>
      <c r="J166" s="39">
        <f>IF($H166="","",SUMPRODUCT(INDEX('TO HOP'!$C$66:$AT$127,$A166,0),'TO HOP'!$C$58:$AT$58)-INDEX('TO HOP'!$AD$66:$AD$127,$A166)*'TO HOP'!$AD$58-INDEX('TO HOP'!$AR$66:$AR$127,$A166)*'TO HOP'!$AR$58-INDEX('TO HOP'!$AS$66:$AS$127,$A166)*'TO HOP'!$AS$58+INDEX('TO HOP'!$AD$66:$AD$127,$A166)*$G166+INDEX('TO HOP'!$AR$66:$AR$127,$A166)*$D166+INDEX('TO HOP'!$AS$66:$AS$127,$A166)*($E166+$F166))</f>
        <v>-824.67672186579659</v>
      </c>
      <c r="K166" s="39">
        <f>IF($H166="","",SUMPRODUCT(INDEX('TO HOP'!$C$66:$AT$127,$A166,0),'TO HOP'!$C$62:$AT$62)-INDEX('TO HOP'!$AD$66:$AD$127,$A166)*'TO HOP'!$AD$62-INDEX('TO HOP'!$AR$66:$AR$127,$A166)*'TO HOP'!$AR$62-INDEX('TO HOP'!$AS$66:$AS$127,$A166)*'TO HOP'!$AS$62+(INDEX('TO HOP'!$AD$66:$AD$127,$A166)*$G166+INDEX('TO HOP'!$AR$66:$AR$127,$A166)*$D166+INDEX('TO HOP'!$AS$66:$AS$127,$A166)*($E166+$F166))*(Hcot+hxm+hgoi))</f>
        <v>-7507.2470132803865</v>
      </c>
      <c r="L166" s="39">
        <f t="shared" si="8"/>
        <v>824.67672186579659</v>
      </c>
      <c r="M166" s="39">
        <f t="shared" si="9"/>
        <v>9156.6004570119821</v>
      </c>
      <c r="N166" s="39">
        <f t="shared" si="10"/>
        <v>824.67672186579659</v>
      </c>
      <c r="O166" s="39">
        <f t="shared" si="11"/>
        <v>7507.2470132803865</v>
      </c>
    </row>
    <row r="167" spans="1:15" x14ac:dyDescent="0.3">
      <c r="A167" s="38">
        <f>'TO HOP'!N171</f>
        <v>41</v>
      </c>
      <c r="B167" s="38" t="str">
        <f>'TO HOP'!B171</f>
        <v>CĐ I(b) min - 2 nhịp 5 làn</v>
      </c>
      <c r="C167" s="38" t="s">
        <v>1202</v>
      </c>
      <c r="D167" s="39">
        <f>'HE GOI'!D19</f>
        <v>1383.337308977915</v>
      </c>
      <c r="E167" s="39">
        <f>IF(csmode=1,0,'HE GOI'!D20)</f>
        <v>512.34715147329803</v>
      </c>
      <c r="F167" s="39">
        <f>IF(csmode=1,'HE GOI'!D24,'HE GOI'!D21)</f>
        <v>320.21696967081334</v>
      </c>
      <c r="G167" s="39">
        <f>'HE GOI'!D22</f>
        <v>1034.6545125000002</v>
      </c>
      <c r="H167" s="39">
        <f>IF(OR($A167=0,NOT(ISNUMBER($D167)),NOT(ISNUMBER($E167)),NOT(ISNUMBER($F167))),"",SUMPRODUCT(INDEX('TO HOP'!$C$66:$AT$127,$A167,0),'TO HOP'!$C$53:$AT$53)-INDEX('TO HOP'!$AD$66:$AD$127,$A167)*'TO HOP'!$AD$53-INDEX('TO HOP'!$AR$66:$AR$127,$A167)*'TO HOP'!$AR$53-INDEX('TO HOP'!$AS$66:$AS$127,$A167)*'TO HOP'!$AS$53+INDEX('TO HOP'!$AD$66:$AD$127,$A167)*$G167+INDEX('TO HOP'!$AR$66:$AR$127,$A167)*$D167+INDEX('TO HOP'!$AS$66:$AS$127,$A167)*($E167+$F167))</f>
        <v>2697.1364775610136</v>
      </c>
      <c r="I167" s="39">
        <f>IF($H167="","",SUMPRODUCT(INDEX('TO HOP'!$C$66:$AT$127,$A167,0),'TO HOP'!$C$57:$AT$57)-INDEX('TO HOP'!$AD$66:$AD$127,$A167)*'TO HOP'!$AD$57-INDEX('TO HOP'!$AR$66:$AR$127,$A167)*'TO HOP'!$AR$57-INDEX('TO HOP'!$AS$66:$AS$127,$A167)*'TO HOP'!$AS$57+(INDEX('TO HOP'!$AD$66:$AD$127,$A167)*$G167+INDEX('TO HOP'!$AR$66:$AR$127,$A167)*$D167+INDEX('TO HOP'!$AS$66:$AS$127,$A167)*($E167+$F167))*(Hbe+Hcot+hxm+hgoi))</f>
        <v>34091.265631949253</v>
      </c>
      <c r="J167" s="39">
        <f>IF($H167="","",SUMPRODUCT(INDEX('TO HOP'!$C$66:$AT$127,$A167,0),'TO HOP'!$C$58:$AT$58)-INDEX('TO HOP'!$AD$66:$AD$127,$A167)*'TO HOP'!$AD$58-INDEX('TO HOP'!$AR$66:$AR$127,$A167)*'TO HOP'!$AR$58-INDEX('TO HOP'!$AS$66:$AS$127,$A167)*'TO HOP'!$AS$58+INDEX('TO HOP'!$AD$66:$AD$127,$A167)*$G167+INDEX('TO HOP'!$AR$66:$AR$127,$A167)*$D167+INDEX('TO HOP'!$AS$66:$AS$127,$A167)*($E167+$F167))</f>
        <v>2697.1364775610136</v>
      </c>
      <c r="K167" s="39">
        <f>IF($H167="","",SUMPRODUCT(INDEX('TO HOP'!$C$66:$AT$127,$A167,0),'TO HOP'!$C$62:$AT$62)-INDEX('TO HOP'!$AD$66:$AD$127,$A167)*'TO HOP'!$AD$62-INDEX('TO HOP'!$AR$66:$AR$127,$A167)*'TO HOP'!$AR$62-INDEX('TO HOP'!$AS$66:$AS$127,$A167)*'TO HOP'!$AS$62+(INDEX('TO HOP'!$AD$66:$AD$127,$A167)*$G167+INDEX('TO HOP'!$AR$66:$AR$127,$A167)*$D167+INDEX('TO HOP'!$AS$66:$AS$127,$A167)*($E167+$F167))*(Hcot+hxm+hgoi))</f>
        <v>28696.992676827227</v>
      </c>
      <c r="L167" s="39">
        <f t="shared" si="8"/>
        <v>2697.1364775610136</v>
      </c>
      <c r="M167" s="39">
        <f t="shared" si="9"/>
        <v>34091.265631949253</v>
      </c>
      <c r="N167" s="39">
        <f t="shared" si="10"/>
        <v>2697.1364775610136</v>
      </c>
      <c r="O167" s="39">
        <f t="shared" si="11"/>
        <v>28696.992676827227</v>
      </c>
    </row>
    <row r="168" spans="1:15" x14ac:dyDescent="0.3">
      <c r="A168" s="38">
        <f>'TO HOP'!N171</f>
        <v>41</v>
      </c>
      <c r="B168" s="38" t="str">
        <f>'TO HOP'!B171</f>
        <v>CĐ I(b) min - 2 nhịp 5 làn</v>
      </c>
      <c r="C168" s="38" t="s">
        <v>1203</v>
      </c>
      <c r="D168" s="39">
        <f>'HE GOI'!D19</f>
        <v>1383.337308977915</v>
      </c>
      <c r="E168" s="39">
        <f>IF(csmode=1,0,'HE GOI'!D20)</f>
        <v>512.34715147329803</v>
      </c>
      <c r="F168" s="39">
        <f>IF(csmode=1,'HE GOI'!D24,'HE GOI'!D21)</f>
        <v>320.21696967081334</v>
      </c>
      <c r="G168" s="39">
        <f>'HE GOI'!D23</f>
        <v>-1034.6545125000002</v>
      </c>
      <c r="H168" s="39">
        <f>IF(OR($A168=0,NOT(ISNUMBER($D168)),NOT(ISNUMBER($E168)),NOT(ISNUMBER($F168))),"",SUMPRODUCT(INDEX('TO HOP'!$C$66:$AT$127,$A168,0),'TO HOP'!$C$53:$AT$53)-INDEX('TO HOP'!$AD$66:$AD$127,$A168)*'TO HOP'!$AD$53-INDEX('TO HOP'!$AR$66:$AR$127,$A168)*'TO HOP'!$AR$53-INDEX('TO HOP'!$AS$66:$AS$127,$A168)*'TO HOP'!$AS$53+INDEX('TO HOP'!$AD$66:$AD$127,$A168)*$G168+INDEX('TO HOP'!$AR$66:$AR$127,$A168)*$D168+INDEX('TO HOP'!$AS$66:$AS$127,$A168)*($E168+$F168))</f>
        <v>627.82745256101293</v>
      </c>
      <c r="I168" s="39">
        <f>IF($H168="","",SUMPRODUCT(INDEX('TO HOP'!$C$66:$AT$127,$A168,0),'TO HOP'!$C$57:$AT$57)-INDEX('TO HOP'!$AD$66:$AD$127,$A168)*'TO HOP'!$AD$57-INDEX('TO HOP'!$AR$66:$AR$127,$A168)*'TO HOP'!$AR$57-INDEX('TO HOP'!$AS$66:$AS$127,$A168)*'TO HOP'!$AS$57+(INDEX('TO HOP'!$AD$66:$AD$127,$A168)*$G168+INDEX('TO HOP'!$AR$66:$AR$127,$A168)*$D168+INDEX('TO HOP'!$AS$66:$AS$127,$A168)*($E168+$F168))*(Hbe+Hcot+hxm+hgoi))</f>
        <v>8680.1508049492404</v>
      </c>
      <c r="J168" s="39">
        <f>IF($H168="","",SUMPRODUCT(INDEX('TO HOP'!$C$66:$AT$127,$A168,0),'TO HOP'!$C$58:$AT$58)-INDEX('TO HOP'!$AD$66:$AD$127,$A168)*'TO HOP'!$AD$58-INDEX('TO HOP'!$AR$66:$AR$127,$A168)*'TO HOP'!$AR$58-INDEX('TO HOP'!$AS$66:$AS$127,$A168)*'TO HOP'!$AS$58+INDEX('TO HOP'!$AD$66:$AD$127,$A168)*$G168+INDEX('TO HOP'!$AR$66:$AR$127,$A168)*$D168+INDEX('TO HOP'!$AS$66:$AS$127,$A168)*($E168+$F168))</f>
        <v>627.82745256101293</v>
      </c>
      <c r="K168" s="39">
        <f>IF($H168="","",SUMPRODUCT(INDEX('TO HOP'!$C$66:$AT$127,$A168,0),'TO HOP'!$C$62:$AT$62)-INDEX('TO HOP'!$AD$66:$AD$127,$A168)*'TO HOP'!$AD$62-INDEX('TO HOP'!$AR$66:$AR$127,$A168)*'TO HOP'!$AR$62-INDEX('TO HOP'!$AS$66:$AS$127,$A168)*'TO HOP'!$AS$62+(INDEX('TO HOP'!$AD$66:$AD$127,$A168)*$G168+INDEX('TO HOP'!$AR$66:$AR$127,$A168)*$D168+INDEX('TO HOP'!$AS$66:$AS$127,$A168)*($E168+$F168))*(Hcot+hxm+hgoi))</f>
        <v>7424.4958998272159</v>
      </c>
      <c r="L168" s="39">
        <f t="shared" si="8"/>
        <v>627.82745256101293</v>
      </c>
      <c r="M168" s="39">
        <f t="shared" si="9"/>
        <v>8680.1508049492404</v>
      </c>
      <c r="N168" s="39">
        <f t="shared" si="10"/>
        <v>627.82745256101293</v>
      </c>
      <c r="O168" s="39">
        <f t="shared" si="11"/>
        <v>7424.4958998272159</v>
      </c>
    </row>
    <row r="169" spans="1:15" x14ac:dyDescent="0.3">
      <c r="A169" s="38">
        <f>'TO HOP'!N172</f>
        <v>42</v>
      </c>
      <c r="B169" s="38" t="str">
        <f>'TO HOP'!B172</f>
        <v>CĐ I(b) min - 2 nhịp 6 làn</v>
      </c>
      <c r="C169" s="38" t="s">
        <v>1200</v>
      </c>
      <c r="D169" s="39">
        <f>'HE GOI'!D18</f>
        <v>-1521.6710398757043</v>
      </c>
      <c r="E169" s="39">
        <f>IF(csmode=1,0,'HE GOI'!D20)</f>
        <v>512.34715147329803</v>
      </c>
      <c r="F169" s="39">
        <f>IF(csmode=1,'HE GOI'!D24,'HE GOI'!D21)</f>
        <v>320.21696967081334</v>
      </c>
      <c r="G169" s="39">
        <f>'HE GOI'!D22</f>
        <v>1034.6545125000002</v>
      </c>
      <c r="H169" s="39">
        <f>IF(OR($A169=0,NOT(ISNUMBER($D169)),NOT(ISNUMBER($E169)),NOT(ISNUMBER($F169))),"",SUMPRODUCT(INDEX('TO HOP'!$C$66:$AT$127,$A169,0),'TO HOP'!$C$53:$AT$53)-INDEX('TO HOP'!$AD$66:$AD$127,$A169)*'TO HOP'!$AD$53-INDEX('TO HOP'!$AR$66:$AR$127,$A169)*'TO HOP'!$AR$53-INDEX('TO HOP'!$AS$66:$AS$127,$A169)*'TO HOP'!$AS$53+INDEX('TO HOP'!$AD$66:$AD$127,$A169)*$G169+INDEX('TO HOP'!$AR$66:$AR$127,$A169)*$D169+INDEX('TO HOP'!$AS$66:$AS$127,$A169)*($E169+$F169))</f>
        <v>1244.6323031342038</v>
      </c>
      <c r="I169" s="39">
        <f>IF($H169="","",SUMPRODUCT(INDEX('TO HOP'!$C$66:$AT$127,$A169,0),'TO HOP'!$C$57:$AT$57)-INDEX('TO HOP'!$AD$66:$AD$127,$A169)*'TO HOP'!$AD$57-INDEX('TO HOP'!$AR$66:$AR$127,$A169)*'TO HOP'!$AR$57-INDEX('TO HOP'!$AS$66:$AS$127,$A169)*'TO HOP'!$AS$57+(INDEX('TO HOP'!$AD$66:$AD$127,$A169)*$G169+INDEX('TO HOP'!$AR$66:$AR$127,$A169)*$D169+INDEX('TO HOP'!$AS$66:$AS$127,$A169)*($E169+$F169))*(Hbe+Hcot+hxm+hgoi))</f>
        <v>16254.514369988025</v>
      </c>
      <c r="J169" s="39">
        <f>IF($H169="","",SUMPRODUCT(INDEX('TO HOP'!$C$66:$AT$127,$A169,0),'TO HOP'!$C$58:$AT$58)-INDEX('TO HOP'!$AD$66:$AD$127,$A169)*'TO HOP'!$AD$58-INDEX('TO HOP'!$AR$66:$AR$127,$A169)*'TO HOP'!$AR$58-INDEX('TO HOP'!$AS$66:$AS$127,$A169)*'TO HOP'!$AS$58+INDEX('TO HOP'!$AD$66:$AD$127,$A169)*$G169+INDEX('TO HOP'!$AR$66:$AR$127,$A169)*$D169+INDEX('TO HOP'!$AS$66:$AS$127,$A169)*($E169+$F169))</f>
        <v>1244.6323031342038</v>
      </c>
      <c r="K169" s="39">
        <f>IF($H169="","",SUMPRODUCT(INDEX('TO HOP'!$C$66:$AT$127,$A169,0),'TO HOP'!$C$62:$AT$62)-INDEX('TO HOP'!$AD$66:$AD$127,$A169)*'TO HOP'!$AD$62-INDEX('TO HOP'!$AR$66:$AR$127,$A169)*'TO HOP'!$AR$62-INDEX('TO HOP'!$AS$66:$AS$127,$A169)*'TO HOP'!$AS$62+(INDEX('TO HOP'!$AD$66:$AD$127,$A169)*$G169+INDEX('TO HOP'!$AR$66:$AR$127,$A169)*$D169+INDEX('TO HOP'!$AS$66:$AS$127,$A169)*($E169+$F169))*(Hcot+hxm+hgoi))</f>
        <v>13765.249763719617</v>
      </c>
      <c r="L169" s="39">
        <f t="shared" si="8"/>
        <v>1244.6323031342038</v>
      </c>
      <c r="M169" s="39">
        <f t="shared" si="9"/>
        <v>16254.514369988025</v>
      </c>
      <c r="N169" s="39">
        <f t="shared" si="10"/>
        <v>1244.6323031342038</v>
      </c>
      <c r="O169" s="39">
        <f t="shared" si="11"/>
        <v>13765.249763719617</v>
      </c>
    </row>
    <row r="170" spans="1:15" x14ac:dyDescent="0.3">
      <c r="A170" s="38">
        <f>'TO HOP'!N172</f>
        <v>42</v>
      </c>
      <c r="B170" s="38" t="str">
        <f>'TO HOP'!B172</f>
        <v>CĐ I(b) min - 2 nhịp 6 làn</v>
      </c>
      <c r="C170" s="38" t="s">
        <v>1201</v>
      </c>
      <c r="D170" s="39">
        <f>'HE GOI'!D18</f>
        <v>-1521.6710398757043</v>
      </c>
      <c r="E170" s="39">
        <f>IF(csmode=1,0,'HE GOI'!D20)</f>
        <v>512.34715147329803</v>
      </c>
      <c r="F170" s="39">
        <f>IF(csmode=1,'HE GOI'!D24,'HE GOI'!D21)</f>
        <v>320.21696967081334</v>
      </c>
      <c r="G170" s="39">
        <f>'HE GOI'!D23</f>
        <v>-1034.6545125000002</v>
      </c>
      <c r="H170" s="39">
        <f>IF(OR($A170=0,NOT(ISNUMBER($D170)),NOT(ISNUMBER($E170)),NOT(ISNUMBER($F170))),"",SUMPRODUCT(INDEX('TO HOP'!$C$66:$AT$127,$A170,0),'TO HOP'!$C$53:$AT$53)-INDEX('TO HOP'!$AD$66:$AD$127,$A170)*'TO HOP'!$AD$53-INDEX('TO HOP'!$AR$66:$AR$127,$A170)*'TO HOP'!$AR$53-INDEX('TO HOP'!$AS$66:$AS$127,$A170)*'TO HOP'!$AS$53+INDEX('TO HOP'!$AD$66:$AD$127,$A170)*$G170+INDEX('TO HOP'!$AR$66:$AR$127,$A170)*$D170+INDEX('TO HOP'!$AS$66:$AS$127,$A170)*($E170+$F170))</f>
        <v>-824.67672186579659</v>
      </c>
      <c r="I170" s="39">
        <f>IF($H170="","",SUMPRODUCT(INDEX('TO HOP'!$C$66:$AT$127,$A170,0),'TO HOP'!$C$57:$AT$57)-INDEX('TO HOP'!$AD$66:$AD$127,$A170)*'TO HOP'!$AD$57-INDEX('TO HOP'!$AR$66:$AR$127,$A170)*'TO HOP'!$AR$57-INDEX('TO HOP'!$AS$66:$AS$127,$A170)*'TO HOP'!$AS$57+(INDEX('TO HOP'!$AD$66:$AD$127,$A170)*$G170+INDEX('TO HOP'!$AR$66:$AR$127,$A170)*$D170+INDEX('TO HOP'!$AS$66:$AS$127,$A170)*($E170+$F170))*(Hbe+Hcot+hxm+hgoi))</f>
        <v>-9156.6004570119821</v>
      </c>
      <c r="J170" s="39">
        <f>IF($H170="","",SUMPRODUCT(INDEX('TO HOP'!$C$66:$AT$127,$A170,0),'TO HOP'!$C$58:$AT$58)-INDEX('TO HOP'!$AD$66:$AD$127,$A170)*'TO HOP'!$AD$58-INDEX('TO HOP'!$AR$66:$AR$127,$A170)*'TO HOP'!$AR$58-INDEX('TO HOP'!$AS$66:$AS$127,$A170)*'TO HOP'!$AS$58+INDEX('TO HOP'!$AD$66:$AD$127,$A170)*$G170+INDEX('TO HOP'!$AR$66:$AR$127,$A170)*$D170+INDEX('TO HOP'!$AS$66:$AS$127,$A170)*($E170+$F170))</f>
        <v>-824.67672186579659</v>
      </c>
      <c r="K170" s="39">
        <f>IF($H170="","",SUMPRODUCT(INDEX('TO HOP'!$C$66:$AT$127,$A170,0),'TO HOP'!$C$62:$AT$62)-INDEX('TO HOP'!$AD$66:$AD$127,$A170)*'TO HOP'!$AD$62-INDEX('TO HOP'!$AR$66:$AR$127,$A170)*'TO HOP'!$AR$62-INDEX('TO HOP'!$AS$66:$AS$127,$A170)*'TO HOP'!$AS$62+(INDEX('TO HOP'!$AD$66:$AD$127,$A170)*$G170+INDEX('TO HOP'!$AR$66:$AR$127,$A170)*$D170+INDEX('TO HOP'!$AS$66:$AS$127,$A170)*($E170+$F170))*(Hcot+hxm+hgoi))</f>
        <v>-7507.2470132803865</v>
      </c>
      <c r="L170" s="39">
        <f t="shared" si="8"/>
        <v>824.67672186579659</v>
      </c>
      <c r="M170" s="39">
        <f t="shared" si="9"/>
        <v>9156.6004570119821</v>
      </c>
      <c r="N170" s="39">
        <f t="shared" si="10"/>
        <v>824.67672186579659</v>
      </c>
      <c r="O170" s="39">
        <f t="shared" si="11"/>
        <v>7507.2470132803865</v>
      </c>
    </row>
    <row r="171" spans="1:15" x14ac:dyDescent="0.3">
      <c r="A171" s="38">
        <f>'TO HOP'!N172</f>
        <v>42</v>
      </c>
      <c r="B171" s="38" t="str">
        <f>'TO HOP'!B172</f>
        <v>CĐ I(b) min - 2 nhịp 6 làn</v>
      </c>
      <c r="C171" s="38" t="s">
        <v>1202</v>
      </c>
      <c r="D171" s="39">
        <f>'HE GOI'!D19</f>
        <v>1383.337308977915</v>
      </c>
      <c r="E171" s="39">
        <f>IF(csmode=1,0,'HE GOI'!D20)</f>
        <v>512.34715147329803</v>
      </c>
      <c r="F171" s="39">
        <f>IF(csmode=1,'HE GOI'!D24,'HE GOI'!D21)</f>
        <v>320.21696967081334</v>
      </c>
      <c r="G171" s="39">
        <f>'HE GOI'!D22</f>
        <v>1034.6545125000002</v>
      </c>
      <c r="H171" s="39">
        <f>IF(OR($A171=0,NOT(ISNUMBER($D171)),NOT(ISNUMBER($E171)),NOT(ISNUMBER($F171))),"",SUMPRODUCT(INDEX('TO HOP'!$C$66:$AT$127,$A171,0),'TO HOP'!$C$53:$AT$53)-INDEX('TO HOP'!$AD$66:$AD$127,$A171)*'TO HOP'!$AD$53-INDEX('TO HOP'!$AR$66:$AR$127,$A171)*'TO HOP'!$AR$53-INDEX('TO HOP'!$AS$66:$AS$127,$A171)*'TO HOP'!$AS$53+INDEX('TO HOP'!$AD$66:$AD$127,$A171)*$G171+INDEX('TO HOP'!$AR$66:$AR$127,$A171)*$D171+INDEX('TO HOP'!$AS$66:$AS$127,$A171)*($E171+$F171))</f>
        <v>2697.1364775610136</v>
      </c>
      <c r="I171" s="39">
        <f>IF($H171="","",SUMPRODUCT(INDEX('TO HOP'!$C$66:$AT$127,$A171,0),'TO HOP'!$C$57:$AT$57)-INDEX('TO HOP'!$AD$66:$AD$127,$A171)*'TO HOP'!$AD$57-INDEX('TO HOP'!$AR$66:$AR$127,$A171)*'TO HOP'!$AR$57-INDEX('TO HOP'!$AS$66:$AS$127,$A171)*'TO HOP'!$AS$57+(INDEX('TO HOP'!$AD$66:$AD$127,$A171)*$G171+INDEX('TO HOP'!$AR$66:$AR$127,$A171)*$D171+INDEX('TO HOP'!$AS$66:$AS$127,$A171)*($E171+$F171))*(Hbe+Hcot+hxm+hgoi))</f>
        <v>34091.265631949253</v>
      </c>
      <c r="J171" s="39">
        <f>IF($H171="","",SUMPRODUCT(INDEX('TO HOP'!$C$66:$AT$127,$A171,0),'TO HOP'!$C$58:$AT$58)-INDEX('TO HOP'!$AD$66:$AD$127,$A171)*'TO HOP'!$AD$58-INDEX('TO HOP'!$AR$66:$AR$127,$A171)*'TO HOP'!$AR$58-INDEX('TO HOP'!$AS$66:$AS$127,$A171)*'TO HOP'!$AS$58+INDEX('TO HOP'!$AD$66:$AD$127,$A171)*$G171+INDEX('TO HOP'!$AR$66:$AR$127,$A171)*$D171+INDEX('TO HOP'!$AS$66:$AS$127,$A171)*($E171+$F171))</f>
        <v>2697.1364775610136</v>
      </c>
      <c r="K171" s="39">
        <f>IF($H171="","",SUMPRODUCT(INDEX('TO HOP'!$C$66:$AT$127,$A171,0),'TO HOP'!$C$62:$AT$62)-INDEX('TO HOP'!$AD$66:$AD$127,$A171)*'TO HOP'!$AD$62-INDEX('TO HOP'!$AR$66:$AR$127,$A171)*'TO HOP'!$AR$62-INDEX('TO HOP'!$AS$66:$AS$127,$A171)*'TO HOP'!$AS$62+(INDEX('TO HOP'!$AD$66:$AD$127,$A171)*$G171+INDEX('TO HOP'!$AR$66:$AR$127,$A171)*$D171+INDEX('TO HOP'!$AS$66:$AS$127,$A171)*($E171+$F171))*(Hcot+hxm+hgoi))</f>
        <v>28696.992676827227</v>
      </c>
      <c r="L171" s="39">
        <f t="shared" si="8"/>
        <v>2697.1364775610136</v>
      </c>
      <c r="M171" s="39">
        <f t="shared" si="9"/>
        <v>34091.265631949253</v>
      </c>
      <c r="N171" s="39">
        <f t="shared" si="10"/>
        <v>2697.1364775610136</v>
      </c>
      <c r="O171" s="39">
        <f t="shared" si="11"/>
        <v>28696.992676827227</v>
      </c>
    </row>
    <row r="172" spans="1:15" x14ac:dyDescent="0.3">
      <c r="A172" s="38">
        <f>'TO HOP'!N172</f>
        <v>42</v>
      </c>
      <c r="B172" s="38" t="str">
        <f>'TO HOP'!B172</f>
        <v>CĐ I(b) min - 2 nhịp 6 làn</v>
      </c>
      <c r="C172" s="38" t="s">
        <v>1203</v>
      </c>
      <c r="D172" s="39">
        <f>'HE GOI'!D19</f>
        <v>1383.337308977915</v>
      </c>
      <c r="E172" s="39">
        <f>IF(csmode=1,0,'HE GOI'!D20)</f>
        <v>512.34715147329803</v>
      </c>
      <c r="F172" s="39">
        <f>IF(csmode=1,'HE GOI'!D24,'HE GOI'!D21)</f>
        <v>320.21696967081334</v>
      </c>
      <c r="G172" s="39">
        <f>'HE GOI'!D23</f>
        <v>-1034.6545125000002</v>
      </c>
      <c r="H172" s="39">
        <f>IF(OR($A172=0,NOT(ISNUMBER($D172)),NOT(ISNUMBER($E172)),NOT(ISNUMBER($F172))),"",SUMPRODUCT(INDEX('TO HOP'!$C$66:$AT$127,$A172,0),'TO HOP'!$C$53:$AT$53)-INDEX('TO HOP'!$AD$66:$AD$127,$A172)*'TO HOP'!$AD$53-INDEX('TO HOP'!$AR$66:$AR$127,$A172)*'TO HOP'!$AR$53-INDEX('TO HOP'!$AS$66:$AS$127,$A172)*'TO HOP'!$AS$53+INDEX('TO HOP'!$AD$66:$AD$127,$A172)*$G172+INDEX('TO HOP'!$AR$66:$AR$127,$A172)*$D172+INDEX('TO HOP'!$AS$66:$AS$127,$A172)*($E172+$F172))</f>
        <v>627.82745256101293</v>
      </c>
      <c r="I172" s="39">
        <f>IF($H172="","",SUMPRODUCT(INDEX('TO HOP'!$C$66:$AT$127,$A172,0),'TO HOP'!$C$57:$AT$57)-INDEX('TO HOP'!$AD$66:$AD$127,$A172)*'TO HOP'!$AD$57-INDEX('TO HOP'!$AR$66:$AR$127,$A172)*'TO HOP'!$AR$57-INDEX('TO HOP'!$AS$66:$AS$127,$A172)*'TO HOP'!$AS$57+(INDEX('TO HOP'!$AD$66:$AD$127,$A172)*$G172+INDEX('TO HOP'!$AR$66:$AR$127,$A172)*$D172+INDEX('TO HOP'!$AS$66:$AS$127,$A172)*($E172+$F172))*(Hbe+Hcot+hxm+hgoi))</f>
        <v>8680.1508049492404</v>
      </c>
      <c r="J172" s="39">
        <f>IF($H172="","",SUMPRODUCT(INDEX('TO HOP'!$C$66:$AT$127,$A172,0),'TO HOP'!$C$58:$AT$58)-INDEX('TO HOP'!$AD$66:$AD$127,$A172)*'TO HOP'!$AD$58-INDEX('TO HOP'!$AR$66:$AR$127,$A172)*'TO HOP'!$AR$58-INDEX('TO HOP'!$AS$66:$AS$127,$A172)*'TO HOP'!$AS$58+INDEX('TO HOP'!$AD$66:$AD$127,$A172)*$G172+INDEX('TO HOP'!$AR$66:$AR$127,$A172)*$D172+INDEX('TO HOP'!$AS$66:$AS$127,$A172)*($E172+$F172))</f>
        <v>627.82745256101293</v>
      </c>
      <c r="K172" s="39">
        <f>IF($H172="","",SUMPRODUCT(INDEX('TO HOP'!$C$66:$AT$127,$A172,0),'TO HOP'!$C$62:$AT$62)-INDEX('TO HOP'!$AD$66:$AD$127,$A172)*'TO HOP'!$AD$62-INDEX('TO HOP'!$AR$66:$AR$127,$A172)*'TO HOP'!$AR$62-INDEX('TO HOP'!$AS$66:$AS$127,$A172)*'TO HOP'!$AS$62+(INDEX('TO HOP'!$AD$66:$AD$127,$A172)*$G172+INDEX('TO HOP'!$AR$66:$AR$127,$A172)*$D172+INDEX('TO HOP'!$AS$66:$AS$127,$A172)*($E172+$F172))*(Hcot+hxm+hgoi))</f>
        <v>7424.4958998272159</v>
      </c>
      <c r="L172" s="39">
        <f t="shared" si="8"/>
        <v>627.82745256101293</v>
      </c>
      <c r="M172" s="39">
        <f t="shared" si="9"/>
        <v>8680.1508049492404</v>
      </c>
      <c r="N172" s="39">
        <f t="shared" si="10"/>
        <v>627.82745256101293</v>
      </c>
      <c r="O172" s="39">
        <f t="shared" si="11"/>
        <v>7424.4958998272159</v>
      </c>
    </row>
    <row r="173" spans="1:15" x14ac:dyDescent="0.3">
      <c r="A173" s="38">
        <f>'TO HOP'!N173</f>
        <v>43</v>
      </c>
      <c r="B173" s="38" t="str">
        <f>'TO HOP'!B173</f>
        <v>CĐ I(b) min - 1 nhịp 1 làn</v>
      </c>
      <c r="C173" s="38" t="s">
        <v>1200</v>
      </c>
      <c r="D173" s="39">
        <f>'HE GOI'!D18</f>
        <v>-1521.6710398757043</v>
      </c>
      <c r="E173" s="39">
        <f>IF(csmode=1,0,'HE GOI'!D20)</f>
        <v>512.34715147329803</v>
      </c>
      <c r="F173" s="39">
        <f>IF(csmode=1,'HE GOI'!D24,'HE GOI'!D21)</f>
        <v>320.21696967081334</v>
      </c>
      <c r="G173" s="39">
        <f>'HE GOI'!D22</f>
        <v>1034.6545125000002</v>
      </c>
      <c r="H173" s="39">
        <f>IF(OR($A173=0,NOT(ISNUMBER($D173)),NOT(ISNUMBER($E173)),NOT(ISNUMBER($F173))),"",SUMPRODUCT(INDEX('TO HOP'!$C$66:$AT$127,$A173,0),'TO HOP'!$C$53:$AT$53)-INDEX('TO HOP'!$AD$66:$AD$127,$A173)*'TO HOP'!$AD$53-INDEX('TO HOP'!$AR$66:$AR$127,$A173)*'TO HOP'!$AR$53-INDEX('TO HOP'!$AS$66:$AS$127,$A173)*'TO HOP'!$AS$53+INDEX('TO HOP'!$AD$66:$AD$127,$A173)*$G173+INDEX('TO HOP'!$AR$66:$AR$127,$A173)*$D173+INDEX('TO HOP'!$AS$66:$AS$127,$A173)*($E173+$F173))</f>
        <v>1244.6323031342038</v>
      </c>
      <c r="I173" s="39">
        <f>IF($H173="","",SUMPRODUCT(INDEX('TO HOP'!$C$66:$AT$127,$A173,0),'TO HOP'!$C$57:$AT$57)-INDEX('TO HOP'!$AD$66:$AD$127,$A173)*'TO HOP'!$AD$57-INDEX('TO HOP'!$AR$66:$AR$127,$A173)*'TO HOP'!$AR$57-INDEX('TO HOP'!$AS$66:$AS$127,$A173)*'TO HOP'!$AS$57+(INDEX('TO HOP'!$AD$66:$AD$127,$A173)*$G173+INDEX('TO HOP'!$AR$66:$AR$127,$A173)*$D173+INDEX('TO HOP'!$AS$66:$AS$127,$A173)*($E173+$F173))*(Hbe+Hcot+hxm+hgoi))</f>
        <v>17339.064535988025</v>
      </c>
      <c r="J173" s="39">
        <f>IF($H173="","",SUMPRODUCT(INDEX('TO HOP'!$C$66:$AT$127,$A173,0),'TO HOP'!$C$58:$AT$58)-INDEX('TO HOP'!$AD$66:$AD$127,$A173)*'TO HOP'!$AD$58-INDEX('TO HOP'!$AR$66:$AR$127,$A173)*'TO HOP'!$AR$58-INDEX('TO HOP'!$AS$66:$AS$127,$A173)*'TO HOP'!$AS$58+INDEX('TO HOP'!$AD$66:$AD$127,$A173)*$G173+INDEX('TO HOP'!$AR$66:$AR$127,$A173)*$D173+INDEX('TO HOP'!$AS$66:$AS$127,$A173)*($E173+$F173))</f>
        <v>1244.6323031342038</v>
      </c>
      <c r="K173" s="39">
        <f>IF($H173="","",SUMPRODUCT(INDEX('TO HOP'!$C$66:$AT$127,$A173,0),'TO HOP'!$C$62:$AT$62)-INDEX('TO HOP'!$AD$66:$AD$127,$A173)*'TO HOP'!$AD$62-INDEX('TO HOP'!$AR$66:$AR$127,$A173)*'TO HOP'!$AR$62-INDEX('TO HOP'!$AS$66:$AS$127,$A173)*'TO HOP'!$AS$62+(INDEX('TO HOP'!$AD$66:$AD$127,$A173)*$G173+INDEX('TO HOP'!$AR$66:$AR$127,$A173)*$D173+INDEX('TO HOP'!$AS$66:$AS$127,$A173)*($E173+$F173))*(Hcot+hxm+hgoi))</f>
        <v>14849.799929719615</v>
      </c>
      <c r="L173" s="39">
        <f t="shared" si="8"/>
        <v>1244.6323031342038</v>
      </c>
      <c r="M173" s="39">
        <f t="shared" si="9"/>
        <v>17339.064535988025</v>
      </c>
      <c r="N173" s="39">
        <f t="shared" si="10"/>
        <v>1244.6323031342038</v>
      </c>
      <c r="O173" s="39">
        <f t="shared" si="11"/>
        <v>14849.799929719615</v>
      </c>
    </row>
    <row r="174" spans="1:15" x14ac:dyDescent="0.3">
      <c r="A174" s="38">
        <f>'TO HOP'!N173</f>
        <v>43</v>
      </c>
      <c r="B174" s="38" t="str">
        <f>'TO HOP'!B173</f>
        <v>CĐ I(b) min - 1 nhịp 1 làn</v>
      </c>
      <c r="C174" s="38" t="s">
        <v>1201</v>
      </c>
      <c r="D174" s="39">
        <f>'HE GOI'!D18</f>
        <v>-1521.6710398757043</v>
      </c>
      <c r="E174" s="39">
        <f>IF(csmode=1,0,'HE GOI'!D20)</f>
        <v>512.34715147329803</v>
      </c>
      <c r="F174" s="39">
        <f>IF(csmode=1,'HE GOI'!D24,'HE GOI'!D21)</f>
        <v>320.21696967081334</v>
      </c>
      <c r="G174" s="39">
        <f>'HE GOI'!D23</f>
        <v>-1034.6545125000002</v>
      </c>
      <c r="H174" s="39">
        <f>IF(OR($A174=0,NOT(ISNUMBER($D174)),NOT(ISNUMBER($E174)),NOT(ISNUMBER($F174))),"",SUMPRODUCT(INDEX('TO HOP'!$C$66:$AT$127,$A174,0),'TO HOP'!$C$53:$AT$53)-INDEX('TO HOP'!$AD$66:$AD$127,$A174)*'TO HOP'!$AD$53-INDEX('TO HOP'!$AR$66:$AR$127,$A174)*'TO HOP'!$AR$53-INDEX('TO HOP'!$AS$66:$AS$127,$A174)*'TO HOP'!$AS$53+INDEX('TO HOP'!$AD$66:$AD$127,$A174)*$G174+INDEX('TO HOP'!$AR$66:$AR$127,$A174)*$D174+INDEX('TO HOP'!$AS$66:$AS$127,$A174)*($E174+$F174))</f>
        <v>-824.67672186579659</v>
      </c>
      <c r="I174" s="39">
        <f>IF($H174="","",SUMPRODUCT(INDEX('TO HOP'!$C$66:$AT$127,$A174,0),'TO HOP'!$C$57:$AT$57)-INDEX('TO HOP'!$AD$66:$AD$127,$A174)*'TO HOP'!$AD$57-INDEX('TO HOP'!$AR$66:$AR$127,$A174)*'TO HOP'!$AR$57-INDEX('TO HOP'!$AS$66:$AS$127,$A174)*'TO HOP'!$AS$57+(INDEX('TO HOP'!$AD$66:$AD$127,$A174)*$G174+INDEX('TO HOP'!$AR$66:$AR$127,$A174)*$D174+INDEX('TO HOP'!$AS$66:$AS$127,$A174)*($E174+$F174))*(Hbe+Hcot+hxm+hgoi))</f>
        <v>-8072.0502910119812</v>
      </c>
      <c r="J174" s="39">
        <f>IF($H174="","",SUMPRODUCT(INDEX('TO HOP'!$C$66:$AT$127,$A174,0),'TO HOP'!$C$58:$AT$58)-INDEX('TO HOP'!$AD$66:$AD$127,$A174)*'TO HOP'!$AD$58-INDEX('TO HOP'!$AR$66:$AR$127,$A174)*'TO HOP'!$AR$58-INDEX('TO HOP'!$AS$66:$AS$127,$A174)*'TO HOP'!$AS$58+INDEX('TO HOP'!$AD$66:$AD$127,$A174)*$G174+INDEX('TO HOP'!$AR$66:$AR$127,$A174)*$D174+INDEX('TO HOP'!$AS$66:$AS$127,$A174)*($E174+$F174))</f>
        <v>-824.67672186579659</v>
      </c>
      <c r="K174" s="39">
        <f>IF($H174="","",SUMPRODUCT(INDEX('TO HOP'!$C$66:$AT$127,$A174,0),'TO HOP'!$C$62:$AT$62)-INDEX('TO HOP'!$AD$66:$AD$127,$A174)*'TO HOP'!$AD$62-INDEX('TO HOP'!$AR$66:$AR$127,$A174)*'TO HOP'!$AR$62-INDEX('TO HOP'!$AS$66:$AS$127,$A174)*'TO HOP'!$AS$62+(INDEX('TO HOP'!$AD$66:$AD$127,$A174)*$G174+INDEX('TO HOP'!$AR$66:$AR$127,$A174)*$D174+INDEX('TO HOP'!$AS$66:$AS$127,$A174)*($E174+$F174))*(Hcot+hxm+hgoi))</f>
        <v>-6422.6968472803892</v>
      </c>
      <c r="L174" s="39">
        <f t="shared" si="8"/>
        <v>824.67672186579659</v>
      </c>
      <c r="M174" s="39">
        <f t="shared" si="9"/>
        <v>8072.0502910119812</v>
      </c>
      <c r="N174" s="39">
        <f t="shared" si="10"/>
        <v>824.67672186579659</v>
      </c>
      <c r="O174" s="39">
        <f t="shared" si="11"/>
        <v>6422.6968472803892</v>
      </c>
    </row>
    <row r="175" spans="1:15" x14ac:dyDescent="0.3">
      <c r="A175" s="38">
        <f>'TO HOP'!N173</f>
        <v>43</v>
      </c>
      <c r="B175" s="38" t="str">
        <f>'TO HOP'!B173</f>
        <v>CĐ I(b) min - 1 nhịp 1 làn</v>
      </c>
      <c r="C175" s="38" t="s">
        <v>1202</v>
      </c>
      <c r="D175" s="39">
        <f>'HE GOI'!D19</f>
        <v>1383.337308977915</v>
      </c>
      <c r="E175" s="39">
        <f>IF(csmode=1,0,'HE GOI'!D20)</f>
        <v>512.34715147329803</v>
      </c>
      <c r="F175" s="39">
        <f>IF(csmode=1,'HE GOI'!D24,'HE GOI'!D21)</f>
        <v>320.21696967081334</v>
      </c>
      <c r="G175" s="39">
        <f>'HE GOI'!D22</f>
        <v>1034.6545125000002</v>
      </c>
      <c r="H175" s="39">
        <f>IF(OR($A175=0,NOT(ISNUMBER($D175)),NOT(ISNUMBER($E175)),NOT(ISNUMBER($F175))),"",SUMPRODUCT(INDEX('TO HOP'!$C$66:$AT$127,$A175,0),'TO HOP'!$C$53:$AT$53)-INDEX('TO HOP'!$AD$66:$AD$127,$A175)*'TO HOP'!$AD$53-INDEX('TO HOP'!$AR$66:$AR$127,$A175)*'TO HOP'!$AR$53-INDEX('TO HOP'!$AS$66:$AS$127,$A175)*'TO HOP'!$AS$53+INDEX('TO HOP'!$AD$66:$AD$127,$A175)*$G175+INDEX('TO HOP'!$AR$66:$AR$127,$A175)*$D175+INDEX('TO HOP'!$AS$66:$AS$127,$A175)*($E175+$F175))</f>
        <v>2697.1364775610136</v>
      </c>
      <c r="I175" s="39">
        <f>IF($H175="","",SUMPRODUCT(INDEX('TO HOP'!$C$66:$AT$127,$A175,0),'TO HOP'!$C$57:$AT$57)-INDEX('TO HOP'!$AD$66:$AD$127,$A175)*'TO HOP'!$AD$57-INDEX('TO HOP'!$AR$66:$AR$127,$A175)*'TO HOP'!$AR$57-INDEX('TO HOP'!$AS$66:$AS$127,$A175)*'TO HOP'!$AS$57+(INDEX('TO HOP'!$AD$66:$AD$127,$A175)*$G175+INDEX('TO HOP'!$AR$66:$AR$127,$A175)*$D175+INDEX('TO HOP'!$AS$66:$AS$127,$A175)*($E175+$F175))*(Hbe+Hcot+hxm+hgoi))</f>
        <v>35175.815797949253</v>
      </c>
      <c r="J175" s="39">
        <f>IF($H175="","",SUMPRODUCT(INDEX('TO HOP'!$C$66:$AT$127,$A175,0),'TO HOP'!$C$58:$AT$58)-INDEX('TO HOP'!$AD$66:$AD$127,$A175)*'TO HOP'!$AD$58-INDEX('TO HOP'!$AR$66:$AR$127,$A175)*'TO HOP'!$AR$58-INDEX('TO HOP'!$AS$66:$AS$127,$A175)*'TO HOP'!$AS$58+INDEX('TO HOP'!$AD$66:$AD$127,$A175)*$G175+INDEX('TO HOP'!$AR$66:$AR$127,$A175)*$D175+INDEX('TO HOP'!$AS$66:$AS$127,$A175)*($E175+$F175))</f>
        <v>2697.1364775610136</v>
      </c>
      <c r="K175" s="39">
        <f>IF($H175="","",SUMPRODUCT(INDEX('TO HOP'!$C$66:$AT$127,$A175,0),'TO HOP'!$C$62:$AT$62)-INDEX('TO HOP'!$AD$66:$AD$127,$A175)*'TO HOP'!$AD$62-INDEX('TO HOP'!$AR$66:$AR$127,$A175)*'TO HOP'!$AR$62-INDEX('TO HOP'!$AS$66:$AS$127,$A175)*'TO HOP'!$AS$62+(INDEX('TO HOP'!$AD$66:$AD$127,$A175)*$G175+INDEX('TO HOP'!$AR$66:$AR$127,$A175)*$D175+INDEX('TO HOP'!$AS$66:$AS$127,$A175)*($E175+$F175))*(Hcot+hxm+hgoi))</f>
        <v>29781.542842827224</v>
      </c>
      <c r="L175" s="39">
        <f t="shared" si="8"/>
        <v>2697.1364775610136</v>
      </c>
      <c r="M175" s="39">
        <f t="shared" si="9"/>
        <v>35175.815797949253</v>
      </c>
      <c r="N175" s="39">
        <f t="shared" si="10"/>
        <v>2697.1364775610136</v>
      </c>
      <c r="O175" s="39">
        <f t="shared" si="11"/>
        <v>29781.542842827224</v>
      </c>
    </row>
    <row r="176" spans="1:15" x14ac:dyDescent="0.3">
      <c r="A176" s="38">
        <f>'TO HOP'!N173</f>
        <v>43</v>
      </c>
      <c r="B176" s="38" t="str">
        <f>'TO HOP'!B173</f>
        <v>CĐ I(b) min - 1 nhịp 1 làn</v>
      </c>
      <c r="C176" s="38" t="s">
        <v>1203</v>
      </c>
      <c r="D176" s="39">
        <f>'HE GOI'!D19</f>
        <v>1383.337308977915</v>
      </c>
      <c r="E176" s="39">
        <f>IF(csmode=1,0,'HE GOI'!D20)</f>
        <v>512.34715147329803</v>
      </c>
      <c r="F176" s="39">
        <f>IF(csmode=1,'HE GOI'!D24,'HE GOI'!D21)</f>
        <v>320.21696967081334</v>
      </c>
      <c r="G176" s="39">
        <f>'HE GOI'!D23</f>
        <v>-1034.6545125000002</v>
      </c>
      <c r="H176" s="39">
        <f>IF(OR($A176=0,NOT(ISNUMBER($D176)),NOT(ISNUMBER($E176)),NOT(ISNUMBER($F176))),"",SUMPRODUCT(INDEX('TO HOP'!$C$66:$AT$127,$A176,0),'TO HOP'!$C$53:$AT$53)-INDEX('TO HOP'!$AD$66:$AD$127,$A176)*'TO HOP'!$AD$53-INDEX('TO HOP'!$AR$66:$AR$127,$A176)*'TO HOP'!$AR$53-INDEX('TO HOP'!$AS$66:$AS$127,$A176)*'TO HOP'!$AS$53+INDEX('TO HOP'!$AD$66:$AD$127,$A176)*$G176+INDEX('TO HOP'!$AR$66:$AR$127,$A176)*$D176+INDEX('TO HOP'!$AS$66:$AS$127,$A176)*($E176+$F176))</f>
        <v>627.82745256101293</v>
      </c>
      <c r="I176" s="39">
        <f>IF($H176="","",SUMPRODUCT(INDEX('TO HOP'!$C$66:$AT$127,$A176,0),'TO HOP'!$C$57:$AT$57)-INDEX('TO HOP'!$AD$66:$AD$127,$A176)*'TO HOP'!$AD$57-INDEX('TO HOP'!$AR$66:$AR$127,$A176)*'TO HOP'!$AR$57-INDEX('TO HOP'!$AS$66:$AS$127,$A176)*'TO HOP'!$AS$57+(INDEX('TO HOP'!$AD$66:$AD$127,$A176)*$G176+INDEX('TO HOP'!$AR$66:$AR$127,$A176)*$D176+INDEX('TO HOP'!$AS$66:$AS$127,$A176)*($E176+$F176))*(Hbe+Hcot+hxm+hgoi))</f>
        <v>9764.7009709492413</v>
      </c>
      <c r="J176" s="39">
        <f>IF($H176="","",SUMPRODUCT(INDEX('TO HOP'!$C$66:$AT$127,$A176,0),'TO HOP'!$C$58:$AT$58)-INDEX('TO HOP'!$AD$66:$AD$127,$A176)*'TO HOP'!$AD$58-INDEX('TO HOP'!$AR$66:$AR$127,$A176)*'TO HOP'!$AR$58-INDEX('TO HOP'!$AS$66:$AS$127,$A176)*'TO HOP'!$AS$58+INDEX('TO HOP'!$AD$66:$AD$127,$A176)*$G176+INDEX('TO HOP'!$AR$66:$AR$127,$A176)*$D176+INDEX('TO HOP'!$AS$66:$AS$127,$A176)*($E176+$F176))</f>
        <v>627.82745256101293</v>
      </c>
      <c r="K176" s="39">
        <f>IF($H176="","",SUMPRODUCT(INDEX('TO HOP'!$C$66:$AT$127,$A176,0),'TO HOP'!$C$62:$AT$62)-INDEX('TO HOP'!$AD$66:$AD$127,$A176)*'TO HOP'!$AD$62-INDEX('TO HOP'!$AR$66:$AR$127,$A176)*'TO HOP'!$AR$62-INDEX('TO HOP'!$AS$66:$AS$127,$A176)*'TO HOP'!$AS$62+(INDEX('TO HOP'!$AD$66:$AD$127,$A176)*$G176+INDEX('TO HOP'!$AR$66:$AR$127,$A176)*$D176+INDEX('TO HOP'!$AS$66:$AS$127,$A176)*($E176+$F176))*(Hcot+hxm+hgoi))</f>
        <v>8509.0460658272132</v>
      </c>
      <c r="L176" s="39">
        <f t="shared" si="8"/>
        <v>627.82745256101293</v>
      </c>
      <c r="M176" s="39">
        <f t="shared" si="9"/>
        <v>9764.7009709492413</v>
      </c>
      <c r="N176" s="39">
        <f t="shared" si="10"/>
        <v>627.82745256101293</v>
      </c>
      <c r="O176" s="39">
        <f t="shared" si="11"/>
        <v>8509.0460658272132</v>
      </c>
    </row>
    <row r="177" spans="1:15" x14ac:dyDescent="0.3">
      <c r="A177" s="38">
        <f>'TO HOP'!N174</f>
        <v>44</v>
      </c>
      <c r="B177" s="38" t="str">
        <f>'TO HOP'!B174</f>
        <v>CĐ I(b) min - 1 nhịp 2 làn</v>
      </c>
      <c r="C177" s="38" t="s">
        <v>1200</v>
      </c>
      <c r="D177" s="39">
        <f>'HE GOI'!D18</f>
        <v>-1521.6710398757043</v>
      </c>
      <c r="E177" s="39">
        <f>IF(csmode=1,0,'HE GOI'!D20)</f>
        <v>512.34715147329803</v>
      </c>
      <c r="F177" s="39">
        <f>IF(csmode=1,'HE GOI'!D24,'HE GOI'!D21)</f>
        <v>320.21696967081334</v>
      </c>
      <c r="G177" s="39">
        <f>'HE GOI'!D22</f>
        <v>1034.6545125000002</v>
      </c>
      <c r="H177" s="39">
        <f>IF(OR($A177=0,NOT(ISNUMBER($D177)),NOT(ISNUMBER($E177)),NOT(ISNUMBER($F177))),"",SUMPRODUCT(INDEX('TO HOP'!$C$66:$AT$127,$A177,0),'TO HOP'!$C$53:$AT$53)-INDEX('TO HOP'!$AD$66:$AD$127,$A177)*'TO HOP'!$AD$53-INDEX('TO HOP'!$AR$66:$AR$127,$A177)*'TO HOP'!$AR$53-INDEX('TO HOP'!$AS$66:$AS$127,$A177)*'TO HOP'!$AS$53+INDEX('TO HOP'!$AD$66:$AD$127,$A177)*$G177+INDEX('TO HOP'!$AR$66:$AR$127,$A177)*$D177+INDEX('TO HOP'!$AS$66:$AS$127,$A177)*($E177+$F177))</f>
        <v>1244.6323031342038</v>
      </c>
      <c r="I177" s="39">
        <f>IF($H177="","",SUMPRODUCT(INDEX('TO HOP'!$C$66:$AT$127,$A177,0),'TO HOP'!$C$57:$AT$57)-INDEX('TO HOP'!$AD$66:$AD$127,$A177)*'TO HOP'!$AD$57-INDEX('TO HOP'!$AR$66:$AR$127,$A177)*'TO HOP'!$AR$57-INDEX('TO HOP'!$AS$66:$AS$127,$A177)*'TO HOP'!$AS$57+(INDEX('TO HOP'!$AD$66:$AD$127,$A177)*$G177+INDEX('TO HOP'!$AR$66:$AR$127,$A177)*$D177+INDEX('TO HOP'!$AS$66:$AS$127,$A177)*($E177+$F177))*(Hbe+Hcot+hxm+hgoi))</f>
        <v>18062.097979988026</v>
      </c>
      <c r="J177" s="39">
        <f>IF($H177="","",SUMPRODUCT(INDEX('TO HOP'!$C$66:$AT$127,$A177,0),'TO HOP'!$C$58:$AT$58)-INDEX('TO HOP'!$AD$66:$AD$127,$A177)*'TO HOP'!$AD$58-INDEX('TO HOP'!$AR$66:$AR$127,$A177)*'TO HOP'!$AR$58-INDEX('TO HOP'!$AS$66:$AS$127,$A177)*'TO HOP'!$AS$58+INDEX('TO HOP'!$AD$66:$AD$127,$A177)*$G177+INDEX('TO HOP'!$AR$66:$AR$127,$A177)*$D177+INDEX('TO HOP'!$AS$66:$AS$127,$A177)*($E177+$F177))</f>
        <v>1244.6323031342038</v>
      </c>
      <c r="K177" s="39">
        <f>IF($H177="","",SUMPRODUCT(INDEX('TO HOP'!$C$66:$AT$127,$A177,0),'TO HOP'!$C$62:$AT$62)-INDEX('TO HOP'!$AD$66:$AD$127,$A177)*'TO HOP'!$AD$62-INDEX('TO HOP'!$AR$66:$AR$127,$A177)*'TO HOP'!$AR$62-INDEX('TO HOP'!$AS$66:$AS$127,$A177)*'TO HOP'!$AS$62+(INDEX('TO HOP'!$AD$66:$AD$127,$A177)*$G177+INDEX('TO HOP'!$AR$66:$AR$127,$A177)*$D177+INDEX('TO HOP'!$AS$66:$AS$127,$A177)*($E177+$F177))*(Hcot+hxm+hgoi))</f>
        <v>15572.833373719615</v>
      </c>
      <c r="L177" s="39">
        <f t="shared" si="8"/>
        <v>1244.6323031342038</v>
      </c>
      <c r="M177" s="39">
        <f t="shared" si="9"/>
        <v>18062.097979988026</v>
      </c>
      <c r="N177" s="39">
        <f t="shared" si="10"/>
        <v>1244.6323031342038</v>
      </c>
      <c r="O177" s="39">
        <f t="shared" si="11"/>
        <v>15572.833373719615</v>
      </c>
    </row>
    <row r="178" spans="1:15" x14ac:dyDescent="0.3">
      <c r="A178" s="38">
        <f>'TO HOP'!N174</f>
        <v>44</v>
      </c>
      <c r="B178" s="38" t="str">
        <f>'TO HOP'!B174</f>
        <v>CĐ I(b) min - 1 nhịp 2 làn</v>
      </c>
      <c r="C178" s="38" t="s">
        <v>1201</v>
      </c>
      <c r="D178" s="39">
        <f>'HE GOI'!D18</f>
        <v>-1521.6710398757043</v>
      </c>
      <c r="E178" s="39">
        <f>IF(csmode=1,0,'HE GOI'!D20)</f>
        <v>512.34715147329803</v>
      </c>
      <c r="F178" s="39">
        <f>IF(csmode=1,'HE GOI'!D24,'HE GOI'!D21)</f>
        <v>320.21696967081334</v>
      </c>
      <c r="G178" s="39">
        <f>'HE GOI'!D23</f>
        <v>-1034.6545125000002</v>
      </c>
      <c r="H178" s="39">
        <f>IF(OR($A178=0,NOT(ISNUMBER($D178)),NOT(ISNUMBER($E178)),NOT(ISNUMBER($F178))),"",SUMPRODUCT(INDEX('TO HOP'!$C$66:$AT$127,$A178,0),'TO HOP'!$C$53:$AT$53)-INDEX('TO HOP'!$AD$66:$AD$127,$A178)*'TO HOP'!$AD$53-INDEX('TO HOP'!$AR$66:$AR$127,$A178)*'TO HOP'!$AR$53-INDEX('TO HOP'!$AS$66:$AS$127,$A178)*'TO HOP'!$AS$53+INDEX('TO HOP'!$AD$66:$AD$127,$A178)*$G178+INDEX('TO HOP'!$AR$66:$AR$127,$A178)*$D178+INDEX('TO HOP'!$AS$66:$AS$127,$A178)*($E178+$F178))</f>
        <v>-824.67672186579659</v>
      </c>
      <c r="I178" s="39">
        <f>IF($H178="","",SUMPRODUCT(INDEX('TO HOP'!$C$66:$AT$127,$A178,0),'TO HOP'!$C$57:$AT$57)-INDEX('TO HOP'!$AD$66:$AD$127,$A178)*'TO HOP'!$AD$57-INDEX('TO HOP'!$AR$66:$AR$127,$A178)*'TO HOP'!$AR$57-INDEX('TO HOP'!$AS$66:$AS$127,$A178)*'TO HOP'!$AS$57+(INDEX('TO HOP'!$AD$66:$AD$127,$A178)*$G178+INDEX('TO HOP'!$AR$66:$AR$127,$A178)*$D178+INDEX('TO HOP'!$AS$66:$AS$127,$A178)*($E178+$F178))*(Hbe+Hcot+hxm+hgoi))</f>
        <v>-7349.0168470119806</v>
      </c>
      <c r="J178" s="39">
        <f>IF($H178="","",SUMPRODUCT(INDEX('TO HOP'!$C$66:$AT$127,$A178,0),'TO HOP'!$C$58:$AT$58)-INDEX('TO HOP'!$AD$66:$AD$127,$A178)*'TO HOP'!$AD$58-INDEX('TO HOP'!$AR$66:$AR$127,$A178)*'TO HOP'!$AR$58-INDEX('TO HOP'!$AS$66:$AS$127,$A178)*'TO HOP'!$AS$58+INDEX('TO HOP'!$AD$66:$AD$127,$A178)*$G178+INDEX('TO HOP'!$AR$66:$AR$127,$A178)*$D178+INDEX('TO HOP'!$AS$66:$AS$127,$A178)*($E178+$F178))</f>
        <v>-824.67672186579659</v>
      </c>
      <c r="K178" s="39">
        <f>IF($H178="","",SUMPRODUCT(INDEX('TO HOP'!$C$66:$AT$127,$A178,0),'TO HOP'!$C$62:$AT$62)-INDEX('TO HOP'!$AD$66:$AD$127,$A178)*'TO HOP'!$AD$62-INDEX('TO HOP'!$AR$66:$AR$127,$A178)*'TO HOP'!$AR$62-INDEX('TO HOP'!$AS$66:$AS$127,$A178)*'TO HOP'!$AS$62+(INDEX('TO HOP'!$AD$66:$AD$127,$A178)*$G178+INDEX('TO HOP'!$AR$66:$AR$127,$A178)*$D178+INDEX('TO HOP'!$AS$66:$AS$127,$A178)*($E178+$F178))*(Hcot+hxm+hgoi))</f>
        <v>-5699.6634032803886</v>
      </c>
      <c r="L178" s="39">
        <f t="shared" si="8"/>
        <v>824.67672186579659</v>
      </c>
      <c r="M178" s="39">
        <f t="shared" si="9"/>
        <v>7349.0168470119806</v>
      </c>
      <c r="N178" s="39">
        <f t="shared" si="10"/>
        <v>824.67672186579659</v>
      </c>
      <c r="O178" s="39">
        <f t="shared" si="11"/>
        <v>5699.6634032803886</v>
      </c>
    </row>
    <row r="179" spans="1:15" x14ac:dyDescent="0.3">
      <c r="A179" s="38">
        <f>'TO HOP'!N174</f>
        <v>44</v>
      </c>
      <c r="B179" s="38" t="str">
        <f>'TO HOP'!B174</f>
        <v>CĐ I(b) min - 1 nhịp 2 làn</v>
      </c>
      <c r="C179" s="38" t="s">
        <v>1202</v>
      </c>
      <c r="D179" s="39">
        <f>'HE GOI'!D19</f>
        <v>1383.337308977915</v>
      </c>
      <c r="E179" s="39">
        <f>IF(csmode=1,0,'HE GOI'!D20)</f>
        <v>512.34715147329803</v>
      </c>
      <c r="F179" s="39">
        <f>IF(csmode=1,'HE GOI'!D24,'HE GOI'!D21)</f>
        <v>320.21696967081334</v>
      </c>
      <c r="G179" s="39">
        <f>'HE GOI'!D22</f>
        <v>1034.6545125000002</v>
      </c>
      <c r="H179" s="39">
        <f>IF(OR($A179=0,NOT(ISNUMBER($D179)),NOT(ISNUMBER($E179)),NOT(ISNUMBER($F179))),"",SUMPRODUCT(INDEX('TO HOP'!$C$66:$AT$127,$A179,0),'TO HOP'!$C$53:$AT$53)-INDEX('TO HOP'!$AD$66:$AD$127,$A179)*'TO HOP'!$AD$53-INDEX('TO HOP'!$AR$66:$AR$127,$A179)*'TO HOP'!$AR$53-INDEX('TO HOP'!$AS$66:$AS$127,$A179)*'TO HOP'!$AS$53+INDEX('TO HOP'!$AD$66:$AD$127,$A179)*$G179+INDEX('TO HOP'!$AR$66:$AR$127,$A179)*$D179+INDEX('TO HOP'!$AS$66:$AS$127,$A179)*($E179+$F179))</f>
        <v>2697.1364775610136</v>
      </c>
      <c r="I179" s="39">
        <f>IF($H179="","",SUMPRODUCT(INDEX('TO HOP'!$C$66:$AT$127,$A179,0),'TO HOP'!$C$57:$AT$57)-INDEX('TO HOP'!$AD$66:$AD$127,$A179)*'TO HOP'!$AD$57-INDEX('TO HOP'!$AR$66:$AR$127,$A179)*'TO HOP'!$AR$57-INDEX('TO HOP'!$AS$66:$AS$127,$A179)*'TO HOP'!$AS$57+(INDEX('TO HOP'!$AD$66:$AD$127,$A179)*$G179+INDEX('TO HOP'!$AR$66:$AR$127,$A179)*$D179+INDEX('TO HOP'!$AS$66:$AS$127,$A179)*($E179+$F179))*(Hbe+Hcot+hxm+hgoi))</f>
        <v>35898.849241949254</v>
      </c>
      <c r="J179" s="39">
        <f>IF($H179="","",SUMPRODUCT(INDEX('TO HOP'!$C$66:$AT$127,$A179,0),'TO HOP'!$C$58:$AT$58)-INDEX('TO HOP'!$AD$66:$AD$127,$A179)*'TO HOP'!$AD$58-INDEX('TO HOP'!$AR$66:$AR$127,$A179)*'TO HOP'!$AR$58-INDEX('TO HOP'!$AS$66:$AS$127,$A179)*'TO HOP'!$AS$58+INDEX('TO HOP'!$AD$66:$AD$127,$A179)*$G179+INDEX('TO HOP'!$AR$66:$AR$127,$A179)*$D179+INDEX('TO HOP'!$AS$66:$AS$127,$A179)*($E179+$F179))</f>
        <v>2697.1364775610136</v>
      </c>
      <c r="K179" s="39">
        <f>IF($H179="","",SUMPRODUCT(INDEX('TO HOP'!$C$66:$AT$127,$A179,0),'TO HOP'!$C$62:$AT$62)-INDEX('TO HOP'!$AD$66:$AD$127,$A179)*'TO HOP'!$AD$62-INDEX('TO HOP'!$AR$66:$AR$127,$A179)*'TO HOP'!$AR$62-INDEX('TO HOP'!$AS$66:$AS$127,$A179)*'TO HOP'!$AS$62+(INDEX('TO HOP'!$AD$66:$AD$127,$A179)*$G179+INDEX('TO HOP'!$AR$66:$AR$127,$A179)*$D179+INDEX('TO HOP'!$AS$66:$AS$127,$A179)*($E179+$F179))*(Hcot+hxm+hgoi))</f>
        <v>30504.576286827225</v>
      </c>
      <c r="L179" s="39">
        <f t="shared" si="8"/>
        <v>2697.1364775610136</v>
      </c>
      <c r="M179" s="39">
        <f t="shared" si="9"/>
        <v>35898.849241949254</v>
      </c>
      <c r="N179" s="39">
        <f t="shared" si="10"/>
        <v>2697.1364775610136</v>
      </c>
      <c r="O179" s="39">
        <f t="shared" si="11"/>
        <v>30504.576286827225</v>
      </c>
    </row>
    <row r="180" spans="1:15" x14ac:dyDescent="0.3">
      <c r="A180" s="38">
        <f>'TO HOP'!N174</f>
        <v>44</v>
      </c>
      <c r="B180" s="38" t="str">
        <f>'TO HOP'!B174</f>
        <v>CĐ I(b) min - 1 nhịp 2 làn</v>
      </c>
      <c r="C180" s="38" t="s">
        <v>1203</v>
      </c>
      <c r="D180" s="39">
        <f>'HE GOI'!D19</f>
        <v>1383.337308977915</v>
      </c>
      <c r="E180" s="39">
        <f>IF(csmode=1,0,'HE GOI'!D20)</f>
        <v>512.34715147329803</v>
      </c>
      <c r="F180" s="39">
        <f>IF(csmode=1,'HE GOI'!D24,'HE GOI'!D21)</f>
        <v>320.21696967081334</v>
      </c>
      <c r="G180" s="39">
        <f>'HE GOI'!D23</f>
        <v>-1034.6545125000002</v>
      </c>
      <c r="H180" s="39">
        <f>IF(OR($A180=0,NOT(ISNUMBER($D180)),NOT(ISNUMBER($E180)),NOT(ISNUMBER($F180))),"",SUMPRODUCT(INDEX('TO HOP'!$C$66:$AT$127,$A180,0),'TO HOP'!$C$53:$AT$53)-INDEX('TO HOP'!$AD$66:$AD$127,$A180)*'TO HOP'!$AD$53-INDEX('TO HOP'!$AR$66:$AR$127,$A180)*'TO HOP'!$AR$53-INDEX('TO HOP'!$AS$66:$AS$127,$A180)*'TO HOP'!$AS$53+INDEX('TO HOP'!$AD$66:$AD$127,$A180)*$G180+INDEX('TO HOP'!$AR$66:$AR$127,$A180)*$D180+INDEX('TO HOP'!$AS$66:$AS$127,$A180)*($E180+$F180))</f>
        <v>627.82745256101293</v>
      </c>
      <c r="I180" s="39">
        <f>IF($H180="","",SUMPRODUCT(INDEX('TO HOP'!$C$66:$AT$127,$A180,0),'TO HOP'!$C$57:$AT$57)-INDEX('TO HOP'!$AD$66:$AD$127,$A180)*'TO HOP'!$AD$57-INDEX('TO HOP'!$AR$66:$AR$127,$A180)*'TO HOP'!$AR$57-INDEX('TO HOP'!$AS$66:$AS$127,$A180)*'TO HOP'!$AS$57+(INDEX('TO HOP'!$AD$66:$AD$127,$A180)*$G180+INDEX('TO HOP'!$AR$66:$AR$127,$A180)*$D180+INDEX('TO HOP'!$AS$66:$AS$127,$A180)*($E180+$F180))*(Hbe+Hcot+hxm+hgoi))</f>
        <v>10487.734414949242</v>
      </c>
      <c r="J180" s="39">
        <f>IF($H180="","",SUMPRODUCT(INDEX('TO HOP'!$C$66:$AT$127,$A180,0),'TO HOP'!$C$58:$AT$58)-INDEX('TO HOP'!$AD$66:$AD$127,$A180)*'TO HOP'!$AD$58-INDEX('TO HOP'!$AR$66:$AR$127,$A180)*'TO HOP'!$AR$58-INDEX('TO HOP'!$AS$66:$AS$127,$A180)*'TO HOP'!$AS$58+INDEX('TO HOP'!$AD$66:$AD$127,$A180)*$G180+INDEX('TO HOP'!$AR$66:$AR$127,$A180)*$D180+INDEX('TO HOP'!$AS$66:$AS$127,$A180)*($E180+$F180))</f>
        <v>627.82745256101293</v>
      </c>
      <c r="K180" s="39">
        <f>IF($H180="","",SUMPRODUCT(INDEX('TO HOP'!$C$66:$AT$127,$A180,0),'TO HOP'!$C$62:$AT$62)-INDEX('TO HOP'!$AD$66:$AD$127,$A180)*'TO HOP'!$AD$62-INDEX('TO HOP'!$AR$66:$AR$127,$A180)*'TO HOP'!$AR$62-INDEX('TO HOP'!$AS$66:$AS$127,$A180)*'TO HOP'!$AS$62+(INDEX('TO HOP'!$AD$66:$AD$127,$A180)*$G180+INDEX('TO HOP'!$AR$66:$AR$127,$A180)*$D180+INDEX('TO HOP'!$AS$66:$AS$127,$A180)*($E180+$F180))*(Hcot+hxm+hgoi))</f>
        <v>9232.0795098272138</v>
      </c>
      <c r="L180" s="39">
        <f t="shared" si="8"/>
        <v>627.82745256101293</v>
      </c>
      <c r="M180" s="39">
        <f t="shared" si="9"/>
        <v>10487.734414949242</v>
      </c>
      <c r="N180" s="39">
        <f t="shared" si="10"/>
        <v>627.82745256101293</v>
      </c>
      <c r="O180" s="39">
        <f t="shared" si="11"/>
        <v>9232.0795098272138</v>
      </c>
    </row>
    <row r="181" spans="1:15" x14ac:dyDescent="0.3">
      <c r="A181" s="38">
        <f>'TO HOP'!N175</f>
        <v>45</v>
      </c>
      <c r="B181" s="38" t="str">
        <f>'TO HOP'!B175</f>
        <v>CĐ I(b) min - 1 nhịp 3 làn</v>
      </c>
      <c r="C181" s="38" t="s">
        <v>1200</v>
      </c>
      <c r="D181" s="39">
        <f>'HE GOI'!D18</f>
        <v>-1521.6710398757043</v>
      </c>
      <c r="E181" s="39">
        <f>IF(csmode=1,0,'HE GOI'!D20)</f>
        <v>512.34715147329803</v>
      </c>
      <c r="F181" s="39">
        <f>IF(csmode=1,'HE GOI'!D24,'HE GOI'!D21)</f>
        <v>320.21696967081334</v>
      </c>
      <c r="G181" s="39">
        <f>'HE GOI'!D22</f>
        <v>1034.6545125000002</v>
      </c>
      <c r="H181" s="39">
        <f>IF(OR($A181=0,NOT(ISNUMBER($D181)),NOT(ISNUMBER($E181)),NOT(ISNUMBER($F181))),"",SUMPRODUCT(INDEX('TO HOP'!$C$66:$AT$127,$A181,0),'TO HOP'!$C$53:$AT$53)-INDEX('TO HOP'!$AD$66:$AD$127,$A181)*'TO HOP'!$AD$53-INDEX('TO HOP'!$AR$66:$AR$127,$A181)*'TO HOP'!$AR$53-INDEX('TO HOP'!$AS$66:$AS$127,$A181)*'TO HOP'!$AS$53+INDEX('TO HOP'!$AD$66:$AD$127,$A181)*$G181+INDEX('TO HOP'!$AR$66:$AR$127,$A181)*$D181+INDEX('TO HOP'!$AS$66:$AS$127,$A181)*($E181+$F181))</f>
        <v>1244.6323031342038</v>
      </c>
      <c r="I181" s="39">
        <f>IF($H181="","",SUMPRODUCT(INDEX('TO HOP'!$C$66:$AT$127,$A181,0),'TO HOP'!$C$57:$AT$57)-INDEX('TO HOP'!$AD$66:$AD$127,$A181)*'TO HOP'!$AD$57-INDEX('TO HOP'!$AR$66:$AR$127,$A181)*'TO HOP'!$AR$57-INDEX('TO HOP'!$AS$66:$AS$127,$A181)*'TO HOP'!$AS$57+(INDEX('TO HOP'!$AD$66:$AD$127,$A181)*$G181+INDEX('TO HOP'!$AR$66:$AR$127,$A181)*$D181+INDEX('TO HOP'!$AS$66:$AS$127,$A181)*($E181+$F181))*(Hbe+Hcot+hxm+hgoi))</f>
        <v>18559.183472738026</v>
      </c>
      <c r="J181" s="39">
        <f>IF($H181="","",SUMPRODUCT(INDEX('TO HOP'!$C$66:$AT$127,$A181,0),'TO HOP'!$C$58:$AT$58)-INDEX('TO HOP'!$AD$66:$AD$127,$A181)*'TO HOP'!$AD$58-INDEX('TO HOP'!$AR$66:$AR$127,$A181)*'TO HOP'!$AR$58-INDEX('TO HOP'!$AS$66:$AS$127,$A181)*'TO HOP'!$AS$58+INDEX('TO HOP'!$AD$66:$AD$127,$A181)*$G181+INDEX('TO HOP'!$AR$66:$AR$127,$A181)*$D181+INDEX('TO HOP'!$AS$66:$AS$127,$A181)*($E181+$F181))</f>
        <v>1244.6323031342038</v>
      </c>
      <c r="K181" s="39">
        <f>IF($H181="","",SUMPRODUCT(INDEX('TO HOP'!$C$66:$AT$127,$A181,0),'TO HOP'!$C$62:$AT$62)-INDEX('TO HOP'!$AD$66:$AD$127,$A181)*'TO HOP'!$AD$62-INDEX('TO HOP'!$AR$66:$AR$127,$A181)*'TO HOP'!$AR$62-INDEX('TO HOP'!$AS$66:$AS$127,$A181)*'TO HOP'!$AS$62+(INDEX('TO HOP'!$AD$66:$AD$127,$A181)*$G181+INDEX('TO HOP'!$AR$66:$AR$127,$A181)*$D181+INDEX('TO HOP'!$AS$66:$AS$127,$A181)*($E181+$F181))*(Hcot+hxm+hgoi))</f>
        <v>16069.918866469616</v>
      </c>
      <c r="L181" s="39">
        <f t="shared" si="8"/>
        <v>1244.6323031342038</v>
      </c>
      <c r="M181" s="39">
        <f t="shared" si="9"/>
        <v>18559.183472738026</v>
      </c>
      <c r="N181" s="39">
        <f t="shared" si="10"/>
        <v>1244.6323031342038</v>
      </c>
      <c r="O181" s="39">
        <f t="shared" si="11"/>
        <v>16069.918866469616</v>
      </c>
    </row>
    <row r="182" spans="1:15" x14ac:dyDescent="0.3">
      <c r="A182" s="38">
        <f>'TO HOP'!N175</f>
        <v>45</v>
      </c>
      <c r="B182" s="38" t="str">
        <f>'TO HOP'!B175</f>
        <v>CĐ I(b) min - 1 nhịp 3 làn</v>
      </c>
      <c r="C182" s="38" t="s">
        <v>1201</v>
      </c>
      <c r="D182" s="39">
        <f>'HE GOI'!D18</f>
        <v>-1521.6710398757043</v>
      </c>
      <c r="E182" s="39">
        <f>IF(csmode=1,0,'HE GOI'!D20)</f>
        <v>512.34715147329803</v>
      </c>
      <c r="F182" s="39">
        <f>IF(csmode=1,'HE GOI'!D24,'HE GOI'!D21)</f>
        <v>320.21696967081334</v>
      </c>
      <c r="G182" s="39">
        <f>'HE GOI'!D23</f>
        <v>-1034.6545125000002</v>
      </c>
      <c r="H182" s="39">
        <f>IF(OR($A182=0,NOT(ISNUMBER($D182)),NOT(ISNUMBER($E182)),NOT(ISNUMBER($F182))),"",SUMPRODUCT(INDEX('TO HOP'!$C$66:$AT$127,$A182,0),'TO HOP'!$C$53:$AT$53)-INDEX('TO HOP'!$AD$66:$AD$127,$A182)*'TO HOP'!$AD$53-INDEX('TO HOP'!$AR$66:$AR$127,$A182)*'TO HOP'!$AR$53-INDEX('TO HOP'!$AS$66:$AS$127,$A182)*'TO HOP'!$AS$53+INDEX('TO HOP'!$AD$66:$AD$127,$A182)*$G182+INDEX('TO HOP'!$AR$66:$AR$127,$A182)*$D182+INDEX('TO HOP'!$AS$66:$AS$127,$A182)*($E182+$F182))</f>
        <v>-824.67672186579659</v>
      </c>
      <c r="I182" s="39">
        <f>IF($H182="","",SUMPRODUCT(INDEX('TO HOP'!$C$66:$AT$127,$A182,0),'TO HOP'!$C$57:$AT$57)-INDEX('TO HOP'!$AD$66:$AD$127,$A182)*'TO HOP'!$AD$57-INDEX('TO HOP'!$AR$66:$AR$127,$A182)*'TO HOP'!$AR$57-INDEX('TO HOP'!$AS$66:$AS$127,$A182)*'TO HOP'!$AS$57+(INDEX('TO HOP'!$AD$66:$AD$127,$A182)*$G182+INDEX('TO HOP'!$AR$66:$AR$127,$A182)*$D182+INDEX('TO HOP'!$AS$66:$AS$127,$A182)*($E182+$F182))*(Hbe+Hcot+hxm+hgoi))</f>
        <v>-6851.9313542619802</v>
      </c>
      <c r="J182" s="39">
        <f>IF($H182="","",SUMPRODUCT(INDEX('TO HOP'!$C$66:$AT$127,$A182,0),'TO HOP'!$C$58:$AT$58)-INDEX('TO HOP'!$AD$66:$AD$127,$A182)*'TO HOP'!$AD$58-INDEX('TO HOP'!$AR$66:$AR$127,$A182)*'TO HOP'!$AR$58-INDEX('TO HOP'!$AS$66:$AS$127,$A182)*'TO HOP'!$AS$58+INDEX('TO HOP'!$AD$66:$AD$127,$A182)*$G182+INDEX('TO HOP'!$AR$66:$AR$127,$A182)*$D182+INDEX('TO HOP'!$AS$66:$AS$127,$A182)*($E182+$F182))</f>
        <v>-824.67672186579659</v>
      </c>
      <c r="K182" s="39">
        <f>IF($H182="","",SUMPRODUCT(INDEX('TO HOP'!$C$66:$AT$127,$A182,0),'TO HOP'!$C$62:$AT$62)-INDEX('TO HOP'!$AD$66:$AD$127,$A182)*'TO HOP'!$AD$62-INDEX('TO HOP'!$AR$66:$AR$127,$A182)*'TO HOP'!$AR$62-INDEX('TO HOP'!$AS$66:$AS$127,$A182)*'TO HOP'!$AS$62+(INDEX('TO HOP'!$AD$66:$AD$127,$A182)*$G182+INDEX('TO HOP'!$AR$66:$AR$127,$A182)*$D182+INDEX('TO HOP'!$AS$66:$AS$127,$A182)*($E182+$F182))*(Hcot+hxm+hgoi))</f>
        <v>-5202.5779105303882</v>
      </c>
      <c r="L182" s="39">
        <f t="shared" si="8"/>
        <v>824.67672186579659</v>
      </c>
      <c r="M182" s="39">
        <f t="shared" si="9"/>
        <v>6851.9313542619802</v>
      </c>
      <c r="N182" s="39">
        <f t="shared" si="10"/>
        <v>824.67672186579659</v>
      </c>
      <c r="O182" s="39">
        <f t="shared" si="11"/>
        <v>5202.5779105303882</v>
      </c>
    </row>
    <row r="183" spans="1:15" x14ac:dyDescent="0.3">
      <c r="A183" s="38">
        <f>'TO HOP'!N175</f>
        <v>45</v>
      </c>
      <c r="B183" s="38" t="str">
        <f>'TO HOP'!B175</f>
        <v>CĐ I(b) min - 1 nhịp 3 làn</v>
      </c>
      <c r="C183" s="38" t="s">
        <v>1202</v>
      </c>
      <c r="D183" s="39">
        <f>'HE GOI'!D19</f>
        <v>1383.337308977915</v>
      </c>
      <c r="E183" s="39">
        <f>IF(csmode=1,0,'HE GOI'!D20)</f>
        <v>512.34715147329803</v>
      </c>
      <c r="F183" s="39">
        <f>IF(csmode=1,'HE GOI'!D24,'HE GOI'!D21)</f>
        <v>320.21696967081334</v>
      </c>
      <c r="G183" s="39">
        <f>'HE GOI'!D22</f>
        <v>1034.6545125000002</v>
      </c>
      <c r="H183" s="39">
        <f>IF(OR($A183=0,NOT(ISNUMBER($D183)),NOT(ISNUMBER($E183)),NOT(ISNUMBER($F183))),"",SUMPRODUCT(INDEX('TO HOP'!$C$66:$AT$127,$A183,0),'TO HOP'!$C$53:$AT$53)-INDEX('TO HOP'!$AD$66:$AD$127,$A183)*'TO HOP'!$AD$53-INDEX('TO HOP'!$AR$66:$AR$127,$A183)*'TO HOP'!$AR$53-INDEX('TO HOP'!$AS$66:$AS$127,$A183)*'TO HOP'!$AS$53+INDEX('TO HOP'!$AD$66:$AD$127,$A183)*$G183+INDEX('TO HOP'!$AR$66:$AR$127,$A183)*$D183+INDEX('TO HOP'!$AS$66:$AS$127,$A183)*($E183+$F183))</f>
        <v>2697.1364775610136</v>
      </c>
      <c r="I183" s="39">
        <f>IF($H183="","",SUMPRODUCT(INDEX('TO HOP'!$C$66:$AT$127,$A183,0),'TO HOP'!$C$57:$AT$57)-INDEX('TO HOP'!$AD$66:$AD$127,$A183)*'TO HOP'!$AD$57-INDEX('TO HOP'!$AR$66:$AR$127,$A183)*'TO HOP'!$AR$57-INDEX('TO HOP'!$AS$66:$AS$127,$A183)*'TO HOP'!$AS$57+(INDEX('TO HOP'!$AD$66:$AD$127,$A183)*$G183+INDEX('TO HOP'!$AR$66:$AR$127,$A183)*$D183+INDEX('TO HOP'!$AS$66:$AS$127,$A183)*($E183+$F183))*(Hbe+Hcot+hxm+hgoi))</f>
        <v>36395.934734699251</v>
      </c>
      <c r="J183" s="39">
        <f>IF($H183="","",SUMPRODUCT(INDEX('TO HOP'!$C$66:$AT$127,$A183,0),'TO HOP'!$C$58:$AT$58)-INDEX('TO HOP'!$AD$66:$AD$127,$A183)*'TO HOP'!$AD$58-INDEX('TO HOP'!$AR$66:$AR$127,$A183)*'TO HOP'!$AR$58-INDEX('TO HOP'!$AS$66:$AS$127,$A183)*'TO HOP'!$AS$58+INDEX('TO HOP'!$AD$66:$AD$127,$A183)*$G183+INDEX('TO HOP'!$AR$66:$AR$127,$A183)*$D183+INDEX('TO HOP'!$AS$66:$AS$127,$A183)*($E183+$F183))</f>
        <v>2697.1364775610136</v>
      </c>
      <c r="K183" s="39">
        <f>IF($H183="","",SUMPRODUCT(INDEX('TO HOP'!$C$66:$AT$127,$A183,0),'TO HOP'!$C$62:$AT$62)-INDEX('TO HOP'!$AD$66:$AD$127,$A183)*'TO HOP'!$AD$62-INDEX('TO HOP'!$AR$66:$AR$127,$A183)*'TO HOP'!$AR$62-INDEX('TO HOP'!$AS$66:$AS$127,$A183)*'TO HOP'!$AS$62+(INDEX('TO HOP'!$AD$66:$AD$127,$A183)*$G183+INDEX('TO HOP'!$AR$66:$AR$127,$A183)*$D183+INDEX('TO HOP'!$AS$66:$AS$127,$A183)*($E183+$F183))*(Hcot+hxm+hgoi))</f>
        <v>31001.661779577225</v>
      </c>
      <c r="L183" s="39">
        <f t="shared" si="8"/>
        <v>2697.1364775610136</v>
      </c>
      <c r="M183" s="39">
        <f t="shared" si="9"/>
        <v>36395.934734699251</v>
      </c>
      <c r="N183" s="39">
        <f t="shared" si="10"/>
        <v>2697.1364775610136</v>
      </c>
      <c r="O183" s="39">
        <f t="shared" si="11"/>
        <v>31001.661779577225</v>
      </c>
    </row>
    <row r="184" spans="1:15" x14ac:dyDescent="0.3">
      <c r="A184" s="38">
        <f>'TO HOP'!N175</f>
        <v>45</v>
      </c>
      <c r="B184" s="38" t="str">
        <f>'TO HOP'!B175</f>
        <v>CĐ I(b) min - 1 nhịp 3 làn</v>
      </c>
      <c r="C184" s="38" t="s">
        <v>1203</v>
      </c>
      <c r="D184" s="39">
        <f>'HE GOI'!D19</f>
        <v>1383.337308977915</v>
      </c>
      <c r="E184" s="39">
        <f>IF(csmode=1,0,'HE GOI'!D20)</f>
        <v>512.34715147329803</v>
      </c>
      <c r="F184" s="39">
        <f>IF(csmode=1,'HE GOI'!D24,'HE GOI'!D21)</f>
        <v>320.21696967081334</v>
      </c>
      <c r="G184" s="39">
        <f>'HE GOI'!D23</f>
        <v>-1034.6545125000002</v>
      </c>
      <c r="H184" s="39">
        <f>IF(OR($A184=0,NOT(ISNUMBER($D184)),NOT(ISNUMBER($E184)),NOT(ISNUMBER($F184))),"",SUMPRODUCT(INDEX('TO HOP'!$C$66:$AT$127,$A184,0),'TO HOP'!$C$53:$AT$53)-INDEX('TO HOP'!$AD$66:$AD$127,$A184)*'TO HOP'!$AD$53-INDEX('TO HOP'!$AR$66:$AR$127,$A184)*'TO HOP'!$AR$53-INDEX('TO HOP'!$AS$66:$AS$127,$A184)*'TO HOP'!$AS$53+INDEX('TO HOP'!$AD$66:$AD$127,$A184)*$G184+INDEX('TO HOP'!$AR$66:$AR$127,$A184)*$D184+INDEX('TO HOP'!$AS$66:$AS$127,$A184)*($E184+$F184))</f>
        <v>627.82745256101293</v>
      </c>
      <c r="I184" s="39">
        <f>IF($H184="","",SUMPRODUCT(INDEX('TO HOP'!$C$66:$AT$127,$A184,0),'TO HOP'!$C$57:$AT$57)-INDEX('TO HOP'!$AD$66:$AD$127,$A184)*'TO HOP'!$AD$57-INDEX('TO HOP'!$AR$66:$AR$127,$A184)*'TO HOP'!$AR$57-INDEX('TO HOP'!$AS$66:$AS$127,$A184)*'TO HOP'!$AS$57+(INDEX('TO HOP'!$AD$66:$AD$127,$A184)*$G184+INDEX('TO HOP'!$AR$66:$AR$127,$A184)*$D184+INDEX('TO HOP'!$AS$66:$AS$127,$A184)*($E184+$F184))*(Hbe+Hcot+hxm+hgoi))</f>
        <v>10984.819907699242</v>
      </c>
      <c r="J184" s="39">
        <f>IF($H184="","",SUMPRODUCT(INDEX('TO HOP'!$C$66:$AT$127,$A184,0),'TO HOP'!$C$58:$AT$58)-INDEX('TO HOP'!$AD$66:$AD$127,$A184)*'TO HOP'!$AD$58-INDEX('TO HOP'!$AR$66:$AR$127,$A184)*'TO HOP'!$AR$58-INDEX('TO HOP'!$AS$66:$AS$127,$A184)*'TO HOP'!$AS$58+INDEX('TO HOP'!$AD$66:$AD$127,$A184)*$G184+INDEX('TO HOP'!$AR$66:$AR$127,$A184)*$D184+INDEX('TO HOP'!$AS$66:$AS$127,$A184)*($E184+$F184))</f>
        <v>627.82745256101293</v>
      </c>
      <c r="K184" s="39">
        <f>IF($H184="","",SUMPRODUCT(INDEX('TO HOP'!$C$66:$AT$127,$A184,0),'TO HOP'!$C$62:$AT$62)-INDEX('TO HOP'!$AD$66:$AD$127,$A184)*'TO HOP'!$AD$62-INDEX('TO HOP'!$AR$66:$AR$127,$A184)*'TO HOP'!$AR$62-INDEX('TO HOP'!$AS$66:$AS$127,$A184)*'TO HOP'!$AS$62+(INDEX('TO HOP'!$AD$66:$AD$127,$A184)*$G184+INDEX('TO HOP'!$AR$66:$AR$127,$A184)*$D184+INDEX('TO HOP'!$AS$66:$AS$127,$A184)*($E184+$F184))*(Hcot+hxm+hgoi))</f>
        <v>9729.1650025772142</v>
      </c>
      <c r="L184" s="39">
        <f t="shared" si="8"/>
        <v>627.82745256101293</v>
      </c>
      <c r="M184" s="39">
        <f t="shared" si="9"/>
        <v>10984.819907699242</v>
      </c>
      <c r="N184" s="39">
        <f t="shared" si="10"/>
        <v>627.82745256101293</v>
      </c>
      <c r="O184" s="39">
        <f t="shared" si="11"/>
        <v>9729.1650025772142</v>
      </c>
    </row>
    <row r="185" spans="1:15" x14ac:dyDescent="0.3">
      <c r="A185" s="38">
        <f>'TO HOP'!N176</f>
        <v>46</v>
      </c>
      <c r="B185" s="38" t="str">
        <f>'TO HOP'!B176</f>
        <v>CĐ I(b) min - 1 nhịp 4 làn</v>
      </c>
      <c r="C185" s="38" t="s">
        <v>1200</v>
      </c>
      <c r="D185" s="39">
        <f>'HE GOI'!D18</f>
        <v>-1521.6710398757043</v>
      </c>
      <c r="E185" s="39">
        <f>IF(csmode=1,0,'HE GOI'!D20)</f>
        <v>512.34715147329803</v>
      </c>
      <c r="F185" s="39">
        <f>IF(csmode=1,'HE GOI'!D24,'HE GOI'!D21)</f>
        <v>320.21696967081334</v>
      </c>
      <c r="G185" s="39">
        <f>'HE GOI'!D22</f>
        <v>1034.6545125000002</v>
      </c>
      <c r="H185" s="39">
        <f>IF(OR($A185=0,NOT(ISNUMBER($D185)),NOT(ISNUMBER($E185)),NOT(ISNUMBER($F185))),"",SUMPRODUCT(INDEX('TO HOP'!$C$66:$AT$127,$A185,0),'TO HOP'!$C$53:$AT$53)-INDEX('TO HOP'!$AD$66:$AD$127,$A185)*'TO HOP'!$AD$53-INDEX('TO HOP'!$AR$66:$AR$127,$A185)*'TO HOP'!$AR$53-INDEX('TO HOP'!$AS$66:$AS$127,$A185)*'TO HOP'!$AS$53+INDEX('TO HOP'!$AD$66:$AD$127,$A185)*$G185+INDEX('TO HOP'!$AR$66:$AR$127,$A185)*$D185+INDEX('TO HOP'!$AS$66:$AS$127,$A185)*($E185+$F185))</f>
        <v>1244.6323031342038</v>
      </c>
      <c r="I185" s="39">
        <f>IF($H185="","",SUMPRODUCT(INDEX('TO HOP'!$C$66:$AT$127,$A185,0),'TO HOP'!$C$57:$AT$57)-INDEX('TO HOP'!$AD$66:$AD$127,$A185)*'TO HOP'!$AD$57-INDEX('TO HOP'!$AR$66:$AR$127,$A185)*'TO HOP'!$AR$57-INDEX('TO HOP'!$AS$66:$AS$127,$A185)*'TO HOP'!$AS$57+(INDEX('TO HOP'!$AD$66:$AD$127,$A185)*$G185+INDEX('TO HOP'!$AR$66:$AR$127,$A185)*$D185+INDEX('TO HOP'!$AS$66:$AS$127,$A185)*($E185+$F185))*(Hbe+Hcot+hxm+hgoi))</f>
        <v>18604.373062988023</v>
      </c>
      <c r="J185" s="39">
        <f>IF($H185="","",SUMPRODUCT(INDEX('TO HOP'!$C$66:$AT$127,$A185,0),'TO HOP'!$C$58:$AT$58)-INDEX('TO HOP'!$AD$66:$AD$127,$A185)*'TO HOP'!$AD$58-INDEX('TO HOP'!$AR$66:$AR$127,$A185)*'TO HOP'!$AR$58-INDEX('TO HOP'!$AS$66:$AS$127,$A185)*'TO HOP'!$AS$58+INDEX('TO HOP'!$AD$66:$AD$127,$A185)*$G185+INDEX('TO HOP'!$AR$66:$AR$127,$A185)*$D185+INDEX('TO HOP'!$AS$66:$AS$127,$A185)*($E185+$F185))</f>
        <v>1244.6323031342038</v>
      </c>
      <c r="K185" s="39">
        <f>IF($H185="","",SUMPRODUCT(INDEX('TO HOP'!$C$66:$AT$127,$A185,0),'TO HOP'!$C$62:$AT$62)-INDEX('TO HOP'!$AD$66:$AD$127,$A185)*'TO HOP'!$AD$62-INDEX('TO HOP'!$AR$66:$AR$127,$A185)*'TO HOP'!$AR$62-INDEX('TO HOP'!$AS$66:$AS$127,$A185)*'TO HOP'!$AS$62+(INDEX('TO HOP'!$AD$66:$AD$127,$A185)*$G185+INDEX('TO HOP'!$AR$66:$AR$127,$A185)*$D185+INDEX('TO HOP'!$AS$66:$AS$127,$A185)*($E185+$F185))*(Hcot+hxm+hgoi))</f>
        <v>16115.108456719616</v>
      </c>
      <c r="L185" s="39">
        <f t="shared" si="8"/>
        <v>1244.6323031342038</v>
      </c>
      <c r="M185" s="39">
        <f t="shared" si="9"/>
        <v>18604.373062988023</v>
      </c>
      <c r="N185" s="39">
        <f t="shared" si="10"/>
        <v>1244.6323031342038</v>
      </c>
      <c r="O185" s="39">
        <f t="shared" si="11"/>
        <v>16115.108456719616</v>
      </c>
    </row>
    <row r="186" spans="1:15" x14ac:dyDescent="0.3">
      <c r="A186" s="38">
        <f>'TO HOP'!N176</f>
        <v>46</v>
      </c>
      <c r="B186" s="38" t="str">
        <f>'TO HOP'!B176</f>
        <v>CĐ I(b) min - 1 nhịp 4 làn</v>
      </c>
      <c r="C186" s="38" t="s">
        <v>1201</v>
      </c>
      <c r="D186" s="39">
        <f>'HE GOI'!D18</f>
        <v>-1521.6710398757043</v>
      </c>
      <c r="E186" s="39">
        <f>IF(csmode=1,0,'HE GOI'!D20)</f>
        <v>512.34715147329803</v>
      </c>
      <c r="F186" s="39">
        <f>IF(csmode=1,'HE GOI'!D24,'HE GOI'!D21)</f>
        <v>320.21696967081334</v>
      </c>
      <c r="G186" s="39">
        <f>'HE GOI'!D23</f>
        <v>-1034.6545125000002</v>
      </c>
      <c r="H186" s="39">
        <f>IF(OR($A186=0,NOT(ISNUMBER($D186)),NOT(ISNUMBER($E186)),NOT(ISNUMBER($F186))),"",SUMPRODUCT(INDEX('TO HOP'!$C$66:$AT$127,$A186,0),'TO HOP'!$C$53:$AT$53)-INDEX('TO HOP'!$AD$66:$AD$127,$A186)*'TO HOP'!$AD$53-INDEX('TO HOP'!$AR$66:$AR$127,$A186)*'TO HOP'!$AR$53-INDEX('TO HOP'!$AS$66:$AS$127,$A186)*'TO HOP'!$AS$53+INDEX('TO HOP'!$AD$66:$AD$127,$A186)*$G186+INDEX('TO HOP'!$AR$66:$AR$127,$A186)*$D186+INDEX('TO HOP'!$AS$66:$AS$127,$A186)*($E186+$F186))</f>
        <v>-824.67672186579659</v>
      </c>
      <c r="I186" s="39">
        <f>IF($H186="","",SUMPRODUCT(INDEX('TO HOP'!$C$66:$AT$127,$A186,0),'TO HOP'!$C$57:$AT$57)-INDEX('TO HOP'!$AD$66:$AD$127,$A186)*'TO HOP'!$AD$57-INDEX('TO HOP'!$AR$66:$AR$127,$A186)*'TO HOP'!$AR$57-INDEX('TO HOP'!$AS$66:$AS$127,$A186)*'TO HOP'!$AS$57+(INDEX('TO HOP'!$AD$66:$AD$127,$A186)*$G186+INDEX('TO HOP'!$AR$66:$AR$127,$A186)*$D186+INDEX('TO HOP'!$AS$66:$AS$127,$A186)*($E186+$F186))*(Hbe+Hcot+hxm+hgoi))</f>
        <v>-6806.7417640119838</v>
      </c>
      <c r="J186" s="39">
        <f>IF($H186="","",SUMPRODUCT(INDEX('TO HOP'!$C$66:$AT$127,$A186,0),'TO HOP'!$C$58:$AT$58)-INDEX('TO HOP'!$AD$66:$AD$127,$A186)*'TO HOP'!$AD$58-INDEX('TO HOP'!$AR$66:$AR$127,$A186)*'TO HOP'!$AR$58-INDEX('TO HOP'!$AS$66:$AS$127,$A186)*'TO HOP'!$AS$58+INDEX('TO HOP'!$AD$66:$AD$127,$A186)*$G186+INDEX('TO HOP'!$AR$66:$AR$127,$A186)*$D186+INDEX('TO HOP'!$AS$66:$AS$127,$A186)*($E186+$F186))</f>
        <v>-824.67672186579659</v>
      </c>
      <c r="K186" s="39">
        <f>IF($H186="","",SUMPRODUCT(INDEX('TO HOP'!$C$66:$AT$127,$A186,0),'TO HOP'!$C$62:$AT$62)-INDEX('TO HOP'!$AD$66:$AD$127,$A186)*'TO HOP'!$AD$62-INDEX('TO HOP'!$AR$66:$AR$127,$A186)*'TO HOP'!$AR$62-INDEX('TO HOP'!$AS$66:$AS$127,$A186)*'TO HOP'!$AS$62+(INDEX('TO HOP'!$AD$66:$AD$127,$A186)*$G186+INDEX('TO HOP'!$AR$66:$AR$127,$A186)*$D186+INDEX('TO HOP'!$AS$66:$AS$127,$A186)*($E186+$F186))*(Hcot+hxm+hgoi))</f>
        <v>-5157.3883202803881</v>
      </c>
      <c r="L186" s="39">
        <f t="shared" si="8"/>
        <v>824.67672186579659</v>
      </c>
      <c r="M186" s="39">
        <f t="shared" si="9"/>
        <v>6806.7417640119838</v>
      </c>
      <c r="N186" s="39">
        <f t="shared" si="10"/>
        <v>824.67672186579659</v>
      </c>
      <c r="O186" s="39">
        <f t="shared" si="11"/>
        <v>5157.3883202803881</v>
      </c>
    </row>
    <row r="187" spans="1:15" x14ac:dyDescent="0.3">
      <c r="A187" s="38">
        <f>'TO HOP'!N176</f>
        <v>46</v>
      </c>
      <c r="B187" s="38" t="str">
        <f>'TO HOP'!B176</f>
        <v>CĐ I(b) min - 1 nhịp 4 làn</v>
      </c>
      <c r="C187" s="38" t="s">
        <v>1202</v>
      </c>
      <c r="D187" s="39">
        <f>'HE GOI'!D19</f>
        <v>1383.337308977915</v>
      </c>
      <c r="E187" s="39">
        <f>IF(csmode=1,0,'HE GOI'!D20)</f>
        <v>512.34715147329803</v>
      </c>
      <c r="F187" s="39">
        <f>IF(csmode=1,'HE GOI'!D24,'HE GOI'!D21)</f>
        <v>320.21696967081334</v>
      </c>
      <c r="G187" s="39">
        <f>'HE GOI'!D22</f>
        <v>1034.6545125000002</v>
      </c>
      <c r="H187" s="39">
        <f>IF(OR($A187=0,NOT(ISNUMBER($D187)),NOT(ISNUMBER($E187)),NOT(ISNUMBER($F187))),"",SUMPRODUCT(INDEX('TO HOP'!$C$66:$AT$127,$A187,0),'TO HOP'!$C$53:$AT$53)-INDEX('TO HOP'!$AD$66:$AD$127,$A187)*'TO HOP'!$AD$53-INDEX('TO HOP'!$AR$66:$AR$127,$A187)*'TO HOP'!$AR$53-INDEX('TO HOP'!$AS$66:$AS$127,$A187)*'TO HOP'!$AS$53+INDEX('TO HOP'!$AD$66:$AD$127,$A187)*$G187+INDEX('TO HOP'!$AR$66:$AR$127,$A187)*$D187+INDEX('TO HOP'!$AS$66:$AS$127,$A187)*($E187+$F187))</f>
        <v>2697.1364775610136</v>
      </c>
      <c r="I187" s="39">
        <f>IF($H187="","",SUMPRODUCT(INDEX('TO HOP'!$C$66:$AT$127,$A187,0),'TO HOP'!$C$57:$AT$57)-INDEX('TO HOP'!$AD$66:$AD$127,$A187)*'TO HOP'!$AD$57-INDEX('TO HOP'!$AR$66:$AR$127,$A187)*'TO HOP'!$AR$57-INDEX('TO HOP'!$AS$66:$AS$127,$A187)*'TO HOP'!$AS$57+(INDEX('TO HOP'!$AD$66:$AD$127,$A187)*$G187+INDEX('TO HOP'!$AR$66:$AR$127,$A187)*$D187+INDEX('TO HOP'!$AS$66:$AS$127,$A187)*($E187+$F187))*(Hbe+Hcot+hxm+hgoi))</f>
        <v>36441.124324949247</v>
      </c>
      <c r="J187" s="39">
        <f>IF($H187="","",SUMPRODUCT(INDEX('TO HOP'!$C$66:$AT$127,$A187,0),'TO HOP'!$C$58:$AT$58)-INDEX('TO HOP'!$AD$66:$AD$127,$A187)*'TO HOP'!$AD$58-INDEX('TO HOP'!$AR$66:$AR$127,$A187)*'TO HOP'!$AR$58-INDEX('TO HOP'!$AS$66:$AS$127,$A187)*'TO HOP'!$AS$58+INDEX('TO HOP'!$AD$66:$AD$127,$A187)*$G187+INDEX('TO HOP'!$AR$66:$AR$127,$A187)*$D187+INDEX('TO HOP'!$AS$66:$AS$127,$A187)*($E187+$F187))</f>
        <v>2697.1364775610136</v>
      </c>
      <c r="K187" s="39">
        <f>IF($H187="","",SUMPRODUCT(INDEX('TO HOP'!$C$66:$AT$127,$A187,0),'TO HOP'!$C$62:$AT$62)-INDEX('TO HOP'!$AD$66:$AD$127,$A187)*'TO HOP'!$AD$62-INDEX('TO HOP'!$AR$66:$AR$127,$A187)*'TO HOP'!$AR$62-INDEX('TO HOP'!$AS$66:$AS$127,$A187)*'TO HOP'!$AS$62+(INDEX('TO HOP'!$AD$66:$AD$127,$A187)*$G187+INDEX('TO HOP'!$AR$66:$AR$127,$A187)*$D187+INDEX('TO HOP'!$AS$66:$AS$127,$A187)*($E187+$F187))*(Hcot+hxm+hgoi))</f>
        <v>31046.851369827225</v>
      </c>
      <c r="L187" s="39">
        <f t="shared" si="8"/>
        <v>2697.1364775610136</v>
      </c>
      <c r="M187" s="39">
        <f t="shared" si="9"/>
        <v>36441.124324949247</v>
      </c>
      <c r="N187" s="39">
        <f t="shared" si="10"/>
        <v>2697.1364775610136</v>
      </c>
      <c r="O187" s="39">
        <f t="shared" si="11"/>
        <v>31046.851369827225</v>
      </c>
    </row>
    <row r="188" spans="1:15" x14ac:dyDescent="0.3">
      <c r="A188" s="38">
        <f>'TO HOP'!N176</f>
        <v>46</v>
      </c>
      <c r="B188" s="38" t="str">
        <f>'TO HOP'!B176</f>
        <v>CĐ I(b) min - 1 nhịp 4 làn</v>
      </c>
      <c r="C188" s="38" t="s">
        <v>1203</v>
      </c>
      <c r="D188" s="39">
        <f>'HE GOI'!D19</f>
        <v>1383.337308977915</v>
      </c>
      <c r="E188" s="39">
        <f>IF(csmode=1,0,'HE GOI'!D20)</f>
        <v>512.34715147329803</v>
      </c>
      <c r="F188" s="39">
        <f>IF(csmode=1,'HE GOI'!D24,'HE GOI'!D21)</f>
        <v>320.21696967081334</v>
      </c>
      <c r="G188" s="39">
        <f>'HE GOI'!D23</f>
        <v>-1034.6545125000002</v>
      </c>
      <c r="H188" s="39">
        <f>IF(OR($A188=0,NOT(ISNUMBER($D188)),NOT(ISNUMBER($E188)),NOT(ISNUMBER($F188))),"",SUMPRODUCT(INDEX('TO HOP'!$C$66:$AT$127,$A188,0),'TO HOP'!$C$53:$AT$53)-INDEX('TO HOP'!$AD$66:$AD$127,$A188)*'TO HOP'!$AD$53-INDEX('TO HOP'!$AR$66:$AR$127,$A188)*'TO HOP'!$AR$53-INDEX('TO HOP'!$AS$66:$AS$127,$A188)*'TO HOP'!$AS$53+INDEX('TO HOP'!$AD$66:$AD$127,$A188)*$G188+INDEX('TO HOP'!$AR$66:$AR$127,$A188)*$D188+INDEX('TO HOP'!$AS$66:$AS$127,$A188)*($E188+$F188))</f>
        <v>627.82745256101293</v>
      </c>
      <c r="I188" s="39">
        <f>IF($H188="","",SUMPRODUCT(INDEX('TO HOP'!$C$66:$AT$127,$A188,0),'TO HOP'!$C$57:$AT$57)-INDEX('TO HOP'!$AD$66:$AD$127,$A188)*'TO HOP'!$AD$57-INDEX('TO HOP'!$AR$66:$AR$127,$A188)*'TO HOP'!$AR$57-INDEX('TO HOP'!$AS$66:$AS$127,$A188)*'TO HOP'!$AS$57+(INDEX('TO HOP'!$AD$66:$AD$127,$A188)*$G188+INDEX('TO HOP'!$AR$66:$AR$127,$A188)*$D188+INDEX('TO HOP'!$AS$66:$AS$127,$A188)*($E188+$F188))*(Hbe+Hcot+hxm+hgoi))</f>
        <v>11030.009497949239</v>
      </c>
      <c r="J188" s="39">
        <f>IF($H188="","",SUMPRODUCT(INDEX('TO HOP'!$C$66:$AT$127,$A188,0),'TO HOP'!$C$58:$AT$58)-INDEX('TO HOP'!$AD$66:$AD$127,$A188)*'TO HOP'!$AD$58-INDEX('TO HOP'!$AR$66:$AR$127,$A188)*'TO HOP'!$AR$58-INDEX('TO HOP'!$AS$66:$AS$127,$A188)*'TO HOP'!$AS$58+INDEX('TO HOP'!$AD$66:$AD$127,$A188)*$G188+INDEX('TO HOP'!$AR$66:$AR$127,$A188)*$D188+INDEX('TO HOP'!$AS$66:$AS$127,$A188)*($E188+$F188))</f>
        <v>627.82745256101293</v>
      </c>
      <c r="K188" s="39">
        <f>IF($H188="","",SUMPRODUCT(INDEX('TO HOP'!$C$66:$AT$127,$A188,0),'TO HOP'!$C$62:$AT$62)-INDEX('TO HOP'!$AD$66:$AD$127,$A188)*'TO HOP'!$AD$62-INDEX('TO HOP'!$AR$66:$AR$127,$A188)*'TO HOP'!$AR$62-INDEX('TO HOP'!$AS$66:$AS$127,$A188)*'TO HOP'!$AS$62+(INDEX('TO HOP'!$AD$66:$AD$127,$A188)*$G188+INDEX('TO HOP'!$AR$66:$AR$127,$A188)*$D188+INDEX('TO HOP'!$AS$66:$AS$127,$A188)*($E188+$F188))*(Hcot+hxm+hgoi))</f>
        <v>9774.3545928272142</v>
      </c>
      <c r="L188" s="39">
        <f t="shared" si="8"/>
        <v>627.82745256101293</v>
      </c>
      <c r="M188" s="39">
        <f t="shared" si="9"/>
        <v>11030.009497949239</v>
      </c>
      <c r="N188" s="39">
        <f t="shared" si="10"/>
        <v>627.82745256101293</v>
      </c>
      <c r="O188" s="39">
        <f t="shared" si="11"/>
        <v>9774.3545928272142</v>
      </c>
    </row>
    <row r="189" spans="1:15" x14ac:dyDescent="0.3">
      <c r="A189" s="38">
        <f>'TO HOP'!N177</f>
        <v>47</v>
      </c>
      <c r="B189" s="38" t="str">
        <f>'TO HOP'!B177</f>
        <v>CĐ I(b) min - 1 nhịp 5 làn</v>
      </c>
      <c r="C189" s="38" t="s">
        <v>1200</v>
      </c>
      <c r="D189" s="39">
        <f>'HE GOI'!D18</f>
        <v>-1521.6710398757043</v>
      </c>
      <c r="E189" s="39">
        <f>IF(csmode=1,0,'HE GOI'!D20)</f>
        <v>512.34715147329803</v>
      </c>
      <c r="F189" s="39">
        <f>IF(csmode=1,'HE GOI'!D24,'HE GOI'!D21)</f>
        <v>320.21696967081334</v>
      </c>
      <c r="G189" s="39">
        <f>'HE GOI'!D22</f>
        <v>1034.6545125000002</v>
      </c>
      <c r="H189" s="39">
        <f>IF(OR($A189=0,NOT(ISNUMBER($D189)),NOT(ISNUMBER($E189)),NOT(ISNUMBER($F189))),"",SUMPRODUCT(INDEX('TO HOP'!$C$66:$AT$127,$A189,0),'TO HOP'!$C$53:$AT$53)-INDEX('TO HOP'!$AD$66:$AD$127,$A189)*'TO HOP'!$AD$53-INDEX('TO HOP'!$AR$66:$AR$127,$A189)*'TO HOP'!$AR$53-INDEX('TO HOP'!$AS$66:$AS$127,$A189)*'TO HOP'!$AS$53+INDEX('TO HOP'!$AD$66:$AD$127,$A189)*$G189+INDEX('TO HOP'!$AR$66:$AR$127,$A189)*$D189+INDEX('TO HOP'!$AS$66:$AS$127,$A189)*($E189+$F189))</f>
        <v>1244.6323031342038</v>
      </c>
      <c r="I189" s="39">
        <f>IF($H189="","",SUMPRODUCT(INDEX('TO HOP'!$C$66:$AT$127,$A189,0),'TO HOP'!$C$57:$AT$57)-INDEX('TO HOP'!$AD$66:$AD$127,$A189)*'TO HOP'!$AD$57-INDEX('TO HOP'!$AR$66:$AR$127,$A189)*'TO HOP'!$AR$57-INDEX('TO HOP'!$AS$66:$AS$127,$A189)*'TO HOP'!$AS$57+(INDEX('TO HOP'!$AD$66:$AD$127,$A189)*$G189+INDEX('TO HOP'!$AR$66:$AR$127,$A189)*$D189+INDEX('TO HOP'!$AS$66:$AS$127,$A189)*($E189+$F189))*(Hbe+Hcot+hxm+hgoi))</f>
        <v>19191.837736238027</v>
      </c>
      <c r="J189" s="39">
        <f>IF($H189="","",SUMPRODUCT(INDEX('TO HOP'!$C$66:$AT$127,$A189,0),'TO HOP'!$C$58:$AT$58)-INDEX('TO HOP'!$AD$66:$AD$127,$A189)*'TO HOP'!$AD$58-INDEX('TO HOP'!$AR$66:$AR$127,$A189)*'TO HOP'!$AR$58-INDEX('TO HOP'!$AS$66:$AS$127,$A189)*'TO HOP'!$AS$58+INDEX('TO HOP'!$AD$66:$AD$127,$A189)*$G189+INDEX('TO HOP'!$AR$66:$AR$127,$A189)*$D189+INDEX('TO HOP'!$AS$66:$AS$127,$A189)*($E189+$F189))</f>
        <v>1244.6323031342038</v>
      </c>
      <c r="K189" s="39">
        <f>IF($H189="","",SUMPRODUCT(INDEX('TO HOP'!$C$66:$AT$127,$A189,0),'TO HOP'!$C$62:$AT$62)-INDEX('TO HOP'!$AD$66:$AD$127,$A189)*'TO HOP'!$AD$62-INDEX('TO HOP'!$AR$66:$AR$127,$A189)*'TO HOP'!$AR$62-INDEX('TO HOP'!$AS$66:$AS$127,$A189)*'TO HOP'!$AS$62+(INDEX('TO HOP'!$AD$66:$AD$127,$A189)*$G189+INDEX('TO HOP'!$AR$66:$AR$127,$A189)*$D189+INDEX('TO HOP'!$AS$66:$AS$127,$A189)*($E189+$F189))*(Hcot+hxm+hgoi))</f>
        <v>16702.573129969616</v>
      </c>
      <c r="L189" s="39">
        <f t="shared" si="8"/>
        <v>1244.6323031342038</v>
      </c>
      <c r="M189" s="39">
        <f t="shared" si="9"/>
        <v>19191.837736238027</v>
      </c>
      <c r="N189" s="39">
        <f t="shared" si="10"/>
        <v>1244.6323031342038</v>
      </c>
      <c r="O189" s="39">
        <f t="shared" si="11"/>
        <v>16702.573129969616</v>
      </c>
    </row>
    <row r="190" spans="1:15" x14ac:dyDescent="0.3">
      <c r="A190" s="38">
        <f>'TO HOP'!N177</f>
        <v>47</v>
      </c>
      <c r="B190" s="38" t="str">
        <f>'TO HOP'!B177</f>
        <v>CĐ I(b) min - 1 nhịp 5 làn</v>
      </c>
      <c r="C190" s="38" t="s">
        <v>1201</v>
      </c>
      <c r="D190" s="39">
        <f>'HE GOI'!D18</f>
        <v>-1521.6710398757043</v>
      </c>
      <c r="E190" s="39">
        <f>IF(csmode=1,0,'HE GOI'!D20)</f>
        <v>512.34715147329803</v>
      </c>
      <c r="F190" s="39">
        <f>IF(csmode=1,'HE GOI'!D24,'HE GOI'!D21)</f>
        <v>320.21696967081334</v>
      </c>
      <c r="G190" s="39">
        <f>'HE GOI'!D23</f>
        <v>-1034.6545125000002</v>
      </c>
      <c r="H190" s="39">
        <f>IF(OR($A190=0,NOT(ISNUMBER($D190)),NOT(ISNUMBER($E190)),NOT(ISNUMBER($F190))),"",SUMPRODUCT(INDEX('TO HOP'!$C$66:$AT$127,$A190,0),'TO HOP'!$C$53:$AT$53)-INDEX('TO HOP'!$AD$66:$AD$127,$A190)*'TO HOP'!$AD$53-INDEX('TO HOP'!$AR$66:$AR$127,$A190)*'TO HOP'!$AR$53-INDEX('TO HOP'!$AS$66:$AS$127,$A190)*'TO HOP'!$AS$53+INDEX('TO HOP'!$AD$66:$AD$127,$A190)*$G190+INDEX('TO HOP'!$AR$66:$AR$127,$A190)*$D190+INDEX('TO HOP'!$AS$66:$AS$127,$A190)*($E190+$F190))</f>
        <v>-824.67672186579659</v>
      </c>
      <c r="I190" s="39">
        <f>IF($H190="","",SUMPRODUCT(INDEX('TO HOP'!$C$66:$AT$127,$A190,0),'TO HOP'!$C$57:$AT$57)-INDEX('TO HOP'!$AD$66:$AD$127,$A190)*'TO HOP'!$AD$57-INDEX('TO HOP'!$AR$66:$AR$127,$A190)*'TO HOP'!$AR$57-INDEX('TO HOP'!$AS$66:$AS$127,$A190)*'TO HOP'!$AS$57+(INDEX('TO HOP'!$AD$66:$AD$127,$A190)*$G190+INDEX('TO HOP'!$AR$66:$AR$127,$A190)*$D190+INDEX('TO HOP'!$AS$66:$AS$127,$A190)*($E190+$F190))*(Hbe+Hcot+hxm+hgoi))</f>
        <v>-6219.2770907619797</v>
      </c>
      <c r="J190" s="39">
        <f>IF($H190="","",SUMPRODUCT(INDEX('TO HOP'!$C$66:$AT$127,$A190,0),'TO HOP'!$C$58:$AT$58)-INDEX('TO HOP'!$AD$66:$AD$127,$A190)*'TO HOP'!$AD$58-INDEX('TO HOP'!$AR$66:$AR$127,$A190)*'TO HOP'!$AR$58-INDEX('TO HOP'!$AS$66:$AS$127,$A190)*'TO HOP'!$AS$58+INDEX('TO HOP'!$AD$66:$AD$127,$A190)*$G190+INDEX('TO HOP'!$AR$66:$AR$127,$A190)*$D190+INDEX('TO HOP'!$AS$66:$AS$127,$A190)*($E190+$F190))</f>
        <v>-824.67672186579659</v>
      </c>
      <c r="K190" s="39">
        <f>IF($H190="","",SUMPRODUCT(INDEX('TO HOP'!$C$66:$AT$127,$A190,0),'TO HOP'!$C$62:$AT$62)-INDEX('TO HOP'!$AD$66:$AD$127,$A190)*'TO HOP'!$AD$62-INDEX('TO HOP'!$AR$66:$AR$127,$A190)*'TO HOP'!$AR$62-INDEX('TO HOP'!$AS$66:$AS$127,$A190)*'TO HOP'!$AS$62+(INDEX('TO HOP'!$AD$66:$AD$127,$A190)*$G190+INDEX('TO HOP'!$AR$66:$AR$127,$A190)*$D190+INDEX('TO HOP'!$AS$66:$AS$127,$A190)*($E190+$F190))*(Hcot+hxm+hgoi))</f>
        <v>-4569.9236470303877</v>
      </c>
      <c r="L190" s="39">
        <f t="shared" si="8"/>
        <v>824.67672186579659</v>
      </c>
      <c r="M190" s="39">
        <f t="shared" si="9"/>
        <v>6219.2770907619797</v>
      </c>
      <c r="N190" s="39">
        <f t="shared" si="10"/>
        <v>824.67672186579659</v>
      </c>
      <c r="O190" s="39">
        <f t="shared" si="11"/>
        <v>4569.9236470303877</v>
      </c>
    </row>
    <row r="191" spans="1:15" x14ac:dyDescent="0.3">
      <c r="A191" s="38">
        <f>'TO HOP'!N177</f>
        <v>47</v>
      </c>
      <c r="B191" s="38" t="str">
        <f>'TO HOP'!B177</f>
        <v>CĐ I(b) min - 1 nhịp 5 làn</v>
      </c>
      <c r="C191" s="38" t="s">
        <v>1202</v>
      </c>
      <c r="D191" s="39">
        <f>'HE GOI'!D19</f>
        <v>1383.337308977915</v>
      </c>
      <c r="E191" s="39">
        <f>IF(csmode=1,0,'HE GOI'!D20)</f>
        <v>512.34715147329803</v>
      </c>
      <c r="F191" s="39">
        <f>IF(csmode=1,'HE GOI'!D24,'HE GOI'!D21)</f>
        <v>320.21696967081334</v>
      </c>
      <c r="G191" s="39">
        <f>'HE GOI'!D22</f>
        <v>1034.6545125000002</v>
      </c>
      <c r="H191" s="39">
        <f>IF(OR($A191=0,NOT(ISNUMBER($D191)),NOT(ISNUMBER($E191)),NOT(ISNUMBER($F191))),"",SUMPRODUCT(INDEX('TO HOP'!$C$66:$AT$127,$A191,0),'TO HOP'!$C$53:$AT$53)-INDEX('TO HOP'!$AD$66:$AD$127,$A191)*'TO HOP'!$AD$53-INDEX('TO HOP'!$AR$66:$AR$127,$A191)*'TO HOP'!$AR$53-INDEX('TO HOP'!$AS$66:$AS$127,$A191)*'TO HOP'!$AS$53+INDEX('TO HOP'!$AD$66:$AD$127,$A191)*$G191+INDEX('TO HOP'!$AR$66:$AR$127,$A191)*$D191+INDEX('TO HOP'!$AS$66:$AS$127,$A191)*($E191+$F191))</f>
        <v>2697.1364775610136</v>
      </c>
      <c r="I191" s="39">
        <f>IF($H191="","",SUMPRODUCT(INDEX('TO HOP'!$C$66:$AT$127,$A191,0),'TO HOP'!$C$57:$AT$57)-INDEX('TO HOP'!$AD$66:$AD$127,$A191)*'TO HOP'!$AD$57-INDEX('TO HOP'!$AR$66:$AR$127,$A191)*'TO HOP'!$AR$57-INDEX('TO HOP'!$AS$66:$AS$127,$A191)*'TO HOP'!$AS$57+(INDEX('TO HOP'!$AD$66:$AD$127,$A191)*$G191+INDEX('TO HOP'!$AR$66:$AR$127,$A191)*$D191+INDEX('TO HOP'!$AS$66:$AS$127,$A191)*($E191+$F191))*(Hbe+Hcot+hxm+hgoi))</f>
        <v>37028.588998199251</v>
      </c>
      <c r="J191" s="39">
        <f>IF($H191="","",SUMPRODUCT(INDEX('TO HOP'!$C$66:$AT$127,$A191,0),'TO HOP'!$C$58:$AT$58)-INDEX('TO HOP'!$AD$66:$AD$127,$A191)*'TO HOP'!$AD$58-INDEX('TO HOP'!$AR$66:$AR$127,$A191)*'TO HOP'!$AR$58-INDEX('TO HOP'!$AS$66:$AS$127,$A191)*'TO HOP'!$AS$58+INDEX('TO HOP'!$AD$66:$AD$127,$A191)*$G191+INDEX('TO HOP'!$AR$66:$AR$127,$A191)*$D191+INDEX('TO HOP'!$AS$66:$AS$127,$A191)*($E191+$F191))</f>
        <v>2697.1364775610136</v>
      </c>
      <c r="K191" s="39">
        <f>IF($H191="","",SUMPRODUCT(INDEX('TO HOP'!$C$66:$AT$127,$A191,0),'TO HOP'!$C$62:$AT$62)-INDEX('TO HOP'!$AD$66:$AD$127,$A191)*'TO HOP'!$AD$62-INDEX('TO HOP'!$AR$66:$AR$127,$A191)*'TO HOP'!$AR$62-INDEX('TO HOP'!$AS$66:$AS$127,$A191)*'TO HOP'!$AS$62+(INDEX('TO HOP'!$AD$66:$AD$127,$A191)*$G191+INDEX('TO HOP'!$AR$66:$AR$127,$A191)*$D191+INDEX('TO HOP'!$AS$66:$AS$127,$A191)*($E191+$F191))*(Hcot+hxm+hgoi))</f>
        <v>31634.316043077226</v>
      </c>
      <c r="L191" s="39">
        <f t="shared" si="8"/>
        <v>2697.1364775610136</v>
      </c>
      <c r="M191" s="39">
        <f t="shared" si="9"/>
        <v>37028.588998199251</v>
      </c>
      <c r="N191" s="39">
        <f t="shared" si="10"/>
        <v>2697.1364775610136</v>
      </c>
      <c r="O191" s="39">
        <f t="shared" si="11"/>
        <v>31634.316043077226</v>
      </c>
    </row>
    <row r="192" spans="1:15" x14ac:dyDescent="0.3">
      <c r="A192" s="38">
        <f>'TO HOP'!N177</f>
        <v>47</v>
      </c>
      <c r="B192" s="38" t="str">
        <f>'TO HOP'!B177</f>
        <v>CĐ I(b) min - 1 nhịp 5 làn</v>
      </c>
      <c r="C192" s="38" t="s">
        <v>1203</v>
      </c>
      <c r="D192" s="39">
        <f>'HE GOI'!D19</f>
        <v>1383.337308977915</v>
      </c>
      <c r="E192" s="39">
        <f>IF(csmode=1,0,'HE GOI'!D20)</f>
        <v>512.34715147329803</v>
      </c>
      <c r="F192" s="39">
        <f>IF(csmode=1,'HE GOI'!D24,'HE GOI'!D21)</f>
        <v>320.21696967081334</v>
      </c>
      <c r="G192" s="39">
        <f>'HE GOI'!D23</f>
        <v>-1034.6545125000002</v>
      </c>
      <c r="H192" s="39">
        <f>IF(OR($A192=0,NOT(ISNUMBER($D192)),NOT(ISNUMBER($E192)),NOT(ISNUMBER($F192))),"",SUMPRODUCT(INDEX('TO HOP'!$C$66:$AT$127,$A192,0),'TO HOP'!$C$53:$AT$53)-INDEX('TO HOP'!$AD$66:$AD$127,$A192)*'TO HOP'!$AD$53-INDEX('TO HOP'!$AR$66:$AR$127,$A192)*'TO HOP'!$AR$53-INDEX('TO HOP'!$AS$66:$AS$127,$A192)*'TO HOP'!$AS$53+INDEX('TO HOP'!$AD$66:$AD$127,$A192)*$G192+INDEX('TO HOP'!$AR$66:$AR$127,$A192)*$D192+INDEX('TO HOP'!$AS$66:$AS$127,$A192)*($E192+$F192))</f>
        <v>627.82745256101293</v>
      </c>
      <c r="I192" s="39">
        <f>IF($H192="","",SUMPRODUCT(INDEX('TO HOP'!$C$66:$AT$127,$A192,0),'TO HOP'!$C$57:$AT$57)-INDEX('TO HOP'!$AD$66:$AD$127,$A192)*'TO HOP'!$AD$57-INDEX('TO HOP'!$AR$66:$AR$127,$A192)*'TO HOP'!$AR$57-INDEX('TO HOP'!$AS$66:$AS$127,$A192)*'TO HOP'!$AS$57+(INDEX('TO HOP'!$AD$66:$AD$127,$A192)*$G192+INDEX('TO HOP'!$AR$66:$AR$127,$A192)*$D192+INDEX('TO HOP'!$AS$66:$AS$127,$A192)*($E192+$F192))*(Hbe+Hcot+hxm+hgoi))</f>
        <v>11617.474171199243</v>
      </c>
      <c r="J192" s="39">
        <f>IF($H192="","",SUMPRODUCT(INDEX('TO HOP'!$C$66:$AT$127,$A192,0),'TO HOP'!$C$58:$AT$58)-INDEX('TO HOP'!$AD$66:$AD$127,$A192)*'TO HOP'!$AD$58-INDEX('TO HOP'!$AR$66:$AR$127,$A192)*'TO HOP'!$AR$58-INDEX('TO HOP'!$AS$66:$AS$127,$A192)*'TO HOP'!$AS$58+INDEX('TO HOP'!$AD$66:$AD$127,$A192)*$G192+INDEX('TO HOP'!$AR$66:$AR$127,$A192)*$D192+INDEX('TO HOP'!$AS$66:$AS$127,$A192)*($E192+$F192))</f>
        <v>627.82745256101293</v>
      </c>
      <c r="K192" s="39">
        <f>IF($H192="","",SUMPRODUCT(INDEX('TO HOP'!$C$66:$AT$127,$A192,0),'TO HOP'!$C$62:$AT$62)-INDEX('TO HOP'!$AD$66:$AD$127,$A192)*'TO HOP'!$AD$62-INDEX('TO HOP'!$AR$66:$AR$127,$A192)*'TO HOP'!$AR$62-INDEX('TO HOP'!$AS$66:$AS$127,$A192)*'TO HOP'!$AS$62+(INDEX('TO HOP'!$AD$66:$AD$127,$A192)*$G192+INDEX('TO HOP'!$AR$66:$AR$127,$A192)*$D192+INDEX('TO HOP'!$AS$66:$AS$127,$A192)*($E192+$F192))*(Hcot+hxm+hgoi))</f>
        <v>10361.819266077215</v>
      </c>
      <c r="L192" s="39">
        <f t="shared" si="8"/>
        <v>627.82745256101293</v>
      </c>
      <c r="M192" s="39">
        <f t="shared" si="9"/>
        <v>11617.474171199243</v>
      </c>
      <c r="N192" s="39">
        <f t="shared" si="10"/>
        <v>627.82745256101293</v>
      </c>
      <c r="O192" s="39">
        <f t="shared" si="11"/>
        <v>10361.819266077215</v>
      </c>
    </row>
    <row r="193" spans="1:15" x14ac:dyDescent="0.3">
      <c r="A193" s="38">
        <f>'TO HOP'!N178</f>
        <v>48</v>
      </c>
      <c r="B193" s="38" t="str">
        <f>'TO HOP'!B178</f>
        <v>CĐ I(b) min - 1 nhịp 6 làn</v>
      </c>
      <c r="C193" s="38" t="s">
        <v>1200</v>
      </c>
      <c r="D193" s="39">
        <f>'HE GOI'!D18</f>
        <v>-1521.6710398757043</v>
      </c>
      <c r="E193" s="39">
        <f>IF(csmode=1,0,'HE GOI'!D20)</f>
        <v>512.34715147329803</v>
      </c>
      <c r="F193" s="39">
        <f>IF(csmode=1,'HE GOI'!D24,'HE GOI'!D21)</f>
        <v>320.21696967081334</v>
      </c>
      <c r="G193" s="39">
        <f>'HE GOI'!D22</f>
        <v>1034.6545125000002</v>
      </c>
      <c r="H193" s="39">
        <f>IF(OR($A193=0,NOT(ISNUMBER($D193)),NOT(ISNUMBER($E193)),NOT(ISNUMBER($F193))),"",SUMPRODUCT(INDEX('TO HOP'!$C$66:$AT$127,$A193,0),'TO HOP'!$C$53:$AT$53)-INDEX('TO HOP'!$AD$66:$AD$127,$A193)*'TO HOP'!$AD$53-INDEX('TO HOP'!$AR$66:$AR$127,$A193)*'TO HOP'!$AR$53-INDEX('TO HOP'!$AS$66:$AS$127,$A193)*'TO HOP'!$AS$53+INDEX('TO HOP'!$AD$66:$AD$127,$A193)*$G193+INDEX('TO HOP'!$AR$66:$AR$127,$A193)*$D193+INDEX('TO HOP'!$AS$66:$AS$127,$A193)*($E193+$F193))</f>
        <v>1244.6323031342038</v>
      </c>
      <c r="I193" s="39">
        <f>IF($H193="","",SUMPRODUCT(INDEX('TO HOP'!$C$66:$AT$127,$A193,0),'TO HOP'!$C$57:$AT$57)-INDEX('TO HOP'!$AD$66:$AD$127,$A193)*'TO HOP'!$AD$57-INDEX('TO HOP'!$AR$66:$AR$127,$A193)*'TO HOP'!$AR$57-INDEX('TO HOP'!$AS$66:$AS$127,$A193)*'TO HOP'!$AS$57+(INDEX('TO HOP'!$AD$66:$AD$127,$A193)*$G193+INDEX('TO HOP'!$AR$66:$AR$127,$A193)*$D193+INDEX('TO HOP'!$AS$66:$AS$127,$A193)*($E193+$F193))*(Hbe+Hcot+hxm+hgoi))</f>
        <v>19779.302409488024</v>
      </c>
      <c r="J193" s="39">
        <f>IF($H193="","",SUMPRODUCT(INDEX('TO HOP'!$C$66:$AT$127,$A193,0),'TO HOP'!$C$58:$AT$58)-INDEX('TO HOP'!$AD$66:$AD$127,$A193)*'TO HOP'!$AD$58-INDEX('TO HOP'!$AR$66:$AR$127,$A193)*'TO HOP'!$AR$58-INDEX('TO HOP'!$AS$66:$AS$127,$A193)*'TO HOP'!$AS$58+INDEX('TO HOP'!$AD$66:$AD$127,$A193)*$G193+INDEX('TO HOP'!$AR$66:$AR$127,$A193)*$D193+INDEX('TO HOP'!$AS$66:$AS$127,$A193)*($E193+$F193))</f>
        <v>1244.6323031342038</v>
      </c>
      <c r="K193" s="39">
        <f>IF($H193="","",SUMPRODUCT(INDEX('TO HOP'!$C$66:$AT$127,$A193,0),'TO HOP'!$C$62:$AT$62)-INDEX('TO HOP'!$AD$66:$AD$127,$A193)*'TO HOP'!$AD$62-INDEX('TO HOP'!$AR$66:$AR$127,$A193)*'TO HOP'!$AR$62-INDEX('TO HOP'!$AS$66:$AS$127,$A193)*'TO HOP'!$AS$62+(INDEX('TO HOP'!$AD$66:$AD$127,$A193)*$G193+INDEX('TO HOP'!$AR$66:$AR$127,$A193)*$D193+INDEX('TO HOP'!$AS$66:$AS$127,$A193)*($E193+$F193))*(Hcot+hxm+hgoi))</f>
        <v>17290.037803219617</v>
      </c>
      <c r="L193" s="39">
        <f t="shared" si="8"/>
        <v>1244.6323031342038</v>
      </c>
      <c r="M193" s="39">
        <f t="shared" si="9"/>
        <v>19779.302409488024</v>
      </c>
      <c r="N193" s="39">
        <f t="shared" si="10"/>
        <v>1244.6323031342038</v>
      </c>
      <c r="O193" s="39">
        <f t="shared" si="11"/>
        <v>17290.037803219617</v>
      </c>
    </row>
    <row r="194" spans="1:15" x14ac:dyDescent="0.3">
      <c r="A194" s="38">
        <f>'TO HOP'!N178</f>
        <v>48</v>
      </c>
      <c r="B194" s="38" t="str">
        <f>'TO HOP'!B178</f>
        <v>CĐ I(b) min - 1 nhịp 6 làn</v>
      </c>
      <c r="C194" s="38" t="s">
        <v>1201</v>
      </c>
      <c r="D194" s="39">
        <f>'HE GOI'!D18</f>
        <v>-1521.6710398757043</v>
      </c>
      <c r="E194" s="39">
        <f>IF(csmode=1,0,'HE GOI'!D20)</f>
        <v>512.34715147329803</v>
      </c>
      <c r="F194" s="39">
        <f>IF(csmode=1,'HE GOI'!D24,'HE GOI'!D21)</f>
        <v>320.21696967081334</v>
      </c>
      <c r="G194" s="39">
        <f>'HE GOI'!D23</f>
        <v>-1034.6545125000002</v>
      </c>
      <c r="H194" s="39">
        <f>IF(OR($A194=0,NOT(ISNUMBER($D194)),NOT(ISNUMBER($E194)),NOT(ISNUMBER($F194))),"",SUMPRODUCT(INDEX('TO HOP'!$C$66:$AT$127,$A194,0),'TO HOP'!$C$53:$AT$53)-INDEX('TO HOP'!$AD$66:$AD$127,$A194)*'TO HOP'!$AD$53-INDEX('TO HOP'!$AR$66:$AR$127,$A194)*'TO HOP'!$AR$53-INDEX('TO HOP'!$AS$66:$AS$127,$A194)*'TO HOP'!$AS$53+INDEX('TO HOP'!$AD$66:$AD$127,$A194)*$G194+INDEX('TO HOP'!$AR$66:$AR$127,$A194)*$D194+INDEX('TO HOP'!$AS$66:$AS$127,$A194)*($E194+$F194))</f>
        <v>-824.67672186579659</v>
      </c>
      <c r="I194" s="39">
        <f>IF($H194="","",SUMPRODUCT(INDEX('TO HOP'!$C$66:$AT$127,$A194,0),'TO HOP'!$C$57:$AT$57)-INDEX('TO HOP'!$AD$66:$AD$127,$A194)*'TO HOP'!$AD$57-INDEX('TO HOP'!$AR$66:$AR$127,$A194)*'TO HOP'!$AR$57-INDEX('TO HOP'!$AS$66:$AS$127,$A194)*'TO HOP'!$AS$57+(INDEX('TO HOP'!$AD$66:$AD$127,$A194)*$G194+INDEX('TO HOP'!$AR$66:$AR$127,$A194)*$D194+INDEX('TO HOP'!$AS$66:$AS$127,$A194)*($E194+$F194))*(Hbe+Hcot+hxm+hgoi))</f>
        <v>-5631.8124175119829</v>
      </c>
      <c r="J194" s="39">
        <f>IF($H194="","",SUMPRODUCT(INDEX('TO HOP'!$C$66:$AT$127,$A194,0),'TO HOP'!$C$58:$AT$58)-INDEX('TO HOP'!$AD$66:$AD$127,$A194)*'TO HOP'!$AD$58-INDEX('TO HOP'!$AR$66:$AR$127,$A194)*'TO HOP'!$AR$58-INDEX('TO HOP'!$AS$66:$AS$127,$A194)*'TO HOP'!$AS$58+INDEX('TO HOP'!$AD$66:$AD$127,$A194)*$G194+INDEX('TO HOP'!$AR$66:$AR$127,$A194)*$D194+INDEX('TO HOP'!$AS$66:$AS$127,$A194)*($E194+$F194))</f>
        <v>-824.67672186579659</v>
      </c>
      <c r="K194" s="39">
        <f>IF($H194="","",SUMPRODUCT(INDEX('TO HOP'!$C$66:$AT$127,$A194,0),'TO HOP'!$C$62:$AT$62)-INDEX('TO HOP'!$AD$66:$AD$127,$A194)*'TO HOP'!$AD$62-INDEX('TO HOP'!$AR$66:$AR$127,$A194)*'TO HOP'!$AR$62-INDEX('TO HOP'!$AS$66:$AS$127,$A194)*'TO HOP'!$AS$62+(INDEX('TO HOP'!$AD$66:$AD$127,$A194)*$G194+INDEX('TO HOP'!$AR$66:$AR$127,$A194)*$D194+INDEX('TO HOP'!$AS$66:$AS$127,$A194)*($E194+$F194))*(Hcot+hxm+hgoi))</f>
        <v>-3982.4589737803872</v>
      </c>
      <c r="L194" s="39">
        <f t="shared" si="8"/>
        <v>824.67672186579659</v>
      </c>
      <c r="M194" s="39">
        <f t="shared" si="9"/>
        <v>5631.8124175119829</v>
      </c>
      <c r="N194" s="39">
        <f t="shared" si="10"/>
        <v>824.67672186579659</v>
      </c>
      <c r="O194" s="39">
        <f t="shared" si="11"/>
        <v>3982.4589737803872</v>
      </c>
    </row>
    <row r="195" spans="1:15" x14ac:dyDescent="0.3">
      <c r="A195" s="38">
        <f>'TO HOP'!N178</f>
        <v>48</v>
      </c>
      <c r="B195" s="38" t="str">
        <f>'TO HOP'!B178</f>
        <v>CĐ I(b) min - 1 nhịp 6 làn</v>
      </c>
      <c r="C195" s="38" t="s">
        <v>1202</v>
      </c>
      <c r="D195" s="39">
        <f>'HE GOI'!D19</f>
        <v>1383.337308977915</v>
      </c>
      <c r="E195" s="39">
        <f>IF(csmode=1,0,'HE GOI'!D20)</f>
        <v>512.34715147329803</v>
      </c>
      <c r="F195" s="39">
        <f>IF(csmode=1,'HE GOI'!D24,'HE GOI'!D21)</f>
        <v>320.21696967081334</v>
      </c>
      <c r="G195" s="39">
        <f>'HE GOI'!D22</f>
        <v>1034.6545125000002</v>
      </c>
      <c r="H195" s="39">
        <f>IF(OR($A195=0,NOT(ISNUMBER($D195)),NOT(ISNUMBER($E195)),NOT(ISNUMBER($F195))),"",SUMPRODUCT(INDEX('TO HOP'!$C$66:$AT$127,$A195,0),'TO HOP'!$C$53:$AT$53)-INDEX('TO HOP'!$AD$66:$AD$127,$A195)*'TO HOP'!$AD$53-INDEX('TO HOP'!$AR$66:$AR$127,$A195)*'TO HOP'!$AR$53-INDEX('TO HOP'!$AS$66:$AS$127,$A195)*'TO HOP'!$AS$53+INDEX('TO HOP'!$AD$66:$AD$127,$A195)*$G195+INDEX('TO HOP'!$AR$66:$AR$127,$A195)*$D195+INDEX('TO HOP'!$AS$66:$AS$127,$A195)*($E195+$F195))</f>
        <v>2697.1364775610136</v>
      </c>
      <c r="I195" s="39">
        <f>IF($H195="","",SUMPRODUCT(INDEX('TO HOP'!$C$66:$AT$127,$A195,0),'TO HOP'!$C$57:$AT$57)-INDEX('TO HOP'!$AD$66:$AD$127,$A195)*'TO HOP'!$AD$57-INDEX('TO HOP'!$AR$66:$AR$127,$A195)*'TO HOP'!$AR$57-INDEX('TO HOP'!$AS$66:$AS$127,$A195)*'TO HOP'!$AS$57+(INDEX('TO HOP'!$AD$66:$AD$127,$A195)*$G195+INDEX('TO HOP'!$AR$66:$AR$127,$A195)*$D195+INDEX('TO HOP'!$AS$66:$AS$127,$A195)*($E195+$F195))*(Hbe+Hcot+hxm+hgoi))</f>
        <v>37616.053671449248</v>
      </c>
      <c r="J195" s="39">
        <f>IF($H195="","",SUMPRODUCT(INDEX('TO HOP'!$C$66:$AT$127,$A195,0),'TO HOP'!$C$58:$AT$58)-INDEX('TO HOP'!$AD$66:$AD$127,$A195)*'TO HOP'!$AD$58-INDEX('TO HOP'!$AR$66:$AR$127,$A195)*'TO HOP'!$AR$58-INDEX('TO HOP'!$AS$66:$AS$127,$A195)*'TO HOP'!$AS$58+INDEX('TO HOP'!$AD$66:$AD$127,$A195)*$G195+INDEX('TO HOP'!$AR$66:$AR$127,$A195)*$D195+INDEX('TO HOP'!$AS$66:$AS$127,$A195)*($E195+$F195))</f>
        <v>2697.1364775610136</v>
      </c>
      <c r="K195" s="39">
        <f>IF($H195="","",SUMPRODUCT(INDEX('TO HOP'!$C$66:$AT$127,$A195,0),'TO HOP'!$C$62:$AT$62)-INDEX('TO HOP'!$AD$66:$AD$127,$A195)*'TO HOP'!$AD$62-INDEX('TO HOP'!$AR$66:$AR$127,$A195)*'TO HOP'!$AR$62-INDEX('TO HOP'!$AS$66:$AS$127,$A195)*'TO HOP'!$AS$62+(INDEX('TO HOP'!$AD$66:$AD$127,$A195)*$G195+INDEX('TO HOP'!$AR$66:$AR$127,$A195)*$D195+INDEX('TO HOP'!$AS$66:$AS$127,$A195)*($E195+$F195))*(Hcot+hxm+hgoi))</f>
        <v>32221.780716327226</v>
      </c>
      <c r="L195" s="39">
        <f t="shared" si="8"/>
        <v>2697.1364775610136</v>
      </c>
      <c r="M195" s="39">
        <f t="shared" si="9"/>
        <v>37616.053671449248</v>
      </c>
      <c r="N195" s="39">
        <f t="shared" si="10"/>
        <v>2697.1364775610136</v>
      </c>
      <c r="O195" s="39">
        <f t="shared" si="11"/>
        <v>32221.780716327226</v>
      </c>
    </row>
    <row r="196" spans="1:15" x14ac:dyDescent="0.3">
      <c r="A196" s="38">
        <f>'TO HOP'!N178</f>
        <v>48</v>
      </c>
      <c r="B196" s="38" t="str">
        <f>'TO HOP'!B178</f>
        <v>CĐ I(b) min - 1 nhịp 6 làn</v>
      </c>
      <c r="C196" s="38" t="s">
        <v>1203</v>
      </c>
      <c r="D196" s="39">
        <f>'HE GOI'!D19</f>
        <v>1383.337308977915</v>
      </c>
      <c r="E196" s="39">
        <f>IF(csmode=1,0,'HE GOI'!D20)</f>
        <v>512.34715147329803</v>
      </c>
      <c r="F196" s="39">
        <f>IF(csmode=1,'HE GOI'!D24,'HE GOI'!D21)</f>
        <v>320.21696967081334</v>
      </c>
      <c r="G196" s="39">
        <f>'HE GOI'!D23</f>
        <v>-1034.6545125000002</v>
      </c>
      <c r="H196" s="39">
        <f>IF(OR($A196=0,NOT(ISNUMBER($D196)),NOT(ISNUMBER($E196)),NOT(ISNUMBER($F196))),"",SUMPRODUCT(INDEX('TO HOP'!$C$66:$AT$127,$A196,0),'TO HOP'!$C$53:$AT$53)-INDEX('TO HOP'!$AD$66:$AD$127,$A196)*'TO HOP'!$AD$53-INDEX('TO HOP'!$AR$66:$AR$127,$A196)*'TO HOP'!$AR$53-INDEX('TO HOP'!$AS$66:$AS$127,$A196)*'TO HOP'!$AS$53+INDEX('TO HOP'!$AD$66:$AD$127,$A196)*$G196+INDEX('TO HOP'!$AR$66:$AR$127,$A196)*$D196+INDEX('TO HOP'!$AS$66:$AS$127,$A196)*($E196+$F196))</f>
        <v>627.82745256101293</v>
      </c>
      <c r="I196" s="39">
        <f>IF($H196="","",SUMPRODUCT(INDEX('TO HOP'!$C$66:$AT$127,$A196,0),'TO HOP'!$C$57:$AT$57)-INDEX('TO HOP'!$AD$66:$AD$127,$A196)*'TO HOP'!$AD$57-INDEX('TO HOP'!$AR$66:$AR$127,$A196)*'TO HOP'!$AR$57-INDEX('TO HOP'!$AS$66:$AS$127,$A196)*'TO HOP'!$AS$57+(INDEX('TO HOP'!$AD$66:$AD$127,$A196)*$G196+INDEX('TO HOP'!$AR$66:$AR$127,$A196)*$D196+INDEX('TO HOP'!$AS$66:$AS$127,$A196)*($E196+$F196))*(Hbe+Hcot+hxm+hgoi))</f>
        <v>12204.93884444924</v>
      </c>
      <c r="J196" s="39">
        <f>IF($H196="","",SUMPRODUCT(INDEX('TO HOP'!$C$66:$AT$127,$A196,0),'TO HOP'!$C$58:$AT$58)-INDEX('TO HOP'!$AD$66:$AD$127,$A196)*'TO HOP'!$AD$58-INDEX('TO HOP'!$AR$66:$AR$127,$A196)*'TO HOP'!$AR$58-INDEX('TO HOP'!$AS$66:$AS$127,$A196)*'TO HOP'!$AS$58+INDEX('TO HOP'!$AD$66:$AD$127,$A196)*$G196+INDEX('TO HOP'!$AR$66:$AR$127,$A196)*$D196+INDEX('TO HOP'!$AS$66:$AS$127,$A196)*($E196+$F196))</f>
        <v>627.82745256101293</v>
      </c>
      <c r="K196" s="39">
        <f>IF($H196="","",SUMPRODUCT(INDEX('TO HOP'!$C$66:$AT$127,$A196,0),'TO HOP'!$C$62:$AT$62)-INDEX('TO HOP'!$AD$66:$AD$127,$A196)*'TO HOP'!$AD$62-INDEX('TO HOP'!$AR$66:$AR$127,$A196)*'TO HOP'!$AR$62-INDEX('TO HOP'!$AS$66:$AS$127,$A196)*'TO HOP'!$AS$62+(INDEX('TO HOP'!$AD$66:$AD$127,$A196)*$G196+INDEX('TO HOP'!$AR$66:$AR$127,$A196)*$D196+INDEX('TO HOP'!$AS$66:$AS$127,$A196)*($E196+$F196))*(Hcot+hxm+hgoi))</f>
        <v>10949.283939327215</v>
      </c>
      <c r="L196" s="39">
        <f t="shared" si="8"/>
        <v>627.82745256101293</v>
      </c>
      <c r="M196" s="39">
        <f t="shared" si="9"/>
        <v>12204.93884444924</v>
      </c>
      <c r="N196" s="39">
        <f t="shared" si="10"/>
        <v>627.82745256101293</v>
      </c>
      <c r="O196" s="39">
        <f t="shared" si="11"/>
        <v>10949.283939327215</v>
      </c>
    </row>
    <row r="197" spans="1:15" x14ac:dyDescent="0.3">
      <c r="A197" s="38">
        <f>'TO HOP'!N179</f>
        <v>49</v>
      </c>
      <c r="B197" s="38" t="str">
        <f>'TO HOP'!B179</f>
        <v>CĐ III(a) max</v>
      </c>
      <c r="C197" s="38" t="s">
        <v>1200</v>
      </c>
      <c r="D197" s="39">
        <f>'HE GOI'!D18</f>
        <v>-1521.6710398757043</v>
      </c>
      <c r="E197" s="39">
        <f>IF(csmode=1,0,'HE GOI'!D20)</f>
        <v>512.34715147329803</v>
      </c>
      <c r="F197" s="39">
        <f>IF(csmode=1,'HE GOI'!D24,'HE GOI'!D21)</f>
        <v>320.21696967081334</v>
      </c>
      <c r="G197" s="39">
        <f>'HE GOI'!D22</f>
        <v>1034.6545125000002</v>
      </c>
      <c r="H197" s="39">
        <f>IF(OR($A197=0,NOT(ISNUMBER($D197)),NOT(ISNUMBER($E197)),NOT(ISNUMBER($F197))),"",SUMPRODUCT(INDEX('TO HOP'!$C$66:$AT$127,$A197,0),'TO HOP'!$C$53:$AT$53)-INDEX('TO HOP'!$AD$66:$AD$127,$A197)*'TO HOP'!$AD$53-INDEX('TO HOP'!$AR$66:$AR$127,$A197)*'TO HOP'!$AR$53-INDEX('TO HOP'!$AS$66:$AS$127,$A197)*'TO HOP'!$AS$53+INDEX('TO HOP'!$AD$66:$AD$127,$A197)*$G197+INDEX('TO HOP'!$AR$66:$AR$127,$A197)*$D197+INDEX('TO HOP'!$AS$66:$AS$127,$A197)*($E197+$F197))</f>
        <v>800.96569507787558</v>
      </c>
      <c r="I197" s="39">
        <f>IF($H197="","",SUMPRODUCT(INDEX('TO HOP'!$C$66:$AT$127,$A197,0),'TO HOP'!$C$57:$AT$57)-INDEX('TO HOP'!$AD$66:$AD$127,$A197)*'TO HOP'!$AD$57-INDEX('TO HOP'!$AR$66:$AR$127,$A197)*'TO HOP'!$AR$57-INDEX('TO HOP'!$AS$66:$AS$127,$A197)*'TO HOP'!$AS$57+(INDEX('TO HOP'!$AD$66:$AD$127,$A197)*$G197+INDEX('TO HOP'!$AR$66:$AR$127,$A197)*$D197+INDEX('TO HOP'!$AS$66:$AS$127,$A197)*($E197+$F197))*(Hbe+Hcot+hxm+hgoi))</f>
        <v>9747.3550905204138</v>
      </c>
      <c r="J197" s="39">
        <f>IF($H197="","",SUMPRODUCT(INDEX('TO HOP'!$C$66:$AT$127,$A197,0),'TO HOP'!$C$58:$AT$58)-INDEX('TO HOP'!$AD$66:$AD$127,$A197)*'TO HOP'!$AD$58-INDEX('TO HOP'!$AR$66:$AR$127,$A197)*'TO HOP'!$AR$58-INDEX('TO HOP'!$AS$66:$AS$127,$A197)*'TO HOP'!$AS$58+INDEX('TO HOP'!$AD$66:$AD$127,$A197)*$G197+INDEX('TO HOP'!$AR$66:$AR$127,$A197)*$D197+INDEX('TO HOP'!$AS$66:$AS$127,$A197)*($E197+$F197))</f>
        <v>800.96569507787558</v>
      </c>
      <c r="K197" s="39">
        <f>IF($H197="","",SUMPRODUCT(INDEX('TO HOP'!$C$66:$AT$127,$A197,0),'TO HOP'!$C$62:$AT$62)-INDEX('TO HOP'!$AD$66:$AD$127,$A197)*'TO HOP'!$AD$62-INDEX('TO HOP'!$AR$66:$AR$127,$A197)*'TO HOP'!$AR$62-INDEX('TO HOP'!$AS$66:$AS$127,$A197)*'TO HOP'!$AS$62+(INDEX('TO HOP'!$AD$66:$AD$127,$A197)*$G197+INDEX('TO HOP'!$AR$66:$AR$127,$A197)*$D197+INDEX('TO HOP'!$AS$66:$AS$127,$A197)*($E197+$F197))*(Hcot+hxm+hgoi))</f>
        <v>8145.4237003646622</v>
      </c>
      <c r="L197" s="39">
        <f t="shared" ref="L197:L252" si="12">IF(H197="","",ABS(H197))</f>
        <v>800.96569507787558</v>
      </c>
      <c r="M197" s="39">
        <f t="shared" ref="M197:M252" si="13">IF(I197="","",ABS(I197))</f>
        <v>9747.3550905204138</v>
      </c>
      <c r="N197" s="39">
        <f t="shared" ref="N197:N252" si="14">IF(J197="","",ABS(J197))</f>
        <v>800.96569507787558</v>
      </c>
      <c r="O197" s="39">
        <f t="shared" ref="O197:O252" si="15">IF(K197="","",ABS(K197))</f>
        <v>8145.4237003646622</v>
      </c>
    </row>
    <row r="198" spans="1:15" x14ac:dyDescent="0.3">
      <c r="A198" s="38">
        <f>'TO HOP'!N179</f>
        <v>49</v>
      </c>
      <c r="B198" s="38" t="str">
        <f>'TO HOP'!B179</f>
        <v>CĐ III(a) max</v>
      </c>
      <c r="C198" s="38" t="s">
        <v>1201</v>
      </c>
      <c r="D198" s="39">
        <f>'HE GOI'!D18</f>
        <v>-1521.6710398757043</v>
      </c>
      <c r="E198" s="39">
        <f>IF(csmode=1,0,'HE GOI'!D20)</f>
        <v>512.34715147329803</v>
      </c>
      <c r="F198" s="39">
        <f>IF(csmode=1,'HE GOI'!D24,'HE GOI'!D21)</f>
        <v>320.21696967081334</v>
      </c>
      <c r="G198" s="39">
        <f>'HE GOI'!D23</f>
        <v>-1034.6545125000002</v>
      </c>
      <c r="H198" s="39">
        <f>IF(OR($A198=0,NOT(ISNUMBER($D198)),NOT(ISNUMBER($E198)),NOT(ISNUMBER($F198))),"",SUMPRODUCT(INDEX('TO HOP'!$C$66:$AT$127,$A198,0),'TO HOP'!$C$53:$AT$53)-INDEX('TO HOP'!$AD$66:$AD$127,$A198)*'TO HOP'!$AD$53-INDEX('TO HOP'!$AR$66:$AR$127,$A198)*'TO HOP'!$AR$53-INDEX('TO HOP'!$AS$66:$AS$127,$A198)*'TO HOP'!$AS$53+INDEX('TO HOP'!$AD$66:$AD$127,$A198)*$G198+INDEX('TO HOP'!$AR$66:$AR$127,$A198)*$D198+INDEX('TO HOP'!$AS$66:$AS$127,$A198)*($E198+$F198))</f>
        <v>-1268.3433299221247</v>
      </c>
      <c r="I198" s="39">
        <f>IF($H198="","",SUMPRODUCT(INDEX('TO HOP'!$C$66:$AT$127,$A198,0),'TO HOP'!$C$57:$AT$57)-INDEX('TO HOP'!$AD$66:$AD$127,$A198)*'TO HOP'!$AD$57-INDEX('TO HOP'!$AR$66:$AR$127,$A198)*'TO HOP'!$AR$57-INDEX('TO HOP'!$AS$66:$AS$127,$A198)*'TO HOP'!$AS$57+(INDEX('TO HOP'!$AD$66:$AD$127,$A198)*$G198+INDEX('TO HOP'!$AR$66:$AR$127,$A198)*$D198+INDEX('TO HOP'!$AS$66:$AS$127,$A198)*($E198+$F198))*(Hbe+Hcot+hxm+hgoi))</f>
        <v>-15663.759736479593</v>
      </c>
      <c r="J198" s="39">
        <f>IF($H198="","",SUMPRODUCT(INDEX('TO HOP'!$C$66:$AT$127,$A198,0),'TO HOP'!$C$58:$AT$58)-INDEX('TO HOP'!$AD$66:$AD$127,$A198)*'TO HOP'!$AD$58-INDEX('TO HOP'!$AR$66:$AR$127,$A198)*'TO HOP'!$AR$58-INDEX('TO HOP'!$AS$66:$AS$127,$A198)*'TO HOP'!$AS$58+INDEX('TO HOP'!$AD$66:$AD$127,$A198)*$G198+INDEX('TO HOP'!$AR$66:$AR$127,$A198)*$D198+INDEX('TO HOP'!$AS$66:$AS$127,$A198)*($E198+$F198))</f>
        <v>-1268.3433299221247</v>
      </c>
      <c r="K198" s="39">
        <f>IF($H198="","",SUMPRODUCT(INDEX('TO HOP'!$C$66:$AT$127,$A198,0),'TO HOP'!$C$62:$AT$62)-INDEX('TO HOP'!$AD$66:$AD$127,$A198)*'TO HOP'!$AD$62-INDEX('TO HOP'!$AR$66:$AR$127,$A198)*'TO HOP'!$AR$62-INDEX('TO HOP'!$AS$66:$AS$127,$A198)*'TO HOP'!$AS$62+(INDEX('TO HOP'!$AD$66:$AD$127,$A198)*$G198+INDEX('TO HOP'!$AR$66:$AR$127,$A198)*$D198+INDEX('TO HOP'!$AS$66:$AS$127,$A198)*($E198+$F198))*(Hcot+hxm+hgoi))</f>
        <v>-13127.073076635343</v>
      </c>
      <c r="L198" s="39">
        <f t="shared" si="12"/>
        <v>1268.3433299221247</v>
      </c>
      <c r="M198" s="39">
        <f t="shared" si="13"/>
        <v>15663.759736479593</v>
      </c>
      <c r="N198" s="39">
        <f t="shared" si="14"/>
        <v>1268.3433299221247</v>
      </c>
      <c r="O198" s="39">
        <f t="shared" si="15"/>
        <v>13127.073076635343</v>
      </c>
    </row>
    <row r="199" spans="1:15" x14ac:dyDescent="0.3">
      <c r="A199" s="38">
        <f>'TO HOP'!N179</f>
        <v>49</v>
      </c>
      <c r="B199" s="38" t="str">
        <f>'TO HOP'!B179</f>
        <v>CĐ III(a) max</v>
      </c>
      <c r="C199" s="38" t="s">
        <v>1202</v>
      </c>
      <c r="D199" s="39">
        <f>'HE GOI'!D19</f>
        <v>1383.337308977915</v>
      </c>
      <c r="E199" s="39">
        <f>IF(csmode=1,0,'HE GOI'!D20)</f>
        <v>512.34715147329803</v>
      </c>
      <c r="F199" s="39">
        <f>IF(csmode=1,'HE GOI'!D24,'HE GOI'!D21)</f>
        <v>320.21696967081334</v>
      </c>
      <c r="G199" s="39">
        <f>'HE GOI'!D22</f>
        <v>1034.6545125000002</v>
      </c>
      <c r="H199" s="39">
        <f>IF(OR($A199=0,NOT(ISNUMBER($D199)),NOT(ISNUMBER($E199)),NOT(ISNUMBER($F199))),"",SUMPRODUCT(INDEX('TO HOP'!$C$66:$AT$127,$A199,0),'TO HOP'!$C$53:$AT$53)-INDEX('TO HOP'!$AD$66:$AD$127,$A199)*'TO HOP'!$AD$53-INDEX('TO HOP'!$AR$66:$AR$127,$A199)*'TO HOP'!$AR$53-INDEX('TO HOP'!$AS$66:$AS$127,$A199)*'TO HOP'!$AS$53+INDEX('TO HOP'!$AD$66:$AD$127,$A199)*$G199+INDEX('TO HOP'!$AR$66:$AR$127,$A199)*$D199+INDEX('TO HOP'!$AS$66:$AS$127,$A199)*($E199+$F199))</f>
        <v>2253.4698695046854</v>
      </c>
      <c r="I199" s="39">
        <f>IF($H199="","",SUMPRODUCT(INDEX('TO HOP'!$C$66:$AT$127,$A199,0),'TO HOP'!$C$57:$AT$57)-INDEX('TO HOP'!$AD$66:$AD$127,$A199)*'TO HOP'!$AD$57-INDEX('TO HOP'!$AR$66:$AR$127,$A199)*'TO HOP'!$AR$57-INDEX('TO HOP'!$AS$66:$AS$127,$A199)*'TO HOP'!$AS$57+(INDEX('TO HOP'!$AD$66:$AD$127,$A199)*$G199+INDEX('TO HOP'!$AR$66:$AR$127,$A199)*$D199+INDEX('TO HOP'!$AS$66:$AS$127,$A199)*($E199+$F199))*(Hbe+Hcot+hxm+hgoi))</f>
        <v>27584.106352481642</v>
      </c>
      <c r="J199" s="39">
        <f>IF($H199="","",SUMPRODUCT(INDEX('TO HOP'!$C$66:$AT$127,$A199,0),'TO HOP'!$C$58:$AT$58)-INDEX('TO HOP'!$AD$66:$AD$127,$A199)*'TO HOP'!$AD$58-INDEX('TO HOP'!$AR$66:$AR$127,$A199)*'TO HOP'!$AR$58-INDEX('TO HOP'!$AS$66:$AS$127,$A199)*'TO HOP'!$AS$58+INDEX('TO HOP'!$AD$66:$AD$127,$A199)*$G199+INDEX('TO HOP'!$AR$66:$AR$127,$A199)*$D199+INDEX('TO HOP'!$AS$66:$AS$127,$A199)*($E199+$F199))</f>
        <v>2253.4698695046854</v>
      </c>
      <c r="K199" s="39">
        <f>IF($H199="","",SUMPRODUCT(INDEX('TO HOP'!$C$66:$AT$127,$A199,0),'TO HOP'!$C$62:$AT$62)-INDEX('TO HOP'!$AD$66:$AD$127,$A199)*'TO HOP'!$AD$62-INDEX('TO HOP'!$AR$66:$AR$127,$A199)*'TO HOP'!$AR$62-INDEX('TO HOP'!$AS$66:$AS$127,$A199)*'TO HOP'!$AS$62+(INDEX('TO HOP'!$AD$66:$AD$127,$A199)*$G199+INDEX('TO HOP'!$AR$66:$AR$127,$A199)*$D199+INDEX('TO HOP'!$AS$66:$AS$127,$A199)*($E199+$F199))*(Hcot+hxm+hgoi))</f>
        <v>23077.166613472269</v>
      </c>
      <c r="L199" s="39">
        <f t="shared" si="12"/>
        <v>2253.4698695046854</v>
      </c>
      <c r="M199" s="39">
        <f t="shared" si="13"/>
        <v>27584.106352481642</v>
      </c>
      <c r="N199" s="39">
        <f t="shared" si="14"/>
        <v>2253.4698695046854</v>
      </c>
      <c r="O199" s="39">
        <f t="shared" si="15"/>
        <v>23077.166613472269</v>
      </c>
    </row>
    <row r="200" spans="1:15" x14ac:dyDescent="0.3">
      <c r="A200" s="38">
        <f>'TO HOP'!N179</f>
        <v>49</v>
      </c>
      <c r="B200" s="38" t="str">
        <f>'TO HOP'!B179</f>
        <v>CĐ III(a) max</v>
      </c>
      <c r="C200" s="38" t="s">
        <v>1203</v>
      </c>
      <c r="D200" s="39">
        <f>'HE GOI'!D19</f>
        <v>1383.337308977915</v>
      </c>
      <c r="E200" s="39">
        <f>IF(csmode=1,0,'HE GOI'!D20)</f>
        <v>512.34715147329803</v>
      </c>
      <c r="F200" s="39">
        <f>IF(csmode=1,'HE GOI'!D24,'HE GOI'!D21)</f>
        <v>320.21696967081334</v>
      </c>
      <c r="G200" s="39">
        <f>'HE GOI'!D23</f>
        <v>-1034.6545125000002</v>
      </c>
      <c r="H200" s="39">
        <f>IF(OR($A200=0,NOT(ISNUMBER($D200)),NOT(ISNUMBER($E200)),NOT(ISNUMBER($F200))),"",SUMPRODUCT(INDEX('TO HOP'!$C$66:$AT$127,$A200,0),'TO HOP'!$C$53:$AT$53)-INDEX('TO HOP'!$AD$66:$AD$127,$A200)*'TO HOP'!$AD$53-INDEX('TO HOP'!$AR$66:$AR$127,$A200)*'TO HOP'!$AR$53-INDEX('TO HOP'!$AS$66:$AS$127,$A200)*'TO HOP'!$AS$53+INDEX('TO HOP'!$AD$66:$AD$127,$A200)*$G200+INDEX('TO HOP'!$AR$66:$AR$127,$A200)*$D200+INDEX('TO HOP'!$AS$66:$AS$127,$A200)*($E200+$F200))</f>
        <v>184.16084450468475</v>
      </c>
      <c r="I200" s="39">
        <f>IF($H200="","",SUMPRODUCT(INDEX('TO HOP'!$C$66:$AT$127,$A200,0),'TO HOP'!$C$57:$AT$57)-INDEX('TO HOP'!$AD$66:$AD$127,$A200)*'TO HOP'!$AD$57-INDEX('TO HOP'!$AR$66:$AR$127,$A200)*'TO HOP'!$AR$57-INDEX('TO HOP'!$AS$66:$AS$127,$A200)*'TO HOP'!$AS$57+(INDEX('TO HOP'!$AD$66:$AD$127,$A200)*$G200+INDEX('TO HOP'!$AR$66:$AR$127,$A200)*$D200+INDEX('TO HOP'!$AS$66:$AS$127,$A200)*($E200+$F200))*(Hbe+Hcot+hxm+hgoi))</f>
        <v>2172.9915254816292</v>
      </c>
      <c r="J200" s="39">
        <f>IF($H200="","",SUMPRODUCT(INDEX('TO HOP'!$C$66:$AT$127,$A200,0),'TO HOP'!$C$58:$AT$58)-INDEX('TO HOP'!$AD$66:$AD$127,$A200)*'TO HOP'!$AD$58-INDEX('TO HOP'!$AR$66:$AR$127,$A200)*'TO HOP'!$AR$58-INDEX('TO HOP'!$AS$66:$AS$127,$A200)*'TO HOP'!$AS$58+INDEX('TO HOP'!$AD$66:$AD$127,$A200)*$G200+INDEX('TO HOP'!$AR$66:$AR$127,$A200)*$D200+INDEX('TO HOP'!$AS$66:$AS$127,$A200)*($E200+$F200))</f>
        <v>184.16084450468475</v>
      </c>
      <c r="K200" s="39">
        <f>IF($H200="","",SUMPRODUCT(INDEX('TO HOP'!$C$66:$AT$127,$A200,0),'TO HOP'!$C$62:$AT$62)-INDEX('TO HOP'!$AD$66:$AD$127,$A200)*'TO HOP'!$AD$62-INDEX('TO HOP'!$AR$66:$AR$127,$A200)*'TO HOP'!$AR$62-INDEX('TO HOP'!$AS$66:$AS$127,$A200)*'TO HOP'!$AS$62+(INDEX('TO HOP'!$AD$66:$AD$127,$A200)*$G200+INDEX('TO HOP'!$AR$66:$AR$127,$A200)*$D200+INDEX('TO HOP'!$AS$66:$AS$127,$A200)*($E200+$F200))*(Hcot+hxm+hgoi))</f>
        <v>1804.6698364722597</v>
      </c>
      <c r="L200" s="39">
        <f t="shared" si="12"/>
        <v>184.16084450468475</v>
      </c>
      <c r="M200" s="39">
        <f t="shared" si="13"/>
        <v>2172.9915254816292</v>
      </c>
      <c r="N200" s="39">
        <f t="shared" si="14"/>
        <v>184.16084450468475</v>
      </c>
      <c r="O200" s="39">
        <f t="shared" si="15"/>
        <v>1804.6698364722597</v>
      </c>
    </row>
    <row r="201" spans="1:15" x14ac:dyDescent="0.3">
      <c r="A201" s="38">
        <f>'TO HOP'!N180</f>
        <v>50</v>
      </c>
      <c r="B201" s="38" t="str">
        <f>'TO HOP'!B180</f>
        <v>CĐ III(b) min</v>
      </c>
      <c r="C201" s="38" t="s">
        <v>1200</v>
      </c>
      <c r="D201" s="39">
        <f>'HE GOI'!D18</f>
        <v>-1521.6710398757043</v>
      </c>
      <c r="E201" s="39">
        <f>IF(csmode=1,0,'HE GOI'!D20)</f>
        <v>512.34715147329803</v>
      </c>
      <c r="F201" s="39">
        <f>IF(csmode=1,'HE GOI'!D24,'HE GOI'!D21)</f>
        <v>320.21696967081334</v>
      </c>
      <c r="G201" s="39">
        <f>'HE GOI'!D22</f>
        <v>1034.6545125000002</v>
      </c>
      <c r="H201" s="39">
        <f>IF(OR($A201=0,NOT(ISNUMBER($D201)),NOT(ISNUMBER($E201)),NOT(ISNUMBER($F201))),"",SUMPRODUCT(INDEX('TO HOP'!$C$66:$AT$127,$A201,0),'TO HOP'!$C$53:$AT$53)-INDEX('TO HOP'!$AD$66:$AD$127,$A201)*'TO HOP'!$AD$53-INDEX('TO HOP'!$AR$66:$AR$127,$A201)*'TO HOP'!$AR$53-INDEX('TO HOP'!$AS$66:$AS$127,$A201)*'TO HOP'!$AS$53+INDEX('TO HOP'!$AD$66:$AD$127,$A201)*$G201+INDEX('TO HOP'!$AR$66:$AR$127,$A201)*$D201+INDEX('TO HOP'!$AS$66:$AS$127,$A201)*($E201+$F201))</f>
        <v>800.96569507787558</v>
      </c>
      <c r="I201" s="39">
        <f>IF($H201="","",SUMPRODUCT(INDEX('TO HOP'!$C$66:$AT$127,$A201,0),'TO HOP'!$C$57:$AT$57)-INDEX('TO HOP'!$AD$66:$AD$127,$A201)*'TO HOP'!$AD$57-INDEX('TO HOP'!$AR$66:$AR$127,$A201)*'TO HOP'!$AR$57-INDEX('TO HOP'!$AS$66:$AS$127,$A201)*'TO HOP'!$AS$57+(INDEX('TO HOP'!$AD$66:$AD$127,$A201)*$G201+INDEX('TO HOP'!$AR$66:$AR$127,$A201)*$D201+INDEX('TO HOP'!$AS$66:$AS$127,$A201)*($E201+$F201))*(Hbe+Hcot+hxm+hgoi))</f>
        <v>9747.3550905204138</v>
      </c>
      <c r="J201" s="39">
        <f>IF($H201="","",SUMPRODUCT(INDEX('TO HOP'!$C$66:$AT$127,$A201,0),'TO HOP'!$C$58:$AT$58)-INDEX('TO HOP'!$AD$66:$AD$127,$A201)*'TO HOP'!$AD$58-INDEX('TO HOP'!$AR$66:$AR$127,$A201)*'TO HOP'!$AR$58-INDEX('TO HOP'!$AS$66:$AS$127,$A201)*'TO HOP'!$AS$58+INDEX('TO HOP'!$AD$66:$AD$127,$A201)*$G201+INDEX('TO HOP'!$AR$66:$AR$127,$A201)*$D201+INDEX('TO HOP'!$AS$66:$AS$127,$A201)*($E201+$F201))</f>
        <v>800.96569507787558</v>
      </c>
      <c r="K201" s="39">
        <f>IF($H201="","",SUMPRODUCT(INDEX('TO HOP'!$C$66:$AT$127,$A201,0),'TO HOP'!$C$62:$AT$62)-INDEX('TO HOP'!$AD$66:$AD$127,$A201)*'TO HOP'!$AD$62-INDEX('TO HOP'!$AR$66:$AR$127,$A201)*'TO HOP'!$AR$62-INDEX('TO HOP'!$AS$66:$AS$127,$A201)*'TO HOP'!$AS$62+(INDEX('TO HOP'!$AD$66:$AD$127,$A201)*$G201+INDEX('TO HOP'!$AR$66:$AR$127,$A201)*$D201+INDEX('TO HOP'!$AS$66:$AS$127,$A201)*($E201+$F201))*(Hcot+hxm+hgoi))</f>
        <v>8145.4237003646622</v>
      </c>
      <c r="L201" s="39">
        <f t="shared" si="12"/>
        <v>800.96569507787558</v>
      </c>
      <c r="M201" s="39">
        <f t="shared" si="13"/>
        <v>9747.3550905204138</v>
      </c>
      <c r="N201" s="39">
        <f t="shared" si="14"/>
        <v>800.96569507787558</v>
      </c>
      <c r="O201" s="39">
        <f t="shared" si="15"/>
        <v>8145.4237003646622</v>
      </c>
    </row>
    <row r="202" spans="1:15" x14ac:dyDescent="0.3">
      <c r="A202" s="38">
        <f>'TO HOP'!N180</f>
        <v>50</v>
      </c>
      <c r="B202" s="38" t="str">
        <f>'TO HOP'!B180</f>
        <v>CĐ III(b) min</v>
      </c>
      <c r="C202" s="38" t="s">
        <v>1201</v>
      </c>
      <c r="D202" s="39">
        <f>'HE GOI'!D18</f>
        <v>-1521.6710398757043</v>
      </c>
      <c r="E202" s="39">
        <f>IF(csmode=1,0,'HE GOI'!D20)</f>
        <v>512.34715147329803</v>
      </c>
      <c r="F202" s="39">
        <f>IF(csmode=1,'HE GOI'!D24,'HE GOI'!D21)</f>
        <v>320.21696967081334</v>
      </c>
      <c r="G202" s="39">
        <f>'HE GOI'!D23</f>
        <v>-1034.6545125000002</v>
      </c>
      <c r="H202" s="39">
        <f>IF(OR($A202=0,NOT(ISNUMBER($D202)),NOT(ISNUMBER($E202)),NOT(ISNUMBER($F202))),"",SUMPRODUCT(INDEX('TO HOP'!$C$66:$AT$127,$A202,0),'TO HOP'!$C$53:$AT$53)-INDEX('TO HOP'!$AD$66:$AD$127,$A202)*'TO HOP'!$AD$53-INDEX('TO HOP'!$AR$66:$AR$127,$A202)*'TO HOP'!$AR$53-INDEX('TO HOP'!$AS$66:$AS$127,$A202)*'TO HOP'!$AS$53+INDEX('TO HOP'!$AD$66:$AD$127,$A202)*$G202+INDEX('TO HOP'!$AR$66:$AR$127,$A202)*$D202+INDEX('TO HOP'!$AS$66:$AS$127,$A202)*($E202+$F202))</f>
        <v>-1268.3433299221247</v>
      </c>
      <c r="I202" s="39">
        <f>IF($H202="","",SUMPRODUCT(INDEX('TO HOP'!$C$66:$AT$127,$A202,0),'TO HOP'!$C$57:$AT$57)-INDEX('TO HOP'!$AD$66:$AD$127,$A202)*'TO HOP'!$AD$57-INDEX('TO HOP'!$AR$66:$AR$127,$A202)*'TO HOP'!$AR$57-INDEX('TO HOP'!$AS$66:$AS$127,$A202)*'TO HOP'!$AS$57+(INDEX('TO HOP'!$AD$66:$AD$127,$A202)*$G202+INDEX('TO HOP'!$AR$66:$AR$127,$A202)*$D202+INDEX('TO HOP'!$AS$66:$AS$127,$A202)*($E202+$F202))*(Hbe+Hcot+hxm+hgoi))</f>
        <v>-15663.759736479593</v>
      </c>
      <c r="J202" s="39">
        <f>IF($H202="","",SUMPRODUCT(INDEX('TO HOP'!$C$66:$AT$127,$A202,0),'TO HOP'!$C$58:$AT$58)-INDEX('TO HOP'!$AD$66:$AD$127,$A202)*'TO HOP'!$AD$58-INDEX('TO HOP'!$AR$66:$AR$127,$A202)*'TO HOP'!$AR$58-INDEX('TO HOP'!$AS$66:$AS$127,$A202)*'TO HOP'!$AS$58+INDEX('TO HOP'!$AD$66:$AD$127,$A202)*$G202+INDEX('TO HOP'!$AR$66:$AR$127,$A202)*$D202+INDEX('TO HOP'!$AS$66:$AS$127,$A202)*($E202+$F202))</f>
        <v>-1268.3433299221247</v>
      </c>
      <c r="K202" s="39">
        <f>IF($H202="","",SUMPRODUCT(INDEX('TO HOP'!$C$66:$AT$127,$A202,0),'TO HOP'!$C$62:$AT$62)-INDEX('TO HOP'!$AD$66:$AD$127,$A202)*'TO HOP'!$AD$62-INDEX('TO HOP'!$AR$66:$AR$127,$A202)*'TO HOP'!$AR$62-INDEX('TO HOP'!$AS$66:$AS$127,$A202)*'TO HOP'!$AS$62+(INDEX('TO HOP'!$AD$66:$AD$127,$A202)*$G202+INDEX('TO HOP'!$AR$66:$AR$127,$A202)*$D202+INDEX('TO HOP'!$AS$66:$AS$127,$A202)*($E202+$F202))*(Hcot+hxm+hgoi))</f>
        <v>-13127.073076635343</v>
      </c>
      <c r="L202" s="39">
        <f t="shared" si="12"/>
        <v>1268.3433299221247</v>
      </c>
      <c r="M202" s="39">
        <f t="shared" si="13"/>
        <v>15663.759736479593</v>
      </c>
      <c r="N202" s="39">
        <f t="shared" si="14"/>
        <v>1268.3433299221247</v>
      </c>
      <c r="O202" s="39">
        <f t="shared" si="15"/>
        <v>13127.073076635343</v>
      </c>
    </row>
    <row r="203" spans="1:15" x14ac:dyDescent="0.3">
      <c r="A203" s="38">
        <f>'TO HOP'!N180</f>
        <v>50</v>
      </c>
      <c r="B203" s="38" t="str">
        <f>'TO HOP'!B180</f>
        <v>CĐ III(b) min</v>
      </c>
      <c r="C203" s="38" t="s">
        <v>1202</v>
      </c>
      <c r="D203" s="39">
        <f>'HE GOI'!D19</f>
        <v>1383.337308977915</v>
      </c>
      <c r="E203" s="39">
        <f>IF(csmode=1,0,'HE GOI'!D20)</f>
        <v>512.34715147329803</v>
      </c>
      <c r="F203" s="39">
        <f>IF(csmode=1,'HE GOI'!D24,'HE GOI'!D21)</f>
        <v>320.21696967081334</v>
      </c>
      <c r="G203" s="39">
        <f>'HE GOI'!D22</f>
        <v>1034.6545125000002</v>
      </c>
      <c r="H203" s="39">
        <f>IF(OR($A203=0,NOT(ISNUMBER($D203)),NOT(ISNUMBER($E203)),NOT(ISNUMBER($F203))),"",SUMPRODUCT(INDEX('TO HOP'!$C$66:$AT$127,$A203,0),'TO HOP'!$C$53:$AT$53)-INDEX('TO HOP'!$AD$66:$AD$127,$A203)*'TO HOP'!$AD$53-INDEX('TO HOP'!$AR$66:$AR$127,$A203)*'TO HOP'!$AR$53-INDEX('TO HOP'!$AS$66:$AS$127,$A203)*'TO HOP'!$AS$53+INDEX('TO HOP'!$AD$66:$AD$127,$A203)*$G203+INDEX('TO HOP'!$AR$66:$AR$127,$A203)*$D203+INDEX('TO HOP'!$AS$66:$AS$127,$A203)*($E203+$F203))</f>
        <v>2253.4698695046854</v>
      </c>
      <c r="I203" s="39">
        <f>IF($H203="","",SUMPRODUCT(INDEX('TO HOP'!$C$66:$AT$127,$A203,0),'TO HOP'!$C$57:$AT$57)-INDEX('TO HOP'!$AD$66:$AD$127,$A203)*'TO HOP'!$AD$57-INDEX('TO HOP'!$AR$66:$AR$127,$A203)*'TO HOP'!$AR$57-INDEX('TO HOP'!$AS$66:$AS$127,$A203)*'TO HOP'!$AS$57+(INDEX('TO HOP'!$AD$66:$AD$127,$A203)*$G203+INDEX('TO HOP'!$AR$66:$AR$127,$A203)*$D203+INDEX('TO HOP'!$AS$66:$AS$127,$A203)*($E203+$F203))*(Hbe+Hcot+hxm+hgoi))</f>
        <v>27584.106352481642</v>
      </c>
      <c r="J203" s="39">
        <f>IF($H203="","",SUMPRODUCT(INDEX('TO HOP'!$C$66:$AT$127,$A203,0),'TO HOP'!$C$58:$AT$58)-INDEX('TO HOP'!$AD$66:$AD$127,$A203)*'TO HOP'!$AD$58-INDEX('TO HOP'!$AR$66:$AR$127,$A203)*'TO HOP'!$AR$58-INDEX('TO HOP'!$AS$66:$AS$127,$A203)*'TO HOP'!$AS$58+INDEX('TO HOP'!$AD$66:$AD$127,$A203)*$G203+INDEX('TO HOP'!$AR$66:$AR$127,$A203)*$D203+INDEX('TO HOP'!$AS$66:$AS$127,$A203)*($E203+$F203))</f>
        <v>2253.4698695046854</v>
      </c>
      <c r="K203" s="39">
        <f>IF($H203="","",SUMPRODUCT(INDEX('TO HOP'!$C$66:$AT$127,$A203,0),'TO HOP'!$C$62:$AT$62)-INDEX('TO HOP'!$AD$66:$AD$127,$A203)*'TO HOP'!$AD$62-INDEX('TO HOP'!$AR$66:$AR$127,$A203)*'TO HOP'!$AR$62-INDEX('TO HOP'!$AS$66:$AS$127,$A203)*'TO HOP'!$AS$62+(INDEX('TO HOP'!$AD$66:$AD$127,$A203)*$G203+INDEX('TO HOP'!$AR$66:$AR$127,$A203)*$D203+INDEX('TO HOP'!$AS$66:$AS$127,$A203)*($E203+$F203))*(Hcot+hxm+hgoi))</f>
        <v>23077.166613472269</v>
      </c>
      <c r="L203" s="39">
        <f t="shared" si="12"/>
        <v>2253.4698695046854</v>
      </c>
      <c r="M203" s="39">
        <f t="shared" si="13"/>
        <v>27584.106352481642</v>
      </c>
      <c r="N203" s="39">
        <f t="shared" si="14"/>
        <v>2253.4698695046854</v>
      </c>
      <c r="O203" s="39">
        <f t="shared" si="15"/>
        <v>23077.166613472269</v>
      </c>
    </row>
    <row r="204" spans="1:15" x14ac:dyDescent="0.3">
      <c r="A204" s="38">
        <f>'TO HOP'!N180</f>
        <v>50</v>
      </c>
      <c r="B204" s="38" t="str">
        <f>'TO HOP'!B180</f>
        <v>CĐ III(b) min</v>
      </c>
      <c r="C204" s="38" t="s">
        <v>1203</v>
      </c>
      <c r="D204" s="39">
        <f>'HE GOI'!D19</f>
        <v>1383.337308977915</v>
      </c>
      <c r="E204" s="39">
        <f>IF(csmode=1,0,'HE GOI'!D20)</f>
        <v>512.34715147329803</v>
      </c>
      <c r="F204" s="39">
        <f>IF(csmode=1,'HE GOI'!D24,'HE GOI'!D21)</f>
        <v>320.21696967081334</v>
      </c>
      <c r="G204" s="39">
        <f>'HE GOI'!D23</f>
        <v>-1034.6545125000002</v>
      </c>
      <c r="H204" s="39">
        <f>IF(OR($A204=0,NOT(ISNUMBER($D204)),NOT(ISNUMBER($E204)),NOT(ISNUMBER($F204))),"",SUMPRODUCT(INDEX('TO HOP'!$C$66:$AT$127,$A204,0),'TO HOP'!$C$53:$AT$53)-INDEX('TO HOP'!$AD$66:$AD$127,$A204)*'TO HOP'!$AD$53-INDEX('TO HOP'!$AR$66:$AR$127,$A204)*'TO HOP'!$AR$53-INDEX('TO HOP'!$AS$66:$AS$127,$A204)*'TO HOP'!$AS$53+INDEX('TO HOP'!$AD$66:$AD$127,$A204)*$G204+INDEX('TO HOP'!$AR$66:$AR$127,$A204)*$D204+INDEX('TO HOP'!$AS$66:$AS$127,$A204)*($E204+$F204))</f>
        <v>184.16084450468475</v>
      </c>
      <c r="I204" s="39">
        <f>IF($H204="","",SUMPRODUCT(INDEX('TO HOP'!$C$66:$AT$127,$A204,0),'TO HOP'!$C$57:$AT$57)-INDEX('TO HOP'!$AD$66:$AD$127,$A204)*'TO HOP'!$AD$57-INDEX('TO HOP'!$AR$66:$AR$127,$A204)*'TO HOP'!$AR$57-INDEX('TO HOP'!$AS$66:$AS$127,$A204)*'TO HOP'!$AS$57+(INDEX('TO HOP'!$AD$66:$AD$127,$A204)*$G204+INDEX('TO HOP'!$AR$66:$AR$127,$A204)*$D204+INDEX('TO HOP'!$AS$66:$AS$127,$A204)*($E204+$F204))*(Hbe+Hcot+hxm+hgoi))</f>
        <v>2172.9915254816292</v>
      </c>
      <c r="J204" s="39">
        <f>IF($H204="","",SUMPRODUCT(INDEX('TO HOP'!$C$66:$AT$127,$A204,0),'TO HOP'!$C$58:$AT$58)-INDEX('TO HOP'!$AD$66:$AD$127,$A204)*'TO HOP'!$AD$58-INDEX('TO HOP'!$AR$66:$AR$127,$A204)*'TO HOP'!$AR$58-INDEX('TO HOP'!$AS$66:$AS$127,$A204)*'TO HOP'!$AS$58+INDEX('TO HOP'!$AD$66:$AD$127,$A204)*$G204+INDEX('TO HOP'!$AR$66:$AR$127,$A204)*$D204+INDEX('TO HOP'!$AS$66:$AS$127,$A204)*($E204+$F204))</f>
        <v>184.16084450468475</v>
      </c>
      <c r="K204" s="39">
        <f>IF($H204="","",SUMPRODUCT(INDEX('TO HOP'!$C$66:$AT$127,$A204,0),'TO HOP'!$C$62:$AT$62)-INDEX('TO HOP'!$AD$66:$AD$127,$A204)*'TO HOP'!$AD$62-INDEX('TO HOP'!$AR$66:$AR$127,$A204)*'TO HOP'!$AR$62-INDEX('TO HOP'!$AS$66:$AS$127,$A204)*'TO HOP'!$AS$62+(INDEX('TO HOP'!$AD$66:$AD$127,$A204)*$G204+INDEX('TO HOP'!$AR$66:$AR$127,$A204)*$D204+INDEX('TO HOP'!$AS$66:$AS$127,$A204)*($E204+$F204))*(Hcot+hxm+hgoi))</f>
        <v>1804.6698364722597</v>
      </c>
      <c r="L204" s="39">
        <f t="shared" si="12"/>
        <v>184.16084450468475</v>
      </c>
      <c r="M204" s="39">
        <f t="shared" si="13"/>
        <v>2172.9915254816292</v>
      </c>
      <c r="N204" s="39">
        <f t="shared" si="14"/>
        <v>184.16084450468475</v>
      </c>
      <c r="O204" s="39">
        <f t="shared" si="15"/>
        <v>1804.6698364722597</v>
      </c>
    </row>
    <row r="205" spans="1:15" x14ac:dyDescent="0.3">
      <c r="A205" s="38">
        <f>'TO HOP'!N181</f>
        <v>51</v>
      </c>
      <c r="B205" s="38" t="str">
        <f>'TO HOP'!B181</f>
        <v>CĐ V(a) max - 2 nhịp 1 làn</v>
      </c>
      <c r="C205" s="38" t="s">
        <v>1200</v>
      </c>
      <c r="D205" s="39">
        <f>'HE GOI'!D18</f>
        <v>-1521.6710398757043</v>
      </c>
      <c r="E205" s="39">
        <f>IF(csmode=1,0,'HE GOI'!D20)</f>
        <v>512.34715147329803</v>
      </c>
      <c r="F205" s="39">
        <f>IF(csmode=1,'HE GOI'!D24,'HE GOI'!D21)</f>
        <v>320.21696967081334</v>
      </c>
      <c r="G205" s="39">
        <f>'HE GOI'!D22</f>
        <v>1034.6545125000002</v>
      </c>
      <c r="H205" s="39">
        <f>IF(OR($A205=0,NOT(ISNUMBER($D205)),NOT(ISNUMBER($E205)),NOT(ISNUMBER($F205))),"",SUMPRODUCT(INDEX('TO HOP'!$C$66:$AT$127,$A205,0),'TO HOP'!$C$53:$AT$53)-INDEX('TO HOP'!$AD$66:$AD$127,$A205)*'TO HOP'!$AD$53-INDEX('TO HOP'!$AR$66:$AR$127,$A205)*'TO HOP'!$AR$53-INDEX('TO HOP'!$AS$66:$AS$127,$A205)*'TO HOP'!$AS$53+INDEX('TO HOP'!$AD$66:$AD$127,$A205)*$G205+INDEX('TO HOP'!$AR$66:$AR$127,$A205)*$D205+INDEX('TO HOP'!$AS$66:$AS$127,$A205)*($E205+$F205))</f>
        <v>1169.5409031342037</v>
      </c>
      <c r="I205" s="39">
        <f>IF($H205="","",SUMPRODUCT(INDEX('TO HOP'!$C$66:$AT$127,$A205,0),'TO HOP'!$C$57:$AT$57)-INDEX('TO HOP'!$AD$66:$AD$127,$A205)*'TO HOP'!$AD$57-INDEX('TO HOP'!$AR$66:$AR$127,$A205)*'TO HOP'!$AR$57-INDEX('TO HOP'!$AS$66:$AS$127,$A205)*'TO HOP'!$AS$57+(INDEX('TO HOP'!$AD$66:$AD$127,$A205)*$G205+INDEX('TO HOP'!$AR$66:$AR$127,$A205)*$D205+INDEX('TO HOP'!$AS$66:$AS$127,$A205)*($E205+$F205))*(Hbe+Hcot+hxm+hgoi))</f>
        <v>15120.494028988025</v>
      </c>
      <c r="J205" s="39">
        <f>IF($H205="","",SUMPRODUCT(INDEX('TO HOP'!$C$66:$AT$127,$A205,0),'TO HOP'!$C$58:$AT$58)-INDEX('TO HOP'!$AD$66:$AD$127,$A205)*'TO HOP'!$AD$58-INDEX('TO HOP'!$AR$66:$AR$127,$A205)*'TO HOP'!$AR$58-INDEX('TO HOP'!$AS$66:$AS$127,$A205)*'TO HOP'!$AS$58+INDEX('TO HOP'!$AD$66:$AD$127,$A205)*$G205+INDEX('TO HOP'!$AR$66:$AR$127,$A205)*$D205+INDEX('TO HOP'!$AS$66:$AS$127,$A205)*($E205+$F205))</f>
        <v>1169.5409031342037</v>
      </c>
      <c r="K205" s="39">
        <f>IF($H205="","",SUMPRODUCT(INDEX('TO HOP'!$C$66:$AT$127,$A205,0),'TO HOP'!$C$62:$AT$62)-INDEX('TO HOP'!$AD$66:$AD$127,$A205)*'TO HOP'!$AD$62-INDEX('TO HOP'!$AR$66:$AR$127,$A205)*'TO HOP'!$AR$62-INDEX('TO HOP'!$AS$66:$AS$127,$A205)*'TO HOP'!$AS$62+(INDEX('TO HOP'!$AD$66:$AD$127,$A205)*$G205+INDEX('TO HOP'!$AR$66:$AR$127,$A205)*$D205+INDEX('TO HOP'!$AS$66:$AS$127,$A205)*($E205+$F205))*(Hcot+hxm+hgoi))</f>
        <v>12781.412222719617</v>
      </c>
      <c r="L205" s="39">
        <f t="shared" si="12"/>
        <v>1169.5409031342037</v>
      </c>
      <c r="M205" s="39">
        <f t="shared" si="13"/>
        <v>15120.494028988025</v>
      </c>
      <c r="N205" s="39">
        <f t="shared" si="14"/>
        <v>1169.5409031342037</v>
      </c>
      <c r="O205" s="39">
        <f t="shared" si="15"/>
        <v>12781.412222719617</v>
      </c>
    </row>
    <row r="206" spans="1:15" x14ac:dyDescent="0.3">
      <c r="A206" s="38">
        <f>'TO HOP'!N181</f>
        <v>51</v>
      </c>
      <c r="B206" s="38" t="str">
        <f>'TO HOP'!B181</f>
        <v>CĐ V(a) max - 2 nhịp 1 làn</v>
      </c>
      <c r="C206" s="38" t="s">
        <v>1201</v>
      </c>
      <c r="D206" s="39">
        <f>'HE GOI'!D18</f>
        <v>-1521.6710398757043</v>
      </c>
      <c r="E206" s="39">
        <f>IF(csmode=1,0,'HE GOI'!D20)</f>
        <v>512.34715147329803</v>
      </c>
      <c r="F206" s="39">
        <f>IF(csmode=1,'HE GOI'!D24,'HE GOI'!D21)</f>
        <v>320.21696967081334</v>
      </c>
      <c r="G206" s="39">
        <f>'HE GOI'!D23</f>
        <v>-1034.6545125000002</v>
      </c>
      <c r="H206" s="39">
        <f>IF(OR($A206=0,NOT(ISNUMBER($D206)),NOT(ISNUMBER($E206)),NOT(ISNUMBER($F206))),"",SUMPRODUCT(INDEX('TO HOP'!$C$66:$AT$127,$A206,0),'TO HOP'!$C$53:$AT$53)-INDEX('TO HOP'!$AD$66:$AD$127,$A206)*'TO HOP'!$AD$53-INDEX('TO HOP'!$AR$66:$AR$127,$A206)*'TO HOP'!$AR$53-INDEX('TO HOP'!$AS$66:$AS$127,$A206)*'TO HOP'!$AS$53+INDEX('TO HOP'!$AD$66:$AD$127,$A206)*$G206+INDEX('TO HOP'!$AR$66:$AR$127,$A206)*$D206+INDEX('TO HOP'!$AS$66:$AS$127,$A206)*($E206+$F206))</f>
        <v>-899.76812186579684</v>
      </c>
      <c r="I206" s="39">
        <f>IF($H206="","",SUMPRODUCT(INDEX('TO HOP'!$C$66:$AT$127,$A206,0),'TO HOP'!$C$57:$AT$57)-INDEX('TO HOP'!$AD$66:$AD$127,$A206)*'TO HOP'!$AD$57-INDEX('TO HOP'!$AR$66:$AR$127,$A206)*'TO HOP'!$AR$57-INDEX('TO HOP'!$AS$66:$AS$127,$A206)*'TO HOP'!$AS$57+(INDEX('TO HOP'!$AD$66:$AD$127,$A206)*$G206+INDEX('TO HOP'!$AR$66:$AR$127,$A206)*$D206+INDEX('TO HOP'!$AS$66:$AS$127,$A206)*($E206+$F206))*(Hbe+Hcot+hxm+hgoi))</f>
        <v>-10290.620798011982</v>
      </c>
      <c r="J206" s="39">
        <f>IF($H206="","",SUMPRODUCT(INDEX('TO HOP'!$C$66:$AT$127,$A206,0),'TO HOP'!$C$58:$AT$58)-INDEX('TO HOP'!$AD$66:$AD$127,$A206)*'TO HOP'!$AD$58-INDEX('TO HOP'!$AR$66:$AR$127,$A206)*'TO HOP'!$AR$58-INDEX('TO HOP'!$AS$66:$AS$127,$A206)*'TO HOP'!$AS$58+INDEX('TO HOP'!$AD$66:$AD$127,$A206)*$G206+INDEX('TO HOP'!$AR$66:$AR$127,$A206)*$D206+INDEX('TO HOP'!$AS$66:$AS$127,$A206)*($E206+$F206))</f>
        <v>-899.76812186579684</v>
      </c>
      <c r="K206" s="39">
        <f>IF($H206="","",SUMPRODUCT(INDEX('TO HOP'!$C$66:$AT$127,$A206,0),'TO HOP'!$C$62:$AT$62)-INDEX('TO HOP'!$AD$66:$AD$127,$A206)*'TO HOP'!$AD$62-INDEX('TO HOP'!$AR$66:$AR$127,$A206)*'TO HOP'!$AR$62-INDEX('TO HOP'!$AS$66:$AS$127,$A206)*'TO HOP'!$AS$62+(INDEX('TO HOP'!$AD$66:$AD$127,$A206)*$G206+INDEX('TO HOP'!$AR$66:$AR$127,$A206)*$D206+INDEX('TO HOP'!$AS$66:$AS$127,$A206)*($E206+$F206))*(Hcot+hxm+hgoi))</f>
        <v>-8491.0845542803891</v>
      </c>
      <c r="L206" s="39">
        <f t="shared" si="12"/>
        <v>899.76812186579684</v>
      </c>
      <c r="M206" s="39">
        <f t="shared" si="13"/>
        <v>10290.620798011982</v>
      </c>
      <c r="N206" s="39">
        <f t="shared" si="14"/>
        <v>899.76812186579684</v>
      </c>
      <c r="O206" s="39">
        <f t="shared" si="15"/>
        <v>8491.0845542803891</v>
      </c>
    </row>
    <row r="207" spans="1:15" x14ac:dyDescent="0.3">
      <c r="A207" s="38">
        <f>'TO HOP'!N181</f>
        <v>51</v>
      </c>
      <c r="B207" s="38" t="str">
        <f>'TO HOP'!B181</f>
        <v>CĐ V(a) max - 2 nhịp 1 làn</v>
      </c>
      <c r="C207" s="38" t="s">
        <v>1202</v>
      </c>
      <c r="D207" s="39">
        <f>'HE GOI'!D19</f>
        <v>1383.337308977915</v>
      </c>
      <c r="E207" s="39">
        <f>IF(csmode=1,0,'HE GOI'!D20)</f>
        <v>512.34715147329803</v>
      </c>
      <c r="F207" s="39">
        <f>IF(csmode=1,'HE GOI'!D24,'HE GOI'!D21)</f>
        <v>320.21696967081334</v>
      </c>
      <c r="G207" s="39">
        <f>'HE GOI'!D22</f>
        <v>1034.6545125000002</v>
      </c>
      <c r="H207" s="39">
        <f>IF(OR($A207=0,NOT(ISNUMBER($D207)),NOT(ISNUMBER($E207)),NOT(ISNUMBER($F207))),"",SUMPRODUCT(INDEX('TO HOP'!$C$66:$AT$127,$A207,0),'TO HOP'!$C$53:$AT$53)-INDEX('TO HOP'!$AD$66:$AD$127,$A207)*'TO HOP'!$AD$53-INDEX('TO HOP'!$AR$66:$AR$127,$A207)*'TO HOP'!$AR$53-INDEX('TO HOP'!$AS$66:$AS$127,$A207)*'TO HOP'!$AS$53+INDEX('TO HOP'!$AD$66:$AD$127,$A207)*$G207+INDEX('TO HOP'!$AR$66:$AR$127,$A207)*$D207+INDEX('TO HOP'!$AS$66:$AS$127,$A207)*($E207+$F207))</f>
        <v>2622.0450775610134</v>
      </c>
      <c r="I207" s="39">
        <f>IF($H207="","",SUMPRODUCT(INDEX('TO HOP'!$C$66:$AT$127,$A207,0),'TO HOP'!$C$57:$AT$57)-INDEX('TO HOP'!$AD$66:$AD$127,$A207)*'TO HOP'!$AD$57-INDEX('TO HOP'!$AR$66:$AR$127,$A207)*'TO HOP'!$AR$57-INDEX('TO HOP'!$AS$66:$AS$127,$A207)*'TO HOP'!$AS$57+(INDEX('TO HOP'!$AD$66:$AD$127,$A207)*$G207+INDEX('TO HOP'!$AR$66:$AR$127,$A207)*$D207+INDEX('TO HOP'!$AS$66:$AS$127,$A207)*($E207+$F207))*(Hbe+Hcot+hxm+hgoi))</f>
        <v>32957.245290949249</v>
      </c>
      <c r="J207" s="39">
        <f>IF($H207="","",SUMPRODUCT(INDEX('TO HOP'!$C$66:$AT$127,$A207,0),'TO HOP'!$C$58:$AT$58)-INDEX('TO HOP'!$AD$66:$AD$127,$A207)*'TO HOP'!$AD$58-INDEX('TO HOP'!$AR$66:$AR$127,$A207)*'TO HOP'!$AR$58-INDEX('TO HOP'!$AS$66:$AS$127,$A207)*'TO HOP'!$AS$58+INDEX('TO HOP'!$AD$66:$AD$127,$A207)*$G207+INDEX('TO HOP'!$AR$66:$AR$127,$A207)*$D207+INDEX('TO HOP'!$AS$66:$AS$127,$A207)*($E207+$F207))</f>
        <v>2622.0450775610134</v>
      </c>
      <c r="K207" s="39">
        <f>IF($H207="","",SUMPRODUCT(INDEX('TO HOP'!$C$66:$AT$127,$A207,0),'TO HOP'!$C$62:$AT$62)-INDEX('TO HOP'!$AD$66:$AD$127,$A207)*'TO HOP'!$AD$62-INDEX('TO HOP'!$AR$66:$AR$127,$A207)*'TO HOP'!$AR$62-INDEX('TO HOP'!$AS$66:$AS$127,$A207)*'TO HOP'!$AS$62+(INDEX('TO HOP'!$AD$66:$AD$127,$A207)*$G207+INDEX('TO HOP'!$AR$66:$AR$127,$A207)*$D207+INDEX('TO HOP'!$AS$66:$AS$127,$A207)*($E207+$F207))*(Hcot+hxm+hgoi))</f>
        <v>27713.155135827226</v>
      </c>
      <c r="L207" s="39">
        <f t="shared" si="12"/>
        <v>2622.0450775610134</v>
      </c>
      <c r="M207" s="39">
        <f t="shared" si="13"/>
        <v>32957.245290949249</v>
      </c>
      <c r="N207" s="39">
        <f t="shared" si="14"/>
        <v>2622.0450775610134</v>
      </c>
      <c r="O207" s="39">
        <f t="shared" si="15"/>
        <v>27713.155135827226</v>
      </c>
    </row>
    <row r="208" spans="1:15" x14ac:dyDescent="0.3">
      <c r="A208" s="38">
        <f>'TO HOP'!N181</f>
        <v>51</v>
      </c>
      <c r="B208" s="38" t="str">
        <f>'TO HOP'!B181</f>
        <v>CĐ V(a) max - 2 nhịp 1 làn</v>
      </c>
      <c r="C208" s="38" t="s">
        <v>1203</v>
      </c>
      <c r="D208" s="39">
        <f>'HE GOI'!D19</f>
        <v>1383.337308977915</v>
      </c>
      <c r="E208" s="39">
        <f>IF(csmode=1,0,'HE GOI'!D20)</f>
        <v>512.34715147329803</v>
      </c>
      <c r="F208" s="39">
        <f>IF(csmode=1,'HE GOI'!D24,'HE GOI'!D21)</f>
        <v>320.21696967081334</v>
      </c>
      <c r="G208" s="39">
        <f>'HE GOI'!D23</f>
        <v>-1034.6545125000002</v>
      </c>
      <c r="H208" s="39">
        <f>IF(OR($A208=0,NOT(ISNUMBER($D208)),NOT(ISNUMBER($E208)),NOT(ISNUMBER($F208))),"",SUMPRODUCT(INDEX('TO HOP'!$C$66:$AT$127,$A208,0),'TO HOP'!$C$53:$AT$53)-INDEX('TO HOP'!$AD$66:$AD$127,$A208)*'TO HOP'!$AD$53-INDEX('TO HOP'!$AR$66:$AR$127,$A208)*'TO HOP'!$AR$53-INDEX('TO HOP'!$AS$66:$AS$127,$A208)*'TO HOP'!$AS$53+INDEX('TO HOP'!$AD$66:$AD$127,$A208)*$G208+INDEX('TO HOP'!$AR$66:$AR$127,$A208)*$D208+INDEX('TO HOP'!$AS$66:$AS$127,$A208)*($E208+$F208))</f>
        <v>552.73605256101291</v>
      </c>
      <c r="I208" s="39">
        <f>IF($H208="","",SUMPRODUCT(INDEX('TO HOP'!$C$66:$AT$127,$A208,0),'TO HOP'!$C$57:$AT$57)-INDEX('TO HOP'!$AD$66:$AD$127,$A208)*'TO HOP'!$AD$57-INDEX('TO HOP'!$AR$66:$AR$127,$A208)*'TO HOP'!$AR$57-INDEX('TO HOP'!$AS$66:$AS$127,$A208)*'TO HOP'!$AS$57+(INDEX('TO HOP'!$AD$66:$AD$127,$A208)*$G208+INDEX('TO HOP'!$AR$66:$AR$127,$A208)*$D208+INDEX('TO HOP'!$AS$66:$AS$127,$A208)*($E208+$F208))*(Hbe+Hcot+hxm+hgoi))</f>
        <v>7546.1304639492409</v>
      </c>
      <c r="J208" s="39">
        <f>IF($H208="","",SUMPRODUCT(INDEX('TO HOP'!$C$66:$AT$127,$A208,0),'TO HOP'!$C$58:$AT$58)-INDEX('TO HOP'!$AD$66:$AD$127,$A208)*'TO HOP'!$AD$58-INDEX('TO HOP'!$AR$66:$AR$127,$A208)*'TO HOP'!$AR$58-INDEX('TO HOP'!$AS$66:$AS$127,$A208)*'TO HOP'!$AS$58+INDEX('TO HOP'!$AD$66:$AD$127,$A208)*$G208+INDEX('TO HOP'!$AR$66:$AR$127,$A208)*$D208+INDEX('TO HOP'!$AS$66:$AS$127,$A208)*($E208+$F208))</f>
        <v>552.73605256101291</v>
      </c>
      <c r="K208" s="39">
        <f>IF($H208="","",SUMPRODUCT(INDEX('TO HOP'!$C$66:$AT$127,$A208,0),'TO HOP'!$C$62:$AT$62)-INDEX('TO HOP'!$AD$66:$AD$127,$A208)*'TO HOP'!$AD$62-INDEX('TO HOP'!$AR$66:$AR$127,$A208)*'TO HOP'!$AR$62-INDEX('TO HOP'!$AS$66:$AS$127,$A208)*'TO HOP'!$AS$62+(INDEX('TO HOP'!$AD$66:$AD$127,$A208)*$G208+INDEX('TO HOP'!$AR$66:$AR$127,$A208)*$D208+INDEX('TO HOP'!$AS$66:$AS$127,$A208)*($E208+$F208))*(Hcot+hxm+hgoi))</f>
        <v>6440.6583588272133</v>
      </c>
      <c r="L208" s="39">
        <f t="shared" si="12"/>
        <v>552.73605256101291</v>
      </c>
      <c r="M208" s="39">
        <f t="shared" si="13"/>
        <v>7546.1304639492409</v>
      </c>
      <c r="N208" s="39">
        <f t="shared" si="14"/>
        <v>552.73605256101291</v>
      </c>
      <c r="O208" s="39">
        <f t="shared" si="15"/>
        <v>6440.6583588272133</v>
      </c>
    </row>
    <row r="209" spans="1:15" x14ac:dyDescent="0.3">
      <c r="A209" s="38">
        <f>'TO HOP'!N182</f>
        <v>52</v>
      </c>
      <c r="B209" s="38" t="str">
        <f>'TO HOP'!B182</f>
        <v>CĐ V(a) max - 2 nhịp 2 làn</v>
      </c>
      <c r="C209" s="38" t="s">
        <v>1200</v>
      </c>
      <c r="D209" s="39">
        <f>'HE GOI'!D18</f>
        <v>-1521.6710398757043</v>
      </c>
      <c r="E209" s="39">
        <f>IF(csmode=1,0,'HE GOI'!D20)</f>
        <v>512.34715147329803</v>
      </c>
      <c r="F209" s="39">
        <f>IF(csmode=1,'HE GOI'!D24,'HE GOI'!D21)</f>
        <v>320.21696967081334</v>
      </c>
      <c r="G209" s="39">
        <f>'HE GOI'!D22</f>
        <v>1034.6545125000002</v>
      </c>
      <c r="H209" s="39">
        <f>IF(OR($A209=0,NOT(ISNUMBER($D209)),NOT(ISNUMBER($E209)),NOT(ISNUMBER($F209))),"",SUMPRODUCT(INDEX('TO HOP'!$C$66:$AT$127,$A209,0),'TO HOP'!$C$53:$AT$53)-INDEX('TO HOP'!$AD$66:$AD$127,$A209)*'TO HOP'!$AD$53-INDEX('TO HOP'!$AR$66:$AR$127,$A209)*'TO HOP'!$AR$53-INDEX('TO HOP'!$AS$66:$AS$127,$A209)*'TO HOP'!$AS$53+INDEX('TO HOP'!$AD$66:$AD$127,$A209)*$G209+INDEX('TO HOP'!$AR$66:$AR$127,$A209)*$D209+INDEX('TO HOP'!$AS$66:$AS$127,$A209)*($E209+$F209))</f>
        <v>1169.5409031342037</v>
      </c>
      <c r="I209" s="39">
        <f>IF($H209="","",SUMPRODUCT(INDEX('TO HOP'!$C$66:$AT$127,$A209,0),'TO HOP'!$C$57:$AT$57)-INDEX('TO HOP'!$AD$66:$AD$127,$A209)*'TO HOP'!$AD$57-INDEX('TO HOP'!$AR$66:$AR$127,$A209)*'TO HOP'!$AR$57-INDEX('TO HOP'!$AS$66:$AS$127,$A209)*'TO HOP'!$AS$57+(INDEX('TO HOP'!$AD$66:$AD$127,$A209)*$G209+INDEX('TO HOP'!$AR$66:$AR$127,$A209)*$D209+INDEX('TO HOP'!$AS$66:$AS$127,$A209)*($E209+$F209))*(Hbe+Hcot+hxm+hgoi))</f>
        <v>15120.494028988025</v>
      </c>
      <c r="J209" s="39">
        <f>IF($H209="","",SUMPRODUCT(INDEX('TO HOP'!$C$66:$AT$127,$A209,0),'TO HOP'!$C$58:$AT$58)-INDEX('TO HOP'!$AD$66:$AD$127,$A209)*'TO HOP'!$AD$58-INDEX('TO HOP'!$AR$66:$AR$127,$A209)*'TO HOP'!$AR$58-INDEX('TO HOP'!$AS$66:$AS$127,$A209)*'TO HOP'!$AS$58+INDEX('TO HOP'!$AD$66:$AD$127,$A209)*$G209+INDEX('TO HOP'!$AR$66:$AR$127,$A209)*$D209+INDEX('TO HOP'!$AS$66:$AS$127,$A209)*($E209+$F209))</f>
        <v>1169.5409031342037</v>
      </c>
      <c r="K209" s="39">
        <f>IF($H209="","",SUMPRODUCT(INDEX('TO HOP'!$C$66:$AT$127,$A209,0),'TO HOP'!$C$62:$AT$62)-INDEX('TO HOP'!$AD$66:$AD$127,$A209)*'TO HOP'!$AD$62-INDEX('TO HOP'!$AR$66:$AR$127,$A209)*'TO HOP'!$AR$62-INDEX('TO HOP'!$AS$66:$AS$127,$A209)*'TO HOP'!$AS$62+(INDEX('TO HOP'!$AD$66:$AD$127,$A209)*$G209+INDEX('TO HOP'!$AR$66:$AR$127,$A209)*$D209+INDEX('TO HOP'!$AS$66:$AS$127,$A209)*($E209+$F209))*(Hcot+hxm+hgoi))</f>
        <v>12781.412222719617</v>
      </c>
      <c r="L209" s="39">
        <f t="shared" si="12"/>
        <v>1169.5409031342037</v>
      </c>
      <c r="M209" s="39">
        <f t="shared" si="13"/>
        <v>15120.494028988025</v>
      </c>
      <c r="N209" s="39">
        <f t="shared" si="14"/>
        <v>1169.5409031342037</v>
      </c>
      <c r="O209" s="39">
        <f t="shared" si="15"/>
        <v>12781.412222719617</v>
      </c>
    </row>
    <row r="210" spans="1:15" x14ac:dyDescent="0.3">
      <c r="A210" s="38">
        <f>'TO HOP'!N182</f>
        <v>52</v>
      </c>
      <c r="B210" s="38" t="str">
        <f>'TO HOP'!B182</f>
        <v>CĐ V(a) max - 2 nhịp 2 làn</v>
      </c>
      <c r="C210" s="38" t="s">
        <v>1201</v>
      </c>
      <c r="D210" s="39">
        <f>'HE GOI'!D18</f>
        <v>-1521.6710398757043</v>
      </c>
      <c r="E210" s="39">
        <f>IF(csmode=1,0,'HE GOI'!D20)</f>
        <v>512.34715147329803</v>
      </c>
      <c r="F210" s="39">
        <f>IF(csmode=1,'HE GOI'!D24,'HE GOI'!D21)</f>
        <v>320.21696967081334</v>
      </c>
      <c r="G210" s="39">
        <f>'HE GOI'!D23</f>
        <v>-1034.6545125000002</v>
      </c>
      <c r="H210" s="39">
        <f>IF(OR($A210=0,NOT(ISNUMBER($D210)),NOT(ISNUMBER($E210)),NOT(ISNUMBER($F210))),"",SUMPRODUCT(INDEX('TO HOP'!$C$66:$AT$127,$A210,0),'TO HOP'!$C$53:$AT$53)-INDEX('TO HOP'!$AD$66:$AD$127,$A210)*'TO HOP'!$AD$53-INDEX('TO HOP'!$AR$66:$AR$127,$A210)*'TO HOP'!$AR$53-INDEX('TO HOP'!$AS$66:$AS$127,$A210)*'TO HOP'!$AS$53+INDEX('TO HOP'!$AD$66:$AD$127,$A210)*$G210+INDEX('TO HOP'!$AR$66:$AR$127,$A210)*$D210+INDEX('TO HOP'!$AS$66:$AS$127,$A210)*($E210+$F210))</f>
        <v>-899.76812186579684</v>
      </c>
      <c r="I210" s="39">
        <f>IF($H210="","",SUMPRODUCT(INDEX('TO HOP'!$C$66:$AT$127,$A210,0),'TO HOP'!$C$57:$AT$57)-INDEX('TO HOP'!$AD$66:$AD$127,$A210)*'TO HOP'!$AD$57-INDEX('TO HOP'!$AR$66:$AR$127,$A210)*'TO HOP'!$AR$57-INDEX('TO HOP'!$AS$66:$AS$127,$A210)*'TO HOP'!$AS$57+(INDEX('TO HOP'!$AD$66:$AD$127,$A210)*$G210+INDEX('TO HOP'!$AR$66:$AR$127,$A210)*$D210+INDEX('TO HOP'!$AS$66:$AS$127,$A210)*($E210+$F210))*(Hbe+Hcot+hxm+hgoi))</f>
        <v>-10290.620798011982</v>
      </c>
      <c r="J210" s="39">
        <f>IF($H210="","",SUMPRODUCT(INDEX('TO HOP'!$C$66:$AT$127,$A210,0),'TO HOP'!$C$58:$AT$58)-INDEX('TO HOP'!$AD$66:$AD$127,$A210)*'TO HOP'!$AD$58-INDEX('TO HOP'!$AR$66:$AR$127,$A210)*'TO HOP'!$AR$58-INDEX('TO HOP'!$AS$66:$AS$127,$A210)*'TO HOP'!$AS$58+INDEX('TO HOP'!$AD$66:$AD$127,$A210)*$G210+INDEX('TO HOP'!$AR$66:$AR$127,$A210)*$D210+INDEX('TO HOP'!$AS$66:$AS$127,$A210)*($E210+$F210))</f>
        <v>-899.76812186579684</v>
      </c>
      <c r="K210" s="39">
        <f>IF($H210="","",SUMPRODUCT(INDEX('TO HOP'!$C$66:$AT$127,$A210,0),'TO HOP'!$C$62:$AT$62)-INDEX('TO HOP'!$AD$66:$AD$127,$A210)*'TO HOP'!$AD$62-INDEX('TO HOP'!$AR$66:$AR$127,$A210)*'TO HOP'!$AR$62-INDEX('TO HOP'!$AS$66:$AS$127,$A210)*'TO HOP'!$AS$62+(INDEX('TO HOP'!$AD$66:$AD$127,$A210)*$G210+INDEX('TO HOP'!$AR$66:$AR$127,$A210)*$D210+INDEX('TO HOP'!$AS$66:$AS$127,$A210)*($E210+$F210))*(Hcot+hxm+hgoi))</f>
        <v>-8491.0845542803891</v>
      </c>
      <c r="L210" s="39">
        <f t="shared" si="12"/>
        <v>899.76812186579684</v>
      </c>
      <c r="M210" s="39">
        <f t="shared" si="13"/>
        <v>10290.620798011982</v>
      </c>
      <c r="N210" s="39">
        <f t="shared" si="14"/>
        <v>899.76812186579684</v>
      </c>
      <c r="O210" s="39">
        <f t="shared" si="15"/>
        <v>8491.0845542803891</v>
      </c>
    </row>
    <row r="211" spans="1:15" x14ac:dyDescent="0.3">
      <c r="A211" s="38">
        <f>'TO HOP'!N182</f>
        <v>52</v>
      </c>
      <c r="B211" s="38" t="str">
        <f>'TO HOP'!B182</f>
        <v>CĐ V(a) max - 2 nhịp 2 làn</v>
      </c>
      <c r="C211" s="38" t="s">
        <v>1202</v>
      </c>
      <c r="D211" s="39">
        <f>'HE GOI'!D19</f>
        <v>1383.337308977915</v>
      </c>
      <c r="E211" s="39">
        <f>IF(csmode=1,0,'HE GOI'!D20)</f>
        <v>512.34715147329803</v>
      </c>
      <c r="F211" s="39">
        <f>IF(csmode=1,'HE GOI'!D24,'HE GOI'!D21)</f>
        <v>320.21696967081334</v>
      </c>
      <c r="G211" s="39">
        <f>'HE GOI'!D22</f>
        <v>1034.6545125000002</v>
      </c>
      <c r="H211" s="39">
        <f>IF(OR($A211=0,NOT(ISNUMBER($D211)),NOT(ISNUMBER($E211)),NOT(ISNUMBER($F211))),"",SUMPRODUCT(INDEX('TO HOP'!$C$66:$AT$127,$A211,0),'TO HOP'!$C$53:$AT$53)-INDEX('TO HOP'!$AD$66:$AD$127,$A211)*'TO HOP'!$AD$53-INDEX('TO HOP'!$AR$66:$AR$127,$A211)*'TO HOP'!$AR$53-INDEX('TO HOP'!$AS$66:$AS$127,$A211)*'TO HOP'!$AS$53+INDEX('TO HOP'!$AD$66:$AD$127,$A211)*$G211+INDEX('TO HOP'!$AR$66:$AR$127,$A211)*$D211+INDEX('TO HOP'!$AS$66:$AS$127,$A211)*($E211+$F211))</f>
        <v>2622.0450775610134</v>
      </c>
      <c r="I211" s="39">
        <f>IF($H211="","",SUMPRODUCT(INDEX('TO HOP'!$C$66:$AT$127,$A211,0),'TO HOP'!$C$57:$AT$57)-INDEX('TO HOP'!$AD$66:$AD$127,$A211)*'TO HOP'!$AD$57-INDEX('TO HOP'!$AR$66:$AR$127,$A211)*'TO HOP'!$AR$57-INDEX('TO HOP'!$AS$66:$AS$127,$A211)*'TO HOP'!$AS$57+(INDEX('TO HOP'!$AD$66:$AD$127,$A211)*$G211+INDEX('TO HOP'!$AR$66:$AR$127,$A211)*$D211+INDEX('TO HOP'!$AS$66:$AS$127,$A211)*($E211+$F211))*(Hbe+Hcot+hxm+hgoi))</f>
        <v>32957.245290949249</v>
      </c>
      <c r="J211" s="39">
        <f>IF($H211="","",SUMPRODUCT(INDEX('TO HOP'!$C$66:$AT$127,$A211,0),'TO HOP'!$C$58:$AT$58)-INDEX('TO HOP'!$AD$66:$AD$127,$A211)*'TO HOP'!$AD$58-INDEX('TO HOP'!$AR$66:$AR$127,$A211)*'TO HOP'!$AR$58-INDEX('TO HOP'!$AS$66:$AS$127,$A211)*'TO HOP'!$AS$58+INDEX('TO HOP'!$AD$66:$AD$127,$A211)*$G211+INDEX('TO HOP'!$AR$66:$AR$127,$A211)*$D211+INDEX('TO HOP'!$AS$66:$AS$127,$A211)*($E211+$F211))</f>
        <v>2622.0450775610134</v>
      </c>
      <c r="K211" s="39">
        <f>IF($H211="","",SUMPRODUCT(INDEX('TO HOP'!$C$66:$AT$127,$A211,0),'TO HOP'!$C$62:$AT$62)-INDEX('TO HOP'!$AD$66:$AD$127,$A211)*'TO HOP'!$AD$62-INDEX('TO HOP'!$AR$66:$AR$127,$A211)*'TO HOP'!$AR$62-INDEX('TO HOP'!$AS$66:$AS$127,$A211)*'TO HOP'!$AS$62+(INDEX('TO HOP'!$AD$66:$AD$127,$A211)*$G211+INDEX('TO HOP'!$AR$66:$AR$127,$A211)*$D211+INDEX('TO HOP'!$AS$66:$AS$127,$A211)*($E211+$F211))*(Hcot+hxm+hgoi))</f>
        <v>27713.155135827226</v>
      </c>
      <c r="L211" s="39">
        <f t="shared" si="12"/>
        <v>2622.0450775610134</v>
      </c>
      <c r="M211" s="39">
        <f t="shared" si="13"/>
        <v>32957.245290949249</v>
      </c>
      <c r="N211" s="39">
        <f t="shared" si="14"/>
        <v>2622.0450775610134</v>
      </c>
      <c r="O211" s="39">
        <f t="shared" si="15"/>
        <v>27713.155135827226</v>
      </c>
    </row>
    <row r="212" spans="1:15" x14ac:dyDescent="0.3">
      <c r="A212" s="38">
        <f>'TO HOP'!N182</f>
        <v>52</v>
      </c>
      <c r="B212" s="38" t="str">
        <f>'TO HOP'!B182</f>
        <v>CĐ V(a) max - 2 nhịp 2 làn</v>
      </c>
      <c r="C212" s="38" t="s">
        <v>1203</v>
      </c>
      <c r="D212" s="39">
        <f>'HE GOI'!D19</f>
        <v>1383.337308977915</v>
      </c>
      <c r="E212" s="39">
        <f>IF(csmode=1,0,'HE GOI'!D20)</f>
        <v>512.34715147329803</v>
      </c>
      <c r="F212" s="39">
        <f>IF(csmode=1,'HE GOI'!D24,'HE GOI'!D21)</f>
        <v>320.21696967081334</v>
      </c>
      <c r="G212" s="39">
        <f>'HE GOI'!D23</f>
        <v>-1034.6545125000002</v>
      </c>
      <c r="H212" s="39">
        <f>IF(OR($A212=0,NOT(ISNUMBER($D212)),NOT(ISNUMBER($E212)),NOT(ISNUMBER($F212))),"",SUMPRODUCT(INDEX('TO HOP'!$C$66:$AT$127,$A212,0),'TO HOP'!$C$53:$AT$53)-INDEX('TO HOP'!$AD$66:$AD$127,$A212)*'TO HOP'!$AD$53-INDEX('TO HOP'!$AR$66:$AR$127,$A212)*'TO HOP'!$AR$53-INDEX('TO HOP'!$AS$66:$AS$127,$A212)*'TO HOP'!$AS$53+INDEX('TO HOP'!$AD$66:$AD$127,$A212)*$G212+INDEX('TO HOP'!$AR$66:$AR$127,$A212)*$D212+INDEX('TO HOP'!$AS$66:$AS$127,$A212)*($E212+$F212))</f>
        <v>552.73605256101291</v>
      </c>
      <c r="I212" s="39">
        <f>IF($H212="","",SUMPRODUCT(INDEX('TO HOP'!$C$66:$AT$127,$A212,0),'TO HOP'!$C$57:$AT$57)-INDEX('TO HOP'!$AD$66:$AD$127,$A212)*'TO HOP'!$AD$57-INDEX('TO HOP'!$AR$66:$AR$127,$A212)*'TO HOP'!$AR$57-INDEX('TO HOP'!$AS$66:$AS$127,$A212)*'TO HOP'!$AS$57+(INDEX('TO HOP'!$AD$66:$AD$127,$A212)*$G212+INDEX('TO HOP'!$AR$66:$AR$127,$A212)*$D212+INDEX('TO HOP'!$AS$66:$AS$127,$A212)*($E212+$F212))*(Hbe+Hcot+hxm+hgoi))</f>
        <v>7546.1304639492409</v>
      </c>
      <c r="J212" s="39">
        <f>IF($H212="","",SUMPRODUCT(INDEX('TO HOP'!$C$66:$AT$127,$A212,0),'TO HOP'!$C$58:$AT$58)-INDEX('TO HOP'!$AD$66:$AD$127,$A212)*'TO HOP'!$AD$58-INDEX('TO HOP'!$AR$66:$AR$127,$A212)*'TO HOP'!$AR$58-INDEX('TO HOP'!$AS$66:$AS$127,$A212)*'TO HOP'!$AS$58+INDEX('TO HOP'!$AD$66:$AD$127,$A212)*$G212+INDEX('TO HOP'!$AR$66:$AR$127,$A212)*$D212+INDEX('TO HOP'!$AS$66:$AS$127,$A212)*($E212+$F212))</f>
        <v>552.73605256101291</v>
      </c>
      <c r="K212" s="39">
        <f>IF($H212="","",SUMPRODUCT(INDEX('TO HOP'!$C$66:$AT$127,$A212,0),'TO HOP'!$C$62:$AT$62)-INDEX('TO HOP'!$AD$66:$AD$127,$A212)*'TO HOP'!$AD$62-INDEX('TO HOP'!$AR$66:$AR$127,$A212)*'TO HOP'!$AR$62-INDEX('TO HOP'!$AS$66:$AS$127,$A212)*'TO HOP'!$AS$62+(INDEX('TO HOP'!$AD$66:$AD$127,$A212)*$G212+INDEX('TO HOP'!$AR$66:$AR$127,$A212)*$D212+INDEX('TO HOP'!$AS$66:$AS$127,$A212)*($E212+$F212))*(Hcot+hxm+hgoi))</f>
        <v>6440.6583588272133</v>
      </c>
      <c r="L212" s="39">
        <f t="shared" si="12"/>
        <v>552.73605256101291</v>
      </c>
      <c r="M212" s="39">
        <f t="shared" si="13"/>
        <v>7546.1304639492409</v>
      </c>
      <c r="N212" s="39">
        <f t="shared" si="14"/>
        <v>552.73605256101291</v>
      </c>
      <c r="O212" s="39">
        <f t="shared" si="15"/>
        <v>6440.6583588272133</v>
      </c>
    </row>
    <row r="213" spans="1:15" x14ac:dyDescent="0.3">
      <c r="A213" s="38">
        <f>'TO HOP'!N183</f>
        <v>53</v>
      </c>
      <c r="B213" s="38" t="str">
        <f>'TO HOP'!B183</f>
        <v>CĐ V(a) max - 2 nhịp 3 làn</v>
      </c>
      <c r="C213" s="38" t="s">
        <v>1200</v>
      </c>
      <c r="D213" s="39">
        <f>'HE GOI'!D18</f>
        <v>-1521.6710398757043</v>
      </c>
      <c r="E213" s="39">
        <f>IF(csmode=1,0,'HE GOI'!D20)</f>
        <v>512.34715147329803</v>
      </c>
      <c r="F213" s="39">
        <f>IF(csmode=1,'HE GOI'!D24,'HE GOI'!D21)</f>
        <v>320.21696967081334</v>
      </c>
      <c r="G213" s="39">
        <f>'HE GOI'!D22</f>
        <v>1034.6545125000002</v>
      </c>
      <c r="H213" s="39">
        <f>IF(OR($A213=0,NOT(ISNUMBER($D213)),NOT(ISNUMBER($E213)),NOT(ISNUMBER($F213))),"",SUMPRODUCT(INDEX('TO HOP'!$C$66:$AT$127,$A213,0),'TO HOP'!$C$53:$AT$53)-INDEX('TO HOP'!$AD$66:$AD$127,$A213)*'TO HOP'!$AD$53-INDEX('TO HOP'!$AR$66:$AR$127,$A213)*'TO HOP'!$AR$53-INDEX('TO HOP'!$AS$66:$AS$127,$A213)*'TO HOP'!$AS$53+INDEX('TO HOP'!$AD$66:$AD$127,$A213)*$G213+INDEX('TO HOP'!$AR$66:$AR$127,$A213)*$D213+INDEX('TO HOP'!$AS$66:$AS$127,$A213)*($E213+$F213))</f>
        <v>1169.5409031342037</v>
      </c>
      <c r="I213" s="39">
        <f>IF($H213="","",SUMPRODUCT(INDEX('TO HOP'!$C$66:$AT$127,$A213,0),'TO HOP'!$C$57:$AT$57)-INDEX('TO HOP'!$AD$66:$AD$127,$A213)*'TO HOP'!$AD$57-INDEX('TO HOP'!$AR$66:$AR$127,$A213)*'TO HOP'!$AR$57-INDEX('TO HOP'!$AS$66:$AS$127,$A213)*'TO HOP'!$AS$57+(INDEX('TO HOP'!$AD$66:$AD$127,$A213)*$G213+INDEX('TO HOP'!$AR$66:$AR$127,$A213)*$D213+INDEX('TO HOP'!$AS$66:$AS$127,$A213)*($E213+$F213))*(Hbe+Hcot+hxm+hgoi))</f>
        <v>15120.494028988025</v>
      </c>
      <c r="J213" s="39">
        <f>IF($H213="","",SUMPRODUCT(INDEX('TO HOP'!$C$66:$AT$127,$A213,0),'TO HOP'!$C$58:$AT$58)-INDEX('TO HOP'!$AD$66:$AD$127,$A213)*'TO HOP'!$AD$58-INDEX('TO HOP'!$AR$66:$AR$127,$A213)*'TO HOP'!$AR$58-INDEX('TO HOP'!$AS$66:$AS$127,$A213)*'TO HOP'!$AS$58+INDEX('TO HOP'!$AD$66:$AD$127,$A213)*$G213+INDEX('TO HOP'!$AR$66:$AR$127,$A213)*$D213+INDEX('TO HOP'!$AS$66:$AS$127,$A213)*($E213+$F213))</f>
        <v>1169.5409031342037</v>
      </c>
      <c r="K213" s="39">
        <f>IF($H213="","",SUMPRODUCT(INDEX('TO HOP'!$C$66:$AT$127,$A213,0),'TO HOP'!$C$62:$AT$62)-INDEX('TO HOP'!$AD$66:$AD$127,$A213)*'TO HOP'!$AD$62-INDEX('TO HOP'!$AR$66:$AR$127,$A213)*'TO HOP'!$AR$62-INDEX('TO HOP'!$AS$66:$AS$127,$A213)*'TO HOP'!$AS$62+(INDEX('TO HOP'!$AD$66:$AD$127,$A213)*$G213+INDEX('TO HOP'!$AR$66:$AR$127,$A213)*$D213+INDEX('TO HOP'!$AS$66:$AS$127,$A213)*($E213+$F213))*(Hcot+hxm+hgoi))</f>
        <v>12781.412222719617</v>
      </c>
      <c r="L213" s="39">
        <f t="shared" si="12"/>
        <v>1169.5409031342037</v>
      </c>
      <c r="M213" s="39">
        <f t="shared" si="13"/>
        <v>15120.494028988025</v>
      </c>
      <c r="N213" s="39">
        <f t="shared" si="14"/>
        <v>1169.5409031342037</v>
      </c>
      <c r="O213" s="39">
        <f t="shared" si="15"/>
        <v>12781.412222719617</v>
      </c>
    </row>
    <row r="214" spans="1:15" x14ac:dyDescent="0.3">
      <c r="A214" s="38">
        <f>'TO HOP'!N183</f>
        <v>53</v>
      </c>
      <c r="B214" s="38" t="str">
        <f>'TO HOP'!B183</f>
        <v>CĐ V(a) max - 2 nhịp 3 làn</v>
      </c>
      <c r="C214" s="38" t="s">
        <v>1201</v>
      </c>
      <c r="D214" s="39">
        <f>'HE GOI'!D18</f>
        <v>-1521.6710398757043</v>
      </c>
      <c r="E214" s="39">
        <f>IF(csmode=1,0,'HE GOI'!D20)</f>
        <v>512.34715147329803</v>
      </c>
      <c r="F214" s="39">
        <f>IF(csmode=1,'HE GOI'!D24,'HE GOI'!D21)</f>
        <v>320.21696967081334</v>
      </c>
      <c r="G214" s="39">
        <f>'HE GOI'!D23</f>
        <v>-1034.6545125000002</v>
      </c>
      <c r="H214" s="39">
        <f>IF(OR($A214=0,NOT(ISNUMBER($D214)),NOT(ISNUMBER($E214)),NOT(ISNUMBER($F214))),"",SUMPRODUCT(INDEX('TO HOP'!$C$66:$AT$127,$A214,0),'TO HOP'!$C$53:$AT$53)-INDEX('TO HOP'!$AD$66:$AD$127,$A214)*'TO HOP'!$AD$53-INDEX('TO HOP'!$AR$66:$AR$127,$A214)*'TO HOP'!$AR$53-INDEX('TO HOP'!$AS$66:$AS$127,$A214)*'TO HOP'!$AS$53+INDEX('TO HOP'!$AD$66:$AD$127,$A214)*$G214+INDEX('TO HOP'!$AR$66:$AR$127,$A214)*$D214+INDEX('TO HOP'!$AS$66:$AS$127,$A214)*($E214+$F214))</f>
        <v>-899.76812186579684</v>
      </c>
      <c r="I214" s="39">
        <f>IF($H214="","",SUMPRODUCT(INDEX('TO HOP'!$C$66:$AT$127,$A214,0),'TO HOP'!$C$57:$AT$57)-INDEX('TO HOP'!$AD$66:$AD$127,$A214)*'TO HOP'!$AD$57-INDEX('TO HOP'!$AR$66:$AR$127,$A214)*'TO HOP'!$AR$57-INDEX('TO HOP'!$AS$66:$AS$127,$A214)*'TO HOP'!$AS$57+(INDEX('TO HOP'!$AD$66:$AD$127,$A214)*$G214+INDEX('TO HOP'!$AR$66:$AR$127,$A214)*$D214+INDEX('TO HOP'!$AS$66:$AS$127,$A214)*($E214+$F214))*(Hbe+Hcot+hxm+hgoi))</f>
        <v>-10290.620798011982</v>
      </c>
      <c r="J214" s="39">
        <f>IF($H214="","",SUMPRODUCT(INDEX('TO HOP'!$C$66:$AT$127,$A214,0),'TO HOP'!$C$58:$AT$58)-INDEX('TO HOP'!$AD$66:$AD$127,$A214)*'TO HOP'!$AD$58-INDEX('TO HOP'!$AR$66:$AR$127,$A214)*'TO HOP'!$AR$58-INDEX('TO HOP'!$AS$66:$AS$127,$A214)*'TO HOP'!$AS$58+INDEX('TO HOP'!$AD$66:$AD$127,$A214)*$G214+INDEX('TO HOP'!$AR$66:$AR$127,$A214)*$D214+INDEX('TO HOP'!$AS$66:$AS$127,$A214)*($E214+$F214))</f>
        <v>-899.76812186579684</v>
      </c>
      <c r="K214" s="39">
        <f>IF($H214="","",SUMPRODUCT(INDEX('TO HOP'!$C$66:$AT$127,$A214,0),'TO HOP'!$C$62:$AT$62)-INDEX('TO HOP'!$AD$66:$AD$127,$A214)*'TO HOP'!$AD$62-INDEX('TO HOP'!$AR$66:$AR$127,$A214)*'TO HOP'!$AR$62-INDEX('TO HOP'!$AS$66:$AS$127,$A214)*'TO HOP'!$AS$62+(INDEX('TO HOP'!$AD$66:$AD$127,$A214)*$G214+INDEX('TO HOP'!$AR$66:$AR$127,$A214)*$D214+INDEX('TO HOP'!$AS$66:$AS$127,$A214)*($E214+$F214))*(Hcot+hxm+hgoi))</f>
        <v>-8491.0845542803891</v>
      </c>
      <c r="L214" s="39">
        <f t="shared" si="12"/>
        <v>899.76812186579684</v>
      </c>
      <c r="M214" s="39">
        <f t="shared" si="13"/>
        <v>10290.620798011982</v>
      </c>
      <c r="N214" s="39">
        <f t="shared" si="14"/>
        <v>899.76812186579684</v>
      </c>
      <c r="O214" s="39">
        <f t="shared" si="15"/>
        <v>8491.0845542803891</v>
      </c>
    </row>
    <row r="215" spans="1:15" x14ac:dyDescent="0.3">
      <c r="A215" s="38">
        <f>'TO HOP'!N183</f>
        <v>53</v>
      </c>
      <c r="B215" s="38" t="str">
        <f>'TO HOP'!B183</f>
        <v>CĐ V(a) max - 2 nhịp 3 làn</v>
      </c>
      <c r="C215" s="38" t="s">
        <v>1202</v>
      </c>
      <c r="D215" s="39">
        <f>'HE GOI'!D19</f>
        <v>1383.337308977915</v>
      </c>
      <c r="E215" s="39">
        <f>IF(csmode=1,0,'HE GOI'!D20)</f>
        <v>512.34715147329803</v>
      </c>
      <c r="F215" s="39">
        <f>IF(csmode=1,'HE GOI'!D24,'HE GOI'!D21)</f>
        <v>320.21696967081334</v>
      </c>
      <c r="G215" s="39">
        <f>'HE GOI'!D22</f>
        <v>1034.6545125000002</v>
      </c>
      <c r="H215" s="39">
        <f>IF(OR($A215=0,NOT(ISNUMBER($D215)),NOT(ISNUMBER($E215)),NOT(ISNUMBER($F215))),"",SUMPRODUCT(INDEX('TO HOP'!$C$66:$AT$127,$A215,0),'TO HOP'!$C$53:$AT$53)-INDEX('TO HOP'!$AD$66:$AD$127,$A215)*'TO HOP'!$AD$53-INDEX('TO HOP'!$AR$66:$AR$127,$A215)*'TO HOP'!$AR$53-INDEX('TO HOP'!$AS$66:$AS$127,$A215)*'TO HOP'!$AS$53+INDEX('TO HOP'!$AD$66:$AD$127,$A215)*$G215+INDEX('TO HOP'!$AR$66:$AR$127,$A215)*$D215+INDEX('TO HOP'!$AS$66:$AS$127,$A215)*($E215+$F215))</f>
        <v>2622.0450775610134</v>
      </c>
      <c r="I215" s="39">
        <f>IF($H215="","",SUMPRODUCT(INDEX('TO HOP'!$C$66:$AT$127,$A215,0),'TO HOP'!$C$57:$AT$57)-INDEX('TO HOP'!$AD$66:$AD$127,$A215)*'TO HOP'!$AD$57-INDEX('TO HOP'!$AR$66:$AR$127,$A215)*'TO HOP'!$AR$57-INDEX('TO HOP'!$AS$66:$AS$127,$A215)*'TO HOP'!$AS$57+(INDEX('TO HOP'!$AD$66:$AD$127,$A215)*$G215+INDEX('TO HOP'!$AR$66:$AR$127,$A215)*$D215+INDEX('TO HOP'!$AS$66:$AS$127,$A215)*($E215+$F215))*(Hbe+Hcot+hxm+hgoi))</f>
        <v>32957.245290949249</v>
      </c>
      <c r="J215" s="39">
        <f>IF($H215="","",SUMPRODUCT(INDEX('TO HOP'!$C$66:$AT$127,$A215,0),'TO HOP'!$C$58:$AT$58)-INDEX('TO HOP'!$AD$66:$AD$127,$A215)*'TO HOP'!$AD$58-INDEX('TO HOP'!$AR$66:$AR$127,$A215)*'TO HOP'!$AR$58-INDEX('TO HOP'!$AS$66:$AS$127,$A215)*'TO HOP'!$AS$58+INDEX('TO HOP'!$AD$66:$AD$127,$A215)*$G215+INDEX('TO HOP'!$AR$66:$AR$127,$A215)*$D215+INDEX('TO HOP'!$AS$66:$AS$127,$A215)*($E215+$F215))</f>
        <v>2622.0450775610134</v>
      </c>
      <c r="K215" s="39">
        <f>IF($H215="","",SUMPRODUCT(INDEX('TO HOP'!$C$66:$AT$127,$A215,0),'TO HOP'!$C$62:$AT$62)-INDEX('TO HOP'!$AD$66:$AD$127,$A215)*'TO HOP'!$AD$62-INDEX('TO HOP'!$AR$66:$AR$127,$A215)*'TO HOP'!$AR$62-INDEX('TO HOP'!$AS$66:$AS$127,$A215)*'TO HOP'!$AS$62+(INDEX('TO HOP'!$AD$66:$AD$127,$A215)*$G215+INDEX('TO HOP'!$AR$66:$AR$127,$A215)*$D215+INDEX('TO HOP'!$AS$66:$AS$127,$A215)*($E215+$F215))*(Hcot+hxm+hgoi))</f>
        <v>27713.155135827226</v>
      </c>
      <c r="L215" s="39">
        <f t="shared" si="12"/>
        <v>2622.0450775610134</v>
      </c>
      <c r="M215" s="39">
        <f t="shared" si="13"/>
        <v>32957.245290949249</v>
      </c>
      <c r="N215" s="39">
        <f t="shared" si="14"/>
        <v>2622.0450775610134</v>
      </c>
      <c r="O215" s="39">
        <f t="shared" si="15"/>
        <v>27713.155135827226</v>
      </c>
    </row>
    <row r="216" spans="1:15" x14ac:dyDescent="0.3">
      <c r="A216" s="38">
        <f>'TO HOP'!N183</f>
        <v>53</v>
      </c>
      <c r="B216" s="38" t="str">
        <f>'TO HOP'!B183</f>
        <v>CĐ V(a) max - 2 nhịp 3 làn</v>
      </c>
      <c r="C216" s="38" t="s">
        <v>1203</v>
      </c>
      <c r="D216" s="39">
        <f>'HE GOI'!D19</f>
        <v>1383.337308977915</v>
      </c>
      <c r="E216" s="39">
        <f>IF(csmode=1,0,'HE GOI'!D20)</f>
        <v>512.34715147329803</v>
      </c>
      <c r="F216" s="39">
        <f>IF(csmode=1,'HE GOI'!D24,'HE GOI'!D21)</f>
        <v>320.21696967081334</v>
      </c>
      <c r="G216" s="39">
        <f>'HE GOI'!D23</f>
        <v>-1034.6545125000002</v>
      </c>
      <c r="H216" s="39">
        <f>IF(OR($A216=0,NOT(ISNUMBER($D216)),NOT(ISNUMBER($E216)),NOT(ISNUMBER($F216))),"",SUMPRODUCT(INDEX('TO HOP'!$C$66:$AT$127,$A216,0),'TO HOP'!$C$53:$AT$53)-INDEX('TO HOP'!$AD$66:$AD$127,$A216)*'TO HOP'!$AD$53-INDEX('TO HOP'!$AR$66:$AR$127,$A216)*'TO HOP'!$AR$53-INDEX('TO HOP'!$AS$66:$AS$127,$A216)*'TO HOP'!$AS$53+INDEX('TO HOP'!$AD$66:$AD$127,$A216)*$G216+INDEX('TO HOP'!$AR$66:$AR$127,$A216)*$D216+INDEX('TO HOP'!$AS$66:$AS$127,$A216)*($E216+$F216))</f>
        <v>552.73605256101291</v>
      </c>
      <c r="I216" s="39">
        <f>IF($H216="","",SUMPRODUCT(INDEX('TO HOP'!$C$66:$AT$127,$A216,0),'TO HOP'!$C$57:$AT$57)-INDEX('TO HOP'!$AD$66:$AD$127,$A216)*'TO HOP'!$AD$57-INDEX('TO HOP'!$AR$66:$AR$127,$A216)*'TO HOP'!$AR$57-INDEX('TO HOP'!$AS$66:$AS$127,$A216)*'TO HOP'!$AS$57+(INDEX('TO HOP'!$AD$66:$AD$127,$A216)*$G216+INDEX('TO HOP'!$AR$66:$AR$127,$A216)*$D216+INDEX('TO HOP'!$AS$66:$AS$127,$A216)*($E216+$F216))*(Hbe+Hcot+hxm+hgoi))</f>
        <v>7546.1304639492409</v>
      </c>
      <c r="J216" s="39">
        <f>IF($H216="","",SUMPRODUCT(INDEX('TO HOP'!$C$66:$AT$127,$A216,0),'TO HOP'!$C$58:$AT$58)-INDEX('TO HOP'!$AD$66:$AD$127,$A216)*'TO HOP'!$AD$58-INDEX('TO HOP'!$AR$66:$AR$127,$A216)*'TO HOP'!$AR$58-INDEX('TO HOP'!$AS$66:$AS$127,$A216)*'TO HOP'!$AS$58+INDEX('TO HOP'!$AD$66:$AD$127,$A216)*$G216+INDEX('TO HOP'!$AR$66:$AR$127,$A216)*$D216+INDEX('TO HOP'!$AS$66:$AS$127,$A216)*($E216+$F216))</f>
        <v>552.73605256101291</v>
      </c>
      <c r="K216" s="39">
        <f>IF($H216="","",SUMPRODUCT(INDEX('TO HOP'!$C$66:$AT$127,$A216,0),'TO HOP'!$C$62:$AT$62)-INDEX('TO HOP'!$AD$66:$AD$127,$A216)*'TO HOP'!$AD$62-INDEX('TO HOP'!$AR$66:$AR$127,$A216)*'TO HOP'!$AR$62-INDEX('TO HOP'!$AS$66:$AS$127,$A216)*'TO HOP'!$AS$62+(INDEX('TO HOP'!$AD$66:$AD$127,$A216)*$G216+INDEX('TO HOP'!$AR$66:$AR$127,$A216)*$D216+INDEX('TO HOP'!$AS$66:$AS$127,$A216)*($E216+$F216))*(Hcot+hxm+hgoi))</f>
        <v>6440.6583588272133</v>
      </c>
      <c r="L216" s="39">
        <f t="shared" si="12"/>
        <v>552.73605256101291</v>
      </c>
      <c r="M216" s="39">
        <f t="shared" si="13"/>
        <v>7546.1304639492409</v>
      </c>
      <c r="N216" s="39">
        <f t="shared" si="14"/>
        <v>552.73605256101291</v>
      </c>
      <c r="O216" s="39">
        <f t="shared" si="15"/>
        <v>6440.6583588272133</v>
      </c>
    </row>
    <row r="217" spans="1:15" x14ac:dyDescent="0.3">
      <c r="A217" s="38">
        <f>'TO HOP'!N184</f>
        <v>54</v>
      </c>
      <c r="B217" s="38" t="str">
        <f>'TO HOP'!B184</f>
        <v>CĐ V(a) max - 2 nhịp 4 làn</v>
      </c>
      <c r="C217" s="38" t="s">
        <v>1200</v>
      </c>
      <c r="D217" s="39">
        <f>'HE GOI'!D18</f>
        <v>-1521.6710398757043</v>
      </c>
      <c r="E217" s="39">
        <f>IF(csmode=1,0,'HE GOI'!D20)</f>
        <v>512.34715147329803</v>
      </c>
      <c r="F217" s="39">
        <f>IF(csmode=1,'HE GOI'!D24,'HE GOI'!D21)</f>
        <v>320.21696967081334</v>
      </c>
      <c r="G217" s="39">
        <f>'HE GOI'!D22</f>
        <v>1034.6545125000002</v>
      </c>
      <c r="H217" s="39">
        <f>IF(OR($A217=0,NOT(ISNUMBER($D217)),NOT(ISNUMBER($E217)),NOT(ISNUMBER($F217))),"",SUMPRODUCT(INDEX('TO HOP'!$C$66:$AT$127,$A217,0),'TO HOP'!$C$53:$AT$53)-INDEX('TO HOP'!$AD$66:$AD$127,$A217)*'TO HOP'!$AD$53-INDEX('TO HOP'!$AR$66:$AR$127,$A217)*'TO HOP'!$AR$53-INDEX('TO HOP'!$AS$66:$AS$127,$A217)*'TO HOP'!$AS$53+INDEX('TO HOP'!$AD$66:$AD$127,$A217)*$G217+INDEX('TO HOP'!$AR$66:$AR$127,$A217)*$D217+INDEX('TO HOP'!$AS$66:$AS$127,$A217)*($E217+$F217))</f>
        <v>1169.5409031342037</v>
      </c>
      <c r="I217" s="39">
        <f>IF($H217="","",SUMPRODUCT(INDEX('TO HOP'!$C$66:$AT$127,$A217,0),'TO HOP'!$C$57:$AT$57)-INDEX('TO HOP'!$AD$66:$AD$127,$A217)*'TO HOP'!$AD$57-INDEX('TO HOP'!$AR$66:$AR$127,$A217)*'TO HOP'!$AR$57-INDEX('TO HOP'!$AS$66:$AS$127,$A217)*'TO HOP'!$AS$57+(INDEX('TO HOP'!$AD$66:$AD$127,$A217)*$G217+INDEX('TO HOP'!$AR$66:$AR$127,$A217)*$D217+INDEX('TO HOP'!$AS$66:$AS$127,$A217)*($E217+$F217))*(Hbe+Hcot+hxm+hgoi))</f>
        <v>15120.494028988025</v>
      </c>
      <c r="J217" s="39">
        <f>IF($H217="","",SUMPRODUCT(INDEX('TO HOP'!$C$66:$AT$127,$A217,0),'TO HOP'!$C$58:$AT$58)-INDEX('TO HOP'!$AD$66:$AD$127,$A217)*'TO HOP'!$AD$58-INDEX('TO HOP'!$AR$66:$AR$127,$A217)*'TO HOP'!$AR$58-INDEX('TO HOP'!$AS$66:$AS$127,$A217)*'TO HOP'!$AS$58+INDEX('TO HOP'!$AD$66:$AD$127,$A217)*$G217+INDEX('TO HOP'!$AR$66:$AR$127,$A217)*$D217+INDEX('TO HOP'!$AS$66:$AS$127,$A217)*($E217+$F217))</f>
        <v>1169.5409031342037</v>
      </c>
      <c r="K217" s="39">
        <f>IF($H217="","",SUMPRODUCT(INDEX('TO HOP'!$C$66:$AT$127,$A217,0),'TO HOP'!$C$62:$AT$62)-INDEX('TO HOP'!$AD$66:$AD$127,$A217)*'TO HOP'!$AD$62-INDEX('TO HOP'!$AR$66:$AR$127,$A217)*'TO HOP'!$AR$62-INDEX('TO HOP'!$AS$66:$AS$127,$A217)*'TO HOP'!$AS$62+(INDEX('TO HOP'!$AD$66:$AD$127,$A217)*$G217+INDEX('TO HOP'!$AR$66:$AR$127,$A217)*$D217+INDEX('TO HOP'!$AS$66:$AS$127,$A217)*($E217+$F217))*(Hcot+hxm+hgoi))</f>
        <v>12781.412222719617</v>
      </c>
      <c r="L217" s="39">
        <f t="shared" si="12"/>
        <v>1169.5409031342037</v>
      </c>
      <c r="M217" s="39">
        <f t="shared" si="13"/>
        <v>15120.494028988025</v>
      </c>
      <c r="N217" s="39">
        <f t="shared" si="14"/>
        <v>1169.5409031342037</v>
      </c>
      <c r="O217" s="39">
        <f t="shared" si="15"/>
        <v>12781.412222719617</v>
      </c>
    </row>
    <row r="218" spans="1:15" x14ac:dyDescent="0.3">
      <c r="A218" s="38">
        <f>'TO HOP'!N184</f>
        <v>54</v>
      </c>
      <c r="B218" s="38" t="str">
        <f>'TO HOP'!B184</f>
        <v>CĐ V(a) max - 2 nhịp 4 làn</v>
      </c>
      <c r="C218" s="38" t="s">
        <v>1201</v>
      </c>
      <c r="D218" s="39">
        <f>'HE GOI'!D18</f>
        <v>-1521.6710398757043</v>
      </c>
      <c r="E218" s="39">
        <f>IF(csmode=1,0,'HE GOI'!D20)</f>
        <v>512.34715147329803</v>
      </c>
      <c r="F218" s="39">
        <f>IF(csmode=1,'HE GOI'!D24,'HE GOI'!D21)</f>
        <v>320.21696967081334</v>
      </c>
      <c r="G218" s="39">
        <f>'HE GOI'!D23</f>
        <v>-1034.6545125000002</v>
      </c>
      <c r="H218" s="39">
        <f>IF(OR($A218=0,NOT(ISNUMBER($D218)),NOT(ISNUMBER($E218)),NOT(ISNUMBER($F218))),"",SUMPRODUCT(INDEX('TO HOP'!$C$66:$AT$127,$A218,0),'TO HOP'!$C$53:$AT$53)-INDEX('TO HOP'!$AD$66:$AD$127,$A218)*'TO HOP'!$AD$53-INDEX('TO HOP'!$AR$66:$AR$127,$A218)*'TO HOP'!$AR$53-INDEX('TO HOP'!$AS$66:$AS$127,$A218)*'TO HOP'!$AS$53+INDEX('TO HOP'!$AD$66:$AD$127,$A218)*$G218+INDEX('TO HOP'!$AR$66:$AR$127,$A218)*$D218+INDEX('TO HOP'!$AS$66:$AS$127,$A218)*($E218+$F218))</f>
        <v>-899.76812186579684</v>
      </c>
      <c r="I218" s="39">
        <f>IF($H218="","",SUMPRODUCT(INDEX('TO HOP'!$C$66:$AT$127,$A218,0),'TO HOP'!$C$57:$AT$57)-INDEX('TO HOP'!$AD$66:$AD$127,$A218)*'TO HOP'!$AD$57-INDEX('TO HOP'!$AR$66:$AR$127,$A218)*'TO HOP'!$AR$57-INDEX('TO HOP'!$AS$66:$AS$127,$A218)*'TO HOP'!$AS$57+(INDEX('TO HOP'!$AD$66:$AD$127,$A218)*$G218+INDEX('TO HOP'!$AR$66:$AR$127,$A218)*$D218+INDEX('TO HOP'!$AS$66:$AS$127,$A218)*($E218+$F218))*(Hbe+Hcot+hxm+hgoi))</f>
        <v>-10290.620798011982</v>
      </c>
      <c r="J218" s="39">
        <f>IF($H218="","",SUMPRODUCT(INDEX('TO HOP'!$C$66:$AT$127,$A218,0),'TO HOP'!$C$58:$AT$58)-INDEX('TO HOP'!$AD$66:$AD$127,$A218)*'TO HOP'!$AD$58-INDEX('TO HOP'!$AR$66:$AR$127,$A218)*'TO HOP'!$AR$58-INDEX('TO HOP'!$AS$66:$AS$127,$A218)*'TO HOP'!$AS$58+INDEX('TO HOP'!$AD$66:$AD$127,$A218)*$G218+INDEX('TO HOP'!$AR$66:$AR$127,$A218)*$D218+INDEX('TO HOP'!$AS$66:$AS$127,$A218)*($E218+$F218))</f>
        <v>-899.76812186579684</v>
      </c>
      <c r="K218" s="39">
        <f>IF($H218="","",SUMPRODUCT(INDEX('TO HOP'!$C$66:$AT$127,$A218,0),'TO HOP'!$C$62:$AT$62)-INDEX('TO HOP'!$AD$66:$AD$127,$A218)*'TO HOP'!$AD$62-INDEX('TO HOP'!$AR$66:$AR$127,$A218)*'TO HOP'!$AR$62-INDEX('TO HOP'!$AS$66:$AS$127,$A218)*'TO HOP'!$AS$62+(INDEX('TO HOP'!$AD$66:$AD$127,$A218)*$G218+INDEX('TO HOP'!$AR$66:$AR$127,$A218)*$D218+INDEX('TO HOP'!$AS$66:$AS$127,$A218)*($E218+$F218))*(Hcot+hxm+hgoi))</f>
        <v>-8491.0845542803891</v>
      </c>
      <c r="L218" s="39">
        <f t="shared" si="12"/>
        <v>899.76812186579684</v>
      </c>
      <c r="M218" s="39">
        <f t="shared" si="13"/>
        <v>10290.620798011982</v>
      </c>
      <c r="N218" s="39">
        <f t="shared" si="14"/>
        <v>899.76812186579684</v>
      </c>
      <c r="O218" s="39">
        <f t="shared" si="15"/>
        <v>8491.0845542803891</v>
      </c>
    </row>
    <row r="219" spans="1:15" x14ac:dyDescent="0.3">
      <c r="A219" s="38">
        <f>'TO HOP'!N184</f>
        <v>54</v>
      </c>
      <c r="B219" s="38" t="str">
        <f>'TO HOP'!B184</f>
        <v>CĐ V(a) max - 2 nhịp 4 làn</v>
      </c>
      <c r="C219" s="38" t="s">
        <v>1202</v>
      </c>
      <c r="D219" s="39">
        <f>'HE GOI'!D19</f>
        <v>1383.337308977915</v>
      </c>
      <c r="E219" s="39">
        <f>IF(csmode=1,0,'HE GOI'!D20)</f>
        <v>512.34715147329803</v>
      </c>
      <c r="F219" s="39">
        <f>IF(csmode=1,'HE GOI'!D24,'HE GOI'!D21)</f>
        <v>320.21696967081334</v>
      </c>
      <c r="G219" s="39">
        <f>'HE GOI'!D22</f>
        <v>1034.6545125000002</v>
      </c>
      <c r="H219" s="39">
        <f>IF(OR($A219=0,NOT(ISNUMBER($D219)),NOT(ISNUMBER($E219)),NOT(ISNUMBER($F219))),"",SUMPRODUCT(INDEX('TO HOP'!$C$66:$AT$127,$A219,0),'TO HOP'!$C$53:$AT$53)-INDEX('TO HOP'!$AD$66:$AD$127,$A219)*'TO HOP'!$AD$53-INDEX('TO HOP'!$AR$66:$AR$127,$A219)*'TO HOP'!$AR$53-INDEX('TO HOP'!$AS$66:$AS$127,$A219)*'TO HOP'!$AS$53+INDEX('TO HOP'!$AD$66:$AD$127,$A219)*$G219+INDEX('TO HOP'!$AR$66:$AR$127,$A219)*$D219+INDEX('TO HOP'!$AS$66:$AS$127,$A219)*($E219+$F219))</f>
        <v>2622.0450775610134</v>
      </c>
      <c r="I219" s="39">
        <f>IF($H219="","",SUMPRODUCT(INDEX('TO HOP'!$C$66:$AT$127,$A219,0),'TO HOP'!$C$57:$AT$57)-INDEX('TO HOP'!$AD$66:$AD$127,$A219)*'TO HOP'!$AD$57-INDEX('TO HOP'!$AR$66:$AR$127,$A219)*'TO HOP'!$AR$57-INDEX('TO HOP'!$AS$66:$AS$127,$A219)*'TO HOP'!$AS$57+(INDEX('TO HOP'!$AD$66:$AD$127,$A219)*$G219+INDEX('TO HOP'!$AR$66:$AR$127,$A219)*$D219+INDEX('TO HOP'!$AS$66:$AS$127,$A219)*($E219+$F219))*(Hbe+Hcot+hxm+hgoi))</f>
        <v>32957.245290949249</v>
      </c>
      <c r="J219" s="39">
        <f>IF($H219="","",SUMPRODUCT(INDEX('TO HOP'!$C$66:$AT$127,$A219,0),'TO HOP'!$C$58:$AT$58)-INDEX('TO HOP'!$AD$66:$AD$127,$A219)*'TO HOP'!$AD$58-INDEX('TO HOP'!$AR$66:$AR$127,$A219)*'TO HOP'!$AR$58-INDEX('TO HOP'!$AS$66:$AS$127,$A219)*'TO HOP'!$AS$58+INDEX('TO HOP'!$AD$66:$AD$127,$A219)*$G219+INDEX('TO HOP'!$AR$66:$AR$127,$A219)*$D219+INDEX('TO HOP'!$AS$66:$AS$127,$A219)*($E219+$F219))</f>
        <v>2622.0450775610134</v>
      </c>
      <c r="K219" s="39">
        <f>IF($H219="","",SUMPRODUCT(INDEX('TO HOP'!$C$66:$AT$127,$A219,0),'TO HOP'!$C$62:$AT$62)-INDEX('TO HOP'!$AD$66:$AD$127,$A219)*'TO HOP'!$AD$62-INDEX('TO HOP'!$AR$66:$AR$127,$A219)*'TO HOP'!$AR$62-INDEX('TO HOP'!$AS$66:$AS$127,$A219)*'TO HOP'!$AS$62+(INDEX('TO HOP'!$AD$66:$AD$127,$A219)*$G219+INDEX('TO HOP'!$AR$66:$AR$127,$A219)*$D219+INDEX('TO HOP'!$AS$66:$AS$127,$A219)*($E219+$F219))*(Hcot+hxm+hgoi))</f>
        <v>27713.155135827226</v>
      </c>
      <c r="L219" s="39">
        <f t="shared" si="12"/>
        <v>2622.0450775610134</v>
      </c>
      <c r="M219" s="39">
        <f t="shared" si="13"/>
        <v>32957.245290949249</v>
      </c>
      <c r="N219" s="39">
        <f t="shared" si="14"/>
        <v>2622.0450775610134</v>
      </c>
      <c r="O219" s="39">
        <f t="shared" si="15"/>
        <v>27713.155135827226</v>
      </c>
    </row>
    <row r="220" spans="1:15" x14ac:dyDescent="0.3">
      <c r="A220" s="38">
        <f>'TO HOP'!N184</f>
        <v>54</v>
      </c>
      <c r="B220" s="38" t="str">
        <f>'TO HOP'!B184</f>
        <v>CĐ V(a) max - 2 nhịp 4 làn</v>
      </c>
      <c r="C220" s="38" t="s">
        <v>1203</v>
      </c>
      <c r="D220" s="39">
        <f>'HE GOI'!D19</f>
        <v>1383.337308977915</v>
      </c>
      <c r="E220" s="39">
        <f>IF(csmode=1,0,'HE GOI'!D20)</f>
        <v>512.34715147329803</v>
      </c>
      <c r="F220" s="39">
        <f>IF(csmode=1,'HE GOI'!D24,'HE GOI'!D21)</f>
        <v>320.21696967081334</v>
      </c>
      <c r="G220" s="39">
        <f>'HE GOI'!D23</f>
        <v>-1034.6545125000002</v>
      </c>
      <c r="H220" s="39">
        <f>IF(OR($A220=0,NOT(ISNUMBER($D220)),NOT(ISNUMBER($E220)),NOT(ISNUMBER($F220))),"",SUMPRODUCT(INDEX('TO HOP'!$C$66:$AT$127,$A220,0),'TO HOP'!$C$53:$AT$53)-INDEX('TO HOP'!$AD$66:$AD$127,$A220)*'TO HOP'!$AD$53-INDEX('TO HOP'!$AR$66:$AR$127,$A220)*'TO HOP'!$AR$53-INDEX('TO HOP'!$AS$66:$AS$127,$A220)*'TO HOP'!$AS$53+INDEX('TO HOP'!$AD$66:$AD$127,$A220)*$G220+INDEX('TO HOP'!$AR$66:$AR$127,$A220)*$D220+INDEX('TO HOP'!$AS$66:$AS$127,$A220)*($E220+$F220))</f>
        <v>552.73605256101291</v>
      </c>
      <c r="I220" s="39">
        <f>IF($H220="","",SUMPRODUCT(INDEX('TO HOP'!$C$66:$AT$127,$A220,0),'TO HOP'!$C$57:$AT$57)-INDEX('TO HOP'!$AD$66:$AD$127,$A220)*'TO HOP'!$AD$57-INDEX('TO HOP'!$AR$66:$AR$127,$A220)*'TO HOP'!$AR$57-INDEX('TO HOP'!$AS$66:$AS$127,$A220)*'TO HOP'!$AS$57+(INDEX('TO HOP'!$AD$66:$AD$127,$A220)*$G220+INDEX('TO HOP'!$AR$66:$AR$127,$A220)*$D220+INDEX('TO HOP'!$AS$66:$AS$127,$A220)*($E220+$F220))*(Hbe+Hcot+hxm+hgoi))</f>
        <v>7546.1304639492409</v>
      </c>
      <c r="J220" s="39">
        <f>IF($H220="","",SUMPRODUCT(INDEX('TO HOP'!$C$66:$AT$127,$A220,0),'TO HOP'!$C$58:$AT$58)-INDEX('TO HOP'!$AD$66:$AD$127,$A220)*'TO HOP'!$AD$58-INDEX('TO HOP'!$AR$66:$AR$127,$A220)*'TO HOP'!$AR$58-INDEX('TO HOP'!$AS$66:$AS$127,$A220)*'TO HOP'!$AS$58+INDEX('TO HOP'!$AD$66:$AD$127,$A220)*$G220+INDEX('TO HOP'!$AR$66:$AR$127,$A220)*$D220+INDEX('TO HOP'!$AS$66:$AS$127,$A220)*($E220+$F220))</f>
        <v>552.73605256101291</v>
      </c>
      <c r="K220" s="39">
        <f>IF($H220="","",SUMPRODUCT(INDEX('TO HOP'!$C$66:$AT$127,$A220,0),'TO HOP'!$C$62:$AT$62)-INDEX('TO HOP'!$AD$66:$AD$127,$A220)*'TO HOP'!$AD$62-INDEX('TO HOP'!$AR$66:$AR$127,$A220)*'TO HOP'!$AR$62-INDEX('TO HOP'!$AS$66:$AS$127,$A220)*'TO HOP'!$AS$62+(INDEX('TO HOP'!$AD$66:$AD$127,$A220)*$G220+INDEX('TO HOP'!$AR$66:$AR$127,$A220)*$D220+INDEX('TO HOP'!$AS$66:$AS$127,$A220)*($E220+$F220))*(Hcot+hxm+hgoi))</f>
        <v>6440.6583588272133</v>
      </c>
      <c r="L220" s="39">
        <f t="shared" si="12"/>
        <v>552.73605256101291</v>
      </c>
      <c r="M220" s="39">
        <f t="shared" si="13"/>
        <v>7546.1304639492409</v>
      </c>
      <c r="N220" s="39">
        <f t="shared" si="14"/>
        <v>552.73605256101291</v>
      </c>
      <c r="O220" s="39">
        <f t="shared" si="15"/>
        <v>6440.6583588272133</v>
      </c>
    </row>
    <row r="221" spans="1:15" x14ac:dyDescent="0.3">
      <c r="A221" s="38">
        <f>'TO HOP'!N185</f>
        <v>55</v>
      </c>
      <c r="B221" s="38" t="str">
        <f>'TO HOP'!B185</f>
        <v>CĐ V(a) max - 2 nhịp 5 làn</v>
      </c>
      <c r="C221" s="38" t="s">
        <v>1200</v>
      </c>
      <c r="D221" s="39">
        <f>'HE GOI'!D18</f>
        <v>-1521.6710398757043</v>
      </c>
      <c r="E221" s="39">
        <f>IF(csmode=1,0,'HE GOI'!D20)</f>
        <v>512.34715147329803</v>
      </c>
      <c r="F221" s="39">
        <f>IF(csmode=1,'HE GOI'!D24,'HE GOI'!D21)</f>
        <v>320.21696967081334</v>
      </c>
      <c r="G221" s="39">
        <f>'HE GOI'!D22</f>
        <v>1034.6545125000002</v>
      </c>
      <c r="H221" s="39">
        <f>IF(OR($A221=0,NOT(ISNUMBER($D221)),NOT(ISNUMBER($E221)),NOT(ISNUMBER($F221))),"",SUMPRODUCT(INDEX('TO HOP'!$C$66:$AT$127,$A221,0),'TO HOP'!$C$53:$AT$53)-INDEX('TO HOP'!$AD$66:$AD$127,$A221)*'TO HOP'!$AD$53-INDEX('TO HOP'!$AR$66:$AR$127,$A221)*'TO HOP'!$AR$53-INDEX('TO HOP'!$AS$66:$AS$127,$A221)*'TO HOP'!$AS$53+INDEX('TO HOP'!$AD$66:$AD$127,$A221)*$G221+INDEX('TO HOP'!$AR$66:$AR$127,$A221)*$D221+INDEX('TO HOP'!$AS$66:$AS$127,$A221)*($E221+$F221))</f>
        <v>1169.5409031342037</v>
      </c>
      <c r="I221" s="39">
        <f>IF($H221="","",SUMPRODUCT(INDEX('TO HOP'!$C$66:$AT$127,$A221,0),'TO HOP'!$C$57:$AT$57)-INDEX('TO HOP'!$AD$66:$AD$127,$A221)*'TO HOP'!$AD$57-INDEX('TO HOP'!$AR$66:$AR$127,$A221)*'TO HOP'!$AR$57-INDEX('TO HOP'!$AS$66:$AS$127,$A221)*'TO HOP'!$AS$57+(INDEX('TO HOP'!$AD$66:$AD$127,$A221)*$G221+INDEX('TO HOP'!$AR$66:$AR$127,$A221)*$D221+INDEX('TO HOP'!$AS$66:$AS$127,$A221)*($E221+$F221))*(Hbe+Hcot+hxm+hgoi))</f>
        <v>15120.494028988025</v>
      </c>
      <c r="J221" s="39">
        <f>IF($H221="","",SUMPRODUCT(INDEX('TO HOP'!$C$66:$AT$127,$A221,0),'TO HOP'!$C$58:$AT$58)-INDEX('TO HOP'!$AD$66:$AD$127,$A221)*'TO HOP'!$AD$58-INDEX('TO HOP'!$AR$66:$AR$127,$A221)*'TO HOP'!$AR$58-INDEX('TO HOP'!$AS$66:$AS$127,$A221)*'TO HOP'!$AS$58+INDEX('TO HOP'!$AD$66:$AD$127,$A221)*$G221+INDEX('TO HOP'!$AR$66:$AR$127,$A221)*$D221+INDEX('TO HOP'!$AS$66:$AS$127,$A221)*($E221+$F221))</f>
        <v>1169.5409031342037</v>
      </c>
      <c r="K221" s="39">
        <f>IF($H221="","",SUMPRODUCT(INDEX('TO HOP'!$C$66:$AT$127,$A221,0),'TO HOP'!$C$62:$AT$62)-INDEX('TO HOP'!$AD$66:$AD$127,$A221)*'TO HOP'!$AD$62-INDEX('TO HOP'!$AR$66:$AR$127,$A221)*'TO HOP'!$AR$62-INDEX('TO HOP'!$AS$66:$AS$127,$A221)*'TO HOP'!$AS$62+(INDEX('TO HOP'!$AD$66:$AD$127,$A221)*$G221+INDEX('TO HOP'!$AR$66:$AR$127,$A221)*$D221+INDEX('TO HOP'!$AS$66:$AS$127,$A221)*($E221+$F221))*(Hcot+hxm+hgoi))</f>
        <v>12781.412222719617</v>
      </c>
      <c r="L221" s="39">
        <f t="shared" si="12"/>
        <v>1169.5409031342037</v>
      </c>
      <c r="M221" s="39">
        <f t="shared" si="13"/>
        <v>15120.494028988025</v>
      </c>
      <c r="N221" s="39">
        <f t="shared" si="14"/>
        <v>1169.5409031342037</v>
      </c>
      <c r="O221" s="39">
        <f t="shared" si="15"/>
        <v>12781.412222719617</v>
      </c>
    </row>
    <row r="222" spans="1:15" x14ac:dyDescent="0.3">
      <c r="A222" s="38">
        <f>'TO HOP'!N185</f>
        <v>55</v>
      </c>
      <c r="B222" s="38" t="str">
        <f>'TO HOP'!B185</f>
        <v>CĐ V(a) max - 2 nhịp 5 làn</v>
      </c>
      <c r="C222" s="38" t="s">
        <v>1201</v>
      </c>
      <c r="D222" s="39">
        <f>'HE GOI'!D18</f>
        <v>-1521.6710398757043</v>
      </c>
      <c r="E222" s="39">
        <f>IF(csmode=1,0,'HE GOI'!D20)</f>
        <v>512.34715147329803</v>
      </c>
      <c r="F222" s="39">
        <f>IF(csmode=1,'HE GOI'!D24,'HE GOI'!D21)</f>
        <v>320.21696967081334</v>
      </c>
      <c r="G222" s="39">
        <f>'HE GOI'!D23</f>
        <v>-1034.6545125000002</v>
      </c>
      <c r="H222" s="39">
        <f>IF(OR($A222=0,NOT(ISNUMBER($D222)),NOT(ISNUMBER($E222)),NOT(ISNUMBER($F222))),"",SUMPRODUCT(INDEX('TO HOP'!$C$66:$AT$127,$A222,0),'TO HOP'!$C$53:$AT$53)-INDEX('TO HOP'!$AD$66:$AD$127,$A222)*'TO HOP'!$AD$53-INDEX('TO HOP'!$AR$66:$AR$127,$A222)*'TO HOP'!$AR$53-INDEX('TO HOP'!$AS$66:$AS$127,$A222)*'TO HOP'!$AS$53+INDEX('TO HOP'!$AD$66:$AD$127,$A222)*$G222+INDEX('TO HOP'!$AR$66:$AR$127,$A222)*$D222+INDEX('TO HOP'!$AS$66:$AS$127,$A222)*($E222+$F222))</f>
        <v>-899.76812186579684</v>
      </c>
      <c r="I222" s="39">
        <f>IF($H222="","",SUMPRODUCT(INDEX('TO HOP'!$C$66:$AT$127,$A222,0),'TO HOP'!$C$57:$AT$57)-INDEX('TO HOP'!$AD$66:$AD$127,$A222)*'TO HOP'!$AD$57-INDEX('TO HOP'!$AR$66:$AR$127,$A222)*'TO HOP'!$AR$57-INDEX('TO HOP'!$AS$66:$AS$127,$A222)*'TO HOP'!$AS$57+(INDEX('TO HOP'!$AD$66:$AD$127,$A222)*$G222+INDEX('TO HOP'!$AR$66:$AR$127,$A222)*$D222+INDEX('TO HOP'!$AS$66:$AS$127,$A222)*($E222+$F222))*(Hbe+Hcot+hxm+hgoi))</f>
        <v>-10290.620798011982</v>
      </c>
      <c r="J222" s="39">
        <f>IF($H222="","",SUMPRODUCT(INDEX('TO HOP'!$C$66:$AT$127,$A222,0),'TO HOP'!$C$58:$AT$58)-INDEX('TO HOP'!$AD$66:$AD$127,$A222)*'TO HOP'!$AD$58-INDEX('TO HOP'!$AR$66:$AR$127,$A222)*'TO HOP'!$AR$58-INDEX('TO HOP'!$AS$66:$AS$127,$A222)*'TO HOP'!$AS$58+INDEX('TO HOP'!$AD$66:$AD$127,$A222)*$G222+INDEX('TO HOP'!$AR$66:$AR$127,$A222)*$D222+INDEX('TO HOP'!$AS$66:$AS$127,$A222)*($E222+$F222))</f>
        <v>-899.76812186579684</v>
      </c>
      <c r="K222" s="39">
        <f>IF($H222="","",SUMPRODUCT(INDEX('TO HOP'!$C$66:$AT$127,$A222,0),'TO HOP'!$C$62:$AT$62)-INDEX('TO HOP'!$AD$66:$AD$127,$A222)*'TO HOP'!$AD$62-INDEX('TO HOP'!$AR$66:$AR$127,$A222)*'TO HOP'!$AR$62-INDEX('TO HOP'!$AS$66:$AS$127,$A222)*'TO HOP'!$AS$62+(INDEX('TO HOP'!$AD$66:$AD$127,$A222)*$G222+INDEX('TO HOP'!$AR$66:$AR$127,$A222)*$D222+INDEX('TO HOP'!$AS$66:$AS$127,$A222)*($E222+$F222))*(Hcot+hxm+hgoi))</f>
        <v>-8491.0845542803891</v>
      </c>
      <c r="L222" s="39">
        <f t="shared" si="12"/>
        <v>899.76812186579684</v>
      </c>
      <c r="M222" s="39">
        <f t="shared" si="13"/>
        <v>10290.620798011982</v>
      </c>
      <c r="N222" s="39">
        <f t="shared" si="14"/>
        <v>899.76812186579684</v>
      </c>
      <c r="O222" s="39">
        <f t="shared" si="15"/>
        <v>8491.0845542803891</v>
      </c>
    </row>
    <row r="223" spans="1:15" x14ac:dyDescent="0.3">
      <c r="A223" s="38">
        <f>'TO HOP'!N185</f>
        <v>55</v>
      </c>
      <c r="B223" s="38" t="str">
        <f>'TO HOP'!B185</f>
        <v>CĐ V(a) max - 2 nhịp 5 làn</v>
      </c>
      <c r="C223" s="38" t="s">
        <v>1202</v>
      </c>
      <c r="D223" s="39">
        <f>'HE GOI'!D19</f>
        <v>1383.337308977915</v>
      </c>
      <c r="E223" s="39">
        <f>IF(csmode=1,0,'HE GOI'!D20)</f>
        <v>512.34715147329803</v>
      </c>
      <c r="F223" s="39">
        <f>IF(csmode=1,'HE GOI'!D24,'HE GOI'!D21)</f>
        <v>320.21696967081334</v>
      </c>
      <c r="G223" s="39">
        <f>'HE GOI'!D22</f>
        <v>1034.6545125000002</v>
      </c>
      <c r="H223" s="39">
        <f>IF(OR($A223=0,NOT(ISNUMBER($D223)),NOT(ISNUMBER($E223)),NOT(ISNUMBER($F223))),"",SUMPRODUCT(INDEX('TO HOP'!$C$66:$AT$127,$A223,0),'TO HOP'!$C$53:$AT$53)-INDEX('TO HOP'!$AD$66:$AD$127,$A223)*'TO HOP'!$AD$53-INDEX('TO HOP'!$AR$66:$AR$127,$A223)*'TO HOP'!$AR$53-INDEX('TO HOP'!$AS$66:$AS$127,$A223)*'TO HOP'!$AS$53+INDEX('TO HOP'!$AD$66:$AD$127,$A223)*$G223+INDEX('TO HOP'!$AR$66:$AR$127,$A223)*$D223+INDEX('TO HOP'!$AS$66:$AS$127,$A223)*($E223+$F223))</f>
        <v>2622.0450775610134</v>
      </c>
      <c r="I223" s="39">
        <f>IF($H223="","",SUMPRODUCT(INDEX('TO HOP'!$C$66:$AT$127,$A223,0),'TO HOP'!$C$57:$AT$57)-INDEX('TO HOP'!$AD$66:$AD$127,$A223)*'TO HOP'!$AD$57-INDEX('TO HOP'!$AR$66:$AR$127,$A223)*'TO HOP'!$AR$57-INDEX('TO HOP'!$AS$66:$AS$127,$A223)*'TO HOP'!$AS$57+(INDEX('TO HOP'!$AD$66:$AD$127,$A223)*$G223+INDEX('TO HOP'!$AR$66:$AR$127,$A223)*$D223+INDEX('TO HOP'!$AS$66:$AS$127,$A223)*($E223+$F223))*(Hbe+Hcot+hxm+hgoi))</f>
        <v>32957.245290949249</v>
      </c>
      <c r="J223" s="39">
        <f>IF($H223="","",SUMPRODUCT(INDEX('TO HOP'!$C$66:$AT$127,$A223,0),'TO HOP'!$C$58:$AT$58)-INDEX('TO HOP'!$AD$66:$AD$127,$A223)*'TO HOP'!$AD$58-INDEX('TO HOP'!$AR$66:$AR$127,$A223)*'TO HOP'!$AR$58-INDEX('TO HOP'!$AS$66:$AS$127,$A223)*'TO HOP'!$AS$58+INDEX('TO HOP'!$AD$66:$AD$127,$A223)*$G223+INDEX('TO HOP'!$AR$66:$AR$127,$A223)*$D223+INDEX('TO HOP'!$AS$66:$AS$127,$A223)*($E223+$F223))</f>
        <v>2622.0450775610134</v>
      </c>
      <c r="K223" s="39">
        <f>IF($H223="","",SUMPRODUCT(INDEX('TO HOP'!$C$66:$AT$127,$A223,0),'TO HOP'!$C$62:$AT$62)-INDEX('TO HOP'!$AD$66:$AD$127,$A223)*'TO HOP'!$AD$62-INDEX('TO HOP'!$AR$66:$AR$127,$A223)*'TO HOP'!$AR$62-INDEX('TO HOP'!$AS$66:$AS$127,$A223)*'TO HOP'!$AS$62+(INDEX('TO HOP'!$AD$66:$AD$127,$A223)*$G223+INDEX('TO HOP'!$AR$66:$AR$127,$A223)*$D223+INDEX('TO HOP'!$AS$66:$AS$127,$A223)*($E223+$F223))*(Hcot+hxm+hgoi))</f>
        <v>27713.155135827226</v>
      </c>
      <c r="L223" s="39">
        <f t="shared" si="12"/>
        <v>2622.0450775610134</v>
      </c>
      <c r="M223" s="39">
        <f t="shared" si="13"/>
        <v>32957.245290949249</v>
      </c>
      <c r="N223" s="39">
        <f t="shared" si="14"/>
        <v>2622.0450775610134</v>
      </c>
      <c r="O223" s="39">
        <f t="shared" si="15"/>
        <v>27713.155135827226</v>
      </c>
    </row>
    <row r="224" spans="1:15" x14ac:dyDescent="0.3">
      <c r="A224" s="38">
        <f>'TO HOP'!N185</f>
        <v>55</v>
      </c>
      <c r="B224" s="38" t="str">
        <f>'TO HOP'!B185</f>
        <v>CĐ V(a) max - 2 nhịp 5 làn</v>
      </c>
      <c r="C224" s="38" t="s">
        <v>1203</v>
      </c>
      <c r="D224" s="39">
        <f>'HE GOI'!D19</f>
        <v>1383.337308977915</v>
      </c>
      <c r="E224" s="39">
        <f>IF(csmode=1,0,'HE GOI'!D20)</f>
        <v>512.34715147329803</v>
      </c>
      <c r="F224" s="39">
        <f>IF(csmode=1,'HE GOI'!D24,'HE GOI'!D21)</f>
        <v>320.21696967081334</v>
      </c>
      <c r="G224" s="39">
        <f>'HE GOI'!D23</f>
        <v>-1034.6545125000002</v>
      </c>
      <c r="H224" s="39">
        <f>IF(OR($A224=0,NOT(ISNUMBER($D224)),NOT(ISNUMBER($E224)),NOT(ISNUMBER($F224))),"",SUMPRODUCT(INDEX('TO HOP'!$C$66:$AT$127,$A224,0),'TO HOP'!$C$53:$AT$53)-INDEX('TO HOP'!$AD$66:$AD$127,$A224)*'TO HOP'!$AD$53-INDEX('TO HOP'!$AR$66:$AR$127,$A224)*'TO HOP'!$AR$53-INDEX('TO HOP'!$AS$66:$AS$127,$A224)*'TO HOP'!$AS$53+INDEX('TO HOP'!$AD$66:$AD$127,$A224)*$G224+INDEX('TO HOP'!$AR$66:$AR$127,$A224)*$D224+INDEX('TO HOP'!$AS$66:$AS$127,$A224)*($E224+$F224))</f>
        <v>552.73605256101291</v>
      </c>
      <c r="I224" s="39">
        <f>IF($H224="","",SUMPRODUCT(INDEX('TO HOP'!$C$66:$AT$127,$A224,0),'TO HOP'!$C$57:$AT$57)-INDEX('TO HOP'!$AD$66:$AD$127,$A224)*'TO HOP'!$AD$57-INDEX('TO HOP'!$AR$66:$AR$127,$A224)*'TO HOP'!$AR$57-INDEX('TO HOP'!$AS$66:$AS$127,$A224)*'TO HOP'!$AS$57+(INDEX('TO HOP'!$AD$66:$AD$127,$A224)*$G224+INDEX('TO HOP'!$AR$66:$AR$127,$A224)*$D224+INDEX('TO HOP'!$AS$66:$AS$127,$A224)*($E224+$F224))*(Hbe+Hcot+hxm+hgoi))</f>
        <v>7546.1304639492409</v>
      </c>
      <c r="J224" s="39">
        <f>IF($H224="","",SUMPRODUCT(INDEX('TO HOP'!$C$66:$AT$127,$A224,0),'TO HOP'!$C$58:$AT$58)-INDEX('TO HOP'!$AD$66:$AD$127,$A224)*'TO HOP'!$AD$58-INDEX('TO HOP'!$AR$66:$AR$127,$A224)*'TO HOP'!$AR$58-INDEX('TO HOP'!$AS$66:$AS$127,$A224)*'TO HOP'!$AS$58+INDEX('TO HOP'!$AD$66:$AD$127,$A224)*$G224+INDEX('TO HOP'!$AR$66:$AR$127,$A224)*$D224+INDEX('TO HOP'!$AS$66:$AS$127,$A224)*($E224+$F224))</f>
        <v>552.73605256101291</v>
      </c>
      <c r="K224" s="39">
        <f>IF($H224="","",SUMPRODUCT(INDEX('TO HOP'!$C$66:$AT$127,$A224,0),'TO HOP'!$C$62:$AT$62)-INDEX('TO HOP'!$AD$66:$AD$127,$A224)*'TO HOP'!$AD$62-INDEX('TO HOP'!$AR$66:$AR$127,$A224)*'TO HOP'!$AR$62-INDEX('TO HOP'!$AS$66:$AS$127,$A224)*'TO HOP'!$AS$62+(INDEX('TO HOP'!$AD$66:$AD$127,$A224)*$G224+INDEX('TO HOP'!$AR$66:$AR$127,$A224)*$D224+INDEX('TO HOP'!$AS$66:$AS$127,$A224)*($E224+$F224))*(Hcot+hxm+hgoi))</f>
        <v>6440.6583588272133</v>
      </c>
      <c r="L224" s="39">
        <f t="shared" si="12"/>
        <v>552.73605256101291</v>
      </c>
      <c r="M224" s="39">
        <f t="shared" si="13"/>
        <v>7546.1304639492409</v>
      </c>
      <c r="N224" s="39">
        <f t="shared" si="14"/>
        <v>552.73605256101291</v>
      </c>
      <c r="O224" s="39">
        <f t="shared" si="15"/>
        <v>6440.6583588272133</v>
      </c>
    </row>
    <row r="225" spans="1:15" x14ac:dyDescent="0.3">
      <c r="A225" s="38">
        <f>'TO HOP'!N186</f>
        <v>56</v>
      </c>
      <c r="B225" s="38" t="str">
        <f>'TO HOP'!B186</f>
        <v>CĐ V(a) max - 2 nhịp 6 làn</v>
      </c>
      <c r="C225" s="38" t="s">
        <v>1200</v>
      </c>
      <c r="D225" s="39">
        <f>'HE GOI'!D18</f>
        <v>-1521.6710398757043</v>
      </c>
      <c r="E225" s="39">
        <f>IF(csmode=1,0,'HE GOI'!D20)</f>
        <v>512.34715147329803</v>
      </c>
      <c r="F225" s="39">
        <f>IF(csmode=1,'HE GOI'!D24,'HE GOI'!D21)</f>
        <v>320.21696967081334</v>
      </c>
      <c r="G225" s="39">
        <f>'HE GOI'!D22</f>
        <v>1034.6545125000002</v>
      </c>
      <c r="H225" s="39">
        <f>IF(OR($A225=0,NOT(ISNUMBER($D225)),NOT(ISNUMBER($E225)),NOT(ISNUMBER($F225))),"",SUMPRODUCT(INDEX('TO HOP'!$C$66:$AT$127,$A225,0),'TO HOP'!$C$53:$AT$53)-INDEX('TO HOP'!$AD$66:$AD$127,$A225)*'TO HOP'!$AD$53-INDEX('TO HOP'!$AR$66:$AR$127,$A225)*'TO HOP'!$AR$53-INDEX('TO HOP'!$AS$66:$AS$127,$A225)*'TO HOP'!$AS$53+INDEX('TO HOP'!$AD$66:$AD$127,$A225)*$G225+INDEX('TO HOP'!$AR$66:$AR$127,$A225)*$D225+INDEX('TO HOP'!$AS$66:$AS$127,$A225)*($E225+$F225))</f>
        <v>1169.5409031342037</v>
      </c>
      <c r="I225" s="39">
        <f>IF($H225="","",SUMPRODUCT(INDEX('TO HOP'!$C$66:$AT$127,$A225,0),'TO HOP'!$C$57:$AT$57)-INDEX('TO HOP'!$AD$66:$AD$127,$A225)*'TO HOP'!$AD$57-INDEX('TO HOP'!$AR$66:$AR$127,$A225)*'TO HOP'!$AR$57-INDEX('TO HOP'!$AS$66:$AS$127,$A225)*'TO HOP'!$AS$57+(INDEX('TO HOP'!$AD$66:$AD$127,$A225)*$G225+INDEX('TO HOP'!$AR$66:$AR$127,$A225)*$D225+INDEX('TO HOP'!$AS$66:$AS$127,$A225)*($E225+$F225))*(Hbe+Hcot+hxm+hgoi))</f>
        <v>15120.494028988025</v>
      </c>
      <c r="J225" s="39">
        <f>IF($H225="","",SUMPRODUCT(INDEX('TO HOP'!$C$66:$AT$127,$A225,0),'TO HOP'!$C$58:$AT$58)-INDEX('TO HOP'!$AD$66:$AD$127,$A225)*'TO HOP'!$AD$58-INDEX('TO HOP'!$AR$66:$AR$127,$A225)*'TO HOP'!$AR$58-INDEX('TO HOP'!$AS$66:$AS$127,$A225)*'TO HOP'!$AS$58+INDEX('TO HOP'!$AD$66:$AD$127,$A225)*$G225+INDEX('TO HOP'!$AR$66:$AR$127,$A225)*$D225+INDEX('TO HOP'!$AS$66:$AS$127,$A225)*($E225+$F225))</f>
        <v>1169.5409031342037</v>
      </c>
      <c r="K225" s="39">
        <f>IF($H225="","",SUMPRODUCT(INDEX('TO HOP'!$C$66:$AT$127,$A225,0),'TO HOP'!$C$62:$AT$62)-INDEX('TO HOP'!$AD$66:$AD$127,$A225)*'TO HOP'!$AD$62-INDEX('TO HOP'!$AR$66:$AR$127,$A225)*'TO HOP'!$AR$62-INDEX('TO HOP'!$AS$66:$AS$127,$A225)*'TO HOP'!$AS$62+(INDEX('TO HOP'!$AD$66:$AD$127,$A225)*$G225+INDEX('TO HOP'!$AR$66:$AR$127,$A225)*$D225+INDEX('TO HOP'!$AS$66:$AS$127,$A225)*($E225+$F225))*(Hcot+hxm+hgoi))</f>
        <v>12781.412222719617</v>
      </c>
      <c r="L225" s="39">
        <f t="shared" si="12"/>
        <v>1169.5409031342037</v>
      </c>
      <c r="M225" s="39">
        <f t="shared" si="13"/>
        <v>15120.494028988025</v>
      </c>
      <c r="N225" s="39">
        <f t="shared" si="14"/>
        <v>1169.5409031342037</v>
      </c>
      <c r="O225" s="39">
        <f t="shared" si="15"/>
        <v>12781.412222719617</v>
      </c>
    </row>
    <row r="226" spans="1:15" x14ac:dyDescent="0.3">
      <c r="A226" s="38">
        <f>'TO HOP'!N186</f>
        <v>56</v>
      </c>
      <c r="B226" s="38" t="str">
        <f>'TO HOP'!B186</f>
        <v>CĐ V(a) max - 2 nhịp 6 làn</v>
      </c>
      <c r="C226" s="38" t="s">
        <v>1201</v>
      </c>
      <c r="D226" s="39">
        <f>'HE GOI'!D18</f>
        <v>-1521.6710398757043</v>
      </c>
      <c r="E226" s="39">
        <f>IF(csmode=1,0,'HE GOI'!D20)</f>
        <v>512.34715147329803</v>
      </c>
      <c r="F226" s="39">
        <f>IF(csmode=1,'HE GOI'!D24,'HE GOI'!D21)</f>
        <v>320.21696967081334</v>
      </c>
      <c r="G226" s="39">
        <f>'HE GOI'!D23</f>
        <v>-1034.6545125000002</v>
      </c>
      <c r="H226" s="39">
        <f>IF(OR($A226=0,NOT(ISNUMBER($D226)),NOT(ISNUMBER($E226)),NOT(ISNUMBER($F226))),"",SUMPRODUCT(INDEX('TO HOP'!$C$66:$AT$127,$A226,0),'TO HOP'!$C$53:$AT$53)-INDEX('TO HOP'!$AD$66:$AD$127,$A226)*'TO HOP'!$AD$53-INDEX('TO HOP'!$AR$66:$AR$127,$A226)*'TO HOP'!$AR$53-INDEX('TO HOP'!$AS$66:$AS$127,$A226)*'TO HOP'!$AS$53+INDEX('TO HOP'!$AD$66:$AD$127,$A226)*$G226+INDEX('TO HOP'!$AR$66:$AR$127,$A226)*$D226+INDEX('TO HOP'!$AS$66:$AS$127,$A226)*($E226+$F226))</f>
        <v>-899.76812186579684</v>
      </c>
      <c r="I226" s="39">
        <f>IF($H226="","",SUMPRODUCT(INDEX('TO HOP'!$C$66:$AT$127,$A226,0),'TO HOP'!$C$57:$AT$57)-INDEX('TO HOP'!$AD$66:$AD$127,$A226)*'TO HOP'!$AD$57-INDEX('TO HOP'!$AR$66:$AR$127,$A226)*'TO HOP'!$AR$57-INDEX('TO HOP'!$AS$66:$AS$127,$A226)*'TO HOP'!$AS$57+(INDEX('TO HOP'!$AD$66:$AD$127,$A226)*$G226+INDEX('TO HOP'!$AR$66:$AR$127,$A226)*$D226+INDEX('TO HOP'!$AS$66:$AS$127,$A226)*($E226+$F226))*(Hbe+Hcot+hxm+hgoi))</f>
        <v>-10290.620798011982</v>
      </c>
      <c r="J226" s="39">
        <f>IF($H226="","",SUMPRODUCT(INDEX('TO HOP'!$C$66:$AT$127,$A226,0),'TO HOP'!$C$58:$AT$58)-INDEX('TO HOP'!$AD$66:$AD$127,$A226)*'TO HOP'!$AD$58-INDEX('TO HOP'!$AR$66:$AR$127,$A226)*'TO HOP'!$AR$58-INDEX('TO HOP'!$AS$66:$AS$127,$A226)*'TO HOP'!$AS$58+INDEX('TO HOP'!$AD$66:$AD$127,$A226)*$G226+INDEX('TO HOP'!$AR$66:$AR$127,$A226)*$D226+INDEX('TO HOP'!$AS$66:$AS$127,$A226)*($E226+$F226))</f>
        <v>-899.76812186579684</v>
      </c>
      <c r="K226" s="39">
        <f>IF($H226="","",SUMPRODUCT(INDEX('TO HOP'!$C$66:$AT$127,$A226,0),'TO HOP'!$C$62:$AT$62)-INDEX('TO HOP'!$AD$66:$AD$127,$A226)*'TO HOP'!$AD$62-INDEX('TO HOP'!$AR$66:$AR$127,$A226)*'TO HOP'!$AR$62-INDEX('TO HOP'!$AS$66:$AS$127,$A226)*'TO HOP'!$AS$62+(INDEX('TO HOP'!$AD$66:$AD$127,$A226)*$G226+INDEX('TO HOP'!$AR$66:$AR$127,$A226)*$D226+INDEX('TO HOP'!$AS$66:$AS$127,$A226)*($E226+$F226))*(Hcot+hxm+hgoi))</f>
        <v>-8491.0845542803891</v>
      </c>
      <c r="L226" s="39">
        <f t="shared" si="12"/>
        <v>899.76812186579684</v>
      </c>
      <c r="M226" s="39">
        <f t="shared" si="13"/>
        <v>10290.620798011982</v>
      </c>
      <c r="N226" s="39">
        <f t="shared" si="14"/>
        <v>899.76812186579684</v>
      </c>
      <c r="O226" s="39">
        <f t="shared" si="15"/>
        <v>8491.0845542803891</v>
      </c>
    </row>
    <row r="227" spans="1:15" x14ac:dyDescent="0.3">
      <c r="A227" s="38">
        <f>'TO HOP'!N186</f>
        <v>56</v>
      </c>
      <c r="B227" s="38" t="str">
        <f>'TO HOP'!B186</f>
        <v>CĐ V(a) max - 2 nhịp 6 làn</v>
      </c>
      <c r="C227" s="38" t="s">
        <v>1202</v>
      </c>
      <c r="D227" s="39">
        <f>'HE GOI'!D19</f>
        <v>1383.337308977915</v>
      </c>
      <c r="E227" s="39">
        <f>IF(csmode=1,0,'HE GOI'!D20)</f>
        <v>512.34715147329803</v>
      </c>
      <c r="F227" s="39">
        <f>IF(csmode=1,'HE GOI'!D24,'HE GOI'!D21)</f>
        <v>320.21696967081334</v>
      </c>
      <c r="G227" s="39">
        <f>'HE GOI'!D22</f>
        <v>1034.6545125000002</v>
      </c>
      <c r="H227" s="39">
        <f>IF(OR($A227=0,NOT(ISNUMBER($D227)),NOT(ISNUMBER($E227)),NOT(ISNUMBER($F227))),"",SUMPRODUCT(INDEX('TO HOP'!$C$66:$AT$127,$A227,0),'TO HOP'!$C$53:$AT$53)-INDEX('TO HOP'!$AD$66:$AD$127,$A227)*'TO HOP'!$AD$53-INDEX('TO HOP'!$AR$66:$AR$127,$A227)*'TO HOP'!$AR$53-INDEX('TO HOP'!$AS$66:$AS$127,$A227)*'TO HOP'!$AS$53+INDEX('TO HOP'!$AD$66:$AD$127,$A227)*$G227+INDEX('TO HOP'!$AR$66:$AR$127,$A227)*$D227+INDEX('TO HOP'!$AS$66:$AS$127,$A227)*($E227+$F227))</f>
        <v>2622.0450775610134</v>
      </c>
      <c r="I227" s="39">
        <f>IF($H227="","",SUMPRODUCT(INDEX('TO HOP'!$C$66:$AT$127,$A227,0),'TO HOP'!$C$57:$AT$57)-INDEX('TO HOP'!$AD$66:$AD$127,$A227)*'TO HOP'!$AD$57-INDEX('TO HOP'!$AR$66:$AR$127,$A227)*'TO HOP'!$AR$57-INDEX('TO HOP'!$AS$66:$AS$127,$A227)*'TO HOP'!$AS$57+(INDEX('TO HOP'!$AD$66:$AD$127,$A227)*$G227+INDEX('TO HOP'!$AR$66:$AR$127,$A227)*$D227+INDEX('TO HOP'!$AS$66:$AS$127,$A227)*($E227+$F227))*(Hbe+Hcot+hxm+hgoi))</f>
        <v>32957.245290949249</v>
      </c>
      <c r="J227" s="39">
        <f>IF($H227="","",SUMPRODUCT(INDEX('TO HOP'!$C$66:$AT$127,$A227,0),'TO HOP'!$C$58:$AT$58)-INDEX('TO HOP'!$AD$66:$AD$127,$A227)*'TO HOP'!$AD$58-INDEX('TO HOP'!$AR$66:$AR$127,$A227)*'TO HOP'!$AR$58-INDEX('TO HOP'!$AS$66:$AS$127,$A227)*'TO HOP'!$AS$58+INDEX('TO HOP'!$AD$66:$AD$127,$A227)*$G227+INDEX('TO HOP'!$AR$66:$AR$127,$A227)*$D227+INDEX('TO HOP'!$AS$66:$AS$127,$A227)*($E227+$F227))</f>
        <v>2622.0450775610134</v>
      </c>
      <c r="K227" s="39">
        <f>IF($H227="","",SUMPRODUCT(INDEX('TO HOP'!$C$66:$AT$127,$A227,0),'TO HOP'!$C$62:$AT$62)-INDEX('TO HOP'!$AD$66:$AD$127,$A227)*'TO HOP'!$AD$62-INDEX('TO HOP'!$AR$66:$AR$127,$A227)*'TO HOP'!$AR$62-INDEX('TO HOP'!$AS$66:$AS$127,$A227)*'TO HOP'!$AS$62+(INDEX('TO HOP'!$AD$66:$AD$127,$A227)*$G227+INDEX('TO HOP'!$AR$66:$AR$127,$A227)*$D227+INDEX('TO HOP'!$AS$66:$AS$127,$A227)*($E227+$F227))*(Hcot+hxm+hgoi))</f>
        <v>27713.155135827226</v>
      </c>
      <c r="L227" s="39">
        <f t="shared" si="12"/>
        <v>2622.0450775610134</v>
      </c>
      <c r="M227" s="39">
        <f t="shared" si="13"/>
        <v>32957.245290949249</v>
      </c>
      <c r="N227" s="39">
        <f t="shared" si="14"/>
        <v>2622.0450775610134</v>
      </c>
      <c r="O227" s="39">
        <f t="shared" si="15"/>
        <v>27713.155135827226</v>
      </c>
    </row>
    <row r="228" spans="1:15" x14ac:dyDescent="0.3">
      <c r="A228" s="38">
        <f>'TO HOP'!N186</f>
        <v>56</v>
      </c>
      <c r="B228" s="38" t="str">
        <f>'TO HOP'!B186</f>
        <v>CĐ V(a) max - 2 nhịp 6 làn</v>
      </c>
      <c r="C228" s="38" t="s">
        <v>1203</v>
      </c>
      <c r="D228" s="39">
        <f>'HE GOI'!D19</f>
        <v>1383.337308977915</v>
      </c>
      <c r="E228" s="39">
        <f>IF(csmode=1,0,'HE GOI'!D20)</f>
        <v>512.34715147329803</v>
      </c>
      <c r="F228" s="39">
        <f>IF(csmode=1,'HE GOI'!D24,'HE GOI'!D21)</f>
        <v>320.21696967081334</v>
      </c>
      <c r="G228" s="39">
        <f>'HE GOI'!D23</f>
        <v>-1034.6545125000002</v>
      </c>
      <c r="H228" s="39">
        <f>IF(OR($A228=0,NOT(ISNUMBER($D228)),NOT(ISNUMBER($E228)),NOT(ISNUMBER($F228))),"",SUMPRODUCT(INDEX('TO HOP'!$C$66:$AT$127,$A228,0),'TO HOP'!$C$53:$AT$53)-INDEX('TO HOP'!$AD$66:$AD$127,$A228)*'TO HOP'!$AD$53-INDEX('TO HOP'!$AR$66:$AR$127,$A228)*'TO HOP'!$AR$53-INDEX('TO HOP'!$AS$66:$AS$127,$A228)*'TO HOP'!$AS$53+INDEX('TO HOP'!$AD$66:$AD$127,$A228)*$G228+INDEX('TO HOP'!$AR$66:$AR$127,$A228)*$D228+INDEX('TO HOP'!$AS$66:$AS$127,$A228)*($E228+$F228))</f>
        <v>552.73605256101291</v>
      </c>
      <c r="I228" s="39">
        <f>IF($H228="","",SUMPRODUCT(INDEX('TO HOP'!$C$66:$AT$127,$A228,0),'TO HOP'!$C$57:$AT$57)-INDEX('TO HOP'!$AD$66:$AD$127,$A228)*'TO HOP'!$AD$57-INDEX('TO HOP'!$AR$66:$AR$127,$A228)*'TO HOP'!$AR$57-INDEX('TO HOP'!$AS$66:$AS$127,$A228)*'TO HOP'!$AS$57+(INDEX('TO HOP'!$AD$66:$AD$127,$A228)*$G228+INDEX('TO HOP'!$AR$66:$AR$127,$A228)*$D228+INDEX('TO HOP'!$AS$66:$AS$127,$A228)*($E228+$F228))*(Hbe+Hcot+hxm+hgoi))</f>
        <v>7546.1304639492409</v>
      </c>
      <c r="J228" s="39">
        <f>IF($H228="","",SUMPRODUCT(INDEX('TO HOP'!$C$66:$AT$127,$A228,0),'TO HOP'!$C$58:$AT$58)-INDEX('TO HOP'!$AD$66:$AD$127,$A228)*'TO HOP'!$AD$58-INDEX('TO HOP'!$AR$66:$AR$127,$A228)*'TO HOP'!$AR$58-INDEX('TO HOP'!$AS$66:$AS$127,$A228)*'TO HOP'!$AS$58+INDEX('TO HOP'!$AD$66:$AD$127,$A228)*$G228+INDEX('TO HOP'!$AR$66:$AR$127,$A228)*$D228+INDEX('TO HOP'!$AS$66:$AS$127,$A228)*($E228+$F228))</f>
        <v>552.73605256101291</v>
      </c>
      <c r="K228" s="39">
        <f>IF($H228="","",SUMPRODUCT(INDEX('TO HOP'!$C$66:$AT$127,$A228,0),'TO HOP'!$C$62:$AT$62)-INDEX('TO HOP'!$AD$66:$AD$127,$A228)*'TO HOP'!$AD$62-INDEX('TO HOP'!$AR$66:$AR$127,$A228)*'TO HOP'!$AR$62-INDEX('TO HOP'!$AS$66:$AS$127,$A228)*'TO HOP'!$AS$62+(INDEX('TO HOP'!$AD$66:$AD$127,$A228)*$G228+INDEX('TO HOP'!$AR$66:$AR$127,$A228)*$D228+INDEX('TO HOP'!$AS$66:$AS$127,$A228)*($E228+$F228))*(Hcot+hxm+hgoi))</f>
        <v>6440.6583588272133</v>
      </c>
      <c r="L228" s="39">
        <f t="shared" si="12"/>
        <v>552.73605256101291</v>
      </c>
      <c r="M228" s="39">
        <f t="shared" si="13"/>
        <v>7546.1304639492409</v>
      </c>
      <c r="N228" s="39">
        <f t="shared" si="14"/>
        <v>552.73605256101291</v>
      </c>
      <c r="O228" s="39">
        <f t="shared" si="15"/>
        <v>6440.6583588272133</v>
      </c>
    </row>
    <row r="229" spans="1:15" x14ac:dyDescent="0.3">
      <c r="A229" s="38">
        <f>'TO HOP'!N187</f>
        <v>57</v>
      </c>
      <c r="B229" s="38" t="str">
        <f>'TO HOP'!B187</f>
        <v>ĐB I - dọc chủ đạo</v>
      </c>
      <c r="C229" s="38" t="s">
        <v>1200</v>
      </c>
      <c r="D229" s="39">
        <f>'HE GOI'!D18</f>
        <v>-1521.6710398757043</v>
      </c>
      <c r="E229" s="39">
        <f>IF(csmode=1,0,'HE GOI'!D20)</f>
        <v>512.34715147329803</v>
      </c>
      <c r="F229" s="39">
        <f>IF(csmode=1,'HE GOI'!D24,'HE GOI'!D21)</f>
        <v>320.21696967081334</v>
      </c>
      <c r="G229" s="39">
        <f>'HE GOI'!D22</f>
        <v>1034.6545125000002</v>
      </c>
      <c r="H229" s="39">
        <f>IF(OR($A229=0,NOT(ISNUMBER($D229)),NOT(ISNUMBER($E229)),NOT(ISNUMBER($F229))),"",SUMPRODUCT(INDEX('TO HOP'!$C$66:$AT$127,$A229,0),'TO HOP'!$C$53:$AT$53)-INDEX('TO HOP'!$AD$66:$AD$127,$A229)*'TO HOP'!$AD$53-INDEX('TO HOP'!$AR$66:$AR$127,$A229)*'TO HOP'!$AR$53-INDEX('TO HOP'!$AS$66:$AS$127,$A229)*'TO HOP'!$AS$53+INDEX('TO HOP'!$AD$66:$AD$127,$A229)*$G229+INDEX('TO HOP'!$AR$66:$AR$127,$A229)*$D229+INDEX('TO HOP'!$AS$66:$AS$127,$A229)*($E229+$F229))</f>
        <v>3446.1730690059308</v>
      </c>
      <c r="I229" s="39">
        <f>IF($H229="","",SUMPRODUCT(INDEX('TO HOP'!$C$66:$AT$127,$A229,0),'TO HOP'!$C$57:$AT$57)-INDEX('TO HOP'!$AD$66:$AD$127,$A229)*'TO HOP'!$AD$57-INDEX('TO HOP'!$AR$66:$AR$127,$A229)*'TO HOP'!$AR$57-INDEX('TO HOP'!$AS$66:$AS$127,$A229)*'TO HOP'!$AS$57+(INDEX('TO HOP'!$AD$66:$AD$127,$A229)*$G229+INDEX('TO HOP'!$AR$66:$AR$127,$A229)*$D229+INDEX('TO HOP'!$AS$66:$AS$127,$A229)*($E229+$F229))*(Hbe+Hcot+hxm+hgoi))</f>
        <v>32489.978043587224</v>
      </c>
      <c r="J229" s="39">
        <f>IF($H229="","",SUMPRODUCT(INDEX('TO HOP'!$C$66:$AT$127,$A229,0),'TO HOP'!$C$58:$AT$58)-INDEX('TO HOP'!$AD$66:$AD$127,$A229)*'TO HOP'!$AD$58-INDEX('TO HOP'!$AR$66:$AR$127,$A229)*'TO HOP'!$AR$58-INDEX('TO HOP'!$AS$66:$AS$127,$A229)*'TO HOP'!$AS$58+INDEX('TO HOP'!$AD$66:$AD$127,$A229)*$G229+INDEX('TO HOP'!$AR$66:$AR$127,$A229)*$D229+INDEX('TO HOP'!$AS$66:$AS$127,$A229)*($E229+$F229))</f>
        <v>2665.487541912275</v>
      </c>
      <c r="K229" s="39">
        <f>IF($H229="","",SUMPRODUCT(INDEX('TO HOP'!$C$66:$AT$127,$A229,0),'TO HOP'!$C$62:$AT$62)-INDEX('TO HOP'!$AD$66:$AD$127,$A229)*'TO HOP'!$AD$62-INDEX('TO HOP'!$AR$66:$AR$127,$A229)*'TO HOP'!$AR$62-INDEX('TO HOP'!$AS$66:$AS$127,$A229)*'TO HOP'!$AS$62+(INDEX('TO HOP'!$AD$66:$AD$127,$A229)*$G229+INDEX('TO HOP'!$AR$66:$AR$127,$A229)*$D229+INDEX('TO HOP'!$AS$66:$AS$127,$A229)*($E229+$F229))*(Hcot+hxm+hgoi))</f>
        <v>26378.317432669013</v>
      </c>
      <c r="L229" s="39">
        <f t="shared" si="12"/>
        <v>3446.1730690059308</v>
      </c>
      <c r="M229" s="39">
        <f t="shared" si="13"/>
        <v>32489.978043587224</v>
      </c>
      <c r="N229" s="39">
        <f t="shared" si="14"/>
        <v>2665.487541912275</v>
      </c>
      <c r="O229" s="39">
        <f t="shared" si="15"/>
        <v>26378.317432669013</v>
      </c>
    </row>
    <row r="230" spans="1:15" x14ac:dyDescent="0.3">
      <c r="A230" s="38">
        <f>'TO HOP'!N187</f>
        <v>57</v>
      </c>
      <c r="B230" s="38" t="str">
        <f>'TO HOP'!B187</f>
        <v>ĐB I - dọc chủ đạo</v>
      </c>
      <c r="C230" s="38" t="s">
        <v>1201</v>
      </c>
      <c r="D230" s="39">
        <f>'HE GOI'!D18</f>
        <v>-1521.6710398757043</v>
      </c>
      <c r="E230" s="39">
        <f>IF(csmode=1,0,'HE GOI'!D20)</f>
        <v>512.34715147329803</v>
      </c>
      <c r="F230" s="39">
        <f>IF(csmode=1,'HE GOI'!D24,'HE GOI'!D21)</f>
        <v>320.21696967081334</v>
      </c>
      <c r="G230" s="39">
        <f>'HE GOI'!D23</f>
        <v>-1034.6545125000002</v>
      </c>
      <c r="H230" s="39">
        <f>IF(OR($A230=0,NOT(ISNUMBER($D230)),NOT(ISNUMBER($E230)),NOT(ISNUMBER($F230))),"",SUMPRODUCT(INDEX('TO HOP'!$C$66:$AT$127,$A230,0),'TO HOP'!$C$53:$AT$53)-INDEX('TO HOP'!$AD$66:$AD$127,$A230)*'TO HOP'!$AD$53-INDEX('TO HOP'!$AR$66:$AR$127,$A230)*'TO HOP'!$AR$53-INDEX('TO HOP'!$AS$66:$AS$127,$A230)*'TO HOP'!$AS$53+INDEX('TO HOP'!$AD$66:$AD$127,$A230)*$G230+INDEX('TO HOP'!$AR$66:$AR$127,$A230)*$D230+INDEX('TO HOP'!$AS$66:$AS$127,$A230)*($E230+$F230))</f>
        <v>1376.8640440059303</v>
      </c>
      <c r="I230" s="39">
        <f>IF($H230="","",SUMPRODUCT(INDEX('TO HOP'!$C$66:$AT$127,$A230,0),'TO HOP'!$C$57:$AT$57)-INDEX('TO HOP'!$AD$66:$AD$127,$A230)*'TO HOP'!$AD$57-INDEX('TO HOP'!$AR$66:$AR$127,$A230)*'TO HOP'!$AR$57-INDEX('TO HOP'!$AS$66:$AS$127,$A230)*'TO HOP'!$AS$57+(INDEX('TO HOP'!$AD$66:$AD$127,$A230)*$G230+INDEX('TO HOP'!$AR$66:$AR$127,$A230)*$D230+INDEX('TO HOP'!$AS$66:$AS$127,$A230)*($E230+$F230))*(Hbe+Hcot+hxm+hgoi))</f>
        <v>7078.8632165872132</v>
      </c>
      <c r="J230" s="39">
        <f>IF($H230="","",SUMPRODUCT(INDEX('TO HOP'!$C$66:$AT$127,$A230,0),'TO HOP'!$C$58:$AT$58)-INDEX('TO HOP'!$AD$66:$AD$127,$A230)*'TO HOP'!$AD$58-INDEX('TO HOP'!$AR$66:$AR$127,$A230)*'TO HOP'!$AR$58-INDEX('TO HOP'!$AS$66:$AS$127,$A230)*'TO HOP'!$AS$58+INDEX('TO HOP'!$AD$66:$AD$127,$A230)*$G230+INDEX('TO HOP'!$AR$66:$AR$127,$A230)*$D230+INDEX('TO HOP'!$AS$66:$AS$127,$A230)*($E230+$F230))</f>
        <v>596.17851691227452</v>
      </c>
      <c r="K230" s="39">
        <f>IF($H230="","",SUMPRODUCT(INDEX('TO HOP'!$C$66:$AT$127,$A230,0),'TO HOP'!$C$62:$AT$62)-INDEX('TO HOP'!$AD$66:$AD$127,$A230)*'TO HOP'!$AD$62-INDEX('TO HOP'!$AR$66:$AR$127,$A230)*'TO HOP'!$AR$62-INDEX('TO HOP'!$AS$66:$AS$127,$A230)*'TO HOP'!$AS$62+(INDEX('TO HOP'!$AD$66:$AD$127,$A230)*$G230+INDEX('TO HOP'!$AR$66:$AR$127,$A230)*$D230+INDEX('TO HOP'!$AS$66:$AS$127,$A230)*($E230+$F230))*(Hcot+hxm+hgoi))</f>
        <v>5105.8206556690056</v>
      </c>
      <c r="L230" s="39">
        <f t="shared" si="12"/>
        <v>1376.8640440059303</v>
      </c>
      <c r="M230" s="39">
        <f t="shared" si="13"/>
        <v>7078.8632165872132</v>
      </c>
      <c r="N230" s="39">
        <f t="shared" si="14"/>
        <v>596.17851691227452</v>
      </c>
      <c r="O230" s="39">
        <f t="shared" si="15"/>
        <v>5105.8206556690056</v>
      </c>
    </row>
    <row r="231" spans="1:15" x14ac:dyDescent="0.3">
      <c r="A231" s="38">
        <f>'TO HOP'!N187</f>
        <v>57</v>
      </c>
      <c r="B231" s="38" t="str">
        <f>'TO HOP'!B187</f>
        <v>ĐB I - dọc chủ đạo</v>
      </c>
      <c r="C231" s="38" t="s">
        <v>1202</v>
      </c>
      <c r="D231" s="39">
        <f>'HE GOI'!D19</f>
        <v>1383.337308977915</v>
      </c>
      <c r="E231" s="39">
        <f>IF(csmode=1,0,'HE GOI'!D20)</f>
        <v>512.34715147329803</v>
      </c>
      <c r="F231" s="39">
        <f>IF(csmode=1,'HE GOI'!D24,'HE GOI'!D21)</f>
        <v>320.21696967081334</v>
      </c>
      <c r="G231" s="39">
        <f>'HE GOI'!D22</f>
        <v>1034.6545125000002</v>
      </c>
      <c r="H231" s="39">
        <f>IF(OR($A231=0,NOT(ISNUMBER($D231)),NOT(ISNUMBER($E231)),NOT(ISNUMBER($F231))),"",SUMPRODUCT(INDEX('TO HOP'!$C$66:$AT$127,$A231,0),'TO HOP'!$C$53:$AT$53)-INDEX('TO HOP'!$AD$66:$AD$127,$A231)*'TO HOP'!$AD$53-INDEX('TO HOP'!$AR$66:$AR$127,$A231)*'TO HOP'!$AR$53-INDEX('TO HOP'!$AS$66:$AS$127,$A231)*'TO HOP'!$AS$53+INDEX('TO HOP'!$AD$66:$AD$127,$A231)*$G231+INDEX('TO HOP'!$AR$66:$AR$127,$A231)*$D231+INDEX('TO HOP'!$AS$66:$AS$127,$A231)*($E231+$F231))</f>
        <v>3446.1730690059308</v>
      </c>
      <c r="I231" s="39">
        <f>IF($H231="","",SUMPRODUCT(INDEX('TO HOP'!$C$66:$AT$127,$A231,0),'TO HOP'!$C$57:$AT$57)-INDEX('TO HOP'!$AD$66:$AD$127,$A231)*'TO HOP'!$AD$57-INDEX('TO HOP'!$AR$66:$AR$127,$A231)*'TO HOP'!$AR$57-INDEX('TO HOP'!$AS$66:$AS$127,$A231)*'TO HOP'!$AS$57+(INDEX('TO HOP'!$AD$66:$AD$127,$A231)*$G231+INDEX('TO HOP'!$AR$66:$AR$127,$A231)*$D231+INDEX('TO HOP'!$AS$66:$AS$127,$A231)*($E231+$F231))*(Hbe+Hcot+hxm+hgoi))</f>
        <v>32489.978043587224</v>
      </c>
      <c r="J231" s="39">
        <f>IF($H231="","",SUMPRODUCT(INDEX('TO HOP'!$C$66:$AT$127,$A231,0),'TO HOP'!$C$58:$AT$58)-INDEX('TO HOP'!$AD$66:$AD$127,$A231)*'TO HOP'!$AD$58-INDEX('TO HOP'!$AR$66:$AR$127,$A231)*'TO HOP'!$AR$58-INDEX('TO HOP'!$AS$66:$AS$127,$A231)*'TO HOP'!$AS$58+INDEX('TO HOP'!$AD$66:$AD$127,$A231)*$G231+INDEX('TO HOP'!$AR$66:$AR$127,$A231)*$D231+INDEX('TO HOP'!$AS$66:$AS$127,$A231)*($E231+$F231))</f>
        <v>2665.487541912275</v>
      </c>
      <c r="K231" s="39">
        <f>IF($H231="","",SUMPRODUCT(INDEX('TO HOP'!$C$66:$AT$127,$A231,0),'TO HOP'!$C$62:$AT$62)-INDEX('TO HOP'!$AD$66:$AD$127,$A231)*'TO HOP'!$AD$62-INDEX('TO HOP'!$AR$66:$AR$127,$A231)*'TO HOP'!$AR$62-INDEX('TO HOP'!$AS$66:$AS$127,$A231)*'TO HOP'!$AS$62+(INDEX('TO HOP'!$AD$66:$AD$127,$A231)*$G231+INDEX('TO HOP'!$AR$66:$AR$127,$A231)*$D231+INDEX('TO HOP'!$AS$66:$AS$127,$A231)*($E231+$F231))*(Hcot+hxm+hgoi))</f>
        <v>26378.317432669013</v>
      </c>
      <c r="L231" s="39">
        <f t="shared" si="12"/>
        <v>3446.1730690059308</v>
      </c>
      <c r="M231" s="39">
        <f t="shared" si="13"/>
        <v>32489.978043587224</v>
      </c>
      <c r="N231" s="39">
        <f t="shared" si="14"/>
        <v>2665.487541912275</v>
      </c>
      <c r="O231" s="39">
        <f t="shared" si="15"/>
        <v>26378.317432669013</v>
      </c>
    </row>
    <row r="232" spans="1:15" x14ac:dyDescent="0.3">
      <c r="A232" s="38">
        <f>'TO HOP'!N187</f>
        <v>57</v>
      </c>
      <c r="B232" s="38" t="str">
        <f>'TO HOP'!B187</f>
        <v>ĐB I - dọc chủ đạo</v>
      </c>
      <c r="C232" s="38" t="s">
        <v>1203</v>
      </c>
      <c r="D232" s="39">
        <f>'HE GOI'!D19</f>
        <v>1383.337308977915</v>
      </c>
      <c r="E232" s="39">
        <f>IF(csmode=1,0,'HE GOI'!D20)</f>
        <v>512.34715147329803</v>
      </c>
      <c r="F232" s="39">
        <f>IF(csmode=1,'HE GOI'!D24,'HE GOI'!D21)</f>
        <v>320.21696967081334</v>
      </c>
      <c r="G232" s="39">
        <f>'HE GOI'!D23</f>
        <v>-1034.6545125000002</v>
      </c>
      <c r="H232" s="39">
        <f>IF(OR($A232=0,NOT(ISNUMBER($D232)),NOT(ISNUMBER($E232)),NOT(ISNUMBER($F232))),"",SUMPRODUCT(INDEX('TO HOP'!$C$66:$AT$127,$A232,0),'TO HOP'!$C$53:$AT$53)-INDEX('TO HOP'!$AD$66:$AD$127,$A232)*'TO HOP'!$AD$53-INDEX('TO HOP'!$AR$66:$AR$127,$A232)*'TO HOP'!$AR$53-INDEX('TO HOP'!$AS$66:$AS$127,$A232)*'TO HOP'!$AS$53+INDEX('TO HOP'!$AD$66:$AD$127,$A232)*$G232+INDEX('TO HOP'!$AR$66:$AR$127,$A232)*$D232+INDEX('TO HOP'!$AS$66:$AS$127,$A232)*($E232+$F232))</f>
        <v>1376.8640440059303</v>
      </c>
      <c r="I232" s="39">
        <f>IF($H232="","",SUMPRODUCT(INDEX('TO HOP'!$C$66:$AT$127,$A232,0),'TO HOP'!$C$57:$AT$57)-INDEX('TO HOP'!$AD$66:$AD$127,$A232)*'TO HOP'!$AD$57-INDEX('TO HOP'!$AR$66:$AR$127,$A232)*'TO HOP'!$AR$57-INDEX('TO HOP'!$AS$66:$AS$127,$A232)*'TO HOP'!$AS$57+(INDEX('TO HOP'!$AD$66:$AD$127,$A232)*$G232+INDEX('TO HOP'!$AR$66:$AR$127,$A232)*$D232+INDEX('TO HOP'!$AS$66:$AS$127,$A232)*($E232+$F232))*(Hbe+Hcot+hxm+hgoi))</f>
        <v>7078.8632165872132</v>
      </c>
      <c r="J232" s="39">
        <f>IF($H232="","",SUMPRODUCT(INDEX('TO HOP'!$C$66:$AT$127,$A232,0),'TO HOP'!$C$58:$AT$58)-INDEX('TO HOP'!$AD$66:$AD$127,$A232)*'TO HOP'!$AD$58-INDEX('TO HOP'!$AR$66:$AR$127,$A232)*'TO HOP'!$AR$58-INDEX('TO HOP'!$AS$66:$AS$127,$A232)*'TO HOP'!$AS$58+INDEX('TO HOP'!$AD$66:$AD$127,$A232)*$G232+INDEX('TO HOP'!$AR$66:$AR$127,$A232)*$D232+INDEX('TO HOP'!$AS$66:$AS$127,$A232)*($E232+$F232))</f>
        <v>596.17851691227452</v>
      </c>
      <c r="K232" s="39">
        <f>IF($H232="","",SUMPRODUCT(INDEX('TO HOP'!$C$66:$AT$127,$A232,0),'TO HOP'!$C$62:$AT$62)-INDEX('TO HOP'!$AD$66:$AD$127,$A232)*'TO HOP'!$AD$62-INDEX('TO HOP'!$AR$66:$AR$127,$A232)*'TO HOP'!$AR$62-INDEX('TO HOP'!$AS$66:$AS$127,$A232)*'TO HOP'!$AS$62+(INDEX('TO HOP'!$AD$66:$AD$127,$A232)*$G232+INDEX('TO HOP'!$AR$66:$AR$127,$A232)*$D232+INDEX('TO HOP'!$AS$66:$AS$127,$A232)*($E232+$F232))*(Hcot+hxm+hgoi))</f>
        <v>5105.8206556690056</v>
      </c>
      <c r="L232" s="39">
        <f t="shared" si="12"/>
        <v>1376.8640440059303</v>
      </c>
      <c r="M232" s="39">
        <f t="shared" si="13"/>
        <v>7078.8632165872132</v>
      </c>
      <c r="N232" s="39">
        <f t="shared" si="14"/>
        <v>596.17851691227452</v>
      </c>
      <c r="O232" s="39">
        <f t="shared" si="15"/>
        <v>5105.8206556690056</v>
      </c>
    </row>
    <row r="233" spans="1:15" x14ac:dyDescent="0.3">
      <c r="A233" s="38">
        <f>'TO HOP'!N188</f>
        <v>58</v>
      </c>
      <c r="B233" s="38" t="str">
        <f>'TO HOP'!B188</f>
        <v>ĐB I - ngang chủ đạo</v>
      </c>
      <c r="C233" s="38" t="s">
        <v>1200</v>
      </c>
      <c r="D233" s="39">
        <f>'HE GOI'!D18</f>
        <v>-1521.6710398757043</v>
      </c>
      <c r="E233" s="39">
        <f>IF(csmode=1,0,'HE GOI'!D20)</f>
        <v>512.34715147329803</v>
      </c>
      <c r="F233" s="39">
        <f>IF(csmode=1,'HE GOI'!D24,'HE GOI'!D21)</f>
        <v>320.21696967081334</v>
      </c>
      <c r="G233" s="39">
        <f>'HE GOI'!D22</f>
        <v>1034.6545125000002</v>
      </c>
      <c r="H233" s="39">
        <f>IF(OR($A233=0,NOT(ISNUMBER($D233)),NOT(ISNUMBER($E233)),NOT(ISNUMBER($F233))),"",SUMPRODUCT(INDEX('TO HOP'!$C$66:$AT$127,$A233,0),'TO HOP'!$C$53:$AT$53)-INDEX('TO HOP'!$AD$66:$AD$127,$A233)*'TO HOP'!$AD$53-INDEX('TO HOP'!$AR$66:$AR$127,$A233)*'TO HOP'!$AR$53-INDEX('TO HOP'!$AS$66:$AS$127,$A233)*'TO HOP'!$AS$53+INDEX('TO HOP'!$AD$66:$AD$127,$A233)*$G233+INDEX('TO HOP'!$AR$66:$AR$127,$A233)*$D233+INDEX('TO HOP'!$AS$66:$AS$127,$A233)*($E233+$F233))</f>
        <v>1869.0163294517793</v>
      </c>
      <c r="I233" s="39">
        <f>IF($H233="","",SUMPRODUCT(INDEX('TO HOP'!$C$66:$AT$127,$A233,0),'TO HOP'!$C$57:$AT$57)-INDEX('TO HOP'!$AD$66:$AD$127,$A233)*'TO HOP'!$AD$57-INDEX('TO HOP'!$AR$66:$AR$127,$A233)*'TO HOP'!$AR$57-INDEX('TO HOP'!$AS$66:$AS$127,$A233)*'TO HOP'!$AS$57+(INDEX('TO HOP'!$AD$66:$AD$127,$A233)*$G233+INDEX('TO HOP'!$AR$66:$AR$127,$A233)*$D233+INDEX('TO HOP'!$AS$66:$AS$127,$A233)*($E233+$F233))*(Hbe+Hcot+hxm+hgoi))</f>
        <v>20196.898290026169</v>
      </c>
      <c r="J233" s="39">
        <f>IF($H233="","",SUMPRODUCT(INDEX('TO HOP'!$C$66:$AT$127,$A233,0),'TO HOP'!$C$58:$AT$58)-INDEX('TO HOP'!$AD$66:$AD$127,$A233)*'TO HOP'!$AD$58-INDEX('TO HOP'!$AR$66:$AR$127,$A233)*'TO HOP'!$AR$58-INDEX('TO HOP'!$AS$66:$AS$127,$A233)*'TO HOP'!$AS$58+INDEX('TO HOP'!$AD$66:$AD$127,$A233)*$G233+INDEX('TO HOP'!$AR$66:$AR$127,$A233)*$D233+INDEX('TO HOP'!$AS$66:$AS$127,$A233)*($E233+$F233))</f>
        <v>1634.8106713236825</v>
      </c>
      <c r="K233" s="39">
        <f>IF($H233="","",SUMPRODUCT(INDEX('TO HOP'!$C$66:$AT$127,$A233,0),'TO HOP'!$C$62:$AT$62)-INDEX('TO HOP'!$AD$66:$AD$127,$A233)*'TO HOP'!$AD$62-INDEX('TO HOP'!$AR$66:$AR$127,$A233)*'TO HOP'!$AR$62-INDEX('TO HOP'!$AS$66:$AS$127,$A233)*'TO HOP'!$AS$62+(INDEX('TO HOP'!$AD$66:$AD$127,$A233)*$G233+INDEX('TO HOP'!$AR$66:$AR$127,$A233)*$D233+INDEX('TO HOP'!$AS$66:$AS$127,$A233)*($E233+$F233))*(Hcot+hxm+hgoi))</f>
        <v>16693.071289250707</v>
      </c>
      <c r="L233" s="39">
        <f t="shared" si="12"/>
        <v>1869.0163294517793</v>
      </c>
      <c r="M233" s="39">
        <f t="shared" si="13"/>
        <v>20196.898290026169</v>
      </c>
      <c r="N233" s="39">
        <f t="shared" si="14"/>
        <v>1634.8106713236825</v>
      </c>
      <c r="O233" s="39">
        <f t="shared" si="15"/>
        <v>16693.071289250707</v>
      </c>
    </row>
    <row r="234" spans="1:15" x14ac:dyDescent="0.3">
      <c r="A234" s="38">
        <f>'TO HOP'!N188</f>
        <v>58</v>
      </c>
      <c r="B234" s="38" t="str">
        <f>'TO HOP'!B188</f>
        <v>ĐB I - ngang chủ đạo</v>
      </c>
      <c r="C234" s="38" t="s">
        <v>1201</v>
      </c>
      <c r="D234" s="39">
        <f>'HE GOI'!D18</f>
        <v>-1521.6710398757043</v>
      </c>
      <c r="E234" s="39">
        <f>IF(csmode=1,0,'HE GOI'!D20)</f>
        <v>512.34715147329803</v>
      </c>
      <c r="F234" s="39">
        <f>IF(csmode=1,'HE GOI'!D24,'HE GOI'!D21)</f>
        <v>320.21696967081334</v>
      </c>
      <c r="G234" s="39">
        <f>'HE GOI'!D23</f>
        <v>-1034.6545125000002</v>
      </c>
      <c r="H234" s="39">
        <f>IF(OR($A234=0,NOT(ISNUMBER($D234)),NOT(ISNUMBER($E234)),NOT(ISNUMBER($F234))),"",SUMPRODUCT(INDEX('TO HOP'!$C$66:$AT$127,$A234,0),'TO HOP'!$C$53:$AT$53)-INDEX('TO HOP'!$AD$66:$AD$127,$A234)*'TO HOP'!$AD$53-INDEX('TO HOP'!$AR$66:$AR$127,$A234)*'TO HOP'!$AR$53-INDEX('TO HOP'!$AS$66:$AS$127,$A234)*'TO HOP'!$AS$53+INDEX('TO HOP'!$AD$66:$AD$127,$A234)*$G234+INDEX('TO HOP'!$AR$66:$AR$127,$A234)*$D234+INDEX('TO HOP'!$AS$66:$AS$127,$A234)*($E234+$F234))</f>
        <v>-200.29269554822122</v>
      </c>
      <c r="I234" s="39">
        <f>IF($H234="","",SUMPRODUCT(INDEX('TO HOP'!$C$66:$AT$127,$A234,0),'TO HOP'!$C$57:$AT$57)-INDEX('TO HOP'!$AD$66:$AD$127,$A234)*'TO HOP'!$AD$57-INDEX('TO HOP'!$AR$66:$AR$127,$A234)*'TO HOP'!$AR$57-INDEX('TO HOP'!$AS$66:$AS$127,$A234)*'TO HOP'!$AS$57+(INDEX('TO HOP'!$AD$66:$AD$127,$A234)*$G234+INDEX('TO HOP'!$AR$66:$AR$127,$A234)*$D234+INDEX('TO HOP'!$AS$66:$AS$127,$A234)*($E234+$F234))*(Hbe+Hcot+hxm+hgoi))</f>
        <v>-5214.2165369738395</v>
      </c>
      <c r="J234" s="39">
        <f>IF($H234="","",SUMPRODUCT(INDEX('TO HOP'!$C$66:$AT$127,$A234,0),'TO HOP'!$C$58:$AT$58)-INDEX('TO HOP'!$AD$66:$AD$127,$A234)*'TO HOP'!$AD$58-INDEX('TO HOP'!$AR$66:$AR$127,$A234)*'TO HOP'!$AR$58-INDEX('TO HOP'!$AS$66:$AS$127,$A234)*'TO HOP'!$AS$58+INDEX('TO HOP'!$AD$66:$AD$127,$A234)*$G234+INDEX('TO HOP'!$AR$66:$AR$127,$A234)*$D234+INDEX('TO HOP'!$AS$66:$AS$127,$A234)*($E234+$F234))</f>
        <v>-434.49835367631795</v>
      </c>
      <c r="K234" s="39">
        <f>IF($H234="","",SUMPRODUCT(INDEX('TO HOP'!$C$66:$AT$127,$A234,0),'TO HOP'!$C$62:$AT$62)-INDEX('TO HOP'!$AD$66:$AD$127,$A234)*'TO HOP'!$AD$62-INDEX('TO HOP'!$AR$66:$AR$127,$A234)*'TO HOP'!$AR$62-INDEX('TO HOP'!$AS$66:$AS$127,$A234)*'TO HOP'!$AS$62+(INDEX('TO HOP'!$AD$66:$AD$127,$A234)*$G234+INDEX('TO HOP'!$AR$66:$AR$127,$A234)*$D234+INDEX('TO HOP'!$AS$66:$AS$127,$A234)*($E234+$F234))*(Hcot+hxm+hgoi))</f>
        <v>-4579.4254877493004</v>
      </c>
      <c r="L234" s="39">
        <f t="shared" si="12"/>
        <v>200.29269554822122</v>
      </c>
      <c r="M234" s="39">
        <f t="shared" si="13"/>
        <v>5214.2165369738395</v>
      </c>
      <c r="N234" s="39">
        <f t="shared" si="14"/>
        <v>434.49835367631795</v>
      </c>
      <c r="O234" s="39">
        <f t="shared" si="15"/>
        <v>4579.4254877493004</v>
      </c>
    </row>
    <row r="235" spans="1:15" x14ac:dyDescent="0.3">
      <c r="A235" s="38">
        <f>'TO HOP'!N188</f>
        <v>58</v>
      </c>
      <c r="B235" s="38" t="str">
        <f>'TO HOP'!B188</f>
        <v>ĐB I - ngang chủ đạo</v>
      </c>
      <c r="C235" s="38" t="s">
        <v>1202</v>
      </c>
      <c r="D235" s="39">
        <f>'HE GOI'!D19</f>
        <v>1383.337308977915</v>
      </c>
      <c r="E235" s="39">
        <f>IF(csmode=1,0,'HE GOI'!D20)</f>
        <v>512.34715147329803</v>
      </c>
      <c r="F235" s="39">
        <f>IF(csmode=1,'HE GOI'!D24,'HE GOI'!D21)</f>
        <v>320.21696967081334</v>
      </c>
      <c r="G235" s="39">
        <f>'HE GOI'!D22</f>
        <v>1034.6545125000002</v>
      </c>
      <c r="H235" s="39">
        <f>IF(OR($A235=0,NOT(ISNUMBER($D235)),NOT(ISNUMBER($E235)),NOT(ISNUMBER($F235))),"",SUMPRODUCT(INDEX('TO HOP'!$C$66:$AT$127,$A235,0),'TO HOP'!$C$53:$AT$53)-INDEX('TO HOP'!$AD$66:$AD$127,$A235)*'TO HOP'!$AD$53-INDEX('TO HOP'!$AR$66:$AR$127,$A235)*'TO HOP'!$AR$53-INDEX('TO HOP'!$AS$66:$AS$127,$A235)*'TO HOP'!$AS$53+INDEX('TO HOP'!$AD$66:$AD$127,$A235)*$G235+INDEX('TO HOP'!$AR$66:$AR$127,$A235)*$D235+INDEX('TO HOP'!$AS$66:$AS$127,$A235)*($E235+$F235))</f>
        <v>1869.0163294517793</v>
      </c>
      <c r="I235" s="39">
        <f>IF($H235="","",SUMPRODUCT(INDEX('TO HOP'!$C$66:$AT$127,$A235,0),'TO HOP'!$C$57:$AT$57)-INDEX('TO HOP'!$AD$66:$AD$127,$A235)*'TO HOP'!$AD$57-INDEX('TO HOP'!$AR$66:$AR$127,$A235)*'TO HOP'!$AR$57-INDEX('TO HOP'!$AS$66:$AS$127,$A235)*'TO HOP'!$AS$57+(INDEX('TO HOP'!$AD$66:$AD$127,$A235)*$G235+INDEX('TO HOP'!$AR$66:$AR$127,$A235)*$D235+INDEX('TO HOP'!$AS$66:$AS$127,$A235)*($E235+$F235))*(Hbe+Hcot+hxm+hgoi))</f>
        <v>20196.898290026169</v>
      </c>
      <c r="J235" s="39">
        <f>IF($H235="","",SUMPRODUCT(INDEX('TO HOP'!$C$66:$AT$127,$A235,0),'TO HOP'!$C$58:$AT$58)-INDEX('TO HOP'!$AD$66:$AD$127,$A235)*'TO HOP'!$AD$58-INDEX('TO HOP'!$AR$66:$AR$127,$A235)*'TO HOP'!$AR$58-INDEX('TO HOP'!$AS$66:$AS$127,$A235)*'TO HOP'!$AS$58+INDEX('TO HOP'!$AD$66:$AD$127,$A235)*$G235+INDEX('TO HOP'!$AR$66:$AR$127,$A235)*$D235+INDEX('TO HOP'!$AS$66:$AS$127,$A235)*($E235+$F235))</f>
        <v>1634.8106713236825</v>
      </c>
      <c r="K235" s="39">
        <f>IF($H235="","",SUMPRODUCT(INDEX('TO HOP'!$C$66:$AT$127,$A235,0),'TO HOP'!$C$62:$AT$62)-INDEX('TO HOP'!$AD$66:$AD$127,$A235)*'TO HOP'!$AD$62-INDEX('TO HOP'!$AR$66:$AR$127,$A235)*'TO HOP'!$AR$62-INDEX('TO HOP'!$AS$66:$AS$127,$A235)*'TO HOP'!$AS$62+(INDEX('TO HOP'!$AD$66:$AD$127,$A235)*$G235+INDEX('TO HOP'!$AR$66:$AR$127,$A235)*$D235+INDEX('TO HOP'!$AS$66:$AS$127,$A235)*($E235+$F235))*(Hcot+hxm+hgoi))</f>
        <v>16693.071289250707</v>
      </c>
      <c r="L235" s="39">
        <f t="shared" si="12"/>
        <v>1869.0163294517793</v>
      </c>
      <c r="M235" s="39">
        <f t="shared" si="13"/>
        <v>20196.898290026169</v>
      </c>
      <c r="N235" s="39">
        <f t="shared" si="14"/>
        <v>1634.8106713236825</v>
      </c>
      <c r="O235" s="39">
        <f t="shared" si="15"/>
        <v>16693.071289250707</v>
      </c>
    </row>
    <row r="236" spans="1:15" x14ac:dyDescent="0.3">
      <c r="A236" s="38">
        <f>'TO HOP'!N188</f>
        <v>58</v>
      </c>
      <c r="B236" s="38" t="str">
        <f>'TO HOP'!B188</f>
        <v>ĐB I - ngang chủ đạo</v>
      </c>
      <c r="C236" s="38" t="s">
        <v>1203</v>
      </c>
      <c r="D236" s="39">
        <f>'HE GOI'!D19</f>
        <v>1383.337308977915</v>
      </c>
      <c r="E236" s="39">
        <f>IF(csmode=1,0,'HE GOI'!D20)</f>
        <v>512.34715147329803</v>
      </c>
      <c r="F236" s="39">
        <f>IF(csmode=1,'HE GOI'!D24,'HE GOI'!D21)</f>
        <v>320.21696967081334</v>
      </c>
      <c r="G236" s="39">
        <f>'HE GOI'!D23</f>
        <v>-1034.6545125000002</v>
      </c>
      <c r="H236" s="39">
        <f>IF(OR($A236=0,NOT(ISNUMBER($D236)),NOT(ISNUMBER($E236)),NOT(ISNUMBER($F236))),"",SUMPRODUCT(INDEX('TO HOP'!$C$66:$AT$127,$A236,0),'TO HOP'!$C$53:$AT$53)-INDEX('TO HOP'!$AD$66:$AD$127,$A236)*'TO HOP'!$AD$53-INDEX('TO HOP'!$AR$66:$AR$127,$A236)*'TO HOP'!$AR$53-INDEX('TO HOP'!$AS$66:$AS$127,$A236)*'TO HOP'!$AS$53+INDEX('TO HOP'!$AD$66:$AD$127,$A236)*$G236+INDEX('TO HOP'!$AR$66:$AR$127,$A236)*$D236+INDEX('TO HOP'!$AS$66:$AS$127,$A236)*($E236+$F236))</f>
        <v>-200.29269554822122</v>
      </c>
      <c r="I236" s="39">
        <f>IF($H236="","",SUMPRODUCT(INDEX('TO HOP'!$C$66:$AT$127,$A236,0),'TO HOP'!$C$57:$AT$57)-INDEX('TO HOP'!$AD$66:$AD$127,$A236)*'TO HOP'!$AD$57-INDEX('TO HOP'!$AR$66:$AR$127,$A236)*'TO HOP'!$AR$57-INDEX('TO HOP'!$AS$66:$AS$127,$A236)*'TO HOP'!$AS$57+(INDEX('TO HOP'!$AD$66:$AD$127,$A236)*$G236+INDEX('TO HOP'!$AR$66:$AR$127,$A236)*$D236+INDEX('TO HOP'!$AS$66:$AS$127,$A236)*($E236+$F236))*(Hbe+Hcot+hxm+hgoi))</f>
        <v>-5214.2165369738395</v>
      </c>
      <c r="J236" s="39">
        <f>IF($H236="","",SUMPRODUCT(INDEX('TO HOP'!$C$66:$AT$127,$A236,0),'TO HOP'!$C$58:$AT$58)-INDEX('TO HOP'!$AD$66:$AD$127,$A236)*'TO HOP'!$AD$58-INDEX('TO HOP'!$AR$66:$AR$127,$A236)*'TO HOP'!$AR$58-INDEX('TO HOP'!$AS$66:$AS$127,$A236)*'TO HOP'!$AS$58+INDEX('TO HOP'!$AD$66:$AD$127,$A236)*$G236+INDEX('TO HOP'!$AR$66:$AR$127,$A236)*$D236+INDEX('TO HOP'!$AS$66:$AS$127,$A236)*($E236+$F236))</f>
        <v>-434.49835367631795</v>
      </c>
      <c r="K236" s="39">
        <f>IF($H236="","",SUMPRODUCT(INDEX('TO HOP'!$C$66:$AT$127,$A236,0),'TO HOP'!$C$62:$AT$62)-INDEX('TO HOP'!$AD$66:$AD$127,$A236)*'TO HOP'!$AD$62-INDEX('TO HOP'!$AR$66:$AR$127,$A236)*'TO HOP'!$AR$62-INDEX('TO HOP'!$AS$66:$AS$127,$A236)*'TO HOP'!$AS$62+(INDEX('TO HOP'!$AD$66:$AD$127,$A236)*$G236+INDEX('TO HOP'!$AR$66:$AR$127,$A236)*$D236+INDEX('TO HOP'!$AS$66:$AS$127,$A236)*($E236+$F236))*(Hcot+hxm+hgoi))</f>
        <v>-4579.4254877493004</v>
      </c>
      <c r="L236" s="39">
        <f t="shared" si="12"/>
        <v>200.29269554822122</v>
      </c>
      <c r="M236" s="39">
        <f t="shared" si="13"/>
        <v>5214.2165369738395</v>
      </c>
      <c r="N236" s="39">
        <f t="shared" si="14"/>
        <v>434.49835367631795</v>
      </c>
      <c r="O236" s="39">
        <f t="shared" si="15"/>
        <v>4579.4254877493004</v>
      </c>
    </row>
    <row r="237" spans="1:15" x14ac:dyDescent="0.3">
      <c r="A237" s="38">
        <f>'TO HOP'!N189</f>
        <v>59</v>
      </c>
      <c r="B237" s="38" t="str">
        <f>'TO HOP'!B189</f>
        <v>ĐB II - va xe dọc</v>
      </c>
      <c r="C237" s="38" t="s">
        <v>1200</v>
      </c>
      <c r="D237" s="39">
        <f>'HE GOI'!D18</f>
        <v>-1521.6710398757043</v>
      </c>
      <c r="E237" s="39">
        <f>IF(csmode=1,0,'HE GOI'!D20)</f>
        <v>512.34715147329803</v>
      </c>
      <c r="F237" s="39">
        <f>IF(csmode=1,'HE GOI'!D24,'HE GOI'!D21)</f>
        <v>320.21696967081334</v>
      </c>
      <c r="G237" s="39">
        <f>'HE GOI'!D22</f>
        <v>1034.6545125000002</v>
      </c>
      <c r="H237" s="39">
        <f>IF(OR($A237=0,NOT(ISNUMBER($D237)),NOT(ISNUMBER($E237)),NOT(ISNUMBER($F237))),"",SUMPRODUCT(INDEX('TO HOP'!$C$66:$AT$127,$A237,0),'TO HOP'!$C$53:$AT$53)-INDEX('TO HOP'!$AD$66:$AD$127,$A237)*'TO HOP'!$AD$53-INDEX('TO HOP'!$AR$66:$AR$127,$A237)*'TO HOP'!$AR$53-INDEX('TO HOP'!$AS$66:$AS$127,$A237)*'TO HOP'!$AS$53+INDEX('TO HOP'!$AD$66:$AD$127,$A237)*$G237+INDEX('TO HOP'!$AR$66:$AR$127,$A237)*$D237+INDEX('TO HOP'!$AS$66:$AS$127,$A237)*($E237+$F237))</f>
        <v>2834.6545125000002</v>
      </c>
      <c r="I237" s="39">
        <f>IF($H237="","",SUMPRODUCT(INDEX('TO HOP'!$C$66:$AT$127,$A237,0),'TO HOP'!$C$57:$AT$57)-INDEX('TO HOP'!$AD$66:$AD$127,$A237)*'TO HOP'!$AD$57-INDEX('TO HOP'!$AR$66:$AR$127,$A237)*'TO HOP'!$AR$57-INDEX('TO HOP'!$AS$66:$AS$127,$A237)*'TO HOP'!$AS$57+(INDEX('TO HOP'!$AD$66:$AD$127,$A237)*$G237+INDEX('TO HOP'!$AR$66:$AR$127,$A237)*$D237+INDEX('TO HOP'!$AS$66:$AS$127,$A237)*($E237+$F237))*(Hbe+Hcot+hxm+hgoi))</f>
        <v>18465.557413500006</v>
      </c>
      <c r="J237" s="39">
        <f>IF($H237="","",SUMPRODUCT(INDEX('TO HOP'!$C$66:$AT$127,$A237,0),'TO HOP'!$C$58:$AT$58)-INDEX('TO HOP'!$AD$66:$AD$127,$A237)*'TO HOP'!$AD$58-INDEX('TO HOP'!$AR$66:$AR$127,$A237)*'TO HOP'!$AR$58-INDEX('TO HOP'!$AS$66:$AS$127,$A237)*'TO HOP'!$AS$58+INDEX('TO HOP'!$AD$66:$AD$127,$A237)*$G237+INDEX('TO HOP'!$AR$66:$AR$127,$A237)*$D237+INDEX('TO HOP'!$AS$66:$AS$127,$A237)*($E237+$F237))</f>
        <v>2834.6545125000002</v>
      </c>
      <c r="K237" s="39">
        <f>IF($H237="","",SUMPRODUCT(INDEX('TO HOP'!$C$66:$AT$127,$A237,0),'TO HOP'!$C$62:$AT$62)-INDEX('TO HOP'!$AD$66:$AD$127,$A237)*'TO HOP'!$AD$62-INDEX('TO HOP'!$AR$66:$AR$127,$A237)*'TO HOP'!$AR$62-INDEX('TO HOP'!$AS$66:$AS$127,$A237)*'TO HOP'!$AS$62+(INDEX('TO HOP'!$AD$66:$AD$127,$A237)*$G237+INDEX('TO HOP'!$AR$66:$AR$127,$A237)*$D237+INDEX('TO HOP'!$AS$66:$AS$127,$A237)*($E237+$F237))*(Hcot+hxm+hgoi))</f>
        <v>12796.248388500004</v>
      </c>
      <c r="L237" s="39">
        <f t="shared" si="12"/>
        <v>2834.6545125000002</v>
      </c>
      <c r="M237" s="39">
        <f t="shared" si="13"/>
        <v>18465.557413500006</v>
      </c>
      <c r="N237" s="39">
        <f t="shared" si="14"/>
        <v>2834.6545125000002</v>
      </c>
      <c r="O237" s="39">
        <f t="shared" si="15"/>
        <v>12796.248388500004</v>
      </c>
    </row>
    <row r="238" spans="1:15" x14ac:dyDescent="0.3">
      <c r="A238" s="38">
        <f>'TO HOP'!N189</f>
        <v>59</v>
      </c>
      <c r="B238" s="38" t="str">
        <f>'TO HOP'!B189</f>
        <v>ĐB II - va xe dọc</v>
      </c>
      <c r="C238" s="38" t="s">
        <v>1201</v>
      </c>
      <c r="D238" s="39">
        <f>'HE GOI'!D18</f>
        <v>-1521.6710398757043</v>
      </c>
      <c r="E238" s="39">
        <f>IF(csmode=1,0,'HE GOI'!D20)</f>
        <v>512.34715147329803</v>
      </c>
      <c r="F238" s="39">
        <f>IF(csmode=1,'HE GOI'!D24,'HE GOI'!D21)</f>
        <v>320.21696967081334</v>
      </c>
      <c r="G238" s="39">
        <f>'HE GOI'!D23</f>
        <v>-1034.6545125000002</v>
      </c>
      <c r="H238" s="39">
        <f>IF(OR($A238=0,NOT(ISNUMBER($D238)),NOT(ISNUMBER($E238)),NOT(ISNUMBER($F238))),"",SUMPRODUCT(INDEX('TO HOP'!$C$66:$AT$127,$A238,0),'TO HOP'!$C$53:$AT$53)-INDEX('TO HOP'!$AD$66:$AD$127,$A238)*'TO HOP'!$AD$53-INDEX('TO HOP'!$AR$66:$AR$127,$A238)*'TO HOP'!$AR$53-INDEX('TO HOP'!$AS$66:$AS$127,$A238)*'TO HOP'!$AS$53+INDEX('TO HOP'!$AD$66:$AD$127,$A238)*$G238+INDEX('TO HOP'!$AR$66:$AR$127,$A238)*$D238+INDEX('TO HOP'!$AS$66:$AS$127,$A238)*($E238+$F238))</f>
        <v>765.34548749999976</v>
      </c>
      <c r="I238" s="39">
        <f>IF($H238="","",SUMPRODUCT(INDEX('TO HOP'!$C$66:$AT$127,$A238,0),'TO HOP'!$C$57:$AT$57)-INDEX('TO HOP'!$AD$66:$AD$127,$A238)*'TO HOP'!$AD$57-INDEX('TO HOP'!$AR$66:$AR$127,$A238)*'TO HOP'!$AR$57-INDEX('TO HOP'!$AS$66:$AS$127,$A238)*'TO HOP'!$AS$57+(INDEX('TO HOP'!$AD$66:$AD$127,$A238)*$G238+INDEX('TO HOP'!$AR$66:$AR$127,$A238)*$D238+INDEX('TO HOP'!$AS$66:$AS$127,$A238)*($E238+$F238))*(Hbe+Hcot+hxm+hgoi))</f>
        <v>-6945.5574135000024</v>
      </c>
      <c r="J238" s="39">
        <f>IF($H238="","",SUMPRODUCT(INDEX('TO HOP'!$C$66:$AT$127,$A238,0),'TO HOP'!$C$58:$AT$58)-INDEX('TO HOP'!$AD$66:$AD$127,$A238)*'TO HOP'!$AD$58-INDEX('TO HOP'!$AR$66:$AR$127,$A238)*'TO HOP'!$AR$58-INDEX('TO HOP'!$AS$66:$AS$127,$A238)*'TO HOP'!$AS$58+INDEX('TO HOP'!$AD$66:$AD$127,$A238)*$G238+INDEX('TO HOP'!$AR$66:$AR$127,$A238)*$D238+INDEX('TO HOP'!$AS$66:$AS$127,$A238)*($E238+$F238))</f>
        <v>765.34548749999976</v>
      </c>
      <c r="K238" s="39">
        <f>IF($H238="","",SUMPRODUCT(INDEX('TO HOP'!$C$66:$AT$127,$A238,0),'TO HOP'!$C$62:$AT$62)-INDEX('TO HOP'!$AD$66:$AD$127,$A238)*'TO HOP'!$AD$62-INDEX('TO HOP'!$AR$66:$AR$127,$A238)*'TO HOP'!$AR$62-INDEX('TO HOP'!$AS$66:$AS$127,$A238)*'TO HOP'!$AS$62+(INDEX('TO HOP'!$AD$66:$AD$127,$A238)*$G238+INDEX('TO HOP'!$AR$66:$AR$127,$A238)*$D238+INDEX('TO HOP'!$AS$66:$AS$127,$A238)*($E238+$F238))*(Hcot+hxm+hgoi))</f>
        <v>-8476.2483885000038</v>
      </c>
      <c r="L238" s="39">
        <f t="shared" si="12"/>
        <v>765.34548749999976</v>
      </c>
      <c r="M238" s="39">
        <f t="shared" si="13"/>
        <v>6945.5574135000024</v>
      </c>
      <c r="N238" s="39">
        <f t="shared" si="14"/>
        <v>765.34548749999976</v>
      </c>
      <c r="O238" s="39">
        <f t="shared" si="15"/>
        <v>8476.2483885000038</v>
      </c>
    </row>
    <row r="239" spans="1:15" x14ac:dyDescent="0.3">
      <c r="A239" s="38">
        <f>'TO HOP'!N189</f>
        <v>59</v>
      </c>
      <c r="B239" s="38" t="str">
        <f>'TO HOP'!B189</f>
        <v>ĐB II - va xe dọc</v>
      </c>
      <c r="C239" s="38" t="s">
        <v>1202</v>
      </c>
      <c r="D239" s="39">
        <f>'HE GOI'!D19</f>
        <v>1383.337308977915</v>
      </c>
      <c r="E239" s="39">
        <f>IF(csmode=1,0,'HE GOI'!D20)</f>
        <v>512.34715147329803</v>
      </c>
      <c r="F239" s="39">
        <f>IF(csmode=1,'HE GOI'!D24,'HE GOI'!D21)</f>
        <v>320.21696967081334</v>
      </c>
      <c r="G239" s="39">
        <f>'HE GOI'!D22</f>
        <v>1034.6545125000002</v>
      </c>
      <c r="H239" s="39">
        <f>IF(OR($A239=0,NOT(ISNUMBER($D239)),NOT(ISNUMBER($E239)),NOT(ISNUMBER($F239))),"",SUMPRODUCT(INDEX('TO HOP'!$C$66:$AT$127,$A239,0),'TO HOP'!$C$53:$AT$53)-INDEX('TO HOP'!$AD$66:$AD$127,$A239)*'TO HOP'!$AD$53-INDEX('TO HOP'!$AR$66:$AR$127,$A239)*'TO HOP'!$AR$53-INDEX('TO HOP'!$AS$66:$AS$127,$A239)*'TO HOP'!$AS$53+INDEX('TO HOP'!$AD$66:$AD$127,$A239)*$G239+INDEX('TO HOP'!$AR$66:$AR$127,$A239)*$D239+INDEX('TO HOP'!$AS$66:$AS$127,$A239)*($E239+$F239))</f>
        <v>2834.6545125000002</v>
      </c>
      <c r="I239" s="39">
        <f>IF($H239="","",SUMPRODUCT(INDEX('TO HOP'!$C$66:$AT$127,$A239,0),'TO HOP'!$C$57:$AT$57)-INDEX('TO HOP'!$AD$66:$AD$127,$A239)*'TO HOP'!$AD$57-INDEX('TO HOP'!$AR$66:$AR$127,$A239)*'TO HOP'!$AR$57-INDEX('TO HOP'!$AS$66:$AS$127,$A239)*'TO HOP'!$AS$57+(INDEX('TO HOP'!$AD$66:$AD$127,$A239)*$G239+INDEX('TO HOP'!$AR$66:$AR$127,$A239)*$D239+INDEX('TO HOP'!$AS$66:$AS$127,$A239)*($E239+$F239))*(Hbe+Hcot+hxm+hgoi))</f>
        <v>18465.557413500006</v>
      </c>
      <c r="J239" s="39">
        <f>IF($H239="","",SUMPRODUCT(INDEX('TO HOP'!$C$66:$AT$127,$A239,0),'TO HOP'!$C$58:$AT$58)-INDEX('TO HOP'!$AD$66:$AD$127,$A239)*'TO HOP'!$AD$58-INDEX('TO HOP'!$AR$66:$AR$127,$A239)*'TO HOP'!$AR$58-INDEX('TO HOP'!$AS$66:$AS$127,$A239)*'TO HOP'!$AS$58+INDEX('TO HOP'!$AD$66:$AD$127,$A239)*$G239+INDEX('TO HOP'!$AR$66:$AR$127,$A239)*$D239+INDEX('TO HOP'!$AS$66:$AS$127,$A239)*($E239+$F239))</f>
        <v>2834.6545125000002</v>
      </c>
      <c r="K239" s="39">
        <f>IF($H239="","",SUMPRODUCT(INDEX('TO HOP'!$C$66:$AT$127,$A239,0),'TO HOP'!$C$62:$AT$62)-INDEX('TO HOP'!$AD$66:$AD$127,$A239)*'TO HOP'!$AD$62-INDEX('TO HOP'!$AR$66:$AR$127,$A239)*'TO HOP'!$AR$62-INDEX('TO HOP'!$AS$66:$AS$127,$A239)*'TO HOP'!$AS$62+(INDEX('TO HOP'!$AD$66:$AD$127,$A239)*$G239+INDEX('TO HOP'!$AR$66:$AR$127,$A239)*$D239+INDEX('TO HOP'!$AS$66:$AS$127,$A239)*($E239+$F239))*(Hcot+hxm+hgoi))</f>
        <v>12796.248388500004</v>
      </c>
      <c r="L239" s="39">
        <f t="shared" si="12"/>
        <v>2834.6545125000002</v>
      </c>
      <c r="M239" s="39">
        <f t="shared" si="13"/>
        <v>18465.557413500006</v>
      </c>
      <c r="N239" s="39">
        <f t="shared" si="14"/>
        <v>2834.6545125000002</v>
      </c>
      <c r="O239" s="39">
        <f t="shared" si="15"/>
        <v>12796.248388500004</v>
      </c>
    </row>
    <row r="240" spans="1:15" x14ac:dyDescent="0.3">
      <c r="A240" s="38">
        <f>'TO HOP'!N189</f>
        <v>59</v>
      </c>
      <c r="B240" s="38" t="str">
        <f>'TO HOP'!B189</f>
        <v>ĐB II - va xe dọc</v>
      </c>
      <c r="C240" s="38" t="s">
        <v>1203</v>
      </c>
      <c r="D240" s="39">
        <f>'HE GOI'!D19</f>
        <v>1383.337308977915</v>
      </c>
      <c r="E240" s="39">
        <f>IF(csmode=1,0,'HE GOI'!D20)</f>
        <v>512.34715147329803</v>
      </c>
      <c r="F240" s="39">
        <f>IF(csmode=1,'HE GOI'!D24,'HE GOI'!D21)</f>
        <v>320.21696967081334</v>
      </c>
      <c r="G240" s="39">
        <f>'HE GOI'!D23</f>
        <v>-1034.6545125000002</v>
      </c>
      <c r="H240" s="39">
        <f>IF(OR($A240=0,NOT(ISNUMBER($D240)),NOT(ISNUMBER($E240)),NOT(ISNUMBER($F240))),"",SUMPRODUCT(INDEX('TO HOP'!$C$66:$AT$127,$A240,0),'TO HOP'!$C$53:$AT$53)-INDEX('TO HOP'!$AD$66:$AD$127,$A240)*'TO HOP'!$AD$53-INDEX('TO HOP'!$AR$66:$AR$127,$A240)*'TO HOP'!$AR$53-INDEX('TO HOP'!$AS$66:$AS$127,$A240)*'TO HOP'!$AS$53+INDEX('TO HOP'!$AD$66:$AD$127,$A240)*$G240+INDEX('TO HOP'!$AR$66:$AR$127,$A240)*$D240+INDEX('TO HOP'!$AS$66:$AS$127,$A240)*($E240+$F240))</f>
        <v>765.34548749999976</v>
      </c>
      <c r="I240" s="39">
        <f>IF($H240="","",SUMPRODUCT(INDEX('TO HOP'!$C$66:$AT$127,$A240,0),'TO HOP'!$C$57:$AT$57)-INDEX('TO HOP'!$AD$66:$AD$127,$A240)*'TO HOP'!$AD$57-INDEX('TO HOP'!$AR$66:$AR$127,$A240)*'TO HOP'!$AR$57-INDEX('TO HOP'!$AS$66:$AS$127,$A240)*'TO HOP'!$AS$57+(INDEX('TO HOP'!$AD$66:$AD$127,$A240)*$G240+INDEX('TO HOP'!$AR$66:$AR$127,$A240)*$D240+INDEX('TO HOP'!$AS$66:$AS$127,$A240)*($E240+$F240))*(Hbe+Hcot+hxm+hgoi))</f>
        <v>-6945.5574135000024</v>
      </c>
      <c r="J240" s="39">
        <f>IF($H240="","",SUMPRODUCT(INDEX('TO HOP'!$C$66:$AT$127,$A240,0),'TO HOP'!$C$58:$AT$58)-INDEX('TO HOP'!$AD$66:$AD$127,$A240)*'TO HOP'!$AD$58-INDEX('TO HOP'!$AR$66:$AR$127,$A240)*'TO HOP'!$AR$58-INDEX('TO HOP'!$AS$66:$AS$127,$A240)*'TO HOP'!$AS$58+INDEX('TO HOP'!$AD$66:$AD$127,$A240)*$G240+INDEX('TO HOP'!$AR$66:$AR$127,$A240)*$D240+INDEX('TO HOP'!$AS$66:$AS$127,$A240)*($E240+$F240))</f>
        <v>765.34548749999976</v>
      </c>
      <c r="K240" s="39">
        <f>IF($H240="","",SUMPRODUCT(INDEX('TO HOP'!$C$66:$AT$127,$A240,0),'TO HOP'!$C$62:$AT$62)-INDEX('TO HOP'!$AD$66:$AD$127,$A240)*'TO HOP'!$AD$62-INDEX('TO HOP'!$AR$66:$AR$127,$A240)*'TO HOP'!$AR$62-INDEX('TO HOP'!$AS$66:$AS$127,$A240)*'TO HOP'!$AS$62+(INDEX('TO HOP'!$AD$66:$AD$127,$A240)*$G240+INDEX('TO HOP'!$AR$66:$AR$127,$A240)*$D240+INDEX('TO HOP'!$AS$66:$AS$127,$A240)*($E240+$F240))*(Hcot+hxm+hgoi))</f>
        <v>-8476.2483885000038</v>
      </c>
      <c r="L240" s="39">
        <f t="shared" si="12"/>
        <v>765.34548749999976</v>
      </c>
      <c r="M240" s="39">
        <f t="shared" si="13"/>
        <v>6945.5574135000024</v>
      </c>
      <c r="N240" s="39">
        <f t="shared" si="14"/>
        <v>765.34548749999976</v>
      </c>
      <c r="O240" s="39">
        <f t="shared" si="15"/>
        <v>8476.2483885000038</v>
      </c>
    </row>
    <row r="241" spans="1:15" x14ac:dyDescent="0.3">
      <c r="A241" s="38">
        <f>'TO HOP'!N190</f>
        <v>60</v>
      </c>
      <c r="B241" s="38" t="str">
        <f>'TO HOP'!B190</f>
        <v>ĐB II - va xe ngang</v>
      </c>
      <c r="C241" s="38" t="s">
        <v>1200</v>
      </c>
      <c r="D241" s="39">
        <f>'HE GOI'!D18</f>
        <v>-1521.6710398757043</v>
      </c>
      <c r="E241" s="39">
        <f>IF(csmode=1,0,'HE GOI'!D20)</f>
        <v>512.34715147329803</v>
      </c>
      <c r="F241" s="39">
        <f>IF(csmode=1,'HE GOI'!D24,'HE GOI'!D21)</f>
        <v>320.21696967081334</v>
      </c>
      <c r="G241" s="39">
        <f>'HE GOI'!D22</f>
        <v>1034.6545125000002</v>
      </c>
      <c r="H241" s="39">
        <f>IF(OR($A241=0,NOT(ISNUMBER($D241)),NOT(ISNUMBER($E241)),NOT(ISNUMBER($F241))),"",SUMPRODUCT(INDEX('TO HOP'!$C$66:$AT$127,$A241,0),'TO HOP'!$C$53:$AT$53)-INDEX('TO HOP'!$AD$66:$AD$127,$A241)*'TO HOP'!$AD$53-INDEX('TO HOP'!$AR$66:$AR$127,$A241)*'TO HOP'!$AR$53-INDEX('TO HOP'!$AS$66:$AS$127,$A241)*'TO HOP'!$AS$53+INDEX('TO HOP'!$AD$66:$AD$127,$A241)*$G241+INDEX('TO HOP'!$AR$66:$AR$127,$A241)*$D241+INDEX('TO HOP'!$AS$66:$AS$127,$A241)*($E241+$F241))</f>
        <v>1034.6545125000002</v>
      </c>
      <c r="I241" s="39">
        <f>IF($H241="","",SUMPRODUCT(INDEX('TO HOP'!$C$66:$AT$127,$A241,0),'TO HOP'!$C$57:$AT$57)-INDEX('TO HOP'!$AD$66:$AD$127,$A241)*'TO HOP'!$AD$57-INDEX('TO HOP'!$AR$66:$AR$127,$A241)*'TO HOP'!$AR$57-INDEX('TO HOP'!$AS$66:$AS$127,$A241)*'TO HOP'!$AS$57+(INDEX('TO HOP'!$AD$66:$AD$127,$A241)*$G241+INDEX('TO HOP'!$AR$66:$AR$127,$A241)*$D241+INDEX('TO HOP'!$AS$66:$AS$127,$A241)*($E241+$F241))*(Hbe+Hcot+hxm+hgoi))</f>
        <v>12705.557413500004</v>
      </c>
      <c r="J241" s="39">
        <f>IF($H241="","",SUMPRODUCT(INDEX('TO HOP'!$C$66:$AT$127,$A241,0),'TO HOP'!$C$58:$AT$58)-INDEX('TO HOP'!$AD$66:$AD$127,$A241)*'TO HOP'!$AD$58-INDEX('TO HOP'!$AR$66:$AR$127,$A241)*'TO HOP'!$AR$58-INDEX('TO HOP'!$AS$66:$AS$127,$A241)*'TO HOP'!$AS$58+INDEX('TO HOP'!$AD$66:$AD$127,$A241)*$G241+INDEX('TO HOP'!$AR$66:$AR$127,$A241)*$D241+INDEX('TO HOP'!$AS$66:$AS$127,$A241)*($E241+$F241))</f>
        <v>1034.6545125000002</v>
      </c>
      <c r="K241" s="39">
        <f>IF($H241="","",SUMPRODUCT(INDEX('TO HOP'!$C$66:$AT$127,$A241,0),'TO HOP'!$C$62:$AT$62)-INDEX('TO HOP'!$AD$66:$AD$127,$A241)*'TO HOP'!$AD$62-INDEX('TO HOP'!$AR$66:$AR$127,$A241)*'TO HOP'!$AR$62-INDEX('TO HOP'!$AS$66:$AS$127,$A241)*'TO HOP'!$AS$62+(INDEX('TO HOP'!$AD$66:$AD$127,$A241)*$G241+INDEX('TO HOP'!$AR$66:$AR$127,$A241)*$D241+INDEX('TO HOP'!$AS$66:$AS$127,$A241)*($E241+$F241))*(Hcot+hxm+hgoi))</f>
        <v>10636.248388500004</v>
      </c>
      <c r="L241" s="39">
        <f t="shared" si="12"/>
        <v>1034.6545125000002</v>
      </c>
      <c r="M241" s="39">
        <f t="shared" si="13"/>
        <v>12705.557413500004</v>
      </c>
      <c r="N241" s="39">
        <f t="shared" si="14"/>
        <v>1034.6545125000002</v>
      </c>
      <c r="O241" s="39">
        <f t="shared" si="15"/>
        <v>10636.248388500004</v>
      </c>
    </row>
    <row r="242" spans="1:15" x14ac:dyDescent="0.3">
      <c r="A242" s="38">
        <f>'TO HOP'!N190</f>
        <v>60</v>
      </c>
      <c r="B242" s="38" t="str">
        <f>'TO HOP'!B190</f>
        <v>ĐB II - va xe ngang</v>
      </c>
      <c r="C242" s="38" t="s">
        <v>1201</v>
      </c>
      <c r="D242" s="39">
        <f>'HE GOI'!D18</f>
        <v>-1521.6710398757043</v>
      </c>
      <c r="E242" s="39">
        <f>IF(csmode=1,0,'HE GOI'!D20)</f>
        <v>512.34715147329803</v>
      </c>
      <c r="F242" s="39">
        <f>IF(csmode=1,'HE GOI'!D24,'HE GOI'!D21)</f>
        <v>320.21696967081334</v>
      </c>
      <c r="G242" s="39">
        <f>'HE GOI'!D23</f>
        <v>-1034.6545125000002</v>
      </c>
      <c r="H242" s="39">
        <f>IF(OR($A242=0,NOT(ISNUMBER($D242)),NOT(ISNUMBER($E242)),NOT(ISNUMBER($F242))),"",SUMPRODUCT(INDEX('TO HOP'!$C$66:$AT$127,$A242,0),'TO HOP'!$C$53:$AT$53)-INDEX('TO HOP'!$AD$66:$AD$127,$A242)*'TO HOP'!$AD$53-INDEX('TO HOP'!$AR$66:$AR$127,$A242)*'TO HOP'!$AR$53-INDEX('TO HOP'!$AS$66:$AS$127,$A242)*'TO HOP'!$AS$53+INDEX('TO HOP'!$AD$66:$AD$127,$A242)*$G242+INDEX('TO HOP'!$AR$66:$AR$127,$A242)*$D242+INDEX('TO HOP'!$AS$66:$AS$127,$A242)*($E242+$F242))</f>
        <v>-1034.6545125000002</v>
      </c>
      <c r="I242" s="39">
        <f>IF($H242="","",SUMPRODUCT(INDEX('TO HOP'!$C$66:$AT$127,$A242,0),'TO HOP'!$C$57:$AT$57)-INDEX('TO HOP'!$AD$66:$AD$127,$A242)*'TO HOP'!$AD$57-INDEX('TO HOP'!$AR$66:$AR$127,$A242)*'TO HOP'!$AR$57-INDEX('TO HOP'!$AS$66:$AS$127,$A242)*'TO HOP'!$AS$57+(INDEX('TO HOP'!$AD$66:$AD$127,$A242)*$G242+INDEX('TO HOP'!$AR$66:$AR$127,$A242)*$D242+INDEX('TO HOP'!$AS$66:$AS$127,$A242)*($E242+$F242))*(Hbe+Hcot+hxm+hgoi))</f>
        <v>-12705.557413500004</v>
      </c>
      <c r="J242" s="39">
        <f>IF($H242="","",SUMPRODUCT(INDEX('TO HOP'!$C$66:$AT$127,$A242,0),'TO HOP'!$C$58:$AT$58)-INDEX('TO HOP'!$AD$66:$AD$127,$A242)*'TO HOP'!$AD$58-INDEX('TO HOP'!$AR$66:$AR$127,$A242)*'TO HOP'!$AR$58-INDEX('TO HOP'!$AS$66:$AS$127,$A242)*'TO HOP'!$AS$58+INDEX('TO HOP'!$AD$66:$AD$127,$A242)*$G242+INDEX('TO HOP'!$AR$66:$AR$127,$A242)*$D242+INDEX('TO HOP'!$AS$66:$AS$127,$A242)*($E242+$F242))</f>
        <v>-1034.6545125000002</v>
      </c>
      <c r="K242" s="39">
        <f>IF($H242="","",SUMPRODUCT(INDEX('TO HOP'!$C$66:$AT$127,$A242,0),'TO HOP'!$C$62:$AT$62)-INDEX('TO HOP'!$AD$66:$AD$127,$A242)*'TO HOP'!$AD$62-INDEX('TO HOP'!$AR$66:$AR$127,$A242)*'TO HOP'!$AR$62-INDEX('TO HOP'!$AS$66:$AS$127,$A242)*'TO HOP'!$AS$62+(INDEX('TO HOP'!$AD$66:$AD$127,$A242)*$G242+INDEX('TO HOP'!$AR$66:$AR$127,$A242)*$D242+INDEX('TO HOP'!$AS$66:$AS$127,$A242)*($E242+$F242))*(Hcot+hxm+hgoi))</f>
        <v>-10636.248388500004</v>
      </c>
      <c r="L242" s="39">
        <f t="shared" si="12"/>
        <v>1034.6545125000002</v>
      </c>
      <c r="M242" s="39">
        <f t="shared" si="13"/>
        <v>12705.557413500004</v>
      </c>
      <c r="N242" s="39">
        <f t="shared" si="14"/>
        <v>1034.6545125000002</v>
      </c>
      <c r="O242" s="39">
        <f t="shared" si="15"/>
        <v>10636.248388500004</v>
      </c>
    </row>
    <row r="243" spans="1:15" x14ac:dyDescent="0.3">
      <c r="A243" s="38">
        <f>'TO HOP'!N190</f>
        <v>60</v>
      </c>
      <c r="B243" s="38" t="str">
        <f>'TO HOP'!B190</f>
        <v>ĐB II - va xe ngang</v>
      </c>
      <c r="C243" s="38" t="s">
        <v>1202</v>
      </c>
      <c r="D243" s="39">
        <f>'HE GOI'!D19</f>
        <v>1383.337308977915</v>
      </c>
      <c r="E243" s="39">
        <f>IF(csmode=1,0,'HE GOI'!D20)</f>
        <v>512.34715147329803</v>
      </c>
      <c r="F243" s="39">
        <f>IF(csmode=1,'HE GOI'!D24,'HE GOI'!D21)</f>
        <v>320.21696967081334</v>
      </c>
      <c r="G243" s="39">
        <f>'HE GOI'!D22</f>
        <v>1034.6545125000002</v>
      </c>
      <c r="H243" s="39">
        <f>IF(OR($A243=0,NOT(ISNUMBER($D243)),NOT(ISNUMBER($E243)),NOT(ISNUMBER($F243))),"",SUMPRODUCT(INDEX('TO HOP'!$C$66:$AT$127,$A243,0),'TO HOP'!$C$53:$AT$53)-INDEX('TO HOP'!$AD$66:$AD$127,$A243)*'TO HOP'!$AD$53-INDEX('TO HOP'!$AR$66:$AR$127,$A243)*'TO HOP'!$AR$53-INDEX('TO HOP'!$AS$66:$AS$127,$A243)*'TO HOP'!$AS$53+INDEX('TO HOP'!$AD$66:$AD$127,$A243)*$G243+INDEX('TO HOP'!$AR$66:$AR$127,$A243)*$D243+INDEX('TO HOP'!$AS$66:$AS$127,$A243)*($E243+$F243))</f>
        <v>1034.6545125000002</v>
      </c>
      <c r="I243" s="39">
        <f>IF($H243="","",SUMPRODUCT(INDEX('TO HOP'!$C$66:$AT$127,$A243,0),'TO HOP'!$C$57:$AT$57)-INDEX('TO HOP'!$AD$66:$AD$127,$A243)*'TO HOP'!$AD$57-INDEX('TO HOP'!$AR$66:$AR$127,$A243)*'TO HOP'!$AR$57-INDEX('TO HOP'!$AS$66:$AS$127,$A243)*'TO HOP'!$AS$57+(INDEX('TO HOP'!$AD$66:$AD$127,$A243)*$G243+INDEX('TO HOP'!$AR$66:$AR$127,$A243)*$D243+INDEX('TO HOP'!$AS$66:$AS$127,$A243)*($E243+$F243))*(Hbe+Hcot+hxm+hgoi))</f>
        <v>12705.557413500004</v>
      </c>
      <c r="J243" s="39">
        <f>IF($H243="","",SUMPRODUCT(INDEX('TO HOP'!$C$66:$AT$127,$A243,0),'TO HOP'!$C$58:$AT$58)-INDEX('TO HOP'!$AD$66:$AD$127,$A243)*'TO HOP'!$AD$58-INDEX('TO HOP'!$AR$66:$AR$127,$A243)*'TO HOP'!$AR$58-INDEX('TO HOP'!$AS$66:$AS$127,$A243)*'TO HOP'!$AS$58+INDEX('TO HOP'!$AD$66:$AD$127,$A243)*$G243+INDEX('TO HOP'!$AR$66:$AR$127,$A243)*$D243+INDEX('TO HOP'!$AS$66:$AS$127,$A243)*($E243+$F243))</f>
        <v>1034.6545125000002</v>
      </c>
      <c r="K243" s="39">
        <f>IF($H243="","",SUMPRODUCT(INDEX('TO HOP'!$C$66:$AT$127,$A243,0),'TO HOP'!$C$62:$AT$62)-INDEX('TO HOP'!$AD$66:$AD$127,$A243)*'TO HOP'!$AD$62-INDEX('TO HOP'!$AR$66:$AR$127,$A243)*'TO HOP'!$AR$62-INDEX('TO HOP'!$AS$66:$AS$127,$A243)*'TO HOP'!$AS$62+(INDEX('TO HOP'!$AD$66:$AD$127,$A243)*$G243+INDEX('TO HOP'!$AR$66:$AR$127,$A243)*$D243+INDEX('TO HOP'!$AS$66:$AS$127,$A243)*($E243+$F243))*(Hcot+hxm+hgoi))</f>
        <v>10636.248388500004</v>
      </c>
      <c r="L243" s="39">
        <f t="shared" si="12"/>
        <v>1034.6545125000002</v>
      </c>
      <c r="M243" s="39">
        <f t="shared" si="13"/>
        <v>12705.557413500004</v>
      </c>
      <c r="N243" s="39">
        <f t="shared" si="14"/>
        <v>1034.6545125000002</v>
      </c>
      <c r="O243" s="39">
        <f t="shared" si="15"/>
        <v>10636.248388500004</v>
      </c>
    </row>
    <row r="244" spans="1:15" x14ac:dyDescent="0.3">
      <c r="A244" s="38">
        <f>'TO HOP'!N190</f>
        <v>60</v>
      </c>
      <c r="B244" s="38" t="str">
        <f>'TO HOP'!B190</f>
        <v>ĐB II - va xe ngang</v>
      </c>
      <c r="C244" s="38" t="s">
        <v>1203</v>
      </c>
      <c r="D244" s="39">
        <f>'HE GOI'!D19</f>
        <v>1383.337308977915</v>
      </c>
      <c r="E244" s="39">
        <f>IF(csmode=1,0,'HE GOI'!D20)</f>
        <v>512.34715147329803</v>
      </c>
      <c r="F244" s="39">
        <f>IF(csmode=1,'HE GOI'!D24,'HE GOI'!D21)</f>
        <v>320.21696967081334</v>
      </c>
      <c r="G244" s="39">
        <f>'HE GOI'!D23</f>
        <v>-1034.6545125000002</v>
      </c>
      <c r="H244" s="39">
        <f>IF(OR($A244=0,NOT(ISNUMBER($D244)),NOT(ISNUMBER($E244)),NOT(ISNUMBER($F244))),"",SUMPRODUCT(INDEX('TO HOP'!$C$66:$AT$127,$A244,0),'TO HOP'!$C$53:$AT$53)-INDEX('TO HOP'!$AD$66:$AD$127,$A244)*'TO HOP'!$AD$53-INDEX('TO HOP'!$AR$66:$AR$127,$A244)*'TO HOP'!$AR$53-INDEX('TO HOP'!$AS$66:$AS$127,$A244)*'TO HOP'!$AS$53+INDEX('TO HOP'!$AD$66:$AD$127,$A244)*$G244+INDEX('TO HOP'!$AR$66:$AR$127,$A244)*$D244+INDEX('TO HOP'!$AS$66:$AS$127,$A244)*($E244+$F244))</f>
        <v>-1034.6545125000002</v>
      </c>
      <c r="I244" s="39">
        <f>IF($H244="","",SUMPRODUCT(INDEX('TO HOP'!$C$66:$AT$127,$A244,0),'TO HOP'!$C$57:$AT$57)-INDEX('TO HOP'!$AD$66:$AD$127,$A244)*'TO HOP'!$AD$57-INDEX('TO HOP'!$AR$66:$AR$127,$A244)*'TO HOP'!$AR$57-INDEX('TO HOP'!$AS$66:$AS$127,$A244)*'TO HOP'!$AS$57+(INDEX('TO HOP'!$AD$66:$AD$127,$A244)*$G244+INDEX('TO HOP'!$AR$66:$AR$127,$A244)*$D244+INDEX('TO HOP'!$AS$66:$AS$127,$A244)*($E244+$F244))*(Hbe+Hcot+hxm+hgoi))</f>
        <v>-12705.557413500004</v>
      </c>
      <c r="J244" s="39">
        <f>IF($H244="","",SUMPRODUCT(INDEX('TO HOP'!$C$66:$AT$127,$A244,0),'TO HOP'!$C$58:$AT$58)-INDEX('TO HOP'!$AD$66:$AD$127,$A244)*'TO HOP'!$AD$58-INDEX('TO HOP'!$AR$66:$AR$127,$A244)*'TO HOP'!$AR$58-INDEX('TO HOP'!$AS$66:$AS$127,$A244)*'TO HOP'!$AS$58+INDEX('TO HOP'!$AD$66:$AD$127,$A244)*$G244+INDEX('TO HOP'!$AR$66:$AR$127,$A244)*$D244+INDEX('TO HOP'!$AS$66:$AS$127,$A244)*($E244+$F244))</f>
        <v>-1034.6545125000002</v>
      </c>
      <c r="K244" s="39">
        <f>IF($H244="","",SUMPRODUCT(INDEX('TO HOP'!$C$66:$AT$127,$A244,0),'TO HOP'!$C$62:$AT$62)-INDEX('TO HOP'!$AD$66:$AD$127,$A244)*'TO HOP'!$AD$62-INDEX('TO HOP'!$AR$66:$AR$127,$A244)*'TO HOP'!$AR$62-INDEX('TO HOP'!$AS$66:$AS$127,$A244)*'TO HOP'!$AS$62+(INDEX('TO HOP'!$AD$66:$AD$127,$A244)*$G244+INDEX('TO HOP'!$AR$66:$AR$127,$A244)*$D244+INDEX('TO HOP'!$AS$66:$AS$127,$A244)*($E244+$F244))*(Hcot+hxm+hgoi))</f>
        <v>-10636.248388500004</v>
      </c>
      <c r="L244" s="39">
        <f t="shared" si="12"/>
        <v>1034.6545125000002</v>
      </c>
      <c r="M244" s="39">
        <f t="shared" si="13"/>
        <v>12705.557413500004</v>
      </c>
      <c r="N244" s="39">
        <f t="shared" si="14"/>
        <v>1034.6545125000002</v>
      </c>
      <c r="O244" s="39">
        <f t="shared" si="15"/>
        <v>10636.248388500004</v>
      </c>
    </row>
    <row r="245" spans="1:15" x14ac:dyDescent="0.3">
      <c r="A245" s="38">
        <f>'TO HOP'!N191</f>
        <v>61</v>
      </c>
      <c r="B245" s="38" t="str">
        <f>'TO HOP'!B191</f>
        <v>ĐB II - va tàu ngang</v>
      </c>
      <c r="C245" s="38" t="s">
        <v>1200</v>
      </c>
      <c r="D245" s="39">
        <f>'HE GOI'!D18</f>
        <v>-1521.6710398757043</v>
      </c>
      <c r="E245" s="39">
        <f>IF(csmode=1,0,'HE GOI'!D20)</f>
        <v>512.34715147329803</v>
      </c>
      <c r="F245" s="39">
        <f>IF(csmode=1,'HE GOI'!D24,'HE GOI'!D21)</f>
        <v>320.21696967081334</v>
      </c>
      <c r="G245" s="39">
        <f>'HE GOI'!D22</f>
        <v>1034.6545125000002</v>
      </c>
      <c r="H245" s="39">
        <f>IF(OR($A245=0,NOT(ISNUMBER($D245)),NOT(ISNUMBER($E245)),NOT(ISNUMBER($F245))),"",SUMPRODUCT(INDEX('TO HOP'!$C$66:$AT$127,$A245,0),'TO HOP'!$C$53:$AT$53)-INDEX('TO HOP'!$AD$66:$AD$127,$A245)*'TO HOP'!$AD$53-INDEX('TO HOP'!$AR$66:$AR$127,$A245)*'TO HOP'!$AR$53-INDEX('TO HOP'!$AS$66:$AS$127,$A245)*'TO HOP'!$AS$53+INDEX('TO HOP'!$AD$66:$AD$127,$A245)*$G245+INDEX('TO HOP'!$AR$66:$AR$127,$A245)*$D245+INDEX('TO HOP'!$AS$66:$AS$127,$A245)*($E245+$F245))</f>
        <v>1034.6545125000002</v>
      </c>
      <c r="I245" s="39">
        <f>IF($H245="","",SUMPRODUCT(INDEX('TO HOP'!$C$66:$AT$127,$A245,0),'TO HOP'!$C$57:$AT$57)-INDEX('TO HOP'!$AD$66:$AD$127,$A245)*'TO HOP'!$AD$57-INDEX('TO HOP'!$AR$66:$AR$127,$A245)*'TO HOP'!$AR$57-INDEX('TO HOP'!$AS$66:$AS$127,$A245)*'TO HOP'!$AS$57+(INDEX('TO HOP'!$AD$66:$AD$127,$A245)*$G245+INDEX('TO HOP'!$AR$66:$AR$127,$A245)*$D245+INDEX('TO HOP'!$AS$66:$AS$127,$A245)*($E245+$F245))*(Hbe+Hcot+hxm+hgoi))</f>
        <v>12705.557413500004</v>
      </c>
      <c r="J245" s="39">
        <f>IF($H245="","",SUMPRODUCT(INDEX('TO HOP'!$C$66:$AT$127,$A245,0),'TO HOP'!$C$58:$AT$58)-INDEX('TO HOP'!$AD$66:$AD$127,$A245)*'TO HOP'!$AD$58-INDEX('TO HOP'!$AR$66:$AR$127,$A245)*'TO HOP'!$AR$58-INDEX('TO HOP'!$AS$66:$AS$127,$A245)*'TO HOP'!$AS$58+INDEX('TO HOP'!$AD$66:$AD$127,$A245)*$G245+INDEX('TO HOP'!$AR$66:$AR$127,$A245)*$D245+INDEX('TO HOP'!$AS$66:$AS$127,$A245)*($E245+$F245))</f>
        <v>1034.6545125000002</v>
      </c>
      <c r="K245" s="39">
        <f>IF($H245="","",SUMPRODUCT(INDEX('TO HOP'!$C$66:$AT$127,$A245,0),'TO HOP'!$C$62:$AT$62)-INDEX('TO HOP'!$AD$66:$AD$127,$A245)*'TO HOP'!$AD$62-INDEX('TO HOP'!$AR$66:$AR$127,$A245)*'TO HOP'!$AR$62-INDEX('TO HOP'!$AS$66:$AS$127,$A245)*'TO HOP'!$AS$62+(INDEX('TO HOP'!$AD$66:$AD$127,$A245)*$G245+INDEX('TO HOP'!$AR$66:$AR$127,$A245)*$D245+INDEX('TO HOP'!$AS$66:$AS$127,$A245)*($E245+$F245))*(Hcot+hxm+hgoi))</f>
        <v>10636.248388500004</v>
      </c>
      <c r="L245" s="39">
        <f t="shared" si="12"/>
        <v>1034.6545125000002</v>
      </c>
      <c r="M245" s="39">
        <f t="shared" si="13"/>
        <v>12705.557413500004</v>
      </c>
      <c r="N245" s="39">
        <f t="shared" si="14"/>
        <v>1034.6545125000002</v>
      </c>
      <c r="O245" s="39">
        <f t="shared" si="15"/>
        <v>10636.248388500004</v>
      </c>
    </row>
    <row r="246" spans="1:15" x14ac:dyDescent="0.3">
      <c r="A246" s="38">
        <f>'TO HOP'!N191</f>
        <v>61</v>
      </c>
      <c r="B246" s="38" t="str">
        <f>'TO HOP'!B191</f>
        <v>ĐB II - va tàu ngang</v>
      </c>
      <c r="C246" s="38" t="s">
        <v>1201</v>
      </c>
      <c r="D246" s="39">
        <f>'HE GOI'!D18</f>
        <v>-1521.6710398757043</v>
      </c>
      <c r="E246" s="39">
        <f>IF(csmode=1,0,'HE GOI'!D20)</f>
        <v>512.34715147329803</v>
      </c>
      <c r="F246" s="39">
        <f>IF(csmode=1,'HE GOI'!D24,'HE GOI'!D21)</f>
        <v>320.21696967081334</v>
      </c>
      <c r="G246" s="39">
        <f>'HE GOI'!D23</f>
        <v>-1034.6545125000002</v>
      </c>
      <c r="H246" s="39">
        <f>IF(OR($A246=0,NOT(ISNUMBER($D246)),NOT(ISNUMBER($E246)),NOT(ISNUMBER($F246))),"",SUMPRODUCT(INDEX('TO HOP'!$C$66:$AT$127,$A246,0),'TO HOP'!$C$53:$AT$53)-INDEX('TO HOP'!$AD$66:$AD$127,$A246)*'TO HOP'!$AD$53-INDEX('TO HOP'!$AR$66:$AR$127,$A246)*'TO HOP'!$AR$53-INDEX('TO HOP'!$AS$66:$AS$127,$A246)*'TO HOP'!$AS$53+INDEX('TO HOP'!$AD$66:$AD$127,$A246)*$G246+INDEX('TO HOP'!$AR$66:$AR$127,$A246)*$D246+INDEX('TO HOP'!$AS$66:$AS$127,$A246)*($E246+$F246))</f>
        <v>-1034.6545125000002</v>
      </c>
      <c r="I246" s="39">
        <f>IF($H246="","",SUMPRODUCT(INDEX('TO HOP'!$C$66:$AT$127,$A246,0),'TO HOP'!$C$57:$AT$57)-INDEX('TO HOP'!$AD$66:$AD$127,$A246)*'TO HOP'!$AD$57-INDEX('TO HOP'!$AR$66:$AR$127,$A246)*'TO HOP'!$AR$57-INDEX('TO HOP'!$AS$66:$AS$127,$A246)*'TO HOP'!$AS$57+(INDEX('TO HOP'!$AD$66:$AD$127,$A246)*$G246+INDEX('TO HOP'!$AR$66:$AR$127,$A246)*$D246+INDEX('TO HOP'!$AS$66:$AS$127,$A246)*($E246+$F246))*(Hbe+Hcot+hxm+hgoi))</f>
        <v>-12705.557413500004</v>
      </c>
      <c r="J246" s="39">
        <f>IF($H246="","",SUMPRODUCT(INDEX('TO HOP'!$C$66:$AT$127,$A246,0),'TO HOP'!$C$58:$AT$58)-INDEX('TO HOP'!$AD$66:$AD$127,$A246)*'TO HOP'!$AD$58-INDEX('TO HOP'!$AR$66:$AR$127,$A246)*'TO HOP'!$AR$58-INDEX('TO HOP'!$AS$66:$AS$127,$A246)*'TO HOP'!$AS$58+INDEX('TO HOP'!$AD$66:$AD$127,$A246)*$G246+INDEX('TO HOP'!$AR$66:$AR$127,$A246)*$D246+INDEX('TO HOP'!$AS$66:$AS$127,$A246)*($E246+$F246))</f>
        <v>-1034.6545125000002</v>
      </c>
      <c r="K246" s="39">
        <f>IF($H246="","",SUMPRODUCT(INDEX('TO HOP'!$C$66:$AT$127,$A246,0),'TO HOP'!$C$62:$AT$62)-INDEX('TO HOP'!$AD$66:$AD$127,$A246)*'TO HOP'!$AD$62-INDEX('TO HOP'!$AR$66:$AR$127,$A246)*'TO HOP'!$AR$62-INDEX('TO HOP'!$AS$66:$AS$127,$A246)*'TO HOP'!$AS$62+(INDEX('TO HOP'!$AD$66:$AD$127,$A246)*$G246+INDEX('TO HOP'!$AR$66:$AR$127,$A246)*$D246+INDEX('TO HOP'!$AS$66:$AS$127,$A246)*($E246+$F246))*(Hcot+hxm+hgoi))</f>
        <v>-10636.248388500004</v>
      </c>
      <c r="L246" s="39">
        <f t="shared" si="12"/>
        <v>1034.6545125000002</v>
      </c>
      <c r="M246" s="39">
        <f t="shared" si="13"/>
        <v>12705.557413500004</v>
      </c>
      <c r="N246" s="39">
        <f t="shared" si="14"/>
        <v>1034.6545125000002</v>
      </c>
      <c r="O246" s="39">
        <f t="shared" si="15"/>
        <v>10636.248388500004</v>
      </c>
    </row>
    <row r="247" spans="1:15" x14ac:dyDescent="0.3">
      <c r="A247" s="38">
        <f>'TO HOP'!N191</f>
        <v>61</v>
      </c>
      <c r="B247" s="38" t="str">
        <f>'TO HOP'!B191</f>
        <v>ĐB II - va tàu ngang</v>
      </c>
      <c r="C247" s="38" t="s">
        <v>1202</v>
      </c>
      <c r="D247" s="39">
        <f>'HE GOI'!D19</f>
        <v>1383.337308977915</v>
      </c>
      <c r="E247" s="39">
        <f>IF(csmode=1,0,'HE GOI'!D20)</f>
        <v>512.34715147329803</v>
      </c>
      <c r="F247" s="39">
        <f>IF(csmode=1,'HE GOI'!D24,'HE GOI'!D21)</f>
        <v>320.21696967081334</v>
      </c>
      <c r="G247" s="39">
        <f>'HE GOI'!D22</f>
        <v>1034.6545125000002</v>
      </c>
      <c r="H247" s="39">
        <f>IF(OR($A247=0,NOT(ISNUMBER($D247)),NOT(ISNUMBER($E247)),NOT(ISNUMBER($F247))),"",SUMPRODUCT(INDEX('TO HOP'!$C$66:$AT$127,$A247,0),'TO HOP'!$C$53:$AT$53)-INDEX('TO HOP'!$AD$66:$AD$127,$A247)*'TO HOP'!$AD$53-INDEX('TO HOP'!$AR$66:$AR$127,$A247)*'TO HOP'!$AR$53-INDEX('TO HOP'!$AS$66:$AS$127,$A247)*'TO HOP'!$AS$53+INDEX('TO HOP'!$AD$66:$AD$127,$A247)*$G247+INDEX('TO HOP'!$AR$66:$AR$127,$A247)*$D247+INDEX('TO HOP'!$AS$66:$AS$127,$A247)*($E247+$F247))</f>
        <v>1034.6545125000002</v>
      </c>
      <c r="I247" s="39">
        <f>IF($H247="","",SUMPRODUCT(INDEX('TO HOP'!$C$66:$AT$127,$A247,0),'TO HOP'!$C$57:$AT$57)-INDEX('TO HOP'!$AD$66:$AD$127,$A247)*'TO HOP'!$AD$57-INDEX('TO HOP'!$AR$66:$AR$127,$A247)*'TO HOP'!$AR$57-INDEX('TO HOP'!$AS$66:$AS$127,$A247)*'TO HOP'!$AS$57+(INDEX('TO HOP'!$AD$66:$AD$127,$A247)*$G247+INDEX('TO HOP'!$AR$66:$AR$127,$A247)*$D247+INDEX('TO HOP'!$AS$66:$AS$127,$A247)*($E247+$F247))*(Hbe+Hcot+hxm+hgoi))</f>
        <v>12705.557413500004</v>
      </c>
      <c r="J247" s="39">
        <f>IF($H247="","",SUMPRODUCT(INDEX('TO HOP'!$C$66:$AT$127,$A247,0),'TO HOP'!$C$58:$AT$58)-INDEX('TO HOP'!$AD$66:$AD$127,$A247)*'TO HOP'!$AD$58-INDEX('TO HOP'!$AR$66:$AR$127,$A247)*'TO HOP'!$AR$58-INDEX('TO HOP'!$AS$66:$AS$127,$A247)*'TO HOP'!$AS$58+INDEX('TO HOP'!$AD$66:$AD$127,$A247)*$G247+INDEX('TO HOP'!$AR$66:$AR$127,$A247)*$D247+INDEX('TO HOP'!$AS$66:$AS$127,$A247)*($E247+$F247))</f>
        <v>1034.6545125000002</v>
      </c>
      <c r="K247" s="39">
        <f>IF($H247="","",SUMPRODUCT(INDEX('TO HOP'!$C$66:$AT$127,$A247,0),'TO HOP'!$C$62:$AT$62)-INDEX('TO HOP'!$AD$66:$AD$127,$A247)*'TO HOP'!$AD$62-INDEX('TO HOP'!$AR$66:$AR$127,$A247)*'TO HOP'!$AR$62-INDEX('TO HOP'!$AS$66:$AS$127,$A247)*'TO HOP'!$AS$62+(INDEX('TO HOP'!$AD$66:$AD$127,$A247)*$G247+INDEX('TO HOP'!$AR$66:$AR$127,$A247)*$D247+INDEX('TO HOP'!$AS$66:$AS$127,$A247)*($E247+$F247))*(Hcot+hxm+hgoi))</f>
        <v>10636.248388500004</v>
      </c>
      <c r="L247" s="39">
        <f t="shared" si="12"/>
        <v>1034.6545125000002</v>
      </c>
      <c r="M247" s="39">
        <f t="shared" si="13"/>
        <v>12705.557413500004</v>
      </c>
      <c r="N247" s="39">
        <f t="shared" si="14"/>
        <v>1034.6545125000002</v>
      </c>
      <c r="O247" s="39">
        <f t="shared" si="15"/>
        <v>10636.248388500004</v>
      </c>
    </row>
    <row r="248" spans="1:15" x14ac:dyDescent="0.3">
      <c r="A248" s="38">
        <f>'TO HOP'!N191</f>
        <v>61</v>
      </c>
      <c r="B248" s="38" t="str">
        <f>'TO HOP'!B191</f>
        <v>ĐB II - va tàu ngang</v>
      </c>
      <c r="C248" s="38" t="s">
        <v>1203</v>
      </c>
      <c r="D248" s="39">
        <f>'HE GOI'!D19</f>
        <v>1383.337308977915</v>
      </c>
      <c r="E248" s="39">
        <f>IF(csmode=1,0,'HE GOI'!D20)</f>
        <v>512.34715147329803</v>
      </c>
      <c r="F248" s="39">
        <f>IF(csmode=1,'HE GOI'!D24,'HE GOI'!D21)</f>
        <v>320.21696967081334</v>
      </c>
      <c r="G248" s="39">
        <f>'HE GOI'!D23</f>
        <v>-1034.6545125000002</v>
      </c>
      <c r="H248" s="39">
        <f>IF(OR($A248=0,NOT(ISNUMBER($D248)),NOT(ISNUMBER($E248)),NOT(ISNUMBER($F248))),"",SUMPRODUCT(INDEX('TO HOP'!$C$66:$AT$127,$A248,0),'TO HOP'!$C$53:$AT$53)-INDEX('TO HOP'!$AD$66:$AD$127,$A248)*'TO HOP'!$AD$53-INDEX('TO HOP'!$AR$66:$AR$127,$A248)*'TO HOP'!$AR$53-INDEX('TO HOP'!$AS$66:$AS$127,$A248)*'TO HOP'!$AS$53+INDEX('TO HOP'!$AD$66:$AD$127,$A248)*$G248+INDEX('TO HOP'!$AR$66:$AR$127,$A248)*$D248+INDEX('TO HOP'!$AS$66:$AS$127,$A248)*($E248+$F248))</f>
        <v>-1034.6545125000002</v>
      </c>
      <c r="I248" s="39">
        <f>IF($H248="","",SUMPRODUCT(INDEX('TO HOP'!$C$66:$AT$127,$A248,0),'TO HOP'!$C$57:$AT$57)-INDEX('TO HOP'!$AD$66:$AD$127,$A248)*'TO HOP'!$AD$57-INDEX('TO HOP'!$AR$66:$AR$127,$A248)*'TO HOP'!$AR$57-INDEX('TO HOP'!$AS$66:$AS$127,$A248)*'TO HOP'!$AS$57+(INDEX('TO HOP'!$AD$66:$AD$127,$A248)*$G248+INDEX('TO HOP'!$AR$66:$AR$127,$A248)*$D248+INDEX('TO HOP'!$AS$66:$AS$127,$A248)*($E248+$F248))*(Hbe+Hcot+hxm+hgoi))</f>
        <v>-12705.557413500004</v>
      </c>
      <c r="J248" s="39">
        <f>IF($H248="","",SUMPRODUCT(INDEX('TO HOP'!$C$66:$AT$127,$A248,0),'TO HOP'!$C$58:$AT$58)-INDEX('TO HOP'!$AD$66:$AD$127,$A248)*'TO HOP'!$AD$58-INDEX('TO HOP'!$AR$66:$AR$127,$A248)*'TO HOP'!$AR$58-INDEX('TO HOP'!$AS$66:$AS$127,$A248)*'TO HOP'!$AS$58+INDEX('TO HOP'!$AD$66:$AD$127,$A248)*$G248+INDEX('TO HOP'!$AR$66:$AR$127,$A248)*$D248+INDEX('TO HOP'!$AS$66:$AS$127,$A248)*($E248+$F248))</f>
        <v>-1034.6545125000002</v>
      </c>
      <c r="K248" s="39">
        <f>IF($H248="","",SUMPRODUCT(INDEX('TO HOP'!$C$66:$AT$127,$A248,0),'TO HOP'!$C$62:$AT$62)-INDEX('TO HOP'!$AD$66:$AD$127,$A248)*'TO HOP'!$AD$62-INDEX('TO HOP'!$AR$66:$AR$127,$A248)*'TO HOP'!$AR$62-INDEX('TO HOP'!$AS$66:$AS$127,$A248)*'TO HOP'!$AS$62+(INDEX('TO HOP'!$AD$66:$AD$127,$A248)*$G248+INDEX('TO HOP'!$AR$66:$AR$127,$A248)*$D248+INDEX('TO HOP'!$AS$66:$AS$127,$A248)*($E248+$F248))*(Hcot+hxm+hgoi))</f>
        <v>-10636.248388500004</v>
      </c>
      <c r="L248" s="39">
        <f t="shared" si="12"/>
        <v>1034.6545125000002</v>
      </c>
      <c r="M248" s="39">
        <f t="shared" si="13"/>
        <v>12705.557413500004</v>
      </c>
      <c r="N248" s="39">
        <f t="shared" si="14"/>
        <v>1034.6545125000002</v>
      </c>
      <c r="O248" s="39">
        <f t="shared" si="15"/>
        <v>10636.248388500004</v>
      </c>
    </row>
    <row r="249" spans="1:15" x14ac:dyDescent="0.3">
      <c r="A249" s="38">
        <f>'TO HOP'!N192</f>
        <v>62</v>
      </c>
      <c r="B249" s="38" t="str">
        <f>'TO HOP'!B192</f>
        <v>ĐB II - va tàu dọc</v>
      </c>
      <c r="C249" s="38" t="s">
        <v>1200</v>
      </c>
      <c r="D249" s="39">
        <f>'HE GOI'!D18</f>
        <v>-1521.6710398757043</v>
      </c>
      <c r="E249" s="39">
        <f>IF(csmode=1,0,'HE GOI'!D20)</f>
        <v>512.34715147329803</v>
      </c>
      <c r="F249" s="39">
        <f>IF(csmode=1,'HE GOI'!D24,'HE GOI'!D21)</f>
        <v>320.21696967081334</v>
      </c>
      <c r="G249" s="39">
        <f>'HE GOI'!D22</f>
        <v>1034.6545125000002</v>
      </c>
      <c r="H249" s="39">
        <f>IF(OR($A249=0,NOT(ISNUMBER($D249)),NOT(ISNUMBER($E249)),NOT(ISNUMBER($F249))),"",SUMPRODUCT(INDEX('TO HOP'!$C$66:$AT$127,$A249,0),'TO HOP'!$C$53:$AT$53)-INDEX('TO HOP'!$AD$66:$AD$127,$A249)*'TO HOP'!$AD$53-INDEX('TO HOP'!$AR$66:$AR$127,$A249)*'TO HOP'!$AR$53-INDEX('TO HOP'!$AS$66:$AS$127,$A249)*'TO HOP'!$AS$53+INDEX('TO HOP'!$AD$66:$AD$127,$A249)*$G249+INDEX('TO HOP'!$AR$66:$AR$127,$A249)*$D249+INDEX('TO HOP'!$AS$66:$AS$127,$A249)*($E249+$F249))</f>
        <v>1034.6545125000002</v>
      </c>
      <c r="I249" s="39">
        <f>IF($H249="","",SUMPRODUCT(INDEX('TO HOP'!$C$66:$AT$127,$A249,0),'TO HOP'!$C$57:$AT$57)-INDEX('TO HOP'!$AD$66:$AD$127,$A249)*'TO HOP'!$AD$57-INDEX('TO HOP'!$AR$66:$AR$127,$A249)*'TO HOP'!$AR$57-INDEX('TO HOP'!$AS$66:$AS$127,$A249)*'TO HOP'!$AS$57+(INDEX('TO HOP'!$AD$66:$AD$127,$A249)*$G249+INDEX('TO HOP'!$AR$66:$AR$127,$A249)*$D249+INDEX('TO HOP'!$AS$66:$AS$127,$A249)*($E249+$F249))*(Hbe+Hcot+hxm+hgoi))</f>
        <v>12705.557413500004</v>
      </c>
      <c r="J249" s="39">
        <f>IF($H249="","",SUMPRODUCT(INDEX('TO HOP'!$C$66:$AT$127,$A249,0),'TO HOP'!$C$58:$AT$58)-INDEX('TO HOP'!$AD$66:$AD$127,$A249)*'TO HOP'!$AD$58-INDEX('TO HOP'!$AR$66:$AR$127,$A249)*'TO HOP'!$AR$58-INDEX('TO HOP'!$AS$66:$AS$127,$A249)*'TO HOP'!$AS$58+INDEX('TO HOP'!$AD$66:$AD$127,$A249)*$G249+INDEX('TO HOP'!$AR$66:$AR$127,$A249)*$D249+INDEX('TO HOP'!$AS$66:$AS$127,$A249)*($E249+$F249))</f>
        <v>1034.6545125000002</v>
      </c>
      <c r="K249" s="39">
        <f>IF($H249="","",SUMPRODUCT(INDEX('TO HOP'!$C$66:$AT$127,$A249,0),'TO HOP'!$C$62:$AT$62)-INDEX('TO HOP'!$AD$66:$AD$127,$A249)*'TO HOP'!$AD$62-INDEX('TO HOP'!$AR$66:$AR$127,$A249)*'TO HOP'!$AR$62-INDEX('TO HOP'!$AS$66:$AS$127,$A249)*'TO HOP'!$AS$62+(INDEX('TO HOP'!$AD$66:$AD$127,$A249)*$G249+INDEX('TO HOP'!$AR$66:$AR$127,$A249)*$D249+INDEX('TO HOP'!$AS$66:$AS$127,$A249)*($E249+$F249))*(Hcot+hxm+hgoi))</f>
        <v>10636.248388500004</v>
      </c>
      <c r="L249" s="39">
        <f t="shared" si="12"/>
        <v>1034.6545125000002</v>
      </c>
      <c r="M249" s="39">
        <f t="shared" si="13"/>
        <v>12705.557413500004</v>
      </c>
      <c r="N249" s="39">
        <f t="shared" si="14"/>
        <v>1034.6545125000002</v>
      </c>
      <c r="O249" s="39">
        <f t="shared" si="15"/>
        <v>10636.248388500004</v>
      </c>
    </row>
    <row r="250" spans="1:15" x14ac:dyDescent="0.3">
      <c r="A250" s="38">
        <f>'TO HOP'!N192</f>
        <v>62</v>
      </c>
      <c r="B250" s="38" t="str">
        <f>'TO HOP'!B192</f>
        <v>ĐB II - va tàu dọc</v>
      </c>
      <c r="C250" s="38" t="s">
        <v>1201</v>
      </c>
      <c r="D250" s="39">
        <f>'HE GOI'!D18</f>
        <v>-1521.6710398757043</v>
      </c>
      <c r="E250" s="39">
        <f>IF(csmode=1,0,'HE GOI'!D20)</f>
        <v>512.34715147329803</v>
      </c>
      <c r="F250" s="39">
        <f>IF(csmode=1,'HE GOI'!D24,'HE GOI'!D21)</f>
        <v>320.21696967081334</v>
      </c>
      <c r="G250" s="39">
        <f>'HE GOI'!D23</f>
        <v>-1034.6545125000002</v>
      </c>
      <c r="H250" s="39">
        <f>IF(OR($A250=0,NOT(ISNUMBER($D250)),NOT(ISNUMBER($E250)),NOT(ISNUMBER($F250))),"",SUMPRODUCT(INDEX('TO HOP'!$C$66:$AT$127,$A250,0),'TO HOP'!$C$53:$AT$53)-INDEX('TO HOP'!$AD$66:$AD$127,$A250)*'TO HOP'!$AD$53-INDEX('TO HOP'!$AR$66:$AR$127,$A250)*'TO HOP'!$AR$53-INDEX('TO HOP'!$AS$66:$AS$127,$A250)*'TO HOP'!$AS$53+INDEX('TO HOP'!$AD$66:$AD$127,$A250)*$G250+INDEX('TO HOP'!$AR$66:$AR$127,$A250)*$D250+INDEX('TO HOP'!$AS$66:$AS$127,$A250)*($E250+$F250))</f>
        <v>-1034.6545125000002</v>
      </c>
      <c r="I250" s="39">
        <f>IF($H250="","",SUMPRODUCT(INDEX('TO HOP'!$C$66:$AT$127,$A250,0),'TO HOP'!$C$57:$AT$57)-INDEX('TO HOP'!$AD$66:$AD$127,$A250)*'TO HOP'!$AD$57-INDEX('TO HOP'!$AR$66:$AR$127,$A250)*'TO HOP'!$AR$57-INDEX('TO HOP'!$AS$66:$AS$127,$A250)*'TO HOP'!$AS$57+(INDEX('TO HOP'!$AD$66:$AD$127,$A250)*$G250+INDEX('TO HOP'!$AR$66:$AR$127,$A250)*$D250+INDEX('TO HOP'!$AS$66:$AS$127,$A250)*($E250+$F250))*(Hbe+Hcot+hxm+hgoi))</f>
        <v>-12705.557413500004</v>
      </c>
      <c r="J250" s="39">
        <f>IF($H250="","",SUMPRODUCT(INDEX('TO HOP'!$C$66:$AT$127,$A250,0),'TO HOP'!$C$58:$AT$58)-INDEX('TO HOP'!$AD$66:$AD$127,$A250)*'TO HOP'!$AD$58-INDEX('TO HOP'!$AR$66:$AR$127,$A250)*'TO HOP'!$AR$58-INDEX('TO HOP'!$AS$66:$AS$127,$A250)*'TO HOP'!$AS$58+INDEX('TO HOP'!$AD$66:$AD$127,$A250)*$G250+INDEX('TO HOP'!$AR$66:$AR$127,$A250)*$D250+INDEX('TO HOP'!$AS$66:$AS$127,$A250)*($E250+$F250))</f>
        <v>-1034.6545125000002</v>
      </c>
      <c r="K250" s="39">
        <f>IF($H250="","",SUMPRODUCT(INDEX('TO HOP'!$C$66:$AT$127,$A250,0),'TO HOP'!$C$62:$AT$62)-INDEX('TO HOP'!$AD$66:$AD$127,$A250)*'TO HOP'!$AD$62-INDEX('TO HOP'!$AR$66:$AR$127,$A250)*'TO HOP'!$AR$62-INDEX('TO HOP'!$AS$66:$AS$127,$A250)*'TO HOP'!$AS$62+(INDEX('TO HOP'!$AD$66:$AD$127,$A250)*$G250+INDEX('TO HOP'!$AR$66:$AR$127,$A250)*$D250+INDEX('TO HOP'!$AS$66:$AS$127,$A250)*($E250+$F250))*(Hcot+hxm+hgoi))</f>
        <v>-10636.248388500004</v>
      </c>
      <c r="L250" s="39">
        <f t="shared" si="12"/>
        <v>1034.6545125000002</v>
      </c>
      <c r="M250" s="39">
        <f t="shared" si="13"/>
        <v>12705.557413500004</v>
      </c>
      <c r="N250" s="39">
        <f t="shared" si="14"/>
        <v>1034.6545125000002</v>
      </c>
      <c r="O250" s="39">
        <f t="shared" si="15"/>
        <v>10636.248388500004</v>
      </c>
    </row>
    <row r="251" spans="1:15" x14ac:dyDescent="0.3">
      <c r="A251" s="38">
        <f>'TO HOP'!N192</f>
        <v>62</v>
      </c>
      <c r="B251" s="38" t="str">
        <f>'TO HOP'!B192</f>
        <v>ĐB II - va tàu dọc</v>
      </c>
      <c r="C251" s="38" t="s">
        <v>1202</v>
      </c>
      <c r="D251" s="39">
        <f>'HE GOI'!D19</f>
        <v>1383.337308977915</v>
      </c>
      <c r="E251" s="39">
        <f>IF(csmode=1,0,'HE GOI'!D20)</f>
        <v>512.34715147329803</v>
      </c>
      <c r="F251" s="39">
        <f>IF(csmode=1,'HE GOI'!D24,'HE GOI'!D21)</f>
        <v>320.21696967081334</v>
      </c>
      <c r="G251" s="39">
        <f>'HE GOI'!D22</f>
        <v>1034.6545125000002</v>
      </c>
      <c r="H251" s="39">
        <f>IF(OR($A251=0,NOT(ISNUMBER($D251)),NOT(ISNUMBER($E251)),NOT(ISNUMBER($F251))),"",SUMPRODUCT(INDEX('TO HOP'!$C$66:$AT$127,$A251,0),'TO HOP'!$C$53:$AT$53)-INDEX('TO HOP'!$AD$66:$AD$127,$A251)*'TO HOP'!$AD$53-INDEX('TO HOP'!$AR$66:$AR$127,$A251)*'TO HOP'!$AR$53-INDEX('TO HOP'!$AS$66:$AS$127,$A251)*'TO HOP'!$AS$53+INDEX('TO HOP'!$AD$66:$AD$127,$A251)*$G251+INDEX('TO HOP'!$AR$66:$AR$127,$A251)*$D251+INDEX('TO HOP'!$AS$66:$AS$127,$A251)*($E251+$F251))</f>
        <v>1034.6545125000002</v>
      </c>
      <c r="I251" s="39">
        <f>IF($H251="","",SUMPRODUCT(INDEX('TO HOP'!$C$66:$AT$127,$A251,0),'TO HOP'!$C$57:$AT$57)-INDEX('TO HOP'!$AD$66:$AD$127,$A251)*'TO HOP'!$AD$57-INDEX('TO HOP'!$AR$66:$AR$127,$A251)*'TO HOP'!$AR$57-INDEX('TO HOP'!$AS$66:$AS$127,$A251)*'TO HOP'!$AS$57+(INDEX('TO HOP'!$AD$66:$AD$127,$A251)*$G251+INDEX('TO HOP'!$AR$66:$AR$127,$A251)*$D251+INDEX('TO HOP'!$AS$66:$AS$127,$A251)*($E251+$F251))*(Hbe+Hcot+hxm+hgoi))</f>
        <v>12705.557413500004</v>
      </c>
      <c r="J251" s="39">
        <f>IF($H251="","",SUMPRODUCT(INDEX('TO HOP'!$C$66:$AT$127,$A251,0),'TO HOP'!$C$58:$AT$58)-INDEX('TO HOP'!$AD$66:$AD$127,$A251)*'TO HOP'!$AD$58-INDEX('TO HOP'!$AR$66:$AR$127,$A251)*'TO HOP'!$AR$58-INDEX('TO HOP'!$AS$66:$AS$127,$A251)*'TO HOP'!$AS$58+INDEX('TO HOP'!$AD$66:$AD$127,$A251)*$G251+INDEX('TO HOP'!$AR$66:$AR$127,$A251)*$D251+INDEX('TO HOP'!$AS$66:$AS$127,$A251)*($E251+$F251))</f>
        <v>1034.6545125000002</v>
      </c>
      <c r="K251" s="39">
        <f>IF($H251="","",SUMPRODUCT(INDEX('TO HOP'!$C$66:$AT$127,$A251,0),'TO HOP'!$C$62:$AT$62)-INDEX('TO HOP'!$AD$66:$AD$127,$A251)*'TO HOP'!$AD$62-INDEX('TO HOP'!$AR$66:$AR$127,$A251)*'TO HOP'!$AR$62-INDEX('TO HOP'!$AS$66:$AS$127,$A251)*'TO HOP'!$AS$62+(INDEX('TO HOP'!$AD$66:$AD$127,$A251)*$G251+INDEX('TO HOP'!$AR$66:$AR$127,$A251)*$D251+INDEX('TO HOP'!$AS$66:$AS$127,$A251)*($E251+$F251))*(Hcot+hxm+hgoi))</f>
        <v>10636.248388500004</v>
      </c>
      <c r="L251" s="39">
        <f t="shared" si="12"/>
        <v>1034.6545125000002</v>
      </c>
      <c r="M251" s="39">
        <f t="shared" si="13"/>
        <v>12705.557413500004</v>
      </c>
      <c r="N251" s="39">
        <f t="shared" si="14"/>
        <v>1034.6545125000002</v>
      </c>
      <c r="O251" s="39">
        <f t="shared" si="15"/>
        <v>10636.248388500004</v>
      </c>
    </row>
    <row r="252" spans="1:15" x14ac:dyDescent="0.3">
      <c r="A252" s="38">
        <f>'TO HOP'!N192</f>
        <v>62</v>
      </c>
      <c r="B252" s="38" t="str">
        <f>'TO HOP'!B192</f>
        <v>ĐB II - va tàu dọc</v>
      </c>
      <c r="C252" s="38" t="s">
        <v>1203</v>
      </c>
      <c r="D252" s="39">
        <f>'HE GOI'!D19</f>
        <v>1383.337308977915</v>
      </c>
      <c r="E252" s="39">
        <f>IF(csmode=1,0,'HE GOI'!D20)</f>
        <v>512.34715147329803</v>
      </c>
      <c r="F252" s="39">
        <f>IF(csmode=1,'HE GOI'!D24,'HE GOI'!D21)</f>
        <v>320.21696967081334</v>
      </c>
      <c r="G252" s="39">
        <f>'HE GOI'!D23</f>
        <v>-1034.6545125000002</v>
      </c>
      <c r="H252" s="39">
        <f>IF(OR($A252=0,NOT(ISNUMBER($D252)),NOT(ISNUMBER($E252)),NOT(ISNUMBER($F252))),"",SUMPRODUCT(INDEX('TO HOP'!$C$66:$AT$127,$A252,0),'TO HOP'!$C$53:$AT$53)-INDEX('TO HOP'!$AD$66:$AD$127,$A252)*'TO HOP'!$AD$53-INDEX('TO HOP'!$AR$66:$AR$127,$A252)*'TO HOP'!$AR$53-INDEX('TO HOP'!$AS$66:$AS$127,$A252)*'TO HOP'!$AS$53+INDEX('TO HOP'!$AD$66:$AD$127,$A252)*$G252+INDEX('TO HOP'!$AR$66:$AR$127,$A252)*$D252+INDEX('TO HOP'!$AS$66:$AS$127,$A252)*($E252+$F252))</f>
        <v>-1034.6545125000002</v>
      </c>
      <c r="I252" s="39">
        <f>IF($H252="","",SUMPRODUCT(INDEX('TO HOP'!$C$66:$AT$127,$A252,0),'TO HOP'!$C$57:$AT$57)-INDEX('TO HOP'!$AD$66:$AD$127,$A252)*'TO HOP'!$AD$57-INDEX('TO HOP'!$AR$66:$AR$127,$A252)*'TO HOP'!$AR$57-INDEX('TO HOP'!$AS$66:$AS$127,$A252)*'TO HOP'!$AS$57+(INDEX('TO HOP'!$AD$66:$AD$127,$A252)*$G252+INDEX('TO HOP'!$AR$66:$AR$127,$A252)*$D252+INDEX('TO HOP'!$AS$66:$AS$127,$A252)*($E252+$F252))*(Hbe+Hcot+hxm+hgoi))</f>
        <v>-12705.557413500004</v>
      </c>
      <c r="J252" s="39">
        <f>IF($H252="","",SUMPRODUCT(INDEX('TO HOP'!$C$66:$AT$127,$A252,0),'TO HOP'!$C$58:$AT$58)-INDEX('TO HOP'!$AD$66:$AD$127,$A252)*'TO HOP'!$AD$58-INDEX('TO HOP'!$AR$66:$AR$127,$A252)*'TO HOP'!$AR$58-INDEX('TO HOP'!$AS$66:$AS$127,$A252)*'TO HOP'!$AS$58+INDEX('TO HOP'!$AD$66:$AD$127,$A252)*$G252+INDEX('TO HOP'!$AR$66:$AR$127,$A252)*$D252+INDEX('TO HOP'!$AS$66:$AS$127,$A252)*($E252+$F252))</f>
        <v>-1034.6545125000002</v>
      </c>
      <c r="K252" s="39">
        <f>IF($H252="","",SUMPRODUCT(INDEX('TO HOP'!$C$66:$AT$127,$A252,0),'TO HOP'!$C$62:$AT$62)-INDEX('TO HOP'!$AD$66:$AD$127,$A252)*'TO HOP'!$AD$62-INDEX('TO HOP'!$AR$66:$AR$127,$A252)*'TO HOP'!$AR$62-INDEX('TO HOP'!$AS$66:$AS$127,$A252)*'TO HOP'!$AS$62+(INDEX('TO HOP'!$AD$66:$AD$127,$A252)*$G252+INDEX('TO HOP'!$AR$66:$AR$127,$A252)*$D252+INDEX('TO HOP'!$AS$66:$AS$127,$A252)*($E252+$F252))*(Hcot+hxm+hgoi))</f>
        <v>-10636.248388500004</v>
      </c>
      <c r="L252" s="39">
        <f t="shared" si="12"/>
        <v>1034.6545125000002</v>
      </c>
      <c r="M252" s="39">
        <f t="shared" si="13"/>
        <v>12705.557413500004</v>
      </c>
      <c r="N252" s="39">
        <f t="shared" si="14"/>
        <v>1034.6545125000002</v>
      </c>
      <c r="O252" s="39">
        <f t="shared" si="15"/>
        <v>10636.248388500004</v>
      </c>
    </row>
  </sheetData>
  <mergeCells count="2">
    <mergeCell ref="A1:O1"/>
    <mergeCell ref="A2:O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N4005"/>
  <sheetViews>
    <sheetView showGridLines="0" topLeftCell="A105" workbookViewId="0">
      <selection activeCell="G126" sqref="G126"/>
    </sheetView>
  </sheetViews>
  <sheetFormatPr defaultRowHeight="14.4" x14ac:dyDescent="0.3"/>
  <cols>
    <col min="1" max="1" width="9" customWidth="1"/>
    <col min="2" max="11" width="12" customWidth="1"/>
    <col min="13" max="40" width="13" customWidth="1"/>
  </cols>
  <sheetData>
    <row r="1" spans="1:40" ht="28.05" customHeight="1" x14ac:dyDescent="0.3">
      <c r="A1" s="150" t="s">
        <v>1305</v>
      </c>
      <c r="B1" s="150"/>
      <c r="C1" s="150"/>
      <c r="D1" s="150"/>
      <c r="E1" s="150"/>
      <c r="F1" s="150"/>
      <c r="G1" s="150"/>
      <c r="H1" s="150"/>
      <c r="I1" s="150"/>
      <c r="J1" s="150"/>
      <c r="K1" s="150"/>
      <c r="L1" s="150"/>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row>
    <row r="2" spans="1:40" ht="34.049999999999997" customHeight="1" x14ac:dyDescent="0.3">
      <c r="A2" s="147" t="s">
        <v>1306</v>
      </c>
      <c r="B2" s="147"/>
      <c r="C2" s="147"/>
      <c r="D2" s="147"/>
      <c r="E2" s="147"/>
      <c r="F2" s="147"/>
      <c r="G2" s="147"/>
      <c r="H2" s="147"/>
      <c r="I2" s="147"/>
      <c r="J2" s="147"/>
      <c r="K2" s="147"/>
      <c r="L2" s="147"/>
      <c r="M2" s="147"/>
      <c r="N2" s="147"/>
      <c r="O2" s="147"/>
      <c r="P2" s="147"/>
      <c r="Q2" s="147"/>
      <c r="R2" s="147"/>
      <c r="S2" s="147"/>
      <c r="T2" s="147"/>
      <c r="U2" s="147"/>
      <c r="V2" s="147"/>
      <c r="W2" s="147"/>
      <c r="X2" s="147"/>
      <c r="Y2" s="147"/>
      <c r="Z2" s="147"/>
      <c r="AA2" s="147"/>
      <c r="AB2" s="147"/>
      <c r="AC2" s="147"/>
      <c r="AD2" s="147"/>
      <c r="AE2" s="147"/>
      <c r="AF2" s="147"/>
      <c r="AG2" s="147"/>
      <c r="AH2" s="147"/>
      <c r="AI2" s="147"/>
      <c r="AJ2" s="147"/>
      <c r="AK2" s="147"/>
      <c r="AL2" s="147"/>
      <c r="AM2" s="147"/>
      <c r="AN2" s="147"/>
    </row>
    <row r="3" spans="1:40" x14ac:dyDescent="0.3">
      <c r="A3" t="s">
        <v>1307</v>
      </c>
      <c r="B3">
        <f>ABS(SUMPRODUCT(D6:D4005,E6:E4005)-Agth*1000000)/(Agth*1000000)</f>
        <v>1.5248190769300773E-3</v>
      </c>
      <c r="C3" t="s">
        <v>1308</v>
      </c>
      <c r="D3">
        <f>ABS(SUM(K6:K405)-'KT THAN'!D11)/'KT THAN'!D11</f>
        <v>2.4125096250508451E-15</v>
      </c>
    </row>
    <row r="4" spans="1:40" ht="28.8" x14ac:dyDescent="0.3">
      <c r="A4" s="1" t="s">
        <v>1309</v>
      </c>
      <c r="B4" s="1" t="s">
        <v>1310</v>
      </c>
      <c r="C4" s="1" t="s">
        <v>1311</v>
      </c>
      <c r="D4" s="1" t="s">
        <v>1312</v>
      </c>
      <c r="E4" s="1" t="s">
        <v>1313</v>
      </c>
      <c r="F4" s="1"/>
      <c r="G4" s="1" t="s">
        <v>1314</v>
      </c>
      <c r="H4" s="1" t="s">
        <v>1315</v>
      </c>
      <c r="I4" s="1" t="s">
        <v>1316</v>
      </c>
      <c r="J4" s="1" t="s">
        <v>1317</v>
      </c>
      <c r="K4" s="1" t="s">
        <v>1318</v>
      </c>
      <c r="L4" s="1"/>
      <c r="M4" s="1" t="s">
        <v>1319</v>
      </c>
      <c r="N4" s="1" t="s">
        <v>1320</v>
      </c>
      <c r="O4" s="1" t="s">
        <v>1321</v>
      </c>
      <c r="P4" s="1" t="s">
        <v>745</v>
      </c>
      <c r="Q4" s="1" t="s">
        <v>746</v>
      </c>
      <c r="R4" s="1" t="s">
        <v>1322</v>
      </c>
      <c r="S4" s="1" t="s">
        <v>1323</v>
      </c>
      <c r="T4" s="1"/>
      <c r="U4" s="1" t="s">
        <v>1324</v>
      </c>
      <c r="V4" s="1" t="s">
        <v>1325</v>
      </c>
      <c r="W4" s="1" t="s">
        <v>1326</v>
      </c>
      <c r="X4" s="1" t="s">
        <v>745</v>
      </c>
      <c r="Y4" s="1" t="s">
        <v>746</v>
      </c>
      <c r="Z4" s="1" t="s">
        <v>1327</v>
      </c>
      <c r="AA4" s="1" t="s">
        <v>1328</v>
      </c>
      <c r="AB4" s="1"/>
      <c r="AC4" s="1" t="s">
        <v>1329</v>
      </c>
      <c r="AD4" s="1" t="s">
        <v>1330</v>
      </c>
      <c r="AE4" s="1" t="s">
        <v>1331</v>
      </c>
      <c r="AF4" s="1" t="s">
        <v>1332</v>
      </c>
      <c r="AG4" s="1" t="s">
        <v>1333</v>
      </c>
      <c r="AH4" s="1" t="s">
        <v>1334</v>
      </c>
      <c r="AI4" s="1" t="s">
        <v>1335</v>
      </c>
      <c r="AJ4" s="1" t="s">
        <v>1336</v>
      </c>
      <c r="AK4" s="1" t="s">
        <v>1337</v>
      </c>
      <c r="AL4" s="1" t="s">
        <v>1338</v>
      </c>
      <c r="AM4" s="1" t="s">
        <v>1339</v>
      </c>
      <c r="AN4" s="1" t="s">
        <v>1340</v>
      </c>
    </row>
    <row r="6" spans="1:40" x14ac:dyDescent="0.3">
      <c r="A6" s="52">
        <v>1</v>
      </c>
      <c r="B6" s="52">
        <f>-bthan*500+(0+0.5)*bthan*1000/50</f>
        <v>-2695</v>
      </c>
      <c r="C6" s="52">
        <f t="shared" ref="C6:C37" si="0">-hthan*500+(0+0.5)*hthan*1000/80</f>
        <v>-790</v>
      </c>
      <c r="D6" s="52">
        <f t="shared" ref="D6:D69" si="1">bthan*1000/50*hthan*1000/80</f>
        <v>2200</v>
      </c>
      <c r="E6" s="52">
        <f t="shared" ref="E6:E69" si="2">IF(shp=1,--(OR(ABS(B6)&lt;=MAX(0,(bthan-hthan)*500),(ABS(B6)-MAX(0,(bthan-hthan)*500))^2+C6^2&lt;=(hthan*500)^2)),--(AND(ABS(B6)&lt;=bthan*500,ABS(C6)&lt;=hthan*500,OR(ABS(B6)&lt;=bthan*500-cch*1000,ABS(C6)&lt;=hthan*500-cch*1000,(bthan*500-ABS(B6))+(hthan*500-ABS(C6))&gt;=cch*1000))))</f>
        <v>0</v>
      </c>
      <c r="F6" s="52"/>
      <c r="G6" s="52">
        <f>IF(1&lt;='KT THAN'!$C$11,1,"")</f>
        <v>1</v>
      </c>
      <c r="H6" s="52">
        <f>IF(G6="",0,2*PI()*(G6-0.5)/'KT THAN'!$C$11)</f>
        <v>1.7453292519943295E-2</v>
      </c>
      <c r="I6" s="52">
        <f>IF(G6="",0,IF(shp=1,IF(AND(ABS(SIN(H6))&gt;0.0000001,MAX(1,hthan*500-'KT THAN'!$D$12)*ABS(COS(H6))/ABS(SIN(H6))&lt;=MAX(0,(bthan-hthan)*500)),MAX(1,hthan*500-'KT THAN'!$D$12)/ABS(SIN(H6)),MAX(0,(bthan-hthan)*500)*ABS(COS(H6))+SQRT(MAX(0,MAX(1,hthan*500-'KT THAN'!$D$12)^2-MAX(0,(bthan-hthan)*500)^2*SIN(H6)^2))),MIN((bthan*500-'KT THAN'!$D$12)/MAX(0.0000001,ABS(COS(H6))),(hthan*500-'KT THAN'!$D$12)/MAX(0.0000001,ABS(SIN(H6)))))*COS(H6))</f>
        <v>2648.4718009333537</v>
      </c>
      <c r="J6" s="52">
        <f>IF(G6="",0,IF(shp=1,IF(AND(ABS(SIN(H6))&gt;0.0000001,MAX(1,hthan*500-'KT THAN'!$D$12)*ABS(COS(H6))/ABS(SIN(H6))&lt;=MAX(0,(bthan-hthan)*500)),MAX(1,hthan*500-'KT THAN'!$D$12)/ABS(SIN(H6)),MAX(0,(bthan-hthan)*500)*ABS(COS(H6))+SQRT(MAX(0,MAX(1,hthan*500-'KT THAN'!$D$12)^2-MAX(0,(bthan-hthan)*500)^2*SIN(H6)^2))),MIN((bthan*500-'KT THAN'!$D$12)/MAX(0.0000001,ABS(COS(H6))),(hthan*500-'KT THAN'!$D$12)/MAX(0.0000001,ABS(SIN(H6)))))*SIN(H6))</f>
        <v>46.229247245845045</v>
      </c>
      <c r="K6" s="52">
        <f>IF(G6="",0,'KT THAN'!$D$11/'KT THAN'!$C$11)</f>
        <v>804.24771931898704</v>
      </c>
      <c r="L6" s="52"/>
      <c r="M6" s="52">
        <f>hthan*1000*0.01*1.06^0</f>
        <v>16</v>
      </c>
      <c r="N6" s="52">
        <f t="shared" ref="N6:N37" si="3">(SUMPRODUCT($E$6:$E$4005,$D$6:$D$4005,--($C$6:$C$4005&gt;=(hthan*500-MAX(0.65,MIN(0.85,0.85-0.05*(fc_-28)/7))*M6)))*0.85*fc_+SUMPRODUCT($K$6:$K$405,(IF(Es_*(0.003*(M6-(hthan*500-$J$6:$J$405))/M6)&gt;fy_,fy_,IF(Es_*(0.003*(M6-(hthan*500-$J$6:$J$405))/M6)&lt;-fy_,-fy_,Es_*(0.003*(M6-(hthan*500-$J$6:$J$405))/M6)))-0.85*fc_*--($J$6:$J$405&gt;=(hthan*500-MAX(0.65,MIN(0.85,0.85-0.05*(fc_-28)/7))*M6)))))/1000</f>
        <v>-55774.035790966831</v>
      </c>
      <c r="O6" s="52">
        <f t="shared" ref="O6:O37" si="4">ABS((SUMPRODUCT($E$6:$E$4005,$D$6:$D$4005,--($C$6:$C$4005&gt;=(hthan*500-MAX(0.65,MIN(0.85,0.85-0.05*(fc_-28)/7))*M6)),$C$6:$C$4005)*0.85*fc_+SUMPRODUCT($K$6:$K$405,(IF(Es_*(0.003*(M6-(hthan*500-$J$6:$J$405))/M6)&gt;fy_,fy_,IF(Es_*(0.003*(M6-(hthan*500-$J$6:$J$405))/M6)&lt;-fy_,-fy_,Es_*(0.003*(M6-(hthan*500-$J$6:$J$405))/M6)))-0.85*fc_*--($J$6:$J$405&gt;=(hthan*500-MAX(0.65,MIN(0.85,0.85-0.05*(fc_-28)/7))*M6))),$J$6:$J$405))/1000000)</f>
        <v>1684.1219999999989</v>
      </c>
      <c r="P6" s="52">
        <f t="shared" ref="P6:P37" si="5">0.003*(M6-(hthan*500-MIN($J$6:$J$405)))/M6</f>
        <v>-0.27825</v>
      </c>
      <c r="Q6" s="52">
        <f t="shared" ref="Q6:Q37" si="6">MIN(0.9,MAX(0.75,0.75+0.15*((-P6)-0.002)/0.003))</f>
        <v>0.9</v>
      </c>
      <c r="R6" s="52">
        <f>Q6*MIN(N6,0.8*(0.85*fc_*(Agth*1000000-'KT THAN'!$D$11)+fy_*'KT THAN'!$D$11)/1000)</f>
        <v>-50196.63221187015</v>
      </c>
      <c r="S6" s="52">
        <f t="shared" ref="S6:S37" si="7">Q6*O6</f>
        <v>1515.7097999999992</v>
      </c>
      <c r="T6" s="52"/>
      <c r="U6" s="52">
        <f>bthan*1000*0.01*1.06^0</f>
        <v>55</v>
      </c>
      <c r="V6" s="52">
        <f t="shared" ref="V6:V37" si="8">(SUMPRODUCT($E$6:$E$4005,$D$6:$D$4005,--($B$6:$B$4005&gt;=(bthan*500-MAX(0.65,MIN(0.85,0.85-0.05*(fc_-28)/7))*U6)))*0.85*fc_+SUMPRODUCT($K$6:$K$405,(IF(Es_*(0.003*(U6-(bthan*500-$I$6:$I$405))/U6)&gt;fy_,fy_,IF(Es_*(0.003*(U6-(bthan*500-$I$6:$I$405))/U6)&lt;-fy_,-fy_,Es_*(0.003*(U6-(bthan*500-$I$6:$I$405))/U6)))-0.85*fc_*--($I$6:$I$405&gt;=(bthan*500-MAX(0.65,MIN(0.85,0.85-0.05*(fc_-28)/7))*U6)))))/1000</f>
        <v>-57905.835790966834</v>
      </c>
      <c r="W6" s="52">
        <f t="shared" ref="W6:W37" si="9">ABS((SUMPRODUCT($E$6:$E$4005,$D$6:$D$4005,--($B$6:$B$4005&gt;=(bthan*500-MAX(0.65,MIN(0.85,0.85-0.05*(fc_-28)/7))*U6)),$B$6:$B$4005)*0.85*fc_+SUMPRODUCT($K$6:$K$405,(IF(Es_*(0.003*(U6-(bthan*500-$I$6:$I$405))/U6)&gt;fy_,fy_,IF(Es_*(0.003*(U6-(bthan*500-$I$6:$I$405))/U6)&lt;-fy_,-fy_,Es_*(0.003*(U6-(bthan*500-$I$6:$I$405))/U6)))-0.85*fc_*--($I$6:$I$405&gt;=(bthan*500-MAX(0.65,MIN(0.85,0.85-0.05*(fc_-28)/7))*U6))),$I$6:$I$405))/1000000)</f>
        <v>1.5497207641601562E-12</v>
      </c>
      <c r="X6" s="52">
        <f t="shared" ref="X6:X37" si="10">0.003*(U6-(bthan*500-MIN($I$6:$I$405)))/U6</f>
        <v>-0.29146209823272839</v>
      </c>
      <c r="Y6" s="52">
        <f t="shared" ref="Y6:Y37" si="11">MIN(0.9,MAX(0.75,0.75+0.15*((-X6)-0.002)/0.003))</f>
        <v>0.9</v>
      </c>
      <c r="Z6" s="52">
        <f>Y6*MIN(V6,0.8*(0.85*fc_*(Agth*1000000-'KT THAN'!$D$11)+fy_*'KT THAN'!$D$11)/1000)</f>
        <v>-52115.252211870153</v>
      </c>
      <c r="AA6" s="52">
        <f t="shared" ref="AA6:AA37" si="12">Y6*W6</f>
        <v>1.3947486877441406E-12</v>
      </c>
      <c r="AB6" s="52"/>
      <c r="AC6" s="52">
        <f>SMALL($R$6:$R$125,ROWS($AC$6:AC6))</f>
        <v>-50196.63221187015</v>
      </c>
      <c r="AD6" s="52">
        <f t="shared" ref="AD6:AD37" si="13">INDEX($S$6:$S$125,MATCH(AC6,$R$6:$R$125,0))</f>
        <v>1515.7097999999992</v>
      </c>
      <c r="AE6" s="52">
        <f>SMALL($Z$6:$Z$125,ROWS($AE$6:AE6))</f>
        <v>-52115.252211870153</v>
      </c>
      <c r="AF6" s="52">
        <f t="shared" ref="AF6:AF37" si="14">INDEX($AA$6:$AA$125,MATCH(AE6,$Z$6:$Z$125,0))</f>
        <v>1.3947486877441406E-12</v>
      </c>
      <c r="AG6" s="52">
        <f>SMALL($AK$6:$AK$125,ROWS($AG$6:AG6))</f>
        <v>0.13907064564528249</v>
      </c>
      <c r="AH6" s="52">
        <f t="shared" ref="AH6:AH37" si="15">INDEX($R$6:$R$125,MATCH(AG6,$AK$6:$AK$125,0))</f>
        <v>158763.07851952704</v>
      </c>
      <c r="AI6" s="52">
        <f>SMALL($AL$6:$AL$125,ROWS($AI$6:AI6))</f>
        <v>9.0670241705447824E-2</v>
      </c>
      <c r="AJ6" s="52">
        <f t="shared" ref="AJ6:AJ37" si="16">INDEX($Z$6:$Z$125,MATCH(AI6,$AL$6:$AL$125,0))</f>
        <v>158763.07851952704</v>
      </c>
      <c r="AK6" s="52">
        <f t="shared" ref="AK6:AK37" si="17">IF(AND(R6&gt;0,AM6=1),S6/R6,1E+99)</f>
        <v>9.9999999999999997E+98</v>
      </c>
      <c r="AL6" s="52">
        <f t="shared" ref="AL6:AL37" si="18">IF(AND(Z6&gt;0,AN6=1),AA6/Z6,1E+99)</f>
        <v>9.9999999999999997E+98</v>
      </c>
      <c r="AM6" s="52">
        <f t="shared" ref="AM6:AM37" si="19">--(SUMPRODUCT(--($R$6:$R$125&gt;=R6),--($S$6:$S$125&gt;S6))=0)</f>
        <v>0</v>
      </c>
      <c r="AN6" s="52">
        <f t="shared" ref="AN6:AN37" si="20">--(SUMPRODUCT(--($Z$6:$Z$125&gt;=Z6),--($AA$6:$AA$125&gt;AA6))=0)</f>
        <v>0</v>
      </c>
    </row>
    <row r="7" spans="1:40" x14ac:dyDescent="0.3">
      <c r="A7" s="52">
        <v>2</v>
      </c>
      <c r="B7" s="52">
        <f>-bthan*500+(1+0.5)*bthan*1000/50</f>
        <v>-2585</v>
      </c>
      <c r="C7" s="52">
        <f t="shared" si="0"/>
        <v>-790</v>
      </c>
      <c r="D7" s="52">
        <f t="shared" si="1"/>
        <v>2200</v>
      </c>
      <c r="E7" s="52">
        <f t="shared" si="2"/>
        <v>0</v>
      </c>
      <c r="F7" s="52"/>
      <c r="G7" s="52">
        <f>IF(2&lt;='KT THAN'!$C$11,2,"")</f>
        <v>2</v>
      </c>
      <c r="H7" s="52">
        <f>IF(G7="",0,2*PI()*(G7-0.5)/'KT THAN'!$C$11)</f>
        <v>5.2359877559829883E-2</v>
      </c>
      <c r="I7" s="52">
        <f>IF(G7="",0,IF(shp=1,IF(AND(ABS(SIN(H7))&gt;0.0000001,MAX(1,hthan*500-'KT THAN'!$D$12)*ABS(COS(H7))/ABS(SIN(H7))&lt;=MAX(0,(bthan-hthan)*500)),MAX(1,hthan*500-'KT THAN'!$D$12)/ABS(SIN(H7)),MAX(0,(bthan-hthan)*500)*ABS(COS(H7))+SQRT(MAX(0,MAX(1,hthan*500-'KT THAN'!$D$12)^2-MAX(0,(bthan-hthan)*500)^2*SIN(H7)^2))),MIN((bthan*500-'KT THAN'!$D$12)/MAX(0.0000001,ABS(COS(H7))),(hthan*500-'KT THAN'!$D$12)/MAX(0.0000001,ABS(SIN(H7)))))*COS(H7))</f>
        <v>2636.2303524859608</v>
      </c>
      <c r="J7" s="52">
        <f>IF(G7="",0,IF(shp=1,IF(AND(ABS(SIN(H7))&gt;0.0000001,MAX(1,hthan*500-'KT THAN'!$D$12)*ABS(COS(H7))/ABS(SIN(H7))&lt;=MAX(0,(bthan-hthan)*500)),MAX(1,hthan*500-'KT THAN'!$D$12)/ABS(SIN(H7)),MAX(0,(bthan-hthan)*500)*ABS(COS(H7))+SQRT(MAX(0,MAX(1,hthan*500-'KT THAN'!$D$12)^2-MAX(0,(bthan-hthan)*500)^2*SIN(H7)^2))),MIN((bthan*500-'KT THAN'!$D$12)/MAX(0.0000001,ABS(COS(H7))),(hthan*500-'KT THAN'!$D$12)/MAX(0.0000001,ABS(SIN(H7)))))*SIN(H7))</f>
        <v>138.15897845233815</v>
      </c>
      <c r="K7" s="52">
        <f>IF(G7="",0,'KT THAN'!$D$11/'KT THAN'!$C$11)</f>
        <v>804.24771931898704</v>
      </c>
      <c r="L7" s="52"/>
      <c r="M7" s="52">
        <f>hthan*1000*0.01*1.06^1</f>
        <v>16.96</v>
      </c>
      <c r="N7" s="52">
        <f t="shared" si="3"/>
        <v>-55774.035790966831</v>
      </c>
      <c r="O7" s="52">
        <f t="shared" si="4"/>
        <v>1684.1219999999989</v>
      </c>
      <c r="P7" s="52">
        <f t="shared" si="5"/>
        <v>-0.26233018867924524</v>
      </c>
      <c r="Q7" s="52">
        <f t="shared" si="6"/>
        <v>0.9</v>
      </c>
      <c r="R7" s="52">
        <f>Q7*MIN(N7,0.8*(0.85*fc_*(Agth*1000000-'KT THAN'!$D$11)+fy_*'KT THAN'!$D$11)/1000)</f>
        <v>-50196.63221187015</v>
      </c>
      <c r="S7" s="52">
        <f t="shared" si="7"/>
        <v>1515.7097999999992</v>
      </c>
      <c r="T7" s="52"/>
      <c r="U7" s="52">
        <f>bthan*1000*0.01*1.06^1</f>
        <v>58.300000000000004</v>
      </c>
      <c r="V7" s="52">
        <f t="shared" si="8"/>
        <v>-57905.835790966834</v>
      </c>
      <c r="W7" s="52">
        <f t="shared" si="9"/>
        <v>1.5497207641601562E-12</v>
      </c>
      <c r="X7" s="52">
        <f t="shared" si="10"/>
        <v>-0.27479443229502676</v>
      </c>
      <c r="Y7" s="52">
        <f t="shared" si="11"/>
        <v>0.9</v>
      </c>
      <c r="Z7" s="52">
        <f>Y7*MIN(V7,0.8*(0.85*fc_*(Agth*1000000-'KT THAN'!$D$11)+fy_*'KT THAN'!$D$11)/1000)</f>
        <v>-52115.252211870153</v>
      </c>
      <c r="AA7" s="52">
        <f t="shared" si="12"/>
        <v>1.3947486877441406E-12</v>
      </c>
      <c r="AB7" s="52"/>
      <c r="AC7" s="52">
        <f>SMALL($R$6:$R$125,ROWS($AC$6:AC7))</f>
        <v>-50196.63221187015</v>
      </c>
      <c r="AD7" s="52">
        <f t="shared" si="13"/>
        <v>1515.7097999999992</v>
      </c>
      <c r="AE7" s="52">
        <f>SMALL($Z$6:$Z$125,ROWS($AE$6:AE7))</f>
        <v>-52115.252211870153</v>
      </c>
      <c r="AF7" s="52">
        <f t="shared" si="14"/>
        <v>1.3947486877441406E-12</v>
      </c>
      <c r="AG7" s="52">
        <f>SMALL($AK$6:$AK$125,ROWS($AG$6:AG7))</f>
        <v>0.15661850554087597</v>
      </c>
      <c r="AH7" s="52">
        <f t="shared" si="15"/>
        <v>154514.71555529154</v>
      </c>
      <c r="AI7" s="52">
        <f>SMALL($AL$6:$AL$125,ROWS($AI$6:AI7))</f>
        <v>0.23004230795928404</v>
      </c>
      <c r="AJ7" s="52">
        <f t="shared" si="16"/>
        <v>152196.87463554079</v>
      </c>
      <c r="AK7" s="52">
        <f t="shared" si="17"/>
        <v>9.9999999999999997E+98</v>
      </c>
      <c r="AL7" s="52">
        <f t="shared" si="18"/>
        <v>9.9999999999999997E+98</v>
      </c>
      <c r="AM7" s="52">
        <f t="shared" si="19"/>
        <v>0</v>
      </c>
      <c r="AN7" s="52">
        <f t="shared" si="20"/>
        <v>0</v>
      </c>
    </row>
    <row r="8" spans="1:40" x14ac:dyDescent="0.3">
      <c r="A8" s="52">
        <v>3</v>
      </c>
      <c r="B8" s="52">
        <f>-bthan*500+(2+0.5)*bthan*1000/50</f>
        <v>-2475</v>
      </c>
      <c r="C8" s="52">
        <f t="shared" si="0"/>
        <v>-790</v>
      </c>
      <c r="D8" s="52">
        <f t="shared" si="1"/>
        <v>2200</v>
      </c>
      <c r="E8" s="52">
        <f t="shared" si="2"/>
        <v>0</v>
      </c>
      <c r="F8" s="52"/>
      <c r="G8" s="52">
        <f>IF(3&lt;='KT THAN'!$C$11,3,"")</f>
        <v>3</v>
      </c>
      <c r="H8" s="52">
        <f>IF(G8="",0,2*PI()*(G8-0.5)/'KT THAN'!$C$11)</f>
        <v>8.7266462599716474E-2</v>
      </c>
      <c r="I8" s="52">
        <f>IF(G8="",0,IF(shp=1,IF(AND(ABS(SIN(H8))&gt;0.0000001,MAX(1,hthan*500-'KT THAN'!$D$12)*ABS(COS(H8))/ABS(SIN(H8))&lt;=MAX(0,(bthan-hthan)*500)),MAX(1,hthan*500-'KT THAN'!$D$12)/ABS(SIN(H8)),MAX(0,(bthan-hthan)*500)*ABS(COS(H8))+SQRT(MAX(0,MAX(1,hthan*500-'KT THAN'!$D$12)^2-MAX(0,(bthan-hthan)*500)^2*SIN(H8)^2))),MIN((bthan*500-'KT THAN'!$D$12)/MAX(0.0000001,ABS(COS(H8))),(hthan*500-'KT THAN'!$D$12)/MAX(0.0000001,ABS(SIN(H8)))))*COS(H8))</f>
        <v>2611.6585846604949</v>
      </c>
      <c r="J8" s="52">
        <f>IF(G8="",0,IF(shp=1,IF(AND(ABS(SIN(H8))&gt;0.0000001,MAX(1,hthan*500-'KT THAN'!$D$12)*ABS(COS(H8))/ABS(SIN(H8))&lt;=MAX(0,(bthan-hthan)*500)),MAX(1,hthan*500-'KT THAN'!$D$12)/ABS(SIN(H8)),MAX(0,(bthan-hthan)*500)*ABS(COS(H8))+SQRT(MAX(0,MAX(1,hthan*500-'KT THAN'!$D$12)^2-MAX(0,(bthan-hthan)*500)^2*SIN(H8)^2))),MIN((bthan*500-'KT THAN'!$D$12)/MAX(0.0000001,ABS(COS(H8))),(hthan*500-'KT THAN'!$D$12)/MAX(0.0000001,ABS(SIN(H8)))))*SIN(H8))</f>
        <v>228.49051915795295</v>
      </c>
      <c r="K8" s="52">
        <f>IF(G8="",0,'KT THAN'!$D$11/'KT THAN'!$C$11)</f>
        <v>804.24771931898704</v>
      </c>
      <c r="L8" s="52"/>
      <c r="M8" s="52">
        <f>hthan*1000*0.01*1.06^2</f>
        <v>17.977600000000002</v>
      </c>
      <c r="N8" s="52">
        <f t="shared" si="3"/>
        <v>-55774.035790966831</v>
      </c>
      <c r="O8" s="52">
        <f t="shared" si="4"/>
        <v>1684.1219999999989</v>
      </c>
      <c r="P8" s="52">
        <f t="shared" si="5"/>
        <v>-0.24731149875400493</v>
      </c>
      <c r="Q8" s="52">
        <f t="shared" si="6"/>
        <v>0.9</v>
      </c>
      <c r="R8" s="52">
        <f>Q8*MIN(N8,0.8*(0.85*fc_*(Agth*1000000-'KT THAN'!$D$11)+fy_*'KT THAN'!$D$11)/1000)</f>
        <v>-50196.63221187015</v>
      </c>
      <c r="S8" s="52">
        <f t="shared" si="7"/>
        <v>1515.7097999999992</v>
      </c>
      <c r="T8" s="52"/>
      <c r="U8" s="52">
        <f>bthan*1000*0.01*1.06^2</f>
        <v>61.798000000000009</v>
      </c>
      <c r="V8" s="52">
        <f t="shared" si="8"/>
        <v>-57905.835790966834</v>
      </c>
      <c r="W8" s="52">
        <f t="shared" si="9"/>
        <v>1.5497207641601562E-12</v>
      </c>
      <c r="X8" s="52">
        <f t="shared" si="10"/>
        <v>-0.25907021914625167</v>
      </c>
      <c r="Y8" s="52">
        <f t="shared" si="11"/>
        <v>0.9</v>
      </c>
      <c r="Z8" s="52">
        <f>Y8*MIN(V8,0.8*(0.85*fc_*(Agth*1000000-'KT THAN'!$D$11)+fy_*'KT THAN'!$D$11)/1000)</f>
        <v>-52115.252211870153</v>
      </c>
      <c r="AA8" s="52">
        <f t="shared" si="12"/>
        <v>1.3947486877441406E-12</v>
      </c>
      <c r="AB8" s="52"/>
      <c r="AC8" s="52">
        <f>SMALL($R$6:$R$125,ROWS($AC$6:AC8))</f>
        <v>-50196.63221187015</v>
      </c>
      <c r="AD8" s="52">
        <f t="shared" si="13"/>
        <v>1515.7097999999992</v>
      </c>
      <c r="AE8" s="52">
        <f>SMALL($Z$6:$Z$125,ROWS($AE$6:AE8))</f>
        <v>-52115.252211870153</v>
      </c>
      <c r="AF8" s="52">
        <f t="shared" si="14"/>
        <v>1.3947486877441406E-12</v>
      </c>
      <c r="AG8" s="52">
        <f>SMALL($AK$6:$AK$125,ROWS($AG$6:AG8))</f>
        <v>0.17526024539505711</v>
      </c>
      <c r="AH8" s="52">
        <f t="shared" si="15"/>
        <v>148318.3780305555</v>
      </c>
      <c r="AI8" s="52">
        <f>SMALL($AL$6:$AL$125,ROWS($AI$6:AI8))</f>
        <v>0.33377153864656883</v>
      </c>
      <c r="AJ8" s="52">
        <f t="shared" si="16"/>
        <v>144646.46946844854</v>
      </c>
      <c r="AK8" s="52">
        <f t="shared" si="17"/>
        <v>9.9999999999999997E+98</v>
      </c>
      <c r="AL8" s="52">
        <f t="shared" si="18"/>
        <v>9.9999999999999997E+98</v>
      </c>
      <c r="AM8" s="52">
        <f t="shared" si="19"/>
        <v>0</v>
      </c>
      <c r="AN8" s="52">
        <f t="shared" si="20"/>
        <v>0</v>
      </c>
    </row>
    <row r="9" spans="1:40" x14ac:dyDescent="0.3">
      <c r="A9" s="52">
        <v>4</v>
      </c>
      <c r="B9" s="52">
        <f>-bthan*500+(3+0.5)*bthan*1000/50</f>
        <v>-2365</v>
      </c>
      <c r="C9" s="52">
        <f t="shared" si="0"/>
        <v>-790</v>
      </c>
      <c r="D9" s="52">
        <f t="shared" si="1"/>
        <v>2200</v>
      </c>
      <c r="E9" s="52">
        <f t="shared" si="2"/>
        <v>0</v>
      </c>
      <c r="F9" s="52"/>
      <c r="G9" s="52">
        <f>IF(4&lt;='KT THAN'!$C$11,4,"")</f>
        <v>4</v>
      </c>
      <c r="H9" s="52">
        <f>IF(G9="",0,2*PI()*(G9-0.5)/'KT THAN'!$C$11)</f>
        <v>0.12217304763960307</v>
      </c>
      <c r="I9" s="52">
        <f>IF(G9="",0,IF(shp=1,IF(AND(ABS(SIN(H9))&gt;0.0000001,MAX(1,hthan*500-'KT THAN'!$D$12)*ABS(COS(H9))/ABS(SIN(H9))&lt;=MAX(0,(bthan-hthan)*500)),MAX(1,hthan*500-'KT THAN'!$D$12)/ABS(SIN(H9)),MAX(0,(bthan-hthan)*500)*ABS(COS(H9))+SQRT(MAX(0,MAX(1,hthan*500-'KT THAN'!$D$12)^2-MAX(0,(bthan-hthan)*500)^2*SIN(H9)^2))),MIN((bthan*500-'KT THAN'!$D$12)/MAX(0.0000001,ABS(COS(H9))),(hthan*500-'KT THAN'!$D$12)/MAX(0.0000001,ABS(SIN(H9)))))*COS(H9))</f>
        <v>2574.5564894608906</v>
      </c>
      <c r="J9" s="52">
        <f>IF(G9="",0,IF(shp=1,IF(AND(ABS(SIN(H9))&gt;0.0000001,MAX(1,hthan*500-'KT THAN'!$D$12)*ABS(COS(H9))/ABS(SIN(H9))&lt;=MAX(0,(bthan-hthan)*500)),MAX(1,hthan*500-'KT THAN'!$D$12)/ABS(SIN(H9)),MAX(0,(bthan-hthan)*500)*ABS(COS(H9))+SQRT(MAX(0,MAX(1,hthan*500-'KT THAN'!$D$12)^2-MAX(0,(bthan-hthan)*500)^2*SIN(H9)^2))),MIN((bthan*500-'KT THAN'!$D$12)/MAX(0.0000001,ABS(COS(H9))),(hthan*500-'KT THAN'!$D$12)/MAX(0.0000001,ABS(SIN(H9)))))*SIN(H9))</f>
        <v>316.11578807817898</v>
      </c>
      <c r="K9" s="52">
        <f>IF(G9="",0,'KT THAN'!$D$11/'KT THAN'!$C$11)</f>
        <v>804.24771931898704</v>
      </c>
      <c r="L9" s="52"/>
      <c r="M9" s="52">
        <f>hthan*1000*0.01*1.06^3</f>
        <v>19.056256000000005</v>
      </c>
      <c r="N9" s="52">
        <f t="shared" si="3"/>
        <v>-55774.035790966831</v>
      </c>
      <c r="O9" s="52">
        <f t="shared" si="4"/>
        <v>1684.1219999999989</v>
      </c>
      <c r="P9" s="52">
        <f t="shared" si="5"/>
        <v>-0.23314292335283482</v>
      </c>
      <c r="Q9" s="52">
        <f t="shared" si="6"/>
        <v>0.9</v>
      </c>
      <c r="R9" s="52">
        <f>Q9*MIN(N9,0.8*(0.85*fc_*(Agth*1000000-'KT THAN'!$D$11)+fy_*'KT THAN'!$D$11)/1000)</f>
        <v>-50196.63221187015</v>
      </c>
      <c r="S9" s="52">
        <f t="shared" si="7"/>
        <v>1515.7097999999992</v>
      </c>
      <c r="T9" s="52"/>
      <c r="U9" s="52">
        <f>bthan*1000*0.01*1.06^3</f>
        <v>65.505880000000019</v>
      </c>
      <c r="V9" s="52">
        <f t="shared" si="8"/>
        <v>-57905.835790966834</v>
      </c>
      <c r="W9" s="52">
        <f t="shared" si="9"/>
        <v>1.5497207641601562E-12</v>
      </c>
      <c r="X9" s="52">
        <f t="shared" si="10"/>
        <v>-0.24423605579835059</v>
      </c>
      <c r="Y9" s="52">
        <f t="shared" si="11"/>
        <v>0.9</v>
      </c>
      <c r="Z9" s="52">
        <f>Y9*MIN(V9,0.8*(0.85*fc_*(Agth*1000000-'KT THAN'!$D$11)+fy_*'KT THAN'!$D$11)/1000)</f>
        <v>-52115.252211870153</v>
      </c>
      <c r="AA9" s="52">
        <f t="shared" si="12"/>
        <v>1.3947486877441406E-12</v>
      </c>
      <c r="AB9" s="52"/>
      <c r="AC9" s="52">
        <f>SMALL($R$6:$R$125,ROWS($AC$6:AC9))</f>
        <v>-50196.63221187015</v>
      </c>
      <c r="AD9" s="52">
        <f t="shared" si="13"/>
        <v>1515.7097999999992</v>
      </c>
      <c r="AE9" s="52">
        <f>SMALL($Z$6:$Z$125,ROWS($AE$6:AE9))</f>
        <v>-52115.252211870153</v>
      </c>
      <c r="AF9" s="52">
        <f t="shared" si="14"/>
        <v>1.3947486877441406E-12</v>
      </c>
      <c r="AG9" s="52">
        <f>SMALL($AK$6:$AK$125,ROWS($AG$6:AG9))</f>
        <v>0.19317995922478276</v>
      </c>
      <c r="AH9" s="52">
        <f t="shared" si="15"/>
        <v>142037.89050581944</v>
      </c>
      <c r="AI9" s="52">
        <f>SMALL($AL$6:$AL$125,ROWS($AI$6:AI9))</f>
        <v>0.48962980292865027</v>
      </c>
      <c r="AJ9" s="52">
        <f t="shared" si="16"/>
        <v>133548.11471142637</v>
      </c>
      <c r="AK9" s="52">
        <f t="shared" si="17"/>
        <v>9.9999999999999997E+98</v>
      </c>
      <c r="AL9" s="52">
        <f t="shared" si="18"/>
        <v>9.9999999999999997E+98</v>
      </c>
      <c r="AM9" s="52">
        <f t="shared" si="19"/>
        <v>0</v>
      </c>
      <c r="AN9" s="52">
        <f t="shared" si="20"/>
        <v>0</v>
      </c>
    </row>
    <row r="10" spans="1:40" x14ac:dyDescent="0.3">
      <c r="A10" s="52">
        <v>5</v>
      </c>
      <c r="B10" s="52">
        <f>-bthan*500+(4+0.5)*bthan*1000/50</f>
        <v>-2255</v>
      </c>
      <c r="C10" s="52">
        <f t="shared" si="0"/>
        <v>-790</v>
      </c>
      <c r="D10" s="52">
        <f t="shared" si="1"/>
        <v>2200</v>
      </c>
      <c r="E10" s="52">
        <f t="shared" si="2"/>
        <v>0</v>
      </c>
      <c r="F10" s="52"/>
      <c r="G10" s="52">
        <f>IF(5&lt;='KT THAN'!$C$11,5,"")</f>
        <v>5</v>
      </c>
      <c r="H10" s="52">
        <f>IF(G10="",0,2*PI()*(G10-0.5)/'KT THAN'!$C$11)</f>
        <v>0.15707963267948966</v>
      </c>
      <c r="I10" s="52">
        <f>IF(G10="",0,IF(shp=1,IF(AND(ABS(SIN(H10))&gt;0.0000001,MAX(1,hthan*500-'KT THAN'!$D$12)*ABS(COS(H10))/ABS(SIN(H10))&lt;=MAX(0,(bthan-hthan)*500)),MAX(1,hthan*500-'KT THAN'!$D$12)/ABS(SIN(H10)),MAX(0,(bthan-hthan)*500)*ABS(COS(H10))+SQRT(MAX(0,MAX(1,hthan*500-'KT THAN'!$D$12)^2-MAX(0,(bthan-hthan)*500)^2*SIN(H10)^2))),MIN((bthan*500-'KT THAN'!$D$12)/MAX(0.0000001,ABS(COS(H10))),(hthan*500-'KT THAN'!$D$12)/MAX(0.0000001,ABS(SIN(H10)))))*COS(H10))</f>
        <v>2524.5599734070088</v>
      </c>
      <c r="J10" s="52">
        <f>IF(G10="",0,IF(shp=1,IF(AND(ABS(SIN(H10))&gt;0.0000001,MAX(1,hthan*500-'KT THAN'!$D$12)*ABS(COS(H10))/ABS(SIN(H10))&lt;=MAX(0,(bthan-hthan)*500)),MAX(1,hthan*500-'KT THAN'!$D$12)/ABS(SIN(H10)),MAX(0,(bthan-hthan)*500)*ABS(COS(H10))+SQRT(MAX(0,MAX(1,hthan*500-'KT THAN'!$D$12)^2-MAX(0,(bthan-hthan)*500)^2*SIN(H10)^2))),MIN((bthan*500-'KT THAN'!$D$12)/MAX(0.0000001,ABS(COS(H10))),(hthan*500-'KT THAN'!$D$12)/MAX(0.0000001,ABS(SIN(H10)))))*SIN(H10))</f>
        <v>399.85101845379529</v>
      </c>
      <c r="K10" s="52">
        <f>IF(G10="",0,'KT THAN'!$D$11/'KT THAN'!$C$11)</f>
        <v>804.24771931898704</v>
      </c>
      <c r="L10" s="52"/>
      <c r="M10" s="52">
        <f>hthan*1000*0.01*1.06^4</f>
        <v>20.199631360000005</v>
      </c>
      <c r="N10" s="52">
        <f t="shared" si="3"/>
        <v>-55774.035790966831</v>
      </c>
      <c r="O10" s="52">
        <f t="shared" si="4"/>
        <v>1684.1219999999989</v>
      </c>
      <c r="P10" s="52">
        <f t="shared" si="5"/>
        <v>-0.21977634278569325</v>
      </c>
      <c r="Q10" s="52">
        <f t="shared" si="6"/>
        <v>0.9</v>
      </c>
      <c r="R10" s="52">
        <f>Q10*MIN(N10,0.8*(0.85*fc_*(Agth*1000000-'KT THAN'!$D$11)+fy_*'KT THAN'!$D$11)/1000)</f>
        <v>-50196.63221187015</v>
      </c>
      <c r="S10" s="52">
        <f t="shared" si="7"/>
        <v>1515.7097999999992</v>
      </c>
      <c r="T10" s="52"/>
      <c r="U10" s="52">
        <f>bthan*1000*0.01*1.06^4</f>
        <v>69.436232800000013</v>
      </c>
      <c r="V10" s="52">
        <f t="shared" si="8"/>
        <v>-56222.835790966834</v>
      </c>
      <c r="W10" s="52">
        <f t="shared" si="9"/>
        <v>4535.6850000000022</v>
      </c>
      <c r="X10" s="52">
        <f t="shared" si="10"/>
        <v>-0.23024156207391566</v>
      </c>
      <c r="Y10" s="52">
        <f t="shared" si="11"/>
        <v>0.9</v>
      </c>
      <c r="Z10" s="52">
        <f>Y10*MIN(V10,0.8*(0.85*fc_*(Agth*1000000-'KT THAN'!$D$11)+fy_*'KT THAN'!$D$11)/1000)</f>
        <v>-50600.552211870148</v>
      </c>
      <c r="AA10" s="52">
        <f t="shared" si="12"/>
        <v>4082.1165000000019</v>
      </c>
      <c r="AB10" s="52"/>
      <c r="AC10" s="52">
        <f>SMALL($R$6:$R$125,ROWS($AC$6:AC10))</f>
        <v>-50196.63221187015</v>
      </c>
      <c r="AD10" s="52">
        <f t="shared" si="13"/>
        <v>1515.7097999999992</v>
      </c>
      <c r="AE10" s="52">
        <f>SMALL($Z$6:$Z$125,ROWS($AE$6:AE10))</f>
        <v>-50711.29712282039</v>
      </c>
      <c r="AF10" s="52">
        <f t="shared" si="14"/>
        <v>3790.6225777435029</v>
      </c>
      <c r="AG10" s="52">
        <f>SMALL($AK$6:$AK$125,ROWS($AG$6:AG10))</f>
        <v>0.21006772355104364</v>
      </c>
      <c r="AH10" s="52">
        <f t="shared" si="15"/>
        <v>135726.64050581944</v>
      </c>
      <c r="AI10" s="52">
        <f>SMALL($AL$6:$AL$125,ROWS($AI$6:AI10))</f>
        <v>0.59688856662124867</v>
      </c>
      <c r="AJ10" s="52">
        <f t="shared" si="16"/>
        <v>125530.05654476941</v>
      </c>
      <c r="AK10" s="52">
        <f t="shared" si="17"/>
        <v>9.9999999999999997E+98</v>
      </c>
      <c r="AL10" s="52">
        <f t="shared" si="18"/>
        <v>9.9999999999999997E+98</v>
      </c>
      <c r="AM10" s="52">
        <f t="shared" si="19"/>
        <v>0</v>
      </c>
      <c r="AN10" s="52">
        <f t="shared" si="20"/>
        <v>0</v>
      </c>
    </row>
    <row r="11" spans="1:40" x14ac:dyDescent="0.3">
      <c r="A11" s="52">
        <v>6</v>
      </c>
      <c r="B11" s="52">
        <f>-bthan*500+(5+0.5)*bthan*1000/50</f>
        <v>-2145</v>
      </c>
      <c r="C11" s="52">
        <f t="shared" si="0"/>
        <v>-790</v>
      </c>
      <c r="D11" s="52">
        <f t="shared" si="1"/>
        <v>2200</v>
      </c>
      <c r="E11" s="52">
        <f t="shared" si="2"/>
        <v>0</v>
      </c>
      <c r="F11" s="52"/>
      <c r="G11" s="52">
        <f>IF(6&lt;='KT THAN'!$C$11,6,"")</f>
        <v>6</v>
      </c>
      <c r="H11" s="52">
        <f>IF(G11="",0,2*PI()*(G11-0.5)/'KT THAN'!$C$11)</f>
        <v>0.19198621771937624</v>
      </c>
      <c r="I11" s="52">
        <f>IF(G11="",0,IF(shp=1,IF(AND(ABS(SIN(H11))&gt;0.0000001,MAX(1,hthan*500-'KT THAN'!$D$12)*ABS(COS(H11))/ABS(SIN(H11))&lt;=MAX(0,(bthan-hthan)*500)),MAX(1,hthan*500-'KT THAN'!$D$12)/ABS(SIN(H11)),MAX(0,(bthan-hthan)*500)*ABS(COS(H11))+SQRT(MAX(0,MAX(1,hthan*500-'KT THAN'!$D$12)^2-MAX(0,(bthan-hthan)*500)^2*SIN(H11)^2))),MIN((bthan*500-'KT THAN'!$D$12)/MAX(0.0000001,ABS(COS(H11))),(hthan*500-'KT THAN'!$D$12)/MAX(0.0000001,ABS(SIN(H11)))))*COS(H11))</f>
        <v>2461.0341055621225</v>
      </c>
      <c r="J11" s="52">
        <f>IF(G11="",0,IF(shp=1,IF(AND(ABS(SIN(H11))&gt;0.0000001,MAX(1,hthan*500-'KT THAN'!$D$12)*ABS(COS(H11))/ABS(SIN(H11))&lt;=MAX(0,(bthan-hthan)*500)),MAX(1,hthan*500-'KT THAN'!$D$12)/ABS(SIN(H11)),MAX(0,(bthan-hthan)*500)*ABS(COS(H11))+SQRT(MAX(0,MAX(1,hthan*500-'KT THAN'!$D$12)^2-MAX(0,(bthan-hthan)*500)^2*SIN(H11)^2))),MIN((bthan*500-'KT THAN'!$D$12)/MAX(0.0000001,ABS(COS(H11))),(hthan*500-'KT THAN'!$D$12)/MAX(0.0000001,ABS(SIN(H11)))))*SIN(H11))</f>
        <v>478.37657023763381</v>
      </c>
      <c r="K11" s="52">
        <f>IF(G11="",0,'KT THAN'!$D$11/'KT THAN'!$C$11)</f>
        <v>804.24771931898704</v>
      </c>
      <c r="L11" s="52"/>
      <c r="M11" s="52">
        <f>hthan*1000*0.01*1.06^5</f>
        <v>21.411609241600008</v>
      </c>
      <c r="N11" s="52">
        <f t="shared" si="3"/>
        <v>-55774.035790966831</v>
      </c>
      <c r="O11" s="52">
        <f t="shared" si="4"/>
        <v>1684.1219999999989</v>
      </c>
      <c r="P11" s="52">
        <f t="shared" si="5"/>
        <v>-0.2071663611185785</v>
      </c>
      <c r="Q11" s="52">
        <f t="shared" si="6"/>
        <v>0.9</v>
      </c>
      <c r="R11" s="52">
        <f>Q11*MIN(N11,0.8*(0.85*fc_*(Agth*1000000-'KT THAN'!$D$11)+fy_*'KT THAN'!$D$11)/1000)</f>
        <v>-50196.63221187015</v>
      </c>
      <c r="S11" s="52">
        <f t="shared" si="7"/>
        <v>1515.7097999999992</v>
      </c>
      <c r="T11" s="52"/>
      <c r="U11" s="52">
        <f>bthan*1000*0.01*1.06^5</f>
        <v>73.602406768000023</v>
      </c>
      <c r="V11" s="52">
        <f t="shared" si="8"/>
        <v>-56222.835790966834</v>
      </c>
      <c r="W11" s="52">
        <f t="shared" si="9"/>
        <v>4535.6850000000022</v>
      </c>
      <c r="X11" s="52">
        <f t="shared" si="10"/>
        <v>-0.21703920950369399</v>
      </c>
      <c r="Y11" s="52">
        <f t="shared" si="11"/>
        <v>0.9</v>
      </c>
      <c r="Z11" s="52">
        <f>Y11*MIN(V11,0.8*(0.85*fc_*(Agth*1000000-'KT THAN'!$D$11)+fy_*'KT THAN'!$D$11)/1000)</f>
        <v>-50600.552211870148</v>
      </c>
      <c r="AA11" s="52">
        <f t="shared" si="12"/>
        <v>4082.1165000000019</v>
      </c>
      <c r="AB11" s="52"/>
      <c r="AC11" s="52">
        <f>SMALL($R$6:$R$125,ROWS($AC$6:AC11))</f>
        <v>-50196.63221187015</v>
      </c>
      <c r="AD11" s="52">
        <f t="shared" si="13"/>
        <v>1515.7097999999992</v>
      </c>
      <c r="AE11" s="52">
        <f>SMALL($Z$6:$Z$125,ROWS($AE$6:AE11))</f>
        <v>-50711.29712282039</v>
      </c>
      <c r="AF11" s="52">
        <f t="shared" si="14"/>
        <v>3790.6225777435029</v>
      </c>
      <c r="AG11" s="52">
        <f>SMALL($AK$6:$AK$125,ROWS($AG$6:AG11))</f>
        <v>0.2255901246319667</v>
      </c>
      <c r="AH11" s="52">
        <f t="shared" si="15"/>
        <v>129446.15298108339</v>
      </c>
      <c r="AI11" s="52">
        <f>SMALL($AL$6:$AL$125,ROWS($AI$6:AI11))</f>
        <v>0.70782710810256555</v>
      </c>
      <c r="AJ11" s="52">
        <f t="shared" si="16"/>
        <v>117258.13908114245</v>
      </c>
      <c r="AK11" s="52">
        <f t="shared" si="17"/>
        <v>9.9999999999999997E+98</v>
      </c>
      <c r="AL11" s="52">
        <f t="shared" si="18"/>
        <v>9.9999999999999997E+98</v>
      </c>
      <c r="AM11" s="52">
        <f t="shared" si="19"/>
        <v>0</v>
      </c>
      <c r="AN11" s="52">
        <f t="shared" si="20"/>
        <v>0</v>
      </c>
    </row>
    <row r="12" spans="1:40" x14ac:dyDescent="0.3">
      <c r="A12" s="52">
        <v>7</v>
      </c>
      <c r="B12" s="52">
        <f>-bthan*500+(6+0.5)*bthan*1000/50</f>
        <v>-2035</v>
      </c>
      <c r="C12" s="52">
        <f t="shared" si="0"/>
        <v>-790</v>
      </c>
      <c r="D12" s="52">
        <f t="shared" si="1"/>
        <v>2200</v>
      </c>
      <c r="E12" s="52">
        <f t="shared" si="2"/>
        <v>1</v>
      </c>
      <c r="F12" s="52"/>
      <c r="G12" s="52">
        <f>IF(7&lt;='KT THAN'!$C$11,7,"")</f>
        <v>7</v>
      </c>
      <c r="H12" s="52">
        <f>IF(G12="",0,2*PI()*(G12-0.5)/'KT THAN'!$C$11)</f>
        <v>0.22689280275926285</v>
      </c>
      <c r="I12" s="52">
        <f>IF(G12="",0,IF(shp=1,IF(AND(ABS(SIN(H12))&gt;0.0000001,MAX(1,hthan*500-'KT THAN'!$D$12)*ABS(COS(H12))/ABS(SIN(H12))&lt;=MAX(0,(bthan-hthan)*500)),MAX(1,hthan*500-'KT THAN'!$D$12)/ABS(SIN(H12)),MAX(0,(bthan-hthan)*500)*ABS(COS(H12))+SQRT(MAX(0,MAX(1,hthan*500-'KT THAN'!$D$12)^2-MAX(0,(bthan-hthan)*500)^2*SIN(H12)^2))),MIN((bthan*500-'KT THAN'!$D$12)/MAX(0.0000001,ABS(COS(H12))),(hthan*500-'KT THAN'!$D$12)/MAX(0.0000001,ABS(SIN(H12)))))*COS(H12))</f>
        <v>2382.8537205060115</v>
      </c>
      <c r="J12" s="52">
        <f>IF(G12="",0,IF(shp=1,IF(AND(ABS(SIN(H12))&gt;0.0000001,MAX(1,hthan*500-'KT THAN'!$D$12)*ABS(COS(H12))/ABS(SIN(H12))&lt;=MAX(0,(bthan-hthan)*500)),MAX(1,hthan*500-'KT THAN'!$D$12)/ABS(SIN(H12)),MAX(0,(bthan-hthan)*500)*ABS(COS(H12))+SQRT(MAX(0,MAX(1,hthan*500-'KT THAN'!$D$12)^2-MAX(0,(bthan-hthan)*500)^2*SIN(H12)^2))),MIN((bthan*500-'KT THAN'!$D$12)/MAX(0.0000001,ABS(COS(H12))),(hthan*500-'KT THAN'!$D$12)/MAX(0.0000001,ABS(SIN(H12)))))*SIN(H12))</f>
        <v>550.12512817004097</v>
      </c>
      <c r="K12" s="52">
        <f>IF(G12="",0,'KT THAN'!$D$11/'KT THAN'!$C$11)</f>
        <v>804.24771931898704</v>
      </c>
      <c r="L12" s="52"/>
      <c r="M12" s="52">
        <f>hthan*1000*0.01*1.06^6</f>
        <v>22.696305796096009</v>
      </c>
      <c r="N12" s="52">
        <f t="shared" si="3"/>
        <v>-55774.035790966831</v>
      </c>
      <c r="O12" s="52">
        <f t="shared" si="4"/>
        <v>1684.1219999999989</v>
      </c>
      <c r="P12" s="52">
        <f t="shared" si="5"/>
        <v>-0.19527015199865894</v>
      </c>
      <c r="Q12" s="52">
        <f t="shared" si="6"/>
        <v>0.9</v>
      </c>
      <c r="R12" s="52">
        <f>Q12*MIN(N12,0.8*(0.85*fc_*(Agth*1000000-'KT THAN'!$D$11)+fy_*'KT THAN'!$D$11)/1000)</f>
        <v>-50196.63221187015</v>
      </c>
      <c r="S12" s="52">
        <f t="shared" si="7"/>
        <v>1515.7097999999992</v>
      </c>
      <c r="T12" s="52"/>
      <c r="U12" s="52">
        <f>bthan*1000*0.01*1.06^6</f>
        <v>78.018551174080031</v>
      </c>
      <c r="V12" s="52">
        <f t="shared" si="8"/>
        <v>-56222.835790966834</v>
      </c>
      <c r="W12" s="52">
        <f t="shared" si="9"/>
        <v>4535.6850000000022</v>
      </c>
      <c r="X12" s="52">
        <f t="shared" si="10"/>
        <v>-0.20458415990914527</v>
      </c>
      <c r="Y12" s="52">
        <f t="shared" si="11"/>
        <v>0.9</v>
      </c>
      <c r="Z12" s="52">
        <f>Y12*MIN(V12,0.8*(0.85*fc_*(Agth*1000000-'KT THAN'!$D$11)+fy_*'KT THAN'!$D$11)/1000)</f>
        <v>-50600.552211870148</v>
      </c>
      <c r="AA12" s="52">
        <f t="shared" si="12"/>
        <v>4082.1165000000019</v>
      </c>
      <c r="AB12" s="52"/>
      <c r="AC12" s="52">
        <f>SMALL($R$6:$R$125,ROWS($AC$6:AC12))</f>
        <v>-50196.63221187015</v>
      </c>
      <c r="AD12" s="52">
        <f t="shared" si="13"/>
        <v>1515.7097999999992</v>
      </c>
      <c r="AE12" s="52">
        <f>SMALL($Z$6:$Z$125,ROWS($AE$6:AE12))</f>
        <v>-50711.29712282039</v>
      </c>
      <c r="AF12" s="52">
        <f t="shared" si="14"/>
        <v>3790.6225777435029</v>
      </c>
      <c r="AG12" s="52">
        <f>SMALL($AK$6:$AK$125,ROWS($AG$6:AG12))</f>
        <v>0.23511566291550054</v>
      </c>
      <c r="AH12" s="52">
        <f t="shared" si="15"/>
        <v>125269.41545634734</v>
      </c>
      <c r="AI12" s="52">
        <f>SMALL($AL$6:$AL$125,ROWS($AI$6:AI12))</f>
        <v>0.82337976483622144</v>
      </c>
      <c r="AJ12" s="52">
        <f t="shared" si="16"/>
        <v>108784.16580804318</v>
      </c>
      <c r="AK12" s="52">
        <f t="shared" si="17"/>
        <v>9.9999999999999997E+98</v>
      </c>
      <c r="AL12" s="52">
        <f t="shared" si="18"/>
        <v>9.9999999999999997E+98</v>
      </c>
      <c r="AM12" s="52">
        <f t="shared" si="19"/>
        <v>0</v>
      </c>
      <c r="AN12" s="52">
        <f t="shared" si="20"/>
        <v>0</v>
      </c>
    </row>
    <row r="13" spans="1:40" x14ac:dyDescent="0.3">
      <c r="A13" s="52">
        <v>8</v>
      </c>
      <c r="B13" s="52">
        <f>-bthan*500+(7+0.5)*bthan*1000/50</f>
        <v>-1925</v>
      </c>
      <c r="C13" s="52">
        <f t="shared" si="0"/>
        <v>-790</v>
      </c>
      <c r="D13" s="52">
        <f t="shared" si="1"/>
        <v>2200</v>
      </c>
      <c r="E13" s="52">
        <f t="shared" si="2"/>
        <v>1</v>
      </c>
      <c r="F13" s="52"/>
      <c r="G13" s="52">
        <f>IF(8&lt;='KT THAN'!$C$11,8,"")</f>
        <v>8</v>
      </c>
      <c r="H13" s="52">
        <f>IF(G13="",0,2*PI()*(G13-0.5)/'KT THAN'!$C$11)</f>
        <v>0.26179938779914941</v>
      </c>
      <c r="I13" s="52">
        <f>IF(G13="",0,IF(shp=1,IF(AND(ABS(SIN(H13))&gt;0.0000001,MAX(1,hthan*500-'KT THAN'!$D$12)*ABS(COS(H13))/ABS(SIN(H13))&lt;=MAX(0,(bthan-hthan)*500)),MAX(1,hthan*500-'KT THAN'!$D$12)/ABS(SIN(H13)),MAX(0,(bthan-hthan)*500)*ABS(COS(H13))+SQRT(MAX(0,MAX(1,hthan*500-'KT THAN'!$D$12)^2-MAX(0,(bthan-hthan)*500)^2*SIN(H13)^2))),MIN((bthan*500-'KT THAN'!$D$12)/MAX(0.0000001,ABS(COS(H13))),(hthan*500-'KT THAN'!$D$12)/MAX(0.0000001,ABS(SIN(H13)))))*COS(H13))</f>
        <v>2287.9043557248274</v>
      </c>
      <c r="J13" s="52">
        <f>IF(G13="",0,IF(shp=1,IF(AND(ABS(SIN(H13))&gt;0.0000001,MAX(1,hthan*500-'KT THAN'!$D$12)*ABS(COS(H13))/ABS(SIN(H13))&lt;=MAX(0,(bthan-hthan)*500)),MAX(1,hthan*500-'KT THAN'!$D$12)/ABS(SIN(H13)),MAX(0,(bthan-hthan)*500)*ABS(COS(H13))+SQRT(MAX(0,MAX(1,hthan*500-'KT THAN'!$D$12)^2-MAX(0,(bthan-hthan)*500)^2*SIN(H13)^2))),MIN((bthan*500-'KT THAN'!$D$12)/MAX(0.0000001,ABS(COS(H13))),(hthan*500-'KT THAN'!$D$12)/MAX(0.0000001,ABS(SIN(H13)))))*SIN(H13))</f>
        <v>613.04212447611553</v>
      </c>
      <c r="K13" s="52">
        <f>IF(G13="",0,'KT THAN'!$D$11/'KT THAN'!$C$11)</f>
        <v>804.24771931898704</v>
      </c>
      <c r="L13" s="52"/>
      <c r="M13" s="52">
        <f>hthan*1000*0.01*1.06^7</f>
        <v>24.058084143861773</v>
      </c>
      <c r="N13" s="52">
        <f t="shared" si="3"/>
        <v>-55774.035790966831</v>
      </c>
      <c r="O13" s="52">
        <f t="shared" si="4"/>
        <v>1684.1219999999989</v>
      </c>
      <c r="P13" s="52">
        <f t="shared" si="5"/>
        <v>-0.18404731320628201</v>
      </c>
      <c r="Q13" s="52">
        <f t="shared" si="6"/>
        <v>0.9</v>
      </c>
      <c r="R13" s="52">
        <f>Q13*MIN(N13,0.8*(0.85*fc_*(Agth*1000000-'KT THAN'!$D$11)+fy_*'KT THAN'!$D$11)/1000)</f>
        <v>-50196.63221187015</v>
      </c>
      <c r="S13" s="52">
        <f t="shared" si="7"/>
        <v>1515.7097999999992</v>
      </c>
      <c r="T13" s="52"/>
      <c r="U13" s="52">
        <f>bthan*1000*0.01*1.06^7</f>
        <v>82.69966424452484</v>
      </c>
      <c r="V13" s="52">
        <f t="shared" si="8"/>
        <v>-56222.835790966834</v>
      </c>
      <c r="W13" s="52">
        <f t="shared" si="9"/>
        <v>4535.6850000000022</v>
      </c>
      <c r="X13" s="52">
        <f t="shared" si="10"/>
        <v>-0.19283411312183515</v>
      </c>
      <c r="Y13" s="52">
        <f t="shared" si="11"/>
        <v>0.9</v>
      </c>
      <c r="Z13" s="52">
        <f>Y13*MIN(V13,0.8*(0.85*fc_*(Agth*1000000-'KT THAN'!$D$11)+fy_*'KT THAN'!$D$11)/1000)</f>
        <v>-50600.552211870148</v>
      </c>
      <c r="AA13" s="52">
        <f t="shared" si="12"/>
        <v>4082.1165000000019</v>
      </c>
      <c r="AB13" s="52"/>
      <c r="AC13" s="52">
        <f>SMALL($R$6:$R$125,ROWS($AC$6:AC13))</f>
        <v>-50196.63221187015</v>
      </c>
      <c r="AD13" s="52">
        <f t="shared" si="13"/>
        <v>1515.7097999999992</v>
      </c>
      <c r="AE13" s="52">
        <f>SMALL($Z$6:$Z$125,ROWS($AE$6:AE13))</f>
        <v>-50674.38215250364</v>
      </c>
      <c r="AF13" s="52">
        <f t="shared" si="14"/>
        <v>3887.0318768737079</v>
      </c>
      <c r="AG13" s="52">
        <f>SMALL($AK$6:$AK$125,ROWS($AG$6:AG13))</f>
        <v>0.24812011890757896</v>
      </c>
      <c r="AH13" s="52">
        <f t="shared" si="15"/>
        <v>118958.16545634734</v>
      </c>
      <c r="AI13" s="52">
        <f>SMALL($AL$6:$AL$125,ROWS($AI$6:AI13))</f>
        <v>0.94543232637086128</v>
      </c>
      <c r="AJ13" s="52">
        <f t="shared" si="16"/>
        <v>100121.74189074829</v>
      </c>
      <c r="AK13" s="52">
        <f t="shared" si="17"/>
        <v>9.9999999999999997E+98</v>
      </c>
      <c r="AL13" s="52">
        <f t="shared" si="18"/>
        <v>9.9999999999999997E+98</v>
      </c>
      <c r="AM13" s="52">
        <f t="shared" si="19"/>
        <v>0</v>
      </c>
      <c r="AN13" s="52">
        <f t="shared" si="20"/>
        <v>0</v>
      </c>
    </row>
    <row r="14" spans="1:40" x14ac:dyDescent="0.3">
      <c r="A14" s="52">
        <v>9</v>
      </c>
      <c r="B14" s="52">
        <f>-bthan*500+(8+0.5)*bthan*1000/50</f>
        <v>-1815</v>
      </c>
      <c r="C14" s="52">
        <f t="shared" si="0"/>
        <v>-790</v>
      </c>
      <c r="D14" s="52">
        <f t="shared" si="1"/>
        <v>2200</v>
      </c>
      <c r="E14" s="52">
        <f t="shared" si="2"/>
        <v>1</v>
      </c>
      <c r="F14" s="52"/>
      <c r="G14" s="52">
        <f>IF(9&lt;='KT THAN'!$C$11,9,"")</f>
        <v>9</v>
      </c>
      <c r="H14" s="52">
        <f>IF(G14="",0,2*PI()*(G14-0.5)/'KT THAN'!$C$11)</f>
        <v>0.29670597283903605</v>
      </c>
      <c r="I14" s="52">
        <f>IF(G14="",0,IF(shp=1,IF(AND(ABS(SIN(H14))&gt;0.0000001,MAX(1,hthan*500-'KT THAN'!$D$12)*ABS(COS(H14))/ABS(SIN(H14))&lt;=MAX(0,(bthan-hthan)*500)),MAX(1,hthan*500-'KT THAN'!$D$12)/ABS(SIN(H14)),MAX(0,(bthan-hthan)*500)*ABS(COS(H14))+SQRT(MAX(0,MAX(1,hthan*500-'KT THAN'!$D$12)^2-MAX(0,(bthan-hthan)*500)^2*SIN(H14)^2))),MIN((bthan*500-'KT THAN'!$D$12)/MAX(0.0000001,ABS(COS(H14))),(hthan*500-'KT THAN'!$D$12)/MAX(0.0000001,ABS(SIN(H14)))))*COS(H14))</f>
        <v>2171.7146477878932</v>
      </c>
      <c r="J14" s="52">
        <f>IF(G14="",0,IF(shp=1,IF(AND(ABS(SIN(H14))&gt;0.0000001,MAX(1,hthan*500-'KT THAN'!$D$12)*ABS(COS(H14))/ABS(SIN(H14))&lt;=MAX(0,(bthan-hthan)*500)),MAX(1,hthan*500-'KT THAN'!$D$12)/ABS(SIN(H14)),MAX(0,(bthan-hthan)*500)*ABS(COS(H14))+SQRT(MAX(0,MAX(1,hthan*500-'KT THAN'!$D$12)^2-MAX(0,(bthan-hthan)*500)^2*SIN(H14)^2))),MIN((bthan*500-'KT THAN'!$D$12)/MAX(0.0000001,ABS(COS(H14))),(hthan*500-'KT THAN'!$D$12)/MAX(0.0000001,ABS(SIN(H14)))))*SIN(H14))</f>
        <v>663.95979920194736</v>
      </c>
      <c r="K14" s="52">
        <f>IF(G14="",0,'KT THAN'!$D$11/'KT THAN'!$C$11)</f>
        <v>804.24771931898704</v>
      </c>
      <c r="L14" s="52"/>
      <c r="M14" s="52">
        <f>hthan*1000*0.01*1.06^8</f>
        <v>25.501569192493477</v>
      </c>
      <c r="N14" s="52">
        <f t="shared" si="3"/>
        <v>-55774.035790966831</v>
      </c>
      <c r="O14" s="52">
        <f t="shared" si="4"/>
        <v>1684.1219999999989</v>
      </c>
      <c r="P14" s="52">
        <f t="shared" si="5"/>
        <v>-0.17345972943988872</v>
      </c>
      <c r="Q14" s="52">
        <f t="shared" si="6"/>
        <v>0.9</v>
      </c>
      <c r="R14" s="52">
        <f>Q14*MIN(N14,0.8*(0.85*fc_*(Agth*1000000-'KT THAN'!$D$11)+fy_*'KT THAN'!$D$11)/1000)</f>
        <v>-50196.63221187015</v>
      </c>
      <c r="S14" s="52">
        <f t="shared" si="7"/>
        <v>1515.7097999999992</v>
      </c>
      <c r="T14" s="52"/>
      <c r="U14" s="52">
        <f>bthan*1000*0.01*1.06^8</f>
        <v>87.661644099196323</v>
      </c>
      <c r="V14" s="52">
        <f t="shared" si="8"/>
        <v>-56222.835790966834</v>
      </c>
      <c r="W14" s="52">
        <f t="shared" si="9"/>
        <v>4535.6850000000022</v>
      </c>
      <c r="X14" s="52">
        <f t="shared" si="10"/>
        <v>-0.181749163322486</v>
      </c>
      <c r="Y14" s="52">
        <f t="shared" si="11"/>
        <v>0.9</v>
      </c>
      <c r="Z14" s="52">
        <f>Y14*MIN(V14,0.8*(0.85*fc_*(Agth*1000000-'KT THAN'!$D$11)+fy_*'KT THAN'!$D$11)/1000)</f>
        <v>-50600.552211870148</v>
      </c>
      <c r="AA14" s="52">
        <f t="shared" si="12"/>
        <v>4082.1165000000019</v>
      </c>
      <c r="AB14" s="52"/>
      <c r="AC14" s="52">
        <f>SMALL($R$6:$R$125,ROWS($AC$6:AC14))</f>
        <v>-50196.63221187015</v>
      </c>
      <c r="AD14" s="52">
        <f t="shared" si="13"/>
        <v>1515.7097999999992</v>
      </c>
      <c r="AE14" s="52">
        <f>SMALL($Z$6:$Z$125,ROWS($AE$6:AE14))</f>
        <v>-50674.38215250364</v>
      </c>
      <c r="AF14" s="52">
        <f t="shared" si="14"/>
        <v>3887.0318768737079</v>
      </c>
      <c r="AG14" s="52">
        <f>SMALL($AK$6:$AK$125,ROWS($AG$6:AG14))</f>
        <v>0.26238044380656433</v>
      </c>
      <c r="AH14" s="52">
        <f t="shared" si="15"/>
        <v>113148.52998817578</v>
      </c>
      <c r="AI14" s="52">
        <f>SMALL($AL$6:$AL$125,ROWS($AI$6:AI14))</f>
        <v>1.0766244408465142</v>
      </c>
      <c r="AJ14" s="52">
        <f t="shared" si="16"/>
        <v>91279.173611963226</v>
      </c>
      <c r="AK14" s="52">
        <f t="shared" si="17"/>
        <v>9.9999999999999997E+98</v>
      </c>
      <c r="AL14" s="52">
        <f t="shared" si="18"/>
        <v>9.9999999999999997E+98</v>
      </c>
      <c r="AM14" s="52">
        <f t="shared" si="19"/>
        <v>0</v>
      </c>
      <c r="AN14" s="52">
        <f t="shared" si="20"/>
        <v>0</v>
      </c>
    </row>
    <row r="15" spans="1:40" x14ac:dyDescent="0.3">
      <c r="A15" s="52">
        <v>10</v>
      </c>
      <c r="B15" s="52">
        <f>-bthan*500+(9+0.5)*bthan*1000/50</f>
        <v>-1705</v>
      </c>
      <c r="C15" s="52">
        <f t="shared" si="0"/>
        <v>-790</v>
      </c>
      <c r="D15" s="52">
        <f t="shared" si="1"/>
        <v>2200</v>
      </c>
      <c r="E15" s="52">
        <f t="shared" si="2"/>
        <v>1</v>
      </c>
      <c r="F15" s="52"/>
      <c r="G15" s="52">
        <f>IF(10&lt;='KT THAN'!$C$11,10,"")</f>
        <v>10</v>
      </c>
      <c r="H15" s="52">
        <f>IF(G15="",0,2*PI()*(G15-0.5)/'KT THAN'!$C$11)</f>
        <v>0.33161255787892258</v>
      </c>
      <c r="I15" s="52">
        <f>IF(G15="",0,IF(shp=1,IF(AND(ABS(SIN(H15))&gt;0.0000001,MAX(1,hthan*500-'KT THAN'!$D$12)*ABS(COS(H15))/ABS(SIN(H15))&lt;=MAX(0,(bthan-hthan)*500)),MAX(1,hthan*500-'KT THAN'!$D$12)/ABS(SIN(H15)),MAX(0,(bthan-hthan)*500)*ABS(COS(H15))+SQRT(MAX(0,MAX(1,hthan*500-'KT THAN'!$D$12)^2-MAX(0,(bthan-hthan)*500)^2*SIN(H15)^2))),MIN((bthan*500-'KT THAN'!$D$12)/MAX(0.0000001,ABS(COS(H15))),(hthan*500-'KT THAN'!$D$12)/MAX(0.0000001,ABS(SIN(H15)))))*COS(H15))</f>
        <v>2022.1269757348325</v>
      </c>
      <c r="J15" s="52">
        <f>IF(G15="",0,IF(shp=1,IF(AND(ABS(SIN(H15))&gt;0.0000001,MAX(1,hthan*500-'KT THAN'!$D$12)*ABS(COS(H15))/ABS(SIN(H15))&lt;=MAX(0,(bthan-hthan)*500)),MAX(1,hthan*500-'KT THAN'!$D$12)/ABS(SIN(H15)),MAX(0,(bthan-hthan)*500)*ABS(COS(H15))+SQRT(MAX(0,MAX(1,hthan*500-'KT THAN'!$D$12)^2-MAX(0,(bthan-hthan)*500)^2*SIN(H15)^2))),MIN((bthan*500-'KT THAN'!$D$12)/MAX(0.0000001,ABS(COS(H15))),(hthan*500-'KT THAN'!$D$12)/MAX(0.0000001,ABS(SIN(H15)))))*SIN(H15))</f>
        <v>696.27415532342366</v>
      </c>
      <c r="K15" s="52">
        <f>IF(G15="",0,'KT THAN'!$D$11/'KT THAN'!$C$11)</f>
        <v>804.24771931898704</v>
      </c>
      <c r="L15" s="52"/>
      <c r="M15" s="52">
        <f>hthan*1000*0.01*1.06^9</f>
        <v>27.031663344043086</v>
      </c>
      <c r="N15" s="52">
        <f t="shared" si="3"/>
        <v>-55774.035790966831</v>
      </c>
      <c r="O15" s="52">
        <f t="shared" si="4"/>
        <v>1684.1219999999989</v>
      </c>
      <c r="P15" s="52">
        <f t="shared" si="5"/>
        <v>-0.16347144286781953</v>
      </c>
      <c r="Q15" s="52">
        <f t="shared" si="6"/>
        <v>0.9</v>
      </c>
      <c r="R15" s="52">
        <f>Q15*MIN(N15,0.8*(0.85*fc_*(Agth*1000000-'KT THAN'!$D$11)+fy_*'KT THAN'!$D$11)/1000)</f>
        <v>-50196.63221187015</v>
      </c>
      <c r="S15" s="52">
        <f t="shared" si="7"/>
        <v>1515.7097999999992</v>
      </c>
      <c r="T15" s="52"/>
      <c r="U15" s="52">
        <f>bthan*1000*0.01*1.06^9</f>
        <v>92.92134274514811</v>
      </c>
      <c r="V15" s="52">
        <f t="shared" si="8"/>
        <v>-56222.835790966834</v>
      </c>
      <c r="W15" s="52">
        <f t="shared" si="9"/>
        <v>4535.6850000000022</v>
      </c>
      <c r="X15" s="52">
        <f t="shared" si="10"/>
        <v>-0.17129166351177921</v>
      </c>
      <c r="Y15" s="52">
        <f t="shared" si="11"/>
        <v>0.9</v>
      </c>
      <c r="Z15" s="52">
        <f>Y15*MIN(V15,0.8*(0.85*fc_*(Agth*1000000-'KT THAN'!$D$11)+fy_*'KT THAN'!$D$11)/1000)</f>
        <v>-50600.552211870148</v>
      </c>
      <c r="AA15" s="52">
        <f t="shared" si="12"/>
        <v>4082.1165000000019</v>
      </c>
      <c r="AB15" s="52"/>
      <c r="AC15" s="52">
        <f>SMALL($R$6:$R$125,ROWS($AC$6:AC15))</f>
        <v>-50196.63221187015</v>
      </c>
      <c r="AD15" s="52">
        <f t="shared" si="13"/>
        <v>1515.7097999999992</v>
      </c>
      <c r="AE15" s="52">
        <f>SMALL($Z$6:$Z$125,ROWS($AE$6:AE15))</f>
        <v>-50674.38215250364</v>
      </c>
      <c r="AF15" s="52">
        <f t="shared" si="14"/>
        <v>3887.0318768737079</v>
      </c>
      <c r="AG15" s="52">
        <f>SMALL($AK$6:$AK$125,ROWS($AG$6:AG15))</f>
        <v>0.26801253777611356</v>
      </c>
      <c r="AH15" s="52">
        <f t="shared" si="15"/>
        <v>111118.98924608638</v>
      </c>
      <c r="AI15" s="52">
        <f>SMALL($AL$6:$AL$125,ROWS($AI$6:AI15))</f>
        <v>1.1625462068456933</v>
      </c>
      <c r="AJ15" s="52">
        <f t="shared" si="16"/>
        <v>85596.104525787465</v>
      </c>
      <c r="AK15" s="52">
        <f t="shared" si="17"/>
        <v>9.9999999999999997E+98</v>
      </c>
      <c r="AL15" s="52">
        <f t="shared" si="18"/>
        <v>9.9999999999999997E+98</v>
      </c>
      <c r="AM15" s="52">
        <f t="shared" si="19"/>
        <v>0</v>
      </c>
      <c r="AN15" s="52">
        <f t="shared" si="20"/>
        <v>0</v>
      </c>
    </row>
    <row r="16" spans="1:40" x14ac:dyDescent="0.3">
      <c r="A16" s="52">
        <v>11</v>
      </c>
      <c r="B16" s="52">
        <f>-bthan*500+(10+0.5)*bthan*1000/50</f>
        <v>-1595</v>
      </c>
      <c r="C16" s="52">
        <f t="shared" si="0"/>
        <v>-790</v>
      </c>
      <c r="D16" s="52">
        <f t="shared" si="1"/>
        <v>2200</v>
      </c>
      <c r="E16" s="52">
        <f t="shared" si="2"/>
        <v>1</v>
      </c>
      <c r="F16" s="52"/>
      <c r="G16" s="52">
        <f>IF(11&lt;='KT THAN'!$C$11,11,"")</f>
        <v>11</v>
      </c>
      <c r="H16" s="52">
        <f>IF(G16="",0,2*PI()*(G16-0.5)/'KT THAN'!$C$11)</f>
        <v>0.36651914291880922</v>
      </c>
      <c r="I16" s="52">
        <f>IF(G16="",0,IF(shp=1,IF(AND(ABS(SIN(H16))&gt;0.0000001,MAX(1,hthan*500-'KT THAN'!$D$12)*ABS(COS(H16))/ABS(SIN(H16))&lt;=MAX(0,(bthan-hthan)*500)),MAX(1,hthan*500-'KT THAN'!$D$12)/ABS(SIN(H16)),MAX(0,(bthan-hthan)*500)*ABS(COS(H16))+SQRT(MAX(0,MAX(1,hthan*500-'KT THAN'!$D$12)^2-MAX(0,(bthan-hthan)*500)^2*SIN(H16)^2))),MIN((bthan*500-'KT THAN'!$D$12)/MAX(0.0000001,ABS(COS(H16))),(hthan*500-'KT THAN'!$D$12)/MAX(0.0000001,ABS(SIN(H16)))))*COS(H16))</f>
        <v>1823.562345285661</v>
      </c>
      <c r="J16" s="52">
        <f>IF(G16="",0,IF(shp=1,IF(AND(ABS(SIN(H16))&gt;0.0000001,MAX(1,hthan*500-'KT THAN'!$D$12)*ABS(COS(H16))/ABS(SIN(H16))&lt;=MAX(0,(bthan-hthan)*500)),MAX(1,hthan*500-'KT THAN'!$D$12)/ABS(SIN(H16)),MAX(0,(bthan-hthan)*500)*ABS(COS(H16))+SQRT(MAX(0,MAX(1,hthan*500-'KT THAN'!$D$12)^2-MAX(0,(bthan-hthan)*500)^2*SIN(H16)^2))),MIN((bthan*500-'KT THAN'!$D$12)/MAX(0.0000001,ABS(COS(H16))),(hthan*500-'KT THAN'!$D$12)/MAX(0.0000001,ABS(SIN(H16)))))*SIN(H16))</f>
        <v>700</v>
      </c>
      <c r="K16" s="52">
        <f>IF(G16="",0,'KT THAN'!$D$11/'KT THAN'!$C$11)</f>
        <v>804.24771931898704</v>
      </c>
      <c r="L16" s="52"/>
      <c r="M16" s="52">
        <f>hthan*1000*0.01*1.06^10</f>
        <v>28.653563144685673</v>
      </c>
      <c r="N16" s="52">
        <f t="shared" si="3"/>
        <v>-55774.035790966831</v>
      </c>
      <c r="O16" s="52">
        <f t="shared" si="4"/>
        <v>1684.1219999999989</v>
      </c>
      <c r="P16" s="52">
        <f t="shared" si="5"/>
        <v>-0.15404853100737692</v>
      </c>
      <c r="Q16" s="52">
        <f t="shared" si="6"/>
        <v>0.9</v>
      </c>
      <c r="R16" s="52">
        <f>Q16*MIN(N16,0.8*(0.85*fc_*(Agth*1000000-'KT THAN'!$D$11)+fy_*'KT THAN'!$D$11)/1000)</f>
        <v>-50196.63221187015</v>
      </c>
      <c r="S16" s="52">
        <f t="shared" si="7"/>
        <v>1515.7097999999992</v>
      </c>
      <c r="T16" s="52"/>
      <c r="U16" s="52">
        <f>bthan*1000*0.01*1.06^10</f>
        <v>98.496623309857</v>
      </c>
      <c r="V16" s="52">
        <f t="shared" si="8"/>
        <v>-56222.835790966834</v>
      </c>
      <c r="W16" s="52">
        <f t="shared" si="9"/>
        <v>4535.6850000000022</v>
      </c>
      <c r="X16" s="52">
        <f t="shared" si="10"/>
        <v>-0.16142609765262192</v>
      </c>
      <c r="Y16" s="52">
        <f t="shared" si="11"/>
        <v>0.9</v>
      </c>
      <c r="Z16" s="52">
        <f>Y16*MIN(V16,0.8*(0.85*fc_*(Agth*1000000-'KT THAN'!$D$11)+fy_*'KT THAN'!$D$11)/1000)</f>
        <v>-50600.552211870148</v>
      </c>
      <c r="AA16" s="52">
        <f t="shared" si="12"/>
        <v>4082.1165000000019</v>
      </c>
      <c r="AB16" s="52"/>
      <c r="AC16" s="52">
        <f>SMALL($R$6:$R$125,ROWS($AC$6:AC16))</f>
        <v>-50196.63221187015</v>
      </c>
      <c r="AD16" s="52">
        <f t="shared" si="13"/>
        <v>1515.7097999999992</v>
      </c>
      <c r="AE16" s="52">
        <f>SMALL($Z$6:$Z$125,ROWS($AE$6:AE16))</f>
        <v>-50637.467182186898</v>
      </c>
      <c r="AF16" s="52">
        <f t="shared" si="14"/>
        <v>3984.3482420838218</v>
      </c>
      <c r="AG16" s="52">
        <f>SMALL($AK$6:$AK$125,ROWS($AG$6:AG16))</f>
        <v>0.27415313064694435</v>
      </c>
      <c r="AH16" s="52">
        <f t="shared" si="15"/>
        <v>109234.155943866</v>
      </c>
      <c r="AI16" s="52">
        <f>SMALL($AL$6:$AL$125,ROWS($AI$6:AI16))</f>
        <v>1.3211976979213766</v>
      </c>
      <c r="AJ16" s="52">
        <f t="shared" si="16"/>
        <v>76403.504886462921</v>
      </c>
      <c r="AK16" s="52">
        <f t="shared" si="17"/>
        <v>9.9999999999999997E+98</v>
      </c>
      <c r="AL16" s="52">
        <f t="shared" si="18"/>
        <v>9.9999999999999997E+98</v>
      </c>
      <c r="AM16" s="52">
        <f t="shared" si="19"/>
        <v>0</v>
      </c>
      <c r="AN16" s="52">
        <f t="shared" si="20"/>
        <v>0</v>
      </c>
    </row>
    <row r="17" spans="1:40" x14ac:dyDescent="0.3">
      <c r="A17" s="52">
        <v>12</v>
      </c>
      <c r="B17" s="52">
        <f>-bthan*500+(11+0.5)*bthan*1000/50</f>
        <v>-1485</v>
      </c>
      <c r="C17" s="52">
        <f t="shared" si="0"/>
        <v>-790</v>
      </c>
      <c r="D17" s="52">
        <f t="shared" si="1"/>
        <v>2200</v>
      </c>
      <c r="E17" s="52">
        <f t="shared" si="2"/>
        <v>1</v>
      </c>
      <c r="F17" s="52"/>
      <c r="G17" s="52">
        <f>IF(12&lt;='KT THAN'!$C$11,12,"")</f>
        <v>12</v>
      </c>
      <c r="H17" s="52">
        <f>IF(G17="",0,2*PI()*(G17-0.5)/'KT THAN'!$C$11)</f>
        <v>0.40142572795869574</v>
      </c>
      <c r="I17" s="52">
        <f>IF(G17="",0,IF(shp=1,IF(AND(ABS(SIN(H17))&gt;0.0000001,MAX(1,hthan*500-'KT THAN'!$D$12)*ABS(COS(H17))/ABS(SIN(H17))&lt;=MAX(0,(bthan-hthan)*500)),MAX(1,hthan*500-'KT THAN'!$D$12)/ABS(SIN(H17)),MAX(0,(bthan-hthan)*500)*ABS(COS(H17))+SQRT(MAX(0,MAX(1,hthan*500-'KT THAN'!$D$12)^2-MAX(0,(bthan-hthan)*500)^2*SIN(H17)^2))),MIN((bthan*500-'KT THAN'!$D$12)/MAX(0.0000001,ABS(COS(H17))),(hthan*500-'KT THAN'!$D$12)/MAX(0.0000001,ABS(SIN(H17)))))*COS(H17))</f>
        <v>1649.0966560766271</v>
      </c>
      <c r="J17" s="52">
        <f>IF(G17="",0,IF(shp=1,IF(AND(ABS(SIN(H17))&gt;0.0000001,MAX(1,hthan*500-'KT THAN'!$D$12)*ABS(COS(H17))/ABS(SIN(H17))&lt;=MAX(0,(bthan-hthan)*500)),MAX(1,hthan*500-'KT THAN'!$D$12)/ABS(SIN(H17)),MAX(0,(bthan-hthan)*500)*ABS(COS(H17))+SQRT(MAX(0,MAX(1,hthan*500-'KT THAN'!$D$12)^2-MAX(0,(bthan-hthan)*500)^2*SIN(H17)^2))),MIN((bthan*500-'KT THAN'!$D$12)/MAX(0.0000001,ABS(COS(H17))),(hthan*500-'KT THAN'!$D$12)/MAX(0.0000001,ABS(SIN(H17)))))*SIN(H17))</f>
        <v>700</v>
      </c>
      <c r="K17" s="52">
        <f>IF(G17="",0,'KT THAN'!$D$11/'KT THAN'!$C$11)</f>
        <v>804.24771931898704</v>
      </c>
      <c r="L17" s="52"/>
      <c r="M17" s="52">
        <f>hthan*1000*0.01*1.06^11</f>
        <v>30.372776933366818</v>
      </c>
      <c r="N17" s="52">
        <f t="shared" si="3"/>
        <v>-55774.035790966831</v>
      </c>
      <c r="O17" s="52">
        <f t="shared" si="4"/>
        <v>1684.1219999999989</v>
      </c>
      <c r="P17" s="52">
        <f t="shared" si="5"/>
        <v>-0.1451589915163933</v>
      </c>
      <c r="Q17" s="52">
        <f t="shared" si="6"/>
        <v>0.9</v>
      </c>
      <c r="R17" s="52">
        <f>Q17*MIN(N17,0.8*(0.85*fc_*(Agth*1000000-'KT THAN'!$D$11)+fy_*'KT THAN'!$D$11)/1000)</f>
        <v>-50196.63221187015</v>
      </c>
      <c r="S17" s="52">
        <f t="shared" si="7"/>
        <v>1515.7097999999992</v>
      </c>
      <c r="T17" s="52"/>
      <c r="U17" s="52">
        <f>bthan*1000*0.01*1.06^11</f>
        <v>104.40642070844844</v>
      </c>
      <c r="V17" s="52">
        <f t="shared" si="8"/>
        <v>-56222.835790966834</v>
      </c>
      <c r="W17" s="52">
        <f t="shared" si="9"/>
        <v>4535.6850000000022</v>
      </c>
      <c r="X17" s="52">
        <f t="shared" si="10"/>
        <v>-0.15211896004964329</v>
      </c>
      <c r="Y17" s="52">
        <f t="shared" si="11"/>
        <v>0.9</v>
      </c>
      <c r="Z17" s="52">
        <f>Y17*MIN(V17,0.8*(0.85*fc_*(Agth*1000000-'KT THAN'!$D$11)+fy_*'KT THAN'!$D$11)/1000)</f>
        <v>-50600.552211870148</v>
      </c>
      <c r="AA17" s="52">
        <f t="shared" si="12"/>
        <v>4082.1165000000019</v>
      </c>
      <c r="AB17" s="52"/>
      <c r="AC17" s="52">
        <f>SMALL($R$6:$R$125,ROWS($AC$6:AC17))</f>
        <v>-50196.63221187015</v>
      </c>
      <c r="AD17" s="52">
        <f t="shared" si="13"/>
        <v>1515.7097999999992</v>
      </c>
      <c r="AE17" s="52">
        <f>SMALL($Z$6:$Z$125,ROWS($AE$6:AE17))</f>
        <v>-50637.467182186898</v>
      </c>
      <c r="AF17" s="52">
        <f t="shared" si="14"/>
        <v>3984.3482420838218</v>
      </c>
      <c r="AG17" s="52">
        <f>SMALL($AK$6:$AK$125,ROWS($AG$6:AG17))</f>
        <v>9.9999999999999997E+98</v>
      </c>
      <c r="AH17" s="52">
        <f t="shared" si="15"/>
        <v>-50196.63221187015</v>
      </c>
      <c r="AI17" s="52">
        <f>SMALL($AL$6:$AL$125,ROWS($AI$6:AI17))</f>
        <v>1.4375872298329964</v>
      </c>
      <c r="AJ17" s="52">
        <f t="shared" si="16"/>
        <v>70340.216969061323</v>
      </c>
      <c r="AK17" s="52">
        <f t="shared" si="17"/>
        <v>9.9999999999999997E+98</v>
      </c>
      <c r="AL17" s="52">
        <f t="shared" si="18"/>
        <v>9.9999999999999997E+98</v>
      </c>
      <c r="AM17" s="52">
        <f t="shared" si="19"/>
        <v>0</v>
      </c>
      <c r="AN17" s="52">
        <f t="shared" si="20"/>
        <v>0</v>
      </c>
    </row>
    <row r="18" spans="1:40" x14ac:dyDescent="0.3">
      <c r="A18" s="52">
        <v>13</v>
      </c>
      <c r="B18" s="52">
        <f>-bthan*500+(12+0.5)*bthan*1000/50</f>
        <v>-1375</v>
      </c>
      <c r="C18" s="52">
        <f t="shared" si="0"/>
        <v>-790</v>
      </c>
      <c r="D18" s="52">
        <f t="shared" si="1"/>
        <v>2200</v>
      </c>
      <c r="E18" s="52">
        <f t="shared" si="2"/>
        <v>1</v>
      </c>
      <c r="F18" s="52"/>
      <c r="G18" s="52">
        <f>IF(13&lt;='KT THAN'!$C$11,13,"")</f>
        <v>13</v>
      </c>
      <c r="H18" s="52">
        <f>IF(G18="",0,2*PI()*(G18-0.5)/'KT THAN'!$C$11)</f>
        <v>0.43633231299858238</v>
      </c>
      <c r="I18" s="52">
        <f>IF(G18="",0,IF(shp=1,IF(AND(ABS(SIN(H18))&gt;0.0000001,MAX(1,hthan*500-'KT THAN'!$D$12)*ABS(COS(H18))/ABS(SIN(H18))&lt;=MAX(0,(bthan-hthan)*500)),MAX(1,hthan*500-'KT THAN'!$D$12)/ABS(SIN(H18)),MAX(0,(bthan-hthan)*500)*ABS(COS(H18))+SQRT(MAX(0,MAX(1,hthan*500-'KT THAN'!$D$12)^2-MAX(0,(bthan-hthan)*500)^2*SIN(H18)^2))),MIN((bthan*500-'KT THAN'!$D$12)/MAX(0.0000001,ABS(COS(H18))),(hthan*500-'KT THAN'!$D$12)/MAX(0.0000001,ABS(SIN(H18)))))*COS(H18))</f>
        <v>1501.154844356691</v>
      </c>
      <c r="J18" s="52">
        <f>IF(G18="",0,IF(shp=1,IF(AND(ABS(SIN(H18))&gt;0.0000001,MAX(1,hthan*500-'KT THAN'!$D$12)*ABS(COS(H18))/ABS(SIN(H18))&lt;=MAX(0,(bthan-hthan)*500)),MAX(1,hthan*500-'KT THAN'!$D$12)/ABS(SIN(H18)),MAX(0,(bthan-hthan)*500)*ABS(COS(H18))+SQRT(MAX(0,MAX(1,hthan*500-'KT THAN'!$D$12)^2-MAX(0,(bthan-hthan)*500)^2*SIN(H18)^2))),MIN((bthan*500-'KT THAN'!$D$12)/MAX(0.0000001,ABS(COS(H18))),(hthan*500-'KT THAN'!$D$12)/MAX(0.0000001,ABS(SIN(H18)))))*SIN(H18))</f>
        <v>700</v>
      </c>
      <c r="K18" s="52">
        <f>IF(G18="",0,'KT THAN'!$D$11/'KT THAN'!$C$11)</f>
        <v>804.24771931898704</v>
      </c>
      <c r="L18" s="52"/>
      <c r="M18" s="52">
        <f>hthan*1000*0.01*1.06^12</f>
        <v>32.195143549368829</v>
      </c>
      <c r="N18" s="52">
        <f t="shared" si="3"/>
        <v>-55774.035790966831</v>
      </c>
      <c r="O18" s="52">
        <f t="shared" si="4"/>
        <v>1684.1219999999989</v>
      </c>
      <c r="P18" s="52">
        <f t="shared" si="5"/>
        <v>-0.13677263350603139</v>
      </c>
      <c r="Q18" s="52">
        <f t="shared" si="6"/>
        <v>0.9</v>
      </c>
      <c r="R18" s="52">
        <f>Q18*MIN(N18,0.8*(0.85*fc_*(Agth*1000000-'KT THAN'!$D$11)+fy_*'KT THAN'!$D$11)/1000)</f>
        <v>-50196.63221187015</v>
      </c>
      <c r="S18" s="52">
        <f t="shared" si="7"/>
        <v>1515.7097999999992</v>
      </c>
      <c r="T18" s="52"/>
      <c r="U18" s="52">
        <f>bthan*1000*0.01*1.06^12</f>
        <v>110.67080595095536</v>
      </c>
      <c r="V18" s="52">
        <f t="shared" si="8"/>
        <v>-56222.835790966834</v>
      </c>
      <c r="W18" s="52">
        <f t="shared" si="9"/>
        <v>4535.6850000000022</v>
      </c>
      <c r="X18" s="52">
        <f t="shared" si="10"/>
        <v>-0.14333864155626722</v>
      </c>
      <c r="Y18" s="52">
        <f t="shared" si="11"/>
        <v>0.9</v>
      </c>
      <c r="Z18" s="52">
        <f>Y18*MIN(V18,0.8*(0.85*fc_*(Agth*1000000-'KT THAN'!$D$11)+fy_*'KT THAN'!$D$11)/1000)</f>
        <v>-50600.552211870148</v>
      </c>
      <c r="AA18" s="52">
        <f t="shared" si="12"/>
        <v>4082.1165000000019</v>
      </c>
      <c r="AB18" s="52"/>
      <c r="AC18" s="52">
        <f>SMALL($R$6:$R$125,ROWS($AC$6:AC18))</f>
        <v>-50196.63221187015</v>
      </c>
      <c r="AD18" s="52">
        <f t="shared" si="13"/>
        <v>1515.7097999999992</v>
      </c>
      <c r="AE18" s="52">
        <f>SMALL($Z$6:$Z$125,ROWS($AE$6:AE18))</f>
        <v>-50600.552211870148</v>
      </c>
      <c r="AF18" s="52">
        <f t="shared" si="14"/>
        <v>4082.1165000000019</v>
      </c>
      <c r="AG18" s="52">
        <f>SMALL($AK$6:$AK$125,ROWS($AG$6:AG18))</f>
        <v>9.9999999999999997E+98</v>
      </c>
      <c r="AH18" s="52">
        <f t="shared" si="15"/>
        <v>-50196.63221187015</v>
      </c>
      <c r="AI18" s="52">
        <f>SMALL($AL$6:$AL$125,ROWS($AI$6:AI18))</f>
        <v>1.6531971197053028</v>
      </c>
      <c r="AJ18" s="52">
        <f t="shared" si="16"/>
        <v>61881.03242534132</v>
      </c>
      <c r="AK18" s="52">
        <f t="shared" si="17"/>
        <v>9.9999999999999997E+98</v>
      </c>
      <c r="AL18" s="52">
        <f t="shared" si="18"/>
        <v>9.9999999999999997E+98</v>
      </c>
      <c r="AM18" s="52">
        <f t="shared" si="19"/>
        <v>0</v>
      </c>
      <c r="AN18" s="52">
        <f t="shared" si="20"/>
        <v>0</v>
      </c>
    </row>
    <row r="19" spans="1:40" x14ac:dyDescent="0.3">
      <c r="A19" s="52">
        <v>14</v>
      </c>
      <c r="B19" s="52">
        <f>-bthan*500+(13+0.5)*bthan*1000/50</f>
        <v>-1265</v>
      </c>
      <c r="C19" s="52">
        <f t="shared" si="0"/>
        <v>-790</v>
      </c>
      <c r="D19" s="52">
        <f t="shared" si="1"/>
        <v>2200</v>
      </c>
      <c r="E19" s="52">
        <f t="shared" si="2"/>
        <v>1</v>
      </c>
      <c r="F19" s="52"/>
      <c r="G19" s="52">
        <f>IF(14&lt;='KT THAN'!$C$11,14,"")</f>
        <v>14</v>
      </c>
      <c r="H19" s="52">
        <f>IF(G19="",0,2*PI()*(G19-0.5)/'KT THAN'!$C$11)</f>
        <v>0.47123889803846897</v>
      </c>
      <c r="I19" s="52">
        <f>IF(G19="",0,IF(shp=1,IF(AND(ABS(SIN(H19))&gt;0.0000001,MAX(1,hthan*500-'KT THAN'!$D$12)*ABS(COS(H19))/ABS(SIN(H19))&lt;=MAX(0,(bthan-hthan)*500)),MAX(1,hthan*500-'KT THAN'!$D$12)/ABS(SIN(H19)),MAX(0,(bthan-hthan)*500)*ABS(COS(H19))+SQRT(MAX(0,MAX(1,hthan*500-'KT THAN'!$D$12)^2-MAX(0,(bthan-hthan)*500)^2*SIN(H19)^2))),MIN((bthan*500-'KT THAN'!$D$12)/MAX(0.0000001,ABS(COS(H19))),(hthan*500-'KT THAN'!$D$12)/MAX(0.0000001,ABS(SIN(H19)))))*COS(H19))</f>
        <v>1373.8273538536057</v>
      </c>
      <c r="J19" s="52">
        <f>IF(G19="",0,IF(shp=1,IF(AND(ABS(SIN(H19))&gt;0.0000001,MAX(1,hthan*500-'KT THAN'!$D$12)*ABS(COS(H19))/ABS(SIN(H19))&lt;=MAX(0,(bthan-hthan)*500)),MAX(1,hthan*500-'KT THAN'!$D$12)/ABS(SIN(H19)),MAX(0,(bthan-hthan)*500)*ABS(COS(H19))+SQRT(MAX(0,MAX(1,hthan*500-'KT THAN'!$D$12)^2-MAX(0,(bthan-hthan)*500)^2*SIN(H19)^2))),MIN((bthan*500-'KT THAN'!$D$12)/MAX(0.0000001,ABS(COS(H19))),(hthan*500-'KT THAN'!$D$12)/MAX(0.0000001,ABS(SIN(H19)))))*SIN(H19))</f>
        <v>700</v>
      </c>
      <c r="K19" s="52">
        <f>IF(G19="",0,'KT THAN'!$D$11/'KT THAN'!$C$11)</f>
        <v>804.24771931898704</v>
      </c>
      <c r="L19" s="52"/>
      <c r="M19" s="52">
        <f>hthan*1000*0.01*1.06^13</f>
        <v>34.126852162330962</v>
      </c>
      <c r="N19" s="52">
        <f t="shared" si="3"/>
        <v>-55774.035790966831</v>
      </c>
      <c r="O19" s="52">
        <f t="shared" si="4"/>
        <v>1684.1219999999989</v>
      </c>
      <c r="P19" s="52">
        <f t="shared" si="5"/>
        <v>-0.12886097500568999</v>
      </c>
      <c r="Q19" s="52">
        <f t="shared" si="6"/>
        <v>0.9</v>
      </c>
      <c r="R19" s="52">
        <f>Q19*MIN(N19,0.8*(0.85*fc_*(Agth*1000000-'KT THAN'!$D$11)+fy_*'KT THAN'!$D$11)/1000)</f>
        <v>-50196.63221187015</v>
      </c>
      <c r="S19" s="52">
        <f t="shared" si="7"/>
        <v>1515.7097999999992</v>
      </c>
      <c r="T19" s="52"/>
      <c r="U19" s="52">
        <f>bthan*1000*0.01*1.06^13</f>
        <v>117.31105430801269</v>
      </c>
      <c r="V19" s="52">
        <f t="shared" si="8"/>
        <v>-56222.835790966834</v>
      </c>
      <c r="W19" s="52">
        <f t="shared" si="9"/>
        <v>4535.6850000000022</v>
      </c>
      <c r="X19" s="52">
        <f t="shared" si="10"/>
        <v>-0.1350553222228936</v>
      </c>
      <c r="Y19" s="52">
        <f t="shared" si="11"/>
        <v>0.9</v>
      </c>
      <c r="Z19" s="52">
        <f>Y19*MIN(V19,0.8*(0.85*fc_*(Agth*1000000-'KT THAN'!$D$11)+fy_*'KT THAN'!$D$11)/1000)</f>
        <v>-50600.552211870148</v>
      </c>
      <c r="AA19" s="52">
        <f t="shared" si="12"/>
        <v>4082.1165000000019</v>
      </c>
      <c r="AB19" s="52"/>
      <c r="AC19" s="52">
        <f>SMALL($R$6:$R$125,ROWS($AC$6:AC19))</f>
        <v>-50196.63221187015</v>
      </c>
      <c r="AD19" s="52">
        <f t="shared" si="13"/>
        <v>1515.7097999999992</v>
      </c>
      <c r="AE19" s="52">
        <f>SMALL($Z$6:$Z$125,ROWS($AE$6:AE19))</f>
        <v>-50600.552211870148</v>
      </c>
      <c r="AF19" s="52">
        <f t="shared" si="14"/>
        <v>4082.1165000000019</v>
      </c>
      <c r="AG19" s="52">
        <f>SMALL($AK$6:$AK$125,ROWS($AG$6:AG19))</f>
        <v>9.9999999999999997E+98</v>
      </c>
      <c r="AH19" s="52">
        <f t="shared" si="15"/>
        <v>-50196.63221187015</v>
      </c>
      <c r="AI19" s="52">
        <f>SMALL($AL$6:$AL$125,ROWS($AI$6:AI19))</f>
        <v>1.8355639235495156</v>
      </c>
      <c r="AJ19" s="52">
        <f t="shared" si="16"/>
        <v>56388.058529709655</v>
      </c>
      <c r="AK19" s="52">
        <f t="shared" si="17"/>
        <v>9.9999999999999997E+98</v>
      </c>
      <c r="AL19" s="52">
        <f t="shared" si="18"/>
        <v>9.9999999999999997E+98</v>
      </c>
      <c r="AM19" s="52">
        <f t="shared" si="19"/>
        <v>0</v>
      </c>
      <c r="AN19" s="52">
        <f t="shared" si="20"/>
        <v>0</v>
      </c>
    </row>
    <row r="20" spans="1:40" x14ac:dyDescent="0.3">
      <c r="A20" s="52">
        <v>15</v>
      </c>
      <c r="B20" s="52">
        <f>-bthan*500+(14+0.5)*bthan*1000/50</f>
        <v>-1155</v>
      </c>
      <c r="C20" s="52">
        <f t="shared" si="0"/>
        <v>-790</v>
      </c>
      <c r="D20" s="52">
        <f t="shared" si="1"/>
        <v>2200</v>
      </c>
      <c r="E20" s="52">
        <f t="shared" si="2"/>
        <v>1</v>
      </c>
      <c r="F20" s="52"/>
      <c r="G20" s="52">
        <f>IF(15&lt;='KT THAN'!$C$11,15,"")</f>
        <v>15</v>
      </c>
      <c r="H20" s="52">
        <f>IF(G20="",0,2*PI()*(G20-0.5)/'KT THAN'!$C$11)</f>
        <v>0.50614548307835561</v>
      </c>
      <c r="I20" s="52">
        <f>IF(G20="",0,IF(shp=1,IF(AND(ABS(SIN(H20))&gt;0.0000001,MAX(1,hthan*500-'KT THAN'!$D$12)*ABS(COS(H20))/ABS(SIN(H20))&lt;=MAX(0,(bthan-hthan)*500)),MAX(1,hthan*500-'KT THAN'!$D$12)/ABS(SIN(H20)),MAX(0,(bthan-hthan)*500)*ABS(COS(H20))+SQRT(MAX(0,MAX(1,hthan*500-'KT THAN'!$D$12)^2-MAX(0,(bthan-hthan)*500)^2*SIN(H20)^2))),MIN((bthan*500-'KT THAN'!$D$12)/MAX(0.0000001,ABS(COS(H20))),(hthan*500-'KT THAN'!$D$12)/MAX(0.0000001,ABS(SIN(H20)))))*COS(H20))</f>
        <v>1262.8334286899965</v>
      </c>
      <c r="J20" s="52">
        <f>IF(G20="",0,IF(shp=1,IF(AND(ABS(SIN(H20))&gt;0.0000001,MAX(1,hthan*500-'KT THAN'!$D$12)*ABS(COS(H20))/ABS(SIN(H20))&lt;=MAX(0,(bthan-hthan)*500)),MAX(1,hthan*500-'KT THAN'!$D$12)/ABS(SIN(H20)),MAX(0,(bthan-hthan)*500)*ABS(COS(H20))+SQRT(MAX(0,MAX(1,hthan*500-'KT THAN'!$D$12)^2-MAX(0,(bthan-hthan)*500)^2*SIN(H20)^2))),MIN((bthan*500-'KT THAN'!$D$12)/MAX(0.0000001,ABS(COS(H20))),(hthan*500-'KT THAN'!$D$12)/MAX(0.0000001,ABS(SIN(H20)))))*SIN(H20))</f>
        <v>700</v>
      </c>
      <c r="K20" s="52">
        <f>IF(G20="",0,'KT THAN'!$D$11/'KT THAN'!$C$11)</f>
        <v>804.24771931898704</v>
      </c>
      <c r="L20" s="52"/>
      <c r="M20" s="52">
        <f>hthan*1000*0.01*1.06^14</f>
        <v>36.174463292070818</v>
      </c>
      <c r="N20" s="52">
        <f t="shared" si="3"/>
        <v>-53530.035790966831</v>
      </c>
      <c r="O20" s="52">
        <f t="shared" si="4"/>
        <v>3412.0019999999995</v>
      </c>
      <c r="P20" s="52">
        <f t="shared" si="5"/>
        <v>-0.12139714623178301</v>
      </c>
      <c r="Q20" s="52">
        <f t="shared" si="6"/>
        <v>0.9</v>
      </c>
      <c r="R20" s="52">
        <f>Q20*MIN(N20,0.8*(0.85*fc_*(Agth*1000000-'KT THAN'!$D$11)+fy_*'KT THAN'!$D$11)/1000)</f>
        <v>-48177.032211870152</v>
      </c>
      <c r="S20" s="52">
        <f t="shared" si="7"/>
        <v>3070.8017999999997</v>
      </c>
      <c r="T20" s="52"/>
      <c r="U20" s="52">
        <f>bthan*1000*0.01*1.06^14</f>
        <v>124.34971756649344</v>
      </c>
      <c r="V20" s="52">
        <f t="shared" si="8"/>
        <v>-56263.852424652105</v>
      </c>
      <c r="W20" s="52">
        <f t="shared" si="9"/>
        <v>4427.0536023153572</v>
      </c>
      <c r="X20" s="52">
        <f t="shared" si="10"/>
        <v>-0.12724087002159773</v>
      </c>
      <c r="Y20" s="52">
        <f t="shared" si="11"/>
        <v>0.9</v>
      </c>
      <c r="Z20" s="52">
        <f>Y20*MIN(V20,0.8*(0.85*fc_*(Agth*1000000-'KT THAN'!$D$11)+fy_*'KT THAN'!$D$11)/1000)</f>
        <v>-50637.467182186898</v>
      </c>
      <c r="AA20" s="52">
        <f t="shared" si="12"/>
        <v>3984.3482420838218</v>
      </c>
      <c r="AB20" s="52"/>
      <c r="AC20" s="52">
        <f>SMALL($R$6:$R$125,ROWS($AC$6:AC20))</f>
        <v>-48177.032211870152</v>
      </c>
      <c r="AD20" s="52">
        <f t="shared" si="13"/>
        <v>3070.8017999999997</v>
      </c>
      <c r="AE20" s="52">
        <f>SMALL($Z$6:$Z$125,ROWS($AE$6:AE20))</f>
        <v>-50600.552211870148</v>
      </c>
      <c r="AF20" s="52">
        <f t="shared" si="14"/>
        <v>4082.1165000000019</v>
      </c>
      <c r="AG20" s="52">
        <f>SMALL($AK$6:$AK$125,ROWS($AG$6:AG20))</f>
        <v>9.9999999999999997E+98</v>
      </c>
      <c r="AH20" s="52">
        <f t="shared" si="15"/>
        <v>-50196.63221187015</v>
      </c>
      <c r="AI20" s="52">
        <f>SMALL($AL$6:$AL$125,ROWS($AI$6:AI20))</f>
        <v>2.0709872501920792</v>
      </c>
      <c r="AJ20" s="52">
        <f t="shared" si="16"/>
        <v>50415.307018435597</v>
      </c>
      <c r="AK20" s="52">
        <f t="shared" si="17"/>
        <v>9.9999999999999997E+98</v>
      </c>
      <c r="AL20" s="52">
        <f t="shared" si="18"/>
        <v>9.9999999999999997E+98</v>
      </c>
      <c r="AM20" s="52">
        <f t="shared" si="19"/>
        <v>0</v>
      </c>
      <c r="AN20" s="52">
        <f t="shared" si="20"/>
        <v>0</v>
      </c>
    </row>
    <row r="21" spans="1:40" x14ac:dyDescent="0.3">
      <c r="A21" s="52">
        <v>16</v>
      </c>
      <c r="B21" s="52">
        <f>-bthan*500+(15+0.5)*bthan*1000/50</f>
        <v>-1045</v>
      </c>
      <c r="C21" s="52">
        <f t="shared" si="0"/>
        <v>-790</v>
      </c>
      <c r="D21" s="52">
        <f t="shared" si="1"/>
        <v>2200</v>
      </c>
      <c r="E21" s="52">
        <f t="shared" si="2"/>
        <v>1</v>
      </c>
      <c r="F21" s="52"/>
      <c r="G21" s="52">
        <f>IF(16&lt;='KT THAN'!$C$11,16,"")</f>
        <v>16</v>
      </c>
      <c r="H21" s="52">
        <f>IF(G21="",0,2*PI()*(G21-0.5)/'KT THAN'!$C$11)</f>
        <v>0.54105206811824214</v>
      </c>
      <c r="I21" s="52">
        <f>IF(G21="",0,IF(shp=1,IF(AND(ABS(SIN(H21))&gt;0.0000001,MAX(1,hthan*500-'KT THAN'!$D$12)*ABS(COS(H21))/ABS(SIN(H21))&lt;=MAX(0,(bthan-hthan)*500)),MAX(1,hthan*500-'KT THAN'!$D$12)/ABS(SIN(H21)),MAX(0,(bthan-hthan)*500)*ABS(COS(H21))+SQRT(MAX(0,MAX(1,hthan*500-'KT THAN'!$D$12)^2-MAX(0,(bthan-hthan)*500)^2*SIN(H21)^2))),MIN((bthan*500-'KT THAN'!$D$12)/MAX(0.0000001,ABS(COS(H21))),(hthan*500-'KT THAN'!$D$12)/MAX(0.0000001,ABS(SIN(H21)))))*COS(H21))</f>
        <v>1164.9956376453626</v>
      </c>
      <c r="J21" s="52">
        <f>IF(G21="",0,IF(shp=1,IF(AND(ABS(SIN(H21))&gt;0.0000001,MAX(1,hthan*500-'KT THAN'!$D$12)*ABS(COS(H21))/ABS(SIN(H21))&lt;=MAX(0,(bthan-hthan)*500)),MAX(1,hthan*500-'KT THAN'!$D$12)/ABS(SIN(H21)),MAX(0,(bthan-hthan)*500)*ABS(COS(H21))+SQRT(MAX(0,MAX(1,hthan*500-'KT THAN'!$D$12)^2-MAX(0,(bthan-hthan)*500)^2*SIN(H21)^2))),MIN((bthan*500-'KT THAN'!$D$12)/MAX(0.0000001,ABS(COS(H21))),(hthan*500-'KT THAN'!$D$12)/MAX(0.0000001,ABS(SIN(H21)))))*SIN(H21))</f>
        <v>700</v>
      </c>
      <c r="K21" s="52">
        <f>IF(G21="",0,'KT THAN'!$D$11/'KT THAN'!$C$11)</f>
        <v>804.24771931898704</v>
      </c>
      <c r="L21" s="52"/>
      <c r="M21" s="52">
        <f>hthan*1000*0.01*1.06^15</f>
        <v>38.344931089595079</v>
      </c>
      <c r="N21" s="52">
        <f t="shared" si="3"/>
        <v>-53530.035790966831</v>
      </c>
      <c r="O21" s="52">
        <f t="shared" si="4"/>
        <v>3412.0019999999995</v>
      </c>
      <c r="P21" s="52">
        <f t="shared" si="5"/>
        <v>-0.11435579833187072</v>
      </c>
      <c r="Q21" s="52">
        <f t="shared" si="6"/>
        <v>0.9</v>
      </c>
      <c r="R21" s="52">
        <f>Q21*MIN(N21,0.8*(0.85*fc_*(Agth*1000000-'KT THAN'!$D$11)+fy_*'KT THAN'!$D$11)/1000)</f>
        <v>-48177.032211870152</v>
      </c>
      <c r="S21" s="52">
        <f t="shared" si="7"/>
        <v>3070.8017999999997</v>
      </c>
      <c r="T21" s="52"/>
      <c r="U21" s="52">
        <f>bthan*1000*0.01*1.06^15</f>
        <v>131.81070062048309</v>
      </c>
      <c r="V21" s="52">
        <f t="shared" si="8"/>
        <v>-56263.852424652105</v>
      </c>
      <c r="W21" s="52">
        <f t="shared" si="9"/>
        <v>4427.0536023153572</v>
      </c>
      <c r="X21" s="52">
        <f t="shared" si="10"/>
        <v>-0.11986874530339407</v>
      </c>
      <c r="Y21" s="52">
        <f t="shared" si="11"/>
        <v>0.9</v>
      </c>
      <c r="Z21" s="52">
        <f>Y21*MIN(V21,0.8*(0.85*fc_*(Agth*1000000-'KT THAN'!$D$11)+fy_*'KT THAN'!$D$11)/1000)</f>
        <v>-50637.467182186898</v>
      </c>
      <c r="AA21" s="52">
        <f t="shared" si="12"/>
        <v>3984.3482420838218</v>
      </c>
      <c r="AB21" s="52"/>
      <c r="AC21" s="52">
        <f>SMALL($R$6:$R$125,ROWS($AC$6:AC21))</f>
        <v>-48177.032211870152</v>
      </c>
      <c r="AD21" s="52">
        <f t="shared" si="13"/>
        <v>3070.8017999999997</v>
      </c>
      <c r="AE21" s="52">
        <f>SMALL($Z$6:$Z$125,ROWS($AE$6:AE21))</f>
        <v>-50600.552211870148</v>
      </c>
      <c r="AF21" s="52">
        <f t="shared" si="14"/>
        <v>4082.1165000000019</v>
      </c>
      <c r="AG21" s="52">
        <f>SMALL($AK$6:$AK$125,ROWS($AG$6:AG21))</f>
        <v>9.9999999999999997E+98</v>
      </c>
      <c r="AH21" s="52">
        <f t="shared" si="15"/>
        <v>-50196.63221187015</v>
      </c>
      <c r="AI21" s="52">
        <f>SMALL($AL$6:$AL$125,ROWS($AI$6:AI21))</f>
        <v>2.390612932010475</v>
      </c>
      <c r="AJ21" s="52">
        <f t="shared" si="16"/>
        <v>43916.04471767127</v>
      </c>
      <c r="AK21" s="52">
        <f t="shared" si="17"/>
        <v>9.9999999999999997E+98</v>
      </c>
      <c r="AL21" s="52">
        <f t="shared" si="18"/>
        <v>9.9999999999999997E+98</v>
      </c>
      <c r="AM21" s="52">
        <f t="shared" si="19"/>
        <v>0</v>
      </c>
      <c r="AN21" s="52">
        <f t="shared" si="20"/>
        <v>0</v>
      </c>
    </row>
    <row r="22" spans="1:40" x14ac:dyDescent="0.3">
      <c r="A22" s="52">
        <v>17</v>
      </c>
      <c r="B22" s="52">
        <f>-bthan*500+(16+0.5)*bthan*1000/50</f>
        <v>-935</v>
      </c>
      <c r="C22" s="52">
        <f t="shared" si="0"/>
        <v>-790</v>
      </c>
      <c r="D22" s="52">
        <f t="shared" si="1"/>
        <v>2200</v>
      </c>
      <c r="E22" s="52">
        <f t="shared" si="2"/>
        <v>1</v>
      </c>
      <c r="F22" s="52"/>
      <c r="G22" s="52">
        <f>IF(17&lt;='KT THAN'!$C$11,17,"")</f>
        <v>17</v>
      </c>
      <c r="H22" s="52">
        <f>IF(G22="",0,2*PI()*(G22-0.5)/'KT THAN'!$C$11)</f>
        <v>0.57595865315812877</v>
      </c>
      <c r="I22" s="52">
        <f>IF(G22="",0,IF(shp=1,IF(AND(ABS(SIN(H22))&gt;0.0000001,MAX(1,hthan*500-'KT THAN'!$D$12)*ABS(COS(H22))/ABS(SIN(H22))&lt;=MAX(0,(bthan-hthan)*500)),MAX(1,hthan*500-'KT THAN'!$D$12)/ABS(SIN(H22)),MAX(0,(bthan-hthan)*500)*ABS(COS(H22))+SQRT(MAX(0,MAX(1,hthan*500-'KT THAN'!$D$12)^2-MAX(0,(bthan-hthan)*500)^2*SIN(H22)^2))),MIN((bthan*500-'KT THAN'!$D$12)/MAX(0.0000001,ABS(COS(H22))),(hthan*500-'KT THAN'!$D$12)/MAX(0.0000001,ABS(SIN(H22)))))*COS(H22))</f>
        <v>1077.9054746702082</v>
      </c>
      <c r="J22" s="52">
        <f>IF(G22="",0,IF(shp=1,IF(AND(ABS(SIN(H22))&gt;0.0000001,MAX(1,hthan*500-'KT THAN'!$D$12)*ABS(COS(H22))/ABS(SIN(H22))&lt;=MAX(0,(bthan-hthan)*500)),MAX(1,hthan*500-'KT THAN'!$D$12)/ABS(SIN(H22)),MAX(0,(bthan-hthan)*500)*ABS(COS(H22))+SQRT(MAX(0,MAX(1,hthan*500-'KT THAN'!$D$12)^2-MAX(0,(bthan-hthan)*500)^2*SIN(H22)^2))),MIN((bthan*500-'KT THAN'!$D$12)/MAX(0.0000001,ABS(COS(H22))),(hthan*500-'KT THAN'!$D$12)/MAX(0.0000001,ABS(SIN(H22)))))*SIN(H22))</f>
        <v>700</v>
      </c>
      <c r="K22" s="52">
        <f>IF(G22="",0,'KT THAN'!$D$11/'KT THAN'!$C$11)</f>
        <v>804.24771931898704</v>
      </c>
      <c r="L22" s="52"/>
      <c r="M22" s="52">
        <f>hthan*1000*0.01*1.06^16</f>
        <v>40.645626954970773</v>
      </c>
      <c r="N22" s="52">
        <f t="shared" si="3"/>
        <v>-53530.035790966831</v>
      </c>
      <c r="O22" s="52">
        <f t="shared" si="4"/>
        <v>3412.0019999999995</v>
      </c>
      <c r="P22" s="52">
        <f t="shared" si="5"/>
        <v>-0.10771301729421769</v>
      </c>
      <c r="Q22" s="52">
        <f t="shared" si="6"/>
        <v>0.9</v>
      </c>
      <c r="R22" s="52">
        <f>Q22*MIN(N22,0.8*(0.85*fc_*(Agth*1000000-'KT THAN'!$D$11)+fy_*'KT THAN'!$D$11)/1000)</f>
        <v>-48177.032211870152</v>
      </c>
      <c r="S22" s="52">
        <f t="shared" si="7"/>
        <v>3070.8017999999997</v>
      </c>
      <c r="T22" s="52"/>
      <c r="U22" s="52">
        <f>bthan*1000*0.01*1.06^16</f>
        <v>139.71934265771202</v>
      </c>
      <c r="V22" s="52">
        <f t="shared" si="8"/>
        <v>-56304.869058337375</v>
      </c>
      <c r="W22" s="52">
        <f t="shared" si="9"/>
        <v>4318.9243076374532</v>
      </c>
      <c r="X22" s="52">
        <f t="shared" si="10"/>
        <v>-0.11291391066357934</v>
      </c>
      <c r="Y22" s="52">
        <f t="shared" si="11"/>
        <v>0.9</v>
      </c>
      <c r="Z22" s="52">
        <f>Y22*MIN(V22,0.8*(0.85*fc_*(Agth*1000000-'KT THAN'!$D$11)+fy_*'KT THAN'!$D$11)/1000)</f>
        <v>-50674.38215250364</v>
      </c>
      <c r="AA22" s="52">
        <f t="shared" si="12"/>
        <v>3887.0318768737079</v>
      </c>
      <c r="AB22" s="52"/>
      <c r="AC22" s="52">
        <f>SMALL($R$6:$R$125,ROWS($AC$6:AC22))</f>
        <v>-48177.032211870152</v>
      </c>
      <c r="AD22" s="52">
        <f t="shared" si="13"/>
        <v>3070.8017999999997</v>
      </c>
      <c r="AE22" s="52">
        <f>SMALL($Z$6:$Z$125,ROWS($AE$6:AE22))</f>
        <v>-50600.552211870148</v>
      </c>
      <c r="AF22" s="52">
        <f t="shared" si="14"/>
        <v>4082.1165000000019</v>
      </c>
      <c r="AG22" s="52">
        <f>SMALL($AK$6:$AK$125,ROWS($AG$6:AG22))</f>
        <v>9.9999999999999997E+98</v>
      </c>
      <c r="AH22" s="52">
        <f t="shared" si="15"/>
        <v>-50196.63221187015</v>
      </c>
      <c r="AI22" s="52">
        <f>SMALL($AL$6:$AL$125,ROWS($AI$6:AI22))</f>
        <v>9.9999999999999997E+98</v>
      </c>
      <c r="AJ22" s="52">
        <f t="shared" si="16"/>
        <v>-52115.252211870153</v>
      </c>
      <c r="AK22" s="52">
        <f t="shared" si="17"/>
        <v>9.9999999999999997E+98</v>
      </c>
      <c r="AL22" s="52">
        <f t="shared" si="18"/>
        <v>9.9999999999999997E+98</v>
      </c>
      <c r="AM22" s="52">
        <f t="shared" si="19"/>
        <v>0</v>
      </c>
      <c r="AN22" s="52">
        <f t="shared" si="20"/>
        <v>0</v>
      </c>
    </row>
    <row r="23" spans="1:40" x14ac:dyDescent="0.3">
      <c r="A23" s="52">
        <v>18</v>
      </c>
      <c r="B23" s="52">
        <f>-bthan*500+(17+0.5)*bthan*1000/50</f>
        <v>-825</v>
      </c>
      <c r="C23" s="52">
        <f t="shared" si="0"/>
        <v>-790</v>
      </c>
      <c r="D23" s="52">
        <f t="shared" si="1"/>
        <v>2200</v>
      </c>
      <c r="E23" s="52">
        <f t="shared" si="2"/>
        <v>1</v>
      </c>
      <c r="F23" s="52"/>
      <c r="G23" s="52">
        <f>IF(18&lt;='KT THAN'!$C$11,18,"")</f>
        <v>18</v>
      </c>
      <c r="H23" s="52">
        <f>IF(G23="",0,2*PI()*(G23-0.5)/'KT THAN'!$C$11)</f>
        <v>0.6108652381980153</v>
      </c>
      <c r="I23" s="52">
        <f>IF(G23="",0,IF(shp=1,IF(AND(ABS(SIN(H23))&gt;0.0000001,MAX(1,hthan*500-'KT THAN'!$D$12)*ABS(COS(H23))/ABS(SIN(H23))&lt;=MAX(0,(bthan-hthan)*500)),MAX(1,hthan*500-'KT THAN'!$D$12)/ABS(SIN(H23)),MAX(0,(bthan-hthan)*500)*ABS(COS(H23))+SQRT(MAX(0,MAX(1,hthan*500-'KT THAN'!$D$12)^2-MAX(0,(bthan-hthan)*500)^2*SIN(H23)^2))),MIN((bthan*500-'KT THAN'!$D$12)/MAX(0.0000001,ABS(COS(H23))),(hthan*500-'KT THAN'!$D$12)/MAX(0.0000001,ABS(SIN(H23)))))*COS(H23))</f>
        <v>999.70360471948038</v>
      </c>
      <c r="J23" s="52">
        <f>IF(G23="",0,IF(shp=1,IF(AND(ABS(SIN(H23))&gt;0.0000001,MAX(1,hthan*500-'KT THAN'!$D$12)*ABS(COS(H23))/ABS(SIN(H23))&lt;=MAX(0,(bthan-hthan)*500)),MAX(1,hthan*500-'KT THAN'!$D$12)/ABS(SIN(H23)),MAX(0,(bthan-hthan)*500)*ABS(COS(H23))+SQRT(MAX(0,MAX(1,hthan*500-'KT THAN'!$D$12)^2-MAX(0,(bthan-hthan)*500)^2*SIN(H23)^2))),MIN((bthan*500-'KT THAN'!$D$12)/MAX(0.0000001,ABS(COS(H23))),(hthan*500-'KT THAN'!$D$12)/MAX(0.0000001,ABS(SIN(H23)))))*SIN(H23))</f>
        <v>700.00000000000011</v>
      </c>
      <c r="K23" s="52">
        <f>IF(G23="",0,'KT THAN'!$D$11/'KT THAN'!$C$11)</f>
        <v>804.24771931898704</v>
      </c>
      <c r="L23" s="52"/>
      <c r="M23" s="52">
        <f>hthan*1000*0.01*1.06^17</f>
        <v>43.084364572269024</v>
      </c>
      <c r="N23" s="52">
        <f t="shared" si="3"/>
        <v>-53530.035790966831</v>
      </c>
      <c r="O23" s="52">
        <f t="shared" si="4"/>
        <v>3412.0019999999995</v>
      </c>
      <c r="P23" s="52">
        <f t="shared" si="5"/>
        <v>-0.10144624273039404</v>
      </c>
      <c r="Q23" s="52">
        <f t="shared" si="6"/>
        <v>0.9</v>
      </c>
      <c r="R23" s="52">
        <f>Q23*MIN(N23,0.8*(0.85*fc_*(Agth*1000000-'KT THAN'!$D$11)+fy_*'KT THAN'!$D$11)/1000)</f>
        <v>-48177.032211870152</v>
      </c>
      <c r="S23" s="52">
        <f t="shared" si="7"/>
        <v>3070.8017999999997</v>
      </c>
      <c r="T23" s="52"/>
      <c r="U23" s="52">
        <f>bthan*1000*0.01*1.06^17</f>
        <v>148.10250321717476</v>
      </c>
      <c r="V23" s="52">
        <f t="shared" si="8"/>
        <v>-56304.869058337375</v>
      </c>
      <c r="W23" s="52">
        <f t="shared" si="9"/>
        <v>4318.9243076374532</v>
      </c>
      <c r="X23" s="52">
        <f t="shared" si="10"/>
        <v>-0.10635274590903711</v>
      </c>
      <c r="Y23" s="52">
        <f t="shared" si="11"/>
        <v>0.9</v>
      </c>
      <c r="Z23" s="52">
        <f>Y23*MIN(V23,0.8*(0.85*fc_*(Agth*1000000-'KT THAN'!$D$11)+fy_*'KT THAN'!$D$11)/1000)</f>
        <v>-50674.38215250364</v>
      </c>
      <c r="AA23" s="52">
        <f t="shared" si="12"/>
        <v>3887.0318768737079</v>
      </c>
      <c r="AB23" s="52"/>
      <c r="AC23" s="52">
        <f>SMALL($R$6:$R$125,ROWS($AC$6:AC23))</f>
        <v>-48177.032211870152</v>
      </c>
      <c r="AD23" s="52">
        <f t="shared" si="13"/>
        <v>3070.8017999999997</v>
      </c>
      <c r="AE23" s="52">
        <f>SMALL($Z$6:$Z$125,ROWS($AE$6:AE23))</f>
        <v>-50600.552211870148</v>
      </c>
      <c r="AF23" s="52">
        <f t="shared" si="14"/>
        <v>4082.1165000000019</v>
      </c>
      <c r="AG23" s="52">
        <f>SMALL($AK$6:$AK$125,ROWS($AG$6:AG23))</f>
        <v>9.9999999999999997E+98</v>
      </c>
      <c r="AH23" s="52">
        <f t="shared" si="15"/>
        <v>-50196.63221187015</v>
      </c>
      <c r="AI23" s="52">
        <f>SMALL($AL$6:$AL$125,ROWS($AI$6:AI23))</f>
        <v>9.9999999999999997E+98</v>
      </c>
      <c r="AJ23" s="52">
        <f t="shared" si="16"/>
        <v>-52115.252211870153</v>
      </c>
      <c r="AK23" s="52">
        <f t="shared" si="17"/>
        <v>9.9999999999999997E+98</v>
      </c>
      <c r="AL23" s="52">
        <f t="shared" si="18"/>
        <v>9.9999999999999997E+98</v>
      </c>
      <c r="AM23" s="52">
        <f t="shared" si="19"/>
        <v>0</v>
      </c>
      <c r="AN23" s="52">
        <f t="shared" si="20"/>
        <v>0</v>
      </c>
    </row>
    <row r="24" spans="1:40" x14ac:dyDescent="0.3">
      <c r="A24" s="52">
        <v>19</v>
      </c>
      <c r="B24" s="52">
        <f>-bthan*500+(18+0.5)*bthan*1000/50</f>
        <v>-715</v>
      </c>
      <c r="C24" s="52">
        <f t="shared" si="0"/>
        <v>-790</v>
      </c>
      <c r="D24" s="52">
        <f t="shared" si="1"/>
        <v>2200</v>
      </c>
      <c r="E24" s="52">
        <f t="shared" si="2"/>
        <v>1</v>
      </c>
      <c r="F24" s="52"/>
      <c r="G24" s="52">
        <f>IF(19&lt;='KT THAN'!$C$11,19,"")</f>
        <v>19</v>
      </c>
      <c r="H24" s="52">
        <f>IF(G24="",0,2*PI()*(G24-0.5)/'KT THAN'!$C$11)</f>
        <v>0.64577182323790194</v>
      </c>
      <c r="I24" s="52">
        <f>IF(G24="",0,IF(shp=1,IF(AND(ABS(SIN(H24))&gt;0.0000001,MAX(1,hthan*500-'KT THAN'!$D$12)*ABS(COS(H24))/ABS(SIN(H24))&lt;=MAX(0,(bthan-hthan)*500)),MAX(1,hthan*500-'KT THAN'!$D$12)/ABS(SIN(H24)),MAX(0,(bthan-hthan)*500)*ABS(COS(H24))+SQRT(MAX(0,MAX(1,hthan*500-'KT THAN'!$D$12)^2-MAX(0,(bthan-hthan)*500)^2*SIN(H24)^2))),MIN((bthan*500-'KT THAN'!$D$12)/MAX(0.0000001,ABS(COS(H24))),(hthan*500-'KT THAN'!$D$12)/MAX(0.0000001,ABS(SIN(H24)))))*COS(H24))</f>
        <v>928.93137513428701</v>
      </c>
      <c r="J24" s="52">
        <f>IF(G24="",0,IF(shp=1,IF(AND(ABS(SIN(H24))&gt;0.0000001,MAX(1,hthan*500-'KT THAN'!$D$12)*ABS(COS(H24))/ABS(SIN(H24))&lt;=MAX(0,(bthan-hthan)*500)),MAX(1,hthan*500-'KT THAN'!$D$12)/ABS(SIN(H24)),MAX(0,(bthan-hthan)*500)*ABS(COS(H24))+SQRT(MAX(0,MAX(1,hthan*500-'KT THAN'!$D$12)^2-MAX(0,(bthan-hthan)*500)^2*SIN(H24)^2))),MIN((bthan*500-'KT THAN'!$D$12)/MAX(0.0000001,ABS(COS(H24))),(hthan*500-'KT THAN'!$D$12)/MAX(0.0000001,ABS(SIN(H24)))))*SIN(H24))</f>
        <v>700</v>
      </c>
      <c r="K24" s="52">
        <f>IF(G24="",0,'KT THAN'!$D$11/'KT THAN'!$C$11)</f>
        <v>804.24771931898704</v>
      </c>
      <c r="L24" s="52"/>
      <c r="M24" s="52">
        <f>hthan*1000*0.01*1.06^18</f>
        <v>45.669426446605165</v>
      </c>
      <c r="N24" s="52">
        <f t="shared" si="3"/>
        <v>-53530.035790966831</v>
      </c>
      <c r="O24" s="52">
        <f t="shared" si="4"/>
        <v>3412.0019999999995</v>
      </c>
      <c r="P24" s="52">
        <f t="shared" si="5"/>
        <v>-9.5534191255088705E-2</v>
      </c>
      <c r="Q24" s="52">
        <f t="shared" si="6"/>
        <v>0.9</v>
      </c>
      <c r="R24" s="52">
        <f>Q24*MIN(N24,0.8*(0.85*fc_*(Agth*1000000-'KT THAN'!$D$11)+fy_*'KT THAN'!$D$11)/1000)</f>
        <v>-48177.032211870152</v>
      </c>
      <c r="S24" s="52">
        <f t="shared" si="7"/>
        <v>3070.8017999999997</v>
      </c>
      <c r="T24" s="52"/>
      <c r="U24" s="52">
        <f>bthan*1000*0.01*1.06^18</f>
        <v>156.98865341020525</v>
      </c>
      <c r="V24" s="52">
        <f t="shared" si="8"/>
        <v>-56304.869058337375</v>
      </c>
      <c r="W24" s="52">
        <f t="shared" si="9"/>
        <v>4318.9243076374532</v>
      </c>
      <c r="X24" s="52">
        <f t="shared" si="10"/>
        <v>-0.10016296783871424</v>
      </c>
      <c r="Y24" s="52">
        <f t="shared" si="11"/>
        <v>0.9</v>
      </c>
      <c r="Z24" s="52">
        <f>Y24*MIN(V24,0.8*(0.85*fc_*(Agth*1000000-'KT THAN'!$D$11)+fy_*'KT THAN'!$D$11)/1000)</f>
        <v>-50674.38215250364</v>
      </c>
      <c r="AA24" s="52">
        <f t="shared" si="12"/>
        <v>3887.0318768737079</v>
      </c>
      <c r="AB24" s="52"/>
      <c r="AC24" s="52">
        <f>SMALL($R$6:$R$125,ROWS($AC$6:AC24))</f>
        <v>-48177.032211870152</v>
      </c>
      <c r="AD24" s="52">
        <f t="shared" si="13"/>
        <v>3070.8017999999997</v>
      </c>
      <c r="AE24" s="52">
        <f>SMALL($Z$6:$Z$125,ROWS($AE$6:AE24))</f>
        <v>-50600.552211870148</v>
      </c>
      <c r="AF24" s="52">
        <f t="shared" si="14"/>
        <v>4082.1165000000019</v>
      </c>
      <c r="AG24" s="52">
        <f>SMALL($AK$6:$AK$125,ROWS($AG$6:AG24))</f>
        <v>9.9999999999999997E+98</v>
      </c>
      <c r="AH24" s="52">
        <f t="shared" si="15"/>
        <v>-50196.63221187015</v>
      </c>
      <c r="AI24" s="52">
        <f>SMALL($AL$6:$AL$125,ROWS($AI$6:AI24))</f>
        <v>9.9999999999999997E+98</v>
      </c>
      <c r="AJ24" s="52">
        <f t="shared" si="16"/>
        <v>-52115.252211870153</v>
      </c>
      <c r="AK24" s="52">
        <f t="shared" si="17"/>
        <v>9.9999999999999997E+98</v>
      </c>
      <c r="AL24" s="52">
        <f t="shared" si="18"/>
        <v>9.9999999999999997E+98</v>
      </c>
      <c r="AM24" s="52">
        <f t="shared" si="19"/>
        <v>0</v>
      </c>
      <c r="AN24" s="52">
        <f t="shared" si="20"/>
        <v>0</v>
      </c>
    </row>
    <row r="25" spans="1:40" x14ac:dyDescent="0.3">
      <c r="A25" s="52">
        <v>20</v>
      </c>
      <c r="B25" s="52">
        <f>-bthan*500+(19+0.5)*bthan*1000/50</f>
        <v>-605</v>
      </c>
      <c r="C25" s="52">
        <f t="shared" si="0"/>
        <v>-790</v>
      </c>
      <c r="D25" s="52">
        <f t="shared" si="1"/>
        <v>2200</v>
      </c>
      <c r="E25" s="52">
        <f t="shared" si="2"/>
        <v>1</v>
      </c>
      <c r="F25" s="52"/>
      <c r="G25" s="52">
        <f>IF(20&lt;='KT THAN'!$C$11,20,"")</f>
        <v>20</v>
      </c>
      <c r="H25" s="52">
        <f>IF(G25="",0,2*PI()*(G25-0.5)/'KT THAN'!$C$11)</f>
        <v>0.68067840827778847</v>
      </c>
      <c r="I25" s="52">
        <f>IF(G25="",0,IF(shp=1,IF(AND(ABS(SIN(H25))&gt;0.0000001,MAX(1,hthan*500-'KT THAN'!$D$12)*ABS(COS(H25))/ABS(SIN(H25))&lt;=MAX(0,(bthan-hthan)*500)),MAX(1,hthan*500-'KT THAN'!$D$12)/ABS(SIN(H25)),MAX(0,(bthan-hthan)*500)*ABS(COS(H25))+SQRT(MAX(0,MAX(1,hthan*500-'KT THAN'!$D$12)^2-MAX(0,(bthan-hthan)*500)^2*SIN(H25)^2))),MIN((bthan*500-'KT THAN'!$D$12)/MAX(0.0000001,ABS(COS(H25))),(hthan*500-'KT THAN'!$D$12)/MAX(0.0000001,ABS(SIN(H25)))))*COS(H25))</f>
        <v>864.42800957453608</v>
      </c>
      <c r="J25" s="52">
        <f>IF(G25="",0,IF(shp=1,IF(AND(ABS(SIN(H25))&gt;0.0000001,MAX(1,hthan*500-'KT THAN'!$D$12)*ABS(COS(H25))/ABS(SIN(H25))&lt;=MAX(0,(bthan-hthan)*500)),MAX(1,hthan*500-'KT THAN'!$D$12)/ABS(SIN(H25)),MAX(0,(bthan-hthan)*500)*ABS(COS(H25))+SQRT(MAX(0,MAX(1,hthan*500-'KT THAN'!$D$12)^2-MAX(0,(bthan-hthan)*500)^2*SIN(H25)^2))),MIN((bthan*500-'KT THAN'!$D$12)/MAX(0.0000001,ABS(COS(H25))),(hthan*500-'KT THAN'!$D$12)/MAX(0.0000001,ABS(SIN(H25)))))*SIN(H25))</f>
        <v>700</v>
      </c>
      <c r="K25" s="52">
        <f>IF(G25="",0,'KT THAN'!$D$11/'KT THAN'!$C$11)</f>
        <v>804.24771931898704</v>
      </c>
      <c r="L25" s="52"/>
      <c r="M25" s="52">
        <f>hthan*1000*0.01*1.06^19</f>
        <v>48.409592033401481</v>
      </c>
      <c r="N25" s="52">
        <f t="shared" si="3"/>
        <v>-53530.035790966831</v>
      </c>
      <c r="O25" s="52">
        <f t="shared" si="4"/>
        <v>3412.0019999999995</v>
      </c>
      <c r="P25" s="52">
        <f t="shared" si="5"/>
        <v>-8.9956784202913878E-2</v>
      </c>
      <c r="Q25" s="52">
        <f t="shared" si="6"/>
        <v>0.9</v>
      </c>
      <c r="R25" s="52">
        <f>Q25*MIN(N25,0.8*(0.85*fc_*(Agth*1000000-'KT THAN'!$D$11)+fy_*'KT THAN'!$D$11)/1000)</f>
        <v>-48177.032211870152</v>
      </c>
      <c r="S25" s="52">
        <f t="shared" si="7"/>
        <v>3070.8017999999997</v>
      </c>
      <c r="T25" s="52"/>
      <c r="U25" s="52">
        <f>bthan*1000*0.01*1.06^19</f>
        <v>166.4079726148176</v>
      </c>
      <c r="V25" s="52">
        <f t="shared" si="8"/>
        <v>-56345.885692022654</v>
      </c>
      <c r="W25" s="52">
        <f t="shared" si="9"/>
        <v>4211.8028641594474</v>
      </c>
      <c r="X25" s="52">
        <f t="shared" si="10"/>
        <v>-9.4323554564824746E-2</v>
      </c>
      <c r="Y25" s="52">
        <f t="shared" si="11"/>
        <v>0.9</v>
      </c>
      <c r="Z25" s="52">
        <f>Y25*MIN(V25,0.8*(0.85*fc_*(Agth*1000000-'KT THAN'!$D$11)+fy_*'KT THAN'!$D$11)/1000)</f>
        <v>-50711.29712282039</v>
      </c>
      <c r="AA25" s="52">
        <f t="shared" si="12"/>
        <v>3790.6225777435029</v>
      </c>
      <c r="AB25" s="52"/>
      <c r="AC25" s="52">
        <f>SMALL($R$6:$R$125,ROWS($AC$6:AC25))</f>
        <v>-48177.032211870152</v>
      </c>
      <c r="AD25" s="52">
        <f t="shared" si="13"/>
        <v>3070.8017999999997</v>
      </c>
      <c r="AE25" s="52">
        <f>SMALL($Z$6:$Z$125,ROWS($AE$6:AE25))</f>
        <v>-50600.552211870148</v>
      </c>
      <c r="AF25" s="52">
        <f t="shared" si="14"/>
        <v>4082.1165000000019</v>
      </c>
      <c r="AG25" s="52">
        <f>SMALL($AK$6:$AK$125,ROWS($AG$6:AG25))</f>
        <v>9.9999999999999997E+98</v>
      </c>
      <c r="AH25" s="52">
        <f t="shared" si="15"/>
        <v>-50196.63221187015</v>
      </c>
      <c r="AI25" s="52">
        <f>SMALL($AL$6:$AL$125,ROWS($AI$6:AI25))</f>
        <v>9.9999999999999997E+98</v>
      </c>
      <c r="AJ25" s="52">
        <f t="shared" si="16"/>
        <v>-52115.252211870153</v>
      </c>
      <c r="AK25" s="52">
        <f t="shared" si="17"/>
        <v>9.9999999999999997E+98</v>
      </c>
      <c r="AL25" s="52">
        <f t="shared" si="18"/>
        <v>9.9999999999999997E+98</v>
      </c>
      <c r="AM25" s="52">
        <f t="shared" si="19"/>
        <v>0</v>
      </c>
      <c r="AN25" s="52">
        <f t="shared" si="20"/>
        <v>0</v>
      </c>
    </row>
    <row r="26" spans="1:40" x14ac:dyDescent="0.3">
      <c r="A26" s="52">
        <v>21</v>
      </c>
      <c r="B26" s="52">
        <f>-bthan*500+(20+0.5)*bthan*1000/50</f>
        <v>-495</v>
      </c>
      <c r="C26" s="52">
        <f t="shared" si="0"/>
        <v>-790</v>
      </c>
      <c r="D26" s="52">
        <f t="shared" si="1"/>
        <v>2200</v>
      </c>
      <c r="E26" s="52">
        <f t="shared" si="2"/>
        <v>1</v>
      </c>
      <c r="F26" s="52"/>
      <c r="G26" s="52">
        <f>IF(21&lt;='KT THAN'!$C$11,21,"")</f>
        <v>21</v>
      </c>
      <c r="H26" s="52">
        <f>IF(G26="",0,2*PI()*(G26-0.5)/'KT THAN'!$C$11)</f>
        <v>0.715584993317675</v>
      </c>
      <c r="I26" s="52">
        <f>IF(G26="",0,IF(shp=1,IF(AND(ABS(SIN(H26))&gt;0.0000001,MAX(1,hthan*500-'KT THAN'!$D$12)*ABS(COS(H26))/ABS(SIN(H26))&lt;=MAX(0,(bthan-hthan)*500)),MAX(1,hthan*500-'KT THAN'!$D$12)/ABS(SIN(H26)),MAX(0,(bthan-hthan)*500)*ABS(COS(H26))+SQRT(MAX(0,MAX(1,hthan*500-'KT THAN'!$D$12)^2-MAX(0,(bthan-hthan)*500)^2*SIN(H26)^2))),MIN((bthan*500-'KT THAN'!$D$12)/MAX(0.0000001,ABS(COS(H26))),(hthan*500-'KT THAN'!$D$12)/MAX(0.0000001,ABS(SIN(H26)))))*COS(H26))</f>
        <v>805.25788505470689</v>
      </c>
      <c r="J26" s="52">
        <f>IF(G26="",0,IF(shp=1,IF(AND(ABS(SIN(H26))&gt;0.0000001,MAX(1,hthan*500-'KT THAN'!$D$12)*ABS(COS(H26))/ABS(SIN(H26))&lt;=MAX(0,(bthan-hthan)*500)),MAX(1,hthan*500-'KT THAN'!$D$12)/ABS(SIN(H26)),MAX(0,(bthan-hthan)*500)*ABS(COS(H26))+SQRT(MAX(0,MAX(1,hthan*500-'KT THAN'!$D$12)^2-MAX(0,(bthan-hthan)*500)^2*SIN(H26)^2))),MIN((bthan*500-'KT THAN'!$D$12)/MAX(0.0000001,ABS(COS(H26))),(hthan*500-'KT THAN'!$D$12)/MAX(0.0000001,ABS(SIN(H26)))))*SIN(H26))</f>
        <v>700</v>
      </c>
      <c r="K26" s="52">
        <f>IF(G26="",0,'KT THAN'!$D$11/'KT THAN'!$C$11)</f>
        <v>804.24771931898704</v>
      </c>
      <c r="L26" s="52"/>
      <c r="M26" s="52">
        <f>hthan*1000*0.01*1.06^20</f>
        <v>51.314167555405568</v>
      </c>
      <c r="N26" s="52">
        <f t="shared" si="3"/>
        <v>-53530.035790966831</v>
      </c>
      <c r="O26" s="52">
        <f t="shared" si="4"/>
        <v>3412.0019999999995</v>
      </c>
      <c r="P26" s="52">
        <f t="shared" si="5"/>
        <v>-8.4695079436711201E-2</v>
      </c>
      <c r="Q26" s="52">
        <f t="shared" si="6"/>
        <v>0.9</v>
      </c>
      <c r="R26" s="52">
        <f>Q26*MIN(N26,0.8*(0.85*fc_*(Agth*1000000-'KT THAN'!$D$11)+fy_*'KT THAN'!$D$11)/1000)</f>
        <v>-48177.032211870152</v>
      </c>
      <c r="S26" s="52">
        <f t="shared" si="7"/>
        <v>3070.8017999999997</v>
      </c>
      <c r="T26" s="52"/>
      <c r="U26" s="52">
        <f>bthan*1000*0.01*1.06^20</f>
        <v>176.39245097170664</v>
      </c>
      <c r="V26" s="52">
        <f t="shared" si="8"/>
        <v>-56345.885692022654</v>
      </c>
      <c r="W26" s="52">
        <f t="shared" si="9"/>
        <v>4211.8028641594474</v>
      </c>
      <c r="X26" s="52">
        <f t="shared" si="10"/>
        <v>-8.8814674117759201E-2</v>
      </c>
      <c r="Y26" s="52">
        <f t="shared" si="11"/>
        <v>0.9</v>
      </c>
      <c r="Z26" s="52">
        <f>Y26*MIN(V26,0.8*(0.85*fc_*(Agth*1000000-'KT THAN'!$D$11)+fy_*'KT THAN'!$D$11)/1000)</f>
        <v>-50711.29712282039</v>
      </c>
      <c r="AA26" s="52">
        <f t="shared" si="12"/>
        <v>3790.6225777435029</v>
      </c>
      <c r="AB26" s="52"/>
      <c r="AC26" s="52">
        <f>SMALL($R$6:$R$125,ROWS($AC$6:AC26))</f>
        <v>-48177.032211870152</v>
      </c>
      <c r="AD26" s="52">
        <f t="shared" si="13"/>
        <v>3070.8017999999997</v>
      </c>
      <c r="AE26" s="52">
        <f>SMALL($Z$6:$Z$125,ROWS($AE$6:AE26))</f>
        <v>-50600.552211870148</v>
      </c>
      <c r="AF26" s="52">
        <f t="shared" si="14"/>
        <v>4082.1165000000019</v>
      </c>
      <c r="AG26" s="52">
        <f>SMALL($AK$6:$AK$125,ROWS($AG$6:AG26))</f>
        <v>9.9999999999999997E+98</v>
      </c>
      <c r="AH26" s="52">
        <f t="shared" si="15"/>
        <v>-50196.63221187015</v>
      </c>
      <c r="AI26" s="52">
        <f>SMALL($AL$6:$AL$125,ROWS($AI$6:AI26))</f>
        <v>9.9999999999999997E+98</v>
      </c>
      <c r="AJ26" s="52">
        <f t="shared" si="16"/>
        <v>-52115.252211870153</v>
      </c>
      <c r="AK26" s="52">
        <f t="shared" si="17"/>
        <v>9.9999999999999997E+98</v>
      </c>
      <c r="AL26" s="52">
        <f t="shared" si="18"/>
        <v>9.9999999999999997E+98</v>
      </c>
      <c r="AM26" s="52">
        <f t="shared" si="19"/>
        <v>0</v>
      </c>
      <c r="AN26" s="52">
        <f t="shared" si="20"/>
        <v>0</v>
      </c>
    </row>
    <row r="27" spans="1:40" x14ac:dyDescent="0.3">
      <c r="A27" s="52">
        <v>22</v>
      </c>
      <c r="B27" s="52">
        <f>-bthan*500+(21+0.5)*bthan*1000/50</f>
        <v>-385</v>
      </c>
      <c r="C27" s="52">
        <f t="shared" si="0"/>
        <v>-790</v>
      </c>
      <c r="D27" s="52">
        <f t="shared" si="1"/>
        <v>2200</v>
      </c>
      <c r="E27" s="52">
        <f t="shared" si="2"/>
        <v>1</v>
      </c>
      <c r="F27" s="52"/>
      <c r="G27" s="52">
        <f>IF(22&lt;='KT THAN'!$C$11,22,"")</f>
        <v>22</v>
      </c>
      <c r="H27" s="52">
        <f>IF(G27="",0,2*PI()*(G27-0.5)/'KT THAN'!$C$11)</f>
        <v>0.75049157835756164</v>
      </c>
      <c r="I27" s="52">
        <f>IF(G27="",0,IF(shp=1,IF(AND(ABS(SIN(H27))&gt;0.0000001,MAX(1,hthan*500-'KT THAN'!$D$12)*ABS(COS(H27))/ABS(SIN(H27))&lt;=MAX(0,(bthan-hthan)*500)),MAX(1,hthan*500-'KT THAN'!$D$12)/ABS(SIN(H27)),MAX(0,(bthan-hthan)*500)*ABS(COS(H27))+SQRT(MAX(0,MAX(1,hthan*500-'KT THAN'!$D$12)^2-MAX(0,(bthan-hthan)*500)^2*SIN(H27)^2))),MIN((bthan*500-'KT THAN'!$D$12)/MAX(0.0000001,ABS(COS(H27))),(hthan*500-'KT THAN'!$D$12)/MAX(0.0000001,ABS(SIN(H27)))))*COS(H27))</f>
        <v>750.6580970172779</v>
      </c>
      <c r="J27" s="52">
        <f>IF(G27="",0,IF(shp=1,IF(AND(ABS(SIN(H27))&gt;0.0000001,MAX(1,hthan*500-'KT THAN'!$D$12)*ABS(COS(H27))/ABS(SIN(H27))&lt;=MAX(0,(bthan-hthan)*500)),MAX(1,hthan*500-'KT THAN'!$D$12)/ABS(SIN(H27)),MAX(0,(bthan-hthan)*500)*ABS(COS(H27))+SQRT(MAX(0,MAX(1,hthan*500-'KT THAN'!$D$12)^2-MAX(0,(bthan-hthan)*500)^2*SIN(H27)^2))),MIN((bthan*500-'KT THAN'!$D$12)/MAX(0.0000001,ABS(COS(H27))),(hthan*500-'KT THAN'!$D$12)/MAX(0.0000001,ABS(SIN(H27)))))*SIN(H27))</f>
        <v>700</v>
      </c>
      <c r="K27" s="52">
        <f>IF(G27="",0,'KT THAN'!$D$11/'KT THAN'!$C$11)</f>
        <v>804.24771931898704</v>
      </c>
      <c r="L27" s="52"/>
      <c r="M27" s="52">
        <f>hthan*1000*0.01*1.06^21</f>
        <v>54.393017608729913</v>
      </c>
      <c r="N27" s="52">
        <f t="shared" si="3"/>
        <v>-53530.035790966831</v>
      </c>
      <c r="O27" s="52">
        <f t="shared" si="4"/>
        <v>3412.0019999999995</v>
      </c>
      <c r="P27" s="52">
        <f t="shared" si="5"/>
        <v>-7.9731207015765262E-2</v>
      </c>
      <c r="Q27" s="52">
        <f t="shared" si="6"/>
        <v>0.9</v>
      </c>
      <c r="R27" s="52">
        <f>Q27*MIN(N27,0.8*(0.85*fc_*(Agth*1000000-'KT THAN'!$D$11)+fy_*'KT THAN'!$D$11)/1000)</f>
        <v>-48177.032211870152</v>
      </c>
      <c r="S27" s="52">
        <f t="shared" si="7"/>
        <v>3070.8017999999997</v>
      </c>
      <c r="T27" s="52"/>
      <c r="U27" s="52">
        <f>bthan*1000*0.01*1.06^21</f>
        <v>186.97599803000907</v>
      </c>
      <c r="V27" s="52">
        <f t="shared" si="8"/>
        <v>-56345.885692022654</v>
      </c>
      <c r="W27" s="52">
        <f t="shared" si="9"/>
        <v>4211.8028641594474</v>
      </c>
      <c r="X27" s="52">
        <f t="shared" si="10"/>
        <v>-8.3617617092225649E-2</v>
      </c>
      <c r="Y27" s="52">
        <f t="shared" si="11"/>
        <v>0.9</v>
      </c>
      <c r="Z27" s="52">
        <f>Y27*MIN(V27,0.8*(0.85*fc_*(Agth*1000000-'KT THAN'!$D$11)+fy_*'KT THAN'!$D$11)/1000)</f>
        <v>-50711.29712282039</v>
      </c>
      <c r="AA27" s="52">
        <f t="shared" si="12"/>
        <v>3790.6225777435029</v>
      </c>
      <c r="AB27" s="52"/>
      <c r="AC27" s="52">
        <f>SMALL($R$6:$R$125,ROWS($AC$6:AC27))</f>
        <v>-48177.032211870152</v>
      </c>
      <c r="AD27" s="52">
        <f t="shared" si="13"/>
        <v>3070.8017999999997</v>
      </c>
      <c r="AE27" s="52">
        <f>SMALL($Z$6:$Z$125,ROWS($AE$6:AE27))</f>
        <v>-50600.552211870148</v>
      </c>
      <c r="AF27" s="52">
        <f t="shared" si="14"/>
        <v>4082.1165000000019</v>
      </c>
      <c r="AG27" s="52">
        <f>SMALL($AK$6:$AK$125,ROWS($AG$6:AG27))</f>
        <v>9.9999999999999997E+98</v>
      </c>
      <c r="AH27" s="52">
        <f t="shared" si="15"/>
        <v>-50196.63221187015</v>
      </c>
      <c r="AI27" s="52">
        <f>SMALL($AL$6:$AL$125,ROWS($AI$6:AI27))</f>
        <v>9.9999999999999997E+98</v>
      </c>
      <c r="AJ27" s="52">
        <f t="shared" si="16"/>
        <v>-52115.252211870153</v>
      </c>
      <c r="AK27" s="52">
        <f t="shared" si="17"/>
        <v>9.9999999999999997E+98</v>
      </c>
      <c r="AL27" s="52">
        <f t="shared" si="18"/>
        <v>9.9999999999999997E+98</v>
      </c>
      <c r="AM27" s="52">
        <f t="shared" si="19"/>
        <v>0</v>
      </c>
      <c r="AN27" s="52">
        <f t="shared" si="20"/>
        <v>0</v>
      </c>
    </row>
    <row r="28" spans="1:40" x14ac:dyDescent="0.3">
      <c r="A28" s="52">
        <v>23</v>
      </c>
      <c r="B28" s="52">
        <f>-bthan*500+(22+0.5)*bthan*1000/50</f>
        <v>-275</v>
      </c>
      <c r="C28" s="52">
        <f t="shared" si="0"/>
        <v>-790</v>
      </c>
      <c r="D28" s="52">
        <f t="shared" si="1"/>
        <v>2200</v>
      </c>
      <c r="E28" s="52">
        <f t="shared" si="2"/>
        <v>1</v>
      </c>
      <c r="F28" s="52"/>
      <c r="G28" s="52">
        <f>IF(23&lt;='KT THAN'!$C$11,23,"")</f>
        <v>23</v>
      </c>
      <c r="H28" s="52">
        <f>IF(G28="",0,2*PI()*(G28-0.5)/'KT THAN'!$C$11)</f>
        <v>0.78539816339744828</v>
      </c>
      <c r="I28" s="52">
        <f>IF(G28="",0,IF(shp=1,IF(AND(ABS(SIN(H28))&gt;0.0000001,MAX(1,hthan*500-'KT THAN'!$D$12)*ABS(COS(H28))/ABS(SIN(H28))&lt;=MAX(0,(bthan-hthan)*500)),MAX(1,hthan*500-'KT THAN'!$D$12)/ABS(SIN(H28)),MAX(0,(bthan-hthan)*500)*ABS(COS(H28))+SQRT(MAX(0,MAX(1,hthan*500-'KT THAN'!$D$12)^2-MAX(0,(bthan-hthan)*500)^2*SIN(H28)^2))),MIN((bthan*500-'KT THAN'!$D$12)/MAX(0.0000001,ABS(COS(H28))),(hthan*500-'KT THAN'!$D$12)/MAX(0.0000001,ABS(SIN(H28)))))*COS(H28))</f>
        <v>700.00000000000011</v>
      </c>
      <c r="J28" s="52">
        <f>IF(G28="",0,IF(shp=1,IF(AND(ABS(SIN(H28))&gt;0.0000001,MAX(1,hthan*500-'KT THAN'!$D$12)*ABS(COS(H28))/ABS(SIN(H28))&lt;=MAX(0,(bthan-hthan)*500)),MAX(1,hthan*500-'KT THAN'!$D$12)/ABS(SIN(H28)),MAX(0,(bthan-hthan)*500)*ABS(COS(H28))+SQRT(MAX(0,MAX(1,hthan*500-'KT THAN'!$D$12)^2-MAX(0,(bthan-hthan)*500)^2*SIN(H28)^2))),MIN((bthan*500-'KT THAN'!$D$12)/MAX(0.0000001,ABS(COS(H28))),(hthan*500-'KT THAN'!$D$12)/MAX(0.0000001,ABS(SIN(H28)))))*SIN(H28))</f>
        <v>700</v>
      </c>
      <c r="K28" s="52">
        <f>IF(G28="",0,'KT THAN'!$D$11/'KT THAN'!$C$11)</f>
        <v>804.24771931898704</v>
      </c>
      <c r="L28" s="52"/>
      <c r="M28" s="52">
        <f>hthan*1000*0.01*1.06^22</f>
        <v>57.656598665253711</v>
      </c>
      <c r="N28" s="52">
        <f t="shared" si="3"/>
        <v>-53530.035790966831</v>
      </c>
      <c r="O28" s="52">
        <f t="shared" si="4"/>
        <v>3412.0019999999995</v>
      </c>
      <c r="P28" s="52">
        <f t="shared" si="5"/>
        <v>-7.5048308505438935E-2</v>
      </c>
      <c r="Q28" s="52">
        <f t="shared" si="6"/>
        <v>0.9</v>
      </c>
      <c r="R28" s="52">
        <f>Q28*MIN(N28,0.8*(0.85*fc_*(Agth*1000000-'KT THAN'!$D$11)+fy_*'KT THAN'!$D$11)/1000)</f>
        <v>-48177.032211870152</v>
      </c>
      <c r="S28" s="52">
        <f t="shared" si="7"/>
        <v>3070.8017999999997</v>
      </c>
      <c r="T28" s="52"/>
      <c r="U28" s="52">
        <f>bthan*1000*0.01*1.06^22</f>
        <v>198.19455791180962</v>
      </c>
      <c r="V28" s="52">
        <f t="shared" si="8"/>
        <v>-53653.085692022651</v>
      </c>
      <c r="W28" s="52">
        <f t="shared" si="9"/>
        <v>11172.690864159447</v>
      </c>
      <c r="X28" s="52">
        <f t="shared" si="10"/>
        <v>-7.871473310587325E-2</v>
      </c>
      <c r="Y28" s="52">
        <f t="shared" si="11"/>
        <v>0.9</v>
      </c>
      <c r="Z28" s="52">
        <f>Y28*MIN(V28,0.8*(0.85*fc_*(Agth*1000000-'KT THAN'!$D$11)+fy_*'KT THAN'!$D$11)/1000)</f>
        <v>-48287.777122820386</v>
      </c>
      <c r="AA28" s="52">
        <f t="shared" si="12"/>
        <v>10055.421777743502</v>
      </c>
      <c r="AB28" s="52"/>
      <c r="AC28" s="52">
        <f>SMALL($R$6:$R$125,ROWS($AC$6:AC28))</f>
        <v>-48177.032211870152</v>
      </c>
      <c r="AD28" s="52">
        <f t="shared" si="13"/>
        <v>3070.8017999999997</v>
      </c>
      <c r="AE28" s="52">
        <f>SMALL($Z$6:$Z$125,ROWS($AE$6:AE28))</f>
        <v>-48361.60706345387</v>
      </c>
      <c r="AF28" s="52">
        <f t="shared" si="14"/>
        <v>9867.1880448751272</v>
      </c>
      <c r="AG28" s="52">
        <f>SMALL($AK$6:$AK$125,ROWS($AG$6:AG28))</f>
        <v>9.9999999999999997E+98</v>
      </c>
      <c r="AH28" s="52">
        <f t="shared" si="15"/>
        <v>-50196.63221187015</v>
      </c>
      <c r="AI28" s="52">
        <f>SMALL($AL$6:$AL$125,ROWS($AI$6:AI28))</f>
        <v>9.9999999999999997E+98</v>
      </c>
      <c r="AJ28" s="52">
        <f t="shared" si="16"/>
        <v>-52115.252211870153</v>
      </c>
      <c r="AK28" s="52">
        <f t="shared" si="17"/>
        <v>9.9999999999999997E+98</v>
      </c>
      <c r="AL28" s="52">
        <f t="shared" si="18"/>
        <v>9.9999999999999997E+98</v>
      </c>
      <c r="AM28" s="52">
        <f t="shared" si="19"/>
        <v>0</v>
      </c>
      <c r="AN28" s="52">
        <f t="shared" si="20"/>
        <v>0</v>
      </c>
    </row>
    <row r="29" spans="1:40" x14ac:dyDescent="0.3">
      <c r="A29" s="52">
        <v>24</v>
      </c>
      <c r="B29" s="52">
        <f>-bthan*500+(23+0.5)*bthan*1000/50</f>
        <v>-165</v>
      </c>
      <c r="C29" s="52">
        <f t="shared" si="0"/>
        <v>-790</v>
      </c>
      <c r="D29" s="52">
        <f t="shared" si="1"/>
        <v>2200</v>
      </c>
      <c r="E29" s="52">
        <f t="shared" si="2"/>
        <v>1</v>
      </c>
      <c r="F29" s="52"/>
      <c r="G29" s="52">
        <f>IF(24&lt;='KT THAN'!$C$11,24,"")</f>
        <v>24</v>
      </c>
      <c r="H29" s="52">
        <f>IF(G29="",0,2*PI()*(G29-0.5)/'KT THAN'!$C$11)</f>
        <v>0.82030474843733492</v>
      </c>
      <c r="I29" s="52">
        <f>IF(G29="",0,IF(shp=1,IF(AND(ABS(SIN(H29))&gt;0.0000001,MAX(1,hthan*500-'KT THAN'!$D$12)*ABS(COS(H29))/ABS(SIN(H29))&lt;=MAX(0,(bthan-hthan)*500)),MAX(1,hthan*500-'KT THAN'!$D$12)/ABS(SIN(H29)),MAX(0,(bthan-hthan)*500)*ABS(COS(H29))+SQRT(MAX(0,MAX(1,hthan*500-'KT THAN'!$D$12)^2-MAX(0,(bthan-hthan)*500)^2*SIN(H29)^2))),MIN((bthan*500-'KT THAN'!$D$12)/MAX(0.0000001,ABS(COS(H29))),(hthan*500-'KT THAN'!$D$12)/MAX(0.0000001,ABS(SIN(H29)))))*COS(H29))</f>
        <v>652.76056029636322</v>
      </c>
      <c r="J29" s="52">
        <f>IF(G29="",0,IF(shp=1,IF(AND(ABS(SIN(H29))&gt;0.0000001,MAX(1,hthan*500-'KT THAN'!$D$12)*ABS(COS(H29))/ABS(SIN(H29))&lt;=MAX(0,(bthan-hthan)*500)),MAX(1,hthan*500-'KT THAN'!$D$12)/ABS(SIN(H29)),MAX(0,(bthan-hthan)*500)*ABS(COS(H29))+SQRT(MAX(0,MAX(1,hthan*500-'KT THAN'!$D$12)^2-MAX(0,(bthan-hthan)*500)^2*SIN(H29)^2))),MIN((bthan*500-'KT THAN'!$D$12)/MAX(0.0000001,ABS(COS(H29))),(hthan*500-'KT THAN'!$D$12)/MAX(0.0000001,ABS(SIN(H29)))))*SIN(H29))</f>
        <v>700</v>
      </c>
      <c r="K29" s="52">
        <f>IF(G29="",0,'KT THAN'!$D$11/'KT THAN'!$C$11)</f>
        <v>804.24771931898704</v>
      </c>
      <c r="L29" s="52"/>
      <c r="M29" s="52">
        <f>hthan*1000*0.01*1.06^23</f>
        <v>61.115994585168941</v>
      </c>
      <c r="N29" s="52">
        <f t="shared" si="3"/>
        <v>-48642.595246841447</v>
      </c>
      <c r="O29" s="52">
        <f t="shared" si="4"/>
        <v>5095.0020000000022</v>
      </c>
      <c r="P29" s="52">
        <f t="shared" si="5"/>
        <v>-7.0630479722112186E-2</v>
      </c>
      <c r="Q29" s="52">
        <f t="shared" si="6"/>
        <v>0.9</v>
      </c>
      <c r="R29" s="52">
        <f>Q29*MIN(N29,0.8*(0.85*fc_*(Agth*1000000-'KT THAN'!$D$11)+fy_*'KT THAN'!$D$11)/1000)</f>
        <v>-43778.335722157302</v>
      </c>
      <c r="S29" s="52">
        <f t="shared" si="7"/>
        <v>4585.5018000000018</v>
      </c>
      <c r="T29" s="52"/>
      <c r="U29" s="52">
        <f>bthan*1000*0.01*1.06^23</f>
        <v>210.08623138651825</v>
      </c>
      <c r="V29" s="52">
        <f t="shared" si="8"/>
        <v>-53694.102325707921</v>
      </c>
      <c r="W29" s="52">
        <f t="shared" si="9"/>
        <v>11067.091223729201</v>
      </c>
      <c r="X29" s="52">
        <f t="shared" si="10"/>
        <v>-7.4089370854597381E-2</v>
      </c>
      <c r="Y29" s="52">
        <f t="shared" si="11"/>
        <v>0.9</v>
      </c>
      <c r="Z29" s="52">
        <f>Y29*MIN(V29,0.8*(0.85*fc_*(Agth*1000000-'KT THAN'!$D$11)+fy_*'KT THAN'!$D$11)/1000)</f>
        <v>-48324.692093137128</v>
      </c>
      <c r="AA29" s="52">
        <f t="shared" si="12"/>
        <v>9960.3821013562811</v>
      </c>
      <c r="AB29" s="52"/>
      <c r="AC29" s="52">
        <f>SMALL($R$6:$R$125,ROWS($AC$6:AC29))</f>
        <v>-43778.335722157302</v>
      </c>
      <c r="AD29" s="52">
        <f t="shared" si="13"/>
        <v>4585.5018000000018</v>
      </c>
      <c r="AE29" s="52">
        <f>SMALL($Z$6:$Z$125,ROWS($AE$6:AE29))</f>
        <v>-48361.60706345387</v>
      </c>
      <c r="AF29" s="52">
        <f t="shared" si="14"/>
        <v>9867.1880448751272</v>
      </c>
      <c r="AG29" s="52">
        <f>SMALL($AK$6:$AK$125,ROWS($AG$6:AG29))</f>
        <v>9.9999999999999997E+98</v>
      </c>
      <c r="AH29" s="52">
        <f t="shared" si="15"/>
        <v>-50196.63221187015</v>
      </c>
      <c r="AI29" s="52">
        <f>SMALL($AL$6:$AL$125,ROWS($AI$6:AI29))</f>
        <v>9.9999999999999997E+98</v>
      </c>
      <c r="AJ29" s="52">
        <f t="shared" si="16"/>
        <v>-52115.252211870153</v>
      </c>
      <c r="AK29" s="52">
        <f t="shared" si="17"/>
        <v>9.9999999999999997E+98</v>
      </c>
      <c r="AL29" s="52">
        <f t="shared" si="18"/>
        <v>9.9999999999999997E+98</v>
      </c>
      <c r="AM29" s="52">
        <f t="shared" si="19"/>
        <v>0</v>
      </c>
      <c r="AN29" s="52">
        <f t="shared" si="20"/>
        <v>0</v>
      </c>
    </row>
    <row r="30" spans="1:40" x14ac:dyDescent="0.3">
      <c r="A30" s="52">
        <v>25</v>
      </c>
      <c r="B30" s="52">
        <f>-bthan*500+(24+0.5)*bthan*1000/50</f>
        <v>-55</v>
      </c>
      <c r="C30" s="52">
        <f t="shared" si="0"/>
        <v>-790</v>
      </c>
      <c r="D30" s="52">
        <f t="shared" si="1"/>
        <v>2200</v>
      </c>
      <c r="E30" s="52">
        <f t="shared" si="2"/>
        <v>1</v>
      </c>
      <c r="F30" s="52"/>
      <c r="G30" s="52">
        <f>IF(25&lt;='KT THAN'!$C$11,25,"")</f>
        <v>25</v>
      </c>
      <c r="H30" s="52">
        <f>IF(G30="",0,2*PI()*(G30-0.5)/'KT THAN'!$C$11)</f>
        <v>0.85521133347722145</v>
      </c>
      <c r="I30" s="52">
        <f>IF(G30="",0,IF(shp=1,IF(AND(ABS(SIN(H30))&gt;0.0000001,MAX(1,hthan*500-'KT THAN'!$D$12)*ABS(COS(H30))/ABS(SIN(H30))&lt;=MAX(0,(bthan-hthan)*500)),MAX(1,hthan*500-'KT THAN'!$D$12)/ABS(SIN(H30)),MAX(0,(bthan-hthan)*500)*ABS(COS(H30))+SQRT(MAX(0,MAX(1,hthan*500-'KT THAN'!$D$12)^2-MAX(0,(bthan-hthan)*500)^2*SIN(H30)^2))),MIN((bthan*500-'KT THAN'!$D$12)/MAX(0.0000001,ABS(COS(H30))),(hthan*500-'KT THAN'!$D$12)/MAX(0.0000001,ABS(SIN(H30)))))*COS(H30))</f>
        <v>608.5007164713586</v>
      </c>
      <c r="J30" s="52">
        <f>IF(G30="",0,IF(shp=1,IF(AND(ABS(SIN(H30))&gt;0.0000001,MAX(1,hthan*500-'KT THAN'!$D$12)*ABS(COS(H30))/ABS(SIN(H30))&lt;=MAX(0,(bthan-hthan)*500)),MAX(1,hthan*500-'KT THAN'!$D$12)/ABS(SIN(H30)),MAX(0,(bthan-hthan)*500)*ABS(COS(H30))+SQRT(MAX(0,MAX(1,hthan*500-'KT THAN'!$D$12)^2-MAX(0,(bthan-hthan)*500)^2*SIN(H30)^2))),MIN((bthan*500-'KT THAN'!$D$12)/MAX(0.0000001,ABS(COS(H30))),(hthan*500-'KT THAN'!$D$12)/MAX(0.0000001,ABS(SIN(H30)))))*SIN(H30))</f>
        <v>700</v>
      </c>
      <c r="K30" s="52">
        <f>IF(G30="",0,'KT THAN'!$D$11/'KT THAN'!$C$11)</f>
        <v>804.24771931898704</v>
      </c>
      <c r="L30" s="52"/>
      <c r="M30" s="52">
        <f>hthan*1000*0.01*1.06^24</f>
        <v>64.78295426027907</v>
      </c>
      <c r="N30" s="52">
        <f t="shared" si="3"/>
        <v>-40598.001910994833</v>
      </c>
      <c r="O30" s="52">
        <f t="shared" si="4"/>
        <v>5095.0019999999977</v>
      </c>
      <c r="P30" s="52">
        <f t="shared" si="5"/>
        <v>-6.6462716718973774E-2</v>
      </c>
      <c r="Q30" s="52">
        <f t="shared" si="6"/>
        <v>0.9</v>
      </c>
      <c r="R30" s="52">
        <f>Q30*MIN(N30,0.8*(0.85*fc_*(Agth*1000000-'KT THAN'!$D$11)+fy_*'KT THAN'!$D$11)/1000)</f>
        <v>-36538.201719895354</v>
      </c>
      <c r="S30" s="52">
        <f t="shared" si="7"/>
        <v>4585.5017999999982</v>
      </c>
      <c r="T30" s="52"/>
      <c r="U30" s="52">
        <f>bthan*1000*0.01*1.06^24</f>
        <v>222.69140526970929</v>
      </c>
      <c r="V30" s="52">
        <f t="shared" si="8"/>
        <v>-53694.102325707921</v>
      </c>
      <c r="W30" s="52">
        <f t="shared" si="9"/>
        <v>11067.091223729201</v>
      </c>
      <c r="X30" s="52">
        <f t="shared" si="10"/>
        <v>-6.972582156094094E-2</v>
      </c>
      <c r="Y30" s="52">
        <f t="shared" si="11"/>
        <v>0.9</v>
      </c>
      <c r="Z30" s="52">
        <f>Y30*MIN(V30,0.8*(0.85*fc_*(Agth*1000000-'KT THAN'!$D$11)+fy_*'KT THAN'!$D$11)/1000)</f>
        <v>-48324.692093137128</v>
      </c>
      <c r="AA30" s="52">
        <f t="shared" si="12"/>
        <v>9960.3821013562811</v>
      </c>
      <c r="AB30" s="52"/>
      <c r="AC30" s="52">
        <f>SMALL($R$6:$R$125,ROWS($AC$6:AC30))</f>
        <v>-36538.201719895354</v>
      </c>
      <c r="AD30" s="52">
        <f t="shared" si="13"/>
        <v>4585.5017999999982</v>
      </c>
      <c r="AE30" s="52">
        <f>SMALL($Z$6:$Z$125,ROWS($AE$6:AE30))</f>
        <v>-48361.60706345387</v>
      </c>
      <c r="AF30" s="52">
        <f t="shared" si="14"/>
        <v>9867.1880448751272</v>
      </c>
      <c r="AG30" s="52">
        <f>SMALL($AK$6:$AK$125,ROWS($AG$6:AG30))</f>
        <v>9.9999999999999997E+98</v>
      </c>
      <c r="AH30" s="52">
        <f t="shared" si="15"/>
        <v>-50196.63221187015</v>
      </c>
      <c r="AI30" s="52">
        <f>SMALL($AL$6:$AL$125,ROWS($AI$6:AI30))</f>
        <v>9.9999999999999997E+98</v>
      </c>
      <c r="AJ30" s="52">
        <f t="shared" si="16"/>
        <v>-52115.252211870153</v>
      </c>
      <c r="AK30" s="52">
        <f t="shared" si="17"/>
        <v>9.9999999999999997E+98</v>
      </c>
      <c r="AL30" s="52">
        <f t="shared" si="18"/>
        <v>9.9999999999999997E+98</v>
      </c>
      <c r="AM30" s="52">
        <f t="shared" si="19"/>
        <v>0</v>
      </c>
      <c r="AN30" s="52">
        <f t="shared" si="20"/>
        <v>0</v>
      </c>
    </row>
    <row r="31" spans="1:40" x14ac:dyDescent="0.3">
      <c r="A31" s="52">
        <v>26</v>
      </c>
      <c r="B31" s="52">
        <f>-bthan*500+(25+0.5)*bthan*1000/50</f>
        <v>55</v>
      </c>
      <c r="C31" s="52">
        <f t="shared" si="0"/>
        <v>-790</v>
      </c>
      <c r="D31" s="52">
        <f t="shared" si="1"/>
        <v>2200</v>
      </c>
      <c r="E31" s="52">
        <f t="shared" si="2"/>
        <v>1</v>
      </c>
      <c r="F31" s="52"/>
      <c r="G31" s="52">
        <f>IF(26&lt;='KT THAN'!$C$11,26,"")</f>
        <v>26</v>
      </c>
      <c r="H31" s="52">
        <f>IF(G31="",0,2*PI()*(G31-0.5)/'KT THAN'!$C$11)</f>
        <v>0.89011791851710798</v>
      </c>
      <c r="I31" s="52">
        <f>IF(G31="",0,IF(shp=1,IF(AND(ABS(SIN(H31))&gt;0.0000001,MAX(1,hthan*500-'KT THAN'!$D$12)*ABS(COS(H31))/ABS(SIN(H31))&lt;=MAX(0,(bthan-hthan)*500)),MAX(1,hthan*500-'KT THAN'!$D$12)/ABS(SIN(H31)),MAX(0,(bthan-hthan)*500)*ABS(COS(H31))+SQRT(MAX(0,MAX(1,hthan*500-'KT THAN'!$D$12)^2-MAX(0,(bthan-hthan)*500)^2*SIN(H31)^2))),MIN((bthan*500-'KT THAN'!$D$12)/MAX(0.0000001,ABS(COS(H31))),(hthan*500-'KT THAN'!$D$12)/MAX(0.0000001,ABS(SIN(H31)))))*COS(H31))</f>
        <v>566.84882323650515</v>
      </c>
      <c r="J31" s="52">
        <f>IF(G31="",0,IF(shp=1,IF(AND(ABS(SIN(H31))&gt;0.0000001,MAX(1,hthan*500-'KT THAN'!$D$12)*ABS(COS(H31))/ABS(SIN(H31))&lt;=MAX(0,(bthan-hthan)*500)),MAX(1,hthan*500-'KT THAN'!$D$12)/ABS(SIN(H31)),MAX(0,(bthan-hthan)*500)*ABS(COS(H31))+SQRT(MAX(0,MAX(1,hthan*500-'KT THAN'!$D$12)^2-MAX(0,(bthan-hthan)*500)^2*SIN(H31)^2))),MIN((bthan*500-'KT THAN'!$D$12)/MAX(0.0000001,ABS(COS(H31))),(hthan*500-'KT THAN'!$D$12)/MAX(0.0000001,ABS(SIN(H31)))))*SIN(H31))</f>
        <v>700</v>
      </c>
      <c r="K31" s="52">
        <f>IF(G31="",0,'KT THAN'!$D$11/'KT THAN'!$C$11)</f>
        <v>804.24771931898704</v>
      </c>
      <c r="L31" s="52"/>
      <c r="M31" s="52">
        <f>hthan*1000*0.01*1.06^25</f>
        <v>68.669931515895811</v>
      </c>
      <c r="N31" s="52">
        <f t="shared" si="3"/>
        <v>-33008.762914912964</v>
      </c>
      <c r="O31" s="52">
        <f t="shared" si="4"/>
        <v>5095.0019999999995</v>
      </c>
      <c r="P31" s="52">
        <f t="shared" si="5"/>
        <v>-6.2530864829220545E-2</v>
      </c>
      <c r="Q31" s="52">
        <f t="shared" si="6"/>
        <v>0.9</v>
      </c>
      <c r="R31" s="52">
        <f>Q31*MIN(N31,0.8*(0.85*fc_*(Agth*1000000-'KT THAN'!$D$11)+fy_*'KT THAN'!$D$11)/1000)</f>
        <v>-29707.886623421669</v>
      </c>
      <c r="S31" s="52">
        <f t="shared" si="7"/>
        <v>4585.5018</v>
      </c>
      <c r="T31" s="52"/>
      <c r="U31" s="52">
        <f>bthan*1000*0.01*1.06^25</f>
        <v>236.05288958589185</v>
      </c>
      <c r="V31" s="52">
        <f t="shared" si="8"/>
        <v>-53694.102325707921</v>
      </c>
      <c r="W31" s="52">
        <f t="shared" si="9"/>
        <v>11067.091223729201</v>
      </c>
      <c r="X31" s="52">
        <f t="shared" si="10"/>
        <v>-6.5609265623529187E-2</v>
      </c>
      <c r="Y31" s="52">
        <f t="shared" si="11"/>
        <v>0.9</v>
      </c>
      <c r="Z31" s="52">
        <f>Y31*MIN(V31,0.8*(0.85*fc_*(Agth*1000000-'KT THAN'!$D$11)+fy_*'KT THAN'!$D$11)/1000)</f>
        <v>-48324.692093137128</v>
      </c>
      <c r="AA31" s="52">
        <f t="shared" si="12"/>
        <v>9960.3821013562811</v>
      </c>
      <c r="AB31" s="52"/>
      <c r="AC31" s="52">
        <f>SMALL($R$6:$R$125,ROWS($AC$6:AC31))</f>
        <v>-29707.886623421669</v>
      </c>
      <c r="AD31" s="52">
        <f t="shared" si="13"/>
        <v>4585.5018</v>
      </c>
      <c r="AE31" s="52">
        <f>SMALL($Z$6:$Z$125,ROWS($AE$6:AE31))</f>
        <v>-48324.692093137128</v>
      </c>
      <c r="AF31" s="52">
        <f t="shared" si="14"/>
        <v>9960.3821013562811</v>
      </c>
      <c r="AG31" s="52">
        <f>SMALL($AK$6:$AK$125,ROWS($AG$6:AG31))</f>
        <v>9.9999999999999997E+98</v>
      </c>
      <c r="AH31" s="52">
        <f t="shared" si="15"/>
        <v>-50196.63221187015</v>
      </c>
      <c r="AI31" s="52">
        <f>SMALL($AL$6:$AL$125,ROWS($AI$6:AI31))</f>
        <v>9.9999999999999997E+98</v>
      </c>
      <c r="AJ31" s="52">
        <f t="shared" si="16"/>
        <v>-52115.252211870153</v>
      </c>
      <c r="AK31" s="52">
        <f t="shared" si="17"/>
        <v>9.9999999999999997E+98</v>
      </c>
      <c r="AL31" s="52">
        <f t="shared" si="18"/>
        <v>9.9999999999999997E+98</v>
      </c>
      <c r="AM31" s="52">
        <f t="shared" si="19"/>
        <v>0</v>
      </c>
      <c r="AN31" s="52">
        <f t="shared" si="20"/>
        <v>0</v>
      </c>
    </row>
    <row r="32" spans="1:40" x14ac:dyDescent="0.3">
      <c r="A32" s="52">
        <v>27</v>
      </c>
      <c r="B32" s="52">
        <f>-bthan*500+(26+0.5)*bthan*1000/50</f>
        <v>165</v>
      </c>
      <c r="C32" s="52">
        <f t="shared" si="0"/>
        <v>-790</v>
      </c>
      <c r="D32" s="52">
        <f t="shared" si="1"/>
        <v>2200</v>
      </c>
      <c r="E32" s="52">
        <f t="shared" si="2"/>
        <v>1</v>
      </c>
      <c r="F32" s="52"/>
      <c r="G32" s="52">
        <f>IF(27&lt;='KT THAN'!$C$11,27,"")</f>
        <v>27</v>
      </c>
      <c r="H32" s="52">
        <f>IF(G32="",0,2*PI()*(G32-0.5)/'KT THAN'!$C$11)</f>
        <v>0.92502450355699462</v>
      </c>
      <c r="I32" s="52">
        <f>IF(G32="",0,IF(shp=1,IF(AND(ABS(SIN(H32))&gt;0.0000001,MAX(1,hthan*500-'KT THAN'!$D$12)*ABS(COS(H32))/ABS(SIN(H32))&lt;=MAX(0,(bthan-hthan)*500)),MAX(1,hthan*500-'KT THAN'!$D$12)/ABS(SIN(H32)),MAX(0,(bthan-hthan)*500)*ABS(COS(H32))+SQRT(MAX(0,MAX(1,hthan*500-'KT THAN'!$D$12)^2-MAX(0,(bthan-hthan)*500)^2*SIN(H32)^2))),MIN((bthan*500-'KT THAN'!$D$12)/MAX(0.0000001,ABS(COS(H32))),(hthan*500-'KT THAN'!$D$12)/MAX(0.0000001,ABS(SIN(H32)))))*COS(H32))</f>
        <v>527.48783507195606</v>
      </c>
      <c r="J32" s="52">
        <f>IF(G32="",0,IF(shp=1,IF(AND(ABS(SIN(H32))&gt;0.0000001,MAX(1,hthan*500-'KT THAN'!$D$12)*ABS(COS(H32))/ABS(SIN(H32))&lt;=MAX(0,(bthan-hthan)*500)),MAX(1,hthan*500-'KT THAN'!$D$12)/ABS(SIN(H32)),MAX(0,(bthan-hthan)*500)*ABS(COS(H32))+SQRT(MAX(0,MAX(1,hthan*500-'KT THAN'!$D$12)^2-MAX(0,(bthan-hthan)*500)^2*SIN(H32)^2))),MIN((bthan*500-'KT THAN'!$D$12)/MAX(0.0000001,ABS(COS(H32))),(hthan*500-'KT THAN'!$D$12)/MAX(0.0000001,ABS(SIN(H32)))))*SIN(H32))</f>
        <v>700</v>
      </c>
      <c r="K32" s="52">
        <f>IF(G32="",0,'KT THAN'!$D$11/'KT THAN'!$C$11)</f>
        <v>804.24771931898704</v>
      </c>
      <c r="L32" s="52"/>
      <c r="M32" s="52">
        <f>hthan*1000*0.01*1.06^26</f>
        <v>72.790127406849564</v>
      </c>
      <c r="N32" s="52">
        <f t="shared" si="3"/>
        <v>-25849.103484647065</v>
      </c>
      <c r="O32" s="52">
        <f t="shared" si="4"/>
        <v>5095.0020000000013</v>
      </c>
      <c r="P32" s="52">
        <f t="shared" si="5"/>
        <v>-5.882157059360428E-2</v>
      </c>
      <c r="Q32" s="52">
        <f t="shared" si="6"/>
        <v>0.9</v>
      </c>
      <c r="R32" s="52">
        <f>Q32*MIN(N32,0.8*(0.85*fc_*(Agth*1000000-'KT THAN'!$D$11)+fy_*'KT THAN'!$D$11)/1000)</f>
        <v>-23264.193136182359</v>
      </c>
      <c r="S32" s="52">
        <f t="shared" si="7"/>
        <v>4585.5018000000009</v>
      </c>
      <c r="T32" s="52"/>
      <c r="U32" s="52">
        <f>bthan*1000*0.01*1.06^26</f>
        <v>250.21606296104537</v>
      </c>
      <c r="V32" s="52">
        <f t="shared" si="8"/>
        <v>-53694.102325707921</v>
      </c>
      <c r="W32" s="52">
        <f t="shared" si="9"/>
        <v>11067.091223729201</v>
      </c>
      <c r="X32" s="52">
        <f t="shared" si="10"/>
        <v>-6.1725722286348296E-2</v>
      </c>
      <c r="Y32" s="52">
        <f t="shared" si="11"/>
        <v>0.9</v>
      </c>
      <c r="Z32" s="52">
        <f>Y32*MIN(V32,0.8*(0.85*fc_*(Agth*1000000-'KT THAN'!$D$11)+fy_*'KT THAN'!$D$11)/1000)</f>
        <v>-48324.692093137128</v>
      </c>
      <c r="AA32" s="52">
        <f t="shared" si="12"/>
        <v>9960.3821013562811</v>
      </c>
      <c r="AB32" s="52"/>
      <c r="AC32" s="52">
        <f>SMALL($R$6:$R$125,ROWS($AC$6:AC32))</f>
        <v>-23264.193136182359</v>
      </c>
      <c r="AD32" s="52">
        <f t="shared" si="13"/>
        <v>4585.5018000000009</v>
      </c>
      <c r="AE32" s="52">
        <f>SMALL($Z$6:$Z$125,ROWS($AE$6:AE32))</f>
        <v>-48324.692093137128</v>
      </c>
      <c r="AF32" s="52">
        <f t="shared" si="14"/>
        <v>9960.3821013562811</v>
      </c>
      <c r="AG32" s="52">
        <f>SMALL($AK$6:$AK$125,ROWS($AG$6:AG32))</f>
        <v>9.9999999999999997E+98</v>
      </c>
      <c r="AH32" s="52">
        <f t="shared" si="15"/>
        <v>-50196.63221187015</v>
      </c>
      <c r="AI32" s="52">
        <f>SMALL($AL$6:$AL$125,ROWS($AI$6:AI32))</f>
        <v>9.9999999999999997E+98</v>
      </c>
      <c r="AJ32" s="52">
        <f t="shared" si="16"/>
        <v>-52115.252211870153</v>
      </c>
      <c r="AK32" s="52">
        <f t="shared" si="17"/>
        <v>9.9999999999999997E+98</v>
      </c>
      <c r="AL32" s="52">
        <f t="shared" si="18"/>
        <v>9.9999999999999997E+98</v>
      </c>
      <c r="AM32" s="52">
        <f t="shared" si="19"/>
        <v>0</v>
      </c>
      <c r="AN32" s="52">
        <f t="shared" si="20"/>
        <v>0</v>
      </c>
    </row>
    <row r="33" spans="1:40" x14ac:dyDescent="0.3">
      <c r="A33" s="52">
        <v>28</v>
      </c>
      <c r="B33" s="52">
        <f>-bthan*500+(27+0.5)*bthan*1000/50</f>
        <v>275</v>
      </c>
      <c r="C33" s="52">
        <f t="shared" si="0"/>
        <v>-790</v>
      </c>
      <c r="D33" s="52">
        <f t="shared" si="1"/>
        <v>2200</v>
      </c>
      <c r="E33" s="52">
        <f t="shared" si="2"/>
        <v>1</v>
      </c>
      <c r="F33" s="52"/>
      <c r="G33" s="52">
        <f>IF(28&lt;='KT THAN'!$C$11,28,"")</f>
        <v>28</v>
      </c>
      <c r="H33" s="52">
        <f>IF(G33="",0,2*PI()*(G33-0.5)/'KT THAN'!$C$11)</f>
        <v>0.95993108859688125</v>
      </c>
      <c r="I33" s="52">
        <f>IF(G33="",0,IF(shp=1,IF(AND(ABS(SIN(H33))&gt;0.0000001,MAX(1,hthan*500-'KT THAN'!$D$12)*ABS(COS(H33))/ABS(SIN(H33))&lt;=MAX(0,(bthan-hthan)*500)),MAX(1,hthan*500-'KT THAN'!$D$12)/ABS(SIN(H33)),MAX(0,(bthan-hthan)*500)*ABS(COS(H33))+SQRT(MAX(0,MAX(1,hthan*500-'KT THAN'!$D$12)^2-MAX(0,(bthan-hthan)*500)^2*SIN(H33)^2))),MIN((bthan*500-'KT THAN'!$D$12)/MAX(0.0000001,ABS(COS(H33))),(hthan*500-'KT THAN'!$D$12)/MAX(0.0000001,ABS(SIN(H33)))))*COS(H33))</f>
        <v>490.14527674679687</v>
      </c>
      <c r="J33" s="52">
        <f>IF(G33="",0,IF(shp=1,IF(AND(ABS(SIN(H33))&gt;0.0000001,MAX(1,hthan*500-'KT THAN'!$D$12)*ABS(COS(H33))/ABS(SIN(H33))&lt;=MAX(0,(bthan-hthan)*500)),MAX(1,hthan*500-'KT THAN'!$D$12)/ABS(SIN(H33)),MAX(0,(bthan-hthan)*500)*ABS(COS(H33))+SQRT(MAX(0,MAX(1,hthan*500-'KT THAN'!$D$12)^2-MAX(0,(bthan-hthan)*500)^2*SIN(H33)^2))),MIN((bthan*500-'KT THAN'!$D$12)/MAX(0.0000001,ABS(COS(H33))),(hthan*500-'KT THAN'!$D$12)/MAX(0.0000001,ABS(SIN(H33)))))*SIN(H33))</f>
        <v>700</v>
      </c>
      <c r="K33" s="52">
        <f>IF(G33="",0,'KT THAN'!$D$11/'KT THAN'!$C$11)</f>
        <v>804.24771931898704</v>
      </c>
      <c r="L33" s="52"/>
      <c r="M33" s="52">
        <f>hthan*1000*0.01*1.06^27</f>
        <v>77.157535051260552</v>
      </c>
      <c r="N33" s="52">
        <f t="shared" si="3"/>
        <v>-19094.707795716902</v>
      </c>
      <c r="O33" s="52">
        <f t="shared" si="4"/>
        <v>5095.0020000000013</v>
      </c>
      <c r="P33" s="52">
        <f t="shared" si="5"/>
        <v>-5.5322236409060636E-2</v>
      </c>
      <c r="Q33" s="52">
        <f t="shared" si="6"/>
        <v>0.9</v>
      </c>
      <c r="R33" s="52">
        <f>Q33*MIN(N33,0.8*(0.85*fc_*(Agth*1000000-'KT THAN'!$D$11)+fy_*'KT THAN'!$D$11)/1000)</f>
        <v>-17185.237016145213</v>
      </c>
      <c r="S33" s="52">
        <f t="shared" si="7"/>
        <v>4585.5018000000009</v>
      </c>
      <c r="T33" s="52"/>
      <c r="U33" s="52">
        <f>bthan*1000*0.01*1.06^27</f>
        <v>265.22902673870817</v>
      </c>
      <c r="V33" s="52">
        <f t="shared" si="8"/>
        <v>-53694.102325707921</v>
      </c>
      <c r="W33" s="52">
        <f t="shared" si="9"/>
        <v>11067.091223729201</v>
      </c>
      <c r="X33" s="52">
        <f t="shared" si="10"/>
        <v>-5.8062002156932337E-2</v>
      </c>
      <c r="Y33" s="52">
        <f t="shared" si="11"/>
        <v>0.9</v>
      </c>
      <c r="Z33" s="52">
        <f>Y33*MIN(V33,0.8*(0.85*fc_*(Agth*1000000-'KT THAN'!$D$11)+fy_*'KT THAN'!$D$11)/1000)</f>
        <v>-48324.692093137128</v>
      </c>
      <c r="AA33" s="52">
        <f t="shared" si="12"/>
        <v>9960.3821013562811</v>
      </c>
      <c r="AB33" s="52"/>
      <c r="AC33" s="52">
        <f>SMALL($R$6:$R$125,ROWS($AC$6:AC33))</f>
        <v>-17185.237016145213</v>
      </c>
      <c r="AD33" s="52">
        <f t="shared" si="13"/>
        <v>4585.5018000000009</v>
      </c>
      <c r="AE33" s="52">
        <f>SMALL($Z$6:$Z$125,ROWS($AE$6:AE33))</f>
        <v>-48324.692093137128</v>
      </c>
      <c r="AF33" s="52">
        <f t="shared" si="14"/>
        <v>9960.3821013562811</v>
      </c>
      <c r="AG33" s="52">
        <f>SMALL($AK$6:$AK$125,ROWS($AG$6:AG33))</f>
        <v>9.9999999999999997E+98</v>
      </c>
      <c r="AH33" s="52">
        <f t="shared" si="15"/>
        <v>-50196.63221187015</v>
      </c>
      <c r="AI33" s="52">
        <f>SMALL($AL$6:$AL$125,ROWS($AI$6:AI33))</f>
        <v>9.9999999999999997E+98</v>
      </c>
      <c r="AJ33" s="52">
        <f t="shared" si="16"/>
        <v>-52115.252211870153</v>
      </c>
      <c r="AK33" s="52">
        <f t="shared" si="17"/>
        <v>9.9999999999999997E+98</v>
      </c>
      <c r="AL33" s="52">
        <f t="shared" si="18"/>
        <v>9.9999999999999997E+98</v>
      </c>
      <c r="AM33" s="52">
        <f t="shared" si="19"/>
        <v>0</v>
      </c>
      <c r="AN33" s="52">
        <f t="shared" si="20"/>
        <v>0</v>
      </c>
    </row>
    <row r="34" spans="1:40" x14ac:dyDescent="0.3">
      <c r="A34" s="52">
        <v>29</v>
      </c>
      <c r="B34" s="52">
        <f>-bthan*500+(28+0.5)*bthan*1000/50</f>
        <v>385</v>
      </c>
      <c r="C34" s="52">
        <f t="shared" si="0"/>
        <v>-790</v>
      </c>
      <c r="D34" s="52">
        <f t="shared" si="1"/>
        <v>2200</v>
      </c>
      <c r="E34" s="52">
        <f t="shared" si="2"/>
        <v>1</v>
      </c>
      <c r="F34" s="52"/>
      <c r="G34" s="52">
        <f>IF(29&lt;='KT THAN'!$C$11,29,"")</f>
        <v>29</v>
      </c>
      <c r="H34" s="52">
        <f>IF(G34="",0,2*PI()*(G34-0.5)/'KT THAN'!$C$11)</f>
        <v>0.99483767363676778</v>
      </c>
      <c r="I34" s="52">
        <f>IF(G34="",0,IF(shp=1,IF(AND(ABS(SIN(H34))&gt;0.0000001,MAX(1,hthan*500-'KT THAN'!$D$12)*ABS(COS(H34))/ABS(SIN(H34))&lt;=MAX(0,(bthan-hthan)*500)),MAX(1,hthan*500-'KT THAN'!$D$12)/ABS(SIN(H34)),MAX(0,(bthan-hthan)*500)*ABS(COS(H34))+SQRT(MAX(0,MAX(1,hthan*500-'KT THAN'!$D$12)^2-MAX(0,(bthan-hthan)*500)^2*SIN(H34)^2))),MIN((bthan*500-'KT THAN'!$D$12)/MAX(0.0000001,ABS(COS(H34))),(hthan*500-'KT THAN'!$D$12)/MAX(0.0000001,ABS(SIN(H34)))))*COS(H34))</f>
        <v>454.58531523825758</v>
      </c>
      <c r="J34" s="52">
        <f>IF(G34="",0,IF(shp=1,IF(AND(ABS(SIN(H34))&gt;0.0000001,MAX(1,hthan*500-'KT THAN'!$D$12)*ABS(COS(H34))/ABS(SIN(H34))&lt;=MAX(0,(bthan-hthan)*500)),MAX(1,hthan*500-'KT THAN'!$D$12)/ABS(SIN(H34)),MAX(0,(bthan-hthan)*500)*ABS(COS(H34))+SQRT(MAX(0,MAX(1,hthan*500-'KT THAN'!$D$12)^2-MAX(0,(bthan-hthan)*500)^2*SIN(H34)^2))),MIN((bthan*500-'KT THAN'!$D$12)/MAX(0.0000001,ABS(COS(H34))),(hthan*500-'KT THAN'!$D$12)/MAX(0.0000001,ABS(SIN(H34)))))*SIN(H34))</f>
        <v>700</v>
      </c>
      <c r="K34" s="52">
        <f>IF(G34="",0,'KT THAN'!$D$11/'KT THAN'!$C$11)</f>
        <v>804.24771931898704</v>
      </c>
      <c r="L34" s="52"/>
      <c r="M34" s="52">
        <f>hthan*1000*0.01*1.06^28</f>
        <v>81.786987154336188</v>
      </c>
      <c r="N34" s="52">
        <f t="shared" si="3"/>
        <v>-12722.636391065918</v>
      </c>
      <c r="O34" s="52">
        <f t="shared" si="4"/>
        <v>5095.0020000000004</v>
      </c>
      <c r="P34" s="52">
        <f t="shared" si="5"/>
        <v>-5.2020977744396818E-2</v>
      </c>
      <c r="Q34" s="52">
        <f t="shared" si="6"/>
        <v>0.9</v>
      </c>
      <c r="R34" s="52">
        <f>Q34*MIN(N34,0.8*(0.85*fc_*(Agth*1000000-'KT THAN'!$D$11)+fy_*'KT THAN'!$D$11)/1000)</f>
        <v>-11450.372751959327</v>
      </c>
      <c r="S34" s="52">
        <f t="shared" si="7"/>
        <v>4585.5018000000009</v>
      </c>
      <c r="T34" s="52"/>
      <c r="U34" s="52">
        <f>bthan*1000*0.01*1.06^28</f>
        <v>281.14276834303064</v>
      </c>
      <c r="V34" s="52">
        <f t="shared" si="8"/>
        <v>-53735.118959393185</v>
      </c>
      <c r="W34" s="52">
        <f t="shared" si="9"/>
        <v>10963.542272083474</v>
      </c>
      <c r="X34" s="52">
        <f t="shared" si="10"/>
        <v>-5.4605662412200322E-2</v>
      </c>
      <c r="Y34" s="52">
        <f t="shared" si="11"/>
        <v>0.9</v>
      </c>
      <c r="Z34" s="52">
        <f>Y34*MIN(V34,0.8*(0.85*fc_*(Agth*1000000-'KT THAN'!$D$11)+fy_*'KT THAN'!$D$11)/1000)</f>
        <v>-48361.60706345387</v>
      </c>
      <c r="AA34" s="52">
        <f t="shared" si="12"/>
        <v>9867.1880448751272</v>
      </c>
      <c r="AB34" s="52"/>
      <c r="AC34" s="52">
        <f>SMALL($R$6:$R$125,ROWS($AC$6:AC34))</f>
        <v>-11450.372751959327</v>
      </c>
      <c r="AD34" s="52">
        <f t="shared" si="13"/>
        <v>4585.5018000000009</v>
      </c>
      <c r="AE34" s="52">
        <f>SMALL($Z$6:$Z$125,ROWS($AE$6:AE34))</f>
        <v>-48324.692093137128</v>
      </c>
      <c r="AF34" s="52">
        <f t="shared" si="14"/>
        <v>9960.3821013562811</v>
      </c>
      <c r="AG34" s="52">
        <f>SMALL($AK$6:$AK$125,ROWS($AG$6:AG34))</f>
        <v>9.9999999999999997E+98</v>
      </c>
      <c r="AH34" s="52">
        <f t="shared" si="15"/>
        <v>-50196.63221187015</v>
      </c>
      <c r="AI34" s="52">
        <f>SMALL($AL$6:$AL$125,ROWS($AI$6:AI34))</f>
        <v>9.9999999999999997E+98</v>
      </c>
      <c r="AJ34" s="52">
        <f t="shared" si="16"/>
        <v>-52115.252211870153</v>
      </c>
      <c r="AK34" s="52">
        <f t="shared" si="17"/>
        <v>9.9999999999999997E+98</v>
      </c>
      <c r="AL34" s="52">
        <f t="shared" si="18"/>
        <v>9.9999999999999997E+98</v>
      </c>
      <c r="AM34" s="52">
        <f t="shared" si="19"/>
        <v>0</v>
      </c>
      <c r="AN34" s="52">
        <f t="shared" si="20"/>
        <v>0</v>
      </c>
    </row>
    <row r="35" spans="1:40" x14ac:dyDescent="0.3">
      <c r="A35" s="52">
        <v>30</v>
      </c>
      <c r="B35" s="52">
        <f>-bthan*500+(29+0.5)*bthan*1000/50</f>
        <v>495</v>
      </c>
      <c r="C35" s="52">
        <f t="shared" si="0"/>
        <v>-790</v>
      </c>
      <c r="D35" s="52">
        <f t="shared" si="1"/>
        <v>2200</v>
      </c>
      <c r="E35" s="52">
        <f t="shared" si="2"/>
        <v>1</v>
      </c>
      <c r="F35" s="52"/>
      <c r="G35" s="52">
        <f>IF(30&lt;='KT THAN'!$C$11,30,"")</f>
        <v>30</v>
      </c>
      <c r="H35" s="52">
        <f>IF(G35="",0,2*PI()*(G35-0.5)/'KT THAN'!$C$11)</f>
        <v>1.0297442586766543</v>
      </c>
      <c r="I35" s="52">
        <f>IF(G35="",0,IF(shp=1,IF(AND(ABS(SIN(H35))&gt;0.0000001,MAX(1,hthan*500-'KT THAN'!$D$12)*ABS(COS(H35))/ABS(SIN(H35))&lt;=MAX(0,(bthan-hthan)*500)),MAX(1,hthan*500-'KT THAN'!$D$12)/ABS(SIN(H35)),MAX(0,(bthan-hthan)*500)*ABS(COS(H35))+SQRT(MAX(0,MAX(1,hthan*500-'KT THAN'!$D$12)^2-MAX(0,(bthan-hthan)*500)^2*SIN(H35)^2))),MIN((bthan*500-'KT THAN'!$D$12)/MAX(0.0000001,ABS(COS(H35))),(hthan*500-'KT THAN'!$D$12)/MAX(0.0000001,ABS(SIN(H35)))))*COS(H35))</f>
        <v>420.60243331929246</v>
      </c>
      <c r="J35" s="52">
        <f>IF(G35="",0,IF(shp=1,IF(AND(ABS(SIN(H35))&gt;0.0000001,MAX(1,hthan*500-'KT THAN'!$D$12)*ABS(COS(H35))/ABS(SIN(H35))&lt;=MAX(0,(bthan-hthan)*500)),MAX(1,hthan*500-'KT THAN'!$D$12)/ABS(SIN(H35)),MAX(0,(bthan-hthan)*500)*ABS(COS(H35))+SQRT(MAX(0,MAX(1,hthan*500-'KT THAN'!$D$12)^2-MAX(0,(bthan-hthan)*500)^2*SIN(H35)^2))),MIN((bthan*500-'KT THAN'!$D$12)/MAX(0.0000001,ABS(COS(H35))),(hthan*500-'KT THAN'!$D$12)/MAX(0.0000001,ABS(SIN(H35)))))*SIN(H35))</f>
        <v>700</v>
      </c>
      <c r="K35" s="52">
        <f>IF(G35="",0,'KT THAN'!$D$11/'KT THAN'!$C$11)</f>
        <v>804.24771931898704</v>
      </c>
      <c r="L35" s="52"/>
      <c r="M35" s="52">
        <f>hthan*1000*0.01*1.06^29</f>
        <v>86.694206383596367</v>
      </c>
      <c r="N35" s="52">
        <f t="shared" si="3"/>
        <v>-4355.0482734706275</v>
      </c>
      <c r="O35" s="52">
        <f t="shared" si="4"/>
        <v>6815.0279999999993</v>
      </c>
      <c r="P35" s="52">
        <f t="shared" si="5"/>
        <v>-4.8906582777732847E-2</v>
      </c>
      <c r="Q35" s="52">
        <f t="shared" si="6"/>
        <v>0.9</v>
      </c>
      <c r="R35" s="52">
        <f>Q35*MIN(N35,0.8*(0.85*fc_*(Agth*1000000-'KT THAN'!$D$11)+fy_*'KT THAN'!$D$11)/1000)</f>
        <v>-3919.543446123565</v>
      </c>
      <c r="S35" s="52">
        <f t="shared" si="7"/>
        <v>6133.5251999999991</v>
      </c>
      <c r="T35" s="52"/>
      <c r="U35" s="52">
        <f>bthan*1000*0.01*1.06^29</f>
        <v>298.0113344436125</v>
      </c>
      <c r="V35" s="52">
        <f t="shared" si="8"/>
        <v>-53735.118959393185</v>
      </c>
      <c r="W35" s="52">
        <f t="shared" si="9"/>
        <v>10963.542272083474</v>
      </c>
      <c r="X35" s="52">
        <f t="shared" si="10"/>
        <v>-5.1344964539811619E-2</v>
      </c>
      <c r="Y35" s="52">
        <f t="shared" si="11"/>
        <v>0.9</v>
      </c>
      <c r="Z35" s="52">
        <f>Y35*MIN(V35,0.8*(0.85*fc_*(Agth*1000000-'KT THAN'!$D$11)+fy_*'KT THAN'!$D$11)/1000)</f>
        <v>-48361.60706345387</v>
      </c>
      <c r="AA35" s="52">
        <f t="shared" si="12"/>
        <v>9867.1880448751272</v>
      </c>
      <c r="AB35" s="52"/>
      <c r="AC35" s="52">
        <f>SMALL($R$6:$R$125,ROWS($AC$6:AC35))</f>
        <v>-3919.543446123565</v>
      </c>
      <c r="AD35" s="52">
        <f t="shared" si="13"/>
        <v>6133.5251999999991</v>
      </c>
      <c r="AE35" s="52">
        <f>SMALL($Z$6:$Z$125,ROWS($AE$6:AE35))</f>
        <v>-48324.692093137128</v>
      </c>
      <c r="AF35" s="52">
        <f t="shared" si="14"/>
        <v>9960.3821013562811</v>
      </c>
      <c r="AG35" s="52">
        <f>SMALL($AK$6:$AK$125,ROWS($AG$6:AG35))</f>
        <v>9.9999999999999997E+98</v>
      </c>
      <c r="AH35" s="52">
        <f t="shared" si="15"/>
        <v>-50196.63221187015</v>
      </c>
      <c r="AI35" s="52">
        <f>SMALL($AL$6:$AL$125,ROWS($AI$6:AI35))</f>
        <v>9.9999999999999997E+98</v>
      </c>
      <c r="AJ35" s="52">
        <f t="shared" si="16"/>
        <v>-52115.252211870153</v>
      </c>
      <c r="AK35" s="52">
        <f t="shared" si="17"/>
        <v>9.9999999999999997E+98</v>
      </c>
      <c r="AL35" s="52">
        <f t="shared" si="18"/>
        <v>9.9999999999999997E+98</v>
      </c>
      <c r="AM35" s="52">
        <f t="shared" si="19"/>
        <v>0</v>
      </c>
      <c r="AN35" s="52">
        <f t="shared" si="20"/>
        <v>0</v>
      </c>
    </row>
    <row r="36" spans="1:40" x14ac:dyDescent="0.3">
      <c r="A36" s="52">
        <v>31</v>
      </c>
      <c r="B36" s="52">
        <f>-bthan*500+(30+0.5)*bthan*1000/50</f>
        <v>605</v>
      </c>
      <c r="C36" s="52">
        <f t="shared" si="0"/>
        <v>-790</v>
      </c>
      <c r="D36" s="52">
        <f t="shared" si="1"/>
        <v>2200</v>
      </c>
      <c r="E36" s="52">
        <f t="shared" si="2"/>
        <v>1</v>
      </c>
      <c r="F36" s="52"/>
      <c r="G36" s="52">
        <f>IF(31&lt;='KT THAN'!$C$11,31,"")</f>
        <v>31</v>
      </c>
      <c r="H36" s="52">
        <f>IF(G36="",0,2*PI()*(G36-0.5)/'KT THAN'!$C$11)</f>
        <v>1.064650843716541</v>
      </c>
      <c r="I36" s="52">
        <f>IF(G36="",0,IF(shp=1,IF(AND(ABS(SIN(H36))&gt;0.0000001,MAX(1,hthan*500-'KT THAN'!$D$12)*ABS(COS(H36))/ABS(SIN(H36))&lt;=MAX(0,(bthan-hthan)*500)),MAX(1,hthan*500-'KT THAN'!$D$12)/ABS(SIN(H36)),MAX(0,(bthan-hthan)*500)*ABS(COS(H36))+SQRT(MAX(0,MAX(1,hthan*500-'KT THAN'!$D$12)^2-MAX(0,(bthan-hthan)*500)^2*SIN(H36)^2))),MIN((bthan*500-'KT THAN'!$D$12)/MAX(0.0000001,ABS(COS(H36))),(hthan*500-'KT THAN'!$D$12)/MAX(0.0000001,ABS(SIN(H36)))))*COS(H36))</f>
        <v>388.01633601693834</v>
      </c>
      <c r="J36" s="52">
        <f>IF(G36="",0,IF(shp=1,IF(AND(ABS(SIN(H36))&gt;0.0000001,MAX(1,hthan*500-'KT THAN'!$D$12)*ABS(COS(H36))/ABS(SIN(H36))&lt;=MAX(0,(bthan-hthan)*500)),MAX(1,hthan*500-'KT THAN'!$D$12)/ABS(SIN(H36)),MAX(0,(bthan-hthan)*500)*ABS(COS(H36))+SQRT(MAX(0,MAX(1,hthan*500-'KT THAN'!$D$12)^2-MAX(0,(bthan-hthan)*500)^2*SIN(H36)^2))),MIN((bthan*500-'KT THAN'!$D$12)/MAX(0.0000001,ABS(COS(H36))),(hthan*500-'KT THAN'!$D$12)/MAX(0.0000001,ABS(SIN(H36)))))*SIN(H36))</f>
        <v>700</v>
      </c>
      <c r="K36" s="52">
        <f>IF(G36="",0,'KT THAN'!$D$11/'KT THAN'!$C$11)</f>
        <v>804.24771931898704</v>
      </c>
      <c r="L36" s="52"/>
      <c r="M36" s="52">
        <f>hthan*1000*0.01*1.06^30</f>
        <v>91.89585876661215</v>
      </c>
      <c r="N36" s="52">
        <f t="shared" si="3"/>
        <v>1316.0725921852979</v>
      </c>
      <c r="O36" s="52">
        <f t="shared" si="4"/>
        <v>6815.0280000000002</v>
      </c>
      <c r="P36" s="52">
        <f t="shared" si="5"/>
        <v>-4.59684743186159E-2</v>
      </c>
      <c r="Q36" s="52">
        <f t="shared" si="6"/>
        <v>0.9</v>
      </c>
      <c r="R36" s="52">
        <f>Q36*MIN(N36,0.8*(0.85*fc_*(Agth*1000000-'KT THAN'!$D$11)+fy_*'KT THAN'!$D$11)/1000)</f>
        <v>1184.4653329667681</v>
      </c>
      <c r="S36" s="52">
        <f t="shared" si="7"/>
        <v>6133.5252</v>
      </c>
      <c r="T36" s="52"/>
      <c r="U36" s="52">
        <f>bthan*1000*0.01*1.06^30</f>
        <v>315.89201451022927</v>
      </c>
      <c r="V36" s="52">
        <f t="shared" si="8"/>
        <v>-53735.118959393185</v>
      </c>
      <c r="W36" s="52">
        <f t="shared" si="9"/>
        <v>10963.542272083474</v>
      </c>
      <c r="X36" s="52">
        <f t="shared" si="10"/>
        <v>-4.8268834471520389E-2</v>
      </c>
      <c r="Y36" s="52">
        <f t="shared" si="11"/>
        <v>0.9</v>
      </c>
      <c r="Z36" s="52">
        <f>Y36*MIN(V36,0.8*(0.85*fc_*(Agth*1000000-'KT THAN'!$D$11)+fy_*'KT THAN'!$D$11)/1000)</f>
        <v>-48361.60706345387</v>
      </c>
      <c r="AA36" s="52">
        <f t="shared" si="12"/>
        <v>9867.1880448751272</v>
      </c>
      <c r="AB36" s="52"/>
      <c r="AC36" s="52">
        <f>SMALL($R$6:$R$125,ROWS($AC$6:AC36))</f>
        <v>1184.4653329667681</v>
      </c>
      <c r="AD36" s="52">
        <f t="shared" si="13"/>
        <v>6133.5252</v>
      </c>
      <c r="AE36" s="52">
        <f>SMALL($Z$6:$Z$125,ROWS($AE$6:AE36))</f>
        <v>-48287.777122820386</v>
      </c>
      <c r="AF36" s="52">
        <f t="shared" si="14"/>
        <v>10055.421777743502</v>
      </c>
      <c r="AG36" s="52">
        <f>SMALL($AK$6:$AK$125,ROWS($AG$6:AG36))</f>
        <v>9.9999999999999997E+98</v>
      </c>
      <c r="AH36" s="52">
        <f t="shared" si="15"/>
        <v>-50196.63221187015</v>
      </c>
      <c r="AI36" s="52">
        <f>SMALL($AL$6:$AL$125,ROWS($AI$6:AI36))</f>
        <v>9.9999999999999997E+98</v>
      </c>
      <c r="AJ36" s="52">
        <f t="shared" si="16"/>
        <v>-52115.252211870153</v>
      </c>
      <c r="AK36" s="52">
        <f t="shared" si="17"/>
        <v>9.9999999999999997E+98</v>
      </c>
      <c r="AL36" s="52">
        <f t="shared" si="18"/>
        <v>9.9999999999999997E+98</v>
      </c>
      <c r="AM36" s="52">
        <f t="shared" si="19"/>
        <v>0</v>
      </c>
      <c r="AN36" s="52">
        <f t="shared" si="20"/>
        <v>0</v>
      </c>
    </row>
    <row r="37" spans="1:40" x14ac:dyDescent="0.3">
      <c r="A37" s="52">
        <v>32</v>
      </c>
      <c r="B37" s="52">
        <f>-bthan*500+(31+0.5)*bthan*1000/50</f>
        <v>715</v>
      </c>
      <c r="C37" s="52">
        <f t="shared" si="0"/>
        <v>-790</v>
      </c>
      <c r="D37" s="52">
        <f t="shared" si="1"/>
        <v>2200</v>
      </c>
      <c r="E37" s="52">
        <f t="shared" si="2"/>
        <v>1</v>
      </c>
      <c r="F37" s="52"/>
      <c r="G37" s="52">
        <f>IF(32&lt;='KT THAN'!$C$11,32,"")</f>
        <v>32</v>
      </c>
      <c r="H37" s="52">
        <f>IF(G37="",0,2*PI()*(G37-0.5)/'KT THAN'!$C$11)</f>
        <v>1.0995574287564276</v>
      </c>
      <c r="I37" s="52">
        <f>IF(G37="",0,IF(shp=1,IF(AND(ABS(SIN(H37))&gt;0.0000001,MAX(1,hthan*500-'KT THAN'!$D$12)*ABS(COS(H37))/ABS(SIN(H37))&lt;=MAX(0,(bthan-hthan)*500)),MAX(1,hthan*500-'KT THAN'!$D$12)/ABS(SIN(H37)),MAX(0,(bthan-hthan)*500)*ABS(COS(H37))+SQRT(MAX(0,MAX(1,hthan*500-'KT THAN'!$D$12)^2-MAX(0,(bthan-hthan)*500)^2*SIN(H37)^2))),MIN((bthan*500-'KT THAN'!$D$12)/MAX(0.0000001,ABS(COS(H37))),(hthan*500-'KT THAN'!$D$12)/MAX(0.0000001,ABS(SIN(H37)))))*COS(H37))</f>
        <v>356.66781464610023</v>
      </c>
      <c r="J37" s="52">
        <f>IF(G37="",0,IF(shp=1,IF(AND(ABS(SIN(H37))&gt;0.0000001,MAX(1,hthan*500-'KT THAN'!$D$12)*ABS(COS(H37))/ABS(SIN(H37))&lt;=MAX(0,(bthan-hthan)*500)),MAX(1,hthan*500-'KT THAN'!$D$12)/ABS(SIN(H37)),MAX(0,(bthan-hthan)*500)*ABS(COS(H37))+SQRT(MAX(0,MAX(1,hthan*500-'KT THAN'!$D$12)^2-MAX(0,(bthan-hthan)*500)^2*SIN(H37)^2))),MIN((bthan*500-'KT THAN'!$D$12)/MAX(0.0000001,ABS(COS(H37))),(hthan*500-'KT THAN'!$D$12)/MAX(0.0000001,ABS(SIN(H37)))))*SIN(H37))</f>
        <v>700</v>
      </c>
      <c r="K37" s="52">
        <f>IF(G37="",0,'KT THAN'!$D$11/'KT THAN'!$C$11)</f>
        <v>804.24771931898704</v>
      </c>
      <c r="L37" s="52"/>
      <c r="M37" s="52">
        <f>hthan*1000*0.01*1.06^31</f>
        <v>97.409610292608903</v>
      </c>
      <c r="N37" s="52">
        <f t="shared" si="3"/>
        <v>6666.1866163890063</v>
      </c>
      <c r="O37" s="52">
        <f t="shared" si="4"/>
        <v>6815.0280000000002</v>
      </c>
      <c r="P37" s="52">
        <f t="shared" si="5"/>
        <v>-4.3196673885486675E-2</v>
      </c>
      <c r="Q37" s="52">
        <f t="shared" si="6"/>
        <v>0.9</v>
      </c>
      <c r="R37" s="52">
        <f>Q37*MIN(N37,0.8*(0.85*fc_*(Agth*1000000-'KT THAN'!$D$11)+fy_*'KT THAN'!$D$11)/1000)</f>
        <v>5999.5679547501059</v>
      </c>
      <c r="S37" s="52">
        <f t="shared" si="7"/>
        <v>6133.5252</v>
      </c>
      <c r="T37" s="52"/>
      <c r="U37" s="52">
        <f>bthan*1000*0.01*1.06^31</f>
        <v>334.8455353808431</v>
      </c>
      <c r="V37" s="52">
        <f t="shared" si="8"/>
        <v>-50369.118959393185</v>
      </c>
      <c r="W37" s="52">
        <f t="shared" si="9"/>
        <v>19294.392272083474</v>
      </c>
      <c r="X37" s="52">
        <f t="shared" si="10"/>
        <v>-4.5366824973132436E-2</v>
      </c>
      <c r="Y37" s="52">
        <f t="shared" si="11"/>
        <v>0.9</v>
      </c>
      <c r="Z37" s="52">
        <f>Y37*MIN(V37,0.8*(0.85*fc_*(Agth*1000000-'KT THAN'!$D$11)+fy_*'KT THAN'!$D$11)/1000)</f>
        <v>-45332.207063453869</v>
      </c>
      <c r="AA37" s="52">
        <f t="shared" si="12"/>
        <v>17364.953044875128</v>
      </c>
      <c r="AB37" s="52"/>
      <c r="AC37" s="52">
        <f>SMALL($R$6:$R$125,ROWS($AC$6:AC37))</f>
        <v>5999.5679547501059</v>
      </c>
      <c r="AD37" s="52">
        <f t="shared" si="13"/>
        <v>6133.5252</v>
      </c>
      <c r="AE37" s="52">
        <f>SMALL($Z$6:$Z$125,ROWS($AE$6:AE37))</f>
        <v>-45406.03700408736</v>
      </c>
      <c r="AF37" s="52">
        <f t="shared" si="14"/>
        <v>17186.141069558198</v>
      </c>
      <c r="AG37" s="52">
        <f>SMALL($AK$6:$AK$125,ROWS($AG$6:AG37))</f>
        <v>9.9999999999999997E+98</v>
      </c>
      <c r="AH37" s="52">
        <f t="shared" si="15"/>
        <v>-50196.63221187015</v>
      </c>
      <c r="AI37" s="52">
        <f>SMALL($AL$6:$AL$125,ROWS($AI$6:AI37))</f>
        <v>9.9999999999999997E+98</v>
      </c>
      <c r="AJ37" s="52">
        <f t="shared" si="16"/>
        <v>-52115.252211870153</v>
      </c>
      <c r="AK37" s="52">
        <f t="shared" si="17"/>
        <v>9.9999999999999997E+98</v>
      </c>
      <c r="AL37" s="52">
        <f t="shared" si="18"/>
        <v>9.9999999999999997E+98</v>
      </c>
      <c r="AM37" s="52">
        <f t="shared" si="19"/>
        <v>0</v>
      </c>
      <c r="AN37" s="52">
        <f t="shared" si="20"/>
        <v>0</v>
      </c>
    </row>
    <row r="38" spans="1:40" x14ac:dyDescent="0.3">
      <c r="A38" s="52">
        <v>33</v>
      </c>
      <c r="B38" s="52">
        <f>-bthan*500+(32+0.5)*bthan*1000/50</f>
        <v>825</v>
      </c>
      <c r="C38" s="52">
        <f t="shared" ref="C38:C55" si="21">-hthan*500+(0+0.5)*hthan*1000/80</f>
        <v>-790</v>
      </c>
      <c r="D38" s="52">
        <f t="shared" si="1"/>
        <v>2200</v>
      </c>
      <c r="E38" s="52">
        <f t="shared" si="2"/>
        <v>1</v>
      </c>
      <c r="F38" s="52"/>
      <c r="G38" s="52">
        <f>IF(33&lt;='KT THAN'!$C$11,33,"")</f>
        <v>33</v>
      </c>
      <c r="H38" s="52">
        <f>IF(G38="",0,2*PI()*(G38-0.5)/'KT THAN'!$C$11)</f>
        <v>1.1344640137963142</v>
      </c>
      <c r="I38" s="52">
        <f>IF(G38="",0,IF(shp=1,IF(AND(ABS(SIN(H38))&gt;0.0000001,MAX(1,hthan*500-'KT THAN'!$D$12)*ABS(COS(H38))/ABS(SIN(H38))&lt;=MAX(0,(bthan-hthan)*500)),MAX(1,hthan*500-'KT THAN'!$D$12)/ABS(SIN(H38)),MAX(0,(bthan-hthan)*500)*ABS(COS(H38))+SQRT(MAX(0,MAX(1,hthan*500-'KT THAN'!$D$12)^2-MAX(0,(bthan-hthan)*500)^2*SIN(H38)^2))),MIN((bthan*500-'KT THAN'!$D$12)/MAX(0.0000001,ABS(COS(H38))),(hthan*500-'KT THAN'!$D$12)/MAX(0.0000001,ABS(SIN(H38)))))*COS(H38))</f>
        <v>326.41536070849907</v>
      </c>
      <c r="J38" s="52">
        <f>IF(G38="",0,IF(shp=1,IF(AND(ABS(SIN(H38))&gt;0.0000001,MAX(1,hthan*500-'KT THAN'!$D$12)*ABS(COS(H38))/ABS(SIN(H38))&lt;=MAX(0,(bthan-hthan)*500)),MAX(1,hthan*500-'KT THAN'!$D$12)/ABS(SIN(H38)),MAX(0,(bthan-hthan)*500)*ABS(COS(H38))+SQRT(MAX(0,MAX(1,hthan*500-'KT THAN'!$D$12)^2-MAX(0,(bthan-hthan)*500)^2*SIN(H38)^2))),MIN((bthan*500-'KT THAN'!$D$12)/MAX(0.0000001,ABS(COS(H38))),(hthan*500-'KT THAN'!$D$12)/MAX(0.0000001,ABS(SIN(H38)))))*SIN(H38))</f>
        <v>700</v>
      </c>
      <c r="K38" s="52">
        <f>IF(G38="",0,'KT THAN'!$D$11/'KT THAN'!$C$11)</f>
        <v>804.24771931898704</v>
      </c>
      <c r="L38" s="52"/>
      <c r="M38" s="52">
        <f>hthan*1000*0.01*1.06^32</f>
        <v>103.25418691016542</v>
      </c>
      <c r="N38" s="52">
        <f t="shared" ref="N38:N69" si="22">(SUMPRODUCT($E$6:$E$4005,$D$6:$D$4005,--($C$6:$C$4005&gt;=(hthan*500-MAX(0.65,MIN(0.85,0.85-0.05*(fc_-28)/7))*M38)))*0.85*fc_+SUMPRODUCT($K$6:$K$405,(IF(Es_*(0.003*(M38-(hthan*500-$J$6:$J$405))/M38)&gt;fy_,fy_,IF(Es_*(0.003*(M38-(hthan*500-$J$6:$J$405))/M38)&lt;-fy_,-fy_,Es_*(0.003*(M38-(hthan*500-$J$6:$J$405))/M38)))-0.85*fc_*--($J$6:$J$405&gt;=(hthan*500-MAX(0.65,MIN(0.85,0.85-0.05*(fc_-28)/7))*M38)))))/1000</f>
        <v>11713.463997713219</v>
      </c>
      <c r="O38" s="52">
        <f t="shared" ref="O38:O69" si="23">ABS((SUMPRODUCT($E$6:$E$4005,$D$6:$D$4005,--($C$6:$C$4005&gt;=(hthan*500-MAX(0.65,MIN(0.85,0.85-0.05*(fc_-28)/7))*M38)),$C$6:$C$4005)*0.85*fc_+SUMPRODUCT($K$6:$K$405,(IF(Es_*(0.003*(M38-(hthan*500-$J$6:$J$405))/M38)&gt;fy_,fy_,IF(Es_*(0.003*(M38-(hthan*500-$J$6:$J$405))/M38)&lt;-fy_,-fy_,Es_*(0.003*(M38-(hthan*500-$J$6:$J$405))/M38)))-0.85*fc_*--($J$6:$J$405&gt;=(hthan*500-MAX(0.65,MIN(0.85,0.85-0.05*(fc_-28)/7))*M38))),$J$6:$J$405))/1000000)</f>
        <v>6815.0280000000002</v>
      </c>
      <c r="P38" s="52">
        <f t="shared" ref="P38:P69" si="24">0.003*(M38-(hthan*500-MIN($J$6:$J$405)))/M38</f>
        <v>-4.0581767816496875E-2</v>
      </c>
      <c r="Q38" s="52">
        <f t="shared" ref="Q38:Q69" si="25">MIN(0.9,MAX(0.75,0.75+0.15*((-P38)-0.002)/0.003))</f>
        <v>0.9</v>
      </c>
      <c r="R38" s="52">
        <f>Q38*MIN(N38,0.8*(0.85*fc_*(Agth*1000000-'KT THAN'!$D$11)+fy_*'KT THAN'!$D$11)/1000)</f>
        <v>10542.117597941897</v>
      </c>
      <c r="S38" s="52">
        <f t="shared" ref="S38:S69" si="26">Q38*O38</f>
        <v>6133.5252</v>
      </c>
      <c r="T38" s="52"/>
      <c r="U38" s="52">
        <f>bthan*1000*0.01*1.06^32</f>
        <v>354.93626750369361</v>
      </c>
      <c r="V38" s="52">
        <f t="shared" ref="V38:V69" si="27">(SUMPRODUCT($E$6:$E$4005,$D$6:$D$4005,--($B$6:$B$4005&gt;=(bthan*500-MAX(0.65,MIN(0.85,0.85-0.05*(fc_-28)/7))*U38)))*0.85*fc_+SUMPRODUCT($K$6:$K$405,(IF(Es_*(0.003*(U38-(bthan*500-$I$6:$I$405))/U38)&gt;fy_,fy_,IF(Es_*(0.003*(U38-(bthan*500-$I$6:$I$405))/U38)&lt;-fy_,-fy_,Es_*(0.003*(U38-(bthan*500-$I$6:$I$405))/U38)))-0.85*fc_*--($I$6:$I$405&gt;=(bthan*500-MAX(0.65,MIN(0.85,0.85-0.05*(fc_-28)/7))*U38)))))/1000</f>
        <v>-50410.135593078463</v>
      </c>
      <c r="W38" s="52">
        <f t="shared" ref="W38:W69" si="28">ABS((SUMPRODUCT($E$6:$E$4005,$D$6:$D$4005,--($B$6:$B$4005&gt;=(bthan*500-MAX(0.65,MIN(0.85,0.85-0.05*(fc_-28)/7))*U38)),$B$6:$B$4005)*0.85*fc_+SUMPRODUCT($K$6:$K$405,(IF(Es_*(0.003*(U38-(bthan*500-$I$6:$I$405))/U38)&gt;fy_,fy_,IF(Es_*(0.003*(U38-(bthan*500-$I$6:$I$405))/U38)&lt;-fy_,-fy_,Es_*(0.003*(U38-(bthan*500-$I$6:$I$405))/U38)))-0.85*fc_*--($I$6:$I$405&gt;=(bthan*500-MAX(0.65,MIN(0.85,0.85-0.05*(fc_-28)/7))*U38))),$I$6:$I$405))/1000000)</f>
        <v>19193.448937688681</v>
      </c>
      <c r="X38" s="52">
        <f t="shared" ref="X38:X69" si="29">0.003*(U38-(bthan*500-MIN($I$6:$I$405)))/U38</f>
        <v>-4.2629080163332493E-2</v>
      </c>
      <c r="Y38" s="52">
        <f t="shared" ref="Y38:Y69" si="30">MIN(0.9,MAX(0.75,0.75+0.15*((-X38)-0.002)/0.003))</f>
        <v>0.9</v>
      </c>
      <c r="Z38" s="52">
        <f>Y38*MIN(V38,0.8*(0.85*fc_*(Agth*1000000-'KT THAN'!$D$11)+fy_*'KT THAN'!$D$11)/1000)</f>
        <v>-45369.122033770618</v>
      </c>
      <c r="AA38" s="52">
        <f t="shared" ref="AA38:AA69" si="31">Y38*W38</f>
        <v>17274.104043919815</v>
      </c>
      <c r="AB38" s="52"/>
      <c r="AC38" s="52">
        <f>SMALL($R$6:$R$125,ROWS($AC$6:AC38))</f>
        <v>10542.117597941897</v>
      </c>
      <c r="AD38" s="52">
        <f t="shared" ref="AD38:AD69" si="32">INDEX($S$6:$S$125,MATCH(AC38,$R$6:$R$125,0))</f>
        <v>6133.5252</v>
      </c>
      <c r="AE38" s="52">
        <f>SMALL($Z$6:$Z$125,ROWS($AE$6:AE38))</f>
        <v>-45369.122033770618</v>
      </c>
      <c r="AF38" s="52">
        <f t="shared" ref="AF38:AF69" si="33">INDEX($AA$6:$AA$125,MATCH(AE38,$Z$6:$Z$125,0))</f>
        <v>17274.104043919815</v>
      </c>
      <c r="AG38" s="52">
        <f>SMALL($AK$6:$AK$125,ROWS($AG$6:AG38))</f>
        <v>9.9999999999999997E+98</v>
      </c>
      <c r="AH38" s="52">
        <f t="shared" ref="AH38:AH69" si="34">INDEX($R$6:$R$125,MATCH(AG38,$AK$6:$AK$125,0))</f>
        <v>-50196.63221187015</v>
      </c>
      <c r="AI38" s="52">
        <f>SMALL($AL$6:$AL$125,ROWS($AI$6:AI38))</f>
        <v>9.9999999999999997E+98</v>
      </c>
      <c r="AJ38" s="52">
        <f t="shared" ref="AJ38:AJ69" si="35">INDEX($Z$6:$Z$125,MATCH(AI38,$AL$6:$AL$125,0))</f>
        <v>-52115.252211870153</v>
      </c>
      <c r="AK38" s="52">
        <f t="shared" ref="AK38:AK69" si="36">IF(AND(R38&gt;0,AM38=1),S38/R38,1E+99)</f>
        <v>9.9999999999999997E+98</v>
      </c>
      <c r="AL38" s="52">
        <f t="shared" ref="AL38:AL69" si="37">IF(AND(Z38&gt;0,AN38=1),AA38/Z38,1E+99)</f>
        <v>9.9999999999999997E+98</v>
      </c>
      <c r="AM38" s="52">
        <f t="shared" ref="AM38:AM69" si="38">--(SUMPRODUCT(--($R$6:$R$125&gt;=R38),--($S$6:$S$125&gt;S38))=0)</f>
        <v>0</v>
      </c>
      <c r="AN38" s="52">
        <f t="shared" ref="AN38:AN69" si="39">--(SUMPRODUCT(--($Z$6:$Z$125&gt;=Z38),--($AA$6:$AA$125&gt;AA38))=0)</f>
        <v>0</v>
      </c>
    </row>
    <row r="39" spans="1:40" x14ac:dyDescent="0.3">
      <c r="A39" s="52">
        <v>34</v>
      </c>
      <c r="B39" s="52">
        <f>-bthan*500+(33+0.5)*bthan*1000/50</f>
        <v>935</v>
      </c>
      <c r="C39" s="52">
        <f t="shared" si="21"/>
        <v>-790</v>
      </c>
      <c r="D39" s="52">
        <f t="shared" si="1"/>
        <v>2200</v>
      </c>
      <c r="E39" s="52">
        <f t="shared" si="2"/>
        <v>1</v>
      </c>
      <c r="F39" s="52"/>
      <c r="G39" s="52">
        <f>IF(34&lt;='KT THAN'!$C$11,34,"")</f>
        <v>34</v>
      </c>
      <c r="H39" s="52">
        <f>IF(G39="",0,2*PI()*(G39-0.5)/'KT THAN'!$C$11)</f>
        <v>1.1693705988362006</v>
      </c>
      <c r="I39" s="52">
        <f>IF(G39="",0,IF(shp=1,IF(AND(ABS(SIN(H39))&gt;0.0000001,MAX(1,hthan*500-'KT THAN'!$D$12)*ABS(COS(H39))/ABS(SIN(H39))&lt;=MAX(0,(bthan-hthan)*500)),MAX(1,hthan*500-'KT THAN'!$D$12)/ABS(SIN(H39)),MAX(0,(bthan-hthan)*500)*ABS(COS(H39))+SQRT(MAX(0,MAX(1,hthan*500-'KT THAN'!$D$12)^2-MAX(0,(bthan-hthan)*500)^2*SIN(H39)^2))),MIN((bthan*500-'KT THAN'!$D$12)/MAX(0.0000001,ABS(COS(H39))),(hthan*500-'KT THAN'!$D$12)/MAX(0.0000001,ABS(SIN(H39)))))*COS(H39))</f>
        <v>297.13237134672352</v>
      </c>
      <c r="J39" s="52">
        <f>IF(G39="",0,IF(shp=1,IF(AND(ABS(SIN(H39))&gt;0.0000001,MAX(1,hthan*500-'KT THAN'!$D$12)*ABS(COS(H39))/ABS(SIN(H39))&lt;=MAX(0,(bthan-hthan)*500)),MAX(1,hthan*500-'KT THAN'!$D$12)/ABS(SIN(H39)),MAX(0,(bthan-hthan)*500)*ABS(COS(H39))+SQRT(MAX(0,MAX(1,hthan*500-'KT THAN'!$D$12)^2-MAX(0,(bthan-hthan)*500)^2*SIN(H39)^2))),MIN((bthan*500-'KT THAN'!$D$12)/MAX(0.0000001,ABS(COS(H39))),(hthan*500-'KT THAN'!$D$12)/MAX(0.0000001,ABS(SIN(H39)))))*SIN(H39))</f>
        <v>700</v>
      </c>
      <c r="K39" s="52">
        <f>IF(G39="",0,'KT THAN'!$D$11/'KT THAN'!$C$11)</f>
        <v>804.24771931898704</v>
      </c>
      <c r="L39" s="52"/>
      <c r="M39" s="52">
        <f>hthan*1000*0.01*1.06^33</f>
        <v>109.44943812477534</v>
      </c>
      <c r="N39" s="52">
        <f t="shared" si="22"/>
        <v>18831.246432924756</v>
      </c>
      <c r="O39" s="52">
        <f t="shared" si="23"/>
        <v>8487.9299999999985</v>
      </c>
      <c r="P39" s="52">
        <f t="shared" si="24"/>
        <v>-3.8114875298581957E-2</v>
      </c>
      <c r="Q39" s="52">
        <f t="shared" si="25"/>
        <v>0.9</v>
      </c>
      <c r="R39" s="52">
        <f>Q39*MIN(N39,0.8*(0.85*fc_*(Agth*1000000-'KT THAN'!$D$11)+fy_*'KT THAN'!$D$11)/1000)</f>
        <v>16948.121789632281</v>
      </c>
      <c r="S39" s="52">
        <f t="shared" si="26"/>
        <v>7639.1369999999988</v>
      </c>
      <c r="T39" s="52"/>
      <c r="U39" s="52">
        <f>bthan*1000*0.01*1.06^33</f>
        <v>376.23244355391523</v>
      </c>
      <c r="V39" s="52">
        <f t="shared" si="27"/>
        <v>-50410.135593078463</v>
      </c>
      <c r="W39" s="52">
        <f t="shared" si="28"/>
        <v>19193.448937688681</v>
      </c>
      <c r="X39" s="52">
        <f t="shared" si="29"/>
        <v>-4.0046302040879715E-2</v>
      </c>
      <c r="Y39" s="52">
        <f t="shared" si="30"/>
        <v>0.9</v>
      </c>
      <c r="Z39" s="52">
        <f>Y39*MIN(V39,0.8*(0.85*fc_*(Agth*1000000-'KT THAN'!$D$11)+fy_*'KT THAN'!$D$11)/1000)</f>
        <v>-45369.122033770618</v>
      </c>
      <c r="AA39" s="52">
        <f t="shared" si="31"/>
        <v>17274.104043919815</v>
      </c>
      <c r="AB39" s="52"/>
      <c r="AC39" s="52">
        <f>SMALL($R$6:$R$125,ROWS($AC$6:AC39))</f>
        <v>16948.121789632281</v>
      </c>
      <c r="AD39" s="52">
        <f t="shared" si="32"/>
        <v>7639.1369999999988</v>
      </c>
      <c r="AE39" s="52">
        <f>SMALL($Z$6:$Z$125,ROWS($AE$6:AE39))</f>
        <v>-45369.122033770618</v>
      </c>
      <c r="AF39" s="52">
        <f t="shared" si="33"/>
        <v>17274.104043919815</v>
      </c>
      <c r="AG39" s="52">
        <f>SMALL($AK$6:$AK$125,ROWS($AG$6:AG39))</f>
        <v>9.9999999999999997E+98</v>
      </c>
      <c r="AH39" s="52">
        <f t="shared" si="34"/>
        <v>-50196.63221187015</v>
      </c>
      <c r="AI39" s="52">
        <f>SMALL($AL$6:$AL$125,ROWS($AI$6:AI39))</f>
        <v>9.9999999999999997E+98</v>
      </c>
      <c r="AJ39" s="52">
        <f t="shared" si="35"/>
        <v>-52115.252211870153</v>
      </c>
      <c r="AK39" s="52">
        <f t="shared" si="36"/>
        <v>9.9999999999999997E+98</v>
      </c>
      <c r="AL39" s="52">
        <f t="shared" si="37"/>
        <v>9.9999999999999997E+98</v>
      </c>
      <c r="AM39" s="52">
        <f t="shared" si="38"/>
        <v>0</v>
      </c>
      <c r="AN39" s="52">
        <f t="shared" si="39"/>
        <v>0</v>
      </c>
    </row>
    <row r="40" spans="1:40" x14ac:dyDescent="0.3">
      <c r="A40" s="52">
        <v>35</v>
      </c>
      <c r="B40" s="52">
        <f>-bthan*500+(34+0.5)*bthan*1000/50</f>
        <v>1045</v>
      </c>
      <c r="C40" s="52">
        <f t="shared" si="21"/>
        <v>-790</v>
      </c>
      <c r="D40" s="52">
        <f t="shared" si="1"/>
        <v>2200</v>
      </c>
      <c r="E40" s="52">
        <f t="shared" si="2"/>
        <v>1</v>
      </c>
      <c r="F40" s="52"/>
      <c r="G40" s="52">
        <f>IF(35&lt;='KT THAN'!$C$11,35,"")</f>
        <v>35</v>
      </c>
      <c r="H40" s="52">
        <f>IF(G40="",0,2*PI()*(G40-0.5)/'KT THAN'!$C$11)</f>
        <v>1.2042771838760873</v>
      </c>
      <c r="I40" s="52">
        <f>IF(G40="",0,IF(shp=1,IF(AND(ABS(SIN(H40))&gt;0.0000001,MAX(1,hthan*500-'KT THAN'!$D$12)*ABS(COS(H40))/ABS(SIN(H40))&lt;=MAX(0,(bthan-hthan)*500)),MAX(1,hthan*500-'KT THAN'!$D$12)/ABS(SIN(H40)),MAX(0,(bthan-hthan)*500)*ABS(COS(H40))+SQRT(MAX(0,MAX(1,hthan*500-'KT THAN'!$D$12)^2-MAX(0,(bthan-hthan)*500)^2*SIN(H40)^2))),MIN((bthan*500-'KT THAN'!$D$12)/MAX(0.0000001,ABS(COS(H40))),(hthan*500-'KT THAN'!$D$12)/MAX(0.0000001,ABS(SIN(H40)))))*COS(H40))</f>
        <v>268.70482452479109</v>
      </c>
      <c r="J40" s="52">
        <f>IF(G40="",0,IF(shp=1,IF(AND(ABS(SIN(H40))&gt;0.0000001,MAX(1,hthan*500-'KT THAN'!$D$12)*ABS(COS(H40))/ABS(SIN(H40))&lt;=MAX(0,(bthan-hthan)*500)),MAX(1,hthan*500-'KT THAN'!$D$12)/ABS(SIN(H40)),MAX(0,(bthan-hthan)*500)*ABS(COS(H40))+SQRT(MAX(0,MAX(1,hthan*500-'KT THAN'!$D$12)^2-MAX(0,(bthan-hthan)*500)^2*SIN(H40)^2))),MIN((bthan*500-'KT THAN'!$D$12)/MAX(0.0000001,ABS(COS(H40))),(hthan*500-'KT THAN'!$D$12)/MAX(0.0000001,ABS(SIN(H40)))))*SIN(H40))</f>
        <v>700</v>
      </c>
      <c r="K40" s="52">
        <f>IF(G40="",0,'KT THAN'!$D$11/'KT THAN'!$C$11)</f>
        <v>804.24771931898704</v>
      </c>
      <c r="L40" s="52"/>
      <c r="M40" s="52">
        <f>hthan*1000*0.01*1.06^34</f>
        <v>116.01640441226188</v>
      </c>
      <c r="N40" s="52">
        <f t="shared" si="22"/>
        <v>23323.305334067783</v>
      </c>
      <c r="O40" s="52">
        <f t="shared" si="23"/>
        <v>8487.93</v>
      </c>
      <c r="P40" s="52">
        <f t="shared" si="24"/>
        <v>-3.578761820620939E-2</v>
      </c>
      <c r="Q40" s="52">
        <f t="shared" si="25"/>
        <v>0.9</v>
      </c>
      <c r="R40" s="52">
        <f>Q40*MIN(N40,0.8*(0.85*fc_*(Agth*1000000-'KT THAN'!$D$11)+fy_*'KT THAN'!$D$11)/1000)</f>
        <v>20990.974800661006</v>
      </c>
      <c r="S40" s="52">
        <f t="shared" si="26"/>
        <v>7639.1370000000006</v>
      </c>
      <c r="T40" s="52"/>
      <c r="U40" s="52">
        <f>bthan*1000*0.01*1.06^34</f>
        <v>398.8063901671502</v>
      </c>
      <c r="V40" s="52">
        <f t="shared" si="27"/>
        <v>-50410.135593078463</v>
      </c>
      <c r="W40" s="52">
        <f t="shared" si="28"/>
        <v>19193.448937688681</v>
      </c>
      <c r="X40" s="52">
        <f t="shared" si="29"/>
        <v>-3.7609718906490286E-2</v>
      </c>
      <c r="Y40" s="52">
        <f t="shared" si="30"/>
        <v>0.9</v>
      </c>
      <c r="Z40" s="52">
        <f>Y40*MIN(V40,0.8*(0.85*fc_*(Agth*1000000-'KT THAN'!$D$11)+fy_*'KT THAN'!$D$11)/1000)</f>
        <v>-45369.122033770618</v>
      </c>
      <c r="AA40" s="52">
        <f t="shared" si="31"/>
        <v>17274.104043919815</v>
      </c>
      <c r="AB40" s="52"/>
      <c r="AC40" s="52">
        <f>SMALL($R$6:$R$125,ROWS($AC$6:AC40))</f>
        <v>20990.974800661006</v>
      </c>
      <c r="AD40" s="52">
        <f t="shared" si="32"/>
        <v>7639.1370000000006</v>
      </c>
      <c r="AE40" s="52">
        <f>SMALL($Z$6:$Z$125,ROWS($AE$6:AE40))</f>
        <v>-45369.122033770618</v>
      </c>
      <c r="AF40" s="52">
        <f t="shared" si="33"/>
        <v>17274.104043919815</v>
      </c>
      <c r="AG40" s="52">
        <f>SMALL($AK$6:$AK$125,ROWS($AG$6:AG40))</f>
        <v>9.9999999999999997E+98</v>
      </c>
      <c r="AH40" s="52">
        <f t="shared" si="34"/>
        <v>-50196.63221187015</v>
      </c>
      <c r="AI40" s="52">
        <f>SMALL($AL$6:$AL$125,ROWS($AI$6:AI40))</f>
        <v>9.9999999999999997E+98</v>
      </c>
      <c r="AJ40" s="52">
        <f t="shared" si="35"/>
        <v>-52115.252211870153</v>
      </c>
      <c r="AK40" s="52">
        <f t="shared" si="36"/>
        <v>9.9999999999999997E+98</v>
      </c>
      <c r="AL40" s="52">
        <f t="shared" si="37"/>
        <v>9.9999999999999997E+98</v>
      </c>
      <c r="AM40" s="52">
        <f t="shared" si="38"/>
        <v>0</v>
      </c>
      <c r="AN40" s="52">
        <f t="shared" si="39"/>
        <v>0</v>
      </c>
    </row>
    <row r="41" spans="1:40" x14ac:dyDescent="0.3">
      <c r="A41" s="52">
        <v>36</v>
      </c>
      <c r="B41" s="52">
        <f>-bthan*500+(35+0.5)*bthan*1000/50</f>
        <v>1155</v>
      </c>
      <c r="C41" s="52">
        <f t="shared" si="21"/>
        <v>-790</v>
      </c>
      <c r="D41" s="52">
        <f t="shared" si="1"/>
        <v>2200</v>
      </c>
      <c r="E41" s="52">
        <f t="shared" si="2"/>
        <v>1</v>
      </c>
      <c r="F41" s="52"/>
      <c r="G41" s="52">
        <f>IF(36&lt;='KT THAN'!$C$11,36,"")</f>
        <v>36</v>
      </c>
      <c r="H41" s="52">
        <f>IF(G41="",0,2*PI()*(G41-0.5)/'KT THAN'!$C$11)</f>
        <v>1.2391837689159739</v>
      </c>
      <c r="I41" s="52">
        <f>IF(G41="",0,IF(shp=1,IF(AND(ABS(SIN(H41))&gt;0.0000001,MAX(1,hthan*500-'KT THAN'!$D$12)*ABS(COS(H41))/ABS(SIN(H41))&lt;=MAX(0,(bthan-hthan)*500)),MAX(1,hthan*500-'KT THAN'!$D$12)/ABS(SIN(H41)),MAX(0,(bthan-hthan)*500)*ABS(COS(H41))+SQRT(MAX(0,MAX(1,hthan*500-'KT THAN'!$D$12)^2-MAX(0,(bthan-hthan)*500)^2*SIN(H41)^2))),MIN((bthan*500-'KT THAN'!$D$12)/MAX(0.0000001,ABS(COS(H41))),(hthan*500-'KT THAN'!$D$12)/MAX(0.0000001,ABS(SIN(H41)))))*COS(H41))</f>
        <v>241.02932930276575</v>
      </c>
      <c r="J41" s="52">
        <f>IF(G41="",0,IF(shp=1,IF(AND(ABS(SIN(H41))&gt;0.0000001,MAX(1,hthan*500-'KT THAN'!$D$12)*ABS(COS(H41))/ABS(SIN(H41))&lt;=MAX(0,(bthan-hthan)*500)),MAX(1,hthan*500-'KT THAN'!$D$12)/ABS(SIN(H41)),MAX(0,(bthan-hthan)*500)*ABS(COS(H41))+SQRT(MAX(0,MAX(1,hthan*500-'KT THAN'!$D$12)^2-MAX(0,(bthan-hthan)*500)^2*SIN(H41)^2))),MIN((bthan*500-'KT THAN'!$D$12)/MAX(0.0000001,ABS(COS(H41))),(hthan*500-'KT THAN'!$D$12)/MAX(0.0000001,ABS(SIN(H41)))))*SIN(H41))</f>
        <v>700</v>
      </c>
      <c r="K41" s="52">
        <f>IF(G41="",0,'KT THAN'!$D$11/'KT THAN'!$C$11)</f>
        <v>804.24771931898704</v>
      </c>
      <c r="L41" s="52"/>
      <c r="M41" s="52">
        <f>hthan*1000*0.01*1.06^35</f>
        <v>122.97738867699761</v>
      </c>
      <c r="N41" s="52">
        <f t="shared" si="22"/>
        <v>26125.514571255953</v>
      </c>
      <c r="O41" s="52">
        <f t="shared" si="23"/>
        <v>7483.0224747109332</v>
      </c>
      <c r="P41" s="52">
        <f t="shared" si="24"/>
        <v>-3.3592092647367344E-2</v>
      </c>
      <c r="Q41" s="52">
        <f t="shared" si="25"/>
        <v>0.9</v>
      </c>
      <c r="R41" s="52">
        <f>Q41*MIN(N41,0.8*(0.85*fc_*(Agth*1000000-'KT THAN'!$D$11)+fy_*'KT THAN'!$D$11)/1000)</f>
        <v>23512.963114130358</v>
      </c>
      <c r="S41" s="52">
        <f t="shared" si="26"/>
        <v>6734.7202272398399</v>
      </c>
      <c r="T41" s="52"/>
      <c r="U41" s="52">
        <f>bthan*1000*0.01*1.06^35</f>
        <v>422.73477357717928</v>
      </c>
      <c r="V41" s="52">
        <f t="shared" si="27"/>
        <v>-50410.135593078463</v>
      </c>
      <c r="W41" s="52">
        <f t="shared" si="28"/>
        <v>19193.448937688681</v>
      </c>
      <c r="X41" s="52">
        <f t="shared" si="29"/>
        <v>-3.5311055572160646E-2</v>
      </c>
      <c r="Y41" s="52">
        <f t="shared" si="30"/>
        <v>0.9</v>
      </c>
      <c r="Z41" s="52">
        <f>Y41*MIN(V41,0.8*(0.85*fc_*(Agth*1000000-'KT THAN'!$D$11)+fy_*'KT THAN'!$D$11)/1000)</f>
        <v>-45369.122033770618</v>
      </c>
      <c r="AA41" s="52">
        <f t="shared" si="31"/>
        <v>17274.104043919815</v>
      </c>
      <c r="AB41" s="52"/>
      <c r="AC41" s="52">
        <f>SMALL($R$6:$R$125,ROWS($AC$6:AC41))</f>
        <v>23512.963114130358</v>
      </c>
      <c r="AD41" s="52">
        <f t="shared" si="32"/>
        <v>6734.7202272398399</v>
      </c>
      <c r="AE41" s="52">
        <f>SMALL($Z$6:$Z$125,ROWS($AE$6:AE41))</f>
        <v>-45369.122033770618</v>
      </c>
      <c r="AF41" s="52">
        <f t="shared" si="33"/>
        <v>17274.104043919815</v>
      </c>
      <c r="AG41" s="52">
        <f>SMALL($AK$6:$AK$125,ROWS($AG$6:AG41))</f>
        <v>9.9999999999999997E+98</v>
      </c>
      <c r="AH41" s="52">
        <f t="shared" si="34"/>
        <v>-50196.63221187015</v>
      </c>
      <c r="AI41" s="52">
        <f>SMALL($AL$6:$AL$125,ROWS($AI$6:AI41))</f>
        <v>9.9999999999999997E+98</v>
      </c>
      <c r="AJ41" s="52">
        <f t="shared" si="35"/>
        <v>-52115.252211870153</v>
      </c>
      <c r="AK41" s="52">
        <f t="shared" si="36"/>
        <v>9.9999999999999997E+98</v>
      </c>
      <c r="AL41" s="52">
        <f t="shared" si="37"/>
        <v>9.9999999999999997E+98</v>
      </c>
      <c r="AM41" s="52">
        <f t="shared" si="38"/>
        <v>0</v>
      </c>
      <c r="AN41" s="52">
        <f t="shared" si="39"/>
        <v>0</v>
      </c>
    </row>
    <row r="42" spans="1:40" x14ac:dyDescent="0.3">
      <c r="A42" s="52">
        <v>37</v>
      </c>
      <c r="B42" s="52">
        <f>-bthan*500+(36+0.5)*bthan*1000/50</f>
        <v>1265</v>
      </c>
      <c r="C42" s="52">
        <f t="shared" si="21"/>
        <v>-790</v>
      </c>
      <c r="D42" s="52">
        <f t="shared" si="1"/>
        <v>2200</v>
      </c>
      <c r="E42" s="52">
        <f t="shared" si="2"/>
        <v>1</v>
      </c>
      <c r="F42" s="52"/>
      <c r="G42" s="52">
        <f>IF(37&lt;='KT THAN'!$C$11,37,"")</f>
        <v>37</v>
      </c>
      <c r="H42" s="52">
        <f>IF(G42="",0,2*PI()*(G42-0.5)/'KT THAN'!$C$11)</f>
        <v>1.2740903539558606</v>
      </c>
      <c r="I42" s="52">
        <f>IF(G42="",0,IF(shp=1,IF(AND(ABS(SIN(H42))&gt;0.0000001,MAX(1,hthan*500-'KT THAN'!$D$12)*ABS(COS(H42))/ABS(SIN(H42))&lt;=MAX(0,(bthan-hthan)*500)),MAX(1,hthan*500-'KT THAN'!$D$12)/ABS(SIN(H42)),MAX(0,(bthan-hthan)*500)*ABS(COS(H42))+SQRT(MAX(0,MAX(1,hthan*500-'KT THAN'!$D$12)^2-MAX(0,(bthan-hthan)*500)^2*SIN(H42)^2))),MIN((bthan*500-'KT THAN'!$D$12)/MAX(0.0000001,ABS(COS(H42))),(hthan*500-'KT THAN'!$D$12)/MAX(0.0000001,ABS(SIN(H42)))))*COS(H42))</f>
        <v>214.01147702106229</v>
      </c>
      <c r="J42" s="52">
        <f>IF(G42="",0,IF(shp=1,IF(AND(ABS(SIN(H42))&gt;0.0000001,MAX(1,hthan*500-'KT THAN'!$D$12)*ABS(COS(H42))/ABS(SIN(H42))&lt;=MAX(0,(bthan-hthan)*500)),MAX(1,hthan*500-'KT THAN'!$D$12)/ABS(SIN(H42)),MAX(0,(bthan-hthan)*500)*ABS(COS(H42))+SQRT(MAX(0,MAX(1,hthan*500-'KT THAN'!$D$12)^2-MAX(0,(bthan-hthan)*500)^2*SIN(H42)^2))),MIN((bthan*500-'KT THAN'!$D$12)/MAX(0.0000001,ABS(COS(H42))),(hthan*500-'KT THAN'!$D$12)/MAX(0.0000001,ABS(SIN(H42)))))*SIN(H42))</f>
        <v>700</v>
      </c>
      <c r="K42" s="52">
        <f>IF(G42="",0,'KT THAN'!$D$11/'KT THAN'!$C$11)</f>
        <v>804.24771931898704</v>
      </c>
      <c r="L42" s="52"/>
      <c r="M42" s="52">
        <f>hthan*1000*0.01*1.06^36</f>
        <v>130.35603199761746</v>
      </c>
      <c r="N42" s="52">
        <f t="shared" si="22"/>
        <v>30082.414367922189</v>
      </c>
      <c r="O42" s="52">
        <f t="shared" si="23"/>
        <v>7454.4636527375187</v>
      </c>
      <c r="P42" s="52">
        <f t="shared" si="24"/>
        <v>-3.152084212015787E-2</v>
      </c>
      <c r="Q42" s="52">
        <f t="shared" si="25"/>
        <v>0.9</v>
      </c>
      <c r="R42" s="52">
        <f>Q42*MIN(N42,0.8*(0.85*fc_*(Agth*1000000-'KT THAN'!$D$11)+fy_*'KT THAN'!$D$11)/1000)</f>
        <v>27074.172931129971</v>
      </c>
      <c r="S42" s="52">
        <f t="shared" si="26"/>
        <v>6709.0172874637674</v>
      </c>
      <c r="T42" s="52"/>
      <c r="U42" s="52">
        <f>bthan*1000*0.01*1.06^36</f>
        <v>448.09885999181006</v>
      </c>
      <c r="V42" s="52">
        <f t="shared" si="27"/>
        <v>-50451.152226763734</v>
      </c>
      <c r="W42" s="52">
        <f t="shared" si="28"/>
        <v>19095.712299509109</v>
      </c>
      <c r="X42" s="52">
        <f t="shared" si="29"/>
        <v>-3.3142505256755321E-2</v>
      </c>
      <c r="Y42" s="52">
        <f t="shared" si="30"/>
        <v>0.9</v>
      </c>
      <c r="Z42" s="52">
        <f>Y42*MIN(V42,0.8*(0.85*fc_*(Agth*1000000-'KT THAN'!$D$11)+fy_*'KT THAN'!$D$11)/1000)</f>
        <v>-45406.03700408736</v>
      </c>
      <c r="AA42" s="52">
        <f t="shared" si="31"/>
        <v>17186.141069558198</v>
      </c>
      <c r="AB42" s="52"/>
      <c r="AC42" s="52">
        <f>SMALL($R$6:$R$125,ROWS($AC$6:AC42))</f>
        <v>27074.172931129971</v>
      </c>
      <c r="AD42" s="52">
        <f t="shared" si="32"/>
        <v>6709.0172874637674</v>
      </c>
      <c r="AE42" s="52">
        <f>SMALL($Z$6:$Z$125,ROWS($AE$6:AE42))</f>
        <v>-45332.207063453869</v>
      </c>
      <c r="AF42" s="52">
        <f t="shared" si="33"/>
        <v>17364.953044875128</v>
      </c>
      <c r="AG42" s="52">
        <f>SMALL($AK$6:$AK$125,ROWS($AG$6:AG42))</f>
        <v>9.9999999999999997E+98</v>
      </c>
      <c r="AH42" s="52">
        <f t="shared" si="34"/>
        <v>-50196.63221187015</v>
      </c>
      <c r="AI42" s="52">
        <f>SMALL($AL$6:$AL$125,ROWS($AI$6:AI42))</f>
        <v>9.9999999999999997E+98</v>
      </c>
      <c r="AJ42" s="52">
        <f t="shared" si="35"/>
        <v>-52115.252211870153</v>
      </c>
      <c r="AK42" s="52">
        <f t="shared" si="36"/>
        <v>9.9999999999999997E+98</v>
      </c>
      <c r="AL42" s="52">
        <f t="shared" si="37"/>
        <v>9.9999999999999997E+98</v>
      </c>
      <c r="AM42" s="52">
        <f t="shared" si="38"/>
        <v>0</v>
      </c>
      <c r="AN42" s="52">
        <f t="shared" si="39"/>
        <v>0</v>
      </c>
    </row>
    <row r="43" spans="1:40" x14ac:dyDescent="0.3">
      <c r="A43" s="52">
        <v>38</v>
      </c>
      <c r="B43" s="52">
        <f>-bthan*500+(37+0.5)*bthan*1000/50</f>
        <v>1375</v>
      </c>
      <c r="C43" s="52">
        <f t="shared" si="21"/>
        <v>-790</v>
      </c>
      <c r="D43" s="52">
        <f t="shared" si="1"/>
        <v>2200</v>
      </c>
      <c r="E43" s="52">
        <f t="shared" si="2"/>
        <v>1</v>
      </c>
      <c r="F43" s="52"/>
      <c r="G43" s="52">
        <f>IF(38&lt;='KT THAN'!$C$11,38,"")</f>
        <v>38</v>
      </c>
      <c r="H43" s="52">
        <f>IF(G43="",0,2*PI()*(G43-0.5)/'KT THAN'!$C$11)</f>
        <v>1.3089969389957472</v>
      </c>
      <c r="I43" s="52">
        <f>IF(G43="",0,IF(shp=1,IF(AND(ABS(SIN(H43))&gt;0.0000001,MAX(1,hthan*500-'KT THAN'!$D$12)*ABS(COS(H43))/ABS(SIN(H43))&lt;=MAX(0,(bthan-hthan)*500)),MAX(1,hthan*500-'KT THAN'!$D$12)/ABS(SIN(H43)),MAX(0,(bthan-hthan)*500)*ABS(COS(H43))+SQRT(MAX(0,MAX(1,hthan*500-'KT THAN'!$D$12)^2-MAX(0,(bthan-hthan)*500)^2*SIN(H43)^2))),MIN((bthan*500-'KT THAN'!$D$12)/MAX(0.0000001,ABS(COS(H43))),(hthan*500-'KT THAN'!$D$12)/MAX(0.0000001,ABS(SIN(H43)))))*COS(H43))</f>
        <v>187.56443470178587</v>
      </c>
      <c r="J43" s="52">
        <f>IF(G43="",0,IF(shp=1,IF(AND(ABS(SIN(H43))&gt;0.0000001,MAX(1,hthan*500-'KT THAN'!$D$12)*ABS(COS(H43))/ABS(SIN(H43))&lt;=MAX(0,(bthan-hthan)*500)),MAX(1,hthan*500-'KT THAN'!$D$12)/ABS(SIN(H43)),MAX(0,(bthan-hthan)*500)*ABS(COS(H43))+SQRT(MAX(0,MAX(1,hthan*500-'KT THAN'!$D$12)^2-MAX(0,(bthan-hthan)*500)^2*SIN(H43)^2))),MIN((bthan*500-'KT THAN'!$D$12)/MAX(0.0000001,ABS(COS(H43))),(hthan*500-'KT THAN'!$D$12)/MAX(0.0000001,ABS(SIN(H43)))))*SIN(H43))</f>
        <v>700</v>
      </c>
      <c r="K43" s="52">
        <f>IF(G43="",0,'KT THAN'!$D$11/'KT THAN'!$C$11)</f>
        <v>804.24771931898704</v>
      </c>
      <c r="L43" s="52"/>
      <c r="M43" s="52">
        <f>hthan*1000*0.01*1.06^37</f>
        <v>138.17739391747452</v>
      </c>
      <c r="N43" s="52">
        <f t="shared" si="22"/>
        <v>36210.233641838742</v>
      </c>
      <c r="O43" s="52">
        <f t="shared" si="23"/>
        <v>9080.2416527375008</v>
      </c>
      <c r="P43" s="52">
        <f t="shared" si="24"/>
        <v>-2.956683218882818E-2</v>
      </c>
      <c r="Q43" s="52">
        <f t="shared" si="25"/>
        <v>0.9</v>
      </c>
      <c r="R43" s="52">
        <f>Q43*MIN(N43,0.8*(0.85*fc_*(Agth*1000000-'KT THAN'!$D$11)+fy_*'KT THAN'!$D$11)/1000)</f>
        <v>32589.210277654867</v>
      </c>
      <c r="S43" s="52">
        <f t="shared" si="26"/>
        <v>8172.2174874637512</v>
      </c>
      <c r="T43" s="52"/>
      <c r="U43" s="52">
        <f>bthan*1000*0.01*1.06^37</f>
        <v>474.98479159131864</v>
      </c>
      <c r="V43" s="52">
        <f t="shared" si="27"/>
        <v>-46636.352226763731</v>
      </c>
      <c r="W43" s="52">
        <f t="shared" si="28"/>
        <v>28117.714299509109</v>
      </c>
      <c r="X43" s="52">
        <f t="shared" si="29"/>
        <v>-3.1096703072410681E-2</v>
      </c>
      <c r="Y43" s="52">
        <f t="shared" si="30"/>
        <v>0.9</v>
      </c>
      <c r="Z43" s="52">
        <f>Y43*MIN(V43,0.8*(0.85*fc_*(Agth*1000000-'KT THAN'!$D$11)+fy_*'KT THAN'!$D$11)/1000)</f>
        <v>-41972.717004087361</v>
      </c>
      <c r="AA43" s="52">
        <f t="shared" si="31"/>
        <v>25305.942869558199</v>
      </c>
      <c r="AB43" s="52"/>
      <c r="AC43" s="52">
        <f>SMALL($R$6:$R$125,ROWS($AC$6:AC43))</f>
        <v>32589.210277654867</v>
      </c>
      <c r="AD43" s="52">
        <f t="shared" si="32"/>
        <v>8172.2174874637512</v>
      </c>
      <c r="AE43" s="52">
        <f>SMALL($Z$6:$Z$125,ROWS($AE$6:AE43))</f>
        <v>-42009.63197440411</v>
      </c>
      <c r="AF43" s="52">
        <f t="shared" si="33"/>
        <v>25221.48494817907</v>
      </c>
      <c r="AG43" s="52">
        <f>SMALL($AK$6:$AK$125,ROWS($AG$6:AG43))</f>
        <v>9.9999999999999997E+98</v>
      </c>
      <c r="AH43" s="52">
        <f t="shared" si="34"/>
        <v>-50196.63221187015</v>
      </c>
      <c r="AI43" s="52">
        <f>SMALL($AL$6:$AL$125,ROWS($AI$6:AI43))</f>
        <v>9.9999999999999997E+98</v>
      </c>
      <c r="AJ43" s="52">
        <f t="shared" si="35"/>
        <v>-52115.252211870153</v>
      </c>
      <c r="AK43" s="52">
        <f t="shared" si="36"/>
        <v>9.9999999999999997E+98</v>
      </c>
      <c r="AL43" s="52">
        <f t="shared" si="37"/>
        <v>9.9999999999999997E+98</v>
      </c>
      <c r="AM43" s="52">
        <f t="shared" si="38"/>
        <v>0</v>
      </c>
      <c r="AN43" s="52">
        <f t="shared" si="39"/>
        <v>0</v>
      </c>
    </row>
    <row r="44" spans="1:40" x14ac:dyDescent="0.3">
      <c r="A44" s="52">
        <v>39</v>
      </c>
      <c r="B44" s="52">
        <f>-bthan*500+(38+0.5)*bthan*1000/50</f>
        <v>1485</v>
      </c>
      <c r="C44" s="52">
        <f t="shared" si="21"/>
        <v>-790</v>
      </c>
      <c r="D44" s="52">
        <f t="shared" si="1"/>
        <v>2200</v>
      </c>
      <c r="E44" s="52">
        <f t="shared" si="2"/>
        <v>1</v>
      </c>
      <c r="F44" s="52"/>
      <c r="G44" s="52">
        <f>IF(39&lt;='KT THAN'!$C$11,39,"")</f>
        <v>39</v>
      </c>
      <c r="H44" s="52">
        <f>IF(G44="",0,2*PI()*(G44-0.5)/'KT THAN'!$C$11)</f>
        <v>1.3439035240356338</v>
      </c>
      <c r="I44" s="52">
        <f>IF(G44="",0,IF(shp=1,IF(AND(ABS(SIN(H44))&gt;0.0000001,MAX(1,hthan*500-'KT THAN'!$D$12)*ABS(COS(H44))/ABS(SIN(H44))&lt;=MAX(0,(bthan-hthan)*500)),MAX(1,hthan*500-'KT THAN'!$D$12)/ABS(SIN(H44)),MAX(0,(bthan-hthan)*500)*ABS(COS(H44))+SQRT(MAX(0,MAX(1,hthan*500-'KT THAN'!$D$12)^2-MAX(0,(bthan-hthan)*500)^2*SIN(H44)^2))),MIN((bthan*500-'KT THAN'!$D$12)/MAX(0.0000001,ABS(COS(H44))),(hthan*500-'KT THAN'!$D$12)/MAX(0.0000001,ABS(SIN(H44)))))*COS(H44))</f>
        <v>161.60773378789412</v>
      </c>
      <c r="J44" s="52">
        <f>IF(G44="",0,IF(shp=1,IF(AND(ABS(SIN(H44))&gt;0.0000001,MAX(1,hthan*500-'KT THAN'!$D$12)*ABS(COS(H44))/ABS(SIN(H44))&lt;=MAX(0,(bthan-hthan)*500)),MAX(1,hthan*500-'KT THAN'!$D$12)/ABS(SIN(H44)),MAX(0,(bthan-hthan)*500)*ABS(COS(H44))+SQRT(MAX(0,MAX(1,hthan*500-'KT THAN'!$D$12)^2-MAX(0,(bthan-hthan)*500)^2*SIN(H44)^2))),MIN((bthan*500-'KT THAN'!$D$12)/MAX(0.0000001,ABS(COS(H44))),(hthan*500-'KT THAN'!$D$12)/MAX(0.0000001,ABS(SIN(H44)))))*SIN(H44))</f>
        <v>700</v>
      </c>
      <c r="K44" s="52">
        <f>IF(G44="",0,'KT THAN'!$D$11/'KT THAN'!$C$11)</f>
        <v>804.24771931898704</v>
      </c>
      <c r="L44" s="52"/>
      <c r="M44" s="52">
        <f>hthan*1000*0.01*1.06^38</f>
        <v>146.46803755252301</v>
      </c>
      <c r="N44" s="52">
        <f t="shared" si="22"/>
        <v>39768.365032326001</v>
      </c>
      <c r="O44" s="52">
        <f t="shared" si="23"/>
        <v>9080.241652737488</v>
      </c>
      <c r="P44" s="52">
        <f t="shared" si="24"/>
        <v>-2.7723426593234124E-2</v>
      </c>
      <c r="Q44" s="52">
        <f t="shared" si="25"/>
        <v>0.9</v>
      </c>
      <c r="R44" s="52">
        <f>Q44*MIN(N44,0.8*(0.85*fc_*(Agth*1000000-'KT THAN'!$D$11)+fy_*'KT THAN'!$D$11)/1000)</f>
        <v>35791.528529093404</v>
      </c>
      <c r="S44" s="52">
        <f t="shared" si="26"/>
        <v>8172.2174874637394</v>
      </c>
      <c r="T44" s="52"/>
      <c r="U44" s="52">
        <f>bthan*1000*0.01*1.06^38</f>
        <v>503.48387908679786</v>
      </c>
      <c r="V44" s="52">
        <f t="shared" si="27"/>
        <v>-46636.352226763731</v>
      </c>
      <c r="W44" s="52">
        <f t="shared" si="28"/>
        <v>28117.714299509109</v>
      </c>
      <c r="X44" s="52">
        <f t="shared" si="29"/>
        <v>-2.9166701011708183E-2</v>
      </c>
      <c r="Y44" s="52">
        <f t="shared" si="30"/>
        <v>0.9</v>
      </c>
      <c r="Z44" s="52">
        <f>Y44*MIN(V44,0.8*(0.85*fc_*(Agth*1000000-'KT THAN'!$D$11)+fy_*'KT THAN'!$D$11)/1000)</f>
        <v>-41972.717004087361</v>
      </c>
      <c r="AA44" s="52">
        <f t="shared" si="31"/>
        <v>25305.942869558199</v>
      </c>
      <c r="AB44" s="52"/>
      <c r="AC44" s="52">
        <f>SMALL($R$6:$R$125,ROWS($AC$6:AC44))</f>
        <v>35791.528529093404</v>
      </c>
      <c r="AD44" s="52">
        <f t="shared" si="32"/>
        <v>8172.2174874637394</v>
      </c>
      <c r="AE44" s="52">
        <f>SMALL($Z$6:$Z$125,ROWS($AE$6:AE44))</f>
        <v>-41972.717004087361</v>
      </c>
      <c r="AF44" s="52">
        <f t="shared" si="33"/>
        <v>25305.942869558199</v>
      </c>
      <c r="AG44" s="52">
        <f>SMALL($AK$6:$AK$125,ROWS($AG$6:AG44))</f>
        <v>9.9999999999999997E+98</v>
      </c>
      <c r="AH44" s="52">
        <f t="shared" si="34"/>
        <v>-50196.63221187015</v>
      </c>
      <c r="AI44" s="52">
        <f>SMALL($AL$6:$AL$125,ROWS($AI$6:AI44))</f>
        <v>9.9999999999999997E+98</v>
      </c>
      <c r="AJ44" s="52">
        <f t="shared" si="35"/>
        <v>-52115.252211870153</v>
      </c>
      <c r="AK44" s="52">
        <f t="shared" si="36"/>
        <v>9.9999999999999997E+98</v>
      </c>
      <c r="AL44" s="52">
        <f t="shared" si="37"/>
        <v>9.9999999999999997E+98</v>
      </c>
      <c r="AM44" s="52">
        <f t="shared" si="38"/>
        <v>0</v>
      </c>
      <c r="AN44" s="52">
        <f t="shared" si="39"/>
        <v>0</v>
      </c>
    </row>
    <row r="45" spans="1:40" x14ac:dyDescent="0.3">
      <c r="A45" s="52">
        <v>40</v>
      </c>
      <c r="B45" s="52">
        <f>-bthan*500+(39+0.5)*bthan*1000/50</f>
        <v>1595</v>
      </c>
      <c r="C45" s="52">
        <f t="shared" si="21"/>
        <v>-790</v>
      </c>
      <c r="D45" s="52">
        <f t="shared" si="1"/>
        <v>2200</v>
      </c>
      <c r="E45" s="52">
        <f t="shared" si="2"/>
        <v>1</v>
      </c>
      <c r="F45" s="52"/>
      <c r="G45" s="52">
        <f>IF(40&lt;='KT THAN'!$C$11,40,"")</f>
        <v>40</v>
      </c>
      <c r="H45" s="52">
        <f>IF(G45="",0,2*PI()*(G45-0.5)/'KT THAN'!$C$11)</f>
        <v>1.3788101090755203</v>
      </c>
      <c r="I45" s="52">
        <f>IF(G45="",0,IF(shp=1,IF(AND(ABS(SIN(H45))&gt;0.0000001,MAX(1,hthan*500-'KT THAN'!$D$12)*ABS(COS(H45))/ABS(SIN(H45))&lt;=MAX(0,(bthan-hthan)*500)),MAX(1,hthan*500-'KT THAN'!$D$12)/ABS(SIN(H45)),MAX(0,(bthan-hthan)*500)*ABS(COS(H45))+SQRT(MAX(0,MAX(1,hthan*500-'KT THAN'!$D$12)^2-MAX(0,(bthan-hthan)*500)^2*SIN(H45)^2))),MIN((bthan*500-'KT THAN'!$D$12)/MAX(0.0000001,ABS(COS(H45))),(hthan*500-'KT THAN'!$D$12)/MAX(0.0000001,ABS(SIN(H45)))))*COS(H45))</f>
        <v>136.06621639640301</v>
      </c>
      <c r="J45" s="52">
        <f>IF(G45="",0,IF(shp=1,IF(AND(ABS(SIN(H45))&gt;0.0000001,MAX(1,hthan*500-'KT THAN'!$D$12)*ABS(COS(H45))/ABS(SIN(H45))&lt;=MAX(0,(bthan-hthan)*500)),MAX(1,hthan*500-'KT THAN'!$D$12)/ABS(SIN(H45)),MAX(0,(bthan-hthan)*500)*ABS(COS(H45))+SQRT(MAX(0,MAX(1,hthan*500-'KT THAN'!$D$12)^2-MAX(0,(bthan-hthan)*500)^2*SIN(H45)^2))),MIN((bthan*500-'KT THAN'!$D$12)/MAX(0.0000001,ABS(COS(H45))),(hthan*500-'KT THAN'!$D$12)/MAX(0.0000001,ABS(SIN(H45)))))*SIN(H45))</f>
        <v>700</v>
      </c>
      <c r="K45" s="52">
        <f>IF(G45="",0,'KT THAN'!$D$11/'KT THAN'!$C$11)</f>
        <v>804.24771931898704</v>
      </c>
      <c r="L45" s="52"/>
      <c r="M45" s="52">
        <f>hthan*1000*0.01*1.06^39</f>
        <v>155.25611980567442</v>
      </c>
      <c r="N45" s="52">
        <f t="shared" si="22"/>
        <v>43125.092759200859</v>
      </c>
      <c r="O45" s="52">
        <f t="shared" si="23"/>
        <v>9080.2416527374899</v>
      </c>
      <c r="P45" s="52">
        <f t="shared" si="24"/>
        <v>-2.5984364710598229E-2</v>
      </c>
      <c r="Q45" s="52">
        <f t="shared" si="25"/>
        <v>0.9</v>
      </c>
      <c r="R45" s="52">
        <f>Q45*MIN(N45,0.8*(0.85*fc_*(Agth*1000000-'KT THAN'!$D$11)+fy_*'KT THAN'!$D$11)/1000)</f>
        <v>38812.583483280774</v>
      </c>
      <c r="S45" s="52">
        <f t="shared" si="26"/>
        <v>8172.2174874637412</v>
      </c>
      <c r="T45" s="52"/>
      <c r="U45" s="52">
        <f>bthan*1000*0.01*1.06^39</f>
        <v>533.69291183200585</v>
      </c>
      <c r="V45" s="52">
        <f t="shared" si="27"/>
        <v>-46636.352226763731</v>
      </c>
      <c r="W45" s="52">
        <f t="shared" si="28"/>
        <v>28117.714299509109</v>
      </c>
      <c r="X45" s="52">
        <f t="shared" si="29"/>
        <v>-2.7345944350668089E-2</v>
      </c>
      <c r="Y45" s="52">
        <f t="shared" si="30"/>
        <v>0.9</v>
      </c>
      <c r="Z45" s="52">
        <f>Y45*MIN(V45,0.8*(0.85*fc_*(Agth*1000000-'KT THAN'!$D$11)+fy_*'KT THAN'!$D$11)/1000)</f>
        <v>-41972.717004087361</v>
      </c>
      <c r="AA45" s="52">
        <f t="shared" si="31"/>
        <v>25305.942869558199</v>
      </c>
      <c r="AB45" s="52"/>
      <c r="AC45" s="52">
        <f>SMALL($R$6:$R$125,ROWS($AC$6:AC45))</f>
        <v>38812.583483280774</v>
      </c>
      <c r="AD45" s="52">
        <f t="shared" si="32"/>
        <v>8172.2174874637412</v>
      </c>
      <c r="AE45" s="52">
        <f>SMALL($Z$6:$Z$125,ROWS($AE$6:AE45))</f>
        <v>-41972.717004087361</v>
      </c>
      <c r="AF45" s="52">
        <f t="shared" si="33"/>
        <v>25305.942869558199</v>
      </c>
      <c r="AG45" s="52">
        <f>SMALL($AK$6:$AK$125,ROWS($AG$6:AG45))</f>
        <v>9.9999999999999997E+98</v>
      </c>
      <c r="AH45" s="52">
        <f t="shared" si="34"/>
        <v>-50196.63221187015</v>
      </c>
      <c r="AI45" s="52">
        <f>SMALL($AL$6:$AL$125,ROWS($AI$6:AI45))</f>
        <v>9.9999999999999997E+98</v>
      </c>
      <c r="AJ45" s="52">
        <f t="shared" si="35"/>
        <v>-52115.252211870153</v>
      </c>
      <c r="AK45" s="52">
        <f t="shared" si="36"/>
        <v>9.9999999999999997E+98</v>
      </c>
      <c r="AL45" s="52">
        <f t="shared" si="37"/>
        <v>9.9999999999999997E+98</v>
      </c>
      <c r="AM45" s="52">
        <f t="shared" si="38"/>
        <v>0</v>
      </c>
      <c r="AN45" s="52">
        <f t="shared" si="39"/>
        <v>0</v>
      </c>
    </row>
    <row r="46" spans="1:40" x14ac:dyDescent="0.3">
      <c r="A46" s="52">
        <v>41</v>
      </c>
      <c r="B46" s="52">
        <f>-bthan*500+(40+0.5)*bthan*1000/50</f>
        <v>1705</v>
      </c>
      <c r="C46" s="52">
        <f t="shared" si="21"/>
        <v>-790</v>
      </c>
      <c r="D46" s="52">
        <f t="shared" si="1"/>
        <v>2200</v>
      </c>
      <c r="E46" s="52">
        <f t="shared" si="2"/>
        <v>1</v>
      </c>
      <c r="F46" s="52"/>
      <c r="G46" s="52">
        <f>IF(41&lt;='KT THAN'!$C$11,41,"")</f>
        <v>41</v>
      </c>
      <c r="H46" s="52">
        <f>IF(G46="",0,2*PI()*(G46-0.5)/'KT THAN'!$C$11)</f>
        <v>1.4137166941154069</v>
      </c>
      <c r="I46" s="52">
        <f>IF(G46="",0,IF(shp=1,IF(AND(ABS(SIN(H46))&gt;0.0000001,MAX(1,hthan*500-'KT THAN'!$D$12)*ABS(COS(H46))/ABS(SIN(H46))&lt;=MAX(0,(bthan-hthan)*500)),MAX(1,hthan*500-'KT THAN'!$D$12)/ABS(SIN(H46)),MAX(0,(bthan-hthan)*500)*ABS(COS(H46))+SQRT(MAX(0,MAX(1,hthan*500-'KT THAN'!$D$12)^2-MAX(0,(bthan-hthan)*500)^2*SIN(H46)^2))),MIN((bthan*500-'KT THAN'!$D$12)/MAX(0.0000001,ABS(COS(H46))),(hthan*500-'KT THAN'!$D$12)/MAX(0.0000001,ABS(SIN(H46)))))*COS(H46))</f>
        <v>110.86910822717545</v>
      </c>
      <c r="J46" s="52">
        <f>IF(G46="",0,IF(shp=1,IF(AND(ABS(SIN(H46))&gt;0.0000001,MAX(1,hthan*500-'KT THAN'!$D$12)*ABS(COS(H46))/ABS(SIN(H46))&lt;=MAX(0,(bthan-hthan)*500)),MAX(1,hthan*500-'KT THAN'!$D$12)/ABS(SIN(H46)),MAX(0,(bthan-hthan)*500)*ABS(COS(H46))+SQRT(MAX(0,MAX(1,hthan*500-'KT THAN'!$D$12)^2-MAX(0,(bthan-hthan)*500)^2*SIN(H46)^2))),MIN((bthan*500-'KT THAN'!$D$12)/MAX(0.0000001,ABS(COS(H46))),(hthan*500-'KT THAN'!$D$12)/MAX(0.0000001,ABS(SIN(H46)))))*SIN(H46))</f>
        <v>700</v>
      </c>
      <c r="K46" s="52">
        <f>IF(G46="",0,'KT THAN'!$D$11/'KT THAN'!$C$11)</f>
        <v>804.24771931898704</v>
      </c>
      <c r="L46" s="52"/>
      <c r="M46" s="52">
        <f>hthan*1000*0.01*1.06^40</f>
        <v>164.57148699401486</v>
      </c>
      <c r="N46" s="52">
        <f t="shared" si="22"/>
        <v>48719.200396152126</v>
      </c>
      <c r="O46" s="52">
        <f t="shared" si="23"/>
        <v>10706.836256871882</v>
      </c>
      <c r="P46" s="52">
        <f t="shared" si="24"/>
        <v>-2.43437402930172E-2</v>
      </c>
      <c r="Q46" s="52">
        <f t="shared" si="25"/>
        <v>0.9</v>
      </c>
      <c r="R46" s="52">
        <f>Q46*MIN(N46,0.8*(0.85*fc_*(Agth*1000000-'KT THAN'!$D$11)+fy_*'KT THAN'!$D$11)/1000)</f>
        <v>43847.280356536918</v>
      </c>
      <c r="S46" s="52">
        <f t="shared" si="26"/>
        <v>9636.1526311846937</v>
      </c>
      <c r="T46" s="52"/>
      <c r="U46" s="52">
        <f>bthan*1000*0.01*1.06^40</f>
        <v>565.71448654192614</v>
      </c>
      <c r="V46" s="52">
        <f t="shared" si="27"/>
        <v>-46677.368860449009</v>
      </c>
      <c r="W46" s="52">
        <f t="shared" si="28"/>
        <v>28023.87216464341</v>
      </c>
      <c r="X46" s="52">
        <f t="shared" si="29"/>
        <v>-2.5628249387422732E-2</v>
      </c>
      <c r="Y46" s="52">
        <f t="shared" si="30"/>
        <v>0.9</v>
      </c>
      <c r="Z46" s="52">
        <f>Y46*MIN(V46,0.8*(0.85*fc_*(Agth*1000000-'KT THAN'!$D$11)+fy_*'KT THAN'!$D$11)/1000)</f>
        <v>-42009.63197440411</v>
      </c>
      <c r="AA46" s="52">
        <f t="shared" si="31"/>
        <v>25221.48494817907</v>
      </c>
      <c r="AB46" s="52"/>
      <c r="AC46" s="52">
        <f>SMALL($R$6:$R$125,ROWS($AC$6:AC46))</f>
        <v>43847.280356536918</v>
      </c>
      <c r="AD46" s="52">
        <f t="shared" si="32"/>
        <v>9636.1526311846937</v>
      </c>
      <c r="AE46" s="52">
        <f>SMALL($Z$6:$Z$125,ROWS($AE$6:AE46))</f>
        <v>-41972.717004087361</v>
      </c>
      <c r="AF46" s="52">
        <f t="shared" si="33"/>
        <v>25305.942869558199</v>
      </c>
      <c r="AG46" s="52">
        <f>SMALL($AK$6:$AK$125,ROWS($AG$6:AG46))</f>
        <v>9.9999999999999997E+98</v>
      </c>
      <c r="AH46" s="52">
        <f t="shared" si="34"/>
        <v>-50196.63221187015</v>
      </c>
      <c r="AI46" s="52">
        <f>SMALL($AL$6:$AL$125,ROWS($AI$6:AI46))</f>
        <v>9.9999999999999997E+98</v>
      </c>
      <c r="AJ46" s="52">
        <f t="shared" si="35"/>
        <v>-52115.252211870153</v>
      </c>
      <c r="AK46" s="52">
        <f t="shared" si="36"/>
        <v>9.9999999999999997E+98</v>
      </c>
      <c r="AL46" s="52">
        <f t="shared" si="37"/>
        <v>9.9999999999999997E+98</v>
      </c>
      <c r="AM46" s="52">
        <f t="shared" si="38"/>
        <v>0</v>
      </c>
      <c r="AN46" s="52">
        <f t="shared" si="39"/>
        <v>0</v>
      </c>
    </row>
    <row r="47" spans="1:40" x14ac:dyDescent="0.3">
      <c r="A47" s="52">
        <v>42</v>
      </c>
      <c r="B47" s="52">
        <f>-bthan*500+(41+0.5)*bthan*1000/50</f>
        <v>1815</v>
      </c>
      <c r="C47" s="52">
        <f t="shared" si="21"/>
        <v>-790</v>
      </c>
      <c r="D47" s="52">
        <f t="shared" si="1"/>
        <v>2200</v>
      </c>
      <c r="E47" s="52">
        <f t="shared" si="2"/>
        <v>1</v>
      </c>
      <c r="F47" s="52"/>
      <c r="G47" s="52">
        <f>IF(42&lt;='KT THAN'!$C$11,42,"")</f>
        <v>42</v>
      </c>
      <c r="H47" s="52">
        <f>IF(G47="",0,2*PI()*(G47-0.5)/'KT THAN'!$C$11)</f>
        <v>1.4486232791552935</v>
      </c>
      <c r="I47" s="52">
        <f>IF(G47="",0,IF(shp=1,IF(AND(ABS(SIN(H47))&gt;0.0000001,MAX(1,hthan*500-'KT THAN'!$D$12)*ABS(COS(H47))/ABS(SIN(H47))&lt;=MAX(0,(bthan-hthan)*500)),MAX(1,hthan*500-'KT THAN'!$D$12)/ABS(SIN(H47)),MAX(0,(bthan-hthan)*500)*ABS(COS(H47))+SQRT(MAX(0,MAX(1,hthan*500-'KT THAN'!$D$12)^2-MAX(0,(bthan-hthan)*500)^2*SIN(H47)^2))),MIN((bthan*500-'KT THAN'!$D$12)/MAX(0.0000001,ABS(COS(H47))),(hthan*500-'KT THAN'!$D$12)/MAX(0.0000001,ABS(SIN(H47)))))*COS(H47))</f>
        <v>85.949192632033231</v>
      </c>
      <c r="J47" s="52">
        <f>IF(G47="",0,IF(shp=1,IF(AND(ABS(SIN(H47))&gt;0.0000001,MAX(1,hthan*500-'KT THAN'!$D$12)*ABS(COS(H47))/ABS(SIN(H47))&lt;=MAX(0,(bthan-hthan)*500)),MAX(1,hthan*500-'KT THAN'!$D$12)/ABS(SIN(H47)),MAX(0,(bthan-hthan)*500)*ABS(COS(H47))+SQRT(MAX(0,MAX(1,hthan*500-'KT THAN'!$D$12)^2-MAX(0,(bthan-hthan)*500)^2*SIN(H47)^2))),MIN((bthan*500-'KT THAN'!$D$12)/MAX(0.0000001,ABS(COS(H47))),(hthan*500-'KT THAN'!$D$12)/MAX(0.0000001,ABS(SIN(H47)))))*SIN(H47))</f>
        <v>700</v>
      </c>
      <c r="K47" s="52">
        <f>IF(G47="",0,'KT THAN'!$D$11/'KT THAN'!$C$11)</f>
        <v>804.24771931898704</v>
      </c>
      <c r="L47" s="52"/>
      <c r="M47" s="52">
        <f>hthan*1000*0.01*1.06^41</f>
        <v>174.44577621365573</v>
      </c>
      <c r="N47" s="52">
        <f t="shared" si="22"/>
        <v>51706.676123167839</v>
      </c>
      <c r="O47" s="52">
        <f t="shared" si="23"/>
        <v>10706.8362568719</v>
      </c>
      <c r="P47" s="52">
        <f t="shared" si="24"/>
        <v>-2.2795981408506791E-2</v>
      </c>
      <c r="Q47" s="52">
        <f t="shared" si="25"/>
        <v>0.9</v>
      </c>
      <c r="R47" s="52">
        <f>Q47*MIN(N47,0.8*(0.85*fc_*(Agth*1000000-'KT THAN'!$D$11)+fy_*'KT THAN'!$D$11)/1000)</f>
        <v>46536.008510851054</v>
      </c>
      <c r="S47" s="52">
        <f t="shared" si="26"/>
        <v>9636.1526311847101</v>
      </c>
      <c r="T47" s="52"/>
      <c r="U47" s="52">
        <f>bthan*1000*0.01*1.06^41</f>
        <v>599.65735573444158</v>
      </c>
      <c r="V47" s="52">
        <f t="shared" si="27"/>
        <v>-42525.968860449007</v>
      </c>
      <c r="W47" s="52">
        <f t="shared" si="28"/>
        <v>37385.279164643413</v>
      </c>
      <c r="X47" s="52">
        <f t="shared" si="29"/>
        <v>-2.4007782440964843E-2</v>
      </c>
      <c r="Y47" s="52">
        <f t="shared" si="30"/>
        <v>0.9</v>
      </c>
      <c r="Z47" s="52">
        <f>Y47*MIN(V47,0.8*(0.85*fc_*(Agth*1000000-'KT THAN'!$D$11)+fy_*'KT THAN'!$D$11)/1000)</f>
        <v>-38273.371974404108</v>
      </c>
      <c r="AA47" s="52">
        <f t="shared" si="31"/>
        <v>33646.751248179069</v>
      </c>
      <c r="AB47" s="52"/>
      <c r="AC47" s="52">
        <f>SMALL($R$6:$R$125,ROWS($AC$6:AC47))</f>
        <v>46536.008510851054</v>
      </c>
      <c r="AD47" s="52">
        <f t="shared" si="32"/>
        <v>9636.1526311847101</v>
      </c>
      <c r="AE47" s="52">
        <f>SMALL($Z$6:$Z$125,ROWS($AE$6:AE47))</f>
        <v>-38310.28694472085</v>
      </c>
      <c r="AF47" s="52">
        <f t="shared" si="33"/>
        <v>33566.582466419546</v>
      </c>
      <c r="AG47" s="52">
        <f>SMALL($AK$6:$AK$125,ROWS($AG$6:AG47))</f>
        <v>9.9999999999999997E+98</v>
      </c>
      <c r="AH47" s="52">
        <f t="shared" si="34"/>
        <v>-50196.63221187015</v>
      </c>
      <c r="AI47" s="52">
        <f>SMALL($AL$6:$AL$125,ROWS($AI$6:AI47))</f>
        <v>9.9999999999999997E+98</v>
      </c>
      <c r="AJ47" s="52">
        <f t="shared" si="35"/>
        <v>-52115.252211870153</v>
      </c>
      <c r="AK47" s="52">
        <f t="shared" si="36"/>
        <v>9.9999999999999997E+98</v>
      </c>
      <c r="AL47" s="52">
        <f t="shared" si="37"/>
        <v>9.9999999999999997E+98</v>
      </c>
      <c r="AM47" s="52">
        <f t="shared" si="38"/>
        <v>0</v>
      </c>
      <c r="AN47" s="52">
        <f t="shared" si="39"/>
        <v>0</v>
      </c>
    </row>
    <row r="48" spans="1:40" x14ac:dyDescent="0.3">
      <c r="A48" s="52">
        <v>43</v>
      </c>
      <c r="B48" s="52">
        <f>-bthan*500+(42+0.5)*bthan*1000/50</f>
        <v>1925</v>
      </c>
      <c r="C48" s="52">
        <f t="shared" si="21"/>
        <v>-790</v>
      </c>
      <c r="D48" s="52">
        <f t="shared" si="1"/>
        <v>2200</v>
      </c>
      <c r="E48" s="52">
        <f t="shared" si="2"/>
        <v>1</v>
      </c>
      <c r="F48" s="52"/>
      <c r="G48" s="52">
        <f>IF(43&lt;='KT THAN'!$C$11,43,"")</f>
        <v>43</v>
      </c>
      <c r="H48" s="52">
        <f>IF(G48="",0,2*PI()*(G48-0.5)/'KT THAN'!$C$11)</f>
        <v>1.4835298641951802</v>
      </c>
      <c r="I48" s="52">
        <f>IF(G48="",0,IF(shp=1,IF(AND(ABS(SIN(H48))&gt;0.0000001,MAX(1,hthan*500-'KT THAN'!$D$12)*ABS(COS(H48))/ABS(SIN(H48))&lt;=MAX(0,(bthan-hthan)*500)),MAX(1,hthan*500-'KT THAN'!$D$12)/ABS(SIN(H48)),MAX(0,(bthan-hthan)*500)*ABS(COS(H48))+SQRT(MAX(0,MAX(1,hthan*500-'KT THAN'!$D$12)^2-MAX(0,(bthan-hthan)*500)^2*SIN(H48)^2))),MIN((bthan*500-'KT THAN'!$D$12)/MAX(0.0000001,ABS(COS(H48))),(hthan*500-'KT THAN'!$D$12)/MAX(0.0000001,ABS(SIN(H48)))))*COS(H48))</f>
        <v>61.242064468146779</v>
      </c>
      <c r="J48" s="52">
        <f>IF(G48="",0,IF(shp=1,IF(AND(ABS(SIN(H48))&gt;0.0000001,MAX(1,hthan*500-'KT THAN'!$D$12)*ABS(COS(H48))/ABS(SIN(H48))&lt;=MAX(0,(bthan-hthan)*500)),MAX(1,hthan*500-'KT THAN'!$D$12)/ABS(SIN(H48)),MAX(0,(bthan-hthan)*500)*ABS(COS(H48))+SQRT(MAX(0,MAX(1,hthan*500-'KT THAN'!$D$12)^2-MAX(0,(bthan-hthan)*500)^2*SIN(H48)^2))),MIN((bthan*500-'KT THAN'!$D$12)/MAX(0.0000001,ABS(COS(H48))),(hthan*500-'KT THAN'!$D$12)/MAX(0.0000001,ABS(SIN(H48)))))*SIN(H48))</f>
        <v>700</v>
      </c>
      <c r="K48" s="52">
        <f>IF(G48="",0,'KT THAN'!$D$11/'KT THAN'!$C$11)</f>
        <v>804.24771931898704</v>
      </c>
      <c r="L48" s="52"/>
      <c r="M48" s="52">
        <f>hthan*1000*0.01*1.06^42</f>
        <v>184.91252278647511</v>
      </c>
      <c r="N48" s="52">
        <f t="shared" si="22"/>
        <v>56993.449450541244</v>
      </c>
      <c r="O48" s="52">
        <f t="shared" si="23"/>
        <v>12311.296256871898</v>
      </c>
      <c r="P48" s="52">
        <f t="shared" si="24"/>
        <v>-2.1335831517459235E-2</v>
      </c>
      <c r="Q48" s="52">
        <f t="shared" si="25"/>
        <v>0.9</v>
      </c>
      <c r="R48" s="52">
        <f>Q48*MIN(N48,0.8*(0.85*fc_*(Agth*1000000-'KT THAN'!$D$11)+fy_*'KT THAN'!$D$11)/1000)</f>
        <v>51294.104505487121</v>
      </c>
      <c r="S48" s="52">
        <f t="shared" si="26"/>
        <v>11080.166631184708</v>
      </c>
      <c r="T48" s="52"/>
      <c r="U48" s="52">
        <f>bthan*1000*0.01*1.06^42</f>
        <v>635.63679707850815</v>
      </c>
      <c r="V48" s="52">
        <f t="shared" si="27"/>
        <v>-42525.968860449007</v>
      </c>
      <c r="W48" s="52">
        <f t="shared" si="28"/>
        <v>37385.279164643413</v>
      </c>
      <c r="X48" s="52">
        <f t="shared" si="29"/>
        <v>-2.2479040038646075E-2</v>
      </c>
      <c r="Y48" s="52">
        <f t="shared" si="30"/>
        <v>0.9</v>
      </c>
      <c r="Z48" s="52">
        <f>Y48*MIN(V48,0.8*(0.85*fc_*(Agth*1000000-'KT THAN'!$D$11)+fy_*'KT THAN'!$D$11)/1000)</f>
        <v>-38273.371974404108</v>
      </c>
      <c r="AA48" s="52">
        <f t="shared" si="31"/>
        <v>33646.751248179069</v>
      </c>
      <c r="AB48" s="52"/>
      <c r="AC48" s="52">
        <f>SMALL($R$6:$R$125,ROWS($AC$6:AC48))</f>
        <v>51294.104505487121</v>
      </c>
      <c r="AD48" s="52">
        <f t="shared" si="32"/>
        <v>11080.166631184708</v>
      </c>
      <c r="AE48" s="52">
        <f>SMALL($Z$6:$Z$125,ROWS($AE$6:AE48))</f>
        <v>-38273.371974404108</v>
      </c>
      <c r="AF48" s="52">
        <f t="shared" si="33"/>
        <v>33646.751248179069</v>
      </c>
      <c r="AG48" s="52">
        <f>SMALL($AK$6:$AK$125,ROWS($AG$6:AG48))</f>
        <v>9.9999999999999997E+98</v>
      </c>
      <c r="AH48" s="52">
        <f t="shared" si="34"/>
        <v>-50196.63221187015</v>
      </c>
      <c r="AI48" s="52">
        <f>SMALL($AL$6:$AL$125,ROWS($AI$6:AI48))</f>
        <v>9.9999999999999997E+98</v>
      </c>
      <c r="AJ48" s="52">
        <f t="shared" si="35"/>
        <v>-52115.252211870153</v>
      </c>
      <c r="AK48" s="52">
        <f t="shared" si="36"/>
        <v>9.9999999999999997E+98</v>
      </c>
      <c r="AL48" s="52">
        <f t="shared" si="37"/>
        <v>9.9999999999999997E+98</v>
      </c>
      <c r="AM48" s="52">
        <f t="shared" si="38"/>
        <v>0</v>
      </c>
      <c r="AN48" s="52">
        <f t="shared" si="39"/>
        <v>0</v>
      </c>
    </row>
    <row r="49" spans="1:40" x14ac:dyDescent="0.3">
      <c r="A49" s="52">
        <v>44</v>
      </c>
      <c r="B49" s="52">
        <f>-bthan*500+(43+0.5)*bthan*1000/50</f>
        <v>2035</v>
      </c>
      <c r="C49" s="52">
        <f t="shared" si="21"/>
        <v>-790</v>
      </c>
      <c r="D49" s="52">
        <f t="shared" si="1"/>
        <v>2200</v>
      </c>
      <c r="E49" s="52">
        <f t="shared" si="2"/>
        <v>1</v>
      </c>
      <c r="F49" s="52"/>
      <c r="G49" s="52">
        <f>IF(44&lt;='KT THAN'!$C$11,44,"")</f>
        <v>44</v>
      </c>
      <c r="H49" s="52">
        <f>IF(G49="",0,2*PI()*(G49-0.5)/'KT THAN'!$C$11)</f>
        <v>1.5184364492350666</v>
      </c>
      <c r="I49" s="52">
        <f>IF(G49="",0,IF(shp=1,IF(AND(ABS(SIN(H49))&gt;0.0000001,MAX(1,hthan*500-'KT THAN'!$D$12)*ABS(COS(H49))/ABS(SIN(H49))&lt;=MAX(0,(bthan-hthan)*500)),MAX(1,hthan*500-'KT THAN'!$D$12)/ABS(SIN(H49)),MAX(0,(bthan-hthan)*500)*ABS(COS(H49))+SQRT(MAX(0,MAX(1,hthan*500-'KT THAN'!$D$12)^2-MAX(0,(bthan-hthan)*500)^2*SIN(H49)^2))),MIN((bthan*500-'KT THAN'!$D$12)/MAX(0.0000001,ABS(COS(H49))),(hthan*500-'KT THAN'!$D$12)/MAX(0.0000001,ABS(SIN(H49)))))*COS(H49))</f>
        <v>36.685445498128942</v>
      </c>
      <c r="J49" s="52">
        <f>IF(G49="",0,IF(shp=1,IF(AND(ABS(SIN(H49))&gt;0.0000001,MAX(1,hthan*500-'KT THAN'!$D$12)*ABS(COS(H49))/ABS(SIN(H49))&lt;=MAX(0,(bthan-hthan)*500)),MAX(1,hthan*500-'KT THAN'!$D$12)/ABS(SIN(H49)),MAX(0,(bthan-hthan)*500)*ABS(COS(H49))+SQRT(MAX(0,MAX(1,hthan*500-'KT THAN'!$D$12)^2-MAX(0,(bthan-hthan)*500)^2*SIN(H49)^2))),MIN((bthan*500-'KT THAN'!$D$12)/MAX(0.0000001,ABS(COS(H49))),(hthan*500-'KT THAN'!$D$12)/MAX(0.0000001,ABS(SIN(H49)))))*SIN(H49))</f>
        <v>700</v>
      </c>
      <c r="K49" s="52">
        <f>IF(G49="",0,'KT THAN'!$D$11/'KT THAN'!$C$11)</f>
        <v>804.24771931898704</v>
      </c>
      <c r="L49" s="52"/>
      <c r="M49" s="52">
        <f>hthan*1000*0.01*1.06^43</f>
        <v>196.00727415366364</v>
      </c>
      <c r="N49" s="52">
        <f t="shared" si="22"/>
        <v>59652.292212213943</v>
      </c>
      <c r="O49" s="52">
        <f t="shared" si="23"/>
        <v>12311.296256871894</v>
      </c>
      <c r="P49" s="52">
        <f t="shared" si="24"/>
        <v>-1.9958331620244556E-2</v>
      </c>
      <c r="Q49" s="52">
        <f t="shared" si="25"/>
        <v>0.9</v>
      </c>
      <c r="R49" s="52">
        <f>Q49*MIN(N49,0.8*(0.85*fc_*(Agth*1000000-'KT THAN'!$D$11)+fy_*'KT THAN'!$D$11)/1000)</f>
        <v>53687.062990992548</v>
      </c>
      <c r="S49" s="52">
        <f t="shared" si="26"/>
        <v>11080.166631184706</v>
      </c>
      <c r="T49" s="52"/>
      <c r="U49" s="52">
        <f>bthan*1000*0.01*1.06^43</f>
        <v>673.77500490321881</v>
      </c>
      <c r="V49" s="52">
        <f t="shared" si="27"/>
        <v>-42525.968860449007</v>
      </c>
      <c r="W49" s="52">
        <f t="shared" si="28"/>
        <v>37385.279164643413</v>
      </c>
      <c r="X49" s="52">
        <f t="shared" si="29"/>
        <v>-2.1036830225137804E-2</v>
      </c>
      <c r="Y49" s="52">
        <f t="shared" si="30"/>
        <v>0.9</v>
      </c>
      <c r="Z49" s="52">
        <f>Y49*MIN(V49,0.8*(0.85*fc_*(Agth*1000000-'KT THAN'!$D$11)+fy_*'KT THAN'!$D$11)/1000)</f>
        <v>-38273.371974404108</v>
      </c>
      <c r="AA49" s="52">
        <f t="shared" si="31"/>
        <v>33646.751248179069</v>
      </c>
      <c r="AB49" s="52"/>
      <c r="AC49" s="52">
        <f>SMALL($R$6:$R$125,ROWS($AC$6:AC49))</f>
        <v>53687.062990992548</v>
      </c>
      <c r="AD49" s="52">
        <f t="shared" si="32"/>
        <v>11080.166631184706</v>
      </c>
      <c r="AE49" s="52">
        <f>SMALL($Z$6:$Z$125,ROWS($AE$6:AE49))</f>
        <v>-38273.371974404108</v>
      </c>
      <c r="AF49" s="52">
        <f t="shared" si="33"/>
        <v>33646.751248179069</v>
      </c>
      <c r="AG49" s="52">
        <f>SMALL($AK$6:$AK$125,ROWS($AG$6:AG49))</f>
        <v>9.9999999999999997E+98</v>
      </c>
      <c r="AH49" s="52">
        <f t="shared" si="34"/>
        <v>-50196.63221187015</v>
      </c>
      <c r="AI49" s="52">
        <f>SMALL($AL$6:$AL$125,ROWS($AI$6:AI49))</f>
        <v>9.9999999999999997E+98</v>
      </c>
      <c r="AJ49" s="52">
        <f t="shared" si="35"/>
        <v>-52115.252211870153</v>
      </c>
      <c r="AK49" s="52">
        <f t="shared" si="36"/>
        <v>9.9999999999999997E+98</v>
      </c>
      <c r="AL49" s="52">
        <f t="shared" si="37"/>
        <v>9.9999999999999997E+98</v>
      </c>
      <c r="AM49" s="52">
        <f t="shared" si="38"/>
        <v>0</v>
      </c>
      <c r="AN49" s="52">
        <f t="shared" si="39"/>
        <v>0</v>
      </c>
    </row>
    <row r="50" spans="1:40" x14ac:dyDescent="0.3">
      <c r="A50" s="52">
        <v>45</v>
      </c>
      <c r="B50" s="52">
        <f>-bthan*500+(44+0.5)*bthan*1000/50</f>
        <v>2145</v>
      </c>
      <c r="C50" s="52">
        <f t="shared" si="21"/>
        <v>-790</v>
      </c>
      <c r="D50" s="52">
        <f t="shared" si="1"/>
        <v>2200</v>
      </c>
      <c r="E50" s="52">
        <f t="shared" si="2"/>
        <v>0</v>
      </c>
      <c r="F50" s="52"/>
      <c r="G50" s="52">
        <f>IF(45&lt;='KT THAN'!$C$11,45,"")</f>
        <v>45</v>
      </c>
      <c r="H50" s="52">
        <f>IF(G50="",0,2*PI()*(G50-0.5)/'KT THAN'!$C$11)</f>
        <v>1.5533430342749535</v>
      </c>
      <c r="I50" s="52">
        <f>IF(G50="",0,IF(shp=1,IF(AND(ABS(SIN(H50))&gt;0.0000001,MAX(1,hthan*500-'KT THAN'!$D$12)*ABS(COS(H50))/ABS(SIN(H50))&lt;=MAX(0,(bthan-hthan)*500)),MAX(1,hthan*500-'KT THAN'!$D$12)/ABS(SIN(H50)),MAX(0,(bthan-hthan)*500)*ABS(COS(H50))+SQRT(MAX(0,MAX(1,hthan*500-'KT THAN'!$D$12)^2-MAX(0,(bthan-hthan)*500)^2*SIN(H50)^2))),MIN((bthan*500-'KT THAN'!$D$12)/MAX(0.0000001,ABS(COS(H50))),(hthan*500-'KT THAN'!$D$12)/MAX(0.0000001,ABS(SIN(H50)))))*COS(H50))</f>
        <v>12.218545449752215</v>
      </c>
      <c r="J50" s="52">
        <f>IF(G50="",0,IF(shp=1,IF(AND(ABS(SIN(H50))&gt;0.0000001,MAX(1,hthan*500-'KT THAN'!$D$12)*ABS(COS(H50))/ABS(SIN(H50))&lt;=MAX(0,(bthan-hthan)*500)),MAX(1,hthan*500-'KT THAN'!$D$12)/ABS(SIN(H50)),MAX(0,(bthan-hthan)*500)*ABS(COS(H50))+SQRT(MAX(0,MAX(1,hthan*500-'KT THAN'!$D$12)^2-MAX(0,(bthan-hthan)*500)^2*SIN(H50)^2))),MIN((bthan*500-'KT THAN'!$D$12)/MAX(0.0000001,ABS(COS(H50))),(hthan*500-'KT THAN'!$D$12)/MAX(0.0000001,ABS(SIN(H50)))))*SIN(H50))</f>
        <v>700</v>
      </c>
      <c r="K50" s="52">
        <f>IF(G50="",0,'KT THAN'!$D$11/'KT THAN'!$C$11)</f>
        <v>804.24771931898704</v>
      </c>
      <c r="L50" s="52"/>
      <c r="M50" s="52">
        <f>hthan*1000*0.01*1.06^44</f>
        <v>207.76771060288348</v>
      </c>
      <c r="N50" s="52">
        <f t="shared" si="22"/>
        <v>64629.034440207222</v>
      </c>
      <c r="O50" s="52">
        <f t="shared" si="23"/>
        <v>13866.388256871929</v>
      </c>
      <c r="P50" s="52">
        <f t="shared" si="24"/>
        <v>-1.8658803415325054E-2</v>
      </c>
      <c r="Q50" s="52">
        <f t="shared" si="25"/>
        <v>0.9</v>
      </c>
      <c r="R50" s="52">
        <f>Q50*MIN(N50,0.8*(0.85*fc_*(Agth*1000000-'KT THAN'!$D$11)+fy_*'KT THAN'!$D$11)/1000)</f>
        <v>58166.130996186504</v>
      </c>
      <c r="S50" s="52">
        <f t="shared" si="26"/>
        <v>12479.749431184737</v>
      </c>
      <c r="T50" s="52"/>
      <c r="U50" s="52">
        <f>bthan*1000*0.01*1.06^44</f>
        <v>714.20150519741196</v>
      </c>
      <c r="V50" s="52">
        <f t="shared" si="27"/>
        <v>-42566.985494134278</v>
      </c>
      <c r="W50" s="52">
        <f t="shared" si="28"/>
        <v>37296.202740466164</v>
      </c>
      <c r="X50" s="52">
        <f t="shared" si="29"/>
        <v>-1.9676254929375282E-2</v>
      </c>
      <c r="Y50" s="52">
        <f t="shared" si="30"/>
        <v>0.9</v>
      </c>
      <c r="Z50" s="52">
        <f>Y50*MIN(V50,0.8*(0.85*fc_*(Agth*1000000-'KT THAN'!$D$11)+fy_*'KT THAN'!$D$11)/1000)</f>
        <v>-38310.28694472085</v>
      </c>
      <c r="AA50" s="52">
        <f t="shared" si="31"/>
        <v>33566.582466419546</v>
      </c>
      <c r="AB50" s="52"/>
      <c r="AC50" s="52">
        <f>SMALL($R$6:$R$125,ROWS($AC$6:AC50))</f>
        <v>58166.130996186504</v>
      </c>
      <c r="AD50" s="52">
        <f t="shared" si="32"/>
        <v>12479.749431184737</v>
      </c>
      <c r="AE50" s="52">
        <f>SMALL($Z$6:$Z$125,ROWS($AE$6:AE50))</f>
        <v>-38273.371974404108</v>
      </c>
      <c r="AF50" s="52">
        <f t="shared" si="33"/>
        <v>33646.751248179069</v>
      </c>
      <c r="AG50" s="52">
        <f>SMALL($AK$6:$AK$125,ROWS($AG$6:AG50))</f>
        <v>9.9999999999999997E+98</v>
      </c>
      <c r="AH50" s="52">
        <f t="shared" si="34"/>
        <v>-50196.63221187015</v>
      </c>
      <c r="AI50" s="52">
        <f>SMALL($AL$6:$AL$125,ROWS($AI$6:AI50))</f>
        <v>9.9999999999999997E+98</v>
      </c>
      <c r="AJ50" s="52">
        <f t="shared" si="35"/>
        <v>-52115.252211870153</v>
      </c>
      <c r="AK50" s="52">
        <f t="shared" si="36"/>
        <v>9.9999999999999997E+98</v>
      </c>
      <c r="AL50" s="52">
        <f t="shared" si="37"/>
        <v>9.9999999999999997E+98</v>
      </c>
      <c r="AM50" s="52">
        <f t="shared" si="38"/>
        <v>0</v>
      </c>
      <c r="AN50" s="52">
        <f t="shared" si="39"/>
        <v>0</v>
      </c>
    </row>
    <row r="51" spans="1:40" x14ac:dyDescent="0.3">
      <c r="A51" s="52">
        <v>46</v>
      </c>
      <c r="B51" s="52">
        <f>-bthan*500+(45+0.5)*bthan*1000/50</f>
        <v>2255</v>
      </c>
      <c r="C51" s="52">
        <f t="shared" si="21"/>
        <v>-790</v>
      </c>
      <c r="D51" s="52">
        <f t="shared" si="1"/>
        <v>2200</v>
      </c>
      <c r="E51" s="52">
        <f t="shared" si="2"/>
        <v>0</v>
      </c>
      <c r="F51" s="52"/>
      <c r="G51" s="52">
        <f>IF(46&lt;='KT THAN'!$C$11,46,"")</f>
        <v>46</v>
      </c>
      <c r="H51" s="52">
        <f>IF(G51="",0,2*PI()*(G51-0.5)/'KT THAN'!$C$11)</f>
        <v>1.5882496193148399</v>
      </c>
      <c r="I51" s="52">
        <f>IF(G51="",0,IF(shp=1,IF(AND(ABS(SIN(H51))&gt;0.0000001,MAX(1,hthan*500-'KT THAN'!$D$12)*ABS(COS(H51))/ABS(SIN(H51))&lt;=MAX(0,(bthan-hthan)*500)),MAX(1,hthan*500-'KT THAN'!$D$12)/ABS(SIN(H51)),MAX(0,(bthan-hthan)*500)*ABS(COS(H51))+SQRT(MAX(0,MAX(1,hthan*500-'KT THAN'!$D$12)^2-MAX(0,(bthan-hthan)*500)^2*SIN(H51)^2))),MIN((bthan*500-'KT THAN'!$D$12)/MAX(0.0000001,ABS(COS(H51))),(hthan*500-'KT THAN'!$D$12)/MAX(0.0000001,ABS(SIN(H51)))))*COS(H51))</f>
        <v>-12.218545449752286</v>
      </c>
      <c r="J51" s="52">
        <f>IF(G51="",0,IF(shp=1,IF(AND(ABS(SIN(H51))&gt;0.0000001,MAX(1,hthan*500-'KT THAN'!$D$12)*ABS(COS(H51))/ABS(SIN(H51))&lt;=MAX(0,(bthan-hthan)*500)),MAX(1,hthan*500-'KT THAN'!$D$12)/ABS(SIN(H51)),MAX(0,(bthan-hthan)*500)*ABS(COS(H51))+SQRT(MAX(0,MAX(1,hthan*500-'KT THAN'!$D$12)^2-MAX(0,(bthan-hthan)*500)^2*SIN(H51)^2))),MIN((bthan*500-'KT THAN'!$D$12)/MAX(0.0000001,ABS(COS(H51))),(hthan*500-'KT THAN'!$D$12)/MAX(0.0000001,ABS(SIN(H51)))))*SIN(H51))</f>
        <v>700</v>
      </c>
      <c r="K51" s="52">
        <f>IF(G51="",0,'KT THAN'!$D$11/'KT THAN'!$C$11)</f>
        <v>804.24771931898704</v>
      </c>
      <c r="L51" s="52"/>
      <c r="M51" s="52">
        <f>hthan*1000*0.01*1.06^45</f>
        <v>220.23377323905649</v>
      </c>
      <c r="N51" s="52">
        <f t="shared" si="22"/>
        <v>66995.395032653745</v>
      </c>
      <c r="O51" s="52">
        <f t="shared" si="23"/>
        <v>13866.388256871913</v>
      </c>
      <c r="P51" s="52">
        <f t="shared" si="24"/>
        <v>-1.7432833410684013E-2</v>
      </c>
      <c r="Q51" s="52">
        <f t="shared" si="25"/>
        <v>0.9</v>
      </c>
      <c r="R51" s="52">
        <f>Q51*MIN(N51,0.8*(0.85*fc_*(Agth*1000000-'KT THAN'!$D$11)+fy_*'KT THAN'!$D$11)/1000)</f>
        <v>60295.855529388369</v>
      </c>
      <c r="S51" s="52">
        <f t="shared" si="26"/>
        <v>12479.749431184722</v>
      </c>
      <c r="T51" s="52"/>
      <c r="U51" s="52">
        <f>bthan*1000*0.01*1.06^45</f>
        <v>757.05359550925664</v>
      </c>
      <c r="V51" s="52">
        <f t="shared" si="27"/>
        <v>-38191.185494134275</v>
      </c>
      <c r="W51" s="52">
        <f t="shared" si="28"/>
        <v>46682.293740466164</v>
      </c>
      <c r="X51" s="52">
        <f t="shared" si="29"/>
        <v>-1.8392693329599329E-2</v>
      </c>
      <c r="Y51" s="52">
        <f t="shared" si="30"/>
        <v>0.9</v>
      </c>
      <c r="Z51" s="52">
        <f>Y51*MIN(V51,0.8*(0.85*fc_*(Agth*1000000-'KT THAN'!$D$11)+fy_*'KT THAN'!$D$11)/1000)</f>
        <v>-34372.066944720849</v>
      </c>
      <c r="AA51" s="52">
        <f t="shared" si="31"/>
        <v>42014.064366419552</v>
      </c>
      <c r="AB51" s="52"/>
      <c r="AC51" s="52">
        <f>SMALL($R$6:$R$125,ROWS($AC$6:AC51))</f>
        <v>60295.855529388369</v>
      </c>
      <c r="AD51" s="52">
        <f t="shared" si="32"/>
        <v>12479.749431184722</v>
      </c>
      <c r="AE51" s="52">
        <f>SMALL($Z$6:$Z$125,ROWS($AE$6:AE51))</f>
        <v>-34372.066944720849</v>
      </c>
      <c r="AF51" s="52">
        <f t="shared" si="33"/>
        <v>42014.064366419552</v>
      </c>
      <c r="AG51" s="52">
        <f>SMALL($AK$6:$AK$125,ROWS($AG$6:AG51))</f>
        <v>9.9999999999999997E+98</v>
      </c>
      <c r="AH51" s="52">
        <f t="shared" si="34"/>
        <v>-50196.63221187015</v>
      </c>
      <c r="AI51" s="52">
        <f>SMALL($AL$6:$AL$125,ROWS($AI$6:AI51))</f>
        <v>9.9999999999999997E+98</v>
      </c>
      <c r="AJ51" s="52">
        <f t="shared" si="35"/>
        <v>-52115.252211870153</v>
      </c>
      <c r="AK51" s="52">
        <f t="shared" si="36"/>
        <v>9.9999999999999997E+98</v>
      </c>
      <c r="AL51" s="52">
        <f t="shared" si="37"/>
        <v>9.9999999999999997E+98</v>
      </c>
      <c r="AM51" s="52">
        <f t="shared" si="38"/>
        <v>0</v>
      </c>
      <c r="AN51" s="52">
        <f t="shared" si="39"/>
        <v>0</v>
      </c>
    </row>
    <row r="52" spans="1:40" x14ac:dyDescent="0.3">
      <c r="A52" s="52">
        <v>47</v>
      </c>
      <c r="B52" s="52">
        <f>-bthan*500+(46+0.5)*bthan*1000/50</f>
        <v>2365</v>
      </c>
      <c r="C52" s="52">
        <f t="shared" si="21"/>
        <v>-790</v>
      </c>
      <c r="D52" s="52">
        <f t="shared" si="1"/>
        <v>2200</v>
      </c>
      <c r="E52" s="52">
        <f t="shared" si="2"/>
        <v>0</v>
      </c>
      <c r="F52" s="52"/>
      <c r="G52" s="52">
        <f>IF(47&lt;='KT THAN'!$C$11,47,"")</f>
        <v>47</v>
      </c>
      <c r="H52" s="52">
        <f>IF(G52="",0,2*PI()*(G52-0.5)/'KT THAN'!$C$11)</f>
        <v>1.6231562043547263</v>
      </c>
      <c r="I52" s="52">
        <f>IF(G52="",0,IF(shp=1,IF(AND(ABS(SIN(H52))&gt;0.0000001,MAX(1,hthan*500-'KT THAN'!$D$12)*ABS(COS(H52))/ABS(SIN(H52))&lt;=MAX(0,(bthan-hthan)*500)),MAX(1,hthan*500-'KT THAN'!$D$12)/ABS(SIN(H52)),MAX(0,(bthan-hthan)*500)*ABS(COS(H52))+SQRT(MAX(0,MAX(1,hthan*500-'KT THAN'!$D$12)^2-MAX(0,(bthan-hthan)*500)^2*SIN(H52)^2))),MIN((bthan*500-'KT THAN'!$D$12)/MAX(0.0000001,ABS(COS(H52))),(hthan*500-'KT THAN'!$D$12)/MAX(0.0000001,ABS(SIN(H52)))))*COS(H52))</f>
        <v>-36.685445498128693</v>
      </c>
      <c r="J52" s="52">
        <f>IF(G52="",0,IF(shp=1,IF(AND(ABS(SIN(H52))&gt;0.0000001,MAX(1,hthan*500-'KT THAN'!$D$12)*ABS(COS(H52))/ABS(SIN(H52))&lt;=MAX(0,(bthan-hthan)*500)),MAX(1,hthan*500-'KT THAN'!$D$12)/ABS(SIN(H52)),MAX(0,(bthan-hthan)*500)*ABS(COS(H52))+SQRT(MAX(0,MAX(1,hthan*500-'KT THAN'!$D$12)^2-MAX(0,(bthan-hthan)*500)^2*SIN(H52)^2))),MIN((bthan*500-'KT THAN'!$D$12)/MAX(0.0000001,ABS(COS(H52))),(hthan*500-'KT THAN'!$D$12)/MAX(0.0000001,ABS(SIN(H52)))))*SIN(H52))</f>
        <v>700</v>
      </c>
      <c r="K52" s="52">
        <f>IF(G52="",0,'KT THAN'!$D$11/'KT THAN'!$C$11)</f>
        <v>804.24771931898704</v>
      </c>
      <c r="L52" s="52"/>
      <c r="M52" s="52">
        <f>hthan*1000*0.01*1.06^46</f>
        <v>233.44779963339988</v>
      </c>
      <c r="N52" s="52">
        <f t="shared" si="22"/>
        <v>71655.194052219886</v>
      </c>
      <c r="O52" s="52">
        <f t="shared" si="23"/>
        <v>15346.967332618606</v>
      </c>
      <c r="P52" s="52">
        <f t="shared" si="24"/>
        <v>-1.6276257934607557E-2</v>
      </c>
      <c r="Q52" s="52">
        <f t="shared" si="25"/>
        <v>0.9</v>
      </c>
      <c r="R52" s="52">
        <f>Q52*MIN(N52,0.8*(0.85*fc_*(Agth*1000000-'KT THAN'!$D$11)+fy_*'KT THAN'!$D$11)/1000)</f>
        <v>64489.674646997897</v>
      </c>
      <c r="S52" s="52">
        <f t="shared" si="26"/>
        <v>13812.270599356745</v>
      </c>
      <c r="T52" s="52"/>
      <c r="U52" s="52">
        <f>bthan*1000*0.01*1.06^46</f>
        <v>802.47681123981215</v>
      </c>
      <c r="V52" s="52">
        <f t="shared" si="27"/>
        <v>-38191.185494134275</v>
      </c>
      <c r="W52" s="52">
        <f t="shared" si="28"/>
        <v>46682.293740466164</v>
      </c>
      <c r="X52" s="52">
        <f t="shared" si="29"/>
        <v>-1.7181786159999362E-2</v>
      </c>
      <c r="Y52" s="52">
        <f t="shared" si="30"/>
        <v>0.9</v>
      </c>
      <c r="Z52" s="52">
        <f>Y52*MIN(V52,0.8*(0.85*fc_*(Agth*1000000-'KT THAN'!$D$11)+fy_*'KT THAN'!$D$11)/1000)</f>
        <v>-34372.066944720849</v>
      </c>
      <c r="AA52" s="52">
        <f t="shared" si="31"/>
        <v>42014.064366419552</v>
      </c>
      <c r="AB52" s="52"/>
      <c r="AC52" s="52">
        <f>SMALL($R$6:$R$125,ROWS($AC$6:AC52))</f>
        <v>64489.674646997897</v>
      </c>
      <c r="AD52" s="52">
        <f t="shared" si="32"/>
        <v>13812.270599356745</v>
      </c>
      <c r="AE52" s="52">
        <f>SMALL($Z$6:$Z$125,ROWS($AE$6:AE52))</f>
        <v>-34372.066944720849</v>
      </c>
      <c r="AF52" s="52">
        <f t="shared" si="33"/>
        <v>42014.064366419552</v>
      </c>
      <c r="AG52" s="52">
        <f>SMALL($AK$6:$AK$125,ROWS($AG$6:AG52))</f>
        <v>9.9999999999999997E+98</v>
      </c>
      <c r="AH52" s="52">
        <f t="shared" si="34"/>
        <v>-50196.63221187015</v>
      </c>
      <c r="AI52" s="52">
        <f>SMALL($AL$6:$AL$125,ROWS($AI$6:AI52))</f>
        <v>9.9999999999999997E+98</v>
      </c>
      <c r="AJ52" s="52">
        <f t="shared" si="35"/>
        <v>-52115.252211870153</v>
      </c>
      <c r="AK52" s="52">
        <f t="shared" si="36"/>
        <v>9.9999999999999997E+98</v>
      </c>
      <c r="AL52" s="52">
        <f t="shared" si="37"/>
        <v>9.9999999999999997E+98</v>
      </c>
      <c r="AM52" s="52">
        <f t="shared" si="38"/>
        <v>0</v>
      </c>
      <c r="AN52" s="52">
        <f t="shared" si="39"/>
        <v>0</v>
      </c>
    </row>
    <row r="53" spans="1:40" x14ac:dyDescent="0.3">
      <c r="A53" s="52">
        <v>48</v>
      </c>
      <c r="B53" s="52">
        <f>-bthan*500+(47+0.5)*bthan*1000/50</f>
        <v>2475</v>
      </c>
      <c r="C53" s="52">
        <f t="shared" si="21"/>
        <v>-790</v>
      </c>
      <c r="D53" s="52">
        <f t="shared" si="1"/>
        <v>2200</v>
      </c>
      <c r="E53" s="52">
        <f t="shared" si="2"/>
        <v>0</v>
      </c>
      <c r="F53" s="52"/>
      <c r="G53" s="52">
        <f>IF(48&lt;='KT THAN'!$C$11,48,"")</f>
        <v>48</v>
      </c>
      <c r="H53" s="52">
        <f>IF(G53="",0,2*PI()*(G53-0.5)/'KT THAN'!$C$11)</f>
        <v>1.6580627893946132</v>
      </c>
      <c r="I53" s="52">
        <f>IF(G53="",0,IF(shp=1,IF(AND(ABS(SIN(H53))&gt;0.0000001,MAX(1,hthan*500-'KT THAN'!$D$12)*ABS(COS(H53))/ABS(SIN(H53))&lt;=MAX(0,(bthan-hthan)*500)),MAX(1,hthan*500-'KT THAN'!$D$12)/ABS(SIN(H53)),MAX(0,(bthan-hthan)*500)*ABS(COS(H53))+SQRT(MAX(0,MAX(1,hthan*500-'KT THAN'!$D$12)^2-MAX(0,(bthan-hthan)*500)^2*SIN(H53)^2))),MIN((bthan*500-'KT THAN'!$D$12)/MAX(0.0000001,ABS(COS(H53))),(hthan*500-'KT THAN'!$D$12)/MAX(0.0000001,ABS(SIN(H53)))))*COS(H53))</f>
        <v>-61.242064468146843</v>
      </c>
      <c r="J53" s="52">
        <f>IF(G53="",0,IF(shp=1,IF(AND(ABS(SIN(H53))&gt;0.0000001,MAX(1,hthan*500-'KT THAN'!$D$12)*ABS(COS(H53))/ABS(SIN(H53))&lt;=MAX(0,(bthan-hthan)*500)),MAX(1,hthan*500-'KT THAN'!$D$12)/ABS(SIN(H53)),MAX(0,(bthan-hthan)*500)*ABS(COS(H53))+SQRT(MAX(0,MAX(1,hthan*500-'KT THAN'!$D$12)^2-MAX(0,(bthan-hthan)*500)^2*SIN(H53)^2))),MIN((bthan*500-'KT THAN'!$D$12)/MAX(0.0000001,ABS(COS(H53))),(hthan*500-'KT THAN'!$D$12)/MAX(0.0000001,ABS(SIN(H53)))))*SIN(H53))</f>
        <v>700</v>
      </c>
      <c r="K53" s="52">
        <f>IF(G53="",0,'KT THAN'!$D$11/'KT THAN'!$C$11)</f>
        <v>804.24771931898704</v>
      </c>
      <c r="L53" s="52"/>
      <c r="M53" s="52">
        <f>hthan*1000*0.01*1.06^47</f>
        <v>247.45466761140395</v>
      </c>
      <c r="N53" s="52">
        <f t="shared" si="22"/>
        <v>73761.24655528742</v>
      </c>
      <c r="O53" s="52">
        <f t="shared" si="23"/>
        <v>15346.96733261864</v>
      </c>
      <c r="P53" s="52">
        <f t="shared" si="24"/>
        <v>-1.5185148994912787E-2</v>
      </c>
      <c r="Q53" s="52">
        <f t="shared" si="25"/>
        <v>0.9</v>
      </c>
      <c r="R53" s="52">
        <f>Q53*MIN(N53,0.8*(0.85*fc_*(Agth*1000000-'KT THAN'!$D$11)+fy_*'KT THAN'!$D$11)/1000)</f>
        <v>66385.121899758684</v>
      </c>
      <c r="S53" s="52">
        <f t="shared" si="26"/>
        <v>13812.270599356776</v>
      </c>
      <c r="T53" s="52"/>
      <c r="U53" s="52">
        <f>bthan*1000*0.01*1.06^47</f>
        <v>850.62541991420107</v>
      </c>
      <c r="V53" s="52">
        <f t="shared" si="27"/>
        <v>-38191.185494134275</v>
      </c>
      <c r="W53" s="52">
        <f t="shared" si="28"/>
        <v>46682.293740466164</v>
      </c>
      <c r="X53" s="52">
        <f t="shared" si="29"/>
        <v>-1.6039420905659772E-2</v>
      </c>
      <c r="Y53" s="52">
        <f t="shared" si="30"/>
        <v>0.9</v>
      </c>
      <c r="Z53" s="52">
        <f>Y53*MIN(V53,0.8*(0.85*fc_*(Agth*1000000-'KT THAN'!$D$11)+fy_*'KT THAN'!$D$11)/1000)</f>
        <v>-34372.066944720849</v>
      </c>
      <c r="AA53" s="52">
        <f t="shared" si="31"/>
        <v>42014.064366419552</v>
      </c>
      <c r="AB53" s="52"/>
      <c r="AC53" s="52">
        <f>SMALL($R$6:$R$125,ROWS($AC$6:AC53))</f>
        <v>66385.121899758684</v>
      </c>
      <c r="AD53" s="52">
        <f t="shared" si="32"/>
        <v>13812.270599356776</v>
      </c>
      <c r="AE53" s="52">
        <f>SMALL($Z$6:$Z$125,ROWS($AE$6:AE53))</f>
        <v>-34372.066944720849</v>
      </c>
      <c r="AF53" s="52">
        <f t="shared" si="33"/>
        <v>42014.064366419552</v>
      </c>
      <c r="AG53" s="52">
        <f>SMALL($AK$6:$AK$125,ROWS($AG$6:AG53))</f>
        <v>9.9999999999999997E+98</v>
      </c>
      <c r="AH53" s="52">
        <f t="shared" si="34"/>
        <v>-50196.63221187015</v>
      </c>
      <c r="AI53" s="52">
        <f>SMALL($AL$6:$AL$125,ROWS($AI$6:AI53))</f>
        <v>9.9999999999999997E+98</v>
      </c>
      <c r="AJ53" s="52">
        <f t="shared" si="35"/>
        <v>-52115.252211870153</v>
      </c>
      <c r="AK53" s="52">
        <f t="shared" si="36"/>
        <v>9.9999999999999997E+98</v>
      </c>
      <c r="AL53" s="52">
        <f t="shared" si="37"/>
        <v>9.9999999999999997E+98</v>
      </c>
      <c r="AM53" s="52">
        <f t="shared" si="38"/>
        <v>0</v>
      </c>
      <c r="AN53" s="52">
        <f t="shared" si="39"/>
        <v>0</v>
      </c>
    </row>
    <row r="54" spans="1:40" x14ac:dyDescent="0.3">
      <c r="A54" s="52">
        <v>49</v>
      </c>
      <c r="B54" s="52">
        <f>-bthan*500+(48+0.5)*bthan*1000/50</f>
        <v>2585</v>
      </c>
      <c r="C54" s="52">
        <f t="shared" si="21"/>
        <v>-790</v>
      </c>
      <c r="D54" s="52">
        <f t="shared" si="1"/>
        <v>2200</v>
      </c>
      <c r="E54" s="52">
        <f t="shared" si="2"/>
        <v>0</v>
      </c>
      <c r="F54" s="52"/>
      <c r="G54" s="52">
        <f>IF(49&lt;='KT THAN'!$C$11,49,"")</f>
        <v>49</v>
      </c>
      <c r="H54" s="52">
        <f>IF(G54="",0,2*PI()*(G54-0.5)/'KT THAN'!$C$11)</f>
        <v>1.6929693744344996</v>
      </c>
      <c r="I54" s="52">
        <f>IF(G54="",0,IF(shp=1,IF(AND(ABS(SIN(H54))&gt;0.0000001,MAX(1,hthan*500-'KT THAN'!$D$12)*ABS(COS(H54))/ABS(SIN(H54))&lt;=MAX(0,(bthan-hthan)*500)),MAX(1,hthan*500-'KT THAN'!$D$12)/ABS(SIN(H54)),MAX(0,(bthan-hthan)*500)*ABS(COS(H54))+SQRT(MAX(0,MAX(1,hthan*500-'KT THAN'!$D$12)^2-MAX(0,(bthan-hthan)*500)^2*SIN(H54)^2))),MIN((bthan*500-'KT THAN'!$D$12)/MAX(0.0000001,ABS(COS(H54))),(hthan*500-'KT THAN'!$D$12)/MAX(0.0000001,ABS(SIN(H54)))))*COS(H54))</f>
        <v>-85.949192632033132</v>
      </c>
      <c r="J54" s="52">
        <f>IF(G54="",0,IF(shp=1,IF(AND(ABS(SIN(H54))&gt;0.0000001,MAX(1,hthan*500-'KT THAN'!$D$12)*ABS(COS(H54))/ABS(SIN(H54))&lt;=MAX(0,(bthan-hthan)*500)),MAX(1,hthan*500-'KT THAN'!$D$12)/ABS(SIN(H54)),MAX(0,(bthan-hthan)*500)*ABS(COS(H54))+SQRT(MAX(0,MAX(1,hthan*500-'KT THAN'!$D$12)^2-MAX(0,(bthan-hthan)*500)^2*SIN(H54)^2))),MIN((bthan*500-'KT THAN'!$D$12)/MAX(0.0000001,ABS(COS(H54))),(hthan*500-'KT THAN'!$D$12)/MAX(0.0000001,ABS(SIN(H54)))))*SIN(H54))</f>
        <v>700</v>
      </c>
      <c r="K54" s="52">
        <f>IF(G54="",0,'KT THAN'!$D$11/'KT THAN'!$C$11)</f>
        <v>804.24771931898704</v>
      </c>
      <c r="L54" s="52"/>
      <c r="M54" s="52">
        <f>hthan*1000*0.01*1.06^48</f>
        <v>262.30194766808813</v>
      </c>
      <c r="N54" s="52">
        <f t="shared" si="22"/>
        <v>78328.688539313342</v>
      </c>
      <c r="O54" s="52">
        <f t="shared" si="23"/>
        <v>16869.521332618664</v>
      </c>
      <c r="P54" s="52">
        <f t="shared" si="24"/>
        <v>-1.4155800938596972E-2</v>
      </c>
      <c r="Q54" s="52">
        <f t="shared" si="25"/>
        <v>0.9</v>
      </c>
      <c r="R54" s="52">
        <f>Q54*MIN(N54,0.8*(0.85*fc_*(Agth*1000000-'KT THAN'!$D$11)+fy_*'KT THAN'!$D$11)/1000)</f>
        <v>70495.819685382012</v>
      </c>
      <c r="S54" s="52">
        <f t="shared" si="26"/>
        <v>15182.569199356798</v>
      </c>
      <c r="T54" s="52"/>
      <c r="U54" s="52">
        <f>bthan*1000*0.01*1.06^48</f>
        <v>901.662945109053</v>
      </c>
      <c r="V54" s="52">
        <f t="shared" si="27"/>
        <v>-33744.202127819553</v>
      </c>
      <c r="W54" s="52">
        <f t="shared" si="28"/>
        <v>55732.432899037347</v>
      </c>
      <c r="X54" s="52">
        <f t="shared" si="29"/>
        <v>-1.4961717835528089E-2</v>
      </c>
      <c r="Y54" s="52">
        <f t="shared" si="30"/>
        <v>0.9</v>
      </c>
      <c r="Z54" s="52">
        <f>Y54*MIN(V54,0.8*(0.85*fc_*(Agth*1000000-'KT THAN'!$D$11)+fy_*'KT THAN'!$D$11)/1000)</f>
        <v>-30369.781915037598</v>
      </c>
      <c r="AA54" s="52">
        <f t="shared" si="31"/>
        <v>50159.189609133617</v>
      </c>
      <c r="AB54" s="52"/>
      <c r="AC54" s="52">
        <f>SMALL($R$6:$R$125,ROWS($AC$6:AC54))</f>
        <v>70495.819685382012</v>
      </c>
      <c r="AD54" s="52">
        <f t="shared" si="32"/>
        <v>15182.569199356798</v>
      </c>
      <c r="AE54" s="52">
        <f>SMALL($Z$6:$Z$125,ROWS($AE$6:AE54))</f>
        <v>-30369.781915037598</v>
      </c>
      <c r="AF54" s="52">
        <f t="shared" si="33"/>
        <v>50159.189609133617</v>
      </c>
      <c r="AG54" s="52">
        <f>SMALL($AK$6:$AK$125,ROWS($AG$6:AG54))</f>
        <v>9.9999999999999997E+98</v>
      </c>
      <c r="AH54" s="52">
        <f t="shared" si="34"/>
        <v>-50196.63221187015</v>
      </c>
      <c r="AI54" s="52">
        <f>SMALL($AL$6:$AL$125,ROWS($AI$6:AI54))</f>
        <v>9.9999999999999997E+98</v>
      </c>
      <c r="AJ54" s="52">
        <f t="shared" si="35"/>
        <v>-52115.252211870153</v>
      </c>
      <c r="AK54" s="52">
        <f t="shared" si="36"/>
        <v>9.9999999999999997E+98</v>
      </c>
      <c r="AL54" s="52">
        <f t="shared" si="37"/>
        <v>9.9999999999999997E+98</v>
      </c>
      <c r="AM54" s="52">
        <f t="shared" si="38"/>
        <v>0</v>
      </c>
      <c r="AN54" s="52">
        <f t="shared" si="39"/>
        <v>0</v>
      </c>
    </row>
    <row r="55" spans="1:40" x14ac:dyDescent="0.3">
      <c r="A55" s="52">
        <v>50</v>
      </c>
      <c r="B55" s="52">
        <f>-bthan*500+(49+0.5)*bthan*1000/50</f>
        <v>2695</v>
      </c>
      <c r="C55" s="52">
        <f t="shared" si="21"/>
        <v>-790</v>
      </c>
      <c r="D55" s="52">
        <f t="shared" si="1"/>
        <v>2200</v>
      </c>
      <c r="E55" s="52">
        <f t="shared" si="2"/>
        <v>0</v>
      </c>
      <c r="F55" s="52"/>
      <c r="G55" s="52">
        <f>IF(50&lt;='KT THAN'!$C$11,50,"")</f>
        <v>50</v>
      </c>
      <c r="H55" s="52">
        <f>IF(G55="",0,2*PI()*(G55-0.5)/'KT THAN'!$C$11)</f>
        <v>1.7278759594743864</v>
      </c>
      <c r="I55" s="52">
        <f>IF(G55="",0,IF(shp=1,IF(AND(ABS(SIN(H55))&gt;0.0000001,MAX(1,hthan*500-'KT THAN'!$D$12)*ABS(COS(H55))/ABS(SIN(H55))&lt;=MAX(0,(bthan-hthan)*500)),MAX(1,hthan*500-'KT THAN'!$D$12)/ABS(SIN(H55)),MAX(0,(bthan-hthan)*500)*ABS(COS(H55))+SQRT(MAX(0,MAX(1,hthan*500-'KT THAN'!$D$12)^2-MAX(0,(bthan-hthan)*500)^2*SIN(H55)^2))),MIN((bthan*500-'KT THAN'!$D$12)/MAX(0.0000001,ABS(COS(H55))),(hthan*500-'KT THAN'!$D$12)/MAX(0.0000001,ABS(SIN(H55)))))*COS(H55))</f>
        <v>-110.86910822717553</v>
      </c>
      <c r="J55" s="52">
        <f>IF(G55="",0,IF(shp=1,IF(AND(ABS(SIN(H55))&gt;0.0000001,MAX(1,hthan*500-'KT THAN'!$D$12)*ABS(COS(H55))/ABS(SIN(H55))&lt;=MAX(0,(bthan-hthan)*500)),MAX(1,hthan*500-'KT THAN'!$D$12)/ABS(SIN(H55)),MAX(0,(bthan-hthan)*500)*ABS(COS(H55))+SQRT(MAX(0,MAX(1,hthan*500-'KT THAN'!$D$12)^2-MAX(0,(bthan-hthan)*500)^2*SIN(H55)^2))),MIN((bthan*500-'KT THAN'!$D$12)/MAX(0.0000001,ABS(COS(H55))),(hthan*500-'KT THAN'!$D$12)/MAX(0.0000001,ABS(SIN(H55)))))*SIN(H55))</f>
        <v>700</v>
      </c>
      <c r="K55" s="52">
        <f>IF(G55="",0,'KT THAN'!$D$11/'KT THAN'!$C$11)</f>
        <v>804.24771931898704</v>
      </c>
      <c r="L55" s="52"/>
      <c r="M55" s="52">
        <f>hthan*1000*0.01*1.06^49</f>
        <v>278.04006452817345</v>
      </c>
      <c r="N55" s="52">
        <f t="shared" si="22"/>
        <v>82783.667769526422</v>
      </c>
      <c r="O55" s="52">
        <f t="shared" si="23"/>
        <v>18340.463332618667</v>
      </c>
      <c r="P55" s="52">
        <f t="shared" si="24"/>
        <v>-1.3184717866600916E-2</v>
      </c>
      <c r="Q55" s="52">
        <f t="shared" si="25"/>
        <v>0.9</v>
      </c>
      <c r="R55" s="52">
        <f>Q55*MIN(N55,0.8*(0.85*fc_*(Agth*1000000-'KT THAN'!$D$11)+fy_*'KT THAN'!$D$11)/1000)</f>
        <v>74505.300992573786</v>
      </c>
      <c r="S55" s="52">
        <f t="shared" si="26"/>
        <v>16506.416999356799</v>
      </c>
      <c r="T55" s="52"/>
      <c r="U55" s="52">
        <f>bthan*1000*0.01*1.06^49</f>
        <v>955.76272181559625</v>
      </c>
      <c r="V55" s="52">
        <f t="shared" si="27"/>
        <v>-33744.202127819553</v>
      </c>
      <c r="W55" s="52">
        <f t="shared" si="28"/>
        <v>55732.432899037347</v>
      </c>
      <c r="X55" s="52">
        <f t="shared" si="29"/>
        <v>-1.3945016825969894E-2</v>
      </c>
      <c r="Y55" s="52">
        <f t="shared" si="30"/>
        <v>0.9</v>
      </c>
      <c r="Z55" s="52">
        <f>Y55*MIN(V55,0.8*(0.85*fc_*(Agth*1000000-'KT THAN'!$D$11)+fy_*'KT THAN'!$D$11)/1000)</f>
        <v>-30369.781915037598</v>
      </c>
      <c r="AA55" s="52">
        <f t="shared" si="31"/>
        <v>50159.189609133617</v>
      </c>
      <c r="AB55" s="52"/>
      <c r="AC55" s="52">
        <f>SMALL($R$6:$R$125,ROWS($AC$6:AC55))</f>
        <v>74505.300992573786</v>
      </c>
      <c r="AD55" s="52">
        <f t="shared" si="32"/>
        <v>16506.416999356799</v>
      </c>
      <c r="AE55" s="52">
        <f>SMALL($Z$6:$Z$125,ROWS($AE$6:AE55))</f>
        <v>-30369.781915037598</v>
      </c>
      <c r="AF55" s="52">
        <f t="shared" si="33"/>
        <v>50159.189609133617</v>
      </c>
      <c r="AG55" s="52">
        <f>SMALL($AK$6:$AK$125,ROWS($AG$6:AG55))</f>
        <v>9.9999999999999997E+98</v>
      </c>
      <c r="AH55" s="52">
        <f t="shared" si="34"/>
        <v>-50196.63221187015</v>
      </c>
      <c r="AI55" s="52">
        <f>SMALL($AL$6:$AL$125,ROWS($AI$6:AI55))</f>
        <v>9.9999999999999997E+98</v>
      </c>
      <c r="AJ55" s="52">
        <f t="shared" si="35"/>
        <v>-52115.252211870153</v>
      </c>
      <c r="AK55" s="52">
        <f t="shared" si="36"/>
        <v>9.9999999999999997E+98</v>
      </c>
      <c r="AL55" s="52">
        <f t="shared" si="37"/>
        <v>9.9999999999999997E+98</v>
      </c>
      <c r="AM55" s="52">
        <f t="shared" si="38"/>
        <v>0</v>
      </c>
      <c r="AN55" s="52">
        <f t="shared" si="39"/>
        <v>0</v>
      </c>
    </row>
    <row r="56" spans="1:40" x14ac:dyDescent="0.3">
      <c r="A56" s="52">
        <v>51</v>
      </c>
      <c r="B56" s="52">
        <f>-bthan*500+(0+0.5)*bthan*1000/50</f>
        <v>-2695</v>
      </c>
      <c r="C56" s="52">
        <f t="shared" ref="C56:C87" si="40">-hthan*500+(1+0.5)*hthan*1000/80</f>
        <v>-770</v>
      </c>
      <c r="D56" s="52">
        <f t="shared" si="1"/>
        <v>2200</v>
      </c>
      <c r="E56" s="52">
        <f t="shared" si="2"/>
        <v>0</v>
      </c>
      <c r="F56" s="52"/>
      <c r="G56" s="52">
        <f>IF(51&lt;='KT THAN'!$C$11,51,"")</f>
        <v>51</v>
      </c>
      <c r="H56" s="52">
        <f>IF(G56="",0,2*PI()*(G56-0.5)/'KT THAN'!$C$11)</f>
        <v>1.7627825445142729</v>
      </c>
      <c r="I56" s="52">
        <f>IF(G56="",0,IF(shp=1,IF(AND(ABS(SIN(H56))&gt;0.0000001,MAX(1,hthan*500-'KT THAN'!$D$12)*ABS(COS(H56))/ABS(SIN(H56))&lt;=MAX(0,(bthan-hthan)*500)),MAX(1,hthan*500-'KT THAN'!$D$12)/ABS(SIN(H56)),MAX(0,(bthan-hthan)*500)*ABS(COS(H56))+SQRT(MAX(0,MAX(1,hthan*500-'KT THAN'!$D$12)^2-MAX(0,(bthan-hthan)*500)^2*SIN(H56)^2))),MIN((bthan*500-'KT THAN'!$D$12)/MAX(0.0000001,ABS(COS(H56))),(hthan*500-'KT THAN'!$D$12)/MAX(0.0000001,ABS(SIN(H56)))))*COS(H56))</f>
        <v>-136.06621639640292</v>
      </c>
      <c r="J56" s="52">
        <f>IF(G56="",0,IF(shp=1,IF(AND(ABS(SIN(H56))&gt;0.0000001,MAX(1,hthan*500-'KT THAN'!$D$12)*ABS(COS(H56))/ABS(SIN(H56))&lt;=MAX(0,(bthan-hthan)*500)),MAX(1,hthan*500-'KT THAN'!$D$12)/ABS(SIN(H56)),MAX(0,(bthan-hthan)*500)*ABS(COS(H56))+SQRT(MAX(0,MAX(1,hthan*500-'KT THAN'!$D$12)^2-MAX(0,(bthan-hthan)*500)^2*SIN(H56)^2))),MIN((bthan*500-'KT THAN'!$D$12)/MAX(0.0000001,ABS(COS(H56))),(hthan*500-'KT THAN'!$D$12)/MAX(0.0000001,ABS(SIN(H56)))))*SIN(H56))</f>
        <v>700</v>
      </c>
      <c r="K56" s="52">
        <f>IF(G56="",0,'KT THAN'!$D$11/'KT THAN'!$C$11)</f>
        <v>804.24771931898704</v>
      </c>
      <c r="L56" s="52"/>
      <c r="M56" s="52">
        <f>hthan*1000*0.01*1.06^50</f>
        <v>294.72246839986383</v>
      </c>
      <c r="N56" s="52">
        <f t="shared" si="22"/>
        <v>84551.950062179894</v>
      </c>
      <c r="O56" s="52">
        <f t="shared" si="23"/>
        <v>18340.463332618605</v>
      </c>
      <c r="P56" s="52">
        <f t="shared" si="24"/>
        <v>-1.2268601760944261E-2</v>
      </c>
      <c r="Q56" s="52">
        <f t="shared" si="25"/>
        <v>0.9</v>
      </c>
      <c r="R56" s="52">
        <f>Q56*MIN(N56,0.8*(0.85*fc_*(Agth*1000000-'KT THAN'!$D$11)+fy_*'KT THAN'!$D$11)/1000)</f>
        <v>76096.755055961912</v>
      </c>
      <c r="S56" s="52">
        <f t="shared" si="26"/>
        <v>16506.416999356745</v>
      </c>
      <c r="T56" s="52"/>
      <c r="U56" s="52">
        <f>bthan*1000*0.01*1.06^50</f>
        <v>1013.1084851245319</v>
      </c>
      <c r="V56" s="52">
        <f t="shared" si="27"/>
        <v>-29256.202127819553</v>
      </c>
      <c r="W56" s="52">
        <f t="shared" si="28"/>
        <v>64371.832899037348</v>
      </c>
      <c r="X56" s="52">
        <f t="shared" si="29"/>
        <v>-1.2985864930160278E-2</v>
      </c>
      <c r="Y56" s="52">
        <f t="shared" si="30"/>
        <v>0.9</v>
      </c>
      <c r="Z56" s="52">
        <f>Y56*MIN(V56,0.8*(0.85*fc_*(Agth*1000000-'KT THAN'!$D$11)+fy_*'KT THAN'!$D$11)/1000)</f>
        <v>-26330.581915037597</v>
      </c>
      <c r="AA56" s="52">
        <f t="shared" si="31"/>
        <v>57934.649609133616</v>
      </c>
      <c r="AB56" s="52"/>
      <c r="AC56" s="52">
        <f>SMALL($R$6:$R$125,ROWS($AC$6:AC56))</f>
        <v>76096.755055961912</v>
      </c>
      <c r="AD56" s="52">
        <f t="shared" si="32"/>
        <v>16506.416999356745</v>
      </c>
      <c r="AE56" s="52">
        <f>SMALL($Z$6:$Z$125,ROWS($AE$6:AE56))</f>
        <v>-26330.581915037597</v>
      </c>
      <c r="AF56" s="52">
        <f t="shared" si="33"/>
        <v>57934.649609133616</v>
      </c>
      <c r="AG56" s="52">
        <f>SMALL($AK$6:$AK$125,ROWS($AG$6:AG56))</f>
        <v>9.9999999999999997E+98</v>
      </c>
      <c r="AH56" s="52">
        <f t="shared" si="34"/>
        <v>-50196.63221187015</v>
      </c>
      <c r="AI56" s="52">
        <f>SMALL($AL$6:$AL$125,ROWS($AI$6:AI56))</f>
        <v>9.9999999999999997E+98</v>
      </c>
      <c r="AJ56" s="52">
        <f t="shared" si="35"/>
        <v>-52115.252211870153</v>
      </c>
      <c r="AK56" s="52">
        <f t="shared" si="36"/>
        <v>9.9999999999999997E+98</v>
      </c>
      <c r="AL56" s="52">
        <f t="shared" si="37"/>
        <v>9.9999999999999997E+98</v>
      </c>
      <c r="AM56" s="52">
        <f t="shared" si="38"/>
        <v>0</v>
      </c>
      <c r="AN56" s="52">
        <f t="shared" si="39"/>
        <v>0</v>
      </c>
    </row>
    <row r="57" spans="1:40" x14ac:dyDescent="0.3">
      <c r="A57" s="52">
        <v>52</v>
      </c>
      <c r="B57" s="52">
        <f>-bthan*500+(1+0.5)*bthan*1000/50</f>
        <v>-2585</v>
      </c>
      <c r="C57" s="52">
        <f t="shared" si="40"/>
        <v>-770</v>
      </c>
      <c r="D57" s="52">
        <f t="shared" si="1"/>
        <v>2200</v>
      </c>
      <c r="E57" s="52">
        <f t="shared" si="2"/>
        <v>0</v>
      </c>
      <c r="F57" s="52"/>
      <c r="G57" s="52">
        <f>IF(52&lt;='KT THAN'!$C$11,52,"")</f>
        <v>52</v>
      </c>
      <c r="H57" s="52">
        <f>IF(G57="",0,2*PI()*(G57-0.5)/'KT THAN'!$C$11)</f>
        <v>1.7976891295541593</v>
      </c>
      <c r="I57" s="52">
        <f>IF(G57="",0,IF(shp=1,IF(AND(ABS(SIN(H57))&gt;0.0000001,MAX(1,hthan*500-'KT THAN'!$D$12)*ABS(COS(H57))/ABS(SIN(H57))&lt;=MAX(0,(bthan-hthan)*500)),MAX(1,hthan*500-'KT THAN'!$D$12)/ABS(SIN(H57)),MAX(0,(bthan-hthan)*500)*ABS(COS(H57))+SQRT(MAX(0,MAX(1,hthan*500-'KT THAN'!$D$12)^2-MAX(0,(bthan-hthan)*500)^2*SIN(H57)^2))),MIN((bthan*500-'KT THAN'!$D$12)/MAX(0.0000001,ABS(COS(H57))),(hthan*500-'KT THAN'!$D$12)/MAX(0.0000001,ABS(SIN(H57)))))*COS(H57))</f>
        <v>-161.60773378789403</v>
      </c>
      <c r="J57" s="52">
        <f>IF(G57="",0,IF(shp=1,IF(AND(ABS(SIN(H57))&gt;0.0000001,MAX(1,hthan*500-'KT THAN'!$D$12)*ABS(COS(H57))/ABS(SIN(H57))&lt;=MAX(0,(bthan-hthan)*500)),MAX(1,hthan*500-'KT THAN'!$D$12)/ABS(SIN(H57)),MAX(0,(bthan-hthan)*500)*ABS(COS(H57))+SQRT(MAX(0,MAX(1,hthan*500-'KT THAN'!$D$12)^2-MAX(0,(bthan-hthan)*500)^2*SIN(H57)^2))),MIN((bthan*500-'KT THAN'!$D$12)/MAX(0.0000001,ABS(COS(H57))),(hthan*500-'KT THAN'!$D$12)/MAX(0.0000001,ABS(SIN(H57)))))*SIN(H57))</f>
        <v>700</v>
      </c>
      <c r="K57" s="52">
        <f>IF(G57="",0,'KT THAN'!$D$11/'KT THAN'!$C$11)</f>
        <v>804.24771931898704</v>
      </c>
      <c r="L57" s="52"/>
      <c r="M57" s="52">
        <f>hthan*1000*0.01*1.06^51</f>
        <v>312.4058165038557</v>
      </c>
      <c r="N57" s="52">
        <f t="shared" si="22"/>
        <v>87609.987077241385</v>
      </c>
      <c r="O57" s="52">
        <f t="shared" si="23"/>
        <v>19737.229051755396</v>
      </c>
      <c r="P57" s="52">
        <f t="shared" si="24"/>
        <v>-1.1404341283909677E-2</v>
      </c>
      <c r="Q57" s="52">
        <f t="shared" si="25"/>
        <v>0.9</v>
      </c>
      <c r="R57" s="52">
        <f>Q57*MIN(N57,0.8*(0.85*fc_*(Agth*1000000-'KT THAN'!$D$11)+fy_*'KT THAN'!$D$11)/1000)</f>
        <v>78848.988369517247</v>
      </c>
      <c r="S57" s="52">
        <f t="shared" si="26"/>
        <v>17763.506146579857</v>
      </c>
      <c r="T57" s="52"/>
      <c r="U57" s="52">
        <f>bthan*1000*0.01*1.06^51</f>
        <v>1073.8949942320039</v>
      </c>
      <c r="V57" s="52">
        <f t="shared" si="27"/>
        <v>-29256.202127819553</v>
      </c>
      <c r="W57" s="52">
        <f t="shared" si="28"/>
        <v>64371.832899037348</v>
      </c>
      <c r="X57" s="52">
        <f t="shared" si="29"/>
        <v>-1.2081004651094601E-2</v>
      </c>
      <c r="Y57" s="52">
        <f t="shared" si="30"/>
        <v>0.9</v>
      </c>
      <c r="Z57" s="52">
        <f>Y57*MIN(V57,0.8*(0.85*fc_*(Agth*1000000-'KT THAN'!$D$11)+fy_*'KT THAN'!$D$11)/1000)</f>
        <v>-26330.581915037597</v>
      </c>
      <c r="AA57" s="52">
        <f t="shared" si="31"/>
        <v>57934.649609133616</v>
      </c>
      <c r="AB57" s="52"/>
      <c r="AC57" s="52">
        <f>SMALL($R$6:$R$125,ROWS($AC$6:AC57))</f>
        <v>78848.988369517247</v>
      </c>
      <c r="AD57" s="52">
        <f t="shared" si="32"/>
        <v>17763.506146579857</v>
      </c>
      <c r="AE57" s="52">
        <f>SMALL($Z$6:$Z$125,ROWS($AE$6:AE57))</f>
        <v>-26330.581915037597</v>
      </c>
      <c r="AF57" s="52">
        <f t="shared" si="33"/>
        <v>57934.649609133616</v>
      </c>
      <c r="AG57" s="52">
        <f>SMALL($AK$6:$AK$125,ROWS($AG$6:AG57))</f>
        <v>9.9999999999999997E+98</v>
      </c>
      <c r="AH57" s="52">
        <f t="shared" si="34"/>
        <v>-50196.63221187015</v>
      </c>
      <c r="AI57" s="52">
        <f>SMALL($AL$6:$AL$125,ROWS($AI$6:AI57))</f>
        <v>9.9999999999999997E+98</v>
      </c>
      <c r="AJ57" s="52">
        <f t="shared" si="35"/>
        <v>-52115.252211870153</v>
      </c>
      <c r="AK57" s="52">
        <f t="shared" si="36"/>
        <v>9.9999999999999997E+98</v>
      </c>
      <c r="AL57" s="52">
        <f t="shared" si="37"/>
        <v>9.9999999999999997E+98</v>
      </c>
      <c r="AM57" s="52">
        <f t="shared" si="38"/>
        <v>0</v>
      </c>
      <c r="AN57" s="52">
        <f t="shared" si="39"/>
        <v>0</v>
      </c>
    </row>
    <row r="58" spans="1:40" x14ac:dyDescent="0.3">
      <c r="A58" s="52">
        <v>53</v>
      </c>
      <c r="B58" s="52">
        <f>-bthan*500+(2+0.5)*bthan*1000/50</f>
        <v>-2475</v>
      </c>
      <c r="C58" s="52">
        <f t="shared" si="40"/>
        <v>-770</v>
      </c>
      <c r="D58" s="52">
        <f t="shared" si="1"/>
        <v>2200</v>
      </c>
      <c r="E58" s="52">
        <f t="shared" si="2"/>
        <v>0</v>
      </c>
      <c r="F58" s="52"/>
      <c r="G58" s="52">
        <f>IF(53&lt;='KT THAN'!$C$11,53,"")</f>
        <v>53</v>
      </c>
      <c r="H58" s="52">
        <f>IF(G58="",0,2*PI()*(G58-0.5)/'KT THAN'!$C$11)</f>
        <v>1.8325957145940461</v>
      </c>
      <c r="I58" s="52">
        <f>IF(G58="",0,IF(shp=1,IF(AND(ABS(SIN(H58))&gt;0.0000001,MAX(1,hthan*500-'KT THAN'!$D$12)*ABS(COS(H58))/ABS(SIN(H58))&lt;=MAX(0,(bthan-hthan)*500)),MAX(1,hthan*500-'KT THAN'!$D$12)/ABS(SIN(H58)),MAX(0,(bthan-hthan)*500)*ABS(COS(H58))+SQRT(MAX(0,MAX(1,hthan*500-'KT THAN'!$D$12)^2-MAX(0,(bthan-hthan)*500)^2*SIN(H58)^2))),MIN((bthan*500-'KT THAN'!$D$12)/MAX(0.0000001,ABS(COS(H58))),(hthan*500-'KT THAN'!$D$12)/MAX(0.0000001,ABS(SIN(H58)))))*COS(H58))</f>
        <v>-187.56443470178596</v>
      </c>
      <c r="J58" s="52">
        <f>IF(G58="",0,IF(shp=1,IF(AND(ABS(SIN(H58))&gt;0.0000001,MAX(1,hthan*500-'KT THAN'!$D$12)*ABS(COS(H58))/ABS(SIN(H58))&lt;=MAX(0,(bthan-hthan)*500)),MAX(1,hthan*500-'KT THAN'!$D$12)/ABS(SIN(H58)),MAX(0,(bthan-hthan)*500)*ABS(COS(H58))+SQRT(MAX(0,MAX(1,hthan*500-'KT THAN'!$D$12)^2-MAX(0,(bthan-hthan)*500)^2*SIN(H58)^2))),MIN((bthan*500-'KT THAN'!$D$12)/MAX(0.0000001,ABS(COS(H58))),(hthan*500-'KT THAN'!$D$12)/MAX(0.0000001,ABS(SIN(H58)))))*SIN(H58))</f>
        <v>700</v>
      </c>
      <c r="K58" s="52">
        <f>IF(G58="",0,'KT THAN'!$D$11/'KT THAN'!$C$11)</f>
        <v>804.24771931898704</v>
      </c>
      <c r="L58" s="52"/>
      <c r="M58" s="52">
        <f>hthan*1000*0.01*1.06^52</f>
        <v>331.15016549408705</v>
      </c>
      <c r="N58" s="52">
        <f t="shared" si="22"/>
        <v>90190.587077241391</v>
      </c>
      <c r="O58" s="52">
        <f t="shared" si="23"/>
        <v>21104.947051755393</v>
      </c>
      <c r="P58" s="52">
        <f t="shared" si="24"/>
        <v>-1.0589001211235544E-2</v>
      </c>
      <c r="Q58" s="52">
        <f t="shared" si="25"/>
        <v>0.9</v>
      </c>
      <c r="R58" s="52">
        <f>Q58*MIN(N58,0.8*(0.85*fc_*(Agth*1000000-'KT THAN'!$D$11)+fy_*'KT THAN'!$D$11)/1000)</f>
        <v>81171.528369517255</v>
      </c>
      <c r="S58" s="52">
        <f t="shared" si="26"/>
        <v>18994.452346579856</v>
      </c>
      <c r="T58" s="52"/>
      <c r="U58" s="52">
        <f>bthan*1000*0.01*1.06^52</f>
        <v>1138.3286938859242</v>
      </c>
      <c r="V58" s="52">
        <f t="shared" si="27"/>
        <v>-24809.218761504821</v>
      </c>
      <c r="W58" s="52">
        <f t="shared" si="28"/>
        <v>72442.756510318533</v>
      </c>
      <c r="X58" s="52">
        <f t="shared" si="29"/>
        <v>-1.1227362878391134E-2</v>
      </c>
      <c r="Y58" s="52">
        <f t="shared" si="30"/>
        <v>0.9</v>
      </c>
      <c r="Z58" s="52">
        <f>Y58*MIN(V58,0.8*(0.85*fc_*(Agth*1000000-'KT THAN'!$D$11)+fy_*'KT THAN'!$D$11)/1000)</f>
        <v>-22328.296885354339</v>
      </c>
      <c r="AA58" s="52">
        <f t="shared" si="31"/>
        <v>65198.480859286683</v>
      </c>
      <c r="AB58" s="52"/>
      <c r="AC58" s="52">
        <f>SMALL($R$6:$R$125,ROWS($AC$6:AC58))</f>
        <v>81171.528369517255</v>
      </c>
      <c r="AD58" s="52">
        <f t="shared" si="32"/>
        <v>18994.452346579856</v>
      </c>
      <c r="AE58" s="52">
        <f>SMALL($Z$6:$Z$125,ROWS($AE$6:AE58))</f>
        <v>-22328.296885354339</v>
      </c>
      <c r="AF58" s="52">
        <f t="shared" si="33"/>
        <v>65198.480859286683</v>
      </c>
      <c r="AG58" s="52">
        <f>SMALL($AK$6:$AK$125,ROWS($AG$6:AG58))</f>
        <v>9.9999999999999997E+98</v>
      </c>
      <c r="AH58" s="52">
        <f t="shared" si="34"/>
        <v>-50196.63221187015</v>
      </c>
      <c r="AI58" s="52">
        <f>SMALL($AL$6:$AL$125,ROWS($AI$6:AI58))</f>
        <v>9.9999999999999997E+98</v>
      </c>
      <c r="AJ58" s="52">
        <f t="shared" si="35"/>
        <v>-52115.252211870153</v>
      </c>
      <c r="AK58" s="52">
        <f t="shared" si="36"/>
        <v>9.9999999999999997E+98</v>
      </c>
      <c r="AL58" s="52">
        <f t="shared" si="37"/>
        <v>9.9999999999999997E+98</v>
      </c>
      <c r="AM58" s="52">
        <f t="shared" si="38"/>
        <v>0</v>
      </c>
      <c r="AN58" s="52">
        <f t="shared" si="39"/>
        <v>0</v>
      </c>
    </row>
    <row r="59" spans="1:40" x14ac:dyDescent="0.3">
      <c r="A59" s="52">
        <v>54</v>
      </c>
      <c r="B59" s="52">
        <f>-bthan*500+(3+0.5)*bthan*1000/50</f>
        <v>-2365</v>
      </c>
      <c r="C59" s="52">
        <f t="shared" si="40"/>
        <v>-770</v>
      </c>
      <c r="D59" s="52">
        <f t="shared" si="1"/>
        <v>2200</v>
      </c>
      <c r="E59" s="52">
        <f t="shared" si="2"/>
        <v>0</v>
      </c>
      <c r="F59" s="52"/>
      <c r="G59" s="52">
        <f>IF(54&lt;='KT THAN'!$C$11,54,"")</f>
        <v>54</v>
      </c>
      <c r="H59" s="52">
        <f>IF(G59="",0,2*PI()*(G59-0.5)/'KT THAN'!$C$11)</f>
        <v>1.8675022996339325</v>
      </c>
      <c r="I59" s="52">
        <f>IF(G59="",0,IF(shp=1,IF(AND(ABS(SIN(H59))&gt;0.0000001,MAX(1,hthan*500-'KT THAN'!$D$12)*ABS(COS(H59))/ABS(SIN(H59))&lt;=MAX(0,(bthan-hthan)*500)),MAX(1,hthan*500-'KT THAN'!$D$12)/ABS(SIN(H59)),MAX(0,(bthan-hthan)*500)*ABS(COS(H59))+SQRT(MAX(0,MAX(1,hthan*500-'KT THAN'!$D$12)^2-MAX(0,(bthan-hthan)*500)^2*SIN(H59)^2))),MIN((bthan*500-'KT THAN'!$D$12)/MAX(0.0000001,ABS(COS(H59))),(hthan*500-'KT THAN'!$D$12)/MAX(0.0000001,ABS(SIN(H59)))))*COS(H59))</f>
        <v>-214.01147702106218</v>
      </c>
      <c r="J59" s="52">
        <f>IF(G59="",0,IF(shp=1,IF(AND(ABS(SIN(H59))&gt;0.0000001,MAX(1,hthan*500-'KT THAN'!$D$12)*ABS(COS(H59))/ABS(SIN(H59))&lt;=MAX(0,(bthan-hthan)*500)),MAX(1,hthan*500-'KT THAN'!$D$12)/ABS(SIN(H59)),MAX(0,(bthan-hthan)*500)*ABS(COS(H59))+SQRT(MAX(0,MAX(1,hthan*500-'KT THAN'!$D$12)^2-MAX(0,(bthan-hthan)*500)^2*SIN(H59)^2))),MIN((bthan*500-'KT THAN'!$D$12)/MAX(0.0000001,ABS(COS(H59))),(hthan*500-'KT THAN'!$D$12)/MAX(0.0000001,ABS(SIN(H59)))))*SIN(H59))</f>
        <v>700</v>
      </c>
      <c r="K59" s="52">
        <f>IF(G59="",0,'KT THAN'!$D$11/'KT THAN'!$C$11)</f>
        <v>804.24771931898704</v>
      </c>
      <c r="L59" s="52"/>
      <c r="M59" s="52">
        <f>hthan*1000*0.01*1.06^53</f>
        <v>351.01917542373235</v>
      </c>
      <c r="N59" s="52">
        <f t="shared" si="22"/>
        <v>92771.187077241397</v>
      </c>
      <c r="O59" s="52">
        <f t="shared" si="23"/>
        <v>22421.053051755393</v>
      </c>
      <c r="P59" s="52">
        <f t="shared" si="24"/>
        <v>-9.8198124634297553E-3</v>
      </c>
      <c r="Q59" s="52">
        <f t="shared" si="25"/>
        <v>0.9</v>
      </c>
      <c r="R59" s="52">
        <f>Q59*MIN(N59,0.8*(0.85*fc_*(Agth*1000000-'KT THAN'!$D$11)+fy_*'KT THAN'!$D$11)/1000)</f>
        <v>83494.068369517263</v>
      </c>
      <c r="S59" s="52">
        <f t="shared" si="26"/>
        <v>20178.947746579855</v>
      </c>
      <c r="T59" s="52"/>
      <c r="U59" s="52">
        <f>bthan*1000*0.01*1.06^53</f>
        <v>1206.6284155190799</v>
      </c>
      <c r="V59" s="52">
        <f t="shared" si="27"/>
        <v>-24809.218761504821</v>
      </c>
      <c r="W59" s="52">
        <f t="shared" si="28"/>
        <v>72442.756510318533</v>
      </c>
      <c r="X59" s="52">
        <f t="shared" si="29"/>
        <v>-1.0422040451312387E-2</v>
      </c>
      <c r="Y59" s="52">
        <f t="shared" si="30"/>
        <v>0.9</v>
      </c>
      <c r="Z59" s="52">
        <f>Y59*MIN(V59,0.8*(0.85*fc_*(Agth*1000000-'KT THAN'!$D$11)+fy_*'KT THAN'!$D$11)/1000)</f>
        <v>-22328.296885354339</v>
      </c>
      <c r="AA59" s="52">
        <f t="shared" si="31"/>
        <v>65198.480859286683</v>
      </c>
      <c r="AB59" s="52"/>
      <c r="AC59" s="52">
        <f>SMALL($R$6:$R$125,ROWS($AC$6:AC59))</f>
        <v>83494.068369517263</v>
      </c>
      <c r="AD59" s="52">
        <f t="shared" si="32"/>
        <v>20178.947746579855</v>
      </c>
      <c r="AE59" s="52">
        <f>SMALL($Z$6:$Z$125,ROWS($AE$6:AE59))</f>
        <v>-22328.296885354339</v>
      </c>
      <c r="AF59" s="52">
        <f t="shared" si="33"/>
        <v>65198.480859286683</v>
      </c>
      <c r="AG59" s="52">
        <f>SMALL($AK$6:$AK$125,ROWS($AG$6:AG59))</f>
        <v>9.9999999999999997E+98</v>
      </c>
      <c r="AH59" s="52">
        <f t="shared" si="34"/>
        <v>-50196.63221187015</v>
      </c>
      <c r="AI59" s="52">
        <f>SMALL($AL$6:$AL$125,ROWS($AI$6:AI59))</f>
        <v>9.9999999999999997E+98</v>
      </c>
      <c r="AJ59" s="52">
        <f t="shared" si="35"/>
        <v>-52115.252211870153</v>
      </c>
      <c r="AK59" s="52">
        <f t="shared" si="36"/>
        <v>9.9999999999999997E+98</v>
      </c>
      <c r="AL59" s="52">
        <f t="shared" si="37"/>
        <v>9.9999999999999997E+98</v>
      </c>
      <c r="AM59" s="52">
        <f t="shared" si="38"/>
        <v>0</v>
      </c>
      <c r="AN59" s="52">
        <f t="shared" si="39"/>
        <v>0</v>
      </c>
    </row>
    <row r="60" spans="1:40" x14ac:dyDescent="0.3">
      <c r="A60" s="52">
        <v>55</v>
      </c>
      <c r="B60" s="52">
        <f>-bthan*500+(4+0.5)*bthan*1000/50</f>
        <v>-2255</v>
      </c>
      <c r="C60" s="52">
        <f t="shared" si="40"/>
        <v>-770</v>
      </c>
      <c r="D60" s="52">
        <f t="shared" si="1"/>
        <v>2200</v>
      </c>
      <c r="E60" s="52">
        <f t="shared" si="2"/>
        <v>0</v>
      </c>
      <c r="F60" s="52"/>
      <c r="G60" s="52">
        <f>IF(55&lt;='KT THAN'!$C$11,55,"")</f>
        <v>55</v>
      </c>
      <c r="H60" s="52">
        <f>IF(G60="",0,2*PI()*(G60-0.5)/'KT THAN'!$C$11)</f>
        <v>1.902408884673819</v>
      </c>
      <c r="I60" s="52">
        <f>IF(G60="",0,IF(shp=1,IF(AND(ABS(SIN(H60))&gt;0.0000001,MAX(1,hthan*500-'KT THAN'!$D$12)*ABS(COS(H60))/ABS(SIN(H60))&lt;=MAX(0,(bthan-hthan)*500)),MAX(1,hthan*500-'KT THAN'!$D$12)/ABS(SIN(H60)),MAX(0,(bthan-hthan)*500)*ABS(COS(H60))+SQRT(MAX(0,MAX(1,hthan*500-'KT THAN'!$D$12)^2-MAX(0,(bthan-hthan)*500)^2*SIN(H60)^2))),MIN((bthan*500-'KT THAN'!$D$12)/MAX(0.0000001,ABS(COS(H60))),(hthan*500-'KT THAN'!$D$12)/MAX(0.0000001,ABS(SIN(H60)))))*COS(H60))</f>
        <v>-241.02932930276549</v>
      </c>
      <c r="J60" s="52">
        <f>IF(G60="",0,IF(shp=1,IF(AND(ABS(SIN(H60))&gt;0.0000001,MAX(1,hthan*500-'KT THAN'!$D$12)*ABS(COS(H60))/ABS(SIN(H60))&lt;=MAX(0,(bthan-hthan)*500)),MAX(1,hthan*500-'KT THAN'!$D$12)/ABS(SIN(H60)),MAX(0,(bthan-hthan)*500)*ABS(COS(H60))+SQRT(MAX(0,MAX(1,hthan*500-'KT THAN'!$D$12)^2-MAX(0,(bthan-hthan)*500)^2*SIN(H60)^2))),MIN((bthan*500-'KT THAN'!$D$12)/MAX(0.0000001,ABS(COS(H60))),(hthan*500-'KT THAN'!$D$12)/MAX(0.0000001,ABS(SIN(H60)))))*SIN(H60))</f>
        <v>700</v>
      </c>
      <c r="K60" s="52">
        <f>IF(G60="",0,'KT THAN'!$D$11/'KT THAN'!$C$11)</f>
        <v>804.24771931898704</v>
      </c>
      <c r="L60" s="52"/>
      <c r="M60" s="52">
        <f>hthan*1000*0.01*1.06^54</f>
        <v>372.0803259491563</v>
      </c>
      <c r="N60" s="52">
        <f t="shared" si="22"/>
        <v>95351.787077241388</v>
      </c>
      <c r="O60" s="52">
        <f t="shared" si="23"/>
        <v>23685.547051755395</v>
      </c>
      <c r="P60" s="52">
        <f t="shared" si="24"/>
        <v>-9.0941627013488274E-3</v>
      </c>
      <c r="Q60" s="52">
        <f t="shared" si="25"/>
        <v>0.9</v>
      </c>
      <c r="R60" s="52">
        <f>Q60*MIN(N60,0.8*(0.85*fc_*(Agth*1000000-'KT THAN'!$D$11)+fy_*'KT THAN'!$D$11)/1000)</f>
        <v>85816.608369517257</v>
      </c>
      <c r="S60" s="52">
        <f t="shared" si="26"/>
        <v>21316.992346579857</v>
      </c>
      <c r="T60" s="52"/>
      <c r="U60" s="52">
        <f>bthan*1000*0.01*1.06^54</f>
        <v>1279.0261204502249</v>
      </c>
      <c r="V60" s="52">
        <f t="shared" si="27"/>
        <v>-20321.218761504821</v>
      </c>
      <c r="W60" s="52">
        <f t="shared" si="28"/>
        <v>80094.796510318527</v>
      </c>
      <c r="X60" s="52">
        <f t="shared" si="29"/>
        <v>-9.6623023125588531E-3</v>
      </c>
      <c r="Y60" s="52">
        <f t="shared" si="30"/>
        <v>0.9</v>
      </c>
      <c r="Z60" s="52">
        <f>Y60*MIN(V60,0.8*(0.85*fc_*(Agth*1000000-'KT THAN'!$D$11)+fy_*'KT THAN'!$D$11)/1000)</f>
        <v>-18289.096885354338</v>
      </c>
      <c r="AA60" s="52">
        <f t="shared" si="31"/>
        <v>72085.316859286671</v>
      </c>
      <c r="AB60" s="52"/>
      <c r="AC60" s="52">
        <f>SMALL($R$6:$R$125,ROWS($AC$6:AC60))</f>
        <v>85779.693399200507</v>
      </c>
      <c r="AD60" s="52">
        <f t="shared" si="32"/>
        <v>21299.333089689309</v>
      </c>
      <c r="AE60" s="52">
        <f>SMALL($Z$6:$Z$125,ROWS($AE$6:AE60))</f>
        <v>-18326.011855671088</v>
      </c>
      <c r="AF60" s="52">
        <f t="shared" si="33"/>
        <v>72024.440505178165</v>
      </c>
      <c r="AG60" s="52">
        <f>SMALL($AK$6:$AK$125,ROWS($AG$6:AG60))</f>
        <v>9.9999999999999997E+98</v>
      </c>
      <c r="AH60" s="52">
        <f t="shared" si="34"/>
        <v>-50196.63221187015</v>
      </c>
      <c r="AI60" s="52">
        <f>SMALL($AL$6:$AL$125,ROWS($AI$6:AI60))</f>
        <v>9.9999999999999997E+98</v>
      </c>
      <c r="AJ60" s="52">
        <f t="shared" si="35"/>
        <v>-52115.252211870153</v>
      </c>
      <c r="AK60" s="52">
        <f t="shared" si="36"/>
        <v>9.9999999999999997E+98</v>
      </c>
      <c r="AL60" s="52">
        <f t="shared" si="37"/>
        <v>9.9999999999999997E+98</v>
      </c>
      <c r="AM60" s="52">
        <f t="shared" si="38"/>
        <v>0</v>
      </c>
      <c r="AN60" s="52">
        <f t="shared" si="39"/>
        <v>0</v>
      </c>
    </row>
    <row r="61" spans="1:40" x14ac:dyDescent="0.3">
      <c r="A61" s="52">
        <v>56</v>
      </c>
      <c r="B61" s="52">
        <f>-bthan*500+(5+0.5)*bthan*1000/50</f>
        <v>-2145</v>
      </c>
      <c r="C61" s="52">
        <f t="shared" si="40"/>
        <v>-770</v>
      </c>
      <c r="D61" s="52">
        <f t="shared" si="1"/>
        <v>2200</v>
      </c>
      <c r="E61" s="52">
        <f t="shared" si="2"/>
        <v>1</v>
      </c>
      <c r="F61" s="52"/>
      <c r="G61" s="52">
        <f>IF(56&lt;='KT THAN'!$C$11,56,"")</f>
        <v>56</v>
      </c>
      <c r="H61" s="52">
        <f>IF(G61="",0,2*PI()*(G61-0.5)/'KT THAN'!$C$11)</f>
        <v>1.9373154697137058</v>
      </c>
      <c r="I61" s="52">
        <f>IF(G61="",0,IF(shp=1,IF(AND(ABS(SIN(H61))&gt;0.0000001,MAX(1,hthan*500-'KT THAN'!$D$12)*ABS(COS(H61))/ABS(SIN(H61))&lt;=MAX(0,(bthan-hthan)*500)),MAX(1,hthan*500-'KT THAN'!$D$12)/ABS(SIN(H61)),MAX(0,(bthan-hthan)*500)*ABS(COS(H61))+SQRT(MAX(0,MAX(1,hthan*500-'KT THAN'!$D$12)^2-MAX(0,(bthan-hthan)*500)^2*SIN(H61)^2))),MIN((bthan*500-'KT THAN'!$D$12)/MAX(0.0000001,ABS(COS(H61))),(hthan*500-'KT THAN'!$D$12)/MAX(0.0000001,ABS(SIN(H61)))))*COS(H61))</f>
        <v>-268.70482452479104</v>
      </c>
      <c r="J61" s="52">
        <f>IF(G61="",0,IF(shp=1,IF(AND(ABS(SIN(H61))&gt;0.0000001,MAX(1,hthan*500-'KT THAN'!$D$12)*ABS(COS(H61))/ABS(SIN(H61))&lt;=MAX(0,(bthan-hthan)*500)),MAX(1,hthan*500-'KT THAN'!$D$12)/ABS(SIN(H61)),MAX(0,(bthan-hthan)*500)*ABS(COS(H61))+SQRT(MAX(0,MAX(1,hthan*500-'KT THAN'!$D$12)^2-MAX(0,(bthan-hthan)*500)^2*SIN(H61)^2))),MIN((bthan*500-'KT THAN'!$D$12)/MAX(0.0000001,ABS(COS(H61))),(hthan*500-'KT THAN'!$D$12)/MAX(0.0000001,ABS(SIN(H61)))))*SIN(H61))</f>
        <v>700</v>
      </c>
      <c r="K61" s="52">
        <f>IF(G61="",0,'KT THAN'!$D$11/'KT THAN'!$C$11)</f>
        <v>804.24771931898704</v>
      </c>
      <c r="L61" s="52"/>
      <c r="M61" s="52">
        <f>hthan*1000*0.01*1.06^55</f>
        <v>394.40514550610573</v>
      </c>
      <c r="N61" s="52">
        <f t="shared" si="22"/>
        <v>95310.770443556117</v>
      </c>
      <c r="O61" s="52">
        <f t="shared" si="23"/>
        <v>23665.925655210343</v>
      </c>
      <c r="P61" s="52">
        <f t="shared" si="24"/>
        <v>-8.4095874541026648E-3</v>
      </c>
      <c r="Q61" s="52">
        <f t="shared" si="25"/>
        <v>0.9</v>
      </c>
      <c r="R61" s="52">
        <f>Q61*MIN(N61,0.8*(0.85*fc_*(Agth*1000000-'KT THAN'!$D$11)+fy_*'KT THAN'!$D$11)/1000)</f>
        <v>85779.693399200507</v>
      </c>
      <c r="S61" s="52">
        <f t="shared" si="26"/>
        <v>21299.333089689309</v>
      </c>
      <c r="T61" s="52"/>
      <c r="U61" s="52">
        <f>bthan*1000*0.01*1.06^55</f>
        <v>1355.7676876772384</v>
      </c>
      <c r="V61" s="52">
        <f t="shared" si="27"/>
        <v>-20362.235395190099</v>
      </c>
      <c r="W61" s="52">
        <f t="shared" si="28"/>
        <v>80027.156116864629</v>
      </c>
      <c r="X61" s="52">
        <f t="shared" si="29"/>
        <v>-8.9455682193951454E-3</v>
      </c>
      <c r="Y61" s="52">
        <f t="shared" si="30"/>
        <v>0.9</v>
      </c>
      <c r="Z61" s="52">
        <f>Y61*MIN(V61,0.8*(0.85*fc_*(Agth*1000000-'KT THAN'!$D$11)+fy_*'KT THAN'!$D$11)/1000)</f>
        <v>-18326.011855671088</v>
      </c>
      <c r="AA61" s="52">
        <f t="shared" si="31"/>
        <v>72024.440505178165</v>
      </c>
      <c r="AB61" s="52"/>
      <c r="AC61" s="52">
        <f>SMALL($R$6:$R$125,ROWS($AC$6:AC61))</f>
        <v>85816.608369517257</v>
      </c>
      <c r="AD61" s="52">
        <f t="shared" si="32"/>
        <v>21316.992346579857</v>
      </c>
      <c r="AE61" s="52">
        <f>SMALL($Z$6:$Z$125,ROWS($AE$6:AE61))</f>
        <v>-18289.096885354338</v>
      </c>
      <c r="AF61" s="52">
        <f t="shared" si="33"/>
        <v>72085.316859286671</v>
      </c>
      <c r="AG61" s="52">
        <f>SMALL($AK$6:$AK$125,ROWS($AG$6:AG61))</f>
        <v>9.9999999999999997E+98</v>
      </c>
      <c r="AH61" s="52">
        <f t="shared" si="34"/>
        <v>-50196.63221187015</v>
      </c>
      <c r="AI61" s="52">
        <f>SMALL($AL$6:$AL$125,ROWS($AI$6:AI61))</f>
        <v>9.9999999999999997E+98</v>
      </c>
      <c r="AJ61" s="52">
        <f t="shared" si="35"/>
        <v>-52115.252211870153</v>
      </c>
      <c r="AK61" s="52">
        <f t="shared" si="36"/>
        <v>9.9999999999999997E+98</v>
      </c>
      <c r="AL61" s="52">
        <f t="shared" si="37"/>
        <v>9.9999999999999997E+98</v>
      </c>
      <c r="AM61" s="52">
        <f t="shared" si="38"/>
        <v>0</v>
      </c>
      <c r="AN61" s="52">
        <f t="shared" si="39"/>
        <v>0</v>
      </c>
    </row>
    <row r="62" spans="1:40" x14ac:dyDescent="0.3">
      <c r="A62" s="52">
        <v>57</v>
      </c>
      <c r="B62" s="52">
        <f>-bthan*500+(6+0.5)*bthan*1000/50</f>
        <v>-2035</v>
      </c>
      <c r="C62" s="52">
        <f t="shared" si="40"/>
        <v>-770</v>
      </c>
      <c r="D62" s="52">
        <f t="shared" si="1"/>
        <v>2200</v>
      </c>
      <c r="E62" s="52">
        <f t="shared" si="2"/>
        <v>1</v>
      </c>
      <c r="F62" s="52"/>
      <c r="G62" s="52">
        <f>IF(57&lt;='KT THAN'!$C$11,57,"")</f>
        <v>57</v>
      </c>
      <c r="H62" s="52">
        <f>IF(G62="",0,2*PI()*(G62-0.5)/'KT THAN'!$C$11)</f>
        <v>1.9722220547535922</v>
      </c>
      <c r="I62" s="52">
        <f>IF(G62="",0,IF(shp=1,IF(AND(ABS(SIN(H62))&gt;0.0000001,MAX(1,hthan*500-'KT THAN'!$D$12)*ABS(COS(H62))/ABS(SIN(H62))&lt;=MAX(0,(bthan-hthan)*500)),MAX(1,hthan*500-'KT THAN'!$D$12)/ABS(SIN(H62)),MAX(0,(bthan-hthan)*500)*ABS(COS(H62))+SQRT(MAX(0,MAX(1,hthan*500-'KT THAN'!$D$12)^2-MAX(0,(bthan-hthan)*500)^2*SIN(H62)^2))),MIN((bthan*500-'KT THAN'!$D$12)/MAX(0.0000001,ABS(COS(H62))),(hthan*500-'KT THAN'!$D$12)/MAX(0.0000001,ABS(SIN(H62)))))*COS(H62))</f>
        <v>-297.13237134672318</v>
      </c>
      <c r="J62" s="52">
        <f>IF(G62="",0,IF(shp=1,IF(AND(ABS(SIN(H62))&gt;0.0000001,MAX(1,hthan*500-'KT THAN'!$D$12)*ABS(COS(H62))/ABS(SIN(H62))&lt;=MAX(0,(bthan-hthan)*500)),MAX(1,hthan*500-'KT THAN'!$D$12)/ABS(SIN(H62)),MAX(0,(bthan-hthan)*500)*ABS(COS(H62))+SQRT(MAX(0,MAX(1,hthan*500-'KT THAN'!$D$12)^2-MAX(0,(bthan-hthan)*500)^2*SIN(H62)^2))),MIN((bthan*500-'KT THAN'!$D$12)/MAX(0.0000001,ABS(COS(H62))),(hthan*500-'KT THAN'!$D$12)/MAX(0.0000001,ABS(SIN(H62)))))*SIN(H62))</f>
        <v>700</v>
      </c>
      <c r="K62" s="52">
        <f>IF(G62="",0,'KT THAN'!$D$11/'KT THAN'!$C$11)</f>
        <v>804.24771931898704</v>
      </c>
      <c r="L62" s="52"/>
      <c r="M62" s="52">
        <f>hthan*1000*0.01*1.06^56</f>
        <v>418.06945423647198</v>
      </c>
      <c r="N62" s="52">
        <f t="shared" si="22"/>
        <v>98003.57044355612</v>
      </c>
      <c r="O62" s="52">
        <f t="shared" si="23"/>
        <v>24931.541655210342</v>
      </c>
      <c r="P62" s="52">
        <f t="shared" si="24"/>
        <v>-7.7637617491534599E-3</v>
      </c>
      <c r="Q62" s="52">
        <f t="shared" si="25"/>
        <v>0.9</v>
      </c>
      <c r="R62" s="52">
        <f>Q62*MIN(N62,0.8*(0.85*fc_*(Agth*1000000-'KT THAN'!$D$11)+fy_*'KT THAN'!$D$11)/1000)</f>
        <v>88203.213399200511</v>
      </c>
      <c r="S62" s="52">
        <f t="shared" si="26"/>
        <v>22438.387489689307</v>
      </c>
      <c r="T62" s="52"/>
      <c r="U62" s="52">
        <f>bthan*1000*0.01*1.06^56</f>
        <v>1437.1137489378725</v>
      </c>
      <c r="V62" s="52">
        <f t="shared" si="27"/>
        <v>-15874.235395190097</v>
      </c>
      <c r="W62" s="52">
        <f t="shared" si="28"/>
        <v>87185.51611686463</v>
      </c>
      <c r="X62" s="52">
        <f t="shared" si="29"/>
        <v>-8.2694039805614582E-3</v>
      </c>
      <c r="Y62" s="52">
        <f t="shared" si="30"/>
        <v>0.9</v>
      </c>
      <c r="Z62" s="52">
        <f>Y62*MIN(V62,0.8*(0.85*fc_*(Agth*1000000-'KT THAN'!$D$11)+fy_*'KT THAN'!$D$11)/1000)</f>
        <v>-14286.811855671087</v>
      </c>
      <c r="AA62" s="52">
        <f t="shared" si="31"/>
        <v>78466.96450517817</v>
      </c>
      <c r="AB62" s="52"/>
      <c r="AC62" s="52">
        <f>SMALL($R$6:$R$125,ROWS($AC$6:AC62))</f>
        <v>88203.213399200511</v>
      </c>
      <c r="AD62" s="52">
        <f t="shared" si="32"/>
        <v>22438.387489689307</v>
      </c>
      <c r="AE62" s="52">
        <f>SMALL($Z$6:$Z$125,ROWS($AE$6:AE62))</f>
        <v>-14286.811855671087</v>
      </c>
      <c r="AF62" s="52">
        <f t="shared" si="33"/>
        <v>78466.96450517817</v>
      </c>
      <c r="AG62" s="52">
        <f>SMALL($AK$6:$AK$125,ROWS($AG$6:AG62))</f>
        <v>9.9999999999999997E+98</v>
      </c>
      <c r="AH62" s="52">
        <f t="shared" si="34"/>
        <v>-50196.63221187015</v>
      </c>
      <c r="AI62" s="52">
        <f>SMALL($AL$6:$AL$125,ROWS($AI$6:AI62))</f>
        <v>9.9999999999999997E+98</v>
      </c>
      <c r="AJ62" s="52">
        <f t="shared" si="35"/>
        <v>-52115.252211870153</v>
      </c>
      <c r="AK62" s="52">
        <f t="shared" si="36"/>
        <v>9.9999999999999997E+98</v>
      </c>
      <c r="AL62" s="52">
        <f t="shared" si="37"/>
        <v>9.9999999999999997E+98</v>
      </c>
      <c r="AM62" s="52">
        <f t="shared" si="38"/>
        <v>0</v>
      </c>
      <c r="AN62" s="52">
        <f t="shared" si="39"/>
        <v>0</v>
      </c>
    </row>
    <row r="63" spans="1:40" x14ac:dyDescent="0.3">
      <c r="A63" s="52">
        <v>58</v>
      </c>
      <c r="B63" s="52">
        <f>-bthan*500+(7+0.5)*bthan*1000/50</f>
        <v>-1925</v>
      </c>
      <c r="C63" s="52">
        <f t="shared" si="40"/>
        <v>-770</v>
      </c>
      <c r="D63" s="52">
        <f t="shared" si="1"/>
        <v>2200</v>
      </c>
      <c r="E63" s="52">
        <f t="shared" si="2"/>
        <v>1</v>
      </c>
      <c r="F63" s="52"/>
      <c r="G63" s="52">
        <f>IF(58&lt;='KT THAN'!$C$11,58,"")</f>
        <v>58</v>
      </c>
      <c r="H63" s="52">
        <f>IF(G63="",0,2*PI()*(G63-0.5)/'KT THAN'!$C$11)</f>
        <v>2.0071286397934789</v>
      </c>
      <c r="I63" s="52">
        <f>IF(G63="",0,IF(shp=1,IF(AND(ABS(SIN(H63))&gt;0.0000001,MAX(1,hthan*500-'KT THAN'!$D$12)*ABS(COS(H63))/ABS(SIN(H63))&lt;=MAX(0,(bthan-hthan)*500)),MAX(1,hthan*500-'KT THAN'!$D$12)/ABS(SIN(H63)),MAX(0,(bthan-hthan)*500)*ABS(COS(H63))+SQRT(MAX(0,MAX(1,hthan*500-'KT THAN'!$D$12)^2-MAX(0,(bthan-hthan)*500)^2*SIN(H63)^2))),MIN((bthan*500-'KT THAN'!$D$12)/MAX(0.0000001,ABS(COS(H63))),(hthan*500-'KT THAN'!$D$12)/MAX(0.0000001,ABS(SIN(H63)))))*COS(H63))</f>
        <v>-326.41536070849889</v>
      </c>
      <c r="J63" s="52">
        <f>IF(G63="",0,IF(shp=1,IF(AND(ABS(SIN(H63))&gt;0.0000001,MAX(1,hthan*500-'KT THAN'!$D$12)*ABS(COS(H63))/ABS(SIN(H63))&lt;=MAX(0,(bthan-hthan)*500)),MAX(1,hthan*500-'KT THAN'!$D$12)/ABS(SIN(H63)),MAX(0,(bthan-hthan)*500)*ABS(COS(H63))+SQRT(MAX(0,MAX(1,hthan*500-'KT THAN'!$D$12)^2-MAX(0,(bthan-hthan)*500)^2*SIN(H63)^2))),MIN((bthan*500-'KT THAN'!$D$12)/MAX(0.0000001,ABS(COS(H63))),(hthan*500-'KT THAN'!$D$12)/MAX(0.0000001,ABS(SIN(H63)))))*SIN(H63))</f>
        <v>700</v>
      </c>
      <c r="K63" s="52">
        <f>IF(G63="",0,'KT THAN'!$D$11/'KT THAN'!$C$11)</f>
        <v>804.24771931898704</v>
      </c>
      <c r="L63" s="52"/>
      <c r="M63" s="52">
        <f>hthan*1000*0.01*1.06^57</f>
        <v>443.15362149066033</v>
      </c>
      <c r="N63" s="52">
        <f t="shared" si="22"/>
        <v>103389.17044355611</v>
      </c>
      <c r="O63" s="52">
        <f t="shared" si="23"/>
        <v>27301.205655210342</v>
      </c>
      <c r="P63" s="52">
        <f t="shared" si="24"/>
        <v>-7.1544922161825095E-3</v>
      </c>
      <c r="Q63" s="52">
        <f t="shared" si="25"/>
        <v>0.9</v>
      </c>
      <c r="R63" s="52">
        <f>Q63*MIN(N63,0.8*(0.85*fc_*(Agth*1000000-'KT THAN'!$D$11)+fy_*'KT THAN'!$D$11)/1000)</f>
        <v>93050.253399200505</v>
      </c>
      <c r="S63" s="52">
        <f t="shared" si="26"/>
        <v>24571.08508968931</v>
      </c>
      <c r="T63" s="52"/>
      <c r="U63" s="52">
        <f>bthan*1000*0.01*1.06^57</f>
        <v>1523.3405738741449</v>
      </c>
      <c r="V63" s="52">
        <f t="shared" si="27"/>
        <v>-11427.252028875366</v>
      </c>
      <c r="W63" s="52">
        <f t="shared" si="28"/>
        <v>93788.623798508794</v>
      </c>
      <c r="X63" s="52">
        <f t="shared" si="29"/>
        <v>-7.6315131892089232E-3</v>
      </c>
      <c r="Y63" s="52">
        <f t="shared" si="30"/>
        <v>0.9</v>
      </c>
      <c r="Z63" s="52">
        <f>Y63*MIN(V63,0.8*(0.85*fc_*(Agth*1000000-'KT THAN'!$D$11)+fy_*'KT THAN'!$D$11)/1000)</f>
        <v>-10284.52682598783</v>
      </c>
      <c r="AA63" s="52">
        <f t="shared" si="31"/>
        <v>84409.761418657916</v>
      </c>
      <c r="AB63" s="52"/>
      <c r="AC63" s="52">
        <f>SMALL($R$6:$R$125,ROWS($AC$6:AC63))</f>
        <v>93050.253399200505</v>
      </c>
      <c r="AD63" s="52">
        <f t="shared" si="32"/>
        <v>24571.08508968931</v>
      </c>
      <c r="AE63" s="52">
        <f>SMALL($Z$6:$Z$125,ROWS($AE$6:AE63))</f>
        <v>-10284.52682598783</v>
      </c>
      <c r="AF63" s="52">
        <f t="shared" si="33"/>
        <v>84409.761418657916</v>
      </c>
      <c r="AG63" s="52">
        <f>SMALL($AK$6:$AK$125,ROWS($AG$6:AG63))</f>
        <v>9.9999999999999997E+98</v>
      </c>
      <c r="AH63" s="52">
        <f t="shared" si="34"/>
        <v>-50196.63221187015</v>
      </c>
      <c r="AI63" s="52">
        <f>SMALL($AL$6:$AL$125,ROWS($AI$6:AI63))</f>
        <v>9.9999999999999997E+98</v>
      </c>
      <c r="AJ63" s="52">
        <f t="shared" si="35"/>
        <v>-52115.252211870153</v>
      </c>
      <c r="AK63" s="52">
        <f t="shared" si="36"/>
        <v>9.9999999999999997E+98</v>
      </c>
      <c r="AL63" s="52">
        <f t="shared" si="37"/>
        <v>9.9999999999999997E+98</v>
      </c>
      <c r="AM63" s="52">
        <f t="shared" si="38"/>
        <v>0</v>
      </c>
      <c r="AN63" s="52">
        <f t="shared" si="39"/>
        <v>0</v>
      </c>
    </row>
    <row r="64" spans="1:40" x14ac:dyDescent="0.3">
      <c r="A64" s="52">
        <v>59</v>
      </c>
      <c r="B64" s="52">
        <f>-bthan*500+(8+0.5)*bthan*1000/50</f>
        <v>-1815</v>
      </c>
      <c r="C64" s="52">
        <f t="shared" si="40"/>
        <v>-770</v>
      </c>
      <c r="D64" s="52">
        <f t="shared" si="1"/>
        <v>2200</v>
      </c>
      <c r="E64" s="52">
        <f t="shared" si="2"/>
        <v>1</v>
      </c>
      <c r="F64" s="52"/>
      <c r="G64" s="52">
        <f>IF(59&lt;='KT THAN'!$C$11,59,"")</f>
        <v>59</v>
      </c>
      <c r="H64" s="52">
        <f>IF(G64="",0,2*PI()*(G64-0.5)/'KT THAN'!$C$11)</f>
        <v>2.0420352248333655</v>
      </c>
      <c r="I64" s="52">
        <f>IF(G64="",0,IF(shp=1,IF(AND(ABS(SIN(H64))&gt;0.0000001,MAX(1,hthan*500-'KT THAN'!$D$12)*ABS(COS(H64))/ABS(SIN(H64))&lt;=MAX(0,(bthan-hthan)*500)),MAX(1,hthan*500-'KT THAN'!$D$12)/ABS(SIN(H64)),MAX(0,(bthan-hthan)*500)*ABS(COS(H64))+SQRT(MAX(0,MAX(1,hthan*500-'KT THAN'!$D$12)^2-MAX(0,(bthan-hthan)*500)^2*SIN(H64)^2))),MIN((bthan*500-'KT THAN'!$D$12)/MAX(0.0000001,ABS(COS(H64))),(hthan*500-'KT THAN'!$D$12)/MAX(0.0000001,ABS(SIN(H64)))))*COS(H64))</f>
        <v>-356.66781464610011</v>
      </c>
      <c r="J64" s="52">
        <f>IF(G64="",0,IF(shp=1,IF(AND(ABS(SIN(H64))&gt;0.0000001,MAX(1,hthan*500-'KT THAN'!$D$12)*ABS(COS(H64))/ABS(SIN(H64))&lt;=MAX(0,(bthan-hthan)*500)),MAX(1,hthan*500-'KT THAN'!$D$12)/ABS(SIN(H64)),MAX(0,(bthan-hthan)*500)*ABS(COS(H64))+SQRT(MAX(0,MAX(1,hthan*500-'KT THAN'!$D$12)^2-MAX(0,(bthan-hthan)*500)^2*SIN(H64)^2))),MIN((bthan*500-'KT THAN'!$D$12)/MAX(0.0000001,ABS(COS(H64))),(hthan*500-'KT THAN'!$D$12)/MAX(0.0000001,ABS(SIN(H64)))))*SIN(H64))</f>
        <v>700</v>
      </c>
      <c r="K64" s="52">
        <f>IF(G64="",0,'KT THAN'!$D$11/'KT THAN'!$C$11)</f>
        <v>804.24771931898704</v>
      </c>
      <c r="L64" s="52"/>
      <c r="M64" s="52">
        <f>hthan*1000*0.01*1.06^58</f>
        <v>469.74283878009993</v>
      </c>
      <c r="N64" s="52">
        <f t="shared" si="22"/>
        <v>106081.97044355611</v>
      </c>
      <c r="O64" s="52">
        <f t="shared" si="23"/>
        <v>28405.253655210341</v>
      </c>
      <c r="P64" s="52">
        <f t="shared" si="24"/>
        <v>-6.579709637908028E-3</v>
      </c>
      <c r="Q64" s="52">
        <f t="shared" si="25"/>
        <v>0.9</v>
      </c>
      <c r="R64" s="52">
        <f>Q64*MIN(N64,0.8*(0.85*fc_*(Agth*1000000-'KT THAN'!$D$11)+fy_*'KT THAN'!$D$11)/1000)</f>
        <v>95473.773399200509</v>
      </c>
      <c r="S64" s="52">
        <f t="shared" si="26"/>
        <v>25564.728289689308</v>
      </c>
      <c r="T64" s="52"/>
      <c r="U64" s="52">
        <f>bthan*1000*0.01*1.06^58</f>
        <v>1614.7410083065936</v>
      </c>
      <c r="V64" s="52">
        <f t="shared" si="27"/>
        <v>-11427.252028875366</v>
      </c>
      <c r="W64" s="52">
        <f t="shared" si="28"/>
        <v>93788.623798508794</v>
      </c>
      <c r="X64" s="52">
        <f t="shared" si="29"/>
        <v>-7.0297294237820036E-3</v>
      </c>
      <c r="Y64" s="52">
        <f t="shared" si="30"/>
        <v>0.9</v>
      </c>
      <c r="Z64" s="52">
        <f>Y64*MIN(V64,0.8*(0.85*fc_*(Agth*1000000-'KT THAN'!$D$11)+fy_*'KT THAN'!$D$11)/1000)</f>
        <v>-10284.52682598783</v>
      </c>
      <c r="AA64" s="52">
        <f t="shared" si="31"/>
        <v>84409.761418657916</v>
      </c>
      <c r="AB64" s="52"/>
      <c r="AC64" s="52">
        <f>SMALL($R$6:$R$125,ROWS($AC$6:AC64))</f>
        <v>95473.773399200509</v>
      </c>
      <c r="AD64" s="52">
        <f t="shared" si="32"/>
        <v>25564.728289689308</v>
      </c>
      <c r="AE64" s="52">
        <f>SMALL($Z$6:$Z$125,ROWS($AE$6:AE64))</f>
        <v>-10284.52682598783</v>
      </c>
      <c r="AF64" s="52">
        <f t="shared" si="33"/>
        <v>84409.761418657916</v>
      </c>
      <c r="AG64" s="52">
        <f>SMALL($AK$6:$AK$125,ROWS($AG$6:AG64))</f>
        <v>9.9999999999999997E+98</v>
      </c>
      <c r="AH64" s="52">
        <f t="shared" si="34"/>
        <v>-50196.63221187015</v>
      </c>
      <c r="AI64" s="52">
        <f>SMALL($AL$6:$AL$125,ROWS($AI$6:AI64))</f>
        <v>9.9999999999999997E+98</v>
      </c>
      <c r="AJ64" s="52">
        <f t="shared" si="35"/>
        <v>-52115.252211870153</v>
      </c>
      <c r="AK64" s="52">
        <f t="shared" si="36"/>
        <v>9.9999999999999997E+98</v>
      </c>
      <c r="AL64" s="52">
        <f t="shared" si="37"/>
        <v>9.9999999999999997E+98</v>
      </c>
      <c r="AM64" s="52">
        <f t="shared" si="38"/>
        <v>0</v>
      </c>
      <c r="AN64" s="52">
        <f t="shared" si="39"/>
        <v>0</v>
      </c>
    </row>
    <row r="65" spans="1:40" x14ac:dyDescent="0.3">
      <c r="A65" s="52">
        <v>60</v>
      </c>
      <c r="B65" s="52">
        <f>-bthan*500+(9+0.5)*bthan*1000/50</f>
        <v>-1705</v>
      </c>
      <c r="C65" s="52">
        <f t="shared" si="40"/>
        <v>-770</v>
      </c>
      <c r="D65" s="52">
        <f t="shared" si="1"/>
        <v>2200</v>
      </c>
      <c r="E65" s="52">
        <f t="shared" si="2"/>
        <v>1</v>
      </c>
      <c r="F65" s="52"/>
      <c r="G65" s="52">
        <f>IF(60&lt;='KT THAN'!$C$11,60,"")</f>
        <v>60</v>
      </c>
      <c r="H65" s="52">
        <f>IF(G65="",0,2*PI()*(G65-0.5)/'KT THAN'!$C$11)</f>
        <v>2.0769418098732522</v>
      </c>
      <c r="I65" s="52">
        <f>IF(G65="",0,IF(shp=1,IF(AND(ABS(SIN(H65))&gt;0.0000001,MAX(1,hthan*500-'KT THAN'!$D$12)*ABS(COS(H65))/ABS(SIN(H65))&lt;=MAX(0,(bthan-hthan)*500)),MAX(1,hthan*500-'KT THAN'!$D$12)/ABS(SIN(H65)),MAX(0,(bthan-hthan)*500)*ABS(COS(H65))+SQRT(MAX(0,MAX(1,hthan*500-'KT THAN'!$D$12)^2-MAX(0,(bthan-hthan)*500)^2*SIN(H65)^2))),MIN((bthan*500-'KT THAN'!$D$12)/MAX(0.0000001,ABS(COS(H65))),(hthan*500-'KT THAN'!$D$12)/MAX(0.0000001,ABS(SIN(H65)))))*COS(H65))</f>
        <v>-388.01633601693823</v>
      </c>
      <c r="J65" s="52">
        <f>IF(G65="",0,IF(shp=1,IF(AND(ABS(SIN(H65))&gt;0.0000001,MAX(1,hthan*500-'KT THAN'!$D$12)*ABS(COS(H65))/ABS(SIN(H65))&lt;=MAX(0,(bthan-hthan)*500)),MAX(1,hthan*500-'KT THAN'!$D$12)/ABS(SIN(H65)),MAX(0,(bthan-hthan)*500)*ABS(COS(H65))+SQRT(MAX(0,MAX(1,hthan*500-'KT THAN'!$D$12)^2-MAX(0,(bthan-hthan)*500)^2*SIN(H65)^2))),MIN((bthan*500-'KT THAN'!$D$12)/MAX(0.0000001,ABS(COS(H65))),(hthan*500-'KT THAN'!$D$12)/MAX(0.0000001,ABS(SIN(H65)))))*SIN(H65))</f>
        <v>700</v>
      </c>
      <c r="K65" s="52">
        <f>IF(G65="",0,'KT THAN'!$D$11/'KT THAN'!$C$11)</f>
        <v>804.24771931898704</v>
      </c>
      <c r="L65" s="52"/>
      <c r="M65" s="52">
        <f>hthan*1000*0.01*1.06^59</f>
        <v>497.92740910690605</v>
      </c>
      <c r="N65" s="52">
        <f t="shared" si="22"/>
        <v>108733.75380987083</v>
      </c>
      <c r="O65" s="52">
        <f t="shared" si="23"/>
        <v>29439.045112457741</v>
      </c>
      <c r="P65" s="52">
        <f t="shared" si="24"/>
        <v>-6.037461922554741E-3</v>
      </c>
      <c r="Q65" s="52">
        <f t="shared" si="25"/>
        <v>0.9</v>
      </c>
      <c r="R65" s="52">
        <f>Q65*MIN(N65,0.8*(0.85*fc_*(Agth*1000000-'KT THAN'!$D$11)+fy_*'KT THAN'!$D$11)/1000)</f>
        <v>97860.378428883749</v>
      </c>
      <c r="S65" s="52">
        <f t="shared" si="26"/>
        <v>26495.140601211966</v>
      </c>
      <c r="T65" s="52"/>
      <c r="U65" s="52">
        <f>bthan*1000*0.01*1.06^59</f>
        <v>1711.6254688049896</v>
      </c>
      <c r="V65" s="52">
        <f t="shared" si="27"/>
        <v>-6980.268662560642</v>
      </c>
      <c r="W65" s="52">
        <f t="shared" si="28"/>
        <v>99903.274025188963</v>
      </c>
      <c r="X65" s="52">
        <f t="shared" si="29"/>
        <v>-6.4620088903603783E-3</v>
      </c>
      <c r="Y65" s="52">
        <f t="shared" si="30"/>
        <v>0.9</v>
      </c>
      <c r="Z65" s="52">
        <f>Y65*MIN(V65,0.8*(0.85*fc_*(Agth*1000000-'KT THAN'!$D$11)+fy_*'KT THAN'!$D$11)/1000)</f>
        <v>-6282.2417963045782</v>
      </c>
      <c r="AA65" s="52">
        <f t="shared" si="31"/>
        <v>89912.946622670075</v>
      </c>
      <c r="AB65" s="52"/>
      <c r="AC65" s="52">
        <f>SMALL($R$6:$R$125,ROWS($AC$6:AC65))</f>
        <v>97860.378428883749</v>
      </c>
      <c r="AD65" s="52">
        <f t="shared" si="32"/>
        <v>26495.140601211966</v>
      </c>
      <c r="AE65" s="52">
        <f>SMALL($Z$6:$Z$125,ROWS($AE$6:AE65))</f>
        <v>-6282.2417963045782</v>
      </c>
      <c r="AF65" s="52">
        <f t="shared" si="33"/>
        <v>89912.946622670075</v>
      </c>
      <c r="AG65" s="52">
        <f>SMALL($AK$6:$AK$125,ROWS($AG$6:AG65))</f>
        <v>9.9999999999999997E+98</v>
      </c>
      <c r="AH65" s="52">
        <f t="shared" si="34"/>
        <v>-50196.63221187015</v>
      </c>
      <c r="AI65" s="52">
        <f>SMALL($AL$6:$AL$125,ROWS($AI$6:AI65))</f>
        <v>9.9999999999999997E+98</v>
      </c>
      <c r="AJ65" s="52">
        <f t="shared" si="35"/>
        <v>-52115.252211870153</v>
      </c>
      <c r="AK65" s="52">
        <f t="shared" si="36"/>
        <v>9.9999999999999997E+98</v>
      </c>
      <c r="AL65" s="52">
        <f t="shared" si="37"/>
        <v>9.9999999999999997E+98</v>
      </c>
      <c r="AM65" s="52">
        <f t="shared" si="38"/>
        <v>0</v>
      </c>
      <c r="AN65" s="52">
        <f t="shared" si="39"/>
        <v>0</v>
      </c>
    </row>
    <row r="66" spans="1:40" x14ac:dyDescent="0.3">
      <c r="A66" s="52">
        <v>61</v>
      </c>
      <c r="B66" s="52">
        <f>-bthan*500+(10+0.5)*bthan*1000/50</f>
        <v>-1595</v>
      </c>
      <c r="C66" s="52">
        <f t="shared" si="40"/>
        <v>-770</v>
      </c>
      <c r="D66" s="52">
        <f t="shared" si="1"/>
        <v>2200</v>
      </c>
      <c r="E66" s="52">
        <f t="shared" si="2"/>
        <v>1</v>
      </c>
      <c r="F66" s="52"/>
      <c r="G66" s="52">
        <f>IF(61&lt;='KT THAN'!$C$11,61,"")</f>
        <v>61</v>
      </c>
      <c r="H66" s="52">
        <f>IF(G66="",0,2*PI()*(G66-0.5)/'KT THAN'!$C$11)</f>
        <v>2.1118483949131388</v>
      </c>
      <c r="I66" s="52">
        <f>IF(G66="",0,IF(shp=1,IF(AND(ABS(SIN(H66))&gt;0.0000001,MAX(1,hthan*500-'KT THAN'!$D$12)*ABS(COS(H66))/ABS(SIN(H66))&lt;=MAX(0,(bthan-hthan)*500)),MAX(1,hthan*500-'KT THAN'!$D$12)/ABS(SIN(H66)),MAX(0,(bthan-hthan)*500)*ABS(COS(H66))+SQRT(MAX(0,MAX(1,hthan*500-'KT THAN'!$D$12)^2-MAX(0,(bthan-hthan)*500)^2*SIN(H66)^2))),MIN((bthan*500-'KT THAN'!$D$12)/MAX(0.0000001,ABS(COS(H66))),(hthan*500-'KT THAN'!$D$12)/MAX(0.0000001,ABS(SIN(H66)))))*COS(H66))</f>
        <v>-420.60243331929229</v>
      </c>
      <c r="J66" s="52">
        <f>IF(G66="",0,IF(shp=1,IF(AND(ABS(SIN(H66))&gt;0.0000001,MAX(1,hthan*500-'KT THAN'!$D$12)*ABS(COS(H66))/ABS(SIN(H66))&lt;=MAX(0,(bthan-hthan)*500)),MAX(1,hthan*500-'KT THAN'!$D$12)/ABS(SIN(H66)),MAX(0,(bthan-hthan)*500)*ABS(COS(H66))+SQRT(MAX(0,MAX(1,hthan*500-'KT THAN'!$D$12)^2-MAX(0,(bthan-hthan)*500)^2*SIN(H66)^2))),MIN((bthan*500-'KT THAN'!$D$12)/MAX(0.0000001,ABS(COS(H66))),(hthan*500-'KT THAN'!$D$12)/MAX(0.0000001,ABS(SIN(H66)))))*SIN(H66))</f>
        <v>700</v>
      </c>
      <c r="K66" s="52">
        <f>IF(G66="",0,'KT THAN'!$D$11/'KT THAN'!$C$11)</f>
        <v>804.24771931898704</v>
      </c>
      <c r="L66" s="52"/>
      <c r="M66" s="52">
        <f>hthan*1000*0.01*1.06^60</f>
        <v>527.80305365332038</v>
      </c>
      <c r="N66" s="52">
        <f t="shared" si="22"/>
        <v>111426.55380987083</v>
      </c>
      <c r="O66" s="52">
        <f t="shared" si="23"/>
        <v>30435.381112457741</v>
      </c>
      <c r="P66" s="52">
        <f t="shared" si="24"/>
        <v>-5.5259074741082466E-3</v>
      </c>
      <c r="Q66" s="52">
        <f t="shared" si="25"/>
        <v>0.9</v>
      </c>
      <c r="R66" s="52">
        <f>Q66*MIN(N66,0.8*(0.85*fc_*(Agth*1000000-'KT THAN'!$D$11)+fy_*'KT THAN'!$D$11)/1000)</f>
        <v>100283.89842888375</v>
      </c>
      <c r="S66" s="52">
        <f t="shared" si="26"/>
        <v>27391.843001211968</v>
      </c>
      <c r="T66" s="52"/>
      <c r="U66" s="52">
        <f>bthan*1000*0.01*1.06^60</f>
        <v>1814.3229969332888</v>
      </c>
      <c r="V66" s="52">
        <f t="shared" si="27"/>
        <v>-2533.2852962459101</v>
      </c>
      <c r="W66" s="52">
        <f t="shared" si="28"/>
        <v>105528.79684903887</v>
      </c>
      <c r="X66" s="52">
        <f t="shared" si="29"/>
        <v>-5.9264234814720559E-3</v>
      </c>
      <c r="Y66" s="52">
        <f t="shared" si="30"/>
        <v>0.9</v>
      </c>
      <c r="Z66" s="52">
        <f>Y66*MIN(V66,0.8*(0.85*fc_*(Agth*1000000-'KT THAN'!$D$11)+fy_*'KT THAN'!$D$11)/1000)</f>
        <v>-2279.9567666213193</v>
      </c>
      <c r="AA66" s="52">
        <f t="shared" si="31"/>
        <v>94975.917164134982</v>
      </c>
      <c r="AB66" s="52"/>
      <c r="AC66" s="52">
        <f>SMALL($R$6:$R$125,ROWS($AC$6:AC66))</f>
        <v>100283.89842888375</v>
      </c>
      <c r="AD66" s="52">
        <f t="shared" si="32"/>
        <v>27391.843001211968</v>
      </c>
      <c r="AE66" s="52">
        <f>SMALL($Z$6:$Z$125,ROWS($AE$6:AE66))</f>
        <v>-2279.9567666213193</v>
      </c>
      <c r="AF66" s="52">
        <f t="shared" si="33"/>
        <v>94975.917164134982</v>
      </c>
      <c r="AG66" s="52">
        <f>SMALL($AK$6:$AK$125,ROWS($AG$6:AG66))</f>
        <v>9.9999999999999997E+98</v>
      </c>
      <c r="AH66" s="52">
        <f t="shared" si="34"/>
        <v>-50196.63221187015</v>
      </c>
      <c r="AI66" s="52">
        <f>SMALL($AL$6:$AL$125,ROWS($AI$6:AI66))</f>
        <v>9.9999999999999997E+98</v>
      </c>
      <c r="AJ66" s="52">
        <f t="shared" si="35"/>
        <v>-52115.252211870153</v>
      </c>
      <c r="AK66" s="52">
        <f t="shared" si="36"/>
        <v>9.9999999999999997E+98</v>
      </c>
      <c r="AL66" s="52">
        <f t="shared" si="37"/>
        <v>9.9999999999999997E+98</v>
      </c>
      <c r="AM66" s="52">
        <f t="shared" si="38"/>
        <v>0</v>
      </c>
      <c r="AN66" s="52">
        <f t="shared" si="39"/>
        <v>0</v>
      </c>
    </row>
    <row r="67" spans="1:40" x14ac:dyDescent="0.3">
      <c r="A67" s="52">
        <v>62</v>
      </c>
      <c r="B67" s="52">
        <f>-bthan*500+(11+0.5)*bthan*1000/50</f>
        <v>-1485</v>
      </c>
      <c r="C67" s="52">
        <f t="shared" si="40"/>
        <v>-770</v>
      </c>
      <c r="D67" s="52">
        <f t="shared" si="1"/>
        <v>2200</v>
      </c>
      <c r="E67" s="52">
        <f t="shared" si="2"/>
        <v>1</v>
      </c>
      <c r="F67" s="52"/>
      <c r="G67" s="52">
        <f>IF(62&lt;='KT THAN'!$C$11,62,"")</f>
        <v>62</v>
      </c>
      <c r="H67" s="52">
        <f>IF(G67="",0,2*PI()*(G67-0.5)/'KT THAN'!$C$11)</f>
        <v>2.1467549799530254</v>
      </c>
      <c r="I67" s="52">
        <f>IF(G67="",0,IF(shp=1,IF(AND(ABS(SIN(H67))&gt;0.0000001,MAX(1,hthan*500-'KT THAN'!$D$12)*ABS(COS(H67))/ABS(SIN(H67))&lt;=MAX(0,(bthan-hthan)*500)),MAX(1,hthan*500-'KT THAN'!$D$12)/ABS(SIN(H67)),MAX(0,(bthan-hthan)*500)*ABS(COS(H67))+SQRT(MAX(0,MAX(1,hthan*500-'KT THAN'!$D$12)^2-MAX(0,(bthan-hthan)*500)^2*SIN(H67)^2))),MIN((bthan*500-'KT THAN'!$D$12)/MAX(0.0000001,ABS(COS(H67))),(hthan*500-'KT THAN'!$D$12)/MAX(0.0000001,ABS(SIN(H67)))))*COS(H67))</f>
        <v>-454.58531523825746</v>
      </c>
      <c r="J67" s="52">
        <f>IF(G67="",0,IF(shp=1,IF(AND(ABS(SIN(H67))&gt;0.0000001,MAX(1,hthan*500-'KT THAN'!$D$12)*ABS(COS(H67))/ABS(SIN(H67))&lt;=MAX(0,(bthan-hthan)*500)),MAX(1,hthan*500-'KT THAN'!$D$12)/ABS(SIN(H67)),MAX(0,(bthan-hthan)*500)*ABS(COS(H67))+SQRT(MAX(0,MAX(1,hthan*500-'KT THAN'!$D$12)^2-MAX(0,(bthan-hthan)*500)^2*SIN(H67)^2))),MIN((bthan*500-'KT THAN'!$D$12)/MAX(0.0000001,ABS(COS(H67))),(hthan*500-'KT THAN'!$D$12)/MAX(0.0000001,ABS(SIN(H67)))))*SIN(H67))</f>
        <v>700</v>
      </c>
      <c r="K67" s="52">
        <f>IF(G67="",0,'KT THAN'!$D$11/'KT THAN'!$C$11)</f>
        <v>804.24771931898704</v>
      </c>
      <c r="L67" s="52"/>
      <c r="M67" s="52">
        <f>hthan*1000*0.01*1.06^61</f>
        <v>559.47123687251974</v>
      </c>
      <c r="N67" s="52">
        <f t="shared" si="22"/>
        <v>114119.35380987084</v>
      </c>
      <c r="O67" s="52">
        <f t="shared" si="23"/>
        <v>31377.86111245774</v>
      </c>
      <c r="P67" s="52">
        <f t="shared" si="24"/>
        <v>-5.0433089378379668E-3</v>
      </c>
      <c r="Q67" s="52">
        <f t="shared" si="25"/>
        <v>0.9</v>
      </c>
      <c r="R67" s="52">
        <f>Q67*MIN(N67,0.8*(0.85*fc_*(Agth*1000000-'KT THAN'!$D$11)+fy_*'KT THAN'!$D$11)/1000)</f>
        <v>102707.41842888376</v>
      </c>
      <c r="S67" s="52">
        <f t="shared" si="26"/>
        <v>28240.075001211968</v>
      </c>
      <c r="T67" s="52"/>
      <c r="U67" s="52">
        <f>bthan*1000*0.01*1.06^61</f>
        <v>1923.1823767492865</v>
      </c>
      <c r="V67" s="52">
        <f t="shared" si="27"/>
        <v>1946.1550526060835</v>
      </c>
      <c r="W67" s="52">
        <f t="shared" si="28"/>
        <v>110664.65264972464</v>
      </c>
      <c r="X67" s="52">
        <f t="shared" si="29"/>
        <v>-5.4211542278038245E-3</v>
      </c>
      <c r="Y67" s="52">
        <f t="shared" si="30"/>
        <v>0.9</v>
      </c>
      <c r="Z67" s="52">
        <f>Y67*MIN(V67,0.8*(0.85*fc_*(Agth*1000000-'KT THAN'!$D$11)+fy_*'KT THAN'!$D$11)/1000)</f>
        <v>1751.5395473454751</v>
      </c>
      <c r="AA67" s="52">
        <f t="shared" si="31"/>
        <v>99598.187384752178</v>
      </c>
      <c r="AB67" s="52"/>
      <c r="AC67" s="52">
        <f>SMALL($R$6:$R$125,ROWS($AC$6:AC67))</f>
        <v>102707.41842888376</v>
      </c>
      <c r="AD67" s="52">
        <f t="shared" si="32"/>
        <v>28240.075001211968</v>
      </c>
      <c r="AE67" s="52">
        <f>SMALL($Z$6:$Z$125,ROWS($AE$6:AE67))</f>
        <v>1751.5395473454751</v>
      </c>
      <c r="AF67" s="52">
        <f t="shared" si="33"/>
        <v>99598.187384752178</v>
      </c>
      <c r="AG67" s="52">
        <f>SMALL($AK$6:$AK$125,ROWS($AG$6:AG67))</f>
        <v>9.9999999999999997E+98</v>
      </c>
      <c r="AH67" s="52">
        <f t="shared" si="34"/>
        <v>-50196.63221187015</v>
      </c>
      <c r="AI67" s="52">
        <f>SMALL($AL$6:$AL$125,ROWS($AI$6:AI67))</f>
        <v>9.9999999999999997E+98</v>
      </c>
      <c r="AJ67" s="52">
        <f t="shared" si="35"/>
        <v>-52115.252211870153</v>
      </c>
      <c r="AK67" s="52">
        <f t="shared" si="36"/>
        <v>9.9999999999999997E+98</v>
      </c>
      <c r="AL67" s="52">
        <f t="shared" si="37"/>
        <v>9.9999999999999997E+98</v>
      </c>
      <c r="AM67" s="52">
        <f t="shared" si="38"/>
        <v>0</v>
      </c>
      <c r="AN67" s="52">
        <f t="shared" si="39"/>
        <v>0</v>
      </c>
    </row>
    <row r="68" spans="1:40" x14ac:dyDescent="0.3">
      <c r="A68" s="52">
        <v>63</v>
      </c>
      <c r="B68" s="52">
        <f>-bthan*500+(12+0.5)*bthan*1000/50</f>
        <v>-1375</v>
      </c>
      <c r="C68" s="52">
        <f t="shared" si="40"/>
        <v>-770</v>
      </c>
      <c r="D68" s="52">
        <f t="shared" si="1"/>
        <v>2200</v>
      </c>
      <c r="E68" s="52">
        <f t="shared" si="2"/>
        <v>1</v>
      </c>
      <c r="F68" s="52"/>
      <c r="G68" s="52">
        <f>IF(63&lt;='KT THAN'!$C$11,63,"")</f>
        <v>63</v>
      </c>
      <c r="H68" s="52">
        <f>IF(G68="",0,2*PI()*(G68-0.5)/'KT THAN'!$C$11)</f>
        <v>2.1816615649929116</v>
      </c>
      <c r="I68" s="52">
        <f>IF(G68="",0,IF(shp=1,IF(AND(ABS(SIN(H68))&gt;0.0000001,MAX(1,hthan*500-'KT THAN'!$D$12)*ABS(COS(H68))/ABS(SIN(H68))&lt;=MAX(0,(bthan-hthan)*500)),MAX(1,hthan*500-'KT THAN'!$D$12)/ABS(SIN(H68)),MAX(0,(bthan-hthan)*500)*ABS(COS(H68))+SQRT(MAX(0,MAX(1,hthan*500-'KT THAN'!$D$12)^2-MAX(0,(bthan-hthan)*500)^2*SIN(H68)^2))),MIN((bthan*500-'KT THAN'!$D$12)/MAX(0.0000001,ABS(COS(H68))),(hthan*500-'KT THAN'!$D$12)/MAX(0.0000001,ABS(SIN(H68)))))*COS(H68))</f>
        <v>-490.14527674679647</v>
      </c>
      <c r="J68" s="52">
        <f>IF(G68="",0,IF(shp=1,IF(AND(ABS(SIN(H68))&gt;0.0000001,MAX(1,hthan*500-'KT THAN'!$D$12)*ABS(COS(H68))/ABS(SIN(H68))&lt;=MAX(0,(bthan-hthan)*500)),MAX(1,hthan*500-'KT THAN'!$D$12)/ABS(SIN(H68)),MAX(0,(bthan-hthan)*500)*ABS(COS(H68))+SQRT(MAX(0,MAX(1,hthan*500-'KT THAN'!$D$12)^2-MAX(0,(bthan-hthan)*500)^2*SIN(H68)^2))),MIN((bthan*500-'KT THAN'!$D$12)/MAX(0.0000001,ABS(COS(H68))),(hthan*500-'KT THAN'!$D$12)/MAX(0.0000001,ABS(SIN(H68)))))*SIN(H68))</f>
        <v>700</v>
      </c>
      <c r="K68" s="52">
        <f>IF(G68="",0,'KT THAN'!$D$11/'KT THAN'!$C$11)</f>
        <v>804.24771931898704</v>
      </c>
      <c r="L68" s="52"/>
      <c r="M68" s="52">
        <f>hthan*1000*0.01*1.06^62</f>
        <v>593.03951108487092</v>
      </c>
      <c r="N68" s="52">
        <f t="shared" si="22"/>
        <v>119463.93717618557</v>
      </c>
      <c r="O68" s="52">
        <f t="shared" si="23"/>
        <v>33088.287106976008</v>
      </c>
      <c r="P68" s="52">
        <f t="shared" si="24"/>
        <v>-4.5880272998471382E-3</v>
      </c>
      <c r="Q68" s="52">
        <f t="shared" si="25"/>
        <v>0.87940136499235688</v>
      </c>
      <c r="R68" s="52">
        <f>Q68*MIN(N68,0.8*(0.85*fc_*(Agth*1000000-'KT THAN'!$D$11)+fy_*'KT THAN'!$D$11)/1000)</f>
        <v>105056.74942009876</v>
      </c>
      <c r="S68" s="52">
        <f t="shared" si="26"/>
        <v>29097.884847133704</v>
      </c>
      <c r="T68" s="52"/>
      <c r="U68" s="52">
        <f>bthan*1000*0.01*1.06^62</f>
        <v>2038.5733193542437</v>
      </c>
      <c r="V68" s="52">
        <f t="shared" si="27"/>
        <v>8582.3980135632228</v>
      </c>
      <c r="W68" s="52">
        <f t="shared" si="28"/>
        <v>110620.44059572274</v>
      </c>
      <c r="X68" s="52">
        <f t="shared" si="29"/>
        <v>-4.9444851205696456E-3</v>
      </c>
      <c r="Y68" s="52">
        <f t="shared" si="30"/>
        <v>0.89722425602848221</v>
      </c>
      <c r="Z68" s="52">
        <f>Y68*MIN(V68,0.8*(0.85*fc_*(Agth*1000000-'KT THAN'!$D$11)+fy_*'KT THAN'!$D$11)/1000)</f>
        <v>7700.3356726595857</v>
      </c>
      <c r="AA68" s="52">
        <f t="shared" si="31"/>
        <v>99251.342515040247</v>
      </c>
      <c r="AB68" s="52"/>
      <c r="AC68" s="52">
        <f>SMALL($R$6:$R$125,ROWS($AC$6:AC68))</f>
        <v>104897.67770206404</v>
      </c>
      <c r="AD68" s="52">
        <f t="shared" si="32"/>
        <v>29085.175472354735</v>
      </c>
      <c r="AE68" s="52">
        <f>SMALL($Z$6:$Z$125,ROWS($AE$6:AE68))</f>
        <v>7700.3356726595857</v>
      </c>
      <c r="AF68" s="52">
        <f t="shared" si="33"/>
        <v>99251.342515040247</v>
      </c>
      <c r="AG68" s="52">
        <f>SMALL($AK$6:$AK$125,ROWS($AG$6:AG68))</f>
        <v>9.9999999999999997E+98</v>
      </c>
      <c r="AH68" s="52">
        <f t="shared" si="34"/>
        <v>-50196.63221187015</v>
      </c>
      <c r="AI68" s="52">
        <f>SMALL($AL$6:$AL$125,ROWS($AI$6:AI68))</f>
        <v>9.9999999999999997E+98</v>
      </c>
      <c r="AJ68" s="52">
        <f t="shared" si="35"/>
        <v>-52115.252211870153</v>
      </c>
      <c r="AK68" s="52">
        <f t="shared" si="36"/>
        <v>9.9999999999999997E+98</v>
      </c>
      <c r="AL68" s="52">
        <f t="shared" si="37"/>
        <v>9.9999999999999997E+98</v>
      </c>
      <c r="AM68" s="52">
        <f t="shared" si="38"/>
        <v>0</v>
      </c>
      <c r="AN68" s="52">
        <f t="shared" si="39"/>
        <v>0</v>
      </c>
    </row>
    <row r="69" spans="1:40" x14ac:dyDescent="0.3">
      <c r="A69" s="52">
        <v>64</v>
      </c>
      <c r="B69" s="52">
        <f>-bthan*500+(13+0.5)*bthan*1000/50</f>
        <v>-1265</v>
      </c>
      <c r="C69" s="52">
        <f t="shared" si="40"/>
        <v>-770</v>
      </c>
      <c r="D69" s="52">
        <f t="shared" si="1"/>
        <v>2200</v>
      </c>
      <c r="E69" s="52">
        <f t="shared" si="2"/>
        <v>1</v>
      </c>
      <c r="F69" s="52"/>
      <c r="G69" s="52">
        <f>IF(64&lt;='KT THAN'!$C$11,64,"")</f>
        <v>64</v>
      </c>
      <c r="H69" s="52">
        <f>IF(G69="",0,2*PI()*(G69-0.5)/'KT THAN'!$C$11)</f>
        <v>2.2165681500327987</v>
      </c>
      <c r="I69" s="52">
        <f>IF(G69="",0,IF(shp=1,IF(AND(ABS(SIN(H69))&gt;0.0000001,MAX(1,hthan*500-'KT THAN'!$D$12)*ABS(COS(H69))/ABS(SIN(H69))&lt;=MAX(0,(bthan-hthan)*500)),MAX(1,hthan*500-'KT THAN'!$D$12)/ABS(SIN(H69)),MAX(0,(bthan-hthan)*500)*ABS(COS(H69))+SQRT(MAX(0,MAX(1,hthan*500-'KT THAN'!$D$12)^2-MAX(0,(bthan-hthan)*500)^2*SIN(H69)^2))),MIN((bthan*500-'KT THAN'!$D$12)/MAX(0.0000001,ABS(COS(H69))),(hthan*500-'KT THAN'!$D$12)/MAX(0.0000001,ABS(SIN(H69)))))*COS(H69))</f>
        <v>-527.48783507195606</v>
      </c>
      <c r="J69" s="52">
        <f>IF(G69="",0,IF(shp=1,IF(AND(ABS(SIN(H69))&gt;0.0000001,MAX(1,hthan*500-'KT THAN'!$D$12)*ABS(COS(H69))/ABS(SIN(H69))&lt;=MAX(0,(bthan-hthan)*500)),MAX(1,hthan*500-'KT THAN'!$D$12)/ABS(SIN(H69)),MAX(0,(bthan-hthan)*500)*ABS(COS(H69))+SQRT(MAX(0,MAX(1,hthan*500-'KT THAN'!$D$12)^2-MAX(0,(bthan-hthan)*500)^2*SIN(H69)^2))),MIN((bthan*500-'KT THAN'!$D$12)/MAX(0.0000001,ABS(COS(H69))),(hthan*500-'KT THAN'!$D$12)/MAX(0.0000001,ABS(SIN(H69)))))*SIN(H69))</f>
        <v>700</v>
      </c>
      <c r="K69" s="52">
        <f>IF(G69="",0,'KT THAN'!$D$11/'KT THAN'!$C$11)</f>
        <v>804.24771931898704</v>
      </c>
      <c r="L69" s="52"/>
      <c r="M69" s="52">
        <f>hthan*1000*0.01*1.06^63</f>
        <v>628.62188174996334</v>
      </c>
      <c r="N69" s="52">
        <f t="shared" si="22"/>
        <v>122268.93717618557</v>
      </c>
      <c r="O69" s="52">
        <f t="shared" si="23"/>
        <v>33901.737106976012</v>
      </c>
      <c r="P69" s="52">
        <f t="shared" si="24"/>
        <v>-4.1585163206105061E-3</v>
      </c>
      <c r="Q69" s="52">
        <f t="shared" si="25"/>
        <v>0.85792581603052531</v>
      </c>
      <c r="R69" s="52">
        <f>Q69*MIN(N69,0.8*(0.85*fc_*(Agth*1000000-'KT THAN'!$D$11)+fy_*'KT THAN'!$D$11)/1000)</f>
        <v>104897.67770206404</v>
      </c>
      <c r="S69" s="52">
        <f t="shared" si="26"/>
        <v>29085.175472354735</v>
      </c>
      <c r="T69" s="52"/>
      <c r="U69" s="52">
        <f>bthan*1000*0.01*1.06^63</f>
        <v>2160.8877185154988</v>
      </c>
      <c r="V69" s="52">
        <f t="shared" si="27"/>
        <v>19342.79166843334</v>
      </c>
      <c r="W69" s="52">
        <f t="shared" si="28"/>
        <v>115269.39611917411</v>
      </c>
      <c r="X69" s="52">
        <f t="shared" si="29"/>
        <v>-4.4947972835562679E-3</v>
      </c>
      <c r="Y69" s="52">
        <f t="shared" si="30"/>
        <v>0.87473986417781335</v>
      </c>
      <c r="Z69" s="52">
        <f>Y69*MIN(V69,0.8*(0.85*fc_*(Agth*1000000-'KT THAN'!$D$11)+fy_*'KT THAN'!$D$11)/1000)</f>
        <v>16919.910956865118</v>
      </c>
      <c r="AA69" s="52">
        <f t="shared" si="31"/>
        <v>100830.73590514493</v>
      </c>
      <c r="AB69" s="52"/>
      <c r="AC69" s="52">
        <f>SMALL($R$6:$R$125,ROWS($AC$6:AC69))</f>
        <v>105056.74942009876</v>
      </c>
      <c r="AD69" s="52">
        <f t="shared" si="32"/>
        <v>29097.884847133704</v>
      </c>
      <c r="AE69" s="52">
        <f>SMALL($Z$6:$Z$125,ROWS($AE$6:AE69))</f>
        <v>16919.910956865118</v>
      </c>
      <c r="AF69" s="52">
        <f t="shared" si="33"/>
        <v>100830.73590514493</v>
      </c>
      <c r="AG69" s="52">
        <f>SMALL($AK$6:$AK$125,ROWS($AG$6:AG69))</f>
        <v>9.9999999999999997E+98</v>
      </c>
      <c r="AH69" s="52">
        <f t="shared" si="34"/>
        <v>-50196.63221187015</v>
      </c>
      <c r="AI69" s="52">
        <f>SMALL($AL$6:$AL$125,ROWS($AI$6:AI69))</f>
        <v>9.9999999999999997E+98</v>
      </c>
      <c r="AJ69" s="52">
        <f t="shared" si="35"/>
        <v>-52115.252211870153</v>
      </c>
      <c r="AK69" s="52">
        <f t="shared" si="36"/>
        <v>9.9999999999999997E+98</v>
      </c>
      <c r="AL69" s="52">
        <f t="shared" si="37"/>
        <v>9.9999999999999997E+98</v>
      </c>
      <c r="AM69" s="52">
        <f t="shared" si="38"/>
        <v>0</v>
      </c>
      <c r="AN69" s="52">
        <f t="shared" si="39"/>
        <v>0</v>
      </c>
    </row>
    <row r="70" spans="1:40" x14ac:dyDescent="0.3">
      <c r="A70" s="52">
        <v>65</v>
      </c>
      <c r="B70" s="52">
        <f>-bthan*500+(14+0.5)*bthan*1000/50</f>
        <v>-1155</v>
      </c>
      <c r="C70" s="52">
        <f t="shared" si="40"/>
        <v>-770</v>
      </c>
      <c r="D70" s="52">
        <f t="shared" ref="D70:D133" si="41">bthan*1000/50*hthan*1000/80</f>
        <v>2200</v>
      </c>
      <c r="E70" s="52">
        <f t="shared" ref="E70:E133" si="42">IF(shp=1,--(OR(ABS(B70)&lt;=MAX(0,(bthan-hthan)*500),(ABS(B70)-MAX(0,(bthan-hthan)*500))^2+C70^2&lt;=(hthan*500)^2)),--(AND(ABS(B70)&lt;=bthan*500,ABS(C70)&lt;=hthan*500,OR(ABS(B70)&lt;=bthan*500-cch*1000,ABS(C70)&lt;=hthan*500-cch*1000,(bthan*500-ABS(B70))+(hthan*500-ABS(C70))&gt;=cch*1000))))</f>
        <v>1</v>
      </c>
      <c r="F70" s="52"/>
      <c r="G70" s="52">
        <f>IF(65&lt;='KT THAN'!$C$11,65,"")</f>
        <v>65</v>
      </c>
      <c r="H70" s="52">
        <f>IF(G70="",0,2*PI()*(G70-0.5)/'KT THAN'!$C$11)</f>
        <v>2.2514747350726849</v>
      </c>
      <c r="I70" s="52">
        <f>IF(G70="",0,IF(shp=1,IF(AND(ABS(SIN(H70))&gt;0.0000001,MAX(1,hthan*500-'KT THAN'!$D$12)*ABS(COS(H70))/ABS(SIN(H70))&lt;=MAX(0,(bthan-hthan)*500)),MAX(1,hthan*500-'KT THAN'!$D$12)/ABS(SIN(H70)),MAX(0,(bthan-hthan)*500)*ABS(COS(H70))+SQRT(MAX(0,MAX(1,hthan*500-'KT THAN'!$D$12)^2-MAX(0,(bthan-hthan)*500)^2*SIN(H70)^2))),MIN((bthan*500-'KT THAN'!$D$12)/MAX(0.0000001,ABS(COS(H70))),(hthan*500-'KT THAN'!$D$12)/MAX(0.0000001,ABS(SIN(H70)))))*COS(H70))</f>
        <v>-566.84882323650481</v>
      </c>
      <c r="J70" s="52">
        <f>IF(G70="",0,IF(shp=1,IF(AND(ABS(SIN(H70))&gt;0.0000001,MAX(1,hthan*500-'KT THAN'!$D$12)*ABS(COS(H70))/ABS(SIN(H70))&lt;=MAX(0,(bthan-hthan)*500)),MAX(1,hthan*500-'KT THAN'!$D$12)/ABS(SIN(H70)),MAX(0,(bthan-hthan)*500)*ABS(COS(H70))+SQRT(MAX(0,MAX(1,hthan*500-'KT THAN'!$D$12)^2-MAX(0,(bthan-hthan)*500)^2*SIN(H70)^2))),MIN((bthan*500-'KT THAN'!$D$12)/MAX(0.0000001,ABS(COS(H70))),(hthan*500-'KT THAN'!$D$12)/MAX(0.0000001,ABS(SIN(H70)))))*SIN(H70))</f>
        <v>700</v>
      </c>
      <c r="K70" s="52">
        <f>IF(G70="",0,'KT THAN'!$D$11/'KT THAN'!$C$11)</f>
        <v>804.24771931898704</v>
      </c>
      <c r="L70" s="52"/>
      <c r="M70" s="52">
        <f>hthan*1000*0.01*1.06^64</f>
        <v>666.33919465496092</v>
      </c>
      <c r="N70" s="52">
        <f t="shared" ref="N70:N101" si="43">(SUMPRODUCT($E$6:$E$4005,$D$6:$D$4005,--($C$6:$C$4005&gt;=(hthan*500-MAX(0.65,MIN(0.85,0.85-0.05*(fc_-28)/7))*M70)))*0.85*fc_+SUMPRODUCT($K$6:$K$405,(IF(Es_*(0.003*(M70-(hthan*500-$J$6:$J$405))/M70)&gt;fy_,fy_,IF(Es_*(0.003*(M70-(hthan*500-$J$6:$J$405))/M70)&lt;-fy_,-fy_,Es_*(0.003*(M70-(hthan*500-$J$6:$J$405))/M70)))-0.85*fc_*--($J$6:$J$405&gt;=(hthan*500-MAX(0.65,MIN(0.85,0.85-0.05*(fc_-28)/7))*M70)))))/1000</f>
        <v>127878.93717618557</v>
      </c>
      <c r="O70" s="52">
        <f t="shared" ref="O70:O101" si="44">ABS((SUMPRODUCT($E$6:$E$4005,$D$6:$D$4005,--($C$6:$C$4005&gt;=(hthan*500-MAX(0.65,MIN(0.85,0.85-0.05*(fc_-28)/7))*M70)),$C$6:$C$4005)*0.85*fc_+SUMPRODUCT($K$6:$K$405,(IF(Es_*(0.003*(M70-(hthan*500-$J$6:$J$405))/M70)&gt;fy_,fy_,IF(Es_*(0.003*(M70-(hthan*500-$J$6:$J$405))/M70)&lt;-fy_,-fy_,Es_*(0.003*(M70-(hthan*500-$J$6:$J$405))/M70)))-0.85*fc_*--($J$6:$J$405&gt;=(hthan*500-MAX(0.65,MIN(0.85,0.85-0.05*(fc_-28)/7))*M70))),$J$6:$J$405))/1000000)</f>
        <v>35360.337106976003</v>
      </c>
      <c r="P70" s="52">
        <f t="shared" ref="P70:P101" si="45">0.003*(M70-(hthan*500-MIN($J$6:$J$405)))/M70</f>
        <v>-3.7533172835948194E-3</v>
      </c>
      <c r="Q70" s="52">
        <f t="shared" ref="Q70:Q101" si="46">MIN(0.9,MAX(0.75,0.75+0.15*((-P70)-0.002)/0.003))</f>
        <v>0.83766586417974098</v>
      </c>
      <c r="R70" s="52">
        <f>Q70*MIN(N70,0.8*(0.85*fc_*(Agth*1000000-'KT THAN'!$D$11)+fy_*'KT THAN'!$D$11)/1000)</f>
        <v>107119.8204200763</v>
      </c>
      <c r="S70" s="52">
        <f t="shared" ref="S70:S101" si="47">Q70*O70</f>
        <v>29620.147340402014</v>
      </c>
      <c r="T70" s="52"/>
      <c r="U70" s="52">
        <f>bthan*1000*0.01*1.06^64</f>
        <v>2290.5409816264282</v>
      </c>
      <c r="V70" s="52">
        <f t="shared" ref="V70:V101" si="48">(SUMPRODUCT($E$6:$E$4005,$D$6:$D$4005,--($B$6:$B$4005&gt;=(bthan*500-MAX(0.65,MIN(0.85,0.85-0.05*(fc_-28)/7))*U70)))*0.85*fc_+SUMPRODUCT($K$6:$K$405,(IF(Es_*(0.003*(U70-(bthan*500-$I$6:$I$405))/U70)&gt;fy_,fy_,IF(Es_*(0.003*(U70-(bthan*500-$I$6:$I$405))/U70)&lt;-fy_,-fy_,Es_*(0.003*(U70-(bthan*500-$I$6:$I$405))/U70)))-0.85*fc_*--($I$6:$I$405&gt;=(bthan*500-MAX(0.65,MIN(0.85,0.85-0.05*(fc_-28)/7))*U70)))))/1000</f>
        <v>29713.228911898525</v>
      </c>
      <c r="W70" s="52">
        <f t="shared" ref="W70:W101" si="49">ABS((SUMPRODUCT($E$6:$E$4005,$D$6:$D$4005,--($B$6:$B$4005&gt;=(bthan*500-MAX(0.65,MIN(0.85,0.85-0.05*(fc_-28)/7))*U70)),$B$6:$B$4005)*0.85*fc_+SUMPRODUCT($K$6:$K$405,(IF(Es_*(0.003*(U70-(bthan*500-$I$6:$I$405))/U70)&gt;fy_,fy_,IF(Es_*(0.003*(U70-(bthan*500-$I$6:$I$405))/U70)&lt;-fy_,-fy_,Es_*(0.003*(U70-(bthan*500-$I$6:$I$405))/U70)))-0.85*fc_*--($I$6:$I$405&gt;=(bthan*500-MAX(0.65,MIN(0.85,0.85-0.05*(fc_-28)/7))*U70))),$I$6:$I$405))/1000000)</f>
        <v>119392.11855422548</v>
      </c>
      <c r="X70" s="52">
        <f t="shared" ref="X70:X101" si="50">0.003*(U70-(bthan*500-MIN($I$6:$I$405)))/U70</f>
        <v>-4.0705634750530838E-3</v>
      </c>
      <c r="Y70" s="52">
        <f t="shared" ref="Y70:Y101" si="51">MIN(0.9,MAX(0.75,0.75+0.15*((-X70)-0.002)/0.003))</f>
        <v>0.85352817375265422</v>
      </c>
      <c r="Z70" s="52">
        <f>Y70*MIN(V70,0.8*(0.85*fc_*(Agth*1000000-'KT THAN'!$D$11)+fy_*'KT THAN'!$D$11)/1000)</f>
        <v>25361.078009467314</v>
      </c>
      <c r="AA70" s="52">
        <f t="shared" ref="AA70:AA101" si="52">Y70*W70</f>
        <v>101904.53691004845</v>
      </c>
      <c r="AB70" s="52"/>
      <c r="AC70" s="52">
        <f>SMALL($R$6:$R$125,ROWS($AC$6:AC70))</f>
        <v>107119.8204200763</v>
      </c>
      <c r="AD70" s="52">
        <f t="shared" ref="AD70:AD101" si="53">IFERROR(INDEX($S$6:$S$125,MATCH(AC70,$R$6:$R$125,0)),AVERAGE(AD69,AD71))</f>
        <v>29620.147340402014</v>
      </c>
      <c r="AE70" s="52">
        <f>SMALL($Z$6:$Z$125,ROWS($AE$6:AE70))</f>
        <v>25361.078009467314</v>
      </c>
      <c r="AF70" s="52">
        <f t="shared" ref="AF70:AF101" si="54">IFERROR(INDEX($AA$6:$AA$125,MATCH(AE70,$Z$6:$Z$125,0)),AVERAGE(AF69,AF71))</f>
        <v>101904.53691004845</v>
      </c>
      <c r="AG70" s="52">
        <f>SMALL($AK$6:$AK$125,ROWS($AG$6:AG70))</f>
        <v>9.9999999999999997E+98</v>
      </c>
      <c r="AH70" s="52">
        <f t="shared" ref="AH70:AH101" si="55">INDEX($R$6:$R$125,MATCH(AG70,$AK$6:$AK$125,0))</f>
        <v>-50196.63221187015</v>
      </c>
      <c r="AI70" s="52">
        <f>SMALL($AL$6:$AL$125,ROWS($AI$6:AI70))</f>
        <v>9.9999999999999997E+98</v>
      </c>
      <c r="AJ70" s="52">
        <f t="shared" ref="AJ70:AJ101" si="56">INDEX($Z$6:$Z$125,MATCH(AI70,$AL$6:$AL$125,0))</f>
        <v>-52115.252211870153</v>
      </c>
      <c r="AK70" s="52">
        <f t="shared" ref="AK70:AK101" si="57">IF(AND(R70&gt;0,AM70=1),S70/R70,1E+99)</f>
        <v>9.9999999999999997E+98</v>
      </c>
      <c r="AL70" s="52">
        <f t="shared" ref="AL70:AL101" si="58">IF(AND(Z70&gt;0,AN70=1),AA70/Z70,1E+99)</f>
        <v>9.9999999999999997E+98</v>
      </c>
      <c r="AM70" s="52">
        <f t="shared" ref="AM70:AM101" si="59">--(SUMPRODUCT(--($R$6:$R$125&gt;=R70),--($S$6:$S$125&gt;S70))=0)</f>
        <v>0</v>
      </c>
      <c r="AN70" s="52">
        <f t="shared" ref="AN70:AN101" si="60">--(SUMPRODUCT(--($Z$6:$Z$125&gt;=Z70),--($AA$6:$AA$125&gt;AA70))=0)</f>
        <v>0</v>
      </c>
    </row>
    <row r="71" spans="1:40" x14ac:dyDescent="0.3">
      <c r="A71" s="52">
        <v>66</v>
      </c>
      <c r="B71" s="52">
        <f>-bthan*500+(15+0.5)*bthan*1000/50</f>
        <v>-1045</v>
      </c>
      <c r="C71" s="52">
        <f t="shared" si="40"/>
        <v>-770</v>
      </c>
      <c r="D71" s="52">
        <f t="shared" si="41"/>
        <v>2200</v>
      </c>
      <c r="E71" s="52">
        <f t="shared" si="42"/>
        <v>1</v>
      </c>
      <c r="F71" s="52"/>
      <c r="G71" s="52">
        <f>IF(66&lt;='KT THAN'!$C$11,66,"")</f>
        <v>66</v>
      </c>
      <c r="H71" s="52">
        <f>IF(G71="",0,2*PI()*(G71-0.5)/'KT THAN'!$C$11)</f>
        <v>2.286381320112572</v>
      </c>
      <c r="I71" s="52">
        <f>IF(G71="",0,IF(shp=1,IF(AND(ABS(SIN(H71))&gt;0.0000001,MAX(1,hthan*500-'KT THAN'!$D$12)*ABS(COS(H71))/ABS(SIN(H71))&lt;=MAX(0,(bthan-hthan)*500)),MAX(1,hthan*500-'KT THAN'!$D$12)/ABS(SIN(H71)),MAX(0,(bthan-hthan)*500)*ABS(COS(H71))+SQRT(MAX(0,MAX(1,hthan*500-'KT THAN'!$D$12)^2-MAX(0,(bthan-hthan)*500)^2*SIN(H71)^2))),MIN((bthan*500-'KT THAN'!$D$12)/MAX(0.0000001,ABS(COS(H71))),(hthan*500-'KT THAN'!$D$12)/MAX(0.0000001,ABS(SIN(H71)))))*COS(H71))</f>
        <v>-608.50071647135894</v>
      </c>
      <c r="J71" s="52">
        <f>IF(G71="",0,IF(shp=1,IF(AND(ABS(SIN(H71))&gt;0.0000001,MAX(1,hthan*500-'KT THAN'!$D$12)*ABS(COS(H71))/ABS(SIN(H71))&lt;=MAX(0,(bthan-hthan)*500)),MAX(1,hthan*500-'KT THAN'!$D$12)/ABS(SIN(H71)),MAX(0,(bthan-hthan)*500)*ABS(COS(H71))+SQRT(MAX(0,MAX(1,hthan*500-'KT THAN'!$D$12)^2-MAX(0,(bthan-hthan)*500)^2*SIN(H71)^2))),MIN((bthan*500-'KT THAN'!$D$12)/MAX(0.0000001,ABS(COS(H71))),(hthan*500-'KT THAN'!$D$12)/MAX(0.0000001,ABS(SIN(H71)))))*SIN(H71))</f>
        <v>700</v>
      </c>
      <c r="K71" s="52">
        <f>IF(G71="",0,'KT THAN'!$D$11/'KT THAN'!$C$11)</f>
        <v>804.24771931898704</v>
      </c>
      <c r="L71" s="52"/>
      <c r="M71" s="52">
        <f>hthan*1000*0.01*1.06^65</f>
        <v>706.31954633425858</v>
      </c>
      <c r="N71" s="52">
        <f t="shared" si="43"/>
        <v>133447.92054250033</v>
      </c>
      <c r="O71" s="52">
        <f t="shared" si="44"/>
        <v>36585.165195051144</v>
      </c>
      <c r="P71" s="52">
        <f t="shared" si="45"/>
        <v>-3.3710540411271877E-3</v>
      </c>
      <c r="Q71" s="52">
        <f t="shared" si="46"/>
        <v>0.81855270205635944</v>
      </c>
      <c r="R71" s="52">
        <f>Q71*MIN(N71,0.8*(0.85*fc_*(Agth*1000000-'KT THAN'!$D$11)+fy_*'KT THAN'!$D$11)/1000)</f>
        <v>109234.155943866</v>
      </c>
      <c r="S71" s="52">
        <f t="shared" si="47"/>
        <v>29946.885825587389</v>
      </c>
      <c r="T71" s="52"/>
      <c r="U71" s="52">
        <f>bthan*1000*0.01*1.06^65</f>
        <v>2427.9734405240138</v>
      </c>
      <c r="V71" s="52">
        <f t="shared" si="48"/>
        <v>39748.585791049038</v>
      </c>
      <c r="W71" s="52">
        <f t="shared" si="49"/>
        <v>123030.90011834378</v>
      </c>
      <c r="X71" s="52">
        <f t="shared" si="50"/>
        <v>-3.6703429009934765E-3</v>
      </c>
      <c r="Y71" s="52">
        <f t="shared" si="51"/>
        <v>0.83351714504967378</v>
      </c>
      <c r="Z71" s="52">
        <f>Y71*MIN(V71,0.8*(0.85*fc_*(Agth*1000000-'KT THAN'!$D$11)+fy_*'KT THAN'!$D$11)/1000)</f>
        <v>33131.127748317223</v>
      </c>
      <c r="AA71" s="52">
        <f t="shared" si="52"/>
        <v>102548.36461953347</v>
      </c>
      <c r="AB71" s="52"/>
      <c r="AC71" s="52">
        <f>SMALL($R$6:$R$125,ROWS($AC$6:AC71))</f>
        <v>109073.38102774441</v>
      </c>
      <c r="AD71" s="52">
        <f t="shared" si="53"/>
        <v>29713.846173584774</v>
      </c>
      <c r="AE71" s="52">
        <f>SMALL($Z$6:$Z$125,ROWS($AE$6:AE71))</f>
        <v>33131.127748317223</v>
      </c>
      <c r="AF71" s="52">
        <f t="shared" si="54"/>
        <v>102548.36461953347</v>
      </c>
      <c r="AG71" s="52">
        <f>SMALL($AK$6:$AK$125,ROWS($AG$6:AG71))</f>
        <v>9.9999999999999997E+98</v>
      </c>
      <c r="AH71" s="52">
        <f t="shared" si="55"/>
        <v>-50196.63221187015</v>
      </c>
      <c r="AI71" s="52">
        <f>SMALL($AL$6:$AL$125,ROWS($AI$6:AI71))</f>
        <v>9.9999999999999997E+98</v>
      </c>
      <c r="AJ71" s="52">
        <f t="shared" si="56"/>
        <v>-52115.252211870153</v>
      </c>
      <c r="AK71" s="52">
        <f t="shared" si="57"/>
        <v>0.27415313064694435</v>
      </c>
      <c r="AL71" s="52">
        <f t="shared" si="58"/>
        <v>9.9999999999999997E+98</v>
      </c>
      <c r="AM71" s="52">
        <f t="shared" si="59"/>
        <v>1</v>
      </c>
      <c r="AN71" s="52">
        <f t="shared" si="60"/>
        <v>0</v>
      </c>
    </row>
    <row r="72" spans="1:40" x14ac:dyDescent="0.3">
      <c r="A72" s="52">
        <v>67</v>
      </c>
      <c r="B72" s="52">
        <f>-bthan*500+(16+0.5)*bthan*1000/50</f>
        <v>-935</v>
      </c>
      <c r="C72" s="52">
        <f t="shared" si="40"/>
        <v>-770</v>
      </c>
      <c r="D72" s="52">
        <f t="shared" si="41"/>
        <v>2200</v>
      </c>
      <c r="E72" s="52">
        <f t="shared" si="42"/>
        <v>1</v>
      </c>
      <c r="F72" s="52"/>
      <c r="G72" s="52">
        <f>IF(67&lt;='KT THAN'!$C$11,67,"")</f>
        <v>67</v>
      </c>
      <c r="H72" s="52">
        <f>IF(G72="",0,2*PI()*(G72-0.5)/'KT THAN'!$C$11)</f>
        <v>2.3212879051524582</v>
      </c>
      <c r="I72" s="52">
        <f>IF(G72="",0,IF(shp=1,IF(AND(ABS(SIN(H72))&gt;0.0000001,MAX(1,hthan*500-'KT THAN'!$D$12)*ABS(COS(H72))/ABS(SIN(H72))&lt;=MAX(0,(bthan-hthan)*500)),MAX(1,hthan*500-'KT THAN'!$D$12)/ABS(SIN(H72)),MAX(0,(bthan-hthan)*500)*ABS(COS(H72))+SQRT(MAX(0,MAX(1,hthan*500-'KT THAN'!$D$12)^2-MAX(0,(bthan-hthan)*500)^2*SIN(H72)^2))),MIN((bthan*500-'KT THAN'!$D$12)/MAX(0.0000001,ABS(COS(H72))),(hthan*500-'KT THAN'!$D$12)/MAX(0.0000001,ABS(SIN(H72)))))*COS(H72))</f>
        <v>-652.760560296363</v>
      </c>
      <c r="J72" s="52">
        <f>IF(G72="",0,IF(shp=1,IF(AND(ABS(SIN(H72))&gt;0.0000001,MAX(1,hthan*500-'KT THAN'!$D$12)*ABS(COS(H72))/ABS(SIN(H72))&lt;=MAX(0,(bthan-hthan)*500)),MAX(1,hthan*500-'KT THAN'!$D$12)/ABS(SIN(H72)),MAX(0,(bthan-hthan)*500)*ABS(COS(H72))+SQRT(MAX(0,MAX(1,hthan*500-'KT THAN'!$D$12)^2-MAX(0,(bthan-hthan)*500)^2*SIN(H72)^2))),MIN((bthan*500-'KT THAN'!$D$12)/MAX(0.0000001,ABS(COS(H72))),(hthan*500-'KT THAN'!$D$12)/MAX(0.0000001,ABS(SIN(H72)))))*SIN(H72))</f>
        <v>700</v>
      </c>
      <c r="K72" s="52">
        <f>IF(G72="",0,'KT THAN'!$D$11/'KT THAN'!$C$11)</f>
        <v>804.24771931898704</v>
      </c>
      <c r="L72" s="52"/>
      <c r="M72" s="52">
        <f>hthan*1000*0.01*1.06^66</f>
        <v>748.69871911431414</v>
      </c>
      <c r="N72" s="52">
        <f t="shared" si="43"/>
        <v>136252.92054250033</v>
      </c>
      <c r="O72" s="52">
        <f t="shared" si="44"/>
        <v>37118.115195051148</v>
      </c>
      <c r="P72" s="52">
        <f t="shared" si="45"/>
        <v>-3.0104283406860257E-3</v>
      </c>
      <c r="Q72" s="52">
        <f t="shared" si="46"/>
        <v>0.80052141703430124</v>
      </c>
      <c r="R72" s="52">
        <f>Q72*MIN(N72,0.8*(0.85*fc_*(Agth*1000000-'KT THAN'!$D$11)+fy_*'KT THAN'!$D$11)/1000)</f>
        <v>109073.38102774441</v>
      </c>
      <c r="S72" s="52">
        <f t="shared" si="47"/>
        <v>29713.846173584774</v>
      </c>
      <c r="T72" s="52"/>
      <c r="U72" s="52">
        <f>bthan*1000*0.01*1.06^66</f>
        <v>2573.6518469554549</v>
      </c>
      <c r="V72" s="52">
        <f t="shared" si="48"/>
        <v>53908.608147037667</v>
      </c>
      <c r="W72" s="52">
        <f t="shared" si="49"/>
        <v>128874.6157829935</v>
      </c>
      <c r="X72" s="52">
        <f t="shared" si="50"/>
        <v>-3.2927763216919581E-3</v>
      </c>
      <c r="Y72" s="52">
        <f t="shared" si="51"/>
        <v>0.81463881608459787</v>
      </c>
      <c r="Z72" s="52">
        <f>Y72*MIN(V72,0.8*(0.85*fc_*(Agth*1000000-'KT THAN'!$D$11)+fy_*'KT THAN'!$D$11)/1000)</f>
        <v>43916.04471767127</v>
      </c>
      <c r="AA72" s="52">
        <f t="shared" si="52"/>
        <v>104986.26442481525</v>
      </c>
      <c r="AB72" s="52"/>
      <c r="AC72" s="52">
        <f>SMALL($R$6:$R$125,ROWS($AC$6:AC72))</f>
        <v>109234.155943866</v>
      </c>
      <c r="AD72" s="52">
        <f t="shared" si="53"/>
        <v>29946.885825587389</v>
      </c>
      <c r="AE72" s="52">
        <f>SMALL($Z$6:$Z$125,ROWS($AE$6:AE72))</f>
        <v>43916.04471767127</v>
      </c>
      <c r="AF72" s="52">
        <f t="shared" si="54"/>
        <v>104986.26442481525</v>
      </c>
      <c r="AG72" s="52">
        <f>SMALL($AK$6:$AK$125,ROWS($AG$6:AG72))</f>
        <v>9.9999999999999997E+98</v>
      </c>
      <c r="AH72" s="52">
        <f t="shared" si="55"/>
        <v>-50196.63221187015</v>
      </c>
      <c r="AI72" s="52">
        <f>SMALL($AL$6:$AL$125,ROWS($AI$6:AI72))</f>
        <v>9.9999999999999997E+98</v>
      </c>
      <c r="AJ72" s="52">
        <f t="shared" si="56"/>
        <v>-52115.252211870153</v>
      </c>
      <c r="AK72" s="52">
        <f t="shared" si="57"/>
        <v>9.9999999999999997E+98</v>
      </c>
      <c r="AL72" s="52">
        <f t="shared" si="58"/>
        <v>2.390612932010475</v>
      </c>
      <c r="AM72" s="52">
        <f t="shared" si="59"/>
        <v>0</v>
      </c>
      <c r="AN72" s="52">
        <f t="shared" si="60"/>
        <v>1</v>
      </c>
    </row>
    <row r="73" spans="1:40" x14ac:dyDescent="0.3">
      <c r="A73" s="52">
        <v>68</v>
      </c>
      <c r="B73" s="52">
        <f>-bthan*500+(17+0.5)*bthan*1000/50</f>
        <v>-825</v>
      </c>
      <c r="C73" s="52">
        <f t="shared" si="40"/>
        <v>-770</v>
      </c>
      <c r="D73" s="52">
        <f t="shared" si="41"/>
        <v>2200</v>
      </c>
      <c r="E73" s="52">
        <f t="shared" si="42"/>
        <v>1</v>
      </c>
      <c r="F73" s="52"/>
      <c r="G73" s="52">
        <f>IF(68&lt;='KT THAN'!$C$11,68,"")</f>
        <v>68</v>
      </c>
      <c r="H73" s="52">
        <f>IF(G73="",0,2*PI()*(G73-0.5)/'KT THAN'!$C$11)</f>
        <v>2.3561944901923448</v>
      </c>
      <c r="I73" s="52">
        <f>IF(G73="",0,IF(shp=1,IF(AND(ABS(SIN(H73))&gt;0.0000001,MAX(1,hthan*500-'KT THAN'!$D$12)*ABS(COS(H73))/ABS(SIN(H73))&lt;=MAX(0,(bthan-hthan)*500)),MAX(1,hthan*500-'KT THAN'!$D$12)/ABS(SIN(H73)),MAX(0,(bthan-hthan)*500)*ABS(COS(H73))+SQRT(MAX(0,MAX(1,hthan*500-'KT THAN'!$D$12)^2-MAX(0,(bthan-hthan)*500)^2*SIN(H73)^2))),MIN((bthan*500-'KT THAN'!$D$12)/MAX(0.0000001,ABS(COS(H73))),(hthan*500-'KT THAN'!$D$12)/MAX(0.0000001,ABS(SIN(H73)))))*COS(H73))</f>
        <v>-699.99999999999989</v>
      </c>
      <c r="J73" s="52">
        <f>IF(G73="",0,IF(shp=1,IF(AND(ABS(SIN(H73))&gt;0.0000001,MAX(1,hthan*500-'KT THAN'!$D$12)*ABS(COS(H73))/ABS(SIN(H73))&lt;=MAX(0,(bthan-hthan)*500)),MAX(1,hthan*500-'KT THAN'!$D$12)/ABS(SIN(H73)),MAX(0,(bthan-hthan)*500)*ABS(COS(H73))+SQRT(MAX(0,MAX(1,hthan*500-'KT THAN'!$D$12)^2-MAX(0,(bthan-hthan)*500)^2*SIN(H73)^2))),MIN((bthan*500-'KT THAN'!$D$12)/MAX(0.0000001,ABS(COS(H73))),(hthan*500-'KT THAN'!$D$12)/MAX(0.0000001,ABS(SIN(H73)))))*SIN(H73))</f>
        <v>700</v>
      </c>
      <c r="K73" s="52">
        <f>IF(G73="",0,'KT THAN'!$D$11/'KT THAN'!$C$11)</f>
        <v>804.24771931898704</v>
      </c>
      <c r="L73" s="52"/>
      <c r="M73" s="52">
        <f>hthan*1000*0.01*1.06^67</f>
        <v>793.62064226117309</v>
      </c>
      <c r="N73" s="52">
        <f t="shared" si="43"/>
        <v>141821.90390881503</v>
      </c>
      <c r="O73" s="52">
        <f t="shared" si="44"/>
        <v>38010.048378841639</v>
      </c>
      <c r="P73" s="52">
        <f t="shared" si="45"/>
        <v>-2.6702154157415333E-3</v>
      </c>
      <c r="Q73" s="52">
        <f t="shared" si="46"/>
        <v>0.78351077078707665</v>
      </c>
      <c r="R73" s="52">
        <f>Q73*MIN(N73,0.8*(0.85*fc_*(Agth*1000000-'KT THAN'!$D$11)+fy_*'KT THAN'!$D$11)/1000)</f>
        <v>111118.98924608638</v>
      </c>
      <c r="S73" s="52">
        <f t="shared" si="47"/>
        <v>29781.282302960284</v>
      </c>
      <c r="T73" s="52"/>
      <c r="U73" s="52">
        <f>bthan*1000*0.01*1.06^67</f>
        <v>2728.0709577727825</v>
      </c>
      <c r="V73" s="52">
        <f t="shared" si="48"/>
        <v>63269.914218800513</v>
      </c>
      <c r="W73" s="52">
        <f t="shared" si="49"/>
        <v>131031.18566788241</v>
      </c>
      <c r="X73" s="52">
        <f t="shared" si="50"/>
        <v>-2.9365814355584502E-3</v>
      </c>
      <c r="Y73" s="52">
        <f t="shared" si="51"/>
        <v>0.7968290717779225</v>
      </c>
      <c r="Z73" s="52">
        <f>Y73*MIN(V73,0.8*(0.85*fc_*(Agth*1000000-'KT THAN'!$D$11)+fy_*'KT THAN'!$D$11)/1000)</f>
        <v>50415.307018435597</v>
      </c>
      <c r="AA73" s="52">
        <f t="shared" si="52"/>
        <v>104409.45804969936</v>
      </c>
      <c r="AB73" s="52"/>
      <c r="AC73" s="52">
        <f>SMALL($R$6:$R$125,ROWS($AC$6:AC73))</f>
        <v>111118.98924608638</v>
      </c>
      <c r="AD73" s="52">
        <f t="shared" si="53"/>
        <v>29781.282302960284</v>
      </c>
      <c r="AE73" s="52">
        <f>SMALL($Z$6:$Z$125,ROWS($AE$6:AE73))</f>
        <v>50415.307018435597</v>
      </c>
      <c r="AF73" s="52">
        <f t="shared" si="54"/>
        <v>104409.45804969936</v>
      </c>
      <c r="AG73" s="52">
        <f>SMALL($AK$6:$AK$125,ROWS($AG$6:AG73))</f>
        <v>9.9999999999999997E+98</v>
      </c>
      <c r="AH73" s="52">
        <f t="shared" si="55"/>
        <v>-50196.63221187015</v>
      </c>
      <c r="AI73" s="52">
        <f>SMALL($AL$6:$AL$125,ROWS($AI$6:AI73))</f>
        <v>9.9999999999999997E+98</v>
      </c>
      <c r="AJ73" s="52">
        <f t="shared" si="56"/>
        <v>-52115.252211870153</v>
      </c>
      <c r="AK73" s="52">
        <f t="shared" si="57"/>
        <v>0.26801253777611356</v>
      </c>
      <c r="AL73" s="52">
        <f t="shared" si="58"/>
        <v>2.0709872501920792</v>
      </c>
      <c r="AM73" s="52">
        <f t="shared" si="59"/>
        <v>1</v>
      </c>
      <c r="AN73" s="52">
        <f t="shared" si="60"/>
        <v>1</v>
      </c>
    </row>
    <row r="74" spans="1:40" x14ac:dyDescent="0.3">
      <c r="A74" s="52">
        <v>69</v>
      </c>
      <c r="B74" s="52">
        <f>-bthan*500+(18+0.5)*bthan*1000/50</f>
        <v>-715</v>
      </c>
      <c r="C74" s="52">
        <f t="shared" si="40"/>
        <v>-770</v>
      </c>
      <c r="D74" s="52">
        <f t="shared" si="41"/>
        <v>2200</v>
      </c>
      <c r="E74" s="52">
        <f t="shared" si="42"/>
        <v>1</v>
      </c>
      <c r="F74" s="52"/>
      <c r="G74" s="52">
        <f>IF(69&lt;='KT THAN'!$C$11,69,"")</f>
        <v>69</v>
      </c>
      <c r="H74" s="52">
        <f>IF(G74="",0,2*PI()*(G74-0.5)/'KT THAN'!$C$11)</f>
        <v>2.3911010752322315</v>
      </c>
      <c r="I74" s="52">
        <f>IF(G74="",0,IF(shp=1,IF(AND(ABS(SIN(H74))&gt;0.0000001,MAX(1,hthan*500-'KT THAN'!$D$12)*ABS(COS(H74))/ABS(SIN(H74))&lt;=MAX(0,(bthan-hthan)*500)),MAX(1,hthan*500-'KT THAN'!$D$12)/ABS(SIN(H74)),MAX(0,(bthan-hthan)*500)*ABS(COS(H74))+SQRT(MAX(0,MAX(1,hthan*500-'KT THAN'!$D$12)^2-MAX(0,(bthan-hthan)*500)^2*SIN(H74)^2))),MIN((bthan*500-'KT THAN'!$D$12)/MAX(0.0000001,ABS(COS(H74))),(hthan*500-'KT THAN'!$D$12)/MAX(0.0000001,ABS(SIN(H74)))))*COS(H74))</f>
        <v>-750.65809701727767</v>
      </c>
      <c r="J74" s="52">
        <f>IF(G74="",0,IF(shp=1,IF(AND(ABS(SIN(H74))&gt;0.0000001,MAX(1,hthan*500-'KT THAN'!$D$12)*ABS(COS(H74))/ABS(SIN(H74))&lt;=MAX(0,(bthan-hthan)*500)),MAX(1,hthan*500-'KT THAN'!$D$12)/ABS(SIN(H74)),MAX(0,(bthan-hthan)*500)*ABS(COS(H74))+SQRT(MAX(0,MAX(1,hthan*500-'KT THAN'!$D$12)^2-MAX(0,(bthan-hthan)*500)^2*SIN(H74)^2))),MIN((bthan*500-'KT THAN'!$D$12)/MAX(0.0000001,ABS(COS(H74))),(hthan*500-'KT THAN'!$D$12)/MAX(0.0000001,ABS(SIN(H74)))))*SIN(H74))</f>
        <v>700</v>
      </c>
      <c r="K74" s="52">
        <f>IF(G74="",0,'KT THAN'!$D$11/'KT THAN'!$C$11)</f>
        <v>804.24771931898704</v>
      </c>
      <c r="L74" s="52"/>
      <c r="M74" s="52">
        <f>hthan*1000*0.01*1.06^68</f>
        <v>841.23788079684357</v>
      </c>
      <c r="N74" s="52">
        <f t="shared" si="43"/>
        <v>147431.90390881503</v>
      </c>
      <c r="O74" s="52">
        <f t="shared" si="44"/>
        <v>38683.248378841636</v>
      </c>
      <c r="P74" s="52">
        <f t="shared" si="45"/>
        <v>-2.3492598261712571E-3</v>
      </c>
      <c r="Q74" s="52">
        <f t="shared" si="46"/>
        <v>0.76746299130856288</v>
      </c>
      <c r="R74" s="52">
        <f>Q74*MIN(N74,0.8*(0.85*fc_*(Agth*1000000-'KT THAN'!$D$11)+fy_*'KT THAN'!$D$11)/1000)</f>
        <v>113148.52998817578</v>
      </c>
      <c r="S74" s="52">
        <f t="shared" si="47"/>
        <v>29687.961514357918</v>
      </c>
      <c r="T74" s="52"/>
      <c r="U74" s="52">
        <f>bthan*1000*0.01*1.06^68</f>
        <v>2891.7552152391499</v>
      </c>
      <c r="V74" s="52">
        <f t="shared" si="48"/>
        <v>72289.840889322513</v>
      </c>
      <c r="W74" s="52">
        <f t="shared" si="49"/>
        <v>132692.62397557503</v>
      </c>
      <c r="X74" s="52">
        <f t="shared" si="50"/>
        <v>-2.6005485241117447E-3</v>
      </c>
      <c r="Y74" s="52">
        <f t="shared" si="51"/>
        <v>0.78002742620558718</v>
      </c>
      <c r="Z74" s="52">
        <f>Y74*MIN(V74,0.8*(0.85*fc_*(Agth*1000000-'KT THAN'!$D$11)+fy_*'KT THAN'!$D$11)/1000)</f>
        <v>56388.058529709655</v>
      </c>
      <c r="AA74" s="52">
        <f t="shared" si="52"/>
        <v>103503.88595613358</v>
      </c>
      <c r="AB74" s="52"/>
      <c r="AC74" s="52">
        <f>SMALL($R$6:$R$125,ROWS($AC$6:AC74))</f>
        <v>113148.52998817578</v>
      </c>
      <c r="AD74" s="52">
        <f t="shared" si="53"/>
        <v>29687.961514357918</v>
      </c>
      <c r="AE74" s="52">
        <f>SMALL($Z$6:$Z$125,ROWS($AE$6:AE74))</f>
        <v>56388.058529709655</v>
      </c>
      <c r="AF74" s="52">
        <f t="shared" si="54"/>
        <v>103503.88595613358</v>
      </c>
      <c r="AG74" s="52">
        <f>SMALL($AK$6:$AK$125,ROWS($AG$6:AG74))</f>
        <v>9.9999999999999997E+98</v>
      </c>
      <c r="AH74" s="52">
        <f t="shared" si="55"/>
        <v>-50196.63221187015</v>
      </c>
      <c r="AI74" s="52">
        <f>SMALL($AL$6:$AL$125,ROWS($AI$6:AI74))</f>
        <v>9.9999999999999997E+98</v>
      </c>
      <c r="AJ74" s="52">
        <f t="shared" si="56"/>
        <v>-52115.252211870153</v>
      </c>
      <c r="AK74" s="52">
        <f t="shared" si="57"/>
        <v>0.26238044380656433</v>
      </c>
      <c r="AL74" s="52">
        <f t="shared" si="58"/>
        <v>1.8355639235495156</v>
      </c>
      <c r="AM74" s="52">
        <f t="shared" si="59"/>
        <v>1</v>
      </c>
      <c r="AN74" s="52">
        <f t="shared" si="60"/>
        <v>1</v>
      </c>
    </row>
    <row r="75" spans="1:40" x14ac:dyDescent="0.3">
      <c r="A75" s="52">
        <v>70</v>
      </c>
      <c r="B75" s="52">
        <f>-bthan*500+(19+0.5)*bthan*1000/50</f>
        <v>-605</v>
      </c>
      <c r="C75" s="52">
        <f t="shared" si="40"/>
        <v>-770</v>
      </c>
      <c r="D75" s="52">
        <f t="shared" si="41"/>
        <v>2200</v>
      </c>
      <c r="E75" s="52">
        <f t="shared" si="42"/>
        <v>1</v>
      </c>
      <c r="F75" s="52"/>
      <c r="G75" s="52">
        <f>IF(70&lt;='KT THAN'!$C$11,70,"")</f>
        <v>70</v>
      </c>
      <c r="H75" s="52">
        <f>IF(G75="",0,2*PI()*(G75-0.5)/'KT THAN'!$C$11)</f>
        <v>2.4260076602721181</v>
      </c>
      <c r="I75" s="52">
        <f>IF(G75="",0,IF(shp=1,IF(AND(ABS(SIN(H75))&gt;0.0000001,MAX(1,hthan*500-'KT THAN'!$D$12)*ABS(COS(H75))/ABS(SIN(H75))&lt;=MAX(0,(bthan-hthan)*500)),MAX(1,hthan*500-'KT THAN'!$D$12)/ABS(SIN(H75)),MAX(0,(bthan-hthan)*500)*ABS(COS(H75))+SQRT(MAX(0,MAX(1,hthan*500-'KT THAN'!$D$12)^2-MAX(0,(bthan-hthan)*500)^2*SIN(H75)^2))),MIN((bthan*500-'KT THAN'!$D$12)/MAX(0.0000001,ABS(COS(H75))),(hthan*500-'KT THAN'!$D$12)/MAX(0.0000001,ABS(SIN(H75)))))*COS(H75))</f>
        <v>-805.25788505470666</v>
      </c>
      <c r="J75" s="52">
        <f>IF(G75="",0,IF(shp=1,IF(AND(ABS(SIN(H75))&gt;0.0000001,MAX(1,hthan*500-'KT THAN'!$D$12)*ABS(COS(H75))/ABS(SIN(H75))&lt;=MAX(0,(bthan-hthan)*500)),MAX(1,hthan*500-'KT THAN'!$D$12)/ABS(SIN(H75)),MAX(0,(bthan-hthan)*500)*ABS(COS(H75))+SQRT(MAX(0,MAX(1,hthan*500-'KT THAN'!$D$12)^2-MAX(0,(bthan-hthan)*500)^2*SIN(H75)^2))),MIN((bthan*500-'KT THAN'!$D$12)/MAX(0.0000001,ABS(COS(H75))),(hthan*500-'KT THAN'!$D$12)/MAX(0.0000001,ABS(SIN(H75)))))*SIN(H75))</f>
        <v>699.99999999999989</v>
      </c>
      <c r="K75" s="52">
        <f>IF(G75="",0,'KT THAN'!$D$11/'KT THAN'!$C$11)</f>
        <v>804.24771931898704</v>
      </c>
      <c r="L75" s="52"/>
      <c r="M75" s="52">
        <f>hthan*1000*0.01*1.06^69</f>
        <v>891.71215364465422</v>
      </c>
      <c r="N75" s="52">
        <f t="shared" si="43"/>
        <v>153041.90390881503</v>
      </c>
      <c r="O75" s="52">
        <f t="shared" si="44"/>
        <v>39132.048378841639</v>
      </c>
      <c r="P75" s="52">
        <f t="shared" si="45"/>
        <v>-2.046471534123827E-3</v>
      </c>
      <c r="Q75" s="52">
        <f t="shared" si="46"/>
        <v>0.75232357670619132</v>
      </c>
      <c r="R75" s="52">
        <f>Q75*MIN(N75,0.8*(0.85*fc_*(Agth*1000000-'KT THAN'!$D$11)+fy_*'KT THAN'!$D$11)/1000)</f>
        <v>115137.03253460496</v>
      </c>
      <c r="S75" s="52">
        <f t="shared" si="47"/>
        <v>29439.962600209856</v>
      </c>
      <c r="T75" s="52"/>
      <c r="U75" s="52">
        <f>bthan*1000*0.01*1.06^69</f>
        <v>3065.2605281534989</v>
      </c>
      <c r="V75" s="52">
        <f t="shared" si="48"/>
        <v>80977.374652761297</v>
      </c>
      <c r="W75" s="52">
        <f t="shared" si="49"/>
        <v>133871.56253724219</v>
      </c>
      <c r="X75" s="52">
        <f t="shared" si="50"/>
        <v>-2.283536343501646E-3</v>
      </c>
      <c r="Y75" s="52">
        <f t="shared" si="51"/>
        <v>0.76417681717508235</v>
      </c>
      <c r="Z75" s="52">
        <f>Y75*MIN(V75,0.8*(0.85*fc_*(Agth*1000000-'KT THAN'!$D$11)+fy_*'KT THAN'!$D$11)/1000)</f>
        <v>61881.03242534132</v>
      </c>
      <c r="AA75" s="52">
        <f t="shared" si="52"/>
        <v>102301.54456996472</v>
      </c>
      <c r="AB75" s="52"/>
      <c r="AC75" s="52">
        <f>SMALL($R$6:$R$125,ROWS($AC$6:AC75))</f>
        <v>115137.03253460496</v>
      </c>
      <c r="AD75" s="52">
        <f t="shared" si="53"/>
        <v>29439.962600209856</v>
      </c>
      <c r="AE75" s="52">
        <f>SMALL($Z$6:$Z$125,ROWS($AE$6:AE75))</f>
        <v>61881.03242534132</v>
      </c>
      <c r="AF75" s="52">
        <f t="shared" si="54"/>
        <v>102301.54456996472</v>
      </c>
      <c r="AG75" s="52">
        <f>SMALL($AK$6:$AK$125,ROWS($AG$6:AG75))</f>
        <v>9.9999999999999997E+98</v>
      </c>
      <c r="AH75" s="52">
        <f t="shared" si="55"/>
        <v>-50196.63221187015</v>
      </c>
      <c r="AI75" s="52">
        <f>SMALL($AL$6:$AL$125,ROWS($AI$6:AI75))</f>
        <v>9.9999999999999997E+98</v>
      </c>
      <c r="AJ75" s="52">
        <f t="shared" si="56"/>
        <v>-52115.252211870153</v>
      </c>
      <c r="AK75" s="52">
        <f t="shared" si="57"/>
        <v>9.9999999999999997E+98</v>
      </c>
      <c r="AL75" s="52">
        <f t="shared" si="58"/>
        <v>1.6531971197053028</v>
      </c>
      <c r="AM75" s="52">
        <f t="shared" si="59"/>
        <v>0</v>
      </c>
      <c r="AN75" s="52">
        <f t="shared" si="60"/>
        <v>1</v>
      </c>
    </row>
    <row r="76" spans="1:40" x14ac:dyDescent="0.3">
      <c r="A76" s="52">
        <v>71</v>
      </c>
      <c r="B76" s="52">
        <f>-bthan*500+(20+0.5)*bthan*1000/50</f>
        <v>-495</v>
      </c>
      <c r="C76" s="52">
        <f t="shared" si="40"/>
        <v>-770</v>
      </c>
      <c r="D76" s="52">
        <f t="shared" si="41"/>
        <v>2200</v>
      </c>
      <c r="E76" s="52">
        <f t="shared" si="42"/>
        <v>1</v>
      </c>
      <c r="F76" s="52"/>
      <c r="G76" s="52">
        <f>IF(71&lt;='KT THAN'!$C$11,71,"")</f>
        <v>71</v>
      </c>
      <c r="H76" s="52">
        <f>IF(G76="",0,2*PI()*(G76-0.5)/'KT THAN'!$C$11)</f>
        <v>2.4609142453120043</v>
      </c>
      <c r="I76" s="52">
        <f>IF(G76="",0,IF(shp=1,IF(AND(ABS(SIN(H76))&gt;0.0000001,MAX(1,hthan*500-'KT THAN'!$D$12)*ABS(COS(H76))/ABS(SIN(H76))&lt;=MAX(0,(bthan-hthan)*500)),MAX(1,hthan*500-'KT THAN'!$D$12)/ABS(SIN(H76)),MAX(0,(bthan-hthan)*500)*ABS(COS(H76))+SQRT(MAX(0,MAX(1,hthan*500-'KT THAN'!$D$12)^2-MAX(0,(bthan-hthan)*500)^2*SIN(H76)^2))),MIN((bthan*500-'KT THAN'!$D$12)/MAX(0.0000001,ABS(COS(H76))),(hthan*500-'KT THAN'!$D$12)/MAX(0.0000001,ABS(SIN(H76)))))*COS(H76))</f>
        <v>-864.42800957453539</v>
      </c>
      <c r="J76" s="52">
        <f>IF(G76="",0,IF(shp=1,IF(AND(ABS(SIN(H76))&gt;0.0000001,MAX(1,hthan*500-'KT THAN'!$D$12)*ABS(COS(H76))/ABS(SIN(H76))&lt;=MAX(0,(bthan-hthan)*500)),MAX(1,hthan*500-'KT THAN'!$D$12)/ABS(SIN(H76)),MAX(0,(bthan-hthan)*500)*ABS(COS(H76))+SQRT(MAX(0,MAX(1,hthan*500-'KT THAN'!$D$12)^2-MAX(0,(bthan-hthan)*500)^2*SIN(H76)^2))),MIN((bthan*500-'KT THAN'!$D$12)/MAX(0.0000001,ABS(COS(H76))),(hthan*500-'KT THAN'!$D$12)/MAX(0.0000001,ABS(SIN(H76)))))*SIN(H76))</f>
        <v>700</v>
      </c>
      <c r="K76" s="52">
        <f>IF(G76="",0,'KT THAN'!$D$11/'KT THAN'!$C$11)</f>
        <v>804.24771931898704</v>
      </c>
      <c r="L76" s="52"/>
      <c r="M76" s="52">
        <f>hthan*1000*0.01*1.06^70</f>
        <v>945.21488286333351</v>
      </c>
      <c r="N76" s="52">
        <f t="shared" si="43"/>
        <v>158610.88727512979</v>
      </c>
      <c r="O76" s="52">
        <f t="shared" si="44"/>
        <v>39354.552210741807</v>
      </c>
      <c r="P76" s="52">
        <f t="shared" si="45"/>
        <v>-1.7608222020036104E-3</v>
      </c>
      <c r="Q76" s="52">
        <f t="shared" si="46"/>
        <v>0.75</v>
      </c>
      <c r="R76" s="52">
        <f>Q76*MIN(N76,0.8*(0.85*fc_*(Agth*1000000-'KT THAN'!$D$11)+fy_*'KT THAN'!$D$11)/1000)</f>
        <v>118958.16545634734</v>
      </c>
      <c r="S76" s="52">
        <f t="shared" si="47"/>
        <v>29515.914158056356</v>
      </c>
      <c r="T76" s="52"/>
      <c r="U76" s="52">
        <f>bthan*1000*0.01*1.06^70</f>
        <v>3249.1761598427088</v>
      </c>
      <c r="V76" s="52">
        <f t="shared" si="48"/>
        <v>93786.955958748425</v>
      </c>
      <c r="W76" s="52">
        <f t="shared" si="49"/>
        <v>134826.9302112064</v>
      </c>
      <c r="X76" s="52">
        <f t="shared" si="50"/>
        <v>-1.9844682485864584E-3</v>
      </c>
      <c r="Y76" s="52">
        <f t="shared" si="51"/>
        <v>0.75</v>
      </c>
      <c r="Z76" s="52">
        <f>Y76*MIN(V76,0.8*(0.85*fc_*(Agth*1000000-'KT THAN'!$D$11)+fy_*'KT THAN'!$D$11)/1000)</f>
        <v>70340.216969061323</v>
      </c>
      <c r="AA76" s="52">
        <f t="shared" si="52"/>
        <v>101120.1976584048</v>
      </c>
      <c r="AB76" s="52"/>
      <c r="AC76" s="52">
        <f>SMALL($R$6:$R$125,ROWS($AC$6:AC76))</f>
        <v>118958.16545634734</v>
      </c>
      <c r="AD76" s="52">
        <f t="shared" si="53"/>
        <v>29515.914158056356</v>
      </c>
      <c r="AE76" s="52">
        <f>SMALL($Z$6:$Z$125,ROWS($AE$6:AE76))</f>
        <v>70340.216969061323</v>
      </c>
      <c r="AF76" s="52">
        <f t="shared" si="54"/>
        <v>101120.1976584048</v>
      </c>
      <c r="AG76" s="52">
        <f>SMALL($AK$6:$AK$125,ROWS($AG$6:AG76))</f>
        <v>9.9999999999999997E+98</v>
      </c>
      <c r="AH76" s="52">
        <f t="shared" si="55"/>
        <v>-50196.63221187015</v>
      </c>
      <c r="AI76" s="52">
        <f>SMALL($AL$6:$AL$125,ROWS($AI$6:AI76))</f>
        <v>9.9999999999999997E+98</v>
      </c>
      <c r="AJ76" s="52">
        <f t="shared" si="56"/>
        <v>-52115.252211870153</v>
      </c>
      <c r="AK76" s="52">
        <f t="shared" si="57"/>
        <v>0.24812011890757896</v>
      </c>
      <c r="AL76" s="52">
        <f t="shared" si="58"/>
        <v>1.4375872298329964</v>
      </c>
      <c r="AM76" s="52">
        <f t="shared" si="59"/>
        <v>1</v>
      </c>
      <c r="AN76" s="52">
        <f t="shared" si="60"/>
        <v>1</v>
      </c>
    </row>
    <row r="77" spans="1:40" x14ac:dyDescent="0.3">
      <c r="A77" s="52">
        <v>72</v>
      </c>
      <c r="B77" s="52">
        <f>-bthan*500+(21+0.5)*bthan*1000/50</f>
        <v>-385</v>
      </c>
      <c r="C77" s="52">
        <f t="shared" si="40"/>
        <v>-770</v>
      </c>
      <c r="D77" s="52">
        <f t="shared" si="41"/>
        <v>2200</v>
      </c>
      <c r="E77" s="52">
        <f t="shared" si="42"/>
        <v>1</v>
      </c>
      <c r="F77" s="52"/>
      <c r="G77" s="52">
        <f>IF(72&lt;='KT THAN'!$C$11,72,"")</f>
        <v>72</v>
      </c>
      <c r="H77" s="52">
        <f>IF(G77="",0,2*PI()*(G77-0.5)/'KT THAN'!$C$11)</f>
        <v>2.4958208303518914</v>
      </c>
      <c r="I77" s="52">
        <f>IF(G77="",0,IF(shp=1,IF(AND(ABS(SIN(H77))&gt;0.0000001,MAX(1,hthan*500-'KT THAN'!$D$12)*ABS(COS(H77))/ABS(SIN(H77))&lt;=MAX(0,(bthan-hthan)*500)),MAX(1,hthan*500-'KT THAN'!$D$12)/ABS(SIN(H77)),MAX(0,(bthan-hthan)*500)*ABS(COS(H77))+SQRT(MAX(0,MAX(1,hthan*500-'KT THAN'!$D$12)^2-MAX(0,(bthan-hthan)*500)^2*SIN(H77)^2))),MIN((bthan*500-'KT THAN'!$D$12)/MAX(0.0000001,ABS(COS(H77))),(hthan*500-'KT THAN'!$D$12)/MAX(0.0000001,ABS(SIN(H77)))))*COS(H77))</f>
        <v>-928.93137513428735</v>
      </c>
      <c r="J77" s="52">
        <f>IF(G77="",0,IF(shp=1,IF(AND(ABS(SIN(H77))&gt;0.0000001,MAX(1,hthan*500-'KT THAN'!$D$12)*ABS(COS(H77))/ABS(SIN(H77))&lt;=MAX(0,(bthan-hthan)*500)),MAX(1,hthan*500-'KT THAN'!$D$12)/ABS(SIN(H77)),MAX(0,(bthan-hthan)*500)*ABS(COS(H77))+SQRT(MAX(0,MAX(1,hthan*500-'KT THAN'!$D$12)^2-MAX(0,(bthan-hthan)*500)^2*SIN(H77)^2))),MIN((bthan*500-'KT THAN'!$D$12)/MAX(0.0000001,ABS(COS(H77))),(hthan*500-'KT THAN'!$D$12)/MAX(0.0000001,ABS(SIN(H77)))))*SIN(H77))</f>
        <v>700</v>
      </c>
      <c r="K77" s="52">
        <f>IF(G77="",0,'KT THAN'!$D$11/'KT THAN'!$C$11)</f>
        <v>804.24771931898704</v>
      </c>
      <c r="L77" s="52"/>
      <c r="M77" s="52">
        <f>hthan*1000*0.01*1.06^71</f>
        <v>1001.9277758351337</v>
      </c>
      <c r="N77" s="52">
        <f t="shared" si="43"/>
        <v>167025.88727512979</v>
      </c>
      <c r="O77" s="52">
        <f t="shared" si="44"/>
        <v>39270.402210741806</v>
      </c>
      <c r="P77" s="52">
        <f t="shared" si="45"/>
        <v>-1.491341700003405E-3</v>
      </c>
      <c r="Q77" s="52">
        <f t="shared" si="46"/>
        <v>0.75</v>
      </c>
      <c r="R77" s="52">
        <f>Q77*MIN(N77,0.8*(0.85*fc_*(Agth*1000000-'KT THAN'!$D$11)+fy_*'KT THAN'!$D$11)/1000)</f>
        <v>125269.41545634734</v>
      </c>
      <c r="S77" s="52">
        <f t="shared" si="47"/>
        <v>29452.801658056356</v>
      </c>
      <c r="T77" s="52"/>
      <c r="U77" s="52">
        <f>bthan*1000*0.01*1.06^71</f>
        <v>3444.126729433272</v>
      </c>
      <c r="V77" s="52">
        <f t="shared" si="48"/>
        <v>101871.33984861722</v>
      </c>
      <c r="W77" s="52">
        <f t="shared" si="49"/>
        <v>134592.17969215929</v>
      </c>
      <c r="X77" s="52">
        <f t="shared" si="50"/>
        <v>-1.7023285364023183E-3</v>
      </c>
      <c r="Y77" s="52">
        <f t="shared" si="51"/>
        <v>0.75</v>
      </c>
      <c r="Z77" s="52">
        <f>Y77*MIN(V77,0.8*(0.85*fc_*(Agth*1000000-'KT THAN'!$D$11)+fy_*'KT THAN'!$D$11)/1000)</f>
        <v>76403.504886462921</v>
      </c>
      <c r="AA77" s="52">
        <f t="shared" si="52"/>
        <v>100944.13476911947</v>
      </c>
      <c r="AB77" s="52"/>
      <c r="AC77" s="52">
        <f>SMALL($R$6:$R$125,ROWS($AC$6:AC77))</f>
        <v>125269.41545634734</v>
      </c>
      <c r="AD77" s="52">
        <f t="shared" si="53"/>
        <v>29452.801658056356</v>
      </c>
      <c r="AE77" s="52">
        <f>SMALL($Z$6:$Z$125,ROWS($AE$6:AE77))</f>
        <v>76403.504886462921</v>
      </c>
      <c r="AF77" s="52">
        <f t="shared" si="54"/>
        <v>100944.13476911947</v>
      </c>
      <c r="AG77" s="52">
        <f>SMALL($AK$6:$AK$125,ROWS($AG$6:AG77))</f>
        <v>9.9999999999999997E+98</v>
      </c>
      <c r="AH77" s="52">
        <f t="shared" si="55"/>
        <v>-50196.63221187015</v>
      </c>
      <c r="AI77" s="52">
        <f>SMALL($AL$6:$AL$125,ROWS($AI$6:AI77))</f>
        <v>9.9999999999999997E+98</v>
      </c>
      <c r="AJ77" s="52">
        <f t="shared" si="56"/>
        <v>-52115.252211870153</v>
      </c>
      <c r="AK77" s="52">
        <f t="shared" si="57"/>
        <v>0.23511566291550054</v>
      </c>
      <c r="AL77" s="52">
        <f t="shared" si="58"/>
        <v>1.3211976979213766</v>
      </c>
      <c r="AM77" s="52">
        <f t="shared" si="59"/>
        <v>1</v>
      </c>
      <c r="AN77" s="52">
        <f t="shared" si="60"/>
        <v>1</v>
      </c>
    </row>
    <row r="78" spans="1:40" x14ac:dyDescent="0.3">
      <c r="A78" s="52">
        <v>73</v>
      </c>
      <c r="B78" s="52">
        <f>-bthan*500+(22+0.5)*bthan*1000/50</f>
        <v>-275</v>
      </c>
      <c r="C78" s="52">
        <f t="shared" si="40"/>
        <v>-770</v>
      </c>
      <c r="D78" s="52">
        <f t="shared" si="41"/>
        <v>2200</v>
      </c>
      <c r="E78" s="52">
        <f t="shared" si="42"/>
        <v>1</v>
      </c>
      <c r="F78" s="52"/>
      <c r="G78" s="52">
        <f>IF(73&lt;='KT THAN'!$C$11,73,"")</f>
        <v>73</v>
      </c>
      <c r="H78" s="52">
        <f>IF(G78="",0,2*PI()*(G78-0.5)/'KT THAN'!$C$11)</f>
        <v>2.5307274153917776</v>
      </c>
      <c r="I78" s="52">
        <f>IF(G78="",0,IF(shp=1,IF(AND(ABS(SIN(H78))&gt;0.0000001,MAX(1,hthan*500-'KT THAN'!$D$12)*ABS(COS(H78))/ABS(SIN(H78))&lt;=MAX(0,(bthan-hthan)*500)),MAX(1,hthan*500-'KT THAN'!$D$12)/ABS(SIN(H78)),MAX(0,(bthan-hthan)*500)*ABS(COS(H78))+SQRT(MAX(0,MAX(1,hthan*500-'KT THAN'!$D$12)^2-MAX(0,(bthan-hthan)*500)^2*SIN(H78)^2))),MIN((bthan*500-'KT THAN'!$D$12)/MAX(0.0000001,ABS(COS(H78))),(hthan*500-'KT THAN'!$D$12)/MAX(0.0000001,ABS(SIN(H78)))))*COS(H78))</f>
        <v>-999.70360471947936</v>
      </c>
      <c r="J78" s="52">
        <f>IF(G78="",0,IF(shp=1,IF(AND(ABS(SIN(H78))&gt;0.0000001,MAX(1,hthan*500-'KT THAN'!$D$12)*ABS(COS(H78))/ABS(SIN(H78))&lt;=MAX(0,(bthan-hthan)*500)),MAX(1,hthan*500-'KT THAN'!$D$12)/ABS(SIN(H78)),MAX(0,(bthan-hthan)*500)*ABS(COS(H78))+SQRT(MAX(0,MAX(1,hthan*500-'KT THAN'!$D$12)^2-MAX(0,(bthan-hthan)*500)^2*SIN(H78)^2))),MIN((bthan*500-'KT THAN'!$D$12)/MAX(0.0000001,ABS(COS(H78))),(hthan*500-'KT THAN'!$D$12)/MAX(0.0000001,ABS(SIN(H78)))))*SIN(H78))</f>
        <v>700</v>
      </c>
      <c r="K78" s="52">
        <f>IF(G78="",0,'KT THAN'!$D$11/'KT THAN'!$C$11)</f>
        <v>804.24771931898704</v>
      </c>
      <c r="L78" s="52"/>
      <c r="M78" s="52">
        <f>hthan*1000*0.01*1.06^72</f>
        <v>1062.0434423852416</v>
      </c>
      <c r="N78" s="52">
        <f t="shared" si="43"/>
        <v>172594.87064144452</v>
      </c>
      <c r="O78" s="52">
        <f t="shared" si="44"/>
        <v>38935.69837884164</v>
      </c>
      <c r="P78" s="52">
        <f t="shared" si="45"/>
        <v>-1.2371148113239675E-3</v>
      </c>
      <c r="Q78" s="52">
        <f t="shared" si="46"/>
        <v>0.75</v>
      </c>
      <c r="R78" s="52">
        <f>Q78*MIN(N78,0.8*(0.85*fc_*(Agth*1000000-'KT THAN'!$D$11)+fy_*'KT THAN'!$D$11)/1000)</f>
        <v>129446.15298108339</v>
      </c>
      <c r="S78" s="52">
        <f t="shared" si="47"/>
        <v>29201.77378413123</v>
      </c>
      <c r="T78" s="52"/>
      <c r="U78" s="52">
        <f>bthan*1000*0.01*1.06^72</f>
        <v>3650.7743331992683</v>
      </c>
      <c r="V78" s="52">
        <f t="shared" si="48"/>
        <v>114128.13936771662</v>
      </c>
      <c r="W78" s="52">
        <f t="shared" si="49"/>
        <v>132679.23551629559</v>
      </c>
      <c r="X78" s="52">
        <f t="shared" si="50"/>
        <v>-1.4361589966059606E-3</v>
      </c>
      <c r="Y78" s="52">
        <f t="shared" si="51"/>
        <v>0.75</v>
      </c>
      <c r="Z78" s="52">
        <f>Y78*MIN(V78,0.8*(0.85*fc_*(Agth*1000000-'KT THAN'!$D$11)+fy_*'KT THAN'!$D$11)/1000)</f>
        <v>85596.104525787465</v>
      </c>
      <c r="AA78" s="52">
        <f t="shared" si="52"/>
        <v>99509.426637221695</v>
      </c>
      <c r="AB78" s="52"/>
      <c r="AC78" s="52">
        <f>SMALL($R$6:$R$125,ROWS($AC$6:AC78))</f>
        <v>129446.15298108339</v>
      </c>
      <c r="AD78" s="52">
        <f t="shared" si="53"/>
        <v>29201.77378413123</v>
      </c>
      <c r="AE78" s="52">
        <f>SMALL($Z$6:$Z$125,ROWS($AE$6:AE78))</f>
        <v>85596.104525787465</v>
      </c>
      <c r="AF78" s="52">
        <f t="shared" si="54"/>
        <v>99509.426637221695</v>
      </c>
      <c r="AG78" s="52">
        <f>SMALL($AK$6:$AK$125,ROWS($AG$6:AG78))</f>
        <v>9.9999999999999997E+98</v>
      </c>
      <c r="AH78" s="52">
        <f t="shared" si="55"/>
        <v>-50196.63221187015</v>
      </c>
      <c r="AI78" s="52">
        <f>SMALL($AL$6:$AL$125,ROWS($AI$6:AI78))</f>
        <v>9.9999999999999997E+98</v>
      </c>
      <c r="AJ78" s="52">
        <f t="shared" si="56"/>
        <v>-52115.252211870153</v>
      </c>
      <c r="AK78" s="52">
        <f t="shared" si="57"/>
        <v>0.2255901246319667</v>
      </c>
      <c r="AL78" s="52">
        <f t="shared" si="58"/>
        <v>1.1625462068456933</v>
      </c>
      <c r="AM78" s="52">
        <f t="shared" si="59"/>
        <v>1</v>
      </c>
      <c r="AN78" s="52">
        <f t="shared" si="60"/>
        <v>1</v>
      </c>
    </row>
    <row r="79" spans="1:40" x14ac:dyDescent="0.3">
      <c r="A79" s="52">
        <v>74</v>
      </c>
      <c r="B79" s="52">
        <f>-bthan*500+(23+0.5)*bthan*1000/50</f>
        <v>-165</v>
      </c>
      <c r="C79" s="52">
        <f t="shared" si="40"/>
        <v>-770</v>
      </c>
      <c r="D79" s="52">
        <f t="shared" si="41"/>
        <v>2200</v>
      </c>
      <c r="E79" s="52">
        <f t="shared" si="42"/>
        <v>1</v>
      </c>
      <c r="F79" s="52"/>
      <c r="G79" s="52">
        <f>IF(74&lt;='KT THAN'!$C$11,74,"")</f>
        <v>74</v>
      </c>
      <c r="H79" s="52">
        <f>IF(G79="",0,2*PI()*(G79-0.5)/'KT THAN'!$C$11)</f>
        <v>2.5656340004316647</v>
      </c>
      <c r="I79" s="52">
        <f>IF(G79="",0,IF(shp=1,IF(AND(ABS(SIN(H79))&gt;0.0000001,MAX(1,hthan*500-'KT THAN'!$D$12)*ABS(COS(H79))/ABS(SIN(H79))&lt;=MAX(0,(bthan-hthan)*500)),MAX(1,hthan*500-'KT THAN'!$D$12)/ABS(SIN(H79)),MAX(0,(bthan-hthan)*500)*ABS(COS(H79))+SQRT(MAX(0,MAX(1,hthan*500-'KT THAN'!$D$12)^2-MAX(0,(bthan-hthan)*500)^2*SIN(H79)^2))),MIN((bthan*500-'KT THAN'!$D$12)/MAX(0.0000001,ABS(COS(H79))),(hthan*500-'KT THAN'!$D$12)/MAX(0.0000001,ABS(SIN(H79)))))*COS(H79))</f>
        <v>-1077.9054746702084</v>
      </c>
      <c r="J79" s="52">
        <f>IF(G79="",0,IF(shp=1,IF(AND(ABS(SIN(H79))&gt;0.0000001,MAX(1,hthan*500-'KT THAN'!$D$12)*ABS(COS(H79))/ABS(SIN(H79))&lt;=MAX(0,(bthan-hthan)*500)),MAX(1,hthan*500-'KT THAN'!$D$12)/ABS(SIN(H79)),MAX(0,(bthan-hthan)*500)*ABS(COS(H79))+SQRT(MAX(0,MAX(1,hthan*500-'KT THAN'!$D$12)^2-MAX(0,(bthan-hthan)*500)^2*SIN(H79)^2))),MIN((bthan*500-'KT THAN'!$D$12)/MAX(0.0000001,ABS(COS(H79))),(hthan*500-'KT THAN'!$D$12)/MAX(0.0000001,ABS(SIN(H79)))))*SIN(H79))</f>
        <v>700</v>
      </c>
      <c r="K79" s="52">
        <f>IF(G79="",0,'KT THAN'!$D$11/'KT THAN'!$C$11)</f>
        <v>804.24771931898704</v>
      </c>
      <c r="L79" s="52"/>
      <c r="M79" s="52">
        <f>hthan*1000*0.01*1.06^73</f>
        <v>1125.766048928356</v>
      </c>
      <c r="N79" s="52">
        <f t="shared" si="43"/>
        <v>180968.85400775925</v>
      </c>
      <c r="O79" s="52">
        <f t="shared" si="44"/>
        <v>38015.715195051147</v>
      </c>
      <c r="P79" s="52">
        <f t="shared" si="45"/>
        <v>-9.9727812389053573E-4</v>
      </c>
      <c r="Q79" s="52">
        <f t="shared" si="46"/>
        <v>0.75</v>
      </c>
      <c r="R79" s="52">
        <f>Q79*MIN(N79,0.8*(0.85*fc_*(Agth*1000000-'KT THAN'!$D$11)+fy_*'KT THAN'!$D$11)/1000)</f>
        <v>135726.64050581944</v>
      </c>
      <c r="S79" s="52">
        <f t="shared" si="47"/>
        <v>28511.78639628836</v>
      </c>
      <c r="T79" s="52"/>
      <c r="U79" s="52">
        <f>bthan*1000*0.01*1.06^73</f>
        <v>3869.8207931912239</v>
      </c>
      <c r="V79" s="52">
        <f t="shared" si="48"/>
        <v>121705.56481595097</v>
      </c>
      <c r="W79" s="52">
        <f t="shared" si="49"/>
        <v>131031.18566788241</v>
      </c>
      <c r="X79" s="52">
        <f t="shared" si="50"/>
        <v>-1.1850556571754351E-3</v>
      </c>
      <c r="Y79" s="52">
        <f t="shared" si="51"/>
        <v>0.75</v>
      </c>
      <c r="Z79" s="52">
        <f>Y79*MIN(V79,0.8*(0.85*fc_*(Agth*1000000-'KT THAN'!$D$11)+fy_*'KT THAN'!$D$11)/1000)</f>
        <v>91279.173611963226</v>
      </c>
      <c r="AA79" s="52">
        <f t="shared" si="52"/>
        <v>98273.389250911801</v>
      </c>
      <c r="AB79" s="52"/>
      <c r="AC79" s="52">
        <f>SMALL($R$6:$R$125,ROWS($AC$6:AC79))</f>
        <v>135726.64050581944</v>
      </c>
      <c r="AD79" s="52">
        <f t="shared" si="53"/>
        <v>28511.78639628836</v>
      </c>
      <c r="AE79" s="52">
        <f>SMALL($Z$6:$Z$125,ROWS($AE$6:AE79))</f>
        <v>91279.173611963226</v>
      </c>
      <c r="AF79" s="52">
        <f t="shared" si="54"/>
        <v>98273.389250911801</v>
      </c>
      <c r="AG79" s="52">
        <f>SMALL($AK$6:$AK$125,ROWS($AG$6:AG79))</f>
        <v>9.9999999999999997E+98</v>
      </c>
      <c r="AH79" s="52">
        <f t="shared" si="55"/>
        <v>-50196.63221187015</v>
      </c>
      <c r="AI79" s="52">
        <f>SMALL($AL$6:$AL$125,ROWS($AI$6:AI79))</f>
        <v>9.9999999999999997E+98</v>
      </c>
      <c r="AJ79" s="52">
        <f t="shared" si="56"/>
        <v>-52115.252211870153</v>
      </c>
      <c r="AK79" s="52">
        <f t="shared" si="57"/>
        <v>0.21006772355104364</v>
      </c>
      <c r="AL79" s="52">
        <f t="shared" si="58"/>
        <v>1.0766244408465142</v>
      </c>
      <c r="AM79" s="52">
        <f t="shared" si="59"/>
        <v>1</v>
      </c>
      <c r="AN79" s="52">
        <f t="shared" si="60"/>
        <v>1</v>
      </c>
    </row>
    <row r="80" spans="1:40" x14ac:dyDescent="0.3">
      <c r="A80" s="52">
        <v>75</v>
      </c>
      <c r="B80" s="52">
        <f>-bthan*500+(24+0.5)*bthan*1000/50</f>
        <v>-55</v>
      </c>
      <c r="C80" s="52">
        <f t="shared" si="40"/>
        <v>-770</v>
      </c>
      <c r="D80" s="52">
        <f t="shared" si="41"/>
        <v>2200</v>
      </c>
      <c r="E80" s="52">
        <f t="shared" si="42"/>
        <v>1</v>
      </c>
      <c r="F80" s="52"/>
      <c r="G80" s="52">
        <f>IF(75&lt;='KT THAN'!$C$11,75,"")</f>
        <v>75</v>
      </c>
      <c r="H80" s="52">
        <f>IF(G80="",0,2*PI()*(G80-0.5)/'KT THAN'!$C$11)</f>
        <v>2.6005405854715509</v>
      </c>
      <c r="I80" s="52">
        <f>IF(G80="",0,IF(shp=1,IF(AND(ABS(SIN(H80))&gt;0.0000001,MAX(1,hthan*500-'KT THAN'!$D$12)*ABS(COS(H80))/ABS(SIN(H80))&lt;=MAX(0,(bthan-hthan)*500)),MAX(1,hthan*500-'KT THAN'!$D$12)/ABS(SIN(H80)),MAX(0,(bthan-hthan)*500)*ABS(COS(H80))+SQRT(MAX(0,MAX(1,hthan*500-'KT THAN'!$D$12)^2-MAX(0,(bthan-hthan)*500)^2*SIN(H80)^2))),MIN((bthan*500-'KT THAN'!$D$12)/MAX(0.0000001,ABS(COS(H80))),(hthan*500-'KT THAN'!$D$12)/MAX(0.0000001,ABS(SIN(H80)))))*COS(H80))</f>
        <v>-1164.9956376453622</v>
      </c>
      <c r="J80" s="52">
        <f>IF(G80="",0,IF(shp=1,IF(AND(ABS(SIN(H80))&gt;0.0000001,MAX(1,hthan*500-'KT THAN'!$D$12)*ABS(COS(H80))/ABS(SIN(H80))&lt;=MAX(0,(bthan-hthan)*500)),MAX(1,hthan*500-'KT THAN'!$D$12)/ABS(SIN(H80)),MAX(0,(bthan-hthan)*500)*ABS(COS(H80))+SQRT(MAX(0,MAX(1,hthan*500-'KT THAN'!$D$12)^2-MAX(0,(bthan-hthan)*500)^2*SIN(H80)^2))),MIN((bthan*500-'KT THAN'!$D$12)/MAX(0.0000001,ABS(COS(H80))),(hthan*500-'KT THAN'!$D$12)/MAX(0.0000001,ABS(SIN(H80)))))*SIN(H80))</f>
        <v>700</v>
      </c>
      <c r="K80" s="52">
        <f>IF(G80="",0,'KT THAN'!$D$11/'KT THAN'!$C$11)</f>
        <v>804.24771931898704</v>
      </c>
      <c r="L80" s="52"/>
      <c r="M80" s="52">
        <f>hthan*1000*0.01*1.06^74</f>
        <v>1193.3120118640575</v>
      </c>
      <c r="N80" s="52">
        <f t="shared" si="43"/>
        <v>189383.85400775925</v>
      </c>
      <c r="O80" s="52">
        <f t="shared" si="44"/>
        <v>36585.165195051144</v>
      </c>
      <c r="P80" s="52">
        <f t="shared" si="45"/>
        <v>-7.7101709800993918E-4</v>
      </c>
      <c r="Q80" s="52">
        <f t="shared" si="46"/>
        <v>0.75</v>
      </c>
      <c r="R80" s="52">
        <f>Q80*MIN(N80,0.8*(0.85*fc_*(Agth*1000000-'KT THAN'!$D$11)+fy_*'KT THAN'!$D$11)/1000)</f>
        <v>142037.89050581944</v>
      </c>
      <c r="S80" s="52">
        <f t="shared" si="47"/>
        <v>27438.873896288358</v>
      </c>
      <c r="T80" s="52"/>
      <c r="U80" s="52">
        <f>bthan*1000*0.01*1.06^74</f>
        <v>4102.0100407826976</v>
      </c>
      <c r="V80" s="52">
        <f t="shared" si="48"/>
        <v>133495.65585433107</v>
      </c>
      <c r="W80" s="52">
        <f t="shared" si="49"/>
        <v>126211.1084747641</v>
      </c>
      <c r="X80" s="52">
        <f t="shared" si="50"/>
        <v>-9.4816571431644806E-4</v>
      </c>
      <c r="Y80" s="52">
        <f t="shared" si="51"/>
        <v>0.75</v>
      </c>
      <c r="Z80" s="52">
        <f>Y80*MIN(V80,0.8*(0.85*fc_*(Agth*1000000-'KT THAN'!$D$11)+fy_*'KT THAN'!$D$11)/1000)</f>
        <v>100121.74189074829</v>
      </c>
      <c r="AA80" s="52">
        <f t="shared" si="52"/>
        <v>94658.331356073075</v>
      </c>
      <c r="AB80" s="52"/>
      <c r="AC80" s="52">
        <f>SMALL($R$6:$R$125,ROWS($AC$6:AC80))</f>
        <v>142037.89050581944</v>
      </c>
      <c r="AD80" s="52">
        <f t="shared" si="53"/>
        <v>27438.873896288358</v>
      </c>
      <c r="AE80" s="52">
        <f>SMALL($Z$6:$Z$125,ROWS($AE$6:AE80))</f>
        <v>100121.74189074829</v>
      </c>
      <c r="AF80" s="52">
        <f t="shared" si="54"/>
        <v>94658.331356073075</v>
      </c>
      <c r="AG80" s="52">
        <f>SMALL($AK$6:$AK$125,ROWS($AG$6:AG80))</f>
        <v>9.9999999999999997E+98</v>
      </c>
      <c r="AH80" s="52">
        <f t="shared" si="55"/>
        <v>-50196.63221187015</v>
      </c>
      <c r="AI80" s="52">
        <f>SMALL($AL$6:$AL$125,ROWS($AI$6:AI80))</f>
        <v>9.9999999999999997E+98</v>
      </c>
      <c r="AJ80" s="52">
        <f t="shared" si="56"/>
        <v>-52115.252211870153</v>
      </c>
      <c r="AK80" s="52">
        <f t="shared" si="57"/>
        <v>0.19317995922478276</v>
      </c>
      <c r="AL80" s="52">
        <f t="shared" si="58"/>
        <v>0.94543232637086128</v>
      </c>
      <c r="AM80" s="52">
        <f t="shared" si="59"/>
        <v>1</v>
      </c>
      <c r="AN80" s="52">
        <f t="shared" si="60"/>
        <v>1</v>
      </c>
    </row>
    <row r="81" spans="1:40" x14ac:dyDescent="0.3">
      <c r="A81" s="52">
        <v>76</v>
      </c>
      <c r="B81" s="52">
        <f>-bthan*500+(25+0.5)*bthan*1000/50</f>
        <v>55</v>
      </c>
      <c r="C81" s="52">
        <f t="shared" si="40"/>
        <v>-770</v>
      </c>
      <c r="D81" s="52">
        <f t="shared" si="41"/>
        <v>2200</v>
      </c>
      <c r="E81" s="52">
        <f t="shared" si="42"/>
        <v>1</v>
      </c>
      <c r="F81" s="52"/>
      <c r="G81" s="52">
        <f>IF(76&lt;='KT THAN'!$C$11,76,"")</f>
        <v>76</v>
      </c>
      <c r="H81" s="52">
        <f>IF(G81="",0,2*PI()*(G81-0.5)/'KT THAN'!$C$11)</f>
        <v>2.6354471705114375</v>
      </c>
      <c r="I81" s="52">
        <f>IF(G81="",0,IF(shp=1,IF(AND(ABS(SIN(H81))&gt;0.0000001,MAX(1,hthan*500-'KT THAN'!$D$12)*ABS(COS(H81))/ABS(SIN(H81))&lt;=MAX(0,(bthan-hthan)*500)),MAX(1,hthan*500-'KT THAN'!$D$12)/ABS(SIN(H81)),MAX(0,(bthan-hthan)*500)*ABS(COS(H81))+SQRT(MAX(0,MAX(1,hthan*500-'KT THAN'!$D$12)^2-MAX(0,(bthan-hthan)*500)^2*SIN(H81)^2))),MIN((bthan*500-'KT THAN'!$D$12)/MAX(0.0000001,ABS(COS(H81))),(hthan*500-'KT THAN'!$D$12)/MAX(0.0000001,ABS(SIN(H81)))))*COS(H81))</f>
        <v>-1262.8334286899963</v>
      </c>
      <c r="J81" s="52">
        <f>IF(G81="",0,IF(shp=1,IF(AND(ABS(SIN(H81))&gt;0.0000001,MAX(1,hthan*500-'KT THAN'!$D$12)*ABS(COS(H81))/ABS(SIN(H81))&lt;=MAX(0,(bthan-hthan)*500)),MAX(1,hthan*500-'KT THAN'!$D$12)/ABS(SIN(H81)),MAX(0,(bthan-hthan)*500)*ABS(COS(H81))+SQRT(MAX(0,MAX(1,hthan*500-'KT THAN'!$D$12)^2-MAX(0,(bthan-hthan)*500)^2*SIN(H81)^2))),MIN((bthan*500-'KT THAN'!$D$12)/MAX(0.0000001,ABS(COS(H81))),(hthan*500-'KT THAN'!$D$12)/MAX(0.0000001,ABS(SIN(H81)))))*SIN(H81))</f>
        <v>700</v>
      </c>
      <c r="K81" s="52">
        <f>IF(G81="",0,'KT THAN'!$D$11/'KT THAN'!$C$11)</f>
        <v>804.24771931898704</v>
      </c>
      <c r="L81" s="52"/>
      <c r="M81" s="52">
        <f>hthan*1000*0.01*1.06^75</f>
        <v>1264.9107325759012</v>
      </c>
      <c r="N81" s="52">
        <f t="shared" si="43"/>
        <v>197757.83737407398</v>
      </c>
      <c r="O81" s="52">
        <f t="shared" si="44"/>
        <v>34659.087106976003</v>
      </c>
      <c r="P81" s="52">
        <f t="shared" si="45"/>
        <v>-5.575633000093757E-4</v>
      </c>
      <c r="Q81" s="52">
        <f t="shared" si="46"/>
        <v>0.75</v>
      </c>
      <c r="R81" s="52">
        <f>Q81*MIN(N81,0.8*(0.85*fc_*(Agth*1000000-'KT THAN'!$D$11)+fy_*'KT THAN'!$D$11)/1000)</f>
        <v>148318.3780305555</v>
      </c>
      <c r="S81" s="52">
        <f t="shared" si="47"/>
        <v>25994.315330232002</v>
      </c>
      <c r="T81" s="52"/>
      <c r="U81" s="52">
        <f>bthan*1000*0.01*1.06^75</f>
        <v>4348.1306432296606</v>
      </c>
      <c r="V81" s="52">
        <f t="shared" si="48"/>
        <v>145045.55441072423</v>
      </c>
      <c r="W81" s="52">
        <f t="shared" si="49"/>
        <v>119427.57448124149</v>
      </c>
      <c r="X81" s="52">
        <f t="shared" si="50"/>
        <v>-7.2468463614759149E-4</v>
      </c>
      <c r="Y81" s="52">
        <f t="shared" si="51"/>
        <v>0.75</v>
      </c>
      <c r="Z81" s="52">
        <f>Y81*MIN(V81,0.8*(0.85*fc_*(Agth*1000000-'KT THAN'!$D$11)+fy_*'KT THAN'!$D$11)/1000)</f>
        <v>108784.16580804318</v>
      </c>
      <c r="AA81" s="52">
        <f t="shared" si="52"/>
        <v>89570.680860931112</v>
      </c>
      <c r="AB81" s="52"/>
      <c r="AC81" s="52">
        <f>SMALL($R$6:$R$125,ROWS($AC$6:AC81))</f>
        <v>148318.3780305555</v>
      </c>
      <c r="AD81" s="52">
        <f t="shared" si="53"/>
        <v>25994.315330232002</v>
      </c>
      <c r="AE81" s="52">
        <f>SMALL($Z$6:$Z$125,ROWS($AE$6:AE81))</f>
        <v>108784.16580804318</v>
      </c>
      <c r="AF81" s="52">
        <f t="shared" si="54"/>
        <v>89570.680860931112</v>
      </c>
      <c r="AG81" s="52">
        <f>SMALL($AK$6:$AK$125,ROWS($AG$6:AG81))</f>
        <v>9.9999999999999997E+98</v>
      </c>
      <c r="AH81" s="52">
        <f t="shared" si="55"/>
        <v>-50196.63221187015</v>
      </c>
      <c r="AI81" s="52">
        <f>SMALL($AL$6:$AL$125,ROWS($AI$6:AI81))</f>
        <v>9.9999999999999997E+98</v>
      </c>
      <c r="AJ81" s="52">
        <f t="shared" si="56"/>
        <v>-52115.252211870153</v>
      </c>
      <c r="AK81" s="52">
        <f t="shared" si="57"/>
        <v>0.17526024539505711</v>
      </c>
      <c r="AL81" s="52">
        <f t="shared" si="58"/>
        <v>0.82337976483622144</v>
      </c>
      <c r="AM81" s="52">
        <f t="shared" si="59"/>
        <v>1</v>
      </c>
      <c r="AN81" s="52">
        <f t="shared" si="60"/>
        <v>1</v>
      </c>
    </row>
    <row r="82" spans="1:40" x14ac:dyDescent="0.3">
      <c r="A82" s="52">
        <v>77</v>
      </c>
      <c r="B82" s="52">
        <f>-bthan*500+(26+0.5)*bthan*1000/50</f>
        <v>165</v>
      </c>
      <c r="C82" s="52">
        <f t="shared" si="40"/>
        <v>-770</v>
      </c>
      <c r="D82" s="52">
        <f t="shared" si="41"/>
        <v>2200</v>
      </c>
      <c r="E82" s="52">
        <f t="shared" si="42"/>
        <v>1</v>
      </c>
      <c r="F82" s="52"/>
      <c r="G82" s="52">
        <f>IF(77&lt;='KT THAN'!$C$11,77,"")</f>
        <v>77</v>
      </c>
      <c r="H82" s="52">
        <f>IF(G82="",0,2*PI()*(G82-0.5)/'KT THAN'!$C$11)</f>
        <v>2.6703537555513241</v>
      </c>
      <c r="I82" s="52">
        <f>IF(G82="",0,IF(shp=1,IF(AND(ABS(SIN(H82))&gt;0.0000001,MAX(1,hthan*500-'KT THAN'!$D$12)*ABS(COS(H82))/ABS(SIN(H82))&lt;=MAX(0,(bthan-hthan)*500)),MAX(1,hthan*500-'KT THAN'!$D$12)/ABS(SIN(H82)),MAX(0,(bthan-hthan)*500)*ABS(COS(H82))+SQRT(MAX(0,MAX(1,hthan*500-'KT THAN'!$D$12)^2-MAX(0,(bthan-hthan)*500)^2*SIN(H82)^2))),MIN((bthan*500-'KT THAN'!$D$12)/MAX(0.0000001,ABS(COS(H82))),(hthan*500-'KT THAN'!$D$12)/MAX(0.0000001,ABS(SIN(H82)))))*COS(H82))</f>
        <v>-1373.827353853605</v>
      </c>
      <c r="J82" s="52">
        <f>IF(G82="",0,IF(shp=1,IF(AND(ABS(SIN(H82))&gt;0.0000001,MAX(1,hthan*500-'KT THAN'!$D$12)*ABS(COS(H82))/ABS(SIN(H82))&lt;=MAX(0,(bthan-hthan)*500)),MAX(1,hthan*500-'KT THAN'!$D$12)/ABS(SIN(H82)),MAX(0,(bthan-hthan)*500)*ABS(COS(H82))+SQRT(MAX(0,MAX(1,hthan*500-'KT THAN'!$D$12)^2-MAX(0,(bthan-hthan)*500)^2*SIN(H82)^2))),MIN((bthan*500-'KT THAN'!$D$12)/MAX(0.0000001,ABS(COS(H82))),(hthan*500-'KT THAN'!$D$12)/MAX(0.0000001,ABS(SIN(H82)))))*SIN(H82))</f>
        <v>700</v>
      </c>
      <c r="K82" s="52">
        <f>IF(G82="",0,'KT THAN'!$D$11/'KT THAN'!$C$11)</f>
        <v>804.24771931898704</v>
      </c>
      <c r="L82" s="52"/>
      <c r="M82" s="52">
        <f>hthan*1000*0.01*1.06^76</f>
        <v>1340.8053765304553</v>
      </c>
      <c r="N82" s="52">
        <f t="shared" si="43"/>
        <v>206019.62074038872</v>
      </c>
      <c r="O82" s="52">
        <f t="shared" si="44"/>
        <v>32266.485112457736</v>
      </c>
      <c r="P82" s="52">
        <f t="shared" si="45"/>
        <v>-3.5619179246167512E-4</v>
      </c>
      <c r="Q82" s="52">
        <f t="shared" si="46"/>
        <v>0.75</v>
      </c>
      <c r="R82" s="52">
        <f>Q82*MIN(N82,0.8*(0.85*fc_*(Agth*1000000-'KT THAN'!$D$11)+fy_*'KT THAN'!$D$11)/1000)</f>
        <v>154514.71555529154</v>
      </c>
      <c r="S82" s="52">
        <f t="shared" si="47"/>
        <v>24199.863834343301</v>
      </c>
      <c r="T82" s="52"/>
      <c r="U82" s="52">
        <f>bthan*1000*0.01*1.06^76</f>
        <v>4609.0184818234402</v>
      </c>
      <c r="V82" s="52">
        <f t="shared" si="48"/>
        <v>156344.18544152327</v>
      </c>
      <c r="W82" s="52">
        <f t="shared" si="49"/>
        <v>110664.65264972464</v>
      </c>
      <c r="X82" s="52">
        <f t="shared" si="50"/>
        <v>-5.1385343032791652E-4</v>
      </c>
      <c r="Y82" s="52">
        <f t="shared" si="51"/>
        <v>0.75</v>
      </c>
      <c r="Z82" s="52">
        <f>Y82*MIN(V82,0.8*(0.85*fc_*(Agth*1000000-'KT THAN'!$D$11)+fy_*'KT THAN'!$D$11)/1000)</f>
        <v>117258.13908114245</v>
      </c>
      <c r="AA82" s="52">
        <f t="shared" si="52"/>
        <v>82998.489487293482</v>
      </c>
      <c r="AB82" s="52"/>
      <c r="AC82" s="52">
        <f>SMALL($R$6:$R$125,ROWS($AC$6:AC82))</f>
        <v>154514.71555529154</v>
      </c>
      <c r="AD82" s="52">
        <f t="shared" si="53"/>
        <v>24199.863834343301</v>
      </c>
      <c r="AE82" s="52">
        <f>SMALL($Z$6:$Z$125,ROWS($AE$6:AE82))</f>
        <v>117258.13908114245</v>
      </c>
      <c r="AF82" s="52">
        <f t="shared" si="54"/>
        <v>82998.489487293482</v>
      </c>
      <c r="AG82" s="52">
        <f>SMALL($AK$6:$AK$125,ROWS($AG$6:AG82))</f>
        <v>9.9999999999999997E+98</v>
      </c>
      <c r="AH82" s="52">
        <f t="shared" si="55"/>
        <v>-50196.63221187015</v>
      </c>
      <c r="AI82" s="52">
        <f>SMALL($AL$6:$AL$125,ROWS($AI$6:AI82))</f>
        <v>9.9999999999999997E+98</v>
      </c>
      <c r="AJ82" s="52">
        <f t="shared" si="56"/>
        <v>-52115.252211870153</v>
      </c>
      <c r="AK82" s="52">
        <f t="shared" si="57"/>
        <v>0.15661850554087597</v>
      </c>
      <c r="AL82" s="52">
        <f t="shared" si="58"/>
        <v>0.70782710810256555</v>
      </c>
      <c r="AM82" s="52">
        <f t="shared" si="59"/>
        <v>1</v>
      </c>
      <c r="AN82" s="52">
        <f t="shared" si="60"/>
        <v>1</v>
      </c>
    </row>
    <row r="83" spans="1:40" x14ac:dyDescent="0.3">
      <c r="A83" s="52">
        <v>78</v>
      </c>
      <c r="B83" s="52">
        <f>-bthan*500+(27+0.5)*bthan*1000/50</f>
        <v>275</v>
      </c>
      <c r="C83" s="52">
        <f t="shared" si="40"/>
        <v>-770</v>
      </c>
      <c r="D83" s="52">
        <f t="shared" si="41"/>
        <v>2200</v>
      </c>
      <c r="E83" s="52">
        <f t="shared" si="42"/>
        <v>1</v>
      </c>
      <c r="F83" s="52"/>
      <c r="G83" s="52">
        <f>IF(78&lt;='KT THAN'!$C$11,78,"")</f>
        <v>78</v>
      </c>
      <c r="H83" s="52">
        <f>IF(G83="",0,2*PI()*(G83-0.5)/'KT THAN'!$C$11)</f>
        <v>2.7052603405912108</v>
      </c>
      <c r="I83" s="52">
        <f>IF(G83="",0,IF(shp=1,IF(AND(ABS(SIN(H83))&gt;0.0000001,MAX(1,hthan*500-'KT THAN'!$D$12)*ABS(COS(H83))/ABS(SIN(H83))&lt;=MAX(0,(bthan-hthan)*500)),MAX(1,hthan*500-'KT THAN'!$D$12)/ABS(SIN(H83)),MAX(0,(bthan-hthan)*500)*ABS(COS(H83))+SQRT(MAX(0,MAX(1,hthan*500-'KT THAN'!$D$12)^2-MAX(0,(bthan-hthan)*500)^2*SIN(H83)^2))),MIN((bthan*500-'KT THAN'!$D$12)/MAX(0.0000001,ABS(COS(H83))),(hthan*500-'KT THAN'!$D$12)/MAX(0.0000001,ABS(SIN(H83)))))*COS(H83))</f>
        <v>-1501.1548443566908</v>
      </c>
      <c r="J83" s="52">
        <f>IF(G83="",0,IF(shp=1,IF(AND(ABS(SIN(H83))&gt;0.0000001,MAX(1,hthan*500-'KT THAN'!$D$12)*ABS(COS(H83))/ABS(SIN(H83))&lt;=MAX(0,(bthan-hthan)*500)),MAX(1,hthan*500-'KT THAN'!$D$12)/ABS(SIN(H83)),MAX(0,(bthan-hthan)*500)*ABS(COS(H83))+SQRT(MAX(0,MAX(1,hthan*500-'KT THAN'!$D$12)^2-MAX(0,(bthan-hthan)*500)^2*SIN(H83)^2))),MIN((bthan*500-'KT THAN'!$D$12)/MAX(0.0000001,ABS(COS(H83))),(hthan*500-'KT THAN'!$D$12)/MAX(0.0000001,ABS(SIN(H83)))))*SIN(H83))</f>
        <v>700</v>
      </c>
      <c r="K83" s="52">
        <f>IF(G83="",0,'KT THAN'!$D$11/'KT THAN'!$C$11)</f>
        <v>804.24771931898704</v>
      </c>
      <c r="L83" s="52"/>
      <c r="M83" s="52">
        <f>hthan*1000*0.01*1.06^77</f>
        <v>1421.2536991222828</v>
      </c>
      <c r="N83" s="52">
        <f t="shared" si="43"/>
        <v>214098.02074038872</v>
      </c>
      <c r="O83" s="52">
        <f t="shared" si="44"/>
        <v>29439.045112457738</v>
      </c>
      <c r="P83" s="52">
        <f t="shared" si="45"/>
        <v>-1.6621867213365539E-4</v>
      </c>
      <c r="Q83" s="52">
        <f t="shared" si="46"/>
        <v>0.75</v>
      </c>
      <c r="R83" s="52">
        <f>Q83*MIN(N83,0.8*(0.85*fc_*(Agth*1000000-'KT THAN'!$D$11)+fy_*'KT THAN'!$D$11)/1000)</f>
        <v>158763.07851952704</v>
      </c>
      <c r="S83" s="52">
        <f t="shared" si="47"/>
        <v>22079.283834343303</v>
      </c>
      <c r="T83" s="52"/>
      <c r="U83" s="52">
        <f>bthan*1000*0.01*1.06^77</f>
        <v>4885.559590732847</v>
      </c>
      <c r="V83" s="52">
        <f t="shared" si="48"/>
        <v>167373.40872635922</v>
      </c>
      <c r="W83" s="52">
        <f t="shared" si="49"/>
        <v>99903.274025188963</v>
      </c>
      <c r="X83" s="52">
        <f t="shared" si="50"/>
        <v>-3.1495606634709077E-4</v>
      </c>
      <c r="Y83" s="52">
        <f t="shared" si="51"/>
        <v>0.75</v>
      </c>
      <c r="Z83" s="52">
        <f>Y83*MIN(V83,0.8*(0.85*fc_*(Agth*1000000-'KT THAN'!$D$11)+fy_*'KT THAN'!$D$11)/1000)</f>
        <v>125530.05654476941</v>
      </c>
      <c r="AA83" s="52">
        <f t="shared" si="52"/>
        <v>74927.455518891715</v>
      </c>
      <c r="AB83" s="52"/>
      <c r="AC83" s="52">
        <f>SMALL($R$6:$R$125,ROWS($AC$6:AC83))</f>
        <v>158763.07851952704</v>
      </c>
      <c r="AD83" s="52">
        <f t="shared" si="53"/>
        <v>22079.283834343303</v>
      </c>
      <c r="AE83" s="52">
        <f>SMALL($Z$6:$Z$125,ROWS($AE$6:AE83))</f>
        <v>125530.05654476941</v>
      </c>
      <c r="AF83" s="52">
        <f t="shared" si="54"/>
        <v>74927.455518891715</v>
      </c>
      <c r="AG83" s="52">
        <f>SMALL($AK$6:$AK$125,ROWS($AG$6:AG83))</f>
        <v>9.9999999999999997E+98</v>
      </c>
      <c r="AH83" s="52">
        <f t="shared" si="55"/>
        <v>-50196.63221187015</v>
      </c>
      <c r="AI83" s="52">
        <f>SMALL($AL$6:$AL$125,ROWS($AI$6:AI83))</f>
        <v>9.9999999999999997E+98</v>
      </c>
      <c r="AJ83" s="52">
        <f t="shared" si="56"/>
        <v>-52115.252211870153</v>
      </c>
      <c r="AK83" s="52">
        <f t="shared" si="57"/>
        <v>0.13907064564528249</v>
      </c>
      <c r="AL83" s="52">
        <f t="shared" si="58"/>
        <v>0.59688856662124867</v>
      </c>
      <c r="AM83" s="52">
        <f t="shared" si="59"/>
        <v>1</v>
      </c>
      <c r="AN83" s="52">
        <f t="shared" si="60"/>
        <v>1</v>
      </c>
    </row>
    <row r="84" spans="1:40" x14ac:dyDescent="0.3">
      <c r="A84" s="52">
        <v>79</v>
      </c>
      <c r="B84" s="52">
        <f>-bthan*500+(28+0.5)*bthan*1000/50</f>
        <v>385</v>
      </c>
      <c r="C84" s="52">
        <f t="shared" si="40"/>
        <v>-770</v>
      </c>
      <c r="D84" s="52">
        <f t="shared" si="41"/>
        <v>2200</v>
      </c>
      <c r="E84" s="52">
        <f t="shared" si="42"/>
        <v>1</v>
      </c>
      <c r="F84" s="52"/>
      <c r="G84" s="52">
        <f>IF(79&lt;='KT THAN'!$C$11,79,"")</f>
        <v>79</v>
      </c>
      <c r="H84" s="52">
        <f>IF(G84="",0,2*PI()*(G84-0.5)/'KT THAN'!$C$11)</f>
        <v>2.740166925631097</v>
      </c>
      <c r="I84" s="52">
        <f>IF(G84="",0,IF(shp=1,IF(AND(ABS(SIN(H84))&gt;0.0000001,MAX(1,hthan*500-'KT THAN'!$D$12)*ABS(COS(H84))/ABS(SIN(H84))&lt;=MAX(0,(bthan-hthan)*500)),MAX(1,hthan*500-'KT THAN'!$D$12)/ABS(SIN(H84)),MAX(0,(bthan-hthan)*500)*ABS(COS(H84))+SQRT(MAX(0,MAX(1,hthan*500-'KT THAN'!$D$12)^2-MAX(0,(bthan-hthan)*500)^2*SIN(H84)^2))),MIN((bthan*500-'KT THAN'!$D$12)/MAX(0.0000001,ABS(COS(H84))),(hthan*500-'KT THAN'!$D$12)/MAX(0.0000001,ABS(SIN(H84)))))*COS(H84))</f>
        <v>-1649.0966560766249</v>
      </c>
      <c r="J84" s="52">
        <f>IF(G84="",0,IF(shp=1,IF(AND(ABS(SIN(H84))&gt;0.0000001,MAX(1,hthan*500-'KT THAN'!$D$12)*ABS(COS(H84))/ABS(SIN(H84))&lt;=MAX(0,(bthan-hthan)*500)),MAX(1,hthan*500-'KT THAN'!$D$12)/ABS(SIN(H84)),MAX(0,(bthan-hthan)*500)*ABS(COS(H84))+SQRT(MAX(0,MAX(1,hthan*500-'KT THAN'!$D$12)^2-MAX(0,(bthan-hthan)*500)^2*SIN(H84)^2))),MIN((bthan*500-'KT THAN'!$D$12)/MAX(0.0000001,ABS(COS(H84))),(hthan*500-'KT THAN'!$D$12)/MAX(0.0000001,ABS(SIN(H84)))))*SIN(H84))</f>
        <v>700</v>
      </c>
      <c r="K84" s="52">
        <f>IF(G84="",0,'KT THAN'!$D$11/'KT THAN'!$C$11)</f>
        <v>804.24771931898704</v>
      </c>
      <c r="L84" s="52"/>
      <c r="M84" s="52">
        <f>hthan*1000*0.01*1.06^78</f>
        <v>1506.5289210696196</v>
      </c>
      <c r="N84" s="52">
        <f t="shared" si="43"/>
        <v>224828.20410670346</v>
      </c>
      <c r="O84" s="52">
        <f t="shared" si="44"/>
        <v>24931.541655210338</v>
      </c>
      <c r="P84" s="52">
        <f t="shared" si="45"/>
        <v>1.3001252704098432E-5</v>
      </c>
      <c r="Q84" s="52">
        <f t="shared" si="46"/>
        <v>0.75</v>
      </c>
      <c r="R84" s="52">
        <f>Q84*MIN(N84,0.8*(0.85*fc_*(Agth*1000000-'KT THAN'!$D$11)+fy_*'KT THAN'!$D$11)/1000)</f>
        <v>158763.07851952704</v>
      </c>
      <c r="S84" s="52">
        <f t="shared" si="47"/>
        <v>18698.656241407753</v>
      </c>
      <c r="T84" s="52"/>
      <c r="U84" s="52">
        <f>bthan*1000*0.01*1.06^78</f>
        <v>5178.6931661768176</v>
      </c>
      <c r="V84" s="52">
        <f t="shared" si="48"/>
        <v>178064.15294856849</v>
      </c>
      <c r="W84" s="52">
        <f t="shared" si="49"/>
        <v>87185.51611686463</v>
      </c>
      <c r="X84" s="52">
        <f t="shared" si="50"/>
        <v>-1.2731704372367068E-4</v>
      </c>
      <c r="Y84" s="52">
        <f t="shared" si="51"/>
        <v>0.75</v>
      </c>
      <c r="Z84" s="52">
        <f>Y84*MIN(V84,0.8*(0.85*fc_*(Agth*1000000-'KT THAN'!$D$11)+fy_*'KT THAN'!$D$11)/1000)</f>
        <v>133548.11471142637</v>
      </c>
      <c r="AA84" s="52">
        <f t="shared" si="52"/>
        <v>65389.137087648473</v>
      </c>
      <c r="AB84" s="52"/>
      <c r="AC84" s="52">
        <f>SMALL($R$6:$R$125,ROWS($AC$6:AC84))</f>
        <v>158763.07851952704</v>
      </c>
      <c r="AD84" s="52">
        <f t="shared" si="53"/>
        <v>22079.283834343303</v>
      </c>
      <c r="AE84" s="52">
        <f>SMALL($Z$6:$Z$125,ROWS($AE$6:AE84))</f>
        <v>133548.11471142637</v>
      </c>
      <c r="AF84" s="52">
        <f t="shared" si="54"/>
        <v>65389.137087648473</v>
      </c>
      <c r="AG84" s="52">
        <f>SMALL($AK$6:$AK$125,ROWS($AG$6:AG84))</f>
        <v>9.9999999999999997E+98</v>
      </c>
      <c r="AH84" s="52">
        <f t="shared" si="55"/>
        <v>-50196.63221187015</v>
      </c>
      <c r="AI84" s="52">
        <f>SMALL($AL$6:$AL$125,ROWS($AI$6:AI84))</f>
        <v>9.9999999999999997E+98</v>
      </c>
      <c r="AJ84" s="52">
        <f t="shared" si="56"/>
        <v>-52115.252211870153</v>
      </c>
      <c r="AK84" s="52">
        <f t="shared" si="57"/>
        <v>9.9999999999999997E+98</v>
      </c>
      <c r="AL84" s="52">
        <f t="shared" si="58"/>
        <v>0.48962980292865027</v>
      </c>
      <c r="AM84" s="52">
        <f t="shared" si="59"/>
        <v>0</v>
      </c>
      <c r="AN84" s="52">
        <f t="shared" si="60"/>
        <v>1</v>
      </c>
    </row>
    <row r="85" spans="1:40" x14ac:dyDescent="0.3">
      <c r="A85" s="52">
        <v>80</v>
      </c>
      <c r="B85" s="52">
        <f>-bthan*500+(29+0.5)*bthan*1000/50</f>
        <v>495</v>
      </c>
      <c r="C85" s="52">
        <f t="shared" si="40"/>
        <v>-770</v>
      </c>
      <c r="D85" s="52">
        <f t="shared" si="41"/>
        <v>2200</v>
      </c>
      <c r="E85" s="52">
        <f t="shared" si="42"/>
        <v>1</v>
      </c>
      <c r="F85" s="52"/>
      <c r="G85" s="52">
        <f>IF(80&lt;='KT THAN'!$C$11,80,"")</f>
        <v>80</v>
      </c>
      <c r="H85" s="52">
        <f>IF(G85="",0,2*PI()*(G85-0.5)/'KT THAN'!$C$11)</f>
        <v>2.7750735106709841</v>
      </c>
      <c r="I85" s="52">
        <f>IF(G85="",0,IF(shp=1,IF(AND(ABS(SIN(H85))&gt;0.0000001,MAX(1,hthan*500-'KT THAN'!$D$12)*ABS(COS(H85))/ABS(SIN(H85))&lt;=MAX(0,(bthan-hthan)*500)),MAX(1,hthan*500-'KT THAN'!$D$12)/ABS(SIN(H85)),MAX(0,(bthan-hthan)*500)*ABS(COS(H85))+SQRT(MAX(0,MAX(1,hthan*500-'KT THAN'!$D$12)^2-MAX(0,(bthan-hthan)*500)^2*SIN(H85)^2))),MIN((bthan*500-'KT THAN'!$D$12)/MAX(0.0000001,ABS(COS(H85))),(hthan*500-'KT THAN'!$D$12)/MAX(0.0000001,ABS(SIN(H85)))))*COS(H85))</f>
        <v>-1823.5623452856614</v>
      </c>
      <c r="J85" s="52">
        <f>IF(G85="",0,IF(shp=1,IF(AND(ABS(SIN(H85))&gt;0.0000001,MAX(1,hthan*500-'KT THAN'!$D$12)*ABS(COS(H85))/ABS(SIN(H85))&lt;=MAX(0,(bthan-hthan)*500)),MAX(1,hthan*500-'KT THAN'!$D$12)/ABS(SIN(H85)),MAX(0,(bthan-hthan)*500)*ABS(COS(H85))+SQRT(MAX(0,MAX(1,hthan*500-'KT THAN'!$D$12)^2-MAX(0,(bthan-hthan)*500)^2*SIN(H85)^2))),MIN((bthan*500-'KT THAN'!$D$12)/MAX(0.0000001,ABS(COS(H85))),(hthan*500-'KT THAN'!$D$12)/MAX(0.0000001,ABS(SIN(H85)))))*SIN(H85))</f>
        <v>700</v>
      </c>
      <c r="K85" s="52">
        <f>IF(G85="",0,'KT THAN'!$D$11/'KT THAN'!$C$11)</f>
        <v>804.24771931898704</v>
      </c>
      <c r="L85" s="52"/>
      <c r="M85" s="52">
        <f>hthan*1000*0.01*1.06^79</f>
        <v>1596.9206563337973</v>
      </c>
      <c r="N85" s="52">
        <f t="shared" si="43"/>
        <v>235221.78747301819</v>
      </c>
      <c r="O85" s="52">
        <f t="shared" si="44"/>
        <v>19737.229051755388</v>
      </c>
      <c r="P85" s="52">
        <f t="shared" si="45"/>
        <v>1.8207665349443335E-4</v>
      </c>
      <c r="Q85" s="52">
        <f t="shared" si="46"/>
        <v>0.75</v>
      </c>
      <c r="R85" s="52">
        <f>Q85*MIN(N85,0.8*(0.85*fc_*(Agth*1000000-'KT THAN'!$D$11)+fy_*'KT THAN'!$D$11)/1000)</f>
        <v>158763.07851952704</v>
      </c>
      <c r="S85" s="52">
        <f t="shared" si="47"/>
        <v>14802.92178881654</v>
      </c>
      <c r="T85" s="52"/>
      <c r="U85" s="52">
        <f>bthan*1000*0.01*1.06^79</f>
        <v>5489.4147561474283</v>
      </c>
      <c r="V85" s="52">
        <f t="shared" si="48"/>
        <v>192861.95929126471</v>
      </c>
      <c r="W85" s="52">
        <f t="shared" si="49"/>
        <v>64371.832899037348</v>
      </c>
      <c r="X85" s="52">
        <f t="shared" si="50"/>
        <v>4.9700902147481388E-5</v>
      </c>
      <c r="Y85" s="52">
        <f t="shared" si="51"/>
        <v>0.75</v>
      </c>
      <c r="Z85" s="52">
        <f>Y85*MIN(V85,0.8*(0.85*fc_*(Agth*1000000-'KT THAN'!$D$11)+fy_*'KT THAN'!$D$11)/1000)</f>
        <v>144646.46946844854</v>
      </c>
      <c r="AA85" s="52">
        <f t="shared" si="52"/>
        <v>48278.874674278013</v>
      </c>
      <c r="AB85" s="52"/>
      <c r="AC85" s="52">
        <f>SMALL($R$6:$R$125,ROWS($AC$6:AC85))</f>
        <v>158763.07851952704</v>
      </c>
      <c r="AD85" s="52">
        <f t="shared" si="53"/>
        <v>22079.283834343303</v>
      </c>
      <c r="AE85" s="52">
        <f>SMALL($Z$6:$Z$125,ROWS($AE$6:AE85))</f>
        <v>144646.46946844854</v>
      </c>
      <c r="AF85" s="52">
        <f t="shared" si="54"/>
        <v>48278.874674278013</v>
      </c>
      <c r="AG85" s="52">
        <f>SMALL($AK$6:$AK$125,ROWS($AG$6:AG85))</f>
        <v>9.9999999999999997E+98</v>
      </c>
      <c r="AH85" s="52">
        <f t="shared" si="55"/>
        <v>-50196.63221187015</v>
      </c>
      <c r="AI85" s="52">
        <f>SMALL($AL$6:$AL$125,ROWS($AI$6:AI85))</f>
        <v>9.9999999999999997E+98</v>
      </c>
      <c r="AJ85" s="52">
        <f t="shared" si="56"/>
        <v>-52115.252211870153</v>
      </c>
      <c r="AK85" s="52">
        <f t="shared" si="57"/>
        <v>9.9999999999999997E+98</v>
      </c>
      <c r="AL85" s="52">
        <f t="shared" si="58"/>
        <v>0.33377153864656883</v>
      </c>
      <c r="AM85" s="52">
        <f t="shared" si="59"/>
        <v>0</v>
      </c>
      <c r="AN85" s="52">
        <f t="shared" si="60"/>
        <v>1</v>
      </c>
    </row>
    <row r="86" spans="1:40" x14ac:dyDescent="0.3">
      <c r="A86" s="52">
        <v>81</v>
      </c>
      <c r="B86" s="52">
        <f>-bthan*500+(30+0.5)*bthan*1000/50</f>
        <v>605</v>
      </c>
      <c r="C86" s="52">
        <f t="shared" si="40"/>
        <v>-770</v>
      </c>
      <c r="D86" s="52">
        <f t="shared" si="41"/>
        <v>2200</v>
      </c>
      <c r="E86" s="52">
        <f t="shared" si="42"/>
        <v>1</v>
      </c>
      <c r="F86" s="52"/>
      <c r="G86" s="52">
        <f>IF(81&lt;='KT THAN'!$C$11,81,"")</f>
        <v>81</v>
      </c>
      <c r="H86" s="52">
        <f>IF(G86="",0,2*PI()*(G86-0.5)/'KT THAN'!$C$11)</f>
        <v>2.8099800957108703</v>
      </c>
      <c r="I86" s="52">
        <f>IF(G86="",0,IF(shp=1,IF(AND(ABS(SIN(H86))&gt;0.0000001,MAX(1,hthan*500-'KT THAN'!$D$12)*ABS(COS(H86))/ABS(SIN(H86))&lt;=MAX(0,(bthan-hthan)*500)),MAX(1,hthan*500-'KT THAN'!$D$12)/ABS(SIN(H86)),MAX(0,(bthan-hthan)*500)*ABS(COS(H86))+SQRT(MAX(0,MAX(1,hthan*500-'KT THAN'!$D$12)^2-MAX(0,(bthan-hthan)*500)^2*SIN(H86)^2))),MIN((bthan*500-'KT THAN'!$D$12)/MAX(0.0000001,ABS(COS(H86))),(hthan*500-'KT THAN'!$D$12)/MAX(0.0000001,ABS(SIN(H86)))))*COS(H86))</f>
        <v>-2022.12697573483</v>
      </c>
      <c r="J86" s="52">
        <f>IF(G86="",0,IF(shp=1,IF(AND(ABS(SIN(H86))&gt;0.0000001,MAX(1,hthan*500-'KT THAN'!$D$12)*ABS(COS(H86))/ABS(SIN(H86))&lt;=MAX(0,(bthan-hthan)*500)),MAX(1,hthan*500-'KT THAN'!$D$12)/ABS(SIN(H86)),MAX(0,(bthan-hthan)*500)*ABS(COS(H86))+SQRT(MAX(0,MAX(1,hthan*500-'KT THAN'!$D$12)^2-MAX(0,(bthan-hthan)*500)^2*SIN(H86)^2))),MIN((bthan*500-'KT THAN'!$D$12)/MAX(0.0000001,ABS(COS(H86))),(hthan*500-'KT THAN'!$D$12)/MAX(0.0000001,ABS(SIN(H86)))))*SIN(H86))</f>
        <v>696.27415532342366</v>
      </c>
      <c r="K86" s="52">
        <f>IF(G86="",0,'KT THAN'!$D$11/'KT THAN'!$C$11)</f>
        <v>804.24771931898704</v>
      </c>
      <c r="L86" s="52"/>
      <c r="M86" s="52">
        <f>hthan*1000*0.01*1.06^80</f>
        <v>1692.7358957138247</v>
      </c>
      <c r="N86" s="52">
        <f t="shared" si="43"/>
        <v>245349.95420564763</v>
      </c>
      <c r="O86" s="52">
        <f t="shared" si="44"/>
        <v>13866.388256871876</v>
      </c>
      <c r="P86" s="52">
        <f t="shared" si="45"/>
        <v>3.4158174857965343E-4</v>
      </c>
      <c r="Q86" s="52">
        <f t="shared" si="46"/>
        <v>0.75</v>
      </c>
      <c r="R86" s="52">
        <f>Q86*MIN(N86,0.8*(0.85*fc_*(Agth*1000000-'KT THAN'!$D$11)+fy_*'KT THAN'!$D$11)/1000)</f>
        <v>158763.07851952704</v>
      </c>
      <c r="S86" s="52">
        <f t="shared" si="47"/>
        <v>10399.791192653907</v>
      </c>
      <c r="T86" s="52"/>
      <c r="U86" s="52">
        <f>bthan*1000*0.01*1.06^80</f>
        <v>5818.779641516272</v>
      </c>
      <c r="V86" s="52">
        <f t="shared" si="48"/>
        <v>202929.16618072105</v>
      </c>
      <c r="W86" s="52">
        <f t="shared" si="49"/>
        <v>46682.293740466164</v>
      </c>
      <c r="X86" s="52">
        <f t="shared" si="50"/>
        <v>2.1669896429007583E-4</v>
      </c>
      <c r="Y86" s="52">
        <f t="shared" si="51"/>
        <v>0.75</v>
      </c>
      <c r="Z86" s="52">
        <f>Y86*MIN(V86,0.8*(0.85*fc_*(Agth*1000000-'KT THAN'!$D$11)+fy_*'KT THAN'!$D$11)/1000)</f>
        <v>152196.87463554079</v>
      </c>
      <c r="AA86" s="52">
        <f t="shared" si="52"/>
        <v>35011.72030534962</v>
      </c>
      <c r="AB86" s="52"/>
      <c r="AC86" s="52">
        <f>SMALL($R$6:$R$125,ROWS($AC$6:AC86))</f>
        <v>158763.07851952704</v>
      </c>
      <c r="AD86" s="52">
        <f t="shared" si="53"/>
        <v>22079.283834343303</v>
      </c>
      <c r="AE86" s="52">
        <f>SMALL($Z$6:$Z$125,ROWS($AE$6:AE86))</f>
        <v>152196.87463554079</v>
      </c>
      <c r="AF86" s="52">
        <f t="shared" si="54"/>
        <v>35011.72030534962</v>
      </c>
      <c r="AG86" s="52">
        <f>SMALL($AK$6:$AK$125,ROWS($AG$6:AG86))</f>
        <v>9.9999999999999997E+98</v>
      </c>
      <c r="AH86" s="52">
        <f t="shared" si="55"/>
        <v>-50196.63221187015</v>
      </c>
      <c r="AI86" s="52">
        <f>SMALL($AL$6:$AL$125,ROWS($AI$6:AI86))</f>
        <v>9.9999999999999997E+98</v>
      </c>
      <c r="AJ86" s="52">
        <f t="shared" si="56"/>
        <v>-52115.252211870153</v>
      </c>
      <c r="AK86" s="52">
        <f t="shared" si="57"/>
        <v>9.9999999999999997E+98</v>
      </c>
      <c r="AL86" s="52">
        <f t="shared" si="58"/>
        <v>0.23004230795928404</v>
      </c>
      <c r="AM86" s="52">
        <f t="shared" si="59"/>
        <v>0</v>
      </c>
      <c r="AN86" s="52">
        <f t="shared" si="60"/>
        <v>1</v>
      </c>
    </row>
    <row r="87" spans="1:40" x14ac:dyDescent="0.3">
      <c r="A87" s="52">
        <v>82</v>
      </c>
      <c r="B87" s="52">
        <f>-bthan*500+(31+0.5)*bthan*1000/50</f>
        <v>715</v>
      </c>
      <c r="C87" s="52">
        <f t="shared" si="40"/>
        <v>-770</v>
      </c>
      <c r="D87" s="52">
        <f t="shared" si="41"/>
        <v>2200</v>
      </c>
      <c r="E87" s="52">
        <f t="shared" si="42"/>
        <v>1</v>
      </c>
      <c r="F87" s="52"/>
      <c r="G87" s="52">
        <f>IF(82&lt;='KT THAN'!$C$11,82,"")</f>
        <v>82</v>
      </c>
      <c r="H87" s="52">
        <f>IF(G87="",0,2*PI()*(G87-0.5)/'KT THAN'!$C$11)</f>
        <v>2.8448866807507569</v>
      </c>
      <c r="I87" s="52">
        <f>IF(G87="",0,IF(shp=1,IF(AND(ABS(SIN(H87))&gt;0.0000001,MAX(1,hthan*500-'KT THAN'!$D$12)*ABS(COS(H87))/ABS(SIN(H87))&lt;=MAX(0,(bthan-hthan)*500)),MAX(1,hthan*500-'KT THAN'!$D$12)/ABS(SIN(H87)),MAX(0,(bthan-hthan)*500)*ABS(COS(H87))+SQRT(MAX(0,MAX(1,hthan*500-'KT THAN'!$D$12)^2-MAX(0,(bthan-hthan)*500)^2*SIN(H87)^2))),MIN((bthan*500-'KT THAN'!$D$12)/MAX(0.0000001,ABS(COS(H87))),(hthan*500-'KT THAN'!$D$12)/MAX(0.0000001,ABS(SIN(H87)))))*COS(H87))</f>
        <v>-2171.7146477878928</v>
      </c>
      <c r="J87" s="52">
        <f>IF(G87="",0,IF(shp=1,IF(AND(ABS(SIN(H87))&gt;0.0000001,MAX(1,hthan*500-'KT THAN'!$D$12)*ABS(COS(H87))/ABS(SIN(H87))&lt;=MAX(0,(bthan-hthan)*500)),MAX(1,hthan*500-'KT THAN'!$D$12)/ABS(SIN(H87)),MAX(0,(bthan-hthan)*500)*ABS(COS(H87))+SQRT(MAX(0,MAX(1,hthan*500-'KT THAN'!$D$12)^2-MAX(0,(bthan-hthan)*500)^2*SIN(H87)^2))),MIN((bthan*500-'KT THAN'!$D$12)/MAX(0.0000001,ABS(COS(H87))),(hthan*500-'KT THAN'!$D$12)/MAX(0.0000001,ABS(SIN(H87)))))*SIN(H87))</f>
        <v>663.95979920194782</v>
      </c>
      <c r="K87" s="52">
        <f>IF(G87="",0,'KT THAN'!$D$11/'KT THAN'!$C$11)</f>
        <v>804.24771931898704</v>
      </c>
      <c r="L87" s="52"/>
      <c r="M87" s="52">
        <f>hthan*1000*0.01*1.06^81</f>
        <v>1794.3000494566545</v>
      </c>
      <c r="N87" s="52">
        <f t="shared" si="43"/>
        <v>255029.32093827712</v>
      </c>
      <c r="O87" s="52">
        <f t="shared" si="44"/>
        <v>7483.0224747109069</v>
      </c>
      <c r="P87" s="52">
        <f t="shared" si="45"/>
        <v>4.92058253377032E-4</v>
      </c>
      <c r="Q87" s="52">
        <f t="shared" si="46"/>
        <v>0.75</v>
      </c>
      <c r="R87" s="52">
        <f>Q87*MIN(N87,0.8*(0.85*fc_*(Agth*1000000-'KT THAN'!$D$11)+fy_*'KT THAN'!$D$11)/1000)</f>
        <v>158763.07851952704</v>
      </c>
      <c r="S87" s="52">
        <f t="shared" si="47"/>
        <v>5612.2668560331804</v>
      </c>
      <c r="T87" s="52"/>
      <c r="U87" s="52">
        <f>bthan*1000*0.01*1.06^81</f>
        <v>6167.9064200072498</v>
      </c>
      <c r="V87" s="52">
        <f t="shared" si="48"/>
        <v>217073.73909599663</v>
      </c>
      <c r="W87" s="52">
        <f t="shared" si="49"/>
        <v>19193.448937688678</v>
      </c>
      <c r="X87" s="52">
        <f t="shared" si="50"/>
        <v>3.7424430593403443E-4</v>
      </c>
      <c r="Y87" s="52">
        <f t="shared" si="51"/>
        <v>0.75</v>
      </c>
      <c r="Z87" s="52">
        <f>Y87*MIN(V87,0.8*(0.85*fc_*(Agth*1000000-'KT THAN'!$D$11)+fy_*'KT THAN'!$D$11)/1000)</f>
        <v>158763.07851952704</v>
      </c>
      <c r="AA87" s="52">
        <f t="shared" si="52"/>
        <v>14395.086703266508</v>
      </c>
      <c r="AB87" s="52"/>
      <c r="AC87" s="52">
        <f>SMALL($R$6:$R$125,ROWS($AC$6:AC87))</f>
        <v>158763.07851952704</v>
      </c>
      <c r="AD87" s="52">
        <f t="shared" si="53"/>
        <v>22079.283834343303</v>
      </c>
      <c r="AE87" s="52">
        <f>SMALL($Z$6:$Z$125,ROWS($AE$6:AE87))</f>
        <v>158763.07851952704</v>
      </c>
      <c r="AF87" s="52">
        <f t="shared" si="54"/>
        <v>14395.086703266508</v>
      </c>
      <c r="AG87" s="52">
        <f>SMALL($AK$6:$AK$125,ROWS($AG$6:AG87))</f>
        <v>9.9999999999999997E+98</v>
      </c>
      <c r="AH87" s="52">
        <f t="shared" si="55"/>
        <v>-50196.63221187015</v>
      </c>
      <c r="AI87" s="52">
        <f>SMALL($AL$6:$AL$125,ROWS($AI$6:AI87))</f>
        <v>9.9999999999999997E+98</v>
      </c>
      <c r="AJ87" s="52">
        <f t="shared" si="56"/>
        <v>-52115.252211870153</v>
      </c>
      <c r="AK87" s="52">
        <f t="shared" si="57"/>
        <v>9.9999999999999997E+98</v>
      </c>
      <c r="AL87" s="52">
        <f t="shared" si="58"/>
        <v>9.0670241705447824E-2</v>
      </c>
      <c r="AM87" s="52">
        <f t="shared" si="59"/>
        <v>0</v>
      </c>
      <c r="AN87" s="52">
        <f t="shared" si="60"/>
        <v>1</v>
      </c>
    </row>
    <row r="88" spans="1:40" x14ac:dyDescent="0.3">
      <c r="A88" s="52">
        <v>83</v>
      </c>
      <c r="B88" s="52">
        <f>-bthan*500+(32+0.5)*bthan*1000/50</f>
        <v>825</v>
      </c>
      <c r="C88" s="52">
        <f t="shared" ref="C88:C105" si="61">-hthan*500+(1+0.5)*hthan*1000/80</f>
        <v>-770</v>
      </c>
      <c r="D88" s="52">
        <f t="shared" si="41"/>
        <v>2200</v>
      </c>
      <c r="E88" s="52">
        <f t="shared" si="42"/>
        <v>1</v>
      </c>
      <c r="F88" s="52"/>
      <c r="G88" s="52">
        <f>IF(83&lt;='KT THAN'!$C$11,83,"")</f>
        <v>83</v>
      </c>
      <c r="H88" s="52">
        <f>IF(G88="",0,2*PI()*(G88-0.5)/'KT THAN'!$C$11)</f>
        <v>2.8797932657906435</v>
      </c>
      <c r="I88" s="52">
        <f>IF(G88="",0,IF(shp=1,IF(AND(ABS(SIN(H88))&gt;0.0000001,MAX(1,hthan*500-'KT THAN'!$D$12)*ABS(COS(H88))/ABS(SIN(H88))&lt;=MAX(0,(bthan-hthan)*500)),MAX(1,hthan*500-'KT THAN'!$D$12)/ABS(SIN(H88)),MAX(0,(bthan-hthan)*500)*ABS(COS(H88))+SQRT(MAX(0,MAX(1,hthan*500-'KT THAN'!$D$12)^2-MAX(0,(bthan-hthan)*500)^2*SIN(H88)^2))),MIN((bthan*500-'KT THAN'!$D$12)/MAX(0.0000001,ABS(COS(H88))),(hthan*500-'KT THAN'!$D$12)/MAX(0.0000001,ABS(SIN(H88)))))*COS(H88))</f>
        <v>-2287.9043557248269</v>
      </c>
      <c r="J88" s="52">
        <f>IF(G88="",0,IF(shp=1,IF(AND(ABS(SIN(H88))&gt;0.0000001,MAX(1,hthan*500-'KT THAN'!$D$12)*ABS(COS(H88))/ABS(SIN(H88))&lt;=MAX(0,(bthan-hthan)*500)),MAX(1,hthan*500-'KT THAN'!$D$12)/ABS(SIN(H88)),MAX(0,(bthan-hthan)*500)*ABS(COS(H88))+SQRT(MAX(0,MAX(1,hthan*500-'KT THAN'!$D$12)^2-MAX(0,(bthan-hthan)*500)^2*SIN(H88)^2))),MIN((bthan*500-'KT THAN'!$D$12)/MAX(0.0000001,ABS(COS(H88))),(hthan*500-'KT THAN'!$D$12)/MAX(0.0000001,ABS(SIN(H88)))))*SIN(H88))</f>
        <v>613.0421244761161</v>
      </c>
      <c r="K88" s="52">
        <f>IF(G88="",0,'KT THAN'!$D$11/'KT THAN'!$C$11)</f>
        <v>804.24771931898704</v>
      </c>
      <c r="L88" s="52"/>
      <c r="M88" s="52">
        <f>hthan*1000*0.01*1.06^82</f>
        <v>1901.9580524240537</v>
      </c>
      <c r="N88" s="52">
        <f t="shared" si="43"/>
        <v>262794.13875929295</v>
      </c>
      <c r="O88" s="52">
        <f t="shared" si="44"/>
        <v>1684.1219999999946</v>
      </c>
      <c r="P88" s="52">
        <f t="shared" si="45"/>
        <v>6.340172201670111E-4</v>
      </c>
      <c r="Q88" s="52">
        <f t="shared" si="46"/>
        <v>0.75</v>
      </c>
      <c r="R88" s="52">
        <f>Q88*MIN(N88,0.8*(0.85*fc_*(Agth*1000000-'KT THAN'!$D$11)+fy_*'KT THAN'!$D$11)/1000)</f>
        <v>158763.07851952704</v>
      </c>
      <c r="S88" s="52">
        <f t="shared" si="47"/>
        <v>1263.0914999999959</v>
      </c>
      <c r="T88" s="52"/>
      <c r="U88" s="52">
        <f>bthan*1000*0.01*1.06^82</f>
        <v>6537.9808052076842</v>
      </c>
      <c r="V88" s="52">
        <f t="shared" si="48"/>
        <v>226949.0037587187</v>
      </c>
      <c r="W88" s="52">
        <f t="shared" si="49"/>
        <v>1.9371509552001951E-12</v>
      </c>
      <c r="X88" s="52">
        <f t="shared" si="50"/>
        <v>5.2287198673022092E-4</v>
      </c>
      <c r="Y88" s="52">
        <f t="shared" si="51"/>
        <v>0.75</v>
      </c>
      <c r="Z88" s="52">
        <f>Y88*MIN(V88,0.8*(0.85*fc_*(Agth*1000000-'KT THAN'!$D$11)+fy_*'KT THAN'!$D$11)/1000)</f>
        <v>158763.07851952704</v>
      </c>
      <c r="AA88" s="52">
        <f t="shared" si="52"/>
        <v>1.4528632164001463E-12</v>
      </c>
      <c r="AB88" s="52"/>
      <c r="AC88" s="52">
        <f>SMALL($R$6:$R$125,ROWS($AC$6:AC88))</f>
        <v>158763.07851952704</v>
      </c>
      <c r="AD88" s="52">
        <f t="shared" si="53"/>
        <v>22079.283834343303</v>
      </c>
      <c r="AE88" s="52">
        <f>SMALL($Z$6:$Z$125,ROWS($AE$6:AE88))</f>
        <v>158763.07851952704</v>
      </c>
      <c r="AF88" s="52">
        <f t="shared" si="54"/>
        <v>14395.086703266508</v>
      </c>
      <c r="AG88" s="52">
        <f>SMALL($AK$6:$AK$125,ROWS($AG$6:AG88))</f>
        <v>9.9999999999999997E+98</v>
      </c>
      <c r="AH88" s="52">
        <f t="shared" si="55"/>
        <v>-50196.63221187015</v>
      </c>
      <c r="AI88" s="52">
        <f>SMALL($AL$6:$AL$125,ROWS($AI$6:AI88))</f>
        <v>9.9999999999999997E+98</v>
      </c>
      <c r="AJ88" s="52">
        <f t="shared" si="56"/>
        <v>-52115.252211870153</v>
      </c>
      <c r="AK88" s="52">
        <f t="shared" si="57"/>
        <v>9.9999999999999997E+98</v>
      </c>
      <c r="AL88" s="52">
        <f t="shared" si="58"/>
        <v>9.9999999999999997E+98</v>
      </c>
      <c r="AM88" s="52">
        <f t="shared" si="59"/>
        <v>0</v>
      </c>
      <c r="AN88" s="52">
        <f t="shared" si="60"/>
        <v>0</v>
      </c>
    </row>
    <row r="89" spans="1:40" x14ac:dyDescent="0.3">
      <c r="A89" s="52">
        <v>84</v>
      </c>
      <c r="B89" s="52">
        <f>-bthan*500+(33+0.5)*bthan*1000/50</f>
        <v>935</v>
      </c>
      <c r="C89" s="52">
        <f t="shared" si="61"/>
        <v>-770</v>
      </c>
      <c r="D89" s="52">
        <f t="shared" si="41"/>
        <v>2200</v>
      </c>
      <c r="E89" s="52">
        <f t="shared" si="42"/>
        <v>1</v>
      </c>
      <c r="F89" s="52"/>
      <c r="G89" s="52">
        <f>IF(84&lt;='KT THAN'!$C$11,84,"")</f>
        <v>84</v>
      </c>
      <c r="H89" s="52">
        <f>IF(G89="",0,2*PI()*(G89-0.5)/'KT THAN'!$C$11)</f>
        <v>2.9146998508305306</v>
      </c>
      <c r="I89" s="52">
        <f>IF(G89="",0,IF(shp=1,IF(AND(ABS(SIN(H89))&gt;0.0000001,MAX(1,hthan*500-'KT THAN'!$D$12)*ABS(COS(H89))/ABS(SIN(H89))&lt;=MAX(0,(bthan-hthan)*500)),MAX(1,hthan*500-'KT THAN'!$D$12)/ABS(SIN(H89)),MAX(0,(bthan-hthan)*500)*ABS(COS(H89))+SQRT(MAX(0,MAX(1,hthan*500-'KT THAN'!$D$12)^2-MAX(0,(bthan-hthan)*500)^2*SIN(H89)^2))),MIN((bthan*500-'KT THAN'!$D$12)/MAX(0.0000001,ABS(COS(H89))),(hthan*500-'KT THAN'!$D$12)/MAX(0.0000001,ABS(SIN(H89)))))*COS(H89))</f>
        <v>-2382.853720506012</v>
      </c>
      <c r="J89" s="52">
        <f>IF(G89="",0,IF(shp=1,IF(AND(ABS(SIN(H89))&gt;0.0000001,MAX(1,hthan*500-'KT THAN'!$D$12)*ABS(COS(H89))/ABS(SIN(H89))&lt;=MAX(0,(bthan-hthan)*500)),MAX(1,hthan*500-'KT THAN'!$D$12)/ABS(SIN(H89)),MAX(0,(bthan-hthan)*500)*ABS(COS(H89))+SQRT(MAX(0,MAX(1,hthan*500-'KT THAN'!$D$12)^2-MAX(0,(bthan-hthan)*500)^2*SIN(H89)^2))),MIN((bthan*500-'KT THAN'!$D$12)/MAX(0.0000001,ABS(COS(H89))),(hthan*500-'KT THAN'!$D$12)/MAX(0.0000001,ABS(SIN(H89)))))*SIN(H89))</f>
        <v>550.12512817004051</v>
      </c>
      <c r="K89" s="52">
        <f>IF(G89="",0,'KT THAN'!$D$11/'KT THAN'!$C$11)</f>
        <v>804.24771931898704</v>
      </c>
      <c r="L89" s="52"/>
      <c r="M89" s="52">
        <f>hthan*1000*0.01*1.06^83</f>
        <v>2016.0755355694971</v>
      </c>
      <c r="N89" s="52">
        <f t="shared" si="43"/>
        <v>264925.93875929294</v>
      </c>
      <c r="O89" s="52">
        <f t="shared" si="44"/>
        <v>5.4724514484405519E-12</v>
      </c>
      <c r="P89" s="52">
        <f t="shared" si="45"/>
        <v>7.679407737424636E-4</v>
      </c>
      <c r="Q89" s="52">
        <f t="shared" si="46"/>
        <v>0.75</v>
      </c>
      <c r="R89" s="52">
        <f>Q89*MIN(N89,0.8*(0.85*fc_*(Agth*1000000-'KT THAN'!$D$11)+fy_*'KT THAN'!$D$11)/1000)</f>
        <v>158763.07851952704</v>
      </c>
      <c r="S89" s="52">
        <f t="shared" si="47"/>
        <v>4.1043385863304141E-12</v>
      </c>
      <c r="T89" s="52"/>
      <c r="U89" s="52">
        <f>bthan*1000*0.01*1.06^83</f>
        <v>6930.2596535201465</v>
      </c>
      <c r="V89" s="52">
        <f t="shared" si="48"/>
        <v>229547.46081861074</v>
      </c>
      <c r="W89" s="52">
        <f t="shared" si="49"/>
        <v>6.5565109252929686E-13</v>
      </c>
      <c r="X89" s="52">
        <f t="shared" si="50"/>
        <v>6.6308677993417108E-4</v>
      </c>
      <c r="Y89" s="52">
        <f t="shared" si="51"/>
        <v>0.75</v>
      </c>
      <c r="Z89" s="52">
        <f>Y89*MIN(V89,0.8*(0.85*fc_*(Agth*1000000-'KT THAN'!$D$11)+fy_*'KT THAN'!$D$11)/1000)</f>
        <v>158763.07851952704</v>
      </c>
      <c r="AA89" s="52">
        <f t="shared" si="52"/>
        <v>4.9173831939697269E-13</v>
      </c>
      <c r="AB89" s="52"/>
      <c r="AC89" s="52">
        <f>SMALL($R$6:$R$125,ROWS($AC$6:AC89))</f>
        <v>158763.07851952704</v>
      </c>
      <c r="AD89" s="52">
        <f t="shared" si="53"/>
        <v>22079.283834343303</v>
      </c>
      <c r="AE89" s="52">
        <f>SMALL($Z$6:$Z$125,ROWS($AE$6:AE89))</f>
        <v>158763.07851952704</v>
      </c>
      <c r="AF89" s="52">
        <f t="shared" si="54"/>
        <v>14395.086703266508</v>
      </c>
      <c r="AG89" s="52">
        <f>SMALL($AK$6:$AK$125,ROWS($AG$6:AG89))</f>
        <v>9.9999999999999997E+98</v>
      </c>
      <c r="AH89" s="52">
        <f t="shared" si="55"/>
        <v>-50196.63221187015</v>
      </c>
      <c r="AI89" s="52">
        <f>SMALL($AL$6:$AL$125,ROWS($AI$6:AI89))</f>
        <v>9.9999999999999997E+98</v>
      </c>
      <c r="AJ89" s="52">
        <f t="shared" si="56"/>
        <v>-52115.252211870153</v>
      </c>
      <c r="AK89" s="52">
        <f t="shared" si="57"/>
        <v>9.9999999999999997E+98</v>
      </c>
      <c r="AL89" s="52">
        <f t="shared" si="58"/>
        <v>9.9999999999999997E+98</v>
      </c>
      <c r="AM89" s="52">
        <f t="shared" si="59"/>
        <v>0</v>
      </c>
      <c r="AN89" s="52">
        <f t="shared" si="60"/>
        <v>0</v>
      </c>
    </row>
    <row r="90" spans="1:40" x14ac:dyDescent="0.3">
      <c r="A90" s="52">
        <v>85</v>
      </c>
      <c r="B90" s="52">
        <f>-bthan*500+(34+0.5)*bthan*1000/50</f>
        <v>1045</v>
      </c>
      <c r="C90" s="52">
        <f t="shared" si="61"/>
        <v>-770</v>
      </c>
      <c r="D90" s="52">
        <f t="shared" si="41"/>
        <v>2200</v>
      </c>
      <c r="E90" s="52">
        <f t="shared" si="42"/>
        <v>1</v>
      </c>
      <c r="F90" s="52"/>
      <c r="G90" s="52">
        <f>IF(85&lt;='KT THAN'!$C$11,85,"")</f>
        <v>85</v>
      </c>
      <c r="H90" s="52">
        <f>IF(G90="",0,2*PI()*(G90-0.5)/'KT THAN'!$C$11)</f>
        <v>2.9496064358704168</v>
      </c>
      <c r="I90" s="52">
        <f>IF(G90="",0,IF(shp=1,IF(AND(ABS(SIN(H90))&gt;0.0000001,MAX(1,hthan*500-'KT THAN'!$D$12)*ABS(COS(H90))/ABS(SIN(H90))&lt;=MAX(0,(bthan-hthan)*500)),MAX(1,hthan*500-'KT THAN'!$D$12)/ABS(SIN(H90)),MAX(0,(bthan-hthan)*500)*ABS(COS(H90))+SQRT(MAX(0,MAX(1,hthan*500-'KT THAN'!$D$12)^2-MAX(0,(bthan-hthan)*500)^2*SIN(H90)^2))),MIN((bthan*500-'KT THAN'!$D$12)/MAX(0.0000001,ABS(COS(H90))),(hthan*500-'KT THAN'!$D$12)/MAX(0.0000001,ABS(SIN(H90)))))*COS(H90))</f>
        <v>-2461.034105562122</v>
      </c>
      <c r="J90" s="52">
        <f>IF(G90="",0,IF(shp=1,IF(AND(ABS(SIN(H90))&gt;0.0000001,MAX(1,hthan*500-'KT THAN'!$D$12)*ABS(COS(H90))/ABS(SIN(H90))&lt;=MAX(0,(bthan-hthan)*500)),MAX(1,hthan*500-'KT THAN'!$D$12)/ABS(SIN(H90)),MAX(0,(bthan-hthan)*500)*ABS(COS(H90))+SQRT(MAX(0,MAX(1,hthan*500-'KT THAN'!$D$12)^2-MAX(0,(bthan-hthan)*500)^2*SIN(H90)^2))),MIN((bthan*500-'KT THAN'!$D$12)/MAX(0.0000001,ABS(COS(H90))),(hthan*500-'KT THAN'!$D$12)/MAX(0.0000001,ABS(SIN(H90)))))*SIN(H90))</f>
        <v>478.37657023763416</v>
      </c>
      <c r="K90" s="52">
        <f>IF(G90="",0,'KT THAN'!$D$11/'KT THAN'!$C$11)</f>
        <v>804.24771931898704</v>
      </c>
      <c r="L90" s="52"/>
      <c r="M90" s="52">
        <f>hthan*1000*0.01*1.06^84</f>
        <v>2137.0400677036669</v>
      </c>
      <c r="N90" s="52">
        <f t="shared" si="43"/>
        <v>264925.93875929294</v>
      </c>
      <c r="O90" s="52">
        <f t="shared" si="44"/>
        <v>5.4724514484405519E-12</v>
      </c>
      <c r="P90" s="52">
        <f t="shared" si="45"/>
        <v>8.9428374881364483E-4</v>
      </c>
      <c r="Q90" s="52">
        <f t="shared" si="46"/>
        <v>0.75</v>
      </c>
      <c r="R90" s="52">
        <f>Q90*MIN(N90,0.8*(0.85*fc_*(Agth*1000000-'KT THAN'!$D$11)+fy_*'KT THAN'!$D$11)/1000)</f>
        <v>158763.07851952704</v>
      </c>
      <c r="S90" s="52">
        <f t="shared" si="47"/>
        <v>4.1043385863304141E-12</v>
      </c>
      <c r="T90" s="52"/>
      <c r="U90" s="52">
        <f>bthan*1000*0.01*1.06^84</f>
        <v>7346.0752327313548</v>
      </c>
      <c r="V90" s="52">
        <f t="shared" si="48"/>
        <v>232264.46890524853</v>
      </c>
      <c r="W90" s="52">
        <f t="shared" si="49"/>
        <v>4.2915344238281251E-12</v>
      </c>
      <c r="X90" s="52">
        <f t="shared" si="50"/>
        <v>7.9536488673034996E-4</v>
      </c>
      <c r="Y90" s="52">
        <f t="shared" si="51"/>
        <v>0.75</v>
      </c>
      <c r="Z90" s="52">
        <f>Y90*MIN(V90,0.8*(0.85*fc_*(Agth*1000000-'KT THAN'!$D$11)+fy_*'KT THAN'!$D$11)/1000)</f>
        <v>158763.07851952704</v>
      </c>
      <c r="AA90" s="52">
        <f t="shared" si="52"/>
        <v>3.2186508178710936E-12</v>
      </c>
      <c r="AB90" s="52"/>
      <c r="AC90" s="52">
        <f>SMALL($R$6:$R$125,ROWS($AC$6:AC90))</f>
        <v>158763.07851952704</v>
      </c>
      <c r="AD90" s="52">
        <f t="shared" si="53"/>
        <v>22079.283834343303</v>
      </c>
      <c r="AE90" s="52">
        <f>SMALL($Z$6:$Z$125,ROWS($AE$6:AE90))</f>
        <v>158763.07851952704</v>
      </c>
      <c r="AF90" s="52">
        <f t="shared" si="54"/>
        <v>14395.086703266508</v>
      </c>
      <c r="AG90" s="52">
        <f>SMALL($AK$6:$AK$125,ROWS($AG$6:AG90))</f>
        <v>9.9999999999999997E+98</v>
      </c>
      <c r="AH90" s="52">
        <f t="shared" si="55"/>
        <v>-50196.63221187015</v>
      </c>
      <c r="AI90" s="52">
        <f>SMALL($AL$6:$AL$125,ROWS($AI$6:AI90))</f>
        <v>9.9999999999999997E+98</v>
      </c>
      <c r="AJ90" s="52">
        <f t="shared" si="56"/>
        <v>-52115.252211870153</v>
      </c>
      <c r="AK90" s="52">
        <f t="shared" si="57"/>
        <v>9.9999999999999997E+98</v>
      </c>
      <c r="AL90" s="52">
        <f t="shared" si="58"/>
        <v>9.9999999999999997E+98</v>
      </c>
      <c r="AM90" s="52">
        <f t="shared" si="59"/>
        <v>0</v>
      </c>
      <c r="AN90" s="52">
        <f t="shared" si="60"/>
        <v>0</v>
      </c>
    </row>
    <row r="91" spans="1:40" x14ac:dyDescent="0.3">
      <c r="A91" s="52">
        <v>86</v>
      </c>
      <c r="B91" s="52">
        <f>-bthan*500+(35+0.5)*bthan*1000/50</f>
        <v>1155</v>
      </c>
      <c r="C91" s="52">
        <f t="shared" si="61"/>
        <v>-770</v>
      </c>
      <c r="D91" s="52">
        <f t="shared" si="41"/>
        <v>2200</v>
      </c>
      <c r="E91" s="52">
        <f t="shared" si="42"/>
        <v>1</v>
      </c>
      <c r="F91" s="52"/>
      <c r="G91" s="52">
        <f>IF(86&lt;='KT THAN'!$C$11,86,"")</f>
        <v>86</v>
      </c>
      <c r="H91" s="52">
        <f>IF(G91="",0,2*PI()*(G91-0.5)/'KT THAN'!$C$11)</f>
        <v>2.9845130209103035</v>
      </c>
      <c r="I91" s="52">
        <f>IF(G91="",0,IF(shp=1,IF(AND(ABS(SIN(H91))&gt;0.0000001,MAX(1,hthan*500-'KT THAN'!$D$12)*ABS(COS(H91))/ABS(SIN(H91))&lt;=MAX(0,(bthan-hthan)*500)),MAX(1,hthan*500-'KT THAN'!$D$12)/ABS(SIN(H91)),MAX(0,(bthan-hthan)*500)*ABS(COS(H91))+SQRT(MAX(0,MAX(1,hthan*500-'KT THAN'!$D$12)^2-MAX(0,(bthan-hthan)*500)^2*SIN(H91)^2))),MIN((bthan*500-'KT THAN'!$D$12)/MAX(0.0000001,ABS(COS(H91))),(hthan*500-'KT THAN'!$D$12)/MAX(0.0000001,ABS(SIN(H91)))))*COS(H91))</f>
        <v>-2524.5599734070083</v>
      </c>
      <c r="J91" s="52">
        <f>IF(G91="",0,IF(shp=1,IF(AND(ABS(SIN(H91))&gt;0.0000001,MAX(1,hthan*500-'KT THAN'!$D$12)*ABS(COS(H91))/ABS(SIN(H91))&lt;=MAX(0,(bthan-hthan)*500)),MAX(1,hthan*500-'KT THAN'!$D$12)/ABS(SIN(H91)),MAX(0,(bthan-hthan)*500)*ABS(COS(H91))+SQRT(MAX(0,MAX(1,hthan*500-'KT THAN'!$D$12)^2-MAX(0,(bthan-hthan)*500)^2*SIN(H91)^2))),MIN((bthan*500-'KT THAN'!$D$12)/MAX(0.0000001,ABS(COS(H91))),(hthan*500-'KT THAN'!$D$12)/MAX(0.0000001,ABS(SIN(H91)))))*SIN(H91))</f>
        <v>399.85101845379558</v>
      </c>
      <c r="K91" s="52">
        <f>IF(G91="",0,'KT THAN'!$D$11/'KT THAN'!$C$11)</f>
        <v>804.24771931898704</v>
      </c>
      <c r="L91" s="52"/>
      <c r="M91" s="52">
        <f>hthan*1000*0.01*1.06^85</f>
        <v>2265.2624717658873</v>
      </c>
      <c r="N91" s="52">
        <f t="shared" si="43"/>
        <v>264925.93875929294</v>
      </c>
      <c r="O91" s="52">
        <f t="shared" si="44"/>
        <v>5.4724514484405519E-12</v>
      </c>
      <c r="P91" s="52">
        <f t="shared" si="45"/>
        <v>1.0134752347298541E-3</v>
      </c>
      <c r="Q91" s="52">
        <f t="shared" si="46"/>
        <v>0.75</v>
      </c>
      <c r="R91" s="52">
        <f>Q91*MIN(N91,0.8*(0.85*fc_*(Agth*1000000-'KT THAN'!$D$11)+fy_*'KT THAN'!$D$11)/1000)</f>
        <v>158763.07851952704</v>
      </c>
      <c r="S91" s="52">
        <f t="shared" si="47"/>
        <v>4.1043385863304141E-12</v>
      </c>
      <c r="T91" s="52"/>
      <c r="U91" s="52">
        <f>bthan*1000*0.01*1.06^85</f>
        <v>7786.8397466952374</v>
      </c>
      <c r="V91" s="52">
        <f t="shared" si="48"/>
        <v>235043.47279715852</v>
      </c>
      <c r="W91" s="52">
        <f t="shared" si="49"/>
        <v>4.0531158447265625E-12</v>
      </c>
      <c r="X91" s="52">
        <f t="shared" si="50"/>
        <v>9.2015555351919844E-4</v>
      </c>
      <c r="Y91" s="52">
        <f t="shared" si="51"/>
        <v>0.75</v>
      </c>
      <c r="Z91" s="52">
        <f>Y91*MIN(V91,0.8*(0.85*fc_*(Agth*1000000-'KT THAN'!$D$11)+fy_*'KT THAN'!$D$11)/1000)</f>
        <v>158763.07851952704</v>
      </c>
      <c r="AA91" s="52">
        <f t="shared" si="52"/>
        <v>3.0398368835449219E-12</v>
      </c>
      <c r="AB91" s="52"/>
      <c r="AC91" s="52">
        <f>SMALL($R$6:$R$125,ROWS($AC$6:AC91))</f>
        <v>158763.07851952704</v>
      </c>
      <c r="AD91" s="52">
        <f t="shared" si="53"/>
        <v>22079.283834343303</v>
      </c>
      <c r="AE91" s="52">
        <f>SMALL($Z$6:$Z$125,ROWS($AE$6:AE91))</f>
        <v>158763.07851952704</v>
      </c>
      <c r="AF91" s="52">
        <f t="shared" si="54"/>
        <v>14395.086703266508</v>
      </c>
      <c r="AG91" s="52">
        <f>SMALL($AK$6:$AK$125,ROWS($AG$6:AG91))</f>
        <v>9.9999999999999997E+98</v>
      </c>
      <c r="AH91" s="52">
        <f t="shared" si="55"/>
        <v>-50196.63221187015</v>
      </c>
      <c r="AI91" s="52">
        <f>SMALL($AL$6:$AL$125,ROWS($AI$6:AI91))</f>
        <v>9.9999999999999997E+98</v>
      </c>
      <c r="AJ91" s="52">
        <f t="shared" si="56"/>
        <v>-52115.252211870153</v>
      </c>
      <c r="AK91" s="52">
        <f t="shared" si="57"/>
        <v>9.9999999999999997E+98</v>
      </c>
      <c r="AL91" s="52">
        <f t="shared" si="58"/>
        <v>9.9999999999999997E+98</v>
      </c>
      <c r="AM91" s="52">
        <f t="shared" si="59"/>
        <v>0</v>
      </c>
      <c r="AN91" s="52">
        <f t="shared" si="60"/>
        <v>0</v>
      </c>
    </row>
    <row r="92" spans="1:40" x14ac:dyDescent="0.3">
      <c r="A92" s="52">
        <v>87</v>
      </c>
      <c r="B92" s="52">
        <f>-bthan*500+(36+0.5)*bthan*1000/50</f>
        <v>1265</v>
      </c>
      <c r="C92" s="52">
        <f t="shared" si="61"/>
        <v>-770</v>
      </c>
      <c r="D92" s="52">
        <f t="shared" si="41"/>
        <v>2200</v>
      </c>
      <c r="E92" s="52">
        <f t="shared" si="42"/>
        <v>1</v>
      </c>
      <c r="F92" s="52"/>
      <c r="G92" s="52">
        <f>IF(87&lt;='KT THAN'!$C$11,87,"")</f>
        <v>87</v>
      </c>
      <c r="H92" s="52">
        <f>IF(G92="",0,2*PI()*(G92-0.5)/'KT THAN'!$C$11)</f>
        <v>3.0194196059501901</v>
      </c>
      <c r="I92" s="52">
        <f>IF(G92="",0,IF(shp=1,IF(AND(ABS(SIN(H92))&gt;0.0000001,MAX(1,hthan*500-'KT THAN'!$D$12)*ABS(COS(H92))/ABS(SIN(H92))&lt;=MAX(0,(bthan-hthan)*500)),MAX(1,hthan*500-'KT THAN'!$D$12)/ABS(SIN(H92)),MAX(0,(bthan-hthan)*500)*ABS(COS(H92))+SQRT(MAX(0,MAX(1,hthan*500-'KT THAN'!$D$12)^2-MAX(0,(bthan-hthan)*500)^2*SIN(H92)^2))),MIN((bthan*500-'KT THAN'!$D$12)/MAX(0.0000001,ABS(COS(H92))),(hthan*500-'KT THAN'!$D$12)/MAX(0.0000001,ABS(SIN(H92)))))*COS(H92))</f>
        <v>-2574.5564894608901</v>
      </c>
      <c r="J92" s="52">
        <f>IF(G92="",0,IF(shp=1,IF(AND(ABS(SIN(H92))&gt;0.0000001,MAX(1,hthan*500-'KT THAN'!$D$12)*ABS(COS(H92))/ABS(SIN(H92))&lt;=MAX(0,(bthan-hthan)*500)),MAX(1,hthan*500-'KT THAN'!$D$12)/ABS(SIN(H92)),MAX(0,(bthan-hthan)*500)*ABS(COS(H92))+SQRT(MAX(0,MAX(1,hthan*500-'KT THAN'!$D$12)^2-MAX(0,(bthan-hthan)*500)^2*SIN(H92)^2))),MIN((bthan*500-'KT THAN'!$D$12)/MAX(0.0000001,ABS(COS(H92))),(hthan*500-'KT THAN'!$D$12)/MAX(0.0000001,ABS(SIN(H92)))))*SIN(H92))</f>
        <v>316.11578807817909</v>
      </c>
      <c r="K92" s="52">
        <f>IF(G92="",0,'KT THAN'!$D$11/'KT THAN'!$C$11)</f>
        <v>804.24771931898704</v>
      </c>
      <c r="L92" s="52"/>
      <c r="M92" s="52">
        <f>hthan*1000*0.01*1.06^86</f>
        <v>2401.1782200718408</v>
      </c>
      <c r="N92" s="52">
        <f t="shared" si="43"/>
        <v>264925.93875929294</v>
      </c>
      <c r="O92" s="52">
        <f t="shared" si="44"/>
        <v>5.4724514484405519E-12</v>
      </c>
      <c r="P92" s="52">
        <f t="shared" si="45"/>
        <v>1.1259200327640136E-3</v>
      </c>
      <c r="Q92" s="52">
        <f t="shared" si="46"/>
        <v>0.75</v>
      </c>
      <c r="R92" s="52">
        <f>Q92*MIN(N92,0.8*(0.85*fc_*(Agth*1000000-'KT THAN'!$D$11)+fy_*'KT THAN'!$D$11)/1000)</f>
        <v>158763.07851952704</v>
      </c>
      <c r="S92" s="52">
        <f t="shared" si="47"/>
        <v>4.1043385863304141E-12</v>
      </c>
      <c r="T92" s="52"/>
      <c r="U92" s="52">
        <f>bthan*1000*0.01*1.06^86</f>
        <v>8254.0501314969533</v>
      </c>
      <c r="V92" s="52">
        <f t="shared" si="48"/>
        <v>237847.65582127729</v>
      </c>
      <c r="W92" s="52">
        <f t="shared" si="49"/>
        <v>3.8743019104003903E-12</v>
      </c>
      <c r="X92" s="52">
        <f t="shared" si="50"/>
        <v>1.0378825976596216E-3</v>
      </c>
      <c r="Y92" s="52">
        <f t="shared" si="51"/>
        <v>0.75</v>
      </c>
      <c r="Z92" s="52">
        <f>Y92*MIN(V92,0.8*(0.85*fc_*(Agth*1000000-'KT THAN'!$D$11)+fy_*'KT THAN'!$D$11)/1000)</f>
        <v>158763.07851952704</v>
      </c>
      <c r="AA92" s="52">
        <f t="shared" si="52"/>
        <v>2.9057264328002925E-12</v>
      </c>
      <c r="AB92" s="52"/>
      <c r="AC92" s="52">
        <f>SMALL($R$6:$R$125,ROWS($AC$6:AC92))</f>
        <v>158763.07851952704</v>
      </c>
      <c r="AD92" s="52">
        <f t="shared" si="53"/>
        <v>22079.283834343303</v>
      </c>
      <c r="AE92" s="52">
        <f>SMALL($Z$6:$Z$125,ROWS($AE$6:AE92))</f>
        <v>158763.07851952704</v>
      </c>
      <c r="AF92" s="52">
        <f t="shared" si="54"/>
        <v>14395.086703266508</v>
      </c>
      <c r="AG92" s="52">
        <f>SMALL($AK$6:$AK$125,ROWS($AG$6:AG92))</f>
        <v>9.9999999999999997E+98</v>
      </c>
      <c r="AH92" s="52">
        <f t="shared" si="55"/>
        <v>-50196.63221187015</v>
      </c>
      <c r="AI92" s="52">
        <f>SMALL($AL$6:$AL$125,ROWS($AI$6:AI92))</f>
        <v>9.9999999999999997E+98</v>
      </c>
      <c r="AJ92" s="52">
        <f t="shared" si="56"/>
        <v>-52115.252211870153</v>
      </c>
      <c r="AK92" s="52">
        <f t="shared" si="57"/>
        <v>9.9999999999999997E+98</v>
      </c>
      <c r="AL92" s="52">
        <f t="shared" si="58"/>
        <v>9.9999999999999997E+98</v>
      </c>
      <c r="AM92" s="52">
        <f t="shared" si="59"/>
        <v>0</v>
      </c>
      <c r="AN92" s="52">
        <f t="shared" si="60"/>
        <v>0</v>
      </c>
    </row>
    <row r="93" spans="1:40" x14ac:dyDescent="0.3">
      <c r="A93" s="52">
        <v>88</v>
      </c>
      <c r="B93" s="52">
        <f>-bthan*500+(37+0.5)*bthan*1000/50</f>
        <v>1375</v>
      </c>
      <c r="C93" s="52">
        <f t="shared" si="61"/>
        <v>-770</v>
      </c>
      <c r="D93" s="52">
        <f t="shared" si="41"/>
        <v>2200</v>
      </c>
      <c r="E93" s="52">
        <f t="shared" si="42"/>
        <v>1</v>
      </c>
      <c r="F93" s="52"/>
      <c r="G93" s="52">
        <f>IF(88&lt;='KT THAN'!$C$11,88,"")</f>
        <v>88</v>
      </c>
      <c r="H93" s="52">
        <f>IF(G93="",0,2*PI()*(G93-0.5)/'KT THAN'!$C$11)</f>
        <v>3.0543261909900763</v>
      </c>
      <c r="I93" s="52">
        <f>IF(G93="",0,IF(shp=1,IF(AND(ABS(SIN(H93))&gt;0.0000001,MAX(1,hthan*500-'KT THAN'!$D$12)*ABS(COS(H93))/ABS(SIN(H93))&lt;=MAX(0,(bthan-hthan)*500)),MAX(1,hthan*500-'KT THAN'!$D$12)/ABS(SIN(H93)),MAX(0,(bthan-hthan)*500)*ABS(COS(H93))+SQRT(MAX(0,MAX(1,hthan*500-'KT THAN'!$D$12)^2-MAX(0,(bthan-hthan)*500)^2*SIN(H93)^2))),MIN((bthan*500-'KT THAN'!$D$12)/MAX(0.0000001,ABS(COS(H93))),(hthan*500-'KT THAN'!$D$12)/MAX(0.0000001,ABS(SIN(H93)))))*COS(H93))</f>
        <v>-2611.6585846604944</v>
      </c>
      <c r="J93" s="52">
        <f>IF(G93="",0,IF(shp=1,IF(AND(ABS(SIN(H93))&gt;0.0000001,MAX(1,hthan*500-'KT THAN'!$D$12)*ABS(COS(H93))/ABS(SIN(H93))&lt;=MAX(0,(bthan-hthan)*500)),MAX(1,hthan*500-'KT THAN'!$D$12)/ABS(SIN(H93)),MAX(0,(bthan-hthan)*500)*ABS(COS(H93))+SQRT(MAX(0,MAX(1,hthan*500-'KT THAN'!$D$12)^2-MAX(0,(bthan-hthan)*500)^2*SIN(H93)^2))),MIN((bthan*500-'KT THAN'!$D$12)/MAX(0.0000001,ABS(COS(H93))),(hthan*500-'KT THAN'!$D$12)/MAX(0.0000001,ABS(SIN(H93)))))*SIN(H93))</f>
        <v>228.49051915795414</v>
      </c>
      <c r="K93" s="52">
        <f>IF(G93="",0,'KT THAN'!$D$11/'KT THAN'!$C$11)</f>
        <v>804.24771931898704</v>
      </c>
      <c r="L93" s="52"/>
      <c r="M93" s="52">
        <f>hthan*1000*0.01*1.06^87</f>
        <v>2545.2489132761516</v>
      </c>
      <c r="N93" s="52">
        <f t="shared" si="43"/>
        <v>264925.93875929294</v>
      </c>
      <c r="O93" s="52">
        <f t="shared" si="44"/>
        <v>5.4724514484405519E-12</v>
      </c>
      <c r="P93" s="52">
        <f t="shared" si="45"/>
        <v>1.2320000309094469E-3</v>
      </c>
      <c r="Q93" s="52">
        <f t="shared" si="46"/>
        <v>0.75</v>
      </c>
      <c r="R93" s="52">
        <f>Q93*MIN(N93,0.8*(0.85*fc_*(Agth*1000000-'KT THAN'!$D$11)+fy_*'KT THAN'!$D$11)/1000)</f>
        <v>158763.07851952704</v>
      </c>
      <c r="S93" s="52">
        <f t="shared" si="47"/>
        <v>4.1043385863304141E-12</v>
      </c>
      <c r="T93" s="52"/>
      <c r="U93" s="52">
        <f>bthan*1000*0.01*1.06^87</f>
        <v>8749.2931393867711</v>
      </c>
      <c r="V93" s="52">
        <f t="shared" si="48"/>
        <v>240650.90155753653</v>
      </c>
      <c r="W93" s="52">
        <f t="shared" si="49"/>
        <v>3.0398368835449219E-12</v>
      </c>
      <c r="X93" s="52">
        <f t="shared" si="50"/>
        <v>1.1489458468486996E-3</v>
      </c>
      <c r="Y93" s="52">
        <f t="shared" si="51"/>
        <v>0.75</v>
      </c>
      <c r="Z93" s="52">
        <f>Y93*MIN(V93,0.8*(0.85*fc_*(Agth*1000000-'KT THAN'!$D$11)+fy_*'KT THAN'!$D$11)/1000)</f>
        <v>158763.07851952704</v>
      </c>
      <c r="AA93" s="52">
        <f t="shared" si="52"/>
        <v>2.2798776626586915E-12</v>
      </c>
      <c r="AB93" s="52"/>
      <c r="AC93" s="52">
        <f>SMALL($R$6:$R$125,ROWS($AC$6:AC93))</f>
        <v>158763.07851952704</v>
      </c>
      <c r="AD93" s="52">
        <f t="shared" si="53"/>
        <v>22079.283834343303</v>
      </c>
      <c r="AE93" s="52">
        <f>SMALL($Z$6:$Z$125,ROWS($AE$6:AE93))</f>
        <v>158763.07851952704</v>
      </c>
      <c r="AF93" s="52">
        <f t="shared" si="54"/>
        <v>14395.086703266508</v>
      </c>
      <c r="AG93" s="52">
        <f>SMALL($AK$6:$AK$125,ROWS($AG$6:AG93))</f>
        <v>9.9999999999999997E+98</v>
      </c>
      <c r="AH93" s="52">
        <f t="shared" si="55"/>
        <v>-50196.63221187015</v>
      </c>
      <c r="AI93" s="52">
        <f>SMALL($AL$6:$AL$125,ROWS($AI$6:AI93))</f>
        <v>9.9999999999999997E+98</v>
      </c>
      <c r="AJ93" s="52">
        <f t="shared" si="56"/>
        <v>-52115.252211870153</v>
      </c>
      <c r="AK93" s="52">
        <f t="shared" si="57"/>
        <v>9.9999999999999997E+98</v>
      </c>
      <c r="AL93" s="52">
        <f t="shared" si="58"/>
        <v>9.9999999999999997E+98</v>
      </c>
      <c r="AM93" s="52">
        <f t="shared" si="59"/>
        <v>0</v>
      </c>
      <c r="AN93" s="52">
        <f t="shared" si="60"/>
        <v>0</v>
      </c>
    </row>
    <row r="94" spans="1:40" x14ac:dyDescent="0.3">
      <c r="A94" s="52">
        <v>89</v>
      </c>
      <c r="B94" s="52">
        <f>-bthan*500+(38+0.5)*bthan*1000/50</f>
        <v>1485</v>
      </c>
      <c r="C94" s="52">
        <f t="shared" si="61"/>
        <v>-770</v>
      </c>
      <c r="D94" s="52">
        <f t="shared" si="41"/>
        <v>2200</v>
      </c>
      <c r="E94" s="52">
        <f t="shared" si="42"/>
        <v>1</v>
      </c>
      <c r="F94" s="52"/>
      <c r="G94" s="52">
        <f>IF(89&lt;='KT THAN'!$C$11,89,"")</f>
        <v>89</v>
      </c>
      <c r="H94" s="52">
        <f>IF(G94="",0,2*PI()*(G94-0.5)/'KT THAN'!$C$11)</f>
        <v>3.0892327760299634</v>
      </c>
      <c r="I94" s="52">
        <f>IF(G94="",0,IF(shp=1,IF(AND(ABS(SIN(H94))&gt;0.0000001,MAX(1,hthan*500-'KT THAN'!$D$12)*ABS(COS(H94))/ABS(SIN(H94))&lt;=MAX(0,(bthan-hthan)*500)),MAX(1,hthan*500-'KT THAN'!$D$12)/ABS(SIN(H94)),MAX(0,(bthan-hthan)*500)*ABS(COS(H94))+SQRT(MAX(0,MAX(1,hthan*500-'KT THAN'!$D$12)^2-MAX(0,(bthan-hthan)*500)^2*SIN(H94)^2))),MIN((bthan*500-'KT THAN'!$D$12)/MAX(0.0000001,ABS(COS(H94))),(hthan*500-'KT THAN'!$D$12)/MAX(0.0000001,ABS(SIN(H94)))))*COS(H94))</f>
        <v>-2636.2303524859608</v>
      </c>
      <c r="J94" s="52">
        <f>IF(G94="",0,IF(shp=1,IF(AND(ABS(SIN(H94))&gt;0.0000001,MAX(1,hthan*500-'KT THAN'!$D$12)*ABS(COS(H94))/ABS(SIN(H94))&lt;=MAX(0,(bthan-hthan)*500)),MAX(1,hthan*500-'KT THAN'!$D$12)/ABS(SIN(H94)),MAX(0,(bthan-hthan)*500)*ABS(COS(H94))+SQRT(MAX(0,MAX(1,hthan*500-'KT THAN'!$D$12)^2-MAX(0,(bthan-hthan)*500)^2*SIN(H94)^2))),MIN((bthan*500-'KT THAN'!$D$12)/MAX(0.0000001,ABS(COS(H94))),(hthan*500-'KT THAN'!$D$12)/MAX(0.0000001,ABS(SIN(H94)))))*SIN(H94))</f>
        <v>138.15897845233809</v>
      </c>
      <c r="K94" s="52">
        <f>IF(G94="",0,'KT THAN'!$D$11/'KT THAN'!$C$11)</f>
        <v>804.24771931898704</v>
      </c>
      <c r="L94" s="52"/>
      <c r="M94" s="52">
        <f>hthan*1000*0.01*1.06^88</f>
        <v>2697.9638480727203</v>
      </c>
      <c r="N94" s="52">
        <f t="shared" si="43"/>
        <v>264925.93875929294</v>
      </c>
      <c r="O94" s="52">
        <f t="shared" si="44"/>
        <v>5.4724514484405519E-12</v>
      </c>
      <c r="P94" s="52">
        <f t="shared" si="45"/>
        <v>1.3320755008579684E-3</v>
      </c>
      <c r="Q94" s="52">
        <f t="shared" si="46"/>
        <v>0.75</v>
      </c>
      <c r="R94" s="52">
        <f>Q94*MIN(N94,0.8*(0.85*fc_*(Agth*1000000-'KT THAN'!$D$11)+fy_*'KT THAN'!$D$11)/1000)</f>
        <v>158763.07851952704</v>
      </c>
      <c r="S94" s="52">
        <f t="shared" si="47"/>
        <v>4.1043385863304141E-12</v>
      </c>
      <c r="T94" s="52"/>
      <c r="U94" s="52">
        <f>bthan*1000*0.01*1.06^88</f>
        <v>9274.2507277499753</v>
      </c>
      <c r="V94" s="52">
        <f t="shared" si="48"/>
        <v>243433.67577507382</v>
      </c>
      <c r="W94" s="52">
        <f t="shared" si="49"/>
        <v>1.8477439880371095E-12</v>
      </c>
      <c r="X94" s="52">
        <f t="shared" si="50"/>
        <v>1.2537224970270747E-3</v>
      </c>
      <c r="Y94" s="52">
        <f t="shared" si="51"/>
        <v>0.75</v>
      </c>
      <c r="Z94" s="52">
        <f>Y94*MIN(V94,0.8*(0.85*fc_*(Agth*1000000-'KT THAN'!$D$11)+fy_*'KT THAN'!$D$11)/1000)</f>
        <v>158763.07851952704</v>
      </c>
      <c r="AA94" s="52">
        <f t="shared" si="52"/>
        <v>1.3858079910278322E-12</v>
      </c>
      <c r="AB94" s="52"/>
      <c r="AC94" s="52">
        <f>SMALL($R$6:$R$125,ROWS($AC$6:AC94))</f>
        <v>158763.07851952704</v>
      </c>
      <c r="AD94" s="52">
        <f t="shared" si="53"/>
        <v>22079.283834343303</v>
      </c>
      <c r="AE94" s="52">
        <f>SMALL($Z$6:$Z$125,ROWS($AE$6:AE94))</f>
        <v>158763.07851952704</v>
      </c>
      <c r="AF94" s="52">
        <f t="shared" si="54"/>
        <v>14395.086703266508</v>
      </c>
      <c r="AG94" s="52">
        <f>SMALL($AK$6:$AK$125,ROWS($AG$6:AG94))</f>
        <v>9.9999999999999997E+98</v>
      </c>
      <c r="AH94" s="52">
        <f t="shared" si="55"/>
        <v>-50196.63221187015</v>
      </c>
      <c r="AI94" s="52">
        <f>SMALL($AL$6:$AL$125,ROWS($AI$6:AI94))</f>
        <v>9.9999999999999997E+98</v>
      </c>
      <c r="AJ94" s="52">
        <f t="shared" si="56"/>
        <v>-52115.252211870153</v>
      </c>
      <c r="AK94" s="52">
        <f t="shared" si="57"/>
        <v>9.9999999999999997E+98</v>
      </c>
      <c r="AL94" s="52">
        <f t="shared" si="58"/>
        <v>9.9999999999999997E+98</v>
      </c>
      <c r="AM94" s="52">
        <f t="shared" si="59"/>
        <v>0</v>
      </c>
      <c r="AN94" s="52">
        <f t="shared" si="60"/>
        <v>0</v>
      </c>
    </row>
    <row r="95" spans="1:40" x14ac:dyDescent="0.3">
      <c r="A95" s="52">
        <v>90</v>
      </c>
      <c r="B95" s="52">
        <f>-bthan*500+(39+0.5)*bthan*1000/50</f>
        <v>1595</v>
      </c>
      <c r="C95" s="52">
        <f t="shared" si="61"/>
        <v>-770</v>
      </c>
      <c r="D95" s="52">
        <f t="shared" si="41"/>
        <v>2200</v>
      </c>
      <c r="E95" s="52">
        <f t="shared" si="42"/>
        <v>1</v>
      </c>
      <c r="F95" s="52"/>
      <c r="G95" s="52">
        <f>IF(90&lt;='KT THAN'!$C$11,90,"")</f>
        <v>90</v>
      </c>
      <c r="H95" s="52">
        <f>IF(G95="",0,2*PI()*(G95-0.5)/'KT THAN'!$C$11)</f>
        <v>3.12413936106985</v>
      </c>
      <c r="I95" s="52">
        <f>IF(G95="",0,IF(shp=1,IF(AND(ABS(SIN(H95))&gt;0.0000001,MAX(1,hthan*500-'KT THAN'!$D$12)*ABS(COS(H95))/ABS(SIN(H95))&lt;=MAX(0,(bthan-hthan)*500)),MAX(1,hthan*500-'KT THAN'!$D$12)/ABS(SIN(H95)),MAX(0,(bthan-hthan)*500)*ABS(COS(H95))+SQRT(MAX(0,MAX(1,hthan*500-'KT THAN'!$D$12)^2-MAX(0,(bthan-hthan)*500)^2*SIN(H95)^2))),MIN((bthan*500-'KT THAN'!$D$12)/MAX(0.0000001,ABS(COS(H95))),(hthan*500-'KT THAN'!$D$12)/MAX(0.0000001,ABS(SIN(H95)))))*COS(H95))</f>
        <v>-2648.4718009333537</v>
      </c>
      <c r="J95" s="52">
        <f>IF(G95="",0,IF(shp=1,IF(AND(ABS(SIN(H95))&gt;0.0000001,MAX(1,hthan*500-'KT THAN'!$D$12)*ABS(COS(H95))/ABS(SIN(H95))&lt;=MAX(0,(bthan-hthan)*500)),MAX(1,hthan*500-'KT THAN'!$D$12)/ABS(SIN(H95)),MAX(0,(bthan-hthan)*500)*ABS(COS(H95))+SQRT(MAX(0,MAX(1,hthan*500-'KT THAN'!$D$12)^2-MAX(0,(bthan-hthan)*500)^2*SIN(H95)^2))),MIN((bthan*500-'KT THAN'!$D$12)/MAX(0.0000001,ABS(COS(H95))),(hthan*500-'KT THAN'!$D$12)/MAX(0.0000001,ABS(SIN(H95)))))*SIN(H95))</f>
        <v>46.229247245844853</v>
      </c>
      <c r="K95" s="52">
        <f>IF(G95="",0,'KT THAN'!$D$11/'KT THAN'!$C$11)</f>
        <v>804.24771931898704</v>
      </c>
      <c r="L95" s="52"/>
      <c r="M95" s="52">
        <f>hthan*1000*0.01*1.06^89</f>
        <v>2859.8416789570833</v>
      </c>
      <c r="N95" s="52">
        <f t="shared" si="43"/>
        <v>264925.93875929294</v>
      </c>
      <c r="O95" s="52">
        <f t="shared" si="44"/>
        <v>5.4724514484405519E-12</v>
      </c>
      <c r="P95" s="52">
        <f t="shared" si="45"/>
        <v>1.4264863215641213E-3</v>
      </c>
      <c r="Q95" s="52">
        <f t="shared" si="46"/>
        <v>0.75</v>
      </c>
      <c r="R95" s="52">
        <f>Q95*MIN(N95,0.8*(0.85*fc_*(Agth*1000000-'KT THAN'!$D$11)+fy_*'KT THAN'!$D$11)/1000)</f>
        <v>158763.07851952704</v>
      </c>
      <c r="S95" s="52">
        <f t="shared" si="47"/>
        <v>4.1043385863304141E-12</v>
      </c>
      <c r="T95" s="52"/>
      <c r="U95" s="52">
        <f>bthan*1000*0.01*1.06^89</f>
        <v>9830.7057714149742</v>
      </c>
      <c r="V95" s="52">
        <f t="shared" si="48"/>
        <v>246180.90461109235</v>
      </c>
      <c r="W95" s="52">
        <f t="shared" si="49"/>
        <v>7.8082084655761726E-12</v>
      </c>
      <c r="X95" s="52">
        <f t="shared" si="50"/>
        <v>1.3525683934217689E-3</v>
      </c>
      <c r="Y95" s="52">
        <f t="shared" si="51"/>
        <v>0.75</v>
      </c>
      <c r="Z95" s="52">
        <f>Y95*MIN(V95,0.8*(0.85*fc_*(Agth*1000000-'KT THAN'!$D$11)+fy_*'KT THAN'!$D$11)/1000)</f>
        <v>158763.07851952704</v>
      </c>
      <c r="AA95" s="52">
        <f t="shared" si="52"/>
        <v>5.8561563491821291E-12</v>
      </c>
      <c r="AB95" s="52"/>
      <c r="AC95" s="52">
        <f>SMALL($R$6:$R$125,ROWS($AC$6:AC95))</f>
        <v>158763.07851952704</v>
      </c>
      <c r="AD95" s="52">
        <f t="shared" si="53"/>
        <v>22079.283834343303</v>
      </c>
      <c r="AE95" s="52">
        <f>SMALL($Z$6:$Z$125,ROWS($AE$6:AE95))</f>
        <v>158763.07851952704</v>
      </c>
      <c r="AF95" s="52">
        <f t="shared" si="54"/>
        <v>14395.086703266508</v>
      </c>
      <c r="AG95" s="52">
        <f>SMALL($AK$6:$AK$125,ROWS($AG$6:AG95))</f>
        <v>9.9999999999999997E+98</v>
      </c>
      <c r="AH95" s="52">
        <f t="shared" si="55"/>
        <v>-50196.63221187015</v>
      </c>
      <c r="AI95" s="52">
        <f>SMALL($AL$6:$AL$125,ROWS($AI$6:AI95))</f>
        <v>9.9999999999999997E+98</v>
      </c>
      <c r="AJ95" s="52">
        <f t="shared" si="56"/>
        <v>-52115.252211870153</v>
      </c>
      <c r="AK95" s="52">
        <f t="shared" si="57"/>
        <v>9.9999999999999997E+98</v>
      </c>
      <c r="AL95" s="52">
        <f t="shared" si="58"/>
        <v>9.9999999999999997E+98</v>
      </c>
      <c r="AM95" s="52">
        <f t="shared" si="59"/>
        <v>0</v>
      </c>
      <c r="AN95" s="52">
        <f t="shared" si="60"/>
        <v>0</v>
      </c>
    </row>
    <row r="96" spans="1:40" x14ac:dyDescent="0.3">
      <c r="A96" s="52">
        <v>91</v>
      </c>
      <c r="B96" s="52">
        <f>-bthan*500+(40+0.5)*bthan*1000/50</f>
        <v>1705</v>
      </c>
      <c r="C96" s="52">
        <f t="shared" si="61"/>
        <v>-770</v>
      </c>
      <c r="D96" s="52">
        <f t="shared" si="41"/>
        <v>2200</v>
      </c>
      <c r="E96" s="52">
        <f t="shared" si="42"/>
        <v>1</v>
      </c>
      <c r="F96" s="52"/>
      <c r="G96" s="52">
        <f>IF(91&lt;='KT THAN'!$C$11,91,"")</f>
        <v>91</v>
      </c>
      <c r="H96" s="52">
        <f>IF(G96="",0,2*PI()*(G96-0.5)/'KT THAN'!$C$11)</f>
        <v>3.1590459461097362</v>
      </c>
      <c r="I96" s="52">
        <f>IF(G96="",0,IF(shp=1,IF(AND(ABS(SIN(H96))&gt;0.0000001,MAX(1,hthan*500-'KT THAN'!$D$12)*ABS(COS(H96))/ABS(SIN(H96))&lt;=MAX(0,(bthan-hthan)*500)),MAX(1,hthan*500-'KT THAN'!$D$12)/ABS(SIN(H96)),MAX(0,(bthan-hthan)*500)*ABS(COS(H96))+SQRT(MAX(0,MAX(1,hthan*500-'KT THAN'!$D$12)^2-MAX(0,(bthan-hthan)*500)^2*SIN(H96)^2))),MIN((bthan*500-'KT THAN'!$D$12)/MAX(0.0000001,ABS(COS(H96))),(hthan*500-'KT THAN'!$D$12)/MAX(0.0000001,ABS(SIN(H96)))))*COS(H96))</f>
        <v>-2648.4718009333537</v>
      </c>
      <c r="J96" s="52">
        <f>IF(G96="",0,IF(shp=1,IF(AND(ABS(SIN(H96))&gt;0.0000001,MAX(1,hthan*500-'KT THAN'!$D$12)*ABS(COS(H96))/ABS(SIN(H96))&lt;=MAX(0,(bthan-hthan)*500)),MAX(1,hthan*500-'KT THAN'!$D$12)/ABS(SIN(H96)),MAX(0,(bthan-hthan)*500)*ABS(COS(H96))+SQRT(MAX(0,MAX(1,hthan*500-'KT THAN'!$D$12)^2-MAX(0,(bthan-hthan)*500)^2*SIN(H96)^2))),MIN((bthan*500-'KT THAN'!$D$12)/MAX(0.0000001,ABS(COS(H96))),(hthan*500-'KT THAN'!$D$12)/MAX(0.0000001,ABS(SIN(H96)))))*SIN(H96))</f>
        <v>-46.229247245844199</v>
      </c>
      <c r="K96" s="52">
        <f>IF(G96="",0,'KT THAN'!$D$11/'KT THAN'!$C$11)</f>
        <v>804.24771931898704</v>
      </c>
      <c r="L96" s="52"/>
      <c r="M96" s="52">
        <f>hthan*1000*0.01*1.06^90</f>
        <v>3031.4321796945087</v>
      </c>
      <c r="N96" s="52">
        <f t="shared" si="43"/>
        <v>264925.93875929294</v>
      </c>
      <c r="O96" s="52">
        <f t="shared" si="44"/>
        <v>5.4724514484405519E-12</v>
      </c>
      <c r="P96" s="52">
        <f t="shared" si="45"/>
        <v>1.5155531335510578E-3</v>
      </c>
      <c r="Q96" s="52">
        <f t="shared" si="46"/>
        <v>0.75</v>
      </c>
      <c r="R96" s="52">
        <f>Q96*MIN(N96,0.8*(0.85*fc_*(Agth*1000000-'KT THAN'!$D$11)+fy_*'KT THAN'!$D$11)/1000)</f>
        <v>158763.07851952704</v>
      </c>
      <c r="S96" s="52">
        <f t="shared" si="47"/>
        <v>4.1043385863304141E-12</v>
      </c>
      <c r="T96" s="52"/>
      <c r="U96" s="52">
        <f>bthan*1000*0.01*1.06^90</f>
        <v>10420.548117699873</v>
      </c>
      <c r="V96" s="52">
        <f t="shared" si="48"/>
        <v>248880.7886890368</v>
      </c>
      <c r="W96" s="52">
        <f t="shared" si="49"/>
        <v>6.556510925292969E-12</v>
      </c>
      <c r="X96" s="52">
        <f t="shared" si="50"/>
        <v>1.4458192390771403E-3</v>
      </c>
      <c r="Y96" s="52">
        <f t="shared" si="51"/>
        <v>0.75</v>
      </c>
      <c r="Z96" s="52">
        <f>Y96*MIN(V96,0.8*(0.85*fc_*(Agth*1000000-'KT THAN'!$D$11)+fy_*'KT THAN'!$D$11)/1000)</f>
        <v>158763.07851952704</v>
      </c>
      <c r="AA96" s="52">
        <f t="shared" si="52"/>
        <v>4.9173831939697265E-12</v>
      </c>
      <c r="AB96" s="52"/>
      <c r="AC96" s="52">
        <f>SMALL($R$6:$R$125,ROWS($AC$6:AC96))</f>
        <v>158763.07851952704</v>
      </c>
      <c r="AD96" s="52">
        <f t="shared" si="53"/>
        <v>22079.283834343303</v>
      </c>
      <c r="AE96" s="52">
        <f>SMALL($Z$6:$Z$125,ROWS($AE$6:AE96))</f>
        <v>158763.07851952704</v>
      </c>
      <c r="AF96" s="52">
        <f t="shared" si="54"/>
        <v>14395.086703266508</v>
      </c>
      <c r="AG96" s="52">
        <f>SMALL($AK$6:$AK$125,ROWS($AG$6:AG96))</f>
        <v>9.9999999999999997E+98</v>
      </c>
      <c r="AH96" s="52">
        <f t="shared" si="55"/>
        <v>-50196.63221187015</v>
      </c>
      <c r="AI96" s="52">
        <f>SMALL($AL$6:$AL$125,ROWS($AI$6:AI96))</f>
        <v>9.9999999999999997E+98</v>
      </c>
      <c r="AJ96" s="52">
        <f t="shared" si="56"/>
        <v>-52115.252211870153</v>
      </c>
      <c r="AK96" s="52">
        <f t="shared" si="57"/>
        <v>9.9999999999999997E+98</v>
      </c>
      <c r="AL96" s="52">
        <f t="shared" si="58"/>
        <v>9.9999999999999997E+98</v>
      </c>
      <c r="AM96" s="52">
        <f t="shared" si="59"/>
        <v>0</v>
      </c>
      <c r="AN96" s="52">
        <f t="shared" si="60"/>
        <v>0</v>
      </c>
    </row>
    <row r="97" spans="1:40" x14ac:dyDescent="0.3">
      <c r="A97" s="52">
        <v>92</v>
      </c>
      <c r="B97" s="52">
        <f>-bthan*500+(41+0.5)*bthan*1000/50</f>
        <v>1815</v>
      </c>
      <c r="C97" s="52">
        <f t="shared" si="61"/>
        <v>-770</v>
      </c>
      <c r="D97" s="52">
        <f t="shared" si="41"/>
        <v>2200</v>
      </c>
      <c r="E97" s="52">
        <f t="shared" si="42"/>
        <v>1</v>
      </c>
      <c r="F97" s="52"/>
      <c r="G97" s="52">
        <f>IF(92&lt;='KT THAN'!$C$11,92,"")</f>
        <v>92</v>
      </c>
      <c r="H97" s="52">
        <f>IF(G97="",0,2*PI()*(G97-0.5)/'KT THAN'!$C$11)</f>
        <v>3.1939525311496229</v>
      </c>
      <c r="I97" s="52">
        <f>IF(G97="",0,IF(shp=1,IF(AND(ABS(SIN(H97))&gt;0.0000001,MAX(1,hthan*500-'KT THAN'!$D$12)*ABS(COS(H97))/ABS(SIN(H97))&lt;=MAX(0,(bthan-hthan)*500)),MAX(1,hthan*500-'KT THAN'!$D$12)/ABS(SIN(H97)),MAX(0,(bthan-hthan)*500)*ABS(COS(H97))+SQRT(MAX(0,MAX(1,hthan*500-'KT THAN'!$D$12)^2-MAX(0,(bthan-hthan)*500)^2*SIN(H97)^2))),MIN((bthan*500-'KT THAN'!$D$12)/MAX(0.0000001,ABS(COS(H97))),(hthan*500-'KT THAN'!$D$12)/MAX(0.0000001,ABS(SIN(H97)))))*COS(H97))</f>
        <v>-2636.2303524859608</v>
      </c>
      <c r="J97" s="52">
        <f>IF(G97="",0,IF(shp=1,IF(AND(ABS(SIN(H97))&gt;0.0000001,MAX(1,hthan*500-'KT THAN'!$D$12)*ABS(COS(H97))/ABS(SIN(H97))&lt;=MAX(0,(bthan-hthan)*500)),MAX(1,hthan*500-'KT THAN'!$D$12)/ABS(SIN(H97)),MAX(0,(bthan-hthan)*500)*ABS(COS(H97))+SQRT(MAX(0,MAX(1,hthan*500-'KT THAN'!$D$12)^2-MAX(0,(bthan-hthan)*500)^2*SIN(H97)^2))),MIN((bthan*500-'KT THAN'!$D$12)/MAX(0.0000001,ABS(COS(H97))),(hthan*500-'KT THAN'!$D$12)/MAX(0.0000001,ABS(SIN(H97)))))*SIN(H97))</f>
        <v>-138.15897845233744</v>
      </c>
      <c r="K97" s="52">
        <f>IF(G97="",0,'KT THAN'!$D$11/'KT THAN'!$C$11)</f>
        <v>804.24771931898704</v>
      </c>
      <c r="L97" s="52"/>
      <c r="M97" s="52">
        <f>hthan*1000*0.01*1.06^91</f>
        <v>3213.3181104761798</v>
      </c>
      <c r="N97" s="52">
        <f t="shared" si="43"/>
        <v>264925.93875929294</v>
      </c>
      <c r="O97" s="52">
        <f t="shared" si="44"/>
        <v>5.4724514484405519E-12</v>
      </c>
      <c r="P97" s="52">
        <f t="shared" si="45"/>
        <v>1.5995784278783566E-3</v>
      </c>
      <c r="Q97" s="52">
        <f t="shared" si="46"/>
        <v>0.75</v>
      </c>
      <c r="R97" s="52">
        <f>Q97*MIN(N97,0.8*(0.85*fc_*(Agth*1000000-'KT THAN'!$D$11)+fy_*'KT THAN'!$D$11)/1000)</f>
        <v>158763.07851952704</v>
      </c>
      <c r="S97" s="52">
        <f t="shared" si="47"/>
        <v>4.1043385863304141E-12</v>
      </c>
      <c r="T97" s="52"/>
      <c r="U97" s="52">
        <f>bthan*1000*0.01*1.06^91</f>
        <v>11045.781004761868</v>
      </c>
      <c r="V97" s="52">
        <f t="shared" si="48"/>
        <v>251524.11005212564</v>
      </c>
      <c r="W97" s="52">
        <f t="shared" si="49"/>
        <v>2.6226043701171874E-12</v>
      </c>
      <c r="X97" s="52">
        <f t="shared" si="50"/>
        <v>1.5337917349784347E-3</v>
      </c>
      <c r="Y97" s="52">
        <f t="shared" si="51"/>
        <v>0.75</v>
      </c>
      <c r="Z97" s="52">
        <f>Y97*MIN(V97,0.8*(0.85*fc_*(Agth*1000000-'KT THAN'!$D$11)+fy_*'KT THAN'!$D$11)/1000)</f>
        <v>158763.07851952704</v>
      </c>
      <c r="AA97" s="52">
        <f t="shared" si="52"/>
        <v>1.9669532775878908E-12</v>
      </c>
      <c r="AB97" s="52"/>
      <c r="AC97" s="52">
        <f>SMALL($R$6:$R$125,ROWS($AC$6:AC97))</f>
        <v>158763.07851952704</v>
      </c>
      <c r="AD97" s="52">
        <f t="shared" si="53"/>
        <v>22079.283834343303</v>
      </c>
      <c r="AE97" s="52">
        <f>SMALL($Z$6:$Z$125,ROWS($AE$6:AE97))</f>
        <v>158763.07851952704</v>
      </c>
      <c r="AF97" s="52">
        <f t="shared" si="54"/>
        <v>14395.086703266508</v>
      </c>
      <c r="AG97" s="52">
        <f>SMALL($AK$6:$AK$125,ROWS($AG$6:AG97))</f>
        <v>9.9999999999999997E+98</v>
      </c>
      <c r="AH97" s="52">
        <f t="shared" si="55"/>
        <v>-50196.63221187015</v>
      </c>
      <c r="AI97" s="52">
        <f>SMALL($AL$6:$AL$125,ROWS($AI$6:AI97))</f>
        <v>9.9999999999999997E+98</v>
      </c>
      <c r="AJ97" s="52">
        <f t="shared" si="56"/>
        <v>-52115.252211870153</v>
      </c>
      <c r="AK97" s="52">
        <f t="shared" si="57"/>
        <v>9.9999999999999997E+98</v>
      </c>
      <c r="AL97" s="52">
        <f t="shared" si="58"/>
        <v>9.9999999999999997E+98</v>
      </c>
      <c r="AM97" s="52">
        <f t="shared" si="59"/>
        <v>0</v>
      </c>
      <c r="AN97" s="52">
        <f t="shared" si="60"/>
        <v>0</v>
      </c>
    </row>
    <row r="98" spans="1:40" x14ac:dyDescent="0.3">
      <c r="A98" s="52">
        <v>93</v>
      </c>
      <c r="B98" s="52">
        <f>-bthan*500+(42+0.5)*bthan*1000/50</f>
        <v>1925</v>
      </c>
      <c r="C98" s="52">
        <f t="shared" si="61"/>
        <v>-770</v>
      </c>
      <c r="D98" s="52">
        <f t="shared" si="41"/>
        <v>2200</v>
      </c>
      <c r="E98" s="52">
        <f t="shared" si="42"/>
        <v>1</v>
      </c>
      <c r="F98" s="52"/>
      <c r="G98" s="52">
        <f>IF(93&lt;='KT THAN'!$C$11,93,"")</f>
        <v>93</v>
      </c>
      <c r="H98" s="52">
        <f>IF(G98="",0,2*PI()*(G98-0.5)/'KT THAN'!$C$11)</f>
        <v>3.2288591161895095</v>
      </c>
      <c r="I98" s="52">
        <f>IF(G98="",0,IF(shp=1,IF(AND(ABS(SIN(H98))&gt;0.0000001,MAX(1,hthan*500-'KT THAN'!$D$12)*ABS(COS(H98))/ABS(SIN(H98))&lt;=MAX(0,(bthan-hthan)*500)),MAX(1,hthan*500-'KT THAN'!$D$12)/ABS(SIN(H98)),MAX(0,(bthan-hthan)*500)*ABS(COS(H98))+SQRT(MAX(0,MAX(1,hthan*500-'KT THAN'!$D$12)^2-MAX(0,(bthan-hthan)*500)^2*SIN(H98)^2))),MIN((bthan*500-'KT THAN'!$D$12)/MAX(0.0000001,ABS(COS(H98))),(hthan*500-'KT THAN'!$D$12)/MAX(0.0000001,ABS(SIN(H98)))))*COS(H98))</f>
        <v>-2611.6585846604949</v>
      </c>
      <c r="J98" s="52">
        <f>IF(G98="",0,IF(shp=1,IF(AND(ABS(SIN(H98))&gt;0.0000001,MAX(1,hthan*500-'KT THAN'!$D$12)*ABS(COS(H98))/ABS(SIN(H98))&lt;=MAX(0,(bthan-hthan)*500)),MAX(1,hthan*500-'KT THAN'!$D$12)/ABS(SIN(H98)),MAX(0,(bthan-hthan)*500)*ABS(COS(H98))+SQRT(MAX(0,MAX(1,hthan*500-'KT THAN'!$D$12)^2-MAX(0,(bthan-hthan)*500)^2*SIN(H98)^2))),MIN((bthan*500-'KT THAN'!$D$12)/MAX(0.0000001,ABS(COS(H98))),(hthan*500-'KT THAN'!$D$12)/MAX(0.0000001,ABS(SIN(H98)))))*SIN(H98))</f>
        <v>-228.49051915795235</v>
      </c>
      <c r="K98" s="52">
        <f>IF(G98="",0,'KT THAN'!$D$11/'KT THAN'!$C$11)</f>
        <v>804.24771931898704</v>
      </c>
      <c r="L98" s="52"/>
      <c r="M98" s="52">
        <f>hthan*1000*0.01*1.06^92</f>
        <v>3406.1171971047506</v>
      </c>
      <c r="N98" s="52">
        <f t="shared" si="43"/>
        <v>264925.93875929294</v>
      </c>
      <c r="O98" s="52">
        <f t="shared" si="44"/>
        <v>5.4724514484405519E-12</v>
      </c>
      <c r="P98" s="52">
        <f t="shared" si="45"/>
        <v>1.6788475734701479E-3</v>
      </c>
      <c r="Q98" s="52">
        <f t="shared" si="46"/>
        <v>0.75</v>
      </c>
      <c r="R98" s="52">
        <f>Q98*MIN(N98,0.8*(0.85*fc_*(Agth*1000000-'KT THAN'!$D$11)+fy_*'KT THAN'!$D$11)/1000)</f>
        <v>158763.07851952704</v>
      </c>
      <c r="S98" s="52">
        <f t="shared" si="47"/>
        <v>4.1043385863304141E-12</v>
      </c>
      <c r="T98" s="52"/>
      <c r="U98" s="52">
        <f>bthan*1000*0.01*1.06^92</f>
        <v>11708.527865047581</v>
      </c>
      <c r="V98" s="52">
        <f t="shared" si="48"/>
        <v>254103.83218341653</v>
      </c>
      <c r="W98" s="52">
        <f t="shared" si="49"/>
        <v>9.1791152954101564E-12</v>
      </c>
      <c r="X98" s="52">
        <f t="shared" si="50"/>
        <v>1.6167846556400329E-3</v>
      </c>
      <c r="Y98" s="52">
        <f t="shared" si="51"/>
        <v>0.75</v>
      </c>
      <c r="Z98" s="52">
        <f>Y98*MIN(V98,0.8*(0.85*fc_*(Agth*1000000-'KT THAN'!$D$11)+fy_*'KT THAN'!$D$11)/1000)</f>
        <v>158763.07851952704</v>
      </c>
      <c r="AA98" s="52">
        <f t="shared" si="52"/>
        <v>6.8843364715576173E-12</v>
      </c>
      <c r="AB98" s="52"/>
      <c r="AC98" s="52">
        <f>SMALL($R$6:$R$125,ROWS($AC$6:AC98))</f>
        <v>158763.07851952704</v>
      </c>
      <c r="AD98" s="52">
        <f t="shared" si="53"/>
        <v>22079.283834343303</v>
      </c>
      <c r="AE98" s="52">
        <f>SMALL($Z$6:$Z$125,ROWS($AE$6:AE98))</f>
        <v>158763.07851952704</v>
      </c>
      <c r="AF98" s="52">
        <f t="shared" si="54"/>
        <v>14395.086703266508</v>
      </c>
      <c r="AG98" s="52">
        <f>SMALL($AK$6:$AK$125,ROWS($AG$6:AG98))</f>
        <v>9.9999999999999997E+98</v>
      </c>
      <c r="AH98" s="52">
        <f t="shared" si="55"/>
        <v>-50196.63221187015</v>
      </c>
      <c r="AI98" s="52">
        <f>SMALL($AL$6:$AL$125,ROWS($AI$6:AI98))</f>
        <v>9.9999999999999997E+98</v>
      </c>
      <c r="AJ98" s="52">
        <f t="shared" si="56"/>
        <v>-52115.252211870153</v>
      </c>
      <c r="AK98" s="52">
        <f t="shared" si="57"/>
        <v>9.9999999999999997E+98</v>
      </c>
      <c r="AL98" s="52">
        <f t="shared" si="58"/>
        <v>9.9999999999999997E+98</v>
      </c>
      <c r="AM98" s="52">
        <f t="shared" si="59"/>
        <v>0</v>
      </c>
      <c r="AN98" s="52">
        <f t="shared" si="60"/>
        <v>0</v>
      </c>
    </row>
    <row r="99" spans="1:40" x14ac:dyDescent="0.3">
      <c r="A99" s="52">
        <v>94</v>
      </c>
      <c r="B99" s="52">
        <f>-bthan*500+(43+0.5)*bthan*1000/50</f>
        <v>2035</v>
      </c>
      <c r="C99" s="52">
        <f t="shared" si="61"/>
        <v>-770</v>
      </c>
      <c r="D99" s="52">
        <f t="shared" si="41"/>
        <v>2200</v>
      </c>
      <c r="E99" s="52">
        <f t="shared" si="42"/>
        <v>1</v>
      </c>
      <c r="F99" s="52"/>
      <c r="G99" s="52">
        <f>IF(94&lt;='KT THAN'!$C$11,94,"")</f>
        <v>94</v>
      </c>
      <c r="H99" s="52">
        <f>IF(G99="",0,2*PI()*(G99-0.5)/'KT THAN'!$C$11)</f>
        <v>3.2637657012293966</v>
      </c>
      <c r="I99" s="52">
        <f>IF(G99="",0,IF(shp=1,IF(AND(ABS(SIN(H99))&gt;0.0000001,MAX(1,hthan*500-'KT THAN'!$D$12)*ABS(COS(H99))/ABS(SIN(H99))&lt;=MAX(0,(bthan-hthan)*500)),MAX(1,hthan*500-'KT THAN'!$D$12)/ABS(SIN(H99)),MAX(0,(bthan-hthan)*500)*ABS(COS(H99))+SQRT(MAX(0,MAX(1,hthan*500-'KT THAN'!$D$12)^2-MAX(0,(bthan-hthan)*500)^2*SIN(H99)^2))),MIN((bthan*500-'KT THAN'!$D$12)/MAX(0.0000001,ABS(COS(H99))),(hthan*500-'KT THAN'!$D$12)/MAX(0.0000001,ABS(SIN(H99)))))*COS(H99))</f>
        <v>-2574.5564894608901</v>
      </c>
      <c r="J99" s="52">
        <f>IF(G99="",0,IF(shp=1,IF(AND(ABS(SIN(H99))&gt;0.0000001,MAX(1,hthan*500-'KT THAN'!$D$12)*ABS(COS(H99))/ABS(SIN(H99))&lt;=MAX(0,(bthan-hthan)*500)),MAX(1,hthan*500-'KT THAN'!$D$12)/ABS(SIN(H99)),MAX(0,(bthan-hthan)*500)*ABS(COS(H99))+SQRT(MAX(0,MAX(1,hthan*500-'KT THAN'!$D$12)^2-MAX(0,(bthan-hthan)*500)^2*SIN(H99)^2))),MIN((bthan*500-'KT THAN'!$D$12)/MAX(0.0000001,ABS(COS(H99))),(hthan*500-'KT THAN'!$D$12)/MAX(0.0000001,ABS(SIN(H99)))))*SIN(H99))</f>
        <v>-316.11578807817961</v>
      </c>
      <c r="K99" s="52">
        <f>IF(G99="",0,'KT THAN'!$D$11/'KT THAN'!$C$11)</f>
        <v>804.24771931898704</v>
      </c>
      <c r="L99" s="52"/>
      <c r="M99" s="52">
        <f>hthan*1000*0.01*1.06^93</f>
        <v>3610.4842289310359</v>
      </c>
      <c r="N99" s="52">
        <f t="shared" si="43"/>
        <v>264925.93875929294</v>
      </c>
      <c r="O99" s="52">
        <f t="shared" si="44"/>
        <v>5.4724514484405519E-12</v>
      </c>
      <c r="P99" s="52">
        <f t="shared" si="45"/>
        <v>1.7536297862925923E-3</v>
      </c>
      <c r="Q99" s="52">
        <f t="shared" si="46"/>
        <v>0.75</v>
      </c>
      <c r="R99" s="52">
        <f>Q99*MIN(N99,0.8*(0.85*fc_*(Agth*1000000-'KT THAN'!$D$11)+fy_*'KT THAN'!$D$11)/1000)</f>
        <v>158763.07851952704</v>
      </c>
      <c r="S99" s="52">
        <f t="shared" si="47"/>
        <v>4.1043385863304141E-12</v>
      </c>
      <c r="T99" s="52"/>
      <c r="U99" s="52">
        <f>bthan*1000*0.01*1.06^93</f>
        <v>12411.039536950437</v>
      </c>
      <c r="V99" s="52">
        <f t="shared" si="48"/>
        <v>256614.90795565624</v>
      </c>
      <c r="W99" s="52">
        <f t="shared" si="49"/>
        <v>8.7022781372070311E-12</v>
      </c>
      <c r="X99" s="52">
        <f t="shared" si="50"/>
        <v>1.6950798638113516E-3</v>
      </c>
      <c r="Y99" s="52">
        <f t="shared" si="51"/>
        <v>0.75</v>
      </c>
      <c r="Z99" s="52">
        <f>Y99*MIN(V99,0.8*(0.85*fc_*(Agth*1000000-'KT THAN'!$D$11)+fy_*'KT THAN'!$D$11)/1000)</f>
        <v>158763.07851952704</v>
      </c>
      <c r="AA99" s="52">
        <f t="shared" si="52"/>
        <v>6.5267086029052738E-12</v>
      </c>
      <c r="AB99" s="52"/>
      <c r="AC99" s="52">
        <f>SMALL($R$6:$R$125,ROWS($AC$6:AC99))</f>
        <v>158763.07851952704</v>
      </c>
      <c r="AD99" s="52">
        <f t="shared" si="53"/>
        <v>22079.283834343303</v>
      </c>
      <c r="AE99" s="52">
        <f>SMALL($Z$6:$Z$125,ROWS($AE$6:AE99))</f>
        <v>158763.07851952704</v>
      </c>
      <c r="AF99" s="52">
        <f t="shared" si="54"/>
        <v>14395.086703266508</v>
      </c>
      <c r="AG99" s="52">
        <f>SMALL($AK$6:$AK$125,ROWS($AG$6:AG99))</f>
        <v>9.9999999999999997E+98</v>
      </c>
      <c r="AH99" s="52">
        <f t="shared" si="55"/>
        <v>-50196.63221187015</v>
      </c>
      <c r="AI99" s="52">
        <f>SMALL($AL$6:$AL$125,ROWS($AI$6:AI99))</f>
        <v>9.9999999999999997E+98</v>
      </c>
      <c r="AJ99" s="52">
        <f t="shared" si="56"/>
        <v>-52115.252211870153</v>
      </c>
      <c r="AK99" s="52">
        <f t="shared" si="57"/>
        <v>9.9999999999999997E+98</v>
      </c>
      <c r="AL99" s="52">
        <f t="shared" si="58"/>
        <v>9.9999999999999997E+98</v>
      </c>
      <c r="AM99" s="52">
        <f t="shared" si="59"/>
        <v>0</v>
      </c>
      <c r="AN99" s="52">
        <f t="shared" si="60"/>
        <v>0</v>
      </c>
    </row>
    <row r="100" spans="1:40" x14ac:dyDescent="0.3">
      <c r="A100" s="52">
        <v>95</v>
      </c>
      <c r="B100" s="52">
        <f>-bthan*500+(44+0.5)*bthan*1000/50</f>
        <v>2145</v>
      </c>
      <c r="C100" s="52">
        <f t="shared" si="61"/>
        <v>-770</v>
      </c>
      <c r="D100" s="52">
        <f t="shared" si="41"/>
        <v>2200</v>
      </c>
      <c r="E100" s="52">
        <f t="shared" si="42"/>
        <v>1</v>
      </c>
      <c r="F100" s="52"/>
      <c r="G100" s="52">
        <f>IF(95&lt;='KT THAN'!$C$11,95,"")</f>
        <v>95</v>
      </c>
      <c r="H100" s="52">
        <f>IF(G100="",0,2*PI()*(G100-0.5)/'KT THAN'!$C$11)</f>
        <v>3.2986722862692828</v>
      </c>
      <c r="I100" s="52">
        <f>IF(G100="",0,IF(shp=1,IF(AND(ABS(SIN(H100))&gt;0.0000001,MAX(1,hthan*500-'KT THAN'!$D$12)*ABS(COS(H100))/ABS(SIN(H100))&lt;=MAX(0,(bthan-hthan)*500)),MAX(1,hthan*500-'KT THAN'!$D$12)/ABS(SIN(H100)),MAX(0,(bthan-hthan)*500)*ABS(COS(H100))+SQRT(MAX(0,MAX(1,hthan*500-'KT THAN'!$D$12)^2-MAX(0,(bthan-hthan)*500)^2*SIN(H100)^2))),MIN((bthan*500-'KT THAN'!$D$12)/MAX(0.0000001,ABS(COS(H100))),(hthan*500-'KT THAN'!$D$12)/MAX(0.0000001,ABS(SIN(H100)))))*COS(H100))</f>
        <v>-2524.5599734070092</v>
      </c>
      <c r="J100" s="52">
        <f>IF(G100="",0,IF(shp=1,IF(AND(ABS(SIN(H100))&gt;0.0000001,MAX(1,hthan*500-'KT THAN'!$D$12)*ABS(COS(H100))/ABS(SIN(H100))&lt;=MAX(0,(bthan-hthan)*500)),MAX(1,hthan*500-'KT THAN'!$D$12)/ABS(SIN(H100)),MAX(0,(bthan-hthan)*500)*ABS(COS(H100))+SQRT(MAX(0,MAX(1,hthan*500-'KT THAN'!$D$12)^2-MAX(0,(bthan-hthan)*500)^2*SIN(H100)^2))),MIN((bthan*500-'KT THAN'!$D$12)/MAX(0.0000001,ABS(COS(H100))),(hthan*500-'KT THAN'!$D$12)/MAX(0.0000001,ABS(SIN(H100)))))*SIN(H100))</f>
        <v>-399.85101845379501</v>
      </c>
      <c r="K100" s="52">
        <f>IF(G100="",0,'KT THAN'!$D$11/'KT THAN'!$C$11)</f>
        <v>804.24771931898704</v>
      </c>
      <c r="L100" s="52"/>
      <c r="M100" s="52">
        <f>hthan*1000*0.01*1.06^94</f>
        <v>3827.1132826668982</v>
      </c>
      <c r="N100" s="52">
        <f t="shared" si="43"/>
        <v>264925.93875929294</v>
      </c>
      <c r="O100" s="52">
        <f t="shared" si="44"/>
        <v>5.4724514484405519E-12</v>
      </c>
      <c r="P100" s="52">
        <f t="shared" si="45"/>
        <v>1.824179043672257E-3</v>
      </c>
      <c r="Q100" s="52">
        <f t="shared" si="46"/>
        <v>0.75</v>
      </c>
      <c r="R100" s="52">
        <f>Q100*MIN(N100,0.8*(0.85*fc_*(Agth*1000000-'KT THAN'!$D$11)+fy_*'KT THAN'!$D$11)/1000)</f>
        <v>158763.07851952704</v>
      </c>
      <c r="S100" s="52">
        <f t="shared" si="47"/>
        <v>4.1043385863304141E-12</v>
      </c>
      <c r="T100" s="52"/>
      <c r="U100" s="52">
        <f>bthan*1000*0.01*1.06^94</f>
        <v>13155.701909167463</v>
      </c>
      <c r="V100" s="52">
        <f t="shared" si="48"/>
        <v>259054.28334825308</v>
      </c>
      <c r="W100" s="52">
        <f t="shared" si="49"/>
        <v>9.8943710327148435E-12</v>
      </c>
      <c r="X100" s="52">
        <f t="shared" si="50"/>
        <v>1.7689432677465582E-3</v>
      </c>
      <c r="Y100" s="52">
        <f t="shared" si="51"/>
        <v>0.75</v>
      </c>
      <c r="Z100" s="52">
        <f>Y100*MIN(V100,0.8*(0.85*fc_*(Agth*1000000-'KT THAN'!$D$11)+fy_*'KT THAN'!$D$11)/1000)</f>
        <v>158763.07851952704</v>
      </c>
      <c r="AA100" s="52">
        <f t="shared" si="52"/>
        <v>7.4207782745361322E-12</v>
      </c>
      <c r="AB100" s="52"/>
      <c r="AC100" s="52">
        <f>SMALL($R$6:$R$125,ROWS($AC$6:AC100))</f>
        <v>158763.07851952704</v>
      </c>
      <c r="AD100" s="52">
        <f t="shared" si="53"/>
        <v>22079.283834343303</v>
      </c>
      <c r="AE100" s="52">
        <f>SMALL($Z$6:$Z$125,ROWS($AE$6:AE100))</f>
        <v>158763.07851952704</v>
      </c>
      <c r="AF100" s="52">
        <f t="shared" si="54"/>
        <v>14395.086703266508</v>
      </c>
      <c r="AG100" s="52">
        <f>SMALL($AK$6:$AK$125,ROWS($AG$6:AG100))</f>
        <v>9.9999999999999997E+98</v>
      </c>
      <c r="AH100" s="52">
        <f t="shared" si="55"/>
        <v>-50196.63221187015</v>
      </c>
      <c r="AI100" s="52">
        <f>SMALL($AL$6:$AL$125,ROWS($AI$6:AI100))</f>
        <v>9.9999999999999997E+98</v>
      </c>
      <c r="AJ100" s="52">
        <f t="shared" si="56"/>
        <v>-52115.252211870153</v>
      </c>
      <c r="AK100" s="52">
        <f t="shared" si="57"/>
        <v>9.9999999999999997E+98</v>
      </c>
      <c r="AL100" s="52">
        <f t="shared" si="58"/>
        <v>9.9999999999999997E+98</v>
      </c>
      <c r="AM100" s="52">
        <f t="shared" si="59"/>
        <v>0</v>
      </c>
      <c r="AN100" s="52">
        <f t="shared" si="60"/>
        <v>0</v>
      </c>
    </row>
    <row r="101" spans="1:40" x14ac:dyDescent="0.3">
      <c r="A101" s="52">
        <v>96</v>
      </c>
      <c r="B101" s="52">
        <f>-bthan*500+(45+0.5)*bthan*1000/50</f>
        <v>2255</v>
      </c>
      <c r="C101" s="52">
        <f t="shared" si="61"/>
        <v>-770</v>
      </c>
      <c r="D101" s="52">
        <f t="shared" si="41"/>
        <v>2200</v>
      </c>
      <c r="E101" s="52">
        <f t="shared" si="42"/>
        <v>0</v>
      </c>
      <c r="F101" s="52"/>
      <c r="G101" s="52">
        <f>IF(96&lt;='KT THAN'!$C$11,96,"")</f>
        <v>96</v>
      </c>
      <c r="H101" s="52">
        <f>IF(G101="",0,2*PI()*(G101-0.5)/'KT THAN'!$C$11)</f>
        <v>3.3335788713091694</v>
      </c>
      <c r="I101" s="52">
        <f>IF(G101="",0,IF(shp=1,IF(AND(ABS(SIN(H101))&gt;0.0000001,MAX(1,hthan*500-'KT THAN'!$D$12)*ABS(COS(H101))/ABS(SIN(H101))&lt;=MAX(0,(bthan-hthan)*500)),MAX(1,hthan*500-'KT THAN'!$D$12)/ABS(SIN(H101)),MAX(0,(bthan-hthan)*500)*ABS(COS(H101))+SQRT(MAX(0,MAX(1,hthan*500-'KT THAN'!$D$12)^2-MAX(0,(bthan-hthan)*500)^2*SIN(H101)^2))),MIN((bthan*500-'KT THAN'!$D$12)/MAX(0.0000001,ABS(COS(H101))),(hthan*500-'KT THAN'!$D$12)/MAX(0.0000001,ABS(SIN(H101)))))*COS(H101))</f>
        <v>-2461.0341055621225</v>
      </c>
      <c r="J101" s="52">
        <f>IF(G101="",0,IF(shp=1,IF(AND(ABS(SIN(H101))&gt;0.0000001,MAX(1,hthan*500-'KT THAN'!$D$12)*ABS(COS(H101))/ABS(SIN(H101))&lt;=MAX(0,(bthan-hthan)*500)),MAX(1,hthan*500-'KT THAN'!$D$12)/ABS(SIN(H101)),MAX(0,(bthan-hthan)*500)*ABS(COS(H101))+SQRT(MAX(0,MAX(1,hthan*500-'KT THAN'!$D$12)^2-MAX(0,(bthan-hthan)*500)^2*SIN(H101)^2))),MIN((bthan*500-'KT THAN'!$D$12)/MAX(0.0000001,ABS(COS(H101))),(hthan*500-'KT THAN'!$D$12)/MAX(0.0000001,ABS(SIN(H101)))))*SIN(H101))</f>
        <v>-478.37657023763359</v>
      </c>
      <c r="K101" s="52">
        <f>IF(G101="",0,'KT THAN'!$D$11/'KT THAN'!$C$11)</f>
        <v>804.24771931898704</v>
      </c>
      <c r="L101" s="52"/>
      <c r="M101" s="52">
        <f>hthan*1000*0.01*1.06^95</f>
        <v>4056.740079626913</v>
      </c>
      <c r="N101" s="52">
        <f t="shared" si="43"/>
        <v>264925.93875929294</v>
      </c>
      <c r="O101" s="52">
        <f t="shared" si="44"/>
        <v>5.4724514484405519E-12</v>
      </c>
      <c r="P101" s="52">
        <f t="shared" si="45"/>
        <v>1.8907349468606203E-3</v>
      </c>
      <c r="Q101" s="52">
        <f t="shared" si="46"/>
        <v>0.75</v>
      </c>
      <c r="R101" s="52">
        <f>Q101*MIN(N101,0.8*(0.85*fc_*(Agth*1000000-'KT THAN'!$D$11)+fy_*'KT THAN'!$D$11)/1000)</f>
        <v>158763.07851952704</v>
      </c>
      <c r="S101" s="52">
        <f t="shared" si="47"/>
        <v>4.1043385863304141E-12</v>
      </c>
      <c r="T101" s="52"/>
      <c r="U101" s="52">
        <f>bthan*1000*0.01*1.06^95</f>
        <v>13945.044023717513</v>
      </c>
      <c r="V101" s="52">
        <f t="shared" si="48"/>
        <v>261421.16580368299</v>
      </c>
      <c r="W101" s="52">
        <f t="shared" si="49"/>
        <v>9.5367431640625008E-12</v>
      </c>
      <c r="X101" s="52">
        <f t="shared" si="50"/>
        <v>1.8386257242892063E-3</v>
      </c>
      <c r="Y101" s="52">
        <f t="shared" si="51"/>
        <v>0.75</v>
      </c>
      <c r="Z101" s="52">
        <f>Y101*MIN(V101,0.8*(0.85*fc_*(Agth*1000000-'KT THAN'!$D$11)+fy_*'KT THAN'!$D$11)/1000)</f>
        <v>158763.07851952704</v>
      </c>
      <c r="AA101" s="52">
        <f t="shared" si="52"/>
        <v>7.152557373046876E-12</v>
      </c>
      <c r="AB101" s="52"/>
      <c r="AC101" s="52">
        <f>SMALL($R$6:$R$125,ROWS($AC$6:AC101))</f>
        <v>158763.07851952704</v>
      </c>
      <c r="AD101" s="52">
        <f t="shared" si="53"/>
        <v>22079.283834343303</v>
      </c>
      <c r="AE101" s="52">
        <f>SMALL($Z$6:$Z$125,ROWS($AE$6:AE101))</f>
        <v>158763.07851952704</v>
      </c>
      <c r="AF101" s="52">
        <f t="shared" si="54"/>
        <v>14395.086703266508</v>
      </c>
      <c r="AG101" s="52">
        <f>SMALL($AK$6:$AK$125,ROWS($AG$6:AG101))</f>
        <v>9.9999999999999997E+98</v>
      </c>
      <c r="AH101" s="52">
        <f t="shared" si="55"/>
        <v>-50196.63221187015</v>
      </c>
      <c r="AI101" s="52">
        <f>SMALL($AL$6:$AL$125,ROWS($AI$6:AI101))</f>
        <v>9.9999999999999997E+98</v>
      </c>
      <c r="AJ101" s="52">
        <f t="shared" si="56"/>
        <v>-52115.252211870153</v>
      </c>
      <c r="AK101" s="52">
        <f t="shared" si="57"/>
        <v>9.9999999999999997E+98</v>
      </c>
      <c r="AL101" s="52">
        <f t="shared" si="58"/>
        <v>9.9999999999999997E+98</v>
      </c>
      <c r="AM101" s="52">
        <f t="shared" si="59"/>
        <v>0</v>
      </c>
      <c r="AN101" s="52">
        <f t="shared" si="60"/>
        <v>0</v>
      </c>
    </row>
    <row r="102" spans="1:40" x14ac:dyDescent="0.3">
      <c r="A102" s="52">
        <v>97</v>
      </c>
      <c r="B102" s="52">
        <f>-bthan*500+(46+0.5)*bthan*1000/50</f>
        <v>2365</v>
      </c>
      <c r="C102" s="52">
        <f t="shared" si="61"/>
        <v>-770</v>
      </c>
      <c r="D102" s="52">
        <f t="shared" si="41"/>
        <v>2200</v>
      </c>
      <c r="E102" s="52">
        <f t="shared" si="42"/>
        <v>0</v>
      </c>
      <c r="F102" s="52"/>
      <c r="G102" s="52">
        <f>IF(97&lt;='KT THAN'!$C$11,97,"")</f>
        <v>97</v>
      </c>
      <c r="H102" s="52">
        <f>IF(G102="",0,2*PI()*(G102-0.5)/'KT THAN'!$C$11)</f>
        <v>3.3684854563490561</v>
      </c>
      <c r="I102" s="52">
        <f>IF(G102="",0,IF(shp=1,IF(AND(ABS(SIN(H102))&gt;0.0000001,MAX(1,hthan*500-'KT THAN'!$D$12)*ABS(COS(H102))/ABS(SIN(H102))&lt;=MAX(0,(bthan-hthan)*500)),MAX(1,hthan*500-'KT THAN'!$D$12)/ABS(SIN(H102)),MAX(0,(bthan-hthan)*500)*ABS(COS(H102))+SQRT(MAX(0,MAX(1,hthan*500-'KT THAN'!$D$12)^2-MAX(0,(bthan-hthan)*500)^2*SIN(H102)^2))),MIN((bthan*500-'KT THAN'!$D$12)/MAX(0.0000001,ABS(COS(H102))),(hthan*500-'KT THAN'!$D$12)/MAX(0.0000001,ABS(SIN(H102)))))*COS(H102))</f>
        <v>-2382.8537205060115</v>
      </c>
      <c r="J102" s="52">
        <f>IF(G102="",0,IF(shp=1,IF(AND(ABS(SIN(H102))&gt;0.0000001,MAX(1,hthan*500-'KT THAN'!$D$12)*ABS(COS(H102))/ABS(SIN(H102))&lt;=MAX(0,(bthan-hthan)*500)),MAX(1,hthan*500-'KT THAN'!$D$12)/ABS(SIN(H102)),MAX(0,(bthan-hthan)*500)*ABS(COS(H102))+SQRT(MAX(0,MAX(1,hthan*500-'KT THAN'!$D$12)^2-MAX(0,(bthan-hthan)*500)^2*SIN(H102)^2))),MIN((bthan*500-'KT THAN'!$D$12)/MAX(0.0000001,ABS(COS(H102))),(hthan*500-'KT THAN'!$D$12)/MAX(0.0000001,ABS(SIN(H102)))))*SIN(H102))</f>
        <v>-550.12512817004097</v>
      </c>
      <c r="K102" s="52">
        <f>IF(G102="",0,'KT THAN'!$D$11/'KT THAN'!$C$11)</f>
        <v>804.24771931898704</v>
      </c>
      <c r="L102" s="52"/>
      <c r="M102" s="52">
        <f>hthan*1000*0.01*1.06^96</f>
        <v>4300.1444844045272</v>
      </c>
      <c r="N102" s="52">
        <f t="shared" ref="N102:N125" si="62">(SUMPRODUCT($E$6:$E$4005,$D$6:$D$4005,--($C$6:$C$4005&gt;=(hthan*500-MAX(0.65,MIN(0.85,0.85-0.05*(fc_-28)/7))*M102)))*0.85*fc_+SUMPRODUCT($K$6:$K$405,(IF(Es_*(0.003*(M102-(hthan*500-$J$6:$J$405))/M102)&gt;fy_,fy_,IF(Es_*(0.003*(M102-(hthan*500-$J$6:$J$405))/M102)&lt;-fy_,-fy_,Es_*(0.003*(M102-(hthan*500-$J$6:$J$405))/M102)))-0.85*fc_*--($J$6:$J$405&gt;=(hthan*500-MAX(0.65,MIN(0.85,0.85-0.05*(fc_-28)/7))*M102)))))/1000</f>
        <v>264925.93875929294</v>
      </c>
      <c r="O102" s="52">
        <f t="shared" ref="O102:O125" si="63">ABS((SUMPRODUCT($E$6:$E$4005,$D$6:$D$4005,--($C$6:$C$4005&gt;=(hthan*500-MAX(0.65,MIN(0.85,0.85-0.05*(fc_-28)/7))*M102)),$C$6:$C$4005)*0.85*fc_+SUMPRODUCT($K$6:$K$405,(IF(Es_*(0.003*(M102-(hthan*500-$J$6:$J$405))/M102)&gt;fy_,fy_,IF(Es_*(0.003*(M102-(hthan*500-$J$6:$J$405))/M102)&lt;-fy_,-fy_,Es_*(0.003*(M102-(hthan*500-$J$6:$J$405))/M102)))-0.85*fc_*--($J$6:$J$405&gt;=(hthan*500-MAX(0.65,MIN(0.85,0.85-0.05*(fc_-28)/7))*M102))),$J$6:$J$405))/1000000)</f>
        <v>5.4724514484405519E-12</v>
      </c>
      <c r="P102" s="52">
        <f t="shared" ref="P102:P125" si="64">0.003*(M102-(hthan*500-MIN($J$6:$J$405)))/M102</f>
        <v>1.9535235347741698E-3</v>
      </c>
      <c r="Q102" s="52">
        <f t="shared" ref="Q102:Q125" si="65">MIN(0.9,MAX(0.75,0.75+0.15*((-P102)-0.002)/0.003))</f>
        <v>0.75</v>
      </c>
      <c r="R102" s="52">
        <f>Q102*MIN(N102,0.8*(0.85*fc_*(Agth*1000000-'KT THAN'!$D$11)+fy_*'KT THAN'!$D$11)/1000)</f>
        <v>158763.07851952704</v>
      </c>
      <c r="S102" s="52">
        <f t="shared" ref="S102:S125" si="66">Q102*O102</f>
        <v>4.1043385863304141E-12</v>
      </c>
      <c r="T102" s="52"/>
      <c r="U102" s="52">
        <f>bthan*1000*0.01*1.06^96</f>
        <v>14781.746665140563</v>
      </c>
      <c r="V102" s="52">
        <f t="shared" ref="V102:V125" si="67">(SUMPRODUCT($E$6:$E$4005,$D$6:$D$4005,--($B$6:$B$4005&gt;=(bthan*500-MAX(0.65,MIN(0.85,0.85-0.05*(fc_-28)/7))*U102)))*0.85*fc_+SUMPRODUCT($K$6:$K$405,(IF(Es_*(0.003*(U102-(bthan*500-$I$6:$I$405))/U102)&gt;fy_,fy_,IF(Es_*(0.003*(U102-(bthan*500-$I$6:$I$405))/U102)&lt;-fy_,-fy_,Es_*(0.003*(U102-(bthan*500-$I$6:$I$405))/U102)))-0.85*fc_*--($I$6:$I$405&gt;=(bthan*500-MAX(0.65,MIN(0.85,0.85-0.05*(fc_-28)/7))*U102)))))/1000</f>
        <v>263717.78793145641</v>
      </c>
      <c r="W102" s="52">
        <f t="shared" ref="W102:W125" si="68">ABS((SUMPRODUCT($E$6:$E$4005,$D$6:$D$4005,--($B$6:$B$4005&gt;=(bthan*500-MAX(0.65,MIN(0.85,0.85-0.05*(fc_-28)/7))*U102)),$B$6:$B$4005)*0.85*fc_+SUMPRODUCT($K$6:$K$405,(IF(Es_*(0.003*(U102-(bthan*500-$I$6:$I$405))/U102)&gt;fy_,fy_,IF(Es_*(0.003*(U102-(bthan*500-$I$6:$I$405))/U102)&lt;-fy_,-fy_,Es_*(0.003*(U102-(bthan*500-$I$6:$I$405))/U102)))-0.85*fc_*--($I$6:$I$405&gt;=(bthan*500-MAX(0.65,MIN(0.85,0.85-0.05*(fc_-28)/7))*U102))),$I$6:$I$405))/1000000)</f>
        <v>1.3589859008789063E-11</v>
      </c>
      <c r="X102" s="52">
        <f t="shared" ref="X102:X125" si="69">0.003*(U102-(bthan*500-MIN($I$6:$I$405)))/U102</f>
        <v>1.9043638908388737E-3</v>
      </c>
      <c r="Y102" s="52">
        <f t="shared" ref="Y102:Y125" si="70">MIN(0.9,MAX(0.75,0.75+0.15*((-X102)-0.002)/0.003))</f>
        <v>0.75</v>
      </c>
      <c r="Z102" s="52">
        <f>Y102*MIN(V102,0.8*(0.85*fc_*(Agth*1000000-'KT THAN'!$D$11)+fy_*'KT THAN'!$D$11)/1000)</f>
        <v>158763.07851952704</v>
      </c>
      <c r="AA102" s="52">
        <f t="shared" ref="AA102:AA125" si="71">Y102*W102</f>
        <v>1.0192394256591797E-11</v>
      </c>
      <c r="AB102" s="52"/>
      <c r="AC102" s="52">
        <f>SMALL($R$6:$R$125,ROWS($AC$6:AC102))</f>
        <v>158763.07851952704</v>
      </c>
      <c r="AD102" s="52">
        <f t="shared" ref="AD102:AD125" si="72">INDEX($S$6:$S$125,MATCH(AC102,$R$6:$R$125,0))</f>
        <v>22079.283834343303</v>
      </c>
      <c r="AE102" s="52">
        <f>SMALL($Z$6:$Z$125,ROWS($AE$6:AE102))</f>
        <v>158763.07851952704</v>
      </c>
      <c r="AF102" s="52">
        <f t="shared" ref="AF102:AF125" si="73">INDEX($AA$6:$AA$125,MATCH(AE102,$Z$6:$Z$125,0))</f>
        <v>14395.086703266508</v>
      </c>
      <c r="AG102" s="52">
        <f>SMALL($AK$6:$AK$125,ROWS($AG$6:AG102))</f>
        <v>9.9999999999999997E+98</v>
      </c>
      <c r="AH102" s="52">
        <f t="shared" ref="AH102:AH125" si="74">INDEX($R$6:$R$125,MATCH(AG102,$AK$6:$AK$125,0))</f>
        <v>-50196.63221187015</v>
      </c>
      <c r="AI102" s="52">
        <f>SMALL($AL$6:$AL$125,ROWS($AI$6:AI102))</f>
        <v>9.9999999999999997E+98</v>
      </c>
      <c r="AJ102" s="52">
        <f t="shared" ref="AJ102:AJ125" si="75">INDEX($Z$6:$Z$125,MATCH(AI102,$AL$6:$AL$125,0))</f>
        <v>-52115.252211870153</v>
      </c>
      <c r="AK102" s="52">
        <f t="shared" ref="AK102:AK125" si="76">IF(AND(R102&gt;0,AM102=1),S102/R102,1E+99)</f>
        <v>9.9999999999999997E+98</v>
      </c>
      <c r="AL102" s="52">
        <f t="shared" ref="AL102:AL125" si="77">IF(AND(Z102&gt;0,AN102=1),AA102/Z102,1E+99)</f>
        <v>9.9999999999999997E+98</v>
      </c>
      <c r="AM102" s="52">
        <f t="shared" ref="AM102:AM125" si="78">--(SUMPRODUCT(--($R$6:$R$125&gt;=R102),--($S$6:$S$125&gt;S102))=0)</f>
        <v>0</v>
      </c>
      <c r="AN102" s="52">
        <f t="shared" ref="AN102:AN125" si="79">--(SUMPRODUCT(--($Z$6:$Z$125&gt;=Z102),--($AA$6:$AA$125&gt;AA102))=0)</f>
        <v>0</v>
      </c>
    </row>
    <row r="103" spans="1:40" x14ac:dyDescent="0.3">
      <c r="A103" s="52">
        <v>98</v>
      </c>
      <c r="B103" s="52">
        <f>-bthan*500+(47+0.5)*bthan*1000/50</f>
        <v>2475</v>
      </c>
      <c r="C103" s="52">
        <f t="shared" si="61"/>
        <v>-770</v>
      </c>
      <c r="D103" s="52">
        <f t="shared" si="41"/>
        <v>2200</v>
      </c>
      <c r="E103" s="52">
        <f t="shared" si="42"/>
        <v>0</v>
      </c>
      <c r="F103" s="52"/>
      <c r="G103" s="52">
        <f>IF(98&lt;='KT THAN'!$C$11,98,"")</f>
        <v>98</v>
      </c>
      <c r="H103" s="52">
        <f>IF(G103="",0,2*PI()*(G103-0.5)/'KT THAN'!$C$11)</f>
        <v>3.4033920413889422</v>
      </c>
      <c r="I103" s="52">
        <f>IF(G103="",0,IF(shp=1,IF(AND(ABS(SIN(H103))&gt;0.0000001,MAX(1,hthan*500-'KT THAN'!$D$12)*ABS(COS(H103))/ABS(SIN(H103))&lt;=MAX(0,(bthan-hthan)*500)),MAX(1,hthan*500-'KT THAN'!$D$12)/ABS(SIN(H103)),MAX(0,(bthan-hthan)*500)*ABS(COS(H103))+SQRT(MAX(0,MAX(1,hthan*500-'KT THAN'!$D$12)^2-MAX(0,(bthan-hthan)*500)^2*SIN(H103)^2))),MIN((bthan*500-'KT THAN'!$D$12)/MAX(0.0000001,ABS(COS(H103))),(hthan*500-'KT THAN'!$D$12)/MAX(0.0000001,ABS(SIN(H103)))))*COS(H103))</f>
        <v>-2287.9043557248292</v>
      </c>
      <c r="J103" s="52">
        <f>IF(G103="",0,IF(shp=1,IF(AND(ABS(SIN(H103))&gt;0.0000001,MAX(1,hthan*500-'KT THAN'!$D$12)*ABS(COS(H103))/ABS(SIN(H103))&lt;=MAX(0,(bthan-hthan)*500)),MAX(1,hthan*500-'KT THAN'!$D$12)/ABS(SIN(H103)),MAX(0,(bthan-hthan)*500)*ABS(COS(H103))+SQRT(MAX(0,MAX(1,hthan*500-'KT THAN'!$D$12)^2-MAX(0,(bthan-hthan)*500)^2*SIN(H103)^2))),MIN((bthan*500-'KT THAN'!$D$12)/MAX(0.0000001,ABS(COS(H103))),(hthan*500-'KT THAN'!$D$12)/MAX(0.0000001,ABS(SIN(H103)))))*SIN(H103))</f>
        <v>-613.04212447611496</v>
      </c>
      <c r="K103" s="52">
        <f>IF(G103="",0,'KT THAN'!$D$11/'KT THAN'!$C$11)</f>
        <v>804.24771931898704</v>
      </c>
      <c r="L103" s="52"/>
      <c r="M103" s="52">
        <f>hthan*1000*0.01*1.06^97</f>
        <v>4558.1531534687983</v>
      </c>
      <c r="N103" s="52">
        <f t="shared" si="62"/>
        <v>264925.93875929294</v>
      </c>
      <c r="O103" s="52">
        <f t="shared" si="63"/>
        <v>5.4724514484405519E-12</v>
      </c>
      <c r="P103" s="52">
        <f t="shared" si="64"/>
        <v>2.0127580516737446E-3</v>
      </c>
      <c r="Q103" s="52">
        <f t="shared" si="65"/>
        <v>0.75</v>
      </c>
      <c r="R103" s="52">
        <f>Q103*MIN(N103,0.8*(0.85*fc_*(Agth*1000000-'KT THAN'!$D$11)+fy_*'KT THAN'!$D$11)/1000)</f>
        <v>158763.07851952704</v>
      </c>
      <c r="S103" s="52">
        <f t="shared" si="66"/>
        <v>4.1043385863304141E-12</v>
      </c>
      <c r="T103" s="52"/>
      <c r="U103" s="52">
        <f>bthan*1000*0.01*1.06^97</f>
        <v>15668.651465048993</v>
      </c>
      <c r="V103" s="52">
        <f t="shared" si="67"/>
        <v>264925.93875929294</v>
      </c>
      <c r="W103" s="52">
        <f t="shared" si="68"/>
        <v>4.0531158447265625E-12</v>
      </c>
      <c r="X103" s="52">
        <f t="shared" si="69"/>
        <v>1.966381029093277E-3</v>
      </c>
      <c r="Y103" s="52">
        <f t="shared" si="70"/>
        <v>0.75</v>
      </c>
      <c r="Z103" s="52">
        <f>Y103*MIN(V103,0.8*(0.85*fc_*(Agth*1000000-'KT THAN'!$D$11)+fy_*'KT THAN'!$D$11)/1000)</f>
        <v>158763.07851952704</v>
      </c>
      <c r="AA103" s="52">
        <f t="shared" si="71"/>
        <v>3.0398368835449219E-12</v>
      </c>
      <c r="AB103" s="52"/>
      <c r="AC103" s="52">
        <f>SMALL($R$6:$R$125,ROWS($AC$6:AC103))</f>
        <v>158763.07851952704</v>
      </c>
      <c r="AD103" s="52">
        <f t="shared" si="72"/>
        <v>22079.283834343303</v>
      </c>
      <c r="AE103" s="52">
        <f>SMALL($Z$6:$Z$125,ROWS($AE$6:AE103))</f>
        <v>158763.07851952704</v>
      </c>
      <c r="AF103" s="52">
        <f t="shared" si="73"/>
        <v>14395.086703266508</v>
      </c>
      <c r="AG103" s="52">
        <f>SMALL($AK$6:$AK$125,ROWS($AG$6:AG103))</f>
        <v>9.9999999999999997E+98</v>
      </c>
      <c r="AH103" s="52">
        <f t="shared" si="74"/>
        <v>-50196.63221187015</v>
      </c>
      <c r="AI103" s="52">
        <f>SMALL($AL$6:$AL$125,ROWS($AI$6:AI103))</f>
        <v>9.9999999999999997E+98</v>
      </c>
      <c r="AJ103" s="52">
        <f t="shared" si="75"/>
        <v>-52115.252211870153</v>
      </c>
      <c r="AK103" s="52">
        <f t="shared" si="76"/>
        <v>9.9999999999999997E+98</v>
      </c>
      <c r="AL103" s="52">
        <f t="shared" si="77"/>
        <v>9.9999999999999997E+98</v>
      </c>
      <c r="AM103" s="52">
        <f t="shared" si="78"/>
        <v>0</v>
      </c>
      <c r="AN103" s="52">
        <f t="shared" si="79"/>
        <v>0</v>
      </c>
    </row>
    <row r="104" spans="1:40" x14ac:dyDescent="0.3">
      <c r="A104" s="52">
        <v>99</v>
      </c>
      <c r="B104" s="52">
        <f>-bthan*500+(48+0.5)*bthan*1000/50</f>
        <v>2585</v>
      </c>
      <c r="C104" s="52">
        <f t="shared" si="61"/>
        <v>-770</v>
      </c>
      <c r="D104" s="52">
        <f t="shared" si="41"/>
        <v>2200</v>
      </c>
      <c r="E104" s="52">
        <f t="shared" si="42"/>
        <v>0</v>
      </c>
      <c r="F104" s="52"/>
      <c r="G104" s="52">
        <f>IF(99&lt;='KT THAN'!$C$11,99,"")</f>
        <v>99</v>
      </c>
      <c r="H104" s="52">
        <f>IF(G104="",0,2*PI()*(G104-0.5)/'KT THAN'!$C$11)</f>
        <v>3.4382986264288289</v>
      </c>
      <c r="I104" s="52">
        <f>IF(G104="",0,IF(shp=1,IF(AND(ABS(SIN(H104))&gt;0.0000001,MAX(1,hthan*500-'KT THAN'!$D$12)*ABS(COS(H104))/ABS(SIN(H104))&lt;=MAX(0,(bthan-hthan)*500)),MAX(1,hthan*500-'KT THAN'!$D$12)/ABS(SIN(H104)),MAX(0,(bthan-hthan)*500)*ABS(COS(H104))+SQRT(MAX(0,MAX(1,hthan*500-'KT THAN'!$D$12)^2-MAX(0,(bthan-hthan)*500)^2*SIN(H104)^2))),MIN((bthan*500-'KT THAN'!$D$12)/MAX(0.0000001,ABS(COS(H104))),(hthan*500-'KT THAN'!$D$12)/MAX(0.0000001,ABS(SIN(H104)))))*COS(H104))</f>
        <v>-2171.714647787895</v>
      </c>
      <c r="J104" s="52">
        <f>IF(G104="",0,IF(shp=1,IF(AND(ABS(SIN(H104))&gt;0.0000001,MAX(1,hthan*500-'KT THAN'!$D$12)*ABS(COS(H104))/ABS(SIN(H104))&lt;=MAX(0,(bthan-hthan)*500)),MAX(1,hthan*500-'KT THAN'!$D$12)/ABS(SIN(H104)),MAX(0,(bthan-hthan)*500)*ABS(COS(H104))+SQRT(MAX(0,MAX(1,hthan*500-'KT THAN'!$D$12)^2-MAX(0,(bthan-hthan)*500)^2*SIN(H104)^2))),MIN((bthan*500-'KT THAN'!$D$12)/MAX(0.0000001,ABS(COS(H104))),(hthan*500-'KT THAN'!$D$12)/MAX(0.0000001,ABS(SIN(H104)))))*SIN(H104))</f>
        <v>-663.95979920194691</v>
      </c>
      <c r="K104" s="52">
        <f>IF(G104="",0,'KT THAN'!$D$11/'KT THAN'!$C$11)</f>
        <v>804.24771931898704</v>
      </c>
      <c r="L104" s="52"/>
      <c r="M104" s="52">
        <f>hthan*1000*0.01*1.06^98</f>
        <v>4831.642342676927</v>
      </c>
      <c r="N104" s="52">
        <f t="shared" si="62"/>
        <v>264925.93875929294</v>
      </c>
      <c r="O104" s="52">
        <f t="shared" si="63"/>
        <v>5.4724514484405519E-12</v>
      </c>
      <c r="P104" s="52">
        <f t="shared" si="64"/>
        <v>2.0686396713903259E-3</v>
      </c>
      <c r="Q104" s="52">
        <f t="shared" si="65"/>
        <v>0.75</v>
      </c>
      <c r="R104" s="52">
        <f>Q104*MIN(N104,0.8*(0.85*fc_*(Agth*1000000-'KT THAN'!$D$11)+fy_*'KT THAN'!$D$11)/1000)</f>
        <v>158763.07851952704</v>
      </c>
      <c r="S104" s="52">
        <f t="shared" si="66"/>
        <v>4.1043385863304141E-12</v>
      </c>
      <c r="T104" s="52"/>
      <c r="U104" s="52">
        <f>bthan*1000*0.01*1.06^98</f>
        <v>16608.770552951937</v>
      </c>
      <c r="V104" s="52">
        <f t="shared" si="67"/>
        <v>264925.93875929294</v>
      </c>
      <c r="W104" s="52">
        <f t="shared" si="68"/>
        <v>4.0531158447265625E-12</v>
      </c>
      <c r="X104" s="52">
        <f t="shared" si="69"/>
        <v>2.0248877632955443E-3</v>
      </c>
      <c r="Y104" s="52">
        <f t="shared" si="70"/>
        <v>0.75</v>
      </c>
      <c r="Z104" s="52">
        <f>Y104*MIN(V104,0.8*(0.85*fc_*(Agth*1000000-'KT THAN'!$D$11)+fy_*'KT THAN'!$D$11)/1000)</f>
        <v>158763.07851952704</v>
      </c>
      <c r="AA104" s="52">
        <f t="shared" si="71"/>
        <v>3.0398368835449219E-12</v>
      </c>
      <c r="AB104" s="52"/>
      <c r="AC104" s="52">
        <f>SMALL($R$6:$R$125,ROWS($AC$6:AC104))</f>
        <v>158763.07851952704</v>
      </c>
      <c r="AD104" s="52">
        <f t="shared" si="72"/>
        <v>22079.283834343303</v>
      </c>
      <c r="AE104" s="52">
        <f>SMALL($Z$6:$Z$125,ROWS($AE$6:AE104))</f>
        <v>158763.07851952704</v>
      </c>
      <c r="AF104" s="52">
        <f t="shared" si="73"/>
        <v>14395.086703266508</v>
      </c>
      <c r="AG104" s="52">
        <f>SMALL($AK$6:$AK$125,ROWS($AG$6:AG104))</f>
        <v>9.9999999999999997E+98</v>
      </c>
      <c r="AH104" s="52">
        <f t="shared" si="74"/>
        <v>-50196.63221187015</v>
      </c>
      <c r="AI104" s="52">
        <f>SMALL($AL$6:$AL$125,ROWS($AI$6:AI104))</f>
        <v>9.9999999999999997E+98</v>
      </c>
      <c r="AJ104" s="52">
        <f t="shared" si="75"/>
        <v>-52115.252211870153</v>
      </c>
      <c r="AK104" s="52">
        <f t="shared" si="76"/>
        <v>9.9999999999999997E+98</v>
      </c>
      <c r="AL104" s="52">
        <f t="shared" si="77"/>
        <v>9.9999999999999997E+98</v>
      </c>
      <c r="AM104" s="52">
        <f t="shared" si="78"/>
        <v>0</v>
      </c>
      <c r="AN104" s="52">
        <f t="shared" si="79"/>
        <v>0</v>
      </c>
    </row>
    <row r="105" spans="1:40" x14ac:dyDescent="0.3">
      <c r="A105" s="52">
        <v>100</v>
      </c>
      <c r="B105" s="52">
        <f>-bthan*500+(49+0.5)*bthan*1000/50</f>
        <v>2695</v>
      </c>
      <c r="C105" s="52">
        <f t="shared" si="61"/>
        <v>-770</v>
      </c>
      <c r="D105" s="52">
        <f t="shared" si="41"/>
        <v>2200</v>
      </c>
      <c r="E105" s="52">
        <f t="shared" si="42"/>
        <v>0</v>
      </c>
      <c r="F105" s="52"/>
      <c r="G105" s="52">
        <f>IF(100&lt;='KT THAN'!$C$11,100,"")</f>
        <v>100</v>
      </c>
      <c r="H105" s="52">
        <f>IF(G105="",0,2*PI()*(G105-0.5)/'KT THAN'!$C$11)</f>
        <v>3.473205211468716</v>
      </c>
      <c r="I105" s="52">
        <f>IF(G105="",0,IF(shp=1,IF(AND(ABS(SIN(H105))&gt;0.0000001,MAX(1,hthan*500-'KT THAN'!$D$12)*ABS(COS(H105))/ABS(SIN(H105))&lt;=MAX(0,(bthan-hthan)*500)),MAX(1,hthan*500-'KT THAN'!$D$12)/ABS(SIN(H105)),MAX(0,(bthan-hthan)*500)*ABS(COS(H105))+SQRT(MAX(0,MAX(1,hthan*500-'KT THAN'!$D$12)^2-MAX(0,(bthan-hthan)*500)^2*SIN(H105)^2))),MIN((bthan*500-'KT THAN'!$D$12)/MAX(0.0000001,ABS(COS(H105))),(hthan*500-'KT THAN'!$D$12)/MAX(0.0000001,ABS(SIN(H105)))))*COS(H105))</f>
        <v>-2022.1269757348314</v>
      </c>
      <c r="J105" s="52">
        <f>IF(G105="",0,IF(shp=1,IF(AND(ABS(SIN(H105))&gt;0.0000001,MAX(1,hthan*500-'KT THAN'!$D$12)*ABS(COS(H105))/ABS(SIN(H105))&lt;=MAX(0,(bthan-hthan)*500)),MAX(1,hthan*500-'KT THAN'!$D$12)/ABS(SIN(H105)),MAX(0,(bthan-hthan)*500)*ABS(COS(H105))+SQRT(MAX(0,MAX(1,hthan*500-'KT THAN'!$D$12)^2-MAX(0,(bthan-hthan)*500)^2*SIN(H105)^2))),MIN((bthan*500-'KT THAN'!$D$12)/MAX(0.0000001,ABS(COS(H105))),(hthan*500-'KT THAN'!$D$12)/MAX(0.0000001,ABS(SIN(H105)))))*SIN(H105))</f>
        <v>-696.27415532342354</v>
      </c>
      <c r="K105" s="52">
        <f>IF(G105="",0,'KT THAN'!$D$11/'KT THAN'!$C$11)</f>
        <v>804.24771931898704</v>
      </c>
      <c r="L105" s="52"/>
      <c r="M105" s="52">
        <f>hthan*1000*0.01*1.06^99</f>
        <v>5121.5408832375433</v>
      </c>
      <c r="N105" s="52">
        <f t="shared" si="62"/>
        <v>264925.93875929294</v>
      </c>
      <c r="O105" s="52">
        <f t="shared" si="63"/>
        <v>5.4724514484405519E-12</v>
      </c>
      <c r="P105" s="52">
        <f t="shared" si="64"/>
        <v>2.1213581805569113E-3</v>
      </c>
      <c r="Q105" s="52">
        <f t="shared" si="65"/>
        <v>0.75</v>
      </c>
      <c r="R105" s="52">
        <f>Q105*MIN(N105,0.8*(0.85*fc_*(Agth*1000000-'KT THAN'!$D$11)+fy_*'KT THAN'!$D$11)/1000)</f>
        <v>158763.07851952704</v>
      </c>
      <c r="S105" s="52">
        <f t="shared" si="66"/>
        <v>4.1043385863304141E-12</v>
      </c>
      <c r="T105" s="52"/>
      <c r="U105" s="52">
        <f>bthan*1000*0.01*1.06^99</f>
        <v>17605.296786129056</v>
      </c>
      <c r="V105" s="52">
        <f t="shared" si="67"/>
        <v>264925.93875929294</v>
      </c>
      <c r="W105" s="52">
        <f t="shared" si="68"/>
        <v>4.0531158447265625E-12</v>
      </c>
      <c r="X105" s="52">
        <f t="shared" si="69"/>
        <v>2.0800827955618343E-3</v>
      </c>
      <c r="Y105" s="52">
        <f t="shared" si="70"/>
        <v>0.75</v>
      </c>
      <c r="Z105" s="52">
        <f>Y105*MIN(V105,0.8*(0.85*fc_*(Agth*1000000-'KT THAN'!$D$11)+fy_*'KT THAN'!$D$11)/1000)</f>
        <v>158763.07851952704</v>
      </c>
      <c r="AA105" s="52">
        <f t="shared" si="71"/>
        <v>3.0398368835449219E-12</v>
      </c>
      <c r="AB105" s="52"/>
      <c r="AC105" s="52">
        <f>SMALL($R$6:$R$125,ROWS($AC$6:AC105))</f>
        <v>158763.07851952704</v>
      </c>
      <c r="AD105" s="52">
        <f t="shared" si="72"/>
        <v>22079.283834343303</v>
      </c>
      <c r="AE105" s="52">
        <f>SMALL($Z$6:$Z$125,ROWS($AE$6:AE105))</f>
        <v>158763.07851952704</v>
      </c>
      <c r="AF105" s="52">
        <f t="shared" si="73"/>
        <v>14395.086703266508</v>
      </c>
      <c r="AG105" s="52">
        <f>SMALL($AK$6:$AK$125,ROWS($AG$6:AG105))</f>
        <v>9.9999999999999997E+98</v>
      </c>
      <c r="AH105" s="52">
        <f t="shared" si="74"/>
        <v>-50196.63221187015</v>
      </c>
      <c r="AI105" s="52">
        <f>SMALL($AL$6:$AL$125,ROWS($AI$6:AI105))</f>
        <v>9.9999999999999997E+98</v>
      </c>
      <c r="AJ105" s="52">
        <f t="shared" si="75"/>
        <v>-52115.252211870153</v>
      </c>
      <c r="AK105" s="52">
        <f t="shared" si="76"/>
        <v>9.9999999999999997E+98</v>
      </c>
      <c r="AL105" s="52">
        <f t="shared" si="77"/>
        <v>9.9999999999999997E+98</v>
      </c>
      <c r="AM105" s="52">
        <f t="shared" si="78"/>
        <v>0</v>
      </c>
      <c r="AN105" s="52">
        <f t="shared" si="79"/>
        <v>0</v>
      </c>
    </row>
    <row r="106" spans="1:40" x14ac:dyDescent="0.3">
      <c r="A106" s="52">
        <v>101</v>
      </c>
      <c r="B106" s="52">
        <f>-bthan*500+(0+0.5)*bthan*1000/50</f>
        <v>-2695</v>
      </c>
      <c r="C106" s="52">
        <f t="shared" ref="C106:C137" si="80">-hthan*500+(2+0.5)*hthan*1000/80</f>
        <v>-750</v>
      </c>
      <c r="D106" s="52">
        <f t="shared" si="41"/>
        <v>2200</v>
      </c>
      <c r="E106" s="52">
        <f t="shared" si="42"/>
        <v>0</v>
      </c>
      <c r="F106" s="52"/>
      <c r="G106" s="52">
        <f>IF(101&lt;='KT THAN'!$C$11,101,"")</f>
        <v>101</v>
      </c>
      <c r="H106" s="52">
        <f>IF(G106="",0,2*PI()*(G106-0.5)/'KT THAN'!$C$11)</f>
        <v>3.5081117965086026</v>
      </c>
      <c r="I106" s="52">
        <f>IF(G106="",0,IF(shp=1,IF(AND(ABS(SIN(H106))&gt;0.0000001,MAX(1,hthan*500-'KT THAN'!$D$12)*ABS(COS(H106))/ABS(SIN(H106))&lt;=MAX(0,(bthan-hthan)*500)),MAX(1,hthan*500-'KT THAN'!$D$12)/ABS(SIN(H106)),MAX(0,(bthan-hthan)*500)*ABS(COS(H106))+SQRT(MAX(0,MAX(1,hthan*500-'KT THAN'!$D$12)^2-MAX(0,(bthan-hthan)*500)^2*SIN(H106)^2))),MIN((bthan*500-'KT THAN'!$D$12)/MAX(0.0000001,ABS(COS(H106))),(hthan*500-'KT THAN'!$D$12)/MAX(0.0000001,ABS(SIN(H106)))))*COS(H106))</f>
        <v>-1823.5623452856603</v>
      </c>
      <c r="J106" s="52">
        <f>IF(G106="",0,IF(shp=1,IF(AND(ABS(SIN(H106))&gt;0.0000001,MAX(1,hthan*500-'KT THAN'!$D$12)*ABS(COS(H106))/ABS(SIN(H106))&lt;=MAX(0,(bthan-hthan)*500)),MAX(1,hthan*500-'KT THAN'!$D$12)/ABS(SIN(H106)),MAX(0,(bthan-hthan)*500)*ABS(COS(H106))+SQRT(MAX(0,MAX(1,hthan*500-'KT THAN'!$D$12)^2-MAX(0,(bthan-hthan)*500)^2*SIN(H106)^2))),MIN((bthan*500-'KT THAN'!$D$12)/MAX(0.0000001,ABS(COS(H106))),(hthan*500-'KT THAN'!$D$12)/MAX(0.0000001,ABS(SIN(H106)))))*SIN(H106))</f>
        <v>-700</v>
      </c>
      <c r="K106" s="52">
        <f>IF(G106="",0,'KT THAN'!$D$11/'KT THAN'!$C$11)</f>
        <v>804.24771931898704</v>
      </c>
      <c r="L106" s="52"/>
      <c r="M106" s="52">
        <f>hthan*1000*0.01*1.06^100</f>
        <v>5428.8333362317962</v>
      </c>
      <c r="N106" s="52">
        <f t="shared" si="62"/>
        <v>264925.93875929294</v>
      </c>
      <c r="O106" s="52">
        <f t="shared" si="63"/>
        <v>5.4724514484405519E-12</v>
      </c>
      <c r="P106" s="52">
        <f t="shared" si="64"/>
        <v>2.1710926231668973E-3</v>
      </c>
      <c r="Q106" s="52">
        <f t="shared" si="65"/>
        <v>0.75</v>
      </c>
      <c r="R106" s="52">
        <f>Q106*MIN(N106,0.8*(0.85*fc_*(Agth*1000000-'KT THAN'!$D$11)+fy_*'KT THAN'!$D$11)/1000)</f>
        <v>158763.07851952704</v>
      </c>
      <c r="S106" s="52">
        <f t="shared" si="66"/>
        <v>4.1043385863304141E-12</v>
      </c>
      <c r="T106" s="52"/>
      <c r="U106" s="52">
        <f>bthan*1000*0.01*1.06^100</f>
        <v>18661.614593296799</v>
      </c>
      <c r="V106" s="52">
        <f t="shared" si="67"/>
        <v>264925.93875929294</v>
      </c>
      <c r="W106" s="52">
        <f t="shared" si="68"/>
        <v>4.0531158447265625E-12</v>
      </c>
      <c r="X106" s="52">
        <f t="shared" si="69"/>
        <v>2.1321535807187117E-3</v>
      </c>
      <c r="Y106" s="52">
        <f t="shared" si="70"/>
        <v>0.75</v>
      </c>
      <c r="Z106" s="52">
        <f>Y106*MIN(V106,0.8*(0.85*fc_*(Agth*1000000-'KT THAN'!$D$11)+fy_*'KT THAN'!$D$11)/1000)</f>
        <v>158763.07851952704</v>
      </c>
      <c r="AA106" s="52">
        <f t="shared" si="71"/>
        <v>3.0398368835449219E-12</v>
      </c>
      <c r="AB106" s="52"/>
      <c r="AC106" s="52">
        <f>SMALL($R$6:$R$125,ROWS($AC$6:AC106))</f>
        <v>158763.07851952704</v>
      </c>
      <c r="AD106" s="52">
        <f t="shared" si="72"/>
        <v>22079.283834343303</v>
      </c>
      <c r="AE106" s="52">
        <f>SMALL($Z$6:$Z$125,ROWS($AE$6:AE106))</f>
        <v>158763.07851952704</v>
      </c>
      <c r="AF106" s="52">
        <f t="shared" si="73"/>
        <v>14395.086703266508</v>
      </c>
      <c r="AG106" s="52">
        <f>SMALL($AK$6:$AK$125,ROWS($AG$6:AG106))</f>
        <v>9.9999999999999997E+98</v>
      </c>
      <c r="AH106" s="52">
        <f t="shared" si="74"/>
        <v>-50196.63221187015</v>
      </c>
      <c r="AI106" s="52">
        <f>SMALL($AL$6:$AL$125,ROWS($AI$6:AI106))</f>
        <v>9.9999999999999997E+98</v>
      </c>
      <c r="AJ106" s="52">
        <f t="shared" si="75"/>
        <v>-52115.252211870153</v>
      </c>
      <c r="AK106" s="52">
        <f t="shared" si="76"/>
        <v>9.9999999999999997E+98</v>
      </c>
      <c r="AL106" s="52">
        <f t="shared" si="77"/>
        <v>9.9999999999999997E+98</v>
      </c>
      <c r="AM106" s="52">
        <f t="shared" si="78"/>
        <v>0</v>
      </c>
      <c r="AN106" s="52">
        <f t="shared" si="79"/>
        <v>0</v>
      </c>
    </row>
    <row r="107" spans="1:40" x14ac:dyDescent="0.3">
      <c r="A107" s="52">
        <v>102</v>
      </c>
      <c r="B107" s="52">
        <f>-bthan*500+(1+0.5)*bthan*1000/50</f>
        <v>-2585</v>
      </c>
      <c r="C107" s="52">
        <f t="shared" si="80"/>
        <v>-750</v>
      </c>
      <c r="D107" s="52">
        <f t="shared" si="41"/>
        <v>2200</v>
      </c>
      <c r="E107" s="52">
        <f t="shared" si="42"/>
        <v>0</v>
      </c>
      <c r="F107" s="52"/>
      <c r="G107" s="52">
        <f>IF(102&lt;='KT THAN'!$C$11,102,"")</f>
        <v>102</v>
      </c>
      <c r="H107" s="52">
        <f>IF(G107="",0,2*PI()*(G107-0.5)/'KT THAN'!$C$11)</f>
        <v>3.5430183815484888</v>
      </c>
      <c r="I107" s="52">
        <f>IF(G107="",0,IF(shp=1,IF(AND(ABS(SIN(H107))&gt;0.0000001,MAX(1,hthan*500-'KT THAN'!$D$12)*ABS(COS(H107))/ABS(SIN(H107))&lt;=MAX(0,(bthan-hthan)*500)),MAX(1,hthan*500-'KT THAN'!$D$12)/ABS(SIN(H107)),MAX(0,(bthan-hthan)*500)*ABS(COS(H107))+SQRT(MAX(0,MAX(1,hthan*500-'KT THAN'!$D$12)^2-MAX(0,(bthan-hthan)*500)^2*SIN(H107)^2))),MIN((bthan*500-'KT THAN'!$D$12)/MAX(0.0000001,ABS(COS(H107))),(hthan*500-'KT THAN'!$D$12)/MAX(0.0000001,ABS(SIN(H107)))))*COS(H107))</f>
        <v>-1649.0966560766281</v>
      </c>
      <c r="J107" s="52">
        <f>IF(G107="",0,IF(shp=1,IF(AND(ABS(SIN(H107))&gt;0.0000001,MAX(1,hthan*500-'KT THAN'!$D$12)*ABS(COS(H107))/ABS(SIN(H107))&lt;=MAX(0,(bthan-hthan)*500)),MAX(1,hthan*500-'KT THAN'!$D$12)/ABS(SIN(H107)),MAX(0,(bthan-hthan)*500)*ABS(COS(H107))+SQRT(MAX(0,MAX(1,hthan*500-'KT THAN'!$D$12)^2-MAX(0,(bthan-hthan)*500)^2*SIN(H107)^2))),MIN((bthan*500-'KT THAN'!$D$12)/MAX(0.0000001,ABS(COS(H107))),(hthan*500-'KT THAN'!$D$12)/MAX(0.0000001,ABS(SIN(H107)))))*SIN(H107))</f>
        <v>-700</v>
      </c>
      <c r="K107" s="52">
        <f>IF(G107="",0,'KT THAN'!$D$11/'KT THAN'!$C$11)</f>
        <v>804.24771931898704</v>
      </c>
      <c r="L107" s="52"/>
      <c r="M107" s="52">
        <f>hthan*1000*0.01*1.06^101</f>
        <v>5754.5633364057039</v>
      </c>
      <c r="N107" s="52">
        <f t="shared" si="62"/>
        <v>264925.93875929294</v>
      </c>
      <c r="O107" s="52">
        <f t="shared" si="63"/>
        <v>5.4724514484405519E-12</v>
      </c>
      <c r="P107" s="52">
        <f t="shared" si="64"/>
        <v>2.2180119086480164E-3</v>
      </c>
      <c r="Q107" s="52">
        <f t="shared" si="65"/>
        <v>0.75</v>
      </c>
      <c r="R107" s="52">
        <f>Q107*MIN(N107,0.8*(0.85*fc_*(Agth*1000000-'KT THAN'!$D$11)+fy_*'KT THAN'!$D$11)/1000)</f>
        <v>158763.07851952704</v>
      </c>
      <c r="S107" s="52">
        <f t="shared" si="66"/>
        <v>4.1043385863304141E-12</v>
      </c>
      <c r="T107" s="52"/>
      <c r="U107" s="52">
        <f>bthan*1000*0.01*1.06^101</f>
        <v>19781.311468894608</v>
      </c>
      <c r="V107" s="52">
        <f t="shared" si="67"/>
        <v>264925.93875929294</v>
      </c>
      <c r="W107" s="52">
        <f t="shared" si="68"/>
        <v>4.0531158447265625E-12</v>
      </c>
      <c r="X107" s="52">
        <f t="shared" si="69"/>
        <v>2.1812769629421811E-3</v>
      </c>
      <c r="Y107" s="52">
        <f t="shared" si="70"/>
        <v>0.75</v>
      </c>
      <c r="Z107" s="52">
        <f>Y107*MIN(V107,0.8*(0.85*fc_*(Agth*1000000-'KT THAN'!$D$11)+fy_*'KT THAN'!$D$11)/1000)</f>
        <v>158763.07851952704</v>
      </c>
      <c r="AA107" s="52">
        <f t="shared" si="71"/>
        <v>3.0398368835449219E-12</v>
      </c>
      <c r="AB107" s="52"/>
      <c r="AC107" s="52">
        <f>SMALL($R$6:$R$125,ROWS($AC$6:AC107))</f>
        <v>158763.07851952704</v>
      </c>
      <c r="AD107" s="52">
        <f t="shared" si="72"/>
        <v>22079.283834343303</v>
      </c>
      <c r="AE107" s="52">
        <f>SMALL($Z$6:$Z$125,ROWS($AE$6:AE107))</f>
        <v>158763.07851952704</v>
      </c>
      <c r="AF107" s="52">
        <f t="shared" si="73"/>
        <v>14395.086703266508</v>
      </c>
      <c r="AG107" s="52">
        <f>SMALL($AK$6:$AK$125,ROWS($AG$6:AG107))</f>
        <v>9.9999999999999997E+98</v>
      </c>
      <c r="AH107" s="52">
        <f t="shared" si="74"/>
        <v>-50196.63221187015</v>
      </c>
      <c r="AI107" s="52">
        <f>SMALL($AL$6:$AL$125,ROWS($AI$6:AI107))</f>
        <v>9.9999999999999997E+98</v>
      </c>
      <c r="AJ107" s="52">
        <f t="shared" si="75"/>
        <v>-52115.252211870153</v>
      </c>
      <c r="AK107" s="52">
        <f t="shared" si="76"/>
        <v>9.9999999999999997E+98</v>
      </c>
      <c r="AL107" s="52">
        <f t="shared" si="77"/>
        <v>9.9999999999999997E+98</v>
      </c>
      <c r="AM107" s="52">
        <f t="shared" si="78"/>
        <v>0</v>
      </c>
      <c r="AN107" s="52">
        <f t="shared" si="79"/>
        <v>0</v>
      </c>
    </row>
    <row r="108" spans="1:40" x14ac:dyDescent="0.3">
      <c r="A108" s="52">
        <v>103</v>
      </c>
      <c r="B108" s="52">
        <f>-bthan*500+(2+0.5)*bthan*1000/50</f>
        <v>-2475</v>
      </c>
      <c r="C108" s="52">
        <f t="shared" si="80"/>
        <v>-750</v>
      </c>
      <c r="D108" s="52">
        <f t="shared" si="41"/>
        <v>2200</v>
      </c>
      <c r="E108" s="52">
        <f t="shared" si="42"/>
        <v>0</v>
      </c>
      <c r="F108" s="52"/>
      <c r="G108" s="52">
        <f>IF(103&lt;='KT THAN'!$C$11,103,"")</f>
        <v>103</v>
      </c>
      <c r="H108" s="52">
        <f>IF(G108="",0,2*PI()*(G108-0.5)/'KT THAN'!$C$11)</f>
        <v>3.5779249665883754</v>
      </c>
      <c r="I108" s="52">
        <f>IF(G108="",0,IF(shp=1,IF(AND(ABS(SIN(H108))&gt;0.0000001,MAX(1,hthan*500-'KT THAN'!$D$12)*ABS(COS(H108))/ABS(SIN(H108))&lt;=MAX(0,(bthan-hthan)*500)),MAX(1,hthan*500-'KT THAN'!$D$12)/ABS(SIN(H108)),MAX(0,(bthan-hthan)*500)*ABS(COS(H108))+SQRT(MAX(0,MAX(1,hthan*500-'KT THAN'!$D$12)^2-MAX(0,(bthan-hthan)*500)^2*SIN(H108)^2))),MIN((bthan*500-'KT THAN'!$D$12)/MAX(0.0000001,ABS(COS(H108))),(hthan*500-'KT THAN'!$D$12)/MAX(0.0000001,ABS(SIN(H108)))))*COS(H108))</f>
        <v>-1501.1548443566917</v>
      </c>
      <c r="J108" s="52">
        <f>IF(G108="",0,IF(shp=1,IF(AND(ABS(SIN(H108))&gt;0.0000001,MAX(1,hthan*500-'KT THAN'!$D$12)*ABS(COS(H108))/ABS(SIN(H108))&lt;=MAX(0,(bthan-hthan)*500)),MAX(1,hthan*500-'KT THAN'!$D$12)/ABS(SIN(H108)),MAX(0,(bthan-hthan)*500)*ABS(COS(H108))+SQRT(MAX(0,MAX(1,hthan*500-'KT THAN'!$D$12)^2-MAX(0,(bthan-hthan)*500)^2*SIN(H108)^2))),MIN((bthan*500-'KT THAN'!$D$12)/MAX(0.0000001,ABS(COS(H108))),(hthan*500-'KT THAN'!$D$12)/MAX(0.0000001,ABS(SIN(H108)))))*SIN(H108))</f>
        <v>-700</v>
      </c>
      <c r="K108" s="52">
        <f>IF(G108="",0,'KT THAN'!$D$11/'KT THAN'!$C$11)</f>
        <v>804.24771931898704</v>
      </c>
      <c r="L108" s="52"/>
      <c r="M108" s="52">
        <f>hthan*1000*0.01*1.06^102</f>
        <v>6099.8371365900475</v>
      </c>
      <c r="N108" s="52">
        <f t="shared" si="62"/>
        <v>264925.93875929294</v>
      </c>
      <c r="O108" s="52">
        <f t="shared" si="63"/>
        <v>5.4724514484405519E-12</v>
      </c>
      <c r="P108" s="52">
        <f t="shared" si="64"/>
        <v>2.2622753855169966E-3</v>
      </c>
      <c r="Q108" s="52">
        <f t="shared" si="65"/>
        <v>0.75</v>
      </c>
      <c r="R108" s="52">
        <f>Q108*MIN(N108,0.8*(0.85*fc_*(Agth*1000000-'KT THAN'!$D$11)+fy_*'KT THAN'!$D$11)/1000)</f>
        <v>158763.07851952704</v>
      </c>
      <c r="S108" s="52">
        <f t="shared" si="66"/>
        <v>4.1043385863304141E-12</v>
      </c>
      <c r="T108" s="52"/>
      <c r="U108" s="52">
        <f>bthan*1000*0.01*1.06^102</f>
        <v>20968.19015702829</v>
      </c>
      <c r="V108" s="52">
        <f t="shared" si="67"/>
        <v>264925.93875929294</v>
      </c>
      <c r="W108" s="52">
        <f t="shared" si="68"/>
        <v>4.0531158447265625E-12</v>
      </c>
      <c r="X108" s="52">
        <f t="shared" si="69"/>
        <v>2.2276197763605485E-3</v>
      </c>
      <c r="Y108" s="52">
        <f t="shared" si="70"/>
        <v>0.75</v>
      </c>
      <c r="Z108" s="52">
        <f>Y108*MIN(V108,0.8*(0.85*fc_*(Agth*1000000-'KT THAN'!$D$11)+fy_*'KT THAN'!$D$11)/1000)</f>
        <v>158763.07851952704</v>
      </c>
      <c r="AA108" s="52">
        <f t="shared" si="71"/>
        <v>3.0398368835449219E-12</v>
      </c>
      <c r="AB108" s="52"/>
      <c r="AC108" s="52">
        <f>SMALL($R$6:$R$125,ROWS($AC$6:AC108))</f>
        <v>158763.07851952704</v>
      </c>
      <c r="AD108" s="52">
        <f t="shared" si="72"/>
        <v>22079.283834343303</v>
      </c>
      <c r="AE108" s="52">
        <f>SMALL($Z$6:$Z$125,ROWS($AE$6:AE108))</f>
        <v>158763.07851952704</v>
      </c>
      <c r="AF108" s="52">
        <f t="shared" si="73"/>
        <v>14395.086703266508</v>
      </c>
      <c r="AG108" s="52">
        <f>SMALL($AK$6:$AK$125,ROWS($AG$6:AG108))</f>
        <v>9.9999999999999997E+98</v>
      </c>
      <c r="AH108" s="52">
        <f t="shared" si="74"/>
        <v>-50196.63221187015</v>
      </c>
      <c r="AI108" s="52">
        <f>SMALL($AL$6:$AL$125,ROWS($AI$6:AI108))</f>
        <v>9.9999999999999997E+98</v>
      </c>
      <c r="AJ108" s="52">
        <f t="shared" si="75"/>
        <v>-52115.252211870153</v>
      </c>
      <c r="AK108" s="52">
        <f t="shared" si="76"/>
        <v>9.9999999999999997E+98</v>
      </c>
      <c r="AL108" s="52">
        <f t="shared" si="77"/>
        <v>9.9999999999999997E+98</v>
      </c>
      <c r="AM108" s="52">
        <f t="shared" si="78"/>
        <v>0</v>
      </c>
      <c r="AN108" s="52">
        <f t="shared" si="79"/>
        <v>0</v>
      </c>
    </row>
    <row r="109" spans="1:40" x14ac:dyDescent="0.3">
      <c r="A109" s="52">
        <v>104</v>
      </c>
      <c r="B109" s="52">
        <f>-bthan*500+(3+0.5)*bthan*1000/50</f>
        <v>-2365</v>
      </c>
      <c r="C109" s="52">
        <f t="shared" si="80"/>
        <v>-750</v>
      </c>
      <c r="D109" s="52">
        <f t="shared" si="41"/>
        <v>2200</v>
      </c>
      <c r="E109" s="52">
        <f t="shared" si="42"/>
        <v>0</v>
      </c>
      <c r="F109" s="52"/>
      <c r="G109" s="52">
        <f>IF(104&lt;='KT THAN'!$C$11,104,"")</f>
        <v>104</v>
      </c>
      <c r="H109" s="52">
        <f>IF(G109="",0,2*PI()*(G109-0.5)/'KT THAN'!$C$11)</f>
        <v>3.6128315516282616</v>
      </c>
      <c r="I109" s="52">
        <f>IF(G109="",0,IF(shp=1,IF(AND(ABS(SIN(H109))&gt;0.0000001,MAX(1,hthan*500-'KT THAN'!$D$12)*ABS(COS(H109))/ABS(SIN(H109))&lt;=MAX(0,(bthan-hthan)*500)),MAX(1,hthan*500-'KT THAN'!$D$12)/ABS(SIN(H109)),MAX(0,(bthan-hthan)*500)*ABS(COS(H109))+SQRT(MAX(0,MAX(1,hthan*500-'KT THAN'!$D$12)^2-MAX(0,(bthan-hthan)*500)^2*SIN(H109)^2))),MIN((bthan*500-'KT THAN'!$D$12)/MAX(0.0000001,ABS(COS(H109))),(hthan*500-'KT THAN'!$D$12)/MAX(0.0000001,ABS(SIN(H109)))))*COS(H109))</f>
        <v>-1373.8273538536073</v>
      </c>
      <c r="J109" s="52">
        <f>IF(G109="",0,IF(shp=1,IF(AND(ABS(SIN(H109))&gt;0.0000001,MAX(1,hthan*500-'KT THAN'!$D$12)*ABS(COS(H109))/ABS(SIN(H109))&lt;=MAX(0,(bthan-hthan)*500)),MAX(1,hthan*500-'KT THAN'!$D$12)/ABS(SIN(H109)),MAX(0,(bthan-hthan)*500)*ABS(COS(H109))+SQRT(MAX(0,MAX(1,hthan*500-'KT THAN'!$D$12)^2-MAX(0,(bthan-hthan)*500)^2*SIN(H109)^2))),MIN((bthan*500-'KT THAN'!$D$12)/MAX(0.0000001,ABS(COS(H109))),(hthan*500-'KT THAN'!$D$12)/MAX(0.0000001,ABS(SIN(H109)))))*SIN(H109))</f>
        <v>-700</v>
      </c>
      <c r="K109" s="52">
        <f>IF(G109="",0,'KT THAN'!$D$11/'KT THAN'!$C$11)</f>
        <v>804.24771931898704</v>
      </c>
      <c r="L109" s="52"/>
      <c r="M109" s="52">
        <f>hthan*1000*0.01*1.06^103</f>
        <v>6465.8273647854512</v>
      </c>
      <c r="N109" s="52">
        <f t="shared" si="62"/>
        <v>264925.93875929294</v>
      </c>
      <c r="O109" s="52">
        <f t="shared" si="63"/>
        <v>5.4724514484405519E-12</v>
      </c>
      <c r="P109" s="52">
        <f t="shared" si="64"/>
        <v>2.3040333825632047E-3</v>
      </c>
      <c r="Q109" s="52">
        <f t="shared" si="65"/>
        <v>0.75</v>
      </c>
      <c r="R109" s="52">
        <f>Q109*MIN(N109,0.8*(0.85*fc_*(Agth*1000000-'KT THAN'!$D$11)+fy_*'KT THAN'!$D$11)/1000)</f>
        <v>158763.07851952704</v>
      </c>
      <c r="S109" s="52">
        <f t="shared" si="66"/>
        <v>4.1043385863304141E-12</v>
      </c>
      <c r="T109" s="52"/>
      <c r="U109" s="52">
        <f>bthan*1000*0.01*1.06^103</f>
        <v>22226.281566449987</v>
      </c>
      <c r="V109" s="52">
        <f t="shared" si="67"/>
        <v>264925.93875929294</v>
      </c>
      <c r="W109" s="52">
        <f t="shared" si="68"/>
        <v>4.0531158447265625E-12</v>
      </c>
      <c r="X109" s="52">
        <f t="shared" si="69"/>
        <v>2.2713394116608949E-3</v>
      </c>
      <c r="Y109" s="52">
        <f t="shared" si="70"/>
        <v>0.75</v>
      </c>
      <c r="Z109" s="52">
        <f>Y109*MIN(V109,0.8*(0.85*fc_*(Agth*1000000-'KT THAN'!$D$11)+fy_*'KT THAN'!$D$11)/1000)</f>
        <v>158763.07851952704</v>
      </c>
      <c r="AA109" s="52">
        <f t="shared" si="71"/>
        <v>3.0398368835449219E-12</v>
      </c>
      <c r="AB109" s="52"/>
      <c r="AC109" s="52">
        <f>SMALL($R$6:$R$125,ROWS($AC$6:AC109))</f>
        <v>158763.07851952704</v>
      </c>
      <c r="AD109" s="52">
        <f t="shared" si="72"/>
        <v>22079.283834343303</v>
      </c>
      <c r="AE109" s="52">
        <f>SMALL($Z$6:$Z$125,ROWS($AE$6:AE109))</f>
        <v>158763.07851952704</v>
      </c>
      <c r="AF109" s="52">
        <f t="shared" si="73"/>
        <v>14395.086703266508</v>
      </c>
      <c r="AG109" s="52">
        <f>SMALL($AK$6:$AK$125,ROWS($AG$6:AG109))</f>
        <v>9.9999999999999997E+98</v>
      </c>
      <c r="AH109" s="52">
        <f t="shared" si="74"/>
        <v>-50196.63221187015</v>
      </c>
      <c r="AI109" s="52">
        <f>SMALL($AL$6:$AL$125,ROWS($AI$6:AI109))</f>
        <v>9.9999999999999997E+98</v>
      </c>
      <c r="AJ109" s="52">
        <f t="shared" si="75"/>
        <v>-52115.252211870153</v>
      </c>
      <c r="AK109" s="52">
        <f t="shared" si="76"/>
        <v>9.9999999999999997E+98</v>
      </c>
      <c r="AL109" s="52">
        <f t="shared" si="77"/>
        <v>9.9999999999999997E+98</v>
      </c>
      <c r="AM109" s="52">
        <f t="shared" si="78"/>
        <v>0</v>
      </c>
      <c r="AN109" s="52">
        <f t="shared" si="79"/>
        <v>0</v>
      </c>
    </row>
    <row r="110" spans="1:40" x14ac:dyDescent="0.3">
      <c r="A110" s="52">
        <v>105</v>
      </c>
      <c r="B110" s="52">
        <f>-bthan*500+(4+0.5)*bthan*1000/50</f>
        <v>-2255</v>
      </c>
      <c r="C110" s="52">
        <f t="shared" si="80"/>
        <v>-750</v>
      </c>
      <c r="D110" s="52">
        <f t="shared" si="41"/>
        <v>2200</v>
      </c>
      <c r="E110" s="52">
        <f t="shared" si="42"/>
        <v>0</v>
      </c>
      <c r="F110" s="52"/>
      <c r="G110" s="52">
        <f>IF(105&lt;='KT THAN'!$C$11,105,"")</f>
        <v>105</v>
      </c>
      <c r="H110" s="52">
        <f>IF(G110="",0,2*PI()*(G110-0.5)/'KT THAN'!$C$11)</f>
        <v>3.6477381366681487</v>
      </c>
      <c r="I110" s="52">
        <f>IF(G110="",0,IF(shp=1,IF(AND(ABS(SIN(H110))&gt;0.0000001,MAX(1,hthan*500-'KT THAN'!$D$12)*ABS(COS(H110))/ABS(SIN(H110))&lt;=MAX(0,(bthan-hthan)*500)),MAX(1,hthan*500-'KT THAN'!$D$12)/ABS(SIN(H110)),MAX(0,(bthan-hthan)*500)*ABS(COS(H110))+SQRT(MAX(0,MAX(1,hthan*500-'KT THAN'!$D$12)^2-MAX(0,(bthan-hthan)*500)^2*SIN(H110)^2))),MIN((bthan*500-'KT THAN'!$D$12)/MAX(0.0000001,ABS(COS(H110))),(hthan*500-'KT THAN'!$D$12)/MAX(0.0000001,ABS(SIN(H110)))))*COS(H110))</f>
        <v>-1262.8334286899972</v>
      </c>
      <c r="J110" s="52">
        <f>IF(G110="",0,IF(shp=1,IF(AND(ABS(SIN(H110))&gt;0.0000001,MAX(1,hthan*500-'KT THAN'!$D$12)*ABS(COS(H110))/ABS(SIN(H110))&lt;=MAX(0,(bthan-hthan)*500)),MAX(1,hthan*500-'KT THAN'!$D$12)/ABS(SIN(H110)),MAX(0,(bthan-hthan)*500)*ABS(COS(H110))+SQRT(MAX(0,MAX(1,hthan*500-'KT THAN'!$D$12)^2-MAX(0,(bthan-hthan)*500)^2*SIN(H110)^2))),MIN((bthan*500-'KT THAN'!$D$12)/MAX(0.0000001,ABS(COS(H110))),(hthan*500-'KT THAN'!$D$12)/MAX(0.0000001,ABS(SIN(H110)))))*SIN(H110))</f>
        <v>-700</v>
      </c>
      <c r="K110" s="52">
        <f>IF(G110="",0,'KT THAN'!$D$11/'KT THAN'!$C$11)</f>
        <v>804.24771931898704</v>
      </c>
      <c r="L110" s="52"/>
      <c r="M110" s="52">
        <f>hthan*1000*0.01*1.06^104</f>
        <v>6853.777006672577</v>
      </c>
      <c r="N110" s="52">
        <f t="shared" si="62"/>
        <v>264925.93875929294</v>
      </c>
      <c r="O110" s="52">
        <f t="shared" si="63"/>
        <v>5.4724514484405519E-12</v>
      </c>
      <c r="P110" s="52">
        <f t="shared" si="64"/>
        <v>2.3434277193992497E-3</v>
      </c>
      <c r="Q110" s="52">
        <f t="shared" si="65"/>
        <v>0.75</v>
      </c>
      <c r="R110" s="52">
        <f>Q110*MIN(N110,0.8*(0.85*fc_*(Agth*1000000-'KT THAN'!$D$11)+fy_*'KT THAN'!$D$11)/1000)</f>
        <v>158763.07851952704</v>
      </c>
      <c r="S110" s="52">
        <f t="shared" si="66"/>
        <v>4.1043385863304141E-12</v>
      </c>
      <c r="T110" s="52"/>
      <c r="U110" s="52">
        <f>bthan*1000*0.01*1.06^104</f>
        <v>23559.858460436983</v>
      </c>
      <c r="V110" s="52">
        <f t="shared" si="67"/>
        <v>264925.93875929294</v>
      </c>
      <c r="W110" s="52">
        <f t="shared" si="68"/>
        <v>4.0531158447265625E-12</v>
      </c>
      <c r="X110" s="52">
        <f t="shared" si="69"/>
        <v>2.3125843506234859E-3</v>
      </c>
      <c r="Y110" s="52">
        <f t="shared" si="70"/>
        <v>0.75</v>
      </c>
      <c r="Z110" s="52">
        <f>Y110*MIN(V110,0.8*(0.85*fc_*(Agth*1000000-'KT THAN'!$D$11)+fy_*'KT THAN'!$D$11)/1000)</f>
        <v>158763.07851952704</v>
      </c>
      <c r="AA110" s="52">
        <f t="shared" si="71"/>
        <v>3.0398368835449219E-12</v>
      </c>
      <c r="AB110" s="52"/>
      <c r="AC110" s="52">
        <f>SMALL($R$6:$R$125,ROWS($AC$6:AC110))</f>
        <v>158763.07851952704</v>
      </c>
      <c r="AD110" s="52">
        <f t="shared" si="72"/>
        <v>22079.283834343303</v>
      </c>
      <c r="AE110" s="52">
        <f>SMALL($Z$6:$Z$125,ROWS($AE$6:AE110))</f>
        <v>158763.07851952704</v>
      </c>
      <c r="AF110" s="52">
        <f t="shared" si="73"/>
        <v>14395.086703266508</v>
      </c>
      <c r="AG110" s="52">
        <f>SMALL($AK$6:$AK$125,ROWS($AG$6:AG110))</f>
        <v>9.9999999999999997E+98</v>
      </c>
      <c r="AH110" s="52">
        <f t="shared" si="74"/>
        <v>-50196.63221187015</v>
      </c>
      <c r="AI110" s="52">
        <f>SMALL($AL$6:$AL$125,ROWS($AI$6:AI110))</f>
        <v>9.9999999999999997E+98</v>
      </c>
      <c r="AJ110" s="52">
        <f t="shared" si="75"/>
        <v>-52115.252211870153</v>
      </c>
      <c r="AK110" s="52">
        <f t="shared" si="76"/>
        <v>9.9999999999999997E+98</v>
      </c>
      <c r="AL110" s="52">
        <f t="shared" si="77"/>
        <v>9.9999999999999997E+98</v>
      </c>
      <c r="AM110" s="52">
        <f t="shared" si="78"/>
        <v>0</v>
      </c>
      <c r="AN110" s="52">
        <f t="shared" si="79"/>
        <v>0</v>
      </c>
    </row>
    <row r="111" spans="1:40" x14ac:dyDescent="0.3">
      <c r="A111" s="52">
        <v>106</v>
      </c>
      <c r="B111" s="52">
        <f>-bthan*500+(5+0.5)*bthan*1000/50</f>
        <v>-2145</v>
      </c>
      <c r="C111" s="52">
        <f t="shared" si="80"/>
        <v>-750</v>
      </c>
      <c r="D111" s="52">
        <f t="shared" si="41"/>
        <v>2200</v>
      </c>
      <c r="E111" s="52">
        <f t="shared" si="42"/>
        <v>1</v>
      </c>
      <c r="F111" s="52"/>
      <c r="G111" s="52">
        <f>IF(106&lt;='KT THAN'!$C$11,106,"")</f>
        <v>106</v>
      </c>
      <c r="H111" s="52">
        <f>IF(G111="",0,2*PI()*(G111-0.5)/'KT THAN'!$C$11)</f>
        <v>3.6826447217080354</v>
      </c>
      <c r="I111" s="52">
        <f>IF(G111="",0,IF(shp=1,IF(AND(ABS(SIN(H111))&gt;0.0000001,MAX(1,hthan*500-'KT THAN'!$D$12)*ABS(COS(H111))/ABS(SIN(H111))&lt;=MAX(0,(bthan-hthan)*500)),MAX(1,hthan*500-'KT THAN'!$D$12)/ABS(SIN(H111)),MAX(0,(bthan-hthan)*500)*ABS(COS(H111))+SQRT(MAX(0,MAX(1,hthan*500-'KT THAN'!$D$12)^2-MAX(0,(bthan-hthan)*500)^2*SIN(H111)^2))),MIN((bthan*500-'KT THAN'!$D$12)/MAX(0.0000001,ABS(COS(H111))),(hthan*500-'KT THAN'!$D$12)/MAX(0.0000001,ABS(SIN(H111)))))*COS(H111))</f>
        <v>-1164.9956376453626</v>
      </c>
      <c r="J111" s="52">
        <f>IF(G111="",0,IF(shp=1,IF(AND(ABS(SIN(H111))&gt;0.0000001,MAX(1,hthan*500-'KT THAN'!$D$12)*ABS(COS(H111))/ABS(SIN(H111))&lt;=MAX(0,(bthan-hthan)*500)),MAX(1,hthan*500-'KT THAN'!$D$12)/ABS(SIN(H111)),MAX(0,(bthan-hthan)*500)*ABS(COS(H111))+SQRT(MAX(0,MAX(1,hthan*500-'KT THAN'!$D$12)^2-MAX(0,(bthan-hthan)*500)^2*SIN(H111)^2))),MIN((bthan*500-'KT THAN'!$D$12)/MAX(0.0000001,ABS(COS(H111))),(hthan*500-'KT THAN'!$D$12)/MAX(0.0000001,ABS(SIN(H111)))))*SIN(H111))</f>
        <v>-700</v>
      </c>
      <c r="K111" s="52">
        <f>IF(G111="",0,'KT THAN'!$D$11/'KT THAN'!$C$11)</f>
        <v>804.24771931898704</v>
      </c>
      <c r="L111" s="52"/>
      <c r="M111" s="52">
        <f>hthan*1000*0.01*1.06^105</f>
        <v>7265.0036270729315</v>
      </c>
      <c r="N111" s="52">
        <f t="shared" si="62"/>
        <v>264925.93875929294</v>
      </c>
      <c r="O111" s="52">
        <f t="shared" si="63"/>
        <v>5.4724514484405519E-12</v>
      </c>
      <c r="P111" s="52">
        <f t="shared" si="64"/>
        <v>2.3805921881124991E-3</v>
      </c>
      <c r="Q111" s="52">
        <f t="shared" si="65"/>
        <v>0.75</v>
      </c>
      <c r="R111" s="52">
        <f>Q111*MIN(N111,0.8*(0.85*fc_*(Agth*1000000-'KT THAN'!$D$11)+fy_*'KT THAN'!$D$11)/1000)</f>
        <v>158763.07851952704</v>
      </c>
      <c r="S111" s="52">
        <f t="shared" si="66"/>
        <v>4.1043385863304141E-12</v>
      </c>
      <c r="T111" s="52"/>
      <c r="U111" s="52">
        <f>bthan*1000*0.01*1.06^105</f>
        <v>24973.449968063203</v>
      </c>
      <c r="V111" s="52">
        <f t="shared" si="67"/>
        <v>264925.93875929294</v>
      </c>
      <c r="W111" s="52">
        <f t="shared" si="68"/>
        <v>4.0531158447265625E-12</v>
      </c>
      <c r="X111" s="52">
        <f t="shared" si="69"/>
        <v>2.3514946703995145E-3</v>
      </c>
      <c r="Y111" s="52">
        <f t="shared" si="70"/>
        <v>0.75</v>
      </c>
      <c r="Z111" s="52">
        <f>Y111*MIN(V111,0.8*(0.85*fc_*(Agth*1000000-'KT THAN'!$D$11)+fy_*'KT THAN'!$D$11)/1000)</f>
        <v>158763.07851952704</v>
      </c>
      <c r="AA111" s="52">
        <f t="shared" si="71"/>
        <v>3.0398368835449219E-12</v>
      </c>
      <c r="AB111" s="52"/>
      <c r="AC111" s="52">
        <f>SMALL($R$6:$R$125,ROWS($AC$6:AC111))</f>
        <v>158763.07851952704</v>
      </c>
      <c r="AD111" s="52">
        <f t="shared" si="72"/>
        <v>22079.283834343303</v>
      </c>
      <c r="AE111" s="52">
        <f>SMALL($Z$6:$Z$125,ROWS($AE$6:AE111))</f>
        <v>158763.07851952704</v>
      </c>
      <c r="AF111" s="52">
        <f t="shared" si="73"/>
        <v>14395.086703266508</v>
      </c>
      <c r="AG111" s="52">
        <f>SMALL($AK$6:$AK$125,ROWS($AG$6:AG111))</f>
        <v>9.9999999999999997E+98</v>
      </c>
      <c r="AH111" s="52">
        <f t="shared" si="74"/>
        <v>-50196.63221187015</v>
      </c>
      <c r="AI111" s="52">
        <f>SMALL($AL$6:$AL$125,ROWS($AI$6:AI111))</f>
        <v>9.9999999999999997E+98</v>
      </c>
      <c r="AJ111" s="52">
        <f t="shared" si="75"/>
        <v>-52115.252211870153</v>
      </c>
      <c r="AK111" s="52">
        <f t="shared" si="76"/>
        <v>9.9999999999999997E+98</v>
      </c>
      <c r="AL111" s="52">
        <f t="shared" si="77"/>
        <v>9.9999999999999997E+98</v>
      </c>
      <c r="AM111" s="52">
        <f t="shared" si="78"/>
        <v>0</v>
      </c>
      <c r="AN111" s="52">
        <f t="shared" si="79"/>
        <v>0</v>
      </c>
    </row>
    <row r="112" spans="1:40" x14ac:dyDescent="0.3">
      <c r="A112" s="52">
        <v>107</v>
      </c>
      <c r="B112" s="52">
        <f>-bthan*500+(6+0.5)*bthan*1000/50</f>
        <v>-2035</v>
      </c>
      <c r="C112" s="52">
        <f t="shared" si="80"/>
        <v>-750</v>
      </c>
      <c r="D112" s="52">
        <f t="shared" si="41"/>
        <v>2200</v>
      </c>
      <c r="E112" s="52">
        <f t="shared" si="42"/>
        <v>1</v>
      </c>
      <c r="F112" s="52"/>
      <c r="G112" s="52">
        <f>IF(107&lt;='KT THAN'!$C$11,107,"")</f>
        <v>107</v>
      </c>
      <c r="H112" s="52">
        <f>IF(G112="",0,2*PI()*(G112-0.5)/'KT THAN'!$C$11)</f>
        <v>3.717551306747922</v>
      </c>
      <c r="I112" s="52">
        <f>IF(G112="",0,IF(shp=1,IF(AND(ABS(SIN(H112))&gt;0.0000001,MAX(1,hthan*500-'KT THAN'!$D$12)*ABS(COS(H112))/ABS(SIN(H112))&lt;=MAX(0,(bthan-hthan)*500)),MAX(1,hthan*500-'KT THAN'!$D$12)/ABS(SIN(H112)),MAX(0,(bthan-hthan)*500)*ABS(COS(H112))+SQRT(MAX(0,MAX(1,hthan*500-'KT THAN'!$D$12)^2-MAX(0,(bthan-hthan)*500)^2*SIN(H112)^2))),MIN((bthan*500-'KT THAN'!$D$12)/MAX(0.0000001,ABS(COS(H112))),(hthan*500-'KT THAN'!$D$12)/MAX(0.0000001,ABS(SIN(H112)))))*COS(H112))</f>
        <v>-1077.9054746702082</v>
      </c>
      <c r="J112" s="52">
        <f>IF(G112="",0,IF(shp=1,IF(AND(ABS(SIN(H112))&gt;0.0000001,MAX(1,hthan*500-'KT THAN'!$D$12)*ABS(COS(H112))/ABS(SIN(H112))&lt;=MAX(0,(bthan-hthan)*500)),MAX(1,hthan*500-'KT THAN'!$D$12)/ABS(SIN(H112)),MAX(0,(bthan-hthan)*500)*ABS(COS(H112))+SQRT(MAX(0,MAX(1,hthan*500-'KT THAN'!$D$12)^2-MAX(0,(bthan-hthan)*500)^2*SIN(H112)^2))),MIN((bthan*500-'KT THAN'!$D$12)/MAX(0.0000001,ABS(COS(H112))),(hthan*500-'KT THAN'!$D$12)/MAX(0.0000001,ABS(SIN(H112)))))*SIN(H112))</f>
        <v>-700</v>
      </c>
      <c r="K112" s="52">
        <f>IF(G112="",0,'KT THAN'!$D$11/'KT THAN'!$C$11)</f>
        <v>804.24771931898704</v>
      </c>
      <c r="L112" s="52"/>
      <c r="M112" s="52">
        <f>hthan*1000*0.01*1.06^106</f>
        <v>7700.9038446973082</v>
      </c>
      <c r="N112" s="52">
        <f t="shared" si="62"/>
        <v>264925.93875929294</v>
      </c>
      <c r="O112" s="52">
        <f t="shared" si="63"/>
        <v>5.4724514484405519E-12</v>
      </c>
      <c r="P112" s="52">
        <f t="shared" si="64"/>
        <v>2.4156530076533014E-3</v>
      </c>
      <c r="Q112" s="52">
        <f t="shared" si="65"/>
        <v>0.75</v>
      </c>
      <c r="R112" s="52">
        <f>Q112*MIN(N112,0.8*(0.85*fc_*(Agth*1000000-'KT THAN'!$D$11)+fy_*'KT THAN'!$D$11)/1000)</f>
        <v>158763.07851952704</v>
      </c>
      <c r="S112" s="52">
        <f t="shared" si="66"/>
        <v>4.1043385863304141E-12</v>
      </c>
      <c r="T112" s="52"/>
      <c r="U112" s="52">
        <f>bthan*1000*0.01*1.06^106</f>
        <v>26471.856966146996</v>
      </c>
      <c r="V112" s="52">
        <f t="shared" si="67"/>
        <v>264925.93875929294</v>
      </c>
      <c r="W112" s="52">
        <f t="shared" si="68"/>
        <v>4.0531158447265625E-12</v>
      </c>
      <c r="X112" s="52">
        <f t="shared" si="69"/>
        <v>2.3882025192448254E-3</v>
      </c>
      <c r="Y112" s="52">
        <f t="shared" si="70"/>
        <v>0.75</v>
      </c>
      <c r="Z112" s="52">
        <f>Y112*MIN(V112,0.8*(0.85*fc_*(Agth*1000000-'KT THAN'!$D$11)+fy_*'KT THAN'!$D$11)/1000)</f>
        <v>158763.07851952704</v>
      </c>
      <c r="AA112" s="52">
        <f t="shared" si="71"/>
        <v>3.0398368835449219E-12</v>
      </c>
      <c r="AB112" s="52"/>
      <c r="AC112" s="52">
        <f>SMALL($R$6:$R$125,ROWS($AC$6:AC112))</f>
        <v>158763.07851952704</v>
      </c>
      <c r="AD112" s="52">
        <f t="shared" si="72"/>
        <v>22079.283834343303</v>
      </c>
      <c r="AE112" s="52">
        <f>SMALL($Z$6:$Z$125,ROWS($AE$6:AE112))</f>
        <v>158763.07851952704</v>
      </c>
      <c r="AF112" s="52">
        <f t="shared" si="73"/>
        <v>14395.086703266508</v>
      </c>
      <c r="AG112" s="52">
        <f>SMALL($AK$6:$AK$125,ROWS($AG$6:AG112))</f>
        <v>9.9999999999999997E+98</v>
      </c>
      <c r="AH112" s="52">
        <f t="shared" si="74"/>
        <v>-50196.63221187015</v>
      </c>
      <c r="AI112" s="52">
        <f>SMALL($AL$6:$AL$125,ROWS($AI$6:AI112))</f>
        <v>9.9999999999999997E+98</v>
      </c>
      <c r="AJ112" s="52">
        <f t="shared" si="75"/>
        <v>-52115.252211870153</v>
      </c>
      <c r="AK112" s="52">
        <f t="shared" si="76"/>
        <v>9.9999999999999997E+98</v>
      </c>
      <c r="AL112" s="52">
        <f t="shared" si="77"/>
        <v>9.9999999999999997E+98</v>
      </c>
      <c r="AM112" s="52">
        <f t="shared" si="78"/>
        <v>0</v>
      </c>
      <c r="AN112" s="52">
        <f t="shared" si="79"/>
        <v>0</v>
      </c>
    </row>
    <row r="113" spans="1:40" x14ac:dyDescent="0.3">
      <c r="A113" s="52">
        <v>108</v>
      </c>
      <c r="B113" s="52">
        <f>-bthan*500+(7+0.5)*bthan*1000/50</f>
        <v>-1925</v>
      </c>
      <c r="C113" s="52">
        <f t="shared" si="80"/>
        <v>-750</v>
      </c>
      <c r="D113" s="52">
        <f t="shared" si="41"/>
        <v>2200</v>
      </c>
      <c r="E113" s="52">
        <f t="shared" si="42"/>
        <v>1</v>
      </c>
      <c r="F113" s="52"/>
      <c r="G113" s="52">
        <f>IF(108&lt;='KT THAN'!$C$11,108,"")</f>
        <v>108</v>
      </c>
      <c r="H113" s="52">
        <f>IF(G113="",0,2*PI()*(G113-0.5)/'KT THAN'!$C$11)</f>
        <v>3.7524578917878082</v>
      </c>
      <c r="I113" s="52">
        <f>IF(G113="",0,IF(shp=1,IF(AND(ABS(SIN(H113))&gt;0.0000001,MAX(1,hthan*500-'KT THAN'!$D$12)*ABS(COS(H113))/ABS(SIN(H113))&lt;=MAX(0,(bthan-hthan)*500)),MAX(1,hthan*500-'KT THAN'!$D$12)/ABS(SIN(H113)),MAX(0,(bthan-hthan)*500)*ABS(COS(H113))+SQRT(MAX(0,MAX(1,hthan*500-'KT THAN'!$D$12)^2-MAX(0,(bthan-hthan)*500)^2*SIN(H113)^2))),MIN((bthan*500-'KT THAN'!$D$12)/MAX(0.0000001,ABS(COS(H113))),(hthan*500-'KT THAN'!$D$12)/MAX(0.0000001,ABS(SIN(H113)))))*COS(H113))</f>
        <v>-999.70360471948095</v>
      </c>
      <c r="J113" s="52">
        <f>IF(G113="",0,IF(shp=1,IF(AND(ABS(SIN(H113))&gt;0.0000001,MAX(1,hthan*500-'KT THAN'!$D$12)*ABS(COS(H113))/ABS(SIN(H113))&lt;=MAX(0,(bthan-hthan)*500)),MAX(1,hthan*500-'KT THAN'!$D$12)/ABS(SIN(H113)),MAX(0,(bthan-hthan)*500)*ABS(COS(H113))+SQRT(MAX(0,MAX(1,hthan*500-'KT THAN'!$D$12)^2-MAX(0,(bthan-hthan)*500)^2*SIN(H113)^2))),MIN((bthan*500-'KT THAN'!$D$12)/MAX(0.0000001,ABS(COS(H113))),(hthan*500-'KT THAN'!$D$12)/MAX(0.0000001,ABS(SIN(H113)))))*SIN(H113))</f>
        <v>-700</v>
      </c>
      <c r="K113" s="52">
        <f>IF(G113="",0,'KT THAN'!$D$11/'KT THAN'!$C$11)</f>
        <v>804.24771931898704</v>
      </c>
      <c r="L113" s="52"/>
      <c r="M113" s="52">
        <f>hthan*1000*0.01*1.06^107</f>
        <v>8162.9580753791479</v>
      </c>
      <c r="N113" s="52">
        <f t="shared" si="62"/>
        <v>264925.93875929294</v>
      </c>
      <c r="O113" s="52">
        <f t="shared" si="63"/>
        <v>5.4724514484405519E-12</v>
      </c>
      <c r="P113" s="52">
        <f t="shared" si="64"/>
        <v>2.4487292525031145E-3</v>
      </c>
      <c r="Q113" s="52">
        <f t="shared" si="65"/>
        <v>0.75</v>
      </c>
      <c r="R113" s="52">
        <f>Q113*MIN(N113,0.8*(0.85*fc_*(Agth*1000000-'KT THAN'!$D$11)+fy_*'KT THAN'!$D$11)/1000)</f>
        <v>158763.07851952704</v>
      </c>
      <c r="S113" s="52">
        <f t="shared" si="66"/>
        <v>4.1043385863304141E-12</v>
      </c>
      <c r="T113" s="52"/>
      <c r="U113" s="52">
        <f>bthan*1000*0.01*1.06^107</f>
        <v>28060.168384115819</v>
      </c>
      <c r="V113" s="52">
        <f t="shared" si="67"/>
        <v>264925.93875929294</v>
      </c>
      <c r="W113" s="52">
        <f t="shared" si="68"/>
        <v>4.0531158447265625E-12</v>
      </c>
      <c r="X113" s="52">
        <f t="shared" si="69"/>
        <v>2.4228325653253067E-3</v>
      </c>
      <c r="Y113" s="52">
        <f t="shared" si="70"/>
        <v>0.75</v>
      </c>
      <c r="Z113" s="52">
        <f>Y113*MIN(V113,0.8*(0.85*fc_*(Agth*1000000-'KT THAN'!$D$11)+fy_*'KT THAN'!$D$11)/1000)</f>
        <v>158763.07851952704</v>
      </c>
      <c r="AA113" s="52">
        <f t="shared" si="71"/>
        <v>3.0398368835449219E-12</v>
      </c>
      <c r="AB113" s="52"/>
      <c r="AC113" s="52">
        <f>SMALL($R$6:$R$125,ROWS($AC$6:AC113))</f>
        <v>158763.07851952704</v>
      </c>
      <c r="AD113" s="52">
        <f t="shared" si="72"/>
        <v>22079.283834343303</v>
      </c>
      <c r="AE113" s="52">
        <f>SMALL($Z$6:$Z$125,ROWS($AE$6:AE113))</f>
        <v>158763.07851952704</v>
      </c>
      <c r="AF113" s="52">
        <f t="shared" si="73"/>
        <v>14395.086703266508</v>
      </c>
      <c r="AG113" s="52">
        <f>SMALL($AK$6:$AK$125,ROWS($AG$6:AG113))</f>
        <v>9.9999999999999997E+98</v>
      </c>
      <c r="AH113" s="52">
        <f t="shared" si="74"/>
        <v>-50196.63221187015</v>
      </c>
      <c r="AI113" s="52">
        <f>SMALL($AL$6:$AL$125,ROWS($AI$6:AI113))</f>
        <v>9.9999999999999997E+98</v>
      </c>
      <c r="AJ113" s="52">
        <f t="shared" si="75"/>
        <v>-52115.252211870153</v>
      </c>
      <c r="AK113" s="52">
        <f t="shared" si="76"/>
        <v>9.9999999999999997E+98</v>
      </c>
      <c r="AL113" s="52">
        <f t="shared" si="77"/>
        <v>9.9999999999999997E+98</v>
      </c>
      <c r="AM113" s="52">
        <f t="shared" si="78"/>
        <v>0</v>
      </c>
      <c r="AN113" s="52">
        <f t="shared" si="79"/>
        <v>0</v>
      </c>
    </row>
    <row r="114" spans="1:40" x14ac:dyDescent="0.3">
      <c r="A114" s="52">
        <v>109</v>
      </c>
      <c r="B114" s="52">
        <f>-bthan*500+(8+0.5)*bthan*1000/50</f>
        <v>-1815</v>
      </c>
      <c r="C114" s="52">
        <f t="shared" si="80"/>
        <v>-750</v>
      </c>
      <c r="D114" s="52">
        <f t="shared" si="41"/>
        <v>2200</v>
      </c>
      <c r="E114" s="52">
        <f t="shared" si="42"/>
        <v>1</v>
      </c>
      <c r="F114" s="52"/>
      <c r="G114" s="52">
        <f>IF(109&lt;='KT THAN'!$C$11,109,"")</f>
        <v>109</v>
      </c>
      <c r="H114" s="52">
        <f>IF(G114="",0,2*PI()*(G114-0.5)/'KT THAN'!$C$11)</f>
        <v>3.7873644768276948</v>
      </c>
      <c r="I114" s="52">
        <f>IF(G114="",0,IF(shp=1,IF(AND(ABS(SIN(H114))&gt;0.0000001,MAX(1,hthan*500-'KT THAN'!$D$12)*ABS(COS(H114))/ABS(SIN(H114))&lt;=MAX(0,(bthan-hthan)*500)),MAX(1,hthan*500-'KT THAN'!$D$12)/ABS(SIN(H114)),MAX(0,(bthan-hthan)*500)*ABS(COS(H114))+SQRT(MAX(0,MAX(1,hthan*500-'KT THAN'!$D$12)^2-MAX(0,(bthan-hthan)*500)^2*SIN(H114)^2))),MIN((bthan*500-'KT THAN'!$D$12)/MAX(0.0000001,ABS(COS(H114))),(hthan*500-'KT THAN'!$D$12)/MAX(0.0000001,ABS(SIN(H114)))))*COS(H114))</f>
        <v>-928.93137513428769</v>
      </c>
      <c r="J114" s="52">
        <f>IF(G114="",0,IF(shp=1,IF(AND(ABS(SIN(H114))&gt;0.0000001,MAX(1,hthan*500-'KT THAN'!$D$12)*ABS(COS(H114))/ABS(SIN(H114))&lt;=MAX(0,(bthan-hthan)*500)),MAX(1,hthan*500-'KT THAN'!$D$12)/ABS(SIN(H114)),MAX(0,(bthan-hthan)*500)*ABS(COS(H114))+SQRT(MAX(0,MAX(1,hthan*500-'KT THAN'!$D$12)^2-MAX(0,(bthan-hthan)*500)^2*SIN(H114)^2))),MIN((bthan*500-'KT THAN'!$D$12)/MAX(0.0000001,ABS(COS(H114))),(hthan*500-'KT THAN'!$D$12)/MAX(0.0000001,ABS(SIN(H114)))))*SIN(H114))</f>
        <v>-700</v>
      </c>
      <c r="K114" s="52">
        <f>IF(G114="",0,'KT THAN'!$D$11/'KT THAN'!$C$11)</f>
        <v>804.24771931898704</v>
      </c>
      <c r="L114" s="52"/>
      <c r="M114" s="52">
        <f>hthan*1000*0.01*1.06^108</f>
        <v>8652.7355599018974</v>
      </c>
      <c r="N114" s="52">
        <f t="shared" si="62"/>
        <v>264925.93875929294</v>
      </c>
      <c r="O114" s="52">
        <f t="shared" si="63"/>
        <v>5.4724514484405519E-12</v>
      </c>
      <c r="P114" s="52">
        <f t="shared" si="64"/>
        <v>2.4799332570784099E-3</v>
      </c>
      <c r="Q114" s="52">
        <f t="shared" si="65"/>
        <v>0.75</v>
      </c>
      <c r="R114" s="52">
        <f>Q114*MIN(N114,0.8*(0.85*fc_*(Agth*1000000-'KT THAN'!$D$11)+fy_*'KT THAN'!$D$11)/1000)</f>
        <v>158763.07851952704</v>
      </c>
      <c r="S114" s="52">
        <f t="shared" si="66"/>
        <v>4.1043385863304141E-12</v>
      </c>
      <c r="T114" s="52"/>
      <c r="U114" s="52">
        <f>bthan*1000*0.01*1.06^108</f>
        <v>29743.778487162774</v>
      </c>
      <c r="V114" s="52">
        <f t="shared" si="67"/>
        <v>264925.93875929294</v>
      </c>
      <c r="W114" s="52">
        <f t="shared" si="68"/>
        <v>4.0531158447265625E-12</v>
      </c>
      <c r="X114" s="52">
        <f t="shared" si="69"/>
        <v>2.4555024201182141E-3</v>
      </c>
      <c r="Y114" s="52">
        <f t="shared" si="70"/>
        <v>0.75</v>
      </c>
      <c r="Z114" s="52">
        <f>Y114*MIN(V114,0.8*(0.85*fc_*(Agth*1000000-'KT THAN'!$D$11)+fy_*'KT THAN'!$D$11)/1000)</f>
        <v>158763.07851952704</v>
      </c>
      <c r="AA114" s="52">
        <f t="shared" si="71"/>
        <v>3.0398368835449219E-12</v>
      </c>
      <c r="AB114" s="52"/>
      <c r="AC114" s="52">
        <f>SMALL($R$6:$R$125,ROWS($AC$6:AC114))</f>
        <v>158763.07851952704</v>
      </c>
      <c r="AD114" s="52">
        <f t="shared" si="72"/>
        <v>22079.283834343303</v>
      </c>
      <c r="AE114" s="52">
        <f>SMALL($Z$6:$Z$125,ROWS($AE$6:AE114))</f>
        <v>158763.07851952704</v>
      </c>
      <c r="AF114" s="52">
        <f t="shared" si="73"/>
        <v>14395.086703266508</v>
      </c>
      <c r="AG114" s="52">
        <f>SMALL($AK$6:$AK$125,ROWS($AG$6:AG114))</f>
        <v>9.9999999999999997E+98</v>
      </c>
      <c r="AH114" s="52">
        <f t="shared" si="74"/>
        <v>-50196.63221187015</v>
      </c>
      <c r="AI114" s="52">
        <f>SMALL($AL$6:$AL$125,ROWS($AI$6:AI114))</f>
        <v>9.9999999999999997E+98</v>
      </c>
      <c r="AJ114" s="52">
        <f t="shared" si="75"/>
        <v>-52115.252211870153</v>
      </c>
      <c r="AK114" s="52">
        <f t="shared" si="76"/>
        <v>9.9999999999999997E+98</v>
      </c>
      <c r="AL114" s="52">
        <f t="shared" si="77"/>
        <v>9.9999999999999997E+98</v>
      </c>
      <c r="AM114" s="52">
        <f t="shared" si="78"/>
        <v>0</v>
      </c>
      <c r="AN114" s="52">
        <f t="shared" si="79"/>
        <v>0</v>
      </c>
    </row>
    <row r="115" spans="1:40" x14ac:dyDescent="0.3">
      <c r="A115" s="52">
        <v>110</v>
      </c>
      <c r="B115" s="52">
        <f>-bthan*500+(9+0.5)*bthan*1000/50</f>
        <v>-1705</v>
      </c>
      <c r="C115" s="52">
        <f t="shared" si="80"/>
        <v>-750</v>
      </c>
      <c r="D115" s="52">
        <f t="shared" si="41"/>
        <v>2200</v>
      </c>
      <c r="E115" s="52">
        <f t="shared" si="42"/>
        <v>1</v>
      </c>
      <c r="F115" s="52"/>
      <c r="G115" s="52">
        <f>IF(110&lt;='KT THAN'!$C$11,110,"")</f>
        <v>110</v>
      </c>
      <c r="H115" s="52">
        <f>IF(G115="",0,2*PI()*(G115-0.5)/'KT THAN'!$C$11)</f>
        <v>3.8222710618675819</v>
      </c>
      <c r="I115" s="52">
        <f>IF(G115="",0,IF(shp=1,IF(AND(ABS(SIN(H115))&gt;0.0000001,MAX(1,hthan*500-'KT THAN'!$D$12)*ABS(COS(H115))/ABS(SIN(H115))&lt;=MAX(0,(bthan-hthan)*500)),MAX(1,hthan*500-'KT THAN'!$D$12)/ABS(SIN(H115)),MAX(0,(bthan-hthan)*500)*ABS(COS(H115))+SQRT(MAX(0,MAX(1,hthan*500-'KT THAN'!$D$12)^2-MAX(0,(bthan-hthan)*500)^2*SIN(H115)^2))),MIN((bthan*500-'KT THAN'!$D$12)/MAX(0.0000001,ABS(COS(H115))),(hthan*500-'KT THAN'!$D$12)/MAX(0.0000001,ABS(SIN(H115)))))*COS(H115))</f>
        <v>-864.42800957453574</v>
      </c>
      <c r="J115" s="52">
        <f>IF(G115="",0,IF(shp=1,IF(AND(ABS(SIN(H115))&gt;0.0000001,MAX(1,hthan*500-'KT THAN'!$D$12)*ABS(COS(H115))/ABS(SIN(H115))&lt;=MAX(0,(bthan-hthan)*500)),MAX(1,hthan*500-'KT THAN'!$D$12)/ABS(SIN(H115)),MAX(0,(bthan-hthan)*500)*ABS(COS(H115))+SQRT(MAX(0,MAX(1,hthan*500-'KT THAN'!$D$12)^2-MAX(0,(bthan-hthan)*500)^2*SIN(H115)^2))),MIN((bthan*500-'KT THAN'!$D$12)/MAX(0.0000001,ABS(COS(H115))),(hthan*500-'KT THAN'!$D$12)/MAX(0.0000001,ABS(SIN(H115)))))*SIN(H115))</f>
        <v>-700.00000000000011</v>
      </c>
      <c r="K115" s="52">
        <f>IF(G115="",0,'KT THAN'!$D$11/'KT THAN'!$C$11)</f>
        <v>804.24771931898704</v>
      </c>
      <c r="L115" s="52"/>
      <c r="M115" s="52">
        <f>hthan*1000*0.01*1.06^109</f>
        <v>9171.8996934960123</v>
      </c>
      <c r="N115" s="52">
        <f t="shared" si="62"/>
        <v>264925.93875929294</v>
      </c>
      <c r="O115" s="52">
        <f t="shared" si="63"/>
        <v>5.4724514484405519E-12</v>
      </c>
      <c r="P115" s="52">
        <f t="shared" si="64"/>
        <v>2.5093709972437831E-3</v>
      </c>
      <c r="Q115" s="52">
        <f t="shared" si="65"/>
        <v>0.75</v>
      </c>
      <c r="R115" s="52">
        <f>Q115*MIN(N115,0.8*(0.85*fc_*(Agth*1000000-'KT THAN'!$D$11)+fy_*'KT THAN'!$D$11)/1000)</f>
        <v>158763.07851952704</v>
      </c>
      <c r="S115" s="52">
        <f t="shared" si="66"/>
        <v>4.1043385863304141E-12</v>
      </c>
      <c r="T115" s="52"/>
      <c r="U115" s="52">
        <f>bthan*1000*0.01*1.06^109</f>
        <v>31528.405196392541</v>
      </c>
      <c r="V115" s="52">
        <f t="shared" si="67"/>
        <v>264925.93875929294</v>
      </c>
      <c r="W115" s="52">
        <f t="shared" si="68"/>
        <v>4.0531158447265625E-12</v>
      </c>
      <c r="X115" s="52">
        <f t="shared" si="69"/>
        <v>2.4863230378473714E-3</v>
      </c>
      <c r="Y115" s="52">
        <f t="shared" si="70"/>
        <v>0.75</v>
      </c>
      <c r="Z115" s="52">
        <f>Y115*MIN(V115,0.8*(0.85*fc_*(Agth*1000000-'KT THAN'!$D$11)+fy_*'KT THAN'!$D$11)/1000)</f>
        <v>158763.07851952704</v>
      </c>
      <c r="AA115" s="52">
        <f t="shared" si="71"/>
        <v>3.0398368835449219E-12</v>
      </c>
      <c r="AB115" s="52"/>
      <c r="AC115" s="52">
        <f>SMALL($R$6:$R$125,ROWS($AC$6:AC115))</f>
        <v>158763.07851952704</v>
      </c>
      <c r="AD115" s="52">
        <f t="shared" si="72"/>
        <v>22079.283834343303</v>
      </c>
      <c r="AE115" s="52">
        <f>SMALL($Z$6:$Z$125,ROWS($AE$6:AE115))</f>
        <v>158763.07851952704</v>
      </c>
      <c r="AF115" s="52">
        <f t="shared" si="73"/>
        <v>14395.086703266508</v>
      </c>
      <c r="AG115" s="52">
        <f>SMALL($AK$6:$AK$125,ROWS($AG$6:AG115))</f>
        <v>9.9999999999999997E+98</v>
      </c>
      <c r="AH115" s="52">
        <f t="shared" si="74"/>
        <v>-50196.63221187015</v>
      </c>
      <c r="AI115" s="52">
        <f>SMALL($AL$6:$AL$125,ROWS($AI$6:AI115))</f>
        <v>9.9999999999999997E+98</v>
      </c>
      <c r="AJ115" s="52">
        <f t="shared" si="75"/>
        <v>-52115.252211870153</v>
      </c>
      <c r="AK115" s="52">
        <f t="shared" si="76"/>
        <v>9.9999999999999997E+98</v>
      </c>
      <c r="AL115" s="52">
        <f t="shared" si="77"/>
        <v>9.9999999999999997E+98</v>
      </c>
      <c r="AM115" s="52">
        <f t="shared" si="78"/>
        <v>0</v>
      </c>
      <c r="AN115" s="52">
        <f t="shared" si="79"/>
        <v>0</v>
      </c>
    </row>
    <row r="116" spans="1:40" x14ac:dyDescent="0.3">
      <c r="A116" s="52">
        <v>111</v>
      </c>
      <c r="B116" s="52">
        <f>-bthan*500+(10+0.5)*bthan*1000/50</f>
        <v>-1595</v>
      </c>
      <c r="C116" s="52">
        <f t="shared" si="80"/>
        <v>-750</v>
      </c>
      <c r="D116" s="52">
        <f t="shared" si="41"/>
        <v>2200</v>
      </c>
      <c r="E116" s="52">
        <f t="shared" si="42"/>
        <v>1</v>
      </c>
      <c r="F116" s="52"/>
      <c r="G116" s="52">
        <f>IF(111&lt;='KT THAN'!$C$11,111,"")</f>
        <v>111</v>
      </c>
      <c r="H116" s="52">
        <f>IF(G116="",0,2*PI()*(G116-0.5)/'KT THAN'!$C$11)</f>
        <v>3.8571776469074686</v>
      </c>
      <c r="I116" s="52">
        <f>IF(G116="",0,IF(shp=1,IF(AND(ABS(SIN(H116))&gt;0.0000001,MAX(1,hthan*500-'KT THAN'!$D$12)*ABS(COS(H116))/ABS(SIN(H116))&lt;=MAX(0,(bthan-hthan)*500)),MAX(1,hthan*500-'KT THAN'!$D$12)/ABS(SIN(H116)),MAX(0,(bthan-hthan)*500)*ABS(COS(H116))+SQRT(MAX(0,MAX(1,hthan*500-'KT THAN'!$D$12)^2-MAX(0,(bthan-hthan)*500)^2*SIN(H116)^2))),MIN((bthan*500-'KT THAN'!$D$12)/MAX(0.0000001,ABS(COS(H116))),(hthan*500-'KT THAN'!$D$12)/MAX(0.0000001,ABS(SIN(H116)))))*COS(H116))</f>
        <v>-805.25788505470655</v>
      </c>
      <c r="J116" s="52">
        <f>IF(G116="",0,IF(shp=1,IF(AND(ABS(SIN(H116))&gt;0.0000001,MAX(1,hthan*500-'KT THAN'!$D$12)*ABS(COS(H116))/ABS(SIN(H116))&lt;=MAX(0,(bthan-hthan)*500)),MAX(1,hthan*500-'KT THAN'!$D$12)/ABS(SIN(H116)),MAX(0,(bthan-hthan)*500)*ABS(COS(H116))+SQRT(MAX(0,MAX(1,hthan*500-'KT THAN'!$D$12)^2-MAX(0,(bthan-hthan)*500)^2*SIN(H116)^2))),MIN((bthan*500-'KT THAN'!$D$12)/MAX(0.0000001,ABS(COS(H116))),(hthan*500-'KT THAN'!$D$12)/MAX(0.0000001,ABS(SIN(H116)))))*SIN(H116))</f>
        <v>-700</v>
      </c>
      <c r="K116" s="52">
        <f>IF(G116="",0,'KT THAN'!$D$11/'KT THAN'!$C$11)</f>
        <v>804.24771931898704</v>
      </c>
      <c r="L116" s="52"/>
      <c r="M116" s="52">
        <f>hthan*1000*0.01*1.06^110</f>
        <v>9722.2136751057733</v>
      </c>
      <c r="N116" s="52">
        <f t="shared" si="62"/>
        <v>264925.93875929294</v>
      </c>
      <c r="O116" s="52">
        <f t="shared" si="63"/>
        <v>5.4724514484405519E-12</v>
      </c>
      <c r="P116" s="52">
        <f t="shared" si="64"/>
        <v>2.5371424502299844E-3</v>
      </c>
      <c r="Q116" s="52">
        <f t="shared" si="65"/>
        <v>0.75</v>
      </c>
      <c r="R116" s="52">
        <f>Q116*MIN(N116,0.8*(0.85*fc_*(Agth*1000000-'KT THAN'!$D$11)+fy_*'KT THAN'!$D$11)/1000)</f>
        <v>158763.07851952704</v>
      </c>
      <c r="S116" s="52">
        <f t="shared" si="66"/>
        <v>4.1043385863304141E-12</v>
      </c>
      <c r="T116" s="52"/>
      <c r="U116" s="52">
        <f>bthan*1000*0.01*1.06^110</f>
        <v>33420.109508176094</v>
      </c>
      <c r="V116" s="52">
        <f t="shared" si="67"/>
        <v>264925.93875929294</v>
      </c>
      <c r="W116" s="52">
        <f t="shared" si="68"/>
        <v>4.0531158447265625E-12</v>
      </c>
      <c r="X116" s="52">
        <f t="shared" si="69"/>
        <v>2.5153990923088413E-3</v>
      </c>
      <c r="Y116" s="52">
        <f t="shared" si="70"/>
        <v>0.75</v>
      </c>
      <c r="Z116" s="52">
        <f>Y116*MIN(V116,0.8*(0.85*fc_*(Agth*1000000-'KT THAN'!$D$11)+fy_*'KT THAN'!$D$11)/1000)</f>
        <v>158763.07851952704</v>
      </c>
      <c r="AA116" s="52">
        <f t="shared" si="71"/>
        <v>3.0398368835449219E-12</v>
      </c>
      <c r="AB116" s="52"/>
      <c r="AC116" s="52">
        <f>SMALL($R$6:$R$125,ROWS($AC$6:AC116))</f>
        <v>158763.07851952704</v>
      </c>
      <c r="AD116" s="52">
        <f t="shared" si="72"/>
        <v>22079.283834343303</v>
      </c>
      <c r="AE116" s="52">
        <f>SMALL($Z$6:$Z$125,ROWS($AE$6:AE116))</f>
        <v>158763.07851952704</v>
      </c>
      <c r="AF116" s="52">
        <f t="shared" si="73"/>
        <v>14395.086703266508</v>
      </c>
      <c r="AG116" s="52">
        <f>SMALL($AK$6:$AK$125,ROWS($AG$6:AG116))</f>
        <v>9.9999999999999997E+98</v>
      </c>
      <c r="AH116" s="52">
        <f t="shared" si="74"/>
        <v>-50196.63221187015</v>
      </c>
      <c r="AI116" s="52">
        <f>SMALL($AL$6:$AL$125,ROWS($AI$6:AI116))</f>
        <v>9.9999999999999997E+98</v>
      </c>
      <c r="AJ116" s="52">
        <f t="shared" si="75"/>
        <v>-52115.252211870153</v>
      </c>
      <c r="AK116" s="52">
        <f t="shared" si="76"/>
        <v>9.9999999999999997E+98</v>
      </c>
      <c r="AL116" s="52">
        <f t="shared" si="77"/>
        <v>9.9999999999999997E+98</v>
      </c>
      <c r="AM116" s="52">
        <f t="shared" si="78"/>
        <v>0</v>
      </c>
      <c r="AN116" s="52">
        <f t="shared" si="79"/>
        <v>0</v>
      </c>
    </row>
    <row r="117" spans="1:40" x14ac:dyDescent="0.3">
      <c r="A117" s="52">
        <v>112</v>
      </c>
      <c r="B117" s="52">
        <f>-bthan*500+(11+0.5)*bthan*1000/50</f>
        <v>-1485</v>
      </c>
      <c r="C117" s="52">
        <f t="shared" si="80"/>
        <v>-750</v>
      </c>
      <c r="D117" s="52">
        <f t="shared" si="41"/>
        <v>2200</v>
      </c>
      <c r="E117" s="52">
        <f t="shared" si="42"/>
        <v>1</v>
      </c>
      <c r="F117" s="52"/>
      <c r="G117" s="52">
        <f>IF(112&lt;='KT THAN'!$C$11,112,"")</f>
        <v>112</v>
      </c>
      <c r="H117" s="52">
        <f>IF(G117="",0,2*PI()*(G117-0.5)/'KT THAN'!$C$11)</f>
        <v>3.8920842319473548</v>
      </c>
      <c r="I117" s="52">
        <f>IF(G117="",0,IF(shp=1,IF(AND(ABS(SIN(H117))&gt;0.0000001,MAX(1,hthan*500-'KT THAN'!$D$12)*ABS(COS(H117))/ABS(SIN(H117))&lt;=MAX(0,(bthan-hthan)*500)),MAX(1,hthan*500-'KT THAN'!$D$12)/ABS(SIN(H117)),MAX(0,(bthan-hthan)*500)*ABS(COS(H117))+SQRT(MAX(0,MAX(1,hthan*500-'KT THAN'!$D$12)^2-MAX(0,(bthan-hthan)*500)^2*SIN(H117)^2))),MIN((bthan*500-'KT THAN'!$D$12)/MAX(0.0000001,ABS(COS(H117))),(hthan*500-'KT THAN'!$D$12)/MAX(0.0000001,ABS(SIN(H117)))))*COS(H117))</f>
        <v>-750.65809701727812</v>
      </c>
      <c r="J117" s="52">
        <f>IF(G117="",0,IF(shp=1,IF(AND(ABS(SIN(H117))&gt;0.0000001,MAX(1,hthan*500-'KT THAN'!$D$12)*ABS(COS(H117))/ABS(SIN(H117))&lt;=MAX(0,(bthan-hthan)*500)),MAX(1,hthan*500-'KT THAN'!$D$12)/ABS(SIN(H117)),MAX(0,(bthan-hthan)*500)*ABS(COS(H117))+SQRT(MAX(0,MAX(1,hthan*500-'KT THAN'!$D$12)^2-MAX(0,(bthan-hthan)*500)^2*SIN(H117)^2))),MIN((bthan*500-'KT THAN'!$D$12)/MAX(0.0000001,ABS(COS(H117))),(hthan*500-'KT THAN'!$D$12)/MAX(0.0000001,ABS(SIN(H117)))))*SIN(H117))</f>
        <v>-700.00000000000011</v>
      </c>
      <c r="K117" s="52">
        <f>IF(G117="",0,'KT THAN'!$D$11/'KT THAN'!$C$11)</f>
        <v>804.24771931898704</v>
      </c>
      <c r="L117" s="52"/>
      <c r="M117" s="52">
        <f>hthan*1000*0.01*1.06^111</f>
        <v>10305.546495612121</v>
      </c>
      <c r="N117" s="52">
        <f t="shared" si="62"/>
        <v>264925.93875929294</v>
      </c>
      <c r="O117" s="52">
        <f t="shared" si="63"/>
        <v>5.4724514484405519E-12</v>
      </c>
      <c r="P117" s="52">
        <f t="shared" si="64"/>
        <v>2.5633419341792303E-3</v>
      </c>
      <c r="Q117" s="52">
        <f t="shared" si="65"/>
        <v>0.75</v>
      </c>
      <c r="R117" s="52">
        <f>Q117*MIN(N117,0.8*(0.85*fc_*(Agth*1000000-'KT THAN'!$D$11)+fy_*'KT THAN'!$D$11)/1000)</f>
        <v>158763.07851952704</v>
      </c>
      <c r="S117" s="52">
        <f t="shared" si="66"/>
        <v>4.1043385863304141E-12</v>
      </c>
      <c r="T117" s="52"/>
      <c r="U117" s="52">
        <f>bthan*1000*0.01*1.06^111</f>
        <v>35425.31607866667</v>
      </c>
      <c r="V117" s="52">
        <f t="shared" si="67"/>
        <v>264925.93875929294</v>
      </c>
      <c r="W117" s="52">
        <f t="shared" si="68"/>
        <v>4.0531158447265625E-12</v>
      </c>
      <c r="X117" s="52">
        <f t="shared" si="69"/>
        <v>2.5428293323668315E-3</v>
      </c>
      <c r="Y117" s="52">
        <f t="shared" si="70"/>
        <v>0.75</v>
      </c>
      <c r="Z117" s="52">
        <f>Y117*MIN(V117,0.8*(0.85*fc_*(Agth*1000000-'KT THAN'!$D$11)+fy_*'KT THAN'!$D$11)/1000)</f>
        <v>158763.07851952704</v>
      </c>
      <c r="AA117" s="52">
        <f t="shared" si="71"/>
        <v>3.0398368835449219E-12</v>
      </c>
      <c r="AB117" s="52"/>
      <c r="AC117" s="52">
        <f>SMALL($R$6:$R$125,ROWS($AC$6:AC117))</f>
        <v>158763.07851952704</v>
      </c>
      <c r="AD117" s="52">
        <f t="shared" si="72"/>
        <v>22079.283834343303</v>
      </c>
      <c r="AE117" s="52">
        <f>SMALL($Z$6:$Z$125,ROWS($AE$6:AE117))</f>
        <v>158763.07851952704</v>
      </c>
      <c r="AF117" s="52">
        <f t="shared" si="73"/>
        <v>14395.086703266508</v>
      </c>
      <c r="AG117" s="52">
        <f>SMALL($AK$6:$AK$125,ROWS($AG$6:AG117))</f>
        <v>9.9999999999999997E+98</v>
      </c>
      <c r="AH117" s="52">
        <f t="shared" si="74"/>
        <v>-50196.63221187015</v>
      </c>
      <c r="AI117" s="52">
        <f>SMALL($AL$6:$AL$125,ROWS($AI$6:AI117))</f>
        <v>9.9999999999999997E+98</v>
      </c>
      <c r="AJ117" s="52">
        <f t="shared" si="75"/>
        <v>-52115.252211870153</v>
      </c>
      <c r="AK117" s="52">
        <f t="shared" si="76"/>
        <v>9.9999999999999997E+98</v>
      </c>
      <c r="AL117" s="52">
        <f t="shared" si="77"/>
        <v>9.9999999999999997E+98</v>
      </c>
      <c r="AM117" s="52">
        <f t="shared" si="78"/>
        <v>0</v>
      </c>
      <c r="AN117" s="52">
        <f t="shared" si="79"/>
        <v>0</v>
      </c>
    </row>
    <row r="118" spans="1:40" x14ac:dyDescent="0.3">
      <c r="A118" s="52">
        <v>113</v>
      </c>
      <c r="B118" s="52">
        <f>-bthan*500+(12+0.5)*bthan*1000/50</f>
        <v>-1375</v>
      </c>
      <c r="C118" s="52">
        <f t="shared" si="80"/>
        <v>-750</v>
      </c>
      <c r="D118" s="52">
        <f t="shared" si="41"/>
        <v>2200</v>
      </c>
      <c r="E118" s="52">
        <f t="shared" si="42"/>
        <v>1</v>
      </c>
      <c r="F118" s="52"/>
      <c r="G118" s="52">
        <f>IF(113&lt;='KT THAN'!$C$11,113,"")</f>
        <v>113</v>
      </c>
      <c r="H118" s="52">
        <f>IF(G118="",0,2*PI()*(G118-0.5)/'KT THAN'!$C$11)</f>
        <v>3.9269908169872414</v>
      </c>
      <c r="I118" s="52">
        <f>IF(G118="",0,IF(shp=1,IF(AND(ABS(SIN(H118))&gt;0.0000001,MAX(1,hthan*500-'KT THAN'!$D$12)*ABS(COS(H118))/ABS(SIN(H118))&lt;=MAX(0,(bthan-hthan)*500)),MAX(1,hthan*500-'KT THAN'!$D$12)/ABS(SIN(H118)),MAX(0,(bthan-hthan)*500)*ABS(COS(H118))+SQRT(MAX(0,MAX(1,hthan*500-'KT THAN'!$D$12)^2-MAX(0,(bthan-hthan)*500)^2*SIN(H118)^2))),MIN((bthan*500-'KT THAN'!$D$12)/MAX(0.0000001,ABS(COS(H118))),(hthan*500-'KT THAN'!$D$12)/MAX(0.0000001,ABS(SIN(H118)))))*COS(H118))</f>
        <v>-700.00000000000023</v>
      </c>
      <c r="J118" s="52">
        <f>IF(G118="",0,IF(shp=1,IF(AND(ABS(SIN(H118))&gt;0.0000001,MAX(1,hthan*500-'KT THAN'!$D$12)*ABS(COS(H118))/ABS(SIN(H118))&lt;=MAX(0,(bthan-hthan)*500)),MAX(1,hthan*500-'KT THAN'!$D$12)/ABS(SIN(H118)),MAX(0,(bthan-hthan)*500)*ABS(COS(H118))+SQRT(MAX(0,MAX(1,hthan*500-'KT THAN'!$D$12)^2-MAX(0,(bthan-hthan)*500)^2*SIN(H118)^2))),MIN((bthan*500-'KT THAN'!$D$12)/MAX(0.0000001,ABS(COS(H118))),(hthan*500-'KT THAN'!$D$12)/MAX(0.0000001,ABS(SIN(H118)))))*SIN(H118))</f>
        <v>-700</v>
      </c>
      <c r="K118" s="52">
        <f>IF(G118="",0,'KT THAN'!$D$11/'KT THAN'!$C$11)</f>
        <v>804.24771931898704</v>
      </c>
      <c r="L118" s="52"/>
      <c r="M118" s="52">
        <f>hthan*1000*0.01*1.06^112</f>
        <v>10923.879285348847</v>
      </c>
      <c r="N118" s="52">
        <f t="shared" si="62"/>
        <v>264925.93875929294</v>
      </c>
      <c r="O118" s="52">
        <f t="shared" si="63"/>
        <v>5.4724514484405519E-12</v>
      </c>
      <c r="P118" s="52">
        <f t="shared" si="64"/>
        <v>2.5880584284709721E-3</v>
      </c>
      <c r="Q118" s="52">
        <f t="shared" si="65"/>
        <v>0.75</v>
      </c>
      <c r="R118" s="52">
        <f>Q118*MIN(N118,0.8*(0.85*fc_*(Agth*1000000-'KT THAN'!$D$11)+fy_*'KT THAN'!$D$11)/1000)</f>
        <v>158763.07851952704</v>
      </c>
      <c r="S118" s="52">
        <f t="shared" si="66"/>
        <v>4.1043385863304141E-12</v>
      </c>
      <c r="T118" s="52"/>
      <c r="U118" s="52">
        <f>bthan*1000*0.01*1.06^112</f>
        <v>37550.835043386658</v>
      </c>
      <c r="V118" s="52">
        <f t="shared" si="67"/>
        <v>264925.93875929294</v>
      </c>
      <c r="W118" s="52">
        <f t="shared" si="68"/>
        <v>4.0531158447265625E-12</v>
      </c>
      <c r="X118" s="52">
        <f t="shared" si="69"/>
        <v>2.5687069173271995E-3</v>
      </c>
      <c r="Y118" s="52">
        <f t="shared" si="70"/>
        <v>0.75</v>
      </c>
      <c r="Z118" s="52">
        <f>Y118*MIN(V118,0.8*(0.85*fc_*(Agth*1000000-'KT THAN'!$D$11)+fy_*'KT THAN'!$D$11)/1000)</f>
        <v>158763.07851952704</v>
      </c>
      <c r="AA118" s="52">
        <f t="shared" si="71"/>
        <v>3.0398368835449219E-12</v>
      </c>
      <c r="AB118" s="52"/>
      <c r="AC118" s="52">
        <f>SMALL($R$6:$R$125,ROWS($AC$6:AC118))</f>
        <v>158763.07851952704</v>
      </c>
      <c r="AD118" s="52">
        <f t="shared" si="72"/>
        <v>22079.283834343303</v>
      </c>
      <c r="AE118" s="52">
        <f>SMALL($Z$6:$Z$125,ROWS($AE$6:AE118))</f>
        <v>158763.07851952704</v>
      </c>
      <c r="AF118" s="52">
        <f t="shared" si="73"/>
        <v>14395.086703266508</v>
      </c>
      <c r="AG118" s="52">
        <f>SMALL($AK$6:$AK$125,ROWS($AG$6:AG118))</f>
        <v>9.9999999999999997E+98</v>
      </c>
      <c r="AH118" s="52">
        <f t="shared" si="74"/>
        <v>-50196.63221187015</v>
      </c>
      <c r="AI118" s="52">
        <f>SMALL($AL$6:$AL$125,ROWS($AI$6:AI118))</f>
        <v>9.9999999999999997E+98</v>
      </c>
      <c r="AJ118" s="52">
        <f t="shared" si="75"/>
        <v>-52115.252211870153</v>
      </c>
      <c r="AK118" s="52">
        <f t="shared" si="76"/>
        <v>9.9999999999999997E+98</v>
      </c>
      <c r="AL118" s="52">
        <f t="shared" si="77"/>
        <v>9.9999999999999997E+98</v>
      </c>
      <c r="AM118" s="52">
        <f t="shared" si="78"/>
        <v>0</v>
      </c>
      <c r="AN118" s="52">
        <f t="shared" si="79"/>
        <v>0</v>
      </c>
    </row>
    <row r="119" spans="1:40" x14ac:dyDescent="0.3">
      <c r="A119" s="52">
        <v>114</v>
      </c>
      <c r="B119" s="52">
        <f>-bthan*500+(13+0.5)*bthan*1000/50</f>
        <v>-1265</v>
      </c>
      <c r="C119" s="52">
        <f t="shared" si="80"/>
        <v>-750</v>
      </c>
      <c r="D119" s="52">
        <f t="shared" si="41"/>
        <v>2200</v>
      </c>
      <c r="E119" s="52">
        <f t="shared" si="42"/>
        <v>1</v>
      </c>
      <c r="F119" s="52"/>
      <c r="G119" s="52">
        <f>IF(114&lt;='KT THAN'!$C$11,114,"")</f>
        <v>114</v>
      </c>
      <c r="H119" s="52">
        <f>IF(G119="",0,2*PI()*(G119-0.5)/'KT THAN'!$C$11)</f>
        <v>3.9618974020271276</v>
      </c>
      <c r="I119" s="52">
        <f>IF(G119="",0,IF(shp=1,IF(AND(ABS(SIN(H119))&gt;0.0000001,MAX(1,hthan*500-'KT THAN'!$D$12)*ABS(COS(H119))/ABS(SIN(H119))&lt;=MAX(0,(bthan-hthan)*500)),MAX(1,hthan*500-'KT THAN'!$D$12)/ABS(SIN(H119)),MAX(0,(bthan-hthan)*500)*ABS(COS(H119))+SQRT(MAX(0,MAX(1,hthan*500-'KT THAN'!$D$12)^2-MAX(0,(bthan-hthan)*500)^2*SIN(H119)^2))),MIN((bthan*500-'KT THAN'!$D$12)/MAX(0.0000001,ABS(COS(H119))),(hthan*500-'KT THAN'!$D$12)/MAX(0.0000001,ABS(SIN(H119)))))*COS(H119))</f>
        <v>-652.76056029636391</v>
      </c>
      <c r="J119" s="52">
        <f>IF(G119="",0,IF(shp=1,IF(AND(ABS(SIN(H119))&gt;0.0000001,MAX(1,hthan*500-'KT THAN'!$D$12)*ABS(COS(H119))/ABS(SIN(H119))&lt;=MAX(0,(bthan-hthan)*500)),MAX(1,hthan*500-'KT THAN'!$D$12)/ABS(SIN(H119)),MAX(0,(bthan-hthan)*500)*ABS(COS(H119))+SQRT(MAX(0,MAX(1,hthan*500-'KT THAN'!$D$12)^2-MAX(0,(bthan-hthan)*500)^2*SIN(H119)^2))),MIN((bthan*500-'KT THAN'!$D$12)/MAX(0.0000001,ABS(COS(H119))),(hthan*500-'KT THAN'!$D$12)/MAX(0.0000001,ABS(SIN(H119)))))*SIN(H119))</f>
        <v>-700</v>
      </c>
      <c r="K119" s="52">
        <f>IF(G119="",0,'KT THAN'!$D$11/'KT THAN'!$C$11)</f>
        <v>804.24771931898704</v>
      </c>
      <c r="L119" s="52"/>
      <c r="M119" s="52">
        <f>hthan*1000*0.01*1.06^113</f>
        <v>11579.312042469779</v>
      </c>
      <c r="N119" s="52">
        <f t="shared" si="62"/>
        <v>264925.93875929294</v>
      </c>
      <c r="O119" s="52">
        <f t="shared" si="63"/>
        <v>5.4724514484405519E-12</v>
      </c>
      <c r="P119" s="52">
        <f t="shared" si="64"/>
        <v>2.6113758759160111E-3</v>
      </c>
      <c r="Q119" s="52">
        <f t="shared" si="65"/>
        <v>0.75</v>
      </c>
      <c r="R119" s="52">
        <f>Q119*MIN(N119,0.8*(0.85*fc_*(Agth*1000000-'KT THAN'!$D$11)+fy_*'KT THAN'!$D$11)/1000)</f>
        <v>158763.07851952704</v>
      </c>
      <c r="S119" s="52">
        <f t="shared" si="66"/>
        <v>4.1043385863304141E-12</v>
      </c>
      <c r="T119" s="52"/>
      <c r="U119" s="52">
        <f>bthan*1000*0.01*1.06^113</f>
        <v>39803.885145989865</v>
      </c>
      <c r="V119" s="52">
        <f t="shared" si="67"/>
        <v>264925.93875929294</v>
      </c>
      <c r="W119" s="52">
        <f t="shared" si="68"/>
        <v>4.0531158447265625E-12</v>
      </c>
      <c r="X119" s="52">
        <f t="shared" si="69"/>
        <v>2.5931197333275472E-3</v>
      </c>
      <c r="Y119" s="52">
        <f t="shared" si="70"/>
        <v>0.75</v>
      </c>
      <c r="Z119" s="52">
        <f>Y119*MIN(V119,0.8*(0.85*fc_*(Agth*1000000-'KT THAN'!$D$11)+fy_*'KT THAN'!$D$11)/1000)</f>
        <v>158763.07851952704</v>
      </c>
      <c r="AA119" s="52">
        <f t="shared" si="71"/>
        <v>3.0398368835449219E-12</v>
      </c>
      <c r="AB119" s="52"/>
      <c r="AC119" s="52">
        <f>SMALL($R$6:$R$125,ROWS($AC$6:AC119))</f>
        <v>158763.07851952704</v>
      </c>
      <c r="AD119" s="52">
        <f t="shared" si="72"/>
        <v>22079.283834343303</v>
      </c>
      <c r="AE119" s="52">
        <f>SMALL($Z$6:$Z$125,ROWS($AE$6:AE119))</f>
        <v>158763.07851952704</v>
      </c>
      <c r="AF119" s="52">
        <f t="shared" si="73"/>
        <v>14395.086703266508</v>
      </c>
      <c r="AG119" s="52">
        <f>SMALL($AK$6:$AK$125,ROWS($AG$6:AG119))</f>
        <v>9.9999999999999997E+98</v>
      </c>
      <c r="AH119" s="52">
        <f t="shared" si="74"/>
        <v>-50196.63221187015</v>
      </c>
      <c r="AI119" s="52">
        <f>SMALL($AL$6:$AL$125,ROWS($AI$6:AI119))</f>
        <v>9.9999999999999997E+98</v>
      </c>
      <c r="AJ119" s="52">
        <f t="shared" si="75"/>
        <v>-52115.252211870153</v>
      </c>
      <c r="AK119" s="52">
        <f t="shared" si="76"/>
        <v>9.9999999999999997E+98</v>
      </c>
      <c r="AL119" s="52">
        <f t="shared" si="77"/>
        <v>9.9999999999999997E+98</v>
      </c>
      <c r="AM119" s="52">
        <f t="shared" si="78"/>
        <v>0</v>
      </c>
      <c r="AN119" s="52">
        <f t="shared" si="79"/>
        <v>0</v>
      </c>
    </row>
    <row r="120" spans="1:40" x14ac:dyDescent="0.3">
      <c r="A120" s="52">
        <v>115</v>
      </c>
      <c r="B120" s="52">
        <f>-bthan*500+(14+0.5)*bthan*1000/50</f>
        <v>-1155</v>
      </c>
      <c r="C120" s="52">
        <f t="shared" si="80"/>
        <v>-750</v>
      </c>
      <c r="D120" s="52">
        <f t="shared" si="41"/>
        <v>2200</v>
      </c>
      <c r="E120" s="52">
        <f t="shared" si="42"/>
        <v>1</v>
      </c>
      <c r="F120" s="52"/>
      <c r="G120" s="52">
        <f>IF(115&lt;='KT THAN'!$C$11,115,"")</f>
        <v>115</v>
      </c>
      <c r="H120" s="52">
        <f>IF(G120="",0,2*PI()*(G120-0.5)/'KT THAN'!$C$11)</f>
        <v>3.9968039870670142</v>
      </c>
      <c r="I120" s="52">
        <f>IF(G120="",0,IF(shp=1,IF(AND(ABS(SIN(H120))&gt;0.0000001,MAX(1,hthan*500-'KT THAN'!$D$12)*ABS(COS(H120))/ABS(SIN(H120))&lt;=MAX(0,(bthan-hthan)*500)),MAX(1,hthan*500-'KT THAN'!$D$12)/ABS(SIN(H120)),MAX(0,(bthan-hthan)*500)*ABS(COS(H120))+SQRT(MAX(0,MAX(1,hthan*500-'KT THAN'!$D$12)^2-MAX(0,(bthan-hthan)*500)^2*SIN(H120)^2))),MIN((bthan*500-'KT THAN'!$D$12)/MAX(0.0000001,ABS(COS(H120))),(hthan*500-'KT THAN'!$D$12)/MAX(0.0000001,ABS(SIN(H120)))))*COS(H120))</f>
        <v>-608.50071647135928</v>
      </c>
      <c r="J120" s="52">
        <f>IF(G120="",0,IF(shp=1,IF(AND(ABS(SIN(H120))&gt;0.0000001,MAX(1,hthan*500-'KT THAN'!$D$12)*ABS(COS(H120))/ABS(SIN(H120))&lt;=MAX(0,(bthan-hthan)*500)),MAX(1,hthan*500-'KT THAN'!$D$12)/ABS(SIN(H120)),MAX(0,(bthan-hthan)*500)*ABS(COS(H120))+SQRT(MAX(0,MAX(1,hthan*500-'KT THAN'!$D$12)^2-MAX(0,(bthan-hthan)*500)^2*SIN(H120)^2))),MIN((bthan*500-'KT THAN'!$D$12)/MAX(0.0000001,ABS(COS(H120))),(hthan*500-'KT THAN'!$D$12)/MAX(0.0000001,ABS(SIN(H120)))))*SIN(H120))</f>
        <v>-700</v>
      </c>
      <c r="K120" s="52">
        <f>IF(G120="",0,'KT THAN'!$D$11/'KT THAN'!$C$11)</f>
        <v>804.24771931898704</v>
      </c>
      <c r="L120" s="52"/>
      <c r="M120" s="52">
        <f>hthan*1000*0.01*1.06^114</f>
        <v>12274.070765017965</v>
      </c>
      <c r="N120" s="52">
        <f t="shared" si="62"/>
        <v>264925.93875929294</v>
      </c>
      <c r="O120" s="52">
        <f t="shared" si="63"/>
        <v>5.4724514484405519E-12</v>
      </c>
      <c r="P120" s="52">
        <f t="shared" si="64"/>
        <v>2.6333734678452938E-3</v>
      </c>
      <c r="Q120" s="52">
        <f t="shared" si="65"/>
        <v>0.75</v>
      </c>
      <c r="R120" s="52">
        <f>Q120*MIN(N120,0.8*(0.85*fc_*(Agth*1000000-'KT THAN'!$D$11)+fy_*'KT THAN'!$D$11)/1000)</f>
        <v>158763.07851952704</v>
      </c>
      <c r="S120" s="52">
        <f t="shared" si="66"/>
        <v>4.1043385863304141E-12</v>
      </c>
      <c r="T120" s="52"/>
      <c r="U120" s="52">
        <f>bthan*1000*0.01*1.06^114</f>
        <v>42192.118254749257</v>
      </c>
      <c r="V120" s="52">
        <f t="shared" si="67"/>
        <v>264925.93875929294</v>
      </c>
      <c r="W120" s="52">
        <f t="shared" si="68"/>
        <v>4.0531158447265625E-12</v>
      </c>
      <c r="X120" s="52">
        <f t="shared" si="69"/>
        <v>2.6161506918184405E-3</v>
      </c>
      <c r="Y120" s="52">
        <f t="shared" si="70"/>
        <v>0.75</v>
      </c>
      <c r="Z120" s="52">
        <f>Y120*MIN(V120,0.8*(0.85*fc_*(Agth*1000000-'KT THAN'!$D$11)+fy_*'KT THAN'!$D$11)/1000)</f>
        <v>158763.07851952704</v>
      </c>
      <c r="AA120" s="52">
        <f t="shared" si="71"/>
        <v>3.0398368835449219E-12</v>
      </c>
      <c r="AB120" s="52"/>
      <c r="AC120" s="52">
        <f>SMALL($R$6:$R$125,ROWS($AC$6:AC120))</f>
        <v>158763.07851952704</v>
      </c>
      <c r="AD120" s="52">
        <f t="shared" si="72"/>
        <v>22079.283834343303</v>
      </c>
      <c r="AE120" s="52">
        <f>SMALL($Z$6:$Z$125,ROWS($AE$6:AE120))</f>
        <v>158763.07851952704</v>
      </c>
      <c r="AF120" s="52">
        <f t="shared" si="73"/>
        <v>14395.086703266508</v>
      </c>
      <c r="AG120" s="52">
        <f>SMALL($AK$6:$AK$125,ROWS($AG$6:AG120))</f>
        <v>9.9999999999999997E+98</v>
      </c>
      <c r="AH120" s="52">
        <f t="shared" si="74"/>
        <v>-50196.63221187015</v>
      </c>
      <c r="AI120" s="52">
        <f>SMALL($AL$6:$AL$125,ROWS($AI$6:AI120))</f>
        <v>9.9999999999999997E+98</v>
      </c>
      <c r="AJ120" s="52">
        <f t="shared" si="75"/>
        <v>-52115.252211870153</v>
      </c>
      <c r="AK120" s="52">
        <f t="shared" si="76"/>
        <v>9.9999999999999997E+98</v>
      </c>
      <c r="AL120" s="52">
        <f t="shared" si="77"/>
        <v>9.9999999999999997E+98</v>
      </c>
      <c r="AM120" s="52">
        <f t="shared" si="78"/>
        <v>0</v>
      </c>
      <c r="AN120" s="52">
        <f t="shared" si="79"/>
        <v>0</v>
      </c>
    </row>
    <row r="121" spans="1:40" x14ac:dyDescent="0.3">
      <c r="A121" s="52">
        <v>116</v>
      </c>
      <c r="B121" s="52">
        <f>-bthan*500+(15+0.5)*bthan*1000/50</f>
        <v>-1045</v>
      </c>
      <c r="C121" s="52">
        <f t="shared" si="80"/>
        <v>-750</v>
      </c>
      <c r="D121" s="52">
        <f t="shared" si="41"/>
        <v>2200</v>
      </c>
      <c r="E121" s="52">
        <f t="shared" si="42"/>
        <v>1</v>
      </c>
      <c r="F121" s="52"/>
      <c r="G121" s="52">
        <f>IF(116&lt;='KT THAN'!$C$11,116,"")</f>
        <v>116</v>
      </c>
      <c r="H121" s="52">
        <f>IF(G121="",0,2*PI()*(G121-0.5)/'KT THAN'!$C$11)</f>
        <v>4.0317105721069018</v>
      </c>
      <c r="I121" s="52">
        <f>IF(G121="",0,IF(shp=1,IF(AND(ABS(SIN(H121))&gt;0.0000001,MAX(1,hthan*500-'KT THAN'!$D$12)*ABS(COS(H121))/ABS(SIN(H121))&lt;=MAX(0,(bthan-hthan)*500)),MAX(1,hthan*500-'KT THAN'!$D$12)/ABS(SIN(H121)),MAX(0,(bthan-hthan)*500)*ABS(COS(H121))+SQRT(MAX(0,MAX(1,hthan*500-'KT THAN'!$D$12)^2-MAX(0,(bthan-hthan)*500)^2*SIN(H121)^2))),MIN((bthan*500-'KT THAN'!$D$12)/MAX(0.0000001,ABS(COS(H121))),(hthan*500-'KT THAN'!$D$12)/MAX(0.0000001,ABS(SIN(H121)))))*COS(H121))</f>
        <v>-566.84882323650459</v>
      </c>
      <c r="J121" s="52">
        <f>IF(G121="",0,IF(shp=1,IF(AND(ABS(SIN(H121))&gt;0.0000001,MAX(1,hthan*500-'KT THAN'!$D$12)*ABS(COS(H121))/ABS(SIN(H121))&lt;=MAX(0,(bthan-hthan)*500)),MAX(1,hthan*500-'KT THAN'!$D$12)/ABS(SIN(H121)),MAX(0,(bthan-hthan)*500)*ABS(COS(H121))+SQRT(MAX(0,MAX(1,hthan*500-'KT THAN'!$D$12)^2-MAX(0,(bthan-hthan)*500)^2*SIN(H121)^2))),MIN((bthan*500-'KT THAN'!$D$12)/MAX(0.0000001,ABS(COS(H121))),(hthan*500-'KT THAN'!$D$12)/MAX(0.0000001,ABS(SIN(H121)))))*SIN(H121))</f>
        <v>-700</v>
      </c>
      <c r="K121" s="52">
        <f>IF(G121="",0,'KT THAN'!$D$11/'KT THAN'!$C$11)</f>
        <v>804.24771931898704</v>
      </c>
      <c r="L121" s="52"/>
      <c r="M121" s="52">
        <f>hthan*1000*0.01*1.06^115</f>
        <v>13010.515010919044</v>
      </c>
      <c r="N121" s="52">
        <f t="shared" si="62"/>
        <v>264925.93875929294</v>
      </c>
      <c r="O121" s="52">
        <f t="shared" si="63"/>
        <v>5.4724514484405519E-12</v>
      </c>
      <c r="P121" s="52">
        <f t="shared" si="64"/>
        <v>2.6541259130615979E-3</v>
      </c>
      <c r="Q121" s="52">
        <f t="shared" si="65"/>
        <v>0.75</v>
      </c>
      <c r="R121" s="52">
        <f>Q121*MIN(N121,0.8*(0.85*fc_*(Agth*1000000-'KT THAN'!$D$11)+fy_*'KT THAN'!$D$11)/1000)</f>
        <v>158763.07851952704</v>
      </c>
      <c r="S121" s="52">
        <f t="shared" si="66"/>
        <v>4.1043385863304141E-12</v>
      </c>
      <c r="T121" s="52"/>
      <c r="U121" s="52">
        <f>bthan*1000*0.01*1.06^115</f>
        <v>44723.64535003421</v>
      </c>
      <c r="V121" s="52">
        <f t="shared" si="67"/>
        <v>264925.93875929294</v>
      </c>
      <c r="W121" s="52">
        <f t="shared" si="68"/>
        <v>4.0531158447265625E-12</v>
      </c>
      <c r="X121" s="52">
        <f t="shared" si="69"/>
        <v>2.6378780111494722E-3</v>
      </c>
      <c r="Y121" s="52">
        <f t="shared" si="70"/>
        <v>0.75</v>
      </c>
      <c r="Z121" s="52">
        <f>Y121*MIN(V121,0.8*(0.85*fc_*(Agth*1000000-'KT THAN'!$D$11)+fy_*'KT THAN'!$D$11)/1000)</f>
        <v>158763.07851952704</v>
      </c>
      <c r="AA121" s="52">
        <f t="shared" si="71"/>
        <v>3.0398368835449219E-12</v>
      </c>
      <c r="AB121" s="52"/>
      <c r="AC121" s="52">
        <f>SMALL($R$6:$R$125,ROWS($AC$6:AC121))</f>
        <v>158763.07851952704</v>
      </c>
      <c r="AD121" s="52">
        <f t="shared" si="72"/>
        <v>22079.283834343303</v>
      </c>
      <c r="AE121" s="52">
        <f>SMALL($Z$6:$Z$125,ROWS($AE$6:AE121))</f>
        <v>158763.07851952704</v>
      </c>
      <c r="AF121" s="52">
        <f t="shared" si="73"/>
        <v>14395.086703266508</v>
      </c>
      <c r="AG121" s="52">
        <f>SMALL($AK$6:$AK$125,ROWS($AG$6:AG121))</f>
        <v>9.9999999999999997E+98</v>
      </c>
      <c r="AH121" s="52">
        <f t="shared" si="74"/>
        <v>-50196.63221187015</v>
      </c>
      <c r="AI121" s="52">
        <f>SMALL($AL$6:$AL$125,ROWS($AI$6:AI121))</f>
        <v>9.9999999999999997E+98</v>
      </c>
      <c r="AJ121" s="52">
        <f t="shared" si="75"/>
        <v>-52115.252211870153</v>
      </c>
      <c r="AK121" s="52">
        <f t="shared" si="76"/>
        <v>9.9999999999999997E+98</v>
      </c>
      <c r="AL121" s="52">
        <f t="shared" si="77"/>
        <v>9.9999999999999997E+98</v>
      </c>
      <c r="AM121" s="52">
        <f t="shared" si="78"/>
        <v>0</v>
      </c>
      <c r="AN121" s="52">
        <f t="shared" si="79"/>
        <v>0</v>
      </c>
    </row>
    <row r="122" spans="1:40" x14ac:dyDescent="0.3">
      <c r="A122" s="52">
        <v>117</v>
      </c>
      <c r="B122" s="52">
        <f>-bthan*500+(16+0.5)*bthan*1000/50</f>
        <v>-935</v>
      </c>
      <c r="C122" s="52">
        <f t="shared" si="80"/>
        <v>-750</v>
      </c>
      <c r="D122" s="52">
        <f t="shared" si="41"/>
        <v>2200</v>
      </c>
      <c r="E122" s="52">
        <f t="shared" si="42"/>
        <v>1</v>
      </c>
      <c r="F122" s="52"/>
      <c r="G122" s="52">
        <f>IF(117&lt;='KT THAN'!$C$11,117,"")</f>
        <v>117</v>
      </c>
      <c r="H122" s="52">
        <f>IF(G122="",0,2*PI()*(G122-0.5)/'KT THAN'!$C$11)</f>
        <v>4.066617157146788</v>
      </c>
      <c r="I122" s="52">
        <f>IF(G122="",0,IF(shp=1,IF(AND(ABS(SIN(H122))&gt;0.0000001,MAX(1,hthan*500-'KT THAN'!$D$12)*ABS(COS(H122))/ABS(SIN(H122))&lt;=MAX(0,(bthan-hthan)*500)),MAX(1,hthan*500-'KT THAN'!$D$12)/ABS(SIN(H122)),MAX(0,(bthan-hthan)*500)*ABS(COS(H122))+SQRT(MAX(0,MAX(1,hthan*500-'KT THAN'!$D$12)^2-MAX(0,(bthan-hthan)*500)^2*SIN(H122)^2))),MIN((bthan*500-'KT THAN'!$D$12)/MAX(0.0000001,ABS(COS(H122))),(hthan*500-'KT THAN'!$D$12)/MAX(0.0000001,ABS(SIN(H122)))))*COS(H122))</f>
        <v>-527.48783507195594</v>
      </c>
      <c r="J122" s="52">
        <f>IF(G122="",0,IF(shp=1,IF(AND(ABS(SIN(H122))&gt;0.0000001,MAX(1,hthan*500-'KT THAN'!$D$12)*ABS(COS(H122))/ABS(SIN(H122))&lt;=MAX(0,(bthan-hthan)*500)),MAX(1,hthan*500-'KT THAN'!$D$12)/ABS(SIN(H122)),MAX(0,(bthan-hthan)*500)*ABS(COS(H122))+SQRT(MAX(0,MAX(1,hthan*500-'KT THAN'!$D$12)^2-MAX(0,(bthan-hthan)*500)^2*SIN(H122)^2))),MIN((bthan*500-'KT THAN'!$D$12)/MAX(0.0000001,ABS(COS(H122))),(hthan*500-'KT THAN'!$D$12)/MAX(0.0000001,ABS(SIN(H122)))))*SIN(H122))</f>
        <v>-700</v>
      </c>
      <c r="K122" s="52">
        <f>IF(G122="",0,'KT THAN'!$D$11/'KT THAN'!$C$11)</f>
        <v>804.24771931898704</v>
      </c>
      <c r="L122" s="52"/>
      <c r="M122" s="52">
        <f>hthan*1000*0.01*1.06^116</f>
        <v>13791.145911574187</v>
      </c>
      <c r="N122" s="52">
        <f t="shared" si="62"/>
        <v>264925.93875929294</v>
      </c>
      <c r="O122" s="52">
        <f t="shared" si="63"/>
        <v>5.4724514484405519E-12</v>
      </c>
      <c r="P122" s="52">
        <f t="shared" si="64"/>
        <v>2.6737036915675453E-3</v>
      </c>
      <c r="Q122" s="52">
        <f t="shared" si="65"/>
        <v>0.75</v>
      </c>
      <c r="R122" s="52">
        <f>Q122*MIN(N122,0.8*(0.85*fc_*(Agth*1000000-'KT THAN'!$D$11)+fy_*'KT THAN'!$D$11)/1000)</f>
        <v>158763.07851952704</v>
      </c>
      <c r="S122" s="52">
        <f t="shared" si="66"/>
        <v>4.1043385863304141E-12</v>
      </c>
      <c r="T122" s="52"/>
      <c r="U122" s="52">
        <f>bthan*1000*0.01*1.06^116</f>
        <v>47407.064071036271</v>
      </c>
      <c r="V122" s="52">
        <f t="shared" si="67"/>
        <v>264925.93875929294</v>
      </c>
      <c r="W122" s="52">
        <f t="shared" si="68"/>
        <v>4.0531158447265625E-12</v>
      </c>
      <c r="X122" s="52">
        <f t="shared" si="69"/>
        <v>2.658375482216483E-3</v>
      </c>
      <c r="Y122" s="52">
        <f t="shared" si="70"/>
        <v>0.75</v>
      </c>
      <c r="Z122" s="52">
        <f>Y122*MIN(V122,0.8*(0.85*fc_*(Agth*1000000-'KT THAN'!$D$11)+fy_*'KT THAN'!$D$11)/1000)</f>
        <v>158763.07851952704</v>
      </c>
      <c r="AA122" s="52">
        <f t="shared" si="71"/>
        <v>3.0398368835449219E-12</v>
      </c>
      <c r="AB122" s="52"/>
      <c r="AC122" s="52">
        <f>SMALL($R$6:$R$125,ROWS($AC$6:AC122))</f>
        <v>158763.07851952704</v>
      </c>
      <c r="AD122" s="52">
        <f t="shared" si="72"/>
        <v>22079.283834343303</v>
      </c>
      <c r="AE122" s="52">
        <f>SMALL($Z$6:$Z$125,ROWS($AE$6:AE122))</f>
        <v>158763.07851952704</v>
      </c>
      <c r="AF122" s="52">
        <f t="shared" si="73"/>
        <v>14395.086703266508</v>
      </c>
      <c r="AG122" s="52">
        <f>SMALL($AK$6:$AK$125,ROWS($AG$6:AG122))</f>
        <v>9.9999999999999997E+98</v>
      </c>
      <c r="AH122" s="52">
        <f t="shared" si="74"/>
        <v>-50196.63221187015</v>
      </c>
      <c r="AI122" s="52">
        <f>SMALL($AL$6:$AL$125,ROWS($AI$6:AI122))</f>
        <v>9.9999999999999997E+98</v>
      </c>
      <c r="AJ122" s="52">
        <f t="shared" si="75"/>
        <v>-52115.252211870153</v>
      </c>
      <c r="AK122" s="52">
        <f t="shared" si="76"/>
        <v>9.9999999999999997E+98</v>
      </c>
      <c r="AL122" s="52">
        <f t="shared" si="77"/>
        <v>9.9999999999999997E+98</v>
      </c>
      <c r="AM122" s="52">
        <f t="shared" si="78"/>
        <v>0</v>
      </c>
      <c r="AN122" s="52">
        <f t="shared" si="79"/>
        <v>0</v>
      </c>
    </row>
    <row r="123" spans="1:40" x14ac:dyDescent="0.3">
      <c r="A123" s="52">
        <v>118</v>
      </c>
      <c r="B123" s="52">
        <f>-bthan*500+(17+0.5)*bthan*1000/50</f>
        <v>-825</v>
      </c>
      <c r="C123" s="52">
        <f t="shared" si="80"/>
        <v>-750</v>
      </c>
      <c r="D123" s="52">
        <f t="shared" si="41"/>
        <v>2200</v>
      </c>
      <c r="E123" s="52">
        <f t="shared" si="42"/>
        <v>1</v>
      </c>
      <c r="F123" s="52"/>
      <c r="G123" s="52">
        <f>IF(118&lt;='KT THAN'!$C$11,118,"")</f>
        <v>118</v>
      </c>
      <c r="H123" s="52">
        <f>IF(G123="",0,2*PI()*(G123-0.5)/'KT THAN'!$C$11)</f>
        <v>4.1015237421866741</v>
      </c>
      <c r="I123" s="52">
        <f>IF(G123="",0,IF(shp=1,IF(AND(ABS(SIN(H123))&gt;0.0000001,MAX(1,hthan*500-'KT THAN'!$D$12)*ABS(COS(H123))/ABS(SIN(H123))&lt;=MAX(0,(bthan-hthan)*500)),MAX(1,hthan*500-'KT THAN'!$D$12)/ABS(SIN(H123)),MAX(0,(bthan-hthan)*500)*ABS(COS(H123))+SQRT(MAX(0,MAX(1,hthan*500-'KT THAN'!$D$12)^2-MAX(0,(bthan-hthan)*500)^2*SIN(H123)^2))),MIN((bthan*500-'KT THAN'!$D$12)/MAX(0.0000001,ABS(COS(H123))),(hthan*500-'KT THAN'!$D$12)/MAX(0.0000001,ABS(SIN(H123)))))*COS(H123))</f>
        <v>-490.14527674679721</v>
      </c>
      <c r="J123" s="52">
        <f>IF(G123="",0,IF(shp=1,IF(AND(ABS(SIN(H123))&gt;0.0000001,MAX(1,hthan*500-'KT THAN'!$D$12)*ABS(COS(H123))/ABS(SIN(H123))&lt;=MAX(0,(bthan-hthan)*500)),MAX(1,hthan*500-'KT THAN'!$D$12)/ABS(SIN(H123)),MAX(0,(bthan-hthan)*500)*ABS(COS(H123))+SQRT(MAX(0,MAX(1,hthan*500-'KT THAN'!$D$12)^2-MAX(0,(bthan-hthan)*500)^2*SIN(H123)^2))),MIN((bthan*500-'KT THAN'!$D$12)/MAX(0.0000001,ABS(COS(H123))),(hthan*500-'KT THAN'!$D$12)/MAX(0.0000001,ABS(SIN(H123)))))*SIN(H123))</f>
        <v>-700</v>
      </c>
      <c r="K123" s="52">
        <f>IF(G123="",0,'KT THAN'!$D$11/'KT THAN'!$C$11)</f>
        <v>804.24771931898704</v>
      </c>
      <c r="L123" s="52"/>
      <c r="M123" s="52">
        <f>hthan*1000*0.01*1.06^117</f>
        <v>14618.614666268642</v>
      </c>
      <c r="N123" s="52">
        <f t="shared" si="62"/>
        <v>264925.93875929294</v>
      </c>
      <c r="O123" s="52">
        <f t="shared" si="63"/>
        <v>5.4724514484405519E-12</v>
      </c>
      <c r="P123" s="52">
        <f t="shared" si="64"/>
        <v>2.6921732939316468E-3</v>
      </c>
      <c r="Q123" s="52">
        <f t="shared" si="65"/>
        <v>0.75</v>
      </c>
      <c r="R123" s="52">
        <f>Q123*MIN(N123,0.8*(0.85*fc_*(Agth*1000000-'KT THAN'!$D$11)+fy_*'KT THAN'!$D$11)/1000)</f>
        <v>158763.07851952704</v>
      </c>
      <c r="S123" s="52">
        <f t="shared" si="66"/>
        <v>4.1043385863304141E-12</v>
      </c>
      <c r="T123" s="52"/>
      <c r="U123" s="52">
        <f>bthan*1000*0.01*1.06^117</f>
        <v>50251.487915298458</v>
      </c>
      <c r="V123" s="52">
        <f t="shared" si="67"/>
        <v>264925.93875929294</v>
      </c>
      <c r="W123" s="52">
        <f t="shared" si="68"/>
        <v>4.0531158447265625E-12</v>
      </c>
      <c r="X123" s="52">
        <f t="shared" si="69"/>
        <v>2.6777127190721543E-3</v>
      </c>
      <c r="Y123" s="52">
        <f t="shared" si="70"/>
        <v>0.75</v>
      </c>
      <c r="Z123" s="52">
        <f>Y123*MIN(V123,0.8*(0.85*fc_*(Agth*1000000-'KT THAN'!$D$11)+fy_*'KT THAN'!$D$11)/1000)</f>
        <v>158763.07851952704</v>
      </c>
      <c r="AA123" s="52">
        <f t="shared" si="71"/>
        <v>3.0398368835449219E-12</v>
      </c>
      <c r="AB123" s="52"/>
      <c r="AC123" s="52">
        <f>SMALL($R$6:$R$125,ROWS($AC$6:AC123))</f>
        <v>158763.07851952704</v>
      </c>
      <c r="AD123" s="52">
        <f t="shared" si="72"/>
        <v>22079.283834343303</v>
      </c>
      <c r="AE123" s="52">
        <f>SMALL($Z$6:$Z$125,ROWS($AE$6:AE123))</f>
        <v>158763.07851952704</v>
      </c>
      <c r="AF123" s="52">
        <f t="shared" si="73"/>
        <v>14395.086703266508</v>
      </c>
      <c r="AG123" s="52">
        <f>SMALL($AK$6:$AK$125,ROWS($AG$6:AG123))</f>
        <v>9.9999999999999997E+98</v>
      </c>
      <c r="AH123" s="52">
        <f t="shared" si="74"/>
        <v>-50196.63221187015</v>
      </c>
      <c r="AI123" s="52">
        <f>SMALL($AL$6:$AL$125,ROWS($AI$6:AI123))</f>
        <v>9.9999999999999997E+98</v>
      </c>
      <c r="AJ123" s="52">
        <f t="shared" si="75"/>
        <v>-52115.252211870153</v>
      </c>
      <c r="AK123" s="52">
        <f t="shared" si="76"/>
        <v>9.9999999999999997E+98</v>
      </c>
      <c r="AL123" s="52">
        <f t="shared" si="77"/>
        <v>9.9999999999999997E+98</v>
      </c>
      <c r="AM123" s="52">
        <f t="shared" si="78"/>
        <v>0</v>
      </c>
      <c r="AN123" s="52">
        <f t="shared" si="79"/>
        <v>0</v>
      </c>
    </row>
    <row r="124" spans="1:40" x14ac:dyDescent="0.3">
      <c r="A124" s="52">
        <v>119</v>
      </c>
      <c r="B124" s="52">
        <f>-bthan*500+(18+0.5)*bthan*1000/50</f>
        <v>-715</v>
      </c>
      <c r="C124" s="52">
        <f t="shared" si="80"/>
        <v>-750</v>
      </c>
      <c r="D124" s="52">
        <f t="shared" si="41"/>
        <v>2200</v>
      </c>
      <c r="E124" s="52">
        <f t="shared" si="42"/>
        <v>1</v>
      </c>
      <c r="F124" s="52"/>
      <c r="G124" s="52">
        <f>IF(119&lt;='KT THAN'!$C$11,119,"")</f>
        <v>119</v>
      </c>
      <c r="H124" s="52">
        <f>IF(G124="",0,2*PI()*(G124-0.5)/'KT THAN'!$C$11)</f>
        <v>4.1364303272265612</v>
      </c>
      <c r="I124" s="52">
        <f>IF(G124="",0,IF(shp=1,IF(AND(ABS(SIN(H124))&gt;0.0000001,MAX(1,hthan*500-'KT THAN'!$D$12)*ABS(COS(H124))/ABS(SIN(H124))&lt;=MAX(0,(bthan-hthan)*500)),MAX(1,hthan*500-'KT THAN'!$D$12)/ABS(SIN(H124)),MAX(0,(bthan-hthan)*500)*ABS(COS(H124))+SQRT(MAX(0,MAX(1,hthan*500-'KT THAN'!$D$12)^2-MAX(0,(bthan-hthan)*500)^2*SIN(H124)^2))),MIN((bthan*500-'KT THAN'!$D$12)/MAX(0.0000001,ABS(COS(H124))),(hthan*500-'KT THAN'!$D$12)/MAX(0.0000001,ABS(SIN(H124)))))*COS(H124))</f>
        <v>-454.58531523825729</v>
      </c>
      <c r="J124" s="52">
        <f>IF(G124="",0,IF(shp=1,IF(AND(ABS(SIN(H124))&gt;0.0000001,MAX(1,hthan*500-'KT THAN'!$D$12)*ABS(COS(H124))/ABS(SIN(H124))&lt;=MAX(0,(bthan-hthan)*500)),MAX(1,hthan*500-'KT THAN'!$D$12)/ABS(SIN(H124)),MAX(0,(bthan-hthan)*500)*ABS(COS(H124))+SQRT(MAX(0,MAX(1,hthan*500-'KT THAN'!$D$12)^2-MAX(0,(bthan-hthan)*500)^2*SIN(H124)^2))),MIN((bthan*500-'KT THAN'!$D$12)/MAX(0.0000001,ABS(COS(H124))),(hthan*500-'KT THAN'!$D$12)/MAX(0.0000001,ABS(SIN(H124)))))*SIN(H124))</f>
        <v>-700</v>
      </c>
      <c r="K124" s="52">
        <f>IF(G124="",0,'KT THAN'!$D$11/'KT THAN'!$C$11)</f>
        <v>804.24771931898704</v>
      </c>
      <c r="L124" s="52"/>
      <c r="M124" s="52">
        <f>hthan*1000*0.01*1.06^118</f>
        <v>15495.73154624476</v>
      </c>
      <c r="N124" s="52">
        <f t="shared" si="62"/>
        <v>264925.93875929294</v>
      </c>
      <c r="O124" s="52">
        <f t="shared" si="63"/>
        <v>5.4724514484405519E-12</v>
      </c>
      <c r="P124" s="52">
        <f t="shared" si="64"/>
        <v>2.7095974471053269E-3</v>
      </c>
      <c r="Q124" s="52">
        <f t="shared" si="65"/>
        <v>0.75</v>
      </c>
      <c r="R124" s="52">
        <f>Q124*MIN(N124,0.8*(0.85*fc_*(Agth*1000000-'KT THAN'!$D$11)+fy_*'KT THAN'!$D$11)/1000)</f>
        <v>158763.07851952704</v>
      </c>
      <c r="S124" s="52">
        <f t="shared" si="66"/>
        <v>4.1043385863304141E-12</v>
      </c>
      <c r="T124" s="52"/>
      <c r="U124" s="52">
        <f>bthan*1000*0.01*1.06^118</f>
        <v>53266.577190216361</v>
      </c>
      <c r="V124" s="52">
        <f t="shared" si="67"/>
        <v>264925.93875929294</v>
      </c>
      <c r="W124" s="52">
        <f t="shared" si="68"/>
        <v>4.0531158447265625E-12</v>
      </c>
      <c r="X124" s="52">
        <f t="shared" si="69"/>
        <v>2.6959553953510886E-3</v>
      </c>
      <c r="Y124" s="52">
        <f t="shared" si="70"/>
        <v>0.75</v>
      </c>
      <c r="Z124" s="52">
        <f>Y124*MIN(V124,0.8*(0.85*fc_*(Agth*1000000-'KT THAN'!$D$11)+fy_*'KT THAN'!$D$11)/1000)</f>
        <v>158763.07851952704</v>
      </c>
      <c r="AA124" s="52">
        <f t="shared" si="71"/>
        <v>3.0398368835449219E-12</v>
      </c>
      <c r="AB124" s="52"/>
      <c r="AC124" s="52">
        <f>SMALL($R$6:$R$125,ROWS($AC$6:AC124))</f>
        <v>158763.07851952704</v>
      </c>
      <c r="AD124" s="52">
        <f t="shared" si="72"/>
        <v>22079.283834343303</v>
      </c>
      <c r="AE124" s="52">
        <f>SMALL($Z$6:$Z$125,ROWS($AE$6:AE124))</f>
        <v>158763.07851952704</v>
      </c>
      <c r="AF124" s="52">
        <f t="shared" si="73"/>
        <v>14395.086703266508</v>
      </c>
      <c r="AG124" s="52">
        <f>SMALL($AK$6:$AK$125,ROWS($AG$6:AG124))</f>
        <v>9.9999999999999997E+98</v>
      </c>
      <c r="AH124" s="52">
        <f t="shared" si="74"/>
        <v>-50196.63221187015</v>
      </c>
      <c r="AI124" s="52">
        <f>SMALL($AL$6:$AL$125,ROWS($AI$6:AI124))</f>
        <v>9.9999999999999997E+98</v>
      </c>
      <c r="AJ124" s="52">
        <f t="shared" si="75"/>
        <v>-52115.252211870153</v>
      </c>
      <c r="AK124" s="52">
        <f t="shared" si="76"/>
        <v>9.9999999999999997E+98</v>
      </c>
      <c r="AL124" s="52">
        <f t="shared" si="77"/>
        <v>9.9999999999999997E+98</v>
      </c>
      <c r="AM124" s="52">
        <f t="shared" si="78"/>
        <v>0</v>
      </c>
      <c r="AN124" s="52">
        <f t="shared" si="79"/>
        <v>0</v>
      </c>
    </row>
    <row r="125" spans="1:40" x14ac:dyDescent="0.3">
      <c r="A125" s="52">
        <v>120</v>
      </c>
      <c r="B125" s="52">
        <f>-bthan*500+(19+0.5)*bthan*1000/50</f>
        <v>-605</v>
      </c>
      <c r="C125" s="52">
        <f t="shared" si="80"/>
        <v>-750</v>
      </c>
      <c r="D125" s="52">
        <f t="shared" si="41"/>
        <v>2200</v>
      </c>
      <c r="E125" s="52">
        <f t="shared" si="42"/>
        <v>1</v>
      </c>
      <c r="F125" s="52"/>
      <c r="G125" s="52">
        <f>IF(120&lt;='KT THAN'!$C$11,120,"")</f>
        <v>120</v>
      </c>
      <c r="H125" s="52">
        <f>IF(G125="",0,2*PI()*(G125-0.5)/'KT THAN'!$C$11)</f>
        <v>4.1713369122664474</v>
      </c>
      <c r="I125" s="52">
        <f>IF(G125="",0,IF(shp=1,IF(AND(ABS(SIN(H125))&gt;0.0000001,MAX(1,hthan*500-'KT THAN'!$D$12)*ABS(COS(H125))/ABS(SIN(H125))&lt;=MAX(0,(bthan-hthan)*500)),MAX(1,hthan*500-'KT THAN'!$D$12)/ABS(SIN(H125)),MAX(0,(bthan-hthan)*500)*ABS(COS(H125))+SQRT(MAX(0,MAX(1,hthan*500-'KT THAN'!$D$12)^2-MAX(0,(bthan-hthan)*500)^2*SIN(H125)^2))),MIN((bthan*500-'KT THAN'!$D$12)/MAX(0.0000001,ABS(COS(H125))),(hthan*500-'KT THAN'!$D$12)/MAX(0.0000001,ABS(SIN(H125)))))*COS(H125))</f>
        <v>-420.60243331929257</v>
      </c>
      <c r="J125" s="52">
        <f>IF(G125="",0,IF(shp=1,IF(AND(ABS(SIN(H125))&gt;0.0000001,MAX(1,hthan*500-'KT THAN'!$D$12)*ABS(COS(H125))/ABS(SIN(H125))&lt;=MAX(0,(bthan-hthan)*500)),MAX(1,hthan*500-'KT THAN'!$D$12)/ABS(SIN(H125)),MAX(0,(bthan-hthan)*500)*ABS(COS(H125))+SQRT(MAX(0,MAX(1,hthan*500-'KT THAN'!$D$12)^2-MAX(0,(bthan-hthan)*500)^2*SIN(H125)^2))),MIN((bthan*500-'KT THAN'!$D$12)/MAX(0.0000001,ABS(COS(H125))),(hthan*500-'KT THAN'!$D$12)/MAX(0.0000001,ABS(SIN(H125)))))*SIN(H125))</f>
        <v>-700</v>
      </c>
      <c r="K125" s="52">
        <f>IF(G125="",0,'KT THAN'!$D$11/'KT THAN'!$C$11)</f>
        <v>804.24771931898704</v>
      </c>
      <c r="L125" s="52"/>
      <c r="M125" s="52">
        <f>hthan*1000*0.01*1.06^119</f>
        <v>16425.475439019447</v>
      </c>
      <c r="N125" s="52">
        <f t="shared" si="62"/>
        <v>264925.93875929294</v>
      </c>
      <c r="O125" s="52">
        <f t="shared" si="63"/>
        <v>5.4724514484405519E-12</v>
      </c>
      <c r="P125" s="52">
        <f t="shared" si="64"/>
        <v>2.7260353274578555E-3</v>
      </c>
      <c r="Q125" s="52">
        <f t="shared" si="65"/>
        <v>0.75</v>
      </c>
      <c r="R125" s="52">
        <f>Q125*MIN(N125,0.8*(0.85*fc_*(Agth*1000000-'KT THAN'!$D$11)+fy_*'KT THAN'!$D$11)/1000)</f>
        <v>158763.07851952704</v>
      </c>
      <c r="S125" s="52">
        <f t="shared" si="66"/>
        <v>4.1043385863304141E-12</v>
      </c>
      <c r="T125" s="52"/>
      <c r="U125" s="52">
        <f>bthan*1000*0.01*1.06^119</f>
        <v>56462.571821629346</v>
      </c>
      <c r="V125" s="52">
        <f t="shared" si="67"/>
        <v>264925.93875929294</v>
      </c>
      <c r="W125" s="52">
        <f t="shared" si="68"/>
        <v>4.0531158447265625E-12</v>
      </c>
      <c r="X125" s="52">
        <f t="shared" si="69"/>
        <v>2.7131654673123477E-3</v>
      </c>
      <c r="Y125" s="52">
        <f t="shared" si="70"/>
        <v>0.75</v>
      </c>
      <c r="Z125" s="52">
        <f>Y125*MIN(V125,0.8*(0.85*fc_*(Agth*1000000-'KT THAN'!$D$11)+fy_*'KT THAN'!$D$11)/1000)</f>
        <v>158763.07851952704</v>
      </c>
      <c r="AA125" s="52">
        <f t="shared" si="71"/>
        <v>3.0398368835449219E-12</v>
      </c>
      <c r="AB125" s="52"/>
      <c r="AC125" s="52">
        <f>SMALL($R$6:$R$125,ROWS($AC$6:AC125))</f>
        <v>158763.07851952704</v>
      </c>
      <c r="AD125" s="52">
        <f t="shared" si="72"/>
        <v>22079.283834343303</v>
      </c>
      <c r="AE125" s="52">
        <f>SMALL($Z$6:$Z$125,ROWS($AE$6:AE125))</f>
        <v>158763.07851952704</v>
      </c>
      <c r="AF125" s="52">
        <f t="shared" si="73"/>
        <v>14395.086703266508</v>
      </c>
      <c r="AG125" s="52">
        <f>SMALL($AK$6:$AK$125,ROWS($AG$6:AG125))</f>
        <v>9.9999999999999997E+98</v>
      </c>
      <c r="AH125" s="52">
        <f t="shared" si="74"/>
        <v>-50196.63221187015</v>
      </c>
      <c r="AI125" s="52">
        <f>SMALL($AL$6:$AL$125,ROWS($AI$6:AI125))</f>
        <v>9.9999999999999997E+98</v>
      </c>
      <c r="AJ125" s="52">
        <f t="shared" si="75"/>
        <v>-52115.252211870153</v>
      </c>
      <c r="AK125" s="52">
        <f t="shared" si="76"/>
        <v>9.9999999999999997E+98</v>
      </c>
      <c r="AL125" s="52">
        <f t="shared" si="77"/>
        <v>9.9999999999999997E+98</v>
      </c>
      <c r="AM125" s="52">
        <f t="shared" si="78"/>
        <v>0</v>
      </c>
      <c r="AN125" s="52">
        <f t="shared" si="79"/>
        <v>0</v>
      </c>
    </row>
    <row r="126" spans="1:40" x14ac:dyDescent="0.3">
      <c r="A126" s="52">
        <v>121</v>
      </c>
      <c r="B126" s="52">
        <f>-bthan*500+(20+0.5)*bthan*1000/50</f>
        <v>-495</v>
      </c>
      <c r="C126" s="52">
        <f t="shared" si="80"/>
        <v>-750</v>
      </c>
      <c r="D126" s="52">
        <f t="shared" si="41"/>
        <v>2200</v>
      </c>
      <c r="E126" s="52">
        <f t="shared" si="42"/>
        <v>1</v>
      </c>
      <c r="F126" s="52"/>
      <c r="G126" s="52">
        <f>IF(121&lt;='KT THAN'!$C$11,121,"")</f>
        <v>121</v>
      </c>
      <c r="H126" s="52">
        <f>IF(G126="",0,2*PI()*(G126-0.5)/'KT THAN'!$C$11)</f>
        <v>4.2062434973063345</v>
      </c>
      <c r="I126" s="52">
        <f>IF(G126="",0,IF(shp=1,IF(AND(ABS(SIN(H126))&gt;0.0000001,MAX(1,hthan*500-'KT THAN'!$D$12)*ABS(COS(H126))/ABS(SIN(H126))&lt;=MAX(0,(bthan-hthan)*500)),MAX(1,hthan*500-'KT THAN'!$D$12)/ABS(SIN(H126)),MAX(0,(bthan-hthan)*500)*ABS(COS(H126))+SQRT(MAX(0,MAX(1,hthan*500-'KT THAN'!$D$12)^2-MAX(0,(bthan-hthan)*500)^2*SIN(H126)^2))),MIN((bthan*500-'KT THAN'!$D$12)/MAX(0.0000001,ABS(COS(H126))),(hthan*500-'KT THAN'!$D$12)/MAX(0.0000001,ABS(SIN(H126)))))*COS(H126))</f>
        <v>-388.016336016938</v>
      </c>
      <c r="J126" s="52">
        <f>IF(G126="",0,IF(shp=1,IF(AND(ABS(SIN(H126))&gt;0.0000001,MAX(1,hthan*500-'KT THAN'!$D$12)*ABS(COS(H126))/ABS(SIN(H126))&lt;=MAX(0,(bthan-hthan)*500)),MAX(1,hthan*500-'KT THAN'!$D$12)/ABS(SIN(H126)),MAX(0,(bthan-hthan)*500)*ABS(COS(H126))+SQRT(MAX(0,MAX(1,hthan*500-'KT THAN'!$D$12)^2-MAX(0,(bthan-hthan)*500)^2*SIN(H126)^2))),MIN((bthan*500-'KT THAN'!$D$12)/MAX(0.0000001,ABS(COS(H126))),(hthan*500-'KT THAN'!$D$12)/MAX(0.0000001,ABS(SIN(H126)))))*SIN(H126))</f>
        <v>-700</v>
      </c>
      <c r="K126" s="52">
        <f>IF(G126="",0,'KT THAN'!$D$11/'KT THAN'!$C$11)</f>
        <v>804.24771931898704</v>
      </c>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row>
    <row r="127" spans="1:40" x14ac:dyDescent="0.3">
      <c r="A127" s="52">
        <v>122</v>
      </c>
      <c r="B127" s="52">
        <f>-bthan*500+(21+0.5)*bthan*1000/50</f>
        <v>-385</v>
      </c>
      <c r="C127" s="52">
        <f t="shared" si="80"/>
        <v>-750</v>
      </c>
      <c r="D127" s="52">
        <f t="shared" si="41"/>
        <v>2200</v>
      </c>
      <c r="E127" s="52">
        <f t="shared" si="42"/>
        <v>1</v>
      </c>
      <c r="F127" s="52"/>
      <c r="G127" s="52">
        <f>IF(122&lt;='KT THAN'!$C$11,122,"")</f>
        <v>122</v>
      </c>
      <c r="H127" s="52">
        <f>IF(G127="",0,2*PI()*(G127-0.5)/'KT THAN'!$C$11)</f>
        <v>4.2411500823462207</v>
      </c>
      <c r="I127" s="52">
        <f>IF(G127="",0,IF(shp=1,IF(AND(ABS(SIN(H127))&gt;0.0000001,MAX(1,hthan*500-'KT THAN'!$D$12)*ABS(COS(H127))/ABS(SIN(H127))&lt;=MAX(0,(bthan-hthan)*500)),MAX(1,hthan*500-'KT THAN'!$D$12)/ABS(SIN(H127)),MAX(0,(bthan-hthan)*500)*ABS(COS(H127))+SQRT(MAX(0,MAX(1,hthan*500-'KT THAN'!$D$12)^2-MAX(0,(bthan-hthan)*500)^2*SIN(H127)^2))),MIN((bthan*500-'KT THAN'!$D$12)/MAX(0.0000001,ABS(COS(H127))),(hthan*500-'KT THAN'!$D$12)/MAX(0.0000001,ABS(SIN(H127)))))*COS(H127))</f>
        <v>-356.66781464610028</v>
      </c>
      <c r="J127" s="52">
        <f>IF(G127="",0,IF(shp=1,IF(AND(ABS(SIN(H127))&gt;0.0000001,MAX(1,hthan*500-'KT THAN'!$D$12)*ABS(COS(H127))/ABS(SIN(H127))&lt;=MAX(0,(bthan-hthan)*500)),MAX(1,hthan*500-'KT THAN'!$D$12)/ABS(SIN(H127)),MAX(0,(bthan-hthan)*500)*ABS(COS(H127))+SQRT(MAX(0,MAX(1,hthan*500-'KT THAN'!$D$12)^2-MAX(0,(bthan-hthan)*500)^2*SIN(H127)^2))),MIN((bthan*500-'KT THAN'!$D$12)/MAX(0.0000001,ABS(COS(H127))),(hthan*500-'KT THAN'!$D$12)/MAX(0.0000001,ABS(SIN(H127)))))*SIN(H127))</f>
        <v>-700</v>
      </c>
      <c r="K127" s="52">
        <f>IF(G127="",0,'KT THAN'!$D$11/'KT THAN'!$C$11)</f>
        <v>804.24771931898704</v>
      </c>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row>
    <row r="128" spans="1:40" x14ac:dyDescent="0.3">
      <c r="A128" s="52">
        <v>123</v>
      </c>
      <c r="B128" s="52">
        <f>-bthan*500+(22+0.5)*bthan*1000/50</f>
        <v>-275</v>
      </c>
      <c r="C128" s="52">
        <f t="shared" si="80"/>
        <v>-750</v>
      </c>
      <c r="D128" s="52">
        <f t="shared" si="41"/>
        <v>2200</v>
      </c>
      <c r="E128" s="52">
        <f t="shared" si="42"/>
        <v>1</v>
      </c>
      <c r="F128" s="52"/>
      <c r="G128" s="52">
        <f>IF(123&lt;='KT THAN'!$C$11,123,"")</f>
        <v>123</v>
      </c>
      <c r="H128" s="52">
        <f>IF(G128="",0,2*PI()*(G128-0.5)/'KT THAN'!$C$11)</f>
        <v>4.2760566673861069</v>
      </c>
      <c r="I128" s="52">
        <f>IF(G128="",0,IF(shp=1,IF(AND(ABS(SIN(H128))&gt;0.0000001,MAX(1,hthan*500-'KT THAN'!$D$12)*ABS(COS(H128))/ABS(SIN(H128))&lt;=MAX(0,(bthan-hthan)*500)),MAX(1,hthan*500-'KT THAN'!$D$12)/ABS(SIN(H128)),MAX(0,(bthan-hthan)*500)*ABS(COS(H128))+SQRT(MAX(0,MAX(1,hthan*500-'KT THAN'!$D$12)^2-MAX(0,(bthan-hthan)*500)^2*SIN(H128)^2))),MIN((bthan*500-'KT THAN'!$D$12)/MAX(0.0000001,ABS(COS(H128))),(hthan*500-'KT THAN'!$D$12)/MAX(0.0000001,ABS(SIN(H128)))))*COS(H128))</f>
        <v>-326.41536070849946</v>
      </c>
      <c r="J128" s="52">
        <f>IF(G128="",0,IF(shp=1,IF(AND(ABS(SIN(H128))&gt;0.0000001,MAX(1,hthan*500-'KT THAN'!$D$12)*ABS(COS(H128))/ABS(SIN(H128))&lt;=MAX(0,(bthan-hthan)*500)),MAX(1,hthan*500-'KT THAN'!$D$12)/ABS(SIN(H128)),MAX(0,(bthan-hthan)*500)*ABS(COS(H128))+SQRT(MAX(0,MAX(1,hthan*500-'KT THAN'!$D$12)^2-MAX(0,(bthan-hthan)*500)^2*SIN(H128)^2))),MIN((bthan*500-'KT THAN'!$D$12)/MAX(0.0000001,ABS(COS(H128))),(hthan*500-'KT THAN'!$D$12)/MAX(0.0000001,ABS(SIN(H128)))))*SIN(H128))</f>
        <v>-700</v>
      </c>
      <c r="K128" s="52">
        <f>IF(G128="",0,'KT THAN'!$D$11/'KT THAN'!$C$11)</f>
        <v>804.24771931898704</v>
      </c>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row>
    <row r="129" spans="1:40" x14ac:dyDescent="0.3">
      <c r="A129" s="52">
        <v>124</v>
      </c>
      <c r="B129" s="52">
        <f>-bthan*500+(23+0.5)*bthan*1000/50</f>
        <v>-165</v>
      </c>
      <c r="C129" s="52">
        <f t="shared" si="80"/>
        <v>-750</v>
      </c>
      <c r="D129" s="52">
        <f t="shared" si="41"/>
        <v>2200</v>
      </c>
      <c r="E129" s="52">
        <f t="shared" si="42"/>
        <v>1</v>
      </c>
      <c r="F129" s="52"/>
      <c r="G129" s="52">
        <f>IF(124&lt;='KT THAN'!$C$11,124,"")</f>
        <v>124</v>
      </c>
      <c r="H129" s="52">
        <f>IF(G129="",0,2*PI()*(G129-0.5)/'KT THAN'!$C$11)</f>
        <v>4.310963252425994</v>
      </c>
      <c r="I129" s="52">
        <f>IF(G129="",0,IF(shp=1,IF(AND(ABS(SIN(H129))&gt;0.0000001,MAX(1,hthan*500-'KT THAN'!$D$12)*ABS(COS(H129))/ABS(SIN(H129))&lt;=MAX(0,(bthan-hthan)*500)),MAX(1,hthan*500-'KT THAN'!$D$12)/ABS(SIN(H129)),MAX(0,(bthan-hthan)*500)*ABS(COS(H129))+SQRT(MAX(0,MAX(1,hthan*500-'KT THAN'!$D$12)^2-MAX(0,(bthan-hthan)*500)^2*SIN(H129)^2))),MIN((bthan*500-'KT THAN'!$D$12)/MAX(0.0000001,ABS(COS(H129))),(hthan*500-'KT THAN'!$D$12)/MAX(0.0000001,ABS(SIN(H129)))))*COS(H129))</f>
        <v>-297.1323713467234</v>
      </c>
      <c r="J129" s="52">
        <f>IF(G129="",0,IF(shp=1,IF(AND(ABS(SIN(H129))&gt;0.0000001,MAX(1,hthan*500-'KT THAN'!$D$12)*ABS(COS(H129))/ABS(SIN(H129))&lt;=MAX(0,(bthan-hthan)*500)),MAX(1,hthan*500-'KT THAN'!$D$12)/ABS(SIN(H129)),MAX(0,(bthan-hthan)*500)*ABS(COS(H129))+SQRT(MAX(0,MAX(1,hthan*500-'KT THAN'!$D$12)^2-MAX(0,(bthan-hthan)*500)^2*SIN(H129)^2))),MIN((bthan*500-'KT THAN'!$D$12)/MAX(0.0000001,ABS(COS(H129))),(hthan*500-'KT THAN'!$D$12)/MAX(0.0000001,ABS(SIN(H129)))))*SIN(H129))</f>
        <v>-700</v>
      </c>
      <c r="K129" s="52">
        <f>IF(G129="",0,'KT THAN'!$D$11/'KT THAN'!$C$11)</f>
        <v>804.24771931898704</v>
      </c>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row>
    <row r="130" spans="1:40" x14ac:dyDescent="0.3">
      <c r="A130" s="52">
        <v>125</v>
      </c>
      <c r="B130" s="52">
        <f>-bthan*500+(24+0.5)*bthan*1000/50</f>
        <v>-55</v>
      </c>
      <c r="C130" s="52">
        <f t="shared" si="80"/>
        <v>-750</v>
      </c>
      <c r="D130" s="52">
        <f t="shared" si="41"/>
        <v>2200</v>
      </c>
      <c r="E130" s="52">
        <f t="shared" si="42"/>
        <v>1</v>
      </c>
      <c r="F130" s="52"/>
      <c r="G130" s="52">
        <f>IF(125&lt;='KT THAN'!$C$11,125,"")</f>
        <v>125</v>
      </c>
      <c r="H130" s="52">
        <f>IF(G130="",0,2*PI()*(G130-0.5)/'KT THAN'!$C$11)</f>
        <v>4.3458698374658802</v>
      </c>
      <c r="I130" s="52">
        <f>IF(G130="",0,IF(shp=1,IF(AND(ABS(SIN(H130))&gt;0.0000001,MAX(1,hthan*500-'KT THAN'!$D$12)*ABS(COS(H130))/ABS(SIN(H130))&lt;=MAX(0,(bthan-hthan)*500)),MAX(1,hthan*500-'KT THAN'!$D$12)/ABS(SIN(H130)),MAX(0,(bthan-hthan)*500)*ABS(COS(H130))+SQRT(MAX(0,MAX(1,hthan*500-'KT THAN'!$D$12)^2-MAX(0,(bthan-hthan)*500)^2*SIN(H130)^2))),MIN((bthan*500-'KT THAN'!$D$12)/MAX(0.0000001,ABS(COS(H130))),(hthan*500-'KT THAN'!$D$12)/MAX(0.0000001,ABS(SIN(H130)))))*COS(H130))</f>
        <v>-268.70482452479143</v>
      </c>
      <c r="J130" s="52">
        <f>IF(G130="",0,IF(shp=1,IF(AND(ABS(SIN(H130))&gt;0.0000001,MAX(1,hthan*500-'KT THAN'!$D$12)*ABS(COS(H130))/ABS(SIN(H130))&lt;=MAX(0,(bthan-hthan)*500)),MAX(1,hthan*500-'KT THAN'!$D$12)/ABS(SIN(H130)),MAX(0,(bthan-hthan)*500)*ABS(COS(H130))+SQRT(MAX(0,MAX(1,hthan*500-'KT THAN'!$D$12)^2-MAX(0,(bthan-hthan)*500)^2*SIN(H130)^2))),MIN((bthan*500-'KT THAN'!$D$12)/MAX(0.0000001,ABS(COS(H130))),(hthan*500-'KT THAN'!$D$12)/MAX(0.0000001,ABS(SIN(H130)))))*SIN(H130))</f>
        <v>-700</v>
      </c>
      <c r="K130" s="52">
        <f>IF(G130="",0,'KT THAN'!$D$11/'KT THAN'!$C$11)</f>
        <v>804.24771931898704</v>
      </c>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row>
    <row r="131" spans="1:40" x14ac:dyDescent="0.3">
      <c r="A131" s="52">
        <v>126</v>
      </c>
      <c r="B131" s="52">
        <f>-bthan*500+(25+0.5)*bthan*1000/50</f>
        <v>55</v>
      </c>
      <c r="C131" s="52">
        <f t="shared" si="80"/>
        <v>-750</v>
      </c>
      <c r="D131" s="52">
        <f t="shared" si="41"/>
        <v>2200</v>
      </c>
      <c r="E131" s="52">
        <f t="shared" si="42"/>
        <v>1</v>
      </c>
      <c r="F131" s="52"/>
      <c r="G131" s="52">
        <f>IF(126&lt;='KT THAN'!$C$11,126,"")</f>
        <v>126</v>
      </c>
      <c r="H131" s="52">
        <f>IF(G131="",0,2*PI()*(G131-0.5)/'KT THAN'!$C$11)</f>
        <v>4.3807764225057673</v>
      </c>
      <c r="I131" s="52">
        <f>IF(G131="",0,IF(shp=1,IF(AND(ABS(SIN(H131))&gt;0.0000001,MAX(1,hthan*500-'KT THAN'!$D$12)*ABS(COS(H131))/ABS(SIN(H131))&lt;=MAX(0,(bthan-hthan)*500)),MAX(1,hthan*500-'KT THAN'!$D$12)/ABS(SIN(H131)),MAX(0,(bthan-hthan)*500)*ABS(COS(H131))+SQRT(MAX(0,MAX(1,hthan*500-'KT THAN'!$D$12)^2-MAX(0,(bthan-hthan)*500)^2*SIN(H131)^2))),MIN((bthan*500-'KT THAN'!$D$12)/MAX(0.0000001,ABS(COS(H131))),(hthan*500-'KT THAN'!$D$12)/MAX(0.0000001,ABS(SIN(H131)))))*COS(H131))</f>
        <v>-241.02932930276566</v>
      </c>
      <c r="J131" s="52">
        <f>IF(G131="",0,IF(shp=1,IF(AND(ABS(SIN(H131))&gt;0.0000001,MAX(1,hthan*500-'KT THAN'!$D$12)*ABS(COS(H131))/ABS(SIN(H131))&lt;=MAX(0,(bthan-hthan)*500)),MAX(1,hthan*500-'KT THAN'!$D$12)/ABS(SIN(H131)),MAX(0,(bthan-hthan)*500)*ABS(COS(H131))+SQRT(MAX(0,MAX(1,hthan*500-'KT THAN'!$D$12)^2-MAX(0,(bthan-hthan)*500)^2*SIN(H131)^2))),MIN((bthan*500-'KT THAN'!$D$12)/MAX(0.0000001,ABS(COS(H131))),(hthan*500-'KT THAN'!$D$12)/MAX(0.0000001,ABS(SIN(H131)))))*SIN(H131))</f>
        <v>-700</v>
      </c>
      <c r="K131" s="52">
        <f>IF(G131="",0,'KT THAN'!$D$11/'KT THAN'!$C$11)</f>
        <v>804.24771931898704</v>
      </c>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row>
    <row r="132" spans="1:40" x14ac:dyDescent="0.3">
      <c r="A132" s="52">
        <v>127</v>
      </c>
      <c r="B132" s="52">
        <f>-bthan*500+(26+0.5)*bthan*1000/50</f>
        <v>165</v>
      </c>
      <c r="C132" s="52">
        <f t="shared" si="80"/>
        <v>-750</v>
      </c>
      <c r="D132" s="52">
        <f t="shared" si="41"/>
        <v>2200</v>
      </c>
      <c r="E132" s="52">
        <f t="shared" si="42"/>
        <v>1</v>
      </c>
      <c r="F132" s="52"/>
      <c r="G132" s="52">
        <f>IF(127&lt;='KT THAN'!$C$11,127,"")</f>
        <v>127</v>
      </c>
      <c r="H132" s="52">
        <f>IF(G132="",0,2*PI()*(G132-0.5)/'KT THAN'!$C$11)</f>
        <v>4.4156830075456535</v>
      </c>
      <c r="I132" s="52">
        <f>IF(G132="",0,IF(shp=1,IF(AND(ABS(SIN(H132))&gt;0.0000001,MAX(1,hthan*500-'KT THAN'!$D$12)*ABS(COS(H132))/ABS(SIN(H132))&lt;=MAX(0,(bthan-hthan)*500)),MAX(1,hthan*500-'KT THAN'!$D$12)/ABS(SIN(H132)),MAX(0,(bthan-hthan)*500)*ABS(COS(H132))+SQRT(MAX(0,MAX(1,hthan*500-'KT THAN'!$D$12)^2-MAX(0,(bthan-hthan)*500)^2*SIN(H132)^2))),MIN((bthan*500-'KT THAN'!$D$12)/MAX(0.0000001,ABS(COS(H132))),(hthan*500-'KT THAN'!$D$12)/MAX(0.0000001,ABS(SIN(H132)))))*COS(H132))</f>
        <v>-214.01147702106257</v>
      </c>
      <c r="J132" s="52">
        <f>IF(G132="",0,IF(shp=1,IF(AND(ABS(SIN(H132))&gt;0.0000001,MAX(1,hthan*500-'KT THAN'!$D$12)*ABS(COS(H132))/ABS(SIN(H132))&lt;=MAX(0,(bthan-hthan)*500)),MAX(1,hthan*500-'KT THAN'!$D$12)/ABS(SIN(H132)),MAX(0,(bthan-hthan)*500)*ABS(COS(H132))+SQRT(MAX(0,MAX(1,hthan*500-'KT THAN'!$D$12)^2-MAX(0,(bthan-hthan)*500)^2*SIN(H132)^2))),MIN((bthan*500-'KT THAN'!$D$12)/MAX(0.0000001,ABS(COS(H132))),(hthan*500-'KT THAN'!$D$12)/MAX(0.0000001,ABS(SIN(H132)))))*SIN(H132))</f>
        <v>-700</v>
      </c>
      <c r="K132" s="52">
        <f>IF(G132="",0,'KT THAN'!$D$11/'KT THAN'!$C$11)</f>
        <v>804.24771931898704</v>
      </c>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row>
    <row r="133" spans="1:40" x14ac:dyDescent="0.3">
      <c r="A133" s="52">
        <v>128</v>
      </c>
      <c r="B133" s="52">
        <f>-bthan*500+(27+0.5)*bthan*1000/50</f>
        <v>275</v>
      </c>
      <c r="C133" s="52">
        <f t="shared" si="80"/>
        <v>-750</v>
      </c>
      <c r="D133" s="52">
        <f t="shared" si="41"/>
        <v>2200</v>
      </c>
      <c r="E133" s="52">
        <f t="shared" si="42"/>
        <v>1</v>
      </c>
      <c r="F133" s="52"/>
      <c r="G133" s="52">
        <f>IF(128&lt;='KT THAN'!$C$11,128,"")</f>
        <v>128</v>
      </c>
      <c r="H133" s="52">
        <f>IF(G133="",0,2*PI()*(G133-0.5)/'KT THAN'!$C$11)</f>
        <v>4.4505895925855405</v>
      </c>
      <c r="I133" s="52">
        <f>IF(G133="",0,IF(shp=1,IF(AND(ABS(SIN(H133))&gt;0.0000001,MAX(1,hthan*500-'KT THAN'!$D$12)*ABS(COS(H133))/ABS(SIN(H133))&lt;=MAX(0,(bthan-hthan)*500)),MAX(1,hthan*500-'KT THAN'!$D$12)/ABS(SIN(H133)),MAX(0,(bthan-hthan)*500)*ABS(COS(H133))+SQRT(MAX(0,MAX(1,hthan*500-'KT THAN'!$D$12)^2-MAX(0,(bthan-hthan)*500)^2*SIN(H133)^2))),MIN((bthan*500-'KT THAN'!$D$12)/MAX(0.0000001,ABS(COS(H133))),(hthan*500-'KT THAN'!$D$12)/MAX(0.0000001,ABS(SIN(H133)))))*COS(H133))</f>
        <v>-187.56443470178579</v>
      </c>
      <c r="J133" s="52">
        <f>IF(G133="",0,IF(shp=1,IF(AND(ABS(SIN(H133))&gt;0.0000001,MAX(1,hthan*500-'KT THAN'!$D$12)*ABS(COS(H133))/ABS(SIN(H133))&lt;=MAX(0,(bthan-hthan)*500)),MAX(1,hthan*500-'KT THAN'!$D$12)/ABS(SIN(H133)),MAX(0,(bthan-hthan)*500)*ABS(COS(H133))+SQRT(MAX(0,MAX(1,hthan*500-'KT THAN'!$D$12)^2-MAX(0,(bthan-hthan)*500)^2*SIN(H133)^2))),MIN((bthan*500-'KT THAN'!$D$12)/MAX(0.0000001,ABS(COS(H133))),(hthan*500-'KT THAN'!$D$12)/MAX(0.0000001,ABS(SIN(H133)))))*SIN(H133))</f>
        <v>-700</v>
      </c>
      <c r="K133" s="52">
        <f>IF(G133="",0,'KT THAN'!$D$11/'KT THAN'!$C$11)</f>
        <v>804.24771931898704</v>
      </c>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row>
    <row r="134" spans="1:40" x14ac:dyDescent="0.3">
      <c r="A134" s="52">
        <v>129</v>
      </c>
      <c r="B134" s="52">
        <f>-bthan*500+(28+0.5)*bthan*1000/50</f>
        <v>385</v>
      </c>
      <c r="C134" s="52">
        <f t="shared" si="80"/>
        <v>-750</v>
      </c>
      <c r="D134" s="52">
        <f t="shared" ref="D134:D197" si="81">bthan*1000/50*hthan*1000/80</f>
        <v>2200</v>
      </c>
      <c r="E134" s="52">
        <f t="shared" ref="E134:E197" si="82">IF(shp=1,--(OR(ABS(B134)&lt;=MAX(0,(bthan-hthan)*500),(ABS(B134)-MAX(0,(bthan-hthan)*500))^2+C134^2&lt;=(hthan*500)^2)),--(AND(ABS(B134)&lt;=bthan*500,ABS(C134)&lt;=hthan*500,OR(ABS(B134)&lt;=bthan*500-cch*1000,ABS(C134)&lt;=hthan*500-cch*1000,(bthan*500-ABS(B134))+(hthan*500-ABS(C134))&gt;=cch*1000))))</f>
        <v>1</v>
      </c>
      <c r="F134" s="52"/>
      <c r="G134" s="52">
        <f>IF(129&lt;='KT THAN'!$C$11,129,"")</f>
        <v>129</v>
      </c>
      <c r="H134" s="52">
        <f>IF(G134="",0,2*PI()*(G134-0.5)/'KT THAN'!$C$11)</f>
        <v>4.4854961776254267</v>
      </c>
      <c r="I134" s="52">
        <f>IF(G134="",0,IF(shp=1,IF(AND(ABS(SIN(H134))&gt;0.0000001,MAX(1,hthan*500-'KT THAN'!$D$12)*ABS(COS(H134))/ABS(SIN(H134))&lt;=MAX(0,(bthan-hthan)*500)),MAX(1,hthan*500-'KT THAN'!$D$12)/ABS(SIN(H134)),MAX(0,(bthan-hthan)*500)*ABS(COS(H134))+SQRT(MAX(0,MAX(1,hthan*500-'KT THAN'!$D$12)^2-MAX(0,(bthan-hthan)*500)^2*SIN(H134)^2))),MIN((bthan*500-'KT THAN'!$D$12)/MAX(0.0000001,ABS(COS(H134))),(hthan*500-'KT THAN'!$D$12)/MAX(0.0000001,ABS(SIN(H134)))))*COS(H134))</f>
        <v>-161.60773378789438</v>
      </c>
      <c r="J134" s="52">
        <f>IF(G134="",0,IF(shp=1,IF(AND(ABS(SIN(H134))&gt;0.0000001,MAX(1,hthan*500-'KT THAN'!$D$12)*ABS(COS(H134))/ABS(SIN(H134))&lt;=MAX(0,(bthan-hthan)*500)),MAX(1,hthan*500-'KT THAN'!$D$12)/ABS(SIN(H134)),MAX(0,(bthan-hthan)*500)*ABS(COS(H134))+SQRT(MAX(0,MAX(1,hthan*500-'KT THAN'!$D$12)^2-MAX(0,(bthan-hthan)*500)^2*SIN(H134)^2))),MIN((bthan*500-'KT THAN'!$D$12)/MAX(0.0000001,ABS(COS(H134))),(hthan*500-'KT THAN'!$D$12)/MAX(0.0000001,ABS(SIN(H134)))))*SIN(H134))</f>
        <v>-700</v>
      </c>
      <c r="K134" s="52">
        <f>IF(G134="",0,'KT THAN'!$D$11/'KT THAN'!$C$11)</f>
        <v>804.24771931898704</v>
      </c>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row>
    <row r="135" spans="1:40" x14ac:dyDescent="0.3">
      <c r="A135" s="52">
        <v>130</v>
      </c>
      <c r="B135" s="52">
        <f>-bthan*500+(29+0.5)*bthan*1000/50</f>
        <v>495</v>
      </c>
      <c r="C135" s="52">
        <f t="shared" si="80"/>
        <v>-750</v>
      </c>
      <c r="D135" s="52">
        <f t="shared" si="81"/>
        <v>2200</v>
      </c>
      <c r="E135" s="52">
        <f t="shared" si="82"/>
        <v>1</v>
      </c>
      <c r="F135" s="52"/>
      <c r="G135" s="52">
        <f>IF(130&lt;='KT THAN'!$C$11,130,"")</f>
        <v>130</v>
      </c>
      <c r="H135" s="52">
        <f>IF(G135="",0,2*PI()*(G135-0.5)/'KT THAN'!$C$11)</f>
        <v>4.5204027626653129</v>
      </c>
      <c r="I135" s="52">
        <f>IF(G135="",0,IF(shp=1,IF(AND(ABS(SIN(H135))&gt;0.0000001,MAX(1,hthan*500-'KT THAN'!$D$12)*ABS(COS(H135))/ABS(SIN(H135))&lt;=MAX(0,(bthan-hthan)*500)),MAX(1,hthan*500-'KT THAN'!$D$12)/ABS(SIN(H135)),MAX(0,(bthan-hthan)*500)*ABS(COS(H135))+SQRT(MAX(0,MAX(1,hthan*500-'KT THAN'!$D$12)^2-MAX(0,(bthan-hthan)*500)^2*SIN(H135)^2))),MIN((bthan*500-'KT THAN'!$D$12)/MAX(0.0000001,ABS(COS(H135))),(hthan*500-'KT THAN'!$D$12)/MAX(0.0000001,ABS(SIN(H135)))))*COS(H135))</f>
        <v>-136.06621639640341</v>
      </c>
      <c r="J135" s="52">
        <f>IF(G135="",0,IF(shp=1,IF(AND(ABS(SIN(H135))&gt;0.0000001,MAX(1,hthan*500-'KT THAN'!$D$12)*ABS(COS(H135))/ABS(SIN(H135))&lt;=MAX(0,(bthan-hthan)*500)),MAX(1,hthan*500-'KT THAN'!$D$12)/ABS(SIN(H135)),MAX(0,(bthan-hthan)*500)*ABS(COS(H135))+SQRT(MAX(0,MAX(1,hthan*500-'KT THAN'!$D$12)^2-MAX(0,(bthan-hthan)*500)^2*SIN(H135)^2))),MIN((bthan*500-'KT THAN'!$D$12)/MAX(0.0000001,ABS(COS(H135))),(hthan*500-'KT THAN'!$D$12)/MAX(0.0000001,ABS(SIN(H135)))))*SIN(H135))</f>
        <v>-700</v>
      </c>
      <c r="K135" s="52">
        <f>IF(G135="",0,'KT THAN'!$D$11/'KT THAN'!$C$11)</f>
        <v>804.24771931898704</v>
      </c>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row>
    <row r="136" spans="1:40" x14ac:dyDescent="0.3">
      <c r="A136" s="52">
        <v>131</v>
      </c>
      <c r="B136" s="52">
        <f>-bthan*500+(30+0.5)*bthan*1000/50</f>
        <v>605</v>
      </c>
      <c r="C136" s="52">
        <f t="shared" si="80"/>
        <v>-750</v>
      </c>
      <c r="D136" s="52">
        <f t="shared" si="81"/>
        <v>2200</v>
      </c>
      <c r="E136" s="52">
        <f t="shared" si="82"/>
        <v>1</v>
      </c>
      <c r="F136" s="52"/>
      <c r="G136" s="52">
        <f>IF(131&lt;='KT THAN'!$C$11,131,"")</f>
        <v>131</v>
      </c>
      <c r="H136" s="52">
        <f>IF(G136="",0,2*PI()*(G136-0.5)/'KT THAN'!$C$11)</f>
        <v>4.5553093477052</v>
      </c>
      <c r="I136" s="52">
        <f>IF(G136="",0,IF(shp=1,IF(AND(ABS(SIN(H136))&gt;0.0000001,MAX(1,hthan*500-'KT THAN'!$D$12)*ABS(COS(H136))/ABS(SIN(H136))&lt;=MAX(0,(bthan-hthan)*500)),MAX(1,hthan*500-'KT THAN'!$D$12)/ABS(SIN(H136)),MAX(0,(bthan-hthan)*500)*ABS(COS(H136))+SQRT(MAX(0,MAX(1,hthan*500-'KT THAN'!$D$12)^2-MAX(0,(bthan-hthan)*500)^2*SIN(H136)^2))),MIN((bthan*500-'KT THAN'!$D$12)/MAX(0.0000001,ABS(COS(H136))),(hthan*500-'KT THAN'!$D$12)/MAX(0.0000001,ABS(SIN(H136)))))*COS(H136))</f>
        <v>-110.86910822717553</v>
      </c>
      <c r="J136" s="52">
        <f>IF(G136="",0,IF(shp=1,IF(AND(ABS(SIN(H136))&gt;0.0000001,MAX(1,hthan*500-'KT THAN'!$D$12)*ABS(COS(H136))/ABS(SIN(H136))&lt;=MAX(0,(bthan-hthan)*500)),MAX(1,hthan*500-'KT THAN'!$D$12)/ABS(SIN(H136)),MAX(0,(bthan-hthan)*500)*ABS(COS(H136))+SQRT(MAX(0,MAX(1,hthan*500-'KT THAN'!$D$12)^2-MAX(0,(bthan-hthan)*500)^2*SIN(H136)^2))),MIN((bthan*500-'KT THAN'!$D$12)/MAX(0.0000001,ABS(COS(H136))),(hthan*500-'KT THAN'!$D$12)/MAX(0.0000001,ABS(SIN(H136)))))*SIN(H136))</f>
        <v>-700</v>
      </c>
      <c r="K136" s="52">
        <f>IF(G136="",0,'KT THAN'!$D$11/'KT THAN'!$C$11)</f>
        <v>804.24771931898704</v>
      </c>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row>
    <row r="137" spans="1:40" x14ac:dyDescent="0.3">
      <c r="A137" s="52">
        <v>132</v>
      </c>
      <c r="B137" s="52">
        <f>-bthan*500+(31+0.5)*bthan*1000/50</f>
        <v>715</v>
      </c>
      <c r="C137" s="52">
        <f t="shared" si="80"/>
        <v>-750</v>
      </c>
      <c r="D137" s="52">
        <f t="shared" si="81"/>
        <v>2200</v>
      </c>
      <c r="E137" s="52">
        <f t="shared" si="82"/>
        <v>1</v>
      </c>
      <c r="F137" s="52"/>
      <c r="G137" s="52">
        <f>IF(132&lt;='KT THAN'!$C$11,132,"")</f>
        <v>132</v>
      </c>
      <c r="H137" s="52">
        <f>IF(G137="",0,2*PI()*(G137-0.5)/'KT THAN'!$C$11)</f>
        <v>4.5902159327450871</v>
      </c>
      <c r="I137" s="52">
        <f>IF(G137="",0,IF(shp=1,IF(AND(ABS(SIN(H137))&gt;0.0000001,MAX(1,hthan*500-'KT THAN'!$D$12)*ABS(COS(H137))/ABS(SIN(H137))&lt;=MAX(0,(bthan-hthan)*500)),MAX(1,hthan*500-'KT THAN'!$D$12)/ABS(SIN(H137)),MAX(0,(bthan-hthan)*500)*ABS(COS(H137))+SQRT(MAX(0,MAX(1,hthan*500-'KT THAN'!$D$12)^2-MAX(0,(bthan-hthan)*500)^2*SIN(H137)^2))),MIN((bthan*500-'KT THAN'!$D$12)/MAX(0.0000001,ABS(COS(H137))),(hthan*500-'KT THAN'!$D$12)/MAX(0.0000001,ABS(SIN(H137)))))*COS(H137))</f>
        <v>-85.94919263203299</v>
      </c>
      <c r="J137" s="52">
        <f>IF(G137="",0,IF(shp=1,IF(AND(ABS(SIN(H137))&gt;0.0000001,MAX(1,hthan*500-'KT THAN'!$D$12)*ABS(COS(H137))/ABS(SIN(H137))&lt;=MAX(0,(bthan-hthan)*500)),MAX(1,hthan*500-'KT THAN'!$D$12)/ABS(SIN(H137)),MAX(0,(bthan-hthan)*500)*ABS(COS(H137))+SQRT(MAX(0,MAX(1,hthan*500-'KT THAN'!$D$12)^2-MAX(0,(bthan-hthan)*500)^2*SIN(H137)^2))),MIN((bthan*500-'KT THAN'!$D$12)/MAX(0.0000001,ABS(COS(H137))),(hthan*500-'KT THAN'!$D$12)/MAX(0.0000001,ABS(SIN(H137)))))*SIN(H137))</f>
        <v>-700</v>
      </c>
      <c r="K137" s="52">
        <f>IF(G137="",0,'KT THAN'!$D$11/'KT THAN'!$C$11)</f>
        <v>804.24771931898704</v>
      </c>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row>
    <row r="138" spans="1:40" x14ac:dyDescent="0.3">
      <c r="A138" s="52">
        <v>133</v>
      </c>
      <c r="B138" s="52">
        <f>-bthan*500+(32+0.5)*bthan*1000/50</f>
        <v>825</v>
      </c>
      <c r="C138" s="52">
        <f t="shared" ref="C138:C155" si="83">-hthan*500+(2+0.5)*hthan*1000/80</f>
        <v>-750</v>
      </c>
      <c r="D138" s="52">
        <f t="shared" si="81"/>
        <v>2200</v>
      </c>
      <c r="E138" s="52">
        <f t="shared" si="82"/>
        <v>1</v>
      </c>
      <c r="F138" s="52"/>
      <c r="G138" s="52">
        <f>IF(133&lt;='KT THAN'!$C$11,133,"")</f>
        <v>133</v>
      </c>
      <c r="H138" s="52">
        <f>IF(G138="",0,2*PI()*(G138-0.5)/'KT THAN'!$C$11)</f>
        <v>4.6251225177849733</v>
      </c>
      <c r="I138" s="52">
        <f>IF(G138="",0,IF(shp=1,IF(AND(ABS(SIN(H138))&gt;0.0000001,MAX(1,hthan*500-'KT THAN'!$D$12)*ABS(COS(H138))/ABS(SIN(H138))&lt;=MAX(0,(bthan-hthan)*500)),MAX(1,hthan*500-'KT THAN'!$D$12)/ABS(SIN(H138)),MAX(0,(bthan-hthan)*500)*ABS(COS(H138))+SQRT(MAX(0,MAX(1,hthan*500-'KT THAN'!$D$12)^2-MAX(0,(bthan-hthan)*500)^2*SIN(H138)^2))),MIN((bthan*500-'KT THAN'!$D$12)/MAX(0.0000001,ABS(COS(H138))),(hthan*500-'KT THAN'!$D$12)/MAX(0.0000001,ABS(SIN(H138)))))*COS(H138))</f>
        <v>-61.242064468146857</v>
      </c>
      <c r="J138" s="52">
        <f>IF(G138="",0,IF(shp=1,IF(AND(ABS(SIN(H138))&gt;0.0000001,MAX(1,hthan*500-'KT THAN'!$D$12)*ABS(COS(H138))/ABS(SIN(H138))&lt;=MAX(0,(bthan-hthan)*500)),MAX(1,hthan*500-'KT THAN'!$D$12)/ABS(SIN(H138)),MAX(0,(bthan-hthan)*500)*ABS(COS(H138))+SQRT(MAX(0,MAX(1,hthan*500-'KT THAN'!$D$12)^2-MAX(0,(bthan-hthan)*500)^2*SIN(H138)^2))),MIN((bthan*500-'KT THAN'!$D$12)/MAX(0.0000001,ABS(COS(H138))),(hthan*500-'KT THAN'!$D$12)/MAX(0.0000001,ABS(SIN(H138)))))*SIN(H138))</f>
        <v>-700</v>
      </c>
      <c r="K138" s="52">
        <f>IF(G138="",0,'KT THAN'!$D$11/'KT THAN'!$C$11)</f>
        <v>804.24771931898704</v>
      </c>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row>
    <row r="139" spans="1:40" x14ac:dyDescent="0.3">
      <c r="A139" s="52">
        <v>134</v>
      </c>
      <c r="B139" s="52">
        <f>-bthan*500+(33+0.5)*bthan*1000/50</f>
        <v>935</v>
      </c>
      <c r="C139" s="52">
        <f t="shared" si="83"/>
        <v>-750</v>
      </c>
      <c r="D139" s="52">
        <f t="shared" si="81"/>
        <v>2200</v>
      </c>
      <c r="E139" s="52">
        <f t="shared" si="82"/>
        <v>1</v>
      </c>
      <c r="F139" s="52"/>
      <c r="G139" s="52">
        <f>IF(134&lt;='KT THAN'!$C$11,134,"")</f>
        <v>134</v>
      </c>
      <c r="H139" s="52">
        <f>IF(G139="",0,2*PI()*(G139-0.5)/'KT THAN'!$C$11)</f>
        <v>4.6600291028248595</v>
      </c>
      <c r="I139" s="52">
        <f>IF(G139="",0,IF(shp=1,IF(AND(ABS(SIN(H139))&gt;0.0000001,MAX(1,hthan*500-'KT THAN'!$D$12)*ABS(COS(H139))/ABS(SIN(H139))&lt;=MAX(0,(bthan-hthan)*500)),MAX(1,hthan*500-'KT THAN'!$D$12)/ABS(SIN(H139)),MAX(0,(bthan-hthan)*500)*ABS(COS(H139))+SQRT(MAX(0,MAX(1,hthan*500-'KT THAN'!$D$12)^2-MAX(0,(bthan-hthan)*500)^2*SIN(H139)^2))),MIN((bthan*500-'KT THAN'!$D$12)/MAX(0.0000001,ABS(COS(H139))),(hthan*500-'KT THAN'!$D$12)/MAX(0.0000001,ABS(SIN(H139)))))*COS(H139))</f>
        <v>-36.685445498129177</v>
      </c>
      <c r="J139" s="52">
        <f>IF(G139="",0,IF(shp=1,IF(AND(ABS(SIN(H139))&gt;0.0000001,MAX(1,hthan*500-'KT THAN'!$D$12)*ABS(COS(H139))/ABS(SIN(H139))&lt;=MAX(0,(bthan-hthan)*500)),MAX(1,hthan*500-'KT THAN'!$D$12)/ABS(SIN(H139)),MAX(0,(bthan-hthan)*500)*ABS(COS(H139))+SQRT(MAX(0,MAX(1,hthan*500-'KT THAN'!$D$12)^2-MAX(0,(bthan-hthan)*500)^2*SIN(H139)^2))),MIN((bthan*500-'KT THAN'!$D$12)/MAX(0.0000001,ABS(COS(H139))),(hthan*500-'KT THAN'!$D$12)/MAX(0.0000001,ABS(SIN(H139)))))*SIN(H139))</f>
        <v>-700</v>
      </c>
      <c r="K139" s="52">
        <f>IF(G139="",0,'KT THAN'!$D$11/'KT THAN'!$C$11)</f>
        <v>804.24771931898704</v>
      </c>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row>
    <row r="140" spans="1:40" x14ac:dyDescent="0.3">
      <c r="A140" s="52">
        <v>135</v>
      </c>
      <c r="B140" s="52">
        <f>-bthan*500+(34+0.5)*bthan*1000/50</f>
        <v>1045</v>
      </c>
      <c r="C140" s="52">
        <f t="shared" si="83"/>
        <v>-750</v>
      </c>
      <c r="D140" s="52">
        <f t="shared" si="81"/>
        <v>2200</v>
      </c>
      <c r="E140" s="52">
        <f t="shared" si="82"/>
        <v>1</v>
      </c>
      <c r="F140" s="52"/>
      <c r="G140" s="52">
        <f>IF(135&lt;='KT THAN'!$C$11,135,"")</f>
        <v>135</v>
      </c>
      <c r="H140" s="52">
        <f>IF(G140="",0,2*PI()*(G140-0.5)/'KT THAN'!$C$11)</f>
        <v>4.6949356878647466</v>
      </c>
      <c r="I140" s="52">
        <f>IF(G140="",0,IF(shp=1,IF(AND(ABS(SIN(H140))&gt;0.0000001,MAX(1,hthan*500-'KT THAN'!$D$12)*ABS(COS(H140))/ABS(SIN(H140))&lt;=MAX(0,(bthan-hthan)*500)),MAX(1,hthan*500-'KT THAN'!$D$12)/ABS(SIN(H140)),MAX(0,(bthan-hthan)*500)*ABS(COS(H140))+SQRT(MAX(0,MAX(1,hthan*500-'KT THAN'!$D$12)^2-MAX(0,(bthan-hthan)*500)^2*SIN(H140)^2))),MIN((bthan*500-'KT THAN'!$D$12)/MAX(0.0000001,ABS(COS(H140))),(hthan*500-'KT THAN'!$D$12)/MAX(0.0000001,ABS(SIN(H140)))))*COS(H140))</f>
        <v>-12.2185454497523</v>
      </c>
      <c r="J140" s="52">
        <f>IF(G140="",0,IF(shp=1,IF(AND(ABS(SIN(H140))&gt;0.0000001,MAX(1,hthan*500-'KT THAN'!$D$12)*ABS(COS(H140))/ABS(SIN(H140))&lt;=MAX(0,(bthan-hthan)*500)),MAX(1,hthan*500-'KT THAN'!$D$12)/ABS(SIN(H140)),MAX(0,(bthan-hthan)*500)*ABS(COS(H140))+SQRT(MAX(0,MAX(1,hthan*500-'KT THAN'!$D$12)^2-MAX(0,(bthan-hthan)*500)^2*SIN(H140)^2))),MIN((bthan*500-'KT THAN'!$D$12)/MAX(0.0000001,ABS(COS(H140))),(hthan*500-'KT THAN'!$D$12)/MAX(0.0000001,ABS(SIN(H140)))))*SIN(H140))</f>
        <v>-700</v>
      </c>
      <c r="K140" s="52">
        <f>IF(G140="",0,'KT THAN'!$D$11/'KT THAN'!$C$11)</f>
        <v>804.24771931898704</v>
      </c>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row>
    <row r="141" spans="1:40" x14ac:dyDescent="0.3">
      <c r="A141" s="52">
        <v>136</v>
      </c>
      <c r="B141" s="52">
        <f>-bthan*500+(35+0.5)*bthan*1000/50</f>
        <v>1155</v>
      </c>
      <c r="C141" s="52">
        <f t="shared" si="83"/>
        <v>-750</v>
      </c>
      <c r="D141" s="52">
        <f t="shared" si="81"/>
        <v>2200</v>
      </c>
      <c r="E141" s="52">
        <f t="shared" si="82"/>
        <v>1</v>
      </c>
      <c r="F141" s="52"/>
      <c r="G141" s="52">
        <f>IF(136&lt;='KT THAN'!$C$11,136,"")</f>
        <v>136</v>
      </c>
      <c r="H141" s="52">
        <f>IF(G141="",0,2*PI()*(G141-0.5)/'KT THAN'!$C$11)</f>
        <v>4.7298422729046328</v>
      </c>
      <c r="I141" s="52">
        <f>IF(G141="",0,IF(shp=1,IF(AND(ABS(SIN(H141))&gt;0.0000001,MAX(1,hthan*500-'KT THAN'!$D$12)*ABS(COS(H141))/ABS(SIN(H141))&lt;=MAX(0,(bthan-hthan)*500)),MAX(1,hthan*500-'KT THAN'!$D$12)/ABS(SIN(H141)),MAX(0,(bthan-hthan)*500)*ABS(COS(H141))+SQRT(MAX(0,MAX(1,hthan*500-'KT THAN'!$D$12)^2-MAX(0,(bthan-hthan)*500)^2*SIN(H141)^2))),MIN((bthan*500-'KT THAN'!$D$12)/MAX(0.0000001,ABS(COS(H141))),(hthan*500-'KT THAN'!$D$12)/MAX(0.0000001,ABS(SIN(H141)))))*COS(H141))</f>
        <v>12.218545449752042</v>
      </c>
      <c r="J141" s="52">
        <f>IF(G141="",0,IF(shp=1,IF(AND(ABS(SIN(H141))&gt;0.0000001,MAX(1,hthan*500-'KT THAN'!$D$12)*ABS(COS(H141))/ABS(SIN(H141))&lt;=MAX(0,(bthan-hthan)*500)),MAX(1,hthan*500-'KT THAN'!$D$12)/ABS(SIN(H141)),MAX(0,(bthan-hthan)*500)*ABS(COS(H141))+SQRT(MAX(0,MAX(1,hthan*500-'KT THAN'!$D$12)^2-MAX(0,(bthan-hthan)*500)^2*SIN(H141)^2))),MIN((bthan*500-'KT THAN'!$D$12)/MAX(0.0000001,ABS(COS(H141))),(hthan*500-'KT THAN'!$D$12)/MAX(0.0000001,ABS(SIN(H141)))))*SIN(H141))</f>
        <v>-700</v>
      </c>
      <c r="K141" s="52">
        <f>IF(G141="",0,'KT THAN'!$D$11/'KT THAN'!$C$11)</f>
        <v>804.24771931898704</v>
      </c>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row>
    <row r="142" spans="1:40" x14ac:dyDescent="0.3">
      <c r="A142" s="52">
        <v>137</v>
      </c>
      <c r="B142" s="52">
        <f>-bthan*500+(36+0.5)*bthan*1000/50</f>
        <v>1265</v>
      </c>
      <c r="C142" s="52">
        <f t="shared" si="83"/>
        <v>-750</v>
      </c>
      <c r="D142" s="52">
        <f t="shared" si="81"/>
        <v>2200</v>
      </c>
      <c r="E142" s="52">
        <f t="shared" si="82"/>
        <v>1</v>
      </c>
      <c r="F142" s="52"/>
      <c r="G142" s="52">
        <f>IF(137&lt;='KT THAN'!$C$11,137,"")</f>
        <v>137</v>
      </c>
      <c r="H142" s="52">
        <f>IF(G142="",0,2*PI()*(G142-0.5)/'KT THAN'!$C$11)</f>
        <v>4.7647488579445199</v>
      </c>
      <c r="I142" s="52">
        <f>IF(G142="",0,IF(shp=1,IF(AND(ABS(SIN(H142))&gt;0.0000001,MAX(1,hthan*500-'KT THAN'!$D$12)*ABS(COS(H142))/ABS(SIN(H142))&lt;=MAX(0,(bthan-hthan)*500)),MAX(1,hthan*500-'KT THAN'!$D$12)/ABS(SIN(H142)),MAX(0,(bthan-hthan)*500)*ABS(COS(H142))+SQRT(MAX(0,MAX(1,hthan*500-'KT THAN'!$D$12)^2-MAX(0,(bthan-hthan)*500)^2*SIN(H142)^2))),MIN((bthan*500-'KT THAN'!$D$12)/MAX(0.0000001,ABS(COS(H142))),(hthan*500-'KT THAN'!$D$12)/MAX(0.0000001,ABS(SIN(H142)))))*COS(H142))</f>
        <v>36.685445498128928</v>
      </c>
      <c r="J142" s="52">
        <f>IF(G142="",0,IF(shp=1,IF(AND(ABS(SIN(H142))&gt;0.0000001,MAX(1,hthan*500-'KT THAN'!$D$12)*ABS(COS(H142))/ABS(SIN(H142))&lt;=MAX(0,(bthan-hthan)*500)),MAX(1,hthan*500-'KT THAN'!$D$12)/ABS(SIN(H142)),MAX(0,(bthan-hthan)*500)*ABS(COS(H142))+SQRT(MAX(0,MAX(1,hthan*500-'KT THAN'!$D$12)^2-MAX(0,(bthan-hthan)*500)^2*SIN(H142)^2))),MIN((bthan*500-'KT THAN'!$D$12)/MAX(0.0000001,ABS(COS(H142))),(hthan*500-'KT THAN'!$D$12)/MAX(0.0000001,ABS(SIN(H142)))))*SIN(H142))</f>
        <v>-700</v>
      </c>
      <c r="K142" s="52">
        <f>IF(G142="",0,'KT THAN'!$D$11/'KT THAN'!$C$11)</f>
        <v>804.24771931898704</v>
      </c>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row>
    <row r="143" spans="1:40" x14ac:dyDescent="0.3">
      <c r="A143" s="52">
        <v>138</v>
      </c>
      <c r="B143" s="52">
        <f>-bthan*500+(37+0.5)*bthan*1000/50</f>
        <v>1375</v>
      </c>
      <c r="C143" s="52">
        <f t="shared" si="83"/>
        <v>-750</v>
      </c>
      <c r="D143" s="52">
        <f t="shared" si="81"/>
        <v>2200</v>
      </c>
      <c r="E143" s="52">
        <f t="shared" si="82"/>
        <v>1</v>
      </c>
      <c r="F143" s="52"/>
      <c r="G143" s="52">
        <f>IF(138&lt;='KT THAN'!$C$11,138,"")</f>
        <v>138</v>
      </c>
      <c r="H143" s="52">
        <f>IF(G143="",0,2*PI()*(G143-0.5)/'KT THAN'!$C$11)</f>
        <v>4.7996554429844061</v>
      </c>
      <c r="I143" s="52">
        <f>IF(G143="",0,IF(shp=1,IF(AND(ABS(SIN(H143))&gt;0.0000001,MAX(1,hthan*500-'KT THAN'!$D$12)*ABS(COS(H143))/ABS(SIN(H143))&lt;=MAX(0,(bthan-hthan)*500)),MAX(1,hthan*500-'KT THAN'!$D$12)/ABS(SIN(H143)),MAX(0,(bthan-hthan)*500)*ABS(COS(H143))+SQRT(MAX(0,MAX(1,hthan*500-'KT THAN'!$D$12)^2-MAX(0,(bthan-hthan)*500)^2*SIN(H143)^2))),MIN((bthan*500-'KT THAN'!$D$12)/MAX(0.0000001,ABS(COS(H143))),(hthan*500-'KT THAN'!$D$12)/MAX(0.0000001,ABS(SIN(H143)))))*COS(H143))</f>
        <v>61.242064468146602</v>
      </c>
      <c r="J143" s="52">
        <f>IF(G143="",0,IF(shp=1,IF(AND(ABS(SIN(H143))&gt;0.0000001,MAX(1,hthan*500-'KT THAN'!$D$12)*ABS(COS(H143))/ABS(SIN(H143))&lt;=MAX(0,(bthan-hthan)*500)),MAX(1,hthan*500-'KT THAN'!$D$12)/ABS(SIN(H143)),MAX(0,(bthan-hthan)*500)*ABS(COS(H143))+SQRT(MAX(0,MAX(1,hthan*500-'KT THAN'!$D$12)^2-MAX(0,(bthan-hthan)*500)^2*SIN(H143)^2))),MIN((bthan*500-'KT THAN'!$D$12)/MAX(0.0000001,ABS(COS(H143))),(hthan*500-'KT THAN'!$D$12)/MAX(0.0000001,ABS(SIN(H143)))))*SIN(H143))</f>
        <v>-700</v>
      </c>
      <c r="K143" s="52">
        <f>IF(G143="",0,'KT THAN'!$D$11/'KT THAN'!$C$11)</f>
        <v>804.24771931898704</v>
      </c>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row>
    <row r="144" spans="1:40" x14ac:dyDescent="0.3">
      <c r="A144" s="52">
        <v>139</v>
      </c>
      <c r="B144" s="52">
        <f>-bthan*500+(38+0.5)*bthan*1000/50</f>
        <v>1485</v>
      </c>
      <c r="C144" s="52">
        <f t="shared" si="83"/>
        <v>-750</v>
      </c>
      <c r="D144" s="52">
        <f t="shared" si="81"/>
        <v>2200</v>
      </c>
      <c r="E144" s="52">
        <f t="shared" si="82"/>
        <v>1</v>
      </c>
      <c r="F144" s="52"/>
      <c r="G144" s="52">
        <f>IF(139&lt;='KT THAN'!$C$11,139,"")</f>
        <v>139</v>
      </c>
      <c r="H144" s="52">
        <f>IF(G144="",0,2*PI()*(G144-0.5)/'KT THAN'!$C$11)</f>
        <v>4.8345620280242931</v>
      </c>
      <c r="I144" s="52">
        <f>IF(G144="",0,IF(shp=1,IF(AND(ABS(SIN(H144))&gt;0.0000001,MAX(1,hthan*500-'KT THAN'!$D$12)*ABS(COS(H144))/ABS(SIN(H144))&lt;=MAX(0,(bthan-hthan)*500)),MAX(1,hthan*500-'KT THAN'!$D$12)/ABS(SIN(H144)),MAX(0,(bthan-hthan)*500)*ABS(COS(H144))+SQRT(MAX(0,MAX(1,hthan*500-'KT THAN'!$D$12)^2-MAX(0,(bthan-hthan)*500)^2*SIN(H144)^2))),MIN((bthan*500-'KT THAN'!$D$12)/MAX(0.0000001,ABS(COS(H144))),(hthan*500-'KT THAN'!$D$12)/MAX(0.0000001,ABS(SIN(H144)))))*COS(H144))</f>
        <v>85.949192632033373</v>
      </c>
      <c r="J144" s="52">
        <f>IF(G144="",0,IF(shp=1,IF(AND(ABS(SIN(H144))&gt;0.0000001,MAX(1,hthan*500-'KT THAN'!$D$12)*ABS(COS(H144))/ABS(SIN(H144))&lt;=MAX(0,(bthan-hthan)*500)),MAX(1,hthan*500-'KT THAN'!$D$12)/ABS(SIN(H144)),MAX(0,(bthan-hthan)*500)*ABS(COS(H144))+SQRT(MAX(0,MAX(1,hthan*500-'KT THAN'!$D$12)^2-MAX(0,(bthan-hthan)*500)^2*SIN(H144)^2))),MIN((bthan*500-'KT THAN'!$D$12)/MAX(0.0000001,ABS(COS(H144))),(hthan*500-'KT THAN'!$D$12)/MAX(0.0000001,ABS(SIN(H144)))))*SIN(H144))</f>
        <v>-700</v>
      </c>
      <c r="K144" s="52">
        <f>IF(G144="",0,'KT THAN'!$D$11/'KT THAN'!$C$11)</f>
        <v>804.24771931898704</v>
      </c>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row>
    <row r="145" spans="1:40" x14ac:dyDescent="0.3">
      <c r="A145" s="52">
        <v>140</v>
      </c>
      <c r="B145" s="52">
        <f>-bthan*500+(39+0.5)*bthan*1000/50</f>
        <v>1595</v>
      </c>
      <c r="C145" s="52">
        <f t="shared" si="83"/>
        <v>-750</v>
      </c>
      <c r="D145" s="52">
        <f t="shared" si="81"/>
        <v>2200</v>
      </c>
      <c r="E145" s="52">
        <f t="shared" si="82"/>
        <v>1</v>
      </c>
      <c r="F145" s="52"/>
      <c r="G145" s="52">
        <f>IF(140&lt;='KT THAN'!$C$11,140,"")</f>
        <v>140</v>
      </c>
      <c r="H145" s="52">
        <f>IF(G145="",0,2*PI()*(G145-0.5)/'KT THAN'!$C$11)</f>
        <v>4.8694686130641793</v>
      </c>
      <c r="I145" s="52">
        <f>IF(G145="",0,IF(shp=1,IF(AND(ABS(SIN(H145))&gt;0.0000001,MAX(1,hthan*500-'KT THAN'!$D$12)*ABS(COS(H145))/ABS(SIN(H145))&lt;=MAX(0,(bthan-hthan)*500)),MAX(1,hthan*500-'KT THAN'!$D$12)/ABS(SIN(H145)),MAX(0,(bthan-hthan)*500)*ABS(COS(H145))+SQRT(MAX(0,MAX(1,hthan*500-'KT THAN'!$D$12)^2-MAX(0,(bthan-hthan)*500)^2*SIN(H145)^2))),MIN((bthan*500-'KT THAN'!$D$12)/MAX(0.0000001,ABS(COS(H145))),(hthan*500-'KT THAN'!$D$12)/MAX(0.0000001,ABS(SIN(H145)))))*COS(H145))</f>
        <v>110.86910822717526</v>
      </c>
      <c r="J145" s="52">
        <f>IF(G145="",0,IF(shp=1,IF(AND(ABS(SIN(H145))&gt;0.0000001,MAX(1,hthan*500-'KT THAN'!$D$12)*ABS(COS(H145))/ABS(SIN(H145))&lt;=MAX(0,(bthan-hthan)*500)),MAX(1,hthan*500-'KT THAN'!$D$12)/ABS(SIN(H145)),MAX(0,(bthan-hthan)*500)*ABS(COS(H145))+SQRT(MAX(0,MAX(1,hthan*500-'KT THAN'!$D$12)^2-MAX(0,(bthan-hthan)*500)^2*SIN(H145)^2))),MIN((bthan*500-'KT THAN'!$D$12)/MAX(0.0000001,ABS(COS(H145))),(hthan*500-'KT THAN'!$D$12)/MAX(0.0000001,ABS(SIN(H145)))))*SIN(H145))</f>
        <v>-700</v>
      </c>
      <c r="K145" s="52">
        <f>IF(G145="",0,'KT THAN'!$D$11/'KT THAN'!$C$11)</f>
        <v>804.24771931898704</v>
      </c>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row>
    <row r="146" spans="1:40" x14ac:dyDescent="0.3">
      <c r="A146" s="52">
        <v>141</v>
      </c>
      <c r="B146" s="52">
        <f>-bthan*500+(40+0.5)*bthan*1000/50</f>
        <v>1705</v>
      </c>
      <c r="C146" s="52">
        <f t="shared" si="83"/>
        <v>-750</v>
      </c>
      <c r="D146" s="52">
        <f t="shared" si="81"/>
        <v>2200</v>
      </c>
      <c r="E146" s="52">
        <f t="shared" si="82"/>
        <v>1</v>
      </c>
      <c r="F146" s="52"/>
      <c r="G146" s="52">
        <f>IF(141&lt;='KT THAN'!$C$11,141,"")</f>
        <v>141</v>
      </c>
      <c r="H146" s="52">
        <f>IF(G146="",0,2*PI()*(G146-0.5)/'KT THAN'!$C$11)</f>
        <v>4.9043751981040655</v>
      </c>
      <c r="I146" s="52">
        <f>IF(G146="",0,IF(shp=1,IF(AND(ABS(SIN(H146))&gt;0.0000001,MAX(1,hthan*500-'KT THAN'!$D$12)*ABS(COS(H146))/ABS(SIN(H146))&lt;=MAX(0,(bthan-hthan)*500)),MAX(1,hthan*500-'KT THAN'!$D$12)/ABS(SIN(H146)),MAX(0,(bthan-hthan)*500)*ABS(COS(H146))+SQRT(MAX(0,MAX(1,hthan*500-'KT THAN'!$D$12)^2-MAX(0,(bthan-hthan)*500)^2*SIN(H146)^2))),MIN((bthan*500-'KT THAN'!$D$12)/MAX(0.0000001,ABS(COS(H146))),(hthan*500-'KT THAN'!$D$12)/MAX(0.0000001,ABS(SIN(H146)))))*COS(H146))</f>
        <v>136.06621639640252</v>
      </c>
      <c r="J146" s="52">
        <f>IF(G146="",0,IF(shp=1,IF(AND(ABS(SIN(H146))&gt;0.0000001,MAX(1,hthan*500-'KT THAN'!$D$12)*ABS(COS(H146))/ABS(SIN(H146))&lt;=MAX(0,(bthan-hthan)*500)),MAX(1,hthan*500-'KT THAN'!$D$12)/ABS(SIN(H146)),MAX(0,(bthan-hthan)*500)*ABS(COS(H146))+SQRT(MAX(0,MAX(1,hthan*500-'KT THAN'!$D$12)^2-MAX(0,(bthan-hthan)*500)^2*SIN(H146)^2))),MIN((bthan*500-'KT THAN'!$D$12)/MAX(0.0000001,ABS(COS(H146))),(hthan*500-'KT THAN'!$D$12)/MAX(0.0000001,ABS(SIN(H146)))))*SIN(H146))</f>
        <v>-700</v>
      </c>
      <c r="K146" s="52">
        <f>IF(G146="",0,'KT THAN'!$D$11/'KT THAN'!$C$11)</f>
        <v>804.24771931898704</v>
      </c>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row>
    <row r="147" spans="1:40" x14ac:dyDescent="0.3">
      <c r="A147" s="52">
        <v>142</v>
      </c>
      <c r="B147" s="52">
        <f>-bthan*500+(41+0.5)*bthan*1000/50</f>
        <v>1815</v>
      </c>
      <c r="C147" s="52">
        <f t="shared" si="83"/>
        <v>-750</v>
      </c>
      <c r="D147" s="52">
        <f t="shared" si="81"/>
        <v>2200</v>
      </c>
      <c r="E147" s="52">
        <f t="shared" si="82"/>
        <v>1</v>
      </c>
      <c r="F147" s="52"/>
      <c r="G147" s="52">
        <f>IF(142&lt;='KT THAN'!$C$11,142,"")</f>
        <v>142</v>
      </c>
      <c r="H147" s="52">
        <f>IF(G147="",0,2*PI()*(G147-0.5)/'KT THAN'!$C$11)</f>
        <v>4.9392817831439526</v>
      </c>
      <c r="I147" s="52">
        <f>IF(G147="",0,IF(shp=1,IF(AND(ABS(SIN(H147))&gt;0.0000001,MAX(1,hthan*500-'KT THAN'!$D$12)*ABS(COS(H147))/ABS(SIN(H147))&lt;=MAX(0,(bthan-hthan)*500)),MAX(1,hthan*500-'KT THAN'!$D$12)/ABS(SIN(H147)),MAX(0,(bthan-hthan)*500)*ABS(COS(H147))+SQRT(MAX(0,MAX(1,hthan*500-'KT THAN'!$D$12)^2-MAX(0,(bthan-hthan)*500)^2*SIN(H147)^2))),MIN((bthan*500-'KT THAN'!$D$12)/MAX(0.0000001,ABS(COS(H147))),(hthan*500-'KT THAN'!$D$12)/MAX(0.0000001,ABS(SIN(H147)))))*COS(H147))</f>
        <v>161.60773378789412</v>
      </c>
      <c r="J147" s="52">
        <f>IF(G147="",0,IF(shp=1,IF(AND(ABS(SIN(H147))&gt;0.0000001,MAX(1,hthan*500-'KT THAN'!$D$12)*ABS(COS(H147))/ABS(SIN(H147))&lt;=MAX(0,(bthan-hthan)*500)),MAX(1,hthan*500-'KT THAN'!$D$12)/ABS(SIN(H147)),MAX(0,(bthan-hthan)*500)*ABS(COS(H147))+SQRT(MAX(0,MAX(1,hthan*500-'KT THAN'!$D$12)^2-MAX(0,(bthan-hthan)*500)^2*SIN(H147)^2))),MIN((bthan*500-'KT THAN'!$D$12)/MAX(0.0000001,ABS(COS(H147))),(hthan*500-'KT THAN'!$D$12)/MAX(0.0000001,ABS(SIN(H147)))))*SIN(H147))</f>
        <v>-700</v>
      </c>
      <c r="K147" s="52">
        <f>IF(G147="",0,'KT THAN'!$D$11/'KT THAN'!$C$11)</f>
        <v>804.24771931898704</v>
      </c>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row>
    <row r="148" spans="1:40" x14ac:dyDescent="0.3">
      <c r="A148" s="52">
        <v>143</v>
      </c>
      <c r="B148" s="52">
        <f>-bthan*500+(42+0.5)*bthan*1000/50</f>
        <v>1925</v>
      </c>
      <c r="C148" s="52">
        <f t="shared" si="83"/>
        <v>-750</v>
      </c>
      <c r="D148" s="52">
        <f t="shared" si="81"/>
        <v>2200</v>
      </c>
      <c r="E148" s="52">
        <f t="shared" si="82"/>
        <v>1</v>
      </c>
      <c r="F148" s="52"/>
      <c r="G148" s="52">
        <f>IF(143&lt;='KT THAN'!$C$11,143,"")</f>
        <v>143</v>
      </c>
      <c r="H148" s="52">
        <f>IF(G148="",0,2*PI()*(G148-0.5)/'KT THAN'!$C$11)</f>
        <v>4.9741883681838397</v>
      </c>
      <c r="I148" s="52">
        <f>IF(G148="",0,IF(shp=1,IF(AND(ABS(SIN(H148))&gt;0.0000001,MAX(1,hthan*500-'KT THAN'!$D$12)*ABS(COS(H148))/ABS(SIN(H148))&lt;=MAX(0,(bthan-hthan)*500)),MAX(1,hthan*500-'KT THAN'!$D$12)/ABS(SIN(H148)),MAX(0,(bthan-hthan)*500)*ABS(COS(H148))+SQRT(MAX(0,MAX(1,hthan*500-'KT THAN'!$D$12)^2-MAX(0,(bthan-hthan)*500)^2*SIN(H148)^2))),MIN((bthan*500-'KT THAN'!$D$12)/MAX(0.0000001,ABS(COS(H148))),(hthan*500-'KT THAN'!$D$12)/MAX(0.0000001,ABS(SIN(H148)))))*COS(H148))</f>
        <v>187.56443470178618</v>
      </c>
      <c r="J148" s="52">
        <f>IF(G148="",0,IF(shp=1,IF(AND(ABS(SIN(H148))&gt;0.0000001,MAX(1,hthan*500-'KT THAN'!$D$12)*ABS(COS(H148))/ABS(SIN(H148))&lt;=MAX(0,(bthan-hthan)*500)),MAX(1,hthan*500-'KT THAN'!$D$12)/ABS(SIN(H148)),MAX(0,(bthan-hthan)*500)*ABS(COS(H148))+SQRT(MAX(0,MAX(1,hthan*500-'KT THAN'!$D$12)^2-MAX(0,(bthan-hthan)*500)^2*SIN(H148)^2))),MIN((bthan*500-'KT THAN'!$D$12)/MAX(0.0000001,ABS(COS(H148))),(hthan*500-'KT THAN'!$D$12)/MAX(0.0000001,ABS(SIN(H148)))))*SIN(H148))</f>
        <v>-700</v>
      </c>
      <c r="K148" s="52">
        <f>IF(G148="",0,'KT THAN'!$D$11/'KT THAN'!$C$11)</f>
        <v>804.24771931898704</v>
      </c>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row>
    <row r="149" spans="1:40" x14ac:dyDescent="0.3">
      <c r="A149" s="52">
        <v>144</v>
      </c>
      <c r="B149" s="52">
        <f>-bthan*500+(43+0.5)*bthan*1000/50</f>
        <v>2035</v>
      </c>
      <c r="C149" s="52">
        <f t="shared" si="83"/>
        <v>-750</v>
      </c>
      <c r="D149" s="52">
        <f t="shared" si="81"/>
        <v>2200</v>
      </c>
      <c r="E149" s="52">
        <f t="shared" si="82"/>
        <v>1</v>
      </c>
      <c r="F149" s="52"/>
      <c r="G149" s="52">
        <f>IF(144&lt;='KT THAN'!$C$11,144,"")</f>
        <v>144</v>
      </c>
      <c r="H149" s="52">
        <f>IF(G149="",0,2*PI()*(G149-0.5)/'KT THAN'!$C$11)</f>
        <v>5.0090949532237259</v>
      </c>
      <c r="I149" s="52">
        <f>IF(G149="",0,IF(shp=1,IF(AND(ABS(SIN(H149))&gt;0.0000001,MAX(1,hthan*500-'KT THAN'!$D$12)*ABS(COS(H149))/ABS(SIN(H149))&lt;=MAX(0,(bthan-hthan)*500)),MAX(1,hthan*500-'KT THAN'!$D$12)/ABS(SIN(H149)),MAX(0,(bthan-hthan)*500)*ABS(COS(H149))+SQRT(MAX(0,MAX(1,hthan*500-'KT THAN'!$D$12)^2-MAX(0,(bthan-hthan)*500)^2*SIN(H149)^2))),MIN((bthan*500-'KT THAN'!$D$12)/MAX(0.0000001,ABS(COS(H149))),(hthan*500-'KT THAN'!$D$12)/MAX(0.0000001,ABS(SIN(H149)))))*COS(H149))</f>
        <v>214.01147702106223</v>
      </c>
      <c r="J149" s="52">
        <f>IF(G149="",0,IF(shp=1,IF(AND(ABS(SIN(H149))&gt;0.0000001,MAX(1,hthan*500-'KT THAN'!$D$12)*ABS(COS(H149))/ABS(SIN(H149))&lt;=MAX(0,(bthan-hthan)*500)),MAX(1,hthan*500-'KT THAN'!$D$12)/ABS(SIN(H149)),MAX(0,(bthan-hthan)*500)*ABS(COS(H149))+SQRT(MAX(0,MAX(1,hthan*500-'KT THAN'!$D$12)^2-MAX(0,(bthan-hthan)*500)^2*SIN(H149)^2))),MIN((bthan*500-'KT THAN'!$D$12)/MAX(0.0000001,ABS(COS(H149))),(hthan*500-'KT THAN'!$D$12)/MAX(0.0000001,ABS(SIN(H149)))))*SIN(H149))</f>
        <v>-700</v>
      </c>
      <c r="K149" s="52">
        <f>IF(G149="",0,'KT THAN'!$D$11/'KT THAN'!$C$11)</f>
        <v>804.24771931898704</v>
      </c>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row>
    <row r="150" spans="1:40" x14ac:dyDescent="0.3">
      <c r="A150" s="52">
        <v>145</v>
      </c>
      <c r="B150" s="52">
        <f>-bthan*500+(44+0.5)*bthan*1000/50</f>
        <v>2145</v>
      </c>
      <c r="C150" s="52">
        <f t="shared" si="83"/>
        <v>-750</v>
      </c>
      <c r="D150" s="52">
        <f t="shared" si="81"/>
        <v>2200</v>
      </c>
      <c r="E150" s="52">
        <f t="shared" si="82"/>
        <v>1</v>
      </c>
      <c r="F150" s="52"/>
      <c r="G150" s="52">
        <f>IF(145&lt;='KT THAN'!$C$11,145,"")</f>
        <v>145</v>
      </c>
      <c r="H150" s="52">
        <f>IF(G150="",0,2*PI()*(G150-0.5)/'KT THAN'!$C$11)</f>
        <v>5.0440015382636121</v>
      </c>
      <c r="I150" s="52">
        <f>IF(G150="",0,IF(shp=1,IF(AND(ABS(SIN(H150))&gt;0.0000001,MAX(1,hthan*500-'KT THAN'!$D$12)*ABS(COS(H150))/ABS(SIN(H150))&lt;=MAX(0,(bthan-hthan)*500)),MAX(1,hthan*500-'KT THAN'!$D$12)/ABS(SIN(H150)),MAX(0,(bthan-hthan)*500)*ABS(COS(H150))+SQRT(MAX(0,MAX(1,hthan*500-'KT THAN'!$D$12)^2-MAX(0,(bthan-hthan)*500)^2*SIN(H150)^2))),MIN((bthan*500-'KT THAN'!$D$12)/MAX(0.0000001,ABS(COS(H150))),(hthan*500-'KT THAN'!$D$12)/MAX(0.0000001,ABS(SIN(H150)))))*COS(H150))</f>
        <v>241.02932930276538</v>
      </c>
      <c r="J150" s="52">
        <f>IF(G150="",0,IF(shp=1,IF(AND(ABS(SIN(H150))&gt;0.0000001,MAX(1,hthan*500-'KT THAN'!$D$12)*ABS(COS(H150))/ABS(SIN(H150))&lt;=MAX(0,(bthan-hthan)*500)),MAX(1,hthan*500-'KT THAN'!$D$12)/ABS(SIN(H150)),MAX(0,(bthan-hthan)*500)*ABS(COS(H150))+SQRT(MAX(0,MAX(1,hthan*500-'KT THAN'!$D$12)^2-MAX(0,(bthan-hthan)*500)^2*SIN(H150)^2))),MIN((bthan*500-'KT THAN'!$D$12)/MAX(0.0000001,ABS(COS(H150))),(hthan*500-'KT THAN'!$D$12)/MAX(0.0000001,ABS(SIN(H150)))))*SIN(H150))</f>
        <v>-700</v>
      </c>
      <c r="K150" s="52">
        <f>IF(G150="",0,'KT THAN'!$D$11/'KT THAN'!$C$11)</f>
        <v>804.24771931898704</v>
      </c>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row>
    <row r="151" spans="1:40" x14ac:dyDescent="0.3">
      <c r="A151" s="52">
        <v>146</v>
      </c>
      <c r="B151" s="52">
        <f>-bthan*500+(45+0.5)*bthan*1000/50</f>
        <v>2255</v>
      </c>
      <c r="C151" s="52">
        <f t="shared" si="83"/>
        <v>-750</v>
      </c>
      <c r="D151" s="52">
        <f t="shared" si="81"/>
        <v>2200</v>
      </c>
      <c r="E151" s="52">
        <f t="shared" si="82"/>
        <v>0</v>
      </c>
      <c r="F151" s="52"/>
      <c r="G151" s="52">
        <f>IF(146&lt;='KT THAN'!$C$11,146,"")</f>
        <v>146</v>
      </c>
      <c r="H151" s="52">
        <f>IF(G151="",0,2*PI()*(G151-0.5)/'KT THAN'!$C$11)</f>
        <v>5.0789081233034983</v>
      </c>
      <c r="I151" s="52">
        <f>IF(G151="",0,IF(shp=1,IF(AND(ABS(SIN(H151))&gt;0.0000001,MAX(1,hthan*500-'KT THAN'!$D$12)*ABS(COS(H151))/ABS(SIN(H151))&lt;=MAX(0,(bthan-hthan)*500)),MAX(1,hthan*500-'KT THAN'!$D$12)/ABS(SIN(H151)),MAX(0,(bthan-hthan)*500)*ABS(COS(H151))+SQRT(MAX(0,MAX(1,hthan*500-'KT THAN'!$D$12)^2-MAX(0,(bthan-hthan)*500)^2*SIN(H151)^2))),MIN((bthan*500-'KT THAN'!$D$12)/MAX(0.0000001,ABS(COS(H151))),(hthan*500-'KT THAN'!$D$12)/MAX(0.0000001,ABS(SIN(H151)))))*COS(H151))</f>
        <v>268.70482452479041</v>
      </c>
      <c r="J151" s="52">
        <f>IF(G151="",0,IF(shp=1,IF(AND(ABS(SIN(H151))&gt;0.0000001,MAX(1,hthan*500-'KT THAN'!$D$12)*ABS(COS(H151))/ABS(SIN(H151))&lt;=MAX(0,(bthan-hthan)*500)),MAX(1,hthan*500-'KT THAN'!$D$12)/ABS(SIN(H151)),MAX(0,(bthan-hthan)*500)*ABS(COS(H151))+SQRT(MAX(0,MAX(1,hthan*500-'KT THAN'!$D$12)^2-MAX(0,(bthan-hthan)*500)^2*SIN(H151)^2))),MIN((bthan*500-'KT THAN'!$D$12)/MAX(0.0000001,ABS(COS(H151))),(hthan*500-'KT THAN'!$D$12)/MAX(0.0000001,ABS(SIN(H151)))))*SIN(H151))</f>
        <v>-700</v>
      </c>
      <c r="K151" s="52">
        <f>IF(G151="",0,'KT THAN'!$D$11/'KT THAN'!$C$11)</f>
        <v>804.24771931898704</v>
      </c>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row>
    <row r="152" spans="1:40" x14ac:dyDescent="0.3">
      <c r="A152" s="52">
        <v>147</v>
      </c>
      <c r="B152" s="52">
        <f>-bthan*500+(46+0.5)*bthan*1000/50</f>
        <v>2365</v>
      </c>
      <c r="C152" s="52">
        <f t="shared" si="83"/>
        <v>-750</v>
      </c>
      <c r="D152" s="52">
        <f t="shared" si="81"/>
        <v>2200</v>
      </c>
      <c r="E152" s="52">
        <f t="shared" si="82"/>
        <v>0</v>
      </c>
      <c r="F152" s="52"/>
      <c r="G152" s="52">
        <f>IF(147&lt;='KT THAN'!$C$11,147,"")</f>
        <v>147</v>
      </c>
      <c r="H152" s="52">
        <f>IF(G152="",0,2*PI()*(G152-0.5)/'KT THAN'!$C$11)</f>
        <v>5.1138147083433854</v>
      </c>
      <c r="I152" s="52">
        <f>IF(G152="",0,IF(shp=1,IF(AND(ABS(SIN(H152))&gt;0.0000001,MAX(1,hthan*500-'KT THAN'!$D$12)*ABS(COS(H152))/ABS(SIN(H152))&lt;=MAX(0,(bthan-hthan)*500)),MAX(1,hthan*500-'KT THAN'!$D$12)/ABS(SIN(H152)),MAX(0,(bthan-hthan)*500)*ABS(COS(H152))+SQRT(MAX(0,MAX(1,hthan*500-'KT THAN'!$D$12)^2-MAX(0,(bthan-hthan)*500)^2*SIN(H152)^2))),MIN((bthan*500-'KT THAN'!$D$12)/MAX(0.0000001,ABS(COS(H152))),(hthan*500-'KT THAN'!$D$12)/MAX(0.0000001,ABS(SIN(H152)))))*COS(H152))</f>
        <v>297.13237134672306</v>
      </c>
      <c r="J152" s="52">
        <f>IF(G152="",0,IF(shp=1,IF(AND(ABS(SIN(H152))&gt;0.0000001,MAX(1,hthan*500-'KT THAN'!$D$12)*ABS(COS(H152))/ABS(SIN(H152))&lt;=MAX(0,(bthan-hthan)*500)),MAX(1,hthan*500-'KT THAN'!$D$12)/ABS(SIN(H152)),MAX(0,(bthan-hthan)*500)*ABS(COS(H152))+SQRT(MAX(0,MAX(1,hthan*500-'KT THAN'!$D$12)^2-MAX(0,(bthan-hthan)*500)^2*SIN(H152)^2))),MIN((bthan*500-'KT THAN'!$D$12)/MAX(0.0000001,ABS(COS(H152))),(hthan*500-'KT THAN'!$D$12)/MAX(0.0000001,ABS(SIN(H152)))))*SIN(H152))</f>
        <v>-700</v>
      </c>
      <c r="K152" s="52">
        <f>IF(G152="",0,'KT THAN'!$D$11/'KT THAN'!$C$11)</f>
        <v>804.24771931898704</v>
      </c>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row>
    <row r="153" spans="1:40" x14ac:dyDescent="0.3">
      <c r="A153" s="52">
        <v>148</v>
      </c>
      <c r="B153" s="52">
        <f>-bthan*500+(47+0.5)*bthan*1000/50</f>
        <v>2475</v>
      </c>
      <c r="C153" s="52">
        <f t="shared" si="83"/>
        <v>-750</v>
      </c>
      <c r="D153" s="52">
        <f t="shared" si="81"/>
        <v>2200</v>
      </c>
      <c r="E153" s="52">
        <f t="shared" si="82"/>
        <v>0</v>
      </c>
      <c r="F153" s="52"/>
      <c r="G153" s="52">
        <f>IF(148&lt;='KT THAN'!$C$11,148,"")</f>
        <v>148</v>
      </c>
      <c r="H153" s="52">
        <f>IF(G153="",0,2*PI()*(G153-0.5)/'KT THAN'!$C$11)</f>
        <v>5.1487212933832724</v>
      </c>
      <c r="I153" s="52">
        <f>IF(G153="",0,IF(shp=1,IF(AND(ABS(SIN(H153))&gt;0.0000001,MAX(1,hthan*500-'KT THAN'!$D$12)*ABS(COS(H153))/ABS(SIN(H153))&lt;=MAX(0,(bthan-hthan)*500)),MAX(1,hthan*500-'KT THAN'!$D$12)/ABS(SIN(H153)),MAX(0,(bthan-hthan)*500)*ABS(COS(H153))+SQRT(MAX(0,MAX(1,hthan*500-'KT THAN'!$D$12)^2-MAX(0,(bthan-hthan)*500)^2*SIN(H153)^2))),MIN((bthan*500-'KT THAN'!$D$12)/MAX(0.0000001,ABS(COS(H153))),(hthan*500-'KT THAN'!$D$12)/MAX(0.0000001,ABS(SIN(H153)))))*COS(H153))</f>
        <v>326.41536070849918</v>
      </c>
      <c r="J153" s="52">
        <f>IF(G153="",0,IF(shp=1,IF(AND(ABS(SIN(H153))&gt;0.0000001,MAX(1,hthan*500-'KT THAN'!$D$12)*ABS(COS(H153))/ABS(SIN(H153))&lt;=MAX(0,(bthan-hthan)*500)),MAX(1,hthan*500-'KT THAN'!$D$12)/ABS(SIN(H153)),MAX(0,(bthan-hthan)*500)*ABS(COS(H153))+SQRT(MAX(0,MAX(1,hthan*500-'KT THAN'!$D$12)^2-MAX(0,(bthan-hthan)*500)^2*SIN(H153)^2))),MIN((bthan*500-'KT THAN'!$D$12)/MAX(0.0000001,ABS(COS(H153))),(hthan*500-'KT THAN'!$D$12)/MAX(0.0000001,ABS(SIN(H153)))))*SIN(H153))</f>
        <v>-700</v>
      </c>
      <c r="K153" s="52">
        <f>IF(G153="",0,'KT THAN'!$D$11/'KT THAN'!$C$11)</f>
        <v>804.24771931898704</v>
      </c>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row>
    <row r="154" spans="1:40" x14ac:dyDescent="0.3">
      <c r="A154" s="52">
        <v>149</v>
      </c>
      <c r="B154" s="52">
        <f>-bthan*500+(48+0.5)*bthan*1000/50</f>
        <v>2585</v>
      </c>
      <c r="C154" s="52">
        <f t="shared" si="83"/>
        <v>-750</v>
      </c>
      <c r="D154" s="52">
        <f t="shared" si="81"/>
        <v>2200</v>
      </c>
      <c r="E154" s="52">
        <f t="shared" si="82"/>
        <v>0</v>
      </c>
      <c r="F154" s="52"/>
      <c r="G154" s="52">
        <f>IF(149&lt;='KT THAN'!$C$11,149,"")</f>
        <v>149</v>
      </c>
      <c r="H154" s="52">
        <f>IF(G154="",0,2*PI()*(G154-0.5)/'KT THAN'!$C$11)</f>
        <v>5.1836278784231586</v>
      </c>
      <c r="I154" s="52">
        <f>IF(G154="",0,IF(shp=1,IF(AND(ABS(SIN(H154))&gt;0.0000001,MAX(1,hthan*500-'KT THAN'!$D$12)*ABS(COS(H154))/ABS(SIN(H154))&lt;=MAX(0,(bthan-hthan)*500)),MAX(1,hthan*500-'KT THAN'!$D$12)/ABS(SIN(H154)),MAX(0,(bthan-hthan)*500)*ABS(COS(H154))+SQRT(MAX(0,MAX(1,hthan*500-'KT THAN'!$D$12)^2-MAX(0,(bthan-hthan)*500)^2*SIN(H154)^2))),MIN((bthan*500-'KT THAN'!$D$12)/MAX(0.0000001,ABS(COS(H154))),(hthan*500-'KT THAN'!$D$12)/MAX(0.0000001,ABS(SIN(H154)))))*COS(H154))</f>
        <v>356.66781464610006</v>
      </c>
      <c r="J154" s="52">
        <f>IF(G154="",0,IF(shp=1,IF(AND(ABS(SIN(H154))&gt;0.0000001,MAX(1,hthan*500-'KT THAN'!$D$12)*ABS(COS(H154))/ABS(SIN(H154))&lt;=MAX(0,(bthan-hthan)*500)),MAX(1,hthan*500-'KT THAN'!$D$12)/ABS(SIN(H154)),MAX(0,(bthan-hthan)*500)*ABS(COS(H154))+SQRT(MAX(0,MAX(1,hthan*500-'KT THAN'!$D$12)^2-MAX(0,(bthan-hthan)*500)^2*SIN(H154)^2))),MIN((bthan*500-'KT THAN'!$D$12)/MAX(0.0000001,ABS(COS(H154))),(hthan*500-'KT THAN'!$D$12)/MAX(0.0000001,ABS(SIN(H154)))))*SIN(H154))</f>
        <v>-700</v>
      </c>
      <c r="K154" s="52">
        <f>IF(G154="",0,'KT THAN'!$D$11/'KT THAN'!$C$11)</f>
        <v>804.24771931898704</v>
      </c>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row>
    <row r="155" spans="1:40" x14ac:dyDescent="0.3">
      <c r="A155" s="52">
        <v>150</v>
      </c>
      <c r="B155" s="52">
        <f>-bthan*500+(49+0.5)*bthan*1000/50</f>
        <v>2695</v>
      </c>
      <c r="C155" s="52">
        <f t="shared" si="83"/>
        <v>-750</v>
      </c>
      <c r="D155" s="52">
        <f t="shared" si="81"/>
        <v>2200</v>
      </c>
      <c r="E155" s="52">
        <f t="shared" si="82"/>
        <v>0</v>
      </c>
      <c r="F155" s="52"/>
      <c r="G155" s="52">
        <f>IF(150&lt;='KT THAN'!$C$11,150,"")</f>
        <v>150</v>
      </c>
      <c r="H155" s="52">
        <f>IF(G155="",0,2*PI()*(G155-0.5)/'KT THAN'!$C$11)</f>
        <v>5.2185344634630448</v>
      </c>
      <c r="I155" s="52">
        <f>IF(G155="",0,IF(shp=1,IF(AND(ABS(SIN(H155))&gt;0.0000001,MAX(1,hthan*500-'KT THAN'!$D$12)*ABS(COS(H155))/ABS(SIN(H155))&lt;=MAX(0,(bthan-hthan)*500)),MAX(1,hthan*500-'KT THAN'!$D$12)/ABS(SIN(H155)),MAX(0,(bthan-hthan)*500)*ABS(COS(H155))+SQRT(MAX(0,MAX(1,hthan*500-'KT THAN'!$D$12)^2-MAX(0,(bthan-hthan)*500)^2*SIN(H155)^2))),MIN((bthan*500-'KT THAN'!$D$12)/MAX(0.0000001,ABS(COS(H155))),(hthan*500-'KT THAN'!$D$12)/MAX(0.0000001,ABS(SIN(H155)))))*COS(H155))</f>
        <v>388.01633601693771</v>
      </c>
      <c r="J155" s="52">
        <f>IF(G155="",0,IF(shp=1,IF(AND(ABS(SIN(H155))&gt;0.0000001,MAX(1,hthan*500-'KT THAN'!$D$12)*ABS(COS(H155))/ABS(SIN(H155))&lt;=MAX(0,(bthan-hthan)*500)),MAX(1,hthan*500-'KT THAN'!$D$12)/ABS(SIN(H155)),MAX(0,(bthan-hthan)*500)*ABS(COS(H155))+SQRT(MAX(0,MAX(1,hthan*500-'KT THAN'!$D$12)^2-MAX(0,(bthan-hthan)*500)^2*SIN(H155)^2))),MIN((bthan*500-'KT THAN'!$D$12)/MAX(0.0000001,ABS(COS(H155))),(hthan*500-'KT THAN'!$D$12)/MAX(0.0000001,ABS(SIN(H155)))))*SIN(H155))</f>
        <v>-700</v>
      </c>
      <c r="K155" s="52">
        <f>IF(G155="",0,'KT THAN'!$D$11/'KT THAN'!$C$11)</f>
        <v>804.24771931898704</v>
      </c>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row>
    <row r="156" spans="1:40" x14ac:dyDescent="0.3">
      <c r="A156" s="52">
        <v>151</v>
      </c>
      <c r="B156" s="52">
        <f>-bthan*500+(0+0.5)*bthan*1000/50</f>
        <v>-2695</v>
      </c>
      <c r="C156" s="52">
        <f t="shared" ref="C156:C187" si="84">-hthan*500+(3+0.5)*hthan*1000/80</f>
        <v>-730</v>
      </c>
      <c r="D156" s="52">
        <f t="shared" si="81"/>
        <v>2200</v>
      </c>
      <c r="E156" s="52">
        <f t="shared" si="82"/>
        <v>0</v>
      </c>
      <c r="F156" s="52"/>
      <c r="G156" s="52">
        <f>IF(151&lt;='KT THAN'!$C$11,151,"")</f>
        <v>151</v>
      </c>
      <c r="H156" s="52">
        <f>IF(G156="",0,2*PI()*(G156-0.5)/'KT THAN'!$C$11)</f>
        <v>5.2534410485029319</v>
      </c>
      <c r="I156" s="52">
        <f>IF(G156="",0,IF(shp=1,IF(AND(ABS(SIN(H156))&gt;0.0000001,MAX(1,hthan*500-'KT THAN'!$D$12)*ABS(COS(H156))/ABS(SIN(H156))&lt;=MAX(0,(bthan-hthan)*500)),MAX(1,hthan*500-'KT THAN'!$D$12)/ABS(SIN(H156)),MAX(0,(bthan-hthan)*500)*ABS(COS(H156))+SQRT(MAX(0,MAX(1,hthan*500-'KT THAN'!$D$12)^2-MAX(0,(bthan-hthan)*500)^2*SIN(H156)^2))),MIN((bthan*500-'KT THAN'!$D$12)/MAX(0.0000001,ABS(COS(H156))),(hthan*500-'KT THAN'!$D$12)/MAX(0.0000001,ABS(SIN(H156)))))*COS(H156))</f>
        <v>420.60243331929217</v>
      </c>
      <c r="J156" s="52">
        <f>IF(G156="",0,IF(shp=1,IF(AND(ABS(SIN(H156))&gt;0.0000001,MAX(1,hthan*500-'KT THAN'!$D$12)*ABS(COS(H156))/ABS(SIN(H156))&lt;=MAX(0,(bthan-hthan)*500)),MAX(1,hthan*500-'KT THAN'!$D$12)/ABS(SIN(H156)),MAX(0,(bthan-hthan)*500)*ABS(COS(H156))+SQRT(MAX(0,MAX(1,hthan*500-'KT THAN'!$D$12)^2-MAX(0,(bthan-hthan)*500)^2*SIN(H156)^2))),MIN((bthan*500-'KT THAN'!$D$12)/MAX(0.0000001,ABS(COS(H156))),(hthan*500-'KT THAN'!$D$12)/MAX(0.0000001,ABS(SIN(H156)))))*SIN(H156))</f>
        <v>-700</v>
      </c>
      <c r="K156" s="52">
        <f>IF(G156="",0,'KT THAN'!$D$11/'KT THAN'!$C$11)</f>
        <v>804.24771931898704</v>
      </c>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row>
    <row r="157" spans="1:40" x14ac:dyDescent="0.3">
      <c r="A157" s="52">
        <v>152</v>
      </c>
      <c r="B157" s="52">
        <f>-bthan*500+(1+0.5)*bthan*1000/50</f>
        <v>-2585</v>
      </c>
      <c r="C157" s="52">
        <f t="shared" si="84"/>
        <v>-730</v>
      </c>
      <c r="D157" s="52">
        <f t="shared" si="81"/>
        <v>2200</v>
      </c>
      <c r="E157" s="52">
        <f t="shared" si="82"/>
        <v>0</v>
      </c>
      <c r="F157" s="52"/>
      <c r="G157" s="52">
        <f>IF(152&lt;='KT THAN'!$C$11,152,"")</f>
        <v>152</v>
      </c>
      <c r="H157" s="52">
        <f>IF(G157="",0,2*PI()*(G157-0.5)/'KT THAN'!$C$11)</f>
        <v>5.2883476335428181</v>
      </c>
      <c r="I157" s="52">
        <f>IF(G157="",0,IF(shp=1,IF(AND(ABS(SIN(H157))&gt;0.0000001,MAX(1,hthan*500-'KT THAN'!$D$12)*ABS(COS(H157))/ABS(SIN(H157))&lt;=MAX(0,(bthan-hthan)*500)),MAX(1,hthan*500-'KT THAN'!$D$12)/ABS(SIN(H157)),MAX(0,(bthan-hthan)*500)*ABS(COS(H157))+SQRT(MAX(0,MAX(1,hthan*500-'KT THAN'!$D$12)^2-MAX(0,(bthan-hthan)*500)^2*SIN(H157)^2))),MIN((bthan*500-'KT THAN'!$D$12)/MAX(0.0000001,ABS(COS(H157))),(hthan*500-'KT THAN'!$D$12)/MAX(0.0000001,ABS(SIN(H157)))))*COS(H157))</f>
        <v>454.5853152382569</v>
      </c>
      <c r="J157" s="52">
        <f>IF(G157="",0,IF(shp=1,IF(AND(ABS(SIN(H157))&gt;0.0000001,MAX(1,hthan*500-'KT THAN'!$D$12)*ABS(COS(H157))/ABS(SIN(H157))&lt;=MAX(0,(bthan-hthan)*500)),MAX(1,hthan*500-'KT THAN'!$D$12)/ABS(SIN(H157)),MAX(0,(bthan-hthan)*500)*ABS(COS(H157))+SQRT(MAX(0,MAX(1,hthan*500-'KT THAN'!$D$12)^2-MAX(0,(bthan-hthan)*500)^2*SIN(H157)^2))),MIN((bthan*500-'KT THAN'!$D$12)/MAX(0.0000001,ABS(COS(H157))),(hthan*500-'KT THAN'!$D$12)/MAX(0.0000001,ABS(SIN(H157)))))*SIN(H157))</f>
        <v>-700</v>
      </c>
      <c r="K157" s="52">
        <f>IF(G157="",0,'KT THAN'!$D$11/'KT THAN'!$C$11)</f>
        <v>804.24771931898704</v>
      </c>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row>
    <row r="158" spans="1:40" x14ac:dyDescent="0.3">
      <c r="A158" s="52">
        <v>153</v>
      </c>
      <c r="B158" s="52">
        <f>-bthan*500+(2+0.5)*bthan*1000/50</f>
        <v>-2475</v>
      </c>
      <c r="C158" s="52">
        <f t="shared" si="84"/>
        <v>-730</v>
      </c>
      <c r="D158" s="52">
        <f t="shared" si="81"/>
        <v>2200</v>
      </c>
      <c r="E158" s="52">
        <f t="shared" si="82"/>
        <v>0</v>
      </c>
      <c r="F158" s="52"/>
      <c r="G158" s="52">
        <f>IF(153&lt;='KT THAN'!$C$11,153,"")</f>
        <v>153</v>
      </c>
      <c r="H158" s="52">
        <f>IF(G158="",0,2*PI()*(G158-0.5)/'KT THAN'!$C$11)</f>
        <v>5.3232542185827052</v>
      </c>
      <c r="I158" s="52">
        <f>IF(G158="",0,IF(shp=1,IF(AND(ABS(SIN(H158))&gt;0.0000001,MAX(1,hthan*500-'KT THAN'!$D$12)*ABS(COS(H158))/ABS(SIN(H158))&lt;=MAX(0,(bthan-hthan)*500)),MAX(1,hthan*500-'KT THAN'!$D$12)/ABS(SIN(H158)),MAX(0,(bthan-hthan)*500)*ABS(COS(H158))+SQRT(MAX(0,MAX(1,hthan*500-'KT THAN'!$D$12)^2-MAX(0,(bthan-hthan)*500)^2*SIN(H158)^2))),MIN((bthan*500-'KT THAN'!$D$12)/MAX(0.0000001,ABS(COS(H158))),(hthan*500-'KT THAN'!$D$12)/MAX(0.0000001,ABS(SIN(H158)))))*COS(H158))</f>
        <v>490.14527674679681</v>
      </c>
      <c r="J158" s="52">
        <f>IF(G158="",0,IF(shp=1,IF(AND(ABS(SIN(H158))&gt;0.0000001,MAX(1,hthan*500-'KT THAN'!$D$12)*ABS(COS(H158))/ABS(SIN(H158))&lt;=MAX(0,(bthan-hthan)*500)),MAX(1,hthan*500-'KT THAN'!$D$12)/ABS(SIN(H158)),MAX(0,(bthan-hthan)*500)*ABS(COS(H158))+SQRT(MAX(0,MAX(1,hthan*500-'KT THAN'!$D$12)^2-MAX(0,(bthan-hthan)*500)^2*SIN(H158)^2))),MIN((bthan*500-'KT THAN'!$D$12)/MAX(0.0000001,ABS(COS(H158))),(hthan*500-'KT THAN'!$D$12)/MAX(0.0000001,ABS(SIN(H158)))))*SIN(H158))</f>
        <v>-700</v>
      </c>
      <c r="K158" s="52">
        <f>IF(G158="",0,'KT THAN'!$D$11/'KT THAN'!$C$11)</f>
        <v>804.24771931898704</v>
      </c>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row>
    <row r="159" spans="1:40" x14ac:dyDescent="0.3">
      <c r="A159" s="52">
        <v>154</v>
      </c>
      <c r="B159" s="52">
        <f>-bthan*500+(3+0.5)*bthan*1000/50</f>
        <v>-2365</v>
      </c>
      <c r="C159" s="52">
        <f t="shared" si="84"/>
        <v>-730</v>
      </c>
      <c r="D159" s="52">
        <f t="shared" si="81"/>
        <v>2200</v>
      </c>
      <c r="E159" s="52">
        <f t="shared" si="82"/>
        <v>0</v>
      </c>
      <c r="F159" s="52"/>
      <c r="G159" s="52">
        <f>IF(154&lt;='KT THAN'!$C$11,154,"")</f>
        <v>154</v>
      </c>
      <c r="H159" s="52">
        <f>IF(G159="",0,2*PI()*(G159-0.5)/'KT THAN'!$C$11)</f>
        <v>5.3581608036225914</v>
      </c>
      <c r="I159" s="52">
        <f>IF(G159="",0,IF(shp=1,IF(AND(ABS(SIN(H159))&gt;0.0000001,MAX(1,hthan*500-'KT THAN'!$D$12)*ABS(COS(H159))/ABS(SIN(H159))&lt;=MAX(0,(bthan-hthan)*500)),MAX(1,hthan*500-'KT THAN'!$D$12)/ABS(SIN(H159)),MAX(0,(bthan-hthan)*500)*ABS(COS(H159))+SQRT(MAX(0,MAX(1,hthan*500-'KT THAN'!$D$12)^2-MAX(0,(bthan-hthan)*500)^2*SIN(H159)^2))),MIN((bthan*500-'KT THAN'!$D$12)/MAX(0.0000001,ABS(COS(H159))),(hthan*500-'KT THAN'!$D$12)/MAX(0.0000001,ABS(SIN(H159)))))*COS(H159))</f>
        <v>527.48783507195549</v>
      </c>
      <c r="J159" s="52">
        <f>IF(G159="",0,IF(shp=1,IF(AND(ABS(SIN(H159))&gt;0.0000001,MAX(1,hthan*500-'KT THAN'!$D$12)*ABS(COS(H159))/ABS(SIN(H159))&lt;=MAX(0,(bthan-hthan)*500)),MAX(1,hthan*500-'KT THAN'!$D$12)/ABS(SIN(H159)),MAX(0,(bthan-hthan)*500)*ABS(COS(H159))+SQRT(MAX(0,MAX(1,hthan*500-'KT THAN'!$D$12)^2-MAX(0,(bthan-hthan)*500)^2*SIN(H159)^2))),MIN((bthan*500-'KT THAN'!$D$12)/MAX(0.0000001,ABS(COS(H159))),(hthan*500-'KT THAN'!$D$12)/MAX(0.0000001,ABS(SIN(H159)))))*SIN(H159))</f>
        <v>-700</v>
      </c>
      <c r="K159" s="52">
        <f>IF(G159="",0,'KT THAN'!$D$11/'KT THAN'!$C$11)</f>
        <v>804.24771931898704</v>
      </c>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row>
    <row r="160" spans="1:40" x14ac:dyDescent="0.3">
      <c r="A160" s="52">
        <v>155</v>
      </c>
      <c r="B160" s="52">
        <f>-bthan*500+(4+0.5)*bthan*1000/50</f>
        <v>-2255</v>
      </c>
      <c r="C160" s="52">
        <f t="shared" si="84"/>
        <v>-730</v>
      </c>
      <c r="D160" s="52">
        <f t="shared" si="81"/>
        <v>2200</v>
      </c>
      <c r="E160" s="52">
        <f t="shared" si="82"/>
        <v>1</v>
      </c>
      <c r="F160" s="52"/>
      <c r="G160" s="52">
        <f>IF(155&lt;='KT THAN'!$C$11,155,"")</f>
        <v>155</v>
      </c>
      <c r="H160" s="52">
        <f>IF(G160="",0,2*PI()*(G160-0.5)/'KT THAN'!$C$11)</f>
        <v>5.3930673886624785</v>
      </c>
      <c r="I160" s="52">
        <f>IF(G160="",0,IF(shp=1,IF(AND(ABS(SIN(H160))&gt;0.0000001,MAX(1,hthan*500-'KT THAN'!$D$12)*ABS(COS(H160))/ABS(SIN(H160))&lt;=MAX(0,(bthan-hthan)*500)),MAX(1,hthan*500-'KT THAN'!$D$12)/ABS(SIN(H160)),MAX(0,(bthan-hthan)*500)*ABS(COS(H160))+SQRT(MAX(0,MAX(1,hthan*500-'KT THAN'!$D$12)^2-MAX(0,(bthan-hthan)*500)^2*SIN(H160)^2))),MIN((bthan*500-'KT THAN'!$D$12)/MAX(0.0000001,ABS(COS(H160))),(hthan*500-'KT THAN'!$D$12)/MAX(0.0000001,ABS(SIN(H160)))))*COS(H160))</f>
        <v>566.84882323650515</v>
      </c>
      <c r="J160" s="52">
        <f>IF(G160="",0,IF(shp=1,IF(AND(ABS(SIN(H160))&gt;0.0000001,MAX(1,hthan*500-'KT THAN'!$D$12)*ABS(COS(H160))/ABS(SIN(H160))&lt;=MAX(0,(bthan-hthan)*500)),MAX(1,hthan*500-'KT THAN'!$D$12)/ABS(SIN(H160)),MAX(0,(bthan-hthan)*500)*ABS(COS(H160))+SQRT(MAX(0,MAX(1,hthan*500-'KT THAN'!$D$12)^2-MAX(0,(bthan-hthan)*500)^2*SIN(H160)^2))),MIN((bthan*500-'KT THAN'!$D$12)/MAX(0.0000001,ABS(COS(H160))),(hthan*500-'KT THAN'!$D$12)/MAX(0.0000001,ABS(SIN(H160)))))*SIN(H160))</f>
        <v>-700</v>
      </c>
      <c r="K160" s="52">
        <f>IF(G160="",0,'KT THAN'!$D$11/'KT THAN'!$C$11)</f>
        <v>804.24771931898704</v>
      </c>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row>
    <row r="161" spans="1:40" x14ac:dyDescent="0.3">
      <c r="A161" s="52">
        <v>156</v>
      </c>
      <c r="B161" s="52">
        <f>-bthan*500+(5+0.5)*bthan*1000/50</f>
        <v>-2145</v>
      </c>
      <c r="C161" s="52">
        <f t="shared" si="84"/>
        <v>-730</v>
      </c>
      <c r="D161" s="52">
        <f t="shared" si="81"/>
        <v>2200</v>
      </c>
      <c r="E161" s="52">
        <f t="shared" si="82"/>
        <v>1</v>
      </c>
      <c r="F161" s="52"/>
      <c r="G161" s="52">
        <f>IF(156&lt;='KT THAN'!$C$11,156,"")</f>
        <v>156</v>
      </c>
      <c r="H161" s="52">
        <f>IF(G161="",0,2*PI()*(G161-0.5)/'KT THAN'!$C$11)</f>
        <v>5.4279739737023647</v>
      </c>
      <c r="I161" s="52">
        <f>IF(G161="",0,IF(shp=1,IF(AND(ABS(SIN(H161))&gt;0.0000001,MAX(1,hthan*500-'KT THAN'!$D$12)*ABS(COS(H161))/ABS(SIN(H161))&lt;=MAX(0,(bthan-hthan)*500)),MAX(1,hthan*500-'KT THAN'!$D$12)/ABS(SIN(H161)),MAX(0,(bthan-hthan)*500)*ABS(COS(H161))+SQRT(MAX(0,MAX(1,hthan*500-'KT THAN'!$D$12)^2-MAX(0,(bthan-hthan)*500)^2*SIN(H161)^2))),MIN((bthan*500-'KT THAN'!$D$12)/MAX(0.0000001,ABS(COS(H161))),(hthan*500-'KT THAN'!$D$12)/MAX(0.0000001,ABS(SIN(H161)))))*COS(H161))</f>
        <v>608.50071647135826</v>
      </c>
      <c r="J161" s="52">
        <f>IF(G161="",0,IF(shp=1,IF(AND(ABS(SIN(H161))&gt;0.0000001,MAX(1,hthan*500-'KT THAN'!$D$12)*ABS(COS(H161))/ABS(SIN(H161))&lt;=MAX(0,(bthan-hthan)*500)),MAX(1,hthan*500-'KT THAN'!$D$12)/ABS(SIN(H161)),MAX(0,(bthan-hthan)*500)*ABS(COS(H161))+SQRT(MAX(0,MAX(1,hthan*500-'KT THAN'!$D$12)^2-MAX(0,(bthan-hthan)*500)^2*SIN(H161)^2))),MIN((bthan*500-'KT THAN'!$D$12)/MAX(0.0000001,ABS(COS(H161))),(hthan*500-'KT THAN'!$D$12)/MAX(0.0000001,ABS(SIN(H161)))))*SIN(H161))</f>
        <v>-700</v>
      </c>
      <c r="K161" s="52">
        <f>IF(G161="",0,'KT THAN'!$D$11/'KT THAN'!$C$11)</f>
        <v>804.24771931898704</v>
      </c>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row>
    <row r="162" spans="1:40" x14ac:dyDescent="0.3">
      <c r="A162" s="52">
        <v>157</v>
      </c>
      <c r="B162" s="52">
        <f>-bthan*500+(6+0.5)*bthan*1000/50</f>
        <v>-2035</v>
      </c>
      <c r="C162" s="52">
        <f t="shared" si="84"/>
        <v>-730</v>
      </c>
      <c r="D162" s="52">
        <f t="shared" si="81"/>
        <v>2200</v>
      </c>
      <c r="E162" s="52">
        <f t="shared" si="82"/>
        <v>1</v>
      </c>
      <c r="F162" s="52"/>
      <c r="G162" s="52">
        <f>IF(157&lt;='KT THAN'!$C$11,157,"")</f>
        <v>157</v>
      </c>
      <c r="H162" s="52">
        <f>IF(G162="",0,2*PI()*(G162-0.5)/'KT THAN'!$C$11)</f>
        <v>5.4628805587422509</v>
      </c>
      <c r="I162" s="52">
        <f>IF(G162="",0,IF(shp=1,IF(AND(ABS(SIN(H162))&gt;0.0000001,MAX(1,hthan*500-'KT THAN'!$D$12)*ABS(COS(H162))/ABS(SIN(H162))&lt;=MAX(0,(bthan-hthan)*500)),MAX(1,hthan*500-'KT THAN'!$D$12)/ABS(SIN(H162)),MAX(0,(bthan-hthan)*500)*ABS(COS(H162))+SQRT(MAX(0,MAX(1,hthan*500-'KT THAN'!$D$12)^2-MAX(0,(bthan-hthan)*500)^2*SIN(H162)^2))),MIN((bthan*500-'KT THAN'!$D$12)/MAX(0.0000001,ABS(COS(H162))),(hthan*500-'KT THAN'!$D$12)/MAX(0.0000001,ABS(SIN(H162)))))*COS(H162))</f>
        <v>652.76056029636231</v>
      </c>
      <c r="J162" s="52">
        <f>IF(G162="",0,IF(shp=1,IF(AND(ABS(SIN(H162))&gt;0.0000001,MAX(1,hthan*500-'KT THAN'!$D$12)*ABS(COS(H162))/ABS(SIN(H162))&lt;=MAX(0,(bthan-hthan)*500)),MAX(1,hthan*500-'KT THAN'!$D$12)/ABS(SIN(H162)),MAX(0,(bthan-hthan)*500)*ABS(COS(H162))+SQRT(MAX(0,MAX(1,hthan*500-'KT THAN'!$D$12)^2-MAX(0,(bthan-hthan)*500)^2*SIN(H162)^2))),MIN((bthan*500-'KT THAN'!$D$12)/MAX(0.0000001,ABS(COS(H162))),(hthan*500-'KT THAN'!$D$12)/MAX(0.0000001,ABS(SIN(H162)))))*SIN(H162))</f>
        <v>-700</v>
      </c>
      <c r="K162" s="52">
        <f>IF(G162="",0,'KT THAN'!$D$11/'KT THAN'!$C$11)</f>
        <v>804.24771931898704</v>
      </c>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row>
    <row r="163" spans="1:40" x14ac:dyDescent="0.3">
      <c r="A163" s="52">
        <v>158</v>
      </c>
      <c r="B163" s="52">
        <f>-bthan*500+(7+0.5)*bthan*1000/50</f>
        <v>-1925</v>
      </c>
      <c r="C163" s="52">
        <f t="shared" si="84"/>
        <v>-730</v>
      </c>
      <c r="D163" s="52">
        <f t="shared" si="81"/>
        <v>2200</v>
      </c>
      <c r="E163" s="52">
        <f t="shared" si="82"/>
        <v>1</v>
      </c>
      <c r="F163" s="52"/>
      <c r="G163" s="52">
        <f>IF(158&lt;='KT THAN'!$C$11,158,"")</f>
        <v>158</v>
      </c>
      <c r="H163" s="52">
        <f>IF(G163="",0,2*PI()*(G163-0.5)/'KT THAN'!$C$11)</f>
        <v>5.497787143782138</v>
      </c>
      <c r="I163" s="52">
        <f>IF(G163="",0,IF(shp=1,IF(AND(ABS(SIN(H163))&gt;0.0000001,MAX(1,hthan*500-'KT THAN'!$D$12)*ABS(COS(H163))/ABS(SIN(H163))&lt;=MAX(0,(bthan-hthan)*500)),MAX(1,hthan*500-'KT THAN'!$D$12)/ABS(SIN(H163)),MAX(0,(bthan-hthan)*500)*ABS(COS(H163))+SQRT(MAX(0,MAX(1,hthan*500-'KT THAN'!$D$12)^2-MAX(0,(bthan-hthan)*500)^2*SIN(H163)^2))),MIN((bthan*500-'KT THAN'!$D$12)/MAX(0.0000001,ABS(COS(H163))),(hthan*500-'KT THAN'!$D$12)/MAX(0.0000001,ABS(SIN(H163)))))*COS(H163))</f>
        <v>699.99999999999966</v>
      </c>
      <c r="J163" s="52">
        <f>IF(G163="",0,IF(shp=1,IF(AND(ABS(SIN(H163))&gt;0.0000001,MAX(1,hthan*500-'KT THAN'!$D$12)*ABS(COS(H163))/ABS(SIN(H163))&lt;=MAX(0,(bthan-hthan)*500)),MAX(1,hthan*500-'KT THAN'!$D$12)/ABS(SIN(H163)),MAX(0,(bthan-hthan)*500)*ABS(COS(H163))+SQRT(MAX(0,MAX(1,hthan*500-'KT THAN'!$D$12)^2-MAX(0,(bthan-hthan)*500)^2*SIN(H163)^2))),MIN((bthan*500-'KT THAN'!$D$12)/MAX(0.0000001,ABS(COS(H163))),(hthan*500-'KT THAN'!$D$12)/MAX(0.0000001,ABS(SIN(H163)))))*SIN(H163))</f>
        <v>-700</v>
      </c>
      <c r="K163" s="52">
        <f>IF(G163="",0,'KT THAN'!$D$11/'KT THAN'!$C$11)</f>
        <v>804.24771931898704</v>
      </c>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row>
    <row r="164" spans="1:40" x14ac:dyDescent="0.3">
      <c r="A164" s="52">
        <v>159</v>
      </c>
      <c r="B164" s="52">
        <f>-bthan*500+(8+0.5)*bthan*1000/50</f>
        <v>-1815</v>
      </c>
      <c r="C164" s="52">
        <f t="shared" si="84"/>
        <v>-730</v>
      </c>
      <c r="D164" s="52">
        <f t="shared" si="81"/>
        <v>2200</v>
      </c>
      <c r="E164" s="52">
        <f t="shared" si="82"/>
        <v>1</v>
      </c>
      <c r="F164" s="52"/>
      <c r="G164" s="52">
        <f>IF(159&lt;='KT THAN'!$C$11,159,"")</f>
        <v>159</v>
      </c>
      <c r="H164" s="52">
        <f>IF(G164="",0,2*PI()*(G164-0.5)/'KT THAN'!$C$11)</f>
        <v>5.532693728822025</v>
      </c>
      <c r="I164" s="52">
        <f>IF(G164="",0,IF(shp=1,IF(AND(ABS(SIN(H164))&gt;0.0000001,MAX(1,hthan*500-'KT THAN'!$D$12)*ABS(COS(H164))/ABS(SIN(H164))&lt;=MAX(0,(bthan-hthan)*500)),MAX(1,hthan*500-'KT THAN'!$D$12)/ABS(SIN(H164)),MAX(0,(bthan-hthan)*500)*ABS(COS(H164))+SQRT(MAX(0,MAX(1,hthan*500-'KT THAN'!$D$12)^2-MAX(0,(bthan-hthan)*500)^2*SIN(H164)^2))),MIN((bthan*500-'KT THAN'!$D$12)/MAX(0.0000001,ABS(COS(H164))),(hthan*500-'KT THAN'!$D$12)/MAX(0.0000001,ABS(SIN(H164)))))*COS(H164))</f>
        <v>750.65809701727824</v>
      </c>
      <c r="J164" s="52">
        <f>IF(G164="",0,IF(shp=1,IF(AND(ABS(SIN(H164))&gt;0.0000001,MAX(1,hthan*500-'KT THAN'!$D$12)*ABS(COS(H164))/ABS(SIN(H164))&lt;=MAX(0,(bthan-hthan)*500)),MAX(1,hthan*500-'KT THAN'!$D$12)/ABS(SIN(H164)),MAX(0,(bthan-hthan)*500)*ABS(COS(H164))+SQRT(MAX(0,MAX(1,hthan*500-'KT THAN'!$D$12)^2-MAX(0,(bthan-hthan)*500)^2*SIN(H164)^2))),MIN((bthan*500-'KT THAN'!$D$12)/MAX(0.0000001,ABS(COS(H164))),(hthan*500-'KT THAN'!$D$12)/MAX(0.0000001,ABS(SIN(H164)))))*SIN(H164))</f>
        <v>-700</v>
      </c>
      <c r="K164" s="52">
        <f>IF(G164="",0,'KT THAN'!$D$11/'KT THAN'!$C$11)</f>
        <v>804.24771931898704</v>
      </c>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row>
    <row r="165" spans="1:40" x14ac:dyDescent="0.3">
      <c r="A165" s="52">
        <v>160</v>
      </c>
      <c r="B165" s="52">
        <f>-bthan*500+(9+0.5)*bthan*1000/50</f>
        <v>-1705</v>
      </c>
      <c r="C165" s="52">
        <f t="shared" si="84"/>
        <v>-730</v>
      </c>
      <c r="D165" s="52">
        <f t="shared" si="81"/>
        <v>2200</v>
      </c>
      <c r="E165" s="52">
        <f t="shared" si="82"/>
        <v>1</v>
      </c>
      <c r="F165" s="52"/>
      <c r="G165" s="52">
        <f>IF(160&lt;='KT THAN'!$C$11,160,"")</f>
        <v>160</v>
      </c>
      <c r="H165" s="52">
        <f>IF(G165="",0,2*PI()*(G165-0.5)/'KT THAN'!$C$11)</f>
        <v>5.5676003138619112</v>
      </c>
      <c r="I165" s="52">
        <f>IF(G165="",0,IF(shp=1,IF(AND(ABS(SIN(H165))&gt;0.0000001,MAX(1,hthan*500-'KT THAN'!$D$12)*ABS(COS(H165))/ABS(SIN(H165))&lt;=MAX(0,(bthan-hthan)*500)),MAX(1,hthan*500-'KT THAN'!$D$12)/ABS(SIN(H165)),MAX(0,(bthan-hthan)*500)*ABS(COS(H165))+SQRT(MAX(0,MAX(1,hthan*500-'KT THAN'!$D$12)^2-MAX(0,(bthan-hthan)*500)^2*SIN(H165)^2))),MIN((bthan*500-'KT THAN'!$D$12)/MAX(0.0000001,ABS(COS(H165))),(hthan*500-'KT THAN'!$D$12)/MAX(0.0000001,ABS(SIN(H165)))))*COS(H165))</f>
        <v>805.25788505470655</v>
      </c>
      <c r="J165" s="52">
        <f>IF(G165="",0,IF(shp=1,IF(AND(ABS(SIN(H165))&gt;0.0000001,MAX(1,hthan*500-'KT THAN'!$D$12)*ABS(COS(H165))/ABS(SIN(H165))&lt;=MAX(0,(bthan-hthan)*500)),MAX(1,hthan*500-'KT THAN'!$D$12)/ABS(SIN(H165)),MAX(0,(bthan-hthan)*500)*ABS(COS(H165))+SQRT(MAX(0,MAX(1,hthan*500-'KT THAN'!$D$12)^2-MAX(0,(bthan-hthan)*500)^2*SIN(H165)^2))),MIN((bthan*500-'KT THAN'!$D$12)/MAX(0.0000001,ABS(COS(H165))),(hthan*500-'KT THAN'!$D$12)/MAX(0.0000001,ABS(SIN(H165)))))*SIN(H165))</f>
        <v>-700</v>
      </c>
      <c r="K165" s="52">
        <f>IF(G165="",0,'KT THAN'!$D$11/'KT THAN'!$C$11)</f>
        <v>804.24771931898704</v>
      </c>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row>
    <row r="166" spans="1:40" x14ac:dyDescent="0.3">
      <c r="A166" s="52">
        <v>161</v>
      </c>
      <c r="B166" s="52">
        <f>-bthan*500+(10+0.5)*bthan*1000/50</f>
        <v>-1595</v>
      </c>
      <c r="C166" s="52">
        <f t="shared" si="84"/>
        <v>-730</v>
      </c>
      <c r="D166" s="52">
        <f t="shared" si="81"/>
        <v>2200</v>
      </c>
      <c r="E166" s="52">
        <f t="shared" si="82"/>
        <v>1</v>
      </c>
      <c r="F166" s="52"/>
      <c r="G166" s="52">
        <f>IF(161&lt;='KT THAN'!$C$11,161,"")</f>
        <v>161</v>
      </c>
      <c r="H166" s="52">
        <f>IF(G166="",0,2*PI()*(G166-0.5)/'KT THAN'!$C$11)</f>
        <v>5.6025068989017974</v>
      </c>
      <c r="I166" s="52">
        <f>IF(G166="",0,IF(shp=1,IF(AND(ABS(SIN(H166))&gt;0.0000001,MAX(1,hthan*500-'KT THAN'!$D$12)*ABS(COS(H166))/ABS(SIN(H166))&lt;=MAX(0,(bthan-hthan)*500)),MAX(1,hthan*500-'KT THAN'!$D$12)/ABS(SIN(H166)),MAX(0,(bthan-hthan)*500)*ABS(COS(H166))+SQRT(MAX(0,MAX(1,hthan*500-'KT THAN'!$D$12)^2-MAX(0,(bthan-hthan)*500)^2*SIN(H166)^2))),MIN((bthan*500-'KT THAN'!$D$12)/MAX(0.0000001,ABS(COS(H166))),(hthan*500-'KT THAN'!$D$12)/MAX(0.0000001,ABS(SIN(H166)))))*COS(H166))</f>
        <v>864.42800957453517</v>
      </c>
      <c r="J166" s="52">
        <f>IF(G166="",0,IF(shp=1,IF(AND(ABS(SIN(H166))&gt;0.0000001,MAX(1,hthan*500-'KT THAN'!$D$12)*ABS(COS(H166))/ABS(SIN(H166))&lt;=MAX(0,(bthan-hthan)*500)),MAX(1,hthan*500-'KT THAN'!$D$12)/ABS(SIN(H166)),MAX(0,(bthan-hthan)*500)*ABS(COS(H166))+SQRT(MAX(0,MAX(1,hthan*500-'KT THAN'!$D$12)^2-MAX(0,(bthan-hthan)*500)^2*SIN(H166)^2))),MIN((bthan*500-'KT THAN'!$D$12)/MAX(0.0000001,ABS(COS(H166))),(hthan*500-'KT THAN'!$D$12)/MAX(0.0000001,ABS(SIN(H166)))))*SIN(H166))</f>
        <v>-700</v>
      </c>
      <c r="K166" s="52">
        <f>IF(G166="",0,'KT THAN'!$D$11/'KT THAN'!$C$11)</f>
        <v>804.24771931898704</v>
      </c>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row>
    <row r="167" spans="1:40" x14ac:dyDescent="0.3">
      <c r="A167" s="52">
        <v>162</v>
      </c>
      <c r="B167" s="52">
        <f>-bthan*500+(11+0.5)*bthan*1000/50</f>
        <v>-1485</v>
      </c>
      <c r="C167" s="52">
        <f t="shared" si="84"/>
        <v>-730</v>
      </c>
      <c r="D167" s="52">
        <f t="shared" si="81"/>
        <v>2200</v>
      </c>
      <c r="E167" s="52">
        <f t="shared" si="82"/>
        <v>1</v>
      </c>
      <c r="F167" s="52"/>
      <c r="G167" s="52">
        <f>IF(162&lt;='KT THAN'!$C$11,162,"")</f>
        <v>162</v>
      </c>
      <c r="H167" s="52">
        <f>IF(G167="",0,2*PI()*(G167-0.5)/'KT THAN'!$C$11)</f>
        <v>5.6374134839416845</v>
      </c>
      <c r="I167" s="52">
        <f>IF(G167="",0,IF(shp=1,IF(AND(ABS(SIN(H167))&gt;0.0000001,MAX(1,hthan*500-'KT THAN'!$D$12)*ABS(COS(H167))/ABS(SIN(H167))&lt;=MAX(0,(bthan-hthan)*500)),MAX(1,hthan*500-'KT THAN'!$D$12)/ABS(SIN(H167)),MAX(0,(bthan-hthan)*500)*ABS(COS(H167))+SQRT(MAX(0,MAX(1,hthan*500-'KT THAN'!$D$12)^2-MAX(0,(bthan-hthan)*500)^2*SIN(H167)^2))),MIN((bthan*500-'KT THAN'!$D$12)/MAX(0.0000001,ABS(COS(H167))),(hthan*500-'KT THAN'!$D$12)/MAX(0.0000001,ABS(SIN(H167)))))*COS(H167))</f>
        <v>928.93137513428701</v>
      </c>
      <c r="J167" s="52">
        <f>IF(G167="",0,IF(shp=1,IF(AND(ABS(SIN(H167))&gt;0.0000001,MAX(1,hthan*500-'KT THAN'!$D$12)*ABS(COS(H167))/ABS(SIN(H167))&lt;=MAX(0,(bthan-hthan)*500)),MAX(1,hthan*500-'KT THAN'!$D$12)/ABS(SIN(H167)),MAX(0,(bthan-hthan)*500)*ABS(COS(H167))+SQRT(MAX(0,MAX(1,hthan*500-'KT THAN'!$D$12)^2-MAX(0,(bthan-hthan)*500)^2*SIN(H167)^2))),MIN((bthan*500-'KT THAN'!$D$12)/MAX(0.0000001,ABS(COS(H167))),(hthan*500-'KT THAN'!$D$12)/MAX(0.0000001,ABS(SIN(H167)))))*SIN(H167))</f>
        <v>-700</v>
      </c>
      <c r="K167" s="52">
        <f>IF(G167="",0,'KT THAN'!$D$11/'KT THAN'!$C$11)</f>
        <v>804.24771931898704</v>
      </c>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row>
    <row r="168" spans="1:40" x14ac:dyDescent="0.3">
      <c r="A168" s="52">
        <v>163</v>
      </c>
      <c r="B168" s="52">
        <f>-bthan*500+(12+0.5)*bthan*1000/50</f>
        <v>-1375</v>
      </c>
      <c r="C168" s="52">
        <f t="shared" si="84"/>
        <v>-730</v>
      </c>
      <c r="D168" s="52">
        <f t="shared" si="81"/>
        <v>2200</v>
      </c>
      <c r="E168" s="52">
        <f t="shared" si="82"/>
        <v>1</v>
      </c>
      <c r="F168" s="52"/>
      <c r="G168" s="52">
        <f>IF(163&lt;='KT THAN'!$C$11,163,"")</f>
        <v>163</v>
      </c>
      <c r="H168" s="52">
        <f>IF(G168="",0,2*PI()*(G168-0.5)/'KT THAN'!$C$11)</f>
        <v>5.6723200689815707</v>
      </c>
      <c r="I168" s="52">
        <f>IF(G168="",0,IF(shp=1,IF(AND(ABS(SIN(H168))&gt;0.0000001,MAX(1,hthan*500-'KT THAN'!$D$12)*ABS(COS(H168))/ABS(SIN(H168))&lt;=MAX(0,(bthan-hthan)*500)),MAX(1,hthan*500-'KT THAN'!$D$12)/ABS(SIN(H168)),MAX(0,(bthan-hthan)*500)*ABS(COS(H168))+SQRT(MAX(0,MAX(1,hthan*500-'KT THAN'!$D$12)^2-MAX(0,(bthan-hthan)*500)^2*SIN(H168)^2))),MIN((bthan*500-'KT THAN'!$D$12)/MAX(0.0000001,ABS(COS(H168))),(hthan*500-'KT THAN'!$D$12)/MAX(0.0000001,ABS(SIN(H168)))))*COS(H168))</f>
        <v>999.70360471947913</v>
      </c>
      <c r="J168" s="52">
        <f>IF(G168="",0,IF(shp=1,IF(AND(ABS(SIN(H168))&gt;0.0000001,MAX(1,hthan*500-'KT THAN'!$D$12)*ABS(COS(H168))/ABS(SIN(H168))&lt;=MAX(0,(bthan-hthan)*500)),MAX(1,hthan*500-'KT THAN'!$D$12)/ABS(SIN(H168)),MAX(0,(bthan-hthan)*500)*ABS(COS(H168))+SQRT(MAX(0,MAX(1,hthan*500-'KT THAN'!$D$12)^2-MAX(0,(bthan-hthan)*500)^2*SIN(H168)^2))),MIN((bthan*500-'KT THAN'!$D$12)/MAX(0.0000001,ABS(COS(H168))),(hthan*500-'KT THAN'!$D$12)/MAX(0.0000001,ABS(SIN(H168)))))*SIN(H168))</f>
        <v>-700</v>
      </c>
      <c r="K168" s="52">
        <f>IF(G168="",0,'KT THAN'!$D$11/'KT THAN'!$C$11)</f>
        <v>804.24771931898704</v>
      </c>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row>
    <row r="169" spans="1:40" x14ac:dyDescent="0.3">
      <c r="A169" s="52">
        <v>164</v>
      </c>
      <c r="B169" s="52">
        <f>-bthan*500+(13+0.5)*bthan*1000/50</f>
        <v>-1265</v>
      </c>
      <c r="C169" s="52">
        <f t="shared" si="84"/>
        <v>-730</v>
      </c>
      <c r="D169" s="52">
        <f t="shared" si="81"/>
        <v>2200</v>
      </c>
      <c r="E169" s="52">
        <f t="shared" si="82"/>
        <v>1</v>
      </c>
      <c r="F169" s="52"/>
      <c r="G169" s="52">
        <f>IF(164&lt;='KT THAN'!$C$11,164,"")</f>
        <v>164</v>
      </c>
      <c r="H169" s="52">
        <f>IF(G169="",0,2*PI()*(G169-0.5)/'KT THAN'!$C$11)</f>
        <v>5.7072266540214578</v>
      </c>
      <c r="I169" s="52">
        <f>IF(G169="",0,IF(shp=1,IF(AND(ABS(SIN(H169))&gt;0.0000001,MAX(1,hthan*500-'KT THAN'!$D$12)*ABS(COS(H169))/ABS(SIN(H169))&lt;=MAX(0,(bthan-hthan)*500)),MAX(1,hthan*500-'KT THAN'!$D$12)/ABS(SIN(H169)),MAX(0,(bthan-hthan)*500)*ABS(COS(H169))+SQRT(MAX(0,MAX(1,hthan*500-'KT THAN'!$D$12)^2-MAX(0,(bthan-hthan)*500)^2*SIN(H169)^2))),MIN((bthan*500-'KT THAN'!$D$12)/MAX(0.0000001,ABS(COS(H169))),(hthan*500-'KT THAN'!$D$12)/MAX(0.0000001,ABS(SIN(H169)))))*COS(H169))</f>
        <v>1077.9054746702082</v>
      </c>
      <c r="J169" s="52">
        <f>IF(G169="",0,IF(shp=1,IF(AND(ABS(SIN(H169))&gt;0.0000001,MAX(1,hthan*500-'KT THAN'!$D$12)*ABS(COS(H169))/ABS(SIN(H169))&lt;=MAX(0,(bthan-hthan)*500)),MAX(1,hthan*500-'KT THAN'!$D$12)/ABS(SIN(H169)),MAX(0,(bthan-hthan)*500)*ABS(COS(H169))+SQRT(MAX(0,MAX(1,hthan*500-'KT THAN'!$D$12)^2-MAX(0,(bthan-hthan)*500)^2*SIN(H169)^2))),MIN((bthan*500-'KT THAN'!$D$12)/MAX(0.0000001,ABS(COS(H169))),(hthan*500-'KT THAN'!$D$12)/MAX(0.0000001,ABS(SIN(H169)))))*SIN(H169))</f>
        <v>-700</v>
      </c>
      <c r="K169" s="52">
        <f>IF(G169="",0,'KT THAN'!$D$11/'KT THAN'!$C$11)</f>
        <v>804.24771931898704</v>
      </c>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row>
    <row r="170" spans="1:40" x14ac:dyDescent="0.3">
      <c r="A170" s="52">
        <v>165</v>
      </c>
      <c r="B170" s="52">
        <f>-bthan*500+(14+0.5)*bthan*1000/50</f>
        <v>-1155</v>
      </c>
      <c r="C170" s="52">
        <f t="shared" si="84"/>
        <v>-730</v>
      </c>
      <c r="D170" s="52">
        <f t="shared" si="81"/>
        <v>2200</v>
      </c>
      <c r="E170" s="52">
        <f t="shared" si="82"/>
        <v>1</v>
      </c>
      <c r="F170" s="52"/>
      <c r="G170" s="52">
        <f>IF(165&lt;='KT THAN'!$C$11,165,"")</f>
        <v>165</v>
      </c>
      <c r="H170" s="52">
        <f>IF(G170="",0,2*PI()*(G170-0.5)/'KT THAN'!$C$11)</f>
        <v>5.742133239061344</v>
      </c>
      <c r="I170" s="52">
        <f>IF(G170="",0,IF(shp=1,IF(AND(ABS(SIN(H170))&gt;0.0000001,MAX(1,hthan*500-'KT THAN'!$D$12)*ABS(COS(H170))/ABS(SIN(H170))&lt;=MAX(0,(bthan-hthan)*500)),MAX(1,hthan*500-'KT THAN'!$D$12)/ABS(SIN(H170)),MAX(0,(bthan-hthan)*500)*ABS(COS(H170))+SQRT(MAX(0,MAX(1,hthan*500-'KT THAN'!$D$12)^2-MAX(0,(bthan-hthan)*500)^2*SIN(H170)^2))),MIN((bthan*500-'KT THAN'!$D$12)/MAX(0.0000001,ABS(COS(H170))),(hthan*500-'KT THAN'!$D$12)/MAX(0.0000001,ABS(SIN(H170)))))*COS(H170))</f>
        <v>1164.9956376453615</v>
      </c>
      <c r="J170" s="52">
        <f>IF(G170="",0,IF(shp=1,IF(AND(ABS(SIN(H170))&gt;0.0000001,MAX(1,hthan*500-'KT THAN'!$D$12)*ABS(COS(H170))/ABS(SIN(H170))&lt;=MAX(0,(bthan-hthan)*500)),MAX(1,hthan*500-'KT THAN'!$D$12)/ABS(SIN(H170)),MAX(0,(bthan-hthan)*500)*ABS(COS(H170))+SQRT(MAX(0,MAX(1,hthan*500-'KT THAN'!$D$12)^2-MAX(0,(bthan-hthan)*500)^2*SIN(H170)^2))),MIN((bthan*500-'KT THAN'!$D$12)/MAX(0.0000001,ABS(COS(H170))),(hthan*500-'KT THAN'!$D$12)/MAX(0.0000001,ABS(SIN(H170)))))*SIN(H170))</f>
        <v>-700</v>
      </c>
      <c r="K170" s="52">
        <f>IF(G170="",0,'KT THAN'!$D$11/'KT THAN'!$C$11)</f>
        <v>804.24771931898704</v>
      </c>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row>
    <row r="171" spans="1:40" x14ac:dyDescent="0.3">
      <c r="A171" s="52">
        <v>166</v>
      </c>
      <c r="B171" s="52">
        <f>-bthan*500+(15+0.5)*bthan*1000/50</f>
        <v>-1045</v>
      </c>
      <c r="C171" s="52">
        <f t="shared" si="84"/>
        <v>-730</v>
      </c>
      <c r="D171" s="52">
        <f t="shared" si="81"/>
        <v>2200</v>
      </c>
      <c r="E171" s="52">
        <f t="shared" si="82"/>
        <v>1</v>
      </c>
      <c r="F171" s="52"/>
      <c r="G171" s="52">
        <f>IF(166&lt;='KT THAN'!$C$11,166,"")</f>
        <v>166</v>
      </c>
      <c r="H171" s="52">
        <f>IF(G171="",0,2*PI()*(G171-0.5)/'KT THAN'!$C$11)</f>
        <v>5.7770398241012311</v>
      </c>
      <c r="I171" s="52">
        <f>IF(G171="",0,IF(shp=1,IF(AND(ABS(SIN(H171))&gt;0.0000001,MAX(1,hthan*500-'KT THAN'!$D$12)*ABS(COS(H171))/ABS(SIN(H171))&lt;=MAX(0,(bthan-hthan)*500)),MAX(1,hthan*500-'KT THAN'!$D$12)/ABS(SIN(H171)),MAX(0,(bthan-hthan)*500)*ABS(COS(H171))+SQRT(MAX(0,MAX(1,hthan*500-'KT THAN'!$D$12)^2-MAX(0,(bthan-hthan)*500)^2*SIN(H171)^2))),MIN((bthan*500-'KT THAN'!$D$12)/MAX(0.0000001,ABS(COS(H171))),(hthan*500-'KT THAN'!$D$12)/MAX(0.0000001,ABS(SIN(H171)))))*COS(H171))</f>
        <v>1262.8334286899972</v>
      </c>
      <c r="J171" s="52">
        <f>IF(G171="",0,IF(shp=1,IF(AND(ABS(SIN(H171))&gt;0.0000001,MAX(1,hthan*500-'KT THAN'!$D$12)*ABS(COS(H171))/ABS(SIN(H171))&lt;=MAX(0,(bthan-hthan)*500)),MAX(1,hthan*500-'KT THAN'!$D$12)/ABS(SIN(H171)),MAX(0,(bthan-hthan)*500)*ABS(COS(H171))+SQRT(MAX(0,MAX(1,hthan*500-'KT THAN'!$D$12)^2-MAX(0,(bthan-hthan)*500)^2*SIN(H171)^2))),MIN((bthan*500-'KT THAN'!$D$12)/MAX(0.0000001,ABS(COS(H171))),(hthan*500-'KT THAN'!$D$12)/MAX(0.0000001,ABS(SIN(H171)))))*SIN(H171))</f>
        <v>-700</v>
      </c>
      <c r="K171" s="52">
        <f>IF(G171="",0,'KT THAN'!$D$11/'KT THAN'!$C$11)</f>
        <v>804.24771931898704</v>
      </c>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row>
    <row r="172" spans="1:40" x14ac:dyDescent="0.3">
      <c r="A172" s="52">
        <v>167</v>
      </c>
      <c r="B172" s="52">
        <f>-bthan*500+(16+0.5)*bthan*1000/50</f>
        <v>-935</v>
      </c>
      <c r="C172" s="52">
        <f t="shared" si="84"/>
        <v>-730</v>
      </c>
      <c r="D172" s="52">
        <f t="shared" si="81"/>
        <v>2200</v>
      </c>
      <c r="E172" s="52">
        <f t="shared" si="82"/>
        <v>1</v>
      </c>
      <c r="F172" s="52"/>
      <c r="G172" s="52">
        <f>IF(167&lt;='KT THAN'!$C$11,167,"")</f>
        <v>167</v>
      </c>
      <c r="H172" s="52">
        <f>IF(G172="",0,2*PI()*(G172-0.5)/'KT THAN'!$C$11)</f>
        <v>5.8119464091411173</v>
      </c>
      <c r="I172" s="52">
        <f>IF(G172="",0,IF(shp=1,IF(AND(ABS(SIN(H172))&gt;0.0000001,MAX(1,hthan*500-'KT THAN'!$D$12)*ABS(COS(H172))/ABS(SIN(H172))&lt;=MAX(0,(bthan-hthan)*500)),MAX(1,hthan*500-'KT THAN'!$D$12)/ABS(SIN(H172)),MAX(0,(bthan-hthan)*500)*ABS(COS(H172))+SQRT(MAX(0,MAX(1,hthan*500-'KT THAN'!$D$12)^2-MAX(0,(bthan-hthan)*500)^2*SIN(H172)^2))),MIN((bthan*500-'KT THAN'!$D$12)/MAX(0.0000001,ABS(COS(H172))),(hthan*500-'KT THAN'!$D$12)/MAX(0.0000001,ABS(SIN(H172)))))*COS(H172))</f>
        <v>1373.8273538536048</v>
      </c>
      <c r="J172" s="52">
        <f>IF(G172="",0,IF(shp=1,IF(AND(ABS(SIN(H172))&gt;0.0000001,MAX(1,hthan*500-'KT THAN'!$D$12)*ABS(COS(H172))/ABS(SIN(H172))&lt;=MAX(0,(bthan-hthan)*500)),MAX(1,hthan*500-'KT THAN'!$D$12)/ABS(SIN(H172)),MAX(0,(bthan-hthan)*500)*ABS(COS(H172))+SQRT(MAX(0,MAX(1,hthan*500-'KT THAN'!$D$12)^2-MAX(0,(bthan-hthan)*500)^2*SIN(H172)^2))),MIN((bthan*500-'KT THAN'!$D$12)/MAX(0.0000001,ABS(COS(H172))),(hthan*500-'KT THAN'!$D$12)/MAX(0.0000001,ABS(SIN(H172)))))*SIN(H172))</f>
        <v>-700</v>
      </c>
      <c r="K172" s="52">
        <f>IF(G172="",0,'KT THAN'!$D$11/'KT THAN'!$C$11)</f>
        <v>804.24771931898704</v>
      </c>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row>
    <row r="173" spans="1:40" x14ac:dyDescent="0.3">
      <c r="A173" s="52">
        <v>168</v>
      </c>
      <c r="B173" s="52">
        <f>-bthan*500+(17+0.5)*bthan*1000/50</f>
        <v>-825</v>
      </c>
      <c r="C173" s="52">
        <f t="shared" si="84"/>
        <v>-730</v>
      </c>
      <c r="D173" s="52">
        <f t="shared" si="81"/>
        <v>2200</v>
      </c>
      <c r="E173" s="52">
        <f t="shared" si="82"/>
        <v>1</v>
      </c>
      <c r="F173" s="52"/>
      <c r="G173" s="52">
        <f>IF(168&lt;='KT THAN'!$C$11,168,"")</f>
        <v>168</v>
      </c>
      <c r="H173" s="52">
        <f>IF(G173="",0,2*PI()*(G173-0.5)/'KT THAN'!$C$11)</f>
        <v>5.8468529941810035</v>
      </c>
      <c r="I173" s="52">
        <f>IF(G173="",0,IF(shp=1,IF(AND(ABS(SIN(H173))&gt;0.0000001,MAX(1,hthan*500-'KT THAN'!$D$12)*ABS(COS(H173))/ABS(SIN(H173))&lt;=MAX(0,(bthan-hthan)*500)),MAX(1,hthan*500-'KT THAN'!$D$12)/ABS(SIN(H173)),MAX(0,(bthan-hthan)*500)*ABS(COS(H173))+SQRT(MAX(0,MAX(1,hthan*500-'KT THAN'!$D$12)^2-MAX(0,(bthan-hthan)*500)^2*SIN(H173)^2))),MIN((bthan*500-'KT THAN'!$D$12)/MAX(0.0000001,ABS(COS(H173))),(hthan*500-'KT THAN'!$D$12)/MAX(0.0000001,ABS(SIN(H173)))))*COS(H173))</f>
        <v>1501.1548443566887</v>
      </c>
      <c r="J173" s="52">
        <f>IF(G173="",0,IF(shp=1,IF(AND(ABS(SIN(H173))&gt;0.0000001,MAX(1,hthan*500-'KT THAN'!$D$12)*ABS(COS(H173))/ABS(SIN(H173))&lt;=MAX(0,(bthan-hthan)*500)),MAX(1,hthan*500-'KT THAN'!$D$12)/ABS(SIN(H173)),MAX(0,(bthan-hthan)*500)*ABS(COS(H173))+SQRT(MAX(0,MAX(1,hthan*500-'KT THAN'!$D$12)^2-MAX(0,(bthan-hthan)*500)^2*SIN(H173)^2))),MIN((bthan*500-'KT THAN'!$D$12)/MAX(0.0000001,ABS(COS(H173))),(hthan*500-'KT THAN'!$D$12)/MAX(0.0000001,ABS(SIN(H173)))))*SIN(H173))</f>
        <v>-700</v>
      </c>
      <c r="K173" s="52">
        <f>IF(G173="",0,'KT THAN'!$D$11/'KT THAN'!$C$11)</f>
        <v>804.24771931898704</v>
      </c>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row>
    <row r="174" spans="1:40" x14ac:dyDescent="0.3">
      <c r="A174" s="52">
        <v>169</v>
      </c>
      <c r="B174" s="52">
        <f>-bthan*500+(18+0.5)*bthan*1000/50</f>
        <v>-715</v>
      </c>
      <c r="C174" s="52">
        <f t="shared" si="84"/>
        <v>-730</v>
      </c>
      <c r="D174" s="52">
        <f t="shared" si="81"/>
        <v>2200</v>
      </c>
      <c r="E174" s="52">
        <f t="shared" si="82"/>
        <v>1</v>
      </c>
      <c r="F174" s="52"/>
      <c r="G174" s="52">
        <f>IF(169&lt;='KT THAN'!$C$11,169,"")</f>
        <v>169</v>
      </c>
      <c r="H174" s="52">
        <f>IF(G174="",0,2*PI()*(G174-0.5)/'KT THAN'!$C$11)</f>
        <v>5.8817595792208897</v>
      </c>
      <c r="I174" s="52">
        <f>IF(G174="",0,IF(shp=1,IF(AND(ABS(SIN(H174))&gt;0.0000001,MAX(1,hthan*500-'KT THAN'!$D$12)*ABS(COS(H174))/ABS(SIN(H174))&lt;=MAX(0,(bthan-hthan)*500)),MAX(1,hthan*500-'KT THAN'!$D$12)/ABS(SIN(H174)),MAX(0,(bthan-hthan)*500)*ABS(COS(H174))+SQRT(MAX(0,MAX(1,hthan*500-'KT THAN'!$D$12)^2-MAX(0,(bthan-hthan)*500)^2*SIN(H174)^2))),MIN((bthan*500-'KT THAN'!$D$12)/MAX(0.0000001,ABS(COS(H174))),(hthan*500-'KT THAN'!$D$12)/MAX(0.0000001,ABS(SIN(H174)))))*COS(H174))</f>
        <v>1649.0966560766221</v>
      </c>
      <c r="J174" s="52">
        <f>IF(G174="",0,IF(shp=1,IF(AND(ABS(SIN(H174))&gt;0.0000001,MAX(1,hthan*500-'KT THAN'!$D$12)*ABS(COS(H174))/ABS(SIN(H174))&lt;=MAX(0,(bthan-hthan)*500)),MAX(1,hthan*500-'KT THAN'!$D$12)/ABS(SIN(H174)),MAX(0,(bthan-hthan)*500)*ABS(COS(H174))+SQRT(MAX(0,MAX(1,hthan*500-'KT THAN'!$D$12)^2-MAX(0,(bthan-hthan)*500)^2*SIN(H174)^2))),MIN((bthan*500-'KT THAN'!$D$12)/MAX(0.0000001,ABS(COS(H174))),(hthan*500-'KT THAN'!$D$12)/MAX(0.0000001,ABS(SIN(H174)))))*SIN(H174))</f>
        <v>-700</v>
      </c>
      <c r="K174" s="52">
        <f>IF(G174="",0,'KT THAN'!$D$11/'KT THAN'!$C$11)</f>
        <v>804.24771931898704</v>
      </c>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row>
    <row r="175" spans="1:40" x14ac:dyDescent="0.3">
      <c r="A175" s="52">
        <v>170</v>
      </c>
      <c r="B175" s="52">
        <f>-bthan*500+(19+0.5)*bthan*1000/50</f>
        <v>-605</v>
      </c>
      <c r="C175" s="52">
        <f t="shared" si="84"/>
        <v>-730</v>
      </c>
      <c r="D175" s="52">
        <f t="shared" si="81"/>
        <v>2200</v>
      </c>
      <c r="E175" s="52">
        <f t="shared" si="82"/>
        <v>1</v>
      </c>
      <c r="F175" s="52"/>
      <c r="G175" s="52">
        <f>IF(170&lt;='KT THAN'!$C$11,170,"")</f>
        <v>170</v>
      </c>
      <c r="H175" s="52">
        <f>IF(G175="",0,2*PI()*(G175-0.5)/'KT THAN'!$C$11)</f>
        <v>5.9166661642607767</v>
      </c>
      <c r="I175" s="52">
        <f>IF(G175="",0,IF(shp=1,IF(AND(ABS(SIN(H175))&gt;0.0000001,MAX(1,hthan*500-'KT THAN'!$D$12)*ABS(COS(H175))/ABS(SIN(H175))&lt;=MAX(0,(bthan-hthan)*500)),MAX(1,hthan*500-'KT THAN'!$D$12)/ABS(SIN(H175)),MAX(0,(bthan-hthan)*500)*ABS(COS(H175))+SQRT(MAX(0,MAX(1,hthan*500-'KT THAN'!$D$12)^2-MAX(0,(bthan-hthan)*500)^2*SIN(H175)^2))),MIN((bthan*500-'KT THAN'!$D$12)/MAX(0.0000001,ABS(COS(H175))),(hthan*500-'KT THAN'!$D$12)/MAX(0.0000001,ABS(SIN(H175)))))*COS(H175))</f>
        <v>1823.562345285658</v>
      </c>
      <c r="J175" s="52">
        <f>IF(G175="",0,IF(shp=1,IF(AND(ABS(SIN(H175))&gt;0.0000001,MAX(1,hthan*500-'KT THAN'!$D$12)*ABS(COS(H175))/ABS(SIN(H175))&lt;=MAX(0,(bthan-hthan)*500)),MAX(1,hthan*500-'KT THAN'!$D$12)/ABS(SIN(H175)),MAX(0,(bthan-hthan)*500)*ABS(COS(H175))+SQRT(MAX(0,MAX(1,hthan*500-'KT THAN'!$D$12)^2-MAX(0,(bthan-hthan)*500)^2*SIN(H175)^2))),MIN((bthan*500-'KT THAN'!$D$12)/MAX(0.0000001,ABS(COS(H175))),(hthan*500-'KT THAN'!$D$12)/MAX(0.0000001,ABS(SIN(H175)))))*SIN(H175))</f>
        <v>-700</v>
      </c>
      <c r="K175" s="52">
        <f>IF(G175="",0,'KT THAN'!$D$11/'KT THAN'!$C$11)</f>
        <v>804.24771931898704</v>
      </c>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row>
    <row r="176" spans="1:40" x14ac:dyDescent="0.3">
      <c r="A176" s="52">
        <v>171</v>
      </c>
      <c r="B176" s="52">
        <f>-bthan*500+(20+0.5)*bthan*1000/50</f>
        <v>-495</v>
      </c>
      <c r="C176" s="52">
        <f t="shared" si="84"/>
        <v>-730</v>
      </c>
      <c r="D176" s="52">
        <f t="shared" si="81"/>
        <v>2200</v>
      </c>
      <c r="E176" s="52">
        <f t="shared" si="82"/>
        <v>1</v>
      </c>
      <c r="F176" s="52"/>
      <c r="G176" s="52">
        <f>IF(171&lt;='KT THAN'!$C$11,171,"")</f>
        <v>171</v>
      </c>
      <c r="H176" s="52">
        <f>IF(G176="",0,2*PI()*(G176-0.5)/'KT THAN'!$C$11)</f>
        <v>5.9515727493006629</v>
      </c>
      <c r="I176" s="52">
        <f>IF(G176="",0,IF(shp=1,IF(AND(ABS(SIN(H176))&gt;0.0000001,MAX(1,hthan*500-'KT THAN'!$D$12)*ABS(COS(H176))/ABS(SIN(H176))&lt;=MAX(0,(bthan-hthan)*500)),MAX(1,hthan*500-'KT THAN'!$D$12)/ABS(SIN(H176)),MAX(0,(bthan-hthan)*500)*ABS(COS(H176))+SQRT(MAX(0,MAX(1,hthan*500-'KT THAN'!$D$12)^2-MAX(0,(bthan-hthan)*500)^2*SIN(H176)^2))),MIN((bthan*500-'KT THAN'!$D$12)/MAX(0.0000001,ABS(COS(H176))),(hthan*500-'KT THAN'!$D$12)/MAX(0.0000001,ABS(SIN(H176)))))*COS(H176))</f>
        <v>2022.1269757348275</v>
      </c>
      <c r="J176" s="52">
        <f>IF(G176="",0,IF(shp=1,IF(AND(ABS(SIN(H176))&gt;0.0000001,MAX(1,hthan*500-'KT THAN'!$D$12)*ABS(COS(H176))/ABS(SIN(H176))&lt;=MAX(0,(bthan-hthan)*500)),MAX(1,hthan*500-'KT THAN'!$D$12)/ABS(SIN(H176)),MAX(0,(bthan-hthan)*500)*ABS(COS(H176))+SQRT(MAX(0,MAX(1,hthan*500-'KT THAN'!$D$12)^2-MAX(0,(bthan-hthan)*500)^2*SIN(H176)^2))),MIN((bthan*500-'KT THAN'!$D$12)/MAX(0.0000001,ABS(COS(H176))),(hthan*500-'KT THAN'!$D$12)/MAX(0.0000001,ABS(SIN(H176)))))*SIN(H176))</f>
        <v>-696.274155323424</v>
      </c>
      <c r="K176" s="52">
        <f>IF(G176="",0,'KT THAN'!$D$11/'KT THAN'!$C$11)</f>
        <v>804.24771931898704</v>
      </c>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row>
    <row r="177" spans="1:40" x14ac:dyDescent="0.3">
      <c r="A177" s="52">
        <v>172</v>
      </c>
      <c r="B177" s="52">
        <f>-bthan*500+(21+0.5)*bthan*1000/50</f>
        <v>-385</v>
      </c>
      <c r="C177" s="52">
        <f t="shared" si="84"/>
        <v>-730</v>
      </c>
      <c r="D177" s="52">
        <f t="shared" si="81"/>
        <v>2200</v>
      </c>
      <c r="E177" s="52">
        <f t="shared" si="82"/>
        <v>1</v>
      </c>
      <c r="F177" s="52"/>
      <c r="G177" s="52">
        <f>IF(172&lt;='KT THAN'!$C$11,172,"")</f>
        <v>172</v>
      </c>
      <c r="H177" s="52">
        <f>IF(G177="",0,2*PI()*(G177-0.5)/'KT THAN'!$C$11)</f>
        <v>5.9864793343405509</v>
      </c>
      <c r="I177" s="52">
        <f>IF(G177="",0,IF(shp=1,IF(AND(ABS(SIN(H177))&gt;0.0000001,MAX(1,hthan*500-'KT THAN'!$D$12)*ABS(COS(H177))/ABS(SIN(H177))&lt;=MAX(0,(bthan-hthan)*500)),MAX(1,hthan*500-'KT THAN'!$D$12)/ABS(SIN(H177)),MAX(0,(bthan-hthan)*500)*ABS(COS(H177))+SQRT(MAX(0,MAX(1,hthan*500-'KT THAN'!$D$12)^2-MAX(0,(bthan-hthan)*500)^2*SIN(H177)^2))),MIN((bthan*500-'KT THAN'!$D$12)/MAX(0.0000001,ABS(COS(H177))),(hthan*500-'KT THAN'!$D$12)/MAX(0.0000001,ABS(SIN(H177)))))*COS(H177))</f>
        <v>2171.7146477878955</v>
      </c>
      <c r="J177" s="52">
        <f>IF(G177="",0,IF(shp=1,IF(AND(ABS(SIN(H177))&gt;0.0000001,MAX(1,hthan*500-'KT THAN'!$D$12)*ABS(COS(H177))/ABS(SIN(H177))&lt;=MAX(0,(bthan-hthan)*500)),MAX(1,hthan*500-'KT THAN'!$D$12)/ABS(SIN(H177)),MAX(0,(bthan-hthan)*500)*ABS(COS(H177))+SQRT(MAX(0,MAX(1,hthan*500-'KT THAN'!$D$12)^2-MAX(0,(bthan-hthan)*500)^2*SIN(H177)^2))),MIN((bthan*500-'KT THAN'!$D$12)/MAX(0.0000001,ABS(COS(H177))),(hthan*500-'KT THAN'!$D$12)/MAX(0.0000001,ABS(SIN(H177)))))*SIN(H177))</f>
        <v>-663.95979920194668</v>
      </c>
      <c r="K177" s="52">
        <f>IF(G177="",0,'KT THAN'!$D$11/'KT THAN'!$C$11)</f>
        <v>804.24771931898704</v>
      </c>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row>
    <row r="178" spans="1:40" x14ac:dyDescent="0.3">
      <c r="A178" s="52">
        <v>173</v>
      </c>
      <c r="B178" s="52">
        <f>-bthan*500+(22+0.5)*bthan*1000/50</f>
        <v>-275</v>
      </c>
      <c r="C178" s="52">
        <f t="shared" si="84"/>
        <v>-730</v>
      </c>
      <c r="D178" s="52">
        <f t="shared" si="81"/>
        <v>2200</v>
      </c>
      <c r="E178" s="52">
        <f t="shared" si="82"/>
        <v>1</v>
      </c>
      <c r="F178" s="52"/>
      <c r="G178" s="52">
        <f>IF(173&lt;='KT THAN'!$C$11,173,"")</f>
        <v>173</v>
      </c>
      <c r="H178" s="52">
        <f>IF(G178="",0,2*PI()*(G178-0.5)/'KT THAN'!$C$11)</f>
        <v>6.0213859193804371</v>
      </c>
      <c r="I178" s="52">
        <f>IF(G178="",0,IF(shp=1,IF(AND(ABS(SIN(H178))&gt;0.0000001,MAX(1,hthan*500-'KT THAN'!$D$12)*ABS(COS(H178))/ABS(SIN(H178))&lt;=MAX(0,(bthan-hthan)*500)),MAX(1,hthan*500-'KT THAN'!$D$12)/ABS(SIN(H178)),MAX(0,(bthan-hthan)*500)*ABS(COS(H178))+SQRT(MAX(0,MAX(1,hthan*500-'KT THAN'!$D$12)^2-MAX(0,(bthan-hthan)*500)^2*SIN(H178)^2))),MIN((bthan*500-'KT THAN'!$D$12)/MAX(0.0000001,ABS(COS(H178))),(hthan*500-'KT THAN'!$D$12)/MAX(0.0000001,ABS(SIN(H178)))))*COS(H178))</f>
        <v>2287.9043557248278</v>
      </c>
      <c r="J178" s="52">
        <f>IF(G178="",0,IF(shp=1,IF(AND(ABS(SIN(H178))&gt;0.0000001,MAX(1,hthan*500-'KT THAN'!$D$12)*ABS(COS(H178))/ABS(SIN(H178))&lt;=MAX(0,(bthan-hthan)*500)),MAX(1,hthan*500-'KT THAN'!$D$12)/ABS(SIN(H178)),MAX(0,(bthan-hthan)*500)*ABS(COS(H178))+SQRT(MAX(0,MAX(1,hthan*500-'KT THAN'!$D$12)^2-MAX(0,(bthan-hthan)*500)^2*SIN(H178)^2))),MIN((bthan*500-'KT THAN'!$D$12)/MAX(0.0000001,ABS(COS(H178))),(hthan*500-'KT THAN'!$D$12)/MAX(0.0000001,ABS(SIN(H178)))))*SIN(H178))</f>
        <v>-613.04212447611553</v>
      </c>
      <c r="K178" s="52">
        <f>IF(G178="",0,'KT THAN'!$D$11/'KT THAN'!$C$11)</f>
        <v>804.24771931898704</v>
      </c>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row>
    <row r="179" spans="1:40" x14ac:dyDescent="0.3">
      <c r="A179" s="52">
        <v>174</v>
      </c>
      <c r="B179" s="52">
        <f>-bthan*500+(23+0.5)*bthan*1000/50</f>
        <v>-165</v>
      </c>
      <c r="C179" s="52">
        <f t="shared" si="84"/>
        <v>-730</v>
      </c>
      <c r="D179" s="52">
        <f t="shared" si="81"/>
        <v>2200</v>
      </c>
      <c r="E179" s="52">
        <f t="shared" si="82"/>
        <v>1</v>
      </c>
      <c r="F179" s="52"/>
      <c r="G179" s="52">
        <f>IF(174&lt;='KT THAN'!$C$11,174,"")</f>
        <v>174</v>
      </c>
      <c r="H179" s="52">
        <f>IF(G179="",0,2*PI()*(G179-0.5)/'KT THAN'!$C$11)</f>
        <v>6.0562925044203233</v>
      </c>
      <c r="I179" s="52">
        <f>IF(G179="",0,IF(shp=1,IF(AND(ABS(SIN(H179))&gt;0.0000001,MAX(1,hthan*500-'KT THAN'!$D$12)*ABS(COS(H179))/ABS(SIN(H179))&lt;=MAX(0,(bthan-hthan)*500)),MAX(1,hthan*500-'KT THAN'!$D$12)/ABS(SIN(H179)),MAX(0,(bthan-hthan)*500)*ABS(COS(H179))+SQRT(MAX(0,MAX(1,hthan*500-'KT THAN'!$D$12)^2-MAX(0,(bthan-hthan)*500)^2*SIN(H179)^2))),MIN((bthan*500-'KT THAN'!$D$12)/MAX(0.0000001,ABS(COS(H179))),(hthan*500-'KT THAN'!$D$12)/MAX(0.0000001,ABS(SIN(H179)))))*COS(H179))</f>
        <v>2382.8537205060102</v>
      </c>
      <c r="J179" s="52">
        <f>IF(G179="",0,IF(shp=1,IF(AND(ABS(SIN(H179))&gt;0.0000001,MAX(1,hthan*500-'KT THAN'!$D$12)*ABS(COS(H179))/ABS(SIN(H179))&lt;=MAX(0,(bthan-hthan)*500)),MAX(1,hthan*500-'KT THAN'!$D$12)/ABS(SIN(H179)),MAX(0,(bthan-hthan)*500)*ABS(COS(H179))+SQRT(MAX(0,MAX(1,hthan*500-'KT THAN'!$D$12)^2-MAX(0,(bthan-hthan)*500)^2*SIN(H179)^2))),MIN((bthan*500-'KT THAN'!$D$12)/MAX(0.0000001,ABS(COS(H179))),(hthan*500-'KT THAN'!$D$12)/MAX(0.0000001,ABS(SIN(H179)))))*SIN(H179))</f>
        <v>-550.12512817004165</v>
      </c>
      <c r="K179" s="52">
        <f>IF(G179="",0,'KT THAN'!$D$11/'KT THAN'!$C$11)</f>
        <v>804.24771931898704</v>
      </c>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row>
    <row r="180" spans="1:40" x14ac:dyDescent="0.3">
      <c r="A180" s="52">
        <v>175</v>
      </c>
      <c r="B180" s="52">
        <f>-bthan*500+(24+0.5)*bthan*1000/50</f>
        <v>-55</v>
      </c>
      <c r="C180" s="52">
        <f t="shared" si="84"/>
        <v>-730</v>
      </c>
      <c r="D180" s="52">
        <f t="shared" si="81"/>
        <v>2200</v>
      </c>
      <c r="E180" s="52">
        <f t="shared" si="82"/>
        <v>1</v>
      </c>
      <c r="F180" s="52"/>
      <c r="G180" s="52">
        <f>IF(175&lt;='KT THAN'!$C$11,175,"")</f>
        <v>175</v>
      </c>
      <c r="H180" s="52">
        <f>IF(G180="",0,2*PI()*(G180-0.5)/'KT THAN'!$C$11)</f>
        <v>6.0911990894602104</v>
      </c>
      <c r="I180" s="52">
        <f>IF(G180="",0,IF(shp=1,IF(AND(ABS(SIN(H180))&gt;0.0000001,MAX(1,hthan*500-'KT THAN'!$D$12)*ABS(COS(H180))/ABS(SIN(H180))&lt;=MAX(0,(bthan-hthan)*500)),MAX(1,hthan*500-'KT THAN'!$D$12)/ABS(SIN(H180)),MAX(0,(bthan-hthan)*500)*ABS(COS(H180))+SQRT(MAX(0,MAX(1,hthan*500-'KT THAN'!$D$12)^2-MAX(0,(bthan-hthan)*500)^2*SIN(H180)^2))),MIN((bthan*500-'KT THAN'!$D$12)/MAX(0.0000001,ABS(COS(H180))),(hthan*500-'KT THAN'!$D$12)/MAX(0.0000001,ABS(SIN(H180)))))*COS(H180))</f>
        <v>2461.0341055621225</v>
      </c>
      <c r="J180" s="52">
        <f>IF(G180="",0,IF(shp=1,IF(AND(ABS(SIN(H180))&gt;0.0000001,MAX(1,hthan*500-'KT THAN'!$D$12)*ABS(COS(H180))/ABS(SIN(H180))&lt;=MAX(0,(bthan-hthan)*500)),MAX(1,hthan*500-'KT THAN'!$D$12)/ABS(SIN(H180)),MAX(0,(bthan-hthan)*500)*ABS(COS(H180))+SQRT(MAX(0,MAX(1,hthan*500-'KT THAN'!$D$12)^2-MAX(0,(bthan-hthan)*500)^2*SIN(H180)^2))),MIN((bthan*500-'KT THAN'!$D$12)/MAX(0.0000001,ABS(COS(H180))),(hthan*500-'KT THAN'!$D$12)/MAX(0.0000001,ABS(SIN(H180)))))*SIN(H180))</f>
        <v>-478.37657023763347</v>
      </c>
      <c r="K180" s="52">
        <f>IF(G180="",0,'KT THAN'!$D$11/'KT THAN'!$C$11)</f>
        <v>804.24771931898704</v>
      </c>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row>
    <row r="181" spans="1:40" x14ac:dyDescent="0.3">
      <c r="A181" s="52">
        <v>176</v>
      </c>
      <c r="B181" s="52">
        <f>-bthan*500+(25+0.5)*bthan*1000/50</f>
        <v>55</v>
      </c>
      <c r="C181" s="52">
        <f t="shared" si="84"/>
        <v>-730</v>
      </c>
      <c r="D181" s="52">
        <f t="shared" si="81"/>
        <v>2200</v>
      </c>
      <c r="E181" s="52">
        <f t="shared" si="82"/>
        <v>1</v>
      </c>
      <c r="F181" s="52"/>
      <c r="G181" s="52">
        <f>IF(176&lt;='KT THAN'!$C$11,176,"")</f>
        <v>176</v>
      </c>
      <c r="H181" s="52">
        <f>IF(G181="",0,2*PI()*(G181-0.5)/'KT THAN'!$C$11)</f>
        <v>6.1261056745000966</v>
      </c>
      <c r="I181" s="52">
        <f>IF(G181="",0,IF(shp=1,IF(AND(ABS(SIN(H181))&gt;0.0000001,MAX(1,hthan*500-'KT THAN'!$D$12)*ABS(COS(H181))/ABS(SIN(H181))&lt;=MAX(0,(bthan-hthan)*500)),MAX(1,hthan*500-'KT THAN'!$D$12)/ABS(SIN(H181)),MAX(0,(bthan-hthan)*500)*ABS(COS(H181))+SQRT(MAX(0,MAX(1,hthan*500-'KT THAN'!$D$12)^2-MAX(0,(bthan-hthan)*500)^2*SIN(H181)^2))),MIN((bthan*500-'KT THAN'!$D$12)/MAX(0.0000001,ABS(COS(H181))),(hthan*500-'KT THAN'!$D$12)/MAX(0.0000001,ABS(SIN(H181)))))*COS(H181))</f>
        <v>2524.5599734070083</v>
      </c>
      <c r="J181" s="52">
        <f>IF(G181="",0,IF(shp=1,IF(AND(ABS(SIN(H181))&gt;0.0000001,MAX(1,hthan*500-'KT THAN'!$D$12)*ABS(COS(H181))/ABS(SIN(H181))&lt;=MAX(0,(bthan-hthan)*500)),MAX(1,hthan*500-'KT THAN'!$D$12)/ABS(SIN(H181)),MAX(0,(bthan-hthan)*500)*ABS(COS(H181))+SQRT(MAX(0,MAX(1,hthan*500-'KT THAN'!$D$12)^2-MAX(0,(bthan-hthan)*500)^2*SIN(H181)^2))),MIN((bthan*500-'KT THAN'!$D$12)/MAX(0.0000001,ABS(COS(H181))),(hthan*500-'KT THAN'!$D$12)/MAX(0.0000001,ABS(SIN(H181)))))*SIN(H181))</f>
        <v>-399.85101845379592</v>
      </c>
      <c r="K181" s="52">
        <f>IF(G181="",0,'KT THAN'!$D$11/'KT THAN'!$C$11)</f>
        <v>804.24771931898704</v>
      </c>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row>
    <row r="182" spans="1:40" x14ac:dyDescent="0.3">
      <c r="A182" s="52">
        <v>177</v>
      </c>
      <c r="B182" s="52">
        <f>-bthan*500+(26+0.5)*bthan*1000/50</f>
        <v>165</v>
      </c>
      <c r="C182" s="52">
        <f t="shared" si="84"/>
        <v>-730</v>
      </c>
      <c r="D182" s="52">
        <f t="shared" si="81"/>
        <v>2200</v>
      </c>
      <c r="E182" s="52">
        <f t="shared" si="82"/>
        <v>1</v>
      </c>
      <c r="F182" s="52"/>
      <c r="G182" s="52">
        <f>IF(177&lt;='KT THAN'!$C$11,177,"")</f>
        <v>177</v>
      </c>
      <c r="H182" s="52">
        <f>IF(G182="",0,2*PI()*(G182-0.5)/'KT THAN'!$C$11)</f>
        <v>6.1610122595399828</v>
      </c>
      <c r="I182" s="52">
        <f>IF(G182="",0,IF(shp=1,IF(AND(ABS(SIN(H182))&gt;0.0000001,MAX(1,hthan*500-'KT THAN'!$D$12)*ABS(COS(H182))/ABS(SIN(H182))&lt;=MAX(0,(bthan-hthan)*500)),MAX(1,hthan*500-'KT THAN'!$D$12)/ABS(SIN(H182)),MAX(0,(bthan-hthan)*500)*ABS(COS(H182))+SQRT(MAX(0,MAX(1,hthan*500-'KT THAN'!$D$12)^2-MAX(0,(bthan-hthan)*500)^2*SIN(H182)^2))),MIN((bthan*500-'KT THAN'!$D$12)/MAX(0.0000001,ABS(COS(H182))),(hthan*500-'KT THAN'!$D$12)/MAX(0.0000001,ABS(SIN(H182)))))*COS(H182))</f>
        <v>2574.5564894608901</v>
      </c>
      <c r="J182" s="52">
        <f>IF(G182="",0,IF(shp=1,IF(AND(ABS(SIN(H182))&gt;0.0000001,MAX(1,hthan*500-'KT THAN'!$D$12)*ABS(COS(H182))/ABS(SIN(H182))&lt;=MAX(0,(bthan-hthan)*500)),MAX(1,hthan*500-'KT THAN'!$D$12)/ABS(SIN(H182)),MAX(0,(bthan-hthan)*500)*ABS(COS(H182))+SQRT(MAX(0,MAX(1,hthan*500-'KT THAN'!$D$12)^2-MAX(0,(bthan-hthan)*500)^2*SIN(H182)^2))),MIN((bthan*500-'KT THAN'!$D$12)/MAX(0.0000001,ABS(COS(H182))),(hthan*500-'KT THAN'!$D$12)/MAX(0.0000001,ABS(SIN(H182)))))*SIN(H182))</f>
        <v>-316.11578807818057</v>
      </c>
      <c r="K182" s="52">
        <f>IF(G182="",0,'KT THAN'!$D$11/'KT THAN'!$C$11)</f>
        <v>804.24771931898704</v>
      </c>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row>
    <row r="183" spans="1:40" x14ac:dyDescent="0.3">
      <c r="A183" s="52">
        <v>178</v>
      </c>
      <c r="B183" s="52">
        <f>-bthan*500+(27+0.5)*bthan*1000/50</f>
        <v>275</v>
      </c>
      <c r="C183" s="52">
        <f t="shared" si="84"/>
        <v>-730</v>
      </c>
      <c r="D183" s="52">
        <f t="shared" si="81"/>
        <v>2200</v>
      </c>
      <c r="E183" s="52">
        <f t="shared" si="82"/>
        <v>1</v>
      </c>
      <c r="F183" s="52"/>
      <c r="G183" s="52">
        <f>IF(178&lt;='KT THAN'!$C$11,178,"")</f>
        <v>178</v>
      </c>
      <c r="H183" s="52">
        <f>IF(G183="",0,2*PI()*(G183-0.5)/'KT THAN'!$C$11)</f>
        <v>6.1959188445798699</v>
      </c>
      <c r="I183" s="52">
        <f>IF(G183="",0,IF(shp=1,IF(AND(ABS(SIN(H183))&gt;0.0000001,MAX(1,hthan*500-'KT THAN'!$D$12)*ABS(COS(H183))/ABS(SIN(H183))&lt;=MAX(0,(bthan-hthan)*500)),MAX(1,hthan*500-'KT THAN'!$D$12)/ABS(SIN(H183)),MAX(0,(bthan-hthan)*500)*ABS(COS(H183))+SQRT(MAX(0,MAX(1,hthan*500-'KT THAN'!$D$12)^2-MAX(0,(bthan-hthan)*500)^2*SIN(H183)^2))),MIN((bthan*500-'KT THAN'!$D$12)/MAX(0.0000001,ABS(COS(H183))),(hthan*500-'KT THAN'!$D$12)/MAX(0.0000001,ABS(SIN(H183)))))*COS(H183))</f>
        <v>2611.6585846604944</v>
      </c>
      <c r="J183" s="52">
        <f>IF(G183="",0,IF(shp=1,IF(AND(ABS(SIN(H183))&gt;0.0000001,MAX(1,hthan*500-'KT THAN'!$D$12)*ABS(COS(H183))/ABS(SIN(H183))&lt;=MAX(0,(bthan-hthan)*500)),MAX(1,hthan*500-'KT THAN'!$D$12)/ABS(SIN(H183)),MAX(0,(bthan-hthan)*500)*ABS(COS(H183))+SQRT(MAX(0,MAX(1,hthan*500-'KT THAN'!$D$12)^2-MAX(0,(bthan-hthan)*500)^2*SIN(H183)^2))),MIN((bthan*500-'KT THAN'!$D$12)/MAX(0.0000001,ABS(COS(H183))),(hthan*500-'KT THAN'!$D$12)/MAX(0.0000001,ABS(SIN(H183)))))*SIN(H183))</f>
        <v>-228.49051915795332</v>
      </c>
      <c r="K183" s="52">
        <f>IF(G183="",0,'KT THAN'!$D$11/'KT THAN'!$C$11)</f>
        <v>804.24771931898704</v>
      </c>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row>
    <row r="184" spans="1:40" x14ac:dyDescent="0.3">
      <c r="A184" s="52">
        <v>179</v>
      </c>
      <c r="B184" s="52">
        <f>-bthan*500+(28+0.5)*bthan*1000/50</f>
        <v>385</v>
      </c>
      <c r="C184" s="52">
        <f t="shared" si="84"/>
        <v>-730</v>
      </c>
      <c r="D184" s="52">
        <f t="shared" si="81"/>
        <v>2200</v>
      </c>
      <c r="E184" s="52">
        <f t="shared" si="82"/>
        <v>1</v>
      </c>
      <c r="F184" s="52"/>
      <c r="G184" s="52">
        <f>IF(179&lt;='KT THAN'!$C$11,179,"")</f>
        <v>179</v>
      </c>
      <c r="H184" s="52">
        <f>IF(G184="",0,2*PI()*(G184-0.5)/'KT THAN'!$C$11)</f>
        <v>6.2308254296197561</v>
      </c>
      <c r="I184" s="52">
        <f>IF(G184="",0,IF(shp=1,IF(AND(ABS(SIN(H184))&gt;0.0000001,MAX(1,hthan*500-'KT THAN'!$D$12)*ABS(COS(H184))/ABS(SIN(H184))&lt;=MAX(0,(bthan-hthan)*500)),MAX(1,hthan*500-'KT THAN'!$D$12)/ABS(SIN(H184)),MAX(0,(bthan-hthan)*500)*ABS(COS(H184))+SQRT(MAX(0,MAX(1,hthan*500-'KT THAN'!$D$12)^2-MAX(0,(bthan-hthan)*500)^2*SIN(H184)^2))),MIN((bthan*500-'KT THAN'!$D$12)/MAX(0.0000001,ABS(COS(H184))),(hthan*500-'KT THAN'!$D$12)/MAX(0.0000001,ABS(SIN(H184)))))*COS(H184))</f>
        <v>2636.2303524859608</v>
      </c>
      <c r="J184" s="52">
        <f>IF(G184="",0,IF(shp=1,IF(AND(ABS(SIN(H184))&gt;0.0000001,MAX(1,hthan*500-'KT THAN'!$D$12)*ABS(COS(H184))/ABS(SIN(H184))&lt;=MAX(0,(bthan-hthan)*500)),MAX(1,hthan*500-'KT THAN'!$D$12)/ABS(SIN(H184)),MAX(0,(bthan-hthan)*500)*ABS(COS(H184))+SQRT(MAX(0,MAX(1,hthan*500-'KT THAN'!$D$12)^2-MAX(0,(bthan-hthan)*500)^2*SIN(H184)^2))),MIN((bthan*500-'KT THAN'!$D$12)/MAX(0.0000001,ABS(COS(H184))),(hthan*500-'KT THAN'!$D$12)/MAX(0.0000001,ABS(SIN(H184)))))*SIN(H184))</f>
        <v>-138.15897845233957</v>
      </c>
      <c r="K184" s="52">
        <f>IF(G184="",0,'KT THAN'!$D$11/'KT THAN'!$C$11)</f>
        <v>804.24771931898704</v>
      </c>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row>
    <row r="185" spans="1:40" x14ac:dyDescent="0.3">
      <c r="A185" s="52">
        <v>180</v>
      </c>
      <c r="B185" s="52">
        <f>-bthan*500+(29+0.5)*bthan*1000/50</f>
        <v>495</v>
      </c>
      <c r="C185" s="52">
        <f t="shared" si="84"/>
        <v>-730</v>
      </c>
      <c r="D185" s="52">
        <f t="shared" si="81"/>
        <v>2200</v>
      </c>
      <c r="E185" s="52">
        <f t="shared" si="82"/>
        <v>1</v>
      </c>
      <c r="F185" s="52"/>
      <c r="G185" s="52">
        <f>IF(180&lt;='KT THAN'!$C$11,180,"")</f>
        <v>180</v>
      </c>
      <c r="H185" s="52">
        <f>IF(G185="",0,2*PI()*(G185-0.5)/'KT THAN'!$C$11)</f>
        <v>6.2657320146596422</v>
      </c>
      <c r="I185" s="52">
        <f>IF(G185="",0,IF(shp=1,IF(AND(ABS(SIN(H185))&gt;0.0000001,MAX(1,hthan*500-'KT THAN'!$D$12)*ABS(COS(H185))/ABS(SIN(H185))&lt;=MAX(0,(bthan-hthan)*500)),MAX(1,hthan*500-'KT THAN'!$D$12)/ABS(SIN(H185)),MAX(0,(bthan-hthan)*500)*ABS(COS(H185))+SQRT(MAX(0,MAX(1,hthan*500-'KT THAN'!$D$12)^2-MAX(0,(bthan-hthan)*500)^2*SIN(H185)^2))),MIN((bthan*500-'KT THAN'!$D$12)/MAX(0.0000001,ABS(COS(H185))),(hthan*500-'KT THAN'!$D$12)/MAX(0.0000001,ABS(SIN(H185)))))*COS(H185))</f>
        <v>2648.4718009333537</v>
      </c>
      <c r="J185" s="52">
        <f>IF(G185="",0,IF(shp=1,IF(AND(ABS(SIN(H185))&gt;0.0000001,MAX(1,hthan*500-'KT THAN'!$D$12)*ABS(COS(H185))/ABS(SIN(H185))&lt;=MAX(0,(bthan-hthan)*500)),MAX(1,hthan*500-'KT THAN'!$D$12)/ABS(SIN(H185)),MAX(0,(bthan-hthan)*500)*ABS(COS(H185))+SQRT(MAX(0,MAX(1,hthan*500-'KT THAN'!$D$12)^2-MAX(0,(bthan-hthan)*500)^2*SIN(H185)^2))),MIN((bthan*500-'KT THAN'!$D$12)/MAX(0.0000001,ABS(COS(H185))),(hthan*500-'KT THAN'!$D$12)/MAX(0.0000001,ABS(SIN(H185)))))*SIN(H185))</f>
        <v>-46.229247245847525</v>
      </c>
      <c r="K185" s="52">
        <f>IF(G185="",0,'KT THAN'!$D$11/'KT THAN'!$C$11)</f>
        <v>804.24771931898704</v>
      </c>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row>
    <row r="186" spans="1:40" x14ac:dyDescent="0.3">
      <c r="A186" s="52">
        <v>181</v>
      </c>
      <c r="B186" s="52">
        <f>-bthan*500+(30+0.5)*bthan*1000/50</f>
        <v>605</v>
      </c>
      <c r="C186" s="52">
        <f t="shared" si="84"/>
        <v>-730</v>
      </c>
      <c r="D186" s="52">
        <f t="shared" si="81"/>
        <v>2200</v>
      </c>
      <c r="E186" s="52">
        <f t="shared" si="82"/>
        <v>1</v>
      </c>
      <c r="F186" s="52"/>
      <c r="G186" s="52" t="str">
        <f>IF(181&lt;='KT THAN'!$C$11,181,"")</f>
        <v/>
      </c>
      <c r="H186" s="52">
        <f>IF(G186="",0,2*PI()*(G186-0.5)/'KT THAN'!$C$11)</f>
        <v>0</v>
      </c>
      <c r="I186" s="52">
        <f>IF(G186="",0,IF(shp=1,IF(AND(ABS(SIN(H186))&gt;0.0000001,MAX(1,hthan*500-'KT THAN'!$D$12)*ABS(COS(H186))/ABS(SIN(H186))&lt;=MAX(0,(bthan-hthan)*500)),MAX(1,hthan*500-'KT THAN'!$D$12)/ABS(SIN(H186)),MAX(0,(bthan-hthan)*500)*ABS(COS(H186))+SQRT(MAX(0,MAX(1,hthan*500-'KT THAN'!$D$12)^2-MAX(0,(bthan-hthan)*500)^2*SIN(H186)^2))),MIN((bthan*500-'KT THAN'!$D$12)/MAX(0.0000001,ABS(COS(H186))),(hthan*500-'KT THAN'!$D$12)/MAX(0.0000001,ABS(SIN(H186)))))*COS(H186))</f>
        <v>0</v>
      </c>
      <c r="J186" s="52">
        <f>IF(G186="",0,IF(shp=1,IF(AND(ABS(SIN(H186))&gt;0.0000001,MAX(1,hthan*500-'KT THAN'!$D$12)*ABS(COS(H186))/ABS(SIN(H186))&lt;=MAX(0,(bthan-hthan)*500)),MAX(1,hthan*500-'KT THAN'!$D$12)/ABS(SIN(H186)),MAX(0,(bthan-hthan)*500)*ABS(COS(H186))+SQRT(MAX(0,MAX(1,hthan*500-'KT THAN'!$D$12)^2-MAX(0,(bthan-hthan)*500)^2*SIN(H186)^2))),MIN((bthan*500-'KT THAN'!$D$12)/MAX(0.0000001,ABS(COS(H186))),(hthan*500-'KT THAN'!$D$12)/MAX(0.0000001,ABS(SIN(H186)))))*SIN(H186))</f>
        <v>0</v>
      </c>
      <c r="K186" s="52">
        <f>IF(G186="",0,'KT THAN'!$D$11/'KT THAN'!$C$11)</f>
        <v>0</v>
      </c>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row>
    <row r="187" spans="1:40" x14ac:dyDescent="0.3">
      <c r="A187" s="52">
        <v>182</v>
      </c>
      <c r="B187" s="52">
        <f>-bthan*500+(31+0.5)*bthan*1000/50</f>
        <v>715</v>
      </c>
      <c r="C187" s="52">
        <f t="shared" si="84"/>
        <v>-730</v>
      </c>
      <c r="D187" s="52">
        <f t="shared" si="81"/>
        <v>2200</v>
      </c>
      <c r="E187" s="52">
        <f t="shared" si="82"/>
        <v>1</v>
      </c>
      <c r="F187" s="52"/>
      <c r="G187" s="52" t="str">
        <f>IF(182&lt;='KT THAN'!$C$11,182,"")</f>
        <v/>
      </c>
      <c r="H187" s="52">
        <f>IF(G187="",0,2*PI()*(G187-0.5)/'KT THAN'!$C$11)</f>
        <v>0</v>
      </c>
      <c r="I187" s="52">
        <f>IF(G187="",0,IF(shp=1,IF(AND(ABS(SIN(H187))&gt;0.0000001,MAX(1,hthan*500-'KT THAN'!$D$12)*ABS(COS(H187))/ABS(SIN(H187))&lt;=MAX(0,(bthan-hthan)*500)),MAX(1,hthan*500-'KT THAN'!$D$12)/ABS(SIN(H187)),MAX(0,(bthan-hthan)*500)*ABS(COS(H187))+SQRT(MAX(0,MAX(1,hthan*500-'KT THAN'!$D$12)^2-MAX(0,(bthan-hthan)*500)^2*SIN(H187)^2))),MIN((bthan*500-'KT THAN'!$D$12)/MAX(0.0000001,ABS(COS(H187))),(hthan*500-'KT THAN'!$D$12)/MAX(0.0000001,ABS(SIN(H187)))))*COS(H187))</f>
        <v>0</v>
      </c>
      <c r="J187" s="52">
        <f>IF(G187="",0,IF(shp=1,IF(AND(ABS(SIN(H187))&gt;0.0000001,MAX(1,hthan*500-'KT THAN'!$D$12)*ABS(COS(H187))/ABS(SIN(H187))&lt;=MAX(0,(bthan-hthan)*500)),MAX(1,hthan*500-'KT THAN'!$D$12)/ABS(SIN(H187)),MAX(0,(bthan-hthan)*500)*ABS(COS(H187))+SQRT(MAX(0,MAX(1,hthan*500-'KT THAN'!$D$12)^2-MAX(0,(bthan-hthan)*500)^2*SIN(H187)^2))),MIN((bthan*500-'KT THAN'!$D$12)/MAX(0.0000001,ABS(COS(H187))),(hthan*500-'KT THAN'!$D$12)/MAX(0.0000001,ABS(SIN(H187)))))*SIN(H187))</f>
        <v>0</v>
      </c>
      <c r="K187" s="52">
        <f>IF(G187="",0,'KT THAN'!$D$11/'KT THAN'!$C$11)</f>
        <v>0</v>
      </c>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row>
    <row r="188" spans="1:40" x14ac:dyDescent="0.3">
      <c r="A188" s="52">
        <v>183</v>
      </c>
      <c r="B188" s="52">
        <f>-bthan*500+(32+0.5)*bthan*1000/50</f>
        <v>825</v>
      </c>
      <c r="C188" s="52">
        <f t="shared" ref="C188:C205" si="85">-hthan*500+(3+0.5)*hthan*1000/80</f>
        <v>-730</v>
      </c>
      <c r="D188" s="52">
        <f t="shared" si="81"/>
        <v>2200</v>
      </c>
      <c r="E188" s="52">
        <f t="shared" si="82"/>
        <v>1</v>
      </c>
      <c r="F188" s="52"/>
      <c r="G188" s="52" t="str">
        <f>IF(183&lt;='KT THAN'!$C$11,183,"")</f>
        <v/>
      </c>
      <c r="H188" s="52">
        <f>IF(G188="",0,2*PI()*(G188-0.5)/'KT THAN'!$C$11)</f>
        <v>0</v>
      </c>
      <c r="I188" s="52">
        <f>IF(G188="",0,IF(shp=1,IF(AND(ABS(SIN(H188))&gt;0.0000001,MAX(1,hthan*500-'KT THAN'!$D$12)*ABS(COS(H188))/ABS(SIN(H188))&lt;=MAX(0,(bthan-hthan)*500)),MAX(1,hthan*500-'KT THAN'!$D$12)/ABS(SIN(H188)),MAX(0,(bthan-hthan)*500)*ABS(COS(H188))+SQRT(MAX(0,MAX(1,hthan*500-'KT THAN'!$D$12)^2-MAX(0,(bthan-hthan)*500)^2*SIN(H188)^2))),MIN((bthan*500-'KT THAN'!$D$12)/MAX(0.0000001,ABS(COS(H188))),(hthan*500-'KT THAN'!$D$12)/MAX(0.0000001,ABS(SIN(H188)))))*COS(H188))</f>
        <v>0</v>
      </c>
      <c r="J188" s="52">
        <f>IF(G188="",0,IF(shp=1,IF(AND(ABS(SIN(H188))&gt;0.0000001,MAX(1,hthan*500-'KT THAN'!$D$12)*ABS(COS(H188))/ABS(SIN(H188))&lt;=MAX(0,(bthan-hthan)*500)),MAX(1,hthan*500-'KT THAN'!$D$12)/ABS(SIN(H188)),MAX(0,(bthan-hthan)*500)*ABS(COS(H188))+SQRT(MAX(0,MAX(1,hthan*500-'KT THAN'!$D$12)^2-MAX(0,(bthan-hthan)*500)^2*SIN(H188)^2))),MIN((bthan*500-'KT THAN'!$D$12)/MAX(0.0000001,ABS(COS(H188))),(hthan*500-'KT THAN'!$D$12)/MAX(0.0000001,ABS(SIN(H188)))))*SIN(H188))</f>
        <v>0</v>
      </c>
      <c r="K188" s="52">
        <f>IF(G188="",0,'KT THAN'!$D$11/'KT THAN'!$C$11)</f>
        <v>0</v>
      </c>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row>
    <row r="189" spans="1:40" x14ac:dyDescent="0.3">
      <c r="A189" s="52">
        <v>184</v>
      </c>
      <c r="B189" s="52">
        <f>-bthan*500+(33+0.5)*bthan*1000/50</f>
        <v>935</v>
      </c>
      <c r="C189" s="52">
        <f t="shared" si="85"/>
        <v>-730</v>
      </c>
      <c r="D189" s="52">
        <f t="shared" si="81"/>
        <v>2200</v>
      </c>
      <c r="E189" s="52">
        <f t="shared" si="82"/>
        <v>1</v>
      </c>
      <c r="F189" s="52"/>
      <c r="G189" s="52" t="str">
        <f>IF(184&lt;='KT THAN'!$C$11,184,"")</f>
        <v/>
      </c>
      <c r="H189" s="52">
        <f>IF(G189="",0,2*PI()*(G189-0.5)/'KT THAN'!$C$11)</f>
        <v>0</v>
      </c>
      <c r="I189" s="52">
        <f>IF(G189="",0,IF(shp=1,IF(AND(ABS(SIN(H189))&gt;0.0000001,MAX(1,hthan*500-'KT THAN'!$D$12)*ABS(COS(H189))/ABS(SIN(H189))&lt;=MAX(0,(bthan-hthan)*500)),MAX(1,hthan*500-'KT THAN'!$D$12)/ABS(SIN(H189)),MAX(0,(bthan-hthan)*500)*ABS(COS(H189))+SQRT(MAX(0,MAX(1,hthan*500-'KT THAN'!$D$12)^2-MAX(0,(bthan-hthan)*500)^2*SIN(H189)^2))),MIN((bthan*500-'KT THAN'!$D$12)/MAX(0.0000001,ABS(COS(H189))),(hthan*500-'KT THAN'!$D$12)/MAX(0.0000001,ABS(SIN(H189)))))*COS(H189))</f>
        <v>0</v>
      </c>
      <c r="J189" s="52">
        <f>IF(G189="",0,IF(shp=1,IF(AND(ABS(SIN(H189))&gt;0.0000001,MAX(1,hthan*500-'KT THAN'!$D$12)*ABS(COS(H189))/ABS(SIN(H189))&lt;=MAX(0,(bthan-hthan)*500)),MAX(1,hthan*500-'KT THAN'!$D$12)/ABS(SIN(H189)),MAX(0,(bthan-hthan)*500)*ABS(COS(H189))+SQRT(MAX(0,MAX(1,hthan*500-'KT THAN'!$D$12)^2-MAX(0,(bthan-hthan)*500)^2*SIN(H189)^2))),MIN((bthan*500-'KT THAN'!$D$12)/MAX(0.0000001,ABS(COS(H189))),(hthan*500-'KT THAN'!$D$12)/MAX(0.0000001,ABS(SIN(H189)))))*SIN(H189))</f>
        <v>0</v>
      </c>
      <c r="K189" s="52">
        <f>IF(G189="",0,'KT THAN'!$D$11/'KT THAN'!$C$11)</f>
        <v>0</v>
      </c>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row>
    <row r="190" spans="1:40" x14ac:dyDescent="0.3">
      <c r="A190" s="52">
        <v>185</v>
      </c>
      <c r="B190" s="52">
        <f>-bthan*500+(34+0.5)*bthan*1000/50</f>
        <v>1045</v>
      </c>
      <c r="C190" s="52">
        <f t="shared" si="85"/>
        <v>-730</v>
      </c>
      <c r="D190" s="52">
        <f t="shared" si="81"/>
        <v>2200</v>
      </c>
      <c r="E190" s="52">
        <f t="shared" si="82"/>
        <v>1</v>
      </c>
      <c r="F190" s="52"/>
      <c r="G190" s="52" t="str">
        <f>IF(185&lt;='KT THAN'!$C$11,185,"")</f>
        <v/>
      </c>
      <c r="H190" s="52">
        <f>IF(G190="",0,2*PI()*(G190-0.5)/'KT THAN'!$C$11)</f>
        <v>0</v>
      </c>
      <c r="I190" s="52">
        <f>IF(G190="",0,IF(shp=1,IF(AND(ABS(SIN(H190))&gt;0.0000001,MAX(1,hthan*500-'KT THAN'!$D$12)*ABS(COS(H190))/ABS(SIN(H190))&lt;=MAX(0,(bthan-hthan)*500)),MAX(1,hthan*500-'KT THAN'!$D$12)/ABS(SIN(H190)),MAX(0,(bthan-hthan)*500)*ABS(COS(H190))+SQRT(MAX(0,MAX(1,hthan*500-'KT THAN'!$D$12)^2-MAX(0,(bthan-hthan)*500)^2*SIN(H190)^2))),MIN((bthan*500-'KT THAN'!$D$12)/MAX(0.0000001,ABS(COS(H190))),(hthan*500-'KT THAN'!$D$12)/MAX(0.0000001,ABS(SIN(H190)))))*COS(H190))</f>
        <v>0</v>
      </c>
      <c r="J190" s="52">
        <f>IF(G190="",0,IF(shp=1,IF(AND(ABS(SIN(H190))&gt;0.0000001,MAX(1,hthan*500-'KT THAN'!$D$12)*ABS(COS(H190))/ABS(SIN(H190))&lt;=MAX(0,(bthan-hthan)*500)),MAX(1,hthan*500-'KT THAN'!$D$12)/ABS(SIN(H190)),MAX(0,(bthan-hthan)*500)*ABS(COS(H190))+SQRT(MAX(0,MAX(1,hthan*500-'KT THAN'!$D$12)^2-MAX(0,(bthan-hthan)*500)^2*SIN(H190)^2))),MIN((bthan*500-'KT THAN'!$D$12)/MAX(0.0000001,ABS(COS(H190))),(hthan*500-'KT THAN'!$D$12)/MAX(0.0000001,ABS(SIN(H190)))))*SIN(H190))</f>
        <v>0</v>
      </c>
      <c r="K190" s="52">
        <f>IF(G190="",0,'KT THAN'!$D$11/'KT THAN'!$C$11)</f>
        <v>0</v>
      </c>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row>
    <row r="191" spans="1:40" x14ac:dyDescent="0.3">
      <c r="A191" s="52">
        <v>186</v>
      </c>
      <c r="B191" s="52">
        <f>-bthan*500+(35+0.5)*bthan*1000/50</f>
        <v>1155</v>
      </c>
      <c r="C191" s="52">
        <f t="shared" si="85"/>
        <v>-730</v>
      </c>
      <c r="D191" s="52">
        <f t="shared" si="81"/>
        <v>2200</v>
      </c>
      <c r="E191" s="52">
        <f t="shared" si="82"/>
        <v>1</v>
      </c>
      <c r="F191" s="52"/>
      <c r="G191" s="52" t="str">
        <f>IF(186&lt;='KT THAN'!$C$11,186,"")</f>
        <v/>
      </c>
      <c r="H191" s="52">
        <f>IF(G191="",0,2*PI()*(G191-0.5)/'KT THAN'!$C$11)</f>
        <v>0</v>
      </c>
      <c r="I191" s="52">
        <f>IF(G191="",0,IF(shp=1,IF(AND(ABS(SIN(H191))&gt;0.0000001,MAX(1,hthan*500-'KT THAN'!$D$12)*ABS(COS(H191))/ABS(SIN(H191))&lt;=MAX(0,(bthan-hthan)*500)),MAX(1,hthan*500-'KT THAN'!$D$12)/ABS(SIN(H191)),MAX(0,(bthan-hthan)*500)*ABS(COS(H191))+SQRT(MAX(0,MAX(1,hthan*500-'KT THAN'!$D$12)^2-MAX(0,(bthan-hthan)*500)^2*SIN(H191)^2))),MIN((bthan*500-'KT THAN'!$D$12)/MAX(0.0000001,ABS(COS(H191))),(hthan*500-'KT THAN'!$D$12)/MAX(0.0000001,ABS(SIN(H191)))))*COS(H191))</f>
        <v>0</v>
      </c>
      <c r="J191" s="52">
        <f>IF(G191="",0,IF(shp=1,IF(AND(ABS(SIN(H191))&gt;0.0000001,MAX(1,hthan*500-'KT THAN'!$D$12)*ABS(COS(H191))/ABS(SIN(H191))&lt;=MAX(0,(bthan-hthan)*500)),MAX(1,hthan*500-'KT THAN'!$D$12)/ABS(SIN(H191)),MAX(0,(bthan-hthan)*500)*ABS(COS(H191))+SQRT(MAX(0,MAX(1,hthan*500-'KT THAN'!$D$12)^2-MAX(0,(bthan-hthan)*500)^2*SIN(H191)^2))),MIN((bthan*500-'KT THAN'!$D$12)/MAX(0.0000001,ABS(COS(H191))),(hthan*500-'KT THAN'!$D$12)/MAX(0.0000001,ABS(SIN(H191)))))*SIN(H191))</f>
        <v>0</v>
      </c>
      <c r="K191" s="52">
        <f>IF(G191="",0,'KT THAN'!$D$11/'KT THAN'!$C$11)</f>
        <v>0</v>
      </c>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row>
    <row r="192" spans="1:40" x14ac:dyDescent="0.3">
      <c r="A192" s="52">
        <v>187</v>
      </c>
      <c r="B192" s="52">
        <f>-bthan*500+(36+0.5)*bthan*1000/50</f>
        <v>1265</v>
      </c>
      <c r="C192" s="52">
        <f t="shared" si="85"/>
        <v>-730</v>
      </c>
      <c r="D192" s="52">
        <f t="shared" si="81"/>
        <v>2200</v>
      </c>
      <c r="E192" s="52">
        <f t="shared" si="82"/>
        <v>1</v>
      </c>
      <c r="F192" s="52"/>
      <c r="G192" s="52" t="str">
        <f>IF(187&lt;='KT THAN'!$C$11,187,"")</f>
        <v/>
      </c>
      <c r="H192" s="52">
        <f>IF(G192="",0,2*PI()*(G192-0.5)/'KT THAN'!$C$11)</f>
        <v>0</v>
      </c>
      <c r="I192" s="52">
        <f>IF(G192="",0,IF(shp=1,IF(AND(ABS(SIN(H192))&gt;0.0000001,MAX(1,hthan*500-'KT THAN'!$D$12)*ABS(COS(H192))/ABS(SIN(H192))&lt;=MAX(0,(bthan-hthan)*500)),MAX(1,hthan*500-'KT THAN'!$D$12)/ABS(SIN(H192)),MAX(0,(bthan-hthan)*500)*ABS(COS(H192))+SQRT(MAX(0,MAX(1,hthan*500-'KT THAN'!$D$12)^2-MAX(0,(bthan-hthan)*500)^2*SIN(H192)^2))),MIN((bthan*500-'KT THAN'!$D$12)/MAX(0.0000001,ABS(COS(H192))),(hthan*500-'KT THAN'!$D$12)/MAX(0.0000001,ABS(SIN(H192)))))*COS(H192))</f>
        <v>0</v>
      </c>
      <c r="J192" s="52">
        <f>IF(G192="",0,IF(shp=1,IF(AND(ABS(SIN(H192))&gt;0.0000001,MAX(1,hthan*500-'KT THAN'!$D$12)*ABS(COS(H192))/ABS(SIN(H192))&lt;=MAX(0,(bthan-hthan)*500)),MAX(1,hthan*500-'KT THAN'!$D$12)/ABS(SIN(H192)),MAX(0,(bthan-hthan)*500)*ABS(COS(H192))+SQRT(MAX(0,MAX(1,hthan*500-'KT THAN'!$D$12)^2-MAX(0,(bthan-hthan)*500)^2*SIN(H192)^2))),MIN((bthan*500-'KT THAN'!$D$12)/MAX(0.0000001,ABS(COS(H192))),(hthan*500-'KT THAN'!$D$12)/MAX(0.0000001,ABS(SIN(H192)))))*SIN(H192))</f>
        <v>0</v>
      </c>
      <c r="K192" s="52">
        <f>IF(G192="",0,'KT THAN'!$D$11/'KT THAN'!$C$11)</f>
        <v>0</v>
      </c>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row>
    <row r="193" spans="1:40" x14ac:dyDescent="0.3">
      <c r="A193" s="52">
        <v>188</v>
      </c>
      <c r="B193" s="52">
        <f>-bthan*500+(37+0.5)*bthan*1000/50</f>
        <v>1375</v>
      </c>
      <c r="C193" s="52">
        <f t="shared" si="85"/>
        <v>-730</v>
      </c>
      <c r="D193" s="52">
        <f t="shared" si="81"/>
        <v>2200</v>
      </c>
      <c r="E193" s="52">
        <f t="shared" si="82"/>
        <v>1</v>
      </c>
      <c r="F193" s="52"/>
      <c r="G193" s="52" t="str">
        <f>IF(188&lt;='KT THAN'!$C$11,188,"")</f>
        <v/>
      </c>
      <c r="H193" s="52">
        <f>IF(G193="",0,2*PI()*(G193-0.5)/'KT THAN'!$C$11)</f>
        <v>0</v>
      </c>
      <c r="I193" s="52">
        <f>IF(G193="",0,IF(shp=1,IF(AND(ABS(SIN(H193))&gt;0.0000001,MAX(1,hthan*500-'KT THAN'!$D$12)*ABS(COS(H193))/ABS(SIN(H193))&lt;=MAX(0,(bthan-hthan)*500)),MAX(1,hthan*500-'KT THAN'!$D$12)/ABS(SIN(H193)),MAX(0,(bthan-hthan)*500)*ABS(COS(H193))+SQRT(MAX(0,MAX(1,hthan*500-'KT THAN'!$D$12)^2-MAX(0,(bthan-hthan)*500)^2*SIN(H193)^2))),MIN((bthan*500-'KT THAN'!$D$12)/MAX(0.0000001,ABS(COS(H193))),(hthan*500-'KT THAN'!$D$12)/MAX(0.0000001,ABS(SIN(H193)))))*COS(H193))</f>
        <v>0</v>
      </c>
      <c r="J193" s="52">
        <f>IF(G193="",0,IF(shp=1,IF(AND(ABS(SIN(H193))&gt;0.0000001,MAX(1,hthan*500-'KT THAN'!$D$12)*ABS(COS(H193))/ABS(SIN(H193))&lt;=MAX(0,(bthan-hthan)*500)),MAX(1,hthan*500-'KT THAN'!$D$12)/ABS(SIN(H193)),MAX(0,(bthan-hthan)*500)*ABS(COS(H193))+SQRT(MAX(0,MAX(1,hthan*500-'KT THAN'!$D$12)^2-MAX(0,(bthan-hthan)*500)^2*SIN(H193)^2))),MIN((bthan*500-'KT THAN'!$D$12)/MAX(0.0000001,ABS(COS(H193))),(hthan*500-'KT THAN'!$D$12)/MAX(0.0000001,ABS(SIN(H193)))))*SIN(H193))</f>
        <v>0</v>
      </c>
      <c r="K193" s="52">
        <f>IF(G193="",0,'KT THAN'!$D$11/'KT THAN'!$C$11)</f>
        <v>0</v>
      </c>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row>
    <row r="194" spans="1:40" x14ac:dyDescent="0.3">
      <c r="A194" s="52">
        <v>189</v>
      </c>
      <c r="B194" s="52">
        <f>-bthan*500+(38+0.5)*bthan*1000/50</f>
        <v>1485</v>
      </c>
      <c r="C194" s="52">
        <f t="shared" si="85"/>
        <v>-730</v>
      </c>
      <c r="D194" s="52">
        <f t="shared" si="81"/>
        <v>2200</v>
      </c>
      <c r="E194" s="52">
        <f t="shared" si="82"/>
        <v>1</v>
      </c>
      <c r="F194" s="52"/>
      <c r="G194" s="52" t="str">
        <f>IF(189&lt;='KT THAN'!$C$11,189,"")</f>
        <v/>
      </c>
      <c r="H194" s="52">
        <f>IF(G194="",0,2*PI()*(G194-0.5)/'KT THAN'!$C$11)</f>
        <v>0</v>
      </c>
      <c r="I194" s="52">
        <f>IF(G194="",0,IF(shp=1,IF(AND(ABS(SIN(H194))&gt;0.0000001,MAX(1,hthan*500-'KT THAN'!$D$12)*ABS(COS(H194))/ABS(SIN(H194))&lt;=MAX(0,(bthan-hthan)*500)),MAX(1,hthan*500-'KT THAN'!$D$12)/ABS(SIN(H194)),MAX(0,(bthan-hthan)*500)*ABS(COS(H194))+SQRT(MAX(0,MAX(1,hthan*500-'KT THAN'!$D$12)^2-MAX(0,(bthan-hthan)*500)^2*SIN(H194)^2))),MIN((bthan*500-'KT THAN'!$D$12)/MAX(0.0000001,ABS(COS(H194))),(hthan*500-'KT THAN'!$D$12)/MAX(0.0000001,ABS(SIN(H194)))))*COS(H194))</f>
        <v>0</v>
      </c>
      <c r="J194" s="52">
        <f>IF(G194="",0,IF(shp=1,IF(AND(ABS(SIN(H194))&gt;0.0000001,MAX(1,hthan*500-'KT THAN'!$D$12)*ABS(COS(H194))/ABS(SIN(H194))&lt;=MAX(0,(bthan-hthan)*500)),MAX(1,hthan*500-'KT THAN'!$D$12)/ABS(SIN(H194)),MAX(0,(bthan-hthan)*500)*ABS(COS(H194))+SQRT(MAX(0,MAX(1,hthan*500-'KT THAN'!$D$12)^2-MAX(0,(bthan-hthan)*500)^2*SIN(H194)^2))),MIN((bthan*500-'KT THAN'!$D$12)/MAX(0.0000001,ABS(COS(H194))),(hthan*500-'KT THAN'!$D$12)/MAX(0.0000001,ABS(SIN(H194)))))*SIN(H194))</f>
        <v>0</v>
      </c>
      <c r="K194" s="52">
        <f>IF(G194="",0,'KT THAN'!$D$11/'KT THAN'!$C$11)</f>
        <v>0</v>
      </c>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row>
    <row r="195" spans="1:40" x14ac:dyDescent="0.3">
      <c r="A195" s="52">
        <v>190</v>
      </c>
      <c r="B195" s="52">
        <f>-bthan*500+(39+0.5)*bthan*1000/50</f>
        <v>1595</v>
      </c>
      <c r="C195" s="52">
        <f t="shared" si="85"/>
        <v>-730</v>
      </c>
      <c r="D195" s="52">
        <f t="shared" si="81"/>
        <v>2200</v>
      </c>
      <c r="E195" s="52">
        <f t="shared" si="82"/>
        <v>1</v>
      </c>
      <c r="F195" s="52"/>
      <c r="G195" s="52" t="str">
        <f>IF(190&lt;='KT THAN'!$C$11,190,"")</f>
        <v/>
      </c>
      <c r="H195" s="52">
        <f>IF(G195="",0,2*PI()*(G195-0.5)/'KT THAN'!$C$11)</f>
        <v>0</v>
      </c>
      <c r="I195" s="52">
        <f>IF(G195="",0,IF(shp=1,IF(AND(ABS(SIN(H195))&gt;0.0000001,MAX(1,hthan*500-'KT THAN'!$D$12)*ABS(COS(H195))/ABS(SIN(H195))&lt;=MAX(0,(bthan-hthan)*500)),MAX(1,hthan*500-'KT THAN'!$D$12)/ABS(SIN(H195)),MAX(0,(bthan-hthan)*500)*ABS(COS(H195))+SQRT(MAX(0,MAX(1,hthan*500-'KT THAN'!$D$12)^2-MAX(0,(bthan-hthan)*500)^2*SIN(H195)^2))),MIN((bthan*500-'KT THAN'!$D$12)/MAX(0.0000001,ABS(COS(H195))),(hthan*500-'KT THAN'!$D$12)/MAX(0.0000001,ABS(SIN(H195)))))*COS(H195))</f>
        <v>0</v>
      </c>
      <c r="J195" s="52">
        <f>IF(G195="",0,IF(shp=1,IF(AND(ABS(SIN(H195))&gt;0.0000001,MAX(1,hthan*500-'KT THAN'!$D$12)*ABS(COS(H195))/ABS(SIN(H195))&lt;=MAX(0,(bthan-hthan)*500)),MAX(1,hthan*500-'KT THAN'!$D$12)/ABS(SIN(H195)),MAX(0,(bthan-hthan)*500)*ABS(COS(H195))+SQRT(MAX(0,MAX(1,hthan*500-'KT THAN'!$D$12)^2-MAX(0,(bthan-hthan)*500)^2*SIN(H195)^2))),MIN((bthan*500-'KT THAN'!$D$12)/MAX(0.0000001,ABS(COS(H195))),(hthan*500-'KT THAN'!$D$12)/MAX(0.0000001,ABS(SIN(H195)))))*SIN(H195))</f>
        <v>0</v>
      </c>
      <c r="K195" s="52">
        <f>IF(G195="",0,'KT THAN'!$D$11/'KT THAN'!$C$11)</f>
        <v>0</v>
      </c>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row>
    <row r="196" spans="1:40" x14ac:dyDescent="0.3">
      <c r="A196" s="52">
        <v>191</v>
      </c>
      <c r="B196" s="52">
        <f>-bthan*500+(40+0.5)*bthan*1000/50</f>
        <v>1705</v>
      </c>
      <c r="C196" s="52">
        <f t="shared" si="85"/>
        <v>-730</v>
      </c>
      <c r="D196" s="52">
        <f t="shared" si="81"/>
        <v>2200</v>
      </c>
      <c r="E196" s="52">
        <f t="shared" si="82"/>
        <v>1</v>
      </c>
      <c r="F196" s="52"/>
      <c r="G196" s="52" t="str">
        <f>IF(191&lt;='KT THAN'!$C$11,191,"")</f>
        <v/>
      </c>
      <c r="H196" s="52">
        <f>IF(G196="",0,2*PI()*(G196-0.5)/'KT THAN'!$C$11)</f>
        <v>0</v>
      </c>
      <c r="I196" s="52">
        <f>IF(G196="",0,IF(shp=1,IF(AND(ABS(SIN(H196))&gt;0.0000001,MAX(1,hthan*500-'KT THAN'!$D$12)*ABS(COS(H196))/ABS(SIN(H196))&lt;=MAX(0,(bthan-hthan)*500)),MAX(1,hthan*500-'KT THAN'!$D$12)/ABS(SIN(H196)),MAX(0,(bthan-hthan)*500)*ABS(COS(H196))+SQRT(MAX(0,MAX(1,hthan*500-'KT THAN'!$D$12)^2-MAX(0,(bthan-hthan)*500)^2*SIN(H196)^2))),MIN((bthan*500-'KT THAN'!$D$12)/MAX(0.0000001,ABS(COS(H196))),(hthan*500-'KT THAN'!$D$12)/MAX(0.0000001,ABS(SIN(H196)))))*COS(H196))</f>
        <v>0</v>
      </c>
      <c r="J196" s="52">
        <f>IF(G196="",0,IF(shp=1,IF(AND(ABS(SIN(H196))&gt;0.0000001,MAX(1,hthan*500-'KT THAN'!$D$12)*ABS(COS(H196))/ABS(SIN(H196))&lt;=MAX(0,(bthan-hthan)*500)),MAX(1,hthan*500-'KT THAN'!$D$12)/ABS(SIN(H196)),MAX(0,(bthan-hthan)*500)*ABS(COS(H196))+SQRT(MAX(0,MAX(1,hthan*500-'KT THAN'!$D$12)^2-MAX(0,(bthan-hthan)*500)^2*SIN(H196)^2))),MIN((bthan*500-'KT THAN'!$D$12)/MAX(0.0000001,ABS(COS(H196))),(hthan*500-'KT THAN'!$D$12)/MAX(0.0000001,ABS(SIN(H196)))))*SIN(H196))</f>
        <v>0</v>
      </c>
      <c r="K196" s="52">
        <f>IF(G196="",0,'KT THAN'!$D$11/'KT THAN'!$C$11)</f>
        <v>0</v>
      </c>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row>
    <row r="197" spans="1:40" x14ac:dyDescent="0.3">
      <c r="A197" s="52">
        <v>192</v>
      </c>
      <c r="B197" s="52">
        <f>-bthan*500+(41+0.5)*bthan*1000/50</f>
        <v>1815</v>
      </c>
      <c r="C197" s="52">
        <f t="shared" si="85"/>
        <v>-730</v>
      </c>
      <c r="D197" s="52">
        <f t="shared" si="81"/>
        <v>2200</v>
      </c>
      <c r="E197" s="52">
        <f t="shared" si="82"/>
        <v>1</v>
      </c>
      <c r="F197" s="52"/>
      <c r="G197" s="52" t="str">
        <f>IF(192&lt;='KT THAN'!$C$11,192,"")</f>
        <v/>
      </c>
      <c r="H197" s="52">
        <f>IF(G197="",0,2*PI()*(G197-0.5)/'KT THAN'!$C$11)</f>
        <v>0</v>
      </c>
      <c r="I197" s="52">
        <f>IF(G197="",0,IF(shp=1,IF(AND(ABS(SIN(H197))&gt;0.0000001,MAX(1,hthan*500-'KT THAN'!$D$12)*ABS(COS(H197))/ABS(SIN(H197))&lt;=MAX(0,(bthan-hthan)*500)),MAX(1,hthan*500-'KT THAN'!$D$12)/ABS(SIN(H197)),MAX(0,(bthan-hthan)*500)*ABS(COS(H197))+SQRT(MAX(0,MAX(1,hthan*500-'KT THAN'!$D$12)^2-MAX(0,(bthan-hthan)*500)^2*SIN(H197)^2))),MIN((bthan*500-'KT THAN'!$D$12)/MAX(0.0000001,ABS(COS(H197))),(hthan*500-'KT THAN'!$D$12)/MAX(0.0000001,ABS(SIN(H197)))))*COS(H197))</f>
        <v>0</v>
      </c>
      <c r="J197" s="52">
        <f>IF(G197="",0,IF(shp=1,IF(AND(ABS(SIN(H197))&gt;0.0000001,MAX(1,hthan*500-'KT THAN'!$D$12)*ABS(COS(H197))/ABS(SIN(H197))&lt;=MAX(0,(bthan-hthan)*500)),MAX(1,hthan*500-'KT THAN'!$D$12)/ABS(SIN(H197)),MAX(0,(bthan-hthan)*500)*ABS(COS(H197))+SQRT(MAX(0,MAX(1,hthan*500-'KT THAN'!$D$12)^2-MAX(0,(bthan-hthan)*500)^2*SIN(H197)^2))),MIN((bthan*500-'KT THAN'!$D$12)/MAX(0.0000001,ABS(COS(H197))),(hthan*500-'KT THAN'!$D$12)/MAX(0.0000001,ABS(SIN(H197)))))*SIN(H197))</f>
        <v>0</v>
      </c>
      <c r="K197" s="52">
        <f>IF(G197="",0,'KT THAN'!$D$11/'KT THAN'!$C$11)</f>
        <v>0</v>
      </c>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row>
    <row r="198" spans="1:40" x14ac:dyDescent="0.3">
      <c r="A198" s="52">
        <v>193</v>
      </c>
      <c r="B198" s="52">
        <f>-bthan*500+(42+0.5)*bthan*1000/50</f>
        <v>1925</v>
      </c>
      <c r="C198" s="52">
        <f t="shared" si="85"/>
        <v>-730</v>
      </c>
      <c r="D198" s="52">
        <f t="shared" ref="D198:D261" si="86">bthan*1000/50*hthan*1000/80</f>
        <v>2200</v>
      </c>
      <c r="E198" s="52">
        <f t="shared" ref="E198:E261" si="87">IF(shp=1,--(OR(ABS(B198)&lt;=MAX(0,(bthan-hthan)*500),(ABS(B198)-MAX(0,(bthan-hthan)*500))^2+C198^2&lt;=(hthan*500)^2)),--(AND(ABS(B198)&lt;=bthan*500,ABS(C198)&lt;=hthan*500,OR(ABS(B198)&lt;=bthan*500-cch*1000,ABS(C198)&lt;=hthan*500-cch*1000,(bthan*500-ABS(B198))+(hthan*500-ABS(C198))&gt;=cch*1000))))</f>
        <v>1</v>
      </c>
      <c r="F198" s="52"/>
      <c r="G198" s="52" t="str">
        <f>IF(193&lt;='KT THAN'!$C$11,193,"")</f>
        <v/>
      </c>
      <c r="H198" s="52">
        <f>IF(G198="",0,2*PI()*(G198-0.5)/'KT THAN'!$C$11)</f>
        <v>0</v>
      </c>
      <c r="I198" s="52">
        <f>IF(G198="",0,IF(shp=1,IF(AND(ABS(SIN(H198))&gt;0.0000001,MAX(1,hthan*500-'KT THAN'!$D$12)*ABS(COS(H198))/ABS(SIN(H198))&lt;=MAX(0,(bthan-hthan)*500)),MAX(1,hthan*500-'KT THAN'!$D$12)/ABS(SIN(H198)),MAX(0,(bthan-hthan)*500)*ABS(COS(H198))+SQRT(MAX(0,MAX(1,hthan*500-'KT THAN'!$D$12)^2-MAX(0,(bthan-hthan)*500)^2*SIN(H198)^2))),MIN((bthan*500-'KT THAN'!$D$12)/MAX(0.0000001,ABS(COS(H198))),(hthan*500-'KT THAN'!$D$12)/MAX(0.0000001,ABS(SIN(H198)))))*COS(H198))</f>
        <v>0</v>
      </c>
      <c r="J198" s="52">
        <f>IF(G198="",0,IF(shp=1,IF(AND(ABS(SIN(H198))&gt;0.0000001,MAX(1,hthan*500-'KT THAN'!$D$12)*ABS(COS(H198))/ABS(SIN(H198))&lt;=MAX(0,(bthan-hthan)*500)),MAX(1,hthan*500-'KT THAN'!$D$12)/ABS(SIN(H198)),MAX(0,(bthan-hthan)*500)*ABS(COS(H198))+SQRT(MAX(0,MAX(1,hthan*500-'KT THAN'!$D$12)^2-MAX(0,(bthan-hthan)*500)^2*SIN(H198)^2))),MIN((bthan*500-'KT THAN'!$D$12)/MAX(0.0000001,ABS(COS(H198))),(hthan*500-'KT THAN'!$D$12)/MAX(0.0000001,ABS(SIN(H198)))))*SIN(H198))</f>
        <v>0</v>
      </c>
      <c r="K198" s="52">
        <f>IF(G198="",0,'KT THAN'!$D$11/'KT THAN'!$C$11)</f>
        <v>0</v>
      </c>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row>
    <row r="199" spans="1:40" x14ac:dyDescent="0.3">
      <c r="A199" s="52">
        <v>194</v>
      </c>
      <c r="B199" s="52">
        <f>-bthan*500+(43+0.5)*bthan*1000/50</f>
        <v>2035</v>
      </c>
      <c r="C199" s="52">
        <f t="shared" si="85"/>
        <v>-730</v>
      </c>
      <c r="D199" s="52">
        <f t="shared" si="86"/>
        <v>2200</v>
      </c>
      <c r="E199" s="52">
        <f t="shared" si="87"/>
        <v>1</v>
      </c>
      <c r="F199" s="52"/>
      <c r="G199" s="52" t="str">
        <f>IF(194&lt;='KT THAN'!$C$11,194,"")</f>
        <v/>
      </c>
      <c r="H199" s="52">
        <f>IF(G199="",0,2*PI()*(G199-0.5)/'KT THAN'!$C$11)</f>
        <v>0</v>
      </c>
      <c r="I199" s="52">
        <f>IF(G199="",0,IF(shp=1,IF(AND(ABS(SIN(H199))&gt;0.0000001,MAX(1,hthan*500-'KT THAN'!$D$12)*ABS(COS(H199))/ABS(SIN(H199))&lt;=MAX(0,(bthan-hthan)*500)),MAX(1,hthan*500-'KT THAN'!$D$12)/ABS(SIN(H199)),MAX(0,(bthan-hthan)*500)*ABS(COS(H199))+SQRT(MAX(0,MAX(1,hthan*500-'KT THAN'!$D$12)^2-MAX(0,(bthan-hthan)*500)^2*SIN(H199)^2))),MIN((bthan*500-'KT THAN'!$D$12)/MAX(0.0000001,ABS(COS(H199))),(hthan*500-'KT THAN'!$D$12)/MAX(0.0000001,ABS(SIN(H199)))))*COS(H199))</f>
        <v>0</v>
      </c>
      <c r="J199" s="52">
        <f>IF(G199="",0,IF(shp=1,IF(AND(ABS(SIN(H199))&gt;0.0000001,MAX(1,hthan*500-'KT THAN'!$D$12)*ABS(COS(H199))/ABS(SIN(H199))&lt;=MAX(0,(bthan-hthan)*500)),MAX(1,hthan*500-'KT THAN'!$D$12)/ABS(SIN(H199)),MAX(0,(bthan-hthan)*500)*ABS(COS(H199))+SQRT(MAX(0,MAX(1,hthan*500-'KT THAN'!$D$12)^2-MAX(0,(bthan-hthan)*500)^2*SIN(H199)^2))),MIN((bthan*500-'KT THAN'!$D$12)/MAX(0.0000001,ABS(COS(H199))),(hthan*500-'KT THAN'!$D$12)/MAX(0.0000001,ABS(SIN(H199)))))*SIN(H199))</f>
        <v>0</v>
      </c>
      <c r="K199" s="52">
        <f>IF(G199="",0,'KT THAN'!$D$11/'KT THAN'!$C$11)</f>
        <v>0</v>
      </c>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row>
    <row r="200" spans="1:40" x14ac:dyDescent="0.3">
      <c r="A200" s="52">
        <v>195</v>
      </c>
      <c r="B200" s="52">
        <f>-bthan*500+(44+0.5)*bthan*1000/50</f>
        <v>2145</v>
      </c>
      <c r="C200" s="52">
        <f t="shared" si="85"/>
        <v>-730</v>
      </c>
      <c r="D200" s="52">
        <f t="shared" si="86"/>
        <v>2200</v>
      </c>
      <c r="E200" s="52">
        <f t="shared" si="87"/>
        <v>1</v>
      </c>
      <c r="F200" s="52"/>
      <c r="G200" s="52" t="str">
        <f>IF(195&lt;='KT THAN'!$C$11,195,"")</f>
        <v/>
      </c>
      <c r="H200" s="52">
        <f>IF(G200="",0,2*PI()*(G200-0.5)/'KT THAN'!$C$11)</f>
        <v>0</v>
      </c>
      <c r="I200" s="52">
        <f>IF(G200="",0,IF(shp=1,IF(AND(ABS(SIN(H200))&gt;0.0000001,MAX(1,hthan*500-'KT THAN'!$D$12)*ABS(COS(H200))/ABS(SIN(H200))&lt;=MAX(0,(bthan-hthan)*500)),MAX(1,hthan*500-'KT THAN'!$D$12)/ABS(SIN(H200)),MAX(0,(bthan-hthan)*500)*ABS(COS(H200))+SQRT(MAX(0,MAX(1,hthan*500-'KT THAN'!$D$12)^2-MAX(0,(bthan-hthan)*500)^2*SIN(H200)^2))),MIN((bthan*500-'KT THAN'!$D$12)/MAX(0.0000001,ABS(COS(H200))),(hthan*500-'KT THAN'!$D$12)/MAX(0.0000001,ABS(SIN(H200)))))*COS(H200))</f>
        <v>0</v>
      </c>
      <c r="J200" s="52">
        <f>IF(G200="",0,IF(shp=1,IF(AND(ABS(SIN(H200))&gt;0.0000001,MAX(1,hthan*500-'KT THAN'!$D$12)*ABS(COS(H200))/ABS(SIN(H200))&lt;=MAX(0,(bthan-hthan)*500)),MAX(1,hthan*500-'KT THAN'!$D$12)/ABS(SIN(H200)),MAX(0,(bthan-hthan)*500)*ABS(COS(H200))+SQRT(MAX(0,MAX(1,hthan*500-'KT THAN'!$D$12)^2-MAX(0,(bthan-hthan)*500)^2*SIN(H200)^2))),MIN((bthan*500-'KT THAN'!$D$12)/MAX(0.0000001,ABS(COS(H200))),(hthan*500-'KT THAN'!$D$12)/MAX(0.0000001,ABS(SIN(H200)))))*SIN(H200))</f>
        <v>0</v>
      </c>
      <c r="K200" s="52">
        <f>IF(G200="",0,'KT THAN'!$D$11/'KT THAN'!$C$11)</f>
        <v>0</v>
      </c>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row>
    <row r="201" spans="1:40" x14ac:dyDescent="0.3">
      <c r="A201" s="52">
        <v>196</v>
      </c>
      <c r="B201" s="52">
        <f>-bthan*500+(45+0.5)*bthan*1000/50</f>
        <v>2255</v>
      </c>
      <c r="C201" s="52">
        <f t="shared" si="85"/>
        <v>-730</v>
      </c>
      <c r="D201" s="52">
        <f t="shared" si="86"/>
        <v>2200</v>
      </c>
      <c r="E201" s="52">
        <f t="shared" si="87"/>
        <v>1</v>
      </c>
      <c r="F201" s="52"/>
      <c r="G201" s="52" t="str">
        <f>IF(196&lt;='KT THAN'!$C$11,196,"")</f>
        <v/>
      </c>
      <c r="H201" s="52">
        <f>IF(G201="",0,2*PI()*(G201-0.5)/'KT THAN'!$C$11)</f>
        <v>0</v>
      </c>
      <c r="I201" s="52">
        <f>IF(G201="",0,IF(shp=1,IF(AND(ABS(SIN(H201))&gt;0.0000001,MAX(1,hthan*500-'KT THAN'!$D$12)*ABS(COS(H201))/ABS(SIN(H201))&lt;=MAX(0,(bthan-hthan)*500)),MAX(1,hthan*500-'KT THAN'!$D$12)/ABS(SIN(H201)),MAX(0,(bthan-hthan)*500)*ABS(COS(H201))+SQRT(MAX(0,MAX(1,hthan*500-'KT THAN'!$D$12)^2-MAX(0,(bthan-hthan)*500)^2*SIN(H201)^2))),MIN((bthan*500-'KT THAN'!$D$12)/MAX(0.0000001,ABS(COS(H201))),(hthan*500-'KT THAN'!$D$12)/MAX(0.0000001,ABS(SIN(H201)))))*COS(H201))</f>
        <v>0</v>
      </c>
      <c r="J201" s="52">
        <f>IF(G201="",0,IF(shp=1,IF(AND(ABS(SIN(H201))&gt;0.0000001,MAX(1,hthan*500-'KT THAN'!$D$12)*ABS(COS(H201))/ABS(SIN(H201))&lt;=MAX(0,(bthan-hthan)*500)),MAX(1,hthan*500-'KT THAN'!$D$12)/ABS(SIN(H201)),MAX(0,(bthan-hthan)*500)*ABS(COS(H201))+SQRT(MAX(0,MAX(1,hthan*500-'KT THAN'!$D$12)^2-MAX(0,(bthan-hthan)*500)^2*SIN(H201)^2))),MIN((bthan*500-'KT THAN'!$D$12)/MAX(0.0000001,ABS(COS(H201))),(hthan*500-'KT THAN'!$D$12)/MAX(0.0000001,ABS(SIN(H201)))))*SIN(H201))</f>
        <v>0</v>
      </c>
      <c r="K201" s="52">
        <f>IF(G201="",0,'KT THAN'!$D$11/'KT THAN'!$C$11)</f>
        <v>0</v>
      </c>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row>
    <row r="202" spans="1:40" x14ac:dyDescent="0.3">
      <c r="A202" s="52">
        <v>197</v>
      </c>
      <c r="B202" s="52">
        <f>-bthan*500+(46+0.5)*bthan*1000/50</f>
        <v>2365</v>
      </c>
      <c r="C202" s="52">
        <f t="shared" si="85"/>
        <v>-730</v>
      </c>
      <c r="D202" s="52">
        <f t="shared" si="86"/>
        <v>2200</v>
      </c>
      <c r="E202" s="52">
        <f t="shared" si="87"/>
        <v>0</v>
      </c>
      <c r="F202" s="52"/>
      <c r="G202" s="52" t="str">
        <f>IF(197&lt;='KT THAN'!$C$11,197,"")</f>
        <v/>
      </c>
      <c r="H202" s="52">
        <f>IF(G202="",0,2*PI()*(G202-0.5)/'KT THAN'!$C$11)</f>
        <v>0</v>
      </c>
      <c r="I202" s="52">
        <f>IF(G202="",0,IF(shp=1,IF(AND(ABS(SIN(H202))&gt;0.0000001,MAX(1,hthan*500-'KT THAN'!$D$12)*ABS(COS(H202))/ABS(SIN(H202))&lt;=MAX(0,(bthan-hthan)*500)),MAX(1,hthan*500-'KT THAN'!$D$12)/ABS(SIN(H202)),MAX(0,(bthan-hthan)*500)*ABS(COS(H202))+SQRT(MAX(0,MAX(1,hthan*500-'KT THAN'!$D$12)^2-MAX(0,(bthan-hthan)*500)^2*SIN(H202)^2))),MIN((bthan*500-'KT THAN'!$D$12)/MAX(0.0000001,ABS(COS(H202))),(hthan*500-'KT THAN'!$D$12)/MAX(0.0000001,ABS(SIN(H202)))))*COS(H202))</f>
        <v>0</v>
      </c>
      <c r="J202" s="52">
        <f>IF(G202="",0,IF(shp=1,IF(AND(ABS(SIN(H202))&gt;0.0000001,MAX(1,hthan*500-'KT THAN'!$D$12)*ABS(COS(H202))/ABS(SIN(H202))&lt;=MAX(0,(bthan-hthan)*500)),MAX(1,hthan*500-'KT THAN'!$D$12)/ABS(SIN(H202)),MAX(0,(bthan-hthan)*500)*ABS(COS(H202))+SQRT(MAX(0,MAX(1,hthan*500-'KT THAN'!$D$12)^2-MAX(0,(bthan-hthan)*500)^2*SIN(H202)^2))),MIN((bthan*500-'KT THAN'!$D$12)/MAX(0.0000001,ABS(COS(H202))),(hthan*500-'KT THAN'!$D$12)/MAX(0.0000001,ABS(SIN(H202)))))*SIN(H202))</f>
        <v>0</v>
      </c>
      <c r="K202" s="52">
        <f>IF(G202="",0,'KT THAN'!$D$11/'KT THAN'!$C$11)</f>
        <v>0</v>
      </c>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row>
    <row r="203" spans="1:40" x14ac:dyDescent="0.3">
      <c r="A203" s="52">
        <v>198</v>
      </c>
      <c r="B203" s="52">
        <f>-bthan*500+(47+0.5)*bthan*1000/50</f>
        <v>2475</v>
      </c>
      <c r="C203" s="52">
        <f t="shared" si="85"/>
        <v>-730</v>
      </c>
      <c r="D203" s="52">
        <f t="shared" si="86"/>
        <v>2200</v>
      </c>
      <c r="E203" s="52">
        <f t="shared" si="87"/>
        <v>0</v>
      </c>
      <c r="F203" s="52"/>
      <c r="G203" s="52" t="str">
        <f>IF(198&lt;='KT THAN'!$C$11,198,"")</f>
        <v/>
      </c>
      <c r="H203" s="52">
        <f>IF(G203="",0,2*PI()*(G203-0.5)/'KT THAN'!$C$11)</f>
        <v>0</v>
      </c>
      <c r="I203" s="52">
        <f>IF(G203="",0,IF(shp=1,IF(AND(ABS(SIN(H203))&gt;0.0000001,MAX(1,hthan*500-'KT THAN'!$D$12)*ABS(COS(H203))/ABS(SIN(H203))&lt;=MAX(0,(bthan-hthan)*500)),MAX(1,hthan*500-'KT THAN'!$D$12)/ABS(SIN(H203)),MAX(0,(bthan-hthan)*500)*ABS(COS(H203))+SQRT(MAX(0,MAX(1,hthan*500-'KT THAN'!$D$12)^2-MAX(0,(bthan-hthan)*500)^2*SIN(H203)^2))),MIN((bthan*500-'KT THAN'!$D$12)/MAX(0.0000001,ABS(COS(H203))),(hthan*500-'KT THAN'!$D$12)/MAX(0.0000001,ABS(SIN(H203)))))*COS(H203))</f>
        <v>0</v>
      </c>
      <c r="J203" s="52">
        <f>IF(G203="",0,IF(shp=1,IF(AND(ABS(SIN(H203))&gt;0.0000001,MAX(1,hthan*500-'KT THAN'!$D$12)*ABS(COS(H203))/ABS(SIN(H203))&lt;=MAX(0,(bthan-hthan)*500)),MAX(1,hthan*500-'KT THAN'!$D$12)/ABS(SIN(H203)),MAX(0,(bthan-hthan)*500)*ABS(COS(H203))+SQRT(MAX(0,MAX(1,hthan*500-'KT THAN'!$D$12)^2-MAX(0,(bthan-hthan)*500)^2*SIN(H203)^2))),MIN((bthan*500-'KT THAN'!$D$12)/MAX(0.0000001,ABS(COS(H203))),(hthan*500-'KT THAN'!$D$12)/MAX(0.0000001,ABS(SIN(H203)))))*SIN(H203))</f>
        <v>0</v>
      </c>
      <c r="K203" s="52">
        <f>IF(G203="",0,'KT THAN'!$D$11/'KT THAN'!$C$11)</f>
        <v>0</v>
      </c>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row>
    <row r="204" spans="1:40" x14ac:dyDescent="0.3">
      <c r="A204" s="52">
        <v>199</v>
      </c>
      <c r="B204" s="52">
        <f>-bthan*500+(48+0.5)*bthan*1000/50</f>
        <v>2585</v>
      </c>
      <c r="C204" s="52">
        <f t="shared" si="85"/>
        <v>-730</v>
      </c>
      <c r="D204" s="52">
        <f t="shared" si="86"/>
        <v>2200</v>
      </c>
      <c r="E204" s="52">
        <f t="shared" si="87"/>
        <v>0</v>
      </c>
      <c r="F204" s="52"/>
      <c r="G204" s="52" t="str">
        <f>IF(199&lt;='KT THAN'!$C$11,199,"")</f>
        <v/>
      </c>
      <c r="H204" s="52">
        <f>IF(G204="",0,2*PI()*(G204-0.5)/'KT THAN'!$C$11)</f>
        <v>0</v>
      </c>
      <c r="I204" s="52">
        <f>IF(G204="",0,IF(shp=1,IF(AND(ABS(SIN(H204))&gt;0.0000001,MAX(1,hthan*500-'KT THAN'!$D$12)*ABS(COS(H204))/ABS(SIN(H204))&lt;=MAX(0,(bthan-hthan)*500)),MAX(1,hthan*500-'KT THAN'!$D$12)/ABS(SIN(H204)),MAX(0,(bthan-hthan)*500)*ABS(COS(H204))+SQRT(MAX(0,MAX(1,hthan*500-'KT THAN'!$D$12)^2-MAX(0,(bthan-hthan)*500)^2*SIN(H204)^2))),MIN((bthan*500-'KT THAN'!$D$12)/MAX(0.0000001,ABS(COS(H204))),(hthan*500-'KT THAN'!$D$12)/MAX(0.0000001,ABS(SIN(H204)))))*COS(H204))</f>
        <v>0</v>
      </c>
      <c r="J204" s="52">
        <f>IF(G204="",0,IF(shp=1,IF(AND(ABS(SIN(H204))&gt;0.0000001,MAX(1,hthan*500-'KT THAN'!$D$12)*ABS(COS(H204))/ABS(SIN(H204))&lt;=MAX(0,(bthan-hthan)*500)),MAX(1,hthan*500-'KT THAN'!$D$12)/ABS(SIN(H204)),MAX(0,(bthan-hthan)*500)*ABS(COS(H204))+SQRT(MAX(0,MAX(1,hthan*500-'KT THAN'!$D$12)^2-MAX(0,(bthan-hthan)*500)^2*SIN(H204)^2))),MIN((bthan*500-'KT THAN'!$D$12)/MAX(0.0000001,ABS(COS(H204))),(hthan*500-'KT THAN'!$D$12)/MAX(0.0000001,ABS(SIN(H204)))))*SIN(H204))</f>
        <v>0</v>
      </c>
      <c r="K204" s="52">
        <f>IF(G204="",0,'KT THAN'!$D$11/'KT THAN'!$C$11)</f>
        <v>0</v>
      </c>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row>
    <row r="205" spans="1:40" x14ac:dyDescent="0.3">
      <c r="A205" s="52">
        <v>200</v>
      </c>
      <c r="B205" s="52">
        <f>-bthan*500+(49+0.5)*bthan*1000/50</f>
        <v>2695</v>
      </c>
      <c r="C205" s="52">
        <f t="shared" si="85"/>
        <v>-730</v>
      </c>
      <c r="D205" s="52">
        <f t="shared" si="86"/>
        <v>2200</v>
      </c>
      <c r="E205" s="52">
        <f t="shared" si="87"/>
        <v>0</v>
      </c>
      <c r="F205" s="52"/>
      <c r="G205" s="52" t="str">
        <f>IF(200&lt;='KT THAN'!$C$11,200,"")</f>
        <v/>
      </c>
      <c r="H205" s="52">
        <f>IF(G205="",0,2*PI()*(G205-0.5)/'KT THAN'!$C$11)</f>
        <v>0</v>
      </c>
      <c r="I205" s="52">
        <f>IF(G205="",0,IF(shp=1,IF(AND(ABS(SIN(H205))&gt;0.0000001,MAX(1,hthan*500-'KT THAN'!$D$12)*ABS(COS(H205))/ABS(SIN(H205))&lt;=MAX(0,(bthan-hthan)*500)),MAX(1,hthan*500-'KT THAN'!$D$12)/ABS(SIN(H205)),MAX(0,(bthan-hthan)*500)*ABS(COS(H205))+SQRT(MAX(0,MAX(1,hthan*500-'KT THAN'!$D$12)^2-MAX(0,(bthan-hthan)*500)^2*SIN(H205)^2))),MIN((bthan*500-'KT THAN'!$D$12)/MAX(0.0000001,ABS(COS(H205))),(hthan*500-'KT THAN'!$D$12)/MAX(0.0000001,ABS(SIN(H205)))))*COS(H205))</f>
        <v>0</v>
      </c>
      <c r="J205" s="52">
        <f>IF(G205="",0,IF(shp=1,IF(AND(ABS(SIN(H205))&gt;0.0000001,MAX(1,hthan*500-'KT THAN'!$D$12)*ABS(COS(H205))/ABS(SIN(H205))&lt;=MAX(0,(bthan-hthan)*500)),MAX(1,hthan*500-'KT THAN'!$D$12)/ABS(SIN(H205)),MAX(0,(bthan-hthan)*500)*ABS(COS(H205))+SQRT(MAX(0,MAX(1,hthan*500-'KT THAN'!$D$12)^2-MAX(0,(bthan-hthan)*500)^2*SIN(H205)^2))),MIN((bthan*500-'KT THAN'!$D$12)/MAX(0.0000001,ABS(COS(H205))),(hthan*500-'KT THAN'!$D$12)/MAX(0.0000001,ABS(SIN(H205)))))*SIN(H205))</f>
        <v>0</v>
      </c>
      <c r="K205" s="52">
        <f>IF(G205="",0,'KT THAN'!$D$11/'KT THAN'!$C$11)</f>
        <v>0</v>
      </c>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row>
    <row r="206" spans="1:40" x14ac:dyDescent="0.3">
      <c r="A206" s="52">
        <v>201</v>
      </c>
      <c r="B206" s="52">
        <f>-bthan*500+(0+0.5)*bthan*1000/50</f>
        <v>-2695</v>
      </c>
      <c r="C206" s="52">
        <f t="shared" ref="C206:C237" si="88">-hthan*500+(4+0.5)*hthan*1000/80</f>
        <v>-710</v>
      </c>
      <c r="D206" s="52">
        <f t="shared" si="86"/>
        <v>2200</v>
      </c>
      <c r="E206" s="52">
        <f t="shared" si="87"/>
        <v>0</v>
      </c>
      <c r="F206" s="52"/>
      <c r="G206" s="52" t="str">
        <f>IF(201&lt;='KT THAN'!$C$11,201,"")</f>
        <v/>
      </c>
      <c r="H206" s="52">
        <f>IF(G206="",0,2*PI()*(G206-0.5)/'KT THAN'!$C$11)</f>
        <v>0</v>
      </c>
      <c r="I206" s="52">
        <f>IF(G206="",0,IF(shp=1,IF(AND(ABS(SIN(H206))&gt;0.0000001,MAX(1,hthan*500-'KT THAN'!$D$12)*ABS(COS(H206))/ABS(SIN(H206))&lt;=MAX(0,(bthan-hthan)*500)),MAX(1,hthan*500-'KT THAN'!$D$12)/ABS(SIN(H206)),MAX(0,(bthan-hthan)*500)*ABS(COS(H206))+SQRT(MAX(0,MAX(1,hthan*500-'KT THAN'!$D$12)^2-MAX(0,(bthan-hthan)*500)^2*SIN(H206)^2))),MIN((bthan*500-'KT THAN'!$D$12)/MAX(0.0000001,ABS(COS(H206))),(hthan*500-'KT THAN'!$D$12)/MAX(0.0000001,ABS(SIN(H206)))))*COS(H206))</f>
        <v>0</v>
      </c>
      <c r="J206" s="52">
        <f>IF(G206="",0,IF(shp=1,IF(AND(ABS(SIN(H206))&gt;0.0000001,MAX(1,hthan*500-'KT THAN'!$D$12)*ABS(COS(H206))/ABS(SIN(H206))&lt;=MAX(0,(bthan-hthan)*500)),MAX(1,hthan*500-'KT THAN'!$D$12)/ABS(SIN(H206)),MAX(0,(bthan-hthan)*500)*ABS(COS(H206))+SQRT(MAX(0,MAX(1,hthan*500-'KT THAN'!$D$12)^2-MAX(0,(bthan-hthan)*500)^2*SIN(H206)^2))),MIN((bthan*500-'KT THAN'!$D$12)/MAX(0.0000001,ABS(COS(H206))),(hthan*500-'KT THAN'!$D$12)/MAX(0.0000001,ABS(SIN(H206)))))*SIN(H206))</f>
        <v>0</v>
      </c>
      <c r="K206" s="52">
        <f>IF(G206="",0,'KT THAN'!$D$11/'KT THAN'!$C$11)</f>
        <v>0</v>
      </c>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row>
    <row r="207" spans="1:40" x14ac:dyDescent="0.3">
      <c r="A207" s="52">
        <v>202</v>
      </c>
      <c r="B207" s="52">
        <f>-bthan*500+(1+0.5)*bthan*1000/50</f>
        <v>-2585</v>
      </c>
      <c r="C207" s="52">
        <f t="shared" si="88"/>
        <v>-710</v>
      </c>
      <c r="D207" s="52">
        <f t="shared" si="86"/>
        <v>2200</v>
      </c>
      <c r="E207" s="52">
        <f t="shared" si="87"/>
        <v>0</v>
      </c>
      <c r="F207" s="52"/>
      <c r="G207" s="52" t="str">
        <f>IF(202&lt;='KT THAN'!$C$11,202,"")</f>
        <v/>
      </c>
      <c r="H207" s="52">
        <f>IF(G207="",0,2*PI()*(G207-0.5)/'KT THAN'!$C$11)</f>
        <v>0</v>
      </c>
      <c r="I207" s="52">
        <f>IF(G207="",0,IF(shp=1,IF(AND(ABS(SIN(H207))&gt;0.0000001,MAX(1,hthan*500-'KT THAN'!$D$12)*ABS(COS(H207))/ABS(SIN(H207))&lt;=MAX(0,(bthan-hthan)*500)),MAX(1,hthan*500-'KT THAN'!$D$12)/ABS(SIN(H207)),MAX(0,(bthan-hthan)*500)*ABS(COS(H207))+SQRT(MAX(0,MAX(1,hthan*500-'KT THAN'!$D$12)^2-MAX(0,(bthan-hthan)*500)^2*SIN(H207)^2))),MIN((bthan*500-'KT THAN'!$D$12)/MAX(0.0000001,ABS(COS(H207))),(hthan*500-'KT THAN'!$D$12)/MAX(0.0000001,ABS(SIN(H207)))))*COS(H207))</f>
        <v>0</v>
      </c>
      <c r="J207" s="52">
        <f>IF(G207="",0,IF(shp=1,IF(AND(ABS(SIN(H207))&gt;0.0000001,MAX(1,hthan*500-'KT THAN'!$D$12)*ABS(COS(H207))/ABS(SIN(H207))&lt;=MAX(0,(bthan-hthan)*500)),MAX(1,hthan*500-'KT THAN'!$D$12)/ABS(SIN(H207)),MAX(0,(bthan-hthan)*500)*ABS(COS(H207))+SQRT(MAX(0,MAX(1,hthan*500-'KT THAN'!$D$12)^2-MAX(0,(bthan-hthan)*500)^2*SIN(H207)^2))),MIN((bthan*500-'KT THAN'!$D$12)/MAX(0.0000001,ABS(COS(H207))),(hthan*500-'KT THAN'!$D$12)/MAX(0.0000001,ABS(SIN(H207)))))*SIN(H207))</f>
        <v>0</v>
      </c>
      <c r="K207" s="52">
        <f>IF(G207="",0,'KT THAN'!$D$11/'KT THAN'!$C$11)</f>
        <v>0</v>
      </c>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row>
    <row r="208" spans="1:40" x14ac:dyDescent="0.3">
      <c r="A208" s="52">
        <v>203</v>
      </c>
      <c r="B208" s="52">
        <f>-bthan*500+(2+0.5)*bthan*1000/50</f>
        <v>-2475</v>
      </c>
      <c r="C208" s="52">
        <f t="shared" si="88"/>
        <v>-710</v>
      </c>
      <c r="D208" s="52">
        <f t="shared" si="86"/>
        <v>2200</v>
      </c>
      <c r="E208" s="52">
        <f t="shared" si="87"/>
        <v>0</v>
      </c>
      <c r="F208" s="52"/>
      <c r="G208" s="52" t="str">
        <f>IF(203&lt;='KT THAN'!$C$11,203,"")</f>
        <v/>
      </c>
      <c r="H208" s="52">
        <f>IF(G208="",0,2*PI()*(G208-0.5)/'KT THAN'!$C$11)</f>
        <v>0</v>
      </c>
      <c r="I208" s="52">
        <f>IF(G208="",0,IF(shp=1,IF(AND(ABS(SIN(H208))&gt;0.0000001,MAX(1,hthan*500-'KT THAN'!$D$12)*ABS(COS(H208))/ABS(SIN(H208))&lt;=MAX(0,(bthan-hthan)*500)),MAX(1,hthan*500-'KT THAN'!$D$12)/ABS(SIN(H208)),MAX(0,(bthan-hthan)*500)*ABS(COS(H208))+SQRT(MAX(0,MAX(1,hthan*500-'KT THAN'!$D$12)^2-MAX(0,(bthan-hthan)*500)^2*SIN(H208)^2))),MIN((bthan*500-'KT THAN'!$D$12)/MAX(0.0000001,ABS(COS(H208))),(hthan*500-'KT THAN'!$D$12)/MAX(0.0000001,ABS(SIN(H208)))))*COS(H208))</f>
        <v>0</v>
      </c>
      <c r="J208" s="52">
        <f>IF(G208="",0,IF(shp=1,IF(AND(ABS(SIN(H208))&gt;0.0000001,MAX(1,hthan*500-'KT THAN'!$D$12)*ABS(COS(H208))/ABS(SIN(H208))&lt;=MAX(0,(bthan-hthan)*500)),MAX(1,hthan*500-'KT THAN'!$D$12)/ABS(SIN(H208)),MAX(0,(bthan-hthan)*500)*ABS(COS(H208))+SQRT(MAX(0,MAX(1,hthan*500-'KT THAN'!$D$12)^2-MAX(0,(bthan-hthan)*500)^2*SIN(H208)^2))),MIN((bthan*500-'KT THAN'!$D$12)/MAX(0.0000001,ABS(COS(H208))),(hthan*500-'KT THAN'!$D$12)/MAX(0.0000001,ABS(SIN(H208)))))*SIN(H208))</f>
        <v>0</v>
      </c>
      <c r="K208" s="52">
        <f>IF(G208="",0,'KT THAN'!$D$11/'KT THAN'!$C$11)</f>
        <v>0</v>
      </c>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row>
    <row r="209" spans="1:40" x14ac:dyDescent="0.3">
      <c r="A209" s="52">
        <v>204</v>
      </c>
      <c r="B209" s="52">
        <f>-bthan*500+(3+0.5)*bthan*1000/50</f>
        <v>-2365</v>
      </c>
      <c r="C209" s="52">
        <f t="shared" si="88"/>
        <v>-710</v>
      </c>
      <c r="D209" s="52">
        <f t="shared" si="86"/>
        <v>2200</v>
      </c>
      <c r="E209" s="52">
        <f t="shared" si="87"/>
        <v>0</v>
      </c>
      <c r="F209" s="52"/>
      <c r="G209" s="52" t="str">
        <f>IF(204&lt;='KT THAN'!$C$11,204,"")</f>
        <v/>
      </c>
      <c r="H209" s="52">
        <f>IF(G209="",0,2*PI()*(G209-0.5)/'KT THAN'!$C$11)</f>
        <v>0</v>
      </c>
      <c r="I209" s="52">
        <f>IF(G209="",0,IF(shp=1,IF(AND(ABS(SIN(H209))&gt;0.0000001,MAX(1,hthan*500-'KT THAN'!$D$12)*ABS(COS(H209))/ABS(SIN(H209))&lt;=MAX(0,(bthan-hthan)*500)),MAX(1,hthan*500-'KT THAN'!$D$12)/ABS(SIN(H209)),MAX(0,(bthan-hthan)*500)*ABS(COS(H209))+SQRT(MAX(0,MAX(1,hthan*500-'KT THAN'!$D$12)^2-MAX(0,(bthan-hthan)*500)^2*SIN(H209)^2))),MIN((bthan*500-'KT THAN'!$D$12)/MAX(0.0000001,ABS(COS(H209))),(hthan*500-'KT THAN'!$D$12)/MAX(0.0000001,ABS(SIN(H209)))))*COS(H209))</f>
        <v>0</v>
      </c>
      <c r="J209" s="52">
        <f>IF(G209="",0,IF(shp=1,IF(AND(ABS(SIN(H209))&gt;0.0000001,MAX(1,hthan*500-'KT THAN'!$D$12)*ABS(COS(H209))/ABS(SIN(H209))&lt;=MAX(0,(bthan-hthan)*500)),MAX(1,hthan*500-'KT THAN'!$D$12)/ABS(SIN(H209)),MAX(0,(bthan-hthan)*500)*ABS(COS(H209))+SQRT(MAX(0,MAX(1,hthan*500-'KT THAN'!$D$12)^2-MAX(0,(bthan-hthan)*500)^2*SIN(H209)^2))),MIN((bthan*500-'KT THAN'!$D$12)/MAX(0.0000001,ABS(COS(H209))),(hthan*500-'KT THAN'!$D$12)/MAX(0.0000001,ABS(SIN(H209)))))*SIN(H209))</f>
        <v>0</v>
      </c>
      <c r="K209" s="52">
        <f>IF(G209="",0,'KT THAN'!$D$11/'KT THAN'!$C$11)</f>
        <v>0</v>
      </c>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row>
    <row r="210" spans="1:40" x14ac:dyDescent="0.3">
      <c r="A210" s="52">
        <v>205</v>
      </c>
      <c r="B210" s="52">
        <f>-bthan*500+(4+0.5)*bthan*1000/50</f>
        <v>-2255</v>
      </c>
      <c r="C210" s="52">
        <f t="shared" si="88"/>
        <v>-710</v>
      </c>
      <c r="D210" s="52">
        <f t="shared" si="86"/>
        <v>2200</v>
      </c>
      <c r="E210" s="52">
        <f t="shared" si="87"/>
        <v>1</v>
      </c>
      <c r="F210" s="52"/>
      <c r="G210" s="52" t="str">
        <f>IF(205&lt;='KT THAN'!$C$11,205,"")</f>
        <v/>
      </c>
      <c r="H210" s="52">
        <f>IF(G210="",0,2*PI()*(G210-0.5)/'KT THAN'!$C$11)</f>
        <v>0</v>
      </c>
      <c r="I210" s="52">
        <f>IF(G210="",0,IF(shp=1,IF(AND(ABS(SIN(H210))&gt;0.0000001,MAX(1,hthan*500-'KT THAN'!$D$12)*ABS(COS(H210))/ABS(SIN(H210))&lt;=MAX(0,(bthan-hthan)*500)),MAX(1,hthan*500-'KT THAN'!$D$12)/ABS(SIN(H210)),MAX(0,(bthan-hthan)*500)*ABS(COS(H210))+SQRT(MAX(0,MAX(1,hthan*500-'KT THAN'!$D$12)^2-MAX(0,(bthan-hthan)*500)^2*SIN(H210)^2))),MIN((bthan*500-'KT THAN'!$D$12)/MAX(0.0000001,ABS(COS(H210))),(hthan*500-'KT THAN'!$D$12)/MAX(0.0000001,ABS(SIN(H210)))))*COS(H210))</f>
        <v>0</v>
      </c>
      <c r="J210" s="52">
        <f>IF(G210="",0,IF(shp=1,IF(AND(ABS(SIN(H210))&gt;0.0000001,MAX(1,hthan*500-'KT THAN'!$D$12)*ABS(COS(H210))/ABS(SIN(H210))&lt;=MAX(0,(bthan-hthan)*500)),MAX(1,hthan*500-'KT THAN'!$D$12)/ABS(SIN(H210)),MAX(0,(bthan-hthan)*500)*ABS(COS(H210))+SQRT(MAX(0,MAX(1,hthan*500-'KT THAN'!$D$12)^2-MAX(0,(bthan-hthan)*500)^2*SIN(H210)^2))),MIN((bthan*500-'KT THAN'!$D$12)/MAX(0.0000001,ABS(COS(H210))),(hthan*500-'KT THAN'!$D$12)/MAX(0.0000001,ABS(SIN(H210)))))*SIN(H210))</f>
        <v>0</v>
      </c>
      <c r="K210" s="52">
        <f>IF(G210="",0,'KT THAN'!$D$11/'KT THAN'!$C$11)</f>
        <v>0</v>
      </c>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row>
    <row r="211" spans="1:40" x14ac:dyDescent="0.3">
      <c r="A211" s="52">
        <v>206</v>
      </c>
      <c r="B211" s="52">
        <f>-bthan*500+(5+0.5)*bthan*1000/50</f>
        <v>-2145</v>
      </c>
      <c r="C211" s="52">
        <f t="shared" si="88"/>
        <v>-710</v>
      </c>
      <c r="D211" s="52">
        <f t="shared" si="86"/>
        <v>2200</v>
      </c>
      <c r="E211" s="52">
        <f t="shared" si="87"/>
        <v>1</v>
      </c>
      <c r="F211" s="52"/>
      <c r="G211" s="52" t="str">
        <f>IF(206&lt;='KT THAN'!$C$11,206,"")</f>
        <v/>
      </c>
      <c r="H211" s="52">
        <f>IF(G211="",0,2*PI()*(G211-0.5)/'KT THAN'!$C$11)</f>
        <v>0</v>
      </c>
      <c r="I211" s="52">
        <f>IF(G211="",0,IF(shp=1,IF(AND(ABS(SIN(H211))&gt;0.0000001,MAX(1,hthan*500-'KT THAN'!$D$12)*ABS(COS(H211))/ABS(SIN(H211))&lt;=MAX(0,(bthan-hthan)*500)),MAX(1,hthan*500-'KT THAN'!$D$12)/ABS(SIN(H211)),MAX(0,(bthan-hthan)*500)*ABS(COS(H211))+SQRT(MAX(0,MAX(1,hthan*500-'KT THAN'!$D$12)^2-MAX(0,(bthan-hthan)*500)^2*SIN(H211)^2))),MIN((bthan*500-'KT THAN'!$D$12)/MAX(0.0000001,ABS(COS(H211))),(hthan*500-'KT THAN'!$D$12)/MAX(0.0000001,ABS(SIN(H211)))))*COS(H211))</f>
        <v>0</v>
      </c>
      <c r="J211" s="52">
        <f>IF(G211="",0,IF(shp=1,IF(AND(ABS(SIN(H211))&gt;0.0000001,MAX(1,hthan*500-'KT THAN'!$D$12)*ABS(COS(H211))/ABS(SIN(H211))&lt;=MAX(0,(bthan-hthan)*500)),MAX(1,hthan*500-'KT THAN'!$D$12)/ABS(SIN(H211)),MAX(0,(bthan-hthan)*500)*ABS(COS(H211))+SQRT(MAX(0,MAX(1,hthan*500-'KT THAN'!$D$12)^2-MAX(0,(bthan-hthan)*500)^2*SIN(H211)^2))),MIN((bthan*500-'KT THAN'!$D$12)/MAX(0.0000001,ABS(COS(H211))),(hthan*500-'KT THAN'!$D$12)/MAX(0.0000001,ABS(SIN(H211)))))*SIN(H211))</f>
        <v>0</v>
      </c>
      <c r="K211" s="52">
        <f>IF(G211="",0,'KT THAN'!$D$11/'KT THAN'!$C$11)</f>
        <v>0</v>
      </c>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row>
    <row r="212" spans="1:40" x14ac:dyDescent="0.3">
      <c r="A212" s="52">
        <v>207</v>
      </c>
      <c r="B212" s="52">
        <f>-bthan*500+(6+0.5)*bthan*1000/50</f>
        <v>-2035</v>
      </c>
      <c r="C212" s="52">
        <f t="shared" si="88"/>
        <v>-710</v>
      </c>
      <c r="D212" s="52">
        <f t="shared" si="86"/>
        <v>2200</v>
      </c>
      <c r="E212" s="52">
        <f t="shared" si="87"/>
        <v>1</v>
      </c>
      <c r="F212" s="52"/>
      <c r="G212" s="52" t="str">
        <f>IF(207&lt;='KT THAN'!$C$11,207,"")</f>
        <v/>
      </c>
      <c r="H212" s="52">
        <f>IF(G212="",0,2*PI()*(G212-0.5)/'KT THAN'!$C$11)</f>
        <v>0</v>
      </c>
      <c r="I212" s="52">
        <f>IF(G212="",0,IF(shp=1,IF(AND(ABS(SIN(H212))&gt;0.0000001,MAX(1,hthan*500-'KT THAN'!$D$12)*ABS(COS(H212))/ABS(SIN(H212))&lt;=MAX(0,(bthan-hthan)*500)),MAX(1,hthan*500-'KT THAN'!$D$12)/ABS(SIN(H212)),MAX(0,(bthan-hthan)*500)*ABS(COS(H212))+SQRT(MAX(0,MAX(1,hthan*500-'KT THAN'!$D$12)^2-MAX(0,(bthan-hthan)*500)^2*SIN(H212)^2))),MIN((bthan*500-'KT THAN'!$D$12)/MAX(0.0000001,ABS(COS(H212))),(hthan*500-'KT THAN'!$D$12)/MAX(0.0000001,ABS(SIN(H212)))))*COS(H212))</f>
        <v>0</v>
      </c>
      <c r="J212" s="52">
        <f>IF(G212="",0,IF(shp=1,IF(AND(ABS(SIN(H212))&gt;0.0000001,MAX(1,hthan*500-'KT THAN'!$D$12)*ABS(COS(H212))/ABS(SIN(H212))&lt;=MAX(0,(bthan-hthan)*500)),MAX(1,hthan*500-'KT THAN'!$D$12)/ABS(SIN(H212)),MAX(0,(bthan-hthan)*500)*ABS(COS(H212))+SQRT(MAX(0,MAX(1,hthan*500-'KT THAN'!$D$12)^2-MAX(0,(bthan-hthan)*500)^2*SIN(H212)^2))),MIN((bthan*500-'KT THAN'!$D$12)/MAX(0.0000001,ABS(COS(H212))),(hthan*500-'KT THAN'!$D$12)/MAX(0.0000001,ABS(SIN(H212)))))*SIN(H212))</f>
        <v>0</v>
      </c>
      <c r="K212" s="52">
        <f>IF(G212="",0,'KT THAN'!$D$11/'KT THAN'!$C$11)</f>
        <v>0</v>
      </c>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row>
    <row r="213" spans="1:40" x14ac:dyDescent="0.3">
      <c r="A213" s="52">
        <v>208</v>
      </c>
      <c r="B213" s="52">
        <f>-bthan*500+(7+0.5)*bthan*1000/50</f>
        <v>-1925</v>
      </c>
      <c r="C213" s="52">
        <f t="shared" si="88"/>
        <v>-710</v>
      </c>
      <c r="D213" s="52">
        <f t="shared" si="86"/>
        <v>2200</v>
      </c>
      <c r="E213" s="52">
        <f t="shared" si="87"/>
        <v>1</v>
      </c>
      <c r="F213" s="52"/>
      <c r="G213" s="52" t="str">
        <f>IF(208&lt;='KT THAN'!$C$11,208,"")</f>
        <v/>
      </c>
      <c r="H213" s="52">
        <f>IF(G213="",0,2*PI()*(G213-0.5)/'KT THAN'!$C$11)</f>
        <v>0</v>
      </c>
      <c r="I213" s="52">
        <f>IF(G213="",0,IF(shp=1,IF(AND(ABS(SIN(H213))&gt;0.0000001,MAX(1,hthan*500-'KT THAN'!$D$12)*ABS(COS(H213))/ABS(SIN(H213))&lt;=MAX(0,(bthan-hthan)*500)),MAX(1,hthan*500-'KT THAN'!$D$12)/ABS(SIN(H213)),MAX(0,(bthan-hthan)*500)*ABS(COS(H213))+SQRT(MAX(0,MAX(1,hthan*500-'KT THAN'!$D$12)^2-MAX(0,(bthan-hthan)*500)^2*SIN(H213)^2))),MIN((bthan*500-'KT THAN'!$D$12)/MAX(0.0000001,ABS(COS(H213))),(hthan*500-'KT THAN'!$D$12)/MAX(0.0000001,ABS(SIN(H213)))))*COS(H213))</f>
        <v>0</v>
      </c>
      <c r="J213" s="52">
        <f>IF(G213="",0,IF(shp=1,IF(AND(ABS(SIN(H213))&gt;0.0000001,MAX(1,hthan*500-'KT THAN'!$D$12)*ABS(COS(H213))/ABS(SIN(H213))&lt;=MAX(0,(bthan-hthan)*500)),MAX(1,hthan*500-'KT THAN'!$D$12)/ABS(SIN(H213)),MAX(0,(bthan-hthan)*500)*ABS(COS(H213))+SQRT(MAX(0,MAX(1,hthan*500-'KT THAN'!$D$12)^2-MAX(0,(bthan-hthan)*500)^2*SIN(H213)^2))),MIN((bthan*500-'KT THAN'!$D$12)/MAX(0.0000001,ABS(COS(H213))),(hthan*500-'KT THAN'!$D$12)/MAX(0.0000001,ABS(SIN(H213)))))*SIN(H213))</f>
        <v>0</v>
      </c>
      <c r="K213" s="52">
        <f>IF(G213="",0,'KT THAN'!$D$11/'KT THAN'!$C$11)</f>
        <v>0</v>
      </c>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row>
    <row r="214" spans="1:40" x14ac:dyDescent="0.3">
      <c r="A214" s="52">
        <v>209</v>
      </c>
      <c r="B214" s="52">
        <f>-bthan*500+(8+0.5)*bthan*1000/50</f>
        <v>-1815</v>
      </c>
      <c r="C214" s="52">
        <f t="shared" si="88"/>
        <v>-710</v>
      </c>
      <c r="D214" s="52">
        <f t="shared" si="86"/>
        <v>2200</v>
      </c>
      <c r="E214" s="52">
        <f t="shared" si="87"/>
        <v>1</v>
      </c>
      <c r="F214" s="52"/>
      <c r="G214" s="52" t="str">
        <f>IF(209&lt;='KT THAN'!$C$11,209,"")</f>
        <v/>
      </c>
      <c r="H214" s="52">
        <f>IF(G214="",0,2*PI()*(G214-0.5)/'KT THAN'!$C$11)</f>
        <v>0</v>
      </c>
      <c r="I214" s="52">
        <f>IF(G214="",0,IF(shp=1,IF(AND(ABS(SIN(H214))&gt;0.0000001,MAX(1,hthan*500-'KT THAN'!$D$12)*ABS(COS(H214))/ABS(SIN(H214))&lt;=MAX(0,(bthan-hthan)*500)),MAX(1,hthan*500-'KT THAN'!$D$12)/ABS(SIN(H214)),MAX(0,(bthan-hthan)*500)*ABS(COS(H214))+SQRT(MAX(0,MAX(1,hthan*500-'KT THAN'!$D$12)^2-MAX(0,(bthan-hthan)*500)^2*SIN(H214)^2))),MIN((bthan*500-'KT THAN'!$D$12)/MAX(0.0000001,ABS(COS(H214))),(hthan*500-'KT THAN'!$D$12)/MAX(0.0000001,ABS(SIN(H214)))))*COS(H214))</f>
        <v>0</v>
      </c>
      <c r="J214" s="52">
        <f>IF(G214="",0,IF(shp=1,IF(AND(ABS(SIN(H214))&gt;0.0000001,MAX(1,hthan*500-'KT THAN'!$D$12)*ABS(COS(H214))/ABS(SIN(H214))&lt;=MAX(0,(bthan-hthan)*500)),MAX(1,hthan*500-'KT THAN'!$D$12)/ABS(SIN(H214)),MAX(0,(bthan-hthan)*500)*ABS(COS(H214))+SQRT(MAX(0,MAX(1,hthan*500-'KT THAN'!$D$12)^2-MAX(0,(bthan-hthan)*500)^2*SIN(H214)^2))),MIN((bthan*500-'KT THAN'!$D$12)/MAX(0.0000001,ABS(COS(H214))),(hthan*500-'KT THAN'!$D$12)/MAX(0.0000001,ABS(SIN(H214)))))*SIN(H214))</f>
        <v>0</v>
      </c>
      <c r="K214" s="52">
        <f>IF(G214="",0,'KT THAN'!$D$11/'KT THAN'!$C$11)</f>
        <v>0</v>
      </c>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row>
    <row r="215" spans="1:40" x14ac:dyDescent="0.3">
      <c r="A215" s="52">
        <v>210</v>
      </c>
      <c r="B215" s="52">
        <f>-bthan*500+(9+0.5)*bthan*1000/50</f>
        <v>-1705</v>
      </c>
      <c r="C215" s="52">
        <f t="shared" si="88"/>
        <v>-710</v>
      </c>
      <c r="D215" s="52">
        <f t="shared" si="86"/>
        <v>2200</v>
      </c>
      <c r="E215" s="52">
        <f t="shared" si="87"/>
        <v>1</v>
      </c>
      <c r="F215" s="52"/>
      <c r="G215" s="52" t="str">
        <f>IF(210&lt;='KT THAN'!$C$11,210,"")</f>
        <v/>
      </c>
      <c r="H215" s="52">
        <f>IF(G215="",0,2*PI()*(G215-0.5)/'KT THAN'!$C$11)</f>
        <v>0</v>
      </c>
      <c r="I215" s="52">
        <f>IF(G215="",0,IF(shp=1,IF(AND(ABS(SIN(H215))&gt;0.0000001,MAX(1,hthan*500-'KT THAN'!$D$12)*ABS(COS(H215))/ABS(SIN(H215))&lt;=MAX(0,(bthan-hthan)*500)),MAX(1,hthan*500-'KT THAN'!$D$12)/ABS(SIN(H215)),MAX(0,(bthan-hthan)*500)*ABS(COS(H215))+SQRT(MAX(0,MAX(1,hthan*500-'KT THAN'!$D$12)^2-MAX(0,(bthan-hthan)*500)^2*SIN(H215)^2))),MIN((bthan*500-'KT THAN'!$D$12)/MAX(0.0000001,ABS(COS(H215))),(hthan*500-'KT THAN'!$D$12)/MAX(0.0000001,ABS(SIN(H215)))))*COS(H215))</f>
        <v>0</v>
      </c>
      <c r="J215" s="52">
        <f>IF(G215="",0,IF(shp=1,IF(AND(ABS(SIN(H215))&gt;0.0000001,MAX(1,hthan*500-'KT THAN'!$D$12)*ABS(COS(H215))/ABS(SIN(H215))&lt;=MAX(0,(bthan-hthan)*500)),MAX(1,hthan*500-'KT THAN'!$D$12)/ABS(SIN(H215)),MAX(0,(bthan-hthan)*500)*ABS(COS(H215))+SQRT(MAX(0,MAX(1,hthan*500-'KT THAN'!$D$12)^2-MAX(0,(bthan-hthan)*500)^2*SIN(H215)^2))),MIN((bthan*500-'KT THAN'!$D$12)/MAX(0.0000001,ABS(COS(H215))),(hthan*500-'KT THAN'!$D$12)/MAX(0.0000001,ABS(SIN(H215)))))*SIN(H215))</f>
        <v>0</v>
      </c>
      <c r="K215" s="52">
        <f>IF(G215="",0,'KT THAN'!$D$11/'KT THAN'!$C$11)</f>
        <v>0</v>
      </c>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row>
    <row r="216" spans="1:40" x14ac:dyDescent="0.3">
      <c r="A216" s="52">
        <v>211</v>
      </c>
      <c r="B216" s="52">
        <f>-bthan*500+(10+0.5)*bthan*1000/50</f>
        <v>-1595</v>
      </c>
      <c r="C216" s="52">
        <f t="shared" si="88"/>
        <v>-710</v>
      </c>
      <c r="D216" s="52">
        <f t="shared" si="86"/>
        <v>2200</v>
      </c>
      <c r="E216" s="52">
        <f t="shared" si="87"/>
        <v>1</v>
      </c>
      <c r="F216" s="52"/>
      <c r="G216" s="52" t="str">
        <f>IF(211&lt;='KT THAN'!$C$11,211,"")</f>
        <v/>
      </c>
      <c r="H216" s="52">
        <f>IF(G216="",0,2*PI()*(G216-0.5)/'KT THAN'!$C$11)</f>
        <v>0</v>
      </c>
      <c r="I216" s="52">
        <f>IF(G216="",0,IF(shp=1,IF(AND(ABS(SIN(H216))&gt;0.0000001,MAX(1,hthan*500-'KT THAN'!$D$12)*ABS(COS(H216))/ABS(SIN(H216))&lt;=MAX(0,(bthan-hthan)*500)),MAX(1,hthan*500-'KT THAN'!$D$12)/ABS(SIN(H216)),MAX(0,(bthan-hthan)*500)*ABS(COS(H216))+SQRT(MAX(0,MAX(1,hthan*500-'KT THAN'!$D$12)^2-MAX(0,(bthan-hthan)*500)^2*SIN(H216)^2))),MIN((bthan*500-'KT THAN'!$D$12)/MAX(0.0000001,ABS(COS(H216))),(hthan*500-'KT THAN'!$D$12)/MAX(0.0000001,ABS(SIN(H216)))))*COS(H216))</f>
        <v>0</v>
      </c>
      <c r="J216" s="52">
        <f>IF(G216="",0,IF(shp=1,IF(AND(ABS(SIN(H216))&gt;0.0000001,MAX(1,hthan*500-'KT THAN'!$D$12)*ABS(COS(H216))/ABS(SIN(H216))&lt;=MAX(0,(bthan-hthan)*500)),MAX(1,hthan*500-'KT THAN'!$D$12)/ABS(SIN(H216)),MAX(0,(bthan-hthan)*500)*ABS(COS(H216))+SQRT(MAX(0,MAX(1,hthan*500-'KT THAN'!$D$12)^2-MAX(0,(bthan-hthan)*500)^2*SIN(H216)^2))),MIN((bthan*500-'KT THAN'!$D$12)/MAX(0.0000001,ABS(COS(H216))),(hthan*500-'KT THAN'!$D$12)/MAX(0.0000001,ABS(SIN(H216)))))*SIN(H216))</f>
        <v>0</v>
      </c>
      <c r="K216" s="52">
        <f>IF(G216="",0,'KT THAN'!$D$11/'KT THAN'!$C$11)</f>
        <v>0</v>
      </c>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row>
    <row r="217" spans="1:40" x14ac:dyDescent="0.3">
      <c r="A217" s="52">
        <v>212</v>
      </c>
      <c r="B217" s="52">
        <f>-bthan*500+(11+0.5)*bthan*1000/50</f>
        <v>-1485</v>
      </c>
      <c r="C217" s="52">
        <f t="shared" si="88"/>
        <v>-710</v>
      </c>
      <c r="D217" s="52">
        <f t="shared" si="86"/>
        <v>2200</v>
      </c>
      <c r="E217" s="52">
        <f t="shared" si="87"/>
        <v>1</v>
      </c>
      <c r="F217" s="52"/>
      <c r="G217" s="52" t="str">
        <f>IF(212&lt;='KT THAN'!$C$11,212,"")</f>
        <v/>
      </c>
      <c r="H217" s="52">
        <f>IF(G217="",0,2*PI()*(G217-0.5)/'KT THAN'!$C$11)</f>
        <v>0</v>
      </c>
      <c r="I217" s="52">
        <f>IF(G217="",0,IF(shp=1,IF(AND(ABS(SIN(H217))&gt;0.0000001,MAX(1,hthan*500-'KT THAN'!$D$12)*ABS(COS(H217))/ABS(SIN(H217))&lt;=MAX(0,(bthan-hthan)*500)),MAX(1,hthan*500-'KT THAN'!$D$12)/ABS(SIN(H217)),MAX(0,(bthan-hthan)*500)*ABS(COS(H217))+SQRT(MAX(0,MAX(1,hthan*500-'KT THAN'!$D$12)^2-MAX(0,(bthan-hthan)*500)^2*SIN(H217)^2))),MIN((bthan*500-'KT THAN'!$D$12)/MAX(0.0000001,ABS(COS(H217))),(hthan*500-'KT THAN'!$D$12)/MAX(0.0000001,ABS(SIN(H217)))))*COS(H217))</f>
        <v>0</v>
      </c>
      <c r="J217" s="52">
        <f>IF(G217="",0,IF(shp=1,IF(AND(ABS(SIN(H217))&gt;0.0000001,MAX(1,hthan*500-'KT THAN'!$D$12)*ABS(COS(H217))/ABS(SIN(H217))&lt;=MAX(0,(bthan-hthan)*500)),MAX(1,hthan*500-'KT THAN'!$D$12)/ABS(SIN(H217)),MAX(0,(bthan-hthan)*500)*ABS(COS(H217))+SQRT(MAX(0,MAX(1,hthan*500-'KT THAN'!$D$12)^2-MAX(0,(bthan-hthan)*500)^2*SIN(H217)^2))),MIN((bthan*500-'KT THAN'!$D$12)/MAX(0.0000001,ABS(COS(H217))),(hthan*500-'KT THAN'!$D$12)/MAX(0.0000001,ABS(SIN(H217)))))*SIN(H217))</f>
        <v>0</v>
      </c>
      <c r="K217" s="52">
        <f>IF(G217="",0,'KT THAN'!$D$11/'KT THAN'!$C$11)</f>
        <v>0</v>
      </c>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row>
    <row r="218" spans="1:40" x14ac:dyDescent="0.3">
      <c r="A218" s="52">
        <v>213</v>
      </c>
      <c r="B218" s="52">
        <f>-bthan*500+(12+0.5)*bthan*1000/50</f>
        <v>-1375</v>
      </c>
      <c r="C218" s="52">
        <f t="shared" si="88"/>
        <v>-710</v>
      </c>
      <c r="D218" s="52">
        <f t="shared" si="86"/>
        <v>2200</v>
      </c>
      <c r="E218" s="52">
        <f t="shared" si="87"/>
        <v>1</v>
      </c>
      <c r="F218" s="52"/>
      <c r="G218" s="52" t="str">
        <f>IF(213&lt;='KT THAN'!$C$11,213,"")</f>
        <v/>
      </c>
      <c r="H218" s="52">
        <f>IF(G218="",0,2*PI()*(G218-0.5)/'KT THAN'!$C$11)</f>
        <v>0</v>
      </c>
      <c r="I218" s="52">
        <f>IF(G218="",0,IF(shp=1,IF(AND(ABS(SIN(H218))&gt;0.0000001,MAX(1,hthan*500-'KT THAN'!$D$12)*ABS(COS(H218))/ABS(SIN(H218))&lt;=MAX(0,(bthan-hthan)*500)),MAX(1,hthan*500-'KT THAN'!$D$12)/ABS(SIN(H218)),MAX(0,(bthan-hthan)*500)*ABS(COS(H218))+SQRT(MAX(0,MAX(1,hthan*500-'KT THAN'!$D$12)^2-MAX(0,(bthan-hthan)*500)^2*SIN(H218)^2))),MIN((bthan*500-'KT THAN'!$D$12)/MAX(0.0000001,ABS(COS(H218))),(hthan*500-'KT THAN'!$D$12)/MAX(0.0000001,ABS(SIN(H218)))))*COS(H218))</f>
        <v>0</v>
      </c>
      <c r="J218" s="52">
        <f>IF(G218="",0,IF(shp=1,IF(AND(ABS(SIN(H218))&gt;0.0000001,MAX(1,hthan*500-'KT THAN'!$D$12)*ABS(COS(H218))/ABS(SIN(H218))&lt;=MAX(0,(bthan-hthan)*500)),MAX(1,hthan*500-'KT THAN'!$D$12)/ABS(SIN(H218)),MAX(0,(bthan-hthan)*500)*ABS(COS(H218))+SQRT(MAX(0,MAX(1,hthan*500-'KT THAN'!$D$12)^2-MAX(0,(bthan-hthan)*500)^2*SIN(H218)^2))),MIN((bthan*500-'KT THAN'!$D$12)/MAX(0.0000001,ABS(COS(H218))),(hthan*500-'KT THAN'!$D$12)/MAX(0.0000001,ABS(SIN(H218)))))*SIN(H218))</f>
        <v>0</v>
      </c>
      <c r="K218" s="52">
        <f>IF(G218="",0,'KT THAN'!$D$11/'KT THAN'!$C$11)</f>
        <v>0</v>
      </c>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row>
    <row r="219" spans="1:40" x14ac:dyDescent="0.3">
      <c r="A219" s="52">
        <v>214</v>
      </c>
      <c r="B219" s="52">
        <f>-bthan*500+(13+0.5)*bthan*1000/50</f>
        <v>-1265</v>
      </c>
      <c r="C219" s="52">
        <f t="shared" si="88"/>
        <v>-710</v>
      </c>
      <c r="D219" s="52">
        <f t="shared" si="86"/>
        <v>2200</v>
      </c>
      <c r="E219" s="52">
        <f t="shared" si="87"/>
        <v>1</v>
      </c>
      <c r="F219" s="52"/>
      <c r="G219" s="52" t="str">
        <f>IF(214&lt;='KT THAN'!$C$11,214,"")</f>
        <v/>
      </c>
      <c r="H219" s="52">
        <f>IF(G219="",0,2*PI()*(G219-0.5)/'KT THAN'!$C$11)</f>
        <v>0</v>
      </c>
      <c r="I219" s="52">
        <f>IF(G219="",0,IF(shp=1,IF(AND(ABS(SIN(H219))&gt;0.0000001,MAX(1,hthan*500-'KT THAN'!$D$12)*ABS(COS(H219))/ABS(SIN(H219))&lt;=MAX(0,(bthan-hthan)*500)),MAX(1,hthan*500-'KT THAN'!$D$12)/ABS(SIN(H219)),MAX(0,(bthan-hthan)*500)*ABS(COS(H219))+SQRT(MAX(0,MAX(1,hthan*500-'KT THAN'!$D$12)^2-MAX(0,(bthan-hthan)*500)^2*SIN(H219)^2))),MIN((bthan*500-'KT THAN'!$D$12)/MAX(0.0000001,ABS(COS(H219))),(hthan*500-'KT THAN'!$D$12)/MAX(0.0000001,ABS(SIN(H219)))))*COS(H219))</f>
        <v>0</v>
      </c>
      <c r="J219" s="52">
        <f>IF(G219="",0,IF(shp=1,IF(AND(ABS(SIN(H219))&gt;0.0000001,MAX(1,hthan*500-'KT THAN'!$D$12)*ABS(COS(H219))/ABS(SIN(H219))&lt;=MAX(0,(bthan-hthan)*500)),MAX(1,hthan*500-'KT THAN'!$D$12)/ABS(SIN(H219)),MAX(0,(bthan-hthan)*500)*ABS(COS(H219))+SQRT(MAX(0,MAX(1,hthan*500-'KT THAN'!$D$12)^2-MAX(0,(bthan-hthan)*500)^2*SIN(H219)^2))),MIN((bthan*500-'KT THAN'!$D$12)/MAX(0.0000001,ABS(COS(H219))),(hthan*500-'KT THAN'!$D$12)/MAX(0.0000001,ABS(SIN(H219)))))*SIN(H219))</f>
        <v>0</v>
      </c>
      <c r="K219" s="52">
        <f>IF(G219="",0,'KT THAN'!$D$11/'KT THAN'!$C$11)</f>
        <v>0</v>
      </c>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row>
    <row r="220" spans="1:40" x14ac:dyDescent="0.3">
      <c r="A220" s="52">
        <v>215</v>
      </c>
      <c r="B220" s="52">
        <f>-bthan*500+(14+0.5)*bthan*1000/50</f>
        <v>-1155</v>
      </c>
      <c r="C220" s="52">
        <f t="shared" si="88"/>
        <v>-710</v>
      </c>
      <c r="D220" s="52">
        <f t="shared" si="86"/>
        <v>2200</v>
      </c>
      <c r="E220" s="52">
        <f t="shared" si="87"/>
        <v>1</v>
      </c>
      <c r="F220" s="52"/>
      <c r="G220" s="52" t="str">
        <f>IF(215&lt;='KT THAN'!$C$11,215,"")</f>
        <v/>
      </c>
      <c r="H220" s="52">
        <f>IF(G220="",0,2*PI()*(G220-0.5)/'KT THAN'!$C$11)</f>
        <v>0</v>
      </c>
      <c r="I220" s="52">
        <f>IF(G220="",0,IF(shp=1,IF(AND(ABS(SIN(H220))&gt;0.0000001,MAX(1,hthan*500-'KT THAN'!$D$12)*ABS(COS(H220))/ABS(SIN(H220))&lt;=MAX(0,(bthan-hthan)*500)),MAX(1,hthan*500-'KT THAN'!$D$12)/ABS(SIN(H220)),MAX(0,(bthan-hthan)*500)*ABS(COS(H220))+SQRT(MAX(0,MAX(1,hthan*500-'KT THAN'!$D$12)^2-MAX(0,(bthan-hthan)*500)^2*SIN(H220)^2))),MIN((bthan*500-'KT THAN'!$D$12)/MAX(0.0000001,ABS(COS(H220))),(hthan*500-'KT THAN'!$D$12)/MAX(0.0000001,ABS(SIN(H220)))))*COS(H220))</f>
        <v>0</v>
      </c>
      <c r="J220" s="52">
        <f>IF(G220="",0,IF(shp=1,IF(AND(ABS(SIN(H220))&gt;0.0000001,MAX(1,hthan*500-'KT THAN'!$D$12)*ABS(COS(H220))/ABS(SIN(H220))&lt;=MAX(0,(bthan-hthan)*500)),MAX(1,hthan*500-'KT THAN'!$D$12)/ABS(SIN(H220)),MAX(0,(bthan-hthan)*500)*ABS(COS(H220))+SQRT(MAX(0,MAX(1,hthan*500-'KT THAN'!$D$12)^2-MAX(0,(bthan-hthan)*500)^2*SIN(H220)^2))),MIN((bthan*500-'KT THAN'!$D$12)/MAX(0.0000001,ABS(COS(H220))),(hthan*500-'KT THAN'!$D$12)/MAX(0.0000001,ABS(SIN(H220)))))*SIN(H220))</f>
        <v>0</v>
      </c>
      <c r="K220" s="52">
        <f>IF(G220="",0,'KT THAN'!$D$11/'KT THAN'!$C$11)</f>
        <v>0</v>
      </c>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row>
    <row r="221" spans="1:40" x14ac:dyDescent="0.3">
      <c r="A221" s="52">
        <v>216</v>
      </c>
      <c r="B221" s="52">
        <f>-bthan*500+(15+0.5)*bthan*1000/50</f>
        <v>-1045</v>
      </c>
      <c r="C221" s="52">
        <f t="shared" si="88"/>
        <v>-710</v>
      </c>
      <c r="D221" s="52">
        <f t="shared" si="86"/>
        <v>2200</v>
      </c>
      <c r="E221" s="52">
        <f t="shared" si="87"/>
        <v>1</v>
      </c>
      <c r="F221" s="52"/>
      <c r="G221" s="52" t="str">
        <f>IF(216&lt;='KT THAN'!$C$11,216,"")</f>
        <v/>
      </c>
      <c r="H221" s="52">
        <f>IF(G221="",0,2*PI()*(G221-0.5)/'KT THAN'!$C$11)</f>
        <v>0</v>
      </c>
      <c r="I221" s="52">
        <f>IF(G221="",0,IF(shp=1,IF(AND(ABS(SIN(H221))&gt;0.0000001,MAX(1,hthan*500-'KT THAN'!$D$12)*ABS(COS(H221))/ABS(SIN(H221))&lt;=MAX(0,(bthan-hthan)*500)),MAX(1,hthan*500-'KT THAN'!$D$12)/ABS(SIN(H221)),MAX(0,(bthan-hthan)*500)*ABS(COS(H221))+SQRT(MAX(0,MAX(1,hthan*500-'KT THAN'!$D$12)^2-MAX(0,(bthan-hthan)*500)^2*SIN(H221)^2))),MIN((bthan*500-'KT THAN'!$D$12)/MAX(0.0000001,ABS(COS(H221))),(hthan*500-'KT THAN'!$D$12)/MAX(0.0000001,ABS(SIN(H221)))))*COS(H221))</f>
        <v>0</v>
      </c>
      <c r="J221" s="52">
        <f>IF(G221="",0,IF(shp=1,IF(AND(ABS(SIN(H221))&gt;0.0000001,MAX(1,hthan*500-'KT THAN'!$D$12)*ABS(COS(H221))/ABS(SIN(H221))&lt;=MAX(0,(bthan-hthan)*500)),MAX(1,hthan*500-'KT THAN'!$D$12)/ABS(SIN(H221)),MAX(0,(bthan-hthan)*500)*ABS(COS(H221))+SQRT(MAX(0,MAX(1,hthan*500-'KT THAN'!$D$12)^2-MAX(0,(bthan-hthan)*500)^2*SIN(H221)^2))),MIN((bthan*500-'KT THAN'!$D$12)/MAX(0.0000001,ABS(COS(H221))),(hthan*500-'KT THAN'!$D$12)/MAX(0.0000001,ABS(SIN(H221)))))*SIN(H221))</f>
        <v>0</v>
      </c>
      <c r="K221" s="52">
        <f>IF(G221="",0,'KT THAN'!$D$11/'KT THAN'!$C$11)</f>
        <v>0</v>
      </c>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row>
    <row r="222" spans="1:40" x14ac:dyDescent="0.3">
      <c r="A222" s="52">
        <v>217</v>
      </c>
      <c r="B222" s="52">
        <f>-bthan*500+(16+0.5)*bthan*1000/50</f>
        <v>-935</v>
      </c>
      <c r="C222" s="52">
        <f t="shared" si="88"/>
        <v>-710</v>
      </c>
      <c r="D222" s="52">
        <f t="shared" si="86"/>
        <v>2200</v>
      </c>
      <c r="E222" s="52">
        <f t="shared" si="87"/>
        <v>1</v>
      </c>
      <c r="F222" s="52"/>
      <c r="G222" s="52" t="str">
        <f>IF(217&lt;='KT THAN'!$C$11,217,"")</f>
        <v/>
      </c>
      <c r="H222" s="52">
        <f>IF(G222="",0,2*PI()*(G222-0.5)/'KT THAN'!$C$11)</f>
        <v>0</v>
      </c>
      <c r="I222" s="52">
        <f>IF(G222="",0,IF(shp=1,IF(AND(ABS(SIN(H222))&gt;0.0000001,MAX(1,hthan*500-'KT THAN'!$D$12)*ABS(COS(H222))/ABS(SIN(H222))&lt;=MAX(0,(bthan-hthan)*500)),MAX(1,hthan*500-'KT THAN'!$D$12)/ABS(SIN(H222)),MAX(0,(bthan-hthan)*500)*ABS(COS(H222))+SQRT(MAX(0,MAX(1,hthan*500-'KT THAN'!$D$12)^2-MAX(0,(bthan-hthan)*500)^2*SIN(H222)^2))),MIN((bthan*500-'KT THAN'!$D$12)/MAX(0.0000001,ABS(COS(H222))),(hthan*500-'KT THAN'!$D$12)/MAX(0.0000001,ABS(SIN(H222)))))*COS(H222))</f>
        <v>0</v>
      </c>
      <c r="J222" s="52">
        <f>IF(G222="",0,IF(shp=1,IF(AND(ABS(SIN(H222))&gt;0.0000001,MAX(1,hthan*500-'KT THAN'!$D$12)*ABS(COS(H222))/ABS(SIN(H222))&lt;=MAX(0,(bthan-hthan)*500)),MAX(1,hthan*500-'KT THAN'!$D$12)/ABS(SIN(H222)),MAX(0,(bthan-hthan)*500)*ABS(COS(H222))+SQRT(MAX(0,MAX(1,hthan*500-'KT THAN'!$D$12)^2-MAX(0,(bthan-hthan)*500)^2*SIN(H222)^2))),MIN((bthan*500-'KT THAN'!$D$12)/MAX(0.0000001,ABS(COS(H222))),(hthan*500-'KT THAN'!$D$12)/MAX(0.0000001,ABS(SIN(H222)))))*SIN(H222))</f>
        <v>0</v>
      </c>
      <c r="K222" s="52">
        <f>IF(G222="",0,'KT THAN'!$D$11/'KT THAN'!$C$11)</f>
        <v>0</v>
      </c>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row>
    <row r="223" spans="1:40" x14ac:dyDescent="0.3">
      <c r="A223" s="52">
        <v>218</v>
      </c>
      <c r="B223" s="52">
        <f>-bthan*500+(17+0.5)*bthan*1000/50</f>
        <v>-825</v>
      </c>
      <c r="C223" s="52">
        <f t="shared" si="88"/>
        <v>-710</v>
      </c>
      <c r="D223" s="52">
        <f t="shared" si="86"/>
        <v>2200</v>
      </c>
      <c r="E223" s="52">
        <f t="shared" si="87"/>
        <v>1</v>
      </c>
      <c r="F223" s="52"/>
      <c r="G223" s="52" t="str">
        <f>IF(218&lt;='KT THAN'!$C$11,218,"")</f>
        <v/>
      </c>
      <c r="H223" s="52">
        <f>IF(G223="",0,2*PI()*(G223-0.5)/'KT THAN'!$C$11)</f>
        <v>0</v>
      </c>
      <c r="I223" s="52">
        <f>IF(G223="",0,IF(shp=1,IF(AND(ABS(SIN(H223))&gt;0.0000001,MAX(1,hthan*500-'KT THAN'!$D$12)*ABS(COS(H223))/ABS(SIN(H223))&lt;=MAX(0,(bthan-hthan)*500)),MAX(1,hthan*500-'KT THAN'!$D$12)/ABS(SIN(H223)),MAX(0,(bthan-hthan)*500)*ABS(COS(H223))+SQRT(MAX(0,MAX(1,hthan*500-'KT THAN'!$D$12)^2-MAX(0,(bthan-hthan)*500)^2*SIN(H223)^2))),MIN((bthan*500-'KT THAN'!$D$12)/MAX(0.0000001,ABS(COS(H223))),(hthan*500-'KT THAN'!$D$12)/MAX(0.0000001,ABS(SIN(H223)))))*COS(H223))</f>
        <v>0</v>
      </c>
      <c r="J223" s="52">
        <f>IF(G223="",0,IF(shp=1,IF(AND(ABS(SIN(H223))&gt;0.0000001,MAX(1,hthan*500-'KT THAN'!$D$12)*ABS(COS(H223))/ABS(SIN(H223))&lt;=MAX(0,(bthan-hthan)*500)),MAX(1,hthan*500-'KT THAN'!$D$12)/ABS(SIN(H223)),MAX(0,(bthan-hthan)*500)*ABS(COS(H223))+SQRT(MAX(0,MAX(1,hthan*500-'KT THAN'!$D$12)^2-MAX(0,(bthan-hthan)*500)^2*SIN(H223)^2))),MIN((bthan*500-'KT THAN'!$D$12)/MAX(0.0000001,ABS(COS(H223))),(hthan*500-'KT THAN'!$D$12)/MAX(0.0000001,ABS(SIN(H223)))))*SIN(H223))</f>
        <v>0</v>
      </c>
      <c r="K223" s="52">
        <f>IF(G223="",0,'KT THAN'!$D$11/'KT THAN'!$C$11)</f>
        <v>0</v>
      </c>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row>
    <row r="224" spans="1:40" x14ac:dyDescent="0.3">
      <c r="A224" s="52">
        <v>219</v>
      </c>
      <c r="B224" s="52">
        <f>-bthan*500+(18+0.5)*bthan*1000/50</f>
        <v>-715</v>
      </c>
      <c r="C224" s="52">
        <f t="shared" si="88"/>
        <v>-710</v>
      </c>
      <c r="D224" s="52">
        <f t="shared" si="86"/>
        <v>2200</v>
      </c>
      <c r="E224" s="52">
        <f t="shared" si="87"/>
        <v>1</v>
      </c>
      <c r="F224" s="52"/>
      <c r="G224" s="52" t="str">
        <f>IF(219&lt;='KT THAN'!$C$11,219,"")</f>
        <v/>
      </c>
      <c r="H224" s="52">
        <f>IF(G224="",0,2*PI()*(G224-0.5)/'KT THAN'!$C$11)</f>
        <v>0</v>
      </c>
      <c r="I224" s="52">
        <f>IF(G224="",0,IF(shp=1,IF(AND(ABS(SIN(H224))&gt;0.0000001,MAX(1,hthan*500-'KT THAN'!$D$12)*ABS(COS(H224))/ABS(SIN(H224))&lt;=MAX(0,(bthan-hthan)*500)),MAX(1,hthan*500-'KT THAN'!$D$12)/ABS(SIN(H224)),MAX(0,(bthan-hthan)*500)*ABS(COS(H224))+SQRT(MAX(0,MAX(1,hthan*500-'KT THAN'!$D$12)^2-MAX(0,(bthan-hthan)*500)^2*SIN(H224)^2))),MIN((bthan*500-'KT THAN'!$D$12)/MAX(0.0000001,ABS(COS(H224))),(hthan*500-'KT THAN'!$D$12)/MAX(0.0000001,ABS(SIN(H224)))))*COS(H224))</f>
        <v>0</v>
      </c>
      <c r="J224" s="52">
        <f>IF(G224="",0,IF(shp=1,IF(AND(ABS(SIN(H224))&gt;0.0000001,MAX(1,hthan*500-'KT THAN'!$D$12)*ABS(COS(H224))/ABS(SIN(H224))&lt;=MAX(0,(bthan-hthan)*500)),MAX(1,hthan*500-'KT THAN'!$D$12)/ABS(SIN(H224)),MAX(0,(bthan-hthan)*500)*ABS(COS(H224))+SQRT(MAX(0,MAX(1,hthan*500-'KT THAN'!$D$12)^2-MAX(0,(bthan-hthan)*500)^2*SIN(H224)^2))),MIN((bthan*500-'KT THAN'!$D$12)/MAX(0.0000001,ABS(COS(H224))),(hthan*500-'KT THAN'!$D$12)/MAX(0.0000001,ABS(SIN(H224)))))*SIN(H224))</f>
        <v>0</v>
      </c>
      <c r="K224" s="52">
        <f>IF(G224="",0,'KT THAN'!$D$11/'KT THAN'!$C$11)</f>
        <v>0</v>
      </c>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row>
    <row r="225" spans="1:40" x14ac:dyDescent="0.3">
      <c r="A225" s="52">
        <v>220</v>
      </c>
      <c r="B225" s="52">
        <f>-bthan*500+(19+0.5)*bthan*1000/50</f>
        <v>-605</v>
      </c>
      <c r="C225" s="52">
        <f t="shared" si="88"/>
        <v>-710</v>
      </c>
      <c r="D225" s="52">
        <f t="shared" si="86"/>
        <v>2200</v>
      </c>
      <c r="E225" s="52">
        <f t="shared" si="87"/>
        <v>1</v>
      </c>
      <c r="F225" s="52"/>
      <c r="G225" s="52" t="str">
        <f>IF(220&lt;='KT THAN'!$C$11,220,"")</f>
        <v/>
      </c>
      <c r="H225" s="52">
        <f>IF(G225="",0,2*PI()*(G225-0.5)/'KT THAN'!$C$11)</f>
        <v>0</v>
      </c>
      <c r="I225" s="52">
        <f>IF(G225="",0,IF(shp=1,IF(AND(ABS(SIN(H225))&gt;0.0000001,MAX(1,hthan*500-'KT THAN'!$D$12)*ABS(COS(H225))/ABS(SIN(H225))&lt;=MAX(0,(bthan-hthan)*500)),MAX(1,hthan*500-'KT THAN'!$D$12)/ABS(SIN(H225)),MAX(0,(bthan-hthan)*500)*ABS(COS(H225))+SQRT(MAX(0,MAX(1,hthan*500-'KT THAN'!$D$12)^2-MAX(0,(bthan-hthan)*500)^2*SIN(H225)^2))),MIN((bthan*500-'KT THAN'!$D$12)/MAX(0.0000001,ABS(COS(H225))),(hthan*500-'KT THAN'!$D$12)/MAX(0.0000001,ABS(SIN(H225)))))*COS(H225))</f>
        <v>0</v>
      </c>
      <c r="J225" s="52">
        <f>IF(G225="",0,IF(shp=1,IF(AND(ABS(SIN(H225))&gt;0.0000001,MAX(1,hthan*500-'KT THAN'!$D$12)*ABS(COS(H225))/ABS(SIN(H225))&lt;=MAX(0,(bthan-hthan)*500)),MAX(1,hthan*500-'KT THAN'!$D$12)/ABS(SIN(H225)),MAX(0,(bthan-hthan)*500)*ABS(COS(H225))+SQRT(MAX(0,MAX(1,hthan*500-'KT THAN'!$D$12)^2-MAX(0,(bthan-hthan)*500)^2*SIN(H225)^2))),MIN((bthan*500-'KT THAN'!$D$12)/MAX(0.0000001,ABS(COS(H225))),(hthan*500-'KT THAN'!$D$12)/MAX(0.0000001,ABS(SIN(H225)))))*SIN(H225))</f>
        <v>0</v>
      </c>
      <c r="K225" s="52">
        <f>IF(G225="",0,'KT THAN'!$D$11/'KT THAN'!$C$11)</f>
        <v>0</v>
      </c>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row>
    <row r="226" spans="1:40" x14ac:dyDescent="0.3">
      <c r="A226" s="52">
        <v>221</v>
      </c>
      <c r="B226" s="52">
        <f>-bthan*500+(20+0.5)*bthan*1000/50</f>
        <v>-495</v>
      </c>
      <c r="C226" s="52">
        <f t="shared" si="88"/>
        <v>-710</v>
      </c>
      <c r="D226" s="52">
        <f t="shared" si="86"/>
        <v>2200</v>
      </c>
      <c r="E226" s="52">
        <f t="shared" si="87"/>
        <v>1</v>
      </c>
      <c r="F226" s="52"/>
      <c r="G226" s="52" t="str">
        <f>IF(221&lt;='KT THAN'!$C$11,221,"")</f>
        <v/>
      </c>
      <c r="H226" s="52">
        <f>IF(G226="",0,2*PI()*(G226-0.5)/'KT THAN'!$C$11)</f>
        <v>0</v>
      </c>
      <c r="I226" s="52">
        <f>IF(G226="",0,IF(shp=1,IF(AND(ABS(SIN(H226))&gt;0.0000001,MAX(1,hthan*500-'KT THAN'!$D$12)*ABS(COS(H226))/ABS(SIN(H226))&lt;=MAX(0,(bthan-hthan)*500)),MAX(1,hthan*500-'KT THAN'!$D$12)/ABS(SIN(H226)),MAX(0,(bthan-hthan)*500)*ABS(COS(H226))+SQRT(MAX(0,MAX(1,hthan*500-'KT THAN'!$D$12)^2-MAX(0,(bthan-hthan)*500)^2*SIN(H226)^2))),MIN((bthan*500-'KT THAN'!$D$12)/MAX(0.0000001,ABS(COS(H226))),(hthan*500-'KT THAN'!$D$12)/MAX(0.0000001,ABS(SIN(H226)))))*COS(H226))</f>
        <v>0</v>
      </c>
      <c r="J226" s="52">
        <f>IF(G226="",0,IF(shp=1,IF(AND(ABS(SIN(H226))&gt;0.0000001,MAX(1,hthan*500-'KT THAN'!$D$12)*ABS(COS(H226))/ABS(SIN(H226))&lt;=MAX(0,(bthan-hthan)*500)),MAX(1,hthan*500-'KT THAN'!$D$12)/ABS(SIN(H226)),MAX(0,(bthan-hthan)*500)*ABS(COS(H226))+SQRT(MAX(0,MAX(1,hthan*500-'KT THAN'!$D$12)^2-MAX(0,(bthan-hthan)*500)^2*SIN(H226)^2))),MIN((bthan*500-'KT THAN'!$D$12)/MAX(0.0000001,ABS(COS(H226))),(hthan*500-'KT THAN'!$D$12)/MAX(0.0000001,ABS(SIN(H226)))))*SIN(H226))</f>
        <v>0</v>
      </c>
      <c r="K226" s="52">
        <f>IF(G226="",0,'KT THAN'!$D$11/'KT THAN'!$C$11)</f>
        <v>0</v>
      </c>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row>
    <row r="227" spans="1:40" x14ac:dyDescent="0.3">
      <c r="A227" s="52">
        <v>222</v>
      </c>
      <c r="B227" s="52">
        <f>-bthan*500+(21+0.5)*bthan*1000/50</f>
        <v>-385</v>
      </c>
      <c r="C227" s="52">
        <f t="shared" si="88"/>
        <v>-710</v>
      </c>
      <c r="D227" s="52">
        <f t="shared" si="86"/>
        <v>2200</v>
      </c>
      <c r="E227" s="52">
        <f t="shared" si="87"/>
        <v>1</v>
      </c>
      <c r="F227" s="52"/>
      <c r="G227" s="52" t="str">
        <f>IF(222&lt;='KT THAN'!$C$11,222,"")</f>
        <v/>
      </c>
      <c r="H227" s="52">
        <f>IF(G227="",0,2*PI()*(G227-0.5)/'KT THAN'!$C$11)</f>
        <v>0</v>
      </c>
      <c r="I227" s="52">
        <f>IF(G227="",0,IF(shp=1,IF(AND(ABS(SIN(H227))&gt;0.0000001,MAX(1,hthan*500-'KT THAN'!$D$12)*ABS(COS(H227))/ABS(SIN(H227))&lt;=MAX(0,(bthan-hthan)*500)),MAX(1,hthan*500-'KT THAN'!$D$12)/ABS(SIN(H227)),MAX(0,(bthan-hthan)*500)*ABS(COS(H227))+SQRT(MAX(0,MAX(1,hthan*500-'KT THAN'!$D$12)^2-MAX(0,(bthan-hthan)*500)^2*SIN(H227)^2))),MIN((bthan*500-'KT THAN'!$D$12)/MAX(0.0000001,ABS(COS(H227))),(hthan*500-'KT THAN'!$D$12)/MAX(0.0000001,ABS(SIN(H227)))))*COS(H227))</f>
        <v>0</v>
      </c>
      <c r="J227" s="52">
        <f>IF(G227="",0,IF(shp=1,IF(AND(ABS(SIN(H227))&gt;0.0000001,MAX(1,hthan*500-'KT THAN'!$D$12)*ABS(COS(H227))/ABS(SIN(H227))&lt;=MAX(0,(bthan-hthan)*500)),MAX(1,hthan*500-'KT THAN'!$D$12)/ABS(SIN(H227)),MAX(0,(bthan-hthan)*500)*ABS(COS(H227))+SQRT(MAX(0,MAX(1,hthan*500-'KT THAN'!$D$12)^2-MAX(0,(bthan-hthan)*500)^2*SIN(H227)^2))),MIN((bthan*500-'KT THAN'!$D$12)/MAX(0.0000001,ABS(COS(H227))),(hthan*500-'KT THAN'!$D$12)/MAX(0.0000001,ABS(SIN(H227)))))*SIN(H227))</f>
        <v>0</v>
      </c>
      <c r="K227" s="52">
        <f>IF(G227="",0,'KT THAN'!$D$11/'KT THAN'!$C$11)</f>
        <v>0</v>
      </c>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row>
    <row r="228" spans="1:40" x14ac:dyDescent="0.3">
      <c r="A228" s="52">
        <v>223</v>
      </c>
      <c r="B228" s="52">
        <f>-bthan*500+(22+0.5)*bthan*1000/50</f>
        <v>-275</v>
      </c>
      <c r="C228" s="52">
        <f t="shared" si="88"/>
        <v>-710</v>
      </c>
      <c r="D228" s="52">
        <f t="shared" si="86"/>
        <v>2200</v>
      </c>
      <c r="E228" s="52">
        <f t="shared" si="87"/>
        <v>1</v>
      </c>
      <c r="F228" s="52"/>
      <c r="G228" s="52" t="str">
        <f>IF(223&lt;='KT THAN'!$C$11,223,"")</f>
        <v/>
      </c>
      <c r="H228" s="52">
        <f>IF(G228="",0,2*PI()*(G228-0.5)/'KT THAN'!$C$11)</f>
        <v>0</v>
      </c>
      <c r="I228" s="52">
        <f>IF(G228="",0,IF(shp=1,IF(AND(ABS(SIN(H228))&gt;0.0000001,MAX(1,hthan*500-'KT THAN'!$D$12)*ABS(COS(H228))/ABS(SIN(H228))&lt;=MAX(0,(bthan-hthan)*500)),MAX(1,hthan*500-'KT THAN'!$D$12)/ABS(SIN(H228)),MAX(0,(bthan-hthan)*500)*ABS(COS(H228))+SQRT(MAX(0,MAX(1,hthan*500-'KT THAN'!$D$12)^2-MAX(0,(bthan-hthan)*500)^2*SIN(H228)^2))),MIN((bthan*500-'KT THAN'!$D$12)/MAX(0.0000001,ABS(COS(H228))),(hthan*500-'KT THAN'!$D$12)/MAX(0.0000001,ABS(SIN(H228)))))*COS(H228))</f>
        <v>0</v>
      </c>
      <c r="J228" s="52">
        <f>IF(G228="",0,IF(shp=1,IF(AND(ABS(SIN(H228))&gt;0.0000001,MAX(1,hthan*500-'KT THAN'!$D$12)*ABS(COS(H228))/ABS(SIN(H228))&lt;=MAX(0,(bthan-hthan)*500)),MAX(1,hthan*500-'KT THAN'!$D$12)/ABS(SIN(H228)),MAX(0,(bthan-hthan)*500)*ABS(COS(H228))+SQRT(MAX(0,MAX(1,hthan*500-'KT THAN'!$D$12)^2-MAX(0,(bthan-hthan)*500)^2*SIN(H228)^2))),MIN((bthan*500-'KT THAN'!$D$12)/MAX(0.0000001,ABS(COS(H228))),(hthan*500-'KT THAN'!$D$12)/MAX(0.0000001,ABS(SIN(H228)))))*SIN(H228))</f>
        <v>0</v>
      </c>
      <c r="K228" s="52">
        <f>IF(G228="",0,'KT THAN'!$D$11/'KT THAN'!$C$11)</f>
        <v>0</v>
      </c>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row>
    <row r="229" spans="1:40" x14ac:dyDescent="0.3">
      <c r="A229" s="52">
        <v>224</v>
      </c>
      <c r="B229" s="52">
        <f>-bthan*500+(23+0.5)*bthan*1000/50</f>
        <v>-165</v>
      </c>
      <c r="C229" s="52">
        <f t="shared" si="88"/>
        <v>-710</v>
      </c>
      <c r="D229" s="52">
        <f t="shared" si="86"/>
        <v>2200</v>
      </c>
      <c r="E229" s="52">
        <f t="shared" si="87"/>
        <v>1</v>
      </c>
      <c r="F229" s="52"/>
      <c r="G229" s="52" t="str">
        <f>IF(224&lt;='KT THAN'!$C$11,224,"")</f>
        <v/>
      </c>
      <c r="H229" s="52">
        <f>IF(G229="",0,2*PI()*(G229-0.5)/'KT THAN'!$C$11)</f>
        <v>0</v>
      </c>
      <c r="I229" s="52">
        <f>IF(G229="",0,IF(shp=1,IF(AND(ABS(SIN(H229))&gt;0.0000001,MAX(1,hthan*500-'KT THAN'!$D$12)*ABS(COS(H229))/ABS(SIN(H229))&lt;=MAX(0,(bthan-hthan)*500)),MAX(1,hthan*500-'KT THAN'!$D$12)/ABS(SIN(H229)),MAX(0,(bthan-hthan)*500)*ABS(COS(H229))+SQRT(MAX(0,MAX(1,hthan*500-'KT THAN'!$D$12)^2-MAX(0,(bthan-hthan)*500)^2*SIN(H229)^2))),MIN((bthan*500-'KT THAN'!$D$12)/MAX(0.0000001,ABS(COS(H229))),(hthan*500-'KT THAN'!$D$12)/MAX(0.0000001,ABS(SIN(H229)))))*COS(H229))</f>
        <v>0</v>
      </c>
      <c r="J229" s="52">
        <f>IF(G229="",0,IF(shp=1,IF(AND(ABS(SIN(H229))&gt;0.0000001,MAX(1,hthan*500-'KT THAN'!$D$12)*ABS(COS(H229))/ABS(SIN(H229))&lt;=MAX(0,(bthan-hthan)*500)),MAX(1,hthan*500-'KT THAN'!$D$12)/ABS(SIN(H229)),MAX(0,(bthan-hthan)*500)*ABS(COS(H229))+SQRT(MAX(0,MAX(1,hthan*500-'KT THAN'!$D$12)^2-MAX(0,(bthan-hthan)*500)^2*SIN(H229)^2))),MIN((bthan*500-'KT THAN'!$D$12)/MAX(0.0000001,ABS(COS(H229))),(hthan*500-'KT THAN'!$D$12)/MAX(0.0000001,ABS(SIN(H229)))))*SIN(H229))</f>
        <v>0</v>
      </c>
      <c r="K229" s="52">
        <f>IF(G229="",0,'KT THAN'!$D$11/'KT THAN'!$C$11)</f>
        <v>0</v>
      </c>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row>
    <row r="230" spans="1:40" x14ac:dyDescent="0.3">
      <c r="A230" s="52">
        <v>225</v>
      </c>
      <c r="B230" s="52">
        <f>-bthan*500+(24+0.5)*bthan*1000/50</f>
        <v>-55</v>
      </c>
      <c r="C230" s="52">
        <f t="shared" si="88"/>
        <v>-710</v>
      </c>
      <c r="D230" s="52">
        <f t="shared" si="86"/>
        <v>2200</v>
      </c>
      <c r="E230" s="52">
        <f t="shared" si="87"/>
        <v>1</v>
      </c>
      <c r="F230" s="52"/>
      <c r="G230" s="52" t="str">
        <f>IF(225&lt;='KT THAN'!$C$11,225,"")</f>
        <v/>
      </c>
      <c r="H230" s="52">
        <f>IF(G230="",0,2*PI()*(G230-0.5)/'KT THAN'!$C$11)</f>
        <v>0</v>
      </c>
      <c r="I230" s="52">
        <f>IF(G230="",0,IF(shp=1,IF(AND(ABS(SIN(H230))&gt;0.0000001,MAX(1,hthan*500-'KT THAN'!$D$12)*ABS(COS(H230))/ABS(SIN(H230))&lt;=MAX(0,(bthan-hthan)*500)),MAX(1,hthan*500-'KT THAN'!$D$12)/ABS(SIN(H230)),MAX(0,(bthan-hthan)*500)*ABS(COS(H230))+SQRT(MAX(0,MAX(1,hthan*500-'KT THAN'!$D$12)^2-MAX(0,(bthan-hthan)*500)^2*SIN(H230)^2))),MIN((bthan*500-'KT THAN'!$D$12)/MAX(0.0000001,ABS(COS(H230))),(hthan*500-'KT THAN'!$D$12)/MAX(0.0000001,ABS(SIN(H230)))))*COS(H230))</f>
        <v>0</v>
      </c>
      <c r="J230" s="52">
        <f>IF(G230="",0,IF(shp=1,IF(AND(ABS(SIN(H230))&gt;0.0000001,MAX(1,hthan*500-'KT THAN'!$D$12)*ABS(COS(H230))/ABS(SIN(H230))&lt;=MAX(0,(bthan-hthan)*500)),MAX(1,hthan*500-'KT THAN'!$D$12)/ABS(SIN(H230)),MAX(0,(bthan-hthan)*500)*ABS(COS(H230))+SQRT(MAX(0,MAX(1,hthan*500-'KT THAN'!$D$12)^2-MAX(0,(bthan-hthan)*500)^2*SIN(H230)^2))),MIN((bthan*500-'KT THAN'!$D$12)/MAX(0.0000001,ABS(COS(H230))),(hthan*500-'KT THAN'!$D$12)/MAX(0.0000001,ABS(SIN(H230)))))*SIN(H230))</f>
        <v>0</v>
      </c>
      <c r="K230" s="52">
        <f>IF(G230="",0,'KT THAN'!$D$11/'KT THAN'!$C$11)</f>
        <v>0</v>
      </c>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row>
    <row r="231" spans="1:40" x14ac:dyDescent="0.3">
      <c r="A231" s="52">
        <v>226</v>
      </c>
      <c r="B231" s="52">
        <f>-bthan*500+(25+0.5)*bthan*1000/50</f>
        <v>55</v>
      </c>
      <c r="C231" s="52">
        <f t="shared" si="88"/>
        <v>-710</v>
      </c>
      <c r="D231" s="52">
        <f t="shared" si="86"/>
        <v>2200</v>
      </c>
      <c r="E231" s="52">
        <f t="shared" si="87"/>
        <v>1</v>
      </c>
      <c r="F231" s="52"/>
      <c r="G231" s="52" t="str">
        <f>IF(226&lt;='KT THAN'!$C$11,226,"")</f>
        <v/>
      </c>
      <c r="H231" s="52">
        <f>IF(G231="",0,2*PI()*(G231-0.5)/'KT THAN'!$C$11)</f>
        <v>0</v>
      </c>
      <c r="I231" s="52">
        <f>IF(G231="",0,IF(shp=1,IF(AND(ABS(SIN(H231))&gt;0.0000001,MAX(1,hthan*500-'KT THAN'!$D$12)*ABS(COS(H231))/ABS(SIN(H231))&lt;=MAX(0,(bthan-hthan)*500)),MAX(1,hthan*500-'KT THAN'!$D$12)/ABS(SIN(H231)),MAX(0,(bthan-hthan)*500)*ABS(COS(H231))+SQRT(MAX(0,MAX(1,hthan*500-'KT THAN'!$D$12)^2-MAX(0,(bthan-hthan)*500)^2*SIN(H231)^2))),MIN((bthan*500-'KT THAN'!$D$12)/MAX(0.0000001,ABS(COS(H231))),(hthan*500-'KT THAN'!$D$12)/MAX(0.0000001,ABS(SIN(H231)))))*COS(H231))</f>
        <v>0</v>
      </c>
      <c r="J231" s="52">
        <f>IF(G231="",0,IF(shp=1,IF(AND(ABS(SIN(H231))&gt;0.0000001,MAX(1,hthan*500-'KT THAN'!$D$12)*ABS(COS(H231))/ABS(SIN(H231))&lt;=MAX(0,(bthan-hthan)*500)),MAX(1,hthan*500-'KT THAN'!$D$12)/ABS(SIN(H231)),MAX(0,(bthan-hthan)*500)*ABS(COS(H231))+SQRT(MAX(0,MAX(1,hthan*500-'KT THAN'!$D$12)^2-MAX(0,(bthan-hthan)*500)^2*SIN(H231)^2))),MIN((bthan*500-'KT THAN'!$D$12)/MAX(0.0000001,ABS(COS(H231))),(hthan*500-'KT THAN'!$D$12)/MAX(0.0000001,ABS(SIN(H231)))))*SIN(H231))</f>
        <v>0</v>
      </c>
      <c r="K231" s="52">
        <f>IF(G231="",0,'KT THAN'!$D$11/'KT THAN'!$C$11)</f>
        <v>0</v>
      </c>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row>
    <row r="232" spans="1:40" x14ac:dyDescent="0.3">
      <c r="A232" s="52">
        <v>227</v>
      </c>
      <c r="B232" s="52">
        <f>-bthan*500+(26+0.5)*bthan*1000/50</f>
        <v>165</v>
      </c>
      <c r="C232" s="52">
        <f t="shared" si="88"/>
        <v>-710</v>
      </c>
      <c r="D232" s="52">
        <f t="shared" si="86"/>
        <v>2200</v>
      </c>
      <c r="E232" s="52">
        <f t="shared" si="87"/>
        <v>1</v>
      </c>
      <c r="F232" s="52"/>
      <c r="G232" s="52" t="str">
        <f>IF(227&lt;='KT THAN'!$C$11,227,"")</f>
        <v/>
      </c>
      <c r="H232" s="52">
        <f>IF(G232="",0,2*PI()*(G232-0.5)/'KT THAN'!$C$11)</f>
        <v>0</v>
      </c>
      <c r="I232" s="52">
        <f>IF(G232="",0,IF(shp=1,IF(AND(ABS(SIN(H232))&gt;0.0000001,MAX(1,hthan*500-'KT THAN'!$D$12)*ABS(COS(H232))/ABS(SIN(H232))&lt;=MAX(0,(bthan-hthan)*500)),MAX(1,hthan*500-'KT THAN'!$D$12)/ABS(SIN(H232)),MAX(0,(bthan-hthan)*500)*ABS(COS(H232))+SQRT(MAX(0,MAX(1,hthan*500-'KT THAN'!$D$12)^2-MAX(0,(bthan-hthan)*500)^2*SIN(H232)^2))),MIN((bthan*500-'KT THAN'!$D$12)/MAX(0.0000001,ABS(COS(H232))),(hthan*500-'KT THAN'!$D$12)/MAX(0.0000001,ABS(SIN(H232)))))*COS(H232))</f>
        <v>0</v>
      </c>
      <c r="J232" s="52">
        <f>IF(G232="",0,IF(shp=1,IF(AND(ABS(SIN(H232))&gt;0.0000001,MAX(1,hthan*500-'KT THAN'!$D$12)*ABS(COS(H232))/ABS(SIN(H232))&lt;=MAX(0,(bthan-hthan)*500)),MAX(1,hthan*500-'KT THAN'!$D$12)/ABS(SIN(H232)),MAX(0,(bthan-hthan)*500)*ABS(COS(H232))+SQRT(MAX(0,MAX(1,hthan*500-'KT THAN'!$D$12)^2-MAX(0,(bthan-hthan)*500)^2*SIN(H232)^2))),MIN((bthan*500-'KT THAN'!$D$12)/MAX(0.0000001,ABS(COS(H232))),(hthan*500-'KT THAN'!$D$12)/MAX(0.0000001,ABS(SIN(H232)))))*SIN(H232))</f>
        <v>0</v>
      </c>
      <c r="K232" s="52">
        <f>IF(G232="",0,'KT THAN'!$D$11/'KT THAN'!$C$11)</f>
        <v>0</v>
      </c>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row>
    <row r="233" spans="1:40" x14ac:dyDescent="0.3">
      <c r="A233" s="52">
        <v>228</v>
      </c>
      <c r="B233" s="52">
        <f>-bthan*500+(27+0.5)*bthan*1000/50</f>
        <v>275</v>
      </c>
      <c r="C233" s="52">
        <f t="shared" si="88"/>
        <v>-710</v>
      </c>
      <c r="D233" s="52">
        <f t="shared" si="86"/>
        <v>2200</v>
      </c>
      <c r="E233" s="52">
        <f t="shared" si="87"/>
        <v>1</v>
      </c>
      <c r="F233" s="52"/>
      <c r="G233" s="52" t="str">
        <f>IF(228&lt;='KT THAN'!$C$11,228,"")</f>
        <v/>
      </c>
      <c r="H233" s="52">
        <f>IF(G233="",0,2*PI()*(G233-0.5)/'KT THAN'!$C$11)</f>
        <v>0</v>
      </c>
      <c r="I233" s="52">
        <f>IF(G233="",0,IF(shp=1,IF(AND(ABS(SIN(H233))&gt;0.0000001,MAX(1,hthan*500-'KT THAN'!$D$12)*ABS(COS(H233))/ABS(SIN(H233))&lt;=MAX(0,(bthan-hthan)*500)),MAX(1,hthan*500-'KT THAN'!$D$12)/ABS(SIN(H233)),MAX(0,(bthan-hthan)*500)*ABS(COS(H233))+SQRT(MAX(0,MAX(1,hthan*500-'KT THAN'!$D$12)^2-MAX(0,(bthan-hthan)*500)^2*SIN(H233)^2))),MIN((bthan*500-'KT THAN'!$D$12)/MAX(0.0000001,ABS(COS(H233))),(hthan*500-'KT THAN'!$D$12)/MAX(0.0000001,ABS(SIN(H233)))))*COS(H233))</f>
        <v>0</v>
      </c>
      <c r="J233" s="52">
        <f>IF(G233="",0,IF(shp=1,IF(AND(ABS(SIN(H233))&gt;0.0000001,MAX(1,hthan*500-'KT THAN'!$D$12)*ABS(COS(H233))/ABS(SIN(H233))&lt;=MAX(0,(bthan-hthan)*500)),MAX(1,hthan*500-'KT THAN'!$D$12)/ABS(SIN(H233)),MAX(0,(bthan-hthan)*500)*ABS(COS(H233))+SQRT(MAX(0,MAX(1,hthan*500-'KT THAN'!$D$12)^2-MAX(0,(bthan-hthan)*500)^2*SIN(H233)^2))),MIN((bthan*500-'KT THAN'!$D$12)/MAX(0.0000001,ABS(COS(H233))),(hthan*500-'KT THAN'!$D$12)/MAX(0.0000001,ABS(SIN(H233)))))*SIN(H233))</f>
        <v>0</v>
      </c>
      <c r="K233" s="52">
        <f>IF(G233="",0,'KT THAN'!$D$11/'KT THAN'!$C$11)</f>
        <v>0</v>
      </c>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row>
    <row r="234" spans="1:40" x14ac:dyDescent="0.3">
      <c r="A234" s="52">
        <v>229</v>
      </c>
      <c r="B234" s="52">
        <f>-bthan*500+(28+0.5)*bthan*1000/50</f>
        <v>385</v>
      </c>
      <c r="C234" s="52">
        <f t="shared" si="88"/>
        <v>-710</v>
      </c>
      <c r="D234" s="52">
        <f t="shared" si="86"/>
        <v>2200</v>
      </c>
      <c r="E234" s="52">
        <f t="shared" si="87"/>
        <v>1</v>
      </c>
      <c r="F234" s="52"/>
      <c r="G234" s="52" t="str">
        <f>IF(229&lt;='KT THAN'!$C$11,229,"")</f>
        <v/>
      </c>
      <c r="H234" s="52">
        <f>IF(G234="",0,2*PI()*(G234-0.5)/'KT THAN'!$C$11)</f>
        <v>0</v>
      </c>
      <c r="I234" s="52">
        <f>IF(G234="",0,IF(shp=1,IF(AND(ABS(SIN(H234))&gt;0.0000001,MAX(1,hthan*500-'KT THAN'!$D$12)*ABS(COS(H234))/ABS(SIN(H234))&lt;=MAX(0,(bthan-hthan)*500)),MAX(1,hthan*500-'KT THAN'!$D$12)/ABS(SIN(H234)),MAX(0,(bthan-hthan)*500)*ABS(COS(H234))+SQRT(MAX(0,MAX(1,hthan*500-'KT THAN'!$D$12)^2-MAX(0,(bthan-hthan)*500)^2*SIN(H234)^2))),MIN((bthan*500-'KT THAN'!$D$12)/MAX(0.0000001,ABS(COS(H234))),(hthan*500-'KT THAN'!$D$12)/MAX(0.0000001,ABS(SIN(H234)))))*COS(H234))</f>
        <v>0</v>
      </c>
      <c r="J234" s="52">
        <f>IF(G234="",0,IF(shp=1,IF(AND(ABS(SIN(H234))&gt;0.0000001,MAX(1,hthan*500-'KT THAN'!$D$12)*ABS(COS(H234))/ABS(SIN(H234))&lt;=MAX(0,(bthan-hthan)*500)),MAX(1,hthan*500-'KT THAN'!$D$12)/ABS(SIN(H234)),MAX(0,(bthan-hthan)*500)*ABS(COS(H234))+SQRT(MAX(0,MAX(1,hthan*500-'KT THAN'!$D$12)^2-MAX(0,(bthan-hthan)*500)^2*SIN(H234)^2))),MIN((bthan*500-'KT THAN'!$D$12)/MAX(0.0000001,ABS(COS(H234))),(hthan*500-'KT THAN'!$D$12)/MAX(0.0000001,ABS(SIN(H234)))))*SIN(H234))</f>
        <v>0</v>
      </c>
      <c r="K234" s="52">
        <f>IF(G234="",0,'KT THAN'!$D$11/'KT THAN'!$C$11)</f>
        <v>0</v>
      </c>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row>
    <row r="235" spans="1:40" x14ac:dyDescent="0.3">
      <c r="A235" s="52">
        <v>230</v>
      </c>
      <c r="B235" s="52">
        <f>-bthan*500+(29+0.5)*bthan*1000/50</f>
        <v>495</v>
      </c>
      <c r="C235" s="52">
        <f t="shared" si="88"/>
        <v>-710</v>
      </c>
      <c r="D235" s="52">
        <f t="shared" si="86"/>
        <v>2200</v>
      </c>
      <c r="E235" s="52">
        <f t="shared" si="87"/>
        <v>1</v>
      </c>
      <c r="F235" s="52"/>
      <c r="G235" s="52" t="str">
        <f>IF(230&lt;='KT THAN'!$C$11,230,"")</f>
        <v/>
      </c>
      <c r="H235" s="52">
        <f>IF(G235="",0,2*PI()*(G235-0.5)/'KT THAN'!$C$11)</f>
        <v>0</v>
      </c>
      <c r="I235" s="52">
        <f>IF(G235="",0,IF(shp=1,IF(AND(ABS(SIN(H235))&gt;0.0000001,MAX(1,hthan*500-'KT THAN'!$D$12)*ABS(COS(H235))/ABS(SIN(H235))&lt;=MAX(0,(bthan-hthan)*500)),MAX(1,hthan*500-'KT THAN'!$D$12)/ABS(SIN(H235)),MAX(0,(bthan-hthan)*500)*ABS(COS(H235))+SQRT(MAX(0,MAX(1,hthan*500-'KT THAN'!$D$12)^2-MAX(0,(bthan-hthan)*500)^2*SIN(H235)^2))),MIN((bthan*500-'KT THAN'!$D$12)/MAX(0.0000001,ABS(COS(H235))),(hthan*500-'KT THAN'!$D$12)/MAX(0.0000001,ABS(SIN(H235)))))*COS(H235))</f>
        <v>0</v>
      </c>
      <c r="J235" s="52">
        <f>IF(G235="",0,IF(shp=1,IF(AND(ABS(SIN(H235))&gt;0.0000001,MAX(1,hthan*500-'KT THAN'!$D$12)*ABS(COS(H235))/ABS(SIN(H235))&lt;=MAX(0,(bthan-hthan)*500)),MAX(1,hthan*500-'KT THAN'!$D$12)/ABS(SIN(H235)),MAX(0,(bthan-hthan)*500)*ABS(COS(H235))+SQRT(MAX(0,MAX(1,hthan*500-'KT THAN'!$D$12)^2-MAX(0,(bthan-hthan)*500)^2*SIN(H235)^2))),MIN((bthan*500-'KT THAN'!$D$12)/MAX(0.0000001,ABS(COS(H235))),(hthan*500-'KT THAN'!$D$12)/MAX(0.0000001,ABS(SIN(H235)))))*SIN(H235))</f>
        <v>0</v>
      </c>
      <c r="K235" s="52">
        <f>IF(G235="",0,'KT THAN'!$D$11/'KT THAN'!$C$11)</f>
        <v>0</v>
      </c>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row>
    <row r="236" spans="1:40" x14ac:dyDescent="0.3">
      <c r="A236" s="52">
        <v>231</v>
      </c>
      <c r="B236" s="52">
        <f>-bthan*500+(30+0.5)*bthan*1000/50</f>
        <v>605</v>
      </c>
      <c r="C236" s="52">
        <f t="shared" si="88"/>
        <v>-710</v>
      </c>
      <c r="D236" s="52">
        <f t="shared" si="86"/>
        <v>2200</v>
      </c>
      <c r="E236" s="52">
        <f t="shared" si="87"/>
        <v>1</v>
      </c>
      <c r="F236" s="52"/>
      <c r="G236" s="52" t="str">
        <f>IF(231&lt;='KT THAN'!$C$11,231,"")</f>
        <v/>
      </c>
      <c r="H236" s="52">
        <f>IF(G236="",0,2*PI()*(G236-0.5)/'KT THAN'!$C$11)</f>
        <v>0</v>
      </c>
      <c r="I236" s="52">
        <f>IF(G236="",0,IF(shp=1,IF(AND(ABS(SIN(H236))&gt;0.0000001,MAX(1,hthan*500-'KT THAN'!$D$12)*ABS(COS(H236))/ABS(SIN(H236))&lt;=MAX(0,(bthan-hthan)*500)),MAX(1,hthan*500-'KT THAN'!$D$12)/ABS(SIN(H236)),MAX(0,(bthan-hthan)*500)*ABS(COS(H236))+SQRT(MAX(0,MAX(1,hthan*500-'KT THAN'!$D$12)^2-MAX(0,(bthan-hthan)*500)^2*SIN(H236)^2))),MIN((bthan*500-'KT THAN'!$D$12)/MAX(0.0000001,ABS(COS(H236))),(hthan*500-'KT THAN'!$D$12)/MAX(0.0000001,ABS(SIN(H236)))))*COS(H236))</f>
        <v>0</v>
      </c>
      <c r="J236" s="52">
        <f>IF(G236="",0,IF(shp=1,IF(AND(ABS(SIN(H236))&gt;0.0000001,MAX(1,hthan*500-'KT THAN'!$D$12)*ABS(COS(H236))/ABS(SIN(H236))&lt;=MAX(0,(bthan-hthan)*500)),MAX(1,hthan*500-'KT THAN'!$D$12)/ABS(SIN(H236)),MAX(0,(bthan-hthan)*500)*ABS(COS(H236))+SQRT(MAX(0,MAX(1,hthan*500-'KT THAN'!$D$12)^2-MAX(0,(bthan-hthan)*500)^2*SIN(H236)^2))),MIN((bthan*500-'KT THAN'!$D$12)/MAX(0.0000001,ABS(COS(H236))),(hthan*500-'KT THAN'!$D$12)/MAX(0.0000001,ABS(SIN(H236)))))*SIN(H236))</f>
        <v>0</v>
      </c>
      <c r="K236" s="52">
        <f>IF(G236="",0,'KT THAN'!$D$11/'KT THAN'!$C$11)</f>
        <v>0</v>
      </c>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row>
    <row r="237" spans="1:40" x14ac:dyDescent="0.3">
      <c r="A237" s="52">
        <v>232</v>
      </c>
      <c r="B237" s="52">
        <f>-bthan*500+(31+0.5)*bthan*1000/50</f>
        <v>715</v>
      </c>
      <c r="C237" s="52">
        <f t="shared" si="88"/>
        <v>-710</v>
      </c>
      <c r="D237" s="52">
        <f t="shared" si="86"/>
        <v>2200</v>
      </c>
      <c r="E237" s="52">
        <f t="shared" si="87"/>
        <v>1</v>
      </c>
      <c r="F237" s="52"/>
      <c r="G237" s="52" t="str">
        <f>IF(232&lt;='KT THAN'!$C$11,232,"")</f>
        <v/>
      </c>
      <c r="H237" s="52">
        <f>IF(G237="",0,2*PI()*(G237-0.5)/'KT THAN'!$C$11)</f>
        <v>0</v>
      </c>
      <c r="I237" s="52">
        <f>IF(G237="",0,IF(shp=1,IF(AND(ABS(SIN(H237))&gt;0.0000001,MAX(1,hthan*500-'KT THAN'!$D$12)*ABS(COS(H237))/ABS(SIN(H237))&lt;=MAX(0,(bthan-hthan)*500)),MAX(1,hthan*500-'KT THAN'!$D$12)/ABS(SIN(H237)),MAX(0,(bthan-hthan)*500)*ABS(COS(H237))+SQRT(MAX(0,MAX(1,hthan*500-'KT THAN'!$D$12)^2-MAX(0,(bthan-hthan)*500)^2*SIN(H237)^2))),MIN((bthan*500-'KT THAN'!$D$12)/MAX(0.0000001,ABS(COS(H237))),(hthan*500-'KT THAN'!$D$12)/MAX(0.0000001,ABS(SIN(H237)))))*COS(H237))</f>
        <v>0</v>
      </c>
      <c r="J237" s="52">
        <f>IF(G237="",0,IF(shp=1,IF(AND(ABS(SIN(H237))&gt;0.0000001,MAX(1,hthan*500-'KT THAN'!$D$12)*ABS(COS(H237))/ABS(SIN(H237))&lt;=MAX(0,(bthan-hthan)*500)),MAX(1,hthan*500-'KT THAN'!$D$12)/ABS(SIN(H237)),MAX(0,(bthan-hthan)*500)*ABS(COS(H237))+SQRT(MAX(0,MAX(1,hthan*500-'KT THAN'!$D$12)^2-MAX(0,(bthan-hthan)*500)^2*SIN(H237)^2))),MIN((bthan*500-'KT THAN'!$D$12)/MAX(0.0000001,ABS(COS(H237))),(hthan*500-'KT THAN'!$D$12)/MAX(0.0000001,ABS(SIN(H237)))))*SIN(H237))</f>
        <v>0</v>
      </c>
      <c r="K237" s="52">
        <f>IF(G237="",0,'KT THAN'!$D$11/'KT THAN'!$C$11)</f>
        <v>0</v>
      </c>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row>
    <row r="238" spans="1:40" x14ac:dyDescent="0.3">
      <c r="A238" s="52">
        <v>233</v>
      </c>
      <c r="B238" s="52">
        <f>-bthan*500+(32+0.5)*bthan*1000/50</f>
        <v>825</v>
      </c>
      <c r="C238" s="52">
        <f t="shared" ref="C238:C255" si="89">-hthan*500+(4+0.5)*hthan*1000/80</f>
        <v>-710</v>
      </c>
      <c r="D238" s="52">
        <f t="shared" si="86"/>
        <v>2200</v>
      </c>
      <c r="E238" s="52">
        <f t="shared" si="87"/>
        <v>1</v>
      </c>
      <c r="F238" s="52"/>
      <c r="G238" s="52" t="str">
        <f>IF(233&lt;='KT THAN'!$C$11,233,"")</f>
        <v/>
      </c>
      <c r="H238" s="52">
        <f>IF(G238="",0,2*PI()*(G238-0.5)/'KT THAN'!$C$11)</f>
        <v>0</v>
      </c>
      <c r="I238" s="52">
        <f>IF(G238="",0,IF(shp=1,IF(AND(ABS(SIN(H238))&gt;0.0000001,MAX(1,hthan*500-'KT THAN'!$D$12)*ABS(COS(H238))/ABS(SIN(H238))&lt;=MAX(0,(bthan-hthan)*500)),MAX(1,hthan*500-'KT THAN'!$D$12)/ABS(SIN(H238)),MAX(0,(bthan-hthan)*500)*ABS(COS(H238))+SQRT(MAX(0,MAX(1,hthan*500-'KT THAN'!$D$12)^2-MAX(0,(bthan-hthan)*500)^2*SIN(H238)^2))),MIN((bthan*500-'KT THAN'!$D$12)/MAX(0.0000001,ABS(COS(H238))),(hthan*500-'KT THAN'!$D$12)/MAX(0.0000001,ABS(SIN(H238)))))*COS(H238))</f>
        <v>0</v>
      </c>
      <c r="J238" s="52">
        <f>IF(G238="",0,IF(shp=1,IF(AND(ABS(SIN(H238))&gt;0.0000001,MAX(1,hthan*500-'KT THAN'!$D$12)*ABS(COS(H238))/ABS(SIN(H238))&lt;=MAX(0,(bthan-hthan)*500)),MAX(1,hthan*500-'KT THAN'!$D$12)/ABS(SIN(H238)),MAX(0,(bthan-hthan)*500)*ABS(COS(H238))+SQRT(MAX(0,MAX(1,hthan*500-'KT THAN'!$D$12)^2-MAX(0,(bthan-hthan)*500)^2*SIN(H238)^2))),MIN((bthan*500-'KT THAN'!$D$12)/MAX(0.0000001,ABS(COS(H238))),(hthan*500-'KT THAN'!$D$12)/MAX(0.0000001,ABS(SIN(H238)))))*SIN(H238))</f>
        <v>0</v>
      </c>
      <c r="K238" s="52">
        <f>IF(G238="",0,'KT THAN'!$D$11/'KT THAN'!$C$11)</f>
        <v>0</v>
      </c>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row>
    <row r="239" spans="1:40" x14ac:dyDescent="0.3">
      <c r="A239" s="52">
        <v>234</v>
      </c>
      <c r="B239" s="52">
        <f>-bthan*500+(33+0.5)*bthan*1000/50</f>
        <v>935</v>
      </c>
      <c r="C239" s="52">
        <f t="shared" si="89"/>
        <v>-710</v>
      </c>
      <c r="D239" s="52">
        <f t="shared" si="86"/>
        <v>2200</v>
      </c>
      <c r="E239" s="52">
        <f t="shared" si="87"/>
        <v>1</v>
      </c>
      <c r="F239" s="52"/>
      <c r="G239" s="52" t="str">
        <f>IF(234&lt;='KT THAN'!$C$11,234,"")</f>
        <v/>
      </c>
      <c r="H239" s="52">
        <f>IF(G239="",0,2*PI()*(G239-0.5)/'KT THAN'!$C$11)</f>
        <v>0</v>
      </c>
      <c r="I239" s="52">
        <f>IF(G239="",0,IF(shp=1,IF(AND(ABS(SIN(H239))&gt;0.0000001,MAX(1,hthan*500-'KT THAN'!$D$12)*ABS(COS(H239))/ABS(SIN(H239))&lt;=MAX(0,(bthan-hthan)*500)),MAX(1,hthan*500-'KT THAN'!$D$12)/ABS(SIN(H239)),MAX(0,(bthan-hthan)*500)*ABS(COS(H239))+SQRT(MAX(0,MAX(1,hthan*500-'KT THAN'!$D$12)^2-MAX(0,(bthan-hthan)*500)^2*SIN(H239)^2))),MIN((bthan*500-'KT THAN'!$D$12)/MAX(0.0000001,ABS(COS(H239))),(hthan*500-'KT THAN'!$D$12)/MAX(0.0000001,ABS(SIN(H239)))))*COS(H239))</f>
        <v>0</v>
      </c>
      <c r="J239" s="52">
        <f>IF(G239="",0,IF(shp=1,IF(AND(ABS(SIN(H239))&gt;0.0000001,MAX(1,hthan*500-'KT THAN'!$D$12)*ABS(COS(H239))/ABS(SIN(H239))&lt;=MAX(0,(bthan-hthan)*500)),MAX(1,hthan*500-'KT THAN'!$D$12)/ABS(SIN(H239)),MAX(0,(bthan-hthan)*500)*ABS(COS(H239))+SQRT(MAX(0,MAX(1,hthan*500-'KT THAN'!$D$12)^2-MAX(0,(bthan-hthan)*500)^2*SIN(H239)^2))),MIN((bthan*500-'KT THAN'!$D$12)/MAX(0.0000001,ABS(COS(H239))),(hthan*500-'KT THAN'!$D$12)/MAX(0.0000001,ABS(SIN(H239)))))*SIN(H239))</f>
        <v>0</v>
      </c>
      <c r="K239" s="52">
        <f>IF(G239="",0,'KT THAN'!$D$11/'KT THAN'!$C$11)</f>
        <v>0</v>
      </c>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row>
    <row r="240" spans="1:40" x14ac:dyDescent="0.3">
      <c r="A240" s="52">
        <v>235</v>
      </c>
      <c r="B240" s="52">
        <f>-bthan*500+(34+0.5)*bthan*1000/50</f>
        <v>1045</v>
      </c>
      <c r="C240" s="52">
        <f t="shared" si="89"/>
        <v>-710</v>
      </c>
      <c r="D240" s="52">
        <f t="shared" si="86"/>
        <v>2200</v>
      </c>
      <c r="E240" s="52">
        <f t="shared" si="87"/>
        <v>1</v>
      </c>
      <c r="F240" s="52"/>
      <c r="G240" s="52" t="str">
        <f>IF(235&lt;='KT THAN'!$C$11,235,"")</f>
        <v/>
      </c>
      <c r="H240" s="52">
        <f>IF(G240="",0,2*PI()*(G240-0.5)/'KT THAN'!$C$11)</f>
        <v>0</v>
      </c>
      <c r="I240" s="52">
        <f>IF(G240="",0,IF(shp=1,IF(AND(ABS(SIN(H240))&gt;0.0000001,MAX(1,hthan*500-'KT THAN'!$D$12)*ABS(COS(H240))/ABS(SIN(H240))&lt;=MAX(0,(bthan-hthan)*500)),MAX(1,hthan*500-'KT THAN'!$D$12)/ABS(SIN(H240)),MAX(0,(bthan-hthan)*500)*ABS(COS(H240))+SQRT(MAX(0,MAX(1,hthan*500-'KT THAN'!$D$12)^2-MAX(0,(bthan-hthan)*500)^2*SIN(H240)^2))),MIN((bthan*500-'KT THAN'!$D$12)/MAX(0.0000001,ABS(COS(H240))),(hthan*500-'KT THAN'!$D$12)/MAX(0.0000001,ABS(SIN(H240)))))*COS(H240))</f>
        <v>0</v>
      </c>
      <c r="J240" s="52">
        <f>IF(G240="",0,IF(shp=1,IF(AND(ABS(SIN(H240))&gt;0.0000001,MAX(1,hthan*500-'KT THAN'!$D$12)*ABS(COS(H240))/ABS(SIN(H240))&lt;=MAX(0,(bthan-hthan)*500)),MAX(1,hthan*500-'KT THAN'!$D$12)/ABS(SIN(H240)),MAX(0,(bthan-hthan)*500)*ABS(COS(H240))+SQRT(MAX(0,MAX(1,hthan*500-'KT THAN'!$D$12)^2-MAX(0,(bthan-hthan)*500)^2*SIN(H240)^2))),MIN((bthan*500-'KT THAN'!$D$12)/MAX(0.0000001,ABS(COS(H240))),(hthan*500-'KT THAN'!$D$12)/MAX(0.0000001,ABS(SIN(H240)))))*SIN(H240))</f>
        <v>0</v>
      </c>
      <c r="K240" s="52">
        <f>IF(G240="",0,'KT THAN'!$D$11/'KT THAN'!$C$11)</f>
        <v>0</v>
      </c>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row>
    <row r="241" spans="1:40" x14ac:dyDescent="0.3">
      <c r="A241" s="52">
        <v>236</v>
      </c>
      <c r="B241" s="52">
        <f>-bthan*500+(35+0.5)*bthan*1000/50</f>
        <v>1155</v>
      </c>
      <c r="C241" s="52">
        <f t="shared" si="89"/>
        <v>-710</v>
      </c>
      <c r="D241" s="52">
        <f t="shared" si="86"/>
        <v>2200</v>
      </c>
      <c r="E241" s="52">
        <f t="shared" si="87"/>
        <v>1</v>
      </c>
      <c r="F241" s="52"/>
      <c r="G241" s="52" t="str">
        <f>IF(236&lt;='KT THAN'!$C$11,236,"")</f>
        <v/>
      </c>
      <c r="H241" s="52">
        <f>IF(G241="",0,2*PI()*(G241-0.5)/'KT THAN'!$C$11)</f>
        <v>0</v>
      </c>
      <c r="I241" s="52">
        <f>IF(G241="",0,IF(shp=1,IF(AND(ABS(SIN(H241))&gt;0.0000001,MAX(1,hthan*500-'KT THAN'!$D$12)*ABS(COS(H241))/ABS(SIN(H241))&lt;=MAX(0,(bthan-hthan)*500)),MAX(1,hthan*500-'KT THAN'!$D$12)/ABS(SIN(H241)),MAX(0,(bthan-hthan)*500)*ABS(COS(H241))+SQRT(MAX(0,MAX(1,hthan*500-'KT THAN'!$D$12)^2-MAX(0,(bthan-hthan)*500)^2*SIN(H241)^2))),MIN((bthan*500-'KT THAN'!$D$12)/MAX(0.0000001,ABS(COS(H241))),(hthan*500-'KT THAN'!$D$12)/MAX(0.0000001,ABS(SIN(H241)))))*COS(H241))</f>
        <v>0</v>
      </c>
      <c r="J241" s="52">
        <f>IF(G241="",0,IF(shp=1,IF(AND(ABS(SIN(H241))&gt;0.0000001,MAX(1,hthan*500-'KT THAN'!$D$12)*ABS(COS(H241))/ABS(SIN(H241))&lt;=MAX(0,(bthan-hthan)*500)),MAX(1,hthan*500-'KT THAN'!$D$12)/ABS(SIN(H241)),MAX(0,(bthan-hthan)*500)*ABS(COS(H241))+SQRT(MAX(0,MAX(1,hthan*500-'KT THAN'!$D$12)^2-MAX(0,(bthan-hthan)*500)^2*SIN(H241)^2))),MIN((bthan*500-'KT THAN'!$D$12)/MAX(0.0000001,ABS(COS(H241))),(hthan*500-'KT THAN'!$D$12)/MAX(0.0000001,ABS(SIN(H241)))))*SIN(H241))</f>
        <v>0</v>
      </c>
      <c r="K241" s="52">
        <f>IF(G241="",0,'KT THAN'!$D$11/'KT THAN'!$C$11)</f>
        <v>0</v>
      </c>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row>
    <row r="242" spans="1:40" x14ac:dyDescent="0.3">
      <c r="A242" s="52">
        <v>237</v>
      </c>
      <c r="B242" s="52">
        <f>-bthan*500+(36+0.5)*bthan*1000/50</f>
        <v>1265</v>
      </c>
      <c r="C242" s="52">
        <f t="shared" si="89"/>
        <v>-710</v>
      </c>
      <c r="D242" s="52">
        <f t="shared" si="86"/>
        <v>2200</v>
      </c>
      <c r="E242" s="52">
        <f t="shared" si="87"/>
        <v>1</v>
      </c>
      <c r="F242" s="52"/>
      <c r="G242" s="52" t="str">
        <f>IF(237&lt;='KT THAN'!$C$11,237,"")</f>
        <v/>
      </c>
      <c r="H242" s="52">
        <f>IF(G242="",0,2*PI()*(G242-0.5)/'KT THAN'!$C$11)</f>
        <v>0</v>
      </c>
      <c r="I242" s="52">
        <f>IF(G242="",0,IF(shp=1,IF(AND(ABS(SIN(H242))&gt;0.0000001,MAX(1,hthan*500-'KT THAN'!$D$12)*ABS(COS(H242))/ABS(SIN(H242))&lt;=MAX(0,(bthan-hthan)*500)),MAX(1,hthan*500-'KT THAN'!$D$12)/ABS(SIN(H242)),MAX(0,(bthan-hthan)*500)*ABS(COS(H242))+SQRT(MAX(0,MAX(1,hthan*500-'KT THAN'!$D$12)^2-MAX(0,(bthan-hthan)*500)^2*SIN(H242)^2))),MIN((bthan*500-'KT THAN'!$D$12)/MAX(0.0000001,ABS(COS(H242))),(hthan*500-'KT THAN'!$D$12)/MAX(0.0000001,ABS(SIN(H242)))))*COS(H242))</f>
        <v>0</v>
      </c>
      <c r="J242" s="52">
        <f>IF(G242="",0,IF(shp=1,IF(AND(ABS(SIN(H242))&gt;0.0000001,MAX(1,hthan*500-'KT THAN'!$D$12)*ABS(COS(H242))/ABS(SIN(H242))&lt;=MAX(0,(bthan-hthan)*500)),MAX(1,hthan*500-'KT THAN'!$D$12)/ABS(SIN(H242)),MAX(0,(bthan-hthan)*500)*ABS(COS(H242))+SQRT(MAX(0,MAX(1,hthan*500-'KT THAN'!$D$12)^2-MAX(0,(bthan-hthan)*500)^2*SIN(H242)^2))),MIN((bthan*500-'KT THAN'!$D$12)/MAX(0.0000001,ABS(COS(H242))),(hthan*500-'KT THAN'!$D$12)/MAX(0.0000001,ABS(SIN(H242)))))*SIN(H242))</f>
        <v>0</v>
      </c>
      <c r="K242" s="52">
        <f>IF(G242="",0,'KT THAN'!$D$11/'KT THAN'!$C$11)</f>
        <v>0</v>
      </c>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row>
    <row r="243" spans="1:40" x14ac:dyDescent="0.3">
      <c r="A243" s="52">
        <v>238</v>
      </c>
      <c r="B243" s="52">
        <f>-bthan*500+(37+0.5)*bthan*1000/50</f>
        <v>1375</v>
      </c>
      <c r="C243" s="52">
        <f t="shared" si="89"/>
        <v>-710</v>
      </c>
      <c r="D243" s="52">
        <f t="shared" si="86"/>
        <v>2200</v>
      </c>
      <c r="E243" s="52">
        <f t="shared" si="87"/>
        <v>1</v>
      </c>
      <c r="F243" s="52"/>
      <c r="G243" s="52" t="str">
        <f>IF(238&lt;='KT THAN'!$C$11,238,"")</f>
        <v/>
      </c>
      <c r="H243" s="52">
        <f>IF(G243="",0,2*PI()*(G243-0.5)/'KT THAN'!$C$11)</f>
        <v>0</v>
      </c>
      <c r="I243" s="52">
        <f>IF(G243="",0,IF(shp=1,IF(AND(ABS(SIN(H243))&gt;0.0000001,MAX(1,hthan*500-'KT THAN'!$D$12)*ABS(COS(H243))/ABS(SIN(H243))&lt;=MAX(0,(bthan-hthan)*500)),MAX(1,hthan*500-'KT THAN'!$D$12)/ABS(SIN(H243)),MAX(0,(bthan-hthan)*500)*ABS(COS(H243))+SQRT(MAX(0,MAX(1,hthan*500-'KT THAN'!$D$12)^2-MAX(0,(bthan-hthan)*500)^2*SIN(H243)^2))),MIN((bthan*500-'KT THAN'!$D$12)/MAX(0.0000001,ABS(COS(H243))),(hthan*500-'KT THAN'!$D$12)/MAX(0.0000001,ABS(SIN(H243)))))*COS(H243))</f>
        <v>0</v>
      </c>
      <c r="J243" s="52">
        <f>IF(G243="",0,IF(shp=1,IF(AND(ABS(SIN(H243))&gt;0.0000001,MAX(1,hthan*500-'KT THAN'!$D$12)*ABS(COS(H243))/ABS(SIN(H243))&lt;=MAX(0,(bthan-hthan)*500)),MAX(1,hthan*500-'KT THAN'!$D$12)/ABS(SIN(H243)),MAX(0,(bthan-hthan)*500)*ABS(COS(H243))+SQRT(MAX(0,MAX(1,hthan*500-'KT THAN'!$D$12)^2-MAX(0,(bthan-hthan)*500)^2*SIN(H243)^2))),MIN((bthan*500-'KT THAN'!$D$12)/MAX(0.0000001,ABS(COS(H243))),(hthan*500-'KT THAN'!$D$12)/MAX(0.0000001,ABS(SIN(H243)))))*SIN(H243))</f>
        <v>0</v>
      </c>
      <c r="K243" s="52">
        <f>IF(G243="",0,'KT THAN'!$D$11/'KT THAN'!$C$11)</f>
        <v>0</v>
      </c>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row>
    <row r="244" spans="1:40" x14ac:dyDescent="0.3">
      <c r="A244" s="52">
        <v>239</v>
      </c>
      <c r="B244" s="52">
        <f>-bthan*500+(38+0.5)*bthan*1000/50</f>
        <v>1485</v>
      </c>
      <c r="C244" s="52">
        <f t="shared" si="89"/>
        <v>-710</v>
      </c>
      <c r="D244" s="52">
        <f t="shared" si="86"/>
        <v>2200</v>
      </c>
      <c r="E244" s="52">
        <f t="shared" si="87"/>
        <v>1</v>
      </c>
      <c r="F244" s="52"/>
      <c r="G244" s="52" t="str">
        <f>IF(239&lt;='KT THAN'!$C$11,239,"")</f>
        <v/>
      </c>
      <c r="H244" s="52">
        <f>IF(G244="",0,2*PI()*(G244-0.5)/'KT THAN'!$C$11)</f>
        <v>0</v>
      </c>
      <c r="I244" s="52">
        <f>IF(G244="",0,IF(shp=1,IF(AND(ABS(SIN(H244))&gt;0.0000001,MAX(1,hthan*500-'KT THAN'!$D$12)*ABS(COS(H244))/ABS(SIN(H244))&lt;=MAX(0,(bthan-hthan)*500)),MAX(1,hthan*500-'KT THAN'!$D$12)/ABS(SIN(H244)),MAX(0,(bthan-hthan)*500)*ABS(COS(H244))+SQRT(MAX(0,MAX(1,hthan*500-'KT THAN'!$D$12)^2-MAX(0,(bthan-hthan)*500)^2*SIN(H244)^2))),MIN((bthan*500-'KT THAN'!$D$12)/MAX(0.0000001,ABS(COS(H244))),(hthan*500-'KT THAN'!$D$12)/MAX(0.0000001,ABS(SIN(H244)))))*COS(H244))</f>
        <v>0</v>
      </c>
      <c r="J244" s="52">
        <f>IF(G244="",0,IF(shp=1,IF(AND(ABS(SIN(H244))&gt;0.0000001,MAX(1,hthan*500-'KT THAN'!$D$12)*ABS(COS(H244))/ABS(SIN(H244))&lt;=MAX(0,(bthan-hthan)*500)),MAX(1,hthan*500-'KT THAN'!$D$12)/ABS(SIN(H244)),MAX(0,(bthan-hthan)*500)*ABS(COS(H244))+SQRT(MAX(0,MAX(1,hthan*500-'KT THAN'!$D$12)^2-MAX(0,(bthan-hthan)*500)^2*SIN(H244)^2))),MIN((bthan*500-'KT THAN'!$D$12)/MAX(0.0000001,ABS(COS(H244))),(hthan*500-'KT THAN'!$D$12)/MAX(0.0000001,ABS(SIN(H244)))))*SIN(H244))</f>
        <v>0</v>
      </c>
      <c r="K244" s="52">
        <f>IF(G244="",0,'KT THAN'!$D$11/'KT THAN'!$C$11)</f>
        <v>0</v>
      </c>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row>
    <row r="245" spans="1:40" x14ac:dyDescent="0.3">
      <c r="A245" s="52">
        <v>240</v>
      </c>
      <c r="B245" s="52">
        <f>-bthan*500+(39+0.5)*bthan*1000/50</f>
        <v>1595</v>
      </c>
      <c r="C245" s="52">
        <f t="shared" si="89"/>
        <v>-710</v>
      </c>
      <c r="D245" s="52">
        <f t="shared" si="86"/>
        <v>2200</v>
      </c>
      <c r="E245" s="52">
        <f t="shared" si="87"/>
        <v>1</v>
      </c>
      <c r="F245" s="52"/>
      <c r="G245" s="52" t="str">
        <f>IF(240&lt;='KT THAN'!$C$11,240,"")</f>
        <v/>
      </c>
      <c r="H245" s="52">
        <f>IF(G245="",0,2*PI()*(G245-0.5)/'KT THAN'!$C$11)</f>
        <v>0</v>
      </c>
      <c r="I245" s="52">
        <f>IF(G245="",0,IF(shp=1,IF(AND(ABS(SIN(H245))&gt;0.0000001,MAX(1,hthan*500-'KT THAN'!$D$12)*ABS(COS(H245))/ABS(SIN(H245))&lt;=MAX(0,(bthan-hthan)*500)),MAX(1,hthan*500-'KT THAN'!$D$12)/ABS(SIN(H245)),MAX(0,(bthan-hthan)*500)*ABS(COS(H245))+SQRT(MAX(0,MAX(1,hthan*500-'KT THAN'!$D$12)^2-MAX(0,(bthan-hthan)*500)^2*SIN(H245)^2))),MIN((bthan*500-'KT THAN'!$D$12)/MAX(0.0000001,ABS(COS(H245))),(hthan*500-'KT THAN'!$D$12)/MAX(0.0000001,ABS(SIN(H245)))))*COS(H245))</f>
        <v>0</v>
      </c>
      <c r="J245" s="52">
        <f>IF(G245="",0,IF(shp=1,IF(AND(ABS(SIN(H245))&gt;0.0000001,MAX(1,hthan*500-'KT THAN'!$D$12)*ABS(COS(H245))/ABS(SIN(H245))&lt;=MAX(0,(bthan-hthan)*500)),MAX(1,hthan*500-'KT THAN'!$D$12)/ABS(SIN(H245)),MAX(0,(bthan-hthan)*500)*ABS(COS(H245))+SQRT(MAX(0,MAX(1,hthan*500-'KT THAN'!$D$12)^2-MAX(0,(bthan-hthan)*500)^2*SIN(H245)^2))),MIN((bthan*500-'KT THAN'!$D$12)/MAX(0.0000001,ABS(COS(H245))),(hthan*500-'KT THAN'!$D$12)/MAX(0.0000001,ABS(SIN(H245)))))*SIN(H245))</f>
        <v>0</v>
      </c>
      <c r="K245" s="52">
        <f>IF(G245="",0,'KT THAN'!$D$11/'KT THAN'!$C$11)</f>
        <v>0</v>
      </c>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row>
    <row r="246" spans="1:40" x14ac:dyDescent="0.3">
      <c r="A246" s="52">
        <v>241</v>
      </c>
      <c r="B246" s="52">
        <f>-bthan*500+(40+0.5)*bthan*1000/50</f>
        <v>1705</v>
      </c>
      <c r="C246" s="52">
        <f t="shared" si="89"/>
        <v>-710</v>
      </c>
      <c r="D246" s="52">
        <f t="shared" si="86"/>
        <v>2200</v>
      </c>
      <c r="E246" s="52">
        <f t="shared" si="87"/>
        <v>1</v>
      </c>
      <c r="F246" s="52"/>
      <c r="G246" s="52" t="str">
        <f>IF(241&lt;='KT THAN'!$C$11,241,"")</f>
        <v/>
      </c>
      <c r="H246" s="52">
        <f>IF(G246="",0,2*PI()*(G246-0.5)/'KT THAN'!$C$11)</f>
        <v>0</v>
      </c>
      <c r="I246" s="52">
        <f>IF(G246="",0,IF(shp=1,IF(AND(ABS(SIN(H246))&gt;0.0000001,MAX(1,hthan*500-'KT THAN'!$D$12)*ABS(COS(H246))/ABS(SIN(H246))&lt;=MAX(0,(bthan-hthan)*500)),MAX(1,hthan*500-'KT THAN'!$D$12)/ABS(SIN(H246)),MAX(0,(bthan-hthan)*500)*ABS(COS(H246))+SQRT(MAX(0,MAX(1,hthan*500-'KT THAN'!$D$12)^2-MAX(0,(bthan-hthan)*500)^2*SIN(H246)^2))),MIN((bthan*500-'KT THAN'!$D$12)/MAX(0.0000001,ABS(COS(H246))),(hthan*500-'KT THAN'!$D$12)/MAX(0.0000001,ABS(SIN(H246)))))*COS(H246))</f>
        <v>0</v>
      </c>
      <c r="J246" s="52">
        <f>IF(G246="",0,IF(shp=1,IF(AND(ABS(SIN(H246))&gt;0.0000001,MAX(1,hthan*500-'KT THAN'!$D$12)*ABS(COS(H246))/ABS(SIN(H246))&lt;=MAX(0,(bthan-hthan)*500)),MAX(1,hthan*500-'KT THAN'!$D$12)/ABS(SIN(H246)),MAX(0,(bthan-hthan)*500)*ABS(COS(H246))+SQRT(MAX(0,MAX(1,hthan*500-'KT THAN'!$D$12)^2-MAX(0,(bthan-hthan)*500)^2*SIN(H246)^2))),MIN((bthan*500-'KT THAN'!$D$12)/MAX(0.0000001,ABS(COS(H246))),(hthan*500-'KT THAN'!$D$12)/MAX(0.0000001,ABS(SIN(H246)))))*SIN(H246))</f>
        <v>0</v>
      </c>
      <c r="K246" s="52">
        <f>IF(G246="",0,'KT THAN'!$D$11/'KT THAN'!$C$11)</f>
        <v>0</v>
      </c>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row>
    <row r="247" spans="1:40" x14ac:dyDescent="0.3">
      <c r="A247" s="52">
        <v>242</v>
      </c>
      <c r="B247" s="52">
        <f>-bthan*500+(41+0.5)*bthan*1000/50</f>
        <v>1815</v>
      </c>
      <c r="C247" s="52">
        <f t="shared" si="89"/>
        <v>-710</v>
      </c>
      <c r="D247" s="52">
        <f t="shared" si="86"/>
        <v>2200</v>
      </c>
      <c r="E247" s="52">
        <f t="shared" si="87"/>
        <v>1</v>
      </c>
      <c r="F247" s="52"/>
      <c r="G247" s="52" t="str">
        <f>IF(242&lt;='KT THAN'!$C$11,242,"")</f>
        <v/>
      </c>
      <c r="H247" s="52">
        <f>IF(G247="",0,2*PI()*(G247-0.5)/'KT THAN'!$C$11)</f>
        <v>0</v>
      </c>
      <c r="I247" s="52">
        <f>IF(G247="",0,IF(shp=1,IF(AND(ABS(SIN(H247))&gt;0.0000001,MAX(1,hthan*500-'KT THAN'!$D$12)*ABS(COS(H247))/ABS(SIN(H247))&lt;=MAX(0,(bthan-hthan)*500)),MAX(1,hthan*500-'KT THAN'!$D$12)/ABS(SIN(H247)),MAX(0,(bthan-hthan)*500)*ABS(COS(H247))+SQRT(MAX(0,MAX(1,hthan*500-'KT THAN'!$D$12)^2-MAX(0,(bthan-hthan)*500)^2*SIN(H247)^2))),MIN((bthan*500-'KT THAN'!$D$12)/MAX(0.0000001,ABS(COS(H247))),(hthan*500-'KT THAN'!$D$12)/MAX(0.0000001,ABS(SIN(H247)))))*COS(H247))</f>
        <v>0</v>
      </c>
      <c r="J247" s="52">
        <f>IF(G247="",0,IF(shp=1,IF(AND(ABS(SIN(H247))&gt;0.0000001,MAX(1,hthan*500-'KT THAN'!$D$12)*ABS(COS(H247))/ABS(SIN(H247))&lt;=MAX(0,(bthan-hthan)*500)),MAX(1,hthan*500-'KT THAN'!$D$12)/ABS(SIN(H247)),MAX(0,(bthan-hthan)*500)*ABS(COS(H247))+SQRT(MAX(0,MAX(1,hthan*500-'KT THAN'!$D$12)^2-MAX(0,(bthan-hthan)*500)^2*SIN(H247)^2))),MIN((bthan*500-'KT THAN'!$D$12)/MAX(0.0000001,ABS(COS(H247))),(hthan*500-'KT THAN'!$D$12)/MAX(0.0000001,ABS(SIN(H247)))))*SIN(H247))</f>
        <v>0</v>
      </c>
      <c r="K247" s="52">
        <f>IF(G247="",0,'KT THAN'!$D$11/'KT THAN'!$C$11)</f>
        <v>0</v>
      </c>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row>
    <row r="248" spans="1:40" x14ac:dyDescent="0.3">
      <c r="A248" s="52">
        <v>243</v>
      </c>
      <c r="B248" s="52">
        <f>-bthan*500+(42+0.5)*bthan*1000/50</f>
        <v>1925</v>
      </c>
      <c r="C248" s="52">
        <f t="shared" si="89"/>
        <v>-710</v>
      </c>
      <c r="D248" s="52">
        <f t="shared" si="86"/>
        <v>2200</v>
      </c>
      <c r="E248" s="52">
        <f t="shared" si="87"/>
        <v>1</v>
      </c>
      <c r="F248" s="52"/>
      <c r="G248" s="52" t="str">
        <f>IF(243&lt;='KT THAN'!$C$11,243,"")</f>
        <v/>
      </c>
      <c r="H248" s="52">
        <f>IF(G248="",0,2*PI()*(G248-0.5)/'KT THAN'!$C$11)</f>
        <v>0</v>
      </c>
      <c r="I248" s="52">
        <f>IF(G248="",0,IF(shp=1,IF(AND(ABS(SIN(H248))&gt;0.0000001,MAX(1,hthan*500-'KT THAN'!$D$12)*ABS(COS(H248))/ABS(SIN(H248))&lt;=MAX(0,(bthan-hthan)*500)),MAX(1,hthan*500-'KT THAN'!$D$12)/ABS(SIN(H248)),MAX(0,(bthan-hthan)*500)*ABS(COS(H248))+SQRT(MAX(0,MAX(1,hthan*500-'KT THAN'!$D$12)^2-MAX(0,(bthan-hthan)*500)^2*SIN(H248)^2))),MIN((bthan*500-'KT THAN'!$D$12)/MAX(0.0000001,ABS(COS(H248))),(hthan*500-'KT THAN'!$D$12)/MAX(0.0000001,ABS(SIN(H248)))))*COS(H248))</f>
        <v>0</v>
      </c>
      <c r="J248" s="52">
        <f>IF(G248="",0,IF(shp=1,IF(AND(ABS(SIN(H248))&gt;0.0000001,MAX(1,hthan*500-'KT THAN'!$D$12)*ABS(COS(H248))/ABS(SIN(H248))&lt;=MAX(0,(bthan-hthan)*500)),MAX(1,hthan*500-'KT THAN'!$D$12)/ABS(SIN(H248)),MAX(0,(bthan-hthan)*500)*ABS(COS(H248))+SQRT(MAX(0,MAX(1,hthan*500-'KT THAN'!$D$12)^2-MAX(0,(bthan-hthan)*500)^2*SIN(H248)^2))),MIN((bthan*500-'KT THAN'!$D$12)/MAX(0.0000001,ABS(COS(H248))),(hthan*500-'KT THAN'!$D$12)/MAX(0.0000001,ABS(SIN(H248)))))*SIN(H248))</f>
        <v>0</v>
      </c>
      <c r="K248" s="52">
        <f>IF(G248="",0,'KT THAN'!$D$11/'KT THAN'!$C$11)</f>
        <v>0</v>
      </c>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row>
    <row r="249" spans="1:40" x14ac:dyDescent="0.3">
      <c r="A249" s="52">
        <v>244</v>
      </c>
      <c r="B249" s="52">
        <f>-bthan*500+(43+0.5)*bthan*1000/50</f>
        <v>2035</v>
      </c>
      <c r="C249" s="52">
        <f t="shared" si="89"/>
        <v>-710</v>
      </c>
      <c r="D249" s="52">
        <f t="shared" si="86"/>
        <v>2200</v>
      </c>
      <c r="E249" s="52">
        <f t="shared" si="87"/>
        <v>1</v>
      </c>
      <c r="F249" s="52"/>
      <c r="G249" s="52" t="str">
        <f>IF(244&lt;='KT THAN'!$C$11,244,"")</f>
        <v/>
      </c>
      <c r="H249" s="52">
        <f>IF(G249="",0,2*PI()*(G249-0.5)/'KT THAN'!$C$11)</f>
        <v>0</v>
      </c>
      <c r="I249" s="52">
        <f>IF(G249="",0,IF(shp=1,IF(AND(ABS(SIN(H249))&gt;0.0000001,MAX(1,hthan*500-'KT THAN'!$D$12)*ABS(COS(H249))/ABS(SIN(H249))&lt;=MAX(0,(bthan-hthan)*500)),MAX(1,hthan*500-'KT THAN'!$D$12)/ABS(SIN(H249)),MAX(0,(bthan-hthan)*500)*ABS(COS(H249))+SQRT(MAX(0,MAX(1,hthan*500-'KT THAN'!$D$12)^2-MAX(0,(bthan-hthan)*500)^2*SIN(H249)^2))),MIN((bthan*500-'KT THAN'!$D$12)/MAX(0.0000001,ABS(COS(H249))),(hthan*500-'KT THAN'!$D$12)/MAX(0.0000001,ABS(SIN(H249)))))*COS(H249))</f>
        <v>0</v>
      </c>
      <c r="J249" s="52">
        <f>IF(G249="",0,IF(shp=1,IF(AND(ABS(SIN(H249))&gt;0.0000001,MAX(1,hthan*500-'KT THAN'!$D$12)*ABS(COS(H249))/ABS(SIN(H249))&lt;=MAX(0,(bthan-hthan)*500)),MAX(1,hthan*500-'KT THAN'!$D$12)/ABS(SIN(H249)),MAX(0,(bthan-hthan)*500)*ABS(COS(H249))+SQRT(MAX(0,MAX(1,hthan*500-'KT THAN'!$D$12)^2-MAX(0,(bthan-hthan)*500)^2*SIN(H249)^2))),MIN((bthan*500-'KT THAN'!$D$12)/MAX(0.0000001,ABS(COS(H249))),(hthan*500-'KT THAN'!$D$12)/MAX(0.0000001,ABS(SIN(H249)))))*SIN(H249))</f>
        <v>0</v>
      </c>
      <c r="K249" s="52">
        <f>IF(G249="",0,'KT THAN'!$D$11/'KT THAN'!$C$11)</f>
        <v>0</v>
      </c>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row>
    <row r="250" spans="1:40" x14ac:dyDescent="0.3">
      <c r="A250" s="52">
        <v>245</v>
      </c>
      <c r="B250" s="52">
        <f>-bthan*500+(44+0.5)*bthan*1000/50</f>
        <v>2145</v>
      </c>
      <c r="C250" s="52">
        <f t="shared" si="89"/>
        <v>-710</v>
      </c>
      <c r="D250" s="52">
        <f t="shared" si="86"/>
        <v>2200</v>
      </c>
      <c r="E250" s="52">
        <f t="shared" si="87"/>
        <v>1</v>
      </c>
      <c r="F250" s="52"/>
      <c r="G250" s="52" t="str">
        <f>IF(245&lt;='KT THAN'!$C$11,245,"")</f>
        <v/>
      </c>
      <c r="H250" s="52">
        <f>IF(G250="",0,2*PI()*(G250-0.5)/'KT THAN'!$C$11)</f>
        <v>0</v>
      </c>
      <c r="I250" s="52">
        <f>IF(G250="",0,IF(shp=1,IF(AND(ABS(SIN(H250))&gt;0.0000001,MAX(1,hthan*500-'KT THAN'!$D$12)*ABS(COS(H250))/ABS(SIN(H250))&lt;=MAX(0,(bthan-hthan)*500)),MAX(1,hthan*500-'KT THAN'!$D$12)/ABS(SIN(H250)),MAX(0,(bthan-hthan)*500)*ABS(COS(H250))+SQRT(MAX(0,MAX(1,hthan*500-'KT THAN'!$D$12)^2-MAX(0,(bthan-hthan)*500)^2*SIN(H250)^2))),MIN((bthan*500-'KT THAN'!$D$12)/MAX(0.0000001,ABS(COS(H250))),(hthan*500-'KT THAN'!$D$12)/MAX(0.0000001,ABS(SIN(H250)))))*COS(H250))</f>
        <v>0</v>
      </c>
      <c r="J250" s="52">
        <f>IF(G250="",0,IF(shp=1,IF(AND(ABS(SIN(H250))&gt;0.0000001,MAX(1,hthan*500-'KT THAN'!$D$12)*ABS(COS(H250))/ABS(SIN(H250))&lt;=MAX(0,(bthan-hthan)*500)),MAX(1,hthan*500-'KT THAN'!$D$12)/ABS(SIN(H250)),MAX(0,(bthan-hthan)*500)*ABS(COS(H250))+SQRT(MAX(0,MAX(1,hthan*500-'KT THAN'!$D$12)^2-MAX(0,(bthan-hthan)*500)^2*SIN(H250)^2))),MIN((bthan*500-'KT THAN'!$D$12)/MAX(0.0000001,ABS(COS(H250))),(hthan*500-'KT THAN'!$D$12)/MAX(0.0000001,ABS(SIN(H250)))))*SIN(H250))</f>
        <v>0</v>
      </c>
      <c r="K250" s="52">
        <f>IF(G250="",0,'KT THAN'!$D$11/'KT THAN'!$C$11)</f>
        <v>0</v>
      </c>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row>
    <row r="251" spans="1:40" x14ac:dyDescent="0.3">
      <c r="A251" s="52">
        <v>246</v>
      </c>
      <c r="B251" s="52">
        <f>-bthan*500+(45+0.5)*bthan*1000/50</f>
        <v>2255</v>
      </c>
      <c r="C251" s="52">
        <f t="shared" si="89"/>
        <v>-710</v>
      </c>
      <c r="D251" s="52">
        <f t="shared" si="86"/>
        <v>2200</v>
      </c>
      <c r="E251" s="52">
        <f t="shared" si="87"/>
        <v>1</v>
      </c>
      <c r="F251" s="52"/>
      <c r="G251" s="52" t="str">
        <f>IF(246&lt;='KT THAN'!$C$11,246,"")</f>
        <v/>
      </c>
      <c r="H251" s="52">
        <f>IF(G251="",0,2*PI()*(G251-0.5)/'KT THAN'!$C$11)</f>
        <v>0</v>
      </c>
      <c r="I251" s="52">
        <f>IF(G251="",0,IF(shp=1,IF(AND(ABS(SIN(H251))&gt;0.0000001,MAX(1,hthan*500-'KT THAN'!$D$12)*ABS(COS(H251))/ABS(SIN(H251))&lt;=MAX(0,(bthan-hthan)*500)),MAX(1,hthan*500-'KT THAN'!$D$12)/ABS(SIN(H251)),MAX(0,(bthan-hthan)*500)*ABS(COS(H251))+SQRT(MAX(0,MAX(1,hthan*500-'KT THAN'!$D$12)^2-MAX(0,(bthan-hthan)*500)^2*SIN(H251)^2))),MIN((bthan*500-'KT THAN'!$D$12)/MAX(0.0000001,ABS(COS(H251))),(hthan*500-'KT THAN'!$D$12)/MAX(0.0000001,ABS(SIN(H251)))))*COS(H251))</f>
        <v>0</v>
      </c>
      <c r="J251" s="52">
        <f>IF(G251="",0,IF(shp=1,IF(AND(ABS(SIN(H251))&gt;0.0000001,MAX(1,hthan*500-'KT THAN'!$D$12)*ABS(COS(H251))/ABS(SIN(H251))&lt;=MAX(0,(bthan-hthan)*500)),MAX(1,hthan*500-'KT THAN'!$D$12)/ABS(SIN(H251)),MAX(0,(bthan-hthan)*500)*ABS(COS(H251))+SQRT(MAX(0,MAX(1,hthan*500-'KT THAN'!$D$12)^2-MAX(0,(bthan-hthan)*500)^2*SIN(H251)^2))),MIN((bthan*500-'KT THAN'!$D$12)/MAX(0.0000001,ABS(COS(H251))),(hthan*500-'KT THAN'!$D$12)/MAX(0.0000001,ABS(SIN(H251)))))*SIN(H251))</f>
        <v>0</v>
      </c>
      <c r="K251" s="52">
        <f>IF(G251="",0,'KT THAN'!$D$11/'KT THAN'!$C$11)</f>
        <v>0</v>
      </c>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row>
    <row r="252" spans="1:40" x14ac:dyDescent="0.3">
      <c r="A252" s="52">
        <v>247</v>
      </c>
      <c r="B252" s="52">
        <f>-bthan*500+(46+0.5)*bthan*1000/50</f>
        <v>2365</v>
      </c>
      <c r="C252" s="52">
        <f t="shared" si="89"/>
        <v>-710</v>
      </c>
      <c r="D252" s="52">
        <f t="shared" si="86"/>
        <v>2200</v>
      </c>
      <c r="E252" s="52">
        <f t="shared" si="87"/>
        <v>0</v>
      </c>
      <c r="F252" s="52"/>
      <c r="G252" s="52" t="str">
        <f>IF(247&lt;='KT THAN'!$C$11,247,"")</f>
        <v/>
      </c>
      <c r="H252" s="52">
        <f>IF(G252="",0,2*PI()*(G252-0.5)/'KT THAN'!$C$11)</f>
        <v>0</v>
      </c>
      <c r="I252" s="52">
        <f>IF(G252="",0,IF(shp=1,IF(AND(ABS(SIN(H252))&gt;0.0000001,MAX(1,hthan*500-'KT THAN'!$D$12)*ABS(COS(H252))/ABS(SIN(H252))&lt;=MAX(0,(bthan-hthan)*500)),MAX(1,hthan*500-'KT THAN'!$D$12)/ABS(SIN(H252)),MAX(0,(bthan-hthan)*500)*ABS(COS(H252))+SQRT(MAX(0,MAX(1,hthan*500-'KT THAN'!$D$12)^2-MAX(0,(bthan-hthan)*500)^2*SIN(H252)^2))),MIN((bthan*500-'KT THAN'!$D$12)/MAX(0.0000001,ABS(COS(H252))),(hthan*500-'KT THAN'!$D$12)/MAX(0.0000001,ABS(SIN(H252)))))*COS(H252))</f>
        <v>0</v>
      </c>
      <c r="J252" s="52">
        <f>IF(G252="",0,IF(shp=1,IF(AND(ABS(SIN(H252))&gt;0.0000001,MAX(1,hthan*500-'KT THAN'!$D$12)*ABS(COS(H252))/ABS(SIN(H252))&lt;=MAX(0,(bthan-hthan)*500)),MAX(1,hthan*500-'KT THAN'!$D$12)/ABS(SIN(H252)),MAX(0,(bthan-hthan)*500)*ABS(COS(H252))+SQRT(MAX(0,MAX(1,hthan*500-'KT THAN'!$D$12)^2-MAX(0,(bthan-hthan)*500)^2*SIN(H252)^2))),MIN((bthan*500-'KT THAN'!$D$12)/MAX(0.0000001,ABS(COS(H252))),(hthan*500-'KT THAN'!$D$12)/MAX(0.0000001,ABS(SIN(H252)))))*SIN(H252))</f>
        <v>0</v>
      </c>
      <c r="K252" s="52">
        <f>IF(G252="",0,'KT THAN'!$D$11/'KT THAN'!$C$11)</f>
        <v>0</v>
      </c>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row>
    <row r="253" spans="1:40" x14ac:dyDescent="0.3">
      <c r="A253" s="52">
        <v>248</v>
      </c>
      <c r="B253" s="52">
        <f>-bthan*500+(47+0.5)*bthan*1000/50</f>
        <v>2475</v>
      </c>
      <c r="C253" s="52">
        <f t="shared" si="89"/>
        <v>-710</v>
      </c>
      <c r="D253" s="52">
        <f t="shared" si="86"/>
        <v>2200</v>
      </c>
      <c r="E253" s="52">
        <f t="shared" si="87"/>
        <v>0</v>
      </c>
      <c r="F253" s="52"/>
      <c r="G253" s="52" t="str">
        <f>IF(248&lt;='KT THAN'!$C$11,248,"")</f>
        <v/>
      </c>
      <c r="H253" s="52">
        <f>IF(G253="",0,2*PI()*(G253-0.5)/'KT THAN'!$C$11)</f>
        <v>0</v>
      </c>
      <c r="I253" s="52">
        <f>IF(G253="",0,IF(shp=1,IF(AND(ABS(SIN(H253))&gt;0.0000001,MAX(1,hthan*500-'KT THAN'!$D$12)*ABS(COS(H253))/ABS(SIN(H253))&lt;=MAX(0,(bthan-hthan)*500)),MAX(1,hthan*500-'KT THAN'!$D$12)/ABS(SIN(H253)),MAX(0,(bthan-hthan)*500)*ABS(COS(H253))+SQRT(MAX(0,MAX(1,hthan*500-'KT THAN'!$D$12)^2-MAX(0,(bthan-hthan)*500)^2*SIN(H253)^2))),MIN((bthan*500-'KT THAN'!$D$12)/MAX(0.0000001,ABS(COS(H253))),(hthan*500-'KT THAN'!$D$12)/MAX(0.0000001,ABS(SIN(H253)))))*COS(H253))</f>
        <v>0</v>
      </c>
      <c r="J253" s="52">
        <f>IF(G253="",0,IF(shp=1,IF(AND(ABS(SIN(H253))&gt;0.0000001,MAX(1,hthan*500-'KT THAN'!$D$12)*ABS(COS(H253))/ABS(SIN(H253))&lt;=MAX(0,(bthan-hthan)*500)),MAX(1,hthan*500-'KT THAN'!$D$12)/ABS(SIN(H253)),MAX(0,(bthan-hthan)*500)*ABS(COS(H253))+SQRT(MAX(0,MAX(1,hthan*500-'KT THAN'!$D$12)^2-MAX(0,(bthan-hthan)*500)^2*SIN(H253)^2))),MIN((bthan*500-'KT THAN'!$D$12)/MAX(0.0000001,ABS(COS(H253))),(hthan*500-'KT THAN'!$D$12)/MAX(0.0000001,ABS(SIN(H253)))))*SIN(H253))</f>
        <v>0</v>
      </c>
      <c r="K253" s="52">
        <f>IF(G253="",0,'KT THAN'!$D$11/'KT THAN'!$C$11)</f>
        <v>0</v>
      </c>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row>
    <row r="254" spans="1:40" x14ac:dyDescent="0.3">
      <c r="A254" s="52">
        <v>249</v>
      </c>
      <c r="B254" s="52">
        <f>-bthan*500+(48+0.5)*bthan*1000/50</f>
        <v>2585</v>
      </c>
      <c r="C254" s="52">
        <f t="shared" si="89"/>
        <v>-710</v>
      </c>
      <c r="D254" s="52">
        <f t="shared" si="86"/>
        <v>2200</v>
      </c>
      <c r="E254" s="52">
        <f t="shared" si="87"/>
        <v>0</v>
      </c>
      <c r="F254" s="52"/>
      <c r="G254" s="52" t="str">
        <f>IF(249&lt;='KT THAN'!$C$11,249,"")</f>
        <v/>
      </c>
      <c r="H254" s="52">
        <f>IF(G254="",0,2*PI()*(G254-0.5)/'KT THAN'!$C$11)</f>
        <v>0</v>
      </c>
      <c r="I254" s="52">
        <f>IF(G254="",0,IF(shp=1,IF(AND(ABS(SIN(H254))&gt;0.0000001,MAX(1,hthan*500-'KT THAN'!$D$12)*ABS(COS(H254))/ABS(SIN(H254))&lt;=MAX(0,(bthan-hthan)*500)),MAX(1,hthan*500-'KT THAN'!$D$12)/ABS(SIN(H254)),MAX(0,(bthan-hthan)*500)*ABS(COS(H254))+SQRT(MAX(0,MAX(1,hthan*500-'KT THAN'!$D$12)^2-MAX(0,(bthan-hthan)*500)^2*SIN(H254)^2))),MIN((bthan*500-'KT THAN'!$D$12)/MAX(0.0000001,ABS(COS(H254))),(hthan*500-'KT THAN'!$D$12)/MAX(0.0000001,ABS(SIN(H254)))))*COS(H254))</f>
        <v>0</v>
      </c>
      <c r="J254" s="52">
        <f>IF(G254="",0,IF(shp=1,IF(AND(ABS(SIN(H254))&gt;0.0000001,MAX(1,hthan*500-'KT THAN'!$D$12)*ABS(COS(H254))/ABS(SIN(H254))&lt;=MAX(0,(bthan-hthan)*500)),MAX(1,hthan*500-'KT THAN'!$D$12)/ABS(SIN(H254)),MAX(0,(bthan-hthan)*500)*ABS(COS(H254))+SQRT(MAX(0,MAX(1,hthan*500-'KT THAN'!$D$12)^2-MAX(0,(bthan-hthan)*500)^2*SIN(H254)^2))),MIN((bthan*500-'KT THAN'!$D$12)/MAX(0.0000001,ABS(COS(H254))),(hthan*500-'KT THAN'!$D$12)/MAX(0.0000001,ABS(SIN(H254)))))*SIN(H254))</f>
        <v>0</v>
      </c>
      <c r="K254" s="52">
        <f>IF(G254="",0,'KT THAN'!$D$11/'KT THAN'!$C$11)</f>
        <v>0</v>
      </c>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row>
    <row r="255" spans="1:40" x14ac:dyDescent="0.3">
      <c r="A255" s="52">
        <v>250</v>
      </c>
      <c r="B255" s="52">
        <f>-bthan*500+(49+0.5)*bthan*1000/50</f>
        <v>2695</v>
      </c>
      <c r="C255" s="52">
        <f t="shared" si="89"/>
        <v>-710</v>
      </c>
      <c r="D255" s="52">
        <f t="shared" si="86"/>
        <v>2200</v>
      </c>
      <c r="E255" s="52">
        <f t="shared" si="87"/>
        <v>0</v>
      </c>
      <c r="F255" s="52"/>
      <c r="G255" s="52" t="str">
        <f>IF(250&lt;='KT THAN'!$C$11,250,"")</f>
        <v/>
      </c>
      <c r="H255" s="52">
        <f>IF(G255="",0,2*PI()*(G255-0.5)/'KT THAN'!$C$11)</f>
        <v>0</v>
      </c>
      <c r="I255" s="52">
        <f>IF(G255="",0,IF(shp=1,IF(AND(ABS(SIN(H255))&gt;0.0000001,MAX(1,hthan*500-'KT THAN'!$D$12)*ABS(COS(H255))/ABS(SIN(H255))&lt;=MAX(0,(bthan-hthan)*500)),MAX(1,hthan*500-'KT THAN'!$D$12)/ABS(SIN(H255)),MAX(0,(bthan-hthan)*500)*ABS(COS(H255))+SQRT(MAX(0,MAX(1,hthan*500-'KT THAN'!$D$12)^2-MAX(0,(bthan-hthan)*500)^2*SIN(H255)^2))),MIN((bthan*500-'KT THAN'!$D$12)/MAX(0.0000001,ABS(COS(H255))),(hthan*500-'KT THAN'!$D$12)/MAX(0.0000001,ABS(SIN(H255)))))*COS(H255))</f>
        <v>0</v>
      </c>
      <c r="J255" s="52">
        <f>IF(G255="",0,IF(shp=1,IF(AND(ABS(SIN(H255))&gt;0.0000001,MAX(1,hthan*500-'KT THAN'!$D$12)*ABS(COS(H255))/ABS(SIN(H255))&lt;=MAX(0,(bthan-hthan)*500)),MAX(1,hthan*500-'KT THAN'!$D$12)/ABS(SIN(H255)),MAX(0,(bthan-hthan)*500)*ABS(COS(H255))+SQRT(MAX(0,MAX(1,hthan*500-'KT THAN'!$D$12)^2-MAX(0,(bthan-hthan)*500)^2*SIN(H255)^2))),MIN((bthan*500-'KT THAN'!$D$12)/MAX(0.0000001,ABS(COS(H255))),(hthan*500-'KT THAN'!$D$12)/MAX(0.0000001,ABS(SIN(H255)))))*SIN(H255))</f>
        <v>0</v>
      </c>
      <c r="K255" s="52">
        <f>IF(G255="",0,'KT THAN'!$D$11/'KT THAN'!$C$11)</f>
        <v>0</v>
      </c>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row>
    <row r="256" spans="1:40" x14ac:dyDescent="0.3">
      <c r="A256" s="52">
        <v>251</v>
      </c>
      <c r="B256" s="52">
        <f>-bthan*500+(0+0.5)*bthan*1000/50</f>
        <v>-2695</v>
      </c>
      <c r="C256" s="52">
        <f t="shared" ref="C256:C287" si="90">-hthan*500+(5+0.5)*hthan*1000/80</f>
        <v>-690</v>
      </c>
      <c r="D256" s="52">
        <f t="shared" si="86"/>
        <v>2200</v>
      </c>
      <c r="E256" s="52">
        <f t="shared" si="87"/>
        <v>0</v>
      </c>
      <c r="F256" s="52"/>
      <c r="G256" s="52" t="str">
        <f>IF(251&lt;='KT THAN'!$C$11,251,"")</f>
        <v/>
      </c>
      <c r="H256" s="52">
        <f>IF(G256="",0,2*PI()*(G256-0.5)/'KT THAN'!$C$11)</f>
        <v>0</v>
      </c>
      <c r="I256" s="52">
        <f>IF(G256="",0,IF(shp=1,IF(AND(ABS(SIN(H256))&gt;0.0000001,MAX(1,hthan*500-'KT THAN'!$D$12)*ABS(COS(H256))/ABS(SIN(H256))&lt;=MAX(0,(bthan-hthan)*500)),MAX(1,hthan*500-'KT THAN'!$D$12)/ABS(SIN(H256)),MAX(0,(bthan-hthan)*500)*ABS(COS(H256))+SQRT(MAX(0,MAX(1,hthan*500-'KT THAN'!$D$12)^2-MAX(0,(bthan-hthan)*500)^2*SIN(H256)^2))),MIN((bthan*500-'KT THAN'!$D$12)/MAX(0.0000001,ABS(COS(H256))),(hthan*500-'KT THAN'!$D$12)/MAX(0.0000001,ABS(SIN(H256)))))*COS(H256))</f>
        <v>0</v>
      </c>
      <c r="J256" s="52">
        <f>IF(G256="",0,IF(shp=1,IF(AND(ABS(SIN(H256))&gt;0.0000001,MAX(1,hthan*500-'KT THAN'!$D$12)*ABS(COS(H256))/ABS(SIN(H256))&lt;=MAX(0,(bthan-hthan)*500)),MAX(1,hthan*500-'KT THAN'!$D$12)/ABS(SIN(H256)),MAX(0,(bthan-hthan)*500)*ABS(COS(H256))+SQRT(MAX(0,MAX(1,hthan*500-'KT THAN'!$D$12)^2-MAX(0,(bthan-hthan)*500)^2*SIN(H256)^2))),MIN((bthan*500-'KT THAN'!$D$12)/MAX(0.0000001,ABS(COS(H256))),(hthan*500-'KT THAN'!$D$12)/MAX(0.0000001,ABS(SIN(H256)))))*SIN(H256))</f>
        <v>0</v>
      </c>
      <c r="K256" s="52">
        <f>IF(G256="",0,'KT THAN'!$D$11/'KT THAN'!$C$11)</f>
        <v>0</v>
      </c>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row>
    <row r="257" spans="1:40" x14ac:dyDescent="0.3">
      <c r="A257" s="52">
        <v>252</v>
      </c>
      <c r="B257" s="52">
        <f>-bthan*500+(1+0.5)*bthan*1000/50</f>
        <v>-2585</v>
      </c>
      <c r="C257" s="52">
        <f t="shared" si="90"/>
        <v>-690</v>
      </c>
      <c r="D257" s="52">
        <f t="shared" si="86"/>
        <v>2200</v>
      </c>
      <c r="E257" s="52">
        <f t="shared" si="87"/>
        <v>0</v>
      </c>
      <c r="F257" s="52"/>
      <c r="G257" s="52" t="str">
        <f>IF(252&lt;='KT THAN'!$C$11,252,"")</f>
        <v/>
      </c>
      <c r="H257" s="52">
        <f>IF(G257="",0,2*PI()*(G257-0.5)/'KT THAN'!$C$11)</f>
        <v>0</v>
      </c>
      <c r="I257" s="52">
        <f>IF(G257="",0,IF(shp=1,IF(AND(ABS(SIN(H257))&gt;0.0000001,MAX(1,hthan*500-'KT THAN'!$D$12)*ABS(COS(H257))/ABS(SIN(H257))&lt;=MAX(0,(bthan-hthan)*500)),MAX(1,hthan*500-'KT THAN'!$D$12)/ABS(SIN(H257)),MAX(0,(bthan-hthan)*500)*ABS(COS(H257))+SQRT(MAX(0,MAX(1,hthan*500-'KT THAN'!$D$12)^2-MAX(0,(bthan-hthan)*500)^2*SIN(H257)^2))),MIN((bthan*500-'KT THAN'!$D$12)/MAX(0.0000001,ABS(COS(H257))),(hthan*500-'KT THAN'!$D$12)/MAX(0.0000001,ABS(SIN(H257)))))*COS(H257))</f>
        <v>0</v>
      </c>
      <c r="J257" s="52">
        <f>IF(G257="",0,IF(shp=1,IF(AND(ABS(SIN(H257))&gt;0.0000001,MAX(1,hthan*500-'KT THAN'!$D$12)*ABS(COS(H257))/ABS(SIN(H257))&lt;=MAX(0,(bthan-hthan)*500)),MAX(1,hthan*500-'KT THAN'!$D$12)/ABS(SIN(H257)),MAX(0,(bthan-hthan)*500)*ABS(COS(H257))+SQRT(MAX(0,MAX(1,hthan*500-'KT THAN'!$D$12)^2-MAX(0,(bthan-hthan)*500)^2*SIN(H257)^2))),MIN((bthan*500-'KT THAN'!$D$12)/MAX(0.0000001,ABS(COS(H257))),(hthan*500-'KT THAN'!$D$12)/MAX(0.0000001,ABS(SIN(H257)))))*SIN(H257))</f>
        <v>0</v>
      </c>
      <c r="K257" s="52">
        <f>IF(G257="",0,'KT THAN'!$D$11/'KT THAN'!$C$11)</f>
        <v>0</v>
      </c>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row>
    <row r="258" spans="1:40" x14ac:dyDescent="0.3">
      <c r="A258" s="52">
        <v>253</v>
      </c>
      <c r="B258" s="52">
        <f>-bthan*500+(2+0.5)*bthan*1000/50</f>
        <v>-2475</v>
      </c>
      <c r="C258" s="52">
        <f t="shared" si="90"/>
        <v>-690</v>
      </c>
      <c r="D258" s="52">
        <f t="shared" si="86"/>
        <v>2200</v>
      </c>
      <c r="E258" s="52">
        <f t="shared" si="87"/>
        <v>0</v>
      </c>
      <c r="F258" s="52"/>
      <c r="G258" s="52" t="str">
        <f>IF(253&lt;='KT THAN'!$C$11,253,"")</f>
        <v/>
      </c>
      <c r="H258" s="52">
        <f>IF(G258="",0,2*PI()*(G258-0.5)/'KT THAN'!$C$11)</f>
        <v>0</v>
      </c>
      <c r="I258" s="52">
        <f>IF(G258="",0,IF(shp=1,IF(AND(ABS(SIN(H258))&gt;0.0000001,MAX(1,hthan*500-'KT THAN'!$D$12)*ABS(COS(H258))/ABS(SIN(H258))&lt;=MAX(0,(bthan-hthan)*500)),MAX(1,hthan*500-'KT THAN'!$D$12)/ABS(SIN(H258)),MAX(0,(bthan-hthan)*500)*ABS(COS(H258))+SQRT(MAX(0,MAX(1,hthan*500-'KT THAN'!$D$12)^2-MAX(0,(bthan-hthan)*500)^2*SIN(H258)^2))),MIN((bthan*500-'KT THAN'!$D$12)/MAX(0.0000001,ABS(COS(H258))),(hthan*500-'KT THAN'!$D$12)/MAX(0.0000001,ABS(SIN(H258)))))*COS(H258))</f>
        <v>0</v>
      </c>
      <c r="J258" s="52">
        <f>IF(G258="",0,IF(shp=1,IF(AND(ABS(SIN(H258))&gt;0.0000001,MAX(1,hthan*500-'KT THAN'!$D$12)*ABS(COS(H258))/ABS(SIN(H258))&lt;=MAX(0,(bthan-hthan)*500)),MAX(1,hthan*500-'KT THAN'!$D$12)/ABS(SIN(H258)),MAX(0,(bthan-hthan)*500)*ABS(COS(H258))+SQRT(MAX(0,MAX(1,hthan*500-'KT THAN'!$D$12)^2-MAX(0,(bthan-hthan)*500)^2*SIN(H258)^2))),MIN((bthan*500-'KT THAN'!$D$12)/MAX(0.0000001,ABS(COS(H258))),(hthan*500-'KT THAN'!$D$12)/MAX(0.0000001,ABS(SIN(H258)))))*SIN(H258))</f>
        <v>0</v>
      </c>
      <c r="K258" s="52">
        <f>IF(G258="",0,'KT THAN'!$D$11/'KT THAN'!$C$11)</f>
        <v>0</v>
      </c>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row>
    <row r="259" spans="1:40" x14ac:dyDescent="0.3">
      <c r="A259" s="52">
        <v>254</v>
      </c>
      <c r="B259" s="52">
        <f>-bthan*500+(3+0.5)*bthan*1000/50</f>
        <v>-2365</v>
      </c>
      <c r="C259" s="52">
        <f t="shared" si="90"/>
        <v>-690</v>
      </c>
      <c r="D259" s="52">
        <f t="shared" si="86"/>
        <v>2200</v>
      </c>
      <c r="E259" s="52">
        <f t="shared" si="87"/>
        <v>0</v>
      </c>
      <c r="F259" s="52"/>
      <c r="G259" s="52" t="str">
        <f>IF(254&lt;='KT THAN'!$C$11,254,"")</f>
        <v/>
      </c>
      <c r="H259" s="52">
        <f>IF(G259="",0,2*PI()*(G259-0.5)/'KT THAN'!$C$11)</f>
        <v>0</v>
      </c>
      <c r="I259" s="52">
        <f>IF(G259="",0,IF(shp=1,IF(AND(ABS(SIN(H259))&gt;0.0000001,MAX(1,hthan*500-'KT THAN'!$D$12)*ABS(COS(H259))/ABS(SIN(H259))&lt;=MAX(0,(bthan-hthan)*500)),MAX(1,hthan*500-'KT THAN'!$D$12)/ABS(SIN(H259)),MAX(0,(bthan-hthan)*500)*ABS(COS(H259))+SQRT(MAX(0,MAX(1,hthan*500-'KT THAN'!$D$12)^2-MAX(0,(bthan-hthan)*500)^2*SIN(H259)^2))),MIN((bthan*500-'KT THAN'!$D$12)/MAX(0.0000001,ABS(COS(H259))),(hthan*500-'KT THAN'!$D$12)/MAX(0.0000001,ABS(SIN(H259)))))*COS(H259))</f>
        <v>0</v>
      </c>
      <c r="J259" s="52">
        <f>IF(G259="",0,IF(shp=1,IF(AND(ABS(SIN(H259))&gt;0.0000001,MAX(1,hthan*500-'KT THAN'!$D$12)*ABS(COS(H259))/ABS(SIN(H259))&lt;=MAX(0,(bthan-hthan)*500)),MAX(1,hthan*500-'KT THAN'!$D$12)/ABS(SIN(H259)),MAX(0,(bthan-hthan)*500)*ABS(COS(H259))+SQRT(MAX(0,MAX(1,hthan*500-'KT THAN'!$D$12)^2-MAX(0,(bthan-hthan)*500)^2*SIN(H259)^2))),MIN((bthan*500-'KT THAN'!$D$12)/MAX(0.0000001,ABS(COS(H259))),(hthan*500-'KT THAN'!$D$12)/MAX(0.0000001,ABS(SIN(H259)))))*SIN(H259))</f>
        <v>0</v>
      </c>
      <c r="K259" s="52">
        <f>IF(G259="",0,'KT THAN'!$D$11/'KT THAN'!$C$11)</f>
        <v>0</v>
      </c>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row>
    <row r="260" spans="1:40" x14ac:dyDescent="0.3">
      <c r="A260" s="52">
        <v>255</v>
      </c>
      <c r="B260" s="52">
        <f>-bthan*500+(4+0.5)*bthan*1000/50</f>
        <v>-2255</v>
      </c>
      <c r="C260" s="52">
        <f t="shared" si="90"/>
        <v>-690</v>
      </c>
      <c r="D260" s="52">
        <f t="shared" si="86"/>
        <v>2200</v>
      </c>
      <c r="E260" s="52">
        <f t="shared" si="87"/>
        <v>1</v>
      </c>
      <c r="F260" s="52"/>
      <c r="G260" s="52" t="str">
        <f>IF(255&lt;='KT THAN'!$C$11,255,"")</f>
        <v/>
      </c>
      <c r="H260" s="52">
        <f>IF(G260="",0,2*PI()*(G260-0.5)/'KT THAN'!$C$11)</f>
        <v>0</v>
      </c>
      <c r="I260" s="52">
        <f>IF(G260="",0,IF(shp=1,IF(AND(ABS(SIN(H260))&gt;0.0000001,MAX(1,hthan*500-'KT THAN'!$D$12)*ABS(COS(H260))/ABS(SIN(H260))&lt;=MAX(0,(bthan-hthan)*500)),MAX(1,hthan*500-'KT THAN'!$D$12)/ABS(SIN(H260)),MAX(0,(bthan-hthan)*500)*ABS(COS(H260))+SQRT(MAX(0,MAX(1,hthan*500-'KT THAN'!$D$12)^2-MAX(0,(bthan-hthan)*500)^2*SIN(H260)^2))),MIN((bthan*500-'KT THAN'!$D$12)/MAX(0.0000001,ABS(COS(H260))),(hthan*500-'KT THAN'!$D$12)/MAX(0.0000001,ABS(SIN(H260)))))*COS(H260))</f>
        <v>0</v>
      </c>
      <c r="J260" s="52">
        <f>IF(G260="",0,IF(shp=1,IF(AND(ABS(SIN(H260))&gt;0.0000001,MAX(1,hthan*500-'KT THAN'!$D$12)*ABS(COS(H260))/ABS(SIN(H260))&lt;=MAX(0,(bthan-hthan)*500)),MAX(1,hthan*500-'KT THAN'!$D$12)/ABS(SIN(H260)),MAX(0,(bthan-hthan)*500)*ABS(COS(H260))+SQRT(MAX(0,MAX(1,hthan*500-'KT THAN'!$D$12)^2-MAX(0,(bthan-hthan)*500)^2*SIN(H260)^2))),MIN((bthan*500-'KT THAN'!$D$12)/MAX(0.0000001,ABS(COS(H260))),(hthan*500-'KT THAN'!$D$12)/MAX(0.0000001,ABS(SIN(H260)))))*SIN(H260))</f>
        <v>0</v>
      </c>
      <c r="K260" s="52">
        <f>IF(G260="",0,'KT THAN'!$D$11/'KT THAN'!$C$11)</f>
        <v>0</v>
      </c>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row>
    <row r="261" spans="1:40" x14ac:dyDescent="0.3">
      <c r="A261" s="52">
        <v>256</v>
      </c>
      <c r="B261" s="52">
        <f>-bthan*500+(5+0.5)*bthan*1000/50</f>
        <v>-2145</v>
      </c>
      <c r="C261" s="52">
        <f t="shared" si="90"/>
        <v>-690</v>
      </c>
      <c r="D261" s="52">
        <f t="shared" si="86"/>
        <v>2200</v>
      </c>
      <c r="E261" s="52">
        <f t="shared" si="87"/>
        <v>1</v>
      </c>
      <c r="F261" s="52"/>
      <c r="G261" s="52" t="str">
        <f>IF(256&lt;='KT THAN'!$C$11,256,"")</f>
        <v/>
      </c>
      <c r="H261" s="52">
        <f>IF(G261="",0,2*PI()*(G261-0.5)/'KT THAN'!$C$11)</f>
        <v>0</v>
      </c>
      <c r="I261" s="52">
        <f>IF(G261="",0,IF(shp=1,IF(AND(ABS(SIN(H261))&gt;0.0000001,MAX(1,hthan*500-'KT THAN'!$D$12)*ABS(COS(H261))/ABS(SIN(H261))&lt;=MAX(0,(bthan-hthan)*500)),MAX(1,hthan*500-'KT THAN'!$D$12)/ABS(SIN(H261)),MAX(0,(bthan-hthan)*500)*ABS(COS(H261))+SQRT(MAX(0,MAX(1,hthan*500-'KT THAN'!$D$12)^2-MAX(0,(bthan-hthan)*500)^2*SIN(H261)^2))),MIN((bthan*500-'KT THAN'!$D$12)/MAX(0.0000001,ABS(COS(H261))),(hthan*500-'KT THAN'!$D$12)/MAX(0.0000001,ABS(SIN(H261)))))*COS(H261))</f>
        <v>0</v>
      </c>
      <c r="J261" s="52">
        <f>IF(G261="",0,IF(shp=1,IF(AND(ABS(SIN(H261))&gt;0.0000001,MAX(1,hthan*500-'KT THAN'!$D$12)*ABS(COS(H261))/ABS(SIN(H261))&lt;=MAX(0,(bthan-hthan)*500)),MAX(1,hthan*500-'KT THAN'!$D$12)/ABS(SIN(H261)),MAX(0,(bthan-hthan)*500)*ABS(COS(H261))+SQRT(MAX(0,MAX(1,hthan*500-'KT THAN'!$D$12)^2-MAX(0,(bthan-hthan)*500)^2*SIN(H261)^2))),MIN((bthan*500-'KT THAN'!$D$12)/MAX(0.0000001,ABS(COS(H261))),(hthan*500-'KT THAN'!$D$12)/MAX(0.0000001,ABS(SIN(H261)))))*SIN(H261))</f>
        <v>0</v>
      </c>
      <c r="K261" s="52">
        <f>IF(G261="",0,'KT THAN'!$D$11/'KT THAN'!$C$11)</f>
        <v>0</v>
      </c>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row>
    <row r="262" spans="1:40" x14ac:dyDescent="0.3">
      <c r="A262" s="52">
        <v>257</v>
      </c>
      <c r="B262" s="52">
        <f>-bthan*500+(6+0.5)*bthan*1000/50</f>
        <v>-2035</v>
      </c>
      <c r="C262" s="52">
        <f t="shared" si="90"/>
        <v>-690</v>
      </c>
      <c r="D262" s="52">
        <f t="shared" ref="D262:D325" si="91">bthan*1000/50*hthan*1000/80</f>
        <v>2200</v>
      </c>
      <c r="E262" s="52">
        <f t="shared" ref="E262:E325" si="92">IF(shp=1,--(OR(ABS(B262)&lt;=MAX(0,(bthan-hthan)*500),(ABS(B262)-MAX(0,(bthan-hthan)*500))^2+C262^2&lt;=(hthan*500)^2)),--(AND(ABS(B262)&lt;=bthan*500,ABS(C262)&lt;=hthan*500,OR(ABS(B262)&lt;=bthan*500-cch*1000,ABS(C262)&lt;=hthan*500-cch*1000,(bthan*500-ABS(B262))+(hthan*500-ABS(C262))&gt;=cch*1000))))</f>
        <v>1</v>
      </c>
      <c r="F262" s="52"/>
      <c r="G262" s="52" t="str">
        <f>IF(257&lt;='KT THAN'!$C$11,257,"")</f>
        <v/>
      </c>
      <c r="H262" s="52">
        <f>IF(G262="",0,2*PI()*(G262-0.5)/'KT THAN'!$C$11)</f>
        <v>0</v>
      </c>
      <c r="I262" s="52">
        <f>IF(G262="",0,IF(shp=1,IF(AND(ABS(SIN(H262))&gt;0.0000001,MAX(1,hthan*500-'KT THAN'!$D$12)*ABS(COS(H262))/ABS(SIN(H262))&lt;=MAX(0,(bthan-hthan)*500)),MAX(1,hthan*500-'KT THAN'!$D$12)/ABS(SIN(H262)),MAX(0,(bthan-hthan)*500)*ABS(COS(H262))+SQRT(MAX(0,MAX(1,hthan*500-'KT THAN'!$D$12)^2-MAX(0,(bthan-hthan)*500)^2*SIN(H262)^2))),MIN((bthan*500-'KT THAN'!$D$12)/MAX(0.0000001,ABS(COS(H262))),(hthan*500-'KT THAN'!$D$12)/MAX(0.0000001,ABS(SIN(H262)))))*COS(H262))</f>
        <v>0</v>
      </c>
      <c r="J262" s="52">
        <f>IF(G262="",0,IF(shp=1,IF(AND(ABS(SIN(H262))&gt;0.0000001,MAX(1,hthan*500-'KT THAN'!$D$12)*ABS(COS(H262))/ABS(SIN(H262))&lt;=MAX(0,(bthan-hthan)*500)),MAX(1,hthan*500-'KT THAN'!$D$12)/ABS(SIN(H262)),MAX(0,(bthan-hthan)*500)*ABS(COS(H262))+SQRT(MAX(0,MAX(1,hthan*500-'KT THAN'!$D$12)^2-MAX(0,(bthan-hthan)*500)^2*SIN(H262)^2))),MIN((bthan*500-'KT THAN'!$D$12)/MAX(0.0000001,ABS(COS(H262))),(hthan*500-'KT THAN'!$D$12)/MAX(0.0000001,ABS(SIN(H262)))))*SIN(H262))</f>
        <v>0</v>
      </c>
      <c r="K262" s="52">
        <f>IF(G262="",0,'KT THAN'!$D$11/'KT THAN'!$C$11)</f>
        <v>0</v>
      </c>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row>
    <row r="263" spans="1:40" x14ac:dyDescent="0.3">
      <c r="A263" s="52">
        <v>258</v>
      </c>
      <c r="B263" s="52">
        <f>-bthan*500+(7+0.5)*bthan*1000/50</f>
        <v>-1925</v>
      </c>
      <c r="C263" s="52">
        <f t="shared" si="90"/>
        <v>-690</v>
      </c>
      <c r="D263" s="52">
        <f t="shared" si="91"/>
        <v>2200</v>
      </c>
      <c r="E263" s="52">
        <f t="shared" si="92"/>
        <v>1</v>
      </c>
      <c r="F263" s="52"/>
      <c r="G263" s="52" t="str">
        <f>IF(258&lt;='KT THAN'!$C$11,258,"")</f>
        <v/>
      </c>
      <c r="H263" s="52">
        <f>IF(G263="",0,2*PI()*(G263-0.5)/'KT THAN'!$C$11)</f>
        <v>0</v>
      </c>
      <c r="I263" s="52">
        <f>IF(G263="",0,IF(shp=1,IF(AND(ABS(SIN(H263))&gt;0.0000001,MAX(1,hthan*500-'KT THAN'!$D$12)*ABS(COS(H263))/ABS(SIN(H263))&lt;=MAX(0,(bthan-hthan)*500)),MAX(1,hthan*500-'KT THAN'!$D$12)/ABS(SIN(H263)),MAX(0,(bthan-hthan)*500)*ABS(COS(H263))+SQRT(MAX(0,MAX(1,hthan*500-'KT THAN'!$D$12)^2-MAX(0,(bthan-hthan)*500)^2*SIN(H263)^2))),MIN((bthan*500-'KT THAN'!$D$12)/MAX(0.0000001,ABS(COS(H263))),(hthan*500-'KT THAN'!$D$12)/MAX(0.0000001,ABS(SIN(H263)))))*COS(H263))</f>
        <v>0</v>
      </c>
      <c r="J263" s="52">
        <f>IF(G263="",0,IF(shp=1,IF(AND(ABS(SIN(H263))&gt;0.0000001,MAX(1,hthan*500-'KT THAN'!$D$12)*ABS(COS(H263))/ABS(SIN(H263))&lt;=MAX(0,(bthan-hthan)*500)),MAX(1,hthan*500-'KT THAN'!$D$12)/ABS(SIN(H263)),MAX(0,(bthan-hthan)*500)*ABS(COS(H263))+SQRT(MAX(0,MAX(1,hthan*500-'KT THAN'!$D$12)^2-MAX(0,(bthan-hthan)*500)^2*SIN(H263)^2))),MIN((bthan*500-'KT THAN'!$D$12)/MAX(0.0000001,ABS(COS(H263))),(hthan*500-'KT THAN'!$D$12)/MAX(0.0000001,ABS(SIN(H263)))))*SIN(H263))</f>
        <v>0</v>
      </c>
      <c r="K263" s="52">
        <f>IF(G263="",0,'KT THAN'!$D$11/'KT THAN'!$C$11)</f>
        <v>0</v>
      </c>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row>
    <row r="264" spans="1:40" x14ac:dyDescent="0.3">
      <c r="A264" s="52">
        <v>259</v>
      </c>
      <c r="B264" s="52">
        <f>-bthan*500+(8+0.5)*bthan*1000/50</f>
        <v>-1815</v>
      </c>
      <c r="C264" s="52">
        <f t="shared" si="90"/>
        <v>-690</v>
      </c>
      <c r="D264" s="52">
        <f t="shared" si="91"/>
        <v>2200</v>
      </c>
      <c r="E264" s="52">
        <f t="shared" si="92"/>
        <v>1</v>
      </c>
      <c r="F264" s="52"/>
      <c r="G264" s="52" t="str">
        <f>IF(259&lt;='KT THAN'!$C$11,259,"")</f>
        <v/>
      </c>
      <c r="H264" s="52">
        <f>IF(G264="",0,2*PI()*(G264-0.5)/'KT THAN'!$C$11)</f>
        <v>0</v>
      </c>
      <c r="I264" s="52">
        <f>IF(G264="",0,IF(shp=1,IF(AND(ABS(SIN(H264))&gt;0.0000001,MAX(1,hthan*500-'KT THAN'!$D$12)*ABS(COS(H264))/ABS(SIN(H264))&lt;=MAX(0,(bthan-hthan)*500)),MAX(1,hthan*500-'KT THAN'!$D$12)/ABS(SIN(H264)),MAX(0,(bthan-hthan)*500)*ABS(COS(H264))+SQRT(MAX(0,MAX(1,hthan*500-'KT THAN'!$D$12)^2-MAX(0,(bthan-hthan)*500)^2*SIN(H264)^2))),MIN((bthan*500-'KT THAN'!$D$12)/MAX(0.0000001,ABS(COS(H264))),(hthan*500-'KT THAN'!$D$12)/MAX(0.0000001,ABS(SIN(H264)))))*COS(H264))</f>
        <v>0</v>
      </c>
      <c r="J264" s="52">
        <f>IF(G264="",0,IF(shp=1,IF(AND(ABS(SIN(H264))&gt;0.0000001,MAX(1,hthan*500-'KT THAN'!$D$12)*ABS(COS(H264))/ABS(SIN(H264))&lt;=MAX(0,(bthan-hthan)*500)),MAX(1,hthan*500-'KT THAN'!$D$12)/ABS(SIN(H264)),MAX(0,(bthan-hthan)*500)*ABS(COS(H264))+SQRT(MAX(0,MAX(1,hthan*500-'KT THAN'!$D$12)^2-MAX(0,(bthan-hthan)*500)^2*SIN(H264)^2))),MIN((bthan*500-'KT THAN'!$D$12)/MAX(0.0000001,ABS(COS(H264))),(hthan*500-'KT THAN'!$D$12)/MAX(0.0000001,ABS(SIN(H264)))))*SIN(H264))</f>
        <v>0</v>
      </c>
      <c r="K264" s="52">
        <f>IF(G264="",0,'KT THAN'!$D$11/'KT THAN'!$C$11)</f>
        <v>0</v>
      </c>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row>
    <row r="265" spans="1:40" x14ac:dyDescent="0.3">
      <c r="A265" s="52">
        <v>260</v>
      </c>
      <c r="B265" s="52">
        <f>-bthan*500+(9+0.5)*bthan*1000/50</f>
        <v>-1705</v>
      </c>
      <c r="C265" s="52">
        <f t="shared" si="90"/>
        <v>-690</v>
      </c>
      <c r="D265" s="52">
        <f t="shared" si="91"/>
        <v>2200</v>
      </c>
      <c r="E265" s="52">
        <f t="shared" si="92"/>
        <v>1</v>
      </c>
      <c r="F265" s="52"/>
      <c r="G265" s="52" t="str">
        <f>IF(260&lt;='KT THAN'!$C$11,260,"")</f>
        <v/>
      </c>
      <c r="H265" s="52">
        <f>IF(G265="",0,2*PI()*(G265-0.5)/'KT THAN'!$C$11)</f>
        <v>0</v>
      </c>
      <c r="I265" s="52">
        <f>IF(G265="",0,IF(shp=1,IF(AND(ABS(SIN(H265))&gt;0.0000001,MAX(1,hthan*500-'KT THAN'!$D$12)*ABS(COS(H265))/ABS(SIN(H265))&lt;=MAX(0,(bthan-hthan)*500)),MAX(1,hthan*500-'KT THAN'!$D$12)/ABS(SIN(H265)),MAX(0,(bthan-hthan)*500)*ABS(COS(H265))+SQRT(MAX(0,MAX(1,hthan*500-'KT THAN'!$D$12)^2-MAX(0,(bthan-hthan)*500)^2*SIN(H265)^2))),MIN((bthan*500-'KT THAN'!$D$12)/MAX(0.0000001,ABS(COS(H265))),(hthan*500-'KT THAN'!$D$12)/MAX(0.0000001,ABS(SIN(H265)))))*COS(H265))</f>
        <v>0</v>
      </c>
      <c r="J265" s="52">
        <f>IF(G265="",0,IF(shp=1,IF(AND(ABS(SIN(H265))&gt;0.0000001,MAX(1,hthan*500-'KT THAN'!$D$12)*ABS(COS(H265))/ABS(SIN(H265))&lt;=MAX(0,(bthan-hthan)*500)),MAX(1,hthan*500-'KT THAN'!$D$12)/ABS(SIN(H265)),MAX(0,(bthan-hthan)*500)*ABS(COS(H265))+SQRT(MAX(0,MAX(1,hthan*500-'KT THAN'!$D$12)^2-MAX(0,(bthan-hthan)*500)^2*SIN(H265)^2))),MIN((bthan*500-'KT THAN'!$D$12)/MAX(0.0000001,ABS(COS(H265))),(hthan*500-'KT THAN'!$D$12)/MAX(0.0000001,ABS(SIN(H265)))))*SIN(H265))</f>
        <v>0</v>
      </c>
      <c r="K265" s="52">
        <f>IF(G265="",0,'KT THAN'!$D$11/'KT THAN'!$C$11)</f>
        <v>0</v>
      </c>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row>
    <row r="266" spans="1:40" x14ac:dyDescent="0.3">
      <c r="A266" s="52">
        <v>261</v>
      </c>
      <c r="B266" s="52">
        <f>-bthan*500+(10+0.5)*bthan*1000/50</f>
        <v>-1595</v>
      </c>
      <c r="C266" s="52">
        <f t="shared" si="90"/>
        <v>-690</v>
      </c>
      <c r="D266" s="52">
        <f t="shared" si="91"/>
        <v>2200</v>
      </c>
      <c r="E266" s="52">
        <f t="shared" si="92"/>
        <v>1</v>
      </c>
      <c r="F266" s="52"/>
      <c r="G266" s="52" t="str">
        <f>IF(261&lt;='KT THAN'!$C$11,261,"")</f>
        <v/>
      </c>
      <c r="H266" s="52">
        <f>IF(G266="",0,2*PI()*(G266-0.5)/'KT THAN'!$C$11)</f>
        <v>0</v>
      </c>
      <c r="I266" s="52">
        <f>IF(G266="",0,IF(shp=1,IF(AND(ABS(SIN(H266))&gt;0.0000001,MAX(1,hthan*500-'KT THAN'!$D$12)*ABS(COS(H266))/ABS(SIN(H266))&lt;=MAX(0,(bthan-hthan)*500)),MAX(1,hthan*500-'KT THAN'!$D$12)/ABS(SIN(H266)),MAX(0,(bthan-hthan)*500)*ABS(COS(H266))+SQRT(MAX(0,MAX(1,hthan*500-'KT THAN'!$D$12)^2-MAX(0,(bthan-hthan)*500)^2*SIN(H266)^2))),MIN((bthan*500-'KT THAN'!$D$12)/MAX(0.0000001,ABS(COS(H266))),(hthan*500-'KT THAN'!$D$12)/MAX(0.0000001,ABS(SIN(H266)))))*COS(H266))</f>
        <v>0</v>
      </c>
      <c r="J266" s="52">
        <f>IF(G266="",0,IF(shp=1,IF(AND(ABS(SIN(H266))&gt;0.0000001,MAX(1,hthan*500-'KT THAN'!$D$12)*ABS(COS(H266))/ABS(SIN(H266))&lt;=MAX(0,(bthan-hthan)*500)),MAX(1,hthan*500-'KT THAN'!$D$12)/ABS(SIN(H266)),MAX(0,(bthan-hthan)*500)*ABS(COS(H266))+SQRT(MAX(0,MAX(1,hthan*500-'KT THAN'!$D$12)^2-MAX(0,(bthan-hthan)*500)^2*SIN(H266)^2))),MIN((bthan*500-'KT THAN'!$D$12)/MAX(0.0000001,ABS(COS(H266))),(hthan*500-'KT THAN'!$D$12)/MAX(0.0000001,ABS(SIN(H266)))))*SIN(H266))</f>
        <v>0</v>
      </c>
      <c r="K266" s="52">
        <f>IF(G266="",0,'KT THAN'!$D$11/'KT THAN'!$C$11)</f>
        <v>0</v>
      </c>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row>
    <row r="267" spans="1:40" x14ac:dyDescent="0.3">
      <c r="A267" s="52">
        <v>262</v>
      </c>
      <c r="B267" s="52">
        <f>-bthan*500+(11+0.5)*bthan*1000/50</f>
        <v>-1485</v>
      </c>
      <c r="C267" s="52">
        <f t="shared" si="90"/>
        <v>-690</v>
      </c>
      <c r="D267" s="52">
        <f t="shared" si="91"/>
        <v>2200</v>
      </c>
      <c r="E267" s="52">
        <f t="shared" si="92"/>
        <v>1</v>
      </c>
      <c r="F267" s="52"/>
      <c r="G267" s="52" t="str">
        <f>IF(262&lt;='KT THAN'!$C$11,262,"")</f>
        <v/>
      </c>
      <c r="H267" s="52">
        <f>IF(G267="",0,2*PI()*(G267-0.5)/'KT THAN'!$C$11)</f>
        <v>0</v>
      </c>
      <c r="I267" s="52">
        <f>IF(G267="",0,IF(shp=1,IF(AND(ABS(SIN(H267))&gt;0.0000001,MAX(1,hthan*500-'KT THAN'!$D$12)*ABS(COS(H267))/ABS(SIN(H267))&lt;=MAX(0,(bthan-hthan)*500)),MAX(1,hthan*500-'KT THAN'!$D$12)/ABS(SIN(H267)),MAX(0,(bthan-hthan)*500)*ABS(COS(H267))+SQRT(MAX(0,MAX(1,hthan*500-'KT THAN'!$D$12)^2-MAX(0,(bthan-hthan)*500)^2*SIN(H267)^2))),MIN((bthan*500-'KT THAN'!$D$12)/MAX(0.0000001,ABS(COS(H267))),(hthan*500-'KT THAN'!$D$12)/MAX(0.0000001,ABS(SIN(H267)))))*COS(H267))</f>
        <v>0</v>
      </c>
      <c r="J267" s="52">
        <f>IF(G267="",0,IF(shp=1,IF(AND(ABS(SIN(H267))&gt;0.0000001,MAX(1,hthan*500-'KT THAN'!$D$12)*ABS(COS(H267))/ABS(SIN(H267))&lt;=MAX(0,(bthan-hthan)*500)),MAX(1,hthan*500-'KT THAN'!$D$12)/ABS(SIN(H267)),MAX(0,(bthan-hthan)*500)*ABS(COS(H267))+SQRT(MAX(0,MAX(1,hthan*500-'KT THAN'!$D$12)^2-MAX(0,(bthan-hthan)*500)^2*SIN(H267)^2))),MIN((bthan*500-'KT THAN'!$D$12)/MAX(0.0000001,ABS(COS(H267))),(hthan*500-'KT THAN'!$D$12)/MAX(0.0000001,ABS(SIN(H267)))))*SIN(H267))</f>
        <v>0</v>
      </c>
      <c r="K267" s="52">
        <f>IF(G267="",0,'KT THAN'!$D$11/'KT THAN'!$C$11)</f>
        <v>0</v>
      </c>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row>
    <row r="268" spans="1:40" x14ac:dyDescent="0.3">
      <c r="A268" s="52">
        <v>263</v>
      </c>
      <c r="B268" s="52">
        <f>-bthan*500+(12+0.5)*bthan*1000/50</f>
        <v>-1375</v>
      </c>
      <c r="C268" s="52">
        <f t="shared" si="90"/>
        <v>-690</v>
      </c>
      <c r="D268" s="52">
        <f t="shared" si="91"/>
        <v>2200</v>
      </c>
      <c r="E268" s="52">
        <f t="shared" si="92"/>
        <v>1</v>
      </c>
      <c r="F268" s="52"/>
      <c r="G268" s="52" t="str">
        <f>IF(263&lt;='KT THAN'!$C$11,263,"")</f>
        <v/>
      </c>
      <c r="H268" s="52">
        <f>IF(G268="",0,2*PI()*(G268-0.5)/'KT THAN'!$C$11)</f>
        <v>0</v>
      </c>
      <c r="I268" s="52">
        <f>IF(G268="",0,IF(shp=1,IF(AND(ABS(SIN(H268))&gt;0.0000001,MAX(1,hthan*500-'KT THAN'!$D$12)*ABS(COS(H268))/ABS(SIN(H268))&lt;=MAX(0,(bthan-hthan)*500)),MAX(1,hthan*500-'KT THAN'!$D$12)/ABS(SIN(H268)),MAX(0,(bthan-hthan)*500)*ABS(COS(H268))+SQRT(MAX(0,MAX(1,hthan*500-'KT THAN'!$D$12)^2-MAX(0,(bthan-hthan)*500)^2*SIN(H268)^2))),MIN((bthan*500-'KT THAN'!$D$12)/MAX(0.0000001,ABS(COS(H268))),(hthan*500-'KT THAN'!$D$12)/MAX(0.0000001,ABS(SIN(H268)))))*COS(H268))</f>
        <v>0</v>
      </c>
      <c r="J268" s="52">
        <f>IF(G268="",0,IF(shp=1,IF(AND(ABS(SIN(H268))&gt;0.0000001,MAX(1,hthan*500-'KT THAN'!$D$12)*ABS(COS(H268))/ABS(SIN(H268))&lt;=MAX(0,(bthan-hthan)*500)),MAX(1,hthan*500-'KT THAN'!$D$12)/ABS(SIN(H268)),MAX(0,(bthan-hthan)*500)*ABS(COS(H268))+SQRT(MAX(0,MAX(1,hthan*500-'KT THAN'!$D$12)^2-MAX(0,(bthan-hthan)*500)^2*SIN(H268)^2))),MIN((bthan*500-'KT THAN'!$D$12)/MAX(0.0000001,ABS(COS(H268))),(hthan*500-'KT THAN'!$D$12)/MAX(0.0000001,ABS(SIN(H268)))))*SIN(H268))</f>
        <v>0</v>
      </c>
      <c r="K268" s="52">
        <f>IF(G268="",0,'KT THAN'!$D$11/'KT THAN'!$C$11)</f>
        <v>0</v>
      </c>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row>
    <row r="269" spans="1:40" x14ac:dyDescent="0.3">
      <c r="A269" s="52">
        <v>264</v>
      </c>
      <c r="B269" s="52">
        <f>-bthan*500+(13+0.5)*bthan*1000/50</f>
        <v>-1265</v>
      </c>
      <c r="C269" s="52">
        <f t="shared" si="90"/>
        <v>-690</v>
      </c>
      <c r="D269" s="52">
        <f t="shared" si="91"/>
        <v>2200</v>
      </c>
      <c r="E269" s="52">
        <f t="shared" si="92"/>
        <v>1</v>
      </c>
      <c r="F269" s="52"/>
      <c r="G269" s="52" t="str">
        <f>IF(264&lt;='KT THAN'!$C$11,264,"")</f>
        <v/>
      </c>
      <c r="H269" s="52">
        <f>IF(G269="",0,2*PI()*(G269-0.5)/'KT THAN'!$C$11)</f>
        <v>0</v>
      </c>
      <c r="I269" s="52">
        <f>IF(G269="",0,IF(shp=1,IF(AND(ABS(SIN(H269))&gt;0.0000001,MAX(1,hthan*500-'KT THAN'!$D$12)*ABS(COS(H269))/ABS(SIN(H269))&lt;=MAX(0,(bthan-hthan)*500)),MAX(1,hthan*500-'KT THAN'!$D$12)/ABS(SIN(H269)),MAX(0,(bthan-hthan)*500)*ABS(COS(H269))+SQRT(MAX(0,MAX(1,hthan*500-'KT THAN'!$D$12)^2-MAX(0,(bthan-hthan)*500)^2*SIN(H269)^2))),MIN((bthan*500-'KT THAN'!$D$12)/MAX(0.0000001,ABS(COS(H269))),(hthan*500-'KT THAN'!$D$12)/MAX(0.0000001,ABS(SIN(H269)))))*COS(H269))</f>
        <v>0</v>
      </c>
      <c r="J269" s="52">
        <f>IF(G269="",0,IF(shp=1,IF(AND(ABS(SIN(H269))&gt;0.0000001,MAX(1,hthan*500-'KT THAN'!$D$12)*ABS(COS(H269))/ABS(SIN(H269))&lt;=MAX(0,(bthan-hthan)*500)),MAX(1,hthan*500-'KT THAN'!$D$12)/ABS(SIN(H269)),MAX(0,(bthan-hthan)*500)*ABS(COS(H269))+SQRT(MAX(0,MAX(1,hthan*500-'KT THAN'!$D$12)^2-MAX(0,(bthan-hthan)*500)^2*SIN(H269)^2))),MIN((bthan*500-'KT THAN'!$D$12)/MAX(0.0000001,ABS(COS(H269))),(hthan*500-'KT THAN'!$D$12)/MAX(0.0000001,ABS(SIN(H269)))))*SIN(H269))</f>
        <v>0</v>
      </c>
      <c r="K269" s="52">
        <f>IF(G269="",0,'KT THAN'!$D$11/'KT THAN'!$C$11)</f>
        <v>0</v>
      </c>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row>
    <row r="270" spans="1:40" x14ac:dyDescent="0.3">
      <c r="A270" s="52">
        <v>265</v>
      </c>
      <c r="B270" s="52">
        <f>-bthan*500+(14+0.5)*bthan*1000/50</f>
        <v>-1155</v>
      </c>
      <c r="C270" s="52">
        <f t="shared" si="90"/>
        <v>-690</v>
      </c>
      <c r="D270" s="52">
        <f t="shared" si="91"/>
        <v>2200</v>
      </c>
      <c r="E270" s="52">
        <f t="shared" si="92"/>
        <v>1</v>
      </c>
      <c r="F270" s="52"/>
      <c r="G270" s="52" t="str">
        <f>IF(265&lt;='KT THAN'!$C$11,265,"")</f>
        <v/>
      </c>
      <c r="H270" s="52">
        <f>IF(G270="",0,2*PI()*(G270-0.5)/'KT THAN'!$C$11)</f>
        <v>0</v>
      </c>
      <c r="I270" s="52">
        <f>IF(G270="",0,IF(shp=1,IF(AND(ABS(SIN(H270))&gt;0.0000001,MAX(1,hthan*500-'KT THAN'!$D$12)*ABS(COS(H270))/ABS(SIN(H270))&lt;=MAX(0,(bthan-hthan)*500)),MAX(1,hthan*500-'KT THAN'!$D$12)/ABS(SIN(H270)),MAX(0,(bthan-hthan)*500)*ABS(COS(H270))+SQRT(MAX(0,MAX(1,hthan*500-'KT THAN'!$D$12)^2-MAX(0,(bthan-hthan)*500)^2*SIN(H270)^2))),MIN((bthan*500-'KT THAN'!$D$12)/MAX(0.0000001,ABS(COS(H270))),(hthan*500-'KT THAN'!$D$12)/MAX(0.0000001,ABS(SIN(H270)))))*COS(H270))</f>
        <v>0</v>
      </c>
      <c r="J270" s="52">
        <f>IF(G270="",0,IF(shp=1,IF(AND(ABS(SIN(H270))&gt;0.0000001,MAX(1,hthan*500-'KT THAN'!$D$12)*ABS(COS(H270))/ABS(SIN(H270))&lt;=MAX(0,(bthan-hthan)*500)),MAX(1,hthan*500-'KT THAN'!$D$12)/ABS(SIN(H270)),MAX(0,(bthan-hthan)*500)*ABS(COS(H270))+SQRT(MAX(0,MAX(1,hthan*500-'KT THAN'!$D$12)^2-MAX(0,(bthan-hthan)*500)^2*SIN(H270)^2))),MIN((bthan*500-'KT THAN'!$D$12)/MAX(0.0000001,ABS(COS(H270))),(hthan*500-'KT THAN'!$D$12)/MAX(0.0000001,ABS(SIN(H270)))))*SIN(H270))</f>
        <v>0</v>
      </c>
      <c r="K270" s="52">
        <f>IF(G270="",0,'KT THAN'!$D$11/'KT THAN'!$C$11)</f>
        <v>0</v>
      </c>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row>
    <row r="271" spans="1:40" x14ac:dyDescent="0.3">
      <c r="A271" s="52">
        <v>266</v>
      </c>
      <c r="B271" s="52">
        <f>-bthan*500+(15+0.5)*bthan*1000/50</f>
        <v>-1045</v>
      </c>
      <c r="C271" s="52">
        <f t="shared" si="90"/>
        <v>-690</v>
      </c>
      <c r="D271" s="52">
        <f t="shared" si="91"/>
        <v>2200</v>
      </c>
      <c r="E271" s="52">
        <f t="shared" si="92"/>
        <v>1</v>
      </c>
      <c r="F271" s="52"/>
      <c r="G271" s="52" t="str">
        <f>IF(266&lt;='KT THAN'!$C$11,266,"")</f>
        <v/>
      </c>
      <c r="H271" s="52">
        <f>IF(G271="",0,2*PI()*(G271-0.5)/'KT THAN'!$C$11)</f>
        <v>0</v>
      </c>
      <c r="I271" s="52">
        <f>IF(G271="",0,IF(shp=1,IF(AND(ABS(SIN(H271))&gt;0.0000001,MAX(1,hthan*500-'KT THAN'!$D$12)*ABS(COS(H271))/ABS(SIN(H271))&lt;=MAX(0,(bthan-hthan)*500)),MAX(1,hthan*500-'KT THAN'!$D$12)/ABS(SIN(H271)),MAX(0,(bthan-hthan)*500)*ABS(COS(H271))+SQRT(MAX(0,MAX(1,hthan*500-'KT THAN'!$D$12)^2-MAX(0,(bthan-hthan)*500)^2*SIN(H271)^2))),MIN((bthan*500-'KT THAN'!$D$12)/MAX(0.0000001,ABS(COS(H271))),(hthan*500-'KT THAN'!$D$12)/MAX(0.0000001,ABS(SIN(H271)))))*COS(H271))</f>
        <v>0</v>
      </c>
      <c r="J271" s="52">
        <f>IF(G271="",0,IF(shp=1,IF(AND(ABS(SIN(H271))&gt;0.0000001,MAX(1,hthan*500-'KT THAN'!$D$12)*ABS(COS(H271))/ABS(SIN(H271))&lt;=MAX(0,(bthan-hthan)*500)),MAX(1,hthan*500-'KT THAN'!$D$12)/ABS(SIN(H271)),MAX(0,(bthan-hthan)*500)*ABS(COS(H271))+SQRT(MAX(0,MAX(1,hthan*500-'KT THAN'!$D$12)^2-MAX(0,(bthan-hthan)*500)^2*SIN(H271)^2))),MIN((bthan*500-'KT THAN'!$D$12)/MAX(0.0000001,ABS(COS(H271))),(hthan*500-'KT THAN'!$D$12)/MAX(0.0000001,ABS(SIN(H271)))))*SIN(H271))</f>
        <v>0</v>
      </c>
      <c r="K271" s="52">
        <f>IF(G271="",0,'KT THAN'!$D$11/'KT THAN'!$C$11)</f>
        <v>0</v>
      </c>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row>
    <row r="272" spans="1:40" x14ac:dyDescent="0.3">
      <c r="A272" s="52">
        <v>267</v>
      </c>
      <c r="B272" s="52">
        <f>-bthan*500+(16+0.5)*bthan*1000/50</f>
        <v>-935</v>
      </c>
      <c r="C272" s="52">
        <f t="shared" si="90"/>
        <v>-690</v>
      </c>
      <c r="D272" s="52">
        <f t="shared" si="91"/>
        <v>2200</v>
      </c>
      <c r="E272" s="52">
        <f t="shared" si="92"/>
        <v>1</v>
      </c>
      <c r="F272" s="52"/>
      <c r="G272" s="52" t="str">
        <f>IF(267&lt;='KT THAN'!$C$11,267,"")</f>
        <v/>
      </c>
      <c r="H272" s="52">
        <f>IF(G272="",0,2*PI()*(G272-0.5)/'KT THAN'!$C$11)</f>
        <v>0</v>
      </c>
      <c r="I272" s="52">
        <f>IF(G272="",0,IF(shp=1,IF(AND(ABS(SIN(H272))&gt;0.0000001,MAX(1,hthan*500-'KT THAN'!$D$12)*ABS(COS(H272))/ABS(SIN(H272))&lt;=MAX(0,(bthan-hthan)*500)),MAX(1,hthan*500-'KT THAN'!$D$12)/ABS(SIN(H272)),MAX(0,(bthan-hthan)*500)*ABS(COS(H272))+SQRT(MAX(0,MAX(1,hthan*500-'KT THAN'!$D$12)^2-MAX(0,(bthan-hthan)*500)^2*SIN(H272)^2))),MIN((bthan*500-'KT THAN'!$D$12)/MAX(0.0000001,ABS(COS(H272))),(hthan*500-'KT THAN'!$D$12)/MAX(0.0000001,ABS(SIN(H272)))))*COS(H272))</f>
        <v>0</v>
      </c>
      <c r="J272" s="52">
        <f>IF(G272="",0,IF(shp=1,IF(AND(ABS(SIN(H272))&gt;0.0000001,MAX(1,hthan*500-'KT THAN'!$D$12)*ABS(COS(H272))/ABS(SIN(H272))&lt;=MAX(0,(bthan-hthan)*500)),MAX(1,hthan*500-'KT THAN'!$D$12)/ABS(SIN(H272)),MAX(0,(bthan-hthan)*500)*ABS(COS(H272))+SQRT(MAX(0,MAX(1,hthan*500-'KT THAN'!$D$12)^2-MAX(0,(bthan-hthan)*500)^2*SIN(H272)^2))),MIN((bthan*500-'KT THAN'!$D$12)/MAX(0.0000001,ABS(COS(H272))),(hthan*500-'KT THAN'!$D$12)/MAX(0.0000001,ABS(SIN(H272)))))*SIN(H272))</f>
        <v>0</v>
      </c>
      <c r="K272" s="52">
        <f>IF(G272="",0,'KT THAN'!$D$11/'KT THAN'!$C$11)</f>
        <v>0</v>
      </c>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row>
    <row r="273" spans="1:40" x14ac:dyDescent="0.3">
      <c r="A273" s="52">
        <v>268</v>
      </c>
      <c r="B273" s="52">
        <f>-bthan*500+(17+0.5)*bthan*1000/50</f>
        <v>-825</v>
      </c>
      <c r="C273" s="52">
        <f t="shared" si="90"/>
        <v>-690</v>
      </c>
      <c r="D273" s="52">
        <f t="shared" si="91"/>
        <v>2200</v>
      </c>
      <c r="E273" s="52">
        <f t="shared" si="92"/>
        <v>1</v>
      </c>
      <c r="F273" s="52"/>
      <c r="G273" s="52" t="str">
        <f>IF(268&lt;='KT THAN'!$C$11,268,"")</f>
        <v/>
      </c>
      <c r="H273" s="52">
        <f>IF(G273="",0,2*PI()*(G273-0.5)/'KT THAN'!$C$11)</f>
        <v>0</v>
      </c>
      <c r="I273" s="52">
        <f>IF(G273="",0,IF(shp=1,IF(AND(ABS(SIN(H273))&gt;0.0000001,MAX(1,hthan*500-'KT THAN'!$D$12)*ABS(COS(H273))/ABS(SIN(H273))&lt;=MAX(0,(bthan-hthan)*500)),MAX(1,hthan*500-'KT THAN'!$D$12)/ABS(SIN(H273)),MAX(0,(bthan-hthan)*500)*ABS(COS(H273))+SQRT(MAX(0,MAX(1,hthan*500-'KT THAN'!$D$12)^2-MAX(0,(bthan-hthan)*500)^2*SIN(H273)^2))),MIN((bthan*500-'KT THAN'!$D$12)/MAX(0.0000001,ABS(COS(H273))),(hthan*500-'KT THAN'!$D$12)/MAX(0.0000001,ABS(SIN(H273)))))*COS(H273))</f>
        <v>0</v>
      </c>
      <c r="J273" s="52">
        <f>IF(G273="",0,IF(shp=1,IF(AND(ABS(SIN(H273))&gt;0.0000001,MAX(1,hthan*500-'KT THAN'!$D$12)*ABS(COS(H273))/ABS(SIN(H273))&lt;=MAX(0,(bthan-hthan)*500)),MAX(1,hthan*500-'KT THAN'!$D$12)/ABS(SIN(H273)),MAX(0,(bthan-hthan)*500)*ABS(COS(H273))+SQRT(MAX(0,MAX(1,hthan*500-'KT THAN'!$D$12)^2-MAX(0,(bthan-hthan)*500)^2*SIN(H273)^2))),MIN((bthan*500-'KT THAN'!$D$12)/MAX(0.0000001,ABS(COS(H273))),(hthan*500-'KT THAN'!$D$12)/MAX(0.0000001,ABS(SIN(H273)))))*SIN(H273))</f>
        <v>0</v>
      </c>
      <c r="K273" s="52">
        <f>IF(G273="",0,'KT THAN'!$D$11/'KT THAN'!$C$11)</f>
        <v>0</v>
      </c>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row>
    <row r="274" spans="1:40" x14ac:dyDescent="0.3">
      <c r="A274" s="52">
        <v>269</v>
      </c>
      <c r="B274" s="52">
        <f>-bthan*500+(18+0.5)*bthan*1000/50</f>
        <v>-715</v>
      </c>
      <c r="C274" s="52">
        <f t="shared" si="90"/>
        <v>-690</v>
      </c>
      <c r="D274" s="52">
        <f t="shared" si="91"/>
        <v>2200</v>
      </c>
      <c r="E274" s="52">
        <f t="shared" si="92"/>
        <v>1</v>
      </c>
      <c r="F274" s="52"/>
      <c r="G274" s="52" t="str">
        <f>IF(269&lt;='KT THAN'!$C$11,269,"")</f>
        <v/>
      </c>
      <c r="H274" s="52">
        <f>IF(G274="",0,2*PI()*(G274-0.5)/'KT THAN'!$C$11)</f>
        <v>0</v>
      </c>
      <c r="I274" s="52">
        <f>IF(G274="",0,IF(shp=1,IF(AND(ABS(SIN(H274))&gt;0.0000001,MAX(1,hthan*500-'KT THAN'!$D$12)*ABS(COS(H274))/ABS(SIN(H274))&lt;=MAX(0,(bthan-hthan)*500)),MAX(1,hthan*500-'KT THAN'!$D$12)/ABS(SIN(H274)),MAX(0,(bthan-hthan)*500)*ABS(COS(H274))+SQRT(MAX(0,MAX(1,hthan*500-'KT THAN'!$D$12)^2-MAX(0,(bthan-hthan)*500)^2*SIN(H274)^2))),MIN((bthan*500-'KT THAN'!$D$12)/MAX(0.0000001,ABS(COS(H274))),(hthan*500-'KT THAN'!$D$12)/MAX(0.0000001,ABS(SIN(H274)))))*COS(H274))</f>
        <v>0</v>
      </c>
      <c r="J274" s="52">
        <f>IF(G274="",0,IF(shp=1,IF(AND(ABS(SIN(H274))&gt;0.0000001,MAX(1,hthan*500-'KT THAN'!$D$12)*ABS(COS(H274))/ABS(SIN(H274))&lt;=MAX(0,(bthan-hthan)*500)),MAX(1,hthan*500-'KT THAN'!$D$12)/ABS(SIN(H274)),MAX(0,(bthan-hthan)*500)*ABS(COS(H274))+SQRT(MAX(0,MAX(1,hthan*500-'KT THAN'!$D$12)^2-MAX(0,(bthan-hthan)*500)^2*SIN(H274)^2))),MIN((bthan*500-'KT THAN'!$D$12)/MAX(0.0000001,ABS(COS(H274))),(hthan*500-'KT THAN'!$D$12)/MAX(0.0000001,ABS(SIN(H274)))))*SIN(H274))</f>
        <v>0</v>
      </c>
      <c r="K274" s="52">
        <f>IF(G274="",0,'KT THAN'!$D$11/'KT THAN'!$C$11)</f>
        <v>0</v>
      </c>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row>
    <row r="275" spans="1:40" x14ac:dyDescent="0.3">
      <c r="A275" s="52">
        <v>270</v>
      </c>
      <c r="B275" s="52">
        <f>-bthan*500+(19+0.5)*bthan*1000/50</f>
        <v>-605</v>
      </c>
      <c r="C275" s="52">
        <f t="shared" si="90"/>
        <v>-690</v>
      </c>
      <c r="D275" s="52">
        <f t="shared" si="91"/>
        <v>2200</v>
      </c>
      <c r="E275" s="52">
        <f t="shared" si="92"/>
        <v>1</v>
      </c>
      <c r="F275" s="52"/>
      <c r="G275" s="52" t="str">
        <f>IF(270&lt;='KT THAN'!$C$11,270,"")</f>
        <v/>
      </c>
      <c r="H275" s="52">
        <f>IF(G275="",0,2*PI()*(G275-0.5)/'KT THAN'!$C$11)</f>
        <v>0</v>
      </c>
      <c r="I275" s="52">
        <f>IF(G275="",0,IF(shp=1,IF(AND(ABS(SIN(H275))&gt;0.0000001,MAX(1,hthan*500-'KT THAN'!$D$12)*ABS(COS(H275))/ABS(SIN(H275))&lt;=MAX(0,(bthan-hthan)*500)),MAX(1,hthan*500-'KT THAN'!$D$12)/ABS(SIN(H275)),MAX(0,(bthan-hthan)*500)*ABS(COS(H275))+SQRT(MAX(0,MAX(1,hthan*500-'KT THAN'!$D$12)^2-MAX(0,(bthan-hthan)*500)^2*SIN(H275)^2))),MIN((bthan*500-'KT THAN'!$D$12)/MAX(0.0000001,ABS(COS(H275))),(hthan*500-'KT THAN'!$D$12)/MAX(0.0000001,ABS(SIN(H275)))))*COS(H275))</f>
        <v>0</v>
      </c>
      <c r="J275" s="52">
        <f>IF(G275="",0,IF(shp=1,IF(AND(ABS(SIN(H275))&gt;0.0000001,MAX(1,hthan*500-'KT THAN'!$D$12)*ABS(COS(H275))/ABS(SIN(H275))&lt;=MAX(0,(bthan-hthan)*500)),MAX(1,hthan*500-'KT THAN'!$D$12)/ABS(SIN(H275)),MAX(0,(bthan-hthan)*500)*ABS(COS(H275))+SQRT(MAX(0,MAX(1,hthan*500-'KT THAN'!$D$12)^2-MAX(0,(bthan-hthan)*500)^2*SIN(H275)^2))),MIN((bthan*500-'KT THAN'!$D$12)/MAX(0.0000001,ABS(COS(H275))),(hthan*500-'KT THAN'!$D$12)/MAX(0.0000001,ABS(SIN(H275)))))*SIN(H275))</f>
        <v>0</v>
      </c>
      <c r="K275" s="52">
        <f>IF(G275="",0,'KT THAN'!$D$11/'KT THAN'!$C$11)</f>
        <v>0</v>
      </c>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row>
    <row r="276" spans="1:40" x14ac:dyDescent="0.3">
      <c r="A276" s="52">
        <v>271</v>
      </c>
      <c r="B276" s="52">
        <f>-bthan*500+(20+0.5)*bthan*1000/50</f>
        <v>-495</v>
      </c>
      <c r="C276" s="52">
        <f t="shared" si="90"/>
        <v>-690</v>
      </c>
      <c r="D276" s="52">
        <f t="shared" si="91"/>
        <v>2200</v>
      </c>
      <c r="E276" s="52">
        <f t="shared" si="92"/>
        <v>1</v>
      </c>
      <c r="F276" s="52"/>
      <c r="G276" s="52" t="str">
        <f>IF(271&lt;='KT THAN'!$C$11,271,"")</f>
        <v/>
      </c>
      <c r="H276" s="52">
        <f>IF(G276="",0,2*PI()*(G276-0.5)/'KT THAN'!$C$11)</f>
        <v>0</v>
      </c>
      <c r="I276" s="52">
        <f>IF(G276="",0,IF(shp=1,IF(AND(ABS(SIN(H276))&gt;0.0000001,MAX(1,hthan*500-'KT THAN'!$D$12)*ABS(COS(H276))/ABS(SIN(H276))&lt;=MAX(0,(bthan-hthan)*500)),MAX(1,hthan*500-'KT THAN'!$D$12)/ABS(SIN(H276)),MAX(0,(bthan-hthan)*500)*ABS(COS(H276))+SQRT(MAX(0,MAX(1,hthan*500-'KT THAN'!$D$12)^2-MAX(0,(bthan-hthan)*500)^2*SIN(H276)^2))),MIN((bthan*500-'KT THAN'!$D$12)/MAX(0.0000001,ABS(COS(H276))),(hthan*500-'KT THAN'!$D$12)/MAX(0.0000001,ABS(SIN(H276)))))*COS(H276))</f>
        <v>0</v>
      </c>
      <c r="J276" s="52">
        <f>IF(G276="",0,IF(shp=1,IF(AND(ABS(SIN(H276))&gt;0.0000001,MAX(1,hthan*500-'KT THAN'!$D$12)*ABS(COS(H276))/ABS(SIN(H276))&lt;=MAX(0,(bthan-hthan)*500)),MAX(1,hthan*500-'KT THAN'!$D$12)/ABS(SIN(H276)),MAX(0,(bthan-hthan)*500)*ABS(COS(H276))+SQRT(MAX(0,MAX(1,hthan*500-'KT THAN'!$D$12)^2-MAX(0,(bthan-hthan)*500)^2*SIN(H276)^2))),MIN((bthan*500-'KT THAN'!$D$12)/MAX(0.0000001,ABS(COS(H276))),(hthan*500-'KT THAN'!$D$12)/MAX(0.0000001,ABS(SIN(H276)))))*SIN(H276))</f>
        <v>0</v>
      </c>
      <c r="K276" s="52">
        <f>IF(G276="",0,'KT THAN'!$D$11/'KT THAN'!$C$11)</f>
        <v>0</v>
      </c>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row>
    <row r="277" spans="1:40" x14ac:dyDescent="0.3">
      <c r="A277" s="52">
        <v>272</v>
      </c>
      <c r="B277" s="52">
        <f>-bthan*500+(21+0.5)*bthan*1000/50</f>
        <v>-385</v>
      </c>
      <c r="C277" s="52">
        <f t="shared" si="90"/>
        <v>-690</v>
      </c>
      <c r="D277" s="52">
        <f t="shared" si="91"/>
        <v>2200</v>
      </c>
      <c r="E277" s="52">
        <f t="shared" si="92"/>
        <v>1</v>
      </c>
      <c r="F277" s="52"/>
      <c r="G277" s="52" t="str">
        <f>IF(272&lt;='KT THAN'!$C$11,272,"")</f>
        <v/>
      </c>
      <c r="H277" s="52">
        <f>IF(G277="",0,2*PI()*(G277-0.5)/'KT THAN'!$C$11)</f>
        <v>0</v>
      </c>
      <c r="I277" s="52">
        <f>IF(G277="",0,IF(shp=1,IF(AND(ABS(SIN(H277))&gt;0.0000001,MAX(1,hthan*500-'KT THAN'!$D$12)*ABS(COS(H277))/ABS(SIN(H277))&lt;=MAX(0,(bthan-hthan)*500)),MAX(1,hthan*500-'KT THAN'!$D$12)/ABS(SIN(H277)),MAX(0,(bthan-hthan)*500)*ABS(COS(H277))+SQRT(MAX(0,MAX(1,hthan*500-'KT THAN'!$D$12)^2-MAX(0,(bthan-hthan)*500)^2*SIN(H277)^2))),MIN((bthan*500-'KT THAN'!$D$12)/MAX(0.0000001,ABS(COS(H277))),(hthan*500-'KT THAN'!$D$12)/MAX(0.0000001,ABS(SIN(H277)))))*COS(H277))</f>
        <v>0</v>
      </c>
      <c r="J277" s="52">
        <f>IF(G277="",0,IF(shp=1,IF(AND(ABS(SIN(H277))&gt;0.0000001,MAX(1,hthan*500-'KT THAN'!$D$12)*ABS(COS(H277))/ABS(SIN(H277))&lt;=MAX(0,(bthan-hthan)*500)),MAX(1,hthan*500-'KT THAN'!$D$12)/ABS(SIN(H277)),MAX(0,(bthan-hthan)*500)*ABS(COS(H277))+SQRT(MAX(0,MAX(1,hthan*500-'KT THAN'!$D$12)^2-MAX(0,(bthan-hthan)*500)^2*SIN(H277)^2))),MIN((bthan*500-'KT THAN'!$D$12)/MAX(0.0000001,ABS(COS(H277))),(hthan*500-'KT THAN'!$D$12)/MAX(0.0000001,ABS(SIN(H277)))))*SIN(H277))</f>
        <v>0</v>
      </c>
      <c r="K277" s="52">
        <f>IF(G277="",0,'KT THAN'!$D$11/'KT THAN'!$C$11)</f>
        <v>0</v>
      </c>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row>
    <row r="278" spans="1:40" x14ac:dyDescent="0.3">
      <c r="A278" s="52">
        <v>273</v>
      </c>
      <c r="B278" s="52">
        <f>-bthan*500+(22+0.5)*bthan*1000/50</f>
        <v>-275</v>
      </c>
      <c r="C278" s="52">
        <f t="shared" si="90"/>
        <v>-690</v>
      </c>
      <c r="D278" s="52">
        <f t="shared" si="91"/>
        <v>2200</v>
      </c>
      <c r="E278" s="52">
        <f t="shared" si="92"/>
        <v>1</v>
      </c>
      <c r="F278" s="52"/>
      <c r="G278" s="52" t="str">
        <f>IF(273&lt;='KT THAN'!$C$11,273,"")</f>
        <v/>
      </c>
      <c r="H278" s="52">
        <f>IF(G278="",0,2*PI()*(G278-0.5)/'KT THAN'!$C$11)</f>
        <v>0</v>
      </c>
      <c r="I278" s="52">
        <f>IF(G278="",0,IF(shp=1,IF(AND(ABS(SIN(H278))&gt;0.0000001,MAX(1,hthan*500-'KT THAN'!$D$12)*ABS(COS(H278))/ABS(SIN(H278))&lt;=MAX(0,(bthan-hthan)*500)),MAX(1,hthan*500-'KT THAN'!$D$12)/ABS(SIN(H278)),MAX(0,(bthan-hthan)*500)*ABS(COS(H278))+SQRT(MAX(0,MAX(1,hthan*500-'KT THAN'!$D$12)^2-MAX(0,(bthan-hthan)*500)^2*SIN(H278)^2))),MIN((bthan*500-'KT THAN'!$D$12)/MAX(0.0000001,ABS(COS(H278))),(hthan*500-'KT THAN'!$D$12)/MAX(0.0000001,ABS(SIN(H278)))))*COS(H278))</f>
        <v>0</v>
      </c>
      <c r="J278" s="52">
        <f>IF(G278="",0,IF(shp=1,IF(AND(ABS(SIN(H278))&gt;0.0000001,MAX(1,hthan*500-'KT THAN'!$D$12)*ABS(COS(H278))/ABS(SIN(H278))&lt;=MAX(0,(bthan-hthan)*500)),MAX(1,hthan*500-'KT THAN'!$D$12)/ABS(SIN(H278)),MAX(0,(bthan-hthan)*500)*ABS(COS(H278))+SQRT(MAX(0,MAX(1,hthan*500-'KT THAN'!$D$12)^2-MAX(0,(bthan-hthan)*500)^2*SIN(H278)^2))),MIN((bthan*500-'KT THAN'!$D$12)/MAX(0.0000001,ABS(COS(H278))),(hthan*500-'KT THAN'!$D$12)/MAX(0.0000001,ABS(SIN(H278)))))*SIN(H278))</f>
        <v>0</v>
      </c>
      <c r="K278" s="52">
        <f>IF(G278="",0,'KT THAN'!$D$11/'KT THAN'!$C$11)</f>
        <v>0</v>
      </c>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row>
    <row r="279" spans="1:40" x14ac:dyDescent="0.3">
      <c r="A279" s="52">
        <v>274</v>
      </c>
      <c r="B279" s="52">
        <f>-bthan*500+(23+0.5)*bthan*1000/50</f>
        <v>-165</v>
      </c>
      <c r="C279" s="52">
        <f t="shared" si="90"/>
        <v>-690</v>
      </c>
      <c r="D279" s="52">
        <f t="shared" si="91"/>
        <v>2200</v>
      </c>
      <c r="E279" s="52">
        <f t="shared" si="92"/>
        <v>1</v>
      </c>
      <c r="F279" s="52"/>
      <c r="G279" s="52" t="str">
        <f>IF(274&lt;='KT THAN'!$C$11,274,"")</f>
        <v/>
      </c>
      <c r="H279" s="52">
        <f>IF(G279="",0,2*PI()*(G279-0.5)/'KT THAN'!$C$11)</f>
        <v>0</v>
      </c>
      <c r="I279" s="52">
        <f>IF(G279="",0,IF(shp=1,IF(AND(ABS(SIN(H279))&gt;0.0000001,MAX(1,hthan*500-'KT THAN'!$D$12)*ABS(COS(H279))/ABS(SIN(H279))&lt;=MAX(0,(bthan-hthan)*500)),MAX(1,hthan*500-'KT THAN'!$D$12)/ABS(SIN(H279)),MAX(0,(bthan-hthan)*500)*ABS(COS(H279))+SQRT(MAX(0,MAX(1,hthan*500-'KT THAN'!$D$12)^2-MAX(0,(bthan-hthan)*500)^2*SIN(H279)^2))),MIN((bthan*500-'KT THAN'!$D$12)/MAX(0.0000001,ABS(COS(H279))),(hthan*500-'KT THAN'!$D$12)/MAX(0.0000001,ABS(SIN(H279)))))*COS(H279))</f>
        <v>0</v>
      </c>
      <c r="J279" s="52">
        <f>IF(G279="",0,IF(shp=1,IF(AND(ABS(SIN(H279))&gt;0.0000001,MAX(1,hthan*500-'KT THAN'!$D$12)*ABS(COS(H279))/ABS(SIN(H279))&lt;=MAX(0,(bthan-hthan)*500)),MAX(1,hthan*500-'KT THAN'!$D$12)/ABS(SIN(H279)),MAX(0,(bthan-hthan)*500)*ABS(COS(H279))+SQRT(MAX(0,MAX(1,hthan*500-'KT THAN'!$D$12)^2-MAX(0,(bthan-hthan)*500)^2*SIN(H279)^2))),MIN((bthan*500-'KT THAN'!$D$12)/MAX(0.0000001,ABS(COS(H279))),(hthan*500-'KT THAN'!$D$12)/MAX(0.0000001,ABS(SIN(H279)))))*SIN(H279))</f>
        <v>0</v>
      </c>
      <c r="K279" s="52">
        <f>IF(G279="",0,'KT THAN'!$D$11/'KT THAN'!$C$11)</f>
        <v>0</v>
      </c>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row>
    <row r="280" spans="1:40" x14ac:dyDescent="0.3">
      <c r="A280" s="52">
        <v>275</v>
      </c>
      <c r="B280" s="52">
        <f>-bthan*500+(24+0.5)*bthan*1000/50</f>
        <v>-55</v>
      </c>
      <c r="C280" s="52">
        <f t="shared" si="90"/>
        <v>-690</v>
      </c>
      <c r="D280" s="52">
        <f t="shared" si="91"/>
        <v>2200</v>
      </c>
      <c r="E280" s="52">
        <f t="shared" si="92"/>
        <v>1</v>
      </c>
      <c r="F280" s="52"/>
      <c r="G280" s="52" t="str">
        <f>IF(275&lt;='KT THAN'!$C$11,275,"")</f>
        <v/>
      </c>
      <c r="H280" s="52">
        <f>IF(G280="",0,2*PI()*(G280-0.5)/'KT THAN'!$C$11)</f>
        <v>0</v>
      </c>
      <c r="I280" s="52">
        <f>IF(G280="",0,IF(shp=1,IF(AND(ABS(SIN(H280))&gt;0.0000001,MAX(1,hthan*500-'KT THAN'!$D$12)*ABS(COS(H280))/ABS(SIN(H280))&lt;=MAX(0,(bthan-hthan)*500)),MAX(1,hthan*500-'KT THAN'!$D$12)/ABS(SIN(H280)),MAX(0,(bthan-hthan)*500)*ABS(COS(H280))+SQRT(MAX(0,MAX(1,hthan*500-'KT THAN'!$D$12)^2-MAX(0,(bthan-hthan)*500)^2*SIN(H280)^2))),MIN((bthan*500-'KT THAN'!$D$12)/MAX(0.0000001,ABS(COS(H280))),(hthan*500-'KT THAN'!$D$12)/MAX(0.0000001,ABS(SIN(H280)))))*COS(H280))</f>
        <v>0</v>
      </c>
      <c r="J280" s="52">
        <f>IF(G280="",0,IF(shp=1,IF(AND(ABS(SIN(H280))&gt;0.0000001,MAX(1,hthan*500-'KT THAN'!$D$12)*ABS(COS(H280))/ABS(SIN(H280))&lt;=MAX(0,(bthan-hthan)*500)),MAX(1,hthan*500-'KT THAN'!$D$12)/ABS(SIN(H280)),MAX(0,(bthan-hthan)*500)*ABS(COS(H280))+SQRT(MAX(0,MAX(1,hthan*500-'KT THAN'!$D$12)^2-MAX(0,(bthan-hthan)*500)^2*SIN(H280)^2))),MIN((bthan*500-'KT THAN'!$D$12)/MAX(0.0000001,ABS(COS(H280))),(hthan*500-'KT THAN'!$D$12)/MAX(0.0000001,ABS(SIN(H280)))))*SIN(H280))</f>
        <v>0</v>
      </c>
      <c r="K280" s="52">
        <f>IF(G280="",0,'KT THAN'!$D$11/'KT THAN'!$C$11)</f>
        <v>0</v>
      </c>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row>
    <row r="281" spans="1:40" x14ac:dyDescent="0.3">
      <c r="A281" s="52">
        <v>276</v>
      </c>
      <c r="B281" s="52">
        <f>-bthan*500+(25+0.5)*bthan*1000/50</f>
        <v>55</v>
      </c>
      <c r="C281" s="52">
        <f t="shared" si="90"/>
        <v>-690</v>
      </c>
      <c r="D281" s="52">
        <f t="shared" si="91"/>
        <v>2200</v>
      </c>
      <c r="E281" s="52">
        <f t="shared" si="92"/>
        <v>1</v>
      </c>
      <c r="F281" s="52"/>
      <c r="G281" s="52" t="str">
        <f>IF(276&lt;='KT THAN'!$C$11,276,"")</f>
        <v/>
      </c>
      <c r="H281" s="52">
        <f>IF(G281="",0,2*PI()*(G281-0.5)/'KT THAN'!$C$11)</f>
        <v>0</v>
      </c>
      <c r="I281" s="52">
        <f>IF(G281="",0,IF(shp=1,IF(AND(ABS(SIN(H281))&gt;0.0000001,MAX(1,hthan*500-'KT THAN'!$D$12)*ABS(COS(H281))/ABS(SIN(H281))&lt;=MAX(0,(bthan-hthan)*500)),MAX(1,hthan*500-'KT THAN'!$D$12)/ABS(SIN(H281)),MAX(0,(bthan-hthan)*500)*ABS(COS(H281))+SQRT(MAX(0,MAX(1,hthan*500-'KT THAN'!$D$12)^2-MAX(0,(bthan-hthan)*500)^2*SIN(H281)^2))),MIN((bthan*500-'KT THAN'!$D$12)/MAX(0.0000001,ABS(COS(H281))),(hthan*500-'KT THAN'!$D$12)/MAX(0.0000001,ABS(SIN(H281)))))*COS(H281))</f>
        <v>0</v>
      </c>
      <c r="J281" s="52">
        <f>IF(G281="",0,IF(shp=1,IF(AND(ABS(SIN(H281))&gt;0.0000001,MAX(1,hthan*500-'KT THAN'!$D$12)*ABS(COS(H281))/ABS(SIN(H281))&lt;=MAX(0,(bthan-hthan)*500)),MAX(1,hthan*500-'KT THAN'!$D$12)/ABS(SIN(H281)),MAX(0,(bthan-hthan)*500)*ABS(COS(H281))+SQRT(MAX(0,MAX(1,hthan*500-'KT THAN'!$D$12)^2-MAX(0,(bthan-hthan)*500)^2*SIN(H281)^2))),MIN((bthan*500-'KT THAN'!$D$12)/MAX(0.0000001,ABS(COS(H281))),(hthan*500-'KT THAN'!$D$12)/MAX(0.0000001,ABS(SIN(H281)))))*SIN(H281))</f>
        <v>0</v>
      </c>
      <c r="K281" s="52">
        <f>IF(G281="",0,'KT THAN'!$D$11/'KT THAN'!$C$11)</f>
        <v>0</v>
      </c>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row>
    <row r="282" spans="1:40" x14ac:dyDescent="0.3">
      <c r="A282" s="52">
        <v>277</v>
      </c>
      <c r="B282" s="52">
        <f>-bthan*500+(26+0.5)*bthan*1000/50</f>
        <v>165</v>
      </c>
      <c r="C282" s="52">
        <f t="shared" si="90"/>
        <v>-690</v>
      </c>
      <c r="D282" s="52">
        <f t="shared" si="91"/>
        <v>2200</v>
      </c>
      <c r="E282" s="52">
        <f t="shared" si="92"/>
        <v>1</v>
      </c>
      <c r="F282" s="52"/>
      <c r="G282" s="52" t="str">
        <f>IF(277&lt;='KT THAN'!$C$11,277,"")</f>
        <v/>
      </c>
      <c r="H282" s="52">
        <f>IF(G282="",0,2*PI()*(G282-0.5)/'KT THAN'!$C$11)</f>
        <v>0</v>
      </c>
      <c r="I282" s="52">
        <f>IF(G282="",0,IF(shp=1,IF(AND(ABS(SIN(H282))&gt;0.0000001,MAX(1,hthan*500-'KT THAN'!$D$12)*ABS(COS(H282))/ABS(SIN(H282))&lt;=MAX(0,(bthan-hthan)*500)),MAX(1,hthan*500-'KT THAN'!$D$12)/ABS(SIN(H282)),MAX(0,(bthan-hthan)*500)*ABS(COS(H282))+SQRT(MAX(0,MAX(1,hthan*500-'KT THAN'!$D$12)^2-MAX(0,(bthan-hthan)*500)^2*SIN(H282)^2))),MIN((bthan*500-'KT THAN'!$D$12)/MAX(0.0000001,ABS(COS(H282))),(hthan*500-'KT THAN'!$D$12)/MAX(0.0000001,ABS(SIN(H282)))))*COS(H282))</f>
        <v>0</v>
      </c>
      <c r="J282" s="52">
        <f>IF(G282="",0,IF(shp=1,IF(AND(ABS(SIN(H282))&gt;0.0000001,MAX(1,hthan*500-'KT THAN'!$D$12)*ABS(COS(H282))/ABS(SIN(H282))&lt;=MAX(0,(bthan-hthan)*500)),MAX(1,hthan*500-'KT THAN'!$D$12)/ABS(SIN(H282)),MAX(0,(bthan-hthan)*500)*ABS(COS(H282))+SQRT(MAX(0,MAX(1,hthan*500-'KT THAN'!$D$12)^2-MAX(0,(bthan-hthan)*500)^2*SIN(H282)^2))),MIN((bthan*500-'KT THAN'!$D$12)/MAX(0.0000001,ABS(COS(H282))),(hthan*500-'KT THAN'!$D$12)/MAX(0.0000001,ABS(SIN(H282)))))*SIN(H282))</f>
        <v>0</v>
      </c>
      <c r="K282" s="52">
        <f>IF(G282="",0,'KT THAN'!$D$11/'KT THAN'!$C$11)</f>
        <v>0</v>
      </c>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row>
    <row r="283" spans="1:40" x14ac:dyDescent="0.3">
      <c r="A283" s="52">
        <v>278</v>
      </c>
      <c r="B283" s="52">
        <f>-bthan*500+(27+0.5)*bthan*1000/50</f>
        <v>275</v>
      </c>
      <c r="C283" s="52">
        <f t="shared" si="90"/>
        <v>-690</v>
      </c>
      <c r="D283" s="52">
        <f t="shared" si="91"/>
        <v>2200</v>
      </c>
      <c r="E283" s="52">
        <f t="shared" si="92"/>
        <v>1</v>
      </c>
      <c r="F283" s="52"/>
      <c r="G283" s="52" t="str">
        <f>IF(278&lt;='KT THAN'!$C$11,278,"")</f>
        <v/>
      </c>
      <c r="H283" s="52">
        <f>IF(G283="",0,2*PI()*(G283-0.5)/'KT THAN'!$C$11)</f>
        <v>0</v>
      </c>
      <c r="I283" s="52">
        <f>IF(G283="",0,IF(shp=1,IF(AND(ABS(SIN(H283))&gt;0.0000001,MAX(1,hthan*500-'KT THAN'!$D$12)*ABS(COS(H283))/ABS(SIN(H283))&lt;=MAX(0,(bthan-hthan)*500)),MAX(1,hthan*500-'KT THAN'!$D$12)/ABS(SIN(H283)),MAX(0,(bthan-hthan)*500)*ABS(COS(H283))+SQRT(MAX(0,MAX(1,hthan*500-'KT THAN'!$D$12)^2-MAX(0,(bthan-hthan)*500)^2*SIN(H283)^2))),MIN((bthan*500-'KT THAN'!$D$12)/MAX(0.0000001,ABS(COS(H283))),(hthan*500-'KT THAN'!$D$12)/MAX(0.0000001,ABS(SIN(H283)))))*COS(H283))</f>
        <v>0</v>
      </c>
      <c r="J283" s="52">
        <f>IF(G283="",0,IF(shp=1,IF(AND(ABS(SIN(H283))&gt;0.0000001,MAX(1,hthan*500-'KT THAN'!$D$12)*ABS(COS(H283))/ABS(SIN(H283))&lt;=MAX(0,(bthan-hthan)*500)),MAX(1,hthan*500-'KT THAN'!$D$12)/ABS(SIN(H283)),MAX(0,(bthan-hthan)*500)*ABS(COS(H283))+SQRT(MAX(0,MAX(1,hthan*500-'KT THAN'!$D$12)^2-MAX(0,(bthan-hthan)*500)^2*SIN(H283)^2))),MIN((bthan*500-'KT THAN'!$D$12)/MAX(0.0000001,ABS(COS(H283))),(hthan*500-'KT THAN'!$D$12)/MAX(0.0000001,ABS(SIN(H283)))))*SIN(H283))</f>
        <v>0</v>
      </c>
      <c r="K283" s="52">
        <f>IF(G283="",0,'KT THAN'!$D$11/'KT THAN'!$C$11)</f>
        <v>0</v>
      </c>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row>
    <row r="284" spans="1:40" x14ac:dyDescent="0.3">
      <c r="A284" s="52">
        <v>279</v>
      </c>
      <c r="B284" s="52">
        <f>-bthan*500+(28+0.5)*bthan*1000/50</f>
        <v>385</v>
      </c>
      <c r="C284" s="52">
        <f t="shared" si="90"/>
        <v>-690</v>
      </c>
      <c r="D284" s="52">
        <f t="shared" si="91"/>
        <v>2200</v>
      </c>
      <c r="E284" s="52">
        <f t="shared" si="92"/>
        <v>1</v>
      </c>
      <c r="F284" s="52"/>
      <c r="G284" s="52" t="str">
        <f>IF(279&lt;='KT THAN'!$C$11,279,"")</f>
        <v/>
      </c>
      <c r="H284" s="52">
        <f>IF(G284="",0,2*PI()*(G284-0.5)/'KT THAN'!$C$11)</f>
        <v>0</v>
      </c>
      <c r="I284" s="52">
        <f>IF(G284="",0,IF(shp=1,IF(AND(ABS(SIN(H284))&gt;0.0000001,MAX(1,hthan*500-'KT THAN'!$D$12)*ABS(COS(H284))/ABS(SIN(H284))&lt;=MAX(0,(bthan-hthan)*500)),MAX(1,hthan*500-'KT THAN'!$D$12)/ABS(SIN(H284)),MAX(0,(bthan-hthan)*500)*ABS(COS(H284))+SQRT(MAX(0,MAX(1,hthan*500-'KT THAN'!$D$12)^2-MAX(0,(bthan-hthan)*500)^2*SIN(H284)^2))),MIN((bthan*500-'KT THAN'!$D$12)/MAX(0.0000001,ABS(COS(H284))),(hthan*500-'KT THAN'!$D$12)/MAX(0.0000001,ABS(SIN(H284)))))*COS(H284))</f>
        <v>0</v>
      </c>
      <c r="J284" s="52">
        <f>IF(G284="",0,IF(shp=1,IF(AND(ABS(SIN(H284))&gt;0.0000001,MAX(1,hthan*500-'KT THAN'!$D$12)*ABS(COS(H284))/ABS(SIN(H284))&lt;=MAX(0,(bthan-hthan)*500)),MAX(1,hthan*500-'KT THAN'!$D$12)/ABS(SIN(H284)),MAX(0,(bthan-hthan)*500)*ABS(COS(H284))+SQRT(MAX(0,MAX(1,hthan*500-'KT THAN'!$D$12)^2-MAX(0,(bthan-hthan)*500)^2*SIN(H284)^2))),MIN((bthan*500-'KT THAN'!$D$12)/MAX(0.0000001,ABS(COS(H284))),(hthan*500-'KT THAN'!$D$12)/MAX(0.0000001,ABS(SIN(H284)))))*SIN(H284))</f>
        <v>0</v>
      </c>
      <c r="K284" s="52">
        <f>IF(G284="",0,'KT THAN'!$D$11/'KT THAN'!$C$11)</f>
        <v>0</v>
      </c>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row>
    <row r="285" spans="1:40" x14ac:dyDescent="0.3">
      <c r="A285" s="52">
        <v>280</v>
      </c>
      <c r="B285" s="52">
        <f>-bthan*500+(29+0.5)*bthan*1000/50</f>
        <v>495</v>
      </c>
      <c r="C285" s="52">
        <f t="shared" si="90"/>
        <v>-690</v>
      </c>
      <c r="D285" s="52">
        <f t="shared" si="91"/>
        <v>2200</v>
      </c>
      <c r="E285" s="52">
        <f t="shared" si="92"/>
        <v>1</v>
      </c>
      <c r="F285" s="52"/>
      <c r="G285" s="52" t="str">
        <f>IF(280&lt;='KT THAN'!$C$11,280,"")</f>
        <v/>
      </c>
      <c r="H285" s="52">
        <f>IF(G285="",0,2*PI()*(G285-0.5)/'KT THAN'!$C$11)</f>
        <v>0</v>
      </c>
      <c r="I285" s="52">
        <f>IF(G285="",0,IF(shp=1,IF(AND(ABS(SIN(H285))&gt;0.0000001,MAX(1,hthan*500-'KT THAN'!$D$12)*ABS(COS(H285))/ABS(SIN(H285))&lt;=MAX(0,(bthan-hthan)*500)),MAX(1,hthan*500-'KT THAN'!$D$12)/ABS(SIN(H285)),MAX(0,(bthan-hthan)*500)*ABS(COS(H285))+SQRT(MAX(0,MAX(1,hthan*500-'KT THAN'!$D$12)^2-MAX(0,(bthan-hthan)*500)^2*SIN(H285)^2))),MIN((bthan*500-'KT THAN'!$D$12)/MAX(0.0000001,ABS(COS(H285))),(hthan*500-'KT THAN'!$D$12)/MAX(0.0000001,ABS(SIN(H285)))))*COS(H285))</f>
        <v>0</v>
      </c>
      <c r="J285" s="52">
        <f>IF(G285="",0,IF(shp=1,IF(AND(ABS(SIN(H285))&gt;0.0000001,MAX(1,hthan*500-'KT THAN'!$D$12)*ABS(COS(H285))/ABS(SIN(H285))&lt;=MAX(0,(bthan-hthan)*500)),MAX(1,hthan*500-'KT THAN'!$D$12)/ABS(SIN(H285)),MAX(0,(bthan-hthan)*500)*ABS(COS(H285))+SQRT(MAX(0,MAX(1,hthan*500-'KT THAN'!$D$12)^2-MAX(0,(bthan-hthan)*500)^2*SIN(H285)^2))),MIN((bthan*500-'KT THAN'!$D$12)/MAX(0.0000001,ABS(COS(H285))),(hthan*500-'KT THAN'!$D$12)/MAX(0.0000001,ABS(SIN(H285)))))*SIN(H285))</f>
        <v>0</v>
      </c>
      <c r="K285" s="52">
        <f>IF(G285="",0,'KT THAN'!$D$11/'KT THAN'!$C$11)</f>
        <v>0</v>
      </c>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row>
    <row r="286" spans="1:40" x14ac:dyDescent="0.3">
      <c r="A286" s="52">
        <v>281</v>
      </c>
      <c r="B286" s="52">
        <f>-bthan*500+(30+0.5)*bthan*1000/50</f>
        <v>605</v>
      </c>
      <c r="C286" s="52">
        <f t="shared" si="90"/>
        <v>-690</v>
      </c>
      <c r="D286" s="52">
        <f t="shared" si="91"/>
        <v>2200</v>
      </c>
      <c r="E286" s="52">
        <f t="shared" si="92"/>
        <v>1</v>
      </c>
      <c r="F286" s="52"/>
      <c r="G286" s="52" t="str">
        <f>IF(281&lt;='KT THAN'!$C$11,281,"")</f>
        <v/>
      </c>
      <c r="H286" s="52">
        <f>IF(G286="",0,2*PI()*(G286-0.5)/'KT THAN'!$C$11)</f>
        <v>0</v>
      </c>
      <c r="I286" s="52">
        <f>IF(G286="",0,IF(shp=1,IF(AND(ABS(SIN(H286))&gt;0.0000001,MAX(1,hthan*500-'KT THAN'!$D$12)*ABS(COS(H286))/ABS(SIN(H286))&lt;=MAX(0,(bthan-hthan)*500)),MAX(1,hthan*500-'KT THAN'!$D$12)/ABS(SIN(H286)),MAX(0,(bthan-hthan)*500)*ABS(COS(H286))+SQRT(MAX(0,MAX(1,hthan*500-'KT THAN'!$D$12)^2-MAX(0,(bthan-hthan)*500)^2*SIN(H286)^2))),MIN((bthan*500-'KT THAN'!$D$12)/MAX(0.0000001,ABS(COS(H286))),(hthan*500-'KT THAN'!$D$12)/MAX(0.0000001,ABS(SIN(H286)))))*COS(H286))</f>
        <v>0</v>
      </c>
      <c r="J286" s="52">
        <f>IF(G286="",0,IF(shp=1,IF(AND(ABS(SIN(H286))&gt;0.0000001,MAX(1,hthan*500-'KT THAN'!$D$12)*ABS(COS(H286))/ABS(SIN(H286))&lt;=MAX(0,(bthan-hthan)*500)),MAX(1,hthan*500-'KT THAN'!$D$12)/ABS(SIN(H286)),MAX(0,(bthan-hthan)*500)*ABS(COS(H286))+SQRT(MAX(0,MAX(1,hthan*500-'KT THAN'!$D$12)^2-MAX(0,(bthan-hthan)*500)^2*SIN(H286)^2))),MIN((bthan*500-'KT THAN'!$D$12)/MAX(0.0000001,ABS(COS(H286))),(hthan*500-'KT THAN'!$D$12)/MAX(0.0000001,ABS(SIN(H286)))))*SIN(H286))</f>
        <v>0</v>
      </c>
      <c r="K286" s="52">
        <f>IF(G286="",0,'KT THAN'!$D$11/'KT THAN'!$C$11)</f>
        <v>0</v>
      </c>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row>
    <row r="287" spans="1:40" x14ac:dyDescent="0.3">
      <c r="A287" s="52">
        <v>282</v>
      </c>
      <c r="B287" s="52">
        <f>-bthan*500+(31+0.5)*bthan*1000/50</f>
        <v>715</v>
      </c>
      <c r="C287" s="52">
        <f t="shared" si="90"/>
        <v>-690</v>
      </c>
      <c r="D287" s="52">
        <f t="shared" si="91"/>
        <v>2200</v>
      </c>
      <c r="E287" s="52">
        <f t="shared" si="92"/>
        <v>1</v>
      </c>
      <c r="F287" s="52"/>
      <c r="G287" s="52" t="str">
        <f>IF(282&lt;='KT THAN'!$C$11,282,"")</f>
        <v/>
      </c>
      <c r="H287" s="52">
        <f>IF(G287="",0,2*PI()*(G287-0.5)/'KT THAN'!$C$11)</f>
        <v>0</v>
      </c>
      <c r="I287" s="52">
        <f>IF(G287="",0,IF(shp=1,IF(AND(ABS(SIN(H287))&gt;0.0000001,MAX(1,hthan*500-'KT THAN'!$D$12)*ABS(COS(H287))/ABS(SIN(H287))&lt;=MAX(0,(bthan-hthan)*500)),MAX(1,hthan*500-'KT THAN'!$D$12)/ABS(SIN(H287)),MAX(0,(bthan-hthan)*500)*ABS(COS(H287))+SQRT(MAX(0,MAX(1,hthan*500-'KT THAN'!$D$12)^2-MAX(0,(bthan-hthan)*500)^2*SIN(H287)^2))),MIN((bthan*500-'KT THAN'!$D$12)/MAX(0.0000001,ABS(COS(H287))),(hthan*500-'KT THAN'!$D$12)/MAX(0.0000001,ABS(SIN(H287)))))*COS(H287))</f>
        <v>0</v>
      </c>
      <c r="J287" s="52">
        <f>IF(G287="",0,IF(shp=1,IF(AND(ABS(SIN(H287))&gt;0.0000001,MAX(1,hthan*500-'KT THAN'!$D$12)*ABS(COS(H287))/ABS(SIN(H287))&lt;=MAX(0,(bthan-hthan)*500)),MAX(1,hthan*500-'KT THAN'!$D$12)/ABS(SIN(H287)),MAX(0,(bthan-hthan)*500)*ABS(COS(H287))+SQRT(MAX(0,MAX(1,hthan*500-'KT THAN'!$D$12)^2-MAX(0,(bthan-hthan)*500)^2*SIN(H287)^2))),MIN((bthan*500-'KT THAN'!$D$12)/MAX(0.0000001,ABS(COS(H287))),(hthan*500-'KT THAN'!$D$12)/MAX(0.0000001,ABS(SIN(H287)))))*SIN(H287))</f>
        <v>0</v>
      </c>
      <c r="K287" s="52">
        <f>IF(G287="",0,'KT THAN'!$D$11/'KT THAN'!$C$11)</f>
        <v>0</v>
      </c>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row>
    <row r="288" spans="1:40" x14ac:dyDescent="0.3">
      <c r="A288" s="52">
        <v>283</v>
      </c>
      <c r="B288" s="52">
        <f>-bthan*500+(32+0.5)*bthan*1000/50</f>
        <v>825</v>
      </c>
      <c r="C288" s="52">
        <f t="shared" ref="C288:C305" si="93">-hthan*500+(5+0.5)*hthan*1000/80</f>
        <v>-690</v>
      </c>
      <c r="D288" s="52">
        <f t="shared" si="91"/>
        <v>2200</v>
      </c>
      <c r="E288" s="52">
        <f t="shared" si="92"/>
        <v>1</v>
      </c>
      <c r="F288" s="52"/>
      <c r="G288" s="52" t="str">
        <f>IF(283&lt;='KT THAN'!$C$11,283,"")</f>
        <v/>
      </c>
      <c r="H288" s="52">
        <f>IF(G288="",0,2*PI()*(G288-0.5)/'KT THAN'!$C$11)</f>
        <v>0</v>
      </c>
      <c r="I288" s="52">
        <f>IF(G288="",0,IF(shp=1,IF(AND(ABS(SIN(H288))&gt;0.0000001,MAX(1,hthan*500-'KT THAN'!$D$12)*ABS(COS(H288))/ABS(SIN(H288))&lt;=MAX(0,(bthan-hthan)*500)),MAX(1,hthan*500-'KT THAN'!$D$12)/ABS(SIN(H288)),MAX(0,(bthan-hthan)*500)*ABS(COS(H288))+SQRT(MAX(0,MAX(1,hthan*500-'KT THAN'!$D$12)^2-MAX(0,(bthan-hthan)*500)^2*SIN(H288)^2))),MIN((bthan*500-'KT THAN'!$D$12)/MAX(0.0000001,ABS(COS(H288))),(hthan*500-'KT THAN'!$D$12)/MAX(0.0000001,ABS(SIN(H288)))))*COS(H288))</f>
        <v>0</v>
      </c>
      <c r="J288" s="52">
        <f>IF(G288="",0,IF(shp=1,IF(AND(ABS(SIN(H288))&gt;0.0000001,MAX(1,hthan*500-'KT THAN'!$D$12)*ABS(COS(H288))/ABS(SIN(H288))&lt;=MAX(0,(bthan-hthan)*500)),MAX(1,hthan*500-'KT THAN'!$D$12)/ABS(SIN(H288)),MAX(0,(bthan-hthan)*500)*ABS(COS(H288))+SQRT(MAX(0,MAX(1,hthan*500-'KT THAN'!$D$12)^2-MAX(0,(bthan-hthan)*500)^2*SIN(H288)^2))),MIN((bthan*500-'KT THAN'!$D$12)/MAX(0.0000001,ABS(COS(H288))),(hthan*500-'KT THAN'!$D$12)/MAX(0.0000001,ABS(SIN(H288)))))*SIN(H288))</f>
        <v>0</v>
      </c>
      <c r="K288" s="52">
        <f>IF(G288="",0,'KT THAN'!$D$11/'KT THAN'!$C$11)</f>
        <v>0</v>
      </c>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row>
    <row r="289" spans="1:40" x14ac:dyDescent="0.3">
      <c r="A289" s="52">
        <v>284</v>
      </c>
      <c r="B289" s="52">
        <f>-bthan*500+(33+0.5)*bthan*1000/50</f>
        <v>935</v>
      </c>
      <c r="C289" s="52">
        <f t="shared" si="93"/>
        <v>-690</v>
      </c>
      <c r="D289" s="52">
        <f t="shared" si="91"/>
        <v>2200</v>
      </c>
      <c r="E289" s="52">
        <f t="shared" si="92"/>
        <v>1</v>
      </c>
      <c r="F289" s="52"/>
      <c r="G289" s="52" t="str">
        <f>IF(284&lt;='KT THAN'!$C$11,284,"")</f>
        <v/>
      </c>
      <c r="H289" s="52">
        <f>IF(G289="",0,2*PI()*(G289-0.5)/'KT THAN'!$C$11)</f>
        <v>0</v>
      </c>
      <c r="I289" s="52">
        <f>IF(G289="",0,IF(shp=1,IF(AND(ABS(SIN(H289))&gt;0.0000001,MAX(1,hthan*500-'KT THAN'!$D$12)*ABS(COS(H289))/ABS(SIN(H289))&lt;=MAX(0,(bthan-hthan)*500)),MAX(1,hthan*500-'KT THAN'!$D$12)/ABS(SIN(H289)),MAX(0,(bthan-hthan)*500)*ABS(COS(H289))+SQRT(MAX(0,MAX(1,hthan*500-'KT THAN'!$D$12)^2-MAX(0,(bthan-hthan)*500)^2*SIN(H289)^2))),MIN((bthan*500-'KT THAN'!$D$12)/MAX(0.0000001,ABS(COS(H289))),(hthan*500-'KT THAN'!$D$12)/MAX(0.0000001,ABS(SIN(H289)))))*COS(H289))</f>
        <v>0</v>
      </c>
      <c r="J289" s="52">
        <f>IF(G289="",0,IF(shp=1,IF(AND(ABS(SIN(H289))&gt;0.0000001,MAX(1,hthan*500-'KT THAN'!$D$12)*ABS(COS(H289))/ABS(SIN(H289))&lt;=MAX(0,(bthan-hthan)*500)),MAX(1,hthan*500-'KT THAN'!$D$12)/ABS(SIN(H289)),MAX(0,(bthan-hthan)*500)*ABS(COS(H289))+SQRT(MAX(0,MAX(1,hthan*500-'KT THAN'!$D$12)^2-MAX(0,(bthan-hthan)*500)^2*SIN(H289)^2))),MIN((bthan*500-'KT THAN'!$D$12)/MAX(0.0000001,ABS(COS(H289))),(hthan*500-'KT THAN'!$D$12)/MAX(0.0000001,ABS(SIN(H289)))))*SIN(H289))</f>
        <v>0</v>
      </c>
      <c r="K289" s="52">
        <f>IF(G289="",0,'KT THAN'!$D$11/'KT THAN'!$C$11)</f>
        <v>0</v>
      </c>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row>
    <row r="290" spans="1:40" x14ac:dyDescent="0.3">
      <c r="A290" s="52">
        <v>285</v>
      </c>
      <c r="B290" s="52">
        <f>-bthan*500+(34+0.5)*bthan*1000/50</f>
        <v>1045</v>
      </c>
      <c r="C290" s="52">
        <f t="shared" si="93"/>
        <v>-690</v>
      </c>
      <c r="D290" s="52">
        <f t="shared" si="91"/>
        <v>2200</v>
      </c>
      <c r="E290" s="52">
        <f t="shared" si="92"/>
        <v>1</v>
      </c>
      <c r="F290" s="52"/>
      <c r="G290" s="52" t="str">
        <f>IF(285&lt;='KT THAN'!$C$11,285,"")</f>
        <v/>
      </c>
      <c r="H290" s="52">
        <f>IF(G290="",0,2*PI()*(G290-0.5)/'KT THAN'!$C$11)</f>
        <v>0</v>
      </c>
      <c r="I290" s="52">
        <f>IF(G290="",0,IF(shp=1,IF(AND(ABS(SIN(H290))&gt;0.0000001,MAX(1,hthan*500-'KT THAN'!$D$12)*ABS(COS(H290))/ABS(SIN(H290))&lt;=MAX(0,(bthan-hthan)*500)),MAX(1,hthan*500-'KT THAN'!$D$12)/ABS(SIN(H290)),MAX(0,(bthan-hthan)*500)*ABS(COS(H290))+SQRT(MAX(0,MAX(1,hthan*500-'KT THAN'!$D$12)^2-MAX(0,(bthan-hthan)*500)^2*SIN(H290)^2))),MIN((bthan*500-'KT THAN'!$D$12)/MAX(0.0000001,ABS(COS(H290))),(hthan*500-'KT THAN'!$D$12)/MAX(0.0000001,ABS(SIN(H290)))))*COS(H290))</f>
        <v>0</v>
      </c>
      <c r="J290" s="52">
        <f>IF(G290="",0,IF(shp=1,IF(AND(ABS(SIN(H290))&gt;0.0000001,MAX(1,hthan*500-'KT THAN'!$D$12)*ABS(COS(H290))/ABS(SIN(H290))&lt;=MAX(0,(bthan-hthan)*500)),MAX(1,hthan*500-'KT THAN'!$D$12)/ABS(SIN(H290)),MAX(0,(bthan-hthan)*500)*ABS(COS(H290))+SQRT(MAX(0,MAX(1,hthan*500-'KT THAN'!$D$12)^2-MAX(0,(bthan-hthan)*500)^2*SIN(H290)^2))),MIN((bthan*500-'KT THAN'!$D$12)/MAX(0.0000001,ABS(COS(H290))),(hthan*500-'KT THAN'!$D$12)/MAX(0.0000001,ABS(SIN(H290)))))*SIN(H290))</f>
        <v>0</v>
      </c>
      <c r="K290" s="52">
        <f>IF(G290="",0,'KT THAN'!$D$11/'KT THAN'!$C$11)</f>
        <v>0</v>
      </c>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row>
    <row r="291" spans="1:40" x14ac:dyDescent="0.3">
      <c r="A291" s="52">
        <v>286</v>
      </c>
      <c r="B291" s="52">
        <f>-bthan*500+(35+0.5)*bthan*1000/50</f>
        <v>1155</v>
      </c>
      <c r="C291" s="52">
        <f t="shared" si="93"/>
        <v>-690</v>
      </c>
      <c r="D291" s="52">
        <f t="shared" si="91"/>
        <v>2200</v>
      </c>
      <c r="E291" s="52">
        <f t="shared" si="92"/>
        <v>1</v>
      </c>
      <c r="F291" s="52"/>
      <c r="G291" s="52" t="str">
        <f>IF(286&lt;='KT THAN'!$C$11,286,"")</f>
        <v/>
      </c>
      <c r="H291" s="52">
        <f>IF(G291="",0,2*PI()*(G291-0.5)/'KT THAN'!$C$11)</f>
        <v>0</v>
      </c>
      <c r="I291" s="52">
        <f>IF(G291="",0,IF(shp=1,IF(AND(ABS(SIN(H291))&gt;0.0000001,MAX(1,hthan*500-'KT THAN'!$D$12)*ABS(COS(H291))/ABS(SIN(H291))&lt;=MAX(0,(bthan-hthan)*500)),MAX(1,hthan*500-'KT THAN'!$D$12)/ABS(SIN(H291)),MAX(0,(bthan-hthan)*500)*ABS(COS(H291))+SQRT(MAX(0,MAX(1,hthan*500-'KT THAN'!$D$12)^2-MAX(0,(bthan-hthan)*500)^2*SIN(H291)^2))),MIN((bthan*500-'KT THAN'!$D$12)/MAX(0.0000001,ABS(COS(H291))),(hthan*500-'KT THAN'!$D$12)/MAX(0.0000001,ABS(SIN(H291)))))*COS(H291))</f>
        <v>0</v>
      </c>
      <c r="J291" s="52">
        <f>IF(G291="",0,IF(shp=1,IF(AND(ABS(SIN(H291))&gt;0.0000001,MAX(1,hthan*500-'KT THAN'!$D$12)*ABS(COS(H291))/ABS(SIN(H291))&lt;=MAX(0,(bthan-hthan)*500)),MAX(1,hthan*500-'KT THAN'!$D$12)/ABS(SIN(H291)),MAX(0,(bthan-hthan)*500)*ABS(COS(H291))+SQRT(MAX(0,MAX(1,hthan*500-'KT THAN'!$D$12)^2-MAX(0,(bthan-hthan)*500)^2*SIN(H291)^2))),MIN((bthan*500-'KT THAN'!$D$12)/MAX(0.0000001,ABS(COS(H291))),(hthan*500-'KT THAN'!$D$12)/MAX(0.0000001,ABS(SIN(H291)))))*SIN(H291))</f>
        <v>0</v>
      </c>
      <c r="K291" s="52">
        <f>IF(G291="",0,'KT THAN'!$D$11/'KT THAN'!$C$11)</f>
        <v>0</v>
      </c>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row>
    <row r="292" spans="1:40" x14ac:dyDescent="0.3">
      <c r="A292" s="52">
        <v>287</v>
      </c>
      <c r="B292" s="52">
        <f>-bthan*500+(36+0.5)*bthan*1000/50</f>
        <v>1265</v>
      </c>
      <c r="C292" s="52">
        <f t="shared" si="93"/>
        <v>-690</v>
      </c>
      <c r="D292" s="52">
        <f t="shared" si="91"/>
        <v>2200</v>
      </c>
      <c r="E292" s="52">
        <f t="shared" si="92"/>
        <v>1</v>
      </c>
      <c r="F292" s="52"/>
      <c r="G292" s="52" t="str">
        <f>IF(287&lt;='KT THAN'!$C$11,287,"")</f>
        <v/>
      </c>
      <c r="H292" s="52">
        <f>IF(G292="",0,2*PI()*(G292-0.5)/'KT THAN'!$C$11)</f>
        <v>0</v>
      </c>
      <c r="I292" s="52">
        <f>IF(G292="",0,IF(shp=1,IF(AND(ABS(SIN(H292))&gt;0.0000001,MAX(1,hthan*500-'KT THAN'!$D$12)*ABS(COS(H292))/ABS(SIN(H292))&lt;=MAX(0,(bthan-hthan)*500)),MAX(1,hthan*500-'KT THAN'!$D$12)/ABS(SIN(H292)),MAX(0,(bthan-hthan)*500)*ABS(COS(H292))+SQRT(MAX(0,MAX(1,hthan*500-'KT THAN'!$D$12)^2-MAX(0,(bthan-hthan)*500)^2*SIN(H292)^2))),MIN((bthan*500-'KT THAN'!$D$12)/MAX(0.0000001,ABS(COS(H292))),(hthan*500-'KT THAN'!$D$12)/MAX(0.0000001,ABS(SIN(H292)))))*COS(H292))</f>
        <v>0</v>
      </c>
      <c r="J292" s="52">
        <f>IF(G292="",0,IF(shp=1,IF(AND(ABS(SIN(H292))&gt;0.0000001,MAX(1,hthan*500-'KT THAN'!$D$12)*ABS(COS(H292))/ABS(SIN(H292))&lt;=MAX(0,(bthan-hthan)*500)),MAX(1,hthan*500-'KT THAN'!$D$12)/ABS(SIN(H292)),MAX(0,(bthan-hthan)*500)*ABS(COS(H292))+SQRT(MAX(0,MAX(1,hthan*500-'KT THAN'!$D$12)^2-MAX(0,(bthan-hthan)*500)^2*SIN(H292)^2))),MIN((bthan*500-'KT THAN'!$D$12)/MAX(0.0000001,ABS(COS(H292))),(hthan*500-'KT THAN'!$D$12)/MAX(0.0000001,ABS(SIN(H292)))))*SIN(H292))</f>
        <v>0</v>
      </c>
      <c r="K292" s="52">
        <f>IF(G292="",0,'KT THAN'!$D$11/'KT THAN'!$C$11)</f>
        <v>0</v>
      </c>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row>
    <row r="293" spans="1:40" x14ac:dyDescent="0.3">
      <c r="A293" s="52">
        <v>288</v>
      </c>
      <c r="B293" s="52">
        <f>-bthan*500+(37+0.5)*bthan*1000/50</f>
        <v>1375</v>
      </c>
      <c r="C293" s="52">
        <f t="shared" si="93"/>
        <v>-690</v>
      </c>
      <c r="D293" s="52">
        <f t="shared" si="91"/>
        <v>2200</v>
      </c>
      <c r="E293" s="52">
        <f t="shared" si="92"/>
        <v>1</v>
      </c>
      <c r="F293" s="52"/>
      <c r="G293" s="52" t="str">
        <f>IF(288&lt;='KT THAN'!$C$11,288,"")</f>
        <v/>
      </c>
      <c r="H293" s="52">
        <f>IF(G293="",0,2*PI()*(G293-0.5)/'KT THAN'!$C$11)</f>
        <v>0</v>
      </c>
      <c r="I293" s="52">
        <f>IF(G293="",0,IF(shp=1,IF(AND(ABS(SIN(H293))&gt;0.0000001,MAX(1,hthan*500-'KT THAN'!$D$12)*ABS(COS(H293))/ABS(SIN(H293))&lt;=MAX(0,(bthan-hthan)*500)),MAX(1,hthan*500-'KT THAN'!$D$12)/ABS(SIN(H293)),MAX(0,(bthan-hthan)*500)*ABS(COS(H293))+SQRT(MAX(0,MAX(1,hthan*500-'KT THAN'!$D$12)^2-MAX(0,(bthan-hthan)*500)^2*SIN(H293)^2))),MIN((bthan*500-'KT THAN'!$D$12)/MAX(0.0000001,ABS(COS(H293))),(hthan*500-'KT THAN'!$D$12)/MAX(0.0000001,ABS(SIN(H293)))))*COS(H293))</f>
        <v>0</v>
      </c>
      <c r="J293" s="52">
        <f>IF(G293="",0,IF(shp=1,IF(AND(ABS(SIN(H293))&gt;0.0000001,MAX(1,hthan*500-'KT THAN'!$D$12)*ABS(COS(H293))/ABS(SIN(H293))&lt;=MAX(0,(bthan-hthan)*500)),MAX(1,hthan*500-'KT THAN'!$D$12)/ABS(SIN(H293)),MAX(0,(bthan-hthan)*500)*ABS(COS(H293))+SQRT(MAX(0,MAX(1,hthan*500-'KT THAN'!$D$12)^2-MAX(0,(bthan-hthan)*500)^2*SIN(H293)^2))),MIN((bthan*500-'KT THAN'!$D$12)/MAX(0.0000001,ABS(COS(H293))),(hthan*500-'KT THAN'!$D$12)/MAX(0.0000001,ABS(SIN(H293)))))*SIN(H293))</f>
        <v>0</v>
      </c>
      <c r="K293" s="52">
        <f>IF(G293="",0,'KT THAN'!$D$11/'KT THAN'!$C$11)</f>
        <v>0</v>
      </c>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row>
    <row r="294" spans="1:40" x14ac:dyDescent="0.3">
      <c r="A294" s="52">
        <v>289</v>
      </c>
      <c r="B294" s="52">
        <f>-bthan*500+(38+0.5)*bthan*1000/50</f>
        <v>1485</v>
      </c>
      <c r="C294" s="52">
        <f t="shared" si="93"/>
        <v>-690</v>
      </c>
      <c r="D294" s="52">
        <f t="shared" si="91"/>
        <v>2200</v>
      </c>
      <c r="E294" s="52">
        <f t="shared" si="92"/>
        <v>1</v>
      </c>
      <c r="F294" s="52"/>
      <c r="G294" s="52" t="str">
        <f>IF(289&lt;='KT THAN'!$C$11,289,"")</f>
        <v/>
      </c>
      <c r="H294" s="52">
        <f>IF(G294="",0,2*PI()*(G294-0.5)/'KT THAN'!$C$11)</f>
        <v>0</v>
      </c>
      <c r="I294" s="52">
        <f>IF(G294="",0,IF(shp=1,IF(AND(ABS(SIN(H294))&gt;0.0000001,MAX(1,hthan*500-'KT THAN'!$D$12)*ABS(COS(H294))/ABS(SIN(H294))&lt;=MAX(0,(bthan-hthan)*500)),MAX(1,hthan*500-'KT THAN'!$D$12)/ABS(SIN(H294)),MAX(0,(bthan-hthan)*500)*ABS(COS(H294))+SQRT(MAX(0,MAX(1,hthan*500-'KT THAN'!$D$12)^2-MAX(0,(bthan-hthan)*500)^2*SIN(H294)^2))),MIN((bthan*500-'KT THAN'!$D$12)/MAX(0.0000001,ABS(COS(H294))),(hthan*500-'KT THAN'!$D$12)/MAX(0.0000001,ABS(SIN(H294)))))*COS(H294))</f>
        <v>0</v>
      </c>
      <c r="J294" s="52">
        <f>IF(G294="",0,IF(shp=1,IF(AND(ABS(SIN(H294))&gt;0.0000001,MAX(1,hthan*500-'KT THAN'!$D$12)*ABS(COS(H294))/ABS(SIN(H294))&lt;=MAX(0,(bthan-hthan)*500)),MAX(1,hthan*500-'KT THAN'!$D$12)/ABS(SIN(H294)),MAX(0,(bthan-hthan)*500)*ABS(COS(H294))+SQRT(MAX(0,MAX(1,hthan*500-'KT THAN'!$D$12)^2-MAX(0,(bthan-hthan)*500)^2*SIN(H294)^2))),MIN((bthan*500-'KT THAN'!$D$12)/MAX(0.0000001,ABS(COS(H294))),(hthan*500-'KT THAN'!$D$12)/MAX(0.0000001,ABS(SIN(H294)))))*SIN(H294))</f>
        <v>0</v>
      </c>
      <c r="K294" s="52">
        <f>IF(G294="",0,'KT THAN'!$D$11/'KT THAN'!$C$11)</f>
        <v>0</v>
      </c>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row>
    <row r="295" spans="1:40" x14ac:dyDescent="0.3">
      <c r="A295" s="52">
        <v>290</v>
      </c>
      <c r="B295" s="52">
        <f>-bthan*500+(39+0.5)*bthan*1000/50</f>
        <v>1595</v>
      </c>
      <c r="C295" s="52">
        <f t="shared" si="93"/>
        <v>-690</v>
      </c>
      <c r="D295" s="52">
        <f t="shared" si="91"/>
        <v>2200</v>
      </c>
      <c r="E295" s="52">
        <f t="shared" si="92"/>
        <v>1</v>
      </c>
      <c r="F295" s="52"/>
      <c r="G295" s="52" t="str">
        <f>IF(290&lt;='KT THAN'!$C$11,290,"")</f>
        <v/>
      </c>
      <c r="H295" s="52">
        <f>IF(G295="",0,2*PI()*(G295-0.5)/'KT THAN'!$C$11)</f>
        <v>0</v>
      </c>
      <c r="I295" s="52">
        <f>IF(G295="",0,IF(shp=1,IF(AND(ABS(SIN(H295))&gt;0.0000001,MAX(1,hthan*500-'KT THAN'!$D$12)*ABS(COS(H295))/ABS(SIN(H295))&lt;=MAX(0,(bthan-hthan)*500)),MAX(1,hthan*500-'KT THAN'!$D$12)/ABS(SIN(H295)),MAX(0,(bthan-hthan)*500)*ABS(COS(H295))+SQRT(MAX(0,MAX(1,hthan*500-'KT THAN'!$D$12)^2-MAX(0,(bthan-hthan)*500)^2*SIN(H295)^2))),MIN((bthan*500-'KT THAN'!$D$12)/MAX(0.0000001,ABS(COS(H295))),(hthan*500-'KT THAN'!$D$12)/MAX(0.0000001,ABS(SIN(H295)))))*COS(H295))</f>
        <v>0</v>
      </c>
      <c r="J295" s="52">
        <f>IF(G295="",0,IF(shp=1,IF(AND(ABS(SIN(H295))&gt;0.0000001,MAX(1,hthan*500-'KT THAN'!$D$12)*ABS(COS(H295))/ABS(SIN(H295))&lt;=MAX(0,(bthan-hthan)*500)),MAX(1,hthan*500-'KT THAN'!$D$12)/ABS(SIN(H295)),MAX(0,(bthan-hthan)*500)*ABS(COS(H295))+SQRT(MAX(0,MAX(1,hthan*500-'KT THAN'!$D$12)^2-MAX(0,(bthan-hthan)*500)^2*SIN(H295)^2))),MIN((bthan*500-'KT THAN'!$D$12)/MAX(0.0000001,ABS(COS(H295))),(hthan*500-'KT THAN'!$D$12)/MAX(0.0000001,ABS(SIN(H295)))))*SIN(H295))</f>
        <v>0</v>
      </c>
      <c r="K295" s="52">
        <f>IF(G295="",0,'KT THAN'!$D$11/'KT THAN'!$C$11)</f>
        <v>0</v>
      </c>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row>
    <row r="296" spans="1:40" x14ac:dyDescent="0.3">
      <c r="A296" s="52">
        <v>291</v>
      </c>
      <c r="B296" s="52">
        <f>-bthan*500+(40+0.5)*bthan*1000/50</f>
        <v>1705</v>
      </c>
      <c r="C296" s="52">
        <f t="shared" si="93"/>
        <v>-690</v>
      </c>
      <c r="D296" s="52">
        <f t="shared" si="91"/>
        <v>2200</v>
      </c>
      <c r="E296" s="52">
        <f t="shared" si="92"/>
        <v>1</v>
      </c>
      <c r="F296" s="52"/>
      <c r="G296" s="52" t="str">
        <f>IF(291&lt;='KT THAN'!$C$11,291,"")</f>
        <v/>
      </c>
      <c r="H296" s="52">
        <f>IF(G296="",0,2*PI()*(G296-0.5)/'KT THAN'!$C$11)</f>
        <v>0</v>
      </c>
      <c r="I296" s="52">
        <f>IF(G296="",0,IF(shp=1,IF(AND(ABS(SIN(H296))&gt;0.0000001,MAX(1,hthan*500-'KT THAN'!$D$12)*ABS(COS(H296))/ABS(SIN(H296))&lt;=MAX(0,(bthan-hthan)*500)),MAX(1,hthan*500-'KT THAN'!$D$12)/ABS(SIN(H296)),MAX(0,(bthan-hthan)*500)*ABS(COS(H296))+SQRT(MAX(0,MAX(1,hthan*500-'KT THAN'!$D$12)^2-MAX(0,(bthan-hthan)*500)^2*SIN(H296)^2))),MIN((bthan*500-'KT THAN'!$D$12)/MAX(0.0000001,ABS(COS(H296))),(hthan*500-'KT THAN'!$D$12)/MAX(0.0000001,ABS(SIN(H296)))))*COS(H296))</f>
        <v>0</v>
      </c>
      <c r="J296" s="52">
        <f>IF(G296="",0,IF(shp=1,IF(AND(ABS(SIN(H296))&gt;0.0000001,MAX(1,hthan*500-'KT THAN'!$D$12)*ABS(COS(H296))/ABS(SIN(H296))&lt;=MAX(0,(bthan-hthan)*500)),MAX(1,hthan*500-'KT THAN'!$D$12)/ABS(SIN(H296)),MAX(0,(bthan-hthan)*500)*ABS(COS(H296))+SQRT(MAX(0,MAX(1,hthan*500-'KT THAN'!$D$12)^2-MAX(0,(bthan-hthan)*500)^2*SIN(H296)^2))),MIN((bthan*500-'KT THAN'!$D$12)/MAX(0.0000001,ABS(COS(H296))),(hthan*500-'KT THAN'!$D$12)/MAX(0.0000001,ABS(SIN(H296)))))*SIN(H296))</f>
        <v>0</v>
      </c>
      <c r="K296" s="52">
        <f>IF(G296="",0,'KT THAN'!$D$11/'KT THAN'!$C$11)</f>
        <v>0</v>
      </c>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row>
    <row r="297" spans="1:40" x14ac:dyDescent="0.3">
      <c r="A297" s="52">
        <v>292</v>
      </c>
      <c r="B297" s="52">
        <f>-bthan*500+(41+0.5)*bthan*1000/50</f>
        <v>1815</v>
      </c>
      <c r="C297" s="52">
        <f t="shared" si="93"/>
        <v>-690</v>
      </c>
      <c r="D297" s="52">
        <f t="shared" si="91"/>
        <v>2200</v>
      </c>
      <c r="E297" s="52">
        <f t="shared" si="92"/>
        <v>1</v>
      </c>
      <c r="F297" s="52"/>
      <c r="G297" s="52" t="str">
        <f>IF(292&lt;='KT THAN'!$C$11,292,"")</f>
        <v/>
      </c>
      <c r="H297" s="52">
        <f>IF(G297="",0,2*PI()*(G297-0.5)/'KT THAN'!$C$11)</f>
        <v>0</v>
      </c>
      <c r="I297" s="52">
        <f>IF(G297="",0,IF(shp=1,IF(AND(ABS(SIN(H297))&gt;0.0000001,MAX(1,hthan*500-'KT THAN'!$D$12)*ABS(COS(H297))/ABS(SIN(H297))&lt;=MAX(0,(bthan-hthan)*500)),MAX(1,hthan*500-'KT THAN'!$D$12)/ABS(SIN(H297)),MAX(0,(bthan-hthan)*500)*ABS(COS(H297))+SQRT(MAX(0,MAX(1,hthan*500-'KT THAN'!$D$12)^2-MAX(0,(bthan-hthan)*500)^2*SIN(H297)^2))),MIN((bthan*500-'KT THAN'!$D$12)/MAX(0.0000001,ABS(COS(H297))),(hthan*500-'KT THAN'!$D$12)/MAX(0.0000001,ABS(SIN(H297)))))*COS(H297))</f>
        <v>0</v>
      </c>
      <c r="J297" s="52">
        <f>IF(G297="",0,IF(shp=1,IF(AND(ABS(SIN(H297))&gt;0.0000001,MAX(1,hthan*500-'KT THAN'!$D$12)*ABS(COS(H297))/ABS(SIN(H297))&lt;=MAX(0,(bthan-hthan)*500)),MAX(1,hthan*500-'KT THAN'!$D$12)/ABS(SIN(H297)),MAX(0,(bthan-hthan)*500)*ABS(COS(H297))+SQRT(MAX(0,MAX(1,hthan*500-'KT THAN'!$D$12)^2-MAX(0,(bthan-hthan)*500)^2*SIN(H297)^2))),MIN((bthan*500-'KT THAN'!$D$12)/MAX(0.0000001,ABS(COS(H297))),(hthan*500-'KT THAN'!$D$12)/MAX(0.0000001,ABS(SIN(H297)))))*SIN(H297))</f>
        <v>0</v>
      </c>
      <c r="K297" s="52">
        <f>IF(G297="",0,'KT THAN'!$D$11/'KT THAN'!$C$11)</f>
        <v>0</v>
      </c>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row>
    <row r="298" spans="1:40" x14ac:dyDescent="0.3">
      <c r="A298" s="52">
        <v>293</v>
      </c>
      <c r="B298" s="52">
        <f>-bthan*500+(42+0.5)*bthan*1000/50</f>
        <v>1925</v>
      </c>
      <c r="C298" s="52">
        <f t="shared" si="93"/>
        <v>-690</v>
      </c>
      <c r="D298" s="52">
        <f t="shared" si="91"/>
        <v>2200</v>
      </c>
      <c r="E298" s="52">
        <f t="shared" si="92"/>
        <v>1</v>
      </c>
      <c r="F298" s="52"/>
      <c r="G298" s="52" t="str">
        <f>IF(293&lt;='KT THAN'!$C$11,293,"")</f>
        <v/>
      </c>
      <c r="H298" s="52">
        <f>IF(G298="",0,2*PI()*(G298-0.5)/'KT THAN'!$C$11)</f>
        <v>0</v>
      </c>
      <c r="I298" s="52">
        <f>IF(G298="",0,IF(shp=1,IF(AND(ABS(SIN(H298))&gt;0.0000001,MAX(1,hthan*500-'KT THAN'!$D$12)*ABS(COS(H298))/ABS(SIN(H298))&lt;=MAX(0,(bthan-hthan)*500)),MAX(1,hthan*500-'KT THAN'!$D$12)/ABS(SIN(H298)),MAX(0,(bthan-hthan)*500)*ABS(COS(H298))+SQRT(MAX(0,MAX(1,hthan*500-'KT THAN'!$D$12)^2-MAX(0,(bthan-hthan)*500)^2*SIN(H298)^2))),MIN((bthan*500-'KT THAN'!$D$12)/MAX(0.0000001,ABS(COS(H298))),(hthan*500-'KT THAN'!$D$12)/MAX(0.0000001,ABS(SIN(H298)))))*COS(H298))</f>
        <v>0</v>
      </c>
      <c r="J298" s="52">
        <f>IF(G298="",0,IF(shp=1,IF(AND(ABS(SIN(H298))&gt;0.0000001,MAX(1,hthan*500-'KT THAN'!$D$12)*ABS(COS(H298))/ABS(SIN(H298))&lt;=MAX(0,(bthan-hthan)*500)),MAX(1,hthan*500-'KT THAN'!$D$12)/ABS(SIN(H298)),MAX(0,(bthan-hthan)*500)*ABS(COS(H298))+SQRT(MAX(0,MAX(1,hthan*500-'KT THAN'!$D$12)^2-MAX(0,(bthan-hthan)*500)^2*SIN(H298)^2))),MIN((bthan*500-'KT THAN'!$D$12)/MAX(0.0000001,ABS(COS(H298))),(hthan*500-'KT THAN'!$D$12)/MAX(0.0000001,ABS(SIN(H298)))))*SIN(H298))</f>
        <v>0</v>
      </c>
      <c r="K298" s="52">
        <f>IF(G298="",0,'KT THAN'!$D$11/'KT THAN'!$C$11)</f>
        <v>0</v>
      </c>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row>
    <row r="299" spans="1:40" x14ac:dyDescent="0.3">
      <c r="A299" s="52">
        <v>294</v>
      </c>
      <c r="B299" s="52">
        <f>-bthan*500+(43+0.5)*bthan*1000/50</f>
        <v>2035</v>
      </c>
      <c r="C299" s="52">
        <f t="shared" si="93"/>
        <v>-690</v>
      </c>
      <c r="D299" s="52">
        <f t="shared" si="91"/>
        <v>2200</v>
      </c>
      <c r="E299" s="52">
        <f t="shared" si="92"/>
        <v>1</v>
      </c>
      <c r="F299" s="52"/>
      <c r="G299" s="52" t="str">
        <f>IF(294&lt;='KT THAN'!$C$11,294,"")</f>
        <v/>
      </c>
      <c r="H299" s="52">
        <f>IF(G299="",0,2*PI()*(G299-0.5)/'KT THAN'!$C$11)</f>
        <v>0</v>
      </c>
      <c r="I299" s="52">
        <f>IF(G299="",0,IF(shp=1,IF(AND(ABS(SIN(H299))&gt;0.0000001,MAX(1,hthan*500-'KT THAN'!$D$12)*ABS(COS(H299))/ABS(SIN(H299))&lt;=MAX(0,(bthan-hthan)*500)),MAX(1,hthan*500-'KT THAN'!$D$12)/ABS(SIN(H299)),MAX(0,(bthan-hthan)*500)*ABS(COS(H299))+SQRT(MAX(0,MAX(1,hthan*500-'KT THAN'!$D$12)^2-MAX(0,(bthan-hthan)*500)^2*SIN(H299)^2))),MIN((bthan*500-'KT THAN'!$D$12)/MAX(0.0000001,ABS(COS(H299))),(hthan*500-'KT THAN'!$D$12)/MAX(0.0000001,ABS(SIN(H299)))))*COS(H299))</f>
        <v>0</v>
      </c>
      <c r="J299" s="52">
        <f>IF(G299="",0,IF(shp=1,IF(AND(ABS(SIN(H299))&gt;0.0000001,MAX(1,hthan*500-'KT THAN'!$D$12)*ABS(COS(H299))/ABS(SIN(H299))&lt;=MAX(0,(bthan-hthan)*500)),MAX(1,hthan*500-'KT THAN'!$D$12)/ABS(SIN(H299)),MAX(0,(bthan-hthan)*500)*ABS(COS(H299))+SQRT(MAX(0,MAX(1,hthan*500-'KT THAN'!$D$12)^2-MAX(0,(bthan-hthan)*500)^2*SIN(H299)^2))),MIN((bthan*500-'KT THAN'!$D$12)/MAX(0.0000001,ABS(COS(H299))),(hthan*500-'KT THAN'!$D$12)/MAX(0.0000001,ABS(SIN(H299)))))*SIN(H299))</f>
        <v>0</v>
      </c>
      <c r="K299" s="52">
        <f>IF(G299="",0,'KT THAN'!$D$11/'KT THAN'!$C$11)</f>
        <v>0</v>
      </c>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row>
    <row r="300" spans="1:40" x14ac:dyDescent="0.3">
      <c r="A300" s="52">
        <v>295</v>
      </c>
      <c r="B300" s="52">
        <f>-bthan*500+(44+0.5)*bthan*1000/50</f>
        <v>2145</v>
      </c>
      <c r="C300" s="52">
        <f t="shared" si="93"/>
        <v>-690</v>
      </c>
      <c r="D300" s="52">
        <f t="shared" si="91"/>
        <v>2200</v>
      </c>
      <c r="E300" s="52">
        <f t="shared" si="92"/>
        <v>1</v>
      </c>
      <c r="F300" s="52"/>
      <c r="G300" s="52" t="str">
        <f>IF(295&lt;='KT THAN'!$C$11,295,"")</f>
        <v/>
      </c>
      <c r="H300" s="52">
        <f>IF(G300="",0,2*PI()*(G300-0.5)/'KT THAN'!$C$11)</f>
        <v>0</v>
      </c>
      <c r="I300" s="52">
        <f>IF(G300="",0,IF(shp=1,IF(AND(ABS(SIN(H300))&gt;0.0000001,MAX(1,hthan*500-'KT THAN'!$D$12)*ABS(COS(H300))/ABS(SIN(H300))&lt;=MAX(0,(bthan-hthan)*500)),MAX(1,hthan*500-'KT THAN'!$D$12)/ABS(SIN(H300)),MAX(0,(bthan-hthan)*500)*ABS(COS(H300))+SQRT(MAX(0,MAX(1,hthan*500-'KT THAN'!$D$12)^2-MAX(0,(bthan-hthan)*500)^2*SIN(H300)^2))),MIN((bthan*500-'KT THAN'!$D$12)/MAX(0.0000001,ABS(COS(H300))),(hthan*500-'KT THAN'!$D$12)/MAX(0.0000001,ABS(SIN(H300)))))*COS(H300))</f>
        <v>0</v>
      </c>
      <c r="J300" s="52">
        <f>IF(G300="",0,IF(shp=1,IF(AND(ABS(SIN(H300))&gt;0.0000001,MAX(1,hthan*500-'KT THAN'!$D$12)*ABS(COS(H300))/ABS(SIN(H300))&lt;=MAX(0,(bthan-hthan)*500)),MAX(1,hthan*500-'KT THAN'!$D$12)/ABS(SIN(H300)),MAX(0,(bthan-hthan)*500)*ABS(COS(H300))+SQRT(MAX(0,MAX(1,hthan*500-'KT THAN'!$D$12)^2-MAX(0,(bthan-hthan)*500)^2*SIN(H300)^2))),MIN((bthan*500-'KT THAN'!$D$12)/MAX(0.0000001,ABS(COS(H300))),(hthan*500-'KT THAN'!$D$12)/MAX(0.0000001,ABS(SIN(H300)))))*SIN(H300))</f>
        <v>0</v>
      </c>
      <c r="K300" s="52">
        <f>IF(G300="",0,'KT THAN'!$D$11/'KT THAN'!$C$11)</f>
        <v>0</v>
      </c>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row>
    <row r="301" spans="1:40" x14ac:dyDescent="0.3">
      <c r="A301" s="52">
        <v>296</v>
      </c>
      <c r="B301" s="52">
        <f>-bthan*500+(45+0.5)*bthan*1000/50</f>
        <v>2255</v>
      </c>
      <c r="C301" s="52">
        <f t="shared" si="93"/>
        <v>-690</v>
      </c>
      <c r="D301" s="52">
        <f t="shared" si="91"/>
        <v>2200</v>
      </c>
      <c r="E301" s="52">
        <f t="shared" si="92"/>
        <v>1</v>
      </c>
      <c r="F301" s="52"/>
      <c r="G301" s="52" t="str">
        <f>IF(296&lt;='KT THAN'!$C$11,296,"")</f>
        <v/>
      </c>
      <c r="H301" s="52">
        <f>IF(G301="",0,2*PI()*(G301-0.5)/'KT THAN'!$C$11)</f>
        <v>0</v>
      </c>
      <c r="I301" s="52">
        <f>IF(G301="",0,IF(shp=1,IF(AND(ABS(SIN(H301))&gt;0.0000001,MAX(1,hthan*500-'KT THAN'!$D$12)*ABS(COS(H301))/ABS(SIN(H301))&lt;=MAX(0,(bthan-hthan)*500)),MAX(1,hthan*500-'KT THAN'!$D$12)/ABS(SIN(H301)),MAX(0,(bthan-hthan)*500)*ABS(COS(H301))+SQRT(MAX(0,MAX(1,hthan*500-'KT THAN'!$D$12)^2-MAX(0,(bthan-hthan)*500)^2*SIN(H301)^2))),MIN((bthan*500-'KT THAN'!$D$12)/MAX(0.0000001,ABS(COS(H301))),(hthan*500-'KT THAN'!$D$12)/MAX(0.0000001,ABS(SIN(H301)))))*COS(H301))</f>
        <v>0</v>
      </c>
      <c r="J301" s="52">
        <f>IF(G301="",0,IF(shp=1,IF(AND(ABS(SIN(H301))&gt;0.0000001,MAX(1,hthan*500-'KT THAN'!$D$12)*ABS(COS(H301))/ABS(SIN(H301))&lt;=MAX(0,(bthan-hthan)*500)),MAX(1,hthan*500-'KT THAN'!$D$12)/ABS(SIN(H301)),MAX(0,(bthan-hthan)*500)*ABS(COS(H301))+SQRT(MAX(0,MAX(1,hthan*500-'KT THAN'!$D$12)^2-MAX(0,(bthan-hthan)*500)^2*SIN(H301)^2))),MIN((bthan*500-'KT THAN'!$D$12)/MAX(0.0000001,ABS(COS(H301))),(hthan*500-'KT THAN'!$D$12)/MAX(0.0000001,ABS(SIN(H301)))))*SIN(H301))</f>
        <v>0</v>
      </c>
      <c r="K301" s="52">
        <f>IF(G301="",0,'KT THAN'!$D$11/'KT THAN'!$C$11)</f>
        <v>0</v>
      </c>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row>
    <row r="302" spans="1:40" x14ac:dyDescent="0.3">
      <c r="A302" s="52">
        <v>297</v>
      </c>
      <c r="B302" s="52">
        <f>-bthan*500+(46+0.5)*bthan*1000/50</f>
        <v>2365</v>
      </c>
      <c r="C302" s="52">
        <f t="shared" si="93"/>
        <v>-690</v>
      </c>
      <c r="D302" s="52">
        <f t="shared" si="91"/>
        <v>2200</v>
      </c>
      <c r="E302" s="52">
        <f t="shared" si="92"/>
        <v>0</v>
      </c>
      <c r="F302" s="52"/>
      <c r="G302" s="52" t="str">
        <f>IF(297&lt;='KT THAN'!$C$11,297,"")</f>
        <v/>
      </c>
      <c r="H302" s="52">
        <f>IF(G302="",0,2*PI()*(G302-0.5)/'KT THAN'!$C$11)</f>
        <v>0</v>
      </c>
      <c r="I302" s="52">
        <f>IF(G302="",0,IF(shp=1,IF(AND(ABS(SIN(H302))&gt;0.0000001,MAX(1,hthan*500-'KT THAN'!$D$12)*ABS(COS(H302))/ABS(SIN(H302))&lt;=MAX(0,(bthan-hthan)*500)),MAX(1,hthan*500-'KT THAN'!$D$12)/ABS(SIN(H302)),MAX(0,(bthan-hthan)*500)*ABS(COS(H302))+SQRT(MAX(0,MAX(1,hthan*500-'KT THAN'!$D$12)^2-MAX(0,(bthan-hthan)*500)^2*SIN(H302)^2))),MIN((bthan*500-'KT THAN'!$D$12)/MAX(0.0000001,ABS(COS(H302))),(hthan*500-'KT THAN'!$D$12)/MAX(0.0000001,ABS(SIN(H302)))))*COS(H302))</f>
        <v>0</v>
      </c>
      <c r="J302" s="52">
        <f>IF(G302="",0,IF(shp=1,IF(AND(ABS(SIN(H302))&gt;0.0000001,MAX(1,hthan*500-'KT THAN'!$D$12)*ABS(COS(H302))/ABS(SIN(H302))&lt;=MAX(0,(bthan-hthan)*500)),MAX(1,hthan*500-'KT THAN'!$D$12)/ABS(SIN(H302)),MAX(0,(bthan-hthan)*500)*ABS(COS(H302))+SQRT(MAX(0,MAX(1,hthan*500-'KT THAN'!$D$12)^2-MAX(0,(bthan-hthan)*500)^2*SIN(H302)^2))),MIN((bthan*500-'KT THAN'!$D$12)/MAX(0.0000001,ABS(COS(H302))),(hthan*500-'KT THAN'!$D$12)/MAX(0.0000001,ABS(SIN(H302)))))*SIN(H302))</f>
        <v>0</v>
      </c>
      <c r="K302" s="52">
        <f>IF(G302="",0,'KT THAN'!$D$11/'KT THAN'!$C$11)</f>
        <v>0</v>
      </c>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row>
    <row r="303" spans="1:40" x14ac:dyDescent="0.3">
      <c r="A303" s="52">
        <v>298</v>
      </c>
      <c r="B303" s="52">
        <f>-bthan*500+(47+0.5)*bthan*1000/50</f>
        <v>2475</v>
      </c>
      <c r="C303" s="52">
        <f t="shared" si="93"/>
        <v>-690</v>
      </c>
      <c r="D303" s="52">
        <f t="shared" si="91"/>
        <v>2200</v>
      </c>
      <c r="E303" s="52">
        <f t="shared" si="92"/>
        <v>0</v>
      </c>
      <c r="F303" s="52"/>
      <c r="G303" s="52" t="str">
        <f>IF(298&lt;='KT THAN'!$C$11,298,"")</f>
        <v/>
      </c>
      <c r="H303" s="52">
        <f>IF(G303="",0,2*PI()*(G303-0.5)/'KT THAN'!$C$11)</f>
        <v>0</v>
      </c>
      <c r="I303" s="52">
        <f>IF(G303="",0,IF(shp=1,IF(AND(ABS(SIN(H303))&gt;0.0000001,MAX(1,hthan*500-'KT THAN'!$D$12)*ABS(COS(H303))/ABS(SIN(H303))&lt;=MAX(0,(bthan-hthan)*500)),MAX(1,hthan*500-'KT THAN'!$D$12)/ABS(SIN(H303)),MAX(0,(bthan-hthan)*500)*ABS(COS(H303))+SQRT(MAX(0,MAX(1,hthan*500-'KT THAN'!$D$12)^2-MAX(0,(bthan-hthan)*500)^2*SIN(H303)^2))),MIN((bthan*500-'KT THAN'!$D$12)/MAX(0.0000001,ABS(COS(H303))),(hthan*500-'KT THAN'!$D$12)/MAX(0.0000001,ABS(SIN(H303)))))*COS(H303))</f>
        <v>0</v>
      </c>
      <c r="J303" s="52">
        <f>IF(G303="",0,IF(shp=1,IF(AND(ABS(SIN(H303))&gt;0.0000001,MAX(1,hthan*500-'KT THAN'!$D$12)*ABS(COS(H303))/ABS(SIN(H303))&lt;=MAX(0,(bthan-hthan)*500)),MAX(1,hthan*500-'KT THAN'!$D$12)/ABS(SIN(H303)),MAX(0,(bthan-hthan)*500)*ABS(COS(H303))+SQRT(MAX(0,MAX(1,hthan*500-'KT THAN'!$D$12)^2-MAX(0,(bthan-hthan)*500)^2*SIN(H303)^2))),MIN((bthan*500-'KT THAN'!$D$12)/MAX(0.0000001,ABS(COS(H303))),(hthan*500-'KT THAN'!$D$12)/MAX(0.0000001,ABS(SIN(H303)))))*SIN(H303))</f>
        <v>0</v>
      </c>
      <c r="K303" s="52">
        <f>IF(G303="",0,'KT THAN'!$D$11/'KT THAN'!$C$11)</f>
        <v>0</v>
      </c>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row>
    <row r="304" spans="1:40" x14ac:dyDescent="0.3">
      <c r="A304" s="52">
        <v>299</v>
      </c>
      <c r="B304" s="52">
        <f>-bthan*500+(48+0.5)*bthan*1000/50</f>
        <v>2585</v>
      </c>
      <c r="C304" s="52">
        <f t="shared" si="93"/>
        <v>-690</v>
      </c>
      <c r="D304" s="52">
        <f t="shared" si="91"/>
        <v>2200</v>
      </c>
      <c r="E304" s="52">
        <f t="shared" si="92"/>
        <v>0</v>
      </c>
      <c r="F304" s="52"/>
      <c r="G304" s="52" t="str">
        <f>IF(299&lt;='KT THAN'!$C$11,299,"")</f>
        <v/>
      </c>
      <c r="H304" s="52">
        <f>IF(G304="",0,2*PI()*(G304-0.5)/'KT THAN'!$C$11)</f>
        <v>0</v>
      </c>
      <c r="I304" s="52">
        <f>IF(G304="",0,IF(shp=1,IF(AND(ABS(SIN(H304))&gt;0.0000001,MAX(1,hthan*500-'KT THAN'!$D$12)*ABS(COS(H304))/ABS(SIN(H304))&lt;=MAX(0,(bthan-hthan)*500)),MAX(1,hthan*500-'KT THAN'!$D$12)/ABS(SIN(H304)),MAX(0,(bthan-hthan)*500)*ABS(COS(H304))+SQRT(MAX(0,MAX(1,hthan*500-'KT THAN'!$D$12)^2-MAX(0,(bthan-hthan)*500)^2*SIN(H304)^2))),MIN((bthan*500-'KT THAN'!$D$12)/MAX(0.0000001,ABS(COS(H304))),(hthan*500-'KT THAN'!$D$12)/MAX(0.0000001,ABS(SIN(H304)))))*COS(H304))</f>
        <v>0</v>
      </c>
      <c r="J304" s="52">
        <f>IF(G304="",0,IF(shp=1,IF(AND(ABS(SIN(H304))&gt;0.0000001,MAX(1,hthan*500-'KT THAN'!$D$12)*ABS(COS(H304))/ABS(SIN(H304))&lt;=MAX(0,(bthan-hthan)*500)),MAX(1,hthan*500-'KT THAN'!$D$12)/ABS(SIN(H304)),MAX(0,(bthan-hthan)*500)*ABS(COS(H304))+SQRT(MAX(0,MAX(1,hthan*500-'KT THAN'!$D$12)^2-MAX(0,(bthan-hthan)*500)^2*SIN(H304)^2))),MIN((bthan*500-'KT THAN'!$D$12)/MAX(0.0000001,ABS(COS(H304))),(hthan*500-'KT THAN'!$D$12)/MAX(0.0000001,ABS(SIN(H304)))))*SIN(H304))</f>
        <v>0</v>
      </c>
      <c r="K304" s="52">
        <f>IF(G304="",0,'KT THAN'!$D$11/'KT THAN'!$C$11)</f>
        <v>0</v>
      </c>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row>
    <row r="305" spans="1:40" x14ac:dyDescent="0.3">
      <c r="A305" s="52">
        <v>300</v>
      </c>
      <c r="B305" s="52">
        <f>-bthan*500+(49+0.5)*bthan*1000/50</f>
        <v>2695</v>
      </c>
      <c r="C305" s="52">
        <f t="shared" si="93"/>
        <v>-690</v>
      </c>
      <c r="D305" s="52">
        <f t="shared" si="91"/>
        <v>2200</v>
      </c>
      <c r="E305" s="52">
        <f t="shared" si="92"/>
        <v>0</v>
      </c>
      <c r="F305" s="52"/>
      <c r="G305" s="52" t="str">
        <f>IF(300&lt;='KT THAN'!$C$11,300,"")</f>
        <v/>
      </c>
      <c r="H305" s="52">
        <f>IF(G305="",0,2*PI()*(G305-0.5)/'KT THAN'!$C$11)</f>
        <v>0</v>
      </c>
      <c r="I305" s="52">
        <f>IF(G305="",0,IF(shp=1,IF(AND(ABS(SIN(H305))&gt;0.0000001,MAX(1,hthan*500-'KT THAN'!$D$12)*ABS(COS(H305))/ABS(SIN(H305))&lt;=MAX(0,(bthan-hthan)*500)),MAX(1,hthan*500-'KT THAN'!$D$12)/ABS(SIN(H305)),MAX(0,(bthan-hthan)*500)*ABS(COS(H305))+SQRT(MAX(0,MAX(1,hthan*500-'KT THAN'!$D$12)^2-MAX(0,(bthan-hthan)*500)^2*SIN(H305)^2))),MIN((bthan*500-'KT THAN'!$D$12)/MAX(0.0000001,ABS(COS(H305))),(hthan*500-'KT THAN'!$D$12)/MAX(0.0000001,ABS(SIN(H305)))))*COS(H305))</f>
        <v>0</v>
      </c>
      <c r="J305" s="52">
        <f>IF(G305="",0,IF(shp=1,IF(AND(ABS(SIN(H305))&gt;0.0000001,MAX(1,hthan*500-'KT THAN'!$D$12)*ABS(COS(H305))/ABS(SIN(H305))&lt;=MAX(0,(bthan-hthan)*500)),MAX(1,hthan*500-'KT THAN'!$D$12)/ABS(SIN(H305)),MAX(0,(bthan-hthan)*500)*ABS(COS(H305))+SQRT(MAX(0,MAX(1,hthan*500-'KT THAN'!$D$12)^2-MAX(0,(bthan-hthan)*500)^2*SIN(H305)^2))),MIN((bthan*500-'KT THAN'!$D$12)/MAX(0.0000001,ABS(COS(H305))),(hthan*500-'KT THAN'!$D$12)/MAX(0.0000001,ABS(SIN(H305)))))*SIN(H305))</f>
        <v>0</v>
      </c>
      <c r="K305" s="52">
        <f>IF(G305="",0,'KT THAN'!$D$11/'KT THAN'!$C$11)</f>
        <v>0</v>
      </c>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row>
    <row r="306" spans="1:40" x14ac:dyDescent="0.3">
      <c r="A306" s="52">
        <v>301</v>
      </c>
      <c r="B306" s="52">
        <f>-bthan*500+(0+0.5)*bthan*1000/50</f>
        <v>-2695</v>
      </c>
      <c r="C306" s="52">
        <f t="shared" ref="C306:C337" si="94">-hthan*500+(6+0.5)*hthan*1000/80</f>
        <v>-670</v>
      </c>
      <c r="D306" s="52">
        <f t="shared" si="91"/>
        <v>2200</v>
      </c>
      <c r="E306" s="52">
        <f t="shared" si="92"/>
        <v>0</v>
      </c>
      <c r="F306" s="52"/>
      <c r="G306" s="52" t="str">
        <f>IF(301&lt;='KT THAN'!$C$11,301,"")</f>
        <v/>
      </c>
      <c r="H306" s="52">
        <f>IF(G306="",0,2*PI()*(G306-0.5)/'KT THAN'!$C$11)</f>
        <v>0</v>
      </c>
      <c r="I306" s="52">
        <f>IF(G306="",0,IF(shp=1,IF(AND(ABS(SIN(H306))&gt;0.0000001,MAX(1,hthan*500-'KT THAN'!$D$12)*ABS(COS(H306))/ABS(SIN(H306))&lt;=MAX(0,(bthan-hthan)*500)),MAX(1,hthan*500-'KT THAN'!$D$12)/ABS(SIN(H306)),MAX(0,(bthan-hthan)*500)*ABS(COS(H306))+SQRT(MAX(0,MAX(1,hthan*500-'KT THAN'!$D$12)^2-MAX(0,(bthan-hthan)*500)^2*SIN(H306)^2))),MIN((bthan*500-'KT THAN'!$D$12)/MAX(0.0000001,ABS(COS(H306))),(hthan*500-'KT THAN'!$D$12)/MAX(0.0000001,ABS(SIN(H306)))))*COS(H306))</f>
        <v>0</v>
      </c>
      <c r="J306" s="52">
        <f>IF(G306="",0,IF(shp=1,IF(AND(ABS(SIN(H306))&gt;0.0000001,MAX(1,hthan*500-'KT THAN'!$D$12)*ABS(COS(H306))/ABS(SIN(H306))&lt;=MAX(0,(bthan-hthan)*500)),MAX(1,hthan*500-'KT THAN'!$D$12)/ABS(SIN(H306)),MAX(0,(bthan-hthan)*500)*ABS(COS(H306))+SQRT(MAX(0,MAX(1,hthan*500-'KT THAN'!$D$12)^2-MAX(0,(bthan-hthan)*500)^2*SIN(H306)^2))),MIN((bthan*500-'KT THAN'!$D$12)/MAX(0.0000001,ABS(COS(H306))),(hthan*500-'KT THAN'!$D$12)/MAX(0.0000001,ABS(SIN(H306)))))*SIN(H306))</f>
        <v>0</v>
      </c>
      <c r="K306" s="52">
        <f>IF(G306="",0,'KT THAN'!$D$11/'KT THAN'!$C$11)</f>
        <v>0</v>
      </c>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row>
    <row r="307" spans="1:40" x14ac:dyDescent="0.3">
      <c r="A307" s="52">
        <v>302</v>
      </c>
      <c r="B307" s="52">
        <f>-bthan*500+(1+0.5)*bthan*1000/50</f>
        <v>-2585</v>
      </c>
      <c r="C307" s="52">
        <f t="shared" si="94"/>
        <v>-670</v>
      </c>
      <c r="D307" s="52">
        <f t="shared" si="91"/>
        <v>2200</v>
      </c>
      <c r="E307" s="52">
        <f t="shared" si="92"/>
        <v>0</v>
      </c>
      <c r="F307" s="52"/>
      <c r="G307" s="52" t="str">
        <f>IF(302&lt;='KT THAN'!$C$11,302,"")</f>
        <v/>
      </c>
      <c r="H307" s="52">
        <f>IF(G307="",0,2*PI()*(G307-0.5)/'KT THAN'!$C$11)</f>
        <v>0</v>
      </c>
      <c r="I307" s="52">
        <f>IF(G307="",0,IF(shp=1,IF(AND(ABS(SIN(H307))&gt;0.0000001,MAX(1,hthan*500-'KT THAN'!$D$12)*ABS(COS(H307))/ABS(SIN(H307))&lt;=MAX(0,(bthan-hthan)*500)),MAX(1,hthan*500-'KT THAN'!$D$12)/ABS(SIN(H307)),MAX(0,(bthan-hthan)*500)*ABS(COS(H307))+SQRT(MAX(0,MAX(1,hthan*500-'KT THAN'!$D$12)^2-MAX(0,(bthan-hthan)*500)^2*SIN(H307)^2))),MIN((bthan*500-'KT THAN'!$D$12)/MAX(0.0000001,ABS(COS(H307))),(hthan*500-'KT THAN'!$D$12)/MAX(0.0000001,ABS(SIN(H307)))))*COS(H307))</f>
        <v>0</v>
      </c>
      <c r="J307" s="52">
        <f>IF(G307="",0,IF(shp=1,IF(AND(ABS(SIN(H307))&gt;0.0000001,MAX(1,hthan*500-'KT THAN'!$D$12)*ABS(COS(H307))/ABS(SIN(H307))&lt;=MAX(0,(bthan-hthan)*500)),MAX(1,hthan*500-'KT THAN'!$D$12)/ABS(SIN(H307)),MAX(0,(bthan-hthan)*500)*ABS(COS(H307))+SQRT(MAX(0,MAX(1,hthan*500-'KT THAN'!$D$12)^2-MAX(0,(bthan-hthan)*500)^2*SIN(H307)^2))),MIN((bthan*500-'KT THAN'!$D$12)/MAX(0.0000001,ABS(COS(H307))),(hthan*500-'KT THAN'!$D$12)/MAX(0.0000001,ABS(SIN(H307)))))*SIN(H307))</f>
        <v>0</v>
      </c>
      <c r="K307" s="52">
        <f>IF(G307="",0,'KT THAN'!$D$11/'KT THAN'!$C$11)</f>
        <v>0</v>
      </c>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row>
    <row r="308" spans="1:40" x14ac:dyDescent="0.3">
      <c r="A308" s="52">
        <v>303</v>
      </c>
      <c r="B308" s="52">
        <f>-bthan*500+(2+0.5)*bthan*1000/50</f>
        <v>-2475</v>
      </c>
      <c r="C308" s="52">
        <f t="shared" si="94"/>
        <v>-670</v>
      </c>
      <c r="D308" s="52">
        <f t="shared" si="91"/>
        <v>2200</v>
      </c>
      <c r="E308" s="52">
        <f t="shared" si="92"/>
        <v>0</v>
      </c>
      <c r="F308" s="52"/>
      <c r="G308" s="52" t="str">
        <f>IF(303&lt;='KT THAN'!$C$11,303,"")</f>
        <v/>
      </c>
      <c r="H308" s="52">
        <f>IF(G308="",0,2*PI()*(G308-0.5)/'KT THAN'!$C$11)</f>
        <v>0</v>
      </c>
      <c r="I308" s="52">
        <f>IF(G308="",0,IF(shp=1,IF(AND(ABS(SIN(H308))&gt;0.0000001,MAX(1,hthan*500-'KT THAN'!$D$12)*ABS(COS(H308))/ABS(SIN(H308))&lt;=MAX(0,(bthan-hthan)*500)),MAX(1,hthan*500-'KT THAN'!$D$12)/ABS(SIN(H308)),MAX(0,(bthan-hthan)*500)*ABS(COS(H308))+SQRT(MAX(0,MAX(1,hthan*500-'KT THAN'!$D$12)^2-MAX(0,(bthan-hthan)*500)^2*SIN(H308)^2))),MIN((bthan*500-'KT THAN'!$D$12)/MAX(0.0000001,ABS(COS(H308))),(hthan*500-'KT THAN'!$D$12)/MAX(0.0000001,ABS(SIN(H308)))))*COS(H308))</f>
        <v>0</v>
      </c>
      <c r="J308" s="52">
        <f>IF(G308="",0,IF(shp=1,IF(AND(ABS(SIN(H308))&gt;0.0000001,MAX(1,hthan*500-'KT THAN'!$D$12)*ABS(COS(H308))/ABS(SIN(H308))&lt;=MAX(0,(bthan-hthan)*500)),MAX(1,hthan*500-'KT THAN'!$D$12)/ABS(SIN(H308)),MAX(0,(bthan-hthan)*500)*ABS(COS(H308))+SQRT(MAX(0,MAX(1,hthan*500-'KT THAN'!$D$12)^2-MAX(0,(bthan-hthan)*500)^2*SIN(H308)^2))),MIN((bthan*500-'KT THAN'!$D$12)/MAX(0.0000001,ABS(COS(H308))),(hthan*500-'KT THAN'!$D$12)/MAX(0.0000001,ABS(SIN(H308)))))*SIN(H308))</f>
        <v>0</v>
      </c>
      <c r="K308" s="52">
        <f>IF(G308="",0,'KT THAN'!$D$11/'KT THAN'!$C$11)</f>
        <v>0</v>
      </c>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row>
    <row r="309" spans="1:40" x14ac:dyDescent="0.3">
      <c r="A309" s="52">
        <v>304</v>
      </c>
      <c r="B309" s="52">
        <f>-bthan*500+(3+0.5)*bthan*1000/50</f>
        <v>-2365</v>
      </c>
      <c r="C309" s="52">
        <f t="shared" si="94"/>
        <v>-670</v>
      </c>
      <c r="D309" s="52">
        <f t="shared" si="91"/>
        <v>2200</v>
      </c>
      <c r="E309" s="52">
        <f t="shared" si="92"/>
        <v>1</v>
      </c>
      <c r="F309" s="52"/>
      <c r="G309" s="52" t="str">
        <f>IF(304&lt;='KT THAN'!$C$11,304,"")</f>
        <v/>
      </c>
      <c r="H309" s="52">
        <f>IF(G309="",0,2*PI()*(G309-0.5)/'KT THAN'!$C$11)</f>
        <v>0</v>
      </c>
      <c r="I309" s="52">
        <f>IF(G309="",0,IF(shp=1,IF(AND(ABS(SIN(H309))&gt;0.0000001,MAX(1,hthan*500-'KT THAN'!$D$12)*ABS(COS(H309))/ABS(SIN(H309))&lt;=MAX(0,(bthan-hthan)*500)),MAX(1,hthan*500-'KT THAN'!$D$12)/ABS(SIN(H309)),MAX(0,(bthan-hthan)*500)*ABS(COS(H309))+SQRT(MAX(0,MAX(1,hthan*500-'KT THAN'!$D$12)^2-MAX(0,(bthan-hthan)*500)^2*SIN(H309)^2))),MIN((bthan*500-'KT THAN'!$D$12)/MAX(0.0000001,ABS(COS(H309))),(hthan*500-'KT THAN'!$D$12)/MAX(0.0000001,ABS(SIN(H309)))))*COS(H309))</f>
        <v>0</v>
      </c>
      <c r="J309" s="52">
        <f>IF(G309="",0,IF(shp=1,IF(AND(ABS(SIN(H309))&gt;0.0000001,MAX(1,hthan*500-'KT THAN'!$D$12)*ABS(COS(H309))/ABS(SIN(H309))&lt;=MAX(0,(bthan-hthan)*500)),MAX(1,hthan*500-'KT THAN'!$D$12)/ABS(SIN(H309)),MAX(0,(bthan-hthan)*500)*ABS(COS(H309))+SQRT(MAX(0,MAX(1,hthan*500-'KT THAN'!$D$12)^2-MAX(0,(bthan-hthan)*500)^2*SIN(H309)^2))),MIN((bthan*500-'KT THAN'!$D$12)/MAX(0.0000001,ABS(COS(H309))),(hthan*500-'KT THAN'!$D$12)/MAX(0.0000001,ABS(SIN(H309)))))*SIN(H309))</f>
        <v>0</v>
      </c>
      <c r="K309" s="52">
        <f>IF(G309="",0,'KT THAN'!$D$11/'KT THAN'!$C$11)</f>
        <v>0</v>
      </c>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row>
    <row r="310" spans="1:40" x14ac:dyDescent="0.3">
      <c r="A310" s="52">
        <v>305</v>
      </c>
      <c r="B310" s="52">
        <f>-bthan*500+(4+0.5)*bthan*1000/50</f>
        <v>-2255</v>
      </c>
      <c r="C310" s="52">
        <f t="shared" si="94"/>
        <v>-670</v>
      </c>
      <c r="D310" s="52">
        <f t="shared" si="91"/>
        <v>2200</v>
      </c>
      <c r="E310" s="52">
        <f t="shared" si="92"/>
        <v>1</v>
      </c>
      <c r="F310" s="52"/>
      <c r="G310" s="52" t="str">
        <f>IF(305&lt;='KT THAN'!$C$11,305,"")</f>
        <v/>
      </c>
      <c r="H310" s="52">
        <f>IF(G310="",0,2*PI()*(G310-0.5)/'KT THAN'!$C$11)</f>
        <v>0</v>
      </c>
      <c r="I310" s="52">
        <f>IF(G310="",0,IF(shp=1,IF(AND(ABS(SIN(H310))&gt;0.0000001,MAX(1,hthan*500-'KT THAN'!$D$12)*ABS(COS(H310))/ABS(SIN(H310))&lt;=MAX(0,(bthan-hthan)*500)),MAX(1,hthan*500-'KT THAN'!$D$12)/ABS(SIN(H310)),MAX(0,(bthan-hthan)*500)*ABS(COS(H310))+SQRT(MAX(0,MAX(1,hthan*500-'KT THAN'!$D$12)^2-MAX(0,(bthan-hthan)*500)^2*SIN(H310)^2))),MIN((bthan*500-'KT THAN'!$D$12)/MAX(0.0000001,ABS(COS(H310))),(hthan*500-'KT THAN'!$D$12)/MAX(0.0000001,ABS(SIN(H310)))))*COS(H310))</f>
        <v>0</v>
      </c>
      <c r="J310" s="52">
        <f>IF(G310="",0,IF(shp=1,IF(AND(ABS(SIN(H310))&gt;0.0000001,MAX(1,hthan*500-'KT THAN'!$D$12)*ABS(COS(H310))/ABS(SIN(H310))&lt;=MAX(0,(bthan-hthan)*500)),MAX(1,hthan*500-'KT THAN'!$D$12)/ABS(SIN(H310)),MAX(0,(bthan-hthan)*500)*ABS(COS(H310))+SQRT(MAX(0,MAX(1,hthan*500-'KT THAN'!$D$12)^2-MAX(0,(bthan-hthan)*500)^2*SIN(H310)^2))),MIN((bthan*500-'KT THAN'!$D$12)/MAX(0.0000001,ABS(COS(H310))),(hthan*500-'KT THAN'!$D$12)/MAX(0.0000001,ABS(SIN(H310)))))*SIN(H310))</f>
        <v>0</v>
      </c>
      <c r="K310" s="52">
        <f>IF(G310="",0,'KT THAN'!$D$11/'KT THAN'!$C$11)</f>
        <v>0</v>
      </c>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row>
    <row r="311" spans="1:40" x14ac:dyDescent="0.3">
      <c r="A311" s="52">
        <v>306</v>
      </c>
      <c r="B311" s="52">
        <f>-bthan*500+(5+0.5)*bthan*1000/50</f>
        <v>-2145</v>
      </c>
      <c r="C311" s="52">
        <f t="shared" si="94"/>
        <v>-670</v>
      </c>
      <c r="D311" s="52">
        <f t="shared" si="91"/>
        <v>2200</v>
      </c>
      <c r="E311" s="52">
        <f t="shared" si="92"/>
        <v>1</v>
      </c>
      <c r="F311" s="52"/>
      <c r="G311" s="52" t="str">
        <f>IF(306&lt;='KT THAN'!$C$11,306,"")</f>
        <v/>
      </c>
      <c r="H311" s="52">
        <f>IF(G311="",0,2*PI()*(G311-0.5)/'KT THAN'!$C$11)</f>
        <v>0</v>
      </c>
      <c r="I311" s="52">
        <f>IF(G311="",0,IF(shp=1,IF(AND(ABS(SIN(H311))&gt;0.0000001,MAX(1,hthan*500-'KT THAN'!$D$12)*ABS(COS(H311))/ABS(SIN(H311))&lt;=MAX(0,(bthan-hthan)*500)),MAX(1,hthan*500-'KT THAN'!$D$12)/ABS(SIN(H311)),MAX(0,(bthan-hthan)*500)*ABS(COS(H311))+SQRT(MAX(0,MAX(1,hthan*500-'KT THAN'!$D$12)^2-MAX(0,(bthan-hthan)*500)^2*SIN(H311)^2))),MIN((bthan*500-'KT THAN'!$D$12)/MAX(0.0000001,ABS(COS(H311))),(hthan*500-'KT THAN'!$D$12)/MAX(0.0000001,ABS(SIN(H311)))))*COS(H311))</f>
        <v>0</v>
      </c>
      <c r="J311" s="52">
        <f>IF(G311="",0,IF(shp=1,IF(AND(ABS(SIN(H311))&gt;0.0000001,MAX(1,hthan*500-'KT THAN'!$D$12)*ABS(COS(H311))/ABS(SIN(H311))&lt;=MAX(0,(bthan-hthan)*500)),MAX(1,hthan*500-'KT THAN'!$D$12)/ABS(SIN(H311)),MAX(0,(bthan-hthan)*500)*ABS(COS(H311))+SQRT(MAX(0,MAX(1,hthan*500-'KT THAN'!$D$12)^2-MAX(0,(bthan-hthan)*500)^2*SIN(H311)^2))),MIN((bthan*500-'KT THAN'!$D$12)/MAX(0.0000001,ABS(COS(H311))),(hthan*500-'KT THAN'!$D$12)/MAX(0.0000001,ABS(SIN(H311)))))*SIN(H311))</f>
        <v>0</v>
      </c>
      <c r="K311" s="52">
        <f>IF(G311="",0,'KT THAN'!$D$11/'KT THAN'!$C$11)</f>
        <v>0</v>
      </c>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row>
    <row r="312" spans="1:40" x14ac:dyDescent="0.3">
      <c r="A312" s="52">
        <v>307</v>
      </c>
      <c r="B312" s="52">
        <f>-bthan*500+(6+0.5)*bthan*1000/50</f>
        <v>-2035</v>
      </c>
      <c r="C312" s="52">
        <f t="shared" si="94"/>
        <v>-670</v>
      </c>
      <c r="D312" s="52">
        <f t="shared" si="91"/>
        <v>2200</v>
      </c>
      <c r="E312" s="52">
        <f t="shared" si="92"/>
        <v>1</v>
      </c>
      <c r="F312" s="52"/>
      <c r="G312" s="52" t="str">
        <f>IF(307&lt;='KT THAN'!$C$11,307,"")</f>
        <v/>
      </c>
      <c r="H312" s="52">
        <f>IF(G312="",0,2*PI()*(G312-0.5)/'KT THAN'!$C$11)</f>
        <v>0</v>
      </c>
      <c r="I312" s="52">
        <f>IF(G312="",0,IF(shp=1,IF(AND(ABS(SIN(H312))&gt;0.0000001,MAX(1,hthan*500-'KT THAN'!$D$12)*ABS(COS(H312))/ABS(SIN(H312))&lt;=MAX(0,(bthan-hthan)*500)),MAX(1,hthan*500-'KT THAN'!$D$12)/ABS(SIN(H312)),MAX(0,(bthan-hthan)*500)*ABS(COS(H312))+SQRT(MAX(0,MAX(1,hthan*500-'KT THAN'!$D$12)^2-MAX(0,(bthan-hthan)*500)^2*SIN(H312)^2))),MIN((bthan*500-'KT THAN'!$D$12)/MAX(0.0000001,ABS(COS(H312))),(hthan*500-'KT THAN'!$D$12)/MAX(0.0000001,ABS(SIN(H312)))))*COS(H312))</f>
        <v>0</v>
      </c>
      <c r="J312" s="52">
        <f>IF(G312="",0,IF(shp=1,IF(AND(ABS(SIN(H312))&gt;0.0000001,MAX(1,hthan*500-'KT THAN'!$D$12)*ABS(COS(H312))/ABS(SIN(H312))&lt;=MAX(0,(bthan-hthan)*500)),MAX(1,hthan*500-'KT THAN'!$D$12)/ABS(SIN(H312)),MAX(0,(bthan-hthan)*500)*ABS(COS(H312))+SQRT(MAX(0,MAX(1,hthan*500-'KT THAN'!$D$12)^2-MAX(0,(bthan-hthan)*500)^2*SIN(H312)^2))),MIN((bthan*500-'KT THAN'!$D$12)/MAX(0.0000001,ABS(COS(H312))),(hthan*500-'KT THAN'!$D$12)/MAX(0.0000001,ABS(SIN(H312)))))*SIN(H312))</f>
        <v>0</v>
      </c>
      <c r="K312" s="52">
        <f>IF(G312="",0,'KT THAN'!$D$11/'KT THAN'!$C$11)</f>
        <v>0</v>
      </c>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row>
    <row r="313" spans="1:40" x14ac:dyDescent="0.3">
      <c r="A313" s="52">
        <v>308</v>
      </c>
      <c r="B313" s="52">
        <f>-bthan*500+(7+0.5)*bthan*1000/50</f>
        <v>-1925</v>
      </c>
      <c r="C313" s="52">
        <f t="shared" si="94"/>
        <v>-670</v>
      </c>
      <c r="D313" s="52">
        <f t="shared" si="91"/>
        <v>2200</v>
      </c>
      <c r="E313" s="52">
        <f t="shared" si="92"/>
        <v>1</v>
      </c>
      <c r="F313" s="52"/>
      <c r="G313" s="52" t="str">
        <f>IF(308&lt;='KT THAN'!$C$11,308,"")</f>
        <v/>
      </c>
      <c r="H313" s="52">
        <f>IF(G313="",0,2*PI()*(G313-0.5)/'KT THAN'!$C$11)</f>
        <v>0</v>
      </c>
      <c r="I313" s="52">
        <f>IF(G313="",0,IF(shp=1,IF(AND(ABS(SIN(H313))&gt;0.0000001,MAX(1,hthan*500-'KT THAN'!$D$12)*ABS(COS(H313))/ABS(SIN(H313))&lt;=MAX(0,(bthan-hthan)*500)),MAX(1,hthan*500-'KT THAN'!$D$12)/ABS(SIN(H313)),MAX(0,(bthan-hthan)*500)*ABS(COS(H313))+SQRT(MAX(0,MAX(1,hthan*500-'KT THAN'!$D$12)^2-MAX(0,(bthan-hthan)*500)^2*SIN(H313)^2))),MIN((bthan*500-'KT THAN'!$D$12)/MAX(0.0000001,ABS(COS(H313))),(hthan*500-'KT THAN'!$D$12)/MAX(0.0000001,ABS(SIN(H313)))))*COS(H313))</f>
        <v>0</v>
      </c>
      <c r="J313" s="52">
        <f>IF(G313="",0,IF(shp=1,IF(AND(ABS(SIN(H313))&gt;0.0000001,MAX(1,hthan*500-'KT THAN'!$D$12)*ABS(COS(H313))/ABS(SIN(H313))&lt;=MAX(0,(bthan-hthan)*500)),MAX(1,hthan*500-'KT THAN'!$D$12)/ABS(SIN(H313)),MAX(0,(bthan-hthan)*500)*ABS(COS(H313))+SQRT(MAX(0,MAX(1,hthan*500-'KT THAN'!$D$12)^2-MAX(0,(bthan-hthan)*500)^2*SIN(H313)^2))),MIN((bthan*500-'KT THAN'!$D$12)/MAX(0.0000001,ABS(COS(H313))),(hthan*500-'KT THAN'!$D$12)/MAX(0.0000001,ABS(SIN(H313)))))*SIN(H313))</f>
        <v>0</v>
      </c>
      <c r="K313" s="52">
        <f>IF(G313="",0,'KT THAN'!$D$11/'KT THAN'!$C$11)</f>
        <v>0</v>
      </c>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row>
    <row r="314" spans="1:40" x14ac:dyDescent="0.3">
      <c r="A314" s="52">
        <v>309</v>
      </c>
      <c r="B314" s="52">
        <f>-bthan*500+(8+0.5)*bthan*1000/50</f>
        <v>-1815</v>
      </c>
      <c r="C314" s="52">
        <f t="shared" si="94"/>
        <v>-670</v>
      </c>
      <c r="D314" s="52">
        <f t="shared" si="91"/>
        <v>2200</v>
      </c>
      <c r="E314" s="52">
        <f t="shared" si="92"/>
        <v>1</v>
      </c>
      <c r="F314" s="52"/>
      <c r="G314" s="52" t="str">
        <f>IF(309&lt;='KT THAN'!$C$11,309,"")</f>
        <v/>
      </c>
      <c r="H314" s="52">
        <f>IF(G314="",0,2*PI()*(G314-0.5)/'KT THAN'!$C$11)</f>
        <v>0</v>
      </c>
      <c r="I314" s="52">
        <f>IF(G314="",0,IF(shp=1,IF(AND(ABS(SIN(H314))&gt;0.0000001,MAX(1,hthan*500-'KT THAN'!$D$12)*ABS(COS(H314))/ABS(SIN(H314))&lt;=MAX(0,(bthan-hthan)*500)),MAX(1,hthan*500-'KT THAN'!$D$12)/ABS(SIN(H314)),MAX(0,(bthan-hthan)*500)*ABS(COS(H314))+SQRT(MAX(0,MAX(1,hthan*500-'KT THAN'!$D$12)^2-MAX(0,(bthan-hthan)*500)^2*SIN(H314)^2))),MIN((bthan*500-'KT THAN'!$D$12)/MAX(0.0000001,ABS(COS(H314))),(hthan*500-'KT THAN'!$D$12)/MAX(0.0000001,ABS(SIN(H314)))))*COS(H314))</f>
        <v>0</v>
      </c>
      <c r="J314" s="52">
        <f>IF(G314="",0,IF(shp=1,IF(AND(ABS(SIN(H314))&gt;0.0000001,MAX(1,hthan*500-'KT THAN'!$D$12)*ABS(COS(H314))/ABS(SIN(H314))&lt;=MAX(0,(bthan-hthan)*500)),MAX(1,hthan*500-'KT THAN'!$D$12)/ABS(SIN(H314)),MAX(0,(bthan-hthan)*500)*ABS(COS(H314))+SQRT(MAX(0,MAX(1,hthan*500-'KT THAN'!$D$12)^2-MAX(0,(bthan-hthan)*500)^2*SIN(H314)^2))),MIN((bthan*500-'KT THAN'!$D$12)/MAX(0.0000001,ABS(COS(H314))),(hthan*500-'KT THAN'!$D$12)/MAX(0.0000001,ABS(SIN(H314)))))*SIN(H314))</f>
        <v>0</v>
      </c>
      <c r="K314" s="52">
        <f>IF(G314="",0,'KT THAN'!$D$11/'KT THAN'!$C$11)</f>
        <v>0</v>
      </c>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row>
    <row r="315" spans="1:40" x14ac:dyDescent="0.3">
      <c r="A315" s="52">
        <v>310</v>
      </c>
      <c r="B315" s="52">
        <f>-bthan*500+(9+0.5)*bthan*1000/50</f>
        <v>-1705</v>
      </c>
      <c r="C315" s="52">
        <f t="shared" si="94"/>
        <v>-670</v>
      </c>
      <c r="D315" s="52">
        <f t="shared" si="91"/>
        <v>2200</v>
      </c>
      <c r="E315" s="52">
        <f t="shared" si="92"/>
        <v>1</v>
      </c>
      <c r="F315" s="52"/>
      <c r="G315" s="52" t="str">
        <f>IF(310&lt;='KT THAN'!$C$11,310,"")</f>
        <v/>
      </c>
      <c r="H315" s="52">
        <f>IF(G315="",0,2*PI()*(G315-0.5)/'KT THAN'!$C$11)</f>
        <v>0</v>
      </c>
      <c r="I315" s="52">
        <f>IF(G315="",0,IF(shp=1,IF(AND(ABS(SIN(H315))&gt;0.0000001,MAX(1,hthan*500-'KT THAN'!$D$12)*ABS(COS(H315))/ABS(SIN(H315))&lt;=MAX(0,(bthan-hthan)*500)),MAX(1,hthan*500-'KT THAN'!$D$12)/ABS(SIN(H315)),MAX(0,(bthan-hthan)*500)*ABS(COS(H315))+SQRT(MAX(0,MAX(1,hthan*500-'KT THAN'!$D$12)^2-MAX(0,(bthan-hthan)*500)^2*SIN(H315)^2))),MIN((bthan*500-'KT THAN'!$D$12)/MAX(0.0000001,ABS(COS(H315))),(hthan*500-'KT THAN'!$D$12)/MAX(0.0000001,ABS(SIN(H315)))))*COS(H315))</f>
        <v>0</v>
      </c>
      <c r="J315" s="52">
        <f>IF(G315="",0,IF(shp=1,IF(AND(ABS(SIN(H315))&gt;0.0000001,MAX(1,hthan*500-'KT THAN'!$D$12)*ABS(COS(H315))/ABS(SIN(H315))&lt;=MAX(0,(bthan-hthan)*500)),MAX(1,hthan*500-'KT THAN'!$D$12)/ABS(SIN(H315)),MAX(0,(bthan-hthan)*500)*ABS(COS(H315))+SQRT(MAX(0,MAX(1,hthan*500-'KT THAN'!$D$12)^2-MAX(0,(bthan-hthan)*500)^2*SIN(H315)^2))),MIN((bthan*500-'KT THAN'!$D$12)/MAX(0.0000001,ABS(COS(H315))),(hthan*500-'KT THAN'!$D$12)/MAX(0.0000001,ABS(SIN(H315)))))*SIN(H315))</f>
        <v>0</v>
      </c>
      <c r="K315" s="52">
        <f>IF(G315="",0,'KT THAN'!$D$11/'KT THAN'!$C$11)</f>
        <v>0</v>
      </c>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row>
    <row r="316" spans="1:40" x14ac:dyDescent="0.3">
      <c r="A316" s="52">
        <v>311</v>
      </c>
      <c r="B316" s="52">
        <f>-bthan*500+(10+0.5)*bthan*1000/50</f>
        <v>-1595</v>
      </c>
      <c r="C316" s="52">
        <f t="shared" si="94"/>
        <v>-670</v>
      </c>
      <c r="D316" s="52">
        <f t="shared" si="91"/>
        <v>2200</v>
      </c>
      <c r="E316" s="52">
        <f t="shared" si="92"/>
        <v>1</v>
      </c>
      <c r="F316" s="52"/>
      <c r="G316" s="52" t="str">
        <f>IF(311&lt;='KT THAN'!$C$11,311,"")</f>
        <v/>
      </c>
      <c r="H316" s="52">
        <f>IF(G316="",0,2*PI()*(G316-0.5)/'KT THAN'!$C$11)</f>
        <v>0</v>
      </c>
      <c r="I316" s="52">
        <f>IF(G316="",0,IF(shp=1,IF(AND(ABS(SIN(H316))&gt;0.0000001,MAX(1,hthan*500-'KT THAN'!$D$12)*ABS(COS(H316))/ABS(SIN(H316))&lt;=MAX(0,(bthan-hthan)*500)),MAX(1,hthan*500-'KT THAN'!$D$12)/ABS(SIN(H316)),MAX(0,(bthan-hthan)*500)*ABS(COS(H316))+SQRT(MAX(0,MAX(1,hthan*500-'KT THAN'!$D$12)^2-MAX(0,(bthan-hthan)*500)^2*SIN(H316)^2))),MIN((bthan*500-'KT THAN'!$D$12)/MAX(0.0000001,ABS(COS(H316))),(hthan*500-'KT THAN'!$D$12)/MAX(0.0000001,ABS(SIN(H316)))))*COS(H316))</f>
        <v>0</v>
      </c>
      <c r="J316" s="52">
        <f>IF(G316="",0,IF(shp=1,IF(AND(ABS(SIN(H316))&gt;0.0000001,MAX(1,hthan*500-'KT THAN'!$D$12)*ABS(COS(H316))/ABS(SIN(H316))&lt;=MAX(0,(bthan-hthan)*500)),MAX(1,hthan*500-'KT THAN'!$D$12)/ABS(SIN(H316)),MAX(0,(bthan-hthan)*500)*ABS(COS(H316))+SQRT(MAX(0,MAX(1,hthan*500-'KT THAN'!$D$12)^2-MAX(0,(bthan-hthan)*500)^2*SIN(H316)^2))),MIN((bthan*500-'KT THAN'!$D$12)/MAX(0.0000001,ABS(COS(H316))),(hthan*500-'KT THAN'!$D$12)/MAX(0.0000001,ABS(SIN(H316)))))*SIN(H316))</f>
        <v>0</v>
      </c>
      <c r="K316" s="52">
        <f>IF(G316="",0,'KT THAN'!$D$11/'KT THAN'!$C$11)</f>
        <v>0</v>
      </c>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row>
    <row r="317" spans="1:40" x14ac:dyDescent="0.3">
      <c r="A317" s="52">
        <v>312</v>
      </c>
      <c r="B317" s="52">
        <f>-bthan*500+(11+0.5)*bthan*1000/50</f>
        <v>-1485</v>
      </c>
      <c r="C317" s="52">
        <f t="shared" si="94"/>
        <v>-670</v>
      </c>
      <c r="D317" s="52">
        <f t="shared" si="91"/>
        <v>2200</v>
      </c>
      <c r="E317" s="52">
        <f t="shared" si="92"/>
        <v>1</v>
      </c>
      <c r="F317" s="52"/>
      <c r="G317" s="52" t="str">
        <f>IF(312&lt;='KT THAN'!$C$11,312,"")</f>
        <v/>
      </c>
      <c r="H317" s="52">
        <f>IF(G317="",0,2*PI()*(G317-0.5)/'KT THAN'!$C$11)</f>
        <v>0</v>
      </c>
      <c r="I317" s="52">
        <f>IF(G317="",0,IF(shp=1,IF(AND(ABS(SIN(H317))&gt;0.0000001,MAX(1,hthan*500-'KT THAN'!$D$12)*ABS(COS(H317))/ABS(SIN(H317))&lt;=MAX(0,(bthan-hthan)*500)),MAX(1,hthan*500-'KT THAN'!$D$12)/ABS(SIN(H317)),MAX(0,(bthan-hthan)*500)*ABS(COS(H317))+SQRT(MAX(0,MAX(1,hthan*500-'KT THAN'!$D$12)^2-MAX(0,(bthan-hthan)*500)^2*SIN(H317)^2))),MIN((bthan*500-'KT THAN'!$D$12)/MAX(0.0000001,ABS(COS(H317))),(hthan*500-'KT THAN'!$D$12)/MAX(0.0000001,ABS(SIN(H317)))))*COS(H317))</f>
        <v>0</v>
      </c>
      <c r="J317" s="52">
        <f>IF(G317="",0,IF(shp=1,IF(AND(ABS(SIN(H317))&gt;0.0000001,MAX(1,hthan*500-'KT THAN'!$D$12)*ABS(COS(H317))/ABS(SIN(H317))&lt;=MAX(0,(bthan-hthan)*500)),MAX(1,hthan*500-'KT THAN'!$D$12)/ABS(SIN(H317)),MAX(0,(bthan-hthan)*500)*ABS(COS(H317))+SQRT(MAX(0,MAX(1,hthan*500-'KT THAN'!$D$12)^2-MAX(0,(bthan-hthan)*500)^2*SIN(H317)^2))),MIN((bthan*500-'KT THAN'!$D$12)/MAX(0.0000001,ABS(COS(H317))),(hthan*500-'KT THAN'!$D$12)/MAX(0.0000001,ABS(SIN(H317)))))*SIN(H317))</f>
        <v>0</v>
      </c>
      <c r="K317" s="52">
        <f>IF(G317="",0,'KT THAN'!$D$11/'KT THAN'!$C$11)</f>
        <v>0</v>
      </c>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row>
    <row r="318" spans="1:40" x14ac:dyDescent="0.3">
      <c r="A318" s="52">
        <v>313</v>
      </c>
      <c r="B318" s="52">
        <f>-bthan*500+(12+0.5)*bthan*1000/50</f>
        <v>-1375</v>
      </c>
      <c r="C318" s="52">
        <f t="shared" si="94"/>
        <v>-670</v>
      </c>
      <c r="D318" s="52">
        <f t="shared" si="91"/>
        <v>2200</v>
      </c>
      <c r="E318" s="52">
        <f t="shared" si="92"/>
        <v>1</v>
      </c>
      <c r="F318" s="52"/>
      <c r="G318" s="52" t="str">
        <f>IF(313&lt;='KT THAN'!$C$11,313,"")</f>
        <v/>
      </c>
      <c r="H318" s="52">
        <f>IF(G318="",0,2*PI()*(G318-0.5)/'KT THAN'!$C$11)</f>
        <v>0</v>
      </c>
      <c r="I318" s="52">
        <f>IF(G318="",0,IF(shp=1,IF(AND(ABS(SIN(H318))&gt;0.0000001,MAX(1,hthan*500-'KT THAN'!$D$12)*ABS(COS(H318))/ABS(SIN(H318))&lt;=MAX(0,(bthan-hthan)*500)),MAX(1,hthan*500-'KT THAN'!$D$12)/ABS(SIN(H318)),MAX(0,(bthan-hthan)*500)*ABS(COS(H318))+SQRT(MAX(0,MAX(1,hthan*500-'KT THAN'!$D$12)^2-MAX(0,(bthan-hthan)*500)^2*SIN(H318)^2))),MIN((bthan*500-'KT THAN'!$D$12)/MAX(0.0000001,ABS(COS(H318))),(hthan*500-'KT THAN'!$D$12)/MAX(0.0000001,ABS(SIN(H318)))))*COS(H318))</f>
        <v>0</v>
      </c>
      <c r="J318" s="52">
        <f>IF(G318="",0,IF(shp=1,IF(AND(ABS(SIN(H318))&gt;0.0000001,MAX(1,hthan*500-'KT THAN'!$D$12)*ABS(COS(H318))/ABS(SIN(H318))&lt;=MAX(0,(bthan-hthan)*500)),MAX(1,hthan*500-'KT THAN'!$D$12)/ABS(SIN(H318)),MAX(0,(bthan-hthan)*500)*ABS(COS(H318))+SQRT(MAX(0,MAX(1,hthan*500-'KT THAN'!$D$12)^2-MAX(0,(bthan-hthan)*500)^2*SIN(H318)^2))),MIN((bthan*500-'KT THAN'!$D$12)/MAX(0.0000001,ABS(COS(H318))),(hthan*500-'KT THAN'!$D$12)/MAX(0.0000001,ABS(SIN(H318)))))*SIN(H318))</f>
        <v>0</v>
      </c>
      <c r="K318" s="52">
        <f>IF(G318="",0,'KT THAN'!$D$11/'KT THAN'!$C$11)</f>
        <v>0</v>
      </c>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2"/>
      <c r="AK318" s="52"/>
      <c r="AL318" s="52"/>
      <c r="AM318" s="52"/>
      <c r="AN318" s="52"/>
    </row>
    <row r="319" spans="1:40" x14ac:dyDescent="0.3">
      <c r="A319" s="52">
        <v>314</v>
      </c>
      <c r="B319" s="52">
        <f>-bthan*500+(13+0.5)*bthan*1000/50</f>
        <v>-1265</v>
      </c>
      <c r="C319" s="52">
        <f t="shared" si="94"/>
        <v>-670</v>
      </c>
      <c r="D319" s="52">
        <f t="shared" si="91"/>
        <v>2200</v>
      </c>
      <c r="E319" s="52">
        <f t="shared" si="92"/>
        <v>1</v>
      </c>
      <c r="F319" s="52"/>
      <c r="G319" s="52" t="str">
        <f>IF(314&lt;='KT THAN'!$C$11,314,"")</f>
        <v/>
      </c>
      <c r="H319" s="52">
        <f>IF(G319="",0,2*PI()*(G319-0.5)/'KT THAN'!$C$11)</f>
        <v>0</v>
      </c>
      <c r="I319" s="52">
        <f>IF(G319="",0,IF(shp=1,IF(AND(ABS(SIN(H319))&gt;0.0000001,MAX(1,hthan*500-'KT THAN'!$D$12)*ABS(COS(H319))/ABS(SIN(H319))&lt;=MAX(0,(bthan-hthan)*500)),MAX(1,hthan*500-'KT THAN'!$D$12)/ABS(SIN(H319)),MAX(0,(bthan-hthan)*500)*ABS(COS(H319))+SQRT(MAX(0,MAX(1,hthan*500-'KT THAN'!$D$12)^2-MAX(0,(bthan-hthan)*500)^2*SIN(H319)^2))),MIN((bthan*500-'KT THAN'!$D$12)/MAX(0.0000001,ABS(COS(H319))),(hthan*500-'KT THAN'!$D$12)/MAX(0.0000001,ABS(SIN(H319)))))*COS(H319))</f>
        <v>0</v>
      </c>
      <c r="J319" s="52">
        <f>IF(G319="",0,IF(shp=1,IF(AND(ABS(SIN(H319))&gt;0.0000001,MAX(1,hthan*500-'KT THAN'!$D$12)*ABS(COS(H319))/ABS(SIN(H319))&lt;=MAX(0,(bthan-hthan)*500)),MAX(1,hthan*500-'KT THAN'!$D$12)/ABS(SIN(H319)),MAX(0,(bthan-hthan)*500)*ABS(COS(H319))+SQRT(MAX(0,MAX(1,hthan*500-'KT THAN'!$D$12)^2-MAX(0,(bthan-hthan)*500)^2*SIN(H319)^2))),MIN((bthan*500-'KT THAN'!$D$12)/MAX(0.0000001,ABS(COS(H319))),(hthan*500-'KT THAN'!$D$12)/MAX(0.0000001,ABS(SIN(H319)))))*SIN(H319))</f>
        <v>0</v>
      </c>
      <c r="K319" s="52">
        <f>IF(G319="",0,'KT THAN'!$D$11/'KT THAN'!$C$11)</f>
        <v>0</v>
      </c>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2"/>
      <c r="AK319" s="52"/>
      <c r="AL319" s="52"/>
      <c r="AM319" s="52"/>
      <c r="AN319" s="52"/>
    </row>
    <row r="320" spans="1:40" x14ac:dyDescent="0.3">
      <c r="A320" s="52">
        <v>315</v>
      </c>
      <c r="B320" s="52">
        <f>-bthan*500+(14+0.5)*bthan*1000/50</f>
        <v>-1155</v>
      </c>
      <c r="C320" s="52">
        <f t="shared" si="94"/>
        <v>-670</v>
      </c>
      <c r="D320" s="52">
        <f t="shared" si="91"/>
        <v>2200</v>
      </c>
      <c r="E320" s="52">
        <f t="shared" si="92"/>
        <v>1</v>
      </c>
      <c r="F320" s="52"/>
      <c r="G320" s="52" t="str">
        <f>IF(315&lt;='KT THAN'!$C$11,315,"")</f>
        <v/>
      </c>
      <c r="H320" s="52">
        <f>IF(G320="",0,2*PI()*(G320-0.5)/'KT THAN'!$C$11)</f>
        <v>0</v>
      </c>
      <c r="I320" s="52">
        <f>IF(G320="",0,IF(shp=1,IF(AND(ABS(SIN(H320))&gt;0.0000001,MAX(1,hthan*500-'KT THAN'!$D$12)*ABS(COS(H320))/ABS(SIN(H320))&lt;=MAX(0,(bthan-hthan)*500)),MAX(1,hthan*500-'KT THAN'!$D$12)/ABS(SIN(H320)),MAX(0,(bthan-hthan)*500)*ABS(COS(H320))+SQRT(MAX(0,MAX(1,hthan*500-'KT THAN'!$D$12)^2-MAX(0,(bthan-hthan)*500)^2*SIN(H320)^2))),MIN((bthan*500-'KT THAN'!$D$12)/MAX(0.0000001,ABS(COS(H320))),(hthan*500-'KT THAN'!$D$12)/MAX(0.0000001,ABS(SIN(H320)))))*COS(H320))</f>
        <v>0</v>
      </c>
      <c r="J320" s="52">
        <f>IF(G320="",0,IF(shp=1,IF(AND(ABS(SIN(H320))&gt;0.0000001,MAX(1,hthan*500-'KT THAN'!$D$12)*ABS(COS(H320))/ABS(SIN(H320))&lt;=MAX(0,(bthan-hthan)*500)),MAX(1,hthan*500-'KT THAN'!$D$12)/ABS(SIN(H320)),MAX(0,(bthan-hthan)*500)*ABS(COS(H320))+SQRT(MAX(0,MAX(1,hthan*500-'KT THAN'!$D$12)^2-MAX(0,(bthan-hthan)*500)^2*SIN(H320)^2))),MIN((bthan*500-'KT THAN'!$D$12)/MAX(0.0000001,ABS(COS(H320))),(hthan*500-'KT THAN'!$D$12)/MAX(0.0000001,ABS(SIN(H320)))))*SIN(H320))</f>
        <v>0</v>
      </c>
      <c r="K320" s="52">
        <f>IF(G320="",0,'KT THAN'!$D$11/'KT THAN'!$C$11)</f>
        <v>0</v>
      </c>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2"/>
      <c r="AK320" s="52"/>
      <c r="AL320" s="52"/>
      <c r="AM320" s="52"/>
      <c r="AN320" s="52"/>
    </row>
    <row r="321" spans="1:40" x14ac:dyDescent="0.3">
      <c r="A321" s="52">
        <v>316</v>
      </c>
      <c r="B321" s="52">
        <f>-bthan*500+(15+0.5)*bthan*1000/50</f>
        <v>-1045</v>
      </c>
      <c r="C321" s="52">
        <f t="shared" si="94"/>
        <v>-670</v>
      </c>
      <c r="D321" s="52">
        <f t="shared" si="91"/>
        <v>2200</v>
      </c>
      <c r="E321" s="52">
        <f t="shared" si="92"/>
        <v>1</v>
      </c>
      <c r="F321" s="52"/>
      <c r="G321" s="52" t="str">
        <f>IF(316&lt;='KT THAN'!$C$11,316,"")</f>
        <v/>
      </c>
      <c r="H321" s="52">
        <f>IF(G321="",0,2*PI()*(G321-0.5)/'KT THAN'!$C$11)</f>
        <v>0</v>
      </c>
      <c r="I321" s="52">
        <f>IF(G321="",0,IF(shp=1,IF(AND(ABS(SIN(H321))&gt;0.0000001,MAX(1,hthan*500-'KT THAN'!$D$12)*ABS(COS(H321))/ABS(SIN(H321))&lt;=MAX(0,(bthan-hthan)*500)),MAX(1,hthan*500-'KT THAN'!$D$12)/ABS(SIN(H321)),MAX(0,(bthan-hthan)*500)*ABS(COS(H321))+SQRT(MAX(0,MAX(1,hthan*500-'KT THAN'!$D$12)^2-MAX(0,(bthan-hthan)*500)^2*SIN(H321)^2))),MIN((bthan*500-'KT THAN'!$D$12)/MAX(0.0000001,ABS(COS(H321))),(hthan*500-'KT THAN'!$D$12)/MAX(0.0000001,ABS(SIN(H321)))))*COS(H321))</f>
        <v>0</v>
      </c>
      <c r="J321" s="52">
        <f>IF(G321="",0,IF(shp=1,IF(AND(ABS(SIN(H321))&gt;0.0000001,MAX(1,hthan*500-'KT THAN'!$D$12)*ABS(COS(H321))/ABS(SIN(H321))&lt;=MAX(0,(bthan-hthan)*500)),MAX(1,hthan*500-'KT THAN'!$D$12)/ABS(SIN(H321)),MAX(0,(bthan-hthan)*500)*ABS(COS(H321))+SQRT(MAX(0,MAX(1,hthan*500-'KT THAN'!$D$12)^2-MAX(0,(bthan-hthan)*500)^2*SIN(H321)^2))),MIN((bthan*500-'KT THAN'!$D$12)/MAX(0.0000001,ABS(COS(H321))),(hthan*500-'KT THAN'!$D$12)/MAX(0.0000001,ABS(SIN(H321)))))*SIN(H321))</f>
        <v>0</v>
      </c>
      <c r="K321" s="52">
        <f>IF(G321="",0,'KT THAN'!$D$11/'KT THAN'!$C$11)</f>
        <v>0</v>
      </c>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2"/>
      <c r="AK321" s="52"/>
      <c r="AL321" s="52"/>
      <c r="AM321" s="52"/>
      <c r="AN321" s="52"/>
    </row>
    <row r="322" spans="1:40" x14ac:dyDescent="0.3">
      <c r="A322" s="52">
        <v>317</v>
      </c>
      <c r="B322" s="52">
        <f>-bthan*500+(16+0.5)*bthan*1000/50</f>
        <v>-935</v>
      </c>
      <c r="C322" s="52">
        <f t="shared" si="94"/>
        <v>-670</v>
      </c>
      <c r="D322" s="52">
        <f t="shared" si="91"/>
        <v>2200</v>
      </c>
      <c r="E322" s="52">
        <f t="shared" si="92"/>
        <v>1</v>
      </c>
      <c r="F322" s="52"/>
      <c r="G322" s="52" t="str">
        <f>IF(317&lt;='KT THAN'!$C$11,317,"")</f>
        <v/>
      </c>
      <c r="H322" s="52">
        <f>IF(G322="",0,2*PI()*(G322-0.5)/'KT THAN'!$C$11)</f>
        <v>0</v>
      </c>
      <c r="I322" s="52">
        <f>IF(G322="",0,IF(shp=1,IF(AND(ABS(SIN(H322))&gt;0.0000001,MAX(1,hthan*500-'KT THAN'!$D$12)*ABS(COS(H322))/ABS(SIN(H322))&lt;=MAX(0,(bthan-hthan)*500)),MAX(1,hthan*500-'KT THAN'!$D$12)/ABS(SIN(H322)),MAX(0,(bthan-hthan)*500)*ABS(COS(H322))+SQRT(MAX(0,MAX(1,hthan*500-'KT THAN'!$D$12)^2-MAX(0,(bthan-hthan)*500)^2*SIN(H322)^2))),MIN((bthan*500-'KT THAN'!$D$12)/MAX(0.0000001,ABS(COS(H322))),(hthan*500-'KT THAN'!$D$12)/MAX(0.0000001,ABS(SIN(H322)))))*COS(H322))</f>
        <v>0</v>
      </c>
      <c r="J322" s="52">
        <f>IF(G322="",0,IF(shp=1,IF(AND(ABS(SIN(H322))&gt;0.0000001,MAX(1,hthan*500-'KT THAN'!$D$12)*ABS(COS(H322))/ABS(SIN(H322))&lt;=MAX(0,(bthan-hthan)*500)),MAX(1,hthan*500-'KT THAN'!$D$12)/ABS(SIN(H322)),MAX(0,(bthan-hthan)*500)*ABS(COS(H322))+SQRT(MAX(0,MAX(1,hthan*500-'KT THAN'!$D$12)^2-MAX(0,(bthan-hthan)*500)^2*SIN(H322)^2))),MIN((bthan*500-'KT THAN'!$D$12)/MAX(0.0000001,ABS(COS(H322))),(hthan*500-'KT THAN'!$D$12)/MAX(0.0000001,ABS(SIN(H322)))))*SIN(H322))</f>
        <v>0</v>
      </c>
      <c r="K322" s="52">
        <f>IF(G322="",0,'KT THAN'!$D$11/'KT THAN'!$C$11)</f>
        <v>0</v>
      </c>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2"/>
      <c r="AK322" s="52"/>
      <c r="AL322" s="52"/>
      <c r="AM322" s="52"/>
      <c r="AN322" s="52"/>
    </row>
    <row r="323" spans="1:40" x14ac:dyDescent="0.3">
      <c r="A323" s="52">
        <v>318</v>
      </c>
      <c r="B323" s="52">
        <f>-bthan*500+(17+0.5)*bthan*1000/50</f>
        <v>-825</v>
      </c>
      <c r="C323" s="52">
        <f t="shared" si="94"/>
        <v>-670</v>
      </c>
      <c r="D323" s="52">
        <f t="shared" si="91"/>
        <v>2200</v>
      </c>
      <c r="E323" s="52">
        <f t="shared" si="92"/>
        <v>1</v>
      </c>
      <c r="F323" s="52"/>
      <c r="G323" s="52" t="str">
        <f>IF(318&lt;='KT THAN'!$C$11,318,"")</f>
        <v/>
      </c>
      <c r="H323" s="52">
        <f>IF(G323="",0,2*PI()*(G323-0.5)/'KT THAN'!$C$11)</f>
        <v>0</v>
      </c>
      <c r="I323" s="52">
        <f>IF(G323="",0,IF(shp=1,IF(AND(ABS(SIN(H323))&gt;0.0000001,MAX(1,hthan*500-'KT THAN'!$D$12)*ABS(COS(H323))/ABS(SIN(H323))&lt;=MAX(0,(bthan-hthan)*500)),MAX(1,hthan*500-'KT THAN'!$D$12)/ABS(SIN(H323)),MAX(0,(bthan-hthan)*500)*ABS(COS(H323))+SQRT(MAX(0,MAX(1,hthan*500-'KT THAN'!$D$12)^2-MAX(0,(bthan-hthan)*500)^2*SIN(H323)^2))),MIN((bthan*500-'KT THAN'!$D$12)/MAX(0.0000001,ABS(COS(H323))),(hthan*500-'KT THAN'!$D$12)/MAX(0.0000001,ABS(SIN(H323)))))*COS(H323))</f>
        <v>0</v>
      </c>
      <c r="J323" s="52">
        <f>IF(G323="",0,IF(shp=1,IF(AND(ABS(SIN(H323))&gt;0.0000001,MAX(1,hthan*500-'KT THAN'!$D$12)*ABS(COS(H323))/ABS(SIN(H323))&lt;=MAX(0,(bthan-hthan)*500)),MAX(1,hthan*500-'KT THAN'!$D$12)/ABS(SIN(H323)),MAX(0,(bthan-hthan)*500)*ABS(COS(H323))+SQRT(MAX(0,MAX(1,hthan*500-'KT THAN'!$D$12)^2-MAX(0,(bthan-hthan)*500)^2*SIN(H323)^2))),MIN((bthan*500-'KT THAN'!$D$12)/MAX(0.0000001,ABS(COS(H323))),(hthan*500-'KT THAN'!$D$12)/MAX(0.0000001,ABS(SIN(H323)))))*SIN(H323))</f>
        <v>0</v>
      </c>
      <c r="K323" s="52">
        <f>IF(G323="",0,'KT THAN'!$D$11/'KT THAN'!$C$11)</f>
        <v>0</v>
      </c>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c r="AJ323" s="52"/>
      <c r="AK323" s="52"/>
      <c r="AL323" s="52"/>
      <c r="AM323" s="52"/>
      <c r="AN323" s="52"/>
    </row>
    <row r="324" spans="1:40" x14ac:dyDescent="0.3">
      <c r="A324" s="52">
        <v>319</v>
      </c>
      <c r="B324" s="52">
        <f>-bthan*500+(18+0.5)*bthan*1000/50</f>
        <v>-715</v>
      </c>
      <c r="C324" s="52">
        <f t="shared" si="94"/>
        <v>-670</v>
      </c>
      <c r="D324" s="52">
        <f t="shared" si="91"/>
        <v>2200</v>
      </c>
      <c r="E324" s="52">
        <f t="shared" si="92"/>
        <v>1</v>
      </c>
      <c r="F324" s="52"/>
      <c r="G324" s="52" t="str">
        <f>IF(319&lt;='KT THAN'!$C$11,319,"")</f>
        <v/>
      </c>
      <c r="H324" s="52">
        <f>IF(G324="",0,2*PI()*(G324-0.5)/'KT THAN'!$C$11)</f>
        <v>0</v>
      </c>
      <c r="I324" s="52">
        <f>IF(G324="",0,IF(shp=1,IF(AND(ABS(SIN(H324))&gt;0.0000001,MAX(1,hthan*500-'KT THAN'!$D$12)*ABS(COS(H324))/ABS(SIN(H324))&lt;=MAX(0,(bthan-hthan)*500)),MAX(1,hthan*500-'KT THAN'!$D$12)/ABS(SIN(H324)),MAX(0,(bthan-hthan)*500)*ABS(COS(H324))+SQRT(MAX(0,MAX(1,hthan*500-'KT THAN'!$D$12)^2-MAX(0,(bthan-hthan)*500)^2*SIN(H324)^2))),MIN((bthan*500-'KT THAN'!$D$12)/MAX(0.0000001,ABS(COS(H324))),(hthan*500-'KT THAN'!$D$12)/MAX(0.0000001,ABS(SIN(H324)))))*COS(H324))</f>
        <v>0</v>
      </c>
      <c r="J324" s="52">
        <f>IF(G324="",0,IF(shp=1,IF(AND(ABS(SIN(H324))&gt;0.0000001,MAX(1,hthan*500-'KT THAN'!$D$12)*ABS(COS(H324))/ABS(SIN(H324))&lt;=MAX(0,(bthan-hthan)*500)),MAX(1,hthan*500-'KT THAN'!$D$12)/ABS(SIN(H324)),MAX(0,(bthan-hthan)*500)*ABS(COS(H324))+SQRT(MAX(0,MAX(1,hthan*500-'KT THAN'!$D$12)^2-MAX(0,(bthan-hthan)*500)^2*SIN(H324)^2))),MIN((bthan*500-'KT THAN'!$D$12)/MAX(0.0000001,ABS(COS(H324))),(hthan*500-'KT THAN'!$D$12)/MAX(0.0000001,ABS(SIN(H324)))))*SIN(H324))</f>
        <v>0</v>
      </c>
      <c r="K324" s="52">
        <f>IF(G324="",0,'KT THAN'!$D$11/'KT THAN'!$C$11)</f>
        <v>0</v>
      </c>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2"/>
      <c r="AK324" s="52"/>
      <c r="AL324" s="52"/>
      <c r="AM324" s="52"/>
      <c r="AN324" s="52"/>
    </row>
    <row r="325" spans="1:40" x14ac:dyDescent="0.3">
      <c r="A325" s="52">
        <v>320</v>
      </c>
      <c r="B325" s="52">
        <f>-bthan*500+(19+0.5)*bthan*1000/50</f>
        <v>-605</v>
      </c>
      <c r="C325" s="52">
        <f t="shared" si="94"/>
        <v>-670</v>
      </c>
      <c r="D325" s="52">
        <f t="shared" si="91"/>
        <v>2200</v>
      </c>
      <c r="E325" s="52">
        <f t="shared" si="92"/>
        <v>1</v>
      </c>
      <c r="F325" s="52"/>
      <c r="G325" s="52" t="str">
        <f>IF(320&lt;='KT THAN'!$C$11,320,"")</f>
        <v/>
      </c>
      <c r="H325" s="52">
        <f>IF(G325="",0,2*PI()*(G325-0.5)/'KT THAN'!$C$11)</f>
        <v>0</v>
      </c>
      <c r="I325" s="52">
        <f>IF(G325="",0,IF(shp=1,IF(AND(ABS(SIN(H325))&gt;0.0000001,MAX(1,hthan*500-'KT THAN'!$D$12)*ABS(COS(H325))/ABS(SIN(H325))&lt;=MAX(0,(bthan-hthan)*500)),MAX(1,hthan*500-'KT THAN'!$D$12)/ABS(SIN(H325)),MAX(0,(bthan-hthan)*500)*ABS(COS(H325))+SQRT(MAX(0,MAX(1,hthan*500-'KT THAN'!$D$12)^2-MAX(0,(bthan-hthan)*500)^2*SIN(H325)^2))),MIN((bthan*500-'KT THAN'!$D$12)/MAX(0.0000001,ABS(COS(H325))),(hthan*500-'KT THAN'!$D$12)/MAX(0.0000001,ABS(SIN(H325)))))*COS(H325))</f>
        <v>0</v>
      </c>
      <c r="J325" s="52">
        <f>IF(G325="",0,IF(shp=1,IF(AND(ABS(SIN(H325))&gt;0.0000001,MAX(1,hthan*500-'KT THAN'!$D$12)*ABS(COS(H325))/ABS(SIN(H325))&lt;=MAX(0,(bthan-hthan)*500)),MAX(1,hthan*500-'KT THAN'!$D$12)/ABS(SIN(H325)),MAX(0,(bthan-hthan)*500)*ABS(COS(H325))+SQRT(MAX(0,MAX(1,hthan*500-'KT THAN'!$D$12)^2-MAX(0,(bthan-hthan)*500)^2*SIN(H325)^2))),MIN((bthan*500-'KT THAN'!$D$12)/MAX(0.0000001,ABS(COS(H325))),(hthan*500-'KT THAN'!$D$12)/MAX(0.0000001,ABS(SIN(H325)))))*SIN(H325))</f>
        <v>0</v>
      </c>
      <c r="K325" s="52">
        <f>IF(G325="",0,'KT THAN'!$D$11/'KT THAN'!$C$11)</f>
        <v>0</v>
      </c>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2"/>
      <c r="AK325" s="52"/>
      <c r="AL325" s="52"/>
      <c r="AM325" s="52"/>
      <c r="AN325" s="52"/>
    </row>
    <row r="326" spans="1:40" x14ac:dyDescent="0.3">
      <c r="A326" s="52">
        <v>321</v>
      </c>
      <c r="B326" s="52">
        <f>-bthan*500+(20+0.5)*bthan*1000/50</f>
        <v>-495</v>
      </c>
      <c r="C326" s="52">
        <f t="shared" si="94"/>
        <v>-670</v>
      </c>
      <c r="D326" s="52">
        <f t="shared" ref="D326:D389" si="95">bthan*1000/50*hthan*1000/80</f>
        <v>2200</v>
      </c>
      <c r="E326" s="52">
        <f t="shared" ref="E326:E389" si="96">IF(shp=1,--(OR(ABS(B326)&lt;=MAX(0,(bthan-hthan)*500),(ABS(B326)-MAX(0,(bthan-hthan)*500))^2+C326^2&lt;=(hthan*500)^2)),--(AND(ABS(B326)&lt;=bthan*500,ABS(C326)&lt;=hthan*500,OR(ABS(B326)&lt;=bthan*500-cch*1000,ABS(C326)&lt;=hthan*500-cch*1000,(bthan*500-ABS(B326))+(hthan*500-ABS(C326))&gt;=cch*1000))))</f>
        <v>1</v>
      </c>
      <c r="F326" s="52"/>
      <c r="G326" s="52" t="str">
        <f>IF(321&lt;='KT THAN'!$C$11,321,"")</f>
        <v/>
      </c>
      <c r="H326" s="52">
        <f>IF(G326="",0,2*PI()*(G326-0.5)/'KT THAN'!$C$11)</f>
        <v>0</v>
      </c>
      <c r="I326" s="52">
        <f>IF(G326="",0,IF(shp=1,IF(AND(ABS(SIN(H326))&gt;0.0000001,MAX(1,hthan*500-'KT THAN'!$D$12)*ABS(COS(H326))/ABS(SIN(H326))&lt;=MAX(0,(bthan-hthan)*500)),MAX(1,hthan*500-'KT THAN'!$D$12)/ABS(SIN(H326)),MAX(0,(bthan-hthan)*500)*ABS(COS(H326))+SQRT(MAX(0,MAX(1,hthan*500-'KT THAN'!$D$12)^2-MAX(0,(bthan-hthan)*500)^2*SIN(H326)^2))),MIN((bthan*500-'KT THAN'!$D$12)/MAX(0.0000001,ABS(COS(H326))),(hthan*500-'KT THAN'!$D$12)/MAX(0.0000001,ABS(SIN(H326)))))*COS(H326))</f>
        <v>0</v>
      </c>
      <c r="J326" s="52">
        <f>IF(G326="",0,IF(shp=1,IF(AND(ABS(SIN(H326))&gt;0.0000001,MAX(1,hthan*500-'KT THAN'!$D$12)*ABS(COS(H326))/ABS(SIN(H326))&lt;=MAX(0,(bthan-hthan)*500)),MAX(1,hthan*500-'KT THAN'!$D$12)/ABS(SIN(H326)),MAX(0,(bthan-hthan)*500)*ABS(COS(H326))+SQRT(MAX(0,MAX(1,hthan*500-'KT THAN'!$D$12)^2-MAX(0,(bthan-hthan)*500)^2*SIN(H326)^2))),MIN((bthan*500-'KT THAN'!$D$12)/MAX(0.0000001,ABS(COS(H326))),(hthan*500-'KT THAN'!$D$12)/MAX(0.0000001,ABS(SIN(H326)))))*SIN(H326))</f>
        <v>0</v>
      </c>
      <c r="K326" s="52">
        <f>IF(G326="",0,'KT THAN'!$D$11/'KT THAN'!$C$11)</f>
        <v>0</v>
      </c>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2"/>
      <c r="AK326" s="52"/>
      <c r="AL326" s="52"/>
      <c r="AM326" s="52"/>
      <c r="AN326" s="52"/>
    </row>
    <row r="327" spans="1:40" x14ac:dyDescent="0.3">
      <c r="A327" s="52">
        <v>322</v>
      </c>
      <c r="B327" s="52">
        <f>-bthan*500+(21+0.5)*bthan*1000/50</f>
        <v>-385</v>
      </c>
      <c r="C327" s="52">
        <f t="shared" si="94"/>
        <v>-670</v>
      </c>
      <c r="D327" s="52">
        <f t="shared" si="95"/>
        <v>2200</v>
      </c>
      <c r="E327" s="52">
        <f t="shared" si="96"/>
        <v>1</v>
      </c>
      <c r="F327" s="52"/>
      <c r="G327" s="52" t="str">
        <f>IF(322&lt;='KT THAN'!$C$11,322,"")</f>
        <v/>
      </c>
      <c r="H327" s="52">
        <f>IF(G327="",0,2*PI()*(G327-0.5)/'KT THAN'!$C$11)</f>
        <v>0</v>
      </c>
      <c r="I327" s="52">
        <f>IF(G327="",0,IF(shp=1,IF(AND(ABS(SIN(H327))&gt;0.0000001,MAX(1,hthan*500-'KT THAN'!$D$12)*ABS(COS(H327))/ABS(SIN(H327))&lt;=MAX(0,(bthan-hthan)*500)),MAX(1,hthan*500-'KT THAN'!$D$12)/ABS(SIN(H327)),MAX(0,(bthan-hthan)*500)*ABS(COS(H327))+SQRT(MAX(0,MAX(1,hthan*500-'KT THAN'!$D$12)^2-MAX(0,(bthan-hthan)*500)^2*SIN(H327)^2))),MIN((bthan*500-'KT THAN'!$D$12)/MAX(0.0000001,ABS(COS(H327))),(hthan*500-'KT THAN'!$D$12)/MAX(0.0000001,ABS(SIN(H327)))))*COS(H327))</f>
        <v>0</v>
      </c>
      <c r="J327" s="52">
        <f>IF(G327="",0,IF(shp=1,IF(AND(ABS(SIN(H327))&gt;0.0000001,MAX(1,hthan*500-'KT THAN'!$D$12)*ABS(COS(H327))/ABS(SIN(H327))&lt;=MAX(0,(bthan-hthan)*500)),MAX(1,hthan*500-'KT THAN'!$D$12)/ABS(SIN(H327)),MAX(0,(bthan-hthan)*500)*ABS(COS(H327))+SQRT(MAX(0,MAX(1,hthan*500-'KT THAN'!$D$12)^2-MAX(0,(bthan-hthan)*500)^2*SIN(H327)^2))),MIN((bthan*500-'KT THAN'!$D$12)/MAX(0.0000001,ABS(COS(H327))),(hthan*500-'KT THAN'!$D$12)/MAX(0.0000001,ABS(SIN(H327)))))*SIN(H327))</f>
        <v>0</v>
      </c>
      <c r="K327" s="52">
        <f>IF(G327="",0,'KT THAN'!$D$11/'KT THAN'!$C$11)</f>
        <v>0</v>
      </c>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2"/>
      <c r="AK327" s="52"/>
      <c r="AL327" s="52"/>
      <c r="AM327" s="52"/>
      <c r="AN327" s="52"/>
    </row>
    <row r="328" spans="1:40" x14ac:dyDescent="0.3">
      <c r="A328" s="52">
        <v>323</v>
      </c>
      <c r="B328" s="52">
        <f>-bthan*500+(22+0.5)*bthan*1000/50</f>
        <v>-275</v>
      </c>
      <c r="C328" s="52">
        <f t="shared" si="94"/>
        <v>-670</v>
      </c>
      <c r="D328" s="52">
        <f t="shared" si="95"/>
        <v>2200</v>
      </c>
      <c r="E328" s="52">
        <f t="shared" si="96"/>
        <v>1</v>
      </c>
      <c r="F328" s="52"/>
      <c r="G328" s="52" t="str">
        <f>IF(323&lt;='KT THAN'!$C$11,323,"")</f>
        <v/>
      </c>
      <c r="H328" s="52">
        <f>IF(G328="",0,2*PI()*(G328-0.5)/'KT THAN'!$C$11)</f>
        <v>0</v>
      </c>
      <c r="I328" s="52">
        <f>IF(G328="",0,IF(shp=1,IF(AND(ABS(SIN(H328))&gt;0.0000001,MAX(1,hthan*500-'KT THAN'!$D$12)*ABS(COS(H328))/ABS(SIN(H328))&lt;=MAX(0,(bthan-hthan)*500)),MAX(1,hthan*500-'KT THAN'!$D$12)/ABS(SIN(H328)),MAX(0,(bthan-hthan)*500)*ABS(COS(H328))+SQRT(MAX(0,MAX(1,hthan*500-'KT THAN'!$D$12)^2-MAX(0,(bthan-hthan)*500)^2*SIN(H328)^2))),MIN((bthan*500-'KT THAN'!$D$12)/MAX(0.0000001,ABS(COS(H328))),(hthan*500-'KT THAN'!$D$12)/MAX(0.0000001,ABS(SIN(H328)))))*COS(H328))</f>
        <v>0</v>
      </c>
      <c r="J328" s="52">
        <f>IF(G328="",0,IF(shp=1,IF(AND(ABS(SIN(H328))&gt;0.0000001,MAX(1,hthan*500-'KT THAN'!$D$12)*ABS(COS(H328))/ABS(SIN(H328))&lt;=MAX(0,(bthan-hthan)*500)),MAX(1,hthan*500-'KT THAN'!$D$12)/ABS(SIN(H328)),MAX(0,(bthan-hthan)*500)*ABS(COS(H328))+SQRT(MAX(0,MAX(1,hthan*500-'KT THAN'!$D$12)^2-MAX(0,(bthan-hthan)*500)^2*SIN(H328)^2))),MIN((bthan*500-'KT THAN'!$D$12)/MAX(0.0000001,ABS(COS(H328))),(hthan*500-'KT THAN'!$D$12)/MAX(0.0000001,ABS(SIN(H328)))))*SIN(H328))</f>
        <v>0</v>
      </c>
      <c r="K328" s="52">
        <f>IF(G328="",0,'KT THAN'!$D$11/'KT THAN'!$C$11)</f>
        <v>0</v>
      </c>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2"/>
      <c r="AK328" s="52"/>
      <c r="AL328" s="52"/>
      <c r="AM328" s="52"/>
      <c r="AN328" s="52"/>
    </row>
    <row r="329" spans="1:40" x14ac:dyDescent="0.3">
      <c r="A329" s="52">
        <v>324</v>
      </c>
      <c r="B329" s="52">
        <f>-bthan*500+(23+0.5)*bthan*1000/50</f>
        <v>-165</v>
      </c>
      <c r="C329" s="52">
        <f t="shared" si="94"/>
        <v>-670</v>
      </c>
      <c r="D329" s="52">
        <f t="shared" si="95"/>
        <v>2200</v>
      </c>
      <c r="E329" s="52">
        <f t="shared" si="96"/>
        <v>1</v>
      </c>
      <c r="F329" s="52"/>
      <c r="G329" s="52" t="str">
        <f>IF(324&lt;='KT THAN'!$C$11,324,"")</f>
        <v/>
      </c>
      <c r="H329" s="52">
        <f>IF(G329="",0,2*PI()*(G329-0.5)/'KT THAN'!$C$11)</f>
        <v>0</v>
      </c>
      <c r="I329" s="52">
        <f>IF(G329="",0,IF(shp=1,IF(AND(ABS(SIN(H329))&gt;0.0000001,MAX(1,hthan*500-'KT THAN'!$D$12)*ABS(COS(H329))/ABS(SIN(H329))&lt;=MAX(0,(bthan-hthan)*500)),MAX(1,hthan*500-'KT THAN'!$D$12)/ABS(SIN(H329)),MAX(0,(bthan-hthan)*500)*ABS(COS(H329))+SQRT(MAX(0,MAX(1,hthan*500-'KT THAN'!$D$12)^2-MAX(0,(bthan-hthan)*500)^2*SIN(H329)^2))),MIN((bthan*500-'KT THAN'!$D$12)/MAX(0.0000001,ABS(COS(H329))),(hthan*500-'KT THAN'!$D$12)/MAX(0.0000001,ABS(SIN(H329)))))*COS(H329))</f>
        <v>0</v>
      </c>
      <c r="J329" s="52">
        <f>IF(G329="",0,IF(shp=1,IF(AND(ABS(SIN(H329))&gt;0.0000001,MAX(1,hthan*500-'KT THAN'!$D$12)*ABS(COS(H329))/ABS(SIN(H329))&lt;=MAX(0,(bthan-hthan)*500)),MAX(1,hthan*500-'KT THAN'!$D$12)/ABS(SIN(H329)),MAX(0,(bthan-hthan)*500)*ABS(COS(H329))+SQRT(MAX(0,MAX(1,hthan*500-'KT THAN'!$D$12)^2-MAX(0,(bthan-hthan)*500)^2*SIN(H329)^2))),MIN((bthan*500-'KT THAN'!$D$12)/MAX(0.0000001,ABS(COS(H329))),(hthan*500-'KT THAN'!$D$12)/MAX(0.0000001,ABS(SIN(H329)))))*SIN(H329))</f>
        <v>0</v>
      </c>
      <c r="K329" s="52">
        <f>IF(G329="",0,'KT THAN'!$D$11/'KT THAN'!$C$11)</f>
        <v>0</v>
      </c>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2"/>
      <c r="AK329" s="52"/>
      <c r="AL329" s="52"/>
      <c r="AM329" s="52"/>
      <c r="AN329" s="52"/>
    </row>
    <row r="330" spans="1:40" x14ac:dyDescent="0.3">
      <c r="A330" s="52">
        <v>325</v>
      </c>
      <c r="B330" s="52">
        <f>-bthan*500+(24+0.5)*bthan*1000/50</f>
        <v>-55</v>
      </c>
      <c r="C330" s="52">
        <f t="shared" si="94"/>
        <v>-670</v>
      </c>
      <c r="D330" s="52">
        <f t="shared" si="95"/>
        <v>2200</v>
      </c>
      <c r="E330" s="52">
        <f t="shared" si="96"/>
        <v>1</v>
      </c>
      <c r="F330" s="52"/>
      <c r="G330" s="52" t="str">
        <f>IF(325&lt;='KT THAN'!$C$11,325,"")</f>
        <v/>
      </c>
      <c r="H330" s="52">
        <f>IF(G330="",0,2*PI()*(G330-0.5)/'KT THAN'!$C$11)</f>
        <v>0</v>
      </c>
      <c r="I330" s="52">
        <f>IF(G330="",0,IF(shp=1,IF(AND(ABS(SIN(H330))&gt;0.0000001,MAX(1,hthan*500-'KT THAN'!$D$12)*ABS(COS(H330))/ABS(SIN(H330))&lt;=MAX(0,(bthan-hthan)*500)),MAX(1,hthan*500-'KT THAN'!$D$12)/ABS(SIN(H330)),MAX(0,(bthan-hthan)*500)*ABS(COS(H330))+SQRT(MAX(0,MAX(1,hthan*500-'KT THAN'!$D$12)^2-MAX(0,(bthan-hthan)*500)^2*SIN(H330)^2))),MIN((bthan*500-'KT THAN'!$D$12)/MAX(0.0000001,ABS(COS(H330))),(hthan*500-'KT THAN'!$D$12)/MAX(0.0000001,ABS(SIN(H330)))))*COS(H330))</f>
        <v>0</v>
      </c>
      <c r="J330" s="52">
        <f>IF(G330="",0,IF(shp=1,IF(AND(ABS(SIN(H330))&gt;0.0000001,MAX(1,hthan*500-'KT THAN'!$D$12)*ABS(COS(H330))/ABS(SIN(H330))&lt;=MAX(0,(bthan-hthan)*500)),MAX(1,hthan*500-'KT THAN'!$D$12)/ABS(SIN(H330)),MAX(0,(bthan-hthan)*500)*ABS(COS(H330))+SQRT(MAX(0,MAX(1,hthan*500-'KT THAN'!$D$12)^2-MAX(0,(bthan-hthan)*500)^2*SIN(H330)^2))),MIN((bthan*500-'KT THAN'!$D$12)/MAX(0.0000001,ABS(COS(H330))),(hthan*500-'KT THAN'!$D$12)/MAX(0.0000001,ABS(SIN(H330)))))*SIN(H330))</f>
        <v>0</v>
      </c>
      <c r="K330" s="52">
        <f>IF(G330="",0,'KT THAN'!$D$11/'KT THAN'!$C$11)</f>
        <v>0</v>
      </c>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2"/>
      <c r="AK330" s="52"/>
      <c r="AL330" s="52"/>
      <c r="AM330" s="52"/>
      <c r="AN330" s="52"/>
    </row>
    <row r="331" spans="1:40" x14ac:dyDescent="0.3">
      <c r="A331" s="52">
        <v>326</v>
      </c>
      <c r="B331" s="52">
        <f>-bthan*500+(25+0.5)*bthan*1000/50</f>
        <v>55</v>
      </c>
      <c r="C331" s="52">
        <f t="shared" si="94"/>
        <v>-670</v>
      </c>
      <c r="D331" s="52">
        <f t="shared" si="95"/>
        <v>2200</v>
      </c>
      <c r="E331" s="52">
        <f t="shared" si="96"/>
        <v>1</v>
      </c>
      <c r="F331" s="52"/>
      <c r="G331" s="52" t="str">
        <f>IF(326&lt;='KT THAN'!$C$11,326,"")</f>
        <v/>
      </c>
      <c r="H331" s="52">
        <f>IF(G331="",0,2*PI()*(G331-0.5)/'KT THAN'!$C$11)</f>
        <v>0</v>
      </c>
      <c r="I331" s="52">
        <f>IF(G331="",0,IF(shp=1,IF(AND(ABS(SIN(H331))&gt;0.0000001,MAX(1,hthan*500-'KT THAN'!$D$12)*ABS(COS(H331))/ABS(SIN(H331))&lt;=MAX(0,(bthan-hthan)*500)),MAX(1,hthan*500-'KT THAN'!$D$12)/ABS(SIN(H331)),MAX(0,(bthan-hthan)*500)*ABS(COS(H331))+SQRT(MAX(0,MAX(1,hthan*500-'KT THAN'!$D$12)^2-MAX(0,(bthan-hthan)*500)^2*SIN(H331)^2))),MIN((bthan*500-'KT THAN'!$D$12)/MAX(0.0000001,ABS(COS(H331))),(hthan*500-'KT THAN'!$D$12)/MAX(0.0000001,ABS(SIN(H331)))))*COS(H331))</f>
        <v>0</v>
      </c>
      <c r="J331" s="52">
        <f>IF(G331="",0,IF(shp=1,IF(AND(ABS(SIN(H331))&gt;0.0000001,MAX(1,hthan*500-'KT THAN'!$D$12)*ABS(COS(H331))/ABS(SIN(H331))&lt;=MAX(0,(bthan-hthan)*500)),MAX(1,hthan*500-'KT THAN'!$D$12)/ABS(SIN(H331)),MAX(0,(bthan-hthan)*500)*ABS(COS(H331))+SQRT(MAX(0,MAX(1,hthan*500-'KT THAN'!$D$12)^2-MAX(0,(bthan-hthan)*500)^2*SIN(H331)^2))),MIN((bthan*500-'KT THAN'!$D$12)/MAX(0.0000001,ABS(COS(H331))),(hthan*500-'KT THAN'!$D$12)/MAX(0.0000001,ABS(SIN(H331)))))*SIN(H331))</f>
        <v>0</v>
      </c>
      <c r="K331" s="52">
        <f>IF(G331="",0,'KT THAN'!$D$11/'KT THAN'!$C$11)</f>
        <v>0</v>
      </c>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2"/>
      <c r="AK331" s="52"/>
      <c r="AL331" s="52"/>
      <c r="AM331" s="52"/>
      <c r="AN331" s="52"/>
    </row>
    <row r="332" spans="1:40" x14ac:dyDescent="0.3">
      <c r="A332" s="52">
        <v>327</v>
      </c>
      <c r="B332" s="52">
        <f>-bthan*500+(26+0.5)*bthan*1000/50</f>
        <v>165</v>
      </c>
      <c r="C332" s="52">
        <f t="shared" si="94"/>
        <v>-670</v>
      </c>
      <c r="D332" s="52">
        <f t="shared" si="95"/>
        <v>2200</v>
      </c>
      <c r="E332" s="52">
        <f t="shared" si="96"/>
        <v>1</v>
      </c>
      <c r="F332" s="52"/>
      <c r="G332" s="52" t="str">
        <f>IF(327&lt;='KT THAN'!$C$11,327,"")</f>
        <v/>
      </c>
      <c r="H332" s="52">
        <f>IF(G332="",0,2*PI()*(G332-0.5)/'KT THAN'!$C$11)</f>
        <v>0</v>
      </c>
      <c r="I332" s="52">
        <f>IF(G332="",0,IF(shp=1,IF(AND(ABS(SIN(H332))&gt;0.0000001,MAX(1,hthan*500-'KT THAN'!$D$12)*ABS(COS(H332))/ABS(SIN(H332))&lt;=MAX(0,(bthan-hthan)*500)),MAX(1,hthan*500-'KT THAN'!$D$12)/ABS(SIN(H332)),MAX(0,(bthan-hthan)*500)*ABS(COS(H332))+SQRT(MAX(0,MAX(1,hthan*500-'KT THAN'!$D$12)^2-MAX(0,(bthan-hthan)*500)^2*SIN(H332)^2))),MIN((bthan*500-'KT THAN'!$D$12)/MAX(0.0000001,ABS(COS(H332))),(hthan*500-'KT THAN'!$D$12)/MAX(0.0000001,ABS(SIN(H332)))))*COS(H332))</f>
        <v>0</v>
      </c>
      <c r="J332" s="52">
        <f>IF(G332="",0,IF(shp=1,IF(AND(ABS(SIN(H332))&gt;0.0000001,MAX(1,hthan*500-'KT THAN'!$D$12)*ABS(COS(H332))/ABS(SIN(H332))&lt;=MAX(0,(bthan-hthan)*500)),MAX(1,hthan*500-'KT THAN'!$D$12)/ABS(SIN(H332)),MAX(0,(bthan-hthan)*500)*ABS(COS(H332))+SQRT(MAX(0,MAX(1,hthan*500-'KT THAN'!$D$12)^2-MAX(0,(bthan-hthan)*500)^2*SIN(H332)^2))),MIN((bthan*500-'KT THAN'!$D$12)/MAX(0.0000001,ABS(COS(H332))),(hthan*500-'KT THAN'!$D$12)/MAX(0.0000001,ABS(SIN(H332)))))*SIN(H332))</f>
        <v>0</v>
      </c>
      <c r="K332" s="52">
        <f>IF(G332="",0,'KT THAN'!$D$11/'KT THAN'!$C$11)</f>
        <v>0</v>
      </c>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2"/>
      <c r="AK332" s="52"/>
      <c r="AL332" s="52"/>
      <c r="AM332" s="52"/>
      <c r="AN332" s="52"/>
    </row>
    <row r="333" spans="1:40" x14ac:dyDescent="0.3">
      <c r="A333" s="52">
        <v>328</v>
      </c>
      <c r="B333" s="52">
        <f>-bthan*500+(27+0.5)*bthan*1000/50</f>
        <v>275</v>
      </c>
      <c r="C333" s="52">
        <f t="shared" si="94"/>
        <v>-670</v>
      </c>
      <c r="D333" s="52">
        <f t="shared" si="95"/>
        <v>2200</v>
      </c>
      <c r="E333" s="52">
        <f t="shared" si="96"/>
        <v>1</v>
      </c>
      <c r="F333" s="52"/>
      <c r="G333" s="52" t="str">
        <f>IF(328&lt;='KT THAN'!$C$11,328,"")</f>
        <v/>
      </c>
      <c r="H333" s="52">
        <f>IF(G333="",0,2*PI()*(G333-0.5)/'KT THAN'!$C$11)</f>
        <v>0</v>
      </c>
      <c r="I333" s="52">
        <f>IF(G333="",0,IF(shp=1,IF(AND(ABS(SIN(H333))&gt;0.0000001,MAX(1,hthan*500-'KT THAN'!$D$12)*ABS(COS(H333))/ABS(SIN(H333))&lt;=MAX(0,(bthan-hthan)*500)),MAX(1,hthan*500-'KT THAN'!$D$12)/ABS(SIN(H333)),MAX(0,(bthan-hthan)*500)*ABS(COS(H333))+SQRT(MAX(0,MAX(1,hthan*500-'KT THAN'!$D$12)^2-MAX(0,(bthan-hthan)*500)^2*SIN(H333)^2))),MIN((bthan*500-'KT THAN'!$D$12)/MAX(0.0000001,ABS(COS(H333))),(hthan*500-'KT THAN'!$D$12)/MAX(0.0000001,ABS(SIN(H333)))))*COS(H333))</f>
        <v>0</v>
      </c>
      <c r="J333" s="52">
        <f>IF(G333="",0,IF(shp=1,IF(AND(ABS(SIN(H333))&gt;0.0000001,MAX(1,hthan*500-'KT THAN'!$D$12)*ABS(COS(H333))/ABS(SIN(H333))&lt;=MAX(0,(bthan-hthan)*500)),MAX(1,hthan*500-'KT THAN'!$D$12)/ABS(SIN(H333)),MAX(0,(bthan-hthan)*500)*ABS(COS(H333))+SQRT(MAX(0,MAX(1,hthan*500-'KT THAN'!$D$12)^2-MAX(0,(bthan-hthan)*500)^2*SIN(H333)^2))),MIN((bthan*500-'KT THAN'!$D$12)/MAX(0.0000001,ABS(COS(H333))),(hthan*500-'KT THAN'!$D$12)/MAX(0.0000001,ABS(SIN(H333)))))*SIN(H333))</f>
        <v>0</v>
      </c>
      <c r="K333" s="52">
        <f>IF(G333="",0,'KT THAN'!$D$11/'KT THAN'!$C$11)</f>
        <v>0</v>
      </c>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2"/>
      <c r="AK333" s="52"/>
      <c r="AL333" s="52"/>
      <c r="AM333" s="52"/>
      <c r="AN333" s="52"/>
    </row>
    <row r="334" spans="1:40" x14ac:dyDescent="0.3">
      <c r="A334" s="52">
        <v>329</v>
      </c>
      <c r="B334" s="52">
        <f>-bthan*500+(28+0.5)*bthan*1000/50</f>
        <v>385</v>
      </c>
      <c r="C334" s="52">
        <f t="shared" si="94"/>
        <v>-670</v>
      </c>
      <c r="D334" s="52">
        <f t="shared" si="95"/>
        <v>2200</v>
      </c>
      <c r="E334" s="52">
        <f t="shared" si="96"/>
        <v>1</v>
      </c>
      <c r="F334" s="52"/>
      <c r="G334" s="52" t="str">
        <f>IF(329&lt;='KT THAN'!$C$11,329,"")</f>
        <v/>
      </c>
      <c r="H334" s="52">
        <f>IF(G334="",0,2*PI()*(G334-0.5)/'KT THAN'!$C$11)</f>
        <v>0</v>
      </c>
      <c r="I334" s="52">
        <f>IF(G334="",0,IF(shp=1,IF(AND(ABS(SIN(H334))&gt;0.0000001,MAX(1,hthan*500-'KT THAN'!$D$12)*ABS(COS(H334))/ABS(SIN(H334))&lt;=MAX(0,(bthan-hthan)*500)),MAX(1,hthan*500-'KT THAN'!$D$12)/ABS(SIN(H334)),MAX(0,(bthan-hthan)*500)*ABS(COS(H334))+SQRT(MAX(0,MAX(1,hthan*500-'KT THAN'!$D$12)^2-MAX(0,(bthan-hthan)*500)^2*SIN(H334)^2))),MIN((bthan*500-'KT THAN'!$D$12)/MAX(0.0000001,ABS(COS(H334))),(hthan*500-'KT THAN'!$D$12)/MAX(0.0000001,ABS(SIN(H334)))))*COS(H334))</f>
        <v>0</v>
      </c>
      <c r="J334" s="52">
        <f>IF(G334="",0,IF(shp=1,IF(AND(ABS(SIN(H334))&gt;0.0000001,MAX(1,hthan*500-'KT THAN'!$D$12)*ABS(COS(H334))/ABS(SIN(H334))&lt;=MAX(0,(bthan-hthan)*500)),MAX(1,hthan*500-'KT THAN'!$D$12)/ABS(SIN(H334)),MAX(0,(bthan-hthan)*500)*ABS(COS(H334))+SQRT(MAX(0,MAX(1,hthan*500-'KT THAN'!$D$12)^2-MAX(0,(bthan-hthan)*500)^2*SIN(H334)^2))),MIN((bthan*500-'KT THAN'!$D$12)/MAX(0.0000001,ABS(COS(H334))),(hthan*500-'KT THAN'!$D$12)/MAX(0.0000001,ABS(SIN(H334)))))*SIN(H334))</f>
        <v>0</v>
      </c>
      <c r="K334" s="52">
        <f>IF(G334="",0,'KT THAN'!$D$11/'KT THAN'!$C$11)</f>
        <v>0</v>
      </c>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2"/>
      <c r="AK334" s="52"/>
      <c r="AL334" s="52"/>
      <c r="AM334" s="52"/>
      <c r="AN334" s="52"/>
    </row>
    <row r="335" spans="1:40" x14ac:dyDescent="0.3">
      <c r="A335" s="52">
        <v>330</v>
      </c>
      <c r="B335" s="52">
        <f>-bthan*500+(29+0.5)*bthan*1000/50</f>
        <v>495</v>
      </c>
      <c r="C335" s="52">
        <f t="shared" si="94"/>
        <v>-670</v>
      </c>
      <c r="D335" s="52">
        <f t="shared" si="95"/>
        <v>2200</v>
      </c>
      <c r="E335" s="52">
        <f t="shared" si="96"/>
        <v>1</v>
      </c>
      <c r="F335" s="52"/>
      <c r="G335" s="52" t="str">
        <f>IF(330&lt;='KT THAN'!$C$11,330,"")</f>
        <v/>
      </c>
      <c r="H335" s="52">
        <f>IF(G335="",0,2*PI()*(G335-0.5)/'KT THAN'!$C$11)</f>
        <v>0</v>
      </c>
      <c r="I335" s="52">
        <f>IF(G335="",0,IF(shp=1,IF(AND(ABS(SIN(H335))&gt;0.0000001,MAX(1,hthan*500-'KT THAN'!$D$12)*ABS(COS(H335))/ABS(SIN(H335))&lt;=MAX(0,(bthan-hthan)*500)),MAX(1,hthan*500-'KT THAN'!$D$12)/ABS(SIN(H335)),MAX(0,(bthan-hthan)*500)*ABS(COS(H335))+SQRT(MAX(0,MAX(1,hthan*500-'KT THAN'!$D$12)^2-MAX(0,(bthan-hthan)*500)^2*SIN(H335)^2))),MIN((bthan*500-'KT THAN'!$D$12)/MAX(0.0000001,ABS(COS(H335))),(hthan*500-'KT THAN'!$D$12)/MAX(0.0000001,ABS(SIN(H335)))))*COS(H335))</f>
        <v>0</v>
      </c>
      <c r="J335" s="52">
        <f>IF(G335="",0,IF(shp=1,IF(AND(ABS(SIN(H335))&gt;0.0000001,MAX(1,hthan*500-'KT THAN'!$D$12)*ABS(COS(H335))/ABS(SIN(H335))&lt;=MAX(0,(bthan-hthan)*500)),MAX(1,hthan*500-'KT THAN'!$D$12)/ABS(SIN(H335)),MAX(0,(bthan-hthan)*500)*ABS(COS(H335))+SQRT(MAX(0,MAX(1,hthan*500-'KT THAN'!$D$12)^2-MAX(0,(bthan-hthan)*500)^2*SIN(H335)^2))),MIN((bthan*500-'KT THAN'!$D$12)/MAX(0.0000001,ABS(COS(H335))),(hthan*500-'KT THAN'!$D$12)/MAX(0.0000001,ABS(SIN(H335)))))*SIN(H335))</f>
        <v>0</v>
      </c>
      <c r="K335" s="52">
        <f>IF(G335="",0,'KT THAN'!$D$11/'KT THAN'!$C$11)</f>
        <v>0</v>
      </c>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2"/>
      <c r="AK335" s="52"/>
      <c r="AL335" s="52"/>
      <c r="AM335" s="52"/>
      <c r="AN335" s="52"/>
    </row>
    <row r="336" spans="1:40" x14ac:dyDescent="0.3">
      <c r="A336" s="52">
        <v>331</v>
      </c>
      <c r="B336" s="52">
        <f>-bthan*500+(30+0.5)*bthan*1000/50</f>
        <v>605</v>
      </c>
      <c r="C336" s="52">
        <f t="shared" si="94"/>
        <v>-670</v>
      </c>
      <c r="D336" s="52">
        <f t="shared" si="95"/>
        <v>2200</v>
      </c>
      <c r="E336" s="52">
        <f t="shared" si="96"/>
        <v>1</v>
      </c>
      <c r="F336" s="52"/>
      <c r="G336" s="52" t="str">
        <f>IF(331&lt;='KT THAN'!$C$11,331,"")</f>
        <v/>
      </c>
      <c r="H336" s="52">
        <f>IF(G336="",0,2*PI()*(G336-0.5)/'KT THAN'!$C$11)</f>
        <v>0</v>
      </c>
      <c r="I336" s="52">
        <f>IF(G336="",0,IF(shp=1,IF(AND(ABS(SIN(H336))&gt;0.0000001,MAX(1,hthan*500-'KT THAN'!$D$12)*ABS(COS(H336))/ABS(SIN(H336))&lt;=MAX(0,(bthan-hthan)*500)),MAX(1,hthan*500-'KT THAN'!$D$12)/ABS(SIN(H336)),MAX(0,(bthan-hthan)*500)*ABS(COS(H336))+SQRT(MAX(0,MAX(1,hthan*500-'KT THAN'!$D$12)^2-MAX(0,(bthan-hthan)*500)^2*SIN(H336)^2))),MIN((bthan*500-'KT THAN'!$D$12)/MAX(0.0000001,ABS(COS(H336))),(hthan*500-'KT THAN'!$D$12)/MAX(0.0000001,ABS(SIN(H336)))))*COS(H336))</f>
        <v>0</v>
      </c>
      <c r="J336" s="52">
        <f>IF(G336="",0,IF(shp=1,IF(AND(ABS(SIN(H336))&gt;0.0000001,MAX(1,hthan*500-'KT THAN'!$D$12)*ABS(COS(H336))/ABS(SIN(H336))&lt;=MAX(0,(bthan-hthan)*500)),MAX(1,hthan*500-'KT THAN'!$D$12)/ABS(SIN(H336)),MAX(0,(bthan-hthan)*500)*ABS(COS(H336))+SQRT(MAX(0,MAX(1,hthan*500-'KT THAN'!$D$12)^2-MAX(0,(bthan-hthan)*500)^2*SIN(H336)^2))),MIN((bthan*500-'KT THAN'!$D$12)/MAX(0.0000001,ABS(COS(H336))),(hthan*500-'KT THAN'!$D$12)/MAX(0.0000001,ABS(SIN(H336)))))*SIN(H336))</f>
        <v>0</v>
      </c>
      <c r="K336" s="52">
        <f>IF(G336="",0,'KT THAN'!$D$11/'KT THAN'!$C$11)</f>
        <v>0</v>
      </c>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2"/>
      <c r="AK336" s="52"/>
      <c r="AL336" s="52"/>
      <c r="AM336" s="52"/>
      <c r="AN336" s="52"/>
    </row>
    <row r="337" spans="1:40" x14ac:dyDescent="0.3">
      <c r="A337" s="52">
        <v>332</v>
      </c>
      <c r="B337" s="52">
        <f>-bthan*500+(31+0.5)*bthan*1000/50</f>
        <v>715</v>
      </c>
      <c r="C337" s="52">
        <f t="shared" si="94"/>
        <v>-670</v>
      </c>
      <c r="D337" s="52">
        <f t="shared" si="95"/>
        <v>2200</v>
      </c>
      <c r="E337" s="52">
        <f t="shared" si="96"/>
        <v>1</v>
      </c>
      <c r="F337" s="52"/>
      <c r="G337" s="52" t="str">
        <f>IF(332&lt;='KT THAN'!$C$11,332,"")</f>
        <v/>
      </c>
      <c r="H337" s="52">
        <f>IF(G337="",0,2*PI()*(G337-0.5)/'KT THAN'!$C$11)</f>
        <v>0</v>
      </c>
      <c r="I337" s="52">
        <f>IF(G337="",0,IF(shp=1,IF(AND(ABS(SIN(H337))&gt;0.0000001,MAX(1,hthan*500-'KT THAN'!$D$12)*ABS(COS(H337))/ABS(SIN(H337))&lt;=MAX(0,(bthan-hthan)*500)),MAX(1,hthan*500-'KT THAN'!$D$12)/ABS(SIN(H337)),MAX(0,(bthan-hthan)*500)*ABS(COS(H337))+SQRT(MAX(0,MAX(1,hthan*500-'KT THAN'!$D$12)^2-MAX(0,(bthan-hthan)*500)^2*SIN(H337)^2))),MIN((bthan*500-'KT THAN'!$D$12)/MAX(0.0000001,ABS(COS(H337))),(hthan*500-'KT THAN'!$D$12)/MAX(0.0000001,ABS(SIN(H337)))))*COS(H337))</f>
        <v>0</v>
      </c>
      <c r="J337" s="52">
        <f>IF(G337="",0,IF(shp=1,IF(AND(ABS(SIN(H337))&gt;0.0000001,MAX(1,hthan*500-'KT THAN'!$D$12)*ABS(COS(H337))/ABS(SIN(H337))&lt;=MAX(0,(bthan-hthan)*500)),MAX(1,hthan*500-'KT THAN'!$D$12)/ABS(SIN(H337)),MAX(0,(bthan-hthan)*500)*ABS(COS(H337))+SQRT(MAX(0,MAX(1,hthan*500-'KT THAN'!$D$12)^2-MAX(0,(bthan-hthan)*500)^2*SIN(H337)^2))),MIN((bthan*500-'KT THAN'!$D$12)/MAX(0.0000001,ABS(COS(H337))),(hthan*500-'KT THAN'!$D$12)/MAX(0.0000001,ABS(SIN(H337)))))*SIN(H337))</f>
        <v>0</v>
      </c>
      <c r="K337" s="52">
        <f>IF(G337="",0,'KT THAN'!$D$11/'KT THAN'!$C$11)</f>
        <v>0</v>
      </c>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2"/>
      <c r="AK337" s="52"/>
      <c r="AL337" s="52"/>
      <c r="AM337" s="52"/>
      <c r="AN337" s="52"/>
    </row>
    <row r="338" spans="1:40" x14ac:dyDescent="0.3">
      <c r="A338" s="52">
        <v>333</v>
      </c>
      <c r="B338" s="52">
        <f>-bthan*500+(32+0.5)*bthan*1000/50</f>
        <v>825</v>
      </c>
      <c r="C338" s="52">
        <f t="shared" ref="C338:C355" si="97">-hthan*500+(6+0.5)*hthan*1000/80</f>
        <v>-670</v>
      </c>
      <c r="D338" s="52">
        <f t="shared" si="95"/>
        <v>2200</v>
      </c>
      <c r="E338" s="52">
        <f t="shared" si="96"/>
        <v>1</v>
      </c>
      <c r="F338" s="52"/>
      <c r="G338" s="52" t="str">
        <f>IF(333&lt;='KT THAN'!$C$11,333,"")</f>
        <v/>
      </c>
      <c r="H338" s="52">
        <f>IF(G338="",0,2*PI()*(G338-0.5)/'KT THAN'!$C$11)</f>
        <v>0</v>
      </c>
      <c r="I338" s="52">
        <f>IF(G338="",0,IF(shp=1,IF(AND(ABS(SIN(H338))&gt;0.0000001,MAX(1,hthan*500-'KT THAN'!$D$12)*ABS(COS(H338))/ABS(SIN(H338))&lt;=MAX(0,(bthan-hthan)*500)),MAX(1,hthan*500-'KT THAN'!$D$12)/ABS(SIN(H338)),MAX(0,(bthan-hthan)*500)*ABS(COS(H338))+SQRT(MAX(0,MAX(1,hthan*500-'KT THAN'!$D$12)^2-MAX(0,(bthan-hthan)*500)^2*SIN(H338)^2))),MIN((bthan*500-'KT THAN'!$D$12)/MAX(0.0000001,ABS(COS(H338))),(hthan*500-'KT THAN'!$D$12)/MAX(0.0000001,ABS(SIN(H338)))))*COS(H338))</f>
        <v>0</v>
      </c>
      <c r="J338" s="52">
        <f>IF(G338="",0,IF(shp=1,IF(AND(ABS(SIN(H338))&gt;0.0000001,MAX(1,hthan*500-'KT THAN'!$D$12)*ABS(COS(H338))/ABS(SIN(H338))&lt;=MAX(0,(bthan-hthan)*500)),MAX(1,hthan*500-'KT THAN'!$D$12)/ABS(SIN(H338)),MAX(0,(bthan-hthan)*500)*ABS(COS(H338))+SQRT(MAX(0,MAX(1,hthan*500-'KT THAN'!$D$12)^2-MAX(0,(bthan-hthan)*500)^2*SIN(H338)^2))),MIN((bthan*500-'KT THAN'!$D$12)/MAX(0.0000001,ABS(COS(H338))),(hthan*500-'KT THAN'!$D$12)/MAX(0.0000001,ABS(SIN(H338)))))*SIN(H338))</f>
        <v>0</v>
      </c>
      <c r="K338" s="52">
        <f>IF(G338="",0,'KT THAN'!$D$11/'KT THAN'!$C$11)</f>
        <v>0</v>
      </c>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2"/>
      <c r="AK338" s="52"/>
      <c r="AL338" s="52"/>
      <c r="AM338" s="52"/>
      <c r="AN338" s="52"/>
    </row>
    <row r="339" spans="1:40" x14ac:dyDescent="0.3">
      <c r="A339" s="52">
        <v>334</v>
      </c>
      <c r="B339" s="52">
        <f>-bthan*500+(33+0.5)*bthan*1000/50</f>
        <v>935</v>
      </c>
      <c r="C339" s="52">
        <f t="shared" si="97"/>
        <v>-670</v>
      </c>
      <c r="D339" s="52">
        <f t="shared" si="95"/>
        <v>2200</v>
      </c>
      <c r="E339" s="52">
        <f t="shared" si="96"/>
        <v>1</v>
      </c>
      <c r="F339" s="52"/>
      <c r="G339" s="52" t="str">
        <f>IF(334&lt;='KT THAN'!$C$11,334,"")</f>
        <v/>
      </c>
      <c r="H339" s="52">
        <f>IF(G339="",0,2*PI()*(G339-0.5)/'KT THAN'!$C$11)</f>
        <v>0</v>
      </c>
      <c r="I339" s="52">
        <f>IF(G339="",0,IF(shp=1,IF(AND(ABS(SIN(H339))&gt;0.0000001,MAX(1,hthan*500-'KT THAN'!$D$12)*ABS(COS(H339))/ABS(SIN(H339))&lt;=MAX(0,(bthan-hthan)*500)),MAX(1,hthan*500-'KT THAN'!$D$12)/ABS(SIN(H339)),MAX(0,(bthan-hthan)*500)*ABS(COS(H339))+SQRT(MAX(0,MAX(1,hthan*500-'KT THAN'!$D$12)^2-MAX(0,(bthan-hthan)*500)^2*SIN(H339)^2))),MIN((bthan*500-'KT THAN'!$D$12)/MAX(0.0000001,ABS(COS(H339))),(hthan*500-'KT THAN'!$D$12)/MAX(0.0000001,ABS(SIN(H339)))))*COS(H339))</f>
        <v>0</v>
      </c>
      <c r="J339" s="52">
        <f>IF(G339="",0,IF(shp=1,IF(AND(ABS(SIN(H339))&gt;0.0000001,MAX(1,hthan*500-'KT THAN'!$D$12)*ABS(COS(H339))/ABS(SIN(H339))&lt;=MAX(0,(bthan-hthan)*500)),MAX(1,hthan*500-'KT THAN'!$D$12)/ABS(SIN(H339)),MAX(0,(bthan-hthan)*500)*ABS(COS(H339))+SQRT(MAX(0,MAX(1,hthan*500-'KT THAN'!$D$12)^2-MAX(0,(bthan-hthan)*500)^2*SIN(H339)^2))),MIN((bthan*500-'KT THAN'!$D$12)/MAX(0.0000001,ABS(COS(H339))),(hthan*500-'KT THAN'!$D$12)/MAX(0.0000001,ABS(SIN(H339)))))*SIN(H339))</f>
        <v>0</v>
      </c>
      <c r="K339" s="52">
        <f>IF(G339="",0,'KT THAN'!$D$11/'KT THAN'!$C$11)</f>
        <v>0</v>
      </c>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c r="AJ339" s="52"/>
      <c r="AK339" s="52"/>
      <c r="AL339" s="52"/>
      <c r="AM339" s="52"/>
      <c r="AN339" s="52"/>
    </row>
    <row r="340" spans="1:40" x14ac:dyDescent="0.3">
      <c r="A340" s="52">
        <v>335</v>
      </c>
      <c r="B340" s="52">
        <f>-bthan*500+(34+0.5)*bthan*1000/50</f>
        <v>1045</v>
      </c>
      <c r="C340" s="52">
        <f t="shared" si="97"/>
        <v>-670</v>
      </c>
      <c r="D340" s="52">
        <f t="shared" si="95"/>
        <v>2200</v>
      </c>
      <c r="E340" s="52">
        <f t="shared" si="96"/>
        <v>1</v>
      </c>
      <c r="F340" s="52"/>
      <c r="G340" s="52" t="str">
        <f>IF(335&lt;='KT THAN'!$C$11,335,"")</f>
        <v/>
      </c>
      <c r="H340" s="52">
        <f>IF(G340="",0,2*PI()*(G340-0.5)/'KT THAN'!$C$11)</f>
        <v>0</v>
      </c>
      <c r="I340" s="52">
        <f>IF(G340="",0,IF(shp=1,IF(AND(ABS(SIN(H340))&gt;0.0000001,MAX(1,hthan*500-'KT THAN'!$D$12)*ABS(COS(H340))/ABS(SIN(H340))&lt;=MAX(0,(bthan-hthan)*500)),MAX(1,hthan*500-'KT THAN'!$D$12)/ABS(SIN(H340)),MAX(0,(bthan-hthan)*500)*ABS(COS(H340))+SQRT(MAX(0,MAX(1,hthan*500-'KT THAN'!$D$12)^2-MAX(0,(bthan-hthan)*500)^2*SIN(H340)^2))),MIN((bthan*500-'KT THAN'!$D$12)/MAX(0.0000001,ABS(COS(H340))),(hthan*500-'KT THAN'!$D$12)/MAX(0.0000001,ABS(SIN(H340)))))*COS(H340))</f>
        <v>0</v>
      </c>
      <c r="J340" s="52">
        <f>IF(G340="",0,IF(shp=1,IF(AND(ABS(SIN(H340))&gt;0.0000001,MAX(1,hthan*500-'KT THAN'!$D$12)*ABS(COS(H340))/ABS(SIN(H340))&lt;=MAX(0,(bthan-hthan)*500)),MAX(1,hthan*500-'KT THAN'!$D$12)/ABS(SIN(H340)),MAX(0,(bthan-hthan)*500)*ABS(COS(H340))+SQRT(MAX(0,MAX(1,hthan*500-'KT THAN'!$D$12)^2-MAX(0,(bthan-hthan)*500)^2*SIN(H340)^2))),MIN((bthan*500-'KT THAN'!$D$12)/MAX(0.0000001,ABS(COS(H340))),(hthan*500-'KT THAN'!$D$12)/MAX(0.0000001,ABS(SIN(H340)))))*SIN(H340))</f>
        <v>0</v>
      </c>
      <c r="K340" s="52">
        <f>IF(G340="",0,'KT THAN'!$D$11/'KT THAN'!$C$11)</f>
        <v>0</v>
      </c>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2"/>
      <c r="AK340" s="52"/>
      <c r="AL340" s="52"/>
      <c r="AM340" s="52"/>
      <c r="AN340" s="52"/>
    </row>
    <row r="341" spans="1:40" x14ac:dyDescent="0.3">
      <c r="A341" s="52">
        <v>336</v>
      </c>
      <c r="B341" s="52">
        <f>-bthan*500+(35+0.5)*bthan*1000/50</f>
        <v>1155</v>
      </c>
      <c r="C341" s="52">
        <f t="shared" si="97"/>
        <v>-670</v>
      </c>
      <c r="D341" s="52">
        <f t="shared" si="95"/>
        <v>2200</v>
      </c>
      <c r="E341" s="52">
        <f t="shared" si="96"/>
        <v>1</v>
      </c>
      <c r="F341" s="52"/>
      <c r="G341" s="52" t="str">
        <f>IF(336&lt;='KT THAN'!$C$11,336,"")</f>
        <v/>
      </c>
      <c r="H341" s="52">
        <f>IF(G341="",0,2*PI()*(G341-0.5)/'KT THAN'!$C$11)</f>
        <v>0</v>
      </c>
      <c r="I341" s="52">
        <f>IF(G341="",0,IF(shp=1,IF(AND(ABS(SIN(H341))&gt;0.0000001,MAX(1,hthan*500-'KT THAN'!$D$12)*ABS(COS(H341))/ABS(SIN(H341))&lt;=MAX(0,(bthan-hthan)*500)),MAX(1,hthan*500-'KT THAN'!$D$12)/ABS(SIN(H341)),MAX(0,(bthan-hthan)*500)*ABS(COS(H341))+SQRT(MAX(0,MAX(1,hthan*500-'KT THAN'!$D$12)^2-MAX(0,(bthan-hthan)*500)^2*SIN(H341)^2))),MIN((bthan*500-'KT THAN'!$D$12)/MAX(0.0000001,ABS(COS(H341))),(hthan*500-'KT THAN'!$D$12)/MAX(0.0000001,ABS(SIN(H341)))))*COS(H341))</f>
        <v>0</v>
      </c>
      <c r="J341" s="52">
        <f>IF(G341="",0,IF(shp=1,IF(AND(ABS(SIN(H341))&gt;0.0000001,MAX(1,hthan*500-'KT THAN'!$D$12)*ABS(COS(H341))/ABS(SIN(H341))&lt;=MAX(0,(bthan-hthan)*500)),MAX(1,hthan*500-'KT THAN'!$D$12)/ABS(SIN(H341)),MAX(0,(bthan-hthan)*500)*ABS(COS(H341))+SQRT(MAX(0,MAX(1,hthan*500-'KT THAN'!$D$12)^2-MAX(0,(bthan-hthan)*500)^2*SIN(H341)^2))),MIN((bthan*500-'KT THAN'!$D$12)/MAX(0.0000001,ABS(COS(H341))),(hthan*500-'KT THAN'!$D$12)/MAX(0.0000001,ABS(SIN(H341)))))*SIN(H341))</f>
        <v>0</v>
      </c>
      <c r="K341" s="52">
        <f>IF(G341="",0,'KT THAN'!$D$11/'KT THAN'!$C$11)</f>
        <v>0</v>
      </c>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2"/>
      <c r="AK341" s="52"/>
      <c r="AL341" s="52"/>
      <c r="AM341" s="52"/>
      <c r="AN341" s="52"/>
    </row>
    <row r="342" spans="1:40" x14ac:dyDescent="0.3">
      <c r="A342" s="52">
        <v>337</v>
      </c>
      <c r="B342" s="52">
        <f>-bthan*500+(36+0.5)*bthan*1000/50</f>
        <v>1265</v>
      </c>
      <c r="C342" s="52">
        <f t="shared" si="97"/>
        <v>-670</v>
      </c>
      <c r="D342" s="52">
        <f t="shared" si="95"/>
        <v>2200</v>
      </c>
      <c r="E342" s="52">
        <f t="shared" si="96"/>
        <v>1</v>
      </c>
      <c r="F342" s="52"/>
      <c r="G342" s="52" t="str">
        <f>IF(337&lt;='KT THAN'!$C$11,337,"")</f>
        <v/>
      </c>
      <c r="H342" s="52">
        <f>IF(G342="",0,2*PI()*(G342-0.5)/'KT THAN'!$C$11)</f>
        <v>0</v>
      </c>
      <c r="I342" s="52">
        <f>IF(G342="",0,IF(shp=1,IF(AND(ABS(SIN(H342))&gt;0.0000001,MAX(1,hthan*500-'KT THAN'!$D$12)*ABS(COS(H342))/ABS(SIN(H342))&lt;=MAX(0,(bthan-hthan)*500)),MAX(1,hthan*500-'KT THAN'!$D$12)/ABS(SIN(H342)),MAX(0,(bthan-hthan)*500)*ABS(COS(H342))+SQRT(MAX(0,MAX(1,hthan*500-'KT THAN'!$D$12)^2-MAX(0,(bthan-hthan)*500)^2*SIN(H342)^2))),MIN((bthan*500-'KT THAN'!$D$12)/MAX(0.0000001,ABS(COS(H342))),(hthan*500-'KT THAN'!$D$12)/MAX(0.0000001,ABS(SIN(H342)))))*COS(H342))</f>
        <v>0</v>
      </c>
      <c r="J342" s="52">
        <f>IF(G342="",0,IF(shp=1,IF(AND(ABS(SIN(H342))&gt;0.0000001,MAX(1,hthan*500-'KT THAN'!$D$12)*ABS(COS(H342))/ABS(SIN(H342))&lt;=MAX(0,(bthan-hthan)*500)),MAX(1,hthan*500-'KT THAN'!$D$12)/ABS(SIN(H342)),MAX(0,(bthan-hthan)*500)*ABS(COS(H342))+SQRT(MAX(0,MAX(1,hthan*500-'KT THAN'!$D$12)^2-MAX(0,(bthan-hthan)*500)^2*SIN(H342)^2))),MIN((bthan*500-'KT THAN'!$D$12)/MAX(0.0000001,ABS(COS(H342))),(hthan*500-'KT THAN'!$D$12)/MAX(0.0000001,ABS(SIN(H342)))))*SIN(H342))</f>
        <v>0</v>
      </c>
      <c r="K342" s="52">
        <f>IF(G342="",0,'KT THAN'!$D$11/'KT THAN'!$C$11)</f>
        <v>0</v>
      </c>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2"/>
      <c r="AK342" s="52"/>
      <c r="AL342" s="52"/>
      <c r="AM342" s="52"/>
      <c r="AN342" s="52"/>
    </row>
    <row r="343" spans="1:40" x14ac:dyDescent="0.3">
      <c r="A343" s="52">
        <v>338</v>
      </c>
      <c r="B343" s="52">
        <f>-bthan*500+(37+0.5)*bthan*1000/50</f>
        <v>1375</v>
      </c>
      <c r="C343" s="52">
        <f t="shared" si="97"/>
        <v>-670</v>
      </c>
      <c r="D343" s="52">
        <f t="shared" si="95"/>
        <v>2200</v>
      </c>
      <c r="E343" s="52">
        <f t="shared" si="96"/>
        <v>1</v>
      </c>
      <c r="F343" s="52"/>
      <c r="G343" s="52" t="str">
        <f>IF(338&lt;='KT THAN'!$C$11,338,"")</f>
        <v/>
      </c>
      <c r="H343" s="52">
        <f>IF(G343="",0,2*PI()*(G343-0.5)/'KT THAN'!$C$11)</f>
        <v>0</v>
      </c>
      <c r="I343" s="52">
        <f>IF(G343="",0,IF(shp=1,IF(AND(ABS(SIN(H343))&gt;0.0000001,MAX(1,hthan*500-'KT THAN'!$D$12)*ABS(COS(H343))/ABS(SIN(H343))&lt;=MAX(0,(bthan-hthan)*500)),MAX(1,hthan*500-'KT THAN'!$D$12)/ABS(SIN(H343)),MAX(0,(bthan-hthan)*500)*ABS(COS(H343))+SQRT(MAX(0,MAX(1,hthan*500-'KT THAN'!$D$12)^2-MAX(0,(bthan-hthan)*500)^2*SIN(H343)^2))),MIN((bthan*500-'KT THAN'!$D$12)/MAX(0.0000001,ABS(COS(H343))),(hthan*500-'KT THAN'!$D$12)/MAX(0.0000001,ABS(SIN(H343)))))*COS(H343))</f>
        <v>0</v>
      </c>
      <c r="J343" s="52">
        <f>IF(G343="",0,IF(shp=1,IF(AND(ABS(SIN(H343))&gt;0.0000001,MAX(1,hthan*500-'KT THAN'!$D$12)*ABS(COS(H343))/ABS(SIN(H343))&lt;=MAX(0,(bthan-hthan)*500)),MAX(1,hthan*500-'KT THAN'!$D$12)/ABS(SIN(H343)),MAX(0,(bthan-hthan)*500)*ABS(COS(H343))+SQRT(MAX(0,MAX(1,hthan*500-'KT THAN'!$D$12)^2-MAX(0,(bthan-hthan)*500)^2*SIN(H343)^2))),MIN((bthan*500-'KT THAN'!$D$12)/MAX(0.0000001,ABS(COS(H343))),(hthan*500-'KT THAN'!$D$12)/MAX(0.0000001,ABS(SIN(H343)))))*SIN(H343))</f>
        <v>0</v>
      </c>
      <c r="K343" s="52">
        <f>IF(G343="",0,'KT THAN'!$D$11/'KT THAN'!$C$11)</f>
        <v>0</v>
      </c>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2"/>
      <c r="AK343" s="52"/>
      <c r="AL343" s="52"/>
      <c r="AM343" s="52"/>
      <c r="AN343" s="52"/>
    </row>
    <row r="344" spans="1:40" x14ac:dyDescent="0.3">
      <c r="A344" s="52">
        <v>339</v>
      </c>
      <c r="B344" s="52">
        <f>-bthan*500+(38+0.5)*bthan*1000/50</f>
        <v>1485</v>
      </c>
      <c r="C344" s="52">
        <f t="shared" si="97"/>
        <v>-670</v>
      </c>
      <c r="D344" s="52">
        <f t="shared" si="95"/>
        <v>2200</v>
      </c>
      <c r="E344" s="52">
        <f t="shared" si="96"/>
        <v>1</v>
      </c>
      <c r="F344" s="52"/>
      <c r="G344" s="52" t="str">
        <f>IF(339&lt;='KT THAN'!$C$11,339,"")</f>
        <v/>
      </c>
      <c r="H344" s="52">
        <f>IF(G344="",0,2*PI()*(G344-0.5)/'KT THAN'!$C$11)</f>
        <v>0</v>
      </c>
      <c r="I344" s="52">
        <f>IF(G344="",0,IF(shp=1,IF(AND(ABS(SIN(H344))&gt;0.0000001,MAX(1,hthan*500-'KT THAN'!$D$12)*ABS(COS(H344))/ABS(SIN(H344))&lt;=MAX(0,(bthan-hthan)*500)),MAX(1,hthan*500-'KT THAN'!$D$12)/ABS(SIN(H344)),MAX(0,(bthan-hthan)*500)*ABS(COS(H344))+SQRT(MAX(0,MAX(1,hthan*500-'KT THAN'!$D$12)^2-MAX(0,(bthan-hthan)*500)^2*SIN(H344)^2))),MIN((bthan*500-'KT THAN'!$D$12)/MAX(0.0000001,ABS(COS(H344))),(hthan*500-'KT THAN'!$D$12)/MAX(0.0000001,ABS(SIN(H344)))))*COS(H344))</f>
        <v>0</v>
      </c>
      <c r="J344" s="52">
        <f>IF(G344="",0,IF(shp=1,IF(AND(ABS(SIN(H344))&gt;0.0000001,MAX(1,hthan*500-'KT THAN'!$D$12)*ABS(COS(H344))/ABS(SIN(H344))&lt;=MAX(0,(bthan-hthan)*500)),MAX(1,hthan*500-'KT THAN'!$D$12)/ABS(SIN(H344)),MAX(0,(bthan-hthan)*500)*ABS(COS(H344))+SQRT(MAX(0,MAX(1,hthan*500-'KT THAN'!$D$12)^2-MAX(0,(bthan-hthan)*500)^2*SIN(H344)^2))),MIN((bthan*500-'KT THAN'!$D$12)/MAX(0.0000001,ABS(COS(H344))),(hthan*500-'KT THAN'!$D$12)/MAX(0.0000001,ABS(SIN(H344)))))*SIN(H344))</f>
        <v>0</v>
      </c>
      <c r="K344" s="52">
        <f>IF(G344="",0,'KT THAN'!$D$11/'KT THAN'!$C$11)</f>
        <v>0</v>
      </c>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row>
    <row r="345" spans="1:40" x14ac:dyDescent="0.3">
      <c r="A345" s="52">
        <v>340</v>
      </c>
      <c r="B345" s="52">
        <f>-bthan*500+(39+0.5)*bthan*1000/50</f>
        <v>1595</v>
      </c>
      <c r="C345" s="52">
        <f t="shared" si="97"/>
        <v>-670</v>
      </c>
      <c r="D345" s="52">
        <f t="shared" si="95"/>
        <v>2200</v>
      </c>
      <c r="E345" s="52">
        <f t="shared" si="96"/>
        <v>1</v>
      </c>
      <c r="F345" s="52"/>
      <c r="G345" s="52" t="str">
        <f>IF(340&lt;='KT THAN'!$C$11,340,"")</f>
        <v/>
      </c>
      <c r="H345" s="52">
        <f>IF(G345="",0,2*PI()*(G345-0.5)/'KT THAN'!$C$11)</f>
        <v>0</v>
      </c>
      <c r="I345" s="52">
        <f>IF(G345="",0,IF(shp=1,IF(AND(ABS(SIN(H345))&gt;0.0000001,MAX(1,hthan*500-'KT THAN'!$D$12)*ABS(COS(H345))/ABS(SIN(H345))&lt;=MAX(0,(bthan-hthan)*500)),MAX(1,hthan*500-'KT THAN'!$D$12)/ABS(SIN(H345)),MAX(0,(bthan-hthan)*500)*ABS(COS(H345))+SQRT(MAX(0,MAX(1,hthan*500-'KT THAN'!$D$12)^2-MAX(0,(bthan-hthan)*500)^2*SIN(H345)^2))),MIN((bthan*500-'KT THAN'!$D$12)/MAX(0.0000001,ABS(COS(H345))),(hthan*500-'KT THAN'!$D$12)/MAX(0.0000001,ABS(SIN(H345)))))*COS(H345))</f>
        <v>0</v>
      </c>
      <c r="J345" s="52">
        <f>IF(G345="",0,IF(shp=1,IF(AND(ABS(SIN(H345))&gt;0.0000001,MAX(1,hthan*500-'KT THAN'!$D$12)*ABS(COS(H345))/ABS(SIN(H345))&lt;=MAX(0,(bthan-hthan)*500)),MAX(1,hthan*500-'KT THAN'!$D$12)/ABS(SIN(H345)),MAX(0,(bthan-hthan)*500)*ABS(COS(H345))+SQRT(MAX(0,MAX(1,hthan*500-'KT THAN'!$D$12)^2-MAX(0,(bthan-hthan)*500)^2*SIN(H345)^2))),MIN((bthan*500-'KT THAN'!$D$12)/MAX(0.0000001,ABS(COS(H345))),(hthan*500-'KT THAN'!$D$12)/MAX(0.0000001,ABS(SIN(H345)))))*SIN(H345))</f>
        <v>0</v>
      </c>
      <c r="K345" s="52">
        <f>IF(G345="",0,'KT THAN'!$D$11/'KT THAN'!$C$11)</f>
        <v>0</v>
      </c>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2"/>
      <c r="AK345" s="52"/>
      <c r="AL345" s="52"/>
      <c r="AM345" s="52"/>
      <c r="AN345" s="52"/>
    </row>
    <row r="346" spans="1:40" x14ac:dyDescent="0.3">
      <c r="A346" s="52">
        <v>341</v>
      </c>
      <c r="B346" s="52">
        <f>-bthan*500+(40+0.5)*bthan*1000/50</f>
        <v>1705</v>
      </c>
      <c r="C346" s="52">
        <f t="shared" si="97"/>
        <v>-670</v>
      </c>
      <c r="D346" s="52">
        <f t="shared" si="95"/>
        <v>2200</v>
      </c>
      <c r="E346" s="52">
        <f t="shared" si="96"/>
        <v>1</v>
      </c>
      <c r="F346" s="52"/>
      <c r="G346" s="52" t="str">
        <f>IF(341&lt;='KT THAN'!$C$11,341,"")</f>
        <v/>
      </c>
      <c r="H346" s="52">
        <f>IF(G346="",0,2*PI()*(G346-0.5)/'KT THAN'!$C$11)</f>
        <v>0</v>
      </c>
      <c r="I346" s="52">
        <f>IF(G346="",0,IF(shp=1,IF(AND(ABS(SIN(H346))&gt;0.0000001,MAX(1,hthan*500-'KT THAN'!$D$12)*ABS(COS(H346))/ABS(SIN(H346))&lt;=MAX(0,(bthan-hthan)*500)),MAX(1,hthan*500-'KT THAN'!$D$12)/ABS(SIN(H346)),MAX(0,(bthan-hthan)*500)*ABS(COS(H346))+SQRT(MAX(0,MAX(1,hthan*500-'KT THAN'!$D$12)^2-MAX(0,(bthan-hthan)*500)^2*SIN(H346)^2))),MIN((bthan*500-'KT THAN'!$D$12)/MAX(0.0000001,ABS(COS(H346))),(hthan*500-'KT THAN'!$D$12)/MAX(0.0000001,ABS(SIN(H346)))))*COS(H346))</f>
        <v>0</v>
      </c>
      <c r="J346" s="52">
        <f>IF(G346="",0,IF(shp=1,IF(AND(ABS(SIN(H346))&gt;0.0000001,MAX(1,hthan*500-'KT THAN'!$D$12)*ABS(COS(H346))/ABS(SIN(H346))&lt;=MAX(0,(bthan-hthan)*500)),MAX(1,hthan*500-'KT THAN'!$D$12)/ABS(SIN(H346)),MAX(0,(bthan-hthan)*500)*ABS(COS(H346))+SQRT(MAX(0,MAX(1,hthan*500-'KT THAN'!$D$12)^2-MAX(0,(bthan-hthan)*500)^2*SIN(H346)^2))),MIN((bthan*500-'KT THAN'!$D$12)/MAX(0.0000001,ABS(COS(H346))),(hthan*500-'KT THAN'!$D$12)/MAX(0.0000001,ABS(SIN(H346)))))*SIN(H346))</f>
        <v>0</v>
      </c>
      <c r="K346" s="52">
        <f>IF(G346="",0,'KT THAN'!$D$11/'KT THAN'!$C$11)</f>
        <v>0</v>
      </c>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2"/>
      <c r="AK346" s="52"/>
      <c r="AL346" s="52"/>
      <c r="AM346" s="52"/>
      <c r="AN346" s="52"/>
    </row>
    <row r="347" spans="1:40" x14ac:dyDescent="0.3">
      <c r="A347" s="52">
        <v>342</v>
      </c>
      <c r="B347" s="52">
        <f>-bthan*500+(41+0.5)*bthan*1000/50</f>
        <v>1815</v>
      </c>
      <c r="C347" s="52">
        <f t="shared" si="97"/>
        <v>-670</v>
      </c>
      <c r="D347" s="52">
        <f t="shared" si="95"/>
        <v>2200</v>
      </c>
      <c r="E347" s="52">
        <f t="shared" si="96"/>
        <v>1</v>
      </c>
      <c r="F347" s="52"/>
      <c r="G347" s="52" t="str">
        <f>IF(342&lt;='KT THAN'!$C$11,342,"")</f>
        <v/>
      </c>
      <c r="H347" s="52">
        <f>IF(G347="",0,2*PI()*(G347-0.5)/'KT THAN'!$C$11)</f>
        <v>0</v>
      </c>
      <c r="I347" s="52">
        <f>IF(G347="",0,IF(shp=1,IF(AND(ABS(SIN(H347))&gt;0.0000001,MAX(1,hthan*500-'KT THAN'!$D$12)*ABS(COS(H347))/ABS(SIN(H347))&lt;=MAX(0,(bthan-hthan)*500)),MAX(1,hthan*500-'KT THAN'!$D$12)/ABS(SIN(H347)),MAX(0,(bthan-hthan)*500)*ABS(COS(H347))+SQRT(MAX(0,MAX(1,hthan*500-'KT THAN'!$D$12)^2-MAX(0,(bthan-hthan)*500)^2*SIN(H347)^2))),MIN((bthan*500-'KT THAN'!$D$12)/MAX(0.0000001,ABS(COS(H347))),(hthan*500-'KT THAN'!$D$12)/MAX(0.0000001,ABS(SIN(H347)))))*COS(H347))</f>
        <v>0</v>
      </c>
      <c r="J347" s="52">
        <f>IF(G347="",0,IF(shp=1,IF(AND(ABS(SIN(H347))&gt;0.0000001,MAX(1,hthan*500-'KT THAN'!$D$12)*ABS(COS(H347))/ABS(SIN(H347))&lt;=MAX(0,(bthan-hthan)*500)),MAX(1,hthan*500-'KT THAN'!$D$12)/ABS(SIN(H347)),MAX(0,(bthan-hthan)*500)*ABS(COS(H347))+SQRT(MAX(0,MAX(1,hthan*500-'KT THAN'!$D$12)^2-MAX(0,(bthan-hthan)*500)^2*SIN(H347)^2))),MIN((bthan*500-'KT THAN'!$D$12)/MAX(0.0000001,ABS(COS(H347))),(hthan*500-'KT THAN'!$D$12)/MAX(0.0000001,ABS(SIN(H347)))))*SIN(H347))</f>
        <v>0</v>
      </c>
      <c r="K347" s="52">
        <f>IF(G347="",0,'KT THAN'!$D$11/'KT THAN'!$C$11)</f>
        <v>0</v>
      </c>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2"/>
      <c r="AK347" s="52"/>
      <c r="AL347" s="52"/>
      <c r="AM347" s="52"/>
      <c r="AN347" s="52"/>
    </row>
    <row r="348" spans="1:40" x14ac:dyDescent="0.3">
      <c r="A348" s="52">
        <v>343</v>
      </c>
      <c r="B348" s="52">
        <f>-bthan*500+(42+0.5)*bthan*1000/50</f>
        <v>1925</v>
      </c>
      <c r="C348" s="52">
        <f t="shared" si="97"/>
        <v>-670</v>
      </c>
      <c r="D348" s="52">
        <f t="shared" si="95"/>
        <v>2200</v>
      </c>
      <c r="E348" s="52">
        <f t="shared" si="96"/>
        <v>1</v>
      </c>
      <c r="F348" s="52"/>
      <c r="G348" s="52" t="str">
        <f>IF(343&lt;='KT THAN'!$C$11,343,"")</f>
        <v/>
      </c>
      <c r="H348" s="52">
        <f>IF(G348="",0,2*PI()*(G348-0.5)/'KT THAN'!$C$11)</f>
        <v>0</v>
      </c>
      <c r="I348" s="52">
        <f>IF(G348="",0,IF(shp=1,IF(AND(ABS(SIN(H348))&gt;0.0000001,MAX(1,hthan*500-'KT THAN'!$D$12)*ABS(COS(H348))/ABS(SIN(H348))&lt;=MAX(0,(bthan-hthan)*500)),MAX(1,hthan*500-'KT THAN'!$D$12)/ABS(SIN(H348)),MAX(0,(bthan-hthan)*500)*ABS(COS(H348))+SQRT(MAX(0,MAX(1,hthan*500-'KT THAN'!$D$12)^2-MAX(0,(bthan-hthan)*500)^2*SIN(H348)^2))),MIN((bthan*500-'KT THAN'!$D$12)/MAX(0.0000001,ABS(COS(H348))),(hthan*500-'KT THAN'!$D$12)/MAX(0.0000001,ABS(SIN(H348)))))*COS(H348))</f>
        <v>0</v>
      </c>
      <c r="J348" s="52">
        <f>IF(G348="",0,IF(shp=1,IF(AND(ABS(SIN(H348))&gt;0.0000001,MAX(1,hthan*500-'KT THAN'!$D$12)*ABS(COS(H348))/ABS(SIN(H348))&lt;=MAX(0,(bthan-hthan)*500)),MAX(1,hthan*500-'KT THAN'!$D$12)/ABS(SIN(H348)),MAX(0,(bthan-hthan)*500)*ABS(COS(H348))+SQRT(MAX(0,MAX(1,hthan*500-'KT THAN'!$D$12)^2-MAX(0,(bthan-hthan)*500)^2*SIN(H348)^2))),MIN((bthan*500-'KT THAN'!$D$12)/MAX(0.0000001,ABS(COS(H348))),(hthan*500-'KT THAN'!$D$12)/MAX(0.0000001,ABS(SIN(H348)))))*SIN(H348))</f>
        <v>0</v>
      </c>
      <c r="K348" s="52">
        <f>IF(G348="",0,'KT THAN'!$D$11/'KT THAN'!$C$11)</f>
        <v>0</v>
      </c>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2"/>
      <c r="AK348" s="52"/>
      <c r="AL348" s="52"/>
      <c r="AM348" s="52"/>
      <c r="AN348" s="52"/>
    </row>
    <row r="349" spans="1:40" x14ac:dyDescent="0.3">
      <c r="A349" s="52">
        <v>344</v>
      </c>
      <c r="B349" s="52">
        <f>-bthan*500+(43+0.5)*bthan*1000/50</f>
        <v>2035</v>
      </c>
      <c r="C349" s="52">
        <f t="shared" si="97"/>
        <v>-670</v>
      </c>
      <c r="D349" s="52">
        <f t="shared" si="95"/>
        <v>2200</v>
      </c>
      <c r="E349" s="52">
        <f t="shared" si="96"/>
        <v>1</v>
      </c>
      <c r="F349" s="52"/>
      <c r="G349" s="52" t="str">
        <f>IF(344&lt;='KT THAN'!$C$11,344,"")</f>
        <v/>
      </c>
      <c r="H349" s="52">
        <f>IF(G349="",0,2*PI()*(G349-0.5)/'KT THAN'!$C$11)</f>
        <v>0</v>
      </c>
      <c r="I349" s="52">
        <f>IF(G349="",0,IF(shp=1,IF(AND(ABS(SIN(H349))&gt;0.0000001,MAX(1,hthan*500-'KT THAN'!$D$12)*ABS(COS(H349))/ABS(SIN(H349))&lt;=MAX(0,(bthan-hthan)*500)),MAX(1,hthan*500-'KT THAN'!$D$12)/ABS(SIN(H349)),MAX(0,(bthan-hthan)*500)*ABS(COS(H349))+SQRT(MAX(0,MAX(1,hthan*500-'KT THAN'!$D$12)^2-MAX(0,(bthan-hthan)*500)^2*SIN(H349)^2))),MIN((bthan*500-'KT THAN'!$D$12)/MAX(0.0000001,ABS(COS(H349))),(hthan*500-'KT THAN'!$D$12)/MAX(0.0000001,ABS(SIN(H349)))))*COS(H349))</f>
        <v>0</v>
      </c>
      <c r="J349" s="52">
        <f>IF(G349="",0,IF(shp=1,IF(AND(ABS(SIN(H349))&gt;0.0000001,MAX(1,hthan*500-'KT THAN'!$D$12)*ABS(COS(H349))/ABS(SIN(H349))&lt;=MAX(0,(bthan-hthan)*500)),MAX(1,hthan*500-'KT THAN'!$D$12)/ABS(SIN(H349)),MAX(0,(bthan-hthan)*500)*ABS(COS(H349))+SQRT(MAX(0,MAX(1,hthan*500-'KT THAN'!$D$12)^2-MAX(0,(bthan-hthan)*500)^2*SIN(H349)^2))),MIN((bthan*500-'KT THAN'!$D$12)/MAX(0.0000001,ABS(COS(H349))),(hthan*500-'KT THAN'!$D$12)/MAX(0.0000001,ABS(SIN(H349)))))*SIN(H349))</f>
        <v>0</v>
      </c>
      <c r="K349" s="52">
        <f>IF(G349="",0,'KT THAN'!$D$11/'KT THAN'!$C$11)</f>
        <v>0</v>
      </c>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2"/>
      <c r="AK349" s="52"/>
      <c r="AL349" s="52"/>
      <c r="AM349" s="52"/>
      <c r="AN349" s="52"/>
    </row>
    <row r="350" spans="1:40" x14ac:dyDescent="0.3">
      <c r="A350" s="52">
        <v>345</v>
      </c>
      <c r="B350" s="52">
        <f>-bthan*500+(44+0.5)*bthan*1000/50</f>
        <v>2145</v>
      </c>
      <c r="C350" s="52">
        <f t="shared" si="97"/>
        <v>-670</v>
      </c>
      <c r="D350" s="52">
        <f t="shared" si="95"/>
        <v>2200</v>
      </c>
      <c r="E350" s="52">
        <f t="shared" si="96"/>
        <v>1</v>
      </c>
      <c r="F350" s="52"/>
      <c r="G350" s="52" t="str">
        <f>IF(345&lt;='KT THAN'!$C$11,345,"")</f>
        <v/>
      </c>
      <c r="H350" s="52">
        <f>IF(G350="",0,2*PI()*(G350-0.5)/'KT THAN'!$C$11)</f>
        <v>0</v>
      </c>
      <c r="I350" s="52">
        <f>IF(G350="",0,IF(shp=1,IF(AND(ABS(SIN(H350))&gt;0.0000001,MAX(1,hthan*500-'KT THAN'!$D$12)*ABS(COS(H350))/ABS(SIN(H350))&lt;=MAX(0,(bthan-hthan)*500)),MAX(1,hthan*500-'KT THAN'!$D$12)/ABS(SIN(H350)),MAX(0,(bthan-hthan)*500)*ABS(COS(H350))+SQRT(MAX(0,MAX(1,hthan*500-'KT THAN'!$D$12)^2-MAX(0,(bthan-hthan)*500)^2*SIN(H350)^2))),MIN((bthan*500-'KT THAN'!$D$12)/MAX(0.0000001,ABS(COS(H350))),(hthan*500-'KT THAN'!$D$12)/MAX(0.0000001,ABS(SIN(H350)))))*COS(H350))</f>
        <v>0</v>
      </c>
      <c r="J350" s="52">
        <f>IF(G350="",0,IF(shp=1,IF(AND(ABS(SIN(H350))&gt;0.0000001,MAX(1,hthan*500-'KT THAN'!$D$12)*ABS(COS(H350))/ABS(SIN(H350))&lt;=MAX(0,(bthan-hthan)*500)),MAX(1,hthan*500-'KT THAN'!$D$12)/ABS(SIN(H350)),MAX(0,(bthan-hthan)*500)*ABS(COS(H350))+SQRT(MAX(0,MAX(1,hthan*500-'KT THAN'!$D$12)^2-MAX(0,(bthan-hthan)*500)^2*SIN(H350)^2))),MIN((bthan*500-'KT THAN'!$D$12)/MAX(0.0000001,ABS(COS(H350))),(hthan*500-'KT THAN'!$D$12)/MAX(0.0000001,ABS(SIN(H350)))))*SIN(H350))</f>
        <v>0</v>
      </c>
      <c r="K350" s="52">
        <f>IF(G350="",0,'KT THAN'!$D$11/'KT THAN'!$C$11)</f>
        <v>0</v>
      </c>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2"/>
      <c r="AK350" s="52"/>
      <c r="AL350" s="52"/>
      <c r="AM350" s="52"/>
      <c r="AN350" s="52"/>
    </row>
    <row r="351" spans="1:40" x14ac:dyDescent="0.3">
      <c r="A351" s="52">
        <v>346</v>
      </c>
      <c r="B351" s="52">
        <f>-bthan*500+(45+0.5)*bthan*1000/50</f>
        <v>2255</v>
      </c>
      <c r="C351" s="52">
        <f t="shared" si="97"/>
        <v>-670</v>
      </c>
      <c r="D351" s="52">
        <f t="shared" si="95"/>
        <v>2200</v>
      </c>
      <c r="E351" s="52">
        <f t="shared" si="96"/>
        <v>1</v>
      </c>
      <c r="F351" s="52"/>
      <c r="G351" s="52" t="str">
        <f>IF(346&lt;='KT THAN'!$C$11,346,"")</f>
        <v/>
      </c>
      <c r="H351" s="52">
        <f>IF(G351="",0,2*PI()*(G351-0.5)/'KT THAN'!$C$11)</f>
        <v>0</v>
      </c>
      <c r="I351" s="52">
        <f>IF(G351="",0,IF(shp=1,IF(AND(ABS(SIN(H351))&gt;0.0000001,MAX(1,hthan*500-'KT THAN'!$D$12)*ABS(COS(H351))/ABS(SIN(H351))&lt;=MAX(0,(bthan-hthan)*500)),MAX(1,hthan*500-'KT THAN'!$D$12)/ABS(SIN(H351)),MAX(0,(bthan-hthan)*500)*ABS(COS(H351))+SQRT(MAX(0,MAX(1,hthan*500-'KT THAN'!$D$12)^2-MAX(0,(bthan-hthan)*500)^2*SIN(H351)^2))),MIN((bthan*500-'KT THAN'!$D$12)/MAX(0.0000001,ABS(COS(H351))),(hthan*500-'KT THAN'!$D$12)/MAX(0.0000001,ABS(SIN(H351)))))*COS(H351))</f>
        <v>0</v>
      </c>
      <c r="J351" s="52">
        <f>IF(G351="",0,IF(shp=1,IF(AND(ABS(SIN(H351))&gt;0.0000001,MAX(1,hthan*500-'KT THAN'!$D$12)*ABS(COS(H351))/ABS(SIN(H351))&lt;=MAX(0,(bthan-hthan)*500)),MAX(1,hthan*500-'KT THAN'!$D$12)/ABS(SIN(H351)),MAX(0,(bthan-hthan)*500)*ABS(COS(H351))+SQRT(MAX(0,MAX(1,hthan*500-'KT THAN'!$D$12)^2-MAX(0,(bthan-hthan)*500)^2*SIN(H351)^2))),MIN((bthan*500-'KT THAN'!$D$12)/MAX(0.0000001,ABS(COS(H351))),(hthan*500-'KT THAN'!$D$12)/MAX(0.0000001,ABS(SIN(H351)))))*SIN(H351))</f>
        <v>0</v>
      </c>
      <c r="K351" s="52">
        <f>IF(G351="",0,'KT THAN'!$D$11/'KT THAN'!$C$11)</f>
        <v>0</v>
      </c>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2"/>
      <c r="AK351" s="52"/>
      <c r="AL351" s="52"/>
      <c r="AM351" s="52"/>
      <c r="AN351" s="52"/>
    </row>
    <row r="352" spans="1:40" x14ac:dyDescent="0.3">
      <c r="A352" s="52">
        <v>347</v>
      </c>
      <c r="B352" s="52">
        <f>-bthan*500+(46+0.5)*bthan*1000/50</f>
        <v>2365</v>
      </c>
      <c r="C352" s="52">
        <f t="shared" si="97"/>
        <v>-670</v>
      </c>
      <c r="D352" s="52">
        <f t="shared" si="95"/>
        <v>2200</v>
      </c>
      <c r="E352" s="52">
        <f t="shared" si="96"/>
        <v>1</v>
      </c>
      <c r="F352" s="52"/>
      <c r="G352" s="52" t="str">
        <f>IF(347&lt;='KT THAN'!$C$11,347,"")</f>
        <v/>
      </c>
      <c r="H352" s="52">
        <f>IF(G352="",0,2*PI()*(G352-0.5)/'KT THAN'!$C$11)</f>
        <v>0</v>
      </c>
      <c r="I352" s="52">
        <f>IF(G352="",0,IF(shp=1,IF(AND(ABS(SIN(H352))&gt;0.0000001,MAX(1,hthan*500-'KT THAN'!$D$12)*ABS(COS(H352))/ABS(SIN(H352))&lt;=MAX(0,(bthan-hthan)*500)),MAX(1,hthan*500-'KT THAN'!$D$12)/ABS(SIN(H352)),MAX(0,(bthan-hthan)*500)*ABS(COS(H352))+SQRT(MAX(0,MAX(1,hthan*500-'KT THAN'!$D$12)^2-MAX(0,(bthan-hthan)*500)^2*SIN(H352)^2))),MIN((bthan*500-'KT THAN'!$D$12)/MAX(0.0000001,ABS(COS(H352))),(hthan*500-'KT THAN'!$D$12)/MAX(0.0000001,ABS(SIN(H352)))))*COS(H352))</f>
        <v>0</v>
      </c>
      <c r="J352" s="52">
        <f>IF(G352="",0,IF(shp=1,IF(AND(ABS(SIN(H352))&gt;0.0000001,MAX(1,hthan*500-'KT THAN'!$D$12)*ABS(COS(H352))/ABS(SIN(H352))&lt;=MAX(0,(bthan-hthan)*500)),MAX(1,hthan*500-'KT THAN'!$D$12)/ABS(SIN(H352)),MAX(0,(bthan-hthan)*500)*ABS(COS(H352))+SQRT(MAX(0,MAX(1,hthan*500-'KT THAN'!$D$12)^2-MAX(0,(bthan-hthan)*500)^2*SIN(H352)^2))),MIN((bthan*500-'KT THAN'!$D$12)/MAX(0.0000001,ABS(COS(H352))),(hthan*500-'KT THAN'!$D$12)/MAX(0.0000001,ABS(SIN(H352)))))*SIN(H352))</f>
        <v>0</v>
      </c>
      <c r="K352" s="52">
        <f>IF(G352="",0,'KT THAN'!$D$11/'KT THAN'!$C$11)</f>
        <v>0</v>
      </c>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2"/>
      <c r="AK352" s="52"/>
      <c r="AL352" s="52"/>
      <c r="AM352" s="52"/>
      <c r="AN352" s="52"/>
    </row>
    <row r="353" spans="1:40" x14ac:dyDescent="0.3">
      <c r="A353" s="52">
        <v>348</v>
      </c>
      <c r="B353" s="52">
        <f>-bthan*500+(47+0.5)*bthan*1000/50</f>
        <v>2475</v>
      </c>
      <c r="C353" s="52">
        <f t="shared" si="97"/>
        <v>-670</v>
      </c>
      <c r="D353" s="52">
        <f t="shared" si="95"/>
        <v>2200</v>
      </c>
      <c r="E353" s="52">
        <f t="shared" si="96"/>
        <v>0</v>
      </c>
      <c r="F353" s="52"/>
      <c r="G353" s="52" t="str">
        <f>IF(348&lt;='KT THAN'!$C$11,348,"")</f>
        <v/>
      </c>
      <c r="H353" s="52">
        <f>IF(G353="",0,2*PI()*(G353-0.5)/'KT THAN'!$C$11)</f>
        <v>0</v>
      </c>
      <c r="I353" s="52">
        <f>IF(G353="",0,IF(shp=1,IF(AND(ABS(SIN(H353))&gt;0.0000001,MAX(1,hthan*500-'KT THAN'!$D$12)*ABS(COS(H353))/ABS(SIN(H353))&lt;=MAX(0,(bthan-hthan)*500)),MAX(1,hthan*500-'KT THAN'!$D$12)/ABS(SIN(H353)),MAX(0,(bthan-hthan)*500)*ABS(COS(H353))+SQRT(MAX(0,MAX(1,hthan*500-'KT THAN'!$D$12)^2-MAX(0,(bthan-hthan)*500)^2*SIN(H353)^2))),MIN((bthan*500-'KT THAN'!$D$12)/MAX(0.0000001,ABS(COS(H353))),(hthan*500-'KT THAN'!$D$12)/MAX(0.0000001,ABS(SIN(H353)))))*COS(H353))</f>
        <v>0</v>
      </c>
      <c r="J353" s="52">
        <f>IF(G353="",0,IF(shp=1,IF(AND(ABS(SIN(H353))&gt;0.0000001,MAX(1,hthan*500-'KT THAN'!$D$12)*ABS(COS(H353))/ABS(SIN(H353))&lt;=MAX(0,(bthan-hthan)*500)),MAX(1,hthan*500-'KT THAN'!$D$12)/ABS(SIN(H353)),MAX(0,(bthan-hthan)*500)*ABS(COS(H353))+SQRT(MAX(0,MAX(1,hthan*500-'KT THAN'!$D$12)^2-MAX(0,(bthan-hthan)*500)^2*SIN(H353)^2))),MIN((bthan*500-'KT THAN'!$D$12)/MAX(0.0000001,ABS(COS(H353))),(hthan*500-'KT THAN'!$D$12)/MAX(0.0000001,ABS(SIN(H353)))))*SIN(H353))</f>
        <v>0</v>
      </c>
      <c r="K353" s="52">
        <f>IF(G353="",0,'KT THAN'!$D$11/'KT THAN'!$C$11)</f>
        <v>0</v>
      </c>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2"/>
      <c r="AK353" s="52"/>
      <c r="AL353" s="52"/>
      <c r="AM353" s="52"/>
      <c r="AN353" s="52"/>
    </row>
    <row r="354" spans="1:40" x14ac:dyDescent="0.3">
      <c r="A354" s="52">
        <v>349</v>
      </c>
      <c r="B354" s="52">
        <f>-bthan*500+(48+0.5)*bthan*1000/50</f>
        <v>2585</v>
      </c>
      <c r="C354" s="52">
        <f t="shared" si="97"/>
        <v>-670</v>
      </c>
      <c r="D354" s="52">
        <f t="shared" si="95"/>
        <v>2200</v>
      </c>
      <c r="E354" s="52">
        <f t="shared" si="96"/>
        <v>0</v>
      </c>
      <c r="F354" s="52"/>
      <c r="G354" s="52" t="str">
        <f>IF(349&lt;='KT THAN'!$C$11,349,"")</f>
        <v/>
      </c>
      <c r="H354" s="52">
        <f>IF(G354="",0,2*PI()*(G354-0.5)/'KT THAN'!$C$11)</f>
        <v>0</v>
      </c>
      <c r="I354" s="52">
        <f>IF(G354="",0,IF(shp=1,IF(AND(ABS(SIN(H354))&gt;0.0000001,MAX(1,hthan*500-'KT THAN'!$D$12)*ABS(COS(H354))/ABS(SIN(H354))&lt;=MAX(0,(bthan-hthan)*500)),MAX(1,hthan*500-'KT THAN'!$D$12)/ABS(SIN(H354)),MAX(0,(bthan-hthan)*500)*ABS(COS(H354))+SQRT(MAX(0,MAX(1,hthan*500-'KT THAN'!$D$12)^2-MAX(0,(bthan-hthan)*500)^2*SIN(H354)^2))),MIN((bthan*500-'KT THAN'!$D$12)/MAX(0.0000001,ABS(COS(H354))),(hthan*500-'KT THAN'!$D$12)/MAX(0.0000001,ABS(SIN(H354)))))*COS(H354))</f>
        <v>0</v>
      </c>
      <c r="J354" s="52">
        <f>IF(G354="",0,IF(shp=1,IF(AND(ABS(SIN(H354))&gt;0.0000001,MAX(1,hthan*500-'KT THAN'!$D$12)*ABS(COS(H354))/ABS(SIN(H354))&lt;=MAX(0,(bthan-hthan)*500)),MAX(1,hthan*500-'KT THAN'!$D$12)/ABS(SIN(H354)),MAX(0,(bthan-hthan)*500)*ABS(COS(H354))+SQRT(MAX(0,MAX(1,hthan*500-'KT THAN'!$D$12)^2-MAX(0,(bthan-hthan)*500)^2*SIN(H354)^2))),MIN((bthan*500-'KT THAN'!$D$12)/MAX(0.0000001,ABS(COS(H354))),(hthan*500-'KT THAN'!$D$12)/MAX(0.0000001,ABS(SIN(H354)))))*SIN(H354))</f>
        <v>0</v>
      </c>
      <c r="K354" s="52">
        <f>IF(G354="",0,'KT THAN'!$D$11/'KT THAN'!$C$11)</f>
        <v>0</v>
      </c>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2"/>
      <c r="AK354" s="52"/>
      <c r="AL354" s="52"/>
      <c r="AM354" s="52"/>
      <c r="AN354" s="52"/>
    </row>
    <row r="355" spans="1:40" x14ac:dyDescent="0.3">
      <c r="A355" s="52">
        <v>350</v>
      </c>
      <c r="B355" s="52">
        <f>-bthan*500+(49+0.5)*bthan*1000/50</f>
        <v>2695</v>
      </c>
      <c r="C355" s="52">
        <f t="shared" si="97"/>
        <v>-670</v>
      </c>
      <c r="D355" s="52">
        <f t="shared" si="95"/>
        <v>2200</v>
      </c>
      <c r="E355" s="52">
        <f t="shared" si="96"/>
        <v>0</v>
      </c>
      <c r="F355" s="52"/>
      <c r="G355" s="52" t="str">
        <f>IF(350&lt;='KT THAN'!$C$11,350,"")</f>
        <v/>
      </c>
      <c r="H355" s="52">
        <f>IF(G355="",0,2*PI()*(G355-0.5)/'KT THAN'!$C$11)</f>
        <v>0</v>
      </c>
      <c r="I355" s="52">
        <f>IF(G355="",0,IF(shp=1,IF(AND(ABS(SIN(H355))&gt;0.0000001,MAX(1,hthan*500-'KT THAN'!$D$12)*ABS(COS(H355))/ABS(SIN(H355))&lt;=MAX(0,(bthan-hthan)*500)),MAX(1,hthan*500-'KT THAN'!$D$12)/ABS(SIN(H355)),MAX(0,(bthan-hthan)*500)*ABS(COS(H355))+SQRT(MAX(0,MAX(1,hthan*500-'KT THAN'!$D$12)^2-MAX(0,(bthan-hthan)*500)^2*SIN(H355)^2))),MIN((bthan*500-'KT THAN'!$D$12)/MAX(0.0000001,ABS(COS(H355))),(hthan*500-'KT THAN'!$D$12)/MAX(0.0000001,ABS(SIN(H355)))))*COS(H355))</f>
        <v>0</v>
      </c>
      <c r="J355" s="52">
        <f>IF(G355="",0,IF(shp=1,IF(AND(ABS(SIN(H355))&gt;0.0000001,MAX(1,hthan*500-'KT THAN'!$D$12)*ABS(COS(H355))/ABS(SIN(H355))&lt;=MAX(0,(bthan-hthan)*500)),MAX(1,hthan*500-'KT THAN'!$D$12)/ABS(SIN(H355)),MAX(0,(bthan-hthan)*500)*ABS(COS(H355))+SQRT(MAX(0,MAX(1,hthan*500-'KT THAN'!$D$12)^2-MAX(0,(bthan-hthan)*500)^2*SIN(H355)^2))),MIN((bthan*500-'KT THAN'!$D$12)/MAX(0.0000001,ABS(COS(H355))),(hthan*500-'KT THAN'!$D$12)/MAX(0.0000001,ABS(SIN(H355)))))*SIN(H355))</f>
        <v>0</v>
      </c>
      <c r="K355" s="52">
        <f>IF(G355="",0,'KT THAN'!$D$11/'KT THAN'!$C$11)</f>
        <v>0</v>
      </c>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c r="AJ355" s="52"/>
      <c r="AK355" s="52"/>
      <c r="AL355" s="52"/>
      <c r="AM355" s="52"/>
      <c r="AN355" s="52"/>
    </row>
    <row r="356" spans="1:40" x14ac:dyDescent="0.3">
      <c r="A356" s="52">
        <v>351</v>
      </c>
      <c r="B356" s="52">
        <f>-bthan*500+(0+0.5)*bthan*1000/50</f>
        <v>-2695</v>
      </c>
      <c r="C356" s="52">
        <f t="shared" ref="C356:C387" si="98">-hthan*500+(7+0.5)*hthan*1000/80</f>
        <v>-650</v>
      </c>
      <c r="D356" s="52">
        <f t="shared" si="95"/>
        <v>2200</v>
      </c>
      <c r="E356" s="52">
        <f t="shared" si="96"/>
        <v>0</v>
      </c>
      <c r="F356" s="52"/>
      <c r="G356" s="52" t="str">
        <f>IF(351&lt;='KT THAN'!$C$11,351,"")</f>
        <v/>
      </c>
      <c r="H356" s="52">
        <f>IF(G356="",0,2*PI()*(G356-0.5)/'KT THAN'!$C$11)</f>
        <v>0</v>
      </c>
      <c r="I356" s="52">
        <f>IF(G356="",0,IF(shp=1,IF(AND(ABS(SIN(H356))&gt;0.0000001,MAX(1,hthan*500-'KT THAN'!$D$12)*ABS(COS(H356))/ABS(SIN(H356))&lt;=MAX(0,(bthan-hthan)*500)),MAX(1,hthan*500-'KT THAN'!$D$12)/ABS(SIN(H356)),MAX(0,(bthan-hthan)*500)*ABS(COS(H356))+SQRT(MAX(0,MAX(1,hthan*500-'KT THAN'!$D$12)^2-MAX(0,(bthan-hthan)*500)^2*SIN(H356)^2))),MIN((bthan*500-'KT THAN'!$D$12)/MAX(0.0000001,ABS(COS(H356))),(hthan*500-'KT THAN'!$D$12)/MAX(0.0000001,ABS(SIN(H356)))))*COS(H356))</f>
        <v>0</v>
      </c>
      <c r="J356" s="52">
        <f>IF(G356="",0,IF(shp=1,IF(AND(ABS(SIN(H356))&gt;0.0000001,MAX(1,hthan*500-'KT THAN'!$D$12)*ABS(COS(H356))/ABS(SIN(H356))&lt;=MAX(0,(bthan-hthan)*500)),MAX(1,hthan*500-'KT THAN'!$D$12)/ABS(SIN(H356)),MAX(0,(bthan-hthan)*500)*ABS(COS(H356))+SQRT(MAX(0,MAX(1,hthan*500-'KT THAN'!$D$12)^2-MAX(0,(bthan-hthan)*500)^2*SIN(H356)^2))),MIN((bthan*500-'KT THAN'!$D$12)/MAX(0.0000001,ABS(COS(H356))),(hthan*500-'KT THAN'!$D$12)/MAX(0.0000001,ABS(SIN(H356)))))*SIN(H356))</f>
        <v>0</v>
      </c>
      <c r="K356" s="52">
        <f>IF(G356="",0,'KT THAN'!$D$11/'KT THAN'!$C$11)</f>
        <v>0</v>
      </c>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2"/>
      <c r="AK356" s="52"/>
      <c r="AL356" s="52"/>
      <c r="AM356" s="52"/>
      <c r="AN356" s="52"/>
    </row>
    <row r="357" spans="1:40" x14ac:dyDescent="0.3">
      <c r="A357" s="52">
        <v>352</v>
      </c>
      <c r="B357" s="52">
        <f>-bthan*500+(1+0.5)*bthan*1000/50</f>
        <v>-2585</v>
      </c>
      <c r="C357" s="52">
        <f t="shared" si="98"/>
        <v>-650</v>
      </c>
      <c r="D357" s="52">
        <f t="shared" si="95"/>
        <v>2200</v>
      </c>
      <c r="E357" s="52">
        <f t="shared" si="96"/>
        <v>0</v>
      </c>
      <c r="F357" s="52"/>
      <c r="G357" s="52" t="str">
        <f>IF(352&lt;='KT THAN'!$C$11,352,"")</f>
        <v/>
      </c>
      <c r="H357" s="52">
        <f>IF(G357="",0,2*PI()*(G357-0.5)/'KT THAN'!$C$11)</f>
        <v>0</v>
      </c>
      <c r="I357" s="52">
        <f>IF(G357="",0,IF(shp=1,IF(AND(ABS(SIN(H357))&gt;0.0000001,MAX(1,hthan*500-'KT THAN'!$D$12)*ABS(COS(H357))/ABS(SIN(H357))&lt;=MAX(0,(bthan-hthan)*500)),MAX(1,hthan*500-'KT THAN'!$D$12)/ABS(SIN(H357)),MAX(0,(bthan-hthan)*500)*ABS(COS(H357))+SQRT(MAX(0,MAX(1,hthan*500-'KT THAN'!$D$12)^2-MAX(0,(bthan-hthan)*500)^2*SIN(H357)^2))),MIN((bthan*500-'KT THAN'!$D$12)/MAX(0.0000001,ABS(COS(H357))),(hthan*500-'KT THAN'!$D$12)/MAX(0.0000001,ABS(SIN(H357)))))*COS(H357))</f>
        <v>0</v>
      </c>
      <c r="J357" s="52">
        <f>IF(G357="",0,IF(shp=1,IF(AND(ABS(SIN(H357))&gt;0.0000001,MAX(1,hthan*500-'KT THAN'!$D$12)*ABS(COS(H357))/ABS(SIN(H357))&lt;=MAX(0,(bthan-hthan)*500)),MAX(1,hthan*500-'KT THAN'!$D$12)/ABS(SIN(H357)),MAX(0,(bthan-hthan)*500)*ABS(COS(H357))+SQRT(MAX(0,MAX(1,hthan*500-'KT THAN'!$D$12)^2-MAX(0,(bthan-hthan)*500)^2*SIN(H357)^2))),MIN((bthan*500-'KT THAN'!$D$12)/MAX(0.0000001,ABS(COS(H357))),(hthan*500-'KT THAN'!$D$12)/MAX(0.0000001,ABS(SIN(H357)))))*SIN(H357))</f>
        <v>0</v>
      </c>
      <c r="K357" s="52">
        <f>IF(G357="",0,'KT THAN'!$D$11/'KT THAN'!$C$11)</f>
        <v>0</v>
      </c>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2"/>
      <c r="AK357" s="52"/>
      <c r="AL357" s="52"/>
      <c r="AM357" s="52"/>
      <c r="AN357" s="52"/>
    </row>
    <row r="358" spans="1:40" x14ac:dyDescent="0.3">
      <c r="A358" s="52">
        <v>353</v>
      </c>
      <c r="B358" s="52">
        <f>-bthan*500+(2+0.5)*bthan*1000/50</f>
        <v>-2475</v>
      </c>
      <c r="C358" s="52">
        <f t="shared" si="98"/>
        <v>-650</v>
      </c>
      <c r="D358" s="52">
        <f t="shared" si="95"/>
        <v>2200</v>
      </c>
      <c r="E358" s="52">
        <f t="shared" si="96"/>
        <v>0</v>
      </c>
      <c r="F358" s="52"/>
      <c r="G358" s="52" t="str">
        <f>IF(353&lt;='KT THAN'!$C$11,353,"")</f>
        <v/>
      </c>
      <c r="H358" s="52">
        <f>IF(G358="",0,2*PI()*(G358-0.5)/'KT THAN'!$C$11)</f>
        <v>0</v>
      </c>
      <c r="I358" s="52">
        <f>IF(G358="",0,IF(shp=1,IF(AND(ABS(SIN(H358))&gt;0.0000001,MAX(1,hthan*500-'KT THAN'!$D$12)*ABS(COS(H358))/ABS(SIN(H358))&lt;=MAX(0,(bthan-hthan)*500)),MAX(1,hthan*500-'KT THAN'!$D$12)/ABS(SIN(H358)),MAX(0,(bthan-hthan)*500)*ABS(COS(H358))+SQRT(MAX(0,MAX(1,hthan*500-'KT THAN'!$D$12)^2-MAX(0,(bthan-hthan)*500)^2*SIN(H358)^2))),MIN((bthan*500-'KT THAN'!$D$12)/MAX(0.0000001,ABS(COS(H358))),(hthan*500-'KT THAN'!$D$12)/MAX(0.0000001,ABS(SIN(H358)))))*COS(H358))</f>
        <v>0</v>
      </c>
      <c r="J358" s="52">
        <f>IF(G358="",0,IF(shp=1,IF(AND(ABS(SIN(H358))&gt;0.0000001,MAX(1,hthan*500-'KT THAN'!$D$12)*ABS(COS(H358))/ABS(SIN(H358))&lt;=MAX(0,(bthan-hthan)*500)),MAX(1,hthan*500-'KT THAN'!$D$12)/ABS(SIN(H358)),MAX(0,(bthan-hthan)*500)*ABS(COS(H358))+SQRT(MAX(0,MAX(1,hthan*500-'KT THAN'!$D$12)^2-MAX(0,(bthan-hthan)*500)^2*SIN(H358)^2))),MIN((bthan*500-'KT THAN'!$D$12)/MAX(0.0000001,ABS(COS(H358))),(hthan*500-'KT THAN'!$D$12)/MAX(0.0000001,ABS(SIN(H358)))))*SIN(H358))</f>
        <v>0</v>
      </c>
      <c r="K358" s="52">
        <f>IF(G358="",0,'KT THAN'!$D$11/'KT THAN'!$C$11)</f>
        <v>0</v>
      </c>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2"/>
      <c r="AK358" s="52"/>
      <c r="AL358" s="52"/>
      <c r="AM358" s="52"/>
      <c r="AN358" s="52"/>
    </row>
    <row r="359" spans="1:40" x14ac:dyDescent="0.3">
      <c r="A359" s="52">
        <v>354</v>
      </c>
      <c r="B359" s="52">
        <f>-bthan*500+(3+0.5)*bthan*1000/50</f>
        <v>-2365</v>
      </c>
      <c r="C359" s="52">
        <f t="shared" si="98"/>
        <v>-650</v>
      </c>
      <c r="D359" s="52">
        <f t="shared" si="95"/>
        <v>2200</v>
      </c>
      <c r="E359" s="52">
        <f t="shared" si="96"/>
        <v>1</v>
      </c>
      <c r="F359" s="52"/>
      <c r="G359" s="52" t="str">
        <f>IF(354&lt;='KT THAN'!$C$11,354,"")</f>
        <v/>
      </c>
      <c r="H359" s="52">
        <f>IF(G359="",0,2*PI()*(G359-0.5)/'KT THAN'!$C$11)</f>
        <v>0</v>
      </c>
      <c r="I359" s="52">
        <f>IF(G359="",0,IF(shp=1,IF(AND(ABS(SIN(H359))&gt;0.0000001,MAX(1,hthan*500-'KT THAN'!$D$12)*ABS(COS(H359))/ABS(SIN(H359))&lt;=MAX(0,(bthan-hthan)*500)),MAX(1,hthan*500-'KT THAN'!$D$12)/ABS(SIN(H359)),MAX(0,(bthan-hthan)*500)*ABS(COS(H359))+SQRT(MAX(0,MAX(1,hthan*500-'KT THAN'!$D$12)^2-MAX(0,(bthan-hthan)*500)^2*SIN(H359)^2))),MIN((bthan*500-'KT THAN'!$D$12)/MAX(0.0000001,ABS(COS(H359))),(hthan*500-'KT THAN'!$D$12)/MAX(0.0000001,ABS(SIN(H359)))))*COS(H359))</f>
        <v>0</v>
      </c>
      <c r="J359" s="52">
        <f>IF(G359="",0,IF(shp=1,IF(AND(ABS(SIN(H359))&gt;0.0000001,MAX(1,hthan*500-'KT THAN'!$D$12)*ABS(COS(H359))/ABS(SIN(H359))&lt;=MAX(0,(bthan-hthan)*500)),MAX(1,hthan*500-'KT THAN'!$D$12)/ABS(SIN(H359)),MAX(0,(bthan-hthan)*500)*ABS(COS(H359))+SQRT(MAX(0,MAX(1,hthan*500-'KT THAN'!$D$12)^2-MAX(0,(bthan-hthan)*500)^2*SIN(H359)^2))),MIN((bthan*500-'KT THAN'!$D$12)/MAX(0.0000001,ABS(COS(H359))),(hthan*500-'KT THAN'!$D$12)/MAX(0.0000001,ABS(SIN(H359)))))*SIN(H359))</f>
        <v>0</v>
      </c>
      <c r="K359" s="52">
        <f>IF(G359="",0,'KT THAN'!$D$11/'KT THAN'!$C$11)</f>
        <v>0</v>
      </c>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2"/>
      <c r="AK359" s="52"/>
      <c r="AL359" s="52"/>
      <c r="AM359" s="52"/>
      <c r="AN359" s="52"/>
    </row>
    <row r="360" spans="1:40" x14ac:dyDescent="0.3">
      <c r="A360" s="52">
        <v>355</v>
      </c>
      <c r="B360" s="52">
        <f>-bthan*500+(4+0.5)*bthan*1000/50</f>
        <v>-2255</v>
      </c>
      <c r="C360" s="52">
        <f t="shared" si="98"/>
        <v>-650</v>
      </c>
      <c r="D360" s="52">
        <f t="shared" si="95"/>
        <v>2200</v>
      </c>
      <c r="E360" s="52">
        <f t="shared" si="96"/>
        <v>1</v>
      </c>
      <c r="F360" s="52"/>
      <c r="G360" s="52" t="str">
        <f>IF(355&lt;='KT THAN'!$C$11,355,"")</f>
        <v/>
      </c>
      <c r="H360" s="52">
        <f>IF(G360="",0,2*PI()*(G360-0.5)/'KT THAN'!$C$11)</f>
        <v>0</v>
      </c>
      <c r="I360" s="52">
        <f>IF(G360="",0,IF(shp=1,IF(AND(ABS(SIN(H360))&gt;0.0000001,MAX(1,hthan*500-'KT THAN'!$D$12)*ABS(COS(H360))/ABS(SIN(H360))&lt;=MAX(0,(bthan-hthan)*500)),MAX(1,hthan*500-'KT THAN'!$D$12)/ABS(SIN(H360)),MAX(0,(bthan-hthan)*500)*ABS(COS(H360))+SQRT(MAX(0,MAX(1,hthan*500-'KT THAN'!$D$12)^2-MAX(0,(bthan-hthan)*500)^2*SIN(H360)^2))),MIN((bthan*500-'KT THAN'!$D$12)/MAX(0.0000001,ABS(COS(H360))),(hthan*500-'KT THAN'!$D$12)/MAX(0.0000001,ABS(SIN(H360)))))*COS(H360))</f>
        <v>0</v>
      </c>
      <c r="J360" s="52">
        <f>IF(G360="",0,IF(shp=1,IF(AND(ABS(SIN(H360))&gt;0.0000001,MAX(1,hthan*500-'KT THAN'!$D$12)*ABS(COS(H360))/ABS(SIN(H360))&lt;=MAX(0,(bthan-hthan)*500)),MAX(1,hthan*500-'KT THAN'!$D$12)/ABS(SIN(H360)),MAX(0,(bthan-hthan)*500)*ABS(COS(H360))+SQRT(MAX(0,MAX(1,hthan*500-'KT THAN'!$D$12)^2-MAX(0,(bthan-hthan)*500)^2*SIN(H360)^2))),MIN((bthan*500-'KT THAN'!$D$12)/MAX(0.0000001,ABS(COS(H360))),(hthan*500-'KT THAN'!$D$12)/MAX(0.0000001,ABS(SIN(H360)))))*SIN(H360))</f>
        <v>0</v>
      </c>
      <c r="K360" s="52">
        <f>IF(G360="",0,'KT THAN'!$D$11/'KT THAN'!$C$11)</f>
        <v>0</v>
      </c>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2"/>
      <c r="AK360" s="52"/>
      <c r="AL360" s="52"/>
      <c r="AM360" s="52"/>
      <c r="AN360" s="52"/>
    </row>
    <row r="361" spans="1:40" x14ac:dyDescent="0.3">
      <c r="A361" s="52">
        <v>356</v>
      </c>
      <c r="B361" s="52">
        <f>-bthan*500+(5+0.5)*bthan*1000/50</f>
        <v>-2145</v>
      </c>
      <c r="C361" s="52">
        <f t="shared" si="98"/>
        <v>-650</v>
      </c>
      <c r="D361" s="52">
        <f t="shared" si="95"/>
        <v>2200</v>
      </c>
      <c r="E361" s="52">
        <f t="shared" si="96"/>
        <v>1</v>
      </c>
      <c r="F361" s="52"/>
      <c r="G361" s="52" t="str">
        <f>IF(356&lt;='KT THAN'!$C$11,356,"")</f>
        <v/>
      </c>
      <c r="H361" s="52">
        <f>IF(G361="",0,2*PI()*(G361-0.5)/'KT THAN'!$C$11)</f>
        <v>0</v>
      </c>
      <c r="I361" s="52">
        <f>IF(G361="",0,IF(shp=1,IF(AND(ABS(SIN(H361))&gt;0.0000001,MAX(1,hthan*500-'KT THAN'!$D$12)*ABS(COS(H361))/ABS(SIN(H361))&lt;=MAX(0,(bthan-hthan)*500)),MAX(1,hthan*500-'KT THAN'!$D$12)/ABS(SIN(H361)),MAX(0,(bthan-hthan)*500)*ABS(COS(H361))+SQRT(MAX(0,MAX(1,hthan*500-'KT THAN'!$D$12)^2-MAX(0,(bthan-hthan)*500)^2*SIN(H361)^2))),MIN((bthan*500-'KT THAN'!$D$12)/MAX(0.0000001,ABS(COS(H361))),(hthan*500-'KT THAN'!$D$12)/MAX(0.0000001,ABS(SIN(H361)))))*COS(H361))</f>
        <v>0</v>
      </c>
      <c r="J361" s="52">
        <f>IF(G361="",0,IF(shp=1,IF(AND(ABS(SIN(H361))&gt;0.0000001,MAX(1,hthan*500-'KT THAN'!$D$12)*ABS(COS(H361))/ABS(SIN(H361))&lt;=MAX(0,(bthan-hthan)*500)),MAX(1,hthan*500-'KT THAN'!$D$12)/ABS(SIN(H361)),MAX(0,(bthan-hthan)*500)*ABS(COS(H361))+SQRT(MAX(0,MAX(1,hthan*500-'KT THAN'!$D$12)^2-MAX(0,(bthan-hthan)*500)^2*SIN(H361)^2))),MIN((bthan*500-'KT THAN'!$D$12)/MAX(0.0000001,ABS(COS(H361))),(hthan*500-'KT THAN'!$D$12)/MAX(0.0000001,ABS(SIN(H361)))))*SIN(H361))</f>
        <v>0</v>
      </c>
      <c r="K361" s="52">
        <f>IF(G361="",0,'KT THAN'!$D$11/'KT THAN'!$C$11)</f>
        <v>0</v>
      </c>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2"/>
      <c r="AK361" s="52"/>
      <c r="AL361" s="52"/>
      <c r="AM361" s="52"/>
      <c r="AN361" s="52"/>
    </row>
    <row r="362" spans="1:40" x14ac:dyDescent="0.3">
      <c r="A362" s="52">
        <v>357</v>
      </c>
      <c r="B362" s="52">
        <f>-bthan*500+(6+0.5)*bthan*1000/50</f>
        <v>-2035</v>
      </c>
      <c r="C362" s="52">
        <f t="shared" si="98"/>
        <v>-650</v>
      </c>
      <c r="D362" s="52">
        <f t="shared" si="95"/>
        <v>2200</v>
      </c>
      <c r="E362" s="52">
        <f t="shared" si="96"/>
        <v>1</v>
      </c>
      <c r="F362" s="52"/>
      <c r="G362" s="52" t="str">
        <f>IF(357&lt;='KT THAN'!$C$11,357,"")</f>
        <v/>
      </c>
      <c r="H362" s="52">
        <f>IF(G362="",0,2*PI()*(G362-0.5)/'KT THAN'!$C$11)</f>
        <v>0</v>
      </c>
      <c r="I362" s="52">
        <f>IF(G362="",0,IF(shp=1,IF(AND(ABS(SIN(H362))&gt;0.0000001,MAX(1,hthan*500-'KT THAN'!$D$12)*ABS(COS(H362))/ABS(SIN(H362))&lt;=MAX(0,(bthan-hthan)*500)),MAX(1,hthan*500-'KT THAN'!$D$12)/ABS(SIN(H362)),MAX(0,(bthan-hthan)*500)*ABS(COS(H362))+SQRT(MAX(0,MAX(1,hthan*500-'KT THAN'!$D$12)^2-MAX(0,(bthan-hthan)*500)^2*SIN(H362)^2))),MIN((bthan*500-'KT THAN'!$D$12)/MAX(0.0000001,ABS(COS(H362))),(hthan*500-'KT THAN'!$D$12)/MAX(0.0000001,ABS(SIN(H362)))))*COS(H362))</f>
        <v>0</v>
      </c>
      <c r="J362" s="52">
        <f>IF(G362="",0,IF(shp=1,IF(AND(ABS(SIN(H362))&gt;0.0000001,MAX(1,hthan*500-'KT THAN'!$D$12)*ABS(COS(H362))/ABS(SIN(H362))&lt;=MAX(0,(bthan-hthan)*500)),MAX(1,hthan*500-'KT THAN'!$D$12)/ABS(SIN(H362)),MAX(0,(bthan-hthan)*500)*ABS(COS(H362))+SQRT(MAX(0,MAX(1,hthan*500-'KT THAN'!$D$12)^2-MAX(0,(bthan-hthan)*500)^2*SIN(H362)^2))),MIN((bthan*500-'KT THAN'!$D$12)/MAX(0.0000001,ABS(COS(H362))),(hthan*500-'KT THAN'!$D$12)/MAX(0.0000001,ABS(SIN(H362)))))*SIN(H362))</f>
        <v>0</v>
      </c>
      <c r="K362" s="52">
        <f>IF(G362="",0,'KT THAN'!$D$11/'KT THAN'!$C$11)</f>
        <v>0</v>
      </c>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2"/>
      <c r="AK362" s="52"/>
      <c r="AL362" s="52"/>
      <c r="AM362" s="52"/>
      <c r="AN362" s="52"/>
    </row>
    <row r="363" spans="1:40" x14ac:dyDescent="0.3">
      <c r="A363" s="52">
        <v>358</v>
      </c>
      <c r="B363" s="52">
        <f>-bthan*500+(7+0.5)*bthan*1000/50</f>
        <v>-1925</v>
      </c>
      <c r="C363" s="52">
        <f t="shared" si="98"/>
        <v>-650</v>
      </c>
      <c r="D363" s="52">
        <f t="shared" si="95"/>
        <v>2200</v>
      </c>
      <c r="E363" s="52">
        <f t="shared" si="96"/>
        <v>1</v>
      </c>
      <c r="F363" s="52"/>
      <c r="G363" s="52" t="str">
        <f>IF(358&lt;='KT THAN'!$C$11,358,"")</f>
        <v/>
      </c>
      <c r="H363" s="52">
        <f>IF(G363="",0,2*PI()*(G363-0.5)/'KT THAN'!$C$11)</f>
        <v>0</v>
      </c>
      <c r="I363" s="52">
        <f>IF(G363="",0,IF(shp=1,IF(AND(ABS(SIN(H363))&gt;0.0000001,MAX(1,hthan*500-'KT THAN'!$D$12)*ABS(COS(H363))/ABS(SIN(H363))&lt;=MAX(0,(bthan-hthan)*500)),MAX(1,hthan*500-'KT THAN'!$D$12)/ABS(SIN(H363)),MAX(0,(bthan-hthan)*500)*ABS(COS(H363))+SQRT(MAX(0,MAX(1,hthan*500-'KT THAN'!$D$12)^2-MAX(0,(bthan-hthan)*500)^2*SIN(H363)^2))),MIN((bthan*500-'KT THAN'!$D$12)/MAX(0.0000001,ABS(COS(H363))),(hthan*500-'KT THAN'!$D$12)/MAX(0.0000001,ABS(SIN(H363)))))*COS(H363))</f>
        <v>0</v>
      </c>
      <c r="J363" s="52">
        <f>IF(G363="",0,IF(shp=1,IF(AND(ABS(SIN(H363))&gt;0.0000001,MAX(1,hthan*500-'KT THAN'!$D$12)*ABS(COS(H363))/ABS(SIN(H363))&lt;=MAX(0,(bthan-hthan)*500)),MAX(1,hthan*500-'KT THAN'!$D$12)/ABS(SIN(H363)),MAX(0,(bthan-hthan)*500)*ABS(COS(H363))+SQRT(MAX(0,MAX(1,hthan*500-'KT THAN'!$D$12)^2-MAX(0,(bthan-hthan)*500)^2*SIN(H363)^2))),MIN((bthan*500-'KT THAN'!$D$12)/MAX(0.0000001,ABS(COS(H363))),(hthan*500-'KT THAN'!$D$12)/MAX(0.0000001,ABS(SIN(H363)))))*SIN(H363))</f>
        <v>0</v>
      </c>
      <c r="K363" s="52">
        <f>IF(G363="",0,'KT THAN'!$D$11/'KT THAN'!$C$11)</f>
        <v>0</v>
      </c>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2"/>
      <c r="AK363" s="52"/>
      <c r="AL363" s="52"/>
      <c r="AM363" s="52"/>
      <c r="AN363" s="52"/>
    </row>
    <row r="364" spans="1:40" x14ac:dyDescent="0.3">
      <c r="A364" s="52">
        <v>359</v>
      </c>
      <c r="B364" s="52">
        <f>-bthan*500+(8+0.5)*bthan*1000/50</f>
        <v>-1815</v>
      </c>
      <c r="C364" s="52">
        <f t="shared" si="98"/>
        <v>-650</v>
      </c>
      <c r="D364" s="52">
        <f t="shared" si="95"/>
        <v>2200</v>
      </c>
      <c r="E364" s="52">
        <f t="shared" si="96"/>
        <v>1</v>
      </c>
      <c r="F364" s="52"/>
      <c r="G364" s="52" t="str">
        <f>IF(359&lt;='KT THAN'!$C$11,359,"")</f>
        <v/>
      </c>
      <c r="H364" s="52">
        <f>IF(G364="",0,2*PI()*(G364-0.5)/'KT THAN'!$C$11)</f>
        <v>0</v>
      </c>
      <c r="I364" s="52">
        <f>IF(G364="",0,IF(shp=1,IF(AND(ABS(SIN(H364))&gt;0.0000001,MAX(1,hthan*500-'KT THAN'!$D$12)*ABS(COS(H364))/ABS(SIN(H364))&lt;=MAX(0,(bthan-hthan)*500)),MAX(1,hthan*500-'KT THAN'!$D$12)/ABS(SIN(H364)),MAX(0,(bthan-hthan)*500)*ABS(COS(H364))+SQRT(MAX(0,MAX(1,hthan*500-'KT THAN'!$D$12)^2-MAX(0,(bthan-hthan)*500)^2*SIN(H364)^2))),MIN((bthan*500-'KT THAN'!$D$12)/MAX(0.0000001,ABS(COS(H364))),(hthan*500-'KT THAN'!$D$12)/MAX(0.0000001,ABS(SIN(H364)))))*COS(H364))</f>
        <v>0</v>
      </c>
      <c r="J364" s="52">
        <f>IF(G364="",0,IF(shp=1,IF(AND(ABS(SIN(H364))&gt;0.0000001,MAX(1,hthan*500-'KT THAN'!$D$12)*ABS(COS(H364))/ABS(SIN(H364))&lt;=MAX(0,(bthan-hthan)*500)),MAX(1,hthan*500-'KT THAN'!$D$12)/ABS(SIN(H364)),MAX(0,(bthan-hthan)*500)*ABS(COS(H364))+SQRT(MAX(0,MAX(1,hthan*500-'KT THAN'!$D$12)^2-MAX(0,(bthan-hthan)*500)^2*SIN(H364)^2))),MIN((bthan*500-'KT THAN'!$D$12)/MAX(0.0000001,ABS(COS(H364))),(hthan*500-'KT THAN'!$D$12)/MAX(0.0000001,ABS(SIN(H364)))))*SIN(H364))</f>
        <v>0</v>
      </c>
      <c r="K364" s="52">
        <f>IF(G364="",0,'KT THAN'!$D$11/'KT THAN'!$C$11)</f>
        <v>0</v>
      </c>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2"/>
      <c r="AK364" s="52"/>
      <c r="AL364" s="52"/>
      <c r="AM364" s="52"/>
      <c r="AN364" s="52"/>
    </row>
    <row r="365" spans="1:40" x14ac:dyDescent="0.3">
      <c r="A365" s="52">
        <v>360</v>
      </c>
      <c r="B365" s="52">
        <f>-bthan*500+(9+0.5)*bthan*1000/50</f>
        <v>-1705</v>
      </c>
      <c r="C365" s="52">
        <f t="shared" si="98"/>
        <v>-650</v>
      </c>
      <c r="D365" s="52">
        <f t="shared" si="95"/>
        <v>2200</v>
      </c>
      <c r="E365" s="52">
        <f t="shared" si="96"/>
        <v>1</v>
      </c>
      <c r="F365" s="52"/>
      <c r="G365" s="52" t="str">
        <f>IF(360&lt;='KT THAN'!$C$11,360,"")</f>
        <v/>
      </c>
      <c r="H365" s="52">
        <f>IF(G365="",0,2*PI()*(G365-0.5)/'KT THAN'!$C$11)</f>
        <v>0</v>
      </c>
      <c r="I365" s="52">
        <f>IF(G365="",0,IF(shp=1,IF(AND(ABS(SIN(H365))&gt;0.0000001,MAX(1,hthan*500-'KT THAN'!$D$12)*ABS(COS(H365))/ABS(SIN(H365))&lt;=MAX(0,(bthan-hthan)*500)),MAX(1,hthan*500-'KT THAN'!$D$12)/ABS(SIN(H365)),MAX(0,(bthan-hthan)*500)*ABS(COS(H365))+SQRT(MAX(0,MAX(1,hthan*500-'KT THAN'!$D$12)^2-MAX(0,(bthan-hthan)*500)^2*SIN(H365)^2))),MIN((bthan*500-'KT THAN'!$D$12)/MAX(0.0000001,ABS(COS(H365))),(hthan*500-'KT THAN'!$D$12)/MAX(0.0000001,ABS(SIN(H365)))))*COS(H365))</f>
        <v>0</v>
      </c>
      <c r="J365" s="52">
        <f>IF(G365="",0,IF(shp=1,IF(AND(ABS(SIN(H365))&gt;0.0000001,MAX(1,hthan*500-'KT THAN'!$D$12)*ABS(COS(H365))/ABS(SIN(H365))&lt;=MAX(0,(bthan-hthan)*500)),MAX(1,hthan*500-'KT THAN'!$D$12)/ABS(SIN(H365)),MAX(0,(bthan-hthan)*500)*ABS(COS(H365))+SQRT(MAX(0,MAX(1,hthan*500-'KT THAN'!$D$12)^2-MAX(0,(bthan-hthan)*500)^2*SIN(H365)^2))),MIN((bthan*500-'KT THAN'!$D$12)/MAX(0.0000001,ABS(COS(H365))),(hthan*500-'KT THAN'!$D$12)/MAX(0.0000001,ABS(SIN(H365)))))*SIN(H365))</f>
        <v>0</v>
      </c>
      <c r="K365" s="52">
        <f>IF(G365="",0,'KT THAN'!$D$11/'KT THAN'!$C$11)</f>
        <v>0</v>
      </c>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2"/>
      <c r="AK365" s="52"/>
      <c r="AL365" s="52"/>
      <c r="AM365" s="52"/>
      <c r="AN365" s="52"/>
    </row>
    <row r="366" spans="1:40" x14ac:dyDescent="0.3">
      <c r="A366" s="52">
        <v>361</v>
      </c>
      <c r="B366" s="52">
        <f>-bthan*500+(10+0.5)*bthan*1000/50</f>
        <v>-1595</v>
      </c>
      <c r="C366" s="52">
        <f t="shared" si="98"/>
        <v>-650</v>
      </c>
      <c r="D366" s="52">
        <f t="shared" si="95"/>
        <v>2200</v>
      </c>
      <c r="E366" s="52">
        <f t="shared" si="96"/>
        <v>1</v>
      </c>
      <c r="F366" s="52"/>
      <c r="G366" s="52" t="str">
        <f>IF(361&lt;='KT THAN'!$C$11,361,"")</f>
        <v/>
      </c>
      <c r="H366" s="52">
        <f>IF(G366="",0,2*PI()*(G366-0.5)/'KT THAN'!$C$11)</f>
        <v>0</v>
      </c>
      <c r="I366" s="52">
        <f>IF(G366="",0,IF(shp=1,IF(AND(ABS(SIN(H366))&gt;0.0000001,MAX(1,hthan*500-'KT THAN'!$D$12)*ABS(COS(H366))/ABS(SIN(H366))&lt;=MAX(0,(bthan-hthan)*500)),MAX(1,hthan*500-'KT THAN'!$D$12)/ABS(SIN(H366)),MAX(0,(bthan-hthan)*500)*ABS(COS(H366))+SQRT(MAX(0,MAX(1,hthan*500-'KT THAN'!$D$12)^2-MAX(0,(bthan-hthan)*500)^2*SIN(H366)^2))),MIN((bthan*500-'KT THAN'!$D$12)/MAX(0.0000001,ABS(COS(H366))),(hthan*500-'KT THAN'!$D$12)/MAX(0.0000001,ABS(SIN(H366)))))*COS(H366))</f>
        <v>0</v>
      </c>
      <c r="J366" s="52">
        <f>IF(G366="",0,IF(shp=1,IF(AND(ABS(SIN(H366))&gt;0.0000001,MAX(1,hthan*500-'KT THAN'!$D$12)*ABS(COS(H366))/ABS(SIN(H366))&lt;=MAX(0,(bthan-hthan)*500)),MAX(1,hthan*500-'KT THAN'!$D$12)/ABS(SIN(H366)),MAX(0,(bthan-hthan)*500)*ABS(COS(H366))+SQRT(MAX(0,MAX(1,hthan*500-'KT THAN'!$D$12)^2-MAX(0,(bthan-hthan)*500)^2*SIN(H366)^2))),MIN((bthan*500-'KT THAN'!$D$12)/MAX(0.0000001,ABS(COS(H366))),(hthan*500-'KT THAN'!$D$12)/MAX(0.0000001,ABS(SIN(H366)))))*SIN(H366))</f>
        <v>0</v>
      </c>
      <c r="K366" s="52">
        <f>IF(G366="",0,'KT THAN'!$D$11/'KT THAN'!$C$11)</f>
        <v>0</v>
      </c>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2"/>
      <c r="AK366" s="52"/>
      <c r="AL366" s="52"/>
      <c r="AM366" s="52"/>
      <c r="AN366" s="52"/>
    </row>
    <row r="367" spans="1:40" x14ac:dyDescent="0.3">
      <c r="A367" s="52">
        <v>362</v>
      </c>
      <c r="B367" s="52">
        <f>-bthan*500+(11+0.5)*bthan*1000/50</f>
        <v>-1485</v>
      </c>
      <c r="C367" s="52">
        <f t="shared" si="98"/>
        <v>-650</v>
      </c>
      <c r="D367" s="52">
        <f t="shared" si="95"/>
        <v>2200</v>
      </c>
      <c r="E367" s="52">
        <f t="shared" si="96"/>
        <v>1</v>
      </c>
      <c r="F367" s="52"/>
      <c r="G367" s="52" t="str">
        <f>IF(362&lt;='KT THAN'!$C$11,362,"")</f>
        <v/>
      </c>
      <c r="H367" s="52">
        <f>IF(G367="",0,2*PI()*(G367-0.5)/'KT THAN'!$C$11)</f>
        <v>0</v>
      </c>
      <c r="I367" s="52">
        <f>IF(G367="",0,IF(shp=1,IF(AND(ABS(SIN(H367))&gt;0.0000001,MAX(1,hthan*500-'KT THAN'!$D$12)*ABS(COS(H367))/ABS(SIN(H367))&lt;=MAX(0,(bthan-hthan)*500)),MAX(1,hthan*500-'KT THAN'!$D$12)/ABS(SIN(H367)),MAX(0,(bthan-hthan)*500)*ABS(COS(H367))+SQRT(MAX(0,MAX(1,hthan*500-'KT THAN'!$D$12)^2-MAX(0,(bthan-hthan)*500)^2*SIN(H367)^2))),MIN((bthan*500-'KT THAN'!$D$12)/MAX(0.0000001,ABS(COS(H367))),(hthan*500-'KT THAN'!$D$12)/MAX(0.0000001,ABS(SIN(H367)))))*COS(H367))</f>
        <v>0</v>
      </c>
      <c r="J367" s="52">
        <f>IF(G367="",0,IF(shp=1,IF(AND(ABS(SIN(H367))&gt;0.0000001,MAX(1,hthan*500-'KT THAN'!$D$12)*ABS(COS(H367))/ABS(SIN(H367))&lt;=MAX(0,(bthan-hthan)*500)),MAX(1,hthan*500-'KT THAN'!$D$12)/ABS(SIN(H367)),MAX(0,(bthan-hthan)*500)*ABS(COS(H367))+SQRT(MAX(0,MAX(1,hthan*500-'KT THAN'!$D$12)^2-MAX(0,(bthan-hthan)*500)^2*SIN(H367)^2))),MIN((bthan*500-'KT THAN'!$D$12)/MAX(0.0000001,ABS(COS(H367))),(hthan*500-'KT THAN'!$D$12)/MAX(0.0000001,ABS(SIN(H367)))))*SIN(H367))</f>
        <v>0</v>
      </c>
      <c r="K367" s="52">
        <f>IF(G367="",0,'KT THAN'!$D$11/'KT THAN'!$C$11)</f>
        <v>0</v>
      </c>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2"/>
      <c r="AK367" s="52"/>
      <c r="AL367" s="52"/>
      <c r="AM367" s="52"/>
      <c r="AN367" s="52"/>
    </row>
    <row r="368" spans="1:40" x14ac:dyDescent="0.3">
      <c r="A368" s="52">
        <v>363</v>
      </c>
      <c r="B368" s="52">
        <f>-bthan*500+(12+0.5)*bthan*1000/50</f>
        <v>-1375</v>
      </c>
      <c r="C368" s="52">
        <f t="shared" si="98"/>
        <v>-650</v>
      </c>
      <c r="D368" s="52">
        <f t="shared" si="95"/>
        <v>2200</v>
      </c>
      <c r="E368" s="52">
        <f t="shared" si="96"/>
        <v>1</v>
      </c>
      <c r="F368" s="52"/>
      <c r="G368" s="52" t="str">
        <f>IF(363&lt;='KT THAN'!$C$11,363,"")</f>
        <v/>
      </c>
      <c r="H368" s="52">
        <f>IF(G368="",0,2*PI()*(G368-0.5)/'KT THAN'!$C$11)</f>
        <v>0</v>
      </c>
      <c r="I368" s="52">
        <f>IF(G368="",0,IF(shp=1,IF(AND(ABS(SIN(H368))&gt;0.0000001,MAX(1,hthan*500-'KT THAN'!$D$12)*ABS(COS(H368))/ABS(SIN(H368))&lt;=MAX(0,(bthan-hthan)*500)),MAX(1,hthan*500-'KT THAN'!$D$12)/ABS(SIN(H368)),MAX(0,(bthan-hthan)*500)*ABS(COS(H368))+SQRT(MAX(0,MAX(1,hthan*500-'KT THAN'!$D$12)^2-MAX(0,(bthan-hthan)*500)^2*SIN(H368)^2))),MIN((bthan*500-'KT THAN'!$D$12)/MAX(0.0000001,ABS(COS(H368))),(hthan*500-'KT THAN'!$D$12)/MAX(0.0000001,ABS(SIN(H368)))))*COS(H368))</f>
        <v>0</v>
      </c>
      <c r="J368" s="52">
        <f>IF(G368="",0,IF(shp=1,IF(AND(ABS(SIN(H368))&gt;0.0000001,MAX(1,hthan*500-'KT THAN'!$D$12)*ABS(COS(H368))/ABS(SIN(H368))&lt;=MAX(0,(bthan-hthan)*500)),MAX(1,hthan*500-'KT THAN'!$D$12)/ABS(SIN(H368)),MAX(0,(bthan-hthan)*500)*ABS(COS(H368))+SQRT(MAX(0,MAX(1,hthan*500-'KT THAN'!$D$12)^2-MAX(0,(bthan-hthan)*500)^2*SIN(H368)^2))),MIN((bthan*500-'KT THAN'!$D$12)/MAX(0.0000001,ABS(COS(H368))),(hthan*500-'KT THAN'!$D$12)/MAX(0.0000001,ABS(SIN(H368)))))*SIN(H368))</f>
        <v>0</v>
      </c>
      <c r="K368" s="52">
        <f>IF(G368="",0,'KT THAN'!$D$11/'KT THAN'!$C$11)</f>
        <v>0</v>
      </c>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2"/>
      <c r="AK368" s="52"/>
      <c r="AL368" s="52"/>
      <c r="AM368" s="52"/>
      <c r="AN368" s="52"/>
    </row>
    <row r="369" spans="1:40" x14ac:dyDescent="0.3">
      <c r="A369" s="52">
        <v>364</v>
      </c>
      <c r="B369" s="52">
        <f>-bthan*500+(13+0.5)*bthan*1000/50</f>
        <v>-1265</v>
      </c>
      <c r="C369" s="52">
        <f t="shared" si="98"/>
        <v>-650</v>
      </c>
      <c r="D369" s="52">
        <f t="shared" si="95"/>
        <v>2200</v>
      </c>
      <c r="E369" s="52">
        <f t="shared" si="96"/>
        <v>1</v>
      </c>
      <c r="F369" s="52"/>
      <c r="G369" s="52" t="str">
        <f>IF(364&lt;='KT THAN'!$C$11,364,"")</f>
        <v/>
      </c>
      <c r="H369" s="52">
        <f>IF(G369="",0,2*PI()*(G369-0.5)/'KT THAN'!$C$11)</f>
        <v>0</v>
      </c>
      <c r="I369" s="52">
        <f>IF(G369="",0,IF(shp=1,IF(AND(ABS(SIN(H369))&gt;0.0000001,MAX(1,hthan*500-'KT THAN'!$D$12)*ABS(COS(H369))/ABS(SIN(H369))&lt;=MAX(0,(bthan-hthan)*500)),MAX(1,hthan*500-'KT THAN'!$D$12)/ABS(SIN(H369)),MAX(0,(bthan-hthan)*500)*ABS(COS(H369))+SQRT(MAX(0,MAX(1,hthan*500-'KT THAN'!$D$12)^2-MAX(0,(bthan-hthan)*500)^2*SIN(H369)^2))),MIN((bthan*500-'KT THAN'!$D$12)/MAX(0.0000001,ABS(COS(H369))),(hthan*500-'KT THAN'!$D$12)/MAX(0.0000001,ABS(SIN(H369)))))*COS(H369))</f>
        <v>0</v>
      </c>
      <c r="J369" s="52">
        <f>IF(G369="",0,IF(shp=1,IF(AND(ABS(SIN(H369))&gt;0.0000001,MAX(1,hthan*500-'KT THAN'!$D$12)*ABS(COS(H369))/ABS(SIN(H369))&lt;=MAX(0,(bthan-hthan)*500)),MAX(1,hthan*500-'KT THAN'!$D$12)/ABS(SIN(H369)),MAX(0,(bthan-hthan)*500)*ABS(COS(H369))+SQRT(MAX(0,MAX(1,hthan*500-'KT THAN'!$D$12)^2-MAX(0,(bthan-hthan)*500)^2*SIN(H369)^2))),MIN((bthan*500-'KT THAN'!$D$12)/MAX(0.0000001,ABS(COS(H369))),(hthan*500-'KT THAN'!$D$12)/MAX(0.0000001,ABS(SIN(H369)))))*SIN(H369))</f>
        <v>0</v>
      </c>
      <c r="K369" s="52">
        <f>IF(G369="",0,'KT THAN'!$D$11/'KT THAN'!$C$11)</f>
        <v>0</v>
      </c>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2"/>
      <c r="AK369" s="52"/>
      <c r="AL369" s="52"/>
      <c r="AM369" s="52"/>
      <c r="AN369" s="52"/>
    </row>
    <row r="370" spans="1:40" x14ac:dyDescent="0.3">
      <c r="A370" s="52">
        <v>365</v>
      </c>
      <c r="B370" s="52">
        <f>-bthan*500+(14+0.5)*bthan*1000/50</f>
        <v>-1155</v>
      </c>
      <c r="C370" s="52">
        <f t="shared" si="98"/>
        <v>-650</v>
      </c>
      <c r="D370" s="52">
        <f t="shared" si="95"/>
        <v>2200</v>
      </c>
      <c r="E370" s="52">
        <f t="shared" si="96"/>
        <v>1</v>
      </c>
      <c r="F370" s="52"/>
      <c r="G370" s="52" t="str">
        <f>IF(365&lt;='KT THAN'!$C$11,365,"")</f>
        <v/>
      </c>
      <c r="H370" s="52">
        <f>IF(G370="",0,2*PI()*(G370-0.5)/'KT THAN'!$C$11)</f>
        <v>0</v>
      </c>
      <c r="I370" s="52">
        <f>IF(G370="",0,IF(shp=1,IF(AND(ABS(SIN(H370))&gt;0.0000001,MAX(1,hthan*500-'KT THAN'!$D$12)*ABS(COS(H370))/ABS(SIN(H370))&lt;=MAX(0,(bthan-hthan)*500)),MAX(1,hthan*500-'KT THAN'!$D$12)/ABS(SIN(H370)),MAX(0,(bthan-hthan)*500)*ABS(COS(H370))+SQRT(MAX(0,MAX(1,hthan*500-'KT THAN'!$D$12)^2-MAX(0,(bthan-hthan)*500)^2*SIN(H370)^2))),MIN((bthan*500-'KT THAN'!$D$12)/MAX(0.0000001,ABS(COS(H370))),(hthan*500-'KT THAN'!$D$12)/MAX(0.0000001,ABS(SIN(H370)))))*COS(H370))</f>
        <v>0</v>
      </c>
      <c r="J370" s="52">
        <f>IF(G370="",0,IF(shp=1,IF(AND(ABS(SIN(H370))&gt;0.0000001,MAX(1,hthan*500-'KT THAN'!$D$12)*ABS(COS(H370))/ABS(SIN(H370))&lt;=MAX(0,(bthan-hthan)*500)),MAX(1,hthan*500-'KT THAN'!$D$12)/ABS(SIN(H370)),MAX(0,(bthan-hthan)*500)*ABS(COS(H370))+SQRT(MAX(0,MAX(1,hthan*500-'KT THAN'!$D$12)^2-MAX(0,(bthan-hthan)*500)^2*SIN(H370)^2))),MIN((bthan*500-'KT THAN'!$D$12)/MAX(0.0000001,ABS(COS(H370))),(hthan*500-'KT THAN'!$D$12)/MAX(0.0000001,ABS(SIN(H370)))))*SIN(H370))</f>
        <v>0</v>
      </c>
      <c r="K370" s="52">
        <f>IF(G370="",0,'KT THAN'!$D$11/'KT THAN'!$C$11)</f>
        <v>0</v>
      </c>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2"/>
      <c r="AK370" s="52"/>
      <c r="AL370" s="52"/>
      <c r="AM370" s="52"/>
      <c r="AN370" s="52"/>
    </row>
    <row r="371" spans="1:40" x14ac:dyDescent="0.3">
      <c r="A371" s="52">
        <v>366</v>
      </c>
      <c r="B371" s="52">
        <f>-bthan*500+(15+0.5)*bthan*1000/50</f>
        <v>-1045</v>
      </c>
      <c r="C371" s="52">
        <f t="shared" si="98"/>
        <v>-650</v>
      </c>
      <c r="D371" s="52">
        <f t="shared" si="95"/>
        <v>2200</v>
      </c>
      <c r="E371" s="52">
        <f t="shared" si="96"/>
        <v>1</v>
      </c>
      <c r="F371" s="52"/>
      <c r="G371" s="52" t="str">
        <f>IF(366&lt;='KT THAN'!$C$11,366,"")</f>
        <v/>
      </c>
      <c r="H371" s="52">
        <f>IF(G371="",0,2*PI()*(G371-0.5)/'KT THAN'!$C$11)</f>
        <v>0</v>
      </c>
      <c r="I371" s="52">
        <f>IF(G371="",0,IF(shp=1,IF(AND(ABS(SIN(H371))&gt;0.0000001,MAX(1,hthan*500-'KT THAN'!$D$12)*ABS(COS(H371))/ABS(SIN(H371))&lt;=MAX(0,(bthan-hthan)*500)),MAX(1,hthan*500-'KT THAN'!$D$12)/ABS(SIN(H371)),MAX(0,(bthan-hthan)*500)*ABS(COS(H371))+SQRT(MAX(0,MAX(1,hthan*500-'KT THAN'!$D$12)^2-MAX(0,(bthan-hthan)*500)^2*SIN(H371)^2))),MIN((bthan*500-'KT THAN'!$D$12)/MAX(0.0000001,ABS(COS(H371))),(hthan*500-'KT THAN'!$D$12)/MAX(0.0000001,ABS(SIN(H371)))))*COS(H371))</f>
        <v>0</v>
      </c>
      <c r="J371" s="52">
        <f>IF(G371="",0,IF(shp=1,IF(AND(ABS(SIN(H371))&gt;0.0000001,MAX(1,hthan*500-'KT THAN'!$D$12)*ABS(COS(H371))/ABS(SIN(H371))&lt;=MAX(0,(bthan-hthan)*500)),MAX(1,hthan*500-'KT THAN'!$D$12)/ABS(SIN(H371)),MAX(0,(bthan-hthan)*500)*ABS(COS(H371))+SQRT(MAX(0,MAX(1,hthan*500-'KT THAN'!$D$12)^2-MAX(0,(bthan-hthan)*500)^2*SIN(H371)^2))),MIN((bthan*500-'KT THAN'!$D$12)/MAX(0.0000001,ABS(COS(H371))),(hthan*500-'KT THAN'!$D$12)/MAX(0.0000001,ABS(SIN(H371)))))*SIN(H371))</f>
        <v>0</v>
      </c>
      <c r="K371" s="52">
        <f>IF(G371="",0,'KT THAN'!$D$11/'KT THAN'!$C$11)</f>
        <v>0</v>
      </c>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c r="AJ371" s="52"/>
      <c r="AK371" s="52"/>
      <c r="AL371" s="52"/>
      <c r="AM371" s="52"/>
      <c r="AN371" s="52"/>
    </row>
    <row r="372" spans="1:40" x14ac:dyDescent="0.3">
      <c r="A372" s="52">
        <v>367</v>
      </c>
      <c r="B372" s="52">
        <f>-bthan*500+(16+0.5)*bthan*1000/50</f>
        <v>-935</v>
      </c>
      <c r="C372" s="52">
        <f t="shared" si="98"/>
        <v>-650</v>
      </c>
      <c r="D372" s="52">
        <f t="shared" si="95"/>
        <v>2200</v>
      </c>
      <c r="E372" s="52">
        <f t="shared" si="96"/>
        <v>1</v>
      </c>
      <c r="F372" s="52"/>
      <c r="G372" s="52" t="str">
        <f>IF(367&lt;='KT THAN'!$C$11,367,"")</f>
        <v/>
      </c>
      <c r="H372" s="52">
        <f>IF(G372="",0,2*PI()*(G372-0.5)/'KT THAN'!$C$11)</f>
        <v>0</v>
      </c>
      <c r="I372" s="52">
        <f>IF(G372="",0,IF(shp=1,IF(AND(ABS(SIN(H372))&gt;0.0000001,MAX(1,hthan*500-'KT THAN'!$D$12)*ABS(COS(H372))/ABS(SIN(H372))&lt;=MAX(0,(bthan-hthan)*500)),MAX(1,hthan*500-'KT THAN'!$D$12)/ABS(SIN(H372)),MAX(0,(bthan-hthan)*500)*ABS(COS(H372))+SQRT(MAX(0,MAX(1,hthan*500-'KT THAN'!$D$12)^2-MAX(0,(bthan-hthan)*500)^2*SIN(H372)^2))),MIN((bthan*500-'KT THAN'!$D$12)/MAX(0.0000001,ABS(COS(H372))),(hthan*500-'KT THAN'!$D$12)/MAX(0.0000001,ABS(SIN(H372)))))*COS(H372))</f>
        <v>0</v>
      </c>
      <c r="J372" s="52">
        <f>IF(G372="",0,IF(shp=1,IF(AND(ABS(SIN(H372))&gt;0.0000001,MAX(1,hthan*500-'KT THAN'!$D$12)*ABS(COS(H372))/ABS(SIN(H372))&lt;=MAX(0,(bthan-hthan)*500)),MAX(1,hthan*500-'KT THAN'!$D$12)/ABS(SIN(H372)),MAX(0,(bthan-hthan)*500)*ABS(COS(H372))+SQRT(MAX(0,MAX(1,hthan*500-'KT THAN'!$D$12)^2-MAX(0,(bthan-hthan)*500)^2*SIN(H372)^2))),MIN((bthan*500-'KT THAN'!$D$12)/MAX(0.0000001,ABS(COS(H372))),(hthan*500-'KT THAN'!$D$12)/MAX(0.0000001,ABS(SIN(H372)))))*SIN(H372))</f>
        <v>0</v>
      </c>
      <c r="K372" s="52">
        <f>IF(G372="",0,'KT THAN'!$D$11/'KT THAN'!$C$11)</f>
        <v>0</v>
      </c>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2"/>
      <c r="AK372" s="52"/>
      <c r="AL372" s="52"/>
      <c r="AM372" s="52"/>
      <c r="AN372" s="52"/>
    </row>
    <row r="373" spans="1:40" x14ac:dyDescent="0.3">
      <c r="A373" s="52">
        <v>368</v>
      </c>
      <c r="B373" s="52">
        <f>-bthan*500+(17+0.5)*bthan*1000/50</f>
        <v>-825</v>
      </c>
      <c r="C373" s="52">
        <f t="shared" si="98"/>
        <v>-650</v>
      </c>
      <c r="D373" s="52">
        <f t="shared" si="95"/>
        <v>2200</v>
      </c>
      <c r="E373" s="52">
        <f t="shared" si="96"/>
        <v>1</v>
      </c>
      <c r="F373" s="52"/>
      <c r="G373" s="52" t="str">
        <f>IF(368&lt;='KT THAN'!$C$11,368,"")</f>
        <v/>
      </c>
      <c r="H373" s="52">
        <f>IF(G373="",0,2*PI()*(G373-0.5)/'KT THAN'!$C$11)</f>
        <v>0</v>
      </c>
      <c r="I373" s="52">
        <f>IF(G373="",0,IF(shp=1,IF(AND(ABS(SIN(H373))&gt;0.0000001,MAX(1,hthan*500-'KT THAN'!$D$12)*ABS(COS(H373))/ABS(SIN(H373))&lt;=MAX(0,(bthan-hthan)*500)),MAX(1,hthan*500-'KT THAN'!$D$12)/ABS(SIN(H373)),MAX(0,(bthan-hthan)*500)*ABS(COS(H373))+SQRT(MAX(0,MAX(1,hthan*500-'KT THAN'!$D$12)^2-MAX(0,(bthan-hthan)*500)^2*SIN(H373)^2))),MIN((bthan*500-'KT THAN'!$D$12)/MAX(0.0000001,ABS(COS(H373))),(hthan*500-'KT THAN'!$D$12)/MAX(0.0000001,ABS(SIN(H373)))))*COS(H373))</f>
        <v>0</v>
      </c>
      <c r="J373" s="52">
        <f>IF(G373="",0,IF(shp=1,IF(AND(ABS(SIN(H373))&gt;0.0000001,MAX(1,hthan*500-'KT THAN'!$D$12)*ABS(COS(H373))/ABS(SIN(H373))&lt;=MAX(0,(bthan-hthan)*500)),MAX(1,hthan*500-'KT THAN'!$D$12)/ABS(SIN(H373)),MAX(0,(bthan-hthan)*500)*ABS(COS(H373))+SQRT(MAX(0,MAX(1,hthan*500-'KT THAN'!$D$12)^2-MAX(0,(bthan-hthan)*500)^2*SIN(H373)^2))),MIN((bthan*500-'KT THAN'!$D$12)/MAX(0.0000001,ABS(COS(H373))),(hthan*500-'KT THAN'!$D$12)/MAX(0.0000001,ABS(SIN(H373)))))*SIN(H373))</f>
        <v>0</v>
      </c>
      <c r="K373" s="52">
        <f>IF(G373="",0,'KT THAN'!$D$11/'KT THAN'!$C$11)</f>
        <v>0</v>
      </c>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2"/>
      <c r="AK373" s="52"/>
      <c r="AL373" s="52"/>
      <c r="AM373" s="52"/>
      <c r="AN373" s="52"/>
    </row>
    <row r="374" spans="1:40" x14ac:dyDescent="0.3">
      <c r="A374" s="52">
        <v>369</v>
      </c>
      <c r="B374" s="52">
        <f>-bthan*500+(18+0.5)*bthan*1000/50</f>
        <v>-715</v>
      </c>
      <c r="C374" s="52">
        <f t="shared" si="98"/>
        <v>-650</v>
      </c>
      <c r="D374" s="52">
        <f t="shared" si="95"/>
        <v>2200</v>
      </c>
      <c r="E374" s="52">
        <f t="shared" si="96"/>
        <v>1</v>
      </c>
      <c r="F374" s="52"/>
      <c r="G374" s="52" t="str">
        <f>IF(369&lt;='KT THAN'!$C$11,369,"")</f>
        <v/>
      </c>
      <c r="H374" s="52">
        <f>IF(G374="",0,2*PI()*(G374-0.5)/'KT THAN'!$C$11)</f>
        <v>0</v>
      </c>
      <c r="I374" s="52">
        <f>IF(G374="",0,IF(shp=1,IF(AND(ABS(SIN(H374))&gt;0.0000001,MAX(1,hthan*500-'KT THAN'!$D$12)*ABS(COS(H374))/ABS(SIN(H374))&lt;=MAX(0,(bthan-hthan)*500)),MAX(1,hthan*500-'KT THAN'!$D$12)/ABS(SIN(H374)),MAX(0,(bthan-hthan)*500)*ABS(COS(H374))+SQRT(MAX(0,MAX(1,hthan*500-'KT THAN'!$D$12)^2-MAX(0,(bthan-hthan)*500)^2*SIN(H374)^2))),MIN((bthan*500-'KT THAN'!$D$12)/MAX(0.0000001,ABS(COS(H374))),(hthan*500-'KT THAN'!$D$12)/MAX(0.0000001,ABS(SIN(H374)))))*COS(H374))</f>
        <v>0</v>
      </c>
      <c r="J374" s="52">
        <f>IF(G374="",0,IF(shp=1,IF(AND(ABS(SIN(H374))&gt;0.0000001,MAX(1,hthan*500-'KT THAN'!$D$12)*ABS(COS(H374))/ABS(SIN(H374))&lt;=MAX(0,(bthan-hthan)*500)),MAX(1,hthan*500-'KT THAN'!$D$12)/ABS(SIN(H374)),MAX(0,(bthan-hthan)*500)*ABS(COS(H374))+SQRT(MAX(0,MAX(1,hthan*500-'KT THAN'!$D$12)^2-MAX(0,(bthan-hthan)*500)^2*SIN(H374)^2))),MIN((bthan*500-'KT THAN'!$D$12)/MAX(0.0000001,ABS(COS(H374))),(hthan*500-'KT THAN'!$D$12)/MAX(0.0000001,ABS(SIN(H374)))))*SIN(H374))</f>
        <v>0</v>
      </c>
      <c r="K374" s="52">
        <f>IF(G374="",0,'KT THAN'!$D$11/'KT THAN'!$C$11)</f>
        <v>0</v>
      </c>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2"/>
      <c r="AK374" s="52"/>
      <c r="AL374" s="52"/>
      <c r="AM374" s="52"/>
      <c r="AN374" s="52"/>
    </row>
    <row r="375" spans="1:40" x14ac:dyDescent="0.3">
      <c r="A375" s="52">
        <v>370</v>
      </c>
      <c r="B375" s="52">
        <f>-bthan*500+(19+0.5)*bthan*1000/50</f>
        <v>-605</v>
      </c>
      <c r="C375" s="52">
        <f t="shared" si="98"/>
        <v>-650</v>
      </c>
      <c r="D375" s="52">
        <f t="shared" si="95"/>
        <v>2200</v>
      </c>
      <c r="E375" s="52">
        <f t="shared" si="96"/>
        <v>1</v>
      </c>
      <c r="F375" s="52"/>
      <c r="G375" s="52" t="str">
        <f>IF(370&lt;='KT THAN'!$C$11,370,"")</f>
        <v/>
      </c>
      <c r="H375" s="52">
        <f>IF(G375="",0,2*PI()*(G375-0.5)/'KT THAN'!$C$11)</f>
        <v>0</v>
      </c>
      <c r="I375" s="52">
        <f>IF(G375="",0,IF(shp=1,IF(AND(ABS(SIN(H375))&gt;0.0000001,MAX(1,hthan*500-'KT THAN'!$D$12)*ABS(COS(H375))/ABS(SIN(H375))&lt;=MAX(0,(bthan-hthan)*500)),MAX(1,hthan*500-'KT THAN'!$D$12)/ABS(SIN(H375)),MAX(0,(bthan-hthan)*500)*ABS(COS(H375))+SQRT(MAX(0,MAX(1,hthan*500-'KT THAN'!$D$12)^2-MAX(0,(bthan-hthan)*500)^2*SIN(H375)^2))),MIN((bthan*500-'KT THAN'!$D$12)/MAX(0.0000001,ABS(COS(H375))),(hthan*500-'KT THAN'!$D$12)/MAX(0.0000001,ABS(SIN(H375)))))*COS(H375))</f>
        <v>0</v>
      </c>
      <c r="J375" s="52">
        <f>IF(G375="",0,IF(shp=1,IF(AND(ABS(SIN(H375))&gt;0.0000001,MAX(1,hthan*500-'KT THAN'!$D$12)*ABS(COS(H375))/ABS(SIN(H375))&lt;=MAX(0,(bthan-hthan)*500)),MAX(1,hthan*500-'KT THAN'!$D$12)/ABS(SIN(H375)),MAX(0,(bthan-hthan)*500)*ABS(COS(H375))+SQRT(MAX(0,MAX(1,hthan*500-'KT THAN'!$D$12)^2-MAX(0,(bthan-hthan)*500)^2*SIN(H375)^2))),MIN((bthan*500-'KT THAN'!$D$12)/MAX(0.0000001,ABS(COS(H375))),(hthan*500-'KT THAN'!$D$12)/MAX(0.0000001,ABS(SIN(H375)))))*SIN(H375))</f>
        <v>0</v>
      </c>
      <c r="K375" s="52">
        <f>IF(G375="",0,'KT THAN'!$D$11/'KT THAN'!$C$11)</f>
        <v>0</v>
      </c>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2"/>
      <c r="AK375" s="52"/>
      <c r="AL375" s="52"/>
      <c r="AM375" s="52"/>
      <c r="AN375" s="52"/>
    </row>
    <row r="376" spans="1:40" x14ac:dyDescent="0.3">
      <c r="A376" s="52">
        <v>371</v>
      </c>
      <c r="B376" s="52">
        <f>-bthan*500+(20+0.5)*bthan*1000/50</f>
        <v>-495</v>
      </c>
      <c r="C376" s="52">
        <f t="shared" si="98"/>
        <v>-650</v>
      </c>
      <c r="D376" s="52">
        <f t="shared" si="95"/>
        <v>2200</v>
      </c>
      <c r="E376" s="52">
        <f t="shared" si="96"/>
        <v>1</v>
      </c>
      <c r="F376" s="52"/>
      <c r="G376" s="52" t="str">
        <f>IF(371&lt;='KT THAN'!$C$11,371,"")</f>
        <v/>
      </c>
      <c r="H376" s="52">
        <f>IF(G376="",0,2*PI()*(G376-0.5)/'KT THAN'!$C$11)</f>
        <v>0</v>
      </c>
      <c r="I376" s="52">
        <f>IF(G376="",0,IF(shp=1,IF(AND(ABS(SIN(H376))&gt;0.0000001,MAX(1,hthan*500-'KT THAN'!$D$12)*ABS(COS(H376))/ABS(SIN(H376))&lt;=MAX(0,(bthan-hthan)*500)),MAX(1,hthan*500-'KT THAN'!$D$12)/ABS(SIN(H376)),MAX(0,(bthan-hthan)*500)*ABS(COS(H376))+SQRT(MAX(0,MAX(1,hthan*500-'KT THAN'!$D$12)^2-MAX(0,(bthan-hthan)*500)^2*SIN(H376)^2))),MIN((bthan*500-'KT THAN'!$D$12)/MAX(0.0000001,ABS(COS(H376))),(hthan*500-'KT THAN'!$D$12)/MAX(0.0000001,ABS(SIN(H376)))))*COS(H376))</f>
        <v>0</v>
      </c>
      <c r="J376" s="52">
        <f>IF(G376="",0,IF(shp=1,IF(AND(ABS(SIN(H376))&gt;0.0000001,MAX(1,hthan*500-'KT THAN'!$D$12)*ABS(COS(H376))/ABS(SIN(H376))&lt;=MAX(0,(bthan-hthan)*500)),MAX(1,hthan*500-'KT THAN'!$D$12)/ABS(SIN(H376)),MAX(0,(bthan-hthan)*500)*ABS(COS(H376))+SQRT(MAX(0,MAX(1,hthan*500-'KT THAN'!$D$12)^2-MAX(0,(bthan-hthan)*500)^2*SIN(H376)^2))),MIN((bthan*500-'KT THAN'!$D$12)/MAX(0.0000001,ABS(COS(H376))),(hthan*500-'KT THAN'!$D$12)/MAX(0.0000001,ABS(SIN(H376)))))*SIN(H376))</f>
        <v>0</v>
      </c>
      <c r="K376" s="52">
        <f>IF(G376="",0,'KT THAN'!$D$11/'KT THAN'!$C$11)</f>
        <v>0</v>
      </c>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2"/>
      <c r="AK376" s="52"/>
      <c r="AL376" s="52"/>
      <c r="AM376" s="52"/>
      <c r="AN376" s="52"/>
    </row>
    <row r="377" spans="1:40" x14ac:dyDescent="0.3">
      <c r="A377" s="52">
        <v>372</v>
      </c>
      <c r="B377" s="52">
        <f>-bthan*500+(21+0.5)*bthan*1000/50</f>
        <v>-385</v>
      </c>
      <c r="C377" s="52">
        <f t="shared" si="98"/>
        <v>-650</v>
      </c>
      <c r="D377" s="52">
        <f t="shared" si="95"/>
        <v>2200</v>
      </c>
      <c r="E377" s="52">
        <f t="shared" si="96"/>
        <v>1</v>
      </c>
      <c r="F377" s="52"/>
      <c r="G377" s="52" t="str">
        <f>IF(372&lt;='KT THAN'!$C$11,372,"")</f>
        <v/>
      </c>
      <c r="H377" s="52">
        <f>IF(G377="",0,2*PI()*(G377-0.5)/'KT THAN'!$C$11)</f>
        <v>0</v>
      </c>
      <c r="I377" s="52">
        <f>IF(G377="",0,IF(shp=1,IF(AND(ABS(SIN(H377))&gt;0.0000001,MAX(1,hthan*500-'KT THAN'!$D$12)*ABS(COS(H377))/ABS(SIN(H377))&lt;=MAX(0,(bthan-hthan)*500)),MAX(1,hthan*500-'KT THAN'!$D$12)/ABS(SIN(H377)),MAX(0,(bthan-hthan)*500)*ABS(COS(H377))+SQRT(MAX(0,MAX(1,hthan*500-'KT THAN'!$D$12)^2-MAX(0,(bthan-hthan)*500)^2*SIN(H377)^2))),MIN((bthan*500-'KT THAN'!$D$12)/MAX(0.0000001,ABS(COS(H377))),(hthan*500-'KT THAN'!$D$12)/MAX(0.0000001,ABS(SIN(H377)))))*COS(H377))</f>
        <v>0</v>
      </c>
      <c r="J377" s="52">
        <f>IF(G377="",0,IF(shp=1,IF(AND(ABS(SIN(H377))&gt;0.0000001,MAX(1,hthan*500-'KT THAN'!$D$12)*ABS(COS(H377))/ABS(SIN(H377))&lt;=MAX(0,(bthan-hthan)*500)),MAX(1,hthan*500-'KT THAN'!$D$12)/ABS(SIN(H377)),MAX(0,(bthan-hthan)*500)*ABS(COS(H377))+SQRT(MAX(0,MAX(1,hthan*500-'KT THAN'!$D$12)^2-MAX(0,(bthan-hthan)*500)^2*SIN(H377)^2))),MIN((bthan*500-'KT THAN'!$D$12)/MAX(0.0000001,ABS(COS(H377))),(hthan*500-'KT THAN'!$D$12)/MAX(0.0000001,ABS(SIN(H377)))))*SIN(H377))</f>
        <v>0</v>
      </c>
      <c r="K377" s="52">
        <f>IF(G377="",0,'KT THAN'!$D$11/'KT THAN'!$C$11)</f>
        <v>0</v>
      </c>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2"/>
      <c r="AK377" s="52"/>
      <c r="AL377" s="52"/>
      <c r="AM377" s="52"/>
      <c r="AN377" s="52"/>
    </row>
    <row r="378" spans="1:40" x14ac:dyDescent="0.3">
      <c r="A378" s="52">
        <v>373</v>
      </c>
      <c r="B378" s="52">
        <f>-bthan*500+(22+0.5)*bthan*1000/50</f>
        <v>-275</v>
      </c>
      <c r="C378" s="52">
        <f t="shared" si="98"/>
        <v>-650</v>
      </c>
      <c r="D378" s="52">
        <f t="shared" si="95"/>
        <v>2200</v>
      </c>
      <c r="E378" s="52">
        <f t="shared" si="96"/>
        <v>1</v>
      </c>
      <c r="F378" s="52"/>
      <c r="G378" s="52" t="str">
        <f>IF(373&lt;='KT THAN'!$C$11,373,"")</f>
        <v/>
      </c>
      <c r="H378" s="52">
        <f>IF(G378="",0,2*PI()*(G378-0.5)/'KT THAN'!$C$11)</f>
        <v>0</v>
      </c>
      <c r="I378" s="52">
        <f>IF(G378="",0,IF(shp=1,IF(AND(ABS(SIN(H378))&gt;0.0000001,MAX(1,hthan*500-'KT THAN'!$D$12)*ABS(COS(H378))/ABS(SIN(H378))&lt;=MAX(0,(bthan-hthan)*500)),MAX(1,hthan*500-'KT THAN'!$D$12)/ABS(SIN(H378)),MAX(0,(bthan-hthan)*500)*ABS(COS(H378))+SQRT(MAX(0,MAX(1,hthan*500-'KT THAN'!$D$12)^2-MAX(0,(bthan-hthan)*500)^2*SIN(H378)^2))),MIN((bthan*500-'KT THAN'!$D$12)/MAX(0.0000001,ABS(COS(H378))),(hthan*500-'KT THAN'!$D$12)/MAX(0.0000001,ABS(SIN(H378)))))*COS(H378))</f>
        <v>0</v>
      </c>
      <c r="J378" s="52">
        <f>IF(G378="",0,IF(shp=1,IF(AND(ABS(SIN(H378))&gt;0.0000001,MAX(1,hthan*500-'KT THAN'!$D$12)*ABS(COS(H378))/ABS(SIN(H378))&lt;=MAX(0,(bthan-hthan)*500)),MAX(1,hthan*500-'KT THAN'!$D$12)/ABS(SIN(H378)),MAX(0,(bthan-hthan)*500)*ABS(COS(H378))+SQRT(MAX(0,MAX(1,hthan*500-'KT THAN'!$D$12)^2-MAX(0,(bthan-hthan)*500)^2*SIN(H378)^2))),MIN((bthan*500-'KT THAN'!$D$12)/MAX(0.0000001,ABS(COS(H378))),(hthan*500-'KT THAN'!$D$12)/MAX(0.0000001,ABS(SIN(H378)))))*SIN(H378))</f>
        <v>0</v>
      </c>
      <c r="K378" s="52">
        <f>IF(G378="",0,'KT THAN'!$D$11/'KT THAN'!$C$11)</f>
        <v>0</v>
      </c>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2"/>
      <c r="AK378" s="52"/>
      <c r="AL378" s="52"/>
      <c r="AM378" s="52"/>
      <c r="AN378" s="52"/>
    </row>
    <row r="379" spans="1:40" x14ac:dyDescent="0.3">
      <c r="A379" s="52">
        <v>374</v>
      </c>
      <c r="B379" s="52">
        <f>-bthan*500+(23+0.5)*bthan*1000/50</f>
        <v>-165</v>
      </c>
      <c r="C379" s="52">
        <f t="shared" si="98"/>
        <v>-650</v>
      </c>
      <c r="D379" s="52">
        <f t="shared" si="95"/>
        <v>2200</v>
      </c>
      <c r="E379" s="52">
        <f t="shared" si="96"/>
        <v>1</v>
      </c>
      <c r="F379" s="52"/>
      <c r="G379" s="52" t="str">
        <f>IF(374&lt;='KT THAN'!$C$11,374,"")</f>
        <v/>
      </c>
      <c r="H379" s="52">
        <f>IF(G379="",0,2*PI()*(G379-0.5)/'KT THAN'!$C$11)</f>
        <v>0</v>
      </c>
      <c r="I379" s="52">
        <f>IF(G379="",0,IF(shp=1,IF(AND(ABS(SIN(H379))&gt;0.0000001,MAX(1,hthan*500-'KT THAN'!$D$12)*ABS(COS(H379))/ABS(SIN(H379))&lt;=MAX(0,(bthan-hthan)*500)),MAX(1,hthan*500-'KT THAN'!$D$12)/ABS(SIN(H379)),MAX(0,(bthan-hthan)*500)*ABS(COS(H379))+SQRT(MAX(0,MAX(1,hthan*500-'KT THAN'!$D$12)^2-MAX(0,(bthan-hthan)*500)^2*SIN(H379)^2))),MIN((bthan*500-'KT THAN'!$D$12)/MAX(0.0000001,ABS(COS(H379))),(hthan*500-'KT THAN'!$D$12)/MAX(0.0000001,ABS(SIN(H379)))))*COS(H379))</f>
        <v>0</v>
      </c>
      <c r="J379" s="52">
        <f>IF(G379="",0,IF(shp=1,IF(AND(ABS(SIN(H379))&gt;0.0000001,MAX(1,hthan*500-'KT THAN'!$D$12)*ABS(COS(H379))/ABS(SIN(H379))&lt;=MAX(0,(bthan-hthan)*500)),MAX(1,hthan*500-'KT THAN'!$D$12)/ABS(SIN(H379)),MAX(0,(bthan-hthan)*500)*ABS(COS(H379))+SQRT(MAX(0,MAX(1,hthan*500-'KT THAN'!$D$12)^2-MAX(0,(bthan-hthan)*500)^2*SIN(H379)^2))),MIN((bthan*500-'KT THAN'!$D$12)/MAX(0.0000001,ABS(COS(H379))),(hthan*500-'KT THAN'!$D$12)/MAX(0.0000001,ABS(SIN(H379)))))*SIN(H379))</f>
        <v>0</v>
      </c>
      <c r="K379" s="52">
        <f>IF(G379="",0,'KT THAN'!$D$11/'KT THAN'!$C$11)</f>
        <v>0</v>
      </c>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2"/>
      <c r="AK379" s="52"/>
      <c r="AL379" s="52"/>
      <c r="AM379" s="52"/>
      <c r="AN379" s="52"/>
    </row>
    <row r="380" spans="1:40" x14ac:dyDescent="0.3">
      <c r="A380" s="52">
        <v>375</v>
      </c>
      <c r="B380" s="52">
        <f>-bthan*500+(24+0.5)*bthan*1000/50</f>
        <v>-55</v>
      </c>
      <c r="C380" s="52">
        <f t="shared" si="98"/>
        <v>-650</v>
      </c>
      <c r="D380" s="52">
        <f t="shared" si="95"/>
        <v>2200</v>
      </c>
      <c r="E380" s="52">
        <f t="shared" si="96"/>
        <v>1</v>
      </c>
      <c r="F380" s="52"/>
      <c r="G380" s="52" t="str">
        <f>IF(375&lt;='KT THAN'!$C$11,375,"")</f>
        <v/>
      </c>
      <c r="H380" s="52">
        <f>IF(G380="",0,2*PI()*(G380-0.5)/'KT THAN'!$C$11)</f>
        <v>0</v>
      </c>
      <c r="I380" s="52">
        <f>IF(G380="",0,IF(shp=1,IF(AND(ABS(SIN(H380))&gt;0.0000001,MAX(1,hthan*500-'KT THAN'!$D$12)*ABS(COS(H380))/ABS(SIN(H380))&lt;=MAX(0,(bthan-hthan)*500)),MAX(1,hthan*500-'KT THAN'!$D$12)/ABS(SIN(H380)),MAX(0,(bthan-hthan)*500)*ABS(COS(H380))+SQRT(MAX(0,MAX(1,hthan*500-'KT THAN'!$D$12)^2-MAX(0,(bthan-hthan)*500)^2*SIN(H380)^2))),MIN((bthan*500-'KT THAN'!$D$12)/MAX(0.0000001,ABS(COS(H380))),(hthan*500-'KT THAN'!$D$12)/MAX(0.0000001,ABS(SIN(H380)))))*COS(H380))</f>
        <v>0</v>
      </c>
      <c r="J380" s="52">
        <f>IF(G380="",0,IF(shp=1,IF(AND(ABS(SIN(H380))&gt;0.0000001,MAX(1,hthan*500-'KT THAN'!$D$12)*ABS(COS(H380))/ABS(SIN(H380))&lt;=MAX(0,(bthan-hthan)*500)),MAX(1,hthan*500-'KT THAN'!$D$12)/ABS(SIN(H380)),MAX(0,(bthan-hthan)*500)*ABS(COS(H380))+SQRT(MAX(0,MAX(1,hthan*500-'KT THAN'!$D$12)^2-MAX(0,(bthan-hthan)*500)^2*SIN(H380)^2))),MIN((bthan*500-'KT THAN'!$D$12)/MAX(0.0000001,ABS(COS(H380))),(hthan*500-'KT THAN'!$D$12)/MAX(0.0000001,ABS(SIN(H380)))))*SIN(H380))</f>
        <v>0</v>
      </c>
      <c r="K380" s="52">
        <f>IF(G380="",0,'KT THAN'!$D$11/'KT THAN'!$C$11)</f>
        <v>0</v>
      </c>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2"/>
      <c r="AK380" s="52"/>
      <c r="AL380" s="52"/>
      <c r="AM380" s="52"/>
      <c r="AN380" s="52"/>
    </row>
    <row r="381" spans="1:40" x14ac:dyDescent="0.3">
      <c r="A381" s="52">
        <v>376</v>
      </c>
      <c r="B381" s="52">
        <f>-bthan*500+(25+0.5)*bthan*1000/50</f>
        <v>55</v>
      </c>
      <c r="C381" s="52">
        <f t="shared" si="98"/>
        <v>-650</v>
      </c>
      <c r="D381" s="52">
        <f t="shared" si="95"/>
        <v>2200</v>
      </c>
      <c r="E381" s="52">
        <f t="shared" si="96"/>
        <v>1</v>
      </c>
      <c r="F381" s="52"/>
      <c r="G381" s="52" t="str">
        <f>IF(376&lt;='KT THAN'!$C$11,376,"")</f>
        <v/>
      </c>
      <c r="H381" s="52">
        <f>IF(G381="",0,2*PI()*(G381-0.5)/'KT THAN'!$C$11)</f>
        <v>0</v>
      </c>
      <c r="I381" s="52">
        <f>IF(G381="",0,IF(shp=1,IF(AND(ABS(SIN(H381))&gt;0.0000001,MAX(1,hthan*500-'KT THAN'!$D$12)*ABS(COS(H381))/ABS(SIN(H381))&lt;=MAX(0,(bthan-hthan)*500)),MAX(1,hthan*500-'KT THAN'!$D$12)/ABS(SIN(H381)),MAX(0,(bthan-hthan)*500)*ABS(COS(H381))+SQRT(MAX(0,MAX(1,hthan*500-'KT THAN'!$D$12)^2-MAX(0,(bthan-hthan)*500)^2*SIN(H381)^2))),MIN((bthan*500-'KT THAN'!$D$12)/MAX(0.0000001,ABS(COS(H381))),(hthan*500-'KT THAN'!$D$12)/MAX(0.0000001,ABS(SIN(H381)))))*COS(H381))</f>
        <v>0</v>
      </c>
      <c r="J381" s="52">
        <f>IF(G381="",0,IF(shp=1,IF(AND(ABS(SIN(H381))&gt;0.0000001,MAX(1,hthan*500-'KT THAN'!$D$12)*ABS(COS(H381))/ABS(SIN(H381))&lt;=MAX(0,(bthan-hthan)*500)),MAX(1,hthan*500-'KT THAN'!$D$12)/ABS(SIN(H381)),MAX(0,(bthan-hthan)*500)*ABS(COS(H381))+SQRT(MAX(0,MAX(1,hthan*500-'KT THAN'!$D$12)^2-MAX(0,(bthan-hthan)*500)^2*SIN(H381)^2))),MIN((bthan*500-'KT THAN'!$D$12)/MAX(0.0000001,ABS(COS(H381))),(hthan*500-'KT THAN'!$D$12)/MAX(0.0000001,ABS(SIN(H381)))))*SIN(H381))</f>
        <v>0</v>
      </c>
      <c r="K381" s="52">
        <f>IF(G381="",0,'KT THAN'!$D$11/'KT THAN'!$C$11)</f>
        <v>0</v>
      </c>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2"/>
      <c r="AK381" s="52"/>
      <c r="AL381" s="52"/>
      <c r="AM381" s="52"/>
      <c r="AN381" s="52"/>
    </row>
    <row r="382" spans="1:40" x14ac:dyDescent="0.3">
      <c r="A382" s="52">
        <v>377</v>
      </c>
      <c r="B382" s="52">
        <f>-bthan*500+(26+0.5)*bthan*1000/50</f>
        <v>165</v>
      </c>
      <c r="C382" s="52">
        <f t="shared" si="98"/>
        <v>-650</v>
      </c>
      <c r="D382" s="52">
        <f t="shared" si="95"/>
        <v>2200</v>
      </c>
      <c r="E382" s="52">
        <f t="shared" si="96"/>
        <v>1</v>
      </c>
      <c r="F382" s="52"/>
      <c r="G382" s="52" t="str">
        <f>IF(377&lt;='KT THAN'!$C$11,377,"")</f>
        <v/>
      </c>
      <c r="H382" s="52">
        <f>IF(G382="",0,2*PI()*(G382-0.5)/'KT THAN'!$C$11)</f>
        <v>0</v>
      </c>
      <c r="I382" s="52">
        <f>IF(G382="",0,IF(shp=1,IF(AND(ABS(SIN(H382))&gt;0.0000001,MAX(1,hthan*500-'KT THAN'!$D$12)*ABS(COS(H382))/ABS(SIN(H382))&lt;=MAX(0,(bthan-hthan)*500)),MAX(1,hthan*500-'KT THAN'!$D$12)/ABS(SIN(H382)),MAX(0,(bthan-hthan)*500)*ABS(COS(H382))+SQRT(MAX(0,MAX(1,hthan*500-'KT THAN'!$D$12)^2-MAX(0,(bthan-hthan)*500)^2*SIN(H382)^2))),MIN((bthan*500-'KT THAN'!$D$12)/MAX(0.0000001,ABS(COS(H382))),(hthan*500-'KT THAN'!$D$12)/MAX(0.0000001,ABS(SIN(H382)))))*COS(H382))</f>
        <v>0</v>
      </c>
      <c r="J382" s="52">
        <f>IF(G382="",0,IF(shp=1,IF(AND(ABS(SIN(H382))&gt;0.0000001,MAX(1,hthan*500-'KT THAN'!$D$12)*ABS(COS(H382))/ABS(SIN(H382))&lt;=MAX(0,(bthan-hthan)*500)),MAX(1,hthan*500-'KT THAN'!$D$12)/ABS(SIN(H382)),MAX(0,(bthan-hthan)*500)*ABS(COS(H382))+SQRT(MAX(0,MAX(1,hthan*500-'KT THAN'!$D$12)^2-MAX(0,(bthan-hthan)*500)^2*SIN(H382)^2))),MIN((bthan*500-'KT THAN'!$D$12)/MAX(0.0000001,ABS(COS(H382))),(hthan*500-'KT THAN'!$D$12)/MAX(0.0000001,ABS(SIN(H382)))))*SIN(H382))</f>
        <v>0</v>
      </c>
      <c r="K382" s="52">
        <f>IF(G382="",0,'KT THAN'!$D$11/'KT THAN'!$C$11)</f>
        <v>0</v>
      </c>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2"/>
      <c r="AK382" s="52"/>
      <c r="AL382" s="52"/>
      <c r="AM382" s="52"/>
      <c r="AN382" s="52"/>
    </row>
    <row r="383" spans="1:40" x14ac:dyDescent="0.3">
      <c r="A383" s="52">
        <v>378</v>
      </c>
      <c r="B383" s="52">
        <f>-bthan*500+(27+0.5)*bthan*1000/50</f>
        <v>275</v>
      </c>
      <c r="C383" s="52">
        <f t="shared" si="98"/>
        <v>-650</v>
      </c>
      <c r="D383" s="52">
        <f t="shared" si="95"/>
        <v>2200</v>
      </c>
      <c r="E383" s="52">
        <f t="shared" si="96"/>
        <v>1</v>
      </c>
      <c r="F383" s="52"/>
      <c r="G383" s="52" t="str">
        <f>IF(378&lt;='KT THAN'!$C$11,378,"")</f>
        <v/>
      </c>
      <c r="H383" s="52">
        <f>IF(G383="",0,2*PI()*(G383-0.5)/'KT THAN'!$C$11)</f>
        <v>0</v>
      </c>
      <c r="I383" s="52">
        <f>IF(G383="",0,IF(shp=1,IF(AND(ABS(SIN(H383))&gt;0.0000001,MAX(1,hthan*500-'KT THAN'!$D$12)*ABS(COS(H383))/ABS(SIN(H383))&lt;=MAX(0,(bthan-hthan)*500)),MAX(1,hthan*500-'KT THAN'!$D$12)/ABS(SIN(H383)),MAX(0,(bthan-hthan)*500)*ABS(COS(H383))+SQRT(MAX(0,MAX(1,hthan*500-'KT THAN'!$D$12)^2-MAX(0,(bthan-hthan)*500)^2*SIN(H383)^2))),MIN((bthan*500-'KT THAN'!$D$12)/MAX(0.0000001,ABS(COS(H383))),(hthan*500-'KT THAN'!$D$12)/MAX(0.0000001,ABS(SIN(H383)))))*COS(H383))</f>
        <v>0</v>
      </c>
      <c r="J383" s="52">
        <f>IF(G383="",0,IF(shp=1,IF(AND(ABS(SIN(H383))&gt;0.0000001,MAX(1,hthan*500-'KT THAN'!$D$12)*ABS(COS(H383))/ABS(SIN(H383))&lt;=MAX(0,(bthan-hthan)*500)),MAX(1,hthan*500-'KT THAN'!$D$12)/ABS(SIN(H383)),MAX(0,(bthan-hthan)*500)*ABS(COS(H383))+SQRT(MAX(0,MAX(1,hthan*500-'KT THAN'!$D$12)^2-MAX(0,(bthan-hthan)*500)^2*SIN(H383)^2))),MIN((bthan*500-'KT THAN'!$D$12)/MAX(0.0000001,ABS(COS(H383))),(hthan*500-'KT THAN'!$D$12)/MAX(0.0000001,ABS(SIN(H383)))))*SIN(H383))</f>
        <v>0</v>
      </c>
      <c r="K383" s="52">
        <f>IF(G383="",0,'KT THAN'!$D$11/'KT THAN'!$C$11)</f>
        <v>0</v>
      </c>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2"/>
      <c r="AK383" s="52"/>
      <c r="AL383" s="52"/>
      <c r="AM383" s="52"/>
      <c r="AN383" s="52"/>
    </row>
    <row r="384" spans="1:40" x14ac:dyDescent="0.3">
      <c r="A384" s="52">
        <v>379</v>
      </c>
      <c r="B384" s="52">
        <f>-bthan*500+(28+0.5)*bthan*1000/50</f>
        <v>385</v>
      </c>
      <c r="C384" s="52">
        <f t="shared" si="98"/>
        <v>-650</v>
      </c>
      <c r="D384" s="52">
        <f t="shared" si="95"/>
        <v>2200</v>
      </c>
      <c r="E384" s="52">
        <f t="shared" si="96"/>
        <v>1</v>
      </c>
      <c r="F384" s="52"/>
      <c r="G384" s="52" t="str">
        <f>IF(379&lt;='KT THAN'!$C$11,379,"")</f>
        <v/>
      </c>
      <c r="H384" s="52">
        <f>IF(G384="",0,2*PI()*(G384-0.5)/'KT THAN'!$C$11)</f>
        <v>0</v>
      </c>
      <c r="I384" s="52">
        <f>IF(G384="",0,IF(shp=1,IF(AND(ABS(SIN(H384))&gt;0.0000001,MAX(1,hthan*500-'KT THAN'!$D$12)*ABS(COS(H384))/ABS(SIN(H384))&lt;=MAX(0,(bthan-hthan)*500)),MAX(1,hthan*500-'KT THAN'!$D$12)/ABS(SIN(H384)),MAX(0,(bthan-hthan)*500)*ABS(COS(H384))+SQRT(MAX(0,MAX(1,hthan*500-'KT THAN'!$D$12)^2-MAX(0,(bthan-hthan)*500)^2*SIN(H384)^2))),MIN((bthan*500-'KT THAN'!$D$12)/MAX(0.0000001,ABS(COS(H384))),(hthan*500-'KT THAN'!$D$12)/MAX(0.0000001,ABS(SIN(H384)))))*COS(H384))</f>
        <v>0</v>
      </c>
      <c r="J384" s="52">
        <f>IF(G384="",0,IF(shp=1,IF(AND(ABS(SIN(H384))&gt;0.0000001,MAX(1,hthan*500-'KT THAN'!$D$12)*ABS(COS(H384))/ABS(SIN(H384))&lt;=MAX(0,(bthan-hthan)*500)),MAX(1,hthan*500-'KT THAN'!$D$12)/ABS(SIN(H384)),MAX(0,(bthan-hthan)*500)*ABS(COS(H384))+SQRT(MAX(0,MAX(1,hthan*500-'KT THAN'!$D$12)^2-MAX(0,(bthan-hthan)*500)^2*SIN(H384)^2))),MIN((bthan*500-'KT THAN'!$D$12)/MAX(0.0000001,ABS(COS(H384))),(hthan*500-'KT THAN'!$D$12)/MAX(0.0000001,ABS(SIN(H384)))))*SIN(H384))</f>
        <v>0</v>
      </c>
      <c r="K384" s="52">
        <f>IF(G384="",0,'KT THAN'!$D$11/'KT THAN'!$C$11)</f>
        <v>0</v>
      </c>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2"/>
      <c r="AK384" s="52"/>
      <c r="AL384" s="52"/>
      <c r="AM384" s="52"/>
      <c r="AN384" s="52"/>
    </row>
    <row r="385" spans="1:40" x14ac:dyDescent="0.3">
      <c r="A385" s="52">
        <v>380</v>
      </c>
      <c r="B385" s="52">
        <f>-bthan*500+(29+0.5)*bthan*1000/50</f>
        <v>495</v>
      </c>
      <c r="C385" s="52">
        <f t="shared" si="98"/>
        <v>-650</v>
      </c>
      <c r="D385" s="52">
        <f t="shared" si="95"/>
        <v>2200</v>
      </c>
      <c r="E385" s="52">
        <f t="shared" si="96"/>
        <v>1</v>
      </c>
      <c r="F385" s="52"/>
      <c r="G385" s="52" t="str">
        <f>IF(380&lt;='KT THAN'!$C$11,380,"")</f>
        <v/>
      </c>
      <c r="H385" s="52">
        <f>IF(G385="",0,2*PI()*(G385-0.5)/'KT THAN'!$C$11)</f>
        <v>0</v>
      </c>
      <c r="I385" s="52">
        <f>IF(G385="",0,IF(shp=1,IF(AND(ABS(SIN(H385))&gt;0.0000001,MAX(1,hthan*500-'KT THAN'!$D$12)*ABS(COS(H385))/ABS(SIN(H385))&lt;=MAX(0,(bthan-hthan)*500)),MAX(1,hthan*500-'KT THAN'!$D$12)/ABS(SIN(H385)),MAX(0,(bthan-hthan)*500)*ABS(COS(H385))+SQRT(MAX(0,MAX(1,hthan*500-'KT THAN'!$D$12)^2-MAX(0,(bthan-hthan)*500)^2*SIN(H385)^2))),MIN((bthan*500-'KT THAN'!$D$12)/MAX(0.0000001,ABS(COS(H385))),(hthan*500-'KT THAN'!$D$12)/MAX(0.0000001,ABS(SIN(H385)))))*COS(H385))</f>
        <v>0</v>
      </c>
      <c r="J385" s="52">
        <f>IF(G385="",0,IF(shp=1,IF(AND(ABS(SIN(H385))&gt;0.0000001,MAX(1,hthan*500-'KT THAN'!$D$12)*ABS(COS(H385))/ABS(SIN(H385))&lt;=MAX(0,(bthan-hthan)*500)),MAX(1,hthan*500-'KT THAN'!$D$12)/ABS(SIN(H385)),MAX(0,(bthan-hthan)*500)*ABS(COS(H385))+SQRT(MAX(0,MAX(1,hthan*500-'KT THAN'!$D$12)^2-MAX(0,(bthan-hthan)*500)^2*SIN(H385)^2))),MIN((bthan*500-'KT THAN'!$D$12)/MAX(0.0000001,ABS(COS(H385))),(hthan*500-'KT THAN'!$D$12)/MAX(0.0000001,ABS(SIN(H385)))))*SIN(H385))</f>
        <v>0</v>
      </c>
      <c r="K385" s="52">
        <f>IF(G385="",0,'KT THAN'!$D$11/'KT THAN'!$C$11)</f>
        <v>0</v>
      </c>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2"/>
      <c r="AK385" s="52"/>
      <c r="AL385" s="52"/>
      <c r="AM385" s="52"/>
      <c r="AN385" s="52"/>
    </row>
    <row r="386" spans="1:40" x14ac:dyDescent="0.3">
      <c r="A386" s="52">
        <v>381</v>
      </c>
      <c r="B386" s="52">
        <f>-bthan*500+(30+0.5)*bthan*1000/50</f>
        <v>605</v>
      </c>
      <c r="C386" s="52">
        <f t="shared" si="98"/>
        <v>-650</v>
      </c>
      <c r="D386" s="52">
        <f t="shared" si="95"/>
        <v>2200</v>
      </c>
      <c r="E386" s="52">
        <f t="shared" si="96"/>
        <v>1</v>
      </c>
      <c r="F386" s="52"/>
      <c r="G386" s="52" t="str">
        <f>IF(381&lt;='KT THAN'!$C$11,381,"")</f>
        <v/>
      </c>
      <c r="H386" s="52">
        <f>IF(G386="",0,2*PI()*(G386-0.5)/'KT THAN'!$C$11)</f>
        <v>0</v>
      </c>
      <c r="I386" s="52">
        <f>IF(G386="",0,IF(shp=1,IF(AND(ABS(SIN(H386))&gt;0.0000001,MAX(1,hthan*500-'KT THAN'!$D$12)*ABS(COS(H386))/ABS(SIN(H386))&lt;=MAX(0,(bthan-hthan)*500)),MAX(1,hthan*500-'KT THAN'!$D$12)/ABS(SIN(H386)),MAX(0,(bthan-hthan)*500)*ABS(COS(H386))+SQRT(MAX(0,MAX(1,hthan*500-'KT THAN'!$D$12)^2-MAX(0,(bthan-hthan)*500)^2*SIN(H386)^2))),MIN((bthan*500-'KT THAN'!$D$12)/MAX(0.0000001,ABS(COS(H386))),(hthan*500-'KT THAN'!$D$12)/MAX(0.0000001,ABS(SIN(H386)))))*COS(H386))</f>
        <v>0</v>
      </c>
      <c r="J386" s="52">
        <f>IF(G386="",0,IF(shp=1,IF(AND(ABS(SIN(H386))&gt;0.0000001,MAX(1,hthan*500-'KT THAN'!$D$12)*ABS(COS(H386))/ABS(SIN(H386))&lt;=MAX(0,(bthan-hthan)*500)),MAX(1,hthan*500-'KT THAN'!$D$12)/ABS(SIN(H386)),MAX(0,(bthan-hthan)*500)*ABS(COS(H386))+SQRT(MAX(0,MAX(1,hthan*500-'KT THAN'!$D$12)^2-MAX(0,(bthan-hthan)*500)^2*SIN(H386)^2))),MIN((bthan*500-'KT THAN'!$D$12)/MAX(0.0000001,ABS(COS(H386))),(hthan*500-'KT THAN'!$D$12)/MAX(0.0000001,ABS(SIN(H386)))))*SIN(H386))</f>
        <v>0</v>
      </c>
      <c r="K386" s="52">
        <f>IF(G386="",0,'KT THAN'!$D$11/'KT THAN'!$C$11)</f>
        <v>0</v>
      </c>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2"/>
      <c r="AK386" s="52"/>
      <c r="AL386" s="52"/>
      <c r="AM386" s="52"/>
      <c r="AN386" s="52"/>
    </row>
    <row r="387" spans="1:40" x14ac:dyDescent="0.3">
      <c r="A387" s="52">
        <v>382</v>
      </c>
      <c r="B387" s="52">
        <f>-bthan*500+(31+0.5)*bthan*1000/50</f>
        <v>715</v>
      </c>
      <c r="C387" s="52">
        <f t="shared" si="98"/>
        <v>-650</v>
      </c>
      <c r="D387" s="52">
        <f t="shared" si="95"/>
        <v>2200</v>
      </c>
      <c r="E387" s="52">
        <f t="shared" si="96"/>
        <v>1</v>
      </c>
      <c r="F387" s="52"/>
      <c r="G387" s="52" t="str">
        <f>IF(382&lt;='KT THAN'!$C$11,382,"")</f>
        <v/>
      </c>
      <c r="H387" s="52">
        <f>IF(G387="",0,2*PI()*(G387-0.5)/'KT THAN'!$C$11)</f>
        <v>0</v>
      </c>
      <c r="I387" s="52">
        <f>IF(G387="",0,IF(shp=1,IF(AND(ABS(SIN(H387))&gt;0.0000001,MAX(1,hthan*500-'KT THAN'!$D$12)*ABS(COS(H387))/ABS(SIN(H387))&lt;=MAX(0,(bthan-hthan)*500)),MAX(1,hthan*500-'KT THAN'!$D$12)/ABS(SIN(H387)),MAX(0,(bthan-hthan)*500)*ABS(COS(H387))+SQRT(MAX(0,MAX(1,hthan*500-'KT THAN'!$D$12)^2-MAX(0,(bthan-hthan)*500)^2*SIN(H387)^2))),MIN((bthan*500-'KT THAN'!$D$12)/MAX(0.0000001,ABS(COS(H387))),(hthan*500-'KT THAN'!$D$12)/MAX(0.0000001,ABS(SIN(H387)))))*COS(H387))</f>
        <v>0</v>
      </c>
      <c r="J387" s="52">
        <f>IF(G387="",0,IF(shp=1,IF(AND(ABS(SIN(H387))&gt;0.0000001,MAX(1,hthan*500-'KT THAN'!$D$12)*ABS(COS(H387))/ABS(SIN(H387))&lt;=MAX(0,(bthan-hthan)*500)),MAX(1,hthan*500-'KT THAN'!$D$12)/ABS(SIN(H387)),MAX(0,(bthan-hthan)*500)*ABS(COS(H387))+SQRT(MAX(0,MAX(1,hthan*500-'KT THAN'!$D$12)^2-MAX(0,(bthan-hthan)*500)^2*SIN(H387)^2))),MIN((bthan*500-'KT THAN'!$D$12)/MAX(0.0000001,ABS(COS(H387))),(hthan*500-'KT THAN'!$D$12)/MAX(0.0000001,ABS(SIN(H387)))))*SIN(H387))</f>
        <v>0</v>
      </c>
      <c r="K387" s="52">
        <f>IF(G387="",0,'KT THAN'!$D$11/'KT THAN'!$C$11)</f>
        <v>0</v>
      </c>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c r="AJ387" s="52"/>
      <c r="AK387" s="52"/>
      <c r="AL387" s="52"/>
      <c r="AM387" s="52"/>
      <c r="AN387" s="52"/>
    </row>
    <row r="388" spans="1:40" x14ac:dyDescent="0.3">
      <c r="A388" s="52">
        <v>383</v>
      </c>
      <c r="B388" s="52">
        <f>-bthan*500+(32+0.5)*bthan*1000/50</f>
        <v>825</v>
      </c>
      <c r="C388" s="52">
        <f t="shared" ref="C388:C405" si="99">-hthan*500+(7+0.5)*hthan*1000/80</f>
        <v>-650</v>
      </c>
      <c r="D388" s="52">
        <f t="shared" si="95"/>
        <v>2200</v>
      </c>
      <c r="E388" s="52">
        <f t="shared" si="96"/>
        <v>1</v>
      </c>
      <c r="F388" s="52"/>
      <c r="G388" s="52" t="str">
        <f>IF(383&lt;='KT THAN'!$C$11,383,"")</f>
        <v/>
      </c>
      <c r="H388" s="52">
        <f>IF(G388="",0,2*PI()*(G388-0.5)/'KT THAN'!$C$11)</f>
        <v>0</v>
      </c>
      <c r="I388" s="52">
        <f>IF(G388="",0,IF(shp=1,IF(AND(ABS(SIN(H388))&gt;0.0000001,MAX(1,hthan*500-'KT THAN'!$D$12)*ABS(COS(H388))/ABS(SIN(H388))&lt;=MAX(0,(bthan-hthan)*500)),MAX(1,hthan*500-'KT THAN'!$D$12)/ABS(SIN(H388)),MAX(0,(bthan-hthan)*500)*ABS(COS(H388))+SQRT(MAX(0,MAX(1,hthan*500-'KT THAN'!$D$12)^2-MAX(0,(bthan-hthan)*500)^2*SIN(H388)^2))),MIN((bthan*500-'KT THAN'!$D$12)/MAX(0.0000001,ABS(COS(H388))),(hthan*500-'KT THAN'!$D$12)/MAX(0.0000001,ABS(SIN(H388)))))*COS(H388))</f>
        <v>0</v>
      </c>
      <c r="J388" s="52">
        <f>IF(G388="",0,IF(shp=1,IF(AND(ABS(SIN(H388))&gt;0.0000001,MAX(1,hthan*500-'KT THAN'!$D$12)*ABS(COS(H388))/ABS(SIN(H388))&lt;=MAX(0,(bthan-hthan)*500)),MAX(1,hthan*500-'KT THAN'!$D$12)/ABS(SIN(H388)),MAX(0,(bthan-hthan)*500)*ABS(COS(H388))+SQRT(MAX(0,MAX(1,hthan*500-'KT THAN'!$D$12)^2-MAX(0,(bthan-hthan)*500)^2*SIN(H388)^2))),MIN((bthan*500-'KT THAN'!$D$12)/MAX(0.0000001,ABS(COS(H388))),(hthan*500-'KT THAN'!$D$12)/MAX(0.0000001,ABS(SIN(H388)))))*SIN(H388))</f>
        <v>0</v>
      </c>
      <c r="K388" s="52">
        <f>IF(G388="",0,'KT THAN'!$D$11/'KT THAN'!$C$11)</f>
        <v>0</v>
      </c>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2"/>
      <c r="AK388" s="52"/>
      <c r="AL388" s="52"/>
      <c r="AM388" s="52"/>
      <c r="AN388" s="52"/>
    </row>
    <row r="389" spans="1:40" x14ac:dyDescent="0.3">
      <c r="A389" s="52">
        <v>384</v>
      </c>
      <c r="B389" s="52">
        <f>-bthan*500+(33+0.5)*bthan*1000/50</f>
        <v>935</v>
      </c>
      <c r="C389" s="52">
        <f t="shared" si="99"/>
        <v>-650</v>
      </c>
      <c r="D389" s="52">
        <f t="shared" si="95"/>
        <v>2200</v>
      </c>
      <c r="E389" s="52">
        <f t="shared" si="96"/>
        <v>1</v>
      </c>
      <c r="F389" s="52"/>
      <c r="G389" s="52" t="str">
        <f>IF(384&lt;='KT THAN'!$C$11,384,"")</f>
        <v/>
      </c>
      <c r="H389" s="52">
        <f>IF(G389="",0,2*PI()*(G389-0.5)/'KT THAN'!$C$11)</f>
        <v>0</v>
      </c>
      <c r="I389" s="52">
        <f>IF(G389="",0,IF(shp=1,IF(AND(ABS(SIN(H389))&gt;0.0000001,MAX(1,hthan*500-'KT THAN'!$D$12)*ABS(COS(H389))/ABS(SIN(H389))&lt;=MAX(0,(bthan-hthan)*500)),MAX(1,hthan*500-'KT THAN'!$D$12)/ABS(SIN(H389)),MAX(0,(bthan-hthan)*500)*ABS(COS(H389))+SQRT(MAX(0,MAX(1,hthan*500-'KT THAN'!$D$12)^2-MAX(0,(bthan-hthan)*500)^2*SIN(H389)^2))),MIN((bthan*500-'KT THAN'!$D$12)/MAX(0.0000001,ABS(COS(H389))),(hthan*500-'KT THAN'!$D$12)/MAX(0.0000001,ABS(SIN(H389)))))*COS(H389))</f>
        <v>0</v>
      </c>
      <c r="J389" s="52">
        <f>IF(G389="",0,IF(shp=1,IF(AND(ABS(SIN(H389))&gt;0.0000001,MAX(1,hthan*500-'KT THAN'!$D$12)*ABS(COS(H389))/ABS(SIN(H389))&lt;=MAX(0,(bthan-hthan)*500)),MAX(1,hthan*500-'KT THAN'!$D$12)/ABS(SIN(H389)),MAX(0,(bthan-hthan)*500)*ABS(COS(H389))+SQRT(MAX(0,MAX(1,hthan*500-'KT THAN'!$D$12)^2-MAX(0,(bthan-hthan)*500)^2*SIN(H389)^2))),MIN((bthan*500-'KT THAN'!$D$12)/MAX(0.0000001,ABS(COS(H389))),(hthan*500-'KT THAN'!$D$12)/MAX(0.0000001,ABS(SIN(H389)))))*SIN(H389))</f>
        <v>0</v>
      </c>
      <c r="K389" s="52">
        <f>IF(G389="",0,'KT THAN'!$D$11/'KT THAN'!$C$11)</f>
        <v>0</v>
      </c>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2"/>
      <c r="AK389" s="52"/>
      <c r="AL389" s="52"/>
      <c r="AM389" s="52"/>
      <c r="AN389" s="52"/>
    </row>
    <row r="390" spans="1:40" x14ac:dyDescent="0.3">
      <c r="A390" s="52">
        <v>385</v>
      </c>
      <c r="B390" s="52">
        <f>-bthan*500+(34+0.5)*bthan*1000/50</f>
        <v>1045</v>
      </c>
      <c r="C390" s="52">
        <f t="shared" si="99"/>
        <v>-650</v>
      </c>
      <c r="D390" s="52">
        <f t="shared" ref="D390:D453" si="100">bthan*1000/50*hthan*1000/80</f>
        <v>2200</v>
      </c>
      <c r="E390" s="52">
        <f t="shared" ref="E390:E453" si="101">IF(shp=1,--(OR(ABS(B390)&lt;=MAX(0,(bthan-hthan)*500),(ABS(B390)-MAX(0,(bthan-hthan)*500))^2+C390^2&lt;=(hthan*500)^2)),--(AND(ABS(B390)&lt;=bthan*500,ABS(C390)&lt;=hthan*500,OR(ABS(B390)&lt;=bthan*500-cch*1000,ABS(C390)&lt;=hthan*500-cch*1000,(bthan*500-ABS(B390))+(hthan*500-ABS(C390))&gt;=cch*1000))))</f>
        <v>1</v>
      </c>
      <c r="F390" s="52"/>
      <c r="G390" s="52" t="str">
        <f>IF(385&lt;='KT THAN'!$C$11,385,"")</f>
        <v/>
      </c>
      <c r="H390" s="52">
        <f>IF(G390="",0,2*PI()*(G390-0.5)/'KT THAN'!$C$11)</f>
        <v>0</v>
      </c>
      <c r="I390" s="52">
        <f>IF(G390="",0,IF(shp=1,IF(AND(ABS(SIN(H390))&gt;0.0000001,MAX(1,hthan*500-'KT THAN'!$D$12)*ABS(COS(H390))/ABS(SIN(H390))&lt;=MAX(0,(bthan-hthan)*500)),MAX(1,hthan*500-'KT THAN'!$D$12)/ABS(SIN(H390)),MAX(0,(bthan-hthan)*500)*ABS(COS(H390))+SQRT(MAX(0,MAX(1,hthan*500-'KT THAN'!$D$12)^2-MAX(0,(bthan-hthan)*500)^2*SIN(H390)^2))),MIN((bthan*500-'KT THAN'!$D$12)/MAX(0.0000001,ABS(COS(H390))),(hthan*500-'KT THAN'!$D$12)/MAX(0.0000001,ABS(SIN(H390)))))*COS(H390))</f>
        <v>0</v>
      </c>
      <c r="J390" s="52">
        <f>IF(G390="",0,IF(shp=1,IF(AND(ABS(SIN(H390))&gt;0.0000001,MAX(1,hthan*500-'KT THAN'!$D$12)*ABS(COS(H390))/ABS(SIN(H390))&lt;=MAX(0,(bthan-hthan)*500)),MAX(1,hthan*500-'KT THAN'!$D$12)/ABS(SIN(H390)),MAX(0,(bthan-hthan)*500)*ABS(COS(H390))+SQRT(MAX(0,MAX(1,hthan*500-'KT THAN'!$D$12)^2-MAX(0,(bthan-hthan)*500)^2*SIN(H390)^2))),MIN((bthan*500-'KT THAN'!$D$12)/MAX(0.0000001,ABS(COS(H390))),(hthan*500-'KT THAN'!$D$12)/MAX(0.0000001,ABS(SIN(H390)))))*SIN(H390))</f>
        <v>0</v>
      </c>
      <c r="K390" s="52">
        <f>IF(G390="",0,'KT THAN'!$D$11/'KT THAN'!$C$11)</f>
        <v>0</v>
      </c>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2"/>
      <c r="AK390" s="52"/>
      <c r="AL390" s="52"/>
      <c r="AM390" s="52"/>
      <c r="AN390" s="52"/>
    </row>
    <row r="391" spans="1:40" x14ac:dyDescent="0.3">
      <c r="A391" s="52">
        <v>386</v>
      </c>
      <c r="B391" s="52">
        <f>-bthan*500+(35+0.5)*bthan*1000/50</f>
        <v>1155</v>
      </c>
      <c r="C391" s="52">
        <f t="shared" si="99"/>
        <v>-650</v>
      </c>
      <c r="D391" s="52">
        <f t="shared" si="100"/>
        <v>2200</v>
      </c>
      <c r="E391" s="52">
        <f t="shared" si="101"/>
        <v>1</v>
      </c>
      <c r="F391" s="52"/>
      <c r="G391" s="52" t="str">
        <f>IF(386&lt;='KT THAN'!$C$11,386,"")</f>
        <v/>
      </c>
      <c r="H391" s="52">
        <f>IF(G391="",0,2*PI()*(G391-0.5)/'KT THAN'!$C$11)</f>
        <v>0</v>
      </c>
      <c r="I391" s="52">
        <f>IF(G391="",0,IF(shp=1,IF(AND(ABS(SIN(H391))&gt;0.0000001,MAX(1,hthan*500-'KT THAN'!$D$12)*ABS(COS(H391))/ABS(SIN(H391))&lt;=MAX(0,(bthan-hthan)*500)),MAX(1,hthan*500-'KT THAN'!$D$12)/ABS(SIN(H391)),MAX(0,(bthan-hthan)*500)*ABS(COS(H391))+SQRT(MAX(0,MAX(1,hthan*500-'KT THAN'!$D$12)^2-MAX(0,(bthan-hthan)*500)^2*SIN(H391)^2))),MIN((bthan*500-'KT THAN'!$D$12)/MAX(0.0000001,ABS(COS(H391))),(hthan*500-'KT THAN'!$D$12)/MAX(0.0000001,ABS(SIN(H391)))))*COS(H391))</f>
        <v>0</v>
      </c>
      <c r="J391" s="52">
        <f>IF(G391="",0,IF(shp=1,IF(AND(ABS(SIN(H391))&gt;0.0000001,MAX(1,hthan*500-'KT THAN'!$D$12)*ABS(COS(H391))/ABS(SIN(H391))&lt;=MAX(0,(bthan-hthan)*500)),MAX(1,hthan*500-'KT THAN'!$D$12)/ABS(SIN(H391)),MAX(0,(bthan-hthan)*500)*ABS(COS(H391))+SQRT(MAX(0,MAX(1,hthan*500-'KT THAN'!$D$12)^2-MAX(0,(bthan-hthan)*500)^2*SIN(H391)^2))),MIN((bthan*500-'KT THAN'!$D$12)/MAX(0.0000001,ABS(COS(H391))),(hthan*500-'KT THAN'!$D$12)/MAX(0.0000001,ABS(SIN(H391)))))*SIN(H391))</f>
        <v>0</v>
      </c>
      <c r="K391" s="52">
        <f>IF(G391="",0,'KT THAN'!$D$11/'KT THAN'!$C$11)</f>
        <v>0</v>
      </c>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2"/>
      <c r="AK391" s="52"/>
      <c r="AL391" s="52"/>
      <c r="AM391" s="52"/>
      <c r="AN391" s="52"/>
    </row>
    <row r="392" spans="1:40" x14ac:dyDescent="0.3">
      <c r="A392" s="52">
        <v>387</v>
      </c>
      <c r="B392" s="52">
        <f>-bthan*500+(36+0.5)*bthan*1000/50</f>
        <v>1265</v>
      </c>
      <c r="C392" s="52">
        <f t="shared" si="99"/>
        <v>-650</v>
      </c>
      <c r="D392" s="52">
        <f t="shared" si="100"/>
        <v>2200</v>
      </c>
      <c r="E392" s="52">
        <f t="shared" si="101"/>
        <v>1</v>
      </c>
      <c r="F392" s="52"/>
      <c r="G392" s="52" t="str">
        <f>IF(387&lt;='KT THAN'!$C$11,387,"")</f>
        <v/>
      </c>
      <c r="H392" s="52">
        <f>IF(G392="",0,2*PI()*(G392-0.5)/'KT THAN'!$C$11)</f>
        <v>0</v>
      </c>
      <c r="I392" s="52">
        <f>IF(G392="",0,IF(shp=1,IF(AND(ABS(SIN(H392))&gt;0.0000001,MAX(1,hthan*500-'KT THAN'!$D$12)*ABS(COS(H392))/ABS(SIN(H392))&lt;=MAX(0,(bthan-hthan)*500)),MAX(1,hthan*500-'KT THAN'!$D$12)/ABS(SIN(H392)),MAX(0,(bthan-hthan)*500)*ABS(COS(H392))+SQRT(MAX(0,MAX(1,hthan*500-'KT THAN'!$D$12)^2-MAX(0,(bthan-hthan)*500)^2*SIN(H392)^2))),MIN((bthan*500-'KT THAN'!$D$12)/MAX(0.0000001,ABS(COS(H392))),(hthan*500-'KT THAN'!$D$12)/MAX(0.0000001,ABS(SIN(H392)))))*COS(H392))</f>
        <v>0</v>
      </c>
      <c r="J392" s="52">
        <f>IF(G392="",0,IF(shp=1,IF(AND(ABS(SIN(H392))&gt;0.0000001,MAX(1,hthan*500-'KT THAN'!$D$12)*ABS(COS(H392))/ABS(SIN(H392))&lt;=MAX(0,(bthan-hthan)*500)),MAX(1,hthan*500-'KT THAN'!$D$12)/ABS(SIN(H392)),MAX(0,(bthan-hthan)*500)*ABS(COS(H392))+SQRT(MAX(0,MAX(1,hthan*500-'KT THAN'!$D$12)^2-MAX(0,(bthan-hthan)*500)^2*SIN(H392)^2))),MIN((bthan*500-'KT THAN'!$D$12)/MAX(0.0000001,ABS(COS(H392))),(hthan*500-'KT THAN'!$D$12)/MAX(0.0000001,ABS(SIN(H392)))))*SIN(H392))</f>
        <v>0</v>
      </c>
      <c r="K392" s="52">
        <f>IF(G392="",0,'KT THAN'!$D$11/'KT THAN'!$C$11)</f>
        <v>0</v>
      </c>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2"/>
      <c r="AK392" s="52"/>
      <c r="AL392" s="52"/>
      <c r="AM392" s="52"/>
      <c r="AN392" s="52"/>
    </row>
    <row r="393" spans="1:40" x14ac:dyDescent="0.3">
      <c r="A393" s="52">
        <v>388</v>
      </c>
      <c r="B393" s="52">
        <f>-bthan*500+(37+0.5)*bthan*1000/50</f>
        <v>1375</v>
      </c>
      <c r="C393" s="52">
        <f t="shared" si="99"/>
        <v>-650</v>
      </c>
      <c r="D393" s="52">
        <f t="shared" si="100"/>
        <v>2200</v>
      </c>
      <c r="E393" s="52">
        <f t="shared" si="101"/>
        <v>1</v>
      </c>
      <c r="F393" s="52"/>
      <c r="G393" s="52" t="str">
        <f>IF(388&lt;='KT THAN'!$C$11,388,"")</f>
        <v/>
      </c>
      <c r="H393" s="52">
        <f>IF(G393="",0,2*PI()*(G393-0.5)/'KT THAN'!$C$11)</f>
        <v>0</v>
      </c>
      <c r="I393" s="52">
        <f>IF(G393="",0,IF(shp=1,IF(AND(ABS(SIN(H393))&gt;0.0000001,MAX(1,hthan*500-'KT THAN'!$D$12)*ABS(COS(H393))/ABS(SIN(H393))&lt;=MAX(0,(bthan-hthan)*500)),MAX(1,hthan*500-'KT THAN'!$D$12)/ABS(SIN(H393)),MAX(0,(bthan-hthan)*500)*ABS(COS(H393))+SQRT(MAX(0,MAX(1,hthan*500-'KT THAN'!$D$12)^2-MAX(0,(bthan-hthan)*500)^2*SIN(H393)^2))),MIN((bthan*500-'KT THAN'!$D$12)/MAX(0.0000001,ABS(COS(H393))),(hthan*500-'KT THAN'!$D$12)/MAX(0.0000001,ABS(SIN(H393)))))*COS(H393))</f>
        <v>0</v>
      </c>
      <c r="J393" s="52">
        <f>IF(G393="",0,IF(shp=1,IF(AND(ABS(SIN(H393))&gt;0.0000001,MAX(1,hthan*500-'KT THAN'!$D$12)*ABS(COS(H393))/ABS(SIN(H393))&lt;=MAX(0,(bthan-hthan)*500)),MAX(1,hthan*500-'KT THAN'!$D$12)/ABS(SIN(H393)),MAX(0,(bthan-hthan)*500)*ABS(COS(H393))+SQRT(MAX(0,MAX(1,hthan*500-'KT THAN'!$D$12)^2-MAX(0,(bthan-hthan)*500)^2*SIN(H393)^2))),MIN((bthan*500-'KT THAN'!$D$12)/MAX(0.0000001,ABS(COS(H393))),(hthan*500-'KT THAN'!$D$12)/MAX(0.0000001,ABS(SIN(H393)))))*SIN(H393))</f>
        <v>0</v>
      </c>
      <c r="K393" s="52">
        <f>IF(G393="",0,'KT THAN'!$D$11/'KT THAN'!$C$11)</f>
        <v>0</v>
      </c>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row>
    <row r="394" spans="1:40" x14ac:dyDescent="0.3">
      <c r="A394" s="52">
        <v>389</v>
      </c>
      <c r="B394" s="52">
        <f>-bthan*500+(38+0.5)*bthan*1000/50</f>
        <v>1485</v>
      </c>
      <c r="C394" s="52">
        <f t="shared" si="99"/>
        <v>-650</v>
      </c>
      <c r="D394" s="52">
        <f t="shared" si="100"/>
        <v>2200</v>
      </c>
      <c r="E394" s="52">
        <f t="shared" si="101"/>
        <v>1</v>
      </c>
      <c r="F394" s="52"/>
      <c r="G394" s="52" t="str">
        <f>IF(389&lt;='KT THAN'!$C$11,389,"")</f>
        <v/>
      </c>
      <c r="H394" s="52">
        <f>IF(G394="",0,2*PI()*(G394-0.5)/'KT THAN'!$C$11)</f>
        <v>0</v>
      </c>
      <c r="I394" s="52">
        <f>IF(G394="",0,IF(shp=1,IF(AND(ABS(SIN(H394))&gt;0.0000001,MAX(1,hthan*500-'KT THAN'!$D$12)*ABS(COS(H394))/ABS(SIN(H394))&lt;=MAX(0,(bthan-hthan)*500)),MAX(1,hthan*500-'KT THAN'!$D$12)/ABS(SIN(H394)),MAX(0,(bthan-hthan)*500)*ABS(COS(H394))+SQRT(MAX(0,MAX(1,hthan*500-'KT THAN'!$D$12)^2-MAX(0,(bthan-hthan)*500)^2*SIN(H394)^2))),MIN((bthan*500-'KT THAN'!$D$12)/MAX(0.0000001,ABS(COS(H394))),(hthan*500-'KT THAN'!$D$12)/MAX(0.0000001,ABS(SIN(H394)))))*COS(H394))</f>
        <v>0</v>
      </c>
      <c r="J394" s="52">
        <f>IF(G394="",0,IF(shp=1,IF(AND(ABS(SIN(H394))&gt;0.0000001,MAX(1,hthan*500-'KT THAN'!$D$12)*ABS(COS(H394))/ABS(SIN(H394))&lt;=MAX(0,(bthan-hthan)*500)),MAX(1,hthan*500-'KT THAN'!$D$12)/ABS(SIN(H394)),MAX(0,(bthan-hthan)*500)*ABS(COS(H394))+SQRT(MAX(0,MAX(1,hthan*500-'KT THAN'!$D$12)^2-MAX(0,(bthan-hthan)*500)^2*SIN(H394)^2))),MIN((bthan*500-'KT THAN'!$D$12)/MAX(0.0000001,ABS(COS(H394))),(hthan*500-'KT THAN'!$D$12)/MAX(0.0000001,ABS(SIN(H394)))))*SIN(H394))</f>
        <v>0</v>
      </c>
      <c r="K394" s="52">
        <f>IF(G394="",0,'KT THAN'!$D$11/'KT THAN'!$C$11)</f>
        <v>0</v>
      </c>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2"/>
      <c r="AK394" s="52"/>
      <c r="AL394" s="52"/>
      <c r="AM394" s="52"/>
      <c r="AN394" s="52"/>
    </row>
    <row r="395" spans="1:40" x14ac:dyDescent="0.3">
      <c r="A395" s="52">
        <v>390</v>
      </c>
      <c r="B395" s="52">
        <f>-bthan*500+(39+0.5)*bthan*1000/50</f>
        <v>1595</v>
      </c>
      <c r="C395" s="52">
        <f t="shared" si="99"/>
        <v>-650</v>
      </c>
      <c r="D395" s="52">
        <f t="shared" si="100"/>
        <v>2200</v>
      </c>
      <c r="E395" s="52">
        <f t="shared" si="101"/>
        <v>1</v>
      </c>
      <c r="F395" s="52"/>
      <c r="G395" s="52" t="str">
        <f>IF(390&lt;='KT THAN'!$C$11,390,"")</f>
        <v/>
      </c>
      <c r="H395" s="52">
        <f>IF(G395="",0,2*PI()*(G395-0.5)/'KT THAN'!$C$11)</f>
        <v>0</v>
      </c>
      <c r="I395" s="52">
        <f>IF(G395="",0,IF(shp=1,IF(AND(ABS(SIN(H395))&gt;0.0000001,MAX(1,hthan*500-'KT THAN'!$D$12)*ABS(COS(H395))/ABS(SIN(H395))&lt;=MAX(0,(bthan-hthan)*500)),MAX(1,hthan*500-'KT THAN'!$D$12)/ABS(SIN(H395)),MAX(0,(bthan-hthan)*500)*ABS(COS(H395))+SQRT(MAX(0,MAX(1,hthan*500-'KT THAN'!$D$12)^2-MAX(0,(bthan-hthan)*500)^2*SIN(H395)^2))),MIN((bthan*500-'KT THAN'!$D$12)/MAX(0.0000001,ABS(COS(H395))),(hthan*500-'KT THAN'!$D$12)/MAX(0.0000001,ABS(SIN(H395)))))*COS(H395))</f>
        <v>0</v>
      </c>
      <c r="J395" s="52">
        <f>IF(G395="",0,IF(shp=1,IF(AND(ABS(SIN(H395))&gt;0.0000001,MAX(1,hthan*500-'KT THAN'!$D$12)*ABS(COS(H395))/ABS(SIN(H395))&lt;=MAX(0,(bthan-hthan)*500)),MAX(1,hthan*500-'KT THAN'!$D$12)/ABS(SIN(H395)),MAX(0,(bthan-hthan)*500)*ABS(COS(H395))+SQRT(MAX(0,MAX(1,hthan*500-'KT THAN'!$D$12)^2-MAX(0,(bthan-hthan)*500)^2*SIN(H395)^2))),MIN((bthan*500-'KT THAN'!$D$12)/MAX(0.0000001,ABS(COS(H395))),(hthan*500-'KT THAN'!$D$12)/MAX(0.0000001,ABS(SIN(H395)))))*SIN(H395))</f>
        <v>0</v>
      </c>
      <c r="K395" s="52">
        <f>IF(G395="",0,'KT THAN'!$D$11/'KT THAN'!$C$11)</f>
        <v>0</v>
      </c>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2"/>
      <c r="AK395" s="52"/>
      <c r="AL395" s="52"/>
      <c r="AM395" s="52"/>
      <c r="AN395" s="52"/>
    </row>
    <row r="396" spans="1:40" x14ac:dyDescent="0.3">
      <c r="A396" s="52">
        <v>391</v>
      </c>
      <c r="B396" s="52">
        <f>-bthan*500+(40+0.5)*bthan*1000/50</f>
        <v>1705</v>
      </c>
      <c r="C396" s="52">
        <f t="shared" si="99"/>
        <v>-650</v>
      </c>
      <c r="D396" s="52">
        <f t="shared" si="100"/>
        <v>2200</v>
      </c>
      <c r="E396" s="52">
        <f t="shared" si="101"/>
        <v>1</v>
      </c>
      <c r="F396" s="52"/>
      <c r="G396" s="52" t="str">
        <f>IF(391&lt;='KT THAN'!$C$11,391,"")</f>
        <v/>
      </c>
      <c r="H396" s="52">
        <f>IF(G396="",0,2*PI()*(G396-0.5)/'KT THAN'!$C$11)</f>
        <v>0</v>
      </c>
      <c r="I396" s="52">
        <f>IF(G396="",0,IF(shp=1,IF(AND(ABS(SIN(H396))&gt;0.0000001,MAX(1,hthan*500-'KT THAN'!$D$12)*ABS(COS(H396))/ABS(SIN(H396))&lt;=MAX(0,(bthan-hthan)*500)),MAX(1,hthan*500-'KT THAN'!$D$12)/ABS(SIN(H396)),MAX(0,(bthan-hthan)*500)*ABS(COS(H396))+SQRT(MAX(0,MAX(1,hthan*500-'KT THAN'!$D$12)^2-MAX(0,(bthan-hthan)*500)^2*SIN(H396)^2))),MIN((bthan*500-'KT THAN'!$D$12)/MAX(0.0000001,ABS(COS(H396))),(hthan*500-'KT THAN'!$D$12)/MAX(0.0000001,ABS(SIN(H396)))))*COS(H396))</f>
        <v>0</v>
      </c>
      <c r="J396" s="52">
        <f>IF(G396="",0,IF(shp=1,IF(AND(ABS(SIN(H396))&gt;0.0000001,MAX(1,hthan*500-'KT THAN'!$D$12)*ABS(COS(H396))/ABS(SIN(H396))&lt;=MAX(0,(bthan-hthan)*500)),MAX(1,hthan*500-'KT THAN'!$D$12)/ABS(SIN(H396)),MAX(0,(bthan-hthan)*500)*ABS(COS(H396))+SQRT(MAX(0,MAX(1,hthan*500-'KT THAN'!$D$12)^2-MAX(0,(bthan-hthan)*500)^2*SIN(H396)^2))),MIN((bthan*500-'KT THAN'!$D$12)/MAX(0.0000001,ABS(COS(H396))),(hthan*500-'KT THAN'!$D$12)/MAX(0.0000001,ABS(SIN(H396)))))*SIN(H396))</f>
        <v>0</v>
      </c>
      <c r="K396" s="52">
        <f>IF(G396="",0,'KT THAN'!$D$11/'KT THAN'!$C$11)</f>
        <v>0</v>
      </c>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2"/>
      <c r="AK396" s="52"/>
      <c r="AL396" s="52"/>
      <c r="AM396" s="52"/>
      <c r="AN396" s="52"/>
    </row>
    <row r="397" spans="1:40" x14ac:dyDescent="0.3">
      <c r="A397" s="52">
        <v>392</v>
      </c>
      <c r="B397" s="52">
        <f>-bthan*500+(41+0.5)*bthan*1000/50</f>
        <v>1815</v>
      </c>
      <c r="C397" s="52">
        <f t="shared" si="99"/>
        <v>-650</v>
      </c>
      <c r="D397" s="52">
        <f t="shared" si="100"/>
        <v>2200</v>
      </c>
      <c r="E397" s="52">
        <f t="shared" si="101"/>
        <v>1</v>
      </c>
      <c r="F397" s="52"/>
      <c r="G397" s="52" t="str">
        <f>IF(392&lt;='KT THAN'!$C$11,392,"")</f>
        <v/>
      </c>
      <c r="H397" s="52">
        <f>IF(G397="",0,2*PI()*(G397-0.5)/'KT THAN'!$C$11)</f>
        <v>0</v>
      </c>
      <c r="I397" s="52">
        <f>IF(G397="",0,IF(shp=1,IF(AND(ABS(SIN(H397))&gt;0.0000001,MAX(1,hthan*500-'KT THAN'!$D$12)*ABS(COS(H397))/ABS(SIN(H397))&lt;=MAX(0,(bthan-hthan)*500)),MAX(1,hthan*500-'KT THAN'!$D$12)/ABS(SIN(H397)),MAX(0,(bthan-hthan)*500)*ABS(COS(H397))+SQRT(MAX(0,MAX(1,hthan*500-'KT THAN'!$D$12)^2-MAX(0,(bthan-hthan)*500)^2*SIN(H397)^2))),MIN((bthan*500-'KT THAN'!$D$12)/MAX(0.0000001,ABS(COS(H397))),(hthan*500-'KT THAN'!$D$12)/MAX(0.0000001,ABS(SIN(H397)))))*COS(H397))</f>
        <v>0</v>
      </c>
      <c r="J397" s="52">
        <f>IF(G397="",0,IF(shp=1,IF(AND(ABS(SIN(H397))&gt;0.0000001,MAX(1,hthan*500-'KT THAN'!$D$12)*ABS(COS(H397))/ABS(SIN(H397))&lt;=MAX(0,(bthan-hthan)*500)),MAX(1,hthan*500-'KT THAN'!$D$12)/ABS(SIN(H397)),MAX(0,(bthan-hthan)*500)*ABS(COS(H397))+SQRT(MAX(0,MAX(1,hthan*500-'KT THAN'!$D$12)^2-MAX(0,(bthan-hthan)*500)^2*SIN(H397)^2))),MIN((bthan*500-'KT THAN'!$D$12)/MAX(0.0000001,ABS(COS(H397))),(hthan*500-'KT THAN'!$D$12)/MAX(0.0000001,ABS(SIN(H397)))))*SIN(H397))</f>
        <v>0</v>
      </c>
      <c r="K397" s="52">
        <f>IF(G397="",0,'KT THAN'!$D$11/'KT THAN'!$C$11)</f>
        <v>0</v>
      </c>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2"/>
      <c r="AK397" s="52"/>
      <c r="AL397" s="52"/>
      <c r="AM397" s="52"/>
      <c r="AN397" s="52"/>
    </row>
    <row r="398" spans="1:40" x14ac:dyDescent="0.3">
      <c r="A398" s="52">
        <v>393</v>
      </c>
      <c r="B398" s="52">
        <f>-bthan*500+(42+0.5)*bthan*1000/50</f>
        <v>1925</v>
      </c>
      <c r="C398" s="52">
        <f t="shared" si="99"/>
        <v>-650</v>
      </c>
      <c r="D398" s="52">
        <f t="shared" si="100"/>
        <v>2200</v>
      </c>
      <c r="E398" s="52">
        <f t="shared" si="101"/>
        <v>1</v>
      </c>
      <c r="F398" s="52"/>
      <c r="G398" s="52" t="str">
        <f>IF(393&lt;='KT THAN'!$C$11,393,"")</f>
        <v/>
      </c>
      <c r="H398" s="52">
        <f>IF(G398="",0,2*PI()*(G398-0.5)/'KT THAN'!$C$11)</f>
        <v>0</v>
      </c>
      <c r="I398" s="52">
        <f>IF(G398="",0,IF(shp=1,IF(AND(ABS(SIN(H398))&gt;0.0000001,MAX(1,hthan*500-'KT THAN'!$D$12)*ABS(COS(H398))/ABS(SIN(H398))&lt;=MAX(0,(bthan-hthan)*500)),MAX(1,hthan*500-'KT THAN'!$D$12)/ABS(SIN(H398)),MAX(0,(bthan-hthan)*500)*ABS(COS(H398))+SQRT(MAX(0,MAX(1,hthan*500-'KT THAN'!$D$12)^2-MAX(0,(bthan-hthan)*500)^2*SIN(H398)^2))),MIN((bthan*500-'KT THAN'!$D$12)/MAX(0.0000001,ABS(COS(H398))),(hthan*500-'KT THAN'!$D$12)/MAX(0.0000001,ABS(SIN(H398)))))*COS(H398))</f>
        <v>0</v>
      </c>
      <c r="J398" s="52">
        <f>IF(G398="",0,IF(shp=1,IF(AND(ABS(SIN(H398))&gt;0.0000001,MAX(1,hthan*500-'KT THAN'!$D$12)*ABS(COS(H398))/ABS(SIN(H398))&lt;=MAX(0,(bthan-hthan)*500)),MAX(1,hthan*500-'KT THAN'!$D$12)/ABS(SIN(H398)),MAX(0,(bthan-hthan)*500)*ABS(COS(H398))+SQRT(MAX(0,MAX(1,hthan*500-'KT THAN'!$D$12)^2-MAX(0,(bthan-hthan)*500)^2*SIN(H398)^2))),MIN((bthan*500-'KT THAN'!$D$12)/MAX(0.0000001,ABS(COS(H398))),(hthan*500-'KT THAN'!$D$12)/MAX(0.0000001,ABS(SIN(H398)))))*SIN(H398))</f>
        <v>0</v>
      </c>
      <c r="K398" s="52">
        <f>IF(G398="",0,'KT THAN'!$D$11/'KT THAN'!$C$11)</f>
        <v>0</v>
      </c>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2"/>
      <c r="AK398" s="52"/>
      <c r="AL398" s="52"/>
      <c r="AM398" s="52"/>
      <c r="AN398" s="52"/>
    </row>
    <row r="399" spans="1:40" x14ac:dyDescent="0.3">
      <c r="A399" s="52">
        <v>394</v>
      </c>
      <c r="B399" s="52">
        <f>-bthan*500+(43+0.5)*bthan*1000/50</f>
        <v>2035</v>
      </c>
      <c r="C399" s="52">
        <f t="shared" si="99"/>
        <v>-650</v>
      </c>
      <c r="D399" s="52">
        <f t="shared" si="100"/>
        <v>2200</v>
      </c>
      <c r="E399" s="52">
        <f t="shared" si="101"/>
        <v>1</v>
      </c>
      <c r="F399" s="52"/>
      <c r="G399" s="52" t="str">
        <f>IF(394&lt;='KT THAN'!$C$11,394,"")</f>
        <v/>
      </c>
      <c r="H399" s="52">
        <f>IF(G399="",0,2*PI()*(G399-0.5)/'KT THAN'!$C$11)</f>
        <v>0</v>
      </c>
      <c r="I399" s="52">
        <f>IF(G399="",0,IF(shp=1,IF(AND(ABS(SIN(H399))&gt;0.0000001,MAX(1,hthan*500-'KT THAN'!$D$12)*ABS(COS(H399))/ABS(SIN(H399))&lt;=MAX(0,(bthan-hthan)*500)),MAX(1,hthan*500-'KT THAN'!$D$12)/ABS(SIN(H399)),MAX(0,(bthan-hthan)*500)*ABS(COS(H399))+SQRT(MAX(0,MAX(1,hthan*500-'KT THAN'!$D$12)^2-MAX(0,(bthan-hthan)*500)^2*SIN(H399)^2))),MIN((bthan*500-'KT THAN'!$D$12)/MAX(0.0000001,ABS(COS(H399))),(hthan*500-'KT THAN'!$D$12)/MAX(0.0000001,ABS(SIN(H399)))))*COS(H399))</f>
        <v>0</v>
      </c>
      <c r="J399" s="52">
        <f>IF(G399="",0,IF(shp=1,IF(AND(ABS(SIN(H399))&gt;0.0000001,MAX(1,hthan*500-'KT THAN'!$D$12)*ABS(COS(H399))/ABS(SIN(H399))&lt;=MAX(0,(bthan-hthan)*500)),MAX(1,hthan*500-'KT THAN'!$D$12)/ABS(SIN(H399)),MAX(0,(bthan-hthan)*500)*ABS(COS(H399))+SQRT(MAX(0,MAX(1,hthan*500-'KT THAN'!$D$12)^2-MAX(0,(bthan-hthan)*500)^2*SIN(H399)^2))),MIN((bthan*500-'KT THAN'!$D$12)/MAX(0.0000001,ABS(COS(H399))),(hthan*500-'KT THAN'!$D$12)/MAX(0.0000001,ABS(SIN(H399)))))*SIN(H399))</f>
        <v>0</v>
      </c>
      <c r="K399" s="52">
        <f>IF(G399="",0,'KT THAN'!$D$11/'KT THAN'!$C$11)</f>
        <v>0</v>
      </c>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2"/>
      <c r="AK399" s="52"/>
      <c r="AL399" s="52"/>
      <c r="AM399" s="52"/>
      <c r="AN399" s="52"/>
    </row>
    <row r="400" spans="1:40" x14ac:dyDescent="0.3">
      <c r="A400" s="52">
        <v>395</v>
      </c>
      <c r="B400" s="52">
        <f>-bthan*500+(44+0.5)*bthan*1000/50</f>
        <v>2145</v>
      </c>
      <c r="C400" s="52">
        <f t="shared" si="99"/>
        <v>-650</v>
      </c>
      <c r="D400" s="52">
        <f t="shared" si="100"/>
        <v>2200</v>
      </c>
      <c r="E400" s="52">
        <f t="shared" si="101"/>
        <v>1</v>
      </c>
      <c r="F400" s="52"/>
      <c r="G400" s="52" t="str">
        <f>IF(395&lt;='KT THAN'!$C$11,395,"")</f>
        <v/>
      </c>
      <c r="H400" s="52">
        <f>IF(G400="",0,2*PI()*(G400-0.5)/'KT THAN'!$C$11)</f>
        <v>0</v>
      </c>
      <c r="I400" s="52">
        <f>IF(G400="",0,IF(shp=1,IF(AND(ABS(SIN(H400))&gt;0.0000001,MAX(1,hthan*500-'KT THAN'!$D$12)*ABS(COS(H400))/ABS(SIN(H400))&lt;=MAX(0,(bthan-hthan)*500)),MAX(1,hthan*500-'KT THAN'!$D$12)/ABS(SIN(H400)),MAX(0,(bthan-hthan)*500)*ABS(COS(H400))+SQRT(MAX(0,MAX(1,hthan*500-'KT THAN'!$D$12)^2-MAX(0,(bthan-hthan)*500)^2*SIN(H400)^2))),MIN((bthan*500-'KT THAN'!$D$12)/MAX(0.0000001,ABS(COS(H400))),(hthan*500-'KT THAN'!$D$12)/MAX(0.0000001,ABS(SIN(H400)))))*COS(H400))</f>
        <v>0</v>
      </c>
      <c r="J400" s="52">
        <f>IF(G400="",0,IF(shp=1,IF(AND(ABS(SIN(H400))&gt;0.0000001,MAX(1,hthan*500-'KT THAN'!$D$12)*ABS(COS(H400))/ABS(SIN(H400))&lt;=MAX(0,(bthan-hthan)*500)),MAX(1,hthan*500-'KT THAN'!$D$12)/ABS(SIN(H400)),MAX(0,(bthan-hthan)*500)*ABS(COS(H400))+SQRT(MAX(0,MAX(1,hthan*500-'KT THAN'!$D$12)^2-MAX(0,(bthan-hthan)*500)^2*SIN(H400)^2))),MIN((bthan*500-'KT THAN'!$D$12)/MAX(0.0000001,ABS(COS(H400))),(hthan*500-'KT THAN'!$D$12)/MAX(0.0000001,ABS(SIN(H400)))))*SIN(H400))</f>
        <v>0</v>
      </c>
      <c r="K400" s="52">
        <f>IF(G400="",0,'KT THAN'!$D$11/'KT THAN'!$C$11)</f>
        <v>0</v>
      </c>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2"/>
      <c r="AK400" s="52"/>
      <c r="AL400" s="52"/>
      <c r="AM400" s="52"/>
      <c r="AN400" s="52"/>
    </row>
    <row r="401" spans="1:40" x14ac:dyDescent="0.3">
      <c r="A401" s="52">
        <v>396</v>
      </c>
      <c r="B401" s="52">
        <f>-bthan*500+(45+0.5)*bthan*1000/50</f>
        <v>2255</v>
      </c>
      <c r="C401" s="52">
        <f t="shared" si="99"/>
        <v>-650</v>
      </c>
      <c r="D401" s="52">
        <f t="shared" si="100"/>
        <v>2200</v>
      </c>
      <c r="E401" s="52">
        <f t="shared" si="101"/>
        <v>1</v>
      </c>
      <c r="F401" s="52"/>
      <c r="G401" s="52" t="str">
        <f>IF(396&lt;='KT THAN'!$C$11,396,"")</f>
        <v/>
      </c>
      <c r="H401" s="52">
        <f>IF(G401="",0,2*PI()*(G401-0.5)/'KT THAN'!$C$11)</f>
        <v>0</v>
      </c>
      <c r="I401" s="52">
        <f>IF(G401="",0,IF(shp=1,IF(AND(ABS(SIN(H401))&gt;0.0000001,MAX(1,hthan*500-'KT THAN'!$D$12)*ABS(COS(H401))/ABS(SIN(H401))&lt;=MAX(0,(bthan-hthan)*500)),MAX(1,hthan*500-'KT THAN'!$D$12)/ABS(SIN(H401)),MAX(0,(bthan-hthan)*500)*ABS(COS(H401))+SQRT(MAX(0,MAX(1,hthan*500-'KT THAN'!$D$12)^2-MAX(0,(bthan-hthan)*500)^2*SIN(H401)^2))),MIN((bthan*500-'KT THAN'!$D$12)/MAX(0.0000001,ABS(COS(H401))),(hthan*500-'KT THAN'!$D$12)/MAX(0.0000001,ABS(SIN(H401)))))*COS(H401))</f>
        <v>0</v>
      </c>
      <c r="J401" s="52">
        <f>IF(G401="",0,IF(shp=1,IF(AND(ABS(SIN(H401))&gt;0.0000001,MAX(1,hthan*500-'KT THAN'!$D$12)*ABS(COS(H401))/ABS(SIN(H401))&lt;=MAX(0,(bthan-hthan)*500)),MAX(1,hthan*500-'KT THAN'!$D$12)/ABS(SIN(H401)),MAX(0,(bthan-hthan)*500)*ABS(COS(H401))+SQRT(MAX(0,MAX(1,hthan*500-'KT THAN'!$D$12)^2-MAX(0,(bthan-hthan)*500)^2*SIN(H401)^2))),MIN((bthan*500-'KT THAN'!$D$12)/MAX(0.0000001,ABS(COS(H401))),(hthan*500-'KT THAN'!$D$12)/MAX(0.0000001,ABS(SIN(H401)))))*SIN(H401))</f>
        <v>0</v>
      </c>
      <c r="K401" s="52">
        <f>IF(G401="",0,'KT THAN'!$D$11/'KT THAN'!$C$11)</f>
        <v>0</v>
      </c>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2"/>
      <c r="AK401" s="52"/>
      <c r="AL401" s="52"/>
      <c r="AM401" s="52"/>
      <c r="AN401" s="52"/>
    </row>
    <row r="402" spans="1:40" x14ac:dyDescent="0.3">
      <c r="A402" s="52">
        <v>397</v>
      </c>
      <c r="B402" s="52">
        <f>-bthan*500+(46+0.5)*bthan*1000/50</f>
        <v>2365</v>
      </c>
      <c r="C402" s="52">
        <f t="shared" si="99"/>
        <v>-650</v>
      </c>
      <c r="D402" s="52">
        <f t="shared" si="100"/>
        <v>2200</v>
      </c>
      <c r="E402" s="52">
        <f t="shared" si="101"/>
        <v>1</v>
      </c>
      <c r="F402" s="52"/>
      <c r="G402" s="52" t="str">
        <f>IF(397&lt;='KT THAN'!$C$11,397,"")</f>
        <v/>
      </c>
      <c r="H402" s="52">
        <f>IF(G402="",0,2*PI()*(G402-0.5)/'KT THAN'!$C$11)</f>
        <v>0</v>
      </c>
      <c r="I402" s="52">
        <f>IF(G402="",0,IF(shp=1,IF(AND(ABS(SIN(H402))&gt;0.0000001,MAX(1,hthan*500-'KT THAN'!$D$12)*ABS(COS(H402))/ABS(SIN(H402))&lt;=MAX(0,(bthan-hthan)*500)),MAX(1,hthan*500-'KT THAN'!$D$12)/ABS(SIN(H402)),MAX(0,(bthan-hthan)*500)*ABS(COS(H402))+SQRT(MAX(0,MAX(1,hthan*500-'KT THAN'!$D$12)^2-MAX(0,(bthan-hthan)*500)^2*SIN(H402)^2))),MIN((bthan*500-'KT THAN'!$D$12)/MAX(0.0000001,ABS(COS(H402))),(hthan*500-'KT THAN'!$D$12)/MAX(0.0000001,ABS(SIN(H402)))))*COS(H402))</f>
        <v>0</v>
      </c>
      <c r="J402" s="52">
        <f>IF(G402="",0,IF(shp=1,IF(AND(ABS(SIN(H402))&gt;0.0000001,MAX(1,hthan*500-'KT THAN'!$D$12)*ABS(COS(H402))/ABS(SIN(H402))&lt;=MAX(0,(bthan-hthan)*500)),MAX(1,hthan*500-'KT THAN'!$D$12)/ABS(SIN(H402)),MAX(0,(bthan-hthan)*500)*ABS(COS(H402))+SQRT(MAX(0,MAX(1,hthan*500-'KT THAN'!$D$12)^2-MAX(0,(bthan-hthan)*500)^2*SIN(H402)^2))),MIN((bthan*500-'KT THAN'!$D$12)/MAX(0.0000001,ABS(COS(H402))),(hthan*500-'KT THAN'!$D$12)/MAX(0.0000001,ABS(SIN(H402)))))*SIN(H402))</f>
        <v>0</v>
      </c>
      <c r="K402" s="52">
        <f>IF(G402="",0,'KT THAN'!$D$11/'KT THAN'!$C$11)</f>
        <v>0</v>
      </c>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2"/>
      <c r="AK402" s="52"/>
      <c r="AL402" s="52"/>
      <c r="AM402" s="52"/>
      <c r="AN402" s="52"/>
    </row>
    <row r="403" spans="1:40" x14ac:dyDescent="0.3">
      <c r="A403" s="52">
        <v>398</v>
      </c>
      <c r="B403" s="52">
        <f>-bthan*500+(47+0.5)*bthan*1000/50</f>
        <v>2475</v>
      </c>
      <c r="C403" s="52">
        <f t="shared" si="99"/>
        <v>-650</v>
      </c>
      <c r="D403" s="52">
        <f t="shared" si="100"/>
        <v>2200</v>
      </c>
      <c r="E403" s="52">
        <f t="shared" si="101"/>
        <v>0</v>
      </c>
      <c r="F403" s="52"/>
      <c r="G403" s="52" t="str">
        <f>IF(398&lt;='KT THAN'!$C$11,398,"")</f>
        <v/>
      </c>
      <c r="H403" s="52">
        <f>IF(G403="",0,2*PI()*(G403-0.5)/'KT THAN'!$C$11)</f>
        <v>0</v>
      </c>
      <c r="I403" s="52">
        <f>IF(G403="",0,IF(shp=1,IF(AND(ABS(SIN(H403))&gt;0.0000001,MAX(1,hthan*500-'KT THAN'!$D$12)*ABS(COS(H403))/ABS(SIN(H403))&lt;=MAX(0,(bthan-hthan)*500)),MAX(1,hthan*500-'KT THAN'!$D$12)/ABS(SIN(H403)),MAX(0,(bthan-hthan)*500)*ABS(COS(H403))+SQRT(MAX(0,MAX(1,hthan*500-'KT THAN'!$D$12)^2-MAX(0,(bthan-hthan)*500)^2*SIN(H403)^2))),MIN((bthan*500-'KT THAN'!$D$12)/MAX(0.0000001,ABS(COS(H403))),(hthan*500-'KT THAN'!$D$12)/MAX(0.0000001,ABS(SIN(H403)))))*COS(H403))</f>
        <v>0</v>
      </c>
      <c r="J403" s="52">
        <f>IF(G403="",0,IF(shp=1,IF(AND(ABS(SIN(H403))&gt;0.0000001,MAX(1,hthan*500-'KT THAN'!$D$12)*ABS(COS(H403))/ABS(SIN(H403))&lt;=MAX(0,(bthan-hthan)*500)),MAX(1,hthan*500-'KT THAN'!$D$12)/ABS(SIN(H403)),MAX(0,(bthan-hthan)*500)*ABS(COS(H403))+SQRT(MAX(0,MAX(1,hthan*500-'KT THAN'!$D$12)^2-MAX(0,(bthan-hthan)*500)^2*SIN(H403)^2))),MIN((bthan*500-'KT THAN'!$D$12)/MAX(0.0000001,ABS(COS(H403))),(hthan*500-'KT THAN'!$D$12)/MAX(0.0000001,ABS(SIN(H403)))))*SIN(H403))</f>
        <v>0</v>
      </c>
      <c r="K403" s="52">
        <f>IF(G403="",0,'KT THAN'!$D$11/'KT THAN'!$C$11)</f>
        <v>0</v>
      </c>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c r="AJ403" s="52"/>
      <c r="AK403" s="52"/>
      <c r="AL403" s="52"/>
      <c r="AM403" s="52"/>
      <c r="AN403" s="52"/>
    </row>
    <row r="404" spans="1:40" x14ac:dyDescent="0.3">
      <c r="A404" s="52">
        <v>399</v>
      </c>
      <c r="B404" s="52">
        <f>-bthan*500+(48+0.5)*bthan*1000/50</f>
        <v>2585</v>
      </c>
      <c r="C404" s="52">
        <f t="shared" si="99"/>
        <v>-650</v>
      </c>
      <c r="D404" s="52">
        <f t="shared" si="100"/>
        <v>2200</v>
      </c>
      <c r="E404" s="52">
        <f t="shared" si="101"/>
        <v>0</v>
      </c>
      <c r="F404" s="52"/>
      <c r="G404" s="52" t="str">
        <f>IF(399&lt;='KT THAN'!$C$11,399,"")</f>
        <v/>
      </c>
      <c r="H404" s="52">
        <f>IF(G404="",0,2*PI()*(G404-0.5)/'KT THAN'!$C$11)</f>
        <v>0</v>
      </c>
      <c r="I404" s="52">
        <f>IF(G404="",0,IF(shp=1,IF(AND(ABS(SIN(H404))&gt;0.0000001,MAX(1,hthan*500-'KT THAN'!$D$12)*ABS(COS(H404))/ABS(SIN(H404))&lt;=MAX(0,(bthan-hthan)*500)),MAX(1,hthan*500-'KT THAN'!$D$12)/ABS(SIN(H404)),MAX(0,(bthan-hthan)*500)*ABS(COS(H404))+SQRT(MAX(0,MAX(1,hthan*500-'KT THAN'!$D$12)^2-MAX(0,(bthan-hthan)*500)^2*SIN(H404)^2))),MIN((bthan*500-'KT THAN'!$D$12)/MAX(0.0000001,ABS(COS(H404))),(hthan*500-'KT THAN'!$D$12)/MAX(0.0000001,ABS(SIN(H404)))))*COS(H404))</f>
        <v>0</v>
      </c>
      <c r="J404" s="52">
        <f>IF(G404="",0,IF(shp=1,IF(AND(ABS(SIN(H404))&gt;0.0000001,MAX(1,hthan*500-'KT THAN'!$D$12)*ABS(COS(H404))/ABS(SIN(H404))&lt;=MAX(0,(bthan-hthan)*500)),MAX(1,hthan*500-'KT THAN'!$D$12)/ABS(SIN(H404)),MAX(0,(bthan-hthan)*500)*ABS(COS(H404))+SQRT(MAX(0,MAX(1,hthan*500-'KT THAN'!$D$12)^2-MAX(0,(bthan-hthan)*500)^2*SIN(H404)^2))),MIN((bthan*500-'KT THAN'!$D$12)/MAX(0.0000001,ABS(COS(H404))),(hthan*500-'KT THAN'!$D$12)/MAX(0.0000001,ABS(SIN(H404)))))*SIN(H404))</f>
        <v>0</v>
      </c>
      <c r="K404" s="52">
        <f>IF(G404="",0,'KT THAN'!$D$11/'KT THAN'!$C$11)</f>
        <v>0</v>
      </c>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2"/>
      <c r="AK404" s="52"/>
      <c r="AL404" s="52"/>
      <c r="AM404" s="52"/>
      <c r="AN404" s="52"/>
    </row>
    <row r="405" spans="1:40" x14ac:dyDescent="0.3">
      <c r="A405" s="52">
        <v>400</v>
      </c>
      <c r="B405" s="52">
        <f>-bthan*500+(49+0.5)*bthan*1000/50</f>
        <v>2695</v>
      </c>
      <c r="C405" s="52">
        <f t="shared" si="99"/>
        <v>-650</v>
      </c>
      <c r="D405" s="52">
        <f t="shared" si="100"/>
        <v>2200</v>
      </c>
      <c r="E405" s="52">
        <f t="shared" si="101"/>
        <v>0</v>
      </c>
      <c r="F405" s="52"/>
      <c r="G405" s="52" t="str">
        <f>IF(400&lt;='KT THAN'!$C$11,400,"")</f>
        <v/>
      </c>
      <c r="H405" s="52">
        <f>IF(G405="",0,2*PI()*(G405-0.5)/'KT THAN'!$C$11)</f>
        <v>0</v>
      </c>
      <c r="I405" s="52">
        <f>IF(G405="",0,IF(shp=1,IF(AND(ABS(SIN(H405))&gt;0.0000001,MAX(1,hthan*500-'KT THAN'!$D$12)*ABS(COS(H405))/ABS(SIN(H405))&lt;=MAX(0,(bthan-hthan)*500)),MAX(1,hthan*500-'KT THAN'!$D$12)/ABS(SIN(H405)),MAX(0,(bthan-hthan)*500)*ABS(COS(H405))+SQRT(MAX(0,MAX(1,hthan*500-'KT THAN'!$D$12)^2-MAX(0,(bthan-hthan)*500)^2*SIN(H405)^2))),MIN((bthan*500-'KT THAN'!$D$12)/MAX(0.0000001,ABS(COS(H405))),(hthan*500-'KT THAN'!$D$12)/MAX(0.0000001,ABS(SIN(H405)))))*COS(H405))</f>
        <v>0</v>
      </c>
      <c r="J405" s="52">
        <f>IF(G405="",0,IF(shp=1,IF(AND(ABS(SIN(H405))&gt;0.0000001,MAX(1,hthan*500-'KT THAN'!$D$12)*ABS(COS(H405))/ABS(SIN(H405))&lt;=MAX(0,(bthan-hthan)*500)),MAX(1,hthan*500-'KT THAN'!$D$12)/ABS(SIN(H405)),MAX(0,(bthan-hthan)*500)*ABS(COS(H405))+SQRT(MAX(0,MAX(1,hthan*500-'KT THAN'!$D$12)^2-MAX(0,(bthan-hthan)*500)^2*SIN(H405)^2))),MIN((bthan*500-'KT THAN'!$D$12)/MAX(0.0000001,ABS(COS(H405))),(hthan*500-'KT THAN'!$D$12)/MAX(0.0000001,ABS(SIN(H405)))))*SIN(H405))</f>
        <v>0</v>
      </c>
      <c r="K405" s="52">
        <f>IF(G405="",0,'KT THAN'!$D$11/'KT THAN'!$C$11)</f>
        <v>0</v>
      </c>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2"/>
      <c r="AK405" s="52"/>
      <c r="AL405" s="52"/>
      <c r="AM405" s="52"/>
      <c r="AN405" s="52"/>
    </row>
    <row r="406" spans="1:40" x14ac:dyDescent="0.3">
      <c r="A406" s="52">
        <v>401</v>
      </c>
      <c r="B406" s="52">
        <f>-bthan*500+(0+0.5)*bthan*1000/50</f>
        <v>-2695</v>
      </c>
      <c r="C406" s="52">
        <f t="shared" ref="C406:C437" si="102">-hthan*500+(8+0.5)*hthan*1000/80</f>
        <v>-630</v>
      </c>
      <c r="D406" s="52">
        <f t="shared" si="100"/>
        <v>2200</v>
      </c>
      <c r="E406" s="52">
        <f t="shared" si="101"/>
        <v>0</v>
      </c>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2"/>
      <c r="AK406" s="52"/>
      <c r="AL406" s="52"/>
      <c r="AM406" s="52"/>
      <c r="AN406" s="52"/>
    </row>
    <row r="407" spans="1:40" x14ac:dyDescent="0.3">
      <c r="A407" s="52">
        <v>402</v>
      </c>
      <c r="B407" s="52">
        <f>-bthan*500+(1+0.5)*bthan*1000/50</f>
        <v>-2585</v>
      </c>
      <c r="C407" s="52">
        <f t="shared" si="102"/>
        <v>-630</v>
      </c>
      <c r="D407" s="52">
        <f t="shared" si="100"/>
        <v>2200</v>
      </c>
      <c r="E407" s="52">
        <f t="shared" si="101"/>
        <v>0</v>
      </c>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2"/>
      <c r="AK407" s="52"/>
      <c r="AL407" s="52"/>
      <c r="AM407" s="52"/>
      <c r="AN407" s="52"/>
    </row>
    <row r="408" spans="1:40" x14ac:dyDescent="0.3">
      <c r="A408" s="52">
        <v>403</v>
      </c>
      <c r="B408" s="52">
        <f>-bthan*500+(2+0.5)*bthan*1000/50</f>
        <v>-2475</v>
      </c>
      <c r="C408" s="52">
        <f t="shared" si="102"/>
        <v>-630</v>
      </c>
      <c r="D408" s="52">
        <f t="shared" si="100"/>
        <v>2200</v>
      </c>
      <c r="E408" s="52">
        <f t="shared" si="101"/>
        <v>0</v>
      </c>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2"/>
      <c r="AK408" s="52"/>
      <c r="AL408" s="52"/>
      <c r="AM408" s="52"/>
      <c r="AN408" s="52"/>
    </row>
    <row r="409" spans="1:40" x14ac:dyDescent="0.3">
      <c r="A409" s="52">
        <v>404</v>
      </c>
      <c r="B409" s="52">
        <f>-bthan*500+(3+0.5)*bthan*1000/50</f>
        <v>-2365</v>
      </c>
      <c r="C409" s="52">
        <f t="shared" si="102"/>
        <v>-630</v>
      </c>
      <c r="D409" s="52">
        <f t="shared" si="100"/>
        <v>2200</v>
      </c>
      <c r="E409" s="52">
        <f t="shared" si="101"/>
        <v>1</v>
      </c>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2"/>
      <c r="AK409" s="52"/>
      <c r="AL409" s="52"/>
      <c r="AM409" s="52"/>
      <c r="AN409" s="52"/>
    </row>
    <row r="410" spans="1:40" x14ac:dyDescent="0.3">
      <c r="A410" s="52">
        <v>405</v>
      </c>
      <c r="B410" s="52">
        <f>-bthan*500+(4+0.5)*bthan*1000/50</f>
        <v>-2255</v>
      </c>
      <c r="C410" s="52">
        <f t="shared" si="102"/>
        <v>-630</v>
      </c>
      <c r="D410" s="52">
        <f t="shared" si="100"/>
        <v>2200</v>
      </c>
      <c r="E410" s="52">
        <f t="shared" si="101"/>
        <v>1</v>
      </c>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2"/>
      <c r="AK410" s="52"/>
      <c r="AL410" s="52"/>
      <c r="AM410" s="52"/>
      <c r="AN410" s="52"/>
    </row>
    <row r="411" spans="1:40" x14ac:dyDescent="0.3">
      <c r="A411" s="52">
        <v>406</v>
      </c>
      <c r="B411" s="52">
        <f>-bthan*500+(5+0.5)*bthan*1000/50</f>
        <v>-2145</v>
      </c>
      <c r="C411" s="52">
        <f t="shared" si="102"/>
        <v>-630</v>
      </c>
      <c r="D411" s="52">
        <f t="shared" si="100"/>
        <v>2200</v>
      </c>
      <c r="E411" s="52">
        <f t="shared" si="101"/>
        <v>1</v>
      </c>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2"/>
      <c r="AK411" s="52"/>
      <c r="AL411" s="52"/>
      <c r="AM411" s="52"/>
      <c r="AN411" s="52"/>
    </row>
    <row r="412" spans="1:40" x14ac:dyDescent="0.3">
      <c r="A412" s="52">
        <v>407</v>
      </c>
      <c r="B412" s="52">
        <f>-bthan*500+(6+0.5)*bthan*1000/50</f>
        <v>-2035</v>
      </c>
      <c r="C412" s="52">
        <f t="shared" si="102"/>
        <v>-630</v>
      </c>
      <c r="D412" s="52">
        <f t="shared" si="100"/>
        <v>2200</v>
      </c>
      <c r="E412" s="52">
        <f t="shared" si="101"/>
        <v>1</v>
      </c>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2"/>
      <c r="AK412" s="52"/>
      <c r="AL412" s="52"/>
      <c r="AM412" s="52"/>
      <c r="AN412" s="52"/>
    </row>
    <row r="413" spans="1:40" x14ac:dyDescent="0.3">
      <c r="A413" s="52">
        <v>408</v>
      </c>
      <c r="B413" s="52">
        <f>-bthan*500+(7+0.5)*bthan*1000/50</f>
        <v>-1925</v>
      </c>
      <c r="C413" s="52">
        <f t="shared" si="102"/>
        <v>-630</v>
      </c>
      <c r="D413" s="52">
        <f t="shared" si="100"/>
        <v>2200</v>
      </c>
      <c r="E413" s="52">
        <f t="shared" si="101"/>
        <v>1</v>
      </c>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2"/>
      <c r="AK413" s="52"/>
      <c r="AL413" s="52"/>
      <c r="AM413" s="52"/>
      <c r="AN413" s="52"/>
    </row>
    <row r="414" spans="1:40" x14ac:dyDescent="0.3">
      <c r="A414" s="52">
        <v>409</v>
      </c>
      <c r="B414" s="52">
        <f>-bthan*500+(8+0.5)*bthan*1000/50</f>
        <v>-1815</v>
      </c>
      <c r="C414" s="52">
        <f t="shared" si="102"/>
        <v>-630</v>
      </c>
      <c r="D414" s="52">
        <f t="shared" si="100"/>
        <v>2200</v>
      </c>
      <c r="E414" s="52">
        <f t="shared" si="101"/>
        <v>1</v>
      </c>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2"/>
      <c r="AK414" s="52"/>
      <c r="AL414" s="52"/>
      <c r="AM414" s="52"/>
      <c r="AN414" s="52"/>
    </row>
    <row r="415" spans="1:40" x14ac:dyDescent="0.3">
      <c r="A415" s="52">
        <v>410</v>
      </c>
      <c r="B415" s="52">
        <f>-bthan*500+(9+0.5)*bthan*1000/50</f>
        <v>-1705</v>
      </c>
      <c r="C415" s="52">
        <f t="shared" si="102"/>
        <v>-630</v>
      </c>
      <c r="D415" s="52">
        <f t="shared" si="100"/>
        <v>2200</v>
      </c>
      <c r="E415" s="52">
        <f t="shared" si="101"/>
        <v>1</v>
      </c>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2"/>
      <c r="AK415" s="52"/>
      <c r="AL415" s="52"/>
      <c r="AM415" s="52"/>
      <c r="AN415" s="52"/>
    </row>
    <row r="416" spans="1:40" x14ac:dyDescent="0.3">
      <c r="A416" s="52">
        <v>411</v>
      </c>
      <c r="B416" s="52">
        <f>-bthan*500+(10+0.5)*bthan*1000/50</f>
        <v>-1595</v>
      </c>
      <c r="C416" s="52">
        <f t="shared" si="102"/>
        <v>-630</v>
      </c>
      <c r="D416" s="52">
        <f t="shared" si="100"/>
        <v>2200</v>
      </c>
      <c r="E416" s="52">
        <f t="shared" si="101"/>
        <v>1</v>
      </c>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2"/>
      <c r="AK416" s="52"/>
      <c r="AL416" s="52"/>
      <c r="AM416" s="52"/>
      <c r="AN416" s="52"/>
    </row>
    <row r="417" spans="1:40" x14ac:dyDescent="0.3">
      <c r="A417" s="52">
        <v>412</v>
      </c>
      <c r="B417" s="52">
        <f>-bthan*500+(11+0.5)*bthan*1000/50</f>
        <v>-1485</v>
      </c>
      <c r="C417" s="52">
        <f t="shared" si="102"/>
        <v>-630</v>
      </c>
      <c r="D417" s="52">
        <f t="shared" si="100"/>
        <v>2200</v>
      </c>
      <c r="E417" s="52">
        <f t="shared" si="101"/>
        <v>1</v>
      </c>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2"/>
      <c r="AK417" s="52"/>
      <c r="AL417" s="52"/>
      <c r="AM417" s="52"/>
      <c r="AN417" s="52"/>
    </row>
    <row r="418" spans="1:40" x14ac:dyDescent="0.3">
      <c r="A418" s="52">
        <v>413</v>
      </c>
      <c r="B418" s="52">
        <f>-bthan*500+(12+0.5)*bthan*1000/50</f>
        <v>-1375</v>
      </c>
      <c r="C418" s="52">
        <f t="shared" si="102"/>
        <v>-630</v>
      </c>
      <c r="D418" s="52">
        <f t="shared" si="100"/>
        <v>2200</v>
      </c>
      <c r="E418" s="52">
        <f t="shared" si="101"/>
        <v>1</v>
      </c>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2"/>
      <c r="AK418" s="52"/>
      <c r="AL418" s="52"/>
      <c r="AM418" s="52"/>
      <c r="AN418" s="52"/>
    </row>
    <row r="419" spans="1:40" x14ac:dyDescent="0.3">
      <c r="A419" s="52">
        <v>414</v>
      </c>
      <c r="B419" s="52">
        <f>-bthan*500+(13+0.5)*bthan*1000/50</f>
        <v>-1265</v>
      </c>
      <c r="C419" s="52">
        <f t="shared" si="102"/>
        <v>-630</v>
      </c>
      <c r="D419" s="52">
        <f t="shared" si="100"/>
        <v>2200</v>
      </c>
      <c r="E419" s="52">
        <f t="shared" si="101"/>
        <v>1</v>
      </c>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c r="AJ419" s="52"/>
      <c r="AK419" s="52"/>
      <c r="AL419" s="52"/>
      <c r="AM419" s="52"/>
      <c r="AN419" s="52"/>
    </row>
    <row r="420" spans="1:40" x14ac:dyDescent="0.3">
      <c r="A420" s="52">
        <v>415</v>
      </c>
      <c r="B420" s="52">
        <f>-bthan*500+(14+0.5)*bthan*1000/50</f>
        <v>-1155</v>
      </c>
      <c r="C420" s="52">
        <f t="shared" si="102"/>
        <v>-630</v>
      </c>
      <c r="D420" s="52">
        <f t="shared" si="100"/>
        <v>2200</v>
      </c>
      <c r="E420" s="52">
        <f t="shared" si="101"/>
        <v>1</v>
      </c>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2"/>
      <c r="AK420" s="52"/>
      <c r="AL420" s="52"/>
      <c r="AM420" s="52"/>
      <c r="AN420" s="52"/>
    </row>
    <row r="421" spans="1:40" x14ac:dyDescent="0.3">
      <c r="A421" s="52">
        <v>416</v>
      </c>
      <c r="B421" s="52">
        <f>-bthan*500+(15+0.5)*bthan*1000/50</f>
        <v>-1045</v>
      </c>
      <c r="C421" s="52">
        <f t="shared" si="102"/>
        <v>-630</v>
      </c>
      <c r="D421" s="52">
        <f t="shared" si="100"/>
        <v>2200</v>
      </c>
      <c r="E421" s="52">
        <f t="shared" si="101"/>
        <v>1</v>
      </c>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2"/>
      <c r="AK421" s="52"/>
      <c r="AL421" s="52"/>
      <c r="AM421" s="52"/>
      <c r="AN421" s="52"/>
    </row>
    <row r="422" spans="1:40" x14ac:dyDescent="0.3">
      <c r="A422" s="52">
        <v>417</v>
      </c>
      <c r="B422" s="52">
        <f>-bthan*500+(16+0.5)*bthan*1000/50</f>
        <v>-935</v>
      </c>
      <c r="C422" s="52">
        <f t="shared" si="102"/>
        <v>-630</v>
      </c>
      <c r="D422" s="52">
        <f t="shared" si="100"/>
        <v>2200</v>
      </c>
      <c r="E422" s="52">
        <f t="shared" si="101"/>
        <v>1</v>
      </c>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2"/>
      <c r="AK422" s="52"/>
      <c r="AL422" s="52"/>
      <c r="AM422" s="52"/>
      <c r="AN422" s="52"/>
    </row>
    <row r="423" spans="1:40" x14ac:dyDescent="0.3">
      <c r="A423" s="52">
        <v>418</v>
      </c>
      <c r="B423" s="52">
        <f>-bthan*500+(17+0.5)*bthan*1000/50</f>
        <v>-825</v>
      </c>
      <c r="C423" s="52">
        <f t="shared" si="102"/>
        <v>-630</v>
      </c>
      <c r="D423" s="52">
        <f t="shared" si="100"/>
        <v>2200</v>
      </c>
      <c r="E423" s="52">
        <f t="shared" si="101"/>
        <v>1</v>
      </c>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2"/>
      <c r="AK423" s="52"/>
      <c r="AL423" s="52"/>
      <c r="AM423" s="52"/>
      <c r="AN423" s="52"/>
    </row>
    <row r="424" spans="1:40" x14ac:dyDescent="0.3">
      <c r="A424" s="52">
        <v>419</v>
      </c>
      <c r="B424" s="52">
        <f>-bthan*500+(18+0.5)*bthan*1000/50</f>
        <v>-715</v>
      </c>
      <c r="C424" s="52">
        <f t="shared" si="102"/>
        <v>-630</v>
      </c>
      <c r="D424" s="52">
        <f t="shared" si="100"/>
        <v>2200</v>
      </c>
      <c r="E424" s="52">
        <f t="shared" si="101"/>
        <v>1</v>
      </c>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2"/>
      <c r="AK424" s="52"/>
      <c r="AL424" s="52"/>
      <c r="AM424" s="52"/>
      <c r="AN424" s="52"/>
    </row>
    <row r="425" spans="1:40" x14ac:dyDescent="0.3">
      <c r="A425" s="52">
        <v>420</v>
      </c>
      <c r="B425" s="52">
        <f>-bthan*500+(19+0.5)*bthan*1000/50</f>
        <v>-605</v>
      </c>
      <c r="C425" s="52">
        <f t="shared" si="102"/>
        <v>-630</v>
      </c>
      <c r="D425" s="52">
        <f t="shared" si="100"/>
        <v>2200</v>
      </c>
      <c r="E425" s="52">
        <f t="shared" si="101"/>
        <v>1</v>
      </c>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2"/>
      <c r="AK425" s="52"/>
      <c r="AL425" s="52"/>
      <c r="AM425" s="52"/>
      <c r="AN425" s="52"/>
    </row>
    <row r="426" spans="1:40" x14ac:dyDescent="0.3">
      <c r="A426" s="52">
        <v>421</v>
      </c>
      <c r="B426" s="52">
        <f>-bthan*500+(20+0.5)*bthan*1000/50</f>
        <v>-495</v>
      </c>
      <c r="C426" s="52">
        <f t="shared" si="102"/>
        <v>-630</v>
      </c>
      <c r="D426" s="52">
        <f t="shared" si="100"/>
        <v>2200</v>
      </c>
      <c r="E426" s="52">
        <f t="shared" si="101"/>
        <v>1</v>
      </c>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2"/>
      <c r="AK426" s="52"/>
      <c r="AL426" s="52"/>
      <c r="AM426" s="52"/>
      <c r="AN426" s="52"/>
    </row>
    <row r="427" spans="1:40" x14ac:dyDescent="0.3">
      <c r="A427" s="52">
        <v>422</v>
      </c>
      <c r="B427" s="52">
        <f>-bthan*500+(21+0.5)*bthan*1000/50</f>
        <v>-385</v>
      </c>
      <c r="C427" s="52">
        <f t="shared" si="102"/>
        <v>-630</v>
      </c>
      <c r="D427" s="52">
        <f t="shared" si="100"/>
        <v>2200</v>
      </c>
      <c r="E427" s="52">
        <f t="shared" si="101"/>
        <v>1</v>
      </c>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2"/>
      <c r="AK427" s="52"/>
      <c r="AL427" s="52"/>
      <c r="AM427" s="52"/>
      <c r="AN427" s="52"/>
    </row>
    <row r="428" spans="1:40" x14ac:dyDescent="0.3">
      <c r="A428" s="52">
        <v>423</v>
      </c>
      <c r="B428" s="52">
        <f>-bthan*500+(22+0.5)*bthan*1000/50</f>
        <v>-275</v>
      </c>
      <c r="C428" s="52">
        <f t="shared" si="102"/>
        <v>-630</v>
      </c>
      <c r="D428" s="52">
        <f t="shared" si="100"/>
        <v>2200</v>
      </c>
      <c r="E428" s="52">
        <f t="shared" si="101"/>
        <v>1</v>
      </c>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2"/>
      <c r="AK428" s="52"/>
      <c r="AL428" s="52"/>
      <c r="AM428" s="52"/>
      <c r="AN428" s="52"/>
    </row>
    <row r="429" spans="1:40" x14ac:dyDescent="0.3">
      <c r="A429" s="52">
        <v>424</v>
      </c>
      <c r="B429" s="52">
        <f>-bthan*500+(23+0.5)*bthan*1000/50</f>
        <v>-165</v>
      </c>
      <c r="C429" s="52">
        <f t="shared" si="102"/>
        <v>-630</v>
      </c>
      <c r="D429" s="52">
        <f t="shared" si="100"/>
        <v>2200</v>
      </c>
      <c r="E429" s="52">
        <f t="shared" si="101"/>
        <v>1</v>
      </c>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2"/>
      <c r="AK429" s="52"/>
      <c r="AL429" s="52"/>
      <c r="AM429" s="52"/>
      <c r="AN429" s="52"/>
    </row>
    <row r="430" spans="1:40" x14ac:dyDescent="0.3">
      <c r="A430" s="52">
        <v>425</v>
      </c>
      <c r="B430" s="52">
        <f>-bthan*500+(24+0.5)*bthan*1000/50</f>
        <v>-55</v>
      </c>
      <c r="C430" s="52">
        <f t="shared" si="102"/>
        <v>-630</v>
      </c>
      <c r="D430" s="52">
        <f t="shared" si="100"/>
        <v>2200</v>
      </c>
      <c r="E430" s="52">
        <f t="shared" si="101"/>
        <v>1</v>
      </c>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2"/>
      <c r="AK430" s="52"/>
      <c r="AL430" s="52"/>
      <c r="AM430" s="52"/>
      <c r="AN430" s="52"/>
    </row>
    <row r="431" spans="1:40" x14ac:dyDescent="0.3">
      <c r="A431" s="52">
        <v>426</v>
      </c>
      <c r="B431" s="52">
        <f>-bthan*500+(25+0.5)*bthan*1000/50</f>
        <v>55</v>
      </c>
      <c r="C431" s="52">
        <f t="shared" si="102"/>
        <v>-630</v>
      </c>
      <c r="D431" s="52">
        <f t="shared" si="100"/>
        <v>2200</v>
      </c>
      <c r="E431" s="52">
        <f t="shared" si="101"/>
        <v>1</v>
      </c>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2"/>
      <c r="AK431" s="52"/>
      <c r="AL431" s="52"/>
      <c r="AM431" s="52"/>
      <c r="AN431" s="52"/>
    </row>
    <row r="432" spans="1:40" x14ac:dyDescent="0.3">
      <c r="A432" s="52">
        <v>427</v>
      </c>
      <c r="B432" s="52">
        <f>-bthan*500+(26+0.5)*bthan*1000/50</f>
        <v>165</v>
      </c>
      <c r="C432" s="52">
        <f t="shared" si="102"/>
        <v>-630</v>
      </c>
      <c r="D432" s="52">
        <f t="shared" si="100"/>
        <v>2200</v>
      </c>
      <c r="E432" s="52">
        <f t="shared" si="101"/>
        <v>1</v>
      </c>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2"/>
      <c r="AK432" s="52"/>
      <c r="AL432" s="52"/>
      <c r="AM432" s="52"/>
      <c r="AN432" s="52"/>
    </row>
    <row r="433" spans="1:40" x14ac:dyDescent="0.3">
      <c r="A433" s="52">
        <v>428</v>
      </c>
      <c r="B433" s="52">
        <f>-bthan*500+(27+0.5)*bthan*1000/50</f>
        <v>275</v>
      </c>
      <c r="C433" s="52">
        <f t="shared" si="102"/>
        <v>-630</v>
      </c>
      <c r="D433" s="52">
        <f t="shared" si="100"/>
        <v>2200</v>
      </c>
      <c r="E433" s="52">
        <f t="shared" si="101"/>
        <v>1</v>
      </c>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2"/>
      <c r="AK433" s="52"/>
      <c r="AL433" s="52"/>
      <c r="AM433" s="52"/>
      <c r="AN433" s="52"/>
    </row>
    <row r="434" spans="1:40" x14ac:dyDescent="0.3">
      <c r="A434" s="52">
        <v>429</v>
      </c>
      <c r="B434" s="52">
        <f>-bthan*500+(28+0.5)*bthan*1000/50</f>
        <v>385</v>
      </c>
      <c r="C434" s="52">
        <f t="shared" si="102"/>
        <v>-630</v>
      </c>
      <c r="D434" s="52">
        <f t="shared" si="100"/>
        <v>2200</v>
      </c>
      <c r="E434" s="52">
        <f t="shared" si="101"/>
        <v>1</v>
      </c>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2"/>
      <c r="AK434" s="52"/>
      <c r="AL434" s="52"/>
      <c r="AM434" s="52"/>
      <c r="AN434" s="52"/>
    </row>
    <row r="435" spans="1:40" x14ac:dyDescent="0.3">
      <c r="A435" s="52">
        <v>430</v>
      </c>
      <c r="B435" s="52">
        <f>-bthan*500+(29+0.5)*bthan*1000/50</f>
        <v>495</v>
      </c>
      <c r="C435" s="52">
        <f t="shared" si="102"/>
        <v>-630</v>
      </c>
      <c r="D435" s="52">
        <f t="shared" si="100"/>
        <v>2200</v>
      </c>
      <c r="E435" s="52">
        <f t="shared" si="101"/>
        <v>1</v>
      </c>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c r="AJ435" s="52"/>
      <c r="AK435" s="52"/>
      <c r="AL435" s="52"/>
      <c r="AM435" s="52"/>
      <c r="AN435" s="52"/>
    </row>
    <row r="436" spans="1:40" x14ac:dyDescent="0.3">
      <c r="A436" s="52">
        <v>431</v>
      </c>
      <c r="B436" s="52">
        <f>-bthan*500+(30+0.5)*bthan*1000/50</f>
        <v>605</v>
      </c>
      <c r="C436" s="52">
        <f t="shared" si="102"/>
        <v>-630</v>
      </c>
      <c r="D436" s="52">
        <f t="shared" si="100"/>
        <v>2200</v>
      </c>
      <c r="E436" s="52">
        <f t="shared" si="101"/>
        <v>1</v>
      </c>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2"/>
      <c r="AK436" s="52"/>
      <c r="AL436" s="52"/>
      <c r="AM436" s="52"/>
      <c r="AN436" s="52"/>
    </row>
    <row r="437" spans="1:40" x14ac:dyDescent="0.3">
      <c r="A437" s="52">
        <v>432</v>
      </c>
      <c r="B437" s="52">
        <f>-bthan*500+(31+0.5)*bthan*1000/50</f>
        <v>715</v>
      </c>
      <c r="C437" s="52">
        <f t="shared" si="102"/>
        <v>-630</v>
      </c>
      <c r="D437" s="52">
        <f t="shared" si="100"/>
        <v>2200</v>
      </c>
      <c r="E437" s="52">
        <f t="shared" si="101"/>
        <v>1</v>
      </c>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2"/>
      <c r="AK437" s="52"/>
      <c r="AL437" s="52"/>
      <c r="AM437" s="52"/>
      <c r="AN437" s="52"/>
    </row>
    <row r="438" spans="1:40" x14ac:dyDescent="0.3">
      <c r="A438" s="52">
        <v>433</v>
      </c>
      <c r="B438" s="52">
        <f>-bthan*500+(32+0.5)*bthan*1000/50</f>
        <v>825</v>
      </c>
      <c r="C438" s="52">
        <f t="shared" ref="C438:C455" si="103">-hthan*500+(8+0.5)*hthan*1000/80</f>
        <v>-630</v>
      </c>
      <c r="D438" s="52">
        <f t="shared" si="100"/>
        <v>2200</v>
      </c>
      <c r="E438" s="52">
        <f t="shared" si="101"/>
        <v>1</v>
      </c>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2"/>
      <c r="AK438" s="52"/>
      <c r="AL438" s="52"/>
      <c r="AM438" s="52"/>
      <c r="AN438" s="52"/>
    </row>
    <row r="439" spans="1:40" x14ac:dyDescent="0.3">
      <c r="A439" s="52">
        <v>434</v>
      </c>
      <c r="B439" s="52">
        <f>-bthan*500+(33+0.5)*bthan*1000/50</f>
        <v>935</v>
      </c>
      <c r="C439" s="52">
        <f t="shared" si="103"/>
        <v>-630</v>
      </c>
      <c r="D439" s="52">
        <f t="shared" si="100"/>
        <v>2200</v>
      </c>
      <c r="E439" s="52">
        <f t="shared" si="101"/>
        <v>1</v>
      </c>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2"/>
      <c r="AK439" s="52"/>
      <c r="AL439" s="52"/>
      <c r="AM439" s="52"/>
      <c r="AN439" s="52"/>
    </row>
    <row r="440" spans="1:40" x14ac:dyDescent="0.3">
      <c r="A440" s="52">
        <v>435</v>
      </c>
      <c r="B440" s="52">
        <f>-bthan*500+(34+0.5)*bthan*1000/50</f>
        <v>1045</v>
      </c>
      <c r="C440" s="52">
        <f t="shared" si="103"/>
        <v>-630</v>
      </c>
      <c r="D440" s="52">
        <f t="shared" si="100"/>
        <v>2200</v>
      </c>
      <c r="E440" s="52">
        <f t="shared" si="101"/>
        <v>1</v>
      </c>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2"/>
      <c r="AK440" s="52"/>
      <c r="AL440" s="52"/>
      <c r="AM440" s="52"/>
      <c r="AN440" s="52"/>
    </row>
    <row r="441" spans="1:40" x14ac:dyDescent="0.3">
      <c r="A441" s="52">
        <v>436</v>
      </c>
      <c r="B441" s="52">
        <f>-bthan*500+(35+0.5)*bthan*1000/50</f>
        <v>1155</v>
      </c>
      <c r="C441" s="52">
        <f t="shared" si="103"/>
        <v>-630</v>
      </c>
      <c r="D441" s="52">
        <f t="shared" si="100"/>
        <v>2200</v>
      </c>
      <c r="E441" s="52">
        <f t="shared" si="101"/>
        <v>1</v>
      </c>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2"/>
      <c r="AK441" s="52"/>
      <c r="AL441" s="52"/>
      <c r="AM441" s="52"/>
      <c r="AN441" s="52"/>
    </row>
    <row r="442" spans="1:40" x14ac:dyDescent="0.3">
      <c r="A442" s="52">
        <v>437</v>
      </c>
      <c r="B442" s="52">
        <f>-bthan*500+(36+0.5)*bthan*1000/50</f>
        <v>1265</v>
      </c>
      <c r="C442" s="52">
        <f t="shared" si="103"/>
        <v>-630</v>
      </c>
      <c r="D442" s="52">
        <f t="shared" si="100"/>
        <v>2200</v>
      </c>
      <c r="E442" s="52">
        <f t="shared" si="101"/>
        <v>1</v>
      </c>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row>
    <row r="443" spans="1:40" x14ac:dyDescent="0.3">
      <c r="A443" s="52">
        <v>438</v>
      </c>
      <c r="B443" s="52">
        <f>-bthan*500+(37+0.5)*bthan*1000/50</f>
        <v>1375</v>
      </c>
      <c r="C443" s="52">
        <f t="shared" si="103"/>
        <v>-630</v>
      </c>
      <c r="D443" s="52">
        <f t="shared" si="100"/>
        <v>2200</v>
      </c>
      <c r="E443" s="52">
        <f t="shared" si="101"/>
        <v>1</v>
      </c>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2"/>
      <c r="AK443" s="52"/>
      <c r="AL443" s="52"/>
      <c r="AM443" s="52"/>
      <c r="AN443" s="52"/>
    </row>
    <row r="444" spans="1:40" x14ac:dyDescent="0.3">
      <c r="A444" s="52">
        <v>439</v>
      </c>
      <c r="B444" s="52">
        <f>-bthan*500+(38+0.5)*bthan*1000/50</f>
        <v>1485</v>
      </c>
      <c r="C444" s="52">
        <f t="shared" si="103"/>
        <v>-630</v>
      </c>
      <c r="D444" s="52">
        <f t="shared" si="100"/>
        <v>2200</v>
      </c>
      <c r="E444" s="52">
        <f t="shared" si="101"/>
        <v>1</v>
      </c>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2"/>
      <c r="AK444" s="52"/>
      <c r="AL444" s="52"/>
      <c r="AM444" s="52"/>
      <c r="AN444" s="52"/>
    </row>
    <row r="445" spans="1:40" x14ac:dyDescent="0.3">
      <c r="A445" s="52">
        <v>440</v>
      </c>
      <c r="B445" s="52">
        <f>-bthan*500+(39+0.5)*bthan*1000/50</f>
        <v>1595</v>
      </c>
      <c r="C445" s="52">
        <f t="shared" si="103"/>
        <v>-630</v>
      </c>
      <c r="D445" s="52">
        <f t="shared" si="100"/>
        <v>2200</v>
      </c>
      <c r="E445" s="52">
        <f t="shared" si="101"/>
        <v>1</v>
      </c>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2"/>
      <c r="AK445" s="52"/>
      <c r="AL445" s="52"/>
      <c r="AM445" s="52"/>
      <c r="AN445" s="52"/>
    </row>
    <row r="446" spans="1:40" x14ac:dyDescent="0.3">
      <c r="A446" s="52">
        <v>441</v>
      </c>
      <c r="B446" s="52">
        <f>-bthan*500+(40+0.5)*bthan*1000/50</f>
        <v>1705</v>
      </c>
      <c r="C446" s="52">
        <f t="shared" si="103"/>
        <v>-630</v>
      </c>
      <c r="D446" s="52">
        <f t="shared" si="100"/>
        <v>2200</v>
      </c>
      <c r="E446" s="52">
        <f t="shared" si="101"/>
        <v>1</v>
      </c>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2"/>
      <c r="AK446" s="52"/>
      <c r="AL446" s="52"/>
      <c r="AM446" s="52"/>
      <c r="AN446" s="52"/>
    </row>
    <row r="447" spans="1:40" x14ac:dyDescent="0.3">
      <c r="A447" s="52">
        <v>442</v>
      </c>
      <c r="B447" s="52">
        <f>-bthan*500+(41+0.5)*bthan*1000/50</f>
        <v>1815</v>
      </c>
      <c r="C447" s="52">
        <f t="shared" si="103"/>
        <v>-630</v>
      </c>
      <c r="D447" s="52">
        <f t="shared" si="100"/>
        <v>2200</v>
      </c>
      <c r="E447" s="52">
        <f t="shared" si="101"/>
        <v>1</v>
      </c>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2"/>
      <c r="AK447" s="52"/>
      <c r="AL447" s="52"/>
      <c r="AM447" s="52"/>
      <c r="AN447" s="52"/>
    </row>
    <row r="448" spans="1:40" x14ac:dyDescent="0.3">
      <c r="A448" s="52">
        <v>443</v>
      </c>
      <c r="B448" s="52">
        <f>-bthan*500+(42+0.5)*bthan*1000/50</f>
        <v>1925</v>
      </c>
      <c r="C448" s="52">
        <f t="shared" si="103"/>
        <v>-630</v>
      </c>
      <c r="D448" s="52">
        <f t="shared" si="100"/>
        <v>2200</v>
      </c>
      <c r="E448" s="52">
        <f t="shared" si="101"/>
        <v>1</v>
      </c>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2"/>
      <c r="AK448" s="52"/>
      <c r="AL448" s="52"/>
      <c r="AM448" s="52"/>
      <c r="AN448" s="52"/>
    </row>
    <row r="449" spans="1:40" x14ac:dyDescent="0.3">
      <c r="A449" s="52">
        <v>444</v>
      </c>
      <c r="B449" s="52">
        <f>-bthan*500+(43+0.5)*bthan*1000/50</f>
        <v>2035</v>
      </c>
      <c r="C449" s="52">
        <f t="shared" si="103"/>
        <v>-630</v>
      </c>
      <c r="D449" s="52">
        <f t="shared" si="100"/>
        <v>2200</v>
      </c>
      <c r="E449" s="52">
        <f t="shared" si="101"/>
        <v>1</v>
      </c>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2"/>
      <c r="AK449" s="52"/>
      <c r="AL449" s="52"/>
      <c r="AM449" s="52"/>
      <c r="AN449" s="52"/>
    </row>
    <row r="450" spans="1:40" x14ac:dyDescent="0.3">
      <c r="A450" s="52">
        <v>445</v>
      </c>
      <c r="B450" s="52">
        <f>-bthan*500+(44+0.5)*bthan*1000/50</f>
        <v>2145</v>
      </c>
      <c r="C450" s="52">
        <f t="shared" si="103"/>
        <v>-630</v>
      </c>
      <c r="D450" s="52">
        <f t="shared" si="100"/>
        <v>2200</v>
      </c>
      <c r="E450" s="52">
        <f t="shared" si="101"/>
        <v>1</v>
      </c>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2"/>
      <c r="AK450" s="52"/>
      <c r="AL450" s="52"/>
      <c r="AM450" s="52"/>
      <c r="AN450" s="52"/>
    </row>
    <row r="451" spans="1:40" x14ac:dyDescent="0.3">
      <c r="A451" s="52">
        <v>446</v>
      </c>
      <c r="B451" s="52">
        <f>-bthan*500+(45+0.5)*bthan*1000/50</f>
        <v>2255</v>
      </c>
      <c r="C451" s="52">
        <f t="shared" si="103"/>
        <v>-630</v>
      </c>
      <c r="D451" s="52">
        <f t="shared" si="100"/>
        <v>2200</v>
      </c>
      <c r="E451" s="52">
        <f t="shared" si="101"/>
        <v>1</v>
      </c>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c r="AJ451" s="52"/>
      <c r="AK451" s="52"/>
      <c r="AL451" s="52"/>
      <c r="AM451" s="52"/>
      <c r="AN451" s="52"/>
    </row>
    <row r="452" spans="1:40" x14ac:dyDescent="0.3">
      <c r="A452" s="52">
        <v>447</v>
      </c>
      <c r="B452" s="52">
        <f>-bthan*500+(46+0.5)*bthan*1000/50</f>
        <v>2365</v>
      </c>
      <c r="C452" s="52">
        <f t="shared" si="103"/>
        <v>-630</v>
      </c>
      <c r="D452" s="52">
        <f t="shared" si="100"/>
        <v>2200</v>
      </c>
      <c r="E452" s="52">
        <f t="shared" si="101"/>
        <v>1</v>
      </c>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2"/>
      <c r="AK452" s="52"/>
      <c r="AL452" s="52"/>
      <c r="AM452" s="52"/>
      <c r="AN452" s="52"/>
    </row>
    <row r="453" spans="1:40" x14ac:dyDescent="0.3">
      <c r="A453" s="52">
        <v>448</v>
      </c>
      <c r="B453" s="52">
        <f>-bthan*500+(47+0.5)*bthan*1000/50</f>
        <v>2475</v>
      </c>
      <c r="C453" s="52">
        <f t="shared" si="103"/>
        <v>-630</v>
      </c>
      <c r="D453" s="52">
        <f t="shared" si="100"/>
        <v>2200</v>
      </c>
      <c r="E453" s="52">
        <f t="shared" si="101"/>
        <v>0</v>
      </c>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2"/>
      <c r="AK453" s="52"/>
      <c r="AL453" s="52"/>
      <c r="AM453" s="52"/>
      <c r="AN453" s="52"/>
    </row>
    <row r="454" spans="1:40" x14ac:dyDescent="0.3">
      <c r="A454" s="52">
        <v>449</v>
      </c>
      <c r="B454" s="52">
        <f>-bthan*500+(48+0.5)*bthan*1000/50</f>
        <v>2585</v>
      </c>
      <c r="C454" s="52">
        <f t="shared" si="103"/>
        <v>-630</v>
      </c>
      <c r="D454" s="52">
        <f t="shared" ref="D454:D517" si="104">bthan*1000/50*hthan*1000/80</f>
        <v>2200</v>
      </c>
      <c r="E454" s="52">
        <f t="shared" ref="E454:E517" si="105">IF(shp=1,--(OR(ABS(B454)&lt;=MAX(0,(bthan-hthan)*500),(ABS(B454)-MAX(0,(bthan-hthan)*500))^2+C454^2&lt;=(hthan*500)^2)),--(AND(ABS(B454)&lt;=bthan*500,ABS(C454)&lt;=hthan*500,OR(ABS(B454)&lt;=bthan*500-cch*1000,ABS(C454)&lt;=hthan*500-cch*1000,(bthan*500-ABS(B454))+(hthan*500-ABS(C454))&gt;=cch*1000))))</f>
        <v>0</v>
      </c>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2"/>
      <c r="AK454" s="52"/>
      <c r="AL454" s="52"/>
      <c r="AM454" s="52"/>
      <c r="AN454" s="52"/>
    </row>
    <row r="455" spans="1:40" x14ac:dyDescent="0.3">
      <c r="A455" s="52">
        <v>450</v>
      </c>
      <c r="B455" s="52">
        <f>-bthan*500+(49+0.5)*bthan*1000/50</f>
        <v>2695</v>
      </c>
      <c r="C455" s="52">
        <f t="shared" si="103"/>
        <v>-630</v>
      </c>
      <c r="D455" s="52">
        <f t="shared" si="104"/>
        <v>2200</v>
      </c>
      <c r="E455" s="52">
        <f t="shared" si="105"/>
        <v>0</v>
      </c>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2"/>
      <c r="AK455" s="52"/>
      <c r="AL455" s="52"/>
      <c r="AM455" s="52"/>
      <c r="AN455" s="52"/>
    </row>
    <row r="456" spans="1:40" x14ac:dyDescent="0.3">
      <c r="A456" s="52">
        <v>451</v>
      </c>
      <c r="B456" s="52">
        <f>-bthan*500+(0+0.5)*bthan*1000/50</f>
        <v>-2695</v>
      </c>
      <c r="C456" s="52">
        <f t="shared" ref="C456:C487" si="106">-hthan*500+(9+0.5)*hthan*1000/80</f>
        <v>-610</v>
      </c>
      <c r="D456" s="52">
        <f t="shared" si="104"/>
        <v>2200</v>
      </c>
      <c r="E456" s="52">
        <f t="shared" si="105"/>
        <v>0</v>
      </c>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2"/>
      <c r="AK456" s="52"/>
      <c r="AL456" s="52"/>
      <c r="AM456" s="52"/>
      <c r="AN456" s="52"/>
    </row>
    <row r="457" spans="1:40" x14ac:dyDescent="0.3">
      <c r="A457" s="52">
        <v>452</v>
      </c>
      <c r="B457" s="52">
        <f>-bthan*500+(1+0.5)*bthan*1000/50</f>
        <v>-2585</v>
      </c>
      <c r="C457" s="52">
        <f t="shared" si="106"/>
        <v>-610</v>
      </c>
      <c r="D457" s="52">
        <f t="shared" si="104"/>
        <v>2200</v>
      </c>
      <c r="E457" s="52">
        <f t="shared" si="105"/>
        <v>0</v>
      </c>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2"/>
      <c r="AK457" s="52"/>
      <c r="AL457" s="52"/>
      <c r="AM457" s="52"/>
      <c r="AN457" s="52"/>
    </row>
    <row r="458" spans="1:40" x14ac:dyDescent="0.3">
      <c r="A458" s="52">
        <v>453</v>
      </c>
      <c r="B458" s="52">
        <f>-bthan*500+(2+0.5)*bthan*1000/50</f>
        <v>-2475</v>
      </c>
      <c r="C458" s="52">
        <f t="shared" si="106"/>
        <v>-610</v>
      </c>
      <c r="D458" s="52">
        <f t="shared" si="104"/>
        <v>2200</v>
      </c>
      <c r="E458" s="52">
        <f t="shared" si="105"/>
        <v>0</v>
      </c>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2"/>
      <c r="AK458" s="52"/>
      <c r="AL458" s="52"/>
      <c r="AM458" s="52"/>
      <c r="AN458" s="52"/>
    </row>
    <row r="459" spans="1:40" x14ac:dyDescent="0.3">
      <c r="A459" s="52">
        <v>454</v>
      </c>
      <c r="B459" s="52">
        <f>-bthan*500+(3+0.5)*bthan*1000/50</f>
        <v>-2365</v>
      </c>
      <c r="C459" s="52">
        <f t="shared" si="106"/>
        <v>-610</v>
      </c>
      <c r="D459" s="52">
        <f t="shared" si="104"/>
        <v>2200</v>
      </c>
      <c r="E459" s="52">
        <f t="shared" si="105"/>
        <v>1</v>
      </c>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2"/>
      <c r="AK459" s="52"/>
      <c r="AL459" s="52"/>
      <c r="AM459" s="52"/>
      <c r="AN459" s="52"/>
    </row>
    <row r="460" spans="1:40" x14ac:dyDescent="0.3">
      <c r="A460" s="52">
        <v>455</v>
      </c>
      <c r="B460" s="52">
        <f>-bthan*500+(4+0.5)*bthan*1000/50</f>
        <v>-2255</v>
      </c>
      <c r="C460" s="52">
        <f t="shared" si="106"/>
        <v>-610</v>
      </c>
      <c r="D460" s="52">
        <f t="shared" si="104"/>
        <v>2200</v>
      </c>
      <c r="E460" s="52">
        <f t="shared" si="105"/>
        <v>1</v>
      </c>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2"/>
      <c r="AK460" s="52"/>
      <c r="AL460" s="52"/>
      <c r="AM460" s="52"/>
      <c r="AN460" s="52"/>
    </row>
    <row r="461" spans="1:40" x14ac:dyDescent="0.3">
      <c r="A461" s="52">
        <v>456</v>
      </c>
      <c r="B461" s="52">
        <f>-bthan*500+(5+0.5)*bthan*1000/50</f>
        <v>-2145</v>
      </c>
      <c r="C461" s="52">
        <f t="shared" si="106"/>
        <v>-610</v>
      </c>
      <c r="D461" s="52">
        <f t="shared" si="104"/>
        <v>2200</v>
      </c>
      <c r="E461" s="52">
        <f t="shared" si="105"/>
        <v>1</v>
      </c>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2"/>
      <c r="AK461" s="52"/>
      <c r="AL461" s="52"/>
      <c r="AM461" s="52"/>
      <c r="AN461" s="52"/>
    </row>
    <row r="462" spans="1:40" x14ac:dyDescent="0.3">
      <c r="A462" s="52">
        <v>457</v>
      </c>
      <c r="B462" s="52">
        <f>-bthan*500+(6+0.5)*bthan*1000/50</f>
        <v>-2035</v>
      </c>
      <c r="C462" s="52">
        <f t="shared" si="106"/>
        <v>-610</v>
      </c>
      <c r="D462" s="52">
        <f t="shared" si="104"/>
        <v>2200</v>
      </c>
      <c r="E462" s="52">
        <f t="shared" si="105"/>
        <v>1</v>
      </c>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2"/>
      <c r="AK462" s="52"/>
      <c r="AL462" s="52"/>
      <c r="AM462" s="52"/>
      <c r="AN462" s="52"/>
    </row>
    <row r="463" spans="1:40" x14ac:dyDescent="0.3">
      <c r="A463" s="52">
        <v>458</v>
      </c>
      <c r="B463" s="52">
        <f>-bthan*500+(7+0.5)*bthan*1000/50</f>
        <v>-1925</v>
      </c>
      <c r="C463" s="52">
        <f t="shared" si="106"/>
        <v>-610</v>
      </c>
      <c r="D463" s="52">
        <f t="shared" si="104"/>
        <v>2200</v>
      </c>
      <c r="E463" s="52">
        <f t="shared" si="105"/>
        <v>1</v>
      </c>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2"/>
      <c r="AK463" s="52"/>
      <c r="AL463" s="52"/>
      <c r="AM463" s="52"/>
      <c r="AN463" s="52"/>
    </row>
    <row r="464" spans="1:40" x14ac:dyDescent="0.3">
      <c r="A464" s="52">
        <v>459</v>
      </c>
      <c r="B464" s="52">
        <f>-bthan*500+(8+0.5)*bthan*1000/50</f>
        <v>-1815</v>
      </c>
      <c r="C464" s="52">
        <f t="shared" si="106"/>
        <v>-610</v>
      </c>
      <c r="D464" s="52">
        <f t="shared" si="104"/>
        <v>2200</v>
      </c>
      <c r="E464" s="52">
        <f t="shared" si="105"/>
        <v>1</v>
      </c>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2"/>
      <c r="AK464" s="52"/>
      <c r="AL464" s="52"/>
      <c r="AM464" s="52"/>
      <c r="AN464" s="52"/>
    </row>
    <row r="465" spans="1:40" x14ac:dyDescent="0.3">
      <c r="A465" s="52">
        <v>460</v>
      </c>
      <c r="B465" s="52">
        <f>-bthan*500+(9+0.5)*bthan*1000/50</f>
        <v>-1705</v>
      </c>
      <c r="C465" s="52">
        <f t="shared" si="106"/>
        <v>-610</v>
      </c>
      <c r="D465" s="52">
        <f t="shared" si="104"/>
        <v>2200</v>
      </c>
      <c r="E465" s="52">
        <f t="shared" si="105"/>
        <v>1</v>
      </c>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2"/>
      <c r="AK465" s="52"/>
      <c r="AL465" s="52"/>
      <c r="AM465" s="52"/>
      <c r="AN465" s="52"/>
    </row>
    <row r="466" spans="1:40" x14ac:dyDescent="0.3">
      <c r="A466" s="52">
        <v>461</v>
      </c>
      <c r="B466" s="52">
        <f>-bthan*500+(10+0.5)*bthan*1000/50</f>
        <v>-1595</v>
      </c>
      <c r="C466" s="52">
        <f t="shared" si="106"/>
        <v>-610</v>
      </c>
      <c r="D466" s="52">
        <f t="shared" si="104"/>
        <v>2200</v>
      </c>
      <c r="E466" s="52">
        <f t="shared" si="105"/>
        <v>1</v>
      </c>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2"/>
      <c r="AK466" s="52"/>
      <c r="AL466" s="52"/>
      <c r="AM466" s="52"/>
      <c r="AN466" s="52"/>
    </row>
    <row r="467" spans="1:40" x14ac:dyDescent="0.3">
      <c r="A467" s="52">
        <v>462</v>
      </c>
      <c r="B467" s="52">
        <f>-bthan*500+(11+0.5)*bthan*1000/50</f>
        <v>-1485</v>
      </c>
      <c r="C467" s="52">
        <f t="shared" si="106"/>
        <v>-610</v>
      </c>
      <c r="D467" s="52">
        <f t="shared" si="104"/>
        <v>2200</v>
      </c>
      <c r="E467" s="52">
        <f t="shared" si="105"/>
        <v>1</v>
      </c>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c r="AJ467" s="52"/>
      <c r="AK467" s="52"/>
      <c r="AL467" s="52"/>
      <c r="AM467" s="52"/>
      <c r="AN467" s="52"/>
    </row>
    <row r="468" spans="1:40" x14ac:dyDescent="0.3">
      <c r="A468" s="52">
        <v>463</v>
      </c>
      <c r="B468" s="52">
        <f>-bthan*500+(12+0.5)*bthan*1000/50</f>
        <v>-1375</v>
      </c>
      <c r="C468" s="52">
        <f t="shared" si="106"/>
        <v>-610</v>
      </c>
      <c r="D468" s="52">
        <f t="shared" si="104"/>
        <v>2200</v>
      </c>
      <c r="E468" s="52">
        <f t="shared" si="105"/>
        <v>1</v>
      </c>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2"/>
      <c r="AK468" s="52"/>
      <c r="AL468" s="52"/>
      <c r="AM468" s="52"/>
      <c r="AN468" s="52"/>
    </row>
    <row r="469" spans="1:40" x14ac:dyDescent="0.3">
      <c r="A469" s="52">
        <v>464</v>
      </c>
      <c r="B469" s="52">
        <f>-bthan*500+(13+0.5)*bthan*1000/50</f>
        <v>-1265</v>
      </c>
      <c r="C469" s="52">
        <f t="shared" si="106"/>
        <v>-610</v>
      </c>
      <c r="D469" s="52">
        <f t="shared" si="104"/>
        <v>2200</v>
      </c>
      <c r="E469" s="52">
        <f t="shared" si="105"/>
        <v>1</v>
      </c>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2"/>
      <c r="AK469" s="52"/>
      <c r="AL469" s="52"/>
      <c r="AM469" s="52"/>
      <c r="AN469" s="52"/>
    </row>
    <row r="470" spans="1:40" x14ac:dyDescent="0.3">
      <c r="A470" s="52">
        <v>465</v>
      </c>
      <c r="B470" s="52">
        <f>-bthan*500+(14+0.5)*bthan*1000/50</f>
        <v>-1155</v>
      </c>
      <c r="C470" s="52">
        <f t="shared" si="106"/>
        <v>-610</v>
      </c>
      <c r="D470" s="52">
        <f t="shared" si="104"/>
        <v>2200</v>
      </c>
      <c r="E470" s="52">
        <f t="shared" si="105"/>
        <v>1</v>
      </c>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2"/>
      <c r="AK470" s="52"/>
      <c r="AL470" s="52"/>
      <c r="AM470" s="52"/>
      <c r="AN470" s="52"/>
    </row>
    <row r="471" spans="1:40" x14ac:dyDescent="0.3">
      <c r="A471" s="52">
        <v>466</v>
      </c>
      <c r="B471" s="52">
        <f>-bthan*500+(15+0.5)*bthan*1000/50</f>
        <v>-1045</v>
      </c>
      <c r="C471" s="52">
        <f t="shared" si="106"/>
        <v>-610</v>
      </c>
      <c r="D471" s="52">
        <f t="shared" si="104"/>
        <v>2200</v>
      </c>
      <c r="E471" s="52">
        <f t="shared" si="105"/>
        <v>1</v>
      </c>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2"/>
      <c r="AK471" s="52"/>
      <c r="AL471" s="52"/>
      <c r="AM471" s="52"/>
      <c r="AN471" s="52"/>
    </row>
    <row r="472" spans="1:40" x14ac:dyDescent="0.3">
      <c r="A472" s="52">
        <v>467</v>
      </c>
      <c r="B472" s="52">
        <f>-bthan*500+(16+0.5)*bthan*1000/50</f>
        <v>-935</v>
      </c>
      <c r="C472" s="52">
        <f t="shared" si="106"/>
        <v>-610</v>
      </c>
      <c r="D472" s="52">
        <f t="shared" si="104"/>
        <v>2200</v>
      </c>
      <c r="E472" s="52">
        <f t="shared" si="105"/>
        <v>1</v>
      </c>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2"/>
      <c r="AK472" s="52"/>
      <c r="AL472" s="52"/>
      <c r="AM472" s="52"/>
      <c r="AN472" s="52"/>
    </row>
    <row r="473" spans="1:40" x14ac:dyDescent="0.3">
      <c r="A473" s="52">
        <v>468</v>
      </c>
      <c r="B473" s="52">
        <f>-bthan*500+(17+0.5)*bthan*1000/50</f>
        <v>-825</v>
      </c>
      <c r="C473" s="52">
        <f t="shared" si="106"/>
        <v>-610</v>
      </c>
      <c r="D473" s="52">
        <f t="shared" si="104"/>
        <v>2200</v>
      </c>
      <c r="E473" s="52">
        <f t="shared" si="105"/>
        <v>1</v>
      </c>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2"/>
      <c r="AK473" s="52"/>
      <c r="AL473" s="52"/>
      <c r="AM473" s="52"/>
      <c r="AN473" s="52"/>
    </row>
    <row r="474" spans="1:40" x14ac:dyDescent="0.3">
      <c r="A474" s="52">
        <v>469</v>
      </c>
      <c r="B474" s="52">
        <f>-bthan*500+(18+0.5)*bthan*1000/50</f>
        <v>-715</v>
      </c>
      <c r="C474" s="52">
        <f t="shared" si="106"/>
        <v>-610</v>
      </c>
      <c r="D474" s="52">
        <f t="shared" si="104"/>
        <v>2200</v>
      </c>
      <c r="E474" s="52">
        <f t="shared" si="105"/>
        <v>1</v>
      </c>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2"/>
      <c r="AK474" s="52"/>
      <c r="AL474" s="52"/>
      <c r="AM474" s="52"/>
      <c r="AN474" s="52"/>
    </row>
    <row r="475" spans="1:40" x14ac:dyDescent="0.3">
      <c r="A475" s="52">
        <v>470</v>
      </c>
      <c r="B475" s="52">
        <f>-bthan*500+(19+0.5)*bthan*1000/50</f>
        <v>-605</v>
      </c>
      <c r="C475" s="52">
        <f t="shared" si="106"/>
        <v>-610</v>
      </c>
      <c r="D475" s="52">
        <f t="shared" si="104"/>
        <v>2200</v>
      </c>
      <c r="E475" s="52">
        <f t="shared" si="105"/>
        <v>1</v>
      </c>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2"/>
      <c r="AK475" s="52"/>
      <c r="AL475" s="52"/>
      <c r="AM475" s="52"/>
      <c r="AN475" s="52"/>
    </row>
    <row r="476" spans="1:40" x14ac:dyDescent="0.3">
      <c r="A476" s="52">
        <v>471</v>
      </c>
      <c r="B476" s="52">
        <f>-bthan*500+(20+0.5)*bthan*1000/50</f>
        <v>-495</v>
      </c>
      <c r="C476" s="52">
        <f t="shared" si="106"/>
        <v>-610</v>
      </c>
      <c r="D476" s="52">
        <f t="shared" si="104"/>
        <v>2200</v>
      </c>
      <c r="E476" s="52">
        <f t="shared" si="105"/>
        <v>1</v>
      </c>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2"/>
      <c r="AK476" s="52"/>
      <c r="AL476" s="52"/>
      <c r="AM476" s="52"/>
      <c r="AN476" s="52"/>
    </row>
    <row r="477" spans="1:40" x14ac:dyDescent="0.3">
      <c r="A477" s="52">
        <v>472</v>
      </c>
      <c r="B477" s="52">
        <f>-bthan*500+(21+0.5)*bthan*1000/50</f>
        <v>-385</v>
      </c>
      <c r="C477" s="52">
        <f t="shared" si="106"/>
        <v>-610</v>
      </c>
      <c r="D477" s="52">
        <f t="shared" si="104"/>
        <v>2200</v>
      </c>
      <c r="E477" s="52">
        <f t="shared" si="105"/>
        <v>1</v>
      </c>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2"/>
      <c r="AK477" s="52"/>
      <c r="AL477" s="52"/>
      <c r="AM477" s="52"/>
      <c r="AN477" s="52"/>
    </row>
    <row r="478" spans="1:40" x14ac:dyDescent="0.3">
      <c r="A478" s="52">
        <v>473</v>
      </c>
      <c r="B478" s="52">
        <f>-bthan*500+(22+0.5)*bthan*1000/50</f>
        <v>-275</v>
      </c>
      <c r="C478" s="52">
        <f t="shared" si="106"/>
        <v>-610</v>
      </c>
      <c r="D478" s="52">
        <f t="shared" si="104"/>
        <v>2200</v>
      </c>
      <c r="E478" s="52">
        <f t="shared" si="105"/>
        <v>1</v>
      </c>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2"/>
      <c r="AK478" s="52"/>
      <c r="AL478" s="52"/>
      <c r="AM478" s="52"/>
      <c r="AN478" s="52"/>
    </row>
    <row r="479" spans="1:40" x14ac:dyDescent="0.3">
      <c r="A479" s="52">
        <v>474</v>
      </c>
      <c r="B479" s="52">
        <f>-bthan*500+(23+0.5)*bthan*1000/50</f>
        <v>-165</v>
      </c>
      <c r="C479" s="52">
        <f t="shared" si="106"/>
        <v>-610</v>
      </c>
      <c r="D479" s="52">
        <f t="shared" si="104"/>
        <v>2200</v>
      </c>
      <c r="E479" s="52">
        <f t="shared" si="105"/>
        <v>1</v>
      </c>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2"/>
      <c r="AK479" s="52"/>
      <c r="AL479" s="52"/>
      <c r="AM479" s="52"/>
      <c r="AN479" s="52"/>
    </row>
    <row r="480" spans="1:40" x14ac:dyDescent="0.3">
      <c r="A480" s="52">
        <v>475</v>
      </c>
      <c r="B480" s="52">
        <f>-bthan*500+(24+0.5)*bthan*1000/50</f>
        <v>-55</v>
      </c>
      <c r="C480" s="52">
        <f t="shared" si="106"/>
        <v>-610</v>
      </c>
      <c r="D480" s="52">
        <f t="shared" si="104"/>
        <v>2200</v>
      </c>
      <c r="E480" s="52">
        <f t="shared" si="105"/>
        <v>1</v>
      </c>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2"/>
      <c r="AK480" s="52"/>
      <c r="AL480" s="52"/>
      <c r="AM480" s="52"/>
      <c r="AN480" s="52"/>
    </row>
    <row r="481" spans="1:40" x14ac:dyDescent="0.3">
      <c r="A481" s="52">
        <v>476</v>
      </c>
      <c r="B481" s="52">
        <f>-bthan*500+(25+0.5)*bthan*1000/50</f>
        <v>55</v>
      </c>
      <c r="C481" s="52">
        <f t="shared" si="106"/>
        <v>-610</v>
      </c>
      <c r="D481" s="52">
        <f t="shared" si="104"/>
        <v>2200</v>
      </c>
      <c r="E481" s="52">
        <f t="shared" si="105"/>
        <v>1</v>
      </c>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2"/>
      <c r="AK481" s="52"/>
      <c r="AL481" s="52"/>
      <c r="AM481" s="52"/>
      <c r="AN481" s="52"/>
    </row>
    <row r="482" spans="1:40" x14ac:dyDescent="0.3">
      <c r="A482" s="52">
        <v>477</v>
      </c>
      <c r="B482" s="52">
        <f>-bthan*500+(26+0.5)*bthan*1000/50</f>
        <v>165</v>
      </c>
      <c r="C482" s="52">
        <f t="shared" si="106"/>
        <v>-610</v>
      </c>
      <c r="D482" s="52">
        <f t="shared" si="104"/>
        <v>2200</v>
      </c>
      <c r="E482" s="52">
        <f t="shared" si="105"/>
        <v>1</v>
      </c>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2"/>
      <c r="AK482" s="52"/>
      <c r="AL482" s="52"/>
      <c r="AM482" s="52"/>
      <c r="AN482" s="52"/>
    </row>
    <row r="483" spans="1:40" x14ac:dyDescent="0.3">
      <c r="A483" s="52">
        <v>478</v>
      </c>
      <c r="B483" s="52">
        <f>-bthan*500+(27+0.5)*bthan*1000/50</f>
        <v>275</v>
      </c>
      <c r="C483" s="52">
        <f t="shared" si="106"/>
        <v>-610</v>
      </c>
      <c r="D483" s="52">
        <f t="shared" si="104"/>
        <v>2200</v>
      </c>
      <c r="E483" s="52">
        <f t="shared" si="105"/>
        <v>1</v>
      </c>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c r="AJ483" s="52"/>
      <c r="AK483" s="52"/>
      <c r="AL483" s="52"/>
      <c r="AM483" s="52"/>
      <c r="AN483" s="52"/>
    </row>
    <row r="484" spans="1:40" x14ac:dyDescent="0.3">
      <c r="A484" s="52">
        <v>479</v>
      </c>
      <c r="B484" s="52">
        <f>-bthan*500+(28+0.5)*bthan*1000/50</f>
        <v>385</v>
      </c>
      <c r="C484" s="52">
        <f t="shared" si="106"/>
        <v>-610</v>
      </c>
      <c r="D484" s="52">
        <f t="shared" si="104"/>
        <v>2200</v>
      </c>
      <c r="E484" s="52">
        <f t="shared" si="105"/>
        <v>1</v>
      </c>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2"/>
      <c r="AK484" s="52"/>
      <c r="AL484" s="52"/>
      <c r="AM484" s="52"/>
      <c r="AN484" s="52"/>
    </row>
    <row r="485" spans="1:40" x14ac:dyDescent="0.3">
      <c r="A485" s="52">
        <v>480</v>
      </c>
      <c r="B485" s="52">
        <f>-bthan*500+(29+0.5)*bthan*1000/50</f>
        <v>495</v>
      </c>
      <c r="C485" s="52">
        <f t="shared" si="106"/>
        <v>-610</v>
      </c>
      <c r="D485" s="52">
        <f t="shared" si="104"/>
        <v>2200</v>
      </c>
      <c r="E485" s="52">
        <f t="shared" si="105"/>
        <v>1</v>
      </c>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2"/>
      <c r="AK485" s="52"/>
      <c r="AL485" s="52"/>
      <c r="AM485" s="52"/>
      <c r="AN485" s="52"/>
    </row>
    <row r="486" spans="1:40" x14ac:dyDescent="0.3">
      <c r="A486" s="52">
        <v>481</v>
      </c>
      <c r="B486" s="52">
        <f>-bthan*500+(30+0.5)*bthan*1000/50</f>
        <v>605</v>
      </c>
      <c r="C486" s="52">
        <f t="shared" si="106"/>
        <v>-610</v>
      </c>
      <c r="D486" s="52">
        <f t="shared" si="104"/>
        <v>2200</v>
      </c>
      <c r="E486" s="52">
        <f t="shared" si="105"/>
        <v>1</v>
      </c>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2"/>
      <c r="AK486" s="52"/>
      <c r="AL486" s="52"/>
      <c r="AM486" s="52"/>
      <c r="AN486" s="52"/>
    </row>
    <row r="487" spans="1:40" x14ac:dyDescent="0.3">
      <c r="A487" s="52">
        <v>482</v>
      </c>
      <c r="B487" s="52">
        <f>-bthan*500+(31+0.5)*bthan*1000/50</f>
        <v>715</v>
      </c>
      <c r="C487" s="52">
        <f t="shared" si="106"/>
        <v>-610</v>
      </c>
      <c r="D487" s="52">
        <f t="shared" si="104"/>
        <v>2200</v>
      </c>
      <c r="E487" s="52">
        <f t="shared" si="105"/>
        <v>1</v>
      </c>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2"/>
      <c r="AK487" s="52"/>
      <c r="AL487" s="52"/>
      <c r="AM487" s="52"/>
      <c r="AN487" s="52"/>
    </row>
    <row r="488" spans="1:40" x14ac:dyDescent="0.3">
      <c r="A488" s="52">
        <v>483</v>
      </c>
      <c r="B488" s="52">
        <f>-bthan*500+(32+0.5)*bthan*1000/50</f>
        <v>825</v>
      </c>
      <c r="C488" s="52">
        <f t="shared" ref="C488:C505" si="107">-hthan*500+(9+0.5)*hthan*1000/80</f>
        <v>-610</v>
      </c>
      <c r="D488" s="52">
        <f t="shared" si="104"/>
        <v>2200</v>
      </c>
      <c r="E488" s="52">
        <f t="shared" si="105"/>
        <v>1</v>
      </c>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2"/>
      <c r="AK488" s="52"/>
      <c r="AL488" s="52"/>
      <c r="AM488" s="52"/>
      <c r="AN488" s="52"/>
    </row>
    <row r="489" spans="1:40" x14ac:dyDescent="0.3">
      <c r="A489" s="52">
        <v>484</v>
      </c>
      <c r="B489" s="52">
        <f>-bthan*500+(33+0.5)*bthan*1000/50</f>
        <v>935</v>
      </c>
      <c r="C489" s="52">
        <f t="shared" si="107"/>
        <v>-610</v>
      </c>
      <c r="D489" s="52">
        <f t="shared" si="104"/>
        <v>2200</v>
      </c>
      <c r="E489" s="52">
        <f t="shared" si="105"/>
        <v>1</v>
      </c>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2"/>
      <c r="AK489" s="52"/>
      <c r="AL489" s="52"/>
      <c r="AM489" s="52"/>
      <c r="AN489" s="52"/>
    </row>
    <row r="490" spans="1:40" x14ac:dyDescent="0.3">
      <c r="A490" s="52">
        <v>485</v>
      </c>
      <c r="B490" s="52">
        <f>-bthan*500+(34+0.5)*bthan*1000/50</f>
        <v>1045</v>
      </c>
      <c r="C490" s="52">
        <f t="shared" si="107"/>
        <v>-610</v>
      </c>
      <c r="D490" s="52">
        <f t="shared" si="104"/>
        <v>2200</v>
      </c>
      <c r="E490" s="52">
        <f t="shared" si="105"/>
        <v>1</v>
      </c>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2"/>
      <c r="AK490" s="52"/>
      <c r="AL490" s="52"/>
      <c r="AM490" s="52"/>
      <c r="AN490" s="52"/>
    </row>
    <row r="491" spans="1:40" x14ac:dyDescent="0.3">
      <c r="A491" s="52">
        <v>486</v>
      </c>
      <c r="B491" s="52">
        <f>-bthan*500+(35+0.5)*bthan*1000/50</f>
        <v>1155</v>
      </c>
      <c r="C491" s="52">
        <f t="shared" si="107"/>
        <v>-610</v>
      </c>
      <c r="D491" s="52">
        <f t="shared" si="104"/>
        <v>2200</v>
      </c>
      <c r="E491" s="52">
        <f t="shared" si="105"/>
        <v>1</v>
      </c>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row>
    <row r="492" spans="1:40" x14ac:dyDescent="0.3">
      <c r="A492" s="52">
        <v>487</v>
      </c>
      <c r="B492" s="52">
        <f>-bthan*500+(36+0.5)*bthan*1000/50</f>
        <v>1265</v>
      </c>
      <c r="C492" s="52">
        <f t="shared" si="107"/>
        <v>-610</v>
      </c>
      <c r="D492" s="52">
        <f t="shared" si="104"/>
        <v>2200</v>
      </c>
      <c r="E492" s="52">
        <f t="shared" si="105"/>
        <v>1</v>
      </c>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2"/>
      <c r="AK492" s="52"/>
      <c r="AL492" s="52"/>
      <c r="AM492" s="52"/>
      <c r="AN492" s="52"/>
    </row>
    <row r="493" spans="1:40" x14ac:dyDescent="0.3">
      <c r="A493" s="52">
        <v>488</v>
      </c>
      <c r="B493" s="52">
        <f>-bthan*500+(37+0.5)*bthan*1000/50</f>
        <v>1375</v>
      </c>
      <c r="C493" s="52">
        <f t="shared" si="107"/>
        <v>-610</v>
      </c>
      <c r="D493" s="52">
        <f t="shared" si="104"/>
        <v>2200</v>
      </c>
      <c r="E493" s="52">
        <f t="shared" si="105"/>
        <v>1</v>
      </c>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2"/>
      <c r="AK493" s="52"/>
      <c r="AL493" s="52"/>
      <c r="AM493" s="52"/>
      <c r="AN493" s="52"/>
    </row>
    <row r="494" spans="1:40" x14ac:dyDescent="0.3">
      <c r="A494" s="52">
        <v>489</v>
      </c>
      <c r="B494" s="52">
        <f>-bthan*500+(38+0.5)*bthan*1000/50</f>
        <v>1485</v>
      </c>
      <c r="C494" s="52">
        <f t="shared" si="107"/>
        <v>-610</v>
      </c>
      <c r="D494" s="52">
        <f t="shared" si="104"/>
        <v>2200</v>
      </c>
      <c r="E494" s="52">
        <f t="shared" si="105"/>
        <v>1</v>
      </c>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2"/>
      <c r="AK494" s="52"/>
      <c r="AL494" s="52"/>
      <c r="AM494" s="52"/>
      <c r="AN494" s="52"/>
    </row>
    <row r="495" spans="1:40" x14ac:dyDescent="0.3">
      <c r="A495" s="52">
        <v>490</v>
      </c>
      <c r="B495" s="52">
        <f>-bthan*500+(39+0.5)*bthan*1000/50</f>
        <v>1595</v>
      </c>
      <c r="C495" s="52">
        <f t="shared" si="107"/>
        <v>-610</v>
      </c>
      <c r="D495" s="52">
        <f t="shared" si="104"/>
        <v>2200</v>
      </c>
      <c r="E495" s="52">
        <f t="shared" si="105"/>
        <v>1</v>
      </c>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2"/>
      <c r="AK495" s="52"/>
      <c r="AL495" s="52"/>
      <c r="AM495" s="52"/>
      <c r="AN495" s="52"/>
    </row>
    <row r="496" spans="1:40" x14ac:dyDescent="0.3">
      <c r="A496" s="52">
        <v>491</v>
      </c>
      <c r="B496" s="52">
        <f>-bthan*500+(40+0.5)*bthan*1000/50</f>
        <v>1705</v>
      </c>
      <c r="C496" s="52">
        <f t="shared" si="107"/>
        <v>-610</v>
      </c>
      <c r="D496" s="52">
        <f t="shared" si="104"/>
        <v>2200</v>
      </c>
      <c r="E496" s="52">
        <f t="shared" si="105"/>
        <v>1</v>
      </c>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2"/>
      <c r="AK496" s="52"/>
      <c r="AL496" s="52"/>
      <c r="AM496" s="52"/>
      <c r="AN496" s="52"/>
    </row>
    <row r="497" spans="1:40" x14ac:dyDescent="0.3">
      <c r="A497" s="52">
        <v>492</v>
      </c>
      <c r="B497" s="52">
        <f>-bthan*500+(41+0.5)*bthan*1000/50</f>
        <v>1815</v>
      </c>
      <c r="C497" s="52">
        <f t="shared" si="107"/>
        <v>-610</v>
      </c>
      <c r="D497" s="52">
        <f t="shared" si="104"/>
        <v>2200</v>
      </c>
      <c r="E497" s="52">
        <f t="shared" si="105"/>
        <v>1</v>
      </c>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2"/>
      <c r="AK497" s="52"/>
      <c r="AL497" s="52"/>
      <c r="AM497" s="52"/>
      <c r="AN497" s="52"/>
    </row>
    <row r="498" spans="1:40" x14ac:dyDescent="0.3">
      <c r="A498" s="52">
        <v>493</v>
      </c>
      <c r="B498" s="52">
        <f>-bthan*500+(42+0.5)*bthan*1000/50</f>
        <v>1925</v>
      </c>
      <c r="C498" s="52">
        <f t="shared" si="107"/>
        <v>-610</v>
      </c>
      <c r="D498" s="52">
        <f t="shared" si="104"/>
        <v>2200</v>
      </c>
      <c r="E498" s="52">
        <f t="shared" si="105"/>
        <v>1</v>
      </c>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2"/>
      <c r="AK498" s="52"/>
      <c r="AL498" s="52"/>
      <c r="AM498" s="52"/>
      <c r="AN498" s="52"/>
    </row>
    <row r="499" spans="1:40" x14ac:dyDescent="0.3">
      <c r="A499" s="52">
        <v>494</v>
      </c>
      <c r="B499" s="52">
        <f>-bthan*500+(43+0.5)*bthan*1000/50</f>
        <v>2035</v>
      </c>
      <c r="C499" s="52">
        <f t="shared" si="107"/>
        <v>-610</v>
      </c>
      <c r="D499" s="52">
        <f t="shared" si="104"/>
        <v>2200</v>
      </c>
      <c r="E499" s="52">
        <f t="shared" si="105"/>
        <v>1</v>
      </c>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c r="AJ499" s="52"/>
      <c r="AK499" s="52"/>
      <c r="AL499" s="52"/>
      <c r="AM499" s="52"/>
      <c r="AN499" s="52"/>
    </row>
    <row r="500" spans="1:40" x14ac:dyDescent="0.3">
      <c r="A500" s="52">
        <v>495</v>
      </c>
      <c r="B500" s="52">
        <f>-bthan*500+(44+0.5)*bthan*1000/50</f>
        <v>2145</v>
      </c>
      <c r="C500" s="52">
        <f t="shared" si="107"/>
        <v>-610</v>
      </c>
      <c r="D500" s="52">
        <f t="shared" si="104"/>
        <v>2200</v>
      </c>
      <c r="E500" s="52">
        <f t="shared" si="105"/>
        <v>1</v>
      </c>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2"/>
      <c r="AK500" s="52"/>
      <c r="AL500" s="52"/>
      <c r="AM500" s="52"/>
      <c r="AN500" s="52"/>
    </row>
    <row r="501" spans="1:40" x14ac:dyDescent="0.3">
      <c r="A501" s="52">
        <v>496</v>
      </c>
      <c r="B501" s="52">
        <f>-bthan*500+(45+0.5)*bthan*1000/50</f>
        <v>2255</v>
      </c>
      <c r="C501" s="52">
        <f t="shared" si="107"/>
        <v>-610</v>
      </c>
      <c r="D501" s="52">
        <f t="shared" si="104"/>
        <v>2200</v>
      </c>
      <c r="E501" s="52">
        <f t="shared" si="105"/>
        <v>1</v>
      </c>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2"/>
      <c r="AK501" s="52"/>
      <c r="AL501" s="52"/>
      <c r="AM501" s="52"/>
      <c r="AN501" s="52"/>
    </row>
    <row r="502" spans="1:40" x14ac:dyDescent="0.3">
      <c r="A502" s="52">
        <v>497</v>
      </c>
      <c r="B502" s="52">
        <f>-bthan*500+(46+0.5)*bthan*1000/50</f>
        <v>2365</v>
      </c>
      <c r="C502" s="52">
        <f t="shared" si="107"/>
        <v>-610</v>
      </c>
      <c r="D502" s="52">
        <f t="shared" si="104"/>
        <v>2200</v>
      </c>
      <c r="E502" s="52">
        <f t="shared" si="105"/>
        <v>1</v>
      </c>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2"/>
      <c r="AK502" s="52"/>
      <c r="AL502" s="52"/>
      <c r="AM502" s="52"/>
      <c r="AN502" s="52"/>
    </row>
    <row r="503" spans="1:40" x14ac:dyDescent="0.3">
      <c r="A503" s="52">
        <v>498</v>
      </c>
      <c r="B503" s="52">
        <f>-bthan*500+(47+0.5)*bthan*1000/50</f>
        <v>2475</v>
      </c>
      <c r="C503" s="52">
        <f t="shared" si="107"/>
        <v>-610</v>
      </c>
      <c r="D503" s="52">
        <f t="shared" si="104"/>
        <v>2200</v>
      </c>
      <c r="E503" s="52">
        <f t="shared" si="105"/>
        <v>0</v>
      </c>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2"/>
      <c r="AK503" s="52"/>
      <c r="AL503" s="52"/>
      <c r="AM503" s="52"/>
      <c r="AN503" s="52"/>
    </row>
    <row r="504" spans="1:40" x14ac:dyDescent="0.3">
      <c r="A504" s="52">
        <v>499</v>
      </c>
      <c r="B504" s="52">
        <f>-bthan*500+(48+0.5)*bthan*1000/50</f>
        <v>2585</v>
      </c>
      <c r="C504" s="52">
        <f t="shared" si="107"/>
        <v>-610</v>
      </c>
      <c r="D504" s="52">
        <f t="shared" si="104"/>
        <v>2200</v>
      </c>
      <c r="E504" s="52">
        <f t="shared" si="105"/>
        <v>0</v>
      </c>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2"/>
      <c r="AK504" s="52"/>
      <c r="AL504" s="52"/>
      <c r="AM504" s="52"/>
      <c r="AN504" s="52"/>
    </row>
    <row r="505" spans="1:40" x14ac:dyDescent="0.3">
      <c r="A505" s="52">
        <v>500</v>
      </c>
      <c r="B505" s="52">
        <f>-bthan*500+(49+0.5)*bthan*1000/50</f>
        <v>2695</v>
      </c>
      <c r="C505" s="52">
        <f t="shared" si="107"/>
        <v>-610</v>
      </c>
      <c r="D505" s="52">
        <f t="shared" si="104"/>
        <v>2200</v>
      </c>
      <c r="E505" s="52">
        <f t="shared" si="105"/>
        <v>0</v>
      </c>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2"/>
      <c r="AK505" s="52"/>
      <c r="AL505" s="52"/>
      <c r="AM505" s="52"/>
      <c r="AN505" s="52"/>
    </row>
    <row r="506" spans="1:40" x14ac:dyDescent="0.3">
      <c r="A506" s="52">
        <v>501</v>
      </c>
      <c r="B506" s="52">
        <f>-bthan*500+(0+0.5)*bthan*1000/50</f>
        <v>-2695</v>
      </c>
      <c r="C506" s="52">
        <f t="shared" ref="C506:C537" si="108">-hthan*500+(10+0.5)*hthan*1000/80</f>
        <v>-590</v>
      </c>
      <c r="D506" s="52">
        <f t="shared" si="104"/>
        <v>2200</v>
      </c>
      <c r="E506" s="52">
        <f t="shared" si="105"/>
        <v>0</v>
      </c>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2"/>
      <c r="AK506" s="52"/>
      <c r="AL506" s="52"/>
      <c r="AM506" s="52"/>
      <c r="AN506" s="52"/>
    </row>
    <row r="507" spans="1:40" x14ac:dyDescent="0.3">
      <c r="A507" s="52">
        <v>502</v>
      </c>
      <c r="B507" s="52">
        <f>-bthan*500+(1+0.5)*bthan*1000/50</f>
        <v>-2585</v>
      </c>
      <c r="C507" s="52">
        <f t="shared" si="108"/>
        <v>-590</v>
      </c>
      <c r="D507" s="52">
        <f t="shared" si="104"/>
        <v>2200</v>
      </c>
      <c r="E507" s="52">
        <f t="shared" si="105"/>
        <v>0</v>
      </c>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2"/>
      <c r="AK507" s="52"/>
      <c r="AL507" s="52"/>
      <c r="AM507" s="52"/>
      <c r="AN507" s="52"/>
    </row>
    <row r="508" spans="1:40" x14ac:dyDescent="0.3">
      <c r="A508" s="52">
        <v>503</v>
      </c>
      <c r="B508" s="52">
        <f>-bthan*500+(2+0.5)*bthan*1000/50</f>
        <v>-2475</v>
      </c>
      <c r="C508" s="52">
        <f t="shared" si="108"/>
        <v>-590</v>
      </c>
      <c r="D508" s="52">
        <f t="shared" si="104"/>
        <v>2200</v>
      </c>
      <c r="E508" s="52">
        <f t="shared" si="105"/>
        <v>1</v>
      </c>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2"/>
      <c r="AK508" s="52"/>
      <c r="AL508" s="52"/>
      <c r="AM508" s="52"/>
      <c r="AN508" s="52"/>
    </row>
    <row r="509" spans="1:40" x14ac:dyDescent="0.3">
      <c r="A509" s="52">
        <v>504</v>
      </c>
      <c r="B509" s="52">
        <f>-bthan*500+(3+0.5)*bthan*1000/50</f>
        <v>-2365</v>
      </c>
      <c r="C509" s="52">
        <f t="shared" si="108"/>
        <v>-590</v>
      </c>
      <c r="D509" s="52">
        <f t="shared" si="104"/>
        <v>2200</v>
      </c>
      <c r="E509" s="52">
        <f t="shared" si="105"/>
        <v>1</v>
      </c>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2"/>
      <c r="AK509" s="52"/>
      <c r="AL509" s="52"/>
      <c r="AM509" s="52"/>
      <c r="AN509" s="52"/>
    </row>
    <row r="510" spans="1:40" x14ac:dyDescent="0.3">
      <c r="A510" s="52">
        <v>505</v>
      </c>
      <c r="B510" s="52">
        <f>-bthan*500+(4+0.5)*bthan*1000/50</f>
        <v>-2255</v>
      </c>
      <c r="C510" s="52">
        <f t="shared" si="108"/>
        <v>-590</v>
      </c>
      <c r="D510" s="52">
        <f t="shared" si="104"/>
        <v>2200</v>
      </c>
      <c r="E510" s="52">
        <f t="shared" si="105"/>
        <v>1</v>
      </c>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2"/>
      <c r="AK510" s="52"/>
      <c r="AL510" s="52"/>
      <c r="AM510" s="52"/>
      <c r="AN510" s="52"/>
    </row>
    <row r="511" spans="1:40" x14ac:dyDescent="0.3">
      <c r="A511" s="52">
        <v>506</v>
      </c>
      <c r="B511" s="52">
        <f>-bthan*500+(5+0.5)*bthan*1000/50</f>
        <v>-2145</v>
      </c>
      <c r="C511" s="52">
        <f t="shared" si="108"/>
        <v>-590</v>
      </c>
      <c r="D511" s="52">
        <f t="shared" si="104"/>
        <v>2200</v>
      </c>
      <c r="E511" s="52">
        <f t="shared" si="105"/>
        <v>1</v>
      </c>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2"/>
      <c r="AK511" s="52"/>
      <c r="AL511" s="52"/>
      <c r="AM511" s="52"/>
      <c r="AN511" s="52"/>
    </row>
    <row r="512" spans="1:40" x14ac:dyDescent="0.3">
      <c r="A512" s="52">
        <v>507</v>
      </c>
      <c r="B512" s="52">
        <f>-bthan*500+(6+0.5)*bthan*1000/50</f>
        <v>-2035</v>
      </c>
      <c r="C512" s="52">
        <f t="shared" si="108"/>
        <v>-590</v>
      </c>
      <c r="D512" s="52">
        <f t="shared" si="104"/>
        <v>2200</v>
      </c>
      <c r="E512" s="52">
        <f t="shared" si="105"/>
        <v>1</v>
      </c>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2"/>
      <c r="AK512" s="52"/>
      <c r="AL512" s="52"/>
      <c r="AM512" s="52"/>
      <c r="AN512" s="52"/>
    </row>
    <row r="513" spans="1:40" x14ac:dyDescent="0.3">
      <c r="A513" s="52">
        <v>508</v>
      </c>
      <c r="B513" s="52">
        <f>-bthan*500+(7+0.5)*bthan*1000/50</f>
        <v>-1925</v>
      </c>
      <c r="C513" s="52">
        <f t="shared" si="108"/>
        <v>-590</v>
      </c>
      <c r="D513" s="52">
        <f t="shared" si="104"/>
        <v>2200</v>
      </c>
      <c r="E513" s="52">
        <f t="shared" si="105"/>
        <v>1</v>
      </c>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2"/>
      <c r="AK513" s="52"/>
      <c r="AL513" s="52"/>
      <c r="AM513" s="52"/>
      <c r="AN513" s="52"/>
    </row>
    <row r="514" spans="1:40" x14ac:dyDescent="0.3">
      <c r="A514" s="52">
        <v>509</v>
      </c>
      <c r="B514" s="52">
        <f>-bthan*500+(8+0.5)*bthan*1000/50</f>
        <v>-1815</v>
      </c>
      <c r="C514" s="52">
        <f t="shared" si="108"/>
        <v>-590</v>
      </c>
      <c r="D514" s="52">
        <f t="shared" si="104"/>
        <v>2200</v>
      </c>
      <c r="E514" s="52">
        <f t="shared" si="105"/>
        <v>1</v>
      </c>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2"/>
      <c r="AK514" s="52"/>
      <c r="AL514" s="52"/>
      <c r="AM514" s="52"/>
      <c r="AN514" s="52"/>
    </row>
    <row r="515" spans="1:40" x14ac:dyDescent="0.3">
      <c r="A515" s="52">
        <v>510</v>
      </c>
      <c r="B515" s="52">
        <f>-bthan*500+(9+0.5)*bthan*1000/50</f>
        <v>-1705</v>
      </c>
      <c r="C515" s="52">
        <f t="shared" si="108"/>
        <v>-590</v>
      </c>
      <c r="D515" s="52">
        <f t="shared" si="104"/>
        <v>2200</v>
      </c>
      <c r="E515" s="52">
        <f t="shared" si="105"/>
        <v>1</v>
      </c>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c r="AJ515" s="52"/>
      <c r="AK515" s="52"/>
      <c r="AL515" s="52"/>
      <c r="AM515" s="52"/>
      <c r="AN515" s="52"/>
    </row>
    <row r="516" spans="1:40" x14ac:dyDescent="0.3">
      <c r="A516" s="52">
        <v>511</v>
      </c>
      <c r="B516" s="52">
        <f>-bthan*500+(10+0.5)*bthan*1000/50</f>
        <v>-1595</v>
      </c>
      <c r="C516" s="52">
        <f t="shared" si="108"/>
        <v>-590</v>
      </c>
      <c r="D516" s="52">
        <f t="shared" si="104"/>
        <v>2200</v>
      </c>
      <c r="E516" s="52">
        <f t="shared" si="105"/>
        <v>1</v>
      </c>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2"/>
      <c r="AK516" s="52"/>
      <c r="AL516" s="52"/>
      <c r="AM516" s="52"/>
      <c r="AN516" s="52"/>
    </row>
    <row r="517" spans="1:40" x14ac:dyDescent="0.3">
      <c r="A517" s="52">
        <v>512</v>
      </c>
      <c r="B517" s="52">
        <f>-bthan*500+(11+0.5)*bthan*1000/50</f>
        <v>-1485</v>
      </c>
      <c r="C517" s="52">
        <f t="shared" si="108"/>
        <v>-590</v>
      </c>
      <c r="D517" s="52">
        <f t="shared" si="104"/>
        <v>2200</v>
      </c>
      <c r="E517" s="52">
        <f t="shared" si="105"/>
        <v>1</v>
      </c>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2"/>
      <c r="AK517" s="52"/>
      <c r="AL517" s="52"/>
      <c r="AM517" s="52"/>
      <c r="AN517" s="52"/>
    </row>
    <row r="518" spans="1:40" x14ac:dyDescent="0.3">
      <c r="A518" s="52">
        <v>513</v>
      </c>
      <c r="B518" s="52">
        <f>-bthan*500+(12+0.5)*bthan*1000/50</f>
        <v>-1375</v>
      </c>
      <c r="C518" s="52">
        <f t="shared" si="108"/>
        <v>-590</v>
      </c>
      <c r="D518" s="52">
        <f t="shared" ref="D518:D581" si="109">bthan*1000/50*hthan*1000/80</f>
        <v>2200</v>
      </c>
      <c r="E518" s="52">
        <f t="shared" ref="E518:E581" si="110">IF(shp=1,--(OR(ABS(B518)&lt;=MAX(0,(bthan-hthan)*500),(ABS(B518)-MAX(0,(bthan-hthan)*500))^2+C518^2&lt;=(hthan*500)^2)),--(AND(ABS(B518)&lt;=bthan*500,ABS(C518)&lt;=hthan*500,OR(ABS(B518)&lt;=bthan*500-cch*1000,ABS(C518)&lt;=hthan*500-cch*1000,(bthan*500-ABS(B518))+(hthan*500-ABS(C518))&gt;=cch*1000))))</f>
        <v>1</v>
      </c>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52"/>
      <c r="AD518" s="52"/>
      <c r="AE518" s="52"/>
      <c r="AF518" s="52"/>
      <c r="AG518" s="52"/>
      <c r="AH518" s="52"/>
      <c r="AI518" s="52"/>
      <c r="AJ518" s="52"/>
      <c r="AK518" s="52"/>
      <c r="AL518" s="52"/>
      <c r="AM518" s="52"/>
      <c r="AN518" s="52"/>
    </row>
    <row r="519" spans="1:40" x14ac:dyDescent="0.3">
      <c r="A519" s="52">
        <v>514</v>
      </c>
      <c r="B519" s="52">
        <f>-bthan*500+(13+0.5)*bthan*1000/50</f>
        <v>-1265</v>
      </c>
      <c r="C519" s="52">
        <f t="shared" si="108"/>
        <v>-590</v>
      </c>
      <c r="D519" s="52">
        <f t="shared" si="109"/>
        <v>2200</v>
      </c>
      <c r="E519" s="52">
        <f t="shared" si="110"/>
        <v>1</v>
      </c>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52"/>
      <c r="AD519" s="52"/>
      <c r="AE519" s="52"/>
      <c r="AF519" s="52"/>
      <c r="AG519" s="52"/>
      <c r="AH519" s="52"/>
      <c r="AI519" s="52"/>
      <c r="AJ519" s="52"/>
      <c r="AK519" s="52"/>
      <c r="AL519" s="52"/>
      <c r="AM519" s="52"/>
      <c r="AN519" s="52"/>
    </row>
    <row r="520" spans="1:40" x14ac:dyDescent="0.3">
      <c r="A520" s="52">
        <v>515</v>
      </c>
      <c r="B520" s="52">
        <f>-bthan*500+(14+0.5)*bthan*1000/50</f>
        <v>-1155</v>
      </c>
      <c r="C520" s="52">
        <f t="shared" si="108"/>
        <v>-590</v>
      </c>
      <c r="D520" s="52">
        <f t="shared" si="109"/>
        <v>2200</v>
      </c>
      <c r="E520" s="52">
        <f t="shared" si="110"/>
        <v>1</v>
      </c>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52"/>
      <c r="AD520" s="52"/>
      <c r="AE520" s="52"/>
      <c r="AF520" s="52"/>
      <c r="AG520" s="52"/>
      <c r="AH520" s="52"/>
      <c r="AI520" s="52"/>
      <c r="AJ520" s="52"/>
      <c r="AK520" s="52"/>
      <c r="AL520" s="52"/>
      <c r="AM520" s="52"/>
      <c r="AN520" s="52"/>
    </row>
    <row r="521" spans="1:40" x14ac:dyDescent="0.3">
      <c r="A521" s="52">
        <v>516</v>
      </c>
      <c r="B521" s="52">
        <f>-bthan*500+(15+0.5)*bthan*1000/50</f>
        <v>-1045</v>
      </c>
      <c r="C521" s="52">
        <f t="shared" si="108"/>
        <v>-590</v>
      </c>
      <c r="D521" s="52">
        <f t="shared" si="109"/>
        <v>2200</v>
      </c>
      <c r="E521" s="52">
        <f t="shared" si="110"/>
        <v>1</v>
      </c>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52"/>
      <c r="AD521" s="52"/>
      <c r="AE521" s="52"/>
      <c r="AF521" s="52"/>
      <c r="AG521" s="52"/>
      <c r="AH521" s="52"/>
      <c r="AI521" s="52"/>
      <c r="AJ521" s="52"/>
      <c r="AK521" s="52"/>
      <c r="AL521" s="52"/>
      <c r="AM521" s="52"/>
      <c r="AN521" s="52"/>
    </row>
    <row r="522" spans="1:40" x14ac:dyDescent="0.3">
      <c r="A522" s="52">
        <v>517</v>
      </c>
      <c r="B522" s="52">
        <f>-bthan*500+(16+0.5)*bthan*1000/50</f>
        <v>-935</v>
      </c>
      <c r="C522" s="52">
        <f t="shared" si="108"/>
        <v>-590</v>
      </c>
      <c r="D522" s="52">
        <f t="shared" si="109"/>
        <v>2200</v>
      </c>
      <c r="E522" s="52">
        <f t="shared" si="110"/>
        <v>1</v>
      </c>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52"/>
      <c r="AD522" s="52"/>
      <c r="AE522" s="52"/>
      <c r="AF522" s="52"/>
      <c r="AG522" s="52"/>
      <c r="AH522" s="52"/>
      <c r="AI522" s="52"/>
      <c r="AJ522" s="52"/>
      <c r="AK522" s="52"/>
      <c r="AL522" s="52"/>
      <c r="AM522" s="52"/>
      <c r="AN522" s="52"/>
    </row>
    <row r="523" spans="1:40" x14ac:dyDescent="0.3">
      <c r="A523" s="52">
        <v>518</v>
      </c>
      <c r="B523" s="52">
        <f>-bthan*500+(17+0.5)*bthan*1000/50</f>
        <v>-825</v>
      </c>
      <c r="C523" s="52">
        <f t="shared" si="108"/>
        <v>-590</v>
      </c>
      <c r="D523" s="52">
        <f t="shared" si="109"/>
        <v>2200</v>
      </c>
      <c r="E523" s="52">
        <f t="shared" si="110"/>
        <v>1</v>
      </c>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52"/>
      <c r="AD523" s="52"/>
      <c r="AE523" s="52"/>
      <c r="AF523" s="52"/>
      <c r="AG523" s="52"/>
      <c r="AH523" s="52"/>
      <c r="AI523" s="52"/>
      <c r="AJ523" s="52"/>
      <c r="AK523" s="52"/>
      <c r="AL523" s="52"/>
      <c r="AM523" s="52"/>
      <c r="AN523" s="52"/>
    </row>
    <row r="524" spans="1:40" x14ac:dyDescent="0.3">
      <c r="A524" s="52">
        <v>519</v>
      </c>
      <c r="B524" s="52">
        <f>-bthan*500+(18+0.5)*bthan*1000/50</f>
        <v>-715</v>
      </c>
      <c r="C524" s="52">
        <f t="shared" si="108"/>
        <v>-590</v>
      </c>
      <c r="D524" s="52">
        <f t="shared" si="109"/>
        <v>2200</v>
      </c>
      <c r="E524" s="52">
        <f t="shared" si="110"/>
        <v>1</v>
      </c>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52"/>
      <c r="AD524" s="52"/>
      <c r="AE524" s="52"/>
      <c r="AF524" s="52"/>
      <c r="AG524" s="52"/>
      <c r="AH524" s="52"/>
      <c r="AI524" s="52"/>
      <c r="AJ524" s="52"/>
      <c r="AK524" s="52"/>
      <c r="AL524" s="52"/>
      <c r="AM524" s="52"/>
      <c r="AN524" s="52"/>
    </row>
    <row r="525" spans="1:40" x14ac:dyDescent="0.3">
      <c r="A525" s="52">
        <v>520</v>
      </c>
      <c r="B525" s="52">
        <f>-bthan*500+(19+0.5)*bthan*1000/50</f>
        <v>-605</v>
      </c>
      <c r="C525" s="52">
        <f t="shared" si="108"/>
        <v>-590</v>
      </c>
      <c r="D525" s="52">
        <f t="shared" si="109"/>
        <v>2200</v>
      </c>
      <c r="E525" s="52">
        <f t="shared" si="110"/>
        <v>1</v>
      </c>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52"/>
      <c r="AD525" s="52"/>
      <c r="AE525" s="52"/>
      <c r="AF525" s="52"/>
      <c r="AG525" s="52"/>
      <c r="AH525" s="52"/>
      <c r="AI525" s="52"/>
      <c r="AJ525" s="52"/>
      <c r="AK525" s="52"/>
      <c r="AL525" s="52"/>
      <c r="AM525" s="52"/>
      <c r="AN525" s="52"/>
    </row>
    <row r="526" spans="1:40" x14ac:dyDescent="0.3">
      <c r="A526" s="52">
        <v>521</v>
      </c>
      <c r="B526" s="52">
        <f>-bthan*500+(20+0.5)*bthan*1000/50</f>
        <v>-495</v>
      </c>
      <c r="C526" s="52">
        <f t="shared" si="108"/>
        <v>-590</v>
      </c>
      <c r="D526" s="52">
        <f t="shared" si="109"/>
        <v>2200</v>
      </c>
      <c r="E526" s="52">
        <f t="shared" si="110"/>
        <v>1</v>
      </c>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52"/>
      <c r="AD526" s="52"/>
      <c r="AE526" s="52"/>
      <c r="AF526" s="52"/>
      <c r="AG526" s="52"/>
      <c r="AH526" s="52"/>
      <c r="AI526" s="52"/>
      <c r="AJ526" s="52"/>
      <c r="AK526" s="52"/>
      <c r="AL526" s="52"/>
      <c r="AM526" s="52"/>
      <c r="AN526" s="52"/>
    </row>
    <row r="527" spans="1:40" x14ac:dyDescent="0.3">
      <c r="A527" s="52">
        <v>522</v>
      </c>
      <c r="B527" s="52">
        <f>-bthan*500+(21+0.5)*bthan*1000/50</f>
        <v>-385</v>
      </c>
      <c r="C527" s="52">
        <f t="shared" si="108"/>
        <v>-590</v>
      </c>
      <c r="D527" s="52">
        <f t="shared" si="109"/>
        <v>2200</v>
      </c>
      <c r="E527" s="52">
        <f t="shared" si="110"/>
        <v>1</v>
      </c>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52"/>
      <c r="AD527" s="52"/>
      <c r="AE527" s="52"/>
      <c r="AF527" s="52"/>
      <c r="AG527" s="52"/>
      <c r="AH527" s="52"/>
      <c r="AI527" s="52"/>
      <c r="AJ527" s="52"/>
      <c r="AK527" s="52"/>
      <c r="AL527" s="52"/>
      <c r="AM527" s="52"/>
      <c r="AN527" s="52"/>
    </row>
    <row r="528" spans="1:40" x14ac:dyDescent="0.3">
      <c r="A528" s="52">
        <v>523</v>
      </c>
      <c r="B528" s="52">
        <f>-bthan*500+(22+0.5)*bthan*1000/50</f>
        <v>-275</v>
      </c>
      <c r="C528" s="52">
        <f t="shared" si="108"/>
        <v>-590</v>
      </c>
      <c r="D528" s="52">
        <f t="shared" si="109"/>
        <v>2200</v>
      </c>
      <c r="E528" s="52">
        <f t="shared" si="110"/>
        <v>1</v>
      </c>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52"/>
      <c r="AD528" s="52"/>
      <c r="AE528" s="52"/>
      <c r="AF528" s="52"/>
      <c r="AG528" s="52"/>
      <c r="AH528" s="52"/>
      <c r="AI528" s="52"/>
      <c r="AJ528" s="52"/>
      <c r="AK528" s="52"/>
      <c r="AL528" s="52"/>
      <c r="AM528" s="52"/>
      <c r="AN528" s="52"/>
    </row>
    <row r="529" spans="1:40" x14ac:dyDescent="0.3">
      <c r="A529" s="52">
        <v>524</v>
      </c>
      <c r="B529" s="52">
        <f>-bthan*500+(23+0.5)*bthan*1000/50</f>
        <v>-165</v>
      </c>
      <c r="C529" s="52">
        <f t="shared" si="108"/>
        <v>-590</v>
      </c>
      <c r="D529" s="52">
        <f t="shared" si="109"/>
        <v>2200</v>
      </c>
      <c r="E529" s="52">
        <f t="shared" si="110"/>
        <v>1</v>
      </c>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52"/>
      <c r="AD529" s="52"/>
      <c r="AE529" s="52"/>
      <c r="AF529" s="52"/>
      <c r="AG529" s="52"/>
      <c r="AH529" s="52"/>
      <c r="AI529" s="52"/>
      <c r="AJ529" s="52"/>
      <c r="AK529" s="52"/>
      <c r="AL529" s="52"/>
      <c r="AM529" s="52"/>
      <c r="AN529" s="52"/>
    </row>
    <row r="530" spans="1:40" x14ac:dyDescent="0.3">
      <c r="A530" s="52">
        <v>525</v>
      </c>
      <c r="B530" s="52">
        <f>-bthan*500+(24+0.5)*bthan*1000/50</f>
        <v>-55</v>
      </c>
      <c r="C530" s="52">
        <f t="shared" si="108"/>
        <v>-590</v>
      </c>
      <c r="D530" s="52">
        <f t="shared" si="109"/>
        <v>2200</v>
      </c>
      <c r="E530" s="52">
        <f t="shared" si="110"/>
        <v>1</v>
      </c>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52"/>
      <c r="AD530" s="52"/>
      <c r="AE530" s="52"/>
      <c r="AF530" s="52"/>
      <c r="AG530" s="52"/>
      <c r="AH530" s="52"/>
      <c r="AI530" s="52"/>
      <c r="AJ530" s="52"/>
      <c r="AK530" s="52"/>
      <c r="AL530" s="52"/>
      <c r="AM530" s="52"/>
      <c r="AN530" s="52"/>
    </row>
    <row r="531" spans="1:40" x14ac:dyDescent="0.3">
      <c r="A531" s="52">
        <v>526</v>
      </c>
      <c r="B531" s="52">
        <f>-bthan*500+(25+0.5)*bthan*1000/50</f>
        <v>55</v>
      </c>
      <c r="C531" s="52">
        <f t="shared" si="108"/>
        <v>-590</v>
      </c>
      <c r="D531" s="52">
        <f t="shared" si="109"/>
        <v>2200</v>
      </c>
      <c r="E531" s="52">
        <f t="shared" si="110"/>
        <v>1</v>
      </c>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52"/>
      <c r="AD531" s="52"/>
      <c r="AE531" s="52"/>
      <c r="AF531" s="52"/>
      <c r="AG531" s="52"/>
      <c r="AH531" s="52"/>
      <c r="AI531" s="52"/>
      <c r="AJ531" s="52"/>
      <c r="AK531" s="52"/>
      <c r="AL531" s="52"/>
      <c r="AM531" s="52"/>
      <c r="AN531" s="52"/>
    </row>
    <row r="532" spans="1:40" x14ac:dyDescent="0.3">
      <c r="A532" s="52">
        <v>527</v>
      </c>
      <c r="B532" s="52">
        <f>-bthan*500+(26+0.5)*bthan*1000/50</f>
        <v>165</v>
      </c>
      <c r="C532" s="52">
        <f t="shared" si="108"/>
        <v>-590</v>
      </c>
      <c r="D532" s="52">
        <f t="shared" si="109"/>
        <v>2200</v>
      </c>
      <c r="E532" s="52">
        <f t="shared" si="110"/>
        <v>1</v>
      </c>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52"/>
      <c r="AD532" s="52"/>
      <c r="AE532" s="52"/>
      <c r="AF532" s="52"/>
      <c r="AG532" s="52"/>
      <c r="AH532" s="52"/>
      <c r="AI532" s="52"/>
      <c r="AJ532" s="52"/>
      <c r="AK532" s="52"/>
      <c r="AL532" s="52"/>
      <c r="AM532" s="52"/>
      <c r="AN532" s="52"/>
    </row>
    <row r="533" spans="1:40" x14ac:dyDescent="0.3">
      <c r="A533" s="52">
        <v>528</v>
      </c>
      <c r="B533" s="52">
        <f>-bthan*500+(27+0.5)*bthan*1000/50</f>
        <v>275</v>
      </c>
      <c r="C533" s="52">
        <f t="shared" si="108"/>
        <v>-590</v>
      </c>
      <c r="D533" s="52">
        <f t="shared" si="109"/>
        <v>2200</v>
      </c>
      <c r="E533" s="52">
        <f t="shared" si="110"/>
        <v>1</v>
      </c>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52"/>
      <c r="AD533" s="52"/>
      <c r="AE533" s="52"/>
      <c r="AF533" s="52"/>
      <c r="AG533" s="52"/>
      <c r="AH533" s="52"/>
      <c r="AI533" s="52"/>
      <c r="AJ533" s="52"/>
      <c r="AK533" s="52"/>
      <c r="AL533" s="52"/>
      <c r="AM533" s="52"/>
      <c r="AN533" s="52"/>
    </row>
    <row r="534" spans="1:40" x14ac:dyDescent="0.3">
      <c r="A534" s="52">
        <v>529</v>
      </c>
      <c r="B534" s="52">
        <f>-bthan*500+(28+0.5)*bthan*1000/50</f>
        <v>385</v>
      </c>
      <c r="C534" s="52">
        <f t="shared" si="108"/>
        <v>-590</v>
      </c>
      <c r="D534" s="52">
        <f t="shared" si="109"/>
        <v>2200</v>
      </c>
      <c r="E534" s="52">
        <f t="shared" si="110"/>
        <v>1</v>
      </c>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52"/>
      <c r="AD534" s="52"/>
      <c r="AE534" s="52"/>
      <c r="AF534" s="52"/>
      <c r="AG534" s="52"/>
      <c r="AH534" s="52"/>
      <c r="AI534" s="52"/>
      <c r="AJ534" s="52"/>
      <c r="AK534" s="52"/>
      <c r="AL534" s="52"/>
      <c r="AM534" s="52"/>
      <c r="AN534" s="52"/>
    </row>
    <row r="535" spans="1:40" x14ac:dyDescent="0.3">
      <c r="A535" s="52">
        <v>530</v>
      </c>
      <c r="B535" s="52">
        <f>-bthan*500+(29+0.5)*bthan*1000/50</f>
        <v>495</v>
      </c>
      <c r="C535" s="52">
        <f t="shared" si="108"/>
        <v>-590</v>
      </c>
      <c r="D535" s="52">
        <f t="shared" si="109"/>
        <v>2200</v>
      </c>
      <c r="E535" s="52">
        <f t="shared" si="110"/>
        <v>1</v>
      </c>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52"/>
      <c r="AD535" s="52"/>
      <c r="AE535" s="52"/>
      <c r="AF535" s="52"/>
      <c r="AG535" s="52"/>
      <c r="AH535" s="52"/>
      <c r="AI535" s="52"/>
      <c r="AJ535" s="52"/>
      <c r="AK535" s="52"/>
      <c r="AL535" s="52"/>
      <c r="AM535" s="52"/>
      <c r="AN535" s="52"/>
    </row>
    <row r="536" spans="1:40" x14ac:dyDescent="0.3">
      <c r="A536" s="52">
        <v>531</v>
      </c>
      <c r="B536" s="52">
        <f>-bthan*500+(30+0.5)*bthan*1000/50</f>
        <v>605</v>
      </c>
      <c r="C536" s="52">
        <f t="shared" si="108"/>
        <v>-590</v>
      </c>
      <c r="D536" s="52">
        <f t="shared" si="109"/>
        <v>2200</v>
      </c>
      <c r="E536" s="52">
        <f t="shared" si="110"/>
        <v>1</v>
      </c>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52"/>
      <c r="AD536" s="52"/>
      <c r="AE536" s="52"/>
      <c r="AF536" s="52"/>
      <c r="AG536" s="52"/>
      <c r="AH536" s="52"/>
      <c r="AI536" s="52"/>
      <c r="AJ536" s="52"/>
      <c r="AK536" s="52"/>
      <c r="AL536" s="52"/>
      <c r="AM536" s="52"/>
      <c r="AN536" s="52"/>
    </row>
    <row r="537" spans="1:40" x14ac:dyDescent="0.3">
      <c r="A537" s="52">
        <v>532</v>
      </c>
      <c r="B537" s="52">
        <f>-bthan*500+(31+0.5)*bthan*1000/50</f>
        <v>715</v>
      </c>
      <c r="C537" s="52">
        <f t="shared" si="108"/>
        <v>-590</v>
      </c>
      <c r="D537" s="52">
        <f t="shared" si="109"/>
        <v>2200</v>
      </c>
      <c r="E537" s="52">
        <f t="shared" si="110"/>
        <v>1</v>
      </c>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52"/>
      <c r="AD537" s="52"/>
      <c r="AE537" s="52"/>
      <c r="AF537" s="52"/>
      <c r="AG537" s="52"/>
      <c r="AH537" s="52"/>
      <c r="AI537" s="52"/>
      <c r="AJ537" s="52"/>
      <c r="AK537" s="52"/>
      <c r="AL537" s="52"/>
      <c r="AM537" s="52"/>
      <c r="AN537" s="52"/>
    </row>
    <row r="538" spans="1:40" x14ac:dyDescent="0.3">
      <c r="A538" s="52">
        <v>533</v>
      </c>
      <c r="B538" s="52">
        <f>-bthan*500+(32+0.5)*bthan*1000/50</f>
        <v>825</v>
      </c>
      <c r="C538" s="52">
        <f t="shared" ref="C538:C555" si="111">-hthan*500+(10+0.5)*hthan*1000/80</f>
        <v>-590</v>
      </c>
      <c r="D538" s="52">
        <f t="shared" si="109"/>
        <v>2200</v>
      </c>
      <c r="E538" s="52">
        <f t="shared" si="110"/>
        <v>1</v>
      </c>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52"/>
      <c r="AD538" s="52"/>
      <c r="AE538" s="52"/>
      <c r="AF538" s="52"/>
      <c r="AG538" s="52"/>
      <c r="AH538" s="52"/>
      <c r="AI538" s="52"/>
      <c r="AJ538" s="52"/>
      <c r="AK538" s="52"/>
      <c r="AL538" s="52"/>
      <c r="AM538" s="52"/>
      <c r="AN538" s="52"/>
    </row>
    <row r="539" spans="1:40" x14ac:dyDescent="0.3">
      <c r="A539" s="52">
        <v>534</v>
      </c>
      <c r="B539" s="52">
        <f>-bthan*500+(33+0.5)*bthan*1000/50</f>
        <v>935</v>
      </c>
      <c r="C539" s="52">
        <f t="shared" si="111"/>
        <v>-590</v>
      </c>
      <c r="D539" s="52">
        <f t="shared" si="109"/>
        <v>2200</v>
      </c>
      <c r="E539" s="52">
        <f t="shared" si="110"/>
        <v>1</v>
      </c>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52"/>
      <c r="AD539" s="52"/>
      <c r="AE539" s="52"/>
      <c r="AF539" s="52"/>
      <c r="AG539" s="52"/>
      <c r="AH539" s="52"/>
      <c r="AI539" s="52"/>
      <c r="AJ539" s="52"/>
      <c r="AK539" s="52"/>
      <c r="AL539" s="52"/>
      <c r="AM539" s="52"/>
      <c r="AN539" s="52"/>
    </row>
    <row r="540" spans="1:40" x14ac:dyDescent="0.3">
      <c r="A540" s="52">
        <v>535</v>
      </c>
      <c r="B540" s="52">
        <f>-bthan*500+(34+0.5)*bthan*1000/50</f>
        <v>1045</v>
      </c>
      <c r="C540" s="52">
        <f t="shared" si="111"/>
        <v>-590</v>
      </c>
      <c r="D540" s="52">
        <f t="shared" si="109"/>
        <v>2200</v>
      </c>
      <c r="E540" s="52">
        <f t="shared" si="110"/>
        <v>1</v>
      </c>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row>
    <row r="541" spans="1:40" x14ac:dyDescent="0.3">
      <c r="A541" s="52">
        <v>536</v>
      </c>
      <c r="B541" s="52">
        <f>-bthan*500+(35+0.5)*bthan*1000/50</f>
        <v>1155</v>
      </c>
      <c r="C541" s="52">
        <f t="shared" si="111"/>
        <v>-590</v>
      </c>
      <c r="D541" s="52">
        <f t="shared" si="109"/>
        <v>2200</v>
      </c>
      <c r="E541" s="52">
        <f t="shared" si="110"/>
        <v>1</v>
      </c>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52"/>
      <c r="AD541" s="52"/>
      <c r="AE541" s="52"/>
      <c r="AF541" s="52"/>
      <c r="AG541" s="52"/>
      <c r="AH541" s="52"/>
      <c r="AI541" s="52"/>
      <c r="AJ541" s="52"/>
      <c r="AK541" s="52"/>
      <c r="AL541" s="52"/>
      <c r="AM541" s="52"/>
      <c r="AN541" s="52"/>
    </row>
    <row r="542" spans="1:40" x14ac:dyDescent="0.3">
      <c r="A542" s="52">
        <v>537</v>
      </c>
      <c r="B542" s="52">
        <f>-bthan*500+(36+0.5)*bthan*1000/50</f>
        <v>1265</v>
      </c>
      <c r="C542" s="52">
        <f t="shared" si="111"/>
        <v>-590</v>
      </c>
      <c r="D542" s="52">
        <f t="shared" si="109"/>
        <v>2200</v>
      </c>
      <c r="E542" s="52">
        <f t="shared" si="110"/>
        <v>1</v>
      </c>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52"/>
      <c r="AD542" s="52"/>
      <c r="AE542" s="52"/>
      <c r="AF542" s="52"/>
      <c r="AG542" s="52"/>
      <c r="AH542" s="52"/>
      <c r="AI542" s="52"/>
      <c r="AJ542" s="52"/>
      <c r="AK542" s="52"/>
      <c r="AL542" s="52"/>
      <c r="AM542" s="52"/>
      <c r="AN542" s="52"/>
    </row>
    <row r="543" spans="1:40" x14ac:dyDescent="0.3">
      <c r="A543" s="52">
        <v>538</v>
      </c>
      <c r="B543" s="52">
        <f>-bthan*500+(37+0.5)*bthan*1000/50</f>
        <v>1375</v>
      </c>
      <c r="C543" s="52">
        <f t="shared" si="111"/>
        <v>-590</v>
      </c>
      <c r="D543" s="52">
        <f t="shared" si="109"/>
        <v>2200</v>
      </c>
      <c r="E543" s="52">
        <f t="shared" si="110"/>
        <v>1</v>
      </c>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52"/>
      <c r="AD543" s="52"/>
      <c r="AE543" s="52"/>
      <c r="AF543" s="52"/>
      <c r="AG543" s="52"/>
      <c r="AH543" s="52"/>
      <c r="AI543" s="52"/>
      <c r="AJ543" s="52"/>
      <c r="AK543" s="52"/>
      <c r="AL543" s="52"/>
      <c r="AM543" s="52"/>
      <c r="AN543" s="52"/>
    </row>
    <row r="544" spans="1:40" x14ac:dyDescent="0.3">
      <c r="A544" s="52">
        <v>539</v>
      </c>
      <c r="B544" s="52">
        <f>-bthan*500+(38+0.5)*bthan*1000/50</f>
        <v>1485</v>
      </c>
      <c r="C544" s="52">
        <f t="shared" si="111"/>
        <v>-590</v>
      </c>
      <c r="D544" s="52">
        <f t="shared" si="109"/>
        <v>2200</v>
      </c>
      <c r="E544" s="52">
        <f t="shared" si="110"/>
        <v>1</v>
      </c>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52"/>
      <c r="AD544" s="52"/>
      <c r="AE544" s="52"/>
      <c r="AF544" s="52"/>
      <c r="AG544" s="52"/>
      <c r="AH544" s="52"/>
      <c r="AI544" s="52"/>
      <c r="AJ544" s="52"/>
      <c r="AK544" s="52"/>
      <c r="AL544" s="52"/>
      <c r="AM544" s="52"/>
      <c r="AN544" s="52"/>
    </row>
    <row r="545" spans="1:40" x14ac:dyDescent="0.3">
      <c r="A545" s="52">
        <v>540</v>
      </c>
      <c r="B545" s="52">
        <f>-bthan*500+(39+0.5)*bthan*1000/50</f>
        <v>1595</v>
      </c>
      <c r="C545" s="52">
        <f t="shared" si="111"/>
        <v>-590</v>
      </c>
      <c r="D545" s="52">
        <f t="shared" si="109"/>
        <v>2200</v>
      </c>
      <c r="E545" s="52">
        <f t="shared" si="110"/>
        <v>1</v>
      </c>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52"/>
      <c r="AD545" s="52"/>
      <c r="AE545" s="52"/>
      <c r="AF545" s="52"/>
      <c r="AG545" s="52"/>
      <c r="AH545" s="52"/>
      <c r="AI545" s="52"/>
      <c r="AJ545" s="52"/>
      <c r="AK545" s="52"/>
      <c r="AL545" s="52"/>
      <c r="AM545" s="52"/>
      <c r="AN545" s="52"/>
    </row>
    <row r="546" spans="1:40" x14ac:dyDescent="0.3">
      <c r="A546" s="52">
        <v>541</v>
      </c>
      <c r="B546" s="52">
        <f>-bthan*500+(40+0.5)*bthan*1000/50</f>
        <v>1705</v>
      </c>
      <c r="C546" s="52">
        <f t="shared" si="111"/>
        <v>-590</v>
      </c>
      <c r="D546" s="52">
        <f t="shared" si="109"/>
        <v>2200</v>
      </c>
      <c r="E546" s="52">
        <f t="shared" si="110"/>
        <v>1</v>
      </c>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52"/>
      <c r="AD546" s="52"/>
      <c r="AE546" s="52"/>
      <c r="AF546" s="52"/>
      <c r="AG546" s="52"/>
      <c r="AH546" s="52"/>
      <c r="AI546" s="52"/>
      <c r="AJ546" s="52"/>
      <c r="AK546" s="52"/>
      <c r="AL546" s="52"/>
      <c r="AM546" s="52"/>
      <c r="AN546" s="52"/>
    </row>
    <row r="547" spans="1:40" x14ac:dyDescent="0.3">
      <c r="A547" s="52">
        <v>542</v>
      </c>
      <c r="B547" s="52">
        <f>-bthan*500+(41+0.5)*bthan*1000/50</f>
        <v>1815</v>
      </c>
      <c r="C547" s="52">
        <f t="shared" si="111"/>
        <v>-590</v>
      </c>
      <c r="D547" s="52">
        <f t="shared" si="109"/>
        <v>2200</v>
      </c>
      <c r="E547" s="52">
        <f t="shared" si="110"/>
        <v>1</v>
      </c>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52"/>
      <c r="AD547" s="52"/>
      <c r="AE547" s="52"/>
      <c r="AF547" s="52"/>
      <c r="AG547" s="52"/>
      <c r="AH547" s="52"/>
      <c r="AI547" s="52"/>
      <c r="AJ547" s="52"/>
      <c r="AK547" s="52"/>
      <c r="AL547" s="52"/>
      <c r="AM547" s="52"/>
      <c r="AN547" s="52"/>
    </row>
    <row r="548" spans="1:40" x14ac:dyDescent="0.3">
      <c r="A548" s="52">
        <v>543</v>
      </c>
      <c r="B548" s="52">
        <f>-bthan*500+(42+0.5)*bthan*1000/50</f>
        <v>1925</v>
      </c>
      <c r="C548" s="52">
        <f t="shared" si="111"/>
        <v>-590</v>
      </c>
      <c r="D548" s="52">
        <f t="shared" si="109"/>
        <v>2200</v>
      </c>
      <c r="E548" s="52">
        <f t="shared" si="110"/>
        <v>1</v>
      </c>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52"/>
      <c r="AD548" s="52"/>
      <c r="AE548" s="52"/>
      <c r="AF548" s="52"/>
      <c r="AG548" s="52"/>
      <c r="AH548" s="52"/>
      <c r="AI548" s="52"/>
      <c r="AJ548" s="52"/>
      <c r="AK548" s="52"/>
      <c r="AL548" s="52"/>
      <c r="AM548" s="52"/>
      <c r="AN548" s="52"/>
    </row>
    <row r="549" spans="1:40" x14ac:dyDescent="0.3">
      <c r="A549" s="52">
        <v>544</v>
      </c>
      <c r="B549" s="52">
        <f>-bthan*500+(43+0.5)*bthan*1000/50</f>
        <v>2035</v>
      </c>
      <c r="C549" s="52">
        <f t="shared" si="111"/>
        <v>-590</v>
      </c>
      <c r="D549" s="52">
        <f t="shared" si="109"/>
        <v>2200</v>
      </c>
      <c r="E549" s="52">
        <f t="shared" si="110"/>
        <v>1</v>
      </c>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52"/>
      <c r="AD549" s="52"/>
      <c r="AE549" s="52"/>
      <c r="AF549" s="52"/>
      <c r="AG549" s="52"/>
      <c r="AH549" s="52"/>
      <c r="AI549" s="52"/>
      <c r="AJ549" s="52"/>
      <c r="AK549" s="52"/>
      <c r="AL549" s="52"/>
      <c r="AM549" s="52"/>
      <c r="AN549" s="52"/>
    </row>
    <row r="550" spans="1:40" x14ac:dyDescent="0.3">
      <c r="A550" s="52">
        <v>545</v>
      </c>
      <c r="B550" s="52">
        <f>-bthan*500+(44+0.5)*bthan*1000/50</f>
        <v>2145</v>
      </c>
      <c r="C550" s="52">
        <f t="shared" si="111"/>
        <v>-590</v>
      </c>
      <c r="D550" s="52">
        <f t="shared" si="109"/>
        <v>2200</v>
      </c>
      <c r="E550" s="52">
        <f t="shared" si="110"/>
        <v>1</v>
      </c>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52"/>
      <c r="AD550" s="52"/>
      <c r="AE550" s="52"/>
      <c r="AF550" s="52"/>
      <c r="AG550" s="52"/>
      <c r="AH550" s="52"/>
      <c r="AI550" s="52"/>
      <c r="AJ550" s="52"/>
      <c r="AK550" s="52"/>
      <c r="AL550" s="52"/>
      <c r="AM550" s="52"/>
      <c r="AN550" s="52"/>
    </row>
    <row r="551" spans="1:40" x14ac:dyDescent="0.3">
      <c r="A551" s="52">
        <v>546</v>
      </c>
      <c r="B551" s="52">
        <f>-bthan*500+(45+0.5)*bthan*1000/50</f>
        <v>2255</v>
      </c>
      <c r="C551" s="52">
        <f t="shared" si="111"/>
        <v>-590</v>
      </c>
      <c r="D551" s="52">
        <f t="shared" si="109"/>
        <v>2200</v>
      </c>
      <c r="E551" s="52">
        <f t="shared" si="110"/>
        <v>1</v>
      </c>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52"/>
      <c r="AD551" s="52"/>
      <c r="AE551" s="52"/>
      <c r="AF551" s="52"/>
      <c r="AG551" s="52"/>
      <c r="AH551" s="52"/>
      <c r="AI551" s="52"/>
      <c r="AJ551" s="52"/>
      <c r="AK551" s="52"/>
      <c r="AL551" s="52"/>
      <c r="AM551" s="52"/>
      <c r="AN551" s="52"/>
    </row>
    <row r="552" spans="1:40" x14ac:dyDescent="0.3">
      <c r="A552" s="52">
        <v>547</v>
      </c>
      <c r="B552" s="52">
        <f>-bthan*500+(46+0.5)*bthan*1000/50</f>
        <v>2365</v>
      </c>
      <c r="C552" s="52">
        <f t="shared" si="111"/>
        <v>-590</v>
      </c>
      <c r="D552" s="52">
        <f t="shared" si="109"/>
        <v>2200</v>
      </c>
      <c r="E552" s="52">
        <f t="shared" si="110"/>
        <v>1</v>
      </c>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52"/>
      <c r="AD552" s="52"/>
      <c r="AE552" s="52"/>
      <c r="AF552" s="52"/>
      <c r="AG552" s="52"/>
      <c r="AH552" s="52"/>
      <c r="AI552" s="52"/>
      <c r="AJ552" s="52"/>
      <c r="AK552" s="52"/>
      <c r="AL552" s="52"/>
      <c r="AM552" s="52"/>
      <c r="AN552" s="52"/>
    </row>
    <row r="553" spans="1:40" x14ac:dyDescent="0.3">
      <c r="A553" s="52">
        <v>548</v>
      </c>
      <c r="B553" s="52">
        <f>-bthan*500+(47+0.5)*bthan*1000/50</f>
        <v>2475</v>
      </c>
      <c r="C553" s="52">
        <f t="shared" si="111"/>
        <v>-590</v>
      </c>
      <c r="D553" s="52">
        <f t="shared" si="109"/>
        <v>2200</v>
      </c>
      <c r="E553" s="52">
        <f t="shared" si="110"/>
        <v>1</v>
      </c>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52"/>
      <c r="AD553" s="52"/>
      <c r="AE553" s="52"/>
      <c r="AF553" s="52"/>
      <c r="AG553" s="52"/>
      <c r="AH553" s="52"/>
      <c r="AI553" s="52"/>
      <c r="AJ553" s="52"/>
      <c r="AK553" s="52"/>
      <c r="AL553" s="52"/>
      <c r="AM553" s="52"/>
      <c r="AN553" s="52"/>
    </row>
    <row r="554" spans="1:40" x14ac:dyDescent="0.3">
      <c r="A554" s="52">
        <v>549</v>
      </c>
      <c r="B554" s="52">
        <f>-bthan*500+(48+0.5)*bthan*1000/50</f>
        <v>2585</v>
      </c>
      <c r="C554" s="52">
        <f t="shared" si="111"/>
        <v>-590</v>
      </c>
      <c r="D554" s="52">
        <f t="shared" si="109"/>
        <v>2200</v>
      </c>
      <c r="E554" s="52">
        <f t="shared" si="110"/>
        <v>0</v>
      </c>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52"/>
      <c r="AD554" s="52"/>
      <c r="AE554" s="52"/>
      <c r="AF554" s="52"/>
      <c r="AG554" s="52"/>
      <c r="AH554" s="52"/>
      <c r="AI554" s="52"/>
      <c r="AJ554" s="52"/>
      <c r="AK554" s="52"/>
      <c r="AL554" s="52"/>
      <c r="AM554" s="52"/>
      <c r="AN554" s="52"/>
    </row>
    <row r="555" spans="1:40" x14ac:dyDescent="0.3">
      <c r="A555" s="52">
        <v>550</v>
      </c>
      <c r="B555" s="52">
        <f>-bthan*500+(49+0.5)*bthan*1000/50</f>
        <v>2695</v>
      </c>
      <c r="C555" s="52">
        <f t="shared" si="111"/>
        <v>-590</v>
      </c>
      <c r="D555" s="52">
        <f t="shared" si="109"/>
        <v>2200</v>
      </c>
      <c r="E555" s="52">
        <f t="shared" si="110"/>
        <v>0</v>
      </c>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52"/>
      <c r="AD555" s="52"/>
      <c r="AE555" s="52"/>
      <c r="AF555" s="52"/>
      <c r="AG555" s="52"/>
      <c r="AH555" s="52"/>
      <c r="AI555" s="52"/>
      <c r="AJ555" s="52"/>
      <c r="AK555" s="52"/>
      <c r="AL555" s="52"/>
      <c r="AM555" s="52"/>
      <c r="AN555" s="52"/>
    </row>
    <row r="556" spans="1:40" x14ac:dyDescent="0.3">
      <c r="A556" s="52">
        <v>551</v>
      </c>
      <c r="B556" s="52">
        <f>-bthan*500+(0+0.5)*bthan*1000/50</f>
        <v>-2695</v>
      </c>
      <c r="C556" s="52">
        <f t="shared" ref="C556:C587" si="112">-hthan*500+(11+0.5)*hthan*1000/80</f>
        <v>-570</v>
      </c>
      <c r="D556" s="52">
        <f t="shared" si="109"/>
        <v>2200</v>
      </c>
      <c r="E556" s="52">
        <f t="shared" si="110"/>
        <v>0</v>
      </c>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52"/>
      <c r="AD556" s="52"/>
      <c r="AE556" s="52"/>
      <c r="AF556" s="52"/>
      <c r="AG556" s="52"/>
      <c r="AH556" s="52"/>
      <c r="AI556" s="52"/>
      <c r="AJ556" s="52"/>
      <c r="AK556" s="52"/>
      <c r="AL556" s="52"/>
      <c r="AM556" s="52"/>
      <c r="AN556" s="52"/>
    </row>
    <row r="557" spans="1:40" x14ac:dyDescent="0.3">
      <c r="A557" s="52">
        <v>552</v>
      </c>
      <c r="B557" s="52">
        <f>-bthan*500+(1+0.5)*bthan*1000/50</f>
        <v>-2585</v>
      </c>
      <c r="C557" s="52">
        <f t="shared" si="112"/>
        <v>-570</v>
      </c>
      <c r="D557" s="52">
        <f t="shared" si="109"/>
        <v>2200</v>
      </c>
      <c r="E557" s="52">
        <f t="shared" si="110"/>
        <v>0</v>
      </c>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52"/>
      <c r="AD557" s="52"/>
      <c r="AE557" s="52"/>
      <c r="AF557" s="52"/>
      <c r="AG557" s="52"/>
      <c r="AH557" s="52"/>
      <c r="AI557" s="52"/>
      <c r="AJ557" s="52"/>
      <c r="AK557" s="52"/>
      <c r="AL557" s="52"/>
      <c r="AM557" s="52"/>
      <c r="AN557" s="52"/>
    </row>
    <row r="558" spans="1:40" x14ac:dyDescent="0.3">
      <c r="A558" s="52">
        <v>553</v>
      </c>
      <c r="B558" s="52">
        <f>-bthan*500+(2+0.5)*bthan*1000/50</f>
        <v>-2475</v>
      </c>
      <c r="C558" s="52">
        <f t="shared" si="112"/>
        <v>-570</v>
      </c>
      <c r="D558" s="52">
        <f t="shared" si="109"/>
        <v>2200</v>
      </c>
      <c r="E558" s="52">
        <f t="shared" si="110"/>
        <v>1</v>
      </c>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52"/>
      <c r="AD558" s="52"/>
      <c r="AE558" s="52"/>
      <c r="AF558" s="52"/>
      <c r="AG558" s="52"/>
      <c r="AH558" s="52"/>
      <c r="AI558" s="52"/>
      <c r="AJ558" s="52"/>
      <c r="AK558" s="52"/>
      <c r="AL558" s="52"/>
      <c r="AM558" s="52"/>
      <c r="AN558" s="52"/>
    </row>
    <row r="559" spans="1:40" x14ac:dyDescent="0.3">
      <c r="A559" s="52">
        <v>554</v>
      </c>
      <c r="B559" s="52">
        <f>-bthan*500+(3+0.5)*bthan*1000/50</f>
        <v>-2365</v>
      </c>
      <c r="C559" s="52">
        <f t="shared" si="112"/>
        <v>-570</v>
      </c>
      <c r="D559" s="52">
        <f t="shared" si="109"/>
        <v>2200</v>
      </c>
      <c r="E559" s="52">
        <f t="shared" si="110"/>
        <v>1</v>
      </c>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52"/>
      <c r="AD559" s="52"/>
      <c r="AE559" s="52"/>
      <c r="AF559" s="52"/>
      <c r="AG559" s="52"/>
      <c r="AH559" s="52"/>
      <c r="AI559" s="52"/>
      <c r="AJ559" s="52"/>
      <c r="AK559" s="52"/>
      <c r="AL559" s="52"/>
      <c r="AM559" s="52"/>
      <c r="AN559" s="52"/>
    </row>
    <row r="560" spans="1:40" x14ac:dyDescent="0.3">
      <c r="A560" s="52">
        <v>555</v>
      </c>
      <c r="B560" s="52">
        <f>-bthan*500+(4+0.5)*bthan*1000/50</f>
        <v>-2255</v>
      </c>
      <c r="C560" s="52">
        <f t="shared" si="112"/>
        <v>-570</v>
      </c>
      <c r="D560" s="52">
        <f t="shared" si="109"/>
        <v>2200</v>
      </c>
      <c r="E560" s="52">
        <f t="shared" si="110"/>
        <v>1</v>
      </c>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52"/>
      <c r="AD560" s="52"/>
      <c r="AE560" s="52"/>
      <c r="AF560" s="52"/>
      <c r="AG560" s="52"/>
      <c r="AH560" s="52"/>
      <c r="AI560" s="52"/>
      <c r="AJ560" s="52"/>
      <c r="AK560" s="52"/>
      <c r="AL560" s="52"/>
      <c r="AM560" s="52"/>
      <c r="AN560" s="52"/>
    </row>
    <row r="561" spans="1:40" x14ac:dyDescent="0.3">
      <c r="A561" s="52">
        <v>556</v>
      </c>
      <c r="B561" s="52">
        <f>-bthan*500+(5+0.5)*bthan*1000/50</f>
        <v>-2145</v>
      </c>
      <c r="C561" s="52">
        <f t="shared" si="112"/>
        <v>-570</v>
      </c>
      <c r="D561" s="52">
        <f t="shared" si="109"/>
        <v>2200</v>
      </c>
      <c r="E561" s="52">
        <f t="shared" si="110"/>
        <v>1</v>
      </c>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52"/>
      <c r="AD561" s="52"/>
      <c r="AE561" s="52"/>
      <c r="AF561" s="52"/>
      <c r="AG561" s="52"/>
      <c r="AH561" s="52"/>
      <c r="AI561" s="52"/>
      <c r="AJ561" s="52"/>
      <c r="AK561" s="52"/>
      <c r="AL561" s="52"/>
      <c r="AM561" s="52"/>
      <c r="AN561" s="52"/>
    </row>
    <row r="562" spans="1:40" x14ac:dyDescent="0.3">
      <c r="A562" s="52">
        <v>557</v>
      </c>
      <c r="B562" s="52">
        <f>-bthan*500+(6+0.5)*bthan*1000/50</f>
        <v>-2035</v>
      </c>
      <c r="C562" s="52">
        <f t="shared" si="112"/>
        <v>-570</v>
      </c>
      <c r="D562" s="52">
        <f t="shared" si="109"/>
        <v>2200</v>
      </c>
      <c r="E562" s="52">
        <f t="shared" si="110"/>
        <v>1</v>
      </c>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52"/>
      <c r="AD562" s="52"/>
      <c r="AE562" s="52"/>
      <c r="AF562" s="52"/>
      <c r="AG562" s="52"/>
      <c r="AH562" s="52"/>
      <c r="AI562" s="52"/>
      <c r="AJ562" s="52"/>
      <c r="AK562" s="52"/>
      <c r="AL562" s="52"/>
      <c r="AM562" s="52"/>
      <c r="AN562" s="52"/>
    </row>
    <row r="563" spans="1:40" x14ac:dyDescent="0.3">
      <c r="A563" s="52">
        <v>558</v>
      </c>
      <c r="B563" s="52">
        <f>-bthan*500+(7+0.5)*bthan*1000/50</f>
        <v>-1925</v>
      </c>
      <c r="C563" s="52">
        <f t="shared" si="112"/>
        <v>-570</v>
      </c>
      <c r="D563" s="52">
        <f t="shared" si="109"/>
        <v>2200</v>
      </c>
      <c r="E563" s="52">
        <f t="shared" si="110"/>
        <v>1</v>
      </c>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52"/>
      <c r="AD563" s="52"/>
      <c r="AE563" s="52"/>
      <c r="AF563" s="52"/>
      <c r="AG563" s="52"/>
      <c r="AH563" s="52"/>
      <c r="AI563" s="52"/>
      <c r="AJ563" s="52"/>
      <c r="AK563" s="52"/>
      <c r="AL563" s="52"/>
      <c r="AM563" s="52"/>
      <c r="AN563" s="52"/>
    </row>
    <row r="564" spans="1:40" x14ac:dyDescent="0.3">
      <c r="A564" s="52">
        <v>559</v>
      </c>
      <c r="B564" s="52">
        <f>-bthan*500+(8+0.5)*bthan*1000/50</f>
        <v>-1815</v>
      </c>
      <c r="C564" s="52">
        <f t="shared" si="112"/>
        <v>-570</v>
      </c>
      <c r="D564" s="52">
        <f t="shared" si="109"/>
        <v>2200</v>
      </c>
      <c r="E564" s="52">
        <f t="shared" si="110"/>
        <v>1</v>
      </c>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52"/>
      <c r="AD564" s="52"/>
      <c r="AE564" s="52"/>
      <c r="AF564" s="52"/>
      <c r="AG564" s="52"/>
      <c r="AH564" s="52"/>
      <c r="AI564" s="52"/>
      <c r="AJ564" s="52"/>
      <c r="AK564" s="52"/>
      <c r="AL564" s="52"/>
      <c r="AM564" s="52"/>
      <c r="AN564" s="52"/>
    </row>
    <row r="565" spans="1:40" x14ac:dyDescent="0.3">
      <c r="A565" s="52">
        <v>560</v>
      </c>
      <c r="B565" s="52">
        <f>-bthan*500+(9+0.5)*bthan*1000/50</f>
        <v>-1705</v>
      </c>
      <c r="C565" s="52">
        <f t="shared" si="112"/>
        <v>-570</v>
      </c>
      <c r="D565" s="52">
        <f t="shared" si="109"/>
        <v>2200</v>
      </c>
      <c r="E565" s="52">
        <f t="shared" si="110"/>
        <v>1</v>
      </c>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52"/>
      <c r="AD565" s="52"/>
      <c r="AE565" s="52"/>
      <c r="AF565" s="52"/>
      <c r="AG565" s="52"/>
      <c r="AH565" s="52"/>
      <c r="AI565" s="52"/>
      <c r="AJ565" s="52"/>
      <c r="AK565" s="52"/>
      <c r="AL565" s="52"/>
      <c r="AM565" s="52"/>
      <c r="AN565" s="52"/>
    </row>
    <row r="566" spans="1:40" x14ac:dyDescent="0.3">
      <c r="A566" s="52">
        <v>561</v>
      </c>
      <c r="B566" s="52">
        <f>-bthan*500+(10+0.5)*bthan*1000/50</f>
        <v>-1595</v>
      </c>
      <c r="C566" s="52">
        <f t="shared" si="112"/>
        <v>-570</v>
      </c>
      <c r="D566" s="52">
        <f t="shared" si="109"/>
        <v>2200</v>
      </c>
      <c r="E566" s="52">
        <f t="shared" si="110"/>
        <v>1</v>
      </c>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52"/>
      <c r="AD566" s="52"/>
      <c r="AE566" s="52"/>
      <c r="AF566" s="52"/>
      <c r="AG566" s="52"/>
      <c r="AH566" s="52"/>
      <c r="AI566" s="52"/>
      <c r="AJ566" s="52"/>
      <c r="AK566" s="52"/>
      <c r="AL566" s="52"/>
      <c r="AM566" s="52"/>
      <c r="AN566" s="52"/>
    </row>
    <row r="567" spans="1:40" x14ac:dyDescent="0.3">
      <c r="A567" s="52">
        <v>562</v>
      </c>
      <c r="B567" s="52">
        <f>-bthan*500+(11+0.5)*bthan*1000/50</f>
        <v>-1485</v>
      </c>
      <c r="C567" s="52">
        <f t="shared" si="112"/>
        <v>-570</v>
      </c>
      <c r="D567" s="52">
        <f t="shared" si="109"/>
        <v>2200</v>
      </c>
      <c r="E567" s="52">
        <f t="shared" si="110"/>
        <v>1</v>
      </c>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52"/>
      <c r="AD567" s="52"/>
      <c r="AE567" s="52"/>
      <c r="AF567" s="52"/>
      <c r="AG567" s="52"/>
      <c r="AH567" s="52"/>
      <c r="AI567" s="52"/>
      <c r="AJ567" s="52"/>
      <c r="AK567" s="52"/>
      <c r="AL567" s="52"/>
      <c r="AM567" s="52"/>
      <c r="AN567" s="52"/>
    </row>
    <row r="568" spans="1:40" x14ac:dyDescent="0.3">
      <c r="A568" s="52">
        <v>563</v>
      </c>
      <c r="B568" s="52">
        <f>-bthan*500+(12+0.5)*bthan*1000/50</f>
        <v>-1375</v>
      </c>
      <c r="C568" s="52">
        <f t="shared" si="112"/>
        <v>-570</v>
      </c>
      <c r="D568" s="52">
        <f t="shared" si="109"/>
        <v>2200</v>
      </c>
      <c r="E568" s="52">
        <f t="shared" si="110"/>
        <v>1</v>
      </c>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52"/>
      <c r="AD568" s="52"/>
      <c r="AE568" s="52"/>
      <c r="AF568" s="52"/>
      <c r="AG568" s="52"/>
      <c r="AH568" s="52"/>
      <c r="AI568" s="52"/>
      <c r="AJ568" s="52"/>
      <c r="AK568" s="52"/>
      <c r="AL568" s="52"/>
      <c r="AM568" s="52"/>
      <c r="AN568" s="52"/>
    </row>
    <row r="569" spans="1:40" x14ac:dyDescent="0.3">
      <c r="A569" s="52">
        <v>564</v>
      </c>
      <c r="B569" s="52">
        <f>-bthan*500+(13+0.5)*bthan*1000/50</f>
        <v>-1265</v>
      </c>
      <c r="C569" s="52">
        <f t="shared" si="112"/>
        <v>-570</v>
      </c>
      <c r="D569" s="52">
        <f t="shared" si="109"/>
        <v>2200</v>
      </c>
      <c r="E569" s="52">
        <f t="shared" si="110"/>
        <v>1</v>
      </c>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52"/>
      <c r="AD569" s="52"/>
      <c r="AE569" s="52"/>
      <c r="AF569" s="52"/>
      <c r="AG569" s="52"/>
      <c r="AH569" s="52"/>
      <c r="AI569" s="52"/>
      <c r="AJ569" s="52"/>
      <c r="AK569" s="52"/>
      <c r="AL569" s="52"/>
      <c r="AM569" s="52"/>
      <c r="AN569" s="52"/>
    </row>
    <row r="570" spans="1:40" x14ac:dyDescent="0.3">
      <c r="A570" s="52">
        <v>565</v>
      </c>
      <c r="B570" s="52">
        <f>-bthan*500+(14+0.5)*bthan*1000/50</f>
        <v>-1155</v>
      </c>
      <c r="C570" s="52">
        <f t="shared" si="112"/>
        <v>-570</v>
      </c>
      <c r="D570" s="52">
        <f t="shared" si="109"/>
        <v>2200</v>
      </c>
      <c r="E570" s="52">
        <f t="shared" si="110"/>
        <v>1</v>
      </c>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52"/>
      <c r="AD570" s="52"/>
      <c r="AE570" s="52"/>
      <c r="AF570" s="52"/>
      <c r="AG570" s="52"/>
      <c r="AH570" s="52"/>
      <c r="AI570" s="52"/>
      <c r="AJ570" s="52"/>
      <c r="AK570" s="52"/>
      <c r="AL570" s="52"/>
      <c r="AM570" s="52"/>
      <c r="AN570" s="52"/>
    </row>
    <row r="571" spans="1:40" x14ac:dyDescent="0.3">
      <c r="A571" s="52">
        <v>566</v>
      </c>
      <c r="B571" s="52">
        <f>-bthan*500+(15+0.5)*bthan*1000/50</f>
        <v>-1045</v>
      </c>
      <c r="C571" s="52">
        <f t="shared" si="112"/>
        <v>-570</v>
      </c>
      <c r="D571" s="52">
        <f t="shared" si="109"/>
        <v>2200</v>
      </c>
      <c r="E571" s="52">
        <f t="shared" si="110"/>
        <v>1</v>
      </c>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52"/>
      <c r="AD571" s="52"/>
      <c r="AE571" s="52"/>
      <c r="AF571" s="52"/>
      <c r="AG571" s="52"/>
      <c r="AH571" s="52"/>
      <c r="AI571" s="52"/>
      <c r="AJ571" s="52"/>
      <c r="AK571" s="52"/>
      <c r="AL571" s="52"/>
      <c r="AM571" s="52"/>
      <c r="AN571" s="52"/>
    </row>
    <row r="572" spans="1:40" x14ac:dyDescent="0.3">
      <c r="A572" s="52">
        <v>567</v>
      </c>
      <c r="B572" s="52">
        <f>-bthan*500+(16+0.5)*bthan*1000/50</f>
        <v>-935</v>
      </c>
      <c r="C572" s="52">
        <f t="shared" si="112"/>
        <v>-570</v>
      </c>
      <c r="D572" s="52">
        <f t="shared" si="109"/>
        <v>2200</v>
      </c>
      <c r="E572" s="52">
        <f t="shared" si="110"/>
        <v>1</v>
      </c>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52"/>
      <c r="AD572" s="52"/>
      <c r="AE572" s="52"/>
      <c r="AF572" s="52"/>
      <c r="AG572" s="52"/>
      <c r="AH572" s="52"/>
      <c r="AI572" s="52"/>
      <c r="AJ572" s="52"/>
      <c r="AK572" s="52"/>
      <c r="AL572" s="52"/>
      <c r="AM572" s="52"/>
      <c r="AN572" s="52"/>
    </row>
    <row r="573" spans="1:40" x14ac:dyDescent="0.3">
      <c r="A573" s="52">
        <v>568</v>
      </c>
      <c r="B573" s="52">
        <f>-bthan*500+(17+0.5)*bthan*1000/50</f>
        <v>-825</v>
      </c>
      <c r="C573" s="52">
        <f t="shared" si="112"/>
        <v>-570</v>
      </c>
      <c r="D573" s="52">
        <f t="shared" si="109"/>
        <v>2200</v>
      </c>
      <c r="E573" s="52">
        <f t="shared" si="110"/>
        <v>1</v>
      </c>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52"/>
      <c r="AD573" s="52"/>
      <c r="AE573" s="52"/>
      <c r="AF573" s="52"/>
      <c r="AG573" s="52"/>
      <c r="AH573" s="52"/>
      <c r="AI573" s="52"/>
      <c r="AJ573" s="52"/>
      <c r="AK573" s="52"/>
      <c r="AL573" s="52"/>
      <c r="AM573" s="52"/>
      <c r="AN573" s="52"/>
    </row>
    <row r="574" spans="1:40" x14ac:dyDescent="0.3">
      <c r="A574" s="52">
        <v>569</v>
      </c>
      <c r="B574" s="52">
        <f>-bthan*500+(18+0.5)*bthan*1000/50</f>
        <v>-715</v>
      </c>
      <c r="C574" s="52">
        <f t="shared" si="112"/>
        <v>-570</v>
      </c>
      <c r="D574" s="52">
        <f t="shared" si="109"/>
        <v>2200</v>
      </c>
      <c r="E574" s="52">
        <f t="shared" si="110"/>
        <v>1</v>
      </c>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52"/>
      <c r="AD574" s="52"/>
      <c r="AE574" s="52"/>
      <c r="AF574" s="52"/>
      <c r="AG574" s="52"/>
      <c r="AH574" s="52"/>
      <c r="AI574" s="52"/>
      <c r="AJ574" s="52"/>
      <c r="AK574" s="52"/>
      <c r="AL574" s="52"/>
      <c r="AM574" s="52"/>
      <c r="AN574" s="52"/>
    </row>
    <row r="575" spans="1:40" x14ac:dyDescent="0.3">
      <c r="A575" s="52">
        <v>570</v>
      </c>
      <c r="B575" s="52">
        <f>-bthan*500+(19+0.5)*bthan*1000/50</f>
        <v>-605</v>
      </c>
      <c r="C575" s="52">
        <f t="shared" si="112"/>
        <v>-570</v>
      </c>
      <c r="D575" s="52">
        <f t="shared" si="109"/>
        <v>2200</v>
      </c>
      <c r="E575" s="52">
        <f t="shared" si="110"/>
        <v>1</v>
      </c>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52"/>
      <c r="AD575" s="52"/>
      <c r="AE575" s="52"/>
      <c r="AF575" s="52"/>
      <c r="AG575" s="52"/>
      <c r="AH575" s="52"/>
      <c r="AI575" s="52"/>
      <c r="AJ575" s="52"/>
      <c r="AK575" s="52"/>
      <c r="AL575" s="52"/>
      <c r="AM575" s="52"/>
      <c r="AN575" s="52"/>
    </row>
    <row r="576" spans="1:40" x14ac:dyDescent="0.3">
      <c r="A576" s="52">
        <v>571</v>
      </c>
      <c r="B576" s="52">
        <f>-bthan*500+(20+0.5)*bthan*1000/50</f>
        <v>-495</v>
      </c>
      <c r="C576" s="52">
        <f t="shared" si="112"/>
        <v>-570</v>
      </c>
      <c r="D576" s="52">
        <f t="shared" si="109"/>
        <v>2200</v>
      </c>
      <c r="E576" s="52">
        <f t="shared" si="110"/>
        <v>1</v>
      </c>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52"/>
      <c r="AD576" s="52"/>
      <c r="AE576" s="52"/>
      <c r="AF576" s="52"/>
      <c r="AG576" s="52"/>
      <c r="AH576" s="52"/>
      <c r="AI576" s="52"/>
      <c r="AJ576" s="52"/>
      <c r="AK576" s="52"/>
      <c r="AL576" s="52"/>
      <c r="AM576" s="52"/>
      <c r="AN576" s="52"/>
    </row>
    <row r="577" spans="1:40" x14ac:dyDescent="0.3">
      <c r="A577" s="52">
        <v>572</v>
      </c>
      <c r="B577" s="52">
        <f>-bthan*500+(21+0.5)*bthan*1000/50</f>
        <v>-385</v>
      </c>
      <c r="C577" s="52">
        <f t="shared" si="112"/>
        <v>-570</v>
      </c>
      <c r="D577" s="52">
        <f t="shared" si="109"/>
        <v>2200</v>
      </c>
      <c r="E577" s="52">
        <f t="shared" si="110"/>
        <v>1</v>
      </c>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52"/>
      <c r="AD577" s="52"/>
      <c r="AE577" s="52"/>
      <c r="AF577" s="52"/>
      <c r="AG577" s="52"/>
      <c r="AH577" s="52"/>
      <c r="AI577" s="52"/>
      <c r="AJ577" s="52"/>
      <c r="AK577" s="52"/>
      <c r="AL577" s="52"/>
      <c r="AM577" s="52"/>
      <c r="AN577" s="52"/>
    </row>
    <row r="578" spans="1:40" x14ac:dyDescent="0.3">
      <c r="A578" s="52">
        <v>573</v>
      </c>
      <c r="B578" s="52">
        <f>-bthan*500+(22+0.5)*bthan*1000/50</f>
        <v>-275</v>
      </c>
      <c r="C578" s="52">
        <f t="shared" si="112"/>
        <v>-570</v>
      </c>
      <c r="D578" s="52">
        <f t="shared" si="109"/>
        <v>2200</v>
      </c>
      <c r="E578" s="52">
        <f t="shared" si="110"/>
        <v>1</v>
      </c>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52"/>
      <c r="AD578" s="52"/>
      <c r="AE578" s="52"/>
      <c r="AF578" s="52"/>
      <c r="AG578" s="52"/>
      <c r="AH578" s="52"/>
      <c r="AI578" s="52"/>
      <c r="AJ578" s="52"/>
      <c r="AK578" s="52"/>
      <c r="AL578" s="52"/>
      <c r="AM578" s="52"/>
      <c r="AN578" s="52"/>
    </row>
    <row r="579" spans="1:40" x14ac:dyDescent="0.3">
      <c r="A579" s="52">
        <v>574</v>
      </c>
      <c r="B579" s="52">
        <f>-bthan*500+(23+0.5)*bthan*1000/50</f>
        <v>-165</v>
      </c>
      <c r="C579" s="52">
        <f t="shared" si="112"/>
        <v>-570</v>
      </c>
      <c r="D579" s="52">
        <f t="shared" si="109"/>
        <v>2200</v>
      </c>
      <c r="E579" s="52">
        <f t="shared" si="110"/>
        <v>1</v>
      </c>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52"/>
      <c r="AD579" s="52"/>
      <c r="AE579" s="52"/>
      <c r="AF579" s="52"/>
      <c r="AG579" s="52"/>
      <c r="AH579" s="52"/>
      <c r="AI579" s="52"/>
      <c r="AJ579" s="52"/>
      <c r="AK579" s="52"/>
      <c r="AL579" s="52"/>
      <c r="AM579" s="52"/>
      <c r="AN579" s="52"/>
    </row>
    <row r="580" spans="1:40" x14ac:dyDescent="0.3">
      <c r="A580" s="52">
        <v>575</v>
      </c>
      <c r="B580" s="52">
        <f>-bthan*500+(24+0.5)*bthan*1000/50</f>
        <v>-55</v>
      </c>
      <c r="C580" s="52">
        <f t="shared" si="112"/>
        <v>-570</v>
      </c>
      <c r="D580" s="52">
        <f t="shared" si="109"/>
        <v>2200</v>
      </c>
      <c r="E580" s="52">
        <f t="shared" si="110"/>
        <v>1</v>
      </c>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52"/>
      <c r="AD580" s="52"/>
      <c r="AE580" s="52"/>
      <c r="AF580" s="52"/>
      <c r="AG580" s="52"/>
      <c r="AH580" s="52"/>
      <c r="AI580" s="52"/>
      <c r="AJ580" s="52"/>
      <c r="AK580" s="52"/>
      <c r="AL580" s="52"/>
      <c r="AM580" s="52"/>
      <c r="AN580" s="52"/>
    </row>
    <row r="581" spans="1:40" x14ac:dyDescent="0.3">
      <c r="A581" s="52">
        <v>576</v>
      </c>
      <c r="B581" s="52">
        <f>-bthan*500+(25+0.5)*bthan*1000/50</f>
        <v>55</v>
      </c>
      <c r="C581" s="52">
        <f t="shared" si="112"/>
        <v>-570</v>
      </c>
      <c r="D581" s="52">
        <f t="shared" si="109"/>
        <v>2200</v>
      </c>
      <c r="E581" s="52">
        <f t="shared" si="110"/>
        <v>1</v>
      </c>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52"/>
      <c r="AD581" s="52"/>
      <c r="AE581" s="52"/>
      <c r="AF581" s="52"/>
      <c r="AG581" s="52"/>
      <c r="AH581" s="52"/>
      <c r="AI581" s="52"/>
      <c r="AJ581" s="52"/>
      <c r="AK581" s="52"/>
      <c r="AL581" s="52"/>
      <c r="AM581" s="52"/>
      <c r="AN581" s="52"/>
    </row>
    <row r="582" spans="1:40" x14ac:dyDescent="0.3">
      <c r="A582" s="52">
        <v>577</v>
      </c>
      <c r="B582" s="52">
        <f>-bthan*500+(26+0.5)*bthan*1000/50</f>
        <v>165</v>
      </c>
      <c r="C582" s="52">
        <f t="shared" si="112"/>
        <v>-570</v>
      </c>
      <c r="D582" s="52">
        <f t="shared" ref="D582:D645" si="113">bthan*1000/50*hthan*1000/80</f>
        <v>2200</v>
      </c>
      <c r="E582" s="52">
        <f t="shared" ref="E582:E645" si="114">IF(shp=1,--(OR(ABS(B582)&lt;=MAX(0,(bthan-hthan)*500),(ABS(B582)-MAX(0,(bthan-hthan)*500))^2+C582^2&lt;=(hthan*500)^2)),--(AND(ABS(B582)&lt;=bthan*500,ABS(C582)&lt;=hthan*500,OR(ABS(B582)&lt;=bthan*500-cch*1000,ABS(C582)&lt;=hthan*500-cch*1000,(bthan*500-ABS(B582))+(hthan*500-ABS(C582))&gt;=cch*1000))))</f>
        <v>1</v>
      </c>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52"/>
      <c r="AD582" s="52"/>
      <c r="AE582" s="52"/>
      <c r="AF582" s="52"/>
      <c r="AG582" s="52"/>
      <c r="AH582" s="52"/>
      <c r="AI582" s="52"/>
      <c r="AJ582" s="52"/>
      <c r="AK582" s="52"/>
      <c r="AL582" s="52"/>
      <c r="AM582" s="52"/>
      <c r="AN582" s="52"/>
    </row>
    <row r="583" spans="1:40" x14ac:dyDescent="0.3">
      <c r="A583" s="52">
        <v>578</v>
      </c>
      <c r="B583" s="52">
        <f>-bthan*500+(27+0.5)*bthan*1000/50</f>
        <v>275</v>
      </c>
      <c r="C583" s="52">
        <f t="shared" si="112"/>
        <v>-570</v>
      </c>
      <c r="D583" s="52">
        <f t="shared" si="113"/>
        <v>2200</v>
      </c>
      <c r="E583" s="52">
        <f t="shared" si="114"/>
        <v>1</v>
      </c>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52"/>
      <c r="AD583" s="52"/>
      <c r="AE583" s="52"/>
      <c r="AF583" s="52"/>
      <c r="AG583" s="52"/>
      <c r="AH583" s="52"/>
      <c r="AI583" s="52"/>
      <c r="AJ583" s="52"/>
      <c r="AK583" s="52"/>
      <c r="AL583" s="52"/>
      <c r="AM583" s="52"/>
      <c r="AN583" s="52"/>
    </row>
    <row r="584" spans="1:40" x14ac:dyDescent="0.3">
      <c r="A584" s="52">
        <v>579</v>
      </c>
      <c r="B584" s="52">
        <f>-bthan*500+(28+0.5)*bthan*1000/50</f>
        <v>385</v>
      </c>
      <c r="C584" s="52">
        <f t="shared" si="112"/>
        <v>-570</v>
      </c>
      <c r="D584" s="52">
        <f t="shared" si="113"/>
        <v>2200</v>
      </c>
      <c r="E584" s="52">
        <f t="shared" si="114"/>
        <v>1</v>
      </c>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52"/>
      <c r="AD584" s="52"/>
      <c r="AE584" s="52"/>
      <c r="AF584" s="52"/>
      <c r="AG584" s="52"/>
      <c r="AH584" s="52"/>
      <c r="AI584" s="52"/>
      <c r="AJ584" s="52"/>
      <c r="AK584" s="52"/>
      <c r="AL584" s="52"/>
      <c r="AM584" s="52"/>
      <c r="AN584" s="52"/>
    </row>
    <row r="585" spans="1:40" x14ac:dyDescent="0.3">
      <c r="A585" s="52">
        <v>580</v>
      </c>
      <c r="B585" s="52">
        <f>-bthan*500+(29+0.5)*bthan*1000/50</f>
        <v>495</v>
      </c>
      <c r="C585" s="52">
        <f t="shared" si="112"/>
        <v>-570</v>
      </c>
      <c r="D585" s="52">
        <f t="shared" si="113"/>
        <v>2200</v>
      </c>
      <c r="E585" s="52">
        <f t="shared" si="114"/>
        <v>1</v>
      </c>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52"/>
      <c r="AD585" s="52"/>
      <c r="AE585" s="52"/>
      <c r="AF585" s="52"/>
      <c r="AG585" s="52"/>
      <c r="AH585" s="52"/>
      <c r="AI585" s="52"/>
      <c r="AJ585" s="52"/>
      <c r="AK585" s="52"/>
      <c r="AL585" s="52"/>
      <c r="AM585" s="52"/>
      <c r="AN585" s="52"/>
    </row>
    <row r="586" spans="1:40" x14ac:dyDescent="0.3">
      <c r="A586" s="52">
        <v>581</v>
      </c>
      <c r="B586" s="52">
        <f>-bthan*500+(30+0.5)*bthan*1000/50</f>
        <v>605</v>
      </c>
      <c r="C586" s="52">
        <f t="shared" si="112"/>
        <v>-570</v>
      </c>
      <c r="D586" s="52">
        <f t="shared" si="113"/>
        <v>2200</v>
      </c>
      <c r="E586" s="52">
        <f t="shared" si="114"/>
        <v>1</v>
      </c>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52"/>
      <c r="AD586" s="52"/>
      <c r="AE586" s="52"/>
      <c r="AF586" s="52"/>
      <c r="AG586" s="52"/>
      <c r="AH586" s="52"/>
      <c r="AI586" s="52"/>
      <c r="AJ586" s="52"/>
      <c r="AK586" s="52"/>
      <c r="AL586" s="52"/>
      <c r="AM586" s="52"/>
      <c r="AN586" s="52"/>
    </row>
    <row r="587" spans="1:40" x14ac:dyDescent="0.3">
      <c r="A587" s="52">
        <v>582</v>
      </c>
      <c r="B587" s="52">
        <f>-bthan*500+(31+0.5)*bthan*1000/50</f>
        <v>715</v>
      </c>
      <c r="C587" s="52">
        <f t="shared" si="112"/>
        <v>-570</v>
      </c>
      <c r="D587" s="52">
        <f t="shared" si="113"/>
        <v>2200</v>
      </c>
      <c r="E587" s="52">
        <f t="shared" si="114"/>
        <v>1</v>
      </c>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52"/>
      <c r="AD587" s="52"/>
      <c r="AE587" s="52"/>
      <c r="AF587" s="52"/>
      <c r="AG587" s="52"/>
      <c r="AH587" s="52"/>
      <c r="AI587" s="52"/>
      <c r="AJ587" s="52"/>
      <c r="AK587" s="52"/>
      <c r="AL587" s="52"/>
      <c r="AM587" s="52"/>
      <c r="AN587" s="52"/>
    </row>
    <row r="588" spans="1:40" x14ac:dyDescent="0.3">
      <c r="A588" s="52">
        <v>583</v>
      </c>
      <c r="B588" s="52">
        <f>-bthan*500+(32+0.5)*bthan*1000/50</f>
        <v>825</v>
      </c>
      <c r="C588" s="52">
        <f t="shared" ref="C588:C605" si="115">-hthan*500+(11+0.5)*hthan*1000/80</f>
        <v>-570</v>
      </c>
      <c r="D588" s="52">
        <f t="shared" si="113"/>
        <v>2200</v>
      </c>
      <c r="E588" s="52">
        <f t="shared" si="114"/>
        <v>1</v>
      </c>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52"/>
      <c r="AD588" s="52"/>
      <c r="AE588" s="52"/>
      <c r="AF588" s="52"/>
      <c r="AG588" s="52"/>
      <c r="AH588" s="52"/>
      <c r="AI588" s="52"/>
      <c r="AJ588" s="52"/>
      <c r="AK588" s="52"/>
      <c r="AL588" s="52"/>
      <c r="AM588" s="52"/>
      <c r="AN588" s="52"/>
    </row>
    <row r="589" spans="1:40" x14ac:dyDescent="0.3">
      <c r="A589" s="52">
        <v>584</v>
      </c>
      <c r="B589" s="52">
        <f>-bthan*500+(33+0.5)*bthan*1000/50</f>
        <v>935</v>
      </c>
      <c r="C589" s="52">
        <f t="shared" si="115"/>
        <v>-570</v>
      </c>
      <c r="D589" s="52">
        <f t="shared" si="113"/>
        <v>2200</v>
      </c>
      <c r="E589" s="52">
        <f t="shared" si="114"/>
        <v>1</v>
      </c>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52"/>
      <c r="AD589" s="52"/>
      <c r="AE589" s="52"/>
      <c r="AF589" s="52"/>
      <c r="AG589" s="52"/>
      <c r="AH589" s="52"/>
      <c r="AI589" s="52"/>
      <c r="AJ589" s="52"/>
      <c r="AK589" s="52"/>
      <c r="AL589" s="52"/>
      <c r="AM589" s="52"/>
      <c r="AN589" s="52"/>
    </row>
    <row r="590" spans="1:40" x14ac:dyDescent="0.3">
      <c r="A590" s="52">
        <v>585</v>
      </c>
      <c r="B590" s="52">
        <f>-bthan*500+(34+0.5)*bthan*1000/50</f>
        <v>1045</v>
      </c>
      <c r="C590" s="52">
        <f t="shared" si="115"/>
        <v>-570</v>
      </c>
      <c r="D590" s="52">
        <f t="shared" si="113"/>
        <v>2200</v>
      </c>
      <c r="E590" s="52">
        <f t="shared" si="114"/>
        <v>1</v>
      </c>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52"/>
      <c r="AD590" s="52"/>
      <c r="AE590" s="52"/>
      <c r="AF590" s="52"/>
      <c r="AG590" s="52"/>
      <c r="AH590" s="52"/>
      <c r="AI590" s="52"/>
      <c r="AJ590" s="52"/>
      <c r="AK590" s="52"/>
      <c r="AL590" s="52"/>
      <c r="AM590" s="52"/>
      <c r="AN590" s="52"/>
    </row>
    <row r="591" spans="1:40" x14ac:dyDescent="0.3">
      <c r="A591" s="52">
        <v>586</v>
      </c>
      <c r="B591" s="52">
        <f>-bthan*500+(35+0.5)*bthan*1000/50</f>
        <v>1155</v>
      </c>
      <c r="C591" s="52">
        <f t="shared" si="115"/>
        <v>-570</v>
      </c>
      <c r="D591" s="52">
        <f t="shared" si="113"/>
        <v>2200</v>
      </c>
      <c r="E591" s="52">
        <f t="shared" si="114"/>
        <v>1</v>
      </c>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52"/>
      <c r="AD591" s="52"/>
      <c r="AE591" s="52"/>
      <c r="AF591" s="52"/>
      <c r="AG591" s="52"/>
      <c r="AH591" s="52"/>
      <c r="AI591" s="52"/>
      <c r="AJ591" s="52"/>
      <c r="AK591" s="52"/>
      <c r="AL591" s="52"/>
      <c r="AM591" s="52"/>
      <c r="AN591" s="52"/>
    </row>
    <row r="592" spans="1:40" x14ac:dyDescent="0.3">
      <c r="A592" s="52">
        <v>587</v>
      </c>
      <c r="B592" s="52">
        <f>-bthan*500+(36+0.5)*bthan*1000/50</f>
        <v>1265</v>
      </c>
      <c r="C592" s="52">
        <f t="shared" si="115"/>
        <v>-570</v>
      </c>
      <c r="D592" s="52">
        <f t="shared" si="113"/>
        <v>2200</v>
      </c>
      <c r="E592" s="52">
        <f t="shared" si="114"/>
        <v>1</v>
      </c>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52"/>
      <c r="AD592" s="52"/>
      <c r="AE592" s="52"/>
      <c r="AF592" s="52"/>
      <c r="AG592" s="52"/>
      <c r="AH592" s="52"/>
      <c r="AI592" s="52"/>
      <c r="AJ592" s="52"/>
      <c r="AK592" s="52"/>
      <c r="AL592" s="52"/>
      <c r="AM592" s="52"/>
      <c r="AN592" s="52"/>
    </row>
    <row r="593" spans="1:40" x14ac:dyDescent="0.3">
      <c r="A593" s="52">
        <v>588</v>
      </c>
      <c r="B593" s="52">
        <f>-bthan*500+(37+0.5)*bthan*1000/50</f>
        <v>1375</v>
      </c>
      <c r="C593" s="52">
        <f t="shared" si="115"/>
        <v>-570</v>
      </c>
      <c r="D593" s="52">
        <f t="shared" si="113"/>
        <v>2200</v>
      </c>
      <c r="E593" s="52">
        <f t="shared" si="114"/>
        <v>1</v>
      </c>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52"/>
      <c r="AD593" s="52"/>
      <c r="AE593" s="52"/>
      <c r="AF593" s="52"/>
      <c r="AG593" s="52"/>
      <c r="AH593" s="52"/>
      <c r="AI593" s="52"/>
      <c r="AJ593" s="52"/>
      <c r="AK593" s="52"/>
      <c r="AL593" s="52"/>
      <c r="AM593" s="52"/>
      <c r="AN593" s="52"/>
    </row>
    <row r="594" spans="1:40" x14ac:dyDescent="0.3">
      <c r="A594" s="52">
        <v>589</v>
      </c>
      <c r="B594" s="52">
        <f>-bthan*500+(38+0.5)*bthan*1000/50</f>
        <v>1485</v>
      </c>
      <c r="C594" s="52">
        <f t="shared" si="115"/>
        <v>-570</v>
      </c>
      <c r="D594" s="52">
        <f t="shared" si="113"/>
        <v>2200</v>
      </c>
      <c r="E594" s="52">
        <f t="shared" si="114"/>
        <v>1</v>
      </c>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52"/>
      <c r="AD594" s="52"/>
      <c r="AE594" s="52"/>
      <c r="AF594" s="52"/>
      <c r="AG594" s="52"/>
      <c r="AH594" s="52"/>
      <c r="AI594" s="52"/>
      <c r="AJ594" s="52"/>
      <c r="AK594" s="52"/>
      <c r="AL594" s="52"/>
      <c r="AM594" s="52"/>
      <c r="AN594" s="52"/>
    </row>
    <row r="595" spans="1:40" x14ac:dyDescent="0.3">
      <c r="A595" s="52">
        <v>590</v>
      </c>
      <c r="B595" s="52">
        <f>-bthan*500+(39+0.5)*bthan*1000/50</f>
        <v>1595</v>
      </c>
      <c r="C595" s="52">
        <f t="shared" si="115"/>
        <v>-570</v>
      </c>
      <c r="D595" s="52">
        <f t="shared" si="113"/>
        <v>2200</v>
      </c>
      <c r="E595" s="52">
        <f t="shared" si="114"/>
        <v>1</v>
      </c>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52"/>
      <c r="AD595" s="52"/>
      <c r="AE595" s="52"/>
      <c r="AF595" s="52"/>
      <c r="AG595" s="52"/>
      <c r="AH595" s="52"/>
      <c r="AI595" s="52"/>
      <c r="AJ595" s="52"/>
      <c r="AK595" s="52"/>
      <c r="AL595" s="52"/>
      <c r="AM595" s="52"/>
      <c r="AN595" s="52"/>
    </row>
    <row r="596" spans="1:40" x14ac:dyDescent="0.3">
      <c r="A596" s="52">
        <v>591</v>
      </c>
      <c r="B596" s="52">
        <f>-bthan*500+(40+0.5)*bthan*1000/50</f>
        <v>1705</v>
      </c>
      <c r="C596" s="52">
        <f t="shared" si="115"/>
        <v>-570</v>
      </c>
      <c r="D596" s="52">
        <f t="shared" si="113"/>
        <v>2200</v>
      </c>
      <c r="E596" s="52">
        <f t="shared" si="114"/>
        <v>1</v>
      </c>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52"/>
      <c r="AD596" s="52"/>
      <c r="AE596" s="52"/>
      <c r="AF596" s="52"/>
      <c r="AG596" s="52"/>
      <c r="AH596" s="52"/>
      <c r="AI596" s="52"/>
      <c r="AJ596" s="52"/>
      <c r="AK596" s="52"/>
      <c r="AL596" s="52"/>
      <c r="AM596" s="52"/>
      <c r="AN596" s="52"/>
    </row>
    <row r="597" spans="1:40" x14ac:dyDescent="0.3">
      <c r="A597" s="52">
        <v>592</v>
      </c>
      <c r="B597" s="52">
        <f>-bthan*500+(41+0.5)*bthan*1000/50</f>
        <v>1815</v>
      </c>
      <c r="C597" s="52">
        <f t="shared" si="115"/>
        <v>-570</v>
      </c>
      <c r="D597" s="52">
        <f t="shared" si="113"/>
        <v>2200</v>
      </c>
      <c r="E597" s="52">
        <f t="shared" si="114"/>
        <v>1</v>
      </c>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52"/>
      <c r="AD597" s="52"/>
      <c r="AE597" s="52"/>
      <c r="AF597" s="52"/>
      <c r="AG597" s="52"/>
      <c r="AH597" s="52"/>
      <c r="AI597" s="52"/>
      <c r="AJ597" s="52"/>
      <c r="AK597" s="52"/>
      <c r="AL597" s="52"/>
      <c r="AM597" s="52"/>
      <c r="AN597" s="52"/>
    </row>
    <row r="598" spans="1:40" x14ac:dyDescent="0.3">
      <c r="A598" s="52">
        <v>593</v>
      </c>
      <c r="B598" s="52">
        <f>-bthan*500+(42+0.5)*bthan*1000/50</f>
        <v>1925</v>
      </c>
      <c r="C598" s="52">
        <f t="shared" si="115"/>
        <v>-570</v>
      </c>
      <c r="D598" s="52">
        <f t="shared" si="113"/>
        <v>2200</v>
      </c>
      <c r="E598" s="52">
        <f t="shared" si="114"/>
        <v>1</v>
      </c>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52"/>
      <c r="AD598" s="52"/>
      <c r="AE598" s="52"/>
      <c r="AF598" s="52"/>
      <c r="AG598" s="52"/>
      <c r="AH598" s="52"/>
      <c r="AI598" s="52"/>
      <c r="AJ598" s="52"/>
      <c r="AK598" s="52"/>
      <c r="AL598" s="52"/>
      <c r="AM598" s="52"/>
      <c r="AN598" s="52"/>
    </row>
    <row r="599" spans="1:40" x14ac:dyDescent="0.3">
      <c r="A599" s="52">
        <v>594</v>
      </c>
      <c r="B599" s="52">
        <f>-bthan*500+(43+0.5)*bthan*1000/50</f>
        <v>2035</v>
      </c>
      <c r="C599" s="52">
        <f t="shared" si="115"/>
        <v>-570</v>
      </c>
      <c r="D599" s="52">
        <f t="shared" si="113"/>
        <v>2200</v>
      </c>
      <c r="E599" s="52">
        <f t="shared" si="114"/>
        <v>1</v>
      </c>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52"/>
      <c r="AD599" s="52"/>
      <c r="AE599" s="52"/>
      <c r="AF599" s="52"/>
      <c r="AG599" s="52"/>
      <c r="AH599" s="52"/>
      <c r="AI599" s="52"/>
      <c r="AJ599" s="52"/>
      <c r="AK599" s="52"/>
      <c r="AL599" s="52"/>
      <c r="AM599" s="52"/>
      <c r="AN599" s="52"/>
    </row>
    <row r="600" spans="1:40" x14ac:dyDescent="0.3">
      <c r="A600" s="52">
        <v>595</v>
      </c>
      <c r="B600" s="52">
        <f>-bthan*500+(44+0.5)*bthan*1000/50</f>
        <v>2145</v>
      </c>
      <c r="C600" s="52">
        <f t="shared" si="115"/>
        <v>-570</v>
      </c>
      <c r="D600" s="52">
        <f t="shared" si="113"/>
        <v>2200</v>
      </c>
      <c r="E600" s="52">
        <f t="shared" si="114"/>
        <v>1</v>
      </c>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52"/>
      <c r="AD600" s="52"/>
      <c r="AE600" s="52"/>
      <c r="AF600" s="52"/>
      <c r="AG600" s="52"/>
      <c r="AH600" s="52"/>
      <c r="AI600" s="52"/>
      <c r="AJ600" s="52"/>
      <c r="AK600" s="52"/>
      <c r="AL600" s="52"/>
      <c r="AM600" s="52"/>
      <c r="AN600" s="52"/>
    </row>
    <row r="601" spans="1:40" x14ac:dyDescent="0.3">
      <c r="A601" s="52">
        <v>596</v>
      </c>
      <c r="B601" s="52">
        <f>-bthan*500+(45+0.5)*bthan*1000/50</f>
        <v>2255</v>
      </c>
      <c r="C601" s="52">
        <f t="shared" si="115"/>
        <v>-570</v>
      </c>
      <c r="D601" s="52">
        <f t="shared" si="113"/>
        <v>2200</v>
      </c>
      <c r="E601" s="52">
        <f t="shared" si="114"/>
        <v>1</v>
      </c>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52"/>
      <c r="AD601" s="52"/>
      <c r="AE601" s="52"/>
      <c r="AF601" s="52"/>
      <c r="AG601" s="52"/>
      <c r="AH601" s="52"/>
      <c r="AI601" s="52"/>
      <c r="AJ601" s="52"/>
      <c r="AK601" s="52"/>
      <c r="AL601" s="52"/>
      <c r="AM601" s="52"/>
      <c r="AN601" s="52"/>
    </row>
    <row r="602" spans="1:40" x14ac:dyDescent="0.3">
      <c r="A602" s="52">
        <v>597</v>
      </c>
      <c r="B602" s="52">
        <f>-bthan*500+(46+0.5)*bthan*1000/50</f>
        <v>2365</v>
      </c>
      <c r="C602" s="52">
        <f t="shared" si="115"/>
        <v>-570</v>
      </c>
      <c r="D602" s="52">
        <f t="shared" si="113"/>
        <v>2200</v>
      </c>
      <c r="E602" s="52">
        <f t="shared" si="114"/>
        <v>1</v>
      </c>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52"/>
      <c r="AD602" s="52"/>
      <c r="AE602" s="52"/>
      <c r="AF602" s="52"/>
      <c r="AG602" s="52"/>
      <c r="AH602" s="52"/>
      <c r="AI602" s="52"/>
      <c r="AJ602" s="52"/>
      <c r="AK602" s="52"/>
      <c r="AL602" s="52"/>
      <c r="AM602" s="52"/>
      <c r="AN602" s="52"/>
    </row>
    <row r="603" spans="1:40" x14ac:dyDescent="0.3">
      <c r="A603" s="52">
        <v>598</v>
      </c>
      <c r="B603" s="52">
        <f>-bthan*500+(47+0.5)*bthan*1000/50</f>
        <v>2475</v>
      </c>
      <c r="C603" s="52">
        <f t="shared" si="115"/>
        <v>-570</v>
      </c>
      <c r="D603" s="52">
        <f t="shared" si="113"/>
        <v>2200</v>
      </c>
      <c r="E603" s="52">
        <f t="shared" si="114"/>
        <v>1</v>
      </c>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52"/>
      <c r="AD603" s="52"/>
      <c r="AE603" s="52"/>
      <c r="AF603" s="52"/>
      <c r="AG603" s="52"/>
      <c r="AH603" s="52"/>
      <c r="AI603" s="52"/>
      <c r="AJ603" s="52"/>
      <c r="AK603" s="52"/>
      <c r="AL603" s="52"/>
      <c r="AM603" s="52"/>
      <c r="AN603" s="52"/>
    </row>
    <row r="604" spans="1:40" x14ac:dyDescent="0.3">
      <c r="A604" s="52">
        <v>599</v>
      </c>
      <c r="B604" s="52">
        <f>-bthan*500+(48+0.5)*bthan*1000/50</f>
        <v>2585</v>
      </c>
      <c r="C604" s="52">
        <f t="shared" si="115"/>
        <v>-570</v>
      </c>
      <c r="D604" s="52">
        <f t="shared" si="113"/>
        <v>2200</v>
      </c>
      <c r="E604" s="52">
        <f t="shared" si="114"/>
        <v>0</v>
      </c>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52"/>
      <c r="AD604" s="52"/>
      <c r="AE604" s="52"/>
      <c r="AF604" s="52"/>
      <c r="AG604" s="52"/>
      <c r="AH604" s="52"/>
      <c r="AI604" s="52"/>
      <c r="AJ604" s="52"/>
      <c r="AK604" s="52"/>
      <c r="AL604" s="52"/>
      <c r="AM604" s="52"/>
      <c r="AN604" s="52"/>
    </row>
    <row r="605" spans="1:40" x14ac:dyDescent="0.3">
      <c r="A605" s="52">
        <v>600</v>
      </c>
      <c r="B605" s="52">
        <f>-bthan*500+(49+0.5)*bthan*1000/50</f>
        <v>2695</v>
      </c>
      <c r="C605" s="52">
        <f t="shared" si="115"/>
        <v>-570</v>
      </c>
      <c r="D605" s="52">
        <f t="shared" si="113"/>
        <v>2200</v>
      </c>
      <c r="E605" s="52">
        <f t="shared" si="114"/>
        <v>0</v>
      </c>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52"/>
      <c r="AD605" s="52"/>
      <c r="AE605" s="52"/>
      <c r="AF605" s="52"/>
      <c r="AG605" s="52"/>
      <c r="AH605" s="52"/>
      <c r="AI605" s="52"/>
      <c r="AJ605" s="52"/>
      <c r="AK605" s="52"/>
      <c r="AL605" s="52"/>
      <c r="AM605" s="52"/>
      <c r="AN605" s="52"/>
    </row>
    <row r="606" spans="1:40" x14ac:dyDescent="0.3">
      <c r="A606" s="52">
        <v>601</v>
      </c>
      <c r="B606" s="52">
        <f>-bthan*500+(0+0.5)*bthan*1000/50</f>
        <v>-2695</v>
      </c>
      <c r="C606" s="52">
        <f t="shared" ref="C606:C637" si="116">-hthan*500+(12+0.5)*hthan*1000/80</f>
        <v>-550</v>
      </c>
      <c r="D606" s="52">
        <f t="shared" si="113"/>
        <v>2200</v>
      </c>
      <c r="E606" s="52">
        <f t="shared" si="114"/>
        <v>0</v>
      </c>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52"/>
      <c r="AD606" s="52"/>
      <c r="AE606" s="52"/>
      <c r="AF606" s="52"/>
      <c r="AG606" s="52"/>
      <c r="AH606" s="52"/>
      <c r="AI606" s="52"/>
      <c r="AJ606" s="52"/>
      <c r="AK606" s="52"/>
      <c r="AL606" s="52"/>
      <c r="AM606" s="52"/>
      <c r="AN606" s="52"/>
    </row>
    <row r="607" spans="1:40" x14ac:dyDescent="0.3">
      <c r="A607" s="52">
        <v>602</v>
      </c>
      <c r="B607" s="52">
        <f>-bthan*500+(1+0.5)*bthan*1000/50</f>
        <v>-2585</v>
      </c>
      <c r="C607" s="52">
        <f t="shared" si="116"/>
        <v>-550</v>
      </c>
      <c r="D607" s="52">
        <f t="shared" si="113"/>
        <v>2200</v>
      </c>
      <c r="E607" s="52">
        <f t="shared" si="114"/>
        <v>0</v>
      </c>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52"/>
      <c r="AD607" s="52"/>
      <c r="AE607" s="52"/>
      <c r="AF607" s="52"/>
      <c r="AG607" s="52"/>
      <c r="AH607" s="52"/>
      <c r="AI607" s="52"/>
      <c r="AJ607" s="52"/>
      <c r="AK607" s="52"/>
      <c r="AL607" s="52"/>
      <c r="AM607" s="52"/>
      <c r="AN607" s="52"/>
    </row>
    <row r="608" spans="1:40" x14ac:dyDescent="0.3">
      <c r="A608" s="52">
        <v>603</v>
      </c>
      <c r="B608" s="52">
        <f>-bthan*500+(2+0.5)*bthan*1000/50</f>
        <v>-2475</v>
      </c>
      <c r="C608" s="52">
        <f t="shared" si="116"/>
        <v>-550</v>
      </c>
      <c r="D608" s="52">
        <f t="shared" si="113"/>
        <v>2200</v>
      </c>
      <c r="E608" s="52">
        <f t="shared" si="114"/>
        <v>1</v>
      </c>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52"/>
      <c r="AD608" s="52"/>
      <c r="AE608" s="52"/>
      <c r="AF608" s="52"/>
      <c r="AG608" s="52"/>
      <c r="AH608" s="52"/>
      <c r="AI608" s="52"/>
      <c r="AJ608" s="52"/>
      <c r="AK608" s="52"/>
      <c r="AL608" s="52"/>
      <c r="AM608" s="52"/>
      <c r="AN608" s="52"/>
    </row>
    <row r="609" spans="1:40" x14ac:dyDescent="0.3">
      <c r="A609" s="52">
        <v>604</v>
      </c>
      <c r="B609" s="52">
        <f>-bthan*500+(3+0.5)*bthan*1000/50</f>
        <v>-2365</v>
      </c>
      <c r="C609" s="52">
        <f t="shared" si="116"/>
        <v>-550</v>
      </c>
      <c r="D609" s="52">
        <f t="shared" si="113"/>
        <v>2200</v>
      </c>
      <c r="E609" s="52">
        <f t="shared" si="114"/>
        <v>1</v>
      </c>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52"/>
      <c r="AD609" s="52"/>
      <c r="AE609" s="52"/>
      <c r="AF609" s="52"/>
      <c r="AG609" s="52"/>
      <c r="AH609" s="52"/>
      <c r="AI609" s="52"/>
      <c r="AJ609" s="52"/>
      <c r="AK609" s="52"/>
      <c r="AL609" s="52"/>
      <c r="AM609" s="52"/>
      <c r="AN609" s="52"/>
    </row>
    <row r="610" spans="1:40" x14ac:dyDescent="0.3">
      <c r="A610" s="52">
        <v>605</v>
      </c>
      <c r="B610" s="52">
        <f>-bthan*500+(4+0.5)*bthan*1000/50</f>
        <v>-2255</v>
      </c>
      <c r="C610" s="52">
        <f t="shared" si="116"/>
        <v>-550</v>
      </c>
      <c r="D610" s="52">
        <f t="shared" si="113"/>
        <v>2200</v>
      </c>
      <c r="E610" s="52">
        <f t="shared" si="114"/>
        <v>1</v>
      </c>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52"/>
      <c r="AD610" s="52"/>
      <c r="AE610" s="52"/>
      <c r="AF610" s="52"/>
      <c r="AG610" s="52"/>
      <c r="AH610" s="52"/>
      <c r="AI610" s="52"/>
      <c r="AJ610" s="52"/>
      <c r="AK610" s="52"/>
      <c r="AL610" s="52"/>
      <c r="AM610" s="52"/>
      <c r="AN610" s="52"/>
    </row>
    <row r="611" spans="1:40" x14ac:dyDescent="0.3">
      <c r="A611" s="52">
        <v>606</v>
      </c>
      <c r="B611" s="52">
        <f>-bthan*500+(5+0.5)*bthan*1000/50</f>
        <v>-2145</v>
      </c>
      <c r="C611" s="52">
        <f t="shared" si="116"/>
        <v>-550</v>
      </c>
      <c r="D611" s="52">
        <f t="shared" si="113"/>
        <v>2200</v>
      </c>
      <c r="E611" s="52">
        <f t="shared" si="114"/>
        <v>1</v>
      </c>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52"/>
      <c r="AD611" s="52"/>
      <c r="AE611" s="52"/>
      <c r="AF611" s="52"/>
      <c r="AG611" s="52"/>
      <c r="AH611" s="52"/>
      <c r="AI611" s="52"/>
      <c r="AJ611" s="52"/>
      <c r="AK611" s="52"/>
      <c r="AL611" s="52"/>
      <c r="AM611" s="52"/>
      <c r="AN611" s="52"/>
    </row>
    <row r="612" spans="1:40" x14ac:dyDescent="0.3">
      <c r="A612" s="52">
        <v>607</v>
      </c>
      <c r="B612" s="52">
        <f>-bthan*500+(6+0.5)*bthan*1000/50</f>
        <v>-2035</v>
      </c>
      <c r="C612" s="52">
        <f t="shared" si="116"/>
        <v>-550</v>
      </c>
      <c r="D612" s="52">
        <f t="shared" si="113"/>
        <v>2200</v>
      </c>
      <c r="E612" s="52">
        <f t="shared" si="114"/>
        <v>1</v>
      </c>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52"/>
      <c r="AD612" s="52"/>
      <c r="AE612" s="52"/>
      <c r="AF612" s="52"/>
      <c r="AG612" s="52"/>
      <c r="AH612" s="52"/>
      <c r="AI612" s="52"/>
      <c r="AJ612" s="52"/>
      <c r="AK612" s="52"/>
      <c r="AL612" s="52"/>
      <c r="AM612" s="52"/>
      <c r="AN612" s="52"/>
    </row>
    <row r="613" spans="1:40" x14ac:dyDescent="0.3">
      <c r="A613" s="52">
        <v>608</v>
      </c>
      <c r="B613" s="52">
        <f>-bthan*500+(7+0.5)*bthan*1000/50</f>
        <v>-1925</v>
      </c>
      <c r="C613" s="52">
        <f t="shared" si="116"/>
        <v>-550</v>
      </c>
      <c r="D613" s="52">
        <f t="shared" si="113"/>
        <v>2200</v>
      </c>
      <c r="E613" s="52">
        <f t="shared" si="114"/>
        <v>1</v>
      </c>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52"/>
      <c r="AD613" s="52"/>
      <c r="AE613" s="52"/>
      <c r="AF613" s="52"/>
      <c r="AG613" s="52"/>
      <c r="AH613" s="52"/>
      <c r="AI613" s="52"/>
      <c r="AJ613" s="52"/>
      <c r="AK613" s="52"/>
      <c r="AL613" s="52"/>
      <c r="AM613" s="52"/>
      <c r="AN613" s="52"/>
    </row>
    <row r="614" spans="1:40" x14ac:dyDescent="0.3">
      <c r="A614" s="52">
        <v>609</v>
      </c>
      <c r="B614" s="52">
        <f>-bthan*500+(8+0.5)*bthan*1000/50</f>
        <v>-1815</v>
      </c>
      <c r="C614" s="52">
        <f t="shared" si="116"/>
        <v>-550</v>
      </c>
      <c r="D614" s="52">
        <f t="shared" si="113"/>
        <v>2200</v>
      </c>
      <c r="E614" s="52">
        <f t="shared" si="114"/>
        <v>1</v>
      </c>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52"/>
      <c r="AD614" s="52"/>
      <c r="AE614" s="52"/>
      <c r="AF614" s="52"/>
      <c r="AG614" s="52"/>
      <c r="AH614" s="52"/>
      <c r="AI614" s="52"/>
      <c r="AJ614" s="52"/>
      <c r="AK614" s="52"/>
      <c r="AL614" s="52"/>
      <c r="AM614" s="52"/>
      <c r="AN614" s="52"/>
    </row>
    <row r="615" spans="1:40" x14ac:dyDescent="0.3">
      <c r="A615" s="52">
        <v>610</v>
      </c>
      <c r="B615" s="52">
        <f>-bthan*500+(9+0.5)*bthan*1000/50</f>
        <v>-1705</v>
      </c>
      <c r="C615" s="52">
        <f t="shared" si="116"/>
        <v>-550</v>
      </c>
      <c r="D615" s="52">
        <f t="shared" si="113"/>
        <v>2200</v>
      </c>
      <c r="E615" s="52">
        <f t="shared" si="114"/>
        <v>1</v>
      </c>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52"/>
      <c r="AD615" s="52"/>
      <c r="AE615" s="52"/>
      <c r="AF615" s="52"/>
      <c r="AG615" s="52"/>
      <c r="AH615" s="52"/>
      <c r="AI615" s="52"/>
      <c r="AJ615" s="52"/>
      <c r="AK615" s="52"/>
      <c r="AL615" s="52"/>
      <c r="AM615" s="52"/>
      <c r="AN615" s="52"/>
    </row>
    <row r="616" spans="1:40" x14ac:dyDescent="0.3">
      <c r="A616" s="52">
        <v>611</v>
      </c>
      <c r="B616" s="52">
        <f>-bthan*500+(10+0.5)*bthan*1000/50</f>
        <v>-1595</v>
      </c>
      <c r="C616" s="52">
        <f t="shared" si="116"/>
        <v>-550</v>
      </c>
      <c r="D616" s="52">
        <f t="shared" si="113"/>
        <v>2200</v>
      </c>
      <c r="E616" s="52">
        <f t="shared" si="114"/>
        <v>1</v>
      </c>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52"/>
      <c r="AD616" s="52"/>
      <c r="AE616" s="52"/>
      <c r="AF616" s="52"/>
      <c r="AG616" s="52"/>
      <c r="AH616" s="52"/>
      <c r="AI616" s="52"/>
      <c r="AJ616" s="52"/>
      <c r="AK616" s="52"/>
      <c r="AL616" s="52"/>
      <c r="AM616" s="52"/>
      <c r="AN616" s="52"/>
    </row>
    <row r="617" spans="1:40" x14ac:dyDescent="0.3">
      <c r="A617" s="52">
        <v>612</v>
      </c>
      <c r="B617" s="52">
        <f>-bthan*500+(11+0.5)*bthan*1000/50</f>
        <v>-1485</v>
      </c>
      <c r="C617" s="52">
        <f t="shared" si="116"/>
        <v>-550</v>
      </c>
      <c r="D617" s="52">
        <f t="shared" si="113"/>
        <v>2200</v>
      </c>
      <c r="E617" s="52">
        <f t="shared" si="114"/>
        <v>1</v>
      </c>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52"/>
      <c r="AD617" s="52"/>
      <c r="AE617" s="52"/>
      <c r="AF617" s="52"/>
      <c r="AG617" s="52"/>
      <c r="AH617" s="52"/>
      <c r="AI617" s="52"/>
      <c r="AJ617" s="52"/>
      <c r="AK617" s="52"/>
      <c r="AL617" s="52"/>
      <c r="AM617" s="52"/>
      <c r="AN617" s="52"/>
    </row>
    <row r="618" spans="1:40" x14ac:dyDescent="0.3">
      <c r="A618" s="52">
        <v>613</v>
      </c>
      <c r="B618" s="52">
        <f>-bthan*500+(12+0.5)*bthan*1000/50</f>
        <v>-1375</v>
      </c>
      <c r="C618" s="52">
        <f t="shared" si="116"/>
        <v>-550</v>
      </c>
      <c r="D618" s="52">
        <f t="shared" si="113"/>
        <v>2200</v>
      </c>
      <c r="E618" s="52">
        <f t="shared" si="114"/>
        <v>1</v>
      </c>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52"/>
      <c r="AD618" s="52"/>
      <c r="AE618" s="52"/>
      <c r="AF618" s="52"/>
      <c r="AG618" s="52"/>
      <c r="AH618" s="52"/>
      <c r="AI618" s="52"/>
      <c r="AJ618" s="52"/>
      <c r="AK618" s="52"/>
      <c r="AL618" s="52"/>
      <c r="AM618" s="52"/>
      <c r="AN618" s="52"/>
    </row>
    <row r="619" spans="1:40" x14ac:dyDescent="0.3">
      <c r="A619" s="52">
        <v>614</v>
      </c>
      <c r="B619" s="52">
        <f>-bthan*500+(13+0.5)*bthan*1000/50</f>
        <v>-1265</v>
      </c>
      <c r="C619" s="52">
        <f t="shared" si="116"/>
        <v>-550</v>
      </c>
      <c r="D619" s="52">
        <f t="shared" si="113"/>
        <v>2200</v>
      </c>
      <c r="E619" s="52">
        <f t="shared" si="114"/>
        <v>1</v>
      </c>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52"/>
      <c r="AD619" s="52"/>
      <c r="AE619" s="52"/>
      <c r="AF619" s="52"/>
      <c r="AG619" s="52"/>
      <c r="AH619" s="52"/>
      <c r="AI619" s="52"/>
      <c r="AJ619" s="52"/>
      <c r="AK619" s="52"/>
      <c r="AL619" s="52"/>
      <c r="AM619" s="52"/>
      <c r="AN619" s="52"/>
    </row>
    <row r="620" spans="1:40" x14ac:dyDescent="0.3">
      <c r="A620" s="52">
        <v>615</v>
      </c>
      <c r="B620" s="52">
        <f>-bthan*500+(14+0.5)*bthan*1000/50</f>
        <v>-1155</v>
      </c>
      <c r="C620" s="52">
        <f t="shared" si="116"/>
        <v>-550</v>
      </c>
      <c r="D620" s="52">
        <f t="shared" si="113"/>
        <v>2200</v>
      </c>
      <c r="E620" s="52">
        <f t="shared" si="114"/>
        <v>1</v>
      </c>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52"/>
      <c r="AD620" s="52"/>
      <c r="AE620" s="52"/>
      <c r="AF620" s="52"/>
      <c r="AG620" s="52"/>
      <c r="AH620" s="52"/>
      <c r="AI620" s="52"/>
      <c r="AJ620" s="52"/>
      <c r="AK620" s="52"/>
      <c r="AL620" s="52"/>
      <c r="AM620" s="52"/>
      <c r="AN620" s="52"/>
    </row>
    <row r="621" spans="1:40" x14ac:dyDescent="0.3">
      <c r="A621" s="52">
        <v>616</v>
      </c>
      <c r="B621" s="52">
        <f>-bthan*500+(15+0.5)*bthan*1000/50</f>
        <v>-1045</v>
      </c>
      <c r="C621" s="52">
        <f t="shared" si="116"/>
        <v>-550</v>
      </c>
      <c r="D621" s="52">
        <f t="shared" si="113"/>
        <v>2200</v>
      </c>
      <c r="E621" s="52">
        <f t="shared" si="114"/>
        <v>1</v>
      </c>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52"/>
      <c r="AD621" s="52"/>
      <c r="AE621" s="52"/>
      <c r="AF621" s="52"/>
      <c r="AG621" s="52"/>
      <c r="AH621" s="52"/>
      <c r="AI621" s="52"/>
      <c r="AJ621" s="52"/>
      <c r="AK621" s="52"/>
      <c r="AL621" s="52"/>
      <c r="AM621" s="52"/>
      <c r="AN621" s="52"/>
    </row>
    <row r="622" spans="1:40" x14ac:dyDescent="0.3">
      <c r="A622" s="52">
        <v>617</v>
      </c>
      <c r="B622" s="52">
        <f>-bthan*500+(16+0.5)*bthan*1000/50</f>
        <v>-935</v>
      </c>
      <c r="C622" s="52">
        <f t="shared" si="116"/>
        <v>-550</v>
      </c>
      <c r="D622" s="52">
        <f t="shared" si="113"/>
        <v>2200</v>
      </c>
      <c r="E622" s="52">
        <f t="shared" si="114"/>
        <v>1</v>
      </c>
      <c r="F622" s="52"/>
      <c r="G622" s="52"/>
      <c r="H622" s="52"/>
      <c r="I622" s="52"/>
      <c r="J622" s="52"/>
      <c r="K622" s="52"/>
      <c r="L622" s="52"/>
      <c r="M622" s="52"/>
      <c r="N622" s="52"/>
      <c r="O622" s="52"/>
      <c r="P622" s="52"/>
      <c r="Q622" s="52"/>
      <c r="R622" s="52"/>
      <c r="S622" s="52"/>
      <c r="T622" s="52"/>
      <c r="U622" s="52"/>
      <c r="V622" s="52"/>
      <c r="W622" s="52"/>
      <c r="X622" s="52"/>
      <c r="Y622" s="52"/>
      <c r="Z622" s="52"/>
      <c r="AA622" s="52"/>
      <c r="AB622" s="52"/>
      <c r="AC622" s="52"/>
      <c r="AD622" s="52"/>
      <c r="AE622" s="52"/>
      <c r="AF622" s="52"/>
      <c r="AG622" s="52"/>
      <c r="AH622" s="52"/>
      <c r="AI622" s="52"/>
      <c r="AJ622" s="52"/>
      <c r="AK622" s="52"/>
      <c r="AL622" s="52"/>
      <c r="AM622" s="52"/>
      <c r="AN622" s="52"/>
    </row>
    <row r="623" spans="1:40" x14ac:dyDescent="0.3">
      <c r="A623" s="52">
        <v>618</v>
      </c>
      <c r="B623" s="52">
        <f>-bthan*500+(17+0.5)*bthan*1000/50</f>
        <v>-825</v>
      </c>
      <c r="C623" s="52">
        <f t="shared" si="116"/>
        <v>-550</v>
      </c>
      <c r="D623" s="52">
        <f t="shared" si="113"/>
        <v>2200</v>
      </c>
      <c r="E623" s="52">
        <f t="shared" si="114"/>
        <v>1</v>
      </c>
      <c r="F623" s="52"/>
      <c r="G623" s="52"/>
      <c r="H623" s="52"/>
      <c r="I623" s="52"/>
      <c r="J623" s="52"/>
      <c r="K623" s="52"/>
      <c r="L623" s="52"/>
      <c r="M623" s="52"/>
      <c r="N623" s="52"/>
      <c r="O623" s="52"/>
      <c r="P623" s="52"/>
      <c r="Q623" s="52"/>
      <c r="R623" s="52"/>
      <c r="S623" s="52"/>
      <c r="T623" s="52"/>
      <c r="U623" s="52"/>
      <c r="V623" s="52"/>
      <c r="W623" s="52"/>
      <c r="X623" s="52"/>
      <c r="Y623" s="52"/>
      <c r="Z623" s="52"/>
      <c r="AA623" s="52"/>
      <c r="AB623" s="52"/>
      <c r="AC623" s="52"/>
      <c r="AD623" s="52"/>
      <c r="AE623" s="52"/>
      <c r="AF623" s="52"/>
      <c r="AG623" s="52"/>
      <c r="AH623" s="52"/>
      <c r="AI623" s="52"/>
      <c r="AJ623" s="52"/>
      <c r="AK623" s="52"/>
      <c r="AL623" s="52"/>
      <c r="AM623" s="52"/>
      <c r="AN623" s="52"/>
    </row>
    <row r="624" spans="1:40" x14ac:dyDescent="0.3">
      <c r="A624" s="52">
        <v>619</v>
      </c>
      <c r="B624" s="52">
        <f>-bthan*500+(18+0.5)*bthan*1000/50</f>
        <v>-715</v>
      </c>
      <c r="C624" s="52">
        <f t="shared" si="116"/>
        <v>-550</v>
      </c>
      <c r="D624" s="52">
        <f t="shared" si="113"/>
        <v>2200</v>
      </c>
      <c r="E624" s="52">
        <f t="shared" si="114"/>
        <v>1</v>
      </c>
      <c r="F624" s="52"/>
      <c r="G624" s="52"/>
      <c r="H624" s="52"/>
      <c r="I624" s="52"/>
      <c r="J624" s="52"/>
      <c r="K624" s="52"/>
      <c r="L624" s="52"/>
      <c r="M624" s="52"/>
      <c r="N624" s="52"/>
      <c r="O624" s="52"/>
      <c r="P624" s="52"/>
      <c r="Q624" s="52"/>
      <c r="R624" s="52"/>
      <c r="S624" s="52"/>
      <c r="T624" s="52"/>
      <c r="U624" s="52"/>
      <c r="V624" s="52"/>
      <c r="W624" s="52"/>
      <c r="X624" s="52"/>
      <c r="Y624" s="52"/>
      <c r="Z624" s="52"/>
      <c r="AA624" s="52"/>
      <c r="AB624" s="52"/>
      <c r="AC624" s="52"/>
      <c r="AD624" s="52"/>
      <c r="AE624" s="52"/>
      <c r="AF624" s="52"/>
      <c r="AG624" s="52"/>
      <c r="AH624" s="52"/>
      <c r="AI624" s="52"/>
      <c r="AJ624" s="52"/>
      <c r="AK624" s="52"/>
      <c r="AL624" s="52"/>
      <c r="AM624" s="52"/>
      <c r="AN624" s="52"/>
    </row>
    <row r="625" spans="1:40" x14ac:dyDescent="0.3">
      <c r="A625" s="52">
        <v>620</v>
      </c>
      <c r="B625" s="52">
        <f>-bthan*500+(19+0.5)*bthan*1000/50</f>
        <v>-605</v>
      </c>
      <c r="C625" s="52">
        <f t="shared" si="116"/>
        <v>-550</v>
      </c>
      <c r="D625" s="52">
        <f t="shared" si="113"/>
        <v>2200</v>
      </c>
      <c r="E625" s="52">
        <f t="shared" si="114"/>
        <v>1</v>
      </c>
      <c r="F625" s="52"/>
      <c r="G625" s="52"/>
      <c r="H625" s="52"/>
      <c r="I625" s="52"/>
      <c r="J625" s="52"/>
      <c r="K625" s="52"/>
      <c r="L625" s="52"/>
      <c r="M625" s="52"/>
      <c r="N625" s="52"/>
      <c r="O625" s="52"/>
      <c r="P625" s="52"/>
      <c r="Q625" s="52"/>
      <c r="R625" s="52"/>
      <c r="S625" s="52"/>
      <c r="T625" s="52"/>
      <c r="U625" s="52"/>
      <c r="V625" s="52"/>
      <c r="W625" s="52"/>
      <c r="X625" s="52"/>
      <c r="Y625" s="52"/>
      <c r="Z625" s="52"/>
      <c r="AA625" s="52"/>
      <c r="AB625" s="52"/>
      <c r="AC625" s="52"/>
      <c r="AD625" s="52"/>
      <c r="AE625" s="52"/>
      <c r="AF625" s="52"/>
      <c r="AG625" s="52"/>
      <c r="AH625" s="52"/>
      <c r="AI625" s="52"/>
      <c r="AJ625" s="52"/>
      <c r="AK625" s="52"/>
      <c r="AL625" s="52"/>
      <c r="AM625" s="52"/>
      <c r="AN625" s="52"/>
    </row>
    <row r="626" spans="1:40" x14ac:dyDescent="0.3">
      <c r="A626" s="52">
        <v>621</v>
      </c>
      <c r="B626" s="52">
        <f>-bthan*500+(20+0.5)*bthan*1000/50</f>
        <v>-495</v>
      </c>
      <c r="C626" s="52">
        <f t="shared" si="116"/>
        <v>-550</v>
      </c>
      <c r="D626" s="52">
        <f t="shared" si="113"/>
        <v>2200</v>
      </c>
      <c r="E626" s="52">
        <f t="shared" si="114"/>
        <v>1</v>
      </c>
      <c r="F626" s="52"/>
      <c r="G626" s="52"/>
      <c r="H626" s="52"/>
      <c r="I626" s="52"/>
      <c r="J626" s="52"/>
      <c r="K626" s="52"/>
      <c r="L626" s="52"/>
      <c r="M626" s="52"/>
      <c r="N626" s="52"/>
      <c r="O626" s="52"/>
      <c r="P626" s="52"/>
      <c r="Q626" s="52"/>
      <c r="R626" s="52"/>
      <c r="S626" s="52"/>
      <c r="T626" s="52"/>
      <c r="U626" s="52"/>
      <c r="V626" s="52"/>
      <c r="W626" s="52"/>
      <c r="X626" s="52"/>
      <c r="Y626" s="52"/>
      <c r="Z626" s="52"/>
      <c r="AA626" s="52"/>
      <c r="AB626" s="52"/>
      <c r="AC626" s="52"/>
      <c r="AD626" s="52"/>
      <c r="AE626" s="52"/>
      <c r="AF626" s="52"/>
      <c r="AG626" s="52"/>
      <c r="AH626" s="52"/>
      <c r="AI626" s="52"/>
      <c r="AJ626" s="52"/>
      <c r="AK626" s="52"/>
      <c r="AL626" s="52"/>
      <c r="AM626" s="52"/>
      <c r="AN626" s="52"/>
    </row>
    <row r="627" spans="1:40" x14ac:dyDescent="0.3">
      <c r="A627" s="52">
        <v>622</v>
      </c>
      <c r="B627" s="52">
        <f>-bthan*500+(21+0.5)*bthan*1000/50</f>
        <v>-385</v>
      </c>
      <c r="C627" s="52">
        <f t="shared" si="116"/>
        <v>-550</v>
      </c>
      <c r="D627" s="52">
        <f t="shared" si="113"/>
        <v>2200</v>
      </c>
      <c r="E627" s="52">
        <f t="shared" si="114"/>
        <v>1</v>
      </c>
      <c r="F627" s="52"/>
      <c r="G627" s="52"/>
      <c r="H627" s="52"/>
      <c r="I627" s="52"/>
      <c r="J627" s="52"/>
      <c r="K627" s="52"/>
      <c r="L627" s="52"/>
      <c r="M627" s="52"/>
      <c r="N627" s="52"/>
      <c r="O627" s="52"/>
      <c r="P627" s="52"/>
      <c r="Q627" s="52"/>
      <c r="R627" s="52"/>
      <c r="S627" s="52"/>
      <c r="T627" s="52"/>
      <c r="U627" s="52"/>
      <c r="V627" s="52"/>
      <c r="W627" s="52"/>
      <c r="X627" s="52"/>
      <c r="Y627" s="52"/>
      <c r="Z627" s="52"/>
      <c r="AA627" s="52"/>
      <c r="AB627" s="52"/>
      <c r="AC627" s="52"/>
      <c r="AD627" s="52"/>
      <c r="AE627" s="52"/>
      <c r="AF627" s="52"/>
      <c r="AG627" s="52"/>
      <c r="AH627" s="52"/>
      <c r="AI627" s="52"/>
      <c r="AJ627" s="52"/>
      <c r="AK627" s="52"/>
      <c r="AL627" s="52"/>
      <c r="AM627" s="52"/>
      <c r="AN627" s="52"/>
    </row>
    <row r="628" spans="1:40" x14ac:dyDescent="0.3">
      <c r="A628" s="52">
        <v>623</v>
      </c>
      <c r="B628" s="52">
        <f>-bthan*500+(22+0.5)*bthan*1000/50</f>
        <v>-275</v>
      </c>
      <c r="C628" s="52">
        <f t="shared" si="116"/>
        <v>-550</v>
      </c>
      <c r="D628" s="52">
        <f t="shared" si="113"/>
        <v>2200</v>
      </c>
      <c r="E628" s="52">
        <f t="shared" si="114"/>
        <v>1</v>
      </c>
      <c r="F628" s="52"/>
      <c r="G628" s="52"/>
      <c r="H628" s="52"/>
      <c r="I628" s="52"/>
      <c r="J628" s="52"/>
      <c r="K628" s="52"/>
      <c r="L628" s="52"/>
      <c r="M628" s="52"/>
      <c r="N628" s="52"/>
      <c r="O628" s="52"/>
      <c r="P628" s="52"/>
      <c r="Q628" s="52"/>
      <c r="R628" s="52"/>
      <c r="S628" s="52"/>
      <c r="T628" s="52"/>
      <c r="U628" s="52"/>
      <c r="V628" s="52"/>
      <c r="W628" s="52"/>
      <c r="X628" s="52"/>
      <c r="Y628" s="52"/>
      <c r="Z628" s="52"/>
      <c r="AA628" s="52"/>
      <c r="AB628" s="52"/>
      <c r="AC628" s="52"/>
      <c r="AD628" s="52"/>
      <c r="AE628" s="52"/>
      <c r="AF628" s="52"/>
      <c r="AG628" s="52"/>
      <c r="AH628" s="52"/>
      <c r="AI628" s="52"/>
      <c r="AJ628" s="52"/>
      <c r="AK628" s="52"/>
      <c r="AL628" s="52"/>
      <c r="AM628" s="52"/>
      <c r="AN628" s="52"/>
    </row>
    <row r="629" spans="1:40" x14ac:dyDescent="0.3">
      <c r="A629" s="52">
        <v>624</v>
      </c>
      <c r="B629" s="52">
        <f>-bthan*500+(23+0.5)*bthan*1000/50</f>
        <v>-165</v>
      </c>
      <c r="C629" s="52">
        <f t="shared" si="116"/>
        <v>-550</v>
      </c>
      <c r="D629" s="52">
        <f t="shared" si="113"/>
        <v>2200</v>
      </c>
      <c r="E629" s="52">
        <f t="shared" si="114"/>
        <v>1</v>
      </c>
      <c r="F629" s="52"/>
      <c r="G629" s="52"/>
      <c r="H629" s="52"/>
      <c r="I629" s="52"/>
      <c r="J629" s="52"/>
      <c r="K629" s="52"/>
      <c r="L629" s="52"/>
      <c r="M629" s="52"/>
      <c r="N629" s="52"/>
      <c r="O629" s="52"/>
      <c r="P629" s="52"/>
      <c r="Q629" s="52"/>
      <c r="R629" s="52"/>
      <c r="S629" s="52"/>
      <c r="T629" s="52"/>
      <c r="U629" s="52"/>
      <c r="V629" s="52"/>
      <c r="W629" s="52"/>
      <c r="X629" s="52"/>
      <c r="Y629" s="52"/>
      <c r="Z629" s="52"/>
      <c r="AA629" s="52"/>
      <c r="AB629" s="52"/>
      <c r="AC629" s="52"/>
      <c r="AD629" s="52"/>
      <c r="AE629" s="52"/>
      <c r="AF629" s="52"/>
      <c r="AG629" s="52"/>
      <c r="AH629" s="52"/>
      <c r="AI629" s="52"/>
      <c r="AJ629" s="52"/>
      <c r="AK629" s="52"/>
      <c r="AL629" s="52"/>
      <c r="AM629" s="52"/>
      <c r="AN629" s="52"/>
    </row>
    <row r="630" spans="1:40" x14ac:dyDescent="0.3">
      <c r="A630" s="52">
        <v>625</v>
      </c>
      <c r="B630" s="52">
        <f>-bthan*500+(24+0.5)*bthan*1000/50</f>
        <v>-55</v>
      </c>
      <c r="C630" s="52">
        <f t="shared" si="116"/>
        <v>-550</v>
      </c>
      <c r="D630" s="52">
        <f t="shared" si="113"/>
        <v>2200</v>
      </c>
      <c r="E630" s="52">
        <f t="shared" si="114"/>
        <v>1</v>
      </c>
      <c r="F630" s="52"/>
      <c r="G630" s="52"/>
      <c r="H630" s="52"/>
      <c r="I630" s="52"/>
      <c r="J630" s="52"/>
      <c r="K630" s="52"/>
      <c r="L630" s="52"/>
      <c r="M630" s="52"/>
      <c r="N630" s="52"/>
      <c r="O630" s="52"/>
      <c r="P630" s="52"/>
      <c r="Q630" s="52"/>
      <c r="R630" s="52"/>
      <c r="S630" s="52"/>
      <c r="T630" s="52"/>
      <c r="U630" s="52"/>
      <c r="V630" s="52"/>
      <c r="W630" s="52"/>
      <c r="X630" s="52"/>
      <c r="Y630" s="52"/>
      <c r="Z630" s="52"/>
      <c r="AA630" s="52"/>
      <c r="AB630" s="52"/>
      <c r="AC630" s="52"/>
      <c r="AD630" s="52"/>
      <c r="AE630" s="52"/>
      <c r="AF630" s="52"/>
      <c r="AG630" s="52"/>
      <c r="AH630" s="52"/>
      <c r="AI630" s="52"/>
      <c r="AJ630" s="52"/>
      <c r="AK630" s="52"/>
      <c r="AL630" s="52"/>
      <c r="AM630" s="52"/>
      <c r="AN630" s="52"/>
    </row>
    <row r="631" spans="1:40" x14ac:dyDescent="0.3">
      <c r="A631" s="52">
        <v>626</v>
      </c>
      <c r="B631" s="52">
        <f>-bthan*500+(25+0.5)*bthan*1000/50</f>
        <v>55</v>
      </c>
      <c r="C631" s="52">
        <f t="shared" si="116"/>
        <v>-550</v>
      </c>
      <c r="D631" s="52">
        <f t="shared" si="113"/>
        <v>2200</v>
      </c>
      <c r="E631" s="52">
        <f t="shared" si="114"/>
        <v>1</v>
      </c>
      <c r="F631" s="52"/>
      <c r="G631" s="52"/>
      <c r="H631" s="52"/>
      <c r="I631" s="52"/>
      <c r="J631" s="52"/>
      <c r="K631" s="52"/>
      <c r="L631" s="52"/>
      <c r="M631" s="52"/>
      <c r="N631" s="52"/>
      <c r="O631" s="52"/>
      <c r="P631" s="52"/>
      <c r="Q631" s="52"/>
      <c r="R631" s="52"/>
      <c r="S631" s="52"/>
      <c r="T631" s="52"/>
      <c r="U631" s="52"/>
      <c r="V631" s="52"/>
      <c r="W631" s="52"/>
      <c r="X631" s="52"/>
      <c r="Y631" s="52"/>
      <c r="Z631" s="52"/>
      <c r="AA631" s="52"/>
      <c r="AB631" s="52"/>
      <c r="AC631" s="52"/>
      <c r="AD631" s="52"/>
      <c r="AE631" s="52"/>
      <c r="AF631" s="52"/>
      <c r="AG631" s="52"/>
      <c r="AH631" s="52"/>
      <c r="AI631" s="52"/>
      <c r="AJ631" s="52"/>
      <c r="AK631" s="52"/>
      <c r="AL631" s="52"/>
      <c r="AM631" s="52"/>
      <c r="AN631" s="52"/>
    </row>
    <row r="632" spans="1:40" x14ac:dyDescent="0.3">
      <c r="A632" s="52">
        <v>627</v>
      </c>
      <c r="B632" s="52">
        <f>-bthan*500+(26+0.5)*bthan*1000/50</f>
        <v>165</v>
      </c>
      <c r="C632" s="52">
        <f t="shared" si="116"/>
        <v>-550</v>
      </c>
      <c r="D632" s="52">
        <f t="shared" si="113"/>
        <v>2200</v>
      </c>
      <c r="E632" s="52">
        <f t="shared" si="114"/>
        <v>1</v>
      </c>
      <c r="F632" s="52"/>
      <c r="G632" s="52"/>
      <c r="H632" s="52"/>
      <c r="I632" s="52"/>
      <c r="J632" s="52"/>
      <c r="K632" s="52"/>
      <c r="L632" s="52"/>
      <c r="M632" s="52"/>
      <c r="N632" s="52"/>
      <c r="O632" s="52"/>
      <c r="P632" s="52"/>
      <c r="Q632" s="52"/>
      <c r="R632" s="52"/>
      <c r="S632" s="52"/>
      <c r="T632" s="52"/>
      <c r="U632" s="52"/>
      <c r="V632" s="52"/>
      <c r="W632" s="52"/>
      <c r="X632" s="52"/>
      <c r="Y632" s="52"/>
      <c r="Z632" s="52"/>
      <c r="AA632" s="52"/>
      <c r="AB632" s="52"/>
      <c r="AC632" s="52"/>
      <c r="AD632" s="52"/>
      <c r="AE632" s="52"/>
      <c r="AF632" s="52"/>
      <c r="AG632" s="52"/>
      <c r="AH632" s="52"/>
      <c r="AI632" s="52"/>
      <c r="AJ632" s="52"/>
      <c r="AK632" s="52"/>
      <c r="AL632" s="52"/>
      <c r="AM632" s="52"/>
      <c r="AN632" s="52"/>
    </row>
    <row r="633" spans="1:40" x14ac:dyDescent="0.3">
      <c r="A633" s="52">
        <v>628</v>
      </c>
      <c r="B633" s="52">
        <f>-bthan*500+(27+0.5)*bthan*1000/50</f>
        <v>275</v>
      </c>
      <c r="C633" s="52">
        <f t="shared" si="116"/>
        <v>-550</v>
      </c>
      <c r="D633" s="52">
        <f t="shared" si="113"/>
        <v>2200</v>
      </c>
      <c r="E633" s="52">
        <f t="shared" si="114"/>
        <v>1</v>
      </c>
      <c r="F633" s="52"/>
      <c r="G633" s="52"/>
      <c r="H633" s="52"/>
      <c r="I633" s="52"/>
      <c r="J633" s="52"/>
      <c r="K633" s="52"/>
      <c r="L633" s="52"/>
      <c r="M633" s="52"/>
      <c r="N633" s="52"/>
      <c r="O633" s="52"/>
      <c r="P633" s="52"/>
      <c r="Q633" s="52"/>
      <c r="R633" s="52"/>
      <c r="S633" s="52"/>
      <c r="T633" s="52"/>
      <c r="U633" s="52"/>
      <c r="V633" s="52"/>
      <c r="W633" s="52"/>
      <c r="X633" s="52"/>
      <c r="Y633" s="52"/>
      <c r="Z633" s="52"/>
      <c r="AA633" s="52"/>
      <c r="AB633" s="52"/>
      <c r="AC633" s="52"/>
      <c r="AD633" s="52"/>
      <c r="AE633" s="52"/>
      <c r="AF633" s="52"/>
      <c r="AG633" s="52"/>
      <c r="AH633" s="52"/>
      <c r="AI633" s="52"/>
      <c r="AJ633" s="52"/>
      <c r="AK633" s="52"/>
      <c r="AL633" s="52"/>
      <c r="AM633" s="52"/>
      <c r="AN633" s="52"/>
    </row>
    <row r="634" spans="1:40" x14ac:dyDescent="0.3">
      <c r="A634" s="52">
        <v>629</v>
      </c>
      <c r="B634" s="52">
        <f>-bthan*500+(28+0.5)*bthan*1000/50</f>
        <v>385</v>
      </c>
      <c r="C634" s="52">
        <f t="shared" si="116"/>
        <v>-550</v>
      </c>
      <c r="D634" s="52">
        <f t="shared" si="113"/>
        <v>2200</v>
      </c>
      <c r="E634" s="52">
        <f t="shared" si="114"/>
        <v>1</v>
      </c>
      <c r="F634" s="52"/>
      <c r="G634" s="52"/>
      <c r="H634" s="52"/>
      <c r="I634" s="52"/>
      <c r="J634" s="52"/>
      <c r="K634" s="52"/>
      <c r="L634" s="52"/>
      <c r="M634" s="52"/>
      <c r="N634" s="52"/>
      <c r="O634" s="52"/>
      <c r="P634" s="52"/>
      <c r="Q634" s="52"/>
      <c r="R634" s="52"/>
      <c r="S634" s="52"/>
      <c r="T634" s="52"/>
      <c r="U634" s="52"/>
      <c r="V634" s="52"/>
      <c r="W634" s="52"/>
      <c r="X634" s="52"/>
      <c r="Y634" s="52"/>
      <c r="Z634" s="52"/>
      <c r="AA634" s="52"/>
      <c r="AB634" s="52"/>
      <c r="AC634" s="52"/>
      <c r="AD634" s="52"/>
      <c r="AE634" s="52"/>
      <c r="AF634" s="52"/>
      <c r="AG634" s="52"/>
      <c r="AH634" s="52"/>
      <c r="AI634" s="52"/>
      <c r="AJ634" s="52"/>
      <c r="AK634" s="52"/>
      <c r="AL634" s="52"/>
      <c r="AM634" s="52"/>
      <c r="AN634" s="52"/>
    </row>
    <row r="635" spans="1:40" x14ac:dyDescent="0.3">
      <c r="A635" s="52">
        <v>630</v>
      </c>
      <c r="B635" s="52">
        <f>-bthan*500+(29+0.5)*bthan*1000/50</f>
        <v>495</v>
      </c>
      <c r="C635" s="52">
        <f t="shared" si="116"/>
        <v>-550</v>
      </c>
      <c r="D635" s="52">
        <f t="shared" si="113"/>
        <v>2200</v>
      </c>
      <c r="E635" s="52">
        <f t="shared" si="114"/>
        <v>1</v>
      </c>
      <c r="F635" s="52"/>
      <c r="G635" s="52"/>
      <c r="H635" s="52"/>
      <c r="I635" s="52"/>
      <c r="J635" s="52"/>
      <c r="K635" s="52"/>
      <c r="L635" s="52"/>
      <c r="M635" s="52"/>
      <c r="N635" s="52"/>
      <c r="O635" s="52"/>
      <c r="P635" s="52"/>
      <c r="Q635" s="52"/>
      <c r="R635" s="52"/>
      <c r="S635" s="52"/>
      <c r="T635" s="52"/>
      <c r="U635" s="52"/>
      <c r="V635" s="52"/>
      <c r="W635" s="52"/>
      <c r="X635" s="52"/>
      <c r="Y635" s="52"/>
      <c r="Z635" s="52"/>
      <c r="AA635" s="52"/>
      <c r="AB635" s="52"/>
      <c r="AC635" s="52"/>
      <c r="AD635" s="52"/>
      <c r="AE635" s="52"/>
      <c r="AF635" s="52"/>
      <c r="AG635" s="52"/>
      <c r="AH635" s="52"/>
      <c r="AI635" s="52"/>
      <c r="AJ635" s="52"/>
      <c r="AK635" s="52"/>
      <c r="AL635" s="52"/>
      <c r="AM635" s="52"/>
      <c r="AN635" s="52"/>
    </row>
    <row r="636" spans="1:40" x14ac:dyDescent="0.3">
      <c r="A636" s="52">
        <v>631</v>
      </c>
      <c r="B636" s="52">
        <f>-bthan*500+(30+0.5)*bthan*1000/50</f>
        <v>605</v>
      </c>
      <c r="C636" s="52">
        <f t="shared" si="116"/>
        <v>-550</v>
      </c>
      <c r="D636" s="52">
        <f t="shared" si="113"/>
        <v>2200</v>
      </c>
      <c r="E636" s="52">
        <f t="shared" si="114"/>
        <v>1</v>
      </c>
      <c r="F636" s="52"/>
      <c r="G636" s="52"/>
      <c r="H636" s="52"/>
      <c r="I636" s="52"/>
      <c r="J636" s="52"/>
      <c r="K636" s="52"/>
      <c r="L636" s="52"/>
      <c r="M636" s="52"/>
      <c r="N636" s="52"/>
      <c r="O636" s="52"/>
      <c r="P636" s="52"/>
      <c r="Q636" s="52"/>
      <c r="R636" s="52"/>
      <c r="S636" s="52"/>
      <c r="T636" s="52"/>
      <c r="U636" s="52"/>
      <c r="V636" s="52"/>
      <c r="W636" s="52"/>
      <c r="X636" s="52"/>
      <c r="Y636" s="52"/>
      <c r="Z636" s="52"/>
      <c r="AA636" s="52"/>
      <c r="AB636" s="52"/>
      <c r="AC636" s="52"/>
      <c r="AD636" s="52"/>
      <c r="AE636" s="52"/>
      <c r="AF636" s="52"/>
      <c r="AG636" s="52"/>
      <c r="AH636" s="52"/>
      <c r="AI636" s="52"/>
      <c r="AJ636" s="52"/>
      <c r="AK636" s="52"/>
      <c r="AL636" s="52"/>
      <c r="AM636" s="52"/>
      <c r="AN636" s="52"/>
    </row>
    <row r="637" spans="1:40" x14ac:dyDescent="0.3">
      <c r="A637" s="52">
        <v>632</v>
      </c>
      <c r="B637" s="52">
        <f>-bthan*500+(31+0.5)*bthan*1000/50</f>
        <v>715</v>
      </c>
      <c r="C637" s="52">
        <f t="shared" si="116"/>
        <v>-550</v>
      </c>
      <c r="D637" s="52">
        <f t="shared" si="113"/>
        <v>2200</v>
      </c>
      <c r="E637" s="52">
        <f t="shared" si="114"/>
        <v>1</v>
      </c>
      <c r="F637" s="52"/>
      <c r="G637" s="52"/>
      <c r="H637" s="52"/>
      <c r="I637" s="52"/>
      <c r="J637" s="52"/>
      <c r="K637" s="52"/>
      <c r="L637" s="52"/>
      <c r="M637" s="52"/>
      <c r="N637" s="52"/>
      <c r="O637" s="52"/>
      <c r="P637" s="52"/>
      <c r="Q637" s="52"/>
      <c r="R637" s="52"/>
      <c r="S637" s="52"/>
      <c r="T637" s="52"/>
      <c r="U637" s="52"/>
      <c r="V637" s="52"/>
      <c r="W637" s="52"/>
      <c r="X637" s="52"/>
      <c r="Y637" s="52"/>
      <c r="Z637" s="52"/>
      <c r="AA637" s="52"/>
      <c r="AB637" s="52"/>
      <c r="AC637" s="52"/>
      <c r="AD637" s="52"/>
      <c r="AE637" s="52"/>
      <c r="AF637" s="52"/>
      <c r="AG637" s="52"/>
      <c r="AH637" s="52"/>
      <c r="AI637" s="52"/>
      <c r="AJ637" s="52"/>
      <c r="AK637" s="52"/>
      <c r="AL637" s="52"/>
      <c r="AM637" s="52"/>
      <c r="AN637" s="52"/>
    </row>
    <row r="638" spans="1:40" x14ac:dyDescent="0.3">
      <c r="A638" s="52">
        <v>633</v>
      </c>
      <c r="B638" s="52">
        <f>-bthan*500+(32+0.5)*bthan*1000/50</f>
        <v>825</v>
      </c>
      <c r="C638" s="52">
        <f t="shared" ref="C638:C655" si="117">-hthan*500+(12+0.5)*hthan*1000/80</f>
        <v>-550</v>
      </c>
      <c r="D638" s="52">
        <f t="shared" si="113"/>
        <v>2200</v>
      </c>
      <c r="E638" s="52">
        <f t="shared" si="114"/>
        <v>1</v>
      </c>
      <c r="F638" s="52"/>
      <c r="G638" s="52"/>
      <c r="H638" s="52"/>
      <c r="I638" s="52"/>
      <c r="J638" s="52"/>
      <c r="K638" s="52"/>
      <c r="L638" s="52"/>
      <c r="M638" s="52"/>
      <c r="N638" s="52"/>
      <c r="O638" s="52"/>
      <c r="P638" s="52"/>
      <c r="Q638" s="52"/>
      <c r="R638" s="52"/>
      <c r="S638" s="52"/>
      <c r="T638" s="52"/>
      <c r="U638" s="52"/>
      <c r="V638" s="52"/>
      <c r="W638" s="52"/>
      <c r="X638" s="52"/>
      <c r="Y638" s="52"/>
      <c r="Z638" s="52"/>
      <c r="AA638" s="52"/>
      <c r="AB638" s="52"/>
      <c r="AC638" s="52"/>
      <c r="AD638" s="52"/>
      <c r="AE638" s="52"/>
      <c r="AF638" s="52"/>
      <c r="AG638" s="52"/>
      <c r="AH638" s="52"/>
      <c r="AI638" s="52"/>
      <c r="AJ638" s="52"/>
      <c r="AK638" s="52"/>
      <c r="AL638" s="52"/>
      <c r="AM638" s="52"/>
      <c r="AN638" s="52"/>
    </row>
    <row r="639" spans="1:40" x14ac:dyDescent="0.3">
      <c r="A639" s="52">
        <v>634</v>
      </c>
      <c r="B639" s="52">
        <f>-bthan*500+(33+0.5)*bthan*1000/50</f>
        <v>935</v>
      </c>
      <c r="C639" s="52">
        <f t="shared" si="117"/>
        <v>-550</v>
      </c>
      <c r="D639" s="52">
        <f t="shared" si="113"/>
        <v>2200</v>
      </c>
      <c r="E639" s="52">
        <f t="shared" si="114"/>
        <v>1</v>
      </c>
      <c r="F639" s="52"/>
      <c r="G639" s="52"/>
      <c r="H639" s="52"/>
      <c r="I639" s="52"/>
      <c r="J639" s="52"/>
      <c r="K639" s="52"/>
      <c r="L639" s="52"/>
      <c r="M639" s="52"/>
      <c r="N639" s="52"/>
      <c r="O639" s="52"/>
      <c r="P639" s="52"/>
      <c r="Q639" s="52"/>
      <c r="R639" s="52"/>
      <c r="S639" s="52"/>
      <c r="T639" s="52"/>
      <c r="U639" s="52"/>
      <c r="V639" s="52"/>
      <c r="W639" s="52"/>
      <c r="X639" s="52"/>
      <c r="Y639" s="52"/>
      <c r="Z639" s="52"/>
      <c r="AA639" s="52"/>
      <c r="AB639" s="52"/>
      <c r="AC639" s="52"/>
      <c r="AD639" s="52"/>
      <c r="AE639" s="52"/>
      <c r="AF639" s="52"/>
      <c r="AG639" s="52"/>
      <c r="AH639" s="52"/>
      <c r="AI639" s="52"/>
      <c r="AJ639" s="52"/>
      <c r="AK639" s="52"/>
      <c r="AL639" s="52"/>
      <c r="AM639" s="52"/>
      <c r="AN639" s="52"/>
    </row>
    <row r="640" spans="1:40" x14ac:dyDescent="0.3">
      <c r="A640" s="52">
        <v>635</v>
      </c>
      <c r="B640" s="52">
        <f>-bthan*500+(34+0.5)*bthan*1000/50</f>
        <v>1045</v>
      </c>
      <c r="C640" s="52">
        <f t="shared" si="117"/>
        <v>-550</v>
      </c>
      <c r="D640" s="52">
        <f t="shared" si="113"/>
        <v>2200</v>
      </c>
      <c r="E640" s="52">
        <f t="shared" si="114"/>
        <v>1</v>
      </c>
      <c r="F640" s="52"/>
      <c r="G640" s="52"/>
      <c r="H640" s="52"/>
      <c r="I640" s="52"/>
      <c r="J640" s="52"/>
      <c r="K640" s="52"/>
      <c r="L640" s="52"/>
      <c r="M640" s="52"/>
      <c r="N640" s="52"/>
      <c r="O640" s="52"/>
      <c r="P640" s="52"/>
      <c r="Q640" s="52"/>
      <c r="R640" s="52"/>
      <c r="S640" s="52"/>
      <c r="T640" s="52"/>
      <c r="U640" s="52"/>
      <c r="V640" s="52"/>
      <c r="W640" s="52"/>
      <c r="X640" s="52"/>
      <c r="Y640" s="52"/>
      <c r="Z640" s="52"/>
      <c r="AA640" s="52"/>
      <c r="AB640" s="52"/>
      <c r="AC640" s="52"/>
      <c r="AD640" s="52"/>
      <c r="AE640" s="52"/>
      <c r="AF640" s="52"/>
      <c r="AG640" s="52"/>
      <c r="AH640" s="52"/>
      <c r="AI640" s="52"/>
      <c r="AJ640" s="52"/>
      <c r="AK640" s="52"/>
      <c r="AL640" s="52"/>
      <c r="AM640" s="52"/>
      <c r="AN640" s="52"/>
    </row>
    <row r="641" spans="1:40" x14ac:dyDescent="0.3">
      <c r="A641" s="52">
        <v>636</v>
      </c>
      <c r="B641" s="52">
        <f>-bthan*500+(35+0.5)*bthan*1000/50</f>
        <v>1155</v>
      </c>
      <c r="C641" s="52">
        <f t="shared" si="117"/>
        <v>-550</v>
      </c>
      <c r="D641" s="52">
        <f t="shared" si="113"/>
        <v>2200</v>
      </c>
      <c r="E641" s="52">
        <f t="shared" si="114"/>
        <v>1</v>
      </c>
      <c r="F641" s="52"/>
      <c r="G641" s="52"/>
      <c r="H641" s="52"/>
      <c r="I641" s="52"/>
      <c r="J641" s="52"/>
      <c r="K641" s="52"/>
      <c r="L641" s="52"/>
      <c r="M641" s="52"/>
      <c r="N641" s="52"/>
      <c r="O641" s="52"/>
      <c r="P641" s="52"/>
      <c r="Q641" s="52"/>
      <c r="R641" s="52"/>
      <c r="S641" s="52"/>
      <c r="T641" s="52"/>
      <c r="U641" s="52"/>
      <c r="V641" s="52"/>
      <c r="W641" s="52"/>
      <c r="X641" s="52"/>
      <c r="Y641" s="52"/>
      <c r="Z641" s="52"/>
      <c r="AA641" s="52"/>
      <c r="AB641" s="52"/>
      <c r="AC641" s="52"/>
      <c r="AD641" s="52"/>
      <c r="AE641" s="52"/>
      <c r="AF641" s="52"/>
      <c r="AG641" s="52"/>
      <c r="AH641" s="52"/>
      <c r="AI641" s="52"/>
      <c r="AJ641" s="52"/>
      <c r="AK641" s="52"/>
      <c r="AL641" s="52"/>
      <c r="AM641" s="52"/>
      <c r="AN641" s="52"/>
    </row>
    <row r="642" spans="1:40" x14ac:dyDescent="0.3">
      <c r="A642" s="52">
        <v>637</v>
      </c>
      <c r="B642" s="52">
        <f>-bthan*500+(36+0.5)*bthan*1000/50</f>
        <v>1265</v>
      </c>
      <c r="C642" s="52">
        <f t="shared" si="117"/>
        <v>-550</v>
      </c>
      <c r="D642" s="52">
        <f t="shared" si="113"/>
        <v>2200</v>
      </c>
      <c r="E642" s="52">
        <f t="shared" si="114"/>
        <v>1</v>
      </c>
      <c r="F642" s="52"/>
      <c r="G642" s="52"/>
      <c r="H642" s="52"/>
      <c r="I642" s="52"/>
      <c r="J642" s="52"/>
      <c r="K642" s="52"/>
      <c r="L642" s="52"/>
      <c r="M642" s="52"/>
      <c r="N642" s="52"/>
      <c r="O642" s="52"/>
      <c r="P642" s="52"/>
      <c r="Q642" s="52"/>
      <c r="R642" s="52"/>
      <c r="S642" s="52"/>
      <c r="T642" s="52"/>
      <c r="U642" s="52"/>
      <c r="V642" s="52"/>
      <c r="W642" s="52"/>
      <c r="X642" s="52"/>
      <c r="Y642" s="52"/>
      <c r="Z642" s="52"/>
      <c r="AA642" s="52"/>
      <c r="AB642" s="52"/>
      <c r="AC642" s="52"/>
      <c r="AD642" s="52"/>
      <c r="AE642" s="52"/>
      <c r="AF642" s="52"/>
      <c r="AG642" s="52"/>
      <c r="AH642" s="52"/>
      <c r="AI642" s="52"/>
      <c r="AJ642" s="52"/>
      <c r="AK642" s="52"/>
      <c r="AL642" s="52"/>
      <c r="AM642" s="52"/>
      <c r="AN642" s="52"/>
    </row>
    <row r="643" spans="1:40" x14ac:dyDescent="0.3">
      <c r="A643" s="52">
        <v>638</v>
      </c>
      <c r="B643" s="52">
        <f>-bthan*500+(37+0.5)*bthan*1000/50</f>
        <v>1375</v>
      </c>
      <c r="C643" s="52">
        <f t="shared" si="117"/>
        <v>-550</v>
      </c>
      <c r="D643" s="52">
        <f t="shared" si="113"/>
        <v>2200</v>
      </c>
      <c r="E643" s="52">
        <f t="shared" si="114"/>
        <v>1</v>
      </c>
      <c r="F643" s="52"/>
      <c r="G643" s="52"/>
      <c r="H643" s="52"/>
      <c r="I643" s="52"/>
      <c r="J643" s="52"/>
      <c r="K643" s="52"/>
      <c r="L643" s="52"/>
      <c r="M643" s="52"/>
      <c r="N643" s="52"/>
      <c r="O643" s="52"/>
      <c r="P643" s="52"/>
      <c r="Q643" s="52"/>
      <c r="R643" s="52"/>
      <c r="S643" s="52"/>
      <c r="T643" s="52"/>
      <c r="U643" s="52"/>
      <c r="V643" s="52"/>
      <c r="W643" s="52"/>
      <c r="X643" s="52"/>
      <c r="Y643" s="52"/>
      <c r="Z643" s="52"/>
      <c r="AA643" s="52"/>
      <c r="AB643" s="52"/>
      <c r="AC643" s="52"/>
      <c r="AD643" s="52"/>
      <c r="AE643" s="52"/>
      <c r="AF643" s="52"/>
      <c r="AG643" s="52"/>
      <c r="AH643" s="52"/>
      <c r="AI643" s="52"/>
      <c r="AJ643" s="52"/>
      <c r="AK643" s="52"/>
      <c r="AL643" s="52"/>
      <c r="AM643" s="52"/>
      <c r="AN643" s="52"/>
    </row>
    <row r="644" spans="1:40" x14ac:dyDescent="0.3">
      <c r="A644" s="52">
        <v>639</v>
      </c>
      <c r="B644" s="52">
        <f>-bthan*500+(38+0.5)*bthan*1000/50</f>
        <v>1485</v>
      </c>
      <c r="C644" s="52">
        <f t="shared" si="117"/>
        <v>-550</v>
      </c>
      <c r="D644" s="52">
        <f t="shared" si="113"/>
        <v>2200</v>
      </c>
      <c r="E644" s="52">
        <f t="shared" si="114"/>
        <v>1</v>
      </c>
      <c r="F644" s="52"/>
      <c r="G644" s="52"/>
      <c r="H644" s="52"/>
      <c r="I644" s="52"/>
      <c r="J644" s="52"/>
      <c r="K644" s="52"/>
      <c r="L644" s="52"/>
      <c r="M644" s="52"/>
      <c r="N644" s="52"/>
      <c r="O644" s="52"/>
      <c r="P644" s="52"/>
      <c r="Q644" s="52"/>
      <c r="R644" s="52"/>
      <c r="S644" s="52"/>
      <c r="T644" s="52"/>
      <c r="U644" s="52"/>
      <c r="V644" s="52"/>
      <c r="W644" s="52"/>
      <c r="X644" s="52"/>
      <c r="Y644" s="52"/>
      <c r="Z644" s="52"/>
      <c r="AA644" s="52"/>
      <c r="AB644" s="52"/>
      <c r="AC644" s="52"/>
      <c r="AD644" s="52"/>
      <c r="AE644" s="52"/>
      <c r="AF644" s="52"/>
      <c r="AG644" s="52"/>
      <c r="AH644" s="52"/>
      <c r="AI644" s="52"/>
      <c r="AJ644" s="52"/>
      <c r="AK644" s="52"/>
      <c r="AL644" s="52"/>
      <c r="AM644" s="52"/>
      <c r="AN644" s="52"/>
    </row>
    <row r="645" spans="1:40" x14ac:dyDescent="0.3">
      <c r="A645" s="52">
        <v>640</v>
      </c>
      <c r="B645" s="52">
        <f>-bthan*500+(39+0.5)*bthan*1000/50</f>
        <v>1595</v>
      </c>
      <c r="C645" s="52">
        <f t="shared" si="117"/>
        <v>-550</v>
      </c>
      <c r="D645" s="52">
        <f t="shared" si="113"/>
        <v>2200</v>
      </c>
      <c r="E645" s="52">
        <f t="shared" si="114"/>
        <v>1</v>
      </c>
      <c r="F645" s="52"/>
      <c r="G645" s="52"/>
      <c r="H645" s="52"/>
      <c r="I645" s="52"/>
      <c r="J645" s="52"/>
      <c r="K645" s="52"/>
      <c r="L645" s="52"/>
      <c r="M645" s="52"/>
      <c r="N645" s="52"/>
      <c r="O645" s="52"/>
      <c r="P645" s="52"/>
      <c r="Q645" s="52"/>
      <c r="R645" s="52"/>
      <c r="S645" s="52"/>
      <c r="T645" s="52"/>
      <c r="U645" s="52"/>
      <c r="V645" s="52"/>
      <c r="W645" s="52"/>
      <c r="X645" s="52"/>
      <c r="Y645" s="52"/>
      <c r="Z645" s="52"/>
      <c r="AA645" s="52"/>
      <c r="AB645" s="52"/>
      <c r="AC645" s="52"/>
      <c r="AD645" s="52"/>
      <c r="AE645" s="52"/>
      <c r="AF645" s="52"/>
      <c r="AG645" s="52"/>
      <c r="AH645" s="52"/>
      <c r="AI645" s="52"/>
      <c r="AJ645" s="52"/>
      <c r="AK645" s="52"/>
      <c r="AL645" s="52"/>
      <c r="AM645" s="52"/>
      <c r="AN645" s="52"/>
    </row>
    <row r="646" spans="1:40" x14ac:dyDescent="0.3">
      <c r="A646" s="52">
        <v>641</v>
      </c>
      <c r="B646" s="52">
        <f>-bthan*500+(40+0.5)*bthan*1000/50</f>
        <v>1705</v>
      </c>
      <c r="C646" s="52">
        <f t="shared" si="117"/>
        <v>-550</v>
      </c>
      <c r="D646" s="52">
        <f t="shared" ref="D646:D709" si="118">bthan*1000/50*hthan*1000/80</f>
        <v>2200</v>
      </c>
      <c r="E646" s="52">
        <f t="shared" ref="E646:E709" si="119">IF(shp=1,--(OR(ABS(B646)&lt;=MAX(0,(bthan-hthan)*500),(ABS(B646)-MAX(0,(bthan-hthan)*500))^2+C646^2&lt;=(hthan*500)^2)),--(AND(ABS(B646)&lt;=bthan*500,ABS(C646)&lt;=hthan*500,OR(ABS(B646)&lt;=bthan*500-cch*1000,ABS(C646)&lt;=hthan*500-cch*1000,(bthan*500-ABS(B646))+(hthan*500-ABS(C646))&gt;=cch*1000))))</f>
        <v>1</v>
      </c>
      <c r="F646" s="52"/>
      <c r="G646" s="52"/>
      <c r="H646" s="52"/>
      <c r="I646" s="52"/>
      <c r="J646" s="52"/>
      <c r="K646" s="52"/>
      <c r="L646" s="52"/>
      <c r="M646" s="52"/>
      <c r="N646" s="52"/>
      <c r="O646" s="52"/>
      <c r="P646" s="52"/>
      <c r="Q646" s="52"/>
      <c r="R646" s="52"/>
      <c r="S646" s="52"/>
      <c r="T646" s="52"/>
      <c r="U646" s="52"/>
      <c r="V646" s="52"/>
      <c r="W646" s="52"/>
      <c r="X646" s="52"/>
      <c r="Y646" s="52"/>
      <c r="Z646" s="52"/>
      <c r="AA646" s="52"/>
      <c r="AB646" s="52"/>
      <c r="AC646" s="52"/>
      <c r="AD646" s="52"/>
      <c r="AE646" s="52"/>
      <c r="AF646" s="52"/>
      <c r="AG646" s="52"/>
      <c r="AH646" s="52"/>
      <c r="AI646" s="52"/>
      <c r="AJ646" s="52"/>
      <c r="AK646" s="52"/>
      <c r="AL646" s="52"/>
      <c r="AM646" s="52"/>
      <c r="AN646" s="52"/>
    </row>
    <row r="647" spans="1:40" x14ac:dyDescent="0.3">
      <c r="A647" s="52">
        <v>642</v>
      </c>
      <c r="B647" s="52">
        <f>-bthan*500+(41+0.5)*bthan*1000/50</f>
        <v>1815</v>
      </c>
      <c r="C647" s="52">
        <f t="shared" si="117"/>
        <v>-550</v>
      </c>
      <c r="D647" s="52">
        <f t="shared" si="118"/>
        <v>2200</v>
      </c>
      <c r="E647" s="52">
        <f t="shared" si="119"/>
        <v>1</v>
      </c>
      <c r="F647" s="52"/>
      <c r="G647" s="52"/>
      <c r="H647" s="52"/>
      <c r="I647" s="52"/>
      <c r="J647" s="52"/>
      <c r="K647" s="52"/>
      <c r="L647" s="52"/>
      <c r="M647" s="52"/>
      <c r="N647" s="52"/>
      <c r="O647" s="52"/>
      <c r="P647" s="52"/>
      <c r="Q647" s="52"/>
      <c r="R647" s="52"/>
      <c r="S647" s="52"/>
      <c r="T647" s="52"/>
      <c r="U647" s="52"/>
      <c r="V647" s="52"/>
      <c r="W647" s="52"/>
      <c r="X647" s="52"/>
      <c r="Y647" s="52"/>
      <c r="Z647" s="52"/>
      <c r="AA647" s="52"/>
      <c r="AB647" s="52"/>
      <c r="AC647" s="52"/>
      <c r="AD647" s="52"/>
      <c r="AE647" s="52"/>
      <c r="AF647" s="52"/>
      <c r="AG647" s="52"/>
      <c r="AH647" s="52"/>
      <c r="AI647" s="52"/>
      <c r="AJ647" s="52"/>
      <c r="AK647" s="52"/>
      <c r="AL647" s="52"/>
      <c r="AM647" s="52"/>
      <c r="AN647" s="52"/>
    </row>
    <row r="648" spans="1:40" x14ac:dyDescent="0.3">
      <c r="A648" s="52">
        <v>643</v>
      </c>
      <c r="B648" s="52">
        <f>-bthan*500+(42+0.5)*bthan*1000/50</f>
        <v>1925</v>
      </c>
      <c r="C648" s="52">
        <f t="shared" si="117"/>
        <v>-550</v>
      </c>
      <c r="D648" s="52">
        <f t="shared" si="118"/>
        <v>2200</v>
      </c>
      <c r="E648" s="52">
        <f t="shared" si="119"/>
        <v>1</v>
      </c>
      <c r="F648" s="52"/>
      <c r="G648" s="52"/>
      <c r="H648" s="52"/>
      <c r="I648" s="52"/>
      <c r="J648" s="52"/>
      <c r="K648" s="52"/>
      <c r="L648" s="52"/>
      <c r="M648" s="52"/>
      <c r="N648" s="52"/>
      <c r="O648" s="52"/>
      <c r="P648" s="52"/>
      <c r="Q648" s="52"/>
      <c r="R648" s="52"/>
      <c r="S648" s="52"/>
      <c r="T648" s="52"/>
      <c r="U648" s="52"/>
      <c r="V648" s="52"/>
      <c r="W648" s="52"/>
      <c r="X648" s="52"/>
      <c r="Y648" s="52"/>
      <c r="Z648" s="52"/>
      <c r="AA648" s="52"/>
      <c r="AB648" s="52"/>
      <c r="AC648" s="52"/>
      <c r="AD648" s="52"/>
      <c r="AE648" s="52"/>
      <c r="AF648" s="52"/>
      <c r="AG648" s="52"/>
      <c r="AH648" s="52"/>
      <c r="AI648" s="52"/>
      <c r="AJ648" s="52"/>
      <c r="AK648" s="52"/>
      <c r="AL648" s="52"/>
      <c r="AM648" s="52"/>
      <c r="AN648" s="52"/>
    </row>
    <row r="649" spans="1:40" x14ac:dyDescent="0.3">
      <c r="A649" s="52">
        <v>644</v>
      </c>
      <c r="B649" s="52">
        <f>-bthan*500+(43+0.5)*bthan*1000/50</f>
        <v>2035</v>
      </c>
      <c r="C649" s="52">
        <f t="shared" si="117"/>
        <v>-550</v>
      </c>
      <c r="D649" s="52">
        <f t="shared" si="118"/>
        <v>2200</v>
      </c>
      <c r="E649" s="52">
        <f t="shared" si="119"/>
        <v>1</v>
      </c>
      <c r="F649" s="52"/>
      <c r="G649" s="52"/>
      <c r="H649" s="52"/>
      <c r="I649" s="52"/>
      <c r="J649" s="52"/>
      <c r="K649" s="52"/>
      <c r="L649" s="52"/>
      <c r="M649" s="52"/>
      <c r="N649" s="52"/>
      <c r="O649" s="52"/>
      <c r="P649" s="52"/>
      <c r="Q649" s="52"/>
      <c r="R649" s="52"/>
      <c r="S649" s="52"/>
      <c r="T649" s="52"/>
      <c r="U649" s="52"/>
      <c r="V649" s="52"/>
      <c r="W649" s="52"/>
      <c r="X649" s="52"/>
      <c r="Y649" s="52"/>
      <c r="Z649" s="52"/>
      <c r="AA649" s="52"/>
      <c r="AB649" s="52"/>
      <c r="AC649" s="52"/>
      <c r="AD649" s="52"/>
      <c r="AE649" s="52"/>
      <c r="AF649" s="52"/>
      <c r="AG649" s="52"/>
      <c r="AH649" s="52"/>
      <c r="AI649" s="52"/>
      <c r="AJ649" s="52"/>
      <c r="AK649" s="52"/>
      <c r="AL649" s="52"/>
      <c r="AM649" s="52"/>
      <c r="AN649" s="52"/>
    </row>
    <row r="650" spans="1:40" x14ac:dyDescent="0.3">
      <c r="A650" s="52">
        <v>645</v>
      </c>
      <c r="B650" s="52">
        <f>-bthan*500+(44+0.5)*bthan*1000/50</f>
        <v>2145</v>
      </c>
      <c r="C650" s="52">
        <f t="shared" si="117"/>
        <v>-550</v>
      </c>
      <c r="D650" s="52">
        <f t="shared" si="118"/>
        <v>2200</v>
      </c>
      <c r="E650" s="52">
        <f t="shared" si="119"/>
        <v>1</v>
      </c>
      <c r="F650" s="52"/>
      <c r="G650" s="52"/>
      <c r="H650" s="52"/>
      <c r="I650" s="52"/>
      <c r="J650" s="52"/>
      <c r="K650" s="52"/>
      <c r="L650" s="52"/>
      <c r="M650" s="52"/>
      <c r="N650" s="52"/>
      <c r="O650" s="52"/>
      <c r="P650" s="52"/>
      <c r="Q650" s="52"/>
      <c r="R650" s="52"/>
      <c r="S650" s="52"/>
      <c r="T650" s="52"/>
      <c r="U650" s="52"/>
      <c r="V650" s="52"/>
      <c r="W650" s="52"/>
      <c r="X650" s="52"/>
      <c r="Y650" s="52"/>
      <c r="Z650" s="52"/>
      <c r="AA650" s="52"/>
      <c r="AB650" s="52"/>
      <c r="AC650" s="52"/>
      <c r="AD650" s="52"/>
      <c r="AE650" s="52"/>
      <c r="AF650" s="52"/>
      <c r="AG650" s="52"/>
      <c r="AH650" s="52"/>
      <c r="AI650" s="52"/>
      <c r="AJ650" s="52"/>
      <c r="AK650" s="52"/>
      <c r="AL650" s="52"/>
      <c r="AM650" s="52"/>
      <c r="AN650" s="52"/>
    </row>
    <row r="651" spans="1:40" x14ac:dyDescent="0.3">
      <c r="A651" s="52">
        <v>646</v>
      </c>
      <c r="B651" s="52">
        <f>-bthan*500+(45+0.5)*bthan*1000/50</f>
        <v>2255</v>
      </c>
      <c r="C651" s="52">
        <f t="shared" si="117"/>
        <v>-550</v>
      </c>
      <c r="D651" s="52">
        <f t="shared" si="118"/>
        <v>2200</v>
      </c>
      <c r="E651" s="52">
        <f t="shared" si="119"/>
        <v>1</v>
      </c>
      <c r="F651" s="52"/>
      <c r="G651" s="52"/>
      <c r="H651" s="52"/>
      <c r="I651" s="52"/>
      <c r="J651" s="52"/>
      <c r="K651" s="52"/>
      <c r="L651" s="52"/>
      <c r="M651" s="52"/>
      <c r="N651" s="52"/>
      <c r="O651" s="52"/>
      <c r="P651" s="52"/>
      <c r="Q651" s="52"/>
      <c r="R651" s="52"/>
      <c r="S651" s="52"/>
      <c r="T651" s="52"/>
      <c r="U651" s="52"/>
      <c r="V651" s="52"/>
      <c r="W651" s="52"/>
      <c r="X651" s="52"/>
      <c r="Y651" s="52"/>
      <c r="Z651" s="52"/>
      <c r="AA651" s="52"/>
      <c r="AB651" s="52"/>
      <c r="AC651" s="52"/>
      <c r="AD651" s="52"/>
      <c r="AE651" s="52"/>
      <c r="AF651" s="52"/>
      <c r="AG651" s="52"/>
      <c r="AH651" s="52"/>
      <c r="AI651" s="52"/>
      <c r="AJ651" s="52"/>
      <c r="AK651" s="52"/>
      <c r="AL651" s="52"/>
      <c r="AM651" s="52"/>
      <c r="AN651" s="52"/>
    </row>
    <row r="652" spans="1:40" x14ac:dyDescent="0.3">
      <c r="A652" s="52">
        <v>647</v>
      </c>
      <c r="B652" s="52">
        <f>-bthan*500+(46+0.5)*bthan*1000/50</f>
        <v>2365</v>
      </c>
      <c r="C652" s="52">
        <f t="shared" si="117"/>
        <v>-550</v>
      </c>
      <c r="D652" s="52">
        <f t="shared" si="118"/>
        <v>2200</v>
      </c>
      <c r="E652" s="52">
        <f t="shared" si="119"/>
        <v>1</v>
      </c>
      <c r="F652" s="52"/>
      <c r="G652" s="52"/>
      <c r="H652" s="52"/>
      <c r="I652" s="52"/>
      <c r="J652" s="52"/>
      <c r="K652" s="52"/>
      <c r="L652" s="52"/>
      <c r="M652" s="52"/>
      <c r="N652" s="52"/>
      <c r="O652" s="52"/>
      <c r="P652" s="52"/>
      <c r="Q652" s="52"/>
      <c r="R652" s="52"/>
      <c r="S652" s="52"/>
      <c r="T652" s="52"/>
      <c r="U652" s="52"/>
      <c r="V652" s="52"/>
      <c r="W652" s="52"/>
      <c r="X652" s="52"/>
      <c r="Y652" s="52"/>
      <c r="Z652" s="52"/>
      <c r="AA652" s="52"/>
      <c r="AB652" s="52"/>
      <c r="AC652" s="52"/>
      <c r="AD652" s="52"/>
      <c r="AE652" s="52"/>
      <c r="AF652" s="52"/>
      <c r="AG652" s="52"/>
      <c r="AH652" s="52"/>
      <c r="AI652" s="52"/>
      <c r="AJ652" s="52"/>
      <c r="AK652" s="52"/>
      <c r="AL652" s="52"/>
      <c r="AM652" s="52"/>
      <c r="AN652" s="52"/>
    </row>
    <row r="653" spans="1:40" x14ac:dyDescent="0.3">
      <c r="A653" s="52">
        <v>648</v>
      </c>
      <c r="B653" s="52">
        <f>-bthan*500+(47+0.5)*bthan*1000/50</f>
        <v>2475</v>
      </c>
      <c r="C653" s="52">
        <f t="shared" si="117"/>
        <v>-550</v>
      </c>
      <c r="D653" s="52">
        <f t="shared" si="118"/>
        <v>2200</v>
      </c>
      <c r="E653" s="52">
        <f t="shared" si="119"/>
        <v>1</v>
      </c>
      <c r="F653" s="52"/>
      <c r="G653" s="52"/>
      <c r="H653" s="52"/>
      <c r="I653" s="52"/>
      <c r="J653" s="52"/>
      <c r="K653" s="52"/>
      <c r="L653" s="52"/>
      <c r="M653" s="52"/>
      <c r="N653" s="52"/>
      <c r="O653" s="52"/>
      <c r="P653" s="52"/>
      <c r="Q653" s="52"/>
      <c r="R653" s="52"/>
      <c r="S653" s="52"/>
      <c r="T653" s="52"/>
      <c r="U653" s="52"/>
      <c r="V653" s="52"/>
      <c r="W653" s="52"/>
      <c r="X653" s="52"/>
      <c r="Y653" s="52"/>
      <c r="Z653" s="52"/>
      <c r="AA653" s="52"/>
      <c r="AB653" s="52"/>
      <c r="AC653" s="52"/>
      <c r="AD653" s="52"/>
      <c r="AE653" s="52"/>
      <c r="AF653" s="52"/>
      <c r="AG653" s="52"/>
      <c r="AH653" s="52"/>
      <c r="AI653" s="52"/>
      <c r="AJ653" s="52"/>
      <c r="AK653" s="52"/>
      <c r="AL653" s="52"/>
      <c r="AM653" s="52"/>
      <c r="AN653" s="52"/>
    </row>
    <row r="654" spans="1:40" x14ac:dyDescent="0.3">
      <c r="A654" s="52">
        <v>649</v>
      </c>
      <c r="B654" s="52">
        <f>-bthan*500+(48+0.5)*bthan*1000/50</f>
        <v>2585</v>
      </c>
      <c r="C654" s="52">
        <f t="shared" si="117"/>
        <v>-550</v>
      </c>
      <c r="D654" s="52">
        <f t="shared" si="118"/>
        <v>2200</v>
      </c>
      <c r="E654" s="52">
        <f t="shared" si="119"/>
        <v>0</v>
      </c>
      <c r="F654" s="52"/>
      <c r="G654" s="52"/>
      <c r="H654" s="52"/>
      <c r="I654" s="52"/>
      <c r="J654" s="52"/>
      <c r="K654" s="52"/>
      <c r="L654" s="52"/>
      <c r="M654" s="52"/>
      <c r="N654" s="52"/>
      <c r="O654" s="52"/>
      <c r="P654" s="52"/>
      <c r="Q654" s="52"/>
      <c r="R654" s="52"/>
      <c r="S654" s="52"/>
      <c r="T654" s="52"/>
      <c r="U654" s="52"/>
      <c r="V654" s="52"/>
      <c r="W654" s="52"/>
      <c r="X654" s="52"/>
      <c r="Y654" s="52"/>
      <c r="Z654" s="52"/>
      <c r="AA654" s="52"/>
      <c r="AB654" s="52"/>
      <c r="AC654" s="52"/>
      <c r="AD654" s="52"/>
      <c r="AE654" s="52"/>
      <c r="AF654" s="52"/>
      <c r="AG654" s="52"/>
      <c r="AH654" s="52"/>
      <c r="AI654" s="52"/>
      <c r="AJ654" s="52"/>
      <c r="AK654" s="52"/>
      <c r="AL654" s="52"/>
      <c r="AM654" s="52"/>
      <c r="AN654" s="52"/>
    </row>
    <row r="655" spans="1:40" x14ac:dyDescent="0.3">
      <c r="A655" s="52">
        <v>650</v>
      </c>
      <c r="B655" s="52">
        <f>-bthan*500+(49+0.5)*bthan*1000/50</f>
        <v>2695</v>
      </c>
      <c r="C655" s="52">
        <f t="shared" si="117"/>
        <v>-550</v>
      </c>
      <c r="D655" s="52">
        <f t="shared" si="118"/>
        <v>2200</v>
      </c>
      <c r="E655" s="52">
        <f t="shared" si="119"/>
        <v>0</v>
      </c>
      <c r="F655" s="52"/>
      <c r="G655" s="52"/>
      <c r="H655" s="52"/>
      <c r="I655" s="52"/>
      <c r="J655" s="52"/>
      <c r="K655" s="52"/>
      <c r="L655" s="52"/>
      <c r="M655" s="52"/>
      <c r="N655" s="52"/>
      <c r="O655" s="52"/>
      <c r="P655" s="52"/>
      <c r="Q655" s="52"/>
      <c r="R655" s="52"/>
      <c r="S655" s="52"/>
      <c r="T655" s="52"/>
      <c r="U655" s="52"/>
      <c r="V655" s="52"/>
      <c r="W655" s="52"/>
      <c r="X655" s="52"/>
      <c r="Y655" s="52"/>
      <c r="Z655" s="52"/>
      <c r="AA655" s="52"/>
      <c r="AB655" s="52"/>
      <c r="AC655" s="52"/>
      <c r="AD655" s="52"/>
      <c r="AE655" s="52"/>
      <c r="AF655" s="52"/>
      <c r="AG655" s="52"/>
      <c r="AH655" s="52"/>
      <c r="AI655" s="52"/>
      <c r="AJ655" s="52"/>
      <c r="AK655" s="52"/>
      <c r="AL655" s="52"/>
      <c r="AM655" s="52"/>
      <c r="AN655" s="52"/>
    </row>
    <row r="656" spans="1:40" x14ac:dyDescent="0.3">
      <c r="A656" s="52">
        <v>651</v>
      </c>
      <c r="B656" s="52">
        <f>-bthan*500+(0+0.5)*bthan*1000/50</f>
        <v>-2695</v>
      </c>
      <c r="C656" s="52">
        <f t="shared" ref="C656:C687" si="120">-hthan*500+(13+0.5)*hthan*1000/80</f>
        <v>-530</v>
      </c>
      <c r="D656" s="52">
        <f t="shared" si="118"/>
        <v>2200</v>
      </c>
      <c r="E656" s="52">
        <f t="shared" si="119"/>
        <v>0</v>
      </c>
      <c r="F656" s="52"/>
      <c r="G656" s="52"/>
      <c r="H656" s="52"/>
      <c r="I656" s="52"/>
      <c r="J656" s="52"/>
      <c r="K656" s="52"/>
      <c r="L656" s="52"/>
      <c r="M656" s="52"/>
      <c r="N656" s="52"/>
      <c r="O656" s="52"/>
      <c r="P656" s="52"/>
      <c r="Q656" s="52"/>
      <c r="R656" s="52"/>
      <c r="S656" s="52"/>
      <c r="T656" s="52"/>
      <c r="U656" s="52"/>
      <c r="V656" s="52"/>
      <c r="W656" s="52"/>
      <c r="X656" s="52"/>
      <c r="Y656" s="52"/>
      <c r="Z656" s="52"/>
      <c r="AA656" s="52"/>
      <c r="AB656" s="52"/>
      <c r="AC656" s="52"/>
      <c r="AD656" s="52"/>
      <c r="AE656" s="52"/>
      <c r="AF656" s="52"/>
      <c r="AG656" s="52"/>
      <c r="AH656" s="52"/>
      <c r="AI656" s="52"/>
      <c r="AJ656" s="52"/>
      <c r="AK656" s="52"/>
      <c r="AL656" s="52"/>
      <c r="AM656" s="52"/>
      <c r="AN656" s="52"/>
    </row>
    <row r="657" spans="1:40" x14ac:dyDescent="0.3">
      <c r="A657" s="52">
        <v>652</v>
      </c>
      <c r="B657" s="52">
        <f>-bthan*500+(1+0.5)*bthan*1000/50</f>
        <v>-2585</v>
      </c>
      <c r="C657" s="52">
        <f t="shared" si="120"/>
        <v>-530</v>
      </c>
      <c r="D657" s="52">
        <f t="shared" si="118"/>
        <v>2200</v>
      </c>
      <c r="E657" s="52">
        <f t="shared" si="119"/>
        <v>0</v>
      </c>
      <c r="F657" s="52"/>
      <c r="G657" s="52"/>
      <c r="H657" s="52"/>
      <c r="I657" s="52"/>
      <c r="J657" s="52"/>
      <c r="K657" s="52"/>
      <c r="L657" s="52"/>
      <c r="M657" s="52"/>
      <c r="N657" s="52"/>
      <c r="O657" s="52"/>
      <c r="P657" s="52"/>
      <c r="Q657" s="52"/>
      <c r="R657" s="52"/>
      <c r="S657" s="52"/>
      <c r="T657" s="52"/>
      <c r="U657" s="52"/>
      <c r="V657" s="52"/>
      <c r="W657" s="52"/>
      <c r="X657" s="52"/>
      <c r="Y657" s="52"/>
      <c r="Z657" s="52"/>
      <c r="AA657" s="52"/>
      <c r="AB657" s="52"/>
      <c r="AC657" s="52"/>
      <c r="AD657" s="52"/>
      <c r="AE657" s="52"/>
      <c r="AF657" s="52"/>
      <c r="AG657" s="52"/>
      <c r="AH657" s="52"/>
      <c r="AI657" s="52"/>
      <c r="AJ657" s="52"/>
      <c r="AK657" s="52"/>
      <c r="AL657" s="52"/>
      <c r="AM657" s="52"/>
      <c r="AN657" s="52"/>
    </row>
    <row r="658" spans="1:40" x14ac:dyDescent="0.3">
      <c r="A658" s="52">
        <v>653</v>
      </c>
      <c r="B658" s="52">
        <f>-bthan*500+(2+0.5)*bthan*1000/50</f>
        <v>-2475</v>
      </c>
      <c r="C658" s="52">
        <f t="shared" si="120"/>
        <v>-530</v>
      </c>
      <c r="D658" s="52">
        <f t="shared" si="118"/>
        <v>2200</v>
      </c>
      <c r="E658" s="52">
        <f t="shared" si="119"/>
        <v>1</v>
      </c>
      <c r="F658" s="52"/>
      <c r="G658" s="52"/>
      <c r="H658" s="52"/>
      <c r="I658" s="52"/>
      <c r="J658" s="52"/>
      <c r="K658" s="52"/>
      <c r="L658" s="52"/>
      <c r="M658" s="52"/>
      <c r="N658" s="52"/>
      <c r="O658" s="52"/>
      <c r="P658" s="52"/>
      <c r="Q658" s="52"/>
      <c r="R658" s="52"/>
      <c r="S658" s="52"/>
      <c r="T658" s="52"/>
      <c r="U658" s="52"/>
      <c r="V658" s="52"/>
      <c r="W658" s="52"/>
      <c r="X658" s="52"/>
      <c r="Y658" s="52"/>
      <c r="Z658" s="52"/>
      <c r="AA658" s="52"/>
      <c r="AB658" s="52"/>
      <c r="AC658" s="52"/>
      <c r="AD658" s="52"/>
      <c r="AE658" s="52"/>
      <c r="AF658" s="52"/>
      <c r="AG658" s="52"/>
      <c r="AH658" s="52"/>
      <c r="AI658" s="52"/>
      <c r="AJ658" s="52"/>
      <c r="AK658" s="52"/>
      <c r="AL658" s="52"/>
      <c r="AM658" s="52"/>
      <c r="AN658" s="52"/>
    </row>
    <row r="659" spans="1:40" x14ac:dyDescent="0.3">
      <c r="A659" s="52">
        <v>654</v>
      </c>
      <c r="B659" s="52">
        <f>-bthan*500+(3+0.5)*bthan*1000/50</f>
        <v>-2365</v>
      </c>
      <c r="C659" s="52">
        <f t="shared" si="120"/>
        <v>-530</v>
      </c>
      <c r="D659" s="52">
        <f t="shared" si="118"/>
        <v>2200</v>
      </c>
      <c r="E659" s="52">
        <f t="shared" si="119"/>
        <v>1</v>
      </c>
      <c r="F659" s="52"/>
      <c r="G659" s="52"/>
      <c r="H659" s="52"/>
      <c r="I659" s="52"/>
      <c r="J659" s="52"/>
      <c r="K659" s="52"/>
      <c r="L659" s="52"/>
      <c r="M659" s="52"/>
      <c r="N659" s="52"/>
      <c r="O659" s="52"/>
      <c r="P659" s="52"/>
      <c r="Q659" s="52"/>
      <c r="R659" s="52"/>
      <c r="S659" s="52"/>
      <c r="T659" s="52"/>
      <c r="U659" s="52"/>
      <c r="V659" s="52"/>
      <c r="W659" s="52"/>
      <c r="X659" s="52"/>
      <c r="Y659" s="52"/>
      <c r="Z659" s="52"/>
      <c r="AA659" s="52"/>
      <c r="AB659" s="52"/>
      <c r="AC659" s="52"/>
      <c r="AD659" s="52"/>
      <c r="AE659" s="52"/>
      <c r="AF659" s="52"/>
      <c r="AG659" s="52"/>
      <c r="AH659" s="52"/>
      <c r="AI659" s="52"/>
      <c r="AJ659" s="52"/>
      <c r="AK659" s="52"/>
      <c r="AL659" s="52"/>
      <c r="AM659" s="52"/>
      <c r="AN659" s="52"/>
    </row>
    <row r="660" spans="1:40" x14ac:dyDescent="0.3">
      <c r="A660" s="52">
        <v>655</v>
      </c>
      <c r="B660" s="52">
        <f>-bthan*500+(4+0.5)*bthan*1000/50</f>
        <v>-2255</v>
      </c>
      <c r="C660" s="52">
        <f t="shared" si="120"/>
        <v>-530</v>
      </c>
      <c r="D660" s="52">
        <f t="shared" si="118"/>
        <v>2200</v>
      </c>
      <c r="E660" s="52">
        <f t="shared" si="119"/>
        <v>1</v>
      </c>
      <c r="F660" s="52"/>
      <c r="G660" s="52"/>
      <c r="H660" s="52"/>
      <c r="I660" s="52"/>
      <c r="J660" s="52"/>
      <c r="K660" s="52"/>
      <c r="L660" s="52"/>
      <c r="M660" s="52"/>
      <c r="N660" s="52"/>
      <c r="O660" s="52"/>
      <c r="P660" s="52"/>
      <c r="Q660" s="52"/>
      <c r="R660" s="52"/>
      <c r="S660" s="52"/>
      <c r="T660" s="52"/>
      <c r="U660" s="52"/>
      <c r="V660" s="52"/>
      <c r="W660" s="52"/>
      <c r="X660" s="52"/>
      <c r="Y660" s="52"/>
      <c r="Z660" s="52"/>
      <c r="AA660" s="52"/>
      <c r="AB660" s="52"/>
      <c r="AC660" s="52"/>
      <c r="AD660" s="52"/>
      <c r="AE660" s="52"/>
      <c r="AF660" s="52"/>
      <c r="AG660" s="52"/>
      <c r="AH660" s="52"/>
      <c r="AI660" s="52"/>
      <c r="AJ660" s="52"/>
      <c r="AK660" s="52"/>
      <c r="AL660" s="52"/>
      <c r="AM660" s="52"/>
      <c r="AN660" s="52"/>
    </row>
    <row r="661" spans="1:40" x14ac:dyDescent="0.3">
      <c r="A661" s="52">
        <v>656</v>
      </c>
      <c r="B661" s="52">
        <f>-bthan*500+(5+0.5)*bthan*1000/50</f>
        <v>-2145</v>
      </c>
      <c r="C661" s="52">
        <f t="shared" si="120"/>
        <v>-530</v>
      </c>
      <c r="D661" s="52">
        <f t="shared" si="118"/>
        <v>2200</v>
      </c>
      <c r="E661" s="52">
        <f t="shared" si="119"/>
        <v>1</v>
      </c>
      <c r="F661" s="52"/>
      <c r="G661" s="52"/>
      <c r="H661" s="52"/>
      <c r="I661" s="52"/>
      <c r="J661" s="52"/>
      <c r="K661" s="52"/>
      <c r="L661" s="52"/>
      <c r="M661" s="52"/>
      <c r="N661" s="52"/>
      <c r="O661" s="52"/>
      <c r="P661" s="52"/>
      <c r="Q661" s="52"/>
      <c r="R661" s="52"/>
      <c r="S661" s="52"/>
      <c r="T661" s="52"/>
      <c r="U661" s="52"/>
      <c r="V661" s="52"/>
      <c r="W661" s="52"/>
      <c r="X661" s="52"/>
      <c r="Y661" s="52"/>
      <c r="Z661" s="52"/>
      <c r="AA661" s="52"/>
      <c r="AB661" s="52"/>
      <c r="AC661" s="52"/>
      <c r="AD661" s="52"/>
      <c r="AE661" s="52"/>
      <c r="AF661" s="52"/>
      <c r="AG661" s="52"/>
      <c r="AH661" s="52"/>
      <c r="AI661" s="52"/>
      <c r="AJ661" s="52"/>
      <c r="AK661" s="52"/>
      <c r="AL661" s="52"/>
      <c r="AM661" s="52"/>
      <c r="AN661" s="52"/>
    </row>
    <row r="662" spans="1:40" x14ac:dyDescent="0.3">
      <c r="A662" s="52">
        <v>657</v>
      </c>
      <c r="B662" s="52">
        <f>-bthan*500+(6+0.5)*bthan*1000/50</f>
        <v>-2035</v>
      </c>
      <c r="C662" s="52">
        <f t="shared" si="120"/>
        <v>-530</v>
      </c>
      <c r="D662" s="52">
        <f t="shared" si="118"/>
        <v>2200</v>
      </c>
      <c r="E662" s="52">
        <f t="shared" si="119"/>
        <v>1</v>
      </c>
      <c r="F662" s="52"/>
      <c r="G662" s="52"/>
      <c r="H662" s="52"/>
      <c r="I662" s="52"/>
      <c r="J662" s="52"/>
      <c r="K662" s="52"/>
      <c r="L662" s="52"/>
      <c r="M662" s="52"/>
      <c r="N662" s="52"/>
      <c r="O662" s="52"/>
      <c r="P662" s="52"/>
      <c r="Q662" s="52"/>
      <c r="R662" s="52"/>
      <c r="S662" s="52"/>
      <c r="T662" s="52"/>
      <c r="U662" s="52"/>
      <c r="V662" s="52"/>
      <c r="W662" s="52"/>
      <c r="X662" s="52"/>
      <c r="Y662" s="52"/>
      <c r="Z662" s="52"/>
      <c r="AA662" s="52"/>
      <c r="AB662" s="52"/>
      <c r="AC662" s="52"/>
      <c r="AD662" s="52"/>
      <c r="AE662" s="52"/>
      <c r="AF662" s="52"/>
      <c r="AG662" s="52"/>
      <c r="AH662" s="52"/>
      <c r="AI662" s="52"/>
      <c r="AJ662" s="52"/>
      <c r="AK662" s="52"/>
      <c r="AL662" s="52"/>
      <c r="AM662" s="52"/>
      <c r="AN662" s="52"/>
    </row>
    <row r="663" spans="1:40" x14ac:dyDescent="0.3">
      <c r="A663" s="52">
        <v>658</v>
      </c>
      <c r="B663" s="52">
        <f>-bthan*500+(7+0.5)*bthan*1000/50</f>
        <v>-1925</v>
      </c>
      <c r="C663" s="52">
        <f t="shared" si="120"/>
        <v>-530</v>
      </c>
      <c r="D663" s="52">
        <f t="shared" si="118"/>
        <v>2200</v>
      </c>
      <c r="E663" s="52">
        <f t="shared" si="119"/>
        <v>1</v>
      </c>
      <c r="F663" s="52"/>
      <c r="G663" s="52"/>
      <c r="H663" s="52"/>
      <c r="I663" s="52"/>
      <c r="J663" s="52"/>
      <c r="K663" s="52"/>
      <c r="L663" s="52"/>
      <c r="M663" s="52"/>
      <c r="N663" s="52"/>
      <c r="O663" s="52"/>
      <c r="P663" s="52"/>
      <c r="Q663" s="52"/>
      <c r="R663" s="52"/>
      <c r="S663" s="52"/>
      <c r="T663" s="52"/>
      <c r="U663" s="52"/>
      <c r="V663" s="52"/>
      <c r="W663" s="52"/>
      <c r="X663" s="52"/>
      <c r="Y663" s="52"/>
      <c r="Z663" s="52"/>
      <c r="AA663" s="52"/>
      <c r="AB663" s="52"/>
      <c r="AC663" s="52"/>
      <c r="AD663" s="52"/>
      <c r="AE663" s="52"/>
      <c r="AF663" s="52"/>
      <c r="AG663" s="52"/>
      <c r="AH663" s="52"/>
      <c r="AI663" s="52"/>
      <c r="AJ663" s="52"/>
      <c r="AK663" s="52"/>
      <c r="AL663" s="52"/>
      <c r="AM663" s="52"/>
      <c r="AN663" s="52"/>
    </row>
    <row r="664" spans="1:40" x14ac:dyDescent="0.3">
      <c r="A664" s="52">
        <v>659</v>
      </c>
      <c r="B664" s="52">
        <f>-bthan*500+(8+0.5)*bthan*1000/50</f>
        <v>-1815</v>
      </c>
      <c r="C664" s="52">
        <f t="shared" si="120"/>
        <v>-530</v>
      </c>
      <c r="D664" s="52">
        <f t="shared" si="118"/>
        <v>2200</v>
      </c>
      <c r="E664" s="52">
        <f t="shared" si="119"/>
        <v>1</v>
      </c>
      <c r="F664" s="52"/>
      <c r="G664" s="52"/>
      <c r="H664" s="52"/>
      <c r="I664" s="52"/>
      <c r="J664" s="52"/>
      <c r="K664" s="52"/>
      <c r="L664" s="52"/>
      <c r="M664" s="52"/>
      <c r="N664" s="52"/>
      <c r="O664" s="52"/>
      <c r="P664" s="52"/>
      <c r="Q664" s="52"/>
      <c r="R664" s="52"/>
      <c r="S664" s="52"/>
      <c r="T664" s="52"/>
      <c r="U664" s="52"/>
      <c r="V664" s="52"/>
      <c r="W664" s="52"/>
      <c r="X664" s="52"/>
      <c r="Y664" s="52"/>
      <c r="Z664" s="52"/>
      <c r="AA664" s="52"/>
      <c r="AB664" s="52"/>
      <c r="AC664" s="52"/>
      <c r="AD664" s="52"/>
      <c r="AE664" s="52"/>
      <c r="AF664" s="52"/>
      <c r="AG664" s="52"/>
      <c r="AH664" s="52"/>
      <c r="AI664" s="52"/>
      <c r="AJ664" s="52"/>
      <c r="AK664" s="52"/>
      <c r="AL664" s="52"/>
      <c r="AM664" s="52"/>
      <c r="AN664" s="52"/>
    </row>
    <row r="665" spans="1:40" x14ac:dyDescent="0.3">
      <c r="A665" s="52">
        <v>660</v>
      </c>
      <c r="B665" s="52">
        <f>-bthan*500+(9+0.5)*bthan*1000/50</f>
        <v>-1705</v>
      </c>
      <c r="C665" s="52">
        <f t="shared" si="120"/>
        <v>-530</v>
      </c>
      <c r="D665" s="52">
        <f t="shared" si="118"/>
        <v>2200</v>
      </c>
      <c r="E665" s="52">
        <f t="shared" si="119"/>
        <v>1</v>
      </c>
      <c r="F665" s="52"/>
      <c r="G665" s="52"/>
      <c r="H665" s="52"/>
      <c r="I665" s="52"/>
      <c r="J665" s="52"/>
      <c r="K665" s="52"/>
      <c r="L665" s="52"/>
      <c r="M665" s="52"/>
      <c r="N665" s="52"/>
      <c r="O665" s="52"/>
      <c r="P665" s="52"/>
      <c r="Q665" s="52"/>
      <c r="R665" s="52"/>
      <c r="S665" s="52"/>
      <c r="T665" s="52"/>
      <c r="U665" s="52"/>
      <c r="V665" s="52"/>
      <c r="W665" s="52"/>
      <c r="X665" s="52"/>
      <c r="Y665" s="52"/>
      <c r="Z665" s="52"/>
      <c r="AA665" s="52"/>
      <c r="AB665" s="52"/>
      <c r="AC665" s="52"/>
      <c r="AD665" s="52"/>
      <c r="AE665" s="52"/>
      <c r="AF665" s="52"/>
      <c r="AG665" s="52"/>
      <c r="AH665" s="52"/>
      <c r="AI665" s="52"/>
      <c r="AJ665" s="52"/>
      <c r="AK665" s="52"/>
      <c r="AL665" s="52"/>
      <c r="AM665" s="52"/>
      <c r="AN665" s="52"/>
    </row>
    <row r="666" spans="1:40" x14ac:dyDescent="0.3">
      <c r="A666" s="52">
        <v>661</v>
      </c>
      <c r="B666" s="52">
        <f>-bthan*500+(10+0.5)*bthan*1000/50</f>
        <v>-1595</v>
      </c>
      <c r="C666" s="52">
        <f t="shared" si="120"/>
        <v>-530</v>
      </c>
      <c r="D666" s="52">
        <f t="shared" si="118"/>
        <v>2200</v>
      </c>
      <c r="E666" s="52">
        <f t="shared" si="119"/>
        <v>1</v>
      </c>
      <c r="F666" s="52"/>
      <c r="G666" s="52"/>
      <c r="H666" s="52"/>
      <c r="I666" s="52"/>
      <c r="J666" s="52"/>
      <c r="K666" s="52"/>
      <c r="L666" s="52"/>
      <c r="M666" s="52"/>
      <c r="N666" s="52"/>
      <c r="O666" s="52"/>
      <c r="P666" s="52"/>
      <c r="Q666" s="52"/>
      <c r="R666" s="52"/>
      <c r="S666" s="52"/>
      <c r="T666" s="52"/>
      <c r="U666" s="52"/>
      <c r="V666" s="52"/>
      <c r="W666" s="52"/>
      <c r="X666" s="52"/>
      <c r="Y666" s="52"/>
      <c r="Z666" s="52"/>
      <c r="AA666" s="52"/>
      <c r="AB666" s="52"/>
      <c r="AC666" s="52"/>
      <c r="AD666" s="52"/>
      <c r="AE666" s="52"/>
      <c r="AF666" s="52"/>
      <c r="AG666" s="52"/>
      <c r="AH666" s="52"/>
      <c r="AI666" s="52"/>
      <c r="AJ666" s="52"/>
      <c r="AK666" s="52"/>
      <c r="AL666" s="52"/>
      <c r="AM666" s="52"/>
      <c r="AN666" s="52"/>
    </row>
    <row r="667" spans="1:40" x14ac:dyDescent="0.3">
      <c r="A667" s="52">
        <v>662</v>
      </c>
      <c r="B667" s="52">
        <f>-bthan*500+(11+0.5)*bthan*1000/50</f>
        <v>-1485</v>
      </c>
      <c r="C667" s="52">
        <f t="shared" si="120"/>
        <v>-530</v>
      </c>
      <c r="D667" s="52">
        <f t="shared" si="118"/>
        <v>2200</v>
      </c>
      <c r="E667" s="52">
        <f t="shared" si="119"/>
        <v>1</v>
      </c>
      <c r="F667" s="52"/>
      <c r="G667" s="52"/>
      <c r="H667" s="52"/>
      <c r="I667" s="52"/>
      <c r="J667" s="52"/>
      <c r="K667" s="52"/>
      <c r="L667" s="52"/>
      <c r="M667" s="52"/>
      <c r="N667" s="52"/>
      <c r="O667" s="52"/>
      <c r="P667" s="52"/>
      <c r="Q667" s="52"/>
      <c r="R667" s="52"/>
      <c r="S667" s="52"/>
      <c r="T667" s="52"/>
      <c r="U667" s="52"/>
      <c r="V667" s="52"/>
      <c r="W667" s="52"/>
      <c r="X667" s="52"/>
      <c r="Y667" s="52"/>
      <c r="Z667" s="52"/>
      <c r="AA667" s="52"/>
      <c r="AB667" s="52"/>
      <c r="AC667" s="52"/>
      <c r="AD667" s="52"/>
      <c r="AE667" s="52"/>
      <c r="AF667" s="52"/>
      <c r="AG667" s="52"/>
      <c r="AH667" s="52"/>
      <c r="AI667" s="52"/>
      <c r="AJ667" s="52"/>
      <c r="AK667" s="52"/>
      <c r="AL667" s="52"/>
      <c r="AM667" s="52"/>
      <c r="AN667" s="52"/>
    </row>
    <row r="668" spans="1:40" x14ac:dyDescent="0.3">
      <c r="A668" s="52">
        <v>663</v>
      </c>
      <c r="B668" s="52">
        <f>-bthan*500+(12+0.5)*bthan*1000/50</f>
        <v>-1375</v>
      </c>
      <c r="C668" s="52">
        <f t="shared" si="120"/>
        <v>-530</v>
      </c>
      <c r="D668" s="52">
        <f t="shared" si="118"/>
        <v>2200</v>
      </c>
      <c r="E668" s="52">
        <f t="shared" si="119"/>
        <v>1</v>
      </c>
      <c r="F668" s="52"/>
      <c r="G668" s="52"/>
      <c r="H668" s="52"/>
      <c r="I668" s="52"/>
      <c r="J668" s="52"/>
      <c r="K668" s="52"/>
      <c r="L668" s="52"/>
      <c r="M668" s="52"/>
      <c r="N668" s="52"/>
      <c r="O668" s="52"/>
      <c r="P668" s="52"/>
      <c r="Q668" s="52"/>
      <c r="R668" s="52"/>
      <c r="S668" s="52"/>
      <c r="T668" s="52"/>
      <c r="U668" s="52"/>
      <c r="V668" s="52"/>
      <c r="W668" s="52"/>
      <c r="X668" s="52"/>
      <c r="Y668" s="52"/>
      <c r="Z668" s="52"/>
      <c r="AA668" s="52"/>
      <c r="AB668" s="52"/>
      <c r="AC668" s="52"/>
      <c r="AD668" s="52"/>
      <c r="AE668" s="52"/>
      <c r="AF668" s="52"/>
      <c r="AG668" s="52"/>
      <c r="AH668" s="52"/>
      <c r="AI668" s="52"/>
      <c r="AJ668" s="52"/>
      <c r="AK668" s="52"/>
      <c r="AL668" s="52"/>
      <c r="AM668" s="52"/>
      <c r="AN668" s="52"/>
    </row>
    <row r="669" spans="1:40" x14ac:dyDescent="0.3">
      <c r="A669" s="52">
        <v>664</v>
      </c>
      <c r="B669" s="52">
        <f>-bthan*500+(13+0.5)*bthan*1000/50</f>
        <v>-1265</v>
      </c>
      <c r="C669" s="52">
        <f t="shared" si="120"/>
        <v>-530</v>
      </c>
      <c r="D669" s="52">
        <f t="shared" si="118"/>
        <v>2200</v>
      </c>
      <c r="E669" s="52">
        <f t="shared" si="119"/>
        <v>1</v>
      </c>
      <c r="F669" s="52"/>
      <c r="G669" s="52"/>
      <c r="H669" s="52"/>
      <c r="I669" s="52"/>
      <c r="J669" s="52"/>
      <c r="K669" s="52"/>
      <c r="L669" s="52"/>
      <c r="M669" s="52"/>
      <c r="N669" s="52"/>
      <c r="O669" s="52"/>
      <c r="P669" s="52"/>
      <c r="Q669" s="52"/>
      <c r="R669" s="52"/>
      <c r="S669" s="52"/>
      <c r="T669" s="52"/>
      <c r="U669" s="52"/>
      <c r="V669" s="52"/>
      <c r="W669" s="52"/>
      <c r="X669" s="52"/>
      <c r="Y669" s="52"/>
      <c r="Z669" s="52"/>
      <c r="AA669" s="52"/>
      <c r="AB669" s="52"/>
      <c r="AC669" s="52"/>
      <c r="AD669" s="52"/>
      <c r="AE669" s="52"/>
      <c r="AF669" s="52"/>
      <c r="AG669" s="52"/>
      <c r="AH669" s="52"/>
      <c r="AI669" s="52"/>
      <c r="AJ669" s="52"/>
      <c r="AK669" s="52"/>
      <c r="AL669" s="52"/>
      <c r="AM669" s="52"/>
      <c r="AN669" s="52"/>
    </row>
    <row r="670" spans="1:40" x14ac:dyDescent="0.3">
      <c r="A670" s="52">
        <v>665</v>
      </c>
      <c r="B670" s="52">
        <f>-bthan*500+(14+0.5)*bthan*1000/50</f>
        <v>-1155</v>
      </c>
      <c r="C670" s="52">
        <f t="shared" si="120"/>
        <v>-530</v>
      </c>
      <c r="D670" s="52">
        <f t="shared" si="118"/>
        <v>2200</v>
      </c>
      <c r="E670" s="52">
        <f t="shared" si="119"/>
        <v>1</v>
      </c>
      <c r="F670" s="52"/>
      <c r="G670" s="52"/>
      <c r="H670" s="52"/>
      <c r="I670" s="52"/>
      <c r="J670" s="52"/>
      <c r="K670" s="52"/>
      <c r="L670" s="52"/>
      <c r="M670" s="52"/>
      <c r="N670" s="52"/>
      <c r="O670" s="52"/>
      <c r="P670" s="52"/>
      <c r="Q670" s="52"/>
      <c r="R670" s="52"/>
      <c r="S670" s="52"/>
      <c r="T670" s="52"/>
      <c r="U670" s="52"/>
      <c r="V670" s="52"/>
      <c r="W670" s="52"/>
      <c r="X670" s="52"/>
      <c r="Y670" s="52"/>
      <c r="Z670" s="52"/>
      <c r="AA670" s="52"/>
      <c r="AB670" s="52"/>
      <c r="AC670" s="52"/>
      <c r="AD670" s="52"/>
      <c r="AE670" s="52"/>
      <c r="AF670" s="52"/>
      <c r="AG670" s="52"/>
      <c r="AH670" s="52"/>
      <c r="AI670" s="52"/>
      <c r="AJ670" s="52"/>
      <c r="AK670" s="52"/>
      <c r="AL670" s="52"/>
      <c r="AM670" s="52"/>
      <c r="AN670" s="52"/>
    </row>
    <row r="671" spans="1:40" x14ac:dyDescent="0.3">
      <c r="A671" s="52">
        <v>666</v>
      </c>
      <c r="B671" s="52">
        <f>-bthan*500+(15+0.5)*bthan*1000/50</f>
        <v>-1045</v>
      </c>
      <c r="C671" s="52">
        <f t="shared" si="120"/>
        <v>-530</v>
      </c>
      <c r="D671" s="52">
        <f t="shared" si="118"/>
        <v>2200</v>
      </c>
      <c r="E671" s="52">
        <f t="shared" si="119"/>
        <v>1</v>
      </c>
      <c r="F671" s="52"/>
      <c r="G671" s="52"/>
      <c r="H671" s="52"/>
      <c r="I671" s="52"/>
      <c r="J671" s="52"/>
      <c r="K671" s="52"/>
      <c r="L671" s="52"/>
      <c r="M671" s="52"/>
      <c r="N671" s="52"/>
      <c r="O671" s="52"/>
      <c r="P671" s="52"/>
      <c r="Q671" s="52"/>
      <c r="R671" s="52"/>
      <c r="S671" s="52"/>
      <c r="T671" s="52"/>
      <c r="U671" s="52"/>
      <c r="V671" s="52"/>
      <c r="W671" s="52"/>
      <c r="X671" s="52"/>
      <c r="Y671" s="52"/>
      <c r="Z671" s="52"/>
      <c r="AA671" s="52"/>
      <c r="AB671" s="52"/>
      <c r="AC671" s="52"/>
      <c r="AD671" s="52"/>
      <c r="AE671" s="52"/>
      <c r="AF671" s="52"/>
      <c r="AG671" s="52"/>
      <c r="AH671" s="52"/>
      <c r="AI671" s="52"/>
      <c r="AJ671" s="52"/>
      <c r="AK671" s="52"/>
      <c r="AL671" s="52"/>
      <c r="AM671" s="52"/>
      <c r="AN671" s="52"/>
    </row>
    <row r="672" spans="1:40" x14ac:dyDescent="0.3">
      <c r="A672" s="52">
        <v>667</v>
      </c>
      <c r="B672" s="52">
        <f>-bthan*500+(16+0.5)*bthan*1000/50</f>
        <v>-935</v>
      </c>
      <c r="C672" s="52">
        <f t="shared" si="120"/>
        <v>-530</v>
      </c>
      <c r="D672" s="52">
        <f t="shared" si="118"/>
        <v>2200</v>
      </c>
      <c r="E672" s="52">
        <f t="shared" si="119"/>
        <v>1</v>
      </c>
      <c r="F672" s="52"/>
      <c r="G672" s="52"/>
      <c r="H672" s="52"/>
      <c r="I672" s="52"/>
      <c r="J672" s="52"/>
      <c r="K672" s="52"/>
      <c r="L672" s="52"/>
      <c r="M672" s="52"/>
      <c r="N672" s="52"/>
      <c r="O672" s="52"/>
      <c r="P672" s="52"/>
      <c r="Q672" s="52"/>
      <c r="R672" s="52"/>
      <c r="S672" s="52"/>
      <c r="T672" s="52"/>
      <c r="U672" s="52"/>
      <c r="V672" s="52"/>
      <c r="W672" s="52"/>
      <c r="X672" s="52"/>
      <c r="Y672" s="52"/>
      <c r="Z672" s="52"/>
      <c r="AA672" s="52"/>
      <c r="AB672" s="52"/>
      <c r="AC672" s="52"/>
      <c r="AD672" s="52"/>
      <c r="AE672" s="52"/>
      <c r="AF672" s="52"/>
      <c r="AG672" s="52"/>
      <c r="AH672" s="52"/>
      <c r="AI672" s="52"/>
      <c r="AJ672" s="52"/>
      <c r="AK672" s="52"/>
      <c r="AL672" s="52"/>
      <c r="AM672" s="52"/>
      <c r="AN672" s="52"/>
    </row>
    <row r="673" spans="1:40" x14ac:dyDescent="0.3">
      <c r="A673" s="52">
        <v>668</v>
      </c>
      <c r="B673" s="52">
        <f>-bthan*500+(17+0.5)*bthan*1000/50</f>
        <v>-825</v>
      </c>
      <c r="C673" s="52">
        <f t="shared" si="120"/>
        <v>-530</v>
      </c>
      <c r="D673" s="52">
        <f t="shared" si="118"/>
        <v>2200</v>
      </c>
      <c r="E673" s="52">
        <f t="shared" si="119"/>
        <v>1</v>
      </c>
      <c r="F673" s="52"/>
      <c r="G673" s="52"/>
      <c r="H673" s="52"/>
      <c r="I673" s="52"/>
      <c r="J673" s="52"/>
      <c r="K673" s="52"/>
      <c r="L673" s="52"/>
      <c r="M673" s="52"/>
      <c r="N673" s="52"/>
      <c r="O673" s="52"/>
      <c r="P673" s="52"/>
      <c r="Q673" s="52"/>
      <c r="R673" s="52"/>
      <c r="S673" s="52"/>
      <c r="T673" s="52"/>
      <c r="U673" s="52"/>
      <c r="V673" s="52"/>
      <c r="W673" s="52"/>
      <c r="X673" s="52"/>
      <c r="Y673" s="52"/>
      <c r="Z673" s="52"/>
      <c r="AA673" s="52"/>
      <c r="AB673" s="52"/>
      <c r="AC673" s="52"/>
      <c r="AD673" s="52"/>
      <c r="AE673" s="52"/>
      <c r="AF673" s="52"/>
      <c r="AG673" s="52"/>
      <c r="AH673" s="52"/>
      <c r="AI673" s="52"/>
      <c r="AJ673" s="52"/>
      <c r="AK673" s="52"/>
      <c r="AL673" s="52"/>
      <c r="AM673" s="52"/>
      <c r="AN673" s="52"/>
    </row>
    <row r="674" spans="1:40" x14ac:dyDescent="0.3">
      <c r="A674" s="52">
        <v>669</v>
      </c>
      <c r="B674" s="52">
        <f>-bthan*500+(18+0.5)*bthan*1000/50</f>
        <v>-715</v>
      </c>
      <c r="C674" s="52">
        <f t="shared" si="120"/>
        <v>-530</v>
      </c>
      <c r="D674" s="52">
        <f t="shared" si="118"/>
        <v>2200</v>
      </c>
      <c r="E674" s="52">
        <f t="shared" si="119"/>
        <v>1</v>
      </c>
      <c r="F674" s="52"/>
      <c r="G674" s="52"/>
      <c r="H674" s="52"/>
      <c r="I674" s="52"/>
      <c r="J674" s="52"/>
      <c r="K674" s="52"/>
      <c r="L674" s="52"/>
      <c r="M674" s="52"/>
      <c r="N674" s="52"/>
      <c r="O674" s="52"/>
      <c r="P674" s="52"/>
      <c r="Q674" s="52"/>
      <c r="R674" s="52"/>
      <c r="S674" s="52"/>
      <c r="T674" s="52"/>
      <c r="U674" s="52"/>
      <c r="V674" s="52"/>
      <c r="W674" s="52"/>
      <c r="X674" s="52"/>
      <c r="Y674" s="52"/>
      <c r="Z674" s="52"/>
      <c r="AA674" s="52"/>
      <c r="AB674" s="52"/>
      <c r="AC674" s="52"/>
      <c r="AD674" s="52"/>
      <c r="AE674" s="52"/>
      <c r="AF674" s="52"/>
      <c r="AG674" s="52"/>
      <c r="AH674" s="52"/>
      <c r="AI674" s="52"/>
      <c r="AJ674" s="52"/>
      <c r="AK674" s="52"/>
      <c r="AL674" s="52"/>
      <c r="AM674" s="52"/>
      <c r="AN674" s="52"/>
    </row>
    <row r="675" spans="1:40" x14ac:dyDescent="0.3">
      <c r="A675" s="52">
        <v>670</v>
      </c>
      <c r="B675" s="52">
        <f>-bthan*500+(19+0.5)*bthan*1000/50</f>
        <v>-605</v>
      </c>
      <c r="C675" s="52">
        <f t="shared" si="120"/>
        <v>-530</v>
      </c>
      <c r="D675" s="52">
        <f t="shared" si="118"/>
        <v>2200</v>
      </c>
      <c r="E675" s="52">
        <f t="shared" si="119"/>
        <v>1</v>
      </c>
      <c r="F675" s="52"/>
      <c r="G675" s="52"/>
      <c r="H675" s="52"/>
      <c r="I675" s="52"/>
      <c r="J675" s="52"/>
      <c r="K675" s="52"/>
      <c r="L675" s="52"/>
      <c r="M675" s="52"/>
      <c r="N675" s="52"/>
      <c r="O675" s="52"/>
      <c r="P675" s="52"/>
      <c r="Q675" s="52"/>
      <c r="R675" s="52"/>
      <c r="S675" s="52"/>
      <c r="T675" s="52"/>
      <c r="U675" s="52"/>
      <c r="V675" s="52"/>
      <c r="W675" s="52"/>
      <c r="X675" s="52"/>
      <c r="Y675" s="52"/>
      <c r="Z675" s="52"/>
      <c r="AA675" s="52"/>
      <c r="AB675" s="52"/>
      <c r="AC675" s="52"/>
      <c r="AD675" s="52"/>
      <c r="AE675" s="52"/>
      <c r="AF675" s="52"/>
      <c r="AG675" s="52"/>
      <c r="AH675" s="52"/>
      <c r="AI675" s="52"/>
      <c r="AJ675" s="52"/>
      <c r="AK675" s="52"/>
      <c r="AL675" s="52"/>
      <c r="AM675" s="52"/>
      <c r="AN675" s="52"/>
    </row>
    <row r="676" spans="1:40" x14ac:dyDescent="0.3">
      <c r="A676" s="52">
        <v>671</v>
      </c>
      <c r="B676" s="52">
        <f>-bthan*500+(20+0.5)*bthan*1000/50</f>
        <v>-495</v>
      </c>
      <c r="C676" s="52">
        <f t="shared" si="120"/>
        <v>-530</v>
      </c>
      <c r="D676" s="52">
        <f t="shared" si="118"/>
        <v>2200</v>
      </c>
      <c r="E676" s="52">
        <f t="shared" si="119"/>
        <v>1</v>
      </c>
      <c r="F676" s="52"/>
      <c r="G676" s="52"/>
      <c r="H676" s="52"/>
      <c r="I676" s="52"/>
      <c r="J676" s="52"/>
      <c r="K676" s="52"/>
      <c r="L676" s="52"/>
      <c r="M676" s="52"/>
      <c r="N676" s="52"/>
      <c r="O676" s="52"/>
      <c r="P676" s="52"/>
      <c r="Q676" s="52"/>
      <c r="R676" s="52"/>
      <c r="S676" s="52"/>
      <c r="T676" s="52"/>
      <c r="U676" s="52"/>
      <c r="V676" s="52"/>
      <c r="W676" s="52"/>
      <c r="X676" s="52"/>
      <c r="Y676" s="52"/>
      <c r="Z676" s="52"/>
      <c r="AA676" s="52"/>
      <c r="AB676" s="52"/>
      <c r="AC676" s="52"/>
      <c r="AD676" s="52"/>
      <c r="AE676" s="52"/>
      <c r="AF676" s="52"/>
      <c r="AG676" s="52"/>
      <c r="AH676" s="52"/>
      <c r="AI676" s="52"/>
      <c r="AJ676" s="52"/>
      <c r="AK676" s="52"/>
      <c r="AL676" s="52"/>
      <c r="AM676" s="52"/>
      <c r="AN676" s="52"/>
    </row>
    <row r="677" spans="1:40" x14ac:dyDescent="0.3">
      <c r="A677" s="52">
        <v>672</v>
      </c>
      <c r="B677" s="52">
        <f>-bthan*500+(21+0.5)*bthan*1000/50</f>
        <v>-385</v>
      </c>
      <c r="C677" s="52">
        <f t="shared" si="120"/>
        <v>-530</v>
      </c>
      <c r="D677" s="52">
        <f t="shared" si="118"/>
        <v>2200</v>
      </c>
      <c r="E677" s="52">
        <f t="shared" si="119"/>
        <v>1</v>
      </c>
      <c r="F677" s="52"/>
      <c r="G677" s="52"/>
      <c r="H677" s="52"/>
      <c r="I677" s="52"/>
      <c r="J677" s="52"/>
      <c r="K677" s="52"/>
      <c r="L677" s="52"/>
      <c r="M677" s="52"/>
      <c r="N677" s="52"/>
      <c r="O677" s="52"/>
      <c r="P677" s="52"/>
      <c r="Q677" s="52"/>
      <c r="R677" s="52"/>
      <c r="S677" s="52"/>
      <c r="T677" s="52"/>
      <c r="U677" s="52"/>
      <c r="V677" s="52"/>
      <c r="W677" s="52"/>
      <c r="X677" s="52"/>
      <c r="Y677" s="52"/>
      <c r="Z677" s="52"/>
      <c r="AA677" s="52"/>
      <c r="AB677" s="52"/>
      <c r="AC677" s="52"/>
      <c r="AD677" s="52"/>
      <c r="AE677" s="52"/>
      <c r="AF677" s="52"/>
      <c r="AG677" s="52"/>
      <c r="AH677" s="52"/>
      <c r="AI677" s="52"/>
      <c r="AJ677" s="52"/>
      <c r="AK677" s="52"/>
      <c r="AL677" s="52"/>
      <c r="AM677" s="52"/>
      <c r="AN677" s="52"/>
    </row>
    <row r="678" spans="1:40" x14ac:dyDescent="0.3">
      <c r="A678" s="52">
        <v>673</v>
      </c>
      <c r="B678" s="52">
        <f>-bthan*500+(22+0.5)*bthan*1000/50</f>
        <v>-275</v>
      </c>
      <c r="C678" s="52">
        <f t="shared" si="120"/>
        <v>-530</v>
      </c>
      <c r="D678" s="52">
        <f t="shared" si="118"/>
        <v>2200</v>
      </c>
      <c r="E678" s="52">
        <f t="shared" si="119"/>
        <v>1</v>
      </c>
      <c r="F678" s="52"/>
      <c r="G678" s="52"/>
      <c r="H678" s="52"/>
      <c r="I678" s="52"/>
      <c r="J678" s="52"/>
      <c r="K678" s="52"/>
      <c r="L678" s="52"/>
      <c r="M678" s="52"/>
      <c r="N678" s="52"/>
      <c r="O678" s="52"/>
      <c r="P678" s="52"/>
      <c r="Q678" s="52"/>
      <c r="R678" s="52"/>
      <c r="S678" s="52"/>
      <c r="T678" s="52"/>
      <c r="U678" s="52"/>
      <c r="V678" s="52"/>
      <c r="W678" s="52"/>
      <c r="X678" s="52"/>
      <c r="Y678" s="52"/>
      <c r="Z678" s="52"/>
      <c r="AA678" s="52"/>
      <c r="AB678" s="52"/>
      <c r="AC678" s="52"/>
      <c r="AD678" s="52"/>
      <c r="AE678" s="52"/>
      <c r="AF678" s="52"/>
      <c r="AG678" s="52"/>
      <c r="AH678" s="52"/>
      <c r="AI678" s="52"/>
      <c r="AJ678" s="52"/>
      <c r="AK678" s="52"/>
      <c r="AL678" s="52"/>
      <c r="AM678" s="52"/>
      <c r="AN678" s="52"/>
    </row>
    <row r="679" spans="1:40" x14ac:dyDescent="0.3">
      <c r="A679" s="52">
        <v>674</v>
      </c>
      <c r="B679" s="52">
        <f>-bthan*500+(23+0.5)*bthan*1000/50</f>
        <v>-165</v>
      </c>
      <c r="C679" s="52">
        <f t="shared" si="120"/>
        <v>-530</v>
      </c>
      <c r="D679" s="52">
        <f t="shared" si="118"/>
        <v>2200</v>
      </c>
      <c r="E679" s="52">
        <f t="shared" si="119"/>
        <v>1</v>
      </c>
      <c r="F679" s="52"/>
      <c r="G679" s="52"/>
      <c r="H679" s="52"/>
      <c r="I679" s="52"/>
      <c r="J679" s="52"/>
      <c r="K679" s="52"/>
      <c r="L679" s="52"/>
      <c r="M679" s="52"/>
      <c r="N679" s="52"/>
      <c r="O679" s="52"/>
      <c r="P679" s="52"/>
      <c r="Q679" s="52"/>
      <c r="R679" s="52"/>
      <c r="S679" s="52"/>
      <c r="T679" s="52"/>
      <c r="U679" s="52"/>
      <c r="V679" s="52"/>
      <c r="W679" s="52"/>
      <c r="X679" s="52"/>
      <c r="Y679" s="52"/>
      <c r="Z679" s="52"/>
      <c r="AA679" s="52"/>
      <c r="AB679" s="52"/>
      <c r="AC679" s="52"/>
      <c r="AD679" s="52"/>
      <c r="AE679" s="52"/>
      <c r="AF679" s="52"/>
      <c r="AG679" s="52"/>
      <c r="AH679" s="52"/>
      <c r="AI679" s="52"/>
      <c r="AJ679" s="52"/>
      <c r="AK679" s="52"/>
      <c r="AL679" s="52"/>
      <c r="AM679" s="52"/>
      <c r="AN679" s="52"/>
    </row>
    <row r="680" spans="1:40" x14ac:dyDescent="0.3">
      <c r="A680" s="52">
        <v>675</v>
      </c>
      <c r="B680" s="52">
        <f>-bthan*500+(24+0.5)*bthan*1000/50</f>
        <v>-55</v>
      </c>
      <c r="C680" s="52">
        <f t="shared" si="120"/>
        <v>-530</v>
      </c>
      <c r="D680" s="52">
        <f t="shared" si="118"/>
        <v>2200</v>
      </c>
      <c r="E680" s="52">
        <f t="shared" si="119"/>
        <v>1</v>
      </c>
      <c r="F680" s="52"/>
      <c r="G680" s="52"/>
      <c r="H680" s="52"/>
      <c r="I680" s="52"/>
      <c r="J680" s="52"/>
      <c r="K680" s="52"/>
      <c r="L680" s="52"/>
      <c r="M680" s="52"/>
      <c r="N680" s="52"/>
      <c r="O680" s="52"/>
      <c r="P680" s="52"/>
      <c r="Q680" s="52"/>
      <c r="R680" s="52"/>
      <c r="S680" s="52"/>
      <c r="T680" s="52"/>
      <c r="U680" s="52"/>
      <c r="V680" s="52"/>
      <c r="W680" s="52"/>
      <c r="X680" s="52"/>
      <c r="Y680" s="52"/>
      <c r="Z680" s="52"/>
      <c r="AA680" s="52"/>
      <c r="AB680" s="52"/>
      <c r="AC680" s="52"/>
      <c r="AD680" s="52"/>
      <c r="AE680" s="52"/>
      <c r="AF680" s="52"/>
      <c r="AG680" s="52"/>
      <c r="AH680" s="52"/>
      <c r="AI680" s="52"/>
      <c r="AJ680" s="52"/>
      <c r="AK680" s="52"/>
      <c r="AL680" s="52"/>
      <c r="AM680" s="52"/>
      <c r="AN680" s="52"/>
    </row>
    <row r="681" spans="1:40" x14ac:dyDescent="0.3">
      <c r="A681" s="52">
        <v>676</v>
      </c>
      <c r="B681" s="52">
        <f>-bthan*500+(25+0.5)*bthan*1000/50</f>
        <v>55</v>
      </c>
      <c r="C681" s="52">
        <f t="shared" si="120"/>
        <v>-530</v>
      </c>
      <c r="D681" s="52">
        <f t="shared" si="118"/>
        <v>2200</v>
      </c>
      <c r="E681" s="52">
        <f t="shared" si="119"/>
        <v>1</v>
      </c>
      <c r="F681" s="52"/>
      <c r="G681" s="52"/>
      <c r="H681" s="52"/>
      <c r="I681" s="52"/>
      <c r="J681" s="52"/>
      <c r="K681" s="52"/>
      <c r="L681" s="52"/>
      <c r="M681" s="52"/>
      <c r="N681" s="52"/>
      <c r="O681" s="52"/>
      <c r="P681" s="52"/>
      <c r="Q681" s="52"/>
      <c r="R681" s="52"/>
      <c r="S681" s="52"/>
      <c r="T681" s="52"/>
      <c r="U681" s="52"/>
      <c r="V681" s="52"/>
      <c r="W681" s="52"/>
      <c r="X681" s="52"/>
      <c r="Y681" s="52"/>
      <c r="Z681" s="52"/>
      <c r="AA681" s="52"/>
      <c r="AB681" s="52"/>
      <c r="AC681" s="52"/>
      <c r="AD681" s="52"/>
      <c r="AE681" s="52"/>
      <c r="AF681" s="52"/>
      <c r="AG681" s="52"/>
      <c r="AH681" s="52"/>
      <c r="AI681" s="52"/>
      <c r="AJ681" s="52"/>
      <c r="AK681" s="52"/>
      <c r="AL681" s="52"/>
      <c r="AM681" s="52"/>
      <c r="AN681" s="52"/>
    </row>
    <row r="682" spans="1:40" x14ac:dyDescent="0.3">
      <c r="A682" s="52">
        <v>677</v>
      </c>
      <c r="B682" s="52">
        <f>-bthan*500+(26+0.5)*bthan*1000/50</f>
        <v>165</v>
      </c>
      <c r="C682" s="52">
        <f t="shared" si="120"/>
        <v>-530</v>
      </c>
      <c r="D682" s="52">
        <f t="shared" si="118"/>
        <v>2200</v>
      </c>
      <c r="E682" s="52">
        <f t="shared" si="119"/>
        <v>1</v>
      </c>
      <c r="F682" s="52"/>
      <c r="G682" s="52"/>
      <c r="H682" s="52"/>
      <c r="I682" s="52"/>
      <c r="J682" s="52"/>
      <c r="K682" s="52"/>
      <c r="L682" s="52"/>
      <c r="M682" s="52"/>
      <c r="N682" s="52"/>
      <c r="O682" s="52"/>
      <c r="P682" s="52"/>
      <c r="Q682" s="52"/>
      <c r="R682" s="52"/>
      <c r="S682" s="52"/>
      <c r="T682" s="52"/>
      <c r="U682" s="52"/>
      <c r="V682" s="52"/>
      <c r="W682" s="52"/>
      <c r="X682" s="52"/>
      <c r="Y682" s="52"/>
      <c r="Z682" s="52"/>
      <c r="AA682" s="52"/>
      <c r="AB682" s="52"/>
      <c r="AC682" s="52"/>
      <c r="AD682" s="52"/>
      <c r="AE682" s="52"/>
      <c r="AF682" s="52"/>
      <c r="AG682" s="52"/>
      <c r="AH682" s="52"/>
      <c r="AI682" s="52"/>
      <c r="AJ682" s="52"/>
      <c r="AK682" s="52"/>
      <c r="AL682" s="52"/>
      <c r="AM682" s="52"/>
      <c r="AN682" s="52"/>
    </row>
    <row r="683" spans="1:40" x14ac:dyDescent="0.3">
      <c r="A683" s="52">
        <v>678</v>
      </c>
      <c r="B683" s="52">
        <f>-bthan*500+(27+0.5)*bthan*1000/50</f>
        <v>275</v>
      </c>
      <c r="C683" s="52">
        <f t="shared" si="120"/>
        <v>-530</v>
      </c>
      <c r="D683" s="52">
        <f t="shared" si="118"/>
        <v>2200</v>
      </c>
      <c r="E683" s="52">
        <f t="shared" si="119"/>
        <v>1</v>
      </c>
      <c r="F683" s="52"/>
      <c r="G683" s="52"/>
      <c r="H683" s="52"/>
      <c r="I683" s="52"/>
      <c r="J683" s="52"/>
      <c r="K683" s="52"/>
      <c r="L683" s="52"/>
      <c r="M683" s="52"/>
      <c r="N683" s="52"/>
      <c r="O683" s="52"/>
      <c r="P683" s="52"/>
      <c r="Q683" s="52"/>
      <c r="R683" s="52"/>
      <c r="S683" s="52"/>
      <c r="T683" s="52"/>
      <c r="U683" s="52"/>
      <c r="V683" s="52"/>
      <c r="W683" s="52"/>
      <c r="X683" s="52"/>
      <c r="Y683" s="52"/>
      <c r="Z683" s="52"/>
      <c r="AA683" s="52"/>
      <c r="AB683" s="52"/>
      <c r="AC683" s="52"/>
      <c r="AD683" s="52"/>
      <c r="AE683" s="52"/>
      <c r="AF683" s="52"/>
      <c r="AG683" s="52"/>
      <c r="AH683" s="52"/>
      <c r="AI683" s="52"/>
      <c r="AJ683" s="52"/>
      <c r="AK683" s="52"/>
      <c r="AL683" s="52"/>
      <c r="AM683" s="52"/>
      <c r="AN683" s="52"/>
    </row>
    <row r="684" spans="1:40" x14ac:dyDescent="0.3">
      <c r="A684" s="52">
        <v>679</v>
      </c>
      <c r="B684" s="52">
        <f>-bthan*500+(28+0.5)*bthan*1000/50</f>
        <v>385</v>
      </c>
      <c r="C684" s="52">
        <f t="shared" si="120"/>
        <v>-530</v>
      </c>
      <c r="D684" s="52">
        <f t="shared" si="118"/>
        <v>2200</v>
      </c>
      <c r="E684" s="52">
        <f t="shared" si="119"/>
        <v>1</v>
      </c>
      <c r="F684" s="52"/>
      <c r="G684" s="52"/>
      <c r="H684" s="52"/>
      <c r="I684" s="52"/>
      <c r="J684" s="52"/>
      <c r="K684" s="52"/>
      <c r="L684" s="52"/>
      <c r="M684" s="52"/>
      <c r="N684" s="52"/>
      <c r="O684" s="52"/>
      <c r="P684" s="52"/>
      <c r="Q684" s="52"/>
      <c r="R684" s="52"/>
      <c r="S684" s="52"/>
      <c r="T684" s="52"/>
      <c r="U684" s="52"/>
      <c r="V684" s="52"/>
      <c r="W684" s="52"/>
      <c r="X684" s="52"/>
      <c r="Y684" s="52"/>
      <c r="Z684" s="52"/>
      <c r="AA684" s="52"/>
      <c r="AB684" s="52"/>
      <c r="AC684" s="52"/>
      <c r="AD684" s="52"/>
      <c r="AE684" s="52"/>
      <c r="AF684" s="52"/>
      <c r="AG684" s="52"/>
      <c r="AH684" s="52"/>
      <c r="AI684" s="52"/>
      <c r="AJ684" s="52"/>
      <c r="AK684" s="52"/>
      <c r="AL684" s="52"/>
      <c r="AM684" s="52"/>
      <c r="AN684" s="52"/>
    </row>
    <row r="685" spans="1:40" x14ac:dyDescent="0.3">
      <c r="A685" s="52">
        <v>680</v>
      </c>
      <c r="B685" s="52">
        <f>-bthan*500+(29+0.5)*bthan*1000/50</f>
        <v>495</v>
      </c>
      <c r="C685" s="52">
        <f t="shared" si="120"/>
        <v>-530</v>
      </c>
      <c r="D685" s="52">
        <f t="shared" si="118"/>
        <v>2200</v>
      </c>
      <c r="E685" s="52">
        <f t="shared" si="119"/>
        <v>1</v>
      </c>
      <c r="F685" s="52"/>
      <c r="G685" s="52"/>
      <c r="H685" s="52"/>
      <c r="I685" s="52"/>
      <c r="J685" s="52"/>
      <c r="K685" s="52"/>
      <c r="L685" s="52"/>
      <c r="M685" s="52"/>
      <c r="N685" s="52"/>
      <c r="O685" s="52"/>
      <c r="P685" s="52"/>
      <c r="Q685" s="52"/>
      <c r="R685" s="52"/>
      <c r="S685" s="52"/>
      <c r="T685" s="52"/>
      <c r="U685" s="52"/>
      <c r="V685" s="52"/>
      <c r="W685" s="52"/>
      <c r="X685" s="52"/>
      <c r="Y685" s="52"/>
      <c r="Z685" s="52"/>
      <c r="AA685" s="52"/>
      <c r="AB685" s="52"/>
      <c r="AC685" s="52"/>
      <c r="AD685" s="52"/>
      <c r="AE685" s="52"/>
      <c r="AF685" s="52"/>
      <c r="AG685" s="52"/>
      <c r="AH685" s="52"/>
      <c r="AI685" s="52"/>
      <c r="AJ685" s="52"/>
      <c r="AK685" s="52"/>
      <c r="AL685" s="52"/>
      <c r="AM685" s="52"/>
      <c r="AN685" s="52"/>
    </row>
    <row r="686" spans="1:40" x14ac:dyDescent="0.3">
      <c r="A686" s="52">
        <v>681</v>
      </c>
      <c r="B686" s="52">
        <f>-bthan*500+(30+0.5)*bthan*1000/50</f>
        <v>605</v>
      </c>
      <c r="C686" s="52">
        <f t="shared" si="120"/>
        <v>-530</v>
      </c>
      <c r="D686" s="52">
        <f t="shared" si="118"/>
        <v>2200</v>
      </c>
      <c r="E686" s="52">
        <f t="shared" si="119"/>
        <v>1</v>
      </c>
      <c r="F686" s="52"/>
      <c r="G686" s="52"/>
      <c r="H686" s="52"/>
      <c r="I686" s="52"/>
      <c r="J686" s="52"/>
      <c r="K686" s="52"/>
      <c r="L686" s="52"/>
      <c r="M686" s="52"/>
      <c r="N686" s="52"/>
      <c r="O686" s="52"/>
      <c r="P686" s="52"/>
      <c r="Q686" s="52"/>
      <c r="R686" s="52"/>
      <c r="S686" s="52"/>
      <c r="T686" s="52"/>
      <c r="U686" s="52"/>
      <c r="V686" s="52"/>
      <c r="W686" s="52"/>
      <c r="X686" s="52"/>
      <c r="Y686" s="52"/>
      <c r="Z686" s="52"/>
      <c r="AA686" s="52"/>
      <c r="AB686" s="52"/>
      <c r="AC686" s="52"/>
      <c r="AD686" s="52"/>
      <c r="AE686" s="52"/>
      <c r="AF686" s="52"/>
      <c r="AG686" s="52"/>
      <c r="AH686" s="52"/>
      <c r="AI686" s="52"/>
      <c r="AJ686" s="52"/>
      <c r="AK686" s="52"/>
      <c r="AL686" s="52"/>
      <c r="AM686" s="52"/>
      <c r="AN686" s="52"/>
    </row>
    <row r="687" spans="1:40" x14ac:dyDescent="0.3">
      <c r="A687" s="52">
        <v>682</v>
      </c>
      <c r="B687" s="52">
        <f>-bthan*500+(31+0.5)*bthan*1000/50</f>
        <v>715</v>
      </c>
      <c r="C687" s="52">
        <f t="shared" si="120"/>
        <v>-530</v>
      </c>
      <c r="D687" s="52">
        <f t="shared" si="118"/>
        <v>2200</v>
      </c>
      <c r="E687" s="52">
        <f t="shared" si="119"/>
        <v>1</v>
      </c>
      <c r="F687" s="52"/>
      <c r="G687" s="52"/>
      <c r="H687" s="52"/>
      <c r="I687" s="52"/>
      <c r="J687" s="52"/>
      <c r="K687" s="52"/>
      <c r="L687" s="52"/>
      <c r="M687" s="52"/>
      <c r="N687" s="52"/>
      <c r="O687" s="52"/>
      <c r="P687" s="52"/>
      <c r="Q687" s="52"/>
      <c r="R687" s="52"/>
      <c r="S687" s="52"/>
      <c r="T687" s="52"/>
      <c r="U687" s="52"/>
      <c r="V687" s="52"/>
      <c r="W687" s="52"/>
      <c r="X687" s="52"/>
      <c r="Y687" s="52"/>
      <c r="Z687" s="52"/>
      <c r="AA687" s="52"/>
      <c r="AB687" s="52"/>
      <c r="AC687" s="52"/>
      <c r="AD687" s="52"/>
      <c r="AE687" s="52"/>
      <c r="AF687" s="52"/>
      <c r="AG687" s="52"/>
      <c r="AH687" s="52"/>
      <c r="AI687" s="52"/>
      <c r="AJ687" s="52"/>
      <c r="AK687" s="52"/>
      <c r="AL687" s="52"/>
      <c r="AM687" s="52"/>
      <c r="AN687" s="52"/>
    </row>
    <row r="688" spans="1:40" x14ac:dyDescent="0.3">
      <c r="A688" s="52">
        <v>683</v>
      </c>
      <c r="B688" s="52">
        <f>-bthan*500+(32+0.5)*bthan*1000/50</f>
        <v>825</v>
      </c>
      <c r="C688" s="52">
        <f t="shared" ref="C688:C705" si="121">-hthan*500+(13+0.5)*hthan*1000/80</f>
        <v>-530</v>
      </c>
      <c r="D688" s="52">
        <f t="shared" si="118"/>
        <v>2200</v>
      </c>
      <c r="E688" s="52">
        <f t="shared" si="119"/>
        <v>1</v>
      </c>
      <c r="F688" s="52"/>
      <c r="G688" s="52"/>
      <c r="H688" s="52"/>
      <c r="I688" s="52"/>
      <c r="J688" s="52"/>
      <c r="K688" s="52"/>
      <c r="L688" s="52"/>
      <c r="M688" s="52"/>
      <c r="N688" s="52"/>
      <c r="O688" s="52"/>
      <c r="P688" s="52"/>
      <c r="Q688" s="52"/>
      <c r="R688" s="52"/>
      <c r="S688" s="52"/>
      <c r="T688" s="52"/>
      <c r="U688" s="52"/>
      <c r="V688" s="52"/>
      <c r="W688" s="52"/>
      <c r="X688" s="52"/>
      <c r="Y688" s="52"/>
      <c r="Z688" s="52"/>
      <c r="AA688" s="52"/>
      <c r="AB688" s="52"/>
      <c r="AC688" s="52"/>
      <c r="AD688" s="52"/>
      <c r="AE688" s="52"/>
      <c r="AF688" s="52"/>
      <c r="AG688" s="52"/>
      <c r="AH688" s="52"/>
      <c r="AI688" s="52"/>
      <c r="AJ688" s="52"/>
      <c r="AK688" s="52"/>
      <c r="AL688" s="52"/>
      <c r="AM688" s="52"/>
      <c r="AN688" s="52"/>
    </row>
    <row r="689" spans="1:40" x14ac:dyDescent="0.3">
      <c r="A689" s="52">
        <v>684</v>
      </c>
      <c r="B689" s="52">
        <f>-bthan*500+(33+0.5)*bthan*1000/50</f>
        <v>935</v>
      </c>
      <c r="C689" s="52">
        <f t="shared" si="121"/>
        <v>-530</v>
      </c>
      <c r="D689" s="52">
        <f t="shared" si="118"/>
        <v>2200</v>
      </c>
      <c r="E689" s="52">
        <f t="shared" si="119"/>
        <v>1</v>
      </c>
      <c r="F689" s="52"/>
      <c r="G689" s="52"/>
      <c r="H689" s="52"/>
      <c r="I689" s="52"/>
      <c r="J689" s="52"/>
      <c r="K689" s="52"/>
      <c r="L689" s="52"/>
      <c r="M689" s="52"/>
      <c r="N689" s="52"/>
      <c r="O689" s="52"/>
      <c r="P689" s="52"/>
      <c r="Q689" s="52"/>
      <c r="R689" s="52"/>
      <c r="S689" s="52"/>
      <c r="T689" s="52"/>
      <c r="U689" s="52"/>
      <c r="V689" s="52"/>
      <c r="W689" s="52"/>
      <c r="X689" s="52"/>
      <c r="Y689" s="52"/>
      <c r="Z689" s="52"/>
      <c r="AA689" s="52"/>
      <c r="AB689" s="52"/>
      <c r="AC689" s="52"/>
      <c r="AD689" s="52"/>
      <c r="AE689" s="52"/>
      <c r="AF689" s="52"/>
      <c r="AG689" s="52"/>
      <c r="AH689" s="52"/>
      <c r="AI689" s="52"/>
      <c r="AJ689" s="52"/>
      <c r="AK689" s="52"/>
      <c r="AL689" s="52"/>
      <c r="AM689" s="52"/>
      <c r="AN689" s="52"/>
    </row>
    <row r="690" spans="1:40" x14ac:dyDescent="0.3">
      <c r="A690" s="52">
        <v>685</v>
      </c>
      <c r="B690" s="52">
        <f>-bthan*500+(34+0.5)*bthan*1000/50</f>
        <v>1045</v>
      </c>
      <c r="C690" s="52">
        <f t="shared" si="121"/>
        <v>-530</v>
      </c>
      <c r="D690" s="52">
        <f t="shared" si="118"/>
        <v>2200</v>
      </c>
      <c r="E690" s="52">
        <f t="shared" si="119"/>
        <v>1</v>
      </c>
      <c r="F690" s="52"/>
      <c r="G690" s="52"/>
      <c r="H690" s="52"/>
      <c r="I690" s="52"/>
      <c r="J690" s="52"/>
      <c r="K690" s="52"/>
      <c r="L690" s="52"/>
      <c r="M690" s="52"/>
      <c r="N690" s="52"/>
      <c r="O690" s="52"/>
      <c r="P690" s="52"/>
      <c r="Q690" s="52"/>
      <c r="R690" s="52"/>
      <c r="S690" s="52"/>
      <c r="T690" s="52"/>
      <c r="U690" s="52"/>
      <c r="V690" s="52"/>
      <c r="W690" s="52"/>
      <c r="X690" s="52"/>
      <c r="Y690" s="52"/>
      <c r="Z690" s="52"/>
      <c r="AA690" s="52"/>
      <c r="AB690" s="52"/>
      <c r="AC690" s="52"/>
      <c r="AD690" s="52"/>
      <c r="AE690" s="52"/>
      <c r="AF690" s="52"/>
      <c r="AG690" s="52"/>
      <c r="AH690" s="52"/>
      <c r="AI690" s="52"/>
      <c r="AJ690" s="52"/>
      <c r="AK690" s="52"/>
      <c r="AL690" s="52"/>
      <c r="AM690" s="52"/>
      <c r="AN690" s="52"/>
    </row>
    <row r="691" spans="1:40" x14ac:dyDescent="0.3">
      <c r="A691" s="52">
        <v>686</v>
      </c>
      <c r="B691" s="52">
        <f>-bthan*500+(35+0.5)*bthan*1000/50</f>
        <v>1155</v>
      </c>
      <c r="C691" s="52">
        <f t="shared" si="121"/>
        <v>-530</v>
      </c>
      <c r="D691" s="52">
        <f t="shared" si="118"/>
        <v>2200</v>
      </c>
      <c r="E691" s="52">
        <f t="shared" si="119"/>
        <v>1</v>
      </c>
      <c r="F691" s="52"/>
      <c r="G691" s="52"/>
      <c r="H691" s="52"/>
      <c r="I691" s="52"/>
      <c r="J691" s="52"/>
      <c r="K691" s="52"/>
      <c r="L691" s="52"/>
      <c r="M691" s="52"/>
      <c r="N691" s="52"/>
      <c r="O691" s="52"/>
      <c r="P691" s="52"/>
      <c r="Q691" s="52"/>
      <c r="R691" s="52"/>
      <c r="S691" s="52"/>
      <c r="T691" s="52"/>
      <c r="U691" s="52"/>
      <c r="V691" s="52"/>
      <c r="W691" s="52"/>
      <c r="X691" s="52"/>
      <c r="Y691" s="52"/>
      <c r="Z691" s="52"/>
      <c r="AA691" s="52"/>
      <c r="AB691" s="52"/>
      <c r="AC691" s="52"/>
      <c r="AD691" s="52"/>
      <c r="AE691" s="52"/>
      <c r="AF691" s="52"/>
      <c r="AG691" s="52"/>
      <c r="AH691" s="52"/>
      <c r="AI691" s="52"/>
      <c r="AJ691" s="52"/>
      <c r="AK691" s="52"/>
      <c r="AL691" s="52"/>
      <c r="AM691" s="52"/>
      <c r="AN691" s="52"/>
    </row>
    <row r="692" spans="1:40" x14ac:dyDescent="0.3">
      <c r="A692" s="52">
        <v>687</v>
      </c>
      <c r="B692" s="52">
        <f>-bthan*500+(36+0.5)*bthan*1000/50</f>
        <v>1265</v>
      </c>
      <c r="C692" s="52">
        <f t="shared" si="121"/>
        <v>-530</v>
      </c>
      <c r="D692" s="52">
        <f t="shared" si="118"/>
        <v>2200</v>
      </c>
      <c r="E692" s="52">
        <f t="shared" si="119"/>
        <v>1</v>
      </c>
      <c r="F692" s="52"/>
      <c r="G692" s="52"/>
      <c r="H692" s="52"/>
      <c r="I692" s="52"/>
      <c r="J692" s="52"/>
      <c r="K692" s="52"/>
      <c r="L692" s="52"/>
      <c r="M692" s="52"/>
      <c r="N692" s="52"/>
      <c r="O692" s="52"/>
      <c r="P692" s="52"/>
      <c r="Q692" s="52"/>
      <c r="R692" s="52"/>
      <c r="S692" s="52"/>
      <c r="T692" s="52"/>
      <c r="U692" s="52"/>
      <c r="V692" s="52"/>
      <c r="W692" s="52"/>
      <c r="X692" s="52"/>
      <c r="Y692" s="52"/>
      <c r="Z692" s="52"/>
      <c r="AA692" s="52"/>
      <c r="AB692" s="52"/>
      <c r="AC692" s="52"/>
      <c r="AD692" s="52"/>
      <c r="AE692" s="52"/>
      <c r="AF692" s="52"/>
      <c r="AG692" s="52"/>
      <c r="AH692" s="52"/>
      <c r="AI692" s="52"/>
      <c r="AJ692" s="52"/>
      <c r="AK692" s="52"/>
      <c r="AL692" s="52"/>
      <c r="AM692" s="52"/>
      <c r="AN692" s="52"/>
    </row>
    <row r="693" spans="1:40" x14ac:dyDescent="0.3">
      <c r="A693" s="52">
        <v>688</v>
      </c>
      <c r="B693" s="52">
        <f>-bthan*500+(37+0.5)*bthan*1000/50</f>
        <v>1375</v>
      </c>
      <c r="C693" s="52">
        <f t="shared" si="121"/>
        <v>-530</v>
      </c>
      <c r="D693" s="52">
        <f t="shared" si="118"/>
        <v>2200</v>
      </c>
      <c r="E693" s="52">
        <f t="shared" si="119"/>
        <v>1</v>
      </c>
      <c r="F693" s="52"/>
      <c r="G693" s="52"/>
      <c r="H693" s="52"/>
      <c r="I693" s="52"/>
      <c r="J693" s="52"/>
      <c r="K693" s="52"/>
      <c r="L693" s="52"/>
      <c r="M693" s="52"/>
      <c r="N693" s="52"/>
      <c r="O693" s="52"/>
      <c r="P693" s="52"/>
      <c r="Q693" s="52"/>
      <c r="R693" s="52"/>
      <c r="S693" s="52"/>
      <c r="T693" s="52"/>
      <c r="U693" s="52"/>
      <c r="V693" s="52"/>
      <c r="W693" s="52"/>
      <c r="X693" s="52"/>
      <c r="Y693" s="52"/>
      <c r="Z693" s="52"/>
      <c r="AA693" s="52"/>
      <c r="AB693" s="52"/>
      <c r="AC693" s="52"/>
      <c r="AD693" s="52"/>
      <c r="AE693" s="52"/>
      <c r="AF693" s="52"/>
      <c r="AG693" s="52"/>
      <c r="AH693" s="52"/>
      <c r="AI693" s="52"/>
      <c r="AJ693" s="52"/>
      <c r="AK693" s="52"/>
      <c r="AL693" s="52"/>
      <c r="AM693" s="52"/>
      <c r="AN693" s="52"/>
    </row>
    <row r="694" spans="1:40" x14ac:dyDescent="0.3">
      <c r="A694" s="52">
        <v>689</v>
      </c>
      <c r="B694" s="52">
        <f>-bthan*500+(38+0.5)*bthan*1000/50</f>
        <v>1485</v>
      </c>
      <c r="C694" s="52">
        <f t="shared" si="121"/>
        <v>-530</v>
      </c>
      <c r="D694" s="52">
        <f t="shared" si="118"/>
        <v>2200</v>
      </c>
      <c r="E694" s="52">
        <f t="shared" si="119"/>
        <v>1</v>
      </c>
      <c r="F694" s="52"/>
      <c r="G694" s="52"/>
      <c r="H694" s="52"/>
      <c r="I694" s="52"/>
      <c r="J694" s="52"/>
      <c r="K694" s="52"/>
      <c r="L694" s="52"/>
      <c r="M694" s="52"/>
      <c r="N694" s="52"/>
      <c r="O694" s="52"/>
      <c r="P694" s="52"/>
      <c r="Q694" s="52"/>
      <c r="R694" s="52"/>
      <c r="S694" s="52"/>
      <c r="T694" s="52"/>
      <c r="U694" s="52"/>
      <c r="V694" s="52"/>
      <c r="W694" s="52"/>
      <c r="X694" s="52"/>
      <c r="Y694" s="52"/>
      <c r="Z694" s="52"/>
      <c r="AA694" s="52"/>
      <c r="AB694" s="52"/>
      <c r="AC694" s="52"/>
      <c r="AD694" s="52"/>
      <c r="AE694" s="52"/>
      <c r="AF694" s="52"/>
      <c r="AG694" s="52"/>
      <c r="AH694" s="52"/>
      <c r="AI694" s="52"/>
      <c r="AJ694" s="52"/>
      <c r="AK694" s="52"/>
      <c r="AL694" s="52"/>
      <c r="AM694" s="52"/>
      <c r="AN694" s="52"/>
    </row>
    <row r="695" spans="1:40" x14ac:dyDescent="0.3">
      <c r="A695" s="52">
        <v>690</v>
      </c>
      <c r="B695" s="52">
        <f>-bthan*500+(39+0.5)*bthan*1000/50</f>
        <v>1595</v>
      </c>
      <c r="C695" s="52">
        <f t="shared" si="121"/>
        <v>-530</v>
      </c>
      <c r="D695" s="52">
        <f t="shared" si="118"/>
        <v>2200</v>
      </c>
      <c r="E695" s="52">
        <f t="shared" si="119"/>
        <v>1</v>
      </c>
      <c r="F695" s="52"/>
      <c r="G695" s="52"/>
      <c r="H695" s="52"/>
      <c r="I695" s="52"/>
      <c r="J695" s="52"/>
      <c r="K695" s="52"/>
      <c r="L695" s="52"/>
      <c r="M695" s="52"/>
      <c r="N695" s="52"/>
      <c r="O695" s="52"/>
      <c r="P695" s="52"/>
      <c r="Q695" s="52"/>
      <c r="R695" s="52"/>
      <c r="S695" s="52"/>
      <c r="T695" s="52"/>
      <c r="U695" s="52"/>
      <c r="V695" s="52"/>
      <c r="W695" s="52"/>
      <c r="X695" s="52"/>
      <c r="Y695" s="52"/>
      <c r="Z695" s="52"/>
      <c r="AA695" s="52"/>
      <c r="AB695" s="52"/>
      <c r="AC695" s="52"/>
      <c r="AD695" s="52"/>
      <c r="AE695" s="52"/>
      <c r="AF695" s="52"/>
      <c r="AG695" s="52"/>
      <c r="AH695" s="52"/>
      <c r="AI695" s="52"/>
      <c r="AJ695" s="52"/>
      <c r="AK695" s="52"/>
      <c r="AL695" s="52"/>
      <c r="AM695" s="52"/>
      <c r="AN695" s="52"/>
    </row>
    <row r="696" spans="1:40" x14ac:dyDescent="0.3">
      <c r="A696" s="52">
        <v>691</v>
      </c>
      <c r="B696" s="52">
        <f>-bthan*500+(40+0.5)*bthan*1000/50</f>
        <v>1705</v>
      </c>
      <c r="C696" s="52">
        <f t="shared" si="121"/>
        <v>-530</v>
      </c>
      <c r="D696" s="52">
        <f t="shared" si="118"/>
        <v>2200</v>
      </c>
      <c r="E696" s="52">
        <f t="shared" si="119"/>
        <v>1</v>
      </c>
      <c r="F696" s="52"/>
      <c r="G696" s="52"/>
      <c r="H696" s="52"/>
      <c r="I696" s="52"/>
      <c r="J696" s="52"/>
      <c r="K696" s="52"/>
      <c r="L696" s="52"/>
      <c r="M696" s="52"/>
      <c r="N696" s="52"/>
      <c r="O696" s="52"/>
      <c r="P696" s="52"/>
      <c r="Q696" s="52"/>
      <c r="R696" s="52"/>
      <c r="S696" s="52"/>
      <c r="T696" s="52"/>
      <c r="U696" s="52"/>
      <c r="V696" s="52"/>
      <c r="W696" s="52"/>
      <c r="X696" s="52"/>
      <c r="Y696" s="52"/>
      <c r="Z696" s="52"/>
      <c r="AA696" s="52"/>
      <c r="AB696" s="52"/>
      <c r="AC696" s="52"/>
      <c r="AD696" s="52"/>
      <c r="AE696" s="52"/>
      <c r="AF696" s="52"/>
      <c r="AG696" s="52"/>
      <c r="AH696" s="52"/>
      <c r="AI696" s="52"/>
      <c r="AJ696" s="52"/>
      <c r="AK696" s="52"/>
      <c r="AL696" s="52"/>
      <c r="AM696" s="52"/>
      <c r="AN696" s="52"/>
    </row>
    <row r="697" spans="1:40" x14ac:dyDescent="0.3">
      <c r="A697" s="52">
        <v>692</v>
      </c>
      <c r="B697" s="52">
        <f>-bthan*500+(41+0.5)*bthan*1000/50</f>
        <v>1815</v>
      </c>
      <c r="C697" s="52">
        <f t="shared" si="121"/>
        <v>-530</v>
      </c>
      <c r="D697" s="52">
        <f t="shared" si="118"/>
        <v>2200</v>
      </c>
      <c r="E697" s="52">
        <f t="shared" si="119"/>
        <v>1</v>
      </c>
      <c r="F697" s="52"/>
      <c r="G697" s="52"/>
      <c r="H697" s="52"/>
      <c r="I697" s="52"/>
      <c r="J697" s="52"/>
      <c r="K697" s="52"/>
      <c r="L697" s="52"/>
      <c r="M697" s="52"/>
      <c r="N697" s="52"/>
      <c r="O697" s="52"/>
      <c r="P697" s="52"/>
      <c r="Q697" s="52"/>
      <c r="R697" s="52"/>
      <c r="S697" s="52"/>
      <c r="T697" s="52"/>
      <c r="U697" s="52"/>
      <c r="V697" s="52"/>
      <c r="W697" s="52"/>
      <c r="X697" s="52"/>
      <c r="Y697" s="52"/>
      <c r="Z697" s="52"/>
      <c r="AA697" s="52"/>
      <c r="AB697" s="52"/>
      <c r="AC697" s="52"/>
      <c r="AD697" s="52"/>
      <c r="AE697" s="52"/>
      <c r="AF697" s="52"/>
      <c r="AG697" s="52"/>
      <c r="AH697" s="52"/>
      <c r="AI697" s="52"/>
      <c r="AJ697" s="52"/>
      <c r="AK697" s="52"/>
      <c r="AL697" s="52"/>
      <c r="AM697" s="52"/>
      <c r="AN697" s="52"/>
    </row>
    <row r="698" spans="1:40" x14ac:dyDescent="0.3">
      <c r="A698" s="52">
        <v>693</v>
      </c>
      <c r="B698" s="52">
        <f>-bthan*500+(42+0.5)*bthan*1000/50</f>
        <v>1925</v>
      </c>
      <c r="C698" s="52">
        <f t="shared" si="121"/>
        <v>-530</v>
      </c>
      <c r="D698" s="52">
        <f t="shared" si="118"/>
        <v>2200</v>
      </c>
      <c r="E698" s="52">
        <f t="shared" si="119"/>
        <v>1</v>
      </c>
      <c r="F698" s="52"/>
      <c r="G698" s="52"/>
      <c r="H698" s="52"/>
      <c r="I698" s="52"/>
      <c r="J698" s="52"/>
      <c r="K698" s="52"/>
      <c r="L698" s="52"/>
      <c r="M698" s="52"/>
      <c r="N698" s="52"/>
      <c r="O698" s="52"/>
      <c r="P698" s="52"/>
      <c r="Q698" s="52"/>
      <c r="R698" s="52"/>
      <c r="S698" s="52"/>
      <c r="T698" s="52"/>
      <c r="U698" s="52"/>
      <c r="V698" s="52"/>
      <c r="W698" s="52"/>
      <c r="X698" s="52"/>
      <c r="Y698" s="52"/>
      <c r="Z698" s="52"/>
      <c r="AA698" s="52"/>
      <c r="AB698" s="52"/>
      <c r="AC698" s="52"/>
      <c r="AD698" s="52"/>
      <c r="AE698" s="52"/>
      <c r="AF698" s="52"/>
      <c r="AG698" s="52"/>
      <c r="AH698" s="52"/>
      <c r="AI698" s="52"/>
      <c r="AJ698" s="52"/>
      <c r="AK698" s="52"/>
      <c r="AL698" s="52"/>
      <c r="AM698" s="52"/>
      <c r="AN698" s="52"/>
    </row>
    <row r="699" spans="1:40" x14ac:dyDescent="0.3">
      <c r="A699" s="52">
        <v>694</v>
      </c>
      <c r="B699" s="52">
        <f>-bthan*500+(43+0.5)*bthan*1000/50</f>
        <v>2035</v>
      </c>
      <c r="C699" s="52">
        <f t="shared" si="121"/>
        <v>-530</v>
      </c>
      <c r="D699" s="52">
        <f t="shared" si="118"/>
        <v>2200</v>
      </c>
      <c r="E699" s="52">
        <f t="shared" si="119"/>
        <v>1</v>
      </c>
      <c r="F699" s="52"/>
      <c r="G699" s="52"/>
      <c r="H699" s="52"/>
      <c r="I699" s="52"/>
      <c r="J699" s="52"/>
      <c r="K699" s="52"/>
      <c r="L699" s="52"/>
      <c r="M699" s="52"/>
      <c r="N699" s="52"/>
      <c r="O699" s="52"/>
      <c r="P699" s="52"/>
      <c r="Q699" s="52"/>
      <c r="R699" s="52"/>
      <c r="S699" s="52"/>
      <c r="T699" s="52"/>
      <c r="U699" s="52"/>
      <c r="V699" s="52"/>
      <c r="W699" s="52"/>
      <c r="X699" s="52"/>
      <c r="Y699" s="52"/>
      <c r="Z699" s="52"/>
      <c r="AA699" s="52"/>
      <c r="AB699" s="52"/>
      <c r="AC699" s="52"/>
      <c r="AD699" s="52"/>
      <c r="AE699" s="52"/>
      <c r="AF699" s="52"/>
      <c r="AG699" s="52"/>
      <c r="AH699" s="52"/>
      <c r="AI699" s="52"/>
      <c r="AJ699" s="52"/>
      <c r="AK699" s="52"/>
      <c r="AL699" s="52"/>
      <c r="AM699" s="52"/>
      <c r="AN699" s="52"/>
    </row>
    <row r="700" spans="1:40" x14ac:dyDescent="0.3">
      <c r="A700" s="52">
        <v>695</v>
      </c>
      <c r="B700" s="52">
        <f>-bthan*500+(44+0.5)*bthan*1000/50</f>
        <v>2145</v>
      </c>
      <c r="C700" s="52">
        <f t="shared" si="121"/>
        <v>-530</v>
      </c>
      <c r="D700" s="52">
        <f t="shared" si="118"/>
        <v>2200</v>
      </c>
      <c r="E700" s="52">
        <f t="shared" si="119"/>
        <v>1</v>
      </c>
      <c r="F700" s="52"/>
      <c r="G700" s="52"/>
      <c r="H700" s="52"/>
      <c r="I700" s="52"/>
      <c r="J700" s="52"/>
      <c r="K700" s="52"/>
      <c r="L700" s="52"/>
      <c r="M700" s="52"/>
      <c r="N700" s="52"/>
      <c r="O700" s="52"/>
      <c r="P700" s="52"/>
      <c r="Q700" s="52"/>
      <c r="R700" s="52"/>
      <c r="S700" s="52"/>
      <c r="T700" s="52"/>
      <c r="U700" s="52"/>
      <c r="V700" s="52"/>
      <c r="W700" s="52"/>
      <c r="X700" s="52"/>
      <c r="Y700" s="52"/>
      <c r="Z700" s="52"/>
      <c r="AA700" s="52"/>
      <c r="AB700" s="52"/>
      <c r="AC700" s="52"/>
      <c r="AD700" s="52"/>
      <c r="AE700" s="52"/>
      <c r="AF700" s="52"/>
      <c r="AG700" s="52"/>
      <c r="AH700" s="52"/>
      <c r="AI700" s="52"/>
      <c r="AJ700" s="52"/>
      <c r="AK700" s="52"/>
      <c r="AL700" s="52"/>
      <c r="AM700" s="52"/>
      <c r="AN700" s="52"/>
    </row>
    <row r="701" spans="1:40" x14ac:dyDescent="0.3">
      <c r="A701" s="52">
        <v>696</v>
      </c>
      <c r="B701" s="52">
        <f>-bthan*500+(45+0.5)*bthan*1000/50</f>
        <v>2255</v>
      </c>
      <c r="C701" s="52">
        <f t="shared" si="121"/>
        <v>-530</v>
      </c>
      <c r="D701" s="52">
        <f t="shared" si="118"/>
        <v>2200</v>
      </c>
      <c r="E701" s="52">
        <f t="shared" si="119"/>
        <v>1</v>
      </c>
      <c r="F701" s="52"/>
      <c r="G701" s="52"/>
      <c r="H701" s="52"/>
      <c r="I701" s="52"/>
      <c r="J701" s="52"/>
      <c r="K701" s="52"/>
      <c r="L701" s="52"/>
      <c r="M701" s="52"/>
      <c r="N701" s="52"/>
      <c r="O701" s="52"/>
      <c r="P701" s="52"/>
      <c r="Q701" s="52"/>
      <c r="R701" s="52"/>
      <c r="S701" s="52"/>
      <c r="T701" s="52"/>
      <c r="U701" s="52"/>
      <c r="V701" s="52"/>
      <c r="W701" s="52"/>
      <c r="X701" s="52"/>
      <c r="Y701" s="52"/>
      <c r="Z701" s="52"/>
      <c r="AA701" s="52"/>
      <c r="AB701" s="52"/>
      <c r="AC701" s="52"/>
      <c r="AD701" s="52"/>
      <c r="AE701" s="52"/>
      <c r="AF701" s="52"/>
      <c r="AG701" s="52"/>
      <c r="AH701" s="52"/>
      <c r="AI701" s="52"/>
      <c r="AJ701" s="52"/>
      <c r="AK701" s="52"/>
      <c r="AL701" s="52"/>
      <c r="AM701" s="52"/>
      <c r="AN701" s="52"/>
    </row>
    <row r="702" spans="1:40" x14ac:dyDescent="0.3">
      <c r="A702" s="52">
        <v>697</v>
      </c>
      <c r="B702" s="52">
        <f>-bthan*500+(46+0.5)*bthan*1000/50</f>
        <v>2365</v>
      </c>
      <c r="C702" s="52">
        <f t="shared" si="121"/>
        <v>-530</v>
      </c>
      <c r="D702" s="52">
        <f t="shared" si="118"/>
        <v>2200</v>
      </c>
      <c r="E702" s="52">
        <f t="shared" si="119"/>
        <v>1</v>
      </c>
      <c r="F702" s="52"/>
      <c r="G702" s="52"/>
      <c r="H702" s="52"/>
      <c r="I702" s="52"/>
      <c r="J702" s="52"/>
      <c r="K702" s="52"/>
      <c r="L702" s="52"/>
      <c r="M702" s="52"/>
      <c r="N702" s="52"/>
      <c r="O702" s="52"/>
      <c r="P702" s="52"/>
      <c r="Q702" s="52"/>
      <c r="R702" s="52"/>
      <c r="S702" s="52"/>
      <c r="T702" s="52"/>
      <c r="U702" s="52"/>
      <c r="V702" s="52"/>
      <c r="W702" s="52"/>
      <c r="X702" s="52"/>
      <c r="Y702" s="52"/>
      <c r="Z702" s="52"/>
      <c r="AA702" s="52"/>
      <c r="AB702" s="52"/>
      <c r="AC702" s="52"/>
      <c r="AD702" s="52"/>
      <c r="AE702" s="52"/>
      <c r="AF702" s="52"/>
      <c r="AG702" s="52"/>
      <c r="AH702" s="52"/>
      <c r="AI702" s="52"/>
      <c r="AJ702" s="52"/>
      <c r="AK702" s="52"/>
      <c r="AL702" s="52"/>
      <c r="AM702" s="52"/>
      <c r="AN702" s="52"/>
    </row>
    <row r="703" spans="1:40" x14ac:dyDescent="0.3">
      <c r="A703" s="52">
        <v>698</v>
      </c>
      <c r="B703" s="52">
        <f>-bthan*500+(47+0.5)*bthan*1000/50</f>
        <v>2475</v>
      </c>
      <c r="C703" s="52">
        <f t="shared" si="121"/>
        <v>-530</v>
      </c>
      <c r="D703" s="52">
        <f t="shared" si="118"/>
        <v>2200</v>
      </c>
      <c r="E703" s="52">
        <f t="shared" si="119"/>
        <v>1</v>
      </c>
      <c r="F703" s="52"/>
      <c r="G703" s="52"/>
      <c r="H703" s="52"/>
      <c r="I703" s="52"/>
      <c r="J703" s="52"/>
      <c r="K703" s="52"/>
      <c r="L703" s="52"/>
      <c r="M703" s="52"/>
      <c r="N703" s="52"/>
      <c r="O703" s="52"/>
      <c r="P703" s="52"/>
      <c r="Q703" s="52"/>
      <c r="R703" s="52"/>
      <c r="S703" s="52"/>
      <c r="T703" s="52"/>
      <c r="U703" s="52"/>
      <c r="V703" s="52"/>
      <c r="W703" s="52"/>
      <c r="X703" s="52"/>
      <c r="Y703" s="52"/>
      <c r="Z703" s="52"/>
      <c r="AA703" s="52"/>
      <c r="AB703" s="52"/>
      <c r="AC703" s="52"/>
      <c r="AD703" s="52"/>
      <c r="AE703" s="52"/>
      <c r="AF703" s="52"/>
      <c r="AG703" s="52"/>
      <c r="AH703" s="52"/>
      <c r="AI703" s="52"/>
      <c r="AJ703" s="52"/>
      <c r="AK703" s="52"/>
      <c r="AL703" s="52"/>
      <c r="AM703" s="52"/>
      <c r="AN703" s="52"/>
    </row>
    <row r="704" spans="1:40" x14ac:dyDescent="0.3">
      <c r="A704" s="52">
        <v>699</v>
      </c>
      <c r="B704" s="52">
        <f>-bthan*500+(48+0.5)*bthan*1000/50</f>
        <v>2585</v>
      </c>
      <c r="C704" s="52">
        <f t="shared" si="121"/>
        <v>-530</v>
      </c>
      <c r="D704" s="52">
        <f t="shared" si="118"/>
        <v>2200</v>
      </c>
      <c r="E704" s="52">
        <f t="shared" si="119"/>
        <v>0</v>
      </c>
      <c r="F704" s="52"/>
      <c r="G704" s="52"/>
      <c r="H704" s="52"/>
      <c r="I704" s="52"/>
      <c r="J704" s="52"/>
      <c r="K704" s="52"/>
      <c r="L704" s="52"/>
      <c r="M704" s="52"/>
      <c r="N704" s="52"/>
      <c r="O704" s="52"/>
      <c r="P704" s="52"/>
      <c r="Q704" s="52"/>
      <c r="R704" s="52"/>
      <c r="S704" s="52"/>
      <c r="T704" s="52"/>
      <c r="U704" s="52"/>
      <c r="V704" s="52"/>
      <c r="W704" s="52"/>
      <c r="X704" s="52"/>
      <c r="Y704" s="52"/>
      <c r="Z704" s="52"/>
      <c r="AA704" s="52"/>
      <c r="AB704" s="52"/>
      <c r="AC704" s="52"/>
      <c r="AD704" s="52"/>
      <c r="AE704" s="52"/>
      <c r="AF704" s="52"/>
      <c r="AG704" s="52"/>
      <c r="AH704" s="52"/>
      <c r="AI704" s="52"/>
      <c r="AJ704" s="52"/>
      <c r="AK704" s="52"/>
      <c r="AL704" s="52"/>
      <c r="AM704" s="52"/>
      <c r="AN704" s="52"/>
    </row>
    <row r="705" spans="1:40" x14ac:dyDescent="0.3">
      <c r="A705" s="52">
        <v>700</v>
      </c>
      <c r="B705" s="52">
        <f>-bthan*500+(49+0.5)*bthan*1000/50</f>
        <v>2695</v>
      </c>
      <c r="C705" s="52">
        <f t="shared" si="121"/>
        <v>-530</v>
      </c>
      <c r="D705" s="52">
        <f t="shared" si="118"/>
        <v>2200</v>
      </c>
      <c r="E705" s="52">
        <f t="shared" si="119"/>
        <v>0</v>
      </c>
      <c r="F705" s="52"/>
      <c r="G705" s="52"/>
      <c r="H705" s="52"/>
      <c r="I705" s="52"/>
      <c r="J705" s="52"/>
      <c r="K705" s="52"/>
      <c r="L705" s="52"/>
      <c r="M705" s="52"/>
      <c r="N705" s="52"/>
      <c r="O705" s="52"/>
      <c r="P705" s="52"/>
      <c r="Q705" s="52"/>
      <c r="R705" s="52"/>
      <c r="S705" s="52"/>
      <c r="T705" s="52"/>
      <c r="U705" s="52"/>
      <c r="V705" s="52"/>
      <c r="W705" s="52"/>
      <c r="X705" s="52"/>
      <c r="Y705" s="52"/>
      <c r="Z705" s="52"/>
      <c r="AA705" s="52"/>
      <c r="AB705" s="52"/>
      <c r="AC705" s="52"/>
      <c r="AD705" s="52"/>
      <c r="AE705" s="52"/>
      <c r="AF705" s="52"/>
      <c r="AG705" s="52"/>
      <c r="AH705" s="52"/>
      <c r="AI705" s="52"/>
      <c r="AJ705" s="52"/>
      <c r="AK705" s="52"/>
      <c r="AL705" s="52"/>
      <c r="AM705" s="52"/>
      <c r="AN705" s="52"/>
    </row>
    <row r="706" spans="1:40" x14ac:dyDescent="0.3">
      <c r="A706" s="52">
        <v>701</v>
      </c>
      <c r="B706" s="52">
        <f>-bthan*500+(0+0.5)*bthan*1000/50</f>
        <v>-2695</v>
      </c>
      <c r="C706" s="52">
        <f t="shared" ref="C706:C737" si="122">-hthan*500+(14+0.5)*hthan*1000/80</f>
        <v>-509.99999999999994</v>
      </c>
      <c r="D706" s="52">
        <f t="shared" si="118"/>
        <v>2200</v>
      </c>
      <c r="E706" s="52">
        <f t="shared" si="119"/>
        <v>0</v>
      </c>
      <c r="F706" s="52"/>
      <c r="G706" s="52"/>
      <c r="H706" s="52"/>
      <c r="I706" s="52"/>
      <c r="J706" s="52"/>
      <c r="K706" s="52"/>
      <c r="L706" s="52"/>
      <c r="M706" s="52"/>
      <c r="N706" s="52"/>
      <c r="O706" s="52"/>
      <c r="P706" s="52"/>
      <c r="Q706" s="52"/>
      <c r="R706" s="52"/>
      <c r="S706" s="52"/>
      <c r="T706" s="52"/>
      <c r="U706" s="52"/>
      <c r="V706" s="52"/>
      <c r="W706" s="52"/>
      <c r="X706" s="52"/>
      <c r="Y706" s="52"/>
      <c r="Z706" s="52"/>
      <c r="AA706" s="52"/>
      <c r="AB706" s="52"/>
      <c r="AC706" s="52"/>
      <c r="AD706" s="52"/>
      <c r="AE706" s="52"/>
      <c r="AF706" s="52"/>
      <c r="AG706" s="52"/>
      <c r="AH706" s="52"/>
      <c r="AI706" s="52"/>
      <c r="AJ706" s="52"/>
      <c r="AK706" s="52"/>
      <c r="AL706" s="52"/>
      <c r="AM706" s="52"/>
      <c r="AN706" s="52"/>
    </row>
    <row r="707" spans="1:40" x14ac:dyDescent="0.3">
      <c r="A707" s="52">
        <v>702</v>
      </c>
      <c r="B707" s="52">
        <f>-bthan*500+(1+0.5)*bthan*1000/50</f>
        <v>-2585</v>
      </c>
      <c r="C707" s="52">
        <f t="shared" si="122"/>
        <v>-509.99999999999994</v>
      </c>
      <c r="D707" s="52">
        <f t="shared" si="118"/>
        <v>2200</v>
      </c>
      <c r="E707" s="52">
        <f t="shared" si="119"/>
        <v>0</v>
      </c>
      <c r="F707" s="52"/>
      <c r="G707" s="52"/>
      <c r="H707" s="52"/>
      <c r="I707" s="52"/>
      <c r="J707" s="52"/>
      <c r="K707" s="52"/>
      <c r="L707" s="52"/>
      <c r="M707" s="52"/>
      <c r="N707" s="52"/>
      <c r="O707" s="52"/>
      <c r="P707" s="52"/>
      <c r="Q707" s="52"/>
      <c r="R707" s="52"/>
      <c r="S707" s="52"/>
      <c r="T707" s="52"/>
      <c r="U707" s="52"/>
      <c r="V707" s="52"/>
      <c r="W707" s="52"/>
      <c r="X707" s="52"/>
      <c r="Y707" s="52"/>
      <c r="Z707" s="52"/>
      <c r="AA707" s="52"/>
      <c r="AB707" s="52"/>
      <c r="AC707" s="52"/>
      <c r="AD707" s="52"/>
      <c r="AE707" s="52"/>
      <c r="AF707" s="52"/>
      <c r="AG707" s="52"/>
      <c r="AH707" s="52"/>
      <c r="AI707" s="52"/>
      <c r="AJ707" s="52"/>
      <c r="AK707" s="52"/>
      <c r="AL707" s="52"/>
      <c r="AM707" s="52"/>
      <c r="AN707" s="52"/>
    </row>
    <row r="708" spans="1:40" x14ac:dyDescent="0.3">
      <c r="A708" s="52">
        <v>703</v>
      </c>
      <c r="B708" s="52">
        <f>-bthan*500+(2+0.5)*bthan*1000/50</f>
        <v>-2475</v>
      </c>
      <c r="C708" s="52">
        <f t="shared" si="122"/>
        <v>-509.99999999999994</v>
      </c>
      <c r="D708" s="52">
        <f t="shared" si="118"/>
        <v>2200</v>
      </c>
      <c r="E708" s="52">
        <f t="shared" si="119"/>
        <v>1</v>
      </c>
      <c r="F708" s="52"/>
      <c r="G708" s="52"/>
      <c r="H708" s="52"/>
      <c r="I708" s="52"/>
      <c r="J708" s="52"/>
      <c r="K708" s="52"/>
      <c r="L708" s="52"/>
      <c r="M708" s="52"/>
      <c r="N708" s="52"/>
      <c r="O708" s="52"/>
      <c r="P708" s="52"/>
      <c r="Q708" s="52"/>
      <c r="R708" s="52"/>
      <c r="S708" s="52"/>
      <c r="T708" s="52"/>
      <c r="U708" s="52"/>
      <c r="V708" s="52"/>
      <c r="W708" s="52"/>
      <c r="X708" s="52"/>
      <c r="Y708" s="52"/>
      <c r="Z708" s="52"/>
      <c r="AA708" s="52"/>
      <c r="AB708" s="52"/>
      <c r="AC708" s="52"/>
      <c r="AD708" s="52"/>
      <c r="AE708" s="52"/>
      <c r="AF708" s="52"/>
      <c r="AG708" s="52"/>
      <c r="AH708" s="52"/>
      <c r="AI708" s="52"/>
      <c r="AJ708" s="52"/>
      <c r="AK708" s="52"/>
      <c r="AL708" s="52"/>
      <c r="AM708" s="52"/>
      <c r="AN708" s="52"/>
    </row>
    <row r="709" spans="1:40" x14ac:dyDescent="0.3">
      <c r="A709" s="52">
        <v>704</v>
      </c>
      <c r="B709" s="52">
        <f>-bthan*500+(3+0.5)*bthan*1000/50</f>
        <v>-2365</v>
      </c>
      <c r="C709" s="52">
        <f t="shared" si="122"/>
        <v>-509.99999999999994</v>
      </c>
      <c r="D709" s="52">
        <f t="shared" si="118"/>
        <v>2200</v>
      </c>
      <c r="E709" s="52">
        <f t="shared" si="119"/>
        <v>1</v>
      </c>
      <c r="F709" s="52"/>
      <c r="G709" s="52"/>
      <c r="H709" s="52"/>
      <c r="I709" s="52"/>
      <c r="J709" s="52"/>
      <c r="K709" s="52"/>
      <c r="L709" s="52"/>
      <c r="M709" s="52"/>
      <c r="N709" s="52"/>
      <c r="O709" s="52"/>
      <c r="P709" s="52"/>
      <c r="Q709" s="52"/>
      <c r="R709" s="52"/>
      <c r="S709" s="52"/>
      <c r="T709" s="52"/>
      <c r="U709" s="52"/>
      <c r="V709" s="52"/>
      <c r="W709" s="52"/>
      <c r="X709" s="52"/>
      <c r="Y709" s="52"/>
      <c r="Z709" s="52"/>
      <c r="AA709" s="52"/>
      <c r="AB709" s="52"/>
      <c r="AC709" s="52"/>
      <c r="AD709" s="52"/>
      <c r="AE709" s="52"/>
      <c r="AF709" s="52"/>
      <c r="AG709" s="52"/>
      <c r="AH709" s="52"/>
      <c r="AI709" s="52"/>
      <c r="AJ709" s="52"/>
      <c r="AK709" s="52"/>
      <c r="AL709" s="52"/>
      <c r="AM709" s="52"/>
      <c r="AN709" s="52"/>
    </row>
    <row r="710" spans="1:40" x14ac:dyDescent="0.3">
      <c r="A710" s="52">
        <v>705</v>
      </c>
      <c r="B710" s="52">
        <f>-bthan*500+(4+0.5)*bthan*1000/50</f>
        <v>-2255</v>
      </c>
      <c r="C710" s="52">
        <f t="shared" si="122"/>
        <v>-509.99999999999994</v>
      </c>
      <c r="D710" s="52">
        <f t="shared" ref="D710:D773" si="123">bthan*1000/50*hthan*1000/80</f>
        <v>2200</v>
      </c>
      <c r="E710" s="52">
        <f t="shared" ref="E710:E773" si="124">IF(shp=1,--(OR(ABS(B710)&lt;=MAX(0,(bthan-hthan)*500),(ABS(B710)-MAX(0,(bthan-hthan)*500))^2+C710^2&lt;=(hthan*500)^2)),--(AND(ABS(B710)&lt;=bthan*500,ABS(C710)&lt;=hthan*500,OR(ABS(B710)&lt;=bthan*500-cch*1000,ABS(C710)&lt;=hthan*500-cch*1000,(bthan*500-ABS(B710))+(hthan*500-ABS(C710))&gt;=cch*1000))))</f>
        <v>1</v>
      </c>
      <c r="F710" s="52"/>
      <c r="G710" s="52"/>
      <c r="H710" s="52"/>
      <c r="I710" s="52"/>
      <c r="J710" s="52"/>
      <c r="K710" s="52"/>
      <c r="L710" s="52"/>
      <c r="M710" s="52"/>
      <c r="N710" s="52"/>
      <c r="O710" s="52"/>
      <c r="P710" s="52"/>
      <c r="Q710" s="52"/>
      <c r="R710" s="52"/>
      <c r="S710" s="52"/>
      <c r="T710" s="52"/>
      <c r="U710" s="52"/>
      <c r="V710" s="52"/>
      <c r="W710" s="52"/>
      <c r="X710" s="52"/>
      <c r="Y710" s="52"/>
      <c r="Z710" s="52"/>
      <c r="AA710" s="52"/>
      <c r="AB710" s="52"/>
      <c r="AC710" s="52"/>
      <c r="AD710" s="52"/>
      <c r="AE710" s="52"/>
      <c r="AF710" s="52"/>
      <c r="AG710" s="52"/>
      <c r="AH710" s="52"/>
      <c r="AI710" s="52"/>
      <c r="AJ710" s="52"/>
      <c r="AK710" s="52"/>
      <c r="AL710" s="52"/>
      <c r="AM710" s="52"/>
      <c r="AN710" s="52"/>
    </row>
    <row r="711" spans="1:40" x14ac:dyDescent="0.3">
      <c r="A711" s="52">
        <v>706</v>
      </c>
      <c r="B711" s="52">
        <f>-bthan*500+(5+0.5)*bthan*1000/50</f>
        <v>-2145</v>
      </c>
      <c r="C711" s="52">
        <f t="shared" si="122"/>
        <v>-509.99999999999994</v>
      </c>
      <c r="D711" s="52">
        <f t="shared" si="123"/>
        <v>2200</v>
      </c>
      <c r="E711" s="52">
        <f t="shared" si="124"/>
        <v>1</v>
      </c>
      <c r="F711" s="52"/>
      <c r="G711" s="52"/>
      <c r="H711" s="52"/>
      <c r="I711" s="52"/>
      <c r="J711" s="52"/>
      <c r="K711" s="52"/>
      <c r="L711" s="52"/>
      <c r="M711" s="52"/>
      <c r="N711" s="52"/>
      <c r="O711" s="52"/>
      <c r="P711" s="52"/>
      <c r="Q711" s="52"/>
      <c r="R711" s="52"/>
      <c r="S711" s="52"/>
      <c r="T711" s="52"/>
      <c r="U711" s="52"/>
      <c r="V711" s="52"/>
      <c r="W711" s="52"/>
      <c r="X711" s="52"/>
      <c r="Y711" s="52"/>
      <c r="Z711" s="52"/>
      <c r="AA711" s="52"/>
      <c r="AB711" s="52"/>
      <c r="AC711" s="52"/>
      <c r="AD711" s="52"/>
      <c r="AE711" s="52"/>
      <c r="AF711" s="52"/>
      <c r="AG711" s="52"/>
      <c r="AH711" s="52"/>
      <c r="AI711" s="52"/>
      <c r="AJ711" s="52"/>
      <c r="AK711" s="52"/>
      <c r="AL711" s="52"/>
      <c r="AM711" s="52"/>
      <c r="AN711" s="52"/>
    </row>
    <row r="712" spans="1:40" x14ac:dyDescent="0.3">
      <c r="A712" s="52">
        <v>707</v>
      </c>
      <c r="B712" s="52">
        <f>-bthan*500+(6+0.5)*bthan*1000/50</f>
        <v>-2035</v>
      </c>
      <c r="C712" s="52">
        <f t="shared" si="122"/>
        <v>-509.99999999999994</v>
      </c>
      <c r="D712" s="52">
        <f t="shared" si="123"/>
        <v>2200</v>
      </c>
      <c r="E712" s="52">
        <f t="shared" si="124"/>
        <v>1</v>
      </c>
      <c r="F712" s="52"/>
      <c r="G712" s="52"/>
      <c r="H712" s="52"/>
      <c r="I712" s="52"/>
      <c r="J712" s="52"/>
      <c r="K712" s="52"/>
      <c r="L712" s="52"/>
      <c r="M712" s="52"/>
      <c r="N712" s="52"/>
      <c r="O712" s="52"/>
      <c r="P712" s="52"/>
      <c r="Q712" s="52"/>
      <c r="R712" s="52"/>
      <c r="S712" s="52"/>
      <c r="T712" s="52"/>
      <c r="U712" s="52"/>
      <c r="V712" s="52"/>
      <c r="W712" s="52"/>
      <c r="X712" s="52"/>
      <c r="Y712" s="52"/>
      <c r="Z712" s="52"/>
      <c r="AA712" s="52"/>
      <c r="AB712" s="52"/>
      <c r="AC712" s="52"/>
      <c r="AD712" s="52"/>
      <c r="AE712" s="52"/>
      <c r="AF712" s="52"/>
      <c r="AG712" s="52"/>
      <c r="AH712" s="52"/>
      <c r="AI712" s="52"/>
      <c r="AJ712" s="52"/>
      <c r="AK712" s="52"/>
      <c r="AL712" s="52"/>
      <c r="AM712" s="52"/>
      <c r="AN712" s="52"/>
    </row>
    <row r="713" spans="1:40" x14ac:dyDescent="0.3">
      <c r="A713" s="52">
        <v>708</v>
      </c>
      <c r="B713" s="52">
        <f>-bthan*500+(7+0.5)*bthan*1000/50</f>
        <v>-1925</v>
      </c>
      <c r="C713" s="52">
        <f t="shared" si="122"/>
        <v>-509.99999999999994</v>
      </c>
      <c r="D713" s="52">
        <f t="shared" si="123"/>
        <v>2200</v>
      </c>
      <c r="E713" s="52">
        <f t="shared" si="124"/>
        <v>1</v>
      </c>
      <c r="F713" s="52"/>
      <c r="G713" s="52"/>
      <c r="H713" s="52"/>
      <c r="I713" s="52"/>
      <c r="J713" s="52"/>
      <c r="K713" s="52"/>
      <c r="L713" s="52"/>
      <c r="M713" s="52"/>
      <c r="N713" s="52"/>
      <c r="O713" s="52"/>
      <c r="P713" s="52"/>
      <c r="Q713" s="52"/>
      <c r="R713" s="52"/>
      <c r="S713" s="52"/>
      <c r="T713" s="52"/>
      <c r="U713" s="52"/>
      <c r="V713" s="52"/>
      <c r="W713" s="52"/>
      <c r="X713" s="52"/>
      <c r="Y713" s="52"/>
      <c r="Z713" s="52"/>
      <c r="AA713" s="52"/>
      <c r="AB713" s="52"/>
      <c r="AC713" s="52"/>
      <c r="AD713" s="52"/>
      <c r="AE713" s="52"/>
      <c r="AF713" s="52"/>
      <c r="AG713" s="52"/>
      <c r="AH713" s="52"/>
      <c r="AI713" s="52"/>
      <c r="AJ713" s="52"/>
      <c r="AK713" s="52"/>
      <c r="AL713" s="52"/>
      <c r="AM713" s="52"/>
      <c r="AN713" s="52"/>
    </row>
    <row r="714" spans="1:40" x14ac:dyDescent="0.3">
      <c r="A714" s="52">
        <v>709</v>
      </c>
      <c r="B714" s="52">
        <f>-bthan*500+(8+0.5)*bthan*1000/50</f>
        <v>-1815</v>
      </c>
      <c r="C714" s="52">
        <f t="shared" si="122"/>
        <v>-509.99999999999994</v>
      </c>
      <c r="D714" s="52">
        <f t="shared" si="123"/>
        <v>2200</v>
      </c>
      <c r="E714" s="52">
        <f t="shared" si="124"/>
        <v>1</v>
      </c>
      <c r="F714" s="52"/>
      <c r="G714" s="52"/>
      <c r="H714" s="52"/>
      <c r="I714" s="52"/>
      <c r="J714" s="52"/>
      <c r="K714" s="52"/>
      <c r="L714" s="52"/>
      <c r="M714" s="52"/>
      <c r="N714" s="52"/>
      <c r="O714" s="52"/>
      <c r="P714" s="52"/>
      <c r="Q714" s="52"/>
      <c r="R714" s="52"/>
      <c r="S714" s="52"/>
      <c r="T714" s="52"/>
      <c r="U714" s="52"/>
      <c r="V714" s="52"/>
      <c r="W714" s="52"/>
      <c r="X714" s="52"/>
      <c r="Y714" s="52"/>
      <c r="Z714" s="52"/>
      <c r="AA714" s="52"/>
      <c r="AB714" s="52"/>
      <c r="AC714" s="52"/>
      <c r="AD714" s="52"/>
      <c r="AE714" s="52"/>
      <c r="AF714" s="52"/>
      <c r="AG714" s="52"/>
      <c r="AH714" s="52"/>
      <c r="AI714" s="52"/>
      <c r="AJ714" s="52"/>
      <c r="AK714" s="52"/>
      <c r="AL714" s="52"/>
      <c r="AM714" s="52"/>
      <c r="AN714" s="52"/>
    </row>
    <row r="715" spans="1:40" x14ac:dyDescent="0.3">
      <c r="A715" s="52">
        <v>710</v>
      </c>
      <c r="B715" s="52">
        <f>-bthan*500+(9+0.5)*bthan*1000/50</f>
        <v>-1705</v>
      </c>
      <c r="C715" s="52">
        <f t="shared" si="122"/>
        <v>-509.99999999999994</v>
      </c>
      <c r="D715" s="52">
        <f t="shared" si="123"/>
        <v>2200</v>
      </c>
      <c r="E715" s="52">
        <f t="shared" si="124"/>
        <v>1</v>
      </c>
      <c r="F715" s="52"/>
      <c r="G715" s="52"/>
      <c r="H715" s="52"/>
      <c r="I715" s="52"/>
      <c r="J715" s="52"/>
      <c r="K715" s="52"/>
      <c r="L715" s="52"/>
      <c r="M715" s="52"/>
      <c r="N715" s="52"/>
      <c r="O715" s="52"/>
      <c r="P715" s="52"/>
      <c r="Q715" s="52"/>
      <c r="R715" s="52"/>
      <c r="S715" s="52"/>
      <c r="T715" s="52"/>
      <c r="U715" s="52"/>
      <c r="V715" s="52"/>
      <c r="W715" s="52"/>
      <c r="X715" s="52"/>
      <c r="Y715" s="52"/>
      <c r="Z715" s="52"/>
      <c r="AA715" s="52"/>
      <c r="AB715" s="52"/>
      <c r="AC715" s="52"/>
      <c r="AD715" s="52"/>
      <c r="AE715" s="52"/>
      <c r="AF715" s="52"/>
      <c r="AG715" s="52"/>
      <c r="AH715" s="52"/>
      <c r="AI715" s="52"/>
      <c r="AJ715" s="52"/>
      <c r="AK715" s="52"/>
      <c r="AL715" s="52"/>
      <c r="AM715" s="52"/>
      <c r="AN715" s="52"/>
    </row>
    <row r="716" spans="1:40" x14ac:dyDescent="0.3">
      <c r="A716" s="52">
        <v>711</v>
      </c>
      <c r="B716" s="52">
        <f>-bthan*500+(10+0.5)*bthan*1000/50</f>
        <v>-1595</v>
      </c>
      <c r="C716" s="52">
        <f t="shared" si="122"/>
        <v>-509.99999999999994</v>
      </c>
      <c r="D716" s="52">
        <f t="shared" si="123"/>
        <v>2200</v>
      </c>
      <c r="E716" s="52">
        <f t="shared" si="124"/>
        <v>1</v>
      </c>
      <c r="F716" s="52"/>
      <c r="G716" s="52"/>
      <c r="H716" s="52"/>
      <c r="I716" s="52"/>
      <c r="J716" s="52"/>
      <c r="K716" s="52"/>
      <c r="L716" s="52"/>
      <c r="M716" s="52"/>
      <c r="N716" s="52"/>
      <c r="O716" s="52"/>
      <c r="P716" s="52"/>
      <c r="Q716" s="52"/>
      <c r="R716" s="52"/>
      <c r="S716" s="52"/>
      <c r="T716" s="52"/>
      <c r="U716" s="52"/>
      <c r="V716" s="52"/>
      <c r="W716" s="52"/>
      <c r="X716" s="52"/>
      <c r="Y716" s="52"/>
      <c r="Z716" s="52"/>
      <c r="AA716" s="52"/>
      <c r="AB716" s="52"/>
      <c r="AC716" s="52"/>
      <c r="AD716" s="52"/>
      <c r="AE716" s="52"/>
      <c r="AF716" s="52"/>
      <c r="AG716" s="52"/>
      <c r="AH716" s="52"/>
      <c r="AI716" s="52"/>
      <c r="AJ716" s="52"/>
      <c r="AK716" s="52"/>
      <c r="AL716" s="52"/>
      <c r="AM716" s="52"/>
      <c r="AN716" s="52"/>
    </row>
    <row r="717" spans="1:40" x14ac:dyDescent="0.3">
      <c r="A717" s="52">
        <v>712</v>
      </c>
      <c r="B717" s="52">
        <f>-bthan*500+(11+0.5)*bthan*1000/50</f>
        <v>-1485</v>
      </c>
      <c r="C717" s="52">
        <f t="shared" si="122"/>
        <v>-509.99999999999994</v>
      </c>
      <c r="D717" s="52">
        <f t="shared" si="123"/>
        <v>2200</v>
      </c>
      <c r="E717" s="52">
        <f t="shared" si="124"/>
        <v>1</v>
      </c>
      <c r="F717" s="52"/>
      <c r="G717" s="52"/>
      <c r="H717" s="52"/>
      <c r="I717" s="52"/>
      <c r="J717" s="52"/>
      <c r="K717" s="52"/>
      <c r="L717" s="52"/>
      <c r="M717" s="52"/>
      <c r="N717" s="52"/>
      <c r="O717" s="52"/>
      <c r="P717" s="52"/>
      <c r="Q717" s="52"/>
      <c r="R717" s="52"/>
      <c r="S717" s="52"/>
      <c r="T717" s="52"/>
      <c r="U717" s="52"/>
      <c r="V717" s="52"/>
      <c r="W717" s="52"/>
      <c r="X717" s="52"/>
      <c r="Y717" s="52"/>
      <c r="Z717" s="52"/>
      <c r="AA717" s="52"/>
      <c r="AB717" s="52"/>
      <c r="AC717" s="52"/>
      <c r="AD717" s="52"/>
      <c r="AE717" s="52"/>
      <c r="AF717" s="52"/>
      <c r="AG717" s="52"/>
      <c r="AH717" s="52"/>
      <c r="AI717" s="52"/>
      <c r="AJ717" s="52"/>
      <c r="AK717" s="52"/>
      <c r="AL717" s="52"/>
      <c r="AM717" s="52"/>
      <c r="AN717" s="52"/>
    </row>
    <row r="718" spans="1:40" x14ac:dyDescent="0.3">
      <c r="A718" s="52">
        <v>713</v>
      </c>
      <c r="B718" s="52">
        <f>-bthan*500+(12+0.5)*bthan*1000/50</f>
        <v>-1375</v>
      </c>
      <c r="C718" s="52">
        <f t="shared" si="122"/>
        <v>-509.99999999999994</v>
      </c>
      <c r="D718" s="52">
        <f t="shared" si="123"/>
        <v>2200</v>
      </c>
      <c r="E718" s="52">
        <f t="shared" si="124"/>
        <v>1</v>
      </c>
      <c r="F718" s="52"/>
      <c r="G718" s="52"/>
      <c r="H718" s="52"/>
      <c r="I718" s="52"/>
      <c r="J718" s="52"/>
      <c r="K718" s="52"/>
      <c r="L718" s="52"/>
      <c r="M718" s="52"/>
      <c r="N718" s="52"/>
      <c r="O718" s="52"/>
      <c r="P718" s="52"/>
      <c r="Q718" s="52"/>
      <c r="R718" s="52"/>
      <c r="S718" s="52"/>
      <c r="T718" s="52"/>
      <c r="U718" s="52"/>
      <c r="V718" s="52"/>
      <c r="W718" s="52"/>
      <c r="X718" s="52"/>
      <c r="Y718" s="52"/>
      <c r="Z718" s="52"/>
      <c r="AA718" s="52"/>
      <c r="AB718" s="52"/>
      <c r="AC718" s="52"/>
      <c r="AD718" s="52"/>
      <c r="AE718" s="52"/>
      <c r="AF718" s="52"/>
      <c r="AG718" s="52"/>
      <c r="AH718" s="52"/>
      <c r="AI718" s="52"/>
      <c r="AJ718" s="52"/>
      <c r="AK718" s="52"/>
      <c r="AL718" s="52"/>
      <c r="AM718" s="52"/>
      <c r="AN718" s="52"/>
    </row>
    <row r="719" spans="1:40" x14ac:dyDescent="0.3">
      <c r="A719" s="52">
        <v>714</v>
      </c>
      <c r="B719" s="52">
        <f>-bthan*500+(13+0.5)*bthan*1000/50</f>
        <v>-1265</v>
      </c>
      <c r="C719" s="52">
        <f t="shared" si="122"/>
        <v>-509.99999999999994</v>
      </c>
      <c r="D719" s="52">
        <f t="shared" si="123"/>
        <v>2200</v>
      </c>
      <c r="E719" s="52">
        <f t="shared" si="124"/>
        <v>1</v>
      </c>
      <c r="F719" s="52"/>
      <c r="G719" s="52"/>
      <c r="H719" s="52"/>
      <c r="I719" s="52"/>
      <c r="J719" s="52"/>
      <c r="K719" s="52"/>
      <c r="L719" s="52"/>
      <c r="M719" s="52"/>
      <c r="N719" s="52"/>
      <c r="O719" s="52"/>
      <c r="P719" s="52"/>
      <c r="Q719" s="52"/>
      <c r="R719" s="52"/>
      <c r="S719" s="52"/>
      <c r="T719" s="52"/>
      <c r="U719" s="52"/>
      <c r="V719" s="52"/>
      <c r="W719" s="52"/>
      <c r="X719" s="52"/>
      <c r="Y719" s="52"/>
      <c r="Z719" s="52"/>
      <c r="AA719" s="52"/>
      <c r="AB719" s="52"/>
      <c r="AC719" s="52"/>
      <c r="AD719" s="52"/>
      <c r="AE719" s="52"/>
      <c r="AF719" s="52"/>
      <c r="AG719" s="52"/>
      <c r="AH719" s="52"/>
      <c r="AI719" s="52"/>
      <c r="AJ719" s="52"/>
      <c r="AK719" s="52"/>
      <c r="AL719" s="52"/>
      <c r="AM719" s="52"/>
      <c r="AN719" s="52"/>
    </row>
    <row r="720" spans="1:40" x14ac:dyDescent="0.3">
      <c r="A720" s="52">
        <v>715</v>
      </c>
      <c r="B720" s="52">
        <f>-bthan*500+(14+0.5)*bthan*1000/50</f>
        <v>-1155</v>
      </c>
      <c r="C720" s="52">
        <f t="shared" si="122"/>
        <v>-509.99999999999994</v>
      </c>
      <c r="D720" s="52">
        <f t="shared" si="123"/>
        <v>2200</v>
      </c>
      <c r="E720" s="52">
        <f t="shared" si="124"/>
        <v>1</v>
      </c>
      <c r="F720" s="52"/>
      <c r="G720" s="52"/>
      <c r="H720" s="52"/>
      <c r="I720" s="52"/>
      <c r="J720" s="52"/>
      <c r="K720" s="52"/>
      <c r="L720" s="52"/>
      <c r="M720" s="52"/>
      <c r="N720" s="52"/>
      <c r="O720" s="52"/>
      <c r="P720" s="52"/>
      <c r="Q720" s="52"/>
      <c r="R720" s="52"/>
      <c r="S720" s="52"/>
      <c r="T720" s="52"/>
      <c r="U720" s="52"/>
      <c r="V720" s="52"/>
      <c r="W720" s="52"/>
      <c r="X720" s="52"/>
      <c r="Y720" s="52"/>
      <c r="Z720" s="52"/>
      <c r="AA720" s="52"/>
      <c r="AB720" s="52"/>
      <c r="AC720" s="52"/>
      <c r="AD720" s="52"/>
      <c r="AE720" s="52"/>
      <c r="AF720" s="52"/>
      <c r="AG720" s="52"/>
      <c r="AH720" s="52"/>
      <c r="AI720" s="52"/>
      <c r="AJ720" s="52"/>
      <c r="AK720" s="52"/>
      <c r="AL720" s="52"/>
      <c r="AM720" s="52"/>
      <c r="AN720" s="52"/>
    </row>
    <row r="721" spans="1:40" x14ac:dyDescent="0.3">
      <c r="A721" s="52">
        <v>716</v>
      </c>
      <c r="B721" s="52">
        <f>-bthan*500+(15+0.5)*bthan*1000/50</f>
        <v>-1045</v>
      </c>
      <c r="C721" s="52">
        <f t="shared" si="122"/>
        <v>-509.99999999999994</v>
      </c>
      <c r="D721" s="52">
        <f t="shared" si="123"/>
        <v>2200</v>
      </c>
      <c r="E721" s="52">
        <f t="shared" si="124"/>
        <v>1</v>
      </c>
      <c r="F721" s="52"/>
      <c r="G721" s="52"/>
      <c r="H721" s="52"/>
      <c r="I721" s="52"/>
      <c r="J721" s="52"/>
      <c r="K721" s="52"/>
      <c r="L721" s="52"/>
      <c r="M721" s="52"/>
      <c r="N721" s="52"/>
      <c r="O721" s="52"/>
      <c r="P721" s="52"/>
      <c r="Q721" s="52"/>
      <c r="R721" s="52"/>
      <c r="S721" s="52"/>
      <c r="T721" s="52"/>
      <c r="U721" s="52"/>
      <c r="V721" s="52"/>
      <c r="W721" s="52"/>
      <c r="X721" s="52"/>
      <c r="Y721" s="52"/>
      <c r="Z721" s="52"/>
      <c r="AA721" s="52"/>
      <c r="AB721" s="52"/>
      <c r="AC721" s="52"/>
      <c r="AD721" s="52"/>
      <c r="AE721" s="52"/>
      <c r="AF721" s="52"/>
      <c r="AG721" s="52"/>
      <c r="AH721" s="52"/>
      <c r="AI721" s="52"/>
      <c r="AJ721" s="52"/>
      <c r="AK721" s="52"/>
      <c r="AL721" s="52"/>
      <c r="AM721" s="52"/>
      <c r="AN721" s="52"/>
    </row>
    <row r="722" spans="1:40" x14ac:dyDescent="0.3">
      <c r="A722" s="52">
        <v>717</v>
      </c>
      <c r="B722" s="52">
        <f>-bthan*500+(16+0.5)*bthan*1000/50</f>
        <v>-935</v>
      </c>
      <c r="C722" s="52">
        <f t="shared" si="122"/>
        <v>-509.99999999999994</v>
      </c>
      <c r="D722" s="52">
        <f t="shared" si="123"/>
        <v>2200</v>
      </c>
      <c r="E722" s="52">
        <f t="shared" si="124"/>
        <v>1</v>
      </c>
      <c r="F722" s="52"/>
      <c r="G722" s="52"/>
      <c r="H722" s="52"/>
      <c r="I722" s="52"/>
      <c r="J722" s="52"/>
      <c r="K722" s="52"/>
      <c r="L722" s="52"/>
      <c r="M722" s="52"/>
      <c r="N722" s="52"/>
      <c r="O722" s="52"/>
      <c r="P722" s="52"/>
      <c r="Q722" s="52"/>
      <c r="R722" s="52"/>
      <c r="S722" s="52"/>
      <c r="T722" s="52"/>
      <c r="U722" s="52"/>
      <c r="V722" s="52"/>
      <c r="W722" s="52"/>
      <c r="X722" s="52"/>
      <c r="Y722" s="52"/>
      <c r="Z722" s="52"/>
      <c r="AA722" s="52"/>
      <c r="AB722" s="52"/>
      <c r="AC722" s="52"/>
      <c r="AD722" s="52"/>
      <c r="AE722" s="52"/>
      <c r="AF722" s="52"/>
      <c r="AG722" s="52"/>
      <c r="AH722" s="52"/>
      <c r="AI722" s="52"/>
      <c r="AJ722" s="52"/>
      <c r="AK722" s="52"/>
      <c r="AL722" s="52"/>
      <c r="AM722" s="52"/>
      <c r="AN722" s="52"/>
    </row>
    <row r="723" spans="1:40" x14ac:dyDescent="0.3">
      <c r="A723" s="52">
        <v>718</v>
      </c>
      <c r="B723" s="52">
        <f>-bthan*500+(17+0.5)*bthan*1000/50</f>
        <v>-825</v>
      </c>
      <c r="C723" s="52">
        <f t="shared" si="122"/>
        <v>-509.99999999999994</v>
      </c>
      <c r="D723" s="52">
        <f t="shared" si="123"/>
        <v>2200</v>
      </c>
      <c r="E723" s="52">
        <f t="shared" si="124"/>
        <v>1</v>
      </c>
      <c r="F723" s="52"/>
      <c r="G723" s="52"/>
      <c r="H723" s="52"/>
      <c r="I723" s="52"/>
      <c r="J723" s="52"/>
      <c r="K723" s="52"/>
      <c r="L723" s="52"/>
      <c r="M723" s="52"/>
      <c r="N723" s="52"/>
      <c r="O723" s="52"/>
      <c r="P723" s="52"/>
      <c r="Q723" s="52"/>
      <c r="R723" s="52"/>
      <c r="S723" s="52"/>
      <c r="T723" s="52"/>
      <c r="U723" s="52"/>
      <c r="V723" s="52"/>
      <c r="W723" s="52"/>
      <c r="X723" s="52"/>
      <c r="Y723" s="52"/>
      <c r="Z723" s="52"/>
      <c r="AA723" s="52"/>
      <c r="AB723" s="52"/>
      <c r="AC723" s="52"/>
      <c r="AD723" s="52"/>
      <c r="AE723" s="52"/>
      <c r="AF723" s="52"/>
      <c r="AG723" s="52"/>
      <c r="AH723" s="52"/>
      <c r="AI723" s="52"/>
      <c r="AJ723" s="52"/>
      <c r="AK723" s="52"/>
      <c r="AL723" s="52"/>
      <c r="AM723" s="52"/>
      <c r="AN723" s="52"/>
    </row>
    <row r="724" spans="1:40" x14ac:dyDescent="0.3">
      <c r="A724" s="52">
        <v>719</v>
      </c>
      <c r="B724" s="52">
        <f>-bthan*500+(18+0.5)*bthan*1000/50</f>
        <v>-715</v>
      </c>
      <c r="C724" s="52">
        <f t="shared" si="122"/>
        <v>-509.99999999999994</v>
      </c>
      <c r="D724" s="52">
        <f t="shared" si="123"/>
        <v>2200</v>
      </c>
      <c r="E724" s="52">
        <f t="shared" si="124"/>
        <v>1</v>
      </c>
      <c r="F724" s="52"/>
      <c r="G724" s="52"/>
      <c r="H724" s="52"/>
      <c r="I724" s="52"/>
      <c r="J724" s="52"/>
      <c r="K724" s="52"/>
      <c r="L724" s="52"/>
      <c r="M724" s="52"/>
      <c r="N724" s="52"/>
      <c r="O724" s="52"/>
      <c r="P724" s="52"/>
      <c r="Q724" s="52"/>
      <c r="R724" s="52"/>
      <c r="S724" s="52"/>
      <c r="T724" s="52"/>
      <c r="U724" s="52"/>
      <c r="V724" s="52"/>
      <c r="W724" s="52"/>
      <c r="X724" s="52"/>
      <c r="Y724" s="52"/>
      <c r="Z724" s="52"/>
      <c r="AA724" s="52"/>
      <c r="AB724" s="52"/>
      <c r="AC724" s="52"/>
      <c r="AD724" s="52"/>
      <c r="AE724" s="52"/>
      <c r="AF724" s="52"/>
      <c r="AG724" s="52"/>
      <c r="AH724" s="52"/>
      <c r="AI724" s="52"/>
      <c r="AJ724" s="52"/>
      <c r="AK724" s="52"/>
      <c r="AL724" s="52"/>
      <c r="AM724" s="52"/>
      <c r="AN724" s="52"/>
    </row>
    <row r="725" spans="1:40" x14ac:dyDescent="0.3">
      <c r="A725" s="52">
        <v>720</v>
      </c>
      <c r="B725" s="52">
        <f>-bthan*500+(19+0.5)*bthan*1000/50</f>
        <v>-605</v>
      </c>
      <c r="C725" s="52">
        <f t="shared" si="122"/>
        <v>-509.99999999999994</v>
      </c>
      <c r="D725" s="52">
        <f t="shared" si="123"/>
        <v>2200</v>
      </c>
      <c r="E725" s="52">
        <f t="shared" si="124"/>
        <v>1</v>
      </c>
      <c r="F725" s="52"/>
      <c r="G725" s="52"/>
      <c r="H725" s="52"/>
      <c r="I725" s="52"/>
      <c r="J725" s="52"/>
      <c r="K725" s="52"/>
      <c r="L725" s="52"/>
      <c r="M725" s="52"/>
      <c r="N725" s="52"/>
      <c r="O725" s="52"/>
      <c r="P725" s="52"/>
      <c r="Q725" s="52"/>
      <c r="R725" s="52"/>
      <c r="S725" s="52"/>
      <c r="T725" s="52"/>
      <c r="U725" s="52"/>
      <c r="V725" s="52"/>
      <c r="W725" s="52"/>
      <c r="X725" s="52"/>
      <c r="Y725" s="52"/>
      <c r="Z725" s="52"/>
      <c r="AA725" s="52"/>
      <c r="AB725" s="52"/>
      <c r="AC725" s="52"/>
      <c r="AD725" s="52"/>
      <c r="AE725" s="52"/>
      <c r="AF725" s="52"/>
      <c r="AG725" s="52"/>
      <c r="AH725" s="52"/>
      <c r="AI725" s="52"/>
      <c r="AJ725" s="52"/>
      <c r="AK725" s="52"/>
      <c r="AL725" s="52"/>
      <c r="AM725" s="52"/>
      <c r="AN725" s="52"/>
    </row>
    <row r="726" spans="1:40" x14ac:dyDescent="0.3">
      <c r="A726" s="52">
        <v>721</v>
      </c>
      <c r="B726" s="52">
        <f>-bthan*500+(20+0.5)*bthan*1000/50</f>
        <v>-495</v>
      </c>
      <c r="C726" s="52">
        <f t="shared" si="122"/>
        <v>-509.99999999999994</v>
      </c>
      <c r="D726" s="52">
        <f t="shared" si="123"/>
        <v>2200</v>
      </c>
      <c r="E726" s="52">
        <f t="shared" si="124"/>
        <v>1</v>
      </c>
      <c r="F726" s="52"/>
      <c r="G726" s="52"/>
      <c r="H726" s="52"/>
      <c r="I726" s="52"/>
      <c r="J726" s="52"/>
      <c r="K726" s="52"/>
      <c r="L726" s="52"/>
      <c r="M726" s="52"/>
      <c r="N726" s="52"/>
      <c r="O726" s="52"/>
      <c r="P726" s="52"/>
      <c r="Q726" s="52"/>
      <c r="R726" s="52"/>
      <c r="S726" s="52"/>
      <c r="T726" s="52"/>
      <c r="U726" s="52"/>
      <c r="V726" s="52"/>
      <c r="W726" s="52"/>
      <c r="X726" s="52"/>
      <c r="Y726" s="52"/>
      <c r="Z726" s="52"/>
      <c r="AA726" s="52"/>
      <c r="AB726" s="52"/>
      <c r="AC726" s="52"/>
      <c r="AD726" s="52"/>
      <c r="AE726" s="52"/>
      <c r="AF726" s="52"/>
      <c r="AG726" s="52"/>
      <c r="AH726" s="52"/>
      <c r="AI726" s="52"/>
      <c r="AJ726" s="52"/>
      <c r="AK726" s="52"/>
      <c r="AL726" s="52"/>
      <c r="AM726" s="52"/>
      <c r="AN726" s="52"/>
    </row>
    <row r="727" spans="1:40" x14ac:dyDescent="0.3">
      <c r="A727" s="52">
        <v>722</v>
      </c>
      <c r="B727" s="52">
        <f>-bthan*500+(21+0.5)*bthan*1000/50</f>
        <v>-385</v>
      </c>
      <c r="C727" s="52">
        <f t="shared" si="122"/>
        <v>-509.99999999999994</v>
      </c>
      <c r="D727" s="52">
        <f t="shared" si="123"/>
        <v>2200</v>
      </c>
      <c r="E727" s="52">
        <f t="shared" si="124"/>
        <v>1</v>
      </c>
      <c r="F727" s="52"/>
      <c r="G727" s="52"/>
      <c r="H727" s="52"/>
      <c r="I727" s="52"/>
      <c r="J727" s="52"/>
      <c r="K727" s="52"/>
      <c r="L727" s="52"/>
      <c r="M727" s="52"/>
      <c r="N727" s="52"/>
      <c r="O727" s="52"/>
      <c r="P727" s="52"/>
      <c r="Q727" s="52"/>
      <c r="R727" s="52"/>
      <c r="S727" s="52"/>
      <c r="T727" s="52"/>
      <c r="U727" s="52"/>
      <c r="V727" s="52"/>
      <c r="W727" s="52"/>
      <c r="X727" s="52"/>
      <c r="Y727" s="52"/>
      <c r="Z727" s="52"/>
      <c r="AA727" s="52"/>
      <c r="AB727" s="52"/>
      <c r="AC727" s="52"/>
      <c r="AD727" s="52"/>
      <c r="AE727" s="52"/>
      <c r="AF727" s="52"/>
      <c r="AG727" s="52"/>
      <c r="AH727" s="52"/>
      <c r="AI727" s="52"/>
      <c r="AJ727" s="52"/>
      <c r="AK727" s="52"/>
      <c r="AL727" s="52"/>
      <c r="AM727" s="52"/>
      <c r="AN727" s="52"/>
    </row>
    <row r="728" spans="1:40" x14ac:dyDescent="0.3">
      <c r="A728" s="52">
        <v>723</v>
      </c>
      <c r="B728" s="52">
        <f>-bthan*500+(22+0.5)*bthan*1000/50</f>
        <v>-275</v>
      </c>
      <c r="C728" s="52">
        <f t="shared" si="122"/>
        <v>-509.99999999999994</v>
      </c>
      <c r="D728" s="52">
        <f t="shared" si="123"/>
        <v>2200</v>
      </c>
      <c r="E728" s="52">
        <f t="shared" si="124"/>
        <v>1</v>
      </c>
      <c r="F728" s="52"/>
      <c r="G728" s="52"/>
      <c r="H728" s="52"/>
      <c r="I728" s="52"/>
      <c r="J728" s="52"/>
      <c r="K728" s="52"/>
      <c r="L728" s="52"/>
      <c r="M728" s="52"/>
      <c r="N728" s="52"/>
      <c r="O728" s="52"/>
      <c r="P728" s="52"/>
      <c r="Q728" s="52"/>
      <c r="R728" s="52"/>
      <c r="S728" s="52"/>
      <c r="T728" s="52"/>
      <c r="U728" s="52"/>
      <c r="V728" s="52"/>
      <c r="W728" s="52"/>
      <c r="X728" s="52"/>
      <c r="Y728" s="52"/>
      <c r="Z728" s="52"/>
      <c r="AA728" s="52"/>
      <c r="AB728" s="52"/>
      <c r="AC728" s="52"/>
      <c r="AD728" s="52"/>
      <c r="AE728" s="52"/>
      <c r="AF728" s="52"/>
      <c r="AG728" s="52"/>
      <c r="AH728" s="52"/>
      <c r="AI728" s="52"/>
      <c r="AJ728" s="52"/>
      <c r="AK728" s="52"/>
      <c r="AL728" s="52"/>
      <c r="AM728" s="52"/>
      <c r="AN728" s="52"/>
    </row>
    <row r="729" spans="1:40" x14ac:dyDescent="0.3">
      <c r="A729" s="52">
        <v>724</v>
      </c>
      <c r="B729" s="52">
        <f>-bthan*500+(23+0.5)*bthan*1000/50</f>
        <v>-165</v>
      </c>
      <c r="C729" s="52">
        <f t="shared" si="122"/>
        <v>-509.99999999999994</v>
      </c>
      <c r="D729" s="52">
        <f t="shared" si="123"/>
        <v>2200</v>
      </c>
      <c r="E729" s="52">
        <f t="shared" si="124"/>
        <v>1</v>
      </c>
      <c r="F729" s="52"/>
      <c r="G729" s="52"/>
      <c r="H729" s="52"/>
      <c r="I729" s="52"/>
      <c r="J729" s="52"/>
      <c r="K729" s="52"/>
      <c r="L729" s="52"/>
      <c r="M729" s="52"/>
      <c r="N729" s="52"/>
      <c r="O729" s="52"/>
      <c r="P729" s="52"/>
      <c r="Q729" s="52"/>
      <c r="R729" s="52"/>
      <c r="S729" s="52"/>
      <c r="T729" s="52"/>
      <c r="U729" s="52"/>
      <c r="V729" s="52"/>
      <c r="W729" s="52"/>
      <c r="X729" s="52"/>
      <c r="Y729" s="52"/>
      <c r="Z729" s="52"/>
      <c r="AA729" s="52"/>
      <c r="AB729" s="52"/>
      <c r="AC729" s="52"/>
      <c r="AD729" s="52"/>
      <c r="AE729" s="52"/>
      <c r="AF729" s="52"/>
      <c r="AG729" s="52"/>
      <c r="AH729" s="52"/>
      <c r="AI729" s="52"/>
      <c r="AJ729" s="52"/>
      <c r="AK729" s="52"/>
      <c r="AL729" s="52"/>
      <c r="AM729" s="52"/>
      <c r="AN729" s="52"/>
    </row>
    <row r="730" spans="1:40" x14ac:dyDescent="0.3">
      <c r="A730" s="52">
        <v>725</v>
      </c>
      <c r="B730" s="52">
        <f>-bthan*500+(24+0.5)*bthan*1000/50</f>
        <v>-55</v>
      </c>
      <c r="C730" s="52">
        <f t="shared" si="122"/>
        <v>-509.99999999999994</v>
      </c>
      <c r="D730" s="52">
        <f t="shared" si="123"/>
        <v>2200</v>
      </c>
      <c r="E730" s="52">
        <f t="shared" si="124"/>
        <v>1</v>
      </c>
      <c r="F730" s="52"/>
      <c r="G730" s="52"/>
      <c r="H730" s="52"/>
      <c r="I730" s="52"/>
      <c r="J730" s="52"/>
      <c r="K730" s="52"/>
      <c r="L730" s="52"/>
      <c r="M730" s="52"/>
      <c r="N730" s="52"/>
      <c r="O730" s="52"/>
      <c r="P730" s="52"/>
      <c r="Q730" s="52"/>
      <c r="R730" s="52"/>
      <c r="S730" s="52"/>
      <c r="T730" s="52"/>
      <c r="U730" s="52"/>
      <c r="V730" s="52"/>
      <c r="W730" s="52"/>
      <c r="X730" s="52"/>
      <c r="Y730" s="52"/>
      <c r="Z730" s="52"/>
      <c r="AA730" s="52"/>
      <c r="AB730" s="52"/>
      <c r="AC730" s="52"/>
      <c r="AD730" s="52"/>
      <c r="AE730" s="52"/>
      <c r="AF730" s="52"/>
      <c r="AG730" s="52"/>
      <c r="AH730" s="52"/>
      <c r="AI730" s="52"/>
      <c r="AJ730" s="52"/>
      <c r="AK730" s="52"/>
      <c r="AL730" s="52"/>
      <c r="AM730" s="52"/>
      <c r="AN730" s="52"/>
    </row>
    <row r="731" spans="1:40" x14ac:dyDescent="0.3">
      <c r="A731" s="52">
        <v>726</v>
      </c>
      <c r="B731" s="52">
        <f>-bthan*500+(25+0.5)*bthan*1000/50</f>
        <v>55</v>
      </c>
      <c r="C731" s="52">
        <f t="shared" si="122"/>
        <v>-509.99999999999994</v>
      </c>
      <c r="D731" s="52">
        <f t="shared" si="123"/>
        <v>2200</v>
      </c>
      <c r="E731" s="52">
        <f t="shared" si="124"/>
        <v>1</v>
      </c>
      <c r="F731" s="52"/>
      <c r="G731" s="52"/>
      <c r="H731" s="52"/>
      <c r="I731" s="52"/>
      <c r="J731" s="52"/>
      <c r="K731" s="52"/>
      <c r="L731" s="52"/>
      <c r="M731" s="52"/>
      <c r="N731" s="52"/>
      <c r="O731" s="52"/>
      <c r="P731" s="52"/>
      <c r="Q731" s="52"/>
      <c r="R731" s="52"/>
      <c r="S731" s="52"/>
      <c r="T731" s="52"/>
      <c r="U731" s="52"/>
      <c r="V731" s="52"/>
      <c r="W731" s="52"/>
      <c r="X731" s="52"/>
      <c r="Y731" s="52"/>
      <c r="Z731" s="52"/>
      <c r="AA731" s="52"/>
      <c r="AB731" s="52"/>
      <c r="AC731" s="52"/>
      <c r="AD731" s="52"/>
      <c r="AE731" s="52"/>
      <c r="AF731" s="52"/>
      <c r="AG731" s="52"/>
      <c r="AH731" s="52"/>
      <c r="AI731" s="52"/>
      <c r="AJ731" s="52"/>
      <c r="AK731" s="52"/>
      <c r="AL731" s="52"/>
      <c r="AM731" s="52"/>
      <c r="AN731" s="52"/>
    </row>
    <row r="732" spans="1:40" x14ac:dyDescent="0.3">
      <c r="A732" s="52">
        <v>727</v>
      </c>
      <c r="B732" s="52">
        <f>-bthan*500+(26+0.5)*bthan*1000/50</f>
        <v>165</v>
      </c>
      <c r="C732" s="52">
        <f t="shared" si="122"/>
        <v>-509.99999999999994</v>
      </c>
      <c r="D732" s="52">
        <f t="shared" si="123"/>
        <v>2200</v>
      </c>
      <c r="E732" s="52">
        <f t="shared" si="124"/>
        <v>1</v>
      </c>
      <c r="F732" s="52"/>
      <c r="G732" s="52"/>
      <c r="H732" s="52"/>
      <c r="I732" s="52"/>
      <c r="J732" s="52"/>
      <c r="K732" s="52"/>
      <c r="L732" s="52"/>
      <c r="M732" s="52"/>
      <c r="N732" s="52"/>
      <c r="O732" s="52"/>
      <c r="P732" s="52"/>
      <c r="Q732" s="52"/>
      <c r="R732" s="52"/>
      <c r="S732" s="52"/>
      <c r="T732" s="52"/>
      <c r="U732" s="52"/>
      <c r="V732" s="52"/>
      <c r="W732" s="52"/>
      <c r="X732" s="52"/>
      <c r="Y732" s="52"/>
      <c r="Z732" s="52"/>
      <c r="AA732" s="52"/>
      <c r="AB732" s="52"/>
      <c r="AC732" s="52"/>
      <c r="AD732" s="52"/>
      <c r="AE732" s="52"/>
      <c r="AF732" s="52"/>
      <c r="AG732" s="52"/>
      <c r="AH732" s="52"/>
      <c r="AI732" s="52"/>
      <c r="AJ732" s="52"/>
      <c r="AK732" s="52"/>
      <c r="AL732" s="52"/>
      <c r="AM732" s="52"/>
      <c r="AN732" s="52"/>
    </row>
    <row r="733" spans="1:40" x14ac:dyDescent="0.3">
      <c r="A733" s="52">
        <v>728</v>
      </c>
      <c r="B733" s="52">
        <f>-bthan*500+(27+0.5)*bthan*1000/50</f>
        <v>275</v>
      </c>
      <c r="C733" s="52">
        <f t="shared" si="122"/>
        <v>-509.99999999999994</v>
      </c>
      <c r="D733" s="52">
        <f t="shared" si="123"/>
        <v>2200</v>
      </c>
      <c r="E733" s="52">
        <f t="shared" si="124"/>
        <v>1</v>
      </c>
      <c r="F733" s="52"/>
      <c r="G733" s="52"/>
      <c r="H733" s="52"/>
      <c r="I733" s="52"/>
      <c r="J733" s="52"/>
      <c r="K733" s="52"/>
      <c r="L733" s="52"/>
      <c r="M733" s="52"/>
      <c r="N733" s="52"/>
      <c r="O733" s="52"/>
      <c r="P733" s="52"/>
      <c r="Q733" s="52"/>
      <c r="R733" s="52"/>
      <c r="S733" s="52"/>
      <c r="T733" s="52"/>
      <c r="U733" s="52"/>
      <c r="V733" s="52"/>
      <c r="W733" s="52"/>
      <c r="X733" s="52"/>
      <c r="Y733" s="52"/>
      <c r="Z733" s="52"/>
      <c r="AA733" s="52"/>
      <c r="AB733" s="52"/>
      <c r="AC733" s="52"/>
      <c r="AD733" s="52"/>
      <c r="AE733" s="52"/>
      <c r="AF733" s="52"/>
      <c r="AG733" s="52"/>
      <c r="AH733" s="52"/>
      <c r="AI733" s="52"/>
      <c r="AJ733" s="52"/>
      <c r="AK733" s="52"/>
      <c r="AL733" s="52"/>
      <c r="AM733" s="52"/>
      <c r="AN733" s="52"/>
    </row>
    <row r="734" spans="1:40" x14ac:dyDescent="0.3">
      <c r="A734" s="52">
        <v>729</v>
      </c>
      <c r="B734" s="52">
        <f>-bthan*500+(28+0.5)*bthan*1000/50</f>
        <v>385</v>
      </c>
      <c r="C734" s="52">
        <f t="shared" si="122"/>
        <v>-509.99999999999994</v>
      </c>
      <c r="D734" s="52">
        <f t="shared" si="123"/>
        <v>2200</v>
      </c>
      <c r="E734" s="52">
        <f t="shared" si="124"/>
        <v>1</v>
      </c>
      <c r="F734" s="52"/>
      <c r="G734" s="52"/>
      <c r="H734" s="52"/>
      <c r="I734" s="52"/>
      <c r="J734" s="52"/>
      <c r="K734" s="52"/>
      <c r="L734" s="52"/>
      <c r="M734" s="52"/>
      <c r="N734" s="52"/>
      <c r="O734" s="52"/>
      <c r="P734" s="52"/>
      <c r="Q734" s="52"/>
      <c r="R734" s="52"/>
      <c r="S734" s="52"/>
      <c r="T734" s="52"/>
      <c r="U734" s="52"/>
      <c r="V734" s="52"/>
      <c r="W734" s="52"/>
      <c r="X734" s="52"/>
      <c r="Y734" s="52"/>
      <c r="Z734" s="52"/>
      <c r="AA734" s="52"/>
      <c r="AB734" s="52"/>
      <c r="AC734" s="52"/>
      <c r="AD734" s="52"/>
      <c r="AE734" s="52"/>
      <c r="AF734" s="52"/>
      <c r="AG734" s="52"/>
      <c r="AH734" s="52"/>
      <c r="AI734" s="52"/>
      <c r="AJ734" s="52"/>
      <c r="AK734" s="52"/>
      <c r="AL734" s="52"/>
      <c r="AM734" s="52"/>
      <c r="AN734" s="52"/>
    </row>
    <row r="735" spans="1:40" x14ac:dyDescent="0.3">
      <c r="A735" s="52">
        <v>730</v>
      </c>
      <c r="B735" s="52">
        <f>-bthan*500+(29+0.5)*bthan*1000/50</f>
        <v>495</v>
      </c>
      <c r="C735" s="52">
        <f t="shared" si="122"/>
        <v>-509.99999999999994</v>
      </c>
      <c r="D735" s="52">
        <f t="shared" si="123"/>
        <v>2200</v>
      </c>
      <c r="E735" s="52">
        <f t="shared" si="124"/>
        <v>1</v>
      </c>
      <c r="F735" s="52"/>
      <c r="G735" s="52"/>
      <c r="H735" s="52"/>
      <c r="I735" s="52"/>
      <c r="J735" s="52"/>
      <c r="K735" s="52"/>
      <c r="L735" s="52"/>
      <c r="M735" s="52"/>
      <c r="N735" s="52"/>
      <c r="O735" s="52"/>
      <c r="P735" s="52"/>
      <c r="Q735" s="52"/>
      <c r="R735" s="52"/>
      <c r="S735" s="52"/>
      <c r="T735" s="52"/>
      <c r="U735" s="52"/>
      <c r="V735" s="52"/>
      <c r="W735" s="52"/>
      <c r="X735" s="52"/>
      <c r="Y735" s="52"/>
      <c r="Z735" s="52"/>
      <c r="AA735" s="52"/>
      <c r="AB735" s="52"/>
      <c r="AC735" s="52"/>
      <c r="AD735" s="52"/>
      <c r="AE735" s="52"/>
      <c r="AF735" s="52"/>
      <c r="AG735" s="52"/>
      <c r="AH735" s="52"/>
      <c r="AI735" s="52"/>
      <c r="AJ735" s="52"/>
      <c r="AK735" s="52"/>
      <c r="AL735" s="52"/>
      <c r="AM735" s="52"/>
      <c r="AN735" s="52"/>
    </row>
    <row r="736" spans="1:40" x14ac:dyDescent="0.3">
      <c r="A736" s="52">
        <v>731</v>
      </c>
      <c r="B736" s="52">
        <f>-bthan*500+(30+0.5)*bthan*1000/50</f>
        <v>605</v>
      </c>
      <c r="C736" s="52">
        <f t="shared" si="122"/>
        <v>-509.99999999999994</v>
      </c>
      <c r="D736" s="52">
        <f t="shared" si="123"/>
        <v>2200</v>
      </c>
      <c r="E736" s="52">
        <f t="shared" si="124"/>
        <v>1</v>
      </c>
      <c r="F736" s="52"/>
      <c r="G736" s="52"/>
      <c r="H736" s="52"/>
      <c r="I736" s="52"/>
      <c r="J736" s="52"/>
      <c r="K736" s="52"/>
      <c r="L736" s="52"/>
      <c r="M736" s="52"/>
      <c r="N736" s="52"/>
      <c r="O736" s="52"/>
      <c r="P736" s="52"/>
      <c r="Q736" s="52"/>
      <c r="R736" s="52"/>
      <c r="S736" s="52"/>
      <c r="T736" s="52"/>
      <c r="U736" s="52"/>
      <c r="V736" s="52"/>
      <c r="W736" s="52"/>
      <c r="X736" s="52"/>
      <c r="Y736" s="52"/>
      <c r="Z736" s="52"/>
      <c r="AA736" s="52"/>
      <c r="AB736" s="52"/>
      <c r="AC736" s="52"/>
      <c r="AD736" s="52"/>
      <c r="AE736" s="52"/>
      <c r="AF736" s="52"/>
      <c r="AG736" s="52"/>
      <c r="AH736" s="52"/>
      <c r="AI736" s="52"/>
      <c r="AJ736" s="52"/>
      <c r="AK736" s="52"/>
      <c r="AL736" s="52"/>
      <c r="AM736" s="52"/>
      <c r="AN736" s="52"/>
    </row>
    <row r="737" spans="1:40" x14ac:dyDescent="0.3">
      <c r="A737" s="52">
        <v>732</v>
      </c>
      <c r="B737" s="52">
        <f>-bthan*500+(31+0.5)*bthan*1000/50</f>
        <v>715</v>
      </c>
      <c r="C737" s="52">
        <f t="shared" si="122"/>
        <v>-509.99999999999994</v>
      </c>
      <c r="D737" s="52">
        <f t="shared" si="123"/>
        <v>2200</v>
      </c>
      <c r="E737" s="52">
        <f t="shared" si="124"/>
        <v>1</v>
      </c>
      <c r="F737" s="52"/>
      <c r="G737" s="52"/>
      <c r="H737" s="52"/>
      <c r="I737" s="52"/>
      <c r="J737" s="52"/>
      <c r="K737" s="52"/>
      <c r="L737" s="52"/>
      <c r="M737" s="52"/>
      <c r="N737" s="52"/>
      <c r="O737" s="52"/>
      <c r="P737" s="52"/>
      <c r="Q737" s="52"/>
      <c r="R737" s="52"/>
      <c r="S737" s="52"/>
      <c r="T737" s="52"/>
      <c r="U737" s="52"/>
      <c r="V737" s="52"/>
      <c r="W737" s="52"/>
      <c r="X737" s="52"/>
      <c r="Y737" s="52"/>
      <c r="Z737" s="52"/>
      <c r="AA737" s="52"/>
      <c r="AB737" s="52"/>
      <c r="AC737" s="52"/>
      <c r="AD737" s="52"/>
      <c r="AE737" s="52"/>
      <c r="AF737" s="52"/>
      <c r="AG737" s="52"/>
      <c r="AH737" s="52"/>
      <c r="AI737" s="52"/>
      <c r="AJ737" s="52"/>
      <c r="AK737" s="52"/>
      <c r="AL737" s="52"/>
      <c r="AM737" s="52"/>
      <c r="AN737" s="52"/>
    </row>
    <row r="738" spans="1:40" x14ac:dyDescent="0.3">
      <c r="A738" s="52">
        <v>733</v>
      </c>
      <c r="B738" s="52">
        <f>-bthan*500+(32+0.5)*bthan*1000/50</f>
        <v>825</v>
      </c>
      <c r="C738" s="52">
        <f t="shared" ref="C738:C755" si="125">-hthan*500+(14+0.5)*hthan*1000/80</f>
        <v>-509.99999999999994</v>
      </c>
      <c r="D738" s="52">
        <f t="shared" si="123"/>
        <v>2200</v>
      </c>
      <c r="E738" s="52">
        <f t="shared" si="124"/>
        <v>1</v>
      </c>
      <c r="F738" s="52"/>
      <c r="G738" s="52"/>
      <c r="H738" s="52"/>
      <c r="I738" s="52"/>
      <c r="J738" s="52"/>
      <c r="K738" s="52"/>
      <c r="L738" s="52"/>
      <c r="M738" s="52"/>
      <c r="N738" s="52"/>
      <c r="O738" s="52"/>
      <c r="P738" s="52"/>
      <c r="Q738" s="52"/>
      <c r="R738" s="52"/>
      <c r="S738" s="52"/>
      <c r="T738" s="52"/>
      <c r="U738" s="52"/>
      <c r="V738" s="52"/>
      <c r="W738" s="52"/>
      <c r="X738" s="52"/>
      <c r="Y738" s="52"/>
      <c r="Z738" s="52"/>
      <c r="AA738" s="52"/>
      <c r="AB738" s="52"/>
      <c r="AC738" s="52"/>
      <c r="AD738" s="52"/>
      <c r="AE738" s="52"/>
      <c r="AF738" s="52"/>
      <c r="AG738" s="52"/>
      <c r="AH738" s="52"/>
      <c r="AI738" s="52"/>
      <c r="AJ738" s="52"/>
      <c r="AK738" s="52"/>
      <c r="AL738" s="52"/>
      <c r="AM738" s="52"/>
      <c r="AN738" s="52"/>
    </row>
    <row r="739" spans="1:40" x14ac:dyDescent="0.3">
      <c r="A739" s="52">
        <v>734</v>
      </c>
      <c r="B739" s="52">
        <f>-bthan*500+(33+0.5)*bthan*1000/50</f>
        <v>935</v>
      </c>
      <c r="C739" s="52">
        <f t="shared" si="125"/>
        <v>-509.99999999999994</v>
      </c>
      <c r="D739" s="52">
        <f t="shared" si="123"/>
        <v>2200</v>
      </c>
      <c r="E739" s="52">
        <f t="shared" si="124"/>
        <v>1</v>
      </c>
      <c r="F739" s="52"/>
      <c r="G739" s="52"/>
      <c r="H739" s="52"/>
      <c r="I739" s="52"/>
      <c r="J739" s="52"/>
      <c r="K739" s="52"/>
      <c r="L739" s="52"/>
      <c r="M739" s="52"/>
      <c r="N739" s="52"/>
      <c r="O739" s="52"/>
      <c r="P739" s="52"/>
      <c r="Q739" s="52"/>
      <c r="R739" s="52"/>
      <c r="S739" s="52"/>
      <c r="T739" s="52"/>
      <c r="U739" s="52"/>
      <c r="V739" s="52"/>
      <c r="W739" s="52"/>
      <c r="X739" s="52"/>
      <c r="Y739" s="52"/>
      <c r="Z739" s="52"/>
      <c r="AA739" s="52"/>
      <c r="AB739" s="52"/>
      <c r="AC739" s="52"/>
      <c r="AD739" s="52"/>
      <c r="AE739" s="52"/>
      <c r="AF739" s="52"/>
      <c r="AG739" s="52"/>
      <c r="AH739" s="52"/>
      <c r="AI739" s="52"/>
      <c r="AJ739" s="52"/>
      <c r="AK739" s="52"/>
      <c r="AL739" s="52"/>
      <c r="AM739" s="52"/>
      <c r="AN739" s="52"/>
    </row>
    <row r="740" spans="1:40" x14ac:dyDescent="0.3">
      <c r="A740" s="52">
        <v>735</v>
      </c>
      <c r="B740" s="52">
        <f>-bthan*500+(34+0.5)*bthan*1000/50</f>
        <v>1045</v>
      </c>
      <c r="C740" s="52">
        <f t="shared" si="125"/>
        <v>-509.99999999999994</v>
      </c>
      <c r="D740" s="52">
        <f t="shared" si="123"/>
        <v>2200</v>
      </c>
      <c r="E740" s="52">
        <f t="shared" si="124"/>
        <v>1</v>
      </c>
      <c r="F740" s="52"/>
      <c r="G740" s="52"/>
      <c r="H740" s="52"/>
      <c r="I740" s="52"/>
      <c r="J740" s="52"/>
      <c r="K740" s="52"/>
      <c r="L740" s="52"/>
      <c r="M740" s="52"/>
      <c r="N740" s="52"/>
      <c r="O740" s="52"/>
      <c r="P740" s="52"/>
      <c r="Q740" s="52"/>
      <c r="R740" s="52"/>
      <c r="S740" s="52"/>
      <c r="T740" s="52"/>
      <c r="U740" s="52"/>
      <c r="V740" s="52"/>
      <c r="W740" s="52"/>
      <c r="X740" s="52"/>
      <c r="Y740" s="52"/>
      <c r="Z740" s="52"/>
      <c r="AA740" s="52"/>
      <c r="AB740" s="52"/>
      <c r="AC740" s="52"/>
      <c r="AD740" s="52"/>
      <c r="AE740" s="52"/>
      <c r="AF740" s="52"/>
      <c r="AG740" s="52"/>
      <c r="AH740" s="52"/>
      <c r="AI740" s="52"/>
      <c r="AJ740" s="52"/>
      <c r="AK740" s="52"/>
      <c r="AL740" s="52"/>
      <c r="AM740" s="52"/>
      <c r="AN740" s="52"/>
    </row>
    <row r="741" spans="1:40" x14ac:dyDescent="0.3">
      <c r="A741" s="52">
        <v>736</v>
      </c>
      <c r="B741" s="52">
        <f>-bthan*500+(35+0.5)*bthan*1000/50</f>
        <v>1155</v>
      </c>
      <c r="C741" s="52">
        <f t="shared" si="125"/>
        <v>-509.99999999999994</v>
      </c>
      <c r="D741" s="52">
        <f t="shared" si="123"/>
        <v>2200</v>
      </c>
      <c r="E741" s="52">
        <f t="shared" si="124"/>
        <v>1</v>
      </c>
      <c r="F741" s="52"/>
      <c r="G741" s="52"/>
      <c r="H741" s="52"/>
      <c r="I741" s="52"/>
      <c r="J741" s="52"/>
      <c r="K741" s="52"/>
      <c r="L741" s="52"/>
      <c r="M741" s="52"/>
      <c r="N741" s="52"/>
      <c r="O741" s="52"/>
      <c r="P741" s="52"/>
      <c r="Q741" s="52"/>
      <c r="R741" s="52"/>
      <c r="S741" s="52"/>
      <c r="T741" s="52"/>
      <c r="U741" s="52"/>
      <c r="V741" s="52"/>
      <c r="W741" s="52"/>
      <c r="X741" s="52"/>
      <c r="Y741" s="52"/>
      <c r="Z741" s="52"/>
      <c r="AA741" s="52"/>
      <c r="AB741" s="52"/>
      <c r="AC741" s="52"/>
      <c r="AD741" s="52"/>
      <c r="AE741" s="52"/>
      <c r="AF741" s="52"/>
      <c r="AG741" s="52"/>
      <c r="AH741" s="52"/>
      <c r="AI741" s="52"/>
      <c r="AJ741" s="52"/>
      <c r="AK741" s="52"/>
      <c r="AL741" s="52"/>
      <c r="AM741" s="52"/>
      <c r="AN741" s="52"/>
    </row>
    <row r="742" spans="1:40" x14ac:dyDescent="0.3">
      <c r="A742" s="52">
        <v>737</v>
      </c>
      <c r="B742" s="52">
        <f>-bthan*500+(36+0.5)*bthan*1000/50</f>
        <v>1265</v>
      </c>
      <c r="C742" s="52">
        <f t="shared" si="125"/>
        <v>-509.99999999999994</v>
      </c>
      <c r="D742" s="52">
        <f t="shared" si="123"/>
        <v>2200</v>
      </c>
      <c r="E742" s="52">
        <f t="shared" si="124"/>
        <v>1</v>
      </c>
      <c r="F742" s="52"/>
      <c r="G742" s="52"/>
      <c r="H742" s="52"/>
      <c r="I742" s="52"/>
      <c r="J742" s="52"/>
      <c r="K742" s="52"/>
      <c r="L742" s="52"/>
      <c r="M742" s="52"/>
      <c r="N742" s="52"/>
      <c r="O742" s="52"/>
      <c r="P742" s="52"/>
      <c r="Q742" s="52"/>
      <c r="R742" s="52"/>
      <c r="S742" s="52"/>
      <c r="T742" s="52"/>
      <c r="U742" s="52"/>
      <c r="V742" s="52"/>
      <c r="W742" s="52"/>
      <c r="X742" s="52"/>
      <c r="Y742" s="52"/>
      <c r="Z742" s="52"/>
      <c r="AA742" s="52"/>
      <c r="AB742" s="52"/>
      <c r="AC742" s="52"/>
      <c r="AD742" s="52"/>
      <c r="AE742" s="52"/>
      <c r="AF742" s="52"/>
      <c r="AG742" s="52"/>
      <c r="AH742" s="52"/>
      <c r="AI742" s="52"/>
      <c r="AJ742" s="52"/>
      <c r="AK742" s="52"/>
      <c r="AL742" s="52"/>
      <c r="AM742" s="52"/>
      <c r="AN742" s="52"/>
    </row>
    <row r="743" spans="1:40" x14ac:dyDescent="0.3">
      <c r="A743" s="52">
        <v>738</v>
      </c>
      <c r="B743" s="52">
        <f>-bthan*500+(37+0.5)*bthan*1000/50</f>
        <v>1375</v>
      </c>
      <c r="C743" s="52">
        <f t="shared" si="125"/>
        <v>-509.99999999999994</v>
      </c>
      <c r="D743" s="52">
        <f t="shared" si="123"/>
        <v>2200</v>
      </c>
      <c r="E743" s="52">
        <f t="shared" si="124"/>
        <v>1</v>
      </c>
      <c r="F743" s="52"/>
      <c r="G743" s="52"/>
      <c r="H743" s="52"/>
      <c r="I743" s="52"/>
      <c r="J743" s="52"/>
      <c r="K743" s="52"/>
      <c r="L743" s="52"/>
      <c r="M743" s="52"/>
      <c r="N743" s="52"/>
      <c r="O743" s="52"/>
      <c r="P743" s="52"/>
      <c r="Q743" s="52"/>
      <c r="R743" s="52"/>
      <c r="S743" s="52"/>
      <c r="T743" s="52"/>
      <c r="U743" s="52"/>
      <c r="V743" s="52"/>
      <c r="W743" s="52"/>
      <c r="X743" s="52"/>
      <c r="Y743" s="52"/>
      <c r="Z743" s="52"/>
      <c r="AA743" s="52"/>
      <c r="AB743" s="52"/>
      <c r="AC743" s="52"/>
      <c r="AD743" s="52"/>
      <c r="AE743" s="52"/>
      <c r="AF743" s="52"/>
      <c r="AG743" s="52"/>
      <c r="AH743" s="52"/>
      <c r="AI743" s="52"/>
      <c r="AJ743" s="52"/>
      <c r="AK743" s="52"/>
      <c r="AL743" s="52"/>
      <c r="AM743" s="52"/>
      <c r="AN743" s="52"/>
    </row>
    <row r="744" spans="1:40" x14ac:dyDescent="0.3">
      <c r="A744" s="52">
        <v>739</v>
      </c>
      <c r="B744" s="52">
        <f>-bthan*500+(38+0.5)*bthan*1000/50</f>
        <v>1485</v>
      </c>
      <c r="C744" s="52">
        <f t="shared" si="125"/>
        <v>-509.99999999999994</v>
      </c>
      <c r="D744" s="52">
        <f t="shared" si="123"/>
        <v>2200</v>
      </c>
      <c r="E744" s="52">
        <f t="shared" si="124"/>
        <v>1</v>
      </c>
      <c r="F744" s="52"/>
      <c r="G744" s="52"/>
      <c r="H744" s="52"/>
      <c r="I744" s="52"/>
      <c r="J744" s="52"/>
      <c r="K744" s="52"/>
      <c r="L744" s="52"/>
      <c r="M744" s="52"/>
      <c r="N744" s="52"/>
      <c r="O744" s="52"/>
      <c r="P744" s="52"/>
      <c r="Q744" s="52"/>
      <c r="R744" s="52"/>
      <c r="S744" s="52"/>
      <c r="T744" s="52"/>
      <c r="U744" s="52"/>
      <c r="V744" s="52"/>
      <c r="W744" s="52"/>
      <c r="X744" s="52"/>
      <c r="Y744" s="52"/>
      <c r="Z744" s="52"/>
      <c r="AA744" s="52"/>
      <c r="AB744" s="52"/>
      <c r="AC744" s="52"/>
      <c r="AD744" s="52"/>
      <c r="AE744" s="52"/>
      <c r="AF744" s="52"/>
      <c r="AG744" s="52"/>
      <c r="AH744" s="52"/>
      <c r="AI744" s="52"/>
      <c r="AJ744" s="52"/>
      <c r="AK744" s="52"/>
      <c r="AL744" s="52"/>
      <c r="AM744" s="52"/>
      <c r="AN744" s="52"/>
    </row>
    <row r="745" spans="1:40" x14ac:dyDescent="0.3">
      <c r="A745" s="52">
        <v>740</v>
      </c>
      <c r="B745" s="52">
        <f>-bthan*500+(39+0.5)*bthan*1000/50</f>
        <v>1595</v>
      </c>
      <c r="C745" s="52">
        <f t="shared" si="125"/>
        <v>-509.99999999999994</v>
      </c>
      <c r="D745" s="52">
        <f t="shared" si="123"/>
        <v>2200</v>
      </c>
      <c r="E745" s="52">
        <f t="shared" si="124"/>
        <v>1</v>
      </c>
      <c r="F745" s="52"/>
      <c r="G745" s="52"/>
      <c r="H745" s="52"/>
      <c r="I745" s="52"/>
      <c r="J745" s="52"/>
      <c r="K745" s="52"/>
      <c r="L745" s="52"/>
      <c r="M745" s="52"/>
      <c r="N745" s="52"/>
      <c r="O745" s="52"/>
      <c r="P745" s="52"/>
      <c r="Q745" s="52"/>
      <c r="R745" s="52"/>
      <c r="S745" s="52"/>
      <c r="T745" s="52"/>
      <c r="U745" s="52"/>
      <c r="V745" s="52"/>
      <c r="W745" s="52"/>
      <c r="X745" s="52"/>
      <c r="Y745" s="52"/>
      <c r="Z745" s="52"/>
      <c r="AA745" s="52"/>
      <c r="AB745" s="52"/>
      <c r="AC745" s="52"/>
      <c r="AD745" s="52"/>
      <c r="AE745" s="52"/>
      <c r="AF745" s="52"/>
      <c r="AG745" s="52"/>
      <c r="AH745" s="52"/>
      <c r="AI745" s="52"/>
      <c r="AJ745" s="52"/>
      <c r="AK745" s="52"/>
      <c r="AL745" s="52"/>
      <c r="AM745" s="52"/>
      <c r="AN745" s="52"/>
    </row>
    <row r="746" spans="1:40" x14ac:dyDescent="0.3">
      <c r="A746" s="52">
        <v>741</v>
      </c>
      <c r="B746" s="52">
        <f>-bthan*500+(40+0.5)*bthan*1000/50</f>
        <v>1705</v>
      </c>
      <c r="C746" s="52">
        <f t="shared" si="125"/>
        <v>-509.99999999999994</v>
      </c>
      <c r="D746" s="52">
        <f t="shared" si="123"/>
        <v>2200</v>
      </c>
      <c r="E746" s="52">
        <f t="shared" si="124"/>
        <v>1</v>
      </c>
      <c r="F746" s="52"/>
      <c r="G746" s="52"/>
      <c r="H746" s="52"/>
      <c r="I746" s="52"/>
      <c r="J746" s="52"/>
      <c r="K746" s="52"/>
      <c r="L746" s="52"/>
      <c r="M746" s="52"/>
      <c r="N746" s="52"/>
      <c r="O746" s="52"/>
      <c r="P746" s="52"/>
      <c r="Q746" s="52"/>
      <c r="R746" s="52"/>
      <c r="S746" s="52"/>
      <c r="T746" s="52"/>
      <c r="U746" s="52"/>
      <c r="V746" s="52"/>
      <c r="W746" s="52"/>
      <c r="X746" s="52"/>
      <c r="Y746" s="52"/>
      <c r="Z746" s="52"/>
      <c r="AA746" s="52"/>
      <c r="AB746" s="52"/>
      <c r="AC746" s="52"/>
      <c r="AD746" s="52"/>
      <c r="AE746" s="52"/>
      <c r="AF746" s="52"/>
      <c r="AG746" s="52"/>
      <c r="AH746" s="52"/>
      <c r="AI746" s="52"/>
      <c r="AJ746" s="52"/>
      <c r="AK746" s="52"/>
      <c r="AL746" s="52"/>
      <c r="AM746" s="52"/>
      <c r="AN746" s="52"/>
    </row>
    <row r="747" spans="1:40" x14ac:dyDescent="0.3">
      <c r="A747" s="52">
        <v>742</v>
      </c>
      <c r="B747" s="52">
        <f>-bthan*500+(41+0.5)*bthan*1000/50</f>
        <v>1815</v>
      </c>
      <c r="C747" s="52">
        <f t="shared" si="125"/>
        <v>-509.99999999999994</v>
      </c>
      <c r="D747" s="52">
        <f t="shared" si="123"/>
        <v>2200</v>
      </c>
      <c r="E747" s="52">
        <f t="shared" si="124"/>
        <v>1</v>
      </c>
      <c r="F747" s="52"/>
      <c r="G747" s="52"/>
      <c r="H747" s="52"/>
      <c r="I747" s="52"/>
      <c r="J747" s="52"/>
      <c r="K747" s="52"/>
      <c r="L747" s="52"/>
      <c r="M747" s="52"/>
      <c r="N747" s="52"/>
      <c r="O747" s="52"/>
      <c r="P747" s="52"/>
      <c r="Q747" s="52"/>
      <c r="R747" s="52"/>
      <c r="S747" s="52"/>
      <c r="T747" s="52"/>
      <c r="U747" s="52"/>
      <c r="V747" s="52"/>
      <c r="W747" s="52"/>
      <c r="X747" s="52"/>
      <c r="Y747" s="52"/>
      <c r="Z747" s="52"/>
      <c r="AA747" s="52"/>
      <c r="AB747" s="52"/>
      <c r="AC747" s="52"/>
      <c r="AD747" s="52"/>
      <c r="AE747" s="52"/>
      <c r="AF747" s="52"/>
      <c r="AG747" s="52"/>
      <c r="AH747" s="52"/>
      <c r="AI747" s="52"/>
      <c r="AJ747" s="52"/>
      <c r="AK747" s="52"/>
      <c r="AL747" s="52"/>
      <c r="AM747" s="52"/>
      <c r="AN747" s="52"/>
    </row>
    <row r="748" spans="1:40" x14ac:dyDescent="0.3">
      <c r="A748" s="52">
        <v>743</v>
      </c>
      <c r="B748" s="52">
        <f>-bthan*500+(42+0.5)*bthan*1000/50</f>
        <v>1925</v>
      </c>
      <c r="C748" s="52">
        <f t="shared" si="125"/>
        <v>-509.99999999999994</v>
      </c>
      <c r="D748" s="52">
        <f t="shared" si="123"/>
        <v>2200</v>
      </c>
      <c r="E748" s="52">
        <f t="shared" si="124"/>
        <v>1</v>
      </c>
      <c r="F748" s="52"/>
      <c r="G748" s="52"/>
      <c r="H748" s="52"/>
      <c r="I748" s="52"/>
      <c r="J748" s="52"/>
      <c r="K748" s="52"/>
      <c r="L748" s="52"/>
      <c r="M748" s="52"/>
      <c r="N748" s="52"/>
      <c r="O748" s="52"/>
      <c r="P748" s="52"/>
      <c r="Q748" s="52"/>
      <c r="R748" s="52"/>
      <c r="S748" s="52"/>
      <c r="T748" s="52"/>
      <c r="U748" s="52"/>
      <c r="V748" s="52"/>
      <c r="W748" s="52"/>
      <c r="X748" s="52"/>
      <c r="Y748" s="52"/>
      <c r="Z748" s="52"/>
      <c r="AA748" s="52"/>
      <c r="AB748" s="52"/>
      <c r="AC748" s="52"/>
      <c r="AD748" s="52"/>
      <c r="AE748" s="52"/>
      <c r="AF748" s="52"/>
      <c r="AG748" s="52"/>
      <c r="AH748" s="52"/>
      <c r="AI748" s="52"/>
      <c r="AJ748" s="52"/>
      <c r="AK748" s="52"/>
      <c r="AL748" s="52"/>
      <c r="AM748" s="52"/>
      <c r="AN748" s="52"/>
    </row>
    <row r="749" spans="1:40" x14ac:dyDescent="0.3">
      <c r="A749" s="52">
        <v>744</v>
      </c>
      <c r="B749" s="52">
        <f>-bthan*500+(43+0.5)*bthan*1000/50</f>
        <v>2035</v>
      </c>
      <c r="C749" s="52">
        <f t="shared" si="125"/>
        <v>-509.99999999999994</v>
      </c>
      <c r="D749" s="52">
        <f t="shared" si="123"/>
        <v>2200</v>
      </c>
      <c r="E749" s="52">
        <f t="shared" si="124"/>
        <v>1</v>
      </c>
      <c r="F749" s="52"/>
      <c r="G749" s="52"/>
      <c r="H749" s="52"/>
      <c r="I749" s="52"/>
      <c r="J749" s="52"/>
      <c r="K749" s="52"/>
      <c r="L749" s="52"/>
      <c r="M749" s="52"/>
      <c r="N749" s="52"/>
      <c r="O749" s="52"/>
      <c r="P749" s="52"/>
      <c r="Q749" s="52"/>
      <c r="R749" s="52"/>
      <c r="S749" s="52"/>
      <c r="T749" s="52"/>
      <c r="U749" s="52"/>
      <c r="V749" s="52"/>
      <c r="W749" s="52"/>
      <c r="X749" s="52"/>
      <c r="Y749" s="52"/>
      <c r="Z749" s="52"/>
      <c r="AA749" s="52"/>
      <c r="AB749" s="52"/>
      <c r="AC749" s="52"/>
      <c r="AD749" s="52"/>
      <c r="AE749" s="52"/>
      <c r="AF749" s="52"/>
      <c r="AG749" s="52"/>
      <c r="AH749" s="52"/>
      <c r="AI749" s="52"/>
      <c r="AJ749" s="52"/>
      <c r="AK749" s="52"/>
      <c r="AL749" s="52"/>
      <c r="AM749" s="52"/>
      <c r="AN749" s="52"/>
    </row>
    <row r="750" spans="1:40" x14ac:dyDescent="0.3">
      <c r="A750" s="52">
        <v>745</v>
      </c>
      <c r="B750" s="52">
        <f>-bthan*500+(44+0.5)*bthan*1000/50</f>
        <v>2145</v>
      </c>
      <c r="C750" s="52">
        <f t="shared" si="125"/>
        <v>-509.99999999999994</v>
      </c>
      <c r="D750" s="52">
        <f t="shared" si="123"/>
        <v>2200</v>
      </c>
      <c r="E750" s="52">
        <f t="shared" si="124"/>
        <v>1</v>
      </c>
      <c r="F750" s="52"/>
      <c r="G750" s="52"/>
      <c r="H750" s="52"/>
      <c r="I750" s="52"/>
      <c r="J750" s="52"/>
      <c r="K750" s="52"/>
      <c r="L750" s="52"/>
      <c r="M750" s="52"/>
      <c r="N750" s="52"/>
      <c r="O750" s="52"/>
      <c r="P750" s="52"/>
      <c r="Q750" s="52"/>
      <c r="R750" s="52"/>
      <c r="S750" s="52"/>
      <c r="T750" s="52"/>
      <c r="U750" s="52"/>
      <c r="V750" s="52"/>
      <c r="W750" s="52"/>
      <c r="X750" s="52"/>
      <c r="Y750" s="52"/>
      <c r="Z750" s="52"/>
      <c r="AA750" s="52"/>
      <c r="AB750" s="52"/>
      <c r="AC750" s="52"/>
      <c r="AD750" s="52"/>
      <c r="AE750" s="52"/>
      <c r="AF750" s="52"/>
      <c r="AG750" s="52"/>
      <c r="AH750" s="52"/>
      <c r="AI750" s="52"/>
      <c r="AJ750" s="52"/>
      <c r="AK750" s="52"/>
      <c r="AL750" s="52"/>
      <c r="AM750" s="52"/>
      <c r="AN750" s="52"/>
    </row>
    <row r="751" spans="1:40" x14ac:dyDescent="0.3">
      <c r="A751" s="52">
        <v>746</v>
      </c>
      <c r="B751" s="52">
        <f>-bthan*500+(45+0.5)*bthan*1000/50</f>
        <v>2255</v>
      </c>
      <c r="C751" s="52">
        <f t="shared" si="125"/>
        <v>-509.99999999999994</v>
      </c>
      <c r="D751" s="52">
        <f t="shared" si="123"/>
        <v>2200</v>
      </c>
      <c r="E751" s="52">
        <f t="shared" si="124"/>
        <v>1</v>
      </c>
      <c r="F751" s="52"/>
      <c r="G751" s="52"/>
      <c r="H751" s="52"/>
      <c r="I751" s="52"/>
      <c r="J751" s="52"/>
      <c r="K751" s="52"/>
      <c r="L751" s="52"/>
      <c r="M751" s="52"/>
      <c r="N751" s="52"/>
      <c r="O751" s="52"/>
      <c r="P751" s="52"/>
      <c r="Q751" s="52"/>
      <c r="R751" s="52"/>
      <c r="S751" s="52"/>
      <c r="T751" s="52"/>
      <c r="U751" s="52"/>
      <c r="V751" s="52"/>
      <c r="W751" s="52"/>
      <c r="X751" s="52"/>
      <c r="Y751" s="52"/>
      <c r="Z751" s="52"/>
      <c r="AA751" s="52"/>
      <c r="AB751" s="52"/>
      <c r="AC751" s="52"/>
      <c r="AD751" s="52"/>
      <c r="AE751" s="52"/>
      <c r="AF751" s="52"/>
      <c r="AG751" s="52"/>
      <c r="AH751" s="52"/>
      <c r="AI751" s="52"/>
      <c r="AJ751" s="52"/>
      <c r="AK751" s="52"/>
      <c r="AL751" s="52"/>
      <c r="AM751" s="52"/>
      <c r="AN751" s="52"/>
    </row>
    <row r="752" spans="1:40" x14ac:dyDescent="0.3">
      <c r="A752" s="52">
        <v>747</v>
      </c>
      <c r="B752" s="52">
        <f>-bthan*500+(46+0.5)*bthan*1000/50</f>
        <v>2365</v>
      </c>
      <c r="C752" s="52">
        <f t="shared" si="125"/>
        <v>-509.99999999999994</v>
      </c>
      <c r="D752" s="52">
        <f t="shared" si="123"/>
        <v>2200</v>
      </c>
      <c r="E752" s="52">
        <f t="shared" si="124"/>
        <v>1</v>
      </c>
      <c r="F752" s="52"/>
      <c r="G752" s="52"/>
      <c r="H752" s="52"/>
      <c r="I752" s="52"/>
      <c r="J752" s="52"/>
      <c r="K752" s="52"/>
      <c r="L752" s="52"/>
      <c r="M752" s="52"/>
      <c r="N752" s="52"/>
      <c r="O752" s="52"/>
      <c r="P752" s="52"/>
      <c r="Q752" s="52"/>
      <c r="R752" s="52"/>
      <c r="S752" s="52"/>
      <c r="T752" s="52"/>
      <c r="U752" s="52"/>
      <c r="V752" s="52"/>
      <c r="W752" s="52"/>
      <c r="X752" s="52"/>
      <c r="Y752" s="52"/>
      <c r="Z752" s="52"/>
      <c r="AA752" s="52"/>
      <c r="AB752" s="52"/>
      <c r="AC752" s="52"/>
      <c r="AD752" s="52"/>
      <c r="AE752" s="52"/>
      <c r="AF752" s="52"/>
      <c r="AG752" s="52"/>
      <c r="AH752" s="52"/>
      <c r="AI752" s="52"/>
      <c r="AJ752" s="52"/>
      <c r="AK752" s="52"/>
      <c r="AL752" s="52"/>
      <c r="AM752" s="52"/>
      <c r="AN752" s="52"/>
    </row>
    <row r="753" spans="1:40" x14ac:dyDescent="0.3">
      <c r="A753" s="52">
        <v>748</v>
      </c>
      <c r="B753" s="52">
        <f>-bthan*500+(47+0.5)*bthan*1000/50</f>
        <v>2475</v>
      </c>
      <c r="C753" s="52">
        <f t="shared" si="125"/>
        <v>-509.99999999999994</v>
      </c>
      <c r="D753" s="52">
        <f t="shared" si="123"/>
        <v>2200</v>
      </c>
      <c r="E753" s="52">
        <f t="shared" si="124"/>
        <v>1</v>
      </c>
      <c r="F753" s="52"/>
      <c r="G753" s="52"/>
      <c r="H753" s="52"/>
      <c r="I753" s="52"/>
      <c r="J753" s="52"/>
      <c r="K753" s="52"/>
      <c r="L753" s="52"/>
      <c r="M753" s="52"/>
      <c r="N753" s="52"/>
      <c r="O753" s="52"/>
      <c r="P753" s="52"/>
      <c r="Q753" s="52"/>
      <c r="R753" s="52"/>
      <c r="S753" s="52"/>
      <c r="T753" s="52"/>
      <c r="U753" s="52"/>
      <c r="V753" s="52"/>
      <c r="W753" s="52"/>
      <c r="X753" s="52"/>
      <c r="Y753" s="52"/>
      <c r="Z753" s="52"/>
      <c r="AA753" s="52"/>
      <c r="AB753" s="52"/>
      <c r="AC753" s="52"/>
      <c r="AD753" s="52"/>
      <c r="AE753" s="52"/>
      <c r="AF753" s="52"/>
      <c r="AG753" s="52"/>
      <c r="AH753" s="52"/>
      <c r="AI753" s="52"/>
      <c r="AJ753" s="52"/>
      <c r="AK753" s="52"/>
      <c r="AL753" s="52"/>
      <c r="AM753" s="52"/>
      <c r="AN753" s="52"/>
    </row>
    <row r="754" spans="1:40" x14ac:dyDescent="0.3">
      <c r="A754" s="52">
        <v>749</v>
      </c>
      <c r="B754" s="52">
        <f>-bthan*500+(48+0.5)*bthan*1000/50</f>
        <v>2585</v>
      </c>
      <c r="C754" s="52">
        <f t="shared" si="125"/>
        <v>-509.99999999999994</v>
      </c>
      <c r="D754" s="52">
        <f t="shared" si="123"/>
        <v>2200</v>
      </c>
      <c r="E754" s="52">
        <f t="shared" si="124"/>
        <v>0</v>
      </c>
      <c r="F754" s="52"/>
      <c r="G754" s="52"/>
      <c r="H754" s="52"/>
      <c r="I754" s="52"/>
      <c r="J754" s="52"/>
      <c r="K754" s="52"/>
      <c r="L754" s="52"/>
      <c r="M754" s="52"/>
      <c r="N754" s="52"/>
      <c r="O754" s="52"/>
      <c r="P754" s="52"/>
      <c r="Q754" s="52"/>
      <c r="R754" s="52"/>
      <c r="S754" s="52"/>
      <c r="T754" s="52"/>
      <c r="U754" s="52"/>
      <c r="V754" s="52"/>
      <c r="W754" s="52"/>
      <c r="X754" s="52"/>
      <c r="Y754" s="52"/>
      <c r="Z754" s="52"/>
      <c r="AA754" s="52"/>
      <c r="AB754" s="52"/>
      <c r="AC754" s="52"/>
      <c r="AD754" s="52"/>
      <c r="AE754" s="52"/>
      <c r="AF754" s="52"/>
      <c r="AG754" s="52"/>
      <c r="AH754" s="52"/>
      <c r="AI754" s="52"/>
      <c r="AJ754" s="52"/>
      <c r="AK754" s="52"/>
      <c r="AL754" s="52"/>
      <c r="AM754" s="52"/>
      <c r="AN754" s="52"/>
    </row>
    <row r="755" spans="1:40" x14ac:dyDescent="0.3">
      <c r="A755" s="52">
        <v>750</v>
      </c>
      <c r="B755" s="52">
        <f>-bthan*500+(49+0.5)*bthan*1000/50</f>
        <v>2695</v>
      </c>
      <c r="C755" s="52">
        <f t="shared" si="125"/>
        <v>-509.99999999999994</v>
      </c>
      <c r="D755" s="52">
        <f t="shared" si="123"/>
        <v>2200</v>
      </c>
      <c r="E755" s="52">
        <f t="shared" si="124"/>
        <v>0</v>
      </c>
      <c r="F755" s="52"/>
      <c r="G755" s="52"/>
      <c r="H755" s="52"/>
      <c r="I755" s="52"/>
      <c r="J755" s="52"/>
      <c r="K755" s="52"/>
      <c r="L755" s="52"/>
      <c r="M755" s="52"/>
      <c r="N755" s="52"/>
      <c r="O755" s="52"/>
      <c r="P755" s="52"/>
      <c r="Q755" s="52"/>
      <c r="R755" s="52"/>
      <c r="S755" s="52"/>
      <c r="T755" s="52"/>
      <c r="U755" s="52"/>
      <c r="V755" s="52"/>
      <c r="W755" s="52"/>
      <c r="X755" s="52"/>
      <c r="Y755" s="52"/>
      <c r="Z755" s="52"/>
      <c r="AA755" s="52"/>
      <c r="AB755" s="52"/>
      <c r="AC755" s="52"/>
      <c r="AD755" s="52"/>
      <c r="AE755" s="52"/>
      <c r="AF755" s="52"/>
      <c r="AG755" s="52"/>
      <c r="AH755" s="52"/>
      <c r="AI755" s="52"/>
      <c r="AJ755" s="52"/>
      <c r="AK755" s="52"/>
      <c r="AL755" s="52"/>
      <c r="AM755" s="52"/>
      <c r="AN755" s="52"/>
    </row>
    <row r="756" spans="1:40" x14ac:dyDescent="0.3">
      <c r="A756" s="52">
        <v>751</v>
      </c>
      <c r="B756" s="52">
        <f>-bthan*500+(0+0.5)*bthan*1000/50</f>
        <v>-2695</v>
      </c>
      <c r="C756" s="52">
        <f t="shared" ref="C756:C787" si="126">-hthan*500+(15+0.5)*hthan*1000/80</f>
        <v>-490</v>
      </c>
      <c r="D756" s="52">
        <f t="shared" si="123"/>
        <v>2200</v>
      </c>
      <c r="E756" s="52">
        <f t="shared" si="124"/>
        <v>0</v>
      </c>
      <c r="F756" s="52"/>
      <c r="G756" s="52"/>
      <c r="H756" s="52"/>
      <c r="I756" s="52"/>
      <c r="J756" s="52"/>
      <c r="K756" s="52"/>
      <c r="L756" s="52"/>
      <c r="M756" s="52"/>
      <c r="N756" s="52"/>
      <c r="O756" s="52"/>
      <c r="P756" s="52"/>
      <c r="Q756" s="52"/>
      <c r="R756" s="52"/>
      <c r="S756" s="52"/>
      <c r="T756" s="52"/>
      <c r="U756" s="52"/>
      <c r="V756" s="52"/>
      <c r="W756" s="52"/>
      <c r="X756" s="52"/>
      <c r="Y756" s="52"/>
      <c r="Z756" s="52"/>
      <c r="AA756" s="52"/>
      <c r="AB756" s="52"/>
      <c r="AC756" s="52"/>
      <c r="AD756" s="52"/>
      <c r="AE756" s="52"/>
      <c r="AF756" s="52"/>
      <c r="AG756" s="52"/>
      <c r="AH756" s="52"/>
      <c r="AI756" s="52"/>
      <c r="AJ756" s="52"/>
      <c r="AK756" s="52"/>
      <c r="AL756" s="52"/>
      <c r="AM756" s="52"/>
      <c r="AN756" s="52"/>
    </row>
    <row r="757" spans="1:40" x14ac:dyDescent="0.3">
      <c r="A757" s="52">
        <v>752</v>
      </c>
      <c r="B757" s="52">
        <f>-bthan*500+(1+0.5)*bthan*1000/50</f>
        <v>-2585</v>
      </c>
      <c r="C757" s="52">
        <f t="shared" si="126"/>
        <v>-490</v>
      </c>
      <c r="D757" s="52">
        <f t="shared" si="123"/>
        <v>2200</v>
      </c>
      <c r="E757" s="52">
        <f t="shared" si="124"/>
        <v>0</v>
      </c>
      <c r="F757" s="52"/>
      <c r="G757" s="52"/>
      <c r="H757" s="52"/>
      <c r="I757" s="52"/>
      <c r="J757" s="52"/>
      <c r="K757" s="52"/>
      <c r="L757" s="52"/>
      <c r="M757" s="52"/>
      <c r="N757" s="52"/>
      <c r="O757" s="52"/>
      <c r="P757" s="52"/>
      <c r="Q757" s="52"/>
      <c r="R757" s="52"/>
      <c r="S757" s="52"/>
      <c r="T757" s="52"/>
      <c r="U757" s="52"/>
      <c r="V757" s="52"/>
      <c r="W757" s="52"/>
      <c r="X757" s="52"/>
      <c r="Y757" s="52"/>
      <c r="Z757" s="52"/>
      <c r="AA757" s="52"/>
      <c r="AB757" s="52"/>
      <c r="AC757" s="52"/>
      <c r="AD757" s="52"/>
      <c r="AE757" s="52"/>
      <c r="AF757" s="52"/>
      <c r="AG757" s="52"/>
      <c r="AH757" s="52"/>
      <c r="AI757" s="52"/>
      <c r="AJ757" s="52"/>
      <c r="AK757" s="52"/>
      <c r="AL757" s="52"/>
      <c r="AM757" s="52"/>
      <c r="AN757" s="52"/>
    </row>
    <row r="758" spans="1:40" x14ac:dyDescent="0.3">
      <c r="A758" s="52">
        <v>753</v>
      </c>
      <c r="B758" s="52">
        <f>-bthan*500+(2+0.5)*bthan*1000/50</f>
        <v>-2475</v>
      </c>
      <c r="C758" s="52">
        <f t="shared" si="126"/>
        <v>-490</v>
      </c>
      <c r="D758" s="52">
        <f t="shared" si="123"/>
        <v>2200</v>
      </c>
      <c r="E758" s="52">
        <f t="shared" si="124"/>
        <v>1</v>
      </c>
      <c r="F758" s="52"/>
      <c r="G758" s="52"/>
      <c r="H758" s="52"/>
      <c r="I758" s="52"/>
      <c r="J758" s="52"/>
      <c r="K758" s="52"/>
      <c r="L758" s="52"/>
      <c r="M758" s="52"/>
      <c r="N758" s="52"/>
      <c r="O758" s="52"/>
      <c r="P758" s="52"/>
      <c r="Q758" s="52"/>
      <c r="R758" s="52"/>
      <c r="S758" s="52"/>
      <c r="T758" s="52"/>
      <c r="U758" s="52"/>
      <c r="V758" s="52"/>
      <c r="W758" s="52"/>
      <c r="X758" s="52"/>
      <c r="Y758" s="52"/>
      <c r="Z758" s="52"/>
      <c r="AA758" s="52"/>
      <c r="AB758" s="52"/>
      <c r="AC758" s="52"/>
      <c r="AD758" s="52"/>
      <c r="AE758" s="52"/>
      <c r="AF758" s="52"/>
      <c r="AG758" s="52"/>
      <c r="AH758" s="52"/>
      <c r="AI758" s="52"/>
      <c r="AJ758" s="52"/>
      <c r="AK758" s="52"/>
      <c r="AL758" s="52"/>
      <c r="AM758" s="52"/>
      <c r="AN758" s="52"/>
    </row>
    <row r="759" spans="1:40" x14ac:dyDescent="0.3">
      <c r="A759" s="52">
        <v>754</v>
      </c>
      <c r="B759" s="52">
        <f>-bthan*500+(3+0.5)*bthan*1000/50</f>
        <v>-2365</v>
      </c>
      <c r="C759" s="52">
        <f t="shared" si="126"/>
        <v>-490</v>
      </c>
      <c r="D759" s="52">
        <f t="shared" si="123"/>
        <v>2200</v>
      </c>
      <c r="E759" s="52">
        <f t="shared" si="124"/>
        <v>1</v>
      </c>
      <c r="F759" s="52"/>
      <c r="G759" s="52"/>
      <c r="H759" s="52"/>
      <c r="I759" s="52"/>
      <c r="J759" s="52"/>
      <c r="K759" s="52"/>
      <c r="L759" s="52"/>
      <c r="M759" s="52"/>
      <c r="N759" s="52"/>
      <c r="O759" s="52"/>
      <c r="P759" s="52"/>
      <c r="Q759" s="52"/>
      <c r="R759" s="52"/>
      <c r="S759" s="52"/>
      <c r="T759" s="52"/>
      <c r="U759" s="52"/>
      <c r="V759" s="52"/>
      <c r="W759" s="52"/>
      <c r="X759" s="52"/>
      <c r="Y759" s="52"/>
      <c r="Z759" s="52"/>
      <c r="AA759" s="52"/>
      <c r="AB759" s="52"/>
      <c r="AC759" s="52"/>
      <c r="AD759" s="52"/>
      <c r="AE759" s="52"/>
      <c r="AF759" s="52"/>
      <c r="AG759" s="52"/>
      <c r="AH759" s="52"/>
      <c r="AI759" s="52"/>
      <c r="AJ759" s="52"/>
      <c r="AK759" s="52"/>
      <c r="AL759" s="52"/>
      <c r="AM759" s="52"/>
      <c r="AN759" s="52"/>
    </row>
    <row r="760" spans="1:40" x14ac:dyDescent="0.3">
      <c r="A760" s="52">
        <v>755</v>
      </c>
      <c r="B760" s="52">
        <f>-bthan*500+(4+0.5)*bthan*1000/50</f>
        <v>-2255</v>
      </c>
      <c r="C760" s="52">
        <f t="shared" si="126"/>
        <v>-490</v>
      </c>
      <c r="D760" s="52">
        <f t="shared" si="123"/>
        <v>2200</v>
      </c>
      <c r="E760" s="52">
        <f t="shared" si="124"/>
        <v>1</v>
      </c>
      <c r="F760" s="52"/>
      <c r="G760" s="52"/>
      <c r="H760" s="52"/>
      <c r="I760" s="52"/>
      <c r="J760" s="52"/>
      <c r="K760" s="52"/>
      <c r="L760" s="52"/>
      <c r="M760" s="52"/>
      <c r="N760" s="52"/>
      <c r="O760" s="52"/>
      <c r="P760" s="52"/>
      <c r="Q760" s="52"/>
      <c r="R760" s="52"/>
      <c r="S760" s="52"/>
      <c r="T760" s="52"/>
      <c r="U760" s="52"/>
      <c r="V760" s="52"/>
      <c r="W760" s="52"/>
      <c r="X760" s="52"/>
      <c r="Y760" s="52"/>
      <c r="Z760" s="52"/>
      <c r="AA760" s="52"/>
      <c r="AB760" s="52"/>
      <c r="AC760" s="52"/>
      <c r="AD760" s="52"/>
      <c r="AE760" s="52"/>
      <c r="AF760" s="52"/>
      <c r="AG760" s="52"/>
      <c r="AH760" s="52"/>
      <c r="AI760" s="52"/>
      <c r="AJ760" s="52"/>
      <c r="AK760" s="52"/>
      <c r="AL760" s="52"/>
      <c r="AM760" s="52"/>
      <c r="AN760" s="52"/>
    </row>
    <row r="761" spans="1:40" x14ac:dyDescent="0.3">
      <c r="A761" s="52">
        <v>756</v>
      </c>
      <c r="B761" s="52">
        <f>-bthan*500+(5+0.5)*bthan*1000/50</f>
        <v>-2145</v>
      </c>
      <c r="C761" s="52">
        <f t="shared" si="126"/>
        <v>-490</v>
      </c>
      <c r="D761" s="52">
        <f t="shared" si="123"/>
        <v>2200</v>
      </c>
      <c r="E761" s="52">
        <f t="shared" si="124"/>
        <v>1</v>
      </c>
      <c r="F761" s="52"/>
      <c r="G761" s="52"/>
      <c r="H761" s="52"/>
      <c r="I761" s="52"/>
      <c r="J761" s="52"/>
      <c r="K761" s="52"/>
      <c r="L761" s="52"/>
      <c r="M761" s="52"/>
      <c r="N761" s="52"/>
      <c r="O761" s="52"/>
      <c r="P761" s="52"/>
      <c r="Q761" s="52"/>
      <c r="R761" s="52"/>
      <c r="S761" s="52"/>
      <c r="T761" s="52"/>
      <c r="U761" s="52"/>
      <c r="V761" s="52"/>
      <c r="W761" s="52"/>
      <c r="X761" s="52"/>
      <c r="Y761" s="52"/>
      <c r="Z761" s="52"/>
      <c r="AA761" s="52"/>
      <c r="AB761" s="52"/>
      <c r="AC761" s="52"/>
      <c r="AD761" s="52"/>
      <c r="AE761" s="52"/>
      <c r="AF761" s="52"/>
      <c r="AG761" s="52"/>
      <c r="AH761" s="52"/>
      <c r="AI761" s="52"/>
      <c r="AJ761" s="52"/>
      <c r="AK761" s="52"/>
      <c r="AL761" s="52"/>
      <c r="AM761" s="52"/>
      <c r="AN761" s="52"/>
    </row>
    <row r="762" spans="1:40" x14ac:dyDescent="0.3">
      <c r="A762" s="52">
        <v>757</v>
      </c>
      <c r="B762" s="52">
        <f>-bthan*500+(6+0.5)*bthan*1000/50</f>
        <v>-2035</v>
      </c>
      <c r="C762" s="52">
        <f t="shared" si="126"/>
        <v>-490</v>
      </c>
      <c r="D762" s="52">
        <f t="shared" si="123"/>
        <v>2200</v>
      </c>
      <c r="E762" s="52">
        <f t="shared" si="124"/>
        <v>1</v>
      </c>
      <c r="F762" s="52"/>
      <c r="G762" s="52"/>
      <c r="H762" s="52"/>
      <c r="I762" s="52"/>
      <c r="J762" s="52"/>
      <c r="K762" s="52"/>
      <c r="L762" s="52"/>
      <c r="M762" s="52"/>
      <c r="N762" s="52"/>
      <c r="O762" s="52"/>
      <c r="P762" s="52"/>
      <c r="Q762" s="52"/>
      <c r="R762" s="52"/>
      <c r="S762" s="52"/>
      <c r="T762" s="52"/>
      <c r="U762" s="52"/>
      <c r="V762" s="52"/>
      <c r="W762" s="52"/>
      <c r="X762" s="52"/>
      <c r="Y762" s="52"/>
      <c r="Z762" s="52"/>
      <c r="AA762" s="52"/>
      <c r="AB762" s="52"/>
      <c r="AC762" s="52"/>
      <c r="AD762" s="52"/>
      <c r="AE762" s="52"/>
      <c r="AF762" s="52"/>
      <c r="AG762" s="52"/>
      <c r="AH762" s="52"/>
      <c r="AI762" s="52"/>
      <c r="AJ762" s="52"/>
      <c r="AK762" s="52"/>
      <c r="AL762" s="52"/>
      <c r="AM762" s="52"/>
      <c r="AN762" s="52"/>
    </row>
    <row r="763" spans="1:40" x14ac:dyDescent="0.3">
      <c r="A763" s="52">
        <v>758</v>
      </c>
      <c r="B763" s="52">
        <f>-bthan*500+(7+0.5)*bthan*1000/50</f>
        <v>-1925</v>
      </c>
      <c r="C763" s="52">
        <f t="shared" si="126"/>
        <v>-490</v>
      </c>
      <c r="D763" s="52">
        <f t="shared" si="123"/>
        <v>2200</v>
      </c>
      <c r="E763" s="52">
        <f t="shared" si="124"/>
        <v>1</v>
      </c>
      <c r="F763" s="52"/>
      <c r="G763" s="52"/>
      <c r="H763" s="52"/>
      <c r="I763" s="52"/>
      <c r="J763" s="52"/>
      <c r="K763" s="52"/>
      <c r="L763" s="52"/>
      <c r="M763" s="52"/>
      <c r="N763" s="52"/>
      <c r="O763" s="52"/>
      <c r="P763" s="52"/>
      <c r="Q763" s="52"/>
      <c r="R763" s="52"/>
      <c r="S763" s="52"/>
      <c r="T763" s="52"/>
      <c r="U763" s="52"/>
      <c r="V763" s="52"/>
      <c r="W763" s="52"/>
      <c r="X763" s="52"/>
      <c r="Y763" s="52"/>
      <c r="Z763" s="52"/>
      <c r="AA763" s="52"/>
      <c r="AB763" s="52"/>
      <c r="AC763" s="52"/>
      <c r="AD763" s="52"/>
      <c r="AE763" s="52"/>
      <c r="AF763" s="52"/>
      <c r="AG763" s="52"/>
      <c r="AH763" s="52"/>
      <c r="AI763" s="52"/>
      <c r="AJ763" s="52"/>
      <c r="AK763" s="52"/>
      <c r="AL763" s="52"/>
      <c r="AM763" s="52"/>
      <c r="AN763" s="52"/>
    </row>
    <row r="764" spans="1:40" x14ac:dyDescent="0.3">
      <c r="A764" s="52">
        <v>759</v>
      </c>
      <c r="B764" s="52">
        <f>-bthan*500+(8+0.5)*bthan*1000/50</f>
        <v>-1815</v>
      </c>
      <c r="C764" s="52">
        <f t="shared" si="126"/>
        <v>-490</v>
      </c>
      <c r="D764" s="52">
        <f t="shared" si="123"/>
        <v>2200</v>
      </c>
      <c r="E764" s="52">
        <f t="shared" si="124"/>
        <v>1</v>
      </c>
      <c r="F764" s="52"/>
      <c r="G764" s="52"/>
      <c r="H764" s="52"/>
      <c r="I764" s="52"/>
      <c r="J764" s="52"/>
      <c r="K764" s="52"/>
      <c r="L764" s="52"/>
      <c r="M764" s="52"/>
      <c r="N764" s="52"/>
      <c r="O764" s="52"/>
      <c r="P764" s="52"/>
      <c r="Q764" s="52"/>
      <c r="R764" s="52"/>
      <c r="S764" s="52"/>
      <c r="T764" s="52"/>
      <c r="U764" s="52"/>
      <c r="V764" s="52"/>
      <c r="W764" s="52"/>
      <c r="X764" s="52"/>
      <c r="Y764" s="52"/>
      <c r="Z764" s="52"/>
      <c r="AA764" s="52"/>
      <c r="AB764" s="52"/>
      <c r="AC764" s="52"/>
      <c r="AD764" s="52"/>
      <c r="AE764" s="52"/>
      <c r="AF764" s="52"/>
      <c r="AG764" s="52"/>
      <c r="AH764" s="52"/>
      <c r="AI764" s="52"/>
      <c r="AJ764" s="52"/>
      <c r="AK764" s="52"/>
      <c r="AL764" s="52"/>
      <c r="AM764" s="52"/>
      <c r="AN764" s="52"/>
    </row>
    <row r="765" spans="1:40" x14ac:dyDescent="0.3">
      <c r="A765" s="52">
        <v>760</v>
      </c>
      <c r="B765" s="52">
        <f>-bthan*500+(9+0.5)*bthan*1000/50</f>
        <v>-1705</v>
      </c>
      <c r="C765" s="52">
        <f t="shared" si="126"/>
        <v>-490</v>
      </c>
      <c r="D765" s="52">
        <f t="shared" si="123"/>
        <v>2200</v>
      </c>
      <c r="E765" s="52">
        <f t="shared" si="124"/>
        <v>1</v>
      </c>
      <c r="F765" s="52"/>
      <c r="G765" s="52"/>
      <c r="H765" s="52"/>
      <c r="I765" s="52"/>
      <c r="J765" s="52"/>
      <c r="K765" s="52"/>
      <c r="L765" s="52"/>
      <c r="M765" s="52"/>
      <c r="N765" s="52"/>
      <c r="O765" s="52"/>
      <c r="P765" s="52"/>
      <c r="Q765" s="52"/>
      <c r="R765" s="52"/>
      <c r="S765" s="52"/>
      <c r="T765" s="52"/>
      <c r="U765" s="52"/>
      <c r="V765" s="52"/>
      <c r="W765" s="52"/>
      <c r="X765" s="52"/>
      <c r="Y765" s="52"/>
      <c r="Z765" s="52"/>
      <c r="AA765" s="52"/>
      <c r="AB765" s="52"/>
      <c r="AC765" s="52"/>
      <c r="AD765" s="52"/>
      <c r="AE765" s="52"/>
      <c r="AF765" s="52"/>
      <c r="AG765" s="52"/>
      <c r="AH765" s="52"/>
      <c r="AI765" s="52"/>
      <c r="AJ765" s="52"/>
      <c r="AK765" s="52"/>
      <c r="AL765" s="52"/>
      <c r="AM765" s="52"/>
      <c r="AN765" s="52"/>
    </row>
    <row r="766" spans="1:40" x14ac:dyDescent="0.3">
      <c r="A766" s="52">
        <v>761</v>
      </c>
      <c r="B766" s="52">
        <f>-bthan*500+(10+0.5)*bthan*1000/50</f>
        <v>-1595</v>
      </c>
      <c r="C766" s="52">
        <f t="shared" si="126"/>
        <v>-490</v>
      </c>
      <c r="D766" s="52">
        <f t="shared" si="123"/>
        <v>2200</v>
      </c>
      <c r="E766" s="52">
        <f t="shared" si="124"/>
        <v>1</v>
      </c>
      <c r="F766" s="52"/>
      <c r="G766" s="52"/>
      <c r="H766" s="52"/>
      <c r="I766" s="52"/>
      <c r="J766" s="52"/>
      <c r="K766" s="52"/>
      <c r="L766" s="52"/>
      <c r="M766" s="52"/>
      <c r="N766" s="52"/>
      <c r="O766" s="52"/>
      <c r="P766" s="52"/>
      <c r="Q766" s="52"/>
      <c r="R766" s="52"/>
      <c r="S766" s="52"/>
      <c r="T766" s="52"/>
      <c r="U766" s="52"/>
      <c r="V766" s="52"/>
      <c r="W766" s="52"/>
      <c r="X766" s="52"/>
      <c r="Y766" s="52"/>
      <c r="Z766" s="52"/>
      <c r="AA766" s="52"/>
      <c r="AB766" s="52"/>
      <c r="AC766" s="52"/>
      <c r="AD766" s="52"/>
      <c r="AE766" s="52"/>
      <c r="AF766" s="52"/>
      <c r="AG766" s="52"/>
      <c r="AH766" s="52"/>
      <c r="AI766" s="52"/>
      <c r="AJ766" s="52"/>
      <c r="AK766" s="52"/>
      <c r="AL766" s="52"/>
      <c r="AM766" s="52"/>
      <c r="AN766" s="52"/>
    </row>
    <row r="767" spans="1:40" x14ac:dyDescent="0.3">
      <c r="A767" s="52">
        <v>762</v>
      </c>
      <c r="B767" s="52">
        <f>-bthan*500+(11+0.5)*bthan*1000/50</f>
        <v>-1485</v>
      </c>
      <c r="C767" s="52">
        <f t="shared" si="126"/>
        <v>-490</v>
      </c>
      <c r="D767" s="52">
        <f t="shared" si="123"/>
        <v>2200</v>
      </c>
      <c r="E767" s="52">
        <f t="shared" si="124"/>
        <v>1</v>
      </c>
      <c r="F767" s="52"/>
      <c r="G767" s="52"/>
      <c r="H767" s="52"/>
      <c r="I767" s="52"/>
      <c r="J767" s="52"/>
      <c r="K767" s="52"/>
      <c r="L767" s="52"/>
      <c r="M767" s="52"/>
      <c r="N767" s="52"/>
      <c r="O767" s="52"/>
      <c r="P767" s="52"/>
      <c r="Q767" s="52"/>
      <c r="R767" s="52"/>
      <c r="S767" s="52"/>
      <c r="T767" s="52"/>
      <c r="U767" s="52"/>
      <c r="V767" s="52"/>
      <c r="W767" s="52"/>
      <c r="X767" s="52"/>
      <c r="Y767" s="52"/>
      <c r="Z767" s="52"/>
      <c r="AA767" s="52"/>
      <c r="AB767" s="52"/>
      <c r="AC767" s="52"/>
      <c r="AD767" s="52"/>
      <c r="AE767" s="52"/>
      <c r="AF767" s="52"/>
      <c r="AG767" s="52"/>
      <c r="AH767" s="52"/>
      <c r="AI767" s="52"/>
      <c r="AJ767" s="52"/>
      <c r="AK767" s="52"/>
      <c r="AL767" s="52"/>
      <c r="AM767" s="52"/>
      <c r="AN767" s="52"/>
    </row>
    <row r="768" spans="1:40" x14ac:dyDescent="0.3">
      <c r="A768" s="52">
        <v>763</v>
      </c>
      <c r="B768" s="52">
        <f>-bthan*500+(12+0.5)*bthan*1000/50</f>
        <v>-1375</v>
      </c>
      <c r="C768" s="52">
        <f t="shared" si="126"/>
        <v>-490</v>
      </c>
      <c r="D768" s="52">
        <f t="shared" si="123"/>
        <v>2200</v>
      </c>
      <c r="E768" s="52">
        <f t="shared" si="124"/>
        <v>1</v>
      </c>
      <c r="F768" s="52"/>
      <c r="G768" s="52"/>
      <c r="H768" s="52"/>
      <c r="I768" s="52"/>
      <c r="J768" s="52"/>
      <c r="K768" s="52"/>
      <c r="L768" s="52"/>
      <c r="M768" s="52"/>
      <c r="N768" s="52"/>
      <c r="O768" s="52"/>
      <c r="P768" s="52"/>
      <c r="Q768" s="52"/>
      <c r="R768" s="52"/>
      <c r="S768" s="52"/>
      <c r="T768" s="52"/>
      <c r="U768" s="52"/>
      <c r="V768" s="52"/>
      <c r="W768" s="52"/>
      <c r="X768" s="52"/>
      <c r="Y768" s="52"/>
      <c r="Z768" s="52"/>
      <c r="AA768" s="52"/>
      <c r="AB768" s="52"/>
      <c r="AC768" s="52"/>
      <c r="AD768" s="52"/>
      <c r="AE768" s="52"/>
      <c r="AF768" s="52"/>
      <c r="AG768" s="52"/>
      <c r="AH768" s="52"/>
      <c r="AI768" s="52"/>
      <c r="AJ768" s="52"/>
      <c r="AK768" s="52"/>
      <c r="AL768" s="52"/>
      <c r="AM768" s="52"/>
      <c r="AN768" s="52"/>
    </row>
    <row r="769" spans="1:40" x14ac:dyDescent="0.3">
      <c r="A769" s="52">
        <v>764</v>
      </c>
      <c r="B769" s="52">
        <f>-bthan*500+(13+0.5)*bthan*1000/50</f>
        <v>-1265</v>
      </c>
      <c r="C769" s="52">
        <f t="shared" si="126"/>
        <v>-490</v>
      </c>
      <c r="D769" s="52">
        <f t="shared" si="123"/>
        <v>2200</v>
      </c>
      <c r="E769" s="52">
        <f t="shared" si="124"/>
        <v>1</v>
      </c>
      <c r="F769" s="52"/>
      <c r="G769" s="52"/>
      <c r="H769" s="52"/>
      <c r="I769" s="52"/>
      <c r="J769" s="52"/>
      <c r="K769" s="52"/>
      <c r="L769" s="52"/>
      <c r="M769" s="52"/>
      <c r="N769" s="52"/>
      <c r="O769" s="52"/>
      <c r="P769" s="52"/>
      <c r="Q769" s="52"/>
      <c r="R769" s="52"/>
      <c r="S769" s="52"/>
      <c r="T769" s="52"/>
      <c r="U769" s="52"/>
      <c r="V769" s="52"/>
      <c r="W769" s="52"/>
      <c r="X769" s="52"/>
      <c r="Y769" s="52"/>
      <c r="Z769" s="52"/>
      <c r="AA769" s="52"/>
      <c r="AB769" s="52"/>
      <c r="AC769" s="52"/>
      <c r="AD769" s="52"/>
      <c r="AE769" s="52"/>
      <c r="AF769" s="52"/>
      <c r="AG769" s="52"/>
      <c r="AH769" s="52"/>
      <c r="AI769" s="52"/>
      <c r="AJ769" s="52"/>
      <c r="AK769" s="52"/>
      <c r="AL769" s="52"/>
      <c r="AM769" s="52"/>
      <c r="AN769" s="52"/>
    </row>
    <row r="770" spans="1:40" x14ac:dyDescent="0.3">
      <c r="A770" s="52">
        <v>765</v>
      </c>
      <c r="B770" s="52">
        <f>-bthan*500+(14+0.5)*bthan*1000/50</f>
        <v>-1155</v>
      </c>
      <c r="C770" s="52">
        <f t="shared" si="126"/>
        <v>-490</v>
      </c>
      <c r="D770" s="52">
        <f t="shared" si="123"/>
        <v>2200</v>
      </c>
      <c r="E770" s="52">
        <f t="shared" si="124"/>
        <v>1</v>
      </c>
      <c r="F770" s="52"/>
      <c r="G770" s="52"/>
      <c r="H770" s="52"/>
      <c r="I770" s="52"/>
      <c r="J770" s="52"/>
      <c r="K770" s="52"/>
      <c r="L770" s="52"/>
      <c r="M770" s="52"/>
      <c r="N770" s="52"/>
      <c r="O770" s="52"/>
      <c r="P770" s="52"/>
      <c r="Q770" s="52"/>
      <c r="R770" s="52"/>
      <c r="S770" s="52"/>
      <c r="T770" s="52"/>
      <c r="U770" s="52"/>
      <c r="V770" s="52"/>
      <c r="W770" s="52"/>
      <c r="X770" s="52"/>
      <c r="Y770" s="52"/>
      <c r="Z770" s="52"/>
      <c r="AA770" s="52"/>
      <c r="AB770" s="52"/>
      <c r="AC770" s="52"/>
      <c r="AD770" s="52"/>
      <c r="AE770" s="52"/>
      <c r="AF770" s="52"/>
      <c r="AG770" s="52"/>
      <c r="AH770" s="52"/>
      <c r="AI770" s="52"/>
      <c r="AJ770" s="52"/>
      <c r="AK770" s="52"/>
      <c r="AL770" s="52"/>
      <c r="AM770" s="52"/>
      <c r="AN770" s="52"/>
    </row>
    <row r="771" spans="1:40" x14ac:dyDescent="0.3">
      <c r="A771" s="52">
        <v>766</v>
      </c>
      <c r="B771" s="52">
        <f>-bthan*500+(15+0.5)*bthan*1000/50</f>
        <v>-1045</v>
      </c>
      <c r="C771" s="52">
        <f t="shared" si="126"/>
        <v>-490</v>
      </c>
      <c r="D771" s="52">
        <f t="shared" si="123"/>
        <v>2200</v>
      </c>
      <c r="E771" s="52">
        <f t="shared" si="124"/>
        <v>1</v>
      </c>
      <c r="F771" s="52"/>
      <c r="G771" s="52"/>
      <c r="H771" s="52"/>
      <c r="I771" s="52"/>
      <c r="J771" s="52"/>
      <c r="K771" s="52"/>
      <c r="L771" s="52"/>
      <c r="M771" s="52"/>
      <c r="N771" s="52"/>
      <c r="O771" s="52"/>
      <c r="P771" s="52"/>
      <c r="Q771" s="52"/>
      <c r="R771" s="52"/>
      <c r="S771" s="52"/>
      <c r="T771" s="52"/>
      <c r="U771" s="52"/>
      <c r="V771" s="52"/>
      <c r="W771" s="52"/>
      <c r="X771" s="52"/>
      <c r="Y771" s="52"/>
      <c r="Z771" s="52"/>
      <c r="AA771" s="52"/>
      <c r="AB771" s="52"/>
      <c r="AC771" s="52"/>
      <c r="AD771" s="52"/>
      <c r="AE771" s="52"/>
      <c r="AF771" s="52"/>
      <c r="AG771" s="52"/>
      <c r="AH771" s="52"/>
      <c r="AI771" s="52"/>
      <c r="AJ771" s="52"/>
      <c r="AK771" s="52"/>
      <c r="AL771" s="52"/>
      <c r="AM771" s="52"/>
      <c r="AN771" s="52"/>
    </row>
    <row r="772" spans="1:40" x14ac:dyDescent="0.3">
      <c r="A772" s="52">
        <v>767</v>
      </c>
      <c r="B772" s="52">
        <f>-bthan*500+(16+0.5)*bthan*1000/50</f>
        <v>-935</v>
      </c>
      <c r="C772" s="52">
        <f t="shared" si="126"/>
        <v>-490</v>
      </c>
      <c r="D772" s="52">
        <f t="shared" si="123"/>
        <v>2200</v>
      </c>
      <c r="E772" s="52">
        <f t="shared" si="124"/>
        <v>1</v>
      </c>
      <c r="F772" s="52"/>
      <c r="G772" s="52"/>
      <c r="H772" s="52"/>
      <c r="I772" s="52"/>
      <c r="J772" s="52"/>
      <c r="K772" s="52"/>
      <c r="L772" s="52"/>
      <c r="M772" s="52"/>
      <c r="N772" s="52"/>
      <c r="O772" s="52"/>
      <c r="P772" s="52"/>
      <c r="Q772" s="52"/>
      <c r="R772" s="52"/>
      <c r="S772" s="52"/>
      <c r="T772" s="52"/>
      <c r="U772" s="52"/>
      <c r="V772" s="52"/>
      <c r="W772" s="52"/>
      <c r="X772" s="52"/>
      <c r="Y772" s="52"/>
      <c r="Z772" s="52"/>
      <c r="AA772" s="52"/>
      <c r="AB772" s="52"/>
      <c r="AC772" s="52"/>
      <c r="AD772" s="52"/>
      <c r="AE772" s="52"/>
      <c r="AF772" s="52"/>
      <c r="AG772" s="52"/>
      <c r="AH772" s="52"/>
      <c r="AI772" s="52"/>
      <c r="AJ772" s="52"/>
      <c r="AK772" s="52"/>
      <c r="AL772" s="52"/>
      <c r="AM772" s="52"/>
      <c r="AN772" s="52"/>
    </row>
    <row r="773" spans="1:40" x14ac:dyDescent="0.3">
      <c r="A773" s="52">
        <v>768</v>
      </c>
      <c r="B773" s="52">
        <f>-bthan*500+(17+0.5)*bthan*1000/50</f>
        <v>-825</v>
      </c>
      <c r="C773" s="52">
        <f t="shared" si="126"/>
        <v>-490</v>
      </c>
      <c r="D773" s="52">
        <f t="shared" si="123"/>
        <v>2200</v>
      </c>
      <c r="E773" s="52">
        <f t="shared" si="124"/>
        <v>1</v>
      </c>
      <c r="F773" s="52"/>
      <c r="G773" s="52"/>
      <c r="H773" s="52"/>
      <c r="I773" s="52"/>
      <c r="J773" s="52"/>
      <c r="K773" s="52"/>
      <c r="L773" s="52"/>
      <c r="M773" s="52"/>
      <c r="N773" s="52"/>
      <c r="O773" s="52"/>
      <c r="P773" s="52"/>
      <c r="Q773" s="52"/>
      <c r="R773" s="52"/>
      <c r="S773" s="52"/>
      <c r="T773" s="52"/>
      <c r="U773" s="52"/>
      <c r="V773" s="52"/>
      <c r="W773" s="52"/>
      <c r="X773" s="52"/>
      <c r="Y773" s="52"/>
      <c r="Z773" s="52"/>
      <c r="AA773" s="52"/>
      <c r="AB773" s="52"/>
      <c r="AC773" s="52"/>
      <c r="AD773" s="52"/>
      <c r="AE773" s="52"/>
      <c r="AF773" s="52"/>
      <c r="AG773" s="52"/>
      <c r="AH773" s="52"/>
      <c r="AI773" s="52"/>
      <c r="AJ773" s="52"/>
      <c r="AK773" s="52"/>
      <c r="AL773" s="52"/>
      <c r="AM773" s="52"/>
      <c r="AN773" s="52"/>
    </row>
    <row r="774" spans="1:40" x14ac:dyDescent="0.3">
      <c r="A774" s="52">
        <v>769</v>
      </c>
      <c r="B774" s="52">
        <f>-bthan*500+(18+0.5)*bthan*1000/50</f>
        <v>-715</v>
      </c>
      <c r="C774" s="52">
        <f t="shared" si="126"/>
        <v>-490</v>
      </c>
      <c r="D774" s="52">
        <f t="shared" ref="D774:D837" si="127">bthan*1000/50*hthan*1000/80</f>
        <v>2200</v>
      </c>
      <c r="E774" s="52">
        <f t="shared" ref="E774:E837" si="128">IF(shp=1,--(OR(ABS(B774)&lt;=MAX(0,(bthan-hthan)*500),(ABS(B774)-MAX(0,(bthan-hthan)*500))^2+C774^2&lt;=(hthan*500)^2)),--(AND(ABS(B774)&lt;=bthan*500,ABS(C774)&lt;=hthan*500,OR(ABS(B774)&lt;=bthan*500-cch*1000,ABS(C774)&lt;=hthan*500-cch*1000,(bthan*500-ABS(B774))+(hthan*500-ABS(C774))&gt;=cch*1000))))</f>
        <v>1</v>
      </c>
      <c r="F774" s="52"/>
      <c r="G774" s="52"/>
      <c r="H774" s="52"/>
      <c r="I774" s="52"/>
      <c r="J774" s="52"/>
      <c r="K774" s="52"/>
      <c r="L774" s="52"/>
      <c r="M774" s="52"/>
      <c r="N774" s="52"/>
      <c r="O774" s="52"/>
      <c r="P774" s="52"/>
      <c r="Q774" s="52"/>
      <c r="R774" s="52"/>
      <c r="S774" s="52"/>
      <c r="T774" s="52"/>
      <c r="U774" s="52"/>
      <c r="V774" s="52"/>
      <c r="W774" s="52"/>
      <c r="X774" s="52"/>
      <c r="Y774" s="52"/>
      <c r="Z774" s="52"/>
      <c r="AA774" s="52"/>
      <c r="AB774" s="52"/>
      <c r="AC774" s="52"/>
      <c r="AD774" s="52"/>
      <c r="AE774" s="52"/>
      <c r="AF774" s="52"/>
      <c r="AG774" s="52"/>
      <c r="AH774" s="52"/>
      <c r="AI774" s="52"/>
      <c r="AJ774" s="52"/>
      <c r="AK774" s="52"/>
      <c r="AL774" s="52"/>
      <c r="AM774" s="52"/>
      <c r="AN774" s="52"/>
    </row>
    <row r="775" spans="1:40" x14ac:dyDescent="0.3">
      <c r="A775" s="52">
        <v>770</v>
      </c>
      <c r="B775" s="52">
        <f>-bthan*500+(19+0.5)*bthan*1000/50</f>
        <v>-605</v>
      </c>
      <c r="C775" s="52">
        <f t="shared" si="126"/>
        <v>-490</v>
      </c>
      <c r="D775" s="52">
        <f t="shared" si="127"/>
        <v>2200</v>
      </c>
      <c r="E775" s="52">
        <f t="shared" si="128"/>
        <v>1</v>
      </c>
      <c r="F775" s="52"/>
      <c r="G775" s="52"/>
      <c r="H775" s="52"/>
      <c r="I775" s="52"/>
      <c r="J775" s="52"/>
      <c r="K775" s="52"/>
      <c r="L775" s="52"/>
      <c r="M775" s="52"/>
      <c r="N775" s="52"/>
      <c r="O775" s="52"/>
      <c r="P775" s="52"/>
      <c r="Q775" s="52"/>
      <c r="R775" s="52"/>
      <c r="S775" s="52"/>
      <c r="T775" s="52"/>
      <c r="U775" s="52"/>
      <c r="V775" s="52"/>
      <c r="W775" s="52"/>
      <c r="X775" s="52"/>
      <c r="Y775" s="52"/>
      <c r="Z775" s="52"/>
      <c r="AA775" s="52"/>
      <c r="AB775" s="52"/>
      <c r="AC775" s="52"/>
      <c r="AD775" s="52"/>
      <c r="AE775" s="52"/>
      <c r="AF775" s="52"/>
      <c r="AG775" s="52"/>
      <c r="AH775" s="52"/>
      <c r="AI775" s="52"/>
      <c r="AJ775" s="52"/>
      <c r="AK775" s="52"/>
      <c r="AL775" s="52"/>
      <c r="AM775" s="52"/>
      <c r="AN775" s="52"/>
    </row>
    <row r="776" spans="1:40" x14ac:dyDescent="0.3">
      <c r="A776" s="52">
        <v>771</v>
      </c>
      <c r="B776" s="52">
        <f>-bthan*500+(20+0.5)*bthan*1000/50</f>
        <v>-495</v>
      </c>
      <c r="C776" s="52">
        <f t="shared" si="126"/>
        <v>-490</v>
      </c>
      <c r="D776" s="52">
        <f t="shared" si="127"/>
        <v>2200</v>
      </c>
      <c r="E776" s="52">
        <f t="shared" si="128"/>
        <v>1</v>
      </c>
      <c r="F776" s="52"/>
      <c r="G776" s="52"/>
      <c r="H776" s="52"/>
      <c r="I776" s="52"/>
      <c r="J776" s="52"/>
      <c r="K776" s="52"/>
      <c r="L776" s="52"/>
      <c r="M776" s="52"/>
      <c r="N776" s="52"/>
      <c r="O776" s="52"/>
      <c r="P776" s="52"/>
      <c r="Q776" s="52"/>
      <c r="R776" s="52"/>
      <c r="S776" s="52"/>
      <c r="T776" s="52"/>
      <c r="U776" s="52"/>
      <c r="V776" s="52"/>
      <c r="W776" s="52"/>
      <c r="X776" s="52"/>
      <c r="Y776" s="52"/>
      <c r="Z776" s="52"/>
      <c r="AA776" s="52"/>
      <c r="AB776" s="52"/>
      <c r="AC776" s="52"/>
      <c r="AD776" s="52"/>
      <c r="AE776" s="52"/>
      <c r="AF776" s="52"/>
      <c r="AG776" s="52"/>
      <c r="AH776" s="52"/>
      <c r="AI776" s="52"/>
      <c r="AJ776" s="52"/>
      <c r="AK776" s="52"/>
      <c r="AL776" s="52"/>
      <c r="AM776" s="52"/>
      <c r="AN776" s="52"/>
    </row>
    <row r="777" spans="1:40" x14ac:dyDescent="0.3">
      <c r="A777" s="52">
        <v>772</v>
      </c>
      <c r="B777" s="52">
        <f>-bthan*500+(21+0.5)*bthan*1000/50</f>
        <v>-385</v>
      </c>
      <c r="C777" s="52">
        <f t="shared" si="126"/>
        <v>-490</v>
      </c>
      <c r="D777" s="52">
        <f t="shared" si="127"/>
        <v>2200</v>
      </c>
      <c r="E777" s="52">
        <f t="shared" si="128"/>
        <v>1</v>
      </c>
      <c r="F777" s="52"/>
      <c r="G777" s="52"/>
      <c r="H777" s="52"/>
      <c r="I777" s="52"/>
      <c r="J777" s="52"/>
      <c r="K777" s="52"/>
      <c r="L777" s="52"/>
      <c r="M777" s="52"/>
      <c r="N777" s="52"/>
      <c r="O777" s="52"/>
      <c r="P777" s="52"/>
      <c r="Q777" s="52"/>
      <c r="R777" s="52"/>
      <c r="S777" s="52"/>
      <c r="T777" s="52"/>
      <c r="U777" s="52"/>
      <c r="V777" s="52"/>
      <c r="W777" s="52"/>
      <c r="X777" s="52"/>
      <c r="Y777" s="52"/>
      <c r="Z777" s="52"/>
      <c r="AA777" s="52"/>
      <c r="AB777" s="52"/>
      <c r="AC777" s="52"/>
      <c r="AD777" s="52"/>
      <c r="AE777" s="52"/>
      <c r="AF777" s="52"/>
      <c r="AG777" s="52"/>
      <c r="AH777" s="52"/>
      <c r="AI777" s="52"/>
      <c r="AJ777" s="52"/>
      <c r="AK777" s="52"/>
      <c r="AL777" s="52"/>
      <c r="AM777" s="52"/>
      <c r="AN777" s="52"/>
    </row>
    <row r="778" spans="1:40" x14ac:dyDescent="0.3">
      <c r="A778" s="52">
        <v>773</v>
      </c>
      <c r="B778" s="52">
        <f>-bthan*500+(22+0.5)*bthan*1000/50</f>
        <v>-275</v>
      </c>
      <c r="C778" s="52">
        <f t="shared" si="126"/>
        <v>-490</v>
      </c>
      <c r="D778" s="52">
        <f t="shared" si="127"/>
        <v>2200</v>
      </c>
      <c r="E778" s="52">
        <f t="shared" si="128"/>
        <v>1</v>
      </c>
      <c r="F778" s="52"/>
      <c r="G778" s="52"/>
      <c r="H778" s="52"/>
      <c r="I778" s="52"/>
      <c r="J778" s="52"/>
      <c r="K778" s="52"/>
      <c r="L778" s="52"/>
      <c r="M778" s="52"/>
      <c r="N778" s="52"/>
      <c r="O778" s="52"/>
      <c r="P778" s="52"/>
      <c r="Q778" s="52"/>
      <c r="R778" s="52"/>
      <c r="S778" s="52"/>
      <c r="T778" s="52"/>
      <c r="U778" s="52"/>
      <c r="V778" s="52"/>
      <c r="W778" s="52"/>
      <c r="X778" s="52"/>
      <c r="Y778" s="52"/>
      <c r="Z778" s="52"/>
      <c r="AA778" s="52"/>
      <c r="AB778" s="52"/>
      <c r="AC778" s="52"/>
      <c r="AD778" s="52"/>
      <c r="AE778" s="52"/>
      <c r="AF778" s="52"/>
      <c r="AG778" s="52"/>
      <c r="AH778" s="52"/>
      <c r="AI778" s="52"/>
      <c r="AJ778" s="52"/>
      <c r="AK778" s="52"/>
      <c r="AL778" s="52"/>
      <c r="AM778" s="52"/>
      <c r="AN778" s="52"/>
    </row>
    <row r="779" spans="1:40" x14ac:dyDescent="0.3">
      <c r="A779" s="52">
        <v>774</v>
      </c>
      <c r="B779" s="52">
        <f>-bthan*500+(23+0.5)*bthan*1000/50</f>
        <v>-165</v>
      </c>
      <c r="C779" s="52">
        <f t="shared" si="126"/>
        <v>-490</v>
      </c>
      <c r="D779" s="52">
        <f t="shared" si="127"/>
        <v>2200</v>
      </c>
      <c r="E779" s="52">
        <f t="shared" si="128"/>
        <v>1</v>
      </c>
      <c r="F779" s="52"/>
      <c r="G779" s="52"/>
      <c r="H779" s="52"/>
      <c r="I779" s="52"/>
      <c r="J779" s="52"/>
      <c r="K779" s="52"/>
      <c r="L779" s="52"/>
      <c r="M779" s="52"/>
      <c r="N779" s="52"/>
      <c r="O779" s="52"/>
      <c r="P779" s="52"/>
      <c r="Q779" s="52"/>
      <c r="R779" s="52"/>
      <c r="S779" s="52"/>
      <c r="T779" s="52"/>
      <c r="U779" s="52"/>
      <c r="V779" s="52"/>
      <c r="W779" s="52"/>
      <c r="X779" s="52"/>
      <c r="Y779" s="52"/>
      <c r="Z779" s="52"/>
      <c r="AA779" s="52"/>
      <c r="AB779" s="52"/>
      <c r="AC779" s="52"/>
      <c r="AD779" s="52"/>
      <c r="AE779" s="52"/>
      <c r="AF779" s="52"/>
      <c r="AG779" s="52"/>
      <c r="AH779" s="52"/>
      <c r="AI779" s="52"/>
      <c r="AJ779" s="52"/>
      <c r="AK779" s="52"/>
      <c r="AL779" s="52"/>
      <c r="AM779" s="52"/>
      <c r="AN779" s="52"/>
    </row>
    <row r="780" spans="1:40" x14ac:dyDescent="0.3">
      <c r="A780" s="52">
        <v>775</v>
      </c>
      <c r="B780" s="52">
        <f>-bthan*500+(24+0.5)*bthan*1000/50</f>
        <v>-55</v>
      </c>
      <c r="C780" s="52">
        <f t="shared" si="126"/>
        <v>-490</v>
      </c>
      <c r="D780" s="52">
        <f t="shared" si="127"/>
        <v>2200</v>
      </c>
      <c r="E780" s="52">
        <f t="shared" si="128"/>
        <v>1</v>
      </c>
      <c r="F780" s="52"/>
      <c r="G780" s="52"/>
      <c r="H780" s="52"/>
      <c r="I780" s="52"/>
      <c r="J780" s="52"/>
      <c r="K780" s="52"/>
      <c r="L780" s="52"/>
      <c r="M780" s="52"/>
      <c r="N780" s="52"/>
      <c r="O780" s="52"/>
      <c r="P780" s="52"/>
      <c r="Q780" s="52"/>
      <c r="R780" s="52"/>
      <c r="S780" s="52"/>
      <c r="T780" s="52"/>
      <c r="U780" s="52"/>
      <c r="V780" s="52"/>
      <c r="W780" s="52"/>
      <c r="X780" s="52"/>
      <c r="Y780" s="52"/>
      <c r="Z780" s="52"/>
      <c r="AA780" s="52"/>
      <c r="AB780" s="52"/>
      <c r="AC780" s="52"/>
      <c r="AD780" s="52"/>
      <c r="AE780" s="52"/>
      <c r="AF780" s="52"/>
      <c r="AG780" s="52"/>
      <c r="AH780" s="52"/>
      <c r="AI780" s="52"/>
      <c r="AJ780" s="52"/>
      <c r="AK780" s="52"/>
      <c r="AL780" s="52"/>
      <c r="AM780" s="52"/>
      <c r="AN780" s="52"/>
    </row>
    <row r="781" spans="1:40" x14ac:dyDescent="0.3">
      <c r="A781" s="52">
        <v>776</v>
      </c>
      <c r="B781" s="52">
        <f>-bthan*500+(25+0.5)*bthan*1000/50</f>
        <v>55</v>
      </c>
      <c r="C781" s="52">
        <f t="shared" si="126"/>
        <v>-490</v>
      </c>
      <c r="D781" s="52">
        <f t="shared" si="127"/>
        <v>2200</v>
      </c>
      <c r="E781" s="52">
        <f t="shared" si="128"/>
        <v>1</v>
      </c>
      <c r="F781" s="52"/>
      <c r="G781" s="52"/>
      <c r="H781" s="52"/>
      <c r="I781" s="52"/>
      <c r="J781" s="52"/>
      <c r="K781" s="52"/>
      <c r="L781" s="52"/>
      <c r="M781" s="52"/>
      <c r="N781" s="52"/>
      <c r="O781" s="52"/>
      <c r="P781" s="52"/>
      <c r="Q781" s="52"/>
      <c r="R781" s="52"/>
      <c r="S781" s="52"/>
      <c r="T781" s="52"/>
      <c r="U781" s="52"/>
      <c r="V781" s="52"/>
      <c r="W781" s="52"/>
      <c r="X781" s="52"/>
      <c r="Y781" s="52"/>
      <c r="Z781" s="52"/>
      <c r="AA781" s="52"/>
      <c r="AB781" s="52"/>
      <c r="AC781" s="52"/>
      <c r="AD781" s="52"/>
      <c r="AE781" s="52"/>
      <c r="AF781" s="52"/>
      <c r="AG781" s="52"/>
      <c r="AH781" s="52"/>
      <c r="AI781" s="52"/>
      <c r="AJ781" s="52"/>
      <c r="AK781" s="52"/>
      <c r="AL781" s="52"/>
      <c r="AM781" s="52"/>
      <c r="AN781" s="52"/>
    </row>
    <row r="782" spans="1:40" x14ac:dyDescent="0.3">
      <c r="A782" s="52">
        <v>777</v>
      </c>
      <c r="B782" s="52">
        <f>-bthan*500+(26+0.5)*bthan*1000/50</f>
        <v>165</v>
      </c>
      <c r="C782" s="52">
        <f t="shared" si="126"/>
        <v>-490</v>
      </c>
      <c r="D782" s="52">
        <f t="shared" si="127"/>
        <v>2200</v>
      </c>
      <c r="E782" s="52">
        <f t="shared" si="128"/>
        <v>1</v>
      </c>
      <c r="F782" s="52"/>
      <c r="G782" s="52"/>
      <c r="H782" s="52"/>
      <c r="I782" s="52"/>
      <c r="J782" s="52"/>
      <c r="K782" s="52"/>
      <c r="L782" s="52"/>
      <c r="M782" s="52"/>
      <c r="N782" s="52"/>
      <c r="O782" s="52"/>
      <c r="P782" s="52"/>
      <c r="Q782" s="52"/>
      <c r="R782" s="52"/>
      <c r="S782" s="52"/>
      <c r="T782" s="52"/>
      <c r="U782" s="52"/>
      <c r="V782" s="52"/>
      <c r="W782" s="52"/>
      <c r="X782" s="52"/>
      <c r="Y782" s="52"/>
      <c r="Z782" s="52"/>
      <c r="AA782" s="52"/>
      <c r="AB782" s="52"/>
      <c r="AC782" s="52"/>
      <c r="AD782" s="52"/>
      <c r="AE782" s="52"/>
      <c r="AF782" s="52"/>
      <c r="AG782" s="52"/>
      <c r="AH782" s="52"/>
      <c r="AI782" s="52"/>
      <c r="AJ782" s="52"/>
      <c r="AK782" s="52"/>
      <c r="AL782" s="52"/>
      <c r="AM782" s="52"/>
      <c r="AN782" s="52"/>
    </row>
    <row r="783" spans="1:40" x14ac:dyDescent="0.3">
      <c r="A783" s="52">
        <v>778</v>
      </c>
      <c r="B783" s="52">
        <f>-bthan*500+(27+0.5)*bthan*1000/50</f>
        <v>275</v>
      </c>
      <c r="C783" s="52">
        <f t="shared" si="126"/>
        <v>-490</v>
      </c>
      <c r="D783" s="52">
        <f t="shared" si="127"/>
        <v>2200</v>
      </c>
      <c r="E783" s="52">
        <f t="shared" si="128"/>
        <v>1</v>
      </c>
      <c r="F783" s="52"/>
      <c r="G783" s="52"/>
      <c r="H783" s="52"/>
      <c r="I783" s="52"/>
      <c r="J783" s="52"/>
      <c r="K783" s="52"/>
      <c r="L783" s="52"/>
      <c r="M783" s="52"/>
      <c r="N783" s="52"/>
      <c r="O783" s="52"/>
      <c r="P783" s="52"/>
      <c r="Q783" s="52"/>
      <c r="R783" s="52"/>
      <c r="S783" s="52"/>
      <c r="T783" s="52"/>
      <c r="U783" s="52"/>
      <c r="V783" s="52"/>
      <c r="W783" s="52"/>
      <c r="X783" s="52"/>
      <c r="Y783" s="52"/>
      <c r="Z783" s="52"/>
      <c r="AA783" s="52"/>
      <c r="AB783" s="52"/>
      <c r="AC783" s="52"/>
      <c r="AD783" s="52"/>
      <c r="AE783" s="52"/>
      <c r="AF783" s="52"/>
      <c r="AG783" s="52"/>
      <c r="AH783" s="52"/>
      <c r="AI783" s="52"/>
      <c r="AJ783" s="52"/>
      <c r="AK783" s="52"/>
      <c r="AL783" s="52"/>
      <c r="AM783" s="52"/>
      <c r="AN783" s="52"/>
    </row>
    <row r="784" spans="1:40" x14ac:dyDescent="0.3">
      <c r="A784" s="52">
        <v>779</v>
      </c>
      <c r="B784" s="52">
        <f>-bthan*500+(28+0.5)*bthan*1000/50</f>
        <v>385</v>
      </c>
      <c r="C784" s="52">
        <f t="shared" si="126"/>
        <v>-490</v>
      </c>
      <c r="D784" s="52">
        <f t="shared" si="127"/>
        <v>2200</v>
      </c>
      <c r="E784" s="52">
        <f t="shared" si="128"/>
        <v>1</v>
      </c>
      <c r="F784" s="52"/>
      <c r="G784" s="52"/>
      <c r="H784" s="52"/>
      <c r="I784" s="52"/>
      <c r="J784" s="52"/>
      <c r="K784" s="52"/>
      <c r="L784" s="52"/>
      <c r="M784" s="52"/>
      <c r="N784" s="52"/>
      <c r="O784" s="52"/>
      <c r="P784" s="52"/>
      <c r="Q784" s="52"/>
      <c r="R784" s="52"/>
      <c r="S784" s="52"/>
      <c r="T784" s="52"/>
      <c r="U784" s="52"/>
      <c r="V784" s="52"/>
      <c r="W784" s="52"/>
      <c r="X784" s="52"/>
      <c r="Y784" s="52"/>
      <c r="Z784" s="52"/>
      <c r="AA784" s="52"/>
      <c r="AB784" s="52"/>
      <c r="AC784" s="52"/>
      <c r="AD784" s="52"/>
      <c r="AE784" s="52"/>
      <c r="AF784" s="52"/>
      <c r="AG784" s="52"/>
      <c r="AH784" s="52"/>
      <c r="AI784" s="52"/>
      <c r="AJ784" s="52"/>
      <c r="AK784" s="52"/>
      <c r="AL784" s="52"/>
      <c r="AM784" s="52"/>
      <c r="AN784" s="52"/>
    </row>
    <row r="785" spans="1:40" x14ac:dyDescent="0.3">
      <c r="A785" s="52">
        <v>780</v>
      </c>
      <c r="B785" s="52">
        <f>-bthan*500+(29+0.5)*bthan*1000/50</f>
        <v>495</v>
      </c>
      <c r="C785" s="52">
        <f t="shared" si="126"/>
        <v>-490</v>
      </c>
      <c r="D785" s="52">
        <f t="shared" si="127"/>
        <v>2200</v>
      </c>
      <c r="E785" s="52">
        <f t="shared" si="128"/>
        <v>1</v>
      </c>
      <c r="F785" s="52"/>
      <c r="G785" s="52"/>
      <c r="H785" s="52"/>
      <c r="I785" s="52"/>
      <c r="J785" s="52"/>
      <c r="K785" s="52"/>
      <c r="L785" s="52"/>
      <c r="M785" s="52"/>
      <c r="N785" s="52"/>
      <c r="O785" s="52"/>
      <c r="P785" s="52"/>
      <c r="Q785" s="52"/>
      <c r="R785" s="52"/>
      <c r="S785" s="52"/>
      <c r="T785" s="52"/>
      <c r="U785" s="52"/>
      <c r="V785" s="52"/>
      <c r="W785" s="52"/>
      <c r="X785" s="52"/>
      <c r="Y785" s="52"/>
      <c r="Z785" s="52"/>
      <c r="AA785" s="52"/>
      <c r="AB785" s="52"/>
      <c r="AC785" s="52"/>
      <c r="AD785" s="52"/>
      <c r="AE785" s="52"/>
      <c r="AF785" s="52"/>
      <c r="AG785" s="52"/>
      <c r="AH785" s="52"/>
      <c r="AI785" s="52"/>
      <c r="AJ785" s="52"/>
      <c r="AK785" s="52"/>
      <c r="AL785" s="52"/>
      <c r="AM785" s="52"/>
      <c r="AN785" s="52"/>
    </row>
    <row r="786" spans="1:40" x14ac:dyDescent="0.3">
      <c r="A786" s="52">
        <v>781</v>
      </c>
      <c r="B786" s="52">
        <f>-bthan*500+(30+0.5)*bthan*1000/50</f>
        <v>605</v>
      </c>
      <c r="C786" s="52">
        <f t="shared" si="126"/>
        <v>-490</v>
      </c>
      <c r="D786" s="52">
        <f t="shared" si="127"/>
        <v>2200</v>
      </c>
      <c r="E786" s="52">
        <f t="shared" si="128"/>
        <v>1</v>
      </c>
      <c r="F786" s="52"/>
      <c r="G786" s="52"/>
      <c r="H786" s="52"/>
      <c r="I786" s="52"/>
      <c r="J786" s="52"/>
      <c r="K786" s="52"/>
      <c r="L786" s="52"/>
      <c r="M786" s="52"/>
      <c r="N786" s="52"/>
      <c r="O786" s="52"/>
      <c r="P786" s="52"/>
      <c r="Q786" s="52"/>
      <c r="R786" s="52"/>
      <c r="S786" s="52"/>
      <c r="T786" s="52"/>
      <c r="U786" s="52"/>
      <c r="V786" s="52"/>
      <c r="W786" s="52"/>
      <c r="X786" s="52"/>
      <c r="Y786" s="52"/>
      <c r="Z786" s="52"/>
      <c r="AA786" s="52"/>
      <c r="AB786" s="52"/>
      <c r="AC786" s="52"/>
      <c r="AD786" s="52"/>
      <c r="AE786" s="52"/>
      <c r="AF786" s="52"/>
      <c r="AG786" s="52"/>
      <c r="AH786" s="52"/>
      <c r="AI786" s="52"/>
      <c r="AJ786" s="52"/>
      <c r="AK786" s="52"/>
      <c r="AL786" s="52"/>
      <c r="AM786" s="52"/>
      <c r="AN786" s="52"/>
    </row>
    <row r="787" spans="1:40" x14ac:dyDescent="0.3">
      <c r="A787" s="52">
        <v>782</v>
      </c>
      <c r="B787" s="52">
        <f>-bthan*500+(31+0.5)*bthan*1000/50</f>
        <v>715</v>
      </c>
      <c r="C787" s="52">
        <f t="shared" si="126"/>
        <v>-490</v>
      </c>
      <c r="D787" s="52">
        <f t="shared" si="127"/>
        <v>2200</v>
      </c>
      <c r="E787" s="52">
        <f t="shared" si="128"/>
        <v>1</v>
      </c>
      <c r="F787" s="52"/>
      <c r="G787" s="52"/>
      <c r="H787" s="52"/>
      <c r="I787" s="52"/>
      <c r="J787" s="52"/>
      <c r="K787" s="52"/>
      <c r="L787" s="52"/>
      <c r="M787" s="52"/>
      <c r="N787" s="52"/>
      <c r="O787" s="52"/>
      <c r="P787" s="52"/>
      <c r="Q787" s="52"/>
      <c r="R787" s="52"/>
      <c r="S787" s="52"/>
      <c r="T787" s="52"/>
      <c r="U787" s="52"/>
      <c r="V787" s="52"/>
      <c r="W787" s="52"/>
      <c r="X787" s="52"/>
      <c r="Y787" s="52"/>
      <c r="Z787" s="52"/>
      <c r="AA787" s="52"/>
      <c r="AB787" s="52"/>
      <c r="AC787" s="52"/>
      <c r="AD787" s="52"/>
      <c r="AE787" s="52"/>
      <c r="AF787" s="52"/>
      <c r="AG787" s="52"/>
      <c r="AH787" s="52"/>
      <c r="AI787" s="52"/>
      <c r="AJ787" s="52"/>
      <c r="AK787" s="52"/>
      <c r="AL787" s="52"/>
      <c r="AM787" s="52"/>
      <c r="AN787" s="52"/>
    </row>
    <row r="788" spans="1:40" x14ac:dyDescent="0.3">
      <c r="A788" s="52">
        <v>783</v>
      </c>
      <c r="B788" s="52">
        <f>-bthan*500+(32+0.5)*bthan*1000/50</f>
        <v>825</v>
      </c>
      <c r="C788" s="52">
        <f t="shared" ref="C788:C805" si="129">-hthan*500+(15+0.5)*hthan*1000/80</f>
        <v>-490</v>
      </c>
      <c r="D788" s="52">
        <f t="shared" si="127"/>
        <v>2200</v>
      </c>
      <c r="E788" s="52">
        <f t="shared" si="128"/>
        <v>1</v>
      </c>
      <c r="F788" s="52"/>
      <c r="G788" s="52"/>
      <c r="H788" s="52"/>
      <c r="I788" s="52"/>
      <c r="J788" s="52"/>
      <c r="K788" s="52"/>
      <c r="L788" s="52"/>
      <c r="M788" s="52"/>
      <c r="N788" s="52"/>
      <c r="O788" s="52"/>
      <c r="P788" s="52"/>
      <c r="Q788" s="52"/>
      <c r="R788" s="52"/>
      <c r="S788" s="52"/>
      <c r="T788" s="52"/>
      <c r="U788" s="52"/>
      <c r="V788" s="52"/>
      <c r="W788" s="52"/>
      <c r="X788" s="52"/>
      <c r="Y788" s="52"/>
      <c r="Z788" s="52"/>
      <c r="AA788" s="52"/>
      <c r="AB788" s="52"/>
      <c r="AC788" s="52"/>
      <c r="AD788" s="52"/>
      <c r="AE788" s="52"/>
      <c r="AF788" s="52"/>
      <c r="AG788" s="52"/>
      <c r="AH788" s="52"/>
      <c r="AI788" s="52"/>
      <c r="AJ788" s="52"/>
      <c r="AK788" s="52"/>
      <c r="AL788" s="52"/>
      <c r="AM788" s="52"/>
      <c r="AN788" s="52"/>
    </row>
    <row r="789" spans="1:40" x14ac:dyDescent="0.3">
      <c r="A789" s="52">
        <v>784</v>
      </c>
      <c r="B789" s="52">
        <f>-bthan*500+(33+0.5)*bthan*1000/50</f>
        <v>935</v>
      </c>
      <c r="C789" s="52">
        <f t="shared" si="129"/>
        <v>-490</v>
      </c>
      <c r="D789" s="52">
        <f t="shared" si="127"/>
        <v>2200</v>
      </c>
      <c r="E789" s="52">
        <f t="shared" si="128"/>
        <v>1</v>
      </c>
      <c r="F789" s="52"/>
      <c r="G789" s="52"/>
      <c r="H789" s="52"/>
      <c r="I789" s="52"/>
      <c r="J789" s="52"/>
      <c r="K789" s="52"/>
      <c r="L789" s="52"/>
      <c r="M789" s="52"/>
      <c r="N789" s="52"/>
      <c r="O789" s="52"/>
      <c r="P789" s="52"/>
      <c r="Q789" s="52"/>
      <c r="R789" s="52"/>
      <c r="S789" s="52"/>
      <c r="T789" s="52"/>
      <c r="U789" s="52"/>
      <c r="V789" s="52"/>
      <c r="W789" s="52"/>
      <c r="X789" s="52"/>
      <c r="Y789" s="52"/>
      <c r="Z789" s="52"/>
      <c r="AA789" s="52"/>
      <c r="AB789" s="52"/>
      <c r="AC789" s="52"/>
      <c r="AD789" s="52"/>
      <c r="AE789" s="52"/>
      <c r="AF789" s="52"/>
      <c r="AG789" s="52"/>
      <c r="AH789" s="52"/>
      <c r="AI789" s="52"/>
      <c r="AJ789" s="52"/>
      <c r="AK789" s="52"/>
      <c r="AL789" s="52"/>
      <c r="AM789" s="52"/>
      <c r="AN789" s="52"/>
    </row>
    <row r="790" spans="1:40" x14ac:dyDescent="0.3">
      <c r="A790" s="52">
        <v>785</v>
      </c>
      <c r="B790" s="52">
        <f>-bthan*500+(34+0.5)*bthan*1000/50</f>
        <v>1045</v>
      </c>
      <c r="C790" s="52">
        <f t="shared" si="129"/>
        <v>-490</v>
      </c>
      <c r="D790" s="52">
        <f t="shared" si="127"/>
        <v>2200</v>
      </c>
      <c r="E790" s="52">
        <f t="shared" si="128"/>
        <v>1</v>
      </c>
      <c r="F790" s="52"/>
      <c r="G790" s="52"/>
      <c r="H790" s="52"/>
      <c r="I790" s="52"/>
      <c r="J790" s="52"/>
      <c r="K790" s="52"/>
      <c r="L790" s="52"/>
      <c r="M790" s="52"/>
      <c r="N790" s="52"/>
      <c r="O790" s="52"/>
      <c r="P790" s="52"/>
      <c r="Q790" s="52"/>
      <c r="R790" s="52"/>
      <c r="S790" s="52"/>
      <c r="T790" s="52"/>
      <c r="U790" s="52"/>
      <c r="V790" s="52"/>
      <c r="W790" s="52"/>
      <c r="X790" s="52"/>
      <c r="Y790" s="52"/>
      <c r="Z790" s="52"/>
      <c r="AA790" s="52"/>
      <c r="AB790" s="52"/>
      <c r="AC790" s="52"/>
      <c r="AD790" s="52"/>
      <c r="AE790" s="52"/>
      <c r="AF790" s="52"/>
      <c r="AG790" s="52"/>
      <c r="AH790" s="52"/>
      <c r="AI790" s="52"/>
      <c r="AJ790" s="52"/>
      <c r="AK790" s="52"/>
      <c r="AL790" s="52"/>
      <c r="AM790" s="52"/>
      <c r="AN790" s="52"/>
    </row>
    <row r="791" spans="1:40" x14ac:dyDescent="0.3">
      <c r="A791" s="52">
        <v>786</v>
      </c>
      <c r="B791" s="52">
        <f>-bthan*500+(35+0.5)*bthan*1000/50</f>
        <v>1155</v>
      </c>
      <c r="C791" s="52">
        <f t="shared" si="129"/>
        <v>-490</v>
      </c>
      <c r="D791" s="52">
        <f t="shared" si="127"/>
        <v>2200</v>
      </c>
      <c r="E791" s="52">
        <f t="shared" si="128"/>
        <v>1</v>
      </c>
      <c r="F791" s="52"/>
      <c r="G791" s="52"/>
      <c r="H791" s="52"/>
      <c r="I791" s="52"/>
      <c r="J791" s="52"/>
      <c r="K791" s="52"/>
      <c r="L791" s="52"/>
      <c r="M791" s="52"/>
      <c r="N791" s="52"/>
      <c r="O791" s="52"/>
      <c r="P791" s="52"/>
      <c r="Q791" s="52"/>
      <c r="R791" s="52"/>
      <c r="S791" s="52"/>
      <c r="T791" s="52"/>
      <c r="U791" s="52"/>
      <c r="V791" s="52"/>
      <c r="W791" s="52"/>
      <c r="X791" s="52"/>
      <c r="Y791" s="52"/>
      <c r="Z791" s="52"/>
      <c r="AA791" s="52"/>
      <c r="AB791" s="52"/>
      <c r="AC791" s="52"/>
      <c r="AD791" s="52"/>
      <c r="AE791" s="52"/>
      <c r="AF791" s="52"/>
      <c r="AG791" s="52"/>
      <c r="AH791" s="52"/>
      <c r="AI791" s="52"/>
      <c r="AJ791" s="52"/>
      <c r="AK791" s="52"/>
      <c r="AL791" s="52"/>
      <c r="AM791" s="52"/>
      <c r="AN791" s="52"/>
    </row>
    <row r="792" spans="1:40" x14ac:dyDescent="0.3">
      <c r="A792" s="52">
        <v>787</v>
      </c>
      <c r="B792" s="52">
        <f>-bthan*500+(36+0.5)*bthan*1000/50</f>
        <v>1265</v>
      </c>
      <c r="C792" s="52">
        <f t="shared" si="129"/>
        <v>-490</v>
      </c>
      <c r="D792" s="52">
        <f t="shared" si="127"/>
        <v>2200</v>
      </c>
      <c r="E792" s="52">
        <f t="shared" si="128"/>
        <v>1</v>
      </c>
      <c r="F792" s="52"/>
      <c r="G792" s="52"/>
      <c r="H792" s="52"/>
      <c r="I792" s="52"/>
      <c r="J792" s="52"/>
      <c r="K792" s="52"/>
      <c r="L792" s="52"/>
      <c r="M792" s="52"/>
      <c r="N792" s="52"/>
      <c r="O792" s="52"/>
      <c r="P792" s="52"/>
      <c r="Q792" s="52"/>
      <c r="R792" s="52"/>
      <c r="S792" s="52"/>
      <c r="T792" s="52"/>
      <c r="U792" s="52"/>
      <c r="V792" s="52"/>
      <c r="W792" s="52"/>
      <c r="X792" s="52"/>
      <c r="Y792" s="52"/>
      <c r="Z792" s="52"/>
      <c r="AA792" s="52"/>
      <c r="AB792" s="52"/>
      <c r="AC792" s="52"/>
      <c r="AD792" s="52"/>
      <c r="AE792" s="52"/>
      <c r="AF792" s="52"/>
      <c r="AG792" s="52"/>
      <c r="AH792" s="52"/>
      <c r="AI792" s="52"/>
      <c r="AJ792" s="52"/>
      <c r="AK792" s="52"/>
      <c r="AL792" s="52"/>
      <c r="AM792" s="52"/>
      <c r="AN792" s="52"/>
    </row>
    <row r="793" spans="1:40" x14ac:dyDescent="0.3">
      <c r="A793" s="52">
        <v>788</v>
      </c>
      <c r="B793" s="52">
        <f>-bthan*500+(37+0.5)*bthan*1000/50</f>
        <v>1375</v>
      </c>
      <c r="C793" s="52">
        <f t="shared" si="129"/>
        <v>-490</v>
      </c>
      <c r="D793" s="52">
        <f t="shared" si="127"/>
        <v>2200</v>
      </c>
      <c r="E793" s="52">
        <f t="shared" si="128"/>
        <v>1</v>
      </c>
      <c r="F793" s="52"/>
      <c r="G793" s="52"/>
      <c r="H793" s="52"/>
      <c r="I793" s="52"/>
      <c r="J793" s="52"/>
      <c r="K793" s="52"/>
      <c r="L793" s="52"/>
      <c r="M793" s="52"/>
      <c r="N793" s="52"/>
      <c r="O793" s="52"/>
      <c r="P793" s="52"/>
      <c r="Q793" s="52"/>
      <c r="R793" s="52"/>
      <c r="S793" s="52"/>
      <c r="T793" s="52"/>
      <c r="U793" s="52"/>
      <c r="V793" s="52"/>
      <c r="W793" s="52"/>
      <c r="X793" s="52"/>
      <c r="Y793" s="52"/>
      <c r="Z793" s="52"/>
      <c r="AA793" s="52"/>
      <c r="AB793" s="52"/>
      <c r="AC793" s="52"/>
      <c r="AD793" s="52"/>
      <c r="AE793" s="52"/>
      <c r="AF793" s="52"/>
      <c r="AG793" s="52"/>
      <c r="AH793" s="52"/>
      <c r="AI793" s="52"/>
      <c r="AJ793" s="52"/>
      <c r="AK793" s="52"/>
      <c r="AL793" s="52"/>
      <c r="AM793" s="52"/>
      <c r="AN793" s="52"/>
    </row>
    <row r="794" spans="1:40" x14ac:dyDescent="0.3">
      <c r="A794" s="52">
        <v>789</v>
      </c>
      <c r="B794" s="52">
        <f>-bthan*500+(38+0.5)*bthan*1000/50</f>
        <v>1485</v>
      </c>
      <c r="C794" s="52">
        <f t="shared" si="129"/>
        <v>-490</v>
      </c>
      <c r="D794" s="52">
        <f t="shared" si="127"/>
        <v>2200</v>
      </c>
      <c r="E794" s="52">
        <f t="shared" si="128"/>
        <v>1</v>
      </c>
      <c r="F794" s="52"/>
      <c r="G794" s="52"/>
      <c r="H794" s="52"/>
      <c r="I794" s="52"/>
      <c r="J794" s="52"/>
      <c r="K794" s="52"/>
      <c r="L794" s="52"/>
      <c r="M794" s="52"/>
      <c r="N794" s="52"/>
      <c r="O794" s="52"/>
      <c r="P794" s="52"/>
      <c r="Q794" s="52"/>
      <c r="R794" s="52"/>
      <c r="S794" s="52"/>
      <c r="T794" s="52"/>
      <c r="U794" s="52"/>
      <c r="V794" s="52"/>
      <c r="W794" s="52"/>
      <c r="X794" s="52"/>
      <c r="Y794" s="52"/>
      <c r="Z794" s="52"/>
      <c r="AA794" s="52"/>
      <c r="AB794" s="52"/>
      <c r="AC794" s="52"/>
      <c r="AD794" s="52"/>
      <c r="AE794" s="52"/>
      <c r="AF794" s="52"/>
      <c r="AG794" s="52"/>
      <c r="AH794" s="52"/>
      <c r="AI794" s="52"/>
      <c r="AJ794" s="52"/>
      <c r="AK794" s="52"/>
      <c r="AL794" s="52"/>
      <c r="AM794" s="52"/>
      <c r="AN794" s="52"/>
    </row>
    <row r="795" spans="1:40" x14ac:dyDescent="0.3">
      <c r="A795" s="52">
        <v>790</v>
      </c>
      <c r="B795" s="52">
        <f>-bthan*500+(39+0.5)*bthan*1000/50</f>
        <v>1595</v>
      </c>
      <c r="C795" s="52">
        <f t="shared" si="129"/>
        <v>-490</v>
      </c>
      <c r="D795" s="52">
        <f t="shared" si="127"/>
        <v>2200</v>
      </c>
      <c r="E795" s="52">
        <f t="shared" si="128"/>
        <v>1</v>
      </c>
      <c r="F795" s="52"/>
      <c r="G795" s="52"/>
      <c r="H795" s="52"/>
      <c r="I795" s="52"/>
      <c r="J795" s="52"/>
      <c r="K795" s="52"/>
      <c r="L795" s="52"/>
      <c r="M795" s="52"/>
      <c r="N795" s="52"/>
      <c r="O795" s="52"/>
      <c r="P795" s="52"/>
      <c r="Q795" s="52"/>
      <c r="R795" s="52"/>
      <c r="S795" s="52"/>
      <c r="T795" s="52"/>
      <c r="U795" s="52"/>
      <c r="V795" s="52"/>
      <c r="W795" s="52"/>
      <c r="X795" s="52"/>
      <c r="Y795" s="52"/>
      <c r="Z795" s="52"/>
      <c r="AA795" s="52"/>
      <c r="AB795" s="52"/>
      <c r="AC795" s="52"/>
      <c r="AD795" s="52"/>
      <c r="AE795" s="52"/>
      <c r="AF795" s="52"/>
      <c r="AG795" s="52"/>
      <c r="AH795" s="52"/>
      <c r="AI795" s="52"/>
      <c r="AJ795" s="52"/>
      <c r="AK795" s="52"/>
      <c r="AL795" s="52"/>
      <c r="AM795" s="52"/>
      <c r="AN795" s="52"/>
    </row>
    <row r="796" spans="1:40" x14ac:dyDescent="0.3">
      <c r="A796" s="52">
        <v>791</v>
      </c>
      <c r="B796" s="52">
        <f>-bthan*500+(40+0.5)*bthan*1000/50</f>
        <v>1705</v>
      </c>
      <c r="C796" s="52">
        <f t="shared" si="129"/>
        <v>-490</v>
      </c>
      <c r="D796" s="52">
        <f t="shared" si="127"/>
        <v>2200</v>
      </c>
      <c r="E796" s="52">
        <f t="shared" si="128"/>
        <v>1</v>
      </c>
      <c r="F796" s="52"/>
      <c r="G796" s="52"/>
      <c r="H796" s="52"/>
      <c r="I796" s="52"/>
      <c r="J796" s="52"/>
      <c r="K796" s="52"/>
      <c r="L796" s="52"/>
      <c r="M796" s="52"/>
      <c r="N796" s="52"/>
      <c r="O796" s="52"/>
      <c r="P796" s="52"/>
      <c r="Q796" s="52"/>
      <c r="R796" s="52"/>
      <c r="S796" s="52"/>
      <c r="T796" s="52"/>
      <c r="U796" s="52"/>
      <c r="V796" s="52"/>
      <c r="W796" s="52"/>
      <c r="X796" s="52"/>
      <c r="Y796" s="52"/>
      <c r="Z796" s="52"/>
      <c r="AA796" s="52"/>
      <c r="AB796" s="52"/>
      <c r="AC796" s="52"/>
      <c r="AD796" s="52"/>
      <c r="AE796" s="52"/>
      <c r="AF796" s="52"/>
      <c r="AG796" s="52"/>
      <c r="AH796" s="52"/>
      <c r="AI796" s="52"/>
      <c r="AJ796" s="52"/>
      <c r="AK796" s="52"/>
      <c r="AL796" s="52"/>
      <c r="AM796" s="52"/>
      <c r="AN796" s="52"/>
    </row>
    <row r="797" spans="1:40" x14ac:dyDescent="0.3">
      <c r="A797" s="52">
        <v>792</v>
      </c>
      <c r="B797" s="52">
        <f>-bthan*500+(41+0.5)*bthan*1000/50</f>
        <v>1815</v>
      </c>
      <c r="C797" s="52">
        <f t="shared" si="129"/>
        <v>-490</v>
      </c>
      <c r="D797" s="52">
        <f t="shared" si="127"/>
        <v>2200</v>
      </c>
      <c r="E797" s="52">
        <f t="shared" si="128"/>
        <v>1</v>
      </c>
      <c r="F797" s="52"/>
      <c r="G797" s="52"/>
      <c r="H797" s="52"/>
      <c r="I797" s="52"/>
      <c r="J797" s="52"/>
      <c r="K797" s="52"/>
      <c r="L797" s="52"/>
      <c r="M797" s="52"/>
      <c r="N797" s="52"/>
      <c r="O797" s="52"/>
      <c r="P797" s="52"/>
      <c r="Q797" s="52"/>
      <c r="R797" s="52"/>
      <c r="S797" s="52"/>
      <c r="T797" s="52"/>
      <c r="U797" s="52"/>
      <c r="V797" s="52"/>
      <c r="W797" s="52"/>
      <c r="X797" s="52"/>
      <c r="Y797" s="52"/>
      <c r="Z797" s="52"/>
      <c r="AA797" s="52"/>
      <c r="AB797" s="52"/>
      <c r="AC797" s="52"/>
      <c r="AD797" s="52"/>
      <c r="AE797" s="52"/>
      <c r="AF797" s="52"/>
      <c r="AG797" s="52"/>
      <c r="AH797" s="52"/>
      <c r="AI797" s="52"/>
      <c r="AJ797" s="52"/>
      <c r="AK797" s="52"/>
      <c r="AL797" s="52"/>
      <c r="AM797" s="52"/>
      <c r="AN797" s="52"/>
    </row>
    <row r="798" spans="1:40" x14ac:dyDescent="0.3">
      <c r="A798" s="52">
        <v>793</v>
      </c>
      <c r="B798" s="52">
        <f>-bthan*500+(42+0.5)*bthan*1000/50</f>
        <v>1925</v>
      </c>
      <c r="C798" s="52">
        <f t="shared" si="129"/>
        <v>-490</v>
      </c>
      <c r="D798" s="52">
        <f t="shared" si="127"/>
        <v>2200</v>
      </c>
      <c r="E798" s="52">
        <f t="shared" si="128"/>
        <v>1</v>
      </c>
      <c r="F798" s="52"/>
      <c r="G798" s="52"/>
      <c r="H798" s="52"/>
      <c r="I798" s="52"/>
      <c r="J798" s="52"/>
      <c r="K798" s="52"/>
      <c r="L798" s="52"/>
      <c r="M798" s="52"/>
      <c r="N798" s="52"/>
      <c r="O798" s="52"/>
      <c r="P798" s="52"/>
      <c r="Q798" s="52"/>
      <c r="R798" s="52"/>
      <c r="S798" s="52"/>
      <c r="T798" s="52"/>
      <c r="U798" s="52"/>
      <c r="V798" s="52"/>
      <c r="W798" s="52"/>
      <c r="X798" s="52"/>
      <c r="Y798" s="52"/>
      <c r="Z798" s="52"/>
      <c r="AA798" s="52"/>
      <c r="AB798" s="52"/>
      <c r="AC798" s="52"/>
      <c r="AD798" s="52"/>
      <c r="AE798" s="52"/>
      <c r="AF798" s="52"/>
      <c r="AG798" s="52"/>
      <c r="AH798" s="52"/>
      <c r="AI798" s="52"/>
      <c r="AJ798" s="52"/>
      <c r="AK798" s="52"/>
      <c r="AL798" s="52"/>
      <c r="AM798" s="52"/>
      <c r="AN798" s="52"/>
    </row>
    <row r="799" spans="1:40" x14ac:dyDescent="0.3">
      <c r="A799" s="52">
        <v>794</v>
      </c>
      <c r="B799" s="52">
        <f>-bthan*500+(43+0.5)*bthan*1000/50</f>
        <v>2035</v>
      </c>
      <c r="C799" s="52">
        <f t="shared" si="129"/>
        <v>-490</v>
      </c>
      <c r="D799" s="52">
        <f t="shared" si="127"/>
        <v>2200</v>
      </c>
      <c r="E799" s="52">
        <f t="shared" si="128"/>
        <v>1</v>
      </c>
      <c r="F799" s="52"/>
      <c r="G799" s="52"/>
      <c r="H799" s="52"/>
      <c r="I799" s="52"/>
      <c r="J799" s="52"/>
      <c r="K799" s="52"/>
      <c r="L799" s="52"/>
      <c r="M799" s="52"/>
      <c r="N799" s="52"/>
      <c r="O799" s="52"/>
      <c r="P799" s="52"/>
      <c r="Q799" s="52"/>
      <c r="R799" s="52"/>
      <c r="S799" s="52"/>
      <c r="T799" s="52"/>
      <c r="U799" s="52"/>
      <c r="V799" s="52"/>
      <c r="W799" s="52"/>
      <c r="X799" s="52"/>
      <c r="Y799" s="52"/>
      <c r="Z799" s="52"/>
      <c r="AA799" s="52"/>
      <c r="AB799" s="52"/>
      <c r="AC799" s="52"/>
      <c r="AD799" s="52"/>
      <c r="AE799" s="52"/>
      <c r="AF799" s="52"/>
      <c r="AG799" s="52"/>
      <c r="AH799" s="52"/>
      <c r="AI799" s="52"/>
      <c r="AJ799" s="52"/>
      <c r="AK799" s="52"/>
      <c r="AL799" s="52"/>
      <c r="AM799" s="52"/>
      <c r="AN799" s="52"/>
    </row>
    <row r="800" spans="1:40" x14ac:dyDescent="0.3">
      <c r="A800" s="52">
        <v>795</v>
      </c>
      <c r="B800" s="52">
        <f>-bthan*500+(44+0.5)*bthan*1000/50</f>
        <v>2145</v>
      </c>
      <c r="C800" s="52">
        <f t="shared" si="129"/>
        <v>-490</v>
      </c>
      <c r="D800" s="52">
        <f t="shared" si="127"/>
        <v>2200</v>
      </c>
      <c r="E800" s="52">
        <f t="shared" si="128"/>
        <v>1</v>
      </c>
      <c r="F800" s="52"/>
      <c r="G800" s="52"/>
      <c r="H800" s="52"/>
      <c r="I800" s="52"/>
      <c r="J800" s="52"/>
      <c r="K800" s="52"/>
      <c r="L800" s="52"/>
      <c r="M800" s="52"/>
      <c r="N800" s="52"/>
      <c r="O800" s="52"/>
      <c r="P800" s="52"/>
      <c r="Q800" s="52"/>
      <c r="R800" s="52"/>
      <c r="S800" s="52"/>
      <c r="T800" s="52"/>
      <c r="U800" s="52"/>
      <c r="V800" s="52"/>
      <c r="W800" s="52"/>
      <c r="X800" s="52"/>
      <c r="Y800" s="52"/>
      <c r="Z800" s="52"/>
      <c r="AA800" s="52"/>
      <c r="AB800" s="52"/>
      <c r="AC800" s="52"/>
      <c r="AD800" s="52"/>
      <c r="AE800" s="52"/>
      <c r="AF800" s="52"/>
      <c r="AG800" s="52"/>
      <c r="AH800" s="52"/>
      <c r="AI800" s="52"/>
      <c r="AJ800" s="52"/>
      <c r="AK800" s="52"/>
      <c r="AL800" s="52"/>
      <c r="AM800" s="52"/>
      <c r="AN800" s="52"/>
    </row>
    <row r="801" spans="1:40" x14ac:dyDescent="0.3">
      <c r="A801" s="52">
        <v>796</v>
      </c>
      <c r="B801" s="52">
        <f>-bthan*500+(45+0.5)*bthan*1000/50</f>
        <v>2255</v>
      </c>
      <c r="C801" s="52">
        <f t="shared" si="129"/>
        <v>-490</v>
      </c>
      <c r="D801" s="52">
        <f t="shared" si="127"/>
        <v>2200</v>
      </c>
      <c r="E801" s="52">
        <f t="shared" si="128"/>
        <v>1</v>
      </c>
      <c r="F801" s="52"/>
      <c r="G801" s="52"/>
      <c r="H801" s="52"/>
      <c r="I801" s="52"/>
      <c r="J801" s="52"/>
      <c r="K801" s="52"/>
      <c r="L801" s="52"/>
      <c r="M801" s="52"/>
      <c r="N801" s="52"/>
      <c r="O801" s="52"/>
      <c r="P801" s="52"/>
      <c r="Q801" s="52"/>
      <c r="R801" s="52"/>
      <c r="S801" s="52"/>
      <c r="T801" s="52"/>
      <c r="U801" s="52"/>
      <c r="V801" s="52"/>
      <c r="W801" s="52"/>
      <c r="X801" s="52"/>
      <c r="Y801" s="52"/>
      <c r="Z801" s="52"/>
      <c r="AA801" s="52"/>
      <c r="AB801" s="52"/>
      <c r="AC801" s="52"/>
      <c r="AD801" s="52"/>
      <c r="AE801" s="52"/>
      <c r="AF801" s="52"/>
      <c r="AG801" s="52"/>
      <c r="AH801" s="52"/>
      <c r="AI801" s="52"/>
      <c r="AJ801" s="52"/>
      <c r="AK801" s="52"/>
      <c r="AL801" s="52"/>
      <c r="AM801" s="52"/>
      <c r="AN801" s="52"/>
    </row>
    <row r="802" spans="1:40" x14ac:dyDescent="0.3">
      <c r="A802" s="52">
        <v>797</v>
      </c>
      <c r="B802" s="52">
        <f>-bthan*500+(46+0.5)*bthan*1000/50</f>
        <v>2365</v>
      </c>
      <c r="C802" s="52">
        <f t="shared" si="129"/>
        <v>-490</v>
      </c>
      <c r="D802" s="52">
        <f t="shared" si="127"/>
        <v>2200</v>
      </c>
      <c r="E802" s="52">
        <f t="shared" si="128"/>
        <v>1</v>
      </c>
      <c r="F802" s="52"/>
      <c r="G802" s="52"/>
      <c r="H802" s="52"/>
      <c r="I802" s="52"/>
      <c r="J802" s="52"/>
      <c r="K802" s="52"/>
      <c r="L802" s="52"/>
      <c r="M802" s="52"/>
      <c r="N802" s="52"/>
      <c r="O802" s="52"/>
      <c r="P802" s="52"/>
      <c r="Q802" s="52"/>
      <c r="R802" s="52"/>
      <c r="S802" s="52"/>
      <c r="T802" s="52"/>
      <c r="U802" s="52"/>
      <c r="V802" s="52"/>
      <c r="W802" s="52"/>
      <c r="X802" s="52"/>
      <c r="Y802" s="52"/>
      <c r="Z802" s="52"/>
      <c r="AA802" s="52"/>
      <c r="AB802" s="52"/>
      <c r="AC802" s="52"/>
      <c r="AD802" s="52"/>
      <c r="AE802" s="52"/>
      <c r="AF802" s="52"/>
      <c r="AG802" s="52"/>
      <c r="AH802" s="52"/>
      <c r="AI802" s="52"/>
      <c r="AJ802" s="52"/>
      <c r="AK802" s="52"/>
      <c r="AL802" s="52"/>
      <c r="AM802" s="52"/>
      <c r="AN802" s="52"/>
    </row>
    <row r="803" spans="1:40" x14ac:dyDescent="0.3">
      <c r="A803" s="52">
        <v>798</v>
      </c>
      <c r="B803" s="52">
        <f>-bthan*500+(47+0.5)*bthan*1000/50</f>
        <v>2475</v>
      </c>
      <c r="C803" s="52">
        <f t="shared" si="129"/>
        <v>-490</v>
      </c>
      <c r="D803" s="52">
        <f t="shared" si="127"/>
        <v>2200</v>
      </c>
      <c r="E803" s="52">
        <f t="shared" si="128"/>
        <v>1</v>
      </c>
      <c r="F803" s="52"/>
      <c r="G803" s="52"/>
      <c r="H803" s="52"/>
      <c r="I803" s="52"/>
      <c r="J803" s="52"/>
      <c r="K803" s="52"/>
      <c r="L803" s="52"/>
      <c r="M803" s="52"/>
      <c r="N803" s="52"/>
      <c r="O803" s="52"/>
      <c r="P803" s="52"/>
      <c r="Q803" s="52"/>
      <c r="R803" s="52"/>
      <c r="S803" s="52"/>
      <c r="T803" s="52"/>
      <c r="U803" s="52"/>
      <c r="V803" s="52"/>
      <c r="W803" s="52"/>
      <c r="X803" s="52"/>
      <c r="Y803" s="52"/>
      <c r="Z803" s="52"/>
      <c r="AA803" s="52"/>
      <c r="AB803" s="52"/>
      <c r="AC803" s="52"/>
      <c r="AD803" s="52"/>
      <c r="AE803" s="52"/>
      <c r="AF803" s="52"/>
      <c r="AG803" s="52"/>
      <c r="AH803" s="52"/>
      <c r="AI803" s="52"/>
      <c r="AJ803" s="52"/>
      <c r="AK803" s="52"/>
      <c r="AL803" s="52"/>
      <c r="AM803" s="52"/>
      <c r="AN803" s="52"/>
    </row>
    <row r="804" spans="1:40" x14ac:dyDescent="0.3">
      <c r="A804" s="52">
        <v>799</v>
      </c>
      <c r="B804" s="52">
        <f>-bthan*500+(48+0.5)*bthan*1000/50</f>
        <v>2585</v>
      </c>
      <c r="C804" s="52">
        <f t="shared" si="129"/>
        <v>-490</v>
      </c>
      <c r="D804" s="52">
        <f t="shared" si="127"/>
        <v>2200</v>
      </c>
      <c r="E804" s="52">
        <f t="shared" si="128"/>
        <v>0</v>
      </c>
      <c r="F804" s="52"/>
      <c r="G804" s="52"/>
      <c r="H804" s="52"/>
      <c r="I804" s="52"/>
      <c r="J804" s="52"/>
      <c r="K804" s="52"/>
      <c r="L804" s="52"/>
      <c r="M804" s="52"/>
      <c r="N804" s="52"/>
      <c r="O804" s="52"/>
      <c r="P804" s="52"/>
      <c r="Q804" s="52"/>
      <c r="R804" s="52"/>
      <c r="S804" s="52"/>
      <c r="T804" s="52"/>
      <c r="U804" s="52"/>
      <c r="V804" s="52"/>
      <c r="W804" s="52"/>
      <c r="X804" s="52"/>
      <c r="Y804" s="52"/>
      <c r="Z804" s="52"/>
      <c r="AA804" s="52"/>
      <c r="AB804" s="52"/>
      <c r="AC804" s="52"/>
      <c r="AD804" s="52"/>
      <c r="AE804" s="52"/>
      <c r="AF804" s="52"/>
      <c r="AG804" s="52"/>
      <c r="AH804" s="52"/>
      <c r="AI804" s="52"/>
      <c r="AJ804" s="52"/>
      <c r="AK804" s="52"/>
      <c r="AL804" s="52"/>
      <c r="AM804" s="52"/>
      <c r="AN804" s="52"/>
    </row>
    <row r="805" spans="1:40" x14ac:dyDescent="0.3">
      <c r="A805" s="52">
        <v>800</v>
      </c>
      <c r="B805" s="52">
        <f>-bthan*500+(49+0.5)*bthan*1000/50</f>
        <v>2695</v>
      </c>
      <c r="C805" s="52">
        <f t="shared" si="129"/>
        <v>-490</v>
      </c>
      <c r="D805" s="52">
        <f t="shared" si="127"/>
        <v>2200</v>
      </c>
      <c r="E805" s="52">
        <f t="shared" si="128"/>
        <v>0</v>
      </c>
      <c r="F805" s="52"/>
      <c r="G805" s="52"/>
      <c r="H805" s="52"/>
      <c r="I805" s="52"/>
      <c r="J805" s="52"/>
      <c r="K805" s="52"/>
      <c r="L805" s="52"/>
      <c r="M805" s="52"/>
      <c r="N805" s="52"/>
      <c r="O805" s="52"/>
      <c r="P805" s="52"/>
      <c r="Q805" s="52"/>
      <c r="R805" s="52"/>
      <c r="S805" s="52"/>
      <c r="T805" s="52"/>
      <c r="U805" s="52"/>
      <c r="V805" s="52"/>
      <c r="W805" s="52"/>
      <c r="X805" s="52"/>
      <c r="Y805" s="52"/>
      <c r="Z805" s="52"/>
      <c r="AA805" s="52"/>
      <c r="AB805" s="52"/>
      <c r="AC805" s="52"/>
      <c r="AD805" s="52"/>
      <c r="AE805" s="52"/>
      <c r="AF805" s="52"/>
      <c r="AG805" s="52"/>
      <c r="AH805" s="52"/>
      <c r="AI805" s="52"/>
      <c r="AJ805" s="52"/>
      <c r="AK805" s="52"/>
      <c r="AL805" s="52"/>
      <c r="AM805" s="52"/>
      <c r="AN805" s="52"/>
    </row>
    <row r="806" spans="1:40" x14ac:dyDescent="0.3">
      <c r="A806" s="52">
        <v>801</v>
      </c>
      <c r="B806" s="52">
        <f>-bthan*500+(0+0.5)*bthan*1000/50</f>
        <v>-2695</v>
      </c>
      <c r="C806" s="52">
        <f t="shared" ref="C806:C837" si="130">-hthan*500+(16+0.5)*hthan*1000/80</f>
        <v>-469.99999999999994</v>
      </c>
      <c r="D806" s="52">
        <f t="shared" si="127"/>
        <v>2200</v>
      </c>
      <c r="E806" s="52">
        <f t="shared" si="128"/>
        <v>0</v>
      </c>
      <c r="F806" s="52"/>
      <c r="G806" s="52"/>
      <c r="H806" s="52"/>
      <c r="I806" s="52"/>
      <c r="J806" s="52"/>
      <c r="K806" s="52"/>
      <c r="L806" s="52"/>
      <c r="M806" s="52"/>
      <c r="N806" s="52"/>
      <c r="O806" s="52"/>
      <c r="P806" s="52"/>
      <c r="Q806" s="52"/>
      <c r="R806" s="52"/>
      <c r="S806" s="52"/>
      <c r="T806" s="52"/>
      <c r="U806" s="52"/>
      <c r="V806" s="52"/>
      <c r="W806" s="52"/>
      <c r="X806" s="52"/>
      <c r="Y806" s="52"/>
      <c r="Z806" s="52"/>
      <c r="AA806" s="52"/>
      <c r="AB806" s="52"/>
      <c r="AC806" s="52"/>
      <c r="AD806" s="52"/>
      <c r="AE806" s="52"/>
      <c r="AF806" s="52"/>
      <c r="AG806" s="52"/>
      <c r="AH806" s="52"/>
      <c r="AI806" s="52"/>
      <c r="AJ806" s="52"/>
      <c r="AK806" s="52"/>
      <c r="AL806" s="52"/>
      <c r="AM806" s="52"/>
      <c r="AN806" s="52"/>
    </row>
    <row r="807" spans="1:40" x14ac:dyDescent="0.3">
      <c r="A807" s="52">
        <v>802</v>
      </c>
      <c r="B807" s="52">
        <f>-bthan*500+(1+0.5)*bthan*1000/50</f>
        <v>-2585</v>
      </c>
      <c r="C807" s="52">
        <f t="shared" si="130"/>
        <v>-469.99999999999994</v>
      </c>
      <c r="D807" s="52">
        <f t="shared" si="127"/>
        <v>2200</v>
      </c>
      <c r="E807" s="52">
        <f t="shared" si="128"/>
        <v>1</v>
      </c>
      <c r="F807" s="52"/>
      <c r="G807" s="52"/>
      <c r="H807" s="52"/>
      <c r="I807" s="52"/>
      <c r="J807" s="52"/>
      <c r="K807" s="52"/>
      <c r="L807" s="52"/>
      <c r="M807" s="52"/>
      <c r="N807" s="52"/>
      <c r="O807" s="52"/>
      <c r="P807" s="52"/>
      <c r="Q807" s="52"/>
      <c r="R807" s="52"/>
      <c r="S807" s="52"/>
      <c r="T807" s="52"/>
      <c r="U807" s="52"/>
      <c r="V807" s="52"/>
      <c r="W807" s="52"/>
      <c r="X807" s="52"/>
      <c r="Y807" s="52"/>
      <c r="Z807" s="52"/>
      <c r="AA807" s="52"/>
      <c r="AB807" s="52"/>
      <c r="AC807" s="52"/>
      <c r="AD807" s="52"/>
      <c r="AE807" s="52"/>
      <c r="AF807" s="52"/>
      <c r="AG807" s="52"/>
      <c r="AH807" s="52"/>
      <c r="AI807" s="52"/>
      <c r="AJ807" s="52"/>
      <c r="AK807" s="52"/>
      <c r="AL807" s="52"/>
      <c r="AM807" s="52"/>
      <c r="AN807" s="52"/>
    </row>
    <row r="808" spans="1:40" x14ac:dyDescent="0.3">
      <c r="A808" s="52">
        <v>803</v>
      </c>
      <c r="B808" s="52">
        <f>-bthan*500+(2+0.5)*bthan*1000/50</f>
        <v>-2475</v>
      </c>
      <c r="C808" s="52">
        <f t="shared" si="130"/>
        <v>-469.99999999999994</v>
      </c>
      <c r="D808" s="52">
        <f t="shared" si="127"/>
        <v>2200</v>
      </c>
      <c r="E808" s="52">
        <f t="shared" si="128"/>
        <v>1</v>
      </c>
      <c r="F808" s="52"/>
      <c r="G808" s="52"/>
      <c r="H808" s="52"/>
      <c r="I808" s="52"/>
      <c r="J808" s="52"/>
      <c r="K808" s="52"/>
      <c r="L808" s="52"/>
      <c r="M808" s="52"/>
      <c r="N808" s="52"/>
      <c r="O808" s="52"/>
      <c r="P808" s="52"/>
      <c r="Q808" s="52"/>
      <c r="R808" s="52"/>
      <c r="S808" s="52"/>
      <c r="T808" s="52"/>
      <c r="U808" s="52"/>
      <c r="V808" s="52"/>
      <c r="W808" s="52"/>
      <c r="X808" s="52"/>
      <c r="Y808" s="52"/>
      <c r="Z808" s="52"/>
      <c r="AA808" s="52"/>
      <c r="AB808" s="52"/>
      <c r="AC808" s="52"/>
      <c r="AD808" s="52"/>
      <c r="AE808" s="52"/>
      <c r="AF808" s="52"/>
      <c r="AG808" s="52"/>
      <c r="AH808" s="52"/>
      <c r="AI808" s="52"/>
      <c r="AJ808" s="52"/>
      <c r="AK808" s="52"/>
      <c r="AL808" s="52"/>
      <c r="AM808" s="52"/>
      <c r="AN808" s="52"/>
    </row>
    <row r="809" spans="1:40" x14ac:dyDescent="0.3">
      <c r="A809" s="52">
        <v>804</v>
      </c>
      <c r="B809" s="52">
        <f>-bthan*500+(3+0.5)*bthan*1000/50</f>
        <v>-2365</v>
      </c>
      <c r="C809" s="52">
        <f t="shared" si="130"/>
        <v>-469.99999999999994</v>
      </c>
      <c r="D809" s="52">
        <f t="shared" si="127"/>
        <v>2200</v>
      </c>
      <c r="E809" s="52">
        <f t="shared" si="128"/>
        <v>1</v>
      </c>
      <c r="F809" s="52"/>
      <c r="G809" s="52"/>
      <c r="H809" s="52"/>
      <c r="I809" s="52"/>
      <c r="J809" s="52"/>
      <c r="K809" s="52"/>
      <c r="L809" s="52"/>
      <c r="M809" s="52"/>
      <c r="N809" s="52"/>
      <c r="O809" s="52"/>
      <c r="P809" s="52"/>
      <c r="Q809" s="52"/>
      <c r="R809" s="52"/>
      <c r="S809" s="52"/>
      <c r="T809" s="52"/>
      <c r="U809" s="52"/>
      <c r="V809" s="52"/>
      <c r="W809" s="52"/>
      <c r="X809" s="52"/>
      <c r="Y809" s="52"/>
      <c r="Z809" s="52"/>
      <c r="AA809" s="52"/>
      <c r="AB809" s="52"/>
      <c r="AC809" s="52"/>
      <c r="AD809" s="52"/>
      <c r="AE809" s="52"/>
      <c r="AF809" s="52"/>
      <c r="AG809" s="52"/>
      <c r="AH809" s="52"/>
      <c r="AI809" s="52"/>
      <c r="AJ809" s="52"/>
      <c r="AK809" s="52"/>
      <c r="AL809" s="52"/>
      <c r="AM809" s="52"/>
      <c r="AN809" s="52"/>
    </row>
    <row r="810" spans="1:40" x14ac:dyDescent="0.3">
      <c r="A810" s="52">
        <v>805</v>
      </c>
      <c r="B810" s="52">
        <f>-bthan*500+(4+0.5)*bthan*1000/50</f>
        <v>-2255</v>
      </c>
      <c r="C810" s="52">
        <f t="shared" si="130"/>
        <v>-469.99999999999994</v>
      </c>
      <c r="D810" s="52">
        <f t="shared" si="127"/>
        <v>2200</v>
      </c>
      <c r="E810" s="52">
        <f t="shared" si="128"/>
        <v>1</v>
      </c>
      <c r="F810" s="52"/>
      <c r="G810" s="52"/>
      <c r="H810" s="52"/>
      <c r="I810" s="52"/>
      <c r="J810" s="52"/>
      <c r="K810" s="52"/>
      <c r="L810" s="52"/>
      <c r="M810" s="52"/>
      <c r="N810" s="52"/>
      <c r="O810" s="52"/>
      <c r="P810" s="52"/>
      <c r="Q810" s="52"/>
      <c r="R810" s="52"/>
      <c r="S810" s="52"/>
      <c r="T810" s="52"/>
      <c r="U810" s="52"/>
      <c r="V810" s="52"/>
      <c r="W810" s="52"/>
      <c r="X810" s="52"/>
      <c r="Y810" s="52"/>
      <c r="Z810" s="52"/>
      <c r="AA810" s="52"/>
      <c r="AB810" s="52"/>
      <c r="AC810" s="52"/>
      <c r="AD810" s="52"/>
      <c r="AE810" s="52"/>
      <c r="AF810" s="52"/>
      <c r="AG810" s="52"/>
      <c r="AH810" s="52"/>
      <c r="AI810" s="52"/>
      <c r="AJ810" s="52"/>
      <c r="AK810" s="52"/>
      <c r="AL810" s="52"/>
      <c r="AM810" s="52"/>
      <c r="AN810" s="52"/>
    </row>
    <row r="811" spans="1:40" x14ac:dyDescent="0.3">
      <c r="A811" s="52">
        <v>806</v>
      </c>
      <c r="B811" s="52">
        <f>-bthan*500+(5+0.5)*bthan*1000/50</f>
        <v>-2145</v>
      </c>
      <c r="C811" s="52">
        <f t="shared" si="130"/>
        <v>-469.99999999999994</v>
      </c>
      <c r="D811" s="52">
        <f t="shared" si="127"/>
        <v>2200</v>
      </c>
      <c r="E811" s="52">
        <f t="shared" si="128"/>
        <v>1</v>
      </c>
      <c r="F811" s="52"/>
      <c r="G811" s="52"/>
      <c r="H811" s="52"/>
      <c r="I811" s="52"/>
      <c r="J811" s="52"/>
      <c r="K811" s="52"/>
      <c r="L811" s="52"/>
      <c r="M811" s="52"/>
      <c r="N811" s="52"/>
      <c r="O811" s="52"/>
      <c r="P811" s="52"/>
      <c r="Q811" s="52"/>
      <c r="R811" s="52"/>
      <c r="S811" s="52"/>
      <c r="T811" s="52"/>
      <c r="U811" s="52"/>
      <c r="V811" s="52"/>
      <c r="W811" s="52"/>
      <c r="X811" s="52"/>
      <c r="Y811" s="52"/>
      <c r="Z811" s="52"/>
      <c r="AA811" s="52"/>
      <c r="AB811" s="52"/>
      <c r="AC811" s="52"/>
      <c r="AD811" s="52"/>
      <c r="AE811" s="52"/>
      <c r="AF811" s="52"/>
      <c r="AG811" s="52"/>
      <c r="AH811" s="52"/>
      <c r="AI811" s="52"/>
      <c r="AJ811" s="52"/>
      <c r="AK811" s="52"/>
      <c r="AL811" s="52"/>
      <c r="AM811" s="52"/>
      <c r="AN811" s="52"/>
    </row>
    <row r="812" spans="1:40" x14ac:dyDescent="0.3">
      <c r="A812" s="52">
        <v>807</v>
      </c>
      <c r="B812" s="52">
        <f>-bthan*500+(6+0.5)*bthan*1000/50</f>
        <v>-2035</v>
      </c>
      <c r="C812" s="52">
        <f t="shared" si="130"/>
        <v>-469.99999999999994</v>
      </c>
      <c r="D812" s="52">
        <f t="shared" si="127"/>
        <v>2200</v>
      </c>
      <c r="E812" s="52">
        <f t="shared" si="128"/>
        <v>1</v>
      </c>
      <c r="F812" s="52"/>
      <c r="G812" s="52"/>
      <c r="H812" s="52"/>
      <c r="I812" s="52"/>
      <c r="J812" s="52"/>
      <c r="K812" s="52"/>
      <c r="L812" s="52"/>
      <c r="M812" s="52"/>
      <c r="N812" s="52"/>
      <c r="O812" s="52"/>
      <c r="P812" s="52"/>
      <c r="Q812" s="52"/>
      <c r="R812" s="52"/>
      <c r="S812" s="52"/>
      <c r="T812" s="52"/>
      <c r="U812" s="52"/>
      <c r="V812" s="52"/>
      <c r="W812" s="52"/>
      <c r="X812" s="52"/>
      <c r="Y812" s="52"/>
      <c r="Z812" s="52"/>
      <c r="AA812" s="52"/>
      <c r="AB812" s="52"/>
      <c r="AC812" s="52"/>
      <c r="AD812" s="52"/>
      <c r="AE812" s="52"/>
      <c r="AF812" s="52"/>
      <c r="AG812" s="52"/>
      <c r="AH812" s="52"/>
      <c r="AI812" s="52"/>
      <c r="AJ812" s="52"/>
      <c r="AK812" s="52"/>
      <c r="AL812" s="52"/>
      <c r="AM812" s="52"/>
      <c r="AN812" s="52"/>
    </row>
    <row r="813" spans="1:40" x14ac:dyDescent="0.3">
      <c r="A813" s="52">
        <v>808</v>
      </c>
      <c r="B813" s="52">
        <f>-bthan*500+(7+0.5)*bthan*1000/50</f>
        <v>-1925</v>
      </c>
      <c r="C813" s="52">
        <f t="shared" si="130"/>
        <v>-469.99999999999994</v>
      </c>
      <c r="D813" s="52">
        <f t="shared" si="127"/>
        <v>2200</v>
      </c>
      <c r="E813" s="52">
        <f t="shared" si="128"/>
        <v>1</v>
      </c>
      <c r="F813" s="52"/>
      <c r="G813" s="52"/>
      <c r="H813" s="52"/>
      <c r="I813" s="52"/>
      <c r="J813" s="52"/>
      <c r="K813" s="52"/>
      <c r="L813" s="52"/>
      <c r="M813" s="52"/>
      <c r="N813" s="52"/>
      <c r="O813" s="52"/>
      <c r="P813" s="52"/>
      <c r="Q813" s="52"/>
      <c r="R813" s="52"/>
      <c r="S813" s="52"/>
      <c r="T813" s="52"/>
      <c r="U813" s="52"/>
      <c r="V813" s="52"/>
      <c r="W813" s="52"/>
      <c r="X813" s="52"/>
      <c r="Y813" s="52"/>
      <c r="Z813" s="52"/>
      <c r="AA813" s="52"/>
      <c r="AB813" s="52"/>
      <c r="AC813" s="52"/>
      <c r="AD813" s="52"/>
      <c r="AE813" s="52"/>
      <c r="AF813" s="52"/>
      <c r="AG813" s="52"/>
      <c r="AH813" s="52"/>
      <c r="AI813" s="52"/>
      <c r="AJ813" s="52"/>
      <c r="AK813" s="52"/>
      <c r="AL813" s="52"/>
      <c r="AM813" s="52"/>
      <c r="AN813" s="52"/>
    </row>
    <row r="814" spans="1:40" x14ac:dyDescent="0.3">
      <c r="A814" s="52">
        <v>809</v>
      </c>
      <c r="B814" s="52">
        <f>-bthan*500+(8+0.5)*bthan*1000/50</f>
        <v>-1815</v>
      </c>
      <c r="C814" s="52">
        <f t="shared" si="130"/>
        <v>-469.99999999999994</v>
      </c>
      <c r="D814" s="52">
        <f t="shared" si="127"/>
        <v>2200</v>
      </c>
      <c r="E814" s="52">
        <f t="shared" si="128"/>
        <v>1</v>
      </c>
      <c r="F814" s="52"/>
      <c r="G814" s="52"/>
      <c r="H814" s="52"/>
      <c r="I814" s="52"/>
      <c r="J814" s="52"/>
      <c r="K814" s="52"/>
      <c r="L814" s="52"/>
      <c r="M814" s="52"/>
      <c r="N814" s="52"/>
      <c r="O814" s="52"/>
      <c r="P814" s="52"/>
      <c r="Q814" s="52"/>
      <c r="R814" s="52"/>
      <c r="S814" s="52"/>
      <c r="T814" s="52"/>
      <c r="U814" s="52"/>
      <c r="V814" s="52"/>
      <c r="W814" s="52"/>
      <c r="X814" s="52"/>
      <c r="Y814" s="52"/>
      <c r="Z814" s="52"/>
      <c r="AA814" s="52"/>
      <c r="AB814" s="52"/>
      <c r="AC814" s="52"/>
      <c r="AD814" s="52"/>
      <c r="AE814" s="52"/>
      <c r="AF814" s="52"/>
      <c r="AG814" s="52"/>
      <c r="AH814" s="52"/>
      <c r="AI814" s="52"/>
      <c r="AJ814" s="52"/>
      <c r="AK814" s="52"/>
      <c r="AL814" s="52"/>
      <c r="AM814" s="52"/>
      <c r="AN814" s="52"/>
    </row>
    <row r="815" spans="1:40" x14ac:dyDescent="0.3">
      <c r="A815" s="52">
        <v>810</v>
      </c>
      <c r="B815" s="52">
        <f>-bthan*500+(9+0.5)*bthan*1000/50</f>
        <v>-1705</v>
      </c>
      <c r="C815" s="52">
        <f t="shared" si="130"/>
        <v>-469.99999999999994</v>
      </c>
      <c r="D815" s="52">
        <f t="shared" si="127"/>
        <v>2200</v>
      </c>
      <c r="E815" s="52">
        <f t="shared" si="128"/>
        <v>1</v>
      </c>
      <c r="F815" s="52"/>
      <c r="G815" s="52"/>
      <c r="H815" s="52"/>
      <c r="I815" s="52"/>
      <c r="J815" s="52"/>
      <c r="K815" s="52"/>
      <c r="L815" s="52"/>
      <c r="M815" s="52"/>
      <c r="N815" s="52"/>
      <c r="O815" s="52"/>
      <c r="P815" s="52"/>
      <c r="Q815" s="52"/>
      <c r="R815" s="52"/>
      <c r="S815" s="52"/>
      <c r="T815" s="52"/>
      <c r="U815" s="52"/>
      <c r="V815" s="52"/>
      <c r="W815" s="52"/>
      <c r="X815" s="52"/>
      <c r="Y815" s="52"/>
      <c r="Z815" s="52"/>
      <c r="AA815" s="52"/>
      <c r="AB815" s="52"/>
      <c r="AC815" s="52"/>
      <c r="AD815" s="52"/>
      <c r="AE815" s="52"/>
      <c r="AF815" s="52"/>
      <c r="AG815" s="52"/>
      <c r="AH815" s="52"/>
      <c r="AI815" s="52"/>
      <c r="AJ815" s="52"/>
      <c r="AK815" s="52"/>
      <c r="AL815" s="52"/>
      <c r="AM815" s="52"/>
      <c r="AN815" s="52"/>
    </row>
    <row r="816" spans="1:40" x14ac:dyDescent="0.3">
      <c r="A816" s="52">
        <v>811</v>
      </c>
      <c r="B816" s="52">
        <f>-bthan*500+(10+0.5)*bthan*1000/50</f>
        <v>-1595</v>
      </c>
      <c r="C816" s="52">
        <f t="shared" si="130"/>
        <v>-469.99999999999994</v>
      </c>
      <c r="D816" s="52">
        <f t="shared" si="127"/>
        <v>2200</v>
      </c>
      <c r="E816" s="52">
        <f t="shared" si="128"/>
        <v>1</v>
      </c>
      <c r="F816" s="52"/>
      <c r="G816" s="52"/>
      <c r="H816" s="52"/>
      <c r="I816" s="52"/>
      <c r="J816" s="52"/>
      <c r="K816" s="52"/>
      <c r="L816" s="52"/>
      <c r="M816" s="52"/>
      <c r="N816" s="52"/>
      <c r="O816" s="52"/>
      <c r="P816" s="52"/>
      <c r="Q816" s="52"/>
      <c r="R816" s="52"/>
      <c r="S816" s="52"/>
      <c r="T816" s="52"/>
      <c r="U816" s="52"/>
      <c r="V816" s="52"/>
      <c r="W816" s="52"/>
      <c r="X816" s="52"/>
      <c r="Y816" s="52"/>
      <c r="Z816" s="52"/>
      <c r="AA816" s="52"/>
      <c r="AB816" s="52"/>
      <c r="AC816" s="52"/>
      <c r="AD816" s="52"/>
      <c r="AE816" s="52"/>
      <c r="AF816" s="52"/>
      <c r="AG816" s="52"/>
      <c r="AH816" s="52"/>
      <c r="AI816" s="52"/>
      <c r="AJ816" s="52"/>
      <c r="AK816" s="52"/>
      <c r="AL816" s="52"/>
      <c r="AM816" s="52"/>
      <c r="AN816" s="52"/>
    </row>
    <row r="817" spans="1:40" x14ac:dyDescent="0.3">
      <c r="A817" s="52">
        <v>812</v>
      </c>
      <c r="B817" s="52">
        <f>-bthan*500+(11+0.5)*bthan*1000/50</f>
        <v>-1485</v>
      </c>
      <c r="C817" s="52">
        <f t="shared" si="130"/>
        <v>-469.99999999999994</v>
      </c>
      <c r="D817" s="52">
        <f t="shared" si="127"/>
        <v>2200</v>
      </c>
      <c r="E817" s="52">
        <f t="shared" si="128"/>
        <v>1</v>
      </c>
      <c r="F817" s="52"/>
      <c r="G817" s="52"/>
      <c r="H817" s="52"/>
      <c r="I817" s="52"/>
      <c r="J817" s="52"/>
      <c r="K817" s="52"/>
      <c r="L817" s="52"/>
      <c r="M817" s="52"/>
      <c r="N817" s="52"/>
      <c r="O817" s="52"/>
      <c r="P817" s="52"/>
      <c r="Q817" s="52"/>
      <c r="R817" s="52"/>
      <c r="S817" s="52"/>
      <c r="T817" s="52"/>
      <c r="U817" s="52"/>
      <c r="V817" s="52"/>
      <c r="W817" s="52"/>
      <c r="X817" s="52"/>
      <c r="Y817" s="52"/>
      <c r="Z817" s="52"/>
      <c r="AA817" s="52"/>
      <c r="AB817" s="52"/>
      <c r="AC817" s="52"/>
      <c r="AD817" s="52"/>
      <c r="AE817" s="52"/>
      <c r="AF817" s="52"/>
      <c r="AG817" s="52"/>
      <c r="AH817" s="52"/>
      <c r="AI817" s="52"/>
      <c r="AJ817" s="52"/>
      <c r="AK817" s="52"/>
      <c r="AL817" s="52"/>
      <c r="AM817" s="52"/>
      <c r="AN817" s="52"/>
    </row>
    <row r="818" spans="1:40" x14ac:dyDescent="0.3">
      <c r="A818" s="52">
        <v>813</v>
      </c>
      <c r="B818" s="52">
        <f>-bthan*500+(12+0.5)*bthan*1000/50</f>
        <v>-1375</v>
      </c>
      <c r="C818" s="52">
        <f t="shared" si="130"/>
        <v>-469.99999999999994</v>
      </c>
      <c r="D818" s="52">
        <f t="shared" si="127"/>
        <v>2200</v>
      </c>
      <c r="E818" s="52">
        <f t="shared" si="128"/>
        <v>1</v>
      </c>
      <c r="F818" s="52"/>
      <c r="G818" s="52"/>
      <c r="H818" s="52"/>
      <c r="I818" s="52"/>
      <c r="J818" s="52"/>
      <c r="K818" s="52"/>
      <c r="L818" s="52"/>
      <c r="M818" s="52"/>
      <c r="N818" s="52"/>
      <c r="O818" s="52"/>
      <c r="P818" s="52"/>
      <c r="Q818" s="52"/>
      <c r="R818" s="52"/>
      <c r="S818" s="52"/>
      <c r="T818" s="52"/>
      <c r="U818" s="52"/>
      <c r="V818" s="52"/>
      <c r="W818" s="52"/>
      <c r="X818" s="52"/>
      <c r="Y818" s="52"/>
      <c r="Z818" s="52"/>
      <c r="AA818" s="52"/>
      <c r="AB818" s="52"/>
      <c r="AC818" s="52"/>
      <c r="AD818" s="52"/>
      <c r="AE818" s="52"/>
      <c r="AF818" s="52"/>
      <c r="AG818" s="52"/>
      <c r="AH818" s="52"/>
      <c r="AI818" s="52"/>
      <c r="AJ818" s="52"/>
      <c r="AK818" s="52"/>
      <c r="AL818" s="52"/>
      <c r="AM818" s="52"/>
      <c r="AN818" s="52"/>
    </row>
    <row r="819" spans="1:40" x14ac:dyDescent="0.3">
      <c r="A819" s="52">
        <v>814</v>
      </c>
      <c r="B819" s="52">
        <f>-bthan*500+(13+0.5)*bthan*1000/50</f>
        <v>-1265</v>
      </c>
      <c r="C819" s="52">
        <f t="shared" si="130"/>
        <v>-469.99999999999994</v>
      </c>
      <c r="D819" s="52">
        <f t="shared" si="127"/>
        <v>2200</v>
      </c>
      <c r="E819" s="52">
        <f t="shared" si="128"/>
        <v>1</v>
      </c>
      <c r="F819" s="52"/>
      <c r="G819" s="52"/>
      <c r="H819" s="52"/>
      <c r="I819" s="52"/>
      <c r="J819" s="52"/>
      <c r="K819" s="52"/>
      <c r="L819" s="52"/>
      <c r="M819" s="52"/>
      <c r="N819" s="52"/>
      <c r="O819" s="52"/>
      <c r="P819" s="52"/>
      <c r="Q819" s="52"/>
      <c r="R819" s="52"/>
      <c r="S819" s="52"/>
      <c r="T819" s="52"/>
      <c r="U819" s="52"/>
      <c r="V819" s="52"/>
      <c r="W819" s="52"/>
      <c r="X819" s="52"/>
      <c r="Y819" s="52"/>
      <c r="Z819" s="52"/>
      <c r="AA819" s="52"/>
      <c r="AB819" s="52"/>
      <c r="AC819" s="52"/>
      <c r="AD819" s="52"/>
      <c r="AE819" s="52"/>
      <c r="AF819" s="52"/>
      <c r="AG819" s="52"/>
      <c r="AH819" s="52"/>
      <c r="AI819" s="52"/>
      <c r="AJ819" s="52"/>
      <c r="AK819" s="52"/>
      <c r="AL819" s="52"/>
      <c r="AM819" s="52"/>
      <c r="AN819" s="52"/>
    </row>
    <row r="820" spans="1:40" x14ac:dyDescent="0.3">
      <c r="A820" s="52">
        <v>815</v>
      </c>
      <c r="B820" s="52">
        <f>-bthan*500+(14+0.5)*bthan*1000/50</f>
        <v>-1155</v>
      </c>
      <c r="C820" s="52">
        <f t="shared" si="130"/>
        <v>-469.99999999999994</v>
      </c>
      <c r="D820" s="52">
        <f t="shared" si="127"/>
        <v>2200</v>
      </c>
      <c r="E820" s="52">
        <f t="shared" si="128"/>
        <v>1</v>
      </c>
      <c r="F820" s="52"/>
      <c r="G820" s="52"/>
      <c r="H820" s="52"/>
      <c r="I820" s="52"/>
      <c r="J820" s="52"/>
      <c r="K820" s="52"/>
      <c r="L820" s="52"/>
      <c r="M820" s="52"/>
      <c r="N820" s="52"/>
      <c r="O820" s="52"/>
      <c r="P820" s="52"/>
      <c r="Q820" s="52"/>
      <c r="R820" s="52"/>
      <c r="S820" s="52"/>
      <c r="T820" s="52"/>
      <c r="U820" s="52"/>
      <c r="V820" s="52"/>
      <c r="W820" s="52"/>
      <c r="X820" s="52"/>
      <c r="Y820" s="52"/>
      <c r="Z820" s="52"/>
      <c r="AA820" s="52"/>
      <c r="AB820" s="52"/>
      <c r="AC820" s="52"/>
      <c r="AD820" s="52"/>
      <c r="AE820" s="52"/>
      <c r="AF820" s="52"/>
      <c r="AG820" s="52"/>
      <c r="AH820" s="52"/>
      <c r="AI820" s="52"/>
      <c r="AJ820" s="52"/>
      <c r="AK820" s="52"/>
      <c r="AL820" s="52"/>
      <c r="AM820" s="52"/>
      <c r="AN820" s="52"/>
    </row>
    <row r="821" spans="1:40" x14ac:dyDescent="0.3">
      <c r="A821" s="52">
        <v>816</v>
      </c>
      <c r="B821" s="52">
        <f>-bthan*500+(15+0.5)*bthan*1000/50</f>
        <v>-1045</v>
      </c>
      <c r="C821" s="52">
        <f t="shared" si="130"/>
        <v>-469.99999999999994</v>
      </c>
      <c r="D821" s="52">
        <f t="shared" si="127"/>
        <v>2200</v>
      </c>
      <c r="E821" s="52">
        <f t="shared" si="128"/>
        <v>1</v>
      </c>
      <c r="F821" s="52"/>
      <c r="G821" s="52"/>
      <c r="H821" s="52"/>
      <c r="I821" s="52"/>
      <c r="J821" s="52"/>
      <c r="K821" s="52"/>
      <c r="L821" s="52"/>
      <c r="M821" s="52"/>
      <c r="N821" s="52"/>
      <c r="O821" s="52"/>
      <c r="P821" s="52"/>
      <c r="Q821" s="52"/>
      <c r="R821" s="52"/>
      <c r="S821" s="52"/>
      <c r="T821" s="52"/>
      <c r="U821" s="52"/>
      <c r="V821" s="52"/>
      <c r="W821" s="52"/>
      <c r="X821" s="52"/>
      <c r="Y821" s="52"/>
      <c r="Z821" s="52"/>
      <c r="AA821" s="52"/>
      <c r="AB821" s="52"/>
      <c r="AC821" s="52"/>
      <c r="AD821" s="52"/>
      <c r="AE821" s="52"/>
      <c r="AF821" s="52"/>
      <c r="AG821" s="52"/>
      <c r="AH821" s="52"/>
      <c r="AI821" s="52"/>
      <c r="AJ821" s="52"/>
      <c r="AK821" s="52"/>
      <c r="AL821" s="52"/>
      <c r="AM821" s="52"/>
      <c r="AN821" s="52"/>
    </row>
    <row r="822" spans="1:40" x14ac:dyDescent="0.3">
      <c r="A822" s="52">
        <v>817</v>
      </c>
      <c r="B822" s="52">
        <f>-bthan*500+(16+0.5)*bthan*1000/50</f>
        <v>-935</v>
      </c>
      <c r="C822" s="52">
        <f t="shared" si="130"/>
        <v>-469.99999999999994</v>
      </c>
      <c r="D822" s="52">
        <f t="shared" si="127"/>
        <v>2200</v>
      </c>
      <c r="E822" s="52">
        <f t="shared" si="128"/>
        <v>1</v>
      </c>
      <c r="F822" s="52"/>
      <c r="G822" s="52"/>
      <c r="H822" s="52"/>
      <c r="I822" s="52"/>
      <c r="J822" s="52"/>
      <c r="K822" s="52"/>
      <c r="L822" s="52"/>
      <c r="M822" s="52"/>
      <c r="N822" s="52"/>
      <c r="O822" s="52"/>
      <c r="P822" s="52"/>
      <c r="Q822" s="52"/>
      <c r="R822" s="52"/>
      <c r="S822" s="52"/>
      <c r="T822" s="52"/>
      <c r="U822" s="52"/>
      <c r="V822" s="52"/>
      <c r="W822" s="52"/>
      <c r="X822" s="52"/>
      <c r="Y822" s="52"/>
      <c r="Z822" s="52"/>
      <c r="AA822" s="52"/>
      <c r="AB822" s="52"/>
      <c r="AC822" s="52"/>
      <c r="AD822" s="52"/>
      <c r="AE822" s="52"/>
      <c r="AF822" s="52"/>
      <c r="AG822" s="52"/>
      <c r="AH822" s="52"/>
      <c r="AI822" s="52"/>
      <c r="AJ822" s="52"/>
      <c r="AK822" s="52"/>
      <c r="AL822" s="52"/>
      <c r="AM822" s="52"/>
      <c r="AN822" s="52"/>
    </row>
    <row r="823" spans="1:40" x14ac:dyDescent="0.3">
      <c r="A823" s="52">
        <v>818</v>
      </c>
      <c r="B823" s="52">
        <f>-bthan*500+(17+0.5)*bthan*1000/50</f>
        <v>-825</v>
      </c>
      <c r="C823" s="52">
        <f t="shared" si="130"/>
        <v>-469.99999999999994</v>
      </c>
      <c r="D823" s="52">
        <f t="shared" si="127"/>
        <v>2200</v>
      </c>
      <c r="E823" s="52">
        <f t="shared" si="128"/>
        <v>1</v>
      </c>
      <c r="F823" s="52"/>
      <c r="G823" s="52"/>
      <c r="H823" s="52"/>
      <c r="I823" s="52"/>
      <c r="J823" s="52"/>
      <c r="K823" s="52"/>
      <c r="L823" s="52"/>
      <c r="M823" s="52"/>
      <c r="N823" s="52"/>
      <c r="O823" s="52"/>
      <c r="P823" s="52"/>
      <c r="Q823" s="52"/>
      <c r="R823" s="52"/>
      <c r="S823" s="52"/>
      <c r="T823" s="52"/>
      <c r="U823" s="52"/>
      <c r="V823" s="52"/>
      <c r="W823" s="52"/>
      <c r="X823" s="52"/>
      <c r="Y823" s="52"/>
      <c r="Z823" s="52"/>
      <c r="AA823" s="52"/>
      <c r="AB823" s="52"/>
      <c r="AC823" s="52"/>
      <c r="AD823" s="52"/>
      <c r="AE823" s="52"/>
      <c r="AF823" s="52"/>
      <c r="AG823" s="52"/>
      <c r="AH823" s="52"/>
      <c r="AI823" s="52"/>
      <c r="AJ823" s="52"/>
      <c r="AK823" s="52"/>
      <c r="AL823" s="52"/>
      <c r="AM823" s="52"/>
      <c r="AN823" s="52"/>
    </row>
    <row r="824" spans="1:40" x14ac:dyDescent="0.3">
      <c r="A824" s="52">
        <v>819</v>
      </c>
      <c r="B824" s="52">
        <f>-bthan*500+(18+0.5)*bthan*1000/50</f>
        <v>-715</v>
      </c>
      <c r="C824" s="52">
        <f t="shared" si="130"/>
        <v>-469.99999999999994</v>
      </c>
      <c r="D824" s="52">
        <f t="shared" si="127"/>
        <v>2200</v>
      </c>
      <c r="E824" s="52">
        <f t="shared" si="128"/>
        <v>1</v>
      </c>
      <c r="F824" s="52"/>
      <c r="G824" s="52"/>
      <c r="H824" s="52"/>
      <c r="I824" s="52"/>
      <c r="J824" s="52"/>
      <c r="K824" s="52"/>
      <c r="L824" s="52"/>
      <c r="M824" s="52"/>
      <c r="N824" s="52"/>
      <c r="O824" s="52"/>
      <c r="P824" s="52"/>
      <c r="Q824" s="52"/>
      <c r="R824" s="52"/>
      <c r="S824" s="52"/>
      <c r="T824" s="52"/>
      <c r="U824" s="52"/>
      <c r="V824" s="52"/>
      <c r="W824" s="52"/>
      <c r="X824" s="52"/>
      <c r="Y824" s="52"/>
      <c r="Z824" s="52"/>
      <c r="AA824" s="52"/>
      <c r="AB824" s="52"/>
      <c r="AC824" s="52"/>
      <c r="AD824" s="52"/>
      <c r="AE824" s="52"/>
      <c r="AF824" s="52"/>
      <c r="AG824" s="52"/>
      <c r="AH824" s="52"/>
      <c r="AI824" s="52"/>
      <c r="AJ824" s="52"/>
      <c r="AK824" s="52"/>
      <c r="AL824" s="52"/>
      <c r="AM824" s="52"/>
      <c r="AN824" s="52"/>
    </row>
    <row r="825" spans="1:40" x14ac:dyDescent="0.3">
      <c r="A825" s="52">
        <v>820</v>
      </c>
      <c r="B825" s="52">
        <f>-bthan*500+(19+0.5)*bthan*1000/50</f>
        <v>-605</v>
      </c>
      <c r="C825" s="52">
        <f t="shared" si="130"/>
        <v>-469.99999999999994</v>
      </c>
      <c r="D825" s="52">
        <f t="shared" si="127"/>
        <v>2200</v>
      </c>
      <c r="E825" s="52">
        <f t="shared" si="128"/>
        <v>1</v>
      </c>
      <c r="F825" s="52"/>
      <c r="G825" s="52"/>
      <c r="H825" s="52"/>
      <c r="I825" s="52"/>
      <c r="J825" s="52"/>
      <c r="K825" s="52"/>
      <c r="L825" s="52"/>
      <c r="M825" s="52"/>
      <c r="N825" s="52"/>
      <c r="O825" s="52"/>
      <c r="P825" s="52"/>
      <c r="Q825" s="52"/>
      <c r="R825" s="52"/>
      <c r="S825" s="52"/>
      <c r="T825" s="52"/>
      <c r="U825" s="52"/>
      <c r="V825" s="52"/>
      <c r="W825" s="52"/>
      <c r="X825" s="52"/>
      <c r="Y825" s="52"/>
      <c r="Z825" s="52"/>
      <c r="AA825" s="52"/>
      <c r="AB825" s="52"/>
      <c r="AC825" s="52"/>
      <c r="AD825" s="52"/>
      <c r="AE825" s="52"/>
      <c r="AF825" s="52"/>
      <c r="AG825" s="52"/>
      <c r="AH825" s="52"/>
      <c r="AI825" s="52"/>
      <c r="AJ825" s="52"/>
      <c r="AK825" s="52"/>
      <c r="AL825" s="52"/>
      <c r="AM825" s="52"/>
      <c r="AN825" s="52"/>
    </row>
    <row r="826" spans="1:40" x14ac:dyDescent="0.3">
      <c r="A826" s="52">
        <v>821</v>
      </c>
      <c r="B826" s="52">
        <f>-bthan*500+(20+0.5)*bthan*1000/50</f>
        <v>-495</v>
      </c>
      <c r="C826" s="52">
        <f t="shared" si="130"/>
        <v>-469.99999999999994</v>
      </c>
      <c r="D826" s="52">
        <f t="shared" si="127"/>
        <v>2200</v>
      </c>
      <c r="E826" s="52">
        <f t="shared" si="128"/>
        <v>1</v>
      </c>
      <c r="F826" s="52"/>
      <c r="G826" s="52"/>
      <c r="H826" s="52"/>
      <c r="I826" s="52"/>
      <c r="J826" s="52"/>
      <c r="K826" s="52"/>
      <c r="L826" s="52"/>
      <c r="M826" s="52"/>
      <c r="N826" s="52"/>
      <c r="O826" s="52"/>
      <c r="P826" s="52"/>
      <c r="Q826" s="52"/>
      <c r="R826" s="52"/>
      <c r="S826" s="52"/>
      <c r="T826" s="52"/>
      <c r="U826" s="52"/>
      <c r="V826" s="52"/>
      <c r="W826" s="52"/>
      <c r="X826" s="52"/>
      <c r="Y826" s="52"/>
      <c r="Z826" s="52"/>
      <c r="AA826" s="52"/>
      <c r="AB826" s="52"/>
      <c r="AC826" s="52"/>
      <c r="AD826" s="52"/>
      <c r="AE826" s="52"/>
      <c r="AF826" s="52"/>
      <c r="AG826" s="52"/>
      <c r="AH826" s="52"/>
      <c r="AI826" s="52"/>
      <c r="AJ826" s="52"/>
      <c r="AK826" s="52"/>
      <c r="AL826" s="52"/>
      <c r="AM826" s="52"/>
      <c r="AN826" s="52"/>
    </row>
    <row r="827" spans="1:40" x14ac:dyDescent="0.3">
      <c r="A827" s="52">
        <v>822</v>
      </c>
      <c r="B827" s="52">
        <f>-bthan*500+(21+0.5)*bthan*1000/50</f>
        <v>-385</v>
      </c>
      <c r="C827" s="52">
        <f t="shared" si="130"/>
        <v>-469.99999999999994</v>
      </c>
      <c r="D827" s="52">
        <f t="shared" si="127"/>
        <v>2200</v>
      </c>
      <c r="E827" s="52">
        <f t="shared" si="128"/>
        <v>1</v>
      </c>
      <c r="F827" s="52"/>
      <c r="G827" s="52"/>
      <c r="H827" s="52"/>
      <c r="I827" s="52"/>
      <c r="J827" s="52"/>
      <c r="K827" s="52"/>
      <c r="L827" s="52"/>
      <c r="M827" s="52"/>
      <c r="N827" s="52"/>
      <c r="O827" s="52"/>
      <c r="P827" s="52"/>
      <c r="Q827" s="52"/>
      <c r="R827" s="52"/>
      <c r="S827" s="52"/>
      <c r="T827" s="52"/>
      <c r="U827" s="52"/>
      <c r="V827" s="52"/>
      <c r="W827" s="52"/>
      <c r="X827" s="52"/>
      <c r="Y827" s="52"/>
      <c r="Z827" s="52"/>
      <c r="AA827" s="52"/>
      <c r="AB827" s="52"/>
      <c r="AC827" s="52"/>
      <c r="AD827" s="52"/>
      <c r="AE827" s="52"/>
      <c r="AF827" s="52"/>
      <c r="AG827" s="52"/>
      <c r="AH827" s="52"/>
      <c r="AI827" s="52"/>
      <c r="AJ827" s="52"/>
      <c r="AK827" s="52"/>
      <c r="AL827" s="52"/>
      <c r="AM827" s="52"/>
      <c r="AN827" s="52"/>
    </row>
    <row r="828" spans="1:40" x14ac:dyDescent="0.3">
      <c r="A828" s="52">
        <v>823</v>
      </c>
      <c r="B828" s="52">
        <f>-bthan*500+(22+0.5)*bthan*1000/50</f>
        <v>-275</v>
      </c>
      <c r="C828" s="52">
        <f t="shared" si="130"/>
        <v>-469.99999999999994</v>
      </c>
      <c r="D828" s="52">
        <f t="shared" si="127"/>
        <v>2200</v>
      </c>
      <c r="E828" s="52">
        <f t="shared" si="128"/>
        <v>1</v>
      </c>
      <c r="F828" s="52"/>
      <c r="G828" s="52"/>
      <c r="H828" s="52"/>
      <c r="I828" s="52"/>
      <c r="J828" s="52"/>
      <c r="K828" s="52"/>
      <c r="L828" s="52"/>
      <c r="M828" s="52"/>
      <c r="N828" s="52"/>
      <c r="O828" s="52"/>
      <c r="P828" s="52"/>
      <c r="Q828" s="52"/>
      <c r="R828" s="52"/>
      <c r="S828" s="52"/>
      <c r="T828" s="52"/>
      <c r="U828" s="52"/>
      <c r="V828" s="52"/>
      <c r="W828" s="52"/>
      <c r="X828" s="52"/>
      <c r="Y828" s="52"/>
      <c r="Z828" s="52"/>
      <c r="AA828" s="52"/>
      <c r="AB828" s="52"/>
      <c r="AC828" s="52"/>
      <c r="AD828" s="52"/>
      <c r="AE828" s="52"/>
      <c r="AF828" s="52"/>
      <c r="AG828" s="52"/>
      <c r="AH828" s="52"/>
      <c r="AI828" s="52"/>
      <c r="AJ828" s="52"/>
      <c r="AK828" s="52"/>
      <c r="AL828" s="52"/>
      <c r="AM828" s="52"/>
      <c r="AN828" s="52"/>
    </row>
    <row r="829" spans="1:40" x14ac:dyDescent="0.3">
      <c r="A829" s="52">
        <v>824</v>
      </c>
      <c r="B829" s="52">
        <f>-bthan*500+(23+0.5)*bthan*1000/50</f>
        <v>-165</v>
      </c>
      <c r="C829" s="52">
        <f t="shared" si="130"/>
        <v>-469.99999999999994</v>
      </c>
      <c r="D829" s="52">
        <f t="shared" si="127"/>
        <v>2200</v>
      </c>
      <c r="E829" s="52">
        <f t="shared" si="128"/>
        <v>1</v>
      </c>
      <c r="F829" s="52"/>
      <c r="G829" s="52"/>
      <c r="H829" s="52"/>
      <c r="I829" s="52"/>
      <c r="J829" s="52"/>
      <c r="K829" s="52"/>
      <c r="L829" s="52"/>
      <c r="M829" s="52"/>
      <c r="N829" s="52"/>
      <c r="O829" s="52"/>
      <c r="P829" s="52"/>
      <c r="Q829" s="52"/>
      <c r="R829" s="52"/>
      <c r="S829" s="52"/>
      <c r="T829" s="52"/>
      <c r="U829" s="52"/>
      <c r="V829" s="52"/>
      <c r="W829" s="52"/>
      <c r="X829" s="52"/>
      <c r="Y829" s="52"/>
      <c r="Z829" s="52"/>
      <c r="AA829" s="52"/>
      <c r="AB829" s="52"/>
      <c r="AC829" s="52"/>
      <c r="AD829" s="52"/>
      <c r="AE829" s="52"/>
      <c r="AF829" s="52"/>
      <c r="AG829" s="52"/>
      <c r="AH829" s="52"/>
      <c r="AI829" s="52"/>
      <c r="AJ829" s="52"/>
      <c r="AK829" s="52"/>
      <c r="AL829" s="52"/>
      <c r="AM829" s="52"/>
      <c r="AN829" s="52"/>
    </row>
    <row r="830" spans="1:40" x14ac:dyDescent="0.3">
      <c r="A830" s="52">
        <v>825</v>
      </c>
      <c r="B830" s="52">
        <f>-bthan*500+(24+0.5)*bthan*1000/50</f>
        <v>-55</v>
      </c>
      <c r="C830" s="52">
        <f t="shared" si="130"/>
        <v>-469.99999999999994</v>
      </c>
      <c r="D830" s="52">
        <f t="shared" si="127"/>
        <v>2200</v>
      </c>
      <c r="E830" s="52">
        <f t="shared" si="128"/>
        <v>1</v>
      </c>
      <c r="F830" s="52"/>
      <c r="G830" s="52"/>
      <c r="H830" s="52"/>
      <c r="I830" s="52"/>
      <c r="J830" s="52"/>
      <c r="K830" s="52"/>
      <c r="L830" s="52"/>
      <c r="M830" s="52"/>
      <c r="N830" s="52"/>
      <c r="O830" s="52"/>
      <c r="P830" s="52"/>
      <c r="Q830" s="52"/>
      <c r="R830" s="52"/>
      <c r="S830" s="52"/>
      <c r="T830" s="52"/>
      <c r="U830" s="52"/>
      <c r="V830" s="52"/>
      <c r="W830" s="52"/>
      <c r="X830" s="52"/>
      <c r="Y830" s="52"/>
      <c r="Z830" s="52"/>
      <c r="AA830" s="52"/>
      <c r="AB830" s="52"/>
      <c r="AC830" s="52"/>
      <c r="AD830" s="52"/>
      <c r="AE830" s="52"/>
      <c r="AF830" s="52"/>
      <c r="AG830" s="52"/>
      <c r="AH830" s="52"/>
      <c r="AI830" s="52"/>
      <c r="AJ830" s="52"/>
      <c r="AK830" s="52"/>
      <c r="AL830" s="52"/>
      <c r="AM830" s="52"/>
      <c r="AN830" s="52"/>
    </row>
    <row r="831" spans="1:40" x14ac:dyDescent="0.3">
      <c r="A831" s="52">
        <v>826</v>
      </c>
      <c r="B831" s="52">
        <f>-bthan*500+(25+0.5)*bthan*1000/50</f>
        <v>55</v>
      </c>
      <c r="C831" s="52">
        <f t="shared" si="130"/>
        <v>-469.99999999999994</v>
      </c>
      <c r="D831" s="52">
        <f t="shared" si="127"/>
        <v>2200</v>
      </c>
      <c r="E831" s="52">
        <f t="shared" si="128"/>
        <v>1</v>
      </c>
      <c r="F831" s="52"/>
      <c r="G831" s="52"/>
      <c r="H831" s="52"/>
      <c r="I831" s="52"/>
      <c r="J831" s="52"/>
      <c r="K831" s="52"/>
      <c r="L831" s="52"/>
      <c r="M831" s="52"/>
      <c r="N831" s="52"/>
      <c r="O831" s="52"/>
      <c r="P831" s="52"/>
      <c r="Q831" s="52"/>
      <c r="R831" s="52"/>
      <c r="S831" s="52"/>
      <c r="T831" s="52"/>
      <c r="U831" s="52"/>
      <c r="V831" s="52"/>
      <c r="W831" s="52"/>
      <c r="X831" s="52"/>
      <c r="Y831" s="52"/>
      <c r="Z831" s="52"/>
      <c r="AA831" s="52"/>
      <c r="AB831" s="52"/>
      <c r="AC831" s="52"/>
      <c r="AD831" s="52"/>
      <c r="AE831" s="52"/>
      <c r="AF831" s="52"/>
      <c r="AG831" s="52"/>
      <c r="AH831" s="52"/>
      <c r="AI831" s="52"/>
      <c r="AJ831" s="52"/>
      <c r="AK831" s="52"/>
      <c r="AL831" s="52"/>
      <c r="AM831" s="52"/>
      <c r="AN831" s="52"/>
    </row>
    <row r="832" spans="1:40" x14ac:dyDescent="0.3">
      <c r="A832" s="52">
        <v>827</v>
      </c>
      <c r="B832" s="52">
        <f>-bthan*500+(26+0.5)*bthan*1000/50</f>
        <v>165</v>
      </c>
      <c r="C832" s="52">
        <f t="shared" si="130"/>
        <v>-469.99999999999994</v>
      </c>
      <c r="D832" s="52">
        <f t="shared" si="127"/>
        <v>2200</v>
      </c>
      <c r="E832" s="52">
        <f t="shared" si="128"/>
        <v>1</v>
      </c>
      <c r="F832" s="52"/>
      <c r="G832" s="52"/>
      <c r="H832" s="52"/>
      <c r="I832" s="52"/>
      <c r="J832" s="52"/>
      <c r="K832" s="52"/>
      <c r="L832" s="52"/>
      <c r="M832" s="52"/>
      <c r="N832" s="52"/>
      <c r="O832" s="52"/>
      <c r="P832" s="52"/>
      <c r="Q832" s="52"/>
      <c r="R832" s="52"/>
      <c r="S832" s="52"/>
      <c r="T832" s="52"/>
      <c r="U832" s="52"/>
      <c r="V832" s="52"/>
      <c r="W832" s="52"/>
      <c r="X832" s="52"/>
      <c r="Y832" s="52"/>
      <c r="Z832" s="52"/>
      <c r="AA832" s="52"/>
      <c r="AB832" s="52"/>
      <c r="AC832" s="52"/>
      <c r="AD832" s="52"/>
      <c r="AE832" s="52"/>
      <c r="AF832" s="52"/>
      <c r="AG832" s="52"/>
      <c r="AH832" s="52"/>
      <c r="AI832" s="52"/>
      <c r="AJ832" s="52"/>
      <c r="AK832" s="52"/>
      <c r="AL832" s="52"/>
      <c r="AM832" s="52"/>
      <c r="AN832" s="52"/>
    </row>
    <row r="833" spans="1:40" x14ac:dyDescent="0.3">
      <c r="A833" s="52">
        <v>828</v>
      </c>
      <c r="B833" s="52">
        <f>-bthan*500+(27+0.5)*bthan*1000/50</f>
        <v>275</v>
      </c>
      <c r="C833" s="52">
        <f t="shared" si="130"/>
        <v>-469.99999999999994</v>
      </c>
      <c r="D833" s="52">
        <f t="shared" si="127"/>
        <v>2200</v>
      </c>
      <c r="E833" s="52">
        <f t="shared" si="128"/>
        <v>1</v>
      </c>
      <c r="F833" s="52"/>
      <c r="G833" s="52"/>
      <c r="H833" s="52"/>
      <c r="I833" s="52"/>
      <c r="J833" s="52"/>
      <c r="K833" s="52"/>
      <c r="L833" s="52"/>
      <c r="M833" s="52"/>
      <c r="N833" s="52"/>
      <c r="O833" s="52"/>
      <c r="P833" s="52"/>
      <c r="Q833" s="52"/>
      <c r="R833" s="52"/>
      <c r="S833" s="52"/>
      <c r="T833" s="52"/>
      <c r="U833" s="52"/>
      <c r="V833" s="52"/>
      <c r="W833" s="52"/>
      <c r="X833" s="52"/>
      <c r="Y833" s="52"/>
      <c r="Z833" s="52"/>
      <c r="AA833" s="52"/>
      <c r="AB833" s="52"/>
      <c r="AC833" s="52"/>
      <c r="AD833" s="52"/>
      <c r="AE833" s="52"/>
      <c r="AF833" s="52"/>
      <c r="AG833" s="52"/>
      <c r="AH833" s="52"/>
      <c r="AI833" s="52"/>
      <c r="AJ833" s="52"/>
      <c r="AK833" s="52"/>
      <c r="AL833" s="52"/>
      <c r="AM833" s="52"/>
      <c r="AN833" s="52"/>
    </row>
    <row r="834" spans="1:40" x14ac:dyDescent="0.3">
      <c r="A834" s="52">
        <v>829</v>
      </c>
      <c r="B834" s="52">
        <f>-bthan*500+(28+0.5)*bthan*1000/50</f>
        <v>385</v>
      </c>
      <c r="C834" s="52">
        <f t="shared" si="130"/>
        <v>-469.99999999999994</v>
      </c>
      <c r="D834" s="52">
        <f t="shared" si="127"/>
        <v>2200</v>
      </c>
      <c r="E834" s="52">
        <f t="shared" si="128"/>
        <v>1</v>
      </c>
      <c r="F834" s="52"/>
      <c r="G834" s="52"/>
      <c r="H834" s="52"/>
      <c r="I834" s="52"/>
      <c r="J834" s="52"/>
      <c r="K834" s="52"/>
      <c r="L834" s="52"/>
      <c r="M834" s="52"/>
      <c r="N834" s="52"/>
      <c r="O834" s="52"/>
      <c r="P834" s="52"/>
      <c r="Q834" s="52"/>
      <c r="R834" s="52"/>
      <c r="S834" s="52"/>
      <c r="T834" s="52"/>
      <c r="U834" s="52"/>
      <c r="V834" s="52"/>
      <c r="W834" s="52"/>
      <c r="X834" s="52"/>
      <c r="Y834" s="52"/>
      <c r="Z834" s="52"/>
      <c r="AA834" s="52"/>
      <c r="AB834" s="52"/>
      <c r="AC834" s="52"/>
      <c r="AD834" s="52"/>
      <c r="AE834" s="52"/>
      <c r="AF834" s="52"/>
      <c r="AG834" s="52"/>
      <c r="AH834" s="52"/>
      <c r="AI834" s="52"/>
      <c r="AJ834" s="52"/>
      <c r="AK834" s="52"/>
      <c r="AL834" s="52"/>
      <c r="AM834" s="52"/>
      <c r="AN834" s="52"/>
    </row>
    <row r="835" spans="1:40" x14ac:dyDescent="0.3">
      <c r="A835" s="52">
        <v>830</v>
      </c>
      <c r="B835" s="52">
        <f>-bthan*500+(29+0.5)*bthan*1000/50</f>
        <v>495</v>
      </c>
      <c r="C835" s="52">
        <f t="shared" si="130"/>
        <v>-469.99999999999994</v>
      </c>
      <c r="D835" s="52">
        <f t="shared" si="127"/>
        <v>2200</v>
      </c>
      <c r="E835" s="52">
        <f t="shared" si="128"/>
        <v>1</v>
      </c>
      <c r="F835" s="52"/>
      <c r="G835" s="52"/>
      <c r="H835" s="52"/>
      <c r="I835" s="52"/>
      <c r="J835" s="52"/>
      <c r="K835" s="52"/>
      <c r="L835" s="52"/>
      <c r="M835" s="52"/>
      <c r="N835" s="52"/>
      <c r="O835" s="52"/>
      <c r="P835" s="52"/>
      <c r="Q835" s="52"/>
      <c r="R835" s="52"/>
      <c r="S835" s="52"/>
      <c r="T835" s="52"/>
      <c r="U835" s="52"/>
      <c r="V835" s="52"/>
      <c r="W835" s="52"/>
      <c r="X835" s="52"/>
      <c r="Y835" s="52"/>
      <c r="Z835" s="52"/>
      <c r="AA835" s="52"/>
      <c r="AB835" s="52"/>
      <c r="AC835" s="52"/>
      <c r="AD835" s="52"/>
      <c r="AE835" s="52"/>
      <c r="AF835" s="52"/>
      <c r="AG835" s="52"/>
      <c r="AH835" s="52"/>
      <c r="AI835" s="52"/>
      <c r="AJ835" s="52"/>
      <c r="AK835" s="52"/>
      <c r="AL835" s="52"/>
      <c r="AM835" s="52"/>
      <c r="AN835" s="52"/>
    </row>
    <row r="836" spans="1:40" x14ac:dyDescent="0.3">
      <c r="A836" s="52">
        <v>831</v>
      </c>
      <c r="B836" s="52">
        <f>-bthan*500+(30+0.5)*bthan*1000/50</f>
        <v>605</v>
      </c>
      <c r="C836" s="52">
        <f t="shared" si="130"/>
        <v>-469.99999999999994</v>
      </c>
      <c r="D836" s="52">
        <f t="shared" si="127"/>
        <v>2200</v>
      </c>
      <c r="E836" s="52">
        <f t="shared" si="128"/>
        <v>1</v>
      </c>
      <c r="F836" s="52"/>
      <c r="G836" s="52"/>
      <c r="H836" s="52"/>
      <c r="I836" s="52"/>
      <c r="J836" s="52"/>
      <c r="K836" s="52"/>
      <c r="L836" s="52"/>
      <c r="M836" s="52"/>
      <c r="N836" s="52"/>
      <c r="O836" s="52"/>
      <c r="P836" s="52"/>
      <c r="Q836" s="52"/>
      <c r="R836" s="52"/>
      <c r="S836" s="52"/>
      <c r="T836" s="52"/>
      <c r="U836" s="52"/>
      <c r="V836" s="52"/>
      <c r="W836" s="52"/>
      <c r="X836" s="52"/>
      <c r="Y836" s="52"/>
      <c r="Z836" s="52"/>
      <c r="AA836" s="52"/>
      <c r="AB836" s="52"/>
      <c r="AC836" s="52"/>
      <c r="AD836" s="52"/>
      <c r="AE836" s="52"/>
      <c r="AF836" s="52"/>
      <c r="AG836" s="52"/>
      <c r="AH836" s="52"/>
      <c r="AI836" s="52"/>
      <c r="AJ836" s="52"/>
      <c r="AK836" s="52"/>
      <c r="AL836" s="52"/>
      <c r="AM836" s="52"/>
      <c r="AN836" s="52"/>
    </row>
    <row r="837" spans="1:40" x14ac:dyDescent="0.3">
      <c r="A837" s="52">
        <v>832</v>
      </c>
      <c r="B837" s="52">
        <f>-bthan*500+(31+0.5)*bthan*1000/50</f>
        <v>715</v>
      </c>
      <c r="C837" s="52">
        <f t="shared" si="130"/>
        <v>-469.99999999999994</v>
      </c>
      <c r="D837" s="52">
        <f t="shared" si="127"/>
        <v>2200</v>
      </c>
      <c r="E837" s="52">
        <f t="shared" si="128"/>
        <v>1</v>
      </c>
      <c r="F837" s="52"/>
      <c r="G837" s="52"/>
      <c r="H837" s="52"/>
      <c r="I837" s="52"/>
      <c r="J837" s="52"/>
      <c r="K837" s="52"/>
      <c r="L837" s="52"/>
      <c r="M837" s="52"/>
      <c r="N837" s="52"/>
      <c r="O837" s="52"/>
      <c r="P837" s="52"/>
      <c r="Q837" s="52"/>
      <c r="R837" s="52"/>
      <c r="S837" s="52"/>
      <c r="T837" s="52"/>
      <c r="U837" s="52"/>
      <c r="V837" s="52"/>
      <c r="W837" s="52"/>
      <c r="X837" s="52"/>
      <c r="Y837" s="52"/>
      <c r="Z837" s="52"/>
      <c r="AA837" s="52"/>
      <c r="AB837" s="52"/>
      <c r="AC837" s="52"/>
      <c r="AD837" s="52"/>
      <c r="AE837" s="52"/>
      <c r="AF837" s="52"/>
      <c r="AG837" s="52"/>
      <c r="AH837" s="52"/>
      <c r="AI837" s="52"/>
      <c r="AJ837" s="52"/>
      <c r="AK837" s="52"/>
      <c r="AL837" s="52"/>
      <c r="AM837" s="52"/>
      <c r="AN837" s="52"/>
    </row>
    <row r="838" spans="1:40" x14ac:dyDescent="0.3">
      <c r="A838" s="52">
        <v>833</v>
      </c>
      <c r="B838" s="52">
        <f>-bthan*500+(32+0.5)*bthan*1000/50</f>
        <v>825</v>
      </c>
      <c r="C838" s="52">
        <f t="shared" ref="C838:C855" si="131">-hthan*500+(16+0.5)*hthan*1000/80</f>
        <v>-469.99999999999994</v>
      </c>
      <c r="D838" s="52">
        <f t="shared" ref="D838:D901" si="132">bthan*1000/50*hthan*1000/80</f>
        <v>2200</v>
      </c>
      <c r="E838" s="52">
        <f t="shared" ref="E838:E901" si="133">IF(shp=1,--(OR(ABS(B838)&lt;=MAX(0,(bthan-hthan)*500),(ABS(B838)-MAX(0,(bthan-hthan)*500))^2+C838^2&lt;=(hthan*500)^2)),--(AND(ABS(B838)&lt;=bthan*500,ABS(C838)&lt;=hthan*500,OR(ABS(B838)&lt;=bthan*500-cch*1000,ABS(C838)&lt;=hthan*500-cch*1000,(bthan*500-ABS(B838))+(hthan*500-ABS(C838))&gt;=cch*1000))))</f>
        <v>1</v>
      </c>
      <c r="F838" s="52"/>
      <c r="G838" s="52"/>
      <c r="H838" s="52"/>
      <c r="I838" s="52"/>
      <c r="J838" s="52"/>
      <c r="K838" s="52"/>
      <c r="L838" s="52"/>
      <c r="M838" s="52"/>
      <c r="N838" s="52"/>
      <c r="O838" s="52"/>
      <c r="P838" s="52"/>
      <c r="Q838" s="52"/>
      <c r="R838" s="52"/>
      <c r="S838" s="52"/>
      <c r="T838" s="52"/>
      <c r="U838" s="52"/>
      <c r="V838" s="52"/>
      <c r="W838" s="52"/>
      <c r="X838" s="52"/>
      <c r="Y838" s="52"/>
      <c r="Z838" s="52"/>
      <c r="AA838" s="52"/>
      <c r="AB838" s="52"/>
      <c r="AC838" s="52"/>
      <c r="AD838" s="52"/>
      <c r="AE838" s="52"/>
      <c r="AF838" s="52"/>
      <c r="AG838" s="52"/>
      <c r="AH838" s="52"/>
      <c r="AI838" s="52"/>
      <c r="AJ838" s="52"/>
      <c r="AK838" s="52"/>
      <c r="AL838" s="52"/>
      <c r="AM838" s="52"/>
      <c r="AN838" s="52"/>
    </row>
    <row r="839" spans="1:40" x14ac:dyDescent="0.3">
      <c r="A839" s="52">
        <v>834</v>
      </c>
      <c r="B839" s="52">
        <f>-bthan*500+(33+0.5)*bthan*1000/50</f>
        <v>935</v>
      </c>
      <c r="C839" s="52">
        <f t="shared" si="131"/>
        <v>-469.99999999999994</v>
      </c>
      <c r="D839" s="52">
        <f t="shared" si="132"/>
        <v>2200</v>
      </c>
      <c r="E839" s="52">
        <f t="shared" si="133"/>
        <v>1</v>
      </c>
      <c r="F839" s="52"/>
      <c r="G839" s="52"/>
      <c r="H839" s="52"/>
      <c r="I839" s="52"/>
      <c r="J839" s="52"/>
      <c r="K839" s="52"/>
      <c r="L839" s="52"/>
      <c r="M839" s="52"/>
      <c r="N839" s="52"/>
      <c r="O839" s="52"/>
      <c r="P839" s="52"/>
      <c r="Q839" s="52"/>
      <c r="R839" s="52"/>
      <c r="S839" s="52"/>
      <c r="T839" s="52"/>
      <c r="U839" s="52"/>
      <c r="V839" s="52"/>
      <c r="W839" s="52"/>
      <c r="X839" s="52"/>
      <c r="Y839" s="52"/>
      <c r="Z839" s="52"/>
      <c r="AA839" s="52"/>
      <c r="AB839" s="52"/>
      <c r="AC839" s="52"/>
      <c r="AD839" s="52"/>
      <c r="AE839" s="52"/>
      <c r="AF839" s="52"/>
      <c r="AG839" s="52"/>
      <c r="AH839" s="52"/>
      <c r="AI839" s="52"/>
      <c r="AJ839" s="52"/>
      <c r="AK839" s="52"/>
      <c r="AL839" s="52"/>
      <c r="AM839" s="52"/>
      <c r="AN839" s="52"/>
    </row>
    <row r="840" spans="1:40" x14ac:dyDescent="0.3">
      <c r="A840" s="52">
        <v>835</v>
      </c>
      <c r="B840" s="52">
        <f>-bthan*500+(34+0.5)*bthan*1000/50</f>
        <v>1045</v>
      </c>
      <c r="C840" s="52">
        <f t="shared" si="131"/>
        <v>-469.99999999999994</v>
      </c>
      <c r="D840" s="52">
        <f t="shared" si="132"/>
        <v>2200</v>
      </c>
      <c r="E840" s="52">
        <f t="shared" si="133"/>
        <v>1</v>
      </c>
      <c r="F840" s="52"/>
      <c r="G840" s="52"/>
      <c r="H840" s="52"/>
      <c r="I840" s="52"/>
      <c r="J840" s="52"/>
      <c r="K840" s="52"/>
      <c r="L840" s="52"/>
      <c r="M840" s="52"/>
      <c r="N840" s="52"/>
      <c r="O840" s="52"/>
      <c r="P840" s="52"/>
      <c r="Q840" s="52"/>
      <c r="R840" s="52"/>
      <c r="S840" s="52"/>
      <c r="T840" s="52"/>
      <c r="U840" s="52"/>
      <c r="V840" s="52"/>
      <c r="W840" s="52"/>
      <c r="X840" s="52"/>
      <c r="Y840" s="52"/>
      <c r="Z840" s="52"/>
      <c r="AA840" s="52"/>
      <c r="AB840" s="52"/>
      <c r="AC840" s="52"/>
      <c r="AD840" s="52"/>
      <c r="AE840" s="52"/>
      <c r="AF840" s="52"/>
      <c r="AG840" s="52"/>
      <c r="AH840" s="52"/>
      <c r="AI840" s="52"/>
      <c r="AJ840" s="52"/>
      <c r="AK840" s="52"/>
      <c r="AL840" s="52"/>
      <c r="AM840" s="52"/>
      <c r="AN840" s="52"/>
    </row>
    <row r="841" spans="1:40" x14ac:dyDescent="0.3">
      <c r="A841" s="52">
        <v>836</v>
      </c>
      <c r="B841" s="52">
        <f>-bthan*500+(35+0.5)*bthan*1000/50</f>
        <v>1155</v>
      </c>
      <c r="C841" s="52">
        <f t="shared" si="131"/>
        <v>-469.99999999999994</v>
      </c>
      <c r="D841" s="52">
        <f t="shared" si="132"/>
        <v>2200</v>
      </c>
      <c r="E841" s="52">
        <f t="shared" si="133"/>
        <v>1</v>
      </c>
      <c r="F841" s="52"/>
      <c r="G841" s="52"/>
      <c r="H841" s="52"/>
      <c r="I841" s="52"/>
      <c r="J841" s="52"/>
      <c r="K841" s="52"/>
      <c r="L841" s="52"/>
      <c r="M841" s="52"/>
      <c r="N841" s="52"/>
      <c r="O841" s="52"/>
      <c r="P841" s="52"/>
      <c r="Q841" s="52"/>
      <c r="R841" s="52"/>
      <c r="S841" s="52"/>
      <c r="T841" s="52"/>
      <c r="U841" s="52"/>
      <c r="V841" s="52"/>
      <c r="W841" s="52"/>
      <c r="X841" s="52"/>
      <c r="Y841" s="52"/>
      <c r="Z841" s="52"/>
      <c r="AA841" s="52"/>
      <c r="AB841" s="52"/>
      <c r="AC841" s="52"/>
      <c r="AD841" s="52"/>
      <c r="AE841" s="52"/>
      <c r="AF841" s="52"/>
      <c r="AG841" s="52"/>
      <c r="AH841" s="52"/>
      <c r="AI841" s="52"/>
      <c r="AJ841" s="52"/>
      <c r="AK841" s="52"/>
      <c r="AL841" s="52"/>
      <c r="AM841" s="52"/>
      <c r="AN841" s="52"/>
    </row>
    <row r="842" spans="1:40" x14ac:dyDescent="0.3">
      <c r="A842" s="52">
        <v>837</v>
      </c>
      <c r="B842" s="52">
        <f>-bthan*500+(36+0.5)*bthan*1000/50</f>
        <v>1265</v>
      </c>
      <c r="C842" s="52">
        <f t="shared" si="131"/>
        <v>-469.99999999999994</v>
      </c>
      <c r="D842" s="52">
        <f t="shared" si="132"/>
        <v>2200</v>
      </c>
      <c r="E842" s="52">
        <f t="shared" si="133"/>
        <v>1</v>
      </c>
      <c r="F842" s="52"/>
      <c r="G842" s="52"/>
      <c r="H842" s="52"/>
      <c r="I842" s="52"/>
      <c r="J842" s="52"/>
      <c r="K842" s="52"/>
      <c r="L842" s="52"/>
      <c r="M842" s="52"/>
      <c r="N842" s="52"/>
      <c r="O842" s="52"/>
      <c r="P842" s="52"/>
      <c r="Q842" s="52"/>
      <c r="R842" s="52"/>
      <c r="S842" s="52"/>
      <c r="T842" s="52"/>
      <c r="U842" s="52"/>
      <c r="V842" s="52"/>
      <c r="W842" s="52"/>
      <c r="X842" s="52"/>
      <c r="Y842" s="52"/>
      <c r="Z842" s="52"/>
      <c r="AA842" s="52"/>
      <c r="AB842" s="52"/>
      <c r="AC842" s="52"/>
      <c r="AD842" s="52"/>
      <c r="AE842" s="52"/>
      <c r="AF842" s="52"/>
      <c r="AG842" s="52"/>
      <c r="AH842" s="52"/>
      <c r="AI842" s="52"/>
      <c r="AJ842" s="52"/>
      <c r="AK842" s="52"/>
      <c r="AL842" s="52"/>
      <c r="AM842" s="52"/>
      <c r="AN842" s="52"/>
    </row>
    <row r="843" spans="1:40" x14ac:dyDescent="0.3">
      <c r="A843" s="52">
        <v>838</v>
      </c>
      <c r="B843" s="52">
        <f>-bthan*500+(37+0.5)*bthan*1000/50</f>
        <v>1375</v>
      </c>
      <c r="C843" s="52">
        <f t="shared" si="131"/>
        <v>-469.99999999999994</v>
      </c>
      <c r="D843" s="52">
        <f t="shared" si="132"/>
        <v>2200</v>
      </c>
      <c r="E843" s="52">
        <f t="shared" si="133"/>
        <v>1</v>
      </c>
      <c r="F843" s="52"/>
      <c r="G843" s="52"/>
      <c r="H843" s="52"/>
      <c r="I843" s="52"/>
      <c r="J843" s="52"/>
      <c r="K843" s="52"/>
      <c r="L843" s="52"/>
      <c r="M843" s="52"/>
      <c r="N843" s="52"/>
      <c r="O843" s="52"/>
      <c r="P843" s="52"/>
      <c r="Q843" s="52"/>
      <c r="R843" s="52"/>
      <c r="S843" s="52"/>
      <c r="T843" s="52"/>
      <c r="U843" s="52"/>
      <c r="V843" s="52"/>
      <c r="W843" s="52"/>
      <c r="X843" s="52"/>
      <c r="Y843" s="52"/>
      <c r="Z843" s="52"/>
      <c r="AA843" s="52"/>
      <c r="AB843" s="52"/>
      <c r="AC843" s="52"/>
      <c r="AD843" s="52"/>
      <c r="AE843" s="52"/>
      <c r="AF843" s="52"/>
      <c r="AG843" s="52"/>
      <c r="AH843" s="52"/>
      <c r="AI843" s="52"/>
      <c r="AJ843" s="52"/>
      <c r="AK843" s="52"/>
      <c r="AL843" s="52"/>
      <c r="AM843" s="52"/>
      <c r="AN843" s="52"/>
    </row>
    <row r="844" spans="1:40" x14ac:dyDescent="0.3">
      <c r="A844" s="52">
        <v>839</v>
      </c>
      <c r="B844" s="52">
        <f>-bthan*500+(38+0.5)*bthan*1000/50</f>
        <v>1485</v>
      </c>
      <c r="C844" s="52">
        <f t="shared" si="131"/>
        <v>-469.99999999999994</v>
      </c>
      <c r="D844" s="52">
        <f t="shared" si="132"/>
        <v>2200</v>
      </c>
      <c r="E844" s="52">
        <f t="shared" si="133"/>
        <v>1</v>
      </c>
      <c r="F844" s="52"/>
      <c r="G844" s="52"/>
      <c r="H844" s="52"/>
      <c r="I844" s="52"/>
      <c r="J844" s="52"/>
      <c r="K844" s="52"/>
      <c r="L844" s="52"/>
      <c r="M844" s="52"/>
      <c r="N844" s="52"/>
      <c r="O844" s="52"/>
      <c r="P844" s="52"/>
      <c r="Q844" s="52"/>
      <c r="R844" s="52"/>
      <c r="S844" s="52"/>
      <c r="T844" s="52"/>
      <c r="U844" s="52"/>
      <c r="V844" s="52"/>
      <c r="W844" s="52"/>
      <c r="X844" s="52"/>
      <c r="Y844" s="52"/>
      <c r="Z844" s="52"/>
      <c r="AA844" s="52"/>
      <c r="AB844" s="52"/>
      <c r="AC844" s="52"/>
      <c r="AD844" s="52"/>
      <c r="AE844" s="52"/>
      <c r="AF844" s="52"/>
      <c r="AG844" s="52"/>
      <c r="AH844" s="52"/>
      <c r="AI844" s="52"/>
      <c r="AJ844" s="52"/>
      <c r="AK844" s="52"/>
      <c r="AL844" s="52"/>
      <c r="AM844" s="52"/>
      <c r="AN844" s="52"/>
    </row>
    <row r="845" spans="1:40" x14ac:dyDescent="0.3">
      <c r="A845" s="52">
        <v>840</v>
      </c>
      <c r="B845" s="52">
        <f>-bthan*500+(39+0.5)*bthan*1000/50</f>
        <v>1595</v>
      </c>
      <c r="C845" s="52">
        <f t="shared" si="131"/>
        <v>-469.99999999999994</v>
      </c>
      <c r="D845" s="52">
        <f t="shared" si="132"/>
        <v>2200</v>
      </c>
      <c r="E845" s="52">
        <f t="shared" si="133"/>
        <v>1</v>
      </c>
      <c r="F845" s="52"/>
      <c r="G845" s="52"/>
      <c r="H845" s="52"/>
      <c r="I845" s="52"/>
      <c r="J845" s="52"/>
      <c r="K845" s="52"/>
      <c r="L845" s="52"/>
      <c r="M845" s="52"/>
      <c r="N845" s="52"/>
      <c r="O845" s="52"/>
      <c r="P845" s="52"/>
      <c r="Q845" s="52"/>
      <c r="R845" s="52"/>
      <c r="S845" s="52"/>
      <c r="T845" s="52"/>
      <c r="U845" s="52"/>
      <c r="V845" s="52"/>
      <c r="W845" s="52"/>
      <c r="X845" s="52"/>
      <c r="Y845" s="52"/>
      <c r="Z845" s="52"/>
      <c r="AA845" s="52"/>
      <c r="AB845" s="52"/>
      <c r="AC845" s="52"/>
      <c r="AD845" s="52"/>
      <c r="AE845" s="52"/>
      <c r="AF845" s="52"/>
      <c r="AG845" s="52"/>
      <c r="AH845" s="52"/>
      <c r="AI845" s="52"/>
      <c r="AJ845" s="52"/>
      <c r="AK845" s="52"/>
      <c r="AL845" s="52"/>
      <c r="AM845" s="52"/>
      <c r="AN845" s="52"/>
    </row>
    <row r="846" spans="1:40" x14ac:dyDescent="0.3">
      <c r="A846" s="52">
        <v>841</v>
      </c>
      <c r="B846" s="52">
        <f>-bthan*500+(40+0.5)*bthan*1000/50</f>
        <v>1705</v>
      </c>
      <c r="C846" s="52">
        <f t="shared" si="131"/>
        <v>-469.99999999999994</v>
      </c>
      <c r="D846" s="52">
        <f t="shared" si="132"/>
        <v>2200</v>
      </c>
      <c r="E846" s="52">
        <f t="shared" si="133"/>
        <v>1</v>
      </c>
      <c r="F846" s="52"/>
      <c r="G846" s="52"/>
      <c r="H846" s="52"/>
      <c r="I846" s="52"/>
      <c r="J846" s="52"/>
      <c r="K846" s="52"/>
      <c r="L846" s="52"/>
      <c r="M846" s="52"/>
      <c r="N846" s="52"/>
      <c r="O846" s="52"/>
      <c r="P846" s="52"/>
      <c r="Q846" s="52"/>
      <c r="R846" s="52"/>
      <c r="S846" s="52"/>
      <c r="T846" s="52"/>
      <c r="U846" s="52"/>
      <c r="V846" s="52"/>
      <c r="W846" s="52"/>
      <c r="X846" s="52"/>
      <c r="Y846" s="52"/>
      <c r="Z846" s="52"/>
      <c r="AA846" s="52"/>
      <c r="AB846" s="52"/>
      <c r="AC846" s="52"/>
      <c r="AD846" s="52"/>
      <c r="AE846" s="52"/>
      <c r="AF846" s="52"/>
      <c r="AG846" s="52"/>
      <c r="AH846" s="52"/>
      <c r="AI846" s="52"/>
      <c r="AJ846" s="52"/>
      <c r="AK846" s="52"/>
      <c r="AL846" s="52"/>
      <c r="AM846" s="52"/>
      <c r="AN846" s="52"/>
    </row>
    <row r="847" spans="1:40" x14ac:dyDescent="0.3">
      <c r="A847" s="52">
        <v>842</v>
      </c>
      <c r="B847" s="52">
        <f>-bthan*500+(41+0.5)*bthan*1000/50</f>
        <v>1815</v>
      </c>
      <c r="C847" s="52">
        <f t="shared" si="131"/>
        <v>-469.99999999999994</v>
      </c>
      <c r="D847" s="52">
        <f t="shared" si="132"/>
        <v>2200</v>
      </c>
      <c r="E847" s="52">
        <f t="shared" si="133"/>
        <v>1</v>
      </c>
      <c r="F847" s="52"/>
      <c r="G847" s="52"/>
      <c r="H847" s="52"/>
      <c r="I847" s="52"/>
      <c r="J847" s="52"/>
      <c r="K847" s="52"/>
      <c r="L847" s="52"/>
      <c r="M847" s="52"/>
      <c r="N847" s="52"/>
      <c r="O847" s="52"/>
      <c r="P847" s="52"/>
      <c r="Q847" s="52"/>
      <c r="R847" s="52"/>
      <c r="S847" s="52"/>
      <c r="T847" s="52"/>
      <c r="U847" s="52"/>
      <c r="V847" s="52"/>
      <c r="W847" s="52"/>
      <c r="X847" s="52"/>
      <c r="Y847" s="52"/>
      <c r="Z847" s="52"/>
      <c r="AA847" s="52"/>
      <c r="AB847" s="52"/>
      <c r="AC847" s="52"/>
      <c r="AD847" s="52"/>
      <c r="AE847" s="52"/>
      <c r="AF847" s="52"/>
      <c r="AG847" s="52"/>
      <c r="AH847" s="52"/>
      <c r="AI847" s="52"/>
      <c r="AJ847" s="52"/>
      <c r="AK847" s="52"/>
      <c r="AL847" s="52"/>
      <c r="AM847" s="52"/>
      <c r="AN847" s="52"/>
    </row>
    <row r="848" spans="1:40" x14ac:dyDescent="0.3">
      <c r="A848" s="52">
        <v>843</v>
      </c>
      <c r="B848" s="52">
        <f>-bthan*500+(42+0.5)*bthan*1000/50</f>
        <v>1925</v>
      </c>
      <c r="C848" s="52">
        <f t="shared" si="131"/>
        <v>-469.99999999999994</v>
      </c>
      <c r="D848" s="52">
        <f t="shared" si="132"/>
        <v>2200</v>
      </c>
      <c r="E848" s="52">
        <f t="shared" si="133"/>
        <v>1</v>
      </c>
      <c r="F848" s="52"/>
      <c r="G848" s="52"/>
      <c r="H848" s="52"/>
      <c r="I848" s="52"/>
      <c r="J848" s="52"/>
      <c r="K848" s="52"/>
      <c r="L848" s="52"/>
      <c r="M848" s="52"/>
      <c r="N848" s="52"/>
      <c r="O848" s="52"/>
      <c r="P848" s="52"/>
      <c r="Q848" s="52"/>
      <c r="R848" s="52"/>
      <c r="S848" s="52"/>
      <c r="T848" s="52"/>
      <c r="U848" s="52"/>
      <c r="V848" s="52"/>
      <c r="W848" s="52"/>
      <c r="X848" s="52"/>
      <c r="Y848" s="52"/>
      <c r="Z848" s="52"/>
      <c r="AA848" s="52"/>
      <c r="AB848" s="52"/>
      <c r="AC848" s="52"/>
      <c r="AD848" s="52"/>
      <c r="AE848" s="52"/>
      <c r="AF848" s="52"/>
      <c r="AG848" s="52"/>
      <c r="AH848" s="52"/>
      <c r="AI848" s="52"/>
      <c r="AJ848" s="52"/>
      <c r="AK848" s="52"/>
      <c r="AL848" s="52"/>
      <c r="AM848" s="52"/>
      <c r="AN848" s="52"/>
    </row>
    <row r="849" spans="1:40" x14ac:dyDescent="0.3">
      <c r="A849" s="52">
        <v>844</v>
      </c>
      <c r="B849" s="52">
        <f>-bthan*500+(43+0.5)*bthan*1000/50</f>
        <v>2035</v>
      </c>
      <c r="C849" s="52">
        <f t="shared" si="131"/>
        <v>-469.99999999999994</v>
      </c>
      <c r="D849" s="52">
        <f t="shared" si="132"/>
        <v>2200</v>
      </c>
      <c r="E849" s="52">
        <f t="shared" si="133"/>
        <v>1</v>
      </c>
      <c r="F849" s="52"/>
      <c r="G849" s="52"/>
      <c r="H849" s="52"/>
      <c r="I849" s="52"/>
      <c r="J849" s="52"/>
      <c r="K849" s="52"/>
      <c r="L849" s="52"/>
      <c r="M849" s="52"/>
      <c r="N849" s="52"/>
      <c r="O849" s="52"/>
      <c r="P849" s="52"/>
      <c r="Q849" s="52"/>
      <c r="R849" s="52"/>
      <c r="S849" s="52"/>
      <c r="T849" s="52"/>
      <c r="U849" s="52"/>
      <c r="V849" s="52"/>
      <c r="W849" s="52"/>
      <c r="X849" s="52"/>
      <c r="Y849" s="52"/>
      <c r="Z849" s="52"/>
      <c r="AA849" s="52"/>
      <c r="AB849" s="52"/>
      <c r="AC849" s="52"/>
      <c r="AD849" s="52"/>
      <c r="AE849" s="52"/>
      <c r="AF849" s="52"/>
      <c r="AG849" s="52"/>
      <c r="AH849" s="52"/>
      <c r="AI849" s="52"/>
      <c r="AJ849" s="52"/>
      <c r="AK849" s="52"/>
      <c r="AL849" s="52"/>
      <c r="AM849" s="52"/>
      <c r="AN849" s="52"/>
    </row>
    <row r="850" spans="1:40" x14ac:dyDescent="0.3">
      <c r="A850" s="52">
        <v>845</v>
      </c>
      <c r="B850" s="52">
        <f>-bthan*500+(44+0.5)*bthan*1000/50</f>
        <v>2145</v>
      </c>
      <c r="C850" s="52">
        <f t="shared" si="131"/>
        <v>-469.99999999999994</v>
      </c>
      <c r="D850" s="52">
        <f t="shared" si="132"/>
        <v>2200</v>
      </c>
      <c r="E850" s="52">
        <f t="shared" si="133"/>
        <v>1</v>
      </c>
      <c r="F850" s="52"/>
      <c r="G850" s="52"/>
      <c r="H850" s="52"/>
      <c r="I850" s="52"/>
      <c r="J850" s="52"/>
      <c r="K850" s="52"/>
      <c r="L850" s="52"/>
      <c r="M850" s="52"/>
      <c r="N850" s="52"/>
      <c r="O850" s="52"/>
      <c r="P850" s="52"/>
      <c r="Q850" s="52"/>
      <c r="R850" s="52"/>
      <c r="S850" s="52"/>
      <c r="T850" s="52"/>
      <c r="U850" s="52"/>
      <c r="V850" s="52"/>
      <c r="W850" s="52"/>
      <c r="X850" s="52"/>
      <c r="Y850" s="52"/>
      <c r="Z850" s="52"/>
      <c r="AA850" s="52"/>
      <c r="AB850" s="52"/>
      <c r="AC850" s="52"/>
      <c r="AD850" s="52"/>
      <c r="AE850" s="52"/>
      <c r="AF850" s="52"/>
      <c r="AG850" s="52"/>
      <c r="AH850" s="52"/>
      <c r="AI850" s="52"/>
      <c r="AJ850" s="52"/>
      <c r="AK850" s="52"/>
      <c r="AL850" s="52"/>
      <c r="AM850" s="52"/>
      <c r="AN850" s="52"/>
    </row>
    <row r="851" spans="1:40" x14ac:dyDescent="0.3">
      <c r="A851" s="52">
        <v>846</v>
      </c>
      <c r="B851" s="52">
        <f>-bthan*500+(45+0.5)*bthan*1000/50</f>
        <v>2255</v>
      </c>
      <c r="C851" s="52">
        <f t="shared" si="131"/>
        <v>-469.99999999999994</v>
      </c>
      <c r="D851" s="52">
        <f t="shared" si="132"/>
        <v>2200</v>
      </c>
      <c r="E851" s="52">
        <f t="shared" si="133"/>
        <v>1</v>
      </c>
      <c r="F851" s="52"/>
      <c r="G851" s="52"/>
      <c r="H851" s="52"/>
      <c r="I851" s="52"/>
      <c r="J851" s="52"/>
      <c r="K851" s="52"/>
      <c r="L851" s="52"/>
      <c r="M851" s="52"/>
      <c r="N851" s="52"/>
      <c r="O851" s="52"/>
      <c r="P851" s="52"/>
      <c r="Q851" s="52"/>
      <c r="R851" s="52"/>
      <c r="S851" s="52"/>
      <c r="T851" s="52"/>
      <c r="U851" s="52"/>
      <c r="V851" s="52"/>
      <c r="W851" s="52"/>
      <c r="X851" s="52"/>
      <c r="Y851" s="52"/>
      <c r="Z851" s="52"/>
      <c r="AA851" s="52"/>
      <c r="AB851" s="52"/>
      <c r="AC851" s="52"/>
      <c r="AD851" s="52"/>
      <c r="AE851" s="52"/>
      <c r="AF851" s="52"/>
      <c r="AG851" s="52"/>
      <c r="AH851" s="52"/>
      <c r="AI851" s="52"/>
      <c r="AJ851" s="52"/>
      <c r="AK851" s="52"/>
      <c r="AL851" s="52"/>
      <c r="AM851" s="52"/>
      <c r="AN851" s="52"/>
    </row>
    <row r="852" spans="1:40" x14ac:dyDescent="0.3">
      <c r="A852" s="52">
        <v>847</v>
      </c>
      <c r="B852" s="52">
        <f>-bthan*500+(46+0.5)*bthan*1000/50</f>
        <v>2365</v>
      </c>
      <c r="C852" s="52">
        <f t="shared" si="131"/>
        <v>-469.99999999999994</v>
      </c>
      <c r="D852" s="52">
        <f t="shared" si="132"/>
        <v>2200</v>
      </c>
      <c r="E852" s="52">
        <f t="shared" si="133"/>
        <v>1</v>
      </c>
      <c r="F852" s="52"/>
      <c r="G852" s="52"/>
      <c r="H852" s="52"/>
      <c r="I852" s="52"/>
      <c r="J852" s="52"/>
      <c r="K852" s="52"/>
      <c r="L852" s="52"/>
      <c r="M852" s="52"/>
      <c r="N852" s="52"/>
      <c r="O852" s="52"/>
      <c r="P852" s="52"/>
      <c r="Q852" s="52"/>
      <c r="R852" s="52"/>
      <c r="S852" s="52"/>
      <c r="T852" s="52"/>
      <c r="U852" s="52"/>
      <c r="V852" s="52"/>
      <c r="W852" s="52"/>
      <c r="X852" s="52"/>
      <c r="Y852" s="52"/>
      <c r="Z852" s="52"/>
      <c r="AA852" s="52"/>
      <c r="AB852" s="52"/>
      <c r="AC852" s="52"/>
      <c r="AD852" s="52"/>
      <c r="AE852" s="52"/>
      <c r="AF852" s="52"/>
      <c r="AG852" s="52"/>
      <c r="AH852" s="52"/>
      <c r="AI852" s="52"/>
      <c r="AJ852" s="52"/>
      <c r="AK852" s="52"/>
      <c r="AL852" s="52"/>
      <c r="AM852" s="52"/>
      <c r="AN852" s="52"/>
    </row>
    <row r="853" spans="1:40" x14ac:dyDescent="0.3">
      <c r="A853" s="52">
        <v>848</v>
      </c>
      <c r="B853" s="52">
        <f>-bthan*500+(47+0.5)*bthan*1000/50</f>
        <v>2475</v>
      </c>
      <c r="C853" s="52">
        <f t="shared" si="131"/>
        <v>-469.99999999999994</v>
      </c>
      <c r="D853" s="52">
        <f t="shared" si="132"/>
        <v>2200</v>
      </c>
      <c r="E853" s="52">
        <f t="shared" si="133"/>
        <v>1</v>
      </c>
      <c r="F853" s="52"/>
      <c r="G853" s="52"/>
      <c r="H853" s="52"/>
      <c r="I853" s="52"/>
      <c r="J853" s="52"/>
      <c r="K853" s="52"/>
      <c r="L853" s="52"/>
      <c r="M853" s="52"/>
      <c r="N853" s="52"/>
      <c r="O853" s="52"/>
      <c r="P853" s="52"/>
      <c r="Q853" s="52"/>
      <c r="R853" s="52"/>
      <c r="S853" s="52"/>
      <c r="T853" s="52"/>
      <c r="U853" s="52"/>
      <c r="V853" s="52"/>
      <c r="W853" s="52"/>
      <c r="X853" s="52"/>
      <c r="Y853" s="52"/>
      <c r="Z853" s="52"/>
      <c r="AA853" s="52"/>
      <c r="AB853" s="52"/>
      <c r="AC853" s="52"/>
      <c r="AD853" s="52"/>
      <c r="AE853" s="52"/>
      <c r="AF853" s="52"/>
      <c r="AG853" s="52"/>
      <c r="AH853" s="52"/>
      <c r="AI853" s="52"/>
      <c r="AJ853" s="52"/>
      <c r="AK853" s="52"/>
      <c r="AL853" s="52"/>
      <c r="AM853" s="52"/>
      <c r="AN853" s="52"/>
    </row>
    <row r="854" spans="1:40" x14ac:dyDescent="0.3">
      <c r="A854" s="52">
        <v>849</v>
      </c>
      <c r="B854" s="52">
        <f>-bthan*500+(48+0.5)*bthan*1000/50</f>
        <v>2585</v>
      </c>
      <c r="C854" s="52">
        <f t="shared" si="131"/>
        <v>-469.99999999999994</v>
      </c>
      <c r="D854" s="52">
        <f t="shared" si="132"/>
        <v>2200</v>
      </c>
      <c r="E854" s="52">
        <f t="shared" si="133"/>
        <v>1</v>
      </c>
      <c r="F854" s="52"/>
      <c r="G854" s="52"/>
      <c r="H854" s="52"/>
      <c r="I854" s="52"/>
      <c r="J854" s="52"/>
      <c r="K854" s="52"/>
      <c r="L854" s="52"/>
      <c r="M854" s="52"/>
      <c r="N854" s="52"/>
      <c r="O854" s="52"/>
      <c r="P854" s="52"/>
      <c r="Q854" s="52"/>
      <c r="R854" s="52"/>
      <c r="S854" s="52"/>
      <c r="T854" s="52"/>
      <c r="U854" s="52"/>
      <c r="V854" s="52"/>
      <c r="W854" s="52"/>
      <c r="X854" s="52"/>
      <c r="Y854" s="52"/>
      <c r="Z854" s="52"/>
      <c r="AA854" s="52"/>
      <c r="AB854" s="52"/>
      <c r="AC854" s="52"/>
      <c r="AD854" s="52"/>
      <c r="AE854" s="52"/>
      <c r="AF854" s="52"/>
      <c r="AG854" s="52"/>
      <c r="AH854" s="52"/>
      <c r="AI854" s="52"/>
      <c r="AJ854" s="52"/>
      <c r="AK854" s="52"/>
      <c r="AL854" s="52"/>
      <c r="AM854" s="52"/>
      <c r="AN854" s="52"/>
    </row>
    <row r="855" spans="1:40" x14ac:dyDescent="0.3">
      <c r="A855" s="52">
        <v>850</v>
      </c>
      <c r="B855" s="52">
        <f>-bthan*500+(49+0.5)*bthan*1000/50</f>
        <v>2695</v>
      </c>
      <c r="C855" s="52">
        <f t="shared" si="131"/>
        <v>-469.99999999999994</v>
      </c>
      <c r="D855" s="52">
        <f t="shared" si="132"/>
        <v>2200</v>
      </c>
      <c r="E855" s="52">
        <f t="shared" si="133"/>
        <v>0</v>
      </c>
      <c r="F855" s="52"/>
      <c r="G855" s="52"/>
      <c r="H855" s="52"/>
      <c r="I855" s="52"/>
      <c r="J855" s="52"/>
      <c r="K855" s="52"/>
      <c r="L855" s="52"/>
      <c r="M855" s="52"/>
      <c r="N855" s="52"/>
      <c r="O855" s="52"/>
      <c r="P855" s="52"/>
      <c r="Q855" s="52"/>
      <c r="R855" s="52"/>
      <c r="S855" s="52"/>
      <c r="T855" s="52"/>
      <c r="U855" s="52"/>
      <c r="V855" s="52"/>
      <c r="W855" s="52"/>
      <c r="X855" s="52"/>
      <c r="Y855" s="52"/>
      <c r="Z855" s="52"/>
      <c r="AA855" s="52"/>
      <c r="AB855" s="52"/>
      <c r="AC855" s="52"/>
      <c r="AD855" s="52"/>
      <c r="AE855" s="52"/>
      <c r="AF855" s="52"/>
      <c r="AG855" s="52"/>
      <c r="AH855" s="52"/>
      <c r="AI855" s="52"/>
      <c r="AJ855" s="52"/>
      <c r="AK855" s="52"/>
      <c r="AL855" s="52"/>
      <c r="AM855" s="52"/>
      <c r="AN855" s="52"/>
    </row>
    <row r="856" spans="1:40" x14ac:dyDescent="0.3">
      <c r="A856" s="52">
        <v>851</v>
      </c>
      <c r="B856" s="52">
        <f>-bthan*500+(0+0.5)*bthan*1000/50</f>
        <v>-2695</v>
      </c>
      <c r="C856" s="52">
        <f t="shared" ref="C856:C887" si="134">-hthan*500+(17+0.5)*hthan*1000/80</f>
        <v>-450</v>
      </c>
      <c r="D856" s="52">
        <f t="shared" si="132"/>
        <v>2200</v>
      </c>
      <c r="E856" s="52">
        <f t="shared" si="133"/>
        <v>0</v>
      </c>
      <c r="F856" s="52"/>
      <c r="G856" s="52"/>
      <c r="H856" s="52"/>
      <c r="I856" s="52"/>
      <c r="J856" s="52"/>
      <c r="K856" s="52"/>
      <c r="L856" s="52"/>
      <c r="M856" s="52"/>
      <c r="N856" s="52"/>
      <c r="O856" s="52"/>
      <c r="P856" s="52"/>
      <c r="Q856" s="52"/>
      <c r="R856" s="52"/>
      <c r="S856" s="52"/>
      <c r="T856" s="52"/>
      <c r="U856" s="52"/>
      <c r="V856" s="52"/>
      <c r="W856" s="52"/>
      <c r="X856" s="52"/>
      <c r="Y856" s="52"/>
      <c r="Z856" s="52"/>
      <c r="AA856" s="52"/>
      <c r="AB856" s="52"/>
      <c r="AC856" s="52"/>
      <c r="AD856" s="52"/>
      <c r="AE856" s="52"/>
      <c r="AF856" s="52"/>
      <c r="AG856" s="52"/>
      <c r="AH856" s="52"/>
      <c r="AI856" s="52"/>
      <c r="AJ856" s="52"/>
      <c r="AK856" s="52"/>
      <c r="AL856" s="52"/>
      <c r="AM856" s="52"/>
      <c r="AN856" s="52"/>
    </row>
    <row r="857" spans="1:40" x14ac:dyDescent="0.3">
      <c r="A857" s="52">
        <v>852</v>
      </c>
      <c r="B857" s="52">
        <f>-bthan*500+(1+0.5)*bthan*1000/50</f>
        <v>-2585</v>
      </c>
      <c r="C857" s="52">
        <f t="shared" si="134"/>
        <v>-450</v>
      </c>
      <c r="D857" s="52">
        <f t="shared" si="132"/>
        <v>2200</v>
      </c>
      <c r="E857" s="52">
        <f t="shared" si="133"/>
        <v>1</v>
      </c>
      <c r="F857" s="52"/>
      <c r="G857" s="52"/>
      <c r="H857" s="52"/>
      <c r="I857" s="52"/>
      <c r="J857" s="52"/>
      <c r="K857" s="52"/>
      <c r="L857" s="52"/>
      <c r="M857" s="52"/>
      <c r="N857" s="52"/>
      <c r="O857" s="52"/>
      <c r="P857" s="52"/>
      <c r="Q857" s="52"/>
      <c r="R857" s="52"/>
      <c r="S857" s="52"/>
      <c r="T857" s="52"/>
      <c r="U857" s="52"/>
      <c r="V857" s="52"/>
      <c r="W857" s="52"/>
      <c r="X857" s="52"/>
      <c r="Y857" s="52"/>
      <c r="Z857" s="52"/>
      <c r="AA857" s="52"/>
      <c r="AB857" s="52"/>
      <c r="AC857" s="52"/>
      <c r="AD857" s="52"/>
      <c r="AE857" s="52"/>
      <c r="AF857" s="52"/>
      <c r="AG857" s="52"/>
      <c r="AH857" s="52"/>
      <c r="AI857" s="52"/>
      <c r="AJ857" s="52"/>
      <c r="AK857" s="52"/>
      <c r="AL857" s="52"/>
      <c r="AM857" s="52"/>
      <c r="AN857" s="52"/>
    </row>
    <row r="858" spans="1:40" x14ac:dyDescent="0.3">
      <c r="A858" s="52">
        <v>853</v>
      </c>
      <c r="B858" s="52">
        <f>-bthan*500+(2+0.5)*bthan*1000/50</f>
        <v>-2475</v>
      </c>
      <c r="C858" s="52">
        <f t="shared" si="134"/>
        <v>-450</v>
      </c>
      <c r="D858" s="52">
        <f t="shared" si="132"/>
        <v>2200</v>
      </c>
      <c r="E858" s="52">
        <f t="shared" si="133"/>
        <v>1</v>
      </c>
      <c r="F858" s="52"/>
      <c r="G858" s="52"/>
      <c r="H858" s="52"/>
      <c r="I858" s="52"/>
      <c r="J858" s="52"/>
      <c r="K858" s="52"/>
      <c r="L858" s="52"/>
      <c r="M858" s="52"/>
      <c r="N858" s="52"/>
      <c r="O858" s="52"/>
      <c r="P858" s="52"/>
      <c r="Q858" s="52"/>
      <c r="R858" s="52"/>
      <c r="S858" s="52"/>
      <c r="T858" s="52"/>
      <c r="U858" s="52"/>
      <c r="V858" s="52"/>
      <c r="W858" s="52"/>
      <c r="X858" s="52"/>
      <c r="Y858" s="52"/>
      <c r="Z858" s="52"/>
      <c r="AA858" s="52"/>
      <c r="AB858" s="52"/>
      <c r="AC858" s="52"/>
      <c r="AD858" s="52"/>
      <c r="AE858" s="52"/>
      <c r="AF858" s="52"/>
      <c r="AG858" s="52"/>
      <c r="AH858" s="52"/>
      <c r="AI858" s="52"/>
      <c r="AJ858" s="52"/>
      <c r="AK858" s="52"/>
      <c r="AL858" s="52"/>
      <c r="AM858" s="52"/>
      <c r="AN858" s="52"/>
    </row>
    <row r="859" spans="1:40" x14ac:dyDescent="0.3">
      <c r="A859" s="52">
        <v>854</v>
      </c>
      <c r="B859" s="52">
        <f>-bthan*500+(3+0.5)*bthan*1000/50</f>
        <v>-2365</v>
      </c>
      <c r="C859" s="52">
        <f t="shared" si="134"/>
        <v>-450</v>
      </c>
      <c r="D859" s="52">
        <f t="shared" si="132"/>
        <v>2200</v>
      </c>
      <c r="E859" s="52">
        <f t="shared" si="133"/>
        <v>1</v>
      </c>
      <c r="F859" s="52"/>
      <c r="G859" s="52"/>
      <c r="H859" s="52"/>
      <c r="I859" s="52"/>
      <c r="J859" s="52"/>
      <c r="K859" s="52"/>
      <c r="L859" s="52"/>
      <c r="M859" s="52"/>
      <c r="N859" s="52"/>
      <c r="O859" s="52"/>
      <c r="P859" s="52"/>
      <c r="Q859" s="52"/>
      <c r="R859" s="52"/>
      <c r="S859" s="52"/>
      <c r="T859" s="52"/>
      <c r="U859" s="52"/>
      <c r="V859" s="52"/>
      <c r="W859" s="52"/>
      <c r="X859" s="52"/>
      <c r="Y859" s="52"/>
      <c r="Z859" s="52"/>
      <c r="AA859" s="52"/>
      <c r="AB859" s="52"/>
      <c r="AC859" s="52"/>
      <c r="AD859" s="52"/>
      <c r="AE859" s="52"/>
      <c r="AF859" s="52"/>
      <c r="AG859" s="52"/>
      <c r="AH859" s="52"/>
      <c r="AI859" s="52"/>
      <c r="AJ859" s="52"/>
      <c r="AK859" s="52"/>
      <c r="AL859" s="52"/>
      <c r="AM859" s="52"/>
      <c r="AN859" s="52"/>
    </row>
    <row r="860" spans="1:40" x14ac:dyDescent="0.3">
      <c r="A860" s="52">
        <v>855</v>
      </c>
      <c r="B860" s="52">
        <f>-bthan*500+(4+0.5)*bthan*1000/50</f>
        <v>-2255</v>
      </c>
      <c r="C860" s="52">
        <f t="shared" si="134"/>
        <v>-450</v>
      </c>
      <c r="D860" s="52">
        <f t="shared" si="132"/>
        <v>2200</v>
      </c>
      <c r="E860" s="52">
        <f t="shared" si="133"/>
        <v>1</v>
      </c>
      <c r="F860" s="52"/>
      <c r="G860" s="52"/>
      <c r="H860" s="52"/>
      <c r="I860" s="52"/>
      <c r="J860" s="52"/>
      <c r="K860" s="52"/>
      <c r="L860" s="52"/>
      <c r="M860" s="52"/>
      <c r="N860" s="52"/>
      <c r="O860" s="52"/>
      <c r="P860" s="52"/>
      <c r="Q860" s="52"/>
      <c r="R860" s="52"/>
      <c r="S860" s="52"/>
      <c r="T860" s="52"/>
      <c r="U860" s="52"/>
      <c r="V860" s="52"/>
      <c r="W860" s="52"/>
      <c r="X860" s="52"/>
      <c r="Y860" s="52"/>
      <c r="Z860" s="52"/>
      <c r="AA860" s="52"/>
      <c r="AB860" s="52"/>
      <c r="AC860" s="52"/>
      <c r="AD860" s="52"/>
      <c r="AE860" s="52"/>
      <c r="AF860" s="52"/>
      <c r="AG860" s="52"/>
      <c r="AH860" s="52"/>
      <c r="AI860" s="52"/>
      <c r="AJ860" s="52"/>
      <c r="AK860" s="52"/>
      <c r="AL860" s="52"/>
      <c r="AM860" s="52"/>
      <c r="AN860" s="52"/>
    </row>
    <row r="861" spans="1:40" x14ac:dyDescent="0.3">
      <c r="A861" s="52">
        <v>856</v>
      </c>
      <c r="B861" s="52">
        <f>-bthan*500+(5+0.5)*bthan*1000/50</f>
        <v>-2145</v>
      </c>
      <c r="C861" s="52">
        <f t="shared" si="134"/>
        <v>-450</v>
      </c>
      <c r="D861" s="52">
        <f t="shared" si="132"/>
        <v>2200</v>
      </c>
      <c r="E861" s="52">
        <f t="shared" si="133"/>
        <v>1</v>
      </c>
      <c r="F861" s="52"/>
      <c r="G861" s="52"/>
      <c r="H861" s="52"/>
      <c r="I861" s="52"/>
      <c r="J861" s="52"/>
      <c r="K861" s="52"/>
      <c r="L861" s="52"/>
      <c r="M861" s="52"/>
      <c r="N861" s="52"/>
      <c r="O861" s="52"/>
      <c r="P861" s="52"/>
      <c r="Q861" s="52"/>
      <c r="R861" s="52"/>
      <c r="S861" s="52"/>
      <c r="T861" s="52"/>
      <c r="U861" s="52"/>
      <c r="V861" s="52"/>
      <c r="W861" s="52"/>
      <c r="X861" s="52"/>
      <c r="Y861" s="52"/>
      <c r="Z861" s="52"/>
      <c r="AA861" s="52"/>
      <c r="AB861" s="52"/>
      <c r="AC861" s="52"/>
      <c r="AD861" s="52"/>
      <c r="AE861" s="52"/>
      <c r="AF861" s="52"/>
      <c r="AG861" s="52"/>
      <c r="AH861" s="52"/>
      <c r="AI861" s="52"/>
      <c r="AJ861" s="52"/>
      <c r="AK861" s="52"/>
      <c r="AL861" s="52"/>
      <c r="AM861" s="52"/>
      <c r="AN861" s="52"/>
    </row>
    <row r="862" spans="1:40" x14ac:dyDescent="0.3">
      <c r="A862" s="52">
        <v>857</v>
      </c>
      <c r="B862" s="52">
        <f>-bthan*500+(6+0.5)*bthan*1000/50</f>
        <v>-2035</v>
      </c>
      <c r="C862" s="52">
        <f t="shared" si="134"/>
        <v>-450</v>
      </c>
      <c r="D862" s="52">
        <f t="shared" si="132"/>
        <v>2200</v>
      </c>
      <c r="E862" s="52">
        <f t="shared" si="133"/>
        <v>1</v>
      </c>
      <c r="F862" s="52"/>
      <c r="G862" s="52"/>
      <c r="H862" s="52"/>
      <c r="I862" s="52"/>
      <c r="J862" s="52"/>
      <c r="K862" s="52"/>
      <c r="L862" s="52"/>
      <c r="M862" s="52"/>
      <c r="N862" s="52"/>
      <c r="O862" s="52"/>
      <c r="P862" s="52"/>
      <c r="Q862" s="52"/>
      <c r="R862" s="52"/>
      <c r="S862" s="52"/>
      <c r="T862" s="52"/>
      <c r="U862" s="52"/>
      <c r="V862" s="52"/>
      <c r="W862" s="52"/>
      <c r="X862" s="52"/>
      <c r="Y862" s="52"/>
      <c r="Z862" s="52"/>
      <c r="AA862" s="52"/>
      <c r="AB862" s="52"/>
      <c r="AC862" s="52"/>
      <c r="AD862" s="52"/>
      <c r="AE862" s="52"/>
      <c r="AF862" s="52"/>
      <c r="AG862" s="52"/>
      <c r="AH862" s="52"/>
      <c r="AI862" s="52"/>
      <c r="AJ862" s="52"/>
      <c r="AK862" s="52"/>
      <c r="AL862" s="52"/>
      <c r="AM862" s="52"/>
      <c r="AN862" s="52"/>
    </row>
    <row r="863" spans="1:40" x14ac:dyDescent="0.3">
      <c r="A863" s="52">
        <v>858</v>
      </c>
      <c r="B863" s="52">
        <f>-bthan*500+(7+0.5)*bthan*1000/50</f>
        <v>-1925</v>
      </c>
      <c r="C863" s="52">
        <f t="shared" si="134"/>
        <v>-450</v>
      </c>
      <c r="D863" s="52">
        <f t="shared" si="132"/>
        <v>2200</v>
      </c>
      <c r="E863" s="52">
        <f t="shared" si="133"/>
        <v>1</v>
      </c>
      <c r="F863" s="52"/>
      <c r="G863" s="52"/>
      <c r="H863" s="52"/>
      <c r="I863" s="52"/>
      <c r="J863" s="52"/>
      <c r="K863" s="52"/>
      <c r="L863" s="52"/>
      <c r="M863" s="52"/>
      <c r="N863" s="52"/>
      <c r="O863" s="52"/>
      <c r="P863" s="52"/>
      <c r="Q863" s="52"/>
      <c r="R863" s="52"/>
      <c r="S863" s="52"/>
      <c r="T863" s="52"/>
      <c r="U863" s="52"/>
      <c r="V863" s="52"/>
      <c r="W863" s="52"/>
      <c r="X863" s="52"/>
      <c r="Y863" s="52"/>
      <c r="Z863" s="52"/>
      <c r="AA863" s="52"/>
      <c r="AB863" s="52"/>
      <c r="AC863" s="52"/>
      <c r="AD863" s="52"/>
      <c r="AE863" s="52"/>
      <c r="AF863" s="52"/>
      <c r="AG863" s="52"/>
      <c r="AH863" s="52"/>
      <c r="AI863" s="52"/>
      <c r="AJ863" s="52"/>
      <c r="AK863" s="52"/>
      <c r="AL863" s="52"/>
      <c r="AM863" s="52"/>
      <c r="AN863" s="52"/>
    </row>
    <row r="864" spans="1:40" x14ac:dyDescent="0.3">
      <c r="A864" s="52">
        <v>859</v>
      </c>
      <c r="B864" s="52">
        <f>-bthan*500+(8+0.5)*bthan*1000/50</f>
        <v>-1815</v>
      </c>
      <c r="C864" s="52">
        <f t="shared" si="134"/>
        <v>-450</v>
      </c>
      <c r="D864" s="52">
        <f t="shared" si="132"/>
        <v>2200</v>
      </c>
      <c r="E864" s="52">
        <f t="shared" si="133"/>
        <v>1</v>
      </c>
      <c r="F864" s="52"/>
      <c r="G864" s="52"/>
      <c r="H864" s="52"/>
      <c r="I864" s="52"/>
      <c r="J864" s="52"/>
      <c r="K864" s="52"/>
      <c r="L864" s="52"/>
      <c r="M864" s="52"/>
      <c r="N864" s="52"/>
      <c r="O864" s="52"/>
      <c r="P864" s="52"/>
      <c r="Q864" s="52"/>
      <c r="R864" s="52"/>
      <c r="S864" s="52"/>
      <c r="T864" s="52"/>
      <c r="U864" s="52"/>
      <c r="V864" s="52"/>
      <c r="W864" s="52"/>
      <c r="X864" s="52"/>
      <c r="Y864" s="52"/>
      <c r="Z864" s="52"/>
      <c r="AA864" s="52"/>
      <c r="AB864" s="52"/>
      <c r="AC864" s="52"/>
      <c r="AD864" s="52"/>
      <c r="AE864" s="52"/>
      <c r="AF864" s="52"/>
      <c r="AG864" s="52"/>
      <c r="AH864" s="52"/>
      <c r="AI864" s="52"/>
      <c r="AJ864" s="52"/>
      <c r="AK864" s="52"/>
      <c r="AL864" s="52"/>
      <c r="AM864" s="52"/>
      <c r="AN864" s="52"/>
    </row>
    <row r="865" spans="1:40" x14ac:dyDescent="0.3">
      <c r="A865" s="52">
        <v>860</v>
      </c>
      <c r="B865" s="52">
        <f>-bthan*500+(9+0.5)*bthan*1000/50</f>
        <v>-1705</v>
      </c>
      <c r="C865" s="52">
        <f t="shared" si="134"/>
        <v>-450</v>
      </c>
      <c r="D865" s="52">
        <f t="shared" si="132"/>
        <v>2200</v>
      </c>
      <c r="E865" s="52">
        <f t="shared" si="133"/>
        <v>1</v>
      </c>
      <c r="F865" s="52"/>
      <c r="G865" s="52"/>
      <c r="H865" s="52"/>
      <c r="I865" s="52"/>
      <c r="J865" s="52"/>
      <c r="K865" s="52"/>
      <c r="L865" s="52"/>
      <c r="M865" s="52"/>
      <c r="N865" s="52"/>
      <c r="O865" s="52"/>
      <c r="P865" s="52"/>
      <c r="Q865" s="52"/>
      <c r="R865" s="52"/>
      <c r="S865" s="52"/>
      <c r="T865" s="52"/>
      <c r="U865" s="52"/>
      <c r="V865" s="52"/>
      <c r="W865" s="52"/>
      <c r="X865" s="52"/>
      <c r="Y865" s="52"/>
      <c r="Z865" s="52"/>
      <c r="AA865" s="52"/>
      <c r="AB865" s="52"/>
      <c r="AC865" s="52"/>
      <c r="AD865" s="52"/>
      <c r="AE865" s="52"/>
      <c r="AF865" s="52"/>
      <c r="AG865" s="52"/>
      <c r="AH865" s="52"/>
      <c r="AI865" s="52"/>
      <c r="AJ865" s="52"/>
      <c r="AK865" s="52"/>
      <c r="AL865" s="52"/>
      <c r="AM865" s="52"/>
      <c r="AN865" s="52"/>
    </row>
    <row r="866" spans="1:40" x14ac:dyDescent="0.3">
      <c r="A866" s="52">
        <v>861</v>
      </c>
      <c r="B866" s="52">
        <f>-bthan*500+(10+0.5)*bthan*1000/50</f>
        <v>-1595</v>
      </c>
      <c r="C866" s="52">
        <f t="shared" si="134"/>
        <v>-450</v>
      </c>
      <c r="D866" s="52">
        <f t="shared" si="132"/>
        <v>2200</v>
      </c>
      <c r="E866" s="52">
        <f t="shared" si="133"/>
        <v>1</v>
      </c>
      <c r="F866" s="52"/>
      <c r="G866" s="52"/>
      <c r="H866" s="52"/>
      <c r="I866" s="52"/>
      <c r="J866" s="52"/>
      <c r="K866" s="52"/>
      <c r="L866" s="52"/>
      <c r="M866" s="52"/>
      <c r="N866" s="52"/>
      <c r="O866" s="52"/>
      <c r="P866" s="52"/>
      <c r="Q866" s="52"/>
      <c r="R866" s="52"/>
      <c r="S866" s="52"/>
      <c r="T866" s="52"/>
      <c r="U866" s="52"/>
      <c r="V866" s="52"/>
      <c r="W866" s="52"/>
      <c r="X866" s="52"/>
      <c r="Y866" s="52"/>
      <c r="Z866" s="52"/>
      <c r="AA866" s="52"/>
      <c r="AB866" s="52"/>
      <c r="AC866" s="52"/>
      <c r="AD866" s="52"/>
      <c r="AE866" s="52"/>
      <c r="AF866" s="52"/>
      <c r="AG866" s="52"/>
      <c r="AH866" s="52"/>
      <c r="AI866" s="52"/>
      <c r="AJ866" s="52"/>
      <c r="AK866" s="52"/>
      <c r="AL866" s="52"/>
      <c r="AM866" s="52"/>
      <c r="AN866" s="52"/>
    </row>
    <row r="867" spans="1:40" x14ac:dyDescent="0.3">
      <c r="A867" s="52">
        <v>862</v>
      </c>
      <c r="B867" s="52">
        <f>-bthan*500+(11+0.5)*bthan*1000/50</f>
        <v>-1485</v>
      </c>
      <c r="C867" s="52">
        <f t="shared" si="134"/>
        <v>-450</v>
      </c>
      <c r="D867" s="52">
        <f t="shared" si="132"/>
        <v>2200</v>
      </c>
      <c r="E867" s="52">
        <f t="shared" si="133"/>
        <v>1</v>
      </c>
      <c r="F867" s="52"/>
      <c r="G867" s="52"/>
      <c r="H867" s="52"/>
      <c r="I867" s="52"/>
      <c r="J867" s="52"/>
      <c r="K867" s="52"/>
      <c r="L867" s="52"/>
      <c r="M867" s="52"/>
      <c r="N867" s="52"/>
      <c r="O867" s="52"/>
      <c r="P867" s="52"/>
      <c r="Q867" s="52"/>
      <c r="R867" s="52"/>
      <c r="S867" s="52"/>
      <c r="T867" s="52"/>
      <c r="U867" s="52"/>
      <c r="V867" s="52"/>
      <c r="W867" s="52"/>
      <c r="X867" s="52"/>
      <c r="Y867" s="52"/>
      <c r="Z867" s="52"/>
      <c r="AA867" s="52"/>
      <c r="AB867" s="52"/>
      <c r="AC867" s="52"/>
      <c r="AD867" s="52"/>
      <c r="AE867" s="52"/>
      <c r="AF867" s="52"/>
      <c r="AG867" s="52"/>
      <c r="AH867" s="52"/>
      <c r="AI867" s="52"/>
      <c r="AJ867" s="52"/>
      <c r="AK867" s="52"/>
      <c r="AL867" s="52"/>
      <c r="AM867" s="52"/>
      <c r="AN867" s="52"/>
    </row>
    <row r="868" spans="1:40" x14ac:dyDescent="0.3">
      <c r="A868" s="52">
        <v>863</v>
      </c>
      <c r="B868" s="52">
        <f>-bthan*500+(12+0.5)*bthan*1000/50</f>
        <v>-1375</v>
      </c>
      <c r="C868" s="52">
        <f t="shared" si="134"/>
        <v>-450</v>
      </c>
      <c r="D868" s="52">
        <f t="shared" si="132"/>
        <v>2200</v>
      </c>
      <c r="E868" s="52">
        <f t="shared" si="133"/>
        <v>1</v>
      </c>
      <c r="F868" s="52"/>
      <c r="G868" s="52"/>
      <c r="H868" s="52"/>
      <c r="I868" s="52"/>
      <c r="J868" s="52"/>
      <c r="K868" s="52"/>
      <c r="L868" s="52"/>
      <c r="M868" s="52"/>
      <c r="N868" s="52"/>
      <c r="O868" s="52"/>
      <c r="P868" s="52"/>
      <c r="Q868" s="52"/>
      <c r="R868" s="52"/>
      <c r="S868" s="52"/>
      <c r="T868" s="52"/>
      <c r="U868" s="52"/>
      <c r="V868" s="52"/>
      <c r="W868" s="52"/>
      <c r="X868" s="52"/>
      <c r="Y868" s="52"/>
      <c r="Z868" s="52"/>
      <c r="AA868" s="52"/>
      <c r="AB868" s="52"/>
      <c r="AC868" s="52"/>
      <c r="AD868" s="52"/>
      <c r="AE868" s="52"/>
      <c r="AF868" s="52"/>
      <c r="AG868" s="52"/>
      <c r="AH868" s="52"/>
      <c r="AI868" s="52"/>
      <c r="AJ868" s="52"/>
      <c r="AK868" s="52"/>
      <c r="AL868" s="52"/>
      <c r="AM868" s="52"/>
      <c r="AN868" s="52"/>
    </row>
    <row r="869" spans="1:40" x14ac:dyDescent="0.3">
      <c r="A869" s="52">
        <v>864</v>
      </c>
      <c r="B869" s="52">
        <f>-bthan*500+(13+0.5)*bthan*1000/50</f>
        <v>-1265</v>
      </c>
      <c r="C869" s="52">
        <f t="shared" si="134"/>
        <v>-450</v>
      </c>
      <c r="D869" s="52">
        <f t="shared" si="132"/>
        <v>2200</v>
      </c>
      <c r="E869" s="52">
        <f t="shared" si="133"/>
        <v>1</v>
      </c>
      <c r="F869" s="52"/>
      <c r="G869" s="52"/>
      <c r="H869" s="52"/>
      <c r="I869" s="52"/>
      <c r="J869" s="52"/>
      <c r="K869" s="52"/>
      <c r="L869" s="52"/>
      <c r="M869" s="52"/>
      <c r="N869" s="52"/>
      <c r="O869" s="52"/>
      <c r="P869" s="52"/>
      <c r="Q869" s="52"/>
      <c r="R869" s="52"/>
      <c r="S869" s="52"/>
      <c r="T869" s="52"/>
      <c r="U869" s="52"/>
      <c r="V869" s="52"/>
      <c r="W869" s="52"/>
      <c r="X869" s="52"/>
      <c r="Y869" s="52"/>
      <c r="Z869" s="52"/>
      <c r="AA869" s="52"/>
      <c r="AB869" s="52"/>
      <c r="AC869" s="52"/>
      <c r="AD869" s="52"/>
      <c r="AE869" s="52"/>
      <c r="AF869" s="52"/>
      <c r="AG869" s="52"/>
      <c r="AH869" s="52"/>
      <c r="AI869" s="52"/>
      <c r="AJ869" s="52"/>
      <c r="AK869" s="52"/>
      <c r="AL869" s="52"/>
      <c r="AM869" s="52"/>
      <c r="AN869" s="52"/>
    </row>
    <row r="870" spans="1:40" x14ac:dyDescent="0.3">
      <c r="A870" s="52">
        <v>865</v>
      </c>
      <c r="B870" s="52">
        <f>-bthan*500+(14+0.5)*bthan*1000/50</f>
        <v>-1155</v>
      </c>
      <c r="C870" s="52">
        <f t="shared" si="134"/>
        <v>-450</v>
      </c>
      <c r="D870" s="52">
        <f t="shared" si="132"/>
        <v>2200</v>
      </c>
      <c r="E870" s="52">
        <f t="shared" si="133"/>
        <v>1</v>
      </c>
      <c r="F870" s="52"/>
      <c r="G870" s="52"/>
      <c r="H870" s="52"/>
      <c r="I870" s="52"/>
      <c r="J870" s="52"/>
      <c r="K870" s="52"/>
      <c r="L870" s="52"/>
      <c r="M870" s="52"/>
      <c r="N870" s="52"/>
      <c r="O870" s="52"/>
      <c r="P870" s="52"/>
      <c r="Q870" s="52"/>
      <c r="R870" s="52"/>
      <c r="S870" s="52"/>
      <c r="T870" s="52"/>
      <c r="U870" s="52"/>
      <c r="V870" s="52"/>
      <c r="W870" s="52"/>
      <c r="X870" s="52"/>
      <c r="Y870" s="52"/>
      <c r="Z870" s="52"/>
      <c r="AA870" s="52"/>
      <c r="AB870" s="52"/>
      <c r="AC870" s="52"/>
      <c r="AD870" s="52"/>
      <c r="AE870" s="52"/>
      <c r="AF870" s="52"/>
      <c r="AG870" s="52"/>
      <c r="AH870" s="52"/>
      <c r="AI870" s="52"/>
      <c r="AJ870" s="52"/>
      <c r="AK870" s="52"/>
      <c r="AL870" s="52"/>
      <c r="AM870" s="52"/>
      <c r="AN870" s="52"/>
    </row>
    <row r="871" spans="1:40" x14ac:dyDescent="0.3">
      <c r="A871" s="52">
        <v>866</v>
      </c>
      <c r="B871" s="52">
        <f>-bthan*500+(15+0.5)*bthan*1000/50</f>
        <v>-1045</v>
      </c>
      <c r="C871" s="52">
        <f t="shared" si="134"/>
        <v>-450</v>
      </c>
      <c r="D871" s="52">
        <f t="shared" si="132"/>
        <v>2200</v>
      </c>
      <c r="E871" s="52">
        <f t="shared" si="133"/>
        <v>1</v>
      </c>
      <c r="F871" s="52"/>
      <c r="G871" s="52"/>
      <c r="H871" s="52"/>
      <c r="I871" s="52"/>
      <c r="J871" s="52"/>
      <c r="K871" s="52"/>
      <c r="L871" s="52"/>
      <c r="M871" s="52"/>
      <c r="N871" s="52"/>
      <c r="O871" s="52"/>
      <c r="P871" s="52"/>
      <c r="Q871" s="52"/>
      <c r="R871" s="52"/>
      <c r="S871" s="52"/>
      <c r="T871" s="52"/>
      <c r="U871" s="52"/>
      <c r="V871" s="52"/>
      <c r="W871" s="52"/>
      <c r="X871" s="52"/>
      <c r="Y871" s="52"/>
      <c r="Z871" s="52"/>
      <c r="AA871" s="52"/>
      <c r="AB871" s="52"/>
      <c r="AC871" s="52"/>
      <c r="AD871" s="52"/>
      <c r="AE871" s="52"/>
      <c r="AF871" s="52"/>
      <c r="AG871" s="52"/>
      <c r="AH871" s="52"/>
      <c r="AI871" s="52"/>
      <c r="AJ871" s="52"/>
      <c r="AK871" s="52"/>
      <c r="AL871" s="52"/>
      <c r="AM871" s="52"/>
      <c r="AN871" s="52"/>
    </row>
    <row r="872" spans="1:40" x14ac:dyDescent="0.3">
      <c r="A872" s="52">
        <v>867</v>
      </c>
      <c r="B872" s="52">
        <f>-bthan*500+(16+0.5)*bthan*1000/50</f>
        <v>-935</v>
      </c>
      <c r="C872" s="52">
        <f t="shared" si="134"/>
        <v>-450</v>
      </c>
      <c r="D872" s="52">
        <f t="shared" si="132"/>
        <v>2200</v>
      </c>
      <c r="E872" s="52">
        <f t="shared" si="133"/>
        <v>1</v>
      </c>
      <c r="F872" s="52"/>
      <c r="G872" s="52"/>
      <c r="H872" s="52"/>
      <c r="I872" s="52"/>
      <c r="J872" s="52"/>
      <c r="K872" s="52"/>
      <c r="L872" s="52"/>
      <c r="M872" s="52"/>
      <c r="N872" s="52"/>
      <c r="O872" s="52"/>
      <c r="P872" s="52"/>
      <c r="Q872" s="52"/>
      <c r="R872" s="52"/>
      <c r="S872" s="52"/>
      <c r="T872" s="52"/>
      <c r="U872" s="52"/>
      <c r="V872" s="52"/>
      <c r="W872" s="52"/>
      <c r="X872" s="52"/>
      <c r="Y872" s="52"/>
      <c r="Z872" s="52"/>
      <c r="AA872" s="52"/>
      <c r="AB872" s="52"/>
      <c r="AC872" s="52"/>
      <c r="AD872" s="52"/>
      <c r="AE872" s="52"/>
      <c r="AF872" s="52"/>
      <c r="AG872" s="52"/>
      <c r="AH872" s="52"/>
      <c r="AI872" s="52"/>
      <c r="AJ872" s="52"/>
      <c r="AK872" s="52"/>
      <c r="AL872" s="52"/>
      <c r="AM872" s="52"/>
      <c r="AN872" s="52"/>
    </row>
    <row r="873" spans="1:40" x14ac:dyDescent="0.3">
      <c r="A873" s="52">
        <v>868</v>
      </c>
      <c r="B873" s="52">
        <f>-bthan*500+(17+0.5)*bthan*1000/50</f>
        <v>-825</v>
      </c>
      <c r="C873" s="52">
        <f t="shared" si="134"/>
        <v>-450</v>
      </c>
      <c r="D873" s="52">
        <f t="shared" si="132"/>
        <v>2200</v>
      </c>
      <c r="E873" s="52">
        <f t="shared" si="133"/>
        <v>1</v>
      </c>
      <c r="F873" s="52"/>
      <c r="G873" s="52"/>
      <c r="H873" s="52"/>
      <c r="I873" s="52"/>
      <c r="J873" s="52"/>
      <c r="K873" s="52"/>
      <c r="L873" s="52"/>
      <c r="M873" s="52"/>
      <c r="N873" s="52"/>
      <c r="O873" s="52"/>
      <c r="P873" s="52"/>
      <c r="Q873" s="52"/>
      <c r="R873" s="52"/>
      <c r="S873" s="52"/>
      <c r="T873" s="52"/>
      <c r="U873" s="52"/>
      <c r="V873" s="52"/>
      <c r="W873" s="52"/>
      <c r="X873" s="52"/>
      <c r="Y873" s="52"/>
      <c r="Z873" s="52"/>
      <c r="AA873" s="52"/>
      <c r="AB873" s="52"/>
      <c r="AC873" s="52"/>
      <c r="AD873" s="52"/>
      <c r="AE873" s="52"/>
      <c r="AF873" s="52"/>
      <c r="AG873" s="52"/>
      <c r="AH873" s="52"/>
      <c r="AI873" s="52"/>
      <c r="AJ873" s="52"/>
      <c r="AK873" s="52"/>
      <c r="AL873" s="52"/>
      <c r="AM873" s="52"/>
      <c r="AN873" s="52"/>
    </row>
    <row r="874" spans="1:40" x14ac:dyDescent="0.3">
      <c r="A874" s="52">
        <v>869</v>
      </c>
      <c r="B874" s="52">
        <f>-bthan*500+(18+0.5)*bthan*1000/50</f>
        <v>-715</v>
      </c>
      <c r="C874" s="52">
        <f t="shared" si="134"/>
        <v>-450</v>
      </c>
      <c r="D874" s="52">
        <f t="shared" si="132"/>
        <v>2200</v>
      </c>
      <c r="E874" s="52">
        <f t="shared" si="133"/>
        <v>1</v>
      </c>
      <c r="F874" s="52"/>
      <c r="G874" s="52"/>
      <c r="H874" s="52"/>
      <c r="I874" s="52"/>
      <c r="J874" s="52"/>
      <c r="K874" s="52"/>
      <c r="L874" s="52"/>
      <c r="M874" s="52"/>
      <c r="N874" s="52"/>
      <c r="O874" s="52"/>
      <c r="P874" s="52"/>
      <c r="Q874" s="52"/>
      <c r="R874" s="52"/>
      <c r="S874" s="52"/>
      <c r="T874" s="52"/>
      <c r="U874" s="52"/>
      <c r="V874" s="52"/>
      <c r="W874" s="52"/>
      <c r="X874" s="52"/>
      <c r="Y874" s="52"/>
      <c r="Z874" s="52"/>
      <c r="AA874" s="52"/>
      <c r="AB874" s="52"/>
      <c r="AC874" s="52"/>
      <c r="AD874" s="52"/>
      <c r="AE874" s="52"/>
      <c r="AF874" s="52"/>
      <c r="AG874" s="52"/>
      <c r="AH874" s="52"/>
      <c r="AI874" s="52"/>
      <c r="AJ874" s="52"/>
      <c r="AK874" s="52"/>
      <c r="AL874" s="52"/>
      <c r="AM874" s="52"/>
      <c r="AN874" s="52"/>
    </row>
    <row r="875" spans="1:40" x14ac:dyDescent="0.3">
      <c r="A875" s="52">
        <v>870</v>
      </c>
      <c r="B875" s="52">
        <f>-bthan*500+(19+0.5)*bthan*1000/50</f>
        <v>-605</v>
      </c>
      <c r="C875" s="52">
        <f t="shared" si="134"/>
        <v>-450</v>
      </c>
      <c r="D875" s="52">
        <f t="shared" si="132"/>
        <v>2200</v>
      </c>
      <c r="E875" s="52">
        <f t="shared" si="133"/>
        <v>1</v>
      </c>
      <c r="F875" s="52"/>
      <c r="G875" s="52"/>
      <c r="H875" s="52"/>
      <c r="I875" s="52"/>
      <c r="J875" s="52"/>
      <c r="K875" s="52"/>
      <c r="L875" s="52"/>
      <c r="M875" s="52"/>
      <c r="N875" s="52"/>
      <c r="O875" s="52"/>
      <c r="P875" s="52"/>
      <c r="Q875" s="52"/>
      <c r="R875" s="52"/>
      <c r="S875" s="52"/>
      <c r="T875" s="52"/>
      <c r="U875" s="52"/>
      <c r="V875" s="52"/>
      <c r="W875" s="52"/>
      <c r="X875" s="52"/>
      <c r="Y875" s="52"/>
      <c r="Z875" s="52"/>
      <c r="AA875" s="52"/>
      <c r="AB875" s="52"/>
      <c r="AC875" s="52"/>
      <c r="AD875" s="52"/>
      <c r="AE875" s="52"/>
      <c r="AF875" s="52"/>
      <c r="AG875" s="52"/>
      <c r="AH875" s="52"/>
      <c r="AI875" s="52"/>
      <c r="AJ875" s="52"/>
      <c r="AK875" s="52"/>
      <c r="AL875" s="52"/>
      <c r="AM875" s="52"/>
      <c r="AN875" s="52"/>
    </row>
    <row r="876" spans="1:40" x14ac:dyDescent="0.3">
      <c r="A876" s="52">
        <v>871</v>
      </c>
      <c r="B876" s="52">
        <f>-bthan*500+(20+0.5)*bthan*1000/50</f>
        <v>-495</v>
      </c>
      <c r="C876" s="52">
        <f t="shared" si="134"/>
        <v>-450</v>
      </c>
      <c r="D876" s="52">
        <f t="shared" si="132"/>
        <v>2200</v>
      </c>
      <c r="E876" s="52">
        <f t="shared" si="133"/>
        <v>1</v>
      </c>
      <c r="F876" s="52"/>
      <c r="G876" s="52"/>
      <c r="H876" s="52"/>
      <c r="I876" s="52"/>
      <c r="J876" s="52"/>
      <c r="K876" s="52"/>
      <c r="L876" s="52"/>
      <c r="M876" s="52"/>
      <c r="N876" s="52"/>
      <c r="O876" s="52"/>
      <c r="P876" s="52"/>
      <c r="Q876" s="52"/>
      <c r="R876" s="52"/>
      <c r="S876" s="52"/>
      <c r="T876" s="52"/>
      <c r="U876" s="52"/>
      <c r="V876" s="52"/>
      <c r="W876" s="52"/>
      <c r="X876" s="52"/>
      <c r="Y876" s="52"/>
      <c r="Z876" s="52"/>
      <c r="AA876" s="52"/>
      <c r="AB876" s="52"/>
      <c r="AC876" s="52"/>
      <c r="AD876" s="52"/>
      <c r="AE876" s="52"/>
      <c r="AF876" s="52"/>
      <c r="AG876" s="52"/>
      <c r="AH876" s="52"/>
      <c r="AI876" s="52"/>
      <c r="AJ876" s="52"/>
      <c r="AK876" s="52"/>
      <c r="AL876" s="52"/>
      <c r="AM876" s="52"/>
      <c r="AN876" s="52"/>
    </row>
    <row r="877" spans="1:40" x14ac:dyDescent="0.3">
      <c r="A877" s="52">
        <v>872</v>
      </c>
      <c r="B877" s="52">
        <f>-bthan*500+(21+0.5)*bthan*1000/50</f>
        <v>-385</v>
      </c>
      <c r="C877" s="52">
        <f t="shared" si="134"/>
        <v>-450</v>
      </c>
      <c r="D877" s="52">
        <f t="shared" si="132"/>
        <v>2200</v>
      </c>
      <c r="E877" s="52">
        <f t="shared" si="133"/>
        <v>1</v>
      </c>
      <c r="F877" s="52"/>
      <c r="G877" s="52"/>
      <c r="H877" s="52"/>
      <c r="I877" s="52"/>
      <c r="J877" s="52"/>
      <c r="K877" s="52"/>
      <c r="L877" s="52"/>
      <c r="M877" s="52"/>
      <c r="N877" s="52"/>
      <c r="O877" s="52"/>
      <c r="P877" s="52"/>
      <c r="Q877" s="52"/>
      <c r="R877" s="52"/>
      <c r="S877" s="52"/>
      <c r="T877" s="52"/>
      <c r="U877" s="52"/>
      <c r="V877" s="52"/>
      <c r="W877" s="52"/>
      <c r="X877" s="52"/>
      <c r="Y877" s="52"/>
      <c r="Z877" s="52"/>
      <c r="AA877" s="52"/>
      <c r="AB877" s="52"/>
      <c r="AC877" s="52"/>
      <c r="AD877" s="52"/>
      <c r="AE877" s="52"/>
      <c r="AF877" s="52"/>
      <c r="AG877" s="52"/>
      <c r="AH877" s="52"/>
      <c r="AI877" s="52"/>
      <c r="AJ877" s="52"/>
      <c r="AK877" s="52"/>
      <c r="AL877" s="52"/>
      <c r="AM877" s="52"/>
      <c r="AN877" s="52"/>
    </row>
    <row r="878" spans="1:40" x14ac:dyDescent="0.3">
      <c r="A878" s="52">
        <v>873</v>
      </c>
      <c r="B878" s="52">
        <f>-bthan*500+(22+0.5)*bthan*1000/50</f>
        <v>-275</v>
      </c>
      <c r="C878" s="52">
        <f t="shared" si="134"/>
        <v>-450</v>
      </c>
      <c r="D878" s="52">
        <f t="shared" si="132"/>
        <v>2200</v>
      </c>
      <c r="E878" s="52">
        <f t="shared" si="133"/>
        <v>1</v>
      </c>
      <c r="F878" s="52"/>
      <c r="G878" s="52"/>
      <c r="H878" s="52"/>
      <c r="I878" s="52"/>
      <c r="J878" s="52"/>
      <c r="K878" s="52"/>
      <c r="L878" s="52"/>
      <c r="M878" s="52"/>
      <c r="N878" s="52"/>
      <c r="O878" s="52"/>
      <c r="P878" s="52"/>
      <c r="Q878" s="52"/>
      <c r="R878" s="52"/>
      <c r="S878" s="52"/>
      <c r="T878" s="52"/>
      <c r="U878" s="52"/>
      <c r="V878" s="52"/>
      <c r="W878" s="52"/>
      <c r="X878" s="52"/>
      <c r="Y878" s="52"/>
      <c r="Z878" s="52"/>
      <c r="AA878" s="52"/>
      <c r="AB878" s="52"/>
      <c r="AC878" s="52"/>
      <c r="AD878" s="52"/>
      <c r="AE878" s="52"/>
      <c r="AF878" s="52"/>
      <c r="AG878" s="52"/>
      <c r="AH878" s="52"/>
      <c r="AI878" s="52"/>
      <c r="AJ878" s="52"/>
      <c r="AK878" s="52"/>
      <c r="AL878" s="52"/>
      <c r="AM878" s="52"/>
      <c r="AN878" s="52"/>
    </row>
    <row r="879" spans="1:40" x14ac:dyDescent="0.3">
      <c r="A879" s="52">
        <v>874</v>
      </c>
      <c r="B879" s="52">
        <f>-bthan*500+(23+0.5)*bthan*1000/50</f>
        <v>-165</v>
      </c>
      <c r="C879" s="52">
        <f t="shared" si="134"/>
        <v>-450</v>
      </c>
      <c r="D879" s="52">
        <f t="shared" si="132"/>
        <v>2200</v>
      </c>
      <c r="E879" s="52">
        <f t="shared" si="133"/>
        <v>1</v>
      </c>
      <c r="F879" s="52"/>
      <c r="G879" s="52"/>
      <c r="H879" s="52"/>
      <c r="I879" s="52"/>
      <c r="J879" s="52"/>
      <c r="K879" s="52"/>
      <c r="L879" s="52"/>
      <c r="M879" s="52"/>
      <c r="N879" s="52"/>
      <c r="O879" s="52"/>
      <c r="P879" s="52"/>
      <c r="Q879" s="52"/>
      <c r="R879" s="52"/>
      <c r="S879" s="52"/>
      <c r="T879" s="52"/>
      <c r="U879" s="52"/>
      <c r="V879" s="52"/>
      <c r="W879" s="52"/>
      <c r="X879" s="52"/>
      <c r="Y879" s="52"/>
      <c r="Z879" s="52"/>
      <c r="AA879" s="52"/>
      <c r="AB879" s="52"/>
      <c r="AC879" s="52"/>
      <c r="AD879" s="52"/>
      <c r="AE879" s="52"/>
      <c r="AF879" s="52"/>
      <c r="AG879" s="52"/>
      <c r="AH879" s="52"/>
      <c r="AI879" s="52"/>
      <c r="AJ879" s="52"/>
      <c r="AK879" s="52"/>
      <c r="AL879" s="52"/>
      <c r="AM879" s="52"/>
      <c r="AN879" s="52"/>
    </row>
    <row r="880" spans="1:40" x14ac:dyDescent="0.3">
      <c r="A880" s="52">
        <v>875</v>
      </c>
      <c r="B880" s="52">
        <f>-bthan*500+(24+0.5)*bthan*1000/50</f>
        <v>-55</v>
      </c>
      <c r="C880" s="52">
        <f t="shared" si="134"/>
        <v>-450</v>
      </c>
      <c r="D880" s="52">
        <f t="shared" si="132"/>
        <v>2200</v>
      </c>
      <c r="E880" s="52">
        <f t="shared" si="133"/>
        <v>1</v>
      </c>
      <c r="F880" s="52"/>
      <c r="G880" s="52"/>
      <c r="H880" s="52"/>
      <c r="I880" s="52"/>
      <c r="J880" s="52"/>
      <c r="K880" s="52"/>
      <c r="L880" s="52"/>
      <c r="M880" s="52"/>
      <c r="N880" s="52"/>
      <c r="O880" s="52"/>
      <c r="P880" s="52"/>
      <c r="Q880" s="52"/>
      <c r="R880" s="52"/>
      <c r="S880" s="52"/>
      <c r="T880" s="52"/>
      <c r="U880" s="52"/>
      <c r="V880" s="52"/>
      <c r="W880" s="52"/>
      <c r="X880" s="52"/>
      <c r="Y880" s="52"/>
      <c r="Z880" s="52"/>
      <c r="AA880" s="52"/>
      <c r="AB880" s="52"/>
      <c r="AC880" s="52"/>
      <c r="AD880" s="52"/>
      <c r="AE880" s="52"/>
      <c r="AF880" s="52"/>
      <c r="AG880" s="52"/>
      <c r="AH880" s="52"/>
      <c r="AI880" s="52"/>
      <c r="AJ880" s="52"/>
      <c r="AK880" s="52"/>
      <c r="AL880" s="52"/>
      <c r="AM880" s="52"/>
      <c r="AN880" s="52"/>
    </row>
    <row r="881" spans="1:40" x14ac:dyDescent="0.3">
      <c r="A881" s="52">
        <v>876</v>
      </c>
      <c r="B881" s="52">
        <f>-bthan*500+(25+0.5)*bthan*1000/50</f>
        <v>55</v>
      </c>
      <c r="C881" s="52">
        <f t="shared" si="134"/>
        <v>-450</v>
      </c>
      <c r="D881" s="52">
        <f t="shared" si="132"/>
        <v>2200</v>
      </c>
      <c r="E881" s="52">
        <f t="shared" si="133"/>
        <v>1</v>
      </c>
      <c r="F881" s="52"/>
      <c r="G881" s="52"/>
      <c r="H881" s="52"/>
      <c r="I881" s="52"/>
      <c r="J881" s="52"/>
      <c r="K881" s="52"/>
      <c r="L881" s="52"/>
      <c r="M881" s="52"/>
      <c r="N881" s="52"/>
      <c r="O881" s="52"/>
      <c r="P881" s="52"/>
      <c r="Q881" s="52"/>
      <c r="R881" s="52"/>
      <c r="S881" s="52"/>
      <c r="T881" s="52"/>
      <c r="U881" s="52"/>
      <c r="V881" s="52"/>
      <c r="W881" s="52"/>
      <c r="X881" s="52"/>
      <c r="Y881" s="52"/>
      <c r="Z881" s="52"/>
      <c r="AA881" s="52"/>
      <c r="AB881" s="52"/>
      <c r="AC881" s="52"/>
      <c r="AD881" s="52"/>
      <c r="AE881" s="52"/>
      <c r="AF881" s="52"/>
      <c r="AG881" s="52"/>
      <c r="AH881" s="52"/>
      <c r="AI881" s="52"/>
      <c r="AJ881" s="52"/>
      <c r="AK881" s="52"/>
      <c r="AL881" s="52"/>
      <c r="AM881" s="52"/>
      <c r="AN881" s="52"/>
    </row>
    <row r="882" spans="1:40" x14ac:dyDescent="0.3">
      <c r="A882" s="52">
        <v>877</v>
      </c>
      <c r="B882" s="52">
        <f>-bthan*500+(26+0.5)*bthan*1000/50</f>
        <v>165</v>
      </c>
      <c r="C882" s="52">
        <f t="shared" si="134"/>
        <v>-450</v>
      </c>
      <c r="D882" s="52">
        <f t="shared" si="132"/>
        <v>2200</v>
      </c>
      <c r="E882" s="52">
        <f t="shared" si="133"/>
        <v>1</v>
      </c>
      <c r="F882" s="52"/>
      <c r="G882" s="52"/>
      <c r="H882" s="52"/>
      <c r="I882" s="52"/>
      <c r="J882" s="52"/>
      <c r="K882" s="52"/>
      <c r="L882" s="52"/>
      <c r="M882" s="52"/>
      <c r="N882" s="52"/>
      <c r="O882" s="52"/>
      <c r="P882" s="52"/>
      <c r="Q882" s="52"/>
      <c r="R882" s="52"/>
      <c r="S882" s="52"/>
      <c r="T882" s="52"/>
      <c r="U882" s="52"/>
      <c r="V882" s="52"/>
      <c r="W882" s="52"/>
      <c r="X882" s="52"/>
      <c r="Y882" s="52"/>
      <c r="Z882" s="52"/>
      <c r="AA882" s="52"/>
      <c r="AB882" s="52"/>
      <c r="AC882" s="52"/>
      <c r="AD882" s="52"/>
      <c r="AE882" s="52"/>
      <c r="AF882" s="52"/>
      <c r="AG882" s="52"/>
      <c r="AH882" s="52"/>
      <c r="AI882" s="52"/>
      <c r="AJ882" s="52"/>
      <c r="AK882" s="52"/>
      <c r="AL882" s="52"/>
      <c r="AM882" s="52"/>
      <c r="AN882" s="52"/>
    </row>
    <row r="883" spans="1:40" x14ac:dyDescent="0.3">
      <c r="A883" s="52">
        <v>878</v>
      </c>
      <c r="B883" s="52">
        <f>-bthan*500+(27+0.5)*bthan*1000/50</f>
        <v>275</v>
      </c>
      <c r="C883" s="52">
        <f t="shared" si="134"/>
        <v>-450</v>
      </c>
      <c r="D883" s="52">
        <f t="shared" si="132"/>
        <v>2200</v>
      </c>
      <c r="E883" s="52">
        <f t="shared" si="133"/>
        <v>1</v>
      </c>
      <c r="F883" s="52"/>
      <c r="G883" s="52"/>
      <c r="H883" s="52"/>
      <c r="I883" s="52"/>
      <c r="J883" s="52"/>
      <c r="K883" s="52"/>
      <c r="L883" s="52"/>
      <c r="M883" s="52"/>
      <c r="N883" s="52"/>
      <c r="O883" s="52"/>
      <c r="P883" s="52"/>
      <c r="Q883" s="52"/>
      <c r="R883" s="52"/>
      <c r="S883" s="52"/>
      <c r="T883" s="52"/>
      <c r="U883" s="52"/>
      <c r="V883" s="52"/>
      <c r="W883" s="52"/>
      <c r="X883" s="52"/>
      <c r="Y883" s="52"/>
      <c r="Z883" s="52"/>
      <c r="AA883" s="52"/>
      <c r="AB883" s="52"/>
      <c r="AC883" s="52"/>
      <c r="AD883" s="52"/>
      <c r="AE883" s="52"/>
      <c r="AF883" s="52"/>
      <c r="AG883" s="52"/>
      <c r="AH883" s="52"/>
      <c r="AI883" s="52"/>
      <c r="AJ883" s="52"/>
      <c r="AK883" s="52"/>
      <c r="AL883" s="52"/>
      <c r="AM883" s="52"/>
      <c r="AN883" s="52"/>
    </row>
    <row r="884" spans="1:40" x14ac:dyDescent="0.3">
      <c r="A884" s="52">
        <v>879</v>
      </c>
      <c r="B884" s="52">
        <f>-bthan*500+(28+0.5)*bthan*1000/50</f>
        <v>385</v>
      </c>
      <c r="C884" s="52">
        <f t="shared" si="134"/>
        <v>-450</v>
      </c>
      <c r="D884" s="52">
        <f t="shared" si="132"/>
        <v>2200</v>
      </c>
      <c r="E884" s="52">
        <f t="shared" si="133"/>
        <v>1</v>
      </c>
      <c r="F884" s="52"/>
      <c r="G884" s="52"/>
      <c r="H884" s="52"/>
      <c r="I884" s="52"/>
      <c r="J884" s="52"/>
      <c r="K884" s="52"/>
      <c r="L884" s="52"/>
      <c r="M884" s="52"/>
      <c r="N884" s="52"/>
      <c r="O884" s="52"/>
      <c r="P884" s="52"/>
      <c r="Q884" s="52"/>
      <c r="R884" s="52"/>
      <c r="S884" s="52"/>
      <c r="T884" s="52"/>
      <c r="U884" s="52"/>
      <c r="V884" s="52"/>
      <c r="W884" s="52"/>
      <c r="X884" s="52"/>
      <c r="Y884" s="52"/>
      <c r="Z884" s="52"/>
      <c r="AA884" s="52"/>
      <c r="AB884" s="52"/>
      <c r="AC884" s="52"/>
      <c r="AD884" s="52"/>
      <c r="AE884" s="52"/>
      <c r="AF884" s="52"/>
      <c r="AG884" s="52"/>
      <c r="AH884" s="52"/>
      <c r="AI884" s="52"/>
      <c r="AJ884" s="52"/>
      <c r="AK884" s="52"/>
      <c r="AL884" s="52"/>
      <c r="AM884" s="52"/>
      <c r="AN884" s="52"/>
    </row>
    <row r="885" spans="1:40" x14ac:dyDescent="0.3">
      <c r="A885" s="52">
        <v>880</v>
      </c>
      <c r="B885" s="52">
        <f>-bthan*500+(29+0.5)*bthan*1000/50</f>
        <v>495</v>
      </c>
      <c r="C885" s="52">
        <f t="shared" si="134"/>
        <v>-450</v>
      </c>
      <c r="D885" s="52">
        <f t="shared" si="132"/>
        <v>2200</v>
      </c>
      <c r="E885" s="52">
        <f t="shared" si="133"/>
        <v>1</v>
      </c>
      <c r="F885" s="52"/>
      <c r="G885" s="52"/>
      <c r="H885" s="52"/>
      <c r="I885" s="52"/>
      <c r="J885" s="52"/>
      <c r="K885" s="52"/>
      <c r="L885" s="52"/>
      <c r="M885" s="52"/>
      <c r="N885" s="52"/>
      <c r="O885" s="52"/>
      <c r="P885" s="52"/>
      <c r="Q885" s="52"/>
      <c r="R885" s="52"/>
      <c r="S885" s="52"/>
      <c r="T885" s="52"/>
      <c r="U885" s="52"/>
      <c r="V885" s="52"/>
      <c r="W885" s="52"/>
      <c r="X885" s="52"/>
      <c r="Y885" s="52"/>
      <c r="Z885" s="52"/>
      <c r="AA885" s="52"/>
      <c r="AB885" s="52"/>
      <c r="AC885" s="52"/>
      <c r="AD885" s="52"/>
      <c r="AE885" s="52"/>
      <c r="AF885" s="52"/>
      <c r="AG885" s="52"/>
      <c r="AH885" s="52"/>
      <c r="AI885" s="52"/>
      <c r="AJ885" s="52"/>
      <c r="AK885" s="52"/>
      <c r="AL885" s="52"/>
      <c r="AM885" s="52"/>
      <c r="AN885" s="52"/>
    </row>
    <row r="886" spans="1:40" x14ac:dyDescent="0.3">
      <c r="A886" s="52">
        <v>881</v>
      </c>
      <c r="B886" s="52">
        <f>-bthan*500+(30+0.5)*bthan*1000/50</f>
        <v>605</v>
      </c>
      <c r="C886" s="52">
        <f t="shared" si="134"/>
        <v>-450</v>
      </c>
      <c r="D886" s="52">
        <f t="shared" si="132"/>
        <v>2200</v>
      </c>
      <c r="E886" s="52">
        <f t="shared" si="133"/>
        <v>1</v>
      </c>
      <c r="F886" s="52"/>
      <c r="G886" s="52"/>
      <c r="H886" s="52"/>
      <c r="I886" s="52"/>
      <c r="J886" s="52"/>
      <c r="K886" s="52"/>
      <c r="L886" s="52"/>
      <c r="M886" s="52"/>
      <c r="N886" s="52"/>
      <c r="O886" s="52"/>
      <c r="P886" s="52"/>
      <c r="Q886" s="52"/>
      <c r="R886" s="52"/>
      <c r="S886" s="52"/>
      <c r="T886" s="52"/>
      <c r="U886" s="52"/>
      <c r="V886" s="52"/>
      <c r="W886" s="52"/>
      <c r="X886" s="52"/>
      <c r="Y886" s="52"/>
      <c r="Z886" s="52"/>
      <c r="AA886" s="52"/>
      <c r="AB886" s="52"/>
      <c r="AC886" s="52"/>
      <c r="AD886" s="52"/>
      <c r="AE886" s="52"/>
      <c r="AF886" s="52"/>
      <c r="AG886" s="52"/>
      <c r="AH886" s="52"/>
      <c r="AI886" s="52"/>
      <c r="AJ886" s="52"/>
      <c r="AK886" s="52"/>
      <c r="AL886" s="52"/>
      <c r="AM886" s="52"/>
      <c r="AN886" s="52"/>
    </row>
    <row r="887" spans="1:40" x14ac:dyDescent="0.3">
      <c r="A887" s="52">
        <v>882</v>
      </c>
      <c r="B887" s="52">
        <f>-bthan*500+(31+0.5)*bthan*1000/50</f>
        <v>715</v>
      </c>
      <c r="C887" s="52">
        <f t="shared" si="134"/>
        <v>-450</v>
      </c>
      <c r="D887" s="52">
        <f t="shared" si="132"/>
        <v>2200</v>
      </c>
      <c r="E887" s="52">
        <f t="shared" si="133"/>
        <v>1</v>
      </c>
      <c r="F887" s="52"/>
      <c r="G887" s="52"/>
      <c r="H887" s="52"/>
      <c r="I887" s="52"/>
      <c r="J887" s="52"/>
      <c r="K887" s="52"/>
      <c r="L887" s="52"/>
      <c r="M887" s="52"/>
      <c r="N887" s="52"/>
      <c r="O887" s="52"/>
      <c r="P887" s="52"/>
      <c r="Q887" s="52"/>
      <c r="R887" s="52"/>
      <c r="S887" s="52"/>
      <c r="T887" s="52"/>
      <c r="U887" s="52"/>
      <c r="V887" s="52"/>
      <c r="W887" s="52"/>
      <c r="X887" s="52"/>
      <c r="Y887" s="52"/>
      <c r="Z887" s="52"/>
      <c r="AA887" s="52"/>
      <c r="AB887" s="52"/>
      <c r="AC887" s="52"/>
      <c r="AD887" s="52"/>
      <c r="AE887" s="52"/>
      <c r="AF887" s="52"/>
      <c r="AG887" s="52"/>
      <c r="AH887" s="52"/>
      <c r="AI887" s="52"/>
      <c r="AJ887" s="52"/>
      <c r="AK887" s="52"/>
      <c r="AL887" s="52"/>
      <c r="AM887" s="52"/>
      <c r="AN887" s="52"/>
    </row>
    <row r="888" spans="1:40" x14ac:dyDescent="0.3">
      <c r="A888" s="52">
        <v>883</v>
      </c>
      <c r="B888" s="52">
        <f>-bthan*500+(32+0.5)*bthan*1000/50</f>
        <v>825</v>
      </c>
      <c r="C888" s="52">
        <f t="shared" ref="C888:C905" si="135">-hthan*500+(17+0.5)*hthan*1000/80</f>
        <v>-450</v>
      </c>
      <c r="D888" s="52">
        <f t="shared" si="132"/>
        <v>2200</v>
      </c>
      <c r="E888" s="52">
        <f t="shared" si="133"/>
        <v>1</v>
      </c>
      <c r="F888" s="52"/>
      <c r="G888" s="52"/>
      <c r="H888" s="52"/>
      <c r="I888" s="52"/>
      <c r="J888" s="52"/>
      <c r="K888" s="52"/>
      <c r="L888" s="52"/>
      <c r="M888" s="52"/>
      <c r="N888" s="52"/>
      <c r="O888" s="52"/>
      <c r="P888" s="52"/>
      <c r="Q888" s="52"/>
      <c r="R888" s="52"/>
      <c r="S888" s="52"/>
      <c r="T888" s="52"/>
      <c r="U888" s="52"/>
      <c r="V888" s="52"/>
      <c r="W888" s="52"/>
      <c r="X888" s="52"/>
      <c r="Y888" s="52"/>
      <c r="Z888" s="52"/>
      <c r="AA888" s="52"/>
      <c r="AB888" s="52"/>
      <c r="AC888" s="52"/>
      <c r="AD888" s="52"/>
      <c r="AE888" s="52"/>
      <c r="AF888" s="52"/>
      <c r="AG888" s="52"/>
      <c r="AH888" s="52"/>
      <c r="AI888" s="52"/>
      <c r="AJ888" s="52"/>
      <c r="AK888" s="52"/>
      <c r="AL888" s="52"/>
      <c r="AM888" s="52"/>
      <c r="AN888" s="52"/>
    </row>
    <row r="889" spans="1:40" x14ac:dyDescent="0.3">
      <c r="A889" s="52">
        <v>884</v>
      </c>
      <c r="B889" s="52">
        <f>-bthan*500+(33+0.5)*bthan*1000/50</f>
        <v>935</v>
      </c>
      <c r="C889" s="52">
        <f t="shared" si="135"/>
        <v>-450</v>
      </c>
      <c r="D889" s="52">
        <f t="shared" si="132"/>
        <v>2200</v>
      </c>
      <c r="E889" s="52">
        <f t="shared" si="133"/>
        <v>1</v>
      </c>
      <c r="F889" s="52"/>
      <c r="G889" s="52"/>
      <c r="H889" s="52"/>
      <c r="I889" s="52"/>
      <c r="J889" s="52"/>
      <c r="K889" s="52"/>
      <c r="L889" s="52"/>
      <c r="M889" s="52"/>
      <c r="N889" s="52"/>
      <c r="O889" s="52"/>
      <c r="P889" s="52"/>
      <c r="Q889" s="52"/>
      <c r="R889" s="52"/>
      <c r="S889" s="52"/>
      <c r="T889" s="52"/>
      <c r="U889" s="52"/>
      <c r="V889" s="52"/>
      <c r="W889" s="52"/>
      <c r="X889" s="52"/>
      <c r="Y889" s="52"/>
      <c r="Z889" s="52"/>
      <c r="AA889" s="52"/>
      <c r="AB889" s="52"/>
      <c r="AC889" s="52"/>
      <c r="AD889" s="52"/>
      <c r="AE889" s="52"/>
      <c r="AF889" s="52"/>
      <c r="AG889" s="52"/>
      <c r="AH889" s="52"/>
      <c r="AI889" s="52"/>
      <c r="AJ889" s="52"/>
      <c r="AK889" s="52"/>
      <c r="AL889" s="52"/>
      <c r="AM889" s="52"/>
      <c r="AN889" s="52"/>
    </row>
    <row r="890" spans="1:40" x14ac:dyDescent="0.3">
      <c r="A890" s="52">
        <v>885</v>
      </c>
      <c r="B890" s="52">
        <f>-bthan*500+(34+0.5)*bthan*1000/50</f>
        <v>1045</v>
      </c>
      <c r="C890" s="52">
        <f t="shared" si="135"/>
        <v>-450</v>
      </c>
      <c r="D890" s="52">
        <f t="shared" si="132"/>
        <v>2200</v>
      </c>
      <c r="E890" s="52">
        <f t="shared" si="133"/>
        <v>1</v>
      </c>
      <c r="F890" s="52"/>
      <c r="G890" s="52"/>
      <c r="H890" s="52"/>
      <c r="I890" s="52"/>
      <c r="J890" s="52"/>
      <c r="K890" s="52"/>
      <c r="L890" s="52"/>
      <c r="M890" s="52"/>
      <c r="N890" s="52"/>
      <c r="O890" s="52"/>
      <c r="P890" s="52"/>
      <c r="Q890" s="52"/>
      <c r="R890" s="52"/>
      <c r="S890" s="52"/>
      <c r="T890" s="52"/>
      <c r="U890" s="52"/>
      <c r="V890" s="52"/>
      <c r="W890" s="52"/>
      <c r="X890" s="52"/>
      <c r="Y890" s="52"/>
      <c r="Z890" s="52"/>
      <c r="AA890" s="52"/>
      <c r="AB890" s="52"/>
      <c r="AC890" s="52"/>
      <c r="AD890" s="52"/>
      <c r="AE890" s="52"/>
      <c r="AF890" s="52"/>
      <c r="AG890" s="52"/>
      <c r="AH890" s="52"/>
      <c r="AI890" s="52"/>
      <c r="AJ890" s="52"/>
      <c r="AK890" s="52"/>
      <c r="AL890" s="52"/>
      <c r="AM890" s="52"/>
      <c r="AN890" s="52"/>
    </row>
    <row r="891" spans="1:40" x14ac:dyDescent="0.3">
      <c r="A891" s="52">
        <v>886</v>
      </c>
      <c r="B891" s="52">
        <f>-bthan*500+(35+0.5)*bthan*1000/50</f>
        <v>1155</v>
      </c>
      <c r="C891" s="52">
        <f t="shared" si="135"/>
        <v>-450</v>
      </c>
      <c r="D891" s="52">
        <f t="shared" si="132"/>
        <v>2200</v>
      </c>
      <c r="E891" s="52">
        <f t="shared" si="133"/>
        <v>1</v>
      </c>
      <c r="F891" s="52"/>
      <c r="G891" s="52"/>
      <c r="H891" s="52"/>
      <c r="I891" s="52"/>
      <c r="J891" s="52"/>
      <c r="K891" s="52"/>
      <c r="L891" s="52"/>
      <c r="M891" s="52"/>
      <c r="N891" s="52"/>
      <c r="O891" s="52"/>
      <c r="P891" s="52"/>
      <c r="Q891" s="52"/>
      <c r="R891" s="52"/>
      <c r="S891" s="52"/>
      <c r="T891" s="52"/>
      <c r="U891" s="52"/>
      <c r="V891" s="52"/>
      <c r="W891" s="52"/>
      <c r="X891" s="52"/>
      <c r="Y891" s="52"/>
      <c r="Z891" s="52"/>
      <c r="AA891" s="52"/>
      <c r="AB891" s="52"/>
      <c r="AC891" s="52"/>
      <c r="AD891" s="52"/>
      <c r="AE891" s="52"/>
      <c r="AF891" s="52"/>
      <c r="AG891" s="52"/>
      <c r="AH891" s="52"/>
      <c r="AI891" s="52"/>
      <c r="AJ891" s="52"/>
      <c r="AK891" s="52"/>
      <c r="AL891" s="52"/>
      <c r="AM891" s="52"/>
      <c r="AN891" s="52"/>
    </row>
    <row r="892" spans="1:40" x14ac:dyDescent="0.3">
      <c r="A892" s="52">
        <v>887</v>
      </c>
      <c r="B892" s="52">
        <f>-bthan*500+(36+0.5)*bthan*1000/50</f>
        <v>1265</v>
      </c>
      <c r="C892" s="52">
        <f t="shared" si="135"/>
        <v>-450</v>
      </c>
      <c r="D892" s="52">
        <f t="shared" si="132"/>
        <v>2200</v>
      </c>
      <c r="E892" s="52">
        <f t="shared" si="133"/>
        <v>1</v>
      </c>
      <c r="F892" s="52"/>
      <c r="G892" s="52"/>
      <c r="H892" s="52"/>
      <c r="I892" s="52"/>
      <c r="J892" s="52"/>
      <c r="K892" s="52"/>
      <c r="L892" s="52"/>
      <c r="M892" s="52"/>
      <c r="N892" s="52"/>
      <c r="O892" s="52"/>
      <c r="P892" s="52"/>
      <c r="Q892" s="52"/>
      <c r="R892" s="52"/>
      <c r="S892" s="52"/>
      <c r="T892" s="52"/>
      <c r="U892" s="52"/>
      <c r="V892" s="52"/>
      <c r="W892" s="52"/>
      <c r="X892" s="52"/>
      <c r="Y892" s="52"/>
      <c r="Z892" s="52"/>
      <c r="AA892" s="52"/>
      <c r="AB892" s="52"/>
      <c r="AC892" s="52"/>
      <c r="AD892" s="52"/>
      <c r="AE892" s="52"/>
      <c r="AF892" s="52"/>
      <c r="AG892" s="52"/>
      <c r="AH892" s="52"/>
      <c r="AI892" s="52"/>
      <c r="AJ892" s="52"/>
      <c r="AK892" s="52"/>
      <c r="AL892" s="52"/>
      <c r="AM892" s="52"/>
      <c r="AN892" s="52"/>
    </row>
    <row r="893" spans="1:40" x14ac:dyDescent="0.3">
      <c r="A893" s="52">
        <v>888</v>
      </c>
      <c r="B893" s="52">
        <f>-bthan*500+(37+0.5)*bthan*1000/50</f>
        <v>1375</v>
      </c>
      <c r="C893" s="52">
        <f t="shared" si="135"/>
        <v>-450</v>
      </c>
      <c r="D893" s="52">
        <f t="shared" si="132"/>
        <v>2200</v>
      </c>
      <c r="E893" s="52">
        <f t="shared" si="133"/>
        <v>1</v>
      </c>
      <c r="F893" s="52"/>
      <c r="G893" s="52"/>
      <c r="H893" s="52"/>
      <c r="I893" s="52"/>
      <c r="J893" s="52"/>
      <c r="K893" s="52"/>
      <c r="L893" s="52"/>
      <c r="M893" s="52"/>
      <c r="N893" s="52"/>
      <c r="O893" s="52"/>
      <c r="P893" s="52"/>
      <c r="Q893" s="52"/>
      <c r="R893" s="52"/>
      <c r="S893" s="52"/>
      <c r="T893" s="52"/>
      <c r="U893" s="52"/>
      <c r="V893" s="52"/>
      <c r="W893" s="52"/>
      <c r="X893" s="52"/>
      <c r="Y893" s="52"/>
      <c r="Z893" s="52"/>
      <c r="AA893" s="52"/>
      <c r="AB893" s="52"/>
      <c r="AC893" s="52"/>
      <c r="AD893" s="52"/>
      <c r="AE893" s="52"/>
      <c r="AF893" s="52"/>
      <c r="AG893" s="52"/>
      <c r="AH893" s="52"/>
      <c r="AI893" s="52"/>
      <c r="AJ893" s="52"/>
      <c r="AK893" s="52"/>
      <c r="AL893" s="52"/>
      <c r="AM893" s="52"/>
      <c r="AN893" s="52"/>
    </row>
    <row r="894" spans="1:40" x14ac:dyDescent="0.3">
      <c r="A894" s="52">
        <v>889</v>
      </c>
      <c r="B894" s="52">
        <f>-bthan*500+(38+0.5)*bthan*1000/50</f>
        <v>1485</v>
      </c>
      <c r="C894" s="52">
        <f t="shared" si="135"/>
        <v>-450</v>
      </c>
      <c r="D894" s="52">
        <f t="shared" si="132"/>
        <v>2200</v>
      </c>
      <c r="E894" s="52">
        <f t="shared" si="133"/>
        <v>1</v>
      </c>
      <c r="F894" s="52"/>
      <c r="G894" s="52"/>
      <c r="H894" s="52"/>
      <c r="I894" s="52"/>
      <c r="J894" s="52"/>
      <c r="K894" s="52"/>
      <c r="L894" s="52"/>
      <c r="M894" s="52"/>
      <c r="N894" s="52"/>
      <c r="O894" s="52"/>
      <c r="P894" s="52"/>
      <c r="Q894" s="52"/>
      <c r="R894" s="52"/>
      <c r="S894" s="52"/>
      <c r="T894" s="52"/>
      <c r="U894" s="52"/>
      <c r="V894" s="52"/>
      <c r="W894" s="52"/>
      <c r="X894" s="52"/>
      <c r="Y894" s="52"/>
      <c r="Z894" s="52"/>
      <c r="AA894" s="52"/>
      <c r="AB894" s="52"/>
      <c r="AC894" s="52"/>
      <c r="AD894" s="52"/>
      <c r="AE894" s="52"/>
      <c r="AF894" s="52"/>
      <c r="AG894" s="52"/>
      <c r="AH894" s="52"/>
      <c r="AI894" s="52"/>
      <c r="AJ894" s="52"/>
      <c r="AK894" s="52"/>
      <c r="AL894" s="52"/>
      <c r="AM894" s="52"/>
      <c r="AN894" s="52"/>
    </row>
    <row r="895" spans="1:40" x14ac:dyDescent="0.3">
      <c r="A895" s="52">
        <v>890</v>
      </c>
      <c r="B895" s="52">
        <f>-bthan*500+(39+0.5)*bthan*1000/50</f>
        <v>1595</v>
      </c>
      <c r="C895" s="52">
        <f t="shared" si="135"/>
        <v>-450</v>
      </c>
      <c r="D895" s="52">
        <f t="shared" si="132"/>
        <v>2200</v>
      </c>
      <c r="E895" s="52">
        <f t="shared" si="133"/>
        <v>1</v>
      </c>
      <c r="F895" s="52"/>
      <c r="G895" s="52"/>
      <c r="H895" s="52"/>
      <c r="I895" s="52"/>
      <c r="J895" s="52"/>
      <c r="K895" s="52"/>
      <c r="L895" s="52"/>
      <c r="M895" s="52"/>
      <c r="N895" s="52"/>
      <c r="O895" s="52"/>
      <c r="P895" s="52"/>
      <c r="Q895" s="52"/>
      <c r="R895" s="52"/>
      <c r="S895" s="52"/>
      <c r="T895" s="52"/>
      <c r="U895" s="52"/>
      <c r="V895" s="52"/>
      <c r="W895" s="52"/>
      <c r="X895" s="52"/>
      <c r="Y895" s="52"/>
      <c r="Z895" s="52"/>
      <c r="AA895" s="52"/>
      <c r="AB895" s="52"/>
      <c r="AC895" s="52"/>
      <c r="AD895" s="52"/>
      <c r="AE895" s="52"/>
      <c r="AF895" s="52"/>
      <c r="AG895" s="52"/>
      <c r="AH895" s="52"/>
      <c r="AI895" s="52"/>
      <c r="AJ895" s="52"/>
      <c r="AK895" s="52"/>
      <c r="AL895" s="52"/>
      <c r="AM895" s="52"/>
      <c r="AN895" s="52"/>
    </row>
    <row r="896" spans="1:40" x14ac:dyDescent="0.3">
      <c r="A896" s="52">
        <v>891</v>
      </c>
      <c r="B896" s="52">
        <f>-bthan*500+(40+0.5)*bthan*1000/50</f>
        <v>1705</v>
      </c>
      <c r="C896" s="52">
        <f t="shared" si="135"/>
        <v>-450</v>
      </c>
      <c r="D896" s="52">
        <f t="shared" si="132"/>
        <v>2200</v>
      </c>
      <c r="E896" s="52">
        <f t="shared" si="133"/>
        <v>1</v>
      </c>
      <c r="F896" s="52"/>
      <c r="G896" s="52"/>
      <c r="H896" s="52"/>
      <c r="I896" s="52"/>
      <c r="J896" s="52"/>
      <c r="K896" s="52"/>
      <c r="L896" s="52"/>
      <c r="M896" s="52"/>
      <c r="N896" s="52"/>
      <c r="O896" s="52"/>
      <c r="P896" s="52"/>
      <c r="Q896" s="52"/>
      <c r="R896" s="52"/>
      <c r="S896" s="52"/>
      <c r="T896" s="52"/>
      <c r="U896" s="52"/>
      <c r="V896" s="52"/>
      <c r="W896" s="52"/>
      <c r="X896" s="52"/>
      <c r="Y896" s="52"/>
      <c r="Z896" s="52"/>
      <c r="AA896" s="52"/>
      <c r="AB896" s="52"/>
      <c r="AC896" s="52"/>
      <c r="AD896" s="52"/>
      <c r="AE896" s="52"/>
      <c r="AF896" s="52"/>
      <c r="AG896" s="52"/>
      <c r="AH896" s="52"/>
      <c r="AI896" s="52"/>
      <c r="AJ896" s="52"/>
      <c r="AK896" s="52"/>
      <c r="AL896" s="52"/>
      <c r="AM896" s="52"/>
      <c r="AN896" s="52"/>
    </row>
    <row r="897" spans="1:40" x14ac:dyDescent="0.3">
      <c r="A897" s="52">
        <v>892</v>
      </c>
      <c r="B897" s="52">
        <f>-bthan*500+(41+0.5)*bthan*1000/50</f>
        <v>1815</v>
      </c>
      <c r="C897" s="52">
        <f t="shared" si="135"/>
        <v>-450</v>
      </c>
      <c r="D897" s="52">
        <f t="shared" si="132"/>
        <v>2200</v>
      </c>
      <c r="E897" s="52">
        <f t="shared" si="133"/>
        <v>1</v>
      </c>
      <c r="F897" s="52"/>
      <c r="G897" s="52"/>
      <c r="H897" s="52"/>
      <c r="I897" s="52"/>
      <c r="J897" s="52"/>
      <c r="K897" s="52"/>
      <c r="L897" s="52"/>
      <c r="M897" s="52"/>
      <c r="N897" s="52"/>
      <c r="O897" s="52"/>
      <c r="P897" s="52"/>
      <c r="Q897" s="52"/>
      <c r="R897" s="52"/>
      <c r="S897" s="52"/>
      <c r="T897" s="52"/>
      <c r="U897" s="52"/>
      <c r="V897" s="52"/>
      <c r="W897" s="52"/>
      <c r="X897" s="52"/>
      <c r="Y897" s="52"/>
      <c r="Z897" s="52"/>
      <c r="AA897" s="52"/>
      <c r="AB897" s="52"/>
      <c r="AC897" s="52"/>
      <c r="AD897" s="52"/>
      <c r="AE897" s="52"/>
      <c r="AF897" s="52"/>
      <c r="AG897" s="52"/>
      <c r="AH897" s="52"/>
      <c r="AI897" s="52"/>
      <c r="AJ897" s="52"/>
      <c r="AK897" s="52"/>
      <c r="AL897" s="52"/>
      <c r="AM897" s="52"/>
      <c r="AN897" s="52"/>
    </row>
    <row r="898" spans="1:40" x14ac:dyDescent="0.3">
      <c r="A898" s="52">
        <v>893</v>
      </c>
      <c r="B898" s="52">
        <f>-bthan*500+(42+0.5)*bthan*1000/50</f>
        <v>1925</v>
      </c>
      <c r="C898" s="52">
        <f t="shared" si="135"/>
        <v>-450</v>
      </c>
      <c r="D898" s="52">
        <f t="shared" si="132"/>
        <v>2200</v>
      </c>
      <c r="E898" s="52">
        <f t="shared" si="133"/>
        <v>1</v>
      </c>
      <c r="F898" s="52"/>
      <c r="G898" s="52"/>
      <c r="H898" s="52"/>
      <c r="I898" s="52"/>
      <c r="J898" s="52"/>
      <c r="K898" s="52"/>
      <c r="L898" s="52"/>
      <c r="M898" s="52"/>
      <c r="N898" s="52"/>
      <c r="O898" s="52"/>
      <c r="P898" s="52"/>
      <c r="Q898" s="52"/>
      <c r="R898" s="52"/>
      <c r="S898" s="52"/>
      <c r="T898" s="52"/>
      <c r="U898" s="52"/>
      <c r="V898" s="52"/>
      <c r="W898" s="52"/>
      <c r="X898" s="52"/>
      <c r="Y898" s="52"/>
      <c r="Z898" s="52"/>
      <c r="AA898" s="52"/>
      <c r="AB898" s="52"/>
      <c r="AC898" s="52"/>
      <c r="AD898" s="52"/>
      <c r="AE898" s="52"/>
      <c r="AF898" s="52"/>
      <c r="AG898" s="52"/>
      <c r="AH898" s="52"/>
      <c r="AI898" s="52"/>
      <c r="AJ898" s="52"/>
      <c r="AK898" s="52"/>
      <c r="AL898" s="52"/>
      <c r="AM898" s="52"/>
      <c r="AN898" s="52"/>
    </row>
    <row r="899" spans="1:40" x14ac:dyDescent="0.3">
      <c r="A899" s="52">
        <v>894</v>
      </c>
      <c r="B899" s="52">
        <f>-bthan*500+(43+0.5)*bthan*1000/50</f>
        <v>2035</v>
      </c>
      <c r="C899" s="52">
        <f t="shared" si="135"/>
        <v>-450</v>
      </c>
      <c r="D899" s="52">
        <f t="shared" si="132"/>
        <v>2200</v>
      </c>
      <c r="E899" s="52">
        <f t="shared" si="133"/>
        <v>1</v>
      </c>
      <c r="F899" s="52"/>
      <c r="G899" s="52"/>
      <c r="H899" s="52"/>
      <c r="I899" s="52"/>
      <c r="J899" s="52"/>
      <c r="K899" s="52"/>
      <c r="L899" s="52"/>
      <c r="M899" s="52"/>
      <c r="N899" s="52"/>
      <c r="O899" s="52"/>
      <c r="P899" s="52"/>
      <c r="Q899" s="52"/>
      <c r="R899" s="52"/>
      <c r="S899" s="52"/>
      <c r="T899" s="52"/>
      <c r="U899" s="52"/>
      <c r="V899" s="52"/>
      <c r="W899" s="52"/>
      <c r="X899" s="52"/>
      <c r="Y899" s="52"/>
      <c r="Z899" s="52"/>
      <c r="AA899" s="52"/>
      <c r="AB899" s="52"/>
      <c r="AC899" s="52"/>
      <c r="AD899" s="52"/>
      <c r="AE899" s="52"/>
      <c r="AF899" s="52"/>
      <c r="AG899" s="52"/>
      <c r="AH899" s="52"/>
      <c r="AI899" s="52"/>
      <c r="AJ899" s="52"/>
      <c r="AK899" s="52"/>
      <c r="AL899" s="52"/>
      <c r="AM899" s="52"/>
      <c r="AN899" s="52"/>
    </row>
    <row r="900" spans="1:40" x14ac:dyDescent="0.3">
      <c r="A900" s="52">
        <v>895</v>
      </c>
      <c r="B900" s="52">
        <f>-bthan*500+(44+0.5)*bthan*1000/50</f>
        <v>2145</v>
      </c>
      <c r="C900" s="52">
        <f t="shared" si="135"/>
        <v>-450</v>
      </c>
      <c r="D900" s="52">
        <f t="shared" si="132"/>
        <v>2200</v>
      </c>
      <c r="E900" s="52">
        <f t="shared" si="133"/>
        <v>1</v>
      </c>
      <c r="F900" s="52"/>
      <c r="G900" s="52"/>
      <c r="H900" s="52"/>
      <c r="I900" s="52"/>
      <c r="J900" s="52"/>
      <c r="K900" s="52"/>
      <c r="L900" s="52"/>
      <c r="M900" s="52"/>
      <c r="N900" s="52"/>
      <c r="O900" s="52"/>
      <c r="P900" s="52"/>
      <c r="Q900" s="52"/>
      <c r="R900" s="52"/>
      <c r="S900" s="52"/>
      <c r="T900" s="52"/>
      <c r="U900" s="52"/>
      <c r="V900" s="52"/>
      <c r="W900" s="52"/>
      <c r="X900" s="52"/>
      <c r="Y900" s="52"/>
      <c r="Z900" s="52"/>
      <c r="AA900" s="52"/>
      <c r="AB900" s="52"/>
      <c r="AC900" s="52"/>
      <c r="AD900" s="52"/>
      <c r="AE900" s="52"/>
      <c r="AF900" s="52"/>
      <c r="AG900" s="52"/>
      <c r="AH900" s="52"/>
      <c r="AI900" s="52"/>
      <c r="AJ900" s="52"/>
      <c r="AK900" s="52"/>
      <c r="AL900" s="52"/>
      <c r="AM900" s="52"/>
      <c r="AN900" s="52"/>
    </row>
    <row r="901" spans="1:40" x14ac:dyDescent="0.3">
      <c r="A901" s="52">
        <v>896</v>
      </c>
      <c r="B901" s="52">
        <f>-bthan*500+(45+0.5)*bthan*1000/50</f>
        <v>2255</v>
      </c>
      <c r="C901" s="52">
        <f t="shared" si="135"/>
        <v>-450</v>
      </c>
      <c r="D901" s="52">
        <f t="shared" si="132"/>
        <v>2200</v>
      </c>
      <c r="E901" s="52">
        <f t="shared" si="133"/>
        <v>1</v>
      </c>
      <c r="F901" s="52"/>
      <c r="G901" s="52"/>
      <c r="H901" s="52"/>
      <c r="I901" s="52"/>
      <c r="J901" s="52"/>
      <c r="K901" s="52"/>
      <c r="L901" s="52"/>
      <c r="M901" s="52"/>
      <c r="N901" s="52"/>
      <c r="O901" s="52"/>
      <c r="P901" s="52"/>
      <c r="Q901" s="52"/>
      <c r="R901" s="52"/>
      <c r="S901" s="52"/>
      <c r="T901" s="52"/>
      <c r="U901" s="52"/>
      <c r="V901" s="52"/>
      <c r="W901" s="52"/>
      <c r="X901" s="52"/>
      <c r="Y901" s="52"/>
      <c r="Z901" s="52"/>
      <c r="AA901" s="52"/>
      <c r="AB901" s="52"/>
      <c r="AC901" s="52"/>
      <c r="AD901" s="52"/>
      <c r="AE901" s="52"/>
      <c r="AF901" s="52"/>
      <c r="AG901" s="52"/>
      <c r="AH901" s="52"/>
      <c r="AI901" s="52"/>
      <c r="AJ901" s="52"/>
      <c r="AK901" s="52"/>
      <c r="AL901" s="52"/>
      <c r="AM901" s="52"/>
      <c r="AN901" s="52"/>
    </row>
    <row r="902" spans="1:40" x14ac:dyDescent="0.3">
      <c r="A902" s="52">
        <v>897</v>
      </c>
      <c r="B902" s="52">
        <f>-bthan*500+(46+0.5)*bthan*1000/50</f>
        <v>2365</v>
      </c>
      <c r="C902" s="52">
        <f t="shared" si="135"/>
        <v>-450</v>
      </c>
      <c r="D902" s="52">
        <f t="shared" ref="D902:D965" si="136">bthan*1000/50*hthan*1000/80</f>
        <v>2200</v>
      </c>
      <c r="E902" s="52">
        <f t="shared" ref="E902:E965" si="137">IF(shp=1,--(OR(ABS(B902)&lt;=MAX(0,(bthan-hthan)*500),(ABS(B902)-MAX(0,(bthan-hthan)*500))^2+C902^2&lt;=(hthan*500)^2)),--(AND(ABS(B902)&lt;=bthan*500,ABS(C902)&lt;=hthan*500,OR(ABS(B902)&lt;=bthan*500-cch*1000,ABS(C902)&lt;=hthan*500-cch*1000,(bthan*500-ABS(B902))+(hthan*500-ABS(C902))&gt;=cch*1000))))</f>
        <v>1</v>
      </c>
      <c r="F902" s="52"/>
      <c r="G902" s="52"/>
      <c r="H902" s="52"/>
      <c r="I902" s="52"/>
      <c r="J902" s="52"/>
      <c r="K902" s="52"/>
      <c r="L902" s="52"/>
      <c r="M902" s="52"/>
      <c r="N902" s="52"/>
      <c r="O902" s="52"/>
      <c r="P902" s="52"/>
      <c r="Q902" s="52"/>
      <c r="R902" s="52"/>
      <c r="S902" s="52"/>
      <c r="T902" s="52"/>
      <c r="U902" s="52"/>
      <c r="V902" s="52"/>
      <c r="W902" s="52"/>
      <c r="X902" s="52"/>
      <c r="Y902" s="52"/>
      <c r="Z902" s="52"/>
      <c r="AA902" s="52"/>
      <c r="AB902" s="52"/>
      <c r="AC902" s="52"/>
      <c r="AD902" s="52"/>
      <c r="AE902" s="52"/>
      <c r="AF902" s="52"/>
      <c r="AG902" s="52"/>
      <c r="AH902" s="52"/>
      <c r="AI902" s="52"/>
      <c r="AJ902" s="52"/>
      <c r="AK902" s="52"/>
      <c r="AL902" s="52"/>
      <c r="AM902" s="52"/>
      <c r="AN902" s="52"/>
    </row>
    <row r="903" spans="1:40" x14ac:dyDescent="0.3">
      <c r="A903" s="52">
        <v>898</v>
      </c>
      <c r="B903" s="52">
        <f>-bthan*500+(47+0.5)*bthan*1000/50</f>
        <v>2475</v>
      </c>
      <c r="C903" s="52">
        <f t="shared" si="135"/>
        <v>-450</v>
      </c>
      <c r="D903" s="52">
        <f t="shared" si="136"/>
        <v>2200</v>
      </c>
      <c r="E903" s="52">
        <f t="shared" si="137"/>
        <v>1</v>
      </c>
      <c r="F903" s="52"/>
      <c r="G903" s="52"/>
      <c r="H903" s="52"/>
      <c r="I903" s="52"/>
      <c r="J903" s="52"/>
      <c r="K903" s="52"/>
      <c r="L903" s="52"/>
      <c r="M903" s="52"/>
      <c r="N903" s="52"/>
      <c r="O903" s="52"/>
      <c r="P903" s="52"/>
      <c r="Q903" s="52"/>
      <c r="R903" s="52"/>
      <c r="S903" s="52"/>
      <c r="T903" s="52"/>
      <c r="U903" s="52"/>
      <c r="V903" s="52"/>
      <c r="W903" s="52"/>
      <c r="X903" s="52"/>
      <c r="Y903" s="52"/>
      <c r="Z903" s="52"/>
      <c r="AA903" s="52"/>
      <c r="AB903" s="52"/>
      <c r="AC903" s="52"/>
      <c r="AD903" s="52"/>
      <c r="AE903" s="52"/>
      <c r="AF903" s="52"/>
      <c r="AG903" s="52"/>
      <c r="AH903" s="52"/>
      <c r="AI903" s="52"/>
      <c r="AJ903" s="52"/>
      <c r="AK903" s="52"/>
      <c r="AL903" s="52"/>
      <c r="AM903" s="52"/>
      <c r="AN903" s="52"/>
    </row>
    <row r="904" spans="1:40" x14ac:dyDescent="0.3">
      <c r="A904" s="52">
        <v>899</v>
      </c>
      <c r="B904" s="52">
        <f>-bthan*500+(48+0.5)*bthan*1000/50</f>
        <v>2585</v>
      </c>
      <c r="C904" s="52">
        <f t="shared" si="135"/>
        <v>-450</v>
      </c>
      <c r="D904" s="52">
        <f t="shared" si="136"/>
        <v>2200</v>
      </c>
      <c r="E904" s="52">
        <f t="shared" si="137"/>
        <v>1</v>
      </c>
      <c r="F904" s="52"/>
      <c r="G904" s="52"/>
      <c r="H904" s="52"/>
      <c r="I904" s="52"/>
      <c r="J904" s="52"/>
      <c r="K904" s="52"/>
      <c r="L904" s="52"/>
      <c r="M904" s="52"/>
      <c r="N904" s="52"/>
      <c r="O904" s="52"/>
      <c r="P904" s="52"/>
      <c r="Q904" s="52"/>
      <c r="R904" s="52"/>
      <c r="S904" s="52"/>
      <c r="T904" s="52"/>
      <c r="U904" s="52"/>
      <c r="V904" s="52"/>
      <c r="W904" s="52"/>
      <c r="X904" s="52"/>
      <c r="Y904" s="52"/>
      <c r="Z904" s="52"/>
      <c r="AA904" s="52"/>
      <c r="AB904" s="52"/>
      <c r="AC904" s="52"/>
      <c r="AD904" s="52"/>
      <c r="AE904" s="52"/>
      <c r="AF904" s="52"/>
      <c r="AG904" s="52"/>
      <c r="AH904" s="52"/>
      <c r="AI904" s="52"/>
      <c r="AJ904" s="52"/>
      <c r="AK904" s="52"/>
      <c r="AL904" s="52"/>
      <c r="AM904" s="52"/>
      <c r="AN904" s="52"/>
    </row>
    <row r="905" spans="1:40" x14ac:dyDescent="0.3">
      <c r="A905" s="52">
        <v>900</v>
      </c>
      <c r="B905" s="52">
        <f>-bthan*500+(49+0.5)*bthan*1000/50</f>
        <v>2695</v>
      </c>
      <c r="C905" s="52">
        <f t="shared" si="135"/>
        <v>-450</v>
      </c>
      <c r="D905" s="52">
        <f t="shared" si="136"/>
        <v>2200</v>
      </c>
      <c r="E905" s="52">
        <f t="shared" si="137"/>
        <v>0</v>
      </c>
      <c r="F905" s="52"/>
      <c r="G905" s="52"/>
      <c r="H905" s="52"/>
      <c r="I905" s="52"/>
      <c r="J905" s="52"/>
      <c r="K905" s="52"/>
      <c r="L905" s="52"/>
      <c r="M905" s="52"/>
      <c r="N905" s="52"/>
      <c r="O905" s="52"/>
      <c r="P905" s="52"/>
      <c r="Q905" s="52"/>
      <c r="R905" s="52"/>
      <c r="S905" s="52"/>
      <c r="T905" s="52"/>
      <c r="U905" s="52"/>
      <c r="V905" s="52"/>
      <c r="W905" s="52"/>
      <c r="X905" s="52"/>
      <c r="Y905" s="52"/>
      <c r="Z905" s="52"/>
      <c r="AA905" s="52"/>
      <c r="AB905" s="52"/>
      <c r="AC905" s="52"/>
      <c r="AD905" s="52"/>
      <c r="AE905" s="52"/>
      <c r="AF905" s="52"/>
      <c r="AG905" s="52"/>
      <c r="AH905" s="52"/>
      <c r="AI905" s="52"/>
      <c r="AJ905" s="52"/>
      <c r="AK905" s="52"/>
      <c r="AL905" s="52"/>
      <c r="AM905" s="52"/>
      <c r="AN905" s="52"/>
    </row>
    <row r="906" spans="1:40" x14ac:dyDescent="0.3">
      <c r="A906" s="52">
        <v>901</v>
      </c>
      <c r="B906" s="52">
        <f>-bthan*500+(0+0.5)*bthan*1000/50</f>
        <v>-2695</v>
      </c>
      <c r="C906" s="52">
        <f t="shared" ref="C906:C937" si="138">-hthan*500+(18+0.5)*hthan*1000/80</f>
        <v>-430</v>
      </c>
      <c r="D906" s="52">
        <f t="shared" si="136"/>
        <v>2200</v>
      </c>
      <c r="E906" s="52">
        <f t="shared" si="137"/>
        <v>0</v>
      </c>
      <c r="F906" s="52"/>
      <c r="G906" s="52"/>
      <c r="H906" s="52"/>
      <c r="I906" s="52"/>
      <c r="J906" s="52"/>
      <c r="K906" s="52"/>
      <c r="L906" s="52"/>
      <c r="M906" s="52"/>
      <c r="N906" s="52"/>
      <c r="O906" s="52"/>
      <c r="P906" s="52"/>
      <c r="Q906" s="52"/>
      <c r="R906" s="52"/>
      <c r="S906" s="52"/>
      <c r="T906" s="52"/>
      <c r="U906" s="52"/>
      <c r="V906" s="52"/>
      <c r="W906" s="52"/>
      <c r="X906" s="52"/>
      <c r="Y906" s="52"/>
      <c r="Z906" s="52"/>
      <c r="AA906" s="52"/>
      <c r="AB906" s="52"/>
      <c r="AC906" s="52"/>
      <c r="AD906" s="52"/>
      <c r="AE906" s="52"/>
      <c r="AF906" s="52"/>
      <c r="AG906" s="52"/>
      <c r="AH906" s="52"/>
      <c r="AI906" s="52"/>
      <c r="AJ906" s="52"/>
      <c r="AK906" s="52"/>
      <c r="AL906" s="52"/>
      <c r="AM906" s="52"/>
      <c r="AN906" s="52"/>
    </row>
    <row r="907" spans="1:40" x14ac:dyDescent="0.3">
      <c r="A907" s="52">
        <v>902</v>
      </c>
      <c r="B907" s="52">
        <f>-bthan*500+(1+0.5)*bthan*1000/50</f>
        <v>-2585</v>
      </c>
      <c r="C907" s="52">
        <f t="shared" si="138"/>
        <v>-430</v>
      </c>
      <c r="D907" s="52">
        <f t="shared" si="136"/>
        <v>2200</v>
      </c>
      <c r="E907" s="52">
        <f t="shared" si="137"/>
        <v>1</v>
      </c>
      <c r="F907" s="52"/>
      <c r="G907" s="52"/>
      <c r="H907" s="52"/>
      <c r="I907" s="52"/>
      <c r="J907" s="52"/>
      <c r="K907" s="52"/>
      <c r="L907" s="52"/>
      <c r="M907" s="52"/>
      <c r="N907" s="52"/>
      <c r="O907" s="52"/>
      <c r="P907" s="52"/>
      <c r="Q907" s="52"/>
      <c r="R907" s="52"/>
      <c r="S907" s="52"/>
      <c r="T907" s="52"/>
      <c r="U907" s="52"/>
      <c r="V907" s="52"/>
      <c r="W907" s="52"/>
      <c r="X907" s="52"/>
      <c r="Y907" s="52"/>
      <c r="Z907" s="52"/>
      <c r="AA907" s="52"/>
      <c r="AB907" s="52"/>
      <c r="AC907" s="52"/>
      <c r="AD907" s="52"/>
      <c r="AE907" s="52"/>
      <c r="AF907" s="52"/>
      <c r="AG907" s="52"/>
      <c r="AH907" s="52"/>
      <c r="AI907" s="52"/>
      <c r="AJ907" s="52"/>
      <c r="AK907" s="52"/>
      <c r="AL907" s="52"/>
      <c r="AM907" s="52"/>
      <c r="AN907" s="52"/>
    </row>
    <row r="908" spans="1:40" x14ac:dyDescent="0.3">
      <c r="A908" s="52">
        <v>903</v>
      </c>
      <c r="B908" s="52">
        <f>-bthan*500+(2+0.5)*bthan*1000/50</f>
        <v>-2475</v>
      </c>
      <c r="C908" s="52">
        <f t="shared" si="138"/>
        <v>-430</v>
      </c>
      <c r="D908" s="52">
        <f t="shared" si="136"/>
        <v>2200</v>
      </c>
      <c r="E908" s="52">
        <f t="shared" si="137"/>
        <v>1</v>
      </c>
      <c r="F908" s="52"/>
      <c r="G908" s="52"/>
      <c r="H908" s="52"/>
      <c r="I908" s="52"/>
      <c r="J908" s="52"/>
      <c r="K908" s="52"/>
      <c r="L908" s="52"/>
      <c r="M908" s="52"/>
      <c r="N908" s="52"/>
      <c r="O908" s="52"/>
      <c r="P908" s="52"/>
      <c r="Q908" s="52"/>
      <c r="R908" s="52"/>
      <c r="S908" s="52"/>
      <c r="T908" s="52"/>
      <c r="U908" s="52"/>
      <c r="V908" s="52"/>
      <c r="W908" s="52"/>
      <c r="X908" s="52"/>
      <c r="Y908" s="52"/>
      <c r="Z908" s="52"/>
      <c r="AA908" s="52"/>
      <c r="AB908" s="52"/>
      <c r="AC908" s="52"/>
      <c r="AD908" s="52"/>
      <c r="AE908" s="52"/>
      <c r="AF908" s="52"/>
      <c r="AG908" s="52"/>
      <c r="AH908" s="52"/>
      <c r="AI908" s="52"/>
      <c r="AJ908" s="52"/>
      <c r="AK908" s="52"/>
      <c r="AL908" s="52"/>
      <c r="AM908" s="52"/>
      <c r="AN908" s="52"/>
    </row>
    <row r="909" spans="1:40" x14ac:dyDescent="0.3">
      <c r="A909" s="52">
        <v>904</v>
      </c>
      <c r="B909" s="52">
        <f>-bthan*500+(3+0.5)*bthan*1000/50</f>
        <v>-2365</v>
      </c>
      <c r="C909" s="52">
        <f t="shared" si="138"/>
        <v>-430</v>
      </c>
      <c r="D909" s="52">
        <f t="shared" si="136"/>
        <v>2200</v>
      </c>
      <c r="E909" s="52">
        <f t="shared" si="137"/>
        <v>1</v>
      </c>
      <c r="F909" s="52"/>
      <c r="G909" s="52"/>
      <c r="H909" s="52"/>
      <c r="I909" s="52"/>
      <c r="J909" s="52"/>
      <c r="K909" s="52"/>
      <c r="L909" s="52"/>
      <c r="M909" s="52"/>
      <c r="N909" s="52"/>
      <c r="O909" s="52"/>
      <c r="P909" s="52"/>
      <c r="Q909" s="52"/>
      <c r="R909" s="52"/>
      <c r="S909" s="52"/>
      <c r="T909" s="52"/>
      <c r="U909" s="52"/>
      <c r="V909" s="52"/>
      <c r="W909" s="52"/>
      <c r="X909" s="52"/>
      <c r="Y909" s="52"/>
      <c r="Z909" s="52"/>
      <c r="AA909" s="52"/>
      <c r="AB909" s="52"/>
      <c r="AC909" s="52"/>
      <c r="AD909" s="52"/>
      <c r="AE909" s="52"/>
      <c r="AF909" s="52"/>
      <c r="AG909" s="52"/>
      <c r="AH909" s="52"/>
      <c r="AI909" s="52"/>
      <c r="AJ909" s="52"/>
      <c r="AK909" s="52"/>
      <c r="AL909" s="52"/>
      <c r="AM909" s="52"/>
      <c r="AN909" s="52"/>
    </row>
    <row r="910" spans="1:40" x14ac:dyDescent="0.3">
      <c r="A910" s="52">
        <v>905</v>
      </c>
      <c r="B910" s="52">
        <f>-bthan*500+(4+0.5)*bthan*1000/50</f>
        <v>-2255</v>
      </c>
      <c r="C910" s="52">
        <f t="shared" si="138"/>
        <v>-430</v>
      </c>
      <c r="D910" s="52">
        <f t="shared" si="136"/>
        <v>2200</v>
      </c>
      <c r="E910" s="52">
        <f t="shared" si="137"/>
        <v>1</v>
      </c>
      <c r="F910" s="52"/>
      <c r="G910" s="52"/>
      <c r="H910" s="52"/>
      <c r="I910" s="52"/>
      <c r="J910" s="52"/>
      <c r="K910" s="52"/>
      <c r="L910" s="52"/>
      <c r="M910" s="52"/>
      <c r="N910" s="52"/>
      <c r="O910" s="52"/>
      <c r="P910" s="52"/>
      <c r="Q910" s="52"/>
      <c r="R910" s="52"/>
      <c r="S910" s="52"/>
      <c r="T910" s="52"/>
      <c r="U910" s="52"/>
      <c r="V910" s="52"/>
      <c r="W910" s="52"/>
      <c r="X910" s="52"/>
      <c r="Y910" s="52"/>
      <c r="Z910" s="52"/>
      <c r="AA910" s="52"/>
      <c r="AB910" s="52"/>
      <c r="AC910" s="52"/>
      <c r="AD910" s="52"/>
      <c r="AE910" s="52"/>
      <c r="AF910" s="52"/>
      <c r="AG910" s="52"/>
      <c r="AH910" s="52"/>
      <c r="AI910" s="52"/>
      <c r="AJ910" s="52"/>
      <c r="AK910" s="52"/>
      <c r="AL910" s="52"/>
      <c r="AM910" s="52"/>
      <c r="AN910" s="52"/>
    </row>
    <row r="911" spans="1:40" x14ac:dyDescent="0.3">
      <c r="A911" s="52">
        <v>906</v>
      </c>
      <c r="B911" s="52">
        <f>-bthan*500+(5+0.5)*bthan*1000/50</f>
        <v>-2145</v>
      </c>
      <c r="C911" s="52">
        <f t="shared" si="138"/>
        <v>-430</v>
      </c>
      <c r="D911" s="52">
        <f t="shared" si="136"/>
        <v>2200</v>
      </c>
      <c r="E911" s="52">
        <f t="shared" si="137"/>
        <v>1</v>
      </c>
      <c r="F911" s="52"/>
      <c r="G911" s="52"/>
      <c r="H911" s="52"/>
      <c r="I911" s="52"/>
      <c r="J911" s="52"/>
      <c r="K911" s="52"/>
      <c r="L911" s="52"/>
      <c r="M911" s="52"/>
      <c r="N911" s="52"/>
      <c r="O911" s="52"/>
      <c r="P911" s="52"/>
      <c r="Q911" s="52"/>
      <c r="R911" s="52"/>
      <c r="S911" s="52"/>
      <c r="T911" s="52"/>
      <c r="U911" s="52"/>
      <c r="V911" s="52"/>
      <c r="W911" s="52"/>
      <c r="X911" s="52"/>
      <c r="Y911" s="52"/>
      <c r="Z911" s="52"/>
      <c r="AA911" s="52"/>
      <c r="AB911" s="52"/>
      <c r="AC911" s="52"/>
      <c r="AD911" s="52"/>
      <c r="AE911" s="52"/>
      <c r="AF911" s="52"/>
      <c r="AG911" s="52"/>
      <c r="AH911" s="52"/>
      <c r="AI911" s="52"/>
      <c r="AJ911" s="52"/>
      <c r="AK911" s="52"/>
      <c r="AL911" s="52"/>
      <c r="AM911" s="52"/>
      <c r="AN911" s="52"/>
    </row>
    <row r="912" spans="1:40" x14ac:dyDescent="0.3">
      <c r="A912" s="52">
        <v>907</v>
      </c>
      <c r="B912" s="52">
        <f>-bthan*500+(6+0.5)*bthan*1000/50</f>
        <v>-2035</v>
      </c>
      <c r="C912" s="52">
        <f t="shared" si="138"/>
        <v>-430</v>
      </c>
      <c r="D912" s="52">
        <f t="shared" si="136"/>
        <v>2200</v>
      </c>
      <c r="E912" s="52">
        <f t="shared" si="137"/>
        <v>1</v>
      </c>
      <c r="F912" s="52"/>
      <c r="G912" s="52"/>
      <c r="H912" s="52"/>
      <c r="I912" s="52"/>
      <c r="J912" s="52"/>
      <c r="K912" s="52"/>
      <c r="L912" s="52"/>
      <c r="M912" s="52"/>
      <c r="N912" s="52"/>
      <c r="O912" s="52"/>
      <c r="P912" s="52"/>
      <c r="Q912" s="52"/>
      <c r="R912" s="52"/>
      <c r="S912" s="52"/>
      <c r="T912" s="52"/>
      <c r="U912" s="52"/>
      <c r="V912" s="52"/>
      <c r="W912" s="52"/>
      <c r="X912" s="52"/>
      <c r="Y912" s="52"/>
      <c r="Z912" s="52"/>
      <c r="AA912" s="52"/>
      <c r="AB912" s="52"/>
      <c r="AC912" s="52"/>
      <c r="AD912" s="52"/>
      <c r="AE912" s="52"/>
      <c r="AF912" s="52"/>
      <c r="AG912" s="52"/>
      <c r="AH912" s="52"/>
      <c r="AI912" s="52"/>
      <c r="AJ912" s="52"/>
      <c r="AK912" s="52"/>
      <c r="AL912" s="52"/>
      <c r="AM912" s="52"/>
      <c r="AN912" s="52"/>
    </row>
    <row r="913" spans="1:40" x14ac:dyDescent="0.3">
      <c r="A913" s="52">
        <v>908</v>
      </c>
      <c r="B913" s="52">
        <f>-bthan*500+(7+0.5)*bthan*1000/50</f>
        <v>-1925</v>
      </c>
      <c r="C913" s="52">
        <f t="shared" si="138"/>
        <v>-430</v>
      </c>
      <c r="D913" s="52">
        <f t="shared" si="136"/>
        <v>2200</v>
      </c>
      <c r="E913" s="52">
        <f t="shared" si="137"/>
        <v>1</v>
      </c>
      <c r="F913" s="52"/>
      <c r="G913" s="52"/>
      <c r="H913" s="52"/>
      <c r="I913" s="52"/>
      <c r="J913" s="52"/>
      <c r="K913" s="52"/>
      <c r="L913" s="52"/>
      <c r="M913" s="52"/>
      <c r="N913" s="52"/>
      <c r="O913" s="52"/>
      <c r="P913" s="52"/>
      <c r="Q913" s="52"/>
      <c r="R913" s="52"/>
      <c r="S913" s="52"/>
      <c r="T913" s="52"/>
      <c r="U913" s="52"/>
      <c r="V913" s="52"/>
      <c r="W913" s="52"/>
      <c r="X913" s="52"/>
      <c r="Y913" s="52"/>
      <c r="Z913" s="52"/>
      <c r="AA913" s="52"/>
      <c r="AB913" s="52"/>
      <c r="AC913" s="52"/>
      <c r="AD913" s="52"/>
      <c r="AE913" s="52"/>
      <c r="AF913" s="52"/>
      <c r="AG913" s="52"/>
      <c r="AH913" s="52"/>
      <c r="AI913" s="52"/>
      <c r="AJ913" s="52"/>
      <c r="AK913" s="52"/>
      <c r="AL913" s="52"/>
      <c r="AM913" s="52"/>
      <c r="AN913" s="52"/>
    </row>
    <row r="914" spans="1:40" x14ac:dyDescent="0.3">
      <c r="A914" s="52">
        <v>909</v>
      </c>
      <c r="B914" s="52">
        <f>-bthan*500+(8+0.5)*bthan*1000/50</f>
        <v>-1815</v>
      </c>
      <c r="C914" s="52">
        <f t="shared" si="138"/>
        <v>-430</v>
      </c>
      <c r="D914" s="52">
        <f t="shared" si="136"/>
        <v>2200</v>
      </c>
      <c r="E914" s="52">
        <f t="shared" si="137"/>
        <v>1</v>
      </c>
      <c r="F914" s="52"/>
      <c r="G914" s="52"/>
      <c r="H914" s="52"/>
      <c r="I914" s="52"/>
      <c r="J914" s="52"/>
      <c r="K914" s="52"/>
      <c r="L914" s="52"/>
      <c r="M914" s="52"/>
      <c r="N914" s="52"/>
      <c r="O914" s="52"/>
      <c r="P914" s="52"/>
      <c r="Q914" s="52"/>
      <c r="R914" s="52"/>
      <c r="S914" s="52"/>
      <c r="T914" s="52"/>
      <c r="U914" s="52"/>
      <c r="V914" s="52"/>
      <c r="W914" s="52"/>
      <c r="X914" s="52"/>
      <c r="Y914" s="52"/>
      <c r="Z914" s="52"/>
      <c r="AA914" s="52"/>
      <c r="AB914" s="52"/>
      <c r="AC914" s="52"/>
      <c r="AD914" s="52"/>
      <c r="AE914" s="52"/>
      <c r="AF914" s="52"/>
      <c r="AG914" s="52"/>
      <c r="AH914" s="52"/>
      <c r="AI914" s="52"/>
      <c r="AJ914" s="52"/>
      <c r="AK914" s="52"/>
      <c r="AL914" s="52"/>
      <c r="AM914" s="52"/>
      <c r="AN914" s="52"/>
    </row>
    <row r="915" spans="1:40" x14ac:dyDescent="0.3">
      <c r="A915" s="52">
        <v>910</v>
      </c>
      <c r="B915" s="52">
        <f>-bthan*500+(9+0.5)*bthan*1000/50</f>
        <v>-1705</v>
      </c>
      <c r="C915" s="52">
        <f t="shared" si="138"/>
        <v>-430</v>
      </c>
      <c r="D915" s="52">
        <f t="shared" si="136"/>
        <v>2200</v>
      </c>
      <c r="E915" s="52">
        <f t="shared" si="137"/>
        <v>1</v>
      </c>
      <c r="F915" s="52"/>
      <c r="G915" s="52"/>
      <c r="H915" s="52"/>
      <c r="I915" s="52"/>
      <c r="J915" s="52"/>
      <c r="K915" s="52"/>
      <c r="L915" s="52"/>
      <c r="M915" s="52"/>
      <c r="N915" s="52"/>
      <c r="O915" s="52"/>
      <c r="P915" s="52"/>
      <c r="Q915" s="52"/>
      <c r="R915" s="52"/>
      <c r="S915" s="52"/>
      <c r="T915" s="52"/>
      <c r="U915" s="52"/>
      <c r="V915" s="52"/>
      <c r="W915" s="52"/>
      <c r="X915" s="52"/>
      <c r="Y915" s="52"/>
      <c r="Z915" s="52"/>
      <c r="AA915" s="52"/>
      <c r="AB915" s="52"/>
      <c r="AC915" s="52"/>
      <c r="AD915" s="52"/>
      <c r="AE915" s="52"/>
      <c r="AF915" s="52"/>
      <c r="AG915" s="52"/>
      <c r="AH915" s="52"/>
      <c r="AI915" s="52"/>
      <c r="AJ915" s="52"/>
      <c r="AK915" s="52"/>
      <c r="AL915" s="52"/>
      <c r="AM915" s="52"/>
      <c r="AN915" s="52"/>
    </row>
    <row r="916" spans="1:40" x14ac:dyDescent="0.3">
      <c r="A916" s="52">
        <v>911</v>
      </c>
      <c r="B916" s="52">
        <f>-bthan*500+(10+0.5)*bthan*1000/50</f>
        <v>-1595</v>
      </c>
      <c r="C916" s="52">
        <f t="shared" si="138"/>
        <v>-430</v>
      </c>
      <c r="D916" s="52">
        <f t="shared" si="136"/>
        <v>2200</v>
      </c>
      <c r="E916" s="52">
        <f t="shared" si="137"/>
        <v>1</v>
      </c>
      <c r="F916" s="52"/>
      <c r="G916" s="52"/>
      <c r="H916" s="52"/>
      <c r="I916" s="52"/>
      <c r="J916" s="52"/>
      <c r="K916" s="52"/>
      <c r="L916" s="52"/>
      <c r="M916" s="52"/>
      <c r="N916" s="52"/>
      <c r="O916" s="52"/>
      <c r="P916" s="52"/>
      <c r="Q916" s="52"/>
      <c r="R916" s="52"/>
      <c r="S916" s="52"/>
      <c r="T916" s="52"/>
      <c r="U916" s="52"/>
      <c r="V916" s="52"/>
      <c r="W916" s="52"/>
      <c r="X916" s="52"/>
      <c r="Y916" s="52"/>
      <c r="Z916" s="52"/>
      <c r="AA916" s="52"/>
      <c r="AB916" s="52"/>
      <c r="AC916" s="52"/>
      <c r="AD916" s="52"/>
      <c r="AE916" s="52"/>
      <c r="AF916" s="52"/>
      <c r="AG916" s="52"/>
      <c r="AH916" s="52"/>
      <c r="AI916" s="52"/>
      <c r="AJ916" s="52"/>
      <c r="AK916" s="52"/>
      <c r="AL916" s="52"/>
      <c r="AM916" s="52"/>
      <c r="AN916" s="52"/>
    </row>
    <row r="917" spans="1:40" x14ac:dyDescent="0.3">
      <c r="A917" s="52">
        <v>912</v>
      </c>
      <c r="B917" s="52">
        <f>-bthan*500+(11+0.5)*bthan*1000/50</f>
        <v>-1485</v>
      </c>
      <c r="C917" s="52">
        <f t="shared" si="138"/>
        <v>-430</v>
      </c>
      <c r="D917" s="52">
        <f t="shared" si="136"/>
        <v>2200</v>
      </c>
      <c r="E917" s="52">
        <f t="shared" si="137"/>
        <v>1</v>
      </c>
      <c r="F917" s="52"/>
      <c r="G917" s="52"/>
      <c r="H917" s="52"/>
      <c r="I917" s="52"/>
      <c r="J917" s="52"/>
      <c r="K917" s="52"/>
      <c r="L917" s="52"/>
      <c r="M917" s="52"/>
      <c r="N917" s="52"/>
      <c r="O917" s="52"/>
      <c r="P917" s="52"/>
      <c r="Q917" s="52"/>
      <c r="R917" s="52"/>
      <c r="S917" s="52"/>
      <c r="T917" s="52"/>
      <c r="U917" s="52"/>
      <c r="V917" s="52"/>
      <c r="W917" s="52"/>
      <c r="X917" s="52"/>
      <c r="Y917" s="52"/>
      <c r="Z917" s="52"/>
      <c r="AA917" s="52"/>
      <c r="AB917" s="52"/>
      <c r="AC917" s="52"/>
      <c r="AD917" s="52"/>
      <c r="AE917" s="52"/>
      <c r="AF917" s="52"/>
      <c r="AG917" s="52"/>
      <c r="AH917" s="52"/>
      <c r="AI917" s="52"/>
      <c r="AJ917" s="52"/>
      <c r="AK917" s="52"/>
      <c r="AL917" s="52"/>
      <c r="AM917" s="52"/>
      <c r="AN917" s="52"/>
    </row>
    <row r="918" spans="1:40" x14ac:dyDescent="0.3">
      <c r="A918" s="52">
        <v>913</v>
      </c>
      <c r="B918" s="52">
        <f>-bthan*500+(12+0.5)*bthan*1000/50</f>
        <v>-1375</v>
      </c>
      <c r="C918" s="52">
        <f t="shared" si="138"/>
        <v>-430</v>
      </c>
      <c r="D918" s="52">
        <f t="shared" si="136"/>
        <v>2200</v>
      </c>
      <c r="E918" s="52">
        <f t="shared" si="137"/>
        <v>1</v>
      </c>
      <c r="F918" s="52"/>
      <c r="G918" s="52"/>
      <c r="H918" s="52"/>
      <c r="I918" s="52"/>
      <c r="J918" s="52"/>
      <c r="K918" s="52"/>
      <c r="L918" s="52"/>
      <c r="M918" s="52"/>
      <c r="N918" s="52"/>
      <c r="O918" s="52"/>
      <c r="P918" s="52"/>
      <c r="Q918" s="52"/>
      <c r="R918" s="52"/>
      <c r="S918" s="52"/>
      <c r="T918" s="52"/>
      <c r="U918" s="52"/>
      <c r="V918" s="52"/>
      <c r="W918" s="52"/>
      <c r="X918" s="52"/>
      <c r="Y918" s="52"/>
      <c r="Z918" s="52"/>
      <c r="AA918" s="52"/>
      <c r="AB918" s="52"/>
      <c r="AC918" s="52"/>
      <c r="AD918" s="52"/>
      <c r="AE918" s="52"/>
      <c r="AF918" s="52"/>
      <c r="AG918" s="52"/>
      <c r="AH918" s="52"/>
      <c r="AI918" s="52"/>
      <c r="AJ918" s="52"/>
      <c r="AK918" s="52"/>
      <c r="AL918" s="52"/>
      <c r="AM918" s="52"/>
      <c r="AN918" s="52"/>
    </row>
    <row r="919" spans="1:40" x14ac:dyDescent="0.3">
      <c r="A919" s="52">
        <v>914</v>
      </c>
      <c r="B919" s="52">
        <f>-bthan*500+(13+0.5)*bthan*1000/50</f>
        <v>-1265</v>
      </c>
      <c r="C919" s="52">
        <f t="shared" si="138"/>
        <v>-430</v>
      </c>
      <c r="D919" s="52">
        <f t="shared" si="136"/>
        <v>2200</v>
      </c>
      <c r="E919" s="52">
        <f t="shared" si="137"/>
        <v>1</v>
      </c>
      <c r="F919" s="52"/>
      <c r="G919" s="52"/>
      <c r="H919" s="52"/>
      <c r="I919" s="52"/>
      <c r="J919" s="52"/>
      <c r="K919" s="52"/>
      <c r="L919" s="52"/>
      <c r="M919" s="52"/>
      <c r="N919" s="52"/>
      <c r="O919" s="52"/>
      <c r="P919" s="52"/>
      <c r="Q919" s="52"/>
      <c r="R919" s="52"/>
      <c r="S919" s="52"/>
      <c r="T919" s="52"/>
      <c r="U919" s="52"/>
      <c r="V919" s="52"/>
      <c r="W919" s="52"/>
      <c r="X919" s="52"/>
      <c r="Y919" s="52"/>
      <c r="Z919" s="52"/>
      <c r="AA919" s="52"/>
      <c r="AB919" s="52"/>
      <c r="AC919" s="52"/>
      <c r="AD919" s="52"/>
      <c r="AE919" s="52"/>
      <c r="AF919" s="52"/>
      <c r="AG919" s="52"/>
      <c r="AH919" s="52"/>
      <c r="AI919" s="52"/>
      <c r="AJ919" s="52"/>
      <c r="AK919" s="52"/>
      <c r="AL919" s="52"/>
      <c r="AM919" s="52"/>
      <c r="AN919" s="52"/>
    </row>
    <row r="920" spans="1:40" x14ac:dyDescent="0.3">
      <c r="A920" s="52">
        <v>915</v>
      </c>
      <c r="B920" s="52">
        <f>-bthan*500+(14+0.5)*bthan*1000/50</f>
        <v>-1155</v>
      </c>
      <c r="C920" s="52">
        <f t="shared" si="138"/>
        <v>-430</v>
      </c>
      <c r="D920" s="52">
        <f t="shared" si="136"/>
        <v>2200</v>
      </c>
      <c r="E920" s="52">
        <f t="shared" si="137"/>
        <v>1</v>
      </c>
      <c r="F920" s="52"/>
      <c r="G920" s="52"/>
      <c r="H920" s="52"/>
      <c r="I920" s="52"/>
      <c r="J920" s="52"/>
      <c r="K920" s="52"/>
      <c r="L920" s="52"/>
      <c r="M920" s="52"/>
      <c r="N920" s="52"/>
      <c r="O920" s="52"/>
      <c r="P920" s="52"/>
      <c r="Q920" s="52"/>
      <c r="R920" s="52"/>
      <c r="S920" s="52"/>
      <c r="T920" s="52"/>
      <c r="U920" s="52"/>
      <c r="V920" s="52"/>
      <c r="W920" s="52"/>
      <c r="X920" s="52"/>
      <c r="Y920" s="52"/>
      <c r="Z920" s="52"/>
      <c r="AA920" s="52"/>
      <c r="AB920" s="52"/>
      <c r="AC920" s="52"/>
      <c r="AD920" s="52"/>
      <c r="AE920" s="52"/>
      <c r="AF920" s="52"/>
      <c r="AG920" s="52"/>
      <c r="AH920" s="52"/>
      <c r="AI920" s="52"/>
      <c r="AJ920" s="52"/>
      <c r="AK920" s="52"/>
      <c r="AL920" s="52"/>
      <c r="AM920" s="52"/>
      <c r="AN920" s="52"/>
    </row>
    <row r="921" spans="1:40" x14ac:dyDescent="0.3">
      <c r="A921" s="52">
        <v>916</v>
      </c>
      <c r="B921" s="52">
        <f>-bthan*500+(15+0.5)*bthan*1000/50</f>
        <v>-1045</v>
      </c>
      <c r="C921" s="52">
        <f t="shared" si="138"/>
        <v>-430</v>
      </c>
      <c r="D921" s="52">
        <f t="shared" si="136"/>
        <v>2200</v>
      </c>
      <c r="E921" s="52">
        <f t="shared" si="137"/>
        <v>1</v>
      </c>
      <c r="F921" s="52"/>
      <c r="G921" s="52"/>
      <c r="H921" s="52"/>
      <c r="I921" s="52"/>
      <c r="J921" s="52"/>
      <c r="K921" s="52"/>
      <c r="L921" s="52"/>
      <c r="M921" s="52"/>
      <c r="N921" s="52"/>
      <c r="O921" s="52"/>
      <c r="P921" s="52"/>
      <c r="Q921" s="52"/>
      <c r="R921" s="52"/>
      <c r="S921" s="52"/>
      <c r="T921" s="52"/>
      <c r="U921" s="52"/>
      <c r="V921" s="52"/>
      <c r="W921" s="52"/>
      <c r="X921" s="52"/>
      <c r="Y921" s="52"/>
      <c r="Z921" s="52"/>
      <c r="AA921" s="52"/>
      <c r="AB921" s="52"/>
      <c r="AC921" s="52"/>
      <c r="AD921" s="52"/>
      <c r="AE921" s="52"/>
      <c r="AF921" s="52"/>
      <c r="AG921" s="52"/>
      <c r="AH921" s="52"/>
      <c r="AI921" s="52"/>
      <c r="AJ921" s="52"/>
      <c r="AK921" s="52"/>
      <c r="AL921" s="52"/>
      <c r="AM921" s="52"/>
      <c r="AN921" s="52"/>
    </row>
    <row r="922" spans="1:40" x14ac:dyDescent="0.3">
      <c r="A922" s="52">
        <v>917</v>
      </c>
      <c r="B922" s="52">
        <f>-bthan*500+(16+0.5)*bthan*1000/50</f>
        <v>-935</v>
      </c>
      <c r="C922" s="52">
        <f t="shared" si="138"/>
        <v>-430</v>
      </c>
      <c r="D922" s="52">
        <f t="shared" si="136"/>
        <v>2200</v>
      </c>
      <c r="E922" s="52">
        <f t="shared" si="137"/>
        <v>1</v>
      </c>
      <c r="F922" s="52"/>
      <c r="G922" s="52"/>
      <c r="H922" s="52"/>
      <c r="I922" s="52"/>
      <c r="J922" s="52"/>
      <c r="K922" s="52"/>
      <c r="L922" s="52"/>
      <c r="M922" s="52"/>
      <c r="N922" s="52"/>
      <c r="O922" s="52"/>
      <c r="P922" s="52"/>
      <c r="Q922" s="52"/>
      <c r="R922" s="52"/>
      <c r="S922" s="52"/>
      <c r="T922" s="52"/>
      <c r="U922" s="52"/>
      <c r="V922" s="52"/>
      <c r="W922" s="52"/>
      <c r="X922" s="52"/>
      <c r="Y922" s="52"/>
      <c r="Z922" s="52"/>
      <c r="AA922" s="52"/>
      <c r="AB922" s="52"/>
      <c r="AC922" s="52"/>
      <c r="AD922" s="52"/>
      <c r="AE922" s="52"/>
      <c r="AF922" s="52"/>
      <c r="AG922" s="52"/>
      <c r="AH922" s="52"/>
      <c r="AI922" s="52"/>
      <c r="AJ922" s="52"/>
      <c r="AK922" s="52"/>
      <c r="AL922" s="52"/>
      <c r="AM922" s="52"/>
      <c r="AN922" s="52"/>
    </row>
    <row r="923" spans="1:40" x14ac:dyDescent="0.3">
      <c r="A923" s="52">
        <v>918</v>
      </c>
      <c r="B923" s="52">
        <f>-bthan*500+(17+0.5)*bthan*1000/50</f>
        <v>-825</v>
      </c>
      <c r="C923" s="52">
        <f t="shared" si="138"/>
        <v>-430</v>
      </c>
      <c r="D923" s="52">
        <f t="shared" si="136"/>
        <v>2200</v>
      </c>
      <c r="E923" s="52">
        <f t="shared" si="137"/>
        <v>1</v>
      </c>
      <c r="F923" s="52"/>
      <c r="G923" s="52"/>
      <c r="H923" s="52"/>
      <c r="I923" s="52"/>
      <c r="J923" s="52"/>
      <c r="K923" s="52"/>
      <c r="L923" s="52"/>
      <c r="M923" s="52"/>
      <c r="N923" s="52"/>
      <c r="O923" s="52"/>
      <c r="P923" s="52"/>
      <c r="Q923" s="52"/>
      <c r="R923" s="52"/>
      <c r="S923" s="52"/>
      <c r="T923" s="52"/>
      <c r="U923" s="52"/>
      <c r="V923" s="52"/>
      <c r="W923" s="52"/>
      <c r="X923" s="52"/>
      <c r="Y923" s="52"/>
      <c r="Z923" s="52"/>
      <c r="AA923" s="52"/>
      <c r="AB923" s="52"/>
      <c r="AC923" s="52"/>
      <c r="AD923" s="52"/>
      <c r="AE923" s="52"/>
      <c r="AF923" s="52"/>
      <c r="AG923" s="52"/>
      <c r="AH923" s="52"/>
      <c r="AI923" s="52"/>
      <c r="AJ923" s="52"/>
      <c r="AK923" s="52"/>
      <c r="AL923" s="52"/>
      <c r="AM923" s="52"/>
      <c r="AN923" s="52"/>
    </row>
    <row r="924" spans="1:40" x14ac:dyDescent="0.3">
      <c r="A924" s="52">
        <v>919</v>
      </c>
      <c r="B924" s="52">
        <f>-bthan*500+(18+0.5)*bthan*1000/50</f>
        <v>-715</v>
      </c>
      <c r="C924" s="52">
        <f t="shared" si="138"/>
        <v>-430</v>
      </c>
      <c r="D924" s="52">
        <f t="shared" si="136"/>
        <v>2200</v>
      </c>
      <c r="E924" s="52">
        <f t="shared" si="137"/>
        <v>1</v>
      </c>
      <c r="F924" s="52"/>
      <c r="G924" s="52"/>
      <c r="H924" s="52"/>
      <c r="I924" s="52"/>
      <c r="J924" s="52"/>
      <c r="K924" s="52"/>
      <c r="L924" s="52"/>
      <c r="M924" s="52"/>
      <c r="N924" s="52"/>
      <c r="O924" s="52"/>
      <c r="P924" s="52"/>
      <c r="Q924" s="52"/>
      <c r="R924" s="52"/>
      <c r="S924" s="52"/>
      <c r="T924" s="52"/>
      <c r="U924" s="52"/>
      <c r="V924" s="52"/>
      <c r="W924" s="52"/>
      <c r="X924" s="52"/>
      <c r="Y924" s="52"/>
      <c r="Z924" s="52"/>
      <c r="AA924" s="52"/>
      <c r="AB924" s="52"/>
      <c r="AC924" s="52"/>
      <c r="AD924" s="52"/>
      <c r="AE924" s="52"/>
      <c r="AF924" s="52"/>
      <c r="AG924" s="52"/>
      <c r="AH924" s="52"/>
      <c r="AI924" s="52"/>
      <c r="AJ924" s="52"/>
      <c r="AK924" s="52"/>
      <c r="AL924" s="52"/>
      <c r="AM924" s="52"/>
      <c r="AN924" s="52"/>
    </row>
    <row r="925" spans="1:40" x14ac:dyDescent="0.3">
      <c r="A925" s="52">
        <v>920</v>
      </c>
      <c r="B925" s="52">
        <f>-bthan*500+(19+0.5)*bthan*1000/50</f>
        <v>-605</v>
      </c>
      <c r="C925" s="52">
        <f t="shared" si="138"/>
        <v>-430</v>
      </c>
      <c r="D925" s="52">
        <f t="shared" si="136"/>
        <v>2200</v>
      </c>
      <c r="E925" s="52">
        <f t="shared" si="137"/>
        <v>1</v>
      </c>
      <c r="F925" s="52"/>
      <c r="G925" s="52"/>
      <c r="H925" s="52"/>
      <c r="I925" s="52"/>
      <c r="J925" s="52"/>
      <c r="K925" s="52"/>
      <c r="L925" s="52"/>
      <c r="M925" s="52"/>
      <c r="N925" s="52"/>
      <c r="O925" s="52"/>
      <c r="P925" s="52"/>
      <c r="Q925" s="52"/>
      <c r="R925" s="52"/>
      <c r="S925" s="52"/>
      <c r="T925" s="52"/>
      <c r="U925" s="52"/>
      <c r="V925" s="52"/>
      <c r="W925" s="52"/>
      <c r="X925" s="52"/>
      <c r="Y925" s="52"/>
      <c r="Z925" s="52"/>
      <c r="AA925" s="52"/>
      <c r="AB925" s="52"/>
      <c r="AC925" s="52"/>
      <c r="AD925" s="52"/>
      <c r="AE925" s="52"/>
      <c r="AF925" s="52"/>
      <c r="AG925" s="52"/>
      <c r="AH925" s="52"/>
      <c r="AI925" s="52"/>
      <c r="AJ925" s="52"/>
      <c r="AK925" s="52"/>
      <c r="AL925" s="52"/>
      <c r="AM925" s="52"/>
      <c r="AN925" s="52"/>
    </row>
    <row r="926" spans="1:40" x14ac:dyDescent="0.3">
      <c r="A926" s="52">
        <v>921</v>
      </c>
      <c r="B926" s="52">
        <f>-bthan*500+(20+0.5)*bthan*1000/50</f>
        <v>-495</v>
      </c>
      <c r="C926" s="52">
        <f t="shared" si="138"/>
        <v>-430</v>
      </c>
      <c r="D926" s="52">
        <f t="shared" si="136"/>
        <v>2200</v>
      </c>
      <c r="E926" s="52">
        <f t="shared" si="137"/>
        <v>1</v>
      </c>
      <c r="F926" s="52"/>
      <c r="G926" s="52"/>
      <c r="H926" s="52"/>
      <c r="I926" s="52"/>
      <c r="J926" s="52"/>
      <c r="K926" s="52"/>
      <c r="L926" s="52"/>
      <c r="M926" s="52"/>
      <c r="N926" s="52"/>
      <c r="O926" s="52"/>
      <c r="P926" s="52"/>
      <c r="Q926" s="52"/>
      <c r="R926" s="52"/>
      <c r="S926" s="52"/>
      <c r="T926" s="52"/>
      <c r="U926" s="52"/>
      <c r="V926" s="52"/>
      <c r="W926" s="52"/>
      <c r="X926" s="52"/>
      <c r="Y926" s="52"/>
      <c r="Z926" s="52"/>
      <c r="AA926" s="52"/>
      <c r="AB926" s="52"/>
      <c r="AC926" s="52"/>
      <c r="AD926" s="52"/>
      <c r="AE926" s="52"/>
      <c r="AF926" s="52"/>
      <c r="AG926" s="52"/>
      <c r="AH926" s="52"/>
      <c r="AI926" s="52"/>
      <c r="AJ926" s="52"/>
      <c r="AK926" s="52"/>
      <c r="AL926" s="52"/>
      <c r="AM926" s="52"/>
      <c r="AN926" s="52"/>
    </row>
    <row r="927" spans="1:40" x14ac:dyDescent="0.3">
      <c r="A927" s="52">
        <v>922</v>
      </c>
      <c r="B927" s="52">
        <f>-bthan*500+(21+0.5)*bthan*1000/50</f>
        <v>-385</v>
      </c>
      <c r="C927" s="52">
        <f t="shared" si="138"/>
        <v>-430</v>
      </c>
      <c r="D927" s="52">
        <f t="shared" si="136"/>
        <v>2200</v>
      </c>
      <c r="E927" s="52">
        <f t="shared" si="137"/>
        <v>1</v>
      </c>
      <c r="F927" s="52"/>
      <c r="G927" s="52"/>
      <c r="H927" s="52"/>
      <c r="I927" s="52"/>
      <c r="J927" s="52"/>
      <c r="K927" s="52"/>
      <c r="L927" s="52"/>
      <c r="M927" s="52"/>
      <c r="N927" s="52"/>
      <c r="O927" s="52"/>
      <c r="P927" s="52"/>
      <c r="Q927" s="52"/>
      <c r="R927" s="52"/>
      <c r="S927" s="52"/>
      <c r="T927" s="52"/>
      <c r="U927" s="52"/>
      <c r="V927" s="52"/>
      <c r="W927" s="52"/>
      <c r="X927" s="52"/>
      <c r="Y927" s="52"/>
      <c r="Z927" s="52"/>
      <c r="AA927" s="52"/>
      <c r="AB927" s="52"/>
      <c r="AC927" s="52"/>
      <c r="AD927" s="52"/>
      <c r="AE927" s="52"/>
      <c r="AF927" s="52"/>
      <c r="AG927" s="52"/>
      <c r="AH927" s="52"/>
      <c r="AI927" s="52"/>
      <c r="AJ927" s="52"/>
      <c r="AK927" s="52"/>
      <c r="AL927" s="52"/>
      <c r="AM927" s="52"/>
      <c r="AN927" s="52"/>
    </row>
    <row r="928" spans="1:40" x14ac:dyDescent="0.3">
      <c r="A928" s="52">
        <v>923</v>
      </c>
      <c r="B928" s="52">
        <f>-bthan*500+(22+0.5)*bthan*1000/50</f>
        <v>-275</v>
      </c>
      <c r="C928" s="52">
        <f t="shared" si="138"/>
        <v>-430</v>
      </c>
      <c r="D928" s="52">
        <f t="shared" si="136"/>
        <v>2200</v>
      </c>
      <c r="E928" s="52">
        <f t="shared" si="137"/>
        <v>1</v>
      </c>
      <c r="F928" s="52"/>
      <c r="G928" s="52"/>
      <c r="H928" s="52"/>
      <c r="I928" s="52"/>
      <c r="J928" s="52"/>
      <c r="K928" s="52"/>
      <c r="L928" s="52"/>
      <c r="M928" s="52"/>
      <c r="N928" s="52"/>
      <c r="O928" s="52"/>
      <c r="P928" s="52"/>
      <c r="Q928" s="52"/>
      <c r="R928" s="52"/>
      <c r="S928" s="52"/>
      <c r="T928" s="52"/>
      <c r="U928" s="52"/>
      <c r="V928" s="52"/>
      <c r="W928" s="52"/>
      <c r="X928" s="52"/>
      <c r="Y928" s="52"/>
      <c r="Z928" s="52"/>
      <c r="AA928" s="52"/>
      <c r="AB928" s="52"/>
      <c r="AC928" s="52"/>
      <c r="AD928" s="52"/>
      <c r="AE928" s="52"/>
      <c r="AF928" s="52"/>
      <c r="AG928" s="52"/>
      <c r="AH928" s="52"/>
      <c r="AI928" s="52"/>
      <c r="AJ928" s="52"/>
      <c r="AK928" s="52"/>
      <c r="AL928" s="52"/>
      <c r="AM928" s="52"/>
      <c r="AN928" s="52"/>
    </row>
    <row r="929" spans="1:40" x14ac:dyDescent="0.3">
      <c r="A929" s="52">
        <v>924</v>
      </c>
      <c r="B929" s="52">
        <f>-bthan*500+(23+0.5)*bthan*1000/50</f>
        <v>-165</v>
      </c>
      <c r="C929" s="52">
        <f t="shared" si="138"/>
        <v>-430</v>
      </c>
      <c r="D929" s="52">
        <f t="shared" si="136"/>
        <v>2200</v>
      </c>
      <c r="E929" s="52">
        <f t="shared" si="137"/>
        <v>1</v>
      </c>
      <c r="F929" s="52"/>
      <c r="G929" s="52"/>
      <c r="H929" s="52"/>
      <c r="I929" s="52"/>
      <c r="J929" s="52"/>
      <c r="K929" s="52"/>
      <c r="L929" s="52"/>
      <c r="M929" s="52"/>
      <c r="N929" s="52"/>
      <c r="O929" s="52"/>
      <c r="P929" s="52"/>
      <c r="Q929" s="52"/>
      <c r="R929" s="52"/>
      <c r="S929" s="52"/>
      <c r="T929" s="52"/>
      <c r="U929" s="52"/>
      <c r="V929" s="52"/>
      <c r="W929" s="52"/>
      <c r="X929" s="52"/>
      <c r="Y929" s="52"/>
      <c r="Z929" s="52"/>
      <c r="AA929" s="52"/>
      <c r="AB929" s="52"/>
      <c r="AC929" s="52"/>
      <c r="AD929" s="52"/>
      <c r="AE929" s="52"/>
      <c r="AF929" s="52"/>
      <c r="AG929" s="52"/>
      <c r="AH929" s="52"/>
      <c r="AI929" s="52"/>
      <c r="AJ929" s="52"/>
      <c r="AK929" s="52"/>
      <c r="AL929" s="52"/>
      <c r="AM929" s="52"/>
      <c r="AN929" s="52"/>
    </row>
    <row r="930" spans="1:40" x14ac:dyDescent="0.3">
      <c r="A930" s="52">
        <v>925</v>
      </c>
      <c r="B930" s="52">
        <f>-bthan*500+(24+0.5)*bthan*1000/50</f>
        <v>-55</v>
      </c>
      <c r="C930" s="52">
        <f t="shared" si="138"/>
        <v>-430</v>
      </c>
      <c r="D930" s="52">
        <f t="shared" si="136"/>
        <v>2200</v>
      </c>
      <c r="E930" s="52">
        <f t="shared" si="137"/>
        <v>1</v>
      </c>
      <c r="F930" s="52"/>
      <c r="G930" s="52"/>
      <c r="H930" s="52"/>
      <c r="I930" s="52"/>
      <c r="J930" s="52"/>
      <c r="K930" s="52"/>
      <c r="L930" s="52"/>
      <c r="M930" s="52"/>
      <c r="N930" s="52"/>
      <c r="O930" s="52"/>
      <c r="P930" s="52"/>
      <c r="Q930" s="52"/>
      <c r="R930" s="52"/>
      <c r="S930" s="52"/>
      <c r="T930" s="52"/>
      <c r="U930" s="52"/>
      <c r="V930" s="52"/>
      <c r="W930" s="52"/>
      <c r="X930" s="52"/>
      <c r="Y930" s="52"/>
      <c r="Z930" s="52"/>
      <c r="AA930" s="52"/>
      <c r="AB930" s="52"/>
      <c r="AC930" s="52"/>
      <c r="AD930" s="52"/>
      <c r="AE930" s="52"/>
      <c r="AF930" s="52"/>
      <c r="AG930" s="52"/>
      <c r="AH930" s="52"/>
      <c r="AI930" s="52"/>
      <c r="AJ930" s="52"/>
      <c r="AK930" s="52"/>
      <c r="AL930" s="52"/>
      <c r="AM930" s="52"/>
      <c r="AN930" s="52"/>
    </row>
    <row r="931" spans="1:40" x14ac:dyDescent="0.3">
      <c r="A931" s="52">
        <v>926</v>
      </c>
      <c r="B931" s="52">
        <f>-bthan*500+(25+0.5)*bthan*1000/50</f>
        <v>55</v>
      </c>
      <c r="C931" s="52">
        <f t="shared" si="138"/>
        <v>-430</v>
      </c>
      <c r="D931" s="52">
        <f t="shared" si="136"/>
        <v>2200</v>
      </c>
      <c r="E931" s="52">
        <f t="shared" si="137"/>
        <v>1</v>
      </c>
      <c r="F931" s="52"/>
      <c r="G931" s="52"/>
      <c r="H931" s="52"/>
      <c r="I931" s="52"/>
      <c r="J931" s="52"/>
      <c r="K931" s="52"/>
      <c r="L931" s="52"/>
      <c r="M931" s="52"/>
      <c r="N931" s="52"/>
      <c r="O931" s="52"/>
      <c r="P931" s="52"/>
      <c r="Q931" s="52"/>
      <c r="R931" s="52"/>
      <c r="S931" s="52"/>
      <c r="T931" s="52"/>
      <c r="U931" s="52"/>
      <c r="V931" s="52"/>
      <c r="W931" s="52"/>
      <c r="X931" s="52"/>
      <c r="Y931" s="52"/>
      <c r="Z931" s="52"/>
      <c r="AA931" s="52"/>
      <c r="AB931" s="52"/>
      <c r="AC931" s="52"/>
      <c r="AD931" s="52"/>
      <c r="AE931" s="52"/>
      <c r="AF931" s="52"/>
      <c r="AG931" s="52"/>
      <c r="AH931" s="52"/>
      <c r="AI931" s="52"/>
      <c r="AJ931" s="52"/>
      <c r="AK931" s="52"/>
      <c r="AL931" s="52"/>
      <c r="AM931" s="52"/>
      <c r="AN931" s="52"/>
    </row>
    <row r="932" spans="1:40" x14ac:dyDescent="0.3">
      <c r="A932" s="52">
        <v>927</v>
      </c>
      <c r="B932" s="52">
        <f>-bthan*500+(26+0.5)*bthan*1000/50</f>
        <v>165</v>
      </c>
      <c r="C932" s="52">
        <f t="shared" si="138"/>
        <v>-430</v>
      </c>
      <c r="D932" s="52">
        <f t="shared" si="136"/>
        <v>2200</v>
      </c>
      <c r="E932" s="52">
        <f t="shared" si="137"/>
        <v>1</v>
      </c>
      <c r="F932" s="52"/>
      <c r="G932" s="52"/>
      <c r="H932" s="52"/>
      <c r="I932" s="52"/>
      <c r="J932" s="52"/>
      <c r="K932" s="52"/>
      <c r="L932" s="52"/>
      <c r="M932" s="52"/>
      <c r="N932" s="52"/>
      <c r="O932" s="52"/>
      <c r="P932" s="52"/>
      <c r="Q932" s="52"/>
      <c r="R932" s="52"/>
      <c r="S932" s="52"/>
      <c r="T932" s="52"/>
      <c r="U932" s="52"/>
      <c r="V932" s="52"/>
      <c r="W932" s="52"/>
      <c r="X932" s="52"/>
      <c r="Y932" s="52"/>
      <c r="Z932" s="52"/>
      <c r="AA932" s="52"/>
      <c r="AB932" s="52"/>
      <c r="AC932" s="52"/>
      <c r="AD932" s="52"/>
      <c r="AE932" s="52"/>
      <c r="AF932" s="52"/>
      <c r="AG932" s="52"/>
      <c r="AH932" s="52"/>
      <c r="AI932" s="52"/>
      <c r="AJ932" s="52"/>
      <c r="AK932" s="52"/>
      <c r="AL932" s="52"/>
      <c r="AM932" s="52"/>
      <c r="AN932" s="52"/>
    </row>
    <row r="933" spans="1:40" x14ac:dyDescent="0.3">
      <c r="A933" s="52">
        <v>928</v>
      </c>
      <c r="B933" s="52">
        <f>-bthan*500+(27+0.5)*bthan*1000/50</f>
        <v>275</v>
      </c>
      <c r="C933" s="52">
        <f t="shared" si="138"/>
        <v>-430</v>
      </c>
      <c r="D933" s="52">
        <f t="shared" si="136"/>
        <v>2200</v>
      </c>
      <c r="E933" s="52">
        <f t="shared" si="137"/>
        <v>1</v>
      </c>
      <c r="F933" s="52"/>
      <c r="G933" s="52"/>
      <c r="H933" s="52"/>
      <c r="I933" s="52"/>
      <c r="J933" s="52"/>
      <c r="K933" s="52"/>
      <c r="L933" s="52"/>
      <c r="M933" s="52"/>
      <c r="N933" s="52"/>
      <c r="O933" s="52"/>
      <c r="P933" s="52"/>
      <c r="Q933" s="52"/>
      <c r="R933" s="52"/>
      <c r="S933" s="52"/>
      <c r="T933" s="52"/>
      <c r="U933" s="52"/>
      <c r="V933" s="52"/>
      <c r="W933" s="52"/>
      <c r="X933" s="52"/>
      <c r="Y933" s="52"/>
      <c r="Z933" s="52"/>
      <c r="AA933" s="52"/>
      <c r="AB933" s="52"/>
      <c r="AC933" s="52"/>
      <c r="AD933" s="52"/>
      <c r="AE933" s="52"/>
      <c r="AF933" s="52"/>
      <c r="AG933" s="52"/>
      <c r="AH933" s="52"/>
      <c r="AI933" s="52"/>
      <c r="AJ933" s="52"/>
      <c r="AK933" s="52"/>
      <c r="AL933" s="52"/>
      <c r="AM933" s="52"/>
      <c r="AN933" s="52"/>
    </row>
    <row r="934" spans="1:40" x14ac:dyDescent="0.3">
      <c r="A934" s="52">
        <v>929</v>
      </c>
      <c r="B934" s="52">
        <f>-bthan*500+(28+0.5)*bthan*1000/50</f>
        <v>385</v>
      </c>
      <c r="C934" s="52">
        <f t="shared" si="138"/>
        <v>-430</v>
      </c>
      <c r="D934" s="52">
        <f t="shared" si="136"/>
        <v>2200</v>
      </c>
      <c r="E934" s="52">
        <f t="shared" si="137"/>
        <v>1</v>
      </c>
      <c r="F934" s="52"/>
      <c r="G934" s="52"/>
      <c r="H934" s="52"/>
      <c r="I934" s="52"/>
      <c r="J934" s="52"/>
      <c r="K934" s="52"/>
      <c r="L934" s="52"/>
      <c r="M934" s="52"/>
      <c r="N934" s="52"/>
      <c r="O934" s="52"/>
      <c r="P934" s="52"/>
      <c r="Q934" s="52"/>
      <c r="R934" s="52"/>
      <c r="S934" s="52"/>
      <c r="T934" s="52"/>
      <c r="U934" s="52"/>
      <c r="V934" s="52"/>
      <c r="W934" s="52"/>
      <c r="X934" s="52"/>
      <c r="Y934" s="52"/>
      <c r="Z934" s="52"/>
      <c r="AA934" s="52"/>
      <c r="AB934" s="52"/>
      <c r="AC934" s="52"/>
      <c r="AD934" s="52"/>
      <c r="AE934" s="52"/>
      <c r="AF934" s="52"/>
      <c r="AG934" s="52"/>
      <c r="AH934" s="52"/>
      <c r="AI934" s="52"/>
      <c r="AJ934" s="52"/>
      <c r="AK934" s="52"/>
      <c r="AL934" s="52"/>
      <c r="AM934" s="52"/>
      <c r="AN934" s="52"/>
    </row>
    <row r="935" spans="1:40" x14ac:dyDescent="0.3">
      <c r="A935" s="52">
        <v>930</v>
      </c>
      <c r="B935" s="52">
        <f>-bthan*500+(29+0.5)*bthan*1000/50</f>
        <v>495</v>
      </c>
      <c r="C935" s="52">
        <f t="shared" si="138"/>
        <v>-430</v>
      </c>
      <c r="D935" s="52">
        <f t="shared" si="136"/>
        <v>2200</v>
      </c>
      <c r="E935" s="52">
        <f t="shared" si="137"/>
        <v>1</v>
      </c>
      <c r="F935" s="52"/>
      <c r="G935" s="52"/>
      <c r="H935" s="52"/>
      <c r="I935" s="52"/>
      <c r="J935" s="52"/>
      <c r="K935" s="52"/>
      <c r="L935" s="52"/>
      <c r="M935" s="52"/>
      <c r="N935" s="52"/>
      <c r="O935" s="52"/>
      <c r="P935" s="52"/>
      <c r="Q935" s="52"/>
      <c r="R935" s="52"/>
      <c r="S935" s="52"/>
      <c r="T935" s="52"/>
      <c r="U935" s="52"/>
      <c r="V935" s="52"/>
      <c r="W935" s="52"/>
      <c r="X935" s="52"/>
      <c r="Y935" s="52"/>
      <c r="Z935" s="52"/>
      <c r="AA935" s="52"/>
      <c r="AB935" s="52"/>
      <c r="AC935" s="52"/>
      <c r="AD935" s="52"/>
      <c r="AE935" s="52"/>
      <c r="AF935" s="52"/>
      <c r="AG935" s="52"/>
      <c r="AH935" s="52"/>
      <c r="AI935" s="52"/>
      <c r="AJ935" s="52"/>
      <c r="AK935" s="52"/>
      <c r="AL935" s="52"/>
      <c r="AM935" s="52"/>
      <c r="AN935" s="52"/>
    </row>
    <row r="936" spans="1:40" x14ac:dyDescent="0.3">
      <c r="A936" s="52">
        <v>931</v>
      </c>
      <c r="B936" s="52">
        <f>-bthan*500+(30+0.5)*bthan*1000/50</f>
        <v>605</v>
      </c>
      <c r="C936" s="52">
        <f t="shared" si="138"/>
        <v>-430</v>
      </c>
      <c r="D936" s="52">
        <f t="shared" si="136"/>
        <v>2200</v>
      </c>
      <c r="E936" s="52">
        <f t="shared" si="137"/>
        <v>1</v>
      </c>
      <c r="F936" s="52"/>
      <c r="G936" s="52"/>
      <c r="H936" s="52"/>
      <c r="I936" s="52"/>
      <c r="J936" s="52"/>
      <c r="K936" s="52"/>
      <c r="L936" s="52"/>
      <c r="M936" s="52"/>
      <c r="N936" s="52"/>
      <c r="O936" s="52"/>
      <c r="P936" s="52"/>
      <c r="Q936" s="52"/>
      <c r="R936" s="52"/>
      <c r="S936" s="52"/>
      <c r="T936" s="52"/>
      <c r="U936" s="52"/>
      <c r="V936" s="52"/>
      <c r="W936" s="52"/>
      <c r="X936" s="52"/>
      <c r="Y936" s="52"/>
      <c r="Z936" s="52"/>
      <c r="AA936" s="52"/>
      <c r="AB936" s="52"/>
      <c r="AC936" s="52"/>
      <c r="AD936" s="52"/>
      <c r="AE936" s="52"/>
      <c r="AF936" s="52"/>
      <c r="AG936" s="52"/>
      <c r="AH936" s="52"/>
      <c r="AI936" s="52"/>
      <c r="AJ936" s="52"/>
      <c r="AK936" s="52"/>
      <c r="AL936" s="52"/>
      <c r="AM936" s="52"/>
      <c r="AN936" s="52"/>
    </row>
    <row r="937" spans="1:40" x14ac:dyDescent="0.3">
      <c r="A937" s="52">
        <v>932</v>
      </c>
      <c r="B937" s="52">
        <f>-bthan*500+(31+0.5)*bthan*1000/50</f>
        <v>715</v>
      </c>
      <c r="C937" s="52">
        <f t="shared" si="138"/>
        <v>-430</v>
      </c>
      <c r="D937" s="52">
        <f t="shared" si="136"/>
        <v>2200</v>
      </c>
      <c r="E937" s="52">
        <f t="shared" si="137"/>
        <v>1</v>
      </c>
      <c r="F937" s="52"/>
      <c r="G937" s="52"/>
      <c r="H937" s="52"/>
      <c r="I937" s="52"/>
      <c r="J937" s="52"/>
      <c r="K937" s="52"/>
      <c r="L937" s="52"/>
      <c r="M937" s="52"/>
      <c r="N937" s="52"/>
      <c r="O937" s="52"/>
      <c r="P937" s="52"/>
      <c r="Q937" s="52"/>
      <c r="R937" s="52"/>
      <c r="S937" s="52"/>
      <c r="T937" s="52"/>
      <c r="U937" s="52"/>
      <c r="V937" s="52"/>
      <c r="W937" s="52"/>
      <c r="X937" s="52"/>
      <c r="Y937" s="52"/>
      <c r="Z937" s="52"/>
      <c r="AA937" s="52"/>
      <c r="AB937" s="52"/>
      <c r="AC937" s="52"/>
      <c r="AD937" s="52"/>
      <c r="AE937" s="52"/>
      <c r="AF937" s="52"/>
      <c r="AG937" s="52"/>
      <c r="AH937" s="52"/>
      <c r="AI937" s="52"/>
      <c r="AJ937" s="52"/>
      <c r="AK937" s="52"/>
      <c r="AL937" s="52"/>
      <c r="AM937" s="52"/>
      <c r="AN937" s="52"/>
    </row>
    <row r="938" spans="1:40" x14ac:dyDescent="0.3">
      <c r="A938" s="52">
        <v>933</v>
      </c>
      <c r="B938" s="52">
        <f>-bthan*500+(32+0.5)*bthan*1000/50</f>
        <v>825</v>
      </c>
      <c r="C938" s="52">
        <f t="shared" ref="C938:C955" si="139">-hthan*500+(18+0.5)*hthan*1000/80</f>
        <v>-430</v>
      </c>
      <c r="D938" s="52">
        <f t="shared" si="136"/>
        <v>2200</v>
      </c>
      <c r="E938" s="52">
        <f t="shared" si="137"/>
        <v>1</v>
      </c>
      <c r="F938" s="52"/>
      <c r="G938" s="52"/>
      <c r="H938" s="52"/>
      <c r="I938" s="52"/>
      <c r="J938" s="52"/>
      <c r="K938" s="52"/>
      <c r="L938" s="52"/>
      <c r="M938" s="52"/>
      <c r="N938" s="52"/>
      <c r="O938" s="52"/>
      <c r="P938" s="52"/>
      <c r="Q938" s="52"/>
      <c r="R938" s="52"/>
      <c r="S938" s="52"/>
      <c r="T938" s="52"/>
      <c r="U938" s="52"/>
      <c r="V938" s="52"/>
      <c r="W938" s="52"/>
      <c r="X938" s="52"/>
      <c r="Y938" s="52"/>
      <c r="Z938" s="52"/>
      <c r="AA938" s="52"/>
      <c r="AB938" s="52"/>
      <c r="AC938" s="52"/>
      <c r="AD938" s="52"/>
      <c r="AE938" s="52"/>
      <c r="AF938" s="52"/>
      <c r="AG938" s="52"/>
      <c r="AH938" s="52"/>
      <c r="AI938" s="52"/>
      <c r="AJ938" s="52"/>
      <c r="AK938" s="52"/>
      <c r="AL938" s="52"/>
      <c r="AM938" s="52"/>
      <c r="AN938" s="52"/>
    </row>
    <row r="939" spans="1:40" x14ac:dyDescent="0.3">
      <c r="A939" s="52">
        <v>934</v>
      </c>
      <c r="B939" s="52">
        <f>-bthan*500+(33+0.5)*bthan*1000/50</f>
        <v>935</v>
      </c>
      <c r="C939" s="52">
        <f t="shared" si="139"/>
        <v>-430</v>
      </c>
      <c r="D939" s="52">
        <f t="shared" si="136"/>
        <v>2200</v>
      </c>
      <c r="E939" s="52">
        <f t="shared" si="137"/>
        <v>1</v>
      </c>
      <c r="F939" s="52"/>
      <c r="G939" s="52"/>
      <c r="H939" s="52"/>
      <c r="I939" s="52"/>
      <c r="J939" s="52"/>
      <c r="K939" s="52"/>
      <c r="L939" s="52"/>
      <c r="M939" s="52"/>
      <c r="N939" s="52"/>
      <c r="O939" s="52"/>
      <c r="P939" s="52"/>
      <c r="Q939" s="52"/>
      <c r="R939" s="52"/>
      <c r="S939" s="52"/>
      <c r="T939" s="52"/>
      <c r="U939" s="52"/>
      <c r="V939" s="52"/>
      <c r="W939" s="52"/>
      <c r="X939" s="52"/>
      <c r="Y939" s="52"/>
      <c r="Z939" s="52"/>
      <c r="AA939" s="52"/>
      <c r="AB939" s="52"/>
      <c r="AC939" s="52"/>
      <c r="AD939" s="52"/>
      <c r="AE939" s="52"/>
      <c r="AF939" s="52"/>
      <c r="AG939" s="52"/>
      <c r="AH939" s="52"/>
      <c r="AI939" s="52"/>
      <c r="AJ939" s="52"/>
      <c r="AK939" s="52"/>
      <c r="AL939" s="52"/>
      <c r="AM939" s="52"/>
      <c r="AN939" s="52"/>
    </row>
    <row r="940" spans="1:40" x14ac:dyDescent="0.3">
      <c r="A940" s="52">
        <v>935</v>
      </c>
      <c r="B940" s="52">
        <f>-bthan*500+(34+0.5)*bthan*1000/50</f>
        <v>1045</v>
      </c>
      <c r="C940" s="52">
        <f t="shared" si="139"/>
        <v>-430</v>
      </c>
      <c r="D940" s="52">
        <f t="shared" si="136"/>
        <v>2200</v>
      </c>
      <c r="E940" s="52">
        <f t="shared" si="137"/>
        <v>1</v>
      </c>
      <c r="F940" s="52"/>
      <c r="G940" s="52"/>
      <c r="H940" s="52"/>
      <c r="I940" s="52"/>
      <c r="J940" s="52"/>
      <c r="K940" s="52"/>
      <c r="L940" s="52"/>
      <c r="M940" s="52"/>
      <c r="N940" s="52"/>
      <c r="O940" s="52"/>
      <c r="P940" s="52"/>
      <c r="Q940" s="52"/>
      <c r="R940" s="52"/>
      <c r="S940" s="52"/>
      <c r="T940" s="52"/>
      <c r="U940" s="52"/>
      <c r="V940" s="52"/>
      <c r="W940" s="52"/>
      <c r="X940" s="52"/>
      <c r="Y940" s="52"/>
      <c r="Z940" s="52"/>
      <c r="AA940" s="52"/>
      <c r="AB940" s="52"/>
      <c r="AC940" s="52"/>
      <c r="AD940" s="52"/>
      <c r="AE940" s="52"/>
      <c r="AF940" s="52"/>
      <c r="AG940" s="52"/>
      <c r="AH940" s="52"/>
      <c r="AI940" s="52"/>
      <c r="AJ940" s="52"/>
      <c r="AK940" s="52"/>
      <c r="AL940" s="52"/>
      <c r="AM940" s="52"/>
      <c r="AN940" s="52"/>
    </row>
    <row r="941" spans="1:40" x14ac:dyDescent="0.3">
      <c r="A941" s="52">
        <v>936</v>
      </c>
      <c r="B941" s="52">
        <f>-bthan*500+(35+0.5)*bthan*1000/50</f>
        <v>1155</v>
      </c>
      <c r="C941" s="52">
        <f t="shared" si="139"/>
        <v>-430</v>
      </c>
      <c r="D941" s="52">
        <f t="shared" si="136"/>
        <v>2200</v>
      </c>
      <c r="E941" s="52">
        <f t="shared" si="137"/>
        <v>1</v>
      </c>
      <c r="F941" s="52"/>
      <c r="G941" s="52"/>
      <c r="H941" s="52"/>
      <c r="I941" s="52"/>
      <c r="J941" s="52"/>
      <c r="K941" s="52"/>
      <c r="L941" s="52"/>
      <c r="M941" s="52"/>
      <c r="N941" s="52"/>
      <c r="O941" s="52"/>
      <c r="P941" s="52"/>
      <c r="Q941" s="52"/>
      <c r="R941" s="52"/>
      <c r="S941" s="52"/>
      <c r="T941" s="52"/>
      <c r="U941" s="52"/>
      <c r="V941" s="52"/>
      <c r="W941" s="52"/>
      <c r="X941" s="52"/>
      <c r="Y941" s="52"/>
      <c r="Z941" s="52"/>
      <c r="AA941" s="52"/>
      <c r="AB941" s="52"/>
      <c r="AC941" s="52"/>
      <c r="AD941" s="52"/>
      <c r="AE941" s="52"/>
      <c r="AF941" s="52"/>
      <c r="AG941" s="52"/>
      <c r="AH941" s="52"/>
      <c r="AI941" s="52"/>
      <c r="AJ941" s="52"/>
      <c r="AK941" s="52"/>
      <c r="AL941" s="52"/>
      <c r="AM941" s="52"/>
      <c r="AN941" s="52"/>
    </row>
    <row r="942" spans="1:40" x14ac:dyDescent="0.3">
      <c r="A942" s="52">
        <v>937</v>
      </c>
      <c r="B942" s="52">
        <f>-bthan*500+(36+0.5)*bthan*1000/50</f>
        <v>1265</v>
      </c>
      <c r="C942" s="52">
        <f t="shared" si="139"/>
        <v>-430</v>
      </c>
      <c r="D942" s="52">
        <f t="shared" si="136"/>
        <v>2200</v>
      </c>
      <c r="E942" s="52">
        <f t="shared" si="137"/>
        <v>1</v>
      </c>
      <c r="F942" s="52"/>
      <c r="G942" s="52"/>
      <c r="H942" s="52"/>
      <c r="I942" s="52"/>
      <c r="J942" s="52"/>
      <c r="K942" s="52"/>
      <c r="L942" s="52"/>
      <c r="M942" s="52"/>
      <c r="N942" s="52"/>
      <c r="O942" s="52"/>
      <c r="P942" s="52"/>
      <c r="Q942" s="52"/>
      <c r="R942" s="52"/>
      <c r="S942" s="52"/>
      <c r="T942" s="52"/>
      <c r="U942" s="52"/>
      <c r="V942" s="52"/>
      <c r="W942" s="52"/>
      <c r="X942" s="52"/>
      <c r="Y942" s="52"/>
      <c r="Z942" s="52"/>
      <c r="AA942" s="52"/>
      <c r="AB942" s="52"/>
      <c r="AC942" s="52"/>
      <c r="AD942" s="52"/>
      <c r="AE942" s="52"/>
      <c r="AF942" s="52"/>
      <c r="AG942" s="52"/>
      <c r="AH942" s="52"/>
      <c r="AI942" s="52"/>
      <c r="AJ942" s="52"/>
      <c r="AK942" s="52"/>
      <c r="AL942" s="52"/>
      <c r="AM942" s="52"/>
      <c r="AN942" s="52"/>
    </row>
    <row r="943" spans="1:40" x14ac:dyDescent="0.3">
      <c r="A943" s="52">
        <v>938</v>
      </c>
      <c r="B943" s="52">
        <f>-bthan*500+(37+0.5)*bthan*1000/50</f>
        <v>1375</v>
      </c>
      <c r="C943" s="52">
        <f t="shared" si="139"/>
        <v>-430</v>
      </c>
      <c r="D943" s="52">
        <f t="shared" si="136"/>
        <v>2200</v>
      </c>
      <c r="E943" s="52">
        <f t="shared" si="137"/>
        <v>1</v>
      </c>
      <c r="F943" s="52"/>
      <c r="G943" s="52"/>
      <c r="H943" s="52"/>
      <c r="I943" s="52"/>
      <c r="J943" s="52"/>
      <c r="K943" s="52"/>
      <c r="L943" s="52"/>
      <c r="M943" s="52"/>
      <c r="N943" s="52"/>
      <c r="O943" s="52"/>
      <c r="P943" s="52"/>
      <c r="Q943" s="52"/>
      <c r="R943" s="52"/>
      <c r="S943" s="52"/>
      <c r="T943" s="52"/>
      <c r="U943" s="52"/>
      <c r="V943" s="52"/>
      <c r="W943" s="52"/>
      <c r="X943" s="52"/>
      <c r="Y943" s="52"/>
      <c r="Z943" s="52"/>
      <c r="AA943" s="52"/>
      <c r="AB943" s="52"/>
      <c r="AC943" s="52"/>
      <c r="AD943" s="52"/>
      <c r="AE943" s="52"/>
      <c r="AF943" s="52"/>
      <c r="AG943" s="52"/>
      <c r="AH943" s="52"/>
      <c r="AI943" s="52"/>
      <c r="AJ943" s="52"/>
      <c r="AK943" s="52"/>
      <c r="AL943" s="52"/>
      <c r="AM943" s="52"/>
      <c r="AN943" s="52"/>
    </row>
    <row r="944" spans="1:40" x14ac:dyDescent="0.3">
      <c r="A944" s="52">
        <v>939</v>
      </c>
      <c r="B944" s="52">
        <f>-bthan*500+(38+0.5)*bthan*1000/50</f>
        <v>1485</v>
      </c>
      <c r="C944" s="52">
        <f t="shared" si="139"/>
        <v>-430</v>
      </c>
      <c r="D944" s="52">
        <f t="shared" si="136"/>
        <v>2200</v>
      </c>
      <c r="E944" s="52">
        <f t="shared" si="137"/>
        <v>1</v>
      </c>
      <c r="F944" s="52"/>
      <c r="G944" s="52"/>
      <c r="H944" s="52"/>
      <c r="I944" s="52"/>
      <c r="J944" s="52"/>
      <c r="K944" s="52"/>
      <c r="L944" s="52"/>
      <c r="M944" s="52"/>
      <c r="N944" s="52"/>
      <c r="O944" s="52"/>
      <c r="P944" s="52"/>
      <c r="Q944" s="52"/>
      <c r="R944" s="52"/>
      <c r="S944" s="52"/>
      <c r="T944" s="52"/>
      <c r="U944" s="52"/>
      <c r="V944" s="52"/>
      <c r="W944" s="52"/>
      <c r="X944" s="52"/>
      <c r="Y944" s="52"/>
      <c r="Z944" s="52"/>
      <c r="AA944" s="52"/>
      <c r="AB944" s="52"/>
      <c r="AC944" s="52"/>
      <c r="AD944" s="52"/>
      <c r="AE944" s="52"/>
      <c r="AF944" s="52"/>
      <c r="AG944" s="52"/>
      <c r="AH944" s="52"/>
      <c r="AI944" s="52"/>
      <c r="AJ944" s="52"/>
      <c r="AK944" s="52"/>
      <c r="AL944" s="52"/>
      <c r="AM944" s="52"/>
      <c r="AN944" s="52"/>
    </row>
    <row r="945" spans="1:40" x14ac:dyDescent="0.3">
      <c r="A945" s="52">
        <v>940</v>
      </c>
      <c r="B945" s="52">
        <f>-bthan*500+(39+0.5)*bthan*1000/50</f>
        <v>1595</v>
      </c>
      <c r="C945" s="52">
        <f t="shared" si="139"/>
        <v>-430</v>
      </c>
      <c r="D945" s="52">
        <f t="shared" si="136"/>
        <v>2200</v>
      </c>
      <c r="E945" s="52">
        <f t="shared" si="137"/>
        <v>1</v>
      </c>
      <c r="F945" s="52"/>
      <c r="G945" s="52"/>
      <c r="H945" s="52"/>
      <c r="I945" s="52"/>
      <c r="J945" s="52"/>
      <c r="K945" s="52"/>
      <c r="L945" s="52"/>
      <c r="M945" s="52"/>
      <c r="N945" s="52"/>
      <c r="O945" s="52"/>
      <c r="P945" s="52"/>
      <c r="Q945" s="52"/>
      <c r="R945" s="52"/>
      <c r="S945" s="52"/>
      <c r="T945" s="52"/>
      <c r="U945" s="52"/>
      <c r="V945" s="52"/>
      <c r="W945" s="52"/>
      <c r="X945" s="52"/>
      <c r="Y945" s="52"/>
      <c r="Z945" s="52"/>
      <c r="AA945" s="52"/>
      <c r="AB945" s="52"/>
      <c r="AC945" s="52"/>
      <c r="AD945" s="52"/>
      <c r="AE945" s="52"/>
      <c r="AF945" s="52"/>
      <c r="AG945" s="52"/>
      <c r="AH945" s="52"/>
      <c r="AI945" s="52"/>
      <c r="AJ945" s="52"/>
      <c r="AK945" s="52"/>
      <c r="AL945" s="52"/>
      <c r="AM945" s="52"/>
      <c r="AN945" s="52"/>
    </row>
    <row r="946" spans="1:40" x14ac:dyDescent="0.3">
      <c r="A946" s="52">
        <v>941</v>
      </c>
      <c r="B946" s="52">
        <f>-bthan*500+(40+0.5)*bthan*1000/50</f>
        <v>1705</v>
      </c>
      <c r="C946" s="52">
        <f t="shared" si="139"/>
        <v>-430</v>
      </c>
      <c r="D946" s="52">
        <f t="shared" si="136"/>
        <v>2200</v>
      </c>
      <c r="E946" s="52">
        <f t="shared" si="137"/>
        <v>1</v>
      </c>
      <c r="F946" s="52"/>
      <c r="G946" s="52"/>
      <c r="H946" s="52"/>
      <c r="I946" s="52"/>
      <c r="J946" s="52"/>
      <c r="K946" s="52"/>
      <c r="L946" s="52"/>
      <c r="M946" s="52"/>
      <c r="N946" s="52"/>
      <c r="O946" s="52"/>
      <c r="P946" s="52"/>
      <c r="Q946" s="52"/>
      <c r="R946" s="52"/>
      <c r="S946" s="52"/>
      <c r="T946" s="52"/>
      <c r="U946" s="52"/>
      <c r="V946" s="52"/>
      <c r="W946" s="52"/>
      <c r="X946" s="52"/>
      <c r="Y946" s="52"/>
      <c r="Z946" s="52"/>
      <c r="AA946" s="52"/>
      <c r="AB946" s="52"/>
      <c r="AC946" s="52"/>
      <c r="AD946" s="52"/>
      <c r="AE946" s="52"/>
      <c r="AF946" s="52"/>
      <c r="AG946" s="52"/>
      <c r="AH946" s="52"/>
      <c r="AI946" s="52"/>
      <c r="AJ946" s="52"/>
      <c r="AK946" s="52"/>
      <c r="AL946" s="52"/>
      <c r="AM946" s="52"/>
      <c r="AN946" s="52"/>
    </row>
    <row r="947" spans="1:40" x14ac:dyDescent="0.3">
      <c r="A947" s="52">
        <v>942</v>
      </c>
      <c r="B947" s="52">
        <f>-bthan*500+(41+0.5)*bthan*1000/50</f>
        <v>1815</v>
      </c>
      <c r="C947" s="52">
        <f t="shared" si="139"/>
        <v>-430</v>
      </c>
      <c r="D947" s="52">
        <f t="shared" si="136"/>
        <v>2200</v>
      </c>
      <c r="E947" s="52">
        <f t="shared" si="137"/>
        <v>1</v>
      </c>
      <c r="F947" s="52"/>
      <c r="G947" s="52"/>
      <c r="H947" s="52"/>
      <c r="I947" s="52"/>
      <c r="J947" s="52"/>
      <c r="K947" s="52"/>
      <c r="L947" s="52"/>
      <c r="M947" s="52"/>
      <c r="N947" s="52"/>
      <c r="O947" s="52"/>
      <c r="P947" s="52"/>
      <c r="Q947" s="52"/>
      <c r="R947" s="52"/>
      <c r="S947" s="52"/>
      <c r="T947" s="52"/>
      <c r="U947" s="52"/>
      <c r="V947" s="52"/>
      <c r="W947" s="52"/>
      <c r="X947" s="52"/>
      <c r="Y947" s="52"/>
      <c r="Z947" s="52"/>
      <c r="AA947" s="52"/>
      <c r="AB947" s="52"/>
      <c r="AC947" s="52"/>
      <c r="AD947" s="52"/>
      <c r="AE947" s="52"/>
      <c r="AF947" s="52"/>
      <c r="AG947" s="52"/>
      <c r="AH947" s="52"/>
      <c r="AI947" s="52"/>
      <c r="AJ947" s="52"/>
      <c r="AK947" s="52"/>
      <c r="AL947" s="52"/>
      <c r="AM947" s="52"/>
      <c r="AN947" s="52"/>
    </row>
    <row r="948" spans="1:40" x14ac:dyDescent="0.3">
      <c r="A948" s="52">
        <v>943</v>
      </c>
      <c r="B948" s="52">
        <f>-bthan*500+(42+0.5)*bthan*1000/50</f>
        <v>1925</v>
      </c>
      <c r="C948" s="52">
        <f t="shared" si="139"/>
        <v>-430</v>
      </c>
      <c r="D948" s="52">
        <f t="shared" si="136"/>
        <v>2200</v>
      </c>
      <c r="E948" s="52">
        <f t="shared" si="137"/>
        <v>1</v>
      </c>
      <c r="F948" s="52"/>
      <c r="G948" s="52"/>
      <c r="H948" s="52"/>
      <c r="I948" s="52"/>
      <c r="J948" s="52"/>
      <c r="K948" s="52"/>
      <c r="L948" s="52"/>
      <c r="M948" s="52"/>
      <c r="N948" s="52"/>
      <c r="O948" s="52"/>
      <c r="P948" s="52"/>
      <c r="Q948" s="52"/>
      <c r="R948" s="52"/>
      <c r="S948" s="52"/>
      <c r="T948" s="52"/>
      <c r="U948" s="52"/>
      <c r="V948" s="52"/>
      <c r="W948" s="52"/>
      <c r="X948" s="52"/>
      <c r="Y948" s="52"/>
      <c r="Z948" s="52"/>
      <c r="AA948" s="52"/>
      <c r="AB948" s="52"/>
      <c r="AC948" s="52"/>
      <c r="AD948" s="52"/>
      <c r="AE948" s="52"/>
      <c r="AF948" s="52"/>
      <c r="AG948" s="52"/>
      <c r="AH948" s="52"/>
      <c r="AI948" s="52"/>
      <c r="AJ948" s="52"/>
      <c r="AK948" s="52"/>
      <c r="AL948" s="52"/>
      <c r="AM948" s="52"/>
      <c r="AN948" s="52"/>
    </row>
    <row r="949" spans="1:40" x14ac:dyDescent="0.3">
      <c r="A949" s="52">
        <v>944</v>
      </c>
      <c r="B949" s="52">
        <f>-bthan*500+(43+0.5)*bthan*1000/50</f>
        <v>2035</v>
      </c>
      <c r="C949" s="52">
        <f t="shared" si="139"/>
        <v>-430</v>
      </c>
      <c r="D949" s="52">
        <f t="shared" si="136"/>
        <v>2200</v>
      </c>
      <c r="E949" s="52">
        <f t="shared" si="137"/>
        <v>1</v>
      </c>
      <c r="F949" s="52"/>
      <c r="G949" s="52"/>
      <c r="H949" s="52"/>
      <c r="I949" s="52"/>
      <c r="J949" s="52"/>
      <c r="K949" s="52"/>
      <c r="L949" s="52"/>
      <c r="M949" s="52"/>
      <c r="N949" s="52"/>
      <c r="O949" s="52"/>
      <c r="P949" s="52"/>
      <c r="Q949" s="52"/>
      <c r="R949" s="52"/>
      <c r="S949" s="52"/>
      <c r="T949" s="52"/>
      <c r="U949" s="52"/>
      <c r="V949" s="52"/>
      <c r="W949" s="52"/>
      <c r="X949" s="52"/>
      <c r="Y949" s="52"/>
      <c r="Z949" s="52"/>
      <c r="AA949" s="52"/>
      <c r="AB949" s="52"/>
      <c r="AC949" s="52"/>
      <c r="AD949" s="52"/>
      <c r="AE949" s="52"/>
      <c r="AF949" s="52"/>
      <c r="AG949" s="52"/>
      <c r="AH949" s="52"/>
      <c r="AI949" s="52"/>
      <c r="AJ949" s="52"/>
      <c r="AK949" s="52"/>
      <c r="AL949" s="52"/>
      <c r="AM949" s="52"/>
      <c r="AN949" s="52"/>
    </row>
    <row r="950" spans="1:40" x14ac:dyDescent="0.3">
      <c r="A950" s="52">
        <v>945</v>
      </c>
      <c r="B950" s="52">
        <f>-bthan*500+(44+0.5)*bthan*1000/50</f>
        <v>2145</v>
      </c>
      <c r="C950" s="52">
        <f t="shared" si="139"/>
        <v>-430</v>
      </c>
      <c r="D950" s="52">
        <f t="shared" si="136"/>
        <v>2200</v>
      </c>
      <c r="E950" s="52">
        <f t="shared" si="137"/>
        <v>1</v>
      </c>
      <c r="F950" s="52"/>
      <c r="G950" s="52"/>
      <c r="H950" s="52"/>
      <c r="I950" s="52"/>
      <c r="J950" s="52"/>
      <c r="K950" s="52"/>
      <c r="L950" s="52"/>
      <c r="M950" s="52"/>
      <c r="N950" s="52"/>
      <c r="O950" s="52"/>
      <c r="P950" s="52"/>
      <c r="Q950" s="52"/>
      <c r="R950" s="52"/>
      <c r="S950" s="52"/>
      <c r="T950" s="52"/>
      <c r="U950" s="52"/>
      <c r="V950" s="52"/>
      <c r="W950" s="52"/>
      <c r="X950" s="52"/>
      <c r="Y950" s="52"/>
      <c r="Z950" s="52"/>
      <c r="AA950" s="52"/>
      <c r="AB950" s="52"/>
      <c r="AC950" s="52"/>
      <c r="AD950" s="52"/>
      <c r="AE950" s="52"/>
      <c r="AF950" s="52"/>
      <c r="AG950" s="52"/>
      <c r="AH950" s="52"/>
      <c r="AI950" s="52"/>
      <c r="AJ950" s="52"/>
      <c r="AK950" s="52"/>
      <c r="AL950" s="52"/>
      <c r="AM950" s="52"/>
      <c r="AN950" s="52"/>
    </row>
    <row r="951" spans="1:40" x14ac:dyDescent="0.3">
      <c r="A951" s="52">
        <v>946</v>
      </c>
      <c r="B951" s="52">
        <f>-bthan*500+(45+0.5)*bthan*1000/50</f>
        <v>2255</v>
      </c>
      <c r="C951" s="52">
        <f t="shared" si="139"/>
        <v>-430</v>
      </c>
      <c r="D951" s="52">
        <f t="shared" si="136"/>
        <v>2200</v>
      </c>
      <c r="E951" s="52">
        <f t="shared" si="137"/>
        <v>1</v>
      </c>
      <c r="F951" s="52"/>
      <c r="G951" s="52"/>
      <c r="H951" s="52"/>
      <c r="I951" s="52"/>
      <c r="J951" s="52"/>
      <c r="K951" s="52"/>
      <c r="L951" s="52"/>
      <c r="M951" s="52"/>
      <c r="N951" s="52"/>
      <c r="O951" s="52"/>
      <c r="P951" s="52"/>
      <c r="Q951" s="52"/>
      <c r="R951" s="52"/>
      <c r="S951" s="52"/>
      <c r="T951" s="52"/>
      <c r="U951" s="52"/>
      <c r="V951" s="52"/>
      <c r="W951" s="52"/>
      <c r="X951" s="52"/>
      <c r="Y951" s="52"/>
      <c r="Z951" s="52"/>
      <c r="AA951" s="52"/>
      <c r="AB951" s="52"/>
      <c r="AC951" s="52"/>
      <c r="AD951" s="52"/>
      <c r="AE951" s="52"/>
      <c r="AF951" s="52"/>
      <c r="AG951" s="52"/>
      <c r="AH951" s="52"/>
      <c r="AI951" s="52"/>
      <c r="AJ951" s="52"/>
      <c r="AK951" s="52"/>
      <c r="AL951" s="52"/>
      <c r="AM951" s="52"/>
      <c r="AN951" s="52"/>
    </row>
    <row r="952" spans="1:40" x14ac:dyDescent="0.3">
      <c r="A952" s="52">
        <v>947</v>
      </c>
      <c r="B952" s="52">
        <f>-bthan*500+(46+0.5)*bthan*1000/50</f>
        <v>2365</v>
      </c>
      <c r="C952" s="52">
        <f t="shared" si="139"/>
        <v>-430</v>
      </c>
      <c r="D952" s="52">
        <f t="shared" si="136"/>
        <v>2200</v>
      </c>
      <c r="E952" s="52">
        <f t="shared" si="137"/>
        <v>1</v>
      </c>
      <c r="F952" s="52"/>
      <c r="G952" s="52"/>
      <c r="H952" s="52"/>
      <c r="I952" s="52"/>
      <c r="J952" s="52"/>
      <c r="K952" s="52"/>
      <c r="L952" s="52"/>
      <c r="M952" s="52"/>
      <c r="N952" s="52"/>
      <c r="O952" s="52"/>
      <c r="P952" s="52"/>
      <c r="Q952" s="52"/>
      <c r="R952" s="52"/>
      <c r="S952" s="52"/>
      <c r="T952" s="52"/>
      <c r="U952" s="52"/>
      <c r="V952" s="52"/>
      <c r="W952" s="52"/>
      <c r="X952" s="52"/>
      <c r="Y952" s="52"/>
      <c r="Z952" s="52"/>
      <c r="AA952" s="52"/>
      <c r="AB952" s="52"/>
      <c r="AC952" s="52"/>
      <c r="AD952" s="52"/>
      <c r="AE952" s="52"/>
      <c r="AF952" s="52"/>
      <c r="AG952" s="52"/>
      <c r="AH952" s="52"/>
      <c r="AI952" s="52"/>
      <c r="AJ952" s="52"/>
      <c r="AK952" s="52"/>
      <c r="AL952" s="52"/>
      <c r="AM952" s="52"/>
      <c r="AN952" s="52"/>
    </row>
    <row r="953" spans="1:40" x14ac:dyDescent="0.3">
      <c r="A953" s="52">
        <v>948</v>
      </c>
      <c r="B953" s="52">
        <f>-bthan*500+(47+0.5)*bthan*1000/50</f>
        <v>2475</v>
      </c>
      <c r="C953" s="52">
        <f t="shared" si="139"/>
        <v>-430</v>
      </c>
      <c r="D953" s="52">
        <f t="shared" si="136"/>
        <v>2200</v>
      </c>
      <c r="E953" s="52">
        <f t="shared" si="137"/>
        <v>1</v>
      </c>
      <c r="F953" s="52"/>
      <c r="G953" s="52"/>
      <c r="H953" s="52"/>
      <c r="I953" s="52"/>
      <c r="J953" s="52"/>
      <c r="K953" s="52"/>
      <c r="L953" s="52"/>
      <c r="M953" s="52"/>
      <c r="N953" s="52"/>
      <c r="O953" s="52"/>
      <c r="P953" s="52"/>
      <c r="Q953" s="52"/>
      <c r="R953" s="52"/>
      <c r="S953" s="52"/>
      <c r="T953" s="52"/>
      <c r="U953" s="52"/>
      <c r="V953" s="52"/>
      <c r="W953" s="52"/>
      <c r="X953" s="52"/>
      <c r="Y953" s="52"/>
      <c r="Z953" s="52"/>
      <c r="AA953" s="52"/>
      <c r="AB953" s="52"/>
      <c r="AC953" s="52"/>
      <c r="AD953" s="52"/>
      <c r="AE953" s="52"/>
      <c r="AF953" s="52"/>
      <c r="AG953" s="52"/>
      <c r="AH953" s="52"/>
      <c r="AI953" s="52"/>
      <c r="AJ953" s="52"/>
      <c r="AK953" s="52"/>
      <c r="AL953" s="52"/>
      <c r="AM953" s="52"/>
      <c r="AN953" s="52"/>
    </row>
    <row r="954" spans="1:40" x14ac:dyDescent="0.3">
      <c r="A954" s="52">
        <v>949</v>
      </c>
      <c r="B954" s="52">
        <f>-bthan*500+(48+0.5)*bthan*1000/50</f>
        <v>2585</v>
      </c>
      <c r="C954" s="52">
        <f t="shared" si="139"/>
        <v>-430</v>
      </c>
      <c r="D954" s="52">
        <f t="shared" si="136"/>
        <v>2200</v>
      </c>
      <c r="E954" s="52">
        <f t="shared" si="137"/>
        <v>1</v>
      </c>
      <c r="F954" s="52"/>
      <c r="G954" s="52"/>
      <c r="H954" s="52"/>
      <c r="I954" s="52"/>
      <c r="J954" s="52"/>
      <c r="K954" s="52"/>
      <c r="L954" s="52"/>
      <c r="M954" s="52"/>
      <c r="N954" s="52"/>
      <c r="O954" s="52"/>
      <c r="P954" s="52"/>
      <c r="Q954" s="52"/>
      <c r="R954" s="52"/>
      <c r="S954" s="52"/>
      <c r="T954" s="52"/>
      <c r="U954" s="52"/>
      <c r="V954" s="52"/>
      <c r="W954" s="52"/>
      <c r="X954" s="52"/>
      <c r="Y954" s="52"/>
      <c r="Z954" s="52"/>
      <c r="AA954" s="52"/>
      <c r="AB954" s="52"/>
      <c r="AC954" s="52"/>
      <c r="AD954" s="52"/>
      <c r="AE954" s="52"/>
      <c r="AF954" s="52"/>
      <c r="AG954" s="52"/>
      <c r="AH954" s="52"/>
      <c r="AI954" s="52"/>
      <c r="AJ954" s="52"/>
      <c r="AK954" s="52"/>
      <c r="AL954" s="52"/>
      <c r="AM954" s="52"/>
      <c r="AN954" s="52"/>
    </row>
    <row r="955" spans="1:40" x14ac:dyDescent="0.3">
      <c r="A955" s="52">
        <v>950</v>
      </c>
      <c r="B955" s="52">
        <f>-bthan*500+(49+0.5)*bthan*1000/50</f>
        <v>2695</v>
      </c>
      <c r="C955" s="52">
        <f t="shared" si="139"/>
        <v>-430</v>
      </c>
      <c r="D955" s="52">
        <f t="shared" si="136"/>
        <v>2200</v>
      </c>
      <c r="E955" s="52">
        <f t="shared" si="137"/>
        <v>0</v>
      </c>
      <c r="F955" s="52"/>
      <c r="G955" s="52"/>
      <c r="H955" s="52"/>
      <c r="I955" s="52"/>
      <c r="J955" s="52"/>
      <c r="K955" s="52"/>
      <c r="L955" s="52"/>
      <c r="M955" s="52"/>
      <c r="N955" s="52"/>
      <c r="O955" s="52"/>
      <c r="P955" s="52"/>
      <c r="Q955" s="52"/>
      <c r="R955" s="52"/>
      <c r="S955" s="52"/>
      <c r="T955" s="52"/>
      <c r="U955" s="52"/>
      <c r="V955" s="52"/>
      <c r="W955" s="52"/>
      <c r="X955" s="52"/>
      <c r="Y955" s="52"/>
      <c r="Z955" s="52"/>
      <c r="AA955" s="52"/>
      <c r="AB955" s="52"/>
      <c r="AC955" s="52"/>
      <c r="AD955" s="52"/>
      <c r="AE955" s="52"/>
      <c r="AF955" s="52"/>
      <c r="AG955" s="52"/>
      <c r="AH955" s="52"/>
      <c r="AI955" s="52"/>
      <c r="AJ955" s="52"/>
      <c r="AK955" s="52"/>
      <c r="AL955" s="52"/>
      <c r="AM955" s="52"/>
      <c r="AN955" s="52"/>
    </row>
    <row r="956" spans="1:40" x14ac:dyDescent="0.3">
      <c r="A956" s="52">
        <v>951</v>
      </c>
      <c r="B956" s="52">
        <f>-bthan*500+(0+0.5)*bthan*1000/50</f>
        <v>-2695</v>
      </c>
      <c r="C956" s="52">
        <f t="shared" ref="C956:C987" si="140">-hthan*500+(19+0.5)*hthan*1000/80</f>
        <v>-409.99999999999994</v>
      </c>
      <c r="D956" s="52">
        <f t="shared" si="136"/>
        <v>2200</v>
      </c>
      <c r="E956" s="52">
        <f t="shared" si="137"/>
        <v>0</v>
      </c>
      <c r="F956" s="52"/>
      <c r="G956" s="52"/>
      <c r="H956" s="52"/>
      <c r="I956" s="52"/>
      <c r="J956" s="52"/>
      <c r="K956" s="52"/>
      <c r="L956" s="52"/>
      <c r="M956" s="52"/>
      <c r="N956" s="52"/>
      <c r="O956" s="52"/>
      <c r="P956" s="52"/>
      <c r="Q956" s="52"/>
      <c r="R956" s="52"/>
      <c r="S956" s="52"/>
      <c r="T956" s="52"/>
      <c r="U956" s="52"/>
      <c r="V956" s="52"/>
      <c r="W956" s="52"/>
      <c r="X956" s="52"/>
      <c r="Y956" s="52"/>
      <c r="Z956" s="52"/>
      <c r="AA956" s="52"/>
      <c r="AB956" s="52"/>
      <c r="AC956" s="52"/>
      <c r="AD956" s="52"/>
      <c r="AE956" s="52"/>
      <c r="AF956" s="52"/>
      <c r="AG956" s="52"/>
      <c r="AH956" s="52"/>
      <c r="AI956" s="52"/>
      <c r="AJ956" s="52"/>
      <c r="AK956" s="52"/>
      <c r="AL956" s="52"/>
      <c r="AM956" s="52"/>
      <c r="AN956" s="52"/>
    </row>
    <row r="957" spans="1:40" x14ac:dyDescent="0.3">
      <c r="A957" s="52">
        <v>952</v>
      </c>
      <c r="B957" s="52">
        <f>-bthan*500+(1+0.5)*bthan*1000/50</f>
        <v>-2585</v>
      </c>
      <c r="C957" s="52">
        <f t="shared" si="140"/>
        <v>-409.99999999999994</v>
      </c>
      <c r="D957" s="52">
        <f t="shared" si="136"/>
        <v>2200</v>
      </c>
      <c r="E957" s="52">
        <f t="shared" si="137"/>
        <v>1</v>
      </c>
      <c r="F957" s="52"/>
      <c r="G957" s="52"/>
      <c r="H957" s="52"/>
      <c r="I957" s="52"/>
      <c r="J957" s="52"/>
      <c r="K957" s="52"/>
      <c r="L957" s="52"/>
      <c r="M957" s="52"/>
      <c r="N957" s="52"/>
      <c r="O957" s="52"/>
      <c r="P957" s="52"/>
      <c r="Q957" s="52"/>
      <c r="R957" s="52"/>
      <c r="S957" s="52"/>
      <c r="T957" s="52"/>
      <c r="U957" s="52"/>
      <c r="V957" s="52"/>
      <c r="W957" s="52"/>
      <c r="X957" s="52"/>
      <c r="Y957" s="52"/>
      <c r="Z957" s="52"/>
      <c r="AA957" s="52"/>
      <c r="AB957" s="52"/>
      <c r="AC957" s="52"/>
      <c r="AD957" s="52"/>
      <c r="AE957" s="52"/>
      <c r="AF957" s="52"/>
      <c r="AG957" s="52"/>
      <c r="AH957" s="52"/>
      <c r="AI957" s="52"/>
      <c r="AJ957" s="52"/>
      <c r="AK957" s="52"/>
      <c r="AL957" s="52"/>
      <c r="AM957" s="52"/>
      <c r="AN957" s="52"/>
    </row>
    <row r="958" spans="1:40" x14ac:dyDescent="0.3">
      <c r="A958" s="52">
        <v>953</v>
      </c>
      <c r="B958" s="52">
        <f>-bthan*500+(2+0.5)*bthan*1000/50</f>
        <v>-2475</v>
      </c>
      <c r="C958" s="52">
        <f t="shared" si="140"/>
        <v>-409.99999999999994</v>
      </c>
      <c r="D958" s="52">
        <f t="shared" si="136"/>
        <v>2200</v>
      </c>
      <c r="E958" s="52">
        <f t="shared" si="137"/>
        <v>1</v>
      </c>
      <c r="F958" s="52"/>
      <c r="G958" s="52"/>
      <c r="H958" s="52"/>
      <c r="I958" s="52"/>
      <c r="J958" s="52"/>
      <c r="K958" s="52"/>
      <c r="L958" s="52"/>
      <c r="M958" s="52"/>
      <c r="N958" s="52"/>
      <c r="O958" s="52"/>
      <c r="P958" s="52"/>
      <c r="Q958" s="52"/>
      <c r="R958" s="52"/>
      <c r="S958" s="52"/>
      <c r="T958" s="52"/>
      <c r="U958" s="52"/>
      <c r="V958" s="52"/>
      <c r="W958" s="52"/>
      <c r="X958" s="52"/>
      <c r="Y958" s="52"/>
      <c r="Z958" s="52"/>
      <c r="AA958" s="52"/>
      <c r="AB958" s="52"/>
      <c r="AC958" s="52"/>
      <c r="AD958" s="52"/>
      <c r="AE958" s="52"/>
      <c r="AF958" s="52"/>
      <c r="AG958" s="52"/>
      <c r="AH958" s="52"/>
      <c r="AI958" s="52"/>
      <c r="AJ958" s="52"/>
      <c r="AK958" s="52"/>
      <c r="AL958" s="52"/>
      <c r="AM958" s="52"/>
      <c r="AN958" s="52"/>
    </row>
    <row r="959" spans="1:40" x14ac:dyDescent="0.3">
      <c r="A959" s="52">
        <v>954</v>
      </c>
      <c r="B959" s="52">
        <f>-bthan*500+(3+0.5)*bthan*1000/50</f>
        <v>-2365</v>
      </c>
      <c r="C959" s="52">
        <f t="shared" si="140"/>
        <v>-409.99999999999994</v>
      </c>
      <c r="D959" s="52">
        <f t="shared" si="136"/>
        <v>2200</v>
      </c>
      <c r="E959" s="52">
        <f t="shared" si="137"/>
        <v>1</v>
      </c>
      <c r="F959" s="52"/>
      <c r="G959" s="52"/>
      <c r="H959" s="52"/>
      <c r="I959" s="52"/>
      <c r="J959" s="52"/>
      <c r="K959" s="52"/>
      <c r="L959" s="52"/>
      <c r="M959" s="52"/>
      <c r="N959" s="52"/>
      <c r="O959" s="52"/>
      <c r="P959" s="52"/>
      <c r="Q959" s="52"/>
      <c r="R959" s="52"/>
      <c r="S959" s="52"/>
      <c r="T959" s="52"/>
      <c r="U959" s="52"/>
      <c r="V959" s="52"/>
      <c r="W959" s="52"/>
      <c r="X959" s="52"/>
      <c r="Y959" s="52"/>
      <c r="Z959" s="52"/>
      <c r="AA959" s="52"/>
      <c r="AB959" s="52"/>
      <c r="AC959" s="52"/>
      <c r="AD959" s="52"/>
      <c r="AE959" s="52"/>
      <c r="AF959" s="52"/>
      <c r="AG959" s="52"/>
      <c r="AH959" s="52"/>
      <c r="AI959" s="52"/>
      <c r="AJ959" s="52"/>
      <c r="AK959" s="52"/>
      <c r="AL959" s="52"/>
      <c r="AM959" s="52"/>
      <c r="AN959" s="52"/>
    </row>
    <row r="960" spans="1:40" x14ac:dyDescent="0.3">
      <c r="A960" s="52">
        <v>955</v>
      </c>
      <c r="B960" s="52">
        <f>-bthan*500+(4+0.5)*bthan*1000/50</f>
        <v>-2255</v>
      </c>
      <c r="C960" s="52">
        <f t="shared" si="140"/>
        <v>-409.99999999999994</v>
      </c>
      <c r="D960" s="52">
        <f t="shared" si="136"/>
        <v>2200</v>
      </c>
      <c r="E960" s="52">
        <f t="shared" si="137"/>
        <v>1</v>
      </c>
      <c r="F960" s="52"/>
      <c r="G960" s="52"/>
      <c r="H960" s="52"/>
      <c r="I960" s="52"/>
      <c r="J960" s="52"/>
      <c r="K960" s="52"/>
      <c r="L960" s="52"/>
      <c r="M960" s="52"/>
      <c r="N960" s="52"/>
      <c r="O960" s="52"/>
      <c r="P960" s="52"/>
      <c r="Q960" s="52"/>
      <c r="R960" s="52"/>
      <c r="S960" s="52"/>
      <c r="T960" s="52"/>
      <c r="U960" s="52"/>
      <c r="V960" s="52"/>
      <c r="W960" s="52"/>
      <c r="X960" s="52"/>
      <c r="Y960" s="52"/>
      <c r="Z960" s="52"/>
      <c r="AA960" s="52"/>
      <c r="AB960" s="52"/>
      <c r="AC960" s="52"/>
      <c r="AD960" s="52"/>
      <c r="AE960" s="52"/>
      <c r="AF960" s="52"/>
      <c r="AG960" s="52"/>
      <c r="AH960" s="52"/>
      <c r="AI960" s="52"/>
      <c r="AJ960" s="52"/>
      <c r="AK960" s="52"/>
      <c r="AL960" s="52"/>
      <c r="AM960" s="52"/>
      <c r="AN960" s="52"/>
    </row>
    <row r="961" spans="1:40" x14ac:dyDescent="0.3">
      <c r="A961" s="52">
        <v>956</v>
      </c>
      <c r="B961" s="52">
        <f>-bthan*500+(5+0.5)*bthan*1000/50</f>
        <v>-2145</v>
      </c>
      <c r="C961" s="52">
        <f t="shared" si="140"/>
        <v>-409.99999999999994</v>
      </c>
      <c r="D961" s="52">
        <f t="shared" si="136"/>
        <v>2200</v>
      </c>
      <c r="E961" s="52">
        <f t="shared" si="137"/>
        <v>1</v>
      </c>
      <c r="F961" s="52"/>
      <c r="G961" s="52"/>
      <c r="H961" s="52"/>
      <c r="I961" s="52"/>
      <c r="J961" s="52"/>
      <c r="K961" s="52"/>
      <c r="L961" s="52"/>
      <c r="M961" s="52"/>
      <c r="N961" s="52"/>
      <c r="O961" s="52"/>
      <c r="P961" s="52"/>
      <c r="Q961" s="52"/>
      <c r="R961" s="52"/>
      <c r="S961" s="52"/>
      <c r="T961" s="52"/>
      <c r="U961" s="52"/>
      <c r="V961" s="52"/>
      <c r="W961" s="52"/>
      <c r="X961" s="52"/>
      <c r="Y961" s="52"/>
      <c r="Z961" s="52"/>
      <c r="AA961" s="52"/>
      <c r="AB961" s="52"/>
      <c r="AC961" s="52"/>
      <c r="AD961" s="52"/>
      <c r="AE961" s="52"/>
      <c r="AF961" s="52"/>
      <c r="AG961" s="52"/>
      <c r="AH961" s="52"/>
      <c r="AI961" s="52"/>
      <c r="AJ961" s="52"/>
      <c r="AK961" s="52"/>
      <c r="AL961" s="52"/>
      <c r="AM961" s="52"/>
      <c r="AN961" s="52"/>
    </row>
    <row r="962" spans="1:40" x14ac:dyDescent="0.3">
      <c r="A962" s="52">
        <v>957</v>
      </c>
      <c r="B962" s="52">
        <f>-bthan*500+(6+0.5)*bthan*1000/50</f>
        <v>-2035</v>
      </c>
      <c r="C962" s="52">
        <f t="shared" si="140"/>
        <v>-409.99999999999994</v>
      </c>
      <c r="D962" s="52">
        <f t="shared" si="136"/>
        <v>2200</v>
      </c>
      <c r="E962" s="52">
        <f t="shared" si="137"/>
        <v>1</v>
      </c>
      <c r="F962" s="52"/>
      <c r="G962" s="52"/>
      <c r="H962" s="52"/>
      <c r="I962" s="52"/>
      <c r="J962" s="52"/>
      <c r="K962" s="52"/>
      <c r="L962" s="52"/>
      <c r="M962" s="52"/>
      <c r="N962" s="52"/>
      <c r="O962" s="52"/>
      <c r="P962" s="52"/>
      <c r="Q962" s="52"/>
      <c r="R962" s="52"/>
      <c r="S962" s="52"/>
      <c r="T962" s="52"/>
      <c r="U962" s="52"/>
      <c r="V962" s="52"/>
      <c r="W962" s="52"/>
      <c r="X962" s="52"/>
      <c r="Y962" s="52"/>
      <c r="Z962" s="52"/>
      <c r="AA962" s="52"/>
      <c r="AB962" s="52"/>
      <c r="AC962" s="52"/>
      <c r="AD962" s="52"/>
      <c r="AE962" s="52"/>
      <c r="AF962" s="52"/>
      <c r="AG962" s="52"/>
      <c r="AH962" s="52"/>
      <c r="AI962" s="52"/>
      <c r="AJ962" s="52"/>
      <c r="AK962" s="52"/>
      <c r="AL962" s="52"/>
      <c r="AM962" s="52"/>
      <c r="AN962" s="52"/>
    </row>
    <row r="963" spans="1:40" x14ac:dyDescent="0.3">
      <c r="A963" s="52">
        <v>958</v>
      </c>
      <c r="B963" s="52">
        <f>-bthan*500+(7+0.5)*bthan*1000/50</f>
        <v>-1925</v>
      </c>
      <c r="C963" s="52">
        <f t="shared" si="140"/>
        <v>-409.99999999999994</v>
      </c>
      <c r="D963" s="52">
        <f t="shared" si="136"/>
        <v>2200</v>
      </c>
      <c r="E963" s="52">
        <f t="shared" si="137"/>
        <v>1</v>
      </c>
      <c r="F963" s="52"/>
      <c r="G963" s="52"/>
      <c r="H963" s="52"/>
      <c r="I963" s="52"/>
      <c r="J963" s="52"/>
      <c r="K963" s="52"/>
      <c r="L963" s="52"/>
      <c r="M963" s="52"/>
      <c r="N963" s="52"/>
      <c r="O963" s="52"/>
      <c r="P963" s="52"/>
      <c r="Q963" s="52"/>
      <c r="R963" s="52"/>
      <c r="S963" s="52"/>
      <c r="T963" s="52"/>
      <c r="U963" s="52"/>
      <c r="V963" s="52"/>
      <c r="W963" s="52"/>
      <c r="X963" s="52"/>
      <c r="Y963" s="52"/>
      <c r="Z963" s="52"/>
      <c r="AA963" s="52"/>
      <c r="AB963" s="52"/>
      <c r="AC963" s="52"/>
      <c r="AD963" s="52"/>
      <c r="AE963" s="52"/>
      <c r="AF963" s="52"/>
      <c r="AG963" s="52"/>
      <c r="AH963" s="52"/>
      <c r="AI963" s="52"/>
      <c r="AJ963" s="52"/>
      <c r="AK963" s="52"/>
      <c r="AL963" s="52"/>
      <c r="AM963" s="52"/>
      <c r="AN963" s="52"/>
    </row>
    <row r="964" spans="1:40" x14ac:dyDescent="0.3">
      <c r="A964" s="52">
        <v>959</v>
      </c>
      <c r="B964" s="52">
        <f>-bthan*500+(8+0.5)*bthan*1000/50</f>
        <v>-1815</v>
      </c>
      <c r="C964" s="52">
        <f t="shared" si="140"/>
        <v>-409.99999999999994</v>
      </c>
      <c r="D964" s="52">
        <f t="shared" si="136"/>
        <v>2200</v>
      </c>
      <c r="E964" s="52">
        <f t="shared" si="137"/>
        <v>1</v>
      </c>
      <c r="F964" s="52"/>
      <c r="G964" s="52"/>
      <c r="H964" s="52"/>
      <c r="I964" s="52"/>
      <c r="J964" s="52"/>
      <c r="K964" s="52"/>
      <c r="L964" s="52"/>
      <c r="M964" s="52"/>
      <c r="N964" s="52"/>
      <c r="O964" s="52"/>
      <c r="P964" s="52"/>
      <c r="Q964" s="52"/>
      <c r="R964" s="52"/>
      <c r="S964" s="52"/>
      <c r="T964" s="52"/>
      <c r="U964" s="52"/>
      <c r="V964" s="52"/>
      <c r="W964" s="52"/>
      <c r="X964" s="52"/>
      <c r="Y964" s="52"/>
      <c r="Z964" s="52"/>
      <c r="AA964" s="52"/>
      <c r="AB964" s="52"/>
      <c r="AC964" s="52"/>
      <c r="AD964" s="52"/>
      <c r="AE964" s="52"/>
      <c r="AF964" s="52"/>
      <c r="AG964" s="52"/>
      <c r="AH964" s="52"/>
      <c r="AI964" s="52"/>
      <c r="AJ964" s="52"/>
      <c r="AK964" s="52"/>
      <c r="AL964" s="52"/>
      <c r="AM964" s="52"/>
      <c r="AN964" s="52"/>
    </row>
    <row r="965" spans="1:40" x14ac:dyDescent="0.3">
      <c r="A965" s="52">
        <v>960</v>
      </c>
      <c r="B965" s="52">
        <f>-bthan*500+(9+0.5)*bthan*1000/50</f>
        <v>-1705</v>
      </c>
      <c r="C965" s="52">
        <f t="shared" si="140"/>
        <v>-409.99999999999994</v>
      </c>
      <c r="D965" s="52">
        <f t="shared" si="136"/>
        <v>2200</v>
      </c>
      <c r="E965" s="52">
        <f t="shared" si="137"/>
        <v>1</v>
      </c>
      <c r="F965" s="52"/>
      <c r="G965" s="52"/>
      <c r="H965" s="52"/>
      <c r="I965" s="52"/>
      <c r="J965" s="52"/>
      <c r="K965" s="52"/>
      <c r="L965" s="52"/>
      <c r="M965" s="52"/>
      <c r="N965" s="52"/>
      <c r="O965" s="52"/>
      <c r="P965" s="52"/>
      <c r="Q965" s="52"/>
      <c r="R965" s="52"/>
      <c r="S965" s="52"/>
      <c r="T965" s="52"/>
      <c r="U965" s="52"/>
      <c r="V965" s="52"/>
      <c r="W965" s="52"/>
      <c r="X965" s="52"/>
      <c r="Y965" s="52"/>
      <c r="Z965" s="52"/>
      <c r="AA965" s="52"/>
      <c r="AB965" s="52"/>
      <c r="AC965" s="52"/>
      <c r="AD965" s="52"/>
      <c r="AE965" s="52"/>
      <c r="AF965" s="52"/>
      <c r="AG965" s="52"/>
      <c r="AH965" s="52"/>
      <c r="AI965" s="52"/>
      <c r="AJ965" s="52"/>
      <c r="AK965" s="52"/>
      <c r="AL965" s="52"/>
      <c r="AM965" s="52"/>
      <c r="AN965" s="52"/>
    </row>
    <row r="966" spans="1:40" x14ac:dyDescent="0.3">
      <c r="A966" s="52">
        <v>961</v>
      </c>
      <c r="B966" s="52">
        <f>-bthan*500+(10+0.5)*bthan*1000/50</f>
        <v>-1595</v>
      </c>
      <c r="C966" s="52">
        <f t="shared" si="140"/>
        <v>-409.99999999999994</v>
      </c>
      <c r="D966" s="52">
        <f t="shared" ref="D966:D1029" si="141">bthan*1000/50*hthan*1000/80</f>
        <v>2200</v>
      </c>
      <c r="E966" s="52">
        <f t="shared" ref="E966:E1029" si="142">IF(shp=1,--(OR(ABS(B966)&lt;=MAX(0,(bthan-hthan)*500),(ABS(B966)-MAX(0,(bthan-hthan)*500))^2+C966^2&lt;=(hthan*500)^2)),--(AND(ABS(B966)&lt;=bthan*500,ABS(C966)&lt;=hthan*500,OR(ABS(B966)&lt;=bthan*500-cch*1000,ABS(C966)&lt;=hthan*500-cch*1000,(bthan*500-ABS(B966))+(hthan*500-ABS(C966))&gt;=cch*1000))))</f>
        <v>1</v>
      </c>
      <c r="F966" s="52"/>
      <c r="G966" s="52"/>
      <c r="H966" s="52"/>
      <c r="I966" s="52"/>
      <c r="J966" s="52"/>
      <c r="K966" s="52"/>
      <c r="L966" s="52"/>
      <c r="M966" s="52"/>
      <c r="N966" s="52"/>
      <c r="O966" s="52"/>
      <c r="P966" s="52"/>
      <c r="Q966" s="52"/>
      <c r="R966" s="52"/>
      <c r="S966" s="52"/>
      <c r="T966" s="52"/>
      <c r="U966" s="52"/>
      <c r="V966" s="52"/>
      <c r="W966" s="52"/>
      <c r="X966" s="52"/>
      <c r="Y966" s="52"/>
      <c r="Z966" s="52"/>
      <c r="AA966" s="52"/>
      <c r="AB966" s="52"/>
      <c r="AC966" s="52"/>
      <c r="AD966" s="52"/>
      <c r="AE966" s="52"/>
      <c r="AF966" s="52"/>
      <c r="AG966" s="52"/>
      <c r="AH966" s="52"/>
      <c r="AI966" s="52"/>
      <c r="AJ966" s="52"/>
      <c r="AK966" s="52"/>
      <c r="AL966" s="52"/>
      <c r="AM966" s="52"/>
      <c r="AN966" s="52"/>
    </row>
    <row r="967" spans="1:40" x14ac:dyDescent="0.3">
      <c r="A967" s="52">
        <v>962</v>
      </c>
      <c r="B967" s="52">
        <f>-bthan*500+(11+0.5)*bthan*1000/50</f>
        <v>-1485</v>
      </c>
      <c r="C967" s="52">
        <f t="shared" si="140"/>
        <v>-409.99999999999994</v>
      </c>
      <c r="D967" s="52">
        <f t="shared" si="141"/>
        <v>2200</v>
      </c>
      <c r="E967" s="52">
        <f t="shared" si="142"/>
        <v>1</v>
      </c>
      <c r="F967" s="52"/>
      <c r="G967" s="52"/>
      <c r="H967" s="52"/>
      <c r="I967" s="52"/>
      <c r="J967" s="52"/>
      <c r="K967" s="52"/>
      <c r="L967" s="52"/>
      <c r="M967" s="52"/>
      <c r="N967" s="52"/>
      <c r="O967" s="52"/>
      <c r="P967" s="52"/>
      <c r="Q967" s="52"/>
      <c r="R967" s="52"/>
      <c r="S967" s="52"/>
      <c r="T967" s="52"/>
      <c r="U967" s="52"/>
      <c r="V967" s="52"/>
      <c r="W967" s="52"/>
      <c r="X967" s="52"/>
      <c r="Y967" s="52"/>
      <c r="Z967" s="52"/>
      <c r="AA967" s="52"/>
      <c r="AB967" s="52"/>
      <c r="AC967" s="52"/>
      <c r="AD967" s="52"/>
      <c r="AE967" s="52"/>
      <c r="AF967" s="52"/>
      <c r="AG967" s="52"/>
      <c r="AH967" s="52"/>
      <c r="AI967" s="52"/>
      <c r="AJ967" s="52"/>
      <c r="AK967" s="52"/>
      <c r="AL967" s="52"/>
      <c r="AM967" s="52"/>
      <c r="AN967" s="52"/>
    </row>
    <row r="968" spans="1:40" x14ac:dyDescent="0.3">
      <c r="A968" s="52">
        <v>963</v>
      </c>
      <c r="B968" s="52">
        <f>-bthan*500+(12+0.5)*bthan*1000/50</f>
        <v>-1375</v>
      </c>
      <c r="C968" s="52">
        <f t="shared" si="140"/>
        <v>-409.99999999999994</v>
      </c>
      <c r="D968" s="52">
        <f t="shared" si="141"/>
        <v>2200</v>
      </c>
      <c r="E968" s="52">
        <f t="shared" si="142"/>
        <v>1</v>
      </c>
      <c r="F968" s="52"/>
      <c r="G968" s="52"/>
      <c r="H968" s="52"/>
      <c r="I968" s="52"/>
      <c r="J968" s="52"/>
      <c r="K968" s="52"/>
      <c r="L968" s="52"/>
      <c r="M968" s="52"/>
      <c r="N968" s="52"/>
      <c r="O968" s="52"/>
      <c r="P968" s="52"/>
      <c r="Q968" s="52"/>
      <c r="R968" s="52"/>
      <c r="S968" s="52"/>
      <c r="T968" s="52"/>
      <c r="U968" s="52"/>
      <c r="V968" s="52"/>
      <c r="W968" s="52"/>
      <c r="X968" s="52"/>
      <c r="Y968" s="52"/>
      <c r="Z968" s="52"/>
      <c r="AA968" s="52"/>
      <c r="AB968" s="52"/>
      <c r="AC968" s="52"/>
      <c r="AD968" s="52"/>
      <c r="AE968" s="52"/>
      <c r="AF968" s="52"/>
      <c r="AG968" s="52"/>
      <c r="AH968" s="52"/>
      <c r="AI968" s="52"/>
      <c r="AJ968" s="52"/>
      <c r="AK968" s="52"/>
      <c r="AL968" s="52"/>
      <c r="AM968" s="52"/>
      <c r="AN968" s="52"/>
    </row>
    <row r="969" spans="1:40" x14ac:dyDescent="0.3">
      <c r="A969" s="52">
        <v>964</v>
      </c>
      <c r="B969" s="52">
        <f>-bthan*500+(13+0.5)*bthan*1000/50</f>
        <v>-1265</v>
      </c>
      <c r="C969" s="52">
        <f t="shared" si="140"/>
        <v>-409.99999999999994</v>
      </c>
      <c r="D969" s="52">
        <f t="shared" si="141"/>
        <v>2200</v>
      </c>
      <c r="E969" s="52">
        <f t="shared" si="142"/>
        <v>1</v>
      </c>
      <c r="F969" s="52"/>
      <c r="G969" s="52"/>
      <c r="H969" s="52"/>
      <c r="I969" s="52"/>
      <c r="J969" s="52"/>
      <c r="K969" s="52"/>
      <c r="L969" s="52"/>
      <c r="M969" s="52"/>
      <c r="N969" s="52"/>
      <c r="O969" s="52"/>
      <c r="P969" s="52"/>
      <c r="Q969" s="52"/>
      <c r="R969" s="52"/>
      <c r="S969" s="52"/>
      <c r="T969" s="52"/>
      <c r="U969" s="52"/>
      <c r="V969" s="52"/>
      <c r="W969" s="52"/>
      <c r="X969" s="52"/>
      <c r="Y969" s="52"/>
      <c r="Z969" s="52"/>
      <c r="AA969" s="52"/>
      <c r="AB969" s="52"/>
      <c r="AC969" s="52"/>
      <c r="AD969" s="52"/>
      <c r="AE969" s="52"/>
      <c r="AF969" s="52"/>
      <c r="AG969" s="52"/>
      <c r="AH969" s="52"/>
      <c r="AI969" s="52"/>
      <c r="AJ969" s="52"/>
      <c r="AK969" s="52"/>
      <c r="AL969" s="52"/>
      <c r="AM969" s="52"/>
      <c r="AN969" s="52"/>
    </row>
    <row r="970" spans="1:40" x14ac:dyDescent="0.3">
      <c r="A970" s="52">
        <v>965</v>
      </c>
      <c r="B970" s="52">
        <f>-bthan*500+(14+0.5)*bthan*1000/50</f>
        <v>-1155</v>
      </c>
      <c r="C970" s="52">
        <f t="shared" si="140"/>
        <v>-409.99999999999994</v>
      </c>
      <c r="D970" s="52">
        <f t="shared" si="141"/>
        <v>2200</v>
      </c>
      <c r="E970" s="52">
        <f t="shared" si="142"/>
        <v>1</v>
      </c>
      <c r="F970" s="52"/>
      <c r="G970" s="52"/>
      <c r="H970" s="52"/>
      <c r="I970" s="52"/>
      <c r="J970" s="52"/>
      <c r="K970" s="52"/>
      <c r="L970" s="52"/>
      <c r="M970" s="52"/>
      <c r="N970" s="52"/>
      <c r="O970" s="52"/>
      <c r="P970" s="52"/>
      <c r="Q970" s="52"/>
      <c r="R970" s="52"/>
      <c r="S970" s="52"/>
      <c r="T970" s="52"/>
      <c r="U970" s="52"/>
      <c r="V970" s="52"/>
      <c r="W970" s="52"/>
      <c r="X970" s="52"/>
      <c r="Y970" s="52"/>
      <c r="Z970" s="52"/>
      <c r="AA970" s="52"/>
      <c r="AB970" s="52"/>
      <c r="AC970" s="52"/>
      <c r="AD970" s="52"/>
      <c r="AE970" s="52"/>
      <c r="AF970" s="52"/>
      <c r="AG970" s="52"/>
      <c r="AH970" s="52"/>
      <c r="AI970" s="52"/>
      <c r="AJ970" s="52"/>
      <c r="AK970" s="52"/>
      <c r="AL970" s="52"/>
      <c r="AM970" s="52"/>
      <c r="AN970" s="52"/>
    </row>
    <row r="971" spans="1:40" x14ac:dyDescent="0.3">
      <c r="A971" s="52">
        <v>966</v>
      </c>
      <c r="B971" s="52">
        <f>-bthan*500+(15+0.5)*bthan*1000/50</f>
        <v>-1045</v>
      </c>
      <c r="C971" s="52">
        <f t="shared" si="140"/>
        <v>-409.99999999999994</v>
      </c>
      <c r="D971" s="52">
        <f t="shared" si="141"/>
        <v>2200</v>
      </c>
      <c r="E971" s="52">
        <f t="shared" si="142"/>
        <v>1</v>
      </c>
      <c r="F971" s="52"/>
      <c r="G971" s="52"/>
      <c r="H971" s="52"/>
      <c r="I971" s="52"/>
      <c r="J971" s="52"/>
      <c r="K971" s="52"/>
      <c r="L971" s="52"/>
      <c r="M971" s="52"/>
      <c r="N971" s="52"/>
      <c r="O971" s="52"/>
      <c r="P971" s="52"/>
      <c r="Q971" s="52"/>
      <c r="R971" s="52"/>
      <c r="S971" s="52"/>
      <c r="T971" s="52"/>
      <c r="U971" s="52"/>
      <c r="V971" s="52"/>
      <c r="W971" s="52"/>
      <c r="X971" s="52"/>
      <c r="Y971" s="52"/>
      <c r="Z971" s="52"/>
      <c r="AA971" s="52"/>
      <c r="AB971" s="52"/>
      <c r="AC971" s="52"/>
      <c r="AD971" s="52"/>
      <c r="AE971" s="52"/>
      <c r="AF971" s="52"/>
      <c r="AG971" s="52"/>
      <c r="AH971" s="52"/>
      <c r="AI971" s="52"/>
      <c r="AJ971" s="52"/>
      <c r="AK971" s="52"/>
      <c r="AL971" s="52"/>
      <c r="AM971" s="52"/>
      <c r="AN971" s="52"/>
    </row>
    <row r="972" spans="1:40" x14ac:dyDescent="0.3">
      <c r="A972" s="52">
        <v>967</v>
      </c>
      <c r="B972" s="52">
        <f>-bthan*500+(16+0.5)*bthan*1000/50</f>
        <v>-935</v>
      </c>
      <c r="C972" s="52">
        <f t="shared" si="140"/>
        <v>-409.99999999999994</v>
      </c>
      <c r="D972" s="52">
        <f t="shared" si="141"/>
        <v>2200</v>
      </c>
      <c r="E972" s="52">
        <f t="shared" si="142"/>
        <v>1</v>
      </c>
      <c r="F972" s="52"/>
      <c r="G972" s="52"/>
      <c r="H972" s="52"/>
      <c r="I972" s="52"/>
      <c r="J972" s="52"/>
      <c r="K972" s="52"/>
      <c r="L972" s="52"/>
      <c r="M972" s="52"/>
      <c r="N972" s="52"/>
      <c r="O972" s="52"/>
      <c r="P972" s="52"/>
      <c r="Q972" s="52"/>
      <c r="R972" s="52"/>
      <c r="S972" s="52"/>
      <c r="T972" s="52"/>
      <c r="U972" s="52"/>
      <c r="V972" s="52"/>
      <c r="W972" s="52"/>
      <c r="X972" s="52"/>
      <c r="Y972" s="52"/>
      <c r="Z972" s="52"/>
      <c r="AA972" s="52"/>
      <c r="AB972" s="52"/>
      <c r="AC972" s="52"/>
      <c r="AD972" s="52"/>
      <c r="AE972" s="52"/>
      <c r="AF972" s="52"/>
      <c r="AG972" s="52"/>
      <c r="AH972" s="52"/>
      <c r="AI972" s="52"/>
      <c r="AJ972" s="52"/>
      <c r="AK972" s="52"/>
      <c r="AL972" s="52"/>
      <c r="AM972" s="52"/>
      <c r="AN972" s="52"/>
    </row>
    <row r="973" spans="1:40" x14ac:dyDescent="0.3">
      <c r="A973" s="52">
        <v>968</v>
      </c>
      <c r="B973" s="52">
        <f>-bthan*500+(17+0.5)*bthan*1000/50</f>
        <v>-825</v>
      </c>
      <c r="C973" s="52">
        <f t="shared" si="140"/>
        <v>-409.99999999999994</v>
      </c>
      <c r="D973" s="52">
        <f t="shared" si="141"/>
        <v>2200</v>
      </c>
      <c r="E973" s="52">
        <f t="shared" si="142"/>
        <v>1</v>
      </c>
      <c r="F973" s="52"/>
      <c r="G973" s="52"/>
      <c r="H973" s="52"/>
      <c r="I973" s="52"/>
      <c r="J973" s="52"/>
      <c r="K973" s="52"/>
      <c r="L973" s="52"/>
      <c r="M973" s="52"/>
      <c r="N973" s="52"/>
      <c r="O973" s="52"/>
      <c r="P973" s="52"/>
      <c r="Q973" s="52"/>
      <c r="R973" s="52"/>
      <c r="S973" s="52"/>
      <c r="T973" s="52"/>
      <c r="U973" s="52"/>
      <c r="V973" s="52"/>
      <c r="W973" s="52"/>
      <c r="X973" s="52"/>
      <c r="Y973" s="52"/>
      <c r="Z973" s="52"/>
      <c r="AA973" s="52"/>
      <c r="AB973" s="52"/>
      <c r="AC973" s="52"/>
      <c r="AD973" s="52"/>
      <c r="AE973" s="52"/>
      <c r="AF973" s="52"/>
      <c r="AG973" s="52"/>
      <c r="AH973" s="52"/>
      <c r="AI973" s="52"/>
      <c r="AJ973" s="52"/>
      <c r="AK973" s="52"/>
      <c r="AL973" s="52"/>
      <c r="AM973" s="52"/>
      <c r="AN973" s="52"/>
    </row>
    <row r="974" spans="1:40" x14ac:dyDescent="0.3">
      <c r="A974" s="52">
        <v>969</v>
      </c>
      <c r="B974" s="52">
        <f>-bthan*500+(18+0.5)*bthan*1000/50</f>
        <v>-715</v>
      </c>
      <c r="C974" s="52">
        <f t="shared" si="140"/>
        <v>-409.99999999999994</v>
      </c>
      <c r="D974" s="52">
        <f t="shared" si="141"/>
        <v>2200</v>
      </c>
      <c r="E974" s="52">
        <f t="shared" si="142"/>
        <v>1</v>
      </c>
      <c r="F974" s="52"/>
      <c r="G974" s="52"/>
      <c r="H974" s="52"/>
      <c r="I974" s="52"/>
      <c r="J974" s="52"/>
      <c r="K974" s="52"/>
      <c r="L974" s="52"/>
      <c r="M974" s="52"/>
      <c r="N974" s="52"/>
      <c r="O974" s="52"/>
      <c r="P974" s="52"/>
      <c r="Q974" s="52"/>
      <c r="R974" s="52"/>
      <c r="S974" s="52"/>
      <c r="T974" s="52"/>
      <c r="U974" s="52"/>
      <c r="V974" s="52"/>
      <c r="W974" s="52"/>
      <c r="X974" s="52"/>
      <c r="Y974" s="52"/>
      <c r="Z974" s="52"/>
      <c r="AA974" s="52"/>
      <c r="AB974" s="52"/>
      <c r="AC974" s="52"/>
      <c r="AD974" s="52"/>
      <c r="AE974" s="52"/>
      <c r="AF974" s="52"/>
      <c r="AG974" s="52"/>
      <c r="AH974" s="52"/>
      <c r="AI974" s="52"/>
      <c r="AJ974" s="52"/>
      <c r="AK974" s="52"/>
      <c r="AL974" s="52"/>
      <c r="AM974" s="52"/>
      <c r="AN974" s="52"/>
    </row>
    <row r="975" spans="1:40" x14ac:dyDescent="0.3">
      <c r="A975" s="52">
        <v>970</v>
      </c>
      <c r="B975" s="52">
        <f>-bthan*500+(19+0.5)*bthan*1000/50</f>
        <v>-605</v>
      </c>
      <c r="C975" s="52">
        <f t="shared" si="140"/>
        <v>-409.99999999999994</v>
      </c>
      <c r="D975" s="52">
        <f t="shared" si="141"/>
        <v>2200</v>
      </c>
      <c r="E975" s="52">
        <f t="shared" si="142"/>
        <v>1</v>
      </c>
      <c r="F975" s="52"/>
      <c r="G975" s="52"/>
      <c r="H975" s="52"/>
      <c r="I975" s="52"/>
      <c r="J975" s="52"/>
      <c r="K975" s="52"/>
      <c r="L975" s="52"/>
      <c r="M975" s="52"/>
      <c r="N975" s="52"/>
      <c r="O975" s="52"/>
      <c r="P975" s="52"/>
      <c r="Q975" s="52"/>
      <c r="R975" s="52"/>
      <c r="S975" s="52"/>
      <c r="T975" s="52"/>
      <c r="U975" s="52"/>
      <c r="V975" s="52"/>
      <c r="W975" s="52"/>
      <c r="X975" s="52"/>
      <c r="Y975" s="52"/>
      <c r="Z975" s="52"/>
      <c r="AA975" s="52"/>
      <c r="AB975" s="52"/>
      <c r="AC975" s="52"/>
      <c r="AD975" s="52"/>
      <c r="AE975" s="52"/>
      <c r="AF975" s="52"/>
      <c r="AG975" s="52"/>
      <c r="AH975" s="52"/>
      <c r="AI975" s="52"/>
      <c r="AJ975" s="52"/>
      <c r="AK975" s="52"/>
      <c r="AL975" s="52"/>
      <c r="AM975" s="52"/>
      <c r="AN975" s="52"/>
    </row>
    <row r="976" spans="1:40" x14ac:dyDescent="0.3">
      <c r="A976" s="52">
        <v>971</v>
      </c>
      <c r="B976" s="52">
        <f>-bthan*500+(20+0.5)*bthan*1000/50</f>
        <v>-495</v>
      </c>
      <c r="C976" s="52">
        <f t="shared" si="140"/>
        <v>-409.99999999999994</v>
      </c>
      <c r="D976" s="52">
        <f t="shared" si="141"/>
        <v>2200</v>
      </c>
      <c r="E976" s="52">
        <f t="shared" si="142"/>
        <v>1</v>
      </c>
      <c r="F976" s="52"/>
      <c r="G976" s="52"/>
      <c r="H976" s="52"/>
      <c r="I976" s="52"/>
      <c r="J976" s="52"/>
      <c r="K976" s="52"/>
      <c r="L976" s="52"/>
      <c r="M976" s="52"/>
      <c r="N976" s="52"/>
      <c r="O976" s="52"/>
      <c r="P976" s="52"/>
      <c r="Q976" s="52"/>
      <c r="R976" s="52"/>
      <c r="S976" s="52"/>
      <c r="T976" s="52"/>
      <c r="U976" s="52"/>
      <c r="V976" s="52"/>
      <c r="W976" s="52"/>
      <c r="X976" s="52"/>
      <c r="Y976" s="52"/>
      <c r="Z976" s="52"/>
      <c r="AA976" s="52"/>
      <c r="AB976" s="52"/>
      <c r="AC976" s="52"/>
      <c r="AD976" s="52"/>
      <c r="AE976" s="52"/>
      <c r="AF976" s="52"/>
      <c r="AG976" s="52"/>
      <c r="AH976" s="52"/>
      <c r="AI976" s="52"/>
      <c r="AJ976" s="52"/>
      <c r="AK976" s="52"/>
      <c r="AL976" s="52"/>
      <c r="AM976" s="52"/>
      <c r="AN976" s="52"/>
    </row>
    <row r="977" spans="1:40" x14ac:dyDescent="0.3">
      <c r="A977" s="52">
        <v>972</v>
      </c>
      <c r="B977" s="52">
        <f>-bthan*500+(21+0.5)*bthan*1000/50</f>
        <v>-385</v>
      </c>
      <c r="C977" s="52">
        <f t="shared" si="140"/>
        <v>-409.99999999999994</v>
      </c>
      <c r="D977" s="52">
        <f t="shared" si="141"/>
        <v>2200</v>
      </c>
      <c r="E977" s="52">
        <f t="shared" si="142"/>
        <v>1</v>
      </c>
      <c r="F977" s="52"/>
      <c r="G977" s="52"/>
      <c r="H977" s="52"/>
      <c r="I977" s="52"/>
      <c r="J977" s="52"/>
      <c r="K977" s="52"/>
      <c r="L977" s="52"/>
      <c r="M977" s="52"/>
      <c r="N977" s="52"/>
      <c r="O977" s="52"/>
      <c r="P977" s="52"/>
      <c r="Q977" s="52"/>
      <c r="R977" s="52"/>
      <c r="S977" s="52"/>
      <c r="T977" s="52"/>
      <c r="U977" s="52"/>
      <c r="V977" s="52"/>
      <c r="W977" s="52"/>
      <c r="X977" s="52"/>
      <c r="Y977" s="52"/>
      <c r="Z977" s="52"/>
      <c r="AA977" s="52"/>
      <c r="AB977" s="52"/>
      <c r="AC977" s="52"/>
      <c r="AD977" s="52"/>
      <c r="AE977" s="52"/>
      <c r="AF977" s="52"/>
      <c r="AG977" s="52"/>
      <c r="AH977" s="52"/>
      <c r="AI977" s="52"/>
      <c r="AJ977" s="52"/>
      <c r="AK977" s="52"/>
      <c r="AL977" s="52"/>
      <c r="AM977" s="52"/>
      <c r="AN977" s="52"/>
    </row>
    <row r="978" spans="1:40" x14ac:dyDescent="0.3">
      <c r="A978" s="52">
        <v>973</v>
      </c>
      <c r="B978" s="52">
        <f>-bthan*500+(22+0.5)*bthan*1000/50</f>
        <v>-275</v>
      </c>
      <c r="C978" s="52">
        <f t="shared" si="140"/>
        <v>-409.99999999999994</v>
      </c>
      <c r="D978" s="52">
        <f t="shared" si="141"/>
        <v>2200</v>
      </c>
      <c r="E978" s="52">
        <f t="shared" si="142"/>
        <v>1</v>
      </c>
      <c r="F978" s="52"/>
      <c r="G978" s="52"/>
      <c r="H978" s="52"/>
      <c r="I978" s="52"/>
      <c r="J978" s="52"/>
      <c r="K978" s="52"/>
      <c r="L978" s="52"/>
      <c r="M978" s="52"/>
      <c r="N978" s="52"/>
      <c r="O978" s="52"/>
      <c r="P978" s="52"/>
      <c r="Q978" s="52"/>
      <c r="R978" s="52"/>
      <c r="S978" s="52"/>
      <c r="T978" s="52"/>
      <c r="U978" s="52"/>
      <c r="V978" s="52"/>
      <c r="W978" s="52"/>
      <c r="X978" s="52"/>
      <c r="Y978" s="52"/>
      <c r="Z978" s="52"/>
      <c r="AA978" s="52"/>
      <c r="AB978" s="52"/>
      <c r="AC978" s="52"/>
      <c r="AD978" s="52"/>
      <c r="AE978" s="52"/>
      <c r="AF978" s="52"/>
      <c r="AG978" s="52"/>
      <c r="AH978" s="52"/>
      <c r="AI978" s="52"/>
      <c r="AJ978" s="52"/>
      <c r="AK978" s="52"/>
      <c r="AL978" s="52"/>
      <c r="AM978" s="52"/>
      <c r="AN978" s="52"/>
    </row>
    <row r="979" spans="1:40" x14ac:dyDescent="0.3">
      <c r="A979" s="52">
        <v>974</v>
      </c>
      <c r="B979" s="52">
        <f>-bthan*500+(23+0.5)*bthan*1000/50</f>
        <v>-165</v>
      </c>
      <c r="C979" s="52">
        <f t="shared" si="140"/>
        <v>-409.99999999999994</v>
      </c>
      <c r="D979" s="52">
        <f t="shared" si="141"/>
        <v>2200</v>
      </c>
      <c r="E979" s="52">
        <f t="shared" si="142"/>
        <v>1</v>
      </c>
      <c r="F979" s="52"/>
      <c r="G979" s="52"/>
      <c r="H979" s="52"/>
      <c r="I979" s="52"/>
      <c r="J979" s="52"/>
      <c r="K979" s="52"/>
      <c r="L979" s="52"/>
      <c r="M979" s="52"/>
      <c r="N979" s="52"/>
      <c r="O979" s="52"/>
      <c r="P979" s="52"/>
      <c r="Q979" s="52"/>
      <c r="R979" s="52"/>
      <c r="S979" s="52"/>
      <c r="T979" s="52"/>
      <c r="U979" s="52"/>
      <c r="V979" s="52"/>
      <c r="W979" s="52"/>
      <c r="X979" s="52"/>
      <c r="Y979" s="52"/>
      <c r="Z979" s="52"/>
      <c r="AA979" s="52"/>
      <c r="AB979" s="52"/>
      <c r="AC979" s="52"/>
      <c r="AD979" s="52"/>
      <c r="AE979" s="52"/>
      <c r="AF979" s="52"/>
      <c r="AG979" s="52"/>
      <c r="AH979" s="52"/>
      <c r="AI979" s="52"/>
      <c r="AJ979" s="52"/>
      <c r="AK979" s="52"/>
      <c r="AL979" s="52"/>
      <c r="AM979" s="52"/>
      <c r="AN979" s="52"/>
    </row>
    <row r="980" spans="1:40" x14ac:dyDescent="0.3">
      <c r="A980" s="52">
        <v>975</v>
      </c>
      <c r="B980" s="52">
        <f>-bthan*500+(24+0.5)*bthan*1000/50</f>
        <v>-55</v>
      </c>
      <c r="C980" s="52">
        <f t="shared" si="140"/>
        <v>-409.99999999999994</v>
      </c>
      <c r="D980" s="52">
        <f t="shared" si="141"/>
        <v>2200</v>
      </c>
      <c r="E980" s="52">
        <f t="shared" si="142"/>
        <v>1</v>
      </c>
      <c r="F980" s="52"/>
      <c r="G980" s="52"/>
      <c r="H980" s="52"/>
      <c r="I980" s="52"/>
      <c r="J980" s="52"/>
      <c r="K980" s="52"/>
      <c r="L980" s="52"/>
      <c r="M980" s="52"/>
      <c r="N980" s="52"/>
      <c r="O980" s="52"/>
      <c r="P980" s="52"/>
      <c r="Q980" s="52"/>
      <c r="R980" s="52"/>
      <c r="S980" s="52"/>
      <c r="T980" s="52"/>
      <c r="U980" s="52"/>
      <c r="V980" s="52"/>
      <c r="W980" s="52"/>
      <c r="X980" s="52"/>
      <c r="Y980" s="52"/>
      <c r="Z980" s="52"/>
      <c r="AA980" s="52"/>
      <c r="AB980" s="52"/>
      <c r="AC980" s="52"/>
      <c r="AD980" s="52"/>
      <c r="AE980" s="52"/>
      <c r="AF980" s="52"/>
      <c r="AG980" s="52"/>
      <c r="AH980" s="52"/>
      <c r="AI980" s="52"/>
      <c r="AJ980" s="52"/>
      <c r="AK980" s="52"/>
      <c r="AL980" s="52"/>
      <c r="AM980" s="52"/>
      <c r="AN980" s="52"/>
    </row>
    <row r="981" spans="1:40" x14ac:dyDescent="0.3">
      <c r="A981" s="52">
        <v>976</v>
      </c>
      <c r="B981" s="52">
        <f>-bthan*500+(25+0.5)*bthan*1000/50</f>
        <v>55</v>
      </c>
      <c r="C981" s="52">
        <f t="shared" si="140"/>
        <v>-409.99999999999994</v>
      </c>
      <c r="D981" s="52">
        <f t="shared" si="141"/>
        <v>2200</v>
      </c>
      <c r="E981" s="52">
        <f t="shared" si="142"/>
        <v>1</v>
      </c>
      <c r="F981" s="52"/>
      <c r="G981" s="52"/>
      <c r="H981" s="52"/>
      <c r="I981" s="52"/>
      <c r="J981" s="52"/>
      <c r="K981" s="52"/>
      <c r="L981" s="52"/>
      <c r="M981" s="52"/>
      <c r="N981" s="52"/>
      <c r="O981" s="52"/>
      <c r="P981" s="52"/>
      <c r="Q981" s="52"/>
      <c r="R981" s="52"/>
      <c r="S981" s="52"/>
      <c r="T981" s="52"/>
      <c r="U981" s="52"/>
      <c r="V981" s="52"/>
      <c r="W981" s="52"/>
      <c r="X981" s="52"/>
      <c r="Y981" s="52"/>
      <c r="Z981" s="52"/>
      <c r="AA981" s="52"/>
      <c r="AB981" s="52"/>
      <c r="AC981" s="52"/>
      <c r="AD981" s="52"/>
      <c r="AE981" s="52"/>
      <c r="AF981" s="52"/>
      <c r="AG981" s="52"/>
      <c r="AH981" s="52"/>
      <c r="AI981" s="52"/>
      <c r="AJ981" s="52"/>
      <c r="AK981" s="52"/>
      <c r="AL981" s="52"/>
      <c r="AM981" s="52"/>
      <c r="AN981" s="52"/>
    </row>
    <row r="982" spans="1:40" x14ac:dyDescent="0.3">
      <c r="A982" s="52">
        <v>977</v>
      </c>
      <c r="B982" s="52">
        <f>-bthan*500+(26+0.5)*bthan*1000/50</f>
        <v>165</v>
      </c>
      <c r="C982" s="52">
        <f t="shared" si="140"/>
        <v>-409.99999999999994</v>
      </c>
      <c r="D982" s="52">
        <f t="shared" si="141"/>
        <v>2200</v>
      </c>
      <c r="E982" s="52">
        <f t="shared" si="142"/>
        <v>1</v>
      </c>
      <c r="F982" s="52"/>
      <c r="G982" s="52"/>
      <c r="H982" s="52"/>
      <c r="I982" s="52"/>
      <c r="J982" s="52"/>
      <c r="K982" s="52"/>
      <c r="L982" s="52"/>
      <c r="M982" s="52"/>
      <c r="N982" s="52"/>
      <c r="O982" s="52"/>
      <c r="P982" s="52"/>
      <c r="Q982" s="52"/>
      <c r="R982" s="52"/>
      <c r="S982" s="52"/>
      <c r="T982" s="52"/>
      <c r="U982" s="52"/>
      <c r="V982" s="52"/>
      <c r="W982" s="52"/>
      <c r="X982" s="52"/>
      <c r="Y982" s="52"/>
      <c r="Z982" s="52"/>
      <c r="AA982" s="52"/>
      <c r="AB982" s="52"/>
      <c r="AC982" s="52"/>
      <c r="AD982" s="52"/>
      <c r="AE982" s="52"/>
      <c r="AF982" s="52"/>
      <c r="AG982" s="52"/>
      <c r="AH982" s="52"/>
      <c r="AI982" s="52"/>
      <c r="AJ982" s="52"/>
      <c r="AK982" s="52"/>
      <c r="AL982" s="52"/>
      <c r="AM982" s="52"/>
      <c r="AN982" s="52"/>
    </row>
    <row r="983" spans="1:40" x14ac:dyDescent="0.3">
      <c r="A983" s="52">
        <v>978</v>
      </c>
      <c r="B983" s="52">
        <f>-bthan*500+(27+0.5)*bthan*1000/50</f>
        <v>275</v>
      </c>
      <c r="C983" s="52">
        <f t="shared" si="140"/>
        <v>-409.99999999999994</v>
      </c>
      <c r="D983" s="52">
        <f t="shared" si="141"/>
        <v>2200</v>
      </c>
      <c r="E983" s="52">
        <f t="shared" si="142"/>
        <v>1</v>
      </c>
      <c r="F983" s="52"/>
      <c r="G983" s="52"/>
      <c r="H983" s="52"/>
      <c r="I983" s="52"/>
      <c r="J983" s="52"/>
      <c r="K983" s="52"/>
      <c r="L983" s="52"/>
      <c r="M983" s="52"/>
      <c r="N983" s="52"/>
      <c r="O983" s="52"/>
      <c r="P983" s="52"/>
      <c r="Q983" s="52"/>
      <c r="R983" s="52"/>
      <c r="S983" s="52"/>
      <c r="T983" s="52"/>
      <c r="U983" s="52"/>
      <c r="V983" s="52"/>
      <c r="W983" s="52"/>
      <c r="X983" s="52"/>
      <c r="Y983" s="52"/>
      <c r="Z983" s="52"/>
      <c r="AA983" s="52"/>
      <c r="AB983" s="52"/>
      <c r="AC983" s="52"/>
      <c r="AD983" s="52"/>
      <c r="AE983" s="52"/>
      <c r="AF983" s="52"/>
      <c r="AG983" s="52"/>
      <c r="AH983" s="52"/>
      <c r="AI983" s="52"/>
      <c r="AJ983" s="52"/>
      <c r="AK983" s="52"/>
      <c r="AL983" s="52"/>
      <c r="AM983" s="52"/>
      <c r="AN983" s="52"/>
    </row>
    <row r="984" spans="1:40" x14ac:dyDescent="0.3">
      <c r="A984" s="52">
        <v>979</v>
      </c>
      <c r="B984" s="52">
        <f>-bthan*500+(28+0.5)*bthan*1000/50</f>
        <v>385</v>
      </c>
      <c r="C984" s="52">
        <f t="shared" si="140"/>
        <v>-409.99999999999994</v>
      </c>
      <c r="D984" s="52">
        <f t="shared" si="141"/>
        <v>2200</v>
      </c>
      <c r="E984" s="52">
        <f t="shared" si="142"/>
        <v>1</v>
      </c>
      <c r="F984" s="52"/>
      <c r="G984" s="52"/>
      <c r="H984" s="52"/>
      <c r="I984" s="52"/>
      <c r="J984" s="52"/>
      <c r="K984" s="52"/>
      <c r="L984" s="52"/>
      <c r="M984" s="52"/>
      <c r="N984" s="52"/>
      <c r="O984" s="52"/>
      <c r="P984" s="52"/>
      <c r="Q984" s="52"/>
      <c r="R984" s="52"/>
      <c r="S984" s="52"/>
      <c r="T984" s="52"/>
      <c r="U984" s="52"/>
      <c r="V984" s="52"/>
      <c r="W984" s="52"/>
      <c r="X984" s="52"/>
      <c r="Y984" s="52"/>
      <c r="Z984" s="52"/>
      <c r="AA984" s="52"/>
      <c r="AB984" s="52"/>
      <c r="AC984" s="52"/>
      <c r="AD984" s="52"/>
      <c r="AE984" s="52"/>
      <c r="AF984" s="52"/>
      <c r="AG984" s="52"/>
      <c r="AH984" s="52"/>
      <c r="AI984" s="52"/>
      <c r="AJ984" s="52"/>
      <c r="AK984" s="52"/>
      <c r="AL984" s="52"/>
      <c r="AM984" s="52"/>
      <c r="AN984" s="52"/>
    </row>
    <row r="985" spans="1:40" x14ac:dyDescent="0.3">
      <c r="A985" s="52">
        <v>980</v>
      </c>
      <c r="B985" s="52">
        <f>-bthan*500+(29+0.5)*bthan*1000/50</f>
        <v>495</v>
      </c>
      <c r="C985" s="52">
        <f t="shared" si="140"/>
        <v>-409.99999999999994</v>
      </c>
      <c r="D985" s="52">
        <f t="shared" si="141"/>
        <v>2200</v>
      </c>
      <c r="E985" s="52">
        <f t="shared" si="142"/>
        <v>1</v>
      </c>
      <c r="F985" s="52"/>
      <c r="G985" s="52"/>
      <c r="H985" s="52"/>
      <c r="I985" s="52"/>
      <c r="J985" s="52"/>
      <c r="K985" s="52"/>
      <c r="L985" s="52"/>
      <c r="M985" s="52"/>
      <c r="N985" s="52"/>
      <c r="O985" s="52"/>
      <c r="P985" s="52"/>
      <c r="Q985" s="52"/>
      <c r="R985" s="52"/>
      <c r="S985" s="52"/>
      <c r="T985" s="52"/>
      <c r="U985" s="52"/>
      <c r="V985" s="52"/>
      <c r="W985" s="52"/>
      <c r="X985" s="52"/>
      <c r="Y985" s="52"/>
      <c r="Z985" s="52"/>
      <c r="AA985" s="52"/>
      <c r="AB985" s="52"/>
      <c r="AC985" s="52"/>
      <c r="AD985" s="52"/>
      <c r="AE985" s="52"/>
      <c r="AF985" s="52"/>
      <c r="AG985" s="52"/>
      <c r="AH985" s="52"/>
      <c r="AI985" s="52"/>
      <c r="AJ985" s="52"/>
      <c r="AK985" s="52"/>
      <c r="AL985" s="52"/>
      <c r="AM985" s="52"/>
      <c r="AN985" s="52"/>
    </row>
    <row r="986" spans="1:40" x14ac:dyDescent="0.3">
      <c r="A986" s="52">
        <v>981</v>
      </c>
      <c r="B986" s="52">
        <f>-bthan*500+(30+0.5)*bthan*1000/50</f>
        <v>605</v>
      </c>
      <c r="C986" s="52">
        <f t="shared" si="140"/>
        <v>-409.99999999999994</v>
      </c>
      <c r="D986" s="52">
        <f t="shared" si="141"/>
        <v>2200</v>
      </c>
      <c r="E986" s="52">
        <f t="shared" si="142"/>
        <v>1</v>
      </c>
      <c r="F986" s="52"/>
      <c r="G986" s="52"/>
      <c r="H986" s="52"/>
      <c r="I986" s="52"/>
      <c r="J986" s="52"/>
      <c r="K986" s="52"/>
      <c r="L986" s="52"/>
      <c r="M986" s="52"/>
      <c r="N986" s="52"/>
      <c r="O986" s="52"/>
      <c r="P986" s="52"/>
      <c r="Q986" s="52"/>
      <c r="R986" s="52"/>
      <c r="S986" s="52"/>
      <c r="T986" s="52"/>
      <c r="U986" s="52"/>
      <c r="V986" s="52"/>
      <c r="W986" s="52"/>
      <c r="X986" s="52"/>
      <c r="Y986" s="52"/>
      <c r="Z986" s="52"/>
      <c r="AA986" s="52"/>
      <c r="AB986" s="52"/>
      <c r="AC986" s="52"/>
      <c r="AD986" s="52"/>
      <c r="AE986" s="52"/>
      <c r="AF986" s="52"/>
      <c r="AG986" s="52"/>
      <c r="AH986" s="52"/>
      <c r="AI986" s="52"/>
      <c r="AJ986" s="52"/>
      <c r="AK986" s="52"/>
      <c r="AL986" s="52"/>
      <c r="AM986" s="52"/>
      <c r="AN986" s="52"/>
    </row>
    <row r="987" spans="1:40" x14ac:dyDescent="0.3">
      <c r="A987" s="52">
        <v>982</v>
      </c>
      <c r="B987" s="52">
        <f>-bthan*500+(31+0.5)*bthan*1000/50</f>
        <v>715</v>
      </c>
      <c r="C987" s="52">
        <f t="shared" si="140"/>
        <v>-409.99999999999994</v>
      </c>
      <c r="D987" s="52">
        <f t="shared" si="141"/>
        <v>2200</v>
      </c>
      <c r="E987" s="52">
        <f t="shared" si="142"/>
        <v>1</v>
      </c>
      <c r="F987" s="52"/>
      <c r="G987" s="52"/>
      <c r="H987" s="52"/>
      <c r="I987" s="52"/>
      <c r="J987" s="52"/>
      <c r="K987" s="52"/>
      <c r="L987" s="52"/>
      <c r="M987" s="52"/>
      <c r="N987" s="52"/>
      <c r="O987" s="52"/>
      <c r="P987" s="52"/>
      <c r="Q987" s="52"/>
      <c r="R987" s="52"/>
      <c r="S987" s="52"/>
      <c r="T987" s="52"/>
      <c r="U987" s="52"/>
      <c r="V987" s="52"/>
      <c r="W987" s="52"/>
      <c r="X987" s="52"/>
      <c r="Y987" s="52"/>
      <c r="Z987" s="52"/>
      <c r="AA987" s="52"/>
      <c r="AB987" s="52"/>
      <c r="AC987" s="52"/>
      <c r="AD987" s="52"/>
      <c r="AE987" s="52"/>
      <c r="AF987" s="52"/>
      <c r="AG987" s="52"/>
      <c r="AH987" s="52"/>
      <c r="AI987" s="52"/>
      <c r="AJ987" s="52"/>
      <c r="AK987" s="52"/>
      <c r="AL987" s="52"/>
      <c r="AM987" s="52"/>
      <c r="AN987" s="52"/>
    </row>
    <row r="988" spans="1:40" x14ac:dyDescent="0.3">
      <c r="A988" s="52">
        <v>983</v>
      </c>
      <c r="B988" s="52">
        <f>-bthan*500+(32+0.5)*bthan*1000/50</f>
        <v>825</v>
      </c>
      <c r="C988" s="52">
        <f t="shared" ref="C988:C1005" si="143">-hthan*500+(19+0.5)*hthan*1000/80</f>
        <v>-409.99999999999994</v>
      </c>
      <c r="D988" s="52">
        <f t="shared" si="141"/>
        <v>2200</v>
      </c>
      <c r="E988" s="52">
        <f t="shared" si="142"/>
        <v>1</v>
      </c>
      <c r="F988" s="52"/>
      <c r="G988" s="52"/>
      <c r="H988" s="52"/>
      <c r="I988" s="52"/>
      <c r="J988" s="52"/>
      <c r="K988" s="52"/>
      <c r="L988" s="52"/>
      <c r="M988" s="52"/>
      <c r="N988" s="52"/>
      <c r="O988" s="52"/>
      <c r="P988" s="52"/>
      <c r="Q988" s="52"/>
      <c r="R988" s="52"/>
      <c r="S988" s="52"/>
      <c r="T988" s="52"/>
      <c r="U988" s="52"/>
      <c r="V988" s="52"/>
      <c r="W988" s="52"/>
      <c r="X988" s="52"/>
      <c r="Y988" s="52"/>
      <c r="Z988" s="52"/>
      <c r="AA988" s="52"/>
      <c r="AB988" s="52"/>
      <c r="AC988" s="52"/>
      <c r="AD988" s="52"/>
      <c r="AE988" s="52"/>
      <c r="AF988" s="52"/>
      <c r="AG988" s="52"/>
      <c r="AH988" s="52"/>
      <c r="AI988" s="52"/>
      <c r="AJ988" s="52"/>
      <c r="AK988" s="52"/>
      <c r="AL988" s="52"/>
      <c r="AM988" s="52"/>
      <c r="AN988" s="52"/>
    </row>
    <row r="989" spans="1:40" x14ac:dyDescent="0.3">
      <c r="A989" s="52">
        <v>984</v>
      </c>
      <c r="B989" s="52">
        <f>-bthan*500+(33+0.5)*bthan*1000/50</f>
        <v>935</v>
      </c>
      <c r="C989" s="52">
        <f t="shared" si="143"/>
        <v>-409.99999999999994</v>
      </c>
      <c r="D989" s="52">
        <f t="shared" si="141"/>
        <v>2200</v>
      </c>
      <c r="E989" s="52">
        <f t="shared" si="142"/>
        <v>1</v>
      </c>
      <c r="F989" s="52"/>
      <c r="G989" s="52"/>
      <c r="H989" s="52"/>
      <c r="I989" s="52"/>
      <c r="J989" s="52"/>
      <c r="K989" s="52"/>
      <c r="L989" s="52"/>
      <c r="M989" s="52"/>
      <c r="N989" s="52"/>
      <c r="O989" s="52"/>
      <c r="P989" s="52"/>
      <c r="Q989" s="52"/>
      <c r="R989" s="52"/>
      <c r="S989" s="52"/>
      <c r="T989" s="52"/>
      <c r="U989" s="52"/>
      <c r="V989" s="52"/>
      <c r="W989" s="52"/>
      <c r="X989" s="52"/>
      <c r="Y989" s="52"/>
      <c r="Z989" s="52"/>
      <c r="AA989" s="52"/>
      <c r="AB989" s="52"/>
      <c r="AC989" s="52"/>
      <c r="AD989" s="52"/>
      <c r="AE989" s="52"/>
      <c r="AF989" s="52"/>
      <c r="AG989" s="52"/>
      <c r="AH989" s="52"/>
      <c r="AI989" s="52"/>
      <c r="AJ989" s="52"/>
      <c r="AK989" s="52"/>
      <c r="AL989" s="52"/>
      <c r="AM989" s="52"/>
      <c r="AN989" s="52"/>
    </row>
    <row r="990" spans="1:40" x14ac:dyDescent="0.3">
      <c r="A990" s="52">
        <v>985</v>
      </c>
      <c r="B990" s="52">
        <f>-bthan*500+(34+0.5)*bthan*1000/50</f>
        <v>1045</v>
      </c>
      <c r="C990" s="52">
        <f t="shared" si="143"/>
        <v>-409.99999999999994</v>
      </c>
      <c r="D990" s="52">
        <f t="shared" si="141"/>
        <v>2200</v>
      </c>
      <c r="E990" s="52">
        <f t="shared" si="142"/>
        <v>1</v>
      </c>
      <c r="F990" s="52"/>
      <c r="G990" s="52"/>
      <c r="H990" s="52"/>
      <c r="I990" s="52"/>
      <c r="J990" s="52"/>
      <c r="K990" s="52"/>
      <c r="L990" s="52"/>
      <c r="M990" s="52"/>
      <c r="N990" s="52"/>
      <c r="O990" s="52"/>
      <c r="P990" s="52"/>
      <c r="Q990" s="52"/>
      <c r="R990" s="52"/>
      <c r="S990" s="52"/>
      <c r="T990" s="52"/>
      <c r="U990" s="52"/>
      <c r="V990" s="52"/>
      <c r="W990" s="52"/>
      <c r="X990" s="52"/>
      <c r="Y990" s="52"/>
      <c r="Z990" s="52"/>
      <c r="AA990" s="52"/>
      <c r="AB990" s="52"/>
      <c r="AC990" s="52"/>
      <c r="AD990" s="52"/>
      <c r="AE990" s="52"/>
      <c r="AF990" s="52"/>
      <c r="AG990" s="52"/>
      <c r="AH990" s="52"/>
      <c r="AI990" s="52"/>
      <c r="AJ990" s="52"/>
      <c r="AK990" s="52"/>
      <c r="AL990" s="52"/>
      <c r="AM990" s="52"/>
      <c r="AN990" s="52"/>
    </row>
    <row r="991" spans="1:40" x14ac:dyDescent="0.3">
      <c r="A991" s="52">
        <v>986</v>
      </c>
      <c r="B991" s="52">
        <f>-bthan*500+(35+0.5)*bthan*1000/50</f>
        <v>1155</v>
      </c>
      <c r="C991" s="52">
        <f t="shared" si="143"/>
        <v>-409.99999999999994</v>
      </c>
      <c r="D991" s="52">
        <f t="shared" si="141"/>
        <v>2200</v>
      </c>
      <c r="E991" s="52">
        <f t="shared" si="142"/>
        <v>1</v>
      </c>
      <c r="F991" s="52"/>
      <c r="G991" s="52"/>
      <c r="H991" s="52"/>
      <c r="I991" s="52"/>
      <c r="J991" s="52"/>
      <c r="K991" s="52"/>
      <c r="L991" s="52"/>
      <c r="M991" s="52"/>
      <c r="N991" s="52"/>
      <c r="O991" s="52"/>
      <c r="P991" s="52"/>
      <c r="Q991" s="52"/>
      <c r="R991" s="52"/>
      <c r="S991" s="52"/>
      <c r="T991" s="52"/>
      <c r="U991" s="52"/>
      <c r="V991" s="52"/>
      <c r="W991" s="52"/>
      <c r="X991" s="52"/>
      <c r="Y991" s="52"/>
      <c r="Z991" s="52"/>
      <c r="AA991" s="52"/>
      <c r="AB991" s="52"/>
      <c r="AC991" s="52"/>
      <c r="AD991" s="52"/>
      <c r="AE991" s="52"/>
      <c r="AF991" s="52"/>
      <c r="AG991" s="52"/>
      <c r="AH991" s="52"/>
      <c r="AI991" s="52"/>
      <c r="AJ991" s="52"/>
      <c r="AK991" s="52"/>
      <c r="AL991" s="52"/>
      <c r="AM991" s="52"/>
      <c r="AN991" s="52"/>
    </row>
    <row r="992" spans="1:40" x14ac:dyDescent="0.3">
      <c r="A992" s="52">
        <v>987</v>
      </c>
      <c r="B992" s="52">
        <f>-bthan*500+(36+0.5)*bthan*1000/50</f>
        <v>1265</v>
      </c>
      <c r="C992" s="52">
        <f t="shared" si="143"/>
        <v>-409.99999999999994</v>
      </c>
      <c r="D992" s="52">
        <f t="shared" si="141"/>
        <v>2200</v>
      </c>
      <c r="E992" s="52">
        <f t="shared" si="142"/>
        <v>1</v>
      </c>
      <c r="F992" s="52"/>
      <c r="G992" s="52"/>
      <c r="H992" s="52"/>
      <c r="I992" s="52"/>
      <c r="J992" s="52"/>
      <c r="K992" s="52"/>
      <c r="L992" s="52"/>
      <c r="M992" s="52"/>
      <c r="N992" s="52"/>
      <c r="O992" s="52"/>
      <c r="P992" s="52"/>
      <c r="Q992" s="52"/>
      <c r="R992" s="52"/>
      <c r="S992" s="52"/>
      <c r="T992" s="52"/>
      <c r="U992" s="52"/>
      <c r="V992" s="52"/>
      <c r="W992" s="52"/>
      <c r="X992" s="52"/>
      <c r="Y992" s="52"/>
      <c r="Z992" s="52"/>
      <c r="AA992" s="52"/>
      <c r="AB992" s="52"/>
      <c r="AC992" s="52"/>
      <c r="AD992" s="52"/>
      <c r="AE992" s="52"/>
      <c r="AF992" s="52"/>
      <c r="AG992" s="52"/>
      <c r="AH992" s="52"/>
      <c r="AI992" s="52"/>
      <c r="AJ992" s="52"/>
      <c r="AK992" s="52"/>
      <c r="AL992" s="52"/>
      <c r="AM992" s="52"/>
      <c r="AN992" s="52"/>
    </row>
    <row r="993" spans="1:40" x14ac:dyDescent="0.3">
      <c r="A993" s="52">
        <v>988</v>
      </c>
      <c r="B993" s="52">
        <f>-bthan*500+(37+0.5)*bthan*1000/50</f>
        <v>1375</v>
      </c>
      <c r="C993" s="52">
        <f t="shared" si="143"/>
        <v>-409.99999999999994</v>
      </c>
      <c r="D993" s="52">
        <f t="shared" si="141"/>
        <v>2200</v>
      </c>
      <c r="E993" s="52">
        <f t="shared" si="142"/>
        <v>1</v>
      </c>
      <c r="F993" s="52"/>
      <c r="G993" s="52"/>
      <c r="H993" s="52"/>
      <c r="I993" s="52"/>
      <c r="J993" s="52"/>
      <c r="K993" s="52"/>
      <c r="L993" s="52"/>
      <c r="M993" s="52"/>
      <c r="N993" s="52"/>
      <c r="O993" s="52"/>
      <c r="P993" s="52"/>
      <c r="Q993" s="52"/>
      <c r="R993" s="52"/>
      <c r="S993" s="52"/>
      <c r="T993" s="52"/>
      <c r="U993" s="52"/>
      <c r="V993" s="52"/>
      <c r="W993" s="52"/>
      <c r="X993" s="52"/>
      <c r="Y993" s="52"/>
      <c r="Z993" s="52"/>
      <c r="AA993" s="52"/>
      <c r="AB993" s="52"/>
      <c r="AC993" s="52"/>
      <c r="AD993" s="52"/>
      <c r="AE993" s="52"/>
      <c r="AF993" s="52"/>
      <c r="AG993" s="52"/>
      <c r="AH993" s="52"/>
      <c r="AI993" s="52"/>
      <c r="AJ993" s="52"/>
      <c r="AK993" s="52"/>
      <c r="AL993" s="52"/>
      <c r="AM993" s="52"/>
      <c r="AN993" s="52"/>
    </row>
    <row r="994" spans="1:40" x14ac:dyDescent="0.3">
      <c r="A994" s="52">
        <v>989</v>
      </c>
      <c r="B994" s="52">
        <f>-bthan*500+(38+0.5)*bthan*1000/50</f>
        <v>1485</v>
      </c>
      <c r="C994" s="52">
        <f t="shared" si="143"/>
        <v>-409.99999999999994</v>
      </c>
      <c r="D994" s="52">
        <f t="shared" si="141"/>
        <v>2200</v>
      </c>
      <c r="E994" s="52">
        <f t="shared" si="142"/>
        <v>1</v>
      </c>
      <c r="F994" s="52"/>
      <c r="G994" s="52"/>
      <c r="H994" s="52"/>
      <c r="I994" s="52"/>
      <c r="J994" s="52"/>
      <c r="K994" s="52"/>
      <c r="L994" s="52"/>
      <c r="M994" s="52"/>
      <c r="N994" s="52"/>
      <c r="O994" s="52"/>
      <c r="P994" s="52"/>
      <c r="Q994" s="52"/>
      <c r="R994" s="52"/>
      <c r="S994" s="52"/>
      <c r="T994" s="52"/>
      <c r="U994" s="52"/>
      <c r="V994" s="52"/>
      <c r="W994" s="52"/>
      <c r="X994" s="52"/>
      <c r="Y994" s="52"/>
      <c r="Z994" s="52"/>
      <c r="AA994" s="52"/>
      <c r="AB994" s="52"/>
      <c r="AC994" s="52"/>
      <c r="AD994" s="52"/>
      <c r="AE994" s="52"/>
      <c r="AF994" s="52"/>
      <c r="AG994" s="52"/>
      <c r="AH994" s="52"/>
      <c r="AI994" s="52"/>
      <c r="AJ994" s="52"/>
      <c r="AK994" s="52"/>
      <c r="AL994" s="52"/>
      <c r="AM994" s="52"/>
      <c r="AN994" s="52"/>
    </row>
    <row r="995" spans="1:40" x14ac:dyDescent="0.3">
      <c r="A995" s="52">
        <v>990</v>
      </c>
      <c r="B995" s="52">
        <f>-bthan*500+(39+0.5)*bthan*1000/50</f>
        <v>1595</v>
      </c>
      <c r="C995" s="52">
        <f t="shared" si="143"/>
        <v>-409.99999999999994</v>
      </c>
      <c r="D995" s="52">
        <f t="shared" si="141"/>
        <v>2200</v>
      </c>
      <c r="E995" s="52">
        <f t="shared" si="142"/>
        <v>1</v>
      </c>
      <c r="F995" s="52"/>
      <c r="G995" s="52"/>
      <c r="H995" s="52"/>
      <c r="I995" s="52"/>
      <c r="J995" s="52"/>
      <c r="K995" s="52"/>
      <c r="L995" s="52"/>
      <c r="M995" s="52"/>
      <c r="N995" s="52"/>
      <c r="O995" s="52"/>
      <c r="P995" s="52"/>
      <c r="Q995" s="52"/>
      <c r="R995" s="52"/>
      <c r="S995" s="52"/>
      <c r="T995" s="52"/>
      <c r="U995" s="52"/>
      <c r="V995" s="52"/>
      <c r="W995" s="52"/>
      <c r="X995" s="52"/>
      <c r="Y995" s="52"/>
      <c r="Z995" s="52"/>
      <c r="AA995" s="52"/>
      <c r="AB995" s="52"/>
      <c r="AC995" s="52"/>
      <c r="AD995" s="52"/>
      <c r="AE995" s="52"/>
      <c r="AF995" s="52"/>
      <c r="AG995" s="52"/>
      <c r="AH995" s="52"/>
      <c r="AI995" s="52"/>
      <c r="AJ995" s="52"/>
      <c r="AK995" s="52"/>
      <c r="AL995" s="52"/>
      <c r="AM995" s="52"/>
      <c r="AN995" s="52"/>
    </row>
    <row r="996" spans="1:40" x14ac:dyDescent="0.3">
      <c r="A996" s="52">
        <v>991</v>
      </c>
      <c r="B996" s="52">
        <f>-bthan*500+(40+0.5)*bthan*1000/50</f>
        <v>1705</v>
      </c>
      <c r="C996" s="52">
        <f t="shared" si="143"/>
        <v>-409.99999999999994</v>
      </c>
      <c r="D996" s="52">
        <f t="shared" si="141"/>
        <v>2200</v>
      </c>
      <c r="E996" s="52">
        <f t="shared" si="142"/>
        <v>1</v>
      </c>
      <c r="F996" s="52"/>
      <c r="G996" s="52"/>
      <c r="H996" s="52"/>
      <c r="I996" s="52"/>
      <c r="J996" s="52"/>
      <c r="K996" s="52"/>
      <c r="L996" s="52"/>
      <c r="M996" s="52"/>
      <c r="N996" s="52"/>
      <c r="O996" s="52"/>
      <c r="P996" s="52"/>
      <c r="Q996" s="52"/>
      <c r="R996" s="52"/>
      <c r="S996" s="52"/>
      <c r="T996" s="52"/>
      <c r="U996" s="52"/>
      <c r="V996" s="52"/>
      <c r="W996" s="52"/>
      <c r="X996" s="52"/>
      <c r="Y996" s="52"/>
      <c r="Z996" s="52"/>
      <c r="AA996" s="52"/>
      <c r="AB996" s="52"/>
      <c r="AC996" s="52"/>
      <c r="AD996" s="52"/>
      <c r="AE996" s="52"/>
      <c r="AF996" s="52"/>
      <c r="AG996" s="52"/>
      <c r="AH996" s="52"/>
      <c r="AI996" s="52"/>
      <c r="AJ996" s="52"/>
      <c r="AK996" s="52"/>
      <c r="AL996" s="52"/>
      <c r="AM996" s="52"/>
      <c r="AN996" s="52"/>
    </row>
    <row r="997" spans="1:40" x14ac:dyDescent="0.3">
      <c r="A997" s="52">
        <v>992</v>
      </c>
      <c r="B997" s="52">
        <f>-bthan*500+(41+0.5)*bthan*1000/50</f>
        <v>1815</v>
      </c>
      <c r="C997" s="52">
        <f t="shared" si="143"/>
        <v>-409.99999999999994</v>
      </c>
      <c r="D997" s="52">
        <f t="shared" si="141"/>
        <v>2200</v>
      </c>
      <c r="E997" s="52">
        <f t="shared" si="142"/>
        <v>1</v>
      </c>
      <c r="F997" s="52"/>
      <c r="G997" s="52"/>
      <c r="H997" s="52"/>
      <c r="I997" s="52"/>
      <c r="J997" s="52"/>
      <c r="K997" s="52"/>
      <c r="L997" s="52"/>
      <c r="M997" s="52"/>
      <c r="N997" s="52"/>
      <c r="O997" s="52"/>
      <c r="P997" s="52"/>
      <c r="Q997" s="52"/>
      <c r="R997" s="52"/>
      <c r="S997" s="52"/>
      <c r="T997" s="52"/>
      <c r="U997" s="52"/>
      <c r="V997" s="52"/>
      <c r="W997" s="52"/>
      <c r="X997" s="52"/>
      <c r="Y997" s="52"/>
      <c r="Z997" s="52"/>
      <c r="AA997" s="52"/>
      <c r="AB997" s="52"/>
      <c r="AC997" s="52"/>
      <c r="AD997" s="52"/>
      <c r="AE997" s="52"/>
      <c r="AF997" s="52"/>
      <c r="AG997" s="52"/>
      <c r="AH997" s="52"/>
      <c r="AI997" s="52"/>
      <c r="AJ997" s="52"/>
      <c r="AK997" s="52"/>
      <c r="AL997" s="52"/>
      <c r="AM997" s="52"/>
      <c r="AN997" s="52"/>
    </row>
    <row r="998" spans="1:40" x14ac:dyDescent="0.3">
      <c r="A998" s="52">
        <v>993</v>
      </c>
      <c r="B998" s="52">
        <f>-bthan*500+(42+0.5)*bthan*1000/50</f>
        <v>1925</v>
      </c>
      <c r="C998" s="52">
        <f t="shared" si="143"/>
        <v>-409.99999999999994</v>
      </c>
      <c r="D998" s="52">
        <f t="shared" si="141"/>
        <v>2200</v>
      </c>
      <c r="E998" s="52">
        <f t="shared" si="142"/>
        <v>1</v>
      </c>
      <c r="F998" s="52"/>
      <c r="G998" s="52"/>
      <c r="H998" s="52"/>
      <c r="I998" s="52"/>
      <c r="J998" s="52"/>
      <c r="K998" s="52"/>
      <c r="L998" s="52"/>
      <c r="M998" s="52"/>
      <c r="N998" s="52"/>
      <c r="O998" s="52"/>
      <c r="P998" s="52"/>
      <c r="Q998" s="52"/>
      <c r="R998" s="52"/>
      <c r="S998" s="52"/>
      <c r="T998" s="52"/>
      <c r="U998" s="52"/>
      <c r="V998" s="52"/>
      <c r="W998" s="52"/>
      <c r="X998" s="52"/>
      <c r="Y998" s="52"/>
      <c r="Z998" s="52"/>
      <c r="AA998" s="52"/>
      <c r="AB998" s="52"/>
      <c r="AC998" s="52"/>
      <c r="AD998" s="52"/>
      <c r="AE998" s="52"/>
      <c r="AF998" s="52"/>
      <c r="AG998" s="52"/>
      <c r="AH998" s="52"/>
      <c r="AI998" s="52"/>
      <c r="AJ998" s="52"/>
      <c r="AK998" s="52"/>
      <c r="AL998" s="52"/>
      <c r="AM998" s="52"/>
      <c r="AN998" s="52"/>
    </row>
    <row r="999" spans="1:40" x14ac:dyDescent="0.3">
      <c r="A999" s="52">
        <v>994</v>
      </c>
      <c r="B999" s="52">
        <f>-bthan*500+(43+0.5)*bthan*1000/50</f>
        <v>2035</v>
      </c>
      <c r="C999" s="52">
        <f t="shared" si="143"/>
        <v>-409.99999999999994</v>
      </c>
      <c r="D999" s="52">
        <f t="shared" si="141"/>
        <v>2200</v>
      </c>
      <c r="E999" s="52">
        <f t="shared" si="142"/>
        <v>1</v>
      </c>
      <c r="F999" s="52"/>
      <c r="G999" s="52"/>
      <c r="H999" s="52"/>
      <c r="I999" s="52"/>
      <c r="J999" s="52"/>
      <c r="K999" s="52"/>
      <c r="L999" s="52"/>
      <c r="M999" s="52"/>
      <c r="N999" s="52"/>
      <c r="O999" s="52"/>
      <c r="P999" s="52"/>
      <c r="Q999" s="52"/>
      <c r="R999" s="52"/>
      <c r="S999" s="52"/>
      <c r="T999" s="52"/>
      <c r="U999" s="52"/>
      <c r="V999" s="52"/>
      <c r="W999" s="52"/>
      <c r="X999" s="52"/>
      <c r="Y999" s="52"/>
      <c r="Z999" s="52"/>
      <c r="AA999" s="52"/>
      <c r="AB999" s="52"/>
      <c r="AC999" s="52"/>
      <c r="AD999" s="52"/>
      <c r="AE999" s="52"/>
      <c r="AF999" s="52"/>
      <c r="AG999" s="52"/>
      <c r="AH999" s="52"/>
      <c r="AI999" s="52"/>
      <c r="AJ999" s="52"/>
      <c r="AK999" s="52"/>
      <c r="AL999" s="52"/>
      <c r="AM999" s="52"/>
      <c r="AN999" s="52"/>
    </row>
    <row r="1000" spans="1:40" x14ac:dyDescent="0.3">
      <c r="A1000" s="52">
        <v>995</v>
      </c>
      <c r="B1000" s="52">
        <f>-bthan*500+(44+0.5)*bthan*1000/50</f>
        <v>2145</v>
      </c>
      <c r="C1000" s="52">
        <f t="shared" si="143"/>
        <v>-409.99999999999994</v>
      </c>
      <c r="D1000" s="52">
        <f t="shared" si="141"/>
        <v>2200</v>
      </c>
      <c r="E1000" s="52">
        <f t="shared" si="142"/>
        <v>1</v>
      </c>
      <c r="F1000" s="52"/>
      <c r="G1000" s="52"/>
      <c r="H1000" s="52"/>
      <c r="I1000" s="52"/>
      <c r="J1000" s="52"/>
      <c r="K1000" s="52"/>
      <c r="L1000" s="52"/>
      <c r="M1000" s="52"/>
      <c r="N1000" s="52"/>
      <c r="O1000" s="52"/>
      <c r="P1000" s="52"/>
      <c r="Q1000" s="52"/>
      <c r="R1000" s="52"/>
      <c r="S1000" s="52"/>
      <c r="T1000" s="52"/>
      <c r="U1000" s="52"/>
      <c r="V1000" s="52"/>
      <c r="W1000" s="52"/>
      <c r="X1000" s="52"/>
      <c r="Y1000" s="52"/>
      <c r="Z1000" s="52"/>
      <c r="AA1000" s="52"/>
      <c r="AB1000" s="52"/>
      <c r="AC1000" s="52"/>
      <c r="AD1000" s="52"/>
      <c r="AE1000" s="52"/>
      <c r="AF1000" s="52"/>
      <c r="AG1000" s="52"/>
      <c r="AH1000" s="52"/>
      <c r="AI1000" s="52"/>
      <c r="AJ1000" s="52"/>
      <c r="AK1000" s="52"/>
      <c r="AL1000" s="52"/>
      <c r="AM1000" s="52"/>
      <c r="AN1000" s="52"/>
    </row>
    <row r="1001" spans="1:40" x14ac:dyDescent="0.3">
      <c r="A1001" s="52">
        <v>996</v>
      </c>
      <c r="B1001" s="52">
        <f>-bthan*500+(45+0.5)*bthan*1000/50</f>
        <v>2255</v>
      </c>
      <c r="C1001" s="52">
        <f t="shared" si="143"/>
        <v>-409.99999999999994</v>
      </c>
      <c r="D1001" s="52">
        <f t="shared" si="141"/>
        <v>2200</v>
      </c>
      <c r="E1001" s="52">
        <f t="shared" si="142"/>
        <v>1</v>
      </c>
      <c r="F1001" s="52"/>
      <c r="G1001" s="52"/>
      <c r="H1001" s="52"/>
      <c r="I1001" s="52"/>
      <c r="J1001" s="52"/>
      <c r="K1001" s="52"/>
      <c r="L1001" s="52"/>
      <c r="M1001" s="52"/>
      <c r="N1001" s="52"/>
      <c r="O1001" s="52"/>
      <c r="P1001" s="52"/>
      <c r="Q1001" s="52"/>
      <c r="R1001" s="52"/>
      <c r="S1001" s="52"/>
      <c r="T1001" s="52"/>
      <c r="U1001" s="52"/>
      <c r="V1001" s="52"/>
      <c r="W1001" s="52"/>
      <c r="X1001" s="52"/>
      <c r="Y1001" s="52"/>
      <c r="Z1001" s="52"/>
      <c r="AA1001" s="52"/>
      <c r="AB1001" s="52"/>
      <c r="AC1001" s="52"/>
      <c r="AD1001" s="52"/>
      <c r="AE1001" s="52"/>
      <c r="AF1001" s="52"/>
      <c r="AG1001" s="52"/>
      <c r="AH1001" s="52"/>
      <c r="AI1001" s="52"/>
      <c r="AJ1001" s="52"/>
      <c r="AK1001" s="52"/>
      <c r="AL1001" s="52"/>
      <c r="AM1001" s="52"/>
      <c r="AN1001" s="52"/>
    </row>
    <row r="1002" spans="1:40" x14ac:dyDescent="0.3">
      <c r="A1002" s="52">
        <v>997</v>
      </c>
      <c r="B1002" s="52">
        <f>-bthan*500+(46+0.5)*bthan*1000/50</f>
        <v>2365</v>
      </c>
      <c r="C1002" s="52">
        <f t="shared" si="143"/>
        <v>-409.99999999999994</v>
      </c>
      <c r="D1002" s="52">
        <f t="shared" si="141"/>
        <v>2200</v>
      </c>
      <c r="E1002" s="52">
        <f t="shared" si="142"/>
        <v>1</v>
      </c>
      <c r="F1002" s="52"/>
      <c r="G1002" s="52"/>
      <c r="H1002" s="52"/>
      <c r="I1002" s="52"/>
      <c r="J1002" s="52"/>
      <c r="K1002" s="52"/>
      <c r="L1002" s="52"/>
      <c r="M1002" s="52"/>
      <c r="N1002" s="52"/>
      <c r="O1002" s="52"/>
      <c r="P1002" s="52"/>
      <c r="Q1002" s="52"/>
      <c r="R1002" s="52"/>
      <c r="S1002" s="52"/>
      <c r="T1002" s="52"/>
      <c r="U1002" s="52"/>
      <c r="V1002" s="52"/>
      <c r="W1002" s="52"/>
      <c r="X1002" s="52"/>
      <c r="Y1002" s="52"/>
      <c r="Z1002" s="52"/>
      <c r="AA1002" s="52"/>
      <c r="AB1002" s="52"/>
      <c r="AC1002" s="52"/>
      <c r="AD1002" s="52"/>
      <c r="AE1002" s="52"/>
      <c r="AF1002" s="52"/>
      <c r="AG1002" s="52"/>
      <c r="AH1002" s="52"/>
      <c r="AI1002" s="52"/>
      <c r="AJ1002" s="52"/>
      <c r="AK1002" s="52"/>
      <c r="AL1002" s="52"/>
      <c r="AM1002" s="52"/>
      <c r="AN1002" s="52"/>
    </row>
    <row r="1003" spans="1:40" x14ac:dyDescent="0.3">
      <c r="A1003" s="52">
        <v>998</v>
      </c>
      <c r="B1003" s="52">
        <f>-bthan*500+(47+0.5)*bthan*1000/50</f>
        <v>2475</v>
      </c>
      <c r="C1003" s="52">
        <f t="shared" si="143"/>
        <v>-409.99999999999994</v>
      </c>
      <c r="D1003" s="52">
        <f t="shared" si="141"/>
        <v>2200</v>
      </c>
      <c r="E1003" s="52">
        <f t="shared" si="142"/>
        <v>1</v>
      </c>
      <c r="F1003" s="52"/>
      <c r="G1003" s="52"/>
      <c r="H1003" s="52"/>
      <c r="I1003" s="52"/>
      <c r="J1003" s="52"/>
      <c r="K1003" s="52"/>
      <c r="L1003" s="52"/>
      <c r="M1003" s="52"/>
      <c r="N1003" s="52"/>
      <c r="O1003" s="52"/>
      <c r="P1003" s="52"/>
      <c r="Q1003" s="52"/>
      <c r="R1003" s="52"/>
      <c r="S1003" s="52"/>
      <c r="T1003" s="52"/>
      <c r="U1003" s="52"/>
      <c r="V1003" s="52"/>
      <c r="W1003" s="52"/>
      <c r="X1003" s="52"/>
      <c r="Y1003" s="52"/>
      <c r="Z1003" s="52"/>
      <c r="AA1003" s="52"/>
      <c r="AB1003" s="52"/>
      <c r="AC1003" s="52"/>
      <c r="AD1003" s="52"/>
      <c r="AE1003" s="52"/>
      <c r="AF1003" s="52"/>
      <c r="AG1003" s="52"/>
      <c r="AH1003" s="52"/>
      <c r="AI1003" s="52"/>
      <c r="AJ1003" s="52"/>
      <c r="AK1003" s="52"/>
      <c r="AL1003" s="52"/>
      <c r="AM1003" s="52"/>
      <c r="AN1003" s="52"/>
    </row>
    <row r="1004" spans="1:40" x14ac:dyDescent="0.3">
      <c r="A1004" s="52">
        <v>999</v>
      </c>
      <c r="B1004" s="52">
        <f>-bthan*500+(48+0.5)*bthan*1000/50</f>
        <v>2585</v>
      </c>
      <c r="C1004" s="52">
        <f t="shared" si="143"/>
        <v>-409.99999999999994</v>
      </c>
      <c r="D1004" s="52">
        <f t="shared" si="141"/>
        <v>2200</v>
      </c>
      <c r="E1004" s="52">
        <f t="shared" si="142"/>
        <v>1</v>
      </c>
      <c r="F1004" s="52"/>
      <c r="G1004" s="52"/>
      <c r="H1004" s="52"/>
      <c r="I1004" s="52"/>
      <c r="J1004" s="52"/>
      <c r="K1004" s="52"/>
      <c r="L1004" s="52"/>
      <c r="M1004" s="52"/>
      <c r="N1004" s="52"/>
      <c r="O1004" s="52"/>
      <c r="P1004" s="52"/>
      <c r="Q1004" s="52"/>
      <c r="R1004" s="52"/>
      <c r="S1004" s="52"/>
      <c r="T1004" s="52"/>
      <c r="U1004" s="52"/>
      <c r="V1004" s="52"/>
      <c r="W1004" s="52"/>
      <c r="X1004" s="52"/>
      <c r="Y1004" s="52"/>
      <c r="Z1004" s="52"/>
      <c r="AA1004" s="52"/>
      <c r="AB1004" s="52"/>
      <c r="AC1004" s="52"/>
      <c r="AD1004" s="52"/>
      <c r="AE1004" s="52"/>
      <c r="AF1004" s="52"/>
      <c r="AG1004" s="52"/>
      <c r="AH1004" s="52"/>
      <c r="AI1004" s="52"/>
      <c r="AJ1004" s="52"/>
      <c r="AK1004" s="52"/>
      <c r="AL1004" s="52"/>
      <c r="AM1004" s="52"/>
      <c r="AN1004" s="52"/>
    </row>
    <row r="1005" spans="1:40" x14ac:dyDescent="0.3">
      <c r="A1005" s="52">
        <v>1000</v>
      </c>
      <c r="B1005" s="52">
        <f>-bthan*500+(49+0.5)*bthan*1000/50</f>
        <v>2695</v>
      </c>
      <c r="C1005" s="52">
        <f t="shared" si="143"/>
        <v>-409.99999999999994</v>
      </c>
      <c r="D1005" s="52">
        <f t="shared" si="141"/>
        <v>2200</v>
      </c>
      <c r="E1005" s="52">
        <f t="shared" si="142"/>
        <v>0</v>
      </c>
      <c r="F1005" s="52"/>
      <c r="G1005" s="52"/>
      <c r="H1005" s="52"/>
      <c r="I1005" s="52"/>
      <c r="J1005" s="52"/>
      <c r="K1005" s="52"/>
      <c r="L1005" s="52"/>
      <c r="M1005" s="52"/>
      <c r="N1005" s="52"/>
      <c r="O1005" s="52"/>
      <c r="P1005" s="52"/>
      <c r="Q1005" s="52"/>
      <c r="R1005" s="52"/>
      <c r="S1005" s="52"/>
      <c r="T1005" s="52"/>
      <c r="U1005" s="52"/>
      <c r="V1005" s="52"/>
      <c r="W1005" s="52"/>
      <c r="X1005" s="52"/>
      <c r="Y1005" s="52"/>
      <c r="Z1005" s="52"/>
      <c r="AA1005" s="52"/>
      <c r="AB1005" s="52"/>
      <c r="AC1005" s="52"/>
      <c r="AD1005" s="52"/>
      <c r="AE1005" s="52"/>
      <c r="AF1005" s="52"/>
      <c r="AG1005" s="52"/>
      <c r="AH1005" s="52"/>
      <c r="AI1005" s="52"/>
      <c r="AJ1005" s="52"/>
      <c r="AK1005" s="52"/>
      <c r="AL1005" s="52"/>
      <c r="AM1005" s="52"/>
      <c r="AN1005" s="52"/>
    </row>
    <row r="1006" spans="1:40" x14ac:dyDescent="0.3">
      <c r="A1006" s="52">
        <v>1001</v>
      </c>
      <c r="B1006" s="52">
        <f>-bthan*500+(0+0.5)*bthan*1000/50</f>
        <v>-2695</v>
      </c>
      <c r="C1006" s="52">
        <f t="shared" ref="C1006:C1037" si="144">-hthan*500+(20+0.5)*hthan*1000/80</f>
        <v>-389.99999999999989</v>
      </c>
      <c r="D1006" s="52">
        <f t="shared" si="141"/>
        <v>2200</v>
      </c>
      <c r="E1006" s="52">
        <f t="shared" si="142"/>
        <v>0</v>
      </c>
      <c r="F1006" s="52"/>
      <c r="G1006" s="52"/>
      <c r="H1006" s="52"/>
      <c r="I1006" s="52"/>
      <c r="J1006" s="52"/>
      <c r="K1006" s="52"/>
      <c r="L1006" s="52"/>
      <c r="M1006" s="52"/>
      <c r="N1006" s="52"/>
      <c r="O1006" s="52"/>
      <c r="P1006" s="52"/>
      <c r="Q1006" s="52"/>
      <c r="R1006" s="52"/>
      <c r="S1006" s="52"/>
      <c r="T1006" s="52"/>
      <c r="U1006" s="52"/>
      <c r="V1006" s="52"/>
      <c r="W1006" s="52"/>
      <c r="X1006" s="52"/>
      <c r="Y1006" s="52"/>
      <c r="Z1006" s="52"/>
      <c r="AA1006" s="52"/>
      <c r="AB1006" s="52"/>
      <c r="AC1006" s="52"/>
      <c r="AD1006" s="52"/>
      <c r="AE1006" s="52"/>
      <c r="AF1006" s="52"/>
      <c r="AG1006" s="52"/>
      <c r="AH1006" s="52"/>
      <c r="AI1006" s="52"/>
      <c r="AJ1006" s="52"/>
      <c r="AK1006" s="52"/>
      <c r="AL1006" s="52"/>
      <c r="AM1006" s="52"/>
      <c r="AN1006" s="52"/>
    </row>
    <row r="1007" spans="1:40" x14ac:dyDescent="0.3">
      <c r="A1007" s="52">
        <v>1002</v>
      </c>
      <c r="B1007" s="52">
        <f>-bthan*500+(1+0.5)*bthan*1000/50</f>
        <v>-2585</v>
      </c>
      <c r="C1007" s="52">
        <f t="shared" si="144"/>
        <v>-389.99999999999989</v>
      </c>
      <c r="D1007" s="52">
        <f t="shared" si="141"/>
        <v>2200</v>
      </c>
      <c r="E1007" s="52">
        <f t="shared" si="142"/>
        <v>1</v>
      </c>
      <c r="F1007" s="52"/>
      <c r="G1007" s="52"/>
      <c r="H1007" s="52"/>
      <c r="I1007" s="52"/>
      <c r="J1007" s="52"/>
      <c r="K1007" s="52"/>
      <c r="L1007" s="52"/>
      <c r="M1007" s="52"/>
      <c r="N1007" s="52"/>
      <c r="O1007" s="52"/>
      <c r="P1007" s="52"/>
      <c r="Q1007" s="52"/>
      <c r="R1007" s="52"/>
      <c r="S1007" s="52"/>
      <c r="T1007" s="52"/>
      <c r="U1007" s="52"/>
      <c r="V1007" s="52"/>
      <c r="W1007" s="52"/>
      <c r="X1007" s="52"/>
      <c r="Y1007" s="52"/>
      <c r="Z1007" s="52"/>
      <c r="AA1007" s="52"/>
      <c r="AB1007" s="52"/>
      <c r="AC1007" s="52"/>
      <c r="AD1007" s="52"/>
      <c r="AE1007" s="52"/>
      <c r="AF1007" s="52"/>
      <c r="AG1007" s="52"/>
      <c r="AH1007" s="52"/>
      <c r="AI1007" s="52"/>
      <c r="AJ1007" s="52"/>
      <c r="AK1007" s="52"/>
      <c r="AL1007" s="52"/>
      <c r="AM1007" s="52"/>
      <c r="AN1007" s="52"/>
    </row>
    <row r="1008" spans="1:40" x14ac:dyDescent="0.3">
      <c r="A1008" s="52">
        <v>1003</v>
      </c>
      <c r="B1008" s="52">
        <f>-bthan*500+(2+0.5)*bthan*1000/50</f>
        <v>-2475</v>
      </c>
      <c r="C1008" s="52">
        <f t="shared" si="144"/>
        <v>-389.99999999999989</v>
      </c>
      <c r="D1008" s="52">
        <f t="shared" si="141"/>
        <v>2200</v>
      </c>
      <c r="E1008" s="52">
        <f t="shared" si="142"/>
        <v>1</v>
      </c>
      <c r="F1008" s="52"/>
      <c r="G1008" s="52"/>
      <c r="H1008" s="52"/>
      <c r="I1008" s="52"/>
      <c r="J1008" s="52"/>
      <c r="K1008" s="52"/>
      <c r="L1008" s="52"/>
      <c r="M1008" s="52"/>
      <c r="N1008" s="52"/>
      <c r="O1008" s="52"/>
      <c r="P1008" s="52"/>
      <c r="Q1008" s="52"/>
      <c r="R1008" s="52"/>
      <c r="S1008" s="52"/>
      <c r="T1008" s="52"/>
      <c r="U1008" s="52"/>
      <c r="V1008" s="52"/>
      <c r="W1008" s="52"/>
      <c r="X1008" s="52"/>
      <c r="Y1008" s="52"/>
      <c r="Z1008" s="52"/>
      <c r="AA1008" s="52"/>
      <c r="AB1008" s="52"/>
      <c r="AC1008" s="52"/>
      <c r="AD1008" s="52"/>
      <c r="AE1008" s="52"/>
      <c r="AF1008" s="52"/>
      <c r="AG1008" s="52"/>
      <c r="AH1008" s="52"/>
      <c r="AI1008" s="52"/>
      <c r="AJ1008" s="52"/>
      <c r="AK1008" s="52"/>
      <c r="AL1008" s="52"/>
      <c r="AM1008" s="52"/>
      <c r="AN1008" s="52"/>
    </row>
    <row r="1009" spans="1:40" x14ac:dyDescent="0.3">
      <c r="A1009" s="52">
        <v>1004</v>
      </c>
      <c r="B1009" s="52">
        <f>-bthan*500+(3+0.5)*bthan*1000/50</f>
        <v>-2365</v>
      </c>
      <c r="C1009" s="52">
        <f t="shared" si="144"/>
        <v>-389.99999999999989</v>
      </c>
      <c r="D1009" s="52">
        <f t="shared" si="141"/>
        <v>2200</v>
      </c>
      <c r="E1009" s="52">
        <f t="shared" si="142"/>
        <v>1</v>
      </c>
      <c r="F1009" s="52"/>
      <c r="G1009" s="52"/>
      <c r="H1009" s="52"/>
      <c r="I1009" s="52"/>
      <c r="J1009" s="52"/>
      <c r="K1009" s="52"/>
      <c r="L1009" s="52"/>
      <c r="M1009" s="52"/>
      <c r="N1009" s="52"/>
      <c r="O1009" s="52"/>
      <c r="P1009" s="52"/>
      <c r="Q1009" s="52"/>
      <c r="R1009" s="52"/>
      <c r="S1009" s="52"/>
      <c r="T1009" s="52"/>
      <c r="U1009" s="52"/>
      <c r="V1009" s="52"/>
      <c r="W1009" s="52"/>
      <c r="X1009" s="52"/>
      <c r="Y1009" s="52"/>
      <c r="Z1009" s="52"/>
      <c r="AA1009" s="52"/>
      <c r="AB1009" s="52"/>
      <c r="AC1009" s="52"/>
      <c r="AD1009" s="52"/>
      <c r="AE1009" s="52"/>
      <c r="AF1009" s="52"/>
      <c r="AG1009" s="52"/>
      <c r="AH1009" s="52"/>
      <c r="AI1009" s="52"/>
      <c r="AJ1009" s="52"/>
      <c r="AK1009" s="52"/>
      <c r="AL1009" s="52"/>
      <c r="AM1009" s="52"/>
      <c r="AN1009" s="52"/>
    </row>
    <row r="1010" spans="1:40" x14ac:dyDescent="0.3">
      <c r="A1010" s="52">
        <v>1005</v>
      </c>
      <c r="B1010" s="52">
        <f>-bthan*500+(4+0.5)*bthan*1000/50</f>
        <v>-2255</v>
      </c>
      <c r="C1010" s="52">
        <f t="shared" si="144"/>
        <v>-389.99999999999989</v>
      </c>
      <c r="D1010" s="52">
        <f t="shared" si="141"/>
        <v>2200</v>
      </c>
      <c r="E1010" s="52">
        <f t="shared" si="142"/>
        <v>1</v>
      </c>
      <c r="F1010" s="52"/>
      <c r="G1010" s="52"/>
      <c r="H1010" s="52"/>
      <c r="I1010" s="52"/>
      <c r="J1010" s="52"/>
      <c r="K1010" s="52"/>
      <c r="L1010" s="52"/>
      <c r="M1010" s="52"/>
      <c r="N1010" s="52"/>
      <c r="O1010" s="52"/>
      <c r="P1010" s="52"/>
      <c r="Q1010" s="52"/>
      <c r="R1010" s="52"/>
      <c r="S1010" s="52"/>
      <c r="T1010" s="52"/>
      <c r="U1010" s="52"/>
      <c r="V1010" s="52"/>
      <c r="W1010" s="52"/>
      <c r="X1010" s="52"/>
      <c r="Y1010" s="52"/>
      <c r="Z1010" s="52"/>
      <c r="AA1010" s="52"/>
      <c r="AB1010" s="52"/>
      <c r="AC1010" s="52"/>
      <c r="AD1010" s="52"/>
      <c r="AE1010" s="52"/>
      <c r="AF1010" s="52"/>
      <c r="AG1010" s="52"/>
      <c r="AH1010" s="52"/>
      <c r="AI1010" s="52"/>
      <c r="AJ1010" s="52"/>
      <c r="AK1010" s="52"/>
      <c r="AL1010" s="52"/>
      <c r="AM1010" s="52"/>
      <c r="AN1010" s="52"/>
    </row>
    <row r="1011" spans="1:40" x14ac:dyDescent="0.3">
      <c r="A1011" s="52">
        <v>1006</v>
      </c>
      <c r="B1011" s="52">
        <f>-bthan*500+(5+0.5)*bthan*1000/50</f>
        <v>-2145</v>
      </c>
      <c r="C1011" s="52">
        <f t="shared" si="144"/>
        <v>-389.99999999999989</v>
      </c>
      <c r="D1011" s="52">
        <f t="shared" si="141"/>
        <v>2200</v>
      </c>
      <c r="E1011" s="52">
        <f t="shared" si="142"/>
        <v>1</v>
      </c>
      <c r="F1011" s="52"/>
      <c r="G1011" s="52"/>
      <c r="H1011" s="52"/>
      <c r="I1011" s="52"/>
      <c r="J1011" s="52"/>
      <c r="K1011" s="52"/>
      <c r="L1011" s="52"/>
      <c r="M1011" s="52"/>
      <c r="N1011" s="52"/>
      <c r="O1011" s="52"/>
      <c r="P1011" s="52"/>
      <c r="Q1011" s="52"/>
      <c r="R1011" s="52"/>
      <c r="S1011" s="52"/>
      <c r="T1011" s="52"/>
      <c r="U1011" s="52"/>
      <c r="V1011" s="52"/>
      <c r="W1011" s="52"/>
      <c r="X1011" s="52"/>
      <c r="Y1011" s="52"/>
      <c r="Z1011" s="52"/>
      <c r="AA1011" s="52"/>
      <c r="AB1011" s="52"/>
      <c r="AC1011" s="52"/>
      <c r="AD1011" s="52"/>
      <c r="AE1011" s="52"/>
      <c r="AF1011" s="52"/>
      <c r="AG1011" s="52"/>
      <c r="AH1011" s="52"/>
      <c r="AI1011" s="52"/>
      <c r="AJ1011" s="52"/>
      <c r="AK1011" s="52"/>
      <c r="AL1011" s="52"/>
      <c r="AM1011" s="52"/>
      <c r="AN1011" s="52"/>
    </row>
    <row r="1012" spans="1:40" x14ac:dyDescent="0.3">
      <c r="A1012" s="52">
        <v>1007</v>
      </c>
      <c r="B1012" s="52">
        <f>-bthan*500+(6+0.5)*bthan*1000/50</f>
        <v>-2035</v>
      </c>
      <c r="C1012" s="52">
        <f t="shared" si="144"/>
        <v>-389.99999999999989</v>
      </c>
      <c r="D1012" s="52">
        <f t="shared" si="141"/>
        <v>2200</v>
      </c>
      <c r="E1012" s="52">
        <f t="shared" si="142"/>
        <v>1</v>
      </c>
      <c r="F1012" s="52"/>
      <c r="G1012" s="52"/>
      <c r="H1012" s="52"/>
      <c r="I1012" s="52"/>
      <c r="J1012" s="52"/>
      <c r="K1012" s="52"/>
      <c r="L1012" s="52"/>
      <c r="M1012" s="52"/>
      <c r="N1012" s="52"/>
      <c r="O1012" s="52"/>
      <c r="P1012" s="52"/>
      <c r="Q1012" s="52"/>
      <c r="R1012" s="52"/>
      <c r="S1012" s="52"/>
      <c r="T1012" s="52"/>
      <c r="U1012" s="52"/>
      <c r="V1012" s="52"/>
      <c r="W1012" s="52"/>
      <c r="X1012" s="52"/>
      <c r="Y1012" s="52"/>
      <c r="Z1012" s="52"/>
      <c r="AA1012" s="52"/>
      <c r="AB1012" s="52"/>
      <c r="AC1012" s="52"/>
      <c r="AD1012" s="52"/>
      <c r="AE1012" s="52"/>
      <c r="AF1012" s="52"/>
      <c r="AG1012" s="52"/>
      <c r="AH1012" s="52"/>
      <c r="AI1012" s="52"/>
      <c r="AJ1012" s="52"/>
      <c r="AK1012" s="52"/>
      <c r="AL1012" s="52"/>
      <c r="AM1012" s="52"/>
      <c r="AN1012" s="52"/>
    </row>
    <row r="1013" spans="1:40" x14ac:dyDescent="0.3">
      <c r="A1013" s="52">
        <v>1008</v>
      </c>
      <c r="B1013" s="52">
        <f>-bthan*500+(7+0.5)*bthan*1000/50</f>
        <v>-1925</v>
      </c>
      <c r="C1013" s="52">
        <f t="shared" si="144"/>
        <v>-389.99999999999989</v>
      </c>
      <c r="D1013" s="52">
        <f t="shared" si="141"/>
        <v>2200</v>
      </c>
      <c r="E1013" s="52">
        <f t="shared" si="142"/>
        <v>1</v>
      </c>
      <c r="F1013" s="52"/>
      <c r="G1013" s="52"/>
      <c r="H1013" s="52"/>
      <c r="I1013" s="52"/>
      <c r="J1013" s="52"/>
      <c r="K1013" s="52"/>
      <c r="L1013" s="52"/>
      <c r="M1013" s="52"/>
      <c r="N1013" s="52"/>
      <c r="O1013" s="52"/>
      <c r="P1013" s="52"/>
      <c r="Q1013" s="52"/>
      <c r="R1013" s="52"/>
      <c r="S1013" s="52"/>
      <c r="T1013" s="52"/>
      <c r="U1013" s="52"/>
      <c r="V1013" s="52"/>
      <c r="W1013" s="52"/>
      <c r="X1013" s="52"/>
      <c r="Y1013" s="52"/>
      <c r="Z1013" s="52"/>
      <c r="AA1013" s="52"/>
      <c r="AB1013" s="52"/>
      <c r="AC1013" s="52"/>
      <c r="AD1013" s="52"/>
      <c r="AE1013" s="52"/>
      <c r="AF1013" s="52"/>
      <c r="AG1013" s="52"/>
      <c r="AH1013" s="52"/>
      <c r="AI1013" s="52"/>
      <c r="AJ1013" s="52"/>
      <c r="AK1013" s="52"/>
      <c r="AL1013" s="52"/>
      <c r="AM1013" s="52"/>
      <c r="AN1013" s="52"/>
    </row>
    <row r="1014" spans="1:40" x14ac:dyDescent="0.3">
      <c r="A1014" s="52">
        <v>1009</v>
      </c>
      <c r="B1014" s="52">
        <f>-bthan*500+(8+0.5)*bthan*1000/50</f>
        <v>-1815</v>
      </c>
      <c r="C1014" s="52">
        <f t="shared" si="144"/>
        <v>-389.99999999999989</v>
      </c>
      <c r="D1014" s="52">
        <f t="shared" si="141"/>
        <v>2200</v>
      </c>
      <c r="E1014" s="52">
        <f t="shared" si="142"/>
        <v>1</v>
      </c>
      <c r="F1014" s="52"/>
      <c r="G1014" s="52"/>
      <c r="H1014" s="52"/>
      <c r="I1014" s="52"/>
      <c r="J1014" s="52"/>
      <c r="K1014" s="52"/>
      <c r="L1014" s="52"/>
      <c r="M1014" s="52"/>
      <c r="N1014" s="52"/>
      <c r="O1014" s="52"/>
      <c r="P1014" s="52"/>
      <c r="Q1014" s="52"/>
      <c r="R1014" s="52"/>
      <c r="S1014" s="52"/>
      <c r="T1014" s="52"/>
      <c r="U1014" s="52"/>
      <c r="V1014" s="52"/>
      <c r="W1014" s="52"/>
      <c r="X1014" s="52"/>
      <c r="Y1014" s="52"/>
      <c r="Z1014" s="52"/>
      <c r="AA1014" s="52"/>
      <c r="AB1014" s="52"/>
      <c r="AC1014" s="52"/>
      <c r="AD1014" s="52"/>
      <c r="AE1014" s="52"/>
      <c r="AF1014" s="52"/>
      <c r="AG1014" s="52"/>
      <c r="AH1014" s="52"/>
      <c r="AI1014" s="52"/>
      <c r="AJ1014" s="52"/>
      <c r="AK1014" s="52"/>
      <c r="AL1014" s="52"/>
      <c r="AM1014" s="52"/>
      <c r="AN1014" s="52"/>
    </row>
    <row r="1015" spans="1:40" x14ac:dyDescent="0.3">
      <c r="A1015" s="52">
        <v>1010</v>
      </c>
      <c r="B1015" s="52">
        <f>-bthan*500+(9+0.5)*bthan*1000/50</f>
        <v>-1705</v>
      </c>
      <c r="C1015" s="52">
        <f t="shared" si="144"/>
        <v>-389.99999999999989</v>
      </c>
      <c r="D1015" s="52">
        <f t="shared" si="141"/>
        <v>2200</v>
      </c>
      <c r="E1015" s="52">
        <f t="shared" si="142"/>
        <v>1</v>
      </c>
      <c r="F1015" s="52"/>
      <c r="G1015" s="52"/>
      <c r="H1015" s="52"/>
      <c r="I1015" s="52"/>
      <c r="J1015" s="52"/>
      <c r="K1015" s="52"/>
      <c r="L1015" s="52"/>
      <c r="M1015" s="52"/>
      <c r="N1015" s="52"/>
      <c r="O1015" s="52"/>
      <c r="P1015" s="52"/>
      <c r="Q1015" s="52"/>
      <c r="R1015" s="52"/>
      <c r="S1015" s="52"/>
      <c r="T1015" s="52"/>
      <c r="U1015" s="52"/>
      <c r="V1015" s="52"/>
      <c r="W1015" s="52"/>
      <c r="X1015" s="52"/>
      <c r="Y1015" s="52"/>
      <c r="Z1015" s="52"/>
      <c r="AA1015" s="52"/>
      <c r="AB1015" s="52"/>
      <c r="AC1015" s="52"/>
      <c r="AD1015" s="52"/>
      <c r="AE1015" s="52"/>
      <c r="AF1015" s="52"/>
      <c r="AG1015" s="52"/>
      <c r="AH1015" s="52"/>
      <c r="AI1015" s="52"/>
      <c r="AJ1015" s="52"/>
      <c r="AK1015" s="52"/>
      <c r="AL1015" s="52"/>
      <c r="AM1015" s="52"/>
      <c r="AN1015" s="52"/>
    </row>
    <row r="1016" spans="1:40" x14ac:dyDescent="0.3">
      <c r="A1016" s="52">
        <v>1011</v>
      </c>
      <c r="B1016" s="52">
        <f>-bthan*500+(10+0.5)*bthan*1000/50</f>
        <v>-1595</v>
      </c>
      <c r="C1016" s="52">
        <f t="shared" si="144"/>
        <v>-389.99999999999989</v>
      </c>
      <c r="D1016" s="52">
        <f t="shared" si="141"/>
        <v>2200</v>
      </c>
      <c r="E1016" s="52">
        <f t="shared" si="142"/>
        <v>1</v>
      </c>
      <c r="F1016" s="52"/>
      <c r="G1016" s="52"/>
      <c r="H1016" s="52"/>
      <c r="I1016" s="52"/>
      <c r="J1016" s="52"/>
      <c r="K1016" s="52"/>
      <c r="L1016" s="52"/>
      <c r="M1016" s="52"/>
      <c r="N1016" s="52"/>
      <c r="O1016" s="52"/>
      <c r="P1016" s="52"/>
      <c r="Q1016" s="52"/>
      <c r="R1016" s="52"/>
      <c r="S1016" s="52"/>
      <c r="T1016" s="52"/>
      <c r="U1016" s="52"/>
      <c r="V1016" s="52"/>
      <c r="W1016" s="52"/>
      <c r="X1016" s="52"/>
      <c r="Y1016" s="52"/>
      <c r="Z1016" s="52"/>
      <c r="AA1016" s="52"/>
      <c r="AB1016" s="52"/>
      <c r="AC1016" s="52"/>
      <c r="AD1016" s="52"/>
      <c r="AE1016" s="52"/>
      <c r="AF1016" s="52"/>
      <c r="AG1016" s="52"/>
      <c r="AH1016" s="52"/>
      <c r="AI1016" s="52"/>
      <c r="AJ1016" s="52"/>
      <c r="AK1016" s="52"/>
      <c r="AL1016" s="52"/>
      <c r="AM1016" s="52"/>
      <c r="AN1016" s="52"/>
    </row>
    <row r="1017" spans="1:40" x14ac:dyDescent="0.3">
      <c r="A1017" s="52">
        <v>1012</v>
      </c>
      <c r="B1017" s="52">
        <f>-bthan*500+(11+0.5)*bthan*1000/50</f>
        <v>-1485</v>
      </c>
      <c r="C1017" s="52">
        <f t="shared" si="144"/>
        <v>-389.99999999999989</v>
      </c>
      <c r="D1017" s="52">
        <f t="shared" si="141"/>
        <v>2200</v>
      </c>
      <c r="E1017" s="52">
        <f t="shared" si="142"/>
        <v>1</v>
      </c>
      <c r="F1017" s="52"/>
      <c r="G1017" s="52"/>
      <c r="H1017" s="52"/>
      <c r="I1017" s="52"/>
      <c r="J1017" s="52"/>
      <c r="K1017" s="52"/>
      <c r="L1017" s="52"/>
      <c r="M1017" s="52"/>
      <c r="N1017" s="52"/>
      <c r="O1017" s="52"/>
      <c r="P1017" s="52"/>
      <c r="Q1017" s="52"/>
      <c r="R1017" s="52"/>
      <c r="S1017" s="52"/>
      <c r="T1017" s="52"/>
      <c r="U1017" s="52"/>
      <c r="V1017" s="52"/>
      <c r="W1017" s="52"/>
      <c r="X1017" s="52"/>
      <c r="Y1017" s="52"/>
      <c r="Z1017" s="52"/>
      <c r="AA1017" s="52"/>
      <c r="AB1017" s="52"/>
      <c r="AC1017" s="52"/>
      <c r="AD1017" s="52"/>
      <c r="AE1017" s="52"/>
      <c r="AF1017" s="52"/>
      <c r="AG1017" s="52"/>
      <c r="AH1017" s="52"/>
      <c r="AI1017" s="52"/>
      <c r="AJ1017" s="52"/>
      <c r="AK1017" s="52"/>
      <c r="AL1017" s="52"/>
      <c r="AM1017" s="52"/>
      <c r="AN1017" s="52"/>
    </row>
    <row r="1018" spans="1:40" x14ac:dyDescent="0.3">
      <c r="A1018" s="52">
        <v>1013</v>
      </c>
      <c r="B1018" s="52">
        <f>-bthan*500+(12+0.5)*bthan*1000/50</f>
        <v>-1375</v>
      </c>
      <c r="C1018" s="52">
        <f t="shared" si="144"/>
        <v>-389.99999999999989</v>
      </c>
      <c r="D1018" s="52">
        <f t="shared" si="141"/>
        <v>2200</v>
      </c>
      <c r="E1018" s="52">
        <f t="shared" si="142"/>
        <v>1</v>
      </c>
      <c r="F1018" s="52"/>
      <c r="G1018" s="52"/>
      <c r="H1018" s="52"/>
      <c r="I1018" s="52"/>
      <c r="J1018" s="52"/>
      <c r="K1018" s="52"/>
      <c r="L1018" s="52"/>
      <c r="M1018" s="52"/>
      <c r="N1018" s="52"/>
      <c r="O1018" s="52"/>
      <c r="P1018" s="52"/>
      <c r="Q1018" s="52"/>
      <c r="R1018" s="52"/>
      <c r="S1018" s="52"/>
      <c r="T1018" s="52"/>
      <c r="U1018" s="52"/>
      <c r="V1018" s="52"/>
      <c r="W1018" s="52"/>
      <c r="X1018" s="52"/>
      <c r="Y1018" s="52"/>
      <c r="Z1018" s="52"/>
      <c r="AA1018" s="52"/>
      <c r="AB1018" s="52"/>
      <c r="AC1018" s="52"/>
      <c r="AD1018" s="52"/>
      <c r="AE1018" s="52"/>
      <c r="AF1018" s="52"/>
      <c r="AG1018" s="52"/>
      <c r="AH1018" s="52"/>
      <c r="AI1018" s="52"/>
      <c r="AJ1018" s="52"/>
      <c r="AK1018" s="52"/>
      <c r="AL1018" s="52"/>
      <c r="AM1018" s="52"/>
      <c r="AN1018" s="52"/>
    </row>
    <row r="1019" spans="1:40" x14ac:dyDescent="0.3">
      <c r="A1019" s="52">
        <v>1014</v>
      </c>
      <c r="B1019" s="52">
        <f>-bthan*500+(13+0.5)*bthan*1000/50</f>
        <v>-1265</v>
      </c>
      <c r="C1019" s="52">
        <f t="shared" si="144"/>
        <v>-389.99999999999989</v>
      </c>
      <c r="D1019" s="52">
        <f t="shared" si="141"/>
        <v>2200</v>
      </c>
      <c r="E1019" s="52">
        <f t="shared" si="142"/>
        <v>1</v>
      </c>
      <c r="F1019" s="52"/>
      <c r="G1019" s="52"/>
      <c r="H1019" s="52"/>
      <c r="I1019" s="52"/>
      <c r="J1019" s="52"/>
      <c r="K1019" s="52"/>
      <c r="L1019" s="52"/>
      <c r="M1019" s="52"/>
      <c r="N1019" s="52"/>
      <c r="O1019" s="52"/>
      <c r="P1019" s="52"/>
      <c r="Q1019" s="52"/>
      <c r="R1019" s="52"/>
      <c r="S1019" s="52"/>
      <c r="T1019" s="52"/>
      <c r="U1019" s="52"/>
      <c r="V1019" s="52"/>
      <c r="W1019" s="52"/>
      <c r="X1019" s="52"/>
      <c r="Y1019" s="52"/>
      <c r="Z1019" s="52"/>
      <c r="AA1019" s="52"/>
      <c r="AB1019" s="52"/>
      <c r="AC1019" s="52"/>
      <c r="AD1019" s="52"/>
      <c r="AE1019" s="52"/>
      <c r="AF1019" s="52"/>
      <c r="AG1019" s="52"/>
      <c r="AH1019" s="52"/>
      <c r="AI1019" s="52"/>
      <c r="AJ1019" s="52"/>
      <c r="AK1019" s="52"/>
      <c r="AL1019" s="52"/>
      <c r="AM1019" s="52"/>
      <c r="AN1019" s="52"/>
    </row>
    <row r="1020" spans="1:40" x14ac:dyDescent="0.3">
      <c r="A1020" s="52">
        <v>1015</v>
      </c>
      <c r="B1020" s="52">
        <f>-bthan*500+(14+0.5)*bthan*1000/50</f>
        <v>-1155</v>
      </c>
      <c r="C1020" s="52">
        <f t="shared" si="144"/>
        <v>-389.99999999999989</v>
      </c>
      <c r="D1020" s="52">
        <f t="shared" si="141"/>
        <v>2200</v>
      </c>
      <c r="E1020" s="52">
        <f t="shared" si="142"/>
        <v>1</v>
      </c>
      <c r="F1020" s="52"/>
      <c r="G1020" s="52"/>
      <c r="H1020" s="52"/>
      <c r="I1020" s="52"/>
      <c r="J1020" s="52"/>
      <c r="K1020" s="52"/>
      <c r="L1020" s="52"/>
      <c r="M1020" s="52"/>
      <c r="N1020" s="52"/>
      <c r="O1020" s="52"/>
      <c r="P1020" s="52"/>
      <c r="Q1020" s="52"/>
      <c r="R1020" s="52"/>
      <c r="S1020" s="52"/>
      <c r="T1020" s="52"/>
      <c r="U1020" s="52"/>
      <c r="V1020" s="52"/>
      <c r="W1020" s="52"/>
      <c r="X1020" s="52"/>
      <c r="Y1020" s="52"/>
      <c r="Z1020" s="52"/>
      <c r="AA1020" s="52"/>
      <c r="AB1020" s="52"/>
      <c r="AC1020" s="52"/>
      <c r="AD1020" s="52"/>
      <c r="AE1020" s="52"/>
      <c r="AF1020" s="52"/>
      <c r="AG1020" s="52"/>
      <c r="AH1020" s="52"/>
      <c r="AI1020" s="52"/>
      <c r="AJ1020" s="52"/>
      <c r="AK1020" s="52"/>
      <c r="AL1020" s="52"/>
      <c r="AM1020" s="52"/>
      <c r="AN1020" s="52"/>
    </row>
    <row r="1021" spans="1:40" x14ac:dyDescent="0.3">
      <c r="A1021" s="52">
        <v>1016</v>
      </c>
      <c r="B1021" s="52">
        <f>-bthan*500+(15+0.5)*bthan*1000/50</f>
        <v>-1045</v>
      </c>
      <c r="C1021" s="52">
        <f t="shared" si="144"/>
        <v>-389.99999999999989</v>
      </c>
      <c r="D1021" s="52">
        <f t="shared" si="141"/>
        <v>2200</v>
      </c>
      <c r="E1021" s="52">
        <f t="shared" si="142"/>
        <v>1</v>
      </c>
      <c r="F1021" s="52"/>
      <c r="G1021" s="52"/>
      <c r="H1021" s="52"/>
      <c r="I1021" s="52"/>
      <c r="J1021" s="52"/>
      <c r="K1021" s="52"/>
      <c r="L1021" s="52"/>
      <c r="M1021" s="52"/>
      <c r="N1021" s="52"/>
      <c r="O1021" s="52"/>
      <c r="P1021" s="52"/>
      <c r="Q1021" s="52"/>
      <c r="R1021" s="52"/>
      <c r="S1021" s="52"/>
      <c r="T1021" s="52"/>
      <c r="U1021" s="52"/>
      <c r="V1021" s="52"/>
      <c r="W1021" s="52"/>
      <c r="X1021" s="52"/>
      <c r="Y1021" s="52"/>
      <c r="Z1021" s="52"/>
      <c r="AA1021" s="52"/>
      <c r="AB1021" s="52"/>
      <c r="AC1021" s="52"/>
      <c r="AD1021" s="52"/>
      <c r="AE1021" s="52"/>
      <c r="AF1021" s="52"/>
      <c r="AG1021" s="52"/>
      <c r="AH1021" s="52"/>
      <c r="AI1021" s="52"/>
      <c r="AJ1021" s="52"/>
      <c r="AK1021" s="52"/>
      <c r="AL1021" s="52"/>
      <c r="AM1021" s="52"/>
      <c r="AN1021" s="52"/>
    </row>
    <row r="1022" spans="1:40" x14ac:dyDescent="0.3">
      <c r="A1022" s="52">
        <v>1017</v>
      </c>
      <c r="B1022" s="52">
        <f>-bthan*500+(16+0.5)*bthan*1000/50</f>
        <v>-935</v>
      </c>
      <c r="C1022" s="52">
        <f t="shared" si="144"/>
        <v>-389.99999999999989</v>
      </c>
      <c r="D1022" s="52">
        <f t="shared" si="141"/>
        <v>2200</v>
      </c>
      <c r="E1022" s="52">
        <f t="shared" si="142"/>
        <v>1</v>
      </c>
      <c r="F1022" s="52"/>
      <c r="G1022" s="52"/>
      <c r="H1022" s="52"/>
      <c r="I1022" s="52"/>
      <c r="J1022" s="52"/>
      <c r="K1022" s="52"/>
      <c r="L1022" s="52"/>
      <c r="M1022" s="52"/>
      <c r="N1022" s="52"/>
      <c r="O1022" s="52"/>
      <c r="P1022" s="52"/>
      <c r="Q1022" s="52"/>
      <c r="R1022" s="52"/>
      <c r="S1022" s="52"/>
      <c r="T1022" s="52"/>
      <c r="U1022" s="52"/>
      <c r="V1022" s="52"/>
      <c r="W1022" s="52"/>
      <c r="X1022" s="52"/>
      <c r="Y1022" s="52"/>
      <c r="Z1022" s="52"/>
      <c r="AA1022" s="52"/>
      <c r="AB1022" s="52"/>
      <c r="AC1022" s="52"/>
      <c r="AD1022" s="52"/>
      <c r="AE1022" s="52"/>
      <c r="AF1022" s="52"/>
      <c r="AG1022" s="52"/>
      <c r="AH1022" s="52"/>
      <c r="AI1022" s="52"/>
      <c r="AJ1022" s="52"/>
      <c r="AK1022" s="52"/>
      <c r="AL1022" s="52"/>
      <c r="AM1022" s="52"/>
      <c r="AN1022" s="52"/>
    </row>
    <row r="1023" spans="1:40" x14ac:dyDescent="0.3">
      <c r="A1023" s="52">
        <v>1018</v>
      </c>
      <c r="B1023" s="52">
        <f>-bthan*500+(17+0.5)*bthan*1000/50</f>
        <v>-825</v>
      </c>
      <c r="C1023" s="52">
        <f t="shared" si="144"/>
        <v>-389.99999999999989</v>
      </c>
      <c r="D1023" s="52">
        <f t="shared" si="141"/>
        <v>2200</v>
      </c>
      <c r="E1023" s="52">
        <f t="shared" si="142"/>
        <v>1</v>
      </c>
      <c r="F1023" s="52"/>
      <c r="G1023" s="52"/>
      <c r="H1023" s="52"/>
      <c r="I1023" s="52"/>
      <c r="J1023" s="52"/>
      <c r="K1023" s="52"/>
      <c r="L1023" s="52"/>
      <c r="M1023" s="52"/>
      <c r="N1023" s="52"/>
      <c r="O1023" s="52"/>
      <c r="P1023" s="52"/>
      <c r="Q1023" s="52"/>
      <c r="R1023" s="52"/>
      <c r="S1023" s="52"/>
      <c r="T1023" s="52"/>
      <c r="U1023" s="52"/>
      <c r="V1023" s="52"/>
      <c r="W1023" s="52"/>
      <c r="X1023" s="52"/>
      <c r="Y1023" s="52"/>
      <c r="Z1023" s="52"/>
      <c r="AA1023" s="52"/>
      <c r="AB1023" s="52"/>
      <c r="AC1023" s="52"/>
      <c r="AD1023" s="52"/>
      <c r="AE1023" s="52"/>
      <c r="AF1023" s="52"/>
      <c r="AG1023" s="52"/>
      <c r="AH1023" s="52"/>
      <c r="AI1023" s="52"/>
      <c r="AJ1023" s="52"/>
      <c r="AK1023" s="52"/>
      <c r="AL1023" s="52"/>
      <c r="AM1023" s="52"/>
      <c r="AN1023" s="52"/>
    </row>
    <row r="1024" spans="1:40" x14ac:dyDescent="0.3">
      <c r="A1024" s="52">
        <v>1019</v>
      </c>
      <c r="B1024" s="52">
        <f>-bthan*500+(18+0.5)*bthan*1000/50</f>
        <v>-715</v>
      </c>
      <c r="C1024" s="52">
        <f t="shared" si="144"/>
        <v>-389.99999999999989</v>
      </c>
      <c r="D1024" s="52">
        <f t="shared" si="141"/>
        <v>2200</v>
      </c>
      <c r="E1024" s="52">
        <f t="shared" si="142"/>
        <v>1</v>
      </c>
      <c r="F1024" s="52"/>
      <c r="G1024" s="52"/>
      <c r="H1024" s="52"/>
      <c r="I1024" s="52"/>
      <c r="J1024" s="52"/>
      <c r="K1024" s="52"/>
      <c r="L1024" s="52"/>
      <c r="M1024" s="52"/>
      <c r="N1024" s="52"/>
      <c r="O1024" s="52"/>
      <c r="P1024" s="52"/>
      <c r="Q1024" s="52"/>
      <c r="R1024" s="52"/>
      <c r="S1024" s="52"/>
      <c r="T1024" s="52"/>
      <c r="U1024" s="52"/>
      <c r="V1024" s="52"/>
      <c r="W1024" s="52"/>
      <c r="X1024" s="52"/>
      <c r="Y1024" s="52"/>
      <c r="Z1024" s="52"/>
      <c r="AA1024" s="52"/>
      <c r="AB1024" s="52"/>
      <c r="AC1024" s="52"/>
      <c r="AD1024" s="52"/>
      <c r="AE1024" s="52"/>
      <c r="AF1024" s="52"/>
      <c r="AG1024" s="52"/>
      <c r="AH1024" s="52"/>
      <c r="AI1024" s="52"/>
      <c r="AJ1024" s="52"/>
      <c r="AK1024" s="52"/>
      <c r="AL1024" s="52"/>
      <c r="AM1024" s="52"/>
      <c r="AN1024" s="52"/>
    </row>
    <row r="1025" spans="1:40" x14ac:dyDescent="0.3">
      <c r="A1025" s="52">
        <v>1020</v>
      </c>
      <c r="B1025" s="52">
        <f>-bthan*500+(19+0.5)*bthan*1000/50</f>
        <v>-605</v>
      </c>
      <c r="C1025" s="52">
        <f t="shared" si="144"/>
        <v>-389.99999999999989</v>
      </c>
      <c r="D1025" s="52">
        <f t="shared" si="141"/>
        <v>2200</v>
      </c>
      <c r="E1025" s="52">
        <f t="shared" si="142"/>
        <v>1</v>
      </c>
      <c r="F1025" s="52"/>
      <c r="G1025" s="52"/>
      <c r="H1025" s="52"/>
      <c r="I1025" s="52"/>
      <c r="J1025" s="52"/>
      <c r="K1025" s="52"/>
      <c r="L1025" s="52"/>
      <c r="M1025" s="52"/>
      <c r="N1025" s="52"/>
      <c r="O1025" s="52"/>
      <c r="P1025" s="52"/>
      <c r="Q1025" s="52"/>
      <c r="R1025" s="52"/>
      <c r="S1025" s="52"/>
      <c r="T1025" s="52"/>
      <c r="U1025" s="52"/>
      <c r="V1025" s="52"/>
      <c r="W1025" s="52"/>
      <c r="X1025" s="52"/>
      <c r="Y1025" s="52"/>
      <c r="Z1025" s="52"/>
      <c r="AA1025" s="52"/>
      <c r="AB1025" s="52"/>
      <c r="AC1025" s="52"/>
      <c r="AD1025" s="52"/>
      <c r="AE1025" s="52"/>
      <c r="AF1025" s="52"/>
      <c r="AG1025" s="52"/>
      <c r="AH1025" s="52"/>
      <c r="AI1025" s="52"/>
      <c r="AJ1025" s="52"/>
      <c r="AK1025" s="52"/>
      <c r="AL1025" s="52"/>
      <c r="AM1025" s="52"/>
      <c r="AN1025" s="52"/>
    </row>
    <row r="1026" spans="1:40" x14ac:dyDescent="0.3">
      <c r="A1026" s="52">
        <v>1021</v>
      </c>
      <c r="B1026" s="52">
        <f>-bthan*500+(20+0.5)*bthan*1000/50</f>
        <v>-495</v>
      </c>
      <c r="C1026" s="52">
        <f t="shared" si="144"/>
        <v>-389.99999999999989</v>
      </c>
      <c r="D1026" s="52">
        <f t="shared" si="141"/>
        <v>2200</v>
      </c>
      <c r="E1026" s="52">
        <f t="shared" si="142"/>
        <v>1</v>
      </c>
      <c r="F1026" s="52"/>
      <c r="G1026" s="52"/>
      <c r="H1026" s="52"/>
      <c r="I1026" s="52"/>
      <c r="J1026" s="52"/>
      <c r="K1026" s="52"/>
      <c r="L1026" s="52"/>
      <c r="M1026" s="52"/>
      <c r="N1026" s="52"/>
      <c r="O1026" s="52"/>
      <c r="P1026" s="52"/>
      <c r="Q1026" s="52"/>
      <c r="R1026" s="52"/>
      <c r="S1026" s="52"/>
      <c r="T1026" s="52"/>
      <c r="U1026" s="52"/>
      <c r="V1026" s="52"/>
      <c r="W1026" s="52"/>
      <c r="X1026" s="52"/>
      <c r="Y1026" s="52"/>
      <c r="Z1026" s="52"/>
      <c r="AA1026" s="52"/>
      <c r="AB1026" s="52"/>
      <c r="AC1026" s="52"/>
      <c r="AD1026" s="52"/>
      <c r="AE1026" s="52"/>
      <c r="AF1026" s="52"/>
      <c r="AG1026" s="52"/>
      <c r="AH1026" s="52"/>
      <c r="AI1026" s="52"/>
      <c r="AJ1026" s="52"/>
      <c r="AK1026" s="52"/>
      <c r="AL1026" s="52"/>
      <c r="AM1026" s="52"/>
      <c r="AN1026" s="52"/>
    </row>
    <row r="1027" spans="1:40" x14ac:dyDescent="0.3">
      <c r="A1027" s="52">
        <v>1022</v>
      </c>
      <c r="B1027" s="52">
        <f>-bthan*500+(21+0.5)*bthan*1000/50</f>
        <v>-385</v>
      </c>
      <c r="C1027" s="52">
        <f t="shared" si="144"/>
        <v>-389.99999999999989</v>
      </c>
      <c r="D1027" s="52">
        <f t="shared" si="141"/>
        <v>2200</v>
      </c>
      <c r="E1027" s="52">
        <f t="shared" si="142"/>
        <v>1</v>
      </c>
      <c r="F1027" s="52"/>
      <c r="G1027" s="52"/>
      <c r="H1027" s="52"/>
      <c r="I1027" s="52"/>
      <c r="J1027" s="52"/>
      <c r="K1027" s="52"/>
      <c r="L1027" s="52"/>
      <c r="M1027" s="52"/>
      <c r="N1027" s="52"/>
      <c r="O1027" s="52"/>
      <c r="P1027" s="52"/>
      <c r="Q1027" s="52"/>
      <c r="R1027" s="52"/>
      <c r="S1027" s="52"/>
      <c r="T1027" s="52"/>
      <c r="U1027" s="52"/>
      <c r="V1027" s="52"/>
      <c r="W1027" s="52"/>
      <c r="X1027" s="52"/>
      <c r="Y1027" s="52"/>
      <c r="Z1027" s="52"/>
      <c r="AA1027" s="52"/>
      <c r="AB1027" s="52"/>
      <c r="AC1027" s="52"/>
      <c r="AD1027" s="52"/>
      <c r="AE1027" s="52"/>
      <c r="AF1027" s="52"/>
      <c r="AG1027" s="52"/>
      <c r="AH1027" s="52"/>
      <c r="AI1027" s="52"/>
      <c r="AJ1027" s="52"/>
      <c r="AK1027" s="52"/>
      <c r="AL1027" s="52"/>
      <c r="AM1027" s="52"/>
      <c r="AN1027" s="52"/>
    </row>
    <row r="1028" spans="1:40" x14ac:dyDescent="0.3">
      <c r="A1028" s="52">
        <v>1023</v>
      </c>
      <c r="B1028" s="52">
        <f>-bthan*500+(22+0.5)*bthan*1000/50</f>
        <v>-275</v>
      </c>
      <c r="C1028" s="52">
        <f t="shared" si="144"/>
        <v>-389.99999999999989</v>
      </c>
      <c r="D1028" s="52">
        <f t="shared" si="141"/>
        <v>2200</v>
      </c>
      <c r="E1028" s="52">
        <f t="shared" si="142"/>
        <v>1</v>
      </c>
      <c r="F1028" s="52"/>
      <c r="G1028" s="52"/>
      <c r="H1028" s="52"/>
      <c r="I1028" s="52"/>
      <c r="J1028" s="52"/>
      <c r="K1028" s="52"/>
      <c r="L1028" s="52"/>
      <c r="M1028" s="52"/>
      <c r="N1028" s="52"/>
      <c r="O1028" s="52"/>
      <c r="P1028" s="52"/>
      <c r="Q1028" s="52"/>
      <c r="R1028" s="52"/>
      <c r="S1028" s="52"/>
      <c r="T1028" s="52"/>
      <c r="U1028" s="52"/>
      <c r="V1028" s="52"/>
      <c r="W1028" s="52"/>
      <c r="X1028" s="52"/>
      <c r="Y1028" s="52"/>
      <c r="Z1028" s="52"/>
      <c r="AA1028" s="52"/>
      <c r="AB1028" s="52"/>
      <c r="AC1028" s="52"/>
      <c r="AD1028" s="52"/>
      <c r="AE1028" s="52"/>
      <c r="AF1028" s="52"/>
      <c r="AG1028" s="52"/>
      <c r="AH1028" s="52"/>
      <c r="AI1028" s="52"/>
      <c r="AJ1028" s="52"/>
      <c r="AK1028" s="52"/>
      <c r="AL1028" s="52"/>
      <c r="AM1028" s="52"/>
      <c r="AN1028" s="52"/>
    </row>
    <row r="1029" spans="1:40" x14ac:dyDescent="0.3">
      <c r="A1029" s="52">
        <v>1024</v>
      </c>
      <c r="B1029" s="52">
        <f>-bthan*500+(23+0.5)*bthan*1000/50</f>
        <v>-165</v>
      </c>
      <c r="C1029" s="52">
        <f t="shared" si="144"/>
        <v>-389.99999999999989</v>
      </c>
      <c r="D1029" s="52">
        <f t="shared" si="141"/>
        <v>2200</v>
      </c>
      <c r="E1029" s="52">
        <f t="shared" si="142"/>
        <v>1</v>
      </c>
      <c r="F1029" s="52"/>
      <c r="G1029" s="52"/>
      <c r="H1029" s="52"/>
      <c r="I1029" s="52"/>
      <c r="J1029" s="52"/>
      <c r="K1029" s="52"/>
      <c r="L1029" s="52"/>
      <c r="M1029" s="52"/>
      <c r="N1029" s="52"/>
      <c r="O1029" s="52"/>
      <c r="P1029" s="52"/>
      <c r="Q1029" s="52"/>
      <c r="R1029" s="52"/>
      <c r="S1029" s="52"/>
      <c r="T1029" s="52"/>
      <c r="U1029" s="52"/>
      <c r="V1029" s="52"/>
      <c r="W1029" s="52"/>
      <c r="X1029" s="52"/>
      <c r="Y1029" s="52"/>
      <c r="Z1029" s="52"/>
      <c r="AA1029" s="52"/>
      <c r="AB1029" s="52"/>
      <c r="AC1029" s="52"/>
      <c r="AD1029" s="52"/>
      <c r="AE1029" s="52"/>
      <c r="AF1029" s="52"/>
      <c r="AG1029" s="52"/>
      <c r="AH1029" s="52"/>
      <c r="AI1029" s="52"/>
      <c r="AJ1029" s="52"/>
      <c r="AK1029" s="52"/>
      <c r="AL1029" s="52"/>
      <c r="AM1029" s="52"/>
      <c r="AN1029" s="52"/>
    </row>
    <row r="1030" spans="1:40" x14ac:dyDescent="0.3">
      <c r="A1030" s="52">
        <v>1025</v>
      </c>
      <c r="B1030" s="52">
        <f>-bthan*500+(24+0.5)*bthan*1000/50</f>
        <v>-55</v>
      </c>
      <c r="C1030" s="52">
        <f t="shared" si="144"/>
        <v>-389.99999999999989</v>
      </c>
      <c r="D1030" s="52">
        <f t="shared" ref="D1030:D1093" si="145">bthan*1000/50*hthan*1000/80</f>
        <v>2200</v>
      </c>
      <c r="E1030" s="52">
        <f t="shared" ref="E1030:E1093" si="146">IF(shp=1,--(OR(ABS(B1030)&lt;=MAX(0,(bthan-hthan)*500),(ABS(B1030)-MAX(0,(bthan-hthan)*500))^2+C1030^2&lt;=(hthan*500)^2)),--(AND(ABS(B1030)&lt;=bthan*500,ABS(C1030)&lt;=hthan*500,OR(ABS(B1030)&lt;=bthan*500-cch*1000,ABS(C1030)&lt;=hthan*500-cch*1000,(bthan*500-ABS(B1030))+(hthan*500-ABS(C1030))&gt;=cch*1000))))</f>
        <v>1</v>
      </c>
      <c r="F1030" s="52"/>
      <c r="G1030" s="52"/>
      <c r="H1030" s="52"/>
      <c r="I1030" s="52"/>
      <c r="J1030" s="52"/>
      <c r="K1030" s="52"/>
      <c r="L1030" s="52"/>
      <c r="M1030" s="52"/>
      <c r="N1030" s="52"/>
      <c r="O1030" s="52"/>
      <c r="P1030" s="52"/>
      <c r="Q1030" s="52"/>
      <c r="R1030" s="52"/>
      <c r="S1030" s="52"/>
      <c r="T1030" s="52"/>
      <c r="U1030" s="52"/>
      <c r="V1030" s="52"/>
      <c r="W1030" s="52"/>
      <c r="X1030" s="52"/>
      <c r="Y1030" s="52"/>
      <c r="Z1030" s="52"/>
      <c r="AA1030" s="52"/>
      <c r="AB1030" s="52"/>
      <c r="AC1030" s="52"/>
      <c r="AD1030" s="52"/>
      <c r="AE1030" s="52"/>
      <c r="AF1030" s="52"/>
      <c r="AG1030" s="52"/>
      <c r="AH1030" s="52"/>
      <c r="AI1030" s="52"/>
      <c r="AJ1030" s="52"/>
      <c r="AK1030" s="52"/>
      <c r="AL1030" s="52"/>
      <c r="AM1030" s="52"/>
      <c r="AN1030" s="52"/>
    </row>
    <row r="1031" spans="1:40" x14ac:dyDescent="0.3">
      <c r="A1031" s="52">
        <v>1026</v>
      </c>
      <c r="B1031" s="52">
        <f>-bthan*500+(25+0.5)*bthan*1000/50</f>
        <v>55</v>
      </c>
      <c r="C1031" s="52">
        <f t="shared" si="144"/>
        <v>-389.99999999999989</v>
      </c>
      <c r="D1031" s="52">
        <f t="shared" si="145"/>
        <v>2200</v>
      </c>
      <c r="E1031" s="52">
        <f t="shared" si="146"/>
        <v>1</v>
      </c>
      <c r="F1031" s="52"/>
      <c r="G1031" s="52"/>
      <c r="H1031" s="52"/>
      <c r="I1031" s="52"/>
      <c r="J1031" s="52"/>
      <c r="K1031" s="52"/>
      <c r="L1031" s="52"/>
      <c r="M1031" s="52"/>
      <c r="N1031" s="52"/>
      <c r="O1031" s="52"/>
      <c r="P1031" s="52"/>
      <c r="Q1031" s="52"/>
      <c r="R1031" s="52"/>
      <c r="S1031" s="52"/>
      <c r="T1031" s="52"/>
      <c r="U1031" s="52"/>
      <c r="V1031" s="52"/>
      <c r="W1031" s="52"/>
      <c r="X1031" s="52"/>
      <c r="Y1031" s="52"/>
      <c r="Z1031" s="52"/>
      <c r="AA1031" s="52"/>
      <c r="AB1031" s="52"/>
      <c r="AC1031" s="52"/>
      <c r="AD1031" s="52"/>
      <c r="AE1031" s="52"/>
      <c r="AF1031" s="52"/>
      <c r="AG1031" s="52"/>
      <c r="AH1031" s="52"/>
      <c r="AI1031" s="52"/>
      <c r="AJ1031" s="52"/>
      <c r="AK1031" s="52"/>
      <c r="AL1031" s="52"/>
      <c r="AM1031" s="52"/>
      <c r="AN1031" s="52"/>
    </row>
    <row r="1032" spans="1:40" x14ac:dyDescent="0.3">
      <c r="A1032" s="52">
        <v>1027</v>
      </c>
      <c r="B1032" s="52">
        <f>-bthan*500+(26+0.5)*bthan*1000/50</f>
        <v>165</v>
      </c>
      <c r="C1032" s="52">
        <f t="shared" si="144"/>
        <v>-389.99999999999989</v>
      </c>
      <c r="D1032" s="52">
        <f t="shared" si="145"/>
        <v>2200</v>
      </c>
      <c r="E1032" s="52">
        <f t="shared" si="146"/>
        <v>1</v>
      </c>
      <c r="F1032" s="52"/>
      <c r="G1032" s="52"/>
      <c r="H1032" s="52"/>
      <c r="I1032" s="52"/>
      <c r="J1032" s="52"/>
      <c r="K1032" s="52"/>
      <c r="L1032" s="52"/>
      <c r="M1032" s="52"/>
      <c r="N1032" s="52"/>
      <c r="O1032" s="52"/>
      <c r="P1032" s="52"/>
      <c r="Q1032" s="52"/>
      <c r="R1032" s="52"/>
      <c r="S1032" s="52"/>
      <c r="T1032" s="52"/>
      <c r="U1032" s="52"/>
      <c r="V1032" s="52"/>
      <c r="W1032" s="52"/>
      <c r="X1032" s="52"/>
      <c r="Y1032" s="52"/>
      <c r="Z1032" s="52"/>
      <c r="AA1032" s="52"/>
      <c r="AB1032" s="52"/>
      <c r="AC1032" s="52"/>
      <c r="AD1032" s="52"/>
      <c r="AE1032" s="52"/>
      <c r="AF1032" s="52"/>
      <c r="AG1032" s="52"/>
      <c r="AH1032" s="52"/>
      <c r="AI1032" s="52"/>
      <c r="AJ1032" s="52"/>
      <c r="AK1032" s="52"/>
      <c r="AL1032" s="52"/>
      <c r="AM1032" s="52"/>
      <c r="AN1032" s="52"/>
    </row>
    <row r="1033" spans="1:40" x14ac:dyDescent="0.3">
      <c r="A1033" s="52">
        <v>1028</v>
      </c>
      <c r="B1033" s="52">
        <f>-bthan*500+(27+0.5)*bthan*1000/50</f>
        <v>275</v>
      </c>
      <c r="C1033" s="52">
        <f t="shared" si="144"/>
        <v>-389.99999999999989</v>
      </c>
      <c r="D1033" s="52">
        <f t="shared" si="145"/>
        <v>2200</v>
      </c>
      <c r="E1033" s="52">
        <f t="shared" si="146"/>
        <v>1</v>
      </c>
      <c r="F1033" s="52"/>
      <c r="G1033" s="52"/>
      <c r="H1033" s="52"/>
      <c r="I1033" s="52"/>
      <c r="J1033" s="52"/>
      <c r="K1033" s="52"/>
      <c r="L1033" s="52"/>
      <c r="M1033" s="52"/>
      <c r="N1033" s="52"/>
      <c r="O1033" s="52"/>
      <c r="P1033" s="52"/>
      <c r="Q1033" s="52"/>
      <c r="R1033" s="52"/>
      <c r="S1033" s="52"/>
      <c r="T1033" s="52"/>
      <c r="U1033" s="52"/>
      <c r="V1033" s="52"/>
      <c r="W1033" s="52"/>
      <c r="X1033" s="52"/>
      <c r="Y1033" s="52"/>
      <c r="Z1033" s="52"/>
      <c r="AA1033" s="52"/>
      <c r="AB1033" s="52"/>
      <c r="AC1033" s="52"/>
      <c r="AD1033" s="52"/>
      <c r="AE1033" s="52"/>
      <c r="AF1033" s="52"/>
      <c r="AG1033" s="52"/>
      <c r="AH1033" s="52"/>
      <c r="AI1033" s="52"/>
      <c r="AJ1033" s="52"/>
      <c r="AK1033" s="52"/>
      <c r="AL1033" s="52"/>
      <c r="AM1033" s="52"/>
      <c r="AN1033" s="52"/>
    </row>
    <row r="1034" spans="1:40" x14ac:dyDescent="0.3">
      <c r="A1034" s="52">
        <v>1029</v>
      </c>
      <c r="B1034" s="52">
        <f>-bthan*500+(28+0.5)*bthan*1000/50</f>
        <v>385</v>
      </c>
      <c r="C1034" s="52">
        <f t="shared" si="144"/>
        <v>-389.99999999999989</v>
      </c>
      <c r="D1034" s="52">
        <f t="shared" si="145"/>
        <v>2200</v>
      </c>
      <c r="E1034" s="52">
        <f t="shared" si="146"/>
        <v>1</v>
      </c>
      <c r="F1034" s="52"/>
      <c r="G1034" s="52"/>
      <c r="H1034" s="52"/>
      <c r="I1034" s="52"/>
      <c r="J1034" s="52"/>
      <c r="K1034" s="52"/>
      <c r="L1034" s="52"/>
      <c r="M1034" s="52"/>
      <c r="N1034" s="52"/>
      <c r="O1034" s="52"/>
      <c r="P1034" s="52"/>
      <c r="Q1034" s="52"/>
      <c r="R1034" s="52"/>
      <c r="S1034" s="52"/>
      <c r="T1034" s="52"/>
      <c r="U1034" s="52"/>
      <c r="V1034" s="52"/>
      <c r="W1034" s="52"/>
      <c r="X1034" s="52"/>
      <c r="Y1034" s="52"/>
      <c r="Z1034" s="52"/>
      <c r="AA1034" s="52"/>
      <c r="AB1034" s="52"/>
      <c r="AC1034" s="52"/>
      <c r="AD1034" s="52"/>
      <c r="AE1034" s="52"/>
      <c r="AF1034" s="52"/>
      <c r="AG1034" s="52"/>
      <c r="AH1034" s="52"/>
      <c r="AI1034" s="52"/>
      <c r="AJ1034" s="52"/>
      <c r="AK1034" s="52"/>
      <c r="AL1034" s="52"/>
      <c r="AM1034" s="52"/>
      <c r="AN1034" s="52"/>
    </row>
    <row r="1035" spans="1:40" x14ac:dyDescent="0.3">
      <c r="A1035" s="52">
        <v>1030</v>
      </c>
      <c r="B1035" s="52">
        <f>-bthan*500+(29+0.5)*bthan*1000/50</f>
        <v>495</v>
      </c>
      <c r="C1035" s="52">
        <f t="shared" si="144"/>
        <v>-389.99999999999989</v>
      </c>
      <c r="D1035" s="52">
        <f t="shared" si="145"/>
        <v>2200</v>
      </c>
      <c r="E1035" s="52">
        <f t="shared" si="146"/>
        <v>1</v>
      </c>
      <c r="F1035" s="52"/>
      <c r="G1035" s="52"/>
      <c r="H1035" s="52"/>
      <c r="I1035" s="52"/>
      <c r="J1035" s="52"/>
      <c r="K1035" s="52"/>
      <c r="L1035" s="52"/>
      <c r="M1035" s="52"/>
      <c r="N1035" s="52"/>
      <c r="O1035" s="52"/>
      <c r="P1035" s="52"/>
      <c r="Q1035" s="52"/>
      <c r="R1035" s="52"/>
      <c r="S1035" s="52"/>
      <c r="T1035" s="52"/>
      <c r="U1035" s="52"/>
      <c r="V1035" s="52"/>
      <c r="W1035" s="52"/>
      <c r="X1035" s="52"/>
      <c r="Y1035" s="52"/>
      <c r="Z1035" s="52"/>
      <c r="AA1035" s="52"/>
      <c r="AB1035" s="52"/>
      <c r="AC1035" s="52"/>
      <c r="AD1035" s="52"/>
      <c r="AE1035" s="52"/>
      <c r="AF1035" s="52"/>
      <c r="AG1035" s="52"/>
      <c r="AH1035" s="52"/>
      <c r="AI1035" s="52"/>
      <c r="AJ1035" s="52"/>
      <c r="AK1035" s="52"/>
      <c r="AL1035" s="52"/>
      <c r="AM1035" s="52"/>
      <c r="AN1035" s="52"/>
    </row>
    <row r="1036" spans="1:40" x14ac:dyDescent="0.3">
      <c r="A1036" s="52">
        <v>1031</v>
      </c>
      <c r="B1036" s="52">
        <f>-bthan*500+(30+0.5)*bthan*1000/50</f>
        <v>605</v>
      </c>
      <c r="C1036" s="52">
        <f t="shared" si="144"/>
        <v>-389.99999999999989</v>
      </c>
      <c r="D1036" s="52">
        <f t="shared" si="145"/>
        <v>2200</v>
      </c>
      <c r="E1036" s="52">
        <f t="shared" si="146"/>
        <v>1</v>
      </c>
      <c r="F1036" s="52"/>
      <c r="G1036" s="52"/>
      <c r="H1036" s="52"/>
      <c r="I1036" s="52"/>
      <c r="J1036" s="52"/>
      <c r="K1036" s="52"/>
      <c r="L1036" s="52"/>
      <c r="M1036" s="52"/>
      <c r="N1036" s="52"/>
      <c r="O1036" s="52"/>
      <c r="P1036" s="52"/>
      <c r="Q1036" s="52"/>
      <c r="R1036" s="52"/>
      <c r="S1036" s="52"/>
      <c r="T1036" s="52"/>
      <c r="U1036" s="52"/>
      <c r="V1036" s="52"/>
      <c r="W1036" s="52"/>
      <c r="X1036" s="52"/>
      <c r="Y1036" s="52"/>
      <c r="Z1036" s="52"/>
      <c r="AA1036" s="52"/>
      <c r="AB1036" s="52"/>
      <c r="AC1036" s="52"/>
      <c r="AD1036" s="52"/>
      <c r="AE1036" s="52"/>
      <c r="AF1036" s="52"/>
      <c r="AG1036" s="52"/>
      <c r="AH1036" s="52"/>
      <c r="AI1036" s="52"/>
      <c r="AJ1036" s="52"/>
      <c r="AK1036" s="52"/>
      <c r="AL1036" s="52"/>
      <c r="AM1036" s="52"/>
      <c r="AN1036" s="52"/>
    </row>
    <row r="1037" spans="1:40" x14ac:dyDescent="0.3">
      <c r="A1037" s="52">
        <v>1032</v>
      </c>
      <c r="B1037" s="52">
        <f>-bthan*500+(31+0.5)*bthan*1000/50</f>
        <v>715</v>
      </c>
      <c r="C1037" s="52">
        <f t="shared" si="144"/>
        <v>-389.99999999999989</v>
      </c>
      <c r="D1037" s="52">
        <f t="shared" si="145"/>
        <v>2200</v>
      </c>
      <c r="E1037" s="52">
        <f t="shared" si="146"/>
        <v>1</v>
      </c>
      <c r="F1037" s="52"/>
      <c r="G1037" s="52"/>
      <c r="H1037" s="52"/>
      <c r="I1037" s="52"/>
      <c r="J1037" s="52"/>
      <c r="K1037" s="52"/>
      <c r="L1037" s="52"/>
      <c r="M1037" s="52"/>
      <c r="N1037" s="52"/>
      <c r="O1037" s="52"/>
      <c r="P1037" s="52"/>
      <c r="Q1037" s="52"/>
      <c r="R1037" s="52"/>
      <c r="S1037" s="52"/>
      <c r="T1037" s="52"/>
      <c r="U1037" s="52"/>
      <c r="V1037" s="52"/>
      <c r="W1037" s="52"/>
      <c r="X1037" s="52"/>
      <c r="Y1037" s="52"/>
      <c r="Z1037" s="52"/>
      <c r="AA1037" s="52"/>
      <c r="AB1037" s="52"/>
      <c r="AC1037" s="52"/>
      <c r="AD1037" s="52"/>
      <c r="AE1037" s="52"/>
      <c r="AF1037" s="52"/>
      <c r="AG1037" s="52"/>
      <c r="AH1037" s="52"/>
      <c r="AI1037" s="52"/>
      <c r="AJ1037" s="52"/>
      <c r="AK1037" s="52"/>
      <c r="AL1037" s="52"/>
      <c r="AM1037" s="52"/>
      <c r="AN1037" s="52"/>
    </row>
    <row r="1038" spans="1:40" x14ac:dyDescent="0.3">
      <c r="A1038" s="52">
        <v>1033</v>
      </c>
      <c r="B1038" s="52">
        <f>-bthan*500+(32+0.5)*bthan*1000/50</f>
        <v>825</v>
      </c>
      <c r="C1038" s="52">
        <f t="shared" ref="C1038:C1055" si="147">-hthan*500+(20+0.5)*hthan*1000/80</f>
        <v>-389.99999999999989</v>
      </c>
      <c r="D1038" s="52">
        <f t="shared" si="145"/>
        <v>2200</v>
      </c>
      <c r="E1038" s="52">
        <f t="shared" si="146"/>
        <v>1</v>
      </c>
      <c r="F1038" s="52"/>
      <c r="G1038" s="52"/>
      <c r="H1038" s="52"/>
      <c r="I1038" s="52"/>
      <c r="J1038" s="52"/>
      <c r="K1038" s="52"/>
      <c r="L1038" s="52"/>
      <c r="M1038" s="52"/>
      <c r="N1038" s="52"/>
      <c r="O1038" s="52"/>
      <c r="P1038" s="52"/>
      <c r="Q1038" s="52"/>
      <c r="R1038" s="52"/>
      <c r="S1038" s="52"/>
      <c r="T1038" s="52"/>
      <c r="U1038" s="52"/>
      <c r="V1038" s="52"/>
      <c r="W1038" s="52"/>
      <c r="X1038" s="52"/>
      <c r="Y1038" s="52"/>
      <c r="Z1038" s="52"/>
      <c r="AA1038" s="52"/>
      <c r="AB1038" s="52"/>
      <c r="AC1038" s="52"/>
      <c r="AD1038" s="52"/>
      <c r="AE1038" s="52"/>
      <c r="AF1038" s="52"/>
      <c r="AG1038" s="52"/>
      <c r="AH1038" s="52"/>
      <c r="AI1038" s="52"/>
      <c r="AJ1038" s="52"/>
      <c r="AK1038" s="52"/>
      <c r="AL1038" s="52"/>
      <c r="AM1038" s="52"/>
      <c r="AN1038" s="52"/>
    </row>
    <row r="1039" spans="1:40" x14ac:dyDescent="0.3">
      <c r="A1039" s="52">
        <v>1034</v>
      </c>
      <c r="B1039" s="52">
        <f>-bthan*500+(33+0.5)*bthan*1000/50</f>
        <v>935</v>
      </c>
      <c r="C1039" s="52">
        <f t="shared" si="147"/>
        <v>-389.99999999999989</v>
      </c>
      <c r="D1039" s="52">
        <f t="shared" si="145"/>
        <v>2200</v>
      </c>
      <c r="E1039" s="52">
        <f t="shared" si="146"/>
        <v>1</v>
      </c>
      <c r="F1039" s="52"/>
      <c r="G1039" s="52"/>
      <c r="H1039" s="52"/>
      <c r="I1039" s="52"/>
      <c r="J1039" s="52"/>
      <c r="K1039" s="52"/>
      <c r="L1039" s="52"/>
      <c r="M1039" s="52"/>
      <c r="N1039" s="52"/>
      <c r="O1039" s="52"/>
      <c r="P1039" s="52"/>
      <c r="Q1039" s="52"/>
      <c r="R1039" s="52"/>
      <c r="S1039" s="52"/>
      <c r="T1039" s="52"/>
      <c r="U1039" s="52"/>
      <c r="V1039" s="52"/>
      <c r="W1039" s="52"/>
      <c r="X1039" s="52"/>
      <c r="Y1039" s="52"/>
      <c r="Z1039" s="52"/>
      <c r="AA1039" s="52"/>
      <c r="AB1039" s="52"/>
      <c r="AC1039" s="52"/>
      <c r="AD1039" s="52"/>
      <c r="AE1039" s="52"/>
      <c r="AF1039" s="52"/>
      <c r="AG1039" s="52"/>
      <c r="AH1039" s="52"/>
      <c r="AI1039" s="52"/>
      <c r="AJ1039" s="52"/>
      <c r="AK1039" s="52"/>
      <c r="AL1039" s="52"/>
      <c r="AM1039" s="52"/>
      <c r="AN1039" s="52"/>
    </row>
    <row r="1040" spans="1:40" x14ac:dyDescent="0.3">
      <c r="A1040" s="52">
        <v>1035</v>
      </c>
      <c r="B1040" s="52">
        <f>-bthan*500+(34+0.5)*bthan*1000/50</f>
        <v>1045</v>
      </c>
      <c r="C1040" s="52">
        <f t="shared" si="147"/>
        <v>-389.99999999999989</v>
      </c>
      <c r="D1040" s="52">
        <f t="shared" si="145"/>
        <v>2200</v>
      </c>
      <c r="E1040" s="52">
        <f t="shared" si="146"/>
        <v>1</v>
      </c>
      <c r="F1040" s="52"/>
      <c r="G1040" s="52"/>
      <c r="H1040" s="52"/>
      <c r="I1040" s="52"/>
      <c r="J1040" s="52"/>
      <c r="K1040" s="52"/>
      <c r="L1040" s="52"/>
      <c r="M1040" s="52"/>
      <c r="N1040" s="52"/>
      <c r="O1040" s="52"/>
      <c r="P1040" s="52"/>
      <c r="Q1040" s="52"/>
      <c r="R1040" s="52"/>
      <c r="S1040" s="52"/>
      <c r="T1040" s="52"/>
      <c r="U1040" s="52"/>
      <c r="V1040" s="52"/>
      <c r="W1040" s="52"/>
      <c r="X1040" s="52"/>
      <c r="Y1040" s="52"/>
      <c r="Z1040" s="52"/>
      <c r="AA1040" s="52"/>
      <c r="AB1040" s="52"/>
      <c r="AC1040" s="52"/>
      <c r="AD1040" s="52"/>
      <c r="AE1040" s="52"/>
      <c r="AF1040" s="52"/>
      <c r="AG1040" s="52"/>
      <c r="AH1040" s="52"/>
      <c r="AI1040" s="52"/>
      <c r="AJ1040" s="52"/>
      <c r="AK1040" s="52"/>
      <c r="AL1040" s="52"/>
      <c r="AM1040" s="52"/>
      <c r="AN1040" s="52"/>
    </row>
    <row r="1041" spans="1:40" x14ac:dyDescent="0.3">
      <c r="A1041" s="52">
        <v>1036</v>
      </c>
      <c r="B1041" s="52">
        <f>-bthan*500+(35+0.5)*bthan*1000/50</f>
        <v>1155</v>
      </c>
      <c r="C1041" s="52">
        <f t="shared" si="147"/>
        <v>-389.99999999999989</v>
      </c>
      <c r="D1041" s="52">
        <f t="shared" si="145"/>
        <v>2200</v>
      </c>
      <c r="E1041" s="52">
        <f t="shared" si="146"/>
        <v>1</v>
      </c>
      <c r="F1041" s="52"/>
      <c r="G1041" s="52"/>
      <c r="H1041" s="52"/>
      <c r="I1041" s="52"/>
      <c r="J1041" s="52"/>
      <c r="K1041" s="52"/>
      <c r="L1041" s="52"/>
      <c r="M1041" s="52"/>
      <c r="N1041" s="52"/>
      <c r="O1041" s="52"/>
      <c r="P1041" s="52"/>
      <c r="Q1041" s="52"/>
      <c r="R1041" s="52"/>
      <c r="S1041" s="52"/>
      <c r="T1041" s="52"/>
      <c r="U1041" s="52"/>
      <c r="V1041" s="52"/>
      <c r="W1041" s="52"/>
      <c r="X1041" s="52"/>
      <c r="Y1041" s="52"/>
      <c r="Z1041" s="52"/>
      <c r="AA1041" s="52"/>
      <c r="AB1041" s="52"/>
      <c r="AC1041" s="52"/>
      <c r="AD1041" s="52"/>
      <c r="AE1041" s="52"/>
      <c r="AF1041" s="52"/>
      <c r="AG1041" s="52"/>
      <c r="AH1041" s="52"/>
      <c r="AI1041" s="52"/>
      <c r="AJ1041" s="52"/>
      <c r="AK1041" s="52"/>
      <c r="AL1041" s="52"/>
      <c r="AM1041" s="52"/>
      <c r="AN1041" s="52"/>
    </row>
    <row r="1042" spans="1:40" x14ac:dyDescent="0.3">
      <c r="A1042" s="52">
        <v>1037</v>
      </c>
      <c r="B1042" s="52">
        <f>-bthan*500+(36+0.5)*bthan*1000/50</f>
        <v>1265</v>
      </c>
      <c r="C1042" s="52">
        <f t="shared" si="147"/>
        <v>-389.99999999999989</v>
      </c>
      <c r="D1042" s="52">
        <f t="shared" si="145"/>
        <v>2200</v>
      </c>
      <c r="E1042" s="52">
        <f t="shared" si="146"/>
        <v>1</v>
      </c>
      <c r="F1042" s="52"/>
      <c r="G1042" s="52"/>
      <c r="H1042" s="52"/>
      <c r="I1042" s="52"/>
      <c r="J1042" s="52"/>
      <c r="K1042" s="52"/>
      <c r="L1042" s="52"/>
      <c r="M1042" s="52"/>
      <c r="N1042" s="52"/>
      <c r="O1042" s="52"/>
      <c r="P1042" s="52"/>
      <c r="Q1042" s="52"/>
      <c r="R1042" s="52"/>
      <c r="S1042" s="52"/>
      <c r="T1042" s="52"/>
      <c r="U1042" s="52"/>
      <c r="V1042" s="52"/>
      <c r="W1042" s="52"/>
      <c r="X1042" s="52"/>
      <c r="Y1042" s="52"/>
      <c r="Z1042" s="52"/>
      <c r="AA1042" s="52"/>
      <c r="AB1042" s="52"/>
      <c r="AC1042" s="52"/>
      <c r="AD1042" s="52"/>
      <c r="AE1042" s="52"/>
      <c r="AF1042" s="52"/>
      <c r="AG1042" s="52"/>
      <c r="AH1042" s="52"/>
      <c r="AI1042" s="52"/>
      <c r="AJ1042" s="52"/>
      <c r="AK1042" s="52"/>
      <c r="AL1042" s="52"/>
      <c r="AM1042" s="52"/>
      <c r="AN1042" s="52"/>
    </row>
    <row r="1043" spans="1:40" x14ac:dyDescent="0.3">
      <c r="A1043" s="52">
        <v>1038</v>
      </c>
      <c r="B1043" s="52">
        <f>-bthan*500+(37+0.5)*bthan*1000/50</f>
        <v>1375</v>
      </c>
      <c r="C1043" s="52">
        <f t="shared" si="147"/>
        <v>-389.99999999999989</v>
      </c>
      <c r="D1043" s="52">
        <f t="shared" si="145"/>
        <v>2200</v>
      </c>
      <c r="E1043" s="52">
        <f t="shared" si="146"/>
        <v>1</v>
      </c>
      <c r="F1043" s="52"/>
      <c r="G1043" s="52"/>
      <c r="H1043" s="52"/>
      <c r="I1043" s="52"/>
      <c r="J1043" s="52"/>
      <c r="K1043" s="52"/>
      <c r="L1043" s="52"/>
      <c r="M1043" s="52"/>
      <c r="N1043" s="52"/>
      <c r="O1043" s="52"/>
      <c r="P1043" s="52"/>
      <c r="Q1043" s="52"/>
      <c r="R1043" s="52"/>
      <c r="S1043" s="52"/>
      <c r="T1043" s="52"/>
      <c r="U1043" s="52"/>
      <c r="V1043" s="52"/>
      <c r="W1043" s="52"/>
      <c r="X1043" s="52"/>
      <c r="Y1043" s="52"/>
      <c r="Z1043" s="52"/>
      <c r="AA1043" s="52"/>
      <c r="AB1043" s="52"/>
      <c r="AC1043" s="52"/>
      <c r="AD1043" s="52"/>
      <c r="AE1043" s="52"/>
      <c r="AF1043" s="52"/>
      <c r="AG1043" s="52"/>
      <c r="AH1043" s="52"/>
      <c r="AI1043" s="52"/>
      <c r="AJ1043" s="52"/>
      <c r="AK1043" s="52"/>
      <c r="AL1043" s="52"/>
      <c r="AM1043" s="52"/>
      <c r="AN1043" s="52"/>
    </row>
    <row r="1044" spans="1:40" x14ac:dyDescent="0.3">
      <c r="A1044" s="52">
        <v>1039</v>
      </c>
      <c r="B1044" s="52">
        <f>-bthan*500+(38+0.5)*bthan*1000/50</f>
        <v>1485</v>
      </c>
      <c r="C1044" s="52">
        <f t="shared" si="147"/>
        <v>-389.99999999999989</v>
      </c>
      <c r="D1044" s="52">
        <f t="shared" si="145"/>
        <v>2200</v>
      </c>
      <c r="E1044" s="52">
        <f t="shared" si="146"/>
        <v>1</v>
      </c>
      <c r="F1044" s="52"/>
      <c r="G1044" s="52"/>
      <c r="H1044" s="52"/>
      <c r="I1044" s="52"/>
      <c r="J1044" s="52"/>
      <c r="K1044" s="52"/>
      <c r="L1044" s="52"/>
      <c r="M1044" s="52"/>
      <c r="N1044" s="52"/>
      <c r="O1044" s="52"/>
      <c r="P1044" s="52"/>
      <c r="Q1044" s="52"/>
      <c r="R1044" s="52"/>
      <c r="S1044" s="52"/>
      <c r="T1044" s="52"/>
      <c r="U1044" s="52"/>
      <c r="V1044" s="52"/>
      <c r="W1044" s="52"/>
      <c r="X1044" s="52"/>
      <c r="Y1044" s="52"/>
      <c r="Z1044" s="52"/>
      <c r="AA1044" s="52"/>
      <c r="AB1044" s="52"/>
      <c r="AC1044" s="52"/>
      <c r="AD1044" s="52"/>
      <c r="AE1044" s="52"/>
      <c r="AF1044" s="52"/>
      <c r="AG1044" s="52"/>
      <c r="AH1044" s="52"/>
      <c r="AI1044" s="52"/>
      <c r="AJ1044" s="52"/>
      <c r="AK1044" s="52"/>
      <c r="AL1044" s="52"/>
      <c r="AM1044" s="52"/>
      <c r="AN1044" s="52"/>
    </row>
    <row r="1045" spans="1:40" x14ac:dyDescent="0.3">
      <c r="A1045" s="52">
        <v>1040</v>
      </c>
      <c r="B1045" s="52">
        <f>-bthan*500+(39+0.5)*bthan*1000/50</f>
        <v>1595</v>
      </c>
      <c r="C1045" s="52">
        <f t="shared" si="147"/>
        <v>-389.99999999999989</v>
      </c>
      <c r="D1045" s="52">
        <f t="shared" si="145"/>
        <v>2200</v>
      </c>
      <c r="E1045" s="52">
        <f t="shared" si="146"/>
        <v>1</v>
      </c>
      <c r="F1045" s="52"/>
      <c r="G1045" s="52"/>
      <c r="H1045" s="52"/>
      <c r="I1045" s="52"/>
      <c r="J1045" s="52"/>
      <c r="K1045" s="52"/>
      <c r="L1045" s="52"/>
      <c r="M1045" s="52"/>
      <c r="N1045" s="52"/>
      <c r="O1045" s="52"/>
      <c r="P1045" s="52"/>
      <c r="Q1045" s="52"/>
      <c r="R1045" s="52"/>
      <c r="S1045" s="52"/>
      <c r="T1045" s="52"/>
      <c r="U1045" s="52"/>
      <c r="V1045" s="52"/>
      <c r="W1045" s="52"/>
      <c r="X1045" s="52"/>
      <c r="Y1045" s="52"/>
      <c r="Z1045" s="52"/>
      <c r="AA1045" s="52"/>
      <c r="AB1045" s="52"/>
      <c r="AC1045" s="52"/>
      <c r="AD1045" s="52"/>
      <c r="AE1045" s="52"/>
      <c r="AF1045" s="52"/>
      <c r="AG1045" s="52"/>
      <c r="AH1045" s="52"/>
      <c r="AI1045" s="52"/>
      <c r="AJ1045" s="52"/>
      <c r="AK1045" s="52"/>
      <c r="AL1045" s="52"/>
      <c r="AM1045" s="52"/>
      <c r="AN1045" s="52"/>
    </row>
    <row r="1046" spans="1:40" x14ac:dyDescent="0.3">
      <c r="A1046" s="52">
        <v>1041</v>
      </c>
      <c r="B1046" s="52">
        <f>-bthan*500+(40+0.5)*bthan*1000/50</f>
        <v>1705</v>
      </c>
      <c r="C1046" s="52">
        <f t="shared" si="147"/>
        <v>-389.99999999999989</v>
      </c>
      <c r="D1046" s="52">
        <f t="shared" si="145"/>
        <v>2200</v>
      </c>
      <c r="E1046" s="52">
        <f t="shared" si="146"/>
        <v>1</v>
      </c>
      <c r="F1046" s="52"/>
      <c r="G1046" s="52"/>
      <c r="H1046" s="52"/>
      <c r="I1046" s="52"/>
      <c r="J1046" s="52"/>
      <c r="K1046" s="52"/>
      <c r="L1046" s="52"/>
      <c r="M1046" s="52"/>
      <c r="N1046" s="52"/>
      <c r="O1046" s="52"/>
      <c r="P1046" s="52"/>
      <c r="Q1046" s="52"/>
      <c r="R1046" s="52"/>
      <c r="S1046" s="52"/>
      <c r="T1046" s="52"/>
      <c r="U1046" s="52"/>
      <c r="V1046" s="52"/>
      <c r="W1046" s="52"/>
      <c r="X1046" s="52"/>
      <c r="Y1046" s="52"/>
      <c r="Z1046" s="52"/>
      <c r="AA1046" s="52"/>
      <c r="AB1046" s="52"/>
      <c r="AC1046" s="52"/>
      <c r="AD1046" s="52"/>
      <c r="AE1046" s="52"/>
      <c r="AF1046" s="52"/>
      <c r="AG1046" s="52"/>
      <c r="AH1046" s="52"/>
      <c r="AI1046" s="52"/>
      <c r="AJ1046" s="52"/>
      <c r="AK1046" s="52"/>
      <c r="AL1046" s="52"/>
      <c r="AM1046" s="52"/>
      <c r="AN1046" s="52"/>
    </row>
    <row r="1047" spans="1:40" x14ac:dyDescent="0.3">
      <c r="A1047" s="52">
        <v>1042</v>
      </c>
      <c r="B1047" s="52">
        <f>-bthan*500+(41+0.5)*bthan*1000/50</f>
        <v>1815</v>
      </c>
      <c r="C1047" s="52">
        <f t="shared" si="147"/>
        <v>-389.99999999999989</v>
      </c>
      <c r="D1047" s="52">
        <f t="shared" si="145"/>
        <v>2200</v>
      </c>
      <c r="E1047" s="52">
        <f t="shared" si="146"/>
        <v>1</v>
      </c>
      <c r="F1047" s="52"/>
      <c r="G1047" s="52"/>
      <c r="H1047" s="52"/>
      <c r="I1047" s="52"/>
      <c r="J1047" s="52"/>
      <c r="K1047" s="52"/>
      <c r="L1047" s="52"/>
      <c r="M1047" s="52"/>
      <c r="N1047" s="52"/>
      <c r="O1047" s="52"/>
      <c r="P1047" s="52"/>
      <c r="Q1047" s="52"/>
      <c r="R1047" s="52"/>
      <c r="S1047" s="52"/>
      <c r="T1047" s="52"/>
      <c r="U1047" s="52"/>
      <c r="V1047" s="52"/>
      <c r="W1047" s="52"/>
      <c r="X1047" s="52"/>
      <c r="Y1047" s="52"/>
      <c r="Z1047" s="52"/>
      <c r="AA1047" s="52"/>
      <c r="AB1047" s="52"/>
      <c r="AC1047" s="52"/>
      <c r="AD1047" s="52"/>
      <c r="AE1047" s="52"/>
      <c r="AF1047" s="52"/>
      <c r="AG1047" s="52"/>
      <c r="AH1047" s="52"/>
      <c r="AI1047" s="52"/>
      <c r="AJ1047" s="52"/>
      <c r="AK1047" s="52"/>
      <c r="AL1047" s="52"/>
      <c r="AM1047" s="52"/>
      <c r="AN1047" s="52"/>
    </row>
    <row r="1048" spans="1:40" x14ac:dyDescent="0.3">
      <c r="A1048" s="52">
        <v>1043</v>
      </c>
      <c r="B1048" s="52">
        <f>-bthan*500+(42+0.5)*bthan*1000/50</f>
        <v>1925</v>
      </c>
      <c r="C1048" s="52">
        <f t="shared" si="147"/>
        <v>-389.99999999999989</v>
      </c>
      <c r="D1048" s="52">
        <f t="shared" si="145"/>
        <v>2200</v>
      </c>
      <c r="E1048" s="52">
        <f t="shared" si="146"/>
        <v>1</v>
      </c>
      <c r="F1048" s="52"/>
      <c r="G1048" s="52"/>
      <c r="H1048" s="52"/>
      <c r="I1048" s="52"/>
      <c r="J1048" s="52"/>
      <c r="K1048" s="52"/>
      <c r="L1048" s="52"/>
      <c r="M1048" s="52"/>
      <c r="N1048" s="52"/>
      <c r="O1048" s="52"/>
      <c r="P1048" s="52"/>
      <c r="Q1048" s="52"/>
      <c r="R1048" s="52"/>
      <c r="S1048" s="52"/>
      <c r="T1048" s="52"/>
      <c r="U1048" s="52"/>
      <c r="V1048" s="52"/>
      <c r="W1048" s="52"/>
      <c r="X1048" s="52"/>
      <c r="Y1048" s="52"/>
      <c r="Z1048" s="52"/>
      <c r="AA1048" s="52"/>
      <c r="AB1048" s="52"/>
      <c r="AC1048" s="52"/>
      <c r="AD1048" s="52"/>
      <c r="AE1048" s="52"/>
      <c r="AF1048" s="52"/>
      <c r="AG1048" s="52"/>
      <c r="AH1048" s="52"/>
      <c r="AI1048" s="52"/>
      <c r="AJ1048" s="52"/>
      <c r="AK1048" s="52"/>
      <c r="AL1048" s="52"/>
      <c r="AM1048" s="52"/>
      <c r="AN1048" s="52"/>
    </row>
    <row r="1049" spans="1:40" x14ac:dyDescent="0.3">
      <c r="A1049" s="52">
        <v>1044</v>
      </c>
      <c r="B1049" s="52">
        <f>-bthan*500+(43+0.5)*bthan*1000/50</f>
        <v>2035</v>
      </c>
      <c r="C1049" s="52">
        <f t="shared" si="147"/>
        <v>-389.99999999999989</v>
      </c>
      <c r="D1049" s="52">
        <f t="shared" si="145"/>
        <v>2200</v>
      </c>
      <c r="E1049" s="52">
        <f t="shared" si="146"/>
        <v>1</v>
      </c>
      <c r="F1049" s="52"/>
      <c r="G1049" s="52"/>
      <c r="H1049" s="52"/>
      <c r="I1049" s="52"/>
      <c r="J1049" s="52"/>
      <c r="K1049" s="52"/>
      <c r="L1049" s="52"/>
      <c r="M1049" s="52"/>
      <c r="N1049" s="52"/>
      <c r="O1049" s="52"/>
      <c r="P1049" s="52"/>
      <c r="Q1049" s="52"/>
      <c r="R1049" s="52"/>
      <c r="S1049" s="52"/>
      <c r="T1049" s="52"/>
      <c r="U1049" s="52"/>
      <c r="V1049" s="52"/>
      <c r="W1049" s="52"/>
      <c r="X1049" s="52"/>
      <c r="Y1049" s="52"/>
      <c r="Z1049" s="52"/>
      <c r="AA1049" s="52"/>
      <c r="AB1049" s="52"/>
      <c r="AC1049" s="52"/>
      <c r="AD1049" s="52"/>
      <c r="AE1049" s="52"/>
      <c r="AF1049" s="52"/>
      <c r="AG1049" s="52"/>
      <c r="AH1049" s="52"/>
      <c r="AI1049" s="52"/>
      <c r="AJ1049" s="52"/>
      <c r="AK1049" s="52"/>
      <c r="AL1049" s="52"/>
      <c r="AM1049" s="52"/>
      <c r="AN1049" s="52"/>
    </row>
    <row r="1050" spans="1:40" x14ac:dyDescent="0.3">
      <c r="A1050" s="52">
        <v>1045</v>
      </c>
      <c r="B1050" s="52">
        <f>-bthan*500+(44+0.5)*bthan*1000/50</f>
        <v>2145</v>
      </c>
      <c r="C1050" s="52">
        <f t="shared" si="147"/>
        <v>-389.99999999999989</v>
      </c>
      <c r="D1050" s="52">
        <f t="shared" si="145"/>
        <v>2200</v>
      </c>
      <c r="E1050" s="52">
        <f t="shared" si="146"/>
        <v>1</v>
      </c>
      <c r="F1050" s="52"/>
      <c r="G1050" s="52"/>
      <c r="H1050" s="52"/>
      <c r="I1050" s="52"/>
      <c r="J1050" s="52"/>
      <c r="K1050" s="52"/>
      <c r="L1050" s="52"/>
      <c r="M1050" s="52"/>
      <c r="N1050" s="52"/>
      <c r="O1050" s="52"/>
      <c r="P1050" s="52"/>
      <c r="Q1050" s="52"/>
      <c r="R1050" s="52"/>
      <c r="S1050" s="52"/>
      <c r="T1050" s="52"/>
      <c r="U1050" s="52"/>
      <c r="V1050" s="52"/>
      <c r="W1050" s="52"/>
      <c r="X1050" s="52"/>
      <c r="Y1050" s="52"/>
      <c r="Z1050" s="52"/>
      <c r="AA1050" s="52"/>
      <c r="AB1050" s="52"/>
      <c r="AC1050" s="52"/>
      <c r="AD1050" s="52"/>
      <c r="AE1050" s="52"/>
      <c r="AF1050" s="52"/>
      <c r="AG1050" s="52"/>
      <c r="AH1050" s="52"/>
      <c r="AI1050" s="52"/>
      <c r="AJ1050" s="52"/>
      <c r="AK1050" s="52"/>
      <c r="AL1050" s="52"/>
      <c r="AM1050" s="52"/>
      <c r="AN1050" s="52"/>
    </row>
    <row r="1051" spans="1:40" x14ac:dyDescent="0.3">
      <c r="A1051" s="52">
        <v>1046</v>
      </c>
      <c r="B1051" s="52">
        <f>-bthan*500+(45+0.5)*bthan*1000/50</f>
        <v>2255</v>
      </c>
      <c r="C1051" s="52">
        <f t="shared" si="147"/>
        <v>-389.99999999999989</v>
      </c>
      <c r="D1051" s="52">
        <f t="shared" si="145"/>
        <v>2200</v>
      </c>
      <c r="E1051" s="52">
        <f t="shared" si="146"/>
        <v>1</v>
      </c>
      <c r="F1051" s="52"/>
      <c r="G1051" s="52"/>
      <c r="H1051" s="52"/>
      <c r="I1051" s="52"/>
      <c r="J1051" s="52"/>
      <c r="K1051" s="52"/>
      <c r="L1051" s="52"/>
      <c r="M1051" s="52"/>
      <c r="N1051" s="52"/>
      <c r="O1051" s="52"/>
      <c r="P1051" s="52"/>
      <c r="Q1051" s="52"/>
      <c r="R1051" s="52"/>
      <c r="S1051" s="52"/>
      <c r="T1051" s="52"/>
      <c r="U1051" s="52"/>
      <c r="V1051" s="52"/>
      <c r="W1051" s="52"/>
      <c r="X1051" s="52"/>
      <c r="Y1051" s="52"/>
      <c r="Z1051" s="52"/>
      <c r="AA1051" s="52"/>
      <c r="AB1051" s="52"/>
      <c r="AC1051" s="52"/>
      <c r="AD1051" s="52"/>
      <c r="AE1051" s="52"/>
      <c r="AF1051" s="52"/>
      <c r="AG1051" s="52"/>
      <c r="AH1051" s="52"/>
      <c r="AI1051" s="52"/>
      <c r="AJ1051" s="52"/>
      <c r="AK1051" s="52"/>
      <c r="AL1051" s="52"/>
      <c r="AM1051" s="52"/>
      <c r="AN1051" s="52"/>
    </row>
    <row r="1052" spans="1:40" x14ac:dyDescent="0.3">
      <c r="A1052" s="52">
        <v>1047</v>
      </c>
      <c r="B1052" s="52">
        <f>-bthan*500+(46+0.5)*bthan*1000/50</f>
        <v>2365</v>
      </c>
      <c r="C1052" s="52">
        <f t="shared" si="147"/>
        <v>-389.99999999999989</v>
      </c>
      <c r="D1052" s="52">
        <f t="shared" si="145"/>
        <v>2200</v>
      </c>
      <c r="E1052" s="52">
        <f t="shared" si="146"/>
        <v>1</v>
      </c>
      <c r="F1052" s="52"/>
      <c r="G1052" s="52"/>
      <c r="H1052" s="52"/>
      <c r="I1052" s="52"/>
      <c r="J1052" s="52"/>
      <c r="K1052" s="52"/>
      <c r="L1052" s="52"/>
      <c r="M1052" s="52"/>
      <c r="N1052" s="52"/>
      <c r="O1052" s="52"/>
      <c r="P1052" s="52"/>
      <c r="Q1052" s="52"/>
      <c r="R1052" s="52"/>
      <c r="S1052" s="52"/>
      <c r="T1052" s="52"/>
      <c r="U1052" s="52"/>
      <c r="V1052" s="52"/>
      <c r="W1052" s="52"/>
      <c r="X1052" s="52"/>
      <c r="Y1052" s="52"/>
      <c r="Z1052" s="52"/>
      <c r="AA1052" s="52"/>
      <c r="AB1052" s="52"/>
      <c r="AC1052" s="52"/>
      <c r="AD1052" s="52"/>
      <c r="AE1052" s="52"/>
      <c r="AF1052" s="52"/>
      <c r="AG1052" s="52"/>
      <c r="AH1052" s="52"/>
      <c r="AI1052" s="52"/>
      <c r="AJ1052" s="52"/>
      <c r="AK1052" s="52"/>
      <c r="AL1052" s="52"/>
      <c r="AM1052" s="52"/>
      <c r="AN1052" s="52"/>
    </row>
    <row r="1053" spans="1:40" x14ac:dyDescent="0.3">
      <c r="A1053" s="52">
        <v>1048</v>
      </c>
      <c r="B1053" s="52">
        <f>-bthan*500+(47+0.5)*bthan*1000/50</f>
        <v>2475</v>
      </c>
      <c r="C1053" s="52">
        <f t="shared" si="147"/>
        <v>-389.99999999999989</v>
      </c>
      <c r="D1053" s="52">
        <f t="shared" si="145"/>
        <v>2200</v>
      </c>
      <c r="E1053" s="52">
        <f t="shared" si="146"/>
        <v>1</v>
      </c>
      <c r="F1053" s="52"/>
      <c r="G1053" s="52"/>
      <c r="H1053" s="52"/>
      <c r="I1053" s="52"/>
      <c r="J1053" s="52"/>
      <c r="K1053" s="52"/>
      <c r="L1053" s="52"/>
      <c r="M1053" s="52"/>
      <c r="N1053" s="52"/>
      <c r="O1053" s="52"/>
      <c r="P1053" s="52"/>
      <c r="Q1053" s="52"/>
      <c r="R1053" s="52"/>
      <c r="S1053" s="52"/>
      <c r="T1053" s="52"/>
      <c r="U1053" s="52"/>
      <c r="V1053" s="52"/>
      <c r="W1053" s="52"/>
      <c r="X1053" s="52"/>
      <c r="Y1053" s="52"/>
      <c r="Z1053" s="52"/>
      <c r="AA1053" s="52"/>
      <c r="AB1053" s="52"/>
      <c r="AC1053" s="52"/>
      <c r="AD1053" s="52"/>
      <c r="AE1053" s="52"/>
      <c r="AF1053" s="52"/>
      <c r="AG1053" s="52"/>
      <c r="AH1053" s="52"/>
      <c r="AI1053" s="52"/>
      <c r="AJ1053" s="52"/>
      <c r="AK1053" s="52"/>
      <c r="AL1053" s="52"/>
      <c r="AM1053" s="52"/>
      <c r="AN1053" s="52"/>
    </row>
    <row r="1054" spans="1:40" x14ac:dyDescent="0.3">
      <c r="A1054" s="52">
        <v>1049</v>
      </c>
      <c r="B1054" s="52">
        <f>-bthan*500+(48+0.5)*bthan*1000/50</f>
        <v>2585</v>
      </c>
      <c r="C1054" s="52">
        <f t="shared" si="147"/>
        <v>-389.99999999999989</v>
      </c>
      <c r="D1054" s="52">
        <f t="shared" si="145"/>
        <v>2200</v>
      </c>
      <c r="E1054" s="52">
        <f t="shared" si="146"/>
        <v>1</v>
      </c>
      <c r="F1054" s="52"/>
      <c r="G1054" s="52"/>
      <c r="H1054" s="52"/>
      <c r="I1054" s="52"/>
      <c r="J1054" s="52"/>
      <c r="K1054" s="52"/>
      <c r="L1054" s="52"/>
      <c r="M1054" s="52"/>
      <c r="N1054" s="52"/>
      <c r="O1054" s="52"/>
      <c r="P1054" s="52"/>
      <c r="Q1054" s="52"/>
      <c r="R1054" s="52"/>
      <c r="S1054" s="52"/>
      <c r="T1054" s="52"/>
      <c r="U1054" s="52"/>
      <c r="V1054" s="52"/>
      <c r="W1054" s="52"/>
      <c r="X1054" s="52"/>
      <c r="Y1054" s="52"/>
      <c r="Z1054" s="52"/>
      <c r="AA1054" s="52"/>
      <c r="AB1054" s="52"/>
      <c r="AC1054" s="52"/>
      <c r="AD1054" s="52"/>
      <c r="AE1054" s="52"/>
      <c r="AF1054" s="52"/>
      <c r="AG1054" s="52"/>
      <c r="AH1054" s="52"/>
      <c r="AI1054" s="52"/>
      <c r="AJ1054" s="52"/>
      <c r="AK1054" s="52"/>
      <c r="AL1054" s="52"/>
      <c r="AM1054" s="52"/>
      <c r="AN1054" s="52"/>
    </row>
    <row r="1055" spans="1:40" x14ac:dyDescent="0.3">
      <c r="A1055" s="52">
        <v>1050</v>
      </c>
      <c r="B1055" s="52">
        <f>-bthan*500+(49+0.5)*bthan*1000/50</f>
        <v>2695</v>
      </c>
      <c r="C1055" s="52">
        <f t="shared" si="147"/>
        <v>-389.99999999999989</v>
      </c>
      <c r="D1055" s="52">
        <f t="shared" si="145"/>
        <v>2200</v>
      </c>
      <c r="E1055" s="52">
        <f t="shared" si="146"/>
        <v>0</v>
      </c>
      <c r="F1055" s="52"/>
      <c r="G1055" s="52"/>
      <c r="H1055" s="52"/>
      <c r="I1055" s="52"/>
      <c r="J1055" s="52"/>
      <c r="K1055" s="52"/>
      <c r="L1055" s="52"/>
      <c r="M1055" s="52"/>
      <c r="N1055" s="52"/>
      <c r="O1055" s="52"/>
      <c r="P1055" s="52"/>
      <c r="Q1055" s="52"/>
      <c r="R1055" s="52"/>
      <c r="S1055" s="52"/>
      <c r="T1055" s="52"/>
      <c r="U1055" s="52"/>
      <c r="V1055" s="52"/>
      <c r="W1055" s="52"/>
      <c r="X1055" s="52"/>
      <c r="Y1055" s="52"/>
      <c r="Z1055" s="52"/>
      <c r="AA1055" s="52"/>
      <c r="AB1055" s="52"/>
      <c r="AC1055" s="52"/>
      <c r="AD1055" s="52"/>
      <c r="AE1055" s="52"/>
      <c r="AF1055" s="52"/>
      <c r="AG1055" s="52"/>
      <c r="AH1055" s="52"/>
      <c r="AI1055" s="52"/>
      <c r="AJ1055" s="52"/>
      <c r="AK1055" s="52"/>
      <c r="AL1055" s="52"/>
      <c r="AM1055" s="52"/>
      <c r="AN1055" s="52"/>
    </row>
    <row r="1056" spans="1:40" x14ac:dyDescent="0.3">
      <c r="A1056" s="52">
        <v>1051</v>
      </c>
      <c r="B1056" s="52">
        <f>-bthan*500+(0+0.5)*bthan*1000/50</f>
        <v>-2695</v>
      </c>
      <c r="C1056" s="52">
        <f t="shared" ref="C1056:C1087" si="148">-hthan*500+(21+0.5)*hthan*1000/80</f>
        <v>-370</v>
      </c>
      <c r="D1056" s="52">
        <f t="shared" si="145"/>
        <v>2200</v>
      </c>
      <c r="E1056" s="52">
        <f t="shared" si="146"/>
        <v>0</v>
      </c>
      <c r="F1056" s="52"/>
      <c r="G1056" s="52"/>
      <c r="H1056" s="52"/>
      <c r="I1056" s="52"/>
      <c r="J1056" s="52"/>
      <c r="K1056" s="52"/>
      <c r="L1056" s="52"/>
      <c r="M1056" s="52"/>
      <c r="N1056" s="52"/>
      <c r="O1056" s="52"/>
      <c r="P1056" s="52"/>
      <c r="Q1056" s="52"/>
      <c r="R1056" s="52"/>
      <c r="S1056" s="52"/>
      <c r="T1056" s="52"/>
      <c r="U1056" s="52"/>
      <c r="V1056" s="52"/>
      <c r="W1056" s="52"/>
      <c r="X1056" s="52"/>
      <c r="Y1056" s="52"/>
      <c r="Z1056" s="52"/>
      <c r="AA1056" s="52"/>
      <c r="AB1056" s="52"/>
      <c r="AC1056" s="52"/>
      <c r="AD1056" s="52"/>
      <c r="AE1056" s="52"/>
      <c r="AF1056" s="52"/>
      <c r="AG1056" s="52"/>
      <c r="AH1056" s="52"/>
      <c r="AI1056" s="52"/>
      <c r="AJ1056" s="52"/>
      <c r="AK1056" s="52"/>
      <c r="AL1056" s="52"/>
      <c r="AM1056" s="52"/>
      <c r="AN1056" s="52"/>
    </row>
    <row r="1057" spans="1:40" x14ac:dyDescent="0.3">
      <c r="A1057" s="52">
        <v>1052</v>
      </c>
      <c r="B1057" s="52">
        <f>-bthan*500+(1+0.5)*bthan*1000/50</f>
        <v>-2585</v>
      </c>
      <c r="C1057" s="52">
        <f t="shared" si="148"/>
        <v>-370</v>
      </c>
      <c r="D1057" s="52">
        <f t="shared" si="145"/>
        <v>2200</v>
      </c>
      <c r="E1057" s="52">
        <f t="shared" si="146"/>
        <v>1</v>
      </c>
      <c r="F1057" s="52"/>
      <c r="G1057" s="52"/>
      <c r="H1057" s="52"/>
      <c r="I1057" s="52"/>
      <c r="J1057" s="52"/>
      <c r="K1057" s="52"/>
      <c r="L1057" s="52"/>
      <c r="M1057" s="52"/>
      <c r="N1057" s="52"/>
      <c r="O1057" s="52"/>
      <c r="P1057" s="52"/>
      <c r="Q1057" s="52"/>
      <c r="R1057" s="52"/>
      <c r="S1057" s="52"/>
      <c r="T1057" s="52"/>
      <c r="U1057" s="52"/>
      <c r="V1057" s="52"/>
      <c r="W1057" s="52"/>
      <c r="X1057" s="52"/>
      <c r="Y1057" s="52"/>
      <c r="Z1057" s="52"/>
      <c r="AA1057" s="52"/>
      <c r="AB1057" s="52"/>
      <c r="AC1057" s="52"/>
      <c r="AD1057" s="52"/>
      <c r="AE1057" s="52"/>
      <c r="AF1057" s="52"/>
      <c r="AG1057" s="52"/>
      <c r="AH1057" s="52"/>
      <c r="AI1057" s="52"/>
      <c r="AJ1057" s="52"/>
      <c r="AK1057" s="52"/>
      <c r="AL1057" s="52"/>
      <c r="AM1057" s="52"/>
      <c r="AN1057" s="52"/>
    </row>
    <row r="1058" spans="1:40" x14ac:dyDescent="0.3">
      <c r="A1058" s="52">
        <v>1053</v>
      </c>
      <c r="B1058" s="52">
        <f>-bthan*500+(2+0.5)*bthan*1000/50</f>
        <v>-2475</v>
      </c>
      <c r="C1058" s="52">
        <f t="shared" si="148"/>
        <v>-370</v>
      </c>
      <c r="D1058" s="52">
        <f t="shared" si="145"/>
        <v>2200</v>
      </c>
      <c r="E1058" s="52">
        <f t="shared" si="146"/>
        <v>1</v>
      </c>
      <c r="F1058" s="52"/>
      <c r="G1058" s="52"/>
      <c r="H1058" s="52"/>
      <c r="I1058" s="52"/>
      <c r="J1058" s="52"/>
      <c r="K1058" s="52"/>
      <c r="L1058" s="52"/>
      <c r="M1058" s="52"/>
      <c r="N1058" s="52"/>
      <c r="O1058" s="52"/>
      <c r="P1058" s="52"/>
      <c r="Q1058" s="52"/>
      <c r="R1058" s="52"/>
      <c r="S1058" s="52"/>
      <c r="T1058" s="52"/>
      <c r="U1058" s="52"/>
      <c r="V1058" s="52"/>
      <c r="W1058" s="52"/>
      <c r="X1058" s="52"/>
      <c r="Y1058" s="52"/>
      <c r="Z1058" s="52"/>
      <c r="AA1058" s="52"/>
      <c r="AB1058" s="52"/>
      <c r="AC1058" s="52"/>
      <c r="AD1058" s="52"/>
      <c r="AE1058" s="52"/>
      <c r="AF1058" s="52"/>
      <c r="AG1058" s="52"/>
      <c r="AH1058" s="52"/>
      <c r="AI1058" s="52"/>
      <c r="AJ1058" s="52"/>
      <c r="AK1058" s="52"/>
      <c r="AL1058" s="52"/>
      <c r="AM1058" s="52"/>
      <c r="AN1058" s="52"/>
    </row>
    <row r="1059" spans="1:40" x14ac:dyDescent="0.3">
      <c r="A1059" s="52">
        <v>1054</v>
      </c>
      <c r="B1059" s="52">
        <f>-bthan*500+(3+0.5)*bthan*1000/50</f>
        <v>-2365</v>
      </c>
      <c r="C1059" s="52">
        <f t="shared" si="148"/>
        <v>-370</v>
      </c>
      <c r="D1059" s="52">
        <f t="shared" si="145"/>
        <v>2200</v>
      </c>
      <c r="E1059" s="52">
        <f t="shared" si="146"/>
        <v>1</v>
      </c>
      <c r="F1059" s="52"/>
      <c r="G1059" s="52"/>
      <c r="H1059" s="52"/>
      <c r="I1059" s="52"/>
      <c r="J1059" s="52"/>
      <c r="K1059" s="52"/>
      <c r="L1059" s="52"/>
      <c r="M1059" s="52"/>
      <c r="N1059" s="52"/>
      <c r="O1059" s="52"/>
      <c r="P1059" s="52"/>
      <c r="Q1059" s="52"/>
      <c r="R1059" s="52"/>
      <c r="S1059" s="52"/>
      <c r="T1059" s="52"/>
      <c r="U1059" s="52"/>
      <c r="V1059" s="52"/>
      <c r="W1059" s="52"/>
      <c r="X1059" s="52"/>
      <c r="Y1059" s="52"/>
      <c r="Z1059" s="52"/>
      <c r="AA1059" s="52"/>
      <c r="AB1059" s="52"/>
      <c r="AC1059" s="52"/>
      <c r="AD1059" s="52"/>
      <c r="AE1059" s="52"/>
      <c r="AF1059" s="52"/>
      <c r="AG1059" s="52"/>
      <c r="AH1059" s="52"/>
      <c r="AI1059" s="52"/>
      <c r="AJ1059" s="52"/>
      <c r="AK1059" s="52"/>
      <c r="AL1059" s="52"/>
      <c r="AM1059" s="52"/>
      <c r="AN1059" s="52"/>
    </row>
    <row r="1060" spans="1:40" x14ac:dyDescent="0.3">
      <c r="A1060" s="52">
        <v>1055</v>
      </c>
      <c r="B1060" s="52">
        <f>-bthan*500+(4+0.5)*bthan*1000/50</f>
        <v>-2255</v>
      </c>
      <c r="C1060" s="52">
        <f t="shared" si="148"/>
        <v>-370</v>
      </c>
      <c r="D1060" s="52">
        <f t="shared" si="145"/>
        <v>2200</v>
      </c>
      <c r="E1060" s="52">
        <f t="shared" si="146"/>
        <v>1</v>
      </c>
      <c r="F1060" s="52"/>
      <c r="G1060" s="52"/>
      <c r="H1060" s="52"/>
      <c r="I1060" s="52"/>
      <c r="J1060" s="52"/>
      <c r="K1060" s="52"/>
      <c r="L1060" s="52"/>
      <c r="M1060" s="52"/>
      <c r="N1060" s="52"/>
      <c r="O1060" s="52"/>
      <c r="P1060" s="52"/>
      <c r="Q1060" s="52"/>
      <c r="R1060" s="52"/>
      <c r="S1060" s="52"/>
      <c r="T1060" s="52"/>
      <c r="U1060" s="52"/>
      <c r="V1060" s="52"/>
      <c r="W1060" s="52"/>
      <c r="X1060" s="52"/>
      <c r="Y1060" s="52"/>
      <c r="Z1060" s="52"/>
      <c r="AA1060" s="52"/>
      <c r="AB1060" s="52"/>
      <c r="AC1060" s="52"/>
      <c r="AD1060" s="52"/>
      <c r="AE1060" s="52"/>
      <c r="AF1060" s="52"/>
      <c r="AG1060" s="52"/>
      <c r="AH1060" s="52"/>
      <c r="AI1060" s="52"/>
      <c r="AJ1060" s="52"/>
      <c r="AK1060" s="52"/>
      <c r="AL1060" s="52"/>
      <c r="AM1060" s="52"/>
      <c r="AN1060" s="52"/>
    </row>
    <row r="1061" spans="1:40" x14ac:dyDescent="0.3">
      <c r="A1061" s="52">
        <v>1056</v>
      </c>
      <c r="B1061" s="52">
        <f>-bthan*500+(5+0.5)*bthan*1000/50</f>
        <v>-2145</v>
      </c>
      <c r="C1061" s="52">
        <f t="shared" si="148"/>
        <v>-370</v>
      </c>
      <c r="D1061" s="52">
        <f t="shared" si="145"/>
        <v>2200</v>
      </c>
      <c r="E1061" s="52">
        <f t="shared" si="146"/>
        <v>1</v>
      </c>
      <c r="F1061" s="52"/>
      <c r="G1061" s="52"/>
      <c r="H1061" s="52"/>
      <c r="I1061" s="52"/>
      <c r="J1061" s="52"/>
      <c r="K1061" s="52"/>
      <c r="L1061" s="52"/>
      <c r="M1061" s="52"/>
      <c r="N1061" s="52"/>
      <c r="O1061" s="52"/>
      <c r="P1061" s="52"/>
      <c r="Q1061" s="52"/>
      <c r="R1061" s="52"/>
      <c r="S1061" s="52"/>
      <c r="T1061" s="52"/>
      <c r="U1061" s="52"/>
      <c r="V1061" s="52"/>
      <c r="W1061" s="52"/>
      <c r="X1061" s="52"/>
      <c r="Y1061" s="52"/>
      <c r="Z1061" s="52"/>
      <c r="AA1061" s="52"/>
      <c r="AB1061" s="52"/>
      <c r="AC1061" s="52"/>
      <c r="AD1061" s="52"/>
      <c r="AE1061" s="52"/>
      <c r="AF1061" s="52"/>
      <c r="AG1061" s="52"/>
      <c r="AH1061" s="52"/>
      <c r="AI1061" s="52"/>
      <c r="AJ1061" s="52"/>
      <c r="AK1061" s="52"/>
      <c r="AL1061" s="52"/>
      <c r="AM1061" s="52"/>
      <c r="AN1061" s="52"/>
    </row>
    <row r="1062" spans="1:40" x14ac:dyDescent="0.3">
      <c r="A1062" s="52">
        <v>1057</v>
      </c>
      <c r="B1062" s="52">
        <f>-bthan*500+(6+0.5)*bthan*1000/50</f>
        <v>-2035</v>
      </c>
      <c r="C1062" s="52">
        <f t="shared" si="148"/>
        <v>-370</v>
      </c>
      <c r="D1062" s="52">
        <f t="shared" si="145"/>
        <v>2200</v>
      </c>
      <c r="E1062" s="52">
        <f t="shared" si="146"/>
        <v>1</v>
      </c>
      <c r="F1062" s="52"/>
      <c r="G1062" s="52"/>
      <c r="H1062" s="52"/>
      <c r="I1062" s="52"/>
      <c r="J1062" s="52"/>
      <c r="K1062" s="52"/>
      <c r="L1062" s="52"/>
      <c r="M1062" s="52"/>
      <c r="N1062" s="52"/>
      <c r="O1062" s="52"/>
      <c r="P1062" s="52"/>
      <c r="Q1062" s="52"/>
      <c r="R1062" s="52"/>
      <c r="S1062" s="52"/>
      <c r="T1062" s="52"/>
      <c r="U1062" s="52"/>
      <c r="V1062" s="52"/>
      <c r="W1062" s="52"/>
      <c r="X1062" s="52"/>
      <c r="Y1062" s="52"/>
      <c r="Z1062" s="52"/>
      <c r="AA1062" s="52"/>
      <c r="AB1062" s="52"/>
      <c r="AC1062" s="52"/>
      <c r="AD1062" s="52"/>
      <c r="AE1062" s="52"/>
      <c r="AF1062" s="52"/>
      <c r="AG1062" s="52"/>
      <c r="AH1062" s="52"/>
      <c r="AI1062" s="52"/>
      <c r="AJ1062" s="52"/>
      <c r="AK1062" s="52"/>
      <c r="AL1062" s="52"/>
      <c r="AM1062" s="52"/>
      <c r="AN1062" s="52"/>
    </row>
    <row r="1063" spans="1:40" x14ac:dyDescent="0.3">
      <c r="A1063" s="52">
        <v>1058</v>
      </c>
      <c r="B1063" s="52">
        <f>-bthan*500+(7+0.5)*bthan*1000/50</f>
        <v>-1925</v>
      </c>
      <c r="C1063" s="52">
        <f t="shared" si="148"/>
        <v>-370</v>
      </c>
      <c r="D1063" s="52">
        <f t="shared" si="145"/>
        <v>2200</v>
      </c>
      <c r="E1063" s="52">
        <f t="shared" si="146"/>
        <v>1</v>
      </c>
      <c r="F1063" s="52"/>
      <c r="G1063" s="52"/>
      <c r="H1063" s="52"/>
      <c r="I1063" s="52"/>
      <c r="J1063" s="52"/>
      <c r="K1063" s="52"/>
      <c r="L1063" s="52"/>
      <c r="M1063" s="52"/>
      <c r="N1063" s="52"/>
      <c r="O1063" s="52"/>
      <c r="P1063" s="52"/>
      <c r="Q1063" s="52"/>
      <c r="R1063" s="52"/>
      <c r="S1063" s="52"/>
      <c r="T1063" s="52"/>
      <c r="U1063" s="52"/>
      <c r="V1063" s="52"/>
      <c r="W1063" s="52"/>
      <c r="X1063" s="52"/>
      <c r="Y1063" s="52"/>
      <c r="Z1063" s="52"/>
      <c r="AA1063" s="52"/>
      <c r="AB1063" s="52"/>
      <c r="AC1063" s="52"/>
      <c r="AD1063" s="52"/>
      <c r="AE1063" s="52"/>
      <c r="AF1063" s="52"/>
      <c r="AG1063" s="52"/>
      <c r="AH1063" s="52"/>
      <c r="AI1063" s="52"/>
      <c r="AJ1063" s="52"/>
      <c r="AK1063" s="52"/>
      <c r="AL1063" s="52"/>
      <c r="AM1063" s="52"/>
      <c r="AN1063" s="52"/>
    </row>
    <row r="1064" spans="1:40" x14ac:dyDescent="0.3">
      <c r="A1064" s="52">
        <v>1059</v>
      </c>
      <c r="B1064" s="52">
        <f>-bthan*500+(8+0.5)*bthan*1000/50</f>
        <v>-1815</v>
      </c>
      <c r="C1064" s="52">
        <f t="shared" si="148"/>
        <v>-370</v>
      </c>
      <c r="D1064" s="52">
        <f t="shared" si="145"/>
        <v>2200</v>
      </c>
      <c r="E1064" s="52">
        <f t="shared" si="146"/>
        <v>1</v>
      </c>
      <c r="F1064" s="52"/>
      <c r="G1064" s="52"/>
      <c r="H1064" s="52"/>
      <c r="I1064" s="52"/>
      <c r="J1064" s="52"/>
      <c r="K1064" s="52"/>
      <c r="L1064" s="52"/>
      <c r="M1064" s="52"/>
      <c r="N1064" s="52"/>
      <c r="O1064" s="52"/>
      <c r="P1064" s="52"/>
      <c r="Q1064" s="52"/>
      <c r="R1064" s="52"/>
      <c r="S1064" s="52"/>
      <c r="T1064" s="52"/>
      <c r="U1064" s="52"/>
      <c r="V1064" s="52"/>
      <c r="W1064" s="52"/>
      <c r="X1064" s="52"/>
      <c r="Y1064" s="52"/>
      <c r="Z1064" s="52"/>
      <c r="AA1064" s="52"/>
      <c r="AB1064" s="52"/>
      <c r="AC1064" s="52"/>
      <c r="AD1064" s="52"/>
      <c r="AE1064" s="52"/>
      <c r="AF1064" s="52"/>
      <c r="AG1064" s="52"/>
      <c r="AH1064" s="52"/>
      <c r="AI1064" s="52"/>
      <c r="AJ1064" s="52"/>
      <c r="AK1064" s="52"/>
      <c r="AL1064" s="52"/>
      <c r="AM1064" s="52"/>
      <c r="AN1064" s="52"/>
    </row>
    <row r="1065" spans="1:40" x14ac:dyDescent="0.3">
      <c r="A1065" s="52">
        <v>1060</v>
      </c>
      <c r="B1065" s="52">
        <f>-bthan*500+(9+0.5)*bthan*1000/50</f>
        <v>-1705</v>
      </c>
      <c r="C1065" s="52">
        <f t="shared" si="148"/>
        <v>-370</v>
      </c>
      <c r="D1065" s="52">
        <f t="shared" si="145"/>
        <v>2200</v>
      </c>
      <c r="E1065" s="52">
        <f t="shared" si="146"/>
        <v>1</v>
      </c>
      <c r="F1065" s="52"/>
      <c r="G1065" s="52"/>
      <c r="H1065" s="52"/>
      <c r="I1065" s="52"/>
      <c r="J1065" s="52"/>
      <c r="K1065" s="52"/>
      <c r="L1065" s="52"/>
      <c r="M1065" s="52"/>
      <c r="N1065" s="52"/>
      <c r="O1065" s="52"/>
      <c r="P1065" s="52"/>
      <c r="Q1065" s="52"/>
      <c r="R1065" s="52"/>
      <c r="S1065" s="52"/>
      <c r="T1065" s="52"/>
      <c r="U1065" s="52"/>
      <c r="V1065" s="52"/>
      <c r="W1065" s="52"/>
      <c r="X1065" s="52"/>
      <c r="Y1065" s="52"/>
      <c r="Z1065" s="52"/>
      <c r="AA1065" s="52"/>
      <c r="AB1065" s="52"/>
      <c r="AC1065" s="52"/>
      <c r="AD1065" s="52"/>
      <c r="AE1065" s="52"/>
      <c r="AF1065" s="52"/>
      <c r="AG1065" s="52"/>
      <c r="AH1065" s="52"/>
      <c r="AI1065" s="52"/>
      <c r="AJ1065" s="52"/>
      <c r="AK1065" s="52"/>
      <c r="AL1065" s="52"/>
      <c r="AM1065" s="52"/>
      <c r="AN1065" s="52"/>
    </row>
    <row r="1066" spans="1:40" x14ac:dyDescent="0.3">
      <c r="A1066" s="52">
        <v>1061</v>
      </c>
      <c r="B1066" s="52">
        <f>-bthan*500+(10+0.5)*bthan*1000/50</f>
        <v>-1595</v>
      </c>
      <c r="C1066" s="52">
        <f t="shared" si="148"/>
        <v>-370</v>
      </c>
      <c r="D1066" s="52">
        <f t="shared" si="145"/>
        <v>2200</v>
      </c>
      <c r="E1066" s="52">
        <f t="shared" si="146"/>
        <v>1</v>
      </c>
      <c r="F1066" s="52"/>
      <c r="G1066" s="52"/>
      <c r="H1066" s="52"/>
      <c r="I1066" s="52"/>
      <c r="J1066" s="52"/>
      <c r="K1066" s="52"/>
      <c r="L1066" s="52"/>
      <c r="M1066" s="52"/>
      <c r="N1066" s="52"/>
      <c r="O1066" s="52"/>
      <c r="P1066" s="52"/>
      <c r="Q1066" s="52"/>
      <c r="R1066" s="52"/>
      <c r="S1066" s="52"/>
      <c r="T1066" s="52"/>
      <c r="U1066" s="52"/>
      <c r="V1066" s="52"/>
      <c r="W1066" s="52"/>
      <c r="X1066" s="52"/>
      <c r="Y1066" s="52"/>
      <c r="Z1066" s="52"/>
      <c r="AA1066" s="52"/>
      <c r="AB1066" s="52"/>
      <c r="AC1066" s="52"/>
      <c r="AD1066" s="52"/>
      <c r="AE1066" s="52"/>
      <c r="AF1066" s="52"/>
      <c r="AG1066" s="52"/>
      <c r="AH1066" s="52"/>
      <c r="AI1066" s="52"/>
      <c r="AJ1066" s="52"/>
      <c r="AK1066" s="52"/>
      <c r="AL1066" s="52"/>
      <c r="AM1066" s="52"/>
      <c r="AN1066" s="52"/>
    </row>
    <row r="1067" spans="1:40" x14ac:dyDescent="0.3">
      <c r="A1067" s="52">
        <v>1062</v>
      </c>
      <c r="B1067" s="52">
        <f>-bthan*500+(11+0.5)*bthan*1000/50</f>
        <v>-1485</v>
      </c>
      <c r="C1067" s="52">
        <f t="shared" si="148"/>
        <v>-370</v>
      </c>
      <c r="D1067" s="52">
        <f t="shared" si="145"/>
        <v>2200</v>
      </c>
      <c r="E1067" s="52">
        <f t="shared" si="146"/>
        <v>1</v>
      </c>
      <c r="F1067" s="52"/>
      <c r="G1067" s="52"/>
      <c r="H1067" s="52"/>
      <c r="I1067" s="52"/>
      <c r="J1067" s="52"/>
      <c r="K1067" s="52"/>
      <c r="L1067" s="52"/>
      <c r="M1067" s="52"/>
      <c r="N1067" s="52"/>
      <c r="O1067" s="52"/>
      <c r="P1067" s="52"/>
      <c r="Q1067" s="52"/>
      <c r="R1067" s="52"/>
      <c r="S1067" s="52"/>
      <c r="T1067" s="52"/>
      <c r="U1067" s="52"/>
      <c r="V1067" s="52"/>
      <c r="W1067" s="52"/>
      <c r="X1067" s="52"/>
      <c r="Y1067" s="52"/>
      <c r="Z1067" s="52"/>
      <c r="AA1067" s="52"/>
      <c r="AB1067" s="52"/>
      <c r="AC1067" s="52"/>
      <c r="AD1067" s="52"/>
      <c r="AE1067" s="52"/>
      <c r="AF1067" s="52"/>
      <c r="AG1067" s="52"/>
      <c r="AH1067" s="52"/>
      <c r="AI1067" s="52"/>
      <c r="AJ1067" s="52"/>
      <c r="AK1067" s="52"/>
      <c r="AL1067" s="52"/>
      <c r="AM1067" s="52"/>
      <c r="AN1067" s="52"/>
    </row>
    <row r="1068" spans="1:40" x14ac:dyDescent="0.3">
      <c r="A1068" s="52">
        <v>1063</v>
      </c>
      <c r="B1068" s="52">
        <f>-bthan*500+(12+0.5)*bthan*1000/50</f>
        <v>-1375</v>
      </c>
      <c r="C1068" s="52">
        <f t="shared" si="148"/>
        <v>-370</v>
      </c>
      <c r="D1068" s="52">
        <f t="shared" si="145"/>
        <v>2200</v>
      </c>
      <c r="E1068" s="52">
        <f t="shared" si="146"/>
        <v>1</v>
      </c>
      <c r="F1068" s="52"/>
      <c r="G1068" s="52"/>
      <c r="H1068" s="52"/>
      <c r="I1068" s="52"/>
      <c r="J1068" s="52"/>
      <c r="K1068" s="52"/>
      <c r="L1068" s="52"/>
      <c r="M1068" s="52"/>
      <c r="N1068" s="52"/>
      <c r="O1068" s="52"/>
      <c r="P1068" s="52"/>
      <c r="Q1068" s="52"/>
      <c r="R1068" s="52"/>
      <c r="S1068" s="52"/>
      <c r="T1068" s="52"/>
      <c r="U1068" s="52"/>
      <c r="V1068" s="52"/>
      <c r="W1068" s="52"/>
      <c r="X1068" s="52"/>
      <c r="Y1068" s="52"/>
      <c r="Z1068" s="52"/>
      <c r="AA1068" s="52"/>
      <c r="AB1068" s="52"/>
      <c r="AC1068" s="52"/>
      <c r="AD1068" s="52"/>
      <c r="AE1068" s="52"/>
      <c r="AF1068" s="52"/>
      <c r="AG1068" s="52"/>
      <c r="AH1068" s="52"/>
      <c r="AI1068" s="52"/>
      <c r="AJ1068" s="52"/>
      <c r="AK1068" s="52"/>
      <c r="AL1068" s="52"/>
      <c r="AM1068" s="52"/>
      <c r="AN1068" s="52"/>
    </row>
    <row r="1069" spans="1:40" x14ac:dyDescent="0.3">
      <c r="A1069" s="52">
        <v>1064</v>
      </c>
      <c r="B1069" s="52">
        <f>-bthan*500+(13+0.5)*bthan*1000/50</f>
        <v>-1265</v>
      </c>
      <c r="C1069" s="52">
        <f t="shared" si="148"/>
        <v>-370</v>
      </c>
      <c r="D1069" s="52">
        <f t="shared" si="145"/>
        <v>2200</v>
      </c>
      <c r="E1069" s="52">
        <f t="shared" si="146"/>
        <v>1</v>
      </c>
      <c r="F1069" s="52"/>
      <c r="G1069" s="52"/>
      <c r="H1069" s="52"/>
      <c r="I1069" s="52"/>
      <c r="J1069" s="52"/>
      <c r="K1069" s="52"/>
      <c r="L1069" s="52"/>
      <c r="M1069" s="52"/>
      <c r="N1069" s="52"/>
      <c r="O1069" s="52"/>
      <c r="P1069" s="52"/>
      <c r="Q1069" s="52"/>
      <c r="R1069" s="52"/>
      <c r="S1069" s="52"/>
      <c r="T1069" s="52"/>
      <c r="U1069" s="52"/>
      <c r="V1069" s="52"/>
      <c r="W1069" s="52"/>
      <c r="X1069" s="52"/>
      <c r="Y1069" s="52"/>
      <c r="Z1069" s="52"/>
      <c r="AA1069" s="52"/>
      <c r="AB1069" s="52"/>
      <c r="AC1069" s="52"/>
      <c r="AD1069" s="52"/>
      <c r="AE1069" s="52"/>
      <c r="AF1069" s="52"/>
      <c r="AG1069" s="52"/>
      <c r="AH1069" s="52"/>
      <c r="AI1069" s="52"/>
      <c r="AJ1069" s="52"/>
      <c r="AK1069" s="52"/>
      <c r="AL1069" s="52"/>
      <c r="AM1069" s="52"/>
      <c r="AN1069" s="52"/>
    </row>
    <row r="1070" spans="1:40" x14ac:dyDescent="0.3">
      <c r="A1070" s="52">
        <v>1065</v>
      </c>
      <c r="B1070" s="52">
        <f>-bthan*500+(14+0.5)*bthan*1000/50</f>
        <v>-1155</v>
      </c>
      <c r="C1070" s="52">
        <f t="shared" si="148"/>
        <v>-370</v>
      </c>
      <c r="D1070" s="52">
        <f t="shared" si="145"/>
        <v>2200</v>
      </c>
      <c r="E1070" s="52">
        <f t="shared" si="146"/>
        <v>1</v>
      </c>
      <c r="F1070" s="52"/>
      <c r="G1070" s="52"/>
      <c r="H1070" s="52"/>
      <c r="I1070" s="52"/>
      <c r="J1070" s="52"/>
      <c r="K1070" s="52"/>
      <c r="L1070" s="52"/>
      <c r="M1070" s="52"/>
      <c r="N1070" s="52"/>
      <c r="O1070" s="52"/>
      <c r="P1070" s="52"/>
      <c r="Q1070" s="52"/>
      <c r="R1070" s="52"/>
      <c r="S1070" s="52"/>
      <c r="T1070" s="52"/>
      <c r="U1070" s="52"/>
      <c r="V1070" s="52"/>
      <c r="W1070" s="52"/>
      <c r="X1070" s="52"/>
      <c r="Y1070" s="52"/>
      <c r="Z1070" s="52"/>
      <c r="AA1070" s="52"/>
      <c r="AB1070" s="52"/>
      <c r="AC1070" s="52"/>
      <c r="AD1070" s="52"/>
      <c r="AE1070" s="52"/>
      <c r="AF1070" s="52"/>
      <c r="AG1070" s="52"/>
      <c r="AH1070" s="52"/>
      <c r="AI1070" s="52"/>
      <c r="AJ1070" s="52"/>
      <c r="AK1070" s="52"/>
      <c r="AL1070" s="52"/>
      <c r="AM1070" s="52"/>
      <c r="AN1070" s="52"/>
    </row>
    <row r="1071" spans="1:40" x14ac:dyDescent="0.3">
      <c r="A1071" s="52">
        <v>1066</v>
      </c>
      <c r="B1071" s="52">
        <f>-bthan*500+(15+0.5)*bthan*1000/50</f>
        <v>-1045</v>
      </c>
      <c r="C1071" s="52">
        <f t="shared" si="148"/>
        <v>-370</v>
      </c>
      <c r="D1071" s="52">
        <f t="shared" si="145"/>
        <v>2200</v>
      </c>
      <c r="E1071" s="52">
        <f t="shared" si="146"/>
        <v>1</v>
      </c>
      <c r="F1071" s="52"/>
      <c r="G1071" s="52"/>
      <c r="H1071" s="52"/>
      <c r="I1071" s="52"/>
      <c r="J1071" s="52"/>
      <c r="K1071" s="52"/>
      <c r="L1071" s="52"/>
      <c r="M1071" s="52"/>
      <c r="N1071" s="52"/>
      <c r="O1071" s="52"/>
      <c r="P1071" s="52"/>
      <c r="Q1071" s="52"/>
      <c r="R1071" s="52"/>
      <c r="S1071" s="52"/>
      <c r="T1071" s="52"/>
      <c r="U1071" s="52"/>
      <c r="V1071" s="52"/>
      <c r="W1071" s="52"/>
      <c r="X1071" s="52"/>
      <c r="Y1071" s="52"/>
      <c r="Z1071" s="52"/>
      <c r="AA1071" s="52"/>
      <c r="AB1071" s="52"/>
      <c r="AC1071" s="52"/>
      <c r="AD1071" s="52"/>
      <c r="AE1071" s="52"/>
      <c r="AF1071" s="52"/>
      <c r="AG1071" s="52"/>
      <c r="AH1071" s="52"/>
      <c r="AI1071" s="52"/>
      <c r="AJ1071" s="52"/>
      <c r="AK1071" s="52"/>
      <c r="AL1071" s="52"/>
      <c r="AM1071" s="52"/>
      <c r="AN1071" s="52"/>
    </row>
    <row r="1072" spans="1:40" x14ac:dyDescent="0.3">
      <c r="A1072" s="52">
        <v>1067</v>
      </c>
      <c r="B1072" s="52">
        <f>-bthan*500+(16+0.5)*bthan*1000/50</f>
        <v>-935</v>
      </c>
      <c r="C1072" s="52">
        <f t="shared" si="148"/>
        <v>-370</v>
      </c>
      <c r="D1072" s="52">
        <f t="shared" si="145"/>
        <v>2200</v>
      </c>
      <c r="E1072" s="52">
        <f t="shared" si="146"/>
        <v>1</v>
      </c>
      <c r="F1072" s="52"/>
      <c r="G1072" s="52"/>
      <c r="H1072" s="52"/>
      <c r="I1072" s="52"/>
      <c r="J1072" s="52"/>
      <c r="K1072" s="52"/>
      <c r="L1072" s="52"/>
      <c r="M1072" s="52"/>
      <c r="N1072" s="52"/>
      <c r="O1072" s="52"/>
      <c r="P1072" s="52"/>
      <c r="Q1072" s="52"/>
      <c r="R1072" s="52"/>
      <c r="S1072" s="52"/>
      <c r="T1072" s="52"/>
      <c r="U1072" s="52"/>
      <c r="V1072" s="52"/>
      <c r="W1072" s="52"/>
      <c r="X1072" s="52"/>
      <c r="Y1072" s="52"/>
      <c r="Z1072" s="52"/>
      <c r="AA1072" s="52"/>
      <c r="AB1072" s="52"/>
      <c r="AC1072" s="52"/>
      <c r="AD1072" s="52"/>
      <c r="AE1072" s="52"/>
      <c r="AF1072" s="52"/>
      <c r="AG1072" s="52"/>
      <c r="AH1072" s="52"/>
      <c r="AI1072" s="52"/>
      <c r="AJ1072" s="52"/>
      <c r="AK1072" s="52"/>
      <c r="AL1072" s="52"/>
      <c r="AM1072" s="52"/>
      <c r="AN1072" s="52"/>
    </row>
    <row r="1073" spans="1:40" x14ac:dyDescent="0.3">
      <c r="A1073" s="52">
        <v>1068</v>
      </c>
      <c r="B1073" s="52">
        <f>-bthan*500+(17+0.5)*bthan*1000/50</f>
        <v>-825</v>
      </c>
      <c r="C1073" s="52">
        <f t="shared" si="148"/>
        <v>-370</v>
      </c>
      <c r="D1073" s="52">
        <f t="shared" si="145"/>
        <v>2200</v>
      </c>
      <c r="E1073" s="52">
        <f t="shared" si="146"/>
        <v>1</v>
      </c>
      <c r="F1073" s="52"/>
      <c r="G1073" s="52"/>
      <c r="H1073" s="52"/>
      <c r="I1073" s="52"/>
      <c r="J1073" s="52"/>
      <c r="K1073" s="52"/>
      <c r="L1073" s="52"/>
      <c r="M1073" s="52"/>
      <c r="N1073" s="52"/>
      <c r="O1073" s="52"/>
      <c r="P1073" s="52"/>
      <c r="Q1073" s="52"/>
      <c r="R1073" s="52"/>
      <c r="S1073" s="52"/>
      <c r="T1073" s="52"/>
      <c r="U1073" s="52"/>
      <c r="V1073" s="52"/>
      <c r="W1073" s="52"/>
      <c r="X1073" s="52"/>
      <c r="Y1073" s="52"/>
      <c r="Z1073" s="52"/>
      <c r="AA1073" s="52"/>
      <c r="AB1073" s="52"/>
      <c r="AC1073" s="52"/>
      <c r="AD1073" s="52"/>
      <c r="AE1073" s="52"/>
      <c r="AF1073" s="52"/>
      <c r="AG1073" s="52"/>
      <c r="AH1073" s="52"/>
      <c r="AI1073" s="52"/>
      <c r="AJ1073" s="52"/>
      <c r="AK1073" s="52"/>
      <c r="AL1073" s="52"/>
      <c r="AM1073" s="52"/>
      <c r="AN1073" s="52"/>
    </row>
    <row r="1074" spans="1:40" x14ac:dyDescent="0.3">
      <c r="A1074" s="52">
        <v>1069</v>
      </c>
      <c r="B1074" s="52">
        <f>-bthan*500+(18+0.5)*bthan*1000/50</f>
        <v>-715</v>
      </c>
      <c r="C1074" s="52">
        <f t="shared" si="148"/>
        <v>-370</v>
      </c>
      <c r="D1074" s="52">
        <f t="shared" si="145"/>
        <v>2200</v>
      </c>
      <c r="E1074" s="52">
        <f t="shared" si="146"/>
        <v>1</v>
      </c>
      <c r="F1074" s="52"/>
      <c r="G1074" s="52"/>
      <c r="H1074" s="52"/>
      <c r="I1074" s="52"/>
      <c r="J1074" s="52"/>
      <c r="K1074" s="52"/>
      <c r="L1074" s="52"/>
      <c r="M1074" s="52"/>
      <c r="N1074" s="52"/>
      <c r="O1074" s="52"/>
      <c r="P1074" s="52"/>
      <c r="Q1074" s="52"/>
      <c r="R1074" s="52"/>
      <c r="S1074" s="52"/>
      <c r="T1074" s="52"/>
      <c r="U1074" s="52"/>
      <c r="V1074" s="52"/>
      <c r="W1074" s="52"/>
      <c r="X1074" s="52"/>
      <c r="Y1074" s="52"/>
      <c r="Z1074" s="52"/>
      <c r="AA1074" s="52"/>
      <c r="AB1074" s="52"/>
      <c r="AC1074" s="52"/>
      <c r="AD1074" s="52"/>
      <c r="AE1074" s="52"/>
      <c r="AF1074" s="52"/>
      <c r="AG1074" s="52"/>
      <c r="AH1074" s="52"/>
      <c r="AI1074" s="52"/>
      <c r="AJ1074" s="52"/>
      <c r="AK1074" s="52"/>
      <c r="AL1074" s="52"/>
      <c r="AM1074" s="52"/>
      <c r="AN1074" s="52"/>
    </row>
    <row r="1075" spans="1:40" x14ac:dyDescent="0.3">
      <c r="A1075" s="52">
        <v>1070</v>
      </c>
      <c r="B1075" s="52">
        <f>-bthan*500+(19+0.5)*bthan*1000/50</f>
        <v>-605</v>
      </c>
      <c r="C1075" s="52">
        <f t="shared" si="148"/>
        <v>-370</v>
      </c>
      <c r="D1075" s="52">
        <f t="shared" si="145"/>
        <v>2200</v>
      </c>
      <c r="E1075" s="52">
        <f t="shared" si="146"/>
        <v>1</v>
      </c>
      <c r="F1075" s="52"/>
      <c r="G1075" s="52"/>
      <c r="H1075" s="52"/>
      <c r="I1075" s="52"/>
      <c r="J1075" s="52"/>
      <c r="K1075" s="52"/>
      <c r="L1075" s="52"/>
      <c r="M1075" s="52"/>
      <c r="N1075" s="52"/>
      <c r="O1075" s="52"/>
      <c r="P1075" s="52"/>
      <c r="Q1075" s="52"/>
      <c r="R1075" s="52"/>
      <c r="S1075" s="52"/>
      <c r="T1075" s="52"/>
      <c r="U1075" s="52"/>
      <c r="V1075" s="52"/>
      <c r="W1075" s="52"/>
      <c r="X1075" s="52"/>
      <c r="Y1075" s="52"/>
      <c r="Z1075" s="52"/>
      <c r="AA1075" s="52"/>
      <c r="AB1075" s="52"/>
      <c r="AC1075" s="52"/>
      <c r="AD1075" s="52"/>
      <c r="AE1075" s="52"/>
      <c r="AF1075" s="52"/>
      <c r="AG1075" s="52"/>
      <c r="AH1075" s="52"/>
      <c r="AI1075" s="52"/>
      <c r="AJ1075" s="52"/>
      <c r="AK1075" s="52"/>
      <c r="AL1075" s="52"/>
      <c r="AM1075" s="52"/>
      <c r="AN1075" s="52"/>
    </row>
    <row r="1076" spans="1:40" x14ac:dyDescent="0.3">
      <c r="A1076" s="52">
        <v>1071</v>
      </c>
      <c r="B1076" s="52">
        <f>-bthan*500+(20+0.5)*bthan*1000/50</f>
        <v>-495</v>
      </c>
      <c r="C1076" s="52">
        <f t="shared" si="148"/>
        <v>-370</v>
      </c>
      <c r="D1076" s="52">
        <f t="shared" si="145"/>
        <v>2200</v>
      </c>
      <c r="E1076" s="52">
        <f t="shared" si="146"/>
        <v>1</v>
      </c>
      <c r="F1076" s="52"/>
      <c r="G1076" s="52"/>
      <c r="H1076" s="52"/>
      <c r="I1076" s="52"/>
      <c r="J1076" s="52"/>
      <c r="K1076" s="52"/>
      <c r="L1076" s="52"/>
      <c r="M1076" s="52"/>
      <c r="N1076" s="52"/>
      <c r="O1076" s="52"/>
      <c r="P1076" s="52"/>
      <c r="Q1076" s="52"/>
      <c r="R1076" s="52"/>
      <c r="S1076" s="52"/>
      <c r="T1076" s="52"/>
      <c r="U1076" s="52"/>
      <c r="V1076" s="52"/>
      <c r="W1076" s="52"/>
      <c r="X1076" s="52"/>
      <c r="Y1076" s="52"/>
      <c r="Z1076" s="52"/>
      <c r="AA1076" s="52"/>
      <c r="AB1076" s="52"/>
      <c r="AC1076" s="52"/>
      <c r="AD1076" s="52"/>
      <c r="AE1076" s="52"/>
      <c r="AF1076" s="52"/>
      <c r="AG1076" s="52"/>
      <c r="AH1076" s="52"/>
      <c r="AI1076" s="52"/>
      <c r="AJ1076" s="52"/>
      <c r="AK1076" s="52"/>
      <c r="AL1076" s="52"/>
      <c r="AM1076" s="52"/>
      <c r="AN1076" s="52"/>
    </row>
    <row r="1077" spans="1:40" x14ac:dyDescent="0.3">
      <c r="A1077" s="52">
        <v>1072</v>
      </c>
      <c r="B1077" s="52">
        <f>-bthan*500+(21+0.5)*bthan*1000/50</f>
        <v>-385</v>
      </c>
      <c r="C1077" s="52">
        <f t="shared" si="148"/>
        <v>-370</v>
      </c>
      <c r="D1077" s="52">
        <f t="shared" si="145"/>
        <v>2200</v>
      </c>
      <c r="E1077" s="52">
        <f t="shared" si="146"/>
        <v>1</v>
      </c>
      <c r="F1077" s="52"/>
      <c r="G1077" s="52"/>
      <c r="H1077" s="52"/>
      <c r="I1077" s="52"/>
      <c r="J1077" s="52"/>
      <c r="K1077" s="52"/>
      <c r="L1077" s="52"/>
      <c r="M1077" s="52"/>
      <c r="N1077" s="52"/>
      <c r="O1077" s="52"/>
      <c r="P1077" s="52"/>
      <c r="Q1077" s="52"/>
      <c r="R1077" s="52"/>
      <c r="S1077" s="52"/>
      <c r="T1077" s="52"/>
      <c r="U1077" s="52"/>
      <c r="V1077" s="52"/>
      <c r="W1077" s="52"/>
      <c r="X1077" s="52"/>
      <c r="Y1077" s="52"/>
      <c r="Z1077" s="52"/>
      <c r="AA1077" s="52"/>
      <c r="AB1077" s="52"/>
      <c r="AC1077" s="52"/>
      <c r="AD1077" s="52"/>
      <c r="AE1077" s="52"/>
      <c r="AF1077" s="52"/>
      <c r="AG1077" s="52"/>
      <c r="AH1077" s="52"/>
      <c r="AI1077" s="52"/>
      <c r="AJ1077" s="52"/>
      <c r="AK1077" s="52"/>
      <c r="AL1077" s="52"/>
      <c r="AM1077" s="52"/>
      <c r="AN1077" s="52"/>
    </row>
    <row r="1078" spans="1:40" x14ac:dyDescent="0.3">
      <c r="A1078" s="52">
        <v>1073</v>
      </c>
      <c r="B1078" s="52">
        <f>-bthan*500+(22+0.5)*bthan*1000/50</f>
        <v>-275</v>
      </c>
      <c r="C1078" s="52">
        <f t="shared" si="148"/>
        <v>-370</v>
      </c>
      <c r="D1078" s="52">
        <f t="shared" si="145"/>
        <v>2200</v>
      </c>
      <c r="E1078" s="52">
        <f t="shared" si="146"/>
        <v>1</v>
      </c>
      <c r="F1078" s="52"/>
      <c r="G1078" s="52"/>
      <c r="H1078" s="52"/>
      <c r="I1078" s="52"/>
      <c r="J1078" s="52"/>
      <c r="K1078" s="52"/>
      <c r="L1078" s="52"/>
      <c r="M1078" s="52"/>
      <c r="N1078" s="52"/>
      <c r="O1078" s="52"/>
      <c r="P1078" s="52"/>
      <c r="Q1078" s="52"/>
      <c r="R1078" s="52"/>
      <c r="S1078" s="52"/>
      <c r="T1078" s="52"/>
      <c r="U1078" s="52"/>
      <c r="V1078" s="52"/>
      <c r="W1078" s="52"/>
      <c r="X1078" s="52"/>
      <c r="Y1078" s="52"/>
      <c r="Z1078" s="52"/>
      <c r="AA1078" s="52"/>
      <c r="AB1078" s="52"/>
      <c r="AC1078" s="52"/>
      <c r="AD1078" s="52"/>
      <c r="AE1078" s="52"/>
      <c r="AF1078" s="52"/>
      <c r="AG1078" s="52"/>
      <c r="AH1078" s="52"/>
      <c r="AI1078" s="52"/>
      <c r="AJ1078" s="52"/>
      <c r="AK1078" s="52"/>
      <c r="AL1078" s="52"/>
      <c r="AM1078" s="52"/>
      <c r="AN1078" s="52"/>
    </row>
    <row r="1079" spans="1:40" x14ac:dyDescent="0.3">
      <c r="A1079" s="52">
        <v>1074</v>
      </c>
      <c r="B1079" s="52">
        <f>-bthan*500+(23+0.5)*bthan*1000/50</f>
        <v>-165</v>
      </c>
      <c r="C1079" s="52">
        <f t="shared" si="148"/>
        <v>-370</v>
      </c>
      <c r="D1079" s="52">
        <f t="shared" si="145"/>
        <v>2200</v>
      </c>
      <c r="E1079" s="52">
        <f t="shared" si="146"/>
        <v>1</v>
      </c>
      <c r="F1079" s="52"/>
      <c r="G1079" s="52"/>
      <c r="H1079" s="52"/>
      <c r="I1079" s="52"/>
      <c r="J1079" s="52"/>
      <c r="K1079" s="52"/>
      <c r="L1079" s="52"/>
      <c r="M1079" s="52"/>
      <c r="N1079" s="52"/>
      <c r="O1079" s="52"/>
      <c r="P1079" s="52"/>
      <c r="Q1079" s="52"/>
      <c r="R1079" s="52"/>
      <c r="S1079" s="52"/>
      <c r="T1079" s="52"/>
      <c r="U1079" s="52"/>
      <c r="V1079" s="52"/>
      <c r="W1079" s="52"/>
      <c r="X1079" s="52"/>
      <c r="Y1079" s="52"/>
      <c r="Z1079" s="52"/>
      <c r="AA1079" s="52"/>
      <c r="AB1079" s="52"/>
      <c r="AC1079" s="52"/>
      <c r="AD1079" s="52"/>
      <c r="AE1079" s="52"/>
      <c r="AF1079" s="52"/>
      <c r="AG1079" s="52"/>
      <c r="AH1079" s="52"/>
      <c r="AI1079" s="52"/>
      <c r="AJ1079" s="52"/>
      <c r="AK1079" s="52"/>
      <c r="AL1079" s="52"/>
      <c r="AM1079" s="52"/>
      <c r="AN1079" s="52"/>
    </row>
    <row r="1080" spans="1:40" x14ac:dyDescent="0.3">
      <c r="A1080" s="52">
        <v>1075</v>
      </c>
      <c r="B1080" s="52">
        <f>-bthan*500+(24+0.5)*bthan*1000/50</f>
        <v>-55</v>
      </c>
      <c r="C1080" s="52">
        <f t="shared" si="148"/>
        <v>-370</v>
      </c>
      <c r="D1080" s="52">
        <f t="shared" si="145"/>
        <v>2200</v>
      </c>
      <c r="E1080" s="52">
        <f t="shared" si="146"/>
        <v>1</v>
      </c>
      <c r="F1080" s="52"/>
      <c r="G1080" s="52"/>
      <c r="H1080" s="52"/>
      <c r="I1080" s="52"/>
      <c r="J1080" s="52"/>
      <c r="K1080" s="52"/>
      <c r="L1080" s="52"/>
      <c r="M1080" s="52"/>
      <c r="N1080" s="52"/>
      <c r="O1080" s="52"/>
      <c r="P1080" s="52"/>
      <c r="Q1080" s="52"/>
      <c r="R1080" s="52"/>
      <c r="S1080" s="52"/>
      <c r="T1080" s="52"/>
      <c r="U1080" s="52"/>
      <c r="V1080" s="52"/>
      <c r="W1080" s="52"/>
      <c r="X1080" s="52"/>
      <c r="Y1080" s="52"/>
      <c r="Z1080" s="52"/>
      <c r="AA1080" s="52"/>
      <c r="AB1080" s="52"/>
      <c r="AC1080" s="52"/>
      <c r="AD1080" s="52"/>
      <c r="AE1080" s="52"/>
      <c r="AF1080" s="52"/>
      <c r="AG1080" s="52"/>
      <c r="AH1080" s="52"/>
      <c r="AI1080" s="52"/>
      <c r="AJ1080" s="52"/>
      <c r="AK1080" s="52"/>
      <c r="AL1080" s="52"/>
      <c r="AM1080" s="52"/>
      <c r="AN1080" s="52"/>
    </row>
    <row r="1081" spans="1:40" x14ac:dyDescent="0.3">
      <c r="A1081" s="52">
        <v>1076</v>
      </c>
      <c r="B1081" s="52">
        <f>-bthan*500+(25+0.5)*bthan*1000/50</f>
        <v>55</v>
      </c>
      <c r="C1081" s="52">
        <f t="shared" si="148"/>
        <v>-370</v>
      </c>
      <c r="D1081" s="52">
        <f t="shared" si="145"/>
        <v>2200</v>
      </c>
      <c r="E1081" s="52">
        <f t="shared" si="146"/>
        <v>1</v>
      </c>
      <c r="F1081" s="52"/>
      <c r="G1081" s="52"/>
      <c r="H1081" s="52"/>
      <c r="I1081" s="52"/>
      <c r="J1081" s="52"/>
      <c r="K1081" s="52"/>
      <c r="L1081" s="52"/>
      <c r="M1081" s="52"/>
      <c r="N1081" s="52"/>
      <c r="O1081" s="52"/>
      <c r="P1081" s="52"/>
      <c r="Q1081" s="52"/>
      <c r="R1081" s="52"/>
      <c r="S1081" s="52"/>
      <c r="T1081" s="52"/>
      <c r="U1081" s="52"/>
      <c r="V1081" s="52"/>
      <c r="W1081" s="52"/>
      <c r="X1081" s="52"/>
      <c r="Y1081" s="52"/>
      <c r="Z1081" s="52"/>
      <c r="AA1081" s="52"/>
      <c r="AB1081" s="52"/>
      <c r="AC1081" s="52"/>
      <c r="AD1081" s="52"/>
      <c r="AE1081" s="52"/>
      <c r="AF1081" s="52"/>
      <c r="AG1081" s="52"/>
      <c r="AH1081" s="52"/>
      <c r="AI1081" s="52"/>
      <c r="AJ1081" s="52"/>
      <c r="AK1081" s="52"/>
      <c r="AL1081" s="52"/>
      <c r="AM1081" s="52"/>
      <c r="AN1081" s="52"/>
    </row>
    <row r="1082" spans="1:40" x14ac:dyDescent="0.3">
      <c r="A1082" s="52">
        <v>1077</v>
      </c>
      <c r="B1082" s="52">
        <f>-bthan*500+(26+0.5)*bthan*1000/50</f>
        <v>165</v>
      </c>
      <c r="C1082" s="52">
        <f t="shared" si="148"/>
        <v>-370</v>
      </c>
      <c r="D1082" s="52">
        <f t="shared" si="145"/>
        <v>2200</v>
      </c>
      <c r="E1082" s="52">
        <f t="shared" si="146"/>
        <v>1</v>
      </c>
      <c r="F1082" s="52"/>
      <c r="G1082" s="52"/>
      <c r="H1082" s="52"/>
      <c r="I1082" s="52"/>
      <c r="J1082" s="52"/>
      <c r="K1082" s="52"/>
      <c r="L1082" s="52"/>
      <c r="M1082" s="52"/>
      <c r="N1082" s="52"/>
      <c r="O1082" s="52"/>
      <c r="P1082" s="52"/>
      <c r="Q1082" s="52"/>
      <c r="R1082" s="52"/>
      <c r="S1082" s="52"/>
      <c r="T1082" s="52"/>
      <c r="U1082" s="52"/>
      <c r="V1082" s="52"/>
      <c r="W1082" s="52"/>
      <c r="X1082" s="52"/>
      <c r="Y1082" s="52"/>
      <c r="Z1082" s="52"/>
      <c r="AA1082" s="52"/>
      <c r="AB1082" s="52"/>
      <c r="AC1082" s="52"/>
      <c r="AD1082" s="52"/>
      <c r="AE1082" s="52"/>
      <c r="AF1082" s="52"/>
      <c r="AG1082" s="52"/>
      <c r="AH1082" s="52"/>
      <c r="AI1082" s="52"/>
      <c r="AJ1082" s="52"/>
      <c r="AK1082" s="52"/>
      <c r="AL1082" s="52"/>
      <c r="AM1082" s="52"/>
      <c r="AN1082" s="52"/>
    </row>
    <row r="1083" spans="1:40" x14ac:dyDescent="0.3">
      <c r="A1083" s="52">
        <v>1078</v>
      </c>
      <c r="B1083" s="52">
        <f>-bthan*500+(27+0.5)*bthan*1000/50</f>
        <v>275</v>
      </c>
      <c r="C1083" s="52">
        <f t="shared" si="148"/>
        <v>-370</v>
      </c>
      <c r="D1083" s="52">
        <f t="shared" si="145"/>
        <v>2200</v>
      </c>
      <c r="E1083" s="52">
        <f t="shared" si="146"/>
        <v>1</v>
      </c>
      <c r="F1083" s="52"/>
      <c r="G1083" s="52"/>
      <c r="H1083" s="52"/>
      <c r="I1083" s="52"/>
      <c r="J1083" s="52"/>
      <c r="K1083" s="52"/>
      <c r="L1083" s="52"/>
      <c r="M1083" s="52"/>
      <c r="N1083" s="52"/>
      <c r="O1083" s="52"/>
      <c r="P1083" s="52"/>
      <c r="Q1083" s="52"/>
      <c r="R1083" s="52"/>
      <c r="S1083" s="52"/>
      <c r="T1083" s="52"/>
      <c r="U1083" s="52"/>
      <c r="V1083" s="52"/>
      <c r="W1083" s="52"/>
      <c r="X1083" s="52"/>
      <c r="Y1083" s="52"/>
      <c r="Z1083" s="52"/>
      <c r="AA1083" s="52"/>
      <c r="AB1083" s="52"/>
      <c r="AC1083" s="52"/>
      <c r="AD1083" s="52"/>
      <c r="AE1083" s="52"/>
      <c r="AF1083" s="52"/>
      <c r="AG1083" s="52"/>
      <c r="AH1083" s="52"/>
      <c r="AI1083" s="52"/>
      <c r="AJ1083" s="52"/>
      <c r="AK1083" s="52"/>
      <c r="AL1083" s="52"/>
      <c r="AM1083" s="52"/>
      <c r="AN1083" s="52"/>
    </row>
    <row r="1084" spans="1:40" x14ac:dyDescent="0.3">
      <c r="A1084" s="52">
        <v>1079</v>
      </c>
      <c r="B1084" s="52">
        <f>-bthan*500+(28+0.5)*bthan*1000/50</f>
        <v>385</v>
      </c>
      <c r="C1084" s="52">
        <f t="shared" si="148"/>
        <v>-370</v>
      </c>
      <c r="D1084" s="52">
        <f t="shared" si="145"/>
        <v>2200</v>
      </c>
      <c r="E1084" s="52">
        <f t="shared" si="146"/>
        <v>1</v>
      </c>
      <c r="F1084" s="52"/>
      <c r="G1084" s="52"/>
      <c r="H1084" s="52"/>
      <c r="I1084" s="52"/>
      <c r="J1084" s="52"/>
      <c r="K1084" s="52"/>
      <c r="L1084" s="52"/>
      <c r="M1084" s="52"/>
      <c r="N1084" s="52"/>
      <c r="O1084" s="52"/>
      <c r="P1084" s="52"/>
      <c r="Q1084" s="52"/>
      <c r="R1084" s="52"/>
      <c r="S1084" s="52"/>
      <c r="T1084" s="52"/>
      <c r="U1084" s="52"/>
      <c r="V1084" s="52"/>
      <c r="W1084" s="52"/>
      <c r="X1084" s="52"/>
      <c r="Y1084" s="52"/>
      <c r="Z1084" s="52"/>
      <c r="AA1084" s="52"/>
      <c r="AB1084" s="52"/>
      <c r="AC1084" s="52"/>
      <c r="AD1084" s="52"/>
      <c r="AE1084" s="52"/>
      <c r="AF1084" s="52"/>
      <c r="AG1084" s="52"/>
      <c r="AH1084" s="52"/>
      <c r="AI1084" s="52"/>
      <c r="AJ1084" s="52"/>
      <c r="AK1084" s="52"/>
      <c r="AL1084" s="52"/>
      <c r="AM1084" s="52"/>
      <c r="AN1084" s="52"/>
    </row>
    <row r="1085" spans="1:40" x14ac:dyDescent="0.3">
      <c r="A1085" s="52">
        <v>1080</v>
      </c>
      <c r="B1085" s="52">
        <f>-bthan*500+(29+0.5)*bthan*1000/50</f>
        <v>495</v>
      </c>
      <c r="C1085" s="52">
        <f t="shared" si="148"/>
        <v>-370</v>
      </c>
      <c r="D1085" s="52">
        <f t="shared" si="145"/>
        <v>2200</v>
      </c>
      <c r="E1085" s="52">
        <f t="shared" si="146"/>
        <v>1</v>
      </c>
      <c r="F1085" s="52"/>
      <c r="G1085" s="52"/>
      <c r="H1085" s="52"/>
      <c r="I1085" s="52"/>
      <c r="J1085" s="52"/>
      <c r="K1085" s="52"/>
      <c r="L1085" s="52"/>
      <c r="M1085" s="52"/>
      <c r="N1085" s="52"/>
      <c r="O1085" s="52"/>
      <c r="P1085" s="52"/>
      <c r="Q1085" s="52"/>
      <c r="R1085" s="52"/>
      <c r="S1085" s="52"/>
      <c r="T1085" s="52"/>
      <c r="U1085" s="52"/>
      <c r="V1085" s="52"/>
      <c r="W1085" s="52"/>
      <c r="X1085" s="52"/>
      <c r="Y1085" s="52"/>
      <c r="Z1085" s="52"/>
      <c r="AA1085" s="52"/>
      <c r="AB1085" s="52"/>
      <c r="AC1085" s="52"/>
      <c r="AD1085" s="52"/>
      <c r="AE1085" s="52"/>
      <c r="AF1085" s="52"/>
      <c r="AG1085" s="52"/>
      <c r="AH1085" s="52"/>
      <c r="AI1085" s="52"/>
      <c r="AJ1085" s="52"/>
      <c r="AK1085" s="52"/>
      <c r="AL1085" s="52"/>
      <c r="AM1085" s="52"/>
      <c r="AN1085" s="52"/>
    </row>
    <row r="1086" spans="1:40" x14ac:dyDescent="0.3">
      <c r="A1086" s="52">
        <v>1081</v>
      </c>
      <c r="B1086" s="52">
        <f>-bthan*500+(30+0.5)*bthan*1000/50</f>
        <v>605</v>
      </c>
      <c r="C1086" s="52">
        <f t="shared" si="148"/>
        <v>-370</v>
      </c>
      <c r="D1086" s="52">
        <f t="shared" si="145"/>
        <v>2200</v>
      </c>
      <c r="E1086" s="52">
        <f t="shared" si="146"/>
        <v>1</v>
      </c>
      <c r="F1086" s="52"/>
      <c r="G1086" s="52"/>
      <c r="H1086" s="52"/>
      <c r="I1086" s="52"/>
      <c r="J1086" s="52"/>
      <c r="K1086" s="52"/>
      <c r="L1086" s="52"/>
      <c r="M1086" s="52"/>
      <c r="N1086" s="52"/>
      <c r="O1086" s="52"/>
      <c r="P1086" s="52"/>
      <c r="Q1086" s="52"/>
      <c r="R1086" s="52"/>
      <c r="S1086" s="52"/>
      <c r="T1086" s="52"/>
      <c r="U1086" s="52"/>
      <c r="V1086" s="52"/>
      <c r="W1086" s="52"/>
      <c r="X1086" s="52"/>
      <c r="Y1086" s="52"/>
      <c r="Z1086" s="52"/>
      <c r="AA1086" s="52"/>
      <c r="AB1086" s="52"/>
      <c r="AC1086" s="52"/>
      <c r="AD1086" s="52"/>
      <c r="AE1086" s="52"/>
      <c r="AF1086" s="52"/>
      <c r="AG1086" s="52"/>
      <c r="AH1086" s="52"/>
      <c r="AI1086" s="52"/>
      <c r="AJ1086" s="52"/>
      <c r="AK1086" s="52"/>
      <c r="AL1086" s="52"/>
      <c r="AM1086" s="52"/>
      <c r="AN1086" s="52"/>
    </row>
    <row r="1087" spans="1:40" x14ac:dyDescent="0.3">
      <c r="A1087" s="52">
        <v>1082</v>
      </c>
      <c r="B1087" s="52">
        <f>-bthan*500+(31+0.5)*bthan*1000/50</f>
        <v>715</v>
      </c>
      <c r="C1087" s="52">
        <f t="shared" si="148"/>
        <v>-370</v>
      </c>
      <c r="D1087" s="52">
        <f t="shared" si="145"/>
        <v>2200</v>
      </c>
      <c r="E1087" s="52">
        <f t="shared" si="146"/>
        <v>1</v>
      </c>
      <c r="F1087" s="52"/>
      <c r="G1087" s="52"/>
      <c r="H1087" s="52"/>
      <c r="I1087" s="52"/>
      <c r="J1087" s="52"/>
      <c r="K1087" s="52"/>
      <c r="L1087" s="52"/>
      <c r="M1087" s="52"/>
      <c r="N1087" s="52"/>
      <c r="O1087" s="52"/>
      <c r="P1087" s="52"/>
      <c r="Q1087" s="52"/>
      <c r="R1087" s="52"/>
      <c r="S1087" s="52"/>
      <c r="T1087" s="52"/>
      <c r="U1087" s="52"/>
      <c r="V1087" s="52"/>
      <c r="W1087" s="52"/>
      <c r="X1087" s="52"/>
      <c r="Y1087" s="52"/>
      <c r="Z1087" s="52"/>
      <c r="AA1087" s="52"/>
      <c r="AB1087" s="52"/>
      <c r="AC1087" s="52"/>
      <c r="AD1087" s="52"/>
      <c r="AE1087" s="52"/>
      <c r="AF1087" s="52"/>
      <c r="AG1087" s="52"/>
      <c r="AH1087" s="52"/>
      <c r="AI1087" s="52"/>
      <c r="AJ1087" s="52"/>
      <c r="AK1087" s="52"/>
      <c r="AL1087" s="52"/>
      <c r="AM1087" s="52"/>
      <c r="AN1087" s="52"/>
    </row>
    <row r="1088" spans="1:40" x14ac:dyDescent="0.3">
      <c r="A1088" s="52">
        <v>1083</v>
      </c>
      <c r="B1088" s="52">
        <f>-bthan*500+(32+0.5)*bthan*1000/50</f>
        <v>825</v>
      </c>
      <c r="C1088" s="52">
        <f t="shared" ref="C1088:C1105" si="149">-hthan*500+(21+0.5)*hthan*1000/80</f>
        <v>-370</v>
      </c>
      <c r="D1088" s="52">
        <f t="shared" si="145"/>
        <v>2200</v>
      </c>
      <c r="E1088" s="52">
        <f t="shared" si="146"/>
        <v>1</v>
      </c>
      <c r="F1088" s="52"/>
      <c r="G1088" s="52"/>
      <c r="H1088" s="52"/>
      <c r="I1088" s="52"/>
      <c r="J1088" s="52"/>
      <c r="K1088" s="52"/>
      <c r="L1088" s="52"/>
      <c r="M1088" s="52"/>
      <c r="N1088" s="52"/>
      <c r="O1088" s="52"/>
      <c r="P1088" s="52"/>
      <c r="Q1088" s="52"/>
      <c r="R1088" s="52"/>
      <c r="S1088" s="52"/>
      <c r="T1088" s="52"/>
      <c r="U1088" s="52"/>
      <c r="V1088" s="52"/>
      <c r="W1088" s="52"/>
      <c r="X1088" s="52"/>
      <c r="Y1088" s="52"/>
      <c r="Z1088" s="52"/>
      <c r="AA1088" s="52"/>
      <c r="AB1088" s="52"/>
      <c r="AC1088" s="52"/>
      <c r="AD1088" s="52"/>
      <c r="AE1088" s="52"/>
      <c r="AF1088" s="52"/>
      <c r="AG1088" s="52"/>
      <c r="AH1088" s="52"/>
      <c r="AI1088" s="52"/>
      <c r="AJ1088" s="52"/>
      <c r="AK1088" s="52"/>
      <c r="AL1088" s="52"/>
      <c r="AM1088" s="52"/>
      <c r="AN1088" s="52"/>
    </row>
    <row r="1089" spans="1:40" x14ac:dyDescent="0.3">
      <c r="A1089" s="52">
        <v>1084</v>
      </c>
      <c r="B1089" s="52">
        <f>-bthan*500+(33+0.5)*bthan*1000/50</f>
        <v>935</v>
      </c>
      <c r="C1089" s="52">
        <f t="shared" si="149"/>
        <v>-370</v>
      </c>
      <c r="D1089" s="52">
        <f t="shared" si="145"/>
        <v>2200</v>
      </c>
      <c r="E1089" s="52">
        <f t="shared" si="146"/>
        <v>1</v>
      </c>
      <c r="F1089" s="52"/>
      <c r="G1089" s="52"/>
      <c r="H1089" s="52"/>
      <c r="I1089" s="52"/>
      <c r="J1089" s="52"/>
      <c r="K1089" s="52"/>
      <c r="L1089" s="52"/>
      <c r="M1089" s="52"/>
      <c r="N1089" s="52"/>
      <c r="O1089" s="52"/>
      <c r="P1089" s="52"/>
      <c r="Q1089" s="52"/>
      <c r="R1089" s="52"/>
      <c r="S1089" s="52"/>
      <c r="T1089" s="52"/>
      <c r="U1089" s="52"/>
      <c r="V1089" s="52"/>
      <c r="W1089" s="52"/>
      <c r="X1089" s="52"/>
      <c r="Y1089" s="52"/>
      <c r="Z1089" s="52"/>
      <c r="AA1089" s="52"/>
      <c r="AB1089" s="52"/>
      <c r="AC1089" s="52"/>
      <c r="AD1089" s="52"/>
      <c r="AE1089" s="52"/>
      <c r="AF1089" s="52"/>
      <c r="AG1089" s="52"/>
      <c r="AH1089" s="52"/>
      <c r="AI1089" s="52"/>
      <c r="AJ1089" s="52"/>
      <c r="AK1089" s="52"/>
      <c r="AL1089" s="52"/>
      <c r="AM1089" s="52"/>
      <c r="AN1089" s="52"/>
    </row>
    <row r="1090" spans="1:40" x14ac:dyDescent="0.3">
      <c r="A1090" s="52">
        <v>1085</v>
      </c>
      <c r="B1090" s="52">
        <f>-bthan*500+(34+0.5)*bthan*1000/50</f>
        <v>1045</v>
      </c>
      <c r="C1090" s="52">
        <f t="shared" si="149"/>
        <v>-370</v>
      </c>
      <c r="D1090" s="52">
        <f t="shared" si="145"/>
        <v>2200</v>
      </c>
      <c r="E1090" s="52">
        <f t="shared" si="146"/>
        <v>1</v>
      </c>
      <c r="F1090" s="52"/>
      <c r="G1090" s="52"/>
      <c r="H1090" s="52"/>
      <c r="I1090" s="52"/>
      <c r="J1090" s="52"/>
      <c r="K1090" s="52"/>
      <c r="L1090" s="52"/>
      <c r="M1090" s="52"/>
      <c r="N1090" s="52"/>
      <c r="O1090" s="52"/>
      <c r="P1090" s="52"/>
      <c r="Q1090" s="52"/>
      <c r="R1090" s="52"/>
      <c r="S1090" s="52"/>
      <c r="T1090" s="52"/>
      <c r="U1090" s="52"/>
      <c r="V1090" s="52"/>
      <c r="W1090" s="52"/>
      <c r="X1090" s="52"/>
      <c r="Y1090" s="52"/>
      <c r="Z1090" s="52"/>
      <c r="AA1090" s="52"/>
      <c r="AB1090" s="52"/>
      <c r="AC1090" s="52"/>
      <c r="AD1090" s="52"/>
      <c r="AE1090" s="52"/>
      <c r="AF1090" s="52"/>
      <c r="AG1090" s="52"/>
      <c r="AH1090" s="52"/>
      <c r="AI1090" s="52"/>
      <c r="AJ1090" s="52"/>
      <c r="AK1090" s="52"/>
      <c r="AL1090" s="52"/>
      <c r="AM1090" s="52"/>
      <c r="AN1090" s="52"/>
    </row>
    <row r="1091" spans="1:40" x14ac:dyDescent="0.3">
      <c r="A1091" s="52">
        <v>1086</v>
      </c>
      <c r="B1091" s="52">
        <f>-bthan*500+(35+0.5)*bthan*1000/50</f>
        <v>1155</v>
      </c>
      <c r="C1091" s="52">
        <f t="shared" si="149"/>
        <v>-370</v>
      </c>
      <c r="D1091" s="52">
        <f t="shared" si="145"/>
        <v>2200</v>
      </c>
      <c r="E1091" s="52">
        <f t="shared" si="146"/>
        <v>1</v>
      </c>
      <c r="F1091" s="52"/>
      <c r="G1091" s="52"/>
      <c r="H1091" s="52"/>
      <c r="I1091" s="52"/>
      <c r="J1091" s="52"/>
      <c r="K1091" s="52"/>
      <c r="L1091" s="52"/>
      <c r="M1091" s="52"/>
      <c r="N1091" s="52"/>
      <c r="O1091" s="52"/>
      <c r="P1091" s="52"/>
      <c r="Q1091" s="52"/>
      <c r="R1091" s="52"/>
      <c r="S1091" s="52"/>
      <c r="T1091" s="52"/>
      <c r="U1091" s="52"/>
      <c r="V1091" s="52"/>
      <c r="W1091" s="52"/>
      <c r="X1091" s="52"/>
      <c r="Y1091" s="52"/>
      <c r="Z1091" s="52"/>
      <c r="AA1091" s="52"/>
      <c r="AB1091" s="52"/>
      <c r="AC1091" s="52"/>
      <c r="AD1091" s="52"/>
      <c r="AE1091" s="52"/>
      <c r="AF1091" s="52"/>
      <c r="AG1091" s="52"/>
      <c r="AH1091" s="52"/>
      <c r="AI1091" s="52"/>
      <c r="AJ1091" s="52"/>
      <c r="AK1091" s="52"/>
      <c r="AL1091" s="52"/>
      <c r="AM1091" s="52"/>
      <c r="AN1091" s="52"/>
    </row>
    <row r="1092" spans="1:40" x14ac:dyDescent="0.3">
      <c r="A1092" s="52">
        <v>1087</v>
      </c>
      <c r="B1092" s="52">
        <f>-bthan*500+(36+0.5)*bthan*1000/50</f>
        <v>1265</v>
      </c>
      <c r="C1092" s="52">
        <f t="shared" si="149"/>
        <v>-370</v>
      </c>
      <c r="D1092" s="52">
        <f t="shared" si="145"/>
        <v>2200</v>
      </c>
      <c r="E1092" s="52">
        <f t="shared" si="146"/>
        <v>1</v>
      </c>
      <c r="F1092" s="52"/>
      <c r="G1092" s="52"/>
      <c r="H1092" s="52"/>
      <c r="I1092" s="52"/>
      <c r="J1092" s="52"/>
      <c r="K1092" s="52"/>
      <c r="L1092" s="52"/>
      <c r="M1092" s="52"/>
      <c r="N1092" s="52"/>
      <c r="O1092" s="52"/>
      <c r="P1092" s="52"/>
      <c r="Q1092" s="52"/>
      <c r="R1092" s="52"/>
      <c r="S1092" s="52"/>
      <c r="T1092" s="52"/>
      <c r="U1092" s="52"/>
      <c r="V1092" s="52"/>
      <c r="W1092" s="52"/>
      <c r="X1092" s="52"/>
      <c r="Y1092" s="52"/>
      <c r="Z1092" s="52"/>
      <c r="AA1092" s="52"/>
      <c r="AB1092" s="52"/>
      <c r="AC1092" s="52"/>
      <c r="AD1092" s="52"/>
      <c r="AE1092" s="52"/>
      <c r="AF1092" s="52"/>
      <c r="AG1092" s="52"/>
      <c r="AH1092" s="52"/>
      <c r="AI1092" s="52"/>
      <c r="AJ1092" s="52"/>
      <c r="AK1092" s="52"/>
      <c r="AL1092" s="52"/>
      <c r="AM1092" s="52"/>
      <c r="AN1092" s="52"/>
    </row>
    <row r="1093" spans="1:40" x14ac:dyDescent="0.3">
      <c r="A1093" s="52">
        <v>1088</v>
      </c>
      <c r="B1093" s="52">
        <f>-bthan*500+(37+0.5)*bthan*1000/50</f>
        <v>1375</v>
      </c>
      <c r="C1093" s="52">
        <f t="shared" si="149"/>
        <v>-370</v>
      </c>
      <c r="D1093" s="52">
        <f t="shared" si="145"/>
        <v>2200</v>
      </c>
      <c r="E1093" s="52">
        <f t="shared" si="146"/>
        <v>1</v>
      </c>
      <c r="F1093" s="52"/>
      <c r="G1093" s="52"/>
      <c r="H1093" s="52"/>
      <c r="I1093" s="52"/>
      <c r="J1093" s="52"/>
      <c r="K1093" s="52"/>
      <c r="L1093" s="52"/>
      <c r="M1093" s="52"/>
      <c r="N1093" s="52"/>
      <c r="O1093" s="52"/>
      <c r="P1093" s="52"/>
      <c r="Q1093" s="52"/>
      <c r="R1093" s="52"/>
      <c r="S1093" s="52"/>
      <c r="T1093" s="52"/>
      <c r="U1093" s="52"/>
      <c r="V1093" s="52"/>
      <c r="W1093" s="52"/>
      <c r="X1093" s="52"/>
      <c r="Y1093" s="52"/>
      <c r="Z1093" s="52"/>
      <c r="AA1093" s="52"/>
      <c r="AB1093" s="52"/>
      <c r="AC1093" s="52"/>
      <c r="AD1093" s="52"/>
      <c r="AE1093" s="52"/>
      <c r="AF1093" s="52"/>
      <c r="AG1093" s="52"/>
      <c r="AH1093" s="52"/>
      <c r="AI1093" s="52"/>
      <c r="AJ1093" s="52"/>
      <c r="AK1093" s="52"/>
      <c r="AL1093" s="52"/>
      <c r="AM1093" s="52"/>
      <c r="AN1093" s="52"/>
    </row>
    <row r="1094" spans="1:40" x14ac:dyDescent="0.3">
      <c r="A1094" s="52">
        <v>1089</v>
      </c>
      <c r="B1094" s="52">
        <f>-bthan*500+(38+0.5)*bthan*1000/50</f>
        <v>1485</v>
      </c>
      <c r="C1094" s="52">
        <f t="shared" si="149"/>
        <v>-370</v>
      </c>
      <c r="D1094" s="52">
        <f t="shared" ref="D1094:D1157" si="150">bthan*1000/50*hthan*1000/80</f>
        <v>2200</v>
      </c>
      <c r="E1094" s="52">
        <f t="shared" ref="E1094:E1157" si="151">IF(shp=1,--(OR(ABS(B1094)&lt;=MAX(0,(bthan-hthan)*500),(ABS(B1094)-MAX(0,(bthan-hthan)*500))^2+C1094^2&lt;=(hthan*500)^2)),--(AND(ABS(B1094)&lt;=bthan*500,ABS(C1094)&lt;=hthan*500,OR(ABS(B1094)&lt;=bthan*500-cch*1000,ABS(C1094)&lt;=hthan*500-cch*1000,(bthan*500-ABS(B1094))+(hthan*500-ABS(C1094))&gt;=cch*1000))))</f>
        <v>1</v>
      </c>
      <c r="F1094" s="52"/>
      <c r="G1094" s="52"/>
      <c r="H1094" s="52"/>
      <c r="I1094" s="52"/>
      <c r="J1094" s="52"/>
      <c r="K1094" s="52"/>
      <c r="L1094" s="52"/>
      <c r="M1094" s="52"/>
      <c r="N1094" s="52"/>
      <c r="O1094" s="52"/>
      <c r="P1094" s="52"/>
      <c r="Q1094" s="52"/>
      <c r="R1094" s="52"/>
      <c r="S1094" s="52"/>
      <c r="T1094" s="52"/>
      <c r="U1094" s="52"/>
      <c r="V1094" s="52"/>
      <c r="W1094" s="52"/>
      <c r="X1094" s="52"/>
      <c r="Y1094" s="52"/>
      <c r="Z1094" s="52"/>
      <c r="AA1094" s="52"/>
      <c r="AB1094" s="52"/>
      <c r="AC1094" s="52"/>
      <c r="AD1094" s="52"/>
      <c r="AE1094" s="52"/>
      <c r="AF1094" s="52"/>
      <c r="AG1094" s="52"/>
      <c r="AH1094" s="52"/>
      <c r="AI1094" s="52"/>
      <c r="AJ1094" s="52"/>
      <c r="AK1094" s="52"/>
      <c r="AL1094" s="52"/>
      <c r="AM1094" s="52"/>
      <c r="AN1094" s="52"/>
    </row>
    <row r="1095" spans="1:40" x14ac:dyDescent="0.3">
      <c r="A1095" s="52">
        <v>1090</v>
      </c>
      <c r="B1095" s="52">
        <f>-bthan*500+(39+0.5)*bthan*1000/50</f>
        <v>1595</v>
      </c>
      <c r="C1095" s="52">
        <f t="shared" si="149"/>
        <v>-370</v>
      </c>
      <c r="D1095" s="52">
        <f t="shared" si="150"/>
        <v>2200</v>
      </c>
      <c r="E1095" s="52">
        <f t="shared" si="151"/>
        <v>1</v>
      </c>
      <c r="F1095" s="52"/>
      <c r="G1095" s="52"/>
      <c r="H1095" s="52"/>
      <c r="I1095" s="52"/>
      <c r="J1095" s="52"/>
      <c r="K1095" s="52"/>
      <c r="L1095" s="52"/>
      <c r="M1095" s="52"/>
      <c r="N1095" s="52"/>
      <c r="O1095" s="52"/>
      <c r="P1095" s="52"/>
      <c r="Q1095" s="52"/>
      <c r="R1095" s="52"/>
      <c r="S1095" s="52"/>
      <c r="T1095" s="52"/>
      <c r="U1095" s="52"/>
      <c r="V1095" s="52"/>
      <c r="W1095" s="52"/>
      <c r="X1095" s="52"/>
      <c r="Y1095" s="52"/>
      <c r="Z1095" s="52"/>
      <c r="AA1095" s="52"/>
      <c r="AB1095" s="52"/>
      <c r="AC1095" s="52"/>
      <c r="AD1095" s="52"/>
      <c r="AE1095" s="52"/>
      <c r="AF1095" s="52"/>
      <c r="AG1095" s="52"/>
      <c r="AH1095" s="52"/>
      <c r="AI1095" s="52"/>
      <c r="AJ1095" s="52"/>
      <c r="AK1095" s="52"/>
      <c r="AL1095" s="52"/>
      <c r="AM1095" s="52"/>
      <c r="AN1095" s="52"/>
    </row>
    <row r="1096" spans="1:40" x14ac:dyDescent="0.3">
      <c r="A1096" s="52">
        <v>1091</v>
      </c>
      <c r="B1096" s="52">
        <f>-bthan*500+(40+0.5)*bthan*1000/50</f>
        <v>1705</v>
      </c>
      <c r="C1096" s="52">
        <f t="shared" si="149"/>
        <v>-370</v>
      </c>
      <c r="D1096" s="52">
        <f t="shared" si="150"/>
        <v>2200</v>
      </c>
      <c r="E1096" s="52">
        <f t="shared" si="151"/>
        <v>1</v>
      </c>
      <c r="F1096" s="52"/>
      <c r="G1096" s="52"/>
      <c r="H1096" s="52"/>
      <c r="I1096" s="52"/>
      <c r="J1096" s="52"/>
      <c r="K1096" s="52"/>
      <c r="L1096" s="52"/>
      <c r="M1096" s="52"/>
      <c r="N1096" s="52"/>
      <c r="O1096" s="52"/>
      <c r="P1096" s="52"/>
      <c r="Q1096" s="52"/>
      <c r="R1096" s="52"/>
      <c r="S1096" s="52"/>
      <c r="T1096" s="52"/>
      <c r="U1096" s="52"/>
      <c r="V1096" s="52"/>
      <c r="W1096" s="52"/>
      <c r="X1096" s="52"/>
      <c r="Y1096" s="52"/>
      <c r="Z1096" s="52"/>
      <c r="AA1096" s="52"/>
      <c r="AB1096" s="52"/>
      <c r="AC1096" s="52"/>
      <c r="AD1096" s="52"/>
      <c r="AE1096" s="52"/>
      <c r="AF1096" s="52"/>
      <c r="AG1096" s="52"/>
      <c r="AH1096" s="52"/>
      <c r="AI1096" s="52"/>
      <c r="AJ1096" s="52"/>
      <c r="AK1096" s="52"/>
      <c r="AL1096" s="52"/>
      <c r="AM1096" s="52"/>
      <c r="AN1096" s="52"/>
    </row>
    <row r="1097" spans="1:40" x14ac:dyDescent="0.3">
      <c r="A1097" s="52">
        <v>1092</v>
      </c>
      <c r="B1097" s="52">
        <f>-bthan*500+(41+0.5)*bthan*1000/50</f>
        <v>1815</v>
      </c>
      <c r="C1097" s="52">
        <f t="shared" si="149"/>
        <v>-370</v>
      </c>
      <c r="D1097" s="52">
        <f t="shared" si="150"/>
        <v>2200</v>
      </c>
      <c r="E1097" s="52">
        <f t="shared" si="151"/>
        <v>1</v>
      </c>
      <c r="F1097" s="52"/>
      <c r="G1097" s="52"/>
      <c r="H1097" s="52"/>
      <c r="I1097" s="52"/>
      <c r="J1097" s="52"/>
      <c r="K1097" s="52"/>
      <c r="L1097" s="52"/>
      <c r="M1097" s="52"/>
      <c r="N1097" s="52"/>
      <c r="O1097" s="52"/>
      <c r="P1097" s="52"/>
      <c r="Q1097" s="52"/>
      <c r="R1097" s="52"/>
      <c r="S1097" s="52"/>
      <c r="T1097" s="52"/>
      <c r="U1097" s="52"/>
      <c r="V1097" s="52"/>
      <c r="W1097" s="52"/>
      <c r="X1097" s="52"/>
      <c r="Y1097" s="52"/>
      <c r="Z1097" s="52"/>
      <c r="AA1097" s="52"/>
      <c r="AB1097" s="52"/>
      <c r="AC1097" s="52"/>
      <c r="AD1097" s="52"/>
      <c r="AE1097" s="52"/>
      <c r="AF1097" s="52"/>
      <c r="AG1097" s="52"/>
      <c r="AH1097" s="52"/>
      <c r="AI1097" s="52"/>
      <c r="AJ1097" s="52"/>
      <c r="AK1097" s="52"/>
      <c r="AL1097" s="52"/>
      <c r="AM1097" s="52"/>
      <c r="AN1097" s="52"/>
    </row>
    <row r="1098" spans="1:40" x14ac:dyDescent="0.3">
      <c r="A1098" s="52">
        <v>1093</v>
      </c>
      <c r="B1098" s="52">
        <f>-bthan*500+(42+0.5)*bthan*1000/50</f>
        <v>1925</v>
      </c>
      <c r="C1098" s="52">
        <f t="shared" si="149"/>
        <v>-370</v>
      </c>
      <c r="D1098" s="52">
        <f t="shared" si="150"/>
        <v>2200</v>
      </c>
      <c r="E1098" s="52">
        <f t="shared" si="151"/>
        <v>1</v>
      </c>
      <c r="F1098" s="52"/>
      <c r="G1098" s="52"/>
      <c r="H1098" s="52"/>
      <c r="I1098" s="52"/>
      <c r="J1098" s="52"/>
      <c r="K1098" s="52"/>
      <c r="L1098" s="52"/>
      <c r="M1098" s="52"/>
      <c r="N1098" s="52"/>
      <c r="O1098" s="52"/>
      <c r="P1098" s="52"/>
      <c r="Q1098" s="52"/>
      <c r="R1098" s="52"/>
      <c r="S1098" s="52"/>
      <c r="T1098" s="52"/>
      <c r="U1098" s="52"/>
      <c r="V1098" s="52"/>
      <c r="W1098" s="52"/>
      <c r="X1098" s="52"/>
      <c r="Y1098" s="52"/>
      <c r="Z1098" s="52"/>
      <c r="AA1098" s="52"/>
      <c r="AB1098" s="52"/>
      <c r="AC1098" s="52"/>
      <c r="AD1098" s="52"/>
      <c r="AE1098" s="52"/>
      <c r="AF1098" s="52"/>
      <c r="AG1098" s="52"/>
      <c r="AH1098" s="52"/>
      <c r="AI1098" s="52"/>
      <c r="AJ1098" s="52"/>
      <c r="AK1098" s="52"/>
      <c r="AL1098" s="52"/>
      <c r="AM1098" s="52"/>
      <c r="AN1098" s="52"/>
    </row>
    <row r="1099" spans="1:40" x14ac:dyDescent="0.3">
      <c r="A1099" s="52">
        <v>1094</v>
      </c>
      <c r="B1099" s="52">
        <f>-bthan*500+(43+0.5)*bthan*1000/50</f>
        <v>2035</v>
      </c>
      <c r="C1099" s="52">
        <f t="shared" si="149"/>
        <v>-370</v>
      </c>
      <c r="D1099" s="52">
        <f t="shared" si="150"/>
        <v>2200</v>
      </c>
      <c r="E1099" s="52">
        <f t="shared" si="151"/>
        <v>1</v>
      </c>
      <c r="F1099" s="52"/>
      <c r="G1099" s="52"/>
      <c r="H1099" s="52"/>
      <c r="I1099" s="52"/>
      <c r="J1099" s="52"/>
      <c r="K1099" s="52"/>
      <c r="L1099" s="52"/>
      <c r="M1099" s="52"/>
      <c r="N1099" s="52"/>
      <c r="O1099" s="52"/>
      <c r="P1099" s="52"/>
      <c r="Q1099" s="52"/>
      <c r="R1099" s="52"/>
      <c r="S1099" s="52"/>
      <c r="T1099" s="52"/>
      <c r="U1099" s="52"/>
      <c r="V1099" s="52"/>
      <c r="W1099" s="52"/>
      <c r="X1099" s="52"/>
      <c r="Y1099" s="52"/>
      <c r="Z1099" s="52"/>
      <c r="AA1099" s="52"/>
      <c r="AB1099" s="52"/>
      <c r="AC1099" s="52"/>
      <c r="AD1099" s="52"/>
      <c r="AE1099" s="52"/>
      <c r="AF1099" s="52"/>
      <c r="AG1099" s="52"/>
      <c r="AH1099" s="52"/>
      <c r="AI1099" s="52"/>
      <c r="AJ1099" s="52"/>
      <c r="AK1099" s="52"/>
      <c r="AL1099" s="52"/>
      <c r="AM1099" s="52"/>
      <c r="AN1099" s="52"/>
    </row>
    <row r="1100" spans="1:40" x14ac:dyDescent="0.3">
      <c r="A1100" s="52">
        <v>1095</v>
      </c>
      <c r="B1100" s="52">
        <f>-bthan*500+(44+0.5)*bthan*1000/50</f>
        <v>2145</v>
      </c>
      <c r="C1100" s="52">
        <f t="shared" si="149"/>
        <v>-370</v>
      </c>
      <c r="D1100" s="52">
        <f t="shared" si="150"/>
        <v>2200</v>
      </c>
      <c r="E1100" s="52">
        <f t="shared" si="151"/>
        <v>1</v>
      </c>
      <c r="F1100" s="52"/>
      <c r="G1100" s="52"/>
      <c r="H1100" s="52"/>
      <c r="I1100" s="52"/>
      <c r="J1100" s="52"/>
      <c r="K1100" s="52"/>
      <c r="L1100" s="52"/>
      <c r="M1100" s="52"/>
      <c r="N1100" s="52"/>
      <c r="O1100" s="52"/>
      <c r="P1100" s="52"/>
      <c r="Q1100" s="52"/>
      <c r="R1100" s="52"/>
      <c r="S1100" s="52"/>
      <c r="T1100" s="52"/>
      <c r="U1100" s="52"/>
      <c r="V1100" s="52"/>
      <c r="W1100" s="52"/>
      <c r="X1100" s="52"/>
      <c r="Y1100" s="52"/>
      <c r="Z1100" s="52"/>
      <c r="AA1100" s="52"/>
      <c r="AB1100" s="52"/>
      <c r="AC1100" s="52"/>
      <c r="AD1100" s="52"/>
      <c r="AE1100" s="52"/>
      <c r="AF1100" s="52"/>
      <c r="AG1100" s="52"/>
      <c r="AH1100" s="52"/>
      <c r="AI1100" s="52"/>
      <c r="AJ1100" s="52"/>
      <c r="AK1100" s="52"/>
      <c r="AL1100" s="52"/>
      <c r="AM1100" s="52"/>
      <c r="AN1100" s="52"/>
    </row>
    <row r="1101" spans="1:40" x14ac:dyDescent="0.3">
      <c r="A1101" s="52">
        <v>1096</v>
      </c>
      <c r="B1101" s="52">
        <f>-bthan*500+(45+0.5)*bthan*1000/50</f>
        <v>2255</v>
      </c>
      <c r="C1101" s="52">
        <f t="shared" si="149"/>
        <v>-370</v>
      </c>
      <c r="D1101" s="52">
        <f t="shared" si="150"/>
        <v>2200</v>
      </c>
      <c r="E1101" s="52">
        <f t="shared" si="151"/>
        <v>1</v>
      </c>
      <c r="F1101" s="52"/>
      <c r="G1101" s="52"/>
      <c r="H1101" s="52"/>
      <c r="I1101" s="52"/>
      <c r="J1101" s="52"/>
      <c r="K1101" s="52"/>
      <c r="L1101" s="52"/>
      <c r="M1101" s="52"/>
      <c r="N1101" s="52"/>
      <c r="O1101" s="52"/>
      <c r="P1101" s="52"/>
      <c r="Q1101" s="52"/>
      <c r="R1101" s="52"/>
      <c r="S1101" s="52"/>
      <c r="T1101" s="52"/>
      <c r="U1101" s="52"/>
      <c r="V1101" s="52"/>
      <c r="W1101" s="52"/>
      <c r="X1101" s="52"/>
      <c r="Y1101" s="52"/>
      <c r="Z1101" s="52"/>
      <c r="AA1101" s="52"/>
      <c r="AB1101" s="52"/>
      <c r="AC1101" s="52"/>
      <c r="AD1101" s="52"/>
      <c r="AE1101" s="52"/>
      <c r="AF1101" s="52"/>
      <c r="AG1101" s="52"/>
      <c r="AH1101" s="52"/>
      <c r="AI1101" s="52"/>
      <c r="AJ1101" s="52"/>
      <c r="AK1101" s="52"/>
      <c r="AL1101" s="52"/>
      <c r="AM1101" s="52"/>
      <c r="AN1101" s="52"/>
    </row>
    <row r="1102" spans="1:40" x14ac:dyDescent="0.3">
      <c r="A1102" s="52">
        <v>1097</v>
      </c>
      <c r="B1102" s="52">
        <f>-bthan*500+(46+0.5)*bthan*1000/50</f>
        <v>2365</v>
      </c>
      <c r="C1102" s="52">
        <f t="shared" si="149"/>
        <v>-370</v>
      </c>
      <c r="D1102" s="52">
        <f t="shared" si="150"/>
        <v>2200</v>
      </c>
      <c r="E1102" s="52">
        <f t="shared" si="151"/>
        <v>1</v>
      </c>
      <c r="F1102" s="52"/>
      <c r="G1102" s="52"/>
      <c r="H1102" s="52"/>
      <c r="I1102" s="52"/>
      <c r="J1102" s="52"/>
      <c r="K1102" s="52"/>
      <c r="L1102" s="52"/>
      <c r="M1102" s="52"/>
      <c r="N1102" s="52"/>
      <c r="O1102" s="52"/>
      <c r="P1102" s="52"/>
      <c r="Q1102" s="52"/>
      <c r="R1102" s="52"/>
      <c r="S1102" s="52"/>
      <c r="T1102" s="52"/>
      <c r="U1102" s="52"/>
      <c r="V1102" s="52"/>
      <c r="W1102" s="52"/>
      <c r="X1102" s="52"/>
      <c r="Y1102" s="52"/>
      <c r="Z1102" s="52"/>
      <c r="AA1102" s="52"/>
      <c r="AB1102" s="52"/>
      <c r="AC1102" s="52"/>
      <c r="AD1102" s="52"/>
      <c r="AE1102" s="52"/>
      <c r="AF1102" s="52"/>
      <c r="AG1102" s="52"/>
      <c r="AH1102" s="52"/>
      <c r="AI1102" s="52"/>
      <c r="AJ1102" s="52"/>
      <c r="AK1102" s="52"/>
      <c r="AL1102" s="52"/>
      <c r="AM1102" s="52"/>
      <c r="AN1102" s="52"/>
    </row>
    <row r="1103" spans="1:40" x14ac:dyDescent="0.3">
      <c r="A1103" s="52">
        <v>1098</v>
      </c>
      <c r="B1103" s="52">
        <f>-bthan*500+(47+0.5)*bthan*1000/50</f>
        <v>2475</v>
      </c>
      <c r="C1103" s="52">
        <f t="shared" si="149"/>
        <v>-370</v>
      </c>
      <c r="D1103" s="52">
        <f t="shared" si="150"/>
        <v>2200</v>
      </c>
      <c r="E1103" s="52">
        <f t="shared" si="151"/>
        <v>1</v>
      </c>
      <c r="F1103" s="52"/>
      <c r="G1103" s="52"/>
      <c r="H1103" s="52"/>
      <c r="I1103" s="52"/>
      <c r="J1103" s="52"/>
      <c r="K1103" s="52"/>
      <c r="L1103" s="52"/>
      <c r="M1103" s="52"/>
      <c r="N1103" s="52"/>
      <c r="O1103" s="52"/>
      <c r="P1103" s="52"/>
      <c r="Q1103" s="52"/>
      <c r="R1103" s="52"/>
      <c r="S1103" s="52"/>
      <c r="T1103" s="52"/>
      <c r="U1103" s="52"/>
      <c r="V1103" s="52"/>
      <c r="W1103" s="52"/>
      <c r="X1103" s="52"/>
      <c r="Y1103" s="52"/>
      <c r="Z1103" s="52"/>
      <c r="AA1103" s="52"/>
      <c r="AB1103" s="52"/>
      <c r="AC1103" s="52"/>
      <c r="AD1103" s="52"/>
      <c r="AE1103" s="52"/>
      <c r="AF1103" s="52"/>
      <c r="AG1103" s="52"/>
      <c r="AH1103" s="52"/>
      <c r="AI1103" s="52"/>
      <c r="AJ1103" s="52"/>
      <c r="AK1103" s="52"/>
      <c r="AL1103" s="52"/>
      <c r="AM1103" s="52"/>
      <c r="AN1103" s="52"/>
    </row>
    <row r="1104" spans="1:40" x14ac:dyDescent="0.3">
      <c r="A1104" s="52">
        <v>1099</v>
      </c>
      <c r="B1104" s="52">
        <f>-bthan*500+(48+0.5)*bthan*1000/50</f>
        <v>2585</v>
      </c>
      <c r="C1104" s="52">
        <f t="shared" si="149"/>
        <v>-370</v>
      </c>
      <c r="D1104" s="52">
        <f t="shared" si="150"/>
        <v>2200</v>
      </c>
      <c r="E1104" s="52">
        <f t="shared" si="151"/>
        <v>1</v>
      </c>
      <c r="F1104" s="52"/>
      <c r="G1104" s="52"/>
      <c r="H1104" s="52"/>
      <c r="I1104" s="52"/>
      <c r="J1104" s="52"/>
      <c r="K1104" s="52"/>
      <c r="L1104" s="52"/>
      <c r="M1104" s="52"/>
      <c r="N1104" s="52"/>
      <c r="O1104" s="52"/>
      <c r="P1104" s="52"/>
      <c r="Q1104" s="52"/>
      <c r="R1104" s="52"/>
      <c r="S1104" s="52"/>
      <c r="T1104" s="52"/>
      <c r="U1104" s="52"/>
      <c r="V1104" s="52"/>
      <c r="W1104" s="52"/>
      <c r="X1104" s="52"/>
      <c r="Y1104" s="52"/>
      <c r="Z1104" s="52"/>
      <c r="AA1104" s="52"/>
      <c r="AB1104" s="52"/>
      <c r="AC1104" s="52"/>
      <c r="AD1104" s="52"/>
      <c r="AE1104" s="52"/>
      <c r="AF1104" s="52"/>
      <c r="AG1104" s="52"/>
      <c r="AH1104" s="52"/>
      <c r="AI1104" s="52"/>
      <c r="AJ1104" s="52"/>
      <c r="AK1104" s="52"/>
      <c r="AL1104" s="52"/>
      <c r="AM1104" s="52"/>
      <c r="AN1104" s="52"/>
    </row>
    <row r="1105" spans="1:40" x14ac:dyDescent="0.3">
      <c r="A1105" s="52">
        <v>1100</v>
      </c>
      <c r="B1105" s="52">
        <f>-bthan*500+(49+0.5)*bthan*1000/50</f>
        <v>2695</v>
      </c>
      <c r="C1105" s="52">
        <f t="shared" si="149"/>
        <v>-370</v>
      </c>
      <c r="D1105" s="52">
        <f t="shared" si="150"/>
        <v>2200</v>
      </c>
      <c r="E1105" s="52">
        <f t="shared" si="151"/>
        <v>0</v>
      </c>
      <c r="F1105" s="52"/>
      <c r="G1105" s="52"/>
      <c r="H1105" s="52"/>
      <c r="I1105" s="52"/>
      <c r="J1105" s="52"/>
      <c r="K1105" s="52"/>
      <c r="L1105" s="52"/>
      <c r="M1105" s="52"/>
      <c r="N1105" s="52"/>
      <c r="O1105" s="52"/>
      <c r="P1105" s="52"/>
      <c r="Q1105" s="52"/>
      <c r="R1105" s="52"/>
      <c r="S1105" s="52"/>
      <c r="T1105" s="52"/>
      <c r="U1105" s="52"/>
      <c r="V1105" s="52"/>
      <c r="W1105" s="52"/>
      <c r="X1105" s="52"/>
      <c r="Y1105" s="52"/>
      <c r="Z1105" s="52"/>
      <c r="AA1105" s="52"/>
      <c r="AB1105" s="52"/>
      <c r="AC1105" s="52"/>
      <c r="AD1105" s="52"/>
      <c r="AE1105" s="52"/>
      <c r="AF1105" s="52"/>
      <c r="AG1105" s="52"/>
      <c r="AH1105" s="52"/>
      <c r="AI1105" s="52"/>
      <c r="AJ1105" s="52"/>
      <c r="AK1105" s="52"/>
      <c r="AL1105" s="52"/>
      <c r="AM1105" s="52"/>
      <c r="AN1105" s="52"/>
    </row>
    <row r="1106" spans="1:40" x14ac:dyDescent="0.3">
      <c r="A1106" s="52">
        <v>1101</v>
      </c>
      <c r="B1106" s="52">
        <f>-bthan*500+(0+0.5)*bthan*1000/50</f>
        <v>-2695</v>
      </c>
      <c r="C1106" s="52">
        <f t="shared" ref="C1106:C1137" si="152">-hthan*500+(22+0.5)*hthan*1000/80</f>
        <v>-350</v>
      </c>
      <c r="D1106" s="52">
        <f t="shared" si="150"/>
        <v>2200</v>
      </c>
      <c r="E1106" s="52">
        <f t="shared" si="151"/>
        <v>0</v>
      </c>
      <c r="F1106" s="52"/>
      <c r="G1106" s="52"/>
      <c r="H1106" s="52"/>
      <c r="I1106" s="52"/>
      <c r="J1106" s="52"/>
      <c r="K1106" s="52"/>
      <c r="L1106" s="52"/>
      <c r="M1106" s="52"/>
      <c r="N1106" s="52"/>
      <c r="O1106" s="52"/>
      <c r="P1106" s="52"/>
      <c r="Q1106" s="52"/>
      <c r="R1106" s="52"/>
      <c r="S1106" s="52"/>
      <c r="T1106" s="52"/>
      <c r="U1106" s="52"/>
      <c r="V1106" s="52"/>
      <c r="W1106" s="52"/>
      <c r="X1106" s="52"/>
      <c r="Y1106" s="52"/>
      <c r="Z1106" s="52"/>
      <c r="AA1106" s="52"/>
      <c r="AB1106" s="52"/>
      <c r="AC1106" s="52"/>
      <c r="AD1106" s="52"/>
      <c r="AE1106" s="52"/>
      <c r="AF1106" s="52"/>
      <c r="AG1106" s="52"/>
      <c r="AH1106" s="52"/>
      <c r="AI1106" s="52"/>
      <c r="AJ1106" s="52"/>
      <c r="AK1106" s="52"/>
      <c r="AL1106" s="52"/>
      <c r="AM1106" s="52"/>
      <c r="AN1106" s="52"/>
    </row>
    <row r="1107" spans="1:40" x14ac:dyDescent="0.3">
      <c r="A1107" s="52">
        <v>1102</v>
      </c>
      <c r="B1107" s="52">
        <f>-bthan*500+(1+0.5)*bthan*1000/50</f>
        <v>-2585</v>
      </c>
      <c r="C1107" s="52">
        <f t="shared" si="152"/>
        <v>-350</v>
      </c>
      <c r="D1107" s="52">
        <f t="shared" si="150"/>
        <v>2200</v>
      </c>
      <c r="E1107" s="52">
        <f t="shared" si="151"/>
        <v>1</v>
      </c>
      <c r="F1107" s="52"/>
      <c r="G1107" s="52"/>
      <c r="H1107" s="52"/>
      <c r="I1107" s="52"/>
      <c r="J1107" s="52"/>
      <c r="K1107" s="52"/>
      <c r="L1107" s="52"/>
      <c r="M1107" s="52"/>
      <c r="N1107" s="52"/>
      <c r="O1107" s="52"/>
      <c r="P1107" s="52"/>
      <c r="Q1107" s="52"/>
      <c r="R1107" s="52"/>
      <c r="S1107" s="52"/>
      <c r="T1107" s="52"/>
      <c r="U1107" s="52"/>
      <c r="V1107" s="52"/>
      <c r="W1107" s="52"/>
      <c r="X1107" s="52"/>
      <c r="Y1107" s="52"/>
      <c r="Z1107" s="52"/>
      <c r="AA1107" s="52"/>
      <c r="AB1107" s="52"/>
      <c r="AC1107" s="52"/>
      <c r="AD1107" s="52"/>
      <c r="AE1107" s="52"/>
      <c r="AF1107" s="52"/>
      <c r="AG1107" s="52"/>
      <c r="AH1107" s="52"/>
      <c r="AI1107" s="52"/>
      <c r="AJ1107" s="52"/>
      <c r="AK1107" s="52"/>
      <c r="AL1107" s="52"/>
      <c r="AM1107" s="52"/>
      <c r="AN1107" s="52"/>
    </row>
    <row r="1108" spans="1:40" x14ac:dyDescent="0.3">
      <c r="A1108" s="52">
        <v>1103</v>
      </c>
      <c r="B1108" s="52">
        <f>-bthan*500+(2+0.5)*bthan*1000/50</f>
        <v>-2475</v>
      </c>
      <c r="C1108" s="52">
        <f t="shared" si="152"/>
        <v>-350</v>
      </c>
      <c r="D1108" s="52">
        <f t="shared" si="150"/>
        <v>2200</v>
      </c>
      <c r="E1108" s="52">
        <f t="shared" si="151"/>
        <v>1</v>
      </c>
      <c r="F1108" s="52"/>
      <c r="G1108" s="52"/>
      <c r="H1108" s="52"/>
      <c r="I1108" s="52"/>
      <c r="J1108" s="52"/>
      <c r="K1108" s="52"/>
      <c r="L1108" s="52"/>
      <c r="M1108" s="52"/>
      <c r="N1108" s="52"/>
      <c r="O1108" s="52"/>
      <c r="P1108" s="52"/>
      <c r="Q1108" s="52"/>
      <c r="R1108" s="52"/>
      <c r="S1108" s="52"/>
      <c r="T1108" s="52"/>
      <c r="U1108" s="52"/>
      <c r="V1108" s="52"/>
      <c r="W1108" s="52"/>
      <c r="X1108" s="52"/>
      <c r="Y1108" s="52"/>
      <c r="Z1108" s="52"/>
      <c r="AA1108" s="52"/>
      <c r="AB1108" s="52"/>
      <c r="AC1108" s="52"/>
      <c r="AD1108" s="52"/>
      <c r="AE1108" s="52"/>
      <c r="AF1108" s="52"/>
      <c r="AG1108" s="52"/>
      <c r="AH1108" s="52"/>
      <c r="AI1108" s="52"/>
      <c r="AJ1108" s="52"/>
      <c r="AK1108" s="52"/>
      <c r="AL1108" s="52"/>
      <c r="AM1108" s="52"/>
      <c r="AN1108" s="52"/>
    </row>
    <row r="1109" spans="1:40" x14ac:dyDescent="0.3">
      <c r="A1109" s="52">
        <v>1104</v>
      </c>
      <c r="B1109" s="52">
        <f>-bthan*500+(3+0.5)*bthan*1000/50</f>
        <v>-2365</v>
      </c>
      <c r="C1109" s="52">
        <f t="shared" si="152"/>
        <v>-350</v>
      </c>
      <c r="D1109" s="52">
        <f t="shared" si="150"/>
        <v>2200</v>
      </c>
      <c r="E1109" s="52">
        <f t="shared" si="151"/>
        <v>1</v>
      </c>
      <c r="F1109" s="52"/>
      <c r="G1109" s="52"/>
      <c r="H1109" s="52"/>
      <c r="I1109" s="52"/>
      <c r="J1109" s="52"/>
      <c r="K1109" s="52"/>
      <c r="L1109" s="52"/>
      <c r="M1109" s="52"/>
      <c r="N1109" s="52"/>
      <c r="O1109" s="52"/>
      <c r="P1109" s="52"/>
      <c r="Q1109" s="52"/>
      <c r="R1109" s="52"/>
      <c r="S1109" s="52"/>
      <c r="T1109" s="52"/>
      <c r="U1109" s="52"/>
      <c r="V1109" s="52"/>
      <c r="W1109" s="52"/>
      <c r="X1109" s="52"/>
      <c r="Y1109" s="52"/>
      <c r="Z1109" s="52"/>
      <c r="AA1109" s="52"/>
      <c r="AB1109" s="52"/>
      <c r="AC1109" s="52"/>
      <c r="AD1109" s="52"/>
      <c r="AE1109" s="52"/>
      <c r="AF1109" s="52"/>
      <c r="AG1109" s="52"/>
      <c r="AH1109" s="52"/>
      <c r="AI1109" s="52"/>
      <c r="AJ1109" s="52"/>
      <c r="AK1109" s="52"/>
      <c r="AL1109" s="52"/>
      <c r="AM1109" s="52"/>
      <c r="AN1109" s="52"/>
    </row>
    <row r="1110" spans="1:40" x14ac:dyDescent="0.3">
      <c r="A1110" s="52">
        <v>1105</v>
      </c>
      <c r="B1110" s="52">
        <f>-bthan*500+(4+0.5)*bthan*1000/50</f>
        <v>-2255</v>
      </c>
      <c r="C1110" s="52">
        <f t="shared" si="152"/>
        <v>-350</v>
      </c>
      <c r="D1110" s="52">
        <f t="shared" si="150"/>
        <v>2200</v>
      </c>
      <c r="E1110" s="52">
        <f t="shared" si="151"/>
        <v>1</v>
      </c>
      <c r="F1110" s="52"/>
      <c r="G1110" s="52"/>
      <c r="H1110" s="52"/>
      <c r="I1110" s="52"/>
      <c r="J1110" s="52"/>
      <c r="K1110" s="52"/>
      <c r="L1110" s="52"/>
      <c r="M1110" s="52"/>
      <c r="N1110" s="52"/>
      <c r="O1110" s="52"/>
      <c r="P1110" s="52"/>
      <c r="Q1110" s="52"/>
      <c r="R1110" s="52"/>
      <c r="S1110" s="52"/>
      <c r="T1110" s="52"/>
      <c r="U1110" s="52"/>
      <c r="V1110" s="52"/>
      <c r="W1110" s="52"/>
      <c r="X1110" s="52"/>
      <c r="Y1110" s="52"/>
      <c r="Z1110" s="52"/>
      <c r="AA1110" s="52"/>
      <c r="AB1110" s="52"/>
      <c r="AC1110" s="52"/>
      <c r="AD1110" s="52"/>
      <c r="AE1110" s="52"/>
      <c r="AF1110" s="52"/>
      <c r="AG1110" s="52"/>
      <c r="AH1110" s="52"/>
      <c r="AI1110" s="52"/>
      <c r="AJ1110" s="52"/>
      <c r="AK1110" s="52"/>
      <c r="AL1110" s="52"/>
      <c r="AM1110" s="52"/>
      <c r="AN1110" s="52"/>
    </row>
    <row r="1111" spans="1:40" x14ac:dyDescent="0.3">
      <c r="A1111" s="52">
        <v>1106</v>
      </c>
      <c r="B1111" s="52">
        <f>-bthan*500+(5+0.5)*bthan*1000/50</f>
        <v>-2145</v>
      </c>
      <c r="C1111" s="52">
        <f t="shared" si="152"/>
        <v>-350</v>
      </c>
      <c r="D1111" s="52">
        <f t="shared" si="150"/>
        <v>2200</v>
      </c>
      <c r="E1111" s="52">
        <f t="shared" si="151"/>
        <v>1</v>
      </c>
      <c r="F1111" s="52"/>
      <c r="G1111" s="52"/>
      <c r="H1111" s="52"/>
      <c r="I1111" s="52"/>
      <c r="J1111" s="52"/>
      <c r="K1111" s="52"/>
      <c r="L1111" s="52"/>
      <c r="M1111" s="52"/>
      <c r="N1111" s="52"/>
      <c r="O1111" s="52"/>
      <c r="P1111" s="52"/>
      <c r="Q1111" s="52"/>
      <c r="R1111" s="52"/>
      <c r="S1111" s="52"/>
      <c r="T1111" s="52"/>
      <c r="U1111" s="52"/>
      <c r="V1111" s="52"/>
      <c r="W1111" s="52"/>
      <c r="X1111" s="52"/>
      <c r="Y1111" s="52"/>
      <c r="Z1111" s="52"/>
      <c r="AA1111" s="52"/>
      <c r="AB1111" s="52"/>
      <c r="AC1111" s="52"/>
      <c r="AD1111" s="52"/>
      <c r="AE1111" s="52"/>
      <c r="AF1111" s="52"/>
      <c r="AG1111" s="52"/>
      <c r="AH1111" s="52"/>
      <c r="AI1111" s="52"/>
      <c r="AJ1111" s="52"/>
      <c r="AK1111" s="52"/>
      <c r="AL1111" s="52"/>
      <c r="AM1111" s="52"/>
      <c r="AN1111" s="52"/>
    </row>
    <row r="1112" spans="1:40" x14ac:dyDescent="0.3">
      <c r="A1112" s="52">
        <v>1107</v>
      </c>
      <c r="B1112" s="52">
        <f>-bthan*500+(6+0.5)*bthan*1000/50</f>
        <v>-2035</v>
      </c>
      <c r="C1112" s="52">
        <f t="shared" si="152"/>
        <v>-350</v>
      </c>
      <c r="D1112" s="52">
        <f t="shared" si="150"/>
        <v>2200</v>
      </c>
      <c r="E1112" s="52">
        <f t="shared" si="151"/>
        <v>1</v>
      </c>
      <c r="F1112" s="52"/>
      <c r="G1112" s="52"/>
      <c r="H1112" s="52"/>
      <c r="I1112" s="52"/>
      <c r="J1112" s="52"/>
      <c r="K1112" s="52"/>
      <c r="L1112" s="52"/>
      <c r="M1112" s="52"/>
      <c r="N1112" s="52"/>
      <c r="O1112" s="52"/>
      <c r="P1112" s="52"/>
      <c r="Q1112" s="52"/>
      <c r="R1112" s="52"/>
      <c r="S1112" s="52"/>
      <c r="T1112" s="52"/>
      <c r="U1112" s="52"/>
      <c r="V1112" s="52"/>
      <c r="W1112" s="52"/>
      <c r="X1112" s="52"/>
      <c r="Y1112" s="52"/>
      <c r="Z1112" s="52"/>
      <c r="AA1112" s="52"/>
      <c r="AB1112" s="52"/>
      <c r="AC1112" s="52"/>
      <c r="AD1112" s="52"/>
      <c r="AE1112" s="52"/>
      <c r="AF1112" s="52"/>
      <c r="AG1112" s="52"/>
      <c r="AH1112" s="52"/>
      <c r="AI1112" s="52"/>
      <c r="AJ1112" s="52"/>
      <c r="AK1112" s="52"/>
      <c r="AL1112" s="52"/>
      <c r="AM1112" s="52"/>
      <c r="AN1112" s="52"/>
    </row>
    <row r="1113" spans="1:40" x14ac:dyDescent="0.3">
      <c r="A1113" s="52">
        <v>1108</v>
      </c>
      <c r="B1113" s="52">
        <f>-bthan*500+(7+0.5)*bthan*1000/50</f>
        <v>-1925</v>
      </c>
      <c r="C1113" s="52">
        <f t="shared" si="152"/>
        <v>-350</v>
      </c>
      <c r="D1113" s="52">
        <f t="shared" si="150"/>
        <v>2200</v>
      </c>
      <c r="E1113" s="52">
        <f t="shared" si="151"/>
        <v>1</v>
      </c>
      <c r="F1113" s="52"/>
      <c r="G1113" s="52"/>
      <c r="H1113" s="52"/>
      <c r="I1113" s="52"/>
      <c r="J1113" s="52"/>
      <c r="K1113" s="52"/>
      <c r="L1113" s="52"/>
      <c r="M1113" s="52"/>
      <c r="N1113" s="52"/>
      <c r="O1113" s="52"/>
      <c r="P1113" s="52"/>
      <c r="Q1113" s="52"/>
      <c r="R1113" s="52"/>
      <c r="S1113" s="52"/>
      <c r="T1113" s="52"/>
      <c r="U1113" s="52"/>
      <c r="V1113" s="52"/>
      <c r="W1113" s="52"/>
      <c r="X1113" s="52"/>
      <c r="Y1113" s="52"/>
      <c r="Z1113" s="52"/>
      <c r="AA1113" s="52"/>
      <c r="AB1113" s="52"/>
      <c r="AC1113" s="52"/>
      <c r="AD1113" s="52"/>
      <c r="AE1113" s="52"/>
      <c r="AF1113" s="52"/>
      <c r="AG1113" s="52"/>
      <c r="AH1113" s="52"/>
      <c r="AI1113" s="52"/>
      <c r="AJ1113" s="52"/>
      <c r="AK1113" s="52"/>
      <c r="AL1113" s="52"/>
      <c r="AM1113" s="52"/>
      <c r="AN1113" s="52"/>
    </row>
    <row r="1114" spans="1:40" x14ac:dyDescent="0.3">
      <c r="A1114" s="52">
        <v>1109</v>
      </c>
      <c r="B1114" s="52">
        <f>-bthan*500+(8+0.5)*bthan*1000/50</f>
        <v>-1815</v>
      </c>
      <c r="C1114" s="52">
        <f t="shared" si="152"/>
        <v>-350</v>
      </c>
      <c r="D1114" s="52">
        <f t="shared" si="150"/>
        <v>2200</v>
      </c>
      <c r="E1114" s="52">
        <f t="shared" si="151"/>
        <v>1</v>
      </c>
      <c r="F1114" s="52"/>
      <c r="G1114" s="52"/>
      <c r="H1114" s="52"/>
      <c r="I1114" s="52"/>
      <c r="J1114" s="52"/>
      <c r="K1114" s="52"/>
      <c r="L1114" s="52"/>
      <c r="M1114" s="52"/>
      <c r="N1114" s="52"/>
      <c r="O1114" s="52"/>
      <c r="P1114" s="52"/>
      <c r="Q1114" s="52"/>
      <c r="R1114" s="52"/>
      <c r="S1114" s="52"/>
      <c r="T1114" s="52"/>
      <c r="U1114" s="52"/>
      <c r="V1114" s="52"/>
      <c r="W1114" s="52"/>
      <c r="X1114" s="52"/>
      <c r="Y1114" s="52"/>
      <c r="Z1114" s="52"/>
      <c r="AA1114" s="52"/>
      <c r="AB1114" s="52"/>
      <c r="AC1114" s="52"/>
      <c r="AD1114" s="52"/>
      <c r="AE1114" s="52"/>
      <c r="AF1114" s="52"/>
      <c r="AG1114" s="52"/>
      <c r="AH1114" s="52"/>
      <c r="AI1114" s="52"/>
      <c r="AJ1114" s="52"/>
      <c r="AK1114" s="52"/>
      <c r="AL1114" s="52"/>
      <c r="AM1114" s="52"/>
      <c r="AN1114" s="52"/>
    </row>
    <row r="1115" spans="1:40" x14ac:dyDescent="0.3">
      <c r="A1115" s="52">
        <v>1110</v>
      </c>
      <c r="B1115" s="52">
        <f>-bthan*500+(9+0.5)*bthan*1000/50</f>
        <v>-1705</v>
      </c>
      <c r="C1115" s="52">
        <f t="shared" si="152"/>
        <v>-350</v>
      </c>
      <c r="D1115" s="52">
        <f t="shared" si="150"/>
        <v>2200</v>
      </c>
      <c r="E1115" s="52">
        <f t="shared" si="151"/>
        <v>1</v>
      </c>
      <c r="F1115" s="52"/>
      <c r="G1115" s="52"/>
      <c r="H1115" s="52"/>
      <c r="I1115" s="52"/>
      <c r="J1115" s="52"/>
      <c r="K1115" s="52"/>
      <c r="L1115" s="52"/>
      <c r="M1115" s="52"/>
      <c r="N1115" s="52"/>
      <c r="O1115" s="52"/>
      <c r="P1115" s="52"/>
      <c r="Q1115" s="52"/>
      <c r="R1115" s="52"/>
      <c r="S1115" s="52"/>
      <c r="T1115" s="52"/>
      <c r="U1115" s="52"/>
      <c r="V1115" s="52"/>
      <c r="W1115" s="52"/>
      <c r="X1115" s="52"/>
      <c r="Y1115" s="52"/>
      <c r="Z1115" s="52"/>
      <c r="AA1115" s="52"/>
      <c r="AB1115" s="52"/>
      <c r="AC1115" s="52"/>
      <c r="AD1115" s="52"/>
      <c r="AE1115" s="52"/>
      <c r="AF1115" s="52"/>
      <c r="AG1115" s="52"/>
      <c r="AH1115" s="52"/>
      <c r="AI1115" s="52"/>
      <c r="AJ1115" s="52"/>
      <c r="AK1115" s="52"/>
      <c r="AL1115" s="52"/>
      <c r="AM1115" s="52"/>
      <c r="AN1115" s="52"/>
    </row>
    <row r="1116" spans="1:40" x14ac:dyDescent="0.3">
      <c r="A1116" s="52">
        <v>1111</v>
      </c>
      <c r="B1116" s="52">
        <f>-bthan*500+(10+0.5)*bthan*1000/50</f>
        <v>-1595</v>
      </c>
      <c r="C1116" s="52">
        <f t="shared" si="152"/>
        <v>-350</v>
      </c>
      <c r="D1116" s="52">
        <f t="shared" si="150"/>
        <v>2200</v>
      </c>
      <c r="E1116" s="52">
        <f t="shared" si="151"/>
        <v>1</v>
      </c>
      <c r="F1116" s="52"/>
      <c r="G1116" s="52"/>
      <c r="H1116" s="52"/>
      <c r="I1116" s="52"/>
      <c r="J1116" s="52"/>
      <c r="K1116" s="52"/>
      <c r="L1116" s="52"/>
      <c r="M1116" s="52"/>
      <c r="N1116" s="52"/>
      <c r="O1116" s="52"/>
      <c r="P1116" s="52"/>
      <c r="Q1116" s="52"/>
      <c r="R1116" s="52"/>
      <c r="S1116" s="52"/>
      <c r="T1116" s="52"/>
      <c r="U1116" s="52"/>
      <c r="V1116" s="52"/>
      <c r="W1116" s="52"/>
      <c r="X1116" s="52"/>
      <c r="Y1116" s="52"/>
      <c r="Z1116" s="52"/>
      <c r="AA1116" s="52"/>
      <c r="AB1116" s="52"/>
      <c r="AC1116" s="52"/>
      <c r="AD1116" s="52"/>
      <c r="AE1116" s="52"/>
      <c r="AF1116" s="52"/>
      <c r="AG1116" s="52"/>
      <c r="AH1116" s="52"/>
      <c r="AI1116" s="52"/>
      <c r="AJ1116" s="52"/>
      <c r="AK1116" s="52"/>
      <c r="AL1116" s="52"/>
      <c r="AM1116" s="52"/>
      <c r="AN1116" s="52"/>
    </row>
    <row r="1117" spans="1:40" x14ac:dyDescent="0.3">
      <c r="A1117" s="52">
        <v>1112</v>
      </c>
      <c r="B1117" s="52">
        <f>-bthan*500+(11+0.5)*bthan*1000/50</f>
        <v>-1485</v>
      </c>
      <c r="C1117" s="52">
        <f t="shared" si="152"/>
        <v>-350</v>
      </c>
      <c r="D1117" s="52">
        <f t="shared" si="150"/>
        <v>2200</v>
      </c>
      <c r="E1117" s="52">
        <f t="shared" si="151"/>
        <v>1</v>
      </c>
      <c r="F1117" s="52"/>
      <c r="G1117" s="52"/>
      <c r="H1117" s="52"/>
      <c r="I1117" s="52"/>
      <c r="J1117" s="52"/>
      <c r="K1117" s="52"/>
      <c r="L1117" s="52"/>
      <c r="M1117" s="52"/>
      <c r="N1117" s="52"/>
      <c r="O1117" s="52"/>
      <c r="P1117" s="52"/>
      <c r="Q1117" s="52"/>
      <c r="R1117" s="52"/>
      <c r="S1117" s="52"/>
      <c r="T1117" s="52"/>
      <c r="U1117" s="52"/>
      <c r="V1117" s="52"/>
      <c r="W1117" s="52"/>
      <c r="X1117" s="52"/>
      <c r="Y1117" s="52"/>
      <c r="Z1117" s="52"/>
      <c r="AA1117" s="52"/>
      <c r="AB1117" s="52"/>
      <c r="AC1117" s="52"/>
      <c r="AD1117" s="52"/>
      <c r="AE1117" s="52"/>
      <c r="AF1117" s="52"/>
      <c r="AG1117" s="52"/>
      <c r="AH1117" s="52"/>
      <c r="AI1117" s="52"/>
      <c r="AJ1117" s="52"/>
      <c r="AK1117" s="52"/>
      <c r="AL1117" s="52"/>
      <c r="AM1117" s="52"/>
      <c r="AN1117" s="52"/>
    </row>
    <row r="1118" spans="1:40" x14ac:dyDescent="0.3">
      <c r="A1118" s="52">
        <v>1113</v>
      </c>
      <c r="B1118" s="52">
        <f>-bthan*500+(12+0.5)*bthan*1000/50</f>
        <v>-1375</v>
      </c>
      <c r="C1118" s="52">
        <f t="shared" si="152"/>
        <v>-350</v>
      </c>
      <c r="D1118" s="52">
        <f t="shared" si="150"/>
        <v>2200</v>
      </c>
      <c r="E1118" s="52">
        <f t="shared" si="151"/>
        <v>1</v>
      </c>
      <c r="F1118" s="52"/>
      <c r="G1118" s="52"/>
      <c r="H1118" s="52"/>
      <c r="I1118" s="52"/>
      <c r="J1118" s="52"/>
      <c r="K1118" s="52"/>
      <c r="L1118" s="52"/>
      <c r="M1118" s="52"/>
      <c r="N1118" s="52"/>
      <c r="O1118" s="52"/>
      <c r="P1118" s="52"/>
      <c r="Q1118" s="52"/>
      <c r="R1118" s="52"/>
      <c r="S1118" s="52"/>
      <c r="T1118" s="52"/>
      <c r="U1118" s="52"/>
      <c r="V1118" s="52"/>
      <c r="W1118" s="52"/>
      <c r="X1118" s="52"/>
      <c r="Y1118" s="52"/>
      <c r="Z1118" s="52"/>
      <c r="AA1118" s="52"/>
      <c r="AB1118" s="52"/>
      <c r="AC1118" s="52"/>
      <c r="AD1118" s="52"/>
      <c r="AE1118" s="52"/>
      <c r="AF1118" s="52"/>
      <c r="AG1118" s="52"/>
      <c r="AH1118" s="52"/>
      <c r="AI1118" s="52"/>
      <c r="AJ1118" s="52"/>
      <c r="AK1118" s="52"/>
      <c r="AL1118" s="52"/>
      <c r="AM1118" s="52"/>
      <c r="AN1118" s="52"/>
    </row>
    <row r="1119" spans="1:40" x14ac:dyDescent="0.3">
      <c r="A1119" s="52">
        <v>1114</v>
      </c>
      <c r="B1119" s="52">
        <f>-bthan*500+(13+0.5)*bthan*1000/50</f>
        <v>-1265</v>
      </c>
      <c r="C1119" s="52">
        <f t="shared" si="152"/>
        <v>-350</v>
      </c>
      <c r="D1119" s="52">
        <f t="shared" si="150"/>
        <v>2200</v>
      </c>
      <c r="E1119" s="52">
        <f t="shared" si="151"/>
        <v>1</v>
      </c>
      <c r="F1119" s="52"/>
      <c r="G1119" s="52"/>
      <c r="H1119" s="52"/>
      <c r="I1119" s="52"/>
      <c r="J1119" s="52"/>
      <c r="K1119" s="52"/>
      <c r="L1119" s="52"/>
      <c r="M1119" s="52"/>
      <c r="N1119" s="52"/>
      <c r="O1119" s="52"/>
      <c r="P1119" s="52"/>
      <c r="Q1119" s="52"/>
      <c r="R1119" s="52"/>
      <c r="S1119" s="52"/>
      <c r="T1119" s="52"/>
      <c r="U1119" s="52"/>
      <c r="V1119" s="52"/>
      <c r="W1119" s="52"/>
      <c r="X1119" s="52"/>
      <c r="Y1119" s="52"/>
      <c r="Z1119" s="52"/>
      <c r="AA1119" s="52"/>
      <c r="AB1119" s="52"/>
      <c r="AC1119" s="52"/>
      <c r="AD1119" s="52"/>
      <c r="AE1119" s="52"/>
      <c r="AF1119" s="52"/>
      <c r="AG1119" s="52"/>
      <c r="AH1119" s="52"/>
      <c r="AI1119" s="52"/>
      <c r="AJ1119" s="52"/>
      <c r="AK1119" s="52"/>
      <c r="AL1119" s="52"/>
      <c r="AM1119" s="52"/>
      <c r="AN1119" s="52"/>
    </row>
    <row r="1120" spans="1:40" x14ac:dyDescent="0.3">
      <c r="A1120" s="52">
        <v>1115</v>
      </c>
      <c r="B1120" s="52">
        <f>-bthan*500+(14+0.5)*bthan*1000/50</f>
        <v>-1155</v>
      </c>
      <c r="C1120" s="52">
        <f t="shared" si="152"/>
        <v>-350</v>
      </c>
      <c r="D1120" s="52">
        <f t="shared" si="150"/>
        <v>2200</v>
      </c>
      <c r="E1120" s="52">
        <f t="shared" si="151"/>
        <v>1</v>
      </c>
      <c r="F1120" s="52"/>
      <c r="G1120" s="52"/>
      <c r="H1120" s="52"/>
      <c r="I1120" s="52"/>
      <c r="J1120" s="52"/>
      <c r="K1120" s="52"/>
      <c r="L1120" s="52"/>
      <c r="M1120" s="52"/>
      <c r="N1120" s="52"/>
      <c r="O1120" s="52"/>
      <c r="P1120" s="52"/>
      <c r="Q1120" s="52"/>
      <c r="R1120" s="52"/>
      <c r="S1120" s="52"/>
      <c r="T1120" s="52"/>
      <c r="U1120" s="52"/>
      <c r="V1120" s="52"/>
      <c r="W1120" s="52"/>
      <c r="X1120" s="52"/>
      <c r="Y1120" s="52"/>
      <c r="Z1120" s="52"/>
      <c r="AA1120" s="52"/>
      <c r="AB1120" s="52"/>
      <c r="AC1120" s="52"/>
      <c r="AD1120" s="52"/>
      <c r="AE1120" s="52"/>
      <c r="AF1120" s="52"/>
      <c r="AG1120" s="52"/>
      <c r="AH1120" s="52"/>
      <c r="AI1120" s="52"/>
      <c r="AJ1120" s="52"/>
      <c r="AK1120" s="52"/>
      <c r="AL1120" s="52"/>
      <c r="AM1120" s="52"/>
      <c r="AN1120" s="52"/>
    </row>
    <row r="1121" spans="1:40" x14ac:dyDescent="0.3">
      <c r="A1121" s="52">
        <v>1116</v>
      </c>
      <c r="B1121" s="52">
        <f>-bthan*500+(15+0.5)*bthan*1000/50</f>
        <v>-1045</v>
      </c>
      <c r="C1121" s="52">
        <f t="shared" si="152"/>
        <v>-350</v>
      </c>
      <c r="D1121" s="52">
        <f t="shared" si="150"/>
        <v>2200</v>
      </c>
      <c r="E1121" s="52">
        <f t="shared" si="151"/>
        <v>1</v>
      </c>
      <c r="F1121" s="52"/>
      <c r="G1121" s="52"/>
      <c r="H1121" s="52"/>
      <c r="I1121" s="52"/>
      <c r="J1121" s="52"/>
      <c r="K1121" s="52"/>
      <c r="L1121" s="52"/>
      <c r="M1121" s="52"/>
      <c r="N1121" s="52"/>
      <c r="O1121" s="52"/>
      <c r="P1121" s="52"/>
      <c r="Q1121" s="52"/>
      <c r="R1121" s="52"/>
      <c r="S1121" s="52"/>
      <c r="T1121" s="52"/>
      <c r="U1121" s="52"/>
      <c r="V1121" s="52"/>
      <c r="W1121" s="52"/>
      <c r="X1121" s="52"/>
      <c r="Y1121" s="52"/>
      <c r="Z1121" s="52"/>
      <c r="AA1121" s="52"/>
      <c r="AB1121" s="52"/>
      <c r="AC1121" s="52"/>
      <c r="AD1121" s="52"/>
      <c r="AE1121" s="52"/>
      <c r="AF1121" s="52"/>
      <c r="AG1121" s="52"/>
      <c r="AH1121" s="52"/>
      <c r="AI1121" s="52"/>
      <c r="AJ1121" s="52"/>
      <c r="AK1121" s="52"/>
      <c r="AL1121" s="52"/>
      <c r="AM1121" s="52"/>
      <c r="AN1121" s="52"/>
    </row>
    <row r="1122" spans="1:40" x14ac:dyDescent="0.3">
      <c r="A1122" s="52">
        <v>1117</v>
      </c>
      <c r="B1122" s="52">
        <f>-bthan*500+(16+0.5)*bthan*1000/50</f>
        <v>-935</v>
      </c>
      <c r="C1122" s="52">
        <f t="shared" si="152"/>
        <v>-350</v>
      </c>
      <c r="D1122" s="52">
        <f t="shared" si="150"/>
        <v>2200</v>
      </c>
      <c r="E1122" s="52">
        <f t="shared" si="151"/>
        <v>1</v>
      </c>
      <c r="F1122" s="52"/>
      <c r="G1122" s="52"/>
      <c r="H1122" s="52"/>
      <c r="I1122" s="52"/>
      <c r="J1122" s="52"/>
      <c r="K1122" s="52"/>
      <c r="L1122" s="52"/>
      <c r="M1122" s="52"/>
      <c r="N1122" s="52"/>
      <c r="O1122" s="52"/>
      <c r="P1122" s="52"/>
      <c r="Q1122" s="52"/>
      <c r="R1122" s="52"/>
      <c r="S1122" s="52"/>
      <c r="T1122" s="52"/>
      <c r="U1122" s="52"/>
      <c r="V1122" s="52"/>
      <c r="W1122" s="52"/>
      <c r="X1122" s="52"/>
      <c r="Y1122" s="52"/>
      <c r="Z1122" s="52"/>
      <c r="AA1122" s="52"/>
      <c r="AB1122" s="52"/>
      <c r="AC1122" s="52"/>
      <c r="AD1122" s="52"/>
      <c r="AE1122" s="52"/>
      <c r="AF1122" s="52"/>
      <c r="AG1122" s="52"/>
      <c r="AH1122" s="52"/>
      <c r="AI1122" s="52"/>
      <c r="AJ1122" s="52"/>
      <c r="AK1122" s="52"/>
      <c r="AL1122" s="52"/>
      <c r="AM1122" s="52"/>
      <c r="AN1122" s="52"/>
    </row>
    <row r="1123" spans="1:40" x14ac:dyDescent="0.3">
      <c r="A1123" s="52">
        <v>1118</v>
      </c>
      <c r="B1123" s="52">
        <f>-bthan*500+(17+0.5)*bthan*1000/50</f>
        <v>-825</v>
      </c>
      <c r="C1123" s="52">
        <f t="shared" si="152"/>
        <v>-350</v>
      </c>
      <c r="D1123" s="52">
        <f t="shared" si="150"/>
        <v>2200</v>
      </c>
      <c r="E1123" s="52">
        <f t="shared" si="151"/>
        <v>1</v>
      </c>
      <c r="F1123" s="52"/>
      <c r="G1123" s="52"/>
      <c r="H1123" s="52"/>
      <c r="I1123" s="52"/>
      <c r="J1123" s="52"/>
      <c r="K1123" s="52"/>
      <c r="L1123" s="52"/>
      <c r="M1123" s="52"/>
      <c r="N1123" s="52"/>
      <c r="O1123" s="52"/>
      <c r="P1123" s="52"/>
      <c r="Q1123" s="52"/>
      <c r="R1123" s="52"/>
      <c r="S1123" s="52"/>
      <c r="T1123" s="52"/>
      <c r="U1123" s="52"/>
      <c r="V1123" s="52"/>
      <c r="W1123" s="52"/>
      <c r="X1123" s="52"/>
      <c r="Y1123" s="52"/>
      <c r="Z1123" s="52"/>
      <c r="AA1123" s="52"/>
      <c r="AB1123" s="52"/>
      <c r="AC1123" s="52"/>
      <c r="AD1123" s="52"/>
      <c r="AE1123" s="52"/>
      <c r="AF1123" s="52"/>
      <c r="AG1123" s="52"/>
      <c r="AH1123" s="52"/>
      <c r="AI1123" s="52"/>
      <c r="AJ1123" s="52"/>
      <c r="AK1123" s="52"/>
      <c r="AL1123" s="52"/>
      <c r="AM1123" s="52"/>
      <c r="AN1123" s="52"/>
    </row>
    <row r="1124" spans="1:40" x14ac:dyDescent="0.3">
      <c r="A1124" s="52">
        <v>1119</v>
      </c>
      <c r="B1124" s="52">
        <f>-bthan*500+(18+0.5)*bthan*1000/50</f>
        <v>-715</v>
      </c>
      <c r="C1124" s="52">
        <f t="shared" si="152"/>
        <v>-350</v>
      </c>
      <c r="D1124" s="52">
        <f t="shared" si="150"/>
        <v>2200</v>
      </c>
      <c r="E1124" s="52">
        <f t="shared" si="151"/>
        <v>1</v>
      </c>
      <c r="F1124" s="52"/>
      <c r="G1124" s="52"/>
      <c r="H1124" s="52"/>
      <c r="I1124" s="52"/>
      <c r="J1124" s="52"/>
      <c r="K1124" s="52"/>
      <c r="L1124" s="52"/>
      <c r="M1124" s="52"/>
      <c r="N1124" s="52"/>
      <c r="O1124" s="52"/>
      <c r="P1124" s="52"/>
      <c r="Q1124" s="52"/>
      <c r="R1124" s="52"/>
      <c r="S1124" s="52"/>
      <c r="T1124" s="52"/>
      <c r="U1124" s="52"/>
      <c r="V1124" s="52"/>
      <c r="W1124" s="52"/>
      <c r="X1124" s="52"/>
      <c r="Y1124" s="52"/>
      <c r="Z1124" s="52"/>
      <c r="AA1124" s="52"/>
      <c r="AB1124" s="52"/>
      <c r="AC1124" s="52"/>
      <c r="AD1124" s="52"/>
      <c r="AE1124" s="52"/>
      <c r="AF1124" s="52"/>
      <c r="AG1124" s="52"/>
      <c r="AH1124" s="52"/>
      <c r="AI1124" s="52"/>
      <c r="AJ1124" s="52"/>
      <c r="AK1124" s="52"/>
      <c r="AL1124" s="52"/>
      <c r="AM1124" s="52"/>
      <c r="AN1124" s="52"/>
    </row>
    <row r="1125" spans="1:40" x14ac:dyDescent="0.3">
      <c r="A1125" s="52">
        <v>1120</v>
      </c>
      <c r="B1125" s="52">
        <f>-bthan*500+(19+0.5)*bthan*1000/50</f>
        <v>-605</v>
      </c>
      <c r="C1125" s="52">
        <f t="shared" si="152"/>
        <v>-350</v>
      </c>
      <c r="D1125" s="52">
        <f t="shared" si="150"/>
        <v>2200</v>
      </c>
      <c r="E1125" s="52">
        <f t="shared" si="151"/>
        <v>1</v>
      </c>
      <c r="F1125" s="52"/>
      <c r="G1125" s="52"/>
      <c r="H1125" s="52"/>
      <c r="I1125" s="52"/>
      <c r="J1125" s="52"/>
      <c r="K1125" s="52"/>
      <c r="L1125" s="52"/>
      <c r="M1125" s="52"/>
      <c r="N1125" s="52"/>
      <c r="O1125" s="52"/>
      <c r="P1125" s="52"/>
      <c r="Q1125" s="52"/>
      <c r="R1125" s="52"/>
      <c r="S1125" s="52"/>
      <c r="T1125" s="52"/>
      <c r="U1125" s="52"/>
      <c r="V1125" s="52"/>
      <c r="W1125" s="52"/>
      <c r="X1125" s="52"/>
      <c r="Y1125" s="52"/>
      <c r="Z1125" s="52"/>
      <c r="AA1125" s="52"/>
      <c r="AB1125" s="52"/>
      <c r="AC1125" s="52"/>
      <c r="AD1125" s="52"/>
      <c r="AE1125" s="52"/>
      <c r="AF1125" s="52"/>
      <c r="AG1125" s="52"/>
      <c r="AH1125" s="52"/>
      <c r="AI1125" s="52"/>
      <c r="AJ1125" s="52"/>
      <c r="AK1125" s="52"/>
      <c r="AL1125" s="52"/>
      <c r="AM1125" s="52"/>
      <c r="AN1125" s="52"/>
    </row>
    <row r="1126" spans="1:40" x14ac:dyDescent="0.3">
      <c r="A1126" s="52">
        <v>1121</v>
      </c>
      <c r="B1126" s="52">
        <f>-bthan*500+(20+0.5)*bthan*1000/50</f>
        <v>-495</v>
      </c>
      <c r="C1126" s="52">
        <f t="shared" si="152"/>
        <v>-350</v>
      </c>
      <c r="D1126" s="52">
        <f t="shared" si="150"/>
        <v>2200</v>
      </c>
      <c r="E1126" s="52">
        <f t="shared" si="151"/>
        <v>1</v>
      </c>
      <c r="F1126" s="52"/>
      <c r="G1126" s="52"/>
      <c r="H1126" s="52"/>
      <c r="I1126" s="52"/>
      <c r="J1126" s="52"/>
      <c r="K1126" s="52"/>
      <c r="L1126" s="52"/>
      <c r="M1126" s="52"/>
      <c r="N1126" s="52"/>
      <c r="O1126" s="52"/>
      <c r="P1126" s="52"/>
      <c r="Q1126" s="52"/>
      <c r="R1126" s="52"/>
      <c r="S1126" s="52"/>
      <c r="T1126" s="52"/>
      <c r="U1126" s="52"/>
      <c r="V1126" s="52"/>
      <c r="W1126" s="52"/>
      <c r="X1126" s="52"/>
      <c r="Y1126" s="52"/>
      <c r="Z1126" s="52"/>
      <c r="AA1126" s="52"/>
      <c r="AB1126" s="52"/>
      <c r="AC1126" s="52"/>
      <c r="AD1126" s="52"/>
      <c r="AE1126" s="52"/>
      <c r="AF1126" s="52"/>
      <c r="AG1126" s="52"/>
      <c r="AH1126" s="52"/>
      <c r="AI1126" s="52"/>
      <c r="AJ1126" s="52"/>
      <c r="AK1126" s="52"/>
      <c r="AL1126" s="52"/>
      <c r="AM1126" s="52"/>
      <c r="AN1126" s="52"/>
    </row>
    <row r="1127" spans="1:40" x14ac:dyDescent="0.3">
      <c r="A1127" s="52">
        <v>1122</v>
      </c>
      <c r="B1127" s="52">
        <f>-bthan*500+(21+0.5)*bthan*1000/50</f>
        <v>-385</v>
      </c>
      <c r="C1127" s="52">
        <f t="shared" si="152"/>
        <v>-350</v>
      </c>
      <c r="D1127" s="52">
        <f t="shared" si="150"/>
        <v>2200</v>
      </c>
      <c r="E1127" s="52">
        <f t="shared" si="151"/>
        <v>1</v>
      </c>
      <c r="F1127" s="52"/>
      <c r="G1127" s="52"/>
      <c r="H1127" s="52"/>
      <c r="I1127" s="52"/>
      <c r="J1127" s="52"/>
      <c r="K1127" s="52"/>
      <c r="L1127" s="52"/>
      <c r="M1127" s="52"/>
      <c r="N1127" s="52"/>
      <c r="O1127" s="52"/>
      <c r="P1127" s="52"/>
      <c r="Q1127" s="52"/>
      <c r="R1127" s="52"/>
      <c r="S1127" s="52"/>
      <c r="T1127" s="52"/>
      <c r="U1127" s="52"/>
      <c r="V1127" s="52"/>
      <c r="W1127" s="52"/>
      <c r="X1127" s="52"/>
      <c r="Y1127" s="52"/>
      <c r="Z1127" s="52"/>
      <c r="AA1127" s="52"/>
      <c r="AB1127" s="52"/>
      <c r="AC1127" s="52"/>
      <c r="AD1127" s="52"/>
      <c r="AE1127" s="52"/>
      <c r="AF1127" s="52"/>
      <c r="AG1127" s="52"/>
      <c r="AH1127" s="52"/>
      <c r="AI1127" s="52"/>
      <c r="AJ1127" s="52"/>
      <c r="AK1127" s="52"/>
      <c r="AL1127" s="52"/>
      <c r="AM1127" s="52"/>
      <c r="AN1127" s="52"/>
    </row>
    <row r="1128" spans="1:40" x14ac:dyDescent="0.3">
      <c r="A1128" s="52">
        <v>1123</v>
      </c>
      <c r="B1128" s="52">
        <f>-bthan*500+(22+0.5)*bthan*1000/50</f>
        <v>-275</v>
      </c>
      <c r="C1128" s="52">
        <f t="shared" si="152"/>
        <v>-350</v>
      </c>
      <c r="D1128" s="52">
        <f t="shared" si="150"/>
        <v>2200</v>
      </c>
      <c r="E1128" s="52">
        <f t="shared" si="151"/>
        <v>1</v>
      </c>
      <c r="F1128" s="52"/>
      <c r="G1128" s="52"/>
      <c r="H1128" s="52"/>
      <c r="I1128" s="52"/>
      <c r="J1128" s="52"/>
      <c r="K1128" s="52"/>
      <c r="L1128" s="52"/>
      <c r="M1128" s="52"/>
      <c r="N1128" s="52"/>
      <c r="O1128" s="52"/>
      <c r="P1128" s="52"/>
      <c r="Q1128" s="52"/>
      <c r="R1128" s="52"/>
      <c r="S1128" s="52"/>
      <c r="T1128" s="52"/>
      <c r="U1128" s="52"/>
      <c r="V1128" s="52"/>
      <c r="W1128" s="52"/>
      <c r="X1128" s="52"/>
      <c r="Y1128" s="52"/>
      <c r="Z1128" s="52"/>
      <c r="AA1128" s="52"/>
      <c r="AB1128" s="52"/>
      <c r="AC1128" s="52"/>
      <c r="AD1128" s="52"/>
      <c r="AE1128" s="52"/>
      <c r="AF1128" s="52"/>
      <c r="AG1128" s="52"/>
      <c r="AH1128" s="52"/>
      <c r="AI1128" s="52"/>
      <c r="AJ1128" s="52"/>
      <c r="AK1128" s="52"/>
      <c r="AL1128" s="52"/>
      <c r="AM1128" s="52"/>
      <c r="AN1128" s="52"/>
    </row>
    <row r="1129" spans="1:40" x14ac:dyDescent="0.3">
      <c r="A1129" s="52">
        <v>1124</v>
      </c>
      <c r="B1129" s="52">
        <f>-bthan*500+(23+0.5)*bthan*1000/50</f>
        <v>-165</v>
      </c>
      <c r="C1129" s="52">
        <f t="shared" si="152"/>
        <v>-350</v>
      </c>
      <c r="D1129" s="52">
        <f t="shared" si="150"/>
        <v>2200</v>
      </c>
      <c r="E1129" s="52">
        <f t="shared" si="151"/>
        <v>1</v>
      </c>
      <c r="F1129" s="52"/>
      <c r="G1129" s="52"/>
      <c r="H1129" s="52"/>
      <c r="I1129" s="52"/>
      <c r="J1129" s="52"/>
      <c r="K1129" s="52"/>
      <c r="L1129" s="52"/>
      <c r="M1129" s="52"/>
      <c r="N1129" s="52"/>
      <c r="O1129" s="52"/>
      <c r="P1129" s="52"/>
      <c r="Q1129" s="52"/>
      <c r="R1129" s="52"/>
      <c r="S1129" s="52"/>
      <c r="T1129" s="52"/>
      <c r="U1129" s="52"/>
      <c r="V1129" s="52"/>
      <c r="W1129" s="52"/>
      <c r="X1129" s="52"/>
      <c r="Y1129" s="52"/>
      <c r="Z1129" s="52"/>
      <c r="AA1129" s="52"/>
      <c r="AB1129" s="52"/>
      <c r="AC1129" s="52"/>
      <c r="AD1129" s="52"/>
      <c r="AE1129" s="52"/>
      <c r="AF1129" s="52"/>
      <c r="AG1129" s="52"/>
      <c r="AH1129" s="52"/>
      <c r="AI1129" s="52"/>
      <c r="AJ1129" s="52"/>
      <c r="AK1129" s="52"/>
      <c r="AL1129" s="52"/>
      <c r="AM1129" s="52"/>
      <c r="AN1129" s="52"/>
    </row>
    <row r="1130" spans="1:40" x14ac:dyDescent="0.3">
      <c r="A1130" s="52">
        <v>1125</v>
      </c>
      <c r="B1130" s="52">
        <f>-bthan*500+(24+0.5)*bthan*1000/50</f>
        <v>-55</v>
      </c>
      <c r="C1130" s="52">
        <f t="shared" si="152"/>
        <v>-350</v>
      </c>
      <c r="D1130" s="52">
        <f t="shared" si="150"/>
        <v>2200</v>
      </c>
      <c r="E1130" s="52">
        <f t="shared" si="151"/>
        <v>1</v>
      </c>
      <c r="F1130" s="52"/>
      <c r="G1130" s="52"/>
      <c r="H1130" s="52"/>
      <c r="I1130" s="52"/>
      <c r="J1130" s="52"/>
      <c r="K1130" s="52"/>
      <c r="L1130" s="52"/>
      <c r="M1130" s="52"/>
      <c r="N1130" s="52"/>
      <c r="O1130" s="52"/>
      <c r="P1130" s="52"/>
      <c r="Q1130" s="52"/>
      <c r="R1130" s="52"/>
      <c r="S1130" s="52"/>
      <c r="T1130" s="52"/>
      <c r="U1130" s="52"/>
      <c r="V1130" s="52"/>
      <c r="W1130" s="52"/>
      <c r="X1130" s="52"/>
      <c r="Y1130" s="52"/>
      <c r="Z1130" s="52"/>
      <c r="AA1130" s="52"/>
      <c r="AB1130" s="52"/>
      <c r="AC1130" s="52"/>
      <c r="AD1130" s="52"/>
      <c r="AE1130" s="52"/>
      <c r="AF1130" s="52"/>
      <c r="AG1130" s="52"/>
      <c r="AH1130" s="52"/>
      <c r="AI1130" s="52"/>
      <c r="AJ1130" s="52"/>
      <c r="AK1130" s="52"/>
      <c r="AL1130" s="52"/>
      <c r="AM1130" s="52"/>
      <c r="AN1130" s="52"/>
    </row>
    <row r="1131" spans="1:40" x14ac:dyDescent="0.3">
      <c r="A1131" s="52">
        <v>1126</v>
      </c>
      <c r="B1131" s="52">
        <f>-bthan*500+(25+0.5)*bthan*1000/50</f>
        <v>55</v>
      </c>
      <c r="C1131" s="52">
        <f t="shared" si="152"/>
        <v>-350</v>
      </c>
      <c r="D1131" s="52">
        <f t="shared" si="150"/>
        <v>2200</v>
      </c>
      <c r="E1131" s="52">
        <f t="shared" si="151"/>
        <v>1</v>
      </c>
      <c r="F1131" s="52"/>
      <c r="G1131" s="52"/>
      <c r="H1131" s="52"/>
      <c r="I1131" s="52"/>
      <c r="J1131" s="52"/>
      <c r="K1131" s="52"/>
      <c r="L1131" s="52"/>
      <c r="M1131" s="52"/>
      <c r="N1131" s="52"/>
      <c r="O1131" s="52"/>
      <c r="P1131" s="52"/>
      <c r="Q1131" s="52"/>
      <c r="R1131" s="52"/>
      <c r="S1131" s="52"/>
      <c r="T1131" s="52"/>
      <c r="U1131" s="52"/>
      <c r="V1131" s="52"/>
      <c r="W1131" s="52"/>
      <c r="X1131" s="52"/>
      <c r="Y1131" s="52"/>
      <c r="Z1131" s="52"/>
      <c r="AA1131" s="52"/>
      <c r="AB1131" s="52"/>
      <c r="AC1131" s="52"/>
      <c r="AD1131" s="52"/>
      <c r="AE1131" s="52"/>
      <c r="AF1131" s="52"/>
      <c r="AG1131" s="52"/>
      <c r="AH1131" s="52"/>
      <c r="AI1131" s="52"/>
      <c r="AJ1131" s="52"/>
      <c r="AK1131" s="52"/>
      <c r="AL1131" s="52"/>
      <c r="AM1131" s="52"/>
      <c r="AN1131" s="52"/>
    </row>
    <row r="1132" spans="1:40" x14ac:dyDescent="0.3">
      <c r="A1132" s="52">
        <v>1127</v>
      </c>
      <c r="B1132" s="52">
        <f>-bthan*500+(26+0.5)*bthan*1000/50</f>
        <v>165</v>
      </c>
      <c r="C1132" s="52">
        <f t="shared" si="152"/>
        <v>-350</v>
      </c>
      <c r="D1132" s="52">
        <f t="shared" si="150"/>
        <v>2200</v>
      </c>
      <c r="E1132" s="52">
        <f t="shared" si="151"/>
        <v>1</v>
      </c>
      <c r="F1132" s="52"/>
      <c r="G1132" s="52"/>
      <c r="H1132" s="52"/>
      <c r="I1132" s="52"/>
      <c r="J1132" s="52"/>
      <c r="K1132" s="52"/>
      <c r="L1132" s="52"/>
      <c r="M1132" s="52"/>
      <c r="N1132" s="52"/>
      <c r="O1132" s="52"/>
      <c r="P1132" s="52"/>
      <c r="Q1132" s="52"/>
      <c r="R1132" s="52"/>
      <c r="S1132" s="52"/>
      <c r="T1132" s="52"/>
      <c r="U1132" s="52"/>
      <c r="V1132" s="52"/>
      <c r="W1132" s="52"/>
      <c r="X1132" s="52"/>
      <c r="Y1132" s="52"/>
      <c r="Z1132" s="52"/>
      <c r="AA1132" s="52"/>
      <c r="AB1132" s="52"/>
      <c r="AC1132" s="52"/>
      <c r="AD1132" s="52"/>
      <c r="AE1132" s="52"/>
      <c r="AF1132" s="52"/>
      <c r="AG1132" s="52"/>
      <c r="AH1132" s="52"/>
      <c r="AI1132" s="52"/>
      <c r="AJ1132" s="52"/>
      <c r="AK1132" s="52"/>
      <c r="AL1132" s="52"/>
      <c r="AM1132" s="52"/>
      <c r="AN1132" s="52"/>
    </row>
    <row r="1133" spans="1:40" x14ac:dyDescent="0.3">
      <c r="A1133" s="52">
        <v>1128</v>
      </c>
      <c r="B1133" s="52">
        <f>-bthan*500+(27+0.5)*bthan*1000/50</f>
        <v>275</v>
      </c>
      <c r="C1133" s="52">
        <f t="shared" si="152"/>
        <v>-350</v>
      </c>
      <c r="D1133" s="52">
        <f t="shared" si="150"/>
        <v>2200</v>
      </c>
      <c r="E1133" s="52">
        <f t="shared" si="151"/>
        <v>1</v>
      </c>
      <c r="F1133" s="52"/>
      <c r="G1133" s="52"/>
      <c r="H1133" s="52"/>
      <c r="I1133" s="52"/>
      <c r="J1133" s="52"/>
      <c r="K1133" s="52"/>
      <c r="L1133" s="52"/>
      <c r="M1133" s="52"/>
      <c r="N1133" s="52"/>
      <c r="O1133" s="52"/>
      <c r="P1133" s="52"/>
      <c r="Q1133" s="52"/>
      <c r="R1133" s="52"/>
      <c r="S1133" s="52"/>
      <c r="T1133" s="52"/>
      <c r="U1133" s="52"/>
      <c r="V1133" s="52"/>
      <c r="W1133" s="52"/>
      <c r="X1133" s="52"/>
      <c r="Y1133" s="52"/>
      <c r="Z1133" s="52"/>
      <c r="AA1133" s="52"/>
      <c r="AB1133" s="52"/>
      <c r="AC1133" s="52"/>
      <c r="AD1133" s="52"/>
      <c r="AE1133" s="52"/>
      <c r="AF1133" s="52"/>
      <c r="AG1133" s="52"/>
      <c r="AH1133" s="52"/>
      <c r="AI1133" s="52"/>
      <c r="AJ1133" s="52"/>
      <c r="AK1133" s="52"/>
      <c r="AL1133" s="52"/>
      <c r="AM1133" s="52"/>
      <c r="AN1133" s="52"/>
    </row>
    <row r="1134" spans="1:40" x14ac:dyDescent="0.3">
      <c r="A1134" s="52">
        <v>1129</v>
      </c>
      <c r="B1134" s="52">
        <f>-bthan*500+(28+0.5)*bthan*1000/50</f>
        <v>385</v>
      </c>
      <c r="C1134" s="52">
        <f t="shared" si="152"/>
        <v>-350</v>
      </c>
      <c r="D1134" s="52">
        <f t="shared" si="150"/>
        <v>2200</v>
      </c>
      <c r="E1134" s="52">
        <f t="shared" si="151"/>
        <v>1</v>
      </c>
      <c r="F1134" s="52"/>
      <c r="G1134" s="52"/>
      <c r="H1134" s="52"/>
      <c r="I1134" s="52"/>
      <c r="J1134" s="52"/>
      <c r="K1134" s="52"/>
      <c r="L1134" s="52"/>
      <c r="M1134" s="52"/>
      <c r="N1134" s="52"/>
      <c r="O1134" s="52"/>
      <c r="P1134" s="52"/>
      <c r="Q1134" s="52"/>
      <c r="R1134" s="52"/>
      <c r="S1134" s="52"/>
      <c r="T1134" s="52"/>
      <c r="U1134" s="52"/>
      <c r="V1134" s="52"/>
      <c r="W1134" s="52"/>
      <c r="X1134" s="52"/>
      <c r="Y1134" s="52"/>
      <c r="Z1134" s="52"/>
      <c r="AA1134" s="52"/>
      <c r="AB1134" s="52"/>
      <c r="AC1134" s="52"/>
      <c r="AD1134" s="52"/>
      <c r="AE1134" s="52"/>
      <c r="AF1134" s="52"/>
      <c r="AG1134" s="52"/>
      <c r="AH1134" s="52"/>
      <c r="AI1134" s="52"/>
      <c r="AJ1134" s="52"/>
      <c r="AK1134" s="52"/>
      <c r="AL1134" s="52"/>
      <c r="AM1134" s="52"/>
      <c r="AN1134" s="52"/>
    </row>
    <row r="1135" spans="1:40" x14ac:dyDescent="0.3">
      <c r="A1135" s="52">
        <v>1130</v>
      </c>
      <c r="B1135" s="52">
        <f>-bthan*500+(29+0.5)*bthan*1000/50</f>
        <v>495</v>
      </c>
      <c r="C1135" s="52">
        <f t="shared" si="152"/>
        <v>-350</v>
      </c>
      <c r="D1135" s="52">
        <f t="shared" si="150"/>
        <v>2200</v>
      </c>
      <c r="E1135" s="52">
        <f t="shared" si="151"/>
        <v>1</v>
      </c>
      <c r="F1135" s="52"/>
      <c r="G1135" s="52"/>
      <c r="H1135" s="52"/>
      <c r="I1135" s="52"/>
      <c r="J1135" s="52"/>
      <c r="K1135" s="52"/>
      <c r="L1135" s="52"/>
      <c r="M1135" s="52"/>
      <c r="N1135" s="52"/>
      <c r="O1135" s="52"/>
      <c r="P1135" s="52"/>
      <c r="Q1135" s="52"/>
      <c r="R1135" s="52"/>
      <c r="S1135" s="52"/>
      <c r="T1135" s="52"/>
      <c r="U1135" s="52"/>
      <c r="V1135" s="52"/>
      <c r="W1135" s="52"/>
      <c r="X1135" s="52"/>
      <c r="Y1135" s="52"/>
      <c r="Z1135" s="52"/>
      <c r="AA1135" s="52"/>
      <c r="AB1135" s="52"/>
      <c r="AC1135" s="52"/>
      <c r="AD1135" s="52"/>
      <c r="AE1135" s="52"/>
      <c r="AF1135" s="52"/>
      <c r="AG1135" s="52"/>
      <c r="AH1135" s="52"/>
      <c r="AI1135" s="52"/>
      <c r="AJ1135" s="52"/>
      <c r="AK1135" s="52"/>
      <c r="AL1135" s="52"/>
      <c r="AM1135" s="52"/>
      <c r="AN1135" s="52"/>
    </row>
    <row r="1136" spans="1:40" x14ac:dyDescent="0.3">
      <c r="A1136" s="52">
        <v>1131</v>
      </c>
      <c r="B1136" s="52">
        <f>-bthan*500+(30+0.5)*bthan*1000/50</f>
        <v>605</v>
      </c>
      <c r="C1136" s="52">
        <f t="shared" si="152"/>
        <v>-350</v>
      </c>
      <c r="D1136" s="52">
        <f t="shared" si="150"/>
        <v>2200</v>
      </c>
      <c r="E1136" s="52">
        <f t="shared" si="151"/>
        <v>1</v>
      </c>
      <c r="F1136" s="52"/>
      <c r="G1136" s="52"/>
      <c r="H1136" s="52"/>
      <c r="I1136" s="52"/>
      <c r="J1136" s="52"/>
      <c r="K1136" s="52"/>
      <c r="L1136" s="52"/>
      <c r="M1136" s="52"/>
      <c r="N1136" s="52"/>
      <c r="O1136" s="52"/>
      <c r="P1136" s="52"/>
      <c r="Q1136" s="52"/>
      <c r="R1136" s="52"/>
      <c r="S1136" s="52"/>
      <c r="T1136" s="52"/>
      <c r="U1136" s="52"/>
      <c r="V1136" s="52"/>
      <c r="W1136" s="52"/>
      <c r="X1136" s="52"/>
      <c r="Y1136" s="52"/>
      <c r="Z1136" s="52"/>
      <c r="AA1136" s="52"/>
      <c r="AB1136" s="52"/>
      <c r="AC1136" s="52"/>
      <c r="AD1136" s="52"/>
      <c r="AE1136" s="52"/>
      <c r="AF1136" s="52"/>
      <c r="AG1136" s="52"/>
      <c r="AH1136" s="52"/>
      <c r="AI1136" s="52"/>
      <c r="AJ1136" s="52"/>
      <c r="AK1136" s="52"/>
      <c r="AL1136" s="52"/>
      <c r="AM1136" s="52"/>
      <c r="AN1136" s="52"/>
    </row>
    <row r="1137" spans="1:40" x14ac:dyDescent="0.3">
      <c r="A1137" s="52">
        <v>1132</v>
      </c>
      <c r="B1137" s="52">
        <f>-bthan*500+(31+0.5)*bthan*1000/50</f>
        <v>715</v>
      </c>
      <c r="C1137" s="52">
        <f t="shared" si="152"/>
        <v>-350</v>
      </c>
      <c r="D1137" s="52">
        <f t="shared" si="150"/>
        <v>2200</v>
      </c>
      <c r="E1137" s="52">
        <f t="shared" si="151"/>
        <v>1</v>
      </c>
      <c r="F1137" s="52"/>
      <c r="G1137" s="52"/>
      <c r="H1137" s="52"/>
      <c r="I1137" s="52"/>
      <c r="J1137" s="52"/>
      <c r="K1137" s="52"/>
      <c r="L1137" s="52"/>
      <c r="M1137" s="52"/>
      <c r="N1137" s="52"/>
      <c r="O1137" s="52"/>
      <c r="P1137" s="52"/>
      <c r="Q1137" s="52"/>
      <c r="R1137" s="52"/>
      <c r="S1137" s="52"/>
      <c r="T1137" s="52"/>
      <c r="U1137" s="52"/>
      <c r="V1137" s="52"/>
      <c r="W1137" s="52"/>
      <c r="X1137" s="52"/>
      <c r="Y1137" s="52"/>
      <c r="Z1137" s="52"/>
      <c r="AA1137" s="52"/>
      <c r="AB1137" s="52"/>
      <c r="AC1137" s="52"/>
      <c r="AD1137" s="52"/>
      <c r="AE1137" s="52"/>
      <c r="AF1137" s="52"/>
      <c r="AG1137" s="52"/>
      <c r="AH1137" s="52"/>
      <c r="AI1137" s="52"/>
      <c r="AJ1137" s="52"/>
      <c r="AK1137" s="52"/>
      <c r="AL1137" s="52"/>
      <c r="AM1137" s="52"/>
      <c r="AN1137" s="52"/>
    </row>
    <row r="1138" spans="1:40" x14ac:dyDescent="0.3">
      <c r="A1138" s="52">
        <v>1133</v>
      </c>
      <c r="B1138" s="52">
        <f>-bthan*500+(32+0.5)*bthan*1000/50</f>
        <v>825</v>
      </c>
      <c r="C1138" s="52">
        <f t="shared" ref="C1138:C1155" si="153">-hthan*500+(22+0.5)*hthan*1000/80</f>
        <v>-350</v>
      </c>
      <c r="D1138" s="52">
        <f t="shared" si="150"/>
        <v>2200</v>
      </c>
      <c r="E1138" s="52">
        <f t="shared" si="151"/>
        <v>1</v>
      </c>
      <c r="F1138" s="52"/>
      <c r="G1138" s="52"/>
      <c r="H1138" s="52"/>
      <c r="I1138" s="52"/>
      <c r="J1138" s="52"/>
      <c r="K1138" s="52"/>
      <c r="L1138" s="52"/>
      <c r="M1138" s="52"/>
      <c r="N1138" s="52"/>
      <c r="O1138" s="52"/>
      <c r="P1138" s="52"/>
      <c r="Q1138" s="52"/>
      <c r="R1138" s="52"/>
      <c r="S1138" s="52"/>
      <c r="T1138" s="52"/>
      <c r="U1138" s="52"/>
      <c r="V1138" s="52"/>
      <c r="W1138" s="52"/>
      <c r="X1138" s="52"/>
      <c r="Y1138" s="52"/>
      <c r="Z1138" s="52"/>
      <c r="AA1138" s="52"/>
      <c r="AB1138" s="52"/>
      <c r="AC1138" s="52"/>
      <c r="AD1138" s="52"/>
      <c r="AE1138" s="52"/>
      <c r="AF1138" s="52"/>
      <c r="AG1138" s="52"/>
      <c r="AH1138" s="52"/>
      <c r="AI1138" s="52"/>
      <c r="AJ1138" s="52"/>
      <c r="AK1138" s="52"/>
      <c r="AL1138" s="52"/>
      <c r="AM1138" s="52"/>
      <c r="AN1138" s="52"/>
    </row>
    <row r="1139" spans="1:40" x14ac:dyDescent="0.3">
      <c r="A1139" s="52">
        <v>1134</v>
      </c>
      <c r="B1139" s="52">
        <f>-bthan*500+(33+0.5)*bthan*1000/50</f>
        <v>935</v>
      </c>
      <c r="C1139" s="52">
        <f t="shared" si="153"/>
        <v>-350</v>
      </c>
      <c r="D1139" s="52">
        <f t="shared" si="150"/>
        <v>2200</v>
      </c>
      <c r="E1139" s="52">
        <f t="shared" si="151"/>
        <v>1</v>
      </c>
      <c r="F1139" s="52"/>
      <c r="G1139" s="52"/>
      <c r="H1139" s="52"/>
      <c r="I1139" s="52"/>
      <c r="J1139" s="52"/>
      <c r="K1139" s="52"/>
      <c r="L1139" s="52"/>
      <c r="M1139" s="52"/>
      <c r="N1139" s="52"/>
      <c r="O1139" s="52"/>
      <c r="P1139" s="52"/>
      <c r="Q1139" s="52"/>
      <c r="R1139" s="52"/>
      <c r="S1139" s="52"/>
      <c r="T1139" s="52"/>
      <c r="U1139" s="52"/>
      <c r="V1139" s="52"/>
      <c r="W1139" s="52"/>
      <c r="X1139" s="52"/>
      <c r="Y1139" s="52"/>
      <c r="Z1139" s="52"/>
      <c r="AA1139" s="52"/>
      <c r="AB1139" s="52"/>
      <c r="AC1139" s="52"/>
      <c r="AD1139" s="52"/>
      <c r="AE1139" s="52"/>
      <c r="AF1139" s="52"/>
      <c r="AG1139" s="52"/>
      <c r="AH1139" s="52"/>
      <c r="AI1139" s="52"/>
      <c r="AJ1139" s="52"/>
      <c r="AK1139" s="52"/>
      <c r="AL1139" s="52"/>
      <c r="AM1139" s="52"/>
      <c r="AN1139" s="52"/>
    </row>
    <row r="1140" spans="1:40" x14ac:dyDescent="0.3">
      <c r="A1140" s="52">
        <v>1135</v>
      </c>
      <c r="B1140" s="52">
        <f>-bthan*500+(34+0.5)*bthan*1000/50</f>
        <v>1045</v>
      </c>
      <c r="C1140" s="52">
        <f t="shared" si="153"/>
        <v>-350</v>
      </c>
      <c r="D1140" s="52">
        <f t="shared" si="150"/>
        <v>2200</v>
      </c>
      <c r="E1140" s="52">
        <f t="shared" si="151"/>
        <v>1</v>
      </c>
      <c r="F1140" s="52"/>
      <c r="G1140" s="52"/>
      <c r="H1140" s="52"/>
      <c r="I1140" s="52"/>
      <c r="J1140" s="52"/>
      <c r="K1140" s="52"/>
      <c r="L1140" s="52"/>
      <c r="M1140" s="52"/>
      <c r="N1140" s="52"/>
      <c r="O1140" s="52"/>
      <c r="P1140" s="52"/>
      <c r="Q1140" s="52"/>
      <c r="R1140" s="52"/>
      <c r="S1140" s="52"/>
      <c r="T1140" s="52"/>
      <c r="U1140" s="52"/>
      <c r="V1140" s="52"/>
      <c r="W1140" s="52"/>
      <c r="X1140" s="52"/>
      <c r="Y1140" s="52"/>
      <c r="Z1140" s="52"/>
      <c r="AA1140" s="52"/>
      <c r="AB1140" s="52"/>
      <c r="AC1140" s="52"/>
      <c r="AD1140" s="52"/>
      <c r="AE1140" s="52"/>
      <c r="AF1140" s="52"/>
      <c r="AG1140" s="52"/>
      <c r="AH1140" s="52"/>
      <c r="AI1140" s="52"/>
      <c r="AJ1140" s="52"/>
      <c r="AK1140" s="52"/>
      <c r="AL1140" s="52"/>
      <c r="AM1140" s="52"/>
      <c r="AN1140" s="52"/>
    </row>
    <row r="1141" spans="1:40" x14ac:dyDescent="0.3">
      <c r="A1141" s="52">
        <v>1136</v>
      </c>
      <c r="B1141" s="52">
        <f>-bthan*500+(35+0.5)*bthan*1000/50</f>
        <v>1155</v>
      </c>
      <c r="C1141" s="52">
        <f t="shared" si="153"/>
        <v>-350</v>
      </c>
      <c r="D1141" s="52">
        <f t="shared" si="150"/>
        <v>2200</v>
      </c>
      <c r="E1141" s="52">
        <f t="shared" si="151"/>
        <v>1</v>
      </c>
      <c r="F1141" s="52"/>
      <c r="G1141" s="52"/>
      <c r="H1141" s="52"/>
      <c r="I1141" s="52"/>
      <c r="J1141" s="52"/>
      <c r="K1141" s="52"/>
      <c r="L1141" s="52"/>
      <c r="M1141" s="52"/>
      <c r="N1141" s="52"/>
      <c r="O1141" s="52"/>
      <c r="P1141" s="52"/>
      <c r="Q1141" s="52"/>
      <c r="R1141" s="52"/>
      <c r="S1141" s="52"/>
      <c r="T1141" s="52"/>
      <c r="U1141" s="52"/>
      <c r="V1141" s="52"/>
      <c r="W1141" s="52"/>
      <c r="X1141" s="52"/>
      <c r="Y1141" s="52"/>
      <c r="Z1141" s="52"/>
      <c r="AA1141" s="52"/>
      <c r="AB1141" s="52"/>
      <c r="AC1141" s="52"/>
      <c r="AD1141" s="52"/>
      <c r="AE1141" s="52"/>
      <c r="AF1141" s="52"/>
      <c r="AG1141" s="52"/>
      <c r="AH1141" s="52"/>
      <c r="AI1141" s="52"/>
      <c r="AJ1141" s="52"/>
      <c r="AK1141" s="52"/>
      <c r="AL1141" s="52"/>
      <c r="AM1141" s="52"/>
      <c r="AN1141" s="52"/>
    </row>
    <row r="1142" spans="1:40" x14ac:dyDescent="0.3">
      <c r="A1142" s="52">
        <v>1137</v>
      </c>
      <c r="B1142" s="52">
        <f>-bthan*500+(36+0.5)*bthan*1000/50</f>
        <v>1265</v>
      </c>
      <c r="C1142" s="52">
        <f t="shared" si="153"/>
        <v>-350</v>
      </c>
      <c r="D1142" s="52">
        <f t="shared" si="150"/>
        <v>2200</v>
      </c>
      <c r="E1142" s="52">
        <f t="shared" si="151"/>
        <v>1</v>
      </c>
      <c r="F1142" s="52"/>
      <c r="G1142" s="52"/>
      <c r="H1142" s="52"/>
      <c r="I1142" s="52"/>
      <c r="J1142" s="52"/>
      <c r="K1142" s="52"/>
      <c r="L1142" s="52"/>
      <c r="M1142" s="52"/>
      <c r="N1142" s="52"/>
      <c r="O1142" s="52"/>
      <c r="P1142" s="52"/>
      <c r="Q1142" s="52"/>
      <c r="R1142" s="52"/>
      <c r="S1142" s="52"/>
      <c r="T1142" s="52"/>
      <c r="U1142" s="52"/>
      <c r="V1142" s="52"/>
      <c r="W1142" s="52"/>
      <c r="X1142" s="52"/>
      <c r="Y1142" s="52"/>
      <c r="Z1142" s="52"/>
      <c r="AA1142" s="52"/>
      <c r="AB1142" s="52"/>
      <c r="AC1142" s="52"/>
      <c r="AD1142" s="52"/>
      <c r="AE1142" s="52"/>
      <c r="AF1142" s="52"/>
      <c r="AG1142" s="52"/>
      <c r="AH1142" s="52"/>
      <c r="AI1142" s="52"/>
      <c r="AJ1142" s="52"/>
      <c r="AK1142" s="52"/>
      <c r="AL1142" s="52"/>
      <c r="AM1142" s="52"/>
      <c r="AN1142" s="52"/>
    </row>
    <row r="1143" spans="1:40" x14ac:dyDescent="0.3">
      <c r="A1143" s="52">
        <v>1138</v>
      </c>
      <c r="B1143" s="52">
        <f>-bthan*500+(37+0.5)*bthan*1000/50</f>
        <v>1375</v>
      </c>
      <c r="C1143" s="52">
        <f t="shared" si="153"/>
        <v>-350</v>
      </c>
      <c r="D1143" s="52">
        <f t="shared" si="150"/>
        <v>2200</v>
      </c>
      <c r="E1143" s="52">
        <f t="shared" si="151"/>
        <v>1</v>
      </c>
      <c r="F1143" s="52"/>
      <c r="G1143" s="52"/>
      <c r="H1143" s="52"/>
      <c r="I1143" s="52"/>
      <c r="J1143" s="52"/>
      <c r="K1143" s="52"/>
      <c r="L1143" s="52"/>
      <c r="M1143" s="52"/>
      <c r="N1143" s="52"/>
      <c r="O1143" s="52"/>
      <c r="P1143" s="52"/>
      <c r="Q1143" s="52"/>
      <c r="R1143" s="52"/>
      <c r="S1143" s="52"/>
      <c r="T1143" s="52"/>
      <c r="U1143" s="52"/>
      <c r="V1143" s="52"/>
      <c r="W1143" s="52"/>
      <c r="X1143" s="52"/>
      <c r="Y1143" s="52"/>
      <c r="Z1143" s="52"/>
      <c r="AA1143" s="52"/>
      <c r="AB1143" s="52"/>
      <c r="AC1143" s="52"/>
      <c r="AD1143" s="52"/>
      <c r="AE1143" s="52"/>
      <c r="AF1143" s="52"/>
      <c r="AG1143" s="52"/>
      <c r="AH1143" s="52"/>
      <c r="AI1143" s="52"/>
      <c r="AJ1143" s="52"/>
      <c r="AK1143" s="52"/>
      <c r="AL1143" s="52"/>
      <c r="AM1143" s="52"/>
      <c r="AN1143" s="52"/>
    </row>
    <row r="1144" spans="1:40" x14ac:dyDescent="0.3">
      <c r="A1144" s="52">
        <v>1139</v>
      </c>
      <c r="B1144" s="52">
        <f>-bthan*500+(38+0.5)*bthan*1000/50</f>
        <v>1485</v>
      </c>
      <c r="C1144" s="52">
        <f t="shared" si="153"/>
        <v>-350</v>
      </c>
      <c r="D1144" s="52">
        <f t="shared" si="150"/>
        <v>2200</v>
      </c>
      <c r="E1144" s="52">
        <f t="shared" si="151"/>
        <v>1</v>
      </c>
      <c r="F1144" s="52"/>
      <c r="G1144" s="52"/>
      <c r="H1144" s="52"/>
      <c r="I1144" s="52"/>
      <c r="J1144" s="52"/>
      <c r="K1144" s="52"/>
      <c r="L1144" s="52"/>
      <c r="M1144" s="52"/>
      <c r="N1144" s="52"/>
      <c r="O1144" s="52"/>
      <c r="P1144" s="52"/>
      <c r="Q1144" s="52"/>
      <c r="R1144" s="52"/>
      <c r="S1144" s="52"/>
      <c r="T1144" s="52"/>
      <c r="U1144" s="52"/>
      <c r="V1144" s="52"/>
      <c r="W1144" s="52"/>
      <c r="X1144" s="52"/>
      <c r="Y1144" s="52"/>
      <c r="Z1144" s="52"/>
      <c r="AA1144" s="52"/>
      <c r="AB1144" s="52"/>
      <c r="AC1144" s="52"/>
      <c r="AD1144" s="52"/>
      <c r="AE1144" s="52"/>
      <c r="AF1144" s="52"/>
      <c r="AG1144" s="52"/>
      <c r="AH1144" s="52"/>
      <c r="AI1144" s="52"/>
      <c r="AJ1144" s="52"/>
      <c r="AK1144" s="52"/>
      <c r="AL1144" s="52"/>
      <c r="AM1144" s="52"/>
      <c r="AN1144" s="52"/>
    </row>
    <row r="1145" spans="1:40" x14ac:dyDescent="0.3">
      <c r="A1145" s="52">
        <v>1140</v>
      </c>
      <c r="B1145" s="52">
        <f>-bthan*500+(39+0.5)*bthan*1000/50</f>
        <v>1595</v>
      </c>
      <c r="C1145" s="52">
        <f t="shared" si="153"/>
        <v>-350</v>
      </c>
      <c r="D1145" s="52">
        <f t="shared" si="150"/>
        <v>2200</v>
      </c>
      <c r="E1145" s="52">
        <f t="shared" si="151"/>
        <v>1</v>
      </c>
      <c r="F1145" s="52"/>
      <c r="G1145" s="52"/>
      <c r="H1145" s="52"/>
      <c r="I1145" s="52"/>
      <c r="J1145" s="52"/>
      <c r="K1145" s="52"/>
      <c r="L1145" s="52"/>
      <c r="M1145" s="52"/>
      <c r="N1145" s="52"/>
      <c r="O1145" s="52"/>
      <c r="P1145" s="52"/>
      <c r="Q1145" s="52"/>
      <c r="R1145" s="52"/>
      <c r="S1145" s="52"/>
      <c r="T1145" s="52"/>
      <c r="U1145" s="52"/>
      <c r="V1145" s="52"/>
      <c r="W1145" s="52"/>
      <c r="X1145" s="52"/>
      <c r="Y1145" s="52"/>
      <c r="Z1145" s="52"/>
      <c r="AA1145" s="52"/>
      <c r="AB1145" s="52"/>
      <c r="AC1145" s="52"/>
      <c r="AD1145" s="52"/>
      <c r="AE1145" s="52"/>
      <c r="AF1145" s="52"/>
      <c r="AG1145" s="52"/>
      <c r="AH1145" s="52"/>
      <c r="AI1145" s="52"/>
      <c r="AJ1145" s="52"/>
      <c r="AK1145" s="52"/>
      <c r="AL1145" s="52"/>
      <c r="AM1145" s="52"/>
      <c r="AN1145" s="52"/>
    </row>
    <row r="1146" spans="1:40" x14ac:dyDescent="0.3">
      <c r="A1146" s="52">
        <v>1141</v>
      </c>
      <c r="B1146" s="52">
        <f>-bthan*500+(40+0.5)*bthan*1000/50</f>
        <v>1705</v>
      </c>
      <c r="C1146" s="52">
        <f t="shared" si="153"/>
        <v>-350</v>
      </c>
      <c r="D1146" s="52">
        <f t="shared" si="150"/>
        <v>2200</v>
      </c>
      <c r="E1146" s="52">
        <f t="shared" si="151"/>
        <v>1</v>
      </c>
      <c r="F1146" s="52"/>
      <c r="G1146" s="52"/>
      <c r="H1146" s="52"/>
      <c r="I1146" s="52"/>
      <c r="J1146" s="52"/>
      <c r="K1146" s="52"/>
      <c r="L1146" s="52"/>
      <c r="M1146" s="52"/>
      <c r="N1146" s="52"/>
      <c r="O1146" s="52"/>
      <c r="P1146" s="52"/>
      <c r="Q1146" s="52"/>
      <c r="R1146" s="52"/>
      <c r="S1146" s="52"/>
      <c r="T1146" s="52"/>
      <c r="U1146" s="52"/>
      <c r="V1146" s="52"/>
      <c r="W1146" s="52"/>
      <c r="X1146" s="52"/>
      <c r="Y1146" s="52"/>
      <c r="Z1146" s="52"/>
      <c r="AA1146" s="52"/>
      <c r="AB1146" s="52"/>
      <c r="AC1146" s="52"/>
      <c r="AD1146" s="52"/>
      <c r="AE1146" s="52"/>
      <c r="AF1146" s="52"/>
      <c r="AG1146" s="52"/>
      <c r="AH1146" s="52"/>
      <c r="AI1146" s="52"/>
      <c r="AJ1146" s="52"/>
      <c r="AK1146" s="52"/>
      <c r="AL1146" s="52"/>
      <c r="AM1146" s="52"/>
      <c r="AN1146" s="52"/>
    </row>
    <row r="1147" spans="1:40" x14ac:dyDescent="0.3">
      <c r="A1147" s="52">
        <v>1142</v>
      </c>
      <c r="B1147" s="52">
        <f>-bthan*500+(41+0.5)*bthan*1000/50</f>
        <v>1815</v>
      </c>
      <c r="C1147" s="52">
        <f t="shared" si="153"/>
        <v>-350</v>
      </c>
      <c r="D1147" s="52">
        <f t="shared" si="150"/>
        <v>2200</v>
      </c>
      <c r="E1147" s="52">
        <f t="shared" si="151"/>
        <v>1</v>
      </c>
      <c r="F1147" s="52"/>
      <c r="G1147" s="52"/>
      <c r="H1147" s="52"/>
      <c r="I1147" s="52"/>
      <c r="J1147" s="52"/>
      <c r="K1147" s="52"/>
      <c r="L1147" s="52"/>
      <c r="M1147" s="52"/>
      <c r="N1147" s="52"/>
      <c r="O1147" s="52"/>
      <c r="P1147" s="52"/>
      <c r="Q1147" s="52"/>
      <c r="R1147" s="52"/>
      <c r="S1147" s="52"/>
      <c r="T1147" s="52"/>
      <c r="U1147" s="52"/>
      <c r="V1147" s="52"/>
      <c r="W1147" s="52"/>
      <c r="X1147" s="52"/>
      <c r="Y1147" s="52"/>
      <c r="Z1147" s="52"/>
      <c r="AA1147" s="52"/>
      <c r="AB1147" s="52"/>
      <c r="AC1147" s="52"/>
      <c r="AD1147" s="52"/>
      <c r="AE1147" s="52"/>
      <c r="AF1147" s="52"/>
      <c r="AG1147" s="52"/>
      <c r="AH1147" s="52"/>
      <c r="AI1147" s="52"/>
      <c r="AJ1147" s="52"/>
      <c r="AK1147" s="52"/>
      <c r="AL1147" s="52"/>
      <c r="AM1147" s="52"/>
      <c r="AN1147" s="52"/>
    </row>
    <row r="1148" spans="1:40" x14ac:dyDescent="0.3">
      <c r="A1148" s="52">
        <v>1143</v>
      </c>
      <c r="B1148" s="52">
        <f>-bthan*500+(42+0.5)*bthan*1000/50</f>
        <v>1925</v>
      </c>
      <c r="C1148" s="52">
        <f t="shared" si="153"/>
        <v>-350</v>
      </c>
      <c r="D1148" s="52">
        <f t="shared" si="150"/>
        <v>2200</v>
      </c>
      <c r="E1148" s="52">
        <f t="shared" si="151"/>
        <v>1</v>
      </c>
      <c r="F1148" s="52"/>
      <c r="G1148" s="52"/>
      <c r="H1148" s="52"/>
      <c r="I1148" s="52"/>
      <c r="J1148" s="52"/>
      <c r="K1148" s="52"/>
      <c r="L1148" s="52"/>
      <c r="M1148" s="52"/>
      <c r="N1148" s="52"/>
      <c r="O1148" s="52"/>
      <c r="P1148" s="52"/>
      <c r="Q1148" s="52"/>
      <c r="R1148" s="52"/>
      <c r="S1148" s="52"/>
      <c r="T1148" s="52"/>
      <c r="U1148" s="52"/>
      <c r="V1148" s="52"/>
      <c r="W1148" s="52"/>
      <c r="X1148" s="52"/>
      <c r="Y1148" s="52"/>
      <c r="Z1148" s="52"/>
      <c r="AA1148" s="52"/>
      <c r="AB1148" s="52"/>
      <c r="AC1148" s="52"/>
      <c r="AD1148" s="52"/>
      <c r="AE1148" s="52"/>
      <c r="AF1148" s="52"/>
      <c r="AG1148" s="52"/>
      <c r="AH1148" s="52"/>
      <c r="AI1148" s="52"/>
      <c r="AJ1148" s="52"/>
      <c r="AK1148" s="52"/>
      <c r="AL1148" s="52"/>
      <c r="AM1148" s="52"/>
      <c r="AN1148" s="52"/>
    </row>
    <row r="1149" spans="1:40" x14ac:dyDescent="0.3">
      <c r="A1149" s="52">
        <v>1144</v>
      </c>
      <c r="B1149" s="52">
        <f>-bthan*500+(43+0.5)*bthan*1000/50</f>
        <v>2035</v>
      </c>
      <c r="C1149" s="52">
        <f t="shared" si="153"/>
        <v>-350</v>
      </c>
      <c r="D1149" s="52">
        <f t="shared" si="150"/>
        <v>2200</v>
      </c>
      <c r="E1149" s="52">
        <f t="shared" si="151"/>
        <v>1</v>
      </c>
      <c r="F1149" s="52"/>
      <c r="G1149" s="52"/>
      <c r="H1149" s="52"/>
      <c r="I1149" s="52"/>
      <c r="J1149" s="52"/>
      <c r="K1149" s="52"/>
      <c r="L1149" s="52"/>
      <c r="M1149" s="52"/>
      <c r="N1149" s="52"/>
      <c r="O1149" s="52"/>
      <c r="P1149" s="52"/>
      <c r="Q1149" s="52"/>
      <c r="R1149" s="52"/>
      <c r="S1149" s="52"/>
      <c r="T1149" s="52"/>
      <c r="U1149" s="52"/>
      <c r="V1149" s="52"/>
      <c r="W1149" s="52"/>
      <c r="X1149" s="52"/>
      <c r="Y1149" s="52"/>
      <c r="Z1149" s="52"/>
      <c r="AA1149" s="52"/>
      <c r="AB1149" s="52"/>
      <c r="AC1149" s="52"/>
      <c r="AD1149" s="52"/>
      <c r="AE1149" s="52"/>
      <c r="AF1149" s="52"/>
      <c r="AG1149" s="52"/>
      <c r="AH1149" s="52"/>
      <c r="AI1149" s="52"/>
      <c r="AJ1149" s="52"/>
      <c r="AK1149" s="52"/>
      <c r="AL1149" s="52"/>
      <c r="AM1149" s="52"/>
      <c r="AN1149" s="52"/>
    </row>
    <row r="1150" spans="1:40" x14ac:dyDescent="0.3">
      <c r="A1150" s="52">
        <v>1145</v>
      </c>
      <c r="B1150" s="52">
        <f>-bthan*500+(44+0.5)*bthan*1000/50</f>
        <v>2145</v>
      </c>
      <c r="C1150" s="52">
        <f t="shared" si="153"/>
        <v>-350</v>
      </c>
      <c r="D1150" s="52">
        <f t="shared" si="150"/>
        <v>2200</v>
      </c>
      <c r="E1150" s="52">
        <f t="shared" si="151"/>
        <v>1</v>
      </c>
      <c r="F1150" s="52"/>
      <c r="G1150" s="52"/>
      <c r="H1150" s="52"/>
      <c r="I1150" s="52"/>
      <c r="J1150" s="52"/>
      <c r="K1150" s="52"/>
      <c r="L1150" s="52"/>
      <c r="M1150" s="52"/>
      <c r="N1150" s="52"/>
      <c r="O1150" s="52"/>
      <c r="P1150" s="52"/>
      <c r="Q1150" s="52"/>
      <c r="R1150" s="52"/>
      <c r="S1150" s="52"/>
      <c r="T1150" s="52"/>
      <c r="U1150" s="52"/>
      <c r="V1150" s="52"/>
      <c r="W1150" s="52"/>
      <c r="X1150" s="52"/>
      <c r="Y1150" s="52"/>
      <c r="Z1150" s="52"/>
      <c r="AA1150" s="52"/>
      <c r="AB1150" s="52"/>
      <c r="AC1150" s="52"/>
      <c r="AD1150" s="52"/>
      <c r="AE1150" s="52"/>
      <c r="AF1150" s="52"/>
      <c r="AG1150" s="52"/>
      <c r="AH1150" s="52"/>
      <c r="AI1150" s="52"/>
      <c r="AJ1150" s="52"/>
      <c r="AK1150" s="52"/>
      <c r="AL1150" s="52"/>
      <c r="AM1150" s="52"/>
      <c r="AN1150" s="52"/>
    </row>
    <row r="1151" spans="1:40" x14ac:dyDescent="0.3">
      <c r="A1151" s="52">
        <v>1146</v>
      </c>
      <c r="B1151" s="52">
        <f>-bthan*500+(45+0.5)*bthan*1000/50</f>
        <v>2255</v>
      </c>
      <c r="C1151" s="52">
        <f t="shared" si="153"/>
        <v>-350</v>
      </c>
      <c r="D1151" s="52">
        <f t="shared" si="150"/>
        <v>2200</v>
      </c>
      <c r="E1151" s="52">
        <f t="shared" si="151"/>
        <v>1</v>
      </c>
      <c r="F1151" s="52"/>
      <c r="G1151" s="52"/>
      <c r="H1151" s="52"/>
      <c r="I1151" s="52"/>
      <c r="J1151" s="52"/>
      <c r="K1151" s="52"/>
      <c r="L1151" s="52"/>
      <c r="M1151" s="52"/>
      <c r="N1151" s="52"/>
      <c r="O1151" s="52"/>
      <c r="P1151" s="52"/>
      <c r="Q1151" s="52"/>
      <c r="R1151" s="52"/>
      <c r="S1151" s="52"/>
      <c r="T1151" s="52"/>
      <c r="U1151" s="52"/>
      <c r="V1151" s="52"/>
      <c r="W1151" s="52"/>
      <c r="X1151" s="52"/>
      <c r="Y1151" s="52"/>
      <c r="Z1151" s="52"/>
      <c r="AA1151" s="52"/>
      <c r="AB1151" s="52"/>
      <c r="AC1151" s="52"/>
      <c r="AD1151" s="52"/>
      <c r="AE1151" s="52"/>
      <c r="AF1151" s="52"/>
      <c r="AG1151" s="52"/>
      <c r="AH1151" s="52"/>
      <c r="AI1151" s="52"/>
      <c r="AJ1151" s="52"/>
      <c r="AK1151" s="52"/>
      <c r="AL1151" s="52"/>
      <c r="AM1151" s="52"/>
      <c r="AN1151" s="52"/>
    </row>
    <row r="1152" spans="1:40" x14ac:dyDescent="0.3">
      <c r="A1152" s="52">
        <v>1147</v>
      </c>
      <c r="B1152" s="52">
        <f>-bthan*500+(46+0.5)*bthan*1000/50</f>
        <v>2365</v>
      </c>
      <c r="C1152" s="52">
        <f t="shared" si="153"/>
        <v>-350</v>
      </c>
      <c r="D1152" s="52">
        <f t="shared" si="150"/>
        <v>2200</v>
      </c>
      <c r="E1152" s="52">
        <f t="shared" si="151"/>
        <v>1</v>
      </c>
      <c r="F1152" s="52"/>
      <c r="G1152" s="52"/>
      <c r="H1152" s="52"/>
      <c r="I1152" s="52"/>
      <c r="J1152" s="52"/>
      <c r="K1152" s="52"/>
      <c r="L1152" s="52"/>
      <c r="M1152" s="52"/>
      <c r="N1152" s="52"/>
      <c r="O1152" s="52"/>
      <c r="P1152" s="52"/>
      <c r="Q1152" s="52"/>
      <c r="R1152" s="52"/>
      <c r="S1152" s="52"/>
      <c r="T1152" s="52"/>
      <c r="U1152" s="52"/>
      <c r="V1152" s="52"/>
      <c r="W1152" s="52"/>
      <c r="X1152" s="52"/>
      <c r="Y1152" s="52"/>
      <c r="Z1152" s="52"/>
      <c r="AA1152" s="52"/>
      <c r="AB1152" s="52"/>
      <c r="AC1152" s="52"/>
      <c r="AD1152" s="52"/>
      <c r="AE1152" s="52"/>
      <c r="AF1152" s="52"/>
      <c r="AG1152" s="52"/>
      <c r="AH1152" s="52"/>
      <c r="AI1152" s="52"/>
      <c r="AJ1152" s="52"/>
      <c r="AK1152" s="52"/>
      <c r="AL1152" s="52"/>
      <c r="AM1152" s="52"/>
      <c r="AN1152" s="52"/>
    </row>
    <row r="1153" spans="1:40" x14ac:dyDescent="0.3">
      <c r="A1153" s="52">
        <v>1148</v>
      </c>
      <c r="B1153" s="52">
        <f>-bthan*500+(47+0.5)*bthan*1000/50</f>
        <v>2475</v>
      </c>
      <c r="C1153" s="52">
        <f t="shared" si="153"/>
        <v>-350</v>
      </c>
      <c r="D1153" s="52">
        <f t="shared" si="150"/>
        <v>2200</v>
      </c>
      <c r="E1153" s="52">
        <f t="shared" si="151"/>
        <v>1</v>
      </c>
      <c r="F1153" s="52"/>
      <c r="G1153" s="52"/>
      <c r="H1153" s="52"/>
      <c r="I1153" s="52"/>
      <c r="J1153" s="52"/>
      <c r="K1153" s="52"/>
      <c r="L1153" s="52"/>
      <c r="M1153" s="52"/>
      <c r="N1153" s="52"/>
      <c r="O1153" s="52"/>
      <c r="P1153" s="52"/>
      <c r="Q1153" s="52"/>
      <c r="R1153" s="52"/>
      <c r="S1153" s="52"/>
      <c r="T1153" s="52"/>
      <c r="U1153" s="52"/>
      <c r="V1153" s="52"/>
      <c r="W1153" s="52"/>
      <c r="X1153" s="52"/>
      <c r="Y1153" s="52"/>
      <c r="Z1153" s="52"/>
      <c r="AA1153" s="52"/>
      <c r="AB1153" s="52"/>
      <c r="AC1153" s="52"/>
      <c r="AD1153" s="52"/>
      <c r="AE1153" s="52"/>
      <c r="AF1153" s="52"/>
      <c r="AG1153" s="52"/>
      <c r="AH1153" s="52"/>
      <c r="AI1153" s="52"/>
      <c r="AJ1153" s="52"/>
      <c r="AK1153" s="52"/>
      <c r="AL1153" s="52"/>
      <c r="AM1153" s="52"/>
      <c r="AN1153" s="52"/>
    </row>
    <row r="1154" spans="1:40" x14ac:dyDescent="0.3">
      <c r="A1154" s="52">
        <v>1149</v>
      </c>
      <c r="B1154" s="52">
        <f>-bthan*500+(48+0.5)*bthan*1000/50</f>
        <v>2585</v>
      </c>
      <c r="C1154" s="52">
        <f t="shared" si="153"/>
        <v>-350</v>
      </c>
      <c r="D1154" s="52">
        <f t="shared" si="150"/>
        <v>2200</v>
      </c>
      <c r="E1154" s="52">
        <f t="shared" si="151"/>
        <v>1</v>
      </c>
      <c r="F1154" s="52"/>
      <c r="G1154" s="52"/>
      <c r="H1154" s="52"/>
      <c r="I1154" s="52"/>
      <c r="J1154" s="52"/>
      <c r="K1154" s="52"/>
      <c r="L1154" s="52"/>
      <c r="M1154" s="52"/>
      <c r="N1154" s="52"/>
      <c r="O1154" s="52"/>
      <c r="P1154" s="52"/>
      <c r="Q1154" s="52"/>
      <c r="R1154" s="52"/>
      <c r="S1154" s="52"/>
      <c r="T1154" s="52"/>
      <c r="U1154" s="52"/>
      <c r="V1154" s="52"/>
      <c r="W1154" s="52"/>
      <c r="X1154" s="52"/>
      <c r="Y1154" s="52"/>
      <c r="Z1154" s="52"/>
      <c r="AA1154" s="52"/>
      <c r="AB1154" s="52"/>
      <c r="AC1154" s="52"/>
      <c r="AD1154" s="52"/>
      <c r="AE1154" s="52"/>
      <c r="AF1154" s="52"/>
      <c r="AG1154" s="52"/>
      <c r="AH1154" s="52"/>
      <c r="AI1154" s="52"/>
      <c r="AJ1154" s="52"/>
      <c r="AK1154" s="52"/>
      <c r="AL1154" s="52"/>
      <c r="AM1154" s="52"/>
      <c r="AN1154" s="52"/>
    </row>
    <row r="1155" spans="1:40" x14ac:dyDescent="0.3">
      <c r="A1155" s="52">
        <v>1150</v>
      </c>
      <c r="B1155" s="52">
        <f>-bthan*500+(49+0.5)*bthan*1000/50</f>
        <v>2695</v>
      </c>
      <c r="C1155" s="52">
        <f t="shared" si="153"/>
        <v>-350</v>
      </c>
      <c r="D1155" s="52">
        <f t="shared" si="150"/>
        <v>2200</v>
      </c>
      <c r="E1155" s="52">
        <f t="shared" si="151"/>
        <v>0</v>
      </c>
      <c r="F1155" s="52"/>
      <c r="G1155" s="52"/>
      <c r="H1155" s="52"/>
      <c r="I1155" s="52"/>
      <c r="J1155" s="52"/>
      <c r="K1155" s="52"/>
      <c r="L1155" s="52"/>
      <c r="M1155" s="52"/>
      <c r="N1155" s="52"/>
      <c r="O1155" s="52"/>
      <c r="P1155" s="52"/>
      <c r="Q1155" s="52"/>
      <c r="R1155" s="52"/>
      <c r="S1155" s="52"/>
      <c r="T1155" s="52"/>
      <c r="U1155" s="52"/>
      <c r="V1155" s="52"/>
      <c r="W1155" s="52"/>
      <c r="X1155" s="52"/>
      <c r="Y1155" s="52"/>
      <c r="Z1155" s="52"/>
      <c r="AA1155" s="52"/>
      <c r="AB1155" s="52"/>
      <c r="AC1155" s="52"/>
      <c r="AD1155" s="52"/>
      <c r="AE1155" s="52"/>
      <c r="AF1155" s="52"/>
      <c r="AG1155" s="52"/>
      <c r="AH1155" s="52"/>
      <c r="AI1155" s="52"/>
      <c r="AJ1155" s="52"/>
      <c r="AK1155" s="52"/>
      <c r="AL1155" s="52"/>
      <c r="AM1155" s="52"/>
      <c r="AN1155" s="52"/>
    </row>
    <row r="1156" spans="1:40" x14ac:dyDescent="0.3">
      <c r="A1156" s="52">
        <v>1151</v>
      </c>
      <c r="B1156" s="52">
        <f>-bthan*500+(0+0.5)*bthan*1000/50</f>
        <v>-2695</v>
      </c>
      <c r="C1156" s="52">
        <f t="shared" ref="C1156:C1187" si="154">-hthan*500+(23+0.5)*hthan*1000/80</f>
        <v>-330</v>
      </c>
      <c r="D1156" s="52">
        <f t="shared" si="150"/>
        <v>2200</v>
      </c>
      <c r="E1156" s="52">
        <f t="shared" si="151"/>
        <v>0</v>
      </c>
      <c r="F1156" s="52"/>
      <c r="G1156" s="52"/>
      <c r="H1156" s="52"/>
      <c r="I1156" s="52"/>
      <c r="J1156" s="52"/>
      <c r="K1156" s="52"/>
      <c r="L1156" s="52"/>
      <c r="M1156" s="52"/>
      <c r="N1156" s="52"/>
      <c r="O1156" s="52"/>
      <c r="P1156" s="52"/>
      <c r="Q1156" s="52"/>
      <c r="R1156" s="52"/>
      <c r="S1156" s="52"/>
      <c r="T1156" s="52"/>
      <c r="U1156" s="52"/>
      <c r="V1156" s="52"/>
      <c r="W1156" s="52"/>
      <c r="X1156" s="52"/>
      <c r="Y1156" s="52"/>
      <c r="Z1156" s="52"/>
      <c r="AA1156" s="52"/>
      <c r="AB1156" s="52"/>
      <c r="AC1156" s="52"/>
      <c r="AD1156" s="52"/>
      <c r="AE1156" s="52"/>
      <c r="AF1156" s="52"/>
      <c r="AG1156" s="52"/>
      <c r="AH1156" s="52"/>
      <c r="AI1156" s="52"/>
      <c r="AJ1156" s="52"/>
      <c r="AK1156" s="52"/>
      <c r="AL1156" s="52"/>
      <c r="AM1156" s="52"/>
      <c r="AN1156" s="52"/>
    </row>
    <row r="1157" spans="1:40" x14ac:dyDescent="0.3">
      <c r="A1157" s="52">
        <v>1152</v>
      </c>
      <c r="B1157" s="52">
        <f>-bthan*500+(1+0.5)*bthan*1000/50</f>
        <v>-2585</v>
      </c>
      <c r="C1157" s="52">
        <f t="shared" si="154"/>
        <v>-330</v>
      </c>
      <c r="D1157" s="52">
        <f t="shared" si="150"/>
        <v>2200</v>
      </c>
      <c r="E1157" s="52">
        <f t="shared" si="151"/>
        <v>1</v>
      </c>
      <c r="F1157" s="52"/>
      <c r="G1157" s="52"/>
      <c r="H1157" s="52"/>
      <c r="I1157" s="52"/>
      <c r="J1157" s="52"/>
      <c r="K1157" s="52"/>
      <c r="L1157" s="52"/>
      <c r="M1157" s="52"/>
      <c r="N1157" s="52"/>
      <c r="O1157" s="52"/>
      <c r="P1157" s="52"/>
      <c r="Q1157" s="52"/>
      <c r="R1157" s="52"/>
      <c r="S1157" s="52"/>
      <c r="T1157" s="52"/>
      <c r="U1157" s="52"/>
      <c r="V1157" s="52"/>
      <c r="W1157" s="52"/>
      <c r="X1157" s="52"/>
      <c r="Y1157" s="52"/>
      <c r="Z1157" s="52"/>
      <c r="AA1157" s="52"/>
      <c r="AB1157" s="52"/>
      <c r="AC1157" s="52"/>
      <c r="AD1157" s="52"/>
      <c r="AE1157" s="52"/>
      <c r="AF1157" s="52"/>
      <c r="AG1157" s="52"/>
      <c r="AH1157" s="52"/>
      <c r="AI1157" s="52"/>
      <c r="AJ1157" s="52"/>
      <c r="AK1157" s="52"/>
      <c r="AL1157" s="52"/>
      <c r="AM1157" s="52"/>
      <c r="AN1157" s="52"/>
    </row>
    <row r="1158" spans="1:40" x14ac:dyDescent="0.3">
      <c r="A1158" s="52">
        <v>1153</v>
      </c>
      <c r="B1158" s="52">
        <f>-bthan*500+(2+0.5)*bthan*1000/50</f>
        <v>-2475</v>
      </c>
      <c r="C1158" s="52">
        <f t="shared" si="154"/>
        <v>-330</v>
      </c>
      <c r="D1158" s="52">
        <f t="shared" ref="D1158:D1221" si="155">bthan*1000/50*hthan*1000/80</f>
        <v>2200</v>
      </c>
      <c r="E1158" s="52">
        <f t="shared" ref="E1158:E1221" si="156">IF(shp=1,--(OR(ABS(B1158)&lt;=MAX(0,(bthan-hthan)*500),(ABS(B1158)-MAX(0,(bthan-hthan)*500))^2+C1158^2&lt;=(hthan*500)^2)),--(AND(ABS(B1158)&lt;=bthan*500,ABS(C1158)&lt;=hthan*500,OR(ABS(B1158)&lt;=bthan*500-cch*1000,ABS(C1158)&lt;=hthan*500-cch*1000,(bthan*500-ABS(B1158))+(hthan*500-ABS(C1158))&gt;=cch*1000))))</f>
        <v>1</v>
      </c>
      <c r="F1158" s="52"/>
      <c r="G1158" s="52"/>
      <c r="H1158" s="52"/>
      <c r="I1158" s="52"/>
      <c r="J1158" s="52"/>
      <c r="K1158" s="52"/>
      <c r="L1158" s="52"/>
      <c r="M1158" s="52"/>
      <c r="N1158" s="52"/>
      <c r="O1158" s="52"/>
      <c r="P1158" s="52"/>
      <c r="Q1158" s="52"/>
      <c r="R1158" s="52"/>
      <c r="S1158" s="52"/>
      <c r="T1158" s="52"/>
      <c r="U1158" s="52"/>
      <c r="V1158" s="52"/>
      <c r="W1158" s="52"/>
      <c r="X1158" s="52"/>
      <c r="Y1158" s="52"/>
      <c r="Z1158" s="52"/>
      <c r="AA1158" s="52"/>
      <c r="AB1158" s="52"/>
      <c r="AC1158" s="52"/>
      <c r="AD1158" s="52"/>
      <c r="AE1158" s="52"/>
      <c r="AF1158" s="52"/>
      <c r="AG1158" s="52"/>
      <c r="AH1158" s="52"/>
      <c r="AI1158" s="52"/>
      <c r="AJ1158" s="52"/>
      <c r="AK1158" s="52"/>
      <c r="AL1158" s="52"/>
      <c r="AM1158" s="52"/>
      <c r="AN1158" s="52"/>
    </row>
    <row r="1159" spans="1:40" x14ac:dyDescent="0.3">
      <c r="A1159" s="52">
        <v>1154</v>
      </c>
      <c r="B1159" s="52">
        <f>-bthan*500+(3+0.5)*bthan*1000/50</f>
        <v>-2365</v>
      </c>
      <c r="C1159" s="52">
        <f t="shared" si="154"/>
        <v>-330</v>
      </c>
      <c r="D1159" s="52">
        <f t="shared" si="155"/>
        <v>2200</v>
      </c>
      <c r="E1159" s="52">
        <f t="shared" si="156"/>
        <v>1</v>
      </c>
      <c r="F1159" s="52"/>
      <c r="G1159" s="52"/>
      <c r="H1159" s="52"/>
      <c r="I1159" s="52"/>
      <c r="J1159" s="52"/>
      <c r="K1159" s="52"/>
      <c r="L1159" s="52"/>
      <c r="M1159" s="52"/>
      <c r="N1159" s="52"/>
      <c r="O1159" s="52"/>
      <c r="P1159" s="52"/>
      <c r="Q1159" s="52"/>
      <c r="R1159" s="52"/>
      <c r="S1159" s="52"/>
      <c r="T1159" s="52"/>
      <c r="U1159" s="52"/>
      <c r="V1159" s="52"/>
      <c r="W1159" s="52"/>
      <c r="X1159" s="52"/>
      <c r="Y1159" s="52"/>
      <c r="Z1159" s="52"/>
      <c r="AA1159" s="52"/>
      <c r="AB1159" s="52"/>
      <c r="AC1159" s="52"/>
      <c r="AD1159" s="52"/>
      <c r="AE1159" s="52"/>
      <c r="AF1159" s="52"/>
      <c r="AG1159" s="52"/>
      <c r="AH1159" s="52"/>
      <c r="AI1159" s="52"/>
      <c r="AJ1159" s="52"/>
      <c r="AK1159" s="52"/>
      <c r="AL1159" s="52"/>
      <c r="AM1159" s="52"/>
      <c r="AN1159" s="52"/>
    </row>
    <row r="1160" spans="1:40" x14ac:dyDescent="0.3">
      <c r="A1160" s="52">
        <v>1155</v>
      </c>
      <c r="B1160" s="52">
        <f>-bthan*500+(4+0.5)*bthan*1000/50</f>
        <v>-2255</v>
      </c>
      <c r="C1160" s="52">
        <f t="shared" si="154"/>
        <v>-330</v>
      </c>
      <c r="D1160" s="52">
        <f t="shared" si="155"/>
        <v>2200</v>
      </c>
      <c r="E1160" s="52">
        <f t="shared" si="156"/>
        <v>1</v>
      </c>
      <c r="F1160" s="52"/>
      <c r="G1160" s="52"/>
      <c r="H1160" s="52"/>
      <c r="I1160" s="52"/>
      <c r="J1160" s="52"/>
      <c r="K1160" s="52"/>
      <c r="L1160" s="52"/>
      <c r="M1160" s="52"/>
      <c r="N1160" s="52"/>
      <c r="O1160" s="52"/>
      <c r="P1160" s="52"/>
      <c r="Q1160" s="52"/>
      <c r="R1160" s="52"/>
      <c r="S1160" s="52"/>
      <c r="T1160" s="52"/>
      <c r="U1160" s="52"/>
      <c r="V1160" s="52"/>
      <c r="W1160" s="52"/>
      <c r="X1160" s="52"/>
      <c r="Y1160" s="52"/>
      <c r="Z1160" s="52"/>
      <c r="AA1160" s="52"/>
      <c r="AB1160" s="52"/>
      <c r="AC1160" s="52"/>
      <c r="AD1160" s="52"/>
      <c r="AE1160" s="52"/>
      <c r="AF1160" s="52"/>
      <c r="AG1160" s="52"/>
      <c r="AH1160" s="52"/>
      <c r="AI1160" s="52"/>
      <c r="AJ1160" s="52"/>
      <c r="AK1160" s="52"/>
      <c r="AL1160" s="52"/>
      <c r="AM1160" s="52"/>
      <c r="AN1160" s="52"/>
    </row>
    <row r="1161" spans="1:40" x14ac:dyDescent="0.3">
      <c r="A1161" s="52">
        <v>1156</v>
      </c>
      <c r="B1161" s="52">
        <f>-bthan*500+(5+0.5)*bthan*1000/50</f>
        <v>-2145</v>
      </c>
      <c r="C1161" s="52">
        <f t="shared" si="154"/>
        <v>-330</v>
      </c>
      <c r="D1161" s="52">
        <f t="shared" si="155"/>
        <v>2200</v>
      </c>
      <c r="E1161" s="52">
        <f t="shared" si="156"/>
        <v>1</v>
      </c>
      <c r="F1161" s="52"/>
      <c r="G1161" s="52"/>
      <c r="H1161" s="52"/>
      <c r="I1161" s="52"/>
      <c r="J1161" s="52"/>
      <c r="K1161" s="52"/>
      <c r="L1161" s="52"/>
      <c r="M1161" s="52"/>
      <c r="N1161" s="52"/>
      <c r="O1161" s="52"/>
      <c r="P1161" s="52"/>
      <c r="Q1161" s="52"/>
      <c r="R1161" s="52"/>
      <c r="S1161" s="52"/>
      <c r="T1161" s="52"/>
      <c r="U1161" s="52"/>
      <c r="V1161" s="52"/>
      <c r="W1161" s="52"/>
      <c r="X1161" s="52"/>
      <c r="Y1161" s="52"/>
      <c r="Z1161" s="52"/>
      <c r="AA1161" s="52"/>
      <c r="AB1161" s="52"/>
      <c r="AC1161" s="52"/>
      <c r="AD1161" s="52"/>
      <c r="AE1161" s="52"/>
      <c r="AF1161" s="52"/>
      <c r="AG1161" s="52"/>
      <c r="AH1161" s="52"/>
      <c r="AI1161" s="52"/>
      <c r="AJ1161" s="52"/>
      <c r="AK1161" s="52"/>
      <c r="AL1161" s="52"/>
      <c r="AM1161" s="52"/>
      <c r="AN1161" s="52"/>
    </row>
    <row r="1162" spans="1:40" x14ac:dyDescent="0.3">
      <c r="A1162" s="52">
        <v>1157</v>
      </c>
      <c r="B1162" s="52">
        <f>-bthan*500+(6+0.5)*bthan*1000/50</f>
        <v>-2035</v>
      </c>
      <c r="C1162" s="52">
        <f t="shared" si="154"/>
        <v>-330</v>
      </c>
      <c r="D1162" s="52">
        <f t="shared" si="155"/>
        <v>2200</v>
      </c>
      <c r="E1162" s="52">
        <f t="shared" si="156"/>
        <v>1</v>
      </c>
      <c r="F1162" s="52"/>
      <c r="G1162" s="52"/>
      <c r="H1162" s="52"/>
      <c r="I1162" s="52"/>
      <c r="J1162" s="52"/>
      <c r="K1162" s="52"/>
      <c r="L1162" s="52"/>
      <c r="M1162" s="52"/>
      <c r="N1162" s="52"/>
      <c r="O1162" s="52"/>
      <c r="P1162" s="52"/>
      <c r="Q1162" s="52"/>
      <c r="R1162" s="52"/>
      <c r="S1162" s="52"/>
      <c r="T1162" s="52"/>
      <c r="U1162" s="52"/>
      <c r="V1162" s="52"/>
      <c r="W1162" s="52"/>
      <c r="X1162" s="52"/>
      <c r="Y1162" s="52"/>
      <c r="Z1162" s="52"/>
      <c r="AA1162" s="52"/>
      <c r="AB1162" s="52"/>
      <c r="AC1162" s="52"/>
      <c r="AD1162" s="52"/>
      <c r="AE1162" s="52"/>
      <c r="AF1162" s="52"/>
      <c r="AG1162" s="52"/>
      <c r="AH1162" s="52"/>
      <c r="AI1162" s="52"/>
      <c r="AJ1162" s="52"/>
      <c r="AK1162" s="52"/>
      <c r="AL1162" s="52"/>
      <c r="AM1162" s="52"/>
      <c r="AN1162" s="52"/>
    </row>
    <row r="1163" spans="1:40" x14ac:dyDescent="0.3">
      <c r="A1163" s="52">
        <v>1158</v>
      </c>
      <c r="B1163" s="52">
        <f>-bthan*500+(7+0.5)*bthan*1000/50</f>
        <v>-1925</v>
      </c>
      <c r="C1163" s="52">
        <f t="shared" si="154"/>
        <v>-330</v>
      </c>
      <c r="D1163" s="52">
        <f t="shared" si="155"/>
        <v>2200</v>
      </c>
      <c r="E1163" s="52">
        <f t="shared" si="156"/>
        <v>1</v>
      </c>
      <c r="F1163" s="52"/>
      <c r="G1163" s="52"/>
      <c r="H1163" s="52"/>
      <c r="I1163" s="52"/>
      <c r="J1163" s="52"/>
      <c r="K1163" s="52"/>
      <c r="L1163" s="52"/>
      <c r="M1163" s="52"/>
      <c r="N1163" s="52"/>
      <c r="O1163" s="52"/>
      <c r="P1163" s="52"/>
      <c r="Q1163" s="52"/>
      <c r="R1163" s="52"/>
      <c r="S1163" s="52"/>
      <c r="T1163" s="52"/>
      <c r="U1163" s="52"/>
      <c r="V1163" s="52"/>
      <c r="W1163" s="52"/>
      <c r="X1163" s="52"/>
      <c r="Y1163" s="52"/>
      <c r="Z1163" s="52"/>
      <c r="AA1163" s="52"/>
      <c r="AB1163" s="52"/>
      <c r="AC1163" s="52"/>
      <c r="AD1163" s="52"/>
      <c r="AE1163" s="52"/>
      <c r="AF1163" s="52"/>
      <c r="AG1163" s="52"/>
      <c r="AH1163" s="52"/>
      <c r="AI1163" s="52"/>
      <c r="AJ1163" s="52"/>
      <c r="AK1163" s="52"/>
      <c r="AL1163" s="52"/>
      <c r="AM1163" s="52"/>
      <c r="AN1163" s="52"/>
    </row>
    <row r="1164" spans="1:40" x14ac:dyDescent="0.3">
      <c r="A1164" s="52">
        <v>1159</v>
      </c>
      <c r="B1164" s="52">
        <f>-bthan*500+(8+0.5)*bthan*1000/50</f>
        <v>-1815</v>
      </c>
      <c r="C1164" s="52">
        <f t="shared" si="154"/>
        <v>-330</v>
      </c>
      <c r="D1164" s="52">
        <f t="shared" si="155"/>
        <v>2200</v>
      </c>
      <c r="E1164" s="52">
        <f t="shared" si="156"/>
        <v>1</v>
      </c>
      <c r="F1164" s="52"/>
      <c r="G1164" s="52"/>
      <c r="H1164" s="52"/>
      <c r="I1164" s="52"/>
      <c r="J1164" s="52"/>
      <c r="K1164" s="52"/>
      <c r="L1164" s="52"/>
      <c r="M1164" s="52"/>
      <c r="N1164" s="52"/>
      <c r="O1164" s="52"/>
      <c r="P1164" s="52"/>
      <c r="Q1164" s="52"/>
      <c r="R1164" s="52"/>
      <c r="S1164" s="52"/>
      <c r="T1164" s="52"/>
      <c r="U1164" s="52"/>
      <c r="V1164" s="52"/>
      <c r="W1164" s="52"/>
      <c r="X1164" s="52"/>
      <c r="Y1164" s="52"/>
      <c r="Z1164" s="52"/>
      <c r="AA1164" s="52"/>
      <c r="AB1164" s="52"/>
      <c r="AC1164" s="52"/>
      <c r="AD1164" s="52"/>
      <c r="AE1164" s="52"/>
      <c r="AF1164" s="52"/>
      <c r="AG1164" s="52"/>
      <c r="AH1164" s="52"/>
      <c r="AI1164" s="52"/>
      <c r="AJ1164" s="52"/>
      <c r="AK1164" s="52"/>
      <c r="AL1164" s="52"/>
      <c r="AM1164" s="52"/>
      <c r="AN1164" s="52"/>
    </row>
    <row r="1165" spans="1:40" x14ac:dyDescent="0.3">
      <c r="A1165" s="52">
        <v>1160</v>
      </c>
      <c r="B1165" s="52">
        <f>-bthan*500+(9+0.5)*bthan*1000/50</f>
        <v>-1705</v>
      </c>
      <c r="C1165" s="52">
        <f t="shared" si="154"/>
        <v>-330</v>
      </c>
      <c r="D1165" s="52">
        <f t="shared" si="155"/>
        <v>2200</v>
      </c>
      <c r="E1165" s="52">
        <f t="shared" si="156"/>
        <v>1</v>
      </c>
      <c r="F1165" s="52"/>
      <c r="G1165" s="52"/>
      <c r="H1165" s="52"/>
      <c r="I1165" s="52"/>
      <c r="J1165" s="52"/>
      <c r="K1165" s="52"/>
      <c r="L1165" s="52"/>
      <c r="M1165" s="52"/>
      <c r="N1165" s="52"/>
      <c r="O1165" s="52"/>
      <c r="P1165" s="52"/>
      <c r="Q1165" s="52"/>
      <c r="R1165" s="52"/>
      <c r="S1165" s="52"/>
      <c r="T1165" s="52"/>
      <c r="U1165" s="52"/>
      <c r="V1165" s="52"/>
      <c r="W1165" s="52"/>
      <c r="X1165" s="52"/>
      <c r="Y1165" s="52"/>
      <c r="Z1165" s="52"/>
      <c r="AA1165" s="52"/>
      <c r="AB1165" s="52"/>
      <c r="AC1165" s="52"/>
      <c r="AD1165" s="52"/>
      <c r="AE1165" s="52"/>
      <c r="AF1165" s="52"/>
      <c r="AG1165" s="52"/>
      <c r="AH1165" s="52"/>
      <c r="AI1165" s="52"/>
      <c r="AJ1165" s="52"/>
      <c r="AK1165" s="52"/>
      <c r="AL1165" s="52"/>
      <c r="AM1165" s="52"/>
      <c r="AN1165" s="52"/>
    </row>
    <row r="1166" spans="1:40" x14ac:dyDescent="0.3">
      <c r="A1166" s="52">
        <v>1161</v>
      </c>
      <c r="B1166" s="52">
        <f>-bthan*500+(10+0.5)*bthan*1000/50</f>
        <v>-1595</v>
      </c>
      <c r="C1166" s="52">
        <f t="shared" si="154"/>
        <v>-330</v>
      </c>
      <c r="D1166" s="52">
        <f t="shared" si="155"/>
        <v>2200</v>
      </c>
      <c r="E1166" s="52">
        <f t="shared" si="156"/>
        <v>1</v>
      </c>
      <c r="F1166" s="52"/>
      <c r="G1166" s="52"/>
      <c r="H1166" s="52"/>
      <c r="I1166" s="52"/>
      <c r="J1166" s="52"/>
      <c r="K1166" s="52"/>
      <c r="L1166" s="52"/>
      <c r="M1166" s="52"/>
      <c r="N1166" s="52"/>
      <c r="O1166" s="52"/>
      <c r="P1166" s="52"/>
      <c r="Q1166" s="52"/>
      <c r="R1166" s="52"/>
      <c r="S1166" s="52"/>
      <c r="T1166" s="52"/>
      <c r="U1166" s="52"/>
      <c r="V1166" s="52"/>
      <c r="W1166" s="52"/>
      <c r="X1166" s="52"/>
      <c r="Y1166" s="52"/>
      <c r="Z1166" s="52"/>
      <c r="AA1166" s="52"/>
      <c r="AB1166" s="52"/>
      <c r="AC1166" s="52"/>
      <c r="AD1166" s="52"/>
      <c r="AE1166" s="52"/>
      <c r="AF1166" s="52"/>
      <c r="AG1166" s="52"/>
      <c r="AH1166" s="52"/>
      <c r="AI1166" s="52"/>
      <c r="AJ1166" s="52"/>
      <c r="AK1166" s="52"/>
      <c r="AL1166" s="52"/>
      <c r="AM1166" s="52"/>
      <c r="AN1166" s="52"/>
    </row>
    <row r="1167" spans="1:40" x14ac:dyDescent="0.3">
      <c r="A1167" s="52">
        <v>1162</v>
      </c>
      <c r="B1167" s="52">
        <f>-bthan*500+(11+0.5)*bthan*1000/50</f>
        <v>-1485</v>
      </c>
      <c r="C1167" s="52">
        <f t="shared" si="154"/>
        <v>-330</v>
      </c>
      <c r="D1167" s="52">
        <f t="shared" si="155"/>
        <v>2200</v>
      </c>
      <c r="E1167" s="52">
        <f t="shared" si="156"/>
        <v>1</v>
      </c>
      <c r="F1167" s="52"/>
      <c r="G1167" s="52"/>
      <c r="H1167" s="52"/>
      <c r="I1167" s="52"/>
      <c r="J1167" s="52"/>
      <c r="K1167" s="52"/>
      <c r="L1167" s="52"/>
      <c r="M1167" s="52"/>
      <c r="N1167" s="52"/>
      <c r="O1167" s="52"/>
      <c r="P1167" s="52"/>
      <c r="Q1167" s="52"/>
      <c r="R1167" s="52"/>
      <c r="S1167" s="52"/>
      <c r="T1167" s="52"/>
      <c r="U1167" s="52"/>
      <c r="V1167" s="52"/>
      <c r="W1167" s="52"/>
      <c r="X1167" s="52"/>
      <c r="Y1167" s="52"/>
      <c r="Z1167" s="52"/>
      <c r="AA1167" s="52"/>
      <c r="AB1167" s="52"/>
      <c r="AC1167" s="52"/>
      <c r="AD1167" s="52"/>
      <c r="AE1167" s="52"/>
      <c r="AF1167" s="52"/>
      <c r="AG1167" s="52"/>
      <c r="AH1167" s="52"/>
      <c r="AI1167" s="52"/>
      <c r="AJ1167" s="52"/>
      <c r="AK1167" s="52"/>
      <c r="AL1167" s="52"/>
      <c r="AM1167" s="52"/>
      <c r="AN1167" s="52"/>
    </row>
    <row r="1168" spans="1:40" x14ac:dyDescent="0.3">
      <c r="A1168" s="52">
        <v>1163</v>
      </c>
      <c r="B1168" s="52">
        <f>-bthan*500+(12+0.5)*bthan*1000/50</f>
        <v>-1375</v>
      </c>
      <c r="C1168" s="52">
        <f t="shared" si="154"/>
        <v>-330</v>
      </c>
      <c r="D1168" s="52">
        <f t="shared" si="155"/>
        <v>2200</v>
      </c>
      <c r="E1168" s="52">
        <f t="shared" si="156"/>
        <v>1</v>
      </c>
      <c r="F1168" s="52"/>
      <c r="G1168" s="52"/>
      <c r="H1168" s="52"/>
      <c r="I1168" s="52"/>
      <c r="J1168" s="52"/>
      <c r="K1168" s="52"/>
      <c r="L1168" s="52"/>
      <c r="M1168" s="52"/>
      <c r="N1168" s="52"/>
      <c r="O1168" s="52"/>
      <c r="P1168" s="52"/>
      <c r="Q1168" s="52"/>
      <c r="R1168" s="52"/>
      <c r="S1168" s="52"/>
      <c r="T1168" s="52"/>
      <c r="U1168" s="52"/>
      <c r="V1168" s="52"/>
      <c r="W1168" s="52"/>
      <c r="X1168" s="52"/>
      <c r="Y1168" s="52"/>
      <c r="Z1168" s="52"/>
      <c r="AA1168" s="52"/>
      <c r="AB1168" s="52"/>
      <c r="AC1168" s="52"/>
      <c r="AD1168" s="52"/>
      <c r="AE1168" s="52"/>
      <c r="AF1168" s="52"/>
      <c r="AG1168" s="52"/>
      <c r="AH1168" s="52"/>
      <c r="AI1168" s="52"/>
      <c r="AJ1168" s="52"/>
      <c r="AK1168" s="52"/>
      <c r="AL1168" s="52"/>
      <c r="AM1168" s="52"/>
      <c r="AN1168" s="52"/>
    </row>
    <row r="1169" spans="1:40" x14ac:dyDescent="0.3">
      <c r="A1169" s="52">
        <v>1164</v>
      </c>
      <c r="B1169" s="52">
        <f>-bthan*500+(13+0.5)*bthan*1000/50</f>
        <v>-1265</v>
      </c>
      <c r="C1169" s="52">
        <f t="shared" si="154"/>
        <v>-330</v>
      </c>
      <c r="D1169" s="52">
        <f t="shared" si="155"/>
        <v>2200</v>
      </c>
      <c r="E1169" s="52">
        <f t="shared" si="156"/>
        <v>1</v>
      </c>
      <c r="F1169" s="52"/>
      <c r="G1169" s="52"/>
      <c r="H1169" s="52"/>
      <c r="I1169" s="52"/>
      <c r="J1169" s="52"/>
      <c r="K1169" s="52"/>
      <c r="L1169" s="52"/>
      <c r="M1169" s="52"/>
      <c r="N1169" s="52"/>
      <c r="O1169" s="52"/>
      <c r="P1169" s="52"/>
      <c r="Q1169" s="52"/>
      <c r="R1169" s="52"/>
      <c r="S1169" s="52"/>
      <c r="T1169" s="52"/>
      <c r="U1169" s="52"/>
      <c r="V1169" s="52"/>
      <c r="W1169" s="52"/>
      <c r="X1169" s="52"/>
      <c r="Y1169" s="52"/>
      <c r="Z1169" s="52"/>
      <c r="AA1169" s="52"/>
      <c r="AB1169" s="52"/>
      <c r="AC1169" s="52"/>
      <c r="AD1169" s="52"/>
      <c r="AE1169" s="52"/>
      <c r="AF1169" s="52"/>
      <c r="AG1169" s="52"/>
      <c r="AH1169" s="52"/>
      <c r="AI1169" s="52"/>
      <c r="AJ1169" s="52"/>
      <c r="AK1169" s="52"/>
      <c r="AL1169" s="52"/>
      <c r="AM1169" s="52"/>
      <c r="AN1169" s="52"/>
    </row>
    <row r="1170" spans="1:40" x14ac:dyDescent="0.3">
      <c r="A1170" s="52">
        <v>1165</v>
      </c>
      <c r="B1170" s="52">
        <f>-bthan*500+(14+0.5)*bthan*1000/50</f>
        <v>-1155</v>
      </c>
      <c r="C1170" s="52">
        <f t="shared" si="154"/>
        <v>-330</v>
      </c>
      <c r="D1170" s="52">
        <f t="shared" si="155"/>
        <v>2200</v>
      </c>
      <c r="E1170" s="52">
        <f t="shared" si="156"/>
        <v>1</v>
      </c>
      <c r="F1170" s="52"/>
      <c r="G1170" s="52"/>
      <c r="H1170" s="52"/>
      <c r="I1170" s="52"/>
      <c r="J1170" s="52"/>
      <c r="K1170" s="52"/>
      <c r="L1170" s="52"/>
      <c r="M1170" s="52"/>
      <c r="N1170" s="52"/>
      <c r="O1170" s="52"/>
      <c r="P1170" s="52"/>
      <c r="Q1170" s="52"/>
      <c r="R1170" s="52"/>
      <c r="S1170" s="52"/>
      <c r="T1170" s="52"/>
      <c r="U1170" s="52"/>
      <c r="V1170" s="52"/>
      <c r="W1170" s="52"/>
      <c r="X1170" s="52"/>
      <c r="Y1170" s="52"/>
      <c r="Z1170" s="52"/>
      <c r="AA1170" s="52"/>
      <c r="AB1170" s="52"/>
      <c r="AC1170" s="52"/>
      <c r="AD1170" s="52"/>
      <c r="AE1170" s="52"/>
      <c r="AF1170" s="52"/>
      <c r="AG1170" s="52"/>
      <c r="AH1170" s="52"/>
      <c r="AI1170" s="52"/>
      <c r="AJ1170" s="52"/>
      <c r="AK1170" s="52"/>
      <c r="AL1170" s="52"/>
      <c r="AM1170" s="52"/>
      <c r="AN1170" s="52"/>
    </row>
    <row r="1171" spans="1:40" x14ac:dyDescent="0.3">
      <c r="A1171" s="52">
        <v>1166</v>
      </c>
      <c r="B1171" s="52">
        <f>-bthan*500+(15+0.5)*bthan*1000/50</f>
        <v>-1045</v>
      </c>
      <c r="C1171" s="52">
        <f t="shared" si="154"/>
        <v>-330</v>
      </c>
      <c r="D1171" s="52">
        <f t="shared" si="155"/>
        <v>2200</v>
      </c>
      <c r="E1171" s="52">
        <f t="shared" si="156"/>
        <v>1</v>
      </c>
      <c r="F1171" s="52"/>
      <c r="G1171" s="52"/>
      <c r="H1171" s="52"/>
      <c r="I1171" s="52"/>
      <c r="J1171" s="52"/>
      <c r="K1171" s="52"/>
      <c r="L1171" s="52"/>
      <c r="M1171" s="52"/>
      <c r="N1171" s="52"/>
      <c r="O1171" s="52"/>
      <c r="P1171" s="52"/>
      <c r="Q1171" s="52"/>
      <c r="R1171" s="52"/>
      <c r="S1171" s="52"/>
      <c r="T1171" s="52"/>
      <c r="U1171" s="52"/>
      <c r="V1171" s="52"/>
      <c r="W1171" s="52"/>
      <c r="X1171" s="52"/>
      <c r="Y1171" s="52"/>
      <c r="Z1171" s="52"/>
      <c r="AA1171" s="52"/>
      <c r="AB1171" s="52"/>
      <c r="AC1171" s="52"/>
      <c r="AD1171" s="52"/>
      <c r="AE1171" s="52"/>
      <c r="AF1171" s="52"/>
      <c r="AG1171" s="52"/>
      <c r="AH1171" s="52"/>
      <c r="AI1171" s="52"/>
      <c r="AJ1171" s="52"/>
      <c r="AK1171" s="52"/>
      <c r="AL1171" s="52"/>
      <c r="AM1171" s="52"/>
      <c r="AN1171" s="52"/>
    </row>
    <row r="1172" spans="1:40" x14ac:dyDescent="0.3">
      <c r="A1172" s="52">
        <v>1167</v>
      </c>
      <c r="B1172" s="52">
        <f>-bthan*500+(16+0.5)*bthan*1000/50</f>
        <v>-935</v>
      </c>
      <c r="C1172" s="52">
        <f t="shared" si="154"/>
        <v>-330</v>
      </c>
      <c r="D1172" s="52">
        <f t="shared" si="155"/>
        <v>2200</v>
      </c>
      <c r="E1172" s="52">
        <f t="shared" si="156"/>
        <v>1</v>
      </c>
      <c r="F1172" s="52"/>
      <c r="G1172" s="52"/>
      <c r="H1172" s="52"/>
      <c r="I1172" s="52"/>
      <c r="J1172" s="52"/>
      <c r="K1172" s="52"/>
      <c r="L1172" s="52"/>
      <c r="M1172" s="52"/>
      <c r="N1172" s="52"/>
      <c r="O1172" s="52"/>
      <c r="P1172" s="52"/>
      <c r="Q1172" s="52"/>
      <c r="R1172" s="52"/>
      <c r="S1172" s="52"/>
      <c r="T1172" s="52"/>
      <c r="U1172" s="52"/>
      <c r="V1172" s="52"/>
      <c r="W1172" s="52"/>
      <c r="X1172" s="52"/>
      <c r="Y1172" s="52"/>
      <c r="Z1172" s="52"/>
      <c r="AA1172" s="52"/>
      <c r="AB1172" s="52"/>
      <c r="AC1172" s="52"/>
      <c r="AD1172" s="52"/>
      <c r="AE1172" s="52"/>
      <c r="AF1172" s="52"/>
      <c r="AG1172" s="52"/>
      <c r="AH1172" s="52"/>
      <c r="AI1172" s="52"/>
      <c r="AJ1172" s="52"/>
      <c r="AK1172" s="52"/>
      <c r="AL1172" s="52"/>
      <c r="AM1172" s="52"/>
      <c r="AN1172" s="52"/>
    </row>
    <row r="1173" spans="1:40" x14ac:dyDescent="0.3">
      <c r="A1173" s="52">
        <v>1168</v>
      </c>
      <c r="B1173" s="52">
        <f>-bthan*500+(17+0.5)*bthan*1000/50</f>
        <v>-825</v>
      </c>
      <c r="C1173" s="52">
        <f t="shared" si="154"/>
        <v>-330</v>
      </c>
      <c r="D1173" s="52">
        <f t="shared" si="155"/>
        <v>2200</v>
      </c>
      <c r="E1173" s="52">
        <f t="shared" si="156"/>
        <v>1</v>
      </c>
      <c r="F1173" s="52"/>
      <c r="G1173" s="52"/>
      <c r="H1173" s="52"/>
      <c r="I1173" s="52"/>
      <c r="J1173" s="52"/>
      <c r="K1173" s="52"/>
      <c r="L1173" s="52"/>
      <c r="M1173" s="52"/>
      <c r="N1173" s="52"/>
      <c r="O1173" s="52"/>
      <c r="P1173" s="52"/>
      <c r="Q1173" s="52"/>
      <c r="R1173" s="52"/>
      <c r="S1173" s="52"/>
      <c r="T1173" s="52"/>
      <c r="U1173" s="52"/>
      <c r="V1173" s="52"/>
      <c r="W1173" s="52"/>
      <c r="X1173" s="52"/>
      <c r="Y1173" s="52"/>
      <c r="Z1173" s="52"/>
      <c r="AA1173" s="52"/>
      <c r="AB1173" s="52"/>
      <c r="AC1173" s="52"/>
      <c r="AD1173" s="52"/>
      <c r="AE1173" s="52"/>
      <c r="AF1173" s="52"/>
      <c r="AG1173" s="52"/>
      <c r="AH1173" s="52"/>
      <c r="AI1173" s="52"/>
      <c r="AJ1173" s="52"/>
      <c r="AK1173" s="52"/>
      <c r="AL1173" s="52"/>
      <c r="AM1173" s="52"/>
      <c r="AN1173" s="52"/>
    </row>
    <row r="1174" spans="1:40" x14ac:dyDescent="0.3">
      <c r="A1174" s="52">
        <v>1169</v>
      </c>
      <c r="B1174" s="52">
        <f>-bthan*500+(18+0.5)*bthan*1000/50</f>
        <v>-715</v>
      </c>
      <c r="C1174" s="52">
        <f t="shared" si="154"/>
        <v>-330</v>
      </c>
      <c r="D1174" s="52">
        <f t="shared" si="155"/>
        <v>2200</v>
      </c>
      <c r="E1174" s="52">
        <f t="shared" si="156"/>
        <v>1</v>
      </c>
      <c r="F1174" s="52"/>
      <c r="G1174" s="52"/>
      <c r="H1174" s="52"/>
      <c r="I1174" s="52"/>
      <c r="J1174" s="52"/>
      <c r="K1174" s="52"/>
      <c r="L1174" s="52"/>
      <c r="M1174" s="52"/>
      <c r="N1174" s="52"/>
      <c r="O1174" s="52"/>
      <c r="P1174" s="52"/>
      <c r="Q1174" s="52"/>
      <c r="R1174" s="52"/>
      <c r="S1174" s="52"/>
      <c r="T1174" s="52"/>
      <c r="U1174" s="52"/>
      <c r="V1174" s="52"/>
      <c r="W1174" s="52"/>
      <c r="X1174" s="52"/>
      <c r="Y1174" s="52"/>
      <c r="Z1174" s="52"/>
      <c r="AA1174" s="52"/>
      <c r="AB1174" s="52"/>
      <c r="AC1174" s="52"/>
      <c r="AD1174" s="52"/>
      <c r="AE1174" s="52"/>
      <c r="AF1174" s="52"/>
      <c r="AG1174" s="52"/>
      <c r="AH1174" s="52"/>
      <c r="AI1174" s="52"/>
      <c r="AJ1174" s="52"/>
      <c r="AK1174" s="52"/>
      <c r="AL1174" s="52"/>
      <c r="AM1174" s="52"/>
      <c r="AN1174" s="52"/>
    </row>
    <row r="1175" spans="1:40" x14ac:dyDescent="0.3">
      <c r="A1175" s="52">
        <v>1170</v>
      </c>
      <c r="B1175" s="52">
        <f>-bthan*500+(19+0.5)*bthan*1000/50</f>
        <v>-605</v>
      </c>
      <c r="C1175" s="52">
        <f t="shared" si="154"/>
        <v>-330</v>
      </c>
      <c r="D1175" s="52">
        <f t="shared" si="155"/>
        <v>2200</v>
      </c>
      <c r="E1175" s="52">
        <f t="shared" si="156"/>
        <v>1</v>
      </c>
      <c r="F1175" s="52"/>
      <c r="G1175" s="52"/>
      <c r="H1175" s="52"/>
      <c r="I1175" s="52"/>
      <c r="J1175" s="52"/>
      <c r="K1175" s="52"/>
      <c r="L1175" s="52"/>
      <c r="M1175" s="52"/>
      <c r="N1175" s="52"/>
      <c r="O1175" s="52"/>
      <c r="P1175" s="52"/>
      <c r="Q1175" s="52"/>
      <c r="R1175" s="52"/>
      <c r="S1175" s="52"/>
      <c r="T1175" s="52"/>
      <c r="U1175" s="52"/>
      <c r="V1175" s="52"/>
      <c r="W1175" s="52"/>
      <c r="X1175" s="52"/>
      <c r="Y1175" s="52"/>
      <c r="Z1175" s="52"/>
      <c r="AA1175" s="52"/>
      <c r="AB1175" s="52"/>
      <c r="AC1175" s="52"/>
      <c r="AD1175" s="52"/>
      <c r="AE1175" s="52"/>
      <c r="AF1175" s="52"/>
      <c r="AG1175" s="52"/>
      <c r="AH1175" s="52"/>
      <c r="AI1175" s="52"/>
      <c r="AJ1175" s="52"/>
      <c r="AK1175" s="52"/>
      <c r="AL1175" s="52"/>
      <c r="AM1175" s="52"/>
      <c r="AN1175" s="52"/>
    </row>
    <row r="1176" spans="1:40" x14ac:dyDescent="0.3">
      <c r="A1176" s="52">
        <v>1171</v>
      </c>
      <c r="B1176" s="52">
        <f>-bthan*500+(20+0.5)*bthan*1000/50</f>
        <v>-495</v>
      </c>
      <c r="C1176" s="52">
        <f t="shared" si="154"/>
        <v>-330</v>
      </c>
      <c r="D1176" s="52">
        <f t="shared" si="155"/>
        <v>2200</v>
      </c>
      <c r="E1176" s="52">
        <f t="shared" si="156"/>
        <v>1</v>
      </c>
      <c r="F1176" s="52"/>
      <c r="G1176" s="52"/>
      <c r="H1176" s="52"/>
      <c r="I1176" s="52"/>
      <c r="J1176" s="52"/>
      <c r="K1176" s="52"/>
      <c r="L1176" s="52"/>
      <c r="M1176" s="52"/>
      <c r="N1176" s="52"/>
      <c r="O1176" s="52"/>
      <c r="P1176" s="52"/>
      <c r="Q1176" s="52"/>
      <c r="R1176" s="52"/>
      <c r="S1176" s="52"/>
      <c r="T1176" s="52"/>
      <c r="U1176" s="52"/>
      <c r="V1176" s="52"/>
      <c r="W1176" s="52"/>
      <c r="X1176" s="52"/>
      <c r="Y1176" s="52"/>
      <c r="Z1176" s="52"/>
      <c r="AA1176" s="52"/>
      <c r="AB1176" s="52"/>
      <c r="AC1176" s="52"/>
      <c r="AD1176" s="52"/>
      <c r="AE1176" s="52"/>
      <c r="AF1176" s="52"/>
      <c r="AG1176" s="52"/>
      <c r="AH1176" s="52"/>
      <c r="AI1176" s="52"/>
      <c r="AJ1176" s="52"/>
      <c r="AK1176" s="52"/>
      <c r="AL1176" s="52"/>
      <c r="AM1176" s="52"/>
      <c r="AN1176" s="52"/>
    </row>
    <row r="1177" spans="1:40" x14ac:dyDescent="0.3">
      <c r="A1177" s="52">
        <v>1172</v>
      </c>
      <c r="B1177" s="52">
        <f>-bthan*500+(21+0.5)*bthan*1000/50</f>
        <v>-385</v>
      </c>
      <c r="C1177" s="52">
        <f t="shared" si="154"/>
        <v>-330</v>
      </c>
      <c r="D1177" s="52">
        <f t="shared" si="155"/>
        <v>2200</v>
      </c>
      <c r="E1177" s="52">
        <f t="shared" si="156"/>
        <v>1</v>
      </c>
      <c r="F1177" s="52"/>
      <c r="G1177" s="52"/>
      <c r="H1177" s="52"/>
      <c r="I1177" s="52"/>
      <c r="J1177" s="52"/>
      <c r="K1177" s="52"/>
      <c r="L1177" s="52"/>
      <c r="M1177" s="52"/>
      <c r="N1177" s="52"/>
      <c r="O1177" s="52"/>
      <c r="P1177" s="52"/>
      <c r="Q1177" s="52"/>
      <c r="R1177" s="52"/>
      <c r="S1177" s="52"/>
      <c r="T1177" s="52"/>
      <c r="U1177" s="52"/>
      <c r="V1177" s="52"/>
      <c r="W1177" s="52"/>
      <c r="X1177" s="52"/>
      <c r="Y1177" s="52"/>
      <c r="Z1177" s="52"/>
      <c r="AA1177" s="52"/>
      <c r="AB1177" s="52"/>
      <c r="AC1177" s="52"/>
      <c r="AD1177" s="52"/>
      <c r="AE1177" s="52"/>
      <c r="AF1177" s="52"/>
      <c r="AG1177" s="52"/>
      <c r="AH1177" s="52"/>
      <c r="AI1177" s="52"/>
      <c r="AJ1177" s="52"/>
      <c r="AK1177" s="52"/>
      <c r="AL1177" s="52"/>
      <c r="AM1177" s="52"/>
      <c r="AN1177" s="52"/>
    </row>
    <row r="1178" spans="1:40" x14ac:dyDescent="0.3">
      <c r="A1178" s="52">
        <v>1173</v>
      </c>
      <c r="B1178" s="52">
        <f>-bthan*500+(22+0.5)*bthan*1000/50</f>
        <v>-275</v>
      </c>
      <c r="C1178" s="52">
        <f t="shared" si="154"/>
        <v>-330</v>
      </c>
      <c r="D1178" s="52">
        <f t="shared" si="155"/>
        <v>2200</v>
      </c>
      <c r="E1178" s="52">
        <f t="shared" si="156"/>
        <v>1</v>
      </c>
      <c r="F1178" s="52"/>
      <c r="G1178" s="52"/>
      <c r="H1178" s="52"/>
      <c r="I1178" s="52"/>
      <c r="J1178" s="52"/>
      <c r="K1178" s="52"/>
      <c r="L1178" s="52"/>
      <c r="M1178" s="52"/>
      <c r="N1178" s="52"/>
      <c r="O1178" s="52"/>
      <c r="P1178" s="52"/>
      <c r="Q1178" s="52"/>
      <c r="R1178" s="52"/>
      <c r="S1178" s="52"/>
      <c r="T1178" s="52"/>
      <c r="U1178" s="52"/>
      <c r="V1178" s="52"/>
      <c r="W1178" s="52"/>
      <c r="X1178" s="52"/>
      <c r="Y1178" s="52"/>
      <c r="Z1178" s="52"/>
      <c r="AA1178" s="52"/>
      <c r="AB1178" s="52"/>
      <c r="AC1178" s="52"/>
      <c r="AD1178" s="52"/>
      <c r="AE1178" s="52"/>
      <c r="AF1178" s="52"/>
      <c r="AG1178" s="52"/>
      <c r="AH1178" s="52"/>
      <c r="AI1178" s="52"/>
      <c r="AJ1178" s="52"/>
      <c r="AK1178" s="52"/>
      <c r="AL1178" s="52"/>
      <c r="AM1178" s="52"/>
      <c r="AN1178" s="52"/>
    </row>
    <row r="1179" spans="1:40" x14ac:dyDescent="0.3">
      <c r="A1179" s="52">
        <v>1174</v>
      </c>
      <c r="B1179" s="52">
        <f>-bthan*500+(23+0.5)*bthan*1000/50</f>
        <v>-165</v>
      </c>
      <c r="C1179" s="52">
        <f t="shared" si="154"/>
        <v>-330</v>
      </c>
      <c r="D1179" s="52">
        <f t="shared" si="155"/>
        <v>2200</v>
      </c>
      <c r="E1179" s="52">
        <f t="shared" si="156"/>
        <v>1</v>
      </c>
      <c r="F1179" s="52"/>
      <c r="G1179" s="52"/>
      <c r="H1179" s="52"/>
      <c r="I1179" s="52"/>
      <c r="J1179" s="52"/>
      <c r="K1179" s="52"/>
      <c r="L1179" s="52"/>
      <c r="M1179" s="52"/>
      <c r="N1179" s="52"/>
      <c r="O1179" s="52"/>
      <c r="P1179" s="52"/>
      <c r="Q1179" s="52"/>
      <c r="R1179" s="52"/>
      <c r="S1179" s="52"/>
      <c r="T1179" s="52"/>
      <c r="U1179" s="52"/>
      <c r="V1179" s="52"/>
      <c r="W1179" s="52"/>
      <c r="X1179" s="52"/>
      <c r="Y1179" s="52"/>
      <c r="Z1179" s="52"/>
      <c r="AA1179" s="52"/>
      <c r="AB1179" s="52"/>
      <c r="AC1179" s="52"/>
      <c r="AD1179" s="52"/>
      <c r="AE1179" s="52"/>
      <c r="AF1179" s="52"/>
      <c r="AG1179" s="52"/>
      <c r="AH1179" s="52"/>
      <c r="AI1179" s="52"/>
      <c r="AJ1179" s="52"/>
      <c r="AK1179" s="52"/>
      <c r="AL1179" s="52"/>
      <c r="AM1179" s="52"/>
      <c r="AN1179" s="52"/>
    </row>
    <row r="1180" spans="1:40" x14ac:dyDescent="0.3">
      <c r="A1180" s="52">
        <v>1175</v>
      </c>
      <c r="B1180" s="52">
        <f>-bthan*500+(24+0.5)*bthan*1000/50</f>
        <v>-55</v>
      </c>
      <c r="C1180" s="52">
        <f t="shared" si="154"/>
        <v>-330</v>
      </c>
      <c r="D1180" s="52">
        <f t="shared" si="155"/>
        <v>2200</v>
      </c>
      <c r="E1180" s="52">
        <f t="shared" si="156"/>
        <v>1</v>
      </c>
      <c r="F1180" s="52"/>
      <c r="G1180" s="52"/>
      <c r="H1180" s="52"/>
      <c r="I1180" s="52"/>
      <c r="J1180" s="52"/>
      <c r="K1180" s="52"/>
      <c r="L1180" s="52"/>
      <c r="M1180" s="52"/>
      <c r="N1180" s="52"/>
      <c r="O1180" s="52"/>
      <c r="P1180" s="52"/>
      <c r="Q1180" s="52"/>
      <c r="R1180" s="52"/>
      <c r="S1180" s="52"/>
      <c r="T1180" s="52"/>
      <c r="U1180" s="52"/>
      <c r="V1180" s="52"/>
      <c r="W1180" s="52"/>
      <c r="X1180" s="52"/>
      <c r="Y1180" s="52"/>
      <c r="Z1180" s="52"/>
      <c r="AA1180" s="52"/>
      <c r="AB1180" s="52"/>
      <c r="AC1180" s="52"/>
      <c r="AD1180" s="52"/>
      <c r="AE1180" s="52"/>
      <c r="AF1180" s="52"/>
      <c r="AG1180" s="52"/>
      <c r="AH1180" s="52"/>
      <c r="AI1180" s="52"/>
      <c r="AJ1180" s="52"/>
      <c r="AK1180" s="52"/>
      <c r="AL1180" s="52"/>
      <c r="AM1180" s="52"/>
      <c r="AN1180" s="52"/>
    </row>
    <row r="1181" spans="1:40" x14ac:dyDescent="0.3">
      <c r="A1181" s="52">
        <v>1176</v>
      </c>
      <c r="B1181" s="52">
        <f>-bthan*500+(25+0.5)*bthan*1000/50</f>
        <v>55</v>
      </c>
      <c r="C1181" s="52">
        <f t="shared" si="154"/>
        <v>-330</v>
      </c>
      <c r="D1181" s="52">
        <f t="shared" si="155"/>
        <v>2200</v>
      </c>
      <c r="E1181" s="52">
        <f t="shared" si="156"/>
        <v>1</v>
      </c>
      <c r="F1181" s="52"/>
      <c r="G1181" s="52"/>
      <c r="H1181" s="52"/>
      <c r="I1181" s="52"/>
      <c r="J1181" s="52"/>
      <c r="K1181" s="52"/>
      <c r="L1181" s="52"/>
      <c r="M1181" s="52"/>
      <c r="N1181" s="52"/>
      <c r="O1181" s="52"/>
      <c r="P1181" s="52"/>
      <c r="Q1181" s="52"/>
      <c r="R1181" s="52"/>
      <c r="S1181" s="52"/>
      <c r="T1181" s="52"/>
      <c r="U1181" s="52"/>
      <c r="V1181" s="52"/>
      <c r="W1181" s="52"/>
      <c r="X1181" s="52"/>
      <c r="Y1181" s="52"/>
      <c r="Z1181" s="52"/>
      <c r="AA1181" s="52"/>
      <c r="AB1181" s="52"/>
      <c r="AC1181" s="52"/>
      <c r="AD1181" s="52"/>
      <c r="AE1181" s="52"/>
      <c r="AF1181" s="52"/>
      <c r="AG1181" s="52"/>
      <c r="AH1181" s="52"/>
      <c r="AI1181" s="52"/>
      <c r="AJ1181" s="52"/>
      <c r="AK1181" s="52"/>
      <c r="AL1181" s="52"/>
      <c r="AM1181" s="52"/>
      <c r="AN1181" s="52"/>
    </row>
    <row r="1182" spans="1:40" x14ac:dyDescent="0.3">
      <c r="A1182" s="52">
        <v>1177</v>
      </c>
      <c r="B1182" s="52">
        <f>-bthan*500+(26+0.5)*bthan*1000/50</f>
        <v>165</v>
      </c>
      <c r="C1182" s="52">
        <f t="shared" si="154"/>
        <v>-330</v>
      </c>
      <c r="D1182" s="52">
        <f t="shared" si="155"/>
        <v>2200</v>
      </c>
      <c r="E1182" s="52">
        <f t="shared" si="156"/>
        <v>1</v>
      </c>
      <c r="F1182" s="52"/>
      <c r="G1182" s="52"/>
      <c r="H1182" s="52"/>
      <c r="I1182" s="52"/>
      <c r="J1182" s="52"/>
      <c r="K1182" s="52"/>
      <c r="L1182" s="52"/>
      <c r="M1182" s="52"/>
      <c r="N1182" s="52"/>
      <c r="O1182" s="52"/>
      <c r="P1182" s="52"/>
      <c r="Q1182" s="52"/>
      <c r="R1182" s="52"/>
      <c r="S1182" s="52"/>
      <c r="T1182" s="52"/>
      <c r="U1182" s="52"/>
      <c r="V1182" s="52"/>
      <c r="W1182" s="52"/>
      <c r="X1182" s="52"/>
      <c r="Y1182" s="52"/>
      <c r="Z1182" s="52"/>
      <c r="AA1182" s="52"/>
      <c r="AB1182" s="52"/>
      <c r="AC1182" s="52"/>
      <c r="AD1182" s="52"/>
      <c r="AE1182" s="52"/>
      <c r="AF1182" s="52"/>
      <c r="AG1182" s="52"/>
      <c r="AH1182" s="52"/>
      <c r="AI1182" s="52"/>
      <c r="AJ1182" s="52"/>
      <c r="AK1182" s="52"/>
      <c r="AL1182" s="52"/>
      <c r="AM1182" s="52"/>
      <c r="AN1182" s="52"/>
    </row>
    <row r="1183" spans="1:40" x14ac:dyDescent="0.3">
      <c r="A1183" s="52">
        <v>1178</v>
      </c>
      <c r="B1183" s="52">
        <f>-bthan*500+(27+0.5)*bthan*1000/50</f>
        <v>275</v>
      </c>
      <c r="C1183" s="52">
        <f t="shared" si="154"/>
        <v>-330</v>
      </c>
      <c r="D1183" s="52">
        <f t="shared" si="155"/>
        <v>2200</v>
      </c>
      <c r="E1183" s="52">
        <f t="shared" si="156"/>
        <v>1</v>
      </c>
      <c r="F1183" s="52"/>
      <c r="G1183" s="52"/>
      <c r="H1183" s="52"/>
      <c r="I1183" s="52"/>
      <c r="J1183" s="52"/>
      <c r="K1183" s="52"/>
      <c r="L1183" s="52"/>
      <c r="M1183" s="52"/>
      <c r="N1183" s="52"/>
      <c r="O1183" s="52"/>
      <c r="P1183" s="52"/>
      <c r="Q1183" s="52"/>
      <c r="R1183" s="52"/>
      <c r="S1183" s="52"/>
      <c r="T1183" s="52"/>
      <c r="U1183" s="52"/>
      <c r="V1183" s="52"/>
      <c r="W1183" s="52"/>
      <c r="X1183" s="52"/>
      <c r="Y1183" s="52"/>
      <c r="Z1183" s="52"/>
      <c r="AA1183" s="52"/>
      <c r="AB1183" s="52"/>
      <c r="AC1183" s="52"/>
      <c r="AD1183" s="52"/>
      <c r="AE1183" s="52"/>
      <c r="AF1183" s="52"/>
      <c r="AG1183" s="52"/>
      <c r="AH1183" s="52"/>
      <c r="AI1183" s="52"/>
      <c r="AJ1183" s="52"/>
      <c r="AK1183" s="52"/>
      <c r="AL1183" s="52"/>
      <c r="AM1183" s="52"/>
      <c r="AN1183" s="52"/>
    </row>
    <row r="1184" spans="1:40" x14ac:dyDescent="0.3">
      <c r="A1184" s="52">
        <v>1179</v>
      </c>
      <c r="B1184" s="52">
        <f>-bthan*500+(28+0.5)*bthan*1000/50</f>
        <v>385</v>
      </c>
      <c r="C1184" s="52">
        <f t="shared" si="154"/>
        <v>-330</v>
      </c>
      <c r="D1184" s="52">
        <f t="shared" si="155"/>
        <v>2200</v>
      </c>
      <c r="E1184" s="52">
        <f t="shared" si="156"/>
        <v>1</v>
      </c>
      <c r="F1184" s="52"/>
      <c r="G1184" s="52"/>
      <c r="H1184" s="52"/>
      <c r="I1184" s="52"/>
      <c r="J1184" s="52"/>
      <c r="K1184" s="52"/>
      <c r="L1184" s="52"/>
      <c r="M1184" s="52"/>
      <c r="N1184" s="52"/>
      <c r="O1184" s="52"/>
      <c r="P1184" s="52"/>
      <c r="Q1184" s="52"/>
      <c r="R1184" s="52"/>
      <c r="S1184" s="52"/>
      <c r="T1184" s="52"/>
      <c r="U1184" s="52"/>
      <c r="V1184" s="52"/>
      <c r="W1184" s="52"/>
      <c r="X1184" s="52"/>
      <c r="Y1184" s="52"/>
      <c r="Z1184" s="52"/>
      <c r="AA1184" s="52"/>
      <c r="AB1184" s="52"/>
      <c r="AC1184" s="52"/>
      <c r="AD1184" s="52"/>
      <c r="AE1184" s="52"/>
      <c r="AF1184" s="52"/>
      <c r="AG1184" s="52"/>
      <c r="AH1184" s="52"/>
      <c r="AI1184" s="52"/>
      <c r="AJ1184" s="52"/>
      <c r="AK1184" s="52"/>
      <c r="AL1184" s="52"/>
      <c r="AM1184" s="52"/>
      <c r="AN1184" s="52"/>
    </row>
    <row r="1185" spans="1:40" x14ac:dyDescent="0.3">
      <c r="A1185" s="52">
        <v>1180</v>
      </c>
      <c r="B1185" s="52">
        <f>-bthan*500+(29+0.5)*bthan*1000/50</f>
        <v>495</v>
      </c>
      <c r="C1185" s="52">
        <f t="shared" si="154"/>
        <v>-330</v>
      </c>
      <c r="D1185" s="52">
        <f t="shared" si="155"/>
        <v>2200</v>
      </c>
      <c r="E1185" s="52">
        <f t="shared" si="156"/>
        <v>1</v>
      </c>
      <c r="F1185" s="52"/>
      <c r="G1185" s="52"/>
      <c r="H1185" s="52"/>
      <c r="I1185" s="52"/>
      <c r="J1185" s="52"/>
      <c r="K1185" s="52"/>
      <c r="L1185" s="52"/>
      <c r="M1185" s="52"/>
      <c r="N1185" s="52"/>
      <c r="O1185" s="52"/>
      <c r="P1185" s="52"/>
      <c r="Q1185" s="52"/>
      <c r="R1185" s="52"/>
      <c r="S1185" s="52"/>
      <c r="T1185" s="52"/>
      <c r="U1185" s="52"/>
      <c r="V1185" s="52"/>
      <c r="W1185" s="52"/>
      <c r="X1185" s="52"/>
      <c r="Y1185" s="52"/>
      <c r="Z1185" s="52"/>
      <c r="AA1185" s="52"/>
      <c r="AB1185" s="52"/>
      <c r="AC1185" s="52"/>
      <c r="AD1185" s="52"/>
      <c r="AE1185" s="52"/>
      <c r="AF1185" s="52"/>
      <c r="AG1185" s="52"/>
      <c r="AH1185" s="52"/>
      <c r="AI1185" s="52"/>
      <c r="AJ1185" s="52"/>
      <c r="AK1185" s="52"/>
      <c r="AL1185" s="52"/>
      <c r="AM1185" s="52"/>
      <c r="AN1185" s="52"/>
    </row>
    <row r="1186" spans="1:40" x14ac:dyDescent="0.3">
      <c r="A1186" s="52">
        <v>1181</v>
      </c>
      <c r="B1186" s="52">
        <f>-bthan*500+(30+0.5)*bthan*1000/50</f>
        <v>605</v>
      </c>
      <c r="C1186" s="52">
        <f t="shared" si="154"/>
        <v>-330</v>
      </c>
      <c r="D1186" s="52">
        <f t="shared" si="155"/>
        <v>2200</v>
      </c>
      <c r="E1186" s="52">
        <f t="shared" si="156"/>
        <v>1</v>
      </c>
      <c r="F1186" s="52"/>
      <c r="G1186" s="52"/>
      <c r="H1186" s="52"/>
      <c r="I1186" s="52"/>
      <c r="J1186" s="52"/>
      <c r="K1186" s="52"/>
      <c r="L1186" s="52"/>
      <c r="M1186" s="52"/>
      <c r="N1186" s="52"/>
      <c r="O1186" s="52"/>
      <c r="P1186" s="52"/>
      <c r="Q1186" s="52"/>
      <c r="R1186" s="52"/>
      <c r="S1186" s="52"/>
      <c r="T1186" s="52"/>
      <c r="U1186" s="52"/>
      <c r="V1186" s="52"/>
      <c r="W1186" s="52"/>
      <c r="X1186" s="52"/>
      <c r="Y1186" s="52"/>
      <c r="Z1186" s="52"/>
      <c r="AA1186" s="52"/>
      <c r="AB1186" s="52"/>
      <c r="AC1186" s="52"/>
      <c r="AD1186" s="52"/>
      <c r="AE1186" s="52"/>
      <c r="AF1186" s="52"/>
      <c r="AG1186" s="52"/>
      <c r="AH1186" s="52"/>
      <c r="AI1186" s="52"/>
      <c r="AJ1186" s="52"/>
      <c r="AK1186" s="52"/>
      <c r="AL1186" s="52"/>
      <c r="AM1186" s="52"/>
      <c r="AN1186" s="52"/>
    </row>
    <row r="1187" spans="1:40" x14ac:dyDescent="0.3">
      <c r="A1187" s="52">
        <v>1182</v>
      </c>
      <c r="B1187" s="52">
        <f>-bthan*500+(31+0.5)*bthan*1000/50</f>
        <v>715</v>
      </c>
      <c r="C1187" s="52">
        <f t="shared" si="154"/>
        <v>-330</v>
      </c>
      <c r="D1187" s="52">
        <f t="shared" si="155"/>
        <v>2200</v>
      </c>
      <c r="E1187" s="52">
        <f t="shared" si="156"/>
        <v>1</v>
      </c>
      <c r="F1187" s="52"/>
      <c r="G1187" s="52"/>
      <c r="H1187" s="52"/>
      <c r="I1187" s="52"/>
      <c r="J1187" s="52"/>
      <c r="K1187" s="52"/>
      <c r="L1187" s="52"/>
      <c r="M1187" s="52"/>
      <c r="N1187" s="52"/>
      <c r="O1187" s="52"/>
      <c r="P1187" s="52"/>
      <c r="Q1187" s="52"/>
      <c r="R1187" s="52"/>
      <c r="S1187" s="52"/>
      <c r="T1187" s="52"/>
      <c r="U1187" s="52"/>
      <c r="V1187" s="52"/>
      <c r="W1187" s="52"/>
      <c r="X1187" s="52"/>
      <c r="Y1187" s="52"/>
      <c r="Z1187" s="52"/>
      <c r="AA1187" s="52"/>
      <c r="AB1187" s="52"/>
      <c r="AC1187" s="52"/>
      <c r="AD1187" s="52"/>
      <c r="AE1187" s="52"/>
      <c r="AF1187" s="52"/>
      <c r="AG1187" s="52"/>
      <c r="AH1187" s="52"/>
      <c r="AI1187" s="52"/>
      <c r="AJ1187" s="52"/>
      <c r="AK1187" s="52"/>
      <c r="AL1187" s="52"/>
      <c r="AM1187" s="52"/>
      <c r="AN1187" s="52"/>
    </row>
    <row r="1188" spans="1:40" x14ac:dyDescent="0.3">
      <c r="A1188" s="52">
        <v>1183</v>
      </c>
      <c r="B1188" s="52">
        <f>-bthan*500+(32+0.5)*bthan*1000/50</f>
        <v>825</v>
      </c>
      <c r="C1188" s="52">
        <f t="shared" ref="C1188:C1205" si="157">-hthan*500+(23+0.5)*hthan*1000/80</f>
        <v>-330</v>
      </c>
      <c r="D1188" s="52">
        <f t="shared" si="155"/>
        <v>2200</v>
      </c>
      <c r="E1188" s="52">
        <f t="shared" si="156"/>
        <v>1</v>
      </c>
      <c r="F1188" s="52"/>
      <c r="G1188" s="52"/>
      <c r="H1188" s="52"/>
      <c r="I1188" s="52"/>
      <c r="J1188" s="52"/>
      <c r="K1188" s="52"/>
      <c r="L1188" s="52"/>
      <c r="M1188" s="52"/>
      <c r="N1188" s="52"/>
      <c r="O1188" s="52"/>
      <c r="P1188" s="52"/>
      <c r="Q1188" s="52"/>
      <c r="R1188" s="52"/>
      <c r="S1188" s="52"/>
      <c r="T1188" s="52"/>
      <c r="U1188" s="52"/>
      <c r="V1188" s="52"/>
      <c r="W1188" s="52"/>
      <c r="X1188" s="52"/>
      <c r="Y1188" s="52"/>
      <c r="Z1188" s="52"/>
      <c r="AA1188" s="52"/>
      <c r="AB1188" s="52"/>
      <c r="AC1188" s="52"/>
      <c r="AD1188" s="52"/>
      <c r="AE1188" s="52"/>
      <c r="AF1188" s="52"/>
      <c r="AG1188" s="52"/>
      <c r="AH1188" s="52"/>
      <c r="AI1188" s="52"/>
      <c r="AJ1188" s="52"/>
      <c r="AK1188" s="52"/>
      <c r="AL1188" s="52"/>
      <c r="AM1188" s="52"/>
      <c r="AN1188" s="52"/>
    </row>
    <row r="1189" spans="1:40" x14ac:dyDescent="0.3">
      <c r="A1189" s="52">
        <v>1184</v>
      </c>
      <c r="B1189" s="52">
        <f>-bthan*500+(33+0.5)*bthan*1000/50</f>
        <v>935</v>
      </c>
      <c r="C1189" s="52">
        <f t="shared" si="157"/>
        <v>-330</v>
      </c>
      <c r="D1189" s="52">
        <f t="shared" si="155"/>
        <v>2200</v>
      </c>
      <c r="E1189" s="52">
        <f t="shared" si="156"/>
        <v>1</v>
      </c>
      <c r="F1189" s="52"/>
      <c r="G1189" s="52"/>
      <c r="H1189" s="52"/>
      <c r="I1189" s="52"/>
      <c r="J1189" s="52"/>
      <c r="K1189" s="52"/>
      <c r="L1189" s="52"/>
      <c r="M1189" s="52"/>
      <c r="N1189" s="52"/>
      <c r="O1189" s="52"/>
      <c r="P1189" s="52"/>
      <c r="Q1189" s="52"/>
      <c r="R1189" s="52"/>
      <c r="S1189" s="52"/>
      <c r="T1189" s="52"/>
      <c r="U1189" s="52"/>
      <c r="V1189" s="52"/>
      <c r="W1189" s="52"/>
      <c r="X1189" s="52"/>
      <c r="Y1189" s="52"/>
      <c r="Z1189" s="52"/>
      <c r="AA1189" s="52"/>
      <c r="AB1189" s="52"/>
      <c r="AC1189" s="52"/>
      <c r="AD1189" s="52"/>
      <c r="AE1189" s="52"/>
      <c r="AF1189" s="52"/>
      <c r="AG1189" s="52"/>
      <c r="AH1189" s="52"/>
      <c r="AI1189" s="52"/>
      <c r="AJ1189" s="52"/>
      <c r="AK1189" s="52"/>
      <c r="AL1189" s="52"/>
      <c r="AM1189" s="52"/>
      <c r="AN1189" s="52"/>
    </row>
    <row r="1190" spans="1:40" x14ac:dyDescent="0.3">
      <c r="A1190" s="52">
        <v>1185</v>
      </c>
      <c r="B1190" s="52">
        <f>-bthan*500+(34+0.5)*bthan*1000/50</f>
        <v>1045</v>
      </c>
      <c r="C1190" s="52">
        <f t="shared" si="157"/>
        <v>-330</v>
      </c>
      <c r="D1190" s="52">
        <f t="shared" si="155"/>
        <v>2200</v>
      </c>
      <c r="E1190" s="52">
        <f t="shared" si="156"/>
        <v>1</v>
      </c>
      <c r="F1190" s="52"/>
      <c r="G1190" s="52"/>
      <c r="H1190" s="52"/>
      <c r="I1190" s="52"/>
      <c r="J1190" s="52"/>
      <c r="K1190" s="52"/>
      <c r="L1190" s="52"/>
      <c r="M1190" s="52"/>
      <c r="N1190" s="52"/>
      <c r="O1190" s="52"/>
      <c r="P1190" s="52"/>
      <c r="Q1190" s="52"/>
      <c r="R1190" s="52"/>
      <c r="S1190" s="52"/>
      <c r="T1190" s="52"/>
      <c r="U1190" s="52"/>
      <c r="V1190" s="52"/>
      <c r="W1190" s="52"/>
      <c r="X1190" s="52"/>
      <c r="Y1190" s="52"/>
      <c r="Z1190" s="52"/>
      <c r="AA1190" s="52"/>
      <c r="AB1190" s="52"/>
      <c r="AC1190" s="52"/>
      <c r="AD1190" s="52"/>
      <c r="AE1190" s="52"/>
      <c r="AF1190" s="52"/>
      <c r="AG1190" s="52"/>
      <c r="AH1190" s="52"/>
      <c r="AI1190" s="52"/>
      <c r="AJ1190" s="52"/>
      <c r="AK1190" s="52"/>
      <c r="AL1190" s="52"/>
      <c r="AM1190" s="52"/>
      <c r="AN1190" s="52"/>
    </row>
    <row r="1191" spans="1:40" x14ac:dyDescent="0.3">
      <c r="A1191" s="52">
        <v>1186</v>
      </c>
      <c r="B1191" s="52">
        <f>-bthan*500+(35+0.5)*bthan*1000/50</f>
        <v>1155</v>
      </c>
      <c r="C1191" s="52">
        <f t="shared" si="157"/>
        <v>-330</v>
      </c>
      <c r="D1191" s="52">
        <f t="shared" si="155"/>
        <v>2200</v>
      </c>
      <c r="E1191" s="52">
        <f t="shared" si="156"/>
        <v>1</v>
      </c>
      <c r="F1191" s="52"/>
      <c r="G1191" s="52"/>
      <c r="H1191" s="52"/>
      <c r="I1191" s="52"/>
      <c r="J1191" s="52"/>
      <c r="K1191" s="52"/>
      <c r="L1191" s="52"/>
      <c r="M1191" s="52"/>
      <c r="N1191" s="52"/>
      <c r="O1191" s="52"/>
      <c r="P1191" s="52"/>
      <c r="Q1191" s="52"/>
      <c r="R1191" s="52"/>
      <c r="S1191" s="52"/>
      <c r="T1191" s="52"/>
      <c r="U1191" s="52"/>
      <c r="V1191" s="52"/>
      <c r="W1191" s="52"/>
      <c r="X1191" s="52"/>
      <c r="Y1191" s="52"/>
      <c r="Z1191" s="52"/>
      <c r="AA1191" s="52"/>
      <c r="AB1191" s="52"/>
      <c r="AC1191" s="52"/>
      <c r="AD1191" s="52"/>
      <c r="AE1191" s="52"/>
      <c r="AF1191" s="52"/>
      <c r="AG1191" s="52"/>
      <c r="AH1191" s="52"/>
      <c r="AI1191" s="52"/>
      <c r="AJ1191" s="52"/>
      <c r="AK1191" s="52"/>
      <c r="AL1191" s="52"/>
      <c r="AM1191" s="52"/>
      <c r="AN1191" s="52"/>
    </row>
    <row r="1192" spans="1:40" x14ac:dyDescent="0.3">
      <c r="A1192" s="52">
        <v>1187</v>
      </c>
      <c r="B1192" s="52">
        <f>-bthan*500+(36+0.5)*bthan*1000/50</f>
        <v>1265</v>
      </c>
      <c r="C1192" s="52">
        <f t="shared" si="157"/>
        <v>-330</v>
      </c>
      <c r="D1192" s="52">
        <f t="shared" si="155"/>
        <v>2200</v>
      </c>
      <c r="E1192" s="52">
        <f t="shared" si="156"/>
        <v>1</v>
      </c>
      <c r="F1192" s="52"/>
      <c r="G1192" s="52"/>
      <c r="H1192" s="52"/>
      <c r="I1192" s="52"/>
      <c r="J1192" s="52"/>
      <c r="K1192" s="52"/>
      <c r="L1192" s="52"/>
      <c r="M1192" s="52"/>
      <c r="N1192" s="52"/>
      <c r="O1192" s="52"/>
      <c r="P1192" s="52"/>
      <c r="Q1192" s="52"/>
      <c r="R1192" s="52"/>
      <c r="S1192" s="52"/>
      <c r="T1192" s="52"/>
      <c r="U1192" s="52"/>
      <c r="V1192" s="52"/>
      <c r="W1192" s="52"/>
      <c r="X1192" s="52"/>
      <c r="Y1192" s="52"/>
      <c r="Z1192" s="52"/>
      <c r="AA1192" s="52"/>
      <c r="AB1192" s="52"/>
      <c r="AC1192" s="52"/>
      <c r="AD1192" s="52"/>
      <c r="AE1192" s="52"/>
      <c r="AF1192" s="52"/>
      <c r="AG1192" s="52"/>
      <c r="AH1192" s="52"/>
      <c r="AI1192" s="52"/>
      <c r="AJ1192" s="52"/>
      <c r="AK1192" s="52"/>
      <c r="AL1192" s="52"/>
      <c r="AM1192" s="52"/>
      <c r="AN1192" s="52"/>
    </row>
    <row r="1193" spans="1:40" x14ac:dyDescent="0.3">
      <c r="A1193" s="52">
        <v>1188</v>
      </c>
      <c r="B1193" s="52">
        <f>-bthan*500+(37+0.5)*bthan*1000/50</f>
        <v>1375</v>
      </c>
      <c r="C1193" s="52">
        <f t="shared" si="157"/>
        <v>-330</v>
      </c>
      <c r="D1193" s="52">
        <f t="shared" si="155"/>
        <v>2200</v>
      </c>
      <c r="E1193" s="52">
        <f t="shared" si="156"/>
        <v>1</v>
      </c>
      <c r="F1193" s="52"/>
      <c r="G1193" s="52"/>
      <c r="H1193" s="52"/>
      <c r="I1193" s="52"/>
      <c r="J1193" s="52"/>
      <c r="K1193" s="52"/>
      <c r="L1193" s="52"/>
      <c r="M1193" s="52"/>
      <c r="N1193" s="52"/>
      <c r="O1193" s="52"/>
      <c r="P1193" s="52"/>
      <c r="Q1193" s="52"/>
      <c r="R1193" s="52"/>
      <c r="S1193" s="52"/>
      <c r="T1193" s="52"/>
      <c r="U1193" s="52"/>
      <c r="V1193" s="52"/>
      <c r="W1193" s="52"/>
      <c r="X1193" s="52"/>
      <c r="Y1193" s="52"/>
      <c r="Z1193" s="52"/>
      <c r="AA1193" s="52"/>
      <c r="AB1193" s="52"/>
      <c r="AC1193" s="52"/>
      <c r="AD1193" s="52"/>
      <c r="AE1193" s="52"/>
      <c r="AF1193" s="52"/>
      <c r="AG1193" s="52"/>
      <c r="AH1193" s="52"/>
      <c r="AI1193" s="52"/>
      <c r="AJ1193" s="52"/>
      <c r="AK1193" s="52"/>
      <c r="AL1193" s="52"/>
      <c r="AM1193" s="52"/>
      <c r="AN1193" s="52"/>
    </row>
    <row r="1194" spans="1:40" x14ac:dyDescent="0.3">
      <c r="A1194" s="52">
        <v>1189</v>
      </c>
      <c r="B1194" s="52">
        <f>-bthan*500+(38+0.5)*bthan*1000/50</f>
        <v>1485</v>
      </c>
      <c r="C1194" s="52">
        <f t="shared" si="157"/>
        <v>-330</v>
      </c>
      <c r="D1194" s="52">
        <f t="shared" si="155"/>
        <v>2200</v>
      </c>
      <c r="E1194" s="52">
        <f t="shared" si="156"/>
        <v>1</v>
      </c>
      <c r="F1194" s="52"/>
      <c r="G1194" s="52"/>
      <c r="H1194" s="52"/>
      <c r="I1194" s="52"/>
      <c r="J1194" s="52"/>
      <c r="K1194" s="52"/>
      <c r="L1194" s="52"/>
      <c r="M1194" s="52"/>
      <c r="N1194" s="52"/>
      <c r="O1194" s="52"/>
      <c r="P1194" s="52"/>
      <c r="Q1194" s="52"/>
      <c r="R1194" s="52"/>
      <c r="S1194" s="52"/>
      <c r="T1194" s="52"/>
      <c r="U1194" s="52"/>
      <c r="V1194" s="52"/>
      <c r="W1194" s="52"/>
      <c r="X1194" s="52"/>
      <c r="Y1194" s="52"/>
      <c r="Z1194" s="52"/>
      <c r="AA1194" s="52"/>
      <c r="AB1194" s="52"/>
      <c r="AC1194" s="52"/>
      <c r="AD1194" s="52"/>
      <c r="AE1194" s="52"/>
      <c r="AF1194" s="52"/>
      <c r="AG1194" s="52"/>
      <c r="AH1194" s="52"/>
      <c r="AI1194" s="52"/>
      <c r="AJ1194" s="52"/>
      <c r="AK1194" s="52"/>
      <c r="AL1194" s="52"/>
      <c r="AM1194" s="52"/>
      <c r="AN1194" s="52"/>
    </row>
    <row r="1195" spans="1:40" x14ac:dyDescent="0.3">
      <c r="A1195" s="52">
        <v>1190</v>
      </c>
      <c r="B1195" s="52">
        <f>-bthan*500+(39+0.5)*bthan*1000/50</f>
        <v>1595</v>
      </c>
      <c r="C1195" s="52">
        <f t="shared" si="157"/>
        <v>-330</v>
      </c>
      <c r="D1195" s="52">
        <f t="shared" si="155"/>
        <v>2200</v>
      </c>
      <c r="E1195" s="52">
        <f t="shared" si="156"/>
        <v>1</v>
      </c>
      <c r="F1195" s="52"/>
      <c r="G1195" s="52"/>
      <c r="H1195" s="52"/>
      <c r="I1195" s="52"/>
      <c r="J1195" s="52"/>
      <c r="K1195" s="52"/>
      <c r="L1195" s="52"/>
      <c r="M1195" s="52"/>
      <c r="N1195" s="52"/>
      <c r="O1195" s="52"/>
      <c r="P1195" s="52"/>
      <c r="Q1195" s="52"/>
      <c r="R1195" s="52"/>
      <c r="S1195" s="52"/>
      <c r="T1195" s="52"/>
      <c r="U1195" s="52"/>
      <c r="V1195" s="52"/>
      <c r="W1195" s="52"/>
      <c r="X1195" s="52"/>
      <c r="Y1195" s="52"/>
      <c r="Z1195" s="52"/>
      <c r="AA1195" s="52"/>
      <c r="AB1195" s="52"/>
      <c r="AC1195" s="52"/>
      <c r="AD1195" s="52"/>
      <c r="AE1195" s="52"/>
      <c r="AF1195" s="52"/>
      <c r="AG1195" s="52"/>
      <c r="AH1195" s="52"/>
      <c r="AI1195" s="52"/>
      <c r="AJ1195" s="52"/>
      <c r="AK1195" s="52"/>
      <c r="AL1195" s="52"/>
      <c r="AM1195" s="52"/>
      <c r="AN1195" s="52"/>
    </row>
    <row r="1196" spans="1:40" x14ac:dyDescent="0.3">
      <c r="A1196" s="52">
        <v>1191</v>
      </c>
      <c r="B1196" s="52">
        <f>-bthan*500+(40+0.5)*bthan*1000/50</f>
        <v>1705</v>
      </c>
      <c r="C1196" s="52">
        <f t="shared" si="157"/>
        <v>-330</v>
      </c>
      <c r="D1196" s="52">
        <f t="shared" si="155"/>
        <v>2200</v>
      </c>
      <c r="E1196" s="52">
        <f t="shared" si="156"/>
        <v>1</v>
      </c>
      <c r="F1196" s="52"/>
      <c r="G1196" s="52"/>
      <c r="H1196" s="52"/>
      <c r="I1196" s="52"/>
      <c r="J1196" s="52"/>
      <c r="K1196" s="52"/>
      <c r="L1196" s="52"/>
      <c r="M1196" s="52"/>
      <c r="N1196" s="52"/>
      <c r="O1196" s="52"/>
      <c r="P1196" s="52"/>
      <c r="Q1196" s="52"/>
      <c r="R1196" s="52"/>
      <c r="S1196" s="52"/>
      <c r="T1196" s="52"/>
      <c r="U1196" s="52"/>
      <c r="V1196" s="52"/>
      <c r="W1196" s="52"/>
      <c r="X1196" s="52"/>
      <c r="Y1196" s="52"/>
      <c r="Z1196" s="52"/>
      <c r="AA1196" s="52"/>
      <c r="AB1196" s="52"/>
      <c r="AC1196" s="52"/>
      <c r="AD1196" s="52"/>
      <c r="AE1196" s="52"/>
      <c r="AF1196" s="52"/>
      <c r="AG1196" s="52"/>
      <c r="AH1196" s="52"/>
      <c r="AI1196" s="52"/>
      <c r="AJ1196" s="52"/>
      <c r="AK1196" s="52"/>
      <c r="AL1196" s="52"/>
      <c r="AM1196" s="52"/>
      <c r="AN1196" s="52"/>
    </row>
    <row r="1197" spans="1:40" x14ac:dyDescent="0.3">
      <c r="A1197" s="52">
        <v>1192</v>
      </c>
      <c r="B1197" s="52">
        <f>-bthan*500+(41+0.5)*bthan*1000/50</f>
        <v>1815</v>
      </c>
      <c r="C1197" s="52">
        <f t="shared" si="157"/>
        <v>-330</v>
      </c>
      <c r="D1197" s="52">
        <f t="shared" si="155"/>
        <v>2200</v>
      </c>
      <c r="E1197" s="52">
        <f t="shared" si="156"/>
        <v>1</v>
      </c>
      <c r="F1197" s="52"/>
      <c r="G1197" s="52"/>
      <c r="H1197" s="52"/>
      <c r="I1197" s="52"/>
      <c r="J1197" s="52"/>
      <c r="K1197" s="52"/>
      <c r="L1197" s="52"/>
      <c r="M1197" s="52"/>
      <c r="N1197" s="52"/>
      <c r="O1197" s="52"/>
      <c r="P1197" s="52"/>
      <c r="Q1197" s="52"/>
      <c r="R1197" s="52"/>
      <c r="S1197" s="52"/>
      <c r="T1197" s="52"/>
      <c r="U1197" s="52"/>
      <c r="V1197" s="52"/>
      <c r="W1197" s="52"/>
      <c r="X1197" s="52"/>
      <c r="Y1197" s="52"/>
      <c r="Z1197" s="52"/>
      <c r="AA1197" s="52"/>
      <c r="AB1197" s="52"/>
      <c r="AC1197" s="52"/>
      <c r="AD1197" s="52"/>
      <c r="AE1197" s="52"/>
      <c r="AF1197" s="52"/>
      <c r="AG1197" s="52"/>
      <c r="AH1197" s="52"/>
      <c r="AI1197" s="52"/>
      <c r="AJ1197" s="52"/>
      <c r="AK1197" s="52"/>
      <c r="AL1197" s="52"/>
      <c r="AM1197" s="52"/>
      <c r="AN1197" s="52"/>
    </row>
    <row r="1198" spans="1:40" x14ac:dyDescent="0.3">
      <c r="A1198" s="52">
        <v>1193</v>
      </c>
      <c r="B1198" s="52">
        <f>-bthan*500+(42+0.5)*bthan*1000/50</f>
        <v>1925</v>
      </c>
      <c r="C1198" s="52">
        <f t="shared" si="157"/>
        <v>-330</v>
      </c>
      <c r="D1198" s="52">
        <f t="shared" si="155"/>
        <v>2200</v>
      </c>
      <c r="E1198" s="52">
        <f t="shared" si="156"/>
        <v>1</v>
      </c>
      <c r="F1198" s="52"/>
      <c r="G1198" s="52"/>
      <c r="H1198" s="52"/>
      <c r="I1198" s="52"/>
      <c r="J1198" s="52"/>
      <c r="K1198" s="52"/>
      <c r="L1198" s="52"/>
      <c r="M1198" s="52"/>
      <c r="N1198" s="52"/>
      <c r="O1198" s="52"/>
      <c r="P1198" s="52"/>
      <c r="Q1198" s="52"/>
      <c r="R1198" s="52"/>
      <c r="S1198" s="52"/>
      <c r="T1198" s="52"/>
      <c r="U1198" s="52"/>
      <c r="V1198" s="52"/>
      <c r="W1198" s="52"/>
      <c r="X1198" s="52"/>
      <c r="Y1198" s="52"/>
      <c r="Z1198" s="52"/>
      <c r="AA1198" s="52"/>
      <c r="AB1198" s="52"/>
      <c r="AC1198" s="52"/>
      <c r="AD1198" s="52"/>
      <c r="AE1198" s="52"/>
      <c r="AF1198" s="52"/>
      <c r="AG1198" s="52"/>
      <c r="AH1198" s="52"/>
      <c r="AI1198" s="52"/>
      <c r="AJ1198" s="52"/>
      <c r="AK1198" s="52"/>
      <c r="AL1198" s="52"/>
      <c r="AM1198" s="52"/>
      <c r="AN1198" s="52"/>
    </row>
    <row r="1199" spans="1:40" x14ac:dyDescent="0.3">
      <c r="A1199" s="52">
        <v>1194</v>
      </c>
      <c r="B1199" s="52">
        <f>-bthan*500+(43+0.5)*bthan*1000/50</f>
        <v>2035</v>
      </c>
      <c r="C1199" s="52">
        <f t="shared" si="157"/>
        <v>-330</v>
      </c>
      <c r="D1199" s="52">
        <f t="shared" si="155"/>
        <v>2200</v>
      </c>
      <c r="E1199" s="52">
        <f t="shared" si="156"/>
        <v>1</v>
      </c>
      <c r="F1199" s="52"/>
      <c r="G1199" s="52"/>
      <c r="H1199" s="52"/>
      <c r="I1199" s="52"/>
      <c r="J1199" s="52"/>
      <c r="K1199" s="52"/>
      <c r="L1199" s="52"/>
      <c r="M1199" s="52"/>
      <c r="N1199" s="52"/>
      <c r="O1199" s="52"/>
      <c r="P1199" s="52"/>
      <c r="Q1199" s="52"/>
      <c r="R1199" s="52"/>
      <c r="S1199" s="52"/>
      <c r="T1199" s="52"/>
      <c r="U1199" s="52"/>
      <c r="V1199" s="52"/>
      <c r="W1199" s="52"/>
      <c r="X1199" s="52"/>
      <c r="Y1199" s="52"/>
      <c r="Z1199" s="52"/>
      <c r="AA1199" s="52"/>
      <c r="AB1199" s="52"/>
      <c r="AC1199" s="52"/>
      <c r="AD1199" s="52"/>
      <c r="AE1199" s="52"/>
      <c r="AF1199" s="52"/>
      <c r="AG1199" s="52"/>
      <c r="AH1199" s="52"/>
      <c r="AI1199" s="52"/>
      <c r="AJ1199" s="52"/>
      <c r="AK1199" s="52"/>
      <c r="AL1199" s="52"/>
      <c r="AM1199" s="52"/>
      <c r="AN1199" s="52"/>
    </row>
    <row r="1200" spans="1:40" x14ac:dyDescent="0.3">
      <c r="A1200" s="52">
        <v>1195</v>
      </c>
      <c r="B1200" s="52">
        <f>-bthan*500+(44+0.5)*bthan*1000/50</f>
        <v>2145</v>
      </c>
      <c r="C1200" s="52">
        <f t="shared" si="157"/>
        <v>-330</v>
      </c>
      <c r="D1200" s="52">
        <f t="shared" si="155"/>
        <v>2200</v>
      </c>
      <c r="E1200" s="52">
        <f t="shared" si="156"/>
        <v>1</v>
      </c>
      <c r="F1200" s="52"/>
      <c r="G1200" s="52"/>
      <c r="H1200" s="52"/>
      <c r="I1200" s="52"/>
      <c r="J1200" s="52"/>
      <c r="K1200" s="52"/>
      <c r="L1200" s="52"/>
      <c r="M1200" s="52"/>
      <c r="N1200" s="52"/>
      <c r="O1200" s="52"/>
      <c r="P1200" s="52"/>
      <c r="Q1200" s="52"/>
      <c r="R1200" s="52"/>
      <c r="S1200" s="52"/>
      <c r="T1200" s="52"/>
      <c r="U1200" s="52"/>
      <c r="V1200" s="52"/>
      <c r="W1200" s="52"/>
      <c r="X1200" s="52"/>
      <c r="Y1200" s="52"/>
      <c r="Z1200" s="52"/>
      <c r="AA1200" s="52"/>
      <c r="AB1200" s="52"/>
      <c r="AC1200" s="52"/>
      <c r="AD1200" s="52"/>
      <c r="AE1200" s="52"/>
      <c r="AF1200" s="52"/>
      <c r="AG1200" s="52"/>
      <c r="AH1200" s="52"/>
      <c r="AI1200" s="52"/>
      <c r="AJ1200" s="52"/>
      <c r="AK1200" s="52"/>
      <c r="AL1200" s="52"/>
      <c r="AM1200" s="52"/>
      <c r="AN1200" s="52"/>
    </row>
    <row r="1201" spans="1:40" x14ac:dyDescent="0.3">
      <c r="A1201" s="52">
        <v>1196</v>
      </c>
      <c r="B1201" s="52">
        <f>-bthan*500+(45+0.5)*bthan*1000/50</f>
        <v>2255</v>
      </c>
      <c r="C1201" s="52">
        <f t="shared" si="157"/>
        <v>-330</v>
      </c>
      <c r="D1201" s="52">
        <f t="shared" si="155"/>
        <v>2200</v>
      </c>
      <c r="E1201" s="52">
        <f t="shared" si="156"/>
        <v>1</v>
      </c>
      <c r="F1201" s="52"/>
      <c r="G1201" s="52"/>
      <c r="H1201" s="52"/>
      <c r="I1201" s="52"/>
      <c r="J1201" s="52"/>
      <c r="K1201" s="52"/>
      <c r="L1201" s="52"/>
      <c r="M1201" s="52"/>
      <c r="N1201" s="52"/>
      <c r="O1201" s="52"/>
      <c r="P1201" s="52"/>
      <c r="Q1201" s="52"/>
      <c r="R1201" s="52"/>
      <c r="S1201" s="52"/>
      <c r="T1201" s="52"/>
      <c r="U1201" s="52"/>
      <c r="V1201" s="52"/>
      <c r="W1201" s="52"/>
      <c r="X1201" s="52"/>
      <c r="Y1201" s="52"/>
      <c r="Z1201" s="52"/>
      <c r="AA1201" s="52"/>
      <c r="AB1201" s="52"/>
      <c r="AC1201" s="52"/>
      <c r="AD1201" s="52"/>
      <c r="AE1201" s="52"/>
      <c r="AF1201" s="52"/>
      <c r="AG1201" s="52"/>
      <c r="AH1201" s="52"/>
      <c r="AI1201" s="52"/>
      <c r="AJ1201" s="52"/>
      <c r="AK1201" s="52"/>
      <c r="AL1201" s="52"/>
      <c r="AM1201" s="52"/>
      <c r="AN1201" s="52"/>
    </row>
    <row r="1202" spans="1:40" x14ac:dyDescent="0.3">
      <c r="A1202" s="52">
        <v>1197</v>
      </c>
      <c r="B1202" s="52">
        <f>-bthan*500+(46+0.5)*bthan*1000/50</f>
        <v>2365</v>
      </c>
      <c r="C1202" s="52">
        <f t="shared" si="157"/>
        <v>-330</v>
      </c>
      <c r="D1202" s="52">
        <f t="shared" si="155"/>
        <v>2200</v>
      </c>
      <c r="E1202" s="52">
        <f t="shared" si="156"/>
        <v>1</v>
      </c>
      <c r="F1202" s="52"/>
      <c r="G1202" s="52"/>
      <c r="H1202" s="52"/>
      <c r="I1202" s="52"/>
      <c r="J1202" s="52"/>
      <c r="K1202" s="52"/>
      <c r="L1202" s="52"/>
      <c r="M1202" s="52"/>
      <c r="N1202" s="52"/>
      <c r="O1202" s="52"/>
      <c r="P1202" s="52"/>
      <c r="Q1202" s="52"/>
      <c r="R1202" s="52"/>
      <c r="S1202" s="52"/>
      <c r="T1202" s="52"/>
      <c r="U1202" s="52"/>
      <c r="V1202" s="52"/>
      <c r="W1202" s="52"/>
      <c r="X1202" s="52"/>
      <c r="Y1202" s="52"/>
      <c r="Z1202" s="52"/>
      <c r="AA1202" s="52"/>
      <c r="AB1202" s="52"/>
      <c r="AC1202" s="52"/>
      <c r="AD1202" s="52"/>
      <c r="AE1202" s="52"/>
      <c r="AF1202" s="52"/>
      <c r="AG1202" s="52"/>
      <c r="AH1202" s="52"/>
      <c r="AI1202" s="52"/>
      <c r="AJ1202" s="52"/>
      <c r="AK1202" s="52"/>
      <c r="AL1202" s="52"/>
      <c r="AM1202" s="52"/>
      <c r="AN1202" s="52"/>
    </row>
    <row r="1203" spans="1:40" x14ac:dyDescent="0.3">
      <c r="A1203" s="52">
        <v>1198</v>
      </c>
      <c r="B1203" s="52">
        <f>-bthan*500+(47+0.5)*bthan*1000/50</f>
        <v>2475</v>
      </c>
      <c r="C1203" s="52">
        <f t="shared" si="157"/>
        <v>-330</v>
      </c>
      <c r="D1203" s="52">
        <f t="shared" si="155"/>
        <v>2200</v>
      </c>
      <c r="E1203" s="52">
        <f t="shared" si="156"/>
        <v>1</v>
      </c>
      <c r="F1203" s="52"/>
      <c r="G1203" s="52"/>
      <c r="H1203" s="52"/>
      <c r="I1203" s="52"/>
      <c r="J1203" s="52"/>
      <c r="K1203" s="52"/>
      <c r="L1203" s="52"/>
      <c r="M1203" s="52"/>
      <c r="N1203" s="52"/>
      <c r="O1203" s="52"/>
      <c r="P1203" s="52"/>
      <c r="Q1203" s="52"/>
      <c r="R1203" s="52"/>
      <c r="S1203" s="52"/>
      <c r="T1203" s="52"/>
      <c r="U1203" s="52"/>
      <c r="V1203" s="52"/>
      <c r="W1203" s="52"/>
      <c r="X1203" s="52"/>
      <c r="Y1203" s="52"/>
      <c r="Z1203" s="52"/>
      <c r="AA1203" s="52"/>
      <c r="AB1203" s="52"/>
      <c r="AC1203" s="52"/>
      <c r="AD1203" s="52"/>
      <c r="AE1203" s="52"/>
      <c r="AF1203" s="52"/>
      <c r="AG1203" s="52"/>
      <c r="AH1203" s="52"/>
      <c r="AI1203" s="52"/>
      <c r="AJ1203" s="52"/>
      <c r="AK1203" s="52"/>
      <c r="AL1203" s="52"/>
      <c r="AM1203" s="52"/>
      <c r="AN1203" s="52"/>
    </row>
    <row r="1204" spans="1:40" x14ac:dyDescent="0.3">
      <c r="A1204" s="52">
        <v>1199</v>
      </c>
      <c r="B1204" s="52">
        <f>-bthan*500+(48+0.5)*bthan*1000/50</f>
        <v>2585</v>
      </c>
      <c r="C1204" s="52">
        <f t="shared" si="157"/>
        <v>-330</v>
      </c>
      <c r="D1204" s="52">
        <f t="shared" si="155"/>
        <v>2200</v>
      </c>
      <c r="E1204" s="52">
        <f t="shared" si="156"/>
        <v>1</v>
      </c>
      <c r="F1204" s="52"/>
      <c r="G1204" s="52"/>
      <c r="H1204" s="52"/>
      <c r="I1204" s="52"/>
      <c r="J1204" s="52"/>
      <c r="K1204" s="52"/>
      <c r="L1204" s="52"/>
      <c r="M1204" s="52"/>
      <c r="N1204" s="52"/>
      <c r="O1204" s="52"/>
      <c r="P1204" s="52"/>
      <c r="Q1204" s="52"/>
      <c r="R1204" s="52"/>
      <c r="S1204" s="52"/>
      <c r="T1204" s="52"/>
      <c r="U1204" s="52"/>
      <c r="V1204" s="52"/>
      <c r="W1204" s="52"/>
      <c r="X1204" s="52"/>
      <c r="Y1204" s="52"/>
      <c r="Z1204" s="52"/>
      <c r="AA1204" s="52"/>
      <c r="AB1204" s="52"/>
      <c r="AC1204" s="52"/>
      <c r="AD1204" s="52"/>
      <c r="AE1204" s="52"/>
      <c r="AF1204" s="52"/>
      <c r="AG1204" s="52"/>
      <c r="AH1204" s="52"/>
      <c r="AI1204" s="52"/>
      <c r="AJ1204" s="52"/>
      <c r="AK1204" s="52"/>
      <c r="AL1204" s="52"/>
      <c r="AM1204" s="52"/>
      <c r="AN1204" s="52"/>
    </row>
    <row r="1205" spans="1:40" x14ac:dyDescent="0.3">
      <c r="A1205" s="52">
        <v>1200</v>
      </c>
      <c r="B1205" s="52">
        <f>-bthan*500+(49+0.5)*bthan*1000/50</f>
        <v>2695</v>
      </c>
      <c r="C1205" s="52">
        <f t="shared" si="157"/>
        <v>-330</v>
      </c>
      <c r="D1205" s="52">
        <f t="shared" si="155"/>
        <v>2200</v>
      </c>
      <c r="E1205" s="52">
        <f t="shared" si="156"/>
        <v>0</v>
      </c>
      <c r="F1205" s="52"/>
      <c r="G1205" s="52"/>
      <c r="H1205" s="52"/>
      <c r="I1205" s="52"/>
      <c r="J1205" s="52"/>
      <c r="K1205" s="52"/>
      <c r="L1205" s="52"/>
      <c r="M1205" s="52"/>
      <c r="N1205" s="52"/>
      <c r="O1205" s="52"/>
      <c r="P1205" s="52"/>
      <c r="Q1205" s="52"/>
      <c r="R1205" s="52"/>
      <c r="S1205" s="52"/>
      <c r="T1205" s="52"/>
      <c r="U1205" s="52"/>
      <c r="V1205" s="52"/>
      <c r="W1205" s="52"/>
      <c r="X1205" s="52"/>
      <c r="Y1205" s="52"/>
      <c r="Z1205" s="52"/>
      <c r="AA1205" s="52"/>
      <c r="AB1205" s="52"/>
      <c r="AC1205" s="52"/>
      <c r="AD1205" s="52"/>
      <c r="AE1205" s="52"/>
      <c r="AF1205" s="52"/>
      <c r="AG1205" s="52"/>
      <c r="AH1205" s="52"/>
      <c r="AI1205" s="52"/>
      <c r="AJ1205" s="52"/>
      <c r="AK1205" s="52"/>
      <c r="AL1205" s="52"/>
      <c r="AM1205" s="52"/>
      <c r="AN1205" s="52"/>
    </row>
    <row r="1206" spans="1:40" x14ac:dyDescent="0.3">
      <c r="A1206" s="52">
        <v>1201</v>
      </c>
      <c r="B1206" s="52">
        <f>-bthan*500+(0+0.5)*bthan*1000/50</f>
        <v>-2695</v>
      </c>
      <c r="C1206" s="52">
        <f t="shared" ref="C1206:C1237" si="158">-hthan*500+(24+0.5)*hthan*1000/80</f>
        <v>-310</v>
      </c>
      <c r="D1206" s="52">
        <f t="shared" si="155"/>
        <v>2200</v>
      </c>
      <c r="E1206" s="52">
        <f t="shared" si="156"/>
        <v>0</v>
      </c>
      <c r="F1206" s="52"/>
      <c r="G1206" s="52"/>
      <c r="H1206" s="52"/>
      <c r="I1206" s="52"/>
      <c r="J1206" s="52"/>
      <c r="K1206" s="52"/>
      <c r="L1206" s="52"/>
      <c r="M1206" s="52"/>
      <c r="N1206" s="52"/>
      <c r="O1206" s="52"/>
      <c r="P1206" s="52"/>
      <c r="Q1206" s="52"/>
      <c r="R1206" s="52"/>
      <c r="S1206" s="52"/>
      <c r="T1206" s="52"/>
      <c r="U1206" s="52"/>
      <c r="V1206" s="52"/>
      <c r="W1206" s="52"/>
      <c r="X1206" s="52"/>
      <c r="Y1206" s="52"/>
      <c r="Z1206" s="52"/>
      <c r="AA1206" s="52"/>
      <c r="AB1206" s="52"/>
      <c r="AC1206" s="52"/>
      <c r="AD1206" s="52"/>
      <c r="AE1206" s="52"/>
      <c r="AF1206" s="52"/>
      <c r="AG1206" s="52"/>
      <c r="AH1206" s="52"/>
      <c r="AI1206" s="52"/>
      <c r="AJ1206" s="52"/>
      <c r="AK1206" s="52"/>
      <c r="AL1206" s="52"/>
      <c r="AM1206" s="52"/>
      <c r="AN1206" s="52"/>
    </row>
    <row r="1207" spans="1:40" x14ac:dyDescent="0.3">
      <c r="A1207" s="52">
        <v>1202</v>
      </c>
      <c r="B1207" s="52">
        <f>-bthan*500+(1+0.5)*bthan*1000/50</f>
        <v>-2585</v>
      </c>
      <c r="C1207" s="52">
        <f t="shared" si="158"/>
        <v>-310</v>
      </c>
      <c r="D1207" s="52">
        <f t="shared" si="155"/>
        <v>2200</v>
      </c>
      <c r="E1207" s="52">
        <f t="shared" si="156"/>
        <v>1</v>
      </c>
      <c r="F1207" s="52"/>
      <c r="G1207" s="52"/>
      <c r="H1207" s="52"/>
      <c r="I1207" s="52"/>
      <c r="J1207" s="52"/>
      <c r="K1207" s="52"/>
      <c r="L1207" s="52"/>
      <c r="M1207" s="52"/>
      <c r="N1207" s="52"/>
      <c r="O1207" s="52"/>
      <c r="P1207" s="52"/>
      <c r="Q1207" s="52"/>
      <c r="R1207" s="52"/>
      <c r="S1207" s="52"/>
      <c r="T1207" s="52"/>
      <c r="U1207" s="52"/>
      <c r="V1207" s="52"/>
      <c r="W1207" s="52"/>
      <c r="X1207" s="52"/>
      <c r="Y1207" s="52"/>
      <c r="Z1207" s="52"/>
      <c r="AA1207" s="52"/>
      <c r="AB1207" s="52"/>
      <c r="AC1207" s="52"/>
      <c r="AD1207" s="52"/>
      <c r="AE1207" s="52"/>
      <c r="AF1207" s="52"/>
      <c r="AG1207" s="52"/>
      <c r="AH1207" s="52"/>
      <c r="AI1207" s="52"/>
      <c r="AJ1207" s="52"/>
      <c r="AK1207" s="52"/>
      <c r="AL1207" s="52"/>
      <c r="AM1207" s="52"/>
      <c r="AN1207" s="52"/>
    </row>
    <row r="1208" spans="1:40" x14ac:dyDescent="0.3">
      <c r="A1208" s="52">
        <v>1203</v>
      </c>
      <c r="B1208" s="52">
        <f>-bthan*500+(2+0.5)*bthan*1000/50</f>
        <v>-2475</v>
      </c>
      <c r="C1208" s="52">
        <f t="shared" si="158"/>
        <v>-310</v>
      </c>
      <c r="D1208" s="52">
        <f t="shared" si="155"/>
        <v>2200</v>
      </c>
      <c r="E1208" s="52">
        <f t="shared" si="156"/>
        <v>1</v>
      </c>
      <c r="F1208" s="52"/>
      <c r="G1208" s="52"/>
      <c r="H1208" s="52"/>
      <c r="I1208" s="52"/>
      <c r="J1208" s="52"/>
      <c r="K1208" s="52"/>
      <c r="L1208" s="52"/>
      <c r="M1208" s="52"/>
      <c r="N1208" s="52"/>
      <c r="O1208" s="52"/>
      <c r="P1208" s="52"/>
      <c r="Q1208" s="52"/>
      <c r="R1208" s="52"/>
      <c r="S1208" s="52"/>
      <c r="T1208" s="52"/>
      <c r="U1208" s="52"/>
      <c r="V1208" s="52"/>
      <c r="W1208" s="52"/>
      <c r="X1208" s="52"/>
      <c r="Y1208" s="52"/>
      <c r="Z1208" s="52"/>
      <c r="AA1208" s="52"/>
      <c r="AB1208" s="52"/>
      <c r="AC1208" s="52"/>
      <c r="AD1208" s="52"/>
      <c r="AE1208" s="52"/>
      <c r="AF1208" s="52"/>
      <c r="AG1208" s="52"/>
      <c r="AH1208" s="52"/>
      <c r="AI1208" s="52"/>
      <c r="AJ1208" s="52"/>
      <c r="AK1208" s="52"/>
      <c r="AL1208" s="52"/>
      <c r="AM1208" s="52"/>
      <c r="AN1208" s="52"/>
    </row>
    <row r="1209" spans="1:40" x14ac:dyDescent="0.3">
      <c r="A1209" s="52">
        <v>1204</v>
      </c>
      <c r="B1209" s="52">
        <f>-bthan*500+(3+0.5)*bthan*1000/50</f>
        <v>-2365</v>
      </c>
      <c r="C1209" s="52">
        <f t="shared" si="158"/>
        <v>-310</v>
      </c>
      <c r="D1209" s="52">
        <f t="shared" si="155"/>
        <v>2200</v>
      </c>
      <c r="E1209" s="52">
        <f t="shared" si="156"/>
        <v>1</v>
      </c>
      <c r="F1209" s="52"/>
      <c r="G1209" s="52"/>
      <c r="H1209" s="52"/>
      <c r="I1209" s="52"/>
      <c r="J1209" s="52"/>
      <c r="K1209" s="52"/>
      <c r="L1209" s="52"/>
      <c r="M1209" s="52"/>
      <c r="N1209" s="52"/>
      <c r="O1209" s="52"/>
      <c r="P1209" s="52"/>
      <c r="Q1209" s="52"/>
      <c r="R1209" s="52"/>
      <c r="S1209" s="52"/>
      <c r="T1209" s="52"/>
      <c r="U1209" s="52"/>
      <c r="V1209" s="52"/>
      <c r="W1209" s="52"/>
      <c r="X1209" s="52"/>
      <c r="Y1209" s="52"/>
      <c r="Z1209" s="52"/>
      <c r="AA1209" s="52"/>
      <c r="AB1209" s="52"/>
      <c r="AC1209" s="52"/>
      <c r="AD1209" s="52"/>
      <c r="AE1209" s="52"/>
      <c r="AF1209" s="52"/>
      <c r="AG1209" s="52"/>
      <c r="AH1209" s="52"/>
      <c r="AI1209" s="52"/>
      <c r="AJ1209" s="52"/>
      <c r="AK1209" s="52"/>
      <c r="AL1209" s="52"/>
      <c r="AM1209" s="52"/>
      <c r="AN1209" s="52"/>
    </row>
    <row r="1210" spans="1:40" x14ac:dyDescent="0.3">
      <c r="A1210" s="52">
        <v>1205</v>
      </c>
      <c r="B1210" s="52">
        <f>-bthan*500+(4+0.5)*bthan*1000/50</f>
        <v>-2255</v>
      </c>
      <c r="C1210" s="52">
        <f t="shared" si="158"/>
        <v>-310</v>
      </c>
      <c r="D1210" s="52">
        <f t="shared" si="155"/>
        <v>2200</v>
      </c>
      <c r="E1210" s="52">
        <f t="shared" si="156"/>
        <v>1</v>
      </c>
      <c r="F1210" s="52"/>
      <c r="G1210" s="52"/>
      <c r="H1210" s="52"/>
      <c r="I1210" s="52"/>
      <c r="J1210" s="52"/>
      <c r="K1210" s="52"/>
      <c r="L1210" s="52"/>
      <c r="M1210" s="52"/>
      <c r="N1210" s="52"/>
      <c r="O1210" s="52"/>
      <c r="P1210" s="52"/>
      <c r="Q1210" s="52"/>
      <c r="R1210" s="52"/>
      <c r="S1210" s="52"/>
      <c r="T1210" s="52"/>
      <c r="U1210" s="52"/>
      <c r="V1210" s="52"/>
      <c r="W1210" s="52"/>
      <c r="X1210" s="52"/>
      <c r="Y1210" s="52"/>
      <c r="Z1210" s="52"/>
      <c r="AA1210" s="52"/>
      <c r="AB1210" s="52"/>
      <c r="AC1210" s="52"/>
      <c r="AD1210" s="52"/>
      <c r="AE1210" s="52"/>
      <c r="AF1210" s="52"/>
      <c r="AG1210" s="52"/>
      <c r="AH1210" s="52"/>
      <c r="AI1210" s="52"/>
      <c r="AJ1210" s="52"/>
      <c r="AK1210" s="52"/>
      <c r="AL1210" s="52"/>
      <c r="AM1210" s="52"/>
      <c r="AN1210" s="52"/>
    </row>
    <row r="1211" spans="1:40" x14ac:dyDescent="0.3">
      <c r="A1211" s="52">
        <v>1206</v>
      </c>
      <c r="B1211" s="52">
        <f>-bthan*500+(5+0.5)*bthan*1000/50</f>
        <v>-2145</v>
      </c>
      <c r="C1211" s="52">
        <f t="shared" si="158"/>
        <v>-310</v>
      </c>
      <c r="D1211" s="52">
        <f t="shared" si="155"/>
        <v>2200</v>
      </c>
      <c r="E1211" s="52">
        <f t="shared" si="156"/>
        <v>1</v>
      </c>
      <c r="F1211" s="52"/>
      <c r="G1211" s="52"/>
      <c r="H1211" s="52"/>
      <c r="I1211" s="52"/>
      <c r="J1211" s="52"/>
      <c r="K1211" s="52"/>
      <c r="L1211" s="52"/>
      <c r="M1211" s="52"/>
      <c r="N1211" s="52"/>
      <c r="O1211" s="52"/>
      <c r="P1211" s="52"/>
      <c r="Q1211" s="52"/>
      <c r="R1211" s="52"/>
      <c r="S1211" s="52"/>
      <c r="T1211" s="52"/>
      <c r="U1211" s="52"/>
      <c r="V1211" s="52"/>
      <c r="W1211" s="52"/>
      <c r="X1211" s="52"/>
      <c r="Y1211" s="52"/>
      <c r="Z1211" s="52"/>
      <c r="AA1211" s="52"/>
      <c r="AB1211" s="52"/>
      <c r="AC1211" s="52"/>
      <c r="AD1211" s="52"/>
      <c r="AE1211" s="52"/>
      <c r="AF1211" s="52"/>
      <c r="AG1211" s="52"/>
      <c r="AH1211" s="52"/>
      <c r="AI1211" s="52"/>
      <c r="AJ1211" s="52"/>
      <c r="AK1211" s="52"/>
      <c r="AL1211" s="52"/>
      <c r="AM1211" s="52"/>
      <c r="AN1211" s="52"/>
    </row>
    <row r="1212" spans="1:40" x14ac:dyDescent="0.3">
      <c r="A1212" s="52">
        <v>1207</v>
      </c>
      <c r="B1212" s="52">
        <f>-bthan*500+(6+0.5)*bthan*1000/50</f>
        <v>-2035</v>
      </c>
      <c r="C1212" s="52">
        <f t="shared" si="158"/>
        <v>-310</v>
      </c>
      <c r="D1212" s="52">
        <f t="shared" si="155"/>
        <v>2200</v>
      </c>
      <c r="E1212" s="52">
        <f t="shared" si="156"/>
        <v>1</v>
      </c>
      <c r="F1212" s="52"/>
      <c r="G1212" s="52"/>
      <c r="H1212" s="52"/>
      <c r="I1212" s="52"/>
      <c r="J1212" s="52"/>
      <c r="K1212" s="52"/>
      <c r="L1212" s="52"/>
      <c r="M1212" s="52"/>
      <c r="N1212" s="52"/>
      <c r="O1212" s="52"/>
      <c r="P1212" s="52"/>
      <c r="Q1212" s="52"/>
      <c r="R1212" s="52"/>
      <c r="S1212" s="52"/>
      <c r="T1212" s="52"/>
      <c r="U1212" s="52"/>
      <c r="V1212" s="52"/>
      <c r="W1212" s="52"/>
      <c r="X1212" s="52"/>
      <c r="Y1212" s="52"/>
      <c r="Z1212" s="52"/>
      <c r="AA1212" s="52"/>
      <c r="AB1212" s="52"/>
      <c r="AC1212" s="52"/>
      <c r="AD1212" s="52"/>
      <c r="AE1212" s="52"/>
      <c r="AF1212" s="52"/>
      <c r="AG1212" s="52"/>
      <c r="AH1212" s="52"/>
      <c r="AI1212" s="52"/>
      <c r="AJ1212" s="52"/>
      <c r="AK1212" s="52"/>
      <c r="AL1212" s="52"/>
      <c r="AM1212" s="52"/>
      <c r="AN1212" s="52"/>
    </row>
    <row r="1213" spans="1:40" x14ac:dyDescent="0.3">
      <c r="A1213" s="52">
        <v>1208</v>
      </c>
      <c r="B1213" s="52">
        <f>-bthan*500+(7+0.5)*bthan*1000/50</f>
        <v>-1925</v>
      </c>
      <c r="C1213" s="52">
        <f t="shared" si="158"/>
        <v>-310</v>
      </c>
      <c r="D1213" s="52">
        <f t="shared" si="155"/>
        <v>2200</v>
      </c>
      <c r="E1213" s="52">
        <f t="shared" si="156"/>
        <v>1</v>
      </c>
      <c r="F1213" s="52"/>
      <c r="G1213" s="52"/>
      <c r="H1213" s="52"/>
      <c r="I1213" s="52"/>
      <c r="J1213" s="52"/>
      <c r="K1213" s="52"/>
      <c r="L1213" s="52"/>
      <c r="M1213" s="52"/>
      <c r="N1213" s="52"/>
      <c r="O1213" s="52"/>
      <c r="P1213" s="52"/>
      <c r="Q1213" s="52"/>
      <c r="R1213" s="52"/>
      <c r="S1213" s="52"/>
      <c r="T1213" s="52"/>
      <c r="U1213" s="52"/>
      <c r="V1213" s="52"/>
      <c r="W1213" s="52"/>
      <c r="X1213" s="52"/>
      <c r="Y1213" s="52"/>
      <c r="Z1213" s="52"/>
      <c r="AA1213" s="52"/>
      <c r="AB1213" s="52"/>
      <c r="AC1213" s="52"/>
      <c r="AD1213" s="52"/>
      <c r="AE1213" s="52"/>
      <c r="AF1213" s="52"/>
      <c r="AG1213" s="52"/>
      <c r="AH1213" s="52"/>
      <c r="AI1213" s="52"/>
      <c r="AJ1213" s="52"/>
      <c r="AK1213" s="52"/>
      <c r="AL1213" s="52"/>
      <c r="AM1213" s="52"/>
      <c r="AN1213" s="52"/>
    </row>
    <row r="1214" spans="1:40" x14ac:dyDescent="0.3">
      <c r="A1214" s="52">
        <v>1209</v>
      </c>
      <c r="B1214" s="52">
        <f>-bthan*500+(8+0.5)*bthan*1000/50</f>
        <v>-1815</v>
      </c>
      <c r="C1214" s="52">
        <f t="shared" si="158"/>
        <v>-310</v>
      </c>
      <c r="D1214" s="52">
        <f t="shared" si="155"/>
        <v>2200</v>
      </c>
      <c r="E1214" s="52">
        <f t="shared" si="156"/>
        <v>1</v>
      </c>
      <c r="F1214" s="52"/>
      <c r="G1214" s="52"/>
      <c r="H1214" s="52"/>
      <c r="I1214" s="52"/>
      <c r="J1214" s="52"/>
      <c r="K1214" s="52"/>
      <c r="L1214" s="52"/>
      <c r="M1214" s="52"/>
      <c r="N1214" s="52"/>
      <c r="O1214" s="52"/>
      <c r="P1214" s="52"/>
      <c r="Q1214" s="52"/>
      <c r="R1214" s="52"/>
      <c r="S1214" s="52"/>
      <c r="T1214" s="52"/>
      <c r="U1214" s="52"/>
      <c r="V1214" s="52"/>
      <c r="W1214" s="52"/>
      <c r="X1214" s="52"/>
      <c r="Y1214" s="52"/>
      <c r="Z1214" s="52"/>
      <c r="AA1214" s="52"/>
      <c r="AB1214" s="52"/>
      <c r="AC1214" s="52"/>
      <c r="AD1214" s="52"/>
      <c r="AE1214" s="52"/>
      <c r="AF1214" s="52"/>
      <c r="AG1214" s="52"/>
      <c r="AH1214" s="52"/>
      <c r="AI1214" s="52"/>
      <c r="AJ1214" s="52"/>
      <c r="AK1214" s="52"/>
      <c r="AL1214" s="52"/>
      <c r="AM1214" s="52"/>
      <c r="AN1214" s="52"/>
    </row>
    <row r="1215" spans="1:40" x14ac:dyDescent="0.3">
      <c r="A1215" s="52">
        <v>1210</v>
      </c>
      <c r="B1215" s="52">
        <f>-bthan*500+(9+0.5)*bthan*1000/50</f>
        <v>-1705</v>
      </c>
      <c r="C1215" s="52">
        <f t="shared" si="158"/>
        <v>-310</v>
      </c>
      <c r="D1215" s="52">
        <f t="shared" si="155"/>
        <v>2200</v>
      </c>
      <c r="E1215" s="52">
        <f t="shared" si="156"/>
        <v>1</v>
      </c>
      <c r="F1215" s="52"/>
      <c r="G1215" s="52"/>
      <c r="H1215" s="52"/>
      <c r="I1215" s="52"/>
      <c r="J1215" s="52"/>
      <c r="K1215" s="52"/>
      <c r="L1215" s="52"/>
      <c r="M1215" s="52"/>
      <c r="N1215" s="52"/>
      <c r="O1215" s="52"/>
      <c r="P1215" s="52"/>
      <c r="Q1215" s="52"/>
      <c r="R1215" s="52"/>
      <c r="S1215" s="52"/>
      <c r="T1215" s="52"/>
      <c r="U1215" s="52"/>
      <c r="V1215" s="52"/>
      <c r="W1215" s="52"/>
      <c r="X1215" s="52"/>
      <c r="Y1215" s="52"/>
      <c r="Z1215" s="52"/>
      <c r="AA1215" s="52"/>
      <c r="AB1215" s="52"/>
      <c r="AC1215" s="52"/>
      <c r="AD1215" s="52"/>
      <c r="AE1215" s="52"/>
      <c r="AF1215" s="52"/>
      <c r="AG1215" s="52"/>
      <c r="AH1215" s="52"/>
      <c r="AI1215" s="52"/>
      <c r="AJ1215" s="52"/>
      <c r="AK1215" s="52"/>
      <c r="AL1215" s="52"/>
      <c r="AM1215" s="52"/>
      <c r="AN1215" s="52"/>
    </row>
    <row r="1216" spans="1:40" x14ac:dyDescent="0.3">
      <c r="A1216" s="52">
        <v>1211</v>
      </c>
      <c r="B1216" s="52">
        <f>-bthan*500+(10+0.5)*bthan*1000/50</f>
        <v>-1595</v>
      </c>
      <c r="C1216" s="52">
        <f t="shared" si="158"/>
        <v>-310</v>
      </c>
      <c r="D1216" s="52">
        <f t="shared" si="155"/>
        <v>2200</v>
      </c>
      <c r="E1216" s="52">
        <f t="shared" si="156"/>
        <v>1</v>
      </c>
      <c r="F1216" s="52"/>
      <c r="G1216" s="52"/>
      <c r="H1216" s="52"/>
      <c r="I1216" s="52"/>
      <c r="J1216" s="52"/>
      <c r="K1216" s="52"/>
      <c r="L1216" s="52"/>
      <c r="M1216" s="52"/>
      <c r="N1216" s="52"/>
      <c r="O1216" s="52"/>
      <c r="P1216" s="52"/>
      <c r="Q1216" s="52"/>
      <c r="R1216" s="52"/>
      <c r="S1216" s="52"/>
      <c r="T1216" s="52"/>
      <c r="U1216" s="52"/>
      <c r="V1216" s="52"/>
      <c r="W1216" s="52"/>
      <c r="X1216" s="52"/>
      <c r="Y1216" s="52"/>
      <c r="Z1216" s="52"/>
      <c r="AA1216" s="52"/>
      <c r="AB1216" s="52"/>
      <c r="AC1216" s="52"/>
      <c r="AD1216" s="52"/>
      <c r="AE1216" s="52"/>
      <c r="AF1216" s="52"/>
      <c r="AG1216" s="52"/>
      <c r="AH1216" s="52"/>
      <c r="AI1216" s="52"/>
      <c r="AJ1216" s="52"/>
      <c r="AK1216" s="52"/>
      <c r="AL1216" s="52"/>
      <c r="AM1216" s="52"/>
      <c r="AN1216" s="52"/>
    </row>
    <row r="1217" spans="1:40" x14ac:dyDescent="0.3">
      <c r="A1217" s="52">
        <v>1212</v>
      </c>
      <c r="B1217" s="52">
        <f>-bthan*500+(11+0.5)*bthan*1000/50</f>
        <v>-1485</v>
      </c>
      <c r="C1217" s="52">
        <f t="shared" si="158"/>
        <v>-310</v>
      </c>
      <c r="D1217" s="52">
        <f t="shared" si="155"/>
        <v>2200</v>
      </c>
      <c r="E1217" s="52">
        <f t="shared" si="156"/>
        <v>1</v>
      </c>
      <c r="F1217" s="52"/>
      <c r="G1217" s="52"/>
      <c r="H1217" s="52"/>
      <c r="I1217" s="52"/>
      <c r="J1217" s="52"/>
      <c r="K1217" s="52"/>
      <c r="L1217" s="52"/>
      <c r="M1217" s="52"/>
      <c r="N1217" s="52"/>
      <c r="O1217" s="52"/>
      <c r="P1217" s="52"/>
      <c r="Q1217" s="52"/>
      <c r="R1217" s="52"/>
      <c r="S1217" s="52"/>
      <c r="T1217" s="52"/>
      <c r="U1217" s="52"/>
      <c r="V1217" s="52"/>
      <c r="W1217" s="52"/>
      <c r="X1217" s="52"/>
      <c r="Y1217" s="52"/>
      <c r="Z1217" s="52"/>
      <c r="AA1217" s="52"/>
      <c r="AB1217" s="52"/>
      <c r="AC1217" s="52"/>
      <c r="AD1217" s="52"/>
      <c r="AE1217" s="52"/>
      <c r="AF1217" s="52"/>
      <c r="AG1217" s="52"/>
      <c r="AH1217" s="52"/>
      <c r="AI1217" s="52"/>
      <c r="AJ1217" s="52"/>
      <c r="AK1217" s="52"/>
      <c r="AL1217" s="52"/>
      <c r="AM1217" s="52"/>
      <c r="AN1217" s="52"/>
    </row>
    <row r="1218" spans="1:40" x14ac:dyDescent="0.3">
      <c r="A1218" s="52">
        <v>1213</v>
      </c>
      <c r="B1218" s="52">
        <f>-bthan*500+(12+0.5)*bthan*1000/50</f>
        <v>-1375</v>
      </c>
      <c r="C1218" s="52">
        <f t="shared" si="158"/>
        <v>-310</v>
      </c>
      <c r="D1218" s="52">
        <f t="shared" si="155"/>
        <v>2200</v>
      </c>
      <c r="E1218" s="52">
        <f t="shared" si="156"/>
        <v>1</v>
      </c>
      <c r="F1218" s="52"/>
      <c r="G1218" s="52"/>
      <c r="H1218" s="52"/>
      <c r="I1218" s="52"/>
      <c r="J1218" s="52"/>
      <c r="K1218" s="52"/>
      <c r="L1218" s="52"/>
      <c r="M1218" s="52"/>
      <c r="N1218" s="52"/>
      <c r="O1218" s="52"/>
      <c r="P1218" s="52"/>
      <c r="Q1218" s="52"/>
      <c r="R1218" s="52"/>
      <c r="S1218" s="52"/>
      <c r="T1218" s="52"/>
      <c r="U1218" s="52"/>
      <c r="V1218" s="52"/>
      <c r="W1218" s="52"/>
      <c r="X1218" s="52"/>
      <c r="Y1218" s="52"/>
      <c r="Z1218" s="52"/>
      <c r="AA1218" s="52"/>
      <c r="AB1218" s="52"/>
      <c r="AC1218" s="52"/>
      <c r="AD1218" s="52"/>
      <c r="AE1218" s="52"/>
      <c r="AF1218" s="52"/>
      <c r="AG1218" s="52"/>
      <c r="AH1218" s="52"/>
      <c r="AI1218" s="52"/>
      <c r="AJ1218" s="52"/>
      <c r="AK1218" s="52"/>
      <c r="AL1218" s="52"/>
      <c r="AM1218" s="52"/>
      <c r="AN1218" s="52"/>
    </row>
    <row r="1219" spans="1:40" x14ac:dyDescent="0.3">
      <c r="A1219" s="52">
        <v>1214</v>
      </c>
      <c r="B1219" s="52">
        <f>-bthan*500+(13+0.5)*bthan*1000/50</f>
        <v>-1265</v>
      </c>
      <c r="C1219" s="52">
        <f t="shared" si="158"/>
        <v>-310</v>
      </c>
      <c r="D1219" s="52">
        <f t="shared" si="155"/>
        <v>2200</v>
      </c>
      <c r="E1219" s="52">
        <f t="shared" si="156"/>
        <v>1</v>
      </c>
      <c r="F1219" s="52"/>
      <c r="G1219" s="52"/>
      <c r="H1219" s="52"/>
      <c r="I1219" s="52"/>
      <c r="J1219" s="52"/>
      <c r="K1219" s="52"/>
      <c r="L1219" s="52"/>
      <c r="M1219" s="52"/>
      <c r="N1219" s="52"/>
      <c r="O1219" s="52"/>
      <c r="P1219" s="52"/>
      <c r="Q1219" s="52"/>
      <c r="R1219" s="52"/>
      <c r="S1219" s="52"/>
      <c r="T1219" s="52"/>
      <c r="U1219" s="52"/>
      <c r="V1219" s="52"/>
      <c r="W1219" s="52"/>
      <c r="X1219" s="52"/>
      <c r="Y1219" s="52"/>
      <c r="Z1219" s="52"/>
      <c r="AA1219" s="52"/>
      <c r="AB1219" s="52"/>
      <c r="AC1219" s="52"/>
      <c r="AD1219" s="52"/>
      <c r="AE1219" s="52"/>
      <c r="AF1219" s="52"/>
      <c r="AG1219" s="52"/>
      <c r="AH1219" s="52"/>
      <c r="AI1219" s="52"/>
      <c r="AJ1219" s="52"/>
      <c r="AK1219" s="52"/>
      <c r="AL1219" s="52"/>
      <c r="AM1219" s="52"/>
      <c r="AN1219" s="52"/>
    </row>
    <row r="1220" spans="1:40" x14ac:dyDescent="0.3">
      <c r="A1220" s="52">
        <v>1215</v>
      </c>
      <c r="B1220" s="52">
        <f>-bthan*500+(14+0.5)*bthan*1000/50</f>
        <v>-1155</v>
      </c>
      <c r="C1220" s="52">
        <f t="shared" si="158"/>
        <v>-310</v>
      </c>
      <c r="D1220" s="52">
        <f t="shared" si="155"/>
        <v>2200</v>
      </c>
      <c r="E1220" s="52">
        <f t="shared" si="156"/>
        <v>1</v>
      </c>
      <c r="F1220" s="52"/>
      <c r="G1220" s="52"/>
      <c r="H1220" s="52"/>
      <c r="I1220" s="52"/>
      <c r="J1220" s="52"/>
      <c r="K1220" s="52"/>
      <c r="L1220" s="52"/>
      <c r="M1220" s="52"/>
      <c r="N1220" s="52"/>
      <c r="O1220" s="52"/>
      <c r="P1220" s="52"/>
      <c r="Q1220" s="52"/>
      <c r="R1220" s="52"/>
      <c r="S1220" s="52"/>
      <c r="T1220" s="52"/>
      <c r="U1220" s="52"/>
      <c r="V1220" s="52"/>
      <c r="W1220" s="52"/>
      <c r="X1220" s="52"/>
      <c r="Y1220" s="52"/>
      <c r="Z1220" s="52"/>
      <c r="AA1220" s="52"/>
      <c r="AB1220" s="52"/>
      <c r="AC1220" s="52"/>
      <c r="AD1220" s="52"/>
      <c r="AE1220" s="52"/>
      <c r="AF1220" s="52"/>
      <c r="AG1220" s="52"/>
      <c r="AH1220" s="52"/>
      <c r="AI1220" s="52"/>
      <c r="AJ1220" s="52"/>
      <c r="AK1220" s="52"/>
      <c r="AL1220" s="52"/>
      <c r="AM1220" s="52"/>
      <c r="AN1220" s="52"/>
    </row>
    <row r="1221" spans="1:40" x14ac:dyDescent="0.3">
      <c r="A1221" s="52">
        <v>1216</v>
      </c>
      <c r="B1221" s="52">
        <f>-bthan*500+(15+0.5)*bthan*1000/50</f>
        <v>-1045</v>
      </c>
      <c r="C1221" s="52">
        <f t="shared" si="158"/>
        <v>-310</v>
      </c>
      <c r="D1221" s="52">
        <f t="shared" si="155"/>
        <v>2200</v>
      </c>
      <c r="E1221" s="52">
        <f t="shared" si="156"/>
        <v>1</v>
      </c>
      <c r="F1221" s="52"/>
      <c r="G1221" s="52"/>
      <c r="H1221" s="52"/>
      <c r="I1221" s="52"/>
      <c r="J1221" s="52"/>
      <c r="K1221" s="52"/>
      <c r="L1221" s="52"/>
      <c r="M1221" s="52"/>
      <c r="N1221" s="52"/>
      <c r="O1221" s="52"/>
      <c r="P1221" s="52"/>
      <c r="Q1221" s="52"/>
      <c r="R1221" s="52"/>
      <c r="S1221" s="52"/>
      <c r="T1221" s="52"/>
      <c r="U1221" s="52"/>
      <c r="V1221" s="52"/>
      <c r="W1221" s="52"/>
      <c r="X1221" s="52"/>
      <c r="Y1221" s="52"/>
      <c r="Z1221" s="52"/>
      <c r="AA1221" s="52"/>
      <c r="AB1221" s="52"/>
      <c r="AC1221" s="52"/>
      <c r="AD1221" s="52"/>
      <c r="AE1221" s="52"/>
      <c r="AF1221" s="52"/>
      <c r="AG1221" s="52"/>
      <c r="AH1221" s="52"/>
      <c r="AI1221" s="52"/>
      <c r="AJ1221" s="52"/>
      <c r="AK1221" s="52"/>
      <c r="AL1221" s="52"/>
      <c r="AM1221" s="52"/>
      <c r="AN1221" s="52"/>
    </row>
    <row r="1222" spans="1:40" x14ac:dyDescent="0.3">
      <c r="A1222" s="52">
        <v>1217</v>
      </c>
      <c r="B1222" s="52">
        <f>-bthan*500+(16+0.5)*bthan*1000/50</f>
        <v>-935</v>
      </c>
      <c r="C1222" s="52">
        <f t="shared" si="158"/>
        <v>-310</v>
      </c>
      <c r="D1222" s="52">
        <f t="shared" ref="D1222:D1285" si="159">bthan*1000/50*hthan*1000/80</f>
        <v>2200</v>
      </c>
      <c r="E1222" s="52">
        <f t="shared" ref="E1222:E1285" si="160">IF(shp=1,--(OR(ABS(B1222)&lt;=MAX(0,(bthan-hthan)*500),(ABS(B1222)-MAX(0,(bthan-hthan)*500))^2+C1222^2&lt;=(hthan*500)^2)),--(AND(ABS(B1222)&lt;=bthan*500,ABS(C1222)&lt;=hthan*500,OR(ABS(B1222)&lt;=bthan*500-cch*1000,ABS(C1222)&lt;=hthan*500-cch*1000,(bthan*500-ABS(B1222))+(hthan*500-ABS(C1222))&gt;=cch*1000))))</f>
        <v>1</v>
      </c>
      <c r="F1222" s="52"/>
      <c r="G1222" s="52"/>
      <c r="H1222" s="52"/>
      <c r="I1222" s="52"/>
      <c r="J1222" s="52"/>
      <c r="K1222" s="52"/>
      <c r="L1222" s="52"/>
      <c r="M1222" s="52"/>
      <c r="N1222" s="52"/>
      <c r="O1222" s="52"/>
      <c r="P1222" s="52"/>
      <c r="Q1222" s="52"/>
      <c r="R1222" s="52"/>
      <c r="S1222" s="52"/>
      <c r="T1222" s="52"/>
      <c r="U1222" s="52"/>
      <c r="V1222" s="52"/>
      <c r="W1222" s="52"/>
      <c r="X1222" s="52"/>
      <c r="Y1222" s="52"/>
      <c r="Z1222" s="52"/>
      <c r="AA1222" s="52"/>
      <c r="AB1222" s="52"/>
      <c r="AC1222" s="52"/>
      <c r="AD1222" s="52"/>
      <c r="AE1222" s="52"/>
      <c r="AF1222" s="52"/>
      <c r="AG1222" s="52"/>
      <c r="AH1222" s="52"/>
      <c r="AI1222" s="52"/>
      <c r="AJ1222" s="52"/>
      <c r="AK1222" s="52"/>
      <c r="AL1222" s="52"/>
      <c r="AM1222" s="52"/>
      <c r="AN1222" s="52"/>
    </row>
    <row r="1223" spans="1:40" x14ac:dyDescent="0.3">
      <c r="A1223" s="52">
        <v>1218</v>
      </c>
      <c r="B1223" s="52">
        <f>-bthan*500+(17+0.5)*bthan*1000/50</f>
        <v>-825</v>
      </c>
      <c r="C1223" s="52">
        <f t="shared" si="158"/>
        <v>-310</v>
      </c>
      <c r="D1223" s="52">
        <f t="shared" si="159"/>
        <v>2200</v>
      </c>
      <c r="E1223" s="52">
        <f t="shared" si="160"/>
        <v>1</v>
      </c>
      <c r="F1223" s="52"/>
      <c r="G1223" s="52"/>
      <c r="H1223" s="52"/>
      <c r="I1223" s="52"/>
      <c r="J1223" s="52"/>
      <c r="K1223" s="52"/>
      <c r="L1223" s="52"/>
      <c r="M1223" s="52"/>
      <c r="N1223" s="52"/>
      <c r="O1223" s="52"/>
      <c r="P1223" s="52"/>
      <c r="Q1223" s="52"/>
      <c r="R1223" s="52"/>
      <c r="S1223" s="52"/>
      <c r="T1223" s="52"/>
      <c r="U1223" s="52"/>
      <c r="V1223" s="52"/>
      <c r="W1223" s="52"/>
      <c r="X1223" s="52"/>
      <c r="Y1223" s="52"/>
      <c r="Z1223" s="52"/>
      <c r="AA1223" s="52"/>
      <c r="AB1223" s="52"/>
      <c r="AC1223" s="52"/>
      <c r="AD1223" s="52"/>
      <c r="AE1223" s="52"/>
      <c r="AF1223" s="52"/>
      <c r="AG1223" s="52"/>
      <c r="AH1223" s="52"/>
      <c r="AI1223" s="52"/>
      <c r="AJ1223" s="52"/>
      <c r="AK1223" s="52"/>
      <c r="AL1223" s="52"/>
      <c r="AM1223" s="52"/>
      <c r="AN1223" s="52"/>
    </row>
    <row r="1224" spans="1:40" x14ac:dyDescent="0.3">
      <c r="A1224" s="52">
        <v>1219</v>
      </c>
      <c r="B1224" s="52">
        <f>-bthan*500+(18+0.5)*bthan*1000/50</f>
        <v>-715</v>
      </c>
      <c r="C1224" s="52">
        <f t="shared" si="158"/>
        <v>-310</v>
      </c>
      <c r="D1224" s="52">
        <f t="shared" si="159"/>
        <v>2200</v>
      </c>
      <c r="E1224" s="52">
        <f t="shared" si="160"/>
        <v>1</v>
      </c>
      <c r="F1224" s="52"/>
      <c r="G1224" s="52"/>
      <c r="H1224" s="52"/>
      <c r="I1224" s="52"/>
      <c r="J1224" s="52"/>
      <c r="K1224" s="52"/>
      <c r="L1224" s="52"/>
      <c r="M1224" s="52"/>
      <c r="N1224" s="52"/>
      <c r="O1224" s="52"/>
      <c r="P1224" s="52"/>
      <c r="Q1224" s="52"/>
      <c r="R1224" s="52"/>
      <c r="S1224" s="52"/>
      <c r="T1224" s="52"/>
      <c r="U1224" s="52"/>
      <c r="V1224" s="52"/>
      <c r="W1224" s="52"/>
      <c r="X1224" s="52"/>
      <c r="Y1224" s="52"/>
      <c r="Z1224" s="52"/>
      <c r="AA1224" s="52"/>
      <c r="AB1224" s="52"/>
      <c r="AC1224" s="52"/>
      <c r="AD1224" s="52"/>
      <c r="AE1224" s="52"/>
      <c r="AF1224" s="52"/>
      <c r="AG1224" s="52"/>
      <c r="AH1224" s="52"/>
      <c r="AI1224" s="52"/>
      <c r="AJ1224" s="52"/>
      <c r="AK1224" s="52"/>
      <c r="AL1224" s="52"/>
      <c r="AM1224" s="52"/>
      <c r="AN1224" s="52"/>
    </row>
    <row r="1225" spans="1:40" x14ac:dyDescent="0.3">
      <c r="A1225" s="52">
        <v>1220</v>
      </c>
      <c r="B1225" s="52">
        <f>-bthan*500+(19+0.5)*bthan*1000/50</f>
        <v>-605</v>
      </c>
      <c r="C1225" s="52">
        <f t="shared" si="158"/>
        <v>-310</v>
      </c>
      <c r="D1225" s="52">
        <f t="shared" si="159"/>
        <v>2200</v>
      </c>
      <c r="E1225" s="52">
        <f t="shared" si="160"/>
        <v>1</v>
      </c>
      <c r="F1225" s="52"/>
      <c r="G1225" s="52"/>
      <c r="H1225" s="52"/>
      <c r="I1225" s="52"/>
      <c r="J1225" s="52"/>
      <c r="K1225" s="52"/>
      <c r="L1225" s="52"/>
      <c r="M1225" s="52"/>
      <c r="N1225" s="52"/>
      <c r="O1225" s="52"/>
      <c r="P1225" s="52"/>
      <c r="Q1225" s="52"/>
      <c r="R1225" s="52"/>
      <c r="S1225" s="52"/>
      <c r="T1225" s="52"/>
      <c r="U1225" s="52"/>
      <c r="V1225" s="52"/>
      <c r="W1225" s="52"/>
      <c r="X1225" s="52"/>
      <c r="Y1225" s="52"/>
      <c r="Z1225" s="52"/>
      <c r="AA1225" s="52"/>
      <c r="AB1225" s="52"/>
      <c r="AC1225" s="52"/>
      <c r="AD1225" s="52"/>
      <c r="AE1225" s="52"/>
      <c r="AF1225" s="52"/>
      <c r="AG1225" s="52"/>
      <c r="AH1225" s="52"/>
      <c r="AI1225" s="52"/>
      <c r="AJ1225" s="52"/>
      <c r="AK1225" s="52"/>
      <c r="AL1225" s="52"/>
      <c r="AM1225" s="52"/>
      <c r="AN1225" s="52"/>
    </row>
    <row r="1226" spans="1:40" x14ac:dyDescent="0.3">
      <c r="A1226" s="52">
        <v>1221</v>
      </c>
      <c r="B1226" s="52">
        <f>-bthan*500+(20+0.5)*bthan*1000/50</f>
        <v>-495</v>
      </c>
      <c r="C1226" s="52">
        <f t="shared" si="158"/>
        <v>-310</v>
      </c>
      <c r="D1226" s="52">
        <f t="shared" si="159"/>
        <v>2200</v>
      </c>
      <c r="E1226" s="52">
        <f t="shared" si="160"/>
        <v>1</v>
      </c>
      <c r="F1226" s="52"/>
      <c r="G1226" s="52"/>
      <c r="H1226" s="52"/>
      <c r="I1226" s="52"/>
      <c r="J1226" s="52"/>
      <c r="K1226" s="52"/>
      <c r="L1226" s="52"/>
      <c r="M1226" s="52"/>
      <c r="N1226" s="52"/>
      <c r="O1226" s="52"/>
      <c r="P1226" s="52"/>
      <c r="Q1226" s="52"/>
      <c r="R1226" s="52"/>
      <c r="S1226" s="52"/>
      <c r="T1226" s="52"/>
      <c r="U1226" s="52"/>
      <c r="V1226" s="52"/>
      <c r="W1226" s="52"/>
      <c r="X1226" s="52"/>
      <c r="Y1226" s="52"/>
      <c r="Z1226" s="52"/>
      <c r="AA1226" s="52"/>
      <c r="AB1226" s="52"/>
      <c r="AC1226" s="52"/>
      <c r="AD1226" s="52"/>
      <c r="AE1226" s="52"/>
      <c r="AF1226" s="52"/>
      <c r="AG1226" s="52"/>
      <c r="AH1226" s="52"/>
      <c r="AI1226" s="52"/>
      <c r="AJ1226" s="52"/>
      <c r="AK1226" s="52"/>
      <c r="AL1226" s="52"/>
      <c r="AM1226" s="52"/>
      <c r="AN1226" s="52"/>
    </row>
    <row r="1227" spans="1:40" x14ac:dyDescent="0.3">
      <c r="A1227" s="52">
        <v>1222</v>
      </c>
      <c r="B1227" s="52">
        <f>-bthan*500+(21+0.5)*bthan*1000/50</f>
        <v>-385</v>
      </c>
      <c r="C1227" s="52">
        <f t="shared" si="158"/>
        <v>-310</v>
      </c>
      <c r="D1227" s="52">
        <f t="shared" si="159"/>
        <v>2200</v>
      </c>
      <c r="E1227" s="52">
        <f t="shared" si="160"/>
        <v>1</v>
      </c>
      <c r="F1227" s="52"/>
      <c r="G1227" s="52"/>
      <c r="H1227" s="52"/>
      <c r="I1227" s="52"/>
      <c r="J1227" s="52"/>
      <c r="K1227" s="52"/>
      <c r="L1227" s="52"/>
      <c r="M1227" s="52"/>
      <c r="N1227" s="52"/>
      <c r="O1227" s="52"/>
      <c r="P1227" s="52"/>
      <c r="Q1227" s="52"/>
      <c r="R1227" s="52"/>
      <c r="S1227" s="52"/>
      <c r="T1227" s="52"/>
      <c r="U1227" s="52"/>
      <c r="V1227" s="52"/>
      <c r="W1227" s="52"/>
      <c r="X1227" s="52"/>
      <c r="Y1227" s="52"/>
      <c r="Z1227" s="52"/>
      <c r="AA1227" s="52"/>
      <c r="AB1227" s="52"/>
      <c r="AC1227" s="52"/>
      <c r="AD1227" s="52"/>
      <c r="AE1227" s="52"/>
      <c r="AF1227" s="52"/>
      <c r="AG1227" s="52"/>
      <c r="AH1227" s="52"/>
      <c r="AI1227" s="52"/>
      <c r="AJ1227" s="52"/>
      <c r="AK1227" s="52"/>
      <c r="AL1227" s="52"/>
      <c r="AM1227" s="52"/>
      <c r="AN1227" s="52"/>
    </row>
    <row r="1228" spans="1:40" x14ac:dyDescent="0.3">
      <c r="A1228" s="52">
        <v>1223</v>
      </c>
      <c r="B1228" s="52">
        <f>-bthan*500+(22+0.5)*bthan*1000/50</f>
        <v>-275</v>
      </c>
      <c r="C1228" s="52">
        <f t="shared" si="158"/>
        <v>-310</v>
      </c>
      <c r="D1228" s="52">
        <f t="shared" si="159"/>
        <v>2200</v>
      </c>
      <c r="E1228" s="52">
        <f t="shared" si="160"/>
        <v>1</v>
      </c>
      <c r="F1228" s="52"/>
      <c r="G1228" s="52"/>
      <c r="H1228" s="52"/>
      <c r="I1228" s="52"/>
      <c r="J1228" s="52"/>
      <c r="K1228" s="52"/>
      <c r="L1228" s="52"/>
      <c r="M1228" s="52"/>
      <c r="N1228" s="52"/>
      <c r="O1228" s="52"/>
      <c r="P1228" s="52"/>
      <c r="Q1228" s="52"/>
      <c r="R1228" s="52"/>
      <c r="S1228" s="52"/>
      <c r="T1228" s="52"/>
      <c r="U1228" s="52"/>
      <c r="V1228" s="52"/>
      <c r="W1228" s="52"/>
      <c r="X1228" s="52"/>
      <c r="Y1228" s="52"/>
      <c r="Z1228" s="52"/>
      <c r="AA1228" s="52"/>
      <c r="AB1228" s="52"/>
      <c r="AC1228" s="52"/>
      <c r="AD1228" s="52"/>
      <c r="AE1228" s="52"/>
      <c r="AF1228" s="52"/>
      <c r="AG1228" s="52"/>
      <c r="AH1228" s="52"/>
      <c r="AI1228" s="52"/>
      <c r="AJ1228" s="52"/>
      <c r="AK1228" s="52"/>
      <c r="AL1228" s="52"/>
      <c r="AM1228" s="52"/>
      <c r="AN1228" s="52"/>
    </row>
    <row r="1229" spans="1:40" x14ac:dyDescent="0.3">
      <c r="A1229" s="52">
        <v>1224</v>
      </c>
      <c r="B1229" s="52">
        <f>-bthan*500+(23+0.5)*bthan*1000/50</f>
        <v>-165</v>
      </c>
      <c r="C1229" s="52">
        <f t="shared" si="158"/>
        <v>-310</v>
      </c>
      <c r="D1229" s="52">
        <f t="shared" si="159"/>
        <v>2200</v>
      </c>
      <c r="E1229" s="52">
        <f t="shared" si="160"/>
        <v>1</v>
      </c>
      <c r="F1229" s="52"/>
      <c r="G1229" s="52"/>
      <c r="H1229" s="52"/>
      <c r="I1229" s="52"/>
      <c r="J1229" s="52"/>
      <c r="K1229" s="52"/>
      <c r="L1229" s="52"/>
      <c r="M1229" s="52"/>
      <c r="N1229" s="52"/>
      <c r="O1229" s="52"/>
      <c r="P1229" s="52"/>
      <c r="Q1229" s="52"/>
      <c r="R1229" s="52"/>
      <c r="S1229" s="52"/>
      <c r="T1229" s="52"/>
      <c r="U1229" s="52"/>
      <c r="V1229" s="52"/>
      <c r="W1229" s="52"/>
      <c r="X1229" s="52"/>
      <c r="Y1229" s="52"/>
      <c r="Z1229" s="52"/>
      <c r="AA1229" s="52"/>
      <c r="AB1229" s="52"/>
      <c r="AC1229" s="52"/>
      <c r="AD1229" s="52"/>
      <c r="AE1229" s="52"/>
      <c r="AF1229" s="52"/>
      <c r="AG1229" s="52"/>
      <c r="AH1229" s="52"/>
      <c r="AI1229" s="52"/>
      <c r="AJ1229" s="52"/>
      <c r="AK1229" s="52"/>
      <c r="AL1229" s="52"/>
      <c r="AM1229" s="52"/>
      <c r="AN1229" s="52"/>
    </row>
    <row r="1230" spans="1:40" x14ac:dyDescent="0.3">
      <c r="A1230" s="52">
        <v>1225</v>
      </c>
      <c r="B1230" s="52">
        <f>-bthan*500+(24+0.5)*bthan*1000/50</f>
        <v>-55</v>
      </c>
      <c r="C1230" s="52">
        <f t="shared" si="158"/>
        <v>-310</v>
      </c>
      <c r="D1230" s="52">
        <f t="shared" si="159"/>
        <v>2200</v>
      </c>
      <c r="E1230" s="52">
        <f t="shared" si="160"/>
        <v>1</v>
      </c>
      <c r="F1230" s="52"/>
      <c r="G1230" s="52"/>
      <c r="H1230" s="52"/>
      <c r="I1230" s="52"/>
      <c r="J1230" s="52"/>
      <c r="K1230" s="52"/>
      <c r="L1230" s="52"/>
      <c r="M1230" s="52"/>
      <c r="N1230" s="52"/>
      <c r="O1230" s="52"/>
      <c r="P1230" s="52"/>
      <c r="Q1230" s="52"/>
      <c r="R1230" s="52"/>
      <c r="S1230" s="52"/>
      <c r="T1230" s="52"/>
      <c r="U1230" s="52"/>
      <c r="V1230" s="52"/>
      <c r="W1230" s="52"/>
      <c r="X1230" s="52"/>
      <c r="Y1230" s="52"/>
      <c r="Z1230" s="52"/>
      <c r="AA1230" s="52"/>
      <c r="AB1230" s="52"/>
      <c r="AC1230" s="52"/>
      <c r="AD1230" s="52"/>
      <c r="AE1230" s="52"/>
      <c r="AF1230" s="52"/>
      <c r="AG1230" s="52"/>
      <c r="AH1230" s="52"/>
      <c r="AI1230" s="52"/>
      <c r="AJ1230" s="52"/>
      <c r="AK1230" s="52"/>
      <c r="AL1230" s="52"/>
      <c r="AM1230" s="52"/>
      <c r="AN1230" s="52"/>
    </row>
    <row r="1231" spans="1:40" x14ac:dyDescent="0.3">
      <c r="A1231" s="52">
        <v>1226</v>
      </c>
      <c r="B1231" s="52">
        <f>-bthan*500+(25+0.5)*bthan*1000/50</f>
        <v>55</v>
      </c>
      <c r="C1231" s="52">
        <f t="shared" si="158"/>
        <v>-310</v>
      </c>
      <c r="D1231" s="52">
        <f t="shared" si="159"/>
        <v>2200</v>
      </c>
      <c r="E1231" s="52">
        <f t="shared" si="160"/>
        <v>1</v>
      </c>
      <c r="F1231" s="52"/>
      <c r="G1231" s="52"/>
      <c r="H1231" s="52"/>
      <c r="I1231" s="52"/>
      <c r="J1231" s="52"/>
      <c r="K1231" s="52"/>
      <c r="L1231" s="52"/>
      <c r="M1231" s="52"/>
      <c r="N1231" s="52"/>
      <c r="O1231" s="52"/>
      <c r="P1231" s="52"/>
      <c r="Q1231" s="52"/>
      <c r="R1231" s="52"/>
      <c r="S1231" s="52"/>
      <c r="T1231" s="52"/>
      <c r="U1231" s="52"/>
      <c r="V1231" s="52"/>
      <c r="W1231" s="52"/>
      <c r="X1231" s="52"/>
      <c r="Y1231" s="52"/>
      <c r="Z1231" s="52"/>
      <c r="AA1231" s="52"/>
      <c r="AB1231" s="52"/>
      <c r="AC1231" s="52"/>
      <c r="AD1231" s="52"/>
      <c r="AE1231" s="52"/>
      <c r="AF1231" s="52"/>
      <c r="AG1231" s="52"/>
      <c r="AH1231" s="52"/>
      <c r="AI1231" s="52"/>
      <c r="AJ1231" s="52"/>
      <c r="AK1231" s="52"/>
      <c r="AL1231" s="52"/>
      <c r="AM1231" s="52"/>
      <c r="AN1231" s="52"/>
    </row>
    <row r="1232" spans="1:40" x14ac:dyDescent="0.3">
      <c r="A1232" s="52">
        <v>1227</v>
      </c>
      <c r="B1232" s="52">
        <f>-bthan*500+(26+0.5)*bthan*1000/50</f>
        <v>165</v>
      </c>
      <c r="C1232" s="52">
        <f t="shared" si="158"/>
        <v>-310</v>
      </c>
      <c r="D1232" s="52">
        <f t="shared" si="159"/>
        <v>2200</v>
      </c>
      <c r="E1232" s="52">
        <f t="shared" si="160"/>
        <v>1</v>
      </c>
      <c r="F1232" s="52"/>
      <c r="G1232" s="52"/>
      <c r="H1232" s="52"/>
      <c r="I1232" s="52"/>
      <c r="J1232" s="52"/>
      <c r="K1232" s="52"/>
      <c r="L1232" s="52"/>
      <c r="M1232" s="52"/>
      <c r="N1232" s="52"/>
      <c r="O1232" s="52"/>
      <c r="P1232" s="52"/>
      <c r="Q1232" s="52"/>
      <c r="R1232" s="52"/>
      <c r="S1232" s="52"/>
      <c r="T1232" s="52"/>
      <c r="U1232" s="52"/>
      <c r="V1232" s="52"/>
      <c r="W1232" s="52"/>
      <c r="X1232" s="52"/>
      <c r="Y1232" s="52"/>
      <c r="Z1232" s="52"/>
      <c r="AA1232" s="52"/>
      <c r="AB1232" s="52"/>
      <c r="AC1232" s="52"/>
      <c r="AD1232" s="52"/>
      <c r="AE1232" s="52"/>
      <c r="AF1232" s="52"/>
      <c r="AG1232" s="52"/>
      <c r="AH1232" s="52"/>
      <c r="AI1232" s="52"/>
      <c r="AJ1232" s="52"/>
      <c r="AK1232" s="52"/>
      <c r="AL1232" s="52"/>
      <c r="AM1232" s="52"/>
      <c r="AN1232" s="52"/>
    </row>
    <row r="1233" spans="1:40" x14ac:dyDescent="0.3">
      <c r="A1233" s="52">
        <v>1228</v>
      </c>
      <c r="B1233" s="52">
        <f>-bthan*500+(27+0.5)*bthan*1000/50</f>
        <v>275</v>
      </c>
      <c r="C1233" s="52">
        <f t="shared" si="158"/>
        <v>-310</v>
      </c>
      <c r="D1233" s="52">
        <f t="shared" si="159"/>
        <v>2200</v>
      </c>
      <c r="E1233" s="52">
        <f t="shared" si="160"/>
        <v>1</v>
      </c>
      <c r="F1233" s="52"/>
      <c r="G1233" s="52"/>
      <c r="H1233" s="52"/>
      <c r="I1233" s="52"/>
      <c r="J1233" s="52"/>
      <c r="K1233" s="52"/>
      <c r="L1233" s="52"/>
      <c r="M1233" s="52"/>
      <c r="N1233" s="52"/>
      <c r="O1233" s="52"/>
      <c r="P1233" s="52"/>
      <c r="Q1233" s="52"/>
      <c r="R1233" s="52"/>
      <c r="S1233" s="52"/>
      <c r="T1233" s="52"/>
      <c r="U1233" s="52"/>
      <c r="V1233" s="52"/>
      <c r="W1233" s="52"/>
      <c r="X1233" s="52"/>
      <c r="Y1233" s="52"/>
      <c r="Z1233" s="52"/>
      <c r="AA1233" s="52"/>
      <c r="AB1233" s="52"/>
      <c r="AC1233" s="52"/>
      <c r="AD1233" s="52"/>
      <c r="AE1233" s="52"/>
      <c r="AF1233" s="52"/>
      <c r="AG1233" s="52"/>
      <c r="AH1233" s="52"/>
      <c r="AI1233" s="52"/>
      <c r="AJ1233" s="52"/>
      <c r="AK1233" s="52"/>
      <c r="AL1233" s="52"/>
      <c r="AM1233" s="52"/>
      <c r="AN1233" s="52"/>
    </row>
    <row r="1234" spans="1:40" x14ac:dyDescent="0.3">
      <c r="A1234" s="52">
        <v>1229</v>
      </c>
      <c r="B1234" s="52">
        <f>-bthan*500+(28+0.5)*bthan*1000/50</f>
        <v>385</v>
      </c>
      <c r="C1234" s="52">
        <f t="shared" si="158"/>
        <v>-310</v>
      </c>
      <c r="D1234" s="52">
        <f t="shared" si="159"/>
        <v>2200</v>
      </c>
      <c r="E1234" s="52">
        <f t="shared" si="160"/>
        <v>1</v>
      </c>
      <c r="F1234" s="52"/>
      <c r="G1234" s="52"/>
      <c r="H1234" s="52"/>
      <c r="I1234" s="52"/>
      <c r="J1234" s="52"/>
      <c r="K1234" s="52"/>
      <c r="L1234" s="52"/>
      <c r="M1234" s="52"/>
      <c r="N1234" s="52"/>
      <c r="O1234" s="52"/>
      <c r="P1234" s="52"/>
      <c r="Q1234" s="52"/>
      <c r="R1234" s="52"/>
      <c r="S1234" s="52"/>
      <c r="T1234" s="52"/>
      <c r="U1234" s="52"/>
      <c r="V1234" s="52"/>
      <c r="W1234" s="52"/>
      <c r="X1234" s="52"/>
      <c r="Y1234" s="52"/>
      <c r="Z1234" s="52"/>
      <c r="AA1234" s="52"/>
      <c r="AB1234" s="52"/>
      <c r="AC1234" s="52"/>
      <c r="AD1234" s="52"/>
      <c r="AE1234" s="52"/>
      <c r="AF1234" s="52"/>
      <c r="AG1234" s="52"/>
      <c r="AH1234" s="52"/>
      <c r="AI1234" s="52"/>
      <c r="AJ1234" s="52"/>
      <c r="AK1234" s="52"/>
      <c r="AL1234" s="52"/>
      <c r="AM1234" s="52"/>
      <c r="AN1234" s="52"/>
    </row>
    <row r="1235" spans="1:40" x14ac:dyDescent="0.3">
      <c r="A1235" s="52">
        <v>1230</v>
      </c>
      <c r="B1235" s="52">
        <f>-bthan*500+(29+0.5)*bthan*1000/50</f>
        <v>495</v>
      </c>
      <c r="C1235" s="52">
        <f t="shared" si="158"/>
        <v>-310</v>
      </c>
      <c r="D1235" s="52">
        <f t="shared" si="159"/>
        <v>2200</v>
      </c>
      <c r="E1235" s="52">
        <f t="shared" si="160"/>
        <v>1</v>
      </c>
      <c r="F1235" s="52"/>
      <c r="G1235" s="52"/>
      <c r="H1235" s="52"/>
      <c r="I1235" s="52"/>
      <c r="J1235" s="52"/>
      <c r="K1235" s="52"/>
      <c r="L1235" s="52"/>
      <c r="M1235" s="52"/>
      <c r="N1235" s="52"/>
      <c r="O1235" s="52"/>
      <c r="P1235" s="52"/>
      <c r="Q1235" s="52"/>
      <c r="R1235" s="52"/>
      <c r="S1235" s="52"/>
      <c r="T1235" s="52"/>
      <c r="U1235" s="52"/>
      <c r="V1235" s="52"/>
      <c r="W1235" s="52"/>
      <c r="X1235" s="52"/>
      <c r="Y1235" s="52"/>
      <c r="Z1235" s="52"/>
      <c r="AA1235" s="52"/>
      <c r="AB1235" s="52"/>
      <c r="AC1235" s="52"/>
      <c r="AD1235" s="52"/>
      <c r="AE1235" s="52"/>
      <c r="AF1235" s="52"/>
      <c r="AG1235" s="52"/>
      <c r="AH1235" s="52"/>
      <c r="AI1235" s="52"/>
      <c r="AJ1235" s="52"/>
      <c r="AK1235" s="52"/>
      <c r="AL1235" s="52"/>
      <c r="AM1235" s="52"/>
      <c r="AN1235" s="52"/>
    </row>
    <row r="1236" spans="1:40" x14ac:dyDescent="0.3">
      <c r="A1236" s="52">
        <v>1231</v>
      </c>
      <c r="B1236" s="52">
        <f>-bthan*500+(30+0.5)*bthan*1000/50</f>
        <v>605</v>
      </c>
      <c r="C1236" s="52">
        <f t="shared" si="158"/>
        <v>-310</v>
      </c>
      <c r="D1236" s="52">
        <f t="shared" si="159"/>
        <v>2200</v>
      </c>
      <c r="E1236" s="52">
        <f t="shared" si="160"/>
        <v>1</v>
      </c>
      <c r="F1236" s="52"/>
      <c r="G1236" s="52"/>
      <c r="H1236" s="52"/>
      <c r="I1236" s="52"/>
      <c r="J1236" s="52"/>
      <c r="K1236" s="52"/>
      <c r="L1236" s="52"/>
      <c r="M1236" s="52"/>
      <c r="N1236" s="52"/>
      <c r="O1236" s="52"/>
      <c r="P1236" s="52"/>
      <c r="Q1236" s="52"/>
      <c r="R1236" s="52"/>
      <c r="S1236" s="52"/>
      <c r="T1236" s="52"/>
      <c r="U1236" s="52"/>
      <c r="V1236" s="52"/>
      <c r="W1236" s="52"/>
      <c r="X1236" s="52"/>
      <c r="Y1236" s="52"/>
      <c r="Z1236" s="52"/>
      <c r="AA1236" s="52"/>
      <c r="AB1236" s="52"/>
      <c r="AC1236" s="52"/>
      <c r="AD1236" s="52"/>
      <c r="AE1236" s="52"/>
      <c r="AF1236" s="52"/>
      <c r="AG1236" s="52"/>
      <c r="AH1236" s="52"/>
      <c r="AI1236" s="52"/>
      <c r="AJ1236" s="52"/>
      <c r="AK1236" s="52"/>
      <c r="AL1236" s="52"/>
      <c r="AM1236" s="52"/>
      <c r="AN1236" s="52"/>
    </row>
    <row r="1237" spans="1:40" x14ac:dyDescent="0.3">
      <c r="A1237" s="52">
        <v>1232</v>
      </c>
      <c r="B1237" s="52">
        <f>-bthan*500+(31+0.5)*bthan*1000/50</f>
        <v>715</v>
      </c>
      <c r="C1237" s="52">
        <f t="shared" si="158"/>
        <v>-310</v>
      </c>
      <c r="D1237" s="52">
        <f t="shared" si="159"/>
        <v>2200</v>
      </c>
      <c r="E1237" s="52">
        <f t="shared" si="160"/>
        <v>1</v>
      </c>
      <c r="F1237" s="52"/>
      <c r="G1237" s="52"/>
      <c r="H1237" s="52"/>
      <c r="I1237" s="52"/>
      <c r="J1237" s="52"/>
      <c r="K1237" s="52"/>
      <c r="L1237" s="52"/>
      <c r="M1237" s="52"/>
      <c r="N1237" s="52"/>
      <c r="O1237" s="52"/>
      <c r="P1237" s="52"/>
      <c r="Q1237" s="52"/>
      <c r="R1237" s="52"/>
      <c r="S1237" s="52"/>
      <c r="T1237" s="52"/>
      <c r="U1237" s="52"/>
      <c r="V1237" s="52"/>
      <c r="W1237" s="52"/>
      <c r="X1237" s="52"/>
      <c r="Y1237" s="52"/>
      <c r="Z1237" s="52"/>
      <c r="AA1237" s="52"/>
      <c r="AB1237" s="52"/>
      <c r="AC1237" s="52"/>
      <c r="AD1237" s="52"/>
      <c r="AE1237" s="52"/>
      <c r="AF1237" s="52"/>
      <c r="AG1237" s="52"/>
      <c r="AH1237" s="52"/>
      <c r="AI1237" s="52"/>
      <c r="AJ1237" s="52"/>
      <c r="AK1237" s="52"/>
      <c r="AL1237" s="52"/>
      <c r="AM1237" s="52"/>
      <c r="AN1237" s="52"/>
    </row>
    <row r="1238" spans="1:40" x14ac:dyDescent="0.3">
      <c r="A1238" s="52">
        <v>1233</v>
      </c>
      <c r="B1238" s="52">
        <f>-bthan*500+(32+0.5)*bthan*1000/50</f>
        <v>825</v>
      </c>
      <c r="C1238" s="52">
        <f t="shared" ref="C1238:C1255" si="161">-hthan*500+(24+0.5)*hthan*1000/80</f>
        <v>-310</v>
      </c>
      <c r="D1238" s="52">
        <f t="shared" si="159"/>
        <v>2200</v>
      </c>
      <c r="E1238" s="52">
        <f t="shared" si="160"/>
        <v>1</v>
      </c>
      <c r="F1238" s="52"/>
      <c r="G1238" s="52"/>
      <c r="H1238" s="52"/>
      <c r="I1238" s="52"/>
      <c r="J1238" s="52"/>
      <c r="K1238" s="52"/>
      <c r="L1238" s="52"/>
      <c r="M1238" s="52"/>
      <c r="N1238" s="52"/>
      <c r="O1238" s="52"/>
      <c r="P1238" s="52"/>
      <c r="Q1238" s="52"/>
      <c r="R1238" s="52"/>
      <c r="S1238" s="52"/>
      <c r="T1238" s="52"/>
      <c r="U1238" s="52"/>
      <c r="V1238" s="52"/>
      <c r="W1238" s="52"/>
      <c r="X1238" s="52"/>
      <c r="Y1238" s="52"/>
      <c r="Z1238" s="52"/>
      <c r="AA1238" s="52"/>
      <c r="AB1238" s="52"/>
      <c r="AC1238" s="52"/>
      <c r="AD1238" s="52"/>
      <c r="AE1238" s="52"/>
      <c r="AF1238" s="52"/>
      <c r="AG1238" s="52"/>
      <c r="AH1238" s="52"/>
      <c r="AI1238" s="52"/>
      <c r="AJ1238" s="52"/>
      <c r="AK1238" s="52"/>
      <c r="AL1238" s="52"/>
      <c r="AM1238" s="52"/>
      <c r="AN1238" s="52"/>
    </row>
    <row r="1239" spans="1:40" x14ac:dyDescent="0.3">
      <c r="A1239" s="52">
        <v>1234</v>
      </c>
      <c r="B1239" s="52">
        <f>-bthan*500+(33+0.5)*bthan*1000/50</f>
        <v>935</v>
      </c>
      <c r="C1239" s="52">
        <f t="shared" si="161"/>
        <v>-310</v>
      </c>
      <c r="D1239" s="52">
        <f t="shared" si="159"/>
        <v>2200</v>
      </c>
      <c r="E1239" s="52">
        <f t="shared" si="160"/>
        <v>1</v>
      </c>
      <c r="F1239" s="52"/>
      <c r="G1239" s="52"/>
      <c r="H1239" s="52"/>
      <c r="I1239" s="52"/>
      <c r="J1239" s="52"/>
      <c r="K1239" s="52"/>
      <c r="L1239" s="52"/>
      <c r="M1239" s="52"/>
      <c r="N1239" s="52"/>
      <c r="O1239" s="52"/>
      <c r="P1239" s="52"/>
      <c r="Q1239" s="52"/>
      <c r="R1239" s="52"/>
      <c r="S1239" s="52"/>
      <c r="T1239" s="52"/>
      <c r="U1239" s="52"/>
      <c r="V1239" s="52"/>
      <c r="W1239" s="52"/>
      <c r="X1239" s="52"/>
      <c r="Y1239" s="52"/>
      <c r="Z1239" s="52"/>
      <c r="AA1239" s="52"/>
      <c r="AB1239" s="52"/>
      <c r="AC1239" s="52"/>
      <c r="AD1239" s="52"/>
      <c r="AE1239" s="52"/>
      <c r="AF1239" s="52"/>
      <c r="AG1239" s="52"/>
      <c r="AH1239" s="52"/>
      <c r="AI1239" s="52"/>
      <c r="AJ1239" s="52"/>
      <c r="AK1239" s="52"/>
      <c r="AL1239" s="52"/>
      <c r="AM1239" s="52"/>
      <c r="AN1239" s="52"/>
    </row>
    <row r="1240" spans="1:40" x14ac:dyDescent="0.3">
      <c r="A1240" s="52">
        <v>1235</v>
      </c>
      <c r="B1240" s="52">
        <f>-bthan*500+(34+0.5)*bthan*1000/50</f>
        <v>1045</v>
      </c>
      <c r="C1240" s="52">
        <f t="shared" si="161"/>
        <v>-310</v>
      </c>
      <c r="D1240" s="52">
        <f t="shared" si="159"/>
        <v>2200</v>
      </c>
      <c r="E1240" s="52">
        <f t="shared" si="160"/>
        <v>1</v>
      </c>
      <c r="F1240" s="52"/>
      <c r="G1240" s="52"/>
      <c r="H1240" s="52"/>
      <c r="I1240" s="52"/>
      <c r="J1240" s="52"/>
      <c r="K1240" s="52"/>
      <c r="L1240" s="52"/>
      <c r="M1240" s="52"/>
      <c r="N1240" s="52"/>
      <c r="O1240" s="52"/>
      <c r="P1240" s="52"/>
      <c r="Q1240" s="52"/>
      <c r="R1240" s="52"/>
      <c r="S1240" s="52"/>
      <c r="T1240" s="52"/>
      <c r="U1240" s="52"/>
      <c r="V1240" s="52"/>
      <c r="W1240" s="52"/>
      <c r="X1240" s="52"/>
      <c r="Y1240" s="52"/>
      <c r="Z1240" s="52"/>
      <c r="AA1240" s="52"/>
      <c r="AB1240" s="52"/>
      <c r="AC1240" s="52"/>
      <c r="AD1240" s="52"/>
      <c r="AE1240" s="52"/>
      <c r="AF1240" s="52"/>
      <c r="AG1240" s="52"/>
      <c r="AH1240" s="52"/>
      <c r="AI1240" s="52"/>
      <c r="AJ1240" s="52"/>
      <c r="AK1240" s="52"/>
      <c r="AL1240" s="52"/>
      <c r="AM1240" s="52"/>
      <c r="AN1240" s="52"/>
    </row>
    <row r="1241" spans="1:40" x14ac:dyDescent="0.3">
      <c r="A1241" s="52">
        <v>1236</v>
      </c>
      <c r="B1241" s="52">
        <f>-bthan*500+(35+0.5)*bthan*1000/50</f>
        <v>1155</v>
      </c>
      <c r="C1241" s="52">
        <f t="shared" si="161"/>
        <v>-310</v>
      </c>
      <c r="D1241" s="52">
        <f t="shared" si="159"/>
        <v>2200</v>
      </c>
      <c r="E1241" s="52">
        <f t="shared" si="160"/>
        <v>1</v>
      </c>
      <c r="F1241" s="52"/>
      <c r="G1241" s="52"/>
      <c r="H1241" s="52"/>
      <c r="I1241" s="52"/>
      <c r="J1241" s="52"/>
      <c r="K1241" s="52"/>
      <c r="L1241" s="52"/>
      <c r="M1241" s="52"/>
      <c r="N1241" s="52"/>
      <c r="O1241" s="52"/>
      <c r="P1241" s="52"/>
      <c r="Q1241" s="52"/>
      <c r="R1241" s="52"/>
      <c r="S1241" s="52"/>
      <c r="T1241" s="52"/>
      <c r="U1241" s="52"/>
      <c r="V1241" s="52"/>
      <c r="W1241" s="52"/>
      <c r="X1241" s="52"/>
      <c r="Y1241" s="52"/>
      <c r="Z1241" s="52"/>
      <c r="AA1241" s="52"/>
      <c r="AB1241" s="52"/>
      <c r="AC1241" s="52"/>
      <c r="AD1241" s="52"/>
      <c r="AE1241" s="52"/>
      <c r="AF1241" s="52"/>
      <c r="AG1241" s="52"/>
      <c r="AH1241" s="52"/>
      <c r="AI1241" s="52"/>
      <c r="AJ1241" s="52"/>
      <c r="AK1241" s="52"/>
      <c r="AL1241" s="52"/>
      <c r="AM1241" s="52"/>
      <c r="AN1241" s="52"/>
    </row>
    <row r="1242" spans="1:40" x14ac:dyDescent="0.3">
      <c r="A1242" s="52">
        <v>1237</v>
      </c>
      <c r="B1242" s="52">
        <f>-bthan*500+(36+0.5)*bthan*1000/50</f>
        <v>1265</v>
      </c>
      <c r="C1242" s="52">
        <f t="shared" si="161"/>
        <v>-310</v>
      </c>
      <c r="D1242" s="52">
        <f t="shared" si="159"/>
        <v>2200</v>
      </c>
      <c r="E1242" s="52">
        <f t="shared" si="160"/>
        <v>1</v>
      </c>
      <c r="F1242" s="52"/>
      <c r="G1242" s="52"/>
      <c r="H1242" s="52"/>
      <c r="I1242" s="52"/>
      <c r="J1242" s="52"/>
      <c r="K1242" s="52"/>
      <c r="L1242" s="52"/>
      <c r="M1242" s="52"/>
      <c r="N1242" s="52"/>
      <c r="O1242" s="52"/>
      <c r="P1242" s="52"/>
      <c r="Q1242" s="52"/>
      <c r="R1242" s="52"/>
      <c r="S1242" s="52"/>
      <c r="T1242" s="52"/>
      <c r="U1242" s="52"/>
      <c r="V1242" s="52"/>
      <c r="W1242" s="52"/>
      <c r="X1242" s="52"/>
      <c r="Y1242" s="52"/>
      <c r="Z1242" s="52"/>
      <c r="AA1242" s="52"/>
      <c r="AB1242" s="52"/>
      <c r="AC1242" s="52"/>
      <c r="AD1242" s="52"/>
      <c r="AE1242" s="52"/>
      <c r="AF1242" s="52"/>
      <c r="AG1242" s="52"/>
      <c r="AH1242" s="52"/>
      <c r="AI1242" s="52"/>
      <c r="AJ1242" s="52"/>
      <c r="AK1242" s="52"/>
      <c r="AL1242" s="52"/>
      <c r="AM1242" s="52"/>
      <c r="AN1242" s="52"/>
    </row>
    <row r="1243" spans="1:40" x14ac:dyDescent="0.3">
      <c r="A1243" s="52">
        <v>1238</v>
      </c>
      <c r="B1243" s="52">
        <f>-bthan*500+(37+0.5)*bthan*1000/50</f>
        <v>1375</v>
      </c>
      <c r="C1243" s="52">
        <f t="shared" si="161"/>
        <v>-310</v>
      </c>
      <c r="D1243" s="52">
        <f t="shared" si="159"/>
        <v>2200</v>
      </c>
      <c r="E1243" s="52">
        <f t="shared" si="160"/>
        <v>1</v>
      </c>
      <c r="F1243" s="52"/>
      <c r="G1243" s="52"/>
      <c r="H1243" s="52"/>
      <c r="I1243" s="52"/>
      <c r="J1243" s="52"/>
      <c r="K1243" s="52"/>
      <c r="L1243" s="52"/>
      <c r="M1243" s="52"/>
      <c r="N1243" s="52"/>
      <c r="O1243" s="52"/>
      <c r="P1243" s="52"/>
      <c r="Q1243" s="52"/>
      <c r="R1243" s="52"/>
      <c r="S1243" s="52"/>
      <c r="T1243" s="52"/>
      <c r="U1243" s="52"/>
      <c r="V1243" s="52"/>
      <c r="W1243" s="52"/>
      <c r="X1243" s="52"/>
      <c r="Y1243" s="52"/>
      <c r="Z1243" s="52"/>
      <c r="AA1243" s="52"/>
      <c r="AB1243" s="52"/>
      <c r="AC1243" s="52"/>
      <c r="AD1243" s="52"/>
      <c r="AE1243" s="52"/>
      <c r="AF1243" s="52"/>
      <c r="AG1243" s="52"/>
      <c r="AH1243" s="52"/>
      <c r="AI1243" s="52"/>
      <c r="AJ1243" s="52"/>
      <c r="AK1243" s="52"/>
      <c r="AL1243" s="52"/>
      <c r="AM1243" s="52"/>
      <c r="AN1243" s="52"/>
    </row>
    <row r="1244" spans="1:40" x14ac:dyDescent="0.3">
      <c r="A1244" s="52">
        <v>1239</v>
      </c>
      <c r="B1244" s="52">
        <f>-bthan*500+(38+0.5)*bthan*1000/50</f>
        <v>1485</v>
      </c>
      <c r="C1244" s="52">
        <f t="shared" si="161"/>
        <v>-310</v>
      </c>
      <c r="D1244" s="52">
        <f t="shared" si="159"/>
        <v>2200</v>
      </c>
      <c r="E1244" s="52">
        <f t="shared" si="160"/>
        <v>1</v>
      </c>
      <c r="F1244" s="52"/>
      <c r="G1244" s="52"/>
      <c r="H1244" s="52"/>
      <c r="I1244" s="52"/>
      <c r="J1244" s="52"/>
      <c r="K1244" s="52"/>
      <c r="L1244" s="52"/>
      <c r="M1244" s="52"/>
      <c r="N1244" s="52"/>
      <c r="O1244" s="52"/>
      <c r="P1244" s="52"/>
      <c r="Q1244" s="52"/>
      <c r="R1244" s="52"/>
      <c r="S1244" s="52"/>
      <c r="T1244" s="52"/>
      <c r="U1244" s="52"/>
      <c r="V1244" s="52"/>
      <c r="W1244" s="52"/>
      <c r="X1244" s="52"/>
      <c r="Y1244" s="52"/>
      <c r="Z1244" s="52"/>
      <c r="AA1244" s="52"/>
      <c r="AB1244" s="52"/>
      <c r="AC1244" s="52"/>
      <c r="AD1244" s="52"/>
      <c r="AE1244" s="52"/>
      <c r="AF1244" s="52"/>
      <c r="AG1244" s="52"/>
      <c r="AH1244" s="52"/>
      <c r="AI1244" s="52"/>
      <c r="AJ1244" s="52"/>
      <c r="AK1244" s="52"/>
      <c r="AL1244" s="52"/>
      <c r="AM1244" s="52"/>
      <c r="AN1244" s="52"/>
    </row>
    <row r="1245" spans="1:40" x14ac:dyDescent="0.3">
      <c r="A1245" s="52">
        <v>1240</v>
      </c>
      <c r="B1245" s="52">
        <f>-bthan*500+(39+0.5)*bthan*1000/50</f>
        <v>1595</v>
      </c>
      <c r="C1245" s="52">
        <f t="shared" si="161"/>
        <v>-310</v>
      </c>
      <c r="D1245" s="52">
        <f t="shared" si="159"/>
        <v>2200</v>
      </c>
      <c r="E1245" s="52">
        <f t="shared" si="160"/>
        <v>1</v>
      </c>
      <c r="F1245" s="52"/>
      <c r="G1245" s="52"/>
      <c r="H1245" s="52"/>
      <c r="I1245" s="52"/>
      <c r="J1245" s="52"/>
      <c r="K1245" s="52"/>
      <c r="L1245" s="52"/>
      <c r="M1245" s="52"/>
      <c r="N1245" s="52"/>
      <c r="O1245" s="52"/>
      <c r="P1245" s="52"/>
      <c r="Q1245" s="52"/>
      <c r="R1245" s="52"/>
      <c r="S1245" s="52"/>
      <c r="T1245" s="52"/>
      <c r="U1245" s="52"/>
      <c r="V1245" s="52"/>
      <c r="W1245" s="52"/>
      <c r="X1245" s="52"/>
      <c r="Y1245" s="52"/>
      <c r="Z1245" s="52"/>
      <c r="AA1245" s="52"/>
      <c r="AB1245" s="52"/>
      <c r="AC1245" s="52"/>
      <c r="AD1245" s="52"/>
      <c r="AE1245" s="52"/>
      <c r="AF1245" s="52"/>
      <c r="AG1245" s="52"/>
      <c r="AH1245" s="52"/>
      <c r="AI1245" s="52"/>
      <c r="AJ1245" s="52"/>
      <c r="AK1245" s="52"/>
      <c r="AL1245" s="52"/>
      <c r="AM1245" s="52"/>
      <c r="AN1245" s="52"/>
    </row>
    <row r="1246" spans="1:40" x14ac:dyDescent="0.3">
      <c r="A1246" s="52">
        <v>1241</v>
      </c>
      <c r="B1246" s="52">
        <f>-bthan*500+(40+0.5)*bthan*1000/50</f>
        <v>1705</v>
      </c>
      <c r="C1246" s="52">
        <f t="shared" si="161"/>
        <v>-310</v>
      </c>
      <c r="D1246" s="52">
        <f t="shared" si="159"/>
        <v>2200</v>
      </c>
      <c r="E1246" s="52">
        <f t="shared" si="160"/>
        <v>1</v>
      </c>
      <c r="F1246" s="52"/>
      <c r="G1246" s="52"/>
      <c r="H1246" s="52"/>
      <c r="I1246" s="52"/>
      <c r="J1246" s="52"/>
      <c r="K1246" s="52"/>
      <c r="L1246" s="52"/>
      <c r="M1246" s="52"/>
      <c r="N1246" s="52"/>
      <c r="O1246" s="52"/>
      <c r="P1246" s="52"/>
      <c r="Q1246" s="52"/>
      <c r="R1246" s="52"/>
      <c r="S1246" s="52"/>
      <c r="T1246" s="52"/>
      <c r="U1246" s="52"/>
      <c r="V1246" s="52"/>
      <c r="W1246" s="52"/>
      <c r="X1246" s="52"/>
      <c r="Y1246" s="52"/>
      <c r="Z1246" s="52"/>
      <c r="AA1246" s="52"/>
      <c r="AB1246" s="52"/>
      <c r="AC1246" s="52"/>
      <c r="AD1246" s="52"/>
      <c r="AE1246" s="52"/>
      <c r="AF1246" s="52"/>
      <c r="AG1246" s="52"/>
      <c r="AH1246" s="52"/>
      <c r="AI1246" s="52"/>
      <c r="AJ1246" s="52"/>
      <c r="AK1246" s="52"/>
      <c r="AL1246" s="52"/>
      <c r="AM1246" s="52"/>
      <c r="AN1246" s="52"/>
    </row>
    <row r="1247" spans="1:40" x14ac:dyDescent="0.3">
      <c r="A1247" s="52">
        <v>1242</v>
      </c>
      <c r="B1247" s="52">
        <f>-bthan*500+(41+0.5)*bthan*1000/50</f>
        <v>1815</v>
      </c>
      <c r="C1247" s="52">
        <f t="shared" si="161"/>
        <v>-310</v>
      </c>
      <c r="D1247" s="52">
        <f t="shared" si="159"/>
        <v>2200</v>
      </c>
      <c r="E1247" s="52">
        <f t="shared" si="160"/>
        <v>1</v>
      </c>
      <c r="F1247" s="52"/>
      <c r="G1247" s="52"/>
      <c r="H1247" s="52"/>
      <c r="I1247" s="52"/>
      <c r="J1247" s="52"/>
      <c r="K1247" s="52"/>
      <c r="L1247" s="52"/>
      <c r="M1247" s="52"/>
      <c r="N1247" s="52"/>
      <c r="O1247" s="52"/>
      <c r="P1247" s="52"/>
      <c r="Q1247" s="52"/>
      <c r="R1247" s="52"/>
      <c r="S1247" s="52"/>
      <c r="T1247" s="52"/>
      <c r="U1247" s="52"/>
      <c r="V1247" s="52"/>
      <c r="W1247" s="52"/>
      <c r="X1247" s="52"/>
      <c r="Y1247" s="52"/>
      <c r="Z1247" s="52"/>
      <c r="AA1247" s="52"/>
      <c r="AB1247" s="52"/>
      <c r="AC1247" s="52"/>
      <c r="AD1247" s="52"/>
      <c r="AE1247" s="52"/>
      <c r="AF1247" s="52"/>
      <c r="AG1247" s="52"/>
      <c r="AH1247" s="52"/>
      <c r="AI1247" s="52"/>
      <c r="AJ1247" s="52"/>
      <c r="AK1247" s="52"/>
      <c r="AL1247" s="52"/>
      <c r="AM1247" s="52"/>
      <c r="AN1247" s="52"/>
    </row>
    <row r="1248" spans="1:40" x14ac:dyDescent="0.3">
      <c r="A1248" s="52">
        <v>1243</v>
      </c>
      <c r="B1248" s="52">
        <f>-bthan*500+(42+0.5)*bthan*1000/50</f>
        <v>1925</v>
      </c>
      <c r="C1248" s="52">
        <f t="shared" si="161"/>
        <v>-310</v>
      </c>
      <c r="D1248" s="52">
        <f t="shared" si="159"/>
        <v>2200</v>
      </c>
      <c r="E1248" s="52">
        <f t="shared" si="160"/>
        <v>1</v>
      </c>
      <c r="F1248" s="52"/>
      <c r="G1248" s="52"/>
      <c r="H1248" s="52"/>
      <c r="I1248" s="52"/>
      <c r="J1248" s="52"/>
      <c r="K1248" s="52"/>
      <c r="L1248" s="52"/>
      <c r="M1248" s="52"/>
      <c r="N1248" s="52"/>
      <c r="O1248" s="52"/>
      <c r="P1248" s="52"/>
      <c r="Q1248" s="52"/>
      <c r="R1248" s="52"/>
      <c r="S1248" s="52"/>
      <c r="T1248" s="52"/>
      <c r="U1248" s="52"/>
      <c r="V1248" s="52"/>
      <c r="W1248" s="52"/>
      <c r="X1248" s="52"/>
      <c r="Y1248" s="52"/>
      <c r="Z1248" s="52"/>
      <c r="AA1248" s="52"/>
      <c r="AB1248" s="52"/>
      <c r="AC1248" s="52"/>
      <c r="AD1248" s="52"/>
      <c r="AE1248" s="52"/>
      <c r="AF1248" s="52"/>
      <c r="AG1248" s="52"/>
      <c r="AH1248" s="52"/>
      <c r="AI1248" s="52"/>
      <c r="AJ1248" s="52"/>
      <c r="AK1248" s="52"/>
      <c r="AL1248" s="52"/>
      <c r="AM1248" s="52"/>
      <c r="AN1248" s="52"/>
    </row>
    <row r="1249" spans="1:40" x14ac:dyDescent="0.3">
      <c r="A1249" s="52">
        <v>1244</v>
      </c>
      <c r="B1249" s="52">
        <f>-bthan*500+(43+0.5)*bthan*1000/50</f>
        <v>2035</v>
      </c>
      <c r="C1249" s="52">
        <f t="shared" si="161"/>
        <v>-310</v>
      </c>
      <c r="D1249" s="52">
        <f t="shared" si="159"/>
        <v>2200</v>
      </c>
      <c r="E1249" s="52">
        <f t="shared" si="160"/>
        <v>1</v>
      </c>
      <c r="F1249" s="52"/>
      <c r="G1249" s="52"/>
      <c r="H1249" s="52"/>
      <c r="I1249" s="52"/>
      <c r="J1249" s="52"/>
      <c r="K1249" s="52"/>
      <c r="L1249" s="52"/>
      <c r="M1249" s="52"/>
      <c r="N1249" s="52"/>
      <c r="O1249" s="52"/>
      <c r="P1249" s="52"/>
      <c r="Q1249" s="52"/>
      <c r="R1249" s="52"/>
      <c r="S1249" s="52"/>
      <c r="T1249" s="52"/>
      <c r="U1249" s="52"/>
      <c r="V1249" s="52"/>
      <c r="W1249" s="52"/>
      <c r="X1249" s="52"/>
      <c r="Y1249" s="52"/>
      <c r="Z1249" s="52"/>
      <c r="AA1249" s="52"/>
      <c r="AB1249" s="52"/>
      <c r="AC1249" s="52"/>
      <c r="AD1249" s="52"/>
      <c r="AE1249" s="52"/>
      <c r="AF1249" s="52"/>
      <c r="AG1249" s="52"/>
      <c r="AH1249" s="52"/>
      <c r="AI1249" s="52"/>
      <c r="AJ1249" s="52"/>
      <c r="AK1249" s="52"/>
      <c r="AL1249" s="52"/>
      <c r="AM1249" s="52"/>
      <c r="AN1249" s="52"/>
    </row>
    <row r="1250" spans="1:40" x14ac:dyDescent="0.3">
      <c r="A1250" s="52">
        <v>1245</v>
      </c>
      <c r="B1250" s="52">
        <f>-bthan*500+(44+0.5)*bthan*1000/50</f>
        <v>2145</v>
      </c>
      <c r="C1250" s="52">
        <f t="shared" si="161"/>
        <v>-310</v>
      </c>
      <c r="D1250" s="52">
        <f t="shared" si="159"/>
        <v>2200</v>
      </c>
      <c r="E1250" s="52">
        <f t="shared" si="160"/>
        <v>1</v>
      </c>
      <c r="F1250" s="52"/>
      <c r="G1250" s="52"/>
      <c r="H1250" s="52"/>
      <c r="I1250" s="52"/>
      <c r="J1250" s="52"/>
      <c r="K1250" s="52"/>
      <c r="L1250" s="52"/>
      <c r="M1250" s="52"/>
      <c r="N1250" s="52"/>
      <c r="O1250" s="52"/>
      <c r="P1250" s="52"/>
      <c r="Q1250" s="52"/>
      <c r="R1250" s="52"/>
      <c r="S1250" s="52"/>
      <c r="T1250" s="52"/>
      <c r="U1250" s="52"/>
      <c r="V1250" s="52"/>
      <c r="W1250" s="52"/>
      <c r="X1250" s="52"/>
      <c r="Y1250" s="52"/>
      <c r="Z1250" s="52"/>
      <c r="AA1250" s="52"/>
      <c r="AB1250" s="52"/>
      <c r="AC1250" s="52"/>
      <c r="AD1250" s="52"/>
      <c r="AE1250" s="52"/>
      <c r="AF1250" s="52"/>
      <c r="AG1250" s="52"/>
      <c r="AH1250" s="52"/>
      <c r="AI1250" s="52"/>
      <c r="AJ1250" s="52"/>
      <c r="AK1250" s="52"/>
      <c r="AL1250" s="52"/>
      <c r="AM1250" s="52"/>
      <c r="AN1250" s="52"/>
    </row>
    <row r="1251" spans="1:40" x14ac:dyDescent="0.3">
      <c r="A1251" s="52">
        <v>1246</v>
      </c>
      <c r="B1251" s="52">
        <f>-bthan*500+(45+0.5)*bthan*1000/50</f>
        <v>2255</v>
      </c>
      <c r="C1251" s="52">
        <f t="shared" si="161"/>
        <v>-310</v>
      </c>
      <c r="D1251" s="52">
        <f t="shared" si="159"/>
        <v>2200</v>
      </c>
      <c r="E1251" s="52">
        <f t="shared" si="160"/>
        <v>1</v>
      </c>
      <c r="F1251" s="52"/>
      <c r="G1251" s="52"/>
      <c r="H1251" s="52"/>
      <c r="I1251" s="52"/>
      <c r="J1251" s="52"/>
      <c r="K1251" s="52"/>
      <c r="L1251" s="52"/>
      <c r="M1251" s="52"/>
      <c r="N1251" s="52"/>
      <c r="O1251" s="52"/>
      <c r="P1251" s="52"/>
      <c r="Q1251" s="52"/>
      <c r="R1251" s="52"/>
      <c r="S1251" s="52"/>
      <c r="T1251" s="52"/>
      <c r="U1251" s="52"/>
      <c r="V1251" s="52"/>
      <c r="W1251" s="52"/>
      <c r="X1251" s="52"/>
      <c r="Y1251" s="52"/>
      <c r="Z1251" s="52"/>
      <c r="AA1251" s="52"/>
      <c r="AB1251" s="52"/>
      <c r="AC1251" s="52"/>
      <c r="AD1251" s="52"/>
      <c r="AE1251" s="52"/>
      <c r="AF1251" s="52"/>
      <c r="AG1251" s="52"/>
      <c r="AH1251" s="52"/>
      <c r="AI1251" s="52"/>
      <c r="AJ1251" s="52"/>
      <c r="AK1251" s="52"/>
      <c r="AL1251" s="52"/>
      <c r="AM1251" s="52"/>
      <c r="AN1251" s="52"/>
    </row>
    <row r="1252" spans="1:40" x14ac:dyDescent="0.3">
      <c r="A1252" s="52">
        <v>1247</v>
      </c>
      <c r="B1252" s="52">
        <f>-bthan*500+(46+0.5)*bthan*1000/50</f>
        <v>2365</v>
      </c>
      <c r="C1252" s="52">
        <f t="shared" si="161"/>
        <v>-310</v>
      </c>
      <c r="D1252" s="52">
        <f t="shared" si="159"/>
        <v>2200</v>
      </c>
      <c r="E1252" s="52">
        <f t="shared" si="160"/>
        <v>1</v>
      </c>
      <c r="F1252" s="52"/>
      <c r="G1252" s="52"/>
      <c r="H1252" s="52"/>
      <c r="I1252" s="52"/>
      <c r="J1252" s="52"/>
      <c r="K1252" s="52"/>
      <c r="L1252" s="52"/>
      <c r="M1252" s="52"/>
      <c r="N1252" s="52"/>
      <c r="O1252" s="52"/>
      <c r="P1252" s="52"/>
      <c r="Q1252" s="52"/>
      <c r="R1252" s="52"/>
      <c r="S1252" s="52"/>
      <c r="T1252" s="52"/>
      <c r="U1252" s="52"/>
      <c r="V1252" s="52"/>
      <c r="W1252" s="52"/>
      <c r="X1252" s="52"/>
      <c r="Y1252" s="52"/>
      <c r="Z1252" s="52"/>
      <c r="AA1252" s="52"/>
      <c r="AB1252" s="52"/>
      <c r="AC1252" s="52"/>
      <c r="AD1252" s="52"/>
      <c r="AE1252" s="52"/>
      <c r="AF1252" s="52"/>
      <c r="AG1252" s="52"/>
      <c r="AH1252" s="52"/>
      <c r="AI1252" s="52"/>
      <c r="AJ1252" s="52"/>
      <c r="AK1252" s="52"/>
      <c r="AL1252" s="52"/>
      <c r="AM1252" s="52"/>
      <c r="AN1252" s="52"/>
    </row>
    <row r="1253" spans="1:40" x14ac:dyDescent="0.3">
      <c r="A1253" s="52">
        <v>1248</v>
      </c>
      <c r="B1253" s="52">
        <f>-bthan*500+(47+0.5)*bthan*1000/50</f>
        <v>2475</v>
      </c>
      <c r="C1253" s="52">
        <f t="shared" si="161"/>
        <v>-310</v>
      </c>
      <c r="D1253" s="52">
        <f t="shared" si="159"/>
        <v>2200</v>
      </c>
      <c r="E1253" s="52">
        <f t="shared" si="160"/>
        <v>1</v>
      </c>
      <c r="F1253" s="52"/>
      <c r="G1253" s="52"/>
      <c r="H1253" s="52"/>
      <c r="I1253" s="52"/>
      <c r="J1253" s="52"/>
      <c r="K1253" s="52"/>
      <c r="L1253" s="52"/>
      <c r="M1253" s="52"/>
      <c r="N1253" s="52"/>
      <c r="O1253" s="52"/>
      <c r="P1253" s="52"/>
      <c r="Q1253" s="52"/>
      <c r="R1253" s="52"/>
      <c r="S1253" s="52"/>
      <c r="T1253" s="52"/>
      <c r="U1253" s="52"/>
      <c r="V1253" s="52"/>
      <c r="W1253" s="52"/>
      <c r="X1253" s="52"/>
      <c r="Y1253" s="52"/>
      <c r="Z1253" s="52"/>
      <c r="AA1253" s="52"/>
      <c r="AB1253" s="52"/>
      <c r="AC1253" s="52"/>
      <c r="AD1253" s="52"/>
      <c r="AE1253" s="52"/>
      <c r="AF1253" s="52"/>
      <c r="AG1253" s="52"/>
      <c r="AH1253" s="52"/>
      <c r="AI1253" s="52"/>
      <c r="AJ1253" s="52"/>
      <c r="AK1253" s="52"/>
      <c r="AL1253" s="52"/>
      <c r="AM1253" s="52"/>
      <c r="AN1253" s="52"/>
    </row>
    <row r="1254" spans="1:40" x14ac:dyDescent="0.3">
      <c r="A1254" s="52">
        <v>1249</v>
      </c>
      <c r="B1254" s="52">
        <f>-bthan*500+(48+0.5)*bthan*1000/50</f>
        <v>2585</v>
      </c>
      <c r="C1254" s="52">
        <f t="shared" si="161"/>
        <v>-310</v>
      </c>
      <c r="D1254" s="52">
        <f t="shared" si="159"/>
        <v>2200</v>
      </c>
      <c r="E1254" s="52">
        <f t="shared" si="160"/>
        <v>1</v>
      </c>
      <c r="F1254" s="52"/>
      <c r="G1254" s="52"/>
      <c r="H1254" s="52"/>
      <c r="I1254" s="52"/>
      <c r="J1254" s="52"/>
      <c r="K1254" s="52"/>
      <c r="L1254" s="52"/>
      <c r="M1254" s="52"/>
      <c r="N1254" s="52"/>
      <c r="O1254" s="52"/>
      <c r="P1254" s="52"/>
      <c r="Q1254" s="52"/>
      <c r="R1254" s="52"/>
      <c r="S1254" s="52"/>
      <c r="T1254" s="52"/>
      <c r="U1254" s="52"/>
      <c r="V1254" s="52"/>
      <c r="W1254" s="52"/>
      <c r="X1254" s="52"/>
      <c r="Y1254" s="52"/>
      <c r="Z1254" s="52"/>
      <c r="AA1254" s="52"/>
      <c r="AB1254" s="52"/>
      <c r="AC1254" s="52"/>
      <c r="AD1254" s="52"/>
      <c r="AE1254" s="52"/>
      <c r="AF1254" s="52"/>
      <c r="AG1254" s="52"/>
      <c r="AH1254" s="52"/>
      <c r="AI1254" s="52"/>
      <c r="AJ1254" s="52"/>
      <c r="AK1254" s="52"/>
      <c r="AL1254" s="52"/>
      <c r="AM1254" s="52"/>
      <c r="AN1254" s="52"/>
    </row>
    <row r="1255" spans="1:40" x14ac:dyDescent="0.3">
      <c r="A1255" s="52">
        <v>1250</v>
      </c>
      <c r="B1255" s="52">
        <f>-bthan*500+(49+0.5)*bthan*1000/50</f>
        <v>2695</v>
      </c>
      <c r="C1255" s="52">
        <f t="shared" si="161"/>
        <v>-310</v>
      </c>
      <c r="D1255" s="52">
        <f t="shared" si="159"/>
        <v>2200</v>
      </c>
      <c r="E1255" s="52">
        <f t="shared" si="160"/>
        <v>0</v>
      </c>
      <c r="F1255" s="52"/>
      <c r="G1255" s="52"/>
      <c r="H1255" s="52"/>
      <c r="I1255" s="52"/>
      <c r="J1255" s="52"/>
      <c r="K1255" s="52"/>
      <c r="L1255" s="52"/>
      <c r="M1255" s="52"/>
      <c r="N1255" s="52"/>
      <c r="O1255" s="52"/>
      <c r="P1255" s="52"/>
      <c r="Q1255" s="52"/>
      <c r="R1255" s="52"/>
      <c r="S1255" s="52"/>
      <c r="T1255" s="52"/>
      <c r="U1255" s="52"/>
      <c r="V1255" s="52"/>
      <c r="W1255" s="52"/>
      <c r="X1255" s="52"/>
      <c r="Y1255" s="52"/>
      <c r="Z1255" s="52"/>
      <c r="AA1255" s="52"/>
      <c r="AB1255" s="52"/>
      <c r="AC1255" s="52"/>
      <c r="AD1255" s="52"/>
      <c r="AE1255" s="52"/>
      <c r="AF1255" s="52"/>
      <c r="AG1255" s="52"/>
      <c r="AH1255" s="52"/>
      <c r="AI1255" s="52"/>
      <c r="AJ1255" s="52"/>
      <c r="AK1255" s="52"/>
      <c r="AL1255" s="52"/>
      <c r="AM1255" s="52"/>
      <c r="AN1255" s="52"/>
    </row>
    <row r="1256" spans="1:40" x14ac:dyDescent="0.3">
      <c r="A1256" s="52">
        <v>1251</v>
      </c>
      <c r="B1256" s="52">
        <f>-bthan*500+(0+0.5)*bthan*1000/50</f>
        <v>-2695</v>
      </c>
      <c r="C1256" s="52">
        <f t="shared" ref="C1256:C1287" si="162">-hthan*500+(25+0.5)*hthan*1000/80</f>
        <v>-289.99999999999989</v>
      </c>
      <c r="D1256" s="52">
        <f t="shared" si="159"/>
        <v>2200</v>
      </c>
      <c r="E1256" s="52">
        <f t="shared" si="160"/>
        <v>1</v>
      </c>
      <c r="F1256" s="52"/>
      <c r="G1256" s="52"/>
      <c r="H1256" s="52"/>
      <c r="I1256" s="52"/>
      <c r="J1256" s="52"/>
      <c r="K1256" s="52"/>
      <c r="L1256" s="52"/>
      <c r="M1256" s="52"/>
      <c r="N1256" s="52"/>
      <c r="O1256" s="52"/>
      <c r="P1256" s="52"/>
      <c r="Q1256" s="52"/>
      <c r="R1256" s="52"/>
      <c r="S1256" s="52"/>
      <c r="T1256" s="52"/>
      <c r="U1256" s="52"/>
      <c r="V1256" s="52"/>
      <c r="W1256" s="52"/>
      <c r="X1256" s="52"/>
      <c r="Y1256" s="52"/>
      <c r="Z1256" s="52"/>
      <c r="AA1256" s="52"/>
      <c r="AB1256" s="52"/>
      <c r="AC1256" s="52"/>
      <c r="AD1256" s="52"/>
      <c r="AE1256" s="52"/>
      <c r="AF1256" s="52"/>
      <c r="AG1256" s="52"/>
      <c r="AH1256" s="52"/>
      <c r="AI1256" s="52"/>
      <c r="AJ1256" s="52"/>
      <c r="AK1256" s="52"/>
      <c r="AL1256" s="52"/>
      <c r="AM1256" s="52"/>
      <c r="AN1256" s="52"/>
    </row>
    <row r="1257" spans="1:40" x14ac:dyDescent="0.3">
      <c r="A1257" s="52">
        <v>1252</v>
      </c>
      <c r="B1257" s="52">
        <f>-bthan*500+(1+0.5)*bthan*1000/50</f>
        <v>-2585</v>
      </c>
      <c r="C1257" s="52">
        <f t="shared" si="162"/>
        <v>-289.99999999999989</v>
      </c>
      <c r="D1257" s="52">
        <f t="shared" si="159"/>
        <v>2200</v>
      </c>
      <c r="E1257" s="52">
        <f t="shared" si="160"/>
        <v>1</v>
      </c>
      <c r="F1257" s="52"/>
      <c r="G1257" s="52"/>
      <c r="H1257" s="52"/>
      <c r="I1257" s="52"/>
      <c r="J1257" s="52"/>
      <c r="K1257" s="52"/>
      <c r="L1257" s="52"/>
      <c r="M1257" s="52"/>
      <c r="N1257" s="52"/>
      <c r="O1257" s="52"/>
      <c r="P1257" s="52"/>
      <c r="Q1257" s="52"/>
      <c r="R1257" s="52"/>
      <c r="S1257" s="52"/>
      <c r="T1257" s="52"/>
      <c r="U1257" s="52"/>
      <c r="V1257" s="52"/>
      <c r="W1257" s="52"/>
      <c r="X1257" s="52"/>
      <c r="Y1257" s="52"/>
      <c r="Z1257" s="52"/>
      <c r="AA1257" s="52"/>
      <c r="AB1257" s="52"/>
      <c r="AC1257" s="52"/>
      <c r="AD1257" s="52"/>
      <c r="AE1257" s="52"/>
      <c r="AF1257" s="52"/>
      <c r="AG1257" s="52"/>
      <c r="AH1257" s="52"/>
      <c r="AI1257" s="52"/>
      <c r="AJ1257" s="52"/>
      <c r="AK1257" s="52"/>
      <c r="AL1257" s="52"/>
      <c r="AM1257" s="52"/>
      <c r="AN1257" s="52"/>
    </row>
    <row r="1258" spans="1:40" x14ac:dyDescent="0.3">
      <c r="A1258" s="52">
        <v>1253</v>
      </c>
      <c r="B1258" s="52">
        <f>-bthan*500+(2+0.5)*bthan*1000/50</f>
        <v>-2475</v>
      </c>
      <c r="C1258" s="52">
        <f t="shared" si="162"/>
        <v>-289.99999999999989</v>
      </c>
      <c r="D1258" s="52">
        <f t="shared" si="159"/>
        <v>2200</v>
      </c>
      <c r="E1258" s="52">
        <f t="shared" si="160"/>
        <v>1</v>
      </c>
      <c r="F1258" s="52"/>
      <c r="G1258" s="52"/>
      <c r="H1258" s="52"/>
      <c r="I1258" s="52"/>
      <c r="J1258" s="52"/>
      <c r="K1258" s="52"/>
      <c r="L1258" s="52"/>
      <c r="M1258" s="52"/>
      <c r="N1258" s="52"/>
      <c r="O1258" s="52"/>
      <c r="P1258" s="52"/>
      <c r="Q1258" s="52"/>
      <c r="R1258" s="52"/>
      <c r="S1258" s="52"/>
      <c r="T1258" s="52"/>
      <c r="U1258" s="52"/>
      <c r="V1258" s="52"/>
      <c r="W1258" s="52"/>
      <c r="X1258" s="52"/>
      <c r="Y1258" s="52"/>
      <c r="Z1258" s="52"/>
      <c r="AA1258" s="52"/>
      <c r="AB1258" s="52"/>
      <c r="AC1258" s="52"/>
      <c r="AD1258" s="52"/>
      <c r="AE1258" s="52"/>
      <c r="AF1258" s="52"/>
      <c r="AG1258" s="52"/>
      <c r="AH1258" s="52"/>
      <c r="AI1258" s="52"/>
      <c r="AJ1258" s="52"/>
      <c r="AK1258" s="52"/>
      <c r="AL1258" s="52"/>
      <c r="AM1258" s="52"/>
      <c r="AN1258" s="52"/>
    </row>
    <row r="1259" spans="1:40" x14ac:dyDescent="0.3">
      <c r="A1259" s="52">
        <v>1254</v>
      </c>
      <c r="B1259" s="52">
        <f>-bthan*500+(3+0.5)*bthan*1000/50</f>
        <v>-2365</v>
      </c>
      <c r="C1259" s="52">
        <f t="shared" si="162"/>
        <v>-289.99999999999989</v>
      </c>
      <c r="D1259" s="52">
        <f t="shared" si="159"/>
        <v>2200</v>
      </c>
      <c r="E1259" s="52">
        <f t="shared" si="160"/>
        <v>1</v>
      </c>
      <c r="F1259" s="52"/>
      <c r="G1259" s="52"/>
      <c r="H1259" s="52"/>
      <c r="I1259" s="52"/>
      <c r="J1259" s="52"/>
      <c r="K1259" s="52"/>
      <c r="L1259" s="52"/>
      <c r="M1259" s="52"/>
      <c r="N1259" s="52"/>
      <c r="O1259" s="52"/>
      <c r="P1259" s="52"/>
      <c r="Q1259" s="52"/>
      <c r="R1259" s="52"/>
      <c r="S1259" s="52"/>
      <c r="T1259" s="52"/>
      <c r="U1259" s="52"/>
      <c r="V1259" s="52"/>
      <c r="W1259" s="52"/>
      <c r="X1259" s="52"/>
      <c r="Y1259" s="52"/>
      <c r="Z1259" s="52"/>
      <c r="AA1259" s="52"/>
      <c r="AB1259" s="52"/>
      <c r="AC1259" s="52"/>
      <c r="AD1259" s="52"/>
      <c r="AE1259" s="52"/>
      <c r="AF1259" s="52"/>
      <c r="AG1259" s="52"/>
      <c r="AH1259" s="52"/>
      <c r="AI1259" s="52"/>
      <c r="AJ1259" s="52"/>
      <c r="AK1259" s="52"/>
      <c r="AL1259" s="52"/>
      <c r="AM1259" s="52"/>
      <c r="AN1259" s="52"/>
    </row>
    <row r="1260" spans="1:40" x14ac:dyDescent="0.3">
      <c r="A1260" s="52">
        <v>1255</v>
      </c>
      <c r="B1260" s="52">
        <f>-bthan*500+(4+0.5)*bthan*1000/50</f>
        <v>-2255</v>
      </c>
      <c r="C1260" s="52">
        <f t="shared" si="162"/>
        <v>-289.99999999999989</v>
      </c>
      <c r="D1260" s="52">
        <f t="shared" si="159"/>
        <v>2200</v>
      </c>
      <c r="E1260" s="52">
        <f t="shared" si="160"/>
        <v>1</v>
      </c>
      <c r="F1260" s="52"/>
      <c r="G1260" s="52"/>
      <c r="H1260" s="52"/>
      <c r="I1260" s="52"/>
      <c r="J1260" s="52"/>
      <c r="K1260" s="52"/>
      <c r="L1260" s="52"/>
      <c r="M1260" s="52"/>
      <c r="N1260" s="52"/>
      <c r="O1260" s="52"/>
      <c r="P1260" s="52"/>
      <c r="Q1260" s="52"/>
      <c r="R1260" s="52"/>
      <c r="S1260" s="52"/>
      <c r="T1260" s="52"/>
      <c r="U1260" s="52"/>
      <c r="V1260" s="52"/>
      <c r="W1260" s="52"/>
      <c r="X1260" s="52"/>
      <c r="Y1260" s="52"/>
      <c r="Z1260" s="52"/>
      <c r="AA1260" s="52"/>
      <c r="AB1260" s="52"/>
      <c r="AC1260" s="52"/>
      <c r="AD1260" s="52"/>
      <c r="AE1260" s="52"/>
      <c r="AF1260" s="52"/>
      <c r="AG1260" s="52"/>
      <c r="AH1260" s="52"/>
      <c r="AI1260" s="52"/>
      <c r="AJ1260" s="52"/>
      <c r="AK1260" s="52"/>
      <c r="AL1260" s="52"/>
      <c r="AM1260" s="52"/>
      <c r="AN1260" s="52"/>
    </row>
    <row r="1261" spans="1:40" x14ac:dyDescent="0.3">
      <c r="A1261" s="52">
        <v>1256</v>
      </c>
      <c r="B1261" s="52">
        <f>-bthan*500+(5+0.5)*bthan*1000/50</f>
        <v>-2145</v>
      </c>
      <c r="C1261" s="52">
        <f t="shared" si="162"/>
        <v>-289.99999999999989</v>
      </c>
      <c r="D1261" s="52">
        <f t="shared" si="159"/>
        <v>2200</v>
      </c>
      <c r="E1261" s="52">
        <f t="shared" si="160"/>
        <v>1</v>
      </c>
      <c r="F1261" s="52"/>
      <c r="G1261" s="52"/>
      <c r="H1261" s="52"/>
      <c r="I1261" s="52"/>
      <c r="J1261" s="52"/>
      <c r="K1261" s="52"/>
      <c r="L1261" s="52"/>
      <c r="M1261" s="52"/>
      <c r="N1261" s="52"/>
      <c r="O1261" s="52"/>
      <c r="P1261" s="52"/>
      <c r="Q1261" s="52"/>
      <c r="R1261" s="52"/>
      <c r="S1261" s="52"/>
      <c r="T1261" s="52"/>
      <c r="U1261" s="52"/>
      <c r="V1261" s="52"/>
      <c r="W1261" s="52"/>
      <c r="X1261" s="52"/>
      <c r="Y1261" s="52"/>
      <c r="Z1261" s="52"/>
      <c r="AA1261" s="52"/>
      <c r="AB1261" s="52"/>
      <c r="AC1261" s="52"/>
      <c r="AD1261" s="52"/>
      <c r="AE1261" s="52"/>
      <c r="AF1261" s="52"/>
      <c r="AG1261" s="52"/>
      <c r="AH1261" s="52"/>
      <c r="AI1261" s="52"/>
      <c r="AJ1261" s="52"/>
      <c r="AK1261" s="52"/>
      <c r="AL1261" s="52"/>
      <c r="AM1261" s="52"/>
      <c r="AN1261" s="52"/>
    </row>
    <row r="1262" spans="1:40" x14ac:dyDescent="0.3">
      <c r="A1262" s="52">
        <v>1257</v>
      </c>
      <c r="B1262" s="52">
        <f>-bthan*500+(6+0.5)*bthan*1000/50</f>
        <v>-2035</v>
      </c>
      <c r="C1262" s="52">
        <f t="shared" si="162"/>
        <v>-289.99999999999989</v>
      </c>
      <c r="D1262" s="52">
        <f t="shared" si="159"/>
        <v>2200</v>
      </c>
      <c r="E1262" s="52">
        <f t="shared" si="160"/>
        <v>1</v>
      </c>
      <c r="F1262" s="52"/>
      <c r="G1262" s="52"/>
      <c r="H1262" s="52"/>
      <c r="I1262" s="52"/>
      <c r="J1262" s="52"/>
      <c r="K1262" s="52"/>
      <c r="L1262" s="52"/>
      <c r="M1262" s="52"/>
      <c r="N1262" s="52"/>
      <c r="O1262" s="52"/>
      <c r="P1262" s="52"/>
      <c r="Q1262" s="52"/>
      <c r="R1262" s="52"/>
      <c r="S1262" s="52"/>
      <c r="T1262" s="52"/>
      <c r="U1262" s="52"/>
      <c r="V1262" s="52"/>
      <c r="W1262" s="52"/>
      <c r="X1262" s="52"/>
      <c r="Y1262" s="52"/>
      <c r="Z1262" s="52"/>
      <c r="AA1262" s="52"/>
      <c r="AB1262" s="52"/>
      <c r="AC1262" s="52"/>
      <c r="AD1262" s="52"/>
      <c r="AE1262" s="52"/>
      <c r="AF1262" s="52"/>
      <c r="AG1262" s="52"/>
      <c r="AH1262" s="52"/>
      <c r="AI1262" s="52"/>
      <c r="AJ1262" s="52"/>
      <c r="AK1262" s="52"/>
      <c r="AL1262" s="52"/>
      <c r="AM1262" s="52"/>
      <c r="AN1262" s="52"/>
    </row>
    <row r="1263" spans="1:40" x14ac:dyDescent="0.3">
      <c r="A1263" s="52">
        <v>1258</v>
      </c>
      <c r="B1263" s="52">
        <f>-bthan*500+(7+0.5)*bthan*1000/50</f>
        <v>-1925</v>
      </c>
      <c r="C1263" s="52">
        <f t="shared" si="162"/>
        <v>-289.99999999999989</v>
      </c>
      <c r="D1263" s="52">
        <f t="shared" si="159"/>
        <v>2200</v>
      </c>
      <c r="E1263" s="52">
        <f t="shared" si="160"/>
        <v>1</v>
      </c>
      <c r="F1263" s="52"/>
      <c r="G1263" s="52"/>
      <c r="H1263" s="52"/>
      <c r="I1263" s="52"/>
      <c r="J1263" s="52"/>
      <c r="K1263" s="52"/>
      <c r="L1263" s="52"/>
      <c r="M1263" s="52"/>
      <c r="N1263" s="52"/>
      <c r="O1263" s="52"/>
      <c r="P1263" s="52"/>
      <c r="Q1263" s="52"/>
      <c r="R1263" s="52"/>
      <c r="S1263" s="52"/>
      <c r="T1263" s="52"/>
      <c r="U1263" s="52"/>
      <c r="V1263" s="52"/>
      <c r="W1263" s="52"/>
      <c r="X1263" s="52"/>
      <c r="Y1263" s="52"/>
      <c r="Z1263" s="52"/>
      <c r="AA1263" s="52"/>
      <c r="AB1263" s="52"/>
      <c r="AC1263" s="52"/>
      <c r="AD1263" s="52"/>
      <c r="AE1263" s="52"/>
      <c r="AF1263" s="52"/>
      <c r="AG1263" s="52"/>
      <c r="AH1263" s="52"/>
      <c r="AI1263" s="52"/>
      <c r="AJ1263" s="52"/>
      <c r="AK1263" s="52"/>
      <c r="AL1263" s="52"/>
      <c r="AM1263" s="52"/>
      <c r="AN1263" s="52"/>
    </row>
    <row r="1264" spans="1:40" x14ac:dyDescent="0.3">
      <c r="A1264" s="52">
        <v>1259</v>
      </c>
      <c r="B1264" s="52">
        <f>-bthan*500+(8+0.5)*bthan*1000/50</f>
        <v>-1815</v>
      </c>
      <c r="C1264" s="52">
        <f t="shared" si="162"/>
        <v>-289.99999999999989</v>
      </c>
      <c r="D1264" s="52">
        <f t="shared" si="159"/>
        <v>2200</v>
      </c>
      <c r="E1264" s="52">
        <f t="shared" si="160"/>
        <v>1</v>
      </c>
      <c r="F1264" s="52"/>
      <c r="G1264" s="52"/>
      <c r="H1264" s="52"/>
      <c r="I1264" s="52"/>
      <c r="J1264" s="52"/>
      <c r="K1264" s="52"/>
      <c r="L1264" s="52"/>
      <c r="M1264" s="52"/>
      <c r="N1264" s="52"/>
      <c r="O1264" s="52"/>
      <c r="P1264" s="52"/>
      <c r="Q1264" s="52"/>
      <c r="R1264" s="52"/>
      <c r="S1264" s="52"/>
      <c r="T1264" s="52"/>
      <c r="U1264" s="52"/>
      <c r="V1264" s="52"/>
      <c r="W1264" s="52"/>
      <c r="X1264" s="52"/>
      <c r="Y1264" s="52"/>
      <c r="Z1264" s="52"/>
      <c r="AA1264" s="52"/>
      <c r="AB1264" s="52"/>
      <c r="AC1264" s="52"/>
      <c r="AD1264" s="52"/>
      <c r="AE1264" s="52"/>
      <c r="AF1264" s="52"/>
      <c r="AG1264" s="52"/>
      <c r="AH1264" s="52"/>
      <c r="AI1264" s="52"/>
      <c r="AJ1264" s="52"/>
      <c r="AK1264" s="52"/>
      <c r="AL1264" s="52"/>
      <c r="AM1264" s="52"/>
      <c r="AN1264" s="52"/>
    </row>
    <row r="1265" spans="1:40" x14ac:dyDescent="0.3">
      <c r="A1265" s="52">
        <v>1260</v>
      </c>
      <c r="B1265" s="52">
        <f>-bthan*500+(9+0.5)*bthan*1000/50</f>
        <v>-1705</v>
      </c>
      <c r="C1265" s="52">
        <f t="shared" si="162"/>
        <v>-289.99999999999989</v>
      </c>
      <c r="D1265" s="52">
        <f t="shared" si="159"/>
        <v>2200</v>
      </c>
      <c r="E1265" s="52">
        <f t="shared" si="160"/>
        <v>1</v>
      </c>
      <c r="F1265" s="52"/>
      <c r="G1265" s="52"/>
      <c r="H1265" s="52"/>
      <c r="I1265" s="52"/>
      <c r="J1265" s="52"/>
      <c r="K1265" s="52"/>
      <c r="L1265" s="52"/>
      <c r="M1265" s="52"/>
      <c r="N1265" s="52"/>
      <c r="O1265" s="52"/>
      <c r="P1265" s="52"/>
      <c r="Q1265" s="52"/>
      <c r="R1265" s="52"/>
      <c r="S1265" s="52"/>
      <c r="T1265" s="52"/>
      <c r="U1265" s="52"/>
      <c r="V1265" s="52"/>
      <c r="W1265" s="52"/>
      <c r="X1265" s="52"/>
      <c r="Y1265" s="52"/>
      <c r="Z1265" s="52"/>
      <c r="AA1265" s="52"/>
      <c r="AB1265" s="52"/>
      <c r="AC1265" s="52"/>
      <c r="AD1265" s="52"/>
      <c r="AE1265" s="52"/>
      <c r="AF1265" s="52"/>
      <c r="AG1265" s="52"/>
      <c r="AH1265" s="52"/>
      <c r="AI1265" s="52"/>
      <c r="AJ1265" s="52"/>
      <c r="AK1265" s="52"/>
      <c r="AL1265" s="52"/>
      <c r="AM1265" s="52"/>
      <c r="AN1265" s="52"/>
    </row>
    <row r="1266" spans="1:40" x14ac:dyDescent="0.3">
      <c r="A1266" s="52">
        <v>1261</v>
      </c>
      <c r="B1266" s="52">
        <f>-bthan*500+(10+0.5)*bthan*1000/50</f>
        <v>-1595</v>
      </c>
      <c r="C1266" s="52">
        <f t="shared" si="162"/>
        <v>-289.99999999999989</v>
      </c>
      <c r="D1266" s="52">
        <f t="shared" si="159"/>
        <v>2200</v>
      </c>
      <c r="E1266" s="52">
        <f t="shared" si="160"/>
        <v>1</v>
      </c>
      <c r="F1266" s="52"/>
      <c r="G1266" s="52"/>
      <c r="H1266" s="52"/>
      <c r="I1266" s="52"/>
      <c r="J1266" s="52"/>
      <c r="K1266" s="52"/>
      <c r="L1266" s="52"/>
      <c r="M1266" s="52"/>
      <c r="N1266" s="52"/>
      <c r="O1266" s="52"/>
      <c r="P1266" s="52"/>
      <c r="Q1266" s="52"/>
      <c r="R1266" s="52"/>
      <c r="S1266" s="52"/>
      <c r="T1266" s="52"/>
      <c r="U1266" s="52"/>
      <c r="V1266" s="52"/>
      <c r="W1266" s="52"/>
      <c r="X1266" s="52"/>
      <c r="Y1266" s="52"/>
      <c r="Z1266" s="52"/>
      <c r="AA1266" s="52"/>
      <c r="AB1266" s="52"/>
      <c r="AC1266" s="52"/>
      <c r="AD1266" s="52"/>
      <c r="AE1266" s="52"/>
      <c r="AF1266" s="52"/>
      <c r="AG1266" s="52"/>
      <c r="AH1266" s="52"/>
      <c r="AI1266" s="52"/>
      <c r="AJ1266" s="52"/>
      <c r="AK1266" s="52"/>
      <c r="AL1266" s="52"/>
      <c r="AM1266" s="52"/>
      <c r="AN1266" s="52"/>
    </row>
    <row r="1267" spans="1:40" x14ac:dyDescent="0.3">
      <c r="A1267" s="52">
        <v>1262</v>
      </c>
      <c r="B1267" s="52">
        <f>-bthan*500+(11+0.5)*bthan*1000/50</f>
        <v>-1485</v>
      </c>
      <c r="C1267" s="52">
        <f t="shared" si="162"/>
        <v>-289.99999999999989</v>
      </c>
      <c r="D1267" s="52">
        <f t="shared" si="159"/>
        <v>2200</v>
      </c>
      <c r="E1267" s="52">
        <f t="shared" si="160"/>
        <v>1</v>
      </c>
      <c r="F1267" s="52"/>
      <c r="G1267" s="52"/>
      <c r="H1267" s="52"/>
      <c r="I1267" s="52"/>
      <c r="J1267" s="52"/>
      <c r="K1267" s="52"/>
      <c r="L1267" s="52"/>
      <c r="M1267" s="52"/>
      <c r="N1267" s="52"/>
      <c r="O1267" s="52"/>
      <c r="P1267" s="52"/>
      <c r="Q1267" s="52"/>
      <c r="R1267" s="52"/>
      <c r="S1267" s="52"/>
      <c r="T1267" s="52"/>
      <c r="U1267" s="52"/>
      <c r="V1267" s="52"/>
      <c r="W1267" s="52"/>
      <c r="X1267" s="52"/>
      <c r="Y1267" s="52"/>
      <c r="Z1267" s="52"/>
      <c r="AA1267" s="52"/>
      <c r="AB1267" s="52"/>
      <c r="AC1267" s="52"/>
      <c r="AD1267" s="52"/>
      <c r="AE1267" s="52"/>
      <c r="AF1267" s="52"/>
      <c r="AG1267" s="52"/>
      <c r="AH1267" s="52"/>
      <c r="AI1267" s="52"/>
      <c r="AJ1267" s="52"/>
      <c r="AK1267" s="52"/>
      <c r="AL1267" s="52"/>
      <c r="AM1267" s="52"/>
      <c r="AN1267" s="52"/>
    </row>
    <row r="1268" spans="1:40" x14ac:dyDescent="0.3">
      <c r="A1268" s="52">
        <v>1263</v>
      </c>
      <c r="B1268" s="52">
        <f>-bthan*500+(12+0.5)*bthan*1000/50</f>
        <v>-1375</v>
      </c>
      <c r="C1268" s="52">
        <f t="shared" si="162"/>
        <v>-289.99999999999989</v>
      </c>
      <c r="D1268" s="52">
        <f t="shared" si="159"/>
        <v>2200</v>
      </c>
      <c r="E1268" s="52">
        <f t="shared" si="160"/>
        <v>1</v>
      </c>
      <c r="F1268" s="52"/>
      <c r="G1268" s="52"/>
      <c r="H1268" s="52"/>
      <c r="I1268" s="52"/>
      <c r="J1268" s="52"/>
      <c r="K1268" s="52"/>
      <c r="L1268" s="52"/>
      <c r="M1268" s="52"/>
      <c r="N1268" s="52"/>
      <c r="O1268" s="52"/>
      <c r="P1268" s="52"/>
      <c r="Q1268" s="52"/>
      <c r="R1268" s="52"/>
      <c r="S1268" s="52"/>
      <c r="T1268" s="52"/>
      <c r="U1268" s="52"/>
      <c r="V1268" s="52"/>
      <c r="W1268" s="52"/>
      <c r="X1268" s="52"/>
      <c r="Y1268" s="52"/>
      <c r="Z1268" s="52"/>
      <c r="AA1268" s="52"/>
      <c r="AB1268" s="52"/>
      <c r="AC1268" s="52"/>
      <c r="AD1268" s="52"/>
      <c r="AE1268" s="52"/>
      <c r="AF1268" s="52"/>
      <c r="AG1268" s="52"/>
      <c r="AH1268" s="52"/>
      <c r="AI1268" s="52"/>
      <c r="AJ1268" s="52"/>
      <c r="AK1268" s="52"/>
      <c r="AL1268" s="52"/>
      <c r="AM1268" s="52"/>
      <c r="AN1268" s="52"/>
    </row>
    <row r="1269" spans="1:40" x14ac:dyDescent="0.3">
      <c r="A1269" s="52">
        <v>1264</v>
      </c>
      <c r="B1269" s="52">
        <f>-bthan*500+(13+0.5)*bthan*1000/50</f>
        <v>-1265</v>
      </c>
      <c r="C1269" s="52">
        <f t="shared" si="162"/>
        <v>-289.99999999999989</v>
      </c>
      <c r="D1269" s="52">
        <f t="shared" si="159"/>
        <v>2200</v>
      </c>
      <c r="E1269" s="52">
        <f t="shared" si="160"/>
        <v>1</v>
      </c>
      <c r="F1269" s="52"/>
      <c r="G1269" s="52"/>
      <c r="H1269" s="52"/>
      <c r="I1269" s="52"/>
      <c r="J1269" s="52"/>
      <c r="K1269" s="52"/>
      <c r="L1269" s="52"/>
      <c r="M1269" s="52"/>
      <c r="N1269" s="52"/>
      <c r="O1269" s="52"/>
      <c r="P1269" s="52"/>
      <c r="Q1269" s="52"/>
      <c r="R1269" s="52"/>
      <c r="S1269" s="52"/>
      <c r="T1269" s="52"/>
      <c r="U1269" s="52"/>
      <c r="V1269" s="52"/>
      <c r="W1269" s="52"/>
      <c r="X1269" s="52"/>
      <c r="Y1269" s="52"/>
      <c r="Z1269" s="52"/>
      <c r="AA1269" s="52"/>
      <c r="AB1269" s="52"/>
      <c r="AC1269" s="52"/>
      <c r="AD1269" s="52"/>
      <c r="AE1269" s="52"/>
      <c r="AF1269" s="52"/>
      <c r="AG1269" s="52"/>
      <c r="AH1269" s="52"/>
      <c r="AI1269" s="52"/>
      <c r="AJ1269" s="52"/>
      <c r="AK1269" s="52"/>
      <c r="AL1269" s="52"/>
      <c r="AM1269" s="52"/>
      <c r="AN1269" s="52"/>
    </row>
    <row r="1270" spans="1:40" x14ac:dyDescent="0.3">
      <c r="A1270" s="52">
        <v>1265</v>
      </c>
      <c r="B1270" s="52">
        <f>-bthan*500+(14+0.5)*bthan*1000/50</f>
        <v>-1155</v>
      </c>
      <c r="C1270" s="52">
        <f t="shared" si="162"/>
        <v>-289.99999999999989</v>
      </c>
      <c r="D1270" s="52">
        <f t="shared" si="159"/>
        <v>2200</v>
      </c>
      <c r="E1270" s="52">
        <f t="shared" si="160"/>
        <v>1</v>
      </c>
      <c r="F1270" s="52"/>
      <c r="G1270" s="52"/>
      <c r="H1270" s="52"/>
      <c r="I1270" s="52"/>
      <c r="J1270" s="52"/>
      <c r="K1270" s="52"/>
      <c r="L1270" s="52"/>
      <c r="M1270" s="52"/>
      <c r="N1270" s="52"/>
      <c r="O1270" s="52"/>
      <c r="P1270" s="52"/>
      <c r="Q1270" s="52"/>
      <c r="R1270" s="52"/>
      <c r="S1270" s="52"/>
      <c r="T1270" s="52"/>
      <c r="U1270" s="52"/>
      <c r="V1270" s="52"/>
      <c r="W1270" s="52"/>
      <c r="X1270" s="52"/>
      <c r="Y1270" s="52"/>
      <c r="Z1270" s="52"/>
      <c r="AA1270" s="52"/>
      <c r="AB1270" s="52"/>
      <c r="AC1270" s="52"/>
      <c r="AD1270" s="52"/>
      <c r="AE1270" s="52"/>
      <c r="AF1270" s="52"/>
      <c r="AG1270" s="52"/>
      <c r="AH1270" s="52"/>
      <c r="AI1270" s="52"/>
      <c r="AJ1270" s="52"/>
      <c r="AK1270" s="52"/>
      <c r="AL1270" s="52"/>
      <c r="AM1270" s="52"/>
      <c r="AN1270" s="52"/>
    </row>
    <row r="1271" spans="1:40" x14ac:dyDescent="0.3">
      <c r="A1271" s="52">
        <v>1266</v>
      </c>
      <c r="B1271" s="52">
        <f>-bthan*500+(15+0.5)*bthan*1000/50</f>
        <v>-1045</v>
      </c>
      <c r="C1271" s="52">
        <f t="shared" si="162"/>
        <v>-289.99999999999989</v>
      </c>
      <c r="D1271" s="52">
        <f t="shared" si="159"/>
        <v>2200</v>
      </c>
      <c r="E1271" s="52">
        <f t="shared" si="160"/>
        <v>1</v>
      </c>
      <c r="F1271" s="52"/>
      <c r="G1271" s="52"/>
      <c r="H1271" s="52"/>
      <c r="I1271" s="52"/>
      <c r="J1271" s="52"/>
      <c r="K1271" s="52"/>
      <c r="L1271" s="52"/>
      <c r="M1271" s="52"/>
      <c r="N1271" s="52"/>
      <c r="O1271" s="52"/>
      <c r="P1271" s="52"/>
      <c r="Q1271" s="52"/>
      <c r="R1271" s="52"/>
      <c r="S1271" s="52"/>
      <c r="T1271" s="52"/>
      <c r="U1271" s="52"/>
      <c r="V1271" s="52"/>
      <c r="W1271" s="52"/>
      <c r="X1271" s="52"/>
      <c r="Y1271" s="52"/>
      <c r="Z1271" s="52"/>
      <c r="AA1271" s="52"/>
      <c r="AB1271" s="52"/>
      <c r="AC1271" s="52"/>
      <c r="AD1271" s="52"/>
      <c r="AE1271" s="52"/>
      <c r="AF1271" s="52"/>
      <c r="AG1271" s="52"/>
      <c r="AH1271" s="52"/>
      <c r="AI1271" s="52"/>
      <c r="AJ1271" s="52"/>
      <c r="AK1271" s="52"/>
      <c r="AL1271" s="52"/>
      <c r="AM1271" s="52"/>
      <c r="AN1271" s="52"/>
    </row>
    <row r="1272" spans="1:40" x14ac:dyDescent="0.3">
      <c r="A1272" s="52">
        <v>1267</v>
      </c>
      <c r="B1272" s="52">
        <f>-bthan*500+(16+0.5)*bthan*1000/50</f>
        <v>-935</v>
      </c>
      <c r="C1272" s="52">
        <f t="shared" si="162"/>
        <v>-289.99999999999989</v>
      </c>
      <c r="D1272" s="52">
        <f t="shared" si="159"/>
        <v>2200</v>
      </c>
      <c r="E1272" s="52">
        <f t="shared" si="160"/>
        <v>1</v>
      </c>
      <c r="F1272" s="52"/>
      <c r="G1272" s="52"/>
      <c r="H1272" s="52"/>
      <c r="I1272" s="52"/>
      <c r="J1272" s="52"/>
      <c r="K1272" s="52"/>
      <c r="L1272" s="52"/>
      <c r="M1272" s="52"/>
      <c r="N1272" s="52"/>
      <c r="O1272" s="52"/>
      <c r="P1272" s="52"/>
      <c r="Q1272" s="52"/>
      <c r="R1272" s="52"/>
      <c r="S1272" s="52"/>
      <c r="T1272" s="52"/>
      <c r="U1272" s="52"/>
      <c r="V1272" s="52"/>
      <c r="W1272" s="52"/>
      <c r="X1272" s="52"/>
      <c r="Y1272" s="52"/>
      <c r="Z1272" s="52"/>
      <c r="AA1272" s="52"/>
      <c r="AB1272" s="52"/>
      <c r="AC1272" s="52"/>
      <c r="AD1272" s="52"/>
      <c r="AE1272" s="52"/>
      <c r="AF1272" s="52"/>
      <c r="AG1272" s="52"/>
      <c r="AH1272" s="52"/>
      <c r="AI1272" s="52"/>
      <c r="AJ1272" s="52"/>
      <c r="AK1272" s="52"/>
      <c r="AL1272" s="52"/>
      <c r="AM1272" s="52"/>
      <c r="AN1272" s="52"/>
    </row>
    <row r="1273" spans="1:40" x14ac:dyDescent="0.3">
      <c r="A1273" s="52">
        <v>1268</v>
      </c>
      <c r="B1273" s="52">
        <f>-bthan*500+(17+0.5)*bthan*1000/50</f>
        <v>-825</v>
      </c>
      <c r="C1273" s="52">
        <f t="shared" si="162"/>
        <v>-289.99999999999989</v>
      </c>
      <c r="D1273" s="52">
        <f t="shared" si="159"/>
        <v>2200</v>
      </c>
      <c r="E1273" s="52">
        <f t="shared" si="160"/>
        <v>1</v>
      </c>
      <c r="F1273" s="52"/>
      <c r="G1273" s="52"/>
      <c r="H1273" s="52"/>
      <c r="I1273" s="52"/>
      <c r="J1273" s="52"/>
      <c r="K1273" s="52"/>
      <c r="L1273" s="52"/>
      <c r="M1273" s="52"/>
      <c r="N1273" s="52"/>
      <c r="O1273" s="52"/>
      <c r="P1273" s="52"/>
      <c r="Q1273" s="52"/>
      <c r="R1273" s="52"/>
      <c r="S1273" s="52"/>
      <c r="T1273" s="52"/>
      <c r="U1273" s="52"/>
      <c r="V1273" s="52"/>
      <c r="W1273" s="52"/>
      <c r="X1273" s="52"/>
      <c r="Y1273" s="52"/>
      <c r="Z1273" s="52"/>
      <c r="AA1273" s="52"/>
      <c r="AB1273" s="52"/>
      <c r="AC1273" s="52"/>
      <c r="AD1273" s="52"/>
      <c r="AE1273" s="52"/>
      <c r="AF1273" s="52"/>
      <c r="AG1273" s="52"/>
      <c r="AH1273" s="52"/>
      <c r="AI1273" s="52"/>
      <c r="AJ1273" s="52"/>
      <c r="AK1273" s="52"/>
      <c r="AL1273" s="52"/>
      <c r="AM1273" s="52"/>
      <c r="AN1273" s="52"/>
    </row>
    <row r="1274" spans="1:40" x14ac:dyDescent="0.3">
      <c r="A1274" s="52">
        <v>1269</v>
      </c>
      <c r="B1274" s="52">
        <f>-bthan*500+(18+0.5)*bthan*1000/50</f>
        <v>-715</v>
      </c>
      <c r="C1274" s="52">
        <f t="shared" si="162"/>
        <v>-289.99999999999989</v>
      </c>
      <c r="D1274" s="52">
        <f t="shared" si="159"/>
        <v>2200</v>
      </c>
      <c r="E1274" s="52">
        <f t="shared" si="160"/>
        <v>1</v>
      </c>
      <c r="F1274" s="52"/>
      <c r="G1274" s="52"/>
      <c r="H1274" s="52"/>
      <c r="I1274" s="52"/>
      <c r="J1274" s="52"/>
      <c r="K1274" s="52"/>
      <c r="L1274" s="52"/>
      <c r="M1274" s="52"/>
      <c r="N1274" s="52"/>
      <c r="O1274" s="52"/>
      <c r="P1274" s="52"/>
      <c r="Q1274" s="52"/>
      <c r="R1274" s="52"/>
      <c r="S1274" s="52"/>
      <c r="T1274" s="52"/>
      <c r="U1274" s="52"/>
      <c r="V1274" s="52"/>
      <c r="W1274" s="52"/>
      <c r="X1274" s="52"/>
      <c r="Y1274" s="52"/>
      <c r="Z1274" s="52"/>
      <c r="AA1274" s="52"/>
      <c r="AB1274" s="52"/>
      <c r="AC1274" s="52"/>
      <c r="AD1274" s="52"/>
      <c r="AE1274" s="52"/>
      <c r="AF1274" s="52"/>
      <c r="AG1274" s="52"/>
      <c r="AH1274" s="52"/>
      <c r="AI1274" s="52"/>
      <c r="AJ1274" s="52"/>
      <c r="AK1274" s="52"/>
      <c r="AL1274" s="52"/>
      <c r="AM1274" s="52"/>
      <c r="AN1274" s="52"/>
    </row>
    <row r="1275" spans="1:40" x14ac:dyDescent="0.3">
      <c r="A1275" s="52">
        <v>1270</v>
      </c>
      <c r="B1275" s="52">
        <f>-bthan*500+(19+0.5)*bthan*1000/50</f>
        <v>-605</v>
      </c>
      <c r="C1275" s="52">
        <f t="shared" si="162"/>
        <v>-289.99999999999989</v>
      </c>
      <c r="D1275" s="52">
        <f t="shared" si="159"/>
        <v>2200</v>
      </c>
      <c r="E1275" s="52">
        <f t="shared" si="160"/>
        <v>1</v>
      </c>
      <c r="F1275" s="52"/>
      <c r="G1275" s="52"/>
      <c r="H1275" s="52"/>
      <c r="I1275" s="52"/>
      <c r="J1275" s="52"/>
      <c r="K1275" s="52"/>
      <c r="L1275" s="52"/>
      <c r="M1275" s="52"/>
      <c r="N1275" s="52"/>
      <c r="O1275" s="52"/>
      <c r="P1275" s="52"/>
      <c r="Q1275" s="52"/>
      <c r="R1275" s="52"/>
      <c r="S1275" s="52"/>
      <c r="T1275" s="52"/>
      <c r="U1275" s="52"/>
      <c r="V1275" s="52"/>
      <c r="W1275" s="52"/>
      <c r="X1275" s="52"/>
      <c r="Y1275" s="52"/>
      <c r="Z1275" s="52"/>
      <c r="AA1275" s="52"/>
      <c r="AB1275" s="52"/>
      <c r="AC1275" s="52"/>
      <c r="AD1275" s="52"/>
      <c r="AE1275" s="52"/>
      <c r="AF1275" s="52"/>
      <c r="AG1275" s="52"/>
      <c r="AH1275" s="52"/>
      <c r="AI1275" s="52"/>
      <c r="AJ1275" s="52"/>
      <c r="AK1275" s="52"/>
      <c r="AL1275" s="52"/>
      <c r="AM1275" s="52"/>
      <c r="AN1275" s="52"/>
    </row>
    <row r="1276" spans="1:40" x14ac:dyDescent="0.3">
      <c r="A1276" s="52">
        <v>1271</v>
      </c>
      <c r="B1276" s="52">
        <f>-bthan*500+(20+0.5)*bthan*1000/50</f>
        <v>-495</v>
      </c>
      <c r="C1276" s="52">
        <f t="shared" si="162"/>
        <v>-289.99999999999989</v>
      </c>
      <c r="D1276" s="52">
        <f t="shared" si="159"/>
        <v>2200</v>
      </c>
      <c r="E1276" s="52">
        <f t="shared" si="160"/>
        <v>1</v>
      </c>
      <c r="F1276" s="52"/>
      <c r="G1276" s="52"/>
      <c r="H1276" s="52"/>
      <c r="I1276" s="52"/>
      <c r="J1276" s="52"/>
      <c r="K1276" s="52"/>
      <c r="L1276" s="52"/>
      <c r="M1276" s="52"/>
      <c r="N1276" s="52"/>
      <c r="O1276" s="52"/>
      <c r="P1276" s="52"/>
      <c r="Q1276" s="52"/>
      <c r="R1276" s="52"/>
      <c r="S1276" s="52"/>
      <c r="T1276" s="52"/>
      <c r="U1276" s="52"/>
      <c r="V1276" s="52"/>
      <c r="W1276" s="52"/>
      <c r="X1276" s="52"/>
      <c r="Y1276" s="52"/>
      <c r="Z1276" s="52"/>
      <c r="AA1276" s="52"/>
      <c r="AB1276" s="52"/>
      <c r="AC1276" s="52"/>
      <c r="AD1276" s="52"/>
      <c r="AE1276" s="52"/>
      <c r="AF1276" s="52"/>
      <c r="AG1276" s="52"/>
      <c r="AH1276" s="52"/>
      <c r="AI1276" s="52"/>
      <c r="AJ1276" s="52"/>
      <c r="AK1276" s="52"/>
      <c r="AL1276" s="52"/>
      <c r="AM1276" s="52"/>
      <c r="AN1276" s="52"/>
    </row>
    <row r="1277" spans="1:40" x14ac:dyDescent="0.3">
      <c r="A1277" s="52">
        <v>1272</v>
      </c>
      <c r="B1277" s="52">
        <f>-bthan*500+(21+0.5)*bthan*1000/50</f>
        <v>-385</v>
      </c>
      <c r="C1277" s="52">
        <f t="shared" si="162"/>
        <v>-289.99999999999989</v>
      </c>
      <c r="D1277" s="52">
        <f t="shared" si="159"/>
        <v>2200</v>
      </c>
      <c r="E1277" s="52">
        <f t="shared" si="160"/>
        <v>1</v>
      </c>
      <c r="F1277" s="52"/>
      <c r="G1277" s="52"/>
      <c r="H1277" s="52"/>
      <c r="I1277" s="52"/>
      <c r="J1277" s="52"/>
      <c r="K1277" s="52"/>
      <c r="L1277" s="52"/>
      <c r="M1277" s="52"/>
      <c r="N1277" s="52"/>
      <c r="O1277" s="52"/>
      <c r="P1277" s="52"/>
      <c r="Q1277" s="52"/>
      <c r="R1277" s="52"/>
      <c r="S1277" s="52"/>
      <c r="T1277" s="52"/>
      <c r="U1277" s="52"/>
      <c r="V1277" s="52"/>
      <c r="W1277" s="52"/>
      <c r="X1277" s="52"/>
      <c r="Y1277" s="52"/>
      <c r="Z1277" s="52"/>
      <c r="AA1277" s="52"/>
      <c r="AB1277" s="52"/>
      <c r="AC1277" s="52"/>
      <c r="AD1277" s="52"/>
      <c r="AE1277" s="52"/>
      <c r="AF1277" s="52"/>
      <c r="AG1277" s="52"/>
      <c r="AH1277" s="52"/>
      <c r="AI1277" s="52"/>
      <c r="AJ1277" s="52"/>
      <c r="AK1277" s="52"/>
      <c r="AL1277" s="52"/>
      <c r="AM1277" s="52"/>
      <c r="AN1277" s="52"/>
    </row>
    <row r="1278" spans="1:40" x14ac:dyDescent="0.3">
      <c r="A1278" s="52">
        <v>1273</v>
      </c>
      <c r="B1278" s="52">
        <f>-bthan*500+(22+0.5)*bthan*1000/50</f>
        <v>-275</v>
      </c>
      <c r="C1278" s="52">
        <f t="shared" si="162"/>
        <v>-289.99999999999989</v>
      </c>
      <c r="D1278" s="52">
        <f t="shared" si="159"/>
        <v>2200</v>
      </c>
      <c r="E1278" s="52">
        <f t="shared" si="160"/>
        <v>1</v>
      </c>
      <c r="F1278" s="52"/>
      <c r="G1278" s="52"/>
      <c r="H1278" s="52"/>
      <c r="I1278" s="52"/>
      <c r="J1278" s="52"/>
      <c r="K1278" s="52"/>
      <c r="L1278" s="52"/>
      <c r="M1278" s="52"/>
      <c r="N1278" s="52"/>
      <c r="O1278" s="52"/>
      <c r="P1278" s="52"/>
      <c r="Q1278" s="52"/>
      <c r="R1278" s="52"/>
      <c r="S1278" s="52"/>
      <c r="T1278" s="52"/>
      <c r="U1278" s="52"/>
      <c r="V1278" s="52"/>
      <c r="W1278" s="52"/>
      <c r="X1278" s="52"/>
      <c r="Y1278" s="52"/>
      <c r="Z1278" s="52"/>
      <c r="AA1278" s="52"/>
      <c r="AB1278" s="52"/>
      <c r="AC1278" s="52"/>
      <c r="AD1278" s="52"/>
      <c r="AE1278" s="52"/>
      <c r="AF1278" s="52"/>
      <c r="AG1278" s="52"/>
      <c r="AH1278" s="52"/>
      <c r="AI1278" s="52"/>
      <c r="AJ1278" s="52"/>
      <c r="AK1278" s="52"/>
      <c r="AL1278" s="52"/>
      <c r="AM1278" s="52"/>
      <c r="AN1278" s="52"/>
    </row>
    <row r="1279" spans="1:40" x14ac:dyDescent="0.3">
      <c r="A1279" s="52">
        <v>1274</v>
      </c>
      <c r="B1279" s="52">
        <f>-bthan*500+(23+0.5)*bthan*1000/50</f>
        <v>-165</v>
      </c>
      <c r="C1279" s="52">
        <f t="shared" si="162"/>
        <v>-289.99999999999989</v>
      </c>
      <c r="D1279" s="52">
        <f t="shared" si="159"/>
        <v>2200</v>
      </c>
      <c r="E1279" s="52">
        <f t="shared" si="160"/>
        <v>1</v>
      </c>
      <c r="F1279" s="52"/>
      <c r="G1279" s="52"/>
      <c r="H1279" s="52"/>
      <c r="I1279" s="52"/>
      <c r="J1279" s="52"/>
      <c r="K1279" s="52"/>
      <c r="L1279" s="52"/>
      <c r="M1279" s="52"/>
      <c r="N1279" s="52"/>
      <c r="O1279" s="52"/>
      <c r="P1279" s="52"/>
      <c r="Q1279" s="52"/>
      <c r="R1279" s="52"/>
      <c r="S1279" s="52"/>
      <c r="T1279" s="52"/>
      <c r="U1279" s="52"/>
      <c r="V1279" s="52"/>
      <c r="W1279" s="52"/>
      <c r="X1279" s="52"/>
      <c r="Y1279" s="52"/>
      <c r="Z1279" s="52"/>
      <c r="AA1279" s="52"/>
      <c r="AB1279" s="52"/>
      <c r="AC1279" s="52"/>
      <c r="AD1279" s="52"/>
      <c r="AE1279" s="52"/>
      <c r="AF1279" s="52"/>
      <c r="AG1279" s="52"/>
      <c r="AH1279" s="52"/>
      <c r="AI1279" s="52"/>
      <c r="AJ1279" s="52"/>
      <c r="AK1279" s="52"/>
      <c r="AL1279" s="52"/>
      <c r="AM1279" s="52"/>
      <c r="AN1279" s="52"/>
    </row>
    <row r="1280" spans="1:40" x14ac:dyDescent="0.3">
      <c r="A1280" s="52">
        <v>1275</v>
      </c>
      <c r="B1280" s="52">
        <f>-bthan*500+(24+0.5)*bthan*1000/50</f>
        <v>-55</v>
      </c>
      <c r="C1280" s="52">
        <f t="shared" si="162"/>
        <v>-289.99999999999989</v>
      </c>
      <c r="D1280" s="52">
        <f t="shared" si="159"/>
        <v>2200</v>
      </c>
      <c r="E1280" s="52">
        <f t="shared" si="160"/>
        <v>1</v>
      </c>
      <c r="F1280" s="52"/>
      <c r="G1280" s="52"/>
      <c r="H1280" s="52"/>
      <c r="I1280" s="52"/>
      <c r="J1280" s="52"/>
      <c r="K1280" s="52"/>
      <c r="L1280" s="52"/>
      <c r="M1280" s="52"/>
      <c r="N1280" s="52"/>
      <c r="O1280" s="52"/>
      <c r="P1280" s="52"/>
      <c r="Q1280" s="52"/>
      <c r="R1280" s="52"/>
      <c r="S1280" s="52"/>
      <c r="T1280" s="52"/>
      <c r="U1280" s="52"/>
      <c r="V1280" s="52"/>
      <c r="W1280" s="52"/>
      <c r="X1280" s="52"/>
      <c r="Y1280" s="52"/>
      <c r="Z1280" s="52"/>
      <c r="AA1280" s="52"/>
      <c r="AB1280" s="52"/>
      <c r="AC1280" s="52"/>
      <c r="AD1280" s="52"/>
      <c r="AE1280" s="52"/>
      <c r="AF1280" s="52"/>
      <c r="AG1280" s="52"/>
      <c r="AH1280" s="52"/>
      <c r="AI1280" s="52"/>
      <c r="AJ1280" s="52"/>
      <c r="AK1280" s="52"/>
      <c r="AL1280" s="52"/>
      <c r="AM1280" s="52"/>
      <c r="AN1280" s="52"/>
    </row>
    <row r="1281" spans="1:40" x14ac:dyDescent="0.3">
      <c r="A1281" s="52">
        <v>1276</v>
      </c>
      <c r="B1281" s="52">
        <f>-bthan*500+(25+0.5)*bthan*1000/50</f>
        <v>55</v>
      </c>
      <c r="C1281" s="52">
        <f t="shared" si="162"/>
        <v>-289.99999999999989</v>
      </c>
      <c r="D1281" s="52">
        <f t="shared" si="159"/>
        <v>2200</v>
      </c>
      <c r="E1281" s="52">
        <f t="shared" si="160"/>
        <v>1</v>
      </c>
      <c r="F1281" s="52"/>
      <c r="G1281" s="52"/>
      <c r="H1281" s="52"/>
      <c r="I1281" s="52"/>
      <c r="J1281" s="52"/>
      <c r="K1281" s="52"/>
      <c r="L1281" s="52"/>
      <c r="M1281" s="52"/>
      <c r="N1281" s="52"/>
      <c r="O1281" s="52"/>
      <c r="P1281" s="52"/>
      <c r="Q1281" s="52"/>
      <c r="R1281" s="52"/>
      <c r="S1281" s="52"/>
      <c r="T1281" s="52"/>
      <c r="U1281" s="52"/>
      <c r="V1281" s="52"/>
      <c r="W1281" s="52"/>
      <c r="X1281" s="52"/>
      <c r="Y1281" s="52"/>
      <c r="Z1281" s="52"/>
      <c r="AA1281" s="52"/>
      <c r="AB1281" s="52"/>
      <c r="AC1281" s="52"/>
      <c r="AD1281" s="52"/>
      <c r="AE1281" s="52"/>
      <c r="AF1281" s="52"/>
      <c r="AG1281" s="52"/>
      <c r="AH1281" s="52"/>
      <c r="AI1281" s="52"/>
      <c r="AJ1281" s="52"/>
      <c r="AK1281" s="52"/>
      <c r="AL1281" s="52"/>
      <c r="AM1281" s="52"/>
      <c r="AN1281" s="52"/>
    </row>
    <row r="1282" spans="1:40" x14ac:dyDescent="0.3">
      <c r="A1282" s="52">
        <v>1277</v>
      </c>
      <c r="B1282" s="52">
        <f>-bthan*500+(26+0.5)*bthan*1000/50</f>
        <v>165</v>
      </c>
      <c r="C1282" s="52">
        <f t="shared" si="162"/>
        <v>-289.99999999999989</v>
      </c>
      <c r="D1282" s="52">
        <f t="shared" si="159"/>
        <v>2200</v>
      </c>
      <c r="E1282" s="52">
        <f t="shared" si="160"/>
        <v>1</v>
      </c>
      <c r="F1282" s="52"/>
      <c r="G1282" s="52"/>
      <c r="H1282" s="52"/>
      <c r="I1282" s="52"/>
      <c r="J1282" s="52"/>
      <c r="K1282" s="52"/>
      <c r="L1282" s="52"/>
      <c r="M1282" s="52"/>
      <c r="N1282" s="52"/>
      <c r="O1282" s="52"/>
      <c r="P1282" s="52"/>
      <c r="Q1282" s="52"/>
      <c r="R1282" s="52"/>
      <c r="S1282" s="52"/>
      <c r="T1282" s="52"/>
      <c r="U1282" s="52"/>
      <c r="V1282" s="52"/>
      <c r="W1282" s="52"/>
      <c r="X1282" s="52"/>
      <c r="Y1282" s="52"/>
      <c r="Z1282" s="52"/>
      <c r="AA1282" s="52"/>
      <c r="AB1282" s="52"/>
      <c r="AC1282" s="52"/>
      <c r="AD1282" s="52"/>
      <c r="AE1282" s="52"/>
      <c r="AF1282" s="52"/>
      <c r="AG1282" s="52"/>
      <c r="AH1282" s="52"/>
      <c r="AI1282" s="52"/>
      <c r="AJ1282" s="52"/>
      <c r="AK1282" s="52"/>
      <c r="AL1282" s="52"/>
      <c r="AM1282" s="52"/>
      <c r="AN1282" s="52"/>
    </row>
    <row r="1283" spans="1:40" x14ac:dyDescent="0.3">
      <c r="A1283" s="52">
        <v>1278</v>
      </c>
      <c r="B1283" s="52">
        <f>-bthan*500+(27+0.5)*bthan*1000/50</f>
        <v>275</v>
      </c>
      <c r="C1283" s="52">
        <f t="shared" si="162"/>
        <v>-289.99999999999989</v>
      </c>
      <c r="D1283" s="52">
        <f t="shared" si="159"/>
        <v>2200</v>
      </c>
      <c r="E1283" s="52">
        <f t="shared" si="160"/>
        <v>1</v>
      </c>
      <c r="F1283" s="52"/>
      <c r="G1283" s="52"/>
      <c r="H1283" s="52"/>
      <c r="I1283" s="52"/>
      <c r="J1283" s="52"/>
      <c r="K1283" s="52"/>
      <c r="L1283" s="52"/>
      <c r="M1283" s="52"/>
      <c r="N1283" s="52"/>
      <c r="O1283" s="52"/>
      <c r="P1283" s="52"/>
      <c r="Q1283" s="52"/>
      <c r="R1283" s="52"/>
      <c r="S1283" s="52"/>
      <c r="T1283" s="52"/>
      <c r="U1283" s="52"/>
      <c r="V1283" s="52"/>
      <c r="W1283" s="52"/>
      <c r="X1283" s="52"/>
      <c r="Y1283" s="52"/>
      <c r="Z1283" s="52"/>
      <c r="AA1283" s="52"/>
      <c r="AB1283" s="52"/>
      <c r="AC1283" s="52"/>
      <c r="AD1283" s="52"/>
      <c r="AE1283" s="52"/>
      <c r="AF1283" s="52"/>
      <c r="AG1283" s="52"/>
      <c r="AH1283" s="52"/>
      <c r="AI1283" s="52"/>
      <c r="AJ1283" s="52"/>
      <c r="AK1283" s="52"/>
      <c r="AL1283" s="52"/>
      <c r="AM1283" s="52"/>
      <c r="AN1283" s="52"/>
    </row>
    <row r="1284" spans="1:40" x14ac:dyDescent="0.3">
      <c r="A1284" s="52">
        <v>1279</v>
      </c>
      <c r="B1284" s="52">
        <f>-bthan*500+(28+0.5)*bthan*1000/50</f>
        <v>385</v>
      </c>
      <c r="C1284" s="52">
        <f t="shared" si="162"/>
        <v>-289.99999999999989</v>
      </c>
      <c r="D1284" s="52">
        <f t="shared" si="159"/>
        <v>2200</v>
      </c>
      <c r="E1284" s="52">
        <f t="shared" si="160"/>
        <v>1</v>
      </c>
      <c r="F1284" s="52"/>
      <c r="G1284" s="52"/>
      <c r="H1284" s="52"/>
      <c r="I1284" s="52"/>
      <c r="J1284" s="52"/>
      <c r="K1284" s="52"/>
      <c r="L1284" s="52"/>
      <c r="M1284" s="52"/>
      <c r="N1284" s="52"/>
      <c r="O1284" s="52"/>
      <c r="P1284" s="52"/>
      <c r="Q1284" s="52"/>
      <c r="R1284" s="52"/>
      <c r="S1284" s="52"/>
      <c r="T1284" s="52"/>
      <c r="U1284" s="52"/>
      <c r="V1284" s="52"/>
      <c r="W1284" s="52"/>
      <c r="X1284" s="52"/>
      <c r="Y1284" s="52"/>
      <c r="Z1284" s="52"/>
      <c r="AA1284" s="52"/>
      <c r="AB1284" s="52"/>
      <c r="AC1284" s="52"/>
      <c r="AD1284" s="52"/>
      <c r="AE1284" s="52"/>
      <c r="AF1284" s="52"/>
      <c r="AG1284" s="52"/>
      <c r="AH1284" s="52"/>
      <c r="AI1284" s="52"/>
      <c r="AJ1284" s="52"/>
      <c r="AK1284" s="52"/>
      <c r="AL1284" s="52"/>
      <c r="AM1284" s="52"/>
      <c r="AN1284" s="52"/>
    </row>
    <row r="1285" spans="1:40" x14ac:dyDescent="0.3">
      <c r="A1285" s="52">
        <v>1280</v>
      </c>
      <c r="B1285" s="52">
        <f>-bthan*500+(29+0.5)*bthan*1000/50</f>
        <v>495</v>
      </c>
      <c r="C1285" s="52">
        <f t="shared" si="162"/>
        <v>-289.99999999999989</v>
      </c>
      <c r="D1285" s="52">
        <f t="shared" si="159"/>
        <v>2200</v>
      </c>
      <c r="E1285" s="52">
        <f t="shared" si="160"/>
        <v>1</v>
      </c>
      <c r="F1285" s="52"/>
      <c r="G1285" s="52"/>
      <c r="H1285" s="52"/>
      <c r="I1285" s="52"/>
      <c r="J1285" s="52"/>
      <c r="K1285" s="52"/>
      <c r="L1285" s="52"/>
      <c r="M1285" s="52"/>
      <c r="N1285" s="52"/>
      <c r="O1285" s="52"/>
      <c r="P1285" s="52"/>
      <c r="Q1285" s="52"/>
      <c r="R1285" s="52"/>
      <c r="S1285" s="52"/>
      <c r="T1285" s="52"/>
      <c r="U1285" s="52"/>
      <c r="V1285" s="52"/>
      <c r="W1285" s="52"/>
      <c r="X1285" s="52"/>
      <c r="Y1285" s="52"/>
      <c r="Z1285" s="52"/>
      <c r="AA1285" s="52"/>
      <c r="AB1285" s="52"/>
      <c r="AC1285" s="52"/>
      <c r="AD1285" s="52"/>
      <c r="AE1285" s="52"/>
      <c r="AF1285" s="52"/>
      <c r="AG1285" s="52"/>
      <c r="AH1285" s="52"/>
      <c r="AI1285" s="52"/>
      <c r="AJ1285" s="52"/>
      <c r="AK1285" s="52"/>
      <c r="AL1285" s="52"/>
      <c r="AM1285" s="52"/>
      <c r="AN1285" s="52"/>
    </row>
    <row r="1286" spans="1:40" x14ac:dyDescent="0.3">
      <c r="A1286" s="52">
        <v>1281</v>
      </c>
      <c r="B1286" s="52">
        <f>-bthan*500+(30+0.5)*bthan*1000/50</f>
        <v>605</v>
      </c>
      <c r="C1286" s="52">
        <f t="shared" si="162"/>
        <v>-289.99999999999989</v>
      </c>
      <c r="D1286" s="52">
        <f t="shared" ref="D1286:D1349" si="163">bthan*1000/50*hthan*1000/80</f>
        <v>2200</v>
      </c>
      <c r="E1286" s="52">
        <f t="shared" ref="E1286:E1349" si="164">IF(shp=1,--(OR(ABS(B1286)&lt;=MAX(0,(bthan-hthan)*500),(ABS(B1286)-MAX(0,(bthan-hthan)*500))^2+C1286^2&lt;=(hthan*500)^2)),--(AND(ABS(B1286)&lt;=bthan*500,ABS(C1286)&lt;=hthan*500,OR(ABS(B1286)&lt;=bthan*500-cch*1000,ABS(C1286)&lt;=hthan*500-cch*1000,(bthan*500-ABS(B1286))+(hthan*500-ABS(C1286))&gt;=cch*1000))))</f>
        <v>1</v>
      </c>
      <c r="F1286" s="52"/>
      <c r="G1286" s="52"/>
      <c r="H1286" s="52"/>
      <c r="I1286" s="52"/>
      <c r="J1286" s="52"/>
      <c r="K1286" s="52"/>
      <c r="L1286" s="52"/>
      <c r="M1286" s="52"/>
      <c r="N1286" s="52"/>
      <c r="O1286" s="52"/>
      <c r="P1286" s="52"/>
      <c r="Q1286" s="52"/>
      <c r="R1286" s="52"/>
      <c r="S1286" s="52"/>
      <c r="T1286" s="52"/>
      <c r="U1286" s="52"/>
      <c r="V1286" s="52"/>
      <c r="W1286" s="52"/>
      <c r="X1286" s="52"/>
      <c r="Y1286" s="52"/>
      <c r="Z1286" s="52"/>
      <c r="AA1286" s="52"/>
      <c r="AB1286" s="52"/>
      <c r="AC1286" s="52"/>
      <c r="AD1286" s="52"/>
      <c r="AE1286" s="52"/>
      <c r="AF1286" s="52"/>
      <c r="AG1286" s="52"/>
      <c r="AH1286" s="52"/>
      <c r="AI1286" s="52"/>
      <c r="AJ1286" s="52"/>
      <c r="AK1286" s="52"/>
      <c r="AL1286" s="52"/>
      <c r="AM1286" s="52"/>
      <c r="AN1286" s="52"/>
    </row>
    <row r="1287" spans="1:40" x14ac:dyDescent="0.3">
      <c r="A1287" s="52">
        <v>1282</v>
      </c>
      <c r="B1287" s="52">
        <f>-bthan*500+(31+0.5)*bthan*1000/50</f>
        <v>715</v>
      </c>
      <c r="C1287" s="52">
        <f t="shared" si="162"/>
        <v>-289.99999999999989</v>
      </c>
      <c r="D1287" s="52">
        <f t="shared" si="163"/>
        <v>2200</v>
      </c>
      <c r="E1287" s="52">
        <f t="shared" si="164"/>
        <v>1</v>
      </c>
      <c r="F1287" s="52"/>
      <c r="G1287" s="52"/>
      <c r="H1287" s="52"/>
      <c r="I1287" s="52"/>
      <c r="J1287" s="52"/>
      <c r="K1287" s="52"/>
      <c r="L1287" s="52"/>
      <c r="M1287" s="52"/>
      <c r="N1287" s="52"/>
      <c r="O1287" s="52"/>
      <c r="P1287" s="52"/>
      <c r="Q1287" s="52"/>
      <c r="R1287" s="52"/>
      <c r="S1287" s="52"/>
      <c r="T1287" s="52"/>
      <c r="U1287" s="52"/>
      <c r="V1287" s="52"/>
      <c r="W1287" s="52"/>
      <c r="X1287" s="52"/>
      <c r="Y1287" s="52"/>
      <c r="Z1287" s="52"/>
      <c r="AA1287" s="52"/>
      <c r="AB1287" s="52"/>
      <c r="AC1287" s="52"/>
      <c r="AD1287" s="52"/>
      <c r="AE1287" s="52"/>
      <c r="AF1287" s="52"/>
      <c r="AG1287" s="52"/>
      <c r="AH1287" s="52"/>
      <c r="AI1287" s="52"/>
      <c r="AJ1287" s="52"/>
      <c r="AK1287" s="52"/>
      <c r="AL1287" s="52"/>
      <c r="AM1287" s="52"/>
      <c r="AN1287" s="52"/>
    </row>
    <row r="1288" spans="1:40" x14ac:dyDescent="0.3">
      <c r="A1288" s="52">
        <v>1283</v>
      </c>
      <c r="B1288" s="52">
        <f>-bthan*500+(32+0.5)*bthan*1000/50</f>
        <v>825</v>
      </c>
      <c r="C1288" s="52">
        <f t="shared" ref="C1288:C1305" si="165">-hthan*500+(25+0.5)*hthan*1000/80</f>
        <v>-289.99999999999989</v>
      </c>
      <c r="D1288" s="52">
        <f t="shared" si="163"/>
        <v>2200</v>
      </c>
      <c r="E1288" s="52">
        <f t="shared" si="164"/>
        <v>1</v>
      </c>
      <c r="F1288" s="52"/>
      <c r="G1288" s="52"/>
      <c r="H1288" s="52"/>
      <c r="I1288" s="52"/>
      <c r="J1288" s="52"/>
      <c r="K1288" s="52"/>
      <c r="L1288" s="52"/>
      <c r="M1288" s="52"/>
      <c r="N1288" s="52"/>
      <c r="O1288" s="52"/>
      <c r="P1288" s="52"/>
      <c r="Q1288" s="52"/>
      <c r="R1288" s="52"/>
      <c r="S1288" s="52"/>
      <c r="T1288" s="52"/>
      <c r="U1288" s="52"/>
      <c r="V1288" s="52"/>
      <c r="W1288" s="52"/>
      <c r="X1288" s="52"/>
      <c r="Y1288" s="52"/>
      <c r="Z1288" s="52"/>
      <c r="AA1288" s="52"/>
      <c r="AB1288" s="52"/>
      <c r="AC1288" s="52"/>
      <c r="AD1288" s="52"/>
      <c r="AE1288" s="52"/>
      <c r="AF1288" s="52"/>
      <c r="AG1288" s="52"/>
      <c r="AH1288" s="52"/>
      <c r="AI1288" s="52"/>
      <c r="AJ1288" s="52"/>
      <c r="AK1288" s="52"/>
      <c r="AL1288" s="52"/>
      <c r="AM1288" s="52"/>
      <c r="AN1288" s="52"/>
    </row>
    <row r="1289" spans="1:40" x14ac:dyDescent="0.3">
      <c r="A1289" s="52">
        <v>1284</v>
      </c>
      <c r="B1289" s="52">
        <f>-bthan*500+(33+0.5)*bthan*1000/50</f>
        <v>935</v>
      </c>
      <c r="C1289" s="52">
        <f t="shared" si="165"/>
        <v>-289.99999999999989</v>
      </c>
      <c r="D1289" s="52">
        <f t="shared" si="163"/>
        <v>2200</v>
      </c>
      <c r="E1289" s="52">
        <f t="shared" si="164"/>
        <v>1</v>
      </c>
      <c r="F1289" s="52"/>
      <c r="G1289" s="52"/>
      <c r="H1289" s="52"/>
      <c r="I1289" s="52"/>
      <c r="J1289" s="52"/>
      <c r="K1289" s="52"/>
      <c r="L1289" s="52"/>
      <c r="M1289" s="52"/>
      <c r="N1289" s="52"/>
      <c r="O1289" s="52"/>
      <c r="P1289" s="52"/>
      <c r="Q1289" s="52"/>
      <c r="R1289" s="52"/>
      <c r="S1289" s="52"/>
      <c r="T1289" s="52"/>
      <c r="U1289" s="52"/>
      <c r="V1289" s="52"/>
      <c r="W1289" s="52"/>
      <c r="X1289" s="52"/>
      <c r="Y1289" s="52"/>
      <c r="Z1289" s="52"/>
      <c r="AA1289" s="52"/>
      <c r="AB1289" s="52"/>
      <c r="AC1289" s="52"/>
      <c r="AD1289" s="52"/>
      <c r="AE1289" s="52"/>
      <c r="AF1289" s="52"/>
      <c r="AG1289" s="52"/>
      <c r="AH1289" s="52"/>
      <c r="AI1289" s="52"/>
      <c r="AJ1289" s="52"/>
      <c r="AK1289" s="52"/>
      <c r="AL1289" s="52"/>
      <c r="AM1289" s="52"/>
      <c r="AN1289" s="52"/>
    </row>
    <row r="1290" spans="1:40" x14ac:dyDescent="0.3">
      <c r="A1290" s="52">
        <v>1285</v>
      </c>
      <c r="B1290" s="52">
        <f>-bthan*500+(34+0.5)*bthan*1000/50</f>
        <v>1045</v>
      </c>
      <c r="C1290" s="52">
        <f t="shared" si="165"/>
        <v>-289.99999999999989</v>
      </c>
      <c r="D1290" s="52">
        <f t="shared" si="163"/>
        <v>2200</v>
      </c>
      <c r="E1290" s="52">
        <f t="shared" si="164"/>
        <v>1</v>
      </c>
      <c r="F1290" s="52"/>
      <c r="G1290" s="52"/>
      <c r="H1290" s="52"/>
      <c r="I1290" s="52"/>
      <c r="J1290" s="52"/>
      <c r="K1290" s="52"/>
      <c r="L1290" s="52"/>
      <c r="M1290" s="52"/>
      <c r="N1290" s="52"/>
      <c r="O1290" s="52"/>
      <c r="P1290" s="52"/>
      <c r="Q1290" s="52"/>
      <c r="R1290" s="52"/>
      <c r="S1290" s="52"/>
      <c r="T1290" s="52"/>
      <c r="U1290" s="52"/>
      <c r="V1290" s="52"/>
      <c r="W1290" s="52"/>
      <c r="X1290" s="52"/>
      <c r="Y1290" s="52"/>
      <c r="Z1290" s="52"/>
      <c r="AA1290" s="52"/>
      <c r="AB1290" s="52"/>
      <c r="AC1290" s="52"/>
      <c r="AD1290" s="52"/>
      <c r="AE1290" s="52"/>
      <c r="AF1290" s="52"/>
      <c r="AG1290" s="52"/>
      <c r="AH1290" s="52"/>
      <c r="AI1290" s="52"/>
      <c r="AJ1290" s="52"/>
      <c r="AK1290" s="52"/>
      <c r="AL1290" s="52"/>
      <c r="AM1290" s="52"/>
      <c r="AN1290" s="52"/>
    </row>
    <row r="1291" spans="1:40" x14ac:dyDescent="0.3">
      <c r="A1291" s="52">
        <v>1286</v>
      </c>
      <c r="B1291" s="52">
        <f>-bthan*500+(35+0.5)*bthan*1000/50</f>
        <v>1155</v>
      </c>
      <c r="C1291" s="52">
        <f t="shared" si="165"/>
        <v>-289.99999999999989</v>
      </c>
      <c r="D1291" s="52">
        <f t="shared" si="163"/>
        <v>2200</v>
      </c>
      <c r="E1291" s="52">
        <f t="shared" si="164"/>
        <v>1</v>
      </c>
      <c r="F1291" s="52"/>
      <c r="G1291" s="52"/>
      <c r="H1291" s="52"/>
      <c r="I1291" s="52"/>
      <c r="J1291" s="52"/>
      <c r="K1291" s="52"/>
      <c r="L1291" s="52"/>
      <c r="M1291" s="52"/>
      <c r="N1291" s="52"/>
      <c r="O1291" s="52"/>
      <c r="P1291" s="52"/>
      <c r="Q1291" s="52"/>
      <c r="R1291" s="52"/>
      <c r="S1291" s="52"/>
      <c r="T1291" s="52"/>
      <c r="U1291" s="52"/>
      <c r="V1291" s="52"/>
      <c r="W1291" s="52"/>
      <c r="X1291" s="52"/>
      <c r="Y1291" s="52"/>
      <c r="Z1291" s="52"/>
      <c r="AA1291" s="52"/>
      <c r="AB1291" s="52"/>
      <c r="AC1291" s="52"/>
      <c r="AD1291" s="52"/>
      <c r="AE1291" s="52"/>
      <c r="AF1291" s="52"/>
      <c r="AG1291" s="52"/>
      <c r="AH1291" s="52"/>
      <c r="AI1291" s="52"/>
      <c r="AJ1291" s="52"/>
      <c r="AK1291" s="52"/>
      <c r="AL1291" s="52"/>
      <c r="AM1291" s="52"/>
      <c r="AN1291" s="52"/>
    </row>
    <row r="1292" spans="1:40" x14ac:dyDescent="0.3">
      <c r="A1292" s="52">
        <v>1287</v>
      </c>
      <c r="B1292" s="52">
        <f>-bthan*500+(36+0.5)*bthan*1000/50</f>
        <v>1265</v>
      </c>
      <c r="C1292" s="52">
        <f t="shared" si="165"/>
        <v>-289.99999999999989</v>
      </c>
      <c r="D1292" s="52">
        <f t="shared" si="163"/>
        <v>2200</v>
      </c>
      <c r="E1292" s="52">
        <f t="shared" si="164"/>
        <v>1</v>
      </c>
      <c r="F1292" s="52"/>
      <c r="G1292" s="52"/>
      <c r="H1292" s="52"/>
      <c r="I1292" s="52"/>
      <c r="J1292" s="52"/>
      <c r="K1292" s="52"/>
      <c r="L1292" s="52"/>
      <c r="M1292" s="52"/>
      <c r="N1292" s="52"/>
      <c r="O1292" s="52"/>
      <c r="P1292" s="52"/>
      <c r="Q1292" s="52"/>
      <c r="R1292" s="52"/>
      <c r="S1292" s="52"/>
      <c r="T1292" s="52"/>
      <c r="U1292" s="52"/>
      <c r="V1292" s="52"/>
      <c r="W1292" s="52"/>
      <c r="X1292" s="52"/>
      <c r="Y1292" s="52"/>
      <c r="Z1292" s="52"/>
      <c r="AA1292" s="52"/>
      <c r="AB1292" s="52"/>
      <c r="AC1292" s="52"/>
      <c r="AD1292" s="52"/>
      <c r="AE1292" s="52"/>
      <c r="AF1292" s="52"/>
      <c r="AG1292" s="52"/>
      <c r="AH1292" s="52"/>
      <c r="AI1292" s="52"/>
      <c r="AJ1292" s="52"/>
      <c r="AK1292" s="52"/>
      <c r="AL1292" s="52"/>
      <c r="AM1292" s="52"/>
      <c r="AN1292" s="52"/>
    </row>
    <row r="1293" spans="1:40" x14ac:dyDescent="0.3">
      <c r="A1293" s="52">
        <v>1288</v>
      </c>
      <c r="B1293" s="52">
        <f>-bthan*500+(37+0.5)*bthan*1000/50</f>
        <v>1375</v>
      </c>
      <c r="C1293" s="52">
        <f t="shared" si="165"/>
        <v>-289.99999999999989</v>
      </c>
      <c r="D1293" s="52">
        <f t="shared" si="163"/>
        <v>2200</v>
      </c>
      <c r="E1293" s="52">
        <f t="shared" si="164"/>
        <v>1</v>
      </c>
      <c r="F1293" s="52"/>
      <c r="G1293" s="52"/>
      <c r="H1293" s="52"/>
      <c r="I1293" s="52"/>
      <c r="J1293" s="52"/>
      <c r="K1293" s="52"/>
      <c r="L1293" s="52"/>
      <c r="M1293" s="52"/>
      <c r="N1293" s="52"/>
      <c r="O1293" s="52"/>
      <c r="P1293" s="52"/>
      <c r="Q1293" s="52"/>
      <c r="R1293" s="52"/>
      <c r="S1293" s="52"/>
      <c r="T1293" s="52"/>
      <c r="U1293" s="52"/>
      <c r="V1293" s="52"/>
      <c r="W1293" s="52"/>
      <c r="X1293" s="52"/>
      <c r="Y1293" s="52"/>
      <c r="Z1293" s="52"/>
      <c r="AA1293" s="52"/>
      <c r="AB1293" s="52"/>
      <c r="AC1293" s="52"/>
      <c r="AD1293" s="52"/>
      <c r="AE1293" s="52"/>
      <c r="AF1293" s="52"/>
      <c r="AG1293" s="52"/>
      <c r="AH1293" s="52"/>
      <c r="AI1293" s="52"/>
      <c r="AJ1293" s="52"/>
      <c r="AK1293" s="52"/>
      <c r="AL1293" s="52"/>
      <c r="AM1293" s="52"/>
      <c r="AN1293" s="52"/>
    </row>
    <row r="1294" spans="1:40" x14ac:dyDescent="0.3">
      <c r="A1294" s="52">
        <v>1289</v>
      </c>
      <c r="B1294" s="52">
        <f>-bthan*500+(38+0.5)*bthan*1000/50</f>
        <v>1485</v>
      </c>
      <c r="C1294" s="52">
        <f t="shared" si="165"/>
        <v>-289.99999999999989</v>
      </c>
      <c r="D1294" s="52">
        <f t="shared" si="163"/>
        <v>2200</v>
      </c>
      <c r="E1294" s="52">
        <f t="shared" si="164"/>
        <v>1</v>
      </c>
      <c r="F1294" s="52"/>
      <c r="G1294" s="52"/>
      <c r="H1294" s="52"/>
      <c r="I1294" s="52"/>
      <c r="J1294" s="52"/>
      <c r="K1294" s="52"/>
      <c r="L1294" s="52"/>
      <c r="M1294" s="52"/>
      <c r="N1294" s="52"/>
      <c r="O1294" s="52"/>
      <c r="P1294" s="52"/>
      <c r="Q1294" s="52"/>
      <c r="R1294" s="52"/>
      <c r="S1294" s="52"/>
      <c r="T1294" s="52"/>
      <c r="U1294" s="52"/>
      <c r="V1294" s="52"/>
      <c r="W1294" s="52"/>
      <c r="X1294" s="52"/>
      <c r="Y1294" s="52"/>
      <c r="Z1294" s="52"/>
      <c r="AA1294" s="52"/>
      <c r="AB1294" s="52"/>
      <c r="AC1294" s="52"/>
      <c r="AD1294" s="52"/>
      <c r="AE1294" s="52"/>
      <c r="AF1294" s="52"/>
      <c r="AG1294" s="52"/>
      <c r="AH1294" s="52"/>
      <c r="AI1294" s="52"/>
      <c r="AJ1294" s="52"/>
      <c r="AK1294" s="52"/>
      <c r="AL1294" s="52"/>
      <c r="AM1294" s="52"/>
      <c r="AN1294" s="52"/>
    </row>
    <row r="1295" spans="1:40" x14ac:dyDescent="0.3">
      <c r="A1295" s="52">
        <v>1290</v>
      </c>
      <c r="B1295" s="52">
        <f>-bthan*500+(39+0.5)*bthan*1000/50</f>
        <v>1595</v>
      </c>
      <c r="C1295" s="52">
        <f t="shared" si="165"/>
        <v>-289.99999999999989</v>
      </c>
      <c r="D1295" s="52">
        <f t="shared" si="163"/>
        <v>2200</v>
      </c>
      <c r="E1295" s="52">
        <f t="shared" si="164"/>
        <v>1</v>
      </c>
      <c r="F1295" s="52"/>
      <c r="G1295" s="52"/>
      <c r="H1295" s="52"/>
      <c r="I1295" s="52"/>
      <c r="J1295" s="52"/>
      <c r="K1295" s="52"/>
      <c r="L1295" s="52"/>
      <c r="M1295" s="52"/>
      <c r="N1295" s="52"/>
      <c r="O1295" s="52"/>
      <c r="P1295" s="52"/>
      <c r="Q1295" s="52"/>
      <c r="R1295" s="52"/>
      <c r="S1295" s="52"/>
      <c r="T1295" s="52"/>
      <c r="U1295" s="52"/>
      <c r="V1295" s="52"/>
      <c r="W1295" s="52"/>
      <c r="X1295" s="52"/>
      <c r="Y1295" s="52"/>
      <c r="Z1295" s="52"/>
      <c r="AA1295" s="52"/>
      <c r="AB1295" s="52"/>
      <c r="AC1295" s="52"/>
      <c r="AD1295" s="52"/>
      <c r="AE1295" s="52"/>
      <c r="AF1295" s="52"/>
      <c r="AG1295" s="52"/>
      <c r="AH1295" s="52"/>
      <c r="AI1295" s="52"/>
      <c r="AJ1295" s="52"/>
      <c r="AK1295" s="52"/>
      <c r="AL1295" s="52"/>
      <c r="AM1295" s="52"/>
      <c r="AN1295" s="52"/>
    </row>
    <row r="1296" spans="1:40" x14ac:dyDescent="0.3">
      <c r="A1296" s="52">
        <v>1291</v>
      </c>
      <c r="B1296" s="52">
        <f>-bthan*500+(40+0.5)*bthan*1000/50</f>
        <v>1705</v>
      </c>
      <c r="C1296" s="52">
        <f t="shared" si="165"/>
        <v>-289.99999999999989</v>
      </c>
      <c r="D1296" s="52">
        <f t="shared" si="163"/>
        <v>2200</v>
      </c>
      <c r="E1296" s="52">
        <f t="shared" si="164"/>
        <v>1</v>
      </c>
      <c r="F1296" s="52"/>
      <c r="G1296" s="52"/>
      <c r="H1296" s="52"/>
      <c r="I1296" s="52"/>
      <c r="J1296" s="52"/>
      <c r="K1296" s="52"/>
      <c r="L1296" s="52"/>
      <c r="M1296" s="52"/>
      <c r="N1296" s="52"/>
      <c r="O1296" s="52"/>
      <c r="P1296" s="52"/>
      <c r="Q1296" s="52"/>
      <c r="R1296" s="52"/>
      <c r="S1296" s="52"/>
      <c r="T1296" s="52"/>
      <c r="U1296" s="52"/>
      <c r="V1296" s="52"/>
      <c r="W1296" s="52"/>
      <c r="X1296" s="52"/>
      <c r="Y1296" s="52"/>
      <c r="Z1296" s="52"/>
      <c r="AA1296" s="52"/>
      <c r="AB1296" s="52"/>
      <c r="AC1296" s="52"/>
      <c r="AD1296" s="52"/>
      <c r="AE1296" s="52"/>
      <c r="AF1296" s="52"/>
      <c r="AG1296" s="52"/>
      <c r="AH1296" s="52"/>
      <c r="AI1296" s="52"/>
      <c r="AJ1296" s="52"/>
      <c r="AK1296" s="52"/>
      <c r="AL1296" s="52"/>
      <c r="AM1296" s="52"/>
      <c r="AN1296" s="52"/>
    </row>
    <row r="1297" spans="1:40" x14ac:dyDescent="0.3">
      <c r="A1297" s="52">
        <v>1292</v>
      </c>
      <c r="B1297" s="52">
        <f>-bthan*500+(41+0.5)*bthan*1000/50</f>
        <v>1815</v>
      </c>
      <c r="C1297" s="52">
        <f t="shared" si="165"/>
        <v>-289.99999999999989</v>
      </c>
      <c r="D1297" s="52">
        <f t="shared" si="163"/>
        <v>2200</v>
      </c>
      <c r="E1297" s="52">
        <f t="shared" si="164"/>
        <v>1</v>
      </c>
      <c r="F1297" s="52"/>
      <c r="G1297" s="52"/>
      <c r="H1297" s="52"/>
      <c r="I1297" s="52"/>
      <c r="J1297" s="52"/>
      <c r="K1297" s="52"/>
      <c r="L1297" s="52"/>
      <c r="M1297" s="52"/>
      <c r="N1297" s="52"/>
      <c r="O1297" s="52"/>
      <c r="P1297" s="52"/>
      <c r="Q1297" s="52"/>
      <c r="R1297" s="52"/>
      <c r="S1297" s="52"/>
      <c r="T1297" s="52"/>
      <c r="U1297" s="52"/>
      <c r="V1297" s="52"/>
      <c r="W1297" s="52"/>
      <c r="X1297" s="52"/>
      <c r="Y1297" s="52"/>
      <c r="Z1297" s="52"/>
      <c r="AA1297" s="52"/>
      <c r="AB1297" s="52"/>
      <c r="AC1297" s="52"/>
      <c r="AD1297" s="52"/>
      <c r="AE1297" s="52"/>
      <c r="AF1297" s="52"/>
      <c r="AG1297" s="52"/>
      <c r="AH1297" s="52"/>
      <c r="AI1297" s="52"/>
      <c r="AJ1297" s="52"/>
      <c r="AK1297" s="52"/>
      <c r="AL1297" s="52"/>
      <c r="AM1297" s="52"/>
      <c r="AN1297" s="52"/>
    </row>
    <row r="1298" spans="1:40" x14ac:dyDescent="0.3">
      <c r="A1298" s="52">
        <v>1293</v>
      </c>
      <c r="B1298" s="52">
        <f>-bthan*500+(42+0.5)*bthan*1000/50</f>
        <v>1925</v>
      </c>
      <c r="C1298" s="52">
        <f t="shared" si="165"/>
        <v>-289.99999999999989</v>
      </c>
      <c r="D1298" s="52">
        <f t="shared" si="163"/>
        <v>2200</v>
      </c>
      <c r="E1298" s="52">
        <f t="shared" si="164"/>
        <v>1</v>
      </c>
      <c r="F1298" s="52"/>
      <c r="G1298" s="52"/>
      <c r="H1298" s="52"/>
      <c r="I1298" s="52"/>
      <c r="J1298" s="52"/>
      <c r="K1298" s="52"/>
      <c r="L1298" s="52"/>
      <c r="M1298" s="52"/>
      <c r="N1298" s="52"/>
      <c r="O1298" s="52"/>
      <c r="P1298" s="52"/>
      <c r="Q1298" s="52"/>
      <c r="R1298" s="52"/>
      <c r="S1298" s="52"/>
      <c r="T1298" s="52"/>
      <c r="U1298" s="52"/>
      <c r="V1298" s="52"/>
      <c r="W1298" s="52"/>
      <c r="X1298" s="52"/>
      <c r="Y1298" s="52"/>
      <c r="Z1298" s="52"/>
      <c r="AA1298" s="52"/>
      <c r="AB1298" s="52"/>
      <c r="AC1298" s="52"/>
      <c r="AD1298" s="52"/>
      <c r="AE1298" s="52"/>
      <c r="AF1298" s="52"/>
      <c r="AG1298" s="52"/>
      <c r="AH1298" s="52"/>
      <c r="AI1298" s="52"/>
      <c r="AJ1298" s="52"/>
      <c r="AK1298" s="52"/>
      <c r="AL1298" s="52"/>
      <c r="AM1298" s="52"/>
      <c r="AN1298" s="52"/>
    </row>
    <row r="1299" spans="1:40" x14ac:dyDescent="0.3">
      <c r="A1299" s="52">
        <v>1294</v>
      </c>
      <c r="B1299" s="52">
        <f>-bthan*500+(43+0.5)*bthan*1000/50</f>
        <v>2035</v>
      </c>
      <c r="C1299" s="52">
        <f t="shared" si="165"/>
        <v>-289.99999999999989</v>
      </c>
      <c r="D1299" s="52">
        <f t="shared" si="163"/>
        <v>2200</v>
      </c>
      <c r="E1299" s="52">
        <f t="shared" si="164"/>
        <v>1</v>
      </c>
      <c r="F1299" s="52"/>
      <c r="G1299" s="52"/>
      <c r="H1299" s="52"/>
      <c r="I1299" s="52"/>
      <c r="J1299" s="52"/>
      <c r="K1299" s="52"/>
      <c r="L1299" s="52"/>
      <c r="M1299" s="52"/>
      <c r="N1299" s="52"/>
      <c r="O1299" s="52"/>
      <c r="P1299" s="52"/>
      <c r="Q1299" s="52"/>
      <c r="R1299" s="52"/>
      <c r="S1299" s="52"/>
      <c r="T1299" s="52"/>
      <c r="U1299" s="52"/>
      <c r="V1299" s="52"/>
      <c r="W1299" s="52"/>
      <c r="X1299" s="52"/>
      <c r="Y1299" s="52"/>
      <c r="Z1299" s="52"/>
      <c r="AA1299" s="52"/>
      <c r="AB1299" s="52"/>
      <c r="AC1299" s="52"/>
      <c r="AD1299" s="52"/>
      <c r="AE1299" s="52"/>
      <c r="AF1299" s="52"/>
      <c r="AG1299" s="52"/>
      <c r="AH1299" s="52"/>
      <c r="AI1299" s="52"/>
      <c r="AJ1299" s="52"/>
      <c r="AK1299" s="52"/>
      <c r="AL1299" s="52"/>
      <c r="AM1299" s="52"/>
      <c r="AN1299" s="52"/>
    </row>
    <row r="1300" spans="1:40" x14ac:dyDescent="0.3">
      <c r="A1300" s="52">
        <v>1295</v>
      </c>
      <c r="B1300" s="52">
        <f>-bthan*500+(44+0.5)*bthan*1000/50</f>
        <v>2145</v>
      </c>
      <c r="C1300" s="52">
        <f t="shared" si="165"/>
        <v>-289.99999999999989</v>
      </c>
      <c r="D1300" s="52">
        <f t="shared" si="163"/>
        <v>2200</v>
      </c>
      <c r="E1300" s="52">
        <f t="shared" si="164"/>
        <v>1</v>
      </c>
      <c r="F1300" s="52"/>
      <c r="G1300" s="52"/>
      <c r="H1300" s="52"/>
      <c r="I1300" s="52"/>
      <c r="J1300" s="52"/>
      <c r="K1300" s="52"/>
      <c r="L1300" s="52"/>
      <c r="M1300" s="52"/>
      <c r="N1300" s="52"/>
      <c r="O1300" s="52"/>
      <c r="P1300" s="52"/>
      <c r="Q1300" s="52"/>
      <c r="R1300" s="52"/>
      <c r="S1300" s="52"/>
      <c r="T1300" s="52"/>
      <c r="U1300" s="52"/>
      <c r="V1300" s="52"/>
      <c r="W1300" s="52"/>
      <c r="X1300" s="52"/>
      <c r="Y1300" s="52"/>
      <c r="Z1300" s="52"/>
      <c r="AA1300" s="52"/>
      <c r="AB1300" s="52"/>
      <c r="AC1300" s="52"/>
      <c r="AD1300" s="52"/>
      <c r="AE1300" s="52"/>
      <c r="AF1300" s="52"/>
      <c r="AG1300" s="52"/>
      <c r="AH1300" s="52"/>
      <c r="AI1300" s="52"/>
      <c r="AJ1300" s="52"/>
      <c r="AK1300" s="52"/>
      <c r="AL1300" s="52"/>
      <c r="AM1300" s="52"/>
      <c r="AN1300" s="52"/>
    </row>
    <row r="1301" spans="1:40" x14ac:dyDescent="0.3">
      <c r="A1301" s="52">
        <v>1296</v>
      </c>
      <c r="B1301" s="52">
        <f>-bthan*500+(45+0.5)*bthan*1000/50</f>
        <v>2255</v>
      </c>
      <c r="C1301" s="52">
        <f t="shared" si="165"/>
        <v>-289.99999999999989</v>
      </c>
      <c r="D1301" s="52">
        <f t="shared" si="163"/>
        <v>2200</v>
      </c>
      <c r="E1301" s="52">
        <f t="shared" si="164"/>
        <v>1</v>
      </c>
      <c r="F1301" s="52"/>
      <c r="G1301" s="52"/>
      <c r="H1301" s="52"/>
      <c r="I1301" s="52"/>
      <c r="J1301" s="52"/>
      <c r="K1301" s="52"/>
      <c r="L1301" s="52"/>
      <c r="M1301" s="52"/>
      <c r="N1301" s="52"/>
      <c r="O1301" s="52"/>
      <c r="P1301" s="52"/>
      <c r="Q1301" s="52"/>
      <c r="R1301" s="52"/>
      <c r="S1301" s="52"/>
      <c r="T1301" s="52"/>
      <c r="U1301" s="52"/>
      <c r="V1301" s="52"/>
      <c r="W1301" s="52"/>
      <c r="X1301" s="52"/>
      <c r="Y1301" s="52"/>
      <c r="Z1301" s="52"/>
      <c r="AA1301" s="52"/>
      <c r="AB1301" s="52"/>
      <c r="AC1301" s="52"/>
      <c r="AD1301" s="52"/>
      <c r="AE1301" s="52"/>
      <c r="AF1301" s="52"/>
      <c r="AG1301" s="52"/>
      <c r="AH1301" s="52"/>
      <c r="AI1301" s="52"/>
      <c r="AJ1301" s="52"/>
      <c r="AK1301" s="52"/>
      <c r="AL1301" s="52"/>
      <c r="AM1301" s="52"/>
      <c r="AN1301" s="52"/>
    </row>
    <row r="1302" spans="1:40" x14ac:dyDescent="0.3">
      <c r="A1302" s="52">
        <v>1297</v>
      </c>
      <c r="B1302" s="52">
        <f>-bthan*500+(46+0.5)*bthan*1000/50</f>
        <v>2365</v>
      </c>
      <c r="C1302" s="52">
        <f t="shared" si="165"/>
        <v>-289.99999999999989</v>
      </c>
      <c r="D1302" s="52">
        <f t="shared" si="163"/>
        <v>2200</v>
      </c>
      <c r="E1302" s="52">
        <f t="shared" si="164"/>
        <v>1</v>
      </c>
      <c r="F1302" s="52"/>
      <c r="G1302" s="52"/>
      <c r="H1302" s="52"/>
      <c r="I1302" s="52"/>
      <c r="J1302" s="52"/>
      <c r="K1302" s="52"/>
      <c r="L1302" s="52"/>
      <c r="M1302" s="52"/>
      <c r="N1302" s="52"/>
      <c r="O1302" s="52"/>
      <c r="P1302" s="52"/>
      <c r="Q1302" s="52"/>
      <c r="R1302" s="52"/>
      <c r="S1302" s="52"/>
      <c r="T1302" s="52"/>
      <c r="U1302" s="52"/>
      <c r="V1302" s="52"/>
      <c r="W1302" s="52"/>
      <c r="X1302" s="52"/>
      <c r="Y1302" s="52"/>
      <c r="Z1302" s="52"/>
      <c r="AA1302" s="52"/>
      <c r="AB1302" s="52"/>
      <c r="AC1302" s="52"/>
      <c r="AD1302" s="52"/>
      <c r="AE1302" s="52"/>
      <c r="AF1302" s="52"/>
      <c r="AG1302" s="52"/>
      <c r="AH1302" s="52"/>
      <c r="AI1302" s="52"/>
      <c r="AJ1302" s="52"/>
      <c r="AK1302" s="52"/>
      <c r="AL1302" s="52"/>
      <c r="AM1302" s="52"/>
      <c r="AN1302" s="52"/>
    </row>
    <row r="1303" spans="1:40" x14ac:dyDescent="0.3">
      <c r="A1303" s="52">
        <v>1298</v>
      </c>
      <c r="B1303" s="52">
        <f>-bthan*500+(47+0.5)*bthan*1000/50</f>
        <v>2475</v>
      </c>
      <c r="C1303" s="52">
        <f t="shared" si="165"/>
        <v>-289.99999999999989</v>
      </c>
      <c r="D1303" s="52">
        <f t="shared" si="163"/>
        <v>2200</v>
      </c>
      <c r="E1303" s="52">
        <f t="shared" si="164"/>
        <v>1</v>
      </c>
      <c r="F1303" s="52"/>
      <c r="G1303" s="52"/>
      <c r="H1303" s="52"/>
      <c r="I1303" s="52"/>
      <c r="J1303" s="52"/>
      <c r="K1303" s="52"/>
      <c r="L1303" s="52"/>
      <c r="M1303" s="52"/>
      <c r="N1303" s="52"/>
      <c r="O1303" s="52"/>
      <c r="P1303" s="52"/>
      <c r="Q1303" s="52"/>
      <c r="R1303" s="52"/>
      <c r="S1303" s="52"/>
      <c r="T1303" s="52"/>
      <c r="U1303" s="52"/>
      <c r="V1303" s="52"/>
      <c r="W1303" s="52"/>
      <c r="X1303" s="52"/>
      <c r="Y1303" s="52"/>
      <c r="Z1303" s="52"/>
      <c r="AA1303" s="52"/>
      <c r="AB1303" s="52"/>
      <c r="AC1303" s="52"/>
      <c r="AD1303" s="52"/>
      <c r="AE1303" s="52"/>
      <c r="AF1303" s="52"/>
      <c r="AG1303" s="52"/>
      <c r="AH1303" s="52"/>
      <c r="AI1303" s="52"/>
      <c r="AJ1303" s="52"/>
      <c r="AK1303" s="52"/>
      <c r="AL1303" s="52"/>
      <c r="AM1303" s="52"/>
      <c r="AN1303" s="52"/>
    </row>
    <row r="1304" spans="1:40" x14ac:dyDescent="0.3">
      <c r="A1304" s="52">
        <v>1299</v>
      </c>
      <c r="B1304" s="52">
        <f>-bthan*500+(48+0.5)*bthan*1000/50</f>
        <v>2585</v>
      </c>
      <c r="C1304" s="52">
        <f t="shared" si="165"/>
        <v>-289.99999999999989</v>
      </c>
      <c r="D1304" s="52">
        <f t="shared" si="163"/>
        <v>2200</v>
      </c>
      <c r="E1304" s="52">
        <f t="shared" si="164"/>
        <v>1</v>
      </c>
      <c r="F1304" s="52"/>
      <c r="G1304" s="52"/>
      <c r="H1304" s="52"/>
      <c r="I1304" s="52"/>
      <c r="J1304" s="52"/>
      <c r="K1304" s="52"/>
      <c r="L1304" s="52"/>
      <c r="M1304" s="52"/>
      <c r="N1304" s="52"/>
      <c r="O1304" s="52"/>
      <c r="P1304" s="52"/>
      <c r="Q1304" s="52"/>
      <c r="R1304" s="52"/>
      <c r="S1304" s="52"/>
      <c r="T1304" s="52"/>
      <c r="U1304" s="52"/>
      <c r="V1304" s="52"/>
      <c r="W1304" s="52"/>
      <c r="X1304" s="52"/>
      <c r="Y1304" s="52"/>
      <c r="Z1304" s="52"/>
      <c r="AA1304" s="52"/>
      <c r="AB1304" s="52"/>
      <c r="AC1304" s="52"/>
      <c r="AD1304" s="52"/>
      <c r="AE1304" s="52"/>
      <c r="AF1304" s="52"/>
      <c r="AG1304" s="52"/>
      <c r="AH1304" s="52"/>
      <c r="AI1304" s="52"/>
      <c r="AJ1304" s="52"/>
      <c r="AK1304" s="52"/>
      <c r="AL1304" s="52"/>
      <c r="AM1304" s="52"/>
      <c r="AN1304" s="52"/>
    </row>
    <row r="1305" spans="1:40" x14ac:dyDescent="0.3">
      <c r="A1305" s="52">
        <v>1300</v>
      </c>
      <c r="B1305" s="52">
        <f>-bthan*500+(49+0.5)*bthan*1000/50</f>
        <v>2695</v>
      </c>
      <c r="C1305" s="52">
        <f t="shared" si="165"/>
        <v>-289.99999999999989</v>
      </c>
      <c r="D1305" s="52">
        <f t="shared" si="163"/>
        <v>2200</v>
      </c>
      <c r="E1305" s="52">
        <f t="shared" si="164"/>
        <v>1</v>
      </c>
      <c r="F1305" s="52"/>
      <c r="G1305" s="52"/>
      <c r="H1305" s="52"/>
      <c r="I1305" s="52"/>
      <c r="J1305" s="52"/>
      <c r="K1305" s="52"/>
      <c r="L1305" s="52"/>
      <c r="M1305" s="52"/>
      <c r="N1305" s="52"/>
      <c r="O1305" s="52"/>
      <c r="P1305" s="52"/>
      <c r="Q1305" s="52"/>
      <c r="R1305" s="52"/>
      <c r="S1305" s="52"/>
      <c r="T1305" s="52"/>
      <c r="U1305" s="52"/>
      <c r="V1305" s="52"/>
      <c r="W1305" s="52"/>
      <c r="X1305" s="52"/>
      <c r="Y1305" s="52"/>
      <c r="Z1305" s="52"/>
      <c r="AA1305" s="52"/>
      <c r="AB1305" s="52"/>
      <c r="AC1305" s="52"/>
      <c r="AD1305" s="52"/>
      <c r="AE1305" s="52"/>
      <c r="AF1305" s="52"/>
      <c r="AG1305" s="52"/>
      <c r="AH1305" s="52"/>
      <c r="AI1305" s="52"/>
      <c r="AJ1305" s="52"/>
      <c r="AK1305" s="52"/>
      <c r="AL1305" s="52"/>
      <c r="AM1305" s="52"/>
      <c r="AN1305" s="52"/>
    </row>
    <row r="1306" spans="1:40" x14ac:dyDescent="0.3">
      <c r="A1306" s="52">
        <v>1301</v>
      </c>
      <c r="B1306" s="52">
        <f>-bthan*500+(0+0.5)*bthan*1000/50</f>
        <v>-2695</v>
      </c>
      <c r="C1306" s="52">
        <f t="shared" ref="C1306:C1337" si="166">-hthan*500+(26+0.5)*hthan*1000/80</f>
        <v>-269.99999999999989</v>
      </c>
      <c r="D1306" s="52">
        <f t="shared" si="163"/>
        <v>2200</v>
      </c>
      <c r="E1306" s="52">
        <f t="shared" si="164"/>
        <v>1</v>
      </c>
      <c r="F1306" s="52"/>
      <c r="G1306" s="52"/>
      <c r="H1306" s="52"/>
      <c r="I1306" s="52"/>
      <c r="J1306" s="52"/>
      <c r="K1306" s="52"/>
      <c r="L1306" s="52"/>
      <c r="M1306" s="52"/>
      <c r="N1306" s="52"/>
      <c r="O1306" s="52"/>
      <c r="P1306" s="52"/>
      <c r="Q1306" s="52"/>
      <c r="R1306" s="52"/>
      <c r="S1306" s="52"/>
      <c r="T1306" s="52"/>
      <c r="U1306" s="52"/>
      <c r="V1306" s="52"/>
      <c r="W1306" s="52"/>
      <c r="X1306" s="52"/>
      <c r="Y1306" s="52"/>
      <c r="Z1306" s="52"/>
      <c r="AA1306" s="52"/>
      <c r="AB1306" s="52"/>
      <c r="AC1306" s="52"/>
      <c r="AD1306" s="52"/>
      <c r="AE1306" s="52"/>
      <c r="AF1306" s="52"/>
      <c r="AG1306" s="52"/>
      <c r="AH1306" s="52"/>
      <c r="AI1306" s="52"/>
      <c r="AJ1306" s="52"/>
      <c r="AK1306" s="52"/>
      <c r="AL1306" s="52"/>
      <c r="AM1306" s="52"/>
      <c r="AN1306" s="52"/>
    </row>
    <row r="1307" spans="1:40" x14ac:dyDescent="0.3">
      <c r="A1307" s="52">
        <v>1302</v>
      </c>
      <c r="B1307" s="52">
        <f>-bthan*500+(1+0.5)*bthan*1000/50</f>
        <v>-2585</v>
      </c>
      <c r="C1307" s="52">
        <f t="shared" si="166"/>
        <v>-269.99999999999989</v>
      </c>
      <c r="D1307" s="52">
        <f t="shared" si="163"/>
        <v>2200</v>
      </c>
      <c r="E1307" s="52">
        <f t="shared" si="164"/>
        <v>1</v>
      </c>
      <c r="F1307" s="52"/>
      <c r="G1307" s="52"/>
      <c r="H1307" s="52"/>
      <c r="I1307" s="52"/>
      <c r="J1307" s="52"/>
      <c r="K1307" s="52"/>
      <c r="L1307" s="52"/>
      <c r="M1307" s="52"/>
      <c r="N1307" s="52"/>
      <c r="O1307" s="52"/>
      <c r="P1307" s="52"/>
      <c r="Q1307" s="52"/>
      <c r="R1307" s="52"/>
      <c r="S1307" s="52"/>
      <c r="T1307" s="52"/>
      <c r="U1307" s="52"/>
      <c r="V1307" s="52"/>
      <c r="W1307" s="52"/>
      <c r="X1307" s="52"/>
      <c r="Y1307" s="52"/>
      <c r="Z1307" s="52"/>
      <c r="AA1307" s="52"/>
      <c r="AB1307" s="52"/>
      <c r="AC1307" s="52"/>
      <c r="AD1307" s="52"/>
      <c r="AE1307" s="52"/>
      <c r="AF1307" s="52"/>
      <c r="AG1307" s="52"/>
      <c r="AH1307" s="52"/>
      <c r="AI1307" s="52"/>
      <c r="AJ1307" s="52"/>
      <c r="AK1307" s="52"/>
      <c r="AL1307" s="52"/>
      <c r="AM1307" s="52"/>
      <c r="AN1307" s="52"/>
    </row>
    <row r="1308" spans="1:40" x14ac:dyDescent="0.3">
      <c r="A1308" s="52">
        <v>1303</v>
      </c>
      <c r="B1308" s="52">
        <f>-bthan*500+(2+0.5)*bthan*1000/50</f>
        <v>-2475</v>
      </c>
      <c r="C1308" s="52">
        <f t="shared" si="166"/>
        <v>-269.99999999999989</v>
      </c>
      <c r="D1308" s="52">
        <f t="shared" si="163"/>
        <v>2200</v>
      </c>
      <c r="E1308" s="52">
        <f t="shared" si="164"/>
        <v>1</v>
      </c>
      <c r="F1308" s="52"/>
      <c r="G1308" s="52"/>
      <c r="H1308" s="52"/>
      <c r="I1308" s="52"/>
      <c r="J1308" s="52"/>
      <c r="K1308" s="52"/>
      <c r="L1308" s="52"/>
      <c r="M1308" s="52"/>
      <c r="N1308" s="52"/>
      <c r="O1308" s="52"/>
      <c r="P1308" s="52"/>
      <c r="Q1308" s="52"/>
      <c r="R1308" s="52"/>
      <c r="S1308" s="52"/>
      <c r="T1308" s="52"/>
      <c r="U1308" s="52"/>
      <c r="V1308" s="52"/>
      <c r="W1308" s="52"/>
      <c r="X1308" s="52"/>
      <c r="Y1308" s="52"/>
      <c r="Z1308" s="52"/>
      <c r="AA1308" s="52"/>
      <c r="AB1308" s="52"/>
      <c r="AC1308" s="52"/>
      <c r="AD1308" s="52"/>
      <c r="AE1308" s="52"/>
      <c r="AF1308" s="52"/>
      <c r="AG1308" s="52"/>
      <c r="AH1308" s="52"/>
      <c r="AI1308" s="52"/>
      <c r="AJ1308" s="52"/>
      <c r="AK1308" s="52"/>
      <c r="AL1308" s="52"/>
      <c r="AM1308" s="52"/>
      <c r="AN1308" s="52"/>
    </row>
    <row r="1309" spans="1:40" x14ac:dyDescent="0.3">
      <c r="A1309" s="52">
        <v>1304</v>
      </c>
      <c r="B1309" s="52">
        <f>-bthan*500+(3+0.5)*bthan*1000/50</f>
        <v>-2365</v>
      </c>
      <c r="C1309" s="52">
        <f t="shared" si="166"/>
        <v>-269.99999999999989</v>
      </c>
      <c r="D1309" s="52">
        <f t="shared" si="163"/>
        <v>2200</v>
      </c>
      <c r="E1309" s="52">
        <f t="shared" si="164"/>
        <v>1</v>
      </c>
      <c r="F1309" s="52"/>
      <c r="G1309" s="52"/>
      <c r="H1309" s="52"/>
      <c r="I1309" s="52"/>
      <c r="J1309" s="52"/>
      <c r="K1309" s="52"/>
      <c r="L1309" s="52"/>
      <c r="M1309" s="52"/>
      <c r="N1309" s="52"/>
      <c r="O1309" s="52"/>
      <c r="P1309" s="52"/>
      <c r="Q1309" s="52"/>
      <c r="R1309" s="52"/>
      <c r="S1309" s="52"/>
      <c r="T1309" s="52"/>
      <c r="U1309" s="52"/>
      <c r="V1309" s="52"/>
      <c r="W1309" s="52"/>
      <c r="X1309" s="52"/>
      <c r="Y1309" s="52"/>
      <c r="Z1309" s="52"/>
      <c r="AA1309" s="52"/>
      <c r="AB1309" s="52"/>
      <c r="AC1309" s="52"/>
      <c r="AD1309" s="52"/>
      <c r="AE1309" s="52"/>
      <c r="AF1309" s="52"/>
      <c r="AG1309" s="52"/>
      <c r="AH1309" s="52"/>
      <c r="AI1309" s="52"/>
      <c r="AJ1309" s="52"/>
      <c r="AK1309" s="52"/>
      <c r="AL1309" s="52"/>
      <c r="AM1309" s="52"/>
      <c r="AN1309" s="52"/>
    </row>
    <row r="1310" spans="1:40" x14ac:dyDescent="0.3">
      <c r="A1310" s="52">
        <v>1305</v>
      </c>
      <c r="B1310" s="52">
        <f>-bthan*500+(4+0.5)*bthan*1000/50</f>
        <v>-2255</v>
      </c>
      <c r="C1310" s="52">
        <f t="shared" si="166"/>
        <v>-269.99999999999989</v>
      </c>
      <c r="D1310" s="52">
        <f t="shared" si="163"/>
        <v>2200</v>
      </c>
      <c r="E1310" s="52">
        <f t="shared" si="164"/>
        <v>1</v>
      </c>
      <c r="F1310" s="52"/>
      <c r="G1310" s="52"/>
      <c r="H1310" s="52"/>
      <c r="I1310" s="52"/>
      <c r="J1310" s="52"/>
      <c r="K1310" s="52"/>
      <c r="L1310" s="52"/>
      <c r="M1310" s="52"/>
      <c r="N1310" s="52"/>
      <c r="O1310" s="52"/>
      <c r="P1310" s="52"/>
      <c r="Q1310" s="52"/>
      <c r="R1310" s="52"/>
      <c r="S1310" s="52"/>
      <c r="T1310" s="52"/>
      <c r="U1310" s="52"/>
      <c r="V1310" s="52"/>
      <c r="W1310" s="52"/>
      <c r="X1310" s="52"/>
      <c r="Y1310" s="52"/>
      <c r="Z1310" s="52"/>
      <c r="AA1310" s="52"/>
      <c r="AB1310" s="52"/>
      <c r="AC1310" s="52"/>
      <c r="AD1310" s="52"/>
      <c r="AE1310" s="52"/>
      <c r="AF1310" s="52"/>
      <c r="AG1310" s="52"/>
      <c r="AH1310" s="52"/>
      <c r="AI1310" s="52"/>
      <c r="AJ1310" s="52"/>
      <c r="AK1310" s="52"/>
      <c r="AL1310" s="52"/>
      <c r="AM1310" s="52"/>
      <c r="AN1310" s="52"/>
    </row>
    <row r="1311" spans="1:40" x14ac:dyDescent="0.3">
      <c r="A1311" s="52">
        <v>1306</v>
      </c>
      <c r="B1311" s="52">
        <f>-bthan*500+(5+0.5)*bthan*1000/50</f>
        <v>-2145</v>
      </c>
      <c r="C1311" s="52">
        <f t="shared" si="166"/>
        <v>-269.99999999999989</v>
      </c>
      <c r="D1311" s="52">
        <f t="shared" si="163"/>
        <v>2200</v>
      </c>
      <c r="E1311" s="52">
        <f t="shared" si="164"/>
        <v>1</v>
      </c>
      <c r="F1311" s="52"/>
      <c r="G1311" s="52"/>
      <c r="H1311" s="52"/>
      <c r="I1311" s="52"/>
      <c r="J1311" s="52"/>
      <c r="K1311" s="52"/>
      <c r="L1311" s="52"/>
      <c r="M1311" s="52"/>
      <c r="N1311" s="52"/>
      <c r="O1311" s="52"/>
      <c r="P1311" s="52"/>
      <c r="Q1311" s="52"/>
      <c r="R1311" s="52"/>
      <c r="S1311" s="52"/>
      <c r="T1311" s="52"/>
      <c r="U1311" s="52"/>
      <c r="V1311" s="52"/>
      <c r="W1311" s="52"/>
      <c r="X1311" s="52"/>
      <c r="Y1311" s="52"/>
      <c r="Z1311" s="52"/>
      <c r="AA1311" s="52"/>
      <c r="AB1311" s="52"/>
      <c r="AC1311" s="52"/>
      <c r="AD1311" s="52"/>
      <c r="AE1311" s="52"/>
      <c r="AF1311" s="52"/>
      <c r="AG1311" s="52"/>
      <c r="AH1311" s="52"/>
      <c r="AI1311" s="52"/>
      <c r="AJ1311" s="52"/>
      <c r="AK1311" s="52"/>
      <c r="AL1311" s="52"/>
      <c r="AM1311" s="52"/>
      <c r="AN1311" s="52"/>
    </row>
    <row r="1312" spans="1:40" x14ac:dyDescent="0.3">
      <c r="A1312" s="52">
        <v>1307</v>
      </c>
      <c r="B1312" s="52">
        <f>-bthan*500+(6+0.5)*bthan*1000/50</f>
        <v>-2035</v>
      </c>
      <c r="C1312" s="52">
        <f t="shared" si="166"/>
        <v>-269.99999999999989</v>
      </c>
      <c r="D1312" s="52">
        <f t="shared" si="163"/>
        <v>2200</v>
      </c>
      <c r="E1312" s="52">
        <f t="shared" si="164"/>
        <v>1</v>
      </c>
      <c r="F1312" s="52"/>
      <c r="G1312" s="52"/>
      <c r="H1312" s="52"/>
      <c r="I1312" s="52"/>
      <c r="J1312" s="52"/>
      <c r="K1312" s="52"/>
      <c r="L1312" s="52"/>
      <c r="M1312" s="52"/>
      <c r="N1312" s="52"/>
      <c r="O1312" s="52"/>
      <c r="P1312" s="52"/>
      <c r="Q1312" s="52"/>
      <c r="R1312" s="52"/>
      <c r="S1312" s="52"/>
      <c r="T1312" s="52"/>
      <c r="U1312" s="52"/>
      <c r="V1312" s="52"/>
      <c r="W1312" s="52"/>
      <c r="X1312" s="52"/>
      <c r="Y1312" s="52"/>
      <c r="Z1312" s="52"/>
      <c r="AA1312" s="52"/>
      <c r="AB1312" s="52"/>
      <c r="AC1312" s="52"/>
      <c r="AD1312" s="52"/>
      <c r="AE1312" s="52"/>
      <c r="AF1312" s="52"/>
      <c r="AG1312" s="52"/>
      <c r="AH1312" s="52"/>
      <c r="AI1312" s="52"/>
      <c r="AJ1312" s="52"/>
      <c r="AK1312" s="52"/>
      <c r="AL1312" s="52"/>
      <c r="AM1312" s="52"/>
      <c r="AN1312" s="52"/>
    </row>
    <row r="1313" spans="1:40" x14ac:dyDescent="0.3">
      <c r="A1313" s="52">
        <v>1308</v>
      </c>
      <c r="B1313" s="52">
        <f>-bthan*500+(7+0.5)*bthan*1000/50</f>
        <v>-1925</v>
      </c>
      <c r="C1313" s="52">
        <f t="shared" si="166"/>
        <v>-269.99999999999989</v>
      </c>
      <c r="D1313" s="52">
        <f t="shared" si="163"/>
        <v>2200</v>
      </c>
      <c r="E1313" s="52">
        <f t="shared" si="164"/>
        <v>1</v>
      </c>
      <c r="F1313" s="52"/>
      <c r="G1313" s="52"/>
      <c r="H1313" s="52"/>
      <c r="I1313" s="52"/>
      <c r="J1313" s="52"/>
      <c r="K1313" s="52"/>
      <c r="L1313" s="52"/>
      <c r="M1313" s="52"/>
      <c r="N1313" s="52"/>
      <c r="O1313" s="52"/>
      <c r="P1313" s="52"/>
      <c r="Q1313" s="52"/>
      <c r="R1313" s="52"/>
      <c r="S1313" s="52"/>
      <c r="T1313" s="52"/>
      <c r="U1313" s="52"/>
      <c r="V1313" s="52"/>
      <c r="W1313" s="52"/>
      <c r="X1313" s="52"/>
      <c r="Y1313" s="52"/>
      <c r="Z1313" s="52"/>
      <c r="AA1313" s="52"/>
      <c r="AB1313" s="52"/>
      <c r="AC1313" s="52"/>
      <c r="AD1313" s="52"/>
      <c r="AE1313" s="52"/>
      <c r="AF1313" s="52"/>
      <c r="AG1313" s="52"/>
      <c r="AH1313" s="52"/>
      <c r="AI1313" s="52"/>
      <c r="AJ1313" s="52"/>
      <c r="AK1313" s="52"/>
      <c r="AL1313" s="52"/>
      <c r="AM1313" s="52"/>
      <c r="AN1313" s="52"/>
    </row>
    <row r="1314" spans="1:40" x14ac:dyDescent="0.3">
      <c r="A1314" s="52">
        <v>1309</v>
      </c>
      <c r="B1314" s="52">
        <f>-bthan*500+(8+0.5)*bthan*1000/50</f>
        <v>-1815</v>
      </c>
      <c r="C1314" s="52">
        <f t="shared" si="166"/>
        <v>-269.99999999999989</v>
      </c>
      <c r="D1314" s="52">
        <f t="shared" si="163"/>
        <v>2200</v>
      </c>
      <c r="E1314" s="52">
        <f t="shared" si="164"/>
        <v>1</v>
      </c>
      <c r="F1314" s="52"/>
      <c r="G1314" s="52"/>
      <c r="H1314" s="52"/>
      <c r="I1314" s="52"/>
      <c r="J1314" s="52"/>
      <c r="K1314" s="52"/>
      <c r="L1314" s="52"/>
      <c r="M1314" s="52"/>
      <c r="N1314" s="52"/>
      <c r="O1314" s="52"/>
      <c r="P1314" s="52"/>
      <c r="Q1314" s="52"/>
      <c r="R1314" s="52"/>
      <c r="S1314" s="52"/>
      <c r="T1314" s="52"/>
      <c r="U1314" s="52"/>
      <c r="V1314" s="52"/>
      <c r="W1314" s="52"/>
      <c r="X1314" s="52"/>
      <c r="Y1314" s="52"/>
      <c r="Z1314" s="52"/>
      <c r="AA1314" s="52"/>
      <c r="AB1314" s="52"/>
      <c r="AC1314" s="52"/>
      <c r="AD1314" s="52"/>
      <c r="AE1314" s="52"/>
      <c r="AF1314" s="52"/>
      <c r="AG1314" s="52"/>
      <c r="AH1314" s="52"/>
      <c r="AI1314" s="52"/>
      <c r="AJ1314" s="52"/>
      <c r="AK1314" s="52"/>
      <c r="AL1314" s="52"/>
      <c r="AM1314" s="52"/>
      <c r="AN1314" s="52"/>
    </row>
    <row r="1315" spans="1:40" x14ac:dyDescent="0.3">
      <c r="A1315" s="52">
        <v>1310</v>
      </c>
      <c r="B1315" s="52">
        <f>-bthan*500+(9+0.5)*bthan*1000/50</f>
        <v>-1705</v>
      </c>
      <c r="C1315" s="52">
        <f t="shared" si="166"/>
        <v>-269.99999999999989</v>
      </c>
      <c r="D1315" s="52">
        <f t="shared" si="163"/>
        <v>2200</v>
      </c>
      <c r="E1315" s="52">
        <f t="shared" si="164"/>
        <v>1</v>
      </c>
      <c r="F1315" s="52"/>
      <c r="G1315" s="52"/>
      <c r="H1315" s="52"/>
      <c r="I1315" s="52"/>
      <c r="J1315" s="52"/>
      <c r="K1315" s="52"/>
      <c r="L1315" s="52"/>
      <c r="M1315" s="52"/>
      <c r="N1315" s="52"/>
      <c r="O1315" s="52"/>
      <c r="P1315" s="52"/>
      <c r="Q1315" s="52"/>
      <c r="R1315" s="52"/>
      <c r="S1315" s="52"/>
      <c r="T1315" s="52"/>
      <c r="U1315" s="52"/>
      <c r="V1315" s="52"/>
      <c r="W1315" s="52"/>
      <c r="X1315" s="52"/>
      <c r="Y1315" s="52"/>
      <c r="Z1315" s="52"/>
      <c r="AA1315" s="52"/>
      <c r="AB1315" s="52"/>
      <c r="AC1315" s="52"/>
      <c r="AD1315" s="52"/>
      <c r="AE1315" s="52"/>
      <c r="AF1315" s="52"/>
      <c r="AG1315" s="52"/>
      <c r="AH1315" s="52"/>
      <c r="AI1315" s="52"/>
      <c r="AJ1315" s="52"/>
      <c r="AK1315" s="52"/>
      <c r="AL1315" s="52"/>
      <c r="AM1315" s="52"/>
      <c r="AN1315" s="52"/>
    </row>
    <row r="1316" spans="1:40" x14ac:dyDescent="0.3">
      <c r="A1316" s="52">
        <v>1311</v>
      </c>
      <c r="B1316" s="52">
        <f>-bthan*500+(10+0.5)*bthan*1000/50</f>
        <v>-1595</v>
      </c>
      <c r="C1316" s="52">
        <f t="shared" si="166"/>
        <v>-269.99999999999989</v>
      </c>
      <c r="D1316" s="52">
        <f t="shared" si="163"/>
        <v>2200</v>
      </c>
      <c r="E1316" s="52">
        <f t="shared" si="164"/>
        <v>1</v>
      </c>
      <c r="F1316" s="52"/>
      <c r="G1316" s="52"/>
      <c r="H1316" s="52"/>
      <c r="I1316" s="52"/>
      <c r="J1316" s="52"/>
      <c r="K1316" s="52"/>
      <c r="L1316" s="52"/>
      <c r="M1316" s="52"/>
      <c r="N1316" s="52"/>
      <c r="O1316" s="52"/>
      <c r="P1316" s="52"/>
      <c r="Q1316" s="52"/>
      <c r="R1316" s="52"/>
      <c r="S1316" s="52"/>
      <c r="T1316" s="52"/>
      <c r="U1316" s="52"/>
      <c r="V1316" s="52"/>
      <c r="W1316" s="52"/>
      <c r="X1316" s="52"/>
      <c r="Y1316" s="52"/>
      <c r="Z1316" s="52"/>
      <c r="AA1316" s="52"/>
      <c r="AB1316" s="52"/>
      <c r="AC1316" s="52"/>
      <c r="AD1316" s="52"/>
      <c r="AE1316" s="52"/>
      <c r="AF1316" s="52"/>
      <c r="AG1316" s="52"/>
      <c r="AH1316" s="52"/>
      <c r="AI1316" s="52"/>
      <c r="AJ1316" s="52"/>
      <c r="AK1316" s="52"/>
      <c r="AL1316" s="52"/>
      <c r="AM1316" s="52"/>
      <c r="AN1316" s="52"/>
    </row>
    <row r="1317" spans="1:40" x14ac:dyDescent="0.3">
      <c r="A1317" s="52">
        <v>1312</v>
      </c>
      <c r="B1317" s="52">
        <f>-bthan*500+(11+0.5)*bthan*1000/50</f>
        <v>-1485</v>
      </c>
      <c r="C1317" s="52">
        <f t="shared" si="166"/>
        <v>-269.99999999999989</v>
      </c>
      <c r="D1317" s="52">
        <f t="shared" si="163"/>
        <v>2200</v>
      </c>
      <c r="E1317" s="52">
        <f t="shared" si="164"/>
        <v>1</v>
      </c>
      <c r="F1317" s="52"/>
      <c r="G1317" s="52"/>
      <c r="H1317" s="52"/>
      <c r="I1317" s="52"/>
      <c r="J1317" s="52"/>
      <c r="K1317" s="52"/>
      <c r="L1317" s="52"/>
      <c r="M1317" s="52"/>
      <c r="N1317" s="52"/>
      <c r="O1317" s="52"/>
      <c r="P1317" s="52"/>
      <c r="Q1317" s="52"/>
      <c r="R1317" s="52"/>
      <c r="S1317" s="52"/>
      <c r="T1317" s="52"/>
      <c r="U1317" s="52"/>
      <c r="V1317" s="52"/>
      <c r="W1317" s="52"/>
      <c r="X1317" s="52"/>
      <c r="Y1317" s="52"/>
      <c r="Z1317" s="52"/>
      <c r="AA1317" s="52"/>
      <c r="AB1317" s="52"/>
      <c r="AC1317" s="52"/>
      <c r="AD1317" s="52"/>
      <c r="AE1317" s="52"/>
      <c r="AF1317" s="52"/>
      <c r="AG1317" s="52"/>
      <c r="AH1317" s="52"/>
      <c r="AI1317" s="52"/>
      <c r="AJ1317" s="52"/>
      <c r="AK1317" s="52"/>
      <c r="AL1317" s="52"/>
      <c r="AM1317" s="52"/>
      <c r="AN1317" s="52"/>
    </row>
    <row r="1318" spans="1:40" x14ac:dyDescent="0.3">
      <c r="A1318" s="52">
        <v>1313</v>
      </c>
      <c r="B1318" s="52">
        <f>-bthan*500+(12+0.5)*bthan*1000/50</f>
        <v>-1375</v>
      </c>
      <c r="C1318" s="52">
        <f t="shared" si="166"/>
        <v>-269.99999999999989</v>
      </c>
      <c r="D1318" s="52">
        <f t="shared" si="163"/>
        <v>2200</v>
      </c>
      <c r="E1318" s="52">
        <f t="shared" si="164"/>
        <v>1</v>
      </c>
      <c r="F1318" s="52"/>
      <c r="G1318" s="52"/>
      <c r="H1318" s="52"/>
      <c r="I1318" s="52"/>
      <c r="J1318" s="52"/>
      <c r="K1318" s="52"/>
      <c r="L1318" s="52"/>
      <c r="M1318" s="52"/>
      <c r="N1318" s="52"/>
      <c r="O1318" s="52"/>
      <c r="P1318" s="52"/>
      <c r="Q1318" s="52"/>
      <c r="R1318" s="52"/>
      <c r="S1318" s="52"/>
      <c r="T1318" s="52"/>
      <c r="U1318" s="52"/>
      <c r="V1318" s="52"/>
      <c r="W1318" s="52"/>
      <c r="X1318" s="52"/>
      <c r="Y1318" s="52"/>
      <c r="Z1318" s="52"/>
      <c r="AA1318" s="52"/>
      <c r="AB1318" s="52"/>
      <c r="AC1318" s="52"/>
      <c r="AD1318" s="52"/>
      <c r="AE1318" s="52"/>
      <c r="AF1318" s="52"/>
      <c r="AG1318" s="52"/>
      <c r="AH1318" s="52"/>
      <c r="AI1318" s="52"/>
      <c r="AJ1318" s="52"/>
      <c r="AK1318" s="52"/>
      <c r="AL1318" s="52"/>
      <c r="AM1318" s="52"/>
      <c r="AN1318" s="52"/>
    </row>
    <row r="1319" spans="1:40" x14ac:dyDescent="0.3">
      <c r="A1319" s="52">
        <v>1314</v>
      </c>
      <c r="B1319" s="52">
        <f>-bthan*500+(13+0.5)*bthan*1000/50</f>
        <v>-1265</v>
      </c>
      <c r="C1319" s="52">
        <f t="shared" si="166"/>
        <v>-269.99999999999989</v>
      </c>
      <c r="D1319" s="52">
        <f t="shared" si="163"/>
        <v>2200</v>
      </c>
      <c r="E1319" s="52">
        <f t="shared" si="164"/>
        <v>1</v>
      </c>
      <c r="F1319" s="52"/>
      <c r="G1319" s="52"/>
      <c r="H1319" s="52"/>
      <c r="I1319" s="52"/>
      <c r="J1319" s="52"/>
      <c r="K1319" s="52"/>
      <c r="L1319" s="52"/>
      <c r="M1319" s="52"/>
      <c r="N1319" s="52"/>
      <c r="O1319" s="52"/>
      <c r="P1319" s="52"/>
      <c r="Q1319" s="52"/>
      <c r="R1319" s="52"/>
      <c r="S1319" s="52"/>
      <c r="T1319" s="52"/>
      <c r="U1319" s="52"/>
      <c r="V1319" s="52"/>
      <c r="W1319" s="52"/>
      <c r="X1319" s="52"/>
      <c r="Y1319" s="52"/>
      <c r="Z1319" s="52"/>
      <c r="AA1319" s="52"/>
      <c r="AB1319" s="52"/>
      <c r="AC1319" s="52"/>
      <c r="AD1319" s="52"/>
      <c r="AE1319" s="52"/>
      <c r="AF1319" s="52"/>
      <c r="AG1319" s="52"/>
      <c r="AH1319" s="52"/>
      <c r="AI1319" s="52"/>
      <c r="AJ1319" s="52"/>
      <c r="AK1319" s="52"/>
      <c r="AL1319" s="52"/>
      <c r="AM1319" s="52"/>
      <c r="AN1319" s="52"/>
    </row>
    <row r="1320" spans="1:40" x14ac:dyDescent="0.3">
      <c r="A1320" s="52">
        <v>1315</v>
      </c>
      <c r="B1320" s="52">
        <f>-bthan*500+(14+0.5)*bthan*1000/50</f>
        <v>-1155</v>
      </c>
      <c r="C1320" s="52">
        <f t="shared" si="166"/>
        <v>-269.99999999999989</v>
      </c>
      <c r="D1320" s="52">
        <f t="shared" si="163"/>
        <v>2200</v>
      </c>
      <c r="E1320" s="52">
        <f t="shared" si="164"/>
        <v>1</v>
      </c>
      <c r="F1320" s="52"/>
      <c r="G1320" s="52"/>
      <c r="H1320" s="52"/>
      <c r="I1320" s="52"/>
      <c r="J1320" s="52"/>
      <c r="K1320" s="52"/>
      <c r="L1320" s="52"/>
      <c r="M1320" s="52"/>
      <c r="N1320" s="52"/>
      <c r="O1320" s="52"/>
      <c r="P1320" s="52"/>
      <c r="Q1320" s="52"/>
      <c r="R1320" s="52"/>
      <c r="S1320" s="52"/>
      <c r="T1320" s="52"/>
      <c r="U1320" s="52"/>
      <c r="V1320" s="52"/>
      <c r="W1320" s="52"/>
      <c r="X1320" s="52"/>
      <c r="Y1320" s="52"/>
      <c r="Z1320" s="52"/>
      <c r="AA1320" s="52"/>
      <c r="AB1320" s="52"/>
      <c r="AC1320" s="52"/>
      <c r="AD1320" s="52"/>
      <c r="AE1320" s="52"/>
      <c r="AF1320" s="52"/>
      <c r="AG1320" s="52"/>
      <c r="AH1320" s="52"/>
      <c r="AI1320" s="52"/>
      <c r="AJ1320" s="52"/>
      <c r="AK1320" s="52"/>
      <c r="AL1320" s="52"/>
      <c r="AM1320" s="52"/>
      <c r="AN1320" s="52"/>
    </row>
    <row r="1321" spans="1:40" x14ac:dyDescent="0.3">
      <c r="A1321" s="52">
        <v>1316</v>
      </c>
      <c r="B1321" s="52">
        <f>-bthan*500+(15+0.5)*bthan*1000/50</f>
        <v>-1045</v>
      </c>
      <c r="C1321" s="52">
        <f t="shared" si="166"/>
        <v>-269.99999999999989</v>
      </c>
      <c r="D1321" s="52">
        <f t="shared" si="163"/>
        <v>2200</v>
      </c>
      <c r="E1321" s="52">
        <f t="shared" si="164"/>
        <v>1</v>
      </c>
      <c r="F1321" s="52"/>
      <c r="G1321" s="52"/>
      <c r="H1321" s="52"/>
      <c r="I1321" s="52"/>
      <c r="J1321" s="52"/>
      <c r="K1321" s="52"/>
      <c r="L1321" s="52"/>
      <c r="M1321" s="52"/>
      <c r="N1321" s="52"/>
      <c r="O1321" s="52"/>
      <c r="P1321" s="52"/>
      <c r="Q1321" s="52"/>
      <c r="R1321" s="52"/>
      <c r="S1321" s="52"/>
      <c r="T1321" s="52"/>
      <c r="U1321" s="52"/>
      <c r="V1321" s="52"/>
      <c r="W1321" s="52"/>
      <c r="X1321" s="52"/>
      <c r="Y1321" s="52"/>
      <c r="Z1321" s="52"/>
      <c r="AA1321" s="52"/>
      <c r="AB1321" s="52"/>
      <c r="AC1321" s="52"/>
      <c r="AD1321" s="52"/>
      <c r="AE1321" s="52"/>
      <c r="AF1321" s="52"/>
      <c r="AG1321" s="52"/>
      <c r="AH1321" s="52"/>
      <c r="AI1321" s="52"/>
      <c r="AJ1321" s="52"/>
      <c r="AK1321" s="52"/>
      <c r="AL1321" s="52"/>
      <c r="AM1321" s="52"/>
      <c r="AN1321" s="52"/>
    </row>
    <row r="1322" spans="1:40" x14ac:dyDescent="0.3">
      <c r="A1322" s="52">
        <v>1317</v>
      </c>
      <c r="B1322" s="52">
        <f>-bthan*500+(16+0.5)*bthan*1000/50</f>
        <v>-935</v>
      </c>
      <c r="C1322" s="52">
        <f t="shared" si="166"/>
        <v>-269.99999999999989</v>
      </c>
      <c r="D1322" s="52">
        <f t="shared" si="163"/>
        <v>2200</v>
      </c>
      <c r="E1322" s="52">
        <f t="shared" si="164"/>
        <v>1</v>
      </c>
      <c r="F1322" s="52"/>
      <c r="G1322" s="52"/>
      <c r="H1322" s="52"/>
      <c r="I1322" s="52"/>
      <c r="J1322" s="52"/>
      <c r="K1322" s="52"/>
      <c r="L1322" s="52"/>
      <c r="M1322" s="52"/>
      <c r="N1322" s="52"/>
      <c r="O1322" s="52"/>
      <c r="P1322" s="52"/>
      <c r="Q1322" s="52"/>
      <c r="R1322" s="52"/>
      <c r="S1322" s="52"/>
      <c r="T1322" s="52"/>
      <c r="U1322" s="52"/>
      <c r="V1322" s="52"/>
      <c r="W1322" s="52"/>
      <c r="X1322" s="52"/>
      <c r="Y1322" s="52"/>
      <c r="Z1322" s="52"/>
      <c r="AA1322" s="52"/>
      <c r="AB1322" s="52"/>
      <c r="AC1322" s="52"/>
      <c r="AD1322" s="52"/>
      <c r="AE1322" s="52"/>
      <c r="AF1322" s="52"/>
      <c r="AG1322" s="52"/>
      <c r="AH1322" s="52"/>
      <c r="AI1322" s="52"/>
      <c r="AJ1322" s="52"/>
      <c r="AK1322" s="52"/>
      <c r="AL1322" s="52"/>
      <c r="AM1322" s="52"/>
      <c r="AN1322" s="52"/>
    </row>
    <row r="1323" spans="1:40" x14ac:dyDescent="0.3">
      <c r="A1323" s="52">
        <v>1318</v>
      </c>
      <c r="B1323" s="52">
        <f>-bthan*500+(17+0.5)*bthan*1000/50</f>
        <v>-825</v>
      </c>
      <c r="C1323" s="52">
        <f t="shared" si="166"/>
        <v>-269.99999999999989</v>
      </c>
      <c r="D1323" s="52">
        <f t="shared" si="163"/>
        <v>2200</v>
      </c>
      <c r="E1323" s="52">
        <f t="shared" si="164"/>
        <v>1</v>
      </c>
      <c r="F1323" s="52"/>
      <c r="G1323" s="52"/>
      <c r="H1323" s="52"/>
      <c r="I1323" s="52"/>
      <c r="J1323" s="52"/>
      <c r="K1323" s="52"/>
      <c r="L1323" s="52"/>
      <c r="M1323" s="52"/>
      <c r="N1323" s="52"/>
      <c r="O1323" s="52"/>
      <c r="P1323" s="52"/>
      <c r="Q1323" s="52"/>
      <c r="R1323" s="52"/>
      <c r="S1323" s="52"/>
      <c r="T1323" s="52"/>
      <c r="U1323" s="52"/>
      <c r="V1323" s="52"/>
      <c r="W1323" s="52"/>
      <c r="X1323" s="52"/>
      <c r="Y1323" s="52"/>
      <c r="Z1323" s="52"/>
      <c r="AA1323" s="52"/>
      <c r="AB1323" s="52"/>
      <c r="AC1323" s="52"/>
      <c r="AD1323" s="52"/>
      <c r="AE1323" s="52"/>
      <c r="AF1323" s="52"/>
      <c r="AG1323" s="52"/>
      <c r="AH1323" s="52"/>
      <c r="AI1323" s="52"/>
      <c r="AJ1323" s="52"/>
      <c r="AK1323" s="52"/>
      <c r="AL1323" s="52"/>
      <c r="AM1323" s="52"/>
      <c r="AN1323" s="52"/>
    </row>
    <row r="1324" spans="1:40" x14ac:dyDescent="0.3">
      <c r="A1324" s="52">
        <v>1319</v>
      </c>
      <c r="B1324" s="52">
        <f>-bthan*500+(18+0.5)*bthan*1000/50</f>
        <v>-715</v>
      </c>
      <c r="C1324" s="52">
        <f t="shared" si="166"/>
        <v>-269.99999999999989</v>
      </c>
      <c r="D1324" s="52">
        <f t="shared" si="163"/>
        <v>2200</v>
      </c>
      <c r="E1324" s="52">
        <f t="shared" si="164"/>
        <v>1</v>
      </c>
      <c r="F1324" s="52"/>
      <c r="G1324" s="52"/>
      <c r="H1324" s="52"/>
      <c r="I1324" s="52"/>
      <c r="J1324" s="52"/>
      <c r="K1324" s="52"/>
      <c r="L1324" s="52"/>
      <c r="M1324" s="52"/>
      <c r="N1324" s="52"/>
      <c r="O1324" s="52"/>
      <c r="P1324" s="52"/>
      <c r="Q1324" s="52"/>
      <c r="R1324" s="52"/>
      <c r="S1324" s="52"/>
      <c r="T1324" s="52"/>
      <c r="U1324" s="52"/>
      <c r="V1324" s="52"/>
      <c r="W1324" s="52"/>
      <c r="X1324" s="52"/>
      <c r="Y1324" s="52"/>
      <c r="Z1324" s="52"/>
      <c r="AA1324" s="52"/>
      <c r="AB1324" s="52"/>
      <c r="AC1324" s="52"/>
      <c r="AD1324" s="52"/>
      <c r="AE1324" s="52"/>
      <c r="AF1324" s="52"/>
      <c r="AG1324" s="52"/>
      <c r="AH1324" s="52"/>
      <c r="AI1324" s="52"/>
      <c r="AJ1324" s="52"/>
      <c r="AK1324" s="52"/>
      <c r="AL1324" s="52"/>
      <c r="AM1324" s="52"/>
      <c r="AN1324" s="52"/>
    </row>
    <row r="1325" spans="1:40" x14ac:dyDescent="0.3">
      <c r="A1325" s="52">
        <v>1320</v>
      </c>
      <c r="B1325" s="52">
        <f>-bthan*500+(19+0.5)*bthan*1000/50</f>
        <v>-605</v>
      </c>
      <c r="C1325" s="52">
        <f t="shared" si="166"/>
        <v>-269.99999999999989</v>
      </c>
      <c r="D1325" s="52">
        <f t="shared" si="163"/>
        <v>2200</v>
      </c>
      <c r="E1325" s="52">
        <f t="shared" si="164"/>
        <v>1</v>
      </c>
      <c r="F1325" s="52"/>
      <c r="G1325" s="52"/>
      <c r="H1325" s="52"/>
      <c r="I1325" s="52"/>
      <c r="J1325" s="52"/>
      <c r="K1325" s="52"/>
      <c r="L1325" s="52"/>
      <c r="M1325" s="52"/>
      <c r="N1325" s="52"/>
      <c r="O1325" s="52"/>
      <c r="P1325" s="52"/>
      <c r="Q1325" s="52"/>
      <c r="R1325" s="52"/>
      <c r="S1325" s="52"/>
      <c r="T1325" s="52"/>
      <c r="U1325" s="52"/>
      <c r="V1325" s="52"/>
      <c r="W1325" s="52"/>
      <c r="X1325" s="52"/>
      <c r="Y1325" s="52"/>
      <c r="Z1325" s="52"/>
      <c r="AA1325" s="52"/>
      <c r="AB1325" s="52"/>
      <c r="AC1325" s="52"/>
      <c r="AD1325" s="52"/>
      <c r="AE1325" s="52"/>
      <c r="AF1325" s="52"/>
      <c r="AG1325" s="52"/>
      <c r="AH1325" s="52"/>
      <c r="AI1325" s="52"/>
      <c r="AJ1325" s="52"/>
      <c r="AK1325" s="52"/>
      <c r="AL1325" s="52"/>
      <c r="AM1325" s="52"/>
      <c r="AN1325" s="52"/>
    </row>
    <row r="1326" spans="1:40" x14ac:dyDescent="0.3">
      <c r="A1326" s="52">
        <v>1321</v>
      </c>
      <c r="B1326" s="52">
        <f>-bthan*500+(20+0.5)*bthan*1000/50</f>
        <v>-495</v>
      </c>
      <c r="C1326" s="52">
        <f t="shared" si="166"/>
        <v>-269.99999999999989</v>
      </c>
      <c r="D1326" s="52">
        <f t="shared" si="163"/>
        <v>2200</v>
      </c>
      <c r="E1326" s="52">
        <f t="shared" si="164"/>
        <v>1</v>
      </c>
      <c r="F1326" s="52"/>
      <c r="G1326" s="52"/>
      <c r="H1326" s="52"/>
      <c r="I1326" s="52"/>
      <c r="J1326" s="52"/>
      <c r="K1326" s="52"/>
      <c r="L1326" s="52"/>
      <c r="M1326" s="52"/>
      <c r="N1326" s="52"/>
      <c r="O1326" s="52"/>
      <c r="P1326" s="52"/>
      <c r="Q1326" s="52"/>
      <c r="R1326" s="52"/>
      <c r="S1326" s="52"/>
      <c r="T1326" s="52"/>
      <c r="U1326" s="52"/>
      <c r="V1326" s="52"/>
      <c r="W1326" s="52"/>
      <c r="X1326" s="52"/>
      <c r="Y1326" s="52"/>
      <c r="Z1326" s="52"/>
      <c r="AA1326" s="52"/>
      <c r="AB1326" s="52"/>
      <c r="AC1326" s="52"/>
      <c r="AD1326" s="52"/>
      <c r="AE1326" s="52"/>
      <c r="AF1326" s="52"/>
      <c r="AG1326" s="52"/>
      <c r="AH1326" s="52"/>
      <c r="AI1326" s="52"/>
      <c r="AJ1326" s="52"/>
      <c r="AK1326" s="52"/>
      <c r="AL1326" s="52"/>
      <c r="AM1326" s="52"/>
      <c r="AN1326" s="52"/>
    </row>
    <row r="1327" spans="1:40" x14ac:dyDescent="0.3">
      <c r="A1327" s="52">
        <v>1322</v>
      </c>
      <c r="B1327" s="52">
        <f>-bthan*500+(21+0.5)*bthan*1000/50</f>
        <v>-385</v>
      </c>
      <c r="C1327" s="52">
        <f t="shared" si="166"/>
        <v>-269.99999999999989</v>
      </c>
      <c r="D1327" s="52">
        <f t="shared" si="163"/>
        <v>2200</v>
      </c>
      <c r="E1327" s="52">
        <f t="shared" si="164"/>
        <v>1</v>
      </c>
      <c r="F1327" s="52"/>
      <c r="G1327" s="52"/>
      <c r="H1327" s="52"/>
      <c r="I1327" s="52"/>
      <c r="J1327" s="52"/>
      <c r="K1327" s="52"/>
      <c r="L1327" s="52"/>
      <c r="M1327" s="52"/>
      <c r="N1327" s="52"/>
      <c r="O1327" s="52"/>
      <c r="P1327" s="52"/>
      <c r="Q1327" s="52"/>
      <c r="R1327" s="52"/>
      <c r="S1327" s="52"/>
      <c r="T1327" s="52"/>
      <c r="U1327" s="52"/>
      <c r="V1327" s="52"/>
      <c r="W1327" s="52"/>
      <c r="X1327" s="52"/>
      <c r="Y1327" s="52"/>
      <c r="Z1327" s="52"/>
      <c r="AA1327" s="52"/>
      <c r="AB1327" s="52"/>
      <c r="AC1327" s="52"/>
      <c r="AD1327" s="52"/>
      <c r="AE1327" s="52"/>
      <c r="AF1327" s="52"/>
      <c r="AG1327" s="52"/>
      <c r="AH1327" s="52"/>
      <c r="AI1327" s="52"/>
      <c r="AJ1327" s="52"/>
      <c r="AK1327" s="52"/>
      <c r="AL1327" s="52"/>
      <c r="AM1327" s="52"/>
      <c r="AN1327" s="52"/>
    </row>
    <row r="1328" spans="1:40" x14ac:dyDescent="0.3">
      <c r="A1328" s="52">
        <v>1323</v>
      </c>
      <c r="B1328" s="52">
        <f>-bthan*500+(22+0.5)*bthan*1000/50</f>
        <v>-275</v>
      </c>
      <c r="C1328" s="52">
        <f t="shared" si="166"/>
        <v>-269.99999999999989</v>
      </c>
      <c r="D1328" s="52">
        <f t="shared" si="163"/>
        <v>2200</v>
      </c>
      <c r="E1328" s="52">
        <f t="shared" si="164"/>
        <v>1</v>
      </c>
      <c r="F1328" s="52"/>
      <c r="G1328" s="52"/>
      <c r="H1328" s="52"/>
      <c r="I1328" s="52"/>
      <c r="J1328" s="52"/>
      <c r="K1328" s="52"/>
      <c r="L1328" s="52"/>
      <c r="M1328" s="52"/>
      <c r="N1328" s="52"/>
      <c r="O1328" s="52"/>
      <c r="P1328" s="52"/>
      <c r="Q1328" s="52"/>
      <c r="R1328" s="52"/>
      <c r="S1328" s="52"/>
      <c r="T1328" s="52"/>
      <c r="U1328" s="52"/>
      <c r="V1328" s="52"/>
      <c r="W1328" s="52"/>
      <c r="X1328" s="52"/>
      <c r="Y1328" s="52"/>
      <c r="Z1328" s="52"/>
      <c r="AA1328" s="52"/>
      <c r="AB1328" s="52"/>
      <c r="AC1328" s="52"/>
      <c r="AD1328" s="52"/>
      <c r="AE1328" s="52"/>
      <c r="AF1328" s="52"/>
      <c r="AG1328" s="52"/>
      <c r="AH1328" s="52"/>
      <c r="AI1328" s="52"/>
      <c r="AJ1328" s="52"/>
      <c r="AK1328" s="52"/>
      <c r="AL1328" s="52"/>
      <c r="AM1328" s="52"/>
      <c r="AN1328" s="52"/>
    </row>
    <row r="1329" spans="1:40" x14ac:dyDescent="0.3">
      <c r="A1329" s="52">
        <v>1324</v>
      </c>
      <c r="B1329" s="52">
        <f>-bthan*500+(23+0.5)*bthan*1000/50</f>
        <v>-165</v>
      </c>
      <c r="C1329" s="52">
        <f t="shared" si="166"/>
        <v>-269.99999999999989</v>
      </c>
      <c r="D1329" s="52">
        <f t="shared" si="163"/>
        <v>2200</v>
      </c>
      <c r="E1329" s="52">
        <f t="shared" si="164"/>
        <v>1</v>
      </c>
      <c r="F1329" s="52"/>
      <c r="G1329" s="52"/>
      <c r="H1329" s="52"/>
      <c r="I1329" s="52"/>
      <c r="J1329" s="52"/>
      <c r="K1329" s="52"/>
      <c r="L1329" s="52"/>
      <c r="M1329" s="52"/>
      <c r="N1329" s="52"/>
      <c r="O1329" s="52"/>
      <c r="P1329" s="52"/>
      <c r="Q1329" s="52"/>
      <c r="R1329" s="52"/>
      <c r="S1329" s="52"/>
      <c r="T1329" s="52"/>
      <c r="U1329" s="52"/>
      <c r="V1329" s="52"/>
      <c r="W1329" s="52"/>
      <c r="X1329" s="52"/>
      <c r="Y1329" s="52"/>
      <c r="Z1329" s="52"/>
      <c r="AA1329" s="52"/>
      <c r="AB1329" s="52"/>
      <c r="AC1329" s="52"/>
      <c r="AD1329" s="52"/>
      <c r="AE1329" s="52"/>
      <c r="AF1329" s="52"/>
      <c r="AG1329" s="52"/>
      <c r="AH1329" s="52"/>
      <c r="AI1329" s="52"/>
      <c r="AJ1329" s="52"/>
      <c r="AK1329" s="52"/>
      <c r="AL1329" s="52"/>
      <c r="AM1329" s="52"/>
      <c r="AN1329" s="52"/>
    </row>
    <row r="1330" spans="1:40" x14ac:dyDescent="0.3">
      <c r="A1330" s="52">
        <v>1325</v>
      </c>
      <c r="B1330" s="52">
        <f>-bthan*500+(24+0.5)*bthan*1000/50</f>
        <v>-55</v>
      </c>
      <c r="C1330" s="52">
        <f t="shared" si="166"/>
        <v>-269.99999999999989</v>
      </c>
      <c r="D1330" s="52">
        <f t="shared" si="163"/>
        <v>2200</v>
      </c>
      <c r="E1330" s="52">
        <f t="shared" si="164"/>
        <v>1</v>
      </c>
      <c r="F1330" s="52"/>
      <c r="G1330" s="52"/>
      <c r="H1330" s="52"/>
      <c r="I1330" s="52"/>
      <c r="J1330" s="52"/>
      <c r="K1330" s="52"/>
      <c r="L1330" s="52"/>
      <c r="M1330" s="52"/>
      <c r="N1330" s="52"/>
      <c r="O1330" s="52"/>
      <c r="P1330" s="52"/>
      <c r="Q1330" s="52"/>
      <c r="R1330" s="52"/>
      <c r="S1330" s="52"/>
      <c r="T1330" s="52"/>
      <c r="U1330" s="52"/>
      <c r="V1330" s="52"/>
      <c r="W1330" s="52"/>
      <c r="X1330" s="52"/>
      <c r="Y1330" s="52"/>
      <c r="Z1330" s="52"/>
      <c r="AA1330" s="52"/>
      <c r="AB1330" s="52"/>
      <c r="AC1330" s="52"/>
      <c r="AD1330" s="52"/>
      <c r="AE1330" s="52"/>
      <c r="AF1330" s="52"/>
      <c r="AG1330" s="52"/>
      <c r="AH1330" s="52"/>
      <c r="AI1330" s="52"/>
      <c r="AJ1330" s="52"/>
      <c r="AK1330" s="52"/>
      <c r="AL1330" s="52"/>
      <c r="AM1330" s="52"/>
      <c r="AN1330" s="52"/>
    </row>
    <row r="1331" spans="1:40" x14ac:dyDescent="0.3">
      <c r="A1331" s="52">
        <v>1326</v>
      </c>
      <c r="B1331" s="52">
        <f>-bthan*500+(25+0.5)*bthan*1000/50</f>
        <v>55</v>
      </c>
      <c r="C1331" s="52">
        <f t="shared" si="166"/>
        <v>-269.99999999999989</v>
      </c>
      <c r="D1331" s="52">
        <f t="shared" si="163"/>
        <v>2200</v>
      </c>
      <c r="E1331" s="52">
        <f t="shared" si="164"/>
        <v>1</v>
      </c>
      <c r="F1331" s="52"/>
      <c r="G1331" s="52"/>
      <c r="H1331" s="52"/>
      <c r="I1331" s="52"/>
      <c r="J1331" s="52"/>
      <c r="K1331" s="52"/>
      <c r="L1331" s="52"/>
      <c r="M1331" s="52"/>
      <c r="N1331" s="52"/>
      <c r="O1331" s="52"/>
      <c r="P1331" s="52"/>
      <c r="Q1331" s="52"/>
      <c r="R1331" s="52"/>
      <c r="S1331" s="52"/>
      <c r="T1331" s="52"/>
      <c r="U1331" s="52"/>
      <c r="V1331" s="52"/>
      <c r="W1331" s="52"/>
      <c r="X1331" s="52"/>
      <c r="Y1331" s="52"/>
      <c r="Z1331" s="52"/>
      <c r="AA1331" s="52"/>
      <c r="AB1331" s="52"/>
      <c r="AC1331" s="52"/>
      <c r="AD1331" s="52"/>
      <c r="AE1331" s="52"/>
      <c r="AF1331" s="52"/>
      <c r="AG1331" s="52"/>
      <c r="AH1331" s="52"/>
      <c r="AI1331" s="52"/>
      <c r="AJ1331" s="52"/>
      <c r="AK1331" s="52"/>
      <c r="AL1331" s="52"/>
      <c r="AM1331" s="52"/>
      <c r="AN1331" s="52"/>
    </row>
    <row r="1332" spans="1:40" x14ac:dyDescent="0.3">
      <c r="A1332" s="52">
        <v>1327</v>
      </c>
      <c r="B1332" s="52">
        <f>-bthan*500+(26+0.5)*bthan*1000/50</f>
        <v>165</v>
      </c>
      <c r="C1332" s="52">
        <f t="shared" si="166"/>
        <v>-269.99999999999989</v>
      </c>
      <c r="D1332" s="52">
        <f t="shared" si="163"/>
        <v>2200</v>
      </c>
      <c r="E1332" s="52">
        <f t="shared" si="164"/>
        <v>1</v>
      </c>
      <c r="F1332" s="52"/>
      <c r="G1332" s="52"/>
      <c r="H1332" s="52"/>
      <c r="I1332" s="52"/>
      <c r="J1332" s="52"/>
      <c r="K1332" s="52"/>
      <c r="L1332" s="52"/>
      <c r="M1332" s="52"/>
      <c r="N1332" s="52"/>
      <c r="O1332" s="52"/>
      <c r="P1332" s="52"/>
      <c r="Q1332" s="52"/>
      <c r="R1332" s="52"/>
      <c r="S1332" s="52"/>
      <c r="T1332" s="52"/>
      <c r="U1332" s="52"/>
      <c r="V1332" s="52"/>
      <c r="W1332" s="52"/>
      <c r="X1332" s="52"/>
      <c r="Y1332" s="52"/>
      <c r="Z1332" s="52"/>
      <c r="AA1332" s="52"/>
      <c r="AB1332" s="52"/>
      <c r="AC1332" s="52"/>
      <c r="AD1332" s="52"/>
      <c r="AE1332" s="52"/>
      <c r="AF1332" s="52"/>
      <c r="AG1332" s="52"/>
      <c r="AH1332" s="52"/>
      <c r="AI1332" s="52"/>
      <c r="AJ1332" s="52"/>
      <c r="AK1332" s="52"/>
      <c r="AL1332" s="52"/>
      <c r="AM1332" s="52"/>
      <c r="AN1332" s="52"/>
    </row>
    <row r="1333" spans="1:40" x14ac:dyDescent="0.3">
      <c r="A1333" s="52">
        <v>1328</v>
      </c>
      <c r="B1333" s="52">
        <f>-bthan*500+(27+0.5)*bthan*1000/50</f>
        <v>275</v>
      </c>
      <c r="C1333" s="52">
        <f t="shared" si="166"/>
        <v>-269.99999999999989</v>
      </c>
      <c r="D1333" s="52">
        <f t="shared" si="163"/>
        <v>2200</v>
      </c>
      <c r="E1333" s="52">
        <f t="shared" si="164"/>
        <v>1</v>
      </c>
      <c r="F1333" s="52"/>
      <c r="G1333" s="52"/>
      <c r="H1333" s="52"/>
      <c r="I1333" s="52"/>
      <c r="J1333" s="52"/>
      <c r="K1333" s="52"/>
      <c r="L1333" s="52"/>
      <c r="M1333" s="52"/>
      <c r="N1333" s="52"/>
      <c r="O1333" s="52"/>
      <c r="P1333" s="52"/>
      <c r="Q1333" s="52"/>
      <c r="R1333" s="52"/>
      <c r="S1333" s="52"/>
      <c r="T1333" s="52"/>
      <c r="U1333" s="52"/>
      <c r="V1333" s="52"/>
      <c r="W1333" s="52"/>
      <c r="X1333" s="52"/>
      <c r="Y1333" s="52"/>
      <c r="Z1333" s="52"/>
      <c r="AA1333" s="52"/>
      <c r="AB1333" s="52"/>
      <c r="AC1333" s="52"/>
      <c r="AD1333" s="52"/>
      <c r="AE1333" s="52"/>
      <c r="AF1333" s="52"/>
      <c r="AG1333" s="52"/>
      <c r="AH1333" s="52"/>
      <c r="AI1333" s="52"/>
      <c r="AJ1333" s="52"/>
      <c r="AK1333" s="52"/>
      <c r="AL1333" s="52"/>
      <c r="AM1333" s="52"/>
      <c r="AN1333" s="52"/>
    </row>
    <row r="1334" spans="1:40" x14ac:dyDescent="0.3">
      <c r="A1334" s="52">
        <v>1329</v>
      </c>
      <c r="B1334" s="52">
        <f>-bthan*500+(28+0.5)*bthan*1000/50</f>
        <v>385</v>
      </c>
      <c r="C1334" s="52">
        <f t="shared" si="166"/>
        <v>-269.99999999999989</v>
      </c>
      <c r="D1334" s="52">
        <f t="shared" si="163"/>
        <v>2200</v>
      </c>
      <c r="E1334" s="52">
        <f t="shared" si="164"/>
        <v>1</v>
      </c>
      <c r="F1334" s="52"/>
      <c r="G1334" s="52"/>
      <c r="H1334" s="52"/>
      <c r="I1334" s="52"/>
      <c r="J1334" s="52"/>
      <c r="K1334" s="52"/>
      <c r="L1334" s="52"/>
      <c r="M1334" s="52"/>
      <c r="N1334" s="52"/>
      <c r="O1334" s="52"/>
      <c r="P1334" s="52"/>
      <c r="Q1334" s="52"/>
      <c r="R1334" s="52"/>
      <c r="S1334" s="52"/>
      <c r="T1334" s="52"/>
      <c r="U1334" s="52"/>
      <c r="V1334" s="52"/>
      <c r="W1334" s="52"/>
      <c r="X1334" s="52"/>
      <c r="Y1334" s="52"/>
      <c r="Z1334" s="52"/>
      <c r="AA1334" s="52"/>
      <c r="AB1334" s="52"/>
      <c r="AC1334" s="52"/>
      <c r="AD1334" s="52"/>
      <c r="AE1334" s="52"/>
      <c r="AF1334" s="52"/>
      <c r="AG1334" s="52"/>
      <c r="AH1334" s="52"/>
      <c r="AI1334" s="52"/>
      <c r="AJ1334" s="52"/>
      <c r="AK1334" s="52"/>
      <c r="AL1334" s="52"/>
      <c r="AM1334" s="52"/>
      <c r="AN1334" s="52"/>
    </row>
    <row r="1335" spans="1:40" x14ac:dyDescent="0.3">
      <c r="A1335" s="52">
        <v>1330</v>
      </c>
      <c r="B1335" s="52">
        <f>-bthan*500+(29+0.5)*bthan*1000/50</f>
        <v>495</v>
      </c>
      <c r="C1335" s="52">
        <f t="shared" si="166"/>
        <v>-269.99999999999989</v>
      </c>
      <c r="D1335" s="52">
        <f t="shared" si="163"/>
        <v>2200</v>
      </c>
      <c r="E1335" s="52">
        <f t="shared" si="164"/>
        <v>1</v>
      </c>
      <c r="F1335" s="52"/>
      <c r="G1335" s="52"/>
      <c r="H1335" s="52"/>
      <c r="I1335" s="52"/>
      <c r="J1335" s="52"/>
      <c r="K1335" s="52"/>
      <c r="L1335" s="52"/>
      <c r="M1335" s="52"/>
      <c r="N1335" s="52"/>
      <c r="O1335" s="52"/>
      <c r="P1335" s="52"/>
      <c r="Q1335" s="52"/>
      <c r="R1335" s="52"/>
      <c r="S1335" s="52"/>
      <c r="T1335" s="52"/>
      <c r="U1335" s="52"/>
      <c r="V1335" s="52"/>
      <c r="W1335" s="52"/>
      <c r="X1335" s="52"/>
      <c r="Y1335" s="52"/>
      <c r="Z1335" s="52"/>
      <c r="AA1335" s="52"/>
      <c r="AB1335" s="52"/>
      <c r="AC1335" s="52"/>
      <c r="AD1335" s="52"/>
      <c r="AE1335" s="52"/>
      <c r="AF1335" s="52"/>
      <c r="AG1335" s="52"/>
      <c r="AH1335" s="52"/>
      <c r="AI1335" s="52"/>
      <c r="AJ1335" s="52"/>
      <c r="AK1335" s="52"/>
      <c r="AL1335" s="52"/>
      <c r="AM1335" s="52"/>
      <c r="AN1335" s="52"/>
    </row>
    <row r="1336" spans="1:40" x14ac:dyDescent="0.3">
      <c r="A1336" s="52">
        <v>1331</v>
      </c>
      <c r="B1336" s="52">
        <f>-bthan*500+(30+0.5)*bthan*1000/50</f>
        <v>605</v>
      </c>
      <c r="C1336" s="52">
        <f t="shared" si="166"/>
        <v>-269.99999999999989</v>
      </c>
      <c r="D1336" s="52">
        <f t="shared" si="163"/>
        <v>2200</v>
      </c>
      <c r="E1336" s="52">
        <f t="shared" si="164"/>
        <v>1</v>
      </c>
      <c r="F1336" s="52"/>
      <c r="G1336" s="52"/>
      <c r="H1336" s="52"/>
      <c r="I1336" s="52"/>
      <c r="J1336" s="52"/>
      <c r="K1336" s="52"/>
      <c r="L1336" s="52"/>
      <c r="M1336" s="52"/>
      <c r="N1336" s="52"/>
      <c r="O1336" s="52"/>
      <c r="P1336" s="52"/>
      <c r="Q1336" s="52"/>
      <c r="R1336" s="52"/>
      <c r="S1336" s="52"/>
      <c r="T1336" s="52"/>
      <c r="U1336" s="52"/>
      <c r="V1336" s="52"/>
      <c r="W1336" s="52"/>
      <c r="X1336" s="52"/>
      <c r="Y1336" s="52"/>
      <c r="Z1336" s="52"/>
      <c r="AA1336" s="52"/>
      <c r="AB1336" s="52"/>
      <c r="AC1336" s="52"/>
      <c r="AD1336" s="52"/>
      <c r="AE1336" s="52"/>
      <c r="AF1336" s="52"/>
      <c r="AG1336" s="52"/>
      <c r="AH1336" s="52"/>
      <c r="AI1336" s="52"/>
      <c r="AJ1336" s="52"/>
      <c r="AK1336" s="52"/>
      <c r="AL1336" s="52"/>
      <c r="AM1336" s="52"/>
      <c r="AN1336" s="52"/>
    </row>
    <row r="1337" spans="1:40" x14ac:dyDescent="0.3">
      <c r="A1337" s="52">
        <v>1332</v>
      </c>
      <c r="B1337" s="52">
        <f>-bthan*500+(31+0.5)*bthan*1000/50</f>
        <v>715</v>
      </c>
      <c r="C1337" s="52">
        <f t="shared" si="166"/>
        <v>-269.99999999999989</v>
      </c>
      <c r="D1337" s="52">
        <f t="shared" si="163"/>
        <v>2200</v>
      </c>
      <c r="E1337" s="52">
        <f t="shared" si="164"/>
        <v>1</v>
      </c>
      <c r="F1337" s="52"/>
      <c r="G1337" s="52"/>
      <c r="H1337" s="52"/>
      <c r="I1337" s="52"/>
      <c r="J1337" s="52"/>
      <c r="K1337" s="52"/>
      <c r="L1337" s="52"/>
      <c r="M1337" s="52"/>
      <c r="N1337" s="52"/>
      <c r="O1337" s="52"/>
      <c r="P1337" s="52"/>
      <c r="Q1337" s="52"/>
      <c r="R1337" s="52"/>
      <c r="S1337" s="52"/>
      <c r="T1337" s="52"/>
      <c r="U1337" s="52"/>
      <c r="V1337" s="52"/>
      <c r="W1337" s="52"/>
      <c r="X1337" s="52"/>
      <c r="Y1337" s="52"/>
      <c r="Z1337" s="52"/>
      <c r="AA1337" s="52"/>
      <c r="AB1337" s="52"/>
      <c r="AC1337" s="52"/>
      <c r="AD1337" s="52"/>
      <c r="AE1337" s="52"/>
      <c r="AF1337" s="52"/>
      <c r="AG1337" s="52"/>
      <c r="AH1337" s="52"/>
      <c r="AI1337" s="52"/>
      <c r="AJ1337" s="52"/>
      <c r="AK1337" s="52"/>
      <c r="AL1337" s="52"/>
      <c r="AM1337" s="52"/>
      <c r="AN1337" s="52"/>
    </row>
    <row r="1338" spans="1:40" x14ac:dyDescent="0.3">
      <c r="A1338" s="52">
        <v>1333</v>
      </c>
      <c r="B1338" s="52">
        <f>-bthan*500+(32+0.5)*bthan*1000/50</f>
        <v>825</v>
      </c>
      <c r="C1338" s="52">
        <f t="shared" ref="C1338:C1355" si="167">-hthan*500+(26+0.5)*hthan*1000/80</f>
        <v>-269.99999999999989</v>
      </c>
      <c r="D1338" s="52">
        <f t="shared" si="163"/>
        <v>2200</v>
      </c>
      <c r="E1338" s="52">
        <f t="shared" si="164"/>
        <v>1</v>
      </c>
      <c r="F1338" s="52"/>
      <c r="G1338" s="52"/>
      <c r="H1338" s="52"/>
      <c r="I1338" s="52"/>
      <c r="J1338" s="52"/>
      <c r="K1338" s="52"/>
      <c r="L1338" s="52"/>
      <c r="M1338" s="52"/>
      <c r="N1338" s="52"/>
      <c r="O1338" s="52"/>
      <c r="P1338" s="52"/>
      <c r="Q1338" s="52"/>
      <c r="R1338" s="52"/>
      <c r="S1338" s="52"/>
      <c r="T1338" s="52"/>
      <c r="U1338" s="52"/>
      <c r="V1338" s="52"/>
      <c r="W1338" s="52"/>
      <c r="X1338" s="52"/>
      <c r="Y1338" s="52"/>
      <c r="Z1338" s="52"/>
      <c r="AA1338" s="52"/>
      <c r="AB1338" s="52"/>
      <c r="AC1338" s="52"/>
      <c r="AD1338" s="52"/>
      <c r="AE1338" s="52"/>
      <c r="AF1338" s="52"/>
      <c r="AG1338" s="52"/>
      <c r="AH1338" s="52"/>
      <c r="AI1338" s="52"/>
      <c r="AJ1338" s="52"/>
      <c r="AK1338" s="52"/>
      <c r="AL1338" s="52"/>
      <c r="AM1338" s="52"/>
      <c r="AN1338" s="52"/>
    </row>
    <row r="1339" spans="1:40" x14ac:dyDescent="0.3">
      <c r="A1339" s="52">
        <v>1334</v>
      </c>
      <c r="B1339" s="52">
        <f>-bthan*500+(33+0.5)*bthan*1000/50</f>
        <v>935</v>
      </c>
      <c r="C1339" s="52">
        <f t="shared" si="167"/>
        <v>-269.99999999999989</v>
      </c>
      <c r="D1339" s="52">
        <f t="shared" si="163"/>
        <v>2200</v>
      </c>
      <c r="E1339" s="52">
        <f t="shared" si="164"/>
        <v>1</v>
      </c>
      <c r="F1339" s="52"/>
      <c r="G1339" s="52"/>
      <c r="H1339" s="52"/>
      <c r="I1339" s="52"/>
      <c r="J1339" s="52"/>
      <c r="K1339" s="52"/>
      <c r="L1339" s="52"/>
      <c r="M1339" s="52"/>
      <c r="N1339" s="52"/>
      <c r="O1339" s="52"/>
      <c r="P1339" s="52"/>
      <c r="Q1339" s="52"/>
      <c r="R1339" s="52"/>
      <c r="S1339" s="52"/>
      <c r="T1339" s="52"/>
      <c r="U1339" s="52"/>
      <c r="V1339" s="52"/>
      <c r="W1339" s="52"/>
      <c r="X1339" s="52"/>
      <c r="Y1339" s="52"/>
      <c r="Z1339" s="52"/>
      <c r="AA1339" s="52"/>
      <c r="AB1339" s="52"/>
      <c r="AC1339" s="52"/>
      <c r="AD1339" s="52"/>
      <c r="AE1339" s="52"/>
      <c r="AF1339" s="52"/>
      <c r="AG1339" s="52"/>
      <c r="AH1339" s="52"/>
      <c r="AI1339" s="52"/>
      <c r="AJ1339" s="52"/>
      <c r="AK1339" s="52"/>
      <c r="AL1339" s="52"/>
      <c r="AM1339" s="52"/>
      <c r="AN1339" s="52"/>
    </row>
    <row r="1340" spans="1:40" x14ac:dyDescent="0.3">
      <c r="A1340" s="52">
        <v>1335</v>
      </c>
      <c r="B1340" s="52">
        <f>-bthan*500+(34+0.5)*bthan*1000/50</f>
        <v>1045</v>
      </c>
      <c r="C1340" s="52">
        <f t="shared" si="167"/>
        <v>-269.99999999999989</v>
      </c>
      <c r="D1340" s="52">
        <f t="shared" si="163"/>
        <v>2200</v>
      </c>
      <c r="E1340" s="52">
        <f t="shared" si="164"/>
        <v>1</v>
      </c>
      <c r="F1340" s="52"/>
      <c r="G1340" s="52"/>
      <c r="H1340" s="52"/>
      <c r="I1340" s="52"/>
      <c r="J1340" s="52"/>
      <c r="K1340" s="52"/>
      <c r="L1340" s="52"/>
      <c r="M1340" s="52"/>
      <c r="N1340" s="52"/>
      <c r="O1340" s="52"/>
      <c r="P1340" s="52"/>
      <c r="Q1340" s="52"/>
      <c r="R1340" s="52"/>
      <c r="S1340" s="52"/>
      <c r="T1340" s="52"/>
      <c r="U1340" s="52"/>
      <c r="V1340" s="52"/>
      <c r="W1340" s="52"/>
      <c r="X1340" s="52"/>
      <c r="Y1340" s="52"/>
      <c r="Z1340" s="52"/>
      <c r="AA1340" s="52"/>
      <c r="AB1340" s="52"/>
      <c r="AC1340" s="52"/>
      <c r="AD1340" s="52"/>
      <c r="AE1340" s="52"/>
      <c r="AF1340" s="52"/>
      <c r="AG1340" s="52"/>
      <c r="AH1340" s="52"/>
      <c r="AI1340" s="52"/>
      <c r="AJ1340" s="52"/>
      <c r="AK1340" s="52"/>
      <c r="AL1340" s="52"/>
      <c r="AM1340" s="52"/>
      <c r="AN1340" s="52"/>
    </row>
    <row r="1341" spans="1:40" x14ac:dyDescent="0.3">
      <c r="A1341" s="52">
        <v>1336</v>
      </c>
      <c r="B1341" s="52">
        <f>-bthan*500+(35+0.5)*bthan*1000/50</f>
        <v>1155</v>
      </c>
      <c r="C1341" s="52">
        <f t="shared" si="167"/>
        <v>-269.99999999999989</v>
      </c>
      <c r="D1341" s="52">
        <f t="shared" si="163"/>
        <v>2200</v>
      </c>
      <c r="E1341" s="52">
        <f t="shared" si="164"/>
        <v>1</v>
      </c>
      <c r="F1341" s="52"/>
      <c r="G1341" s="52"/>
      <c r="H1341" s="52"/>
      <c r="I1341" s="52"/>
      <c r="J1341" s="52"/>
      <c r="K1341" s="52"/>
      <c r="L1341" s="52"/>
      <c r="M1341" s="52"/>
      <c r="N1341" s="52"/>
      <c r="O1341" s="52"/>
      <c r="P1341" s="52"/>
      <c r="Q1341" s="52"/>
      <c r="R1341" s="52"/>
      <c r="S1341" s="52"/>
      <c r="T1341" s="52"/>
      <c r="U1341" s="52"/>
      <c r="V1341" s="52"/>
      <c r="W1341" s="52"/>
      <c r="X1341" s="52"/>
      <c r="Y1341" s="52"/>
      <c r="Z1341" s="52"/>
      <c r="AA1341" s="52"/>
      <c r="AB1341" s="52"/>
      <c r="AC1341" s="52"/>
      <c r="AD1341" s="52"/>
      <c r="AE1341" s="52"/>
      <c r="AF1341" s="52"/>
      <c r="AG1341" s="52"/>
      <c r="AH1341" s="52"/>
      <c r="AI1341" s="52"/>
      <c r="AJ1341" s="52"/>
      <c r="AK1341" s="52"/>
      <c r="AL1341" s="52"/>
      <c r="AM1341" s="52"/>
      <c r="AN1341" s="52"/>
    </row>
    <row r="1342" spans="1:40" x14ac:dyDescent="0.3">
      <c r="A1342" s="52">
        <v>1337</v>
      </c>
      <c r="B1342" s="52">
        <f>-bthan*500+(36+0.5)*bthan*1000/50</f>
        <v>1265</v>
      </c>
      <c r="C1342" s="52">
        <f t="shared" si="167"/>
        <v>-269.99999999999989</v>
      </c>
      <c r="D1342" s="52">
        <f t="shared" si="163"/>
        <v>2200</v>
      </c>
      <c r="E1342" s="52">
        <f t="shared" si="164"/>
        <v>1</v>
      </c>
      <c r="F1342" s="52"/>
      <c r="G1342" s="52"/>
      <c r="H1342" s="52"/>
      <c r="I1342" s="52"/>
      <c r="J1342" s="52"/>
      <c r="K1342" s="52"/>
      <c r="L1342" s="52"/>
      <c r="M1342" s="52"/>
      <c r="N1342" s="52"/>
      <c r="O1342" s="52"/>
      <c r="P1342" s="52"/>
      <c r="Q1342" s="52"/>
      <c r="R1342" s="52"/>
      <c r="S1342" s="52"/>
      <c r="T1342" s="52"/>
      <c r="U1342" s="52"/>
      <c r="V1342" s="52"/>
      <c r="W1342" s="52"/>
      <c r="X1342" s="52"/>
      <c r="Y1342" s="52"/>
      <c r="Z1342" s="52"/>
      <c r="AA1342" s="52"/>
      <c r="AB1342" s="52"/>
      <c r="AC1342" s="52"/>
      <c r="AD1342" s="52"/>
      <c r="AE1342" s="52"/>
      <c r="AF1342" s="52"/>
      <c r="AG1342" s="52"/>
      <c r="AH1342" s="52"/>
      <c r="AI1342" s="52"/>
      <c r="AJ1342" s="52"/>
      <c r="AK1342" s="52"/>
      <c r="AL1342" s="52"/>
      <c r="AM1342" s="52"/>
      <c r="AN1342" s="52"/>
    </row>
    <row r="1343" spans="1:40" x14ac:dyDescent="0.3">
      <c r="A1343" s="52">
        <v>1338</v>
      </c>
      <c r="B1343" s="52">
        <f>-bthan*500+(37+0.5)*bthan*1000/50</f>
        <v>1375</v>
      </c>
      <c r="C1343" s="52">
        <f t="shared" si="167"/>
        <v>-269.99999999999989</v>
      </c>
      <c r="D1343" s="52">
        <f t="shared" si="163"/>
        <v>2200</v>
      </c>
      <c r="E1343" s="52">
        <f t="shared" si="164"/>
        <v>1</v>
      </c>
      <c r="F1343" s="52"/>
      <c r="G1343" s="52"/>
      <c r="H1343" s="52"/>
      <c r="I1343" s="52"/>
      <c r="J1343" s="52"/>
      <c r="K1343" s="52"/>
      <c r="L1343" s="52"/>
      <c r="M1343" s="52"/>
      <c r="N1343" s="52"/>
      <c r="O1343" s="52"/>
      <c r="P1343" s="52"/>
      <c r="Q1343" s="52"/>
      <c r="R1343" s="52"/>
      <c r="S1343" s="52"/>
      <c r="T1343" s="52"/>
      <c r="U1343" s="52"/>
      <c r="V1343" s="52"/>
      <c r="W1343" s="52"/>
      <c r="X1343" s="52"/>
      <c r="Y1343" s="52"/>
      <c r="Z1343" s="52"/>
      <c r="AA1343" s="52"/>
      <c r="AB1343" s="52"/>
      <c r="AC1343" s="52"/>
      <c r="AD1343" s="52"/>
      <c r="AE1343" s="52"/>
      <c r="AF1343" s="52"/>
      <c r="AG1343" s="52"/>
      <c r="AH1343" s="52"/>
      <c r="AI1343" s="52"/>
      <c r="AJ1343" s="52"/>
      <c r="AK1343" s="52"/>
      <c r="AL1343" s="52"/>
      <c r="AM1343" s="52"/>
      <c r="AN1343" s="52"/>
    </row>
    <row r="1344" spans="1:40" x14ac:dyDescent="0.3">
      <c r="A1344" s="52">
        <v>1339</v>
      </c>
      <c r="B1344" s="52">
        <f>-bthan*500+(38+0.5)*bthan*1000/50</f>
        <v>1485</v>
      </c>
      <c r="C1344" s="52">
        <f t="shared" si="167"/>
        <v>-269.99999999999989</v>
      </c>
      <c r="D1344" s="52">
        <f t="shared" si="163"/>
        <v>2200</v>
      </c>
      <c r="E1344" s="52">
        <f t="shared" si="164"/>
        <v>1</v>
      </c>
      <c r="F1344" s="52"/>
      <c r="G1344" s="52"/>
      <c r="H1344" s="52"/>
      <c r="I1344" s="52"/>
      <c r="J1344" s="52"/>
      <c r="K1344" s="52"/>
      <c r="L1344" s="52"/>
      <c r="M1344" s="52"/>
      <c r="N1344" s="52"/>
      <c r="O1344" s="52"/>
      <c r="P1344" s="52"/>
      <c r="Q1344" s="52"/>
      <c r="R1344" s="52"/>
      <c r="S1344" s="52"/>
      <c r="T1344" s="52"/>
      <c r="U1344" s="52"/>
      <c r="V1344" s="52"/>
      <c r="W1344" s="52"/>
      <c r="X1344" s="52"/>
      <c r="Y1344" s="52"/>
      <c r="Z1344" s="52"/>
      <c r="AA1344" s="52"/>
      <c r="AB1344" s="52"/>
      <c r="AC1344" s="52"/>
      <c r="AD1344" s="52"/>
      <c r="AE1344" s="52"/>
      <c r="AF1344" s="52"/>
      <c r="AG1344" s="52"/>
      <c r="AH1344" s="52"/>
      <c r="AI1344" s="52"/>
      <c r="AJ1344" s="52"/>
      <c r="AK1344" s="52"/>
      <c r="AL1344" s="52"/>
      <c r="AM1344" s="52"/>
      <c r="AN1344" s="52"/>
    </row>
    <row r="1345" spans="1:40" x14ac:dyDescent="0.3">
      <c r="A1345" s="52">
        <v>1340</v>
      </c>
      <c r="B1345" s="52">
        <f>-bthan*500+(39+0.5)*bthan*1000/50</f>
        <v>1595</v>
      </c>
      <c r="C1345" s="52">
        <f t="shared" si="167"/>
        <v>-269.99999999999989</v>
      </c>
      <c r="D1345" s="52">
        <f t="shared" si="163"/>
        <v>2200</v>
      </c>
      <c r="E1345" s="52">
        <f t="shared" si="164"/>
        <v>1</v>
      </c>
      <c r="F1345" s="52"/>
      <c r="G1345" s="52"/>
      <c r="H1345" s="52"/>
      <c r="I1345" s="52"/>
      <c r="J1345" s="52"/>
      <c r="K1345" s="52"/>
      <c r="L1345" s="52"/>
      <c r="M1345" s="52"/>
      <c r="N1345" s="52"/>
      <c r="O1345" s="52"/>
      <c r="P1345" s="52"/>
      <c r="Q1345" s="52"/>
      <c r="R1345" s="52"/>
      <c r="S1345" s="52"/>
      <c r="T1345" s="52"/>
      <c r="U1345" s="52"/>
      <c r="V1345" s="52"/>
      <c r="W1345" s="52"/>
      <c r="X1345" s="52"/>
      <c r="Y1345" s="52"/>
      <c r="Z1345" s="52"/>
      <c r="AA1345" s="52"/>
      <c r="AB1345" s="52"/>
      <c r="AC1345" s="52"/>
      <c r="AD1345" s="52"/>
      <c r="AE1345" s="52"/>
      <c r="AF1345" s="52"/>
      <c r="AG1345" s="52"/>
      <c r="AH1345" s="52"/>
      <c r="AI1345" s="52"/>
      <c r="AJ1345" s="52"/>
      <c r="AK1345" s="52"/>
      <c r="AL1345" s="52"/>
      <c r="AM1345" s="52"/>
      <c r="AN1345" s="52"/>
    </row>
    <row r="1346" spans="1:40" x14ac:dyDescent="0.3">
      <c r="A1346" s="52">
        <v>1341</v>
      </c>
      <c r="B1346" s="52">
        <f>-bthan*500+(40+0.5)*bthan*1000/50</f>
        <v>1705</v>
      </c>
      <c r="C1346" s="52">
        <f t="shared" si="167"/>
        <v>-269.99999999999989</v>
      </c>
      <c r="D1346" s="52">
        <f t="shared" si="163"/>
        <v>2200</v>
      </c>
      <c r="E1346" s="52">
        <f t="shared" si="164"/>
        <v>1</v>
      </c>
      <c r="F1346" s="52"/>
      <c r="G1346" s="52"/>
      <c r="H1346" s="52"/>
      <c r="I1346" s="52"/>
      <c r="J1346" s="52"/>
      <c r="K1346" s="52"/>
      <c r="L1346" s="52"/>
      <c r="M1346" s="52"/>
      <c r="N1346" s="52"/>
      <c r="O1346" s="52"/>
      <c r="P1346" s="52"/>
      <c r="Q1346" s="52"/>
      <c r="R1346" s="52"/>
      <c r="S1346" s="52"/>
      <c r="T1346" s="52"/>
      <c r="U1346" s="52"/>
      <c r="V1346" s="52"/>
      <c r="W1346" s="52"/>
      <c r="X1346" s="52"/>
      <c r="Y1346" s="52"/>
      <c r="Z1346" s="52"/>
      <c r="AA1346" s="52"/>
      <c r="AB1346" s="52"/>
      <c r="AC1346" s="52"/>
      <c r="AD1346" s="52"/>
      <c r="AE1346" s="52"/>
      <c r="AF1346" s="52"/>
      <c r="AG1346" s="52"/>
      <c r="AH1346" s="52"/>
      <c r="AI1346" s="52"/>
      <c r="AJ1346" s="52"/>
      <c r="AK1346" s="52"/>
      <c r="AL1346" s="52"/>
      <c r="AM1346" s="52"/>
      <c r="AN1346" s="52"/>
    </row>
    <row r="1347" spans="1:40" x14ac:dyDescent="0.3">
      <c r="A1347" s="52">
        <v>1342</v>
      </c>
      <c r="B1347" s="52">
        <f>-bthan*500+(41+0.5)*bthan*1000/50</f>
        <v>1815</v>
      </c>
      <c r="C1347" s="52">
        <f t="shared" si="167"/>
        <v>-269.99999999999989</v>
      </c>
      <c r="D1347" s="52">
        <f t="shared" si="163"/>
        <v>2200</v>
      </c>
      <c r="E1347" s="52">
        <f t="shared" si="164"/>
        <v>1</v>
      </c>
      <c r="F1347" s="52"/>
      <c r="G1347" s="52"/>
      <c r="H1347" s="52"/>
      <c r="I1347" s="52"/>
      <c r="J1347" s="52"/>
      <c r="K1347" s="52"/>
      <c r="L1347" s="52"/>
      <c r="M1347" s="52"/>
      <c r="N1347" s="52"/>
      <c r="O1347" s="52"/>
      <c r="P1347" s="52"/>
      <c r="Q1347" s="52"/>
      <c r="R1347" s="52"/>
      <c r="S1347" s="52"/>
      <c r="T1347" s="52"/>
      <c r="U1347" s="52"/>
      <c r="V1347" s="52"/>
      <c r="W1347" s="52"/>
      <c r="X1347" s="52"/>
      <c r="Y1347" s="52"/>
      <c r="Z1347" s="52"/>
      <c r="AA1347" s="52"/>
      <c r="AB1347" s="52"/>
      <c r="AC1347" s="52"/>
      <c r="AD1347" s="52"/>
      <c r="AE1347" s="52"/>
      <c r="AF1347" s="52"/>
      <c r="AG1347" s="52"/>
      <c r="AH1347" s="52"/>
      <c r="AI1347" s="52"/>
      <c r="AJ1347" s="52"/>
      <c r="AK1347" s="52"/>
      <c r="AL1347" s="52"/>
      <c r="AM1347" s="52"/>
      <c r="AN1347" s="52"/>
    </row>
    <row r="1348" spans="1:40" x14ac:dyDescent="0.3">
      <c r="A1348" s="52">
        <v>1343</v>
      </c>
      <c r="B1348" s="52">
        <f>-bthan*500+(42+0.5)*bthan*1000/50</f>
        <v>1925</v>
      </c>
      <c r="C1348" s="52">
        <f t="shared" si="167"/>
        <v>-269.99999999999989</v>
      </c>
      <c r="D1348" s="52">
        <f t="shared" si="163"/>
        <v>2200</v>
      </c>
      <c r="E1348" s="52">
        <f t="shared" si="164"/>
        <v>1</v>
      </c>
      <c r="F1348" s="52"/>
      <c r="G1348" s="52"/>
      <c r="H1348" s="52"/>
      <c r="I1348" s="52"/>
      <c r="J1348" s="52"/>
      <c r="K1348" s="52"/>
      <c r="L1348" s="52"/>
      <c r="M1348" s="52"/>
      <c r="N1348" s="52"/>
      <c r="O1348" s="52"/>
      <c r="P1348" s="52"/>
      <c r="Q1348" s="52"/>
      <c r="R1348" s="52"/>
      <c r="S1348" s="52"/>
      <c r="T1348" s="52"/>
      <c r="U1348" s="52"/>
      <c r="V1348" s="52"/>
      <c r="W1348" s="52"/>
      <c r="X1348" s="52"/>
      <c r="Y1348" s="52"/>
      <c r="Z1348" s="52"/>
      <c r="AA1348" s="52"/>
      <c r="AB1348" s="52"/>
      <c r="AC1348" s="52"/>
      <c r="AD1348" s="52"/>
      <c r="AE1348" s="52"/>
      <c r="AF1348" s="52"/>
      <c r="AG1348" s="52"/>
      <c r="AH1348" s="52"/>
      <c r="AI1348" s="52"/>
      <c r="AJ1348" s="52"/>
      <c r="AK1348" s="52"/>
      <c r="AL1348" s="52"/>
      <c r="AM1348" s="52"/>
      <c r="AN1348" s="52"/>
    </row>
    <row r="1349" spans="1:40" x14ac:dyDescent="0.3">
      <c r="A1349" s="52">
        <v>1344</v>
      </c>
      <c r="B1349" s="52">
        <f>-bthan*500+(43+0.5)*bthan*1000/50</f>
        <v>2035</v>
      </c>
      <c r="C1349" s="52">
        <f t="shared" si="167"/>
        <v>-269.99999999999989</v>
      </c>
      <c r="D1349" s="52">
        <f t="shared" si="163"/>
        <v>2200</v>
      </c>
      <c r="E1349" s="52">
        <f t="shared" si="164"/>
        <v>1</v>
      </c>
      <c r="F1349" s="52"/>
      <c r="G1349" s="52"/>
      <c r="H1349" s="52"/>
      <c r="I1349" s="52"/>
      <c r="J1349" s="52"/>
      <c r="K1349" s="52"/>
      <c r="L1349" s="52"/>
      <c r="M1349" s="52"/>
      <c r="N1349" s="52"/>
      <c r="O1349" s="52"/>
      <c r="P1349" s="52"/>
      <c r="Q1349" s="52"/>
      <c r="R1349" s="52"/>
      <c r="S1349" s="52"/>
      <c r="T1349" s="52"/>
      <c r="U1349" s="52"/>
      <c r="V1349" s="52"/>
      <c r="W1349" s="52"/>
      <c r="X1349" s="52"/>
      <c r="Y1349" s="52"/>
      <c r="Z1349" s="52"/>
      <c r="AA1349" s="52"/>
      <c r="AB1349" s="52"/>
      <c r="AC1349" s="52"/>
      <c r="AD1349" s="52"/>
      <c r="AE1349" s="52"/>
      <c r="AF1349" s="52"/>
      <c r="AG1349" s="52"/>
      <c r="AH1349" s="52"/>
      <c r="AI1349" s="52"/>
      <c r="AJ1349" s="52"/>
      <c r="AK1349" s="52"/>
      <c r="AL1349" s="52"/>
      <c r="AM1349" s="52"/>
      <c r="AN1349" s="52"/>
    </row>
    <row r="1350" spans="1:40" x14ac:dyDescent="0.3">
      <c r="A1350" s="52">
        <v>1345</v>
      </c>
      <c r="B1350" s="52">
        <f>-bthan*500+(44+0.5)*bthan*1000/50</f>
        <v>2145</v>
      </c>
      <c r="C1350" s="52">
        <f t="shared" si="167"/>
        <v>-269.99999999999989</v>
      </c>
      <c r="D1350" s="52">
        <f t="shared" ref="D1350:D1413" si="168">bthan*1000/50*hthan*1000/80</f>
        <v>2200</v>
      </c>
      <c r="E1350" s="52">
        <f t="shared" ref="E1350:E1413" si="169">IF(shp=1,--(OR(ABS(B1350)&lt;=MAX(0,(bthan-hthan)*500),(ABS(B1350)-MAX(0,(bthan-hthan)*500))^2+C1350^2&lt;=(hthan*500)^2)),--(AND(ABS(B1350)&lt;=bthan*500,ABS(C1350)&lt;=hthan*500,OR(ABS(B1350)&lt;=bthan*500-cch*1000,ABS(C1350)&lt;=hthan*500-cch*1000,(bthan*500-ABS(B1350))+(hthan*500-ABS(C1350))&gt;=cch*1000))))</f>
        <v>1</v>
      </c>
      <c r="F1350" s="52"/>
      <c r="G1350" s="52"/>
      <c r="H1350" s="52"/>
      <c r="I1350" s="52"/>
      <c r="J1350" s="52"/>
      <c r="K1350" s="52"/>
      <c r="L1350" s="52"/>
      <c r="M1350" s="52"/>
      <c r="N1350" s="52"/>
      <c r="O1350" s="52"/>
      <c r="P1350" s="52"/>
      <c r="Q1350" s="52"/>
      <c r="R1350" s="52"/>
      <c r="S1350" s="52"/>
      <c r="T1350" s="52"/>
      <c r="U1350" s="52"/>
      <c r="V1350" s="52"/>
      <c r="W1350" s="52"/>
      <c r="X1350" s="52"/>
      <c r="Y1350" s="52"/>
      <c r="Z1350" s="52"/>
      <c r="AA1350" s="52"/>
      <c r="AB1350" s="52"/>
      <c r="AC1350" s="52"/>
      <c r="AD1350" s="52"/>
      <c r="AE1350" s="52"/>
      <c r="AF1350" s="52"/>
      <c r="AG1350" s="52"/>
      <c r="AH1350" s="52"/>
      <c r="AI1350" s="52"/>
      <c r="AJ1350" s="52"/>
      <c r="AK1350" s="52"/>
      <c r="AL1350" s="52"/>
      <c r="AM1350" s="52"/>
      <c r="AN1350" s="52"/>
    </row>
    <row r="1351" spans="1:40" x14ac:dyDescent="0.3">
      <c r="A1351" s="52">
        <v>1346</v>
      </c>
      <c r="B1351" s="52">
        <f>-bthan*500+(45+0.5)*bthan*1000/50</f>
        <v>2255</v>
      </c>
      <c r="C1351" s="52">
        <f t="shared" si="167"/>
        <v>-269.99999999999989</v>
      </c>
      <c r="D1351" s="52">
        <f t="shared" si="168"/>
        <v>2200</v>
      </c>
      <c r="E1351" s="52">
        <f t="shared" si="169"/>
        <v>1</v>
      </c>
      <c r="F1351" s="52"/>
      <c r="G1351" s="52"/>
      <c r="H1351" s="52"/>
      <c r="I1351" s="52"/>
      <c r="J1351" s="52"/>
      <c r="K1351" s="52"/>
      <c r="L1351" s="52"/>
      <c r="M1351" s="52"/>
      <c r="N1351" s="52"/>
      <c r="O1351" s="52"/>
      <c r="P1351" s="52"/>
      <c r="Q1351" s="52"/>
      <c r="R1351" s="52"/>
      <c r="S1351" s="52"/>
      <c r="T1351" s="52"/>
      <c r="U1351" s="52"/>
      <c r="V1351" s="52"/>
      <c r="W1351" s="52"/>
      <c r="X1351" s="52"/>
      <c r="Y1351" s="52"/>
      <c r="Z1351" s="52"/>
      <c r="AA1351" s="52"/>
      <c r="AB1351" s="52"/>
      <c r="AC1351" s="52"/>
      <c r="AD1351" s="52"/>
      <c r="AE1351" s="52"/>
      <c r="AF1351" s="52"/>
      <c r="AG1351" s="52"/>
      <c r="AH1351" s="52"/>
      <c r="AI1351" s="52"/>
      <c r="AJ1351" s="52"/>
      <c r="AK1351" s="52"/>
      <c r="AL1351" s="52"/>
      <c r="AM1351" s="52"/>
      <c r="AN1351" s="52"/>
    </row>
    <row r="1352" spans="1:40" x14ac:dyDescent="0.3">
      <c r="A1352" s="52">
        <v>1347</v>
      </c>
      <c r="B1352" s="52">
        <f>-bthan*500+(46+0.5)*bthan*1000/50</f>
        <v>2365</v>
      </c>
      <c r="C1352" s="52">
        <f t="shared" si="167"/>
        <v>-269.99999999999989</v>
      </c>
      <c r="D1352" s="52">
        <f t="shared" si="168"/>
        <v>2200</v>
      </c>
      <c r="E1352" s="52">
        <f t="shared" si="169"/>
        <v>1</v>
      </c>
      <c r="F1352" s="52"/>
      <c r="G1352" s="52"/>
      <c r="H1352" s="52"/>
      <c r="I1352" s="52"/>
      <c r="J1352" s="52"/>
      <c r="K1352" s="52"/>
      <c r="L1352" s="52"/>
      <c r="M1352" s="52"/>
      <c r="N1352" s="52"/>
      <c r="O1352" s="52"/>
      <c r="P1352" s="52"/>
      <c r="Q1352" s="52"/>
      <c r="R1352" s="52"/>
      <c r="S1352" s="52"/>
      <c r="T1352" s="52"/>
      <c r="U1352" s="52"/>
      <c r="V1352" s="52"/>
      <c r="W1352" s="52"/>
      <c r="X1352" s="52"/>
      <c r="Y1352" s="52"/>
      <c r="Z1352" s="52"/>
      <c r="AA1352" s="52"/>
      <c r="AB1352" s="52"/>
      <c r="AC1352" s="52"/>
      <c r="AD1352" s="52"/>
      <c r="AE1352" s="52"/>
      <c r="AF1352" s="52"/>
      <c r="AG1352" s="52"/>
      <c r="AH1352" s="52"/>
      <c r="AI1352" s="52"/>
      <c r="AJ1352" s="52"/>
      <c r="AK1352" s="52"/>
      <c r="AL1352" s="52"/>
      <c r="AM1352" s="52"/>
      <c r="AN1352" s="52"/>
    </row>
    <row r="1353" spans="1:40" x14ac:dyDescent="0.3">
      <c r="A1353" s="52">
        <v>1348</v>
      </c>
      <c r="B1353" s="52">
        <f>-bthan*500+(47+0.5)*bthan*1000/50</f>
        <v>2475</v>
      </c>
      <c r="C1353" s="52">
        <f t="shared" si="167"/>
        <v>-269.99999999999989</v>
      </c>
      <c r="D1353" s="52">
        <f t="shared" si="168"/>
        <v>2200</v>
      </c>
      <c r="E1353" s="52">
        <f t="shared" si="169"/>
        <v>1</v>
      </c>
      <c r="F1353" s="52"/>
      <c r="G1353" s="52"/>
      <c r="H1353" s="52"/>
      <c r="I1353" s="52"/>
      <c r="J1353" s="52"/>
      <c r="K1353" s="52"/>
      <c r="L1353" s="52"/>
      <c r="M1353" s="52"/>
      <c r="N1353" s="52"/>
      <c r="O1353" s="52"/>
      <c r="P1353" s="52"/>
      <c r="Q1353" s="52"/>
      <c r="R1353" s="52"/>
      <c r="S1353" s="52"/>
      <c r="T1353" s="52"/>
      <c r="U1353" s="52"/>
      <c r="V1353" s="52"/>
      <c r="W1353" s="52"/>
      <c r="X1353" s="52"/>
      <c r="Y1353" s="52"/>
      <c r="Z1353" s="52"/>
      <c r="AA1353" s="52"/>
      <c r="AB1353" s="52"/>
      <c r="AC1353" s="52"/>
      <c r="AD1353" s="52"/>
      <c r="AE1353" s="52"/>
      <c r="AF1353" s="52"/>
      <c r="AG1353" s="52"/>
      <c r="AH1353" s="52"/>
      <c r="AI1353" s="52"/>
      <c r="AJ1353" s="52"/>
      <c r="AK1353" s="52"/>
      <c r="AL1353" s="52"/>
      <c r="AM1353" s="52"/>
      <c r="AN1353" s="52"/>
    </row>
    <row r="1354" spans="1:40" x14ac:dyDescent="0.3">
      <c r="A1354" s="52">
        <v>1349</v>
      </c>
      <c r="B1354" s="52">
        <f>-bthan*500+(48+0.5)*bthan*1000/50</f>
        <v>2585</v>
      </c>
      <c r="C1354" s="52">
        <f t="shared" si="167"/>
        <v>-269.99999999999989</v>
      </c>
      <c r="D1354" s="52">
        <f t="shared" si="168"/>
        <v>2200</v>
      </c>
      <c r="E1354" s="52">
        <f t="shared" si="169"/>
        <v>1</v>
      </c>
      <c r="F1354" s="52"/>
      <c r="G1354" s="52"/>
      <c r="H1354" s="52"/>
      <c r="I1354" s="52"/>
      <c r="J1354" s="52"/>
      <c r="K1354" s="52"/>
      <c r="L1354" s="52"/>
      <c r="M1354" s="52"/>
      <c r="N1354" s="52"/>
      <c r="O1354" s="52"/>
      <c r="P1354" s="52"/>
      <c r="Q1354" s="52"/>
      <c r="R1354" s="52"/>
      <c r="S1354" s="52"/>
      <c r="T1354" s="52"/>
      <c r="U1354" s="52"/>
      <c r="V1354" s="52"/>
      <c r="W1354" s="52"/>
      <c r="X1354" s="52"/>
      <c r="Y1354" s="52"/>
      <c r="Z1354" s="52"/>
      <c r="AA1354" s="52"/>
      <c r="AB1354" s="52"/>
      <c r="AC1354" s="52"/>
      <c r="AD1354" s="52"/>
      <c r="AE1354" s="52"/>
      <c r="AF1354" s="52"/>
      <c r="AG1354" s="52"/>
      <c r="AH1354" s="52"/>
      <c r="AI1354" s="52"/>
      <c r="AJ1354" s="52"/>
      <c r="AK1354" s="52"/>
      <c r="AL1354" s="52"/>
      <c r="AM1354" s="52"/>
      <c r="AN1354" s="52"/>
    </row>
    <row r="1355" spans="1:40" x14ac:dyDescent="0.3">
      <c r="A1355" s="52">
        <v>1350</v>
      </c>
      <c r="B1355" s="52">
        <f>-bthan*500+(49+0.5)*bthan*1000/50</f>
        <v>2695</v>
      </c>
      <c r="C1355" s="52">
        <f t="shared" si="167"/>
        <v>-269.99999999999989</v>
      </c>
      <c r="D1355" s="52">
        <f t="shared" si="168"/>
        <v>2200</v>
      </c>
      <c r="E1355" s="52">
        <f t="shared" si="169"/>
        <v>1</v>
      </c>
      <c r="F1355" s="52"/>
      <c r="G1355" s="52"/>
      <c r="H1355" s="52"/>
      <c r="I1355" s="52"/>
      <c r="J1355" s="52"/>
      <c r="K1355" s="52"/>
      <c r="L1355" s="52"/>
      <c r="M1355" s="52"/>
      <c r="N1355" s="52"/>
      <c r="O1355" s="52"/>
      <c r="P1355" s="52"/>
      <c r="Q1355" s="52"/>
      <c r="R1355" s="52"/>
      <c r="S1355" s="52"/>
      <c r="T1355" s="52"/>
      <c r="U1355" s="52"/>
      <c r="V1355" s="52"/>
      <c r="W1355" s="52"/>
      <c r="X1355" s="52"/>
      <c r="Y1355" s="52"/>
      <c r="Z1355" s="52"/>
      <c r="AA1355" s="52"/>
      <c r="AB1355" s="52"/>
      <c r="AC1355" s="52"/>
      <c r="AD1355" s="52"/>
      <c r="AE1355" s="52"/>
      <c r="AF1355" s="52"/>
      <c r="AG1355" s="52"/>
      <c r="AH1355" s="52"/>
      <c r="AI1355" s="52"/>
      <c r="AJ1355" s="52"/>
      <c r="AK1355" s="52"/>
      <c r="AL1355" s="52"/>
      <c r="AM1355" s="52"/>
      <c r="AN1355" s="52"/>
    </row>
    <row r="1356" spans="1:40" x14ac:dyDescent="0.3">
      <c r="A1356" s="52">
        <v>1351</v>
      </c>
      <c r="B1356" s="52">
        <f>-bthan*500+(0+0.5)*bthan*1000/50</f>
        <v>-2695</v>
      </c>
      <c r="C1356" s="52">
        <f t="shared" ref="C1356:C1387" si="170">-hthan*500+(27+0.5)*hthan*1000/80</f>
        <v>-250</v>
      </c>
      <c r="D1356" s="52">
        <f t="shared" si="168"/>
        <v>2200</v>
      </c>
      <c r="E1356" s="52">
        <f t="shared" si="169"/>
        <v>1</v>
      </c>
      <c r="F1356" s="52"/>
      <c r="G1356" s="52"/>
      <c r="H1356" s="52"/>
      <c r="I1356" s="52"/>
      <c r="J1356" s="52"/>
      <c r="K1356" s="52"/>
      <c r="L1356" s="52"/>
      <c r="M1356" s="52"/>
      <c r="N1356" s="52"/>
      <c r="O1356" s="52"/>
      <c r="P1356" s="52"/>
      <c r="Q1356" s="52"/>
      <c r="R1356" s="52"/>
      <c r="S1356" s="52"/>
      <c r="T1356" s="52"/>
      <c r="U1356" s="52"/>
      <c r="V1356" s="52"/>
      <c r="W1356" s="52"/>
      <c r="X1356" s="52"/>
      <c r="Y1356" s="52"/>
      <c r="Z1356" s="52"/>
      <c r="AA1356" s="52"/>
      <c r="AB1356" s="52"/>
      <c r="AC1356" s="52"/>
      <c r="AD1356" s="52"/>
      <c r="AE1356" s="52"/>
      <c r="AF1356" s="52"/>
      <c r="AG1356" s="52"/>
      <c r="AH1356" s="52"/>
      <c r="AI1356" s="52"/>
      <c r="AJ1356" s="52"/>
      <c r="AK1356" s="52"/>
      <c r="AL1356" s="52"/>
      <c r="AM1356" s="52"/>
      <c r="AN1356" s="52"/>
    </row>
    <row r="1357" spans="1:40" x14ac:dyDescent="0.3">
      <c r="A1357" s="52">
        <v>1352</v>
      </c>
      <c r="B1357" s="52">
        <f>-bthan*500+(1+0.5)*bthan*1000/50</f>
        <v>-2585</v>
      </c>
      <c r="C1357" s="52">
        <f t="shared" si="170"/>
        <v>-250</v>
      </c>
      <c r="D1357" s="52">
        <f t="shared" si="168"/>
        <v>2200</v>
      </c>
      <c r="E1357" s="52">
        <f t="shared" si="169"/>
        <v>1</v>
      </c>
      <c r="F1357" s="52"/>
      <c r="G1357" s="52"/>
      <c r="H1357" s="52"/>
      <c r="I1357" s="52"/>
      <c r="J1357" s="52"/>
      <c r="K1357" s="52"/>
      <c r="L1357" s="52"/>
      <c r="M1357" s="52"/>
      <c r="N1357" s="52"/>
      <c r="O1357" s="52"/>
      <c r="P1357" s="52"/>
      <c r="Q1357" s="52"/>
      <c r="R1357" s="52"/>
      <c r="S1357" s="52"/>
      <c r="T1357" s="52"/>
      <c r="U1357" s="52"/>
      <c r="V1357" s="52"/>
      <c r="W1357" s="52"/>
      <c r="X1357" s="52"/>
      <c r="Y1357" s="52"/>
      <c r="Z1357" s="52"/>
      <c r="AA1357" s="52"/>
      <c r="AB1357" s="52"/>
      <c r="AC1357" s="52"/>
      <c r="AD1357" s="52"/>
      <c r="AE1357" s="52"/>
      <c r="AF1357" s="52"/>
      <c r="AG1357" s="52"/>
      <c r="AH1357" s="52"/>
      <c r="AI1357" s="52"/>
      <c r="AJ1357" s="52"/>
      <c r="AK1357" s="52"/>
      <c r="AL1357" s="52"/>
      <c r="AM1357" s="52"/>
      <c r="AN1357" s="52"/>
    </row>
    <row r="1358" spans="1:40" x14ac:dyDescent="0.3">
      <c r="A1358" s="52">
        <v>1353</v>
      </c>
      <c r="B1358" s="52">
        <f>-bthan*500+(2+0.5)*bthan*1000/50</f>
        <v>-2475</v>
      </c>
      <c r="C1358" s="52">
        <f t="shared" si="170"/>
        <v>-250</v>
      </c>
      <c r="D1358" s="52">
        <f t="shared" si="168"/>
        <v>2200</v>
      </c>
      <c r="E1358" s="52">
        <f t="shared" si="169"/>
        <v>1</v>
      </c>
      <c r="F1358" s="52"/>
      <c r="G1358" s="52"/>
      <c r="H1358" s="52"/>
      <c r="I1358" s="52"/>
      <c r="J1358" s="52"/>
      <c r="K1358" s="52"/>
      <c r="L1358" s="52"/>
      <c r="M1358" s="52"/>
      <c r="N1358" s="52"/>
      <c r="O1358" s="52"/>
      <c r="P1358" s="52"/>
      <c r="Q1358" s="52"/>
      <c r="R1358" s="52"/>
      <c r="S1358" s="52"/>
      <c r="T1358" s="52"/>
      <c r="U1358" s="52"/>
      <c r="V1358" s="52"/>
      <c r="W1358" s="52"/>
      <c r="X1358" s="52"/>
      <c r="Y1358" s="52"/>
      <c r="Z1358" s="52"/>
      <c r="AA1358" s="52"/>
      <c r="AB1358" s="52"/>
      <c r="AC1358" s="52"/>
      <c r="AD1358" s="52"/>
      <c r="AE1358" s="52"/>
      <c r="AF1358" s="52"/>
      <c r="AG1358" s="52"/>
      <c r="AH1358" s="52"/>
      <c r="AI1358" s="52"/>
      <c r="AJ1358" s="52"/>
      <c r="AK1358" s="52"/>
      <c r="AL1358" s="52"/>
      <c r="AM1358" s="52"/>
      <c r="AN1358" s="52"/>
    </row>
    <row r="1359" spans="1:40" x14ac:dyDescent="0.3">
      <c r="A1359" s="52">
        <v>1354</v>
      </c>
      <c r="B1359" s="52">
        <f>-bthan*500+(3+0.5)*bthan*1000/50</f>
        <v>-2365</v>
      </c>
      <c r="C1359" s="52">
        <f t="shared" si="170"/>
        <v>-250</v>
      </c>
      <c r="D1359" s="52">
        <f t="shared" si="168"/>
        <v>2200</v>
      </c>
      <c r="E1359" s="52">
        <f t="shared" si="169"/>
        <v>1</v>
      </c>
      <c r="F1359" s="52"/>
      <c r="G1359" s="52"/>
      <c r="H1359" s="52"/>
      <c r="I1359" s="52"/>
      <c r="J1359" s="52"/>
      <c r="K1359" s="52"/>
      <c r="L1359" s="52"/>
      <c r="M1359" s="52"/>
      <c r="N1359" s="52"/>
      <c r="O1359" s="52"/>
      <c r="P1359" s="52"/>
      <c r="Q1359" s="52"/>
      <c r="R1359" s="52"/>
      <c r="S1359" s="52"/>
      <c r="T1359" s="52"/>
      <c r="U1359" s="52"/>
      <c r="V1359" s="52"/>
      <c r="W1359" s="52"/>
      <c r="X1359" s="52"/>
      <c r="Y1359" s="52"/>
      <c r="Z1359" s="52"/>
      <c r="AA1359" s="52"/>
      <c r="AB1359" s="52"/>
      <c r="AC1359" s="52"/>
      <c r="AD1359" s="52"/>
      <c r="AE1359" s="52"/>
      <c r="AF1359" s="52"/>
      <c r="AG1359" s="52"/>
      <c r="AH1359" s="52"/>
      <c r="AI1359" s="52"/>
      <c r="AJ1359" s="52"/>
      <c r="AK1359" s="52"/>
      <c r="AL1359" s="52"/>
      <c r="AM1359" s="52"/>
      <c r="AN1359" s="52"/>
    </row>
    <row r="1360" spans="1:40" x14ac:dyDescent="0.3">
      <c r="A1360" s="52">
        <v>1355</v>
      </c>
      <c r="B1360" s="52">
        <f>-bthan*500+(4+0.5)*bthan*1000/50</f>
        <v>-2255</v>
      </c>
      <c r="C1360" s="52">
        <f t="shared" si="170"/>
        <v>-250</v>
      </c>
      <c r="D1360" s="52">
        <f t="shared" si="168"/>
        <v>2200</v>
      </c>
      <c r="E1360" s="52">
        <f t="shared" si="169"/>
        <v>1</v>
      </c>
      <c r="F1360" s="52"/>
      <c r="G1360" s="52"/>
      <c r="H1360" s="52"/>
      <c r="I1360" s="52"/>
      <c r="J1360" s="52"/>
      <c r="K1360" s="52"/>
      <c r="L1360" s="52"/>
      <c r="M1360" s="52"/>
      <c r="N1360" s="52"/>
      <c r="O1360" s="52"/>
      <c r="P1360" s="52"/>
      <c r="Q1360" s="52"/>
      <c r="R1360" s="52"/>
      <c r="S1360" s="52"/>
      <c r="T1360" s="52"/>
      <c r="U1360" s="52"/>
      <c r="V1360" s="52"/>
      <c r="W1360" s="52"/>
      <c r="X1360" s="52"/>
      <c r="Y1360" s="52"/>
      <c r="Z1360" s="52"/>
      <c r="AA1360" s="52"/>
      <c r="AB1360" s="52"/>
      <c r="AC1360" s="52"/>
      <c r="AD1360" s="52"/>
      <c r="AE1360" s="52"/>
      <c r="AF1360" s="52"/>
      <c r="AG1360" s="52"/>
      <c r="AH1360" s="52"/>
      <c r="AI1360" s="52"/>
      <c r="AJ1360" s="52"/>
      <c r="AK1360" s="52"/>
      <c r="AL1360" s="52"/>
      <c r="AM1360" s="52"/>
      <c r="AN1360" s="52"/>
    </row>
    <row r="1361" spans="1:40" x14ac:dyDescent="0.3">
      <c r="A1361" s="52">
        <v>1356</v>
      </c>
      <c r="B1361" s="52">
        <f>-bthan*500+(5+0.5)*bthan*1000/50</f>
        <v>-2145</v>
      </c>
      <c r="C1361" s="52">
        <f t="shared" si="170"/>
        <v>-250</v>
      </c>
      <c r="D1361" s="52">
        <f t="shared" si="168"/>
        <v>2200</v>
      </c>
      <c r="E1361" s="52">
        <f t="shared" si="169"/>
        <v>1</v>
      </c>
      <c r="F1361" s="52"/>
      <c r="G1361" s="52"/>
      <c r="H1361" s="52"/>
      <c r="I1361" s="52"/>
      <c r="J1361" s="52"/>
      <c r="K1361" s="52"/>
      <c r="L1361" s="52"/>
      <c r="M1361" s="52"/>
      <c r="N1361" s="52"/>
      <c r="O1361" s="52"/>
      <c r="P1361" s="52"/>
      <c r="Q1361" s="52"/>
      <c r="R1361" s="52"/>
      <c r="S1361" s="52"/>
      <c r="T1361" s="52"/>
      <c r="U1361" s="52"/>
      <c r="V1361" s="52"/>
      <c r="W1361" s="52"/>
      <c r="X1361" s="52"/>
      <c r="Y1361" s="52"/>
      <c r="Z1361" s="52"/>
      <c r="AA1361" s="52"/>
      <c r="AB1361" s="52"/>
      <c r="AC1361" s="52"/>
      <c r="AD1361" s="52"/>
      <c r="AE1361" s="52"/>
      <c r="AF1361" s="52"/>
      <c r="AG1361" s="52"/>
      <c r="AH1361" s="52"/>
      <c r="AI1361" s="52"/>
      <c r="AJ1361" s="52"/>
      <c r="AK1361" s="52"/>
      <c r="AL1361" s="52"/>
      <c r="AM1361" s="52"/>
      <c r="AN1361" s="52"/>
    </row>
    <row r="1362" spans="1:40" x14ac:dyDescent="0.3">
      <c r="A1362" s="52">
        <v>1357</v>
      </c>
      <c r="B1362" s="52">
        <f>-bthan*500+(6+0.5)*bthan*1000/50</f>
        <v>-2035</v>
      </c>
      <c r="C1362" s="52">
        <f t="shared" si="170"/>
        <v>-250</v>
      </c>
      <c r="D1362" s="52">
        <f t="shared" si="168"/>
        <v>2200</v>
      </c>
      <c r="E1362" s="52">
        <f t="shared" si="169"/>
        <v>1</v>
      </c>
      <c r="F1362" s="52"/>
      <c r="G1362" s="52"/>
      <c r="H1362" s="52"/>
      <c r="I1362" s="52"/>
      <c r="J1362" s="52"/>
      <c r="K1362" s="52"/>
      <c r="L1362" s="52"/>
      <c r="M1362" s="52"/>
      <c r="N1362" s="52"/>
      <c r="O1362" s="52"/>
      <c r="P1362" s="52"/>
      <c r="Q1362" s="52"/>
      <c r="R1362" s="52"/>
      <c r="S1362" s="52"/>
      <c r="T1362" s="52"/>
      <c r="U1362" s="52"/>
      <c r="V1362" s="52"/>
      <c r="W1362" s="52"/>
      <c r="X1362" s="52"/>
      <c r="Y1362" s="52"/>
      <c r="Z1362" s="52"/>
      <c r="AA1362" s="52"/>
      <c r="AB1362" s="52"/>
      <c r="AC1362" s="52"/>
      <c r="AD1362" s="52"/>
      <c r="AE1362" s="52"/>
      <c r="AF1362" s="52"/>
      <c r="AG1362" s="52"/>
      <c r="AH1362" s="52"/>
      <c r="AI1362" s="52"/>
      <c r="AJ1362" s="52"/>
      <c r="AK1362" s="52"/>
      <c r="AL1362" s="52"/>
      <c r="AM1362" s="52"/>
      <c r="AN1362" s="52"/>
    </row>
    <row r="1363" spans="1:40" x14ac:dyDescent="0.3">
      <c r="A1363" s="52">
        <v>1358</v>
      </c>
      <c r="B1363" s="52">
        <f>-bthan*500+(7+0.5)*bthan*1000/50</f>
        <v>-1925</v>
      </c>
      <c r="C1363" s="52">
        <f t="shared" si="170"/>
        <v>-250</v>
      </c>
      <c r="D1363" s="52">
        <f t="shared" si="168"/>
        <v>2200</v>
      </c>
      <c r="E1363" s="52">
        <f t="shared" si="169"/>
        <v>1</v>
      </c>
      <c r="F1363" s="52"/>
      <c r="G1363" s="52"/>
      <c r="H1363" s="52"/>
      <c r="I1363" s="52"/>
      <c r="J1363" s="52"/>
      <c r="K1363" s="52"/>
      <c r="L1363" s="52"/>
      <c r="M1363" s="52"/>
      <c r="N1363" s="52"/>
      <c r="O1363" s="52"/>
      <c r="P1363" s="52"/>
      <c r="Q1363" s="52"/>
      <c r="R1363" s="52"/>
      <c r="S1363" s="52"/>
      <c r="T1363" s="52"/>
      <c r="U1363" s="52"/>
      <c r="V1363" s="52"/>
      <c r="W1363" s="52"/>
      <c r="X1363" s="52"/>
      <c r="Y1363" s="52"/>
      <c r="Z1363" s="52"/>
      <c r="AA1363" s="52"/>
      <c r="AB1363" s="52"/>
      <c r="AC1363" s="52"/>
      <c r="AD1363" s="52"/>
      <c r="AE1363" s="52"/>
      <c r="AF1363" s="52"/>
      <c r="AG1363" s="52"/>
      <c r="AH1363" s="52"/>
      <c r="AI1363" s="52"/>
      <c r="AJ1363" s="52"/>
      <c r="AK1363" s="52"/>
      <c r="AL1363" s="52"/>
      <c r="AM1363" s="52"/>
      <c r="AN1363" s="52"/>
    </row>
    <row r="1364" spans="1:40" x14ac:dyDescent="0.3">
      <c r="A1364" s="52">
        <v>1359</v>
      </c>
      <c r="B1364" s="52">
        <f>-bthan*500+(8+0.5)*bthan*1000/50</f>
        <v>-1815</v>
      </c>
      <c r="C1364" s="52">
        <f t="shared" si="170"/>
        <v>-250</v>
      </c>
      <c r="D1364" s="52">
        <f t="shared" si="168"/>
        <v>2200</v>
      </c>
      <c r="E1364" s="52">
        <f t="shared" si="169"/>
        <v>1</v>
      </c>
      <c r="F1364" s="52"/>
      <c r="G1364" s="52"/>
      <c r="H1364" s="52"/>
      <c r="I1364" s="52"/>
      <c r="J1364" s="52"/>
      <c r="K1364" s="52"/>
      <c r="L1364" s="52"/>
      <c r="M1364" s="52"/>
      <c r="N1364" s="52"/>
      <c r="O1364" s="52"/>
      <c r="P1364" s="52"/>
      <c r="Q1364" s="52"/>
      <c r="R1364" s="52"/>
      <c r="S1364" s="52"/>
      <c r="T1364" s="52"/>
      <c r="U1364" s="52"/>
      <c r="V1364" s="52"/>
      <c r="W1364" s="52"/>
      <c r="X1364" s="52"/>
      <c r="Y1364" s="52"/>
      <c r="Z1364" s="52"/>
      <c r="AA1364" s="52"/>
      <c r="AB1364" s="52"/>
      <c r="AC1364" s="52"/>
      <c r="AD1364" s="52"/>
      <c r="AE1364" s="52"/>
      <c r="AF1364" s="52"/>
      <c r="AG1364" s="52"/>
      <c r="AH1364" s="52"/>
      <c r="AI1364" s="52"/>
      <c r="AJ1364" s="52"/>
      <c r="AK1364" s="52"/>
      <c r="AL1364" s="52"/>
      <c r="AM1364" s="52"/>
      <c r="AN1364" s="52"/>
    </row>
    <row r="1365" spans="1:40" x14ac:dyDescent="0.3">
      <c r="A1365" s="52">
        <v>1360</v>
      </c>
      <c r="B1365" s="52">
        <f>-bthan*500+(9+0.5)*bthan*1000/50</f>
        <v>-1705</v>
      </c>
      <c r="C1365" s="52">
        <f t="shared" si="170"/>
        <v>-250</v>
      </c>
      <c r="D1365" s="52">
        <f t="shared" si="168"/>
        <v>2200</v>
      </c>
      <c r="E1365" s="52">
        <f t="shared" si="169"/>
        <v>1</v>
      </c>
      <c r="F1365" s="52"/>
      <c r="G1365" s="52"/>
      <c r="H1365" s="52"/>
      <c r="I1365" s="52"/>
      <c r="J1365" s="52"/>
      <c r="K1365" s="52"/>
      <c r="L1365" s="52"/>
      <c r="M1365" s="52"/>
      <c r="N1365" s="52"/>
      <c r="O1365" s="52"/>
      <c r="P1365" s="52"/>
      <c r="Q1365" s="52"/>
      <c r="R1365" s="52"/>
      <c r="S1365" s="52"/>
      <c r="T1365" s="52"/>
      <c r="U1365" s="52"/>
      <c r="V1365" s="52"/>
      <c r="W1365" s="52"/>
      <c r="X1365" s="52"/>
      <c r="Y1365" s="52"/>
      <c r="Z1365" s="52"/>
      <c r="AA1365" s="52"/>
      <c r="AB1365" s="52"/>
      <c r="AC1365" s="52"/>
      <c r="AD1365" s="52"/>
      <c r="AE1365" s="52"/>
      <c r="AF1365" s="52"/>
      <c r="AG1365" s="52"/>
      <c r="AH1365" s="52"/>
      <c r="AI1365" s="52"/>
      <c r="AJ1365" s="52"/>
      <c r="AK1365" s="52"/>
      <c r="AL1365" s="52"/>
      <c r="AM1365" s="52"/>
      <c r="AN1365" s="52"/>
    </row>
    <row r="1366" spans="1:40" x14ac:dyDescent="0.3">
      <c r="A1366" s="52">
        <v>1361</v>
      </c>
      <c r="B1366" s="52">
        <f>-bthan*500+(10+0.5)*bthan*1000/50</f>
        <v>-1595</v>
      </c>
      <c r="C1366" s="52">
        <f t="shared" si="170"/>
        <v>-250</v>
      </c>
      <c r="D1366" s="52">
        <f t="shared" si="168"/>
        <v>2200</v>
      </c>
      <c r="E1366" s="52">
        <f t="shared" si="169"/>
        <v>1</v>
      </c>
      <c r="F1366" s="52"/>
      <c r="G1366" s="52"/>
      <c r="H1366" s="52"/>
      <c r="I1366" s="52"/>
      <c r="J1366" s="52"/>
      <c r="K1366" s="52"/>
      <c r="L1366" s="52"/>
      <c r="M1366" s="52"/>
      <c r="N1366" s="52"/>
      <c r="O1366" s="52"/>
      <c r="P1366" s="52"/>
      <c r="Q1366" s="52"/>
      <c r="R1366" s="52"/>
      <c r="S1366" s="52"/>
      <c r="T1366" s="52"/>
      <c r="U1366" s="52"/>
      <c r="V1366" s="52"/>
      <c r="W1366" s="52"/>
      <c r="X1366" s="52"/>
      <c r="Y1366" s="52"/>
      <c r="Z1366" s="52"/>
      <c r="AA1366" s="52"/>
      <c r="AB1366" s="52"/>
      <c r="AC1366" s="52"/>
      <c r="AD1366" s="52"/>
      <c r="AE1366" s="52"/>
      <c r="AF1366" s="52"/>
      <c r="AG1366" s="52"/>
      <c r="AH1366" s="52"/>
      <c r="AI1366" s="52"/>
      <c r="AJ1366" s="52"/>
      <c r="AK1366" s="52"/>
      <c r="AL1366" s="52"/>
      <c r="AM1366" s="52"/>
      <c r="AN1366" s="52"/>
    </row>
    <row r="1367" spans="1:40" x14ac:dyDescent="0.3">
      <c r="A1367" s="52">
        <v>1362</v>
      </c>
      <c r="B1367" s="52">
        <f>-bthan*500+(11+0.5)*bthan*1000/50</f>
        <v>-1485</v>
      </c>
      <c r="C1367" s="52">
        <f t="shared" si="170"/>
        <v>-250</v>
      </c>
      <c r="D1367" s="52">
        <f t="shared" si="168"/>
        <v>2200</v>
      </c>
      <c r="E1367" s="52">
        <f t="shared" si="169"/>
        <v>1</v>
      </c>
      <c r="F1367" s="52"/>
      <c r="G1367" s="52"/>
      <c r="H1367" s="52"/>
      <c r="I1367" s="52"/>
      <c r="J1367" s="52"/>
      <c r="K1367" s="52"/>
      <c r="L1367" s="52"/>
      <c r="M1367" s="52"/>
      <c r="N1367" s="52"/>
      <c r="O1367" s="52"/>
      <c r="P1367" s="52"/>
      <c r="Q1367" s="52"/>
      <c r="R1367" s="52"/>
      <c r="S1367" s="52"/>
      <c r="T1367" s="52"/>
      <c r="U1367" s="52"/>
      <c r="V1367" s="52"/>
      <c r="W1367" s="52"/>
      <c r="X1367" s="52"/>
      <c r="Y1367" s="52"/>
      <c r="Z1367" s="52"/>
      <c r="AA1367" s="52"/>
      <c r="AB1367" s="52"/>
      <c r="AC1367" s="52"/>
      <c r="AD1367" s="52"/>
      <c r="AE1367" s="52"/>
      <c r="AF1367" s="52"/>
      <c r="AG1367" s="52"/>
      <c r="AH1367" s="52"/>
      <c r="AI1367" s="52"/>
      <c r="AJ1367" s="52"/>
      <c r="AK1367" s="52"/>
      <c r="AL1367" s="52"/>
      <c r="AM1367" s="52"/>
      <c r="AN1367" s="52"/>
    </row>
    <row r="1368" spans="1:40" x14ac:dyDescent="0.3">
      <c r="A1368" s="52">
        <v>1363</v>
      </c>
      <c r="B1368" s="52">
        <f>-bthan*500+(12+0.5)*bthan*1000/50</f>
        <v>-1375</v>
      </c>
      <c r="C1368" s="52">
        <f t="shared" si="170"/>
        <v>-250</v>
      </c>
      <c r="D1368" s="52">
        <f t="shared" si="168"/>
        <v>2200</v>
      </c>
      <c r="E1368" s="52">
        <f t="shared" si="169"/>
        <v>1</v>
      </c>
      <c r="F1368" s="52"/>
      <c r="G1368" s="52"/>
      <c r="H1368" s="52"/>
      <c r="I1368" s="52"/>
      <c r="J1368" s="52"/>
      <c r="K1368" s="52"/>
      <c r="L1368" s="52"/>
      <c r="M1368" s="52"/>
      <c r="N1368" s="52"/>
      <c r="O1368" s="52"/>
      <c r="P1368" s="52"/>
      <c r="Q1368" s="52"/>
      <c r="R1368" s="52"/>
      <c r="S1368" s="52"/>
      <c r="T1368" s="52"/>
      <c r="U1368" s="52"/>
      <c r="V1368" s="52"/>
      <c r="W1368" s="52"/>
      <c r="X1368" s="52"/>
      <c r="Y1368" s="52"/>
      <c r="Z1368" s="52"/>
      <c r="AA1368" s="52"/>
      <c r="AB1368" s="52"/>
      <c r="AC1368" s="52"/>
      <c r="AD1368" s="52"/>
      <c r="AE1368" s="52"/>
      <c r="AF1368" s="52"/>
      <c r="AG1368" s="52"/>
      <c r="AH1368" s="52"/>
      <c r="AI1368" s="52"/>
      <c r="AJ1368" s="52"/>
      <c r="AK1368" s="52"/>
      <c r="AL1368" s="52"/>
      <c r="AM1368" s="52"/>
      <c r="AN1368" s="52"/>
    </row>
    <row r="1369" spans="1:40" x14ac:dyDescent="0.3">
      <c r="A1369" s="52">
        <v>1364</v>
      </c>
      <c r="B1369" s="52">
        <f>-bthan*500+(13+0.5)*bthan*1000/50</f>
        <v>-1265</v>
      </c>
      <c r="C1369" s="52">
        <f t="shared" si="170"/>
        <v>-250</v>
      </c>
      <c r="D1369" s="52">
        <f t="shared" si="168"/>
        <v>2200</v>
      </c>
      <c r="E1369" s="52">
        <f t="shared" si="169"/>
        <v>1</v>
      </c>
      <c r="F1369" s="52"/>
      <c r="G1369" s="52"/>
      <c r="H1369" s="52"/>
      <c r="I1369" s="52"/>
      <c r="J1369" s="52"/>
      <c r="K1369" s="52"/>
      <c r="L1369" s="52"/>
      <c r="M1369" s="52"/>
      <c r="N1369" s="52"/>
      <c r="O1369" s="52"/>
      <c r="P1369" s="52"/>
      <c r="Q1369" s="52"/>
      <c r="R1369" s="52"/>
      <c r="S1369" s="52"/>
      <c r="T1369" s="52"/>
      <c r="U1369" s="52"/>
      <c r="V1369" s="52"/>
      <c r="W1369" s="52"/>
      <c r="X1369" s="52"/>
      <c r="Y1369" s="52"/>
      <c r="Z1369" s="52"/>
      <c r="AA1369" s="52"/>
      <c r="AB1369" s="52"/>
      <c r="AC1369" s="52"/>
      <c r="AD1369" s="52"/>
      <c r="AE1369" s="52"/>
      <c r="AF1369" s="52"/>
      <c r="AG1369" s="52"/>
      <c r="AH1369" s="52"/>
      <c r="AI1369" s="52"/>
      <c r="AJ1369" s="52"/>
      <c r="AK1369" s="52"/>
      <c r="AL1369" s="52"/>
      <c r="AM1369" s="52"/>
      <c r="AN1369" s="52"/>
    </row>
    <row r="1370" spans="1:40" x14ac:dyDescent="0.3">
      <c r="A1370" s="52">
        <v>1365</v>
      </c>
      <c r="B1370" s="52">
        <f>-bthan*500+(14+0.5)*bthan*1000/50</f>
        <v>-1155</v>
      </c>
      <c r="C1370" s="52">
        <f t="shared" si="170"/>
        <v>-250</v>
      </c>
      <c r="D1370" s="52">
        <f t="shared" si="168"/>
        <v>2200</v>
      </c>
      <c r="E1370" s="52">
        <f t="shared" si="169"/>
        <v>1</v>
      </c>
      <c r="F1370" s="52"/>
      <c r="G1370" s="52"/>
      <c r="H1370" s="52"/>
      <c r="I1370" s="52"/>
      <c r="J1370" s="52"/>
      <c r="K1370" s="52"/>
      <c r="L1370" s="52"/>
      <c r="M1370" s="52"/>
      <c r="N1370" s="52"/>
      <c r="O1370" s="52"/>
      <c r="P1370" s="52"/>
      <c r="Q1370" s="52"/>
      <c r="R1370" s="52"/>
      <c r="S1370" s="52"/>
      <c r="T1370" s="52"/>
      <c r="U1370" s="52"/>
      <c r="V1370" s="52"/>
      <c r="W1370" s="52"/>
      <c r="X1370" s="52"/>
      <c r="Y1370" s="52"/>
      <c r="Z1370" s="52"/>
      <c r="AA1370" s="52"/>
      <c r="AB1370" s="52"/>
      <c r="AC1370" s="52"/>
      <c r="AD1370" s="52"/>
      <c r="AE1370" s="52"/>
      <c r="AF1370" s="52"/>
      <c r="AG1370" s="52"/>
      <c r="AH1370" s="52"/>
      <c r="AI1370" s="52"/>
      <c r="AJ1370" s="52"/>
      <c r="AK1370" s="52"/>
      <c r="AL1370" s="52"/>
      <c r="AM1370" s="52"/>
      <c r="AN1370" s="52"/>
    </row>
    <row r="1371" spans="1:40" x14ac:dyDescent="0.3">
      <c r="A1371" s="52">
        <v>1366</v>
      </c>
      <c r="B1371" s="52">
        <f>-bthan*500+(15+0.5)*bthan*1000/50</f>
        <v>-1045</v>
      </c>
      <c r="C1371" s="52">
        <f t="shared" si="170"/>
        <v>-250</v>
      </c>
      <c r="D1371" s="52">
        <f t="shared" si="168"/>
        <v>2200</v>
      </c>
      <c r="E1371" s="52">
        <f t="shared" si="169"/>
        <v>1</v>
      </c>
      <c r="F1371" s="52"/>
      <c r="G1371" s="52"/>
      <c r="H1371" s="52"/>
      <c r="I1371" s="52"/>
      <c r="J1371" s="52"/>
      <c r="K1371" s="52"/>
      <c r="L1371" s="52"/>
      <c r="M1371" s="52"/>
      <c r="N1371" s="52"/>
      <c r="O1371" s="52"/>
      <c r="P1371" s="52"/>
      <c r="Q1371" s="52"/>
      <c r="R1371" s="52"/>
      <c r="S1371" s="52"/>
      <c r="T1371" s="52"/>
      <c r="U1371" s="52"/>
      <c r="V1371" s="52"/>
      <c r="W1371" s="52"/>
      <c r="X1371" s="52"/>
      <c r="Y1371" s="52"/>
      <c r="Z1371" s="52"/>
      <c r="AA1371" s="52"/>
      <c r="AB1371" s="52"/>
      <c r="AC1371" s="52"/>
      <c r="AD1371" s="52"/>
      <c r="AE1371" s="52"/>
      <c r="AF1371" s="52"/>
      <c r="AG1371" s="52"/>
      <c r="AH1371" s="52"/>
      <c r="AI1371" s="52"/>
      <c r="AJ1371" s="52"/>
      <c r="AK1371" s="52"/>
      <c r="AL1371" s="52"/>
      <c r="AM1371" s="52"/>
      <c r="AN1371" s="52"/>
    </row>
    <row r="1372" spans="1:40" x14ac:dyDescent="0.3">
      <c r="A1372" s="52">
        <v>1367</v>
      </c>
      <c r="B1372" s="52">
        <f>-bthan*500+(16+0.5)*bthan*1000/50</f>
        <v>-935</v>
      </c>
      <c r="C1372" s="52">
        <f t="shared" si="170"/>
        <v>-250</v>
      </c>
      <c r="D1372" s="52">
        <f t="shared" si="168"/>
        <v>2200</v>
      </c>
      <c r="E1372" s="52">
        <f t="shared" si="169"/>
        <v>1</v>
      </c>
      <c r="F1372" s="52"/>
      <c r="G1372" s="52"/>
      <c r="H1372" s="52"/>
      <c r="I1372" s="52"/>
      <c r="J1372" s="52"/>
      <c r="K1372" s="52"/>
      <c r="L1372" s="52"/>
      <c r="M1372" s="52"/>
      <c r="N1372" s="52"/>
      <c r="O1372" s="52"/>
      <c r="P1372" s="52"/>
      <c r="Q1372" s="52"/>
      <c r="R1372" s="52"/>
      <c r="S1372" s="52"/>
      <c r="T1372" s="52"/>
      <c r="U1372" s="52"/>
      <c r="V1372" s="52"/>
      <c r="W1372" s="52"/>
      <c r="X1372" s="52"/>
      <c r="Y1372" s="52"/>
      <c r="Z1372" s="52"/>
      <c r="AA1372" s="52"/>
      <c r="AB1372" s="52"/>
      <c r="AC1372" s="52"/>
      <c r="AD1372" s="52"/>
      <c r="AE1372" s="52"/>
      <c r="AF1372" s="52"/>
      <c r="AG1372" s="52"/>
      <c r="AH1372" s="52"/>
      <c r="AI1372" s="52"/>
      <c r="AJ1372" s="52"/>
      <c r="AK1372" s="52"/>
      <c r="AL1372" s="52"/>
      <c r="AM1372" s="52"/>
      <c r="AN1372" s="52"/>
    </row>
    <row r="1373" spans="1:40" x14ac:dyDescent="0.3">
      <c r="A1373" s="52">
        <v>1368</v>
      </c>
      <c r="B1373" s="52">
        <f>-bthan*500+(17+0.5)*bthan*1000/50</f>
        <v>-825</v>
      </c>
      <c r="C1373" s="52">
        <f t="shared" si="170"/>
        <v>-250</v>
      </c>
      <c r="D1373" s="52">
        <f t="shared" si="168"/>
        <v>2200</v>
      </c>
      <c r="E1373" s="52">
        <f t="shared" si="169"/>
        <v>1</v>
      </c>
      <c r="F1373" s="52"/>
      <c r="G1373" s="52"/>
      <c r="H1373" s="52"/>
      <c r="I1373" s="52"/>
      <c r="J1373" s="52"/>
      <c r="K1373" s="52"/>
      <c r="L1373" s="52"/>
      <c r="M1373" s="52"/>
      <c r="N1373" s="52"/>
      <c r="O1373" s="52"/>
      <c r="P1373" s="52"/>
      <c r="Q1373" s="52"/>
      <c r="R1373" s="52"/>
      <c r="S1373" s="52"/>
      <c r="T1373" s="52"/>
      <c r="U1373" s="52"/>
      <c r="V1373" s="52"/>
      <c r="W1373" s="52"/>
      <c r="X1373" s="52"/>
      <c r="Y1373" s="52"/>
      <c r="Z1373" s="52"/>
      <c r="AA1373" s="52"/>
      <c r="AB1373" s="52"/>
      <c r="AC1373" s="52"/>
      <c r="AD1373" s="52"/>
      <c r="AE1373" s="52"/>
      <c r="AF1373" s="52"/>
      <c r="AG1373" s="52"/>
      <c r="AH1373" s="52"/>
      <c r="AI1373" s="52"/>
      <c r="AJ1373" s="52"/>
      <c r="AK1373" s="52"/>
      <c r="AL1373" s="52"/>
      <c r="AM1373" s="52"/>
      <c r="AN1373" s="52"/>
    </row>
    <row r="1374" spans="1:40" x14ac:dyDescent="0.3">
      <c r="A1374" s="52">
        <v>1369</v>
      </c>
      <c r="B1374" s="52">
        <f>-bthan*500+(18+0.5)*bthan*1000/50</f>
        <v>-715</v>
      </c>
      <c r="C1374" s="52">
        <f t="shared" si="170"/>
        <v>-250</v>
      </c>
      <c r="D1374" s="52">
        <f t="shared" si="168"/>
        <v>2200</v>
      </c>
      <c r="E1374" s="52">
        <f t="shared" si="169"/>
        <v>1</v>
      </c>
      <c r="F1374" s="52"/>
      <c r="G1374" s="52"/>
      <c r="H1374" s="52"/>
      <c r="I1374" s="52"/>
      <c r="J1374" s="52"/>
      <c r="K1374" s="52"/>
      <c r="L1374" s="52"/>
      <c r="M1374" s="52"/>
      <c r="N1374" s="52"/>
      <c r="O1374" s="52"/>
      <c r="P1374" s="52"/>
      <c r="Q1374" s="52"/>
      <c r="R1374" s="52"/>
      <c r="S1374" s="52"/>
      <c r="T1374" s="52"/>
      <c r="U1374" s="52"/>
      <c r="V1374" s="52"/>
      <c r="W1374" s="52"/>
      <c r="X1374" s="52"/>
      <c r="Y1374" s="52"/>
      <c r="Z1374" s="52"/>
      <c r="AA1374" s="52"/>
      <c r="AB1374" s="52"/>
      <c r="AC1374" s="52"/>
      <c r="AD1374" s="52"/>
      <c r="AE1374" s="52"/>
      <c r="AF1374" s="52"/>
      <c r="AG1374" s="52"/>
      <c r="AH1374" s="52"/>
      <c r="AI1374" s="52"/>
      <c r="AJ1374" s="52"/>
      <c r="AK1374" s="52"/>
      <c r="AL1374" s="52"/>
      <c r="AM1374" s="52"/>
      <c r="AN1374" s="52"/>
    </row>
    <row r="1375" spans="1:40" x14ac:dyDescent="0.3">
      <c r="A1375" s="52">
        <v>1370</v>
      </c>
      <c r="B1375" s="52">
        <f>-bthan*500+(19+0.5)*bthan*1000/50</f>
        <v>-605</v>
      </c>
      <c r="C1375" s="52">
        <f t="shared" si="170"/>
        <v>-250</v>
      </c>
      <c r="D1375" s="52">
        <f t="shared" si="168"/>
        <v>2200</v>
      </c>
      <c r="E1375" s="52">
        <f t="shared" si="169"/>
        <v>1</v>
      </c>
      <c r="F1375" s="52"/>
      <c r="G1375" s="52"/>
      <c r="H1375" s="52"/>
      <c r="I1375" s="52"/>
      <c r="J1375" s="52"/>
      <c r="K1375" s="52"/>
      <c r="L1375" s="52"/>
      <c r="M1375" s="52"/>
      <c r="N1375" s="52"/>
      <c r="O1375" s="52"/>
      <c r="P1375" s="52"/>
      <c r="Q1375" s="52"/>
      <c r="R1375" s="52"/>
      <c r="S1375" s="52"/>
      <c r="T1375" s="52"/>
      <c r="U1375" s="52"/>
      <c r="V1375" s="52"/>
      <c r="W1375" s="52"/>
      <c r="X1375" s="52"/>
      <c r="Y1375" s="52"/>
      <c r="Z1375" s="52"/>
      <c r="AA1375" s="52"/>
      <c r="AB1375" s="52"/>
      <c r="AC1375" s="52"/>
      <c r="AD1375" s="52"/>
      <c r="AE1375" s="52"/>
      <c r="AF1375" s="52"/>
      <c r="AG1375" s="52"/>
      <c r="AH1375" s="52"/>
      <c r="AI1375" s="52"/>
      <c r="AJ1375" s="52"/>
      <c r="AK1375" s="52"/>
      <c r="AL1375" s="52"/>
      <c r="AM1375" s="52"/>
      <c r="AN1375" s="52"/>
    </row>
    <row r="1376" spans="1:40" x14ac:dyDescent="0.3">
      <c r="A1376" s="52">
        <v>1371</v>
      </c>
      <c r="B1376" s="52">
        <f>-bthan*500+(20+0.5)*bthan*1000/50</f>
        <v>-495</v>
      </c>
      <c r="C1376" s="52">
        <f t="shared" si="170"/>
        <v>-250</v>
      </c>
      <c r="D1376" s="52">
        <f t="shared" si="168"/>
        <v>2200</v>
      </c>
      <c r="E1376" s="52">
        <f t="shared" si="169"/>
        <v>1</v>
      </c>
      <c r="F1376" s="52"/>
      <c r="G1376" s="52"/>
      <c r="H1376" s="52"/>
      <c r="I1376" s="52"/>
      <c r="J1376" s="52"/>
      <c r="K1376" s="52"/>
      <c r="L1376" s="52"/>
      <c r="M1376" s="52"/>
      <c r="N1376" s="52"/>
      <c r="O1376" s="52"/>
      <c r="P1376" s="52"/>
      <c r="Q1376" s="52"/>
      <c r="R1376" s="52"/>
      <c r="S1376" s="52"/>
      <c r="T1376" s="52"/>
      <c r="U1376" s="52"/>
      <c r="V1376" s="52"/>
      <c r="W1376" s="52"/>
      <c r="X1376" s="52"/>
      <c r="Y1376" s="52"/>
      <c r="Z1376" s="52"/>
      <c r="AA1376" s="52"/>
      <c r="AB1376" s="52"/>
      <c r="AC1376" s="52"/>
      <c r="AD1376" s="52"/>
      <c r="AE1376" s="52"/>
      <c r="AF1376" s="52"/>
      <c r="AG1376" s="52"/>
      <c r="AH1376" s="52"/>
      <c r="AI1376" s="52"/>
      <c r="AJ1376" s="52"/>
      <c r="AK1376" s="52"/>
      <c r="AL1376" s="52"/>
      <c r="AM1376" s="52"/>
      <c r="AN1376" s="52"/>
    </row>
    <row r="1377" spans="1:40" x14ac:dyDescent="0.3">
      <c r="A1377" s="52">
        <v>1372</v>
      </c>
      <c r="B1377" s="52">
        <f>-bthan*500+(21+0.5)*bthan*1000/50</f>
        <v>-385</v>
      </c>
      <c r="C1377" s="52">
        <f t="shared" si="170"/>
        <v>-250</v>
      </c>
      <c r="D1377" s="52">
        <f t="shared" si="168"/>
        <v>2200</v>
      </c>
      <c r="E1377" s="52">
        <f t="shared" si="169"/>
        <v>1</v>
      </c>
      <c r="F1377" s="52"/>
      <c r="G1377" s="52"/>
      <c r="H1377" s="52"/>
      <c r="I1377" s="52"/>
      <c r="J1377" s="52"/>
      <c r="K1377" s="52"/>
      <c r="L1377" s="52"/>
      <c r="M1377" s="52"/>
      <c r="N1377" s="52"/>
      <c r="O1377" s="52"/>
      <c r="P1377" s="52"/>
      <c r="Q1377" s="52"/>
      <c r="R1377" s="52"/>
      <c r="S1377" s="52"/>
      <c r="T1377" s="52"/>
      <c r="U1377" s="52"/>
      <c r="V1377" s="52"/>
      <c r="W1377" s="52"/>
      <c r="X1377" s="52"/>
      <c r="Y1377" s="52"/>
      <c r="Z1377" s="52"/>
      <c r="AA1377" s="52"/>
      <c r="AB1377" s="52"/>
      <c r="AC1377" s="52"/>
      <c r="AD1377" s="52"/>
      <c r="AE1377" s="52"/>
      <c r="AF1377" s="52"/>
      <c r="AG1377" s="52"/>
      <c r="AH1377" s="52"/>
      <c r="AI1377" s="52"/>
      <c r="AJ1377" s="52"/>
      <c r="AK1377" s="52"/>
      <c r="AL1377" s="52"/>
      <c r="AM1377" s="52"/>
      <c r="AN1377" s="52"/>
    </row>
    <row r="1378" spans="1:40" x14ac:dyDescent="0.3">
      <c r="A1378" s="52">
        <v>1373</v>
      </c>
      <c r="B1378" s="52">
        <f>-bthan*500+(22+0.5)*bthan*1000/50</f>
        <v>-275</v>
      </c>
      <c r="C1378" s="52">
        <f t="shared" si="170"/>
        <v>-250</v>
      </c>
      <c r="D1378" s="52">
        <f t="shared" si="168"/>
        <v>2200</v>
      </c>
      <c r="E1378" s="52">
        <f t="shared" si="169"/>
        <v>1</v>
      </c>
      <c r="F1378" s="52"/>
      <c r="G1378" s="52"/>
      <c r="H1378" s="52"/>
      <c r="I1378" s="52"/>
      <c r="J1378" s="52"/>
      <c r="K1378" s="52"/>
      <c r="L1378" s="52"/>
      <c r="M1378" s="52"/>
      <c r="N1378" s="52"/>
      <c r="O1378" s="52"/>
      <c r="P1378" s="52"/>
      <c r="Q1378" s="52"/>
      <c r="R1378" s="52"/>
      <c r="S1378" s="52"/>
      <c r="T1378" s="52"/>
      <c r="U1378" s="52"/>
      <c r="V1378" s="52"/>
      <c r="W1378" s="52"/>
      <c r="X1378" s="52"/>
      <c r="Y1378" s="52"/>
      <c r="Z1378" s="52"/>
      <c r="AA1378" s="52"/>
      <c r="AB1378" s="52"/>
      <c r="AC1378" s="52"/>
      <c r="AD1378" s="52"/>
      <c r="AE1378" s="52"/>
      <c r="AF1378" s="52"/>
      <c r="AG1378" s="52"/>
      <c r="AH1378" s="52"/>
      <c r="AI1378" s="52"/>
      <c r="AJ1378" s="52"/>
      <c r="AK1378" s="52"/>
      <c r="AL1378" s="52"/>
      <c r="AM1378" s="52"/>
      <c r="AN1378" s="52"/>
    </row>
    <row r="1379" spans="1:40" x14ac:dyDescent="0.3">
      <c r="A1379" s="52">
        <v>1374</v>
      </c>
      <c r="B1379" s="52">
        <f>-bthan*500+(23+0.5)*bthan*1000/50</f>
        <v>-165</v>
      </c>
      <c r="C1379" s="52">
        <f t="shared" si="170"/>
        <v>-250</v>
      </c>
      <c r="D1379" s="52">
        <f t="shared" si="168"/>
        <v>2200</v>
      </c>
      <c r="E1379" s="52">
        <f t="shared" si="169"/>
        <v>1</v>
      </c>
      <c r="F1379" s="52"/>
      <c r="G1379" s="52"/>
      <c r="H1379" s="52"/>
      <c r="I1379" s="52"/>
      <c r="J1379" s="52"/>
      <c r="K1379" s="52"/>
      <c r="L1379" s="52"/>
      <c r="M1379" s="52"/>
      <c r="N1379" s="52"/>
      <c r="O1379" s="52"/>
      <c r="P1379" s="52"/>
      <c r="Q1379" s="52"/>
      <c r="R1379" s="52"/>
      <c r="S1379" s="52"/>
      <c r="T1379" s="52"/>
      <c r="U1379" s="52"/>
      <c r="V1379" s="52"/>
      <c r="W1379" s="52"/>
      <c r="X1379" s="52"/>
      <c r="Y1379" s="52"/>
      <c r="Z1379" s="52"/>
      <c r="AA1379" s="52"/>
      <c r="AB1379" s="52"/>
      <c r="AC1379" s="52"/>
      <c r="AD1379" s="52"/>
      <c r="AE1379" s="52"/>
      <c r="AF1379" s="52"/>
      <c r="AG1379" s="52"/>
      <c r="AH1379" s="52"/>
      <c r="AI1379" s="52"/>
      <c r="AJ1379" s="52"/>
      <c r="AK1379" s="52"/>
      <c r="AL1379" s="52"/>
      <c r="AM1379" s="52"/>
      <c r="AN1379" s="52"/>
    </row>
    <row r="1380" spans="1:40" x14ac:dyDescent="0.3">
      <c r="A1380" s="52">
        <v>1375</v>
      </c>
      <c r="B1380" s="52">
        <f>-bthan*500+(24+0.5)*bthan*1000/50</f>
        <v>-55</v>
      </c>
      <c r="C1380" s="52">
        <f t="shared" si="170"/>
        <v>-250</v>
      </c>
      <c r="D1380" s="52">
        <f t="shared" si="168"/>
        <v>2200</v>
      </c>
      <c r="E1380" s="52">
        <f t="shared" si="169"/>
        <v>1</v>
      </c>
      <c r="F1380" s="52"/>
      <c r="G1380" s="52"/>
      <c r="H1380" s="52"/>
      <c r="I1380" s="52"/>
      <c r="J1380" s="52"/>
      <c r="K1380" s="52"/>
      <c r="L1380" s="52"/>
      <c r="M1380" s="52"/>
      <c r="N1380" s="52"/>
      <c r="O1380" s="52"/>
      <c r="P1380" s="52"/>
      <c r="Q1380" s="52"/>
      <c r="R1380" s="52"/>
      <c r="S1380" s="52"/>
      <c r="T1380" s="52"/>
      <c r="U1380" s="52"/>
      <c r="V1380" s="52"/>
      <c r="W1380" s="52"/>
      <c r="X1380" s="52"/>
      <c r="Y1380" s="52"/>
      <c r="Z1380" s="52"/>
      <c r="AA1380" s="52"/>
      <c r="AB1380" s="52"/>
      <c r="AC1380" s="52"/>
      <c r="AD1380" s="52"/>
      <c r="AE1380" s="52"/>
      <c r="AF1380" s="52"/>
      <c r="AG1380" s="52"/>
      <c r="AH1380" s="52"/>
      <c r="AI1380" s="52"/>
      <c r="AJ1380" s="52"/>
      <c r="AK1380" s="52"/>
      <c r="AL1380" s="52"/>
      <c r="AM1380" s="52"/>
      <c r="AN1380" s="52"/>
    </row>
    <row r="1381" spans="1:40" x14ac:dyDescent="0.3">
      <c r="A1381" s="52">
        <v>1376</v>
      </c>
      <c r="B1381" s="52">
        <f>-bthan*500+(25+0.5)*bthan*1000/50</f>
        <v>55</v>
      </c>
      <c r="C1381" s="52">
        <f t="shared" si="170"/>
        <v>-250</v>
      </c>
      <c r="D1381" s="52">
        <f t="shared" si="168"/>
        <v>2200</v>
      </c>
      <c r="E1381" s="52">
        <f t="shared" si="169"/>
        <v>1</v>
      </c>
      <c r="F1381" s="52"/>
      <c r="G1381" s="52"/>
      <c r="H1381" s="52"/>
      <c r="I1381" s="52"/>
      <c r="J1381" s="52"/>
      <c r="K1381" s="52"/>
      <c r="L1381" s="52"/>
      <c r="M1381" s="52"/>
      <c r="N1381" s="52"/>
      <c r="O1381" s="52"/>
      <c r="P1381" s="52"/>
      <c r="Q1381" s="52"/>
      <c r="R1381" s="52"/>
      <c r="S1381" s="52"/>
      <c r="T1381" s="52"/>
      <c r="U1381" s="52"/>
      <c r="V1381" s="52"/>
      <c r="W1381" s="52"/>
      <c r="X1381" s="52"/>
      <c r="Y1381" s="52"/>
      <c r="Z1381" s="52"/>
      <c r="AA1381" s="52"/>
      <c r="AB1381" s="52"/>
      <c r="AC1381" s="52"/>
      <c r="AD1381" s="52"/>
      <c r="AE1381" s="52"/>
      <c r="AF1381" s="52"/>
      <c r="AG1381" s="52"/>
      <c r="AH1381" s="52"/>
      <c r="AI1381" s="52"/>
      <c r="AJ1381" s="52"/>
      <c r="AK1381" s="52"/>
      <c r="AL1381" s="52"/>
      <c r="AM1381" s="52"/>
      <c r="AN1381" s="52"/>
    </row>
    <row r="1382" spans="1:40" x14ac:dyDescent="0.3">
      <c r="A1382" s="52">
        <v>1377</v>
      </c>
      <c r="B1382" s="52">
        <f>-bthan*500+(26+0.5)*bthan*1000/50</f>
        <v>165</v>
      </c>
      <c r="C1382" s="52">
        <f t="shared" si="170"/>
        <v>-250</v>
      </c>
      <c r="D1382" s="52">
        <f t="shared" si="168"/>
        <v>2200</v>
      </c>
      <c r="E1382" s="52">
        <f t="shared" si="169"/>
        <v>1</v>
      </c>
      <c r="F1382" s="52"/>
      <c r="G1382" s="52"/>
      <c r="H1382" s="52"/>
      <c r="I1382" s="52"/>
      <c r="J1382" s="52"/>
      <c r="K1382" s="52"/>
      <c r="L1382" s="52"/>
      <c r="M1382" s="52"/>
      <c r="N1382" s="52"/>
      <c r="O1382" s="52"/>
      <c r="P1382" s="52"/>
      <c r="Q1382" s="52"/>
      <c r="R1382" s="52"/>
      <c r="S1382" s="52"/>
      <c r="T1382" s="52"/>
      <c r="U1382" s="52"/>
      <c r="V1382" s="52"/>
      <c r="W1382" s="52"/>
      <c r="X1382" s="52"/>
      <c r="Y1382" s="52"/>
      <c r="Z1382" s="52"/>
      <c r="AA1382" s="52"/>
      <c r="AB1382" s="52"/>
      <c r="AC1382" s="52"/>
      <c r="AD1382" s="52"/>
      <c r="AE1382" s="52"/>
      <c r="AF1382" s="52"/>
      <c r="AG1382" s="52"/>
      <c r="AH1382" s="52"/>
      <c r="AI1382" s="52"/>
      <c r="AJ1382" s="52"/>
      <c r="AK1382" s="52"/>
      <c r="AL1382" s="52"/>
      <c r="AM1382" s="52"/>
      <c r="AN1382" s="52"/>
    </row>
    <row r="1383" spans="1:40" x14ac:dyDescent="0.3">
      <c r="A1383" s="52">
        <v>1378</v>
      </c>
      <c r="B1383" s="52">
        <f>-bthan*500+(27+0.5)*bthan*1000/50</f>
        <v>275</v>
      </c>
      <c r="C1383" s="52">
        <f t="shared" si="170"/>
        <v>-250</v>
      </c>
      <c r="D1383" s="52">
        <f t="shared" si="168"/>
        <v>2200</v>
      </c>
      <c r="E1383" s="52">
        <f t="shared" si="169"/>
        <v>1</v>
      </c>
      <c r="F1383" s="52"/>
      <c r="G1383" s="52"/>
      <c r="H1383" s="52"/>
      <c r="I1383" s="52"/>
      <c r="J1383" s="52"/>
      <c r="K1383" s="52"/>
      <c r="L1383" s="52"/>
      <c r="M1383" s="52"/>
      <c r="N1383" s="52"/>
      <c r="O1383" s="52"/>
      <c r="P1383" s="52"/>
      <c r="Q1383" s="52"/>
      <c r="R1383" s="52"/>
      <c r="S1383" s="52"/>
      <c r="T1383" s="52"/>
      <c r="U1383" s="52"/>
      <c r="V1383" s="52"/>
      <c r="W1383" s="52"/>
      <c r="X1383" s="52"/>
      <c r="Y1383" s="52"/>
      <c r="Z1383" s="52"/>
      <c r="AA1383" s="52"/>
      <c r="AB1383" s="52"/>
      <c r="AC1383" s="52"/>
      <c r="AD1383" s="52"/>
      <c r="AE1383" s="52"/>
      <c r="AF1383" s="52"/>
      <c r="AG1383" s="52"/>
      <c r="AH1383" s="52"/>
      <c r="AI1383" s="52"/>
      <c r="AJ1383" s="52"/>
      <c r="AK1383" s="52"/>
      <c r="AL1383" s="52"/>
      <c r="AM1383" s="52"/>
      <c r="AN1383" s="52"/>
    </row>
    <row r="1384" spans="1:40" x14ac:dyDescent="0.3">
      <c r="A1384" s="52">
        <v>1379</v>
      </c>
      <c r="B1384" s="52">
        <f>-bthan*500+(28+0.5)*bthan*1000/50</f>
        <v>385</v>
      </c>
      <c r="C1384" s="52">
        <f t="shared" si="170"/>
        <v>-250</v>
      </c>
      <c r="D1384" s="52">
        <f t="shared" si="168"/>
        <v>2200</v>
      </c>
      <c r="E1384" s="52">
        <f t="shared" si="169"/>
        <v>1</v>
      </c>
      <c r="F1384" s="52"/>
      <c r="G1384" s="52"/>
      <c r="H1384" s="52"/>
      <c r="I1384" s="52"/>
      <c r="J1384" s="52"/>
      <c r="K1384" s="52"/>
      <c r="L1384" s="52"/>
      <c r="M1384" s="52"/>
      <c r="N1384" s="52"/>
      <c r="O1384" s="52"/>
      <c r="P1384" s="52"/>
      <c r="Q1384" s="52"/>
      <c r="R1384" s="52"/>
      <c r="S1384" s="52"/>
      <c r="T1384" s="52"/>
      <c r="U1384" s="52"/>
      <c r="V1384" s="52"/>
      <c r="W1384" s="52"/>
      <c r="X1384" s="52"/>
      <c r="Y1384" s="52"/>
      <c r="Z1384" s="52"/>
      <c r="AA1384" s="52"/>
      <c r="AB1384" s="52"/>
      <c r="AC1384" s="52"/>
      <c r="AD1384" s="52"/>
      <c r="AE1384" s="52"/>
      <c r="AF1384" s="52"/>
      <c r="AG1384" s="52"/>
      <c r="AH1384" s="52"/>
      <c r="AI1384" s="52"/>
      <c r="AJ1384" s="52"/>
      <c r="AK1384" s="52"/>
      <c r="AL1384" s="52"/>
      <c r="AM1384" s="52"/>
      <c r="AN1384" s="52"/>
    </row>
    <row r="1385" spans="1:40" x14ac:dyDescent="0.3">
      <c r="A1385" s="52">
        <v>1380</v>
      </c>
      <c r="B1385" s="52">
        <f>-bthan*500+(29+0.5)*bthan*1000/50</f>
        <v>495</v>
      </c>
      <c r="C1385" s="52">
        <f t="shared" si="170"/>
        <v>-250</v>
      </c>
      <c r="D1385" s="52">
        <f t="shared" si="168"/>
        <v>2200</v>
      </c>
      <c r="E1385" s="52">
        <f t="shared" si="169"/>
        <v>1</v>
      </c>
      <c r="F1385" s="52"/>
      <c r="G1385" s="52"/>
      <c r="H1385" s="52"/>
      <c r="I1385" s="52"/>
      <c r="J1385" s="52"/>
      <c r="K1385" s="52"/>
      <c r="L1385" s="52"/>
      <c r="M1385" s="52"/>
      <c r="N1385" s="52"/>
      <c r="O1385" s="52"/>
      <c r="P1385" s="52"/>
      <c r="Q1385" s="52"/>
      <c r="R1385" s="52"/>
      <c r="S1385" s="52"/>
      <c r="T1385" s="52"/>
      <c r="U1385" s="52"/>
      <c r="V1385" s="52"/>
      <c r="W1385" s="52"/>
      <c r="X1385" s="52"/>
      <c r="Y1385" s="52"/>
      <c r="Z1385" s="52"/>
      <c r="AA1385" s="52"/>
      <c r="AB1385" s="52"/>
      <c r="AC1385" s="52"/>
      <c r="AD1385" s="52"/>
      <c r="AE1385" s="52"/>
      <c r="AF1385" s="52"/>
      <c r="AG1385" s="52"/>
      <c r="AH1385" s="52"/>
      <c r="AI1385" s="52"/>
      <c r="AJ1385" s="52"/>
      <c r="AK1385" s="52"/>
      <c r="AL1385" s="52"/>
      <c r="AM1385" s="52"/>
      <c r="AN1385" s="52"/>
    </row>
    <row r="1386" spans="1:40" x14ac:dyDescent="0.3">
      <c r="A1386" s="52">
        <v>1381</v>
      </c>
      <c r="B1386" s="52">
        <f>-bthan*500+(30+0.5)*bthan*1000/50</f>
        <v>605</v>
      </c>
      <c r="C1386" s="52">
        <f t="shared" si="170"/>
        <v>-250</v>
      </c>
      <c r="D1386" s="52">
        <f t="shared" si="168"/>
        <v>2200</v>
      </c>
      <c r="E1386" s="52">
        <f t="shared" si="169"/>
        <v>1</v>
      </c>
      <c r="F1386" s="52"/>
      <c r="G1386" s="52"/>
      <c r="H1386" s="52"/>
      <c r="I1386" s="52"/>
      <c r="J1386" s="52"/>
      <c r="K1386" s="52"/>
      <c r="L1386" s="52"/>
      <c r="M1386" s="52"/>
      <c r="N1386" s="52"/>
      <c r="O1386" s="52"/>
      <c r="P1386" s="52"/>
      <c r="Q1386" s="52"/>
      <c r="R1386" s="52"/>
      <c r="S1386" s="52"/>
      <c r="T1386" s="52"/>
      <c r="U1386" s="52"/>
      <c r="V1386" s="52"/>
      <c r="W1386" s="52"/>
      <c r="X1386" s="52"/>
      <c r="Y1386" s="52"/>
      <c r="Z1386" s="52"/>
      <c r="AA1386" s="52"/>
      <c r="AB1386" s="52"/>
      <c r="AC1386" s="52"/>
      <c r="AD1386" s="52"/>
      <c r="AE1386" s="52"/>
      <c r="AF1386" s="52"/>
      <c r="AG1386" s="52"/>
      <c r="AH1386" s="52"/>
      <c r="AI1386" s="52"/>
      <c r="AJ1386" s="52"/>
      <c r="AK1386" s="52"/>
      <c r="AL1386" s="52"/>
      <c r="AM1386" s="52"/>
      <c r="AN1386" s="52"/>
    </row>
    <row r="1387" spans="1:40" x14ac:dyDescent="0.3">
      <c r="A1387" s="52">
        <v>1382</v>
      </c>
      <c r="B1387" s="52">
        <f>-bthan*500+(31+0.5)*bthan*1000/50</f>
        <v>715</v>
      </c>
      <c r="C1387" s="52">
        <f t="shared" si="170"/>
        <v>-250</v>
      </c>
      <c r="D1387" s="52">
        <f t="shared" si="168"/>
        <v>2200</v>
      </c>
      <c r="E1387" s="52">
        <f t="shared" si="169"/>
        <v>1</v>
      </c>
      <c r="F1387" s="52"/>
      <c r="G1387" s="52"/>
      <c r="H1387" s="52"/>
      <c r="I1387" s="52"/>
      <c r="J1387" s="52"/>
      <c r="K1387" s="52"/>
      <c r="L1387" s="52"/>
      <c r="M1387" s="52"/>
      <c r="N1387" s="52"/>
      <c r="O1387" s="52"/>
      <c r="P1387" s="52"/>
      <c r="Q1387" s="52"/>
      <c r="R1387" s="52"/>
      <c r="S1387" s="52"/>
      <c r="T1387" s="52"/>
      <c r="U1387" s="52"/>
      <c r="V1387" s="52"/>
      <c r="W1387" s="52"/>
      <c r="X1387" s="52"/>
      <c r="Y1387" s="52"/>
      <c r="Z1387" s="52"/>
      <c r="AA1387" s="52"/>
      <c r="AB1387" s="52"/>
      <c r="AC1387" s="52"/>
      <c r="AD1387" s="52"/>
      <c r="AE1387" s="52"/>
      <c r="AF1387" s="52"/>
      <c r="AG1387" s="52"/>
      <c r="AH1387" s="52"/>
      <c r="AI1387" s="52"/>
      <c r="AJ1387" s="52"/>
      <c r="AK1387" s="52"/>
      <c r="AL1387" s="52"/>
      <c r="AM1387" s="52"/>
      <c r="AN1387" s="52"/>
    </row>
    <row r="1388" spans="1:40" x14ac:dyDescent="0.3">
      <c r="A1388" s="52">
        <v>1383</v>
      </c>
      <c r="B1388" s="52">
        <f>-bthan*500+(32+0.5)*bthan*1000/50</f>
        <v>825</v>
      </c>
      <c r="C1388" s="52">
        <f t="shared" ref="C1388:C1405" si="171">-hthan*500+(27+0.5)*hthan*1000/80</f>
        <v>-250</v>
      </c>
      <c r="D1388" s="52">
        <f t="shared" si="168"/>
        <v>2200</v>
      </c>
      <c r="E1388" s="52">
        <f t="shared" si="169"/>
        <v>1</v>
      </c>
      <c r="F1388" s="52"/>
      <c r="G1388" s="52"/>
      <c r="H1388" s="52"/>
      <c r="I1388" s="52"/>
      <c r="J1388" s="52"/>
      <c r="K1388" s="52"/>
      <c r="L1388" s="52"/>
      <c r="M1388" s="52"/>
      <c r="N1388" s="52"/>
      <c r="O1388" s="52"/>
      <c r="P1388" s="52"/>
      <c r="Q1388" s="52"/>
      <c r="R1388" s="52"/>
      <c r="S1388" s="52"/>
      <c r="T1388" s="52"/>
      <c r="U1388" s="52"/>
      <c r="V1388" s="52"/>
      <c r="W1388" s="52"/>
      <c r="X1388" s="52"/>
      <c r="Y1388" s="52"/>
      <c r="Z1388" s="52"/>
      <c r="AA1388" s="52"/>
      <c r="AB1388" s="52"/>
      <c r="AC1388" s="52"/>
      <c r="AD1388" s="52"/>
      <c r="AE1388" s="52"/>
      <c r="AF1388" s="52"/>
      <c r="AG1388" s="52"/>
      <c r="AH1388" s="52"/>
      <c r="AI1388" s="52"/>
      <c r="AJ1388" s="52"/>
      <c r="AK1388" s="52"/>
      <c r="AL1388" s="52"/>
      <c r="AM1388" s="52"/>
      <c r="AN1388" s="52"/>
    </row>
    <row r="1389" spans="1:40" x14ac:dyDescent="0.3">
      <c r="A1389" s="52">
        <v>1384</v>
      </c>
      <c r="B1389" s="52">
        <f>-bthan*500+(33+0.5)*bthan*1000/50</f>
        <v>935</v>
      </c>
      <c r="C1389" s="52">
        <f t="shared" si="171"/>
        <v>-250</v>
      </c>
      <c r="D1389" s="52">
        <f t="shared" si="168"/>
        <v>2200</v>
      </c>
      <c r="E1389" s="52">
        <f t="shared" si="169"/>
        <v>1</v>
      </c>
      <c r="F1389" s="52"/>
      <c r="G1389" s="52"/>
      <c r="H1389" s="52"/>
      <c r="I1389" s="52"/>
      <c r="J1389" s="52"/>
      <c r="K1389" s="52"/>
      <c r="L1389" s="52"/>
      <c r="M1389" s="52"/>
      <c r="N1389" s="52"/>
      <c r="O1389" s="52"/>
      <c r="P1389" s="52"/>
      <c r="Q1389" s="52"/>
      <c r="R1389" s="52"/>
      <c r="S1389" s="52"/>
      <c r="T1389" s="52"/>
      <c r="U1389" s="52"/>
      <c r="V1389" s="52"/>
      <c r="W1389" s="52"/>
      <c r="X1389" s="52"/>
      <c r="Y1389" s="52"/>
      <c r="Z1389" s="52"/>
      <c r="AA1389" s="52"/>
      <c r="AB1389" s="52"/>
      <c r="AC1389" s="52"/>
      <c r="AD1389" s="52"/>
      <c r="AE1389" s="52"/>
      <c r="AF1389" s="52"/>
      <c r="AG1389" s="52"/>
      <c r="AH1389" s="52"/>
      <c r="AI1389" s="52"/>
      <c r="AJ1389" s="52"/>
      <c r="AK1389" s="52"/>
      <c r="AL1389" s="52"/>
      <c r="AM1389" s="52"/>
      <c r="AN1389" s="52"/>
    </row>
    <row r="1390" spans="1:40" x14ac:dyDescent="0.3">
      <c r="A1390" s="52">
        <v>1385</v>
      </c>
      <c r="B1390" s="52">
        <f>-bthan*500+(34+0.5)*bthan*1000/50</f>
        <v>1045</v>
      </c>
      <c r="C1390" s="52">
        <f t="shared" si="171"/>
        <v>-250</v>
      </c>
      <c r="D1390" s="52">
        <f t="shared" si="168"/>
        <v>2200</v>
      </c>
      <c r="E1390" s="52">
        <f t="shared" si="169"/>
        <v>1</v>
      </c>
      <c r="F1390" s="52"/>
      <c r="G1390" s="52"/>
      <c r="H1390" s="52"/>
      <c r="I1390" s="52"/>
      <c r="J1390" s="52"/>
      <c r="K1390" s="52"/>
      <c r="L1390" s="52"/>
      <c r="M1390" s="52"/>
      <c r="N1390" s="52"/>
      <c r="O1390" s="52"/>
      <c r="P1390" s="52"/>
      <c r="Q1390" s="52"/>
      <c r="R1390" s="52"/>
      <c r="S1390" s="52"/>
      <c r="T1390" s="52"/>
      <c r="U1390" s="52"/>
      <c r="V1390" s="52"/>
      <c r="W1390" s="52"/>
      <c r="X1390" s="52"/>
      <c r="Y1390" s="52"/>
      <c r="Z1390" s="52"/>
      <c r="AA1390" s="52"/>
      <c r="AB1390" s="52"/>
      <c r="AC1390" s="52"/>
      <c r="AD1390" s="52"/>
      <c r="AE1390" s="52"/>
      <c r="AF1390" s="52"/>
      <c r="AG1390" s="52"/>
      <c r="AH1390" s="52"/>
      <c r="AI1390" s="52"/>
      <c r="AJ1390" s="52"/>
      <c r="AK1390" s="52"/>
      <c r="AL1390" s="52"/>
      <c r="AM1390" s="52"/>
      <c r="AN1390" s="52"/>
    </row>
    <row r="1391" spans="1:40" x14ac:dyDescent="0.3">
      <c r="A1391" s="52">
        <v>1386</v>
      </c>
      <c r="B1391" s="52">
        <f>-bthan*500+(35+0.5)*bthan*1000/50</f>
        <v>1155</v>
      </c>
      <c r="C1391" s="52">
        <f t="shared" si="171"/>
        <v>-250</v>
      </c>
      <c r="D1391" s="52">
        <f t="shared" si="168"/>
        <v>2200</v>
      </c>
      <c r="E1391" s="52">
        <f t="shared" si="169"/>
        <v>1</v>
      </c>
      <c r="F1391" s="52"/>
      <c r="G1391" s="52"/>
      <c r="H1391" s="52"/>
      <c r="I1391" s="52"/>
      <c r="J1391" s="52"/>
      <c r="K1391" s="52"/>
      <c r="L1391" s="52"/>
      <c r="M1391" s="52"/>
      <c r="N1391" s="52"/>
      <c r="O1391" s="52"/>
      <c r="P1391" s="52"/>
      <c r="Q1391" s="52"/>
      <c r="R1391" s="52"/>
      <c r="S1391" s="52"/>
      <c r="T1391" s="52"/>
      <c r="U1391" s="52"/>
      <c r="V1391" s="52"/>
      <c r="W1391" s="52"/>
      <c r="X1391" s="52"/>
      <c r="Y1391" s="52"/>
      <c r="Z1391" s="52"/>
      <c r="AA1391" s="52"/>
      <c r="AB1391" s="52"/>
      <c r="AC1391" s="52"/>
      <c r="AD1391" s="52"/>
      <c r="AE1391" s="52"/>
      <c r="AF1391" s="52"/>
      <c r="AG1391" s="52"/>
      <c r="AH1391" s="52"/>
      <c r="AI1391" s="52"/>
      <c r="AJ1391" s="52"/>
      <c r="AK1391" s="52"/>
      <c r="AL1391" s="52"/>
      <c r="AM1391" s="52"/>
      <c r="AN1391" s="52"/>
    </row>
    <row r="1392" spans="1:40" x14ac:dyDescent="0.3">
      <c r="A1392" s="52">
        <v>1387</v>
      </c>
      <c r="B1392" s="52">
        <f>-bthan*500+(36+0.5)*bthan*1000/50</f>
        <v>1265</v>
      </c>
      <c r="C1392" s="52">
        <f t="shared" si="171"/>
        <v>-250</v>
      </c>
      <c r="D1392" s="52">
        <f t="shared" si="168"/>
        <v>2200</v>
      </c>
      <c r="E1392" s="52">
        <f t="shared" si="169"/>
        <v>1</v>
      </c>
      <c r="F1392" s="52"/>
      <c r="G1392" s="52"/>
      <c r="H1392" s="52"/>
      <c r="I1392" s="52"/>
      <c r="J1392" s="52"/>
      <c r="K1392" s="52"/>
      <c r="L1392" s="52"/>
      <c r="M1392" s="52"/>
      <c r="N1392" s="52"/>
      <c r="O1392" s="52"/>
      <c r="P1392" s="52"/>
      <c r="Q1392" s="52"/>
      <c r="R1392" s="52"/>
      <c r="S1392" s="52"/>
      <c r="T1392" s="52"/>
      <c r="U1392" s="52"/>
      <c r="V1392" s="52"/>
      <c r="W1392" s="52"/>
      <c r="X1392" s="52"/>
      <c r="Y1392" s="52"/>
      <c r="Z1392" s="52"/>
      <c r="AA1392" s="52"/>
      <c r="AB1392" s="52"/>
      <c r="AC1392" s="52"/>
      <c r="AD1392" s="52"/>
      <c r="AE1392" s="52"/>
      <c r="AF1392" s="52"/>
      <c r="AG1392" s="52"/>
      <c r="AH1392" s="52"/>
      <c r="AI1392" s="52"/>
      <c r="AJ1392" s="52"/>
      <c r="AK1392" s="52"/>
      <c r="AL1392" s="52"/>
      <c r="AM1392" s="52"/>
      <c r="AN1392" s="52"/>
    </row>
    <row r="1393" spans="1:40" x14ac:dyDescent="0.3">
      <c r="A1393" s="52">
        <v>1388</v>
      </c>
      <c r="B1393" s="52">
        <f>-bthan*500+(37+0.5)*bthan*1000/50</f>
        <v>1375</v>
      </c>
      <c r="C1393" s="52">
        <f t="shared" si="171"/>
        <v>-250</v>
      </c>
      <c r="D1393" s="52">
        <f t="shared" si="168"/>
        <v>2200</v>
      </c>
      <c r="E1393" s="52">
        <f t="shared" si="169"/>
        <v>1</v>
      </c>
      <c r="F1393" s="52"/>
      <c r="G1393" s="52"/>
      <c r="H1393" s="52"/>
      <c r="I1393" s="52"/>
      <c r="J1393" s="52"/>
      <c r="K1393" s="52"/>
      <c r="L1393" s="52"/>
      <c r="M1393" s="52"/>
      <c r="N1393" s="52"/>
      <c r="O1393" s="52"/>
      <c r="P1393" s="52"/>
      <c r="Q1393" s="52"/>
      <c r="R1393" s="52"/>
      <c r="S1393" s="52"/>
      <c r="T1393" s="52"/>
      <c r="U1393" s="52"/>
      <c r="V1393" s="52"/>
      <c r="W1393" s="52"/>
      <c r="X1393" s="52"/>
      <c r="Y1393" s="52"/>
      <c r="Z1393" s="52"/>
      <c r="AA1393" s="52"/>
      <c r="AB1393" s="52"/>
      <c r="AC1393" s="52"/>
      <c r="AD1393" s="52"/>
      <c r="AE1393" s="52"/>
      <c r="AF1393" s="52"/>
      <c r="AG1393" s="52"/>
      <c r="AH1393" s="52"/>
      <c r="AI1393" s="52"/>
      <c r="AJ1393" s="52"/>
      <c r="AK1393" s="52"/>
      <c r="AL1393" s="52"/>
      <c r="AM1393" s="52"/>
      <c r="AN1393" s="52"/>
    </row>
    <row r="1394" spans="1:40" x14ac:dyDescent="0.3">
      <c r="A1394" s="52">
        <v>1389</v>
      </c>
      <c r="B1394" s="52">
        <f>-bthan*500+(38+0.5)*bthan*1000/50</f>
        <v>1485</v>
      </c>
      <c r="C1394" s="52">
        <f t="shared" si="171"/>
        <v>-250</v>
      </c>
      <c r="D1394" s="52">
        <f t="shared" si="168"/>
        <v>2200</v>
      </c>
      <c r="E1394" s="52">
        <f t="shared" si="169"/>
        <v>1</v>
      </c>
      <c r="F1394" s="52"/>
      <c r="G1394" s="52"/>
      <c r="H1394" s="52"/>
      <c r="I1394" s="52"/>
      <c r="J1394" s="52"/>
      <c r="K1394" s="52"/>
      <c r="L1394" s="52"/>
      <c r="M1394" s="52"/>
      <c r="N1394" s="52"/>
      <c r="O1394" s="52"/>
      <c r="P1394" s="52"/>
      <c r="Q1394" s="52"/>
      <c r="R1394" s="52"/>
      <c r="S1394" s="52"/>
      <c r="T1394" s="52"/>
      <c r="U1394" s="52"/>
      <c r="V1394" s="52"/>
      <c r="W1394" s="52"/>
      <c r="X1394" s="52"/>
      <c r="Y1394" s="52"/>
      <c r="Z1394" s="52"/>
      <c r="AA1394" s="52"/>
      <c r="AB1394" s="52"/>
      <c r="AC1394" s="52"/>
      <c r="AD1394" s="52"/>
      <c r="AE1394" s="52"/>
      <c r="AF1394" s="52"/>
      <c r="AG1394" s="52"/>
      <c r="AH1394" s="52"/>
      <c r="AI1394" s="52"/>
      <c r="AJ1394" s="52"/>
      <c r="AK1394" s="52"/>
      <c r="AL1394" s="52"/>
      <c r="AM1394" s="52"/>
      <c r="AN1394" s="52"/>
    </row>
    <row r="1395" spans="1:40" x14ac:dyDescent="0.3">
      <c r="A1395" s="52">
        <v>1390</v>
      </c>
      <c r="B1395" s="52">
        <f>-bthan*500+(39+0.5)*bthan*1000/50</f>
        <v>1595</v>
      </c>
      <c r="C1395" s="52">
        <f t="shared" si="171"/>
        <v>-250</v>
      </c>
      <c r="D1395" s="52">
        <f t="shared" si="168"/>
        <v>2200</v>
      </c>
      <c r="E1395" s="52">
        <f t="shared" si="169"/>
        <v>1</v>
      </c>
      <c r="F1395" s="52"/>
      <c r="G1395" s="52"/>
      <c r="H1395" s="52"/>
      <c r="I1395" s="52"/>
      <c r="J1395" s="52"/>
      <c r="K1395" s="52"/>
      <c r="L1395" s="52"/>
      <c r="M1395" s="52"/>
      <c r="N1395" s="52"/>
      <c r="O1395" s="52"/>
      <c r="P1395" s="52"/>
      <c r="Q1395" s="52"/>
      <c r="R1395" s="52"/>
      <c r="S1395" s="52"/>
      <c r="T1395" s="52"/>
      <c r="U1395" s="52"/>
      <c r="V1395" s="52"/>
      <c r="W1395" s="52"/>
      <c r="X1395" s="52"/>
      <c r="Y1395" s="52"/>
      <c r="Z1395" s="52"/>
      <c r="AA1395" s="52"/>
      <c r="AB1395" s="52"/>
      <c r="AC1395" s="52"/>
      <c r="AD1395" s="52"/>
      <c r="AE1395" s="52"/>
      <c r="AF1395" s="52"/>
      <c r="AG1395" s="52"/>
      <c r="AH1395" s="52"/>
      <c r="AI1395" s="52"/>
      <c r="AJ1395" s="52"/>
      <c r="AK1395" s="52"/>
      <c r="AL1395" s="52"/>
      <c r="AM1395" s="52"/>
      <c r="AN1395" s="52"/>
    </row>
    <row r="1396" spans="1:40" x14ac:dyDescent="0.3">
      <c r="A1396" s="52">
        <v>1391</v>
      </c>
      <c r="B1396" s="52">
        <f>-bthan*500+(40+0.5)*bthan*1000/50</f>
        <v>1705</v>
      </c>
      <c r="C1396" s="52">
        <f t="shared" si="171"/>
        <v>-250</v>
      </c>
      <c r="D1396" s="52">
        <f t="shared" si="168"/>
        <v>2200</v>
      </c>
      <c r="E1396" s="52">
        <f t="shared" si="169"/>
        <v>1</v>
      </c>
      <c r="F1396" s="52"/>
      <c r="G1396" s="52"/>
      <c r="H1396" s="52"/>
      <c r="I1396" s="52"/>
      <c r="J1396" s="52"/>
      <c r="K1396" s="52"/>
      <c r="L1396" s="52"/>
      <c r="M1396" s="52"/>
      <c r="N1396" s="52"/>
      <c r="O1396" s="52"/>
      <c r="P1396" s="52"/>
      <c r="Q1396" s="52"/>
      <c r="R1396" s="52"/>
      <c r="S1396" s="52"/>
      <c r="T1396" s="52"/>
      <c r="U1396" s="52"/>
      <c r="V1396" s="52"/>
      <c r="W1396" s="52"/>
      <c r="X1396" s="52"/>
      <c r="Y1396" s="52"/>
      <c r="Z1396" s="52"/>
      <c r="AA1396" s="52"/>
      <c r="AB1396" s="52"/>
      <c r="AC1396" s="52"/>
      <c r="AD1396" s="52"/>
      <c r="AE1396" s="52"/>
      <c r="AF1396" s="52"/>
      <c r="AG1396" s="52"/>
      <c r="AH1396" s="52"/>
      <c r="AI1396" s="52"/>
      <c r="AJ1396" s="52"/>
      <c r="AK1396" s="52"/>
      <c r="AL1396" s="52"/>
      <c r="AM1396" s="52"/>
      <c r="AN1396" s="52"/>
    </row>
    <row r="1397" spans="1:40" x14ac:dyDescent="0.3">
      <c r="A1397" s="52">
        <v>1392</v>
      </c>
      <c r="B1397" s="52">
        <f>-bthan*500+(41+0.5)*bthan*1000/50</f>
        <v>1815</v>
      </c>
      <c r="C1397" s="52">
        <f t="shared" si="171"/>
        <v>-250</v>
      </c>
      <c r="D1397" s="52">
        <f t="shared" si="168"/>
        <v>2200</v>
      </c>
      <c r="E1397" s="52">
        <f t="shared" si="169"/>
        <v>1</v>
      </c>
      <c r="F1397" s="52"/>
      <c r="G1397" s="52"/>
      <c r="H1397" s="52"/>
      <c r="I1397" s="52"/>
      <c r="J1397" s="52"/>
      <c r="K1397" s="52"/>
      <c r="L1397" s="52"/>
      <c r="M1397" s="52"/>
      <c r="N1397" s="52"/>
      <c r="O1397" s="52"/>
      <c r="P1397" s="52"/>
      <c r="Q1397" s="52"/>
      <c r="R1397" s="52"/>
      <c r="S1397" s="52"/>
      <c r="T1397" s="52"/>
      <c r="U1397" s="52"/>
      <c r="V1397" s="52"/>
      <c r="W1397" s="52"/>
      <c r="X1397" s="52"/>
      <c r="Y1397" s="52"/>
      <c r="Z1397" s="52"/>
      <c r="AA1397" s="52"/>
      <c r="AB1397" s="52"/>
      <c r="AC1397" s="52"/>
      <c r="AD1397" s="52"/>
      <c r="AE1397" s="52"/>
      <c r="AF1397" s="52"/>
      <c r="AG1397" s="52"/>
      <c r="AH1397" s="52"/>
      <c r="AI1397" s="52"/>
      <c r="AJ1397" s="52"/>
      <c r="AK1397" s="52"/>
      <c r="AL1397" s="52"/>
      <c r="AM1397" s="52"/>
      <c r="AN1397" s="52"/>
    </row>
    <row r="1398" spans="1:40" x14ac:dyDescent="0.3">
      <c r="A1398" s="52">
        <v>1393</v>
      </c>
      <c r="B1398" s="52">
        <f>-bthan*500+(42+0.5)*bthan*1000/50</f>
        <v>1925</v>
      </c>
      <c r="C1398" s="52">
        <f t="shared" si="171"/>
        <v>-250</v>
      </c>
      <c r="D1398" s="52">
        <f t="shared" si="168"/>
        <v>2200</v>
      </c>
      <c r="E1398" s="52">
        <f t="shared" si="169"/>
        <v>1</v>
      </c>
      <c r="F1398" s="52"/>
      <c r="G1398" s="52"/>
      <c r="H1398" s="52"/>
      <c r="I1398" s="52"/>
      <c r="J1398" s="52"/>
      <c r="K1398" s="52"/>
      <c r="L1398" s="52"/>
      <c r="M1398" s="52"/>
      <c r="N1398" s="52"/>
      <c r="O1398" s="52"/>
      <c r="P1398" s="52"/>
      <c r="Q1398" s="52"/>
      <c r="R1398" s="52"/>
      <c r="S1398" s="52"/>
      <c r="T1398" s="52"/>
      <c r="U1398" s="52"/>
      <c r="V1398" s="52"/>
      <c r="W1398" s="52"/>
      <c r="X1398" s="52"/>
      <c r="Y1398" s="52"/>
      <c r="Z1398" s="52"/>
      <c r="AA1398" s="52"/>
      <c r="AB1398" s="52"/>
      <c r="AC1398" s="52"/>
      <c r="AD1398" s="52"/>
      <c r="AE1398" s="52"/>
      <c r="AF1398" s="52"/>
      <c r="AG1398" s="52"/>
      <c r="AH1398" s="52"/>
      <c r="AI1398" s="52"/>
      <c r="AJ1398" s="52"/>
      <c r="AK1398" s="52"/>
      <c r="AL1398" s="52"/>
      <c r="AM1398" s="52"/>
      <c r="AN1398" s="52"/>
    </row>
    <row r="1399" spans="1:40" x14ac:dyDescent="0.3">
      <c r="A1399" s="52">
        <v>1394</v>
      </c>
      <c r="B1399" s="52">
        <f>-bthan*500+(43+0.5)*bthan*1000/50</f>
        <v>2035</v>
      </c>
      <c r="C1399" s="52">
        <f t="shared" si="171"/>
        <v>-250</v>
      </c>
      <c r="D1399" s="52">
        <f t="shared" si="168"/>
        <v>2200</v>
      </c>
      <c r="E1399" s="52">
        <f t="shared" si="169"/>
        <v>1</v>
      </c>
      <c r="F1399" s="52"/>
      <c r="G1399" s="52"/>
      <c r="H1399" s="52"/>
      <c r="I1399" s="52"/>
      <c r="J1399" s="52"/>
      <c r="K1399" s="52"/>
      <c r="L1399" s="52"/>
      <c r="M1399" s="52"/>
      <c r="N1399" s="52"/>
      <c r="O1399" s="52"/>
      <c r="P1399" s="52"/>
      <c r="Q1399" s="52"/>
      <c r="R1399" s="52"/>
      <c r="S1399" s="52"/>
      <c r="T1399" s="52"/>
      <c r="U1399" s="52"/>
      <c r="V1399" s="52"/>
      <c r="W1399" s="52"/>
      <c r="X1399" s="52"/>
      <c r="Y1399" s="52"/>
      <c r="Z1399" s="52"/>
      <c r="AA1399" s="52"/>
      <c r="AB1399" s="52"/>
      <c r="AC1399" s="52"/>
      <c r="AD1399" s="52"/>
      <c r="AE1399" s="52"/>
      <c r="AF1399" s="52"/>
      <c r="AG1399" s="52"/>
      <c r="AH1399" s="52"/>
      <c r="AI1399" s="52"/>
      <c r="AJ1399" s="52"/>
      <c r="AK1399" s="52"/>
      <c r="AL1399" s="52"/>
      <c r="AM1399" s="52"/>
      <c r="AN1399" s="52"/>
    </row>
    <row r="1400" spans="1:40" x14ac:dyDescent="0.3">
      <c r="A1400" s="52">
        <v>1395</v>
      </c>
      <c r="B1400" s="52">
        <f>-bthan*500+(44+0.5)*bthan*1000/50</f>
        <v>2145</v>
      </c>
      <c r="C1400" s="52">
        <f t="shared" si="171"/>
        <v>-250</v>
      </c>
      <c r="D1400" s="52">
        <f t="shared" si="168"/>
        <v>2200</v>
      </c>
      <c r="E1400" s="52">
        <f t="shared" si="169"/>
        <v>1</v>
      </c>
      <c r="F1400" s="52"/>
      <c r="G1400" s="52"/>
      <c r="H1400" s="52"/>
      <c r="I1400" s="52"/>
      <c r="J1400" s="52"/>
      <c r="K1400" s="52"/>
      <c r="L1400" s="52"/>
      <c r="M1400" s="52"/>
      <c r="N1400" s="52"/>
      <c r="O1400" s="52"/>
      <c r="P1400" s="52"/>
      <c r="Q1400" s="52"/>
      <c r="R1400" s="52"/>
      <c r="S1400" s="52"/>
      <c r="T1400" s="52"/>
      <c r="U1400" s="52"/>
      <c r="V1400" s="52"/>
      <c r="W1400" s="52"/>
      <c r="X1400" s="52"/>
      <c r="Y1400" s="52"/>
      <c r="Z1400" s="52"/>
      <c r="AA1400" s="52"/>
      <c r="AB1400" s="52"/>
      <c r="AC1400" s="52"/>
      <c r="AD1400" s="52"/>
      <c r="AE1400" s="52"/>
      <c r="AF1400" s="52"/>
      <c r="AG1400" s="52"/>
      <c r="AH1400" s="52"/>
      <c r="AI1400" s="52"/>
      <c r="AJ1400" s="52"/>
      <c r="AK1400" s="52"/>
      <c r="AL1400" s="52"/>
      <c r="AM1400" s="52"/>
      <c r="AN1400" s="52"/>
    </row>
    <row r="1401" spans="1:40" x14ac:dyDescent="0.3">
      <c r="A1401" s="52">
        <v>1396</v>
      </c>
      <c r="B1401" s="52">
        <f>-bthan*500+(45+0.5)*bthan*1000/50</f>
        <v>2255</v>
      </c>
      <c r="C1401" s="52">
        <f t="shared" si="171"/>
        <v>-250</v>
      </c>
      <c r="D1401" s="52">
        <f t="shared" si="168"/>
        <v>2200</v>
      </c>
      <c r="E1401" s="52">
        <f t="shared" si="169"/>
        <v>1</v>
      </c>
      <c r="F1401" s="52"/>
      <c r="G1401" s="52"/>
      <c r="H1401" s="52"/>
      <c r="I1401" s="52"/>
      <c r="J1401" s="52"/>
      <c r="K1401" s="52"/>
      <c r="L1401" s="52"/>
      <c r="M1401" s="52"/>
      <c r="N1401" s="52"/>
      <c r="O1401" s="52"/>
      <c r="P1401" s="52"/>
      <c r="Q1401" s="52"/>
      <c r="R1401" s="52"/>
      <c r="S1401" s="52"/>
      <c r="T1401" s="52"/>
      <c r="U1401" s="52"/>
      <c r="V1401" s="52"/>
      <c r="W1401" s="52"/>
      <c r="X1401" s="52"/>
      <c r="Y1401" s="52"/>
      <c r="Z1401" s="52"/>
      <c r="AA1401" s="52"/>
      <c r="AB1401" s="52"/>
      <c r="AC1401" s="52"/>
      <c r="AD1401" s="52"/>
      <c r="AE1401" s="52"/>
      <c r="AF1401" s="52"/>
      <c r="AG1401" s="52"/>
      <c r="AH1401" s="52"/>
      <c r="AI1401" s="52"/>
      <c r="AJ1401" s="52"/>
      <c r="AK1401" s="52"/>
      <c r="AL1401" s="52"/>
      <c r="AM1401" s="52"/>
      <c r="AN1401" s="52"/>
    </row>
    <row r="1402" spans="1:40" x14ac:dyDescent="0.3">
      <c r="A1402" s="52">
        <v>1397</v>
      </c>
      <c r="B1402" s="52">
        <f>-bthan*500+(46+0.5)*bthan*1000/50</f>
        <v>2365</v>
      </c>
      <c r="C1402" s="52">
        <f t="shared" si="171"/>
        <v>-250</v>
      </c>
      <c r="D1402" s="52">
        <f t="shared" si="168"/>
        <v>2200</v>
      </c>
      <c r="E1402" s="52">
        <f t="shared" si="169"/>
        <v>1</v>
      </c>
      <c r="F1402" s="52"/>
      <c r="G1402" s="52"/>
      <c r="H1402" s="52"/>
      <c r="I1402" s="52"/>
      <c r="J1402" s="52"/>
      <c r="K1402" s="52"/>
      <c r="L1402" s="52"/>
      <c r="M1402" s="52"/>
      <c r="N1402" s="52"/>
      <c r="O1402" s="52"/>
      <c r="P1402" s="52"/>
      <c r="Q1402" s="52"/>
      <c r="R1402" s="52"/>
      <c r="S1402" s="52"/>
      <c r="T1402" s="52"/>
      <c r="U1402" s="52"/>
      <c r="V1402" s="52"/>
      <c r="W1402" s="52"/>
      <c r="X1402" s="52"/>
      <c r="Y1402" s="52"/>
      <c r="Z1402" s="52"/>
      <c r="AA1402" s="52"/>
      <c r="AB1402" s="52"/>
      <c r="AC1402" s="52"/>
      <c r="AD1402" s="52"/>
      <c r="AE1402" s="52"/>
      <c r="AF1402" s="52"/>
      <c r="AG1402" s="52"/>
      <c r="AH1402" s="52"/>
      <c r="AI1402" s="52"/>
      <c r="AJ1402" s="52"/>
      <c r="AK1402" s="52"/>
      <c r="AL1402" s="52"/>
      <c r="AM1402" s="52"/>
      <c r="AN1402" s="52"/>
    </row>
    <row r="1403" spans="1:40" x14ac:dyDescent="0.3">
      <c r="A1403" s="52">
        <v>1398</v>
      </c>
      <c r="B1403" s="52">
        <f>-bthan*500+(47+0.5)*bthan*1000/50</f>
        <v>2475</v>
      </c>
      <c r="C1403" s="52">
        <f t="shared" si="171"/>
        <v>-250</v>
      </c>
      <c r="D1403" s="52">
        <f t="shared" si="168"/>
        <v>2200</v>
      </c>
      <c r="E1403" s="52">
        <f t="shared" si="169"/>
        <v>1</v>
      </c>
      <c r="F1403" s="52"/>
      <c r="G1403" s="52"/>
      <c r="H1403" s="52"/>
      <c r="I1403" s="52"/>
      <c r="J1403" s="52"/>
      <c r="K1403" s="52"/>
      <c r="L1403" s="52"/>
      <c r="M1403" s="52"/>
      <c r="N1403" s="52"/>
      <c r="O1403" s="52"/>
      <c r="P1403" s="52"/>
      <c r="Q1403" s="52"/>
      <c r="R1403" s="52"/>
      <c r="S1403" s="52"/>
      <c r="T1403" s="52"/>
      <c r="U1403" s="52"/>
      <c r="V1403" s="52"/>
      <c r="W1403" s="52"/>
      <c r="X1403" s="52"/>
      <c r="Y1403" s="52"/>
      <c r="Z1403" s="52"/>
      <c r="AA1403" s="52"/>
      <c r="AB1403" s="52"/>
      <c r="AC1403" s="52"/>
      <c r="AD1403" s="52"/>
      <c r="AE1403" s="52"/>
      <c r="AF1403" s="52"/>
      <c r="AG1403" s="52"/>
      <c r="AH1403" s="52"/>
      <c r="AI1403" s="52"/>
      <c r="AJ1403" s="52"/>
      <c r="AK1403" s="52"/>
      <c r="AL1403" s="52"/>
      <c r="AM1403" s="52"/>
      <c r="AN1403" s="52"/>
    </row>
    <row r="1404" spans="1:40" x14ac:dyDescent="0.3">
      <c r="A1404" s="52">
        <v>1399</v>
      </c>
      <c r="B1404" s="52">
        <f>-bthan*500+(48+0.5)*bthan*1000/50</f>
        <v>2585</v>
      </c>
      <c r="C1404" s="52">
        <f t="shared" si="171"/>
        <v>-250</v>
      </c>
      <c r="D1404" s="52">
        <f t="shared" si="168"/>
        <v>2200</v>
      </c>
      <c r="E1404" s="52">
        <f t="shared" si="169"/>
        <v>1</v>
      </c>
      <c r="F1404" s="52"/>
      <c r="G1404" s="52"/>
      <c r="H1404" s="52"/>
      <c r="I1404" s="52"/>
      <c r="J1404" s="52"/>
      <c r="K1404" s="52"/>
      <c r="L1404" s="52"/>
      <c r="M1404" s="52"/>
      <c r="N1404" s="52"/>
      <c r="O1404" s="52"/>
      <c r="P1404" s="52"/>
      <c r="Q1404" s="52"/>
      <c r="R1404" s="52"/>
      <c r="S1404" s="52"/>
      <c r="T1404" s="52"/>
      <c r="U1404" s="52"/>
      <c r="V1404" s="52"/>
      <c r="W1404" s="52"/>
      <c r="X1404" s="52"/>
      <c r="Y1404" s="52"/>
      <c r="Z1404" s="52"/>
      <c r="AA1404" s="52"/>
      <c r="AB1404" s="52"/>
      <c r="AC1404" s="52"/>
      <c r="AD1404" s="52"/>
      <c r="AE1404" s="52"/>
      <c r="AF1404" s="52"/>
      <c r="AG1404" s="52"/>
      <c r="AH1404" s="52"/>
      <c r="AI1404" s="52"/>
      <c r="AJ1404" s="52"/>
      <c r="AK1404" s="52"/>
      <c r="AL1404" s="52"/>
      <c r="AM1404" s="52"/>
      <c r="AN1404" s="52"/>
    </row>
    <row r="1405" spans="1:40" x14ac:dyDescent="0.3">
      <c r="A1405" s="52">
        <v>1400</v>
      </c>
      <c r="B1405" s="52">
        <f>-bthan*500+(49+0.5)*bthan*1000/50</f>
        <v>2695</v>
      </c>
      <c r="C1405" s="52">
        <f t="shared" si="171"/>
        <v>-250</v>
      </c>
      <c r="D1405" s="52">
        <f t="shared" si="168"/>
        <v>2200</v>
      </c>
      <c r="E1405" s="52">
        <f t="shared" si="169"/>
        <v>1</v>
      </c>
      <c r="F1405" s="52"/>
      <c r="G1405" s="52"/>
      <c r="H1405" s="52"/>
      <c r="I1405" s="52"/>
      <c r="J1405" s="52"/>
      <c r="K1405" s="52"/>
      <c r="L1405" s="52"/>
      <c r="M1405" s="52"/>
      <c r="N1405" s="52"/>
      <c r="O1405" s="52"/>
      <c r="P1405" s="52"/>
      <c r="Q1405" s="52"/>
      <c r="R1405" s="52"/>
      <c r="S1405" s="52"/>
      <c r="T1405" s="52"/>
      <c r="U1405" s="52"/>
      <c r="V1405" s="52"/>
      <c r="W1405" s="52"/>
      <c r="X1405" s="52"/>
      <c r="Y1405" s="52"/>
      <c r="Z1405" s="52"/>
      <c r="AA1405" s="52"/>
      <c r="AB1405" s="52"/>
      <c r="AC1405" s="52"/>
      <c r="AD1405" s="52"/>
      <c r="AE1405" s="52"/>
      <c r="AF1405" s="52"/>
      <c r="AG1405" s="52"/>
      <c r="AH1405" s="52"/>
      <c r="AI1405" s="52"/>
      <c r="AJ1405" s="52"/>
      <c r="AK1405" s="52"/>
      <c r="AL1405" s="52"/>
      <c r="AM1405" s="52"/>
      <c r="AN1405" s="52"/>
    </row>
    <row r="1406" spans="1:40" x14ac:dyDescent="0.3">
      <c r="A1406" s="52">
        <v>1401</v>
      </c>
      <c r="B1406" s="52">
        <f>-bthan*500+(0+0.5)*bthan*1000/50</f>
        <v>-2695</v>
      </c>
      <c r="C1406" s="52">
        <f t="shared" ref="C1406:C1437" si="172">-hthan*500+(28+0.5)*hthan*1000/80</f>
        <v>-230</v>
      </c>
      <c r="D1406" s="52">
        <f t="shared" si="168"/>
        <v>2200</v>
      </c>
      <c r="E1406" s="52">
        <f t="shared" si="169"/>
        <v>1</v>
      </c>
      <c r="F1406" s="52"/>
      <c r="G1406" s="52"/>
      <c r="H1406" s="52"/>
      <c r="I1406" s="52"/>
      <c r="J1406" s="52"/>
      <c r="K1406" s="52"/>
      <c r="L1406" s="52"/>
      <c r="M1406" s="52"/>
      <c r="N1406" s="52"/>
      <c r="O1406" s="52"/>
      <c r="P1406" s="52"/>
      <c r="Q1406" s="52"/>
      <c r="R1406" s="52"/>
      <c r="S1406" s="52"/>
      <c r="T1406" s="52"/>
      <c r="U1406" s="52"/>
      <c r="V1406" s="52"/>
      <c r="W1406" s="52"/>
      <c r="X1406" s="52"/>
      <c r="Y1406" s="52"/>
      <c r="Z1406" s="52"/>
      <c r="AA1406" s="52"/>
      <c r="AB1406" s="52"/>
      <c r="AC1406" s="52"/>
      <c r="AD1406" s="52"/>
      <c r="AE1406" s="52"/>
      <c r="AF1406" s="52"/>
      <c r="AG1406" s="52"/>
      <c r="AH1406" s="52"/>
      <c r="AI1406" s="52"/>
      <c r="AJ1406" s="52"/>
      <c r="AK1406" s="52"/>
      <c r="AL1406" s="52"/>
      <c r="AM1406" s="52"/>
      <c r="AN1406" s="52"/>
    </row>
    <row r="1407" spans="1:40" x14ac:dyDescent="0.3">
      <c r="A1407" s="52">
        <v>1402</v>
      </c>
      <c r="B1407" s="52">
        <f>-bthan*500+(1+0.5)*bthan*1000/50</f>
        <v>-2585</v>
      </c>
      <c r="C1407" s="52">
        <f t="shared" si="172"/>
        <v>-230</v>
      </c>
      <c r="D1407" s="52">
        <f t="shared" si="168"/>
        <v>2200</v>
      </c>
      <c r="E1407" s="52">
        <f t="shared" si="169"/>
        <v>1</v>
      </c>
      <c r="F1407" s="52"/>
      <c r="G1407" s="52"/>
      <c r="H1407" s="52"/>
      <c r="I1407" s="52"/>
      <c r="J1407" s="52"/>
      <c r="K1407" s="52"/>
      <c r="L1407" s="52"/>
      <c r="M1407" s="52"/>
      <c r="N1407" s="52"/>
      <c r="O1407" s="52"/>
      <c r="P1407" s="52"/>
      <c r="Q1407" s="52"/>
      <c r="R1407" s="52"/>
      <c r="S1407" s="52"/>
      <c r="T1407" s="52"/>
      <c r="U1407" s="52"/>
      <c r="V1407" s="52"/>
      <c r="W1407" s="52"/>
      <c r="X1407" s="52"/>
      <c r="Y1407" s="52"/>
      <c r="Z1407" s="52"/>
      <c r="AA1407" s="52"/>
      <c r="AB1407" s="52"/>
      <c r="AC1407" s="52"/>
      <c r="AD1407" s="52"/>
      <c r="AE1407" s="52"/>
      <c r="AF1407" s="52"/>
      <c r="AG1407" s="52"/>
      <c r="AH1407" s="52"/>
      <c r="AI1407" s="52"/>
      <c r="AJ1407" s="52"/>
      <c r="AK1407" s="52"/>
      <c r="AL1407" s="52"/>
      <c r="AM1407" s="52"/>
      <c r="AN1407" s="52"/>
    </row>
    <row r="1408" spans="1:40" x14ac:dyDescent="0.3">
      <c r="A1408" s="52">
        <v>1403</v>
      </c>
      <c r="B1408" s="52">
        <f>-bthan*500+(2+0.5)*bthan*1000/50</f>
        <v>-2475</v>
      </c>
      <c r="C1408" s="52">
        <f t="shared" si="172"/>
        <v>-230</v>
      </c>
      <c r="D1408" s="52">
        <f t="shared" si="168"/>
        <v>2200</v>
      </c>
      <c r="E1408" s="52">
        <f t="shared" si="169"/>
        <v>1</v>
      </c>
      <c r="F1408" s="52"/>
      <c r="G1408" s="52"/>
      <c r="H1408" s="52"/>
      <c r="I1408" s="52"/>
      <c r="J1408" s="52"/>
      <c r="K1408" s="52"/>
      <c r="L1408" s="52"/>
      <c r="M1408" s="52"/>
      <c r="N1408" s="52"/>
      <c r="O1408" s="52"/>
      <c r="P1408" s="52"/>
      <c r="Q1408" s="52"/>
      <c r="R1408" s="52"/>
      <c r="S1408" s="52"/>
      <c r="T1408" s="52"/>
      <c r="U1408" s="52"/>
      <c r="V1408" s="52"/>
      <c r="W1408" s="52"/>
      <c r="X1408" s="52"/>
      <c r="Y1408" s="52"/>
      <c r="Z1408" s="52"/>
      <c r="AA1408" s="52"/>
      <c r="AB1408" s="52"/>
      <c r="AC1408" s="52"/>
      <c r="AD1408" s="52"/>
      <c r="AE1408" s="52"/>
      <c r="AF1408" s="52"/>
      <c r="AG1408" s="52"/>
      <c r="AH1408" s="52"/>
      <c r="AI1408" s="52"/>
      <c r="AJ1408" s="52"/>
      <c r="AK1408" s="52"/>
      <c r="AL1408" s="52"/>
      <c r="AM1408" s="52"/>
      <c r="AN1408" s="52"/>
    </row>
    <row r="1409" spans="1:40" x14ac:dyDescent="0.3">
      <c r="A1409" s="52">
        <v>1404</v>
      </c>
      <c r="B1409" s="52">
        <f>-bthan*500+(3+0.5)*bthan*1000/50</f>
        <v>-2365</v>
      </c>
      <c r="C1409" s="52">
        <f t="shared" si="172"/>
        <v>-230</v>
      </c>
      <c r="D1409" s="52">
        <f t="shared" si="168"/>
        <v>2200</v>
      </c>
      <c r="E1409" s="52">
        <f t="shared" si="169"/>
        <v>1</v>
      </c>
      <c r="F1409" s="52"/>
      <c r="G1409" s="52"/>
      <c r="H1409" s="52"/>
      <c r="I1409" s="52"/>
      <c r="J1409" s="52"/>
      <c r="K1409" s="52"/>
      <c r="L1409" s="52"/>
      <c r="M1409" s="52"/>
      <c r="N1409" s="52"/>
      <c r="O1409" s="52"/>
      <c r="P1409" s="52"/>
      <c r="Q1409" s="52"/>
      <c r="R1409" s="52"/>
      <c r="S1409" s="52"/>
      <c r="T1409" s="52"/>
      <c r="U1409" s="52"/>
      <c r="V1409" s="52"/>
      <c r="W1409" s="52"/>
      <c r="X1409" s="52"/>
      <c r="Y1409" s="52"/>
      <c r="Z1409" s="52"/>
      <c r="AA1409" s="52"/>
      <c r="AB1409" s="52"/>
      <c r="AC1409" s="52"/>
      <c r="AD1409" s="52"/>
      <c r="AE1409" s="52"/>
      <c r="AF1409" s="52"/>
      <c r="AG1409" s="52"/>
      <c r="AH1409" s="52"/>
      <c r="AI1409" s="52"/>
      <c r="AJ1409" s="52"/>
      <c r="AK1409" s="52"/>
      <c r="AL1409" s="52"/>
      <c r="AM1409" s="52"/>
      <c r="AN1409" s="52"/>
    </row>
    <row r="1410" spans="1:40" x14ac:dyDescent="0.3">
      <c r="A1410" s="52">
        <v>1405</v>
      </c>
      <c r="B1410" s="52">
        <f>-bthan*500+(4+0.5)*bthan*1000/50</f>
        <v>-2255</v>
      </c>
      <c r="C1410" s="52">
        <f t="shared" si="172"/>
        <v>-230</v>
      </c>
      <c r="D1410" s="52">
        <f t="shared" si="168"/>
        <v>2200</v>
      </c>
      <c r="E1410" s="52">
        <f t="shared" si="169"/>
        <v>1</v>
      </c>
      <c r="F1410" s="52"/>
      <c r="G1410" s="52"/>
      <c r="H1410" s="52"/>
      <c r="I1410" s="52"/>
      <c r="J1410" s="52"/>
      <c r="K1410" s="52"/>
      <c r="L1410" s="52"/>
      <c r="M1410" s="52"/>
      <c r="N1410" s="52"/>
      <c r="O1410" s="52"/>
      <c r="P1410" s="52"/>
      <c r="Q1410" s="52"/>
      <c r="R1410" s="52"/>
      <c r="S1410" s="52"/>
      <c r="T1410" s="52"/>
      <c r="U1410" s="52"/>
      <c r="V1410" s="52"/>
      <c r="W1410" s="52"/>
      <c r="X1410" s="52"/>
      <c r="Y1410" s="52"/>
      <c r="Z1410" s="52"/>
      <c r="AA1410" s="52"/>
      <c r="AB1410" s="52"/>
      <c r="AC1410" s="52"/>
      <c r="AD1410" s="52"/>
      <c r="AE1410" s="52"/>
      <c r="AF1410" s="52"/>
      <c r="AG1410" s="52"/>
      <c r="AH1410" s="52"/>
      <c r="AI1410" s="52"/>
      <c r="AJ1410" s="52"/>
      <c r="AK1410" s="52"/>
      <c r="AL1410" s="52"/>
      <c r="AM1410" s="52"/>
      <c r="AN1410" s="52"/>
    </row>
    <row r="1411" spans="1:40" x14ac:dyDescent="0.3">
      <c r="A1411" s="52">
        <v>1406</v>
      </c>
      <c r="B1411" s="52">
        <f>-bthan*500+(5+0.5)*bthan*1000/50</f>
        <v>-2145</v>
      </c>
      <c r="C1411" s="52">
        <f t="shared" si="172"/>
        <v>-230</v>
      </c>
      <c r="D1411" s="52">
        <f t="shared" si="168"/>
        <v>2200</v>
      </c>
      <c r="E1411" s="52">
        <f t="shared" si="169"/>
        <v>1</v>
      </c>
      <c r="F1411" s="52"/>
      <c r="G1411" s="52"/>
      <c r="H1411" s="52"/>
      <c r="I1411" s="52"/>
      <c r="J1411" s="52"/>
      <c r="K1411" s="52"/>
      <c r="L1411" s="52"/>
      <c r="M1411" s="52"/>
      <c r="N1411" s="52"/>
      <c r="O1411" s="52"/>
      <c r="P1411" s="52"/>
      <c r="Q1411" s="52"/>
      <c r="R1411" s="52"/>
      <c r="S1411" s="52"/>
      <c r="T1411" s="52"/>
      <c r="U1411" s="52"/>
      <c r="V1411" s="52"/>
      <c r="W1411" s="52"/>
      <c r="X1411" s="52"/>
      <c r="Y1411" s="52"/>
      <c r="Z1411" s="52"/>
      <c r="AA1411" s="52"/>
      <c r="AB1411" s="52"/>
      <c r="AC1411" s="52"/>
      <c r="AD1411" s="52"/>
      <c r="AE1411" s="52"/>
      <c r="AF1411" s="52"/>
      <c r="AG1411" s="52"/>
      <c r="AH1411" s="52"/>
      <c r="AI1411" s="52"/>
      <c r="AJ1411" s="52"/>
      <c r="AK1411" s="52"/>
      <c r="AL1411" s="52"/>
      <c r="AM1411" s="52"/>
      <c r="AN1411" s="52"/>
    </row>
    <row r="1412" spans="1:40" x14ac:dyDescent="0.3">
      <c r="A1412" s="52">
        <v>1407</v>
      </c>
      <c r="B1412" s="52">
        <f>-bthan*500+(6+0.5)*bthan*1000/50</f>
        <v>-2035</v>
      </c>
      <c r="C1412" s="52">
        <f t="shared" si="172"/>
        <v>-230</v>
      </c>
      <c r="D1412" s="52">
        <f t="shared" si="168"/>
        <v>2200</v>
      </c>
      <c r="E1412" s="52">
        <f t="shared" si="169"/>
        <v>1</v>
      </c>
      <c r="F1412" s="52"/>
      <c r="G1412" s="52"/>
      <c r="H1412" s="52"/>
      <c r="I1412" s="52"/>
      <c r="J1412" s="52"/>
      <c r="K1412" s="52"/>
      <c r="L1412" s="52"/>
      <c r="M1412" s="52"/>
      <c r="N1412" s="52"/>
      <c r="O1412" s="52"/>
      <c r="P1412" s="52"/>
      <c r="Q1412" s="52"/>
      <c r="R1412" s="52"/>
      <c r="S1412" s="52"/>
      <c r="T1412" s="52"/>
      <c r="U1412" s="52"/>
      <c r="V1412" s="52"/>
      <c r="W1412" s="52"/>
      <c r="X1412" s="52"/>
      <c r="Y1412" s="52"/>
      <c r="Z1412" s="52"/>
      <c r="AA1412" s="52"/>
      <c r="AB1412" s="52"/>
      <c r="AC1412" s="52"/>
      <c r="AD1412" s="52"/>
      <c r="AE1412" s="52"/>
      <c r="AF1412" s="52"/>
      <c r="AG1412" s="52"/>
      <c r="AH1412" s="52"/>
      <c r="AI1412" s="52"/>
      <c r="AJ1412" s="52"/>
      <c r="AK1412" s="52"/>
      <c r="AL1412" s="52"/>
      <c r="AM1412" s="52"/>
      <c r="AN1412" s="52"/>
    </row>
    <row r="1413" spans="1:40" x14ac:dyDescent="0.3">
      <c r="A1413" s="52">
        <v>1408</v>
      </c>
      <c r="B1413" s="52">
        <f>-bthan*500+(7+0.5)*bthan*1000/50</f>
        <v>-1925</v>
      </c>
      <c r="C1413" s="52">
        <f t="shared" si="172"/>
        <v>-230</v>
      </c>
      <c r="D1413" s="52">
        <f t="shared" si="168"/>
        <v>2200</v>
      </c>
      <c r="E1413" s="52">
        <f t="shared" si="169"/>
        <v>1</v>
      </c>
      <c r="F1413" s="52"/>
      <c r="G1413" s="52"/>
      <c r="H1413" s="52"/>
      <c r="I1413" s="52"/>
      <c r="J1413" s="52"/>
      <c r="K1413" s="52"/>
      <c r="L1413" s="52"/>
      <c r="M1413" s="52"/>
      <c r="N1413" s="52"/>
      <c r="O1413" s="52"/>
      <c r="P1413" s="52"/>
      <c r="Q1413" s="52"/>
      <c r="R1413" s="52"/>
      <c r="S1413" s="52"/>
      <c r="T1413" s="52"/>
      <c r="U1413" s="52"/>
      <c r="V1413" s="52"/>
      <c r="W1413" s="52"/>
      <c r="X1413" s="52"/>
      <c r="Y1413" s="52"/>
      <c r="Z1413" s="52"/>
      <c r="AA1413" s="52"/>
      <c r="AB1413" s="52"/>
      <c r="AC1413" s="52"/>
      <c r="AD1413" s="52"/>
      <c r="AE1413" s="52"/>
      <c r="AF1413" s="52"/>
      <c r="AG1413" s="52"/>
      <c r="AH1413" s="52"/>
      <c r="AI1413" s="52"/>
      <c r="AJ1413" s="52"/>
      <c r="AK1413" s="52"/>
      <c r="AL1413" s="52"/>
      <c r="AM1413" s="52"/>
      <c r="AN1413" s="52"/>
    </row>
    <row r="1414" spans="1:40" x14ac:dyDescent="0.3">
      <c r="A1414" s="52">
        <v>1409</v>
      </c>
      <c r="B1414" s="52">
        <f>-bthan*500+(8+0.5)*bthan*1000/50</f>
        <v>-1815</v>
      </c>
      <c r="C1414" s="52">
        <f t="shared" si="172"/>
        <v>-230</v>
      </c>
      <c r="D1414" s="52">
        <f t="shared" ref="D1414:D1477" si="173">bthan*1000/50*hthan*1000/80</f>
        <v>2200</v>
      </c>
      <c r="E1414" s="52">
        <f t="shared" ref="E1414:E1477" si="174">IF(shp=1,--(OR(ABS(B1414)&lt;=MAX(0,(bthan-hthan)*500),(ABS(B1414)-MAX(0,(bthan-hthan)*500))^2+C1414^2&lt;=(hthan*500)^2)),--(AND(ABS(B1414)&lt;=bthan*500,ABS(C1414)&lt;=hthan*500,OR(ABS(B1414)&lt;=bthan*500-cch*1000,ABS(C1414)&lt;=hthan*500-cch*1000,(bthan*500-ABS(B1414))+(hthan*500-ABS(C1414))&gt;=cch*1000))))</f>
        <v>1</v>
      </c>
      <c r="F1414" s="52"/>
      <c r="G1414" s="52"/>
      <c r="H1414" s="52"/>
      <c r="I1414" s="52"/>
      <c r="J1414" s="52"/>
      <c r="K1414" s="52"/>
      <c r="L1414" s="52"/>
      <c r="M1414" s="52"/>
      <c r="N1414" s="52"/>
      <c r="O1414" s="52"/>
      <c r="P1414" s="52"/>
      <c r="Q1414" s="52"/>
      <c r="R1414" s="52"/>
      <c r="S1414" s="52"/>
      <c r="T1414" s="52"/>
      <c r="U1414" s="52"/>
      <c r="V1414" s="52"/>
      <c r="W1414" s="52"/>
      <c r="X1414" s="52"/>
      <c r="Y1414" s="52"/>
      <c r="Z1414" s="52"/>
      <c r="AA1414" s="52"/>
      <c r="AB1414" s="52"/>
      <c r="AC1414" s="52"/>
      <c r="AD1414" s="52"/>
      <c r="AE1414" s="52"/>
      <c r="AF1414" s="52"/>
      <c r="AG1414" s="52"/>
      <c r="AH1414" s="52"/>
      <c r="AI1414" s="52"/>
      <c r="AJ1414" s="52"/>
      <c r="AK1414" s="52"/>
      <c r="AL1414" s="52"/>
      <c r="AM1414" s="52"/>
      <c r="AN1414" s="52"/>
    </row>
    <row r="1415" spans="1:40" x14ac:dyDescent="0.3">
      <c r="A1415" s="52">
        <v>1410</v>
      </c>
      <c r="B1415" s="52">
        <f>-bthan*500+(9+0.5)*bthan*1000/50</f>
        <v>-1705</v>
      </c>
      <c r="C1415" s="52">
        <f t="shared" si="172"/>
        <v>-230</v>
      </c>
      <c r="D1415" s="52">
        <f t="shared" si="173"/>
        <v>2200</v>
      </c>
      <c r="E1415" s="52">
        <f t="shared" si="174"/>
        <v>1</v>
      </c>
      <c r="F1415" s="52"/>
      <c r="G1415" s="52"/>
      <c r="H1415" s="52"/>
      <c r="I1415" s="52"/>
      <c r="J1415" s="52"/>
      <c r="K1415" s="52"/>
      <c r="L1415" s="52"/>
      <c r="M1415" s="52"/>
      <c r="N1415" s="52"/>
      <c r="O1415" s="52"/>
      <c r="P1415" s="52"/>
      <c r="Q1415" s="52"/>
      <c r="R1415" s="52"/>
      <c r="S1415" s="52"/>
      <c r="T1415" s="52"/>
      <c r="U1415" s="52"/>
      <c r="V1415" s="52"/>
      <c r="W1415" s="52"/>
      <c r="X1415" s="52"/>
      <c r="Y1415" s="52"/>
      <c r="Z1415" s="52"/>
      <c r="AA1415" s="52"/>
      <c r="AB1415" s="52"/>
      <c r="AC1415" s="52"/>
      <c r="AD1415" s="52"/>
      <c r="AE1415" s="52"/>
      <c r="AF1415" s="52"/>
      <c r="AG1415" s="52"/>
      <c r="AH1415" s="52"/>
      <c r="AI1415" s="52"/>
      <c r="AJ1415" s="52"/>
      <c r="AK1415" s="52"/>
      <c r="AL1415" s="52"/>
      <c r="AM1415" s="52"/>
      <c r="AN1415" s="52"/>
    </row>
    <row r="1416" spans="1:40" x14ac:dyDescent="0.3">
      <c r="A1416" s="52">
        <v>1411</v>
      </c>
      <c r="B1416" s="52">
        <f>-bthan*500+(10+0.5)*bthan*1000/50</f>
        <v>-1595</v>
      </c>
      <c r="C1416" s="52">
        <f t="shared" si="172"/>
        <v>-230</v>
      </c>
      <c r="D1416" s="52">
        <f t="shared" si="173"/>
        <v>2200</v>
      </c>
      <c r="E1416" s="52">
        <f t="shared" si="174"/>
        <v>1</v>
      </c>
      <c r="F1416" s="52"/>
      <c r="G1416" s="52"/>
      <c r="H1416" s="52"/>
      <c r="I1416" s="52"/>
      <c r="J1416" s="52"/>
      <c r="K1416" s="52"/>
      <c r="L1416" s="52"/>
      <c r="M1416" s="52"/>
      <c r="N1416" s="52"/>
      <c r="O1416" s="52"/>
      <c r="P1416" s="52"/>
      <c r="Q1416" s="52"/>
      <c r="R1416" s="52"/>
      <c r="S1416" s="52"/>
      <c r="T1416" s="52"/>
      <c r="U1416" s="52"/>
      <c r="V1416" s="52"/>
      <c r="W1416" s="52"/>
      <c r="X1416" s="52"/>
      <c r="Y1416" s="52"/>
      <c r="Z1416" s="52"/>
      <c r="AA1416" s="52"/>
      <c r="AB1416" s="52"/>
      <c r="AC1416" s="52"/>
      <c r="AD1416" s="52"/>
      <c r="AE1416" s="52"/>
      <c r="AF1416" s="52"/>
      <c r="AG1416" s="52"/>
      <c r="AH1416" s="52"/>
      <c r="AI1416" s="52"/>
      <c r="AJ1416" s="52"/>
      <c r="AK1416" s="52"/>
      <c r="AL1416" s="52"/>
      <c r="AM1416" s="52"/>
      <c r="AN1416" s="52"/>
    </row>
    <row r="1417" spans="1:40" x14ac:dyDescent="0.3">
      <c r="A1417" s="52">
        <v>1412</v>
      </c>
      <c r="B1417" s="52">
        <f>-bthan*500+(11+0.5)*bthan*1000/50</f>
        <v>-1485</v>
      </c>
      <c r="C1417" s="52">
        <f t="shared" si="172"/>
        <v>-230</v>
      </c>
      <c r="D1417" s="52">
        <f t="shared" si="173"/>
        <v>2200</v>
      </c>
      <c r="E1417" s="52">
        <f t="shared" si="174"/>
        <v>1</v>
      </c>
      <c r="F1417" s="52"/>
      <c r="G1417" s="52"/>
      <c r="H1417" s="52"/>
      <c r="I1417" s="52"/>
      <c r="J1417" s="52"/>
      <c r="K1417" s="52"/>
      <c r="L1417" s="52"/>
      <c r="M1417" s="52"/>
      <c r="N1417" s="52"/>
      <c r="O1417" s="52"/>
      <c r="P1417" s="52"/>
      <c r="Q1417" s="52"/>
      <c r="R1417" s="52"/>
      <c r="S1417" s="52"/>
      <c r="T1417" s="52"/>
      <c r="U1417" s="52"/>
      <c r="V1417" s="52"/>
      <c r="W1417" s="52"/>
      <c r="X1417" s="52"/>
      <c r="Y1417" s="52"/>
      <c r="Z1417" s="52"/>
      <c r="AA1417" s="52"/>
      <c r="AB1417" s="52"/>
      <c r="AC1417" s="52"/>
      <c r="AD1417" s="52"/>
      <c r="AE1417" s="52"/>
      <c r="AF1417" s="52"/>
      <c r="AG1417" s="52"/>
      <c r="AH1417" s="52"/>
      <c r="AI1417" s="52"/>
      <c r="AJ1417" s="52"/>
      <c r="AK1417" s="52"/>
      <c r="AL1417" s="52"/>
      <c r="AM1417" s="52"/>
      <c r="AN1417" s="52"/>
    </row>
    <row r="1418" spans="1:40" x14ac:dyDescent="0.3">
      <c r="A1418" s="52">
        <v>1413</v>
      </c>
      <c r="B1418" s="52">
        <f>-bthan*500+(12+0.5)*bthan*1000/50</f>
        <v>-1375</v>
      </c>
      <c r="C1418" s="52">
        <f t="shared" si="172"/>
        <v>-230</v>
      </c>
      <c r="D1418" s="52">
        <f t="shared" si="173"/>
        <v>2200</v>
      </c>
      <c r="E1418" s="52">
        <f t="shared" si="174"/>
        <v>1</v>
      </c>
      <c r="F1418" s="52"/>
      <c r="G1418" s="52"/>
      <c r="H1418" s="52"/>
      <c r="I1418" s="52"/>
      <c r="J1418" s="52"/>
      <c r="K1418" s="52"/>
      <c r="L1418" s="52"/>
      <c r="M1418" s="52"/>
      <c r="N1418" s="52"/>
      <c r="O1418" s="52"/>
      <c r="P1418" s="52"/>
      <c r="Q1418" s="52"/>
      <c r="R1418" s="52"/>
      <c r="S1418" s="52"/>
      <c r="T1418" s="52"/>
      <c r="U1418" s="52"/>
      <c r="V1418" s="52"/>
      <c r="W1418" s="52"/>
      <c r="X1418" s="52"/>
      <c r="Y1418" s="52"/>
      <c r="Z1418" s="52"/>
      <c r="AA1418" s="52"/>
      <c r="AB1418" s="52"/>
      <c r="AC1418" s="52"/>
      <c r="AD1418" s="52"/>
      <c r="AE1418" s="52"/>
      <c r="AF1418" s="52"/>
      <c r="AG1418" s="52"/>
      <c r="AH1418" s="52"/>
      <c r="AI1418" s="52"/>
      <c r="AJ1418" s="52"/>
      <c r="AK1418" s="52"/>
      <c r="AL1418" s="52"/>
      <c r="AM1418" s="52"/>
      <c r="AN1418" s="52"/>
    </row>
    <row r="1419" spans="1:40" x14ac:dyDescent="0.3">
      <c r="A1419" s="52">
        <v>1414</v>
      </c>
      <c r="B1419" s="52">
        <f>-bthan*500+(13+0.5)*bthan*1000/50</f>
        <v>-1265</v>
      </c>
      <c r="C1419" s="52">
        <f t="shared" si="172"/>
        <v>-230</v>
      </c>
      <c r="D1419" s="52">
        <f t="shared" si="173"/>
        <v>2200</v>
      </c>
      <c r="E1419" s="52">
        <f t="shared" si="174"/>
        <v>1</v>
      </c>
      <c r="F1419" s="52"/>
      <c r="G1419" s="52"/>
      <c r="H1419" s="52"/>
      <c r="I1419" s="52"/>
      <c r="J1419" s="52"/>
      <c r="K1419" s="52"/>
      <c r="L1419" s="52"/>
      <c r="M1419" s="52"/>
      <c r="N1419" s="52"/>
      <c r="O1419" s="52"/>
      <c r="P1419" s="52"/>
      <c r="Q1419" s="52"/>
      <c r="R1419" s="52"/>
      <c r="S1419" s="52"/>
      <c r="T1419" s="52"/>
      <c r="U1419" s="52"/>
      <c r="V1419" s="52"/>
      <c r="W1419" s="52"/>
      <c r="X1419" s="52"/>
      <c r="Y1419" s="52"/>
      <c r="Z1419" s="52"/>
      <c r="AA1419" s="52"/>
      <c r="AB1419" s="52"/>
      <c r="AC1419" s="52"/>
      <c r="AD1419" s="52"/>
      <c r="AE1419" s="52"/>
      <c r="AF1419" s="52"/>
      <c r="AG1419" s="52"/>
      <c r="AH1419" s="52"/>
      <c r="AI1419" s="52"/>
      <c r="AJ1419" s="52"/>
      <c r="AK1419" s="52"/>
      <c r="AL1419" s="52"/>
      <c r="AM1419" s="52"/>
      <c r="AN1419" s="52"/>
    </row>
    <row r="1420" spans="1:40" x14ac:dyDescent="0.3">
      <c r="A1420" s="52">
        <v>1415</v>
      </c>
      <c r="B1420" s="52">
        <f>-bthan*500+(14+0.5)*bthan*1000/50</f>
        <v>-1155</v>
      </c>
      <c r="C1420" s="52">
        <f t="shared" si="172"/>
        <v>-230</v>
      </c>
      <c r="D1420" s="52">
        <f t="shared" si="173"/>
        <v>2200</v>
      </c>
      <c r="E1420" s="52">
        <f t="shared" si="174"/>
        <v>1</v>
      </c>
      <c r="F1420" s="52"/>
      <c r="G1420" s="52"/>
      <c r="H1420" s="52"/>
      <c r="I1420" s="52"/>
      <c r="J1420" s="52"/>
      <c r="K1420" s="52"/>
      <c r="L1420" s="52"/>
      <c r="M1420" s="52"/>
      <c r="N1420" s="52"/>
      <c r="O1420" s="52"/>
      <c r="P1420" s="52"/>
      <c r="Q1420" s="52"/>
      <c r="R1420" s="52"/>
      <c r="S1420" s="52"/>
      <c r="T1420" s="52"/>
      <c r="U1420" s="52"/>
      <c r="V1420" s="52"/>
      <c r="W1420" s="52"/>
      <c r="X1420" s="52"/>
      <c r="Y1420" s="52"/>
      <c r="Z1420" s="52"/>
      <c r="AA1420" s="52"/>
      <c r="AB1420" s="52"/>
      <c r="AC1420" s="52"/>
      <c r="AD1420" s="52"/>
      <c r="AE1420" s="52"/>
      <c r="AF1420" s="52"/>
      <c r="AG1420" s="52"/>
      <c r="AH1420" s="52"/>
      <c r="AI1420" s="52"/>
      <c r="AJ1420" s="52"/>
      <c r="AK1420" s="52"/>
      <c r="AL1420" s="52"/>
      <c r="AM1420" s="52"/>
      <c r="AN1420" s="52"/>
    </row>
    <row r="1421" spans="1:40" x14ac:dyDescent="0.3">
      <c r="A1421" s="52">
        <v>1416</v>
      </c>
      <c r="B1421" s="52">
        <f>-bthan*500+(15+0.5)*bthan*1000/50</f>
        <v>-1045</v>
      </c>
      <c r="C1421" s="52">
        <f t="shared" si="172"/>
        <v>-230</v>
      </c>
      <c r="D1421" s="52">
        <f t="shared" si="173"/>
        <v>2200</v>
      </c>
      <c r="E1421" s="52">
        <f t="shared" si="174"/>
        <v>1</v>
      </c>
      <c r="F1421" s="52"/>
      <c r="G1421" s="52"/>
      <c r="H1421" s="52"/>
      <c r="I1421" s="52"/>
      <c r="J1421" s="52"/>
      <c r="K1421" s="52"/>
      <c r="L1421" s="52"/>
      <c r="M1421" s="52"/>
      <c r="N1421" s="52"/>
      <c r="O1421" s="52"/>
      <c r="P1421" s="52"/>
      <c r="Q1421" s="52"/>
      <c r="R1421" s="52"/>
      <c r="S1421" s="52"/>
      <c r="T1421" s="52"/>
      <c r="U1421" s="52"/>
      <c r="V1421" s="52"/>
      <c r="W1421" s="52"/>
      <c r="X1421" s="52"/>
      <c r="Y1421" s="52"/>
      <c r="Z1421" s="52"/>
      <c r="AA1421" s="52"/>
      <c r="AB1421" s="52"/>
      <c r="AC1421" s="52"/>
      <c r="AD1421" s="52"/>
      <c r="AE1421" s="52"/>
      <c r="AF1421" s="52"/>
      <c r="AG1421" s="52"/>
      <c r="AH1421" s="52"/>
      <c r="AI1421" s="52"/>
      <c r="AJ1421" s="52"/>
      <c r="AK1421" s="52"/>
      <c r="AL1421" s="52"/>
      <c r="AM1421" s="52"/>
      <c r="AN1421" s="52"/>
    </row>
    <row r="1422" spans="1:40" x14ac:dyDescent="0.3">
      <c r="A1422" s="52">
        <v>1417</v>
      </c>
      <c r="B1422" s="52">
        <f>-bthan*500+(16+0.5)*bthan*1000/50</f>
        <v>-935</v>
      </c>
      <c r="C1422" s="52">
        <f t="shared" si="172"/>
        <v>-230</v>
      </c>
      <c r="D1422" s="52">
        <f t="shared" si="173"/>
        <v>2200</v>
      </c>
      <c r="E1422" s="52">
        <f t="shared" si="174"/>
        <v>1</v>
      </c>
      <c r="F1422" s="52"/>
      <c r="G1422" s="52"/>
      <c r="H1422" s="52"/>
      <c r="I1422" s="52"/>
      <c r="J1422" s="52"/>
      <c r="K1422" s="52"/>
      <c r="L1422" s="52"/>
      <c r="M1422" s="52"/>
      <c r="N1422" s="52"/>
      <c r="O1422" s="52"/>
      <c r="P1422" s="52"/>
      <c r="Q1422" s="52"/>
      <c r="R1422" s="52"/>
      <c r="S1422" s="52"/>
      <c r="T1422" s="52"/>
      <c r="U1422" s="52"/>
      <c r="V1422" s="52"/>
      <c r="W1422" s="52"/>
      <c r="X1422" s="52"/>
      <c r="Y1422" s="52"/>
      <c r="Z1422" s="52"/>
      <c r="AA1422" s="52"/>
      <c r="AB1422" s="52"/>
      <c r="AC1422" s="52"/>
      <c r="AD1422" s="52"/>
      <c r="AE1422" s="52"/>
      <c r="AF1422" s="52"/>
      <c r="AG1422" s="52"/>
      <c r="AH1422" s="52"/>
      <c r="AI1422" s="52"/>
      <c r="AJ1422" s="52"/>
      <c r="AK1422" s="52"/>
      <c r="AL1422" s="52"/>
      <c r="AM1422" s="52"/>
      <c r="AN1422" s="52"/>
    </row>
    <row r="1423" spans="1:40" x14ac:dyDescent="0.3">
      <c r="A1423" s="52">
        <v>1418</v>
      </c>
      <c r="B1423" s="52">
        <f>-bthan*500+(17+0.5)*bthan*1000/50</f>
        <v>-825</v>
      </c>
      <c r="C1423" s="52">
        <f t="shared" si="172"/>
        <v>-230</v>
      </c>
      <c r="D1423" s="52">
        <f t="shared" si="173"/>
        <v>2200</v>
      </c>
      <c r="E1423" s="52">
        <f t="shared" si="174"/>
        <v>1</v>
      </c>
      <c r="F1423" s="52"/>
      <c r="G1423" s="52"/>
      <c r="H1423" s="52"/>
      <c r="I1423" s="52"/>
      <c r="J1423" s="52"/>
      <c r="K1423" s="52"/>
      <c r="L1423" s="52"/>
      <c r="M1423" s="52"/>
      <c r="N1423" s="52"/>
      <c r="O1423" s="52"/>
      <c r="P1423" s="52"/>
      <c r="Q1423" s="52"/>
      <c r="R1423" s="52"/>
      <c r="S1423" s="52"/>
      <c r="T1423" s="52"/>
      <c r="U1423" s="52"/>
      <c r="V1423" s="52"/>
      <c r="W1423" s="52"/>
      <c r="X1423" s="52"/>
      <c r="Y1423" s="52"/>
      <c r="Z1423" s="52"/>
      <c r="AA1423" s="52"/>
      <c r="AB1423" s="52"/>
      <c r="AC1423" s="52"/>
      <c r="AD1423" s="52"/>
      <c r="AE1423" s="52"/>
      <c r="AF1423" s="52"/>
      <c r="AG1423" s="52"/>
      <c r="AH1423" s="52"/>
      <c r="AI1423" s="52"/>
      <c r="AJ1423" s="52"/>
      <c r="AK1423" s="52"/>
      <c r="AL1423" s="52"/>
      <c r="AM1423" s="52"/>
      <c r="AN1423" s="52"/>
    </row>
    <row r="1424" spans="1:40" x14ac:dyDescent="0.3">
      <c r="A1424" s="52">
        <v>1419</v>
      </c>
      <c r="B1424" s="52">
        <f>-bthan*500+(18+0.5)*bthan*1000/50</f>
        <v>-715</v>
      </c>
      <c r="C1424" s="52">
        <f t="shared" si="172"/>
        <v>-230</v>
      </c>
      <c r="D1424" s="52">
        <f t="shared" si="173"/>
        <v>2200</v>
      </c>
      <c r="E1424" s="52">
        <f t="shared" si="174"/>
        <v>1</v>
      </c>
      <c r="F1424" s="52"/>
      <c r="G1424" s="52"/>
      <c r="H1424" s="52"/>
      <c r="I1424" s="52"/>
      <c r="J1424" s="52"/>
      <c r="K1424" s="52"/>
      <c r="L1424" s="52"/>
      <c r="M1424" s="52"/>
      <c r="N1424" s="52"/>
      <c r="O1424" s="52"/>
      <c r="P1424" s="52"/>
      <c r="Q1424" s="52"/>
      <c r="R1424" s="52"/>
      <c r="S1424" s="52"/>
      <c r="T1424" s="52"/>
      <c r="U1424" s="52"/>
      <c r="V1424" s="52"/>
      <c r="W1424" s="52"/>
      <c r="X1424" s="52"/>
      <c r="Y1424" s="52"/>
      <c r="Z1424" s="52"/>
      <c r="AA1424" s="52"/>
      <c r="AB1424" s="52"/>
      <c r="AC1424" s="52"/>
      <c r="AD1424" s="52"/>
      <c r="AE1424" s="52"/>
      <c r="AF1424" s="52"/>
      <c r="AG1424" s="52"/>
      <c r="AH1424" s="52"/>
      <c r="AI1424" s="52"/>
      <c r="AJ1424" s="52"/>
      <c r="AK1424" s="52"/>
      <c r="AL1424" s="52"/>
      <c r="AM1424" s="52"/>
      <c r="AN1424" s="52"/>
    </row>
    <row r="1425" spans="1:40" x14ac:dyDescent="0.3">
      <c r="A1425" s="52">
        <v>1420</v>
      </c>
      <c r="B1425" s="52">
        <f>-bthan*500+(19+0.5)*bthan*1000/50</f>
        <v>-605</v>
      </c>
      <c r="C1425" s="52">
        <f t="shared" si="172"/>
        <v>-230</v>
      </c>
      <c r="D1425" s="52">
        <f t="shared" si="173"/>
        <v>2200</v>
      </c>
      <c r="E1425" s="52">
        <f t="shared" si="174"/>
        <v>1</v>
      </c>
      <c r="F1425" s="52"/>
      <c r="G1425" s="52"/>
      <c r="H1425" s="52"/>
      <c r="I1425" s="52"/>
      <c r="J1425" s="52"/>
      <c r="K1425" s="52"/>
      <c r="L1425" s="52"/>
      <c r="M1425" s="52"/>
      <c r="N1425" s="52"/>
      <c r="O1425" s="52"/>
      <c r="P1425" s="52"/>
      <c r="Q1425" s="52"/>
      <c r="R1425" s="52"/>
      <c r="S1425" s="52"/>
      <c r="T1425" s="52"/>
      <c r="U1425" s="52"/>
      <c r="V1425" s="52"/>
      <c r="W1425" s="52"/>
      <c r="X1425" s="52"/>
      <c r="Y1425" s="52"/>
      <c r="Z1425" s="52"/>
      <c r="AA1425" s="52"/>
      <c r="AB1425" s="52"/>
      <c r="AC1425" s="52"/>
      <c r="AD1425" s="52"/>
      <c r="AE1425" s="52"/>
      <c r="AF1425" s="52"/>
      <c r="AG1425" s="52"/>
      <c r="AH1425" s="52"/>
      <c r="AI1425" s="52"/>
      <c r="AJ1425" s="52"/>
      <c r="AK1425" s="52"/>
      <c r="AL1425" s="52"/>
      <c r="AM1425" s="52"/>
      <c r="AN1425" s="52"/>
    </row>
    <row r="1426" spans="1:40" x14ac:dyDescent="0.3">
      <c r="A1426" s="52">
        <v>1421</v>
      </c>
      <c r="B1426" s="52">
        <f>-bthan*500+(20+0.5)*bthan*1000/50</f>
        <v>-495</v>
      </c>
      <c r="C1426" s="52">
        <f t="shared" si="172"/>
        <v>-230</v>
      </c>
      <c r="D1426" s="52">
        <f t="shared" si="173"/>
        <v>2200</v>
      </c>
      <c r="E1426" s="52">
        <f t="shared" si="174"/>
        <v>1</v>
      </c>
      <c r="F1426" s="52"/>
      <c r="G1426" s="52"/>
      <c r="H1426" s="52"/>
      <c r="I1426" s="52"/>
      <c r="J1426" s="52"/>
      <c r="K1426" s="52"/>
      <c r="L1426" s="52"/>
      <c r="M1426" s="52"/>
      <c r="N1426" s="52"/>
      <c r="O1426" s="52"/>
      <c r="P1426" s="52"/>
      <c r="Q1426" s="52"/>
      <c r="R1426" s="52"/>
      <c r="S1426" s="52"/>
      <c r="T1426" s="52"/>
      <c r="U1426" s="52"/>
      <c r="V1426" s="52"/>
      <c r="W1426" s="52"/>
      <c r="X1426" s="52"/>
      <c r="Y1426" s="52"/>
      <c r="Z1426" s="52"/>
      <c r="AA1426" s="52"/>
      <c r="AB1426" s="52"/>
      <c r="AC1426" s="52"/>
      <c r="AD1426" s="52"/>
      <c r="AE1426" s="52"/>
      <c r="AF1426" s="52"/>
      <c r="AG1426" s="52"/>
      <c r="AH1426" s="52"/>
      <c r="AI1426" s="52"/>
      <c r="AJ1426" s="52"/>
      <c r="AK1426" s="52"/>
      <c r="AL1426" s="52"/>
      <c r="AM1426" s="52"/>
      <c r="AN1426" s="52"/>
    </row>
    <row r="1427" spans="1:40" x14ac:dyDescent="0.3">
      <c r="A1427" s="52">
        <v>1422</v>
      </c>
      <c r="B1427" s="52">
        <f>-bthan*500+(21+0.5)*bthan*1000/50</f>
        <v>-385</v>
      </c>
      <c r="C1427" s="52">
        <f t="shared" si="172"/>
        <v>-230</v>
      </c>
      <c r="D1427" s="52">
        <f t="shared" si="173"/>
        <v>2200</v>
      </c>
      <c r="E1427" s="52">
        <f t="shared" si="174"/>
        <v>1</v>
      </c>
      <c r="F1427" s="52"/>
      <c r="G1427" s="52"/>
      <c r="H1427" s="52"/>
      <c r="I1427" s="52"/>
      <c r="J1427" s="52"/>
      <c r="K1427" s="52"/>
      <c r="L1427" s="52"/>
      <c r="M1427" s="52"/>
      <c r="N1427" s="52"/>
      <c r="O1427" s="52"/>
      <c r="P1427" s="52"/>
      <c r="Q1427" s="52"/>
      <c r="R1427" s="52"/>
      <c r="S1427" s="52"/>
      <c r="T1427" s="52"/>
      <c r="U1427" s="52"/>
      <c r="V1427" s="52"/>
      <c r="W1427" s="52"/>
      <c r="X1427" s="52"/>
      <c r="Y1427" s="52"/>
      <c r="Z1427" s="52"/>
      <c r="AA1427" s="52"/>
      <c r="AB1427" s="52"/>
      <c r="AC1427" s="52"/>
      <c r="AD1427" s="52"/>
      <c r="AE1427" s="52"/>
      <c r="AF1427" s="52"/>
      <c r="AG1427" s="52"/>
      <c r="AH1427" s="52"/>
      <c r="AI1427" s="52"/>
      <c r="AJ1427" s="52"/>
      <c r="AK1427" s="52"/>
      <c r="AL1427" s="52"/>
      <c r="AM1427" s="52"/>
      <c r="AN1427" s="52"/>
    </row>
    <row r="1428" spans="1:40" x14ac:dyDescent="0.3">
      <c r="A1428" s="52">
        <v>1423</v>
      </c>
      <c r="B1428" s="52">
        <f>-bthan*500+(22+0.5)*bthan*1000/50</f>
        <v>-275</v>
      </c>
      <c r="C1428" s="52">
        <f t="shared" si="172"/>
        <v>-230</v>
      </c>
      <c r="D1428" s="52">
        <f t="shared" si="173"/>
        <v>2200</v>
      </c>
      <c r="E1428" s="52">
        <f t="shared" si="174"/>
        <v>1</v>
      </c>
      <c r="F1428" s="52"/>
      <c r="G1428" s="52"/>
      <c r="H1428" s="52"/>
      <c r="I1428" s="52"/>
      <c r="J1428" s="52"/>
      <c r="K1428" s="52"/>
      <c r="L1428" s="52"/>
      <c r="M1428" s="52"/>
      <c r="N1428" s="52"/>
      <c r="O1428" s="52"/>
      <c r="P1428" s="52"/>
      <c r="Q1428" s="52"/>
      <c r="R1428" s="52"/>
      <c r="S1428" s="52"/>
      <c r="T1428" s="52"/>
      <c r="U1428" s="52"/>
      <c r="V1428" s="52"/>
      <c r="W1428" s="52"/>
      <c r="X1428" s="52"/>
      <c r="Y1428" s="52"/>
      <c r="Z1428" s="52"/>
      <c r="AA1428" s="52"/>
      <c r="AB1428" s="52"/>
      <c r="AC1428" s="52"/>
      <c r="AD1428" s="52"/>
      <c r="AE1428" s="52"/>
      <c r="AF1428" s="52"/>
      <c r="AG1428" s="52"/>
      <c r="AH1428" s="52"/>
      <c r="AI1428" s="52"/>
      <c r="AJ1428" s="52"/>
      <c r="AK1428" s="52"/>
      <c r="AL1428" s="52"/>
      <c r="AM1428" s="52"/>
      <c r="AN1428" s="52"/>
    </row>
    <row r="1429" spans="1:40" x14ac:dyDescent="0.3">
      <c r="A1429" s="52">
        <v>1424</v>
      </c>
      <c r="B1429" s="52">
        <f>-bthan*500+(23+0.5)*bthan*1000/50</f>
        <v>-165</v>
      </c>
      <c r="C1429" s="52">
        <f t="shared" si="172"/>
        <v>-230</v>
      </c>
      <c r="D1429" s="52">
        <f t="shared" si="173"/>
        <v>2200</v>
      </c>
      <c r="E1429" s="52">
        <f t="shared" si="174"/>
        <v>1</v>
      </c>
      <c r="F1429" s="52"/>
      <c r="G1429" s="52"/>
      <c r="H1429" s="52"/>
      <c r="I1429" s="52"/>
      <c r="J1429" s="52"/>
      <c r="K1429" s="52"/>
      <c r="L1429" s="52"/>
      <c r="M1429" s="52"/>
      <c r="N1429" s="52"/>
      <c r="O1429" s="52"/>
      <c r="P1429" s="52"/>
      <c r="Q1429" s="52"/>
      <c r="R1429" s="52"/>
      <c r="S1429" s="52"/>
      <c r="T1429" s="52"/>
      <c r="U1429" s="52"/>
      <c r="V1429" s="52"/>
      <c r="W1429" s="52"/>
      <c r="X1429" s="52"/>
      <c r="Y1429" s="52"/>
      <c r="Z1429" s="52"/>
      <c r="AA1429" s="52"/>
      <c r="AB1429" s="52"/>
      <c r="AC1429" s="52"/>
      <c r="AD1429" s="52"/>
      <c r="AE1429" s="52"/>
      <c r="AF1429" s="52"/>
      <c r="AG1429" s="52"/>
      <c r="AH1429" s="52"/>
      <c r="AI1429" s="52"/>
      <c r="AJ1429" s="52"/>
      <c r="AK1429" s="52"/>
      <c r="AL1429" s="52"/>
      <c r="AM1429" s="52"/>
      <c r="AN1429" s="52"/>
    </row>
    <row r="1430" spans="1:40" x14ac:dyDescent="0.3">
      <c r="A1430" s="52">
        <v>1425</v>
      </c>
      <c r="B1430" s="52">
        <f>-bthan*500+(24+0.5)*bthan*1000/50</f>
        <v>-55</v>
      </c>
      <c r="C1430" s="52">
        <f t="shared" si="172"/>
        <v>-230</v>
      </c>
      <c r="D1430" s="52">
        <f t="shared" si="173"/>
        <v>2200</v>
      </c>
      <c r="E1430" s="52">
        <f t="shared" si="174"/>
        <v>1</v>
      </c>
      <c r="F1430" s="52"/>
      <c r="G1430" s="52"/>
      <c r="H1430" s="52"/>
      <c r="I1430" s="52"/>
      <c r="J1430" s="52"/>
      <c r="K1430" s="52"/>
      <c r="L1430" s="52"/>
      <c r="M1430" s="52"/>
      <c r="N1430" s="52"/>
      <c r="O1430" s="52"/>
      <c r="P1430" s="52"/>
      <c r="Q1430" s="52"/>
      <c r="R1430" s="52"/>
      <c r="S1430" s="52"/>
      <c r="T1430" s="52"/>
      <c r="U1430" s="52"/>
      <c r="V1430" s="52"/>
      <c r="W1430" s="52"/>
      <c r="X1430" s="52"/>
      <c r="Y1430" s="52"/>
      <c r="Z1430" s="52"/>
      <c r="AA1430" s="52"/>
      <c r="AB1430" s="52"/>
      <c r="AC1430" s="52"/>
      <c r="AD1430" s="52"/>
      <c r="AE1430" s="52"/>
      <c r="AF1430" s="52"/>
      <c r="AG1430" s="52"/>
      <c r="AH1430" s="52"/>
      <c r="AI1430" s="52"/>
      <c r="AJ1430" s="52"/>
      <c r="AK1430" s="52"/>
      <c r="AL1430" s="52"/>
      <c r="AM1430" s="52"/>
      <c r="AN1430" s="52"/>
    </row>
    <row r="1431" spans="1:40" x14ac:dyDescent="0.3">
      <c r="A1431" s="52">
        <v>1426</v>
      </c>
      <c r="B1431" s="52">
        <f>-bthan*500+(25+0.5)*bthan*1000/50</f>
        <v>55</v>
      </c>
      <c r="C1431" s="52">
        <f t="shared" si="172"/>
        <v>-230</v>
      </c>
      <c r="D1431" s="52">
        <f t="shared" si="173"/>
        <v>2200</v>
      </c>
      <c r="E1431" s="52">
        <f t="shared" si="174"/>
        <v>1</v>
      </c>
      <c r="F1431" s="52"/>
      <c r="G1431" s="52"/>
      <c r="H1431" s="52"/>
      <c r="I1431" s="52"/>
      <c r="J1431" s="52"/>
      <c r="K1431" s="52"/>
      <c r="L1431" s="52"/>
      <c r="M1431" s="52"/>
      <c r="N1431" s="52"/>
      <c r="O1431" s="52"/>
      <c r="P1431" s="52"/>
      <c r="Q1431" s="52"/>
      <c r="R1431" s="52"/>
      <c r="S1431" s="52"/>
      <c r="T1431" s="52"/>
      <c r="U1431" s="52"/>
      <c r="V1431" s="52"/>
      <c r="W1431" s="52"/>
      <c r="X1431" s="52"/>
      <c r="Y1431" s="52"/>
      <c r="Z1431" s="52"/>
      <c r="AA1431" s="52"/>
      <c r="AB1431" s="52"/>
      <c r="AC1431" s="52"/>
      <c r="AD1431" s="52"/>
      <c r="AE1431" s="52"/>
      <c r="AF1431" s="52"/>
      <c r="AG1431" s="52"/>
      <c r="AH1431" s="52"/>
      <c r="AI1431" s="52"/>
      <c r="AJ1431" s="52"/>
      <c r="AK1431" s="52"/>
      <c r="AL1431" s="52"/>
      <c r="AM1431" s="52"/>
      <c r="AN1431" s="52"/>
    </row>
    <row r="1432" spans="1:40" x14ac:dyDescent="0.3">
      <c r="A1432" s="52">
        <v>1427</v>
      </c>
      <c r="B1432" s="52">
        <f>-bthan*500+(26+0.5)*bthan*1000/50</f>
        <v>165</v>
      </c>
      <c r="C1432" s="52">
        <f t="shared" si="172"/>
        <v>-230</v>
      </c>
      <c r="D1432" s="52">
        <f t="shared" si="173"/>
        <v>2200</v>
      </c>
      <c r="E1432" s="52">
        <f t="shared" si="174"/>
        <v>1</v>
      </c>
      <c r="F1432" s="52"/>
      <c r="G1432" s="52"/>
      <c r="H1432" s="52"/>
      <c r="I1432" s="52"/>
      <c r="J1432" s="52"/>
      <c r="K1432" s="52"/>
      <c r="L1432" s="52"/>
      <c r="M1432" s="52"/>
      <c r="N1432" s="52"/>
      <c r="O1432" s="52"/>
      <c r="P1432" s="52"/>
      <c r="Q1432" s="52"/>
      <c r="R1432" s="52"/>
      <c r="S1432" s="52"/>
      <c r="T1432" s="52"/>
      <c r="U1432" s="52"/>
      <c r="V1432" s="52"/>
      <c r="W1432" s="52"/>
      <c r="X1432" s="52"/>
      <c r="Y1432" s="52"/>
      <c r="Z1432" s="52"/>
      <c r="AA1432" s="52"/>
      <c r="AB1432" s="52"/>
      <c r="AC1432" s="52"/>
      <c r="AD1432" s="52"/>
      <c r="AE1432" s="52"/>
      <c r="AF1432" s="52"/>
      <c r="AG1432" s="52"/>
      <c r="AH1432" s="52"/>
      <c r="AI1432" s="52"/>
      <c r="AJ1432" s="52"/>
      <c r="AK1432" s="52"/>
      <c r="AL1432" s="52"/>
      <c r="AM1432" s="52"/>
      <c r="AN1432" s="52"/>
    </row>
    <row r="1433" spans="1:40" x14ac:dyDescent="0.3">
      <c r="A1433" s="52">
        <v>1428</v>
      </c>
      <c r="B1433" s="52">
        <f>-bthan*500+(27+0.5)*bthan*1000/50</f>
        <v>275</v>
      </c>
      <c r="C1433" s="52">
        <f t="shared" si="172"/>
        <v>-230</v>
      </c>
      <c r="D1433" s="52">
        <f t="shared" si="173"/>
        <v>2200</v>
      </c>
      <c r="E1433" s="52">
        <f t="shared" si="174"/>
        <v>1</v>
      </c>
      <c r="F1433" s="52"/>
      <c r="G1433" s="52"/>
      <c r="H1433" s="52"/>
      <c r="I1433" s="52"/>
      <c r="J1433" s="52"/>
      <c r="K1433" s="52"/>
      <c r="L1433" s="52"/>
      <c r="M1433" s="52"/>
      <c r="N1433" s="52"/>
      <c r="O1433" s="52"/>
      <c r="P1433" s="52"/>
      <c r="Q1433" s="52"/>
      <c r="R1433" s="52"/>
      <c r="S1433" s="52"/>
      <c r="T1433" s="52"/>
      <c r="U1433" s="52"/>
      <c r="V1433" s="52"/>
      <c r="W1433" s="52"/>
      <c r="X1433" s="52"/>
      <c r="Y1433" s="52"/>
      <c r="Z1433" s="52"/>
      <c r="AA1433" s="52"/>
      <c r="AB1433" s="52"/>
      <c r="AC1433" s="52"/>
      <c r="AD1433" s="52"/>
      <c r="AE1433" s="52"/>
      <c r="AF1433" s="52"/>
      <c r="AG1433" s="52"/>
      <c r="AH1433" s="52"/>
      <c r="AI1433" s="52"/>
      <c r="AJ1433" s="52"/>
      <c r="AK1433" s="52"/>
      <c r="AL1433" s="52"/>
      <c r="AM1433" s="52"/>
      <c r="AN1433" s="52"/>
    </row>
    <row r="1434" spans="1:40" x14ac:dyDescent="0.3">
      <c r="A1434" s="52">
        <v>1429</v>
      </c>
      <c r="B1434" s="52">
        <f>-bthan*500+(28+0.5)*bthan*1000/50</f>
        <v>385</v>
      </c>
      <c r="C1434" s="52">
        <f t="shared" si="172"/>
        <v>-230</v>
      </c>
      <c r="D1434" s="52">
        <f t="shared" si="173"/>
        <v>2200</v>
      </c>
      <c r="E1434" s="52">
        <f t="shared" si="174"/>
        <v>1</v>
      </c>
      <c r="F1434" s="52"/>
      <c r="G1434" s="52"/>
      <c r="H1434" s="52"/>
      <c r="I1434" s="52"/>
      <c r="J1434" s="52"/>
      <c r="K1434" s="52"/>
      <c r="L1434" s="52"/>
      <c r="M1434" s="52"/>
      <c r="N1434" s="52"/>
      <c r="O1434" s="52"/>
      <c r="P1434" s="52"/>
      <c r="Q1434" s="52"/>
      <c r="R1434" s="52"/>
      <c r="S1434" s="52"/>
      <c r="T1434" s="52"/>
      <c r="U1434" s="52"/>
      <c r="V1434" s="52"/>
      <c r="W1434" s="52"/>
      <c r="X1434" s="52"/>
      <c r="Y1434" s="52"/>
      <c r="Z1434" s="52"/>
      <c r="AA1434" s="52"/>
      <c r="AB1434" s="52"/>
      <c r="AC1434" s="52"/>
      <c r="AD1434" s="52"/>
      <c r="AE1434" s="52"/>
      <c r="AF1434" s="52"/>
      <c r="AG1434" s="52"/>
      <c r="AH1434" s="52"/>
      <c r="AI1434" s="52"/>
      <c r="AJ1434" s="52"/>
      <c r="AK1434" s="52"/>
      <c r="AL1434" s="52"/>
      <c r="AM1434" s="52"/>
      <c r="AN1434" s="52"/>
    </row>
    <row r="1435" spans="1:40" x14ac:dyDescent="0.3">
      <c r="A1435" s="52">
        <v>1430</v>
      </c>
      <c r="B1435" s="52">
        <f>-bthan*500+(29+0.5)*bthan*1000/50</f>
        <v>495</v>
      </c>
      <c r="C1435" s="52">
        <f t="shared" si="172"/>
        <v>-230</v>
      </c>
      <c r="D1435" s="52">
        <f t="shared" si="173"/>
        <v>2200</v>
      </c>
      <c r="E1435" s="52">
        <f t="shared" si="174"/>
        <v>1</v>
      </c>
      <c r="F1435" s="52"/>
      <c r="G1435" s="52"/>
      <c r="H1435" s="52"/>
      <c r="I1435" s="52"/>
      <c r="J1435" s="52"/>
      <c r="K1435" s="52"/>
      <c r="L1435" s="52"/>
      <c r="M1435" s="52"/>
      <c r="N1435" s="52"/>
      <c r="O1435" s="52"/>
      <c r="P1435" s="52"/>
      <c r="Q1435" s="52"/>
      <c r="R1435" s="52"/>
      <c r="S1435" s="52"/>
      <c r="T1435" s="52"/>
      <c r="U1435" s="52"/>
      <c r="V1435" s="52"/>
      <c r="W1435" s="52"/>
      <c r="X1435" s="52"/>
      <c r="Y1435" s="52"/>
      <c r="Z1435" s="52"/>
      <c r="AA1435" s="52"/>
      <c r="AB1435" s="52"/>
      <c r="AC1435" s="52"/>
      <c r="AD1435" s="52"/>
      <c r="AE1435" s="52"/>
      <c r="AF1435" s="52"/>
      <c r="AG1435" s="52"/>
      <c r="AH1435" s="52"/>
      <c r="AI1435" s="52"/>
      <c r="AJ1435" s="52"/>
      <c r="AK1435" s="52"/>
      <c r="AL1435" s="52"/>
      <c r="AM1435" s="52"/>
      <c r="AN1435" s="52"/>
    </row>
    <row r="1436" spans="1:40" x14ac:dyDescent="0.3">
      <c r="A1436" s="52">
        <v>1431</v>
      </c>
      <c r="B1436" s="52">
        <f>-bthan*500+(30+0.5)*bthan*1000/50</f>
        <v>605</v>
      </c>
      <c r="C1436" s="52">
        <f t="shared" si="172"/>
        <v>-230</v>
      </c>
      <c r="D1436" s="52">
        <f t="shared" si="173"/>
        <v>2200</v>
      </c>
      <c r="E1436" s="52">
        <f t="shared" si="174"/>
        <v>1</v>
      </c>
      <c r="F1436" s="52"/>
      <c r="G1436" s="52"/>
      <c r="H1436" s="52"/>
      <c r="I1436" s="52"/>
      <c r="J1436" s="52"/>
      <c r="K1436" s="52"/>
      <c r="L1436" s="52"/>
      <c r="M1436" s="52"/>
      <c r="N1436" s="52"/>
      <c r="O1436" s="52"/>
      <c r="P1436" s="52"/>
      <c r="Q1436" s="52"/>
      <c r="R1436" s="52"/>
      <c r="S1436" s="52"/>
      <c r="T1436" s="52"/>
      <c r="U1436" s="52"/>
      <c r="V1436" s="52"/>
      <c r="W1436" s="52"/>
      <c r="X1436" s="52"/>
      <c r="Y1436" s="52"/>
      <c r="Z1436" s="52"/>
      <c r="AA1436" s="52"/>
      <c r="AB1436" s="52"/>
      <c r="AC1436" s="52"/>
      <c r="AD1436" s="52"/>
      <c r="AE1436" s="52"/>
      <c r="AF1436" s="52"/>
      <c r="AG1436" s="52"/>
      <c r="AH1436" s="52"/>
      <c r="AI1436" s="52"/>
      <c r="AJ1436" s="52"/>
      <c r="AK1436" s="52"/>
      <c r="AL1436" s="52"/>
      <c r="AM1436" s="52"/>
      <c r="AN1436" s="52"/>
    </row>
    <row r="1437" spans="1:40" x14ac:dyDescent="0.3">
      <c r="A1437" s="52">
        <v>1432</v>
      </c>
      <c r="B1437" s="52">
        <f>-bthan*500+(31+0.5)*bthan*1000/50</f>
        <v>715</v>
      </c>
      <c r="C1437" s="52">
        <f t="shared" si="172"/>
        <v>-230</v>
      </c>
      <c r="D1437" s="52">
        <f t="shared" si="173"/>
        <v>2200</v>
      </c>
      <c r="E1437" s="52">
        <f t="shared" si="174"/>
        <v>1</v>
      </c>
      <c r="F1437" s="52"/>
      <c r="G1437" s="52"/>
      <c r="H1437" s="52"/>
      <c r="I1437" s="52"/>
      <c r="J1437" s="52"/>
      <c r="K1437" s="52"/>
      <c r="L1437" s="52"/>
      <c r="M1437" s="52"/>
      <c r="N1437" s="52"/>
      <c r="O1437" s="52"/>
      <c r="P1437" s="52"/>
      <c r="Q1437" s="52"/>
      <c r="R1437" s="52"/>
      <c r="S1437" s="52"/>
      <c r="T1437" s="52"/>
      <c r="U1437" s="52"/>
      <c r="V1437" s="52"/>
      <c r="W1437" s="52"/>
      <c r="X1437" s="52"/>
      <c r="Y1437" s="52"/>
      <c r="Z1437" s="52"/>
      <c r="AA1437" s="52"/>
      <c r="AB1437" s="52"/>
      <c r="AC1437" s="52"/>
      <c r="AD1437" s="52"/>
      <c r="AE1437" s="52"/>
      <c r="AF1437" s="52"/>
      <c r="AG1437" s="52"/>
      <c r="AH1437" s="52"/>
      <c r="AI1437" s="52"/>
      <c r="AJ1437" s="52"/>
      <c r="AK1437" s="52"/>
      <c r="AL1437" s="52"/>
      <c r="AM1437" s="52"/>
      <c r="AN1437" s="52"/>
    </row>
    <row r="1438" spans="1:40" x14ac:dyDescent="0.3">
      <c r="A1438" s="52">
        <v>1433</v>
      </c>
      <c r="B1438" s="52">
        <f>-bthan*500+(32+0.5)*bthan*1000/50</f>
        <v>825</v>
      </c>
      <c r="C1438" s="52">
        <f t="shared" ref="C1438:C1455" si="175">-hthan*500+(28+0.5)*hthan*1000/80</f>
        <v>-230</v>
      </c>
      <c r="D1438" s="52">
        <f t="shared" si="173"/>
        <v>2200</v>
      </c>
      <c r="E1438" s="52">
        <f t="shared" si="174"/>
        <v>1</v>
      </c>
      <c r="F1438" s="52"/>
      <c r="G1438" s="52"/>
      <c r="H1438" s="52"/>
      <c r="I1438" s="52"/>
      <c r="J1438" s="52"/>
      <c r="K1438" s="52"/>
      <c r="L1438" s="52"/>
      <c r="M1438" s="52"/>
      <c r="N1438" s="52"/>
      <c r="O1438" s="52"/>
      <c r="P1438" s="52"/>
      <c r="Q1438" s="52"/>
      <c r="R1438" s="52"/>
      <c r="S1438" s="52"/>
      <c r="T1438" s="52"/>
      <c r="U1438" s="52"/>
      <c r="V1438" s="52"/>
      <c r="W1438" s="52"/>
      <c r="X1438" s="52"/>
      <c r="Y1438" s="52"/>
      <c r="Z1438" s="52"/>
      <c r="AA1438" s="52"/>
      <c r="AB1438" s="52"/>
      <c r="AC1438" s="52"/>
      <c r="AD1438" s="52"/>
      <c r="AE1438" s="52"/>
      <c r="AF1438" s="52"/>
      <c r="AG1438" s="52"/>
      <c r="AH1438" s="52"/>
      <c r="AI1438" s="52"/>
      <c r="AJ1438" s="52"/>
      <c r="AK1438" s="52"/>
      <c r="AL1438" s="52"/>
      <c r="AM1438" s="52"/>
      <c r="AN1438" s="52"/>
    </row>
    <row r="1439" spans="1:40" x14ac:dyDescent="0.3">
      <c r="A1439" s="52">
        <v>1434</v>
      </c>
      <c r="B1439" s="52">
        <f>-bthan*500+(33+0.5)*bthan*1000/50</f>
        <v>935</v>
      </c>
      <c r="C1439" s="52">
        <f t="shared" si="175"/>
        <v>-230</v>
      </c>
      <c r="D1439" s="52">
        <f t="shared" si="173"/>
        <v>2200</v>
      </c>
      <c r="E1439" s="52">
        <f t="shared" si="174"/>
        <v>1</v>
      </c>
      <c r="F1439" s="52"/>
      <c r="G1439" s="52"/>
      <c r="H1439" s="52"/>
      <c r="I1439" s="52"/>
      <c r="J1439" s="52"/>
      <c r="K1439" s="52"/>
      <c r="L1439" s="52"/>
      <c r="M1439" s="52"/>
      <c r="N1439" s="52"/>
      <c r="O1439" s="52"/>
      <c r="P1439" s="52"/>
      <c r="Q1439" s="52"/>
      <c r="R1439" s="52"/>
      <c r="S1439" s="52"/>
      <c r="T1439" s="52"/>
      <c r="U1439" s="52"/>
      <c r="V1439" s="52"/>
      <c r="W1439" s="52"/>
      <c r="X1439" s="52"/>
      <c r="Y1439" s="52"/>
      <c r="Z1439" s="52"/>
      <c r="AA1439" s="52"/>
      <c r="AB1439" s="52"/>
      <c r="AC1439" s="52"/>
      <c r="AD1439" s="52"/>
      <c r="AE1439" s="52"/>
      <c r="AF1439" s="52"/>
      <c r="AG1439" s="52"/>
      <c r="AH1439" s="52"/>
      <c r="AI1439" s="52"/>
      <c r="AJ1439" s="52"/>
      <c r="AK1439" s="52"/>
      <c r="AL1439" s="52"/>
      <c r="AM1439" s="52"/>
      <c r="AN1439" s="52"/>
    </row>
    <row r="1440" spans="1:40" x14ac:dyDescent="0.3">
      <c r="A1440" s="52">
        <v>1435</v>
      </c>
      <c r="B1440" s="52">
        <f>-bthan*500+(34+0.5)*bthan*1000/50</f>
        <v>1045</v>
      </c>
      <c r="C1440" s="52">
        <f t="shared" si="175"/>
        <v>-230</v>
      </c>
      <c r="D1440" s="52">
        <f t="shared" si="173"/>
        <v>2200</v>
      </c>
      <c r="E1440" s="52">
        <f t="shared" si="174"/>
        <v>1</v>
      </c>
      <c r="F1440" s="52"/>
      <c r="G1440" s="52"/>
      <c r="H1440" s="52"/>
      <c r="I1440" s="52"/>
      <c r="J1440" s="52"/>
      <c r="K1440" s="52"/>
      <c r="L1440" s="52"/>
      <c r="M1440" s="52"/>
      <c r="N1440" s="52"/>
      <c r="O1440" s="52"/>
      <c r="P1440" s="52"/>
      <c r="Q1440" s="52"/>
      <c r="R1440" s="52"/>
      <c r="S1440" s="52"/>
      <c r="T1440" s="52"/>
      <c r="U1440" s="52"/>
      <c r="V1440" s="52"/>
      <c r="W1440" s="52"/>
      <c r="X1440" s="52"/>
      <c r="Y1440" s="52"/>
      <c r="Z1440" s="52"/>
      <c r="AA1440" s="52"/>
      <c r="AB1440" s="52"/>
      <c r="AC1440" s="52"/>
      <c r="AD1440" s="52"/>
      <c r="AE1440" s="52"/>
      <c r="AF1440" s="52"/>
      <c r="AG1440" s="52"/>
      <c r="AH1440" s="52"/>
      <c r="AI1440" s="52"/>
      <c r="AJ1440" s="52"/>
      <c r="AK1440" s="52"/>
      <c r="AL1440" s="52"/>
      <c r="AM1440" s="52"/>
      <c r="AN1440" s="52"/>
    </row>
    <row r="1441" spans="1:40" x14ac:dyDescent="0.3">
      <c r="A1441" s="52">
        <v>1436</v>
      </c>
      <c r="B1441" s="52">
        <f>-bthan*500+(35+0.5)*bthan*1000/50</f>
        <v>1155</v>
      </c>
      <c r="C1441" s="52">
        <f t="shared" si="175"/>
        <v>-230</v>
      </c>
      <c r="D1441" s="52">
        <f t="shared" si="173"/>
        <v>2200</v>
      </c>
      <c r="E1441" s="52">
        <f t="shared" si="174"/>
        <v>1</v>
      </c>
      <c r="F1441" s="52"/>
      <c r="G1441" s="52"/>
      <c r="H1441" s="52"/>
      <c r="I1441" s="52"/>
      <c r="J1441" s="52"/>
      <c r="K1441" s="52"/>
      <c r="L1441" s="52"/>
      <c r="M1441" s="52"/>
      <c r="N1441" s="52"/>
      <c r="O1441" s="52"/>
      <c r="P1441" s="52"/>
      <c r="Q1441" s="52"/>
      <c r="R1441" s="52"/>
      <c r="S1441" s="52"/>
      <c r="T1441" s="52"/>
      <c r="U1441" s="52"/>
      <c r="V1441" s="52"/>
      <c r="W1441" s="52"/>
      <c r="X1441" s="52"/>
      <c r="Y1441" s="52"/>
      <c r="Z1441" s="52"/>
      <c r="AA1441" s="52"/>
      <c r="AB1441" s="52"/>
      <c r="AC1441" s="52"/>
      <c r="AD1441" s="52"/>
      <c r="AE1441" s="52"/>
      <c r="AF1441" s="52"/>
      <c r="AG1441" s="52"/>
      <c r="AH1441" s="52"/>
      <c r="AI1441" s="52"/>
      <c r="AJ1441" s="52"/>
      <c r="AK1441" s="52"/>
      <c r="AL1441" s="52"/>
      <c r="AM1441" s="52"/>
      <c r="AN1441" s="52"/>
    </row>
    <row r="1442" spans="1:40" x14ac:dyDescent="0.3">
      <c r="A1442" s="52">
        <v>1437</v>
      </c>
      <c r="B1442" s="52">
        <f>-bthan*500+(36+0.5)*bthan*1000/50</f>
        <v>1265</v>
      </c>
      <c r="C1442" s="52">
        <f t="shared" si="175"/>
        <v>-230</v>
      </c>
      <c r="D1442" s="52">
        <f t="shared" si="173"/>
        <v>2200</v>
      </c>
      <c r="E1442" s="52">
        <f t="shared" si="174"/>
        <v>1</v>
      </c>
      <c r="F1442" s="52"/>
      <c r="G1442" s="52"/>
      <c r="H1442" s="52"/>
      <c r="I1442" s="52"/>
      <c r="J1442" s="52"/>
      <c r="K1442" s="52"/>
      <c r="L1442" s="52"/>
      <c r="M1442" s="52"/>
      <c r="N1442" s="52"/>
      <c r="O1442" s="52"/>
      <c r="P1442" s="52"/>
      <c r="Q1442" s="52"/>
      <c r="R1442" s="52"/>
      <c r="S1442" s="52"/>
      <c r="T1442" s="52"/>
      <c r="U1442" s="52"/>
      <c r="V1442" s="52"/>
      <c r="W1442" s="52"/>
      <c r="X1442" s="52"/>
      <c r="Y1442" s="52"/>
      <c r="Z1442" s="52"/>
      <c r="AA1442" s="52"/>
      <c r="AB1442" s="52"/>
      <c r="AC1442" s="52"/>
      <c r="AD1442" s="52"/>
      <c r="AE1442" s="52"/>
      <c r="AF1442" s="52"/>
      <c r="AG1442" s="52"/>
      <c r="AH1442" s="52"/>
      <c r="AI1442" s="52"/>
      <c r="AJ1442" s="52"/>
      <c r="AK1442" s="52"/>
      <c r="AL1442" s="52"/>
      <c r="AM1442" s="52"/>
      <c r="AN1442" s="52"/>
    </row>
    <row r="1443" spans="1:40" x14ac:dyDescent="0.3">
      <c r="A1443" s="52">
        <v>1438</v>
      </c>
      <c r="B1443" s="52">
        <f>-bthan*500+(37+0.5)*bthan*1000/50</f>
        <v>1375</v>
      </c>
      <c r="C1443" s="52">
        <f t="shared" si="175"/>
        <v>-230</v>
      </c>
      <c r="D1443" s="52">
        <f t="shared" si="173"/>
        <v>2200</v>
      </c>
      <c r="E1443" s="52">
        <f t="shared" si="174"/>
        <v>1</v>
      </c>
      <c r="F1443" s="52"/>
      <c r="G1443" s="52"/>
      <c r="H1443" s="52"/>
      <c r="I1443" s="52"/>
      <c r="J1443" s="52"/>
      <c r="K1443" s="52"/>
      <c r="L1443" s="52"/>
      <c r="M1443" s="52"/>
      <c r="N1443" s="52"/>
      <c r="O1443" s="52"/>
      <c r="P1443" s="52"/>
      <c r="Q1443" s="52"/>
      <c r="R1443" s="52"/>
      <c r="S1443" s="52"/>
      <c r="T1443" s="52"/>
      <c r="U1443" s="52"/>
      <c r="V1443" s="52"/>
      <c r="W1443" s="52"/>
      <c r="X1443" s="52"/>
      <c r="Y1443" s="52"/>
      <c r="Z1443" s="52"/>
      <c r="AA1443" s="52"/>
      <c r="AB1443" s="52"/>
      <c r="AC1443" s="52"/>
      <c r="AD1443" s="52"/>
      <c r="AE1443" s="52"/>
      <c r="AF1443" s="52"/>
      <c r="AG1443" s="52"/>
      <c r="AH1443" s="52"/>
      <c r="AI1443" s="52"/>
      <c r="AJ1443" s="52"/>
      <c r="AK1443" s="52"/>
      <c r="AL1443" s="52"/>
      <c r="AM1443" s="52"/>
      <c r="AN1443" s="52"/>
    </row>
    <row r="1444" spans="1:40" x14ac:dyDescent="0.3">
      <c r="A1444" s="52">
        <v>1439</v>
      </c>
      <c r="B1444" s="52">
        <f>-bthan*500+(38+0.5)*bthan*1000/50</f>
        <v>1485</v>
      </c>
      <c r="C1444" s="52">
        <f t="shared" si="175"/>
        <v>-230</v>
      </c>
      <c r="D1444" s="52">
        <f t="shared" si="173"/>
        <v>2200</v>
      </c>
      <c r="E1444" s="52">
        <f t="shared" si="174"/>
        <v>1</v>
      </c>
      <c r="F1444" s="52"/>
      <c r="G1444" s="52"/>
      <c r="H1444" s="52"/>
      <c r="I1444" s="52"/>
      <c r="J1444" s="52"/>
      <c r="K1444" s="52"/>
      <c r="L1444" s="52"/>
      <c r="M1444" s="52"/>
      <c r="N1444" s="52"/>
      <c r="O1444" s="52"/>
      <c r="P1444" s="52"/>
      <c r="Q1444" s="52"/>
      <c r="R1444" s="52"/>
      <c r="S1444" s="52"/>
      <c r="T1444" s="52"/>
      <c r="U1444" s="52"/>
      <c r="V1444" s="52"/>
      <c r="W1444" s="52"/>
      <c r="X1444" s="52"/>
      <c r="Y1444" s="52"/>
      <c r="Z1444" s="52"/>
      <c r="AA1444" s="52"/>
      <c r="AB1444" s="52"/>
      <c r="AC1444" s="52"/>
      <c r="AD1444" s="52"/>
      <c r="AE1444" s="52"/>
      <c r="AF1444" s="52"/>
      <c r="AG1444" s="52"/>
      <c r="AH1444" s="52"/>
      <c r="AI1444" s="52"/>
      <c r="AJ1444" s="52"/>
      <c r="AK1444" s="52"/>
      <c r="AL1444" s="52"/>
      <c r="AM1444" s="52"/>
      <c r="AN1444" s="52"/>
    </row>
    <row r="1445" spans="1:40" x14ac:dyDescent="0.3">
      <c r="A1445" s="52">
        <v>1440</v>
      </c>
      <c r="B1445" s="52">
        <f>-bthan*500+(39+0.5)*bthan*1000/50</f>
        <v>1595</v>
      </c>
      <c r="C1445" s="52">
        <f t="shared" si="175"/>
        <v>-230</v>
      </c>
      <c r="D1445" s="52">
        <f t="shared" si="173"/>
        <v>2200</v>
      </c>
      <c r="E1445" s="52">
        <f t="shared" si="174"/>
        <v>1</v>
      </c>
      <c r="F1445" s="52"/>
      <c r="G1445" s="52"/>
      <c r="H1445" s="52"/>
      <c r="I1445" s="52"/>
      <c r="J1445" s="52"/>
      <c r="K1445" s="52"/>
      <c r="L1445" s="52"/>
      <c r="M1445" s="52"/>
      <c r="N1445" s="52"/>
      <c r="O1445" s="52"/>
      <c r="P1445" s="52"/>
      <c r="Q1445" s="52"/>
      <c r="R1445" s="52"/>
      <c r="S1445" s="52"/>
      <c r="T1445" s="52"/>
      <c r="U1445" s="52"/>
      <c r="V1445" s="52"/>
      <c r="W1445" s="52"/>
      <c r="X1445" s="52"/>
      <c r="Y1445" s="52"/>
      <c r="Z1445" s="52"/>
      <c r="AA1445" s="52"/>
      <c r="AB1445" s="52"/>
      <c r="AC1445" s="52"/>
      <c r="AD1445" s="52"/>
      <c r="AE1445" s="52"/>
      <c r="AF1445" s="52"/>
      <c r="AG1445" s="52"/>
      <c r="AH1445" s="52"/>
      <c r="AI1445" s="52"/>
      <c r="AJ1445" s="52"/>
      <c r="AK1445" s="52"/>
      <c r="AL1445" s="52"/>
      <c r="AM1445" s="52"/>
      <c r="AN1445" s="52"/>
    </row>
    <row r="1446" spans="1:40" x14ac:dyDescent="0.3">
      <c r="A1446" s="52">
        <v>1441</v>
      </c>
      <c r="B1446" s="52">
        <f>-bthan*500+(40+0.5)*bthan*1000/50</f>
        <v>1705</v>
      </c>
      <c r="C1446" s="52">
        <f t="shared" si="175"/>
        <v>-230</v>
      </c>
      <c r="D1446" s="52">
        <f t="shared" si="173"/>
        <v>2200</v>
      </c>
      <c r="E1446" s="52">
        <f t="shared" si="174"/>
        <v>1</v>
      </c>
      <c r="F1446" s="52"/>
      <c r="G1446" s="52"/>
      <c r="H1446" s="52"/>
      <c r="I1446" s="52"/>
      <c r="J1446" s="52"/>
      <c r="K1446" s="52"/>
      <c r="L1446" s="52"/>
      <c r="M1446" s="52"/>
      <c r="N1446" s="52"/>
      <c r="O1446" s="52"/>
      <c r="P1446" s="52"/>
      <c r="Q1446" s="52"/>
      <c r="R1446" s="52"/>
      <c r="S1446" s="52"/>
      <c r="T1446" s="52"/>
      <c r="U1446" s="52"/>
      <c r="V1446" s="52"/>
      <c r="W1446" s="52"/>
      <c r="X1446" s="52"/>
      <c r="Y1446" s="52"/>
      <c r="Z1446" s="52"/>
      <c r="AA1446" s="52"/>
      <c r="AB1446" s="52"/>
      <c r="AC1446" s="52"/>
      <c r="AD1446" s="52"/>
      <c r="AE1446" s="52"/>
      <c r="AF1446" s="52"/>
      <c r="AG1446" s="52"/>
      <c r="AH1446" s="52"/>
      <c r="AI1446" s="52"/>
      <c r="AJ1446" s="52"/>
      <c r="AK1446" s="52"/>
      <c r="AL1446" s="52"/>
      <c r="AM1446" s="52"/>
      <c r="AN1446" s="52"/>
    </row>
    <row r="1447" spans="1:40" x14ac:dyDescent="0.3">
      <c r="A1447" s="52">
        <v>1442</v>
      </c>
      <c r="B1447" s="52">
        <f>-bthan*500+(41+0.5)*bthan*1000/50</f>
        <v>1815</v>
      </c>
      <c r="C1447" s="52">
        <f t="shared" si="175"/>
        <v>-230</v>
      </c>
      <c r="D1447" s="52">
        <f t="shared" si="173"/>
        <v>2200</v>
      </c>
      <c r="E1447" s="52">
        <f t="shared" si="174"/>
        <v>1</v>
      </c>
      <c r="F1447" s="52"/>
      <c r="G1447" s="52"/>
      <c r="H1447" s="52"/>
      <c r="I1447" s="52"/>
      <c r="J1447" s="52"/>
      <c r="K1447" s="52"/>
      <c r="L1447" s="52"/>
      <c r="M1447" s="52"/>
      <c r="N1447" s="52"/>
      <c r="O1447" s="52"/>
      <c r="P1447" s="52"/>
      <c r="Q1447" s="52"/>
      <c r="R1447" s="52"/>
      <c r="S1447" s="52"/>
      <c r="T1447" s="52"/>
      <c r="U1447" s="52"/>
      <c r="V1447" s="52"/>
      <c r="W1447" s="52"/>
      <c r="X1447" s="52"/>
      <c r="Y1447" s="52"/>
      <c r="Z1447" s="52"/>
      <c r="AA1447" s="52"/>
      <c r="AB1447" s="52"/>
      <c r="AC1447" s="52"/>
      <c r="AD1447" s="52"/>
      <c r="AE1447" s="52"/>
      <c r="AF1447" s="52"/>
      <c r="AG1447" s="52"/>
      <c r="AH1447" s="52"/>
      <c r="AI1447" s="52"/>
      <c r="AJ1447" s="52"/>
      <c r="AK1447" s="52"/>
      <c r="AL1447" s="52"/>
      <c r="AM1447" s="52"/>
      <c r="AN1447" s="52"/>
    </row>
    <row r="1448" spans="1:40" x14ac:dyDescent="0.3">
      <c r="A1448" s="52">
        <v>1443</v>
      </c>
      <c r="B1448" s="52">
        <f>-bthan*500+(42+0.5)*bthan*1000/50</f>
        <v>1925</v>
      </c>
      <c r="C1448" s="52">
        <f t="shared" si="175"/>
        <v>-230</v>
      </c>
      <c r="D1448" s="52">
        <f t="shared" si="173"/>
        <v>2200</v>
      </c>
      <c r="E1448" s="52">
        <f t="shared" si="174"/>
        <v>1</v>
      </c>
      <c r="F1448" s="52"/>
      <c r="G1448" s="52"/>
      <c r="H1448" s="52"/>
      <c r="I1448" s="52"/>
      <c r="J1448" s="52"/>
      <c r="K1448" s="52"/>
      <c r="L1448" s="52"/>
      <c r="M1448" s="52"/>
      <c r="N1448" s="52"/>
      <c r="O1448" s="52"/>
      <c r="P1448" s="52"/>
      <c r="Q1448" s="52"/>
      <c r="R1448" s="52"/>
      <c r="S1448" s="52"/>
      <c r="T1448" s="52"/>
      <c r="U1448" s="52"/>
      <c r="V1448" s="52"/>
      <c r="W1448" s="52"/>
      <c r="X1448" s="52"/>
      <c r="Y1448" s="52"/>
      <c r="Z1448" s="52"/>
      <c r="AA1448" s="52"/>
      <c r="AB1448" s="52"/>
      <c r="AC1448" s="52"/>
      <c r="AD1448" s="52"/>
      <c r="AE1448" s="52"/>
      <c r="AF1448" s="52"/>
      <c r="AG1448" s="52"/>
      <c r="AH1448" s="52"/>
      <c r="AI1448" s="52"/>
      <c r="AJ1448" s="52"/>
      <c r="AK1448" s="52"/>
      <c r="AL1448" s="52"/>
      <c r="AM1448" s="52"/>
      <c r="AN1448" s="52"/>
    </row>
    <row r="1449" spans="1:40" x14ac:dyDescent="0.3">
      <c r="A1449" s="52">
        <v>1444</v>
      </c>
      <c r="B1449" s="52">
        <f>-bthan*500+(43+0.5)*bthan*1000/50</f>
        <v>2035</v>
      </c>
      <c r="C1449" s="52">
        <f t="shared" si="175"/>
        <v>-230</v>
      </c>
      <c r="D1449" s="52">
        <f t="shared" si="173"/>
        <v>2200</v>
      </c>
      <c r="E1449" s="52">
        <f t="shared" si="174"/>
        <v>1</v>
      </c>
      <c r="F1449" s="52"/>
      <c r="G1449" s="52"/>
      <c r="H1449" s="52"/>
      <c r="I1449" s="52"/>
      <c r="J1449" s="52"/>
      <c r="K1449" s="52"/>
      <c r="L1449" s="52"/>
      <c r="M1449" s="52"/>
      <c r="N1449" s="52"/>
      <c r="O1449" s="52"/>
      <c r="P1449" s="52"/>
      <c r="Q1449" s="52"/>
      <c r="R1449" s="52"/>
      <c r="S1449" s="52"/>
      <c r="T1449" s="52"/>
      <c r="U1449" s="52"/>
      <c r="V1449" s="52"/>
      <c r="W1449" s="52"/>
      <c r="X1449" s="52"/>
      <c r="Y1449" s="52"/>
      <c r="Z1449" s="52"/>
      <c r="AA1449" s="52"/>
      <c r="AB1449" s="52"/>
      <c r="AC1449" s="52"/>
      <c r="AD1449" s="52"/>
      <c r="AE1449" s="52"/>
      <c r="AF1449" s="52"/>
      <c r="AG1449" s="52"/>
      <c r="AH1449" s="52"/>
      <c r="AI1449" s="52"/>
      <c r="AJ1449" s="52"/>
      <c r="AK1449" s="52"/>
      <c r="AL1449" s="52"/>
      <c r="AM1449" s="52"/>
      <c r="AN1449" s="52"/>
    </row>
    <row r="1450" spans="1:40" x14ac:dyDescent="0.3">
      <c r="A1450" s="52">
        <v>1445</v>
      </c>
      <c r="B1450" s="52">
        <f>-bthan*500+(44+0.5)*bthan*1000/50</f>
        <v>2145</v>
      </c>
      <c r="C1450" s="52">
        <f t="shared" si="175"/>
        <v>-230</v>
      </c>
      <c r="D1450" s="52">
        <f t="shared" si="173"/>
        <v>2200</v>
      </c>
      <c r="E1450" s="52">
        <f t="shared" si="174"/>
        <v>1</v>
      </c>
      <c r="F1450" s="52"/>
      <c r="G1450" s="52"/>
      <c r="H1450" s="52"/>
      <c r="I1450" s="52"/>
      <c r="J1450" s="52"/>
      <c r="K1450" s="52"/>
      <c r="L1450" s="52"/>
      <c r="M1450" s="52"/>
      <c r="N1450" s="52"/>
      <c r="O1450" s="52"/>
      <c r="P1450" s="52"/>
      <c r="Q1450" s="52"/>
      <c r="R1450" s="52"/>
      <c r="S1450" s="52"/>
      <c r="T1450" s="52"/>
      <c r="U1450" s="52"/>
      <c r="V1450" s="52"/>
      <c r="W1450" s="52"/>
      <c r="X1450" s="52"/>
      <c r="Y1450" s="52"/>
      <c r="Z1450" s="52"/>
      <c r="AA1450" s="52"/>
      <c r="AB1450" s="52"/>
      <c r="AC1450" s="52"/>
      <c r="AD1450" s="52"/>
      <c r="AE1450" s="52"/>
      <c r="AF1450" s="52"/>
      <c r="AG1450" s="52"/>
      <c r="AH1450" s="52"/>
      <c r="AI1450" s="52"/>
      <c r="AJ1450" s="52"/>
      <c r="AK1450" s="52"/>
      <c r="AL1450" s="52"/>
      <c r="AM1450" s="52"/>
      <c r="AN1450" s="52"/>
    </row>
    <row r="1451" spans="1:40" x14ac:dyDescent="0.3">
      <c r="A1451" s="52">
        <v>1446</v>
      </c>
      <c r="B1451" s="52">
        <f>-bthan*500+(45+0.5)*bthan*1000/50</f>
        <v>2255</v>
      </c>
      <c r="C1451" s="52">
        <f t="shared" si="175"/>
        <v>-230</v>
      </c>
      <c r="D1451" s="52">
        <f t="shared" si="173"/>
        <v>2200</v>
      </c>
      <c r="E1451" s="52">
        <f t="shared" si="174"/>
        <v>1</v>
      </c>
      <c r="F1451" s="52"/>
      <c r="G1451" s="52"/>
      <c r="H1451" s="52"/>
      <c r="I1451" s="52"/>
      <c r="J1451" s="52"/>
      <c r="K1451" s="52"/>
      <c r="L1451" s="52"/>
      <c r="M1451" s="52"/>
      <c r="N1451" s="52"/>
      <c r="O1451" s="52"/>
      <c r="P1451" s="52"/>
      <c r="Q1451" s="52"/>
      <c r="R1451" s="52"/>
      <c r="S1451" s="52"/>
      <c r="T1451" s="52"/>
      <c r="U1451" s="52"/>
      <c r="V1451" s="52"/>
      <c r="W1451" s="52"/>
      <c r="X1451" s="52"/>
      <c r="Y1451" s="52"/>
      <c r="Z1451" s="52"/>
      <c r="AA1451" s="52"/>
      <c r="AB1451" s="52"/>
      <c r="AC1451" s="52"/>
      <c r="AD1451" s="52"/>
      <c r="AE1451" s="52"/>
      <c r="AF1451" s="52"/>
      <c r="AG1451" s="52"/>
      <c r="AH1451" s="52"/>
      <c r="AI1451" s="52"/>
      <c r="AJ1451" s="52"/>
      <c r="AK1451" s="52"/>
      <c r="AL1451" s="52"/>
      <c r="AM1451" s="52"/>
      <c r="AN1451" s="52"/>
    </row>
    <row r="1452" spans="1:40" x14ac:dyDescent="0.3">
      <c r="A1452" s="52">
        <v>1447</v>
      </c>
      <c r="B1452" s="52">
        <f>-bthan*500+(46+0.5)*bthan*1000/50</f>
        <v>2365</v>
      </c>
      <c r="C1452" s="52">
        <f t="shared" si="175"/>
        <v>-230</v>
      </c>
      <c r="D1452" s="52">
        <f t="shared" si="173"/>
        <v>2200</v>
      </c>
      <c r="E1452" s="52">
        <f t="shared" si="174"/>
        <v>1</v>
      </c>
      <c r="F1452" s="52"/>
      <c r="G1452" s="52"/>
      <c r="H1452" s="52"/>
      <c r="I1452" s="52"/>
      <c r="J1452" s="52"/>
      <c r="K1452" s="52"/>
      <c r="L1452" s="52"/>
      <c r="M1452" s="52"/>
      <c r="N1452" s="52"/>
      <c r="O1452" s="52"/>
      <c r="P1452" s="52"/>
      <c r="Q1452" s="52"/>
      <c r="R1452" s="52"/>
      <c r="S1452" s="52"/>
      <c r="T1452" s="52"/>
      <c r="U1452" s="52"/>
      <c r="V1452" s="52"/>
      <c r="W1452" s="52"/>
      <c r="X1452" s="52"/>
      <c r="Y1452" s="52"/>
      <c r="Z1452" s="52"/>
      <c r="AA1452" s="52"/>
      <c r="AB1452" s="52"/>
      <c r="AC1452" s="52"/>
      <c r="AD1452" s="52"/>
      <c r="AE1452" s="52"/>
      <c r="AF1452" s="52"/>
      <c r="AG1452" s="52"/>
      <c r="AH1452" s="52"/>
      <c r="AI1452" s="52"/>
      <c r="AJ1452" s="52"/>
      <c r="AK1452" s="52"/>
      <c r="AL1452" s="52"/>
      <c r="AM1452" s="52"/>
      <c r="AN1452" s="52"/>
    </row>
    <row r="1453" spans="1:40" x14ac:dyDescent="0.3">
      <c r="A1453" s="52">
        <v>1448</v>
      </c>
      <c r="B1453" s="52">
        <f>-bthan*500+(47+0.5)*bthan*1000/50</f>
        <v>2475</v>
      </c>
      <c r="C1453" s="52">
        <f t="shared" si="175"/>
        <v>-230</v>
      </c>
      <c r="D1453" s="52">
        <f t="shared" si="173"/>
        <v>2200</v>
      </c>
      <c r="E1453" s="52">
        <f t="shared" si="174"/>
        <v>1</v>
      </c>
      <c r="F1453" s="52"/>
      <c r="G1453" s="52"/>
      <c r="H1453" s="52"/>
      <c r="I1453" s="52"/>
      <c r="J1453" s="52"/>
      <c r="K1453" s="52"/>
      <c r="L1453" s="52"/>
      <c r="M1453" s="52"/>
      <c r="N1453" s="52"/>
      <c r="O1453" s="52"/>
      <c r="P1453" s="52"/>
      <c r="Q1453" s="52"/>
      <c r="R1453" s="52"/>
      <c r="S1453" s="52"/>
      <c r="T1453" s="52"/>
      <c r="U1453" s="52"/>
      <c r="V1453" s="52"/>
      <c r="W1453" s="52"/>
      <c r="X1453" s="52"/>
      <c r="Y1453" s="52"/>
      <c r="Z1453" s="52"/>
      <c r="AA1453" s="52"/>
      <c r="AB1453" s="52"/>
      <c r="AC1453" s="52"/>
      <c r="AD1453" s="52"/>
      <c r="AE1453" s="52"/>
      <c r="AF1453" s="52"/>
      <c r="AG1453" s="52"/>
      <c r="AH1453" s="52"/>
      <c r="AI1453" s="52"/>
      <c r="AJ1453" s="52"/>
      <c r="AK1453" s="52"/>
      <c r="AL1453" s="52"/>
      <c r="AM1453" s="52"/>
      <c r="AN1453" s="52"/>
    </row>
    <row r="1454" spans="1:40" x14ac:dyDescent="0.3">
      <c r="A1454" s="52">
        <v>1449</v>
      </c>
      <c r="B1454" s="52">
        <f>-bthan*500+(48+0.5)*bthan*1000/50</f>
        <v>2585</v>
      </c>
      <c r="C1454" s="52">
        <f t="shared" si="175"/>
        <v>-230</v>
      </c>
      <c r="D1454" s="52">
        <f t="shared" si="173"/>
        <v>2200</v>
      </c>
      <c r="E1454" s="52">
        <f t="shared" si="174"/>
        <v>1</v>
      </c>
      <c r="F1454" s="52"/>
      <c r="G1454" s="52"/>
      <c r="H1454" s="52"/>
      <c r="I1454" s="52"/>
      <c r="J1454" s="52"/>
      <c r="K1454" s="52"/>
      <c r="L1454" s="52"/>
      <c r="M1454" s="52"/>
      <c r="N1454" s="52"/>
      <c r="O1454" s="52"/>
      <c r="P1454" s="52"/>
      <c r="Q1454" s="52"/>
      <c r="R1454" s="52"/>
      <c r="S1454" s="52"/>
      <c r="T1454" s="52"/>
      <c r="U1454" s="52"/>
      <c r="V1454" s="52"/>
      <c r="W1454" s="52"/>
      <c r="X1454" s="52"/>
      <c r="Y1454" s="52"/>
      <c r="Z1454" s="52"/>
      <c r="AA1454" s="52"/>
      <c r="AB1454" s="52"/>
      <c r="AC1454" s="52"/>
      <c r="AD1454" s="52"/>
      <c r="AE1454" s="52"/>
      <c r="AF1454" s="52"/>
      <c r="AG1454" s="52"/>
      <c r="AH1454" s="52"/>
      <c r="AI1454" s="52"/>
      <c r="AJ1454" s="52"/>
      <c r="AK1454" s="52"/>
      <c r="AL1454" s="52"/>
      <c r="AM1454" s="52"/>
      <c r="AN1454" s="52"/>
    </row>
    <row r="1455" spans="1:40" x14ac:dyDescent="0.3">
      <c r="A1455" s="52">
        <v>1450</v>
      </c>
      <c r="B1455" s="52">
        <f>-bthan*500+(49+0.5)*bthan*1000/50</f>
        <v>2695</v>
      </c>
      <c r="C1455" s="52">
        <f t="shared" si="175"/>
        <v>-230</v>
      </c>
      <c r="D1455" s="52">
        <f t="shared" si="173"/>
        <v>2200</v>
      </c>
      <c r="E1455" s="52">
        <f t="shared" si="174"/>
        <v>1</v>
      </c>
      <c r="F1455" s="52"/>
      <c r="G1455" s="52"/>
      <c r="H1455" s="52"/>
      <c r="I1455" s="52"/>
      <c r="J1455" s="52"/>
      <c r="K1455" s="52"/>
      <c r="L1455" s="52"/>
      <c r="M1455" s="52"/>
      <c r="N1455" s="52"/>
      <c r="O1455" s="52"/>
      <c r="P1455" s="52"/>
      <c r="Q1455" s="52"/>
      <c r="R1455" s="52"/>
      <c r="S1455" s="52"/>
      <c r="T1455" s="52"/>
      <c r="U1455" s="52"/>
      <c r="V1455" s="52"/>
      <c r="W1455" s="52"/>
      <c r="X1455" s="52"/>
      <c r="Y1455" s="52"/>
      <c r="Z1455" s="52"/>
      <c r="AA1455" s="52"/>
      <c r="AB1455" s="52"/>
      <c r="AC1455" s="52"/>
      <c r="AD1455" s="52"/>
      <c r="AE1455" s="52"/>
      <c r="AF1455" s="52"/>
      <c r="AG1455" s="52"/>
      <c r="AH1455" s="52"/>
      <c r="AI1455" s="52"/>
      <c r="AJ1455" s="52"/>
      <c r="AK1455" s="52"/>
      <c r="AL1455" s="52"/>
      <c r="AM1455" s="52"/>
      <c r="AN1455" s="52"/>
    </row>
    <row r="1456" spans="1:40" x14ac:dyDescent="0.3">
      <c r="A1456" s="52">
        <v>1451</v>
      </c>
      <c r="B1456" s="52">
        <f>-bthan*500+(0+0.5)*bthan*1000/50</f>
        <v>-2695</v>
      </c>
      <c r="C1456" s="52">
        <f t="shared" ref="C1456:C1487" si="176">-hthan*500+(29+0.5)*hthan*1000/80</f>
        <v>-210</v>
      </c>
      <c r="D1456" s="52">
        <f t="shared" si="173"/>
        <v>2200</v>
      </c>
      <c r="E1456" s="52">
        <f t="shared" si="174"/>
        <v>1</v>
      </c>
      <c r="F1456" s="52"/>
      <c r="G1456" s="52"/>
      <c r="H1456" s="52"/>
      <c r="I1456" s="52"/>
      <c r="J1456" s="52"/>
      <c r="K1456" s="52"/>
      <c r="L1456" s="52"/>
      <c r="M1456" s="52"/>
      <c r="N1456" s="52"/>
      <c r="O1456" s="52"/>
      <c r="P1456" s="52"/>
      <c r="Q1456" s="52"/>
      <c r="R1456" s="52"/>
      <c r="S1456" s="52"/>
      <c r="T1456" s="52"/>
      <c r="U1456" s="52"/>
      <c r="V1456" s="52"/>
      <c r="W1456" s="52"/>
      <c r="X1456" s="52"/>
      <c r="Y1456" s="52"/>
      <c r="Z1456" s="52"/>
      <c r="AA1456" s="52"/>
      <c r="AB1456" s="52"/>
      <c r="AC1456" s="52"/>
      <c r="AD1456" s="52"/>
      <c r="AE1456" s="52"/>
      <c r="AF1456" s="52"/>
      <c r="AG1456" s="52"/>
      <c r="AH1456" s="52"/>
      <c r="AI1456" s="52"/>
      <c r="AJ1456" s="52"/>
      <c r="AK1456" s="52"/>
      <c r="AL1456" s="52"/>
      <c r="AM1456" s="52"/>
      <c r="AN1456" s="52"/>
    </row>
    <row r="1457" spans="1:40" x14ac:dyDescent="0.3">
      <c r="A1457" s="52">
        <v>1452</v>
      </c>
      <c r="B1457" s="52">
        <f>-bthan*500+(1+0.5)*bthan*1000/50</f>
        <v>-2585</v>
      </c>
      <c r="C1457" s="52">
        <f t="shared" si="176"/>
        <v>-210</v>
      </c>
      <c r="D1457" s="52">
        <f t="shared" si="173"/>
        <v>2200</v>
      </c>
      <c r="E1457" s="52">
        <f t="shared" si="174"/>
        <v>1</v>
      </c>
      <c r="F1457" s="52"/>
      <c r="G1457" s="52"/>
      <c r="H1457" s="52"/>
      <c r="I1457" s="52"/>
      <c r="J1457" s="52"/>
      <c r="K1457" s="52"/>
      <c r="L1457" s="52"/>
      <c r="M1457" s="52"/>
      <c r="N1457" s="52"/>
      <c r="O1457" s="52"/>
      <c r="P1457" s="52"/>
      <c r="Q1457" s="52"/>
      <c r="R1457" s="52"/>
      <c r="S1457" s="52"/>
      <c r="T1457" s="52"/>
      <c r="U1457" s="52"/>
      <c r="V1457" s="52"/>
      <c r="W1457" s="52"/>
      <c r="X1457" s="52"/>
      <c r="Y1457" s="52"/>
      <c r="Z1457" s="52"/>
      <c r="AA1457" s="52"/>
      <c r="AB1457" s="52"/>
      <c r="AC1457" s="52"/>
      <c r="AD1457" s="52"/>
      <c r="AE1457" s="52"/>
      <c r="AF1457" s="52"/>
      <c r="AG1457" s="52"/>
      <c r="AH1457" s="52"/>
      <c r="AI1457" s="52"/>
      <c r="AJ1457" s="52"/>
      <c r="AK1457" s="52"/>
      <c r="AL1457" s="52"/>
      <c r="AM1457" s="52"/>
      <c r="AN1457" s="52"/>
    </row>
    <row r="1458" spans="1:40" x14ac:dyDescent="0.3">
      <c r="A1458" s="52">
        <v>1453</v>
      </c>
      <c r="B1458" s="52">
        <f>-bthan*500+(2+0.5)*bthan*1000/50</f>
        <v>-2475</v>
      </c>
      <c r="C1458" s="52">
        <f t="shared" si="176"/>
        <v>-210</v>
      </c>
      <c r="D1458" s="52">
        <f t="shared" si="173"/>
        <v>2200</v>
      </c>
      <c r="E1458" s="52">
        <f t="shared" si="174"/>
        <v>1</v>
      </c>
      <c r="F1458" s="52"/>
      <c r="G1458" s="52"/>
      <c r="H1458" s="52"/>
      <c r="I1458" s="52"/>
      <c r="J1458" s="52"/>
      <c r="K1458" s="52"/>
      <c r="L1458" s="52"/>
      <c r="M1458" s="52"/>
      <c r="N1458" s="52"/>
      <c r="O1458" s="52"/>
      <c r="P1458" s="52"/>
      <c r="Q1458" s="52"/>
      <c r="R1458" s="52"/>
      <c r="S1458" s="52"/>
      <c r="T1458" s="52"/>
      <c r="U1458" s="52"/>
      <c r="V1458" s="52"/>
      <c r="W1458" s="52"/>
      <c r="X1458" s="52"/>
      <c r="Y1458" s="52"/>
      <c r="Z1458" s="52"/>
      <c r="AA1458" s="52"/>
      <c r="AB1458" s="52"/>
      <c r="AC1458" s="52"/>
      <c r="AD1458" s="52"/>
      <c r="AE1458" s="52"/>
      <c r="AF1458" s="52"/>
      <c r="AG1458" s="52"/>
      <c r="AH1458" s="52"/>
      <c r="AI1458" s="52"/>
      <c r="AJ1458" s="52"/>
      <c r="AK1458" s="52"/>
      <c r="AL1458" s="52"/>
      <c r="AM1458" s="52"/>
      <c r="AN1458" s="52"/>
    </row>
    <row r="1459" spans="1:40" x14ac:dyDescent="0.3">
      <c r="A1459" s="52">
        <v>1454</v>
      </c>
      <c r="B1459" s="52">
        <f>-bthan*500+(3+0.5)*bthan*1000/50</f>
        <v>-2365</v>
      </c>
      <c r="C1459" s="52">
        <f t="shared" si="176"/>
        <v>-210</v>
      </c>
      <c r="D1459" s="52">
        <f t="shared" si="173"/>
        <v>2200</v>
      </c>
      <c r="E1459" s="52">
        <f t="shared" si="174"/>
        <v>1</v>
      </c>
      <c r="F1459" s="52"/>
      <c r="G1459" s="52"/>
      <c r="H1459" s="52"/>
      <c r="I1459" s="52"/>
      <c r="J1459" s="52"/>
      <c r="K1459" s="52"/>
      <c r="L1459" s="52"/>
      <c r="M1459" s="52"/>
      <c r="N1459" s="52"/>
      <c r="O1459" s="52"/>
      <c r="P1459" s="52"/>
      <c r="Q1459" s="52"/>
      <c r="R1459" s="52"/>
      <c r="S1459" s="52"/>
      <c r="T1459" s="52"/>
      <c r="U1459" s="52"/>
      <c r="V1459" s="52"/>
      <c r="W1459" s="52"/>
      <c r="X1459" s="52"/>
      <c r="Y1459" s="52"/>
      <c r="Z1459" s="52"/>
      <c r="AA1459" s="52"/>
      <c r="AB1459" s="52"/>
      <c r="AC1459" s="52"/>
      <c r="AD1459" s="52"/>
      <c r="AE1459" s="52"/>
      <c r="AF1459" s="52"/>
      <c r="AG1459" s="52"/>
      <c r="AH1459" s="52"/>
      <c r="AI1459" s="52"/>
      <c r="AJ1459" s="52"/>
      <c r="AK1459" s="52"/>
      <c r="AL1459" s="52"/>
      <c r="AM1459" s="52"/>
      <c r="AN1459" s="52"/>
    </row>
    <row r="1460" spans="1:40" x14ac:dyDescent="0.3">
      <c r="A1460" s="52">
        <v>1455</v>
      </c>
      <c r="B1460" s="52">
        <f>-bthan*500+(4+0.5)*bthan*1000/50</f>
        <v>-2255</v>
      </c>
      <c r="C1460" s="52">
        <f t="shared" si="176"/>
        <v>-210</v>
      </c>
      <c r="D1460" s="52">
        <f t="shared" si="173"/>
        <v>2200</v>
      </c>
      <c r="E1460" s="52">
        <f t="shared" si="174"/>
        <v>1</v>
      </c>
      <c r="F1460" s="52"/>
      <c r="G1460" s="52"/>
      <c r="H1460" s="52"/>
      <c r="I1460" s="52"/>
      <c r="J1460" s="52"/>
      <c r="K1460" s="52"/>
      <c r="L1460" s="52"/>
      <c r="M1460" s="52"/>
      <c r="N1460" s="52"/>
      <c r="O1460" s="52"/>
      <c r="P1460" s="52"/>
      <c r="Q1460" s="52"/>
      <c r="R1460" s="52"/>
      <c r="S1460" s="52"/>
      <c r="T1460" s="52"/>
      <c r="U1460" s="52"/>
      <c r="V1460" s="52"/>
      <c r="W1460" s="52"/>
      <c r="X1460" s="52"/>
      <c r="Y1460" s="52"/>
      <c r="Z1460" s="52"/>
      <c r="AA1460" s="52"/>
      <c r="AB1460" s="52"/>
      <c r="AC1460" s="52"/>
      <c r="AD1460" s="52"/>
      <c r="AE1460" s="52"/>
      <c r="AF1460" s="52"/>
      <c r="AG1460" s="52"/>
      <c r="AH1460" s="52"/>
      <c r="AI1460" s="52"/>
      <c r="AJ1460" s="52"/>
      <c r="AK1460" s="52"/>
      <c r="AL1460" s="52"/>
      <c r="AM1460" s="52"/>
      <c r="AN1460" s="52"/>
    </row>
    <row r="1461" spans="1:40" x14ac:dyDescent="0.3">
      <c r="A1461" s="52">
        <v>1456</v>
      </c>
      <c r="B1461" s="52">
        <f>-bthan*500+(5+0.5)*bthan*1000/50</f>
        <v>-2145</v>
      </c>
      <c r="C1461" s="52">
        <f t="shared" si="176"/>
        <v>-210</v>
      </c>
      <c r="D1461" s="52">
        <f t="shared" si="173"/>
        <v>2200</v>
      </c>
      <c r="E1461" s="52">
        <f t="shared" si="174"/>
        <v>1</v>
      </c>
      <c r="F1461" s="52"/>
      <c r="G1461" s="52"/>
      <c r="H1461" s="52"/>
      <c r="I1461" s="52"/>
      <c r="J1461" s="52"/>
      <c r="K1461" s="52"/>
      <c r="L1461" s="52"/>
      <c r="M1461" s="52"/>
      <c r="N1461" s="52"/>
      <c r="O1461" s="52"/>
      <c r="P1461" s="52"/>
      <c r="Q1461" s="52"/>
      <c r="R1461" s="52"/>
      <c r="S1461" s="52"/>
      <c r="T1461" s="52"/>
      <c r="U1461" s="52"/>
      <c r="V1461" s="52"/>
      <c r="W1461" s="52"/>
      <c r="X1461" s="52"/>
      <c r="Y1461" s="52"/>
      <c r="Z1461" s="52"/>
      <c r="AA1461" s="52"/>
      <c r="AB1461" s="52"/>
      <c r="AC1461" s="52"/>
      <c r="AD1461" s="52"/>
      <c r="AE1461" s="52"/>
      <c r="AF1461" s="52"/>
      <c r="AG1461" s="52"/>
      <c r="AH1461" s="52"/>
      <c r="AI1461" s="52"/>
      <c r="AJ1461" s="52"/>
      <c r="AK1461" s="52"/>
      <c r="AL1461" s="52"/>
      <c r="AM1461" s="52"/>
      <c r="AN1461" s="52"/>
    </row>
    <row r="1462" spans="1:40" x14ac:dyDescent="0.3">
      <c r="A1462" s="52">
        <v>1457</v>
      </c>
      <c r="B1462" s="52">
        <f>-bthan*500+(6+0.5)*bthan*1000/50</f>
        <v>-2035</v>
      </c>
      <c r="C1462" s="52">
        <f t="shared" si="176"/>
        <v>-210</v>
      </c>
      <c r="D1462" s="52">
        <f t="shared" si="173"/>
        <v>2200</v>
      </c>
      <c r="E1462" s="52">
        <f t="shared" si="174"/>
        <v>1</v>
      </c>
      <c r="F1462" s="52"/>
      <c r="G1462" s="52"/>
      <c r="H1462" s="52"/>
      <c r="I1462" s="52"/>
      <c r="J1462" s="52"/>
      <c r="K1462" s="52"/>
      <c r="L1462" s="52"/>
      <c r="M1462" s="52"/>
      <c r="N1462" s="52"/>
      <c r="O1462" s="52"/>
      <c r="P1462" s="52"/>
      <c r="Q1462" s="52"/>
      <c r="R1462" s="52"/>
      <c r="S1462" s="52"/>
      <c r="T1462" s="52"/>
      <c r="U1462" s="52"/>
      <c r="V1462" s="52"/>
      <c r="W1462" s="52"/>
      <c r="X1462" s="52"/>
      <c r="Y1462" s="52"/>
      <c r="Z1462" s="52"/>
      <c r="AA1462" s="52"/>
      <c r="AB1462" s="52"/>
      <c r="AC1462" s="52"/>
      <c r="AD1462" s="52"/>
      <c r="AE1462" s="52"/>
      <c r="AF1462" s="52"/>
      <c r="AG1462" s="52"/>
      <c r="AH1462" s="52"/>
      <c r="AI1462" s="52"/>
      <c r="AJ1462" s="52"/>
      <c r="AK1462" s="52"/>
      <c r="AL1462" s="52"/>
      <c r="AM1462" s="52"/>
      <c r="AN1462" s="52"/>
    </row>
    <row r="1463" spans="1:40" x14ac:dyDescent="0.3">
      <c r="A1463" s="52">
        <v>1458</v>
      </c>
      <c r="B1463" s="52">
        <f>-bthan*500+(7+0.5)*bthan*1000/50</f>
        <v>-1925</v>
      </c>
      <c r="C1463" s="52">
        <f t="shared" si="176"/>
        <v>-210</v>
      </c>
      <c r="D1463" s="52">
        <f t="shared" si="173"/>
        <v>2200</v>
      </c>
      <c r="E1463" s="52">
        <f t="shared" si="174"/>
        <v>1</v>
      </c>
      <c r="F1463" s="52"/>
      <c r="G1463" s="52"/>
      <c r="H1463" s="52"/>
      <c r="I1463" s="52"/>
      <c r="J1463" s="52"/>
      <c r="K1463" s="52"/>
      <c r="L1463" s="52"/>
      <c r="M1463" s="52"/>
      <c r="N1463" s="52"/>
      <c r="O1463" s="52"/>
      <c r="P1463" s="52"/>
      <c r="Q1463" s="52"/>
      <c r="R1463" s="52"/>
      <c r="S1463" s="52"/>
      <c r="T1463" s="52"/>
      <c r="U1463" s="52"/>
      <c r="V1463" s="52"/>
      <c r="W1463" s="52"/>
      <c r="X1463" s="52"/>
      <c r="Y1463" s="52"/>
      <c r="Z1463" s="52"/>
      <c r="AA1463" s="52"/>
      <c r="AB1463" s="52"/>
      <c r="AC1463" s="52"/>
      <c r="AD1463" s="52"/>
      <c r="AE1463" s="52"/>
      <c r="AF1463" s="52"/>
      <c r="AG1463" s="52"/>
      <c r="AH1463" s="52"/>
      <c r="AI1463" s="52"/>
      <c r="AJ1463" s="52"/>
      <c r="AK1463" s="52"/>
      <c r="AL1463" s="52"/>
      <c r="AM1463" s="52"/>
      <c r="AN1463" s="52"/>
    </row>
    <row r="1464" spans="1:40" x14ac:dyDescent="0.3">
      <c r="A1464" s="52">
        <v>1459</v>
      </c>
      <c r="B1464" s="52">
        <f>-bthan*500+(8+0.5)*bthan*1000/50</f>
        <v>-1815</v>
      </c>
      <c r="C1464" s="52">
        <f t="shared" si="176"/>
        <v>-210</v>
      </c>
      <c r="D1464" s="52">
        <f t="shared" si="173"/>
        <v>2200</v>
      </c>
      <c r="E1464" s="52">
        <f t="shared" si="174"/>
        <v>1</v>
      </c>
      <c r="F1464" s="52"/>
      <c r="G1464" s="52"/>
      <c r="H1464" s="52"/>
      <c r="I1464" s="52"/>
      <c r="J1464" s="52"/>
      <c r="K1464" s="52"/>
      <c r="L1464" s="52"/>
      <c r="M1464" s="52"/>
      <c r="N1464" s="52"/>
      <c r="O1464" s="52"/>
      <c r="P1464" s="52"/>
      <c r="Q1464" s="52"/>
      <c r="R1464" s="52"/>
      <c r="S1464" s="52"/>
      <c r="T1464" s="52"/>
      <c r="U1464" s="52"/>
      <c r="V1464" s="52"/>
      <c r="W1464" s="52"/>
      <c r="X1464" s="52"/>
      <c r="Y1464" s="52"/>
      <c r="Z1464" s="52"/>
      <c r="AA1464" s="52"/>
      <c r="AB1464" s="52"/>
      <c r="AC1464" s="52"/>
      <c r="AD1464" s="52"/>
      <c r="AE1464" s="52"/>
      <c r="AF1464" s="52"/>
      <c r="AG1464" s="52"/>
      <c r="AH1464" s="52"/>
      <c r="AI1464" s="52"/>
      <c r="AJ1464" s="52"/>
      <c r="AK1464" s="52"/>
      <c r="AL1464" s="52"/>
      <c r="AM1464" s="52"/>
      <c r="AN1464" s="52"/>
    </row>
    <row r="1465" spans="1:40" x14ac:dyDescent="0.3">
      <c r="A1465" s="52">
        <v>1460</v>
      </c>
      <c r="B1465" s="52">
        <f>-bthan*500+(9+0.5)*bthan*1000/50</f>
        <v>-1705</v>
      </c>
      <c r="C1465" s="52">
        <f t="shared" si="176"/>
        <v>-210</v>
      </c>
      <c r="D1465" s="52">
        <f t="shared" si="173"/>
        <v>2200</v>
      </c>
      <c r="E1465" s="52">
        <f t="shared" si="174"/>
        <v>1</v>
      </c>
      <c r="F1465" s="52"/>
      <c r="G1465" s="52"/>
      <c r="H1465" s="52"/>
      <c r="I1465" s="52"/>
      <c r="J1465" s="52"/>
      <c r="K1465" s="52"/>
      <c r="L1465" s="52"/>
      <c r="M1465" s="52"/>
      <c r="N1465" s="52"/>
      <c r="O1465" s="52"/>
      <c r="P1465" s="52"/>
      <c r="Q1465" s="52"/>
      <c r="R1465" s="52"/>
      <c r="S1465" s="52"/>
      <c r="T1465" s="52"/>
      <c r="U1465" s="52"/>
      <c r="V1465" s="52"/>
      <c r="W1465" s="52"/>
      <c r="X1465" s="52"/>
      <c r="Y1465" s="52"/>
      <c r="Z1465" s="52"/>
      <c r="AA1465" s="52"/>
      <c r="AB1465" s="52"/>
      <c r="AC1465" s="52"/>
      <c r="AD1465" s="52"/>
      <c r="AE1465" s="52"/>
      <c r="AF1465" s="52"/>
      <c r="AG1465" s="52"/>
      <c r="AH1465" s="52"/>
      <c r="AI1465" s="52"/>
      <c r="AJ1465" s="52"/>
      <c r="AK1465" s="52"/>
      <c r="AL1465" s="52"/>
      <c r="AM1465" s="52"/>
      <c r="AN1465" s="52"/>
    </row>
    <row r="1466" spans="1:40" x14ac:dyDescent="0.3">
      <c r="A1466" s="52">
        <v>1461</v>
      </c>
      <c r="B1466" s="52">
        <f>-bthan*500+(10+0.5)*bthan*1000/50</f>
        <v>-1595</v>
      </c>
      <c r="C1466" s="52">
        <f t="shared" si="176"/>
        <v>-210</v>
      </c>
      <c r="D1466" s="52">
        <f t="shared" si="173"/>
        <v>2200</v>
      </c>
      <c r="E1466" s="52">
        <f t="shared" si="174"/>
        <v>1</v>
      </c>
      <c r="F1466" s="52"/>
      <c r="G1466" s="52"/>
      <c r="H1466" s="52"/>
      <c r="I1466" s="52"/>
      <c r="J1466" s="52"/>
      <c r="K1466" s="52"/>
      <c r="L1466" s="52"/>
      <c r="M1466" s="52"/>
      <c r="N1466" s="52"/>
      <c r="O1466" s="52"/>
      <c r="P1466" s="52"/>
      <c r="Q1466" s="52"/>
      <c r="R1466" s="52"/>
      <c r="S1466" s="52"/>
      <c r="T1466" s="52"/>
      <c r="U1466" s="52"/>
      <c r="V1466" s="52"/>
      <c r="W1466" s="52"/>
      <c r="X1466" s="52"/>
      <c r="Y1466" s="52"/>
      <c r="Z1466" s="52"/>
      <c r="AA1466" s="52"/>
      <c r="AB1466" s="52"/>
      <c r="AC1466" s="52"/>
      <c r="AD1466" s="52"/>
      <c r="AE1466" s="52"/>
      <c r="AF1466" s="52"/>
      <c r="AG1466" s="52"/>
      <c r="AH1466" s="52"/>
      <c r="AI1466" s="52"/>
      <c r="AJ1466" s="52"/>
      <c r="AK1466" s="52"/>
      <c r="AL1466" s="52"/>
      <c r="AM1466" s="52"/>
      <c r="AN1466" s="52"/>
    </row>
    <row r="1467" spans="1:40" x14ac:dyDescent="0.3">
      <c r="A1467" s="52">
        <v>1462</v>
      </c>
      <c r="B1467" s="52">
        <f>-bthan*500+(11+0.5)*bthan*1000/50</f>
        <v>-1485</v>
      </c>
      <c r="C1467" s="52">
        <f t="shared" si="176"/>
        <v>-210</v>
      </c>
      <c r="D1467" s="52">
        <f t="shared" si="173"/>
        <v>2200</v>
      </c>
      <c r="E1467" s="52">
        <f t="shared" si="174"/>
        <v>1</v>
      </c>
      <c r="F1467" s="52"/>
      <c r="G1467" s="52"/>
      <c r="H1467" s="52"/>
      <c r="I1467" s="52"/>
      <c r="J1467" s="52"/>
      <c r="K1467" s="52"/>
      <c r="L1467" s="52"/>
      <c r="M1467" s="52"/>
      <c r="N1467" s="52"/>
      <c r="O1467" s="52"/>
      <c r="P1467" s="52"/>
      <c r="Q1467" s="52"/>
      <c r="R1467" s="52"/>
      <c r="S1467" s="52"/>
      <c r="T1467" s="52"/>
      <c r="U1467" s="52"/>
      <c r="V1467" s="52"/>
      <c r="W1467" s="52"/>
      <c r="X1467" s="52"/>
      <c r="Y1467" s="52"/>
      <c r="Z1467" s="52"/>
      <c r="AA1467" s="52"/>
      <c r="AB1467" s="52"/>
      <c r="AC1467" s="52"/>
      <c r="AD1467" s="52"/>
      <c r="AE1467" s="52"/>
      <c r="AF1467" s="52"/>
      <c r="AG1467" s="52"/>
      <c r="AH1467" s="52"/>
      <c r="AI1467" s="52"/>
      <c r="AJ1467" s="52"/>
      <c r="AK1467" s="52"/>
      <c r="AL1467" s="52"/>
      <c r="AM1467" s="52"/>
      <c r="AN1467" s="52"/>
    </row>
    <row r="1468" spans="1:40" x14ac:dyDescent="0.3">
      <c r="A1468" s="52">
        <v>1463</v>
      </c>
      <c r="B1468" s="52">
        <f>-bthan*500+(12+0.5)*bthan*1000/50</f>
        <v>-1375</v>
      </c>
      <c r="C1468" s="52">
        <f t="shared" si="176"/>
        <v>-210</v>
      </c>
      <c r="D1468" s="52">
        <f t="shared" si="173"/>
        <v>2200</v>
      </c>
      <c r="E1468" s="52">
        <f t="shared" si="174"/>
        <v>1</v>
      </c>
      <c r="F1468" s="52"/>
      <c r="G1468" s="52"/>
      <c r="H1468" s="52"/>
      <c r="I1468" s="52"/>
      <c r="J1468" s="52"/>
      <c r="K1468" s="52"/>
      <c r="L1468" s="52"/>
      <c r="M1468" s="52"/>
      <c r="N1468" s="52"/>
      <c r="O1468" s="52"/>
      <c r="P1468" s="52"/>
      <c r="Q1468" s="52"/>
      <c r="R1468" s="52"/>
      <c r="S1468" s="52"/>
      <c r="T1468" s="52"/>
      <c r="U1468" s="52"/>
      <c r="V1468" s="52"/>
      <c r="W1468" s="52"/>
      <c r="X1468" s="52"/>
      <c r="Y1468" s="52"/>
      <c r="Z1468" s="52"/>
      <c r="AA1468" s="52"/>
      <c r="AB1468" s="52"/>
      <c r="AC1468" s="52"/>
      <c r="AD1468" s="52"/>
      <c r="AE1468" s="52"/>
      <c r="AF1468" s="52"/>
      <c r="AG1468" s="52"/>
      <c r="AH1468" s="52"/>
      <c r="AI1468" s="52"/>
      <c r="AJ1468" s="52"/>
      <c r="AK1468" s="52"/>
      <c r="AL1468" s="52"/>
      <c r="AM1468" s="52"/>
      <c r="AN1468" s="52"/>
    </row>
    <row r="1469" spans="1:40" x14ac:dyDescent="0.3">
      <c r="A1469" s="52">
        <v>1464</v>
      </c>
      <c r="B1469" s="52">
        <f>-bthan*500+(13+0.5)*bthan*1000/50</f>
        <v>-1265</v>
      </c>
      <c r="C1469" s="52">
        <f t="shared" si="176"/>
        <v>-210</v>
      </c>
      <c r="D1469" s="52">
        <f t="shared" si="173"/>
        <v>2200</v>
      </c>
      <c r="E1469" s="52">
        <f t="shared" si="174"/>
        <v>1</v>
      </c>
      <c r="F1469" s="52"/>
      <c r="G1469" s="52"/>
      <c r="H1469" s="52"/>
      <c r="I1469" s="52"/>
      <c r="J1469" s="52"/>
      <c r="K1469" s="52"/>
      <c r="L1469" s="52"/>
      <c r="M1469" s="52"/>
      <c r="N1469" s="52"/>
      <c r="O1469" s="52"/>
      <c r="P1469" s="52"/>
      <c r="Q1469" s="52"/>
      <c r="R1469" s="52"/>
      <c r="S1469" s="52"/>
      <c r="T1469" s="52"/>
      <c r="U1469" s="52"/>
      <c r="V1469" s="52"/>
      <c r="W1469" s="52"/>
      <c r="X1469" s="52"/>
      <c r="Y1469" s="52"/>
      <c r="Z1469" s="52"/>
      <c r="AA1469" s="52"/>
      <c r="AB1469" s="52"/>
      <c r="AC1469" s="52"/>
      <c r="AD1469" s="52"/>
      <c r="AE1469" s="52"/>
      <c r="AF1469" s="52"/>
      <c r="AG1469" s="52"/>
      <c r="AH1469" s="52"/>
      <c r="AI1469" s="52"/>
      <c r="AJ1469" s="52"/>
      <c r="AK1469" s="52"/>
      <c r="AL1469" s="52"/>
      <c r="AM1469" s="52"/>
      <c r="AN1469" s="52"/>
    </row>
    <row r="1470" spans="1:40" x14ac:dyDescent="0.3">
      <c r="A1470" s="52">
        <v>1465</v>
      </c>
      <c r="B1470" s="52">
        <f>-bthan*500+(14+0.5)*bthan*1000/50</f>
        <v>-1155</v>
      </c>
      <c r="C1470" s="52">
        <f t="shared" si="176"/>
        <v>-210</v>
      </c>
      <c r="D1470" s="52">
        <f t="shared" si="173"/>
        <v>2200</v>
      </c>
      <c r="E1470" s="52">
        <f t="shared" si="174"/>
        <v>1</v>
      </c>
      <c r="F1470" s="52"/>
      <c r="G1470" s="52"/>
      <c r="H1470" s="52"/>
      <c r="I1470" s="52"/>
      <c r="J1470" s="52"/>
      <c r="K1470" s="52"/>
      <c r="L1470" s="52"/>
      <c r="M1470" s="52"/>
      <c r="N1470" s="52"/>
      <c r="O1470" s="52"/>
      <c r="P1470" s="52"/>
      <c r="Q1470" s="52"/>
      <c r="R1470" s="52"/>
      <c r="S1470" s="52"/>
      <c r="T1470" s="52"/>
      <c r="U1470" s="52"/>
      <c r="V1470" s="52"/>
      <c r="W1470" s="52"/>
      <c r="X1470" s="52"/>
      <c r="Y1470" s="52"/>
      <c r="Z1470" s="52"/>
      <c r="AA1470" s="52"/>
      <c r="AB1470" s="52"/>
      <c r="AC1470" s="52"/>
      <c r="AD1470" s="52"/>
      <c r="AE1470" s="52"/>
      <c r="AF1470" s="52"/>
      <c r="AG1470" s="52"/>
      <c r="AH1470" s="52"/>
      <c r="AI1470" s="52"/>
      <c r="AJ1470" s="52"/>
      <c r="AK1470" s="52"/>
      <c r="AL1470" s="52"/>
      <c r="AM1470" s="52"/>
      <c r="AN1470" s="52"/>
    </row>
    <row r="1471" spans="1:40" x14ac:dyDescent="0.3">
      <c r="A1471" s="52">
        <v>1466</v>
      </c>
      <c r="B1471" s="52">
        <f>-bthan*500+(15+0.5)*bthan*1000/50</f>
        <v>-1045</v>
      </c>
      <c r="C1471" s="52">
        <f t="shared" si="176"/>
        <v>-210</v>
      </c>
      <c r="D1471" s="52">
        <f t="shared" si="173"/>
        <v>2200</v>
      </c>
      <c r="E1471" s="52">
        <f t="shared" si="174"/>
        <v>1</v>
      </c>
      <c r="F1471" s="52"/>
      <c r="G1471" s="52"/>
      <c r="H1471" s="52"/>
      <c r="I1471" s="52"/>
      <c r="J1471" s="52"/>
      <c r="K1471" s="52"/>
      <c r="L1471" s="52"/>
      <c r="M1471" s="52"/>
      <c r="N1471" s="52"/>
      <c r="O1471" s="52"/>
      <c r="P1471" s="52"/>
      <c r="Q1471" s="52"/>
      <c r="R1471" s="52"/>
      <c r="S1471" s="52"/>
      <c r="T1471" s="52"/>
      <c r="U1471" s="52"/>
      <c r="V1471" s="52"/>
      <c r="W1471" s="52"/>
      <c r="X1471" s="52"/>
      <c r="Y1471" s="52"/>
      <c r="Z1471" s="52"/>
      <c r="AA1471" s="52"/>
      <c r="AB1471" s="52"/>
      <c r="AC1471" s="52"/>
      <c r="AD1471" s="52"/>
      <c r="AE1471" s="52"/>
      <c r="AF1471" s="52"/>
      <c r="AG1471" s="52"/>
      <c r="AH1471" s="52"/>
      <c r="AI1471" s="52"/>
      <c r="AJ1471" s="52"/>
      <c r="AK1471" s="52"/>
      <c r="AL1471" s="52"/>
      <c r="AM1471" s="52"/>
      <c r="AN1471" s="52"/>
    </row>
    <row r="1472" spans="1:40" x14ac:dyDescent="0.3">
      <c r="A1472" s="52">
        <v>1467</v>
      </c>
      <c r="B1472" s="52">
        <f>-bthan*500+(16+0.5)*bthan*1000/50</f>
        <v>-935</v>
      </c>
      <c r="C1472" s="52">
        <f t="shared" si="176"/>
        <v>-210</v>
      </c>
      <c r="D1472" s="52">
        <f t="shared" si="173"/>
        <v>2200</v>
      </c>
      <c r="E1472" s="52">
        <f t="shared" si="174"/>
        <v>1</v>
      </c>
      <c r="F1472" s="52"/>
      <c r="G1472" s="52"/>
      <c r="H1472" s="52"/>
      <c r="I1472" s="52"/>
      <c r="J1472" s="52"/>
      <c r="K1472" s="52"/>
      <c r="L1472" s="52"/>
      <c r="M1472" s="52"/>
      <c r="N1472" s="52"/>
      <c r="O1472" s="52"/>
      <c r="P1472" s="52"/>
      <c r="Q1472" s="52"/>
      <c r="R1472" s="52"/>
      <c r="S1472" s="52"/>
      <c r="T1472" s="52"/>
      <c r="U1472" s="52"/>
      <c r="V1472" s="52"/>
      <c r="W1472" s="52"/>
      <c r="X1472" s="52"/>
      <c r="Y1472" s="52"/>
      <c r="Z1472" s="52"/>
      <c r="AA1472" s="52"/>
      <c r="AB1472" s="52"/>
      <c r="AC1472" s="52"/>
      <c r="AD1472" s="52"/>
      <c r="AE1472" s="52"/>
      <c r="AF1472" s="52"/>
      <c r="AG1472" s="52"/>
      <c r="AH1472" s="52"/>
      <c r="AI1472" s="52"/>
      <c r="AJ1472" s="52"/>
      <c r="AK1472" s="52"/>
      <c r="AL1472" s="52"/>
      <c r="AM1472" s="52"/>
      <c r="AN1472" s="52"/>
    </row>
    <row r="1473" spans="1:40" x14ac:dyDescent="0.3">
      <c r="A1473" s="52">
        <v>1468</v>
      </c>
      <c r="B1473" s="52">
        <f>-bthan*500+(17+0.5)*bthan*1000/50</f>
        <v>-825</v>
      </c>
      <c r="C1473" s="52">
        <f t="shared" si="176"/>
        <v>-210</v>
      </c>
      <c r="D1473" s="52">
        <f t="shared" si="173"/>
        <v>2200</v>
      </c>
      <c r="E1473" s="52">
        <f t="shared" si="174"/>
        <v>1</v>
      </c>
      <c r="F1473" s="52"/>
      <c r="G1473" s="52"/>
      <c r="H1473" s="52"/>
      <c r="I1473" s="52"/>
      <c r="J1473" s="52"/>
      <c r="K1473" s="52"/>
      <c r="L1473" s="52"/>
      <c r="M1473" s="52"/>
      <c r="N1473" s="52"/>
      <c r="O1473" s="52"/>
      <c r="P1473" s="52"/>
      <c r="Q1473" s="52"/>
      <c r="R1473" s="52"/>
      <c r="S1473" s="52"/>
      <c r="T1473" s="52"/>
      <c r="U1473" s="52"/>
      <c r="V1473" s="52"/>
      <c r="W1473" s="52"/>
      <c r="X1473" s="52"/>
      <c r="Y1473" s="52"/>
      <c r="Z1473" s="52"/>
      <c r="AA1473" s="52"/>
      <c r="AB1473" s="52"/>
      <c r="AC1473" s="52"/>
      <c r="AD1473" s="52"/>
      <c r="AE1473" s="52"/>
      <c r="AF1473" s="52"/>
      <c r="AG1473" s="52"/>
      <c r="AH1473" s="52"/>
      <c r="AI1473" s="52"/>
      <c r="AJ1473" s="52"/>
      <c r="AK1473" s="52"/>
      <c r="AL1473" s="52"/>
      <c r="AM1473" s="52"/>
      <c r="AN1473" s="52"/>
    </row>
    <row r="1474" spans="1:40" x14ac:dyDescent="0.3">
      <c r="A1474" s="52">
        <v>1469</v>
      </c>
      <c r="B1474" s="52">
        <f>-bthan*500+(18+0.5)*bthan*1000/50</f>
        <v>-715</v>
      </c>
      <c r="C1474" s="52">
        <f t="shared" si="176"/>
        <v>-210</v>
      </c>
      <c r="D1474" s="52">
        <f t="shared" si="173"/>
        <v>2200</v>
      </c>
      <c r="E1474" s="52">
        <f t="shared" si="174"/>
        <v>1</v>
      </c>
      <c r="F1474" s="52"/>
      <c r="G1474" s="52"/>
      <c r="H1474" s="52"/>
      <c r="I1474" s="52"/>
      <c r="J1474" s="52"/>
      <c r="K1474" s="52"/>
      <c r="L1474" s="52"/>
      <c r="M1474" s="52"/>
      <c r="N1474" s="52"/>
      <c r="O1474" s="52"/>
      <c r="P1474" s="52"/>
      <c r="Q1474" s="52"/>
      <c r="R1474" s="52"/>
      <c r="S1474" s="52"/>
      <c r="T1474" s="52"/>
      <c r="U1474" s="52"/>
      <c r="V1474" s="52"/>
      <c r="W1474" s="52"/>
      <c r="X1474" s="52"/>
      <c r="Y1474" s="52"/>
      <c r="Z1474" s="52"/>
      <c r="AA1474" s="52"/>
      <c r="AB1474" s="52"/>
      <c r="AC1474" s="52"/>
      <c r="AD1474" s="52"/>
      <c r="AE1474" s="52"/>
      <c r="AF1474" s="52"/>
      <c r="AG1474" s="52"/>
      <c r="AH1474" s="52"/>
      <c r="AI1474" s="52"/>
      <c r="AJ1474" s="52"/>
      <c r="AK1474" s="52"/>
      <c r="AL1474" s="52"/>
      <c r="AM1474" s="52"/>
      <c r="AN1474" s="52"/>
    </row>
    <row r="1475" spans="1:40" x14ac:dyDescent="0.3">
      <c r="A1475" s="52">
        <v>1470</v>
      </c>
      <c r="B1475" s="52">
        <f>-bthan*500+(19+0.5)*bthan*1000/50</f>
        <v>-605</v>
      </c>
      <c r="C1475" s="52">
        <f t="shared" si="176"/>
        <v>-210</v>
      </c>
      <c r="D1475" s="52">
        <f t="shared" si="173"/>
        <v>2200</v>
      </c>
      <c r="E1475" s="52">
        <f t="shared" si="174"/>
        <v>1</v>
      </c>
      <c r="F1475" s="52"/>
      <c r="G1475" s="52"/>
      <c r="H1475" s="52"/>
      <c r="I1475" s="52"/>
      <c r="J1475" s="52"/>
      <c r="K1475" s="52"/>
      <c r="L1475" s="52"/>
      <c r="M1475" s="52"/>
      <c r="N1475" s="52"/>
      <c r="O1475" s="52"/>
      <c r="P1475" s="52"/>
      <c r="Q1475" s="52"/>
      <c r="R1475" s="52"/>
      <c r="S1475" s="52"/>
      <c r="T1475" s="52"/>
      <c r="U1475" s="52"/>
      <c r="V1475" s="52"/>
      <c r="W1475" s="52"/>
      <c r="X1475" s="52"/>
      <c r="Y1475" s="52"/>
      <c r="Z1475" s="52"/>
      <c r="AA1475" s="52"/>
      <c r="AB1475" s="52"/>
      <c r="AC1475" s="52"/>
      <c r="AD1475" s="52"/>
      <c r="AE1475" s="52"/>
      <c r="AF1475" s="52"/>
      <c r="AG1475" s="52"/>
      <c r="AH1475" s="52"/>
      <c r="AI1475" s="52"/>
      <c r="AJ1475" s="52"/>
      <c r="AK1475" s="52"/>
      <c r="AL1475" s="52"/>
      <c r="AM1475" s="52"/>
      <c r="AN1475" s="52"/>
    </row>
    <row r="1476" spans="1:40" x14ac:dyDescent="0.3">
      <c r="A1476" s="52">
        <v>1471</v>
      </c>
      <c r="B1476" s="52">
        <f>-bthan*500+(20+0.5)*bthan*1000/50</f>
        <v>-495</v>
      </c>
      <c r="C1476" s="52">
        <f t="shared" si="176"/>
        <v>-210</v>
      </c>
      <c r="D1476" s="52">
        <f t="shared" si="173"/>
        <v>2200</v>
      </c>
      <c r="E1476" s="52">
        <f t="shared" si="174"/>
        <v>1</v>
      </c>
      <c r="F1476" s="52"/>
      <c r="G1476" s="52"/>
      <c r="H1476" s="52"/>
      <c r="I1476" s="52"/>
      <c r="J1476" s="52"/>
      <c r="K1476" s="52"/>
      <c r="L1476" s="52"/>
      <c r="M1476" s="52"/>
      <c r="N1476" s="52"/>
      <c r="O1476" s="52"/>
      <c r="P1476" s="52"/>
      <c r="Q1476" s="52"/>
      <c r="R1476" s="52"/>
      <c r="S1476" s="52"/>
      <c r="T1476" s="52"/>
      <c r="U1476" s="52"/>
      <c r="V1476" s="52"/>
      <c r="W1476" s="52"/>
      <c r="X1476" s="52"/>
      <c r="Y1476" s="52"/>
      <c r="Z1476" s="52"/>
      <c r="AA1476" s="52"/>
      <c r="AB1476" s="52"/>
      <c r="AC1476" s="52"/>
      <c r="AD1476" s="52"/>
      <c r="AE1476" s="52"/>
      <c r="AF1476" s="52"/>
      <c r="AG1476" s="52"/>
      <c r="AH1476" s="52"/>
      <c r="AI1476" s="52"/>
      <c r="AJ1476" s="52"/>
      <c r="AK1476" s="52"/>
      <c r="AL1476" s="52"/>
      <c r="AM1476" s="52"/>
      <c r="AN1476" s="52"/>
    </row>
    <row r="1477" spans="1:40" x14ac:dyDescent="0.3">
      <c r="A1477" s="52">
        <v>1472</v>
      </c>
      <c r="B1477" s="52">
        <f>-bthan*500+(21+0.5)*bthan*1000/50</f>
        <v>-385</v>
      </c>
      <c r="C1477" s="52">
        <f t="shared" si="176"/>
        <v>-210</v>
      </c>
      <c r="D1477" s="52">
        <f t="shared" si="173"/>
        <v>2200</v>
      </c>
      <c r="E1477" s="52">
        <f t="shared" si="174"/>
        <v>1</v>
      </c>
      <c r="F1477" s="52"/>
      <c r="G1477" s="52"/>
      <c r="H1477" s="52"/>
      <c r="I1477" s="52"/>
      <c r="J1477" s="52"/>
      <c r="K1477" s="52"/>
      <c r="L1477" s="52"/>
      <c r="M1477" s="52"/>
      <c r="N1477" s="52"/>
      <c r="O1477" s="52"/>
      <c r="P1477" s="52"/>
      <c r="Q1477" s="52"/>
      <c r="R1477" s="52"/>
      <c r="S1477" s="52"/>
      <c r="T1477" s="52"/>
      <c r="U1477" s="52"/>
      <c r="V1477" s="52"/>
      <c r="W1477" s="52"/>
      <c r="X1477" s="52"/>
      <c r="Y1477" s="52"/>
      <c r="Z1477" s="52"/>
      <c r="AA1477" s="52"/>
      <c r="AB1477" s="52"/>
      <c r="AC1477" s="52"/>
      <c r="AD1477" s="52"/>
      <c r="AE1477" s="52"/>
      <c r="AF1477" s="52"/>
      <c r="AG1477" s="52"/>
      <c r="AH1477" s="52"/>
      <c r="AI1477" s="52"/>
      <c r="AJ1477" s="52"/>
      <c r="AK1477" s="52"/>
      <c r="AL1477" s="52"/>
      <c r="AM1477" s="52"/>
      <c r="AN1477" s="52"/>
    </row>
    <row r="1478" spans="1:40" x14ac:dyDescent="0.3">
      <c r="A1478" s="52">
        <v>1473</v>
      </c>
      <c r="B1478" s="52">
        <f>-bthan*500+(22+0.5)*bthan*1000/50</f>
        <v>-275</v>
      </c>
      <c r="C1478" s="52">
        <f t="shared" si="176"/>
        <v>-210</v>
      </c>
      <c r="D1478" s="52">
        <f t="shared" ref="D1478:D1541" si="177">bthan*1000/50*hthan*1000/80</f>
        <v>2200</v>
      </c>
      <c r="E1478" s="52">
        <f t="shared" ref="E1478:E1541" si="178">IF(shp=1,--(OR(ABS(B1478)&lt;=MAX(0,(bthan-hthan)*500),(ABS(B1478)-MAX(0,(bthan-hthan)*500))^2+C1478^2&lt;=(hthan*500)^2)),--(AND(ABS(B1478)&lt;=bthan*500,ABS(C1478)&lt;=hthan*500,OR(ABS(B1478)&lt;=bthan*500-cch*1000,ABS(C1478)&lt;=hthan*500-cch*1000,(bthan*500-ABS(B1478))+(hthan*500-ABS(C1478))&gt;=cch*1000))))</f>
        <v>1</v>
      </c>
      <c r="F1478" s="52"/>
      <c r="G1478" s="52"/>
      <c r="H1478" s="52"/>
      <c r="I1478" s="52"/>
      <c r="J1478" s="52"/>
      <c r="K1478" s="52"/>
      <c r="L1478" s="52"/>
      <c r="M1478" s="52"/>
      <c r="N1478" s="52"/>
      <c r="O1478" s="52"/>
      <c r="P1478" s="52"/>
      <c r="Q1478" s="52"/>
      <c r="R1478" s="52"/>
      <c r="S1478" s="52"/>
      <c r="T1478" s="52"/>
      <c r="U1478" s="52"/>
      <c r="V1478" s="52"/>
      <c r="W1478" s="52"/>
      <c r="X1478" s="52"/>
      <c r="Y1478" s="52"/>
      <c r="Z1478" s="52"/>
      <c r="AA1478" s="52"/>
      <c r="AB1478" s="52"/>
      <c r="AC1478" s="52"/>
      <c r="AD1478" s="52"/>
      <c r="AE1478" s="52"/>
      <c r="AF1478" s="52"/>
      <c r="AG1478" s="52"/>
      <c r="AH1478" s="52"/>
      <c r="AI1478" s="52"/>
      <c r="AJ1478" s="52"/>
      <c r="AK1478" s="52"/>
      <c r="AL1478" s="52"/>
      <c r="AM1478" s="52"/>
      <c r="AN1478" s="52"/>
    </row>
    <row r="1479" spans="1:40" x14ac:dyDescent="0.3">
      <c r="A1479" s="52">
        <v>1474</v>
      </c>
      <c r="B1479" s="52">
        <f>-bthan*500+(23+0.5)*bthan*1000/50</f>
        <v>-165</v>
      </c>
      <c r="C1479" s="52">
        <f t="shared" si="176"/>
        <v>-210</v>
      </c>
      <c r="D1479" s="52">
        <f t="shared" si="177"/>
        <v>2200</v>
      </c>
      <c r="E1479" s="52">
        <f t="shared" si="178"/>
        <v>1</v>
      </c>
      <c r="F1479" s="52"/>
      <c r="G1479" s="52"/>
      <c r="H1479" s="52"/>
      <c r="I1479" s="52"/>
      <c r="J1479" s="52"/>
      <c r="K1479" s="52"/>
      <c r="L1479" s="52"/>
      <c r="M1479" s="52"/>
      <c r="N1479" s="52"/>
      <c r="O1479" s="52"/>
      <c r="P1479" s="52"/>
      <c r="Q1479" s="52"/>
      <c r="R1479" s="52"/>
      <c r="S1479" s="52"/>
      <c r="T1479" s="52"/>
      <c r="U1479" s="52"/>
      <c r="V1479" s="52"/>
      <c r="W1479" s="52"/>
      <c r="X1479" s="52"/>
      <c r="Y1479" s="52"/>
      <c r="Z1479" s="52"/>
      <c r="AA1479" s="52"/>
      <c r="AB1479" s="52"/>
      <c r="AC1479" s="52"/>
      <c r="AD1479" s="52"/>
      <c r="AE1479" s="52"/>
      <c r="AF1479" s="52"/>
      <c r="AG1479" s="52"/>
      <c r="AH1479" s="52"/>
      <c r="AI1479" s="52"/>
      <c r="AJ1479" s="52"/>
      <c r="AK1479" s="52"/>
      <c r="AL1479" s="52"/>
      <c r="AM1479" s="52"/>
      <c r="AN1479" s="52"/>
    </row>
    <row r="1480" spans="1:40" x14ac:dyDescent="0.3">
      <c r="A1480" s="52">
        <v>1475</v>
      </c>
      <c r="B1480" s="52">
        <f>-bthan*500+(24+0.5)*bthan*1000/50</f>
        <v>-55</v>
      </c>
      <c r="C1480" s="52">
        <f t="shared" si="176"/>
        <v>-210</v>
      </c>
      <c r="D1480" s="52">
        <f t="shared" si="177"/>
        <v>2200</v>
      </c>
      <c r="E1480" s="52">
        <f t="shared" si="178"/>
        <v>1</v>
      </c>
      <c r="F1480" s="52"/>
      <c r="G1480" s="52"/>
      <c r="H1480" s="52"/>
      <c r="I1480" s="52"/>
      <c r="J1480" s="52"/>
      <c r="K1480" s="52"/>
      <c r="L1480" s="52"/>
      <c r="M1480" s="52"/>
      <c r="N1480" s="52"/>
      <c r="O1480" s="52"/>
      <c r="P1480" s="52"/>
      <c r="Q1480" s="52"/>
      <c r="R1480" s="52"/>
      <c r="S1480" s="52"/>
      <c r="T1480" s="52"/>
      <c r="U1480" s="52"/>
      <c r="V1480" s="52"/>
      <c r="W1480" s="52"/>
      <c r="X1480" s="52"/>
      <c r="Y1480" s="52"/>
      <c r="Z1480" s="52"/>
      <c r="AA1480" s="52"/>
      <c r="AB1480" s="52"/>
      <c r="AC1480" s="52"/>
      <c r="AD1480" s="52"/>
      <c r="AE1480" s="52"/>
      <c r="AF1480" s="52"/>
      <c r="AG1480" s="52"/>
      <c r="AH1480" s="52"/>
      <c r="AI1480" s="52"/>
      <c r="AJ1480" s="52"/>
      <c r="AK1480" s="52"/>
      <c r="AL1480" s="52"/>
      <c r="AM1480" s="52"/>
      <c r="AN1480" s="52"/>
    </row>
    <row r="1481" spans="1:40" x14ac:dyDescent="0.3">
      <c r="A1481" s="52">
        <v>1476</v>
      </c>
      <c r="B1481" s="52">
        <f>-bthan*500+(25+0.5)*bthan*1000/50</f>
        <v>55</v>
      </c>
      <c r="C1481" s="52">
        <f t="shared" si="176"/>
        <v>-210</v>
      </c>
      <c r="D1481" s="52">
        <f t="shared" si="177"/>
        <v>2200</v>
      </c>
      <c r="E1481" s="52">
        <f t="shared" si="178"/>
        <v>1</v>
      </c>
      <c r="F1481" s="52"/>
      <c r="G1481" s="52"/>
      <c r="H1481" s="52"/>
      <c r="I1481" s="52"/>
      <c r="J1481" s="52"/>
      <c r="K1481" s="52"/>
      <c r="L1481" s="52"/>
      <c r="M1481" s="52"/>
      <c r="N1481" s="52"/>
      <c r="O1481" s="52"/>
      <c r="P1481" s="52"/>
      <c r="Q1481" s="52"/>
      <c r="R1481" s="52"/>
      <c r="S1481" s="52"/>
      <c r="T1481" s="52"/>
      <c r="U1481" s="52"/>
      <c r="V1481" s="52"/>
      <c r="W1481" s="52"/>
      <c r="X1481" s="52"/>
      <c r="Y1481" s="52"/>
      <c r="Z1481" s="52"/>
      <c r="AA1481" s="52"/>
      <c r="AB1481" s="52"/>
      <c r="AC1481" s="52"/>
      <c r="AD1481" s="52"/>
      <c r="AE1481" s="52"/>
      <c r="AF1481" s="52"/>
      <c r="AG1481" s="52"/>
      <c r="AH1481" s="52"/>
      <c r="AI1481" s="52"/>
      <c r="AJ1481" s="52"/>
      <c r="AK1481" s="52"/>
      <c r="AL1481" s="52"/>
      <c r="AM1481" s="52"/>
      <c r="AN1481" s="52"/>
    </row>
    <row r="1482" spans="1:40" x14ac:dyDescent="0.3">
      <c r="A1482" s="52">
        <v>1477</v>
      </c>
      <c r="B1482" s="52">
        <f>-bthan*500+(26+0.5)*bthan*1000/50</f>
        <v>165</v>
      </c>
      <c r="C1482" s="52">
        <f t="shared" si="176"/>
        <v>-210</v>
      </c>
      <c r="D1482" s="52">
        <f t="shared" si="177"/>
        <v>2200</v>
      </c>
      <c r="E1482" s="52">
        <f t="shared" si="178"/>
        <v>1</v>
      </c>
      <c r="F1482" s="52"/>
      <c r="G1482" s="52"/>
      <c r="H1482" s="52"/>
      <c r="I1482" s="52"/>
      <c r="J1482" s="52"/>
      <c r="K1482" s="52"/>
      <c r="L1482" s="52"/>
      <c r="M1482" s="52"/>
      <c r="N1482" s="52"/>
      <c r="O1482" s="52"/>
      <c r="P1482" s="52"/>
      <c r="Q1482" s="52"/>
      <c r="R1482" s="52"/>
      <c r="S1482" s="52"/>
      <c r="T1482" s="52"/>
      <c r="U1482" s="52"/>
      <c r="V1482" s="52"/>
      <c r="W1482" s="52"/>
      <c r="X1482" s="52"/>
      <c r="Y1482" s="52"/>
      <c r="Z1482" s="52"/>
      <c r="AA1482" s="52"/>
      <c r="AB1482" s="52"/>
      <c r="AC1482" s="52"/>
      <c r="AD1482" s="52"/>
      <c r="AE1482" s="52"/>
      <c r="AF1482" s="52"/>
      <c r="AG1482" s="52"/>
      <c r="AH1482" s="52"/>
      <c r="AI1482" s="52"/>
      <c r="AJ1482" s="52"/>
      <c r="AK1482" s="52"/>
      <c r="AL1482" s="52"/>
      <c r="AM1482" s="52"/>
      <c r="AN1482" s="52"/>
    </row>
    <row r="1483" spans="1:40" x14ac:dyDescent="0.3">
      <c r="A1483" s="52">
        <v>1478</v>
      </c>
      <c r="B1483" s="52">
        <f>-bthan*500+(27+0.5)*bthan*1000/50</f>
        <v>275</v>
      </c>
      <c r="C1483" s="52">
        <f t="shared" si="176"/>
        <v>-210</v>
      </c>
      <c r="D1483" s="52">
        <f t="shared" si="177"/>
        <v>2200</v>
      </c>
      <c r="E1483" s="52">
        <f t="shared" si="178"/>
        <v>1</v>
      </c>
      <c r="F1483" s="52"/>
      <c r="G1483" s="52"/>
      <c r="H1483" s="52"/>
      <c r="I1483" s="52"/>
      <c r="J1483" s="52"/>
      <c r="K1483" s="52"/>
      <c r="L1483" s="52"/>
      <c r="M1483" s="52"/>
      <c r="N1483" s="52"/>
      <c r="O1483" s="52"/>
      <c r="P1483" s="52"/>
      <c r="Q1483" s="52"/>
      <c r="R1483" s="52"/>
      <c r="S1483" s="52"/>
      <c r="T1483" s="52"/>
      <c r="U1483" s="52"/>
      <c r="V1483" s="52"/>
      <c r="W1483" s="52"/>
      <c r="X1483" s="52"/>
      <c r="Y1483" s="52"/>
      <c r="Z1483" s="52"/>
      <c r="AA1483" s="52"/>
      <c r="AB1483" s="52"/>
      <c r="AC1483" s="52"/>
      <c r="AD1483" s="52"/>
      <c r="AE1483" s="52"/>
      <c r="AF1483" s="52"/>
      <c r="AG1483" s="52"/>
      <c r="AH1483" s="52"/>
      <c r="AI1483" s="52"/>
      <c r="AJ1483" s="52"/>
      <c r="AK1483" s="52"/>
      <c r="AL1483" s="52"/>
      <c r="AM1483" s="52"/>
      <c r="AN1483" s="52"/>
    </row>
    <row r="1484" spans="1:40" x14ac:dyDescent="0.3">
      <c r="A1484" s="52">
        <v>1479</v>
      </c>
      <c r="B1484" s="52">
        <f>-bthan*500+(28+0.5)*bthan*1000/50</f>
        <v>385</v>
      </c>
      <c r="C1484" s="52">
        <f t="shared" si="176"/>
        <v>-210</v>
      </c>
      <c r="D1484" s="52">
        <f t="shared" si="177"/>
        <v>2200</v>
      </c>
      <c r="E1484" s="52">
        <f t="shared" si="178"/>
        <v>1</v>
      </c>
      <c r="F1484" s="52"/>
      <c r="G1484" s="52"/>
      <c r="H1484" s="52"/>
      <c r="I1484" s="52"/>
      <c r="J1484" s="52"/>
      <c r="K1484" s="52"/>
      <c r="L1484" s="52"/>
      <c r="M1484" s="52"/>
      <c r="N1484" s="52"/>
      <c r="O1484" s="52"/>
      <c r="P1484" s="52"/>
      <c r="Q1484" s="52"/>
      <c r="R1484" s="52"/>
      <c r="S1484" s="52"/>
      <c r="T1484" s="52"/>
      <c r="U1484" s="52"/>
      <c r="V1484" s="52"/>
      <c r="W1484" s="52"/>
      <c r="X1484" s="52"/>
      <c r="Y1484" s="52"/>
      <c r="Z1484" s="52"/>
      <c r="AA1484" s="52"/>
      <c r="AB1484" s="52"/>
      <c r="AC1484" s="52"/>
      <c r="AD1484" s="52"/>
      <c r="AE1484" s="52"/>
      <c r="AF1484" s="52"/>
      <c r="AG1484" s="52"/>
      <c r="AH1484" s="52"/>
      <c r="AI1484" s="52"/>
      <c r="AJ1484" s="52"/>
      <c r="AK1484" s="52"/>
      <c r="AL1484" s="52"/>
      <c r="AM1484" s="52"/>
      <c r="AN1484" s="52"/>
    </row>
    <row r="1485" spans="1:40" x14ac:dyDescent="0.3">
      <c r="A1485" s="52">
        <v>1480</v>
      </c>
      <c r="B1485" s="52">
        <f>-bthan*500+(29+0.5)*bthan*1000/50</f>
        <v>495</v>
      </c>
      <c r="C1485" s="52">
        <f t="shared" si="176"/>
        <v>-210</v>
      </c>
      <c r="D1485" s="52">
        <f t="shared" si="177"/>
        <v>2200</v>
      </c>
      <c r="E1485" s="52">
        <f t="shared" si="178"/>
        <v>1</v>
      </c>
      <c r="F1485" s="52"/>
      <c r="G1485" s="52"/>
      <c r="H1485" s="52"/>
      <c r="I1485" s="52"/>
      <c r="J1485" s="52"/>
      <c r="K1485" s="52"/>
      <c r="L1485" s="52"/>
      <c r="M1485" s="52"/>
      <c r="N1485" s="52"/>
      <c r="O1485" s="52"/>
      <c r="P1485" s="52"/>
      <c r="Q1485" s="52"/>
      <c r="R1485" s="52"/>
      <c r="S1485" s="52"/>
      <c r="T1485" s="52"/>
      <c r="U1485" s="52"/>
      <c r="V1485" s="52"/>
      <c r="W1485" s="52"/>
      <c r="X1485" s="52"/>
      <c r="Y1485" s="52"/>
      <c r="Z1485" s="52"/>
      <c r="AA1485" s="52"/>
      <c r="AB1485" s="52"/>
      <c r="AC1485" s="52"/>
      <c r="AD1485" s="52"/>
      <c r="AE1485" s="52"/>
      <c r="AF1485" s="52"/>
      <c r="AG1485" s="52"/>
      <c r="AH1485" s="52"/>
      <c r="AI1485" s="52"/>
      <c r="AJ1485" s="52"/>
      <c r="AK1485" s="52"/>
      <c r="AL1485" s="52"/>
      <c r="AM1485" s="52"/>
      <c r="AN1485" s="52"/>
    </row>
    <row r="1486" spans="1:40" x14ac:dyDescent="0.3">
      <c r="A1486" s="52">
        <v>1481</v>
      </c>
      <c r="B1486" s="52">
        <f>-bthan*500+(30+0.5)*bthan*1000/50</f>
        <v>605</v>
      </c>
      <c r="C1486" s="52">
        <f t="shared" si="176"/>
        <v>-210</v>
      </c>
      <c r="D1486" s="52">
        <f t="shared" si="177"/>
        <v>2200</v>
      </c>
      <c r="E1486" s="52">
        <f t="shared" si="178"/>
        <v>1</v>
      </c>
      <c r="F1486" s="52"/>
      <c r="G1486" s="52"/>
      <c r="H1486" s="52"/>
      <c r="I1486" s="52"/>
      <c r="J1486" s="52"/>
      <c r="K1486" s="52"/>
      <c r="L1486" s="52"/>
      <c r="M1486" s="52"/>
      <c r="N1486" s="52"/>
      <c r="O1486" s="52"/>
      <c r="P1486" s="52"/>
      <c r="Q1486" s="52"/>
      <c r="R1486" s="52"/>
      <c r="S1486" s="52"/>
      <c r="T1486" s="52"/>
      <c r="U1486" s="52"/>
      <c r="V1486" s="52"/>
      <c r="W1486" s="52"/>
      <c r="X1486" s="52"/>
      <c r="Y1486" s="52"/>
      <c r="Z1486" s="52"/>
      <c r="AA1486" s="52"/>
      <c r="AB1486" s="52"/>
      <c r="AC1486" s="52"/>
      <c r="AD1486" s="52"/>
      <c r="AE1486" s="52"/>
      <c r="AF1486" s="52"/>
      <c r="AG1486" s="52"/>
      <c r="AH1486" s="52"/>
      <c r="AI1486" s="52"/>
      <c r="AJ1486" s="52"/>
      <c r="AK1486" s="52"/>
      <c r="AL1486" s="52"/>
      <c r="AM1486" s="52"/>
      <c r="AN1486" s="52"/>
    </row>
    <row r="1487" spans="1:40" x14ac:dyDescent="0.3">
      <c r="A1487" s="52">
        <v>1482</v>
      </c>
      <c r="B1487" s="52">
        <f>-bthan*500+(31+0.5)*bthan*1000/50</f>
        <v>715</v>
      </c>
      <c r="C1487" s="52">
        <f t="shared" si="176"/>
        <v>-210</v>
      </c>
      <c r="D1487" s="52">
        <f t="shared" si="177"/>
        <v>2200</v>
      </c>
      <c r="E1487" s="52">
        <f t="shared" si="178"/>
        <v>1</v>
      </c>
      <c r="F1487" s="52"/>
      <c r="G1487" s="52"/>
      <c r="H1487" s="52"/>
      <c r="I1487" s="52"/>
      <c r="J1487" s="52"/>
      <c r="K1487" s="52"/>
      <c r="L1487" s="52"/>
      <c r="M1487" s="52"/>
      <c r="N1487" s="52"/>
      <c r="O1487" s="52"/>
      <c r="P1487" s="52"/>
      <c r="Q1487" s="52"/>
      <c r="R1487" s="52"/>
      <c r="S1487" s="52"/>
      <c r="T1487" s="52"/>
      <c r="U1487" s="52"/>
      <c r="V1487" s="52"/>
      <c r="W1487" s="52"/>
      <c r="X1487" s="52"/>
      <c r="Y1487" s="52"/>
      <c r="Z1487" s="52"/>
      <c r="AA1487" s="52"/>
      <c r="AB1487" s="52"/>
      <c r="AC1487" s="52"/>
      <c r="AD1487" s="52"/>
      <c r="AE1487" s="52"/>
      <c r="AF1487" s="52"/>
      <c r="AG1487" s="52"/>
      <c r="AH1487" s="52"/>
      <c r="AI1487" s="52"/>
      <c r="AJ1487" s="52"/>
      <c r="AK1487" s="52"/>
      <c r="AL1487" s="52"/>
      <c r="AM1487" s="52"/>
      <c r="AN1487" s="52"/>
    </row>
    <row r="1488" spans="1:40" x14ac:dyDescent="0.3">
      <c r="A1488" s="52">
        <v>1483</v>
      </c>
      <c r="B1488" s="52">
        <f>-bthan*500+(32+0.5)*bthan*1000/50</f>
        <v>825</v>
      </c>
      <c r="C1488" s="52">
        <f t="shared" ref="C1488:C1505" si="179">-hthan*500+(29+0.5)*hthan*1000/80</f>
        <v>-210</v>
      </c>
      <c r="D1488" s="52">
        <f t="shared" si="177"/>
        <v>2200</v>
      </c>
      <c r="E1488" s="52">
        <f t="shared" si="178"/>
        <v>1</v>
      </c>
      <c r="F1488" s="52"/>
      <c r="G1488" s="52"/>
      <c r="H1488" s="52"/>
      <c r="I1488" s="52"/>
      <c r="J1488" s="52"/>
      <c r="K1488" s="52"/>
      <c r="L1488" s="52"/>
      <c r="M1488" s="52"/>
      <c r="N1488" s="52"/>
      <c r="O1488" s="52"/>
      <c r="P1488" s="52"/>
      <c r="Q1488" s="52"/>
      <c r="R1488" s="52"/>
      <c r="S1488" s="52"/>
      <c r="T1488" s="52"/>
      <c r="U1488" s="52"/>
      <c r="V1488" s="52"/>
      <c r="W1488" s="52"/>
      <c r="X1488" s="52"/>
      <c r="Y1488" s="52"/>
      <c r="Z1488" s="52"/>
      <c r="AA1488" s="52"/>
      <c r="AB1488" s="52"/>
      <c r="AC1488" s="52"/>
      <c r="AD1488" s="52"/>
      <c r="AE1488" s="52"/>
      <c r="AF1488" s="52"/>
      <c r="AG1488" s="52"/>
      <c r="AH1488" s="52"/>
      <c r="AI1488" s="52"/>
      <c r="AJ1488" s="52"/>
      <c r="AK1488" s="52"/>
      <c r="AL1488" s="52"/>
      <c r="AM1488" s="52"/>
      <c r="AN1488" s="52"/>
    </row>
    <row r="1489" spans="1:40" x14ac:dyDescent="0.3">
      <c r="A1489" s="52">
        <v>1484</v>
      </c>
      <c r="B1489" s="52">
        <f>-bthan*500+(33+0.5)*bthan*1000/50</f>
        <v>935</v>
      </c>
      <c r="C1489" s="52">
        <f t="shared" si="179"/>
        <v>-210</v>
      </c>
      <c r="D1489" s="52">
        <f t="shared" si="177"/>
        <v>2200</v>
      </c>
      <c r="E1489" s="52">
        <f t="shared" si="178"/>
        <v>1</v>
      </c>
      <c r="F1489" s="52"/>
      <c r="G1489" s="52"/>
      <c r="H1489" s="52"/>
      <c r="I1489" s="52"/>
      <c r="J1489" s="52"/>
      <c r="K1489" s="52"/>
      <c r="L1489" s="52"/>
      <c r="M1489" s="52"/>
      <c r="N1489" s="52"/>
      <c r="O1489" s="52"/>
      <c r="P1489" s="52"/>
      <c r="Q1489" s="52"/>
      <c r="R1489" s="52"/>
      <c r="S1489" s="52"/>
      <c r="T1489" s="52"/>
      <c r="U1489" s="52"/>
      <c r="V1489" s="52"/>
      <c r="W1489" s="52"/>
      <c r="X1489" s="52"/>
      <c r="Y1489" s="52"/>
      <c r="Z1489" s="52"/>
      <c r="AA1489" s="52"/>
      <c r="AB1489" s="52"/>
      <c r="AC1489" s="52"/>
      <c r="AD1489" s="52"/>
      <c r="AE1489" s="52"/>
      <c r="AF1489" s="52"/>
      <c r="AG1489" s="52"/>
      <c r="AH1489" s="52"/>
      <c r="AI1489" s="52"/>
      <c r="AJ1489" s="52"/>
      <c r="AK1489" s="52"/>
      <c r="AL1489" s="52"/>
      <c r="AM1489" s="52"/>
      <c r="AN1489" s="52"/>
    </row>
    <row r="1490" spans="1:40" x14ac:dyDescent="0.3">
      <c r="A1490" s="52">
        <v>1485</v>
      </c>
      <c r="B1490" s="52">
        <f>-bthan*500+(34+0.5)*bthan*1000/50</f>
        <v>1045</v>
      </c>
      <c r="C1490" s="52">
        <f t="shared" si="179"/>
        <v>-210</v>
      </c>
      <c r="D1490" s="52">
        <f t="shared" si="177"/>
        <v>2200</v>
      </c>
      <c r="E1490" s="52">
        <f t="shared" si="178"/>
        <v>1</v>
      </c>
      <c r="F1490" s="52"/>
      <c r="G1490" s="52"/>
      <c r="H1490" s="52"/>
      <c r="I1490" s="52"/>
      <c r="J1490" s="52"/>
      <c r="K1490" s="52"/>
      <c r="L1490" s="52"/>
      <c r="M1490" s="52"/>
      <c r="N1490" s="52"/>
      <c r="O1490" s="52"/>
      <c r="P1490" s="52"/>
      <c r="Q1490" s="52"/>
      <c r="R1490" s="52"/>
      <c r="S1490" s="52"/>
      <c r="T1490" s="52"/>
      <c r="U1490" s="52"/>
      <c r="V1490" s="52"/>
      <c r="W1490" s="52"/>
      <c r="X1490" s="52"/>
      <c r="Y1490" s="52"/>
      <c r="Z1490" s="52"/>
      <c r="AA1490" s="52"/>
      <c r="AB1490" s="52"/>
      <c r="AC1490" s="52"/>
      <c r="AD1490" s="52"/>
      <c r="AE1490" s="52"/>
      <c r="AF1490" s="52"/>
      <c r="AG1490" s="52"/>
      <c r="AH1490" s="52"/>
      <c r="AI1490" s="52"/>
      <c r="AJ1490" s="52"/>
      <c r="AK1490" s="52"/>
      <c r="AL1490" s="52"/>
      <c r="AM1490" s="52"/>
      <c r="AN1490" s="52"/>
    </row>
    <row r="1491" spans="1:40" x14ac:dyDescent="0.3">
      <c r="A1491" s="52">
        <v>1486</v>
      </c>
      <c r="B1491" s="52">
        <f>-bthan*500+(35+0.5)*bthan*1000/50</f>
        <v>1155</v>
      </c>
      <c r="C1491" s="52">
        <f t="shared" si="179"/>
        <v>-210</v>
      </c>
      <c r="D1491" s="52">
        <f t="shared" si="177"/>
        <v>2200</v>
      </c>
      <c r="E1491" s="52">
        <f t="shared" si="178"/>
        <v>1</v>
      </c>
      <c r="F1491" s="52"/>
      <c r="G1491" s="52"/>
      <c r="H1491" s="52"/>
      <c r="I1491" s="52"/>
      <c r="J1491" s="52"/>
      <c r="K1491" s="52"/>
      <c r="L1491" s="52"/>
      <c r="M1491" s="52"/>
      <c r="N1491" s="52"/>
      <c r="O1491" s="52"/>
      <c r="P1491" s="52"/>
      <c r="Q1491" s="52"/>
      <c r="R1491" s="52"/>
      <c r="S1491" s="52"/>
      <c r="T1491" s="52"/>
      <c r="U1491" s="52"/>
      <c r="V1491" s="52"/>
      <c r="W1491" s="52"/>
      <c r="X1491" s="52"/>
      <c r="Y1491" s="52"/>
      <c r="Z1491" s="52"/>
      <c r="AA1491" s="52"/>
      <c r="AB1491" s="52"/>
      <c r="AC1491" s="52"/>
      <c r="AD1491" s="52"/>
      <c r="AE1491" s="52"/>
      <c r="AF1491" s="52"/>
      <c r="AG1491" s="52"/>
      <c r="AH1491" s="52"/>
      <c r="AI1491" s="52"/>
      <c r="AJ1491" s="52"/>
      <c r="AK1491" s="52"/>
      <c r="AL1491" s="52"/>
      <c r="AM1491" s="52"/>
      <c r="AN1491" s="52"/>
    </row>
    <row r="1492" spans="1:40" x14ac:dyDescent="0.3">
      <c r="A1492" s="52">
        <v>1487</v>
      </c>
      <c r="B1492" s="52">
        <f>-bthan*500+(36+0.5)*bthan*1000/50</f>
        <v>1265</v>
      </c>
      <c r="C1492" s="52">
        <f t="shared" si="179"/>
        <v>-210</v>
      </c>
      <c r="D1492" s="52">
        <f t="shared" si="177"/>
        <v>2200</v>
      </c>
      <c r="E1492" s="52">
        <f t="shared" si="178"/>
        <v>1</v>
      </c>
      <c r="F1492" s="52"/>
      <c r="G1492" s="52"/>
      <c r="H1492" s="52"/>
      <c r="I1492" s="52"/>
      <c r="J1492" s="52"/>
      <c r="K1492" s="52"/>
      <c r="L1492" s="52"/>
      <c r="M1492" s="52"/>
      <c r="N1492" s="52"/>
      <c r="O1492" s="52"/>
      <c r="P1492" s="52"/>
      <c r="Q1492" s="52"/>
      <c r="R1492" s="52"/>
      <c r="S1492" s="52"/>
      <c r="T1492" s="52"/>
      <c r="U1492" s="52"/>
      <c r="V1492" s="52"/>
      <c r="W1492" s="52"/>
      <c r="X1492" s="52"/>
      <c r="Y1492" s="52"/>
      <c r="Z1492" s="52"/>
      <c r="AA1492" s="52"/>
      <c r="AB1492" s="52"/>
      <c r="AC1492" s="52"/>
      <c r="AD1492" s="52"/>
      <c r="AE1492" s="52"/>
      <c r="AF1492" s="52"/>
      <c r="AG1492" s="52"/>
      <c r="AH1492" s="52"/>
      <c r="AI1492" s="52"/>
      <c r="AJ1492" s="52"/>
      <c r="AK1492" s="52"/>
      <c r="AL1492" s="52"/>
      <c r="AM1492" s="52"/>
      <c r="AN1492" s="52"/>
    </row>
    <row r="1493" spans="1:40" x14ac:dyDescent="0.3">
      <c r="A1493" s="52">
        <v>1488</v>
      </c>
      <c r="B1493" s="52">
        <f>-bthan*500+(37+0.5)*bthan*1000/50</f>
        <v>1375</v>
      </c>
      <c r="C1493" s="52">
        <f t="shared" si="179"/>
        <v>-210</v>
      </c>
      <c r="D1493" s="52">
        <f t="shared" si="177"/>
        <v>2200</v>
      </c>
      <c r="E1493" s="52">
        <f t="shared" si="178"/>
        <v>1</v>
      </c>
      <c r="F1493" s="52"/>
      <c r="G1493" s="52"/>
      <c r="H1493" s="52"/>
      <c r="I1493" s="52"/>
      <c r="J1493" s="52"/>
      <c r="K1493" s="52"/>
      <c r="L1493" s="52"/>
      <c r="M1493" s="52"/>
      <c r="N1493" s="52"/>
      <c r="O1493" s="52"/>
      <c r="P1493" s="52"/>
      <c r="Q1493" s="52"/>
      <c r="R1493" s="52"/>
      <c r="S1493" s="52"/>
      <c r="T1493" s="52"/>
      <c r="U1493" s="52"/>
      <c r="V1493" s="52"/>
      <c r="W1493" s="52"/>
      <c r="X1493" s="52"/>
      <c r="Y1493" s="52"/>
      <c r="Z1493" s="52"/>
      <c r="AA1493" s="52"/>
      <c r="AB1493" s="52"/>
      <c r="AC1493" s="52"/>
      <c r="AD1493" s="52"/>
      <c r="AE1493" s="52"/>
      <c r="AF1493" s="52"/>
      <c r="AG1493" s="52"/>
      <c r="AH1493" s="52"/>
      <c r="AI1493" s="52"/>
      <c r="AJ1493" s="52"/>
      <c r="AK1493" s="52"/>
      <c r="AL1493" s="52"/>
      <c r="AM1493" s="52"/>
      <c r="AN1493" s="52"/>
    </row>
    <row r="1494" spans="1:40" x14ac:dyDescent="0.3">
      <c r="A1494" s="52">
        <v>1489</v>
      </c>
      <c r="B1494" s="52">
        <f>-bthan*500+(38+0.5)*bthan*1000/50</f>
        <v>1485</v>
      </c>
      <c r="C1494" s="52">
        <f t="shared" si="179"/>
        <v>-210</v>
      </c>
      <c r="D1494" s="52">
        <f t="shared" si="177"/>
        <v>2200</v>
      </c>
      <c r="E1494" s="52">
        <f t="shared" si="178"/>
        <v>1</v>
      </c>
      <c r="F1494" s="52"/>
      <c r="G1494" s="52"/>
      <c r="H1494" s="52"/>
      <c r="I1494" s="52"/>
      <c r="J1494" s="52"/>
      <c r="K1494" s="52"/>
      <c r="L1494" s="52"/>
      <c r="M1494" s="52"/>
      <c r="N1494" s="52"/>
      <c r="O1494" s="52"/>
      <c r="P1494" s="52"/>
      <c r="Q1494" s="52"/>
      <c r="R1494" s="52"/>
      <c r="S1494" s="52"/>
      <c r="T1494" s="52"/>
      <c r="U1494" s="52"/>
      <c r="V1494" s="52"/>
      <c r="W1494" s="52"/>
      <c r="X1494" s="52"/>
      <c r="Y1494" s="52"/>
      <c r="Z1494" s="52"/>
      <c r="AA1494" s="52"/>
      <c r="AB1494" s="52"/>
      <c r="AC1494" s="52"/>
      <c r="AD1494" s="52"/>
      <c r="AE1494" s="52"/>
      <c r="AF1494" s="52"/>
      <c r="AG1494" s="52"/>
      <c r="AH1494" s="52"/>
      <c r="AI1494" s="52"/>
      <c r="AJ1494" s="52"/>
      <c r="AK1494" s="52"/>
      <c r="AL1494" s="52"/>
      <c r="AM1494" s="52"/>
      <c r="AN1494" s="52"/>
    </row>
    <row r="1495" spans="1:40" x14ac:dyDescent="0.3">
      <c r="A1495" s="52">
        <v>1490</v>
      </c>
      <c r="B1495" s="52">
        <f>-bthan*500+(39+0.5)*bthan*1000/50</f>
        <v>1595</v>
      </c>
      <c r="C1495" s="52">
        <f t="shared" si="179"/>
        <v>-210</v>
      </c>
      <c r="D1495" s="52">
        <f t="shared" si="177"/>
        <v>2200</v>
      </c>
      <c r="E1495" s="52">
        <f t="shared" si="178"/>
        <v>1</v>
      </c>
      <c r="F1495" s="52"/>
      <c r="G1495" s="52"/>
      <c r="H1495" s="52"/>
      <c r="I1495" s="52"/>
      <c r="J1495" s="52"/>
      <c r="K1495" s="52"/>
      <c r="L1495" s="52"/>
      <c r="M1495" s="52"/>
      <c r="N1495" s="52"/>
      <c r="O1495" s="52"/>
      <c r="P1495" s="52"/>
      <c r="Q1495" s="52"/>
      <c r="R1495" s="52"/>
      <c r="S1495" s="52"/>
      <c r="T1495" s="52"/>
      <c r="U1495" s="52"/>
      <c r="V1495" s="52"/>
      <c r="W1495" s="52"/>
      <c r="X1495" s="52"/>
      <c r="Y1495" s="52"/>
      <c r="Z1495" s="52"/>
      <c r="AA1495" s="52"/>
      <c r="AB1495" s="52"/>
      <c r="AC1495" s="52"/>
      <c r="AD1495" s="52"/>
      <c r="AE1495" s="52"/>
      <c r="AF1495" s="52"/>
      <c r="AG1495" s="52"/>
      <c r="AH1495" s="52"/>
      <c r="AI1495" s="52"/>
      <c r="AJ1495" s="52"/>
      <c r="AK1495" s="52"/>
      <c r="AL1495" s="52"/>
      <c r="AM1495" s="52"/>
      <c r="AN1495" s="52"/>
    </row>
    <row r="1496" spans="1:40" x14ac:dyDescent="0.3">
      <c r="A1496" s="52">
        <v>1491</v>
      </c>
      <c r="B1496" s="52">
        <f>-bthan*500+(40+0.5)*bthan*1000/50</f>
        <v>1705</v>
      </c>
      <c r="C1496" s="52">
        <f t="shared" si="179"/>
        <v>-210</v>
      </c>
      <c r="D1496" s="52">
        <f t="shared" si="177"/>
        <v>2200</v>
      </c>
      <c r="E1496" s="52">
        <f t="shared" si="178"/>
        <v>1</v>
      </c>
      <c r="F1496" s="52"/>
      <c r="G1496" s="52"/>
      <c r="H1496" s="52"/>
      <c r="I1496" s="52"/>
      <c r="J1496" s="52"/>
      <c r="K1496" s="52"/>
      <c r="L1496" s="52"/>
      <c r="M1496" s="52"/>
      <c r="N1496" s="52"/>
      <c r="O1496" s="52"/>
      <c r="P1496" s="52"/>
      <c r="Q1496" s="52"/>
      <c r="R1496" s="52"/>
      <c r="S1496" s="52"/>
      <c r="T1496" s="52"/>
      <c r="U1496" s="52"/>
      <c r="V1496" s="52"/>
      <c r="W1496" s="52"/>
      <c r="X1496" s="52"/>
      <c r="Y1496" s="52"/>
      <c r="Z1496" s="52"/>
      <c r="AA1496" s="52"/>
      <c r="AB1496" s="52"/>
      <c r="AC1496" s="52"/>
      <c r="AD1496" s="52"/>
      <c r="AE1496" s="52"/>
      <c r="AF1496" s="52"/>
      <c r="AG1496" s="52"/>
      <c r="AH1496" s="52"/>
      <c r="AI1496" s="52"/>
      <c r="AJ1496" s="52"/>
      <c r="AK1496" s="52"/>
      <c r="AL1496" s="52"/>
      <c r="AM1496" s="52"/>
      <c r="AN1496" s="52"/>
    </row>
    <row r="1497" spans="1:40" x14ac:dyDescent="0.3">
      <c r="A1497" s="52">
        <v>1492</v>
      </c>
      <c r="B1497" s="52">
        <f>-bthan*500+(41+0.5)*bthan*1000/50</f>
        <v>1815</v>
      </c>
      <c r="C1497" s="52">
        <f t="shared" si="179"/>
        <v>-210</v>
      </c>
      <c r="D1497" s="52">
        <f t="shared" si="177"/>
        <v>2200</v>
      </c>
      <c r="E1497" s="52">
        <f t="shared" si="178"/>
        <v>1</v>
      </c>
      <c r="F1497" s="52"/>
      <c r="G1497" s="52"/>
      <c r="H1497" s="52"/>
      <c r="I1497" s="52"/>
      <c r="J1497" s="52"/>
      <c r="K1497" s="52"/>
      <c r="L1497" s="52"/>
      <c r="M1497" s="52"/>
      <c r="N1497" s="52"/>
      <c r="O1497" s="52"/>
      <c r="P1497" s="52"/>
      <c r="Q1497" s="52"/>
      <c r="R1497" s="52"/>
      <c r="S1497" s="52"/>
      <c r="T1497" s="52"/>
      <c r="U1497" s="52"/>
      <c r="V1497" s="52"/>
      <c r="W1497" s="52"/>
      <c r="X1497" s="52"/>
      <c r="Y1497" s="52"/>
      <c r="Z1497" s="52"/>
      <c r="AA1497" s="52"/>
      <c r="AB1497" s="52"/>
      <c r="AC1497" s="52"/>
      <c r="AD1497" s="52"/>
      <c r="AE1497" s="52"/>
      <c r="AF1497" s="52"/>
      <c r="AG1497" s="52"/>
      <c r="AH1497" s="52"/>
      <c r="AI1497" s="52"/>
      <c r="AJ1497" s="52"/>
      <c r="AK1497" s="52"/>
      <c r="AL1497" s="52"/>
      <c r="AM1497" s="52"/>
      <c r="AN1497" s="52"/>
    </row>
    <row r="1498" spans="1:40" x14ac:dyDescent="0.3">
      <c r="A1498" s="52">
        <v>1493</v>
      </c>
      <c r="B1498" s="52">
        <f>-bthan*500+(42+0.5)*bthan*1000/50</f>
        <v>1925</v>
      </c>
      <c r="C1498" s="52">
        <f t="shared" si="179"/>
        <v>-210</v>
      </c>
      <c r="D1498" s="52">
        <f t="shared" si="177"/>
        <v>2200</v>
      </c>
      <c r="E1498" s="52">
        <f t="shared" si="178"/>
        <v>1</v>
      </c>
      <c r="F1498" s="52"/>
      <c r="G1498" s="52"/>
      <c r="H1498" s="52"/>
      <c r="I1498" s="52"/>
      <c r="J1498" s="52"/>
      <c r="K1498" s="52"/>
      <c r="L1498" s="52"/>
      <c r="M1498" s="52"/>
      <c r="N1498" s="52"/>
      <c r="O1498" s="52"/>
      <c r="P1498" s="52"/>
      <c r="Q1498" s="52"/>
      <c r="R1498" s="52"/>
      <c r="S1498" s="52"/>
      <c r="T1498" s="52"/>
      <c r="U1498" s="52"/>
      <c r="V1498" s="52"/>
      <c r="W1498" s="52"/>
      <c r="X1498" s="52"/>
      <c r="Y1498" s="52"/>
      <c r="Z1498" s="52"/>
      <c r="AA1498" s="52"/>
      <c r="AB1498" s="52"/>
      <c r="AC1498" s="52"/>
      <c r="AD1498" s="52"/>
      <c r="AE1498" s="52"/>
      <c r="AF1498" s="52"/>
      <c r="AG1498" s="52"/>
      <c r="AH1498" s="52"/>
      <c r="AI1498" s="52"/>
      <c r="AJ1498" s="52"/>
      <c r="AK1498" s="52"/>
      <c r="AL1498" s="52"/>
      <c r="AM1498" s="52"/>
      <c r="AN1498" s="52"/>
    </row>
    <row r="1499" spans="1:40" x14ac:dyDescent="0.3">
      <c r="A1499" s="52">
        <v>1494</v>
      </c>
      <c r="B1499" s="52">
        <f>-bthan*500+(43+0.5)*bthan*1000/50</f>
        <v>2035</v>
      </c>
      <c r="C1499" s="52">
        <f t="shared" si="179"/>
        <v>-210</v>
      </c>
      <c r="D1499" s="52">
        <f t="shared" si="177"/>
        <v>2200</v>
      </c>
      <c r="E1499" s="52">
        <f t="shared" si="178"/>
        <v>1</v>
      </c>
      <c r="F1499" s="52"/>
      <c r="G1499" s="52"/>
      <c r="H1499" s="52"/>
      <c r="I1499" s="52"/>
      <c r="J1499" s="52"/>
      <c r="K1499" s="52"/>
      <c r="L1499" s="52"/>
      <c r="M1499" s="52"/>
      <c r="N1499" s="52"/>
      <c r="O1499" s="52"/>
      <c r="P1499" s="52"/>
      <c r="Q1499" s="52"/>
      <c r="R1499" s="52"/>
      <c r="S1499" s="52"/>
      <c r="T1499" s="52"/>
      <c r="U1499" s="52"/>
      <c r="V1499" s="52"/>
      <c r="W1499" s="52"/>
      <c r="X1499" s="52"/>
      <c r="Y1499" s="52"/>
      <c r="Z1499" s="52"/>
      <c r="AA1499" s="52"/>
      <c r="AB1499" s="52"/>
      <c r="AC1499" s="52"/>
      <c r="AD1499" s="52"/>
      <c r="AE1499" s="52"/>
      <c r="AF1499" s="52"/>
      <c r="AG1499" s="52"/>
      <c r="AH1499" s="52"/>
      <c r="AI1499" s="52"/>
      <c r="AJ1499" s="52"/>
      <c r="AK1499" s="52"/>
      <c r="AL1499" s="52"/>
      <c r="AM1499" s="52"/>
      <c r="AN1499" s="52"/>
    </row>
    <row r="1500" spans="1:40" x14ac:dyDescent="0.3">
      <c r="A1500" s="52">
        <v>1495</v>
      </c>
      <c r="B1500" s="52">
        <f>-bthan*500+(44+0.5)*bthan*1000/50</f>
        <v>2145</v>
      </c>
      <c r="C1500" s="52">
        <f t="shared" si="179"/>
        <v>-210</v>
      </c>
      <c r="D1500" s="52">
        <f t="shared" si="177"/>
        <v>2200</v>
      </c>
      <c r="E1500" s="52">
        <f t="shared" si="178"/>
        <v>1</v>
      </c>
      <c r="F1500" s="52"/>
      <c r="G1500" s="52"/>
      <c r="H1500" s="52"/>
      <c r="I1500" s="52"/>
      <c r="J1500" s="52"/>
      <c r="K1500" s="52"/>
      <c r="L1500" s="52"/>
      <c r="M1500" s="52"/>
      <c r="N1500" s="52"/>
      <c r="O1500" s="52"/>
      <c r="P1500" s="52"/>
      <c r="Q1500" s="52"/>
      <c r="R1500" s="52"/>
      <c r="S1500" s="52"/>
      <c r="T1500" s="52"/>
      <c r="U1500" s="52"/>
      <c r="V1500" s="52"/>
      <c r="W1500" s="52"/>
      <c r="X1500" s="52"/>
      <c r="Y1500" s="52"/>
      <c r="Z1500" s="52"/>
      <c r="AA1500" s="52"/>
      <c r="AB1500" s="52"/>
      <c r="AC1500" s="52"/>
      <c r="AD1500" s="52"/>
      <c r="AE1500" s="52"/>
      <c r="AF1500" s="52"/>
      <c r="AG1500" s="52"/>
      <c r="AH1500" s="52"/>
      <c r="AI1500" s="52"/>
      <c r="AJ1500" s="52"/>
      <c r="AK1500" s="52"/>
      <c r="AL1500" s="52"/>
      <c r="AM1500" s="52"/>
      <c r="AN1500" s="52"/>
    </row>
    <row r="1501" spans="1:40" x14ac:dyDescent="0.3">
      <c r="A1501" s="52">
        <v>1496</v>
      </c>
      <c r="B1501" s="52">
        <f>-bthan*500+(45+0.5)*bthan*1000/50</f>
        <v>2255</v>
      </c>
      <c r="C1501" s="52">
        <f t="shared" si="179"/>
        <v>-210</v>
      </c>
      <c r="D1501" s="52">
        <f t="shared" si="177"/>
        <v>2200</v>
      </c>
      <c r="E1501" s="52">
        <f t="shared" si="178"/>
        <v>1</v>
      </c>
      <c r="F1501" s="52"/>
      <c r="G1501" s="52"/>
      <c r="H1501" s="52"/>
      <c r="I1501" s="52"/>
      <c r="J1501" s="52"/>
      <c r="K1501" s="52"/>
      <c r="L1501" s="52"/>
      <c r="M1501" s="52"/>
      <c r="N1501" s="52"/>
      <c r="O1501" s="52"/>
      <c r="P1501" s="52"/>
      <c r="Q1501" s="52"/>
      <c r="R1501" s="52"/>
      <c r="S1501" s="52"/>
      <c r="T1501" s="52"/>
      <c r="U1501" s="52"/>
      <c r="V1501" s="52"/>
      <c r="W1501" s="52"/>
      <c r="X1501" s="52"/>
      <c r="Y1501" s="52"/>
      <c r="Z1501" s="52"/>
      <c r="AA1501" s="52"/>
      <c r="AB1501" s="52"/>
      <c r="AC1501" s="52"/>
      <c r="AD1501" s="52"/>
      <c r="AE1501" s="52"/>
      <c r="AF1501" s="52"/>
      <c r="AG1501" s="52"/>
      <c r="AH1501" s="52"/>
      <c r="AI1501" s="52"/>
      <c r="AJ1501" s="52"/>
      <c r="AK1501" s="52"/>
      <c r="AL1501" s="52"/>
      <c r="AM1501" s="52"/>
      <c r="AN1501" s="52"/>
    </row>
    <row r="1502" spans="1:40" x14ac:dyDescent="0.3">
      <c r="A1502" s="52">
        <v>1497</v>
      </c>
      <c r="B1502" s="52">
        <f>-bthan*500+(46+0.5)*bthan*1000/50</f>
        <v>2365</v>
      </c>
      <c r="C1502" s="52">
        <f t="shared" si="179"/>
        <v>-210</v>
      </c>
      <c r="D1502" s="52">
        <f t="shared" si="177"/>
        <v>2200</v>
      </c>
      <c r="E1502" s="52">
        <f t="shared" si="178"/>
        <v>1</v>
      </c>
      <c r="F1502" s="52"/>
      <c r="G1502" s="52"/>
      <c r="H1502" s="52"/>
      <c r="I1502" s="52"/>
      <c r="J1502" s="52"/>
      <c r="K1502" s="52"/>
      <c r="L1502" s="52"/>
      <c r="M1502" s="52"/>
      <c r="N1502" s="52"/>
      <c r="O1502" s="52"/>
      <c r="P1502" s="52"/>
      <c r="Q1502" s="52"/>
      <c r="R1502" s="52"/>
      <c r="S1502" s="52"/>
      <c r="T1502" s="52"/>
      <c r="U1502" s="52"/>
      <c r="V1502" s="52"/>
      <c r="W1502" s="52"/>
      <c r="X1502" s="52"/>
      <c r="Y1502" s="52"/>
      <c r="Z1502" s="52"/>
      <c r="AA1502" s="52"/>
      <c r="AB1502" s="52"/>
      <c r="AC1502" s="52"/>
      <c r="AD1502" s="52"/>
      <c r="AE1502" s="52"/>
      <c r="AF1502" s="52"/>
      <c r="AG1502" s="52"/>
      <c r="AH1502" s="52"/>
      <c r="AI1502" s="52"/>
      <c r="AJ1502" s="52"/>
      <c r="AK1502" s="52"/>
      <c r="AL1502" s="52"/>
      <c r="AM1502" s="52"/>
      <c r="AN1502" s="52"/>
    </row>
    <row r="1503" spans="1:40" x14ac:dyDescent="0.3">
      <c r="A1503" s="52">
        <v>1498</v>
      </c>
      <c r="B1503" s="52">
        <f>-bthan*500+(47+0.5)*bthan*1000/50</f>
        <v>2475</v>
      </c>
      <c r="C1503" s="52">
        <f t="shared" si="179"/>
        <v>-210</v>
      </c>
      <c r="D1503" s="52">
        <f t="shared" si="177"/>
        <v>2200</v>
      </c>
      <c r="E1503" s="52">
        <f t="shared" si="178"/>
        <v>1</v>
      </c>
      <c r="F1503" s="52"/>
      <c r="G1503" s="52"/>
      <c r="H1503" s="52"/>
      <c r="I1503" s="52"/>
      <c r="J1503" s="52"/>
      <c r="K1503" s="52"/>
      <c r="L1503" s="52"/>
      <c r="M1503" s="52"/>
      <c r="N1503" s="52"/>
      <c r="O1503" s="52"/>
      <c r="P1503" s="52"/>
      <c r="Q1503" s="52"/>
      <c r="R1503" s="52"/>
      <c r="S1503" s="52"/>
      <c r="T1503" s="52"/>
      <c r="U1503" s="52"/>
      <c r="V1503" s="52"/>
      <c r="W1503" s="52"/>
      <c r="X1503" s="52"/>
      <c r="Y1503" s="52"/>
      <c r="Z1503" s="52"/>
      <c r="AA1503" s="52"/>
      <c r="AB1503" s="52"/>
      <c r="AC1503" s="52"/>
      <c r="AD1503" s="52"/>
      <c r="AE1503" s="52"/>
      <c r="AF1503" s="52"/>
      <c r="AG1503" s="52"/>
      <c r="AH1503" s="52"/>
      <c r="AI1503" s="52"/>
      <c r="AJ1503" s="52"/>
      <c r="AK1503" s="52"/>
      <c r="AL1503" s="52"/>
      <c r="AM1503" s="52"/>
      <c r="AN1503" s="52"/>
    </row>
    <row r="1504" spans="1:40" x14ac:dyDescent="0.3">
      <c r="A1504" s="52">
        <v>1499</v>
      </c>
      <c r="B1504" s="52">
        <f>-bthan*500+(48+0.5)*bthan*1000/50</f>
        <v>2585</v>
      </c>
      <c r="C1504" s="52">
        <f t="shared" si="179"/>
        <v>-210</v>
      </c>
      <c r="D1504" s="52">
        <f t="shared" si="177"/>
        <v>2200</v>
      </c>
      <c r="E1504" s="52">
        <f t="shared" si="178"/>
        <v>1</v>
      </c>
      <c r="F1504" s="52"/>
      <c r="G1504" s="52"/>
      <c r="H1504" s="52"/>
      <c r="I1504" s="52"/>
      <c r="J1504" s="52"/>
      <c r="K1504" s="52"/>
      <c r="L1504" s="52"/>
      <c r="M1504" s="52"/>
      <c r="N1504" s="52"/>
      <c r="O1504" s="52"/>
      <c r="P1504" s="52"/>
      <c r="Q1504" s="52"/>
      <c r="R1504" s="52"/>
      <c r="S1504" s="52"/>
      <c r="T1504" s="52"/>
      <c r="U1504" s="52"/>
      <c r="V1504" s="52"/>
      <c r="W1504" s="52"/>
      <c r="X1504" s="52"/>
      <c r="Y1504" s="52"/>
      <c r="Z1504" s="52"/>
      <c r="AA1504" s="52"/>
      <c r="AB1504" s="52"/>
      <c r="AC1504" s="52"/>
      <c r="AD1504" s="52"/>
      <c r="AE1504" s="52"/>
      <c r="AF1504" s="52"/>
      <c r="AG1504" s="52"/>
      <c r="AH1504" s="52"/>
      <c r="AI1504" s="52"/>
      <c r="AJ1504" s="52"/>
      <c r="AK1504" s="52"/>
      <c r="AL1504" s="52"/>
      <c r="AM1504" s="52"/>
      <c r="AN1504" s="52"/>
    </row>
    <row r="1505" spans="1:40" x14ac:dyDescent="0.3">
      <c r="A1505" s="52">
        <v>1500</v>
      </c>
      <c r="B1505" s="52">
        <f>-bthan*500+(49+0.5)*bthan*1000/50</f>
        <v>2695</v>
      </c>
      <c r="C1505" s="52">
        <f t="shared" si="179"/>
        <v>-210</v>
      </c>
      <c r="D1505" s="52">
        <f t="shared" si="177"/>
        <v>2200</v>
      </c>
      <c r="E1505" s="52">
        <f t="shared" si="178"/>
        <v>1</v>
      </c>
      <c r="F1505" s="52"/>
      <c r="G1505" s="52"/>
      <c r="H1505" s="52"/>
      <c r="I1505" s="52"/>
      <c r="J1505" s="52"/>
      <c r="K1505" s="52"/>
      <c r="L1505" s="52"/>
      <c r="M1505" s="52"/>
      <c r="N1505" s="52"/>
      <c r="O1505" s="52"/>
      <c r="P1505" s="52"/>
      <c r="Q1505" s="52"/>
      <c r="R1505" s="52"/>
      <c r="S1505" s="52"/>
      <c r="T1505" s="52"/>
      <c r="U1505" s="52"/>
      <c r="V1505" s="52"/>
      <c r="W1505" s="52"/>
      <c r="X1505" s="52"/>
      <c r="Y1505" s="52"/>
      <c r="Z1505" s="52"/>
      <c r="AA1505" s="52"/>
      <c r="AB1505" s="52"/>
      <c r="AC1505" s="52"/>
      <c r="AD1505" s="52"/>
      <c r="AE1505" s="52"/>
      <c r="AF1505" s="52"/>
      <c r="AG1505" s="52"/>
      <c r="AH1505" s="52"/>
      <c r="AI1505" s="52"/>
      <c r="AJ1505" s="52"/>
      <c r="AK1505" s="52"/>
      <c r="AL1505" s="52"/>
      <c r="AM1505" s="52"/>
      <c r="AN1505" s="52"/>
    </row>
    <row r="1506" spans="1:40" x14ac:dyDescent="0.3">
      <c r="A1506" s="52">
        <v>1501</v>
      </c>
      <c r="B1506" s="52">
        <f>-bthan*500+(0+0.5)*bthan*1000/50</f>
        <v>-2695</v>
      </c>
      <c r="C1506" s="52">
        <f t="shared" ref="C1506:C1537" si="180">-hthan*500+(30+0.5)*hthan*1000/80</f>
        <v>-189.99999999999989</v>
      </c>
      <c r="D1506" s="52">
        <f t="shared" si="177"/>
        <v>2200</v>
      </c>
      <c r="E1506" s="52">
        <f t="shared" si="178"/>
        <v>1</v>
      </c>
      <c r="F1506" s="52"/>
      <c r="G1506" s="52"/>
      <c r="H1506" s="52"/>
      <c r="I1506" s="52"/>
      <c r="J1506" s="52"/>
      <c r="K1506" s="52"/>
      <c r="L1506" s="52"/>
      <c r="M1506" s="52"/>
      <c r="N1506" s="52"/>
      <c r="O1506" s="52"/>
      <c r="P1506" s="52"/>
      <c r="Q1506" s="52"/>
      <c r="R1506" s="52"/>
      <c r="S1506" s="52"/>
      <c r="T1506" s="52"/>
      <c r="U1506" s="52"/>
      <c r="V1506" s="52"/>
      <c r="W1506" s="52"/>
      <c r="X1506" s="52"/>
      <c r="Y1506" s="52"/>
      <c r="Z1506" s="52"/>
      <c r="AA1506" s="52"/>
      <c r="AB1506" s="52"/>
      <c r="AC1506" s="52"/>
      <c r="AD1506" s="52"/>
      <c r="AE1506" s="52"/>
      <c r="AF1506" s="52"/>
      <c r="AG1506" s="52"/>
      <c r="AH1506" s="52"/>
      <c r="AI1506" s="52"/>
      <c r="AJ1506" s="52"/>
      <c r="AK1506" s="52"/>
      <c r="AL1506" s="52"/>
      <c r="AM1506" s="52"/>
      <c r="AN1506" s="52"/>
    </row>
    <row r="1507" spans="1:40" x14ac:dyDescent="0.3">
      <c r="A1507" s="52">
        <v>1502</v>
      </c>
      <c r="B1507" s="52">
        <f>-bthan*500+(1+0.5)*bthan*1000/50</f>
        <v>-2585</v>
      </c>
      <c r="C1507" s="52">
        <f t="shared" si="180"/>
        <v>-189.99999999999989</v>
      </c>
      <c r="D1507" s="52">
        <f t="shared" si="177"/>
        <v>2200</v>
      </c>
      <c r="E1507" s="52">
        <f t="shared" si="178"/>
        <v>1</v>
      </c>
      <c r="F1507" s="52"/>
      <c r="G1507" s="52"/>
      <c r="H1507" s="52"/>
      <c r="I1507" s="52"/>
      <c r="J1507" s="52"/>
      <c r="K1507" s="52"/>
      <c r="L1507" s="52"/>
      <c r="M1507" s="52"/>
      <c r="N1507" s="52"/>
      <c r="O1507" s="52"/>
      <c r="P1507" s="52"/>
      <c r="Q1507" s="52"/>
      <c r="R1507" s="52"/>
      <c r="S1507" s="52"/>
      <c r="T1507" s="52"/>
      <c r="U1507" s="52"/>
      <c r="V1507" s="52"/>
      <c r="W1507" s="52"/>
      <c r="X1507" s="52"/>
      <c r="Y1507" s="52"/>
      <c r="Z1507" s="52"/>
      <c r="AA1507" s="52"/>
      <c r="AB1507" s="52"/>
      <c r="AC1507" s="52"/>
      <c r="AD1507" s="52"/>
      <c r="AE1507" s="52"/>
      <c r="AF1507" s="52"/>
      <c r="AG1507" s="52"/>
      <c r="AH1507" s="52"/>
      <c r="AI1507" s="52"/>
      <c r="AJ1507" s="52"/>
      <c r="AK1507" s="52"/>
      <c r="AL1507" s="52"/>
      <c r="AM1507" s="52"/>
      <c r="AN1507" s="52"/>
    </row>
    <row r="1508" spans="1:40" x14ac:dyDescent="0.3">
      <c r="A1508" s="52">
        <v>1503</v>
      </c>
      <c r="B1508" s="52">
        <f>-bthan*500+(2+0.5)*bthan*1000/50</f>
        <v>-2475</v>
      </c>
      <c r="C1508" s="52">
        <f t="shared" si="180"/>
        <v>-189.99999999999989</v>
      </c>
      <c r="D1508" s="52">
        <f t="shared" si="177"/>
        <v>2200</v>
      </c>
      <c r="E1508" s="52">
        <f t="shared" si="178"/>
        <v>1</v>
      </c>
      <c r="F1508" s="52"/>
      <c r="G1508" s="52"/>
      <c r="H1508" s="52"/>
      <c r="I1508" s="52"/>
      <c r="J1508" s="52"/>
      <c r="K1508" s="52"/>
      <c r="L1508" s="52"/>
      <c r="M1508" s="52"/>
      <c r="N1508" s="52"/>
      <c r="O1508" s="52"/>
      <c r="P1508" s="52"/>
      <c r="Q1508" s="52"/>
      <c r="R1508" s="52"/>
      <c r="S1508" s="52"/>
      <c r="T1508" s="52"/>
      <c r="U1508" s="52"/>
      <c r="V1508" s="52"/>
      <c r="W1508" s="52"/>
      <c r="X1508" s="52"/>
      <c r="Y1508" s="52"/>
      <c r="Z1508" s="52"/>
      <c r="AA1508" s="52"/>
      <c r="AB1508" s="52"/>
      <c r="AC1508" s="52"/>
      <c r="AD1508" s="52"/>
      <c r="AE1508" s="52"/>
      <c r="AF1508" s="52"/>
      <c r="AG1508" s="52"/>
      <c r="AH1508" s="52"/>
      <c r="AI1508" s="52"/>
      <c r="AJ1508" s="52"/>
      <c r="AK1508" s="52"/>
      <c r="AL1508" s="52"/>
      <c r="AM1508" s="52"/>
      <c r="AN1508" s="52"/>
    </row>
    <row r="1509" spans="1:40" x14ac:dyDescent="0.3">
      <c r="A1509" s="52">
        <v>1504</v>
      </c>
      <c r="B1509" s="52">
        <f>-bthan*500+(3+0.5)*bthan*1000/50</f>
        <v>-2365</v>
      </c>
      <c r="C1509" s="52">
        <f t="shared" si="180"/>
        <v>-189.99999999999989</v>
      </c>
      <c r="D1509" s="52">
        <f t="shared" si="177"/>
        <v>2200</v>
      </c>
      <c r="E1509" s="52">
        <f t="shared" si="178"/>
        <v>1</v>
      </c>
      <c r="F1509" s="52"/>
      <c r="G1509" s="52"/>
      <c r="H1509" s="52"/>
      <c r="I1509" s="52"/>
      <c r="J1509" s="52"/>
      <c r="K1509" s="52"/>
      <c r="L1509" s="52"/>
      <c r="M1509" s="52"/>
      <c r="N1509" s="52"/>
      <c r="O1509" s="52"/>
      <c r="P1509" s="52"/>
      <c r="Q1509" s="52"/>
      <c r="R1509" s="52"/>
      <c r="S1509" s="52"/>
      <c r="T1509" s="52"/>
      <c r="U1509" s="52"/>
      <c r="V1509" s="52"/>
      <c r="W1509" s="52"/>
      <c r="X1509" s="52"/>
      <c r="Y1509" s="52"/>
      <c r="Z1509" s="52"/>
      <c r="AA1509" s="52"/>
      <c r="AB1509" s="52"/>
      <c r="AC1509" s="52"/>
      <c r="AD1509" s="52"/>
      <c r="AE1509" s="52"/>
      <c r="AF1509" s="52"/>
      <c r="AG1509" s="52"/>
      <c r="AH1509" s="52"/>
      <c r="AI1509" s="52"/>
      <c r="AJ1509" s="52"/>
      <c r="AK1509" s="52"/>
      <c r="AL1509" s="52"/>
      <c r="AM1509" s="52"/>
      <c r="AN1509" s="52"/>
    </row>
    <row r="1510" spans="1:40" x14ac:dyDescent="0.3">
      <c r="A1510" s="52">
        <v>1505</v>
      </c>
      <c r="B1510" s="52">
        <f>-bthan*500+(4+0.5)*bthan*1000/50</f>
        <v>-2255</v>
      </c>
      <c r="C1510" s="52">
        <f t="shared" si="180"/>
        <v>-189.99999999999989</v>
      </c>
      <c r="D1510" s="52">
        <f t="shared" si="177"/>
        <v>2200</v>
      </c>
      <c r="E1510" s="52">
        <f t="shared" si="178"/>
        <v>1</v>
      </c>
      <c r="F1510" s="52"/>
      <c r="G1510" s="52"/>
      <c r="H1510" s="52"/>
      <c r="I1510" s="52"/>
      <c r="J1510" s="52"/>
      <c r="K1510" s="52"/>
      <c r="L1510" s="52"/>
      <c r="M1510" s="52"/>
      <c r="N1510" s="52"/>
      <c r="O1510" s="52"/>
      <c r="P1510" s="52"/>
      <c r="Q1510" s="52"/>
      <c r="R1510" s="52"/>
      <c r="S1510" s="52"/>
      <c r="T1510" s="52"/>
      <c r="U1510" s="52"/>
      <c r="V1510" s="52"/>
      <c r="W1510" s="52"/>
      <c r="X1510" s="52"/>
      <c r="Y1510" s="52"/>
      <c r="Z1510" s="52"/>
      <c r="AA1510" s="52"/>
      <c r="AB1510" s="52"/>
      <c r="AC1510" s="52"/>
      <c r="AD1510" s="52"/>
      <c r="AE1510" s="52"/>
      <c r="AF1510" s="52"/>
      <c r="AG1510" s="52"/>
      <c r="AH1510" s="52"/>
      <c r="AI1510" s="52"/>
      <c r="AJ1510" s="52"/>
      <c r="AK1510" s="52"/>
      <c r="AL1510" s="52"/>
      <c r="AM1510" s="52"/>
      <c r="AN1510" s="52"/>
    </row>
    <row r="1511" spans="1:40" x14ac:dyDescent="0.3">
      <c r="A1511" s="52">
        <v>1506</v>
      </c>
      <c r="B1511" s="52">
        <f>-bthan*500+(5+0.5)*bthan*1000/50</f>
        <v>-2145</v>
      </c>
      <c r="C1511" s="52">
        <f t="shared" si="180"/>
        <v>-189.99999999999989</v>
      </c>
      <c r="D1511" s="52">
        <f t="shared" si="177"/>
        <v>2200</v>
      </c>
      <c r="E1511" s="52">
        <f t="shared" si="178"/>
        <v>1</v>
      </c>
      <c r="F1511" s="52"/>
      <c r="G1511" s="52"/>
      <c r="H1511" s="52"/>
      <c r="I1511" s="52"/>
      <c r="J1511" s="52"/>
      <c r="K1511" s="52"/>
      <c r="L1511" s="52"/>
      <c r="M1511" s="52"/>
      <c r="N1511" s="52"/>
      <c r="O1511" s="52"/>
      <c r="P1511" s="52"/>
      <c r="Q1511" s="52"/>
      <c r="R1511" s="52"/>
      <c r="S1511" s="52"/>
      <c r="T1511" s="52"/>
      <c r="U1511" s="52"/>
      <c r="V1511" s="52"/>
      <c r="W1511" s="52"/>
      <c r="X1511" s="52"/>
      <c r="Y1511" s="52"/>
      <c r="Z1511" s="52"/>
      <c r="AA1511" s="52"/>
      <c r="AB1511" s="52"/>
      <c r="AC1511" s="52"/>
      <c r="AD1511" s="52"/>
      <c r="AE1511" s="52"/>
      <c r="AF1511" s="52"/>
      <c r="AG1511" s="52"/>
      <c r="AH1511" s="52"/>
      <c r="AI1511" s="52"/>
      <c r="AJ1511" s="52"/>
      <c r="AK1511" s="52"/>
      <c r="AL1511" s="52"/>
      <c r="AM1511" s="52"/>
      <c r="AN1511" s="52"/>
    </row>
    <row r="1512" spans="1:40" x14ac:dyDescent="0.3">
      <c r="A1512" s="52">
        <v>1507</v>
      </c>
      <c r="B1512" s="52">
        <f>-bthan*500+(6+0.5)*bthan*1000/50</f>
        <v>-2035</v>
      </c>
      <c r="C1512" s="52">
        <f t="shared" si="180"/>
        <v>-189.99999999999989</v>
      </c>
      <c r="D1512" s="52">
        <f t="shared" si="177"/>
        <v>2200</v>
      </c>
      <c r="E1512" s="52">
        <f t="shared" si="178"/>
        <v>1</v>
      </c>
      <c r="F1512" s="52"/>
      <c r="G1512" s="52"/>
      <c r="H1512" s="52"/>
      <c r="I1512" s="52"/>
      <c r="J1512" s="52"/>
      <c r="K1512" s="52"/>
      <c r="L1512" s="52"/>
      <c r="M1512" s="52"/>
      <c r="N1512" s="52"/>
      <c r="O1512" s="52"/>
      <c r="P1512" s="52"/>
      <c r="Q1512" s="52"/>
      <c r="R1512" s="52"/>
      <c r="S1512" s="52"/>
      <c r="T1512" s="52"/>
      <c r="U1512" s="52"/>
      <c r="V1512" s="52"/>
      <c r="W1512" s="52"/>
      <c r="X1512" s="52"/>
      <c r="Y1512" s="52"/>
      <c r="Z1512" s="52"/>
      <c r="AA1512" s="52"/>
      <c r="AB1512" s="52"/>
      <c r="AC1512" s="52"/>
      <c r="AD1512" s="52"/>
      <c r="AE1512" s="52"/>
      <c r="AF1512" s="52"/>
      <c r="AG1512" s="52"/>
      <c r="AH1512" s="52"/>
      <c r="AI1512" s="52"/>
      <c r="AJ1512" s="52"/>
      <c r="AK1512" s="52"/>
      <c r="AL1512" s="52"/>
      <c r="AM1512" s="52"/>
      <c r="AN1512" s="52"/>
    </row>
    <row r="1513" spans="1:40" x14ac:dyDescent="0.3">
      <c r="A1513" s="52">
        <v>1508</v>
      </c>
      <c r="B1513" s="52">
        <f>-bthan*500+(7+0.5)*bthan*1000/50</f>
        <v>-1925</v>
      </c>
      <c r="C1513" s="52">
        <f t="shared" si="180"/>
        <v>-189.99999999999989</v>
      </c>
      <c r="D1513" s="52">
        <f t="shared" si="177"/>
        <v>2200</v>
      </c>
      <c r="E1513" s="52">
        <f t="shared" si="178"/>
        <v>1</v>
      </c>
      <c r="F1513" s="52"/>
      <c r="G1513" s="52"/>
      <c r="H1513" s="52"/>
      <c r="I1513" s="52"/>
      <c r="J1513" s="52"/>
      <c r="K1513" s="52"/>
      <c r="L1513" s="52"/>
      <c r="M1513" s="52"/>
      <c r="N1513" s="52"/>
      <c r="O1513" s="52"/>
      <c r="P1513" s="52"/>
      <c r="Q1513" s="52"/>
      <c r="R1513" s="52"/>
      <c r="S1513" s="52"/>
      <c r="T1513" s="52"/>
      <c r="U1513" s="52"/>
      <c r="V1513" s="52"/>
      <c r="W1513" s="52"/>
      <c r="X1513" s="52"/>
      <c r="Y1513" s="52"/>
      <c r="Z1513" s="52"/>
      <c r="AA1513" s="52"/>
      <c r="AB1513" s="52"/>
      <c r="AC1513" s="52"/>
      <c r="AD1513" s="52"/>
      <c r="AE1513" s="52"/>
      <c r="AF1513" s="52"/>
      <c r="AG1513" s="52"/>
      <c r="AH1513" s="52"/>
      <c r="AI1513" s="52"/>
      <c r="AJ1513" s="52"/>
      <c r="AK1513" s="52"/>
      <c r="AL1513" s="52"/>
      <c r="AM1513" s="52"/>
      <c r="AN1513" s="52"/>
    </row>
    <row r="1514" spans="1:40" x14ac:dyDescent="0.3">
      <c r="A1514" s="52">
        <v>1509</v>
      </c>
      <c r="B1514" s="52">
        <f>-bthan*500+(8+0.5)*bthan*1000/50</f>
        <v>-1815</v>
      </c>
      <c r="C1514" s="52">
        <f t="shared" si="180"/>
        <v>-189.99999999999989</v>
      </c>
      <c r="D1514" s="52">
        <f t="shared" si="177"/>
        <v>2200</v>
      </c>
      <c r="E1514" s="52">
        <f t="shared" si="178"/>
        <v>1</v>
      </c>
      <c r="F1514" s="52"/>
      <c r="G1514" s="52"/>
      <c r="H1514" s="52"/>
      <c r="I1514" s="52"/>
      <c r="J1514" s="52"/>
      <c r="K1514" s="52"/>
      <c r="L1514" s="52"/>
      <c r="M1514" s="52"/>
      <c r="N1514" s="52"/>
      <c r="O1514" s="52"/>
      <c r="P1514" s="52"/>
      <c r="Q1514" s="52"/>
      <c r="R1514" s="52"/>
      <c r="S1514" s="52"/>
      <c r="T1514" s="52"/>
      <c r="U1514" s="52"/>
      <c r="V1514" s="52"/>
      <c r="W1514" s="52"/>
      <c r="X1514" s="52"/>
      <c r="Y1514" s="52"/>
      <c r="Z1514" s="52"/>
      <c r="AA1514" s="52"/>
      <c r="AB1514" s="52"/>
      <c r="AC1514" s="52"/>
      <c r="AD1514" s="52"/>
      <c r="AE1514" s="52"/>
      <c r="AF1514" s="52"/>
      <c r="AG1514" s="52"/>
      <c r="AH1514" s="52"/>
      <c r="AI1514" s="52"/>
      <c r="AJ1514" s="52"/>
      <c r="AK1514" s="52"/>
      <c r="AL1514" s="52"/>
      <c r="AM1514" s="52"/>
      <c r="AN1514" s="52"/>
    </row>
    <row r="1515" spans="1:40" x14ac:dyDescent="0.3">
      <c r="A1515" s="52">
        <v>1510</v>
      </c>
      <c r="B1515" s="52">
        <f>-bthan*500+(9+0.5)*bthan*1000/50</f>
        <v>-1705</v>
      </c>
      <c r="C1515" s="52">
        <f t="shared" si="180"/>
        <v>-189.99999999999989</v>
      </c>
      <c r="D1515" s="52">
        <f t="shared" si="177"/>
        <v>2200</v>
      </c>
      <c r="E1515" s="52">
        <f t="shared" si="178"/>
        <v>1</v>
      </c>
      <c r="F1515" s="52"/>
      <c r="G1515" s="52"/>
      <c r="H1515" s="52"/>
      <c r="I1515" s="52"/>
      <c r="J1515" s="52"/>
      <c r="K1515" s="52"/>
      <c r="L1515" s="52"/>
      <c r="M1515" s="52"/>
      <c r="N1515" s="52"/>
      <c r="O1515" s="52"/>
      <c r="P1515" s="52"/>
      <c r="Q1515" s="52"/>
      <c r="R1515" s="52"/>
      <c r="S1515" s="52"/>
      <c r="T1515" s="52"/>
      <c r="U1515" s="52"/>
      <c r="V1515" s="52"/>
      <c r="W1515" s="52"/>
      <c r="X1515" s="52"/>
      <c r="Y1515" s="52"/>
      <c r="Z1515" s="52"/>
      <c r="AA1515" s="52"/>
      <c r="AB1515" s="52"/>
      <c r="AC1515" s="52"/>
      <c r="AD1515" s="52"/>
      <c r="AE1515" s="52"/>
      <c r="AF1515" s="52"/>
      <c r="AG1515" s="52"/>
      <c r="AH1515" s="52"/>
      <c r="AI1515" s="52"/>
      <c r="AJ1515" s="52"/>
      <c r="AK1515" s="52"/>
      <c r="AL1515" s="52"/>
      <c r="AM1515" s="52"/>
      <c r="AN1515" s="52"/>
    </row>
    <row r="1516" spans="1:40" x14ac:dyDescent="0.3">
      <c r="A1516" s="52">
        <v>1511</v>
      </c>
      <c r="B1516" s="52">
        <f>-bthan*500+(10+0.5)*bthan*1000/50</f>
        <v>-1595</v>
      </c>
      <c r="C1516" s="52">
        <f t="shared" si="180"/>
        <v>-189.99999999999989</v>
      </c>
      <c r="D1516" s="52">
        <f t="shared" si="177"/>
        <v>2200</v>
      </c>
      <c r="E1516" s="52">
        <f t="shared" si="178"/>
        <v>1</v>
      </c>
      <c r="F1516" s="52"/>
      <c r="G1516" s="52"/>
      <c r="H1516" s="52"/>
      <c r="I1516" s="52"/>
      <c r="J1516" s="52"/>
      <c r="K1516" s="52"/>
      <c r="L1516" s="52"/>
      <c r="M1516" s="52"/>
      <c r="N1516" s="52"/>
      <c r="O1516" s="52"/>
      <c r="P1516" s="52"/>
      <c r="Q1516" s="52"/>
      <c r="R1516" s="52"/>
      <c r="S1516" s="52"/>
      <c r="T1516" s="52"/>
      <c r="U1516" s="52"/>
      <c r="V1516" s="52"/>
      <c r="W1516" s="52"/>
      <c r="X1516" s="52"/>
      <c r="Y1516" s="52"/>
      <c r="Z1516" s="52"/>
      <c r="AA1516" s="52"/>
      <c r="AB1516" s="52"/>
      <c r="AC1516" s="52"/>
      <c r="AD1516" s="52"/>
      <c r="AE1516" s="52"/>
      <c r="AF1516" s="52"/>
      <c r="AG1516" s="52"/>
      <c r="AH1516" s="52"/>
      <c r="AI1516" s="52"/>
      <c r="AJ1516" s="52"/>
      <c r="AK1516" s="52"/>
      <c r="AL1516" s="52"/>
      <c r="AM1516" s="52"/>
      <c r="AN1516" s="52"/>
    </row>
    <row r="1517" spans="1:40" x14ac:dyDescent="0.3">
      <c r="A1517" s="52">
        <v>1512</v>
      </c>
      <c r="B1517" s="52">
        <f>-bthan*500+(11+0.5)*bthan*1000/50</f>
        <v>-1485</v>
      </c>
      <c r="C1517" s="52">
        <f t="shared" si="180"/>
        <v>-189.99999999999989</v>
      </c>
      <c r="D1517" s="52">
        <f t="shared" si="177"/>
        <v>2200</v>
      </c>
      <c r="E1517" s="52">
        <f t="shared" si="178"/>
        <v>1</v>
      </c>
      <c r="F1517" s="52"/>
      <c r="G1517" s="52"/>
      <c r="H1517" s="52"/>
      <c r="I1517" s="52"/>
      <c r="J1517" s="52"/>
      <c r="K1517" s="52"/>
      <c r="L1517" s="52"/>
      <c r="M1517" s="52"/>
      <c r="N1517" s="52"/>
      <c r="O1517" s="52"/>
      <c r="P1517" s="52"/>
      <c r="Q1517" s="52"/>
      <c r="R1517" s="52"/>
      <c r="S1517" s="52"/>
      <c r="T1517" s="52"/>
      <c r="U1517" s="52"/>
      <c r="V1517" s="52"/>
      <c r="W1517" s="52"/>
      <c r="X1517" s="52"/>
      <c r="Y1517" s="52"/>
      <c r="Z1517" s="52"/>
      <c r="AA1517" s="52"/>
      <c r="AB1517" s="52"/>
      <c r="AC1517" s="52"/>
      <c r="AD1517" s="52"/>
      <c r="AE1517" s="52"/>
      <c r="AF1517" s="52"/>
      <c r="AG1517" s="52"/>
      <c r="AH1517" s="52"/>
      <c r="AI1517" s="52"/>
      <c r="AJ1517" s="52"/>
      <c r="AK1517" s="52"/>
      <c r="AL1517" s="52"/>
      <c r="AM1517" s="52"/>
      <c r="AN1517" s="52"/>
    </row>
    <row r="1518" spans="1:40" x14ac:dyDescent="0.3">
      <c r="A1518" s="52">
        <v>1513</v>
      </c>
      <c r="B1518" s="52">
        <f>-bthan*500+(12+0.5)*bthan*1000/50</f>
        <v>-1375</v>
      </c>
      <c r="C1518" s="52">
        <f t="shared" si="180"/>
        <v>-189.99999999999989</v>
      </c>
      <c r="D1518" s="52">
        <f t="shared" si="177"/>
        <v>2200</v>
      </c>
      <c r="E1518" s="52">
        <f t="shared" si="178"/>
        <v>1</v>
      </c>
      <c r="F1518" s="52"/>
      <c r="G1518" s="52"/>
      <c r="H1518" s="52"/>
      <c r="I1518" s="52"/>
      <c r="J1518" s="52"/>
      <c r="K1518" s="52"/>
      <c r="L1518" s="52"/>
      <c r="M1518" s="52"/>
      <c r="N1518" s="52"/>
      <c r="O1518" s="52"/>
      <c r="P1518" s="52"/>
      <c r="Q1518" s="52"/>
      <c r="R1518" s="52"/>
      <c r="S1518" s="52"/>
      <c r="T1518" s="52"/>
      <c r="U1518" s="52"/>
      <c r="V1518" s="52"/>
      <c r="W1518" s="52"/>
      <c r="X1518" s="52"/>
      <c r="Y1518" s="52"/>
      <c r="Z1518" s="52"/>
      <c r="AA1518" s="52"/>
      <c r="AB1518" s="52"/>
      <c r="AC1518" s="52"/>
      <c r="AD1518" s="52"/>
      <c r="AE1518" s="52"/>
      <c r="AF1518" s="52"/>
      <c r="AG1518" s="52"/>
      <c r="AH1518" s="52"/>
      <c r="AI1518" s="52"/>
      <c r="AJ1518" s="52"/>
      <c r="AK1518" s="52"/>
      <c r="AL1518" s="52"/>
      <c r="AM1518" s="52"/>
      <c r="AN1518" s="52"/>
    </row>
    <row r="1519" spans="1:40" x14ac:dyDescent="0.3">
      <c r="A1519" s="52">
        <v>1514</v>
      </c>
      <c r="B1519" s="52">
        <f>-bthan*500+(13+0.5)*bthan*1000/50</f>
        <v>-1265</v>
      </c>
      <c r="C1519" s="52">
        <f t="shared" si="180"/>
        <v>-189.99999999999989</v>
      </c>
      <c r="D1519" s="52">
        <f t="shared" si="177"/>
        <v>2200</v>
      </c>
      <c r="E1519" s="52">
        <f t="shared" si="178"/>
        <v>1</v>
      </c>
      <c r="F1519" s="52"/>
      <c r="G1519" s="52"/>
      <c r="H1519" s="52"/>
      <c r="I1519" s="52"/>
      <c r="J1519" s="52"/>
      <c r="K1519" s="52"/>
      <c r="L1519" s="52"/>
      <c r="M1519" s="52"/>
      <c r="N1519" s="52"/>
      <c r="O1519" s="52"/>
      <c r="P1519" s="52"/>
      <c r="Q1519" s="52"/>
      <c r="R1519" s="52"/>
      <c r="S1519" s="52"/>
      <c r="T1519" s="52"/>
      <c r="U1519" s="52"/>
      <c r="V1519" s="52"/>
      <c r="W1519" s="52"/>
      <c r="X1519" s="52"/>
      <c r="Y1519" s="52"/>
      <c r="Z1519" s="52"/>
      <c r="AA1519" s="52"/>
      <c r="AB1519" s="52"/>
      <c r="AC1519" s="52"/>
      <c r="AD1519" s="52"/>
      <c r="AE1519" s="52"/>
      <c r="AF1519" s="52"/>
      <c r="AG1519" s="52"/>
      <c r="AH1519" s="52"/>
      <c r="AI1519" s="52"/>
      <c r="AJ1519" s="52"/>
      <c r="AK1519" s="52"/>
      <c r="AL1519" s="52"/>
      <c r="AM1519" s="52"/>
      <c r="AN1519" s="52"/>
    </row>
    <row r="1520" spans="1:40" x14ac:dyDescent="0.3">
      <c r="A1520" s="52">
        <v>1515</v>
      </c>
      <c r="B1520" s="52">
        <f>-bthan*500+(14+0.5)*bthan*1000/50</f>
        <v>-1155</v>
      </c>
      <c r="C1520" s="52">
        <f t="shared" si="180"/>
        <v>-189.99999999999989</v>
      </c>
      <c r="D1520" s="52">
        <f t="shared" si="177"/>
        <v>2200</v>
      </c>
      <c r="E1520" s="52">
        <f t="shared" si="178"/>
        <v>1</v>
      </c>
      <c r="F1520" s="52"/>
      <c r="G1520" s="52"/>
      <c r="H1520" s="52"/>
      <c r="I1520" s="52"/>
      <c r="J1520" s="52"/>
      <c r="K1520" s="52"/>
      <c r="L1520" s="52"/>
      <c r="M1520" s="52"/>
      <c r="N1520" s="52"/>
      <c r="O1520" s="52"/>
      <c r="P1520" s="52"/>
      <c r="Q1520" s="52"/>
      <c r="R1520" s="52"/>
      <c r="S1520" s="52"/>
      <c r="T1520" s="52"/>
      <c r="U1520" s="52"/>
      <c r="V1520" s="52"/>
      <c r="W1520" s="52"/>
      <c r="X1520" s="52"/>
      <c r="Y1520" s="52"/>
      <c r="Z1520" s="52"/>
      <c r="AA1520" s="52"/>
      <c r="AB1520" s="52"/>
      <c r="AC1520" s="52"/>
      <c r="AD1520" s="52"/>
      <c r="AE1520" s="52"/>
      <c r="AF1520" s="52"/>
      <c r="AG1520" s="52"/>
      <c r="AH1520" s="52"/>
      <c r="AI1520" s="52"/>
      <c r="AJ1520" s="52"/>
      <c r="AK1520" s="52"/>
      <c r="AL1520" s="52"/>
      <c r="AM1520" s="52"/>
      <c r="AN1520" s="52"/>
    </row>
    <row r="1521" spans="1:40" x14ac:dyDescent="0.3">
      <c r="A1521" s="52">
        <v>1516</v>
      </c>
      <c r="B1521" s="52">
        <f>-bthan*500+(15+0.5)*bthan*1000/50</f>
        <v>-1045</v>
      </c>
      <c r="C1521" s="52">
        <f t="shared" si="180"/>
        <v>-189.99999999999989</v>
      </c>
      <c r="D1521" s="52">
        <f t="shared" si="177"/>
        <v>2200</v>
      </c>
      <c r="E1521" s="52">
        <f t="shared" si="178"/>
        <v>1</v>
      </c>
      <c r="F1521" s="52"/>
      <c r="G1521" s="52"/>
      <c r="H1521" s="52"/>
      <c r="I1521" s="52"/>
      <c r="J1521" s="52"/>
      <c r="K1521" s="52"/>
      <c r="L1521" s="52"/>
      <c r="M1521" s="52"/>
      <c r="N1521" s="52"/>
      <c r="O1521" s="52"/>
      <c r="P1521" s="52"/>
      <c r="Q1521" s="52"/>
      <c r="R1521" s="52"/>
      <c r="S1521" s="52"/>
      <c r="T1521" s="52"/>
      <c r="U1521" s="52"/>
      <c r="V1521" s="52"/>
      <c r="W1521" s="52"/>
      <c r="X1521" s="52"/>
      <c r="Y1521" s="52"/>
      <c r="Z1521" s="52"/>
      <c r="AA1521" s="52"/>
      <c r="AB1521" s="52"/>
      <c r="AC1521" s="52"/>
      <c r="AD1521" s="52"/>
      <c r="AE1521" s="52"/>
      <c r="AF1521" s="52"/>
      <c r="AG1521" s="52"/>
      <c r="AH1521" s="52"/>
      <c r="AI1521" s="52"/>
      <c r="AJ1521" s="52"/>
      <c r="AK1521" s="52"/>
      <c r="AL1521" s="52"/>
      <c r="AM1521" s="52"/>
      <c r="AN1521" s="52"/>
    </row>
    <row r="1522" spans="1:40" x14ac:dyDescent="0.3">
      <c r="A1522" s="52">
        <v>1517</v>
      </c>
      <c r="B1522" s="52">
        <f>-bthan*500+(16+0.5)*bthan*1000/50</f>
        <v>-935</v>
      </c>
      <c r="C1522" s="52">
        <f t="shared" si="180"/>
        <v>-189.99999999999989</v>
      </c>
      <c r="D1522" s="52">
        <f t="shared" si="177"/>
        <v>2200</v>
      </c>
      <c r="E1522" s="52">
        <f t="shared" si="178"/>
        <v>1</v>
      </c>
      <c r="F1522" s="52"/>
      <c r="G1522" s="52"/>
      <c r="H1522" s="52"/>
      <c r="I1522" s="52"/>
      <c r="J1522" s="52"/>
      <c r="K1522" s="52"/>
      <c r="L1522" s="52"/>
      <c r="M1522" s="52"/>
      <c r="N1522" s="52"/>
      <c r="O1522" s="52"/>
      <c r="P1522" s="52"/>
      <c r="Q1522" s="52"/>
      <c r="R1522" s="52"/>
      <c r="S1522" s="52"/>
      <c r="T1522" s="52"/>
      <c r="U1522" s="52"/>
      <c r="V1522" s="52"/>
      <c r="W1522" s="52"/>
      <c r="X1522" s="52"/>
      <c r="Y1522" s="52"/>
      <c r="Z1522" s="52"/>
      <c r="AA1522" s="52"/>
      <c r="AB1522" s="52"/>
      <c r="AC1522" s="52"/>
      <c r="AD1522" s="52"/>
      <c r="AE1522" s="52"/>
      <c r="AF1522" s="52"/>
      <c r="AG1522" s="52"/>
      <c r="AH1522" s="52"/>
      <c r="AI1522" s="52"/>
      <c r="AJ1522" s="52"/>
      <c r="AK1522" s="52"/>
      <c r="AL1522" s="52"/>
      <c r="AM1522" s="52"/>
      <c r="AN1522" s="52"/>
    </row>
    <row r="1523" spans="1:40" x14ac:dyDescent="0.3">
      <c r="A1523" s="52">
        <v>1518</v>
      </c>
      <c r="B1523" s="52">
        <f>-bthan*500+(17+0.5)*bthan*1000/50</f>
        <v>-825</v>
      </c>
      <c r="C1523" s="52">
        <f t="shared" si="180"/>
        <v>-189.99999999999989</v>
      </c>
      <c r="D1523" s="52">
        <f t="shared" si="177"/>
        <v>2200</v>
      </c>
      <c r="E1523" s="52">
        <f t="shared" si="178"/>
        <v>1</v>
      </c>
      <c r="F1523" s="52"/>
      <c r="G1523" s="52"/>
      <c r="H1523" s="52"/>
      <c r="I1523" s="52"/>
      <c r="J1523" s="52"/>
      <c r="K1523" s="52"/>
      <c r="L1523" s="52"/>
      <c r="M1523" s="52"/>
      <c r="N1523" s="52"/>
      <c r="O1523" s="52"/>
      <c r="P1523" s="52"/>
      <c r="Q1523" s="52"/>
      <c r="R1523" s="52"/>
      <c r="S1523" s="52"/>
      <c r="T1523" s="52"/>
      <c r="U1523" s="52"/>
      <c r="V1523" s="52"/>
      <c r="W1523" s="52"/>
      <c r="X1523" s="52"/>
      <c r="Y1523" s="52"/>
      <c r="Z1523" s="52"/>
      <c r="AA1523" s="52"/>
      <c r="AB1523" s="52"/>
      <c r="AC1523" s="52"/>
      <c r="AD1523" s="52"/>
      <c r="AE1523" s="52"/>
      <c r="AF1523" s="52"/>
      <c r="AG1523" s="52"/>
      <c r="AH1523" s="52"/>
      <c r="AI1523" s="52"/>
      <c r="AJ1523" s="52"/>
      <c r="AK1523" s="52"/>
      <c r="AL1523" s="52"/>
      <c r="AM1523" s="52"/>
      <c r="AN1523" s="52"/>
    </row>
    <row r="1524" spans="1:40" x14ac:dyDescent="0.3">
      <c r="A1524" s="52">
        <v>1519</v>
      </c>
      <c r="B1524" s="52">
        <f>-bthan*500+(18+0.5)*bthan*1000/50</f>
        <v>-715</v>
      </c>
      <c r="C1524" s="52">
        <f t="shared" si="180"/>
        <v>-189.99999999999989</v>
      </c>
      <c r="D1524" s="52">
        <f t="shared" si="177"/>
        <v>2200</v>
      </c>
      <c r="E1524" s="52">
        <f t="shared" si="178"/>
        <v>1</v>
      </c>
      <c r="F1524" s="52"/>
      <c r="G1524" s="52"/>
      <c r="H1524" s="52"/>
      <c r="I1524" s="52"/>
      <c r="J1524" s="52"/>
      <c r="K1524" s="52"/>
      <c r="L1524" s="52"/>
      <c r="M1524" s="52"/>
      <c r="N1524" s="52"/>
      <c r="O1524" s="52"/>
      <c r="P1524" s="52"/>
      <c r="Q1524" s="52"/>
      <c r="R1524" s="52"/>
      <c r="S1524" s="52"/>
      <c r="T1524" s="52"/>
      <c r="U1524" s="52"/>
      <c r="V1524" s="52"/>
      <c r="W1524" s="52"/>
      <c r="X1524" s="52"/>
      <c r="Y1524" s="52"/>
      <c r="Z1524" s="52"/>
      <c r="AA1524" s="52"/>
      <c r="AB1524" s="52"/>
      <c r="AC1524" s="52"/>
      <c r="AD1524" s="52"/>
      <c r="AE1524" s="52"/>
      <c r="AF1524" s="52"/>
      <c r="AG1524" s="52"/>
      <c r="AH1524" s="52"/>
      <c r="AI1524" s="52"/>
      <c r="AJ1524" s="52"/>
      <c r="AK1524" s="52"/>
      <c r="AL1524" s="52"/>
      <c r="AM1524" s="52"/>
      <c r="AN1524" s="52"/>
    </row>
    <row r="1525" spans="1:40" x14ac:dyDescent="0.3">
      <c r="A1525" s="52">
        <v>1520</v>
      </c>
      <c r="B1525" s="52">
        <f>-bthan*500+(19+0.5)*bthan*1000/50</f>
        <v>-605</v>
      </c>
      <c r="C1525" s="52">
        <f t="shared" si="180"/>
        <v>-189.99999999999989</v>
      </c>
      <c r="D1525" s="52">
        <f t="shared" si="177"/>
        <v>2200</v>
      </c>
      <c r="E1525" s="52">
        <f t="shared" si="178"/>
        <v>1</v>
      </c>
      <c r="F1525" s="52"/>
      <c r="G1525" s="52"/>
      <c r="H1525" s="52"/>
      <c r="I1525" s="52"/>
      <c r="J1525" s="52"/>
      <c r="K1525" s="52"/>
      <c r="L1525" s="52"/>
      <c r="M1525" s="52"/>
      <c r="N1525" s="52"/>
      <c r="O1525" s="52"/>
      <c r="P1525" s="52"/>
      <c r="Q1525" s="52"/>
      <c r="R1525" s="52"/>
      <c r="S1525" s="52"/>
      <c r="T1525" s="52"/>
      <c r="U1525" s="52"/>
      <c r="V1525" s="52"/>
      <c r="W1525" s="52"/>
      <c r="X1525" s="52"/>
      <c r="Y1525" s="52"/>
      <c r="Z1525" s="52"/>
      <c r="AA1525" s="52"/>
      <c r="AB1525" s="52"/>
      <c r="AC1525" s="52"/>
      <c r="AD1525" s="52"/>
      <c r="AE1525" s="52"/>
      <c r="AF1525" s="52"/>
      <c r="AG1525" s="52"/>
      <c r="AH1525" s="52"/>
      <c r="AI1525" s="52"/>
      <c r="AJ1525" s="52"/>
      <c r="AK1525" s="52"/>
      <c r="AL1525" s="52"/>
      <c r="AM1525" s="52"/>
      <c r="AN1525" s="52"/>
    </row>
    <row r="1526" spans="1:40" x14ac:dyDescent="0.3">
      <c r="A1526" s="52">
        <v>1521</v>
      </c>
      <c r="B1526" s="52">
        <f>-bthan*500+(20+0.5)*bthan*1000/50</f>
        <v>-495</v>
      </c>
      <c r="C1526" s="52">
        <f t="shared" si="180"/>
        <v>-189.99999999999989</v>
      </c>
      <c r="D1526" s="52">
        <f t="shared" si="177"/>
        <v>2200</v>
      </c>
      <c r="E1526" s="52">
        <f t="shared" si="178"/>
        <v>1</v>
      </c>
      <c r="F1526" s="52"/>
      <c r="G1526" s="52"/>
      <c r="H1526" s="52"/>
      <c r="I1526" s="52"/>
      <c r="J1526" s="52"/>
      <c r="K1526" s="52"/>
      <c r="L1526" s="52"/>
      <c r="M1526" s="52"/>
      <c r="N1526" s="52"/>
      <c r="O1526" s="52"/>
      <c r="P1526" s="52"/>
      <c r="Q1526" s="52"/>
      <c r="R1526" s="52"/>
      <c r="S1526" s="52"/>
      <c r="T1526" s="52"/>
      <c r="U1526" s="52"/>
      <c r="V1526" s="52"/>
      <c r="W1526" s="52"/>
      <c r="X1526" s="52"/>
      <c r="Y1526" s="52"/>
      <c r="Z1526" s="52"/>
      <c r="AA1526" s="52"/>
      <c r="AB1526" s="52"/>
      <c r="AC1526" s="52"/>
      <c r="AD1526" s="52"/>
      <c r="AE1526" s="52"/>
      <c r="AF1526" s="52"/>
      <c r="AG1526" s="52"/>
      <c r="AH1526" s="52"/>
      <c r="AI1526" s="52"/>
      <c r="AJ1526" s="52"/>
      <c r="AK1526" s="52"/>
      <c r="AL1526" s="52"/>
      <c r="AM1526" s="52"/>
      <c r="AN1526" s="52"/>
    </row>
    <row r="1527" spans="1:40" x14ac:dyDescent="0.3">
      <c r="A1527" s="52">
        <v>1522</v>
      </c>
      <c r="B1527" s="52">
        <f>-bthan*500+(21+0.5)*bthan*1000/50</f>
        <v>-385</v>
      </c>
      <c r="C1527" s="52">
        <f t="shared" si="180"/>
        <v>-189.99999999999989</v>
      </c>
      <c r="D1527" s="52">
        <f t="shared" si="177"/>
        <v>2200</v>
      </c>
      <c r="E1527" s="52">
        <f t="shared" si="178"/>
        <v>1</v>
      </c>
      <c r="F1527" s="52"/>
      <c r="G1527" s="52"/>
      <c r="H1527" s="52"/>
      <c r="I1527" s="52"/>
      <c r="J1527" s="52"/>
      <c r="K1527" s="52"/>
      <c r="L1527" s="52"/>
      <c r="M1527" s="52"/>
      <c r="N1527" s="52"/>
      <c r="O1527" s="52"/>
      <c r="P1527" s="52"/>
      <c r="Q1527" s="52"/>
      <c r="R1527" s="52"/>
      <c r="S1527" s="52"/>
      <c r="T1527" s="52"/>
      <c r="U1527" s="52"/>
      <c r="V1527" s="52"/>
      <c r="W1527" s="52"/>
      <c r="X1527" s="52"/>
      <c r="Y1527" s="52"/>
      <c r="Z1527" s="52"/>
      <c r="AA1527" s="52"/>
      <c r="AB1527" s="52"/>
      <c r="AC1527" s="52"/>
      <c r="AD1527" s="52"/>
      <c r="AE1527" s="52"/>
      <c r="AF1527" s="52"/>
      <c r="AG1527" s="52"/>
      <c r="AH1527" s="52"/>
      <c r="AI1527" s="52"/>
      <c r="AJ1527" s="52"/>
      <c r="AK1527" s="52"/>
      <c r="AL1527" s="52"/>
      <c r="AM1527" s="52"/>
      <c r="AN1527" s="52"/>
    </row>
    <row r="1528" spans="1:40" x14ac:dyDescent="0.3">
      <c r="A1528" s="52">
        <v>1523</v>
      </c>
      <c r="B1528" s="52">
        <f>-bthan*500+(22+0.5)*bthan*1000/50</f>
        <v>-275</v>
      </c>
      <c r="C1528" s="52">
        <f t="shared" si="180"/>
        <v>-189.99999999999989</v>
      </c>
      <c r="D1528" s="52">
        <f t="shared" si="177"/>
        <v>2200</v>
      </c>
      <c r="E1528" s="52">
        <f t="shared" si="178"/>
        <v>1</v>
      </c>
      <c r="F1528" s="52"/>
      <c r="G1528" s="52"/>
      <c r="H1528" s="52"/>
      <c r="I1528" s="52"/>
      <c r="J1528" s="52"/>
      <c r="K1528" s="52"/>
      <c r="L1528" s="52"/>
      <c r="M1528" s="52"/>
      <c r="N1528" s="52"/>
      <c r="O1528" s="52"/>
      <c r="P1528" s="52"/>
      <c r="Q1528" s="52"/>
      <c r="R1528" s="52"/>
      <c r="S1528" s="52"/>
      <c r="T1528" s="52"/>
      <c r="U1528" s="52"/>
      <c r="V1528" s="52"/>
      <c r="W1528" s="52"/>
      <c r="X1528" s="52"/>
      <c r="Y1528" s="52"/>
      <c r="Z1528" s="52"/>
      <c r="AA1528" s="52"/>
      <c r="AB1528" s="52"/>
      <c r="AC1528" s="52"/>
      <c r="AD1528" s="52"/>
      <c r="AE1528" s="52"/>
      <c r="AF1528" s="52"/>
      <c r="AG1528" s="52"/>
      <c r="AH1528" s="52"/>
      <c r="AI1528" s="52"/>
      <c r="AJ1528" s="52"/>
      <c r="AK1528" s="52"/>
      <c r="AL1528" s="52"/>
      <c r="AM1528" s="52"/>
      <c r="AN1528" s="52"/>
    </row>
    <row r="1529" spans="1:40" x14ac:dyDescent="0.3">
      <c r="A1529" s="52">
        <v>1524</v>
      </c>
      <c r="B1529" s="52">
        <f>-bthan*500+(23+0.5)*bthan*1000/50</f>
        <v>-165</v>
      </c>
      <c r="C1529" s="52">
        <f t="shared" si="180"/>
        <v>-189.99999999999989</v>
      </c>
      <c r="D1529" s="52">
        <f t="shared" si="177"/>
        <v>2200</v>
      </c>
      <c r="E1529" s="52">
        <f t="shared" si="178"/>
        <v>1</v>
      </c>
      <c r="F1529" s="52"/>
      <c r="G1529" s="52"/>
      <c r="H1529" s="52"/>
      <c r="I1529" s="52"/>
      <c r="J1529" s="52"/>
      <c r="K1529" s="52"/>
      <c r="L1529" s="52"/>
      <c r="M1529" s="52"/>
      <c r="N1529" s="52"/>
      <c r="O1529" s="52"/>
      <c r="P1529" s="52"/>
      <c r="Q1529" s="52"/>
      <c r="R1529" s="52"/>
      <c r="S1529" s="52"/>
      <c r="T1529" s="52"/>
      <c r="U1529" s="52"/>
      <c r="V1529" s="52"/>
      <c r="W1529" s="52"/>
      <c r="X1529" s="52"/>
      <c r="Y1529" s="52"/>
      <c r="Z1529" s="52"/>
      <c r="AA1529" s="52"/>
      <c r="AB1529" s="52"/>
      <c r="AC1529" s="52"/>
      <c r="AD1529" s="52"/>
      <c r="AE1529" s="52"/>
      <c r="AF1529" s="52"/>
      <c r="AG1529" s="52"/>
      <c r="AH1529" s="52"/>
      <c r="AI1529" s="52"/>
      <c r="AJ1529" s="52"/>
      <c r="AK1529" s="52"/>
      <c r="AL1529" s="52"/>
      <c r="AM1529" s="52"/>
      <c r="AN1529" s="52"/>
    </row>
    <row r="1530" spans="1:40" x14ac:dyDescent="0.3">
      <c r="A1530" s="52">
        <v>1525</v>
      </c>
      <c r="B1530" s="52">
        <f>-bthan*500+(24+0.5)*bthan*1000/50</f>
        <v>-55</v>
      </c>
      <c r="C1530" s="52">
        <f t="shared" si="180"/>
        <v>-189.99999999999989</v>
      </c>
      <c r="D1530" s="52">
        <f t="shared" si="177"/>
        <v>2200</v>
      </c>
      <c r="E1530" s="52">
        <f t="shared" si="178"/>
        <v>1</v>
      </c>
      <c r="F1530" s="52"/>
      <c r="G1530" s="52"/>
      <c r="H1530" s="52"/>
      <c r="I1530" s="52"/>
      <c r="J1530" s="52"/>
      <c r="K1530" s="52"/>
      <c r="L1530" s="52"/>
      <c r="M1530" s="52"/>
      <c r="N1530" s="52"/>
      <c r="O1530" s="52"/>
      <c r="P1530" s="52"/>
      <c r="Q1530" s="52"/>
      <c r="R1530" s="52"/>
      <c r="S1530" s="52"/>
      <c r="T1530" s="52"/>
      <c r="U1530" s="52"/>
      <c r="V1530" s="52"/>
      <c r="W1530" s="52"/>
      <c r="X1530" s="52"/>
      <c r="Y1530" s="52"/>
      <c r="Z1530" s="52"/>
      <c r="AA1530" s="52"/>
      <c r="AB1530" s="52"/>
      <c r="AC1530" s="52"/>
      <c r="AD1530" s="52"/>
      <c r="AE1530" s="52"/>
      <c r="AF1530" s="52"/>
      <c r="AG1530" s="52"/>
      <c r="AH1530" s="52"/>
      <c r="AI1530" s="52"/>
      <c r="AJ1530" s="52"/>
      <c r="AK1530" s="52"/>
      <c r="AL1530" s="52"/>
      <c r="AM1530" s="52"/>
      <c r="AN1530" s="52"/>
    </row>
    <row r="1531" spans="1:40" x14ac:dyDescent="0.3">
      <c r="A1531" s="52">
        <v>1526</v>
      </c>
      <c r="B1531" s="52">
        <f>-bthan*500+(25+0.5)*bthan*1000/50</f>
        <v>55</v>
      </c>
      <c r="C1531" s="52">
        <f t="shared" si="180"/>
        <v>-189.99999999999989</v>
      </c>
      <c r="D1531" s="52">
        <f t="shared" si="177"/>
        <v>2200</v>
      </c>
      <c r="E1531" s="52">
        <f t="shared" si="178"/>
        <v>1</v>
      </c>
      <c r="F1531" s="52"/>
      <c r="G1531" s="52"/>
      <c r="H1531" s="52"/>
      <c r="I1531" s="52"/>
      <c r="J1531" s="52"/>
      <c r="K1531" s="52"/>
      <c r="L1531" s="52"/>
      <c r="M1531" s="52"/>
      <c r="N1531" s="52"/>
      <c r="O1531" s="52"/>
      <c r="P1531" s="52"/>
      <c r="Q1531" s="52"/>
      <c r="R1531" s="52"/>
      <c r="S1531" s="52"/>
      <c r="T1531" s="52"/>
      <c r="U1531" s="52"/>
      <c r="V1531" s="52"/>
      <c r="W1531" s="52"/>
      <c r="X1531" s="52"/>
      <c r="Y1531" s="52"/>
      <c r="Z1531" s="52"/>
      <c r="AA1531" s="52"/>
      <c r="AB1531" s="52"/>
      <c r="AC1531" s="52"/>
      <c r="AD1531" s="52"/>
      <c r="AE1531" s="52"/>
      <c r="AF1531" s="52"/>
      <c r="AG1531" s="52"/>
      <c r="AH1531" s="52"/>
      <c r="AI1531" s="52"/>
      <c r="AJ1531" s="52"/>
      <c r="AK1531" s="52"/>
      <c r="AL1531" s="52"/>
      <c r="AM1531" s="52"/>
      <c r="AN1531" s="52"/>
    </row>
    <row r="1532" spans="1:40" x14ac:dyDescent="0.3">
      <c r="A1532" s="52">
        <v>1527</v>
      </c>
      <c r="B1532" s="52">
        <f>-bthan*500+(26+0.5)*bthan*1000/50</f>
        <v>165</v>
      </c>
      <c r="C1532" s="52">
        <f t="shared" si="180"/>
        <v>-189.99999999999989</v>
      </c>
      <c r="D1532" s="52">
        <f t="shared" si="177"/>
        <v>2200</v>
      </c>
      <c r="E1532" s="52">
        <f t="shared" si="178"/>
        <v>1</v>
      </c>
      <c r="F1532" s="52"/>
      <c r="G1532" s="52"/>
      <c r="H1532" s="52"/>
      <c r="I1532" s="52"/>
      <c r="J1532" s="52"/>
      <c r="K1532" s="52"/>
      <c r="L1532" s="52"/>
      <c r="M1532" s="52"/>
      <c r="N1532" s="52"/>
      <c r="O1532" s="52"/>
      <c r="P1532" s="52"/>
      <c r="Q1532" s="52"/>
      <c r="R1532" s="52"/>
      <c r="S1532" s="52"/>
      <c r="T1532" s="52"/>
      <c r="U1532" s="52"/>
      <c r="V1532" s="52"/>
      <c r="W1532" s="52"/>
      <c r="X1532" s="52"/>
      <c r="Y1532" s="52"/>
      <c r="Z1532" s="52"/>
      <c r="AA1532" s="52"/>
      <c r="AB1532" s="52"/>
      <c r="AC1532" s="52"/>
      <c r="AD1532" s="52"/>
      <c r="AE1532" s="52"/>
      <c r="AF1532" s="52"/>
      <c r="AG1532" s="52"/>
      <c r="AH1532" s="52"/>
      <c r="AI1532" s="52"/>
      <c r="AJ1532" s="52"/>
      <c r="AK1532" s="52"/>
      <c r="AL1532" s="52"/>
      <c r="AM1532" s="52"/>
      <c r="AN1532" s="52"/>
    </row>
    <row r="1533" spans="1:40" x14ac:dyDescent="0.3">
      <c r="A1533" s="52">
        <v>1528</v>
      </c>
      <c r="B1533" s="52">
        <f>-bthan*500+(27+0.5)*bthan*1000/50</f>
        <v>275</v>
      </c>
      <c r="C1533" s="52">
        <f t="shared" si="180"/>
        <v>-189.99999999999989</v>
      </c>
      <c r="D1533" s="52">
        <f t="shared" si="177"/>
        <v>2200</v>
      </c>
      <c r="E1533" s="52">
        <f t="shared" si="178"/>
        <v>1</v>
      </c>
      <c r="F1533" s="52"/>
      <c r="G1533" s="52"/>
      <c r="H1533" s="52"/>
      <c r="I1533" s="52"/>
      <c r="J1533" s="52"/>
      <c r="K1533" s="52"/>
      <c r="L1533" s="52"/>
      <c r="M1533" s="52"/>
      <c r="N1533" s="52"/>
      <c r="O1533" s="52"/>
      <c r="P1533" s="52"/>
      <c r="Q1533" s="52"/>
      <c r="R1533" s="52"/>
      <c r="S1533" s="52"/>
      <c r="T1533" s="52"/>
      <c r="U1533" s="52"/>
      <c r="V1533" s="52"/>
      <c r="W1533" s="52"/>
      <c r="X1533" s="52"/>
      <c r="Y1533" s="52"/>
      <c r="Z1533" s="52"/>
      <c r="AA1533" s="52"/>
      <c r="AB1533" s="52"/>
      <c r="AC1533" s="52"/>
      <c r="AD1533" s="52"/>
      <c r="AE1533" s="52"/>
      <c r="AF1533" s="52"/>
      <c r="AG1533" s="52"/>
      <c r="AH1533" s="52"/>
      <c r="AI1533" s="52"/>
      <c r="AJ1533" s="52"/>
      <c r="AK1533" s="52"/>
      <c r="AL1533" s="52"/>
      <c r="AM1533" s="52"/>
      <c r="AN1533" s="52"/>
    </row>
    <row r="1534" spans="1:40" x14ac:dyDescent="0.3">
      <c r="A1534" s="52">
        <v>1529</v>
      </c>
      <c r="B1534" s="52">
        <f>-bthan*500+(28+0.5)*bthan*1000/50</f>
        <v>385</v>
      </c>
      <c r="C1534" s="52">
        <f t="shared" si="180"/>
        <v>-189.99999999999989</v>
      </c>
      <c r="D1534" s="52">
        <f t="shared" si="177"/>
        <v>2200</v>
      </c>
      <c r="E1534" s="52">
        <f t="shared" si="178"/>
        <v>1</v>
      </c>
      <c r="F1534" s="52"/>
      <c r="G1534" s="52"/>
      <c r="H1534" s="52"/>
      <c r="I1534" s="52"/>
      <c r="J1534" s="52"/>
      <c r="K1534" s="52"/>
      <c r="L1534" s="52"/>
      <c r="M1534" s="52"/>
      <c r="N1534" s="52"/>
      <c r="O1534" s="52"/>
      <c r="P1534" s="52"/>
      <c r="Q1534" s="52"/>
      <c r="R1534" s="52"/>
      <c r="S1534" s="52"/>
      <c r="T1534" s="52"/>
      <c r="U1534" s="52"/>
      <c r="V1534" s="52"/>
      <c r="W1534" s="52"/>
      <c r="X1534" s="52"/>
      <c r="Y1534" s="52"/>
      <c r="Z1534" s="52"/>
      <c r="AA1534" s="52"/>
      <c r="AB1534" s="52"/>
      <c r="AC1534" s="52"/>
      <c r="AD1534" s="52"/>
      <c r="AE1534" s="52"/>
      <c r="AF1534" s="52"/>
      <c r="AG1534" s="52"/>
      <c r="AH1534" s="52"/>
      <c r="AI1534" s="52"/>
      <c r="AJ1534" s="52"/>
      <c r="AK1534" s="52"/>
      <c r="AL1534" s="52"/>
      <c r="AM1534" s="52"/>
      <c r="AN1534" s="52"/>
    </row>
    <row r="1535" spans="1:40" x14ac:dyDescent="0.3">
      <c r="A1535" s="52">
        <v>1530</v>
      </c>
      <c r="B1535" s="52">
        <f>-bthan*500+(29+0.5)*bthan*1000/50</f>
        <v>495</v>
      </c>
      <c r="C1535" s="52">
        <f t="shared" si="180"/>
        <v>-189.99999999999989</v>
      </c>
      <c r="D1535" s="52">
        <f t="shared" si="177"/>
        <v>2200</v>
      </c>
      <c r="E1535" s="52">
        <f t="shared" si="178"/>
        <v>1</v>
      </c>
      <c r="F1535" s="52"/>
      <c r="G1535" s="52"/>
      <c r="H1535" s="52"/>
      <c r="I1535" s="52"/>
      <c r="J1535" s="52"/>
      <c r="K1535" s="52"/>
      <c r="L1535" s="52"/>
      <c r="M1535" s="52"/>
      <c r="N1535" s="52"/>
      <c r="O1535" s="52"/>
      <c r="P1535" s="52"/>
      <c r="Q1535" s="52"/>
      <c r="R1535" s="52"/>
      <c r="S1535" s="52"/>
      <c r="T1535" s="52"/>
      <c r="U1535" s="52"/>
      <c r="V1535" s="52"/>
      <c r="W1535" s="52"/>
      <c r="X1535" s="52"/>
      <c r="Y1535" s="52"/>
      <c r="Z1535" s="52"/>
      <c r="AA1535" s="52"/>
      <c r="AB1535" s="52"/>
      <c r="AC1535" s="52"/>
      <c r="AD1535" s="52"/>
      <c r="AE1535" s="52"/>
      <c r="AF1535" s="52"/>
      <c r="AG1535" s="52"/>
      <c r="AH1535" s="52"/>
      <c r="AI1535" s="52"/>
      <c r="AJ1535" s="52"/>
      <c r="AK1535" s="52"/>
      <c r="AL1535" s="52"/>
      <c r="AM1535" s="52"/>
      <c r="AN1535" s="52"/>
    </row>
    <row r="1536" spans="1:40" x14ac:dyDescent="0.3">
      <c r="A1536" s="52">
        <v>1531</v>
      </c>
      <c r="B1536" s="52">
        <f>-bthan*500+(30+0.5)*bthan*1000/50</f>
        <v>605</v>
      </c>
      <c r="C1536" s="52">
        <f t="shared" si="180"/>
        <v>-189.99999999999989</v>
      </c>
      <c r="D1536" s="52">
        <f t="shared" si="177"/>
        <v>2200</v>
      </c>
      <c r="E1536" s="52">
        <f t="shared" si="178"/>
        <v>1</v>
      </c>
      <c r="F1536" s="52"/>
      <c r="G1536" s="52"/>
      <c r="H1536" s="52"/>
      <c r="I1536" s="52"/>
      <c r="J1536" s="52"/>
      <c r="K1536" s="52"/>
      <c r="L1536" s="52"/>
      <c r="M1536" s="52"/>
      <c r="N1536" s="52"/>
      <c r="O1536" s="52"/>
      <c r="P1536" s="52"/>
      <c r="Q1536" s="52"/>
      <c r="R1536" s="52"/>
      <c r="S1536" s="52"/>
      <c r="T1536" s="52"/>
      <c r="U1536" s="52"/>
      <c r="V1536" s="52"/>
      <c r="W1536" s="52"/>
      <c r="X1536" s="52"/>
      <c r="Y1536" s="52"/>
      <c r="Z1536" s="52"/>
      <c r="AA1536" s="52"/>
      <c r="AB1536" s="52"/>
      <c r="AC1536" s="52"/>
      <c r="AD1536" s="52"/>
      <c r="AE1536" s="52"/>
      <c r="AF1536" s="52"/>
      <c r="AG1536" s="52"/>
      <c r="AH1536" s="52"/>
      <c r="AI1536" s="52"/>
      <c r="AJ1536" s="52"/>
      <c r="AK1536" s="52"/>
      <c r="AL1536" s="52"/>
      <c r="AM1536" s="52"/>
      <c r="AN1536" s="52"/>
    </row>
    <row r="1537" spans="1:40" x14ac:dyDescent="0.3">
      <c r="A1537" s="52">
        <v>1532</v>
      </c>
      <c r="B1537" s="52">
        <f>-bthan*500+(31+0.5)*bthan*1000/50</f>
        <v>715</v>
      </c>
      <c r="C1537" s="52">
        <f t="shared" si="180"/>
        <v>-189.99999999999989</v>
      </c>
      <c r="D1537" s="52">
        <f t="shared" si="177"/>
        <v>2200</v>
      </c>
      <c r="E1537" s="52">
        <f t="shared" si="178"/>
        <v>1</v>
      </c>
      <c r="F1537" s="52"/>
      <c r="G1537" s="52"/>
      <c r="H1537" s="52"/>
      <c r="I1537" s="52"/>
      <c r="J1537" s="52"/>
      <c r="K1537" s="52"/>
      <c r="L1537" s="52"/>
      <c r="M1537" s="52"/>
      <c r="N1537" s="52"/>
      <c r="O1537" s="52"/>
      <c r="P1537" s="52"/>
      <c r="Q1537" s="52"/>
      <c r="R1537" s="52"/>
      <c r="S1537" s="52"/>
      <c r="T1537" s="52"/>
      <c r="U1537" s="52"/>
      <c r="V1537" s="52"/>
      <c r="W1537" s="52"/>
      <c r="X1537" s="52"/>
      <c r="Y1537" s="52"/>
      <c r="Z1537" s="52"/>
      <c r="AA1537" s="52"/>
      <c r="AB1537" s="52"/>
      <c r="AC1537" s="52"/>
      <c r="AD1537" s="52"/>
      <c r="AE1537" s="52"/>
      <c r="AF1537" s="52"/>
      <c r="AG1537" s="52"/>
      <c r="AH1537" s="52"/>
      <c r="AI1537" s="52"/>
      <c r="AJ1537" s="52"/>
      <c r="AK1537" s="52"/>
      <c r="AL1537" s="52"/>
      <c r="AM1537" s="52"/>
      <c r="AN1537" s="52"/>
    </row>
    <row r="1538" spans="1:40" x14ac:dyDescent="0.3">
      <c r="A1538" s="52">
        <v>1533</v>
      </c>
      <c r="B1538" s="52">
        <f>-bthan*500+(32+0.5)*bthan*1000/50</f>
        <v>825</v>
      </c>
      <c r="C1538" s="52">
        <f t="shared" ref="C1538:C1555" si="181">-hthan*500+(30+0.5)*hthan*1000/80</f>
        <v>-189.99999999999989</v>
      </c>
      <c r="D1538" s="52">
        <f t="shared" si="177"/>
        <v>2200</v>
      </c>
      <c r="E1538" s="52">
        <f t="shared" si="178"/>
        <v>1</v>
      </c>
      <c r="F1538" s="52"/>
      <c r="G1538" s="52"/>
      <c r="H1538" s="52"/>
      <c r="I1538" s="52"/>
      <c r="J1538" s="52"/>
      <c r="K1538" s="52"/>
      <c r="L1538" s="52"/>
      <c r="M1538" s="52"/>
      <c r="N1538" s="52"/>
      <c r="O1538" s="52"/>
      <c r="P1538" s="52"/>
      <c r="Q1538" s="52"/>
      <c r="R1538" s="52"/>
      <c r="S1538" s="52"/>
      <c r="T1538" s="52"/>
      <c r="U1538" s="52"/>
      <c r="V1538" s="52"/>
      <c r="W1538" s="52"/>
      <c r="X1538" s="52"/>
      <c r="Y1538" s="52"/>
      <c r="Z1538" s="52"/>
      <c r="AA1538" s="52"/>
      <c r="AB1538" s="52"/>
      <c r="AC1538" s="52"/>
      <c r="AD1538" s="52"/>
      <c r="AE1538" s="52"/>
      <c r="AF1538" s="52"/>
      <c r="AG1538" s="52"/>
      <c r="AH1538" s="52"/>
      <c r="AI1538" s="52"/>
      <c r="AJ1538" s="52"/>
      <c r="AK1538" s="52"/>
      <c r="AL1538" s="52"/>
      <c r="AM1538" s="52"/>
      <c r="AN1538" s="52"/>
    </row>
    <row r="1539" spans="1:40" x14ac:dyDescent="0.3">
      <c r="A1539" s="52">
        <v>1534</v>
      </c>
      <c r="B1539" s="52">
        <f>-bthan*500+(33+0.5)*bthan*1000/50</f>
        <v>935</v>
      </c>
      <c r="C1539" s="52">
        <f t="shared" si="181"/>
        <v>-189.99999999999989</v>
      </c>
      <c r="D1539" s="52">
        <f t="shared" si="177"/>
        <v>2200</v>
      </c>
      <c r="E1539" s="52">
        <f t="shared" si="178"/>
        <v>1</v>
      </c>
      <c r="F1539" s="52"/>
      <c r="G1539" s="52"/>
      <c r="H1539" s="52"/>
      <c r="I1539" s="52"/>
      <c r="J1539" s="52"/>
      <c r="K1539" s="52"/>
      <c r="L1539" s="52"/>
      <c r="M1539" s="52"/>
      <c r="N1539" s="52"/>
      <c r="O1539" s="52"/>
      <c r="P1539" s="52"/>
      <c r="Q1539" s="52"/>
      <c r="R1539" s="52"/>
      <c r="S1539" s="52"/>
      <c r="T1539" s="52"/>
      <c r="U1539" s="52"/>
      <c r="V1539" s="52"/>
      <c r="W1539" s="52"/>
      <c r="X1539" s="52"/>
      <c r="Y1539" s="52"/>
      <c r="Z1539" s="52"/>
      <c r="AA1539" s="52"/>
      <c r="AB1539" s="52"/>
      <c r="AC1539" s="52"/>
      <c r="AD1539" s="52"/>
      <c r="AE1539" s="52"/>
      <c r="AF1539" s="52"/>
      <c r="AG1539" s="52"/>
      <c r="AH1539" s="52"/>
      <c r="AI1539" s="52"/>
      <c r="AJ1539" s="52"/>
      <c r="AK1539" s="52"/>
      <c r="AL1539" s="52"/>
      <c r="AM1539" s="52"/>
      <c r="AN1539" s="52"/>
    </row>
    <row r="1540" spans="1:40" x14ac:dyDescent="0.3">
      <c r="A1540" s="52">
        <v>1535</v>
      </c>
      <c r="B1540" s="52">
        <f>-bthan*500+(34+0.5)*bthan*1000/50</f>
        <v>1045</v>
      </c>
      <c r="C1540" s="52">
        <f t="shared" si="181"/>
        <v>-189.99999999999989</v>
      </c>
      <c r="D1540" s="52">
        <f t="shared" si="177"/>
        <v>2200</v>
      </c>
      <c r="E1540" s="52">
        <f t="shared" si="178"/>
        <v>1</v>
      </c>
      <c r="F1540" s="52"/>
      <c r="G1540" s="52"/>
      <c r="H1540" s="52"/>
      <c r="I1540" s="52"/>
      <c r="J1540" s="52"/>
      <c r="K1540" s="52"/>
      <c r="L1540" s="52"/>
      <c r="M1540" s="52"/>
      <c r="N1540" s="52"/>
      <c r="O1540" s="52"/>
      <c r="P1540" s="52"/>
      <c r="Q1540" s="52"/>
      <c r="R1540" s="52"/>
      <c r="S1540" s="52"/>
      <c r="T1540" s="52"/>
      <c r="U1540" s="52"/>
      <c r="V1540" s="52"/>
      <c r="W1540" s="52"/>
      <c r="X1540" s="52"/>
      <c r="Y1540" s="52"/>
      <c r="Z1540" s="52"/>
      <c r="AA1540" s="52"/>
      <c r="AB1540" s="52"/>
      <c r="AC1540" s="52"/>
      <c r="AD1540" s="52"/>
      <c r="AE1540" s="52"/>
      <c r="AF1540" s="52"/>
      <c r="AG1540" s="52"/>
      <c r="AH1540" s="52"/>
      <c r="AI1540" s="52"/>
      <c r="AJ1540" s="52"/>
      <c r="AK1540" s="52"/>
      <c r="AL1540" s="52"/>
      <c r="AM1540" s="52"/>
      <c r="AN1540" s="52"/>
    </row>
    <row r="1541" spans="1:40" x14ac:dyDescent="0.3">
      <c r="A1541" s="52">
        <v>1536</v>
      </c>
      <c r="B1541" s="52">
        <f>-bthan*500+(35+0.5)*bthan*1000/50</f>
        <v>1155</v>
      </c>
      <c r="C1541" s="52">
        <f t="shared" si="181"/>
        <v>-189.99999999999989</v>
      </c>
      <c r="D1541" s="52">
        <f t="shared" si="177"/>
        <v>2200</v>
      </c>
      <c r="E1541" s="52">
        <f t="shared" si="178"/>
        <v>1</v>
      </c>
      <c r="F1541" s="52"/>
      <c r="G1541" s="52"/>
      <c r="H1541" s="52"/>
      <c r="I1541" s="52"/>
      <c r="J1541" s="52"/>
      <c r="K1541" s="52"/>
      <c r="L1541" s="52"/>
      <c r="M1541" s="52"/>
      <c r="N1541" s="52"/>
      <c r="O1541" s="52"/>
      <c r="P1541" s="52"/>
      <c r="Q1541" s="52"/>
      <c r="R1541" s="52"/>
      <c r="S1541" s="52"/>
      <c r="T1541" s="52"/>
      <c r="U1541" s="52"/>
      <c r="V1541" s="52"/>
      <c r="W1541" s="52"/>
      <c r="X1541" s="52"/>
      <c r="Y1541" s="52"/>
      <c r="Z1541" s="52"/>
      <c r="AA1541" s="52"/>
      <c r="AB1541" s="52"/>
      <c r="AC1541" s="52"/>
      <c r="AD1541" s="52"/>
      <c r="AE1541" s="52"/>
      <c r="AF1541" s="52"/>
      <c r="AG1541" s="52"/>
      <c r="AH1541" s="52"/>
      <c r="AI1541" s="52"/>
      <c r="AJ1541" s="52"/>
      <c r="AK1541" s="52"/>
      <c r="AL1541" s="52"/>
      <c r="AM1541" s="52"/>
      <c r="AN1541" s="52"/>
    </row>
    <row r="1542" spans="1:40" x14ac:dyDescent="0.3">
      <c r="A1542" s="52">
        <v>1537</v>
      </c>
      <c r="B1542" s="52">
        <f>-bthan*500+(36+0.5)*bthan*1000/50</f>
        <v>1265</v>
      </c>
      <c r="C1542" s="52">
        <f t="shared" si="181"/>
        <v>-189.99999999999989</v>
      </c>
      <c r="D1542" s="52">
        <f t="shared" ref="D1542:D1605" si="182">bthan*1000/50*hthan*1000/80</f>
        <v>2200</v>
      </c>
      <c r="E1542" s="52">
        <f t="shared" ref="E1542:E1605" si="183">IF(shp=1,--(OR(ABS(B1542)&lt;=MAX(0,(bthan-hthan)*500),(ABS(B1542)-MAX(0,(bthan-hthan)*500))^2+C1542^2&lt;=(hthan*500)^2)),--(AND(ABS(B1542)&lt;=bthan*500,ABS(C1542)&lt;=hthan*500,OR(ABS(B1542)&lt;=bthan*500-cch*1000,ABS(C1542)&lt;=hthan*500-cch*1000,(bthan*500-ABS(B1542))+(hthan*500-ABS(C1542))&gt;=cch*1000))))</f>
        <v>1</v>
      </c>
      <c r="F1542" s="52"/>
      <c r="G1542" s="52"/>
      <c r="H1542" s="52"/>
      <c r="I1542" s="52"/>
      <c r="J1542" s="52"/>
      <c r="K1542" s="52"/>
      <c r="L1542" s="52"/>
      <c r="M1542" s="52"/>
      <c r="N1542" s="52"/>
      <c r="O1542" s="52"/>
      <c r="P1542" s="52"/>
      <c r="Q1542" s="52"/>
      <c r="R1542" s="52"/>
      <c r="S1542" s="52"/>
      <c r="T1542" s="52"/>
      <c r="U1542" s="52"/>
      <c r="V1542" s="52"/>
      <c r="W1542" s="52"/>
      <c r="X1542" s="52"/>
      <c r="Y1542" s="52"/>
      <c r="Z1542" s="52"/>
      <c r="AA1542" s="52"/>
      <c r="AB1542" s="52"/>
      <c r="AC1542" s="52"/>
      <c r="AD1542" s="52"/>
      <c r="AE1542" s="52"/>
      <c r="AF1542" s="52"/>
      <c r="AG1542" s="52"/>
      <c r="AH1542" s="52"/>
      <c r="AI1542" s="52"/>
      <c r="AJ1542" s="52"/>
      <c r="AK1542" s="52"/>
      <c r="AL1542" s="52"/>
      <c r="AM1542" s="52"/>
      <c r="AN1542" s="52"/>
    </row>
    <row r="1543" spans="1:40" x14ac:dyDescent="0.3">
      <c r="A1543" s="52">
        <v>1538</v>
      </c>
      <c r="B1543" s="52">
        <f>-bthan*500+(37+0.5)*bthan*1000/50</f>
        <v>1375</v>
      </c>
      <c r="C1543" s="52">
        <f t="shared" si="181"/>
        <v>-189.99999999999989</v>
      </c>
      <c r="D1543" s="52">
        <f t="shared" si="182"/>
        <v>2200</v>
      </c>
      <c r="E1543" s="52">
        <f t="shared" si="183"/>
        <v>1</v>
      </c>
      <c r="F1543" s="52"/>
      <c r="G1543" s="52"/>
      <c r="H1543" s="52"/>
      <c r="I1543" s="52"/>
      <c r="J1543" s="52"/>
      <c r="K1543" s="52"/>
      <c r="L1543" s="52"/>
      <c r="M1543" s="52"/>
      <c r="N1543" s="52"/>
      <c r="O1543" s="52"/>
      <c r="P1543" s="52"/>
      <c r="Q1543" s="52"/>
      <c r="R1543" s="52"/>
      <c r="S1543" s="52"/>
      <c r="T1543" s="52"/>
      <c r="U1543" s="52"/>
      <c r="V1543" s="52"/>
      <c r="W1543" s="52"/>
      <c r="X1543" s="52"/>
      <c r="Y1543" s="52"/>
      <c r="Z1543" s="52"/>
      <c r="AA1543" s="52"/>
      <c r="AB1543" s="52"/>
      <c r="AC1543" s="52"/>
      <c r="AD1543" s="52"/>
      <c r="AE1543" s="52"/>
      <c r="AF1543" s="52"/>
      <c r="AG1543" s="52"/>
      <c r="AH1543" s="52"/>
      <c r="AI1543" s="52"/>
      <c r="AJ1543" s="52"/>
      <c r="AK1543" s="52"/>
      <c r="AL1543" s="52"/>
      <c r="AM1543" s="52"/>
      <c r="AN1543" s="52"/>
    </row>
    <row r="1544" spans="1:40" x14ac:dyDescent="0.3">
      <c r="A1544" s="52">
        <v>1539</v>
      </c>
      <c r="B1544" s="52">
        <f>-bthan*500+(38+0.5)*bthan*1000/50</f>
        <v>1485</v>
      </c>
      <c r="C1544" s="52">
        <f t="shared" si="181"/>
        <v>-189.99999999999989</v>
      </c>
      <c r="D1544" s="52">
        <f t="shared" si="182"/>
        <v>2200</v>
      </c>
      <c r="E1544" s="52">
        <f t="shared" si="183"/>
        <v>1</v>
      </c>
      <c r="F1544" s="52"/>
      <c r="G1544" s="52"/>
      <c r="H1544" s="52"/>
      <c r="I1544" s="52"/>
      <c r="J1544" s="52"/>
      <c r="K1544" s="52"/>
      <c r="L1544" s="52"/>
      <c r="M1544" s="52"/>
      <c r="N1544" s="52"/>
      <c r="O1544" s="52"/>
      <c r="P1544" s="52"/>
      <c r="Q1544" s="52"/>
      <c r="R1544" s="52"/>
      <c r="S1544" s="52"/>
      <c r="T1544" s="52"/>
      <c r="U1544" s="52"/>
      <c r="V1544" s="52"/>
      <c r="W1544" s="52"/>
      <c r="X1544" s="52"/>
      <c r="Y1544" s="52"/>
      <c r="Z1544" s="52"/>
      <c r="AA1544" s="52"/>
      <c r="AB1544" s="52"/>
      <c r="AC1544" s="52"/>
      <c r="AD1544" s="52"/>
      <c r="AE1544" s="52"/>
      <c r="AF1544" s="52"/>
      <c r="AG1544" s="52"/>
      <c r="AH1544" s="52"/>
      <c r="AI1544" s="52"/>
      <c r="AJ1544" s="52"/>
      <c r="AK1544" s="52"/>
      <c r="AL1544" s="52"/>
      <c r="AM1544" s="52"/>
      <c r="AN1544" s="52"/>
    </row>
    <row r="1545" spans="1:40" x14ac:dyDescent="0.3">
      <c r="A1545" s="52">
        <v>1540</v>
      </c>
      <c r="B1545" s="52">
        <f>-bthan*500+(39+0.5)*bthan*1000/50</f>
        <v>1595</v>
      </c>
      <c r="C1545" s="52">
        <f t="shared" si="181"/>
        <v>-189.99999999999989</v>
      </c>
      <c r="D1545" s="52">
        <f t="shared" si="182"/>
        <v>2200</v>
      </c>
      <c r="E1545" s="52">
        <f t="shared" si="183"/>
        <v>1</v>
      </c>
      <c r="F1545" s="52"/>
      <c r="G1545" s="52"/>
      <c r="H1545" s="52"/>
      <c r="I1545" s="52"/>
      <c r="J1545" s="52"/>
      <c r="K1545" s="52"/>
      <c r="L1545" s="52"/>
      <c r="M1545" s="52"/>
      <c r="N1545" s="52"/>
      <c r="O1545" s="52"/>
      <c r="P1545" s="52"/>
      <c r="Q1545" s="52"/>
      <c r="R1545" s="52"/>
      <c r="S1545" s="52"/>
      <c r="T1545" s="52"/>
      <c r="U1545" s="52"/>
      <c r="V1545" s="52"/>
      <c r="W1545" s="52"/>
      <c r="X1545" s="52"/>
      <c r="Y1545" s="52"/>
      <c r="Z1545" s="52"/>
      <c r="AA1545" s="52"/>
      <c r="AB1545" s="52"/>
      <c r="AC1545" s="52"/>
      <c r="AD1545" s="52"/>
      <c r="AE1545" s="52"/>
      <c r="AF1545" s="52"/>
      <c r="AG1545" s="52"/>
      <c r="AH1545" s="52"/>
      <c r="AI1545" s="52"/>
      <c r="AJ1545" s="52"/>
      <c r="AK1545" s="52"/>
      <c r="AL1545" s="52"/>
      <c r="AM1545" s="52"/>
      <c r="AN1545" s="52"/>
    </row>
    <row r="1546" spans="1:40" x14ac:dyDescent="0.3">
      <c r="A1546" s="52">
        <v>1541</v>
      </c>
      <c r="B1546" s="52">
        <f>-bthan*500+(40+0.5)*bthan*1000/50</f>
        <v>1705</v>
      </c>
      <c r="C1546" s="52">
        <f t="shared" si="181"/>
        <v>-189.99999999999989</v>
      </c>
      <c r="D1546" s="52">
        <f t="shared" si="182"/>
        <v>2200</v>
      </c>
      <c r="E1546" s="52">
        <f t="shared" si="183"/>
        <v>1</v>
      </c>
      <c r="F1546" s="52"/>
      <c r="G1546" s="52"/>
      <c r="H1546" s="52"/>
      <c r="I1546" s="52"/>
      <c r="J1546" s="52"/>
      <c r="K1546" s="52"/>
      <c r="L1546" s="52"/>
      <c r="M1546" s="52"/>
      <c r="N1546" s="52"/>
      <c r="O1546" s="52"/>
      <c r="P1546" s="52"/>
      <c r="Q1546" s="52"/>
      <c r="R1546" s="52"/>
      <c r="S1546" s="52"/>
      <c r="T1546" s="52"/>
      <c r="U1546" s="52"/>
      <c r="V1546" s="52"/>
      <c r="W1546" s="52"/>
      <c r="X1546" s="52"/>
      <c r="Y1546" s="52"/>
      <c r="Z1546" s="52"/>
      <c r="AA1546" s="52"/>
      <c r="AB1546" s="52"/>
      <c r="AC1546" s="52"/>
      <c r="AD1546" s="52"/>
      <c r="AE1546" s="52"/>
      <c r="AF1546" s="52"/>
      <c r="AG1546" s="52"/>
      <c r="AH1546" s="52"/>
      <c r="AI1546" s="52"/>
      <c r="AJ1546" s="52"/>
      <c r="AK1546" s="52"/>
      <c r="AL1546" s="52"/>
      <c r="AM1546" s="52"/>
      <c r="AN1546" s="52"/>
    </row>
    <row r="1547" spans="1:40" x14ac:dyDescent="0.3">
      <c r="A1547" s="52">
        <v>1542</v>
      </c>
      <c r="B1547" s="52">
        <f>-bthan*500+(41+0.5)*bthan*1000/50</f>
        <v>1815</v>
      </c>
      <c r="C1547" s="52">
        <f t="shared" si="181"/>
        <v>-189.99999999999989</v>
      </c>
      <c r="D1547" s="52">
        <f t="shared" si="182"/>
        <v>2200</v>
      </c>
      <c r="E1547" s="52">
        <f t="shared" si="183"/>
        <v>1</v>
      </c>
      <c r="F1547" s="52"/>
      <c r="G1547" s="52"/>
      <c r="H1547" s="52"/>
      <c r="I1547" s="52"/>
      <c r="J1547" s="52"/>
      <c r="K1547" s="52"/>
      <c r="L1547" s="52"/>
      <c r="M1547" s="52"/>
      <c r="N1547" s="52"/>
      <c r="O1547" s="52"/>
      <c r="P1547" s="52"/>
      <c r="Q1547" s="52"/>
      <c r="R1547" s="52"/>
      <c r="S1547" s="52"/>
      <c r="T1547" s="52"/>
      <c r="U1547" s="52"/>
      <c r="V1547" s="52"/>
      <c r="W1547" s="52"/>
      <c r="X1547" s="52"/>
      <c r="Y1547" s="52"/>
      <c r="Z1547" s="52"/>
      <c r="AA1547" s="52"/>
      <c r="AB1547" s="52"/>
      <c r="AC1547" s="52"/>
      <c r="AD1547" s="52"/>
      <c r="AE1547" s="52"/>
      <c r="AF1547" s="52"/>
      <c r="AG1547" s="52"/>
      <c r="AH1547" s="52"/>
      <c r="AI1547" s="52"/>
      <c r="AJ1547" s="52"/>
      <c r="AK1547" s="52"/>
      <c r="AL1547" s="52"/>
      <c r="AM1547" s="52"/>
      <c r="AN1547" s="52"/>
    </row>
    <row r="1548" spans="1:40" x14ac:dyDescent="0.3">
      <c r="A1548" s="52">
        <v>1543</v>
      </c>
      <c r="B1548" s="52">
        <f>-bthan*500+(42+0.5)*bthan*1000/50</f>
        <v>1925</v>
      </c>
      <c r="C1548" s="52">
        <f t="shared" si="181"/>
        <v>-189.99999999999989</v>
      </c>
      <c r="D1548" s="52">
        <f t="shared" si="182"/>
        <v>2200</v>
      </c>
      <c r="E1548" s="52">
        <f t="shared" si="183"/>
        <v>1</v>
      </c>
      <c r="F1548" s="52"/>
      <c r="G1548" s="52"/>
      <c r="H1548" s="52"/>
      <c r="I1548" s="52"/>
      <c r="J1548" s="52"/>
      <c r="K1548" s="52"/>
      <c r="L1548" s="52"/>
      <c r="M1548" s="52"/>
      <c r="N1548" s="52"/>
      <c r="O1548" s="52"/>
      <c r="P1548" s="52"/>
      <c r="Q1548" s="52"/>
      <c r="R1548" s="52"/>
      <c r="S1548" s="52"/>
      <c r="T1548" s="52"/>
      <c r="U1548" s="52"/>
      <c r="V1548" s="52"/>
      <c r="W1548" s="52"/>
      <c r="X1548" s="52"/>
      <c r="Y1548" s="52"/>
      <c r="Z1548" s="52"/>
      <c r="AA1548" s="52"/>
      <c r="AB1548" s="52"/>
      <c r="AC1548" s="52"/>
      <c r="AD1548" s="52"/>
      <c r="AE1548" s="52"/>
      <c r="AF1548" s="52"/>
      <c r="AG1548" s="52"/>
      <c r="AH1548" s="52"/>
      <c r="AI1548" s="52"/>
      <c r="AJ1548" s="52"/>
      <c r="AK1548" s="52"/>
      <c r="AL1548" s="52"/>
      <c r="AM1548" s="52"/>
      <c r="AN1548" s="52"/>
    </row>
    <row r="1549" spans="1:40" x14ac:dyDescent="0.3">
      <c r="A1549" s="52">
        <v>1544</v>
      </c>
      <c r="B1549" s="52">
        <f>-bthan*500+(43+0.5)*bthan*1000/50</f>
        <v>2035</v>
      </c>
      <c r="C1549" s="52">
        <f t="shared" si="181"/>
        <v>-189.99999999999989</v>
      </c>
      <c r="D1549" s="52">
        <f t="shared" si="182"/>
        <v>2200</v>
      </c>
      <c r="E1549" s="52">
        <f t="shared" si="183"/>
        <v>1</v>
      </c>
      <c r="F1549" s="52"/>
      <c r="G1549" s="52"/>
      <c r="H1549" s="52"/>
      <c r="I1549" s="52"/>
      <c r="J1549" s="52"/>
      <c r="K1549" s="52"/>
      <c r="L1549" s="52"/>
      <c r="M1549" s="52"/>
      <c r="N1549" s="52"/>
      <c r="O1549" s="52"/>
      <c r="P1549" s="52"/>
      <c r="Q1549" s="52"/>
      <c r="R1549" s="52"/>
      <c r="S1549" s="52"/>
      <c r="T1549" s="52"/>
      <c r="U1549" s="52"/>
      <c r="V1549" s="52"/>
      <c r="W1549" s="52"/>
      <c r="X1549" s="52"/>
      <c r="Y1549" s="52"/>
      <c r="Z1549" s="52"/>
      <c r="AA1549" s="52"/>
      <c r="AB1549" s="52"/>
      <c r="AC1549" s="52"/>
      <c r="AD1549" s="52"/>
      <c r="AE1549" s="52"/>
      <c r="AF1549" s="52"/>
      <c r="AG1549" s="52"/>
      <c r="AH1549" s="52"/>
      <c r="AI1549" s="52"/>
      <c r="AJ1549" s="52"/>
      <c r="AK1549" s="52"/>
      <c r="AL1549" s="52"/>
      <c r="AM1549" s="52"/>
      <c r="AN1549" s="52"/>
    </row>
    <row r="1550" spans="1:40" x14ac:dyDescent="0.3">
      <c r="A1550" s="52">
        <v>1545</v>
      </c>
      <c r="B1550" s="52">
        <f>-bthan*500+(44+0.5)*bthan*1000/50</f>
        <v>2145</v>
      </c>
      <c r="C1550" s="52">
        <f t="shared" si="181"/>
        <v>-189.99999999999989</v>
      </c>
      <c r="D1550" s="52">
        <f t="shared" si="182"/>
        <v>2200</v>
      </c>
      <c r="E1550" s="52">
        <f t="shared" si="183"/>
        <v>1</v>
      </c>
      <c r="F1550" s="52"/>
      <c r="G1550" s="52"/>
      <c r="H1550" s="52"/>
      <c r="I1550" s="52"/>
      <c r="J1550" s="52"/>
      <c r="K1550" s="52"/>
      <c r="L1550" s="52"/>
      <c r="M1550" s="52"/>
      <c r="N1550" s="52"/>
      <c r="O1550" s="52"/>
      <c r="P1550" s="52"/>
      <c r="Q1550" s="52"/>
      <c r="R1550" s="52"/>
      <c r="S1550" s="52"/>
      <c r="T1550" s="52"/>
      <c r="U1550" s="52"/>
      <c r="V1550" s="52"/>
      <c r="W1550" s="52"/>
      <c r="X1550" s="52"/>
      <c r="Y1550" s="52"/>
      <c r="Z1550" s="52"/>
      <c r="AA1550" s="52"/>
      <c r="AB1550" s="52"/>
      <c r="AC1550" s="52"/>
      <c r="AD1550" s="52"/>
      <c r="AE1550" s="52"/>
      <c r="AF1550" s="52"/>
      <c r="AG1550" s="52"/>
      <c r="AH1550" s="52"/>
      <c r="AI1550" s="52"/>
      <c r="AJ1550" s="52"/>
      <c r="AK1550" s="52"/>
      <c r="AL1550" s="52"/>
      <c r="AM1550" s="52"/>
      <c r="AN1550" s="52"/>
    </row>
    <row r="1551" spans="1:40" x14ac:dyDescent="0.3">
      <c r="A1551" s="52">
        <v>1546</v>
      </c>
      <c r="B1551" s="52">
        <f>-bthan*500+(45+0.5)*bthan*1000/50</f>
        <v>2255</v>
      </c>
      <c r="C1551" s="52">
        <f t="shared" si="181"/>
        <v>-189.99999999999989</v>
      </c>
      <c r="D1551" s="52">
        <f t="shared" si="182"/>
        <v>2200</v>
      </c>
      <c r="E1551" s="52">
        <f t="shared" si="183"/>
        <v>1</v>
      </c>
      <c r="F1551" s="52"/>
      <c r="G1551" s="52"/>
      <c r="H1551" s="52"/>
      <c r="I1551" s="52"/>
      <c r="J1551" s="52"/>
      <c r="K1551" s="52"/>
      <c r="L1551" s="52"/>
      <c r="M1551" s="52"/>
      <c r="N1551" s="52"/>
      <c r="O1551" s="52"/>
      <c r="P1551" s="52"/>
      <c r="Q1551" s="52"/>
      <c r="R1551" s="52"/>
      <c r="S1551" s="52"/>
      <c r="T1551" s="52"/>
      <c r="U1551" s="52"/>
      <c r="V1551" s="52"/>
      <c r="W1551" s="52"/>
      <c r="X1551" s="52"/>
      <c r="Y1551" s="52"/>
      <c r="Z1551" s="52"/>
      <c r="AA1551" s="52"/>
      <c r="AB1551" s="52"/>
      <c r="AC1551" s="52"/>
      <c r="AD1551" s="52"/>
      <c r="AE1551" s="52"/>
      <c r="AF1551" s="52"/>
      <c r="AG1551" s="52"/>
      <c r="AH1551" s="52"/>
      <c r="AI1551" s="52"/>
      <c r="AJ1551" s="52"/>
      <c r="AK1551" s="52"/>
      <c r="AL1551" s="52"/>
      <c r="AM1551" s="52"/>
      <c r="AN1551" s="52"/>
    </row>
    <row r="1552" spans="1:40" x14ac:dyDescent="0.3">
      <c r="A1552" s="52">
        <v>1547</v>
      </c>
      <c r="B1552" s="52">
        <f>-bthan*500+(46+0.5)*bthan*1000/50</f>
        <v>2365</v>
      </c>
      <c r="C1552" s="52">
        <f t="shared" si="181"/>
        <v>-189.99999999999989</v>
      </c>
      <c r="D1552" s="52">
        <f t="shared" si="182"/>
        <v>2200</v>
      </c>
      <c r="E1552" s="52">
        <f t="shared" si="183"/>
        <v>1</v>
      </c>
      <c r="F1552" s="52"/>
      <c r="G1552" s="52"/>
      <c r="H1552" s="52"/>
      <c r="I1552" s="52"/>
      <c r="J1552" s="52"/>
      <c r="K1552" s="52"/>
      <c r="L1552" s="52"/>
      <c r="M1552" s="52"/>
      <c r="N1552" s="52"/>
      <c r="O1552" s="52"/>
      <c r="P1552" s="52"/>
      <c r="Q1552" s="52"/>
      <c r="R1552" s="52"/>
      <c r="S1552" s="52"/>
      <c r="T1552" s="52"/>
      <c r="U1552" s="52"/>
      <c r="V1552" s="52"/>
      <c r="W1552" s="52"/>
      <c r="X1552" s="52"/>
      <c r="Y1552" s="52"/>
      <c r="Z1552" s="52"/>
      <c r="AA1552" s="52"/>
      <c r="AB1552" s="52"/>
      <c r="AC1552" s="52"/>
      <c r="AD1552" s="52"/>
      <c r="AE1552" s="52"/>
      <c r="AF1552" s="52"/>
      <c r="AG1552" s="52"/>
      <c r="AH1552" s="52"/>
      <c r="AI1552" s="52"/>
      <c r="AJ1552" s="52"/>
      <c r="AK1552" s="52"/>
      <c r="AL1552" s="52"/>
      <c r="AM1552" s="52"/>
      <c r="AN1552" s="52"/>
    </row>
    <row r="1553" spans="1:40" x14ac:dyDescent="0.3">
      <c r="A1553" s="52">
        <v>1548</v>
      </c>
      <c r="B1553" s="52">
        <f>-bthan*500+(47+0.5)*bthan*1000/50</f>
        <v>2475</v>
      </c>
      <c r="C1553" s="52">
        <f t="shared" si="181"/>
        <v>-189.99999999999989</v>
      </c>
      <c r="D1553" s="52">
        <f t="shared" si="182"/>
        <v>2200</v>
      </c>
      <c r="E1553" s="52">
        <f t="shared" si="183"/>
        <v>1</v>
      </c>
      <c r="F1553" s="52"/>
      <c r="G1553" s="52"/>
      <c r="H1553" s="52"/>
      <c r="I1553" s="52"/>
      <c r="J1553" s="52"/>
      <c r="K1553" s="52"/>
      <c r="L1553" s="52"/>
      <c r="M1553" s="52"/>
      <c r="N1553" s="52"/>
      <c r="O1553" s="52"/>
      <c r="P1553" s="52"/>
      <c r="Q1553" s="52"/>
      <c r="R1553" s="52"/>
      <c r="S1553" s="52"/>
      <c r="T1553" s="52"/>
      <c r="U1553" s="52"/>
      <c r="V1553" s="52"/>
      <c r="W1553" s="52"/>
      <c r="X1553" s="52"/>
      <c r="Y1553" s="52"/>
      <c r="Z1553" s="52"/>
      <c r="AA1553" s="52"/>
      <c r="AB1553" s="52"/>
      <c r="AC1553" s="52"/>
      <c r="AD1553" s="52"/>
      <c r="AE1553" s="52"/>
      <c r="AF1553" s="52"/>
      <c r="AG1553" s="52"/>
      <c r="AH1553" s="52"/>
      <c r="AI1553" s="52"/>
      <c r="AJ1553" s="52"/>
      <c r="AK1553" s="52"/>
      <c r="AL1553" s="52"/>
      <c r="AM1553" s="52"/>
      <c r="AN1553" s="52"/>
    </row>
    <row r="1554" spans="1:40" x14ac:dyDescent="0.3">
      <c r="A1554" s="52">
        <v>1549</v>
      </c>
      <c r="B1554" s="52">
        <f>-bthan*500+(48+0.5)*bthan*1000/50</f>
        <v>2585</v>
      </c>
      <c r="C1554" s="52">
        <f t="shared" si="181"/>
        <v>-189.99999999999989</v>
      </c>
      <c r="D1554" s="52">
        <f t="shared" si="182"/>
        <v>2200</v>
      </c>
      <c r="E1554" s="52">
        <f t="shared" si="183"/>
        <v>1</v>
      </c>
      <c r="F1554" s="52"/>
      <c r="G1554" s="52"/>
      <c r="H1554" s="52"/>
      <c r="I1554" s="52"/>
      <c r="J1554" s="52"/>
      <c r="K1554" s="52"/>
      <c r="L1554" s="52"/>
      <c r="M1554" s="52"/>
      <c r="N1554" s="52"/>
      <c r="O1554" s="52"/>
      <c r="P1554" s="52"/>
      <c r="Q1554" s="52"/>
      <c r="R1554" s="52"/>
      <c r="S1554" s="52"/>
      <c r="T1554" s="52"/>
      <c r="U1554" s="52"/>
      <c r="V1554" s="52"/>
      <c r="W1554" s="52"/>
      <c r="X1554" s="52"/>
      <c r="Y1554" s="52"/>
      <c r="Z1554" s="52"/>
      <c r="AA1554" s="52"/>
      <c r="AB1554" s="52"/>
      <c r="AC1554" s="52"/>
      <c r="AD1554" s="52"/>
      <c r="AE1554" s="52"/>
      <c r="AF1554" s="52"/>
      <c r="AG1554" s="52"/>
      <c r="AH1554" s="52"/>
      <c r="AI1554" s="52"/>
      <c r="AJ1554" s="52"/>
      <c r="AK1554" s="52"/>
      <c r="AL1554" s="52"/>
      <c r="AM1554" s="52"/>
      <c r="AN1554" s="52"/>
    </row>
    <row r="1555" spans="1:40" x14ac:dyDescent="0.3">
      <c r="A1555" s="52">
        <v>1550</v>
      </c>
      <c r="B1555" s="52">
        <f>-bthan*500+(49+0.5)*bthan*1000/50</f>
        <v>2695</v>
      </c>
      <c r="C1555" s="52">
        <f t="shared" si="181"/>
        <v>-189.99999999999989</v>
      </c>
      <c r="D1555" s="52">
        <f t="shared" si="182"/>
        <v>2200</v>
      </c>
      <c r="E1555" s="52">
        <f t="shared" si="183"/>
        <v>1</v>
      </c>
      <c r="F1555" s="52"/>
      <c r="G1555" s="52"/>
      <c r="H1555" s="52"/>
      <c r="I1555" s="52"/>
      <c r="J1555" s="52"/>
      <c r="K1555" s="52"/>
      <c r="L1555" s="52"/>
      <c r="M1555" s="52"/>
      <c r="N1555" s="52"/>
      <c r="O1555" s="52"/>
      <c r="P1555" s="52"/>
      <c r="Q1555" s="52"/>
      <c r="R1555" s="52"/>
      <c r="S1555" s="52"/>
      <c r="T1555" s="52"/>
      <c r="U1555" s="52"/>
      <c r="V1555" s="52"/>
      <c r="W1555" s="52"/>
      <c r="X1555" s="52"/>
      <c r="Y1555" s="52"/>
      <c r="Z1555" s="52"/>
      <c r="AA1555" s="52"/>
      <c r="AB1555" s="52"/>
      <c r="AC1555" s="52"/>
      <c r="AD1555" s="52"/>
      <c r="AE1555" s="52"/>
      <c r="AF1555" s="52"/>
      <c r="AG1555" s="52"/>
      <c r="AH1555" s="52"/>
      <c r="AI1555" s="52"/>
      <c r="AJ1555" s="52"/>
      <c r="AK1555" s="52"/>
      <c r="AL1555" s="52"/>
      <c r="AM1555" s="52"/>
      <c r="AN1555" s="52"/>
    </row>
    <row r="1556" spans="1:40" x14ac:dyDescent="0.3">
      <c r="A1556" s="52">
        <v>1551</v>
      </c>
      <c r="B1556" s="52">
        <f>-bthan*500+(0+0.5)*bthan*1000/50</f>
        <v>-2695</v>
      </c>
      <c r="C1556" s="52">
        <f t="shared" ref="C1556:C1587" si="184">-hthan*500+(31+0.5)*hthan*1000/80</f>
        <v>-169.99999999999989</v>
      </c>
      <c r="D1556" s="52">
        <f t="shared" si="182"/>
        <v>2200</v>
      </c>
      <c r="E1556" s="52">
        <f t="shared" si="183"/>
        <v>1</v>
      </c>
      <c r="F1556" s="52"/>
      <c r="G1556" s="52"/>
      <c r="H1556" s="52"/>
      <c r="I1556" s="52"/>
      <c r="J1556" s="52"/>
      <c r="K1556" s="52"/>
      <c r="L1556" s="52"/>
      <c r="M1556" s="52"/>
      <c r="N1556" s="52"/>
      <c r="O1556" s="52"/>
      <c r="P1556" s="52"/>
      <c r="Q1556" s="52"/>
      <c r="R1556" s="52"/>
      <c r="S1556" s="52"/>
      <c r="T1556" s="52"/>
      <c r="U1556" s="52"/>
      <c r="V1556" s="52"/>
      <c r="W1556" s="52"/>
      <c r="X1556" s="52"/>
      <c r="Y1556" s="52"/>
      <c r="Z1556" s="52"/>
      <c r="AA1556" s="52"/>
      <c r="AB1556" s="52"/>
      <c r="AC1556" s="52"/>
      <c r="AD1556" s="52"/>
      <c r="AE1556" s="52"/>
      <c r="AF1556" s="52"/>
      <c r="AG1556" s="52"/>
      <c r="AH1556" s="52"/>
      <c r="AI1556" s="52"/>
      <c r="AJ1556" s="52"/>
      <c r="AK1556" s="52"/>
      <c r="AL1556" s="52"/>
      <c r="AM1556" s="52"/>
      <c r="AN1556" s="52"/>
    </row>
    <row r="1557" spans="1:40" x14ac:dyDescent="0.3">
      <c r="A1557" s="52">
        <v>1552</v>
      </c>
      <c r="B1557" s="52">
        <f>-bthan*500+(1+0.5)*bthan*1000/50</f>
        <v>-2585</v>
      </c>
      <c r="C1557" s="52">
        <f t="shared" si="184"/>
        <v>-169.99999999999989</v>
      </c>
      <c r="D1557" s="52">
        <f t="shared" si="182"/>
        <v>2200</v>
      </c>
      <c r="E1557" s="52">
        <f t="shared" si="183"/>
        <v>1</v>
      </c>
      <c r="F1557" s="52"/>
      <c r="G1557" s="52"/>
      <c r="H1557" s="52"/>
      <c r="I1557" s="52"/>
      <c r="J1557" s="52"/>
      <c r="K1557" s="52"/>
      <c r="L1557" s="52"/>
      <c r="M1557" s="52"/>
      <c r="N1557" s="52"/>
      <c r="O1557" s="52"/>
      <c r="P1557" s="52"/>
      <c r="Q1557" s="52"/>
      <c r="R1557" s="52"/>
      <c r="S1557" s="52"/>
      <c r="T1557" s="52"/>
      <c r="U1557" s="52"/>
      <c r="V1557" s="52"/>
      <c r="W1557" s="52"/>
      <c r="X1557" s="52"/>
      <c r="Y1557" s="52"/>
      <c r="Z1557" s="52"/>
      <c r="AA1557" s="52"/>
      <c r="AB1557" s="52"/>
      <c r="AC1557" s="52"/>
      <c r="AD1557" s="52"/>
      <c r="AE1557" s="52"/>
      <c r="AF1557" s="52"/>
      <c r="AG1557" s="52"/>
      <c r="AH1557" s="52"/>
      <c r="AI1557" s="52"/>
      <c r="AJ1557" s="52"/>
      <c r="AK1557" s="52"/>
      <c r="AL1557" s="52"/>
      <c r="AM1557" s="52"/>
      <c r="AN1557" s="52"/>
    </row>
    <row r="1558" spans="1:40" x14ac:dyDescent="0.3">
      <c r="A1558" s="52">
        <v>1553</v>
      </c>
      <c r="B1558" s="52">
        <f>-bthan*500+(2+0.5)*bthan*1000/50</f>
        <v>-2475</v>
      </c>
      <c r="C1558" s="52">
        <f t="shared" si="184"/>
        <v>-169.99999999999989</v>
      </c>
      <c r="D1558" s="52">
        <f t="shared" si="182"/>
        <v>2200</v>
      </c>
      <c r="E1558" s="52">
        <f t="shared" si="183"/>
        <v>1</v>
      </c>
      <c r="F1558" s="52"/>
      <c r="G1558" s="52"/>
      <c r="H1558" s="52"/>
      <c r="I1558" s="52"/>
      <c r="J1558" s="52"/>
      <c r="K1558" s="52"/>
      <c r="L1558" s="52"/>
      <c r="M1558" s="52"/>
      <c r="N1558" s="52"/>
      <c r="O1558" s="52"/>
      <c r="P1558" s="52"/>
      <c r="Q1558" s="52"/>
      <c r="R1558" s="52"/>
      <c r="S1558" s="52"/>
      <c r="T1558" s="52"/>
      <c r="U1558" s="52"/>
      <c r="V1558" s="52"/>
      <c r="W1558" s="52"/>
      <c r="X1558" s="52"/>
      <c r="Y1558" s="52"/>
      <c r="Z1558" s="52"/>
      <c r="AA1558" s="52"/>
      <c r="AB1558" s="52"/>
      <c r="AC1558" s="52"/>
      <c r="AD1558" s="52"/>
      <c r="AE1558" s="52"/>
      <c r="AF1558" s="52"/>
      <c r="AG1558" s="52"/>
      <c r="AH1558" s="52"/>
      <c r="AI1558" s="52"/>
      <c r="AJ1558" s="52"/>
      <c r="AK1558" s="52"/>
      <c r="AL1558" s="52"/>
      <c r="AM1558" s="52"/>
      <c r="AN1558" s="52"/>
    </row>
    <row r="1559" spans="1:40" x14ac:dyDescent="0.3">
      <c r="A1559" s="52">
        <v>1554</v>
      </c>
      <c r="B1559" s="52">
        <f>-bthan*500+(3+0.5)*bthan*1000/50</f>
        <v>-2365</v>
      </c>
      <c r="C1559" s="52">
        <f t="shared" si="184"/>
        <v>-169.99999999999989</v>
      </c>
      <c r="D1559" s="52">
        <f t="shared" si="182"/>
        <v>2200</v>
      </c>
      <c r="E1559" s="52">
        <f t="shared" si="183"/>
        <v>1</v>
      </c>
      <c r="F1559" s="52"/>
      <c r="G1559" s="52"/>
      <c r="H1559" s="52"/>
      <c r="I1559" s="52"/>
      <c r="J1559" s="52"/>
      <c r="K1559" s="52"/>
      <c r="L1559" s="52"/>
      <c r="M1559" s="52"/>
      <c r="N1559" s="52"/>
      <c r="O1559" s="52"/>
      <c r="P1559" s="52"/>
      <c r="Q1559" s="52"/>
      <c r="R1559" s="52"/>
      <c r="S1559" s="52"/>
      <c r="T1559" s="52"/>
      <c r="U1559" s="52"/>
      <c r="V1559" s="52"/>
      <c r="W1559" s="52"/>
      <c r="X1559" s="52"/>
      <c r="Y1559" s="52"/>
      <c r="Z1559" s="52"/>
      <c r="AA1559" s="52"/>
      <c r="AB1559" s="52"/>
      <c r="AC1559" s="52"/>
      <c r="AD1559" s="52"/>
      <c r="AE1559" s="52"/>
      <c r="AF1559" s="52"/>
      <c r="AG1559" s="52"/>
      <c r="AH1559" s="52"/>
      <c r="AI1559" s="52"/>
      <c r="AJ1559" s="52"/>
      <c r="AK1559" s="52"/>
      <c r="AL1559" s="52"/>
      <c r="AM1559" s="52"/>
      <c r="AN1559" s="52"/>
    </row>
    <row r="1560" spans="1:40" x14ac:dyDescent="0.3">
      <c r="A1560" s="52">
        <v>1555</v>
      </c>
      <c r="B1560" s="52">
        <f>-bthan*500+(4+0.5)*bthan*1000/50</f>
        <v>-2255</v>
      </c>
      <c r="C1560" s="52">
        <f t="shared" si="184"/>
        <v>-169.99999999999989</v>
      </c>
      <c r="D1560" s="52">
        <f t="shared" si="182"/>
        <v>2200</v>
      </c>
      <c r="E1560" s="52">
        <f t="shared" si="183"/>
        <v>1</v>
      </c>
      <c r="F1560" s="52"/>
      <c r="G1560" s="52"/>
      <c r="H1560" s="52"/>
      <c r="I1560" s="52"/>
      <c r="J1560" s="52"/>
      <c r="K1560" s="52"/>
      <c r="L1560" s="52"/>
      <c r="M1560" s="52"/>
      <c r="N1560" s="52"/>
      <c r="O1560" s="52"/>
      <c r="P1560" s="52"/>
      <c r="Q1560" s="52"/>
      <c r="R1560" s="52"/>
      <c r="S1560" s="52"/>
      <c r="T1560" s="52"/>
      <c r="U1560" s="52"/>
      <c r="V1560" s="52"/>
      <c r="W1560" s="52"/>
      <c r="X1560" s="52"/>
      <c r="Y1560" s="52"/>
      <c r="Z1560" s="52"/>
      <c r="AA1560" s="52"/>
      <c r="AB1560" s="52"/>
      <c r="AC1560" s="52"/>
      <c r="AD1560" s="52"/>
      <c r="AE1560" s="52"/>
      <c r="AF1560" s="52"/>
      <c r="AG1560" s="52"/>
      <c r="AH1560" s="52"/>
      <c r="AI1560" s="52"/>
      <c r="AJ1560" s="52"/>
      <c r="AK1560" s="52"/>
      <c r="AL1560" s="52"/>
      <c r="AM1560" s="52"/>
      <c r="AN1560" s="52"/>
    </row>
    <row r="1561" spans="1:40" x14ac:dyDescent="0.3">
      <c r="A1561" s="52">
        <v>1556</v>
      </c>
      <c r="B1561" s="52">
        <f>-bthan*500+(5+0.5)*bthan*1000/50</f>
        <v>-2145</v>
      </c>
      <c r="C1561" s="52">
        <f t="shared" si="184"/>
        <v>-169.99999999999989</v>
      </c>
      <c r="D1561" s="52">
        <f t="shared" si="182"/>
        <v>2200</v>
      </c>
      <c r="E1561" s="52">
        <f t="shared" si="183"/>
        <v>1</v>
      </c>
      <c r="F1561" s="52"/>
      <c r="G1561" s="52"/>
      <c r="H1561" s="52"/>
      <c r="I1561" s="52"/>
      <c r="J1561" s="52"/>
      <c r="K1561" s="52"/>
      <c r="L1561" s="52"/>
      <c r="M1561" s="52"/>
      <c r="N1561" s="52"/>
      <c r="O1561" s="52"/>
      <c r="P1561" s="52"/>
      <c r="Q1561" s="52"/>
      <c r="R1561" s="52"/>
      <c r="S1561" s="52"/>
      <c r="T1561" s="52"/>
      <c r="U1561" s="52"/>
      <c r="V1561" s="52"/>
      <c r="W1561" s="52"/>
      <c r="X1561" s="52"/>
      <c r="Y1561" s="52"/>
      <c r="Z1561" s="52"/>
      <c r="AA1561" s="52"/>
      <c r="AB1561" s="52"/>
      <c r="AC1561" s="52"/>
      <c r="AD1561" s="52"/>
      <c r="AE1561" s="52"/>
      <c r="AF1561" s="52"/>
      <c r="AG1561" s="52"/>
      <c r="AH1561" s="52"/>
      <c r="AI1561" s="52"/>
      <c r="AJ1561" s="52"/>
      <c r="AK1561" s="52"/>
      <c r="AL1561" s="52"/>
      <c r="AM1561" s="52"/>
      <c r="AN1561" s="52"/>
    </row>
    <row r="1562" spans="1:40" x14ac:dyDescent="0.3">
      <c r="A1562" s="52">
        <v>1557</v>
      </c>
      <c r="B1562" s="52">
        <f>-bthan*500+(6+0.5)*bthan*1000/50</f>
        <v>-2035</v>
      </c>
      <c r="C1562" s="52">
        <f t="shared" si="184"/>
        <v>-169.99999999999989</v>
      </c>
      <c r="D1562" s="52">
        <f t="shared" si="182"/>
        <v>2200</v>
      </c>
      <c r="E1562" s="52">
        <f t="shared" si="183"/>
        <v>1</v>
      </c>
      <c r="F1562" s="52"/>
      <c r="G1562" s="52"/>
      <c r="H1562" s="52"/>
      <c r="I1562" s="52"/>
      <c r="J1562" s="52"/>
      <c r="K1562" s="52"/>
      <c r="L1562" s="52"/>
      <c r="M1562" s="52"/>
      <c r="N1562" s="52"/>
      <c r="O1562" s="52"/>
      <c r="P1562" s="52"/>
      <c r="Q1562" s="52"/>
      <c r="R1562" s="52"/>
      <c r="S1562" s="52"/>
      <c r="T1562" s="52"/>
      <c r="U1562" s="52"/>
      <c r="V1562" s="52"/>
      <c r="W1562" s="52"/>
      <c r="X1562" s="52"/>
      <c r="Y1562" s="52"/>
      <c r="Z1562" s="52"/>
      <c r="AA1562" s="52"/>
      <c r="AB1562" s="52"/>
      <c r="AC1562" s="52"/>
      <c r="AD1562" s="52"/>
      <c r="AE1562" s="52"/>
      <c r="AF1562" s="52"/>
      <c r="AG1562" s="52"/>
      <c r="AH1562" s="52"/>
      <c r="AI1562" s="52"/>
      <c r="AJ1562" s="52"/>
      <c r="AK1562" s="52"/>
      <c r="AL1562" s="52"/>
      <c r="AM1562" s="52"/>
      <c r="AN1562" s="52"/>
    </row>
    <row r="1563" spans="1:40" x14ac:dyDescent="0.3">
      <c r="A1563" s="52">
        <v>1558</v>
      </c>
      <c r="B1563" s="52">
        <f>-bthan*500+(7+0.5)*bthan*1000/50</f>
        <v>-1925</v>
      </c>
      <c r="C1563" s="52">
        <f t="shared" si="184"/>
        <v>-169.99999999999989</v>
      </c>
      <c r="D1563" s="52">
        <f t="shared" si="182"/>
        <v>2200</v>
      </c>
      <c r="E1563" s="52">
        <f t="shared" si="183"/>
        <v>1</v>
      </c>
      <c r="F1563" s="52"/>
      <c r="G1563" s="52"/>
      <c r="H1563" s="52"/>
      <c r="I1563" s="52"/>
      <c r="J1563" s="52"/>
      <c r="K1563" s="52"/>
      <c r="L1563" s="52"/>
      <c r="M1563" s="52"/>
      <c r="N1563" s="52"/>
      <c r="O1563" s="52"/>
      <c r="P1563" s="52"/>
      <c r="Q1563" s="52"/>
      <c r="R1563" s="52"/>
      <c r="S1563" s="52"/>
      <c r="T1563" s="52"/>
      <c r="U1563" s="52"/>
      <c r="V1563" s="52"/>
      <c r="W1563" s="52"/>
      <c r="X1563" s="52"/>
      <c r="Y1563" s="52"/>
      <c r="Z1563" s="52"/>
      <c r="AA1563" s="52"/>
      <c r="AB1563" s="52"/>
      <c r="AC1563" s="52"/>
      <c r="AD1563" s="52"/>
      <c r="AE1563" s="52"/>
      <c r="AF1563" s="52"/>
      <c r="AG1563" s="52"/>
      <c r="AH1563" s="52"/>
      <c r="AI1563" s="52"/>
      <c r="AJ1563" s="52"/>
      <c r="AK1563" s="52"/>
      <c r="AL1563" s="52"/>
      <c r="AM1563" s="52"/>
      <c r="AN1563" s="52"/>
    </row>
    <row r="1564" spans="1:40" x14ac:dyDescent="0.3">
      <c r="A1564" s="52">
        <v>1559</v>
      </c>
      <c r="B1564" s="52">
        <f>-bthan*500+(8+0.5)*bthan*1000/50</f>
        <v>-1815</v>
      </c>
      <c r="C1564" s="52">
        <f t="shared" si="184"/>
        <v>-169.99999999999989</v>
      </c>
      <c r="D1564" s="52">
        <f t="shared" si="182"/>
        <v>2200</v>
      </c>
      <c r="E1564" s="52">
        <f t="shared" si="183"/>
        <v>1</v>
      </c>
      <c r="F1564" s="52"/>
      <c r="G1564" s="52"/>
      <c r="H1564" s="52"/>
      <c r="I1564" s="52"/>
      <c r="J1564" s="52"/>
      <c r="K1564" s="52"/>
      <c r="L1564" s="52"/>
      <c r="M1564" s="52"/>
      <c r="N1564" s="52"/>
      <c r="O1564" s="52"/>
      <c r="P1564" s="52"/>
      <c r="Q1564" s="52"/>
      <c r="R1564" s="52"/>
      <c r="S1564" s="52"/>
      <c r="T1564" s="52"/>
      <c r="U1564" s="52"/>
      <c r="V1564" s="52"/>
      <c r="W1564" s="52"/>
      <c r="X1564" s="52"/>
      <c r="Y1564" s="52"/>
      <c r="Z1564" s="52"/>
      <c r="AA1564" s="52"/>
      <c r="AB1564" s="52"/>
      <c r="AC1564" s="52"/>
      <c r="AD1564" s="52"/>
      <c r="AE1564" s="52"/>
      <c r="AF1564" s="52"/>
      <c r="AG1564" s="52"/>
      <c r="AH1564" s="52"/>
      <c r="AI1564" s="52"/>
      <c r="AJ1564" s="52"/>
      <c r="AK1564" s="52"/>
      <c r="AL1564" s="52"/>
      <c r="AM1564" s="52"/>
      <c r="AN1564" s="52"/>
    </row>
    <row r="1565" spans="1:40" x14ac:dyDescent="0.3">
      <c r="A1565" s="52">
        <v>1560</v>
      </c>
      <c r="B1565" s="52">
        <f>-bthan*500+(9+0.5)*bthan*1000/50</f>
        <v>-1705</v>
      </c>
      <c r="C1565" s="52">
        <f t="shared" si="184"/>
        <v>-169.99999999999989</v>
      </c>
      <c r="D1565" s="52">
        <f t="shared" si="182"/>
        <v>2200</v>
      </c>
      <c r="E1565" s="52">
        <f t="shared" si="183"/>
        <v>1</v>
      </c>
      <c r="F1565" s="52"/>
      <c r="G1565" s="52"/>
      <c r="H1565" s="52"/>
      <c r="I1565" s="52"/>
      <c r="J1565" s="52"/>
      <c r="K1565" s="52"/>
      <c r="L1565" s="52"/>
      <c r="M1565" s="52"/>
      <c r="N1565" s="52"/>
      <c r="O1565" s="52"/>
      <c r="P1565" s="52"/>
      <c r="Q1565" s="52"/>
      <c r="R1565" s="52"/>
      <c r="S1565" s="52"/>
      <c r="T1565" s="52"/>
      <c r="U1565" s="52"/>
      <c r="V1565" s="52"/>
      <c r="W1565" s="52"/>
      <c r="X1565" s="52"/>
      <c r="Y1565" s="52"/>
      <c r="Z1565" s="52"/>
      <c r="AA1565" s="52"/>
      <c r="AB1565" s="52"/>
      <c r="AC1565" s="52"/>
      <c r="AD1565" s="52"/>
      <c r="AE1565" s="52"/>
      <c r="AF1565" s="52"/>
      <c r="AG1565" s="52"/>
      <c r="AH1565" s="52"/>
      <c r="AI1565" s="52"/>
      <c r="AJ1565" s="52"/>
      <c r="AK1565" s="52"/>
      <c r="AL1565" s="52"/>
      <c r="AM1565" s="52"/>
      <c r="AN1565" s="52"/>
    </row>
    <row r="1566" spans="1:40" x14ac:dyDescent="0.3">
      <c r="A1566" s="52">
        <v>1561</v>
      </c>
      <c r="B1566" s="52">
        <f>-bthan*500+(10+0.5)*bthan*1000/50</f>
        <v>-1595</v>
      </c>
      <c r="C1566" s="52">
        <f t="shared" si="184"/>
        <v>-169.99999999999989</v>
      </c>
      <c r="D1566" s="52">
        <f t="shared" si="182"/>
        <v>2200</v>
      </c>
      <c r="E1566" s="52">
        <f t="shared" si="183"/>
        <v>1</v>
      </c>
      <c r="F1566" s="52"/>
      <c r="G1566" s="52"/>
      <c r="H1566" s="52"/>
      <c r="I1566" s="52"/>
      <c r="J1566" s="52"/>
      <c r="K1566" s="52"/>
      <c r="L1566" s="52"/>
      <c r="M1566" s="52"/>
      <c r="N1566" s="52"/>
      <c r="O1566" s="52"/>
      <c r="P1566" s="52"/>
      <c r="Q1566" s="52"/>
      <c r="R1566" s="52"/>
      <c r="S1566" s="52"/>
      <c r="T1566" s="52"/>
      <c r="U1566" s="52"/>
      <c r="V1566" s="52"/>
      <c r="W1566" s="52"/>
      <c r="X1566" s="52"/>
      <c r="Y1566" s="52"/>
      <c r="Z1566" s="52"/>
      <c r="AA1566" s="52"/>
      <c r="AB1566" s="52"/>
      <c r="AC1566" s="52"/>
      <c r="AD1566" s="52"/>
      <c r="AE1566" s="52"/>
      <c r="AF1566" s="52"/>
      <c r="AG1566" s="52"/>
      <c r="AH1566" s="52"/>
      <c r="AI1566" s="52"/>
      <c r="AJ1566" s="52"/>
      <c r="AK1566" s="52"/>
      <c r="AL1566" s="52"/>
      <c r="AM1566" s="52"/>
      <c r="AN1566" s="52"/>
    </row>
    <row r="1567" spans="1:40" x14ac:dyDescent="0.3">
      <c r="A1567" s="52">
        <v>1562</v>
      </c>
      <c r="B1567" s="52">
        <f>-bthan*500+(11+0.5)*bthan*1000/50</f>
        <v>-1485</v>
      </c>
      <c r="C1567" s="52">
        <f t="shared" si="184"/>
        <v>-169.99999999999989</v>
      </c>
      <c r="D1567" s="52">
        <f t="shared" si="182"/>
        <v>2200</v>
      </c>
      <c r="E1567" s="52">
        <f t="shared" si="183"/>
        <v>1</v>
      </c>
      <c r="F1567" s="52"/>
      <c r="G1567" s="52"/>
      <c r="H1567" s="52"/>
      <c r="I1567" s="52"/>
      <c r="J1567" s="52"/>
      <c r="K1567" s="52"/>
      <c r="L1567" s="52"/>
      <c r="M1567" s="52"/>
      <c r="N1567" s="52"/>
      <c r="O1567" s="52"/>
      <c r="P1567" s="52"/>
      <c r="Q1567" s="52"/>
      <c r="R1567" s="52"/>
      <c r="S1567" s="52"/>
      <c r="T1567" s="52"/>
      <c r="U1567" s="52"/>
      <c r="V1567" s="52"/>
      <c r="W1567" s="52"/>
      <c r="X1567" s="52"/>
      <c r="Y1567" s="52"/>
      <c r="Z1567" s="52"/>
      <c r="AA1567" s="52"/>
      <c r="AB1567" s="52"/>
      <c r="AC1567" s="52"/>
      <c r="AD1567" s="52"/>
      <c r="AE1567" s="52"/>
      <c r="AF1567" s="52"/>
      <c r="AG1567" s="52"/>
      <c r="AH1567" s="52"/>
      <c r="AI1567" s="52"/>
      <c r="AJ1567" s="52"/>
      <c r="AK1567" s="52"/>
      <c r="AL1567" s="52"/>
      <c r="AM1567" s="52"/>
      <c r="AN1567" s="52"/>
    </row>
    <row r="1568" spans="1:40" x14ac:dyDescent="0.3">
      <c r="A1568" s="52">
        <v>1563</v>
      </c>
      <c r="B1568" s="52">
        <f>-bthan*500+(12+0.5)*bthan*1000/50</f>
        <v>-1375</v>
      </c>
      <c r="C1568" s="52">
        <f t="shared" si="184"/>
        <v>-169.99999999999989</v>
      </c>
      <c r="D1568" s="52">
        <f t="shared" si="182"/>
        <v>2200</v>
      </c>
      <c r="E1568" s="52">
        <f t="shared" si="183"/>
        <v>1</v>
      </c>
      <c r="F1568" s="52"/>
      <c r="G1568" s="52"/>
      <c r="H1568" s="52"/>
      <c r="I1568" s="52"/>
      <c r="J1568" s="52"/>
      <c r="K1568" s="52"/>
      <c r="L1568" s="52"/>
      <c r="M1568" s="52"/>
      <c r="N1568" s="52"/>
      <c r="O1568" s="52"/>
      <c r="P1568" s="52"/>
      <c r="Q1568" s="52"/>
      <c r="R1568" s="52"/>
      <c r="S1568" s="52"/>
      <c r="T1568" s="52"/>
      <c r="U1568" s="52"/>
      <c r="V1568" s="52"/>
      <c r="W1568" s="52"/>
      <c r="X1568" s="52"/>
      <c r="Y1568" s="52"/>
      <c r="Z1568" s="52"/>
      <c r="AA1568" s="52"/>
      <c r="AB1568" s="52"/>
      <c r="AC1568" s="52"/>
      <c r="AD1568" s="52"/>
      <c r="AE1568" s="52"/>
      <c r="AF1568" s="52"/>
      <c r="AG1568" s="52"/>
      <c r="AH1568" s="52"/>
      <c r="AI1568" s="52"/>
      <c r="AJ1568" s="52"/>
      <c r="AK1568" s="52"/>
      <c r="AL1568" s="52"/>
      <c r="AM1568" s="52"/>
      <c r="AN1568" s="52"/>
    </row>
    <row r="1569" spans="1:40" x14ac:dyDescent="0.3">
      <c r="A1569" s="52">
        <v>1564</v>
      </c>
      <c r="B1569" s="52">
        <f>-bthan*500+(13+0.5)*bthan*1000/50</f>
        <v>-1265</v>
      </c>
      <c r="C1569" s="52">
        <f t="shared" si="184"/>
        <v>-169.99999999999989</v>
      </c>
      <c r="D1569" s="52">
        <f t="shared" si="182"/>
        <v>2200</v>
      </c>
      <c r="E1569" s="52">
        <f t="shared" si="183"/>
        <v>1</v>
      </c>
      <c r="F1569" s="52"/>
      <c r="G1569" s="52"/>
      <c r="H1569" s="52"/>
      <c r="I1569" s="52"/>
      <c r="J1569" s="52"/>
      <c r="K1569" s="52"/>
      <c r="L1569" s="52"/>
      <c r="M1569" s="52"/>
      <c r="N1569" s="52"/>
      <c r="O1569" s="52"/>
      <c r="P1569" s="52"/>
      <c r="Q1569" s="52"/>
      <c r="R1569" s="52"/>
      <c r="S1569" s="52"/>
      <c r="T1569" s="52"/>
      <c r="U1569" s="52"/>
      <c r="V1569" s="52"/>
      <c r="W1569" s="52"/>
      <c r="X1569" s="52"/>
      <c r="Y1569" s="52"/>
      <c r="Z1569" s="52"/>
      <c r="AA1569" s="52"/>
      <c r="AB1569" s="52"/>
      <c r="AC1569" s="52"/>
      <c r="AD1569" s="52"/>
      <c r="AE1569" s="52"/>
      <c r="AF1569" s="52"/>
      <c r="AG1569" s="52"/>
      <c r="AH1569" s="52"/>
      <c r="AI1569" s="52"/>
      <c r="AJ1569" s="52"/>
      <c r="AK1569" s="52"/>
      <c r="AL1569" s="52"/>
      <c r="AM1569" s="52"/>
      <c r="AN1569" s="52"/>
    </row>
    <row r="1570" spans="1:40" x14ac:dyDescent="0.3">
      <c r="A1570" s="52">
        <v>1565</v>
      </c>
      <c r="B1570" s="52">
        <f>-bthan*500+(14+0.5)*bthan*1000/50</f>
        <v>-1155</v>
      </c>
      <c r="C1570" s="52">
        <f t="shared" si="184"/>
        <v>-169.99999999999989</v>
      </c>
      <c r="D1570" s="52">
        <f t="shared" si="182"/>
        <v>2200</v>
      </c>
      <c r="E1570" s="52">
        <f t="shared" si="183"/>
        <v>1</v>
      </c>
      <c r="F1570" s="52"/>
      <c r="G1570" s="52"/>
      <c r="H1570" s="52"/>
      <c r="I1570" s="52"/>
      <c r="J1570" s="52"/>
      <c r="K1570" s="52"/>
      <c r="L1570" s="52"/>
      <c r="M1570" s="52"/>
      <c r="N1570" s="52"/>
      <c r="O1570" s="52"/>
      <c r="P1570" s="52"/>
      <c r="Q1570" s="52"/>
      <c r="R1570" s="52"/>
      <c r="S1570" s="52"/>
      <c r="T1570" s="52"/>
      <c r="U1570" s="52"/>
      <c r="V1570" s="52"/>
      <c r="W1570" s="52"/>
      <c r="X1570" s="52"/>
      <c r="Y1570" s="52"/>
      <c r="Z1570" s="52"/>
      <c r="AA1570" s="52"/>
      <c r="AB1570" s="52"/>
      <c r="AC1570" s="52"/>
      <c r="AD1570" s="52"/>
      <c r="AE1570" s="52"/>
      <c r="AF1570" s="52"/>
      <c r="AG1570" s="52"/>
      <c r="AH1570" s="52"/>
      <c r="AI1570" s="52"/>
      <c r="AJ1570" s="52"/>
      <c r="AK1570" s="52"/>
      <c r="AL1570" s="52"/>
      <c r="AM1570" s="52"/>
      <c r="AN1570" s="52"/>
    </row>
    <row r="1571" spans="1:40" x14ac:dyDescent="0.3">
      <c r="A1571" s="52">
        <v>1566</v>
      </c>
      <c r="B1571" s="52">
        <f>-bthan*500+(15+0.5)*bthan*1000/50</f>
        <v>-1045</v>
      </c>
      <c r="C1571" s="52">
        <f t="shared" si="184"/>
        <v>-169.99999999999989</v>
      </c>
      <c r="D1571" s="52">
        <f t="shared" si="182"/>
        <v>2200</v>
      </c>
      <c r="E1571" s="52">
        <f t="shared" si="183"/>
        <v>1</v>
      </c>
      <c r="F1571" s="52"/>
      <c r="G1571" s="52"/>
      <c r="H1571" s="52"/>
      <c r="I1571" s="52"/>
      <c r="J1571" s="52"/>
      <c r="K1571" s="52"/>
      <c r="L1571" s="52"/>
      <c r="M1571" s="52"/>
      <c r="N1571" s="52"/>
      <c r="O1571" s="52"/>
      <c r="P1571" s="52"/>
      <c r="Q1571" s="52"/>
      <c r="R1571" s="52"/>
      <c r="S1571" s="52"/>
      <c r="T1571" s="52"/>
      <c r="U1571" s="52"/>
      <c r="V1571" s="52"/>
      <c r="W1571" s="52"/>
      <c r="X1571" s="52"/>
      <c r="Y1571" s="52"/>
      <c r="Z1571" s="52"/>
      <c r="AA1571" s="52"/>
      <c r="AB1571" s="52"/>
      <c r="AC1571" s="52"/>
      <c r="AD1571" s="52"/>
      <c r="AE1571" s="52"/>
      <c r="AF1571" s="52"/>
      <c r="AG1571" s="52"/>
      <c r="AH1571" s="52"/>
      <c r="AI1571" s="52"/>
      <c r="AJ1571" s="52"/>
      <c r="AK1571" s="52"/>
      <c r="AL1571" s="52"/>
      <c r="AM1571" s="52"/>
      <c r="AN1571" s="52"/>
    </row>
    <row r="1572" spans="1:40" x14ac:dyDescent="0.3">
      <c r="A1572" s="52">
        <v>1567</v>
      </c>
      <c r="B1572" s="52">
        <f>-bthan*500+(16+0.5)*bthan*1000/50</f>
        <v>-935</v>
      </c>
      <c r="C1572" s="52">
        <f t="shared" si="184"/>
        <v>-169.99999999999989</v>
      </c>
      <c r="D1572" s="52">
        <f t="shared" si="182"/>
        <v>2200</v>
      </c>
      <c r="E1572" s="52">
        <f t="shared" si="183"/>
        <v>1</v>
      </c>
      <c r="F1572" s="52"/>
      <c r="G1572" s="52"/>
      <c r="H1572" s="52"/>
      <c r="I1572" s="52"/>
      <c r="J1572" s="52"/>
      <c r="K1572" s="52"/>
      <c r="L1572" s="52"/>
      <c r="M1572" s="52"/>
      <c r="N1572" s="52"/>
      <c r="O1572" s="52"/>
      <c r="P1572" s="52"/>
      <c r="Q1572" s="52"/>
      <c r="R1572" s="52"/>
      <c r="S1572" s="52"/>
      <c r="T1572" s="52"/>
      <c r="U1572" s="52"/>
      <c r="V1572" s="52"/>
      <c r="W1572" s="52"/>
      <c r="X1572" s="52"/>
      <c r="Y1572" s="52"/>
      <c r="Z1572" s="52"/>
      <c r="AA1572" s="52"/>
      <c r="AB1572" s="52"/>
      <c r="AC1572" s="52"/>
      <c r="AD1572" s="52"/>
      <c r="AE1572" s="52"/>
      <c r="AF1572" s="52"/>
      <c r="AG1572" s="52"/>
      <c r="AH1572" s="52"/>
      <c r="AI1572" s="52"/>
      <c r="AJ1572" s="52"/>
      <c r="AK1572" s="52"/>
      <c r="AL1572" s="52"/>
      <c r="AM1572" s="52"/>
      <c r="AN1572" s="52"/>
    </row>
    <row r="1573" spans="1:40" x14ac:dyDescent="0.3">
      <c r="A1573" s="52">
        <v>1568</v>
      </c>
      <c r="B1573" s="52">
        <f>-bthan*500+(17+0.5)*bthan*1000/50</f>
        <v>-825</v>
      </c>
      <c r="C1573" s="52">
        <f t="shared" si="184"/>
        <v>-169.99999999999989</v>
      </c>
      <c r="D1573" s="52">
        <f t="shared" si="182"/>
        <v>2200</v>
      </c>
      <c r="E1573" s="52">
        <f t="shared" si="183"/>
        <v>1</v>
      </c>
      <c r="F1573" s="52"/>
      <c r="G1573" s="52"/>
      <c r="H1573" s="52"/>
      <c r="I1573" s="52"/>
      <c r="J1573" s="52"/>
      <c r="K1573" s="52"/>
      <c r="L1573" s="52"/>
      <c r="M1573" s="52"/>
      <c r="N1573" s="52"/>
      <c r="O1573" s="52"/>
      <c r="P1573" s="52"/>
      <c r="Q1573" s="52"/>
      <c r="R1573" s="52"/>
      <c r="S1573" s="52"/>
      <c r="T1573" s="52"/>
      <c r="U1573" s="52"/>
      <c r="V1573" s="52"/>
      <c r="W1573" s="52"/>
      <c r="X1573" s="52"/>
      <c r="Y1573" s="52"/>
      <c r="Z1573" s="52"/>
      <c r="AA1573" s="52"/>
      <c r="AB1573" s="52"/>
      <c r="AC1573" s="52"/>
      <c r="AD1573" s="52"/>
      <c r="AE1573" s="52"/>
      <c r="AF1573" s="52"/>
      <c r="AG1573" s="52"/>
      <c r="AH1573" s="52"/>
      <c r="AI1573" s="52"/>
      <c r="AJ1573" s="52"/>
      <c r="AK1573" s="52"/>
      <c r="AL1573" s="52"/>
      <c r="AM1573" s="52"/>
      <c r="AN1573" s="52"/>
    </row>
    <row r="1574" spans="1:40" x14ac:dyDescent="0.3">
      <c r="A1574" s="52">
        <v>1569</v>
      </c>
      <c r="B1574" s="52">
        <f>-bthan*500+(18+0.5)*bthan*1000/50</f>
        <v>-715</v>
      </c>
      <c r="C1574" s="52">
        <f t="shared" si="184"/>
        <v>-169.99999999999989</v>
      </c>
      <c r="D1574" s="52">
        <f t="shared" si="182"/>
        <v>2200</v>
      </c>
      <c r="E1574" s="52">
        <f t="shared" si="183"/>
        <v>1</v>
      </c>
      <c r="F1574" s="52"/>
      <c r="G1574" s="52"/>
      <c r="H1574" s="52"/>
      <c r="I1574" s="52"/>
      <c r="J1574" s="52"/>
      <c r="K1574" s="52"/>
      <c r="L1574" s="52"/>
      <c r="M1574" s="52"/>
      <c r="N1574" s="52"/>
      <c r="O1574" s="52"/>
      <c r="P1574" s="52"/>
      <c r="Q1574" s="52"/>
      <c r="R1574" s="52"/>
      <c r="S1574" s="52"/>
      <c r="T1574" s="52"/>
      <c r="U1574" s="52"/>
      <c r="V1574" s="52"/>
      <c r="W1574" s="52"/>
      <c r="X1574" s="52"/>
      <c r="Y1574" s="52"/>
      <c r="Z1574" s="52"/>
      <c r="AA1574" s="52"/>
      <c r="AB1574" s="52"/>
      <c r="AC1574" s="52"/>
      <c r="AD1574" s="52"/>
      <c r="AE1574" s="52"/>
      <c r="AF1574" s="52"/>
      <c r="AG1574" s="52"/>
      <c r="AH1574" s="52"/>
      <c r="AI1574" s="52"/>
      <c r="AJ1574" s="52"/>
      <c r="AK1574" s="52"/>
      <c r="AL1574" s="52"/>
      <c r="AM1574" s="52"/>
      <c r="AN1574" s="52"/>
    </row>
    <row r="1575" spans="1:40" x14ac:dyDescent="0.3">
      <c r="A1575" s="52">
        <v>1570</v>
      </c>
      <c r="B1575" s="52">
        <f>-bthan*500+(19+0.5)*bthan*1000/50</f>
        <v>-605</v>
      </c>
      <c r="C1575" s="52">
        <f t="shared" si="184"/>
        <v>-169.99999999999989</v>
      </c>
      <c r="D1575" s="52">
        <f t="shared" si="182"/>
        <v>2200</v>
      </c>
      <c r="E1575" s="52">
        <f t="shared" si="183"/>
        <v>1</v>
      </c>
      <c r="F1575" s="52"/>
      <c r="G1575" s="52"/>
      <c r="H1575" s="52"/>
      <c r="I1575" s="52"/>
      <c r="J1575" s="52"/>
      <c r="K1575" s="52"/>
      <c r="L1575" s="52"/>
      <c r="M1575" s="52"/>
      <c r="N1575" s="52"/>
      <c r="O1575" s="52"/>
      <c r="P1575" s="52"/>
      <c r="Q1575" s="52"/>
      <c r="R1575" s="52"/>
      <c r="S1575" s="52"/>
      <c r="T1575" s="52"/>
      <c r="U1575" s="52"/>
      <c r="V1575" s="52"/>
      <c r="W1575" s="52"/>
      <c r="X1575" s="52"/>
      <c r="Y1575" s="52"/>
      <c r="Z1575" s="52"/>
      <c r="AA1575" s="52"/>
      <c r="AB1575" s="52"/>
      <c r="AC1575" s="52"/>
      <c r="AD1575" s="52"/>
      <c r="AE1575" s="52"/>
      <c r="AF1575" s="52"/>
      <c r="AG1575" s="52"/>
      <c r="AH1575" s="52"/>
      <c r="AI1575" s="52"/>
      <c r="AJ1575" s="52"/>
      <c r="AK1575" s="52"/>
      <c r="AL1575" s="52"/>
      <c r="AM1575" s="52"/>
      <c r="AN1575" s="52"/>
    </row>
    <row r="1576" spans="1:40" x14ac:dyDescent="0.3">
      <c r="A1576" s="52">
        <v>1571</v>
      </c>
      <c r="B1576" s="52">
        <f>-bthan*500+(20+0.5)*bthan*1000/50</f>
        <v>-495</v>
      </c>
      <c r="C1576" s="52">
        <f t="shared" si="184"/>
        <v>-169.99999999999989</v>
      </c>
      <c r="D1576" s="52">
        <f t="shared" si="182"/>
        <v>2200</v>
      </c>
      <c r="E1576" s="52">
        <f t="shared" si="183"/>
        <v>1</v>
      </c>
      <c r="F1576" s="52"/>
      <c r="G1576" s="52"/>
      <c r="H1576" s="52"/>
      <c r="I1576" s="52"/>
      <c r="J1576" s="52"/>
      <c r="K1576" s="52"/>
      <c r="L1576" s="52"/>
      <c r="M1576" s="52"/>
      <c r="N1576" s="52"/>
      <c r="O1576" s="52"/>
      <c r="P1576" s="52"/>
      <c r="Q1576" s="52"/>
      <c r="R1576" s="52"/>
      <c r="S1576" s="52"/>
      <c r="T1576" s="52"/>
      <c r="U1576" s="52"/>
      <c r="V1576" s="52"/>
      <c r="W1576" s="52"/>
      <c r="X1576" s="52"/>
      <c r="Y1576" s="52"/>
      <c r="Z1576" s="52"/>
      <c r="AA1576" s="52"/>
      <c r="AB1576" s="52"/>
      <c r="AC1576" s="52"/>
      <c r="AD1576" s="52"/>
      <c r="AE1576" s="52"/>
      <c r="AF1576" s="52"/>
      <c r="AG1576" s="52"/>
      <c r="AH1576" s="52"/>
      <c r="AI1576" s="52"/>
      <c r="AJ1576" s="52"/>
      <c r="AK1576" s="52"/>
      <c r="AL1576" s="52"/>
      <c r="AM1576" s="52"/>
      <c r="AN1576" s="52"/>
    </row>
    <row r="1577" spans="1:40" x14ac:dyDescent="0.3">
      <c r="A1577" s="52">
        <v>1572</v>
      </c>
      <c r="B1577" s="52">
        <f>-bthan*500+(21+0.5)*bthan*1000/50</f>
        <v>-385</v>
      </c>
      <c r="C1577" s="52">
        <f t="shared" si="184"/>
        <v>-169.99999999999989</v>
      </c>
      <c r="D1577" s="52">
        <f t="shared" si="182"/>
        <v>2200</v>
      </c>
      <c r="E1577" s="52">
        <f t="shared" si="183"/>
        <v>1</v>
      </c>
      <c r="F1577" s="52"/>
      <c r="G1577" s="52"/>
      <c r="H1577" s="52"/>
      <c r="I1577" s="52"/>
      <c r="J1577" s="52"/>
      <c r="K1577" s="52"/>
      <c r="L1577" s="52"/>
      <c r="M1577" s="52"/>
      <c r="N1577" s="52"/>
      <c r="O1577" s="52"/>
      <c r="P1577" s="52"/>
      <c r="Q1577" s="52"/>
      <c r="R1577" s="52"/>
      <c r="S1577" s="52"/>
      <c r="T1577" s="52"/>
      <c r="U1577" s="52"/>
      <c r="V1577" s="52"/>
      <c r="W1577" s="52"/>
      <c r="X1577" s="52"/>
      <c r="Y1577" s="52"/>
      <c r="Z1577" s="52"/>
      <c r="AA1577" s="52"/>
      <c r="AB1577" s="52"/>
      <c r="AC1577" s="52"/>
      <c r="AD1577" s="52"/>
      <c r="AE1577" s="52"/>
      <c r="AF1577" s="52"/>
      <c r="AG1577" s="52"/>
      <c r="AH1577" s="52"/>
      <c r="AI1577" s="52"/>
      <c r="AJ1577" s="52"/>
      <c r="AK1577" s="52"/>
      <c r="AL1577" s="52"/>
      <c r="AM1577" s="52"/>
      <c r="AN1577" s="52"/>
    </row>
    <row r="1578" spans="1:40" x14ac:dyDescent="0.3">
      <c r="A1578" s="52">
        <v>1573</v>
      </c>
      <c r="B1578" s="52">
        <f>-bthan*500+(22+0.5)*bthan*1000/50</f>
        <v>-275</v>
      </c>
      <c r="C1578" s="52">
        <f t="shared" si="184"/>
        <v>-169.99999999999989</v>
      </c>
      <c r="D1578" s="52">
        <f t="shared" si="182"/>
        <v>2200</v>
      </c>
      <c r="E1578" s="52">
        <f t="shared" si="183"/>
        <v>1</v>
      </c>
      <c r="F1578" s="52"/>
      <c r="G1578" s="52"/>
      <c r="H1578" s="52"/>
      <c r="I1578" s="52"/>
      <c r="J1578" s="52"/>
      <c r="K1578" s="52"/>
      <c r="L1578" s="52"/>
      <c r="M1578" s="52"/>
      <c r="N1578" s="52"/>
      <c r="O1578" s="52"/>
      <c r="P1578" s="52"/>
      <c r="Q1578" s="52"/>
      <c r="R1578" s="52"/>
      <c r="S1578" s="52"/>
      <c r="T1578" s="52"/>
      <c r="U1578" s="52"/>
      <c r="V1578" s="52"/>
      <c r="W1578" s="52"/>
      <c r="X1578" s="52"/>
      <c r="Y1578" s="52"/>
      <c r="Z1578" s="52"/>
      <c r="AA1578" s="52"/>
      <c r="AB1578" s="52"/>
      <c r="AC1578" s="52"/>
      <c r="AD1578" s="52"/>
      <c r="AE1578" s="52"/>
      <c r="AF1578" s="52"/>
      <c r="AG1578" s="52"/>
      <c r="AH1578" s="52"/>
      <c r="AI1578" s="52"/>
      <c r="AJ1578" s="52"/>
      <c r="AK1578" s="52"/>
      <c r="AL1578" s="52"/>
      <c r="AM1578" s="52"/>
      <c r="AN1578" s="52"/>
    </row>
    <row r="1579" spans="1:40" x14ac:dyDescent="0.3">
      <c r="A1579" s="52">
        <v>1574</v>
      </c>
      <c r="B1579" s="52">
        <f>-bthan*500+(23+0.5)*bthan*1000/50</f>
        <v>-165</v>
      </c>
      <c r="C1579" s="52">
        <f t="shared" si="184"/>
        <v>-169.99999999999989</v>
      </c>
      <c r="D1579" s="52">
        <f t="shared" si="182"/>
        <v>2200</v>
      </c>
      <c r="E1579" s="52">
        <f t="shared" si="183"/>
        <v>1</v>
      </c>
      <c r="F1579" s="52"/>
      <c r="G1579" s="52"/>
      <c r="H1579" s="52"/>
      <c r="I1579" s="52"/>
      <c r="J1579" s="52"/>
      <c r="K1579" s="52"/>
      <c r="L1579" s="52"/>
      <c r="M1579" s="52"/>
      <c r="N1579" s="52"/>
      <c r="O1579" s="52"/>
      <c r="P1579" s="52"/>
      <c r="Q1579" s="52"/>
      <c r="R1579" s="52"/>
      <c r="S1579" s="52"/>
      <c r="T1579" s="52"/>
      <c r="U1579" s="52"/>
      <c r="V1579" s="52"/>
      <c r="W1579" s="52"/>
      <c r="X1579" s="52"/>
      <c r="Y1579" s="52"/>
      <c r="Z1579" s="52"/>
      <c r="AA1579" s="52"/>
      <c r="AB1579" s="52"/>
      <c r="AC1579" s="52"/>
      <c r="AD1579" s="52"/>
      <c r="AE1579" s="52"/>
      <c r="AF1579" s="52"/>
      <c r="AG1579" s="52"/>
      <c r="AH1579" s="52"/>
      <c r="AI1579" s="52"/>
      <c r="AJ1579" s="52"/>
      <c r="AK1579" s="52"/>
      <c r="AL1579" s="52"/>
      <c r="AM1579" s="52"/>
      <c r="AN1579" s="52"/>
    </row>
    <row r="1580" spans="1:40" x14ac:dyDescent="0.3">
      <c r="A1580" s="52">
        <v>1575</v>
      </c>
      <c r="B1580" s="52">
        <f>-bthan*500+(24+0.5)*bthan*1000/50</f>
        <v>-55</v>
      </c>
      <c r="C1580" s="52">
        <f t="shared" si="184"/>
        <v>-169.99999999999989</v>
      </c>
      <c r="D1580" s="52">
        <f t="shared" si="182"/>
        <v>2200</v>
      </c>
      <c r="E1580" s="52">
        <f t="shared" si="183"/>
        <v>1</v>
      </c>
      <c r="F1580" s="52"/>
      <c r="G1580" s="52"/>
      <c r="H1580" s="52"/>
      <c r="I1580" s="52"/>
      <c r="J1580" s="52"/>
      <c r="K1580" s="52"/>
      <c r="L1580" s="52"/>
      <c r="M1580" s="52"/>
      <c r="N1580" s="52"/>
      <c r="O1580" s="52"/>
      <c r="P1580" s="52"/>
      <c r="Q1580" s="52"/>
      <c r="R1580" s="52"/>
      <c r="S1580" s="52"/>
      <c r="T1580" s="52"/>
      <c r="U1580" s="52"/>
      <c r="V1580" s="52"/>
      <c r="W1580" s="52"/>
      <c r="X1580" s="52"/>
      <c r="Y1580" s="52"/>
      <c r="Z1580" s="52"/>
      <c r="AA1580" s="52"/>
      <c r="AB1580" s="52"/>
      <c r="AC1580" s="52"/>
      <c r="AD1580" s="52"/>
      <c r="AE1580" s="52"/>
      <c r="AF1580" s="52"/>
      <c r="AG1580" s="52"/>
      <c r="AH1580" s="52"/>
      <c r="AI1580" s="52"/>
      <c r="AJ1580" s="52"/>
      <c r="AK1580" s="52"/>
      <c r="AL1580" s="52"/>
      <c r="AM1580" s="52"/>
      <c r="AN1580" s="52"/>
    </row>
    <row r="1581" spans="1:40" x14ac:dyDescent="0.3">
      <c r="A1581" s="52">
        <v>1576</v>
      </c>
      <c r="B1581" s="52">
        <f>-bthan*500+(25+0.5)*bthan*1000/50</f>
        <v>55</v>
      </c>
      <c r="C1581" s="52">
        <f t="shared" si="184"/>
        <v>-169.99999999999989</v>
      </c>
      <c r="D1581" s="52">
        <f t="shared" si="182"/>
        <v>2200</v>
      </c>
      <c r="E1581" s="52">
        <f t="shared" si="183"/>
        <v>1</v>
      </c>
      <c r="F1581" s="52"/>
      <c r="G1581" s="52"/>
      <c r="H1581" s="52"/>
      <c r="I1581" s="52"/>
      <c r="J1581" s="52"/>
      <c r="K1581" s="52"/>
      <c r="L1581" s="52"/>
      <c r="M1581" s="52"/>
      <c r="N1581" s="52"/>
      <c r="O1581" s="52"/>
      <c r="P1581" s="52"/>
      <c r="Q1581" s="52"/>
      <c r="R1581" s="52"/>
      <c r="S1581" s="52"/>
      <c r="T1581" s="52"/>
      <c r="U1581" s="52"/>
      <c r="V1581" s="52"/>
      <c r="W1581" s="52"/>
      <c r="X1581" s="52"/>
      <c r="Y1581" s="52"/>
      <c r="Z1581" s="52"/>
      <c r="AA1581" s="52"/>
      <c r="AB1581" s="52"/>
      <c r="AC1581" s="52"/>
      <c r="AD1581" s="52"/>
      <c r="AE1581" s="52"/>
      <c r="AF1581" s="52"/>
      <c r="AG1581" s="52"/>
      <c r="AH1581" s="52"/>
      <c r="AI1581" s="52"/>
      <c r="AJ1581" s="52"/>
      <c r="AK1581" s="52"/>
      <c r="AL1581" s="52"/>
      <c r="AM1581" s="52"/>
      <c r="AN1581" s="52"/>
    </row>
    <row r="1582" spans="1:40" x14ac:dyDescent="0.3">
      <c r="A1582" s="52">
        <v>1577</v>
      </c>
      <c r="B1582" s="52">
        <f>-bthan*500+(26+0.5)*bthan*1000/50</f>
        <v>165</v>
      </c>
      <c r="C1582" s="52">
        <f t="shared" si="184"/>
        <v>-169.99999999999989</v>
      </c>
      <c r="D1582" s="52">
        <f t="shared" si="182"/>
        <v>2200</v>
      </c>
      <c r="E1582" s="52">
        <f t="shared" si="183"/>
        <v>1</v>
      </c>
      <c r="F1582" s="52"/>
      <c r="G1582" s="52"/>
      <c r="H1582" s="52"/>
      <c r="I1582" s="52"/>
      <c r="J1582" s="52"/>
      <c r="K1582" s="52"/>
      <c r="L1582" s="52"/>
      <c r="M1582" s="52"/>
      <c r="N1582" s="52"/>
      <c r="O1582" s="52"/>
      <c r="P1582" s="52"/>
      <c r="Q1582" s="52"/>
      <c r="R1582" s="52"/>
      <c r="S1582" s="52"/>
      <c r="T1582" s="52"/>
      <c r="U1582" s="52"/>
      <c r="V1582" s="52"/>
      <c r="W1582" s="52"/>
      <c r="X1582" s="52"/>
      <c r="Y1582" s="52"/>
      <c r="Z1582" s="52"/>
      <c r="AA1582" s="52"/>
      <c r="AB1582" s="52"/>
      <c r="AC1582" s="52"/>
      <c r="AD1582" s="52"/>
      <c r="AE1582" s="52"/>
      <c r="AF1582" s="52"/>
      <c r="AG1582" s="52"/>
      <c r="AH1582" s="52"/>
      <c r="AI1582" s="52"/>
      <c r="AJ1582" s="52"/>
      <c r="AK1582" s="52"/>
      <c r="AL1582" s="52"/>
      <c r="AM1582" s="52"/>
      <c r="AN1582" s="52"/>
    </row>
    <row r="1583" spans="1:40" x14ac:dyDescent="0.3">
      <c r="A1583" s="52">
        <v>1578</v>
      </c>
      <c r="B1583" s="52">
        <f>-bthan*500+(27+0.5)*bthan*1000/50</f>
        <v>275</v>
      </c>
      <c r="C1583" s="52">
        <f t="shared" si="184"/>
        <v>-169.99999999999989</v>
      </c>
      <c r="D1583" s="52">
        <f t="shared" si="182"/>
        <v>2200</v>
      </c>
      <c r="E1583" s="52">
        <f t="shared" si="183"/>
        <v>1</v>
      </c>
      <c r="F1583" s="52"/>
      <c r="G1583" s="52"/>
      <c r="H1583" s="52"/>
      <c r="I1583" s="52"/>
      <c r="J1583" s="52"/>
      <c r="K1583" s="52"/>
      <c r="L1583" s="52"/>
      <c r="M1583" s="52"/>
      <c r="N1583" s="52"/>
      <c r="O1583" s="52"/>
      <c r="P1583" s="52"/>
      <c r="Q1583" s="52"/>
      <c r="R1583" s="52"/>
      <c r="S1583" s="52"/>
      <c r="T1583" s="52"/>
      <c r="U1583" s="52"/>
      <c r="V1583" s="52"/>
      <c r="W1583" s="52"/>
      <c r="X1583" s="52"/>
      <c r="Y1583" s="52"/>
      <c r="Z1583" s="52"/>
      <c r="AA1583" s="52"/>
      <c r="AB1583" s="52"/>
      <c r="AC1583" s="52"/>
      <c r="AD1583" s="52"/>
      <c r="AE1583" s="52"/>
      <c r="AF1583" s="52"/>
      <c r="AG1583" s="52"/>
      <c r="AH1583" s="52"/>
      <c r="AI1583" s="52"/>
      <c r="AJ1583" s="52"/>
      <c r="AK1583" s="52"/>
      <c r="AL1583" s="52"/>
      <c r="AM1583" s="52"/>
      <c r="AN1583" s="52"/>
    </row>
    <row r="1584" spans="1:40" x14ac:dyDescent="0.3">
      <c r="A1584" s="52">
        <v>1579</v>
      </c>
      <c r="B1584" s="52">
        <f>-bthan*500+(28+0.5)*bthan*1000/50</f>
        <v>385</v>
      </c>
      <c r="C1584" s="52">
        <f t="shared" si="184"/>
        <v>-169.99999999999989</v>
      </c>
      <c r="D1584" s="52">
        <f t="shared" si="182"/>
        <v>2200</v>
      </c>
      <c r="E1584" s="52">
        <f t="shared" si="183"/>
        <v>1</v>
      </c>
      <c r="F1584" s="52"/>
      <c r="G1584" s="52"/>
      <c r="H1584" s="52"/>
      <c r="I1584" s="52"/>
      <c r="J1584" s="52"/>
      <c r="K1584" s="52"/>
      <c r="L1584" s="52"/>
      <c r="M1584" s="52"/>
      <c r="N1584" s="52"/>
      <c r="O1584" s="52"/>
      <c r="P1584" s="52"/>
      <c r="Q1584" s="52"/>
      <c r="R1584" s="52"/>
      <c r="S1584" s="52"/>
      <c r="T1584" s="52"/>
      <c r="U1584" s="52"/>
      <c r="V1584" s="52"/>
      <c r="W1584" s="52"/>
      <c r="X1584" s="52"/>
      <c r="Y1584" s="52"/>
      <c r="Z1584" s="52"/>
      <c r="AA1584" s="52"/>
      <c r="AB1584" s="52"/>
      <c r="AC1584" s="52"/>
      <c r="AD1584" s="52"/>
      <c r="AE1584" s="52"/>
      <c r="AF1584" s="52"/>
      <c r="AG1584" s="52"/>
      <c r="AH1584" s="52"/>
      <c r="AI1584" s="52"/>
      <c r="AJ1584" s="52"/>
      <c r="AK1584" s="52"/>
      <c r="AL1584" s="52"/>
      <c r="AM1584" s="52"/>
      <c r="AN1584" s="52"/>
    </row>
    <row r="1585" spans="1:40" x14ac:dyDescent="0.3">
      <c r="A1585" s="52">
        <v>1580</v>
      </c>
      <c r="B1585" s="52">
        <f>-bthan*500+(29+0.5)*bthan*1000/50</f>
        <v>495</v>
      </c>
      <c r="C1585" s="52">
        <f t="shared" si="184"/>
        <v>-169.99999999999989</v>
      </c>
      <c r="D1585" s="52">
        <f t="shared" si="182"/>
        <v>2200</v>
      </c>
      <c r="E1585" s="52">
        <f t="shared" si="183"/>
        <v>1</v>
      </c>
      <c r="F1585" s="52"/>
      <c r="G1585" s="52"/>
      <c r="H1585" s="52"/>
      <c r="I1585" s="52"/>
      <c r="J1585" s="52"/>
      <c r="K1585" s="52"/>
      <c r="L1585" s="52"/>
      <c r="M1585" s="52"/>
      <c r="N1585" s="52"/>
      <c r="O1585" s="52"/>
      <c r="P1585" s="52"/>
      <c r="Q1585" s="52"/>
      <c r="R1585" s="52"/>
      <c r="S1585" s="52"/>
      <c r="T1585" s="52"/>
      <c r="U1585" s="52"/>
      <c r="V1585" s="52"/>
      <c r="W1585" s="52"/>
      <c r="X1585" s="52"/>
      <c r="Y1585" s="52"/>
      <c r="Z1585" s="52"/>
      <c r="AA1585" s="52"/>
      <c r="AB1585" s="52"/>
      <c r="AC1585" s="52"/>
      <c r="AD1585" s="52"/>
      <c r="AE1585" s="52"/>
      <c r="AF1585" s="52"/>
      <c r="AG1585" s="52"/>
      <c r="AH1585" s="52"/>
      <c r="AI1585" s="52"/>
      <c r="AJ1585" s="52"/>
      <c r="AK1585" s="52"/>
      <c r="AL1585" s="52"/>
      <c r="AM1585" s="52"/>
      <c r="AN1585" s="52"/>
    </row>
    <row r="1586" spans="1:40" x14ac:dyDescent="0.3">
      <c r="A1586" s="52">
        <v>1581</v>
      </c>
      <c r="B1586" s="52">
        <f>-bthan*500+(30+0.5)*bthan*1000/50</f>
        <v>605</v>
      </c>
      <c r="C1586" s="52">
        <f t="shared" si="184"/>
        <v>-169.99999999999989</v>
      </c>
      <c r="D1586" s="52">
        <f t="shared" si="182"/>
        <v>2200</v>
      </c>
      <c r="E1586" s="52">
        <f t="shared" si="183"/>
        <v>1</v>
      </c>
      <c r="F1586" s="52"/>
      <c r="G1586" s="52"/>
      <c r="H1586" s="52"/>
      <c r="I1586" s="52"/>
      <c r="J1586" s="52"/>
      <c r="K1586" s="52"/>
      <c r="L1586" s="52"/>
      <c r="M1586" s="52"/>
      <c r="N1586" s="52"/>
      <c r="O1586" s="52"/>
      <c r="P1586" s="52"/>
      <c r="Q1586" s="52"/>
      <c r="R1586" s="52"/>
      <c r="S1586" s="52"/>
      <c r="T1586" s="52"/>
      <c r="U1586" s="52"/>
      <c r="V1586" s="52"/>
      <c r="W1586" s="52"/>
      <c r="X1586" s="52"/>
      <c r="Y1586" s="52"/>
      <c r="Z1586" s="52"/>
      <c r="AA1586" s="52"/>
      <c r="AB1586" s="52"/>
      <c r="AC1586" s="52"/>
      <c r="AD1586" s="52"/>
      <c r="AE1586" s="52"/>
      <c r="AF1586" s="52"/>
      <c r="AG1586" s="52"/>
      <c r="AH1586" s="52"/>
      <c r="AI1586" s="52"/>
      <c r="AJ1586" s="52"/>
      <c r="AK1586" s="52"/>
      <c r="AL1586" s="52"/>
      <c r="AM1586" s="52"/>
      <c r="AN1586" s="52"/>
    </row>
    <row r="1587" spans="1:40" x14ac:dyDescent="0.3">
      <c r="A1587" s="52">
        <v>1582</v>
      </c>
      <c r="B1587" s="52">
        <f>-bthan*500+(31+0.5)*bthan*1000/50</f>
        <v>715</v>
      </c>
      <c r="C1587" s="52">
        <f t="shared" si="184"/>
        <v>-169.99999999999989</v>
      </c>
      <c r="D1587" s="52">
        <f t="shared" si="182"/>
        <v>2200</v>
      </c>
      <c r="E1587" s="52">
        <f t="shared" si="183"/>
        <v>1</v>
      </c>
      <c r="F1587" s="52"/>
      <c r="G1587" s="52"/>
      <c r="H1587" s="52"/>
      <c r="I1587" s="52"/>
      <c r="J1587" s="52"/>
      <c r="K1587" s="52"/>
      <c r="L1587" s="52"/>
      <c r="M1587" s="52"/>
      <c r="N1587" s="52"/>
      <c r="O1587" s="52"/>
      <c r="P1587" s="52"/>
      <c r="Q1587" s="52"/>
      <c r="R1587" s="52"/>
      <c r="S1587" s="52"/>
      <c r="T1587" s="52"/>
      <c r="U1587" s="52"/>
      <c r="V1587" s="52"/>
      <c r="W1587" s="52"/>
      <c r="X1587" s="52"/>
      <c r="Y1587" s="52"/>
      <c r="Z1587" s="52"/>
      <c r="AA1587" s="52"/>
      <c r="AB1587" s="52"/>
      <c r="AC1587" s="52"/>
      <c r="AD1587" s="52"/>
      <c r="AE1587" s="52"/>
      <c r="AF1587" s="52"/>
      <c r="AG1587" s="52"/>
      <c r="AH1587" s="52"/>
      <c r="AI1587" s="52"/>
      <c r="AJ1587" s="52"/>
      <c r="AK1587" s="52"/>
      <c r="AL1587" s="52"/>
      <c r="AM1587" s="52"/>
      <c r="AN1587" s="52"/>
    </row>
    <row r="1588" spans="1:40" x14ac:dyDescent="0.3">
      <c r="A1588" s="52">
        <v>1583</v>
      </c>
      <c r="B1588" s="52">
        <f>-bthan*500+(32+0.5)*bthan*1000/50</f>
        <v>825</v>
      </c>
      <c r="C1588" s="52">
        <f t="shared" ref="C1588:C1605" si="185">-hthan*500+(31+0.5)*hthan*1000/80</f>
        <v>-169.99999999999989</v>
      </c>
      <c r="D1588" s="52">
        <f t="shared" si="182"/>
        <v>2200</v>
      </c>
      <c r="E1588" s="52">
        <f t="shared" si="183"/>
        <v>1</v>
      </c>
      <c r="F1588" s="52"/>
      <c r="G1588" s="52"/>
      <c r="H1588" s="52"/>
      <c r="I1588" s="52"/>
      <c r="J1588" s="52"/>
      <c r="K1588" s="52"/>
      <c r="L1588" s="52"/>
      <c r="M1588" s="52"/>
      <c r="N1588" s="52"/>
      <c r="O1588" s="52"/>
      <c r="P1588" s="52"/>
      <c r="Q1588" s="52"/>
      <c r="R1588" s="52"/>
      <c r="S1588" s="52"/>
      <c r="T1588" s="52"/>
      <c r="U1588" s="52"/>
      <c r="V1588" s="52"/>
      <c r="W1588" s="52"/>
      <c r="X1588" s="52"/>
      <c r="Y1588" s="52"/>
      <c r="Z1588" s="52"/>
      <c r="AA1588" s="52"/>
      <c r="AB1588" s="52"/>
      <c r="AC1588" s="52"/>
      <c r="AD1588" s="52"/>
      <c r="AE1588" s="52"/>
      <c r="AF1588" s="52"/>
      <c r="AG1588" s="52"/>
      <c r="AH1588" s="52"/>
      <c r="AI1588" s="52"/>
      <c r="AJ1588" s="52"/>
      <c r="AK1588" s="52"/>
      <c r="AL1588" s="52"/>
      <c r="AM1588" s="52"/>
      <c r="AN1588" s="52"/>
    </row>
    <row r="1589" spans="1:40" x14ac:dyDescent="0.3">
      <c r="A1589" s="52">
        <v>1584</v>
      </c>
      <c r="B1589" s="52">
        <f>-bthan*500+(33+0.5)*bthan*1000/50</f>
        <v>935</v>
      </c>
      <c r="C1589" s="52">
        <f t="shared" si="185"/>
        <v>-169.99999999999989</v>
      </c>
      <c r="D1589" s="52">
        <f t="shared" si="182"/>
        <v>2200</v>
      </c>
      <c r="E1589" s="52">
        <f t="shared" si="183"/>
        <v>1</v>
      </c>
      <c r="F1589" s="52"/>
      <c r="G1589" s="52"/>
      <c r="H1589" s="52"/>
      <c r="I1589" s="52"/>
      <c r="J1589" s="52"/>
      <c r="K1589" s="52"/>
      <c r="L1589" s="52"/>
      <c r="M1589" s="52"/>
      <c r="N1589" s="52"/>
      <c r="O1589" s="52"/>
      <c r="P1589" s="52"/>
      <c r="Q1589" s="52"/>
      <c r="R1589" s="52"/>
      <c r="S1589" s="52"/>
      <c r="T1589" s="52"/>
      <c r="U1589" s="52"/>
      <c r="V1589" s="52"/>
      <c r="W1589" s="52"/>
      <c r="X1589" s="52"/>
      <c r="Y1589" s="52"/>
      <c r="Z1589" s="52"/>
      <c r="AA1589" s="52"/>
      <c r="AB1589" s="52"/>
      <c r="AC1589" s="52"/>
      <c r="AD1589" s="52"/>
      <c r="AE1589" s="52"/>
      <c r="AF1589" s="52"/>
      <c r="AG1589" s="52"/>
      <c r="AH1589" s="52"/>
      <c r="AI1589" s="52"/>
      <c r="AJ1589" s="52"/>
      <c r="AK1589" s="52"/>
      <c r="AL1589" s="52"/>
      <c r="AM1589" s="52"/>
      <c r="AN1589" s="52"/>
    </row>
    <row r="1590" spans="1:40" x14ac:dyDescent="0.3">
      <c r="A1590" s="52">
        <v>1585</v>
      </c>
      <c r="B1590" s="52">
        <f>-bthan*500+(34+0.5)*bthan*1000/50</f>
        <v>1045</v>
      </c>
      <c r="C1590" s="52">
        <f t="shared" si="185"/>
        <v>-169.99999999999989</v>
      </c>
      <c r="D1590" s="52">
        <f t="shared" si="182"/>
        <v>2200</v>
      </c>
      <c r="E1590" s="52">
        <f t="shared" si="183"/>
        <v>1</v>
      </c>
      <c r="F1590" s="52"/>
      <c r="G1590" s="52"/>
      <c r="H1590" s="52"/>
      <c r="I1590" s="52"/>
      <c r="J1590" s="52"/>
      <c r="K1590" s="52"/>
      <c r="L1590" s="52"/>
      <c r="M1590" s="52"/>
      <c r="N1590" s="52"/>
      <c r="O1590" s="52"/>
      <c r="P1590" s="52"/>
      <c r="Q1590" s="52"/>
      <c r="R1590" s="52"/>
      <c r="S1590" s="52"/>
      <c r="T1590" s="52"/>
      <c r="U1590" s="52"/>
      <c r="V1590" s="52"/>
      <c r="W1590" s="52"/>
      <c r="X1590" s="52"/>
      <c r="Y1590" s="52"/>
      <c r="Z1590" s="52"/>
      <c r="AA1590" s="52"/>
      <c r="AB1590" s="52"/>
      <c r="AC1590" s="52"/>
      <c r="AD1590" s="52"/>
      <c r="AE1590" s="52"/>
      <c r="AF1590" s="52"/>
      <c r="AG1590" s="52"/>
      <c r="AH1590" s="52"/>
      <c r="AI1590" s="52"/>
      <c r="AJ1590" s="52"/>
      <c r="AK1590" s="52"/>
      <c r="AL1590" s="52"/>
      <c r="AM1590" s="52"/>
      <c r="AN1590" s="52"/>
    </row>
    <row r="1591" spans="1:40" x14ac:dyDescent="0.3">
      <c r="A1591" s="52">
        <v>1586</v>
      </c>
      <c r="B1591" s="52">
        <f>-bthan*500+(35+0.5)*bthan*1000/50</f>
        <v>1155</v>
      </c>
      <c r="C1591" s="52">
        <f t="shared" si="185"/>
        <v>-169.99999999999989</v>
      </c>
      <c r="D1591" s="52">
        <f t="shared" si="182"/>
        <v>2200</v>
      </c>
      <c r="E1591" s="52">
        <f t="shared" si="183"/>
        <v>1</v>
      </c>
      <c r="F1591" s="52"/>
      <c r="G1591" s="52"/>
      <c r="H1591" s="52"/>
      <c r="I1591" s="52"/>
      <c r="J1591" s="52"/>
      <c r="K1591" s="52"/>
      <c r="L1591" s="52"/>
      <c r="M1591" s="52"/>
      <c r="N1591" s="52"/>
      <c r="O1591" s="52"/>
      <c r="P1591" s="52"/>
      <c r="Q1591" s="52"/>
      <c r="R1591" s="52"/>
      <c r="S1591" s="52"/>
      <c r="T1591" s="52"/>
      <c r="U1591" s="52"/>
      <c r="V1591" s="52"/>
      <c r="W1591" s="52"/>
      <c r="X1591" s="52"/>
      <c r="Y1591" s="52"/>
      <c r="Z1591" s="52"/>
      <c r="AA1591" s="52"/>
      <c r="AB1591" s="52"/>
      <c r="AC1591" s="52"/>
      <c r="AD1591" s="52"/>
      <c r="AE1591" s="52"/>
      <c r="AF1591" s="52"/>
      <c r="AG1591" s="52"/>
      <c r="AH1591" s="52"/>
      <c r="AI1591" s="52"/>
      <c r="AJ1591" s="52"/>
      <c r="AK1591" s="52"/>
      <c r="AL1591" s="52"/>
      <c r="AM1591" s="52"/>
      <c r="AN1591" s="52"/>
    </row>
    <row r="1592" spans="1:40" x14ac:dyDescent="0.3">
      <c r="A1592" s="52">
        <v>1587</v>
      </c>
      <c r="B1592" s="52">
        <f>-bthan*500+(36+0.5)*bthan*1000/50</f>
        <v>1265</v>
      </c>
      <c r="C1592" s="52">
        <f t="shared" si="185"/>
        <v>-169.99999999999989</v>
      </c>
      <c r="D1592" s="52">
        <f t="shared" si="182"/>
        <v>2200</v>
      </c>
      <c r="E1592" s="52">
        <f t="shared" si="183"/>
        <v>1</v>
      </c>
      <c r="F1592" s="52"/>
      <c r="G1592" s="52"/>
      <c r="H1592" s="52"/>
      <c r="I1592" s="52"/>
      <c r="J1592" s="52"/>
      <c r="K1592" s="52"/>
      <c r="L1592" s="52"/>
      <c r="M1592" s="52"/>
      <c r="N1592" s="52"/>
      <c r="O1592" s="52"/>
      <c r="P1592" s="52"/>
      <c r="Q1592" s="52"/>
      <c r="R1592" s="52"/>
      <c r="S1592" s="52"/>
      <c r="T1592" s="52"/>
      <c r="U1592" s="52"/>
      <c r="V1592" s="52"/>
      <c r="W1592" s="52"/>
      <c r="X1592" s="52"/>
      <c r="Y1592" s="52"/>
      <c r="Z1592" s="52"/>
      <c r="AA1592" s="52"/>
      <c r="AB1592" s="52"/>
      <c r="AC1592" s="52"/>
      <c r="AD1592" s="52"/>
      <c r="AE1592" s="52"/>
      <c r="AF1592" s="52"/>
      <c r="AG1592" s="52"/>
      <c r="AH1592" s="52"/>
      <c r="AI1592" s="52"/>
      <c r="AJ1592" s="52"/>
      <c r="AK1592" s="52"/>
      <c r="AL1592" s="52"/>
      <c r="AM1592" s="52"/>
      <c r="AN1592" s="52"/>
    </row>
    <row r="1593" spans="1:40" x14ac:dyDescent="0.3">
      <c r="A1593" s="52">
        <v>1588</v>
      </c>
      <c r="B1593" s="52">
        <f>-bthan*500+(37+0.5)*bthan*1000/50</f>
        <v>1375</v>
      </c>
      <c r="C1593" s="52">
        <f t="shared" si="185"/>
        <v>-169.99999999999989</v>
      </c>
      <c r="D1593" s="52">
        <f t="shared" si="182"/>
        <v>2200</v>
      </c>
      <c r="E1593" s="52">
        <f t="shared" si="183"/>
        <v>1</v>
      </c>
      <c r="F1593" s="52"/>
      <c r="G1593" s="52"/>
      <c r="H1593" s="52"/>
      <c r="I1593" s="52"/>
      <c r="J1593" s="52"/>
      <c r="K1593" s="52"/>
      <c r="L1593" s="52"/>
      <c r="M1593" s="52"/>
      <c r="N1593" s="52"/>
      <c r="O1593" s="52"/>
      <c r="P1593" s="52"/>
      <c r="Q1593" s="52"/>
      <c r="R1593" s="52"/>
      <c r="S1593" s="52"/>
      <c r="T1593" s="52"/>
      <c r="U1593" s="52"/>
      <c r="V1593" s="52"/>
      <c r="W1593" s="52"/>
      <c r="X1593" s="52"/>
      <c r="Y1593" s="52"/>
      <c r="Z1593" s="52"/>
      <c r="AA1593" s="52"/>
      <c r="AB1593" s="52"/>
      <c r="AC1593" s="52"/>
      <c r="AD1593" s="52"/>
      <c r="AE1593" s="52"/>
      <c r="AF1593" s="52"/>
      <c r="AG1593" s="52"/>
      <c r="AH1593" s="52"/>
      <c r="AI1593" s="52"/>
      <c r="AJ1593" s="52"/>
      <c r="AK1593" s="52"/>
      <c r="AL1593" s="52"/>
      <c r="AM1593" s="52"/>
      <c r="AN1593" s="52"/>
    </row>
    <row r="1594" spans="1:40" x14ac:dyDescent="0.3">
      <c r="A1594" s="52">
        <v>1589</v>
      </c>
      <c r="B1594" s="52">
        <f>-bthan*500+(38+0.5)*bthan*1000/50</f>
        <v>1485</v>
      </c>
      <c r="C1594" s="52">
        <f t="shared" si="185"/>
        <v>-169.99999999999989</v>
      </c>
      <c r="D1594" s="52">
        <f t="shared" si="182"/>
        <v>2200</v>
      </c>
      <c r="E1594" s="52">
        <f t="shared" si="183"/>
        <v>1</v>
      </c>
      <c r="F1594" s="52"/>
      <c r="G1594" s="52"/>
      <c r="H1594" s="52"/>
      <c r="I1594" s="52"/>
      <c r="J1594" s="52"/>
      <c r="K1594" s="52"/>
      <c r="L1594" s="52"/>
      <c r="M1594" s="52"/>
      <c r="N1594" s="52"/>
      <c r="O1594" s="52"/>
      <c r="P1594" s="52"/>
      <c r="Q1594" s="52"/>
      <c r="R1594" s="52"/>
      <c r="S1594" s="52"/>
      <c r="T1594" s="52"/>
      <c r="U1594" s="52"/>
      <c r="V1594" s="52"/>
      <c r="W1594" s="52"/>
      <c r="X1594" s="52"/>
      <c r="Y1594" s="52"/>
      <c r="Z1594" s="52"/>
      <c r="AA1594" s="52"/>
      <c r="AB1594" s="52"/>
      <c r="AC1594" s="52"/>
      <c r="AD1594" s="52"/>
      <c r="AE1594" s="52"/>
      <c r="AF1594" s="52"/>
      <c r="AG1594" s="52"/>
      <c r="AH1594" s="52"/>
      <c r="AI1594" s="52"/>
      <c r="AJ1594" s="52"/>
      <c r="AK1594" s="52"/>
      <c r="AL1594" s="52"/>
      <c r="AM1594" s="52"/>
      <c r="AN1594" s="52"/>
    </row>
    <row r="1595" spans="1:40" x14ac:dyDescent="0.3">
      <c r="A1595" s="52">
        <v>1590</v>
      </c>
      <c r="B1595" s="52">
        <f>-bthan*500+(39+0.5)*bthan*1000/50</f>
        <v>1595</v>
      </c>
      <c r="C1595" s="52">
        <f t="shared" si="185"/>
        <v>-169.99999999999989</v>
      </c>
      <c r="D1595" s="52">
        <f t="shared" si="182"/>
        <v>2200</v>
      </c>
      <c r="E1595" s="52">
        <f t="shared" si="183"/>
        <v>1</v>
      </c>
      <c r="F1595" s="52"/>
      <c r="G1595" s="52"/>
      <c r="H1595" s="52"/>
      <c r="I1595" s="52"/>
      <c r="J1595" s="52"/>
      <c r="K1595" s="52"/>
      <c r="L1595" s="52"/>
      <c r="M1595" s="52"/>
      <c r="N1595" s="52"/>
      <c r="O1595" s="52"/>
      <c r="P1595" s="52"/>
      <c r="Q1595" s="52"/>
      <c r="R1595" s="52"/>
      <c r="S1595" s="52"/>
      <c r="T1595" s="52"/>
      <c r="U1595" s="52"/>
      <c r="V1595" s="52"/>
      <c r="W1595" s="52"/>
      <c r="X1595" s="52"/>
      <c r="Y1595" s="52"/>
      <c r="Z1595" s="52"/>
      <c r="AA1595" s="52"/>
      <c r="AB1595" s="52"/>
      <c r="AC1595" s="52"/>
      <c r="AD1595" s="52"/>
      <c r="AE1595" s="52"/>
      <c r="AF1595" s="52"/>
      <c r="AG1595" s="52"/>
      <c r="AH1595" s="52"/>
      <c r="AI1595" s="52"/>
      <c r="AJ1595" s="52"/>
      <c r="AK1595" s="52"/>
      <c r="AL1595" s="52"/>
      <c r="AM1595" s="52"/>
      <c r="AN1595" s="52"/>
    </row>
    <row r="1596" spans="1:40" x14ac:dyDescent="0.3">
      <c r="A1596" s="52">
        <v>1591</v>
      </c>
      <c r="B1596" s="52">
        <f>-bthan*500+(40+0.5)*bthan*1000/50</f>
        <v>1705</v>
      </c>
      <c r="C1596" s="52">
        <f t="shared" si="185"/>
        <v>-169.99999999999989</v>
      </c>
      <c r="D1596" s="52">
        <f t="shared" si="182"/>
        <v>2200</v>
      </c>
      <c r="E1596" s="52">
        <f t="shared" si="183"/>
        <v>1</v>
      </c>
      <c r="F1596" s="52"/>
      <c r="G1596" s="52"/>
      <c r="H1596" s="52"/>
      <c r="I1596" s="52"/>
      <c r="J1596" s="52"/>
      <c r="K1596" s="52"/>
      <c r="L1596" s="52"/>
      <c r="M1596" s="52"/>
      <c r="N1596" s="52"/>
      <c r="O1596" s="52"/>
      <c r="P1596" s="52"/>
      <c r="Q1596" s="52"/>
      <c r="R1596" s="52"/>
      <c r="S1596" s="52"/>
      <c r="T1596" s="52"/>
      <c r="U1596" s="52"/>
      <c r="V1596" s="52"/>
      <c r="W1596" s="52"/>
      <c r="X1596" s="52"/>
      <c r="Y1596" s="52"/>
      <c r="Z1596" s="52"/>
      <c r="AA1596" s="52"/>
      <c r="AB1596" s="52"/>
      <c r="AC1596" s="52"/>
      <c r="AD1596" s="52"/>
      <c r="AE1596" s="52"/>
      <c r="AF1596" s="52"/>
      <c r="AG1596" s="52"/>
      <c r="AH1596" s="52"/>
      <c r="AI1596" s="52"/>
      <c r="AJ1596" s="52"/>
      <c r="AK1596" s="52"/>
      <c r="AL1596" s="52"/>
      <c r="AM1596" s="52"/>
      <c r="AN1596" s="52"/>
    </row>
    <row r="1597" spans="1:40" x14ac:dyDescent="0.3">
      <c r="A1597" s="52">
        <v>1592</v>
      </c>
      <c r="B1597" s="52">
        <f>-bthan*500+(41+0.5)*bthan*1000/50</f>
        <v>1815</v>
      </c>
      <c r="C1597" s="52">
        <f t="shared" si="185"/>
        <v>-169.99999999999989</v>
      </c>
      <c r="D1597" s="52">
        <f t="shared" si="182"/>
        <v>2200</v>
      </c>
      <c r="E1597" s="52">
        <f t="shared" si="183"/>
        <v>1</v>
      </c>
      <c r="F1597" s="52"/>
      <c r="G1597" s="52"/>
      <c r="H1597" s="52"/>
      <c r="I1597" s="52"/>
      <c r="J1597" s="52"/>
      <c r="K1597" s="52"/>
      <c r="L1597" s="52"/>
      <c r="M1597" s="52"/>
      <c r="N1597" s="52"/>
      <c r="O1597" s="52"/>
      <c r="P1597" s="52"/>
      <c r="Q1597" s="52"/>
      <c r="R1597" s="52"/>
      <c r="S1597" s="52"/>
      <c r="T1597" s="52"/>
      <c r="U1597" s="52"/>
      <c r="V1597" s="52"/>
      <c r="W1597" s="52"/>
      <c r="X1597" s="52"/>
      <c r="Y1597" s="52"/>
      <c r="Z1597" s="52"/>
      <c r="AA1597" s="52"/>
      <c r="AB1597" s="52"/>
      <c r="AC1597" s="52"/>
      <c r="AD1597" s="52"/>
      <c r="AE1597" s="52"/>
      <c r="AF1597" s="52"/>
      <c r="AG1597" s="52"/>
      <c r="AH1597" s="52"/>
      <c r="AI1597" s="52"/>
      <c r="AJ1597" s="52"/>
      <c r="AK1597" s="52"/>
      <c r="AL1597" s="52"/>
      <c r="AM1597" s="52"/>
      <c r="AN1597" s="52"/>
    </row>
    <row r="1598" spans="1:40" x14ac:dyDescent="0.3">
      <c r="A1598" s="52">
        <v>1593</v>
      </c>
      <c r="B1598" s="52">
        <f>-bthan*500+(42+0.5)*bthan*1000/50</f>
        <v>1925</v>
      </c>
      <c r="C1598" s="52">
        <f t="shared" si="185"/>
        <v>-169.99999999999989</v>
      </c>
      <c r="D1598" s="52">
        <f t="shared" si="182"/>
        <v>2200</v>
      </c>
      <c r="E1598" s="52">
        <f t="shared" si="183"/>
        <v>1</v>
      </c>
      <c r="F1598" s="52"/>
      <c r="G1598" s="52"/>
      <c r="H1598" s="52"/>
      <c r="I1598" s="52"/>
      <c r="J1598" s="52"/>
      <c r="K1598" s="52"/>
      <c r="L1598" s="52"/>
      <c r="M1598" s="52"/>
      <c r="N1598" s="52"/>
      <c r="O1598" s="52"/>
      <c r="P1598" s="52"/>
      <c r="Q1598" s="52"/>
      <c r="R1598" s="52"/>
      <c r="S1598" s="52"/>
      <c r="T1598" s="52"/>
      <c r="U1598" s="52"/>
      <c r="V1598" s="52"/>
      <c r="W1598" s="52"/>
      <c r="X1598" s="52"/>
      <c r="Y1598" s="52"/>
      <c r="Z1598" s="52"/>
      <c r="AA1598" s="52"/>
      <c r="AB1598" s="52"/>
      <c r="AC1598" s="52"/>
      <c r="AD1598" s="52"/>
      <c r="AE1598" s="52"/>
      <c r="AF1598" s="52"/>
      <c r="AG1598" s="52"/>
      <c r="AH1598" s="52"/>
      <c r="AI1598" s="52"/>
      <c r="AJ1598" s="52"/>
      <c r="AK1598" s="52"/>
      <c r="AL1598" s="52"/>
      <c r="AM1598" s="52"/>
      <c r="AN1598" s="52"/>
    </row>
    <row r="1599" spans="1:40" x14ac:dyDescent="0.3">
      <c r="A1599" s="52">
        <v>1594</v>
      </c>
      <c r="B1599" s="52">
        <f>-bthan*500+(43+0.5)*bthan*1000/50</f>
        <v>2035</v>
      </c>
      <c r="C1599" s="52">
        <f t="shared" si="185"/>
        <v>-169.99999999999989</v>
      </c>
      <c r="D1599" s="52">
        <f t="shared" si="182"/>
        <v>2200</v>
      </c>
      <c r="E1599" s="52">
        <f t="shared" si="183"/>
        <v>1</v>
      </c>
      <c r="F1599" s="52"/>
      <c r="G1599" s="52"/>
      <c r="H1599" s="52"/>
      <c r="I1599" s="52"/>
      <c r="J1599" s="52"/>
      <c r="K1599" s="52"/>
      <c r="L1599" s="52"/>
      <c r="M1599" s="52"/>
      <c r="N1599" s="52"/>
      <c r="O1599" s="52"/>
      <c r="P1599" s="52"/>
      <c r="Q1599" s="52"/>
      <c r="R1599" s="52"/>
      <c r="S1599" s="52"/>
      <c r="T1599" s="52"/>
      <c r="U1599" s="52"/>
      <c r="V1599" s="52"/>
      <c r="W1599" s="52"/>
      <c r="X1599" s="52"/>
      <c r="Y1599" s="52"/>
      <c r="Z1599" s="52"/>
      <c r="AA1599" s="52"/>
      <c r="AB1599" s="52"/>
      <c r="AC1599" s="52"/>
      <c r="AD1599" s="52"/>
      <c r="AE1599" s="52"/>
      <c r="AF1599" s="52"/>
      <c r="AG1599" s="52"/>
      <c r="AH1599" s="52"/>
      <c r="AI1599" s="52"/>
      <c r="AJ1599" s="52"/>
      <c r="AK1599" s="52"/>
      <c r="AL1599" s="52"/>
      <c r="AM1599" s="52"/>
      <c r="AN1599" s="52"/>
    </row>
    <row r="1600" spans="1:40" x14ac:dyDescent="0.3">
      <c r="A1600" s="52">
        <v>1595</v>
      </c>
      <c r="B1600" s="52">
        <f>-bthan*500+(44+0.5)*bthan*1000/50</f>
        <v>2145</v>
      </c>
      <c r="C1600" s="52">
        <f t="shared" si="185"/>
        <v>-169.99999999999989</v>
      </c>
      <c r="D1600" s="52">
        <f t="shared" si="182"/>
        <v>2200</v>
      </c>
      <c r="E1600" s="52">
        <f t="shared" si="183"/>
        <v>1</v>
      </c>
      <c r="F1600" s="52"/>
      <c r="G1600" s="52"/>
      <c r="H1600" s="52"/>
      <c r="I1600" s="52"/>
      <c r="J1600" s="52"/>
      <c r="K1600" s="52"/>
      <c r="L1600" s="52"/>
      <c r="M1600" s="52"/>
      <c r="N1600" s="52"/>
      <c r="O1600" s="52"/>
      <c r="P1600" s="52"/>
      <c r="Q1600" s="52"/>
      <c r="R1600" s="52"/>
      <c r="S1600" s="52"/>
      <c r="T1600" s="52"/>
      <c r="U1600" s="52"/>
      <c r="V1600" s="52"/>
      <c r="W1600" s="52"/>
      <c r="X1600" s="52"/>
      <c r="Y1600" s="52"/>
      <c r="Z1600" s="52"/>
      <c r="AA1600" s="52"/>
      <c r="AB1600" s="52"/>
      <c r="AC1600" s="52"/>
      <c r="AD1600" s="52"/>
      <c r="AE1600" s="52"/>
      <c r="AF1600" s="52"/>
      <c r="AG1600" s="52"/>
      <c r="AH1600" s="52"/>
      <c r="AI1600" s="52"/>
      <c r="AJ1600" s="52"/>
      <c r="AK1600" s="52"/>
      <c r="AL1600" s="52"/>
      <c r="AM1600" s="52"/>
      <c r="AN1600" s="52"/>
    </row>
    <row r="1601" spans="1:40" x14ac:dyDescent="0.3">
      <c r="A1601" s="52">
        <v>1596</v>
      </c>
      <c r="B1601" s="52">
        <f>-bthan*500+(45+0.5)*bthan*1000/50</f>
        <v>2255</v>
      </c>
      <c r="C1601" s="52">
        <f t="shared" si="185"/>
        <v>-169.99999999999989</v>
      </c>
      <c r="D1601" s="52">
        <f t="shared" si="182"/>
        <v>2200</v>
      </c>
      <c r="E1601" s="52">
        <f t="shared" si="183"/>
        <v>1</v>
      </c>
      <c r="F1601" s="52"/>
      <c r="G1601" s="52"/>
      <c r="H1601" s="52"/>
      <c r="I1601" s="52"/>
      <c r="J1601" s="52"/>
      <c r="K1601" s="52"/>
      <c r="L1601" s="52"/>
      <c r="M1601" s="52"/>
      <c r="N1601" s="52"/>
      <c r="O1601" s="52"/>
      <c r="P1601" s="52"/>
      <c r="Q1601" s="52"/>
      <c r="R1601" s="52"/>
      <c r="S1601" s="52"/>
      <c r="T1601" s="52"/>
      <c r="U1601" s="52"/>
      <c r="V1601" s="52"/>
      <c r="W1601" s="52"/>
      <c r="X1601" s="52"/>
      <c r="Y1601" s="52"/>
      <c r="Z1601" s="52"/>
      <c r="AA1601" s="52"/>
      <c r="AB1601" s="52"/>
      <c r="AC1601" s="52"/>
      <c r="AD1601" s="52"/>
      <c r="AE1601" s="52"/>
      <c r="AF1601" s="52"/>
      <c r="AG1601" s="52"/>
      <c r="AH1601" s="52"/>
      <c r="AI1601" s="52"/>
      <c r="AJ1601" s="52"/>
      <c r="AK1601" s="52"/>
      <c r="AL1601" s="52"/>
      <c r="AM1601" s="52"/>
      <c r="AN1601" s="52"/>
    </row>
    <row r="1602" spans="1:40" x14ac:dyDescent="0.3">
      <c r="A1602" s="52">
        <v>1597</v>
      </c>
      <c r="B1602" s="52">
        <f>-bthan*500+(46+0.5)*bthan*1000/50</f>
        <v>2365</v>
      </c>
      <c r="C1602" s="52">
        <f t="shared" si="185"/>
        <v>-169.99999999999989</v>
      </c>
      <c r="D1602" s="52">
        <f t="shared" si="182"/>
        <v>2200</v>
      </c>
      <c r="E1602" s="52">
        <f t="shared" si="183"/>
        <v>1</v>
      </c>
      <c r="F1602" s="52"/>
      <c r="G1602" s="52"/>
      <c r="H1602" s="52"/>
      <c r="I1602" s="52"/>
      <c r="J1602" s="52"/>
      <c r="K1602" s="52"/>
      <c r="L1602" s="52"/>
      <c r="M1602" s="52"/>
      <c r="N1602" s="52"/>
      <c r="O1602" s="52"/>
      <c r="P1602" s="52"/>
      <c r="Q1602" s="52"/>
      <c r="R1602" s="52"/>
      <c r="S1602" s="52"/>
      <c r="T1602" s="52"/>
      <c r="U1602" s="52"/>
      <c r="V1602" s="52"/>
      <c r="W1602" s="52"/>
      <c r="X1602" s="52"/>
      <c r="Y1602" s="52"/>
      <c r="Z1602" s="52"/>
      <c r="AA1602" s="52"/>
      <c r="AB1602" s="52"/>
      <c r="AC1602" s="52"/>
      <c r="AD1602" s="52"/>
      <c r="AE1602" s="52"/>
      <c r="AF1602" s="52"/>
      <c r="AG1602" s="52"/>
      <c r="AH1602" s="52"/>
      <c r="AI1602" s="52"/>
      <c r="AJ1602" s="52"/>
      <c r="AK1602" s="52"/>
      <c r="AL1602" s="52"/>
      <c r="AM1602" s="52"/>
      <c r="AN1602" s="52"/>
    </row>
    <row r="1603" spans="1:40" x14ac:dyDescent="0.3">
      <c r="A1603" s="52">
        <v>1598</v>
      </c>
      <c r="B1603" s="52">
        <f>-bthan*500+(47+0.5)*bthan*1000/50</f>
        <v>2475</v>
      </c>
      <c r="C1603" s="52">
        <f t="shared" si="185"/>
        <v>-169.99999999999989</v>
      </c>
      <c r="D1603" s="52">
        <f t="shared" si="182"/>
        <v>2200</v>
      </c>
      <c r="E1603" s="52">
        <f t="shared" si="183"/>
        <v>1</v>
      </c>
      <c r="F1603" s="52"/>
      <c r="G1603" s="52"/>
      <c r="H1603" s="52"/>
      <c r="I1603" s="52"/>
      <c r="J1603" s="52"/>
      <c r="K1603" s="52"/>
      <c r="L1603" s="52"/>
      <c r="M1603" s="52"/>
      <c r="N1603" s="52"/>
      <c r="O1603" s="52"/>
      <c r="P1603" s="52"/>
      <c r="Q1603" s="52"/>
      <c r="R1603" s="52"/>
      <c r="S1603" s="52"/>
      <c r="T1603" s="52"/>
      <c r="U1603" s="52"/>
      <c r="V1603" s="52"/>
      <c r="W1603" s="52"/>
      <c r="X1603" s="52"/>
      <c r="Y1603" s="52"/>
      <c r="Z1603" s="52"/>
      <c r="AA1603" s="52"/>
      <c r="AB1603" s="52"/>
      <c r="AC1603" s="52"/>
      <c r="AD1603" s="52"/>
      <c r="AE1603" s="52"/>
      <c r="AF1603" s="52"/>
      <c r="AG1603" s="52"/>
      <c r="AH1603" s="52"/>
      <c r="AI1603" s="52"/>
      <c r="AJ1603" s="52"/>
      <c r="AK1603" s="52"/>
      <c r="AL1603" s="52"/>
      <c r="AM1603" s="52"/>
      <c r="AN1603" s="52"/>
    </row>
    <row r="1604" spans="1:40" x14ac:dyDescent="0.3">
      <c r="A1604" s="52">
        <v>1599</v>
      </c>
      <c r="B1604" s="52">
        <f>-bthan*500+(48+0.5)*bthan*1000/50</f>
        <v>2585</v>
      </c>
      <c r="C1604" s="52">
        <f t="shared" si="185"/>
        <v>-169.99999999999989</v>
      </c>
      <c r="D1604" s="52">
        <f t="shared" si="182"/>
        <v>2200</v>
      </c>
      <c r="E1604" s="52">
        <f t="shared" si="183"/>
        <v>1</v>
      </c>
      <c r="F1604" s="52"/>
      <c r="G1604" s="52"/>
      <c r="H1604" s="52"/>
      <c r="I1604" s="52"/>
      <c r="J1604" s="52"/>
      <c r="K1604" s="52"/>
      <c r="L1604" s="52"/>
      <c r="M1604" s="52"/>
      <c r="N1604" s="52"/>
      <c r="O1604" s="52"/>
      <c r="P1604" s="52"/>
      <c r="Q1604" s="52"/>
      <c r="R1604" s="52"/>
      <c r="S1604" s="52"/>
      <c r="T1604" s="52"/>
      <c r="U1604" s="52"/>
      <c r="V1604" s="52"/>
      <c r="W1604" s="52"/>
      <c r="X1604" s="52"/>
      <c r="Y1604" s="52"/>
      <c r="Z1604" s="52"/>
      <c r="AA1604" s="52"/>
      <c r="AB1604" s="52"/>
      <c r="AC1604" s="52"/>
      <c r="AD1604" s="52"/>
      <c r="AE1604" s="52"/>
      <c r="AF1604" s="52"/>
      <c r="AG1604" s="52"/>
      <c r="AH1604" s="52"/>
      <c r="AI1604" s="52"/>
      <c r="AJ1604" s="52"/>
      <c r="AK1604" s="52"/>
      <c r="AL1604" s="52"/>
      <c r="AM1604" s="52"/>
      <c r="AN1604" s="52"/>
    </row>
    <row r="1605" spans="1:40" x14ac:dyDescent="0.3">
      <c r="A1605" s="52">
        <v>1600</v>
      </c>
      <c r="B1605" s="52">
        <f>-bthan*500+(49+0.5)*bthan*1000/50</f>
        <v>2695</v>
      </c>
      <c r="C1605" s="52">
        <f t="shared" si="185"/>
        <v>-169.99999999999989</v>
      </c>
      <c r="D1605" s="52">
        <f t="shared" si="182"/>
        <v>2200</v>
      </c>
      <c r="E1605" s="52">
        <f t="shared" si="183"/>
        <v>1</v>
      </c>
      <c r="F1605" s="52"/>
      <c r="G1605" s="52"/>
      <c r="H1605" s="52"/>
      <c r="I1605" s="52"/>
      <c r="J1605" s="52"/>
      <c r="K1605" s="52"/>
      <c r="L1605" s="52"/>
      <c r="M1605" s="52"/>
      <c r="N1605" s="52"/>
      <c r="O1605" s="52"/>
      <c r="P1605" s="52"/>
      <c r="Q1605" s="52"/>
      <c r="R1605" s="52"/>
      <c r="S1605" s="52"/>
      <c r="T1605" s="52"/>
      <c r="U1605" s="52"/>
      <c r="V1605" s="52"/>
      <c r="W1605" s="52"/>
      <c r="X1605" s="52"/>
      <c r="Y1605" s="52"/>
      <c r="Z1605" s="52"/>
      <c r="AA1605" s="52"/>
      <c r="AB1605" s="52"/>
      <c r="AC1605" s="52"/>
      <c r="AD1605" s="52"/>
      <c r="AE1605" s="52"/>
      <c r="AF1605" s="52"/>
      <c r="AG1605" s="52"/>
      <c r="AH1605" s="52"/>
      <c r="AI1605" s="52"/>
      <c r="AJ1605" s="52"/>
      <c r="AK1605" s="52"/>
      <c r="AL1605" s="52"/>
      <c r="AM1605" s="52"/>
      <c r="AN1605" s="52"/>
    </row>
    <row r="1606" spans="1:40" x14ac:dyDescent="0.3">
      <c r="A1606" s="52">
        <v>1601</v>
      </c>
      <c r="B1606" s="52">
        <f>-bthan*500+(0+0.5)*bthan*1000/50</f>
        <v>-2695</v>
      </c>
      <c r="C1606" s="52">
        <f t="shared" ref="C1606:C1637" si="186">-hthan*500+(32+0.5)*hthan*1000/80</f>
        <v>-150</v>
      </c>
      <c r="D1606" s="52">
        <f t="shared" ref="D1606:D1669" si="187">bthan*1000/50*hthan*1000/80</f>
        <v>2200</v>
      </c>
      <c r="E1606" s="52">
        <f t="shared" ref="E1606:E1669" si="188">IF(shp=1,--(OR(ABS(B1606)&lt;=MAX(0,(bthan-hthan)*500),(ABS(B1606)-MAX(0,(bthan-hthan)*500))^2+C1606^2&lt;=(hthan*500)^2)),--(AND(ABS(B1606)&lt;=bthan*500,ABS(C1606)&lt;=hthan*500,OR(ABS(B1606)&lt;=bthan*500-cch*1000,ABS(C1606)&lt;=hthan*500-cch*1000,(bthan*500-ABS(B1606))+(hthan*500-ABS(C1606))&gt;=cch*1000))))</f>
        <v>1</v>
      </c>
      <c r="F1606" s="52"/>
      <c r="G1606" s="52"/>
      <c r="H1606" s="52"/>
      <c r="I1606" s="52"/>
      <c r="J1606" s="52"/>
      <c r="K1606" s="52"/>
      <c r="L1606" s="52"/>
      <c r="M1606" s="52"/>
      <c r="N1606" s="52"/>
      <c r="O1606" s="52"/>
      <c r="P1606" s="52"/>
      <c r="Q1606" s="52"/>
      <c r="R1606" s="52"/>
      <c r="S1606" s="52"/>
      <c r="T1606" s="52"/>
      <c r="U1606" s="52"/>
      <c r="V1606" s="52"/>
      <c r="W1606" s="52"/>
      <c r="X1606" s="52"/>
      <c r="Y1606" s="52"/>
      <c r="Z1606" s="52"/>
      <c r="AA1606" s="52"/>
      <c r="AB1606" s="52"/>
      <c r="AC1606" s="52"/>
      <c r="AD1606" s="52"/>
      <c r="AE1606" s="52"/>
      <c r="AF1606" s="52"/>
      <c r="AG1606" s="52"/>
      <c r="AH1606" s="52"/>
      <c r="AI1606" s="52"/>
      <c r="AJ1606" s="52"/>
      <c r="AK1606" s="52"/>
      <c r="AL1606" s="52"/>
      <c r="AM1606" s="52"/>
      <c r="AN1606" s="52"/>
    </row>
    <row r="1607" spans="1:40" x14ac:dyDescent="0.3">
      <c r="A1607" s="52">
        <v>1602</v>
      </c>
      <c r="B1607" s="52">
        <f>-bthan*500+(1+0.5)*bthan*1000/50</f>
        <v>-2585</v>
      </c>
      <c r="C1607" s="52">
        <f t="shared" si="186"/>
        <v>-150</v>
      </c>
      <c r="D1607" s="52">
        <f t="shared" si="187"/>
        <v>2200</v>
      </c>
      <c r="E1607" s="52">
        <f t="shared" si="188"/>
        <v>1</v>
      </c>
      <c r="F1607" s="52"/>
      <c r="G1607" s="52"/>
      <c r="H1607" s="52"/>
      <c r="I1607" s="52"/>
      <c r="J1607" s="52"/>
      <c r="K1607" s="52"/>
      <c r="L1607" s="52"/>
      <c r="M1607" s="52"/>
      <c r="N1607" s="52"/>
      <c r="O1607" s="52"/>
      <c r="P1607" s="52"/>
      <c r="Q1607" s="52"/>
      <c r="R1607" s="52"/>
      <c r="S1607" s="52"/>
      <c r="T1607" s="52"/>
      <c r="U1607" s="52"/>
      <c r="V1607" s="52"/>
      <c r="W1607" s="52"/>
      <c r="X1607" s="52"/>
      <c r="Y1607" s="52"/>
      <c r="Z1607" s="52"/>
      <c r="AA1607" s="52"/>
      <c r="AB1607" s="52"/>
      <c r="AC1607" s="52"/>
      <c r="AD1607" s="52"/>
      <c r="AE1607" s="52"/>
      <c r="AF1607" s="52"/>
      <c r="AG1607" s="52"/>
      <c r="AH1607" s="52"/>
      <c r="AI1607" s="52"/>
      <c r="AJ1607" s="52"/>
      <c r="AK1607" s="52"/>
      <c r="AL1607" s="52"/>
      <c r="AM1607" s="52"/>
      <c r="AN1607" s="52"/>
    </row>
    <row r="1608" spans="1:40" x14ac:dyDescent="0.3">
      <c r="A1608" s="52">
        <v>1603</v>
      </c>
      <c r="B1608" s="52">
        <f>-bthan*500+(2+0.5)*bthan*1000/50</f>
        <v>-2475</v>
      </c>
      <c r="C1608" s="52">
        <f t="shared" si="186"/>
        <v>-150</v>
      </c>
      <c r="D1608" s="52">
        <f t="shared" si="187"/>
        <v>2200</v>
      </c>
      <c r="E1608" s="52">
        <f t="shared" si="188"/>
        <v>1</v>
      </c>
      <c r="F1608" s="52"/>
      <c r="G1608" s="52"/>
      <c r="H1608" s="52"/>
      <c r="I1608" s="52"/>
      <c r="J1608" s="52"/>
      <c r="K1608" s="52"/>
      <c r="L1608" s="52"/>
      <c r="M1608" s="52"/>
      <c r="N1608" s="52"/>
      <c r="O1608" s="52"/>
      <c r="P1608" s="52"/>
      <c r="Q1608" s="52"/>
      <c r="R1608" s="52"/>
      <c r="S1608" s="52"/>
      <c r="T1608" s="52"/>
      <c r="U1608" s="52"/>
      <c r="V1608" s="52"/>
      <c r="W1608" s="52"/>
      <c r="X1608" s="52"/>
      <c r="Y1608" s="52"/>
      <c r="Z1608" s="52"/>
      <c r="AA1608" s="52"/>
      <c r="AB1608" s="52"/>
      <c r="AC1608" s="52"/>
      <c r="AD1608" s="52"/>
      <c r="AE1608" s="52"/>
      <c r="AF1608" s="52"/>
      <c r="AG1608" s="52"/>
      <c r="AH1608" s="52"/>
      <c r="AI1608" s="52"/>
      <c r="AJ1608" s="52"/>
      <c r="AK1608" s="52"/>
      <c r="AL1608" s="52"/>
      <c r="AM1608" s="52"/>
      <c r="AN1608" s="52"/>
    </row>
    <row r="1609" spans="1:40" x14ac:dyDescent="0.3">
      <c r="A1609" s="52">
        <v>1604</v>
      </c>
      <c r="B1609" s="52">
        <f>-bthan*500+(3+0.5)*bthan*1000/50</f>
        <v>-2365</v>
      </c>
      <c r="C1609" s="52">
        <f t="shared" si="186"/>
        <v>-150</v>
      </c>
      <c r="D1609" s="52">
        <f t="shared" si="187"/>
        <v>2200</v>
      </c>
      <c r="E1609" s="52">
        <f t="shared" si="188"/>
        <v>1</v>
      </c>
      <c r="F1609" s="52"/>
      <c r="G1609" s="52"/>
      <c r="H1609" s="52"/>
      <c r="I1609" s="52"/>
      <c r="J1609" s="52"/>
      <c r="K1609" s="52"/>
      <c r="L1609" s="52"/>
      <c r="M1609" s="52"/>
      <c r="N1609" s="52"/>
      <c r="O1609" s="52"/>
      <c r="P1609" s="52"/>
      <c r="Q1609" s="52"/>
      <c r="R1609" s="52"/>
      <c r="S1609" s="52"/>
      <c r="T1609" s="52"/>
      <c r="U1609" s="52"/>
      <c r="V1609" s="52"/>
      <c r="W1609" s="52"/>
      <c r="X1609" s="52"/>
      <c r="Y1609" s="52"/>
      <c r="Z1609" s="52"/>
      <c r="AA1609" s="52"/>
      <c r="AB1609" s="52"/>
      <c r="AC1609" s="52"/>
      <c r="AD1609" s="52"/>
      <c r="AE1609" s="52"/>
      <c r="AF1609" s="52"/>
      <c r="AG1609" s="52"/>
      <c r="AH1609" s="52"/>
      <c r="AI1609" s="52"/>
      <c r="AJ1609" s="52"/>
      <c r="AK1609" s="52"/>
      <c r="AL1609" s="52"/>
      <c r="AM1609" s="52"/>
      <c r="AN1609" s="52"/>
    </row>
    <row r="1610" spans="1:40" x14ac:dyDescent="0.3">
      <c r="A1610" s="52">
        <v>1605</v>
      </c>
      <c r="B1610" s="52">
        <f>-bthan*500+(4+0.5)*bthan*1000/50</f>
        <v>-2255</v>
      </c>
      <c r="C1610" s="52">
        <f t="shared" si="186"/>
        <v>-150</v>
      </c>
      <c r="D1610" s="52">
        <f t="shared" si="187"/>
        <v>2200</v>
      </c>
      <c r="E1610" s="52">
        <f t="shared" si="188"/>
        <v>1</v>
      </c>
      <c r="F1610" s="52"/>
      <c r="G1610" s="52"/>
      <c r="H1610" s="52"/>
      <c r="I1610" s="52"/>
      <c r="J1610" s="52"/>
      <c r="K1610" s="52"/>
      <c r="L1610" s="52"/>
      <c r="M1610" s="52"/>
      <c r="N1610" s="52"/>
      <c r="O1610" s="52"/>
      <c r="P1610" s="52"/>
      <c r="Q1610" s="52"/>
      <c r="R1610" s="52"/>
      <c r="S1610" s="52"/>
      <c r="T1610" s="52"/>
      <c r="U1610" s="52"/>
      <c r="V1610" s="52"/>
      <c r="W1610" s="52"/>
      <c r="X1610" s="52"/>
      <c r="Y1610" s="52"/>
      <c r="Z1610" s="52"/>
      <c r="AA1610" s="52"/>
      <c r="AB1610" s="52"/>
      <c r="AC1610" s="52"/>
      <c r="AD1610" s="52"/>
      <c r="AE1610" s="52"/>
      <c r="AF1610" s="52"/>
      <c r="AG1610" s="52"/>
      <c r="AH1610" s="52"/>
      <c r="AI1610" s="52"/>
      <c r="AJ1610" s="52"/>
      <c r="AK1610" s="52"/>
      <c r="AL1610" s="52"/>
      <c r="AM1610" s="52"/>
      <c r="AN1610" s="52"/>
    </row>
    <row r="1611" spans="1:40" x14ac:dyDescent="0.3">
      <c r="A1611" s="52">
        <v>1606</v>
      </c>
      <c r="B1611" s="52">
        <f>-bthan*500+(5+0.5)*bthan*1000/50</f>
        <v>-2145</v>
      </c>
      <c r="C1611" s="52">
        <f t="shared" si="186"/>
        <v>-150</v>
      </c>
      <c r="D1611" s="52">
        <f t="shared" si="187"/>
        <v>2200</v>
      </c>
      <c r="E1611" s="52">
        <f t="shared" si="188"/>
        <v>1</v>
      </c>
      <c r="F1611" s="52"/>
      <c r="G1611" s="52"/>
      <c r="H1611" s="52"/>
      <c r="I1611" s="52"/>
      <c r="J1611" s="52"/>
      <c r="K1611" s="52"/>
      <c r="L1611" s="52"/>
      <c r="M1611" s="52"/>
      <c r="N1611" s="52"/>
      <c r="O1611" s="52"/>
      <c r="P1611" s="52"/>
      <c r="Q1611" s="52"/>
      <c r="R1611" s="52"/>
      <c r="S1611" s="52"/>
      <c r="T1611" s="52"/>
      <c r="U1611" s="52"/>
      <c r="V1611" s="52"/>
      <c r="W1611" s="52"/>
      <c r="X1611" s="52"/>
      <c r="Y1611" s="52"/>
      <c r="Z1611" s="52"/>
      <c r="AA1611" s="52"/>
      <c r="AB1611" s="52"/>
      <c r="AC1611" s="52"/>
      <c r="AD1611" s="52"/>
      <c r="AE1611" s="52"/>
      <c r="AF1611" s="52"/>
      <c r="AG1611" s="52"/>
      <c r="AH1611" s="52"/>
      <c r="AI1611" s="52"/>
      <c r="AJ1611" s="52"/>
      <c r="AK1611" s="52"/>
      <c r="AL1611" s="52"/>
      <c r="AM1611" s="52"/>
      <c r="AN1611" s="52"/>
    </row>
    <row r="1612" spans="1:40" x14ac:dyDescent="0.3">
      <c r="A1612" s="52">
        <v>1607</v>
      </c>
      <c r="B1612" s="52">
        <f>-bthan*500+(6+0.5)*bthan*1000/50</f>
        <v>-2035</v>
      </c>
      <c r="C1612" s="52">
        <f t="shared" si="186"/>
        <v>-150</v>
      </c>
      <c r="D1612" s="52">
        <f t="shared" si="187"/>
        <v>2200</v>
      </c>
      <c r="E1612" s="52">
        <f t="shared" si="188"/>
        <v>1</v>
      </c>
      <c r="F1612" s="52"/>
      <c r="G1612" s="52"/>
      <c r="H1612" s="52"/>
      <c r="I1612" s="52"/>
      <c r="J1612" s="52"/>
      <c r="K1612" s="52"/>
      <c r="L1612" s="52"/>
      <c r="M1612" s="52"/>
      <c r="N1612" s="52"/>
      <c r="O1612" s="52"/>
      <c r="P1612" s="52"/>
      <c r="Q1612" s="52"/>
      <c r="R1612" s="52"/>
      <c r="S1612" s="52"/>
      <c r="T1612" s="52"/>
      <c r="U1612" s="52"/>
      <c r="V1612" s="52"/>
      <c r="W1612" s="52"/>
      <c r="X1612" s="52"/>
      <c r="Y1612" s="52"/>
      <c r="Z1612" s="52"/>
      <c r="AA1612" s="52"/>
      <c r="AB1612" s="52"/>
      <c r="AC1612" s="52"/>
      <c r="AD1612" s="52"/>
      <c r="AE1612" s="52"/>
      <c r="AF1612" s="52"/>
      <c r="AG1612" s="52"/>
      <c r="AH1612" s="52"/>
      <c r="AI1612" s="52"/>
      <c r="AJ1612" s="52"/>
      <c r="AK1612" s="52"/>
      <c r="AL1612" s="52"/>
      <c r="AM1612" s="52"/>
      <c r="AN1612" s="52"/>
    </row>
    <row r="1613" spans="1:40" x14ac:dyDescent="0.3">
      <c r="A1613" s="52">
        <v>1608</v>
      </c>
      <c r="B1613" s="52">
        <f>-bthan*500+(7+0.5)*bthan*1000/50</f>
        <v>-1925</v>
      </c>
      <c r="C1613" s="52">
        <f t="shared" si="186"/>
        <v>-150</v>
      </c>
      <c r="D1613" s="52">
        <f t="shared" si="187"/>
        <v>2200</v>
      </c>
      <c r="E1613" s="52">
        <f t="shared" si="188"/>
        <v>1</v>
      </c>
      <c r="F1613" s="52"/>
      <c r="G1613" s="52"/>
      <c r="H1613" s="52"/>
      <c r="I1613" s="52"/>
      <c r="J1613" s="52"/>
      <c r="K1613" s="52"/>
      <c r="L1613" s="52"/>
      <c r="M1613" s="52"/>
      <c r="N1613" s="52"/>
      <c r="O1613" s="52"/>
      <c r="P1613" s="52"/>
      <c r="Q1613" s="52"/>
      <c r="R1613" s="52"/>
      <c r="S1613" s="52"/>
      <c r="T1613" s="52"/>
      <c r="U1613" s="52"/>
      <c r="V1613" s="52"/>
      <c r="W1613" s="52"/>
      <c r="X1613" s="52"/>
      <c r="Y1613" s="52"/>
      <c r="Z1613" s="52"/>
      <c r="AA1613" s="52"/>
      <c r="AB1613" s="52"/>
      <c r="AC1613" s="52"/>
      <c r="AD1613" s="52"/>
      <c r="AE1613" s="52"/>
      <c r="AF1613" s="52"/>
      <c r="AG1613" s="52"/>
      <c r="AH1613" s="52"/>
      <c r="AI1613" s="52"/>
      <c r="AJ1613" s="52"/>
      <c r="AK1613" s="52"/>
      <c r="AL1613" s="52"/>
      <c r="AM1613" s="52"/>
      <c r="AN1613" s="52"/>
    </row>
    <row r="1614" spans="1:40" x14ac:dyDescent="0.3">
      <c r="A1614" s="52">
        <v>1609</v>
      </c>
      <c r="B1614" s="52">
        <f>-bthan*500+(8+0.5)*bthan*1000/50</f>
        <v>-1815</v>
      </c>
      <c r="C1614" s="52">
        <f t="shared" si="186"/>
        <v>-150</v>
      </c>
      <c r="D1614" s="52">
        <f t="shared" si="187"/>
        <v>2200</v>
      </c>
      <c r="E1614" s="52">
        <f t="shared" si="188"/>
        <v>1</v>
      </c>
      <c r="F1614" s="52"/>
      <c r="G1614" s="52"/>
      <c r="H1614" s="52"/>
      <c r="I1614" s="52"/>
      <c r="J1614" s="52"/>
      <c r="K1614" s="52"/>
      <c r="L1614" s="52"/>
      <c r="M1614" s="52"/>
      <c r="N1614" s="52"/>
      <c r="O1614" s="52"/>
      <c r="P1614" s="52"/>
      <c r="Q1614" s="52"/>
      <c r="R1614" s="52"/>
      <c r="S1614" s="52"/>
      <c r="T1614" s="52"/>
      <c r="U1614" s="52"/>
      <c r="V1614" s="52"/>
      <c r="W1614" s="52"/>
      <c r="X1614" s="52"/>
      <c r="Y1614" s="52"/>
      <c r="Z1614" s="52"/>
      <c r="AA1614" s="52"/>
      <c r="AB1614" s="52"/>
      <c r="AC1614" s="52"/>
      <c r="AD1614" s="52"/>
      <c r="AE1614" s="52"/>
      <c r="AF1614" s="52"/>
      <c r="AG1614" s="52"/>
      <c r="AH1614" s="52"/>
      <c r="AI1614" s="52"/>
      <c r="AJ1614" s="52"/>
      <c r="AK1614" s="52"/>
      <c r="AL1614" s="52"/>
      <c r="AM1614" s="52"/>
      <c r="AN1614" s="52"/>
    </row>
    <row r="1615" spans="1:40" x14ac:dyDescent="0.3">
      <c r="A1615" s="52">
        <v>1610</v>
      </c>
      <c r="B1615" s="52">
        <f>-bthan*500+(9+0.5)*bthan*1000/50</f>
        <v>-1705</v>
      </c>
      <c r="C1615" s="52">
        <f t="shared" si="186"/>
        <v>-150</v>
      </c>
      <c r="D1615" s="52">
        <f t="shared" si="187"/>
        <v>2200</v>
      </c>
      <c r="E1615" s="52">
        <f t="shared" si="188"/>
        <v>1</v>
      </c>
      <c r="F1615" s="52"/>
      <c r="G1615" s="52"/>
      <c r="H1615" s="52"/>
      <c r="I1615" s="52"/>
      <c r="J1615" s="52"/>
      <c r="K1615" s="52"/>
      <c r="L1615" s="52"/>
      <c r="M1615" s="52"/>
      <c r="N1615" s="52"/>
      <c r="O1615" s="52"/>
      <c r="P1615" s="52"/>
      <c r="Q1615" s="52"/>
      <c r="R1615" s="52"/>
      <c r="S1615" s="52"/>
      <c r="T1615" s="52"/>
      <c r="U1615" s="52"/>
      <c r="V1615" s="52"/>
      <c r="W1615" s="52"/>
      <c r="X1615" s="52"/>
      <c r="Y1615" s="52"/>
      <c r="Z1615" s="52"/>
      <c r="AA1615" s="52"/>
      <c r="AB1615" s="52"/>
      <c r="AC1615" s="52"/>
      <c r="AD1615" s="52"/>
      <c r="AE1615" s="52"/>
      <c r="AF1615" s="52"/>
      <c r="AG1615" s="52"/>
      <c r="AH1615" s="52"/>
      <c r="AI1615" s="52"/>
      <c r="AJ1615" s="52"/>
      <c r="AK1615" s="52"/>
      <c r="AL1615" s="52"/>
      <c r="AM1615" s="52"/>
      <c r="AN1615" s="52"/>
    </row>
    <row r="1616" spans="1:40" x14ac:dyDescent="0.3">
      <c r="A1616" s="52">
        <v>1611</v>
      </c>
      <c r="B1616" s="52">
        <f>-bthan*500+(10+0.5)*bthan*1000/50</f>
        <v>-1595</v>
      </c>
      <c r="C1616" s="52">
        <f t="shared" si="186"/>
        <v>-150</v>
      </c>
      <c r="D1616" s="52">
        <f t="shared" si="187"/>
        <v>2200</v>
      </c>
      <c r="E1616" s="52">
        <f t="shared" si="188"/>
        <v>1</v>
      </c>
      <c r="F1616" s="52"/>
      <c r="G1616" s="52"/>
      <c r="H1616" s="52"/>
      <c r="I1616" s="52"/>
      <c r="J1616" s="52"/>
      <c r="K1616" s="52"/>
      <c r="L1616" s="52"/>
      <c r="M1616" s="52"/>
      <c r="N1616" s="52"/>
      <c r="O1616" s="52"/>
      <c r="P1616" s="52"/>
      <c r="Q1616" s="52"/>
      <c r="R1616" s="52"/>
      <c r="S1616" s="52"/>
      <c r="T1616" s="52"/>
      <c r="U1616" s="52"/>
      <c r="V1616" s="52"/>
      <c r="W1616" s="52"/>
      <c r="X1616" s="52"/>
      <c r="Y1616" s="52"/>
      <c r="Z1616" s="52"/>
      <c r="AA1616" s="52"/>
      <c r="AB1616" s="52"/>
      <c r="AC1616" s="52"/>
      <c r="AD1616" s="52"/>
      <c r="AE1616" s="52"/>
      <c r="AF1616" s="52"/>
      <c r="AG1616" s="52"/>
      <c r="AH1616" s="52"/>
      <c r="AI1616" s="52"/>
      <c r="AJ1616" s="52"/>
      <c r="AK1616" s="52"/>
      <c r="AL1616" s="52"/>
      <c r="AM1616" s="52"/>
      <c r="AN1616" s="52"/>
    </row>
    <row r="1617" spans="1:40" x14ac:dyDescent="0.3">
      <c r="A1617" s="52">
        <v>1612</v>
      </c>
      <c r="B1617" s="52">
        <f>-bthan*500+(11+0.5)*bthan*1000/50</f>
        <v>-1485</v>
      </c>
      <c r="C1617" s="52">
        <f t="shared" si="186"/>
        <v>-150</v>
      </c>
      <c r="D1617" s="52">
        <f t="shared" si="187"/>
        <v>2200</v>
      </c>
      <c r="E1617" s="52">
        <f t="shared" si="188"/>
        <v>1</v>
      </c>
      <c r="F1617" s="52"/>
      <c r="G1617" s="52"/>
      <c r="H1617" s="52"/>
      <c r="I1617" s="52"/>
      <c r="J1617" s="52"/>
      <c r="K1617" s="52"/>
      <c r="L1617" s="52"/>
      <c r="M1617" s="52"/>
      <c r="N1617" s="52"/>
      <c r="O1617" s="52"/>
      <c r="P1617" s="52"/>
      <c r="Q1617" s="52"/>
      <c r="R1617" s="52"/>
      <c r="S1617" s="52"/>
      <c r="T1617" s="52"/>
      <c r="U1617" s="52"/>
      <c r="V1617" s="52"/>
      <c r="W1617" s="52"/>
      <c r="X1617" s="52"/>
      <c r="Y1617" s="52"/>
      <c r="Z1617" s="52"/>
      <c r="AA1617" s="52"/>
      <c r="AB1617" s="52"/>
      <c r="AC1617" s="52"/>
      <c r="AD1617" s="52"/>
      <c r="AE1617" s="52"/>
      <c r="AF1617" s="52"/>
      <c r="AG1617" s="52"/>
      <c r="AH1617" s="52"/>
      <c r="AI1617" s="52"/>
      <c r="AJ1617" s="52"/>
      <c r="AK1617" s="52"/>
      <c r="AL1617" s="52"/>
      <c r="AM1617" s="52"/>
      <c r="AN1617" s="52"/>
    </row>
    <row r="1618" spans="1:40" x14ac:dyDescent="0.3">
      <c r="A1618" s="52">
        <v>1613</v>
      </c>
      <c r="B1618" s="52">
        <f>-bthan*500+(12+0.5)*bthan*1000/50</f>
        <v>-1375</v>
      </c>
      <c r="C1618" s="52">
        <f t="shared" si="186"/>
        <v>-150</v>
      </c>
      <c r="D1618" s="52">
        <f t="shared" si="187"/>
        <v>2200</v>
      </c>
      <c r="E1618" s="52">
        <f t="shared" si="188"/>
        <v>1</v>
      </c>
      <c r="F1618" s="52"/>
      <c r="G1618" s="52"/>
      <c r="H1618" s="52"/>
      <c r="I1618" s="52"/>
      <c r="J1618" s="52"/>
      <c r="K1618" s="52"/>
      <c r="L1618" s="52"/>
      <c r="M1618" s="52"/>
      <c r="N1618" s="52"/>
      <c r="O1618" s="52"/>
      <c r="P1618" s="52"/>
      <c r="Q1618" s="52"/>
      <c r="R1618" s="52"/>
      <c r="S1618" s="52"/>
      <c r="T1618" s="52"/>
      <c r="U1618" s="52"/>
      <c r="V1618" s="52"/>
      <c r="W1618" s="52"/>
      <c r="X1618" s="52"/>
      <c r="Y1618" s="52"/>
      <c r="Z1618" s="52"/>
      <c r="AA1618" s="52"/>
      <c r="AB1618" s="52"/>
      <c r="AC1618" s="52"/>
      <c r="AD1618" s="52"/>
      <c r="AE1618" s="52"/>
      <c r="AF1618" s="52"/>
      <c r="AG1618" s="52"/>
      <c r="AH1618" s="52"/>
      <c r="AI1618" s="52"/>
      <c r="AJ1618" s="52"/>
      <c r="AK1618" s="52"/>
      <c r="AL1618" s="52"/>
      <c r="AM1618" s="52"/>
      <c r="AN1618" s="52"/>
    </row>
    <row r="1619" spans="1:40" x14ac:dyDescent="0.3">
      <c r="A1619" s="52">
        <v>1614</v>
      </c>
      <c r="B1619" s="52">
        <f>-bthan*500+(13+0.5)*bthan*1000/50</f>
        <v>-1265</v>
      </c>
      <c r="C1619" s="52">
        <f t="shared" si="186"/>
        <v>-150</v>
      </c>
      <c r="D1619" s="52">
        <f t="shared" si="187"/>
        <v>2200</v>
      </c>
      <c r="E1619" s="52">
        <f t="shared" si="188"/>
        <v>1</v>
      </c>
      <c r="F1619" s="52"/>
      <c r="G1619" s="52"/>
      <c r="H1619" s="52"/>
      <c r="I1619" s="52"/>
      <c r="J1619" s="52"/>
      <c r="K1619" s="52"/>
      <c r="L1619" s="52"/>
      <c r="M1619" s="52"/>
      <c r="N1619" s="52"/>
      <c r="O1619" s="52"/>
      <c r="P1619" s="52"/>
      <c r="Q1619" s="52"/>
      <c r="R1619" s="52"/>
      <c r="S1619" s="52"/>
      <c r="T1619" s="52"/>
      <c r="U1619" s="52"/>
      <c r="V1619" s="52"/>
      <c r="W1619" s="52"/>
      <c r="X1619" s="52"/>
      <c r="Y1619" s="52"/>
      <c r="Z1619" s="52"/>
      <c r="AA1619" s="52"/>
      <c r="AB1619" s="52"/>
      <c r="AC1619" s="52"/>
      <c r="AD1619" s="52"/>
      <c r="AE1619" s="52"/>
      <c r="AF1619" s="52"/>
      <c r="AG1619" s="52"/>
      <c r="AH1619" s="52"/>
      <c r="AI1619" s="52"/>
      <c r="AJ1619" s="52"/>
      <c r="AK1619" s="52"/>
      <c r="AL1619" s="52"/>
      <c r="AM1619" s="52"/>
      <c r="AN1619" s="52"/>
    </row>
    <row r="1620" spans="1:40" x14ac:dyDescent="0.3">
      <c r="A1620" s="52">
        <v>1615</v>
      </c>
      <c r="B1620" s="52">
        <f>-bthan*500+(14+0.5)*bthan*1000/50</f>
        <v>-1155</v>
      </c>
      <c r="C1620" s="52">
        <f t="shared" si="186"/>
        <v>-150</v>
      </c>
      <c r="D1620" s="52">
        <f t="shared" si="187"/>
        <v>2200</v>
      </c>
      <c r="E1620" s="52">
        <f t="shared" si="188"/>
        <v>1</v>
      </c>
      <c r="F1620" s="52"/>
      <c r="G1620" s="52"/>
      <c r="H1620" s="52"/>
      <c r="I1620" s="52"/>
      <c r="J1620" s="52"/>
      <c r="K1620" s="52"/>
      <c r="L1620" s="52"/>
      <c r="M1620" s="52"/>
      <c r="N1620" s="52"/>
      <c r="O1620" s="52"/>
      <c r="P1620" s="52"/>
      <c r="Q1620" s="52"/>
      <c r="R1620" s="52"/>
      <c r="S1620" s="52"/>
      <c r="T1620" s="52"/>
      <c r="U1620" s="52"/>
      <c r="V1620" s="52"/>
      <c r="W1620" s="52"/>
      <c r="X1620" s="52"/>
      <c r="Y1620" s="52"/>
      <c r="Z1620" s="52"/>
      <c r="AA1620" s="52"/>
      <c r="AB1620" s="52"/>
      <c r="AC1620" s="52"/>
      <c r="AD1620" s="52"/>
      <c r="AE1620" s="52"/>
      <c r="AF1620" s="52"/>
      <c r="AG1620" s="52"/>
      <c r="AH1620" s="52"/>
      <c r="AI1620" s="52"/>
      <c r="AJ1620" s="52"/>
      <c r="AK1620" s="52"/>
      <c r="AL1620" s="52"/>
      <c r="AM1620" s="52"/>
      <c r="AN1620" s="52"/>
    </row>
    <row r="1621" spans="1:40" x14ac:dyDescent="0.3">
      <c r="A1621" s="52">
        <v>1616</v>
      </c>
      <c r="B1621" s="52">
        <f>-bthan*500+(15+0.5)*bthan*1000/50</f>
        <v>-1045</v>
      </c>
      <c r="C1621" s="52">
        <f t="shared" si="186"/>
        <v>-150</v>
      </c>
      <c r="D1621" s="52">
        <f t="shared" si="187"/>
        <v>2200</v>
      </c>
      <c r="E1621" s="52">
        <f t="shared" si="188"/>
        <v>1</v>
      </c>
      <c r="F1621" s="52"/>
      <c r="G1621" s="52"/>
      <c r="H1621" s="52"/>
      <c r="I1621" s="52"/>
      <c r="J1621" s="52"/>
      <c r="K1621" s="52"/>
      <c r="L1621" s="52"/>
      <c r="M1621" s="52"/>
      <c r="N1621" s="52"/>
      <c r="O1621" s="52"/>
      <c r="P1621" s="52"/>
      <c r="Q1621" s="52"/>
      <c r="R1621" s="52"/>
      <c r="S1621" s="52"/>
      <c r="T1621" s="52"/>
      <c r="U1621" s="52"/>
      <c r="V1621" s="52"/>
      <c r="W1621" s="52"/>
      <c r="X1621" s="52"/>
      <c r="Y1621" s="52"/>
      <c r="Z1621" s="52"/>
      <c r="AA1621" s="52"/>
      <c r="AB1621" s="52"/>
      <c r="AC1621" s="52"/>
      <c r="AD1621" s="52"/>
      <c r="AE1621" s="52"/>
      <c r="AF1621" s="52"/>
      <c r="AG1621" s="52"/>
      <c r="AH1621" s="52"/>
      <c r="AI1621" s="52"/>
      <c r="AJ1621" s="52"/>
      <c r="AK1621" s="52"/>
      <c r="AL1621" s="52"/>
      <c r="AM1621" s="52"/>
      <c r="AN1621" s="52"/>
    </row>
    <row r="1622" spans="1:40" x14ac:dyDescent="0.3">
      <c r="A1622" s="52">
        <v>1617</v>
      </c>
      <c r="B1622" s="52">
        <f>-bthan*500+(16+0.5)*bthan*1000/50</f>
        <v>-935</v>
      </c>
      <c r="C1622" s="52">
        <f t="shared" si="186"/>
        <v>-150</v>
      </c>
      <c r="D1622" s="52">
        <f t="shared" si="187"/>
        <v>2200</v>
      </c>
      <c r="E1622" s="52">
        <f t="shared" si="188"/>
        <v>1</v>
      </c>
      <c r="F1622" s="52"/>
      <c r="G1622" s="52"/>
      <c r="H1622" s="52"/>
      <c r="I1622" s="52"/>
      <c r="J1622" s="52"/>
      <c r="K1622" s="52"/>
      <c r="L1622" s="52"/>
      <c r="M1622" s="52"/>
      <c r="N1622" s="52"/>
      <c r="O1622" s="52"/>
      <c r="P1622" s="52"/>
      <c r="Q1622" s="52"/>
      <c r="R1622" s="52"/>
      <c r="S1622" s="52"/>
      <c r="T1622" s="52"/>
      <c r="U1622" s="52"/>
      <c r="V1622" s="52"/>
      <c r="W1622" s="52"/>
      <c r="X1622" s="52"/>
      <c r="Y1622" s="52"/>
      <c r="Z1622" s="52"/>
      <c r="AA1622" s="52"/>
      <c r="AB1622" s="52"/>
      <c r="AC1622" s="52"/>
      <c r="AD1622" s="52"/>
      <c r="AE1622" s="52"/>
      <c r="AF1622" s="52"/>
      <c r="AG1622" s="52"/>
      <c r="AH1622" s="52"/>
      <c r="AI1622" s="52"/>
      <c r="AJ1622" s="52"/>
      <c r="AK1622" s="52"/>
      <c r="AL1622" s="52"/>
      <c r="AM1622" s="52"/>
      <c r="AN1622" s="52"/>
    </row>
    <row r="1623" spans="1:40" x14ac:dyDescent="0.3">
      <c r="A1623" s="52">
        <v>1618</v>
      </c>
      <c r="B1623" s="52">
        <f>-bthan*500+(17+0.5)*bthan*1000/50</f>
        <v>-825</v>
      </c>
      <c r="C1623" s="52">
        <f t="shared" si="186"/>
        <v>-150</v>
      </c>
      <c r="D1623" s="52">
        <f t="shared" si="187"/>
        <v>2200</v>
      </c>
      <c r="E1623" s="52">
        <f t="shared" si="188"/>
        <v>1</v>
      </c>
      <c r="F1623" s="52"/>
      <c r="G1623" s="52"/>
      <c r="H1623" s="52"/>
      <c r="I1623" s="52"/>
      <c r="J1623" s="52"/>
      <c r="K1623" s="52"/>
      <c r="L1623" s="52"/>
      <c r="M1623" s="52"/>
      <c r="N1623" s="52"/>
      <c r="O1623" s="52"/>
      <c r="P1623" s="52"/>
      <c r="Q1623" s="52"/>
      <c r="R1623" s="52"/>
      <c r="S1623" s="52"/>
      <c r="T1623" s="52"/>
      <c r="U1623" s="52"/>
      <c r="V1623" s="52"/>
      <c r="W1623" s="52"/>
      <c r="X1623" s="52"/>
      <c r="Y1623" s="52"/>
      <c r="Z1623" s="52"/>
      <c r="AA1623" s="52"/>
      <c r="AB1623" s="52"/>
      <c r="AC1623" s="52"/>
      <c r="AD1623" s="52"/>
      <c r="AE1623" s="52"/>
      <c r="AF1623" s="52"/>
      <c r="AG1623" s="52"/>
      <c r="AH1623" s="52"/>
      <c r="AI1623" s="52"/>
      <c r="AJ1623" s="52"/>
      <c r="AK1623" s="52"/>
      <c r="AL1623" s="52"/>
      <c r="AM1623" s="52"/>
      <c r="AN1623" s="52"/>
    </row>
    <row r="1624" spans="1:40" x14ac:dyDescent="0.3">
      <c r="A1624" s="52">
        <v>1619</v>
      </c>
      <c r="B1624" s="52">
        <f>-bthan*500+(18+0.5)*bthan*1000/50</f>
        <v>-715</v>
      </c>
      <c r="C1624" s="52">
        <f t="shared" si="186"/>
        <v>-150</v>
      </c>
      <c r="D1624" s="52">
        <f t="shared" si="187"/>
        <v>2200</v>
      </c>
      <c r="E1624" s="52">
        <f t="shared" si="188"/>
        <v>1</v>
      </c>
      <c r="F1624" s="52"/>
      <c r="G1624" s="52"/>
      <c r="H1624" s="52"/>
      <c r="I1624" s="52"/>
      <c r="J1624" s="52"/>
      <c r="K1624" s="52"/>
      <c r="L1624" s="52"/>
      <c r="M1624" s="52"/>
      <c r="N1624" s="52"/>
      <c r="O1624" s="52"/>
      <c r="P1624" s="52"/>
      <c r="Q1624" s="52"/>
      <c r="R1624" s="52"/>
      <c r="S1624" s="52"/>
      <c r="T1624" s="52"/>
      <c r="U1624" s="52"/>
      <c r="V1624" s="52"/>
      <c r="W1624" s="52"/>
      <c r="X1624" s="52"/>
      <c r="Y1624" s="52"/>
      <c r="Z1624" s="52"/>
      <c r="AA1624" s="52"/>
      <c r="AB1624" s="52"/>
      <c r="AC1624" s="52"/>
      <c r="AD1624" s="52"/>
      <c r="AE1624" s="52"/>
      <c r="AF1624" s="52"/>
      <c r="AG1624" s="52"/>
      <c r="AH1624" s="52"/>
      <c r="AI1624" s="52"/>
      <c r="AJ1624" s="52"/>
      <c r="AK1624" s="52"/>
      <c r="AL1624" s="52"/>
      <c r="AM1624" s="52"/>
      <c r="AN1624" s="52"/>
    </row>
    <row r="1625" spans="1:40" x14ac:dyDescent="0.3">
      <c r="A1625" s="52">
        <v>1620</v>
      </c>
      <c r="B1625" s="52">
        <f>-bthan*500+(19+0.5)*bthan*1000/50</f>
        <v>-605</v>
      </c>
      <c r="C1625" s="52">
        <f t="shared" si="186"/>
        <v>-150</v>
      </c>
      <c r="D1625" s="52">
        <f t="shared" si="187"/>
        <v>2200</v>
      </c>
      <c r="E1625" s="52">
        <f t="shared" si="188"/>
        <v>1</v>
      </c>
      <c r="F1625" s="52"/>
      <c r="G1625" s="52"/>
      <c r="H1625" s="52"/>
      <c r="I1625" s="52"/>
      <c r="J1625" s="52"/>
      <c r="K1625" s="52"/>
      <c r="L1625" s="52"/>
      <c r="M1625" s="52"/>
      <c r="N1625" s="52"/>
      <c r="O1625" s="52"/>
      <c r="P1625" s="52"/>
      <c r="Q1625" s="52"/>
      <c r="R1625" s="52"/>
      <c r="S1625" s="52"/>
      <c r="T1625" s="52"/>
      <c r="U1625" s="52"/>
      <c r="V1625" s="52"/>
      <c r="W1625" s="52"/>
      <c r="X1625" s="52"/>
      <c r="Y1625" s="52"/>
      <c r="Z1625" s="52"/>
      <c r="AA1625" s="52"/>
      <c r="AB1625" s="52"/>
      <c r="AC1625" s="52"/>
      <c r="AD1625" s="52"/>
      <c r="AE1625" s="52"/>
      <c r="AF1625" s="52"/>
      <c r="AG1625" s="52"/>
      <c r="AH1625" s="52"/>
      <c r="AI1625" s="52"/>
      <c r="AJ1625" s="52"/>
      <c r="AK1625" s="52"/>
      <c r="AL1625" s="52"/>
      <c r="AM1625" s="52"/>
      <c r="AN1625" s="52"/>
    </row>
    <row r="1626" spans="1:40" x14ac:dyDescent="0.3">
      <c r="A1626" s="52">
        <v>1621</v>
      </c>
      <c r="B1626" s="52">
        <f>-bthan*500+(20+0.5)*bthan*1000/50</f>
        <v>-495</v>
      </c>
      <c r="C1626" s="52">
        <f t="shared" si="186"/>
        <v>-150</v>
      </c>
      <c r="D1626" s="52">
        <f t="shared" si="187"/>
        <v>2200</v>
      </c>
      <c r="E1626" s="52">
        <f t="shared" si="188"/>
        <v>1</v>
      </c>
      <c r="F1626" s="52"/>
      <c r="G1626" s="52"/>
      <c r="H1626" s="52"/>
      <c r="I1626" s="52"/>
      <c r="J1626" s="52"/>
      <c r="K1626" s="52"/>
      <c r="L1626" s="52"/>
      <c r="M1626" s="52"/>
      <c r="N1626" s="52"/>
      <c r="O1626" s="52"/>
      <c r="P1626" s="52"/>
      <c r="Q1626" s="52"/>
      <c r="R1626" s="52"/>
      <c r="S1626" s="52"/>
      <c r="T1626" s="52"/>
      <c r="U1626" s="52"/>
      <c r="V1626" s="52"/>
      <c r="W1626" s="52"/>
      <c r="X1626" s="52"/>
      <c r="Y1626" s="52"/>
      <c r="Z1626" s="52"/>
      <c r="AA1626" s="52"/>
      <c r="AB1626" s="52"/>
      <c r="AC1626" s="52"/>
      <c r="AD1626" s="52"/>
      <c r="AE1626" s="52"/>
      <c r="AF1626" s="52"/>
      <c r="AG1626" s="52"/>
      <c r="AH1626" s="52"/>
      <c r="AI1626" s="52"/>
      <c r="AJ1626" s="52"/>
      <c r="AK1626" s="52"/>
      <c r="AL1626" s="52"/>
      <c r="AM1626" s="52"/>
      <c r="AN1626" s="52"/>
    </row>
    <row r="1627" spans="1:40" x14ac:dyDescent="0.3">
      <c r="A1627" s="52">
        <v>1622</v>
      </c>
      <c r="B1627" s="52">
        <f>-bthan*500+(21+0.5)*bthan*1000/50</f>
        <v>-385</v>
      </c>
      <c r="C1627" s="52">
        <f t="shared" si="186"/>
        <v>-150</v>
      </c>
      <c r="D1627" s="52">
        <f t="shared" si="187"/>
        <v>2200</v>
      </c>
      <c r="E1627" s="52">
        <f t="shared" si="188"/>
        <v>1</v>
      </c>
      <c r="F1627" s="52"/>
      <c r="G1627" s="52"/>
      <c r="H1627" s="52"/>
      <c r="I1627" s="52"/>
      <c r="J1627" s="52"/>
      <c r="K1627" s="52"/>
      <c r="L1627" s="52"/>
      <c r="M1627" s="52"/>
      <c r="N1627" s="52"/>
      <c r="O1627" s="52"/>
      <c r="P1627" s="52"/>
      <c r="Q1627" s="52"/>
      <c r="R1627" s="52"/>
      <c r="S1627" s="52"/>
      <c r="T1627" s="52"/>
      <c r="U1627" s="52"/>
      <c r="V1627" s="52"/>
      <c r="W1627" s="52"/>
      <c r="X1627" s="52"/>
      <c r="Y1627" s="52"/>
      <c r="Z1627" s="52"/>
      <c r="AA1627" s="52"/>
      <c r="AB1627" s="52"/>
      <c r="AC1627" s="52"/>
      <c r="AD1627" s="52"/>
      <c r="AE1627" s="52"/>
      <c r="AF1627" s="52"/>
      <c r="AG1627" s="52"/>
      <c r="AH1627" s="52"/>
      <c r="AI1627" s="52"/>
      <c r="AJ1627" s="52"/>
      <c r="AK1627" s="52"/>
      <c r="AL1627" s="52"/>
      <c r="AM1627" s="52"/>
      <c r="AN1627" s="52"/>
    </row>
    <row r="1628" spans="1:40" x14ac:dyDescent="0.3">
      <c r="A1628" s="52">
        <v>1623</v>
      </c>
      <c r="B1628" s="52">
        <f>-bthan*500+(22+0.5)*bthan*1000/50</f>
        <v>-275</v>
      </c>
      <c r="C1628" s="52">
        <f t="shared" si="186"/>
        <v>-150</v>
      </c>
      <c r="D1628" s="52">
        <f t="shared" si="187"/>
        <v>2200</v>
      </c>
      <c r="E1628" s="52">
        <f t="shared" si="188"/>
        <v>1</v>
      </c>
      <c r="F1628" s="52"/>
      <c r="G1628" s="52"/>
      <c r="H1628" s="52"/>
      <c r="I1628" s="52"/>
      <c r="J1628" s="52"/>
      <c r="K1628" s="52"/>
      <c r="L1628" s="52"/>
      <c r="M1628" s="52"/>
      <c r="N1628" s="52"/>
      <c r="O1628" s="52"/>
      <c r="P1628" s="52"/>
      <c r="Q1628" s="52"/>
      <c r="R1628" s="52"/>
      <c r="S1628" s="52"/>
      <c r="T1628" s="52"/>
      <c r="U1628" s="52"/>
      <c r="V1628" s="52"/>
      <c r="W1628" s="52"/>
      <c r="X1628" s="52"/>
      <c r="Y1628" s="52"/>
      <c r="Z1628" s="52"/>
      <c r="AA1628" s="52"/>
      <c r="AB1628" s="52"/>
      <c r="AC1628" s="52"/>
      <c r="AD1628" s="52"/>
      <c r="AE1628" s="52"/>
      <c r="AF1628" s="52"/>
      <c r="AG1628" s="52"/>
      <c r="AH1628" s="52"/>
      <c r="AI1628" s="52"/>
      <c r="AJ1628" s="52"/>
      <c r="AK1628" s="52"/>
      <c r="AL1628" s="52"/>
      <c r="AM1628" s="52"/>
      <c r="AN1628" s="52"/>
    </row>
    <row r="1629" spans="1:40" x14ac:dyDescent="0.3">
      <c r="A1629" s="52">
        <v>1624</v>
      </c>
      <c r="B1629" s="52">
        <f>-bthan*500+(23+0.5)*bthan*1000/50</f>
        <v>-165</v>
      </c>
      <c r="C1629" s="52">
        <f t="shared" si="186"/>
        <v>-150</v>
      </c>
      <c r="D1629" s="52">
        <f t="shared" si="187"/>
        <v>2200</v>
      </c>
      <c r="E1629" s="52">
        <f t="shared" si="188"/>
        <v>1</v>
      </c>
      <c r="F1629" s="52"/>
      <c r="G1629" s="52"/>
      <c r="H1629" s="52"/>
      <c r="I1629" s="52"/>
      <c r="J1629" s="52"/>
      <c r="K1629" s="52"/>
      <c r="L1629" s="52"/>
      <c r="M1629" s="52"/>
      <c r="N1629" s="52"/>
      <c r="O1629" s="52"/>
      <c r="P1629" s="52"/>
      <c r="Q1629" s="52"/>
      <c r="R1629" s="52"/>
      <c r="S1629" s="52"/>
      <c r="T1629" s="52"/>
      <c r="U1629" s="52"/>
      <c r="V1629" s="52"/>
      <c r="W1629" s="52"/>
      <c r="X1629" s="52"/>
      <c r="Y1629" s="52"/>
      <c r="Z1629" s="52"/>
      <c r="AA1629" s="52"/>
      <c r="AB1629" s="52"/>
      <c r="AC1629" s="52"/>
      <c r="AD1629" s="52"/>
      <c r="AE1629" s="52"/>
      <c r="AF1629" s="52"/>
      <c r="AG1629" s="52"/>
      <c r="AH1629" s="52"/>
      <c r="AI1629" s="52"/>
      <c r="AJ1629" s="52"/>
      <c r="AK1629" s="52"/>
      <c r="AL1629" s="52"/>
      <c r="AM1629" s="52"/>
      <c r="AN1629" s="52"/>
    </row>
    <row r="1630" spans="1:40" x14ac:dyDescent="0.3">
      <c r="A1630" s="52">
        <v>1625</v>
      </c>
      <c r="B1630" s="52">
        <f>-bthan*500+(24+0.5)*bthan*1000/50</f>
        <v>-55</v>
      </c>
      <c r="C1630" s="52">
        <f t="shared" si="186"/>
        <v>-150</v>
      </c>
      <c r="D1630" s="52">
        <f t="shared" si="187"/>
        <v>2200</v>
      </c>
      <c r="E1630" s="52">
        <f t="shared" si="188"/>
        <v>1</v>
      </c>
      <c r="F1630" s="52"/>
      <c r="G1630" s="52"/>
      <c r="H1630" s="52"/>
      <c r="I1630" s="52"/>
      <c r="J1630" s="52"/>
      <c r="K1630" s="52"/>
      <c r="L1630" s="52"/>
      <c r="M1630" s="52"/>
      <c r="N1630" s="52"/>
      <c r="O1630" s="52"/>
      <c r="P1630" s="52"/>
      <c r="Q1630" s="52"/>
      <c r="R1630" s="52"/>
      <c r="S1630" s="52"/>
      <c r="T1630" s="52"/>
      <c r="U1630" s="52"/>
      <c r="V1630" s="52"/>
      <c r="W1630" s="52"/>
      <c r="X1630" s="52"/>
      <c r="Y1630" s="52"/>
      <c r="Z1630" s="52"/>
      <c r="AA1630" s="52"/>
      <c r="AB1630" s="52"/>
      <c r="AC1630" s="52"/>
      <c r="AD1630" s="52"/>
      <c r="AE1630" s="52"/>
      <c r="AF1630" s="52"/>
      <c r="AG1630" s="52"/>
      <c r="AH1630" s="52"/>
      <c r="AI1630" s="52"/>
      <c r="AJ1630" s="52"/>
      <c r="AK1630" s="52"/>
      <c r="AL1630" s="52"/>
      <c r="AM1630" s="52"/>
      <c r="AN1630" s="52"/>
    </row>
    <row r="1631" spans="1:40" x14ac:dyDescent="0.3">
      <c r="A1631" s="52">
        <v>1626</v>
      </c>
      <c r="B1631" s="52">
        <f>-bthan*500+(25+0.5)*bthan*1000/50</f>
        <v>55</v>
      </c>
      <c r="C1631" s="52">
        <f t="shared" si="186"/>
        <v>-150</v>
      </c>
      <c r="D1631" s="52">
        <f t="shared" si="187"/>
        <v>2200</v>
      </c>
      <c r="E1631" s="52">
        <f t="shared" si="188"/>
        <v>1</v>
      </c>
      <c r="F1631" s="52"/>
      <c r="G1631" s="52"/>
      <c r="H1631" s="52"/>
      <c r="I1631" s="52"/>
      <c r="J1631" s="52"/>
      <c r="K1631" s="52"/>
      <c r="L1631" s="52"/>
      <c r="M1631" s="52"/>
      <c r="N1631" s="52"/>
      <c r="O1631" s="52"/>
      <c r="P1631" s="52"/>
      <c r="Q1631" s="52"/>
      <c r="R1631" s="52"/>
      <c r="S1631" s="52"/>
      <c r="T1631" s="52"/>
      <c r="U1631" s="52"/>
      <c r="V1631" s="52"/>
      <c r="W1631" s="52"/>
      <c r="X1631" s="52"/>
      <c r="Y1631" s="52"/>
      <c r="Z1631" s="52"/>
      <c r="AA1631" s="52"/>
      <c r="AB1631" s="52"/>
      <c r="AC1631" s="52"/>
      <c r="AD1631" s="52"/>
      <c r="AE1631" s="52"/>
      <c r="AF1631" s="52"/>
      <c r="AG1631" s="52"/>
      <c r="AH1631" s="52"/>
      <c r="AI1631" s="52"/>
      <c r="AJ1631" s="52"/>
      <c r="AK1631" s="52"/>
      <c r="AL1631" s="52"/>
      <c r="AM1631" s="52"/>
      <c r="AN1631" s="52"/>
    </row>
    <row r="1632" spans="1:40" x14ac:dyDescent="0.3">
      <c r="A1632" s="52">
        <v>1627</v>
      </c>
      <c r="B1632" s="52">
        <f>-bthan*500+(26+0.5)*bthan*1000/50</f>
        <v>165</v>
      </c>
      <c r="C1632" s="52">
        <f t="shared" si="186"/>
        <v>-150</v>
      </c>
      <c r="D1632" s="52">
        <f t="shared" si="187"/>
        <v>2200</v>
      </c>
      <c r="E1632" s="52">
        <f t="shared" si="188"/>
        <v>1</v>
      </c>
      <c r="F1632" s="52"/>
      <c r="G1632" s="52"/>
      <c r="H1632" s="52"/>
      <c r="I1632" s="52"/>
      <c r="J1632" s="52"/>
      <c r="K1632" s="52"/>
      <c r="L1632" s="52"/>
      <c r="M1632" s="52"/>
      <c r="N1632" s="52"/>
      <c r="O1632" s="52"/>
      <c r="P1632" s="52"/>
      <c r="Q1632" s="52"/>
      <c r="R1632" s="52"/>
      <c r="S1632" s="52"/>
      <c r="T1632" s="52"/>
      <c r="U1632" s="52"/>
      <c r="V1632" s="52"/>
      <c r="W1632" s="52"/>
      <c r="X1632" s="52"/>
      <c r="Y1632" s="52"/>
      <c r="Z1632" s="52"/>
      <c r="AA1632" s="52"/>
      <c r="AB1632" s="52"/>
      <c r="AC1632" s="52"/>
      <c r="AD1632" s="52"/>
      <c r="AE1632" s="52"/>
      <c r="AF1632" s="52"/>
      <c r="AG1632" s="52"/>
      <c r="AH1632" s="52"/>
      <c r="AI1632" s="52"/>
      <c r="AJ1632" s="52"/>
      <c r="AK1632" s="52"/>
      <c r="AL1632" s="52"/>
      <c r="AM1632" s="52"/>
      <c r="AN1632" s="52"/>
    </row>
    <row r="1633" spans="1:40" x14ac:dyDescent="0.3">
      <c r="A1633" s="52">
        <v>1628</v>
      </c>
      <c r="B1633" s="52">
        <f>-bthan*500+(27+0.5)*bthan*1000/50</f>
        <v>275</v>
      </c>
      <c r="C1633" s="52">
        <f t="shared" si="186"/>
        <v>-150</v>
      </c>
      <c r="D1633" s="52">
        <f t="shared" si="187"/>
        <v>2200</v>
      </c>
      <c r="E1633" s="52">
        <f t="shared" si="188"/>
        <v>1</v>
      </c>
      <c r="F1633" s="52"/>
      <c r="G1633" s="52"/>
      <c r="H1633" s="52"/>
      <c r="I1633" s="52"/>
      <c r="J1633" s="52"/>
      <c r="K1633" s="52"/>
      <c r="L1633" s="52"/>
      <c r="M1633" s="52"/>
      <c r="N1633" s="52"/>
      <c r="O1633" s="52"/>
      <c r="P1633" s="52"/>
      <c r="Q1633" s="52"/>
      <c r="R1633" s="52"/>
      <c r="S1633" s="52"/>
      <c r="T1633" s="52"/>
      <c r="U1633" s="52"/>
      <c r="V1633" s="52"/>
      <c r="W1633" s="52"/>
      <c r="X1633" s="52"/>
      <c r="Y1633" s="52"/>
      <c r="Z1633" s="52"/>
      <c r="AA1633" s="52"/>
      <c r="AB1633" s="52"/>
      <c r="AC1633" s="52"/>
      <c r="AD1633" s="52"/>
      <c r="AE1633" s="52"/>
      <c r="AF1633" s="52"/>
      <c r="AG1633" s="52"/>
      <c r="AH1633" s="52"/>
      <c r="AI1633" s="52"/>
      <c r="AJ1633" s="52"/>
      <c r="AK1633" s="52"/>
      <c r="AL1633" s="52"/>
      <c r="AM1633" s="52"/>
      <c r="AN1633" s="52"/>
    </row>
    <row r="1634" spans="1:40" x14ac:dyDescent="0.3">
      <c r="A1634" s="52">
        <v>1629</v>
      </c>
      <c r="B1634" s="52">
        <f>-bthan*500+(28+0.5)*bthan*1000/50</f>
        <v>385</v>
      </c>
      <c r="C1634" s="52">
        <f t="shared" si="186"/>
        <v>-150</v>
      </c>
      <c r="D1634" s="52">
        <f t="shared" si="187"/>
        <v>2200</v>
      </c>
      <c r="E1634" s="52">
        <f t="shared" si="188"/>
        <v>1</v>
      </c>
      <c r="F1634" s="52"/>
      <c r="G1634" s="52"/>
      <c r="H1634" s="52"/>
      <c r="I1634" s="52"/>
      <c r="J1634" s="52"/>
      <c r="K1634" s="52"/>
      <c r="L1634" s="52"/>
      <c r="M1634" s="52"/>
      <c r="N1634" s="52"/>
      <c r="O1634" s="52"/>
      <c r="P1634" s="52"/>
      <c r="Q1634" s="52"/>
      <c r="R1634" s="52"/>
      <c r="S1634" s="52"/>
      <c r="T1634" s="52"/>
      <c r="U1634" s="52"/>
      <c r="V1634" s="52"/>
      <c r="W1634" s="52"/>
      <c r="X1634" s="52"/>
      <c r="Y1634" s="52"/>
      <c r="Z1634" s="52"/>
      <c r="AA1634" s="52"/>
      <c r="AB1634" s="52"/>
      <c r="AC1634" s="52"/>
      <c r="AD1634" s="52"/>
      <c r="AE1634" s="52"/>
      <c r="AF1634" s="52"/>
      <c r="AG1634" s="52"/>
      <c r="AH1634" s="52"/>
      <c r="AI1634" s="52"/>
      <c r="AJ1634" s="52"/>
      <c r="AK1634" s="52"/>
      <c r="AL1634" s="52"/>
      <c r="AM1634" s="52"/>
      <c r="AN1634" s="52"/>
    </row>
    <row r="1635" spans="1:40" x14ac:dyDescent="0.3">
      <c r="A1635" s="52">
        <v>1630</v>
      </c>
      <c r="B1635" s="52">
        <f>-bthan*500+(29+0.5)*bthan*1000/50</f>
        <v>495</v>
      </c>
      <c r="C1635" s="52">
        <f t="shared" si="186"/>
        <v>-150</v>
      </c>
      <c r="D1635" s="52">
        <f t="shared" si="187"/>
        <v>2200</v>
      </c>
      <c r="E1635" s="52">
        <f t="shared" si="188"/>
        <v>1</v>
      </c>
      <c r="F1635" s="52"/>
      <c r="G1635" s="52"/>
      <c r="H1635" s="52"/>
      <c r="I1635" s="52"/>
      <c r="J1635" s="52"/>
      <c r="K1635" s="52"/>
      <c r="L1635" s="52"/>
      <c r="M1635" s="52"/>
      <c r="N1635" s="52"/>
      <c r="O1635" s="52"/>
      <c r="P1635" s="52"/>
      <c r="Q1635" s="52"/>
      <c r="R1635" s="52"/>
      <c r="S1635" s="52"/>
      <c r="T1635" s="52"/>
      <c r="U1635" s="52"/>
      <c r="V1635" s="52"/>
      <c r="W1635" s="52"/>
      <c r="X1635" s="52"/>
      <c r="Y1635" s="52"/>
      <c r="Z1635" s="52"/>
      <c r="AA1635" s="52"/>
      <c r="AB1635" s="52"/>
      <c r="AC1635" s="52"/>
      <c r="AD1635" s="52"/>
      <c r="AE1635" s="52"/>
      <c r="AF1635" s="52"/>
      <c r="AG1635" s="52"/>
      <c r="AH1635" s="52"/>
      <c r="AI1635" s="52"/>
      <c r="AJ1635" s="52"/>
      <c r="AK1635" s="52"/>
      <c r="AL1635" s="52"/>
      <c r="AM1635" s="52"/>
      <c r="AN1635" s="52"/>
    </row>
    <row r="1636" spans="1:40" x14ac:dyDescent="0.3">
      <c r="A1636" s="52">
        <v>1631</v>
      </c>
      <c r="B1636" s="52">
        <f>-bthan*500+(30+0.5)*bthan*1000/50</f>
        <v>605</v>
      </c>
      <c r="C1636" s="52">
        <f t="shared" si="186"/>
        <v>-150</v>
      </c>
      <c r="D1636" s="52">
        <f t="shared" si="187"/>
        <v>2200</v>
      </c>
      <c r="E1636" s="52">
        <f t="shared" si="188"/>
        <v>1</v>
      </c>
      <c r="F1636" s="52"/>
      <c r="G1636" s="52"/>
      <c r="H1636" s="52"/>
      <c r="I1636" s="52"/>
      <c r="J1636" s="52"/>
      <c r="K1636" s="52"/>
      <c r="L1636" s="52"/>
      <c r="M1636" s="52"/>
      <c r="N1636" s="52"/>
      <c r="O1636" s="52"/>
      <c r="P1636" s="52"/>
      <c r="Q1636" s="52"/>
      <c r="R1636" s="52"/>
      <c r="S1636" s="52"/>
      <c r="T1636" s="52"/>
      <c r="U1636" s="52"/>
      <c r="V1636" s="52"/>
      <c r="W1636" s="52"/>
      <c r="X1636" s="52"/>
      <c r="Y1636" s="52"/>
      <c r="Z1636" s="52"/>
      <c r="AA1636" s="52"/>
      <c r="AB1636" s="52"/>
      <c r="AC1636" s="52"/>
      <c r="AD1636" s="52"/>
      <c r="AE1636" s="52"/>
      <c r="AF1636" s="52"/>
      <c r="AG1636" s="52"/>
      <c r="AH1636" s="52"/>
      <c r="AI1636" s="52"/>
      <c r="AJ1636" s="52"/>
      <c r="AK1636" s="52"/>
      <c r="AL1636" s="52"/>
      <c r="AM1636" s="52"/>
      <c r="AN1636" s="52"/>
    </row>
    <row r="1637" spans="1:40" x14ac:dyDescent="0.3">
      <c r="A1637" s="52">
        <v>1632</v>
      </c>
      <c r="B1637" s="52">
        <f>-bthan*500+(31+0.5)*bthan*1000/50</f>
        <v>715</v>
      </c>
      <c r="C1637" s="52">
        <f t="shared" si="186"/>
        <v>-150</v>
      </c>
      <c r="D1637" s="52">
        <f t="shared" si="187"/>
        <v>2200</v>
      </c>
      <c r="E1637" s="52">
        <f t="shared" si="188"/>
        <v>1</v>
      </c>
      <c r="F1637" s="52"/>
      <c r="G1637" s="52"/>
      <c r="H1637" s="52"/>
      <c r="I1637" s="52"/>
      <c r="J1637" s="52"/>
      <c r="K1637" s="52"/>
      <c r="L1637" s="52"/>
      <c r="M1637" s="52"/>
      <c r="N1637" s="52"/>
      <c r="O1637" s="52"/>
      <c r="P1637" s="52"/>
      <c r="Q1637" s="52"/>
      <c r="R1637" s="52"/>
      <c r="S1637" s="52"/>
      <c r="T1637" s="52"/>
      <c r="U1637" s="52"/>
      <c r="V1637" s="52"/>
      <c r="W1637" s="52"/>
      <c r="X1637" s="52"/>
      <c r="Y1637" s="52"/>
      <c r="Z1637" s="52"/>
      <c r="AA1637" s="52"/>
      <c r="AB1637" s="52"/>
      <c r="AC1637" s="52"/>
      <c r="AD1637" s="52"/>
      <c r="AE1637" s="52"/>
      <c r="AF1637" s="52"/>
      <c r="AG1637" s="52"/>
      <c r="AH1637" s="52"/>
      <c r="AI1637" s="52"/>
      <c r="AJ1637" s="52"/>
      <c r="AK1637" s="52"/>
      <c r="AL1637" s="52"/>
      <c r="AM1637" s="52"/>
      <c r="AN1637" s="52"/>
    </row>
    <row r="1638" spans="1:40" x14ac:dyDescent="0.3">
      <c r="A1638" s="52">
        <v>1633</v>
      </c>
      <c r="B1638" s="52">
        <f>-bthan*500+(32+0.5)*bthan*1000/50</f>
        <v>825</v>
      </c>
      <c r="C1638" s="52">
        <f t="shared" ref="C1638:C1655" si="189">-hthan*500+(32+0.5)*hthan*1000/80</f>
        <v>-150</v>
      </c>
      <c r="D1638" s="52">
        <f t="shared" si="187"/>
        <v>2200</v>
      </c>
      <c r="E1638" s="52">
        <f t="shared" si="188"/>
        <v>1</v>
      </c>
      <c r="F1638" s="52"/>
      <c r="G1638" s="52"/>
      <c r="H1638" s="52"/>
      <c r="I1638" s="52"/>
      <c r="J1638" s="52"/>
      <c r="K1638" s="52"/>
      <c r="L1638" s="52"/>
      <c r="M1638" s="52"/>
      <c r="N1638" s="52"/>
      <c r="O1638" s="52"/>
      <c r="P1638" s="52"/>
      <c r="Q1638" s="52"/>
      <c r="R1638" s="52"/>
      <c r="S1638" s="52"/>
      <c r="T1638" s="52"/>
      <c r="U1638" s="52"/>
      <c r="V1638" s="52"/>
      <c r="W1638" s="52"/>
      <c r="X1638" s="52"/>
      <c r="Y1638" s="52"/>
      <c r="Z1638" s="52"/>
      <c r="AA1638" s="52"/>
      <c r="AB1638" s="52"/>
      <c r="AC1638" s="52"/>
      <c r="AD1638" s="52"/>
      <c r="AE1638" s="52"/>
      <c r="AF1638" s="52"/>
      <c r="AG1638" s="52"/>
      <c r="AH1638" s="52"/>
      <c r="AI1638" s="52"/>
      <c r="AJ1638" s="52"/>
      <c r="AK1638" s="52"/>
      <c r="AL1638" s="52"/>
      <c r="AM1638" s="52"/>
      <c r="AN1638" s="52"/>
    </row>
    <row r="1639" spans="1:40" x14ac:dyDescent="0.3">
      <c r="A1639" s="52">
        <v>1634</v>
      </c>
      <c r="B1639" s="52">
        <f>-bthan*500+(33+0.5)*bthan*1000/50</f>
        <v>935</v>
      </c>
      <c r="C1639" s="52">
        <f t="shared" si="189"/>
        <v>-150</v>
      </c>
      <c r="D1639" s="52">
        <f t="shared" si="187"/>
        <v>2200</v>
      </c>
      <c r="E1639" s="52">
        <f t="shared" si="188"/>
        <v>1</v>
      </c>
      <c r="F1639" s="52"/>
      <c r="G1639" s="52"/>
      <c r="H1639" s="52"/>
      <c r="I1639" s="52"/>
      <c r="J1639" s="52"/>
      <c r="K1639" s="52"/>
      <c r="L1639" s="52"/>
      <c r="M1639" s="52"/>
      <c r="N1639" s="52"/>
      <c r="O1639" s="52"/>
      <c r="P1639" s="52"/>
      <c r="Q1639" s="52"/>
      <c r="R1639" s="52"/>
      <c r="S1639" s="52"/>
      <c r="T1639" s="52"/>
      <c r="U1639" s="52"/>
      <c r="V1639" s="52"/>
      <c r="W1639" s="52"/>
      <c r="X1639" s="52"/>
      <c r="Y1639" s="52"/>
      <c r="Z1639" s="52"/>
      <c r="AA1639" s="52"/>
      <c r="AB1639" s="52"/>
      <c r="AC1639" s="52"/>
      <c r="AD1639" s="52"/>
      <c r="AE1639" s="52"/>
      <c r="AF1639" s="52"/>
      <c r="AG1639" s="52"/>
      <c r="AH1639" s="52"/>
      <c r="AI1639" s="52"/>
      <c r="AJ1639" s="52"/>
      <c r="AK1639" s="52"/>
      <c r="AL1639" s="52"/>
      <c r="AM1639" s="52"/>
      <c r="AN1639" s="52"/>
    </row>
    <row r="1640" spans="1:40" x14ac:dyDescent="0.3">
      <c r="A1640" s="52">
        <v>1635</v>
      </c>
      <c r="B1640" s="52">
        <f>-bthan*500+(34+0.5)*bthan*1000/50</f>
        <v>1045</v>
      </c>
      <c r="C1640" s="52">
        <f t="shared" si="189"/>
        <v>-150</v>
      </c>
      <c r="D1640" s="52">
        <f t="shared" si="187"/>
        <v>2200</v>
      </c>
      <c r="E1640" s="52">
        <f t="shared" si="188"/>
        <v>1</v>
      </c>
      <c r="F1640" s="52"/>
      <c r="G1640" s="52"/>
      <c r="H1640" s="52"/>
      <c r="I1640" s="52"/>
      <c r="J1640" s="52"/>
      <c r="K1640" s="52"/>
      <c r="L1640" s="52"/>
      <c r="M1640" s="52"/>
      <c r="N1640" s="52"/>
      <c r="O1640" s="52"/>
      <c r="P1640" s="52"/>
      <c r="Q1640" s="52"/>
      <c r="R1640" s="52"/>
      <c r="S1640" s="52"/>
      <c r="T1640" s="52"/>
      <c r="U1640" s="52"/>
      <c r="V1640" s="52"/>
      <c r="W1640" s="52"/>
      <c r="X1640" s="52"/>
      <c r="Y1640" s="52"/>
      <c r="Z1640" s="52"/>
      <c r="AA1640" s="52"/>
      <c r="AB1640" s="52"/>
      <c r="AC1640" s="52"/>
      <c r="AD1640" s="52"/>
      <c r="AE1640" s="52"/>
      <c r="AF1640" s="52"/>
      <c r="AG1640" s="52"/>
      <c r="AH1640" s="52"/>
      <c r="AI1640" s="52"/>
      <c r="AJ1640" s="52"/>
      <c r="AK1640" s="52"/>
      <c r="AL1640" s="52"/>
      <c r="AM1640" s="52"/>
      <c r="AN1640" s="52"/>
    </row>
    <row r="1641" spans="1:40" x14ac:dyDescent="0.3">
      <c r="A1641" s="52">
        <v>1636</v>
      </c>
      <c r="B1641" s="52">
        <f>-bthan*500+(35+0.5)*bthan*1000/50</f>
        <v>1155</v>
      </c>
      <c r="C1641" s="52">
        <f t="shared" si="189"/>
        <v>-150</v>
      </c>
      <c r="D1641" s="52">
        <f t="shared" si="187"/>
        <v>2200</v>
      </c>
      <c r="E1641" s="52">
        <f t="shared" si="188"/>
        <v>1</v>
      </c>
      <c r="F1641" s="52"/>
      <c r="G1641" s="52"/>
      <c r="H1641" s="52"/>
      <c r="I1641" s="52"/>
      <c r="J1641" s="52"/>
      <c r="K1641" s="52"/>
      <c r="L1641" s="52"/>
      <c r="M1641" s="52"/>
      <c r="N1641" s="52"/>
      <c r="O1641" s="52"/>
      <c r="P1641" s="52"/>
      <c r="Q1641" s="52"/>
      <c r="R1641" s="52"/>
      <c r="S1641" s="52"/>
      <c r="T1641" s="52"/>
      <c r="U1641" s="52"/>
      <c r="V1641" s="52"/>
      <c r="W1641" s="52"/>
      <c r="X1641" s="52"/>
      <c r="Y1641" s="52"/>
      <c r="Z1641" s="52"/>
      <c r="AA1641" s="52"/>
      <c r="AB1641" s="52"/>
      <c r="AC1641" s="52"/>
      <c r="AD1641" s="52"/>
      <c r="AE1641" s="52"/>
      <c r="AF1641" s="52"/>
      <c r="AG1641" s="52"/>
      <c r="AH1641" s="52"/>
      <c r="AI1641" s="52"/>
      <c r="AJ1641" s="52"/>
      <c r="AK1641" s="52"/>
      <c r="AL1641" s="52"/>
      <c r="AM1641" s="52"/>
      <c r="AN1641" s="52"/>
    </row>
    <row r="1642" spans="1:40" x14ac:dyDescent="0.3">
      <c r="A1642" s="52">
        <v>1637</v>
      </c>
      <c r="B1642" s="52">
        <f>-bthan*500+(36+0.5)*bthan*1000/50</f>
        <v>1265</v>
      </c>
      <c r="C1642" s="52">
        <f t="shared" si="189"/>
        <v>-150</v>
      </c>
      <c r="D1642" s="52">
        <f t="shared" si="187"/>
        <v>2200</v>
      </c>
      <c r="E1642" s="52">
        <f t="shared" si="188"/>
        <v>1</v>
      </c>
      <c r="F1642" s="52"/>
      <c r="G1642" s="52"/>
      <c r="H1642" s="52"/>
      <c r="I1642" s="52"/>
      <c r="J1642" s="52"/>
      <c r="K1642" s="52"/>
      <c r="L1642" s="52"/>
      <c r="M1642" s="52"/>
      <c r="N1642" s="52"/>
      <c r="O1642" s="52"/>
      <c r="P1642" s="52"/>
      <c r="Q1642" s="52"/>
      <c r="R1642" s="52"/>
      <c r="S1642" s="52"/>
      <c r="T1642" s="52"/>
      <c r="U1642" s="52"/>
      <c r="V1642" s="52"/>
      <c r="W1642" s="52"/>
      <c r="X1642" s="52"/>
      <c r="Y1642" s="52"/>
      <c r="Z1642" s="52"/>
      <c r="AA1642" s="52"/>
      <c r="AB1642" s="52"/>
      <c r="AC1642" s="52"/>
      <c r="AD1642" s="52"/>
      <c r="AE1642" s="52"/>
      <c r="AF1642" s="52"/>
      <c r="AG1642" s="52"/>
      <c r="AH1642" s="52"/>
      <c r="AI1642" s="52"/>
      <c r="AJ1642" s="52"/>
      <c r="AK1642" s="52"/>
      <c r="AL1642" s="52"/>
      <c r="AM1642" s="52"/>
      <c r="AN1642" s="52"/>
    </row>
    <row r="1643" spans="1:40" x14ac:dyDescent="0.3">
      <c r="A1643" s="52">
        <v>1638</v>
      </c>
      <c r="B1643" s="52">
        <f>-bthan*500+(37+0.5)*bthan*1000/50</f>
        <v>1375</v>
      </c>
      <c r="C1643" s="52">
        <f t="shared" si="189"/>
        <v>-150</v>
      </c>
      <c r="D1643" s="52">
        <f t="shared" si="187"/>
        <v>2200</v>
      </c>
      <c r="E1643" s="52">
        <f t="shared" si="188"/>
        <v>1</v>
      </c>
      <c r="F1643" s="52"/>
      <c r="G1643" s="52"/>
      <c r="H1643" s="52"/>
      <c r="I1643" s="52"/>
      <c r="J1643" s="52"/>
      <c r="K1643" s="52"/>
      <c r="L1643" s="52"/>
      <c r="M1643" s="52"/>
      <c r="N1643" s="52"/>
      <c r="O1643" s="52"/>
      <c r="P1643" s="52"/>
      <c r="Q1643" s="52"/>
      <c r="R1643" s="52"/>
      <c r="S1643" s="52"/>
      <c r="T1643" s="52"/>
      <c r="U1643" s="52"/>
      <c r="V1643" s="52"/>
      <c r="W1643" s="52"/>
      <c r="X1643" s="52"/>
      <c r="Y1643" s="52"/>
      <c r="Z1643" s="52"/>
      <c r="AA1643" s="52"/>
      <c r="AB1643" s="52"/>
      <c r="AC1643" s="52"/>
      <c r="AD1643" s="52"/>
      <c r="AE1643" s="52"/>
      <c r="AF1643" s="52"/>
      <c r="AG1643" s="52"/>
      <c r="AH1643" s="52"/>
      <c r="AI1643" s="52"/>
      <c r="AJ1643" s="52"/>
      <c r="AK1643" s="52"/>
      <c r="AL1643" s="52"/>
      <c r="AM1643" s="52"/>
      <c r="AN1643" s="52"/>
    </row>
    <row r="1644" spans="1:40" x14ac:dyDescent="0.3">
      <c r="A1644" s="52">
        <v>1639</v>
      </c>
      <c r="B1644" s="52">
        <f>-bthan*500+(38+0.5)*bthan*1000/50</f>
        <v>1485</v>
      </c>
      <c r="C1644" s="52">
        <f t="shared" si="189"/>
        <v>-150</v>
      </c>
      <c r="D1644" s="52">
        <f t="shared" si="187"/>
        <v>2200</v>
      </c>
      <c r="E1644" s="52">
        <f t="shared" si="188"/>
        <v>1</v>
      </c>
      <c r="F1644" s="52"/>
      <c r="G1644" s="52"/>
      <c r="H1644" s="52"/>
      <c r="I1644" s="52"/>
      <c r="J1644" s="52"/>
      <c r="K1644" s="52"/>
      <c r="L1644" s="52"/>
      <c r="M1644" s="52"/>
      <c r="N1644" s="52"/>
      <c r="O1644" s="52"/>
      <c r="P1644" s="52"/>
      <c r="Q1644" s="52"/>
      <c r="R1644" s="52"/>
      <c r="S1644" s="52"/>
      <c r="T1644" s="52"/>
      <c r="U1644" s="52"/>
      <c r="V1644" s="52"/>
      <c r="W1644" s="52"/>
      <c r="X1644" s="52"/>
      <c r="Y1644" s="52"/>
      <c r="Z1644" s="52"/>
      <c r="AA1644" s="52"/>
      <c r="AB1644" s="52"/>
      <c r="AC1644" s="52"/>
      <c r="AD1644" s="52"/>
      <c r="AE1644" s="52"/>
      <c r="AF1644" s="52"/>
      <c r="AG1644" s="52"/>
      <c r="AH1644" s="52"/>
      <c r="AI1644" s="52"/>
      <c r="AJ1644" s="52"/>
      <c r="AK1644" s="52"/>
      <c r="AL1644" s="52"/>
      <c r="AM1644" s="52"/>
      <c r="AN1644" s="52"/>
    </row>
    <row r="1645" spans="1:40" x14ac:dyDescent="0.3">
      <c r="A1645" s="52">
        <v>1640</v>
      </c>
      <c r="B1645" s="52">
        <f>-bthan*500+(39+0.5)*bthan*1000/50</f>
        <v>1595</v>
      </c>
      <c r="C1645" s="52">
        <f t="shared" si="189"/>
        <v>-150</v>
      </c>
      <c r="D1645" s="52">
        <f t="shared" si="187"/>
        <v>2200</v>
      </c>
      <c r="E1645" s="52">
        <f t="shared" si="188"/>
        <v>1</v>
      </c>
      <c r="F1645" s="52"/>
      <c r="G1645" s="52"/>
      <c r="H1645" s="52"/>
      <c r="I1645" s="52"/>
      <c r="J1645" s="52"/>
      <c r="K1645" s="52"/>
      <c r="L1645" s="52"/>
      <c r="M1645" s="52"/>
      <c r="N1645" s="52"/>
      <c r="O1645" s="52"/>
      <c r="P1645" s="52"/>
      <c r="Q1645" s="52"/>
      <c r="R1645" s="52"/>
      <c r="S1645" s="52"/>
      <c r="T1645" s="52"/>
      <c r="U1645" s="52"/>
      <c r="V1645" s="52"/>
      <c r="W1645" s="52"/>
      <c r="X1645" s="52"/>
      <c r="Y1645" s="52"/>
      <c r="Z1645" s="52"/>
      <c r="AA1645" s="52"/>
      <c r="AB1645" s="52"/>
      <c r="AC1645" s="52"/>
      <c r="AD1645" s="52"/>
      <c r="AE1645" s="52"/>
      <c r="AF1645" s="52"/>
      <c r="AG1645" s="52"/>
      <c r="AH1645" s="52"/>
      <c r="AI1645" s="52"/>
      <c r="AJ1645" s="52"/>
      <c r="AK1645" s="52"/>
      <c r="AL1645" s="52"/>
      <c r="AM1645" s="52"/>
      <c r="AN1645" s="52"/>
    </row>
    <row r="1646" spans="1:40" x14ac:dyDescent="0.3">
      <c r="A1646" s="52">
        <v>1641</v>
      </c>
      <c r="B1646" s="52">
        <f>-bthan*500+(40+0.5)*bthan*1000/50</f>
        <v>1705</v>
      </c>
      <c r="C1646" s="52">
        <f t="shared" si="189"/>
        <v>-150</v>
      </c>
      <c r="D1646" s="52">
        <f t="shared" si="187"/>
        <v>2200</v>
      </c>
      <c r="E1646" s="52">
        <f t="shared" si="188"/>
        <v>1</v>
      </c>
      <c r="F1646" s="52"/>
      <c r="G1646" s="52"/>
      <c r="H1646" s="52"/>
      <c r="I1646" s="52"/>
      <c r="J1646" s="52"/>
      <c r="K1646" s="52"/>
      <c r="L1646" s="52"/>
      <c r="M1646" s="52"/>
      <c r="N1646" s="52"/>
      <c r="O1646" s="52"/>
      <c r="P1646" s="52"/>
      <c r="Q1646" s="52"/>
      <c r="R1646" s="52"/>
      <c r="S1646" s="52"/>
      <c r="T1646" s="52"/>
      <c r="U1646" s="52"/>
      <c r="V1646" s="52"/>
      <c r="W1646" s="52"/>
      <c r="X1646" s="52"/>
      <c r="Y1646" s="52"/>
      <c r="Z1646" s="52"/>
      <c r="AA1646" s="52"/>
      <c r="AB1646" s="52"/>
      <c r="AC1646" s="52"/>
      <c r="AD1646" s="52"/>
      <c r="AE1646" s="52"/>
      <c r="AF1646" s="52"/>
      <c r="AG1646" s="52"/>
      <c r="AH1646" s="52"/>
      <c r="AI1646" s="52"/>
      <c r="AJ1646" s="52"/>
      <c r="AK1646" s="52"/>
      <c r="AL1646" s="52"/>
      <c r="AM1646" s="52"/>
      <c r="AN1646" s="52"/>
    </row>
    <row r="1647" spans="1:40" x14ac:dyDescent="0.3">
      <c r="A1647" s="52">
        <v>1642</v>
      </c>
      <c r="B1647" s="52">
        <f>-bthan*500+(41+0.5)*bthan*1000/50</f>
        <v>1815</v>
      </c>
      <c r="C1647" s="52">
        <f t="shared" si="189"/>
        <v>-150</v>
      </c>
      <c r="D1647" s="52">
        <f t="shared" si="187"/>
        <v>2200</v>
      </c>
      <c r="E1647" s="52">
        <f t="shared" si="188"/>
        <v>1</v>
      </c>
      <c r="F1647" s="52"/>
      <c r="G1647" s="52"/>
      <c r="H1647" s="52"/>
      <c r="I1647" s="52"/>
      <c r="J1647" s="52"/>
      <c r="K1647" s="52"/>
      <c r="L1647" s="52"/>
      <c r="M1647" s="52"/>
      <c r="N1647" s="52"/>
      <c r="O1647" s="52"/>
      <c r="P1647" s="52"/>
      <c r="Q1647" s="52"/>
      <c r="R1647" s="52"/>
      <c r="S1647" s="52"/>
      <c r="T1647" s="52"/>
      <c r="U1647" s="52"/>
      <c r="V1647" s="52"/>
      <c r="W1647" s="52"/>
      <c r="X1647" s="52"/>
      <c r="Y1647" s="52"/>
      <c r="Z1647" s="52"/>
      <c r="AA1647" s="52"/>
      <c r="AB1647" s="52"/>
      <c r="AC1647" s="52"/>
      <c r="AD1647" s="52"/>
      <c r="AE1647" s="52"/>
      <c r="AF1647" s="52"/>
      <c r="AG1647" s="52"/>
      <c r="AH1647" s="52"/>
      <c r="AI1647" s="52"/>
      <c r="AJ1647" s="52"/>
      <c r="AK1647" s="52"/>
      <c r="AL1647" s="52"/>
      <c r="AM1647" s="52"/>
      <c r="AN1647" s="52"/>
    </row>
    <row r="1648" spans="1:40" x14ac:dyDescent="0.3">
      <c r="A1648" s="52">
        <v>1643</v>
      </c>
      <c r="B1648" s="52">
        <f>-bthan*500+(42+0.5)*bthan*1000/50</f>
        <v>1925</v>
      </c>
      <c r="C1648" s="52">
        <f t="shared" si="189"/>
        <v>-150</v>
      </c>
      <c r="D1648" s="52">
        <f t="shared" si="187"/>
        <v>2200</v>
      </c>
      <c r="E1648" s="52">
        <f t="shared" si="188"/>
        <v>1</v>
      </c>
      <c r="F1648" s="52"/>
      <c r="G1648" s="52"/>
      <c r="H1648" s="52"/>
      <c r="I1648" s="52"/>
      <c r="J1648" s="52"/>
      <c r="K1648" s="52"/>
      <c r="L1648" s="52"/>
      <c r="M1648" s="52"/>
      <c r="N1648" s="52"/>
      <c r="O1648" s="52"/>
      <c r="P1648" s="52"/>
      <c r="Q1648" s="52"/>
      <c r="R1648" s="52"/>
      <c r="S1648" s="52"/>
      <c r="T1648" s="52"/>
      <c r="U1648" s="52"/>
      <c r="V1648" s="52"/>
      <c r="W1648" s="52"/>
      <c r="X1648" s="52"/>
      <c r="Y1648" s="52"/>
      <c r="Z1648" s="52"/>
      <c r="AA1648" s="52"/>
      <c r="AB1648" s="52"/>
      <c r="AC1648" s="52"/>
      <c r="AD1648" s="52"/>
      <c r="AE1648" s="52"/>
      <c r="AF1648" s="52"/>
      <c r="AG1648" s="52"/>
      <c r="AH1648" s="52"/>
      <c r="AI1648" s="52"/>
      <c r="AJ1648" s="52"/>
      <c r="AK1648" s="52"/>
      <c r="AL1648" s="52"/>
      <c r="AM1648" s="52"/>
      <c r="AN1648" s="52"/>
    </row>
    <row r="1649" spans="1:40" x14ac:dyDescent="0.3">
      <c r="A1649" s="52">
        <v>1644</v>
      </c>
      <c r="B1649" s="52">
        <f>-bthan*500+(43+0.5)*bthan*1000/50</f>
        <v>2035</v>
      </c>
      <c r="C1649" s="52">
        <f t="shared" si="189"/>
        <v>-150</v>
      </c>
      <c r="D1649" s="52">
        <f t="shared" si="187"/>
        <v>2200</v>
      </c>
      <c r="E1649" s="52">
        <f t="shared" si="188"/>
        <v>1</v>
      </c>
      <c r="F1649" s="52"/>
      <c r="G1649" s="52"/>
      <c r="H1649" s="52"/>
      <c r="I1649" s="52"/>
      <c r="J1649" s="52"/>
      <c r="K1649" s="52"/>
      <c r="L1649" s="52"/>
      <c r="M1649" s="52"/>
      <c r="N1649" s="52"/>
      <c r="O1649" s="52"/>
      <c r="P1649" s="52"/>
      <c r="Q1649" s="52"/>
      <c r="R1649" s="52"/>
      <c r="S1649" s="52"/>
      <c r="T1649" s="52"/>
      <c r="U1649" s="52"/>
      <c r="V1649" s="52"/>
      <c r="W1649" s="52"/>
      <c r="X1649" s="52"/>
      <c r="Y1649" s="52"/>
      <c r="Z1649" s="52"/>
      <c r="AA1649" s="52"/>
      <c r="AB1649" s="52"/>
      <c r="AC1649" s="52"/>
      <c r="AD1649" s="52"/>
      <c r="AE1649" s="52"/>
      <c r="AF1649" s="52"/>
      <c r="AG1649" s="52"/>
      <c r="AH1649" s="52"/>
      <c r="AI1649" s="52"/>
      <c r="AJ1649" s="52"/>
      <c r="AK1649" s="52"/>
      <c r="AL1649" s="52"/>
      <c r="AM1649" s="52"/>
      <c r="AN1649" s="52"/>
    </row>
    <row r="1650" spans="1:40" x14ac:dyDescent="0.3">
      <c r="A1650" s="52">
        <v>1645</v>
      </c>
      <c r="B1650" s="52">
        <f>-bthan*500+(44+0.5)*bthan*1000/50</f>
        <v>2145</v>
      </c>
      <c r="C1650" s="52">
        <f t="shared" si="189"/>
        <v>-150</v>
      </c>
      <c r="D1650" s="52">
        <f t="shared" si="187"/>
        <v>2200</v>
      </c>
      <c r="E1650" s="52">
        <f t="shared" si="188"/>
        <v>1</v>
      </c>
      <c r="F1650" s="52"/>
      <c r="G1650" s="52"/>
      <c r="H1650" s="52"/>
      <c r="I1650" s="52"/>
      <c r="J1650" s="52"/>
      <c r="K1650" s="52"/>
      <c r="L1650" s="52"/>
      <c r="M1650" s="52"/>
      <c r="N1650" s="52"/>
      <c r="O1650" s="52"/>
      <c r="P1650" s="52"/>
      <c r="Q1650" s="52"/>
      <c r="R1650" s="52"/>
      <c r="S1650" s="52"/>
      <c r="T1650" s="52"/>
      <c r="U1650" s="52"/>
      <c r="V1650" s="52"/>
      <c r="W1650" s="52"/>
      <c r="X1650" s="52"/>
      <c r="Y1650" s="52"/>
      <c r="Z1650" s="52"/>
      <c r="AA1650" s="52"/>
      <c r="AB1650" s="52"/>
      <c r="AC1650" s="52"/>
      <c r="AD1650" s="52"/>
      <c r="AE1650" s="52"/>
      <c r="AF1650" s="52"/>
      <c r="AG1650" s="52"/>
      <c r="AH1650" s="52"/>
      <c r="AI1650" s="52"/>
      <c r="AJ1650" s="52"/>
      <c r="AK1650" s="52"/>
      <c r="AL1650" s="52"/>
      <c r="AM1650" s="52"/>
      <c r="AN1650" s="52"/>
    </row>
    <row r="1651" spans="1:40" x14ac:dyDescent="0.3">
      <c r="A1651" s="52">
        <v>1646</v>
      </c>
      <c r="B1651" s="52">
        <f>-bthan*500+(45+0.5)*bthan*1000/50</f>
        <v>2255</v>
      </c>
      <c r="C1651" s="52">
        <f t="shared" si="189"/>
        <v>-150</v>
      </c>
      <c r="D1651" s="52">
        <f t="shared" si="187"/>
        <v>2200</v>
      </c>
      <c r="E1651" s="52">
        <f t="shared" si="188"/>
        <v>1</v>
      </c>
      <c r="F1651" s="52"/>
      <c r="G1651" s="52"/>
      <c r="H1651" s="52"/>
      <c r="I1651" s="52"/>
      <c r="J1651" s="52"/>
      <c r="K1651" s="52"/>
      <c r="L1651" s="52"/>
      <c r="M1651" s="52"/>
      <c r="N1651" s="52"/>
      <c r="O1651" s="52"/>
      <c r="P1651" s="52"/>
      <c r="Q1651" s="52"/>
      <c r="R1651" s="52"/>
      <c r="S1651" s="52"/>
      <c r="T1651" s="52"/>
      <c r="U1651" s="52"/>
      <c r="V1651" s="52"/>
      <c r="W1651" s="52"/>
      <c r="X1651" s="52"/>
      <c r="Y1651" s="52"/>
      <c r="Z1651" s="52"/>
      <c r="AA1651" s="52"/>
      <c r="AB1651" s="52"/>
      <c r="AC1651" s="52"/>
      <c r="AD1651" s="52"/>
      <c r="AE1651" s="52"/>
      <c r="AF1651" s="52"/>
      <c r="AG1651" s="52"/>
      <c r="AH1651" s="52"/>
      <c r="AI1651" s="52"/>
      <c r="AJ1651" s="52"/>
      <c r="AK1651" s="52"/>
      <c r="AL1651" s="52"/>
      <c r="AM1651" s="52"/>
      <c r="AN1651" s="52"/>
    </row>
    <row r="1652" spans="1:40" x14ac:dyDescent="0.3">
      <c r="A1652" s="52">
        <v>1647</v>
      </c>
      <c r="B1652" s="52">
        <f>-bthan*500+(46+0.5)*bthan*1000/50</f>
        <v>2365</v>
      </c>
      <c r="C1652" s="52">
        <f t="shared" si="189"/>
        <v>-150</v>
      </c>
      <c r="D1652" s="52">
        <f t="shared" si="187"/>
        <v>2200</v>
      </c>
      <c r="E1652" s="52">
        <f t="shared" si="188"/>
        <v>1</v>
      </c>
      <c r="F1652" s="52"/>
      <c r="G1652" s="52"/>
      <c r="H1652" s="52"/>
      <c r="I1652" s="52"/>
      <c r="J1652" s="52"/>
      <c r="K1652" s="52"/>
      <c r="L1652" s="52"/>
      <c r="M1652" s="52"/>
      <c r="N1652" s="52"/>
      <c r="O1652" s="52"/>
      <c r="P1652" s="52"/>
      <c r="Q1652" s="52"/>
      <c r="R1652" s="52"/>
      <c r="S1652" s="52"/>
      <c r="T1652" s="52"/>
      <c r="U1652" s="52"/>
      <c r="V1652" s="52"/>
      <c r="W1652" s="52"/>
      <c r="X1652" s="52"/>
      <c r="Y1652" s="52"/>
      <c r="Z1652" s="52"/>
      <c r="AA1652" s="52"/>
      <c r="AB1652" s="52"/>
      <c r="AC1652" s="52"/>
      <c r="AD1652" s="52"/>
      <c r="AE1652" s="52"/>
      <c r="AF1652" s="52"/>
      <c r="AG1652" s="52"/>
      <c r="AH1652" s="52"/>
      <c r="AI1652" s="52"/>
      <c r="AJ1652" s="52"/>
      <c r="AK1652" s="52"/>
      <c r="AL1652" s="52"/>
      <c r="AM1652" s="52"/>
      <c r="AN1652" s="52"/>
    </row>
    <row r="1653" spans="1:40" x14ac:dyDescent="0.3">
      <c r="A1653" s="52">
        <v>1648</v>
      </c>
      <c r="B1653" s="52">
        <f>-bthan*500+(47+0.5)*bthan*1000/50</f>
        <v>2475</v>
      </c>
      <c r="C1653" s="52">
        <f t="shared" si="189"/>
        <v>-150</v>
      </c>
      <c r="D1653" s="52">
        <f t="shared" si="187"/>
        <v>2200</v>
      </c>
      <c r="E1653" s="52">
        <f t="shared" si="188"/>
        <v>1</v>
      </c>
      <c r="F1653" s="52"/>
      <c r="G1653" s="52"/>
      <c r="H1653" s="52"/>
      <c r="I1653" s="52"/>
      <c r="J1653" s="52"/>
      <c r="K1653" s="52"/>
      <c r="L1653" s="52"/>
      <c r="M1653" s="52"/>
      <c r="N1653" s="52"/>
      <c r="O1653" s="52"/>
      <c r="P1653" s="52"/>
      <c r="Q1653" s="52"/>
      <c r="R1653" s="52"/>
      <c r="S1653" s="52"/>
      <c r="T1653" s="52"/>
      <c r="U1653" s="52"/>
      <c r="V1653" s="52"/>
      <c r="W1653" s="52"/>
      <c r="X1653" s="52"/>
      <c r="Y1653" s="52"/>
      <c r="Z1653" s="52"/>
      <c r="AA1653" s="52"/>
      <c r="AB1653" s="52"/>
      <c r="AC1653" s="52"/>
      <c r="AD1653" s="52"/>
      <c r="AE1653" s="52"/>
      <c r="AF1653" s="52"/>
      <c r="AG1653" s="52"/>
      <c r="AH1653" s="52"/>
      <c r="AI1653" s="52"/>
      <c r="AJ1653" s="52"/>
      <c r="AK1653" s="52"/>
      <c r="AL1653" s="52"/>
      <c r="AM1653" s="52"/>
      <c r="AN1653" s="52"/>
    </row>
    <row r="1654" spans="1:40" x14ac:dyDescent="0.3">
      <c r="A1654" s="52">
        <v>1649</v>
      </c>
      <c r="B1654" s="52">
        <f>-bthan*500+(48+0.5)*bthan*1000/50</f>
        <v>2585</v>
      </c>
      <c r="C1654" s="52">
        <f t="shared" si="189"/>
        <v>-150</v>
      </c>
      <c r="D1654" s="52">
        <f t="shared" si="187"/>
        <v>2200</v>
      </c>
      <c r="E1654" s="52">
        <f t="shared" si="188"/>
        <v>1</v>
      </c>
      <c r="F1654" s="52"/>
      <c r="G1654" s="52"/>
      <c r="H1654" s="52"/>
      <c r="I1654" s="52"/>
      <c r="J1654" s="52"/>
      <c r="K1654" s="52"/>
      <c r="L1654" s="52"/>
      <c r="M1654" s="52"/>
      <c r="N1654" s="52"/>
      <c r="O1654" s="52"/>
      <c r="P1654" s="52"/>
      <c r="Q1654" s="52"/>
      <c r="R1654" s="52"/>
      <c r="S1654" s="52"/>
      <c r="T1654" s="52"/>
      <c r="U1654" s="52"/>
      <c r="V1654" s="52"/>
      <c r="W1654" s="52"/>
      <c r="X1654" s="52"/>
      <c r="Y1654" s="52"/>
      <c r="Z1654" s="52"/>
      <c r="AA1654" s="52"/>
      <c r="AB1654" s="52"/>
      <c r="AC1654" s="52"/>
      <c r="AD1654" s="52"/>
      <c r="AE1654" s="52"/>
      <c r="AF1654" s="52"/>
      <c r="AG1654" s="52"/>
      <c r="AH1654" s="52"/>
      <c r="AI1654" s="52"/>
      <c r="AJ1654" s="52"/>
      <c r="AK1654" s="52"/>
      <c r="AL1654" s="52"/>
      <c r="AM1654" s="52"/>
      <c r="AN1654" s="52"/>
    </row>
    <row r="1655" spans="1:40" x14ac:dyDescent="0.3">
      <c r="A1655" s="52">
        <v>1650</v>
      </c>
      <c r="B1655" s="52">
        <f>-bthan*500+(49+0.5)*bthan*1000/50</f>
        <v>2695</v>
      </c>
      <c r="C1655" s="52">
        <f t="shared" si="189"/>
        <v>-150</v>
      </c>
      <c r="D1655" s="52">
        <f t="shared" si="187"/>
        <v>2200</v>
      </c>
      <c r="E1655" s="52">
        <f t="shared" si="188"/>
        <v>1</v>
      </c>
      <c r="F1655" s="52"/>
      <c r="G1655" s="52"/>
      <c r="H1655" s="52"/>
      <c r="I1655" s="52"/>
      <c r="J1655" s="52"/>
      <c r="K1655" s="52"/>
      <c r="L1655" s="52"/>
      <c r="M1655" s="52"/>
      <c r="N1655" s="52"/>
      <c r="O1655" s="52"/>
      <c r="P1655" s="52"/>
      <c r="Q1655" s="52"/>
      <c r="R1655" s="52"/>
      <c r="S1655" s="52"/>
      <c r="T1655" s="52"/>
      <c r="U1655" s="52"/>
      <c r="V1655" s="52"/>
      <c r="W1655" s="52"/>
      <c r="X1655" s="52"/>
      <c r="Y1655" s="52"/>
      <c r="Z1655" s="52"/>
      <c r="AA1655" s="52"/>
      <c r="AB1655" s="52"/>
      <c r="AC1655" s="52"/>
      <c r="AD1655" s="52"/>
      <c r="AE1655" s="52"/>
      <c r="AF1655" s="52"/>
      <c r="AG1655" s="52"/>
      <c r="AH1655" s="52"/>
      <c r="AI1655" s="52"/>
      <c r="AJ1655" s="52"/>
      <c r="AK1655" s="52"/>
      <c r="AL1655" s="52"/>
      <c r="AM1655" s="52"/>
      <c r="AN1655" s="52"/>
    </row>
    <row r="1656" spans="1:40" x14ac:dyDescent="0.3">
      <c r="A1656" s="52">
        <v>1651</v>
      </c>
      <c r="B1656" s="52">
        <f>-bthan*500+(0+0.5)*bthan*1000/50</f>
        <v>-2695</v>
      </c>
      <c r="C1656" s="52">
        <f t="shared" ref="C1656:C1687" si="190">-hthan*500+(33+0.5)*hthan*1000/80</f>
        <v>-130</v>
      </c>
      <c r="D1656" s="52">
        <f t="shared" si="187"/>
        <v>2200</v>
      </c>
      <c r="E1656" s="52">
        <f t="shared" si="188"/>
        <v>1</v>
      </c>
      <c r="F1656" s="52"/>
      <c r="G1656" s="52"/>
      <c r="H1656" s="52"/>
      <c r="I1656" s="52"/>
      <c r="J1656" s="52"/>
      <c r="K1656" s="52"/>
      <c r="L1656" s="52"/>
      <c r="M1656" s="52"/>
      <c r="N1656" s="52"/>
      <c r="O1656" s="52"/>
      <c r="P1656" s="52"/>
      <c r="Q1656" s="52"/>
      <c r="R1656" s="52"/>
      <c r="S1656" s="52"/>
      <c r="T1656" s="52"/>
      <c r="U1656" s="52"/>
      <c r="V1656" s="52"/>
      <c r="W1656" s="52"/>
      <c r="X1656" s="52"/>
      <c r="Y1656" s="52"/>
      <c r="Z1656" s="52"/>
      <c r="AA1656" s="52"/>
      <c r="AB1656" s="52"/>
      <c r="AC1656" s="52"/>
      <c r="AD1656" s="52"/>
      <c r="AE1656" s="52"/>
      <c r="AF1656" s="52"/>
      <c r="AG1656" s="52"/>
      <c r="AH1656" s="52"/>
      <c r="AI1656" s="52"/>
      <c r="AJ1656" s="52"/>
      <c r="AK1656" s="52"/>
      <c r="AL1656" s="52"/>
      <c r="AM1656" s="52"/>
      <c r="AN1656" s="52"/>
    </row>
    <row r="1657" spans="1:40" x14ac:dyDescent="0.3">
      <c r="A1657" s="52">
        <v>1652</v>
      </c>
      <c r="B1657" s="52">
        <f>-bthan*500+(1+0.5)*bthan*1000/50</f>
        <v>-2585</v>
      </c>
      <c r="C1657" s="52">
        <f t="shared" si="190"/>
        <v>-130</v>
      </c>
      <c r="D1657" s="52">
        <f t="shared" si="187"/>
        <v>2200</v>
      </c>
      <c r="E1657" s="52">
        <f t="shared" si="188"/>
        <v>1</v>
      </c>
      <c r="F1657" s="52"/>
      <c r="G1657" s="52"/>
      <c r="H1657" s="52"/>
      <c r="I1657" s="52"/>
      <c r="J1657" s="52"/>
      <c r="K1657" s="52"/>
      <c r="L1657" s="52"/>
      <c r="M1657" s="52"/>
      <c r="N1657" s="52"/>
      <c r="O1657" s="52"/>
      <c r="P1657" s="52"/>
      <c r="Q1657" s="52"/>
      <c r="R1657" s="52"/>
      <c r="S1657" s="52"/>
      <c r="T1657" s="52"/>
      <c r="U1657" s="52"/>
      <c r="V1657" s="52"/>
      <c r="W1657" s="52"/>
      <c r="X1657" s="52"/>
      <c r="Y1657" s="52"/>
      <c r="Z1657" s="52"/>
      <c r="AA1657" s="52"/>
      <c r="AB1657" s="52"/>
      <c r="AC1657" s="52"/>
      <c r="AD1657" s="52"/>
      <c r="AE1657" s="52"/>
      <c r="AF1657" s="52"/>
      <c r="AG1657" s="52"/>
      <c r="AH1657" s="52"/>
      <c r="AI1657" s="52"/>
      <c r="AJ1657" s="52"/>
      <c r="AK1657" s="52"/>
      <c r="AL1657" s="52"/>
      <c r="AM1657" s="52"/>
      <c r="AN1657" s="52"/>
    </row>
    <row r="1658" spans="1:40" x14ac:dyDescent="0.3">
      <c r="A1658" s="52">
        <v>1653</v>
      </c>
      <c r="B1658" s="52">
        <f>-bthan*500+(2+0.5)*bthan*1000/50</f>
        <v>-2475</v>
      </c>
      <c r="C1658" s="52">
        <f t="shared" si="190"/>
        <v>-130</v>
      </c>
      <c r="D1658" s="52">
        <f t="shared" si="187"/>
        <v>2200</v>
      </c>
      <c r="E1658" s="52">
        <f t="shared" si="188"/>
        <v>1</v>
      </c>
      <c r="F1658" s="52"/>
      <c r="G1658" s="52"/>
      <c r="H1658" s="52"/>
      <c r="I1658" s="52"/>
      <c r="J1658" s="52"/>
      <c r="K1658" s="52"/>
      <c r="L1658" s="52"/>
      <c r="M1658" s="52"/>
      <c r="N1658" s="52"/>
      <c r="O1658" s="52"/>
      <c r="P1658" s="52"/>
      <c r="Q1658" s="52"/>
      <c r="R1658" s="52"/>
      <c r="S1658" s="52"/>
      <c r="T1658" s="52"/>
      <c r="U1658" s="52"/>
      <c r="V1658" s="52"/>
      <c r="W1658" s="52"/>
      <c r="X1658" s="52"/>
      <c r="Y1658" s="52"/>
      <c r="Z1658" s="52"/>
      <c r="AA1658" s="52"/>
      <c r="AB1658" s="52"/>
      <c r="AC1658" s="52"/>
      <c r="AD1658" s="52"/>
      <c r="AE1658" s="52"/>
      <c r="AF1658" s="52"/>
      <c r="AG1658" s="52"/>
      <c r="AH1658" s="52"/>
      <c r="AI1658" s="52"/>
      <c r="AJ1658" s="52"/>
      <c r="AK1658" s="52"/>
      <c r="AL1658" s="52"/>
      <c r="AM1658" s="52"/>
      <c r="AN1658" s="52"/>
    </row>
    <row r="1659" spans="1:40" x14ac:dyDescent="0.3">
      <c r="A1659" s="52">
        <v>1654</v>
      </c>
      <c r="B1659" s="52">
        <f>-bthan*500+(3+0.5)*bthan*1000/50</f>
        <v>-2365</v>
      </c>
      <c r="C1659" s="52">
        <f t="shared" si="190"/>
        <v>-130</v>
      </c>
      <c r="D1659" s="52">
        <f t="shared" si="187"/>
        <v>2200</v>
      </c>
      <c r="E1659" s="52">
        <f t="shared" si="188"/>
        <v>1</v>
      </c>
      <c r="F1659" s="52"/>
      <c r="G1659" s="52"/>
      <c r="H1659" s="52"/>
      <c r="I1659" s="52"/>
      <c r="J1659" s="52"/>
      <c r="K1659" s="52"/>
      <c r="L1659" s="52"/>
      <c r="M1659" s="52"/>
      <c r="N1659" s="52"/>
      <c r="O1659" s="52"/>
      <c r="P1659" s="52"/>
      <c r="Q1659" s="52"/>
      <c r="R1659" s="52"/>
      <c r="S1659" s="52"/>
      <c r="T1659" s="52"/>
      <c r="U1659" s="52"/>
      <c r="V1659" s="52"/>
      <c r="W1659" s="52"/>
      <c r="X1659" s="52"/>
      <c r="Y1659" s="52"/>
      <c r="Z1659" s="52"/>
      <c r="AA1659" s="52"/>
      <c r="AB1659" s="52"/>
      <c r="AC1659" s="52"/>
      <c r="AD1659" s="52"/>
      <c r="AE1659" s="52"/>
      <c r="AF1659" s="52"/>
      <c r="AG1659" s="52"/>
      <c r="AH1659" s="52"/>
      <c r="AI1659" s="52"/>
      <c r="AJ1659" s="52"/>
      <c r="AK1659" s="52"/>
      <c r="AL1659" s="52"/>
      <c r="AM1659" s="52"/>
      <c r="AN1659" s="52"/>
    </row>
    <row r="1660" spans="1:40" x14ac:dyDescent="0.3">
      <c r="A1660" s="52">
        <v>1655</v>
      </c>
      <c r="B1660" s="52">
        <f>-bthan*500+(4+0.5)*bthan*1000/50</f>
        <v>-2255</v>
      </c>
      <c r="C1660" s="52">
        <f t="shared" si="190"/>
        <v>-130</v>
      </c>
      <c r="D1660" s="52">
        <f t="shared" si="187"/>
        <v>2200</v>
      </c>
      <c r="E1660" s="52">
        <f t="shared" si="188"/>
        <v>1</v>
      </c>
      <c r="F1660" s="52"/>
      <c r="G1660" s="52"/>
      <c r="H1660" s="52"/>
      <c r="I1660" s="52"/>
      <c r="J1660" s="52"/>
      <c r="K1660" s="52"/>
      <c r="L1660" s="52"/>
      <c r="M1660" s="52"/>
      <c r="N1660" s="52"/>
      <c r="O1660" s="52"/>
      <c r="P1660" s="52"/>
      <c r="Q1660" s="52"/>
      <c r="R1660" s="52"/>
      <c r="S1660" s="52"/>
      <c r="T1660" s="52"/>
      <c r="U1660" s="52"/>
      <c r="V1660" s="52"/>
      <c r="W1660" s="52"/>
      <c r="X1660" s="52"/>
      <c r="Y1660" s="52"/>
      <c r="Z1660" s="52"/>
      <c r="AA1660" s="52"/>
      <c r="AB1660" s="52"/>
      <c r="AC1660" s="52"/>
      <c r="AD1660" s="52"/>
      <c r="AE1660" s="52"/>
      <c r="AF1660" s="52"/>
      <c r="AG1660" s="52"/>
      <c r="AH1660" s="52"/>
      <c r="AI1660" s="52"/>
      <c r="AJ1660" s="52"/>
      <c r="AK1660" s="52"/>
      <c r="AL1660" s="52"/>
      <c r="AM1660" s="52"/>
      <c r="AN1660" s="52"/>
    </row>
    <row r="1661" spans="1:40" x14ac:dyDescent="0.3">
      <c r="A1661" s="52">
        <v>1656</v>
      </c>
      <c r="B1661" s="52">
        <f>-bthan*500+(5+0.5)*bthan*1000/50</f>
        <v>-2145</v>
      </c>
      <c r="C1661" s="52">
        <f t="shared" si="190"/>
        <v>-130</v>
      </c>
      <c r="D1661" s="52">
        <f t="shared" si="187"/>
        <v>2200</v>
      </c>
      <c r="E1661" s="52">
        <f t="shared" si="188"/>
        <v>1</v>
      </c>
      <c r="F1661" s="52"/>
      <c r="G1661" s="52"/>
      <c r="H1661" s="52"/>
      <c r="I1661" s="52"/>
      <c r="J1661" s="52"/>
      <c r="K1661" s="52"/>
      <c r="L1661" s="52"/>
      <c r="M1661" s="52"/>
      <c r="N1661" s="52"/>
      <c r="O1661" s="52"/>
      <c r="P1661" s="52"/>
      <c r="Q1661" s="52"/>
      <c r="R1661" s="52"/>
      <c r="S1661" s="52"/>
      <c r="T1661" s="52"/>
      <c r="U1661" s="52"/>
      <c r="V1661" s="52"/>
      <c r="W1661" s="52"/>
      <c r="X1661" s="52"/>
      <c r="Y1661" s="52"/>
      <c r="Z1661" s="52"/>
      <c r="AA1661" s="52"/>
      <c r="AB1661" s="52"/>
      <c r="AC1661" s="52"/>
      <c r="AD1661" s="52"/>
      <c r="AE1661" s="52"/>
      <c r="AF1661" s="52"/>
      <c r="AG1661" s="52"/>
      <c r="AH1661" s="52"/>
      <c r="AI1661" s="52"/>
      <c r="AJ1661" s="52"/>
      <c r="AK1661" s="52"/>
      <c r="AL1661" s="52"/>
      <c r="AM1661" s="52"/>
      <c r="AN1661" s="52"/>
    </row>
    <row r="1662" spans="1:40" x14ac:dyDescent="0.3">
      <c r="A1662" s="52">
        <v>1657</v>
      </c>
      <c r="B1662" s="52">
        <f>-bthan*500+(6+0.5)*bthan*1000/50</f>
        <v>-2035</v>
      </c>
      <c r="C1662" s="52">
        <f t="shared" si="190"/>
        <v>-130</v>
      </c>
      <c r="D1662" s="52">
        <f t="shared" si="187"/>
        <v>2200</v>
      </c>
      <c r="E1662" s="52">
        <f t="shared" si="188"/>
        <v>1</v>
      </c>
      <c r="F1662" s="52"/>
      <c r="G1662" s="52"/>
      <c r="H1662" s="52"/>
      <c r="I1662" s="52"/>
      <c r="J1662" s="52"/>
      <c r="K1662" s="52"/>
      <c r="L1662" s="52"/>
      <c r="M1662" s="52"/>
      <c r="N1662" s="52"/>
      <c r="O1662" s="52"/>
      <c r="P1662" s="52"/>
      <c r="Q1662" s="52"/>
      <c r="R1662" s="52"/>
      <c r="S1662" s="52"/>
      <c r="T1662" s="52"/>
      <c r="U1662" s="52"/>
      <c r="V1662" s="52"/>
      <c r="W1662" s="52"/>
      <c r="X1662" s="52"/>
      <c r="Y1662" s="52"/>
      <c r="Z1662" s="52"/>
      <c r="AA1662" s="52"/>
      <c r="AB1662" s="52"/>
      <c r="AC1662" s="52"/>
      <c r="AD1662" s="52"/>
      <c r="AE1662" s="52"/>
      <c r="AF1662" s="52"/>
      <c r="AG1662" s="52"/>
      <c r="AH1662" s="52"/>
      <c r="AI1662" s="52"/>
      <c r="AJ1662" s="52"/>
      <c r="AK1662" s="52"/>
      <c r="AL1662" s="52"/>
      <c r="AM1662" s="52"/>
      <c r="AN1662" s="52"/>
    </row>
    <row r="1663" spans="1:40" x14ac:dyDescent="0.3">
      <c r="A1663" s="52">
        <v>1658</v>
      </c>
      <c r="B1663" s="52">
        <f>-bthan*500+(7+0.5)*bthan*1000/50</f>
        <v>-1925</v>
      </c>
      <c r="C1663" s="52">
        <f t="shared" si="190"/>
        <v>-130</v>
      </c>
      <c r="D1663" s="52">
        <f t="shared" si="187"/>
        <v>2200</v>
      </c>
      <c r="E1663" s="52">
        <f t="shared" si="188"/>
        <v>1</v>
      </c>
      <c r="F1663" s="52"/>
      <c r="G1663" s="52"/>
      <c r="H1663" s="52"/>
      <c r="I1663" s="52"/>
      <c r="J1663" s="52"/>
      <c r="K1663" s="52"/>
      <c r="L1663" s="52"/>
      <c r="M1663" s="52"/>
      <c r="N1663" s="52"/>
      <c r="O1663" s="52"/>
      <c r="P1663" s="52"/>
      <c r="Q1663" s="52"/>
      <c r="R1663" s="52"/>
      <c r="S1663" s="52"/>
      <c r="T1663" s="52"/>
      <c r="U1663" s="52"/>
      <c r="V1663" s="52"/>
      <c r="W1663" s="52"/>
      <c r="X1663" s="52"/>
      <c r="Y1663" s="52"/>
      <c r="Z1663" s="52"/>
      <c r="AA1663" s="52"/>
      <c r="AB1663" s="52"/>
      <c r="AC1663" s="52"/>
      <c r="AD1663" s="52"/>
      <c r="AE1663" s="52"/>
      <c r="AF1663" s="52"/>
      <c r="AG1663" s="52"/>
      <c r="AH1663" s="52"/>
      <c r="AI1663" s="52"/>
      <c r="AJ1663" s="52"/>
      <c r="AK1663" s="52"/>
      <c r="AL1663" s="52"/>
      <c r="AM1663" s="52"/>
      <c r="AN1663" s="52"/>
    </row>
    <row r="1664" spans="1:40" x14ac:dyDescent="0.3">
      <c r="A1664" s="52">
        <v>1659</v>
      </c>
      <c r="B1664" s="52">
        <f>-bthan*500+(8+0.5)*bthan*1000/50</f>
        <v>-1815</v>
      </c>
      <c r="C1664" s="52">
        <f t="shared" si="190"/>
        <v>-130</v>
      </c>
      <c r="D1664" s="52">
        <f t="shared" si="187"/>
        <v>2200</v>
      </c>
      <c r="E1664" s="52">
        <f t="shared" si="188"/>
        <v>1</v>
      </c>
      <c r="F1664" s="52"/>
      <c r="G1664" s="52"/>
      <c r="H1664" s="52"/>
      <c r="I1664" s="52"/>
      <c r="J1664" s="52"/>
      <c r="K1664" s="52"/>
      <c r="L1664" s="52"/>
      <c r="M1664" s="52"/>
      <c r="N1664" s="52"/>
      <c r="O1664" s="52"/>
      <c r="P1664" s="52"/>
      <c r="Q1664" s="52"/>
      <c r="R1664" s="52"/>
      <c r="S1664" s="52"/>
      <c r="T1664" s="52"/>
      <c r="U1664" s="52"/>
      <c r="V1664" s="52"/>
      <c r="W1664" s="52"/>
      <c r="X1664" s="52"/>
      <c r="Y1664" s="52"/>
      <c r="Z1664" s="52"/>
      <c r="AA1664" s="52"/>
      <c r="AB1664" s="52"/>
      <c r="AC1664" s="52"/>
      <c r="AD1664" s="52"/>
      <c r="AE1664" s="52"/>
      <c r="AF1664" s="52"/>
      <c r="AG1664" s="52"/>
      <c r="AH1664" s="52"/>
      <c r="AI1664" s="52"/>
      <c r="AJ1664" s="52"/>
      <c r="AK1664" s="52"/>
      <c r="AL1664" s="52"/>
      <c r="AM1664" s="52"/>
      <c r="AN1664" s="52"/>
    </row>
    <row r="1665" spans="1:40" x14ac:dyDescent="0.3">
      <c r="A1665" s="52">
        <v>1660</v>
      </c>
      <c r="B1665" s="52">
        <f>-bthan*500+(9+0.5)*bthan*1000/50</f>
        <v>-1705</v>
      </c>
      <c r="C1665" s="52">
        <f t="shared" si="190"/>
        <v>-130</v>
      </c>
      <c r="D1665" s="52">
        <f t="shared" si="187"/>
        <v>2200</v>
      </c>
      <c r="E1665" s="52">
        <f t="shared" si="188"/>
        <v>1</v>
      </c>
      <c r="F1665" s="52"/>
      <c r="G1665" s="52"/>
      <c r="H1665" s="52"/>
      <c r="I1665" s="52"/>
      <c r="J1665" s="52"/>
      <c r="K1665" s="52"/>
      <c r="L1665" s="52"/>
      <c r="M1665" s="52"/>
      <c r="N1665" s="52"/>
      <c r="O1665" s="52"/>
      <c r="P1665" s="52"/>
      <c r="Q1665" s="52"/>
      <c r="R1665" s="52"/>
      <c r="S1665" s="52"/>
      <c r="T1665" s="52"/>
      <c r="U1665" s="52"/>
      <c r="V1665" s="52"/>
      <c r="W1665" s="52"/>
      <c r="X1665" s="52"/>
      <c r="Y1665" s="52"/>
      <c r="Z1665" s="52"/>
      <c r="AA1665" s="52"/>
      <c r="AB1665" s="52"/>
      <c r="AC1665" s="52"/>
      <c r="AD1665" s="52"/>
      <c r="AE1665" s="52"/>
      <c r="AF1665" s="52"/>
      <c r="AG1665" s="52"/>
      <c r="AH1665" s="52"/>
      <c r="AI1665" s="52"/>
      <c r="AJ1665" s="52"/>
      <c r="AK1665" s="52"/>
      <c r="AL1665" s="52"/>
      <c r="AM1665" s="52"/>
      <c r="AN1665" s="52"/>
    </row>
    <row r="1666" spans="1:40" x14ac:dyDescent="0.3">
      <c r="A1666" s="52">
        <v>1661</v>
      </c>
      <c r="B1666" s="52">
        <f>-bthan*500+(10+0.5)*bthan*1000/50</f>
        <v>-1595</v>
      </c>
      <c r="C1666" s="52">
        <f t="shared" si="190"/>
        <v>-130</v>
      </c>
      <c r="D1666" s="52">
        <f t="shared" si="187"/>
        <v>2200</v>
      </c>
      <c r="E1666" s="52">
        <f t="shared" si="188"/>
        <v>1</v>
      </c>
      <c r="F1666" s="52"/>
      <c r="G1666" s="52"/>
      <c r="H1666" s="52"/>
      <c r="I1666" s="52"/>
      <c r="J1666" s="52"/>
      <c r="K1666" s="52"/>
      <c r="L1666" s="52"/>
      <c r="M1666" s="52"/>
      <c r="N1666" s="52"/>
      <c r="O1666" s="52"/>
      <c r="P1666" s="52"/>
      <c r="Q1666" s="52"/>
      <c r="R1666" s="52"/>
      <c r="S1666" s="52"/>
      <c r="T1666" s="52"/>
      <c r="U1666" s="52"/>
      <c r="V1666" s="52"/>
      <c r="W1666" s="52"/>
      <c r="X1666" s="52"/>
      <c r="Y1666" s="52"/>
      <c r="Z1666" s="52"/>
      <c r="AA1666" s="52"/>
      <c r="AB1666" s="52"/>
      <c r="AC1666" s="52"/>
      <c r="AD1666" s="52"/>
      <c r="AE1666" s="52"/>
      <c r="AF1666" s="52"/>
      <c r="AG1666" s="52"/>
      <c r="AH1666" s="52"/>
      <c r="AI1666" s="52"/>
      <c r="AJ1666" s="52"/>
      <c r="AK1666" s="52"/>
      <c r="AL1666" s="52"/>
      <c r="AM1666" s="52"/>
      <c r="AN1666" s="52"/>
    </row>
    <row r="1667" spans="1:40" x14ac:dyDescent="0.3">
      <c r="A1667" s="52">
        <v>1662</v>
      </c>
      <c r="B1667" s="52">
        <f>-bthan*500+(11+0.5)*bthan*1000/50</f>
        <v>-1485</v>
      </c>
      <c r="C1667" s="52">
        <f t="shared" si="190"/>
        <v>-130</v>
      </c>
      <c r="D1667" s="52">
        <f t="shared" si="187"/>
        <v>2200</v>
      </c>
      <c r="E1667" s="52">
        <f t="shared" si="188"/>
        <v>1</v>
      </c>
      <c r="F1667" s="52"/>
      <c r="G1667" s="52"/>
      <c r="H1667" s="52"/>
      <c r="I1667" s="52"/>
      <c r="J1667" s="52"/>
      <c r="K1667" s="52"/>
      <c r="L1667" s="52"/>
      <c r="M1667" s="52"/>
      <c r="N1667" s="52"/>
      <c r="O1667" s="52"/>
      <c r="P1667" s="52"/>
      <c r="Q1667" s="52"/>
      <c r="R1667" s="52"/>
      <c r="S1667" s="52"/>
      <c r="T1667" s="52"/>
      <c r="U1667" s="52"/>
      <c r="V1667" s="52"/>
      <c r="W1667" s="52"/>
      <c r="X1667" s="52"/>
      <c r="Y1667" s="52"/>
      <c r="Z1667" s="52"/>
      <c r="AA1667" s="52"/>
      <c r="AB1667" s="52"/>
      <c r="AC1667" s="52"/>
      <c r="AD1667" s="52"/>
      <c r="AE1667" s="52"/>
      <c r="AF1667" s="52"/>
      <c r="AG1667" s="52"/>
      <c r="AH1667" s="52"/>
      <c r="AI1667" s="52"/>
      <c r="AJ1667" s="52"/>
      <c r="AK1667" s="52"/>
      <c r="AL1667" s="52"/>
      <c r="AM1667" s="52"/>
      <c r="AN1667" s="52"/>
    </row>
    <row r="1668" spans="1:40" x14ac:dyDescent="0.3">
      <c r="A1668" s="52">
        <v>1663</v>
      </c>
      <c r="B1668" s="52">
        <f>-bthan*500+(12+0.5)*bthan*1000/50</f>
        <v>-1375</v>
      </c>
      <c r="C1668" s="52">
        <f t="shared" si="190"/>
        <v>-130</v>
      </c>
      <c r="D1668" s="52">
        <f t="shared" si="187"/>
        <v>2200</v>
      </c>
      <c r="E1668" s="52">
        <f t="shared" si="188"/>
        <v>1</v>
      </c>
      <c r="F1668" s="52"/>
      <c r="G1668" s="52"/>
      <c r="H1668" s="52"/>
      <c r="I1668" s="52"/>
      <c r="J1668" s="52"/>
      <c r="K1668" s="52"/>
      <c r="L1668" s="52"/>
      <c r="M1668" s="52"/>
      <c r="N1668" s="52"/>
      <c r="O1668" s="52"/>
      <c r="P1668" s="52"/>
      <c r="Q1668" s="52"/>
      <c r="R1668" s="52"/>
      <c r="S1668" s="52"/>
      <c r="T1668" s="52"/>
      <c r="U1668" s="52"/>
      <c r="V1668" s="52"/>
      <c r="W1668" s="52"/>
      <c r="X1668" s="52"/>
      <c r="Y1668" s="52"/>
      <c r="Z1668" s="52"/>
      <c r="AA1668" s="52"/>
      <c r="AB1668" s="52"/>
      <c r="AC1668" s="52"/>
      <c r="AD1668" s="52"/>
      <c r="AE1668" s="52"/>
      <c r="AF1668" s="52"/>
      <c r="AG1668" s="52"/>
      <c r="AH1668" s="52"/>
      <c r="AI1668" s="52"/>
      <c r="AJ1668" s="52"/>
      <c r="AK1668" s="52"/>
      <c r="AL1668" s="52"/>
      <c r="AM1668" s="52"/>
      <c r="AN1668" s="52"/>
    </row>
    <row r="1669" spans="1:40" x14ac:dyDescent="0.3">
      <c r="A1669" s="52">
        <v>1664</v>
      </c>
      <c r="B1669" s="52">
        <f>-bthan*500+(13+0.5)*bthan*1000/50</f>
        <v>-1265</v>
      </c>
      <c r="C1669" s="52">
        <f t="shared" si="190"/>
        <v>-130</v>
      </c>
      <c r="D1669" s="52">
        <f t="shared" si="187"/>
        <v>2200</v>
      </c>
      <c r="E1669" s="52">
        <f t="shared" si="188"/>
        <v>1</v>
      </c>
      <c r="F1669" s="52"/>
      <c r="G1669" s="52"/>
      <c r="H1669" s="52"/>
      <c r="I1669" s="52"/>
      <c r="J1669" s="52"/>
      <c r="K1669" s="52"/>
      <c r="L1669" s="52"/>
      <c r="M1669" s="52"/>
      <c r="N1669" s="52"/>
      <c r="O1669" s="52"/>
      <c r="P1669" s="52"/>
      <c r="Q1669" s="52"/>
      <c r="R1669" s="52"/>
      <c r="S1669" s="52"/>
      <c r="T1669" s="52"/>
      <c r="U1669" s="52"/>
      <c r="V1669" s="52"/>
      <c r="W1669" s="52"/>
      <c r="X1669" s="52"/>
      <c r="Y1669" s="52"/>
      <c r="Z1669" s="52"/>
      <c r="AA1669" s="52"/>
      <c r="AB1669" s="52"/>
      <c r="AC1669" s="52"/>
      <c r="AD1669" s="52"/>
      <c r="AE1669" s="52"/>
      <c r="AF1669" s="52"/>
      <c r="AG1669" s="52"/>
      <c r="AH1669" s="52"/>
      <c r="AI1669" s="52"/>
      <c r="AJ1669" s="52"/>
      <c r="AK1669" s="52"/>
      <c r="AL1669" s="52"/>
      <c r="AM1669" s="52"/>
      <c r="AN1669" s="52"/>
    </row>
    <row r="1670" spans="1:40" x14ac:dyDescent="0.3">
      <c r="A1670" s="52">
        <v>1665</v>
      </c>
      <c r="B1670" s="52">
        <f>-bthan*500+(14+0.5)*bthan*1000/50</f>
        <v>-1155</v>
      </c>
      <c r="C1670" s="52">
        <f t="shared" si="190"/>
        <v>-130</v>
      </c>
      <c r="D1670" s="52">
        <f t="shared" ref="D1670:D1733" si="191">bthan*1000/50*hthan*1000/80</f>
        <v>2200</v>
      </c>
      <c r="E1670" s="52">
        <f t="shared" ref="E1670:E1733" si="192">IF(shp=1,--(OR(ABS(B1670)&lt;=MAX(0,(bthan-hthan)*500),(ABS(B1670)-MAX(0,(bthan-hthan)*500))^2+C1670^2&lt;=(hthan*500)^2)),--(AND(ABS(B1670)&lt;=bthan*500,ABS(C1670)&lt;=hthan*500,OR(ABS(B1670)&lt;=bthan*500-cch*1000,ABS(C1670)&lt;=hthan*500-cch*1000,(bthan*500-ABS(B1670))+(hthan*500-ABS(C1670))&gt;=cch*1000))))</f>
        <v>1</v>
      </c>
      <c r="F1670" s="52"/>
      <c r="G1670" s="52"/>
      <c r="H1670" s="52"/>
      <c r="I1670" s="52"/>
      <c r="J1670" s="52"/>
      <c r="K1670" s="52"/>
      <c r="L1670" s="52"/>
      <c r="M1670" s="52"/>
      <c r="N1670" s="52"/>
      <c r="O1670" s="52"/>
      <c r="P1670" s="52"/>
      <c r="Q1670" s="52"/>
      <c r="R1670" s="52"/>
      <c r="S1670" s="52"/>
      <c r="T1670" s="52"/>
      <c r="U1670" s="52"/>
      <c r="V1670" s="52"/>
      <c r="W1670" s="52"/>
      <c r="X1670" s="52"/>
      <c r="Y1670" s="52"/>
      <c r="Z1670" s="52"/>
      <c r="AA1670" s="52"/>
      <c r="AB1670" s="52"/>
      <c r="AC1670" s="52"/>
      <c r="AD1670" s="52"/>
      <c r="AE1670" s="52"/>
      <c r="AF1670" s="52"/>
      <c r="AG1670" s="52"/>
      <c r="AH1670" s="52"/>
      <c r="AI1670" s="52"/>
      <c r="AJ1670" s="52"/>
      <c r="AK1670" s="52"/>
      <c r="AL1670" s="52"/>
      <c r="AM1670" s="52"/>
      <c r="AN1670" s="52"/>
    </row>
    <row r="1671" spans="1:40" x14ac:dyDescent="0.3">
      <c r="A1671" s="52">
        <v>1666</v>
      </c>
      <c r="B1671" s="52">
        <f>-bthan*500+(15+0.5)*bthan*1000/50</f>
        <v>-1045</v>
      </c>
      <c r="C1671" s="52">
        <f t="shared" si="190"/>
        <v>-130</v>
      </c>
      <c r="D1671" s="52">
        <f t="shared" si="191"/>
        <v>2200</v>
      </c>
      <c r="E1671" s="52">
        <f t="shared" si="192"/>
        <v>1</v>
      </c>
      <c r="F1671" s="52"/>
      <c r="G1671" s="52"/>
      <c r="H1671" s="52"/>
      <c r="I1671" s="52"/>
      <c r="J1671" s="52"/>
      <c r="K1671" s="52"/>
      <c r="L1671" s="52"/>
      <c r="M1671" s="52"/>
      <c r="N1671" s="52"/>
      <c r="O1671" s="52"/>
      <c r="P1671" s="52"/>
      <c r="Q1671" s="52"/>
      <c r="R1671" s="52"/>
      <c r="S1671" s="52"/>
      <c r="T1671" s="52"/>
      <c r="U1671" s="52"/>
      <c r="V1671" s="52"/>
      <c r="W1671" s="52"/>
      <c r="X1671" s="52"/>
      <c r="Y1671" s="52"/>
      <c r="Z1671" s="52"/>
      <c r="AA1671" s="52"/>
      <c r="AB1671" s="52"/>
      <c r="AC1671" s="52"/>
      <c r="AD1671" s="52"/>
      <c r="AE1671" s="52"/>
      <c r="AF1671" s="52"/>
      <c r="AG1671" s="52"/>
      <c r="AH1671" s="52"/>
      <c r="AI1671" s="52"/>
      <c r="AJ1671" s="52"/>
      <c r="AK1671" s="52"/>
      <c r="AL1671" s="52"/>
      <c r="AM1671" s="52"/>
      <c r="AN1671" s="52"/>
    </row>
    <row r="1672" spans="1:40" x14ac:dyDescent="0.3">
      <c r="A1672" s="52">
        <v>1667</v>
      </c>
      <c r="B1672" s="52">
        <f>-bthan*500+(16+0.5)*bthan*1000/50</f>
        <v>-935</v>
      </c>
      <c r="C1672" s="52">
        <f t="shared" si="190"/>
        <v>-130</v>
      </c>
      <c r="D1672" s="52">
        <f t="shared" si="191"/>
        <v>2200</v>
      </c>
      <c r="E1672" s="52">
        <f t="shared" si="192"/>
        <v>1</v>
      </c>
      <c r="F1672" s="52"/>
      <c r="G1672" s="52"/>
      <c r="H1672" s="52"/>
      <c r="I1672" s="52"/>
      <c r="J1672" s="52"/>
      <c r="K1672" s="52"/>
      <c r="L1672" s="52"/>
      <c r="M1672" s="52"/>
      <c r="N1672" s="52"/>
      <c r="O1672" s="52"/>
      <c r="P1672" s="52"/>
      <c r="Q1672" s="52"/>
      <c r="R1672" s="52"/>
      <c r="S1672" s="52"/>
      <c r="T1672" s="52"/>
      <c r="U1672" s="52"/>
      <c r="V1672" s="52"/>
      <c r="W1672" s="52"/>
      <c r="X1672" s="52"/>
      <c r="Y1672" s="52"/>
      <c r="Z1672" s="52"/>
      <c r="AA1672" s="52"/>
      <c r="AB1672" s="52"/>
      <c r="AC1672" s="52"/>
      <c r="AD1672" s="52"/>
      <c r="AE1672" s="52"/>
      <c r="AF1672" s="52"/>
      <c r="AG1672" s="52"/>
      <c r="AH1672" s="52"/>
      <c r="AI1672" s="52"/>
      <c r="AJ1672" s="52"/>
      <c r="AK1672" s="52"/>
      <c r="AL1672" s="52"/>
      <c r="AM1672" s="52"/>
      <c r="AN1672" s="52"/>
    </row>
    <row r="1673" spans="1:40" x14ac:dyDescent="0.3">
      <c r="A1673" s="52">
        <v>1668</v>
      </c>
      <c r="B1673" s="52">
        <f>-bthan*500+(17+0.5)*bthan*1000/50</f>
        <v>-825</v>
      </c>
      <c r="C1673" s="52">
        <f t="shared" si="190"/>
        <v>-130</v>
      </c>
      <c r="D1673" s="52">
        <f t="shared" si="191"/>
        <v>2200</v>
      </c>
      <c r="E1673" s="52">
        <f t="shared" si="192"/>
        <v>1</v>
      </c>
      <c r="F1673" s="52"/>
      <c r="G1673" s="52"/>
      <c r="H1673" s="52"/>
      <c r="I1673" s="52"/>
      <c r="J1673" s="52"/>
      <c r="K1673" s="52"/>
      <c r="L1673" s="52"/>
      <c r="M1673" s="52"/>
      <c r="N1673" s="52"/>
      <c r="O1673" s="52"/>
      <c r="P1673" s="52"/>
      <c r="Q1673" s="52"/>
      <c r="R1673" s="52"/>
      <c r="S1673" s="52"/>
      <c r="T1673" s="52"/>
      <c r="U1673" s="52"/>
      <c r="V1673" s="52"/>
      <c r="W1673" s="52"/>
      <c r="X1673" s="52"/>
      <c r="Y1673" s="52"/>
      <c r="Z1673" s="52"/>
      <c r="AA1673" s="52"/>
      <c r="AB1673" s="52"/>
      <c r="AC1673" s="52"/>
      <c r="AD1673" s="52"/>
      <c r="AE1673" s="52"/>
      <c r="AF1673" s="52"/>
      <c r="AG1673" s="52"/>
      <c r="AH1673" s="52"/>
      <c r="AI1673" s="52"/>
      <c r="AJ1673" s="52"/>
      <c r="AK1673" s="52"/>
      <c r="AL1673" s="52"/>
      <c r="AM1673" s="52"/>
      <c r="AN1673" s="52"/>
    </row>
    <row r="1674" spans="1:40" x14ac:dyDescent="0.3">
      <c r="A1674" s="52">
        <v>1669</v>
      </c>
      <c r="B1674" s="52">
        <f>-bthan*500+(18+0.5)*bthan*1000/50</f>
        <v>-715</v>
      </c>
      <c r="C1674" s="52">
        <f t="shared" si="190"/>
        <v>-130</v>
      </c>
      <c r="D1674" s="52">
        <f t="shared" si="191"/>
        <v>2200</v>
      </c>
      <c r="E1674" s="52">
        <f t="shared" si="192"/>
        <v>1</v>
      </c>
      <c r="F1674" s="52"/>
      <c r="G1674" s="52"/>
      <c r="H1674" s="52"/>
      <c r="I1674" s="52"/>
      <c r="J1674" s="52"/>
      <c r="K1674" s="52"/>
      <c r="L1674" s="52"/>
      <c r="M1674" s="52"/>
      <c r="N1674" s="52"/>
      <c r="O1674" s="52"/>
      <c r="P1674" s="52"/>
      <c r="Q1674" s="52"/>
      <c r="R1674" s="52"/>
      <c r="S1674" s="52"/>
      <c r="T1674" s="52"/>
      <c r="U1674" s="52"/>
      <c r="V1674" s="52"/>
      <c r="W1674" s="52"/>
      <c r="X1674" s="52"/>
      <c r="Y1674" s="52"/>
      <c r="Z1674" s="52"/>
      <c r="AA1674" s="52"/>
      <c r="AB1674" s="52"/>
      <c r="AC1674" s="52"/>
      <c r="AD1674" s="52"/>
      <c r="AE1674" s="52"/>
      <c r="AF1674" s="52"/>
      <c r="AG1674" s="52"/>
      <c r="AH1674" s="52"/>
      <c r="AI1674" s="52"/>
      <c r="AJ1674" s="52"/>
      <c r="AK1674" s="52"/>
      <c r="AL1674" s="52"/>
      <c r="AM1674" s="52"/>
      <c r="AN1674" s="52"/>
    </row>
    <row r="1675" spans="1:40" x14ac:dyDescent="0.3">
      <c r="A1675" s="52">
        <v>1670</v>
      </c>
      <c r="B1675" s="52">
        <f>-bthan*500+(19+0.5)*bthan*1000/50</f>
        <v>-605</v>
      </c>
      <c r="C1675" s="52">
        <f t="shared" si="190"/>
        <v>-130</v>
      </c>
      <c r="D1675" s="52">
        <f t="shared" si="191"/>
        <v>2200</v>
      </c>
      <c r="E1675" s="52">
        <f t="shared" si="192"/>
        <v>1</v>
      </c>
      <c r="F1675" s="52"/>
      <c r="G1675" s="52"/>
      <c r="H1675" s="52"/>
      <c r="I1675" s="52"/>
      <c r="J1675" s="52"/>
      <c r="K1675" s="52"/>
      <c r="L1675" s="52"/>
      <c r="M1675" s="52"/>
      <c r="N1675" s="52"/>
      <c r="O1675" s="52"/>
      <c r="P1675" s="52"/>
      <c r="Q1675" s="52"/>
      <c r="R1675" s="52"/>
      <c r="S1675" s="52"/>
      <c r="T1675" s="52"/>
      <c r="U1675" s="52"/>
      <c r="V1675" s="52"/>
      <c r="W1675" s="52"/>
      <c r="X1675" s="52"/>
      <c r="Y1675" s="52"/>
      <c r="Z1675" s="52"/>
      <c r="AA1675" s="52"/>
      <c r="AB1675" s="52"/>
      <c r="AC1675" s="52"/>
      <c r="AD1675" s="52"/>
      <c r="AE1675" s="52"/>
      <c r="AF1675" s="52"/>
      <c r="AG1675" s="52"/>
      <c r="AH1675" s="52"/>
      <c r="AI1675" s="52"/>
      <c r="AJ1675" s="52"/>
      <c r="AK1675" s="52"/>
      <c r="AL1675" s="52"/>
      <c r="AM1675" s="52"/>
      <c r="AN1675" s="52"/>
    </row>
    <row r="1676" spans="1:40" x14ac:dyDescent="0.3">
      <c r="A1676" s="52">
        <v>1671</v>
      </c>
      <c r="B1676" s="52">
        <f>-bthan*500+(20+0.5)*bthan*1000/50</f>
        <v>-495</v>
      </c>
      <c r="C1676" s="52">
        <f t="shared" si="190"/>
        <v>-130</v>
      </c>
      <c r="D1676" s="52">
        <f t="shared" si="191"/>
        <v>2200</v>
      </c>
      <c r="E1676" s="52">
        <f t="shared" si="192"/>
        <v>1</v>
      </c>
      <c r="F1676" s="52"/>
      <c r="G1676" s="52"/>
      <c r="H1676" s="52"/>
      <c r="I1676" s="52"/>
      <c r="J1676" s="52"/>
      <c r="K1676" s="52"/>
      <c r="L1676" s="52"/>
      <c r="M1676" s="52"/>
      <c r="N1676" s="52"/>
      <c r="O1676" s="52"/>
      <c r="P1676" s="52"/>
      <c r="Q1676" s="52"/>
      <c r="R1676" s="52"/>
      <c r="S1676" s="52"/>
      <c r="T1676" s="52"/>
      <c r="U1676" s="52"/>
      <c r="V1676" s="52"/>
      <c r="W1676" s="52"/>
      <c r="X1676" s="52"/>
      <c r="Y1676" s="52"/>
      <c r="Z1676" s="52"/>
      <c r="AA1676" s="52"/>
      <c r="AB1676" s="52"/>
      <c r="AC1676" s="52"/>
      <c r="AD1676" s="52"/>
      <c r="AE1676" s="52"/>
      <c r="AF1676" s="52"/>
      <c r="AG1676" s="52"/>
      <c r="AH1676" s="52"/>
      <c r="AI1676" s="52"/>
      <c r="AJ1676" s="52"/>
      <c r="AK1676" s="52"/>
      <c r="AL1676" s="52"/>
      <c r="AM1676" s="52"/>
      <c r="AN1676" s="52"/>
    </row>
    <row r="1677" spans="1:40" x14ac:dyDescent="0.3">
      <c r="A1677" s="52">
        <v>1672</v>
      </c>
      <c r="B1677" s="52">
        <f>-bthan*500+(21+0.5)*bthan*1000/50</f>
        <v>-385</v>
      </c>
      <c r="C1677" s="52">
        <f t="shared" si="190"/>
        <v>-130</v>
      </c>
      <c r="D1677" s="52">
        <f t="shared" si="191"/>
        <v>2200</v>
      </c>
      <c r="E1677" s="52">
        <f t="shared" si="192"/>
        <v>1</v>
      </c>
      <c r="F1677" s="52"/>
      <c r="G1677" s="52"/>
      <c r="H1677" s="52"/>
      <c r="I1677" s="52"/>
      <c r="J1677" s="52"/>
      <c r="K1677" s="52"/>
      <c r="L1677" s="52"/>
      <c r="M1677" s="52"/>
      <c r="N1677" s="52"/>
      <c r="O1677" s="52"/>
      <c r="P1677" s="52"/>
      <c r="Q1677" s="52"/>
      <c r="R1677" s="52"/>
      <c r="S1677" s="52"/>
      <c r="T1677" s="52"/>
      <c r="U1677" s="52"/>
      <c r="V1677" s="52"/>
      <c r="W1677" s="52"/>
      <c r="X1677" s="52"/>
      <c r="Y1677" s="52"/>
      <c r="Z1677" s="52"/>
      <c r="AA1677" s="52"/>
      <c r="AB1677" s="52"/>
      <c r="AC1677" s="52"/>
      <c r="AD1677" s="52"/>
      <c r="AE1677" s="52"/>
      <c r="AF1677" s="52"/>
      <c r="AG1677" s="52"/>
      <c r="AH1677" s="52"/>
      <c r="AI1677" s="52"/>
      <c r="AJ1677" s="52"/>
      <c r="AK1677" s="52"/>
      <c r="AL1677" s="52"/>
      <c r="AM1677" s="52"/>
      <c r="AN1677" s="52"/>
    </row>
    <row r="1678" spans="1:40" x14ac:dyDescent="0.3">
      <c r="A1678" s="52">
        <v>1673</v>
      </c>
      <c r="B1678" s="52">
        <f>-bthan*500+(22+0.5)*bthan*1000/50</f>
        <v>-275</v>
      </c>
      <c r="C1678" s="52">
        <f t="shared" si="190"/>
        <v>-130</v>
      </c>
      <c r="D1678" s="52">
        <f t="shared" si="191"/>
        <v>2200</v>
      </c>
      <c r="E1678" s="52">
        <f t="shared" si="192"/>
        <v>1</v>
      </c>
      <c r="F1678" s="52"/>
      <c r="G1678" s="52"/>
      <c r="H1678" s="52"/>
      <c r="I1678" s="52"/>
      <c r="J1678" s="52"/>
      <c r="K1678" s="52"/>
      <c r="L1678" s="52"/>
      <c r="M1678" s="52"/>
      <c r="N1678" s="52"/>
      <c r="O1678" s="52"/>
      <c r="P1678" s="52"/>
      <c r="Q1678" s="52"/>
      <c r="R1678" s="52"/>
      <c r="S1678" s="52"/>
      <c r="T1678" s="52"/>
      <c r="U1678" s="52"/>
      <c r="V1678" s="52"/>
      <c r="W1678" s="52"/>
      <c r="X1678" s="52"/>
      <c r="Y1678" s="52"/>
      <c r="Z1678" s="52"/>
      <c r="AA1678" s="52"/>
      <c r="AB1678" s="52"/>
      <c r="AC1678" s="52"/>
      <c r="AD1678" s="52"/>
      <c r="AE1678" s="52"/>
      <c r="AF1678" s="52"/>
      <c r="AG1678" s="52"/>
      <c r="AH1678" s="52"/>
      <c r="AI1678" s="52"/>
      <c r="AJ1678" s="52"/>
      <c r="AK1678" s="52"/>
      <c r="AL1678" s="52"/>
      <c r="AM1678" s="52"/>
      <c r="AN1678" s="52"/>
    </row>
    <row r="1679" spans="1:40" x14ac:dyDescent="0.3">
      <c r="A1679" s="52">
        <v>1674</v>
      </c>
      <c r="B1679" s="52">
        <f>-bthan*500+(23+0.5)*bthan*1000/50</f>
        <v>-165</v>
      </c>
      <c r="C1679" s="52">
        <f t="shared" si="190"/>
        <v>-130</v>
      </c>
      <c r="D1679" s="52">
        <f t="shared" si="191"/>
        <v>2200</v>
      </c>
      <c r="E1679" s="52">
        <f t="shared" si="192"/>
        <v>1</v>
      </c>
      <c r="F1679" s="52"/>
      <c r="G1679" s="52"/>
      <c r="H1679" s="52"/>
      <c r="I1679" s="52"/>
      <c r="J1679" s="52"/>
      <c r="K1679" s="52"/>
      <c r="L1679" s="52"/>
      <c r="M1679" s="52"/>
      <c r="N1679" s="52"/>
      <c r="O1679" s="52"/>
      <c r="P1679" s="52"/>
      <c r="Q1679" s="52"/>
      <c r="R1679" s="52"/>
      <c r="S1679" s="52"/>
      <c r="T1679" s="52"/>
      <c r="U1679" s="52"/>
      <c r="V1679" s="52"/>
      <c r="W1679" s="52"/>
      <c r="X1679" s="52"/>
      <c r="Y1679" s="52"/>
      <c r="Z1679" s="52"/>
      <c r="AA1679" s="52"/>
      <c r="AB1679" s="52"/>
      <c r="AC1679" s="52"/>
      <c r="AD1679" s="52"/>
      <c r="AE1679" s="52"/>
      <c r="AF1679" s="52"/>
      <c r="AG1679" s="52"/>
      <c r="AH1679" s="52"/>
      <c r="AI1679" s="52"/>
      <c r="AJ1679" s="52"/>
      <c r="AK1679" s="52"/>
      <c r="AL1679" s="52"/>
      <c r="AM1679" s="52"/>
      <c r="AN1679" s="52"/>
    </row>
    <row r="1680" spans="1:40" x14ac:dyDescent="0.3">
      <c r="A1680" s="52">
        <v>1675</v>
      </c>
      <c r="B1680" s="52">
        <f>-bthan*500+(24+0.5)*bthan*1000/50</f>
        <v>-55</v>
      </c>
      <c r="C1680" s="52">
        <f t="shared" si="190"/>
        <v>-130</v>
      </c>
      <c r="D1680" s="52">
        <f t="shared" si="191"/>
        <v>2200</v>
      </c>
      <c r="E1680" s="52">
        <f t="shared" si="192"/>
        <v>1</v>
      </c>
      <c r="F1680" s="52"/>
      <c r="G1680" s="52"/>
      <c r="H1680" s="52"/>
      <c r="I1680" s="52"/>
      <c r="J1680" s="52"/>
      <c r="K1680" s="52"/>
      <c r="L1680" s="52"/>
      <c r="M1680" s="52"/>
      <c r="N1680" s="52"/>
      <c r="O1680" s="52"/>
      <c r="P1680" s="52"/>
      <c r="Q1680" s="52"/>
      <c r="R1680" s="52"/>
      <c r="S1680" s="52"/>
      <c r="T1680" s="52"/>
      <c r="U1680" s="52"/>
      <c r="V1680" s="52"/>
      <c r="W1680" s="52"/>
      <c r="X1680" s="52"/>
      <c r="Y1680" s="52"/>
      <c r="Z1680" s="52"/>
      <c r="AA1680" s="52"/>
      <c r="AB1680" s="52"/>
      <c r="AC1680" s="52"/>
      <c r="AD1680" s="52"/>
      <c r="AE1680" s="52"/>
      <c r="AF1680" s="52"/>
      <c r="AG1680" s="52"/>
      <c r="AH1680" s="52"/>
      <c r="AI1680" s="52"/>
      <c r="AJ1680" s="52"/>
      <c r="AK1680" s="52"/>
      <c r="AL1680" s="52"/>
      <c r="AM1680" s="52"/>
      <c r="AN1680" s="52"/>
    </row>
    <row r="1681" spans="1:40" x14ac:dyDescent="0.3">
      <c r="A1681" s="52">
        <v>1676</v>
      </c>
      <c r="B1681" s="52">
        <f>-bthan*500+(25+0.5)*bthan*1000/50</f>
        <v>55</v>
      </c>
      <c r="C1681" s="52">
        <f t="shared" si="190"/>
        <v>-130</v>
      </c>
      <c r="D1681" s="52">
        <f t="shared" si="191"/>
        <v>2200</v>
      </c>
      <c r="E1681" s="52">
        <f t="shared" si="192"/>
        <v>1</v>
      </c>
      <c r="F1681" s="52"/>
      <c r="G1681" s="52"/>
      <c r="H1681" s="52"/>
      <c r="I1681" s="52"/>
      <c r="J1681" s="52"/>
      <c r="K1681" s="52"/>
      <c r="L1681" s="52"/>
      <c r="M1681" s="52"/>
      <c r="N1681" s="52"/>
      <c r="O1681" s="52"/>
      <c r="P1681" s="52"/>
      <c r="Q1681" s="52"/>
      <c r="R1681" s="52"/>
      <c r="S1681" s="52"/>
      <c r="T1681" s="52"/>
      <c r="U1681" s="52"/>
      <c r="V1681" s="52"/>
      <c r="W1681" s="52"/>
      <c r="X1681" s="52"/>
      <c r="Y1681" s="52"/>
      <c r="Z1681" s="52"/>
      <c r="AA1681" s="52"/>
      <c r="AB1681" s="52"/>
      <c r="AC1681" s="52"/>
      <c r="AD1681" s="52"/>
      <c r="AE1681" s="52"/>
      <c r="AF1681" s="52"/>
      <c r="AG1681" s="52"/>
      <c r="AH1681" s="52"/>
      <c r="AI1681" s="52"/>
      <c r="AJ1681" s="52"/>
      <c r="AK1681" s="52"/>
      <c r="AL1681" s="52"/>
      <c r="AM1681" s="52"/>
      <c r="AN1681" s="52"/>
    </row>
    <row r="1682" spans="1:40" x14ac:dyDescent="0.3">
      <c r="A1682" s="52">
        <v>1677</v>
      </c>
      <c r="B1682" s="52">
        <f>-bthan*500+(26+0.5)*bthan*1000/50</f>
        <v>165</v>
      </c>
      <c r="C1682" s="52">
        <f t="shared" si="190"/>
        <v>-130</v>
      </c>
      <c r="D1682" s="52">
        <f t="shared" si="191"/>
        <v>2200</v>
      </c>
      <c r="E1682" s="52">
        <f t="shared" si="192"/>
        <v>1</v>
      </c>
      <c r="F1682" s="52"/>
      <c r="G1682" s="52"/>
      <c r="H1682" s="52"/>
      <c r="I1682" s="52"/>
      <c r="J1682" s="52"/>
      <c r="K1682" s="52"/>
      <c r="L1682" s="52"/>
      <c r="M1682" s="52"/>
      <c r="N1682" s="52"/>
      <c r="O1682" s="52"/>
      <c r="P1682" s="52"/>
      <c r="Q1682" s="52"/>
      <c r="R1682" s="52"/>
      <c r="S1682" s="52"/>
      <c r="T1682" s="52"/>
      <c r="U1682" s="52"/>
      <c r="V1682" s="52"/>
      <c r="W1682" s="52"/>
      <c r="X1682" s="52"/>
      <c r="Y1682" s="52"/>
      <c r="Z1682" s="52"/>
      <c r="AA1682" s="52"/>
      <c r="AB1682" s="52"/>
      <c r="AC1682" s="52"/>
      <c r="AD1682" s="52"/>
      <c r="AE1682" s="52"/>
      <c r="AF1682" s="52"/>
      <c r="AG1682" s="52"/>
      <c r="AH1682" s="52"/>
      <c r="AI1682" s="52"/>
      <c r="AJ1682" s="52"/>
      <c r="AK1682" s="52"/>
      <c r="AL1682" s="52"/>
      <c r="AM1682" s="52"/>
      <c r="AN1682" s="52"/>
    </row>
    <row r="1683" spans="1:40" x14ac:dyDescent="0.3">
      <c r="A1683" s="52">
        <v>1678</v>
      </c>
      <c r="B1683" s="52">
        <f>-bthan*500+(27+0.5)*bthan*1000/50</f>
        <v>275</v>
      </c>
      <c r="C1683" s="52">
        <f t="shared" si="190"/>
        <v>-130</v>
      </c>
      <c r="D1683" s="52">
        <f t="shared" si="191"/>
        <v>2200</v>
      </c>
      <c r="E1683" s="52">
        <f t="shared" si="192"/>
        <v>1</v>
      </c>
      <c r="F1683" s="52"/>
      <c r="G1683" s="52"/>
      <c r="H1683" s="52"/>
      <c r="I1683" s="52"/>
      <c r="J1683" s="52"/>
      <c r="K1683" s="52"/>
      <c r="L1683" s="52"/>
      <c r="M1683" s="52"/>
      <c r="N1683" s="52"/>
      <c r="O1683" s="52"/>
      <c r="P1683" s="52"/>
      <c r="Q1683" s="52"/>
      <c r="R1683" s="52"/>
      <c r="S1683" s="52"/>
      <c r="T1683" s="52"/>
      <c r="U1683" s="52"/>
      <c r="V1683" s="52"/>
      <c r="W1683" s="52"/>
      <c r="X1683" s="52"/>
      <c r="Y1683" s="52"/>
      <c r="Z1683" s="52"/>
      <c r="AA1683" s="52"/>
      <c r="AB1683" s="52"/>
      <c r="AC1683" s="52"/>
      <c r="AD1683" s="52"/>
      <c r="AE1683" s="52"/>
      <c r="AF1683" s="52"/>
      <c r="AG1683" s="52"/>
      <c r="AH1683" s="52"/>
      <c r="AI1683" s="52"/>
      <c r="AJ1683" s="52"/>
      <c r="AK1683" s="52"/>
      <c r="AL1683" s="52"/>
      <c r="AM1683" s="52"/>
      <c r="AN1683" s="52"/>
    </row>
    <row r="1684" spans="1:40" x14ac:dyDescent="0.3">
      <c r="A1684" s="52">
        <v>1679</v>
      </c>
      <c r="B1684" s="52">
        <f>-bthan*500+(28+0.5)*bthan*1000/50</f>
        <v>385</v>
      </c>
      <c r="C1684" s="52">
        <f t="shared" si="190"/>
        <v>-130</v>
      </c>
      <c r="D1684" s="52">
        <f t="shared" si="191"/>
        <v>2200</v>
      </c>
      <c r="E1684" s="52">
        <f t="shared" si="192"/>
        <v>1</v>
      </c>
      <c r="F1684" s="52"/>
      <c r="G1684" s="52"/>
      <c r="H1684" s="52"/>
      <c r="I1684" s="52"/>
      <c r="J1684" s="52"/>
      <c r="K1684" s="52"/>
      <c r="L1684" s="52"/>
      <c r="M1684" s="52"/>
      <c r="N1684" s="52"/>
      <c r="O1684" s="52"/>
      <c r="P1684" s="52"/>
      <c r="Q1684" s="52"/>
      <c r="R1684" s="52"/>
      <c r="S1684" s="52"/>
      <c r="T1684" s="52"/>
      <c r="U1684" s="52"/>
      <c r="V1684" s="52"/>
      <c r="W1684" s="52"/>
      <c r="X1684" s="52"/>
      <c r="Y1684" s="52"/>
      <c r="Z1684" s="52"/>
      <c r="AA1684" s="52"/>
      <c r="AB1684" s="52"/>
      <c r="AC1684" s="52"/>
      <c r="AD1684" s="52"/>
      <c r="AE1684" s="52"/>
      <c r="AF1684" s="52"/>
      <c r="AG1684" s="52"/>
      <c r="AH1684" s="52"/>
      <c r="AI1684" s="52"/>
      <c r="AJ1684" s="52"/>
      <c r="AK1684" s="52"/>
      <c r="AL1684" s="52"/>
      <c r="AM1684" s="52"/>
      <c r="AN1684" s="52"/>
    </row>
    <row r="1685" spans="1:40" x14ac:dyDescent="0.3">
      <c r="A1685" s="52">
        <v>1680</v>
      </c>
      <c r="B1685" s="52">
        <f>-bthan*500+(29+0.5)*bthan*1000/50</f>
        <v>495</v>
      </c>
      <c r="C1685" s="52">
        <f t="shared" si="190"/>
        <v>-130</v>
      </c>
      <c r="D1685" s="52">
        <f t="shared" si="191"/>
        <v>2200</v>
      </c>
      <c r="E1685" s="52">
        <f t="shared" si="192"/>
        <v>1</v>
      </c>
      <c r="F1685" s="52"/>
      <c r="G1685" s="52"/>
      <c r="H1685" s="52"/>
      <c r="I1685" s="52"/>
      <c r="J1685" s="52"/>
      <c r="K1685" s="52"/>
      <c r="L1685" s="52"/>
      <c r="M1685" s="52"/>
      <c r="N1685" s="52"/>
      <c r="O1685" s="52"/>
      <c r="P1685" s="52"/>
      <c r="Q1685" s="52"/>
      <c r="R1685" s="52"/>
      <c r="S1685" s="52"/>
      <c r="T1685" s="52"/>
      <c r="U1685" s="52"/>
      <c r="V1685" s="52"/>
      <c r="W1685" s="52"/>
      <c r="X1685" s="52"/>
      <c r="Y1685" s="52"/>
      <c r="Z1685" s="52"/>
      <c r="AA1685" s="52"/>
      <c r="AB1685" s="52"/>
      <c r="AC1685" s="52"/>
      <c r="AD1685" s="52"/>
      <c r="AE1685" s="52"/>
      <c r="AF1685" s="52"/>
      <c r="AG1685" s="52"/>
      <c r="AH1685" s="52"/>
      <c r="AI1685" s="52"/>
      <c r="AJ1685" s="52"/>
      <c r="AK1685" s="52"/>
      <c r="AL1685" s="52"/>
      <c r="AM1685" s="52"/>
      <c r="AN1685" s="52"/>
    </row>
    <row r="1686" spans="1:40" x14ac:dyDescent="0.3">
      <c r="A1686" s="52">
        <v>1681</v>
      </c>
      <c r="B1686" s="52">
        <f>-bthan*500+(30+0.5)*bthan*1000/50</f>
        <v>605</v>
      </c>
      <c r="C1686" s="52">
        <f t="shared" si="190"/>
        <v>-130</v>
      </c>
      <c r="D1686" s="52">
        <f t="shared" si="191"/>
        <v>2200</v>
      </c>
      <c r="E1686" s="52">
        <f t="shared" si="192"/>
        <v>1</v>
      </c>
      <c r="F1686" s="52"/>
      <c r="G1686" s="52"/>
      <c r="H1686" s="52"/>
      <c r="I1686" s="52"/>
      <c r="J1686" s="52"/>
      <c r="K1686" s="52"/>
      <c r="L1686" s="52"/>
      <c r="M1686" s="52"/>
      <c r="N1686" s="52"/>
      <c r="O1686" s="52"/>
      <c r="P1686" s="52"/>
      <c r="Q1686" s="52"/>
      <c r="R1686" s="52"/>
      <c r="S1686" s="52"/>
      <c r="T1686" s="52"/>
      <c r="U1686" s="52"/>
      <c r="V1686" s="52"/>
      <c r="W1686" s="52"/>
      <c r="X1686" s="52"/>
      <c r="Y1686" s="52"/>
      <c r="Z1686" s="52"/>
      <c r="AA1686" s="52"/>
      <c r="AB1686" s="52"/>
      <c r="AC1686" s="52"/>
      <c r="AD1686" s="52"/>
      <c r="AE1686" s="52"/>
      <c r="AF1686" s="52"/>
      <c r="AG1686" s="52"/>
      <c r="AH1686" s="52"/>
      <c r="AI1686" s="52"/>
      <c r="AJ1686" s="52"/>
      <c r="AK1686" s="52"/>
      <c r="AL1686" s="52"/>
      <c r="AM1686" s="52"/>
      <c r="AN1686" s="52"/>
    </row>
    <row r="1687" spans="1:40" x14ac:dyDescent="0.3">
      <c r="A1687" s="52">
        <v>1682</v>
      </c>
      <c r="B1687" s="52">
        <f>-bthan*500+(31+0.5)*bthan*1000/50</f>
        <v>715</v>
      </c>
      <c r="C1687" s="52">
        <f t="shared" si="190"/>
        <v>-130</v>
      </c>
      <c r="D1687" s="52">
        <f t="shared" si="191"/>
        <v>2200</v>
      </c>
      <c r="E1687" s="52">
        <f t="shared" si="192"/>
        <v>1</v>
      </c>
      <c r="F1687" s="52"/>
      <c r="G1687" s="52"/>
      <c r="H1687" s="52"/>
      <c r="I1687" s="52"/>
      <c r="J1687" s="52"/>
      <c r="K1687" s="52"/>
      <c r="L1687" s="52"/>
      <c r="M1687" s="52"/>
      <c r="N1687" s="52"/>
      <c r="O1687" s="52"/>
      <c r="P1687" s="52"/>
      <c r="Q1687" s="52"/>
      <c r="R1687" s="52"/>
      <c r="S1687" s="52"/>
      <c r="T1687" s="52"/>
      <c r="U1687" s="52"/>
      <c r="V1687" s="52"/>
      <c r="W1687" s="52"/>
      <c r="X1687" s="52"/>
      <c r="Y1687" s="52"/>
      <c r="Z1687" s="52"/>
      <c r="AA1687" s="52"/>
      <c r="AB1687" s="52"/>
      <c r="AC1687" s="52"/>
      <c r="AD1687" s="52"/>
      <c r="AE1687" s="52"/>
      <c r="AF1687" s="52"/>
      <c r="AG1687" s="52"/>
      <c r="AH1687" s="52"/>
      <c r="AI1687" s="52"/>
      <c r="AJ1687" s="52"/>
      <c r="AK1687" s="52"/>
      <c r="AL1687" s="52"/>
      <c r="AM1687" s="52"/>
      <c r="AN1687" s="52"/>
    </row>
    <row r="1688" spans="1:40" x14ac:dyDescent="0.3">
      <c r="A1688" s="52">
        <v>1683</v>
      </c>
      <c r="B1688" s="52">
        <f>-bthan*500+(32+0.5)*bthan*1000/50</f>
        <v>825</v>
      </c>
      <c r="C1688" s="52">
        <f t="shared" ref="C1688:C1705" si="193">-hthan*500+(33+0.5)*hthan*1000/80</f>
        <v>-130</v>
      </c>
      <c r="D1688" s="52">
        <f t="shared" si="191"/>
        <v>2200</v>
      </c>
      <c r="E1688" s="52">
        <f t="shared" si="192"/>
        <v>1</v>
      </c>
      <c r="F1688" s="52"/>
      <c r="G1688" s="52"/>
      <c r="H1688" s="52"/>
      <c r="I1688" s="52"/>
      <c r="J1688" s="52"/>
      <c r="K1688" s="52"/>
      <c r="L1688" s="52"/>
      <c r="M1688" s="52"/>
      <c r="N1688" s="52"/>
      <c r="O1688" s="52"/>
      <c r="P1688" s="52"/>
      <c r="Q1688" s="52"/>
      <c r="R1688" s="52"/>
      <c r="S1688" s="52"/>
      <c r="T1688" s="52"/>
      <c r="U1688" s="52"/>
      <c r="V1688" s="52"/>
      <c r="W1688" s="52"/>
      <c r="X1688" s="52"/>
      <c r="Y1688" s="52"/>
      <c r="Z1688" s="52"/>
      <c r="AA1688" s="52"/>
      <c r="AB1688" s="52"/>
      <c r="AC1688" s="52"/>
      <c r="AD1688" s="52"/>
      <c r="AE1688" s="52"/>
      <c r="AF1688" s="52"/>
      <c r="AG1688" s="52"/>
      <c r="AH1688" s="52"/>
      <c r="AI1688" s="52"/>
      <c r="AJ1688" s="52"/>
      <c r="AK1688" s="52"/>
      <c r="AL1688" s="52"/>
      <c r="AM1688" s="52"/>
      <c r="AN1688" s="52"/>
    </row>
    <row r="1689" spans="1:40" x14ac:dyDescent="0.3">
      <c r="A1689" s="52">
        <v>1684</v>
      </c>
      <c r="B1689" s="52">
        <f>-bthan*500+(33+0.5)*bthan*1000/50</f>
        <v>935</v>
      </c>
      <c r="C1689" s="52">
        <f t="shared" si="193"/>
        <v>-130</v>
      </c>
      <c r="D1689" s="52">
        <f t="shared" si="191"/>
        <v>2200</v>
      </c>
      <c r="E1689" s="52">
        <f t="shared" si="192"/>
        <v>1</v>
      </c>
      <c r="F1689" s="52"/>
      <c r="G1689" s="52"/>
      <c r="H1689" s="52"/>
      <c r="I1689" s="52"/>
      <c r="J1689" s="52"/>
      <c r="K1689" s="52"/>
      <c r="L1689" s="52"/>
      <c r="M1689" s="52"/>
      <c r="N1689" s="52"/>
      <c r="O1689" s="52"/>
      <c r="P1689" s="52"/>
      <c r="Q1689" s="52"/>
      <c r="R1689" s="52"/>
      <c r="S1689" s="52"/>
      <c r="T1689" s="52"/>
      <c r="U1689" s="52"/>
      <c r="V1689" s="52"/>
      <c r="W1689" s="52"/>
      <c r="X1689" s="52"/>
      <c r="Y1689" s="52"/>
      <c r="Z1689" s="52"/>
      <c r="AA1689" s="52"/>
      <c r="AB1689" s="52"/>
      <c r="AC1689" s="52"/>
      <c r="AD1689" s="52"/>
      <c r="AE1689" s="52"/>
      <c r="AF1689" s="52"/>
      <c r="AG1689" s="52"/>
      <c r="AH1689" s="52"/>
      <c r="AI1689" s="52"/>
      <c r="AJ1689" s="52"/>
      <c r="AK1689" s="52"/>
      <c r="AL1689" s="52"/>
      <c r="AM1689" s="52"/>
      <c r="AN1689" s="52"/>
    </row>
    <row r="1690" spans="1:40" x14ac:dyDescent="0.3">
      <c r="A1690" s="52">
        <v>1685</v>
      </c>
      <c r="B1690" s="52">
        <f>-bthan*500+(34+0.5)*bthan*1000/50</f>
        <v>1045</v>
      </c>
      <c r="C1690" s="52">
        <f t="shared" si="193"/>
        <v>-130</v>
      </c>
      <c r="D1690" s="52">
        <f t="shared" si="191"/>
        <v>2200</v>
      </c>
      <c r="E1690" s="52">
        <f t="shared" si="192"/>
        <v>1</v>
      </c>
      <c r="F1690" s="52"/>
      <c r="G1690" s="52"/>
      <c r="H1690" s="52"/>
      <c r="I1690" s="52"/>
      <c r="J1690" s="52"/>
      <c r="K1690" s="52"/>
      <c r="L1690" s="52"/>
      <c r="M1690" s="52"/>
      <c r="N1690" s="52"/>
      <c r="O1690" s="52"/>
      <c r="P1690" s="52"/>
      <c r="Q1690" s="52"/>
      <c r="R1690" s="52"/>
      <c r="S1690" s="52"/>
      <c r="T1690" s="52"/>
      <c r="U1690" s="52"/>
      <c r="V1690" s="52"/>
      <c r="W1690" s="52"/>
      <c r="X1690" s="52"/>
      <c r="Y1690" s="52"/>
      <c r="Z1690" s="52"/>
      <c r="AA1690" s="52"/>
      <c r="AB1690" s="52"/>
      <c r="AC1690" s="52"/>
      <c r="AD1690" s="52"/>
      <c r="AE1690" s="52"/>
      <c r="AF1690" s="52"/>
      <c r="AG1690" s="52"/>
      <c r="AH1690" s="52"/>
      <c r="AI1690" s="52"/>
      <c r="AJ1690" s="52"/>
      <c r="AK1690" s="52"/>
      <c r="AL1690" s="52"/>
      <c r="AM1690" s="52"/>
      <c r="AN1690" s="52"/>
    </row>
    <row r="1691" spans="1:40" x14ac:dyDescent="0.3">
      <c r="A1691" s="52">
        <v>1686</v>
      </c>
      <c r="B1691" s="52">
        <f>-bthan*500+(35+0.5)*bthan*1000/50</f>
        <v>1155</v>
      </c>
      <c r="C1691" s="52">
        <f t="shared" si="193"/>
        <v>-130</v>
      </c>
      <c r="D1691" s="52">
        <f t="shared" si="191"/>
        <v>2200</v>
      </c>
      <c r="E1691" s="52">
        <f t="shared" si="192"/>
        <v>1</v>
      </c>
      <c r="F1691" s="52"/>
      <c r="G1691" s="52"/>
      <c r="H1691" s="52"/>
      <c r="I1691" s="52"/>
      <c r="J1691" s="52"/>
      <c r="K1691" s="52"/>
      <c r="L1691" s="52"/>
      <c r="M1691" s="52"/>
      <c r="N1691" s="52"/>
      <c r="O1691" s="52"/>
      <c r="P1691" s="52"/>
      <c r="Q1691" s="52"/>
      <c r="R1691" s="52"/>
      <c r="S1691" s="52"/>
      <c r="T1691" s="52"/>
      <c r="U1691" s="52"/>
      <c r="V1691" s="52"/>
      <c r="W1691" s="52"/>
      <c r="X1691" s="52"/>
      <c r="Y1691" s="52"/>
      <c r="Z1691" s="52"/>
      <c r="AA1691" s="52"/>
      <c r="AB1691" s="52"/>
      <c r="AC1691" s="52"/>
      <c r="AD1691" s="52"/>
      <c r="AE1691" s="52"/>
      <c r="AF1691" s="52"/>
      <c r="AG1691" s="52"/>
      <c r="AH1691" s="52"/>
      <c r="AI1691" s="52"/>
      <c r="AJ1691" s="52"/>
      <c r="AK1691" s="52"/>
      <c r="AL1691" s="52"/>
      <c r="AM1691" s="52"/>
      <c r="AN1691" s="52"/>
    </row>
    <row r="1692" spans="1:40" x14ac:dyDescent="0.3">
      <c r="A1692" s="52">
        <v>1687</v>
      </c>
      <c r="B1692" s="52">
        <f>-bthan*500+(36+0.5)*bthan*1000/50</f>
        <v>1265</v>
      </c>
      <c r="C1692" s="52">
        <f t="shared" si="193"/>
        <v>-130</v>
      </c>
      <c r="D1692" s="52">
        <f t="shared" si="191"/>
        <v>2200</v>
      </c>
      <c r="E1692" s="52">
        <f t="shared" si="192"/>
        <v>1</v>
      </c>
      <c r="F1692" s="52"/>
      <c r="G1692" s="52"/>
      <c r="H1692" s="52"/>
      <c r="I1692" s="52"/>
      <c r="J1692" s="52"/>
      <c r="K1692" s="52"/>
      <c r="L1692" s="52"/>
      <c r="M1692" s="52"/>
      <c r="N1692" s="52"/>
      <c r="O1692" s="52"/>
      <c r="P1692" s="52"/>
      <c r="Q1692" s="52"/>
      <c r="R1692" s="52"/>
      <c r="S1692" s="52"/>
      <c r="T1692" s="52"/>
      <c r="U1692" s="52"/>
      <c r="V1692" s="52"/>
      <c r="W1692" s="52"/>
      <c r="X1692" s="52"/>
      <c r="Y1692" s="52"/>
      <c r="Z1692" s="52"/>
      <c r="AA1692" s="52"/>
      <c r="AB1692" s="52"/>
      <c r="AC1692" s="52"/>
      <c r="AD1692" s="52"/>
      <c r="AE1692" s="52"/>
      <c r="AF1692" s="52"/>
      <c r="AG1692" s="52"/>
      <c r="AH1692" s="52"/>
      <c r="AI1692" s="52"/>
      <c r="AJ1692" s="52"/>
      <c r="AK1692" s="52"/>
      <c r="AL1692" s="52"/>
      <c r="AM1692" s="52"/>
      <c r="AN1692" s="52"/>
    </row>
    <row r="1693" spans="1:40" x14ac:dyDescent="0.3">
      <c r="A1693" s="52">
        <v>1688</v>
      </c>
      <c r="B1693" s="52">
        <f>-bthan*500+(37+0.5)*bthan*1000/50</f>
        <v>1375</v>
      </c>
      <c r="C1693" s="52">
        <f t="shared" si="193"/>
        <v>-130</v>
      </c>
      <c r="D1693" s="52">
        <f t="shared" si="191"/>
        <v>2200</v>
      </c>
      <c r="E1693" s="52">
        <f t="shared" si="192"/>
        <v>1</v>
      </c>
      <c r="F1693" s="52"/>
      <c r="G1693" s="52"/>
      <c r="H1693" s="52"/>
      <c r="I1693" s="52"/>
      <c r="J1693" s="52"/>
      <c r="K1693" s="52"/>
      <c r="L1693" s="52"/>
      <c r="M1693" s="52"/>
      <c r="N1693" s="52"/>
      <c r="O1693" s="52"/>
      <c r="P1693" s="52"/>
      <c r="Q1693" s="52"/>
      <c r="R1693" s="52"/>
      <c r="S1693" s="52"/>
      <c r="T1693" s="52"/>
      <c r="U1693" s="52"/>
      <c r="V1693" s="52"/>
      <c r="W1693" s="52"/>
      <c r="X1693" s="52"/>
      <c r="Y1693" s="52"/>
      <c r="Z1693" s="52"/>
      <c r="AA1693" s="52"/>
      <c r="AB1693" s="52"/>
      <c r="AC1693" s="52"/>
      <c r="AD1693" s="52"/>
      <c r="AE1693" s="52"/>
      <c r="AF1693" s="52"/>
      <c r="AG1693" s="52"/>
      <c r="AH1693" s="52"/>
      <c r="AI1693" s="52"/>
      <c r="AJ1693" s="52"/>
      <c r="AK1693" s="52"/>
      <c r="AL1693" s="52"/>
      <c r="AM1693" s="52"/>
      <c r="AN1693" s="52"/>
    </row>
    <row r="1694" spans="1:40" x14ac:dyDescent="0.3">
      <c r="A1694" s="52">
        <v>1689</v>
      </c>
      <c r="B1694" s="52">
        <f>-bthan*500+(38+0.5)*bthan*1000/50</f>
        <v>1485</v>
      </c>
      <c r="C1694" s="52">
        <f t="shared" si="193"/>
        <v>-130</v>
      </c>
      <c r="D1694" s="52">
        <f t="shared" si="191"/>
        <v>2200</v>
      </c>
      <c r="E1694" s="52">
        <f t="shared" si="192"/>
        <v>1</v>
      </c>
      <c r="F1694" s="52"/>
      <c r="G1694" s="52"/>
      <c r="H1694" s="52"/>
      <c r="I1694" s="52"/>
      <c r="J1694" s="52"/>
      <c r="K1694" s="52"/>
      <c r="L1694" s="52"/>
      <c r="M1694" s="52"/>
      <c r="N1694" s="52"/>
      <c r="O1694" s="52"/>
      <c r="P1694" s="52"/>
      <c r="Q1694" s="52"/>
      <c r="R1694" s="52"/>
      <c r="S1694" s="52"/>
      <c r="T1694" s="52"/>
      <c r="U1694" s="52"/>
      <c r="V1694" s="52"/>
      <c r="W1694" s="52"/>
      <c r="X1694" s="52"/>
      <c r="Y1694" s="52"/>
      <c r="Z1694" s="52"/>
      <c r="AA1694" s="52"/>
      <c r="AB1694" s="52"/>
      <c r="AC1694" s="52"/>
      <c r="AD1694" s="52"/>
      <c r="AE1694" s="52"/>
      <c r="AF1694" s="52"/>
      <c r="AG1694" s="52"/>
      <c r="AH1694" s="52"/>
      <c r="AI1694" s="52"/>
      <c r="AJ1694" s="52"/>
      <c r="AK1694" s="52"/>
      <c r="AL1694" s="52"/>
      <c r="AM1694" s="52"/>
      <c r="AN1694" s="52"/>
    </row>
    <row r="1695" spans="1:40" x14ac:dyDescent="0.3">
      <c r="A1695" s="52">
        <v>1690</v>
      </c>
      <c r="B1695" s="52">
        <f>-bthan*500+(39+0.5)*bthan*1000/50</f>
        <v>1595</v>
      </c>
      <c r="C1695" s="52">
        <f t="shared" si="193"/>
        <v>-130</v>
      </c>
      <c r="D1695" s="52">
        <f t="shared" si="191"/>
        <v>2200</v>
      </c>
      <c r="E1695" s="52">
        <f t="shared" si="192"/>
        <v>1</v>
      </c>
      <c r="F1695" s="52"/>
      <c r="G1695" s="52"/>
      <c r="H1695" s="52"/>
      <c r="I1695" s="52"/>
      <c r="J1695" s="52"/>
      <c r="K1695" s="52"/>
      <c r="L1695" s="52"/>
      <c r="M1695" s="52"/>
      <c r="N1695" s="52"/>
      <c r="O1695" s="52"/>
      <c r="P1695" s="52"/>
      <c r="Q1695" s="52"/>
      <c r="R1695" s="52"/>
      <c r="S1695" s="52"/>
      <c r="T1695" s="52"/>
      <c r="U1695" s="52"/>
      <c r="V1695" s="52"/>
      <c r="W1695" s="52"/>
      <c r="X1695" s="52"/>
      <c r="Y1695" s="52"/>
      <c r="Z1695" s="52"/>
      <c r="AA1695" s="52"/>
      <c r="AB1695" s="52"/>
      <c r="AC1695" s="52"/>
      <c r="AD1695" s="52"/>
      <c r="AE1695" s="52"/>
      <c r="AF1695" s="52"/>
      <c r="AG1695" s="52"/>
      <c r="AH1695" s="52"/>
      <c r="AI1695" s="52"/>
      <c r="AJ1695" s="52"/>
      <c r="AK1695" s="52"/>
      <c r="AL1695" s="52"/>
      <c r="AM1695" s="52"/>
      <c r="AN1695" s="52"/>
    </row>
    <row r="1696" spans="1:40" x14ac:dyDescent="0.3">
      <c r="A1696" s="52">
        <v>1691</v>
      </c>
      <c r="B1696" s="52">
        <f>-bthan*500+(40+0.5)*bthan*1000/50</f>
        <v>1705</v>
      </c>
      <c r="C1696" s="52">
        <f t="shared" si="193"/>
        <v>-130</v>
      </c>
      <c r="D1696" s="52">
        <f t="shared" si="191"/>
        <v>2200</v>
      </c>
      <c r="E1696" s="52">
        <f t="shared" si="192"/>
        <v>1</v>
      </c>
      <c r="F1696" s="52"/>
      <c r="G1696" s="52"/>
      <c r="H1696" s="52"/>
      <c r="I1696" s="52"/>
      <c r="J1696" s="52"/>
      <c r="K1696" s="52"/>
      <c r="L1696" s="52"/>
      <c r="M1696" s="52"/>
      <c r="N1696" s="52"/>
      <c r="O1696" s="52"/>
      <c r="P1696" s="52"/>
      <c r="Q1696" s="52"/>
      <c r="R1696" s="52"/>
      <c r="S1696" s="52"/>
      <c r="T1696" s="52"/>
      <c r="U1696" s="52"/>
      <c r="V1696" s="52"/>
      <c r="W1696" s="52"/>
      <c r="X1696" s="52"/>
      <c r="Y1696" s="52"/>
      <c r="Z1696" s="52"/>
      <c r="AA1696" s="52"/>
      <c r="AB1696" s="52"/>
      <c r="AC1696" s="52"/>
      <c r="AD1696" s="52"/>
      <c r="AE1696" s="52"/>
      <c r="AF1696" s="52"/>
      <c r="AG1696" s="52"/>
      <c r="AH1696" s="52"/>
      <c r="AI1696" s="52"/>
      <c r="AJ1696" s="52"/>
      <c r="AK1696" s="52"/>
      <c r="AL1696" s="52"/>
      <c r="AM1696" s="52"/>
      <c r="AN1696" s="52"/>
    </row>
    <row r="1697" spans="1:40" x14ac:dyDescent="0.3">
      <c r="A1697" s="52">
        <v>1692</v>
      </c>
      <c r="B1697" s="52">
        <f>-bthan*500+(41+0.5)*bthan*1000/50</f>
        <v>1815</v>
      </c>
      <c r="C1697" s="52">
        <f t="shared" si="193"/>
        <v>-130</v>
      </c>
      <c r="D1697" s="52">
        <f t="shared" si="191"/>
        <v>2200</v>
      </c>
      <c r="E1697" s="52">
        <f t="shared" si="192"/>
        <v>1</v>
      </c>
      <c r="F1697" s="52"/>
      <c r="G1697" s="52"/>
      <c r="H1697" s="52"/>
      <c r="I1697" s="52"/>
      <c r="J1697" s="52"/>
      <c r="K1697" s="52"/>
      <c r="L1697" s="52"/>
      <c r="M1697" s="52"/>
      <c r="N1697" s="52"/>
      <c r="O1697" s="52"/>
      <c r="P1697" s="52"/>
      <c r="Q1697" s="52"/>
      <c r="R1697" s="52"/>
      <c r="S1697" s="52"/>
      <c r="T1697" s="52"/>
      <c r="U1697" s="52"/>
      <c r="V1697" s="52"/>
      <c r="W1697" s="52"/>
      <c r="X1697" s="52"/>
      <c r="Y1697" s="52"/>
      <c r="Z1697" s="52"/>
      <c r="AA1697" s="52"/>
      <c r="AB1697" s="52"/>
      <c r="AC1697" s="52"/>
      <c r="AD1697" s="52"/>
      <c r="AE1697" s="52"/>
      <c r="AF1697" s="52"/>
      <c r="AG1697" s="52"/>
      <c r="AH1697" s="52"/>
      <c r="AI1697" s="52"/>
      <c r="AJ1697" s="52"/>
      <c r="AK1697" s="52"/>
      <c r="AL1697" s="52"/>
      <c r="AM1697" s="52"/>
      <c r="AN1697" s="52"/>
    </row>
    <row r="1698" spans="1:40" x14ac:dyDescent="0.3">
      <c r="A1698" s="52">
        <v>1693</v>
      </c>
      <c r="B1698" s="52">
        <f>-bthan*500+(42+0.5)*bthan*1000/50</f>
        <v>1925</v>
      </c>
      <c r="C1698" s="52">
        <f t="shared" si="193"/>
        <v>-130</v>
      </c>
      <c r="D1698" s="52">
        <f t="shared" si="191"/>
        <v>2200</v>
      </c>
      <c r="E1698" s="52">
        <f t="shared" si="192"/>
        <v>1</v>
      </c>
      <c r="F1698" s="52"/>
      <c r="G1698" s="52"/>
      <c r="H1698" s="52"/>
      <c r="I1698" s="52"/>
      <c r="J1698" s="52"/>
      <c r="K1698" s="52"/>
      <c r="L1698" s="52"/>
      <c r="M1698" s="52"/>
      <c r="N1698" s="52"/>
      <c r="O1698" s="52"/>
      <c r="P1698" s="52"/>
      <c r="Q1698" s="52"/>
      <c r="R1698" s="52"/>
      <c r="S1698" s="52"/>
      <c r="T1698" s="52"/>
      <c r="U1698" s="52"/>
      <c r="V1698" s="52"/>
      <c r="W1698" s="52"/>
      <c r="X1698" s="52"/>
      <c r="Y1698" s="52"/>
      <c r="Z1698" s="52"/>
      <c r="AA1698" s="52"/>
      <c r="AB1698" s="52"/>
      <c r="AC1698" s="52"/>
      <c r="AD1698" s="52"/>
      <c r="AE1698" s="52"/>
      <c r="AF1698" s="52"/>
      <c r="AG1698" s="52"/>
      <c r="AH1698" s="52"/>
      <c r="AI1698" s="52"/>
      <c r="AJ1698" s="52"/>
      <c r="AK1698" s="52"/>
      <c r="AL1698" s="52"/>
      <c r="AM1698" s="52"/>
      <c r="AN1698" s="52"/>
    </row>
    <row r="1699" spans="1:40" x14ac:dyDescent="0.3">
      <c r="A1699" s="52">
        <v>1694</v>
      </c>
      <c r="B1699" s="52">
        <f>-bthan*500+(43+0.5)*bthan*1000/50</f>
        <v>2035</v>
      </c>
      <c r="C1699" s="52">
        <f t="shared" si="193"/>
        <v>-130</v>
      </c>
      <c r="D1699" s="52">
        <f t="shared" si="191"/>
        <v>2200</v>
      </c>
      <c r="E1699" s="52">
        <f t="shared" si="192"/>
        <v>1</v>
      </c>
      <c r="F1699" s="52"/>
      <c r="G1699" s="52"/>
      <c r="H1699" s="52"/>
      <c r="I1699" s="52"/>
      <c r="J1699" s="52"/>
      <c r="K1699" s="52"/>
      <c r="L1699" s="52"/>
      <c r="M1699" s="52"/>
      <c r="N1699" s="52"/>
      <c r="O1699" s="52"/>
      <c r="P1699" s="52"/>
      <c r="Q1699" s="52"/>
      <c r="R1699" s="52"/>
      <c r="S1699" s="52"/>
      <c r="T1699" s="52"/>
      <c r="U1699" s="52"/>
      <c r="V1699" s="52"/>
      <c r="W1699" s="52"/>
      <c r="X1699" s="52"/>
      <c r="Y1699" s="52"/>
      <c r="Z1699" s="52"/>
      <c r="AA1699" s="52"/>
      <c r="AB1699" s="52"/>
      <c r="AC1699" s="52"/>
      <c r="AD1699" s="52"/>
      <c r="AE1699" s="52"/>
      <c r="AF1699" s="52"/>
      <c r="AG1699" s="52"/>
      <c r="AH1699" s="52"/>
      <c r="AI1699" s="52"/>
      <c r="AJ1699" s="52"/>
      <c r="AK1699" s="52"/>
      <c r="AL1699" s="52"/>
      <c r="AM1699" s="52"/>
      <c r="AN1699" s="52"/>
    </row>
    <row r="1700" spans="1:40" x14ac:dyDescent="0.3">
      <c r="A1700" s="52">
        <v>1695</v>
      </c>
      <c r="B1700" s="52">
        <f>-bthan*500+(44+0.5)*bthan*1000/50</f>
        <v>2145</v>
      </c>
      <c r="C1700" s="52">
        <f t="shared" si="193"/>
        <v>-130</v>
      </c>
      <c r="D1700" s="52">
        <f t="shared" si="191"/>
        <v>2200</v>
      </c>
      <c r="E1700" s="52">
        <f t="shared" si="192"/>
        <v>1</v>
      </c>
      <c r="F1700" s="52"/>
      <c r="G1700" s="52"/>
      <c r="H1700" s="52"/>
      <c r="I1700" s="52"/>
      <c r="J1700" s="52"/>
      <c r="K1700" s="52"/>
      <c r="L1700" s="52"/>
      <c r="M1700" s="52"/>
      <c r="N1700" s="52"/>
      <c r="O1700" s="52"/>
      <c r="P1700" s="52"/>
      <c r="Q1700" s="52"/>
      <c r="R1700" s="52"/>
      <c r="S1700" s="52"/>
      <c r="T1700" s="52"/>
      <c r="U1700" s="52"/>
      <c r="V1700" s="52"/>
      <c r="W1700" s="52"/>
      <c r="X1700" s="52"/>
      <c r="Y1700" s="52"/>
      <c r="Z1700" s="52"/>
      <c r="AA1700" s="52"/>
      <c r="AB1700" s="52"/>
      <c r="AC1700" s="52"/>
      <c r="AD1700" s="52"/>
      <c r="AE1700" s="52"/>
      <c r="AF1700" s="52"/>
      <c r="AG1700" s="52"/>
      <c r="AH1700" s="52"/>
      <c r="AI1700" s="52"/>
      <c r="AJ1700" s="52"/>
      <c r="AK1700" s="52"/>
      <c r="AL1700" s="52"/>
      <c r="AM1700" s="52"/>
      <c r="AN1700" s="52"/>
    </row>
    <row r="1701" spans="1:40" x14ac:dyDescent="0.3">
      <c r="A1701" s="52">
        <v>1696</v>
      </c>
      <c r="B1701" s="52">
        <f>-bthan*500+(45+0.5)*bthan*1000/50</f>
        <v>2255</v>
      </c>
      <c r="C1701" s="52">
        <f t="shared" si="193"/>
        <v>-130</v>
      </c>
      <c r="D1701" s="52">
        <f t="shared" si="191"/>
        <v>2200</v>
      </c>
      <c r="E1701" s="52">
        <f t="shared" si="192"/>
        <v>1</v>
      </c>
      <c r="F1701" s="52"/>
      <c r="G1701" s="52"/>
      <c r="H1701" s="52"/>
      <c r="I1701" s="52"/>
      <c r="J1701" s="52"/>
      <c r="K1701" s="52"/>
      <c r="L1701" s="52"/>
      <c r="M1701" s="52"/>
      <c r="N1701" s="52"/>
      <c r="O1701" s="52"/>
      <c r="P1701" s="52"/>
      <c r="Q1701" s="52"/>
      <c r="R1701" s="52"/>
      <c r="S1701" s="52"/>
      <c r="T1701" s="52"/>
      <c r="U1701" s="52"/>
      <c r="V1701" s="52"/>
      <c r="W1701" s="52"/>
      <c r="X1701" s="52"/>
      <c r="Y1701" s="52"/>
      <c r="Z1701" s="52"/>
      <c r="AA1701" s="52"/>
      <c r="AB1701" s="52"/>
      <c r="AC1701" s="52"/>
      <c r="AD1701" s="52"/>
      <c r="AE1701" s="52"/>
      <c r="AF1701" s="52"/>
      <c r="AG1701" s="52"/>
      <c r="AH1701" s="52"/>
      <c r="AI1701" s="52"/>
      <c r="AJ1701" s="52"/>
      <c r="AK1701" s="52"/>
      <c r="AL1701" s="52"/>
      <c r="AM1701" s="52"/>
      <c r="AN1701" s="52"/>
    </row>
    <row r="1702" spans="1:40" x14ac:dyDescent="0.3">
      <c r="A1702" s="52">
        <v>1697</v>
      </c>
      <c r="B1702" s="52">
        <f>-bthan*500+(46+0.5)*bthan*1000/50</f>
        <v>2365</v>
      </c>
      <c r="C1702" s="52">
        <f t="shared" si="193"/>
        <v>-130</v>
      </c>
      <c r="D1702" s="52">
        <f t="shared" si="191"/>
        <v>2200</v>
      </c>
      <c r="E1702" s="52">
        <f t="shared" si="192"/>
        <v>1</v>
      </c>
      <c r="F1702" s="52"/>
      <c r="G1702" s="52"/>
      <c r="H1702" s="52"/>
      <c r="I1702" s="52"/>
      <c r="J1702" s="52"/>
      <c r="K1702" s="52"/>
      <c r="L1702" s="52"/>
      <c r="M1702" s="52"/>
      <c r="N1702" s="52"/>
      <c r="O1702" s="52"/>
      <c r="P1702" s="52"/>
      <c r="Q1702" s="52"/>
      <c r="R1702" s="52"/>
      <c r="S1702" s="52"/>
      <c r="T1702" s="52"/>
      <c r="U1702" s="52"/>
      <c r="V1702" s="52"/>
      <c r="W1702" s="52"/>
      <c r="X1702" s="52"/>
      <c r="Y1702" s="52"/>
      <c r="Z1702" s="52"/>
      <c r="AA1702" s="52"/>
      <c r="AB1702" s="52"/>
      <c r="AC1702" s="52"/>
      <c r="AD1702" s="52"/>
      <c r="AE1702" s="52"/>
      <c r="AF1702" s="52"/>
      <c r="AG1702" s="52"/>
      <c r="AH1702" s="52"/>
      <c r="AI1702" s="52"/>
      <c r="AJ1702" s="52"/>
      <c r="AK1702" s="52"/>
      <c r="AL1702" s="52"/>
      <c r="AM1702" s="52"/>
      <c r="AN1702" s="52"/>
    </row>
    <row r="1703" spans="1:40" x14ac:dyDescent="0.3">
      <c r="A1703" s="52">
        <v>1698</v>
      </c>
      <c r="B1703" s="52">
        <f>-bthan*500+(47+0.5)*bthan*1000/50</f>
        <v>2475</v>
      </c>
      <c r="C1703" s="52">
        <f t="shared" si="193"/>
        <v>-130</v>
      </c>
      <c r="D1703" s="52">
        <f t="shared" si="191"/>
        <v>2200</v>
      </c>
      <c r="E1703" s="52">
        <f t="shared" si="192"/>
        <v>1</v>
      </c>
      <c r="F1703" s="52"/>
      <c r="G1703" s="52"/>
      <c r="H1703" s="52"/>
      <c r="I1703" s="52"/>
      <c r="J1703" s="52"/>
      <c r="K1703" s="52"/>
      <c r="L1703" s="52"/>
      <c r="M1703" s="52"/>
      <c r="N1703" s="52"/>
      <c r="O1703" s="52"/>
      <c r="P1703" s="52"/>
      <c r="Q1703" s="52"/>
      <c r="R1703" s="52"/>
      <c r="S1703" s="52"/>
      <c r="T1703" s="52"/>
      <c r="U1703" s="52"/>
      <c r="V1703" s="52"/>
      <c r="W1703" s="52"/>
      <c r="X1703" s="52"/>
      <c r="Y1703" s="52"/>
      <c r="Z1703" s="52"/>
      <c r="AA1703" s="52"/>
      <c r="AB1703" s="52"/>
      <c r="AC1703" s="52"/>
      <c r="AD1703" s="52"/>
      <c r="AE1703" s="52"/>
      <c r="AF1703" s="52"/>
      <c r="AG1703" s="52"/>
      <c r="AH1703" s="52"/>
      <c r="AI1703" s="52"/>
      <c r="AJ1703" s="52"/>
      <c r="AK1703" s="52"/>
      <c r="AL1703" s="52"/>
      <c r="AM1703" s="52"/>
      <c r="AN1703" s="52"/>
    </row>
    <row r="1704" spans="1:40" x14ac:dyDescent="0.3">
      <c r="A1704" s="52">
        <v>1699</v>
      </c>
      <c r="B1704" s="52">
        <f>-bthan*500+(48+0.5)*bthan*1000/50</f>
        <v>2585</v>
      </c>
      <c r="C1704" s="52">
        <f t="shared" si="193"/>
        <v>-130</v>
      </c>
      <c r="D1704" s="52">
        <f t="shared" si="191"/>
        <v>2200</v>
      </c>
      <c r="E1704" s="52">
        <f t="shared" si="192"/>
        <v>1</v>
      </c>
      <c r="F1704" s="52"/>
      <c r="G1704" s="52"/>
      <c r="H1704" s="52"/>
      <c r="I1704" s="52"/>
      <c r="J1704" s="52"/>
      <c r="K1704" s="52"/>
      <c r="L1704" s="52"/>
      <c r="M1704" s="52"/>
      <c r="N1704" s="52"/>
      <c r="O1704" s="52"/>
      <c r="P1704" s="52"/>
      <c r="Q1704" s="52"/>
      <c r="R1704" s="52"/>
      <c r="S1704" s="52"/>
      <c r="T1704" s="52"/>
      <c r="U1704" s="52"/>
      <c r="V1704" s="52"/>
      <c r="W1704" s="52"/>
      <c r="X1704" s="52"/>
      <c r="Y1704" s="52"/>
      <c r="Z1704" s="52"/>
      <c r="AA1704" s="52"/>
      <c r="AB1704" s="52"/>
      <c r="AC1704" s="52"/>
      <c r="AD1704" s="52"/>
      <c r="AE1704" s="52"/>
      <c r="AF1704" s="52"/>
      <c r="AG1704" s="52"/>
      <c r="AH1704" s="52"/>
      <c r="AI1704" s="52"/>
      <c r="AJ1704" s="52"/>
      <c r="AK1704" s="52"/>
      <c r="AL1704" s="52"/>
      <c r="AM1704" s="52"/>
      <c r="AN1704" s="52"/>
    </row>
    <row r="1705" spans="1:40" x14ac:dyDescent="0.3">
      <c r="A1705" s="52">
        <v>1700</v>
      </c>
      <c r="B1705" s="52">
        <f>-bthan*500+(49+0.5)*bthan*1000/50</f>
        <v>2695</v>
      </c>
      <c r="C1705" s="52">
        <f t="shared" si="193"/>
        <v>-130</v>
      </c>
      <c r="D1705" s="52">
        <f t="shared" si="191"/>
        <v>2200</v>
      </c>
      <c r="E1705" s="52">
        <f t="shared" si="192"/>
        <v>1</v>
      </c>
      <c r="F1705" s="52"/>
      <c r="G1705" s="52"/>
      <c r="H1705" s="52"/>
      <c r="I1705" s="52"/>
      <c r="J1705" s="52"/>
      <c r="K1705" s="52"/>
      <c r="L1705" s="52"/>
      <c r="M1705" s="52"/>
      <c r="N1705" s="52"/>
      <c r="O1705" s="52"/>
      <c r="P1705" s="52"/>
      <c r="Q1705" s="52"/>
      <c r="R1705" s="52"/>
      <c r="S1705" s="52"/>
      <c r="T1705" s="52"/>
      <c r="U1705" s="52"/>
      <c r="V1705" s="52"/>
      <c r="W1705" s="52"/>
      <c r="X1705" s="52"/>
      <c r="Y1705" s="52"/>
      <c r="Z1705" s="52"/>
      <c r="AA1705" s="52"/>
      <c r="AB1705" s="52"/>
      <c r="AC1705" s="52"/>
      <c r="AD1705" s="52"/>
      <c r="AE1705" s="52"/>
      <c r="AF1705" s="52"/>
      <c r="AG1705" s="52"/>
      <c r="AH1705" s="52"/>
      <c r="AI1705" s="52"/>
      <c r="AJ1705" s="52"/>
      <c r="AK1705" s="52"/>
      <c r="AL1705" s="52"/>
      <c r="AM1705" s="52"/>
      <c r="AN1705" s="52"/>
    </row>
    <row r="1706" spans="1:40" x14ac:dyDescent="0.3">
      <c r="A1706" s="52">
        <v>1701</v>
      </c>
      <c r="B1706" s="52">
        <f>-bthan*500+(0+0.5)*bthan*1000/50</f>
        <v>-2695</v>
      </c>
      <c r="C1706" s="52">
        <f t="shared" ref="C1706:C1737" si="194">-hthan*500+(34+0.5)*hthan*1000/80</f>
        <v>-110</v>
      </c>
      <c r="D1706" s="52">
        <f t="shared" si="191"/>
        <v>2200</v>
      </c>
      <c r="E1706" s="52">
        <f t="shared" si="192"/>
        <v>1</v>
      </c>
      <c r="F1706" s="52"/>
      <c r="G1706" s="52"/>
      <c r="H1706" s="52"/>
      <c r="I1706" s="52"/>
      <c r="J1706" s="52"/>
      <c r="K1706" s="52"/>
      <c r="L1706" s="52"/>
      <c r="M1706" s="52"/>
      <c r="N1706" s="52"/>
      <c r="O1706" s="52"/>
      <c r="P1706" s="52"/>
      <c r="Q1706" s="52"/>
      <c r="R1706" s="52"/>
      <c r="S1706" s="52"/>
      <c r="T1706" s="52"/>
      <c r="U1706" s="52"/>
      <c r="V1706" s="52"/>
      <c r="W1706" s="52"/>
      <c r="X1706" s="52"/>
      <c r="Y1706" s="52"/>
      <c r="Z1706" s="52"/>
      <c r="AA1706" s="52"/>
      <c r="AB1706" s="52"/>
      <c r="AC1706" s="52"/>
      <c r="AD1706" s="52"/>
      <c r="AE1706" s="52"/>
      <c r="AF1706" s="52"/>
      <c r="AG1706" s="52"/>
      <c r="AH1706" s="52"/>
      <c r="AI1706" s="52"/>
      <c r="AJ1706" s="52"/>
      <c r="AK1706" s="52"/>
      <c r="AL1706" s="52"/>
      <c r="AM1706" s="52"/>
      <c r="AN1706" s="52"/>
    </row>
    <row r="1707" spans="1:40" x14ac:dyDescent="0.3">
      <c r="A1707" s="52">
        <v>1702</v>
      </c>
      <c r="B1707" s="52">
        <f>-bthan*500+(1+0.5)*bthan*1000/50</f>
        <v>-2585</v>
      </c>
      <c r="C1707" s="52">
        <f t="shared" si="194"/>
        <v>-110</v>
      </c>
      <c r="D1707" s="52">
        <f t="shared" si="191"/>
        <v>2200</v>
      </c>
      <c r="E1707" s="52">
        <f t="shared" si="192"/>
        <v>1</v>
      </c>
      <c r="F1707" s="52"/>
      <c r="G1707" s="52"/>
      <c r="H1707" s="52"/>
      <c r="I1707" s="52"/>
      <c r="J1707" s="52"/>
      <c r="K1707" s="52"/>
      <c r="L1707" s="52"/>
      <c r="M1707" s="52"/>
      <c r="N1707" s="52"/>
      <c r="O1707" s="52"/>
      <c r="P1707" s="52"/>
      <c r="Q1707" s="52"/>
      <c r="R1707" s="52"/>
      <c r="S1707" s="52"/>
      <c r="T1707" s="52"/>
      <c r="U1707" s="52"/>
      <c r="V1707" s="52"/>
      <c r="W1707" s="52"/>
      <c r="X1707" s="52"/>
      <c r="Y1707" s="52"/>
      <c r="Z1707" s="52"/>
      <c r="AA1707" s="52"/>
      <c r="AB1707" s="52"/>
      <c r="AC1707" s="52"/>
      <c r="AD1707" s="52"/>
      <c r="AE1707" s="52"/>
      <c r="AF1707" s="52"/>
      <c r="AG1707" s="52"/>
      <c r="AH1707" s="52"/>
      <c r="AI1707" s="52"/>
      <c r="AJ1707" s="52"/>
      <c r="AK1707" s="52"/>
      <c r="AL1707" s="52"/>
      <c r="AM1707" s="52"/>
      <c r="AN1707" s="52"/>
    </row>
    <row r="1708" spans="1:40" x14ac:dyDescent="0.3">
      <c r="A1708" s="52">
        <v>1703</v>
      </c>
      <c r="B1708" s="52">
        <f>-bthan*500+(2+0.5)*bthan*1000/50</f>
        <v>-2475</v>
      </c>
      <c r="C1708" s="52">
        <f t="shared" si="194"/>
        <v>-110</v>
      </c>
      <c r="D1708" s="52">
        <f t="shared" si="191"/>
        <v>2200</v>
      </c>
      <c r="E1708" s="52">
        <f t="shared" si="192"/>
        <v>1</v>
      </c>
      <c r="F1708" s="52"/>
      <c r="G1708" s="52"/>
      <c r="H1708" s="52"/>
      <c r="I1708" s="52"/>
      <c r="J1708" s="52"/>
      <c r="K1708" s="52"/>
      <c r="L1708" s="52"/>
      <c r="M1708" s="52"/>
      <c r="N1708" s="52"/>
      <c r="O1708" s="52"/>
      <c r="P1708" s="52"/>
      <c r="Q1708" s="52"/>
      <c r="R1708" s="52"/>
      <c r="S1708" s="52"/>
      <c r="T1708" s="52"/>
      <c r="U1708" s="52"/>
      <c r="V1708" s="52"/>
      <c r="W1708" s="52"/>
      <c r="X1708" s="52"/>
      <c r="Y1708" s="52"/>
      <c r="Z1708" s="52"/>
      <c r="AA1708" s="52"/>
      <c r="AB1708" s="52"/>
      <c r="AC1708" s="52"/>
      <c r="AD1708" s="52"/>
      <c r="AE1708" s="52"/>
      <c r="AF1708" s="52"/>
      <c r="AG1708" s="52"/>
      <c r="AH1708" s="52"/>
      <c r="AI1708" s="52"/>
      <c r="AJ1708" s="52"/>
      <c r="AK1708" s="52"/>
      <c r="AL1708" s="52"/>
      <c r="AM1708" s="52"/>
      <c r="AN1708" s="52"/>
    </row>
    <row r="1709" spans="1:40" x14ac:dyDescent="0.3">
      <c r="A1709" s="52">
        <v>1704</v>
      </c>
      <c r="B1709" s="52">
        <f>-bthan*500+(3+0.5)*bthan*1000/50</f>
        <v>-2365</v>
      </c>
      <c r="C1709" s="52">
        <f t="shared" si="194"/>
        <v>-110</v>
      </c>
      <c r="D1709" s="52">
        <f t="shared" si="191"/>
        <v>2200</v>
      </c>
      <c r="E1709" s="52">
        <f t="shared" si="192"/>
        <v>1</v>
      </c>
      <c r="F1709" s="52"/>
      <c r="G1709" s="52"/>
      <c r="H1709" s="52"/>
      <c r="I1709" s="52"/>
      <c r="J1709" s="52"/>
      <c r="K1709" s="52"/>
      <c r="L1709" s="52"/>
      <c r="M1709" s="52"/>
      <c r="N1709" s="52"/>
      <c r="O1709" s="52"/>
      <c r="P1709" s="52"/>
      <c r="Q1709" s="52"/>
      <c r="R1709" s="52"/>
      <c r="S1709" s="52"/>
      <c r="T1709" s="52"/>
      <c r="U1709" s="52"/>
      <c r="V1709" s="52"/>
      <c r="W1709" s="52"/>
      <c r="X1709" s="52"/>
      <c r="Y1709" s="52"/>
      <c r="Z1709" s="52"/>
      <c r="AA1709" s="52"/>
      <c r="AB1709" s="52"/>
      <c r="AC1709" s="52"/>
      <c r="AD1709" s="52"/>
      <c r="AE1709" s="52"/>
      <c r="AF1709" s="52"/>
      <c r="AG1709" s="52"/>
      <c r="AH1709" s="52"/>
      <c r="AI1709" s="52"/>
      <c r="AJ1709" s="52"/>
      <c r="AK1709" s="52"/>
      <c r="AL1709" s="52"/>
      <c r="AM1709" s="52"/>
      <c r="AN1709" s="52"/>
    </row>
    <row r="1710" spans="1:40" x14ac:dyDescent="0.3">
      <c r="A1710" s="52">
        <v>1705</v>
      </c>
      <c r="B1710" s="52">
        <f>-bthan*500+(4+0.5)*bthan*1000/50</f>
        <v>-2255</v>
      </c>
      <c r="C1710" s="52">
        <f t="shared" si="194"/>
        <v>-110</v>
      </c>
      <c r="D1710" s="52">
        <f t="shared" si="191"/>
        <v>2200</v>
      </c>
      <c r="E1710" s="52">
        <f t="shared" si="192"/>
        <v>1</v>
      </c>
      <c r="F1710" s="52"/>
      <c r="G1710" s="52"/>
      <c r="H1710" s="52"/>
      <c r="I1710" s="52"/>
      <c r="J1710" s="52"/>
      <c r="K1710" s="52"/>
      <c r="L1710" s="52"/>
      <c r="M1710" s="52"/>
      <c r="N1710" s="52"/>
      <c r="O1710" s="52"/>
      <c r="P1710" s="52"/>
      <c r="Q1710" s="52"/>
      <c r="R1710" s="52"/>
      <c r="S1710" s="52"/>
      <c r="T1710" s="52"/>
      <c r="U1710" s="52"/>
      <c r="V1710" s="52"/>
      <c r="W1710" s="52"/>
      <c r="X1710" s="52"/>
      <c r="Y1710" s="52"/>
      <c r="Z1710" s="52"/>
      <c r="AA1710" s="52"/>
      <c r="AB1710" s="52"/>
      <c r="AC1710" s="52"/>
      <c r="AD1710" s="52"/>
      <c r="AE1710" s="52"/>
      <c r="AF1710" s="52"/>
      <c r="AG1710" s="52"/>
      <c r="AH1710" s="52"/>
      <c r="AI1710" s="52"/>
      <c r="AJ1710" s="52"/>
      <c r="AK1710" s="52"/>
      <c r="AL1710" s="52"/>
      <c r="AM1710" s="52"/>
      <c r="AN1710" s="52"/>
    </row>
    <row r="1711" spans="1:40" x14ac:dyDescent="0.3">
      <c r="A1711" s="52">
        <v>1706</v>
      </c>
      <c r="B1711" s="52">
        <f>-bthan*500+(5+0.5)*bthan*1000/50</f>
        <v>-2145</v>
      </c>
      <c r="C1711" s="52">
        <f t="shared" si="194"/>
        <v>-110</v>
      </c>
      <c r="D1711" s="52">
        <f t="shared" si="191"/>
        <v>2200</v>
      </c>
      <c r="E1711" s="52">
        <f t="shared" si="192"/>
        <v>1</v>
      </c>
      <c r="F1711" s="52"/>
      <c r="G1711" s="52"/>
      <c r="H1711" s="52"/>
      <c r="I1711" s="52"/>
      <c r="J1711" s="52"/>
      <c r="K1711" s="52"/>
      <c r="L1711" s="52"/>
      <c r="M1711" s="52"/>
      <c r="N1711" s="52"/>
      <c r="O1711" s="52"/>
      <c r="P1711" s="52"/>
      <c r="Q1711" s="52"/>
      <c r="R1711" s="52"/>
      <c r="S1711" s="52"/>
      <c r="T1711" s="52"/>
      <c r="U1711" s="52"/>
      <c r="V1711" s="52"/>
      <c r="W1711" s="52"/>
      <c r="X1711" s="52"/>
      <c r="Y1711" s="52"/>
      <c r="Z1711" s="52"/>
      <c r="AA1711" s="52"/>
      <c r="AB1711" s="52"/>
      <c r="AC1711" s="52"/>
      <c r="AD1711" s="52"/>
      <c r="AE1711" s="52"/>
      <c r="AF1711" s="52"/>
      <c r="AG1711" s="52"/>
      <c r="AH1711" s="52"/>
      <c r="AI1711" s="52"/>
      <c r="AJ1711" s="52"/>
      <c r="AK1711" s="52"/>
      <c r="AL1711" s="52"/>
      <c r="AM1711" s="52"/>
      <c r="AN1711" s="52"/>
    </row>
    <row r="1712" spans="1:40" x14ac:dyDescent="0.3">
      <c r="A1712" s="52">
        <v>1707</v>
      </c>
      <c r="B1712" s="52">
        <f>-bthan*500+(6+0.5)*bthan*1000/50</f>
        <v>-2035</v>
      </c>
      <c r="C1712" s="52">
        <f t="shared" si="194"/>
        <v>-110</v>
      </c>
      <c r="D1712" s="52">
        <f t="shared" si="191"/>
        <v>2200</v>
      </c>
      <c r="E1712" s="52">
        <f t="shared" si="192"/>
        <v>1</v>
      </c>
      <c r="F1712" s="52"/>
      <c r="G1712" s="52"/>
      <c r="H1712" s="52"/>
      <c r="I1712" s="52"/>
      <c r="J1712" s="52"/>
      <c r="K1712" s="52"/>
      <c r="L1712" s="52"/>
      <c r="M1712" s="52"/>
      <c r="N1712" s="52"/>
      <c r="O1712" s="52"/>
      <c r="P1712" s="52"/>
      <c r="Q1712" s="52"/>
      <c r="R1712" s="52"/>
      <c r="S1712" s="52"/>
      <c r="T1712" s="52"/>
      <c r="U1712" s="52"/>
      <c r="V1712" s="52"/>
      <c r="W1712" s="52"/>
      <c r="X1712" s="52"/>
      <c r="Y1712" s="52"/>
      <c r="Z1712" s="52"/>
      <c r="AA1712" s="52"/>
      <c r="AB1712" s="52"/>
      <c r="AC1712" s="52"/>
      <c r="AD1712" s="52"/>
      <c r="AE1712" s="52"/>
      <c r="AF1712" s="52"/>
      <c r="AG1712" s="52"/>
      <c r="AH1712" s="52"/>
      <c r="AI1712" s="52"/>
      <c r="AJ1712" s="52"/>
      <c r="AK1712" s="52"/>
      <c r="AL1712" s="52"/>
      <c r="AM1712" s="52"/>
      <c r="AN1712" s="52"/>
    </row>
    <row r="1713" spans="1:40" x14ac:dyDescent="0.3">
      <c r="A1713" s="52">
        <v>1708</v>
      </c>
      <c r="B1713" s="52">
        <f>-bthan*500+(7+0.5)*bthan*1000/50</f>
        <v>-1925</v>
      </c>
      <c r="C1713" s="52">
        <f t="shared" si="194"/>
        <v>-110</v>
      </c>
      <c r="D1713" s="52">
        <f t="shared" si="191"/>
        <v>2200</v>
      </c>
      <c r="E1713" s="52">
        <f t="shared" si="192"/>
        <v>1</v>
      </c>
      <c r="F1713" s="52"/>
      <c r="G1713" s="52"/>
      <c r="H1713" s="52"/>
      <c r="I1713" s="52"/>
      <c r="J1713" s="52"/>
      <c r="K1713" s="52"/>
      <c r="L1713" s="52"/>
      <c r="M1713" s="52"/>
      <c r="N1713" s="52"/>
      <c r="O1713" s="52"/>
      <c r="P1713" s="52"/>
      <c r="Q1713" s="52"/>
      <c r="R1713" s="52"/>
      <c r="S1713" s="52"/>
      <c r="T1713" s="52"/>
      <c r="U1713" s="52"/>
      <c r="V1713" s="52"/>
      <c r="W1713" s="52"/>
      <c r="X1713" s="52"/>
      <c r="Y1713" s="52"/>
      <c r="Z1713" s="52"/>
      <c r="AA1713" s="52"/>
      <c r="AB1713" s="52"/>
      <c r="AC1713" s="52"/>
      <c r="AD1713" s="52"/>
      <c r="AE1713" s="52"/>
      <c r="AF1713" s="52"/>
      <c r="AG1713" s="52"/>
      <c r="AH1713" s="52"/>
      <c r="AI1713" s="52"/>
      <c r="AJ1713" s="52"/>
      <c r="AK1713" s="52"/>
      <c r="AL1713" s="52"/>
      <c r="AM1713" s="52"/>
      <c r="AN1713" s="52"/>
    </row>
    <row r="1714" spans="1:40" x14ac:dyDescent="0.3">
      <c r="A1714" s="52">
        <v>1709</v>
      </c>
      <c r="B1714" s="52">
        <f>-bthan*500+(8+0.5)*bthan*1000/50</f>
        <v>-1815</v>
      </c>
      <c r="C1714" s="52">
        <f t="shared" si="194"/>
        <v>-110</v>
      </c>
      <c r="D1714" s="52">
        <f t="shared" si="191"/>
        <v>2200</v>
      </c>
      <c r="E1714" s="52">
        <f t="shared" si="192"/>
        <v>1</v>
      </c>
      <c r="F1714" s="52"/>
      <c r="G1714" s="52"/>
      <c r="H1714" s="52"/>
      <c r="I1714" s="52"/>
      <c r="J1714" s="52"/>
      <c r="K1714" s="52"/>
      <c r="L1714" s="52"/>
      <c r="M1714" s="52"/>
      <c r="N1714" s="52"/>
      <c r="O1714" s="52"/>
      <c r="P1714" s="52"/>
      <c r="Q1714" s="52"/>
      <c r="R1714" s="52"/>
      <c r="S1714" s="52"/>
      <c r="T1714" s="52"/>
      <c r="U1714" s="52"/>
      <c r="V1714" s="52"/>
      <c r="W1714" s="52"/>
      <c r="X1714" s="52"/>
      <c r="Y1714" s="52"/>
      <c r="Z1714" s="52"/>
      <c r="AA1714" s="52"/>
      <c r="AB1714" s="52"/>
      <c r="AC1714" s="52"/>
      <c r="AD1714" s="52"/>
      <c r="AE1714" s="52"/>
      <c r="AF1714" s="52"/>
      <c r="AG1714" s="52"/>
      <c r="AH1714" s="52"/>
      <c r="AI1714" s="52"/>
      <c r="AJ1714" s="52"/>
      <c r="AK1714" s="52"/>
      <c r="AL1714" s="52"/>
      <c r="AM1714" s="52"/>
      <c r="AN1714" s="52"/>
    </row>
    <row r="1715" spans="1:40" x14ac:dyDescent="0.3">
      <c r="A1715" s="52">
        <v>1710</v>
      </c>
      <c r="B1715" s="52">
        <f>-bthan*500+(9+0.5)*bthan*1000/50</f>
        <v>-1705</v>
      </c>
      <c r="C1715" s="52">
        <f t="shared" si="194"/>
        <v>-110</v>
      </c>
      <c r="D1715" s="52">
        <f t="shared" si="191"/>
        <v>2200</v>
      </c>
      <c r="E1715" s="52">
        <f t="shared" si="192"/>
        <v>1</v>
      </c>
      <c r="F1715" s="52"/>
      <c r="G1715" s="52"/>
      <c r="H1715" s="52"/>
      <c r="I1715" s="52"/>
      <c r="J1715" s="52"/>
      <c r="K1715" s="52"/>
      <c r="L1715" s="52"/>
      <c r="M1715" s="52"/>
      <c r="N1715" s="52"/>
      <c r="O1715" s="52"/>
      <c r="P1715" s="52"/>
      <c r="Q1715" s="52"/>
      <c r="R1715" s="52"/>
      <c r="S1715" s="52"/>
      <c r="T1715" s="52"/>
      <c r="U1715" s="52"/>
      <c r="V1715" s="52"/>
      <c r="W1715" s="52"/>
      <c r="X1715" s="52"/>
      <c r="Y1715" s="52"/>
      <c r="Z1715" s="52"/>
      <c r="AA1715" s="52"/>
      <c r="AB1715" s="52"/>
      <c r="AC1715" s="52"/>
      <c r="AD1715" s="52"/>
      <c r="AE1715" s="52"/>
      <c r="AF1715" s="52"/>
      <c r="AG1715" s="52"/>
      <c r="AH1715" s="52"/>
      <c r="AI1715" s="52"/>
      <c r="AJ1715" s="52"/>
      <c r="AK1715" s="52"/>
      <c r="AL1715" s="52"/>
      <c r="AM1715" s="52"/>
      <c r="AN1715" s="52"/>
    </row>
    <row r="1716" spans="1:40" x14ac:dyDescent="0.3">
      <c r="A1716" s="52">
        <v>1711</v>
      </c>
      <c r="B1716" s="52">
        <f>-bthan*500+(10+0.5)*bthan*1000/50</f>
        <v>-1595</v>
      </c>
      <c r="C1716" s="52">
        <f t="shared" si="194"/>
        <v>-110</v>
      </c>
      <c r="D1716" s="52">
        <f t="shared" si="191"/>
        <v>2200</v>
      </c>
      <c r="E1716" s="52">
        <f t="shared" si="192"/>
        <v>1</v>
      </c>
      <c r="F1716" s="52"/>
      <c r="G1716" s="52"/>
      <c r="H1716" s="52"/>
      <c r="I1716" s="52"/>
      <c r="J1716" s="52"/>
      <c r="K1716" s="52"/>
      <c r="L1716" s="52"/>
      <c r="M1716" s="52"/>
      <c r="N1716" s="52"/>
      <c r="O1716" s="52"/>
      <c r="P1716" s="52"/>
      <c r="Q1716" s="52"/>
      <c r="R1716" s="52"/>
      <c r="S1716" s="52"/>
      <c r="T1716" s="52"/>
      <c r="U1716" s="52"/>
      <c r="V1716" s="52"/>
      <c r="W1716" s="52"/>
      <c r="X1716" s="52"/>
      <c r="Y1716" s="52"/>
      <c r="Z1716" s="52"/>
      <c r="AA1716" s="52"/>
      <c r="AB1716" s="52"/>
      <c r="AC1716" s="52"/>
      <c r="AD1716" s="52"/>
      <c r="AE1716" s="52"/>
      <c r="AF1716" s="52"/>
      <c r="AG1716" s="52"/>
      <c r="AH1716" s="52"/>
      <c r="AI1716" s="52"/>
      <c r="AJ1716" s="52"/>
      <c r="AK1716" s="52"/>
      <c r="AL1716" s="52"/>
      <c r="AM1716" s="52"/>
      <c r="AN1716" s="52"/>
    </row>
    <row r="1717" spans="1:40" x14ac:dyDescent="0.3">
      <c r="A1717" s="52">
        <v>1712</v>
      </c>
      <c r="B1717" s="52">
        <f>-bthan*500+(11+0.5)*bthan*1000/50</f>
        <v>-1485</v>
      </c>
      <c r="C1717" s="52">
        <f t="shared" si="194"/>
        <v>-110</v>
      </c>
      <c r="D1717" s="52">
        <f t="shared" si="191"/>
        <v>2200</v>
      </c>
      <c r="E1717" s="52">
        <f t="shared" si="192"/>
        <v>1</v>
      </c>
      <c r="F1717" s="52"/>
      <c r="G1717" s="52"/>
      <c r="H1717" s="52"/>
      <c r="I1717" s="52"/>
      <c r="J1717" s="52"/>
      <c r="K1717" s="52"/>
      <c r="L1717" s="52"/>
      <c r="M1717" s="52"/>
      <c r="N1717" s="52"/>
      <c r="O1717" s="52"/>
      <c r="P1717" s="52"/>
      <c r="Q1717" s="52"/>
      <c r="R1717" s="52"/>
      <c r="S1717" s="52"/>
      <c r="T1717" s="52"/>
      <c r="U1717" s="52"/>
      <c r="V1717" s="52"/>
      <c r="W1717" s="52"/>
      <c r="X1717" s="52"/>
      <c r="Y1717" s="52"/>
      <c r="Z1717" s="52"/>
      <c r="AA1717" s="52"/>
      <c r="AB1717" s="52"/>
      <c r="AC1717" s="52"/>
      <c r="AD1717" s="52"/>
      <c r="AE1717" s="52"/>
      <c r="AF1717" s="52"/>
      <c r="AG1717" s="52"/>
      <c r="AH1717" s="52"/>
      <c r="AI1717" s="52"/>
      <c r="AJ1717" s="52"/>
      <c r="AK1717" s="52"/>
      <c r="AL1717" s="52"/>
      <c r="AM1717" s="52"/>
      <c r="AN1717" s="52"/>
    </row>
    <row r="1718" spans="1:40" x14ac:dyDescent="0.3">
      <c r="A1718" s="52">
        <v>1713</v>
      </c>
      <c r="B1718" s="52">
        <f>-bthan*500+(12+0.5)*bthan*1000/50</f>
        <v>-1375</v>
      </c>
      <c r="C1718" s="52">
        <f t="shared" si="194"/>
        <v>-110</v>
      </c>
      <c r="D1718" s="52">
        <f t="shared" si="191"/>
        <v>2200</v>
      </c>
      <c r="E1718" s="52">
        <f t="shared" si="192"/>
        <v>1</v>
      </c>
      <c r="F1718" s="52"/>
      <c r="G1718" s="52"/>
      <c r="H1718" s="52"/>
      <c r="I1718" s="52"/>
      <c r="J1718" s="52"/>
      <c r="K1718" s="52"/>
      <c r="L1718" s="52"/>
      <c r="M1718" s="52"/>
      <c r="N1718" s="52"/>
      <c r="O1718" s="52"/>
      <c r="P1718" s="52"/>
      <c r="Q1718" s="52"/>
      <c r="R1718" s="52"/>
      <c r="S1718" s="52"/>
      <c r="T1718" s="52"/>
      <c r="U1718" s="52"/>
      <c r="V1718" s="52"/>
      <c r="W1718" s="52"/>
      <c r="X1718" s="52"/>
      <c r="Y1718" s="52"/>
      <c r="Z1718" s="52"/>
      <c r="AA1718" s="52"/>
      <c r="AB1718" s="52"/>
      <c r="AC1718" s="52"/>
      <c r="AD1718" s="52"/>
      <c r="AE1718" s="52"/>
      <c r="AF1718" s="52"/>
      <c r="AG1718" s="52"/>
      <c r="AH1718" s="52"/>
      <c r="AI1718" s="52"/>
      <c r="AJ1718" s="52"/>
      <c r="AK1718" s="52"/>
      <c r="AL1718" s="52"/>
      <c r="AM1718" s="52"/>
      <c r="AN1718" s="52"/>
    </row>
    <row r="1719" spans="1:40" x14ac:dyDescent="0.3">
      <c r="A1719" s="52">
        <v>1714</v>
      </c>
      <c r="B1719" s="52">
        <f>-bthan*500+(13+0.5)*bthan*1000/50</f>
        <v>-1265</v>
      </c>
      <c r="C1719" s="52">
        <f t="shared" si="194"/>
        <v>-110</v>
      </c>
      <c r="D1719" s="52">
        <f t="shared" si="191"/>
        <v>2200</v>
      </c>
      <c r="E1719" s="52">
        <f t="shared" si="192"/>
        <v>1</v>
      </c>
      <c r="F1719" s="52"/>
      <c r="G1719" s="52"/>
      <c r="H1719" s="52"/>
      <c r="I1719" s="52"/>
      <c r="J1719" s="52"/>
      <c r="K1719" s="52"/>
      <c r="L1719" s="52"/>
      <c r="M1719" s="52"/>
      <c r="N1719" s="52"/>
      <c r="O1719" s="52"/>
      <c r="P1719" s="52"/>
      <c r="Q1719" s="52"/>
      <c r="R1719" s="52"/>
      <c r="S1719" s="52"/>
      <c r="T1719" s="52"/>
      <c r="U1719" s="52"/>
      <c r="V1719" s="52"/>
      <c r="W1719" s="52"/>
      <c r="X1719" s="52"/>
      <c r="Y1719" s="52"/>
      <c r="Z1719" s="52"/>
      <c r="AA1719" s="52"/>
      <c r="AB1719" s="52"/>
      <c r="AC1719" s="52"/>
      <c r="AD1719" s="52"/>
      <c r="AE1719" s="52"/>
      <c r="AF1719" s="52"/>
      <c r="AG1719" s="52"/>
      <c r="AH1719" s="52"/>
      <c r="AI1719" s="52"/>
      <c r="AJ1719" s="52"/>
      <c r="AK1719" s="52"/>
      <c r="AL1719" s="52"/>
      <c r="AM1719" s="52"/>
      <c r="AN1719" s="52"/>
    </row>
    <row r="1720" spans="1:40" x14ac:dyDescent="0.3">
      <c r="A1720" s="52">
        <v>1715</v>
      </c>
      <c r="B1720" s="52">
        <f>-bthan*500+(14+0.5)*bthan*1000/50</f>
        <v>-1155</v>
      </c>
      <c r="C1720" s="52">
        <f t="shared" si="194"/>
        <v>-110</v>
      </c>
      <c r="D1720" s="52">
        <f t="shared" si="191"/>
        <v>2200</v>
      </c>
      <c r="E1720" s="52">
        <f t="shared" si="192"/>
        <v>1</v>
      </c>
      <c r="F1720" s="52"/>
      <c r="G1720" s="52"/>
      <c r="H1720" s="52"/>
      <c r="I1720" s="52"/>
      <c r="J1720" s="52"/>
      <c r="K1720" s="52"/>
      <c r="L1720" s="52"/>
      <c r="M1720" s="52"/>
      <c r="N1720" s="52"/>
      <c r="O1720" s="52"/>
      <c r="P1720" s="52"/>
      <c r="Q1720" s="52"/>
      <c r="R1720" s="52"/>
      <c r="S1720" s="52"/>
      <c r="T1720" s="52"/>
      <c r="U1720" s="52"/>
      <c r="V1720" s="52"/>
      <c r="W1720" s="52"/>
      <c r="X1720" s="52"/>
      <c r="Y1720" s="52"/>
      <c r="Z1720" s="52"/>
      <c r="AA1720" s="52"/>
      <c r="AB1720" s="52"/>
      <c r="AC1720" s="52"/>
      <c r="AD1720" s="52"/>
      <c r="AE1720" s="52"/>
      <c r="AF1720" s="52"/>
      <c r="AG1720" s="52"/>
      <c r="AH1720" s="52"/>
      <c r="AI1720" s="52"/>
      <c r="AJ1720" s="52"/>
      <c r="AK1720" s="52"/>
      <c r="AL1720" s="52"/>
      <c r="AM1720" s="52"/>
      <c r="AN1720" s="52"/>
    </row>
    <row r="1721" spans="1:40" x14ac:dyDescent="0.3">
      <c r="A1721" s="52">
        <v>1716</v>
      </c>
      <c r="B1721" s="52">
        <f>-bthan*500+(15+0.5)*bthan*1000/50</f>
        <v>-1045</v>
      </c>
      <c r="C1721" s="52">
        <f t="shared" si="194"/>
        <v>-110</v>
      </c>
      <c r="D1721" s="52">
        <f t="shared" si="191"/>
        <v>2200</v>
      </c>
      <c r="E1721" s="52">
        <f t="shared" si="192"/>
        <v>1</v>
      </c>
      <c r="F1721" s="52"/>
      <c r="G1721" s="52"/>
      <c r="H1721" s="52"/>
      <c r="I1721" s="52"/>
      <c r="J1721" s="52"/>
      <c r="K1721" s="52"/>
      <c r="L1721" s="52"/>
      <c r="M1721" s="52"/>
      <c r="N1721" s="52"/>
      <c r="O1721" s="52"/>
      <c r="P1721" s="52"/>
      <c r="Q1721" s="52"/>
      <c r="R1721" s="52"/>
      <c r="S1721" s="52"/>
      <c r="T1721" s="52"/>
      <c r="U1721" s="52"/>
      <c r="V1721" s="52"/>
      <c r="W1721" s="52"/>
      <c r="X1721" s="52"/>
      <c r="Y1721" s="52"/>
      <c r="Z1721" s="52"/>
      <c r="AA1721" s="52"/>
      <c r="AB1721" s="52"/>
      <c r="AC1721" s="52"/>
      <c r="AD1721" s="52"/>
      <c r="AE1721" s="52"/>
      <c r="AF1721" s="52"/>
      <c r="AG1721" s="52"/>
      <c r="AH1721" s="52"/>
      <c r="AI1721" s="52"/>
      <c r="AJ1721" s="52"/>
      <c r="AK1721" s="52"/>
      <c r="AL1721" s="52"/>
      <c r="AM1721" s="52"/>
      <c r="AN1721" s="52"/>
    </row>
    <row r="1722" spans="1:40" x14ac:dyDescent="0.3">
      <c r="A1722" s="52">
        <v>1717</v>
      </c>
      <c r="B1722" s="52">
        <f>-bthan*500+(16+0.5)*bthan*1000/50</f>
        <v>-935</v>
      </c>
      <c r="C1722" s="52">
        <f t="shared" si="194"/>
        <v>-110</v>
      </c>
      <c r="D1722" s="52">
        <f t="shared" si="191"/>
        <v>2200</v>
      </c>
      <c r="E1722" s="52">
        <f t="shared" si="192"/>
        <v>1</v>
      </c>
      <c r="F1722" s="52"/>
      <c r="G1722" s="52"/>
      <c r="H1722" s="52"/>
      <c r="I1722" s="52"/>
      <c r="J1722" s="52"/>
      <c r="K1722" s="52"/>
      <c r="L1722" s="52"/>
      <c r="M1722" s="52"/>
      <c r="N1722" s="52"/>
      <c r="O1722" s="52"/>
      <c r="P1722" s="52"/>
      <c r="Q1722" s="52"/>
      <c r="R1722" s="52"/>
      <c r="S1722" s="52"/>
      <c r="T1722" s="52"/>
      <c r="U1722" s="52"/>
      <c r="V1722" s="52"/>
      <c r="W1722" s="52"/>
      <c r="X1722" s="52"/>
      <c r="Y1722" s="52"/>
      <c r="Z1722" s="52"/>
      <c r="AA1722" s="52"/>
      <c r="AB1722" s="52"/>
      <c r="AC1722" s="52"/>
      <c r="AD1722" s="52"/>
      <c r="AE1722" s="52"/>
      <c r="AF1722" s="52"/>
      <c r="AG1722" s="52"/>
      <c r="AH1722" s="52"/>
      <c r="AI1722" s="52"/>
      <c r="AJ1722" s="52"/>
      <c r="AK1722" s="52"/>
      <c r="AL1722" s="52"/>
      <c r="AM1722" s="52"/>
      <c r="AN1722" s="52"/>
    </row>
    <row r="1723" spans="1:40" x14ac:dyDescent="0.3">
      <c r="A1723" s="52">
        <v>1718</v>
      </c>
      <c r="B1723" s="52">
        <f>-bthan*500+(17+0.5)*bthan*1000/50</f>
        <v>-825</v>
      </c>
      <c r="C1723" s="52">
        <f t="shared" si="194"/>
        <v>-110</v>
      </c>
      <c r="D1723" s="52">
        <f t="shared" si="191"/>
        <v>2200</v>
      </c>
      <c r="E1723" s="52">
        <f t="shared" si="192"/>
        <v>1</v>
      </c>
      <c r="F1723" s="52"/>
      <c r="G1723" s="52"/>
      <c r="H1723" s="52"/>
      <c r="I1723" s="52"/>
      <c r="J1723" s="52"/>
      <c r="K1723" s="52"/>
      <c r="L1723" s="52"/>
      <c r="M1723" s="52"/>
      <c r="N1723" s="52"/>
      <c r="O1723" s="52"/>
      <c r="P1723" s="52"/>
      <c r="Q1723" s="52"/>
      <c r="R1723" s="52"/>
      <c r="S1723" s="52"/>
      <c r="T1723" s="52"/>
      <c r="U1723" s="52"/>
      <c r="V1723" s="52"/>
      <c r="W1723" s="52"/>
      <c r="X1723" s="52"/>
      <c r="Y1723" s="52"/>
      <c r="Z1723" s="52"/>
      <c r="AA1723" s="52"/>
      <c r="AB1723" s="52"/>
      <c r="AC1723" s="52"/>
      <c r="AD1723" s="52"/>
      <c r="AE1723" s="52"/>
      <c r="AF1723" s="52"/>
      <c r="AG1723" s="52"/>
      <c r="AH1723" s="52"/>
      <c r="AI1723" s="52"/>
      <c r="AJ1723" s="52"/>
      <c r="AK1723" s="52"/>
      <c r="AL1723" s="52"/>
      <c r="AM1723" s="52"/>
      <c r="AN1723" s="52"/>
    </row>
    <row r="1724" spans="1:40" x14ac:dyDescent="0.3">
      <c r="A1724" s="52">
        <v>1719</v>
      </c>
      <c r="B1724" s="52">
        <f>-bthan*500+(18+0.5)*bthan*1000/50</f>
        <v>-715</v>
      </c>
      <c r="C1724" s="52">
        <f t="shared" si="194"/>
        <v>-110</v>
      </c>
      <c r="D1724" s="52">
        <f t="shared" si="191"/>
        <v>2200</v>
      </c>
      <c r="E1724" s="52">
        <f t="shared" si="192"/>
        <v>1</v>
      </c>
      <c r="F1724" s="52"/>
      <c r="G1724" s="52"/>
      <c r="H1724" s="52"/>
      <c r="I1724" s="52"/>
      <c r="J1724" s="52"/>
      <c r="K1724" s="52"/>
      <c r="L1724" s="52"/>
      <c r="M1724" s="52"/>
      <c r="N1724" s="52"/>
      <c r="O1724" s="52"/>
      <c r="P1724" s="52"/>
      <c r="Q1724" s="52"/>
      <c r="R1724" s="52"/>
      <c r="S1724" s="52"/>
      <c r="T1724" s="52"/>
      <c r="U1724" s="52"/>
      <c r="V1724" s="52"/>
      <c r="W1724" s="52"/>
      <c r="X1724" s="52"/>
      <c r="Y1724" s="52"/>
      <c r="Z1724" s="52"/>
      <c r="AA1724" s="52"/>
      <c r="AB1724" s="52"/>
      <c r="AC1724" s="52"/>
      <c r="AD1724" s="52"/>
      <c r="AE1724" s="52"/>
      <c r="AF1724" s="52"/>
      <c r="AG1724" s="52"/>
      <c r="AH1724" s="52"/>
      <c r="AI1724" s="52"/>
      <c r="AJ1724" s="52"/>
      <c r="AK1724" s="52"/>
      <c r="AL1724" s="52"/>
      <c r="AM1724" s="52"/>
      <c r="AN1724" s="52"/>
    </row>
    <row r="1725" spans="1:40" x14ac:dyDescent="0.3">
      <c r="A1725" s="52">
        <v>1720</v>
      </c>
      <c r="B1725" s="52">
        <f>-bthan*500+(19+0.5)*bthan*1000/50</f>
        <v>-605</v>
      </c>
      <c r="C1725" s="52">
        <f t="shared" si="194"/>
        <v>-110</v>
      </c>
      <c r="D1725" s="52">
        <f t="shared" si="191"/>
        <v>2200</v>
      </c>
      <c r="E1725" s="52">
        <f t="shared" si="192"/>
        <v>1</v>
      </c>
      <c r="F1725" s="52"/>
      <c r="G1725" s="52"/>
      <c r="H1725" s="52"/>
      <c r="I1725" s="52"/>
      <c r="J1725" s="52"/>
      <c r="K1725" s="52"/>
      <c r="L1725" s="52"/>
      <c r="M1725" s="52"/>
      <c r="N1725" s="52"/>
      <c r="O1725" s="52"/>
      <c r="P1725" s="52"/>
      <c r="Q1725" s="52"/>
      <c r="R1725" s="52"/>
      <c r="S1725" s="52"/>
      <c r="T1725" s="52"/>
      <c r="U1725" s="52"/>
      <c r="V1725" s="52"/>
      <c r="W1725" s="52"/>
      <c r="X1725" s="52"/>
      <c r="Y1725" s="52"/>
      <c r="Z1725" s="52"/>
      <c r="AA1725" s="52"/>
      <c r="AB1725" s="52"/>
      <c r="AC1725" s="52"/>
      <c r="AD1725" s="52"/>
      <c r="AE1725" s="52"/>
      <c r="AF1725" s="52"/>
      <c r="AG1725" s="52"/>
      <c r="AH1725" s="52"/>
      <c r="AI1725" s="52"/>
      <c r="AJ1725" s="52"/>
      <c r="AK1725" s="52"/>
      <c r="AL1725" s="52"/>
      <c r="AM1725" s="52"/>
      <c r="AN1725" s="52"/>
    </row>
    <row r="1726" spans="1:40" x14ac:dyDescent="0.3">
      <c r="A1726" s="52">
        <v>1721</v>
      </c>
      <c r="B1726" s="52">
        <f>-bthan*500+(20+0.5)*bthan*1000/50</f>
        <v>-495</v>
      </c>
      <c r="C1726" s="52">
        <f t="shared" si="194"/>
        <v>-110</v>
      </c>
      <c r="D1726" s="52">
        <f t="shared" si="191"/>
        <v>2200</v>
      </c>
      <c r="E1726" s="52">
        <f t="shared" si="192"/>
        <v>1</v>
      </c>
      <c r="F1726" s="52"/>
      <c r="G1726" s="52"/>
      <c r="H1726" s="52"/>
      <c r="I1726" s="52"/>
      <c r="J1726" s="52"/>
      <c r="K1726" s="52"/>
      <c r="L1726" s="52"/>
      <c r="M1726" s="52"/>
      <c r="N1726" s="52"/>
      <c r="O1726" s="52"/>
      <c r="P1726" s="52"/>
      <c r="Q1726" s="52"/>
      <c r="R1726" s="52"/>
      <c r="S1726" s="52"/>
      <c r="T1726" s="52"/>
      <c r="U1726" s="52"/>
      <c r="V1726" s="52"/>
      <c r="W1726" s="52"/>
      <c r="X1726" s="52"/>
      <c r="Y1726" s="52"/>
      <c r="Z1726" s="52"/>
      <c r="AA1726" s="52"/>
      <c r="AB1726" s="52"/>
      <c r="AC1726" s="52"/>
      <c r="AD1726" s="52"/>
      <c r="AE1726" s="52"/>
      <c r="AF1726" s="52"/>
      <c r="AG1726" s="52"/>
      <c r="AH1726" s="52"/>
      <c r="AI1726" s="52"/>
      <c r="AJ1726" s="52"/>
      <c r="AK1726" s="52"/>
      <c r="AL1726" s="52"/>
      <c r="AM1726" s="52"/>
      <c r="AN1726" s="52"/>
    </row>
    <row r="1727" spans="1:40" x14ac:dyDescent="0.3">
      <c r="A1727" s="52">
        <v>1722</v>
      </c>
      <c r="B1727" s="52">
        <f>-bthan*500+(21+0.5)*bthan*1000/50</f>
        <v>-385</v>
      </c>
      <c r="C1727" s="52">
        <f t="shared" si="194"/>
        <v>-110</v>
      </c>
      <c r="D1727" s="52">
        <f t="shared" si="191"/>
        <v>2200</v>
      </c>
      <c r="E1727" s="52">
        <f t="shared" si="192"/>
        <v>1</v>
      </c>
      <c r="F1727" s="52"/>
      <c r="G1727" s="52"/>
      <c r="H1727" s="52"/>
      <c r="I1727" s="52"/>
      <c r="J1727" s="52"/>
      <c r="K1727" s="52"/>
      <c r="L1727" s="52"/>
      <c r="M1727" s="52"/>
      <c r="N1727" s="52"/>
      <c r="O1727" s="52"/>
      <c r="P1727" s="52"/>
      <c r="Q1727" s="52"/>
      <c r="R1727" s="52"/>
      <c r="S1727" s="52"/>
      <c r="T1727" s="52"/>
      <c r="U1727" s="52"/>
      <c r="V1727" s="52"/>
      <c r="W1727" s="52"/>
      <c r="X1727" s="52"/>
      <c r="Y1727" s="52"/>
      <c r="Z1727" s="52"/>
      <c r="AA1727" s="52"/>
      <c r="AB1727" s="52"/>
      <c r="AC1727" s="52"/>
      <c r="AD1727" s="52"/>
      <c r="AE1727" s="52"/>
      <c r="AF1727" s="52"/>
      <c r="AG1727" s="52"/>
      <c r="AH1727" s="52"/>
      <c r="AI1727" s="52"/>
      <c r="AJ1727" s="52"/>
      <c r="AK1727" s="52"/>
      <c r="AL1727" s="52"/>
      <c r="AM1727" s="52"/>
      <c r="AN1727" s="52"/>
    </row>
    <row r="1728" spans="1:40" x14ac:dyDescent="0.3">
      <c r="A1728" s="52">
        <v>1723</v>
      </c>
      <c r="B1728" s="52">
        <f>-bthan*500+(22+0.5)*bthan*1000/50</f>
        <v>-275</v>
      </c>
      <c r="C1728" s="52">
        <f t="shared" si="194"/>
        <v>-110</v>
      </c>
      <c r="D1728" s="52">
        <f t="shared" si="191"/>
        <v>2200</v>
      </c>
      <c r="E1728" s="52">
        <f t="shared" si="192"/>
        <v>1</v>
      </c>
      <c r="F1728" s="52"/>
      <c r="G1728" s="52"/>
      <c r="H1728" s="52"/>
      <c r="I1728" s="52"/>
      <c r="J1728" s="52"/>
      <c r="K1728" s="52"/>
      <c r="L1728" s="52"/>
      <c r="M1728" s="52"/>
      <c r="N1728" s="52"/>
      <c r="O1728" s="52"/>
      <c r="P1728" s="52"/>
      <c r="Q1728" s="52"/>
      <c r="R1728" s="52"/>
      <c r="S1728" s="52"/>
      <c r="T1728" s="52"/>
      <c r="U1728" s="52"/>
      <c r="V1728" s="52"/>
      <c r="W1728" s="52"/>
      <c r="X1728" s="52"/>
      <c r="Y1728" s="52"/>
      <c r="Z1728" s="52"/>
      <c r="AA1728" s="52"/>
      <c r="AB1728" s="52"/>
      <c r="AC1728" s="52"/>
      <c r="AD1728" s="52"/>
      <c r="AE1728" s="52"/>
      <c r="AF1728" s="52"/>
      <c r="AG1728" s="52"/>
      <c r="AH1728" s="52"/>
      <c r="AI1728" s="52"/>
      <c r="AJ1728" s="52"/>
      <c r="AK1728" s="52"/>
      <c r="AL1728" s="52"/>
      <c r="AM1728" s="52"/>
      <c r="AN1728" s="52"/>
    </row>
    <row r="1729" spans="1:40" x14ac:dyDescent="0.3">
      <c r="A1729" s="52">
        <v>1724</v>
      </c>
      <c r="B1729" s="52">
        <f>-bthan*500+(23+0.5)*bthan*1000/50</f>
        <v>-165</v>
      </c>
      <c r="C1729" s="52">
        <f t="shared" si="194"/>
        <v>-110</v>
      </c>
      <c r="D1729" s="52">
        <f t="shared" si="191"/>
        <v>2200</v>
      </c>
      <c r="E1729" s="52">
        <f t="shared" si="192"/>
        <v>1</v>
      </c>
      <c r="F1729" s="52"/>
      <c r="G1729" s="52"/>
      <c r="H1729" s="52"/>
      <c r="I1729" s="52"/>
      <c r="J1729" s="52"/>
      <c r="K1729" s="52"/>
      <c r="L1729" s="52"/>
      <c r="M1729" s="52"/>
      <c r="N1729" s="52"/>
      <c r="O1729" s="52"/>
      <c r="P1729" s="52"/>
      <c r="Q1729" s="52"/>
      <c r="R1729" s="52"/>
      <c r="S1729" s="52"/>
      <c r="T1729" s="52"/>
      <c r="U1729" s="52"/>
      <c r="V1729" s="52"/>
      <c r="W1729" s="52"/>
      <c r="X1729" s="52"/>
      <c r="Y1729" s="52"/>
      <c r="Z1729" s="52"/>
      <c r="AA1729" s="52"/>
      <c r="AB1729" s="52"/>
      <c r="AC1729" s="52"/>
      <c r="AD1729" s="52"/>
      <c r="AE1729" s="52"/>
      <c r="AF1729" s="52"/>
      <c r="AG1729" s="52"/>
      <c r="AH1729" s="52"/>
      <c r="AI1729" s="52"/>
      <c r="AJ1729" s="52"/>
      <c r="AK1729" s="52"/>
      <c r="AL1729" s="52"/>
      <c r="AM1729" s="52"/>
      <c r="AN1729" s="52"/>
    </row>
    <row r="1730" spans="1:40" x14ac:dyDescent="0.3">
      <c r="A1730" s="52">
        <v>1725</v>
      </c>
      <c r="B1730" s="52">
        <f>-bthan*500+(24+0.5)*bthan*1000/50</f>
        <v>-55</v>
      </c>
      <c r="C1730" s="52">
        <f t="shared" si="194"/>
        <v>-110</v>
      </c>
      <c r="D1730" s="52">
        <f t="shared" si="191"/>
        <v>2200</v>
      </c>
      <c r="E1730" s="52">
        <f t="shared" si="192"/>
        <v>1</v>
      </c>
      <c r="F1730" s="52"/>
      <c r="G1730" s="52"/>
      <c r="H1730" s="52"/>
      <c r="I1730" s="52"/>
      <c r="J1730" s="52"/>
      <c r="K1730" s="52"/>
      <c r="L1730" s="52"/>
      <c r="M1730" s="52"/>
      <c r="N1730" s="52"/>
      <c r="O1730" s="52"/>
      <c r="P1730" s="52"/>
      <c r="Q1730" s="52"/>
      <c r="R1730" s="52"/>
      <c r="S1730" s="52"/>
      <c r="T1730" s="52"/>
      <c r="U1730" s="52"/>
      <c r="V1730" s="52"/>
      <c r="W1730" s="52"/>
      <c r="X1730" s="52"/>
      <c r="Y1730" s="52"/>
      <c r="Z1730" s="52"/>
      <c r="AA1730" s="52"/>
      <c r="AB1730" s="52"/>
      <c r="AC1730" s="52"/>
      <c r="AD1730" s="52"/>
      <c r="AE1730" s="52"/>
      <c r="AF1730" s="52"/>
      <c r="AG1730" s="52"/>
      <c r="AH1730" s="52"/>
      <c r="AI1730" s="52"/>
      <c r="AJ1730" s="52"/>
      <c r="AK1730" s="52"/>
      <c r="AL1730" s="52"/>
      <c r="AM1730" s="52"/>
      <c r="AN1730" s="52"/>
    </row>
    <row r="1731" spans="1:40" x14ac:dyDescent="0.3">
      <c r="A1731" s="52">
        <v>1726</v>
      </c>
      <c r="B1731" s="52">
        <f>-bthan*500+(25+0.5)*bthan*1000/50</f>
        <v>55</v>
      </c>
      <c r="C1731" s="52">
        <f t="shared" si="194"/>
        <v>-110</v>
      </c>
      <c r="D1731" s="52">
        <f t="shared" si="191"/>
        <v>2200</v>
      </c>
      <c r="E1731" s="52">
        <f t="shared" si="192"/>
        <v>1</v>
      </c>
      <c r="F1731" s="52"/>
      <c r="G1731" s="52"/>
      <c r="H1731" s="52"/>
      <c r="I1731" s="52"/>
      <c r="J1731" s="52"/>
      <c r="K1731" s="52"/>
      <c r="L1731" s="52"/>
      <c r="M1731" s="52"/>
      <c r="N1731" s="52"/>
      <c r="O1731" s="52"/>
      <c r="P1731" s="52"/>
      <c r="Q1731" s="52"/>
      <c r="R1731" s="52"/>
      <c r="S1731" s="52"/>
      <c r="T1731" s="52"/>
      <c r="U1731" s="52"/>
      <c r="V1731" s="52"/>
      <c r="W1731" s="52"/>
      <c r="X1731" s="52"/>
      <c r="Y1731" s="52"/>
      <c r="Z1731" s="52"/>
      <c r="AA1731" s="52"/>
      <c r="AB1731" s="52"/>
      <c r="AC1731" s="52"/>
      <c r="AD1731" s="52"/>
      <c r="AE1731" s="52"/>
      <c r="AF1731" s="52"/>
      <c r="AG1731" s="52"/>
      <c r="AH1731" s="52"/>
      <c r="AI1731" s="52"/>
      <c r="AJ1731" s="52"/>
      <c r="AK1731" s="52"/>
      <c r="AL1731" s="52"/>
      <c r="AM1731" s="52"/>
      <c r="AN1731" s="52"/>
    </row>
    <row r="1732" spans="1:40" x14ac:dyDescent="0.3">
      <c r="A1732" s="52">
        <v>1727</v>
      </c>
      <c r="B1732" s="52">
        <f>-bthan*500+(26+0.5)*bthan*1000/50</f>
        <v>165</v>
      </c>
      <c r="C1732" s="52">
        <f t="shared" si="194"/>
        <v>-110</v>
      </c>
      <c r="D1732" s="52">
        <f t="shared" si="191"/>
        <v>2200</v>
      </c>
      <c r="E1732" s="52">
        <f t="shared" si="192"/>
        <v>1</v>
      </c>
      <c r="F1732" s="52"/>
      <c r="G1732" s="52"/>
      <c r="H1732" s="52"/>
      <c r="I1732" s="52"/>
      <c r="J1732" s="52"/>
      <c r="K1732" s="52"/>
      <c r="L1732" s="52"/>
      <c r="M1732" s="52"/>
      <c r="N1732" s="52"/>
      <c r="O1732" s="52"/>
      <c r="P1732" s="52"/>
      <c r="Q1732" s="52"/>
      <c r="R1732" s="52"/>
      <c r="S1732" s="52"/>
      <c r="T1732" s="52"/>
      <c r="U1732" s="52"/>
      <c r="V1732" s="52"/>
      <c r="W1732" s="52"/>
      <c r="X1732" s="52"/>
      <c r="Y1732" s="52"/>
      <c r="Z1732" s="52"/>
      <c r="AA1732" s="52"/>
      <c r="AB1732" s="52"/>
      <c r="AC1732" s="52"/>
      <c r="AD1732" s="52"/>
      <c r="AE1732" s="52"/>
      <c r="AF1732" s="52"/>
      <c r="AG1732" s="52"/>
      <c r="AH1732" s="52"/>
      <c r="AI1732" s="52"/>
      <c r="AJ1732" s="52"/>
      <c r="AK1732" s="52"/>
      <c r="AL1732" s="52"/>
      <c r="AM1732" s="52"/>
      <c r="AN1732" s="52"/>
    </row>
    <row r="1733" spans="1:40" x14ac:dyDescent="0.3">
      <c r="A1733" s="52">
        <v>1728</v>
      </c>
      <c r="B1733" s="52">
        <f>-bthan*500+(27+0.5)*bthan*1000/50</f>
        <v>275</v>
      </c>
      <c r="C1733" s="52">
        <f t="shared" si="194"/>
        <v>-110</v>
      </c>
      <c r="D1733" s="52">
        <f t="shared" si="191"/>
        <v>2200</v>
      </c>
      <c r="E1733" s="52">
        <f t="shared" si="192"/>
        <v>1</v>
      </c>
      <c r="F1733" s="52"/>
      <c r="G1733" s="52"/>
      <c r="H1733" s="52"/>
      <c r="I1733" s="52"/>
      <c r="J1733" s="52"/>
      <c r="K1733" s="52"/>
      <c r="L1733" s="52"/>
      <c r="M1733" s="52"/>
      <c r="N1733" s="52"/>
      <c r="O1733" s="52"/>
      <c r="P1733" s="52"/>
      <c r="Q1733" s="52"/>
      <c r="R1733" s="52"/>
      <c r="S1733" s="52"/>
      <c r="T1733" s="52"/>
      <c r="U1733" s="52"/>
      <c r="V1733" s="52"/>
      <c r="W1733" s="52"/>
      <c r="X1733" s="52"/>
      <c r="Y1733" s="52"/>
      <c r="Z1733" s="52"/>
      <c r="AA1733" s="52"/>
      <c r="AB1733" s="52"/>
      <c r="AC1733" s="52"/>
      <c r="AD1733" s="52"/>
      <c r="AE1733" s="52"/>
      <c r="AF1733" s="52"/>
      <c r="AG1733" s="52"/>
      <c r="AH1733" s="52"/>
      <c r="AI1733" s="52"/>
      <c r="AJ1733" s="52"/>
      <c r="AK1733" s="52"/>
      <c r="AL1733" s="52"/>
      <c r="AM1733" s="52"/>
      <c r="AN1733" s="52"/>
    </row>
    <row r="1734" spans="1:40" x14ac:dyDescent="0.3">
      <c r="A1734" s="52">
        <v>1729</v>
      </c>
      <c r="B1734" s="52">
        <f>-bthan*500+(28+0.5)*bthan*1000/50</f>
        <v>385</v>
      </c>
      <c r="C1734" s="52">
        <f t="shared" si="194"/>
        <v>-110</v>
      </c>
      <c r="D1734" s="52">
        <f t="shared" ref="D1734:D1797" si="195">bthan*1000/50*hthan*1000/80</f>
        <v>2200</v>
      </c>
      <c r="E1734" s="52">
        <f t="shared" ref="E1734:E1797" si="196">IF(shp=1,--(OR(ABS(B1734)&lt;=MAX(0,(bthan-hthan)*500),(ABS(B1734)-MAX(0,(bthan-hthan)*500))^2+C1734^2&lt;=(hthan*500)^2)),--(AND(ABS(B1734)&lt;=bthan*500,ABS(C1734)&lt;=hthan*500,OR(ABS(B1734)&lt;=bthan*500-cch*1000,ABS(C1734)&lt;=hthan*500-cch*1000,(bthan*500-ABS(B1734))+(hthan*500-ABS(C1734))&gt;=cch*1000))))</f>
        <v>1</v>
      </c>
      <c r="F1734" s="52"/>
      <c r="G1734" s="52"/>
      <c r="H1734" s="52"/>
      <c r="I1734" s="52"/>
      <c r="J1734" s="52"/>
      <c r="K1734" s="52"/>
      <c r="L1734" s="52"/>
      <c r="M1734" s="52"/>
      <c r="N1734" s="52"/>
      <c r="O1734" s="52"/>
      <c r="P1734" s="52"/>
      <c r="Q1734" s="52"/>
      <c r="R1734" s="52"/>
      <c r="S1734" s="52"/>
      <c r="T1734" s="52"/>
      <c r="U1734" s="52"/>
      <c r="V1734" s="52"/>
      <c r="W1734" s="52"/>
      <c r="X1734" s="52"/>
      <c r="Y1734" s="52"/>
      <c r="Z1734" s="52"/>
      <c r="AA1734" s="52"/>
      <c r="AB1734" s="52"/>
      <c r="AC1734" s="52"/>
      <c r="AD1734" s="52"/>
      <c r="AE1734" s="52"/>
      <c r="AF1734" s="52"/>
      <c r="AG1734" s="52"/>
      <c r="AH1734" s="52"/>
      <c r="AI1734" s="52"/>
      <c r="AJ1734" s="52"/>
      <c r="AK1734" s="52"/>
      <c r="AL1734" s="52"/>
      <c r="AM1734" s="52"/>
      <c r="AN1734" s="52"/>
    </row>
    <row r="1735" spans="1:40" x14ac:dyDescent="0.3">
      <c r="A1735" s="52">
        <v>1730</v>
      </c>
      <c r="B1735" s="52">
        <f>-bthan*500+(29+0.5)*bthan*1000/50</f>
        <v>495</v>
      </c>
      <c r="C1735" s="52">
        <f t="shared" si="194"/>
        <v>-110</v>
      </c>
      <c r="D1735" s="52">
        <f t="shared" si="195"/>
        <v>2200</v>
      </c>
      <c r="E1735" s="52">
        <f t="shared" si="196"/>
        <v>1</v>
      </c>
      <c r="F1735" s="52"/>
      <c r="G1735" s="52"/>
      <c r="H1735" s="52"/>
      <c r="I1735" s="52"/>
      <c r="J1735" s="52"/>
      <c r="K1735" s="52"/>
      <c r="L1735" s="52"/>
      <c r="M1735" s="52"/>
      <c r="N1735" s="52"/>
      <c r="O1735" s="52"/>
      <c r="P1735" s="52"/>
      <c r="Q1735" s="52"/>
      <c r="R1735" s="52"/>
      <c r="S1735" s="52"/>
      <c r="T1735" s="52"/>
      <c r="U1735" s="52"/>
      <c r="V1735" s="52"/>
      <c r="W1735" s="52"/>
      <c r="X1735" s="52"/>
      <c r="Y1735" s="52"/>
      <c r="Z1735" s="52"/>
      <c r="AA1735" s="52"/>
      <c r="AB1735" s="52"/>
      <c r="AC1735" s="52"/>
      <c r="AD1735" s="52"/>
      <c r="AE1735" s="52"/>
      <c r="AF1735" s="52"/>
      <c r="AG1735" s="52"/>
      <c r="AH1735" s="52"/>
      <c r="AI1735" s="52"/>
      <c r="AJ1735" s="52"/>
      <c r="AK1735" s="52"/>
      <c r="AL1735" s="52"/>
      <c r="AM1735" s="52"/>
      <c r="AN1735" s="52"/>
    </row>
    <row r="1736" spans="1:40" x14ac:dyDescent="0.3">
      <c r="A1736" s="52">
        <v>1731</v>
      </c>
      <c r="B1736" s="52">
        <f>-bthan*500+(30+0.5)*bthan*1000/50</f>
        <v>605</v>
      </c>
      <c r="C1736" s="52">
        <f t="shared" si="194"/>
        <v>-110</v>
      </c>
      <c r="D1736" s="52">
        <f t="shared" si="195"/>
        <v>2200</v>
      </c>
      <c r="E1736" s="52">
        <f t="shared" si="196"/>
        <v>1</v>
      </c>
      <c r="F1736" s="52"/>
      <c r="G1736" s="52"/>
      <c r="H1736" s="52"/>
      <c r="I1736" s="52"/>
      <c r="J1736" s="52"/>
      <c r="K1736" s="52"/>
      <c r="L1736" s="52"/>
      <c r="M1736" s="52"/>
      <c r="N1736" s="52"/>
      <c r="O1736" s="52"/>
      <c r="P1736" s="52"/>
      <c r="Q1736" s="52"/>
      <c r="R1736" s="52"/>
      <c r="S1736" s="52"/>
      <c r="T1736" s="52"/>
      <c r="U1736" s="52"/>
      <c r="V1736" s="52"/>
      <c r="W1736" s="52"/>
      <c r="X1736" s="52"/>
      <c r="Y1736" s="52"/>
      <c r="Z1736" s="52"/>
      <c r="AA1736" s="52"/>
      <c r="AB1736" s="52"/>
      <c r="AC1736" s="52"/>
      <c r="AD1736" s="52"/>
      <c r="AE1736" s="52"/>
      <c r="AF1736" s="52"/>
      <c r="AG1736" s="52"/>
      <c r="AH1736" s="52"/>
      <c r="AI1736" s="52"/>
      <c r="AJ1736" s="52"/>
      <c r="AK1736" s="52"/>
      <c r="AL1736" s="52"/>
      <c r="AM1736" s="52"/>
      <c r="AN1736" s="52"/>
    </row>
    <row r="1737" spans="1:40" x14ac:dyDescent="0.3">
      <c r="A1737" s="52">
        <v>1732</v>
      </c>
      <c r="B1737" s="52">
        <f>-bthan*500+(31+0.5)*bthan*1000/50</f>
        <v>715</v>
      </c>
      <c r="C1737" s="52">
        <f t="shared" si="194"/>
        <v>-110</v>
      </c>
      <c r="D1737" s="52">
        <f t="shared" si="195"/>
        <v>2200</v>
      </c>
      <c r="E1737" s="52">
        <f t="shared" si="196"/>
        <v>1</v>
      </c>
      <c r="F1737" s="52"/>
      <c r="G1737" s="52"/>
      <c r="H1737" s="52"/>
      <c r="I1737" s="52"/>
      <c r="J1737" s="52"/>
      <c r="K1737" s="52"/>
      <c r="L1737" s="52"/>
      <c r="M1737" s="52"/>
      <c r="N1737" s="52"/>
      <c r="O1737" s="52"/>
      <c r="P1737" s="52"/>
      <c r="Q1737" s="52"/>
      <c r="R1737" s="52"/>
      <c r="S1737" s="52"/>
      <c r="T1737" s="52"/>
      <c r="U1737" s="52"/>
      <c r="V1737" s="52"/>
      <c r="W1737" s="52"/>
      <c r="X1737" s="52"/>
      <c r="Y1737" s="52"/>
      <c r="Z1737" s="52"/>
      <c r="AA1737" s="52"/>
      <c r="AB1737" s="52"/>
      <c r="AC1737" s="52"/>
      <c r="AD1737" s="52"/>
      <c r="AE1737" s="52"/>
      <c r="AF1737" s="52"/>
      <c r="AG1737" s="52"/>
      <c r="AH1737" s="52"/>
      <c r="AI1737" s="52"/>
      <c r="AJ1737" s="52"/>
      <c r="AK1737" s="52"/>
      <c r="AL1737" s="52"/>
      <c r="AM1737" s="52"/>
      <c r="AN1737" s="52"/>
    </row>
    <row r="1738" spans="1:40" x14ac:dyDescent="0.3">
      <c r="A1738" s="52">
        <v>1733</v>
      </c>
      <c r="B1738" s="52">
        <f>-bthan*500+(32+0.5)*bthan*1000/50</f>
        <v>825</v>
      </c>
      <c r="C1738" s="52">
        <f t="shared" ref="C1738:C1755" si="197">-hthan*500+(34+0.5)*hthan*1000/80</f>
        <v>-110</v>
      </c>
      <c r="D1738" s="52">
        <f t="shared" si="195"/>
        <v>2200</v>
      </c>
      <c r="E1738" s="52">
        <f t="shared" si="196"/>
        <v>1</v>
      </c>
      <c r="F1738" s="52"/>
      <c r="G1738" s="52"/>
      <c r="H1738" s="52"/>
      <c r="I1738" s="52"/>
      <c r="J1738" s="52"/>
      <c r="K1738" s="52"/>
      <c r="L1738" s="52"/>
      <c r="M1738" s="52"/>
      <c r="N1738" s="52"/>
      <c r="O1738" s="52"/>
      <c r="P1738" s="52"/>
      <c r="Q1738" s="52"/>
      <c r="R1738" s="52"/>
      <c r="S1738" s="52"/>
      <c r="T1738" s="52"/>
      <c r="U1738" s="52"/>
      <c r="V1738" s="52"/>
      <c r="W1738" s="52"/>
      <c r="X1738" s="52"/>
      <c r="Y1738" s="52"/>
      <c r="Z1738" s="52"/>
      <c r="AA1738" s="52"/>
      <c r="AB1738" s="52"/>
      <c r="AC1738" s="52"/>
      <c r="AD1738" s="52"/>
      <c r="AE1738" s="52"/>
      <c r="AF1738" s="52"/>
      <c r="AG1738" s="52"/>
      <c r="AH1738" s="52"/>
      <c r="AI1738" s="52"/>
      <c r="AJ1738" s="52"/>
      <c r="AK1738" s="52"/>
      <c r="AL1738" s="52"/>
      <c r="AM1738" s="52"/>
      <c r="AN1738" s="52"/>
    </row>
    <row r="1739" spans="1:40" x14ac:dyDescent="0.3">
      <c r="A1739" s="52">
        <v>1734</v>
      </c>
      <c r="B1739" s="52">
        <f>-bthan*500+(33+0.5)*bthan*1000/50</f>
        <v>935</v>
      </c>
      <c r="C1739" s="52">
        <f t="shared" si="197"/>
        <v>-110</v>
      </c>
      <c r="D1739" s="52">
        <f t="shared" si="195"/>
        <v>2200</v>
      </c>
      <c r="E1739" s="52">
        <f t="shared" si="196"/>
        <v>1</v>
      </c>
      <c r="F1739" s="52"/>
      <c r="G1739" s="52"/>
      <c r="H1739" s="52"/>
      <c r="I1739" s="52"/>
      <c r="J1739" s="52"/>
      <c r="K1739" s="52"/>
      <c r="L1739" s="52"/>
      <c r="M1739" s="52"/>
      <c r="N1739" s="52"/>
      <c r="O1739" s="52"/>
      <c r="P1739" s="52"/>
      <c r="Q1739" s="52"/>
      <c r="R1739" s="52"/>
      <c r="S1739" s="52"/>
      <c r="T1739" s="52"/>
      <c r="U1739" s="52"/>
      <c r="V1739" s="52"/>
      <c r="W1739" s="52"/>
      <c r="X1739" s="52"/>
      <c r="Y1739" s="52"/>
      <c r="Z1739" s="52"/>
      <c r="AA1739" s="52"/>
      <c r="AB1739" s="52"/>
      <c r="AC1739" s="52"/>
      <c r="AD1739" s="52"/>
      <c r="AE1739" s="52"/>
      <c r="AF1739" s="52"/>
      <c r="AG1739" s="52"/>
      <c r="AH1739" s="52"/>
      <c r="AI1739" s="52"/>
      <c r="AJ1739" s="52"/>
      <c r="AK1739" s="52"/>
      <c r="AL1739" s="52"/>
      <c r="AM1739" s="52"/>
      <c r="AN1739" s="52"/>
    </row>
    <row r="1740" spans="1:40" x14ac:dyDescent="0.3">
      <c r="A1740" s="52">
        <v>1735</v>
      </c>
      <c r="B1740" s="52">
        <f>-bthan*500+(34+0.5)*bthan*1000/50</f>
        <v>1045</v>
      </c>
      <c r="C1740" s="52">
        <f t="shared" si="197"/>
        <v>-110</v>
      </c>
      <c r="D1740" s="52">
        <f t="shared" si="195"/>
        <v>2200</v>
      </c>
      <c r="E1740" s="52">
        <f t="shared" si="196"/>
        <v>1</v>
      </c>
      <c r="F1740" s="52"/>
      <c r="G1740" s="52"/>
      <c r="H1740" s="52"/>
      <c r="I1740" s="52"/>
      <c r="J1740" s="52"/>
      <c r="K1740" s="52"/>
      <c r="L1740" s="52"/>
      <c r="M1740" s="52"/>
      <c r="N1740" s="52"/>
      <c r="O1740" s="52"/>
      <c r="P1740" s="52"/>
      <c r="Q1740" s="52"/>
      <c r="R1740" s="52"/>
      <c r="S1740" s="52"/>
      <c r="T1740" s="52"/>
      <c r="U1740" s="52"/>
      <c r="V1740" s="52"/>
      <c r="W1740" s="52"/>
      <c r="X1740" s="52"/>
      <c r="Y1740" s="52"/>
      <c r="Z1740" s="52"/>
      <c r="AA1740" s="52"/>
      <c r="AB1740" s="52"/>
      <c r="AC1740" s="52"/>
      <c r="AD1740" s="52"/>
      <c r="AE1740" s="52"/>
      <c r="AF1740" s="52"/>
      <c r="AG1740" s="52"/>
      <c r="AH1740" s="52"/>
      <c r="AI1740" s="52"/>
      <c r="AJ1740" s="52"/>
      <c r="AK1740" s="52"/>
      <c r="AL1740" s="52"/>
      <c r="AM1740" s="52"/>
      <c r="AN1740" s="52"/>
    </row>
    <row r="1741" spans="1:40" x14ac:dyDescent="0.3">
      <c r="A1741" s="52">
        <v>1736</v>
      </c>
      <c r="B1741" s="52">
        <f>-bthan*500+(35+0.5)*bthan*1000/50</f>
        <v>1155</v>
      </c>
      <c r="C1741" s="52">
        <f t="shared" si="197"/>
        <v>-110</v>
      </c>
      <c r="D1741" s="52">
        <f t="shared" si="195"/>
        <v>2200</v>
      </c>
      <c r="E1741" s="52">
        <f t="shared" si="196"/>
        <v>1</v>
      </c>
      <c r="F1741" s="52"/>
      <c r="G1741" s="52"/>
      <c r="H1741" s="52"/>
      <c r="I1741" s="52"/>
      <c r="J1741" s="52"/>
      <c r="K1741" s="52"/>
      <c r="L1741" s="52"/>
      <c r="M1741" s="52"/>
      <c r="N1741" s="52"/>
      <c r="O1741" s="52"/>
      <c r="P1741" s="52"/>
      <c r="Q1741" s="52"/>
      <c r="R1741" s="52"/>
      <c r="S1741" s="52"/>
      <c r="T1741" s="52"/>
      <c r="U1741" s="52"/>
      <c r="V1741" s="52"/>
      <c r="W1741" s="52"/>
      <c r="X1741" s="52"/>
      <c r="Y1741" s="52"/>
      <c r="Z1741" s="52"/>
      <c r="AA1741" s="52"/>
      <c r="AB1741" s="52"/>
      <c r="AC1741" s="52"/>
      <c r="AD1741" s="52"/>
      <c r="AE1741" s="52"/>
      <c r="AF1741" s="52"/>
      <c r="AG1741" s="52"/>
      <c r="AH1741" s="52"/>
      <c r="AI1741" s="52"/>
      <c r="AJ1741" s="52"/>
      <c r="AK1741" s="52"/>
      <c r="AL1741" s="52"/>
      <c r="AM1741" s="52"/>
      <c r="AN1741" s="52"/>
    </row>
    <row r="1742" spans="1:40" x14ac:dyDescent="0.3">
      <c r="A1742" s="52">
        <v>1737</v>
      </c>
      <c r="B1742" s="52">
        <f>-bthan*500+(36+0.5)*bthan*1000/50</f>
        <v>1265</v>
      </c>
      <c r="C1742" s="52">
        <f t="shared" si="197"/>
        <v>-110</v>
      </c>
      <c r="D1742" s="52">
        <f t="shared" si="195"/>
        <v>2200</v>
      </c>
      <c r="E1742" s="52">
        <f t="shared" si="196"/>
        <v>1</v>
      </c>
      <c r="F1742" s="52"/>
      <c r="G1742" s="52"/>
      <c r="H1742" s="52"/>
      <c r="I1742" s="52"/>
      <c r="J1742" s="52"/>
      <c r="K1742" s="52"/>
      <c r="L1742" s="52"/>
      <c r="M1742" s="52"/>
      <c r="N1742" s="52"/>
      <c r="O1742" s="52"/>
      <c r="P1742" s="52"/>
      <c r="Q1742" s="52"/>
      <c r="R1742" s="52"/>
      <c r="S1742" s="52"/>
      <c r="T1742" s="52"/>
      <c r="U1742" s="52"/>
      <c r="V1742" s="52"/>
      <c r="W1742" s="52"/>
      <c r="X1742" s="52"/>
      <c r="Y1742" s="52"/>
      <c r="Z1742" s="52"/>
      <c r="AA1742" s="52"/>
      <c r="AB1742" s="52"/>
      <c r="AC1742" s="52"/>
      <c r="AD1742" s="52"/>
      <c r="AE1742" s="52"/>
      <c r="AF1742" s="52"/>
      <c r="AG1742" s="52"/>
      <c r="AH1742" s="52"/>
      <c r="AI1742" s="52"/>
      <c r="AJ1742" s="52"/>
      <c r="AK1742" s="52"/>
      <c r="AL1742" s="52"/>
      <c r="AM1742" s="52"/>
      <c r="AN1742" s="52"/>
    </row>
    <row r="1743" spans="1:40" x14ac:dyDescent="0.3">
      <c r="A1743" s="52">
        <v>1738</v>
      </c>
      <c r="B1743" s="52">
        <f>-bthan*500+(37+0.5)*bthan*1000/50</f>
        <v>1375</v>
      </c>
      <c r="C1743" s="52">
        <f t="shared" si="197"/>
        <v>-110</v>
      </c>
      <c r="D1743" s="52">
        <f t="shared" si="195"/>
        <v>2200</v>
      </c>
      <c r="E1743" s="52">
        <f t="shared" si="196"/>
        <v>1</v>
      </c>
      <c r="F1743" s="52"/>
      <c r="G1743" s="52"/>
      <c r="H1743" s="52"/>
      <c r="I1743" s="52"/>
      <c r="J1743" s="52"/>
      <c r="K1743" s="52"/>
      <c r="L1743" s="52"/>
      <c r="M1743" s="52"/>
      <c r="N1743" s="52"/>
      <c r="O1743" s="52"/>
      <c r="P1743" s="52"/>
      <c r="Q1743" s="52"/>
      <c r="R1743" s="52"/>
      <c r="S1743" s="52"/>
      <c r="T1743" s="52"/>
      <c r="U1743" s="52"/>
      <c r="V1743" s="52"/>
      <c r="W1743" s="52"/>
      <c r="X1743" s="52"/>
      <c r="Y1743" s="52"/>
      <c r="Z1743" s="52"/>
      <c r="AA1743" s="52"/>
      <c r="AB1743" s="52"/>
      <c r="AC1743" s="52"/>
      <c r="AD1743" s="52"/>
      <c r="AE1743" s="52"/>
      <c r="AF1743" s="52"/>
      <c r="AG1743" s="52"/>
      <c r="AH1743" s="52"/>
      <c r="AI1743" s="52"/>
      <c r="AJ1743" s="52"/>
      <c r="AK1743" s="52"/>
      <c r="AL1743" s="52"/>
      <c r="AM1743" s="52"/>
      <c r="AN1743" s="52"/>
    </row>
    <row r="1744" spans="1:40" x14ac:dyDescent="0.3">
      <c r="A1744" s="52">
        <v>1739</v>
      </c>
      <c r="B1744" s="52">
        <f>-bthan*500+(38+0.5)*bthan*1000/50</f>
        <v>1485</v>
      </c>
      <c r="C1744" s="52">
        <f t="shared" si="197"/>
        <v>-110</v>
      </c>
      <c r="D1744" s="52">
        <f t="shared" si="195"/>
        <v>2200</v>
      </c>
      <c r="E1744" s="52">
        <f t="shared" si="196"/>
        <v>1</v>
      </c>
      <c r="F1744" s="52"/>
      <c r="G1744" s="52"/>
      <c r="H1744" s="52"/>
      <c r="I1744" s="52"/>
      <c r="J1744" s="52"/>
      <c r="K1744" s="52"/>
      <c r="L1744" s="52"/>
      <c r="M1744" s="52"/>
      <c r="N1744" s="52"/>
      <c r="O1744" s="52"/>
      <c r="P1744" s="52"/>
      <c r="Q1744" s="52"/>
      <c r="R1744" s="52"/>
      <c r="S1744" s="52"/>
      <c r="T1744" s="52"/>
      <c r="U1744" s="52"/>
      <c r="V1744" s="52"/>
      <c r="W1744" s="52"/>
      <c r="X1744" s="52"/>
      <c r="Y1744" s="52"/>
      <c r="Z1744" s="52"/>
      <c r="AA1744" s="52"/>
      <c r="AB1744" s="52"/>
      <c r="AC1744" s="52"/>
      <c r="AD1744" s="52"/>
      <c r="AE1744" s="52"/>
      <c r="AF1744" s="52"/>
      <c r="AG1744" s="52"/>
      <c r="AH1744" s="52"/>
      <c r="AI1744" s="52"/>
      <c r="AJ1744" s="52"/>
      <c r="AK1744" s="52"/>
      <c r="AL1744" s="52"/>
      <c r="AM1744" s="52"/>
      <c r="AN1744" s="52"/>
    </row>
    <row r="1745" spans="1:40" x14ac:dyDescent="0.3">
      <c r="A1745" s="52">
        <v>1740</v>
      </c>
      <c r="B1745" s="52">
        <f>-bthan*500+(39+0.5)*bthan*1000/50</f>
        <v>1595</v>
      </c>
      <c r="C1745" s="52">
        <f t="shared" si="197"/>
        <v>-110</v>
      </c>
      <c r="D1745" s="52">
        <f t="shared" si="195"/>
        <v>2200</v>
      </c>
      <c r="E1745" s="52">
        <f t="shared" si="196"/>
        <v>1</v>
      </c>
      <c r="F1745" s="52"/>
      <c r="G1745" s="52"/>
      <c r="H1745" s="52"/>
      <c r="I1745" s="52"/>
      <c r="J1745" s="52"/>
      <c r="K1745" s="52"/>
      <c r="L1745" s="52"/>
      <c r="M1745" s="52"/>
      <c r="N1745" s="52"/>
      <c r="O1745" s="52"/>
      <c r="P1745" s="52"/>
      <c r="Q1745" s="52"/>
      <c r="R1745" s="52"/>
      <c r="S1745" s="52"/>
      <c r="T1745" s="52"/>
      <c r="U1745" s="52"/>
      <c r="V1745" s="52"/>
      <c r="W1745" s="52"/>
      <c r="X1745" s="52"/>
      <c r="Y1745" s="52"/>
      <c r="Z1745" s="52"/>
      <c r="AA1745" s="52"/>
      <c r="AB1745" s="52"/>
      <c r="AC1745" s="52"/>
      <c r="AD1745" s="52"/>
      <c r="AE1745" s="52"/>
      <c r="AF1745" s="52"/>
      <c r="AG1745" s="52"/>
      <c r="AH1745" s="52"/>
      <c r="AI1745" s="52"/>
      <c r="AJ1745" s="52"/>
      <c r="AK1745" s="52"/>
      <c r="AL1745" s="52"/>
      <c r="AM1745" s="52"/>
      <c r="AN1745" s="52"/>
    </row>
    <row r="1746" spans="1:40" x14ac:dyDescent="0.3">
      <c r="A1746" s="52">
        <v>1741</v>
      </c>
      <c r="B1746" s="52">
        <f>-bthan*500+(40+0.5)*bthan*1000/50</f>
        <v>1705</v>
      </c>
      <c r="C1746" s="52">
        <f t="shared" si="197"/>
        <v>-110</v>
      </c>
      <c r="D1746" s="52">
        <f t="shared" si="195"/>
        <v>2200</v>
      </c>
      <c r="E1746" s="52">
        <f t="shared" si="196"/>
        <v>1</v>
      </c>
      <c r="F1746" s="52"/>
      <c r="G1746" s="52"/>
      <c r="H1746" s="52"/>
      <c r="I1746" s="52"/>
      <c r="J1746" s="52"/>
      <c r="K1746" s="52"/>
      <c r="L1746" s="52"/>
      <c r="M1746" s="52"/>
      <c r="N1746" s="52"/>
      <c r="O1746" s="52"/>
      <c r="P1746" s="52"/>
      <c r="Q1746" s="52"/>
      <c r="R1746" s="52"/>
      <c r="S1746" s="52"/>
      <c r="T1746" s="52"/>
      <c r="U1746" s="52"/>
      <c r="V1746" s="52"/>
      <c r="W1746" s="52"/>
      <c r="X1746" s="52"/>
      <c r="Y1746" s="52"/>
      <c r="Z1746" s="52"/>
      <c r="AA1746" s="52"/>
      <c r="AB1746" s="52"/>
      <c r="AC1746" s="52"/>
      <c r="AD1746" s="52"/>
      <c r="AE1746" s="52"/>
      <c r="AF1746" s="52"/>
      <c r="AG1746" s="52"/>
      <c r="AH1746" s="52"/>
      <c r="AI1746" s="52"/>
      <c r="AJ1746" s="52"/>
      <c r="AK1746" s="52"/>
      <c r="AL1746" s="52"/>
      <c r="AM1746" s="52"/>
      <c r="AN1746" s="52"/>
    </row>
    <row r="1747" spans="1:40" x14ac:dyDescent="0.3">
      <c r="A1747" s="52">
        <v>1742</v>
      </c>
      <c r="B1747" s="52">
        <f>-bthan*500+(41+0.5)*bthan*1000/50</f>
        <v>1815</v>
      </c>
      <c r="C1747" s="52">
        <f t="shared" si="197"/>
        <v>-110</v>
      </c>
      <c r="D1747" s="52">
        <f t="shared" si="195"/>
        <v>2200</v>
      </c>
      <c r="E1747" s="52">
        <f t="shared" si="196"/>
        <v>1</v>
      </c>
      <c r="F1747" s="52"/>
      <c r="G1747" s="52"/>
      <c r="H1747" s="52"/>
      <c r="I1747" s="52"/>
      <c r="J1747" s="52"/>
      <c r="K1747" s="52"/>
      <c r="L1747" s="52"/>
      <c r="M1747" s="52"/>
      <c r="N1747" s="52"/>
      <c r="O1747" s="52"/>
      <c r="P1747" s="52"/>
      <c r="Q1747" s="52"/>
      <c r="R1747" s="52"/>
      <c r="S1747" s="52"/>
      <c r="T1747" s="52"/>
      <c r="U1747" s="52"/>
      <c r="V1747" s="52"/>
      <c r="W1747" s="52"/>
      <c r="X1747" s="52"/>
      <c r="Y1747" s="52"/>
      <c r="Z1747" s="52"/>
      <c r="AA1747" s="52"/>
      <c r="AB1747" s="52"/>
      <c r="AC1747" s="52"/>
      <c r="AD1747" s="52"/>
      <c r="AE1747" s="52"/>
      <c r="AF1747" s="52"/>
      <c r="AG1747" s="52"/>
      <c r="AH1747" s="52"/>
      <c r="AI1747" s="52"/>
      <c r="AJ1747" s="52"/>
      <c r="AK1747" s="52"/>
      <c r="AL1747" s="52"/>
      <c r="AM1747" s="52"/>
      <c r="AN1747" s="52"/>
    </row>
    <row r="1748" spans="1:40" x14ac:dyDescent="0.3">
      <c r="A1748" s="52">
        <v>1743</v>
      </c>
      <c r="B1748" s="52">
        <f>-bthan*500+(42+0.5)*bthan*1000/50</f>
        <v>1925</v>
      </c>
      <c r="C1748" s="52">
        <f t="shared" si="197"/>
        <v>-110</v>
      </c>
      <c r="D1748" s="52">
        <f t="shared" si="195"/>
        <v>2200</v>
      </c>
      <c r="E1748" s="52">
        <f t="shared" si="196"/>
        <v>1</v>
      </c>
      <c r="F1748" s="52"/>
      <c r="G1748" s="52"/>
      <c r="H1748" s="52"/>
      <c r="I1748" s="52"/>
      <c r="J1748" s="52"/>
      <c r="K1748" s="52"/>
      <c r="L1748" s="52"/>
      <c r="M1748" s="52"/>
      <c r="N1748" s="52"/>
      <c r="O1748" s="52"/>
      <c r="P1748" s="52"/>
      <c r="Q1748" s="52"/>
      <c r="R1748" s="52"/>
      <c r="S1748" s="52"/>
      <c r="T1748" s="52"/>
      <c r="U1748" s="52"/>
      <c r="V1748" s="52"/>
      <c r="W1748" s="52"/>
      <c r="X1748" s="52"/>
      <c r="Y1748" s="52"/>
      <c r="Z1748" s="52"/>
      <c r="AA1748" s="52"/>
      <c r="AB1748" s="52"/>
      <c r="AC1748" s="52"/>
      <c r="AD1748" s="52"/>
      <c r="AE1748" s="52"/>
      <c r="AF1748" s="52"/>
      <c r="AG1748" s="52"/>
      <c r="AH1748" s="52"/>
      <c r="AI1748" s="52"/>
      <c r="AJ1748" s="52"/>
      <c r="AK1748" s="52"/>
      <c r="AL1748" s="52"/>
      <c r="AM1748" s="52"/>
      <c r="AN1748" s="52"/>
    </row>
    <row r="1749" spans="1:40" x14ac:dyDescent="0.3">
      <c r="A1749" s="52">
        <v>1744</v>
      </c>
      <c r="B1749" s="52">
        <f>-bthan*500+(43+0.5)*bthan*1000/50</f>
        <v>2035</v>
      </c>
      <c r="C1749" s="52">
        <f t="shared" si="197"/>
        <v>-110</v>
      </c>
      <c r="D1749" s="52">
        <f t="shared" si="195"/>
        <v>2200</v>
      </c>
      <c r="E1749" s="52">
        <f t="shared" si="196"/>
        <v>1</v>
      </c>
      <c r="F1749" s="52"/>
      <c r="G1749" s="52"/>
      <c r="H1749" s="52"/>
      <c r="I1749" s="52"/>
      <c r="J1749" s="52"/>
      <c r="K1749" s="52"/>
      <c r="L1749" s="52"/>
      <c r="M1749" s="52"/>
      <c r="N1749" s="52"/>
      <c r="O1749" s="52"/>
      <c r="P1749" s="52"/>
      <c r="Q1749" s="52"/>
      <c r="R1749" s="52"/>
      <c r="S1749" s="52"/>
      <c r="T1749" s="52"/>
      <c r="U1749" s="52"/>
      <c r="V1749" s="52"/>
      <c r="W1749" s="52"/>
      <c r="X1749" s="52"/>
      <c r="Y1749" s="52"/>
      <c r="Z1749" s="52"/>
      <c r="AA1749" s="52"/>
      <c r="AB1749" s="52"/>
      <c r="AC1749" s="52"/>
      <c r="AD1749" s="52"/>
      <c r="AE1749" s="52"/>
      <c r="AF1749" s="52"/>
      <c r="AG1749" s="52"/>
      <c r="AH1749" s="52"/>
      <c r="AI1749" s="52"/>
      <c r="AJ1749" s="52"/>
      <c r="AK1749" s="52"/>
      <c r="AL1749" s="52"/>
      <c r="AM1749" s="52"/>
      <c r="AN1749" s="52"/>
    </row>
    <row r="1750" spans="1:40" x14ac:dyDescent="0.3">
      <c r="A1750" s="52">
        <v>1745</v>
      </c>
      <c r="B1750" s="52">
        <f>-bthan*500+(44+0.5)*bthan*1000/50</f>
        <v>2145</v>
      </c>
      <c r="C1750" s="52">
        <f t="shared" si="197"/>
        <v>-110</v>
      </c>
      <c r="D1750" s="52">
        <f t="shared" si="195"/>
        <v>2200</v>
      </c>
      <c r="E1750" s="52">
        <f t="shared" si="196"/>
        <v>1</v>
      </c>
      <c r="F1750" s="52"/>
      <c r="G1750" s="52"/>
      <c r="H1750" s="52"/>
      <c r="I1750" s="52"/>
      <c r="J1750" s="52"/>
      <c r="K1750" s="52"/>
      <c r="L1750" s="52"/>
      <c r="M1750" s="52"/>
      <c r="N1750" s="52"/>
      <c r="O1750" s="52"/>
      <c r="P1750" s="52"/>
      <c r="Q1750" s="52"/>
      <c r="R1750" s="52"/>
      <c r="S1750" s="52"/>
      <c r="T1750" s="52"/>
      <c r="U1750" s="52"/>
      <c r="V1750" s="52"/>
      <c r="W1750" s="52"/>
      <c r="X1750" s="52"/>
      <c r="Y1750" s="52"/>
      <c r="Z1750" s="52"/>
      <c r="AA1750" s="52"/>
      <c r="AB1750" s="52"/>
      <c r="AC1750" s="52"/>
      <c r="AD1750" s="52"/>
      <c r="AE1750" s="52"/>
      <c r="AF1750" s="52"/>
      <c r="AG1750" s="52"/>
      <c r="AH1750" s="52"/>
      <c r="AI1750" s="52"/>
      <c r="AJ1750" s="52"/>
      <c r="AK1750" s="52"/>
      <c r="AL1750" s="52"/>
      <c r="AM1750" s="52"/>
      <c r="AN1750" s="52"/>
    </row>
    <row r="1751" spans="1:40" x14ac:dyDescent="0.3">
      <c r="A1751" s="52">
        <v>1746</v>
      </c>
      <c r="B1751" s="52">
        <f>-bthan*500+(45+0.5)*bthan*1000/50</f>
        <v>2255</v>
      </c>
      <c r="C1751" s="52">
        <f t="shared" si="197"/>
        <v>-110</v>
      </c>
      <c r="D1751" s="52">
        <f t="shared" si="195"/>
        <v>2200</v>
      </c>
      <c r="E1751" s="52">
        <f t="shared" si="196"/>
        <v>1</v>
      </c>
      <c r="F1751" s="52"/>
      <c r="G1751" s="52"/>
      <c r="H1751" s="52"/>
      <c r="I1751" s="52"/>
      <c r="J1751" s="52"/>
      <c r="K1751" s="52"/>
      <c r="L1751" s="52"/>
      <c r="M1751" s="52"/>
      <c r="N1751" s="52"/>
      <c r="O1751" s="52"/>
      <c r="P1751" s="52"/>
      <c r="Q1751" s="52"/>
      <c r="R1751" s="52"/>
      <c r="S1751" s="52"/>
      <c r="T1751" s="52"/>
      <c r="U1751" s="52"/>
      <c r="V1751" s="52"/>
      <c r="W1751" s="52"/>
      <c r="X1751" s="52"/>
      <c r="Y1751" s="52"/>
      <c r="Z1751" s="52"/>
      <c r="AA1751" s="52"/>
      <c r="AB1751" s="52"/>
      <c r="AC1751" s="52"/>
      <c r="AD1751" s="52"/>
      <c r="AE1751" s="52"/>
      <c r="AF1751" s="52"/>
      <c r="AG1751" s="52"/>
      <c r="AH1751" s="52"/>
      <c r="AI1751" s="52"/>
      <c r="AJ1751" s="52"/>
      <c r="AK1751" s="52"/>
      <c r="AL1751" s="52"/>
      <c r="AM1751" s="52"/>
      <c r="AN1751" s="52"/>
    </row>
    <row r="1752" spans="1:40" x14ac:dyDescent="0.3">
      <c r="A1752" s="52">
        <v>1747</v>
      </c>
      <c r="B1752" s="52">
        <f>-bthan*500+(46+0.5)*bthan*1000/50</f>
        <v>2365</v>
      </c>
      <c r="C1752" s="52">
        <f t="shared" si="197"/>
        <v>-110</v>
      </c>
      <c r="D1752" s="52">
        <f t="shared" si="195"/>
        <v>2200</v>
      </c>
      <c r="E1752" s="52">
        <f t="shared" si="196"/>
        <v>1</v>
      </c>
      <c r="F1752" s="52"/>
      <c r="G1752" s="52"/>
      <c r="H1752" s="52"/>
      <c r="I1752" s="52"/>
      <c r="J1752" s="52"/>
      <c r="K1752" s="52"/>
      <c r="L1752" s="52"/>
      <c r="M1752" s="52"/>
      <c r="N1752" s="52"/>
      <c r="O1752" s="52"/>
      <c r="P1752" s="52"/>
      <c r="Q1752" s="52"/>
      <c r="R1752" s="52"/>
      <c r="S1752" s="52"/>
      <c r="T1752" s="52"/>
      <c r="U1752" s="52"/>
      <c r="V1752" s="52"/>
      <c r="W1752" s="52"/>
      <c r="X1752" s="52"/>
      <c r="Y1752" s="52"/>
      <c r="Z1752" s="52"/>
      <c r="AA1752" s="52"/>
      <c r="AB1752" s="52"/>
      <c r="AC1752" s="52"/>
      <c r="AD1752" s="52"/>
      <c r="AE1752" s="52"/>
      <c r="AF1752" s="52"/>
      <c r="AG1752" s="52"/>
      <c r="AH1752" s="52"/>
      <c r="AI1752" s="52"/>
      <c r="AJ1752" s="52"/>
      <c r="AK1752" s="52"/>
      <c r="AL1752" s="52"/>
      <c r="AM1752" s="52"/>
      <c r="AN1752" s="52"/>
    </row>
    <row r="1753" spans="1:40" x14ac:dyDescent="0.3">
      <c r="A1753" s="52">
        <v>1748</v>
      </c>
      <c r="B1753" s="52">
        <f>-bthan*500+(47+0.5)*bthan*1000/50</f>
        <v>2475</v>
      </c>
      <c r="C1753" s="52">
        <f t="shared" si="197"/>
        <v>-110</v>
      </c>
      <c r="D1753" s="52">
        <f t="shared" si="195"/>
        <v>2200</v>
      </c>
      <c r="E1753" s="52">
        <f t="shared" si="196"/>
        <v>1</v>
      </c>
      <c r="F1753" s="52"/>
      <c r="G1753" s="52"/>
      <c r="H1753" s="52"/>
      <c r="I1753" s="52"/>
      <c r="J1753" s="52"/>
      <c r="K1753" s="52"/>
      <c r="L1753" s="52"/>
      <c r="M1753" s="52"/>
      <c r="N1753" s="52"/>
      <c r="O1753" s="52"/>
      <c r="P1753" s="52"/>
      <c r="Q1753" s="52"/>
      <c r="R1753" s="52"/>
      <c r="S1753" s="52"/>
      <c r="T1753" s="52"/>
      <c r="U1753" s="52"/>
      <c r="V1753" s="52"/>
      <c r="W1753" s="52"/>
      <c r="X1753" s="52"/>
      <c r="Y1753" s="52"/>
      <c r="Z1753" s="52"/>
      <c r="AA1753" s="52"/>
      <c r="AB1753" s="52"/>
      <c r="AC1753" s="52"/>
      <c r="AD1753" s="52"/>
      <c r="AE1753" s="52"/>
      <c r="AF1753" s="52"/>
      <c r="AG1753" s="52"/>
      <c r="AH1753" s="52"/>
      <c r="AI1753" s="52"/>
      <c r="AJ1753" s="52"/>
      <c r="AK1753" s="52"/>
      <c r="AL1753" s="52"/>
      <c r="AM1753" s="52"/>
      <c r="AN1753" s="52"/>
    </row>
    <row r="1754" spans="1:40" x14ac:dyDescent="0.3">
      <c r="A1754" s="52">
        <v>1749</v>
      </c>
      <c r="B1754" s="52">
        <f>-bthan*500+(48+0.5)*bthan*1000/50</f>
        <v>2585</v>
      </c>
      <c r="C1754" s="52">
        <f t="shared" si="197"/>
        <v>-110</v>
      </c>
      <c r="D1754" s="52">
        <f t="shared" si="195"/>
        <v>2200</v>
      </c>
      <c r="E1754" s="52">
        <f t="shared" si="196"/>
        <v>1</v>
      </c>
      <c r="F1754" s="52"/>
      <c r="G1754" s="52"/>
      <c r="H1754" s="52"/>
      <c r="I1754" s="52"/>
      <c r="J1754" s="52"/>
      <c r="K1754" s="52"/>
      <c r="L1754" s="52"/>
      <c r="M1754" s="52"/>
      <c r="N1754" s="52"/>
      <c r="O1754" s="52"/>
      <c r="P1754" s="52"/>
      <c r="Q1754" s="52"/>
      <c r="R1754" s="52"/>
      <c r="S1754" s="52"/>
      <c r="T1754" s="52"/>
      <c r="U1754" s="52"/>
      <c r="V1754" s="52"/>
      <c r="W1754" s="52"/>
      <c r="X1754" s="52"/>
      <c r="Y1754" s="52"/>
      <c r="Z1754" s="52"/>
      <c r="AA1754" s="52"/>
      <c r="AB1754" s="52"/>
      <c r="AC1754" s="52"/>
      <c r="AD1754" s="52"/>
      <c r="AE1754" s="52"/>
      <c r="AF1754" s="52"/>
      <c r="AG1754" s="52"/>
      <c r="AH1754" s="52"/>
      <c r="AI1754" s="52"/>
      <c r="AJ1754" s="52"/>
      <c r="AK1754" s="52"/>
      <c r="AL1754" s="52"/>
      <c r="AM1754" s="52"/>
      <c r="AN1754" s="52"/>
    </row>
    <row r="1755" spans="1:40" x14ac:dyDescent="0.3">
      <c r="A1755" s="52">
        <v>1750</v>
      </c>
      <c r="B1755" s="52">
        <f>-bthan*500+(49+0.5)*bthan*1000/50</f>
        <v>2695</v>
      </c>
      <c r="C1755" s="52">
        <f t="shared" si="197"/>
        <v>-110</v>
      </c>
      <c r="D1755" s="52">
        <f t="shared" si="195"/>
        <v>2200</v>
      </c>
      <c r="E1755" s="52">
        <f t="shared" si="196"/>
        <v>1</v>
      </c>
      <c r="F1755" s="52"/>
      <c r="G1755" s="52"/>
      <c r="H1755" s="52"/>
      <c r="I1755" s="52"/>
      <c r="J1755" s="52"/>
      <c r="K1755" s="52"/>
      <c r="L1755" s="52"/>
      <c r="M1755" s="52"/>
      <c r="N1755" s="52"/>
      <c r="O1755" s="52"/>
      <c r="P1755" s="52"/>
      <c r="Q1755" s="52"/>
      <c r="R1755" s="52"/>
      <c r="S1755" s="52"/>
      <c r="T1755" s="52"/>
      <c r="U1755" s="52"/>
      <c r="V1755" s="52"/>
      <c r="W1755" s="52"/>
      <c r="X1755" s="52"/>
      <c r="Y1755" s="52"/>
      <c r="Z1755" s="52"/>
      <c r="AA1755" s="52"/>
      <c r="AB1755" s="52"/>
      <c r="AC1755" s="52"/>
      <c r="AD1755" s="52"/>
      <c r="AE1755" s="52"/>
      <c r="AF1755" s="52"/>
      <c r="AG1755" s="52"/>
      <c r="AH1755" s="52"/>
      <c r="AI1755" s="52"/>
      <c r="AJ1755" s="52"/>
      <c r="AK1755" s="52"/>
      <c r="AL1755" s="52"/>
      <c r="AM1755" s="52"/>
      <c r="AN1755" s="52"/>
    </row>
    <row r="1756" spans="1:40" x14ac:dyDescent="0.3">
      <c r="A1756" s="52">
        <v>1751</v>
      </c>
      <c r="B1756" s="52">
        <f>-bthan*500+(0+0.5)*bthan*1000/50</f>
        <v>-2695</v>
      </c>
      <c r="C1756" s="52">
        <f t="shared" ref="C1756:C1787" si="198">-hthan*500+(35+0.5)*hthan*1000/80</f>
        <v>-89.999999999999886</v>
      </c>
      <c r="D1756" s="52">
        <f t="shared" si="195"/>
        <v>2200</v>
      </c>
      <c r="E1756" s="52">
        <f t="shared" si="196"/>
        <v>1</v>
      </c>
      <c r="F1756" s="52"/>
      <c r="G1756" s="52"/>
      <c r="H1756" s="52"/>
      <c r="I1756" s="52"/>
      <c r="J1756" s="52"/>
      <c r="K1756" s="52"/>
      <c r="L1756" s="52"/>
      <c r="M1756" s="52"/>
      <c r="N1756" s="52"/>
      <c r="O1756" s="52"/>
      <c r="P1756" s="52"/>
      <c r="Q1756" s="52"/>
      <c r="R1756" s="52"/>
      <c r="S1756" s="52"/>
      <c r="T1756" s="52"/>
      <c r="U1756" s="52"/>
      <c r="V1756" s="52"/>
      <c r="W1756" s="52"/>
      <c r="X1756" s="52"/>
      <c r="Y1756" s="52"/>
      <c r="Z1756" s="52"/>
      <c r="AA1756" s="52"/>
      <c r="AB1756" s="52"/>
      <c r="AC1756" s="52"/>
      <c r="AD1756" s="52"/>
      <c r="AE1756" s="52"/>
      <c r="AF1756" s="52"/>
      <c r="AG1756" s="52"/>
      <c r="AH1756" s="52"/>
      <c r="AI1756" s="52"/>
      <c r="AJ1756" s="52"/>
      <c r="AK1756" s="52"/>
      <c r="AL1756" s="52"/>
      <c r="AM1756" s="52"/>
      <c r="AN1756" s="52"/>
    </row>
    <row r="1757" spans="1:40" x14ac:dyDescent="0.3">
      <c r="A1757" s="52">
        <v>1752</v>
      </c>
      <c r="B1757" s="52">
        <f>-bthan*500+(1+0.5)*bthan*1000/50</f>
        <v>-2585</v>
      </c>
      <c r="C1757" s="52">
        <f t="shared" si="198"/>
        <v>-89.999999999999886</v>
      </c>
      <c r="D1757" s="52">
        <f t="shared" si="195"/>
        <v>2200</v>
      </c>
      <c r="E1757" s="52">
        <f t="shared" si="196"/>
        <v>1</v>
      </c>
      <c r="F1757" s="52"/>
      <c r="G1757" s="52"/>
      <c r="H1757" s="52"/>
      <c r="I1757" s="52"/>
      <c r="J1757" s="52"/>
      <c r="K1757" s="52"/>
      <c r="L1757" s="52"/>
      <c r="M1757" s="52"/>
      <c r="N1757" s="52"/>
      <c r="O1757" s="52"/>
      <c r="P1757" s="52"/>
      <c r="Q1757" s="52"/>
      <c r="R1757" s="52"/>
      <c r="S1757" s="52"/>
      <c r="T1757" s="52"/>
      <c r="U1757" s="52"/>
      <c r="V1757" s="52"/>
      <c r="W1757" s="52"/>
      <c r="X1757" s="52"/>
      <c r="Y1757" s="52"/>
      <c r="Z1757" s="52"/>
      <c r="AA1757" s="52"/>
      <c r="AB1757" s="52"/>
      <c r="AC1757" s="52"/>
      <c r="AD1757" s="52"/>
      <c r="AE1757" s="52"/>
      <c r="AF1757" s="52"/>
      <c r="AG1757" s="52"/>
      <c r="AH1757" s="52"/>
      <c r="AI1757" s="52"/>
      <c r="AJ1757" s="52"/>
      <c r="AK1757" s="52"/>
      <c r="AL1757" s="52"/>
      <c r="AM1757" s="52"/>
      <c r="AN1757" s="52"/>
    </row>
    <row r="1758" spans="1:40" x14ac:dyDescent="0.3">
      <c r="A1758" s="52">
        <v>1753</v>
      </c>
      <c r="B1758" s="52">
        <f>-bthan*500+(2+0.5)*bthan*1000/50</f>
        <v>-2475</v>
      </c>
      <c r="C1758" s="52">
        <f t="shared" si="198"/>
        <v>-89.999999999999886</v>
      </c>
      <c r="D1758" s="52">
        <f t="shared" si="195"/>
        <v>2200</v>
      </c>
      <c r="E1758" s="52">
        <f t="shared" si="196"/>
        <v>1</v>
      </c>
      <c r="F1758" s="52"/>
      <c r="G1758" s="52"/>
      <c r="H1758" s="52"/>
      <c r="I1758" s="52"/>
      <c r="J1758" s="52"/>
      <c r="K1758" s="52"/>
      <c r="L1758" s="52"/>
      <c r="M1758" s="52"/>
      <c r="N1758" s="52"/>
      <c r="O1758" s="52"/>
      <c r="P1758" s="52"/>
      <c r="Q1758" s="52"/>
      <c r="R1758" s="52"/>
      <c r="S1758" s="52"/>
      <c r="T1758" s="52"/>
      <c r="U1758" s="52"/>
      <c r="V1758" s="52"/>
      <c r="W1758" s="52"/>
      <c r="X1758" s="52"/>
      <c r="Y1758" s="52"/>
      <c r="Z1758" s="52"/>
      <c r="AA1758" s="52"/>
      <c r="AB1758" s="52"/>
      <c r="AC1758" s="52"/>
      <c r="AD1758" s="52"/>
      <c r="AE1758" s="52"/>
      <c r="AF1758" s="52"/>
      <c r="AG1758" s="52"/>
      <c r="AH1758" s="52"/>
      <c r="AI1758" s="52"/>
      <c r="AJ1758" s="52"/>
      <c r="AK1758" s="52"/>
      <c r="AL1758" s="52"/>
      <c r="AM1758" s="52"/>
      <c r="AN1758" s="52"/>
    </row>
    <row r="1759" spans="1:40" x14ac:dyDescent="0.3">
      <c r="A1759" s="52">
        <v>1754</v>
      </c>
      <c r="B1759" s="52">
        <f>-bthan*500+(3+0.5)*bthan*1000/50</f>
        <v>-2365</v>
      </c>
      <c r="C1759" s="52">
        <f t="shared" si="198"/>
        <v>-89.999999999999886</v>
      </c>
      <c r="D1759" s="52">
        <f t="shared" si="195"/>
        <v>2200</v>
      </c>
      <c r="E1759" s="52">
        <f t="shared" si="196"/>
        <v>1</v>
      </c>
      <c r="F1759" s="52"/>
      <c r="G1759" s="52"/>
      <c r="H1759" s="52"/>
      <c r="I1759" s="52"/>
      <c r="J1759" s="52"/>
      <c r="K1759" s="52"/>
      <c r="L1759" s="52"/>
      <c r="M1759" s="52"/>
      <c r="N1759" s="52"/>
      <c r="O1759" s="52"/>
      <c r="P1759" s="52"/>
      <c r="Q1759" s="52"/>
      <c r="R1759" s="52"/>
      <c r="S1759" s="52"/>
      <c r="T1759" s="52"/>
      <c r="U1759" s="52"/>
      <c r="V1759" s="52"/>
      <c r="W1759" s="52"/>
      <c r="X1759" s="52"/>
      <c r="Y1759" s="52"/>
      <c r="Z1759" s="52"/>
      <c r="AA1759" s="52"/>
      <c r="AB1759" s="52"/>
      <c r="AC1759" s="52"/>
      <c r="AD1759" s="52"/>
      <c r="AE1759" s="52"/>
      <c r="AF1759" s="52"/>
      <c r="AG1759" s="52"/>
      <c r="AH1759" s="52"/>
      <c r="AI1759" s="52"/>
      <c r="AJ1759" s="52"/>
      <c r="AK1759" s="52"/>
      <c r="AL1759" s="52"/>
      <c r="AM1759" s="52"/>
      <c r="AN1759" s="52"/>
    </row>
    <row r="1760" spans="1:40" x14ac:dyDescent="0.3">
      <c r="A1760" s="52">
        <v>1755</v>
      </c>
      <c r="B1760" s="52">
        <f>-bthan*500+(4+0.5)*bthan*1000/50</f>
        <v>-2255</v>
      </c>
      <c r="C1760" s="52">
        <f t="shared" si="198"/>
        <v>-89.999999999999886</v>
      </c>
      <c r="D1760" s="52">
        <f t="shared" si="195"/>
        <v>2200</v>
      </c>
      <c r="E1760" s="52">
        <f t="shared" si="196"/>
        <v>1</v>
      </c>
      <c r="F1760" s="52"/>
      <c r="G1760" s="52"/>
      <c r="H1760" s="52"/>
      <c r="I1760" s="52"/>
      <c r="J1760" s="52"/>
      <c r="K1760" s="52"/>
      <c r="L1760" s="52"/>
      <c r="M1760" s="52"/>
      <c r="N1760" s="52"/>
      <c r="O1760" s="52"/>
      <c r="P1760" s="52"/>
      <c r="Q1760" s="52"/>
      <c r="R1760" s="52"/>
      <c r="S1760" s="52"/>
      <c r="T1760" s="52"/>
      <c r="U1760" s="52"/>
      <c r="V1760" s="52"/>
      <c r="W1760" s="52"/>
      <c r="X1760" s="52"/>
      <c r="Y1760" s="52"/>
      <c r="Z1760" s="52"/>
      <c r="AA1760" s="52"/>
      <c r="AB1760" s="52"/>
      <c r="AC1760" s="52"/>
      <c r="AD1760" s="52"/>
      <c r="AE1760" s="52"/>
      <c r="AF1760" s="52"/>
      <c r="AG1760" s="52"/>
      <c r="AH1760" s="52"/>
      <c r="AI1760" s="52"/>
      <c r="AJ1760" s="52"/>
      <c r="AK1760" s="52"/>
      <c r="AL1760" s="52"/>
      <c r="AM1760" s="52"/>
      <c r="AN1760" s="52"/>
    </row>
    <row r="1761" spans="1:40" x14ac:dyDescent="0.3">
      <c r="A1761" s="52">
        <v>1756</v>
      </c>
      <c r="B1761" s="52">
        <f>-bthan*500+(5+0.5)*bthan*1000/50</f>
        <v>-2145</v>
      </c>
      <c r="C1761" s="52">
        <f t="shared" si="198"/>
        <v>-89.999999999999886</v>
      </c>
      <c r="D1761" s="52">
        <f t="shared" si="195"/>
        <v>2200</v>
      </c>
      <c r="E1761" s="52">
        <f t="shared" si="196"/>
        <v>1</v>
      </c>
      <c r="F1761" s="52"/>
      <c r="G1761" s="52"/>
      <c r="H1761" s="52"/>
      <c r="I1761" s="52"/>
      <c r="J1761" s="52"/>
      <c r="K1761" s="52"/>
      <c r="L1761" s="52"/>
      <c r="M1761" s="52"/>
      <c r="N1761" s="52"/>
      <c r="O1761" s="52"/>
      <c r="P1761" s="52"/>
      <c r="Q1761" s="52"/>
      <c r="R1761" s="52"/>
      <c r="S1761" s="52"/>
      <c r="T1761" s="52"/>
      <c r="U1761" s="52"/>
      <c r="V1761" s="52"/>
      <c r="W1761" s="52"/>
      <c r="X1761" s="52"/>
      <c r="Y1761" s="52"/>
      <c r="Z1761" s="52"/>
      <c r="AA1761" s="52"/>
      <c r="AB1761" s="52"/>
      <c r="AC1761" s="52"/>
      <c r="AD1761" s="52"/>
      <c r="AE1761" s="52"/>
      <c r="AF1761" s="52"/>
      <c r="AG1761" s="52"/>
      <c r="AH1761" s="52"/>
      <c r="AI1761" s="52"/>
      <c r="AJ1761" s="52"/>
      <c r="AK1761" s="52"/>
      <c r="AL1761" s="52"/>
      <c r="AM1761" s="52"/>
      <c r="AN1761" s="52"/>
    </row>
    <row r="1762" spans="1:40" x14ac:dyDescent="0.3">
      <c r="A1762" s="52">
        <v>1757</v>
      </c>
      <c r="B1762" s="52">
        <f>-bthan*500+(6+0.5)*bthan*1000/50</f>
        <v>-2035</v>
      </c>
      <c r="C1762" s="52">
        <f t="shared" si="198"/>
        <v>-89.999999999999886</v>
      </c>
      <c r="D1762" s="52">
        <f t="shared" si="195"/>
        <v>2200</v>
      </c>
      <c r="E1762" s="52">
        <f t="shared" si="196"/>
        <v>1</v>
      </c>
      <c r="F1762" s="52"/>
      <c r="G1762" s="52"/>
      <c r="H1762" s="52"/>
      <c r="I1762" s="52"/>
      <c r="J1762" s="52"/>
      <c r="K1762" s="52"/>
      <c r="L1762" s="52"/>
      <c r="M1762" s="52"/>
      <c r="N1762" s="52"/>
      <c r="O1762" s="52"/>
      <c r="P1762" s="52"/>
      <c r="Q1762" s="52"/>
      <c r="R1762" s="52"/>
      <c r="S1762" s="52"/>
      <c r="T1762" s="52"/>
      <c r="U1762" s="52"/>
      <c r="V1762" s="52"/>
      <c r="W1762" s="52"/>
      <c r="X1762" s="52"/>
      <c r="Y1762" s="52"/>
      <c r="Z1762" s="52"/>
      <c r="AA1762" s="52"/>
      <c r="AB1762" s="52"/>
      <c r="AC1762" s="52"/>
      <c r="AD1762" s="52"/>
      <c r="AE1762" s="52"/>
      <c r="AF1762" s="52"/>
      <c r="AG1762" s="52"/>
      <c r="AH1762" s="52"/>
      <c r="AI1762" s="52"/>
      <c r="AJ1762" s="52"/>
      <c r="AK1762" s="52"/>
      <c r="AL1762" s="52"/>
      <c r="AM1762" s="52"/>
      <c r="AN1762" s="52"/>
    </row>
    <row r="1763" spans="1:40" x14ac:dyDescent="0.3">
      <c r="A1763" s="52">
        <v>1758</v>
      </c>
      <c r="B1763" s="52">
        <f>-bthan*500+(7+0.5)*bthan*1000/50</f>
        <v>-1925</v>
      </c>
      <c r="C1763" s="52">
        <f t="shared" si="198"/>
        <v>-89.999999999999886</v>
      </c>
      <c r="D1763" s="52">
        <f t="shared" si="195"/>
        <v>2200</v>
      </c>
      <c r="E1763" s="52">
        <f t="shared" si="196"/>
        <v>1</v>
      </c>
      <c r="F1763" s="52"/>
      <c r="G1763" s="52"/>
      <c r="H1763" s="52"/>
      <c r="I1763" s="52"/>
      <c r="J1763" s="52"/>
      <c r="K1763" s="52"/>
      <c r="L1763" s="52"/>
      <c r="M1763" s="52"/>
      <c r="N1763" s="52"/>
      <c r="O1763" s="52"/>
      <c r="P1763" s="52"/>
      <c r="Q1763" s="52"/>
      <c r="R1763" s="52"/>
      <c r="S1763" s="52"/>
      <c r="T1763" s="52"/>
      <c r="U1763" s="52"/>
      <c r="V1763" s="52"/>
      <c r="W1763" s="52"/>
      <c r="X1763" s="52"/>
      <c r="Y1763" s="52"/>
      <c r="Z1763" s="52"/>
      <c r="AA1763" s="52"/>
      <c r="AB1763" s="52"/>
      <c r="AC1763" s="52"/>
      <c r="AD1763" s="52"/>
      <c r="AE1763" s="52"/>
      <c r="AF1763" s="52"/>
      <c r="AG1763" s="52"/>
      <c r="AH1763" s="52"/>
      <c r="AI1763" s="52"/>
      <c r="AJ1763" s="52"/>
      <c r="AK1763" s="52"/>
      <c r="AL1763" s="52"/>
      <c r="AM1763" s="52"/>
      <c r="AN1763" s="52"/>
    </row>
    <row r="1764" spans="1:40" x14ac:dyDescent="0.3">
      <c r="A1764" s="52">
        <v>1759</v>
      </c>
      <c r="B1764" s="52">
        <f>-bthan*500+(8+0.5)*bthan*1000/50</f>
        <v>-1815</v>
      </c>
      <c r="C1764" s="52">
        <f t="shared" si="198"/>
        <v>-89.999999999999886</v>
      </c>
      <c r="D1764" s="52">
        <f t="shared" si="195"/>
        <v>2200</v>
      </c>
      <c r="E1764" s="52">
        <f t="shared" si="196"/>
        <v>1</v>
      </c>
      <c r="F1764" s="52"/>
      <c r="G1764" s="52"/>
      <c r="H1764" s="52"/>
      <c r="I1764" s="52"/>
      <c r="J1764" s="52"/>
      <c r="K1764" s="52"/>
      <c r="L1764" s="52"/>
      <c r="M1764" s="52"/>
      <c r="N1764" s="52"/>
      <c r="O1764" s="52"/>
      <c r="P1764" s="52"/>
      <c r="Q1764" s="52"/>
      <c r="R1764" s="52"/>
      <c r="S1764" s="52"/>
      <c r="T1764" s="52"/>
      <c r="U1764" s="52"/>
      <c r="V1764" s="52"/>
      <c r="W1764" s="52"/>
      <c r="X1764" s="52"/>
      <c r="Y1764" s="52"/>
      <c r="Z1764" s="52"/>
      <c r="AA1764" s="52"/>
      <c r="AB1764" s="52"/>
      <c r="AC1764" s="52"/>
      <c r="AD1764" s="52"/>
      <c r="AE1764" s="52"/>
      <c r="AF1764" s="52"/>
      <c r="AG1764" s="52"/>
      <c r="AH1764" s="52"/>
      <c r="AI1764" s="52"/>
      <c r="AJ1764" s="52"/>
      <c r="AK1764" s="52"/>
      <c r="AL1764" s="52"/>
      <c r="AM1764" s="52"/>
      <c r="AN1764" s="52"/>
    </row>
    <row r="1765" spans="1:40" x14ac:dyDescent="0.3">
      <c r="A1765" s="52">
        <v>1760</v>
      </c>
      <c r="B1765" s="52">
        <f>-bthan*500+(9+0.5)*bthan*1000/50</f>
        <v>-1705</v>
      </c>
      <c r="C1765" s="52">
        <f t="shared" si="198"/>
        <v>-89.999999999999886</v>
      </c>
      <c r="D1765" s="52">
        <f t="shared" si="195"/>
        <v>2200</v>
      </c>
      <c r="E1765" s="52">
        <f t="shared" si="196"/>
        <v>1</v>
      </c>
      <c r="F1765" s="52"/>
      <c r="G1765" s="52"/>
      <c r="H1765" s="52"/>
      <c r="I1765" s="52"/>
      <c r="J1765" s="52"/>
      <c r="K1765" s="52"/>
      <c r="L1765" s="52"/>
      <c r="M1765" s="52"/>
      <c r="N1765" s="52"/>
      <c r="O1765" s="52"/>
      <c r="P1765" s="52"/>
      <c r="Q1765" s="52"/>
      <c r="R1765" s="52"/>
      <c r="S1765" s="52"/>
      <c r="T1765" s="52"/>
      <c r="U1765" s="52"/>
      <c r="V1765" s="52"/>
      <c r="W1765" s="52"/>
      <c r="X1765" s="52"/>
      <c r="Y1765" s="52"/>
      <c r="Z1765" s="52"/>
      <c r="AA1765" s="52"/>
      <c r="AB1765" s="52"/>
      <c r="AC1765" s="52"/>
      <c r="AD1765" s="52"/>
      <c r="AE1765" s="52"/>
      <c r="AF1765" s="52"/>
      <c r="AG1765" s="52"/>
      <c r="AH1765" s="52"/>
      <c r="AI1765" s="52"/>
      <c r="AJ1765" s="52"/>
      <c r="AK1765" s="52"/>
      <c r="AL1765" s="52"/>
      <c r="AM1765" s="52"/>
      <c r="AN1765" s="52"/>
    </row>
    <row r="1766" spans="1:40" x14ac:dyDescent="0.3">
      <c r="A1766" s="52">
        <v>1761</v>
      </c>
      <c r="B1766" s="52">
        <f>-bthan*500+(10+0.5)*bthan*1000/50</f>
        <v>-1595</v>
      </c>
      <c r="C1766" s="52">
        <f t="shared" si="198"/>
        <v>-89.999999999999886</v>
      </c>
      <c r="D1766" s="52">
        <f t="shared" si="195"/>
        <v>2200</v>
      </c>
      <c r="E1766" s="52">
        <f t="shared" si="196"/>
        <v>1</v>
      </c>
      <c r="F1766" s="52"/>
      <c r="G1766" s="52"/>
      <c r="H1766" s="52"/>
      <c r="I1766" s="52"/>
      <c r="J1766" s="52"/>
      <c r="K1766" s="52"/>
      <c r="L1766" s="52"/>
      <c r="M1766" s="52"/>
      <c r="N1766" s="52"/>
      <c r="O1766" s="52"/>
      <c r="P1766" s="52"/>
      <c r="Q1766" s="52"/>
      <c r="R1766" s="52"/>
      <c r="S1766" s="52"/>
      <c r="T1766" s="52"/>
      <c r="U1766" s="52"/>
      <c r="V1766" s="52"/>
      <c r="W1766" s="52"/>
      <c r="X1766" s="52"/>
      <c r="Y1766" s="52"/>
      <c r="Z1766" s="52"/>
      <c r="AA1766" s="52"/>
      <c r="AB1766" s="52"/>
      <c r="AC1766" s="52"/>
      <c r="AD1766" s="52"/>
      <c r="AE1766" s="52"/>
      <c r="AF1766" s="52"/>
      <c r="AG1766" s="52"/>
      <c r="AH1766" s="52"/>
      <c r="AI1766" s="52"/>
      <c r="AJ1766" s="52"/>
      <c r="AK1766" s="52"/>
      <c r="AL1766" s="52"/>
      <c r="AM1766" s="52"/>
      <c r="AN1766" s="52"/>
    </row>
    <row r="1767" spans="1:40" x14ac:dyDescent="0.3">
      <c r="A1767" s="52">
        <v>1762</v>
      </c>
      <c r="B1767" s="52">
        <f>-bthan*500+(11+0.5)*bthan*1000/50</f>
        <v>-1485</v>
      </c>
      <c r="C1767" s="52">
        <f t="shared" si="198"/>
        <v>-89.999999999999886</v>
      </c>
      <c r="D1767" s="52">
        <f t="shared" si="195"/>
        <v>2200</v>
      </c>
      <c r="E1767" s="52">
        <f t="shared" si="196"/>
        <v>1</v>
      </c>
      <c r="F1767" s="52"/>
      <c r="G1767" s="52"/>
      <c r="H1767" s="52"/>
      <c r="I1767" s="52"/>
      <c r="J1767" s="52"/>
      <c r="K1767" s="52"/>
      <c r="L1767" s="52"/>
      <c r="M1767" s="52"/>
      <c r="N1767" s="52"/>
      <c r="O1767" s="52"/>
      <c r="P1767" s="52"/>
      <c r="Q1767" s="52"/>
      <c r="R1767" s="52"/>
      <c r="S1767" s="52"/>
      <c r="T1767" s="52"/>
      <c r="U1767" s="52"/>
      <c r="V1767" s="52"/>
      <c r="W1767" s="52"/>
      <c r="X1767" s="52"/>
      <c r="Y1767" s="52"/>
      <c r="Z1767" s="52"/>
      <c r="AA1767" s="52"/>
      <c r="AB1767" s="52"/>
      <c r="AC1767" s="52"/>
      <c r="AD1767" s="52"/>
      <c r="AE1767" s="52"/>
      <c r="AF1767" s="52"/>
      <c r="AG1767" s="52"/>
      <c r="AH1767" s="52"/>
      <c r="AI1767" s="52"/>
      <c r="AJ1767" s="52"/>
      <c r="AK1767" s="52"/>
      <c r="AL1767" s="52"/>
      <c r="AM1767" s="52"/>
      <c r="AN1767" s="52"/>
    </row>
    <row r="1768" spans="1:40" x14ac:dyDescent="0.3">
      <c r="A1768" s="52">
        <v>1763</v>
      </c>
      <c r="B1768" s="52">
        <f>-bthan*500+(12+0.5)*bthan*1000/50</f>
        <v>-1375</v>
      </c>
      <c r="C1768" s="52">
        <f t="shared" si="198"/>
        <v>-89.999999999999886</v>
      </c>
      <c r="D1768" s="52">
        <f t="shared" si="195"/>
        <v>2200</v>
      </c>
      <c r="E1768" s="52">
        <f t="shared" si="196"/>
        <v>1</v>
      </c>
      <c r="F1768" s="52"/>
      <c r="G1768" s="52"/>
      <c r="H1768" s="52"/>
      <c r="I1768" s="52"/>
      <c r="J1768" s="52"/>
      <c r="K1768" s="52"/>
      <c r="L1768" s="52"/>
      <c r="M1768" s="52"/>
      <c r="N1768" s="52"/>
      <c r="O1768" s="52"/>
      <c r="P1768" s="52"/>
      <c r="Q1768" s="52"/>
      <c r="R1768" s="52"/>
      <c r="S1768" s="52"/>
      <c r="T1768" s="52"/>
      <c r="U1768" s="52"/>
      <c r="V1768" s="52"/>
      <c r="W1768" s="52"/>
      <c r="X1768" s="52"/>
      <c r="Y1768" s="52"/>
      <c r="Z1768" s="52"/>
      <c r="AA1768" s="52"/>
      <c r="AB1768" s="52"/>
      <c r="AC1768" s="52"/>
      <c r="AD1768" s="52"/>
      <c r="AE1768" s="52"/>
      <c r="AF1768" s="52"/>
      <c r="AG1768" s="52"/>
      <c r="AH1768" s="52"/>
      <c r="AI1768" s="52"/>
      <c r="AJ1768" s="52"/>
      <c r="AK1768" s="52"/>
      <c r="AL1768" s="52"/>
      <c r="AM1768" s="52"/>
      <c r="AN1768" s="52"/>
    </row>
    <row r="1769" spans="1:40" x14ac:dyDescent="0.3">
      <c r="A1769" s="52">
        <v>1764</v>
      </c>
      <c r="B1769" s="52">
        <f>-bthan*500+(13+0.5)*bthan*1000/50</f>
        <v>-1265</v>
      </c>
      <c r="C1769" s="52">
        <f t="shared" si="198"/>
        <v>-89.999999999999886</v>
      </c>
      <c r="D1769" s="52">
        <f t="shared" si="195"/>
        <v>2200</v>
      </c>
      <c r="E1769" s="52">
        <f t="shared" si="196"/>
        <v>1</v>
      </c>
      <c r="F1769" s="52"/>
      <c r="G1769" s="52"/>
      <c r="H1769" s="52"/>
      <c r="I1769" s="52"/>
      <c r="J1769" s="52"/>
      <c r="K1769" s="52"/>
      <c r="L1769" s="52"/>
      <c r="M1769" s="52"/>
      <c r="N1769" s="52"/>
      <c r="O1769" s="52"/>
      <c r="P1769" s="52"/>
      <c r="Q1769" s="52"/>
      <c r="R1769" s="52"/>
      <c r="S1769" s="52"/>
      <c r="T1769" s="52"/>
      <c r="U1769" s="52"/>
      <c r="V1769" s="52"/>
      <c r="W1769" s="52"/>
      <c r="X1769" s="52"/>
      <c r="Y1769" s="52"/>
      <c r="Z1769" s="52"/>
      <c r="AA1769" s="52"/>
      <c r="AB1769" s="52"/>
      <c r="AC1769" s="52"/>
      <c r="AD1769" s="52"/>
      <c r="AE1769" s="52"/>
      <c r="AF1769" s="52"/>
      <c r="AG1769" s="52"/>
      <c r="AH1769" s="52"/>
      <c r="AI1769" s="52"/>
      <c r="AJ1769" s="52"/>
      <c r="AK1769" s="52"/>
      <c r="AL1769" s="52"/>
      <c r="AM1769" s="52"/>
      <c r="AN1769" s="52"/>
    </row>
    <row r="1770" spans="1:40" x14ac:dyDescent="0.3">
      <c r="A1770" s="52">
        <v>1765</v>
      </c>
      <c r="B1770" s="52">
        <f>-bthan*500+(14+0.5)*bthan*1000/50</f>
        <v>-1155</v>
      </c>
      <c r="C1770" s="52">
        <f t="shared" si="198"/>
        <v>-89.999999999999886</v>
      </c>
      <c r="D1770" s="52">
        <f t="shared" si="195"/>
        <v>2200</v>
      </c>
      <c r="E1770" s="52">
        <f t="shared" si="196"/>
        <v>1</v>
      </c>
      <c r="F1770" s="52"/>
      <c r="G1770" s="52"/>
      <c r="H1770" s="52"/>
      <c r="I1770" s="52"/>
      <c r="J1770" s="52"/>
      <c r="K1770" s="52"/>
      <c r="L1770" s="52"/>
      <c r="M1770" s="52"/>
      <c r="N1770" s="52"/>
      <c r="O1770" s="52"/>
      <c r="P1770" s="52"/>
      <c r="Q1770" s="52"/>
      <c r="R1770" s="52"/>
      <c r="S1770" s="52"/>
      <c r="T1770" s="52"/>
      <c r="U1770" s="52"/>
      <c r="V1770" s="52"/>
      <c r="W1770" s="52"/>
      <c r="X1770" s="52"/>
      <c r="Y1770" s="52"/>
      <c r="Z1770" s="52"/>
      <c r="AA1770" s="52"/>
      <c r="AB1770" s="52"/>
      <c r="AC1770" s="52"/>
      <c r="AD1770" s="52"/>
      <c r="AE1770" s="52"/>
      <c r="AF1770" s="52"/>
      <c r="AG1770" s="52"/>
      <c r="AH1770" s="52"/>
      <c r="AI1770" s="52"/>
      <c r="AJ1770" s="52"/>
      <c r="AK1770" s="52"/>
      <c r="AL1770" s="52"/>
      <c r="AM1770" s="52"/>
      <c r="AN1770" s="52"/>
    </row>
    <row r="1771" spans="1:40" x14ac:dyDescent="0.3">
      <c r="A1771" s="52">
        <v>1766</v>
      </c>
      <c r="B1771" s="52">
        <f>-bthan*500+(15+0.5)*bthan*1000/50</f>
        <v>-1045</v>
      </c>
      <c r="C1771" s="52">
        <f t="shared" si="198"/>
        <v>-89.999999999999886</v>
      </c>
      <c r="D1771" s="52">
        <f t="shared" si="195"/>
        <v>2200</v>
      </c>
      <c r="E1771" s="52">
        <f t="shared" si="196"/>
        <v>1</v>
      </c>
      <c r="F1771" s="52"/>
      <c r="G1771" s="52"/>
      <c r="H1771" s="52"/>
      <c r="I1771" s="52"/>
      <c r="J1771" s="52"/>
      <c r="K1771" s="52"/>
      <c r="L1771" s="52"/>
      <c r="M1771" s="52"/>
      <c r="N1771" s="52"/>
      <c r="O1771" s="52"/>
      <c r="P1771" s="52"/>
      <c r="Q1771" s="52"/>
      <c r="R1771" s="52"/>
      <c r="S1771" s="52"/>
      <c r="T1771" s="52"/>
      <c r="U1771" s="52"/>
      <c r="V1771" s="52"/>
      <c r="W1771" s="52"/>
      <c r="X1771" s="52"/>
      <c r="Y1771" s="52"/>
      <c r="Z1771" s="52"/>
      <c r="AA1771" s="52"/>
      <c r="AB1771" s="52"/>
      <c r="AC1771" s="52"/>
      <c r="AD1771" s="52"/>
      <c r="AE1771" s="52"/>
      <c r="AF1771" s="52"/>
      <c r="AG1771" s="52"/>
      <c r="AH1771" s="52"/>
      <c r="AI1771" s="52"/>
      <c r="AJ1771" s="52"/>
      <c r="AK1771" s="52"/>
      <c r="AL1771" s="52"/>
      <c r="AM1771" s="52"/>
      <c r="AN1771" s="52"/>
    </row>
    <row r="1772" spans="1:40" x14ac:dyDescent="0.3">
      <c r="A1772" s="52">
        <v>1767</v>
      </c>
      <c r="B1772" s="52">
        <f>-bthan*500+(16+0.5)*bthan*1000/50</f>
        <v>-935</v>
      </c>
      <c r="C1772" s="52">
        <f t="shared" si="198"/>
        <v>-89.999999999999886</v>
      </c>
      <c r="D1772" s="52">
        <f t="shared" si="195"/>
        <v>2200</v>
      </c>
      <c r="E1772" s="52">
        <f t="shared" si="196"/>
        <v>1</v>
      </c>
      <c r="F1772" s="52"/>
      <c r="G1772" s="52"/>
      <c r="H1772" s="52"/>
      <c r="I1772" s="52"/>
      <c r="J1772" s="52"/>
      <c r="K1772" s="52"/>
      <c r="L1772" s="52"/>
      <c r="M1772" s="52"/>
      <c r="N1772" s="52"/>
      <c r="O1772" s="52"/>
      <c r="P1772" s="52"/>
      <c r="Q1772" s="52"/>
      <c r="R1772" s="52"/>
      <c r="S1772" s="52"/>
      <c r="T1772" s="52"/>
      <c r="U1772" s="52"/>
      <c r="V1772" s="52"/>
      <c r="W1772" s="52"/>
      <c r="X1772" s="52"/>
      <c r="Y1772" s="52"/>
      <c r="Z1772" s="52"/>
      <c r="AA1772" s="52"/>
      <c r="AB1772" s="52"/>
      <c r="AC1772" s="52"/>
      <c r="AD1772" s="52"/>
      <c r="AE1772" s="52"/>
      <c r="AF1772" s="52"/>
      <c r="AG1772" s="52"/>
      <c r="AH1772" s="52"/>
      <c r="AI1772" s="52"/>
      <c r="AJ1772" s="52"/>
      <c r="AK1772" s="52"/>
      <c r="AL1772" s="52"/>
      <c r="AM1772" s="52"/>
      <c r="AN1772" s="52"/>
    </row>
    <row r="1773" spans="1:40" x14ac:dyDescent="0.3">
      <c r="A1773" s="52">
        <v>1768</v>
      </c>
      <c r="B1773" s="52">
        <f>-bthan*500+(17+0.5)*bthan*1000/50</f>
        <v>-825</v>
      </c>
      <c r="C1773" s="52">
        <f t="shared" si="198"/>
        <v>-89.999999999999886</v>
      </c>
      <c r="D1773" s="52">
        <f t="shared" si="195"/>
        <v>2200</v>
      </c>
      <c r="E1773" s="52">
        <f t="shared" si="196"/>
        <v>1</v>
      </c>
      <c r="F1773" s="52"/>
      <c r="G1773" s="52"/>
      <c r="H1773" s="52"/>
      <c r="I1773" s="52"/>
      <c r="J1773" s="52"/>
      <c r="K1773" s="52"/>
      <c r="L1773" s="52"/>
      <c r="M1773" s="52"/>
      <c r="N1773" s="52"/>
      <c r="O1773" s="52"/>
      <c r="P1773" s="52"/>
      <c r="Q1773" s="52"/>
      <c r="R1773" s="52"/>
      <c r="S1773" s="52"/>
      <c r="T1773" s="52"/>
      <c r="U1773" s="52"/>
      <c r="V1773" s="52"/>
      <c r="W1773" s="52"/>
      <c r="X1773" s="52"/>
      <c r="Y1773" s="52"/>
      <c r="Z1773" s="52"/>
      <c r="AA1773" s="52"/>
      <c r="AB1773" s="52"/>
      <c r="AC1773" s="52"/>
      <c r="AD1773" s="52"/>
      <c r="AE1773" s="52"/>
      <c r="AF1773" s="52"/>
      <c r="AG1773" s="52"/>
      <c r="AH1773" s="52"/>
      <c r="AI1773" s="52"/>
      <c r="AJ1773" s="52"/>
      <c r="AK1773" s="52"/>
      <c r="AL1773" s="52"/>
      <c r="AM1773" s="52"/>
      <c r="AN1773" s="52"/>
    </row>
    <row r="1774" spans="1:40" x14ac:dyDescent="0.3">
      <c r="A1774" s="52">
        <v>1769</v>
      </c>
      <c r="B1774" s="52">
        <f>-bthan*500+(18+0.5)*bthan*1000/50</f>
        <v>-715</v>
      </c>
      <c r="C1774" s="52">
        <f t="shared" si="198"/>
        <v>-89.999999999999886</v>
      </c>
      <c r="D1774" s="52">
        <f t="shared" si="195"/>
        <v>2200</v>
      </c>
      <c r="E1774" s="52">
        <f t="shared" si="196"/>
        <v>1</v>
      </c>
      <c r="F1774" s="52"/>
      <c r="G1774" s="52"/>
      <c r="H1774" s="52"/>
      <c r="I1774" s="52"/>
      <c r="J1774" s="52"/>
      <c r="K1774" s="52"/>
      <c r="L1774" s="52"/>
      <c r="M1774" s="52"/>
      <c r="N1774" s="52"/>
      <c r="O1774" s="52"/>
      <c r="P1774" s="52"/>
      <c r="Q1774" s="52"/>
      <c r="R1774" s="52"/>
      <c r="S1774" s="52"/>
      <c r="T1774" s="52"/>
      <c r="U1774" s="52"/>
      <c r="V1774" s="52"/>
      <c r="W1774" s="52"/>
      <c r="X1774" s="52"/>
      <c r="Y1774" s="52"/>
      <c r="Z1774" s="52"/>
      <c r="AA1774" s="52"/>
      <c r="AB1774" s="52"/>
      <c r="AC1774" s="52"/>
      <c r="AD1774" s="52"/>
      <c r="AE1774" s="52"/>
      <c r="AF1774" s="52"/>
      <c r="AG1774" s="52"/>
      <c r="AH1774" s="52"/>
      <c r="AI1774" s="52"/>
      <c r="AJ1774" s="52"/>
      <c r="AK1774" s="52"/>
      <c r="AL1774" s="52"/>
      <c r="AM1774" s="52"/>
      <c r="AN1774" s="52"/>
    </row>
    <row r="1775" spans="1:40" x14ac:dyDescent="0.3">
      <c r="A1775" s="52">
        <v>1770</v>
      </c>
      <c r="B1775" s="52">
        <f>-bthan*500+(19+0.5)*bthan*1000/50</f>
        <v>-605</v>
      </c>
      <c r="C1775" s="52">
        <f t="shared" si="198"/>
        <v>-89.999999999999886</v>
      </c>
      <c r="D1775" s="52">
        <f t="shared" si="195"/>
        <v>2200</v>
      </c>
      <c r="E1775" s="52">
        <f t="shared" si="196"/>
        <v>1</v>
      </c>
      <c r="F1775" s="52"/>
      <c r="G1775" s="52"/>
      <c r="H1775" s="52"/>
      <c r="I1775" s="52"/>
      <c r="J1775" s="52"/>
      <c r="K1775" s="52"/>
      <c r="L1775" s="52"/>
      <c r="M1775" s="52"/>
      <c r="N1775" s="52"/>
      <c r="O1775" s="52"/>
      <c r="P1775" s="52"/>
      <c r="Q1775" s="52"/>
      <c r="R1775" s="52"/>
      <c r="S1775" s="52"/>
      <c r="T1775" s="52"/>
      <c r="U1775" s="52"/>
      <c r="V1775" s="52"/>
      <c r="W1775" s="52"/>
      <c r="X1775" s="52"/>
      <c r="Y1775" s="52"/>
      <c r="Z1775" s="52"/>
      <c r="AA1775" s="52"/>
      <c r="AB1775" s="52"/>
      <c r="AC1775" s="52"/>
      <c r="AD1775" s="52"/>
      <c r="AE1775" s="52"/>
      <c r="AF1775" s="52"/>
      <c r="AG1775" s="52"/>
      <c r="AH1775" s="52"/>
      <c r="AI1775" s="52"/>
      <c r="AJ1775" s="52"/>
      <c r="AK1775" s="52"/>
      <c r="AL1775" s="52"/>
      <c r="AM1775" s="52"/>
      <c r="AN1775" s="52"/>
    </row>
    <row r="1776" spans="1:40" x14ac:dyDescent="0.3">
      <c r="A1776" s="52">
        <v>1771</v>
      </c>
      <c r="B1776" s="52">
        <f>-bthan*500+(20+0.5)*bthan*1000/50</f>
        <v>-495</v>
      </c>
      <c r="C1776" s="52">
        <f t="shared" si="198"/>
        <v>-89.999999999999886</v>
      </c>
      <c r="D1776" s="52">
        <f t="shared" si="195"/>
        <v>2200</v>
      </c>
      <c r="E1776" s="52">
        <f t="shared" si="196"/>
        <v>1</v>
      </c>
      <c r="F1776" s="52"/>
      <c r="G1776" s="52"/>
      <c r="H1776" s="52"/>
      <c r="I1776" s="52"/>
      <c r="J1776" s="52"/>
      <c r="K1776" s="52"/>
      <c r="L1776" s="52"/>
      <c r="M1776" s="52"/>
      <c r="N1776" s="52"/>
      <c r="O1776" s="52"/>
      <c r="P1776" s="52"/>
      <c r="Q1776" s="52"/>
      <c r="R1776" s="52"/>
      <c r="S1776" s="52"/>
      <c r="T1776" s="52"/>
      <c r="U1776" s="52"/>
      <c r="V1776" s="52"/>
      <c r="W1776" s="52"/>
      <c r="X1776" s="52"/>
      <c r="Y1776" s="52"/>
      <c r="Z1776" s="52"/>
      <c r="AA1776" s="52"/>
      <c r="AB1776" s="52"/>
      <c r="AC1776" s="52"/>
      <c r="AD1776" s="52"/>
      <c r="AE1776" s="52"/>
      <c r="AF1776" s="52"/>
      <c r="AG1776" s="52"/>
      <c r="AH1776" s="52"/>
      <c r="AI1776" s="52"/>
      <c r="AJ1776" s="52"/>
      <c r="AK1776" s="52"/>
      <c r="AL1776" s="52"/>
      <c r="AM1776" s="52"/>
      <c r="AN1776" s="52"/>
    </row>
    <row r="1777" spans="1:40" x14ac:dyDescent="0.3">
      <c r="A1777" s="52">
        <v>1772</v>
      </c>
      <c r="B1777" s="52">
        <f>-bthan*500+(21+0.5)*bthan*1000/50</f>
        <v>-385</v>
      </c>
      <c r="C1777" s="52">
        <f t="shared" si="198"/>
        <v>-89.999999999999886</v>
      </c>
      <c r="D1777" s="52">
        <f t="shared" si="195"/>
        <v>2200</v>
      </c>
      <c r="E1777" s="52">
        <f t="shared" si="196"/>
        <v>1</v>
      </c>
      <c r="F1777" s="52"/>
      <c r="G1777" s="52"/>
      <c r="H1777" s="52"/>
      <c r="I1777" s="52"/>
      <c r="J1777" s="52"/>
      <c r="K1777" s="52"/>
      <c r="L1777" s="52"/>
      <c r="M1777" s="52"/>
      <c r="N1777" s="52"/>
      <c r="O1777" s="52"/>
      <c r="P1777" s="52"/>
      <c r="Q1777" s="52"/>
      <c r="R1777" s="52"/>
      <c r="S1777" s="52"/>
      <c r="T1777" s="52"/>
      <c r="U1777" s="52"/>
      <c r="V1777" s="52"/>
      <c r="W1777" s="52"/>
      <c r="X1777" s="52"/>
      <c r="Y1777" s="52"/>
      <c r="Z1777" s="52"/>
      <c r="AA1777" s="52"/>
      <c r="AB1777" s="52"/>
      <c r="AC1777" s="52"/>
      <c r="AD1777" s="52"/>
      <c r="AE1777" s="52"/>
      <c r="AF1777" s="52"/>
      <c r="AG1777" s="52"/>
      <c r="AH1777" s="52"/>
      <c r="AI1777" s="52"/>
      <c r="AJ1777" s="52"/>
      <c r="AK1777" s="52"/>
      <c r="AL1777" s="52"/>
      <c r="AM1777" s="52"/>
      <c r="AN1777" s="52"/>
    </row>
    <row r="1778" spans="1:40" x14ac:dyDescent="0.3">
      <c r="A1778" s="52">
        <v>1773</v>
      </c>
      <c r="B1778" s="52">
        <f>-bthan*500+(22+0.5)*bthan*1000/50</f>
        <v>-275</v>
      </c>
      <c r="C1778" s="52">
        <f t="shared" si="198"/>
        <v>-89.999999999999886</v>
      </c>
      <c r="D1778" s="52">
        <f t="shared" si="195"/>
        <v>2200</v>
      </c>
      <c r="E1778" s="52">
        <f t="shared" si="196"/>
        <v>1</v>
      </c>
      <c r="F1778" s="52"/>
      <c r="G1778" s="52"/>
      <c r="H1778" s="52"/>
      <c r="I1778" s="52"/>
      <c r="J1778" s="52"/>
      <c r="K1778" s="52"/>
      <c r="L1778" s="52"/>
      <c r="M1778" s="52"/>
      <c r="N1778" s="52"/>
      <c r="O1778" s="52"/>
      <c r="P1778" s="52"/>
      <c r="Q1778" s="52"/>
      <c r="R1778" s="52"/>
      <c r="S1778" s="52"/>
      <c r="T1778" s="52"/>
      <c r="U1778" s="52"/>
      <c r="V1778" s="52"/>
      <c r="W1778" s="52"/>
      <c r="X1778" s="52"/>
      <c r="Y1778" s="52"/>
      <c r="Z1778" s="52"/>
      <c r="AA1778" s="52"/>
      <c r="AB1778" s="52"/>
      <c r="AC1778" s="52"/>
      <c r="AD1778" s="52"/>
      <c r="AE1778" s="52"/>
      <c r="AF1778" s="52"/>
      <c r="AG1778" s="52"/>
      <c r="AH1778" s="52"/>
      <c r="AI1778" s="52"/>
      <c r="AJ1778" s="52"/>
      <c r="AK1778" s="52"/>
      <c r="AL1778" s="52"/>
      <c r="AM1778" s="52"/>
      <c r="AN1778" s="52"/>
    </row>
    <row r="1779" spans="1:40" x14ac:dyDescent="0.3">
      <c r="A1779" s="52">
        <v>1774</v>
      </c>
      <c r="B1779" s="52">
        <f>-bthan*500+(23+0.5)*bthan*1000/50</f>
        <v>-165</v>
      </c>
      <c r="C1779" s="52">
        <f t="shared" si="198"/>
        <v>-89.999999999999886</v>
      </c>
      <c r="D1779" s="52">
        <f t="shared" si="195"/>
        <v>2200</v>
      </c>
      <c r="E1779" s="52">
        <f t="shared" si="196"/>
        <v>1</v>
      </c>
      <c r="F1779" s="52"/>
      <c r="G1779" s="52"/>
      <c r="H1779" s="52"/>
      <c r="I1779" s="52"/>
      <c r="J1779" s="52"/>
      <c r="K1779" s="52"/>
      <c r="L1779" s="52"/>
      <c r="M1779" s="52"/>
      <c r="N1779" s="52"/>
      <c r="O1779" s="52"/>
      <c r="P1779" s="52"/>
      <c r="Q1779" s="52"/>
      <c r="R1779" s="52"/>
      <c r="S1779" s="52"/>
      <c r="T1779" s="52"/>
      <c r="U1779" s="52"/>
      <c r="V1779" s="52"/>
      <c r="W1779" s="52"/>
      <c r="X1779" s="52"/>
      <c r="Y1779" s="52"/>
      <c r="Z1779" s="52"/>
      <c r="AA1779" s="52"/>
      <c r="AB1779" s="52"/>
      <c r="AC1779" s="52"/>
      <c r="AD1779" s="52"/>
      <c r="AE1779" s="52"/>
      <c r="AF1779" s="52"/>
      <c r="AG1779" s="52"/>
      <c r="AH1779" s="52"/>
      <c r="AI1779" s="52"/>
      <c r="AJ1779" s="52"/>
      <c r="AK1779" s="52"/>
      <c r="AL1779" s="52"/>
      <c r="AM1779" s="52"/>
      <c r="AN1779" s="52"/>
    </row>
    <row r="1780" spans="1:40" x14ac:dyDescent="0.3">
      <c r="A1780" s="52">
        <v>1775</v>
      </c>
      <c r="B1780" s="52">
        <f>-bthan*500+(24+0.5)*bthan*1000/50</f>
        <v>-55</v>
      </c>
      <c r="C1780" s="52">
        <f t="shared" si="198"/>
        <v>-89.999999999999886</v>
      </c>
      <c r="D1780" s="52">
        <f t="shared" si="195"/>
        <v>2200</v>
      </c>
      <c r="E1780" s="52">
        <f t="shared" si="196"/>
        <v>1</v>
      </c>
      <c r="F1780" s="52"/>
      <c r="G1780" s="52"/>
      <c r="H1780" s="52"/>
      <c r="I1780" s="52"/>
      <c r="J1780" s="52"/>
      <c r="K1780" s="52"/>
      <c r="L1780" s="52"/>
      <c r="M1780" s="52"/>
      <c r="N1780" s="52"/>
      <c r="O1780" s="52"/>
      <c r="P1780" s="52"/>
      <c r="Q1780" s="52"/>
      <c r="R1780" s="52"/>
      <c r="S1780" s="52"/>
      <c r="T1780" s="52"/>
      <c r="U1780" s="52"/>
      <c r="V1780" s="52"/>
      <c r="W1780" s="52"/>
      <c r="X1780" s="52"/>
      <c r="Y1780" s="52"/>
      <c r="Z1780" s="52"/>
      <c r="AA1780" s="52"/>
      <c r="AB1780" s="52"/>
      <c r="AC1780" s="52"/>
      <c r="AD1780" s="52"/>
      <c r="AE1780" s="52"/>
      <c r="AF1780" s="52"/>
      <c r="AG1780" s="52"/>
      <c r="AH1780" s="52"/>
      <c r="AI1780" s="52"/>
      <c r="AJ1780" s="52"/>
      <c r="AK1780" s="52"/>
      <c r="AL1780" s="52"/>
      <c r="AM1780" s="52"/>
      <c r="AN1780" s="52"/>
    </row>
    <row r="1781" spans="1:40" x14ac:dyDescent="0.3">
      <c r="A1781" s="52">
        <v>1776</v>
      </c>
      <c r="B1781" s="52">
        <f>-bthan*500+(25+0.5)*bthan*1000/50</f>
        <v>55</v>
      </c>
      <c r="C1781" s="52">
        <f t="shared" si="198"/>
        <v>-89.999999999999886</v>
      </c>
      <c r="D1781" s="52">
        <f t="shared" si="195"/>
        <v>2200</v>
      </c>
      <c r="E1781" s="52">
        <f t="shared" si="196"/>
        <v>1</v>
      </c>
      <c r="F1781" s="52"/>
      <c r="G1781" s="52"/>
      <c r="H1781" s="52"/>
      <c r="I1781" s="52"/>
      <c r="J1781" s="52"/>
      <c r="K1781" s="52"/>
      <c r="L1781" s="52"/>
      <c r="M1781" s="52"/>
      <c r="N1781" s="52"/>
      <c r="O1781" s="52"/>
      <c r="P1781" s="52"/>
      <c r="Q1781" s="52"/>
      <c r="R1781" s="52"/>
      <c r="S1781" s="52"/>
      <c r="T1781" s="52"/>
      <c r="U1781" s="52"/>
      <c r="V1781" s="52"/>
      <c r="W1781" s="52"/>
      <c r="X1781" s="52"/>
      <c r="Y1781" s="52"/>
      <c r="Z1781" s="52"/>
      <c r="AA1781" s="52"/>
      <c r="AB1781" s="52"/>
      <c r="AC1781" s="52"/>
      <c r="AD1781" s="52"/>
      <c r="AE1781" s="52"/>
      <c r="AF1781" s="52"/>
      <c r="AG1781" s="52"/>
      <c r="AH1781" s="52"/>
      <c r="AI1781" s="52"/>
      <c r="AJ1781" s="52"/>
      <c r="AK1781" s="52"/>
      <c r="AL1781" s="52"/>
      <c r="AM1781" s="52"/>
      <c r="AN1781" s="52"/>
    </row>
    <row r="1782" spans="1:40" x14ac:dyDescent="0.3">
      <c r="A1782" s="52">
        <v>1777</v>
      </c>
      <c r="B1782" s="52">
        <f>-bthan*500+(26+0.5)*bthan*1000/50</f>
        <v>165</v>
      </c>
      <c r="C1782" s="52">
        <f t="shared" si="198"/>
        <v>-89.999999999999886</v>
      </c>
      <c r="D1782" s="52">
        <f t="shared" si="195"/>
        <v>2200</v>
      </c>
      <c r="E1782" s="52">
        <f t="shared" si="196"/>
        <v>1</v>
      </c>
      <c r="F1782" s="52"/>
      <c r="G1782" s="52"/>
      <c r="H1782" s="52"/>
      <c r="I1782" s="52"/>
      <c r="J1782" s="52"/>
      <c r="K1782" s="52"/>
      <c r="L1782" s="52"/>
      <c r="M1782" s="52"/>
      <c r="N1782" s="52"/>
      <c r="O1782" s="52"/>
      <c r="P1782" s="52"/>
      <c r="Q1782" s="52"/>
      <c r="R1782" s="52"/>
      <c r="S1782" s="52"/>
      <c r="T1782" s="52"/>
      <c r="U1782" s="52"/>
      <c r="V1782" s="52"/>
      <c r="W1782" s="52"/>
      <c r="X1782" s="52"/>
      <c r="Y1782" s="52"/>
      <c r="Z1782" s="52"/>
      <c r="AA1782" s="52"/>
      <c r="AB1782" s="52"/>
      <c r="AC1782" s="52"/>
      <c r="AD1782" s="52"/>
      <c r="AE1782" s="52"/>
      <c r="AF1782" s="52"/>
      <c r="AG1782" s="52"/>
      <c r="AH1782" s="52"/>
      <c r="AI1782" s="52"/>
      <c r="AJ1782" s="52"/>
      <c r="AK1782" s="52"/>
      <c r="AL1782" s="52"/>
      <c r="AM1782" s="52"/>
      <c r="AN1782" s="52"/>
    </row>
    <row r="1783" spans="1:40" x14ac:dyDescent="0.3">
      <c r="A1783" s="52">
        <v>1778</v>
      </c>
      <c r="B1783" s="52">
        <f>-bthan*500+(27+0.5)*bthan*1000/50</f>
        <v>275</v>
      </c>
      <c r="C1783" s="52">
        <f t="shared" si="198"/>
        <v>-89.999999999999886</v>
      </c>
      <c r="D1783" s="52">
        <f t="shared" si="195"/>
        <v>2200</v>
      </c>
      <c r="E1783" s="52">
        <f t="shared" si="196"/>
        <v>1</v>
      </c>
      <c r="F1783" s="52"/>
      <c r="G1783" s="52"/>
      <c r="H1783" s="52"/>
      <c r="I1783" s="52"/>
      <c r="J1783" s="52"/>
      <c r="K1783" s="52"/>
      <c r="L1783" s="52"/>
      <c r="M1783" s="52"/>
      <c r="N1783" s="52"/>
      <c r="O1783" s="52"/>
      <c r="P1783" s="52"/>
      <c r="Q1783" s="52"/>
      <c r="R1783" s="52"/>
      <c r="S1783" s="52"/>
      <c r="T1783" s="52"/>
      <c r="U1783" s="52"/>
      <c r="V1783" s="52"/>
      <c r="W1783" s="52"/>
      <c r="X1783" s="52"/>
      <c r="Y1783" s="52"/>
      <c r="Z1783" s="52"/>
      <c r="AA1783" s="52"/>
      <c r="AB1783" s="52"/>
      <c r="AC1783" s="52"/>
      <c r="AD1783" s="52"/>
      <c r="AE1783" s="52"/>
      <c r="AF1783" s="52"/>
      <c r="AG1783" s="52"/>
      <c r="AH1783" s="52"/>
      <c r="AI1783" s="52"/>
      <c r="AJ1783" s="52"/>
      <c r="AK1783" s="52"/>
      <c r="AL1783" s="52"/>
      <c r="AM1783" s="52"/>
      <c r="AN1783" s="52"/>
    </row>
    <row r="1784" spans="1:40" x14ac:dyDescent="0.3">
      <c r="A1784" s="52">
        <v>1779</v>
      </c>
      <c r="B1784" s="52">
        <f>-bthan*500+(28+0.5)*bthan*1000/50</f>
        <v>385</v>
      </c>
      <c r="C1784" s="52">
        <f t="shared" si="198"/>
        <v>-89.999999999999886</v>
      </c>
      <c r="D1784" s="52">
        <f t="shared" si="195"/>
        <v>2200</v>
      </c>
      <c r="E1784" s="52">
        <f t="shared" si="196"/>
        <v>1</v>
      </c>
      <c r="F1784" s="52"/>
      <c r="G1784" s="52"/>
      <c r="H1784" s="52"/>
      <c r="I1784" s="52"/>
      <c r="J1784" s="52"/>
      <c r="K1784" s="52"/>
      <c r="L1784" s="52"/>
      <c r="M1784" s="52"/>
      <c r="N1784" s="52"/>
      <c r="O1784" s="52"/>
      <c r="P1784" s="52"/>
      <c r="Q1784" s="52"/>
      <c r="R1784" s="52"/>
      <c r="S1784" s="52"/>
      <c r="T1784" s="52"/>
      <c r="U1784" s="52"/>
      <c r="V1784" s="52"/>
      <c r="W1784" s="52"/>
      <c r="X1784" s="52"/>
      <c r="Y1784" s="52"/>
      <c r="Z1784" s="52"/>
      <c r="AA1784" s="52"/>
      <c r="AB1784" s="52"/>
      <c r="AC1784" s="52"/>
      <c r="AD1784" s="52"/>
      <c r="AE1784" s="52"/>
      <c r="AF1784" s="52"/>
      <c r="AG1784" s="52"/>
      <c r="AH1784" s="52"/>
      <c r="AI1784" s="52"/>
      <c r="AJ1784" s="52"/>
      <c r="AK1784" s="52"/>
      <c r="AL1784" s="52"/>
      <c r="AM1784" s="52"/>
      <c r="AN1784" s="52"/>
    </row>
    <row r="1785" spans="1:40" x14ac:dyDescent="0.3">
      <c r="A1785" s="52">
        <v>1780</v>
      </c>
      <c r="B1785" s="52">
        <f>-bthan*500+(29+0.5)*bthan*1000/50</f>
        <v>495</v>
      </c>
      <c r="C1785" s="52">
        <f t="shared" si="198"/>
        <v>-89.999999999999886</v>
      </c>
      <c r="D1785" s="52">
        <f t="shared" si="195"/>
        <v>2200</v>
      </c>
      <c r="E1785" s="52">
        <f t="shared" si="196"/>
        <v>1</v>
      </c>
      <c r="F1785" s="52"/>
      <c r="G1785" s="52"/>
      <c r="H1785" s="52"/>
      <c r="I1785" s="52"/>
      <c r="J1785" s="52"/>
      <c r="K1785" s="52"/>
      <c r="L1785" s="52"/>
      <c r="M1785" s="52"/>
      <c r="N1785" s="52"/>
      <c r="O1785" s="52"/>
      <c r="P1785" s="52"/>
      <c r="Q1785" s="52"/>
      <c r="R1785" s="52"/>
      <c r="S1785" s="52"/>
      <c r="T1785" s="52"/>
      <c r="U1785" s="52"/>
      <c r="V1785" s="52"/>
      <c r="W1785" s="52"/>
      <c r="X1785" s="52"/>
      <c r="Y1785" s="52"/>
      <c r="Z1785" s="52"/>
      <c r="AA1785" s="52"/>
      <c r="AB1785" s="52"/>
      <c r="AC1785" s="52"/>
      <c r="AD1785" s="52"/>
      <c r="AE1785" s="52"/>
      <c r="AF1785" s="52"/>
      <c r="AG1785" s="52"/>
      <c r="AH1785" s="52"/>
      <c r="AI1785" s="52"/>
      <c r="AJ1785" s="52"/>
      <c r="AK1785" s="52"/>
      <c r="AL1785" s="52"/>
      <c r="AM1785" s="52"/>
      <c r="AN1785" s="52"/>
    </row>
    <row r="1786" spans="1:40" x14ac:dyDescent="0.3">
      <c r="A1786" s="52">
        <v>1781</v>
      </c>
      <c r="B1786" s="52">
        <f>-bthan*500+(30+0.5)*bthan*1000/50</f>
        <v>605</v>
      </c>
      <c r="C1786" s="52">
        <f t="shared" si="198"/>
        <v>-89.999999999999886</v>
      </c>
      <c r="D1786" s="52">
        <f t="shared" si="195"/>
        <v>2200</v>
      </c>
      <c r="E1786" s="52">
        <f t="shared" si="196"/>
        <v>1</v>
      </c>
      <c r="F1786" s="52"/>
      <c r="G1786" s="52"/>
      <c r="H1786" s="52"/>
      <c r="I1786" s="52"/>
      <c r="J1786" s="52"/>
      <c r="K1786" s="52"/>
      <c r="L1786" s="52"/>
      <c r="M1786" s="52"/>
      <c r="N1786" s="52"/>
      <c r="O1786" s="52"/>
      <c r="P1786" s="52"/>
      <c r="Q1786" s="52"/>
      <c r="R1786" s="52"/>
      <c r="S1786" s="52"/>
      <c r="T1786" s="52"/>
      <c r="U1786" s="52"/>
      <c r="V1786" s="52"/>
      <c r="W1786" s="52"/>
      <c r="X1786" s="52"/>
      <c r="Y1786" s="52"/>
      <c r="Z1786" s="52"/>
      <c r="AA1786" s="52"/>
      <c r="AB1786" s="52"/>
      <c r="AC1786" s="52"/>
      <c r="AD1786" s="52"/>
      <c r="AE1786" s="52"/>
      <c r="AF1786" s="52"/>
      <c r="AG1786" s="52"/>
      <c r="AH1786" s="52"/>
      <c r="AI1786" s="52"/>
      <c r="AJ1786" s="52"/>
      <c r="AK1786" s="52"/>
      <c r="AL1786" s="52"/>
      <c r="AM1786" s="52"/>
      <c r="AN1786" s="52"/>
    </row>
    <row r="1787" spans="1:40" x14ac:dyDescent="0.3">
      <c r="A1787" s="52">
        <v>1782</v>
      </c>
      <c r="B1787" s="52">
        <f>-bthan*500+(31+0.5)*bthan*1000/50</f>
        <v>715</v>
      </c>
      <c r="C1787" s="52">
        <f t="shared" si="198"/>
        <v>-89.999999999999886</v>
      </c>
      <c r="D1787" s="52">
        <f t="shared" si="195"/>
        <v>2200</v>
      </c>
      <c r="E1787" s="52">
        <f t="shared" si="196"/>
        <v>1</v>
      </c>
      <c r="F1787" s="52"/>
      <c r="G1787" s="52"/>
      <c r="H1787" s="52"/>
      <c r="I1787" s="52"/>
      <c r="J1787" s="52"/>
      <c r="K1787" s="52"/>
      <c r="L1787" s="52"/>
      <c r="M1787" s="52"/>
      <c r="N1787" s="52"/>
      <c r="O1787" s="52"/>
      <c r="P1787" s="52"/>
      <c r="Q1787" s="52"/>
      <c r="R1787" s="52"/>
      <c r="S1787" s="52"/>
      <c r="T1787" s="52"/>
      <c r="U1787" s="52"/>
      <c r="V1787" s="52"/>
      <c r="W1787" s="52"/>
      <c r="X1787" s="52"/>
      <c r="Y1787" s="52"/>
      <c r="Z1787" s="52"/>
      <c r="AA1787" s="52"/>
      <c r="AB1787" s="52"/>
      <c r="AC1787" s="52"/>
      <c r="AD1787" s="52"/>
      <c r="AE1787" s="52"/>
      <c r="AF1787" s="52"/>
      <c r="AG1787" s="52"/>
      <c r="AH1787" s="52"/>
      <c r="AI1787" s="52"/>
      <c r="AJ1787" s="52"/>
      <c r="AK1787" s="52"/>
      <c r="AL1787" s="52"/>
      <c r="AM1787" s="52"/>
      <c r="AN1787" s="52"/>
    </row>
    <row r="1788" spans="1:40" x14ac:dyDescent="0.3">
      <c r="A1788" s="52">
        <v>1783</v>
      </c>
      <c r="B1788" s="52">
        <f>-bthan*500+(32+0.5)*bthan*1000/50</f>
        <v>825</v>
      </c>
      <c r="C1788" s="52">
        <f t="shared" ref="C1788:C1805" si="199">-hthan*500+(35+0.5)*hthan*1000/80</f>
        <v>-89.999999999999886</v>
      </c>
      <c r="D1788" s="52">
        <f t="shared" si="195"/>
        <v>2200</v>
      </c>
      <c r="E1788" s="52">
        <f t="shared" si="196"/>
        <v>1</v>
      </c>
      <c r="F1788" s="52"/>
      <c r="G1788" s="52"/>
      <c r="H1788" s="52"/>
      <c r="I1788" s="52"/>
      <c r="J1788" s="52"/>
      <c r="K1788" s="52"/>
      <c r="L1788" s="52"/>
      <c r="M1788" s="52"/>
      <c r="N1788" s="52"/>
      <c r="O1788" s="52"/>
      <c r="P1788" s="52"/>
      <c r="Q1788" s="52"/>
      <c r="R1788" s="52"/>
      <c r="S1788" s="52"/>
      <c r="T1788" s="52"/>
      <c r="U1788" s="52"/>
      <c r="V1788" s="52"/>
      <c r="W1788" s="52"/>
      <c r="X1788" s="52"/>
      <c r="Y1788" s="52"/>
      <c r="Z1788" s="52"/>
      <c r="AA1788" s="52"/>
      <c r="AB1788" s="52"/>
      <c r="AC1788" s="52"/>
      <c r="AD1788" s="52"/>
      <c r="AE1788" s="52"/>
      <c r="AF1788" s="52"/>
      <c r="AG1788" s="52"/>
      <c r="AH1788" s="52"/>
      <c r="AI1788" s="52"/>
      <c r="AJ1788" s="52"/>
      <c r="AK1788" s="52"/>
      <c r="AL1788" s="52"/>
      <c r="AM1788" s="52"/>
      <c r="AN1788" s="52"/>
    </row>
    <row r="1789" spans="1:40" x14ac:dyDescent="0.3">
      <c r="A1789" s="52">
        <v>1784</v>
      </c>
      <c r="B1789" s="52">
        <f>-bthan*500+(33+0.5)*bthan*1000/50</f>
        <v>935</v>
      </c>
      <c r="C1789" s="52">
        <f t="shared" si="199"/>
        <v>-89.999999999999886</v>
      </c>
      <c r="D1789" s="52">
        <f t="shared" si="195"/>
        <v>2200</v>
      </c>
      <c r="E1789" s="52">
        <f t="shared" si="196"/>
        <v>1</v>
      </c>
      <c r="F1789" s="52"/>
      <c r="G1789" s="52"/>
      <c r="H1789" s="52"/>
      <c r="I1789" s="52"/>
      <c r="J1789" s="52"/>
      <c r="K1789" s="52"/>
      <c r="L1789" s="52"/>
      <c r="M1789" s="52"/>
      <c r="N1789" s="52"/>
      <c r="O1789" s="52"/>
      <c r="P1789" s="52"/>
      <c r="Q1789" s="52"/>
      <c r="R1789" s="52"/>
      <c r="S1789" s="52"/>
      <c r="T1789" s="52"/>
      <c r="U1789" s="52"/>
      <c r="V1789" s="52"/>
      <c r="W1789" s="52"/>
      <c r="X1789" s="52"/>
      <c r="Y1789" s="52"/>
      <c r="Z1789" s="52"/>
      <c r="AA1789" s="52"/>
      <c r="AB1789" s="52"/>
      <c r="AC1789" s="52"/>
      <c r="AD1789" s="52"/>
      <c r="AE1789" s="52"/>
      <c r="AF1789" s="52"/>
      <c r="AG1789" s="52"/>
      <c r="AH1789" s="52"/>
      <c r="AI1789" s="52"/>
      <c r="AJ1789" s="52"/>
      <c r="AK1789" s="52"/>
      <c r="AL1789" s="52"/>
      <c r="AM1789" s="52"/>
      <c r="AN1789" s="52"/>
    </row>
    <row r="1790" spans="1:40" x14ac:dyDescent="0.3">
      <c r="A1790" s="52">
        <v>1785</v>
      </c>
      <c r="B1790" s="52">
        <f>-bthan*500+(34+0.5)*bthan*1000/50</f>
        <v>1045</v>
      </c>
      <c r="C1790" s="52">
        <f t="shared" si="199"/>
        <v>-89.999999999999886</v>
      </c>
      <c r="D1790" s="52">
        <f t="shared" si="195"/>
        <v>2200</v>
      </c>
      <c r="E1790" s="52">
        <f t="shared" si="196"/>
        <v>1</v>
      </c>
      <c r="F1790" s="52"/>
      <c r="G1790" s="52"/>
      <c r="H1790" s="52"/>
      <c r="I1790" s="52"/>
      <c r="J1790" s="52"/>
      <c r="K1790" s="52"/>
      <c r="L1790" s="52"/>
      <c r="M1790" s="52"/>
      <c r="N1790" s="52"/>
      <c r="O1790" s="52"/>
      <c r="P1790" s="52"/>
      <c r="Q1790" s="52"/>
      <c r="R1790" s="52"/>
      <c r="S1790" s="52"/>
      <c r="T1790" s="52"/>
      <c r="U1790" s="52"/>
      <c r="V1790" s="52"/>
      <c r="W1790" s="52"/>
      <c r="X1790" s="52"/>
      <c r="Y1790" s="52"/>
      <c r="Z1790" s="52"/>
      <c r="AA1790" s="52"/>
      <c r="AB1790" s="52"/>
      <c r="AC1790" s="52"/>
      <c r="AD1790" s="52"/>
      <c r="AE1790" s="52"/>
      <c r="AF1790" s="52"/>
      <c r="AG1790" s="52"/>
      <c r="AH1790" s="52"/>
      <c r="AI1790" s="52"/>
      <c r="AJ1790" s="52"/>
      <c r="AK1790" s="52"/>
      <c r="AL1790" s="52"/>
      <c r="AM1790" s="52"/>
      <c r="AN1790" s="52"/>
    </row>
    <row r="1791" spans="1:40" x14ac:dyDescent="0.3">
      <c r="A1791" s="52">
        <v>1786</v>
      </c>
      <c r="B1791" s="52">
        <f>-bthan*500+(35+0.5)*bthan*1000/50</f>
        <v>1155</v>
      </c>
      <c r="C1791" s="52">
        <f t="shared" si="199"/>
        <v>-89.999999999999886</v>
      </c>
      <c r="D1791" s="52">
        <f t="shared" si="195"/>
        <v>2200</v>
      </c>
      <c r="E1791" s="52">
        <f t="shared" si="196"/>
        <v>1</v>
      </c>
      <c r="F1791" s="52"/>
      <c r="G1791" s="52"/>
      <c r="H1791" s="52"/>
      <c r="I1791" s="52"/>
      <c r="J1791" s="52"/>
      <c r="K1791" s="52"/>
      <c r="L1791" s="52"/>
      <c r="M1791" s="52"/>
      <c r="N1791" s="52"/>
      <c r="O1791" s="52"/>
      <c r="P1791" s="52"/>
      <c r="Q1791" s="52"/>
      <c r="R1791" s="52"/>
      <c r="S1791" s="52"/>
      <c r="T1791" s="52"/>
      <c r="U1791" s="52"/>
      <c r="V1791" s="52"/>
      <c r="W1791" s="52"/>
      <c r="X1791" s="52"/>
      <c r="Y1791" s="52"/>
      <c r="Z1791" s="52"/>
      <c r="AA1791" s="52"/>
      <c r="AB1791" s="52"/>
      <c r="AC1791" s="52"/>
      <c r="AD1791" s="52"/>
      <c r="AE1791" s="52"/>
      <c r="AF1791" s="52"/>
      <c r="AG1791" s="52"/>
      <c r="AH1791" s="52"/>
      <c r="AI1791" s="52"/>
      <c r="AJ1791" s="52"/>
      <c r="AK1791" s="52"/>
      <c r="AL1791" s="52"/>
      <c r="AM1791" s="52"/>
      <c r="AN1791" s="52"/>
    </row>
    <row r="1792" spans="1:40" x14ac:dyDescent="0.3">
      <c r="A1792" s="52">
        <v>1787</v>
      </c>
      <c r="B1792" s="52">
        <f>-bthan*500+(36+0.5)*bthan*1000/50</f>
        <v>1265</v>
      </c>
      <c r="C1792" s="52">
        <f t="shared" si="199"/>
        <v>-89.999999999999886</v>
      </c>
      <c r="D1792" s="52">
        <f t="shared" si="195"/>
        <v>2200</v>
      </c>
      <c r="E1792" s="52">
        <f t="shared" si="196"/>
        <v>1</v>
      </c>
      <c r="F1792" s="52"/>
      <c r="G1792" s="52"/>
      <c r="H1792" s="52"/>
      <c r="I1792" s="52"/>
      <c r="J1792" s="52"/>
      <c r="K1792" s="52"/>
      <c r="L1792" s="52"/>
      <c r="M1792" s="52"/>
      <c r="N1792" s="52"/>
      <c r="O1792" s="52"/>
      <c r="P1792" s="52"/>
      <c r="Q1792" s="52"/>
      <c r="R1792" s="52"/>
      <c r="S1792" s="52"/>
      <c r="T1792" s="52"/>
      <c r="U1792" s="52"/>
      <c r="V1792" s="52"/>
      <c r="W1792" s="52"/>
      <c r="X1792" s="52"/>
      <c r="Y1792" s="52"/>
      <c r="Z1792" s="52"/>
      <c r="AA1792" s="52"/>
      <c r="AB1792" s="52"/>
      <c r="AC1792" s="52"/>
      <c r="AD1792" s="52"/>
      <c r="AE1792" s="52"/>
      <c r="AF1792" s="52"/>
      <c r="AG1792" s="52"/>
      <c r="AH1792" s="52"/>
      <c r="AI1792" s="52"/>
      <c r="AJ1792" s="52"/>
      <c r="AK1792" s="52"/>
      <c r="AL1792" s="52"/>
      <c r="AM1792" s="52"/>
      <c r="AN1792" s="52"/>
    </row>
    <row r="1793" spans="1:40" x14ac:dyDescent="0.3">
      <c r="A1793" s="52">
        <v>1788</v>
      </c>
      <c r="B1793" s="52">
        <f>-bthan*500+(37+0.5)*bthan*1000/50</f>
        <v>1375</v>
      </c>
      <c r="C1793" s="52">
        <f t="shared" si="199"/>
        <v>-89.999999999999886</v>
      </c>
      <c r="D1793" s="52">
        <f t="shared" si="195"/>
        <v>2200</v>
      </c>
      <c r="E1793" s="52">
        <f t="shared" si="196"/>
        <v>1</v>
      </c>
      <c r="F1793" s="52"/>
      <c r="G1793" s="52"/>
      <c r="H1793" s="52"/>
      <c r="I1793" s="52"/>
      <c r="J1793" s="52"/>
      <c r="K1793" s="52"/>
      <c r="L1793" s="52"/>
      <c r="M1793" s="52"/>
      <c r="N1793" s="52"/>
      <c r="O1793" s="52"/>
      <c r="P1793" s="52"/>
      <c r="Q1793" s="52"/>
      <c r="R1793" s="52"/>
      <c r="S1793" s="52"/>
      <c r="T1793" s="52"/>
      <c r="U1793" s="52"/>
      <c r="V1793" s="52"/>
      <c r="W1793" s="52"/>
      <c r="X1793" s="52"/>
      <c r="Y1793" s="52"/>
      <c r="Z1793" s="52"/>
      <c r="AA1793" s="52"/>
      <c r="AB1793" s="52"/>
      <c r="AC1793" s="52"/>
      <c r="AD1793" s="52"/>
      <c r="AE1793" s="52"/>
      <c r="AF1793" s="52"/>
      <c r="AG1793" s="52"/>
      <c r="AH1793" s="52"/>
      <c r="AI1793" s="52"/>
      <c r="AJ1793" s="52"/>
      <c r="AK1793" s="52"/>
      <c r="AL1793" s="52"/>
      <c r="AM1793" s="52"/>
      <c r="AN1793" s="52"/>
    </row>
    <row r="1794" spans="1:40" x14ac:dyDescent="0.3">
      <c r="A1794" s="52">
        <v>1789</v>
      </c>
      <c r="B1794" s="52">
        <f>-bthan*500+(38+0.5)*bthan*1000/50</f>
        <v>1485</v>
      </c>
      <c r="C1794" s="52">
        <f t="shared" si="199"/>
        <v>-89.999999999999886</v>
      </c>
      <c r="D1794" s="52">
        <f t="shared" si="195"/>
        <v>2200</v>
      </c>
      <c r="E1794" s="52">
        <f t="shared" si="196"/>
        <v>1</v>
      </c>
      <c r="F1794" s="52"/>
      <c r="G1794" s="52"/>
      <c r="H1794" s="52"/>
      <c r="I1794" s="52"/>
      <c r="J1794" s="52"/>
      <c r="K1794" s="52"/>
      <c r="L1794" s="52"/>
      <c r="M1794" s="52"/>
      <c r="N1794" s="52"/>
      <c r="O1794" s="52"/>
      <c r="P1794" s="52"/>
      <c r="Q1794" s="52"/>
      <c r="R1794" s="52"/>
      <c r="S1794" s="52"/>
      <c r="T1794" s="52"/>
      <c r="U1794" s="52"/>
      <c r="V1794" s="52"/>
      <c r="W1794" s="52"/>
      <c r="X1794" s="52"/>
      <c r="Y1794" s="52"/>
      <c r="Z1794" s="52"/>
      <c r="AA1794" s="52"/>
      <c r="AB1794" s="52"/>
      <c r="AC1794" s="52"/>
      <c r="AD1794" s="52"/>
      <c r="AE1794" s="52"/>
      <c r="AF1794" s="52"/>
      <c r="AG1794" s="52"/>
      <c r="AH1794" s="52"/>
      <c r="AI1794" s="52"/>
      <c r="AJ1794" s="52"/>
      <c r="AK1794" s="52"/>
      <c r="AL1794" s="52"/>
      <c r="AM1794" s="52"/>
      <c r="AN1794" s="52"/>
    </row>
    <row r="1795" spans="1:40" x14ac:dyDescent="0.3">
      <c r="A1795" s="52">
        <v>1790</v>
      </c>
      <c r="B1795" s="52">
        <f>-bthan*500+(39+0.5)*bthan*1000/50</f>
        <v>1595</v>
      </c>
      <c r="C1795" s="52">
        <f t="shared" si="199"/>
        <v>-89.999999999999886</v>
      </c>
      <c r="D1795" s="52">
        <f t="shared" si="195"/>
        <v>2200</v>
      </c>
      <c r="E1795" s="52">
        <f t="shared" si="196"/>
        <v>1</v>
      </c>
      <c r="F1795" s="52"/>
      <c r="G1795" s="52"/>
      <c r="H1795" s="52"/>
      <c r="I1795" s="52"/>
      <c r="J1795" s="52"/>
      <c r="K1795" s="52"/>
      <c r="L1795" s="52"/>
      <c r="M1795" s="52"/>
      <c r="N1795" s="52"/>
      <c r="O1795" s="52"/>
      <c r="P1795" s="52"/>
      <c r="Q1795" s="52"/>
      <c r="R1795" s="52"/>
      <c r="S1795" s="52"/>
      <c r="T1795" s="52"/>
      <c r="U1795" s="52"/>
      <c r="V1795" s="52"/>
      <c r="W1795" s="52"/>
      <c r="X1795" s="52"/>
      <c r="Y1795" s="52"/>
      <c r="Z1795" s="52"/>
      <c r="AA1795" s="52"/>
      <c r="AB1795" s="52"/>
      <c r="AC1795" s="52"/>
      <c r="AD1795" s="52"/>
      <c r="AE1795" s="52"/>
      <c r="AF1795" s="52"/>
      <c r="AG1795" s="52"/>
      <c r="AH1795" s="52"/>
      <c r="AI1795" s="52"/>
      <c r="AJ1795" s="52"/>
      <c r="AK1795" s="52"/>
      <c r="AL1795" s="52"/>
      <c r="AM1795" s="52"/>
      <c r="AN1795" s="52"/>
    </row>
    <row r="1796" spans="1:40" x14ac:dyDescent="0.3">
      <c r="A1796" s="52">
        <v>1791</v>
      </c>
      <c r="B1796" s="52">
        <f>-bthan*500+(40+0.5)*bthan*1000/50</f>
        <v>1705</v>
      </c>
      <c r="C1796" s="52">
        <f t="shared" si="199"/>
        <v>-89.999999999999886</v>
      </c>
      <c r="D1796" s="52">
        <f t="shared" si="195"/>
        <v>2200</v>
      </c>
      <c r="E1796" s="52">
        <f t="shared" si="196"/>
        <v>1</v>
      </c>
      <c r="F1796" s="52"/>
      <c r="G1796" s="52"/>
      <c r="H1796" s="52"/>
      <c r="I1796" s="52"/>
      <c r="J1796" s="52"/>
      <c r="K1796" s="52"/>
      <c r="L1796" s="52"/>
      <c r="M1796" s="52"/>
      <c r="N1796" s="52"/>
      <c r="O1796" s="52"/>
      <c r="P1796" s="52"/>
      <c r="Q1796" s="52"/>
      <c r="R1796" s="52"/>
      <c r="S1796" s="52"/>
      <c r="T1796" s="52"/>
      <c r="U1796" s="52"/>
      <c r="V1796" s="52"/>
      <c r="W1796" s="52"/>
      <c r="X1796" s="52"/>
      <c r="Y1796" s="52"/>
      <c r="Z1796" s="52"/>
      <c r="AA1796" s="52"/>
      <c r="AB1796" s="52"/>
      <c r="AC1796" s="52"/>
      <c r="AD1796" s="52"/>
      <c r="AE1796" s="52"/>
      <c r="AF1796" s="52"/>
      <c r="AG1796" s="52"/>
      <c r="AH1796" s="52"/>
      <c r="AI1796" s="52"/>
      <c r="AJ1796" s="52"/>
      <c r="AK1796" s="52"/>
      <c r="AL1796" s="52"/>
      <c r="AM1796" s="52"/>
      <c r="AN1796" s="52"/>
    </row>
    <row r="1797" spans="1:40" x14ac:dyDescent="0.3">
      <c r="A1797" s="52">
        <v>1792</v>
      </c>
      <c r="B1797" s="52">
        <f>-bthan*500+(41+0.5)*bthan*1000/50</f>
        <v>1815</v>
      </c>
      <c r="C1797" s="52">
        <f t="shared" si="199"/>
        <v>-89.999999999999886</v>
      </c>
      <c r="D1797" s="52">
        <f t="shared" si="195"/>
        <v>2200</v>
      </c>
      <c r="E1797" s="52">
        <f t="shared" si="196"/>
        <v>1</v>
      </c>
      <c r="F1797" s="52"/>
      <c r="G1797" s="52"/>
      <c r="H1797" s="52"/>
      <c r="I1797" s="52"/>
      <c r="J1797" s="52"/>
      <c r="K1797" s="52"/>
      <c r="L1797" s="52"/>
      <c r="M1797" s="52"/>
      <c r="N1797" s="52"/>
      <c r="O1797" s="52"/>
      <c r="P1797" s="52"/>
      <c r="Q1797" s="52"/>
      <c r="R1797" s="52"/>
      <c r="S1797" s="52"/>
      <c r="T1797" s="52"/>
      <c r="U1797" s="52"/>
      <c r="V1797" s="52"/>
      <c r="W1797" s="52"/>
      <c r="X1797" s="52"/>
      <c r="Y1797" s="52"/>
      <c r="Z1797" s="52"/>
      <c r="AA1797" s="52"/>
      <c r="AB1797" s="52"/>
      <c r="AC1797" s="52"/>
      <c r="AD1797" s="52"/>
      <c r="AE1797" s="52"/>
      <c r="AF1797" s="52"/>
      <c r="AG1797" s="52"/>
      <c r="AH1797" s="52"/>
      <c r="AI1797" s="52"/>
      <c r="AJ1797" s="52"/>
      <c r="AK1797" s="52"/>
      <c r="AL1797" s="52"/>
      <c r="AM1797" s="52"/>
      <c r="AN1797" s="52"/>
    </row>
    <row r="1798" spans="1:40" x14ac:dyDescent="0.3">
      <c r="A1798" s="52">
        <v>1793</v>
      </c>
      <c r="B1798" s="52">
        <f>-bthan*500+(42+0.5)*bthan*1000/50</f>
        <v>1925</v>
      </c>
      <c r="C1798" s="52">
        <f t="shared" si="199"/>
        <v>-89.999999999999886</v>
      </c>
      <c r="D1798" s="52">
        <f t="shared" ref="D1798:D1861" si="200">bthan*1000/50*hthan*1000/80</f>
        <v>2200</v>
      </c>
      <c r="E1798" s="52">
        <f t="shared" ref="E1798:E1861" si="201">IF(shp=1,--(OR(ABS(B1798)&lt;=MAX(0,(bthan-hthan)*500),(ABS(B1798)-MAX(0,(bthan-hthan)*500))^2+C1798^2&lt;=(hthan*500)^2)),--(AND(ABS(B1798)&lt;=bthan*500,ABS(C1798)&lt;=hthan*500,OR(ABS(B1798)&lt;=bthan*500-cch*1000,ABS(C1798)&lt;=hthan*500-cch*1000,(bthan*500-ABS(B1798))+(hthan*500-ABS(C1798))&gt;=cch*1000))))</f>
        <v>1</v>
      </c>
      <c r="F1798" s="52"/>
      <c r="G1798" s="52"/>
      <c r="H1798" s="52"/>
      <c r="I1798" s="52"/>
      <c r="J1798" s="52"/>
      <c r="K1798" s="52"/>
      <c r="L1798" s="52"/>
      <c r="M1798" s="52"/>
      <c r="N1798" s="52"/>
      <c r="O1798" s="52"/>
      <c r="P1798" s="52"/>
      <c r="Q1798" s="52"/>
      <c r="R1798" s="52"/>
      <c r="S1798" s="52"/>
      <c r="T1798" s="52"/>
      <c r="U1798" s="52"/>
      <c r="V1798" s="52"/>
      <c r="W1798" s="52"/>
      <c r="X1798" s="52"/>
      <c r="Y1798" s="52"/>
      <c r="Z1798" s="52"/>
      <c r="AA1798" s="52"/>
      <c r="AB1798" s="52"/>
      <c r="AC1798" s="52"/>
      <c r="AD1798" s="52"/>
      <c r="AE1798" s="52"/>
      <c r="AF1798" s="52"/>
      <c r="AG1798" s="52"/>
      <c r="AH1798" s="52"/>
      <c r="AI1798" s="52"/>
      <c r="AJ1798" s="52"/>
      <c r="AK1798" s="52"/>
      <c r="AL1798" s="52"/>
      <c r="AM1798" s="52"/>
      <c r="AN1798" s="52"/>
    </row>
    <row r="1799" spans="1:40" x14ac:dyDescent="0.3">
      <c r="A1799" s="52">
        <v>1794</v>
      </c>
      <c r="B1799" s="52">
        <f>-bthan*500+(43+0.5)*bthan*1000/50</f>
        <v>2035</v>
      </c>
      <c r="C1799" s="52">
        <f t="shared" si="199"/>
        <v>-89.999999999999886</v>
      </c>
      <c r="D1799" s="52">
        <f t="shared" si="200"/>
        <v>2200</v>
      </c>
      <c r="E1799" s="52">
        <f t="shared" si="201"/>
        <v>1</v>
      </c>
      <c r="F1799" s="52"/>
      <c r="G1799" s="52"/>
      <c r="H1799" s="52"/>
      <c r="I1799" s="52"/>
      <c r="J1799" s="52"/>
      <c r="K1799" s="52"/>
      <c r="L1799" s="52"/>
      <c r="M1799" s="52"/>
      <c r="N1799" s="52"/>
      <c r="O1799" s="52"/>
      <c r="P1799" s="52"/>
      <c r="Q1799" s="52"/>
      <c r="R1799" s="52"/>
      <c r="S1799" s="52"/>
      <c r="T1799" s="52"/>
      <c r="U1799" s="52"/>
      <c r="V1799" s="52"/>
      <c r="W1799" s="52"/>
      <c r="X1799" s="52"/>
      <c r="Y1799" s="52"/>
      <c r="Z1799" s="52"/>
      <c r="AA1799" s="52"/>
      <c r="AB1799" s="52"/>
      <c r="AC1799" s="52"/>
      <c r="AD1799" s="52"/>
      <c r="AE1799" s="52"/>
      <c r="AF1799" s="52"/>
      <c r="AG1799" s="52"/>
      <c r="AH1799" s="52"/>
      <c r="AI1799" s="52"/>
      <c r="AJ1799" s="52"/>
      <c r="AK1799" s="52"/>
      <c r="AL1799" s="52"/>
      <c r="AM1799" s="52"/>
      <c r="AN1799" s="52"/>
    </row>
    <row r="1800" spans="1:40" x14ac:dyDescent="0.3">
      <c r="A1800" s="52">
        <v>1795</v>
      </c>
      <c r="B1800" s="52">
        <f>-bthan*500+(44+0.5)*bthan*1000/50</f>
        <v>2145</v>
      </c>
      <c r="C1800" s="52">
        <f t="shared" si="199"/>
        <v>-89.999999999999886</v>
      </c>
      <c r="D1800" s="52">
        <f t="shared" si="200"/>
        <v>2200</v>
      </c>
      <c r="E1800" s="52">
        <f t="shared" si="201"/>
        <v>1</v>
      </c>
      <c r="F1800" s="52"/>
      <c r="G1800" s="52"/>
      <c r="H1800" s="52"/>
      <c r="I1800" s="52"/>
      <c r="J1800" s="52"/>
      <c r="K1800" s="52"/>
      <c r="L1800" s="52"/>
      <c r="M1800" s="52"/>
      <c r="N1800" s="52"/>
      <c r="O1800" s="52"/>
      <c r="P1800" s="52"/>
      <c r="Q1800" s="52"/>
      <c r="R1800" s="52"/>
      <c r="S1800" s="52"/>
      <c r="T1800" s="52"/>
      <c r="U1800" s="52"/>
      <c r="V1800" s="52"/>
      <c r="W1800" s="52"/>
      <c r="X1800" s="52"/>
      <c r="Y1800" s="52"/>
      <c r="Z1800" s="52"/>
      <c r="AA1800" s="52"/>
      <c r="AB1800" s="52"/>
      <c r="AC1800" s="52"/>
      <c r="AD1800" s="52"/>
      <c r="AE1800" s="52"/>
      <c r="AF1800" s="52"/>
      <c r="AG1800" s="52"/>
      <c r="AH1800" s="52"/>
      <c r="AI1800" s="52"/>
      <c r="AJ1800" s="52"/>
      <c r="AK1800" s="52"/>
      <c r="AL1800" s="52"/>
      <c r="AM1800" s="52"/>
      <c r="AN1800" s="52"/>
    </row>
    <row r="1801" spans="1:40" x14ac:dyDescent="0.3">
      <c r="A1801" s="52">
        <v>1796</v>
      </c>
      <c r="B1801" s="52">
        <f>-bthan*500+(45+0.5)*bthan*1000/50</f>
        <v>2255</v>
      </c>
      <c r="C1801" s="52">
        <f t="shared" si="199"/>
        <v>-89.999999999999886</v>
      </c>
      <c r="D1801" s="52">
        <f t="shared" si="200"/>
        <v>2200</v>
      </c>
      <c r="E1801" s="52">
        <f t="shared" si="201"/>
        <v>1</v>
      </c>
      <c r="F1801" s="52"/>
      <c r="G1801" s="52"/>
      <c r="H1801" s="52"/>
      <c r="I1801" s="52"/>
      <c r="J1801" s="52"/>
      <c r="K1801" s="52"/>
      <c r="L1801" s="52"/>
      <c r="M1801" s="52"/>
      <c r="N1801" s="52"/>
      <c r="O1801" s="52"/>
      <c r="P1801" s="52"/>
      <c r="Q1801" s="52"/>
      <c r="R1801" s="52"/>
      <c r="S1801" s="52"/>
      <c r="T1801" s="52"/>
      <c r="U1801" s="52"/>
      <c r="V1801" s="52"/>
      <c r="W1801" s="52"/>
      <c r="X1801" s="52"/>
      <c r="Y1801" s="52"/>
      <c r="Z1801" s="52"/>
      <c r="AA1801" s="52"/>
      <c r="AB1801" s="52"/>
      <c r="AC1801" s="52"/>
      <c r="AD1801" s="52"/>
      <c r="AE1801" s="52"/>
      <c r="AF1801" s="52"/>
      <c r="AG1801" s="52"/>
      <c r="AH1801" s="52"/>
      <c r="AI1801" s="52"/>
      <c r="AJ1801" s="52"/>
      <c r="AK1801" s="52"/>
      <c r="AL1801" s="52"/>
      <c r="AM1801" s="52"/>
      <c r="AN1801" s="52"/>
    </row>
    <row r="1802" spans="1:40" x14ac:dyDescent="0.3">
      <c r="A1802" s="52">
        <v>1797</v>
      </c>
      <c r="B1802" s="52">
        <f>-bthan*500+(46+0.5)*bthan*1000/50</f>
        <v>2365</v>
      </c>
      <c r="C1802" s="52">
        <f t="shared" si="199"/>
        <v>-89.999999999999886</v>
      </c>
      <c r="D1802" s="52">
        <f t="shared" si="200"/>
        <v>2200</v>
      </c>
      <c r="E1802" s="52">
        <f t="shared" si="201"/>
        <v>1</v>
      </c>
      <c r="F1802" s="52"/>
      <c r="G1802" s="52"/>
      <c r="H1802" s="52"/>
      <c r="I1802" s="52"/>
      <c r="J1802" s="52"/>
      <c r="K1802" s="52"/>
      <c r="L1802" s="52"/>
      <c r="M1802" s="52"/>
      <c r="N1802" s="52"/>
      <c r="O1802" s="52"/>
      <c r="P1802" s="52"/>
      <c r="Q1802" s="52"/>
      <c r="R1802" s="52"/>
      <c r="S1802" s="52"/>
      <c r="T1802" s="52"/>
      <c r="U1802" s="52"/>
      <c r="V1802" s="52"/>
      <c r="W1802" s="52"/>
      <c r="X1802" s="52"/>
      <c r="Y1802" s="52"/>
      <c r="Z1802" s="52"/>
      <c r="AA1802" s="52"/>
      <c r="AB1802" s="52"/>
      <c r="AC1802" s="52"/>
      <c r="AD1802" s="52"/>
      <c r="AE1802" s="52"/>
      <c r="AF1802" s="52"/>
      <c r="AG1802" s="52"/>
      <c r="AH1802" s="52"/>
      <c r="AI1802" s="52"/>
      <c r="AJ1802" s="52"/>
      <c r="AK1802" s="52"/>
      <c r="AL1802" s="52"/>
      <c r="AM1802" s="52"/>
      <c r="AN1802" s="52"/>
    </row>
    <row r="1803" spans="1:40" x14ac:dyDescent="0.3">
      <c r="A1803" s="52">
        <v>1798</v>
      </c>
      <c r="B1803" s="52">
        <f>-bthan*500+(47+0.5)*bthan*1000/50</f>
        <v>2475</v>
      </c>
      <c r="C1803" s="52">
        <f t="shared" si="199"/>
        <v>-89.999999999999886</v>
      </c>
      <c r="D1803" s="52">
        <f t="shared" si="200"/>
        <v>2200</v>
      </c>
      <c r="E1803" s="52">
        <f t="shared" si="201"/>
        <v>1</v>
      </c>
      <c r="F1803" s="52"/>
      <c r="G1803" s="52"/>
      <c r="H1803" s="52"/>
      <c r="I1803" s="52"/>
      <c r="J1803" s="52"/>
      <c r="K1803" s="52"/>
      <c r="L1803" s="52"/>
      <c r="M1803" s="52"/>
      <c r="N1803" s="52"/>
      <c r="O1803" s="52"/>
      <c r="P1803" s="52"/>
      <c r="Q1803" s="52"/>
      <c r="R1803" s="52"/>
      <c r="S1803" s="52"/>
      <c r="T1803" s="52"/>
      <c r="U1803" s="52"/>
      <c r="V1803" s="52"/>
      <c r="W1803" s="52"/>
      <c r="X1803" s="52"/>
      <c r="Y1803" s="52"/>
      <c r="Z1803" s="52"/>
      <c r="AA1803" s="52"/>
      <c r="AB1803" s="52"/>
      <c r="AC1803" s="52"/>
      <c r="AD1803" s="52"/>
      <c r="AE1803" s="52"/>
      <c r="AF1803" s="52"/>
      <c r="AG1803" s="52"/>
      <c r="AH1803" s="52"/>
      <c r="AI1803" s="52"/>
      <c r="AJ1803" s="52"/>
      <c r="AK1803" s="52"/>
      <c r="AL1803" s="52"/>
      <c r="AM1803" s="52"/>
      <c r="AN1803" s="52"/>
    </row>
    <row r="1804" spans="1:40" x14ac:dyDescent="0.3">
      <c r="A1804" s="52">
        <v>1799</v>
      </c>
      <c r="B1804" s="52">
        <f>-bthan*500+(48+0.5)*bthan*1000/50</f>
        <v>2585</v>
      </c>
      <c r="C1804" s="52">
        <f t="shared" si="199"/>
        <v>-89.999999999999886</v>
      </c>
      <c r="D1804" s="52">
        <f t="shared" si="200"/>
        <v>2200</v>
      </c>
      <c r="E1804" s="52">
        <f t="shared" si="201"/>
        <v>1</v>
      </c>
      <c r="F1804" s="52"/>
      <c r="G1804" s="52"/>
      <c r="H1804" s="52"/>
      <c r="I1804" s="52"/>
      <c r="J1804" s="52"/>
      <c r="K1804" s="52"/>
      <c r="L1804" s="52"/>
      <c r="M1804" s="52"/>
      <c r="N1804" s="52"/>
      <c r="O1804" s="52"/>
      <c r="P1804" s="52"/>
      <c r="Q1804" s="52"/>
      <c r="R1804" s="52"/>
      <c r="S1804" s="52"/>
      <c r="T1804" s="52"/>
      <c r="U1804" s="52"/>
      <c r="V1804" s="52"/>
      <c r="W1804" s="52"/>
      <c r="X1804" s="52"/>
      <c r="Y1804" s="52"/>
      <c r="Z1804" s="52"/>
      <c r="AA1804" s="52"/>
      <c r="AB1804" s="52"/>
      <c r="AC1804" s="52"/>
      <c r="AD1804" s="52"/>
      <c r="AE1804" s="52"/>
      <c r="AF1804" s="52"/>
      <c r="AG1804" s="52"/>
      <c r="AH1804" s="52"/>
      <c r="AI1804" s="52"/>
      <c r="AJ1804" s="52"/>
      <c r="AK1804" s="52"/>
      <c r="AL1804" s="52"/>
      <c r="AM1804" s="52"/>
      <c r="AN1804" s="52"/>
    </row>
    <row r="1805" spans="1:40" x14ac:dyDescent="0.3">
      <c r="A1805" s="52">
        <v>1800</v>
      </c>
      <c r="B1805" s="52">
        <f>-bthan*500+(49+0.5)*bthan*1000/50</f>
        <v>2695</v>
      </c>
      <c r="C1805" s="52">
        <f t="shared" si="199"/>
        <v>-89.999999999999886</v>
      </c>
      <c r="D1805" s="52">
        <f t="shared" si="200"/>
        <v>2200</v>
      </c>
      <c r="E1805" s="52">
        <f t="shared" si="201"/>
        <v>1</v>
      </c>
      <c r="F1805" s="52"/>
      <c r="G1805" s="52"/>
      <c r="H1805" s="52"/>
      <c r="I1805" s="52"/>
      <c r="J1805" s="52"/>
      <c r="K1805" s="52"/>
      <c r="L1805" s="52"/>
      <c r="M1805" s="52"/>
      <c r="N1805" s="52"/>
      <c r="O1805" s="52"/>
      <c r="P1805" s="52"/>
      <c r="Q1805" s="52"/>
      <c r="R1805" s="52"/>
      <c r="S1805" s="52"/>
      <c r="T1805" s="52"/>
      <c r="U1805" s="52"/>
      <c r="V1805" s="52"/>
      <c r="W1805" s="52"/>
      <c r="X1805" s="52"/>
      <c r="Y1805" s="52"/>
      <c r="Z1805" s="52"/>
      <c r="AA1805" s="52"/>
      <c r="AB1805" s="52"/>
      <c r="AC1805" s="52"/>
      <c r="AD1805" s="52"/>
      <c r="AE1805" s="52"/>
      <c r="AF1805" s="52"/>
      <c r="AG1805" s="52"/>
      <c r="AH1805" s="52"/>
      <c r="AI1805" s="52"/>
      <c r="AJ1805" s="52"/>
      <c r="AK1805" s="52"/>
      <c r="AL1805" s="52"/>
      <c r="AM1805" s="52"/>
      <c r="AN1805" s="52"/>
    </row>
    <row r="1806" spans="1:40" x14ac:dyDescent="0.3">
      <c r="A1806" s="52">
        <v>1801</v>
      </c>
      <c r="B1806" s="52">
        <f>-bthan*500+(0+0.5)*bthan*1000/50</f>
        <v>-2695</v>
      </c>
      <c r="C1806" s="52">
        <f t="shared" ref="C1806:C1837" si="202">-hthan*500+(36+0.5)*hthan*1000/80</f>
        <v>-69.999999999999886</v>
      </c>
      <c r="D1806" s="52">
        <f t="shared" si="200"/>
        <v>2200</v>
      </c>
      <c r="E1806" s="52">
        <f t="shared" si="201"/>
        <v>1</v>
      </c>
      <c r="F1806" s="52"/>
      <c r="G1806" s="52"/>
      <c r="H1806" s="52"/>
      <c r="I1806" s="52"/>
      <c r="J1806" s="52"/>
      <c r="K1806" s="52"/>
      <c r="L1806" s="52"/>
      <c r="M1806" s="52"/>
      <c r="N1806" s="52"/>
      <c r="O1806" s="52"/>
      <c r="P1806" s="52"/>
      <c r="Q1806" s="52"/>
      <c r="R1806" s="52"/>
      <c r="S1806" s="52"/>
      <c r="T1806" s="52"/>
      <c r="U1806" s="52"/>
      <c r="V1806" s="52"/>
      <c r="W1806" s="52"/>
      <c r="X1806" s="52"/>
      <c r="Y1806" s="52"/>
      <c r="Z1806" s="52"/>
      <c r="AA1806" s="52"/>
      <c r="AB1806" s="52"/>
      <c r="AC1806" s="52"/>
      <c r="AD1806" s="52"/>
      <c r="AE1806" s="52"/>
      <c r="AF1806" s="52"/>
      <c r="AG1806" s="52"/>
      <c r="AH1806" s="52"/>
      <c r="AI1806" s="52"/>
      <c r="AJ1806" s="52"/>
      <c r="AK1806" s="52"/>
      <c r="AL1806" s="52"/>
      <c r="AM1806" s="52"/>
      <c r="AN1806" s="52"/>
    </row>
    <row r="1807" spans="1:40" x14ac:dyDescent="0.3">
      <c r="A1807" s="52">
        <v>1802</v>
      </c>
      <c r="B1807" s="52">
        <f>-bthan*500+(1+0.5)*bthan*1000/50</f>
        <v>-2585</v>
      </c>
      <c r="C1807" s="52">
        <f t="shared" si="202"/>
        <v>-69.999999999999886</v>
      </c>
      <c r="D1807" s="52">
        <f t="shared" si="200"/>
        <v>2200</v>
      </c>
      <c r="E1807" s="52">
        <f t="shared" si="201"/>
        <v>1</v>
      </c>
      <c r="F1807" s="52"/>
      <c r="G1807" s="52"/>
      <c r="H1807" s="52"/>
      <c r="I1807" s="52"/>
      <c r="J1807" s="52"/>
      <c r="K1807" s="52"/>
      <c r="L1807" s="52"/>
      <c r="M1807" s="52"/>
      <c r="N1807" s="52"/>
      <c r="O1807" s="52"/>
      <c r="P1807" s="52"/>
      <c r="Q1807" s="52"/>
      <c r="R1807" s="52"/>
      <c r="S1807" s="52"/>
      <c r="T1807" s="52"/>
      <c r="U1807" s="52"/>
      <c r="V1807" s="52"/>
      <c r="W1807" s="52"/>
      <c r="X1807" s="52"/>
      <c r="Y1807" s="52"/>
      <c r="Z1807" s="52"/>
      <c r="AA1807" s="52"/>
      <c r="AB1807" s="52"/>
      <c r="AC1807" s="52"/>
      <c r="AD1807" s="52"/>
      <c r="AE1807" s="52"/>
      <c r="AF1807" s="52"/>
      <c r="AG1807" s="52"/>
      <c r="AH1807" s="52"/>
      <c r="AI1807" s="52"/>
      <c r="AJ1807" s="52"/>
      <c r="AK1807" s="52"/>
      <c r="AL1807" s="52"/>
      <c r="AM1807" s="52"/>
      <c r="AN1807" s="52"/>
    </row>
    <row r="1808" spans="1:40" x14ac:dyDescent="0.3">
      <c r="A1808" s="52">
        <v>1803</v>
      </c>
      <c r="B1808" s="52">
        <f>-bthan*500+(2+0.5)*bthan*1000/50</f>
        <v>-2475</v>
      </c>
      <c r="C1808" s="52">
        <f t="shared" si="202"/>
        <v>-69.999999999999886</v>
      </c>
      <c r="D1808" s="52">
        <f t="shared" si="200"/>
        <v>2200</v>
      </c>
      <c r="E1808" s="52">
        <f t="shared" si="201"/>
        <v>1</v>
      </c>
      <c r="F1808" s="52"/>
      <c r="G1808" s="52"/>
      <c r="H1808" s="52"/>
      <c r="I1808" s="52"/>
      <c r="J1808" s="52"/>
      <c r="K1808" s="52"/>
      <c r="L1808" s="52"/>
      <c r="M1808" s="52"/>
      <c r="N1808" s="52"/>
      <c r="O1808" s="52"/>
      <c r="P1808" s="52"/>
      <c r="Q1808" s="52"/>
      <c r="R1808" s="52"/>
      <c r="S1808" s="52"/>
      <c r="T1808" s="52"/>
      <c r="U1808" s="52"/>
      <c r="V1808" s="52"/>
      <c r="W1808" s="52"/>
      <c r="X1808" s="52"/>
      <c r="Y1808" s="52"/>
      <c r="Z1808" s="52"/>
      <c r="AA1808" s="52"/>
      <c r="AB1808" s="52"/>
      <c r="AC1808" s="52"/>
      <c r="AD1808" s="52"/>
      <c r="AE1808" s="52"/>
      <c r="AF1808" s="52"/>
      <c r="AG1808" s="52"/>
      <c r="AH1808" s="52"/>
      <c r="AI1808" s="52"/>
      <c r="AJ1808" s="52"/>
      <c r="AK1808" s="52"/>
      <c r="AL1808" s="52"/>
      <c r="AM1808" s="52"/>
      <c r="AN1808" s="52"/>
    </row>
    <row r="1809" spans="1:40" x14ac:dyDescent="0.3">
      <c r="A1809" s="52">
        <v>1804</v>
      </c>
      <c r="B1809" s="52">
        <f>-bthan*500+(3+0.5)*bthan*1000/50</f>
        <v>-2365</v>
      </c>
      <c r="C1809" s="52">
        <f t="shared" si="202"/>
        <v>-69.999999999999886</v>
      </c>
      <c r="D1809" s="52">
        <f t="shared" si="200"/>
        <v>2200</v>
      </c>
      <c r="E1809" s="52">
        <f t="shared" si="201"/>
        <v>1</v>
      </c>
      <c r="F1809" s="52"/>
      <c r="G1809" s="52"/>
      <c r="H1809" s="52"/>
      <c r="I1809" s="52"/>
      <c r="J1809" s="52"/>
      <c r="K1809" s="52"/>
      <c r="L1809" s="52"/>
      <c r="M1809" s="52"/>
      <c r="N1809" s="52"/>
      <c r="O1809" s="52"/>
      <c r="P1809" s="52"/>
      <c r="Q1809" s="52"/>
      <c r="R1809" s="52"/>
      <c r="S1809" s="52"/>
      <c r="T1809" s="52"/>
      <c r="U1809" s="52"/>
      <c r="V1809" s="52"/>
      <c r="W1809" s="52"/>
      <c r="X1809" s="52"/>
      <c r="Y1809" s="52"/>
      <c r="Z1809" s="52"/>
      <c r="AA1809" s="52"/>
      <c r="AB1809" s="52"/>
      <c r="AC1809" s="52"/>
      <c r="AD1809" s="52"/>
      <c r="AE1809" s="52"/>
      <c r="AF1809" s="52"/>
      <c r="AG1809" s="52"/>
      <c r="AH1809" s="52"/>
      <c r="AI1809" s="52"/>
      <c r="AJ1809" s="52"/>
      <c r="AK1809" s="52"/>
      <c r="AL1809" s="52"/>
      <c r="AM1809" s="52"/>
      <c r="AN1809" s="52"/>
    </row>
    <row r="1810" spans="1:40" x14ac:dyDescent="0.3">
      <c r="A1810" s="52">
        <v>1805</v>
      </c>
      <c r="B1810" s="52">
        <f>-bthan*500+(4+0.5)*bthan*1000/50</f>
        <v>-2255</v>
      </c>
      <c r="C1810" s="52">
        <f t="shared" si="202"/>
        <v>-69.999999999999886</v>
      </c>
      <c r="D1810" s="52">
        <f t="shared" si="200"/>
        <v>2200</v>
      </c>
      <c r="E1810" s="52">
        <f t="shared" si="201"/>
        <v>1</v>
      </c>
      <c r="F1810" s="52"/>
      <c r="G1810" s="52"/>
      <c r="H1810" s="52"/>
      <c r="I1810" s="52"/>
      <c r="J1810" s="52"/>
      <c r="K1810" s="52"/>
      <c r="L1810" s="52"/>
      <c r="M1810" s="52"/>
      <c r="N1810" s="52"/>
      <c r="O1810" s="52"/>
      <c r="P1810" s="52"/>
      <c r="Q1810" s="52"/>
      <c r="R1810" s="52"/>
      <c r="S1810" s="52"/>
      <c r="T1810" s="52"/>
      <c r="U1810" s="52"/>
      <c r="V1810" s="52"/>
      <c r="W1810" s="52"/>
      <c r="X1810" s="52"/>
      <c r="Y1810" s="52"/>
      <c r="Z1810" s="52"/>
      <c r="AA1810" s="52"/>
      <c r="AB1810" s="52"/>
      <c r="AC1810" s="52"/>
      <c r="AD1810" s="52"/>
      <c r="AE1810" s="52"/>
      <c r="AF1810" s="52"/>
      <c r="AG1810" s="52"/>
      <c r="AH1810" s="52"/>
      <c r="AI1810" s="52"/>
      <c r="AJ1810" s="52"/>
      <c r="AK1810" s="52"/>
      <c r="AL1810" s="52"/>
      <c r="AM1810" s="52"/>
      <c r="AN1810" s="52"/>
    </row>
    <row r="1811" spans="1:40" x14ac:dyDescent="0.3">
      <c r="A1811" s="52">
        <v>1806</v>
      </c>
      <c r="B1811" s="52">
        <f>-bthan*500+(5+0.5)*bthan*1000/50</f>
        <v>-2145</v>
      </c>
      <c r="C1811" s="52">
        <f t="shared" si="202"/>
        <v>-69.999999999999886</v>
      </c>
      <c r="D1811" s="52">
        <f t="shared" si="200"/>
        <v>2200</v>
      </c>
      <c r="E1811" s="52">
        <f t="shared" si="201"/>
        <v>1</v>
      </c>
      <c r="F1811" s="52"/>
      <c r="G1811" s="52"/>
      <c r="H1811" s="52"/>
      <c r="I1811" s="52"/>
      <c r="J1811" s="52"/>
      <c r="K1811" s="52"/>
      <c r="L1811" s="52"/>
      <c r="M1811" s="52"/>
      <c r="N1811" s="52"/>
      <c r="O1811" s="52"/>
      <c r="P1811" s="52"/>
      <c r="Q1811" s="52"/>
      <c r="R1811" s="52"/>
      <c r="S1811" s="52"/>
      <c r="T1811" s="52"/>
      <c r="U1811" s="52"/>
      <c r="V1811" s="52"/>
      <c r="W1811" s="52"/>
      <c r="X1811" s="52"/>
      <c r="Y1811" s="52"/>
      <c r="Z1811" s="52"/>
      <c r="AA1811" s="52"/>
      <c r="AB1811" s="52"/>
      <c r="AC1811" s="52"/>
      <c r="AD1811" s="52"/>
      <c r="AE1811" s="52"/>
      <c r="AF1811" s="52"/>
      <c r="AG1811" s="52"/>
      <c r="AH1811" s="52"/>
      <c r="AI1811" s="52"/>
      <c r="AJ1811" s="52"/>
      <c r="AK1811" s="52"/>
      <c r="AL1811" s="52"/>
      <c r="AM1811" s="52"/>
      <c r="AN1811" s="52"/>
    </row>
    <row r="1812" spans="1:40" x14ac:dyDescent="0.3">
      <c r="A1812" s="52">
        <v>1807</v>
      </c>
      <c r="B1812" s="52">
        <f>-bthan*500+(6+0.5)*bthan*1000/50</f>
        <v>-2035</v>
      </c>
      <c r="C1812" s="52">
        <f t="shared" si="202"/>
        <v>-69.999999999999886</v>
      </c>
      <c r="D1812" s="52">
        <f t="shared" si="200"/>
        <v>2200</v>
      </c>
      <c r="E1812" s="52">
        <f t="shared" si="201"/>
        <v>1</v>
      </c>
      <c r="F1812" s="52"/>
      <c r="G1812" s="52"/>
      <c r="H1812" s="52"/>
      <c r="I1812" s="52"/>
      <c r="J1812" s="52"/>
      <c r="K1812" s="52"/>
      <c r="L1812" s="52"/>
      <c r="M1812" s="52"/>
      <c r="N1812" s="52"/>
      <c r="O1812" s="52"/>
      <c r="P1812" s="52"/>
      <c r="Q1812" s="52"/>
      <c r="R1812" s="52"/>
      <c r="S1812" s="52"/>
      <c r="T1812" s="52"/>
      <c r="U1812" s="52"/>
      <c r="V1812" s="52"/>
      <c r="W1812" s="52"/>
      <c r="X1812" s="52"/>
      <c r="Y1812" s="52"/>
      <c r="Z1812" s="52"/>
      <c r="AA1812" s="52"/>
      <c r="AB1812" s="52"/>
      <c r="AC1812" s="52"/>
      <c r="AD1812" s="52"/>
      <c r="AE1812" s="52"/>
      <c r="AF1812" s="52"/>
      <c r="AG1812" s="52"/>
      <c r="AH1812" s="52"/>
      <c r="AI1812" s="52"/>
      <c r="AJ1812" s="52"/>
      <c r="AK1812" s="52"/>
      <c r="AL1812" s="52"/>
      <c r="AM1812" s="52"/>
      <c r="AN1812" s="52"/>
    </row>
    <row r="1813" spans="1:40" x14ac:dyDescent="0.3">
      <c r="A1813" s="52">
        <v>1808</v>
      </c>
      <c r="B1813" s="52">
        <f>-bthan*500+(7+0.5)*bthan*1000/50</f>
        <v>-1925</v>
      </c>
      <c r="C1813" s="52">
        <f t="shared" si="202"/>
        <v>-69.999999999999886</v>
      </c>
      <c r="D1813" s="52">
        <f t="shared" si="200"/>
        <v>2200</v>
      </c>
      <c r="E1813" s="52">
        <f t="shared" si="201"/>
        <v>1</v>
      </c>
      <c r="F1813" s="52"/>
      <c r="G1813" s="52"/>
      <c r="H1813" s="52"/>
      <c r="I1813" s="52"/>
      <c r="J1813" s="52"/>
      <c r="K1813" s="52"/>
      <c r="L1813" s="52"/>
      <c r="M1813" s="52"/>
      <c r="N1813" s="52"/>
      <c r="O1813" s="52"/>
      <c r="P1813" s="52"/>
      <c r="Q1813" s="52"/>
      <c r="R1813" s="52"/>
      <c r="S1813" s="52"/>
      <c r="T1813" s="52"/>
      <c r="U1813" s="52"/>
      <c r="V1813" s="52"/>
      <c r="W1813" s="52"/>
      <c r="X1813" s="52"/>
      <c r="Y1813" s="52"/>
      <c r="Z1813" s="52"/>
      <c r="AA1813" s="52"/>
      <c r="AB1813" s="52"/>
      <c r="AC1813" s="52"/>
      <c r="AD1813" s="52"/>
      <c r="AE1813" s="52"/>
      <c r="AF1813" s="52"/>
      <c r="AG1813" s="52"/>
      <c r="AH1813" s="52"/>
      <c r="AI1813" s="52"/>
      <c r="AJ1813" s="52"/>
      <c r="AK1813" s="52"/>
      <c r="AL1813" s="52"/>
      <c r="AM1813" s="52"/>
      <c r="AN1813" s="52"/>
    </row>
    <row r="1814" spans="1:40" x14ac:dyDescent="0.3">
      <c r="A1814" s="52">
        <v>1809</v>
      </c>
      <c r="B1814" s="52">
        <f>-bthan*500+(8+0.5)*bthan*1000/50</f>
        <v>-1815</v>
      </c>
      <c r="C1814" s="52">
        <f t="shared" si="202"/>
        <v>-69.999999999999886</v>
      </c>
      <c r="D1814" s="52">
        <f t="shared" si="200"/>
        <v>2200</v>
      </c>
      <c r="E1814" s="52">
        <f t="shared" si="201"/>
        <v>1</v>
      </c>
      <c r="F1814" s="52"/>
      <c r="G1814" s="52"/>
      <c r="H1814" s="52"/>
      <c r="I1814" s="52"/>
      <c r="J1814" s="52"/>
      <c r="K1814" s="52"/>
      <c r="L1814" s="52"/>
      <c r="M1814" s="52"/>
      <c r="N1814" s="52"/>
      <c r="O1814" s="52"/>
      <c r="P1814" s="52"/>
      <c r="Q1814" s="52"/>
      <c r="R1814" s="52"/>
      <c r="S1814" s="52"/>
      <c r="T1814" s="52"/>
      <c r="U1814" s="52"/>
      <c r="V1814" s="52"/>
      <c r="W1814" s="52"/>
      <c r="X1814" s="52"/>
      <c r="Y1814" s="52"/>
      <c r="Z1814" s="52"/>
      <c r="AA1814" s="52"/>
      <c r="AB1814" s="52"/>
      <c r="AC1814" s="52"/>
      <c r="AD1814" s="52"/>
      <c r="AE1814" s="52"/>
      <c r="AF1814" s="52"/>
      <c r="AG1814" s="52"/>
      <c r="AH1814" s="52"/>
      <c r="AI1814" s="52"/>
      <c r="AJ1814" s="52"/>
      <c r="AK1814" s="52"/>
      <c r="AL1814" s="52"/>
      <c r="AM1814" s="52"/>
      <c r="AN1814" s="52"/>
    </row>
    <row r="1815" spans="1:40" x14ac:dyDescent="0.3">
      <c r="A1815" s="52">
        <v>1810</v>
      </c>
      <c r="B1815" s="52">
        <f>-bthan*500+(9+0.5)*bthan*1000/50</f>
        <v>-1705</v>
      </c>
      <c r="C1815" s="52">
        <f t="shared" si="202"/>
        <v>-69.999999999999886</v>
      </c>
      <c r="D1815" s="52">
        <f t="shared" si="200"/>
        <v>2200</v>
      </c>
      <c r="E1815" s="52">
        <f t="shared" si="201"/>
        <v>1</v>
      </c>
      <c r="F1815" s="52"/>
      <c r="G1815" s="52"/>
      <c r="H1815" s="52"/>
      <c r="I1815" s="52"/>
      <c r="J1815" s="52"/>
      <c r="K1815" s="52"/>
      <c r="L1815" s="52"/>
      <c r="M1815" s="52"/>
      <c r="N1815" s="52"/>
      <c r="O1815" s="52"/>
      <c r="P1815" s="52"/>
      <c r="Q1815" s="52"/>
      <c r="R1815" s="52"/>
      <c r="S1815" s="52"/>
      <c r="T1815" s="52"/>
      <c r="U1815" s="52"/>
      <c r="V1815" s="52"/>
      <c r="W1815" s="52"/>
      <c r="X1815" s="52"/>
      <c r="Y1815" s="52"/>
      <c r="Z1815" s="52"/>
      <c r="AA1815" s="52"/>
      <c r="AB1815" s="52"/>
      <c r="AC1815" s="52"/>
      <c r="AD1815" s="52"/>
      <c r="AE1815" s="52"/>
      <c r="AF1815" s="52"/>
      <c r="AG1815" s="52"/>
      <c r="AH1815" s="52"/>
      <c r="AI1815" s="52"/>
      <c r="AJ1815" s="52"/>
      <c r="AK1815" s="52"/>
      <c r="AL1815" s="52"/>
      <c r="AM1815" s="52"/>
      <c r="AN1815" s="52"/>
    </row>
    <row r="1816" spans="1:40" x14ac:dyDescent="0.3">
      <c r="A1816" s="52">
        <v>1811</v>
      </c>
      <c r="B1816" s="52">
        <f>-bthan*500+(10+0.5)*bthan*1000/50</f>
        <v>-1595</v>
      </c>
      <c r="C1816" s="52">
        <f t="shared" si="202"/>
        <v>-69.999999999999886</v>
      </c>
      <c r="D1816" s="52">
        <f t="shared" si="200"/>
        <v>2200</v>
      </c>
      <c r="E1816" s="52">
        <f t="shared" si="201"/>
        <v>1</v>
      </c>
      <c r="F1816" s="52"/>
      <c r="G1816" s="52"/>
      <c r="H1816" s="52"/>
      <c r="I1816" s="52"/>
      <c r="J1816" s="52"/>
      <c r="K1816" s="52"/>
      <c r="L1816" s="52"/>
      <c r="M1816" s="52"/>
      <c r="N1816" s="52"/>
      <c r="O1816" s="52"/>
      <c r="P1816" s="52"/>
      <c r="Q1816" s="52"/>
      <c r="R1816" s="52"/>
      <c r="S1816" s="52"/>
      <c r="T1816" s="52"/>
      <c r="U1816" s="52"/>
      <c r="V1816" s="52"/>
      <c r="W1816" s="52"/>
      <c r="X1816" s="52"/>
      <c r="Y1816" s="52"/>
      <c r="Z1816" s="52"/>
      <c r="AA1816" s="52"/>
      <c r="AB1816" s="52"/>
      <c r="AC1816" s="52"/>
      <c r="AD1816" s="52"/>
      <c r="AE1816" s="52"/>
      <c r="AF1816" s="52"/>
      <c r="AG1816" s="52"/>
      <c r="AH1816" s="52"/>
      <c r="AI1816" s="52"/>
      <c r="AJ1816" s="52"/>
      <c r="AK1816" s="52"/>
      <c r="AL1816" s="52"/>
      <c r="AM1816" s="52"/>
      <c r="AN1816" s="52"/>
    </row>
    <row r="1817" spans="1:40" x14ac:dyDescent="0.3">
      <c r="A1817" s="52">
        <v>1812</v>
      </c>
      <c r="B1817" s="52">
        <f>-bthan*500+(11+0.5)*bthan*1000/50</f>
        <v>-1485</v>
      </c>
      <c r="C1817" s="52">
        <f t="shared" si="202"/>
        <v>-69.999999999999886</v>
      </c>
      <c r="D1817" s="52">
        <f t="shared" si="200"/>
        <v>2200</v>
      </c>
      <c r="E1817" s="52">
        <f t="shared" si="201"/>
        <v>1</v>
      </c>
      <c r="F1817" s="52"/>
      <c r="G1817" s="52"/>
      <c r="H1817" s="52"/>
      <c r="I1817" s="52"/>
      <c r="J1817" s="52"/>
      <c r="K1817" s="52"/>
      <c r="L1817" s="52"/>
      <c r="M1817" s="52"/>
      <c r="N1817" s="52"/>
      <c r="O1817" s="52"/>
      <c r="P1817" s="52"/>
      <c r="Q1817" s="52"/>
      <c r="R1817" s="52"/>
      <c r="S1817" s="52"/>
      <c r="T1817" s="52"/>
      <c r="U1817" s="52"/>
      <c r="V1817" s="52"/>
      <c r="W1817" s="52"/>
      <c r="X1817" s="52"/>
      <c r="Y1817" s="52"/>
      <c r="Z1817" s="52"/>
      <c r="AA1817" s="52"/>
      <c r="AB1817" s="52"/>
      <c r="AC1817" s="52"/>
      <c r="AD1817" s="52"/>
      <c r="AE1817" s="52"/>
      <c r="AF1817" s="52"/>
      <c r="AG1817" s="52"/>
      <c r="AH1817" s="52"/>
      <c r="AI1817" s="52"/>
      <c r="AJ1817" s="52"/>
      <c r="AK1817" s="52"/>
      <c r="AL1817" s="52"/>
      <c r="AM1817" s="52"/>
      <c r="AN1817" s="52"/>
    </row>
    <row r="1818" spans="1:40" x14ac:dyDescent="0.3">
      <c r="A1818" s="52">
        <v>1813</v>
      </c>
      <c r="B1818" s="52">
        <f>-bthan*500+(12+0.5)*bthan*1000/50</f>
        <v>-1375</v>
      </c>
      <c r="C1818" s="52">
        <f t="shared" si="202"/>
        <v>-69.999999999999886</v>
      </c>
      <c r="D1818" s="52">
        <f t="shared" si="200"/>
        <v>2200</v>
      </c>
      <c r="E1818" s="52">
        <f t="shared" si="201"/>
        <v>1</v>
      </c>
      <c r="F1818" s="52"/>
      <c r="G1818" s="52"/>
      <c r="H1818" s="52"/>
      <c r="I1818" s="52"/>
      <c r="J1818" s="52"/>
      <c r="K1818" s="52"/>
      <c r="L1818" s="52"/>
      <c r="M1818" s="52"/>
      <c r="N1818" s="52"/>
      <c r="O1818" s="52"/>
      <c r="P1818" s="52"/>
      <c r="Q1818" s="52"/>
      <c r="R1818" s="52"/>
      <c r="S1818" s="52"/>
      <c r="T1818" s="52"/>
      <c r="U1818" s="52"/>
      <c r="V1818" s="52"/>
      <c r="W1818" s="52"/>
      <c r="X1818" s="52"/>
      <c r="Y1818" s="52"/>
      <c r="Z1818" s="52"/>
      <c r="AA1818" s="52"/>
      <c r="AB1818" s="52"/>
      <c r="AC1818" s="52"/>
      <c r="AD1818" s="52"/>
      <c r="AE1818" s="52"/>
      <c r="AF1818" s="52"/>
      <c r="AG1818" s="52"/>
      <c r="AH1818" s="52"/>
      <c r="AI1818" s="52"/>
      <c r="AJ1818" s="52"/>
      <c r="AK1818" s="52"/>
      <c r="AL1818" s="52"/>
      <c r="AM1818" s="52"/>
      <c r="AN1818" s="52"/>
    </row>
    <row r="1819" spans="1:40" x14ac:dyDescent="0.3">
      <c r="A1819" s="52">
        <v>1814</v>
      </c>
      <c r="B1819" s="52">
        <f>-bthan*500+(13+0.5)*bthan*1000/50</f>
        <v>-1265</v>
      </c>
      <c r="C1819" s="52">
        <f t="shared" si="202"/>
        <v>-69.999999999999886</v>
      </c>
      <c r="D1819" s="52">
        <f t="shared" si="200"/>
        <v>2200</v>
      </c>
      <c r="E1819" s="52">
        <f t="shared" si="201"/>
        <v>1</v>
      </c>
      <c r="F1819" s="52"/>
      <c r="G1819" s="52"/>
      <c r="H1819" s="52"/>
      <c r="I1819" s="52"/>
      <c r="J1819" s="52"/>
      <c r="K1819" s="52"/>
      <c r="L1819" s="52"/>
      <c r="M1819" s="52"/>
      <c r="N1819" s="52"/>
      <c r="O1819" s="52"/>
      <c r="P1819" s="52"/>
      <c r="Q1819" s="52"/>
      <c r="R1819" s="52"/>
      <c r="S1819" s="52"/>
      <c r="T1819" s="52"/>
      <c r="U1819" s="52"/>
      <c r="V1819" s="52"/>
      <c r="W1819" s="52"/>
      <c r="X1819" s="52"/>
      <c r="Y1819" s="52"/>
      <c r="Z1819" s="52"/>
      <c r="AA1819" s="52"/>
      <c r="AB1819" s="52"/>
      <c r="AC1819" s="52"/>
      <c r="AD1819" s="52"/>
      <c r="AE1819" s="52"/>
      <c r="AF1819" s="52"/>
      <c r="AG1819" s="52"/>
      <c r="AH1819" s="52"/>
      <c r="AI1819" s="52"/>
      <c r="AJ1819" s="52"/>
      <c r="AK1819" s="52"/>
      <c r="AL1819" s="52"/>
      <c r="AM1819" s="52"/>
      <c r="AN1819" s="52"/>
    </row>
    <row r="1820" spans="1:40" x14ac:dyDescent="0.3">
      <c r="A1820" s="52">
        <v>1815</v>
      </c>
      <c r="B1820" s="52">
        <f>-bthan*500+(14+0.5)*bthan*1000/50</f>
        <v>-1155</v>
      </c>
      <c r="C1820" s="52">
        <f t="shared" si="202"/>
        <v>-69.999999999999886</v>
      </c>
      <c r="D1820" s="52">
        <f t="shared" si="200"/>
        <v>2200</v>
      </c>
      <c r="E1820" s="52">
        <f t="shared" si="201"/>
        <v>1</v>
      </c>
      <c r="F1820" s="52"/>
      <c r="G1820" s="52"/>
      <c r="H1820" s="52"/>
      <c r="I1820" s="52"/>
      <c r="J1820" s="52"/>
      <c r="K1820" s="52"/>
      <c r="L1820" s="52"/>
      <c r="M1820" s="52"/>
      <c r="N1820" s="52"/>
      <c r="O1820" s="52"/>
      <c r="P1820" s="52"/>
      <c r="Q1820" s="52"/>
      <c r="R1820" s="52"/>
      <c r="S1820" s="52"/>
      <c r="T1820" s="52"/>
      <c r="U1820" s="52"/>
      <c r="V1820" s="52"/>
      <c r="W1820" s="52"/>
      <c r="X1820" s="52"/>
      <c r="Y1820" s="52"/>
      <c r="Z1820" s="52"/>
      <c r="AA1820" s="52"/>
      <c r="AB1820" s="52"/>
      <c r="AC1820" s="52"/>
      <c r="AD1820" s="52"/>
      <c r="AE1820" s="52"/>
      <c r="AF1820" s="52"/>
      <c r="AG1820" s="52"/>
      <c r="AH1820" s="52"/>
      <c r="AI1820" s="52"/>
      <c r="AJ1820" s="52"/>
      <c r="AK1820" s="52"/>
      <c r="AL1820" s="52"/>
      <c r="AM1820" s="52"/>
      <c r="AN1820" s="52"/>
    </row>
    <row r="1821" spans="1:40" x14ac:dyDescent="0.3">
      <c r="A1821" s="52">
        <v>1816</v>
      </c>
      <c r="B1821" s="52">
        <f>-bthan*500+(15+0.5)*bthan*1000/50</f>
        <v>-1045</v>
      </c>
      <c r="C1821" s="52">
        <f t="shared" si="202"/>
        <v>-69.999999999999886</v>
      </c>
      <c r="D1821" s="52">
        <f t="shared" si="200"/>
        <v>2200</v>
      </c>
      <c r="E1821" s="52">
        <f t="shared" si="201"/>
        <v>1</v>
      </c>
      <c r="F1821" s="52"/>
      <c r="G1821" s="52"/>
      <c r="H1821" s="52"/>
      <c r="I1821" s="52"/>
      <c r="J1821" s="52"/>
      <c r="K1821" s="52"/>
      <c r="L1821" s="52"/>
      <c r="M1821" s="52"/>
      <c r="N1821" s="52"/>
      <c r="O1821" s="52"/>
      <c r="P1821" s="52"/>
      <c r="Q1821" s="52"/>
      <c r="R1821" s="52"/>
      <c r="S1821" s="52"/>
      <c r="T1821" s="52"/>
      <c r="U1821" s="52"/>
      <c r="V1821" s="52"/>
      <c r="W1821" s="52"/>
      <c r="X1821" s="52"/>
      <c r="Y1821" s="52"/>
      <c r="Z1821" s="52"/>
      <c r="AA1821" s="52"/>
      <c r="AB1821" s="52"/>
      <c r="AC1821" s="52"/>
      <c r="AD1821" s="52"/>
      <c r="AE1821" s="52"/>
      <c r="AF1821" s="52"/>
      <c r="AG1821" s="52"/>
      <c r="AH1821" s="52"/>
      <c r="AI1821" s="52"/>
      <c r="AJ1821" s="52"/>
      <c r="AK1821" s="52"/>
      <c r="AL1821" s="52"/>
      <c r="AM1821" s="52"/>
      <c r="AN1821" s="52"/>
    </row>
    <row r="1822" spans="1:40" x14ac:dyDescent="0.3">
      <c r="A1822" s="52">
        <v>1817</v>
      </c>
      <c r="B1822" s="52">
        <f>-bthan*500+(16+0.5)*bthan*1000/50</f>
        <v>-935</v>
      </c>
      <c r="C1822" s="52">
        <f t="shared" si="202"/>
        <v>-69.999999999999886</v>
      </c>
      <c r="D1822" s="52">
        <f t="shared" si="200"/>
        <v>2200</v>
      </c>
      <c r="E1822" s="52">
        <f t="shared" si="201"/>
        <v>1</v>
      </c>
      <c r="F1822" s="52"/>
      <c r="G1822" s="52"/>
      <c r="H1822" s="52"/>
      <c r="I1822" s="52"/>
      <c r="J1822" s="52"/>
      <c r="K1822" s="52"/>
      <c r="L1822" s="52"/>
      <c r="M1822" s="52"/>
      <c r="N1822" s="52"/>
      <c r="O1822" s="52"/>
      <c r="P1822" s="52"/>
      <c r="Q1822" s="52"/>
      <c r="R1822" s="52"/>
      <c r="S1822" s="52"/>
      <c r="T1822" s="52"/>
      <c r="U1822" s="52"/>
      <c r="V1822" s="52"/>
      <c r="W1822" s="52"/>
      <c r="X1822" s="52"/>
      <c r="Y1822" s="52"/>
      <c r="Z1822" s="52"/>
      <c r="AA1822" s="52"/>
      <c r="AB1822" s="52"/>
      <c r="AC1822" s="52"/>
      <c r="AD1822" s="52"/>
      <c r="AE1822" s="52"/>
      <c r="AF1822" s="52"/>
      <c r="AG1822" s="52"/>
      <c r="AH1822" s="52"/>
      <c r="AI1822" s="52"/>
      <c r="AJ1822" s="52"/>
      <c r="AK1822" s="52"/>
      <c r="AL1822" s="52"/>
      <c r="AM1822" s="52"/>
      <c r="AN1822" s="52"/>
    </row>
    <row r="1823" spans="1:40" x14ac:dyDescent="0.3">
      <c r="A1823" s="52">
        <v>1818</v>
      </c>
      <c r="B1823" s="52">
        <f>-bthan*500+(17+0.5)*bthan*1000/50</f>
        <v>-825</v>
      </c>
      <c r="C1823" s="52">
        <f t="shared" si="202"/>
        <v>-69.999999999999886</v>
      </c>
      <c r="D1823" s="52">
        <f t="shared" si="200"/>
        <v>2200</v>
      </c>
      <c r="E1823" s="52">
        <f t="shared" si="201"/>
        <v>1</v>
      </c>
      <c r="F1823" s="52"/>
      <c r="G1823" s="52"/>
      <c r="H1823" s="52"/>
      <c r="I1823" s="52"/>
      <c r="J1823" s="52"/>
      <c r="K1823" s="52"/>
      <c r="L1823" s="52"/>
      <c r="M1823" s="52"/>
      <c r="N1823" s="52"/>
      <c r="O1823" s="52"/>
      <c r="P1823" s="52"/>
      <c r="Q1823" s="52"/>
      <c r="R1823" s="52"/>
      <c r="S1823" s="52"/>
      <c r="T1823" s="52"/>
      <c r="U1823" s="52"/>
      <c r="V1823" s="52"/>
      <c r="W1823" s="52"/>
      <c r="X1823" s="52"/>
      <c r="Y1823" s="52"/>
      <c r="Z1823" s="52"/>
      <c r="AA1823" s="52"/>
      <c r="AB1823" s="52"/>
      <c r="AC1823" s="52"/>
      <c r="AD1823" s="52"/>
      <c r="AE1823" s="52"/>
      <c r="AF1823" s="52"/>
      <c r="AG1823" s="52"/>
      <c r="AH1823" s="52"/>
      <c r="AI1823" s="52"/>
      <c r="AJ1823" s="52"/>
      <c r="AK1823" s="52"/>
      <c r="AL1823" s="52"/>
      <c r="AM1823" s="52"/>
      <c r="AN1823" s="52"/>
    </row>
    <row r="1824" spans="1:40" x14ac:dyDescent="0.3">
      <c r="A1824" s="52">
        <v>1819</v>
      </c>
      <c r="B1824" s="52">
        <f>-bthan*500+(18+0.5)*bthan*1000/50</f>
        <v>-715</v>
      </c>
      <c r="C1824" s="52">
        <f t="shared" si="202"/>
        <v>-69.999999999999886</v>
      </c>
      <c r="D1824" s="52">
        <f t="shared" si="200"/>
        <v>2200</v>
      </c>
      <c r="E1824" s="52">
        <f t="shared" si="201"/>
        <v>1</v>
      </c>
      <c r="F1824" s="52"/>
      <c r="G1824" s="52"/>
      <c r="H1824" s="52"/>
      <c r="I1824" s="52"/>
      <c r="J1824" s="52"/>
      <c r="K1824" s="52"/>
      <c r="L1824" s="52"/>
      <c r="M1824" s="52"/>
      <c r="N1824" s="52"/>
      <c r="O1824" s="52"/>
      <c r="P1824" s="52"/>
      <c r="Q1824" s="52"/>
      <c r="R1824" s="52"/>
      <c r="S1824" s="52"/>
      <c r="T1824" s="52"/>
      <c r="U1824" s="52"/>
      <c r="V1824" s="52"/>
      <c r="W1824" s="52"/>
      <c r="X1824" s="52"/>
      <c r="Y1824" s="52"/>
      <c r="Z1824" s="52"/>
      <c r="AA1824" s="52"/>
      <c r="AB1824" s="52"/>
      <c r="AC1824" s="52"/>
      <c r="AD1824" s="52"/>
      <c r="AE1824" s="52"/>
      <c r="AF1824" s="52"/>
      <c r="AG1824" s="52"/>
      <c r="AH1824" s="52"/>
      <c r="AI1824" s="52"/>
      <c r="AJ1824" s="52"/>
      <c r="AK1824" s="52"/>
      <c r="AL1824" s="52"/>
      <c r="AM1824" s="52"/>
      <c r="AN1824" s="52"/>
    </row>
    <row r="1825" spans="1:40" x14ac:dyDescent="0.3">
      <c r="A1825" s="52">
        <v>1820</v>
      </c>
      <c r="B1825" s="52">
        <f>-bthan*500+(19+0.5)*bthan*1000/50</f>
        <v>-605</v>
      </c>
      <c r="C1825" s="52">
        <f t="shared" si="202"/>
        <v>-69.999999999999886</v>
      </c>
      <c r="D1825" s="52">
        <f t="shared" si="200"/>
        <v>2200</v>
      </c>
      <c r="E1825" s="52">
        <f t="shared" si="201"/>
        <v>1</v>
      </c>
      <c r="F1825" s="52"/>
      <c r="G1825" s="52"/>
      <c r="H1825" s="52"/>
      <c r="I1825" s="52"/>
      <c r="J1825" s="52"/>
      <c r="K1825" s="52"/>
      <c r="L1825" s="52"/>
      <c r="M1825" s="52"/>
      <c r="N1825" s="52"/>
      <c r="O1825" s="52"/>
      <c r="P1825" s="52"/>
      <c r="Q1825" s="52"/>
      <c r="R1825" s="52"/>
      <c r="S1825" s="52"/>
      <c r="T1825" s="52"/>
      <c r="U1825" s="52"/>
      <c r="V1825" s="52"/>
      <c r="W1825" s="52"/>
      <c r="X1825" s="52"/>
      <c r="Y1825" s="52"/>
      <c r="Z1825" s="52"/>
      <c r="AA1825" s="52"/>
      <c r="AB1825" s="52"/>
      <c r="AC1825" s="52"/>
      <c r="AD1825" s="52"/>
      <c r="AE1825" s="52"/>
      <c r="AF1825" s="52"/>
      <c r="AG1825" s="52"/>
      <c r="AH1825" s="52"/>
      <c r="AI1825" s="52"/>
      <c r="AJ1825" s="52"/>
      <c r="AK1825" s="52"/>
      <c r="AL1825" s="52"/>
      <c r="AM1825" s="52"/>
      <c r="AN1825" s="52"/>
    </row>
    <row r="1826" spans="1:40" x14ac:dyDescent="0.3">
      <c r="A1826" s="52">
        <v>1821</v>
      </c>
      <c r="B1826" s="52">
        <f>-bthan*500+(20+0.5)*bthan*1000/50</f>
        <v>-495</v>
      </c>
      <c r="C1826" s="52">
        <f t="shared" si="202"/>
        <v>-69.999999999999886</v>
      </c>
      <c r="D1826" s="52">
        <f t="shared" si="200"/>
        <v>2200</v>
      </c>
      <c r="E1826" s="52">
        <f t="shared" si="201"/>
        <v>1</v>
      </c>
      <c r="F1826" s="52"/>
      <c r="G1826" s="52"/>
      <c r="H1826" s="52"/>
      <c r="I1826" s="52"/>
      <c r="J1826" s="52"/>
      <c r="K1826" s="52"/>
      <c r="L1826" s="52"/>
      <c r="M1826" s="52"/>
      <c r="N1826" s="52"/>
      <c r="O1826" s="52"/>
      <c r="P1826" s="52"/>
      <c r="Q1826" s="52"/>
      <c r="R1826" s="52"/>
      <c r="S1826" s="52"/>
      <c r="T1826" s="52"/>
      <c r="U1826" s="52"/>
      <c r="V1826" s="52"/>
      <c r="W1826" s="52"/>
      <c r="X1826" s="52"/>
      <c r="Y1826" s="52"/>
      <c r="Z1826" s="52"/>
      <c r="AA1826" s="52"/>
      <c r="AB1826" s="52"/>
      <c r="AC1826" s="52"/>
      <c r="AD1826" s="52"/>
      <c r="AE1826" s="52"/>
      <c r="AF1826" s="52"/>
      <c r="AG1826" s="52"/>
      <c r="AH1826" s="52"/>
      <c r="AI1826" s="52"/>
      <c r="AJ1826" s="52"/>
      <c r="AK1826" s="52"/>
      <c r="AL1826" s="52"/>
      <c r="AM1826" s="52"/>
      <c r="AN1826" s="52"/>
    </row>
    <row r="1827" spans="1:40" x14ac:dyDescent="0.3">
      <c r="A1827" s="52">
        <v>1822</v>
      </c>
      <c r="B1827" s="52">
        <f>-bthan*500+(21+0.5)*bthan*1000/50</f>
        <v>-385</v>
      </c>
      <c r="C1827" s="52">
        <f t="shared" si="202"/>
        <v>-69.999999999999886</v>
      </c>
      <c r="D1827" s="52">
        <f t="shared" si="200"/>
        <v>2200</v>
      </c>
      <c r="E1827" s="52">
        <f t="shared" si="201"/>
        <v>1</v>
      </c>
      <c r="F1827" s="52"/>
      <c r="G1827" s="52"/>
      <c r="H1827" s="52"/>
      <c r="I1827" s="52"/>
      <c r="J1827" s="52"/>
      <c r="K1827" s="52"/>
      <c r="L1827" s="52"/>
      <c r="M1827" s="52"/>
      <c r="N1827" s="52"/>
      <c r="O1827" s="52"/>
      <c r="P1827" s="52"/>
      <c r="Q1827" s="52"/>
      <c r="R1827" s="52"/>
      <c r="S1827" s="52"/>
      <c r="T1827" s="52"/>
      <c r="U1827" s="52"/>
      <c r="V1827" s="52"/>
      <c r="W1827" s="52"/>
      <c r="X1827" s="52"/>
      <c r="Y1827" s="52"/>
      <c r="Z1827" s="52"/>
      <c r="AA1827" s="52"/>
      <c r="AB1827" s="52"/>
      <c r="AC1827" s="52"/>
      <c r="AD1827" s="52"/>
      <c r="AE1827" s="52"/>
      <c r="AF1827" s="52"/>
      <c r="AG1827" s="52"/>
      <c r="AH1827" s="52"/>
      <c r="AI1827" s="52"/>
      <c r="AJ1827" s="52"/>
      <c r="AK1827" s="52"/>
      <c r="AL1827" s="52"/>
      <c r="AM1827" s="52"/>
      <c r="AN1827" s="52"/>
    </row>
    <row r="1828" spans="1:40" x14ac:dyDescent="0.3">
      <c r="A1828" s="52">
        <v>1823</v>
      </c>
      <c r="B1828" s="52">
        <f>-bthan*500+(22+0.5)*bthan*1000/50</f>
        <v>-275</v>
      </c>
      <c r="C1828" s="52">
        <f t="shared" si="202"/>
        <v>-69.999999999999886</v>
      </c>
      <c r="D1828" s="52">
        <f t="shared" si="200"/>
        <v>2200</v>
      </c>
      <c r="E1828" s="52">
        <f t="shared" si="201"/>
        <v>1</v>
      </c>
      <c r="F1828" s="52"/>
      <c r="G1828" s="52"/>
      <c r="H1828" s="52"/>
      <c r="I1828" s="52"/>
      <c r="J1828" s="52"/>
      <c r="K1828" s="52"/>
      <c r="L1828" s="52"/>
      <c r="M1828" s="52"/>
      <c r="N1828" s="52"/>
      <c r="O1828" s="52"/>
      <c r="P1828" s="52"/>
      <c r="Q1828" s="52"/>
      <c r="R1828" s="52"/>
      <c r="S1828" s="52"/>
      <c r="T1828" s="52"/>
      <c r="U1828" s="52"/>
      <c r="V1828" s="52"/>
      <c r="W1828" s="52"/>
      <c r="X1828" s="52"/>
      <c r="Y1828" s="52"/>
      <c r="Z1828" s="52"/>
      <c r="AA1828" s="52"/>
      <c r="AB1828" s="52"/>
      <c r="AC1828" s="52"/>
      <c r="AD1828" s="52"/>
      <c r="AE1828" s="52"/>
      <c r="AF1828" s="52"/>
      <c r="AG1828" s="52"/>
      <c r="AH1828" s="52"/>
      <c r="AI1828" s="52"/>
      <c r="AJ1828" s="52"/>
      <c r="AK1828" s="52"/>
      <c r="AL1828" s="52"/>
      <c r="AM1828" s="52"/>
      <c r="AN1828" s="52"/>
    </row>
    <row r="1829" spans="1:40" x14ac:dyDescent="0.3">
      <c r="A1829" s="52">
        <v>1824</v>
      </c>
      <c r="B1829" s="52">
        <f>-bthan*500+(23+0.5)*bthan*1000/50</f>
        <v>-165</v>
      </c>
      <c r="C1829" s="52">
        <f t="shared" si="202"/>
        <v>-69.999999999999886</v>
      </c>
      <c r="D1829" s="52">
        <f t="shared" si="200"/>
        <v>2200</v>
      </c>
      <c r="E1829" s="52">
        <f t="shared" si="201"/>
        <v>1</v>
      </c>
      <c r="F1829" s="52"/>
      <c r="G1829" s="52"/>
      <c r="H1829" s="52"/>
      <c r="I1829" s="52"/>
      <c r="J1829" s="52"/>
      <c r="K1829" s="52"/>
      <c r="L1829" s="52"/>
      <c r="M1829" s="52"/>
      <c r="N1829" s="52"/>
      <c r="O1829" s="52"/>
      <c r="P1829" s="52"/>
      <c r="Q1829" s="52"/>
      <c r="R1829" s="52"/>
      <c r="S1829" s="52"/>
      <c r="T1829" s="52"/>
      <c r="U1829" s="52"/>
      <c r="V1829" s="52"/>
      <c r="W1829" s="52"/>
      <c r="X1829" s="52"/>
      <c r="Y1829" s="52"/>
      <c r="Z1829" s="52"/>
      <c r="AA1829" s="52"/>
      <c r="AB1829" s="52"/>
      <c r="AC1829" s="52"/>
      <c r="AD1829" s="52"/>
      <c r="AE1829" s="52"/>
      <c r="AF1829" s="52"/>
      <c r="AG1829" s="52"/>
      <c r="AH1829" s="52"/>
      <c r="AI1829" s="52"/>
      <c r="AJ1829" s="52"/>
      <c r="AK1829" s="52"/>
      <c r="AL1829" s="52"/>
      <c r="AM1829" s="52"/>
      <c r="AN1829" s="52"/>
    </row>
    <row r="1830" spans="1:40" x14ac:dyDescent="0.3">
      <c r="A1830" s="52">
        <v>1825</v>
      </c>
      <c r="B1830" s="52">
        <f>-bthan*500+(24+0.5)*bthan*1000/50</f>
        <v>-55</v>
      </c>
      <c r="C1830" s="52">
        <f t="shared" si="202"/>
        <v>-69.999999999999886</v>
      </c>
      <c r="D1830" s="52">
        <f t="shared" si="200"/>
        <v>2200</v>
      </c>
      <c r="E1830" s="52">
        <f t="shared" si="201"/>
        <v>1</v>
      </c>
      <c r="F1830" s="52"/>
      <c r="G1830" s="52"/>
      <c r="H1830" s="52"/>
      <c r="I1830" s="52"/>
      <c r="J1830" s="52"/>
      <c r="K1830" s="52"/>
      <c r="L1830" s="52"/>
      <c r="M1830" s="52"/>
      <c r="N1830" s="52"/>
      <c r="O1830" s="52"/>
      <c r="P1830" s="52"/>
      <c r="Q1830" s="52"/>
      <c r="R1830" s="52"/>
      <c r="S1830" s="52"/>
      <c r="T1830" s="52"/>
      <c r="U1830" s="52"/>
      <c r="V1830" s="52"/>
      <c r="W1830" s="52"/>
      <c r="X1830" s="52"/>
      <c r="Y1830" s="52"/>
      <c r="Z1830" s="52"/>
      <c r="AA1830" s="52"/>
      <c r="AB1830" s="52"/>
      <c r="AC1830" s="52"/>
      <c r="AD1830" s="52"/>
      <c r="AE1830" s="52"/>
      <c r="AF1830" s="52"/>
      <c r="AG1830" s="52"/>
      <c r="AH1830" s="52"/>
      <c r="AI1830" s="52"/>
      <c r="AJ1830" s="52"/>
      <c r="AK1830" s="52"/>
      <c r="AL1830" s="52"/>
      <c r="AM1830" s="52"/>
      <c r="AN1830" s="52"/>
    </row>
    <row r="1831" spans="1:40" x14ac:dyDescent="0.3">
      <c r="A1831" s="52">
        <v>1826</v>
      </c>
      <c r="B1831" s="52">
        <f>-bthan*500+(25+0.5)*bthan*1000/50</f>
        <v>55</v>
      </c>
      <c r="C1831" s="52">
        <f t="shared" si="202"/>
        <v>-69.999999999999886</v>
      </c>
      <c r="D1831" s="52">
        <f t="shared" si="200"/>
        <v>2200</v>
      </c>
      <c r="E1831" s="52">
        <f t="shared" si="201"/>
        <v>1</v>
      </c>
      <c r="F1831" s="52"/>
      <c r="G1831" s="52"/>
      <c r="H1831" s="52"/>
      <c r="I1831" s="52"/>
      <c r="J1831" s="52"/>
      <c r="K1831" s="52"/>
      <c r="L1831" s="52"/>
      <c r="M1831" s="52"/>
      <c r="N1831" s="52"/>
      <c r="O1831" s="52"/>
      <c r="P1831" s="52"/>
      <c r="Q1831" s="52"/>
      <c r="R1831" s="52"/>
      <c r="S1831" s="52"/>
      <c r="T1831" s="52"/>
      <c r="U1831" s="52"/>
      <c r="V1831" s="52"/>
      <c r="W1831" s="52"/>
      <c r="X1831" s="52"/>
      <c r="Y1831" s="52"/>
      <c r="Z1831" s="52"/>
      <c r="AA1831" s="52"/>
      <c r="AB1831" s="52"/>
      <c r="AC1831" s="52"/>
      <c r="AD1831" s="52"/>
      <c r="AE1831" s="52"/>
      <c r="AF1831" s="52"/>
      <c r="AG1831" s="52"/>
      <c r="AH1831" s="52"/>
      <c r="AI1831" s="52"/>
      <c r="AJ1831" s="52"/>
      <c r="AK1831" s="52"/>
      <c r="AL1831" s="52"/>
      <c r="AM1831" s="52"/>
      <c r="AN1831" s="52"/>
    </row>
    <row r="1832" spans="1:40" x14ac:dyDescent="0.3">
      <c r="A1832" s="52">
        <v>1827</v>
      </c>
      <c r="B1832" s="52">
        <f>-bthan*500+(26+0.5)*bthan*1000/50</f>
        <v>165</v>
      </c>
      <c r="C1832" s="52">
        <f t="shared" si="202"/>
        <v>-69.999999999999886</v>
      </c>
      <c r="D1832" s="52">
        <f t="shared" si="200"/>
        <v>2200</v>
      </c>
      <c r="E1832" s="52">
        <f t="shared" si="201"/>
        <v>1</v>
      </c>
      <c r="F1832" s="52"/>
      <c r="G1832" s="52"/>
      <c r="H1832" s="52"/>
      <c r="I1832" s="52"/>
      <c r="J1832" s="52"/>
      <c r="K1832" s="52"/>
      <c r="L1832" s="52"/>
      <c r="M1832" s="52"/>
      <c r="N1832" s="52"/>
      <c r="O1832" s="52"/>
      <c r="P1832" s="52"/>
      <c r="Q1832" s="52"/>
      <c r="R1832" s="52"/>
      <c r="S1832" s="52"/>
      <c r="T1832" s="52"/>
      <c r="U1832" s="52"/>
      <c r="V1832" s="52"/>
      <c r="W1832" s="52"/>
      <c r="X1832" s="52"/>
      <c r="Y1832" s="52"/>
      <c r="Z1832" s="52"/>
      <c r="AA1832" s="52"/>
      <c r="AB1832" s="52"/>
      <c r="AC1832" s="52"/>
      <c r="AD1832" s="52"/>
      <c r="AE1832" s="52"/>
      <c r="AF1832" s="52"/>
      <c r="AG1832" s="52"/>
      <c r="AH1832" s="52"/>
      <c r="AI1832" s="52"/>
      <c r="AJ1832" s="52"/>
      <c r="AK1832" s="52"/>
      <c r="AL1832" s="52"/>
      <c r="AM1832" s="52"/>
      <c r="AN1832" s="52"/>
    </row>
    <row r="1833" spans="1:40" x14ac:dyDescent="0.3">
      <c r="A1833" s="52">
        <v>1828</v>
      </c>
      <c r="B1833" s="52">
        <f>-bthan*500+(27+0.5)*bthan*1000/50</f>
        <v>275</v>
      </c>
      <c r="C1833" s="52">
        <f t="shared" si="202"/>
        <v>-69.999999999999886</v>
      </c>
      <c r="D1833" s="52">
        <f t="shared" si="200"/>
        <v>2200</v>
      </c>
      <c r="E1833" s="52">
        <f t="shared" si="201"/>
        <v>1</v>
      </c>
      <c r="F1833" s="52"/>
      <c r="G1833" s="52"/>
      <c r="H1833" s="52"/>
      <c r="I1833" s="52"/>
      <c r="J1833" s="52"/>
      <c r="K1833" s="52"/>
      <c r="L1833" s="52"/>
      <c r="M1833" s="52"/>
      <c r="N1833" s="52"/>
      <c r="O1833" s="52"/>
      <c r="P1833" s="52"/>
      <c r="Q1833" s="52"/>
      <c r="R1833" s="52"/>
      <c r="S1833" s="52"/>
      <c r="T1833" s="52"/>
      <c r="U1833" s="52"/>
      <c r="V1833" s="52"/>
      <c r="W1833" s="52"/>
      <c r="X1833" s="52"/>
      <c r="Y1833" s="52"/>
      <c r="Z1833" s="52"/>
      <c r="AA1833" s="52"/>
      <c r="AB1833" s="52"/>
      <c r="AC1833" s="52"/>
      <c r="AD1833" s="52"/>
      <c r="AE1833" s="52"/>
      <c r="AF1833" s="52"/>
      <c r="AG1833" s="52"/>
      <c r="AH1833" s="52"/>
      <c r="AI1833" s="52"/>
      <c r="AJ1833" s="52"/>
      <c r="AK1833" s="52"/>
      <c r="AL1833" s="52"/>
      <c r="AM1833" s="52"/>
      <c r="AN1833" s="52"/>
    </row>
    <row r="1834" spans="1:40" x14ac:dyDescent="0.3">
      <c r="A1834" s="52">
        <v>1829</v>
      </c>
      <c r="B1834" s="52">
        <f>-bthan*500+(28+0.5)*bthan*1000/50</f>
        <v>385</v>
      </c>
      <c r="C1834" s="52">
        <f t="shared" si="202"/>
        <v>-69.999999999999886</v>
      </c>
      <c r="D1834" s="52">
        <f t="shared" si="200"/>
        <v>2200</v>
      </c>
      <c r="E1834" s="52">
        <f t="shared" si="201"/>
        <v>1</v>
      </c>
      <c r="F1834" s="52"/>
      <c r="G1834" s="52"/>
      <c r="H1834" s="52"/>
      <c r="I1834" s="52"/>
      <c r="J1834" s="52"/>
      <c r="K1834" s="52"/>
      <c r="L1834" s="52"/>
      <c r="M1834" s="52"/>
      <c r="N1834" s="52"/>
      <c r="O1834" s="52"/>
      <c r="P1834" s="52"/>
      <c r="Q1834" s="52"/>
      <c r="R1834" s="52"/>
      <c r="S1834" s="52"/>
      <c r="T1834" s="52"/>
      <c r="U1834" s="52"/>
      <c r="V1834" s="52"/>
      <c r="W1834" s="52"/>
      <c r="X1834" s="52"/>
      <c r="Y1834" s="52"/>
      <c r="Z1834" s="52"/>
      <c r="AA1834" s="52"/>
      <c r="AB1834" s="52"/>
      <c r="AC1834" s="52"/>
      <c r="AD1834" s="52"/>
      <c r="AE1834" s="52"/>
      <c r="AF1834" s="52"/>
      <c r="AG1834" s="52"/>
      <c r="AH1834" s="52"/>
      <c r="AI1834" s="52"/>
      <c r="AJ1834" s="52"/>
      <c r="AK1834" s="52"/>
      <c r="AL1834" s="52"/>
      <c r="AM1834" s="52"/>
      <c r="AN1834" s="52"/>
    </row>
    <row r="1835" spans="1:40" x14ac:dyDescent="0.3">
      <c r="A1835" s="52">
        <v>1830</v>
      </c>
      <c r="B1835" s="52">
        <f>-bthan*500+(29+0.5)*bthan*1000/50</f>
        <v>495</v>
      </c>
      <c r="C1835" s="52">
        <f t="shared" si="202"/>
        <v>-69.999999999999886</v>
      </c>
      <c r="D1835" s="52">
        <f t="shared" si="200"/>
        <v>2200</v>
      </c>
      <c r="E1835" s="52">
        <f t="shared" si="201"/>
        <v>1</v>
      </c>
      <c r="F1835" s="52"/>
      <c r="G1835" s="52"/>
      <c r="H1835" s="52"/>
      <c r="I1835" s="52"/>
      <c r="J1835" s="52"/>
      <c r="K1835" s="52"/>
      <c r="L1835" s="52"/>
      <c r="M1835" s="52"/>
      <c r="N1835" s="52"/>
      <c r="O1835" s="52"/>
      <c r="P1835" s="52"/>
      <c r="Q1835" s="52"/>
      <c r="R1835" s="52"/>
      <c r="S1835" s="52"/>
      <c r="T1835" s="52"/>
      <c r="U1835" s="52"/>
      <c r="V1835" s="52"/>
      <c r="W1835" s="52"/>
      <c r="X1835" s="52"/>
      <c r="Y1835" s="52"/>
      <c r="Z1835" s="52"/>
      <c r="AA1835" s="52"/>
      <c r="AB1835" s="52"/>
      <c r="AC1835" s="52"/>
      <c r="AD1835" s="52"/>
      <c r="AE1835" s="52"/>
      <c r="AF1835" s="52"/>
      <c r="AG1835" s="52"/>
      <c r="AH1835" s="52"/>
      <c r="AI1835" s="52"/>
      <c r="AJ1835" s="52"/>
      <c r="AK1835" s="52"/>
      <c r="AL1835" s="52"/>
      <c r="AM1835" s="52"/>
      <c r="AN1835" s="52"/>
    </row>
    <row r="1836" spans="1:40" x14ac:dyDescent="0.3">
      <c r="A1836" s="52">
        <v>1831</v>
      </c>
      <c r="B1836" s="52">
        <f>-bthan*500+(30+0.5)*bthan*1000/50</f>
        <v>605</v>
      </c>
      <c r="C1836" s="52">
        <f t="shared" si="202"/>
        <v>-69.999999999999886</v>
      </c>
      <c r="D1836" s="52">
        <f t="shared" si="200"/>
        <v>2200</v>
      </c>
      <c r="E1836" s="52">
        <f t="shared" si="201"/>
        <v>1</v>
      </c>
      <c r="F1836" s="52"/>
      <c r="G1836" s="52"/>
      <c r="H1836" s="52"/>
      <c r="I1836" s="52"/>
      <c r="J1836" s="52"/>
      <c r="K1836" s="52"/>
      <c r="L1836" s="52"/>
      <c r="M1836" s="52"/>
      <c r="N1836" s="52"/>
      <c r="O1836" s="52"/>
      <c r="P1836" s="52"/>
      <c r="Q1836" s="52"/>
      <c r="R1836" s="52"/>
      <c r="S1836" s="52"/>
      <c r="T1836" s="52"/>
      <c r="U1836" s="52"/>
      <c r="V1836" s="52"/>
      <c r="W1836" s="52"/>
      <c r="X1836" s="52"/>
      <c r="Y1836" s="52"/>
      <c r="Z1836" s="52"/>
      <c r="AA1836" s="52"/>
      <c r="AB1836" s="52"/>
      <c r="AC1836" s="52"/>
      <c r="AD1836" s="52"/>
      <c r="AE1836" s="52"/>
      <c r="AF1836" s="52"/>
      <c r="AG1836" s="52"/>
      <c r="AH1836" s="52"/>
      <c r="AI1836" s="52"/>
      <c r="AJ1836" s="52"/>
      <c r="AK1836" s="52"/>
      <c r="AL1836" s="52"/>
      <c r="AM1836" s="52"/>
      <c r="AN1836" s="52"/>
    </row>
    <row r="1837" spans="1:40" x14ac:dyDescent="0.3">
      <c r="A1837" s="52">
        <v>1832</v>
      </c>
      <c r="B1837" s="52">
        <f>-bthan*500+(31+0.5)*bthan*1000/50</f>
        <v>715</v>
      </c>
      <c r="C1837" s="52">
        <f t="shared" si="202"/>
        <v>-69.999999999999886</v>
      </c>
      <c r="D1837" s="52">
        <f t="shared" si="200"/>
        <v>2200</v>
      </c>
      <c r="E1837" s="52">
        <f t="shared" si="201"/>
        <v>1</v>
      </c>
      <c r="F1837" s="52"/>
      <c r="G1837" s="52"/>
      <c r="H1837" s="52"/>
      <c r="I1837" s="52"/>
      <c r="J1837" s="52"/>
      <c r="K1837" s="52"/>
      <c r="L1837" s="52"/>
      <c r="M1837" s="52"/>
      <c r="N1837" s="52"/>
      <c r="O1837" s="52"/>
      <c r="P1837" s="52"/>
      <c r="Q1837" s="52"/>
      <c r="R1837" s="52"/>
      <c r="S1837" s="52"/>
      <c r="T1837" s="52"/>
      <c r="U1837" s="52"/>
      <c r="V1837" s="52"/>
      <c r="W1837" s="52"/>
      <c r="X1837" s="52"/>
      <c r="Y1837" s="52"/>
      <c r="Z1837" s="52"/>
      <c r="AA1837" s="52"/>
      <c r="AB1837" s="52"/>
      <c r="AC1837" s="52"/>
      <c r="AD1837" s="52"/>
      <c r="AE1837" s="52"/>
      <c r="AF1837" s="52"/>
      <c r="AG1837" s="52"/>
      <c r="AH1837" s="52"/>
      <c r="AI1837" s="52"/>
      <c r="AJ1837" s="52"/>
      <c r="AK1837" s="52"/>
      <c r="AL1837" s="52"/>
      <c r="AM1837" s="52"/>
      <c r="AN1837" s="52"/>
    </row>
    <row r="1838" spans="1:40" x14ac:dyDescent="0.3">
      <c r="A1838" s="52">
        <v>1833</v>
      </c>
      <c r="B1838" s="52">
        <f>-bthan*500+(32+0.5)*bthan*1000/50</f>
        <v>825</v>
      </c>
      <c r="C1838" s="52">
        <f t="shared" ref="C1838:C1855" si="203">-hthan*500+(36+0.5)*hthan*1000/80</f>
        <v>-69.999999999999886</v>
      </c>
      <c r="D1838" s="52">
        <f t="shared" si="200"/>
        <v>2200</v>
      </c>
      <c r="E1838" s="52">
        <f t="shared" si="201"/>
        <v>1</v>
      </c>
      <c r="F1838" s="52"/>
      <c r="G1838" s="52"/>
      <c r="H1838" s="52"/>
      <c r="I1838" s="52"/>
      <c r="J1838" s="52"/>
      <c r="K1838" s="52"/>
      <c r="L1838" s="52"/>
      <c r="M1838" s="52"/>
      <c r="N1838" s="52"/>
      <c r="O1838" s="52"/>
      <c r="P1838" s="52"/>
      <c r="Q1838" s="52"/>
      <c r="R1838" s="52"/>
      <c r="S1838" s="52"/>
      <c r="T1838" s="52"/>
      <c r="U1838" s="52"/>
      <c r="V1838" s="52"/>
      <c r="W1838" s="52"/>
      <c r="X1838" s="52"/>
      <c r="Y1838" s="52"/>
      <c r="Z1838" s="52"/>
      <c r="AA1838" s="52"/>
      <c r="AB1838" s="52"/>
      <c r="AC1838" s="52"/>
      <c r="AD1838" s="52"/>
      <c r="AE1838" s="52"/>
      <c r="AF1838" s="52"/>
      <c r="AG1838" s="52"/>
      <c r="AH1838" s="52"/>
      <c r="AI1838" s="52"/>
      <c r="AJ1838" s="52"/>
      <c r="AK1838" s="52"/>
      <c r="AL1838" s="52"/>
      <c r="AM1838" s="52"/>
      <c r="AN1838" s="52"/>
    </row>
    <row r="1839" spans="1:40" x14ac:dyDescent="0.3">
      <c r="A1839" s="52">
        <v>1834</v>
      </c>
      <c r="B1839" s="52">
        <f>-bthan*500+(33+0.5)*bthan*1000/50</f>
        <v>935</v>
      </c>
      <c r="C1839" s="52">
        <f t="shared" si="203"/>
        <v>-69.999999999999886</v>
      </c>
      <c r="D1839" s="52">
        <f t="shared" si="200"/>
        <v>2200</v>
      </c>
      <c r="E1839" s="52">
        <f t="shared" si="201"/>
        <v>1</v>
      </c>
      <c r="F1839" s="52"/>
      <c r="G1839" s="52"/>
      <c r="H1839" s="52"/>
      <c r="I1839" s="52"/>
      <c r="J1839" s="52"/>
      <c r="K1839" s="52"/>
      <c r="L1839" s="52"/>
      <c r="M1839" s="52"/>
      <c r="N1839" s="52"/>
      <c r="O1839" s="52"/>
      <c r="P1839" s="52"/>
      <c r="Q1839" s="52"/>
      <c r="R1839" s="52"/>
      <c r="S1839" s="52"/>
      <c r="T1839" s="52"/>
      <c r="U1839" s="52"/>
      <c r="V1839" s="52"/>
      <c r="W1839" s="52"/>
      <c r="X1839" s="52"/>
      <c r="Y1839" s="52"/>
      <c r="Z1839" s="52"/>
      <c r="AA1839" s="52"/>
      <c r="AB1839" s="52"/>
      <c r="AC1839" s="52"/>
      <c r="AD1839" s="52"/>
      <c r="AE1839" s="52"/>
      <c r="AF1839" s="52"/>
      <c r="AG1839" s="52"/>
      <c r="AH1839" s="52"/>
      <c r="AI1839" s="52"/>
      <c r="AJ1839" s="52"/>
      <c r="AK1839" s="52"/>
      <c r="AL1839" s="52"/>
      <c r="AM1839" s="52"/>
      <c r="AN1839" s="52"/>
    </row>
    <row r="1840" spans="1:40" x14ac:dyDescent="0.3">
      <c r="A1840" s="52">
        <v>1835</v>
      </c>
      <c r="B1840" s="52">
        <f>-bthan*500+(34+0.5)*bthan*1000/50</f>
        <v>1045</v>
      </c>
      <c r="C1840" s="52">
        <f t="shared" si="203"/>
        <v>-69.999999999999886</v>
      </c>
      <c r="D1840" s="52">
        <f t="shared" si="200"/>
        <v>2200</v>
      </c>
      <c r="E1840" s="52">
        <f t="shared" si="201"/>
        <v>1</v>
      </c>
      <c r="F1840" s="52"/>
      <c r="G1840" s="52"/>
      <c r="H1840" s="52"/>
      <c r="I1840" s="52"/>
      <c r="J1840" s="52"/>
      <c r="K1840" s="52"/>
      <c r="L1840" s="52"/>
      <c r="M1840" s="52"/>
      <c r="N1840" s="52"/>
      <c r="O1840" s="52"/>
      <c r="P1840" s="52"/>
      <c r="Q1840" s="52"/>
      <c r="R1840" s="52"/>
      <c r="S1840" s="52"/>
      <c r="T1840" s="52"/>
      <c r="U1840" s="52"/>
      <c r="V1840" s="52"/>
      <c r="W1840" s="52"/>
      <c r="X1840" s="52"/>
      <c r="Y1840" s="52"/>
      <c r="Z1840" s="52"/>
      <c r="AA1840" s="52"/>
      <c r="AB1840" s="52"/>
      <c r="AC1840" s="52"/>
      <c r="AD1840" s="52"/>
      <c r="AE1840" s="52"/>
      <c r="AF1840" s="52"/>
      <c r="AG1840" s="52"/>
      <c r="AH1840" s="52"/>
      <c r="AI1840" s="52"/>
      <c r="AJ1840" s="52"/>
      <c r="AK1840" s="52"/>
      <c r="AL1840" s="52"/>
      <c r="AM1840" s="52"/>
      <c r="AN1840" s="52"/>
    </row>
    <row r="1841" spans="1:40" x14ac:dyDescent="0.3">
      <c r="A1841" s="52">
        <v>1836</v>
      </c>
      <c r="B1841" s="52">
        <f>-bthan*500+(35+0.5)*bthan*1000/50</f>
        <v>1155</v>
      </c>
      <c r="C1841" s="52">
        <f t="shared" si="203"/>
        <v>-69.999999999999886</v>
      </c>
      <c r="D1841" s="52">
        <f t="shared" si="200"/>
        <v>2200</v>
      </c>
      <c r="E1841" s="52">
        <f t="shared" si="201"/>
        <v>1</v>
      </c>
      <c r="F1841" s="52"/>
      <c r="G1841" s="52"/>
      <c r="H1841" s="52"/>
      <c r="I1841" s="52"/>
      <c r="J1841" s="52"/>
      <c r="K1841" s="52"/>
      <c r="L1841" s="52"/>
      <c r="M1841" s="52"/>
      <c r="N1841" s="52"/>
      <c r="O1841" s="52"/>
      <c r="P1841" s="52"/>
      <c r="Q1841" s="52"/>
      <c r="R1841" s="52"/>
      <c r="S1841" s="52"/>
      <c r="T1841" s="52"/>
      <c r="U1841" s="52"/>
      <c r="V1841" s="52"/>
      <c r="W1841" s="52"/>
      <c r="X1841" s="52"/>
      <c r="Y1841" s="52"/>
      <c r="Z1841" s="52"/>
      <c r="AA1841" s="52"/>
      <c r="AB1841" s="52"/>
      <c r="AC1841" s="52"/>
      <c r="AD1841" s="52"/>
      <c r="AE1841" s="52"/>
      <c r="AF1841" s="52"/>
      <c r="AG1841" s="52"/>
      <c r="AH1841" s="52"/>
      <c r="AI1841" s="52"/>
      <c r="AJ1841" s="52"/>
      <c r="AK1841" s="52"/>
      <c r="AL1841" s="52"/>
      <c r="AM1841" s="52"/>
      <c r="AN1841" s="52"/>
    </row>
    <row r="1842" spans="1:40" x14ac:dyDescent="0.3">
      <c r="A1842" s="52">
        <v>1837</v>
      </c>
      <c r="B1842" s="52">
        <f>-bthan*500+(36+0.5)*bthan*1000/50</f>
        <v>1265</v>
      </c>
      <c r="C1842" s="52">
        <f t="shared" si="203"/>
        <v>-69.999999999999886</v>
      </c>
      <c r="D1842" s="52">
        <f t="shared" si="200"/>
        <v>2200</v>
      </c>
      <c r="E1842" s="52">
        <f t="shared" si="201"/>
        <v>1</v>
      </c>
      <c r="F1842" s="52"/>
      <c r="G1842" s="52"/>
      <c r="H1842" s="52"/>
      <c r="I1842" s="52"/>
      <c r="J1842" s="52"/>
      <c r="K1842" s="52"/>
      <c r="L1842" s="52"/>
      <c r="M1842" s="52"/>
      <c r="N1842" s="52"/>
      <c r="O1842" s="52"/>
      <c r="P1842" s="52"/>
      <c r="Q1842" s="52"/>
      <c r="R1842" s="52"/>
      <c r="S1842" s="52"/>
      <c r="T1842" s="52"/>
      <c r="U1842" s="52"/>
      <c r="V1842" s="52"/>
      <c r="W1842" s="52"/>
      <c r="X1842" s="52"/>
      <c r="Y1842" s="52"/>
      <c r="Z1842" s="52"/>
      <c r="AA1842" s="52"/>
      <c r="AB1842" s="52"/>
      <c r="AC1842" s="52"/>
      <c r="AD1842" s="52"/>
      <c r="AE1842" s="52"/>
      <c r="AF1842" s="52"/>
      <c r="AG1842" s="52"/>
      <c r="AH1842" s="52"/>
      <c r="AI1842" s="52"/>
      <c r="AJ1842" s="52"/>
      <c r="AK1842" s="52"/>
      <c r="AL1842" s="52"/>
      <c r="AM1842" s="52"/>
      <c r="AN1842" s="52"/>
    </row>
    <row r="1843" spans="1:40" x14ac:dyDescent="0.3">
      <c r="A1843" s="52">
        <v>1838</v>
      </c>
      <c r="B1843" s="52">
        <f>-bthan*500+(37+0.5)*bthan*1000/50</f>
        <v>1375</v>
      </c>
      <c r="C1843" s="52">
        <f t="shared" si="203"/>
        <v>-69.999999999999886</v>
      </c>
      <c r="D1843" s="52">
        <f t="shared" si="200"/>
        <v>2200</v>
      </c>
      <c r="E1843" s="52">
        <f t="shared" si="201"/>
        <v>1</v>
      </c>
      <c r="F1843" s="52"/>
      <c r="G1843" s="52"/>
      <c r="H1843" s="52"/>
      <c r="I1843" s="52"/>
      <c r="J1843" s="52"/>
      <c r="K1843" s="52"/>
      <c r="L1843" s="52"/>
      <c r="M1843" s="52"/>
      <c r="N1843" s="52"/>
      <c r="O1843" s="52"/>
      <c r="P1843" s="52"/>
      <c r="Q1843" s="52"/>
      <c r="R1843" s="52"/>
      <c r="S1843" s="52"/>
      <c r="T1843" s="52"/>
      <c r="U1843" s="52"/>
      <c r="V1843" s="52"/>
      <c r="W1843" s="52"/>
      <c r="X1843" s="52"/>
      <c r="Y1843" s="52"/>
      <c r="Z1843" s="52"/>
      <c r="AA1843" s="52"/>
      <c r="AB1843" s="52"/>
      <c r="AC1843" s="52"/>
      <c r="AD1843" s="52"/>
      <c r="AE1843" s="52"/>
      <c r="AF1843" s="52"/>
      <c r="AG1843" s="52"/>
      <c r="AH1843" s="52"/>
      <c r="AI1843" s="52"/>
      <c r="AJ1843" s="52"/>
      <c r="AK1843" s="52"/>
      <c r="AL1843" s="52"/>
      <c r="AM1843" s="52"/>
      <c r="AN1843" s="52"/>
    </row>
    <row r="1844" spans="1:40" x14ac:dyDescent="0.3">
      <c r="A1844" s="52">
        <v>1839</v>
      </c>
      <c r="B1844" s="52">
        <f>-bthan*500+(38+0.5)*bthan*1000/50</f>
        <v>1485</v>
      </c>
      <c r="C1844" s="52">
        <f t="shared" si="203"/>
        <v>-69.999999999999886</v>
      </c>
      <c r="D1844" s="52">
        <f t="shared" si="200"/>
        <v>2200</v>
      </c>
      <c r="E1844" s="52">
        <f t="shared" si="201"/>
        <v>1</v>
      </c>
      <c r="F1844" s="52"/>
      <c r="G1844" s="52"/>
      <c r="H1844" s="52"/>
      <c r="I1844" s="52"/>
      <c r="J1844" s="52"/>
      <c r="K1844" s="52"/>
      <c r="L1844" s="52"/>
      <c r="M1844" s="52"/>
      <c r="N1844" s="52"/>
      <c r="O1844" s="52"/>
      <c r="P1844" s="52"/>
      <c r="Q1844" s="52"/>
      <c r="R1844" s="52"/>
      <c r="S1844" s="52"/>
      <c r="T1844" s="52"/>
      <c r="U1844" s="52"/>
      <c r="V1844" s="52"/>
      <c r="W1844" s="52"/>
      <c r="X1844" s="52"/>
      <c r="Y1844" s="52"/>
      <c r="Z1844" s="52"/>
      <c r="AA1844" s="52"/>
      <c r="AB1844" s="52"/>
      <c r="AC1844" s="52"/>
      <c r="AD1844" s="52"/>
      <c r="AE1844" s="52"/>
      <c r="AF1844" s="52"/>
      <c r="AG1844" s="52"/>
      <c r="AH1844" s="52"/>
      <c r="AI1844" s="52"/>
      <c r="AJ1844" s="52"/>
      <c r="AK1844" s="52"/>
      <c r="AL1844" s="52"/>
      <c r="AM1844" s="52"/>
      <c r="AN1844" s="52"/>
    </row>
    <row r="1845" spans="1:40" x14ac:dyDescent="0.3">
      <c r="A1845" s="52">
        <v>1840</v>
      </c>
      <c r="B1845" s="52">
        <f>-bthan*500+(39+0.5)*bthan*1000/50</f>
        <v>1595</v>
      </c>
      <c r="C1845" s="52">
        <f t="shared" si="203"/>
        <v>-69.999999999999886</v>
      </c>
      <c r="D1845" s="52">
        <f t="shared" si="200"/>
        <v>2200</v>
      </c>
      <c r="E1845" s="52">
        <f t="shared" si="201"/>
        <v>1</v>
      </c>
      <c r="F1845" s="52"/>
      <c r="G1845" s="52"/>
      <c r="H1845" s="52"/>
      <c r="I1845" s="52"/>
      <c r="J1845" s="52"/>
      <c r="K1845" s="52"/>
      <c r="L1845" s="52"/>
      <c r="M1845" s="52"/>
      <c r="N1845" s="52"/>
      <c r="O1845" s="52"/>
      <c r="P1845" s="52"/>
      <c r="Q1845" s="52"/>
      <c r="R1845" s="52"/>
      <c r="S1845" s="52"/>
      <c r="T1845" s="52"/>
      <c r="U1845" s="52"/>
      <c r="V1845" s="52"/>
      <c r="W1845" s="52"/>
      <c r="X1845" s="52"/>
      <c r="Y1845" s="52"/>
      <c r="Z1845" s="52"/>
      <c r="AA1845" s="52"/>
      <c r="AB1845" s="52"/>
      <c r="AC1845" s="52"/>
      <c r="AD1845" s="52"/>
      <c r="AE1845" s="52"/>
      <c r="AF1845" s="52"/>
      <c r="AG1845" s="52"/>
      <c r="AH1845" s="52"/>
      <c r="AI1845" s="52"/>
      <c r="AJ1845" s="52"/>
      <c r="AK1845" s="52"/>
      <c r="AL1845" s="52"/>
      <c r="AM1845" s="52"/>
      <c r="AN1845" s="52"/>
    </row>
    <row r="1846" spans="1:40" x14ac:dyDescent="0.3">
      <c r="A1846" s="52">
        <v>1841</v>
      </c>
      <c r="B1846" s="52">
        <f>-bthan*500+(40+0.5)*bthan*1000/50</f>
        <v>1705</v>
      </c>
      <c r="C1846" s="52">
        <f t="shared" si="203"/>
        <v>-69.999999999999886</v>
      </c>
      <c r="D1846" s="52">
        <f t="shared" si="200"/>
        <v>2200</v>
      </c>
      <c r="E1846" s="52">
        <f t="shared" si="201"/>
        <v>1</v>
      </c>
      <c r="F1846" s="52"/>
      <c r="G1846" s="52"/>
      <c r="H1846" s="52"/>
      <c r="I1846" s="52"/>
      <c r="J1846" s="52"/>
      <c r="K1846" s="52"/>
      <c r="L1846" s="52"/>
      <c r="M1846" s="52"/>
      <c r="N1846" s="52"/>
      <c r="O1846" s="52"/>
      <c r="P1846" s="52"/>
      <c r="Q1846" s="52"/>
      <c r="R1846" s="52"/>
      <c r="S1846" s="52"/>
      <c r="T1846" s="52"/>
      <c r="U1846" s="52"/>
      <c r="V1846" s="52"/>
      <c r="W1846" s="52"/>
      <c r="X1846" s="52"/>
      <c r="Y1846" s="52"/>
      <c r="Z1846" s="52"/>
      <c r="AA1846" s="52"/>
      <c r="AB1846" s="52"/>
      <c r="AC1846" s="52"/>
      <c r="AD1846" s="52"/>
      <c r="AE1846" s="52"/>
      <c r="AF1846" s="52"/>
      <c r="AG1846" s="52"/>
      <c r="AH1846" s="52"/>
      <c r="AI1846" s="52"/>
      <c r="AJ1846" s="52"/>
      <c r="AK1846" s="52"/>
      <c r="AL1846" s="52"/>
      <c r="AM1846" s="52"/>
      <c r="AN1846" s="52"/>
    </row>
    <row r="1847" spans="1:40" x14ac:dyDescent="0.3">
      <c r="A1847" s="52">
        <v>1842</v>
      </c>
      <c r="B1847" s="52">
        <f>-bthan*500+(41+0.5)*bthan*1000/50</f>
        <v>1815</v>
      </c>
      <c r="C1847" s="52">
        <f t="shared" si="203"/>
        <v>-69.999999999999886</v>
      </c>
      <c r="D1847" s="52">
        <f t="shared" si="200"/>
        <v>2200</v>
      </c>
      <c r="E1847" s="52">
        <f t="shared" si="201"/>
        <v>1</v>
      </c>
      <c r="F1847" s="52"/>
      <c r="G1847" s="52"/>
      <c r="H1847" s="52"/>
      <c r="I1847" s="52"/>
      <c r="J1847" s="52"/>
      <c r="K1847" s="52"/>
      <c r="L1847" s="52"/>
      <c r="M1847" s="52"/>
      <c r="N1847" s="52"/>
      <c r="O1847" s="52"/>
      <c r="P1847" s="52"/>
      <c r="Q1847" s="52"/>
      <c r="R1847" s="52"/>
      <c r="S1847" s="52"/>
      <c r="T1847" s="52"/>
      <c r="U1847" s="52"/>
      <c r="V1847" s="52"/>
      <c r="W1847" s="52"/>
      <c r="X1847" s="52"/>
      <c r="Y1847" s="52"/>
      <c r="Z1847" s="52"/>
      <c r="AA1847" s="52"/>
      <c r="AB1847" s="52"/>
      <c r="AC1847" s="52"/>
      <c r="AD1847" s="52"/>
      <c r="AE1847" s="52"/>
      <c r="AF1847" s="52"/>
      <c r="AG1847" s="52"/>
      <c r="AH1847" s="52"/>
      <c r="AI1847" s="52"/>
      <c r="AJ1847" s="52"/>
      <c r="AK1847" s="52"/>
      <c r="AL1847" s="52"/>
      <c r="AM1847" s="52"/>
      <c r="AN1847" s="52"/>
    </row>
    <row r="1848" spans="1:40" x14ac:dyDescent="0.3">
      <c r="A1848" s="52">
        <v>1843</v>
      </c>
      <c r="B1848" s="52">
        <f>-bthan*500+(42+0.5)*bthan*1000/50</f>
        <v>1925</v>
      </c>
      <c r="C1848" s="52">
        <f t="shared" si="203"/>
        <v>-69.999999999999886</v>
      </c>
      <c r="D1848" s="52">
        <f t="shared" si="200"/>
        <v>2200</v>
      </c>
      <c r="E1848" s="52">
        <f t="shared" si="201"/>
        <v>1</v>
      </c>
      <c r="F1848" s="52"/>
      <c r="G1848" s="52"/>
      <c r="H1848" s="52"/>
      <c r="I1848" s="52"/>
      <c r="J1848" s="52"/>
      <c r="K1848" s="52"/>
      <c r="L1848" s="52"/>
      <c r="M1848" s="52"/>
      <c r="N1848" s="52"/>
      <c r="O1848" s="52"/>
      <c r="P1848" s="52"/>
      <c r="Q1848" s="52"/>
      <c r="R1848" s="52"/>
      <c r="S1848" s="52"/>
      <c r="T1848" s="52"/>
      <c r="U1848" s="52"/>
      <c r="V1848" s="52"/>
      <c r="W1848" s="52"/>
      <c r="X1848" s="52"/>
      <c r="Y1848" s="52"/>
      <c r="Z1848" s="52"/>
      <c r="AA1848" s="52"/>
      <c r="AB1848" s="52"/>
      <c r="AC1848" s="52"/>
      <c r="AD1848" s="52"/>
      <c r="AE1848" s="52"/>
      <c r="AF1848" s="52"/>
      <c r="AG1848" s="52"/>
      <c r="AH1848" s="52"/>
      <c r="AI1848" s="52"/>
      <c r="AJ1848" s="52"/>
      <c r="AK1848" s="52"/>
      <c r="AL1848" s="52"/>
      <c r="AM1848" s="52"/>
      <c r="AN1848" s="52"/>
    </row>
    <row r="1849" spans="1:40" x14ac:dyDescent="0.3">
      <c r="A1849" s="52">
        <v>1844</v>
      </c>
      <c r="B1849" s="52">
        <f>-bthan*500+(43+0.5)*bthan*1000/50</f>
        <v>2035</v>
      </c>
      <c r="C1849" s="52">
        <f t="shared" si="203"/>
        <v>-69.999999999999886</v>
      </c>
      <c r="D1849" s="52">
        <f t="shared" si="200"/>
        <v>2200</v>
      </c>
      <c r="E1849" s="52">
        <f t="shared" si="201"/>
        <v>1</v>
      </c>
      <c r="F1849" s="52"/>
      <c r="G1849" s="52"/>
      <c r="H1849" s="52"/>
      <c r="I1849" s="52"/>
      <c r="J1849" s="52"/>
      <c r="K1849" s="52"/>
      <c r="L1849" s="52"/>
      <c r="M1849" s="52"/>
      <c r="N1849" s="52"/>
      <c r="O1849" s="52"/>
      <c r="P1849" s="52"/>
      <c r="Q1849" s="52"/>
      <c r="R1849" s="52"/>
      <c r="S1849" s="52"/>
      <c r="T1849" s="52"/>
      <c r="U1849" s="52"/>
      <c r="V1849" s="52"/>
      <c r="W1849" s="52"/>
      <c r="X1849" s="52"/>
      <c r="Y1849" s="52"/>
      <c r="Z1849" s="52"/>
      <c r="AA1849" s="52"/>
      <c r="AB1849" s="52"/>
      <c r="AC1849" s="52"/>
      <c r="AD1849" s="52"/>
      <c r="AE1849" s="52"/>
      <c r="AF1849" s="52"/>
      <c r="AG1849" s="52"/>
      <c r="AH1849" s="52"/>
      <c r="AI1849" s="52"/>
      <c r="AJ1849" s="52"/>
      <c r="AK1849" s="52"/>
      <c r="AL1849" s="52"/>
      <c r="AM1849" s="52"/>
      <c r="AN1849" s="52"/>
    </row>
    <row r="1850" spans="1:40" x14ac:dyDescent="0.3">
      <c r="A1850" s="52">
        <v>1845</v>
      </c>
      <c r="B1850" s="52">
        <f>-bthan*500+(44+0.5)*bthan*1000/50</f>
        <v>2145</v>
      </c>
      <c r="C1850" s="52">
        <f t="shared" si="203"/>
        <v>-69.999999999999886</v>
      </c>
      <c r="D1850" s="52">
        <f t="shared" si="200"/>
        <v>2200</v>
      </c>
      <c r="E1850" s="52">
        <f t="shared" si="201"/>
        <v>1</v>
      </c>
      <c r="F1850" s="52"/>
      <c r="G1850" s="52"/>
      <c r="H1850" s="52"/>
      <c r="I1850" s="52"/>
      <c r="J1850" s="52"/>
      <c r="K1850" s="52"/>
      <c r="L1850" s="52"/>
      <c r="M1850" s="52"/>
      <c r="N1850" s="52"/>
      <c r="O1850" s="52"/>
      <c r="P1850" s="52"/>
      <c r="Q1850" s="52"/>
      <c r="R1850" s="52"/>
      <c r="S1850" s="52"/>
      <c r="T1850" s="52"/>
      <c r="U1850" s="52"/>
      <c r="V1850" s="52"/>
      <c r="W1850" s="52"/>
      <c r="X1850" s="52"/>
      <c r="Y1850" s="52"/>
      <c r="Z1850" s="52"/>
      <c r="AA1850" s="52"/>
      <c r="AB1850" s="52"/>
      <c r="AC1850" s="52"/>
      <c r="AD1850" s="52"/>
      <c r="AE1850" s="52"/>
      <c r="AF1850" s="52"/>
      <c r="AG1850" s="52"/>
      <c r="AH1850" s="52"/>
      <c r="AI1850" s="52"/>
      <c r="AJ1850" s="52"/>
      <c r="AK1850" s="52"/>
      <c r="AL1850" s="52"/>
      <c r="AM1850" s="52"/>
      <c r="AN1850" s="52"/>
    </row>
    <row r="1851" spans="1:40" x14ac:dyDescent="0.3">
      <c r="A1851" s="52">
        <v>1846</v>
      </c>
      <c r="B1851" s="52">
        <f>-bthan*500+(45+0.5)*bthan*1000/50</f>
        <v>2255</v>
      </c>
      <c r="C1851" s="52">
        <f t="shared" si="203"/>
        <v>-69.999999999999886</v>
      </c>
      <c r="D1851" s="52">
        <f t="shared" si="200"/>
        <v>2200</v>
      </c>
      <c r="E1851" s="52">
        <f t="shared" si="201"/>
        <v>1</v>
      </c>
      <c r="F1851" s="52"/>
      <c r="G1851" s="52"/>
      <c r="H1851" s="52"/>
      <c r="I1851" s="52"/>
      <c r="J1851" s="52"/>
      <c r="K1851" s="52"/>
      <c r="L1851" s="52"/>
      <c r="M1851" s="52"/>
      <c r="N1851" s="52"/>
      <c r="O1851" s="52"/>
      <c r="P1851" s="52"/>
      <c r="Q1851" s="52"/>
      <c r="R1851" s="52"/>
      <c r="S1851" s="52"/>
      <c r="T1851" s="52"/>
      <c r="U1851" s="52"/>
      <c r="V1851" s="52"/>
      <c r="W1851" s="52"/>
      <c r="X1851" s="52"/>
      <c r="Y1851" s="52"/>
      <c r="Z1851" s="52"/>
      <c r="AA1851" s="52"/>
      <c r="AB1851" s="52"/>
      <c r="AC1851" s="52"/>
      <c r="AD1851" s="52"/>
      <c r="AE1851" s="52"/>
      <c r="AF1851" s="52"/>
      <c r="AG1851" s="52"/>
      <c r="AH1851" s="52"/>
      <c r="AI1851" s="52"/>
      <c r="AJ1851" s="52"/>
      <c r="AK1851" s="52"/>
      <c r="AL1851" s="52"/>
      <c r="AM1851" s="52"/>
      <c r="AN1851" s="52"/>
    </row>
    <row r="1852" spans="1:40" x14ac:dyDescent="0.3">
      <c r="A1852" s="52">
        <v>1847</v>
      </c>
      <c r="B1852" s="52">
        <f>-bthan*500+(46+0.5)*bthan*1000/50</f>
        <v>2365</v>
      </c>
      <c r="C1852" s="52">
        <f t="shared" si="203"/>
        <v>-69.999999999999886</v>
      </c>
      <c r="D1852" s="52">
        <f t="shared" si="200"/>
        <v>2200</v>
      </c>
      <c r="E1852" s="52">
        <f t="shared" si="201"/>
        <v>1</v>
      </c>
      <c r="F1852" s="52"/>
      <c r="G1852" s="52"/>
      <c r="H1852" s="52"/>
      <c r="I1852" s="52"/>
      <c r="J1852" s="52"/>
      <c r="K1852" s="52"/>
      <c r="L1852" s="52"/>
      <c r="M1852" s="52"/>
      <c r="N1852" s="52"/>
      <c r="O1852" s="52"/>
      <c r="P1852" s="52"/>
      <c r="Q1852" s="52"/>
      <c r="R1852" s="52"/>
      <c r="S1852" s="52"/>
      <c r="T1852" s="52"/>
      <c r="U1852" s="52"/>
      <c r="V1852" s="52"/>
      <c r="W1852" s="52"/>
      <c r="X1852" s="52"/>
      <c r="Y1852" s="52"/>
      <c r="Z1852" s="52"/>
      <c r="AA1852" s="52"/>
      <c r="AB1852" s="52"/>
      <c r="AC1852" s="52"/>
      <c r="AD1852" s="52"/>
      <c r="AE1852" s="52"/>
      <c r="AF1852" s="52"/>
      <c r="AG1852" s="52"/>
      <c r="AH1852" s="52"/>
      <c r="AI1852" s="52"/>
      <c r="AJ1852" s="52"/>
      <c r="AK1852" s="52"/>
      <c r="AL1852" s="52"/>
      <c r="AM1852" s="52"/>
      <c r="AN1852" s="52"/>
    </row>
    <row r="1853" spans="1:40" x14ac:dyDescent="0.3">
      <c r="A1853" s="52">
        <v>1848</v>
      </c>
      <c r="B1853" s="52">
        <f>-bthan*500+(47+0.5)*bthan*1000/50</f>
        <v>2475</v>
      </c>
      <c r="C1853" s="52">
        <f t="shared" si="203"/>
        <v>-69.999999999999886</v>
      </c>
      <c r="D1853" s="52">
        <f t="shared" si="200"/>
        <v>2200</v>
      </c>
      <c r="E1853" s="52">
        <f t="shared" si="201"/>
        <v>1</v>
      </c>
      <c r="F1853" s="52"/>
      <c r="G1853" s="52"/>
      <c r="H1853" s="52"/>
      <c r="I1853" s="52"/>
      <c r="J1853" s="52"/>
      <c r="K1853" s="52"/>
      <c r="L1853" s="52"/>
      <c r="M1853" s="52"/>
      <c r="N1853" s="52"/>
      <c r="O1853" s="52"/>
      <c r="P1853" s="52"/>
      <c r="Q1853" s="52"/>
      <c r="R1853" s="52"/>
      <c r="S1853" s="52"/>
      <c r="T1853" s="52"/>
      <c r="U1853" s="52"/>
      <c r="V1853" s="52"/>
      <c r="W1853" s="52"/>
      <c r="X1853" s="52"/>
      <c r="Y1853" s="52"/>
      <c r="Z1853" s="52"/>
      <c r="AA1853" s="52"/>
      <c r="AB1853" s="52"/>
      <c r="AC1853" s="52"/>
      <c r="AD1853" s="52"/>
      <c r="AE1853" s="52"/>
      <c r="AF1853" s="52"/>
      <c r="AG1853" s="52"/>
      <c r="AH1853" s="52"/>
      <c r="AI1853" s="52"/>
      <c r="AJ1853" s="52"/>
      <c r="AK1853" s="52"/>
      <c r="AL1853" s="52"/>
      <c r="AM1853" s="52"/>
      <c r="AN1853" s="52"/>
    </row>
    <row r="1854" spans="1:40" x14ac:dyDescent="0.3">
      <c r="A1854" s="52">
        <v>1849</v>
      </c>
      <c r="B1854" s="52">
        <f>-bthan*500+(48+0.5)*bthan*1000/50</f>
        <v>2585</v>
      </c>
      <c r="C1854" s="52">
        <f t="shared" si="203"/>
        <v>-69.999999999999886</v>
      </c>
      <c r="D1854" s="52">
        <f t="shared" si="200"/>
        <v>2200</v>
      </c>
      <c r="E1854" s="52">
        <f t="shared" si="201"/>
        <v>1</v>
      </c>
      <c r="F1854" s="52"/>
      <c r="G1854" s="52"/>
      <c r="H1854" s="52"/>
      <c r="I1854" s="52"/>
      <c r="J1854" s="52"/>
      <c r="K1854" s="52"/>
      <c r="L1854" s="52"/>
      <c r="M1854" s="52"/>
      <c r="N1854" s="52"/>
      <c r="O1854" s="52"/>
      <c r="P1854" s="52"/>
      <c r="Q1854" s="52"/>
      <c r="R1854" s="52"/>
      <c r="S1854" s="52"/>
      <c r="T1854" s="52"/>
      <c r="U1854" s="52"/>
      <c r="V1854" s="52"/>
      <c r="W1854" s="52"/>
      <c r="X1854" s="52"/>
      <c r="Y1854" s="52"/>
      <c r="Z1854" s="52"/>
      <c r="AA1854" s="52"/>
      <c r="AB1854" s="52"/>
      <c r="AC1854" s="52"/>
      <c r="AD1854" s="52"/>
      <c r="AE1854" s="52"/>
      <c r="AF1854" s="52"/>
      <c r="AG1854" s="52"/>
      <c r="AH1854" s="52"/>
      <c r="AI1854" s="52"/>
      <c r="AJ1854" s="52"/>
      <c r="AK1854" s="52"/>
      <c r="AL1854" s="52"/>
      <c r="AM1854" s="52"/>
      <c r="AN1854" s="52"/>
    </row>
    <row r="1855" spans="1:40" x14ac:dyDescent="0.3">
      <c r="A1855" s="52">
        <v>1850</v>
      </c>
      <c r="B1855" s="52">
        <f>-bthan*500+(49+0.5)*bthan*1000/50</f>
        <v>2695</v>
      </c>
      <c r="C1855" s="52">
        <f t="shared" si="203"/>
        <v>-69.999999999999886</v>
      </c>
      <c r="D1855" s="52">
        <f t="shared" si="200"/>
        <v>2200</v>
      </c>
      <c r="E1855" s="52">
        <f t="shared" si="201"/>
        <v>1</v>
      </c>
      <c r="F1855" s="52"/>
      <c r="G1855" s="52"/>
      <c r="H1855" s="52"/>
      <c r="I1855" s="52"/>
      <c r="J1855" s="52"/>
      <c r="K1855" s="52"/>
      <c r="L1855" s="52"/>
      <c r="M1855" s="52"/>
      <c r="N1855" s="52"/>
      <c r="O1855" s="52"/>
      <c r="P1855" s="52"/>
      <c r="Q1855" s="52"/>
      <c r="R1855" s="52"/>
      <c r="S1855" s="52"/>
      <c r="T1855" s="52"/>
      <c r="U1855" s="52"/>
      <c r="V1855" s="52"/>
      <c r="W1855" s="52"/>
      <c r="X1855" s="52"/>
      <c r="Y1855" s="52"/>
      <c r="Z1855" s="52"/>
      <c r="AA1855" s="52"/>
      <c r="AB1855" s="52"/>
      <c r="AC1855" s="52"/>
      <c r="AD1855" s="52"/>
      <c r="AE1855" s="52"/>
      <c r="AF1855" s="52"/>
      <c r="AG1855" s="52"/>
      <c r="AH1855" s="52"/>
      <c r="AI1855" s="52"/>
      <c r="AJ1855" s="52"/>
      <c r="AK1855" s="52"/>
      <c r="AL1855" s="52"/>
      <c r="AM1855" s="52"/>
      <c r="AN1855" s="52"/>
    </row>
    <row r="1856" spans="1:40" x14ac:dyDescent="0.3">
      <c r="A1856" s="52">
        <v>1851</v>
      </c>
      <c r="B1856" s="52">
        <f>-bthan*500+(0+0.5)*bthan*1000/50</f>
        <v>-2695</v>
      </c>
      <c r="C1856" s="52">
        <f t="shared" ref="C1856:C1887" si="204">-hthan*500+(37+0.5)*hthan*1000/80</f>
        <v>-50</v>
      </c>
      <c r="D1856" s="52">
        <f t="shared" si="200"/>
        <v>2200</v>
      </c>
      <c r="E1856" s="52">
        <f t="shared" si="201"/>
        <v>1</v>
      </c>
      <c r="F1856" s="52"/>
      <c r="G1856" s="52"/>
      <c r="H1856" s="52"/>
      <c r="I1856" s="52"/>
      <c r="J1856" s="52"/>
      <c r="K1856" s="52"/>
      <c r="L1856" s="52"/>
      <c r="M1856" s="52"/>
      <c r="N1856" s="52"/>
      <c r="O1856" s="52"/>
      <c r="P1856" s="52"/>
      <c r="Q1856" s="52"/>
      <c r="R1856" s="52"/>
      <c r="S1856" s="52"/>
      <c r="T1856" s="52"/>
      <c r="U1856" s="52"/>
      <c r="V1856" s="52"/>
      <c r="W1856" s="52"/>
      <c r="X1856" s="52"/>
      <c r="Y1856" s="52"/>
      <c r="Z1856" s="52"/>
      <c r="AA1856" s="52"/>
      <c r="AB1856" s="52"/>
      <c r="AC1856" s="52"/>
      <c r="AD1856" s="52"/>
      <c r="AE1856" s="52"/>
      <c r="AF1856" s="52"/>
      <c r="AG1856" s="52"/>
      <c r="AH1856" s="52"/>
      <c r="AI1856" s="52"/>
      <c r="AJ1856" s="52"/>
      <c r="AK1856" s="52"/>
      <c r="AL1856" s="52"/>
      <c r="AM1856" s="52"/>
      <c r="AN1856" s="52"/>
    </row>
    <row r="1857" spans="1:40" x14ac:dyDescent="0.3">
      <c r="A1857" s="52">
        <v>1852</v>
      </c>
      <c r="B1857" s="52">
        <f>-bthan*500+(1+0.5)*bthan*1000/50</f>
        <v>-2585</v>
      </c>
      <c r="C1857" s="52">
        <f t="shared" si="204"/>
        <v>-50</v>
      </c>
      <c r="D1857" s="52">
        <f t="shared" si="200"/>
        <v>2200</v>
      </c>
      <c r="E1857" s="52">
        <f t="shared" si="201"/>
        <v>1</v>
      </c>
      <c r="F1857" s="52"/>
      <c r="G1857" s="52"/>
      <c r="H1857" s="52"/>
      <c r="I1857" s="52"/>
      <c r="J1857" s="52"/>
      <c r="K1857" s="52"/>
      <c r="L1857" s="52"/>
      <c r="M1857" s="52"/>
      <c r="N1857" s="52"/>
      <c r="O1857" s="52"/>
      <c r="P1857" s="52"/>
      <c r="Q1857" s="52"/>
      <c r="R1857" s="52"/>
      <c r="S1857" s="52"/>
      <c r="T1857" s="52"/>
      <c r="U1857" s="52"/>
      <c r="V1857" s="52"/>
      <c r="W1857" s="52"/>
      <c r="X1857" s="52"/>
      <c r="Y1857" s="52"/>
      <c r="Z1857" s="52"/>
      <c r="AA1857" s="52"/>
      <c r="AB1857" s="52"/>
      <c r="AC1857" s="52"/>
      <c r="AD1857" s="52"/>
      <c r="AE1857" s="52"/>
      <c r="AF1857" s="52"/>
      <c r="AG1857" s="52"/>
      <c r="AH1857" s="52"/>
      <c r="AI1857" s="52"/>
      <c r="AJ1857" s="52"/>
      <c r="AK1857" s="52"/>
      <c r="AL1857" s="52"/>
      <c r="AM1857" s="52"/>
      <c r="AN1857" s="52"/>
    </row>
    <row r="1858" spans="1:40" x14ac:dyDescent="0.3">
      <c r="A1858" s="52">
        <v>1853</v>
      </c>
      <c r="B1858" s="52">
        <f>-bthan*500+(2+0.5)*bthan*1000/50</f>
        <v>-2475</v>
      </c>
      <c r="C1858" s="52">
        <f t="shared" si="204"/>
        <v>-50</v>
      </c>
      <c r="D1858" s="52">
        <f t="shared" si="200"/>
        <v>2200</v>
      </c>
      <c r="E1858" s="52">
        <f t="shared" si="201"/>
        <v>1</v>
      </c>
      <c r="F1858" s="52"/>
      <c r="G1858" s="52"/>
      <c r="H1858" s="52"/>
      <c r="I1858" s="52"/>
      <c r="J1858" s="52"/>
      <c r="K1858" s="52"/>
      <c r="L1858" s="52"/>
      <c r="M1858" s="52"/>
      <c r="N1858" s="52"/>
      <c r="O1858" s="52"/>
      <c r="P1858" s="52"/>
      <c r="Q1858" s="52"/>
      <c r="R1858" s="52"/>
      <c r="S1858" s="52"/>
      <c r="T1858" s="52"/>
      <c r="U1858" s="52"/>
      <c r="V1858" s="52"/>
      <c r="W1858" s="52"/>
      <c r="X1858" s="52"/>
      <c r="Y1858" s="52"/>
      <c r="Z1858" s="52"/>
      <c r="AA1858" s="52"/>
      <c r="AB1858" s="52"/>
      <c r="AC1858" s="52"/>
      <c r="AD1858" s="52"/>
      <c r="AE1858" s="52"/>
      <c r="AF1858" s="52"/>
      <c r="AG1858" s="52"/>
      <c r="AH1858" s="52"/>
      <c r="AI1858" s="52"/>
      <c r="AJ1858" s="52"/>
      <c r="AK1858" s="52"/>
      <c r="AL1858" s="52"/>
      <c r="AM1858" s="52"/>
      <c r="AN1858" s="52"/>
    </row>
    <row r="1859" spans="1:40" x14ac:dyDescent="0.3">
      <c r="A1859" s="52">
        <v>1854</v>
      </c>
      <c r="B1859" s="52">
        <f>-bthan*500+(3+0.5)*bthan*1000/50</f>
        <v>-2365</v>
      </c>
      <c r="C1859" s="52">
        <f t="shared" si="204"/>
        <v>-50</v>
      </c>
      <c r="D1859" s="52">
        <f t="shared" si="200"/>
        <v>2200</v>
      </c>
      <c r="E1859" s="52">
        <f t="shared" si="201"/>
        <v>1</v>
      </c>
      <c r="F1859" s="52"/>
      <c r="G1859" s="52"/>
      <c r="H1859" s="52"/>
      <c r="I1859" s="52"/>
      <c r="J1859" s="52"/>
      <c r="K1859" s="52"/>
      <c r="L1859" s="52"/>
      <c r="M1859" s="52"/>
      <c r="N1859" s="52"/>
      <c r="O1859" s="52"/>
      <c r="P1859" s="52"/>
      <c r="Q1859" s="52"/>
      <c r="R1859" s="52"/>
      <c r="S1859" s="52"/>
      <c r="T1859" s="52"/>
      <c r="U1859" s="52"/>
      <c r="V1859" s="52"/>
      <c r="W1859" s="52"/>
      <c r="X1859" s="52"/>
      <c r="Y1859" s="52"/>
      <c r="Z1859" s="52"/>
      <c r="AA1859" s="52"/>
      <c r="AB1859" s="52"/>
      <c r="AC1859" s="52"/>
      <c r="AD1859" s="52"/>
      <c r="AE1859" s="52"/>
      <c r="AF1859" s="52"/>
      <c r="AG1859" s="52"/>
      <c r="AH1859" s="52"/>
      <c r="AI1859" s="52"/>
      <c r="AJ1859" s="52"/>
      <c r="AK1859" s="52"/>
      <c r="AL1859" s="52"/>
      <c r="AM1859" s="52"/>
      <c r="AN1859" s="52"/>
    </row>
    <row r="1860" spans="1:40" x14ac:dyDescent="0.3">
      <c r="A1860" s="52">
        <v>1855</v>
      </c>
      <c r="B1860" s="52">
        <f>-bthan*500+(4+0.5)*bthan*1000/50</f>
        <v>-2255</v>
      </c>
      <c r="C1860" s="52">
        <f t="shared" si="204"/>
        <v>-50</v>
      </c>
      <c r="D1860" s="52">
        <f t="shared" si="200"/>
        <v>2200</v>
      </c>
      <c r="E1860" s="52">
        <f t="shared" si="201"/>
        <v>1</v>
      </c>
      <c r="F1860" s="52"/>
      <c r="G1860" s="52"/>
      <c r="H1860" s="52"/>
      <c r="I1860" s="52"/>
      <c r="J1860" s="52"/>
      <c r="K1860" s="52"/>
      <c r="L1860" s="52"/>
      <c r="M1860" s="52"/>
      <c r="N1860" s="52"/>
      <c r="O1860" s="52"/>
      <c r="P1860" s="52"/>
      <c r="Q1860" s="52"/>
      <c r="R1860" s="52"/>
      <c r="S1860" s="52"/>
      <c r="T1860" s="52"/>
      <c r="U1860" s="52"/>
      <c r="V1860" s="52"/>
      <c r="W1860" s="52"/>
      <c r="X1860" s="52"/>
      <c r="Y1860" s="52"/>
      <c r="Z1860" s="52"/>
      <c r="AA1860" s="52"/>
      <c r="AB1860" s="52"/>
      <c r="AC1860" s="52"/>
      <c r="AD1860" s="52"/>
      <c r="AE1860" s="52"/>
      <c r="AF1860" s="52"/>
      <c r="AG1860" s="52"/>
      <c r="AH1860" s="52"/>
      <c r="AI1860" s="52"/>
      <c r="AJ1860" s="52"/>
      <c r="AK1860" s="52"/>
      <c r="AL1860" s="52"/>
      <c r="AM1860" s="52"/>
      <c r="AN1860" s="52"/>
    </row>
    <row r="1861" spans="1:40" x14ac:dyDescent="0.3">
      <c r="A1861" s="52">
        <v>1856</v>
      </c>
      <c r="B1861" s="52">
        <f>-bthan*500+(5+0.5)*bthan*1000/50</f>
        <v>-2145</v>
      </c>
      <c r="C1861" s="52">
        <f t="shared" si="204"/>
        <v>-50</v>
      </c>
      <c r="D1861" s="52">
        <f t="shared" si="200"/>
        <v>2200</v>
      </c>
      <c r="E1861" s="52">
        <f t="shared" si="201"/>
        <v>1</v>
      </c>
      <c r="F1861" s="52"/>
      <c r="G1861" s="52"/>
      <c r="H1861" s="52"/>
      <c r="I1861" s="52"/>
      <c r="J1861" s="52"/>
      <c r="K1861" s="52"/>
      <c r="L1861" s="52"/>
      <c r="M1861" s="52"/>
      <c r="N1861" s="52"/>
      <c r="O1861" s="52"/>
      <c r="P1861" s="52"/>
      <c r="Q1861" s="52"/>
      <c r="R1861" s="52"/>
      <c r="S1861" s="52"/>
      <c r="T1861" s="52"/>
      <c r="U1861" s="52"/>
      <c r="V1861" s="52"/>
      <c r="W1861" s="52"/>
      <c r="X1861" s="52"/>
      <c r="Y1861" s="52"/>
      <c r="Z1861" s="52"/>
      <c r="AA1861" s="52"/>
      <c r="AB1861" s="52"/>
      <c r="AC1861" s="52"/>
      <c r="AD1861" s="52"/>
      <c r="AE1861" s="52"/>
      <c r="AF1861" s="52"/>
      <c r="AG1861" s="52"/>
      <c r="AH1861" s="52"/>
      <c r="AI1861" s="52"/>
      <c r="AJ1861" s="52"/>
      <c r="AK1861" s="52"/>
      <c r="AL1861" s="52"/>
      <c r="AM1861" s="52"/>
      <c r="AN1861" s="52"/>
    </row>
    <row r="1862" spans="1:40" x14ac:dyDescent="0.3">
      <c r="A1862" s="52">
        <v>1857</v>
      </c>
      <c r="B1862" s="52">
        <f>-bthan*500+(6+0.5)*bthan*1000/50</f>
        <v>-2035</v>
      </c>
      <c r="C1862" s="52">
        <f t="shared" si="204"/>
        <v>-50</v>
      </c>
      <c r="D1862" s="52">
        <f t="shared" ref="D1862:D1925" si="205">bthan*1000/50*hthan*1000/80</f>
        <v>2200</v>
      </c>
      <c r="E1862" s="52">
        <f t="shared" ref="E1862:E1925" si="206">IF(shp=1,--(OR(ABS(B1862)&lt;=MAX(0,(bthan-hthan)*500),(ABS(B1862)-MAX(0,(bthan-hthan)*500))^2+C1862^2&lt;=(hthan*500)^2)),--(AND(ABS(B1862)&lt;=bthan*500,ABS(C1862)&lt;=hthan*500,OR(ABS(B1862)&lt;=bthan*500-cch*1000,ABS(C1862)&lt;=hthan*500-cch*1000,(bthan*500-ABS(B1862))+(hthan*500-ABS(C1862))&gt;=cch*1000))))</f>
        <v>1</v>
      </c>
      <c r="F1862" s="52"/>
      <c r="G1862" s="52"/>
      <c r="H1862" s="52"/>
      <c r="I1862" s="52"/>
      <c r="J1862" s="52"/>
      <c r="K1862" s="52"/>
      <c r="L1862" s="52"/>
      <c r="M1862" s="52"/>
      <c r="N1862" s="52"/>
      <c r="O1862" s="52"/>
      <c r="P1862" s="52"/>
      <c r="Q1862" s="52"/>
      <c r="R1862" s="52"/>
      <c r="S1862" s="52"/>
      <c r="T1862" s="52"/>
      <c r="U1862" s="52"/>
      <c r="V1862" s="52"/>
      <c r="W1862" s="52"/>
      <c r="X1862" s="52"/>
      <c r="Y1862" s="52"/>
      <c r="Z1862" s="52"/>
      <c r="AA1862" s="52"/>
      <c r="AB1862" s="52"/>
      <c r="AC1862" s="52"/>
      <c r="AD1862" s="52"/>
      <c r="AE1862" s="52"/>
      <c r="AF1862" s="52"/>
      <c r="AG1862" s="52"/>
      <c r="AH1862" s="52"/>
      <c r="AI1862" s="52"/>
      <c r="AJ1862" s="52"/>
      <c r="AK1862" s="52"/>
      <c r="AL1862" s="52"/>
      <c r="AM1862" s="52"/>
      <c r="AN1862" s="52"/>
    </row>
    <row r="1863" spans="1:40" x14ac:dyDescent="0.3">
      <c r="A1863" s="52">
        <v>1858</v>
      </c>
      <c r="B1863" s="52">
        <f>-bthan*500+(7+0.5)*bthan*1000/50</f>
        <v>-1925</v>
      </c>
      <c r="C1863" s="52">
        <f t="shared" si="204"/>
        <v>-50</v>
      </c>
      <c r="D1863" s="52">
        <f t="shared" si="205"/>
        <v>2200</v>
      </c>
      <c r="E1863" s="52">
        <f t="shared" si="206"/>
        <v>1</v>
      </c>
      <c r="F1863" s="52"/>
      <c r="G1863" s="52"/>
      <c r="H1863" s="52"/>
      <c r="I1863" s="52"/>
      <c r="J1863" s="52"/>
      <c r="K1863" s="52"/>
      <c r="L1863" s="52"/>
      <c r="M1863" s="52"/>
      <c r="N1863" s="52"/>
      <c r="O1863" s="52"/>
      <c r="P1863" s="52"/>
      <c r="Q1863" s="52"/>
      <c r="R1863" s="52"/>
      <c r="S1863" s="52"/>
      <c r="T1863" s="52"/>
      <c r="U1863" s="52"/>
      <c r="V1863" s="52"/>
      <c r="W1863" s="52"/>
      <c r="X1863" s="52"/>
      <c r="Y1863" s="52"/>
      <c r="Z1863" s="52"/>
      <c r="AA1863" s="52"/>
      <c r="AB1863" s="52"/>
      <c r="AC1863" s="52"/>
      <c r="AD1863" s="52"/>
      <c r="AE1863" s="52"/>
      <c r="AF1863" s="52"/>
      <c r="AG1863" s="52"/>
      <c r="AH1863" s="52"/>
      <c r="AI1863" s="52"/>
      <c r="AJ1863" s="52"/>
      <c r="AK1863" s="52"/>
      <c r="AL1863" s="52"/>
      <c r="AM1863" s="52"/>
      <c r="AN1863" s="52"/>
    </row>
    <row r="1864" spans="1:40" x14ac:dyDescent="0.3">
      <c r="A1864" s="52">
        <v>1859</v>
      </c>
      <c r="B1864" s="52">
        <f>-bthan*500+(8+0.5)*bthan*1000/50</f>
        <v>-1815</v>
      </c>
      <c r="C1864" s="52">
        <f t="shared" si="204"/>
        <v>-50</v>
      </c>
      <c r="D1864" s="52">
        <f t="shared" si="205"/>
        <v>2200</v>
      </c>
      <c r="E1864" s="52">
        <f t="shared" si="206"/>
        <v>1</v>
      </c>
      <c r="F1864" s="52"/>
      <c r="G1864" s="52"/>
      <c r="H1864" s="52"/>
      <c r="I1864" s="52"/>
      <c r="J1864" s="52"/>
      <c r="K1864" s="52"/>
      <c r="L1864" s="52"/>
      <c r="M1864" s="52"/>
      <c r="N1864" s="52"/>
      <c r="O1864" s="52"/>
      <c r="P1864" s="52"/>
      <c r="Q1864" s="52"/>
      <c r="R1864" s="52"/>
      <c r="S1864" s="52"/>
      <c r="T1864" s="52"/>
      <c r="U1864" s="52"/>
      <c r="V1864" s="52"/>
      <c r="W1864" s="52"/>
      <c r="X1864" s="52"/>
      <c r="Y1864" s="52"/>
      <c r="Z1864" s="52"/>
      <c r="AA1864" s="52"/>
      <c r="AB1864" s="52"/>
      <c r="AC1864" s="52"/>
      <c r="AD1864" s="52"/>
      <c r="AE1864" s="52"/>
      <c r="AF1864" s="52"/>
      <c r="AG1864" s="52"/>
      <c r="AH1864" s="52"/>
      <c r="AI1864" s="52"/>
      <c r="AJ1864" s="52"/>
      <c r="AK1864" s="52"/>
      <c r="AL1864" s="52"/>
      <c r="AM1864" s="52"/>
      <c r="AN1864" s="52"/>
    </row>
    <row r="1865" spans="1:40" x14ac:dyDescent="0.3">
      <c r="A1865" s="52">
        <v>1860</v>
      </c>
      <c r="B1865" s="52">
        <f>-bthan*500+(9+0.5)*bthan*1000/50</f>
        <v>-1705</v>
      </c>
      <c r="C1865" s="52">
        <f t="shared" si="204"/>
        <v>-50</v>
      </c>
      <c r="D1865" s="52">
        <f t="shared" si="205"/>
        <v>2200</v>
      </c>
      <c r="E1865" s="52">
        <f t="shared" si="206"/>
        <v>1</v>
      </c>
      <c r="F1865" s="52"/>
      <c r="G1865" s="52"/>
      <c r="H1865" s="52"/>
      <c r="I1865" s="52"/>
      <c r="J1865" s="52"/>
      <c r="K1865" s="52"/>
      <c r="L1865" s="52"/>
      <c r="M1865" s="52"/>
      <c r="N1865" s="52"/>
      <c r="O1865" s="52"/>
      <c r="P1865" s="52"/>
      <c r="Q1865" s="52"/>
      <c r="R1865" s="52"/>
      <c r="S1865" s="52"/>
      <c r="T1865" s="52"/>
      <c r="U1865" s="52"/>
      <c r="V1865" s="52"/>
      <c r="W1865" s="52"/>
      <c r="X1865" s="52"/>
      <c r="Y1865" s="52"/>
      <c r="Z1865" s="52"/>
      <c r="AA1865" s="52"/>
      <c r="AB1865" s="52"/>
      <c r="AC1865" s="52"/>
      <c r="AD1865" s="52"/>
      <c r="AE1865" s="52"/>
      <c r="AF1865" s="52"/>
      <c r="AG1865" s="52"/>
      <c r="AH1865" s="52"/>
      <c r="AI1865" s="52"/>
      <c r="AJ1865" s="52"/>
      <c r="AK1865" s="52"/>
      <c r="AL1865" s="52"/>
      <c r="AM1865" s="52"/>
      <c r="AN1865" s="52"/>
    </row>
    <row r="1866" spans="1:40" x14ac:dyDescent="0.3">
      <c r="A1866" s="52">
        <v>1861</v>
      </c>
      <c r="B1866" s="52">
        <f>-bthan*500+(10+0.5)*bthan*1000/50</f>
        <v>-1595</v>
      </c>
      <c r="C1866" s="52">
        <f t="shared" si="204"/>
        <v>-50</v>
      </c>
      <c r="D1866" s="52">
        <f t="shared" si="205"/>
        <v>2200</v>
      </c>
      <c r="E1866" s="52">
        <f t="shared" si="206"/>
        <v>1</v>
      </c>
      <c r="F1866" s="52"/>
      <c r="G1866" s="52"/>
      <c r="H1866" s="52"/>
      <c r="I1866" s="52"/>
      <c r="J1866" s="52"/>
      <c r="K1866" s="52"/>
      <c r="L1866" s="52"/>
      <c r="M1866" s="52"/>
      <c r="N1866" s="52"/>
      <c r="O1866" s="52"/>
      <c r="P1866" s="52"/>
      <c r="Q1866" s="52"/>
      <c r="R1866" s="52"/>
      <c r="S1866" s="52"/>
      <c r="T1866" s="52"/>
      <c r="U1866" s="52"/>
      <c r="V1866" s="52"/>
      <c r="W1866" s="52"/>
      <c r="X1866" s="52"/>
      <c r="Y1866" s="52"/>
      <c r="Z1866" s="52"/>
      <c r="AA1866" s="52"/>
      <c r="AB1866" s="52"/>
      <c r="AC1866" s="52"/>
      <c r="AD1866" s="52"/>
      <c r="AE1866" s="52"/>
      <c r="AF1866" s="52"/>
      <c r="AG1866" s="52"/>
      <c r="AH1866" s="52"/>
      <c r="AI1866" s="52"/>
      <c r="AJ1866" s="52"/>
      <c r="AK1866" s="52"/>
      <c r="AL1866" s="52"/>
      <c r="AM1866" s="52"/>
      <c r="AN1866" s="52"/>
    </row>
    <row r="1867" spans="1:40" x14ac:dyDescent="0.3">
      <c r="A1867" s="52">
        <v>1862</v>
      </c>
      <c r="B1867" s="52">
        <f>-bthan*500+(11+0.5)*bthan*1000/50</f>
        <v>-1485</v>
      </c>
      <c r="C1867" s="52">
        <f t="shared" si="204"/>
        <v>-50</v>
      </c>
      <c r="D1867" s="52">
        <f t="shared" si="205"/>
        <v>2200</v>
      </c>
      <c r="E1867" s="52">
        <f t="shared" si="206"/>
        <v>1</v>
      </c>
      <c r="F1867" s="52"/>
      <c r="G1867" s="52"/>
      <c r="H1867" s="52"/>
      <c r="I1867" s="52"/>
      <c r="J1867" s="52"/>
      <c r="K1867" s="52"/>
      <c r="L1867" s="52"/>
      <c r="M1867" s="52"/>
      <c r="N1867" s="52"/>
      <c r="O1867" s="52"/>
      <c r="P1867" s="52"/>
      <c r="Q1867" s="52"/>
      <c r="R1867" s="52"/>
      <c r="S1867" s="52"/>
      <c r="T1867" s="52"/>
      <c r="U1867" s="52"/>
      <c r="V1867" s="52"/>
      <c r="W1867" s="52"/>
      <c r="X1867" s="52"/>
      <c r="Y1867" s="52"/>
      <c r="Z1867" s="52"/>
      <c r="AA1867" s="52"/>
      <c r="AB1867" s="52"/>
      <c r="AC1867" s="52"/>
      <c r="AD1867" s="52"/>
      <c r="AE1867" s="52"/>
      <c r="AF1867" s="52"/>
      <c r="AG1867" s="52"/>
      <c r="AH1867" s="52"/>
      <c r="AI1867" s="52"/>
      <c r="AJ1867" s="52"/>
      <c r="AK1867" s="52"/>
      <c r="AL1867" s="52"/>
      <c r="AM1867" s="52"/>
      <c r="AN1867" s="52"/>
    </row>
    <row r="1868" spans="1:40" x14ac:dyDescent="0.3">
      <c r="A1868" s="52">
        <v>1863</v>
      </c>
      <c r="B1868" s="52">
        <f>-bthan*500+(12+0.5)*bthan*1000/50</f>
        <v>-1375</v>
      </c>
      <c r="C1868" s="52">
        <f t="shared" si="204"/>
        <v>-50</v>
      </c>
      <c r="D1868" s="52">
        <f t="shared" si="205"/>
        <v>2200</v>
      </c>
      <c r="E1868" s="52">
        <f t="shared" si="206"/>
        <v>1</v>
      </c>
      <c r="F1868" s="52"/>
      <c r="G1868" s="52"/>
      <c r="H1868" s="52"/>
      <c r="I1868" s="52"/>
      <c r="J1868" s="52"/>
      <c r="K1868" s="52"/>
      <c r="L1868" s="52"/>
      <c r="M1868" s="52"/>
      <c r="N1868" s="52"/>
      <c r="O1868" s="52"/>
      <c r="P1868" s="52"/>
      <c r="Q1868" s="52"/>
      <c r="R1868" s="52"/>
      <c r="S1868" s="52"/>
      <c r="T1868" s="52"/>
      <c r="U1868" s="52"/>
      <c r="V1868" s="52"/>
      <c r="W1868" s="52"/>
      <c r="X1868" s="52"/>
      <c r="Y1868" s="52"/>
      <c r="Z1868" s="52"/>
      <c r="AA1868" s="52"/>
      <c r="AB1868" s="52"/>
      <c r="AC1868" s="52"/>
      <c r="AD1868" s="52"/>
      <c r="AE1868" s="52"/>
      <c r="AF1868" s="52"/>
      <c r="AG1868" s="52"/>
      <c r="AH1868" s="52"/>
      <c r="AI1868" s="52"/>
      <c r="AJ1868" s="52"/>
      <c r="AK1868" s="52"/>
      <c r="AL1868" s="52"/>
      <c r="AM1868" s="52"/>
      <c r="AN1868" s="52"/>
    </row>
    <row r="1869" spans="1:40" x14ac:dyDescent="0.3">
      <c r="A1869" s="52">
        <v>1864</v>
      </c>
      <c r="B1869" s="52">
        <f>-bthan*500+(13+0.5)*bthan*1000/50</f>
        <v>-1265</v>
      </c>
      <c r="C1869" s="52">
        <f t="shared" si="204"/>
        <v>-50</v>
      </c>
      <c r="D1869" s="52">
        <f t="shared" si="205"/>
        <v>2200</v>
      </c>
      <c r="E1869" s="52">
        <f t="shared" si="206"/>
        <v>1</v>
      </c>
      <c r="F1869" s="52"/>
      <c r="G1869" s="52"/>
      <c r="H1869" s="52"/>
      <c r="I1869" s="52"/>
      <c r="J1869" s="52"/>
      <c r="K1869" s="52"/>
      <c r="L1869" s="52"/>
      <c r="M1869" s="52"/>
      <c r="N1869" s="52"/>
      <c r="O1869" s="52"/>
      <c r="P1869" s="52"/>
      <c r="Q1869" s="52"/>
      <c r="R1869" s="52"/>
      <c r="S1869" s="52"/>
      <c r="T1869" s="52"/>
      <c r="U1869" s="52"/>
      <c r="V1869" s="52"/>
      <c r="W1869" s="52"/>
      <c r="X1869" s="52"/>
      <c r="Y1869" s="52"/>
      <c r="Z1869" s="52"/>
      <c r="AA1869" s="52"/>
      <c r="AB1869" s="52"/>
      <c r="AC1869" s="52"/>
      <c r="AD1869" s="52"/>
      <c r="AE1869" s="52"/>
      <c r="AF1869" s="52"/>
      <c r="AG1869" s="52"/>
      <c r="AH1869" s="52"/>
      <c r="AI1869" s="52"/>
      <c r="AJ1869" s="52"/>
      <c r="AK1869" s="52"/>
      <c r="AL1869" s="52"/>
      <c r="AM1869" s="52"/>
      <c r="AN1869" s="52"/>
    </row>
    <row r="1870" spans="1:40" x14ac:dyDescent="0.3">
      <c r="A1870" s="52">
        <v>1865</v>
      </c>
      <c r="B1870" s="52">
        <f>-bthan*500+(14+0.5)*bthan*1000/50</f>
        <v>-1155</v>
      </c>
      <c r="C1870" s="52">
        <f t="shared" si="204"/>
        <v>-50</v>
      </c>
      <c r="D1870" s="52">
        <f t="shared" si="205"/>
        <v>2200</v>
      </c>
      <c r="E1870" s="52">
        <f t="shared" si="206"/>
        <v>1</v>
      </c>
      <c r="F1870" s="52"/>
      <c r="G1870" s="52"/>
      <c r="H1870" s="52"/>
      <c r="I1870" s="52"/>
      <c r="J1870" s="52"/>
      <c r="K1870" s="52"/>
      <c r="L1870" s="52"/>
      <c r="M1870" s="52"/>
      <c r="N1870" s="52"/>
      <c r="O1870" s="52"/>
      <c r="P1870" s="52"/>
      <c r="Q1870" s="52"/>
      <c r="R1870" s="52"/>
      <c r="S1870" s="52"/>
      <c r="T1870" s="52"/>
      <c r="U1870" s="52"/>
      <c r="V1870" s="52"/>
      <c r="W1870" s="52"/>
      <c r="X1870" s="52"/>
      <c r="Y1870" s="52"/>
      <c r="Z1870" s="52"/>
      <c r="AA1870" s="52"/>
      <c r="AB1870" s="52"/>
      <c r="AC1870" s="52"/>
      <c r="AD1870" s="52"/>
      <c r="AE1870" s="52"/>
      <c r="AF1870" s="52"/>
      <c r="AG1870" s="52"/>
      <c r="AH1870" s="52"/>
      <c r="AI1870" s="52"/>
      <c r="AJ1870" s="52"/>
      <c r="AK1870" s="52"/>
      <c r="AL1870" s="52"/>
      <c r="AM1870" s="52"/>
      <c r="AN1870" s="52"/>
    </row>
    <row r="1871" spans="1:40" x14ac:dyDescent="0.3">
      <c r="A1871" s="52">
        <v>1866</v>
      </c>
      <c r="B1871" s="52">
        <f>-bthan*500+(15+0.5)*bthan*1000/50</f>
        <v>-1045</v>
      </c>
      <c r="C1871" s="52">
        <f t="shared" si="204"/>
        <v>-50</v>
      </c>
      <c r="D1871" s="52">
        <f t="shared" si="205"/>
        <v>2200</v>
      </c>
      <c r="E1871" s="52">
        <f t="shared" si="206"/>
        <v>1</v>
      </c>
      <c r="F1871" s="52"/>
      <c r="G1871" s="52"/>
      <c r="H1871" s="52"/>
      <c r="I1871" s="52"/>
      <c r="J1871" s="52"/>
      <c r="K1871" s="52"/>
      <c r="L1871" s="52"/>
      <c r="M1871" s="52"/>
      <c r="N1871" s="52"/>
      <c r="O1871" s="52"/>
      <c r="P1871" s="52"/>
      <c r="Q1871" s="52"/>
      <c r="R1871" s="52"/>
      <c r="S1871" s="52"/>
      <c r="T1871" s="52"/>
      <c r="U1871" s="52"/>
      <c r="V1871" s="52"/>
      <c r="W1871" s="52"/>
      <c r="X1871" s="52"/>
      <c r="Y1871" s="52"/>
      <c r="Z1871" s="52"/>
      <c r="AA1871" s="52"/>
      <c r="AB1871" s="52"/>
      <c r="AC1871" s="52"/>
      <c r="AD1871" s="52"/>
      <c r="AE1871" s="52"/>
      <c r="AF1871" s="52"/>
      <c r="AG1871" s="52"/>
      <c r="AH1871" s="52"/>
      <c r="AI1871" s="52"/>
      <c r="AJ1871" s="52"/>
      <c r="AK1871" s="52"/>
      <c r="AL1871" s="52"/>
      <c r="AM1871" s="52"/>
      <c r="AN1871" s="52"/>
    </row>
    <row r="1872" spans="1:40" x14ac:dyDescent="0.3">
      <c r="A1872" s="52">
        <v>1867</v>
      </c>
      <c r="B1872" s="52">
        <f>-bthan*500+(16+0.5)*bthan*1000/50</f>
        <v>-935</v>
      </c>
      <c r="C1872" s="52">
        <f t="shared" si="204"/>
        <v>-50</v>
      </c>
      <c r="D1872" s="52">
        <f t="shared" si="205"/>
        <v>2200</v>
      </c>
      <c r="E1872" s="52">
        <f t="shared" si="206"/>
        <v>1</v>
      </c>
      <c r="F1872" s="52"/>
      <c r="G1872" s="52"/>
      <c r="H1872" s="52"/>
      <c r="I1872" s="52"/>
      <c r="J1872" s="52"/>
      <c r="K1872" s="52"/>
      <c r="L1872" s="52"/>
      <c r="M1872" s="52"/>
      <c r="N1872" s="52"/>
      <c r="O1872" s="52"/>
      <c r="P1872" s="52"/>
      <c r="Q1872" s="52"/>
      <c r="R1872" s="52"/>
      <c r="S1872" s="52"/>
      <c r="T1872" s="52"/>
      <c r="U1872" s="52"/>
      <c r="V1872" s="52"/>
      <c r="W1872" s="52"/>
      <c r="X1872" s="52"/>
      <c r="Y1872" s="52"/>
      <c r="Z1872" s="52"/>
      <c r="AA1872" s="52"/>
      <c r="AB1872" s="52"/>
      <c r="AC1872" s="52"/>
      <c r="AD1872" s="52"/>
      <c r="AE1872" s="52"/>
      <c r="AF1872" s="52"/>
      <c r="AG1872" s="52"/>
      <c r="AH1872" s="52"/>
      <c r="AI1872" s="52"/>
      <c r="AJ1872" s="52"/>
      <c r="AK1872" s="52"/>
      <c r="AL1872" s="52"/>
      <c r="AM1872" s="52"/>
      <c r="AN1872" s="52"/>
    </row>
    <row r="1873" spans="1:40" x14ac:dyDescent="0.3">
      <c r="A1873" s="52">
        <v>1868</v>
      </c>
      <c r="B1873" s="52">
        <f>-bthan*500+(17+0.5)*bthan*1000/50</f>
        <v>-825</v>
      </c>
      <c r="C1873" s="52">
        <f t="shared" si="204"/>
        <v>-50</v>
      </c>
      <c r="D1873" s="52">
        <f t="shared" si="205"/>
        <v>2200</v>
      </c>
      <c r="E1873" s="52">
        <f t="shared" si="206"/>
        <v>1</v>
      </c>
      <c r="F1873" s="52"/>
      <c r="G1873" s="52"/>
      <c r="H1873" s="52"/>
      <c r="I1873" s="52"/>
      <c r="J1873" s="52"/>
      <c r="K1873" s="52"/>
      <c r="L1873" s="52"/>
      <c r="M1873" s="52"/>
      <c r="N1873" s="52"/>
      <c r="O1873" s="52"/>
      <c r="P1873" s="52"/>
      <c r="Q1873" s="52"/>
      <c r="R1873" s="52"/>
      <c r="S1873" s="52"/>
      <c r="T1873" s="52"/>
      <c r="U1873" s="52"/>
      <c r="V1873" s="52"/>
      <c r="W1873" s="52"/>
      <c r="X1873" s="52"/>
      <c r="Y1873" s="52"/>
      <c r="Z1873" s="52"/>
      <c r="AA1873" s="52"/>
      <c r="AB1873" s="52"/>
      <c r="AC1873" s="52"/>
      <c r="AD1873" s="52"/>
      <c r="AE1873" s="52"/>
      <c r="AF1873" s="52"/>
      <c r="AG1873" s="52"/>
      <c r="AH1873" s="52"/>
      <c r="AI1873" s="52"/>
      <c r="AJ1873" s="52"/>
      <c r="AK1873" s="52"/>
      <c r="AL1873" s="52"/>
      <c r="AM1873" s="52"/>
      <c r="AN1873" s="52"/>
    </row>
    <row r="1874" spans="1:40" x14ac:dyDescent="0.3">
      <c r="A1874" s="52">
        <v>1869</v>
      </c>
      <c r="B1874" s="52">
        <f>-bthan*500+(18+0.5)*bthan*1000/50</f>
        <v>-715</v>
      </c>
      <c r="C1874" s="52">
        <f t="shared" si="204"/>
        <v>-50</v>
      </c>
      <c r="D1874" s="52">
        <f t="shared" si="205"/>
        <v>2200</v>
      </c>
      <c r="E1874" s="52">
        <f t="shared" si="206"/>
        <v>1</v>
      </c>
      <c r="F1874" s="52"/>
      <c r="G1874" s="52"/>
      <c r="H1874" s="52"/>
      <c r="I1874" s="52"/>
      <c r="J1874" s="52"/>
      <c r="K1874" s="52"/>
      <c r="L1874" s="52"/>
      <c r="M1874" s="52"/>
      <c r="N1874" s="52"/>
      <c r="O1874" s="52"/>
      <c r="P1874" s="52"/>
      <c r="Q1874" s="52"/>
      <c r="R1874" s="52"/>
      <c r="S1874" s="52"/>
      <c r="T1874" s="52"/>
      <c r="U1874" s="52"/>
      <c r="V1874" s="52"/>
      <c r="W1874" s="52"/>
      <c r="X1874" s="52"/>
      <c r="Y1874" s="52"/>
      <c r="Z1874" s="52"/>
      <c r="AA1874" s="52"/>
      <c r="AB1874" s="52"/>
      <c r="AC1874" s="52"/>
      <c r="AD1874" s="52"/>
      <c r="AE1874" s="52"/>
      <c r="AF1874" s="52"/>
      <c r="AG1874" s="52"/>
      <c r="AH1874" s="52"/>
      <c r="AI1874" s="52"/>
      <c r="AJ1874" s="52"/>
      <c r="AK1874" s="52"/>
      <c r="AL1874" s="52"/>
      <c r="AM1874" s="52"/>
      <c r="AN1874" s="52"/>
    </row>
    <row r="1875" spans="1:40" x14ac:dyDescent="0.3">
      <c r="A1875" s="52">
        <v>1870</v>
      </c>
      <c r="B1875" s="52">
        <f>-bthan*500+(19+0.5)*bthan*1000/50</f>
        <v>-605</v>
      </c>
      <c r="C1875" s="52">
        <f t="shared" si="204"/>
        <v>-50</v>
      </c>
      <c r="D1875" s="52">
        <f t="shared" si="205"/>
        <v>2200</v>
      </c>
      <c r="E1875" s="52">
        <f t="shared" si="206"/>
        <v>1</v>
      </c>
      <c r="F1875" s="52"/>
      <c r="G1875" s="52"/>
      <c r="H1875" s="52"/>
      <c r="I1875" s="52"/>
      <c r="J1875" s="52"/>
      <c r="K1875" s="52"/>
      <c r="L1875" s="52"/>
      <c r="M1875" s="52"/>
      <c r="N1875" s="52"/>
      <c r="O1875" s="52"/>
      <c r="P1875" s="52"/>
      <c r="Q1875" s="52"/>
      <c r="R1875" s="52"/>
      <c r="S1875" s="52"/>
      <c r="T1875" s="52"/>
      <c r="U1875" s="52"/>
      <c r="V1875" s="52"/>
      <c r="W1875" s="52"/>
      <c r="X1875" s="52"/>
      <c r="Y1875" s="52"/>
      <c r="Z1875" s="52"/>
      <c r="AA1875" s="52"/>
      <c r="AB1875" s="52"/>
      <c r="AC1875" s="52"/>
      <c r="AD1875" s="52"/>
      <c r="AE1875" s="52"/>
      <c r="AF1875" s="52"/>
      <c r="AG1875" s="52"/>
      <c r="AH1875" s="52"/>
      <c r="AI1875" s="52"/>
      <c r="AJ1875" s="52"/>
      <c r="AK1875" s="52"/>
      <c r="AL1875" s="52"/>
      <c r="AM1875" s="52"/>
      <c r="AN1875" s="52"/>
    </row>
    <row r="1876" spans="1:40" x14ac:dyDescent="0.3">
      <c r="A1876" s="52">
        <v>1871</v>
      </c>
      <c r="B1876" s="52">
        <f>-bthan*500+(20+0.5)*bthan*1000/50</f>
        <v>-495</v>
      </c>
      <c r="C1876" s="52">
        <f t="shared" si="204"/>
        <v>-50</v>
      </c>
      <c r="D1876" s="52">
        <f t="shared" si="205"/>
        <v>2200</v>
      </c>
      <c r="E1876" s="52">
        <f t="shared" si="206"/>
        <v>1</v>
      </c>
      <c r="F1876" s="52"/>
      <c r="G1876" s="52"/>
      <c r="H1876" s="52"/>
      <c r="I1876" s="52"/>
      <c r="J1876" s="52"/>
      <c r="K1876" s="52"/>
      <c r="L1876" s="52"/>
      <c r="M1876" s="52"/>
      <c r="N1876" s="52"/>
      <c r="O1876" s="52"/>
      <c r="P1876" s="52"/>
      <c r="Q1876" s="52"/>
      <c r="R1876" s="52"/>
      <c r="S1876" s="52"/>
      <c r="T1876" s="52"/>
      <c r="U1876" s="52"/>
      <c r="V1876" s="52"/>
      <c r="W1876" s="52"/>
      <c r="X1876" s="52"/>
      <c r="Y1876" s="52"/>
      <c r="Z1876" s="52"/>
      <c r="AA1876" s="52"/>
      <c r="AB1876" s="52"/>
      <c r="AC1876" s="52"/>
      <c r="AD1876" s="52"/>
      <c r="AE1876" s="52"/>
      <c r="AF1876" s="52"/>
      <c r="AG1876" s="52"/>
      <c r="AH1876" s="52"/>
      <c r="AI1876" s="52"/>
      <c r="AJ1876" s="52"/>
      <c r="AK1876" s="52"/>
      <c r="AL1876" s="52"/>
      <c r="AM1876" s="52"/>
      <c r="AN1876" s="52"/>
    </row>
    <row r="1877" spans="1:40" x14ac:dyDescent="0.3">
      <c r="A1877" s="52">
        <v>1872</v>
      </c>
      <c r="B1877" s="52">
        <f>-bthan*500+(21+0.5)*bthan*1000/50</f>
        <v>-385</v>
      </c>
      <c r="C1877" s="52">
        <f t="shared" si="204"/>
        <v>-50</v>
      </c>
      <c r="D1877" s="52">
        <f t="shared" si="205"/>
        <v>2200</v>
      </c>
      <c r="E1877" s="52">
        <f t="shared" si="206"/>
        <v>1</v>
      </c>
      <c r="F1877" s="52"/>
      <c r="G1877" s="52"/>
      <c r="H1877" s="52"/>
      <c r="I1877" s="52"/>
      <c r="J1877" s="52"/>
      <c r="K1877" s="52"/>
      <c r="L1877" s="52"/>
      <c r="M1877" s="52"/>
      <c r="N1877" s="52"/>
      <c r="O1877" s="52"/>
      <c r="P1877" s="52"/>
      <c r="Q1877" s="52"/>
      <c r="R1877" s="52"/>
      <c r="S1877" s="52"/>
      <c r="T1877" s="52"/>
      <c r="U1877" s="52"/>
      <c r="V1877" s="52"/>
      <c r="W1877" s="52"/>
      <c r="X1877" s="52"/>
      <c r="Y1877" s="52"/>
      <c r="Z1877" s="52"/>
      <c r="AA1877" s="52"/>
      <c r="AB1877" s="52"/>
      <c r="AC1877" s="52"/>
      <c r="AD1877" s="52"/>
      <c r="AE1877" s="52"/>
      <c r="AF1877" s="52"/>
      <c r="AG1877" s="52"/>
      <c r="AH1877" s="52"/>
      <c r="AI1877" s="52"/>
      <c r="AJ1877" s="52"/>
      <c r="AK1877" s="52"/>
      <c r="AL1877" s="52"/>
      <c r="AM1877" s="52"/>
      <c r="AN1877" s="52"/>
    </row>
    <row r="1878" spans="1:40" x14ac:dyDescent="0.3">
      <c r="A1878" s="52">
        <v>1873</v>
      </c>
      <c r="B1878" s="52">
        <f>-bthan*500+(22+0.5)*bthan*1000/50</f>
        <v>-275</v>
      </c>
      <c r="C1878" s="52">
        <f t="shared" si="204"/>
        <v>-50</v>
      </c>
      <c r="D1878" s="52">
        <f t="shared" si="205"/>
        <v>2200</v>
      </c>
      <c r="E1878" s="52">
        <f t="shared" si="206"/>
        <v>1</v>
      </c>
      <c r="F1878" s="52"/>
      <c r="G1878" s="52"/>
      <c r="H1878" s="52"/>
      <c r="I1878" s="52"/>
      <c r="J1878" s="52"/>
      <c r="K1878" s="52"/>
      <c r="L1878" s="52"/>
      <c r="M1878" s="52"/>
      <c r="N1878" s="52"/>
      <c r="O1878" s="52"/>
      <c r="P1878" s="52"/>
      <c r="Q1878" s="52"/>
      <c r="R1878" s="52"/>
      <c r="S1878" s="52"/>
      <c r="T1878" s="52"/>
      <c r="U1878" s="52"/>
      <c r="V1878" s="52"/>
      <c r="W1878" s="52"/>
      <c r="X1878" s="52"/>
      <c r="Y1878" s="52"/>
      <c r="Z1878" s="52"/>
      <c r="AA1878" s="52"/>
      <c r="AB1878" s="52"/>
      <c r="AC1878" s="52"/>
      <c r="AD1878" s="52"/>
      <c r="AE1878" s="52"/>
      <c r="AF1878" s="52"/>
      <c r="AG1878" s="52"/>
      <c r="AH1878" s="52"/>
      <c r="AI1878" s="52"/>
      <c r="AJ1878" s="52"/>
      <c r="AK1878" s="52"/>
      <c r="AL1878" s="52"/>
      <c r="AM1878" s="52"/>
      <c r="AN1878" s="52"/>
    </row>
    <row r="1879" spans="1:40" x14ac:dyDescent="0.3">
      <c r="A1879" s="52">
        <v>1874</v>
      </c>
      <c r="B1879" s="52">
        <f>-bthan*500+(23+0.5)*bthan*1000/50</f>
        <v>-165</v>
      </c>
      <c r="C1879" s="52">
        <f t="shared" si="204"/>
        <v>-50</v>
      </c>
      <c r="D1879" s="52">
        <f t="shared" si="205"/>
        <v>2200</v>
      </c>
      <c r="E1879" s="52">
        <f t="shared" si="206"/>
        <v>1</v>
      </c>
      <c r="F1879" s="52"/>
      <c r="G1879" s="52"/>
      <c r="H1879" s="52"/>
      <c r="I1879" s="52"/>
      <c r="J1879" s="52"/>
      <c r="K1879" s="52"/>
      <c r="L1879" s="52"/>
      <c r="M1879" s="52"/>
      <c r="N1879" s="52"/>
      <c r="O1879" s="52"/>
      <c r="P1879" s="52"/>
      <c r="Q1879" s="52"/>
      <c r="R1879" s="52"/>
      <c r="S1879" s="52"/>
      <c r="T1879" s="52"/>
      <c r="U1879" s="52"/>
      <c r="V1879" s="52"/>
      <c r="W1879" s="52"/>
      <c r="X1879" s="52"/>
      <c r="Y1879" s="52"/>
      <c r="Z1879" s="52"/>
      <c r="AA1879" s="52"/>
      <c r="AB1879" s="52"/>
      <c r="AC1879" s="52"/>
      <c r="AD1879" s="52"/>
      <c r="AE1879" s="52"/>
      <c r="AF1879" s="52"/>
      <c r="AG1879" s="52"/>
      <c r="AH1879" s="52"/>
      <c r="AI1879" s="52"/>
      <c r="AJ1879" s="52"/>
      <c r="AK1879" s="52"/>
      <c r="AL1879" s="52"/>
      <c r="AM1879" s="52"/>
      <c r="AN1879" s="52"/>
    </row>
    <row r="1880" spans="1:40" x14ac:dyDescent="0.3">
      <c r="A1880" s="52">
        <v>1875</v>
      </c>
      <c r="B1880" s="52">
        <f>-bthan*500+(24+0.5)*bthan*1000/50</f>
        <v>-55</v>
      </c>
      <c r="C1880" s="52">
        <f t="shared" si="204"/>
        <v>-50</v>
      </c>
      <c r="D1880" s="52">
        <f t="shared" si="205"/>
        <v>2200</v>
      </c>
      <c r="E1880" s="52">
        <f t="shared" si="206"/>
        <v>1</v>
      </c>
      <c r="F1880" s="52"/>
      <c r="G1880" s="52"/>
      <c r="H1880" s="52"/>
      <c r="I1880" s="52"/>
      <c r="J1880" s="52"/>
      <c r="K1880" s="52"/>
      <c r="L1880" s="52"/>
      <c r="M1880" s="52"/>
      <c r="N1880" s="52"/>
      <c r="O1880" s="52"/>
      <c r="P1880" s="52"/>
      <c r="Q1880" s="52"/>
      <c r="R1880" s="52"/>
      <c r="S1880" s="52"/>
      <c r="T1880" s="52"/>
      <c r="U1880" s="52"/>
      <c r="V1880" s="52"/>
      <c r="W1880" s="52"/>
      <c r="X1880" s="52"/>
      <c r="Y1880" s="52"/>
      <c r="Z1880" s="52"/>
      <c r="AA1880" s="52"/>
      <c r="AB1880" s="52"/>
      <c r="AC1880" s="52"/>
      <c r="AD1880" s="52"/>
      <c r="AE1880" s="52"/>
      <c r="AF1880" s="52"/>
      <c r="AG1880" s="52"/>
      <c r="AH1880" s="52"/>
      <c r="AI1880" s="52"/>
      <c r="AJ1880" s="52"/>
      <c r="AK1880" s="52"/>
      <c r="AL1880" s="52"/>
      <c r="AM1880" s="52"/>
      <c r="AN1880" s="52"/>
    </row>
    <row r="1881" spans="1:40" x14ac:dyDescent="0.3">
      <c r="A1881" s="52">
        <v>1876</v>
      </c>
      <c r="B1881" s="52">
        <f>-bthan*500+(25+0.5)*bthan*1000/50</f>
        <v>55</v>
      </c>
      <c r="C1881" s="52">
        <f t="shared" si="204"/>
        <v>-50</v>
      </c>
      <c r="D1881" s="52">
        <f t="shared" si="205"/>
        <v>2200</v>
      </c>
      <c r="E1881" s="52">
        <f t="shared" si="206"/>
        <v>1</v>
      </c>
      <c r="F1881" s="52"/>
      <c r="G1881" s="52"/>
      <c r="H1881" s="52"/>
      <c r="I1881" s="52"/>
      <c r="J1881" s="52"/>
      <c r="K1881" s="52"/>
      <c r="L1881" s="52"/>
      <c r="M1881" s="52"/>
      <c r="N1881" s="52"/>
      <c r="O1881" s="52"/>
      <c r="P1881" s="52"/>
      <c r="Q1881" s="52"/>
      <c r="R1881" s="52"/>
      <c r="S1881" s="52"/>
      <c r="T1881" s="52"/>
      <c r="U1881" s="52"/>
      <c r="V1881" s="52"/>
      <c r="W1881" s="52"/>
      <c r="X1881" s="52"/>
      <c r="Y1881" s="52"/>
      <c r="Z1881" s="52"/>
      <c r="AA1881" s="52"/>
      <c r="AB1881" s="52"/>
      <c r="AC1881" s="52"/>
      <c r="AD1881" s="52"/>
      <c r="AE1881" s="52"/>
      <c r="AF1881" s="52"/>
      <c r="AG1881" s="52"/>
      <c r="AH1881" s="52"/>
      <c r="AI1881" s="52"/>
      <c r="AJ1881" s="52"/>
      <c r="AK1881" s="52"/>
      <c r="AL1881" s="52"/>
      <c r="AM1881" s="52"/>
      <c r="AN1881" s="52"/>
    </row>
    <row r="1882" spans="1:40" x14ac:dyDescent="0.3">
      <c r="A1882" s="52">
        <v>1877</v>
      </c>
      <c r="B1882" s="52">
        <f>-bthan*500+(26+0.5)*bthan*1000/50</f>
        <v>165</v>
      </c>
      <c r="C1882" s="52">
        <f t="shared" si="204"/>
        <v>-50</v>
      </c>
      <c r="D1882" s="52">
        <f t="shared" si="205"/>
        <v>2200</v>
      </c>
      <c r="E1882" s="52">
        <f t="shared" si="206"/>
        <v>1</v>
      </c>
      <c r="F1882" s="52"/>
      <c r="G1882" s="52"/>
      <c r="H1882" s="52"/>
      <c r="I1882" s="52"/>
      <c r="J1882" s="52"/>
      <c r="K1882" s="52"/>
      <c r="L1882" s="52"/>
      <c r="M1882" s="52"/>
      <c r="N1882" s="52"/>
      <c r="O1882" s="52"/>
      <c r="P1882" s="52"/>
      <c r="Q1882" s="52"/>
      <c r="R1882" s="52"/>
      <c r="S1882" s="52"/>
      <c r="T1882" s="52"/>
      <c r="U1882" s="52"/>
      <c r="V1882" s="52"/>
      <c r="W1882" s="52"/>
      <c r="X1882" s="52"/>
      <c r="Y1882" s="52"/>
      <c r="Z1882" s="52"/>
      <c r="AA1882" s="52"/>
      <c r="AB1882" s="52"/>
      <c r="AC1882" s="52"/>
      <c r="AD1882" s="52"/>
      <c r="AE1882" s="52"/>
      <c r="AF1882" s="52"/>
      <c r="AG1882" s="52"/>
      <c r="AH1882" s="52"/>
      <c r="AI1882" s="52"/>
      <c r="AJ1882" s="52"/>
      <c r="AK1882" s="52"/>
      <c r="AL1882" s="52"/>
      <c r="AM1882" s="52"/>
      <c r="AN1882" s="52"/>
    </row>
    <row r="1883" spans="1:40" x14ac:dyDescent="0.3">
      <c r="A1883" s="52">
        <v>1878</v>
      </c>
      <c r="B1883" s="52">
        <f>-bthan*500+(27+0.5)*bthan*1000/50</f>
        <v>275</v>
      </c>
      <c r="C1883" s="52">
        <f t="shared" si="204"/>
        <v>-50</v>
      </c>
      <c r="D1883" s="52">
        <f t="shared" si="205"/>
        <v>2200</v>
      </c>
      <c r="E1883" s="52">
        <f t="shared" si="206"/>
        <v>1</v>
      </c>
      <c r="F1883" s="52"/>
      <c r="G1883" s="52"/>
      <c r="H1883" s="52"/>
      <c r="I1883" s="52"/>
      <c r="J1883" s="52"/>
      <c r="K1883" s="52"/>
      <c r="L1883" s="52"/>
      <c r="M1883" s="52"/>
      <c r="N1883" s="52"/>
      <c r="O1883" s="52"/>
      <c r="P1883" s="52"/>
      <c r="Q1883" s="52"/>
      <c r="R1883" s="52"/>
      <c r="S1883" s="52"/>
      <c r="T1883" s="52"/>
      <c r="U1883" s="52"/>
      <c r="V1883" s="52"/>
      <c r="W1883" s="52"/>
      <c r="X1883" s="52"/>
      <c r="Y1883" s="52"/>
      <c r="Z1883" s="52"/>
      <c r="AA1883" s="52"/>
      <c r="AB1883" s="52"/>
      <c r="AC1883" s="52"/>
      <c r="AD1883" s="52"/>
      <c r="AE1883" s="52"/>
      <c r="AF1883" s="52"/>
      <c r="AG1883" s="52"/>
      <c r="AH1883" s="52"/>
      <c r="AI1883" s="52"/>
      <c r="AJ1883" s="52"/>
      <c r="AK1883" s="52"/>
      <c r="AL1883" s="52"/>
      <c r="AM1883" s="52"/>
      <c r="AN1883" s="52"/>
    </row>
    <row r="1884" spans="1:40" x14ac:dyDescent="0.3">
      <c r="A1884" s="52">
        <v>1879</v>
      </c>
      <c r="B1884" s="52">
        <f>-bthan*500+(28+0.5)*bthan*1000/50</f>
        <v>385</v>
      </c>
      <c r="C1884" s="52">
        <f t="shared" si="204"/>
        <v>-50</v>
      </c>
      <c r="D1884" s="52">
        <f t="shared" si="205"/>
        <v>2200</v>
      </c>
      <c r="E1884" s="52">
        <f t="shared" si="206"/>
        <v>1</v>
      </c>
      <c r="F1884" s="52"/>
      <c r="G1884" s="52"/>
      <c r="H1884" s="52"/>
      <c r="I1884" s="52"/>
      <c r="J1884" s="52"/>
      <c r="K1884" s="52"/>
      <c r="L1884" s="52"/>
      <c r="M1884" s="52"/>
      <c r="N1884" s="52"/>
      <c r="O1884" s="52"/>
      <c r="P1884" s="52"/>
      <c r="Q1884" s="52"/>
      <c r="R1884" s="52"/>
      <c r="S1884" s="52"/>
      <c r="T1884" s="52"/>
      <c r="U1884" s="52"/>
      <c r="V1884" s="52"/>
      <c r="W1884" s="52"/>
      <c r="X1884" s="52"/>
      <c r="Y1884" s="52"/>
      <c r="Z1884" s="52"/>
      <c r="AA1884" s="52"/>
      <c r="AB1884" s="52"/>
      <c r="AC1884" s="52"/>
      <c r="AD1884" s="52"/>
      <c r="AE1884" s="52"/>
      <c r="AF1884" s="52"/>
      <c r="AG1884" s="52"/>
      <c r="AH1884" s="52"/>
      <c r="AI1884" s="52"/>
      <c r="AJ1884" s="52"/>
      <c r="AK1884" s="52"/>
      <c r="AL1884" s="52"/>
      <c r="AM1884" s="52"/>
      <c r="AN1884" s="52"/>
    </row>
    <row r="1885" spans="1:40" x14ac:dyDescent="0.3">
      <c r="A1885" s="52">
        <v>1880</v>
      </c>
      <c r="B1885" s="52">
        <f>-bthan*500+(29+0.5)*bthan*1000/50</f>
        <v>495</v>
      </c>
      <c r="C1885" s="52">
        <f t="shared" si="204"/>
        <v>-50</v>
      </c>
      <c r="D1885" s="52">
        <f t="shared" si="205"/>
        <v>2200</v>
      </c>
      <c r="E1885" s="52">
        <f t="shared" si="206"/>
        <v>1</v>
      </c>
      <c r="F1885" s="52"/>
      <c r="G1885" s="52"/>
      <c r="H1885" s="52"/>
      <c r="I1885" s="52"/>
      <c r="J1885" s="52"/>
      <c r="K1885" s="52"/>
      <c r="L1885" s="52"/>
      <c r="M1885" s="52"/>
      <c r="N1885" s="52"/>
      <c r="O1885" s="52"/>
      <c r="P1885" s="52"/>
      <c r="Q1885" s="52"/>
      <c r="R1885" s="52"/>
      <c r="S1885" s="52"/>
      <c r="T1885" s="52"/>
      <c r="U1885" s="52"/>
      <c r="V1885" s="52"/>
      <c r="W1885" s="52"/>
      <c r="X1885" s="52"/>
      <c r="Y1885" s="52"/>
      <c r="Z1885" s="52"/>
      <c r="AA1885" s="52"/>
      <c r="AB1885" s="52"/>
      <c r="AC1885" s="52"/>
      <c r="AD1885" s="52"/>
      <c r="AE1885" s="52"/>
      <c r="AF1885" s="52"/>
      <c r="AG1885" s="52"/>
      <c r="AH1885" s="52"/>
      <c r="AI1885" s="52"/>
      <c r="AJ1885" s="52"/>
      <c r="AK1885" s="52"/>
      <c r="AL1885" s="52"/>
      <c r="AM1885" s="52"/>
      <c r="AN1885" s="52"/>
    </row>
    <row r="1886" spans="1:40" x14ac:dyDescent="0.3">
      <c r="A1886" s="52">
        <v>1881</v>
      </c>
      <c r="B1886" s="52">
        <f>-bthan*500+(30+0.5)*bthan*1000/50</f>
        <v>605</v>
      </c>
      <c r="C1886" s="52">
        <f t="shared" si="204"/>
        <v>-50</v>
      </c>
      <c r="D1886" s="52">
        <f t="shared" si="205"/>
        <v>2200</v>
      </c>
      <c r="E1886" s="52">
        <f t="shared" si="206"/>
        <v>1</v>
      </c>
      <c r="F1886" s="52"/>
      <c r="G1886" s="52"/>
      <c r="H1886" s="52"/>
      <c r="I1886" s="52"/>
      <c r="J1886" s="52"/>
      <c r="K1886" s="52"/>
      <c r="L1886" s="52"/>
      <c r="M1886" s="52"/>
      <c r="N1886" s="52"/>
      <c r="O1886" s="52"/>
      <c r="P1886" s="52"/>
      <c r="Q1886" s="52"/>
      <c r="R1886" s="52"/>
      <c r="S1886" s="52"/>
      <c r="T1886" s="52"/>
      <c r="U1886" s="52"/>
      <c r="V1886" s="52"/>
      <c r="W1886" s="52"/>
      <c r="X1886" s="52"/>
      <c r="Y1886" s="52"/>
      <c r="Z1886" s="52"/>
      <c r="AA1886" s="52"/>
      <c r="AB1886" s="52"/>
      <c r="AC1886" s="52"/>
      <c r="AD1886" s="52"/>
      <c r="AE1886" s="52"/>
      <c r="AF1886" s="52"/>
      <c r="AG1886" s="52"/>
      <c r="AH1886" s="52"/>
      <c r="AI1886" s="52"/>
      <c r="AJ1886" s="52"/>
      <c r="AK1886" s="52"/>
      <c r="AL1886" s="52"/>
      <c r="AM1886" s="52"/>
      <c r="AN1886" s="52"/>
    </row>
    <row r="1887" spans="1:40" x14ac:dyDescent="0.3">
      <c r="A1887" s="52">
        <v>1882</v>
      </c>
      <c r="B1887" s="52">
        <f>-bthan*500+(31+0.5)*bthan*1000/50</f>
        <v>715</v>
      </c>
      <c r="C1887" s="52">
        <f t="shared" si="204"/>
        <v>-50</v>
      </c>
      <c r="D1887" s="52">
        <f t="shared" si="205"/>
        <v>2200</v>
      </c>
      <c r="E1887" s="52">
        <f t="shared" si="206"/>
        <v>1</v>
      </c>
      <c r="F1887" s="52"/>
      <c r="G1887" s="52"/>
      <c r="H1887" s="52"/>
      <c r="I1887" s="52"/>
      <c r="J1887" s="52"/>
      <c r="K1887" s="52"/>
      <c r="L1887" s="52"/>
      <c r="M1887" s="52"/>
      <c r="N1887" s="52"/>
      <c r="O1887" s="52"/>
      <c r="P1887" s="52"/>
      <c r="Q1887" s="52"/>
      <c r="R1887" s="52"/>
      <c r="S1887" s="52"/>
      <c r="T1887" s="52"/>
      <c r="U1887" s="52"/>
      <c r="V1887" s="52"/>
      <c r="W1887" s="52"/>
      <c r="X1887" s="52"/>
      <c r="Y1887" s="52"/>
      <c r="Z1887" s="52"/>
      <c r="AA1887" s="52"/>
      <c r="AB1887" s="52"/>
      <c r="AC1887" s="52"/>
      <c r="AD1887" s="52"/>
      <c r="AE1887" s="52"/>
      <c r="AF1887" s="52"/>
      <c r="AG1887" s="52"/>
      <c r="AH1887" s="52"/>
      <c r="AI1887" s="52"/>
      <c r="AJ1887" s="52"/>
      <c r="AK1887" s="52"/>
      <c r="AL1887" s="52"/>
      <c r="AM1887" s="52"/>
      <c r="AN1887" s="52"/>
    </row>
    <row r="1888" spans="1:40" x14ac:dyDescent="0.3">
      <c r="A1888" s="52">
        <v>1883</v>
      </c>
      <c r="B1888" s="52">
        <f>-bthan*500+(32+0.5)*bthan*1000/50</f>
        <v>825</v>
      </c>
      <c r="C1888" s="52">
        <f t="shared" ref="C1888:C1905" si="207">-hthan*500+(37+0.5)*hthan*1000/80</f>
        <v>-50</v>
      </c>
      <c r="D1888" s="52">
        <f t="shared" si="205"/>
        <v>2200</v>
      </c>
      <c r="E1888" s="52">
        <f t="shared" si="206"/>
        <v>1</v>
      </c>
      <c r="F1888" s="52"/>
      <c r="G1888" s="52"/>
      <c r="H1888" s="52"/>
      <c r="I1888" s="52"/>
      <c r="J1888" s="52"/>
      <c r="K1888" s="52"/>
      <c r="L1888" s="52"/>
      <c r="M1888" s="52"/>
      <c r="N1888" s="52"/>
      <c r="O1888" s="52"/>
      <c r="P1888" s="52"/>
      <c r="Q1888" s="52"/>
      <c r="R1888" s="52"/>
      <c r="S1888" s="52"/>
      <c r="T1888" s="52"/>
      <c r="U1888" s="52"/>
      <c r="V1888" s="52"/>
      <c r="W1888" s="52"/>
      <c r="X1888" s="52"/>
      <c r="Y1888" s="52"/>
      <c r="Z1888" s="52"/>
      <c r="AA1888" s="52"/>
      <c r="AB1888" s="52"/>
      <c r="AC1888" s="52"/>
      <c r="AD1888" s="52"/>
      <c r="AE1888" s="52"/>
      <c r="AF1888" s="52"/>
      <c r="AG1888" s="52"/>
      <c r="AH1888" s="52"/>
      <c r="AI1888" s="52"/>
      <c r="AJ1888" s="52"/>
      <c r="AK1888" s="52"/>
      <c r="AL1888" s="52"/>
      <c r="AM1888" s="52"/>
      <c r="AN1888" s="52"/>
    </row>
    <row r="1889" spans="1:40" x14ac:dyDescent="0.3">
      <c r="A1889" s="52">
        <v>1884</v>
      </c>
      <c r="B1889" s="52">
        <f>-bthan*500+(33+0.5)*bthan*1000/50</f>
        <v>935</v>
      </c>
      <c r="C1889" s="52">
        <f t="shared" si="207"/>
        <v>-50</v>
      </c>
      <c r="D1889" s="52">
        <f t="shared" si="205"/>
        <v>2200</v>
      </c>
      <c r="E1889" s="52">
        <f t="shared" si="206"/>
        <v>1</v>
      </c>
      <c r="F1889" s="52"/>
      <c r="G1889" s="52"/>
      <c r="H1889" s="52"/>
      <c r="I1889" s="52"/>
      <c r="J1889" s="52"/>
      <c r="K1889" s="52"/>
      <c r="L1889" s="52"/>
      <c r="M1889" s="52"/>
      <c r="N1889" s="52"/>
      <c r="O1889" s="52"/>
      <c r="P1889" s="52"/>
      <c r="Q1889" s="52"/>
      <c r="R1889" s="52"/>
      <c r="S1889" s="52"/>
      <c r="T1889" s="52"/>
      <c r="U1889" s="52"/>
      <c r="V1889" s="52"/>
      <c r="W1889" s="52"/>
      <c r="X1889" s="52"/>
      <c r="Y1889" s="52"/>
      <c r="Z1889" s="52"/>
      <c r="AA1889" s="52"/>
      <c r="AB1889" s="52"/>
      <c r="AC1889" s="52"/>
      <c r="AD1889" s="52"/>
      <c r="AE1889" s="52"/>
      <c r="AF1889" s="52"/>
      <c r="AG1889" s="52"/>
      <c r="AH1889" s="52"/>
      <c r="AI1889" s="52"/>
      <c r="AJ1889" s="52"/>
      <c r="AK1889" s="52"/>
      <c r="AL1889" s="52"/>
      <c r="AM1889" s="52"/>
      <c r="AN1889" s="52"/>
    </row>
    <row r="1890" spans="1:40" x14ac:dyDescent="0.3">
      <c r="A1890" s="52">
        <v>1885</v>
      </c>
      <c r="B1890" s="52">
        <f>-bthan*500+(34+0.5)*bthan*1000/50</f>
        <v>1045</v>
      </c>
      <c r="C1890" s="52">
        <f t="shared" si="207"/>
        <v>-50</v>
      </c>
      <c r="D1890" s="52">
        <f t="shared" si="205"/>
        <v>2200</v>
      </c>
      <c r="E1890" s="52">
        <f t="shared" si="206"/>
        <v>1</v>
      </c>
      <c r="F1890" s="52"/>
      <c r="G1890" s="52"/>
      <c r="H1890" s="52"/>
      <c r="I1890" s="52"/>
      <c r="J1890" s="52"/>
      <c r="K1890" s="52"/>
      <c r="L1890" s="52"/>
      <c r="M1890" s="52"/>
      <c r="N1890" s="52"/>
      <c r="O1890" s="52"/>
      <c r="P1890" s="52"/>
      <c r="Q1890" s="52"/>
      <c r="R1890" s="52"/>
      <c r="S1890" s="52"/>
      <c r="T1890" s="52"/>
      <c r="U1890" s="52"/>
      <c r="V1890" s="52"/>
      <c r="W1890" s="52"/>
      <c r="X1890" s="52"/>
      <c r="Y1890" s="52"/>
      <c r="Z1890" s="52"/>
      <c r="AA1890" s="52"/>
      <c r="AB1890" s="52"/>
      <c r="AC1890" s="52"/>
      <c r="AD1890" s="52"/>
      <c r="AE1890" s="52"/>
      <c r="AF1890" s="52"/>
      <c r="AG1890" s="52"/>
      <c r="AH1890" s="52"/>
      <c r="AI1890" s="52"/>
      <c r="AJ1890" s="52"/>
      <c r="AK1890" s="52"/>
      <c r="AL1890" s="52"/>
      <c r="AM1890" s="52"/>
      <c r="AN1890" s="52"/>
    </row>
    <row r="1891" spans="1:40" x14ac:dyDescent="0.3">
      <c r="A1891" s="52">
        <v>1886</v>
      </c>
      <c r="B1891" s="52">
        <f>-bthan*500+(35+0.5)*bthan*1000/50</f>
        <v>1155</v>
      </c>
      <c r="C1891" s="52">
        <f t="shared" si="207"/>
        <v>-50</v>
      </c>
      <c r="D1891" s="52">
        <f t="shared" si="205"/>
        <v>2200</v>
      </c>
      <c r="E1891" s="52">
        <f t="shared" si="206"/>
        <v>1</v>
      </c>
      <c r="F1891" s="52"/>
      <c r="G1891" s="52"/>
      <c r="H1891" s="52"/>
      <c r="I1891" s="52"/>
      <c r="J1891" s="52"/>
      <c r="K1891" s="52"/>
      <c r="L1891" s="52"/>
      <c r="M1891" s="52"/>
      <c r="N1891" s="52"/>
      <c r="O1891" s="52"/>
      <c r="P1891" s="52"/>
      <c r="Q1891" s="52"/>
      <c r="R1891" s="52"/>
      <c r="S1891" s="52"/>
      <c r="T1891" s="52"/>
      <c r="U1891" s="52"/>
      <c r="V1891" s="52"/>
      <c r="W1891" s="52"/>
      <c r="X1891" s="52"/>
      <c r="Y1891" s="52"/>
      <c r="Z1891" s="52"/>
      <c r="AA1891" s="52"/>
      <c r="AB1891" s="52"/>
      <c r="AC1891" s="52"/>
      <c r="AD1891" s="52"/>
      <c r="AE1891" s="52"/>
      <c r="AF1891" s="52"/>
      <c r="AG1891" s="52"/>
      <c r="AH1891" s="52"/>
      <c r="AI1891" s="52"/>
      <c r="AJ1891" s="52"/>
      <c r="AK1891" s="52"/>
      <c r="AL1891" s="52"/>
      <c r="AM1891" s="52"/>
      <c r="AN1891" s="52"/>
    </row>
    <row r="1892" spans="1:40" x14ac:dyDescent="0.3">
      <c r="A1892" s="52">
        <v>1887</v>
      </c>
      <c r="B1892" s="52">
        <f>-bthan*500+(36+0.5)*bthan*1000/50</f>
        <v>1265</v>
      </c>
      <c r="C1892" s="52">
        <f t="shared" si="207"/>
        <v>-50</v>
      </c>
      <c r="D1892" s="52">
        <f t="shared" si="205"/>
        <v>2200</v>
      </c>
      <c r="E1892" s="52">
        <f t="shared" si="206"/>
        <v>1</v>
      </c>
      <c r="F1892" s="52"/>
      <c r="G1892" s="52"/>
      <c r="H1892" s="52"/>
      <c r="I1892" s="52"/>
      <c r="J1892" s="52"/>
      <c r="K1892" s="52"/>
      <c r="L1892" s="52"/>
      <c r="M1892" s="52"/>
      <c r="N1892" s="52"/>
      <c r="O1892" s="52"/>
      <c r="P1892" s="52"/>
      <c r="Q1892" s="52"/>
      <c r="R1892" s="52"/>
      <c r="S1892" s="52"/>
      <c r="T1892" s="52"/>
      <c r="U1892" s="52"/>
      <c r="V1892" s="52"/>
      <c r="W1892" s="52"/>
      <c r="X1892" s="52"/>
      <c r="Y1892" s="52"/>
      <c r="Z1892" s="52"/>
      <c r="AA1892" s="52"/>
      <c r="AB1892" s="52"/>
      <c r="AC1892" s="52"/>
      <c r="AD1892" s="52"/>
      <c r="AE1892" s="52"/>
      <c r="AF1892" s="52"/>
      <c r="AG1892" s="52"/>
      <c r="AH1892" s="52"/>
      <c r="AI1892" s="52"/>
      <c r="AJ1892" s="52"/>
      <c r="AK1892" s="52"/>
      <c r="AL1892" s="52"/>
      <c r="AM1892" s="52"/>
      <c r="AN1892" s="52"/>
    </row>
    <row r="1893" spans="1:40" x14ac:dyDescent="0.3">
      <c r="A1893" s="52">
        <v>1888</v>
      </c>
      <c r="B1893" s="52">
        <f>-bthan*500+(37+0.5)*bthan*1000/50</f>
        <v>1375</v>
      </c>
      <c r="C1893" s="52">
        <f t="shared" si="207"/>
        <v>-50</v>
      </c>
      <c r="D1893" s="52">
        <f t="shared" si="205"/>
        <v>2200</v>
      </c>
      <c r="E1893" s="52">
        <f t="shared" si="206"/>
        <v>1</v>
      </c>
      <c r="F1893" s="52"/>
      <c r="G1893" s="52"/>
      <c r="H1893" s="52"/>
      <c r="I1893" s="52"/>
      <c r="J1893" s="52"/>
      <c r="K1893" s="52"/>
      <c r="L1893" s="52"/>
      <c r="M1893" s="52"/>
      <c r="N1893" s="52"/>
      <c r="O1893" s="52"/>
      <c r="P1893" s="52"/>
      <c r="Q1893" s="52"/>
      <c r="R1893" s="52"/>
      <c r="S1893" s="52"/>
      <c r="T1893" s="52"/>
      <c r="U1893" s="52"/>
      <c r="V1893" s="52"/>
      <c r="W1893" s="52"/>
      <c r="X1893" s="52"/>
      <c r="Y1893" s="52"/>
      <c r="Z1893" s="52"/>
      <c r="AA1893" s="52"/>
      <c r="AB1893" s="52"/>
      <c r="AC1893" s="52"/>
      <c r="AD1893" s="52"/>
      <c r="AE1893" s="52"/>
      <c r="AF1893" s="52"/>
      <c r="AG1893" s="52"/>
      <c r="AH1893" s="52"/>
      <c r="AI1893" s="52"/>
      <c r="AJ1893" s="52"/>
      <c r="AK1893" s="52"/>
      <c r="AL1893" s="52"/>
      <c r="AM1893" s="52"/>
      <c r="AN1893" s="52"/>
    </row>
    <row r="1894" spans="1:40" x14ac:dyDescent="0.3">
      <c r="A1894" s="52">
        <v>1889</v>
      </c>
      <c r="B1894" s="52">
        <f>-bthan*500+(38+0.5)*bthan*1000/50</f>
        <v>1485</v>
      </c>
      <c r="C1894" s="52">
        <f t="shared" si="207"/>
        <v>-50</v>
      </c>
      <c r="D1894" s="52">
        <f t="shared" si="205"/>
        <v>2200</v>
      </c>
      <c r="E1894" s="52">
        <f t="shared" si="206"/>
        <v>1</v>
      </c>
      <c r="F1894" s="52"/>
      <c r="G1894" s="52"/>
      <c r="H1894" s="52"/>
      <c r="I1894" s="52"/>
      <c r="J1894" s="52"/>
      <c r="K1894" s="52"/>
      <c r="L1894" s="52"/>
      <c r="M1894" s="52"/>
      <c r="N1894" s="52"/>
      <c r="O1894" s="52"/>
      <c r="P1894" s="52"/>
      <c r="Q1894" s="52"/>
      <c r="R1894" s="52"/>
      <c r="S1894" s="52"/>
      <c r="T1894" s="52"/>
      <c r="U1894" s="52"/>
      <c r="V1894" s="52"/>
      <c r="W1894" s="52"/>
      <c r="X1894" s="52"/>
      <c r="Y1894" s="52"/>
      <c r="Z1894" s="52"/>
      <c r="AA1894" s="52"/>
      <c r="AB1894" s="52"/>
      <c r="AC1894" s="52"/>
      <c r="AD1894" s="52"/>
      <c r="AE1894" s="52"/>
      <c r="AF1894" s="52"/>
      <c r="AG1894" s="52"/>
      <c r="AH1894" s="52"/>
      <c r="AI1894" s="52"/>
      <c r="AJ1894" s="52"/>
      <c r="AK1894" s="52"/>
      <c r="AL1894" s="52"/>
      <c r="AM1894" s="52"/>
      <c r="AN1894" s="52"/>
    </row>
    <row r="1895" spans="1:40" x14ac:dyDescent="0.3">
      <c r="A1895" s="52">
        <v>1890</v>
      </c>
      <c r="B1895" s="52">
        <f>-bthan*500+(39+0.5)*bthan*1000/50</f>
        <v>1595</v>
      </c>
      <c r="C1895" s="52">
        <f t="shared" si="207"/>
        <v>-50</v>
      </c>
      <c r="D1895" s="52">
        <f t="shared" si="205"/>
        <v>2200</v>
      </c>
      <c r="E1895" s="52">
        <f t="shared" si="206"/>
        <v>1</v>
      </c>
      <c r="F1895" s="52"/>
      <c r="G1895" s="52"/>
      <c r="H1895" s="52"/>
      <c r="I1895" s="52"/>
      <c r="J1895" s="52"/>
      <c r="K1895" s="52"/>
      <c r="L1895" s="52"/>
      <c r="M1895" s="52"/>
      <c r="N1895" s="52"/>
      <c r="O1895" s="52"/>
      <c r="P1895" s="52"/>
      <c r="Q1895" s="52"/>
      <c r="R1895" s="52"/>
      <c r="S1895" s="52"/>
      <c r="T1895" s="52"/>
      <c r="U1895" s="52"/>
      <c r="V1895" s="52"/>
      <c r="W1895" s="52"/>
      <c r="X1895" s="52"/>
      <c r="Y1895" s="52"/>
      <c r="Z1895" s="52"/>
      <c r="AA1895" s="52"/>
      <c r="AB1895" s="52"/>
      <c r="AC1895" s="52"/>
      <c r="AD1895" s="52"/>
      <c r="AE1895" s="52"/>
      <c r="AF1895" s="52"/>
      <c r="AG1895" s="52"/>
      <c r="AH1895" s="52"/>
      <c r="AI1895" s="52"/>
      <c r="AJ1895" s="52"/>
      <c r="AK1895" s="52"/>
      <c r="AL1895" s="52"/>
      <c r="AM1895" s="52"/>
      <c r="AN1895" s="52"/>
    </row>
    <row r="1896" spans="1:40" x14ac:dyDescent="0.3">
      <c r="A1896" s="52">
        <v>1891</v>
      </c>
      <c r="B1896" s="52">
        <f>-bthan*500+(40+0.5)*bthan*1000/50</f>
        <v>1705</v>
      </c>
      <c r="C1896" s="52">
        <f t="shared" si="207"/>
        <v>-50</v>
      </c>
      <c r="D1896" s="52">
        <f t="shared" si="205"/>
        <v>2200</v>
      </c>
      <c r="E1896" s="52">
        <f t="shared" si="206"/>
        <v>1</v>
      </c>
      <c r="F1896" s="52"/>
      <c r="G1896" s="52"/>
      <c r="H1896" s="52"/>
      <c r="I1896" s="52"/>
      <c r="J1896" s="52"/>
      <c r="K1896" s="52"/>
      <c r="L1896" s="52"/>
      <c r="M1896" s="52"/>
      <c r="N1896" s="52"/>
      <c r="O1896" s="52"/>
      <c r="P1896" s="52"/>
      <c r="Q1896" s="52"/>
      <c r="R1896" s="52"/>
      <c r="S1896" s="52"/>
      <c r="T1896" s="52"/>
      <c r="U1896" s="52"/>
      <c r="V1896" s="52"/>
      <c r="W1896" s="52"/>
      <c r="X1896" s="52"/>
      <c r="Y1896" s="52"/>
      <c r="Z1896" s="52"/>
      <c r="AA1896" s="52"/>
      <c r="AB1896" s="52"/>
      <c r="AC1896" s="52"/>
      <c r="AD1896" s="52"/>
      <c r="AE1896" s="52"/>
      <c r="AF1896" s="52"/>
      <c r="AG1896" s="52"/>
      <c r="AH1896" s="52"/>
      <c r="AI1896" s="52"/>
      <c r="AJ1896" s="52"/>
      <c r="AK1896" s="52"/>
      <c r="AL1896" s="52"/>
      <c r="AM1896" s="52"/>
      <c r="AN1896" s="52"/>
    </row>
    <row r="1897" spans="1:40" x14ac:dyDescent="0.3">
      <c r="A1897" s="52">
        <v>1892</v>
      </c>
      <c r="B1897" s="52">
        <f>-bthan*500+(41+0.5)*bthan*1000/50</f>
        <v>1815</v>
      </c>
      <c r="C1897" s="52">
        <f t="shared" si="207"/>
        <v>-50</v>
      </c>
      <c r="D1897" s="52">
        <f t="shared" si="205"/>
        <v>2200</v>
      </c>
      <c r="E1897" s="52">
        <f t="shared" si="206"/>
        <v>1</v>
      </c>
      <c r="F1897" s="52"/>
      <c r="G1897" s="52"/>
      <c r="H1897" s="52"/>
      <c r="I1897" s="52"/>
      <c r="J1897" s="52"/>
      <c r="K1897" s="52"/>
      <c r="L1897" s="52"/>
      <c r="M1897" s="52"/>
      <c r="N1897" s="52"/>
      <c r="O1897" s="52"/>
      <c r="P1897" s="52"/>
      <c r="Q1897" s="52"/>
      <c r="R1897" s="52"/>
      <c r="S1897" s="52"/>
      <c r="T1897" s="52"/>
      <c r="U1897" s="52"/>
      <c r="V1897" s="52"/>
      <c r="W1897" s="52"/>
      <c r="X1897" s="52"/>
      <c r="Y1897" s="52"/>
      <c r="Z1897" s="52"/>
      <c r="AA1897" s="52"/>
      <c r="AB1897" s="52"/>
      <c r="AC1897" s="52"/>
      <c r="AD1897" s="52"/>
      <c r="AE1897" s="52"/>
      <c r="AF1897" s="52"/>
      <c r="AG1897" s="52"/>
      <c r="AH1897" s="52"/>
      <c r="AI1897" s="52"/>
      <c r="AJ1897" s="52"/>
      <c r="AK1897" s="52"/>
      <c r="AL1897" s="52"/>
      <c r="AM1897" s="52"/>
      <c r="AN1897" s="52"/>
    </row>
    <row r="1898" spans="1:40" x14ac:dyDescent="0.3">
      <c r="A1898" s="52">
        <v>1893</v>
      </c>
      <c r="B1898" s="52">
        <f>-bthan*500+(42+0.5)*bthan*1000/50</f>
        <v>1925</v>
      </c>
      <c r="C1898" s="52">
        <f t="shared" si="207"/>
        <v>-50</v>
      </c>
      <c r="D1898" s="52">
        <f t="shared" si="205"/>
        <v>2200</v>
      </c>
      <c r="E1898" s="52">
        <f t="shared" si="206"/>
        <v>1</v>
      </c>
      <c r="F1898" s="52"/>
      <c r="G1898" s="52"/>
      <c r="H1898" s="52"/>
      <c r="I1898" s="52"/>
      <c r="J1898" s="52"/>
      <c r="K1898" s="52"/>
      <c r="L1898" s="52"/>
      <c r="M1898" s="52"/>
      <c r="N1898" s="52"/>
      <c r="O1898" s="52"/>
      <c r="P1898" s="52"/>
      <c r="Q1898" s="52"/>
      <c r="R1898" s="52"/>
      <c r="S1898" s="52"/>
      <c r="T1898" s="52"/>
      <c r="U1898" s="52"/>
      <c r="V1898" s="52"/>
      <c r="W1898" s="52"/>
      <c r="X1898" s="52"/>
      <c r="Y1898" s="52"/>
      <c r="Z1898" s="52"/>
      <c r="AA1898" s="52"/>
      <c r="AB1898" s="52"/>
      <c r="AC1898" s="52"/>
      <c r="AD1898" s="52"/>
      <c r="AE1898" s="52"/>
      <c r="AF1898" s="52"/>
      <c r="AG1898" s="52"/>
      <c r="AH1898" s="52"/>
      <c r="AI1898" s="52"/>
      <c r="AJ1898" s="52"/>
      <c r="AK1898" s="52"/>
      <c r="AL1898" s="52"/>
      <c r="AM1898" s="52"/>
      <c r="AN1898" s="52"/>
    </row>
    <row r="1899" spans="1:40" x14ac:dyDescent="0.3">
      <c r="A1899" s="52">
        <v>1894</v>
      </c>
      <c r="B1899" s="52">
        <f>-bthan*500+(43+0.5)*bthan*1000/50</f>
        <v>2035</v>
      </c>
      <c r="C1899" s="52">
        <f t="shared" si="207"/>
        <v>-50</v>
      </c>
      <c r="D1899" s="52">
        <f t="shared" si="205"/>
        <v>2200</v>
      </c>
      <c r="E1899" s="52">
        <f t="shared" si="206"/>
        <v>1</v>
      </c>
      <c r="F1899" s="52"/>
      <c r="G1899" s="52"/>
      <c r="H1899" s="52"/>
      <c r="I1899" s="52"/>
      <c r="J1899" s="52"/>
      <c r="K1899" s="52"/>
      <c r="L1899" s="52"/>
      <c r="M1899" s="52"/>
      <c r="N1899" s="52"/>
      <c r="O1899" s="52"/>
      <c r="P1899" s="52"/>
      <c r="Q1899" s="52"/>
      <c r="R1899" s="52"/>
      <c r="S1899" s="52"/>
      <c r="T1899" s="52"/>
      <c r="U1899" s="52"/>
      <c r="V1899" s="52"/>
      <c r="W1899" s="52"/>
      <c r="X1899" s="52"/>
      <c r="Y1899" s="52"/>
      <c r="Z1899" s="52"/>
      <c r="AA1899" s="52"/>
      <c r="AB1899" s="52"/>
      <c r="AC1899" s="52"/>
      <c r="AD1899" s="52"/>
      <c r="AE1899" s="52"/>
      <c r="AF1899" s="52"/>
      <c r="AG1899" s="52"/>
      <c r="AH1899" s="52"/>
      <c r="AI1899" s="52"/>
      <c r="AJ1899" s="52"/>
      <c r="AK1899" s="52"/>
      <c r="AL1899" s="52"/>
      <c r="AM1899" s="52"/>
      <c r="AN1899" s="52"/>
    </row>
    <row r="1900" spans="1:40" x14ac:dyDescent="0.3">
      <c r="A1900" s="52">
        <v>1895</v>
      </c>
      <c r="B1900" s="52">
        <f>-bthan*500+(44+0.5)*bthan*1000/50</f>
        <v>2145</v>
      </c>
      <c r="C1900" s="52">
        <f t="shared" si="207"/>
        <v>-50</v>
      </c>
      <c r="D1900" s="52">
        <f t="shared" si="205"/>
        <v>2200</v>
      </c>
      <c r="E1900" s="52">
        <f t="shared" si="206"/>
        <v>1</v>
      </c>
      <c r="F1900" s="52"/>
      <c r="G1900" s="52"/>
      <c r="H1900" s="52"/>
      <c r="I1900" s="52"/>
      <c r="J1900" s="52"/>
      <c r="K1900" s="52"/>
      <c r="L1900" s="52"/>
      <c r="M1900" s="52"/>
      <c r="N1900" s="52"/>
      <c r="O1900" s="52"/>
      <c r="P1900" s="52"/>
      <c r="Q1900" s="52"/>
      <c r="R1900" s="52"/>
      <c r="S1900" s="52"/>
      <c r="T1900" s="52"/>
      <c r="U1900" s="52"/>
      <c r="V1900" s="52"/>
      <c r="W1900" s="52"/>
      <c r="X1900" s="52"/>
      <c r="Y1900" s="52"/>
      <c r="Z1900" s="52"/>
      <c r="AA1900" s="52"/>
      <c r="AB1900" s="52"/>
      <c r="AC1900" s="52"/>
      <c r="AD1900" s="52"/>
      <c r="AE1900" s="52"/>
      <c r="AF1900" s="52"/>
      <c r="AG1900" s="52"/>
      <c r="AH1900" s="52"/>
      <c r="AI1900" s="52"/>
      <c r="AJ1900" s="52"/>
      <c r="AK1900" s="52"/>
      <c r="AL1900" s="52"/>
      <c r="AM1900" s="52"/>
      <c r="AN1900" s="52"/>
    </row>
    <row r="1901" spans="1:40" x14ac:dyDescent="0.3">
      <c r="A1901" s="52">
        <v>1896</v>
      </c>
      <c r="B1901" s="52">
        <f>-bthan*500+(45+0.5)*bthan*1000/50</f>
        <v>2255</v>
      </c>
      <c r="C1901" s="52">
        <f t="shared" si="207"/>
        <v>-50</v>
      </c>
      <c r="D1901" s="52">
        <f t="shared" si="205"/>
        <v>2200</v>
      </c>
      <c r="E1901" s="52">
        <f t="shared" si="206"/>
        <v>1</v>
      </c>
      <c r="F1901" s="52"/>
      <c r="G1901" s="52"/>
      <c r="H1901" s="52"/>
      <c r="I1901" s="52"/>
      <c r="J1901" s="52"/>
      <c r="K1901" s="52"/>
      <c r="L1901" s="52"/>
      <c r="M1901" s="52"/>
      <c r="N1901" s="52"/>
      <c r="O1901" s="52"/>
      <c r="P1901" s="52"/>
      <c r="Q1901" s="52"/>
      <c r="R1901" s="52"/>
      <c r="S1901" s="52"/>
      <c r="T1901" s="52"/>
      <c r="U1901" s="52"/>
      <c r="V1901" s="52"/>
      <c r="W1901" s="52"/>
      <c r="X1901" s="52"/>
      <c r="Y1901" s="52"/>
      <c r="Z1901" s="52"/>
      <c r="AA1901" s="52"/>
      <c r="AB1901" s="52"/>
      <c r="AC1901" s="52"/>
      <c r="AD1901" s="52"/>
      <c r="AE1901" s="52"/>
      <c r="AF1901" s="52"/>
      <c r="AG1901" s="52"/>
      <c r="AH1901" s="52"/>
      <c r="AI1901" s="52"/>
      <c r="AJ1901" s="52"/>
      <c r="AK1901" s="52"/>
      <c r="AL1901" s="52"/>
      <c r="AM1901" s="52"/>
      <c r="AN1901" s="52"/>
    </row>
    <row r="1902" spans="1:40" x14ac:dyDescent="0.3">
      <c r="A1902" s="52">
        <v>1897</v>
      </c>
      <c r="B1902" s="52">
        <f>-bthan*500+(46+0.5)*bthan*1000/50</f>
        <v>2365</v>
      </c>
      <c r="C1902" s="52">
        <f t="shared" si="207"/>
        <v>-50</v>
      </c>
      <c r="D1902" s="52">
        <f t="shared" si="205"/>
        <v>2200</v>
      </c>
      <c r="E1902" s="52">
        <f t="shared" si="206"/>
        <v>1</v>
      </c>
      <c r="F1902" s="52"/>
      <c r="G1902" s="52"/>
      <c r="H1902" s="52"/>
      <c r="I1902" s="52"/>
      <c r="J1902" s="52"/>
      <c r="K1902" s="52"/>
      <c r="L1902" s="52"/>
      <c r="M1902" s="52"/>
      <c r="N1902" s="52"/>
      <c r="O1902" s="52"/>
      <c r="P1902" s="52"/>
      <c r="Q1902" s="52"/>
      <c r="R1902" s="52"/>
      <c r="S1902" s="52"/>
      <c r="T1902" s="52"/>
      <c r="U1902" s="52"/>
      <c r="V1902" s="52"/>
      <c r="W1902" s="52"/>
      <c r="X1902" s="52"/>
      <c r="Y1902" s="52"/>
      <c r="Z1902" s="52"/>
      <c r="AA1902" s="52"/>
      <c r="AB1902" s="52"/>
      <c r="AC1902" s="52"/>
      <c r="AD1902" s="52"/>
      <c r="AE1902" s="52"/>
      <c r="AF1902" s="52"/>
      <c r="AG1902" s="52"/>
      <c r="AH1902" s="52"/>
      <c r="AI1902" s="52"/>
      <c r="AJ1902" s="52"/>
      <c r="AK1902" s="52"/>
      <c r="AL1902" s="52"/>
      <c r="AM1902" s="52"/>
      <c r="AN1902" s="52"/>
    </row>
    <row r="1903" spans="1:40" x14ac:dyDescent="0.3">
      <c r="A1903" s="52">
        <v>1898</v>
      </c>
      <c r="B1903" s="52">
        <f>-bthan*500+(47+0.5)*bthan*1000/50</f>
        <v>2475</v>
      </c>
      <c r="C1903" s="52">
        <f t="shared" si="207"/>
        <v>-50</v>
      </c>
      <c r="D1903" s="52">
        <f t="shared" si="205"/>
        <v>2200</v>
      </c>
      <c r="E1903" s="52">
        <f t="shared" si="206"/>
        <v>1</v>
      </c>
      <c r="F1903" s="52"/>
      <c r="G1903" s="52"/>
      <c r="H1903" s="52"/>
      <c r="I1903" s="52"/>
      <c r="J1903" s="52"/>
      <c r="K1903" s="52"/>
      <c r="L1903" s="52"/>
      <c r="M1903" s="52"/>
      <c r="N1903" s="52"/>
      <c r="O1903" s="52"/>
      <c r="P1903" s="52"/>
      <c r="Q1903" s="52"/>
      <c r="R1903" s="52"/>
      <c r="S1903" s="52"/>
      <c r="T1903" s="52"/>
      <c r="U1903" s="52"/>
      <c r="V1903" s="52"/>
      <c r="W1903" s="52"/>
      <c r="X1903" s="52"/>
      <c r="Y1903" s="52"/>
      <c r="Z1903" s="52"/>
      <c r="AA1903" s="52"/>
      <c r="AB1903" s="52"/>
      <c r="AC1903" s="52"/>
      <c r="AD1903" s="52"/>
      <c r="AE1903" s="52"/>
      <c r="AF1903" s="52"/>
      <c r="AG1903" s="52"/>
      <c r="AH1903" s="52"/>
      <c r="AI1903" s="52"/>
      <c r="AJ1903" s="52"/>
      <c r="AK1903" s="52"/>
      <c r="AL1903" s="52"/>
      <c r="AM1903" s="52"/>
      <c r="AN1903" s="52"/>
    </row>
    <row r="1904" spans="1:40" x14ac:dyDescent="0.3">
      <c r="A1904" s="52">
        <v>1899</v>
      </c>
      <c r="B1904" s="52">
        <f>-bthan*500+(48+0.5)*bthan*1000/50</f>
        <v>2585</v>
      </c>
      <c r="C1904" s="52">
        <f t="shared" si="207"/>
        <v>-50</v>
      </c>
      <c r="D1904" s="52">
        <f t="shared" si="205"/>
        <v>2200</v>
      </c>
      <c r="E1904" s="52">
        <f t="shared" si="206"/>
        <v>1</v>
      </c>
      <c r="F1904" s="52"/>
      <c r="G1904" s="52"/>
      <c r="H1904" s="52"/>
      <c r="I1904" s="52"/>
      <c r="J1904" s="52"/>
      <c r="K1904" s="52"/>
      <c r="L1904" s="52"/>
      <c r="M1904" s="52"/>
      <c r="N1904" s="52"/>
      <c r="O1904" s="52"/>
      <c r="P1904" s="52"/>
      <c r="Q1904" s="52"/>
      <c r="R1904" s="52"/>
      <c r="S1904" s="52"/>
      <c r="T1904" s="52"/>
      <c r="U1904" s="52"/>
      <c r="V1904" s="52"/>
      <c r="W1904" s="52"/>
      <c r="X1904" s="52"/>
      <c r="Y1904" s="52"/>
      <c r="Z1904" s="52"/>
      <c r="AA1904" s="52"/>
      <c r="AB1904" s="52"/>
      <c r="AC1904" s="52"/>
      <c r="AD1904" s="52"/>
      <c r="AE1904" s="52"/>
      <c r="AF1904" s="52"/>
      <c r="AG1904" s="52"/>
      <c r="AH1904" s="52"/>
      <c r="AI1904" s="52"/>
      <c r="AJ1904" s="52"/>
      <c r="AK1904" s="52"/>
      <c r="AL1904" s="52"/>
      <c r="AM1904" s="52"/>
      <c r="AN1904" s="52"/>
    </row>
    <row r="1905" spans="1:40" x14ac:dyDescent="0.3">
      <c r="A1905" s="52">
        <v>1900</v>
      </c>
      <c r="B1905" s="52">
        <f>-bthan*500+(49+0.5)*bthan*1000/50</f>
        <v>2695</v>
      </c>
      <c r="C1905" s="52">
        <f t="shared" si="207"/>
        <v>-50</v>
      </c>
      <c r="D1905" s="52">
        <f t="shared" si="205"/>
        <v>2200</v>
      </c>
      <c r="E1905" s="52">
        <f t="shared" si="206"/>
        <v>1</v>
      </c>
      <c r="F1905" s="52"/>
      <c r="G1905" s="52"/>
      <c r="H1905" s="52"/>
      <c r="I1905" s="52"/>
      <c r="J1905" s="52"/>
      <c r="K1905" s="52"/>
      <c r="L1905" s="52"/>
      <c r="M1905" s="52"/>
      <c r="N1905" s="52"/>
      <c r="O1905" s="52"/>
      <c r="P1905" s="52"/>
      <c r="Q1905" s="52"/>
      <c r="R1905" s="52"/>
      <c r="S1905" s="52"/>
      <c r="T1905" s="52"/>
      <c r="U1905" s="52"/>
      <c r="V1905" s="52"/>
      <c r="W1905" s="52"/>
      <c r="X1905" s="52"/>
      <c r="Y1905" s="52"/>
      <c r="Z1905" s="52"/>
      <c r="AA1905" s="52"/>
      <c r="AB1905" s="52"/>
      <c r="AC1905" s="52"/>
      <c r="AD1905" s="52"/>
      <c r="AE1905" s="52"/>
      <c r="AF1905" s="52"/>
      <c r="AG1905" s="52"/>
      <c r="AH1905" s="52"/>
      <c r="AI1905" s="52"/>
      <c r="AJ1905" s="52"/>
      <c r="AK1905" s="52"/>
      <c r="AL1905" s="52"/>
      <c r="AM1905" s="52"/>
      <c r="AN1905" s="52"/>
    </row>
    <row r="1906" spans="1:40" x14ac:dyDescent="0.3">
      <c r="A1906" s="52">
        <v>1901</v>
      </c>
      <c r="B1906" s="52">
        <f>-bthan*500+(0+0.5)*bthan*1000/50</f>
        <v>-2695</v>
      </c>
      <c r="C1906" s="52">
        <f t="shared" ref="C1906:C1937" si="208">-hthan*500+(38+0.5)*hthan*1000/80</f>
        <v>-30</v>
      </c>
      <c r="D1906" s="52">
        <f t="shared" si="205"/>
        <v>2200</v>
      </c>
      <c r="E1906" s="52">
        <f t="shared" si="206"/>
        <v>1</v>
      </c>
      <c r="F1906" s="52"/>
      <c r="G1906" s="52"/>
      <c r="H1906" s="52"/>
      <c r="I1906" s="52"/>
      <c r="J1906" s="52"/>
      <c r="K1906" s="52"/>
      <c r="L1906" s="52"/>
      <c r="M1906" s="52"/>
      <c r="N1906" s="52"/>
      <c r="O1906" s="52"/>
      <c r="P1906" s="52"/>
      <c r="Q1906" s="52"/>
      <c r="R1906" s="52"/>
      <c r="S1906" s="52"/>
      <c r="T1906" s="52"/>
      <c r="U1906" s="52"/>
      <c r="V1906" s="52"/>
      <c r="W1906" s="52"/>
      <c r="X1906" s="52"/>
      <c r="Y1906" s="52"/>
      <c r="Z1906" s="52"/>
      <c r="AA1906" s="52"/>
      <c r="AB1906" s="52"/>
      <c r="AC1906" s="52"/>
      <c r="AD1906" s="52"/>
      <c r="AE1906" s="52"/>
      <c r="AF1906" s="52"/>
      <c r="AG1906" s="52"/>
      <c r="AH1906" s="52"/>
      <c r="AI1906" s="52"/>
      <c r="AJ1906" s="52"/>
      <c r="AK1906" s="52"/>
      <c r="AL1906" s="52"/>
      <c r="AM1906" s="52"/>
      <c r="AN1906" s="52"/>
    </row>
    <row r="1907" spans="1:40" x14ac:dyDescent="0.3">
      <c r="A1907" s="52">
        <v>1902</v>
      </c>
      <c r="B1907" s="52">
        <f>-bthan*500+(1+0.5)*bthan*1000/50</f>
        <v>-2585</v>
      </c>
      <c r="C1907" s="52">
        <f t="shared" si="208"/>
        <v>-30</v>
      </c>
      <c r="D1907" s="52">
        <f t="shared" si="205"/>
        <v>2200</v>
      </c>
      <c r="E1907" s="52">
        <f t="shared" si="206"/>
        <v>1</v>
      </c>
      <c r="F1907" s="52"/>
      <c r="G1907" s="52"/>
      <c r="H1907" s="52"/>
      <c r="I1907" s="52"/>
      <c r="J1907" s="52"/>
      <c r="K1907" s="52"/>
      <c r="L1907" s="52"/>
      <c r="M1907" s="52"/>
      <c r="N1907" s="52"/>
      <c r="O1907" s="52"/>
      <c r="P1907" s="52"/>
      <c r="Q1907" s="52"/>
      <c r="R1907" s="52"/>
      <c r="S1907" s="52"/>
      <c r="T1907" s="52"/>
      <c r="U1907" s="52"/>
      <c r="V1907" s="52"/>
      <c r="W1907" s="52"/>
      <c r="X1907" s="52"/>
      <c r="Y1907" s="52"/>
      <c r="Z1907" s="52"/>
      <c r="AA1907" s="52"/>
      <c r="AB1907" s="52"/>
      <c r="AC1907" s="52"/>
      <c r="AD1907" s="52"/>
      <c r="AE1907" s="52"/>
      <c r="AF1907" s="52"/>
      <c r="AG1907" s="52"/>
      <c r="AH1907" s="52"/>
      <c r="AI1907" s="52"/>
      <c r="AJ1907" s="52"/>
      <c r="AK1907" s="52"/>
      <c r="AL1907" s="52"/>
      <c r="AM1907" s="52"/>
      <c r="AN1907" s="52"/>
    </row>
    <row r="1908" spans="1:40" x14ac:dyDescent="0.3">
      <c r="A1908" s="52">
        <v>1903</v>
      </c>
      <c r="B1908" s="52">
        <f>-bthan*500+(2+0.5)*bthan*1000/50</f>
        <v>-2475</v>
      </c>
      <c r="C1908" s="52">
        <f t="shared" si="208"/>
        <v>-30</v>
      </c>
      <c r="D1908" s="52">
        <f t="shared" si="205"/>
        <v>2200</v>
      </c>
      <c r="E1908" s="52">
        <f t="shared" si="206"/>
        <v>1</v>
      </c>
      <c r="F1908" s="52"/>
      <c r="G1908" s="52"/>
      <c r="H1908" s="52"/>
      <c r="I1908" s="52"/>
      <c r="J1908" s="52"/>
      <c r="K1908" s="52"/>
      <c r="L1908" s="52"/>
      <c r="M1908" s="52"/>
      <c r="N1908" s="52"/>
      <c r="O1908" s="52"/>
      <c r="P1908" s="52"/>
      <c r="Q1908" s="52"/>
      <c r="R1908" s="52"/>
      <c r="S1908" s="52"/>
      <c r="T1908" s="52"/>
      <c r="U1908" s="52"/>
      <c r="V1908" s="52"/>
      <c r="W1908" s="52"/>
      <c r="X1908" s="52"/>
      <c r="Y1908" s="52"/>
      <c r="Z1908" s="52"/>
      <c r="AA1908" s="52"/>
      <c r="AB1908" s="52"/>
      <c r="AC1908" s="52"/>
      <c r="AD1908" s="52"/>
      <c r="AE1908" s="52"/>
      <c r="AF1908" s="52"/>
      <c r="AG1908" s="52"/>
      <c r="AH1908" s="52"/>
      <c r="AI1908" s="52"/>
      <c r="AJ1908" s="52"/>
      <c r="AK1908" s="52"/>
      <c r="AL1908" s="52"/>
      <c r="AM1908" s="52"/>
      <c r="AN1908" s="52"/>
    </row>
    <row r="1909" spans="1:40" x14ac:dyDescent="0.3">
      <c r="A1909" s="52">
        <v>1904</v>
      </c>
      <c r="B1909" s="52">
        <f>-bthan*500+(3+0.5)*bthan*1000/50</f>
        <v>-2365</v>
      </c>
      <c r="C1909" s="52">
        <f t="shared" si="208"/>
        <v>-30</v>
      </c>
      <c r="D1909" s="52">
        <f t="shared" si="205"/>
        <v>2200</v>
      </c>
      <c r="E1909" s="52">
        <f t="shared" si="206"/>
        <v>1</v>
      </c>
      <c r="F1909" s="52"/>
      <c r="G1909" s="52"/>
      <c r="H1909" s="52"/>
      <c r="I1909" s="52"/>
      <c r="J1909" s="52"/>
      <c r="K1909" s="52"/>
      <c r="L1909" s="52"/>
      <c r="M1909" s="52"/>
      <c r="N1909" s="52"/>
      <c r="O1909" s="52"/>
      <c r="P1909" s="52"/>
      <c r="Q1909" s="52"/>
      <c r="R1909" s="52"/>
      <c r="S1909" s="52"/>
      <c r="T1909" s="52"/>
      <c r="U1909" s="52"/>
      <c r="V1909" s="52"/>
      <c r="W1909" s="52"/>
      <c r="X1909" s="52"/>
      <c r="Y1909" s="52"/>
      <c r="Z1909" s="52"/>
      <c r="AA1909" s="52"/>
      <c r="AB1909" s="52"/>
      <c r="AC1909" s="52"/>
      <c r="AD1909" s="52"/>
      <c r="AE1909" s="52"/>
      <c r="AF1909" s="52"/>
      <c r="AG1909" s="52"/>
      <c r="AH1909" s="52"/>
      <c r="AI1909" s="52"/>
      <c r="AJ1909" s="52"/>
      <c r="AK1909" s="52"/>
      <c r="AL1909" s="52"/>
      <c r="AM1909" s="52"/>
      <c r="AN1909" s="52"/>
    </row>
    <row r="1910" spans="1:40" x14ac:dyDescent="0.3">
      <c r="A1910" s="52">
        <v>1905</v>
      </c>
      <c r="B1910" s="52">
        <f>-bthan*500+(4+0.5)*bthan*1000/50</f>
        <v>-2255</v>
      </c>
      <c r="C1910" s="52">
        <f t="shared" si="208"/>
        <v>-30</v>
      </c>
      <c r="D1910" s="52">
        <f t="shared" si="205"/>
        <v>2200</v>
      </c>
      <c r="E1910" s="52">
        <f t="shared" si="206"/>
        <v>1</v>
      </c>
      <c r="F1910" s="52"/>
      <c r="G1910" s="52"/>
      <c r="H1910" s="52"/>
      <c r="I1910" s="52"/>
      <c r="J1910" s="52"/>
      <c r="K1910" s="52"/>
      <c r="L1910" s="52"/>
      <c r="M1910" s="52"/>
      <c r="N1910" s="52"/>
      <c r="O1910" s="52"/>
      <c r="P1910" s="52"/>
      <c r="Q1910" s="52"/>
      <c r="R1910" s="52"/>
      <c r="S1910" s="52"/>
      <c r="T1910" s="52"/>
      <c r="U1910" s="52"/>
      <c r="V1910" s="52"/>
      <c r="W1910" s="52"/>
      <c r="X1910" s="52"/>
      <c r="Y1910" s="52"/>
      <c r="Z1910" s="52"/>
      <c r="AA1910" s="52"/>
      <c r="AB1910" s="52"/>
      <c r="AC1910" s="52"/>
      <c r="AD1910" s="52"/>
      <c r="AE1910" s="52"/>
      <c r="AF1910" s="52"/>
      <c r="AG1910" s="52"/>
      <c r="AH1910" s="52"/>
      <c r="AI1910" s="52"/>
      <c r="AJ1910" s="52"/>
      <c r="AK1910" s="52"/>
      <c r="AL1910" s="52"/>
      <c r="AM1910" s="52"/>
      <c r="AN1910" s="52"/>
    </row>
    <row r="1911" spans="1:40" x14ac:dyDescent="0.3">
      <c r="A1911" s="52">
        <v>1906</v>
      </c>
      <c r="B1911" s="52">
        <f>-bthan*500+(5+0.5)*bthan*1000/50</f>
        <v>-2145</v>
      </c>
      <c r="C1911" s="52">
        <f t="shared" si="208"/>
        <v>-30</v>
      </c>
      <c r="D1911" s="52">
        <f t="shared" si="205"/>
        <v>2200</v>
      </c>
      <c r="E1911" s="52">
        <f t="shared" si="206"/>
        <v>1</v>
      </c>
      <c r="F1911" s="52"/>
      <c r="G1911" s="52"/>
      <c r="H1911" s="52"/>
      <c r="I1911" s="52"/>
      <c r="J1911" s="52"/>
      <c r="K1911" s="52"/>
      <c r="L1911" s="52"/>
      <c r="M1911" s="52"/>
      <c r="N1911" s="52"/>
      <c r="O1911" s="52"/>
      <c r="P1911" s="52"/>
      <c r="Q1911" s="52"/>
      <c r="R1911" s="52"/>
      <c r="S1911" s="52"/>
      <c r="T1911" s="52"/>
      <c r="U1911" s="52"/>
      <c r="V1911" s="52"/>
      <c r="W1911" s="52"/>
      <c r="X1911" s="52"/>
      <c r="Y1911" s="52"/>
      <c r="Z1911" s="52"/>
      <c r="AA1911" s="52"/>
      <c r="AB1911" s="52"/>
      <c r="AC1911" s="52"/>
      <c r="AD1911" s="52"/>
      <c r="AE1911" s="52"/>
      <c r="AF1911" s="52"/>
      <c r="AG1911" s="52"/>
      <c r="AH1911" s="52"/>
      <c r="AI1911" s="52"/>
      <c r="AJ1911" s="52"/>
      <c r="AK1911" s="52"/>
      <c r="AL1911" s="52"/>
      <c r="AM1911" s="52"/>
      <c r="AN1911" s="52"/>
    </row>
    <row r="1912" spans="1:40" x14ac:dyDescent="0.3">
      <c r="A1912" s="52">
        <v>1907</v>
      </c>
      <c r="B1912" s="52">
        <f>-bthan*500+(6+0.5)*bthan*1000/50</f>
        <v>-2035</v>
      </c>
      <c r="C1912" s="52">
        <f t="shared" si="208"/>
        <v>-30</v>
      </c>
      <c r="D1912" s="52">
        <f t="shared" si="205"/>
        <v>2200</v>
      </c>
      <c r="E1912" s="52">
        <f t="shared" si="206"/>
        <v>1</v>
      </c>
      <c r="F1912" s="52"/>
      <c r="G1912" s="52"/>
      <c r="H1912" s="52"/>
      <c r="I1912" s="52"/>
      <c r="J1912" s="52"/>
      <c r="K1912" s="52"/>
      <c r="L1912" s="52"/>
      <c r="M1912" s="52"/>
      <c r="N1912" s="52"/>
      <c r="O1912" s="52"/>
      <c r="P1912" s="52"/>
      <c r="Q1912" s="52"/>
      <c r="R1912" s="52"/>
      <c r="S1912" s="52"/>
      <c r="T1912" s="52"/>
      <c r="U1912" s="52"/>
      <c r="V1912" s="52"/>
      <c r="W1912" s="52"/>
      <c r="X1912" s="52"/>
      <c r="Y1912" s="52"/>
      <c r="Z1912" s="52"/>
      <c r="AA1912" s="52"/>
      <c r="AB1912" s="52"/>
      <c r="AC1912" s="52"/>
      <c r="AD1912" s="52"/>
      <c r="AE1912" s="52"/>
      <c r="AF1912" s="52"/>
      <c r="AG1912" s="52"/>
      <c r="AH1912" s="52"/>
      <c r="AI1912" s="52"/>
      <c r="AJ1912" s="52"/>
      <c r="AK1912" s="52"/>
      <c r="AL1912" s="52"/>
      <c r="AM1912" s="52"/>
      <c r="AN1912" s="52"/>
    </row>
    <row r="1913" spans="1:40" x14ac:dyDescent="0.3">
      <c r="A1913" s="52">
        <v>1908</v>
      </c>
      <c r="B1913" s="52">
        <f>-bthan*500+(7+0.5)*bthan*1000/50</f>
        <v>-1925</v>
      </c>
      <c r="C1913" s="52">
        <f t="shared" si="208"/>
        <v>-30</v>
      </c>
      <c r="D1913" s="52">
        <f t="shared" si="205"/>
        <v>2200</v>
      </c>
      <c r="E1913" s="52">
        <f t="shared" si="206"/>
        <v>1</v>
      </c>
      <c r="F1913" s="52"/>
      <c r="G1913" s="52"/>
      <c r="H1913" s="52"/>
      <c r="I1913" s="52"/>
      <c r="J1913" s="52"/>
      <c r="K1913" s="52"/>
      <c r="L1913" s="52"/>
      <c r="M1913" s="52"/>
      <c r="N1913" s="52"/>
      <c r="O1913" s="52"/>
      <c r="P1913" s="52"/>
      <c r="Q1913" s="52"/>
      <c r="R1913" s="52"/>
      <c r="S1913" s="52"/>
      <c r="T1913" s="52"/>
      <c r="U1913" s="52"/>
      <c r="V1913" s="52"/>
      <c r="W1913" s="52"/>
      <c r="X1913" s="52"/>
      <c r="Y1913" s="52"/>
      <c r="Z1913" s="52"/>
      <c r="AA1913" s="52"/>
      <c r="AB1913" s="52"/>
      <c r="AC1913" s="52"/>
      <c r="AD1913" s="52"/>
      <c r="AE1913" s="52"/>
      <c r="AF1913" s="52"/>
      <c r="AG1913" s="52"/>
      <c r="AH1913" s="52"/>
      <c r="AI1913" s="52"/>
      <c r="AJ1913" s="52"/>
      <c r="AK1913" s="52"/>
      <c r="AL1913" s="52"/>
      <c r="AM1913" s="52"/>
      <c r="AN1913" s="52"/>
    </row>
    <row r="1914" spans="1:40" x14ac:dyDescent="0.3">
      <c r="A1914" s="52">
        <v>1909</v>
      </c>
      <c r="B1914" s="52">
        <f>-bthan*500+(8+0.5)*bthan*1000/50</f>
        <v>-1815</v>
      </c>
      <c r="C1914" s="52">
        <f t="shared" si="208"/>
        <v>-30</v>
      </c>
      <c r="D1914" s="52">
        <f t="shared" si="205"/>
        <v>2200</v>
      </c>
      <c r="E1914" s="52">
        <f t="shared" si="206"/>
        <v>1</v>
      </c>
      <c r="F1914" s="52"/>
      <c r="G1914" s="52"/>
      <c r="H1914" s="52"/>
      <c r="I1914" s="52"/>
      <c r="J1914" s="52"/>
      <c r="K1914" s="52"/>
      <c r="L1914" s="52"/>
      <c r="M1914" s="52"/>
      <c r="N1914" s="52"/>
      <c r="O1914" s="52"/>
      <c r="P1914" s="52"/>
      <c r="Q1914" s="52"/>
      <c r="R1914" s="52"/>
      <c r="S1914" s="52"/>
      <c r="T1914" s="52"/>
      <c r="U1914" s="52"/>
      <c r="V1914" s="52"/>
      <c r="W1914" s="52"/>
      <c r="X1914" s="52"/>
      <c r="Y1914" s="52"/>
      <c r="Z1914" s="52"/>
      <c r="AA1914" s="52"/>
      <c r="AB1914" s="52"/>
      <c r="AC1914" s="52"/>
      <c r="AD1914" s="52"/>
      <c r="AE1914" s="52"/>
      <c r="AF1914" s="52"/>
      <c r="AG1914" s="52"/>
      <c r="AH1914" s="52"/>
      <c r="AI1914" s="52"/>
      <c r="AJ1914" s="52"/>
      <c r="AK1914" s="52"/>
      <c r="AL1914" s="52"/>
      <c r="AM1914" s="52"/>
      <c r="AN1914" s="52"/>
    </row>
    <row r="1915" spans="1:40" x14ac:dyDescent="0.3">
      <c r="A1915" s="52">
        <v>1910</v>
      </c>
      <c r="B1915" s="52">
        <f>-bthan*500+(9+0.5)*bthan*1000/50</f>
        <v>-1705</v>
      </c>
      <c r="C1915" s="52">
        <f t="shared" si="208"/>
        <v>-30</v>
      </c>
      <c r="D1915" s="52">
        <f t="shared" si="205"/>
        <v>2200</v>
      </c>
      <c r="E1915" s="52">
        <f t="shared" si="206"/>
        <v>1</v>
      </c>
      <c r="F1915" s="52"/>
      <c r="G1915" s="52"/>
      <c r="H1915" s="52"/>
      <c r="I1915" s="52"/>
      <c r="J1915" s="52"/>
      <c r="K1915" s="52"/>
      <c r="L1915" s="52"/>
      <c r="M1915" s="52"/>
      <c r="N1915" s="52"/>
      <c r="O1915" s="52"/>
      <c r="P1915" s="52"/>
      <c r="Q1915" s="52"/>
      <c r="R1915" s="52"/>
      <c r="S1915" s="52"/>
      <c r="T1915" s="52"/>
      <c r="U1915" s="52"/>
      <c r="V1915" s="52"/>
      <c r="W1915" s="52"/>
      <c r="X1915" s="52"/>
      <c r="Y1915" s="52"/>
      <c r="Z1915" s="52"/>
      <c r="AA1915" s="52"/>
      <c r="AB1915" s="52"/>
      <c r="AC1915" s="52"/>
      <c r="AD1915" s="52"/>
      <c r="AE1915" s="52"/>
      <c r="AF1915" s="52"/>
      <c r="AG1915" s="52"/>
      <c r="AH1915" s="52"/>
      <c r="AI1915" s="52"/>
      <c r="AJ1915" s="52"/>
      <c r="AK1915" s="52"/>
      <c r="AL1915" s="52"/>
      <c r="AM1915" s="52"/>
      <c r="AN1915" s="52"/>
    </row>
    <row r="1916" spans="1:40" x14ac:dyDescent="0.3">
      <c r="A1916" s="52">
        <v>1911</v>
      </c>
      <c r="B1916" s="52">
        <f>-bthan*500+(10+0.5)*bthan*1000/50</f>
        <v>-1595</v>
      </c>
      <c r="C1916" s="52">
        <f t="shared" si="208"/>
        <v>-30</v>
      </c>
      <c r="D1916" s="52">
        <f t="shared" si="205"/>
        <v>2200</v>
      </c>
      <c r="E1916" s="52">
        <f t="shared" si="206"/>
        <v>1</v>
      </c>
      <c r="F1916" s="52"/>
      <c r="G1916" s="52"/>
      <c r="H1916" s="52"/>
      <c r="I1916" s="52"/>
      <c r="J1916" s="52"/>
      <c r="K1916" s="52"/>
      <c r="L1916" s="52"/>
      <c r="M1916" s="52"/>
      <c r="N1916" s="52"/>
      <c r="O1916" s="52"/>
      <c r="P1916" s="52"/>
      <c r="Q1916" s="52"/>
      <c r="R1916" s="52"/>
      <c r="S1916" s="52"/>
      <c r="T1916" s="52"/>
      <c r="U1916" s="52"/>
      <c r="V1916" s="52"/>
      <c r="W1916" s="52"/>
      <c r="X1916" s="52"/>
      <c r="Y1916" s="52"/>
      <c r="Z1916" s="52"/>
      <c r="AA1916" s="52"/>
      <c r="AB1916" s="52"/>
      <c r="AC1916" s="52"/>
      <c r="AD1916" s="52"/>
      <c r="AE1916" s="52"/>
      <c r="AF1916" s="52"/>
      <c r="AG1916" s="52"/>
      <c r="AH1916" s="52"/>
      <c r="AI1916" s="52"/>
      <c r="AJ1916" s="52"/>
      <c r="AK1916" s="52"/>
      <c r="AL1916" s="52"/>
      <c r="AM1916" s="52"/>
      <c r="AN1916" s="52"/>
    </row>
    <row r="1917" spans="1:40" x14ac:dyDescent="0.3">
      <c r="A1917" s="52">
        <v>1912</v>
      </c>
      <c r="B1917" s="52">
        <f>-bthan*500+(11+0.5)*bthan*1000/50</f>
        <v>-1485</v>
      </c>
      <c r="C1917" s="52">
        <f t="shared" si="208"/>
        <v>-30</v>
      </c>
      <c r="D1917" s="52">
        <f t="shared" si="205"/>
        <v>2200</v>
      </c>
      <c r="E1917" s="52">
        <f t="shared" si="206"/>
        <v>1</v>
      </c>
      <c r="F1917" s="52"/>
      <c r="G1917" s="52"/>
      <c r="H1917" s="52"/>
      <c r="I1917" s="52"/>
      <c r="J1917" s="52"/>
      <c r="K1917" s="52"/>
      <c r="L1917" s="52"/>
      <c r="M1917" s="52"/>
      <c r="N1917" s="52"/>
      <c r="O1917" s="52"/>
      <c r="P1917" s="52"/>
      <c r="Q1917" s="52"/>
      <c r="R1917" s="52"/>
      <c r="S1917" s="52"/>
      <c r="T1917" s="52"/>
      <c r="U1917" s="52"/>
      <c r="V1917" s="52"/>
      <c r="W1917" s="52"/>
      <c r="X1917" s="52"/>
      <c r="Y1917" s="52"/>
      <c r="Z1917" s="52"/>
      <c r="AA1917" s="52"/>
      <c r="AB1917" s="52"/>
      <c r="AC1917" s="52"/>
      <c r="AD1917" s="52"/>
      <c r="AE1917" s="52"/>
      <c r="AF1917" s="52"/>
      <c r="AG1917" s="52"/>
      <c r="AH1917" s="52"/>
      <c r="AI1917" s="52"/>
      <c r="AJ1917" s="52"/>
      <c r="AK1917" s="52"/>
      <c r="AL1917" s="52"/>
      <c r="AM1917" s="52"/>
      <c r="AN1917" s="52"/>
    </row>
    <row r="1918" spans="1:40" x14ac:dyDescent="0.3">
      <c r="A1918" s="52">
        <v>1913</v>
      </c>
      <c r="B1918" s="52">
        <f>-bthan*500+(12+0.5)*bthan*1000/50</f>
        <v>-1375</v>
      </c>
      <c r="C1918" s="52">
        <f t="shared" si="208"/>
        <v>-30</v>
      </c>
      <c r="D1918" s="52">
        <f t="shared" si="205"/>
        <v>2200</v>
      </c>
      <c r="E1918" s="52">
        <f t="shared" si="206"/>
        <v>1</v>
      </c>
      <c r="F1918" s="52"/>
      <c r="G1918" s="52"/>
      <c r="H1918" s="52"/>
      <c r="I1918" s="52"/>
      <c r="J1918" s="52"/>
      <c r="K1918" s="52"/>
      <c r="L1918" s="52"/>
      <c r="M1918" s="52"/>
      <c r="N1918" s="52"/>
      <c r="O1918" s="52"/>
      <c r="P1918" s="52"/>
      <c r="Q1918" s="52"/>
      <c r="R1918" s="52"/>
      <c r="S1918" s="52"/>
      <c r="T1918" s="52"/>
      <c r="U1918" s="52"/>
      <c r="V1918" s="52"/>
      <c r="W1918" s="52"/>
      <c r="X1918" s="52"/>
      <c r="Y1918" s="52"/>
      <c r="Z1918" s="52"/>
      <c r="AA1918" s="52"/>
      <c r="AB1918" s="52"/>
      <c r="AC1918" s="52"/>
      <c r="AD1918" s="52"/>
      <c r="AE1918" s="52"/>
      <c r="AF1918" s="52"/>
      <c r="AG1918" s="52"/>
      <c r="AH1918" s="52"/>
      <c r="AI1918" s="52"/>
      <c r="AJ1918" s="52"/>
      <c r="AK1918" s="52"/>
      <c r="AL1918" s="52"/>
      <c r="AM1918" s="52"/>
      <c r="AN1918" s="52"/>
    </row>
    <row r="1919" spans="1:40" x14ac:dyDescent="0.3">
      <c r="A1919" s="52">
        <v>1914</v>
      </c>
      <c r="B1919" s="52">
        <f>-bthan*500+(13+0.5)*bthan*1000/50</f>
        <v>-1265</v>
      </c>
      <c r="C1919" s="52">
        <f t="shared" si="208"/>
        <v>-30</v>
      </c>
      <c r="D1919" s="52">
        <f t="shared" si="205"/>
        <v>2200</v>
      </c>
      <c r="E1919" s="52">
        <f t="shared" si="206"/>
        <v>1</v>
      </c>
      <c r="F1919" s="52"/>
      <c r="G1919" s="52"/>
      <c r="H1919" s="52"/>
      <c r="I1919" s="52"/>
      <c r="J1919" s="52"/>
      <c r="K1919" s="52"/>
      <c r="L1919" s="52"/>
      <c r="M1919" s="52"/>
      <c r="N1919" s="52"/>
      <c r="O1919" s="52"/>
      <c r="P1919" s="52"/>
      <c r="Q1919" s="52"/>
      <c r="R1919" s="52"/>
      <c r="S1919" s="52"/>
      <c r="T1919" s="52"/>
      <c r="U1919" s="52"/>
      <c r="V1919" s="52"/>
      <c r="W1919" s="52"/>
      <c r="X1919" s="52"/>
      <c r="Y1919" s="52"/>
      <c r="Z1919" s="52"/>
      <c r="AA1919" s="52"/>
      <c r="AB1919" s="52"/>
      <c r="AC1919" s="52"/>
      <c r="AD1919" s="52"/>
      <c r="AE1919" s="52"/>
      <c r="AF1919" s="52"/>
      <c r="AG1919" s="52"/>
      <c r="AH1919" s="52"/>
      <c r="AI1919" s="52"/>
      <c r="AJ1919" s="52"/>
      <c r="AK1919" s="52"/>
      <c r="AL1919" s="52"/>
      <c r="AM1919" s="52"/>
      <c r="AN1919" s="52"/>
    </row>
    <row r="1920" spans="1:40" x14ac:dyDescent="0.3">
      <c r="A1920" s="52">
        <v>1915</v>
      </c>
      <c r="B1920" s="52">
        <f>-bthan*500+(14+0.5)*bthan*1000/50</f>
        <v>-1155</v>
      </c>
      <c r="C1920" s="52">
        <f t="shared" si="208"/>
        <v>-30</v>
      </c>
      <c r="D1920" s="52">
        <f t="shared" si="205"/>
        <v>2200</v>
      </c>
      <c r="E1920" s="52">
        <f t="shared" si="206"/>
        <v>1</v>
      </c>
      <c r="F1920" s="52"/>
      <c r="G1920" s="52"/>
      <c r="H1920" s="52"/>
      <c r="I1920" s="52"/>
      <c r="J1920" s="52"/>
      <c r="K1920" s="52"/>
      <c r="L1920" s="52"/>
      <c r="M1920" s="52"/>
      <c r="N1920" s="52"/>
      <c r="O1920" s="52"/>
      <c r="P1920" s="52"/>
      <c r="Q1920" s="52"/>
      <c r="R1920" s="52"/>
      <c r="S1920" s="52"/>
      <c r="T1920" s="52"/>
      <c r="U1920" s="52"/>
      <c r="V1920" s="52"/>
      <c r="W1920" s="52"/>
      <c r="X1920" s="52"/>
      <c r="Y1920" s="52"/>
      <c r="Z1920" s="52"/>
      <c r="AA1920" s="52"/>
      <c r="AB1920" s="52"/>
      <c r="AC1920" s="52"/>
      <c r="AD1920" s="52"/>
      <c r="AE1920" s="52"/>
      <c r="AF1920" s="52"/>
      <c r="AG1920" s="52"/>
      <c r="AH1920" s="52"/>
      <c r="AI1920" s="52"/>
      <c r="AJ1920" s="52"/>
      <c r="AK1920" s="52"/>
      <c r="AL1920" s="52"/>
      <c r="AM1920" s="52"/>
      <c r="AN1920" s="52"/>
    </row>
    <row r="1921" spans="1:40" x14ac:dyDescent="0.3">
      <c r="A1921" s="52">
        <v>1916</v>
      </c>
      <c r="B1921" s="52">
        <f>-bthan*500+(15+0.5)*bthan*1000/50</f>
        <v>-1045</v>
      </c>
      <c r="C1921" s="52">
        <f t="shared" si="208"/>
        <v>-30</v>
      </c>
      <c r="D1921" s="52">
        <f t="shared" si="205"/>
        <v>2200</v>
      </c>
      <c r="E1921" s="52">
        <f t="shared" si="206"/>
        <v>1</v>
      </c>
      <c r="F1921" s="52"/>
      <c r="G1921" s="52"/>
      <c r="H1921" s="52"/>
      <c r="I1921" s="52"/>
      <c r="J1921" s="52"/>
      <c r="K1921" s="52"/>
      <c r="L1921" s="52"/>
      <c r="M1921" s="52"/>
      <c r="N1921" s="52"/>
      <c r="O1921" s="52"/>
      <c r="P1921" s="52"/>
      <c r="Q1921" s="52"/>
      <c r="R1921" s="52"/>
      <c r="S1921" s="52"/>
      <c r="T1921" s="52"/>
      <c r="U1921" s="52"/>
      <c r="V1921" s="52"/>
      <c r="W1921" s="52"/>
      <c r="X1921" s="52"/>
      <c r="Y1921" s="52"/>
      <c r="Z1921" s="52"/>
      <c r="AA1921" s="52"/>
      <c r="AB1921" s="52"/>
      <c r="AC1921" s="52"/>
      <c r="AD1921" s="52"/>
      <c r="AE1921" s="52"/>
      <c r="AF1921" s="52"/>
      <c r="AG1921" s="52"/>
      <c r="AH1921" s="52"/>
      <c r="AI1921" s="52"/>
      <c r="AJ1921" s="52"/>
      <c r="AK1921" s="52"/>
      <c r="AL1921" s="52"/>
      <c r="AM1921" s="52"/>
      <c r="AN1921" s="52"/>
    </row>
    <row r="1922" spans="1:40" x14ac:dyDescent="0.3">
      <c r="A1922" s="52">
        <v>1917</v>
      </c>
      <c r="B1922" s="52">
        <f>-bthan*500+(16+0.5)*bthan*1000/50</f>
        <v>-935</v>
      </c>
      <c r="C1922" s="52">
        <f t="shared" si="208"/>
        <v>-30</v>
      </c>
      <c r="D1922" s="52">
        <f t="shared" si="205"/>
        <v>2200</v>
      </c>
      <c r="E1922" s="52">
        <f t="shared" si="206"/>
        <v>1</v>
      </c>
      <c r="F1922" s="52"/>
      <c r="G1922" s="52"/>
      <c r="H1922" s="52"/>
      <c r="I1922" s="52"/>
      <c r="J1922" s="52"/>
      <c r="K1922" s="52"/>
      <c r="L1922" s="52"/>
      <c r="M1922" s="52"/>
      <c r="N1922" s="52"/>
      <c r="O1922" s="52"/>
      <c r="P1922" s="52"/>
      <c r="Q1922" s="52"/>
      <c r="R1922" s="52"/>
      <c r="S1922" s="52"/>
      <c r="T1922" s="52"/>
      <c r="U1922" s="52"/>
      <c r="V1922" s="52"/>
      <c r="W1922" s="52"/>
      <c r="X1922" s="52"/>
      <c r="Y1922" s="52"/>
      <c r="Z1922" s="52"/>
      <c r="AA1922" s="52"/>
      <c r="AB1922" s="52"/>
      <c r="AC1922" s="52"/>
      <c r="AD1922" s="52"/>
      <c r="AE1922" s="52"/>
      <c r="AF1922" s="52"/>
      <c r="AG1922" s="52"/>
      <c r="AH1922" s="52"/>
      <c r="AI1922" s="52"/>
      <c r="AJ1922" s="52"/>
      <c r="AK1922" s="52"/>
      <c r="AL1922" s="52"/>
      <c r="AM1922" s="52"/>
      <c r="AN1922" s="52"/>
    </row>
    <row r="1923" spans="1:40" x14ac:dyDescent="0.3">
      <c r="A1923" s="52">
        <v>1918</v>
      </c>
      <c r="B1923" s="52">
        <f>-bthan*500+(17+0.5)*bthan*1000/50</f>
        <v>-825</v>
      </c>
      <c r="C1923" s="52">
        <f t="shared" si="208"/>
        <v>-30</v>
      </c>
      <c r="D1923" s="52">
        <f t="shared" si="205"/>
        <v>2200</v>
      </c>
      <c r="E1923" s="52">
        <f t="shared" si="206"/>
        <v>1</v>
      </c>
      <c r="F1923" s="52"/>
      <c r="G1923" s="52"/>
      <c r="H1923" s="52"/>
      <c r="I1923" s="52"/>
      <c r="J1923" s="52"/>
      <c r="K1923" s="52"/>
      <c r="L1923" s="52"/>
      <c r="M1923" s="52"/>
      <c r="N1923" s="52"/>
      <c r="O1923" s="52"/>
      <c r="P1923" s="52"/>
      <c r="Q1923" s="52"/>
      <c r="R1923" s="52"/>
      <c r="S1923" s="52"/>
      <c r="T1923" s="52"/>
      <c r="U1923" s="52"/>
      <c r="V1923" s="52"/>
      <c r="W1923" s="52"/>
      <c r="X1923" s="52"/>
      <c r="Y1923" s="52"/>
      <c r="Z1923" s="52"/>
      <c r="AA1923" s="52"/>
      <c r="AB1923" s="52"/>
      <c r="AC1923" s="52"/>
      <c r="AD1923" s="52"/>
      <c r="AE1923" s="52"/>
      <c r="AF1923" s="52"/>
      <c r="AG1923" s="52"/>
      <c r="AH1923" s="52"/>
      <c r="AI1923" s="52"/>
      <c r="AJ1923" s="52"/>
      <c r="AK1923" s="52"/>
      <c r="AL1923" s="52"/>
      <c r="AM1923" s="52"/>
      <c r="AN1923" s="52"/>
    </row>
    <row r="1924" spans="1:40" x14ac:dyDescent="0.3">
      <c r="A1924" s="52">
        <v>1919</v>
      </c>
      <c r="B1924" s="52">
        <f>-bthan*500+(18+0.5)*bthan*1000/50</f>
        <v>-715</v>
      </c>
      <c r="C1924" s="52">
        <f t="shared" si="208"/>
        <v>-30</v>
      </c>
      <c r="D1924" s="52">
        <f t="shared" si="205"/>
        <v>2200</v>
      </c>
      <c r="E1924" s="52">
        <f t="shared" si="206"/>
        <v>1</v>
      </c>
      <c r="F1924" s="52"/>
      <c r="G1924" s="52"/>
      <c r="H1924" s="52"/>
      <c r="I1924" s="52"/>
      <c r="J1924" s="52"/>
      <c r="K1924" s="52"/>
      <c r="L1924" s="52"/>
      <c r="M1924" s="52"/>
      <c r="N1924" s="52"/>
      <c r="O1924" s="52"/>
      <c r="P1924" s="52"/>
      <c r="Q1924" s="52"/>
      <c r="R1924" s="52"/>
      <c r="S1924" s="52"/>
      <c r="T1924" s="52"/>
      <c r="U1924" s="52"/>
      <c r="V1924" s="52"/>
      <c r="W1924" s="52"/>
      <c r="X1924" s="52"/>
      <c r="Y1924" s="52"/>
      <c r="Z1924" s="52"/>
      <c r="AA1924" s="52"/>
      <c r="AB1924" s="52"/>
      <c r="AC1924" s="52"/>
      <c r="AD1924" s="52"/>
      <c r="AE1924" s="52"/>
      <c r="AF1924" s="52"/>
      <c r="AG1924" s="52"/>
      <c r="AH1924" s="52"/>
      <c r="AI1924" s="52"/>
      <c r="AJ1924" s="52"/>
      <c r="AK1924" s="52"/>
      <c r="AL1924" s="52"/>
      <c r="AM1924" s="52"/>
      <c r="AN1924" s="52"/>
    </row>
    <row r="1925" spans="1:40" x14ac:dyDescent="0.3">
      <c r="A1925" s="52">
        <v>1920</v>
      </c>
      <c r="B1925" s="52">
        <f>-bthan*500+(19+0.5)*bthan*1000/50</f>
        <v>-605</v>
      </c>
      <c r="C1925" s="52">
        <f t="shared" si="208"/>
        <v>-30</v>
      </c>
      <c r="D1925" s="52">
        <f t="shared" si="205"/>
        <v>2200</v>
      </c>
      <c r="E1925" s="52">
        <f t="shared" si="206"/>
        <v>1</v>
      </c>
      <c r="F1925" s="52"/>
      <c r="G1925" s="52"/>
      <c r="H1925" s="52"/>
      <c r="I1925" s="52"/>
      <c r="J1925" s="52"/>
      <c r="K1925" s="52"/>
      <c r="L1925" s="52"/>
      <c r="M1925" s="52"/>
      <c r="N1925" s="52"/>
      <c r="O1925" s="52"/>
      <c r="P1925" s="52"/>
      <c r="Q1925" s="52"/>
      <c r="R1925" s="52"/>
      <c r="S1925" s="52"/>
      <c r="T1925" s="52"/>
      <c r="U1925" s="52"/>
      <c r="V1925" s="52"/>
      <c r="W1925" s="52"/>
      <c r="X1925" s="52"/>
      <c r="Y1925" s="52"/>
      <c r="Z1925" s="52"/>
      <c r="AA1925" s="52"/>
      <c r="AB1925" s="52"/>
      <c r="AC1925" s="52"/>
      <c r="AD1925" s="52"/>
      <c r="AE1925" s="52"/>
      <c r="AF1925" s="52"/>
      <c r="AG1925" s="52"/>
      <c r="AH1925" s="52"/>
      <c r="AI1925" s="52"/>
      <c r="AJ1925" s="52"/>
      <c r="AK1925" s="52"/>
      <c r="AL1925" s="52"/>
      <c r="AM1925" s="52"/>
      <c r="AN1925" s="52"/>
    </row>
    <row r="1926" spans="1:40" x14ac:dyDescent="0.3">
      <c r="A1926" s="52">
        <v>1921</v>
      </c>
      <c r="B1926" s="52">
        <f>-bthan*500+(20+0.5)*bthan*1000/50</f>
        <v>-495</v>
      </c>
      <c r="C1926" s="52">
        <f t="shared" si="208"/>
        <v>-30</v>
      </c>
      <c r="D1926" s="52">
        <f t="shared" ref="D1926:D1989" si="209">bthan*1000/50*hthan*1000/80</f>
        <v>2200</v>
      </c>
      <c r="E1926" s="52">
        <f t="shared" ref="E1926:E1989" si="210">IF(shp=1,--(OR(ABS(B1926)&lt;=MAX(0,(bthan-hthan)*500),(ABS(B1926)-MAX(0,(bthan-hthan)*500))^2+C1926^2&lt;=(hthan*500)^2)),--(AND(ABS(B1926)&lt;=bthan*500,ABS(C1926)&lt;=hthan*500,OR(ABS(B1926)&lt;=bthan*500-cch*1000,ABS(C1926)&lt;=hthan*500-cch*1000,(bthan*500-ABS(B1926))+(hthan*500-ABS(C1926))&gt;=cch*1000))))</f>
        <v>1</v>
      </c>
      <c r="F1926" s="52"/>
      <c r="G1926" s="52"/>
      <c r="H1926" s="52"/>
      <c r="I1926" s="52"/>
      <c r="J1926" s="52"/>
      <c r="K1926" s="52"/>
      <c r="L1926" s="52"/>
      <c r="M1926" s="52"/>
      <c r="N1926" s="52"/>
      <c r="O1926" s="52"/>
      <c r="P1926" s="52"/>
      <c r="Q1926" s="52"/>
      <c r="R1926" s="52"/>
      <c r="S1926" s="52"/>
      <c r="T1926" s="52"/>
      <c r="U1926" s="52"/>
      <c r="V1926" s="52"/>
      <c r="W1926" s="52"/>
      <c r="X1926" s="52"/>
      <c r="Y1926" s="52"/>
      <c r="Z1926" s="52"/>
      <c r="AA1926" s="52"/>
      <c r="AB1926" s="52"/>
      <c r="AC1926" s="52"/>
      <c r="AD1926" s="52"/>
      <c r="AE1926" s="52"/>
      <c r="AF1926" s="52"/>
      <c r="AG1926" s="52"/>
      <c r="AH1926" s="52"/>
      <c r="AI1926" s="52"/>
      <c r="AJ1926" s="52"/>
      <c r="AK1926" s="52"/>
      <c r="AL1926" s="52"/>
      <c r="AM1926" s="52"/>
      <c r="AN1926" s="52"/>
    </row>
    <row r="1927" spans="1:40" x14ac:dyDescent="0.3">
      <c r="A1927" s="52">
        <v>1922</v>
      </c>
      <c r="B1927" s="52">
        <f>-bthan*500+(21+0.5)*bthan*1000/50</f>
        <v>-385</v>
      </c>
      <c r="C1927" s="52">
        <f t="shared" si="208"/>
        <v>-30</v>
      </c>
      <c r="D1927" s="52">
        <f t="shared" si="209"/>
        <v>2200</v>
      </c>
      <c r="E1927" s="52">
        <f t="shared" si="210"/>
        <v>1</v>
      </c>
      <c r="F1927" s="52"/>
      <c r="G1927" s="52"/>
      <c r="H1927" s="52"/>
      <c r="I1927" s="52"/>
      <c r="J1927" s="52"/>
      <c r="K1927" s="52"/>
      <c r="L1927" s="52"/>
      <c r="M1927" s="52"/>
      <c r="N1927" s="52"/>
      <c r="O1927" s="52"/>
      <c r="P1927" s="52"/>
      <c r="Q1927" s="52"/>
      <c r="R1927" s="52"/>
      <c r="S1927" s="52"/>
      <c r="T1927" s="52"/>
      <c r="U1927" s="52"/>
      <c r="V1927" s="52"/>
      <c r="W1927" s="52"/>
      <c r="X1927" s="52"/>
      <c r="Y1927" s="52"/>
      <c r="Z1927" s="52"/>
      <c r="AA1927" s="52"/>
      <c r="AB1927" s="52"/>
      <c r="AC1927" s="52"/>
      <c r="AD1927" s="52"/>
      <c r="AE1927" s="52"/>
      <c r="AF1927" s="52"/>
      <c r="AG1927" s="52"/>
      <c r="AH1927" s="52"/>
      <c r="AI1927" s="52"/>
      <c r="AJ1927" s="52"/>
      <c r="AK1927" s="52"/>
      <c r="AL1927" s="52"/>
      <c r="AM1927" s="52"/>
      <c r="AN1927" s="52"/>
    </row>
    <row r="1928" spans="1:40" x14ac:dyDescent="0.3">
      <c r="A1928" s="52">
        <v>1923</v>
      </c>
      <c r="B1928" s="52">
        <f>-bthan*500+(22+0.5)*bthan*1000/50</f>
        <v>-275</v>
      </c>
      <c r="C1928" s="52">
        <f t="shared" si="208"/>
        <v>-30</v>
      </c>
      <c r="D1928" s="52">
        <f t="shared" si="209"/>
        <v>2200</v>
      </c>
      <c r="E1928" s="52">
        <f t="shared" si="210"/>
        <v>1</v>
      </c>
      <c r="F1928" s="52"/>
      <c r="G1928" s="52"/>
      <c r="H1928" s="52"/>
      <c r="I1928" s="52"/>
      <c r="J1928" s="52"/>
      <c r="K1928" s="52"/>
      <c r="L1928" s="52"/>
      <c r="M1928" s="52"/>
      <c r="N1928" s="52"/>
      <c r="O1928" s="52"/>
      <c r="P1928" s="52"/>
      <c r="Q1928" s="52"/>
      <c r="R1928" s="52"/>
      <c r="S1928" s="52"/>
      <c r="T1928" s="52"/>
      <c r="U1928" s="52"/>
      <c r="V1928" s="52"/>
      <c r="W1928" s="52"/>
      <c r="X1928" s="52"/>
      <c r="Y1928" s="52"/>
      <c r="Z1928" s="52"/>
      <c r="AA1928" s="52"/>
      <c r="AB1928" s="52"/>
      <c r="AC1928" s="52"/>
      <c r="AD1928" s="52"/>
      <c r="AE1928" s="52"/>
      <c r="AF1928" s="52"/>
      <c r="AG1928" s="52"/>
      <c r="AH1928" s="52"/>
      <c r="AI1928" s="52"/>
      <c r="AJ1928" s="52"/>
      <c r="AK1928" s="52"/>
      <c r="AL1928" s="52"/>
      <c r="AM1928" s="52"/>
      <c r="AN1928" s="52"/>
    </row>
    <row r="1929" spans="1:40" x14ac:dyDescent="0.3">
      <c r="A1929" s="52">
        <v>1924</v>
      </c>
      <c r="B1929" s="52">
        <f>-bthan*500+(23+0.5)*bthan*1000/50</f>
        <v>-165</v>
      </c>
      <c r="C1929" s="52">
        <f t="shared" si="208"/>
        <v>-30</v>
      </c>
      <c r="D1929" s="52">
        <f t="shared" si="209"/>
        <v>2200</v>
      </c>
      <c r="E1929" s="52">
        <f t="shared" si="210"/>
        <v>1</v>
      </c>
      <c r="F1929" s="52"/>
      <c r="G1929" s="52"/>
      <c r="H1929" s="52"/>
      <c r="I1929" s="52"/>
      <c r="J1929" s="52"/>
      <c r="K1929" s="52"/>
      <c r="L1929" s="52"/>
      <c r="M1929" s="52"/>
      <c r="N1929" s="52"/>
      <c r="O1929" s="52"/>
      <c r="P1929" s="52"/>
      <c r="Q1929" s="52"/>
      <c r="R1929" s="52"/>
      <c r="S1929" s="52"/>
      <c r="T1929" s="52"/>
      <c r="U1929" s="52"/>
      <c r="V1929" s="52"/>
      <c r="W1929" s="52"/>
      <c r="X1929" s="52"/>
      <c r="Y1929" s="52"/>
      <c r="Z1929" s="52"/>
      <c r="AA1929" s="52"/>
      <c r="AB1929" s="52"/>
      <c r="AC1929" s="52"/>
      <c r="AD1929" s="52"/>
      <c r="AE1929" s="52"/>
      <c r="AF1929" s="52"/>
      <c r="AG1929" s="52"/>
      <c r="AH1929" s="52"/>
      <c r="AI1929" s="52"/>
      <c r="AJ1929" s="52"/>
      <c r="AK1929" s="52"/>
      <c r="AL1929" s="52"/>
      <c r="AM1929" s="52"/>
      <c r="AN1929" s="52"/>
    </row>
    <row r="1930" spans="1:40" x14ac:dyDescent="0.3">
      <c r="A1930" s="52">
        <v>1925</v>
      </c>
      <c r="B1930" s="52">
        <f>-bthan*500+(24+0.5)*bthan*1000/50</f>
        <v>-55</v>
      </c>
      <c r="C1930" s="52">
        <f t="shared" si="208"/>
        <v>-30</v>
      </c>
      <c r="D1930" s="52">
        <f t="shared" si="209"/>
        <v>2200</v>
      </c>
      <c r="E1930" s="52">
        <f t="shared" si="210"/>
        <v>1</v>
      </c>
      <c r="F1930" s="52"/>
      <c r="G1930" s="52"/>
      <c r="H1930" s="52"/>
      <c r="I1930" s="52"/>
      <c r="J1930" s="52"/>
      <c r="K1930" s="52"/>
      <c r="L1930" s="52"/>
      <c r="M1930" s="52"/>
      <c r="N1930" s="52"/>
      <c r="O1930" s="52"/>
      <c r="P1930" s="52"/>
      <c r="Q1930" s="52"/>
      <c r="R1930" s="52"/>
      <c r="S1930" s="52"/>
      <c r="T1930" s="52"/>
      <c r="U1930" s="52"/>
      <c r="V1930" s="52"/>
      <c r="W1930" s="52"/>
      <c r="X1930" s="52"/>
      <c r="Y1930" s="52"/>
      <c r="Z1930" s="52"/>
      <c r="AA1930" s="52"/>
      <c r="AB1930" s="52"/>
      <c r="AC1930" s="52"/>
      <c r="AD1930" s="52"/>
      <c r="AE1930" s="52"/>
      <c r="AF1930" s="52"/>
      <c r="AG1930" s="52"/>
      <c r="AH1930" s="52"/>
      <c r="AI1930" s="52"/>
      <c r="AJ1930" s="52"/>
      <c r="AK1930" s="52"/>
      <c r="AL1930" s="52"/>
      <c r="AM1930" s="52"/>
      <c r="AN1930" s="52"/>
    </row>
    <row r="1931" spans="1:40" x14ac:dyDescent="0.3">
      <c r="A1931" s="52">
        <v>1926</v>
      </c>
      <c r="B1931" s="52">
        <f>-bthan*500+(25+0.5)*bthan*1000/50</f>
        <v>55</v>
      </c>
      <c r="C1931" s="52">
        <f t="shared" si="208"/>
        <v>-30</v>
      </c>
      <c r="D1931" s="52">
        <f t="shared" si="209"/>
        <v>2200</v>
      </c>
      <c r="E1931" s="52">
        <f t="shared" si="210"/>
        <v>1</v>
      </c>
      <c r="F1931" s="52"/>
      <c r="G1931" s="52"/>
      <c r="H1931" s="52"/>
      <c r="I1931" s="52"/>
      <c r="J1931" s="52"/>
      <c r="K1931" s="52"/>
      <c r="L1931" s="52"/>
      <c r="M1931" s="52"/>
      <c r="N1931" s="52"/>
      <c r="O1931" s="52"/>
      <c r="P1931" s="52"/>
      <c r="Q1931" s="52"/>
      <c r="R1931" s="52"/>
      <c r="S1931" s="52"/>
      <c r="T1931" s="52"/>
      <c r="U1931" s="52"/>
      <c r="V1931" s="52"/>
      <c r="W1931" s="52"/>
      <c r="X1931" s="52"/>
      <c r="Y1931" s="52"/>
      <c r="Z1931" s="52"/>
      <c r="AA1931" s="52"/>
      <c r="AB1931" s="52"/>
      <c r="AC1931" s="52"/>
      <c r="AD1931" s="52"/>
      <c r="AE1931" s="52"/>
      <c r="AF1931" s="52"/>
      <c r="AG1931" s="52"/>
      <c r="AH1931" s="52"/>
      <c r="AI1931" s="52"/>
      <c r="AJ1931" s="52"/>
      <c r="AK1931" s="52"/>
      <c r="AL1931" s="52"/>
      <c r="AM1931" s="52"/>
      <c r="AN1931" s="52"/>
    </row>
    <row r="1932" spans="1:40" x14ac:dyDescent="0.3">
      <c r="A1932" s="52">
        <v>1927</v>
      </c>
      <c r="B1932" s="52">
        <f>-bthan*500+(26+0.5)*bthan*1000/50</f>
        <v>165</v>
      </c>
      <c r="C1932" s="52">
        <f t="shared" si="208"/>
        <v>-30</v>
      </c>
      <c r="D1932" s="52">
        <f t="shared" si="209"/>
        <v>2200</v>
      </c>
      <c r="E1932" s="52">
        <f t="shared" si="210"/>
        <v>1</v>
      </c>
      <c r="F1932" s="52"/>
      <c r="G1932" s="52"/>
      <c r="H1932" s="52"/>
      <c r="I1932" s="52"/>
      <c r="J1932" s="52"/>
      <c r="K1932" s="52"/>
      <c r="L1932" s="52"/>
      <c r="M1932" s="52"/>
      <c r="N1932" s="52"/>
      <c r="O1932" s="52"/>
      <c r="P1932" s="52"/>
      <c r="Q1932" s="52"/>
      <c r="R1932" s="52"/>
      <c r="S1932" s="52"/>
      <c r="T1932" s="52"/>
      <c r="U1932" s="52"/>
      <c r="V1932" s="52"/>
      <c r="W1932" s="52"/>
      <c r="X1932" s="52"/>
      <c r="Y1932" s="52"/>
      <c r="Z1932" s="52"/>
      <c r="AA1932" s="52"/>
      <c r="AB1932" s="52"/>
      <c r="AC1932" s="52"/>
      <c r="AD1932" s="52"/>
      <c r="AE1932" s="52"/>
      <c r="AF1932" s="52"/>
      <c r="AG1932" s="52"/>
      <c r="AH1932" s="52"/>
      <c r="AI1932" s="52"/>
      <c r="AJ1932" s="52"/>
      <c r="AK1932" s="52"/>
      <c r="AL1932" s="52"/>
      <c r="AM1932" s="52"/>
      <c r="AN1932" s="52"/>
    </row>
    <row r="1933" spans="1:40" x14ac:dyDescent="0.3">
      <c r="A1933" s="52">
        <v>1928</v>
      </c>
      <c r="B1933" s="52">
        <f>-bthan*500+(27+0.5)*bthan*1000/50</f>
        <v>275</v>
      </c>
      <c r="C1933" s="52">
        <f t="shared" si="208"/>
        <v>-30</v>
      </c>
      <c r="D1933" s="52">
        <f t="shared" si="209"/>
        <v>2200</v>
      </c>
      <c r="E1933" s="52">
        <f t="shared" si="210"/>
        <v>1</v>
      </c>
      <c r="F1933" s="52"/>
      <c r="G1933" s="52"/>
      <c r="H1933" s="52"/>
      <c r="I1933" s="52"/>
      <c r="J1933" s="52"/>
      <c r="K1933" s="52"/>
      <c r="L1933" s="52"/>
      <c r="M1933" s="52"/>
      <c r="N1933" s="52"/>
      <c r="O1933" s="52"/>
      <c r="P1933" s="52"/>
      <c r="Q1933" s="52"/>
      <c r="R1933" s="52"/>
      <c r="S1933" s="52"/>
      <c r="T1933" s="52"/>
      <c r="U1933" s="52"/>
      <c r="V1933" s="52"/>
      <c r="W1933" s="52"/>
      <c r="X1933" s="52"/>
      <c r="Y1933" s="52"/>
      <c r="Z1933" s="52"/>
      <c r="AA1933" s="52"/>
      <c r="AB1933" s="52"/>
      <c r="AC1933" s="52"/>
      <c r="AD1933" s="52"/>
      <c r="AE1933" s="52"/>
      <c r="AF1933" s="52"/>
      <c r="AG1933" s="52"/>
      <c r="AH1933" s="52"/>
      <c r="AI1933" s="52"/>
      <c r="AJ1933" s="52"/>
      <c r="AK1933" s="52"/>
      <c r="AL1933" s="52"/>
      <c r="AM1933" s="52"/>
      <c r="AN1933" s="52"/>
    </row>
    <row r="1934" spans="1:40" x14ac:dyDescent="0.3">
      <c r="A1934" s="52">
        <v>1929</v>
      </c>
      <c r="B1934" s="52">
        <f>-bthan*500+(28+0.5)*bthan*1000/50</f>
        <v>385</v>
      </c>
      <c r="C1934" s="52">
        <f t="shared" si="208"/>
        <v>-30</v>
      </c>
      <c r="D1934" s="52">
        <f t="shared" si="209"/>
        <v>2200</v>
      </c>
      <c r="E1934" s="52">
        <f t="shared" si="210"/>
        <v>1</v>
      </c>
      <c r="F1934" s="52"/>
      <c r="G1934" s="52"/>
      <c r="H1934" s="52"/>
      <c r="I1934" s="52"/>
      <c r="J1934" s="52"/>
      <c r="K1934" s="52"/>
      <c r="L1934" s="52"/>
      <c r="M1934" s="52"/>
      <c r="N1934" s="52"/>
      <c r="O1934" s="52"/>
      <c r="P1934" s="52"/>
      <c r="Q1934" s="52"/>
      <c r="R1934" s="52"/>
      <c r="S1934" s="52"/>
      <c r="T1934" s="52"/>
      <c r="U1934" s="52"/>
      <c r="V1934" s="52"/>
      <c r="W1934" s="52"/>
      <c r="X1934" s="52"/>
      <c r="Y1934" s="52"/>
      <c r="Z1934" s="52"/>
      <c r="AA1934" s="52"/>
      <c r="AB1934" s="52"/>
      <c r="AC1934" s="52"/>
      <c r="AD1934" s="52"/>
      <c r="AE1934" s="52"/>
      <c r="AF1934" s="52"/>
      <c r="AG1934" s="52"/>
      <c r="AH1934" s="52"/>
      <c r="AI1934" s="52"/>
      <c r="AJ1934" s="52"/>
      <c r="AK1934" s="52"/>
      <c r="AL1934" s="52"/>
      <c r="AM1934" s="52"/>
      <c r="AN1934" s="52"/>
    </row>
    <row r="1935" spans="1:40" x14ac:dyDescent="0.3">
      <c r="A1935" s="52">
        <v>1930</v>
      </c>
      <c r="B1935" s="52">
        <f>-bthan*500+(29+0.5)*bthan*1000/50</f>
        <v>495</v>
      </c>
      <c r="C1935" s="52">
        <f t="shared" si="208"/>
        <v>-30</v>
      </c>
      <c r="D1935" s="52">
        <f t="shared" si="209"/>
        <v>2200</v>
      </c>
      <c r="E1935" s="52">
        <f t="shared" si="210"/>
        <v>1</v>
      </c>
      <c r="F1935" s="52"/>
      <c r="G1935" s="52"/>
      <c r="H1935" s="52"/>
      <c r="I1935" s="52"/>
      <c r="J1935" s="52"/>
      <c r="K1935" s="52"/>
      <c r="L1935" s="52"/>
      <c r="M1935" s="52"/>
      <c r="N1935" s="52"/>
      <c r="O1935" s="52"/>
      <c r="P1935" s="52"/>
      <c r="Q1935" s="52"/>
      <c r="R1935" s="52"/>
      <c r="S1935" s="52"/>
      <c r="T1935" s="52"/>
      <c r="U1935" s="52"/>
      <c r="V1935" s="52"/>
      <c r="W1935" s="52"/>
      <c r="X1935" s="52"/>
      <c r="Y1935" s="52"/>
      <c r="Z1935" s="52"/>
      <c r="AA1935" s="52"/>
      <c r="AB1935" s="52"/>
      <c r="AC1935" s="52"/>
      <c r="AD1935" s="52"/>
      <c r="AE1935" s="52"/>
      <c r="AF1935" s="52"/>
      <c r="AG1935" s="52"/>
      <c r="AH1935" s="52"/>
      <c r="AI1935" s="52"/>
      <c r="AJ1935" s="52"/>
      <c r="AK1935" s="52"/>
      <c r="AL1935" s="52"/>
      <c r="AM1935" s="52"/>
      <c r="AN1935" s="52"/>
    </row>
    <row r="1936" spans="1:40" x14ac:dyDescent="0.3">
      <c r="A1936" s="52">
        <v>1931</v>
      </c>
      <c r="B1936" s="52">
        <f>-bthan*500+(30+0.5)*bthan*1000/50</f>
        <v>605</v>
      </c>
      <c r="C1936" s="52">
        <f t="shared" si="208"/>
        <v>-30</v>
      </c>
      <c r="D1936" s="52">
        <f t="shared" si="209"/>
        <v>2200</v>
      </c>
      <c r="E1936" s="52">
        <f t="shared" si="210"/>
        <v>1</v>
      </c>
      <c r="F1936" s="52"/>
      <c r="G1936" s="52"/>
      <c r="H1936" s="52"/>
      <c r="I1936" s="52"/>
      <c r="J1936" s="52"/>
      <c r="K1936" s="52"/>
      <c r="L1936" s="52"/>
      <c r="M1936" s="52"/>
      <c r="N1936" s="52"/>
      <c r="O1936" s="52"/>
      <c r="P1936" s="52"/>
      <c r="Q1936" s="52"/>
      <c r="R1936" s="52"/>
      <c r="S1936" s="52"/>
      <c r="T1936" s="52"/>
      <c r="U1936" s="52"/>
      <c r="V1936" s="52"/>
      <c r="W1936" s="52"/>
      <c r="X1936" s="52"/>
      <c r="Y1936" s="52"/>
      <c r="Z1936" s="52"/>
      <c r="AA1936" s="52"/>
      <c r="AB1936" s="52"/>
      <c r="AC1936" s="52"/>
      <c r="AD1936" s="52"/>
      <c r="AE1936" s="52"/>
      <c r="AF1936" s="52"/>
      <c r="AG1936" s="52"/>
      <c r="AH1936" s="52"/>
      <c r="AI1936" s="52"/>
      <c r="AJ1936" s="52"/>
      <c r="AK1936" s="52"/>
      <c r="AL1936" s="52"/>
      <c r="AM1936" s="52"/>
      <c r="AN1936" s="52"/>
    </row>
    <row r="1937" spans="1:40" x14ac:dyDescent="0.3">
      <c r="A1937" s="52">
        <v>1932</v>
      </c>
      <c r="B1937" s="52">
        <f>-bthan*500+(31+0.5)*bthan*1000/50</f>
        <v>715</v>
      </c>
      <c r="C1937" s="52">
        <f t="shared" si="208"/>
        <v>-30</v>
      </c>
      <c r="D1937" s="52">
        <f t="shared" si="209"/>
        <v>2200</v>
      </c>
      <c r="E1937" s="52">
        <f t="shared" si="210"/>
        <v>1</v>
      </c>
      <c r="F1937" s="52"/>
      <c r="G1937" s="52"/>
      <c r="H1937" s="52"/>
      <c r="I1937" s="52"/>
      <c r="J1937" s="52"/>
      <c r="K1937" s="52"/>
      <c r="L1937" s="52"/>
      <c r="M1937" s="52"/>
      <c r="N1937" s="52"/>
      <c r="O1937" s="52"/>
      <c r="P1937" s="52"/>
      <c r="Q1937" s="52"/>
      <c r="R1937" s="52"/>
      <c r="S1937" s="52"/>
      <c r="T1937" s="52"/>
      <c r="U1937" s="52"/>
      <c r="V1937" s="52"/>
      <c r="W1937" s="52"/>
      <c r="X1937" s="52"/>
      <c r="Y1937" s="52"/>
      <c r="Z1937" s="52"/>
      <c r="AA1937" s="52"/>
      <c r="AB1937" s="52"/>
      <c r="AC1937" s="52"/>
      <c r="AD1937" s="52"/>
      <c r="AE1937" s="52"/>
      <c r="AF1937" s="52"/>
      <c r="AG1937" s="52"/>
      <c r="AH1937" s="52"/>
      <c r="AI1937" s="52"/>
      <c r="AJ1937" s="52"/>
      <c r="AK1937" s="52"/>
      <c r="AL1937" s="52"/>
      <c r="AM1937" s="52"/>
      <c r="AN1937" s="52"/>
    </row>
    <row r="1938" spans="1:40" x14ac:dyDescent="0.3">
      <c r="A1938" s="52">
        <v>1933</v>
      </c>
      <c r="B1938" s="52">
        <f>-bthan*500+(32+0.5)*bthan*1000/50</f>
        <v>825</v>
      </c>
      <c r="C1938" s="52">
        <f t="shared" ref="C1938:C1955" si="211">-hthan*500+(38+0.5)*hthan*1000/80</f>
        <v>-30</v>
      </c>
      <c r="D1938" s="52">
        <f t="shared" si="209"/>
        <v>2200</v>
      </c>
      <c r="E1938" s="52">
        <f t="shared" si="210"/>
        <v>1</v>
      </c>
      <c r="F1938" s="52"/>
      <c r="G1938" s="52"/>
      <c r="H1938" s="52"/>
      <c r="I1938" s="52"/>
      <c r="J1938" s="52"/>
      <c r="K1938" s="52"/>
      <c r="L1938" s="52"/>
      <c r="M1938" s="52"/>
      <c r="N1938" s="52"/>
      <c r="O1938" s="52"/>
      <c r="P1938" s="52"/>
      <c r="Q1938" s="52"/>
      <c r="R1938" s="52"/>
      <c r="S1938" s="52"/>
      <c r="T1938" s="52"/>
      <c r="U1938" s="52"/>
      <c r="V1938" s="52"/>
      <c r="W1938" s="52"/>
      <c r="X1938" s="52"/>
      <c r="Y1938" s="52"/>
      <c r="Z1938" s="52"/>
      <c r="AA1938" s="52"/>
      <c r="AB1938" s="52"/>
      <c r="AC1938" s="52"/>
      <c r="AD1938" s="52"/>
      <c r="AE1938" s="52"/>
      <c r="AF1938" s="52"/>
      <c r="AG1938" s="52"/>
      <c r="AH1938" s="52"/>
      <c r="AI1938" s="52"/>
      <c r="AJ1938" s="52"/>
      <c r="AK1938" s="52"/>
      <c r="AL1938" s="52"/>
      <c r="AM1938" s="52"/>
      <c r="AN1938" s="52"/>
    </row>
    <row r="1939" spans="1:40" x14ac:dyDescent="0.3">
      <c r="A1939" s="52">
        <v>1934</v>
      </c>
      <c r="B1939" s="52">
        <f>-bthan*500+(33+0.5)*bthan*1000/50</f>
        <v>935</v>
      </c>
      <c r="C1939" s="52">
        <f t="shared" si="211"/>
        <v>-30</v>
      </c>
      <c r="D1939" s="52">
        <f t="shared" si="209"/>
        <v>2200</v>
      </c>
      <c r="E1939" s="52">
        <f t="shared" si="210"/>
        <v>1</v>
      </c>
      <c r="F1939" s="52"/>
      <c r="G1939" s="52"/>
      <c r="H1939" s="52"/>
      <c r="I1939" s="52"/>
      <c r="J1939" s="52"/>
      <c r="K1939" s="52"/>
      <c r="L1939" s="52"/>
      <c r="M1939" s="52"/>
      <c r="N1939" s="52"/>
      <c r="O1939" s="52"/>
      <c r="P1939" s="52"/>
      <c r="Q1939" s="52"/>
      <c r="R1939" s="52"/>
      <c r="S1939" s="52"/>
      <c r="T1939" s="52"/>
      <c r="U1939" s="52"/>
      <c r="V1939" s="52"/>
      <c r="W1939" s="52"/>
      <c r="X1939" s="52"/>
      <c r="Y1939" s="52"/>
      <c r="Z1939" s="52"/>
      <c r="AA1939" s="52"/>
      <c r="AB1939" s="52"/>
      <c r="AC1939" s="52"/>
      <c r="AD1939" s="52"/>
      <c r="AE1939" s="52"/>
      <c r="AF1939" s="52"/>
      <c r="AG1939" s="52"/>
      <c r="AH1939" s="52"/>
      <c r="AI1939" s="52"/>
      <c r="AJ1939" s="52"/>
      <c r="AK1939" s="52"/>
      <c r="AL1939" s="52"/>
      <c r="AM1939" s="52"/>
      <c r="AN1939" s="52"/>
    </row>
    <row r="1940" spans="1:40" x14ac:dyDescent="0.3">
      <c r="A1940" s="52">
        <v>1935</v>
      </c>
      <c r="B1940" s="52">
        <f>-bthan*500+(34+0.5)*bthan*1000/50</f>
        <v>1045</v>
      </c>
      <c r="C1940" s="52">
        <f t="shared" si="211"/>
        <v>-30</v>
      </c>
      <c r="D1940" s="52">
        <f t="shared" si="209"/>
        <v>2200</v>
      </c>
      <c r="E1940" s="52">
        <f t="shared" si="210"/>
        <v>1</v>
      </c>
      <c r="F1940" s="52"/>
      <c r="G1940" s="52"/>
      <c r="H1940" s="52"/>
      <c r="I1940" s="52"/>
      <c r="J1940" s="52"/>
      <c r="K1940" s="52"/>
      <c r="L1940" s="52"/>
      <c r="M1940" s="52"/>
      <c r="N1940" s="52"/>
      <c r="O1940" s="52"/>
      <c r="P1940" s="52"/>
      <c r="Q1940" s="52"/>
      <c r="R1940" s="52"/>
      <c r="S1940" s="52"/>
      <c r="T1940" s="52"/>
      <c r="U1940" s="52"/>
      <c r="V1940" s="52"/>
      <c r="W1940" s="52"/>
      <c r="X1940" s="52"/>
      <c r="Y1940" s="52"/>
      <c r="Z1940" s="52"/>
      <c r="AA1940" s="52"/>
      <c r="AB1940" s="52"/>
      <c r="AC1940" s="52"/>
      <c r="AD1940" s="52"/>
      <c r="AE1940" s="52"/>
      <c r="AF1940" s="52"/>
      <c r="AG1940" s="52"/>
      <c r="AH1940" s="52"/>
      <c r="AI1940" s="52"/>
      <c r="AJ1940" s="52"/>
      <c r="AK1940" s="52"/>
      <c r="AL1940" s="52"/>
      <c r="AM1940" s="52"/>
      <c r="AN1940" s="52"/>
    </row>
    <row r="1941" spans="1:40" x14ac:dyDescent="0.3">
      <c r="A1941" s="52">
        <v>1936</v>
      </c>
      <c r="B1941" s="52">
        <f>-bthan*500+(35+0.5)*bthan*1000/50</f>
        <v>1155</v>
      </c>
      <c r="C1941" s="52">
        <f t="shared" si="211"/>
        <v>-30</v>
      </c>
      <c r="D1941" s="52">
        <f t="shared" si="209"/>
        <v>2200</v>
      </c>
      <c r="E1941" s="52">
        <f t="shared" si="210"/>
        <v>1</v>
      </c>
      <c r="F1941" s="52"/>
      <c r="G1941" s="52"/>
      <c r="H1941" s="52"/>
      <c r="I1941" s="52"/>
      <c r="J1941" s="52"/>
      <c r="K1941" s="52"/>
      <c r="L1941" s="52"/>
      <c r="M1941" s="52"/>
      <c r="N1941" s="52"/>
      <c r="O1941" s="52"/>
      <c r="P1941" s="52"/>
      <c r="Q1941" s="52"/>
      <c r="R1941" s="52"/>
      <c r="S1941" s="52"/>
      <c r="T1941" s="52"/>
      <c r="U1941" s="52"/>
      <c r="V1941" s="52"/>
      <c r="W1941" s="52"/>
      <c r="X1941" s="52"/>
      <c r="Y1941" s="52"/>
      <c r="Z1941" s="52"/>
      <c r="AA1941" s="52"/>
      <c r="AB1941" s="52"/>
      <c r="AC1941" s="52"/>
      <c r="AD1941" s="52"/>
      <c r="AE1941" s="52"/>
      <c r="AF1941" s="52"/>
      <c r="AG1941" s="52"/>
      <c r="AH1941" s="52"/>
      <c r="AI1941" s="52"/>
      <c r="AJ1941" s="52"/>
      <c r="AK1941" s="52"/>
      <c r="AL1941" s="52"/>
      <c r="AM1941" s="52"/>
      <c r="AN1941" s="52"/>
    </row>
    <row r="1942" spans="1:40" x14ac:dyDescent="0.3">
      <c r="A1942" s="52">
        <v>1937</v>
      </c>
      <c r="B1942" s="52">
        <f>-bthan*500+(36+0.5)*bthan*1000/50</f>
        <v>1265</v>
      </c>
      <c r="C1942" s="52">
        <f t="shared" si="211"/>
        <v>-30</v>
      </c>
      <c r="D1942" s="52">
        <f t="shared" si="209"/>
        <v>2200</v>
      </c>
      <c r="E1942" s="52">
        <f t="shared" si="210"/>
        <v>1</v>
      </c>
      <c r="F1942" s="52"/>
      <c r="G1942" s="52"/>
      <c r="H1942" s="52"/>
      <c r="I1942" s="52"/>
      <c r="J1942" s="52"/>
      <c r="K1942" s="52"/>
      <c r="L1942" s="52"/>
      <c r="M1942" s="52"/>
      <c r="N1942" s="52"/>
      <c r="O1942" s="52"/>
      <c r="P1942" s="52"/>
      <c r="Q1942" s="52"/>
      <c r="R1942" s="52"/>
      <c r="S1942" s="52"/>
      <c r="T1942" s="52"/>
      <c r="U1942" s="52"/>
      <c r="V1942" s="52"/>
      <c r="W1942" s="52"/>
      <c r="X1942" s="52"/>
      <c r="Y1942" s="52"/>
      <c r="Z1942" s="52"/>
      <c r="AA1942" s="52"/>
      <c r="AB1942" s="52"/>
      <c r="AC1942" s="52"/>
      <c r="AD1942" s="52"/>
      <c r="AE1942" s="52"/>
      <c r="AF1942" s="52"/>
      <c r="AG1942" s="52"/>
      <c r="AH1942" s="52"/>
      <c r="AI1942" s="52"/>
      <c r="AJ1942" s="52"/>
      <c r="AK1942" s="52"/>
      <c r="AL1942" s="52"/>
      <c r="AM1942" s="52"/>
      <c r="AN1942" s="52"/>
    </row>
    <row r="1943" spans="1:40" x14ac:dyDescent="0.3">
      <c r="A1943" s="52">
        <v>1938</v>
      </c>
      <c r="B1943" s="52">
        <f>-bthan*500+(37+0.5)*bthan*1000/50</f>
        <v>1375</v>
      </c>
      <c r="C1943" s="52">
        <f t="shared" si="211"/>
        <v>-30</v>
      </c>
      <c r="D1943" s="52">
        <f t="shared" si="209"/>
        <v>2200</v>
      </c>
      <c r="E1943" s="52">
        <f t="shared" si="210"/>
        <v>1</v>
      </c>
      <c r="F1943" s="52"/>
      <c r="G1943" s="52"/>
      <c r="H1943" s="52"/>
      <c r="I1943" s="52"/>
      <c r="J1943" s="52"/>
      <c r="K1943" s="52"/>
      <c r="L1943" s="52"/>
      <c r="M1943" s="52"/>
      <c r="N1943" s="52"/>
      <c r="O1943" s="52"/>
      <c r="P1943" s="52"/>
      <c r="Q1943" s="52"/>
      <c r="R1943" s="52"/>
      <c r="S1943" s="52"/>
      <c r="T1943" s="52"/>
      <c r="U1943" s="52"/>
      <c r="V1943" s="52"/>
      <c r="W1943" s="52"/>
      <c r="X1943" s="52"/>
      <c r="Y1943" s="52"/>
      <c r="Z1943" s="52"/>
      <c r="AA1943" s="52"/>
      <c r="AB1943" s="52"/>
      <c r="AC1943" s="52"/>
      <c r="AD1943" s="52"/>
      <c r="AE1943" s="52"/>
      <c r="AF1943" s="52"/>
      <c r="AG1943" s="52"/>
      <c r="AH1943" s="52"/>
      <c r="AI1943" s="52"/>
      <c r="AJ1943" s="52"/>
      <c r="AK1943" s="52"/>
      <c r="AL1943" s="52"/>
      <c r="AM1943" s="52"/>
      <c r="AN1943" s="52"/>
    </row>
    <row r="1944" spans="1:40" x14ac:dyDescent="0.3">
      <c r="A1944" s="52">
        <v>1939</v>
      </c>
      <c r="B1944" s="52">
        <f>-bthan*500+(38+0.5)*bthan*1000/50</f>
        <v>1485</v>
      </c>
      <c r="C1944" s="52">
        <f t="shared" si="211"/>
        <v>-30</v>
      </c>
      <c r="D1944" s="52">
        <f t="shared" si="209"/>
        <v>2200</v>
      </c>
      <c r="E1944" s="52">
        <f t="shared" si="210"/>
        <v>1</v>
      </c>
      <c r="F1944" s="52"/>
      <c r="G1944" s="52"/>
      <c r="H1944" s="52"/>
      <c r="I1944" s="52"/>
      <c r="J1944" s="52"/>
      <c r="K1944" s="52"/>
      <c r="L1944" s="52"/>
      <c r="M1944" s="52"/>
      <c r="N1944" s="52"/>
      <c r="O1944" s="52"/>
      <c r="P1944" s="52"/>
      <c r="Q1944" s="52"/>
      <c r="R1944" s="52"/>
      <c r="S1944" s="52"/>
      <c r="T1944" s="52"/>
      <c r="U1944" s="52"/>
      <c r="V1944" s="52"/>
      <c r="W1944" s="52"/>
      <c r="X1944" s="52"/>
      <c r="Y1944" s="52"/>
      <c r="Z1944" s="52"/>
      <c r="AA1944" s="52"/>
      <c r="AB1944" s="52"/>
      <c r="AC1944" s="52"/>
      <c r="AD1944" s="52"/>
      <c r="AE1944" s="52"/>
      <c r="AF1944" s="52"/>
      <c r="AG1944" s="52"/>
      <c r="AH1944" s="52"/>
      <c r="AI1944" s="52"/>
      <c r="AJ1944" s="52"/>
      <c r="AK1944" s="52"/>
      <c r="AL1944" s="52"/>
      <c r="AM1944" s="52"/>
      <c r="AN1944" s="52"/>
    </row>
    <row r="1945" spans="1:40" x14ac:dyDescent="0.3">
      <c r="A1945" s="52">
        <v>1940</v>
      </c>
      <c r="B1945" s="52">
        <f>-bthan*500+(39+0.5)*bthan*1000/50</f>
        <v>1595</v>
      </c>
      <c r="C1945" s="52">
        <f t="shared" si="211"/>
        <v>-30</v>
      </c>
      <c r="D1945" s="52">
        <f t="shared" si="209"/>
        <v>2200</v>
      </c>
      <c r="E1945" s="52">
        <f t="shared" si="210"/>
        <v>1</v>
      </c>
      <c r="F1945" s="52"/>
      <c r="G1945" s="52"/>
      <c r="H1945" s="52"/>
      <c r="I1945" s="52"/>
      <c r="J1945" s="52"/>
      <c r="K1945" s="52"/>
      <c r="L1945" s="52"/>
      <c r="M1945" s="52"/>
      <c r="N1945" s="52"/>
      <c r="O1945" s="52"/>
      <c r="P1945" s="52"/>
      <c r="Q1945" s="52"/>
      <c r="R1945" s="52"/>
      <c r="S1945" s="52"/>
      <c r="T1945" s="52"/>
      <c r="U1945" s="52"/>
      <c r="V1945" s="52"/>
      <c r="W1945" s="52"/>
      <c r="X1945" s="52"/>
      <c r="Y1945" s="52"/>
      <c r="Z1945" s="52"/>
      <c r="AA1945" s="52"/>
      <c r="AB1945" s="52"/>
      <c r="AC1945" s="52"/>
      <c r="AD1945" s="52"/>
      <c r="AE1945" s="52"/>
      <c r="AF1945" s="52"/>
      <c r="AG1945" s="52"/>
      <c r="AH1945" s="52"/>
      <c r="AI1945" s="52"/>
      <c r="AJ1945" s="52"/>
      <c r="AK1945" s="52"/>
      <c r="AL1945" s="52"/>
      <c r="AM1945" s="52"/>
      <c r="AN1945" s="52"/>
    </row>
    <row r="1946" spans="1:40" x14ac:dyDescent="0.3">
      <c r="A1946" s="52">
        <v>1941</v>
      </c>
      <c r="B1946" s="52">
        <f>-bthan*500+(40+0.5)*bthan*1000/50</f>
        <v>1705</v>
      </c>
      <c r="C1946" s="52">
        <f t="shared" si="211"/>
        <v>-30</v>
      </c>
      <c r="D1946" s="52">
        <f t="shared" si="209"/>
        <v>2200</v>
      </c>
      <c r="E1946" s="52">
        <f t="shared" si="210"/>
        <v>1</v>
      </c>
      <c r="F1946" s="52"/>
      <c r="G1946" s="52"/>
      <c r="H1946" s="52"/>
      <c r="I1946" s="52"/>
      <c r="J1946" s="52"/>
      <c r="K1946" s="52"/>
      <c r="L1946" s="52"/>
      <c r="M1946" s="52"/>
      <c r="N1946" s="52"/>
      <c r="O1946" s="52"/>
      <c r="P1946" s="52"/>
      <c r="Q1946" s="52"/>
      <c r="R1946" s="52"/>
      <c r="S1946" s="52"/>
      <c r="T1946" s="52"/>
      <c r="U1946" s="52"/>
      <c r="V1946" s="52"/>
      <c r="W1946" s="52"/>
      <c r="X1946" s="52"/>
      <c r="Y1946" s="52"/>
      <c r="Z1946" s="52"/>
      <c r="AA1946" s="52"/>
      <c r="AB1946" s="52"/>
      <c r="AC1946" s="52"/>
      <c r="AD1946" s="52"/>
      <c r="AE1946" s="52"/>
      <c r="AF1946" s="52"/>
      <c r="AG1946" s="52"/>
      <c r="AH1946" s="52"/>
      <c r="AI1946" s="52"/>
      <c r="AJ1946" s="52"/>
      <c r="AK1946" s="52"/>
      <c r="AL1946" s="52"/>
      <c r="AM1946" s="52"/>
      <c r="AN1946" s="52"/>
    </row>
    <row r="1947" spans="1:40" x14ac:dyDescent="0.3">
      <c r="A1947" s="52">
        <v>1942</v>
      </c>
      <c r="B1947" s="52">
        <f>-bthan*500+(41+0.5)*bthan*1000/50</f>
        <v>1815</v>
      </c>
      <c r="C1947" s="52">
        <f t="shared" si="211"/>
        <v>-30</v>
      </c>
      <c r="D1947" s="52">
        <f t="shared" si="209"/>
        <v>2200</v>
      </c>
      <c r="E1947" s="52">
        <f t="shared" si="210"/>
        <v>1</v>
      </c>
      <c r="F1947" s="52"/>
      <c r="G1947" s="52"/>
      <c r="H1947" s="52"/>
      <c r="I1947" s="52"/>
      <c r="J1947" s="52"/>
      <c r="K1947" s="52"/>
      <c r="L1947" s="52"/>
      <c r="M1947" s="52"/>
      <c r="N1947" s="52"/>
      <c r="O1947" s="52"/>
      <c r="P1947" s="52"/>
      <c r="Q1947" s="52"/>
      <c r="R1947" s="52"/>
      <c r="S1947" s="52"/>
      <c r="T1947" s="52"/>
      <c r="U1947" s="52"/>
      <c r="V1947" s="52"/>
      <c r="W1947" s="52"/>
      <c r="X1947" s="52"/>
      <c r="Y1947" s="52"/>
      <c r="Z1947" s="52"/>
      <c r="AA1947" s="52"/>
      <c r="AB1947" s="52"/>
      <c r="AC1947" s="52"/>
      <c r="AD1947" s="52"/>
      <c r="AE1947" s="52"/>
      <c r="AF1947" s="52"/>
      <c r="AG1947" s="52"/>
      <c r="AH1947" s="52"/>
      <c r="AI1947" s="52"/>
      <c r="AJ1947" s="52"/>
      <c r="AK1947" s="52"/>
      <c r="AL1947" s="52"/>
      <c r="AM1947" s="52"/>
      <c r="AN1947" s="52"/>
    </row>
    <row r="1948" spans="1:40" x14ac:dyDescent="0.3">
      <c r="A1948" s="52">
        <v>1943</v>
      </c>
      <c r="B1948" s="52">
        <f>-bthan*500+(42+0.5)*bthan*1000/50</f>
        <v>1925</v>
      </c>
      <c r="C1948" s="52">
        <f t="shared" si="211"/>
        <v>-30</v>
      </c>
      <c r="D1948" s="52">
        <f t="shared" si="209"/>
        <v>2200</v>
      </c>
      <c r="E1948" s="52">
        <f t="shared" si="210"/>
        <v>1</v>
      </c>
      <c r="F1948" s="52"/>
      <c r="G1948" s="52"/>
      <c r="H1948" s="52"/>
      <c r="I1948" s="52"/>
      <c r="J1948" s="52"/>
      <c r="K1948" s="52"/>
      <c r="L1948" s="52"/>
      <c r="M1948" s="52"/>
      <c r="N1948" s="52"/>
      <c r="O1948" s="52"/>
      <c r="P1948" s="52"/>
      <c r="Q1948" s="52"/>
      <c r="R1948" s="52"/>
      <c r="S1948" s="52"/>
      <c r="T1948" s="52"/>
      <c r="U1948" s="52"/>
      <c r="V1948" s="52"/>
      <c r="W1948" s="52"/>
      <c r="X1948" s="52"/>
      <c r="Y1948" s="52"/>
      <c r="Z1948" s="52"/>
      <c r="AA1948" s="52"/>
      <c r="AB1948" s="52"/>
      <c r="AC1948" s="52"/>
      <c r="AD1948" s="52"/>
      <c r="AE1948" s="52"/>
      <c r="AF1948" s="52"/>
      <c r="AG1948" s="52"/>
      <c r="AH1948" s="52"/>
      <c r="AI1948" s="52"/>
      <c r="AJ1948" s="52"/>
      <c r="AK1948" s="52"/>
      <c r="AL1948" s="52"/>
      <c r="AM1948" s="52"/>
      <c r="AN1948" s="52"/>
    </row>
    <row r="1949" spans="1:40" x14ac:dyDescent="0.3">
      <c r="A1949" s="52">
        <v>1944</v>
      </c>
      <c r="B1949" s="52">
        <f>-bthan*500+(43+0.5)*bthan*1000/50</f>
        <v>2035</v>
      </c>
      <c r="C1949" s="52">
        <f t="shared" si="211"/>
        <v>-30</v>
      </c>
      <c r="D1949" s="52">
        <f t="shared" si="209"/>
        <v>2200</v>
      </c>
      <c r="E1949" s="52">
        <f t="shared" si="210"/>
        <v>1</v>
      </c>
      <c r="F1949" s="52"/>
      <c r="G1949" s="52"/>
      <c r="H1949" s="52"/>
      <c r="I1949" s="52"/>
      <c r="J1949" s="52"/>
      <c r="K1949" s="52"/>
      <c r="L1949" s="52"/>
      <c r="M1949" s="52"/>
      <c r="N1949" s="52"/>
      <c r="O1949" s="52"/>
      <c r="P1949" s="52"/>
      <c r="Q1949" s="52"/>
      <c r="R1949" s="52"/>
      <c r="S1949" s="52"/>
      <c r="T1949" s="52"/>
      <c r="U1949" s="52"/>
      <c r="V1949" s="52"/>
      <c r="W1949" s="52"/>
      <c r="X1949" s="52"/>
      <c r="Y1949" s="52"/>
      <c r="Z1949" s="52"/>
      <c r="AA1949" s="52"/>
      <c r="AB1949" s="52"/>
      <c r="AC1949" s="52"/>
      <c r="AD1949" s="52"/>
      <c r="AE1949" s="52"/>
      <c r="AF1949" s="52"/>
      <c r="AG1949" s="52"/>
      <c r="AH1949" s="52"/>
      <c r="AI1949" s="52"/>
      <c r="AJ1949" s="52"/>
      <c r="AK1949" s="52"/>
      <c r="AL1949" s="52"/>
      <c r="AM1949" s="52"/>
      <c r="AN1949" s="52"/>
    </row>
    <row r="1950" spans="1:40" x14ac:dyDescent="0.3">
      <c r="A1950" s="52">
        <v>1945</v>
      </c>
      <c r="B1950" s="52">
        <f>-bthan*500+(44+0.5)*bthan*1000/50</f>
        <v>2145</v>
      </c>
      <c r="C1950" s="52">
        <f t="shared" si="211"/>
        <v>-30</v>
      </c>
      <c r="D1950" s="52">
        <f t="shared" si="209"/>
        <v>2200</v>
      </c>
      <c r="E1950" s="52">
        <f t="shared" si="210"/>
        <v>1</v>
      </c>
      <c r="F1950" s="52"/>
      <c r="G1950" s="52"/>
      <c r="H1950" s="52"/>
      <c r="I1950" s="52"/>
      <c r="J1950" s="52"/>
      <c r="K1950" s="52"/>
      <c r="L1950" s="52"/>
      <c r="M1950" s="52"/>
      <c r="N1950" s="52"/>
      <c r="O1950" s="52"/>
      <c r="P1950" s="52"/>
      <c r="Q1950" s="52"/>
      <c r="R1950" s="52"/>
      <c r="S1950" s="52"/>
      <c r="T1950" s="52"/>
      <c r="U1950" s="52"/>
      <c r="V1950" s="52"/>
      <c r="W1950" s="52"/>
      <c r="X1950" s="52"/>
      <c r="Y1950" s="52"/>
      <c r="Z1950" s="52"/>
      <c r="AA1950" s="52"/>
      <c r="AB1950" s="52"/>
      <c r="AC1950" s="52"/>
      <c r="AD1950" s="52"/>
      <c r="AE1950" s="52"/>
      <c r="AF1950" s="52"/>
      <c r="AG1950" s="52"/>
      <c r="AH1950" s="52"/>
      <c r="AI1950" s="52"/>
      <c r="AJ1950" s="52"/>
      <c r="AK1950" s="52"/>
      <c r="AL1950" s="52"/>
      <c r="AM1950" s="52"/>
      <c r="AN1950" s="52"/>
    </row>
    <row r="1951" spans="1:40" x14ac:dyDescent="0.3">
      <c r="A1951" s="52">
        <v>1946</v>
      </c>
      <c r="B1951" s="52">
        <f>-bthan*500+(45+0.5)*bthan*1000/50</f>
        <v>2255</v>
      </c>
      <c r="C1951" s="52">
        <f t="shared" si="211"/>
        <v>-30</v>
      </c>
      <c r="D1951" s="52">
        <f t="shared" si="209"/>
        <v>2200</v>
      </c>
      <c r="E1951" s="52">
        <f t="shared" si="210"/>
        <v>1</v>
      </c>
      <c r="F1951" s="52"/>
      <c r="G1951" s="52"/>
      <c r="H1951" s="52"/>
      <c r="I1951" s="52"/>
      <c r="J1951" s="52"/>
      <c r="K1951" s="52"/>
      <c r="L1951" s="52"/>
      <c r="M1951" s="52"/>
      <c r="N1951" s="52"/>
      <c r="O1951" s="52"/>
      <c r="P1951" s="52"/>
      <c r="Q1951" s="52"/>
      <c r="R1951" s="52"/>
      <c r="S1951" s="52"/>
      <c r="T1951" s="52"/>
      <c r="U1951" s="52"/>
      <c r="V1951" s="52"/>
      <c r="W1951" s="52"/>
      <c r="X1951" s="52"/>
      <c r="Y1951" s="52"/>
      <c r="Z1951" s="52"/>
      <c r="AA1951" s="52"/>
      <c r="AB1951" s="52"/>
      <c r="AC1951" s="52"/>
      <c r="AD1951" s="52"/>
      <c r="AE1951" s="52"/>
      <c r="AF1951" s="52"/>
      <c r="AG1951" s="52"/>
      <c r="AH1951" s="52"/>
      <c r="AI1951" s="52"/>
      <c r="AJ1951" s="52"/>
      <c r="AK1951" s="52"/>
      <c r="AL1951" s="52"/>
      <c r="AM1951" s="52"/>
      <c r="AN1951" s="52"/>
    </row>
    <row r="1952" spans="1:40" x14ac:dyDescent="0.3">
      <c r="A1952" s="52">
        <v>1947</v>
      </c>
      <c r="B1952" s="52">
        <f>-bthan*500+(46+0.5)*bthan*1000/50</f>
        <v>2365</v>
      </c>
      <c r="C1952" s="52">
        <f t="shared" si="211"/>
        <v>-30</v>
      </c>
      <c r="D1952" s="52">
        <f t="shared" si="209"/>
        <v>2200</v>
      </c>
      <c r="E1952" s="52">
        <f t="shared" si="210"/>
        <v>1</v>
      </c>
      <c r="F1952" s="52"/>
      <c r="G1952" s="52"/>
      <c r="H1952" s="52"/>
      <c r="I1952" s="52"/>
      <c r="J1952" s="52"/>
      <c r="K1952" s="52"/>
      <c r="L1952" s="52"/>
      <c r="M1952" s="52"/>
      <c r="N1952" s="52"/>
      <c r="O1952" s="52"/>
      <c r="P1952" s="52"/>
      <c r="Q1952" s="52"/>
      <c r="R1952" s="52"/>
      <c r="S1952" s="52"/>
      <c r="T1952" s="52"/>
      <c r="U1952" s="52"/>
      <c r="V1952" s="52"/>
      <c r="W1952" s="52"/>
      <c r="X1952" s="52"/>
      <c r="Y1952" s="52"/>
      <c r="Z1952" s="52"/>
      <c r="AA1952" s="52"/>
      <c r="AB1952" s="52"/>
      <c r="AC1952" s="52"/>
      <c r="AD1952" s="52"/>
      <c r="AE1952" s="52"/>
      <c r="AF1952" s="52"/>
      <c r="AG1952" s="52"/>
      <c r="AH1952" s="52"/>
      <c r="AI1952" s="52"/>
      <c r="AJ1952" s="52"/>
      <c r="AK1952" s="52"/>
      <c r="AL1952" s="52"/>
      <c r="AM1952" s="52"/>
      <c r="AN1952" s="52"/>
    </row>
    <row r="1953" spans="1:40" x14ac:dyDescent="0.3">
      <c r="A1953" s="52">
        <v>1948</v>
      </c>
      <c r="B1953" s="52">
        <f>-bthan*500+(47+0.5)*bthan*1000/50</f>
        <v>2475</v>
      </c>
      <c r="C1953" s="52">
        <f t="shared" si="211"/>
        <v>-30</v>
      </c>
      <c r="D1953" s="52">
        <f t="shared" si="209"/>
        <v>2200</v>
      </c>
      <c r="E1953" s="52">
        <f t="shared" si="210"/>
        <v>1</v>
      </c>
      <c r="F1953" s="52"/>
      <c r="G1953" s="52"/>
      <c r="H1953" s="52"/>
      <c r="I1953" s="52"/>
      <c r="J1953" s="52"/>
      <c r="K1953" s="52"/>
      <c r="L1953" s="52"/>
      <c r="M1953" s="52"/>
      <c r="N1953" s="52"/>
      <c r="O1953" s="52"/>
      <c r="P1953" s="52"/>
      <c r="Q1953" s="52"/>
      <c r="R1953" s="52"/>
      <c r="S1953" s="52"/>
      <c r="T1953" s="52"/>
      <c r="U1953" s="52"/>
      <c r="V1953" s="52"/>
      <c r="W1953" s="52"/>
      <c r="X1953" s="52"/>
      <c r="Y1953" s="52"/>
      <c r="Z1953" s="52"/>
      <c r="AA1953" s="52"/>
      <c r="AB1953" s="52"/>
      <c r="AC1953" s="52"/>
      <c r="AD1953" s="52"/>
      <c r="AE1953" s="52"/>
      <c r="AF1953" s="52"/>
      <c r="AG1953" s="52"/>
      <c r="AH1953" s="52"/>
      <c r="AI1953" s="52"/>
      <c r="AJ1953" s="52"/>
      <c r="AK1953" s="52"/>
      <c r="AL1953" s="52"/>
      <c r="AM1953" s="52"/>
      <c r="AN1953" s="52"/>
    </row>
    <row r="1954" spans="1:40" x14ac:dyDescent="0.3">
      <c r="A1954" s="52">
        <v>1949</v>
      </c>
      <c r="B1954" s="52">
        <f>-bthan*500+(48+0.5)*bthan*1000/50</f>
        <v>2585</v>
      </c>
      <c r="C1954" s="52">
        <f t="shared" si="211"/>
        <v>-30</v>
      </c>
      <c r="D1954" s="52">
        <f t="shared" si="209"/>
        <v>2200</v>
      </c>
      <c r="E1954" s="52">
        <f t="shared" si="210"/>
        <v>1</v>
      </c>
      <c r="F1954" s="52"/>
      <c r="G1954" s="52"/>
      <c r="H1954" s="52"/>
      <c r="I1954" s="52"/>
      <c r="J1954" s="52"/>
      <c r="K1954" s="52"/>
      <c r="L1954" s="52"/>
      <c r="M1954" s="52"/>
      <c r="N1954" s="52"/>
      <c r="O1954" s="52"/>
      <c r="P1954" s="52"/>
      <c r="Q1954" s="52"/>
      <c r="R1954" s="52"/>
      <c r="S1954" s="52"/>
      <c r="T1954" s="52"/>
      <c r="U1954" s="52"/>
      <c r="V1954" s="52"/>
      <c r="W1954" s="52"/>
      <c r="X1954" s="52"/>
      <c r="Y1954" s="52"/>
      <c r="Z1954" s="52"/>
      <c r="AA1954" s="52"/>
      <c r="AB1954" s="52"/>
      <c r="AC1954" s="52"/>
      <c r="AD1954" s="52"/>
      <c r="AE1954" s="52"/>
      <c r="AF1954" s="52"/>
      <c r="AG1954" s="52"/>
      <c r="AH1954" s="52"/>
      <c r="AI1954" s="52"/>
      <c r="AJ1954" s="52"/>
      <c r="AK1954" s="52"/>
      <c r="AL1954" s="52"/>
      <c r="AM1954" s="52"/>
      <c r="AN1954" s="52"/>
    </row>
    <row r="1955" spans="1:40" x14ac:dyDescent="0.3">
      <c r="A1955" s="52">
        <v>1950</v>
      </c>
      <c r="B1955" s="52">
        <f>-bthan*500+(49+0.5)*bthan*1000/50</f>
        <v>2695</v>
      </c>
      <c r="C1955" s="52">
        <f t="shared" si="211"/>
        <v>-30</v>
      </c>
      <c r="D1955" s="52">
        <f t="shared" si="209"/>
        <v>2200</v>
      </c>
      <c r="E1955" s="52">
        <f t="shared" si="210"/>
        <v>1</v>
      </c>
      <c r="F1955" s="52"/>
      <c r="G1955" s="52"/>
      <c r="H1955" s="52"/>
      <c r="I1955" s="52"/>
      <c r="J1955" s="52"/>
      <c r="K1955" s="52"/>
      <c r="L1955" s="52"/>
      <c r="M1955" s="52"/>
      <c r="N1955" s="52"/>
      <c r="O1955" s="52"/>
      <c r="P1955" s="52"/>
      <c r="Q1955" s="52"/>
      <c r="R1955" s="52"/>
      <c r="S1955" s="52"/>
      <c r="T1955" s="52"/>
      <c r="U1955" s="52"/>
      <c r="V1955" s="52"/>
      <c r="W1955" s="52"/>
      <c r="X1955" s="52"/>
      <c r="Y1955" s="52"/>
      <c r="Z1955" s="52"/>
      <c r="AA1955" s="52"/>
      <c r="AB1955" s="52"/>
      <c r="AC1955" s="52"/>
      <c r="AD1955" s="52"/>
      <c r="AE1955" s="52"/>
      <c r="AF1955" s="52"/>
      <c r="AG1955" s="52"/>
      <c r="AH1955" s="52"/>
      <c r="AI1955" s="52"/>
      <c r="AJ1955" s="52"/>
      <c r="AK1955" s="52"/>
      <c r="AL1955" s="52"/>
      <c r="AM1955" s="52"/>
      <c r="AN1955" s="52"/>
    </row>
    <row r="1956" spans="1:40" x14ac:dyDescent="0.3">
      <c r="A1956" s="52">
        <v>1951</v>
      </c>
      <c r="B1956" s="52">
        <f>-bthan*500+(0+0.5)*bthan*1000/50</f>
        <v>-2695</v>
      </c>
      <c r="C1956" s="52">
        <f t="shared" ref="C1956:C1987" si="212">-hthan*500+(39+0.5)*hthan*1000/80</f>
        <v>-10</v>
      </c>
      <c r="D1956" s="52">
        <f t="shared" si="209"/>
        <v>2200</v>
      </c>
      <c r="E1956" s="52">
        <f t="shared" si="210"/>
        <v>1</v>
      </c>
      <c r="F1956" s="52"/>
      <c r="G1956" s="52"/>
      <c r="H1956" s="52"/>
      <c r="I1956" s="52"/>
      <c r="J1956" s="52"/>
      <c r="K1956" s="52"/>
      <c r="L1956" s="52"/>
      <c r="M1956" s="52"/>
      <c r="N1956" s="52"/>
      <c r="O1956" s="52"/>
      <c r="P1956" s="52"/>
      <c r="Q1956" s="52"/>
      <c r="R1956" s="52"/>
      <c r="S1956" s="52"/>
      <c r="T1956" s="52"/>
      <c r="U1956" s="52"/>
      <c r="V1956" s="52"/>
      <c r="W1956" s="52"/>
      <c r="X1956" s="52"/>
      <c r="Y1956" s="52"/>
      <c r="Z1956" s="52"/>
      <c r="AA1956" s="52"/>
      <c r="AB1956" s="52"/>
      <c r="AC1956" s="52"/>
      <c r="AD1956" s="52"/>
      <c r="AE1956" s="52"/>
      <c r="AF1956" s="52"/>
      <c r="AG1956" s="52"/>
      <c r="AH1956" s="52"/>
      <c r="AI1956" s="52"/>
      <c r="AJ1956" s="52"/>
      <c r="AK1956" s="52"/>
      <c r="AL1956" s="52"/>
      <c r="AM1956" s="52"/>
      <c r="AN1956" s="52"/>
    </row>
    <row r="1957" spans="1:40" x14ac:dyDescent="0.3">
      <c r="A1957" s="52">
        <v>1952</v>
      </c>
      <c r="B1957" s="52">
        <f>-bthan*500+(1+0.5)*bthan*1000/50</f>
        <v>-2585</v>
      </c>
      <c r="C1957" s="52">
        <f t="shared" si="212"/>
        <v>-10</v>
      </c>
      <c r="D1957" s="52">
        <f t="shared" si="209"/>
        <v>2200</v>
      </c>
      <c r="E1957" s="52">
        <f t="shared" si="210"/>
        <v>1</v>
      </c>
      <c r="F1957" s="52"/>
      <c r="G1957" s="52"/>
      <c r="H1957" s="52"/>
      <c r="I1957" s="52"/>
      <c r="J1957" s="52"/>
      <c r="K1957" s="52"/>
      <c r="L1957" s="52"/>
      <c r="M1957" s="52"/>
      <c r="N1957" s="52"/>
      <c r="O1957" s="52"/>
      <c r="P1957" s="52"/>
      <c r="Q1957" s="52"/>
      <c r="R1957" s="52"/>
      <c r="S1957" s="52"/>
      <c r="T1957" s="52"/>
      <c r="U1957" s="52"/>
      <c r="V1957" s="52"/>
      <c r="W1957" s="52"/>
      <c r="X1957" s="52"/>
      <c r="Y1957" s="52"/>
      <c r="Z1957" s="52"/>
      <c r="AA1957" s="52"/>
      <c r="AB1957" s="52"/>
      <c r="AC1957" s="52"/>
      <c r="AD1957" s="52"/>
      <c r="AE1957" s="52"/>
      <c r="AF1957" s="52"/>
      <c r="AG1957" s="52"/>
      <c r="AH1957" s="52"/>
      <c r="AI1957" s="52"/>
      <c r="AJ1957" s="52"/>
      <c r="AK1957" s="52"/>
      <c r="AL1957" s="52"/>
      <c r="AM1957" s="52"/>
      <c r="AN1957" s="52"/>
    </row>
    <row r="1958" spans="1:40" x14ac:dyDescent="0.3">
      <c r="A1958" s="52">
        <v>1953</v>
      </c>
      <c r="B1958" s="52">
        <f>-bthan*500+(2+0.5)*bthan*1000/50</f>
        <v>-2475</v>
      </c>
      <c r="C1958" s="52">
        <f t="shared" si="212"/>
        <v>-10</v>
      </c>
      <c r="D1958" s="52">
        <f t="shared" si="209"/>
        <v>2200</v>
      </c>
      <c r="E1958" s="52">
        <f t="shared" si="210"/>
        <v>1</v>
      </c>
      <c r="F1958" s="52"/>
      <c r="G1958" s="52"/>
      <c r="H1958" s="52"/>
      <c r="I1958" s="52"/>
      <c r="J1958" s="52"/>
      <c r="K1958" s="52"/>
      <c r="L1958" s="52"/>
      <c r="M1958" s="52"/>
      <c r="N1958" s="52"/>
      <c r="O1958" s="52"/>
      <c r="P1958" s="52"/>
      <c r="Q1958" s="52"/>
      <c r="R1958" s="52"/>
      <c r="S1958" s="52"/>
      <c r="T1958" s="52"/>
      <c r="U1958" s="52"/>
      <c r="V1958" s="52"/>
      <c r="W1958" s="52"/>
      <c r="X1958" s="52"/>
      <c r="Y1958" s="52"/>
      <c r="Z1958" s="52"/>
      <c r="AA1958" s="52"/>
      <c r="AB1958" s="52"/>
      <c r="AC1958" s="52"/>
      <c r="AD1958" s="52"/>
      <c r="AE1958" s="52"/>
      <c r="AF1958" s="52"/>
      <c r="AG1958" s="52"/>
      <c r="AH1958" s="52"/>
      <c r="AI1958" s="52"/>
      <c r="AJ1958" s="52"/>
      <c r="AK1958" s="52"/>
      <c r="AL1958" s="52"/>
      <c r="AM1958" s="52"/>
      <c r="AN1958" s="52"/>
    </row>
    <row r="1959" spans="1:40" x14ac:dyDescent="0.3">
      <c r="A1959" s="52">
        <v>1954</v>
      </c>
      <c r="B1959" s="52">
        <f>-bthan*500+(3+0.5)*bthan*1000/50</f>
        <v>-2365</v>
      </c>
      <c r="C1959" s="52">
        <f t="shared" si="212"/>
        <v>-10</v>
      </c>
      <c r="D1959" s="52">
        <f t="shared" si="209"/>
        <v>2200</v>
      </c>
      <c r="E1959" s="52">
        <f t="shared" si="210"/>
        <v>1</v>
      </c>
      <c r="F1959" s="52"/>
      <c r="G1959" s="52"/>
      <c r="H1959" s="52"/>
      <c r="I1959" s="52"/>
      <c r="J1959" s="52"/>
      <c r="K1959" s="52"/>
      <c r="L1959" s="52"/>
      <c r="M1959" s="52"/>
      <c r="N1959" s="52"/>
      <c r="O1959" s="52"/>
      <c r="P1959" s="52"/>
      <c r="Q1959" s="52"/>
      <c r="R1959" s="52"/>
      <c r="S1959" s="52"/>
      <c r="T1959" s="52"/>
      <c r="U1959" s="52"/>
      <c r="V1959" s="52"/>
      <c r="W1959" s="52"/>
      <c r="X1959" s="52"/>
      <c r="Y1959" s="52"/>
      <c r="Z1959" s="52"/>
      <c r="AA1959" s="52"/>
      <c r="AB1959" s="52"/>
      <c r="AC1959" s="52"/>
      <c r="AD1959" s="52"/>
      <c r="AE1959" s="52"/>
      <c r="AF1959" s="52"/>
      <c r="AG1959" s="52"/>
      <c r="AH1959" s="52"/>
      <c r="AI1959" s="52"/>
      <c r="AJ1959" s="52"/>
      <c r="AK1959" s="52"/>
      <c r="AL1959" s="52"/>
      <c r="AM1959" s="52"/>
      <c r="AN1959" s="52"/>
    </row>
    <row r="1960" spans="1:40" x14ac:dyDescent="0.3">
      <c r="A1960" s="52">
        <v>1955</v>
      </c>
      <c r="B1960" s="52">
        <f>-bthan*500+(4+0.5)*bthan*1000/50</f>
        <v>-2255</v>
      </c>
      <c r="C1960" s="52">
        <f t="shared" si="212"/>
        <v>-10</v>
      </c>
      <c r="D1960" s="52">
        <f t="shared" si="209"/>
        <v>2200</v>
      </c>
      <c r="E1960" s="52">
        <f t="shared" si="210"/>
        <v>1</v>
      </c>
      <c r="F1960" s="52"/>
      <c r="G1960" s="52"/>
      <c r="H1960" s="52"/>
      <c r="I1960" s="52"/>
      <c r="J1960" s="52"/>
      <c r="K1960" s="52"/>
      <c r="L1960" s="52"/>
      <c r="M1960" s="52"/>
      <c r="N1960" s="52"/>
      <c r="O1960" s="52"/>
      <c r="P1960" s="52"/>
      <c r="Q1960" s="52"/>
      <c r="R1960" s="52"/>
      <c r="S1960" s="52"/>
      <c r="T1960" s="52"/>
      <c r="U1960" s="52"/>
      <c r="V1960" s="52"/>
      <c r="W1960" s="52"/>
      <c r="X1960" s="52"/>
      <c r="Y1960" s="52"/>
      <c r="Z1960" s="52"/>
      <c r="AA1960" s="52"/>
      <c r="AB1960" s="52"/>
      <c r="AC1960" s="52"/>
      <c r="AD1960" s="52"/>
      <c r="AE1960" s="52"/>
      <c r="AF1960" s="52"/>
      <c r="AG1960" s="52"/>
      <c r="AH1960" s="52"/>
      <c r="AI1960" s="52"/>
      <c r="AJ1960" s="52"/>
      <c r="AK1960" s="52"/>
      <c r="AL1960" s="52"/>
      <c r="AM1960" s="52"/>
      <c r="AN1960" s="52"/>
    </row>
    <row r="1961" spans="1:40" x14ac:dyDescent="0.3">
      <c r="A1961" s="52">
        <v>1956</v>
      </c>
      <c r="B1961" s="52">
        <f>-bthan*500+(5+0.5)*bthan*1000/50</f>
        <v>-2145</v>
      </c>
      <c r="C1961" s="52">
        <f t="shared" si="212"/>
        <v>-10</v>
      </c>
      <c r="D1961" s="52">
        <f t="shared" si="209"/>
        <v>2200</v>
      </c>
      <c r="E1961" s="52">
        <f t="shared" si="210"/>
        <v>1</v>
      </c>
      <c r="F1961" s="52"/>
      <c r="G1961" s="52"/>
      <c r="H1961" s="52"/>
      <c r="I1961" s="52"/>
      <c r="J1961" s="52"/>
      <c r="K1961" s="52"/>
      <c r="L1961" s="52"/>
      <c r="M1961" s="52"/>
      <c r="N1961" s="52"/>
      <c r="O1961" s="52"/>
      <c r="P1961" s="52"/>
      <c r="Q1961" s="52"/>
      <c r="R1961" s="52"/>
      <c r="S1961" s="52"/>
      <c r="T1961" s="52"/>
      <c r="U1961" s="52"/>
      <c r="V1961" s="52"/>
      <c r="W1961" s="52"/>
      <c r="X1961" s="52"/>
      <c r="Y1961" s="52"/>
      <c r="Z1961" s="52"/>
      <c r="AA1961" s="52"/>
      <c r="AB1961" s="52"/>
      <c r="AC1961" s="52"/>
      <c r="AD1961" s="52"/>
      <c r="AE1961" s="52"/>
      <c r="AF1961" s="52"/>
      <c r="AG1961" s="52"/>
      <c r="AH1961" s="52"/>
      <c r="AI1961" s="52"/>
      <c r="AJ1961" s="52"/>
      <c r="AK1961" s="52"/>
      <c r="AL1961" s="52"/>
      <c r="AM1961" s="52"/>
      <c r="AN1961" s="52"/>
    </row>
    <row r="1962" spans="1:40" x14ac:dyDescent="0.3">
      <c r="A1962" s="52">
        <v>1957</v>
      </c>
      <c r="B1962" s="52">
        <f>-bthan*500+(6+0.5)*bthan*1000/50</f>
        <v>-2035</v>
      </c>
      <c r="C1962" s="52">
        <f t="shared" si="212"/>
        <v>-10</v>
      </c>
      <c r="D1962" s="52">
        <f t="shared" si="209"/>
        <v>2200</v>
      </c>
      <c r="E1962" s="52">
        <f t="shared" si="210"/>
        <v>1</v>
      </c>
      <c r="F1962" s="52"/>
      <c r="G1962" s="52"/>
      <c r="H1962" s="52"/>
      <c r="I1962" s="52"/>
      <c r="J1962" s="52"/>
      <c r="K1962" s="52"/>
      <c r="L1962" s="52"/>
      <c r="M1962" s="52"/>
      <c r="N1962" s="52"/>
      <c r="O1962" s="52"/>
      <c r="P1962" s="52"/>
      <c r="Q1962" s="52"/>
      <c r="R1962" s="52"/>
      <c r="S1962" s="52"/>
      <c r="T1962" s="52"/>
      <c r="U1962" s="52"/>
      <c r="V1962" s="52"/>
      <c r="W1962" s="52"/>
      <c r="X1962" s="52"/>
      <c r="Y1962" s="52"/>
      <c r="Z1962" s="52"/>
      <c r="AA1962" s="52"/>
      <c r="AB1962" s="52"/>
      <c r="AC1962" s="52"/>
      <c r="AD1962" s="52"/>
      <c r="AE1962" s="52"/>
      <c r="AF1962" s="52"/>
      <c r="AG1962" s="52"/>
      <c r="AH1962" s="52"/>
      <c r="AI1962" s="52"/>
      <c r="AJ1962" s="52"/>
      <c r="AK1962" s="52"/>
      <c r="AL1962" s="52"/>
      <c r="AM1962" s="52"/>
      <c r="AN1962" s="52"/>
    </row>
    <row r="1963" spans="1:40" x14ac:dyDescent="0.3">
      <c r="A1963" s="52">
        <v>1958</v>
      </c>
      <c r="B1963" s="52">
        <f>-bthan*500+(7+0.5)*bthan*1000/50</f>
        <v>-1925</v>
      </c>
      <c r="C1963" s="52">
        <f t="shared" si="212"/>
        <v>-10</v>
      </c>
      <c r="D1963" s="52">
        <f t="shared" si="209"/>
        <v>2200</v>
      </c>
      <c r="E1963" s="52">
        <f t="shared" si="210"/>
        <v>1</v>
      </c>
      <c r="F1963" s="52"/>
      <c r="G1963" s="52"/>
      <c r="H1963" s="52"/>
      <c r="I1963" s="52"/>
      <c r="J1963" s="52"/>
      <c r="K1963" s="52"/>
      <c r="L1963" s="52"/>
      <c r="M1963" s="52"/>
      <c r="N1963" s="52"/>
      <c r="O1963" s="52"/>
      <c r="P1963" s="52"/>
      <c r="Q1963" s="52"/>
      <c r="R1963" s="52"/>
      <c r="S1963" s="52"/>
      <c r="T1963" s="52"/>
      <c r="U1963" s="52"/>
      <c r="V1963" s="52"/>
      <c r="W1963" s="52"/>
      <c r="X1963" s="52"/>
      <c r="Y1963" s="52"/>
      <c r="Z1963" s="52"/>
      <c r="AA1963" s="52"/>
      <c r="AB1963" s="52"/>
      <c r="AC1963" s="52"/>
      <c r="AD1963" s="52"/>
      <c r="AE1963" s="52"/>
      <c r="AF1963" s="52"/>
      <c r="AG1963" s="52"/>
      <c r="AH1963" s="52"/>
      <c r="AI1963" s="52"/>
      <c r="AJ1963" s="52"/>
      <c r="AK1963" s="52"/>
      <c r="AL1963" s="52"/>
      <c r="AM1963" s="52"/>
      <c r="AN1963" s="52"/>
    </row>
    <row r="1964" spans="1:40" x14ac:dyDescent="0.3">
      <c r="A1964" s="52">
        <v>1959</v>
      </c>
      <c r="B1964" s="52">
        <f>-bthan*500+(8+0.5)*bthan*1000/50</f>
        <v>-1815</v>
      </c>
      <c r="C1964" s="52">
        <f t="shared" si="212"/>
        <v>-10</v>
      </c>
      <c r="D1964" s="52">
        <f t="shared" si="209"/>
        <v>2200</v>
      </c>
      <c r="E1964" s="52">
        <f t="shared" si="210"/>
        <v>1</v>
      </c>
      <c r="F1964" s="52"/>
      <c r="G1964" s="52"/>
      <c r="H1964" s="52"/>
      <c r="I1964" s="52"/>
      <c r="J1964" s="52"/>
      <c r="K1964" s="52"/>
      <c r="L1964" s="52"/>
      <c r="M1964" s="52"/>
      <c r="N1964" s="52"/>
      <c r="O1964" s="52"/>
      <c r="P1964" s="52"/>
      <c r="Q1964" s="52"/>
      <c r="R1964" s="52"/>
      <c r="S1964" s="52"/>
      <c r="T1964" s="52"/>
      <c r="U1964" s="52"/>
      <c r="V1964" s="52"/>
      <c r="W1964" s="52"/>
      <c r="X1964" s="52"/>
      <c r="Y1964" s="52"/>
      <c r="Z1964" s="52"/>
      <c r="AA1964" s="52"/>
      <c r="AB1964" s="52"/>
      <c r="AC1964" s="52"/>
      <c r="AD1964" s="52"/>
      <c r="AE1964" s="52"/>
      <c r="AF1964" s="52"/>
      <c r="AG1964" s="52"/>
      <c r="AH1964" s="52"/>
      <c r="AI1964" s="52"/>
      <c r="AJ1964" s="52"/>
      <c r="AK1964" s="52"/>
      <c r="AL1964" s="52"/>
      <c r="AM1964" s="52"/>
      <c r="AN1964" s="52"/>
    </row>
    <row r="1965" spans="1:40" x14ac:dyDescent="0.3">
      <c r="A1965" s="52">
        <v>1960</v>
      </c>
      <c r="B1965" s="52">
        <f>-bthan*500+(9+0.5)*bthan*1000/50</f>
        <v>-1705</v>
      </c>
      <c r="C1965" s="52">
        <f t="shared" si="212"/>
        <v>-10</v>
      </c>
      <c r="D1965" s="52">
        <f t="shared" si="209"/>
        <v>2200</v>
      </c>
      <c r="E1965" s="52">
        <f t="shared" si="210"/>
        <v>1</v>
      </c>
      <c r="F1965" s="52"/>
      <c r="G1965" s="52"/>
      <c r="H1965" s="52"/>
      <c r="I1965" s="52"/>
      <c r="J1965" s="52"/>
      <c r="K1965" s="52"/>
      <c r="L1965" s="52"/>
      <c r="M1965" s="52"/>
      <c r="N1965" s="52"/>
      <c r="O1965" s="52"/>
      <c r="P1965" s="52"/>
      <c r="Q1965" s="52"/>
      <c r="R1965" s="52"/>
      <c r="S1965" s="52"/>
      <c r="T1965" s="52"/>
      <c r="U1965" s="52"/>
      <c r="V1965" s="52"/>
      <c r="W1965" s="52"/>
      <c r="X1965" s="52"/>
      <c r="Y1965" s="52"/>
      <c r="Z1965" s="52"/>
      <c r="AA1965" s="52"/>
      <c r="AB1965" s="52"/>
      <c r="AC1965" s="52"/>
      <c r="AD1965" s="52"/>
      <c r="AE1965" s="52"/>
      <c r="AF1965" s="52"/>
      <c r="AG1965" s="52"/>
      <c r="AH1965" s="52"/>
      <c r="AI1965" s="52"/>
      <c r="AJ1965" s="52"/>
      <c r="AK1965" s="52"/>
      <c r="AL1965" s="52"/>
      <c r="AM1965" s="52"/>
      <c r="AN1965" s="52"/>
    </row>
    <row r="1966" spans="1:40" x14ac:dyDescent="0.3">
      <c r="A1966" s="52">
        <v>1961</v>
      </c>
      <c r="B1966" s="52">
        <f>-bthan*500+(10+0.5)*bthan*1000/50</f>
        <v>-1595</v>
      </c>
      <c r="C1966" s="52">
        <f t="shared" si="212"/>
        <v>-10</v>
      </c>
      <c r="D1966" s="52">
        <f t="shared" si="209"/>
        <v>2200</v>
      </c>
      <c r="E1966" s="52">
        <f t="shared" si="210"/>
        <v>1</v>
      </c>
      <c r="F1966" s="52"/>
      <c r="G1966" s="52"/>
      <c r="H1966" s="52"/>
      <c r="I1966" s="52"/>
      <c r="J1966" s="52"/>
      <c r="K1966" s="52"/>
      <c r="L1966" s="52"/>
      <c r="M1966" s="52"/>
      <c r="N1966" s="52"/>
      <c r="O1966" s="52"/>
      <c r="P1966" s="52"/>
      <c r="Q1966" s="52"/>
      <c r="R1966" s="52"/>
      <c r="S1966" s="52"/>
      <c r="T1966" s="52"/>
      <c r="U1966" s="52"/>
      <c r="V1966" s="52"/>
      <c r="W1966" s="52"/>
      <c r="X1966" s="52"/>
      <c r="Y1966" s="52"/>
      <c r="Z1966" s="52"/>
      <c r="AA1966" s="52"/>
      <c r="AB1966" s="52"/>
      <c r="AC1966" s="52"/>
      <c r="AD1966" s="52"/>
      <c r="AE1966" s="52"/>
      <c r="AF1966" s="52"/>
      <c r="AG1966" s="52"/>
      <c r="AH1966" s="52"/>
      <c r="AI1966" s="52"/>
      <c r="AJ1966" s="52"/>
      <c r="AK1966" s="52"/>
      <c r="AL1966" s="52"/>
      <c r="AM1966" s="52"/>
      <c r="AN1966" s="52"/>
    </row>
    <row r="1967" spans="1:40" x14ac:dyDescent="0.3">
      <c r="A1967" s="52">
        <v>1962</v>
      </c>
      <c r="B1967" s="52">
        <f>-bthan*500+(11+0.5)*bthan*1000/50</f>
        <v>-1485</v>
      </c>
      <c r="C1967" s="52">
        <f t="shared" si="212"/>
        <v>-10</v>
      </c>
      <c r="D1967" s="52">
        <f t="shared" si="209"/>
        <v>2200</v>
      </c>
      <c r="E1967" s="52">
        <f t="shared" si="210"/>
        <v>1</v>
      </c>
      <c r="F1967" s="52"/>
      <c r="G1967" s="52"/>
      <c r="H1967" s="52"/>
      <c r="I1967" s="52"/>
      <c r="J1967" s="52"/>
      <c r="K1967" s="52"/>
      <c r="L1967" s="52"/>
      <c r="M1967" s="52"/>
      <c r="N1967" s="52"/>
      <c r="O1967" s="52"/>
      <c r="P1967" s="52"/>
      <c r="Q1967" s="52"/>
      <c r="R1967" s="52"/>
      <c r="S1967" s="52"/>
      <c r="T1967" s="52"/>
      <c r="U1967" s="52"/>
      <c r="V1967" s="52"/>
      <c r="W1967" s="52"/>
      <c r="X1967" s="52"/>
      <c r="Y1967" s="52"/>
      <c r="Z1967" s="52"/>
      <c r="AA1967" s="52"/>
      <c r="AB1967" s="52"/>
      <c r="AC1967" s="52"/>
      <c r="AD1967" s="52"/>
      <c r="AE1967" s="52"/>
      <c r="AF1967" s="52"/>
      <c r="AG1967" s="52"/>
      <c r="AH1967" s="52"/>
      <c r="AI1967" s="52"/>
      <c r="AJ1967" s="52"/>
      <c r="AK1967" s="52"/>
      <c r="AL1967" s="52"/>
      <c r="AM1967" s="52"/>
      <c r="AN1967" s="52"/>
    </row>
    <row r="1968" spans="1:40" x14ac:dyDescent="0.3">
      <c r="A1968" s="52">
        <v>1963</v>
      </c>
      <c r="B1968" s="52">
        <f>-bthan*500+(12+0.5)*bthan*1000/50</f>
        <v>-1375</v>
      </c>
      <c r="C1968" s="52">
        <f t="shared" si="212"/>
        <v>-10</v>
      </c>
      <c r="D1968" s="52">
        <f t="shared" si="209"/>
        <v>2200</v>
      </c>
      <c r="E1968" s="52">
        <f t="shared" si="210"/>
        <v>1</v>
      </c>
      <c r="F1968" s="52"/>
      <c r="G1968" s="52"/>
      <c r="H1968" s="52"/>
      <c r="I1968" s="52"/>
      <c r="J1968" s="52"/>
      <c r="K1968" s="52"/>
      <c r="L1968" s="52"/>
      <c r="M1968" s="52"/>
      <c r="N1968" s="52"/>
      <c r="O1968" s="52"/>
      <c r="P1968" s="52"/>
      <c r="Q1968" s="52"/>
      <c r="R1968" s="52"/>
      <c r="S1968" s="52"/>
      <c r="T1968" s="52"/>
      <c r="U1968" s="52"/>
      <c r="V1968" s="52"/>
      <c r="W1968" s="52"/>
      <c r="X1968" s="52"/>
      <c r="Y1968" s="52"/>
      <c r="Z1968" s="52"/>
      <c r="AA1968" s="52"/>
      <c r="AB1968" s="52"/>
      <c r="AC1968" s="52"/>
      <c r="AD1968" s="52"/>
      <c r="AE1968" s="52"/>
      <c r="AF1968" s="52"/>
      <c r="AG1968" s="52"/>
      <c r="AH1968" s="52"/>
      <c r="AI1968" s="52"/>
      <c r="AJ1968" s="52"/>
      <c r="AK1968" s="52"/>
      <c r="AL1968" s="52"/>
      <c r="AM1968" s="52"/>
      <c r="AN1968" s="52"/>
    </row>
    <row r="1969" spans="1:40" x14ac:dyDescent="0.3">
      <c r="A1969" s="52">
        <v>1964</v>
      </c>
      <c r="B1969" s="52">
        <f>-bthan*500+(13+0.5)*bthan*1000/50</f>
        <v>-1265</v>
      </c>
      <c r="C1969" s="52">
        <f t="shared" si="212"/>
        <v>-10</v>
      </c>
      <c r="D1969" s="52">
        <f t="shared" si="209"/>
        <v>2200</v>
      </c>
      <c r="E1969" s="52">
        <f t="shared" si="210"/>
        <v>1</v>
      </c>
      <c r="F1969" s="52"/>
      <c r="G1969" s="52"/>
      <c r="H1969" s="52"/>
      <c r="I1969" s="52"/>
      <c r="J1969" s="52"/>
      <c r="K1969" s="52"/>
      <c r="L1969" s="52"/>
      <c r="M1969" s="52"/>
      <c r="N1969" s="52"/>
      <c r="O1969" s="52"/>
      <c r="P1969" s="52"/>
      <c r="Q1969" s="52"/>
      <c r="R1969" s="52"/>
      <c r="S1969" s="52"/>
      <c r="T1969" s="52"/>
      <c r="U1969" s="52"/>
      <c r="V1969" s="52"/>
      <c r="W1969" s="52"/>
      <c r="X1969" s="52"/>
      <c r="Y1969" s="52"/>
      <c r="Z1969" s="52"/>
      <c r="AA1969" s="52"/>
      <c r="AB1969" s="52"/>
      <c r="AC1969" s="52"/>
      <c r="AD1969" s="52"/>
      <c r="AE1969" s="52"/>
      <c r="AF1969" s="52"/>
      <c r="AG1969" s="52"/>
      <c r="AH1969" s="52"/>
      <c r="AI1969" s="52"/>
      <c r="AJ1969" s="52"/>
      <c r="AK1969" s="52"/>
      <c r="AL1969" s="52"/>
      <c r="AM1969" s="52"/>
      <c r="AN1969" s="52"/>
    </row>
    <row r="1970" spans="1:40" x14ac:dyDescent="0.3">
      <c r="A1970" s="52">
        <v>1965</v>
      </c>
      <c r="B1970" s="52">
        <f>-bthan*500+(14+0.5)*bthan*1000/50</f>
        <v>-1155</v>
      </c>
      <c r="C1970" s="52">
        <f t="shared" si="212"/>
        <v>-10</v>
      </c>
      <c r="D1970" s="52">
        <f t="shared" si="209"/>
        <v>2200</v>
      </c>
      <c r="E1970" s="52">
        <f t="shared" si="210"/>
        <v>1</v>
      </c>
      <c r="F1970" s="52"/>
      <c r="G1970" s="52"/>
      <c r="H1970" s="52"/>
      <c r="I1970" s="52"/>
      <c r="J1970" s="52"/>
      <c r="K1970" s="52"/>
      <c r="L1970" s="52"/>
      <c r="M1970" s="52"/>
      <c r="N1970" s="52"/>
      <c r="O1970" s="52"/>
      <c r="P1970" s="52"/>
      <c r="Q1970" s="52"/>
      <c r="R1970" s="52"/>
      <c r="S1970" s="52"/>
      <c r="T1970" s="52"/>
      <c r="U1970" s="52"/>
      <c r="V1970" s="52"/>
      <c r="W1970" s="52"/>
      <c r="X1970" s="52"/>
      <c r="Y1970" s="52"/>
      <c r="Z1970" s="52"/>
      <c r="AA1970" s="52"/>
      <c r="AB1970" s="52"/>
      <c r="AC1970" s="52"/>
      <c r="AD1970" s="52"/>
      <c r="AE1970" s="52"/>
      <c r="AF1970" s="52"/>
      <c r="AG1970" s="52"/>
      <c r="AH1970" s="52"/>
      <c r="AI1970" s="52"/>
      <c r="AJ1970" s="52"/>
      <c r="AK1970" s="52"/>
      <c r="AL1970" s="52"/>
      <c r="AM1970" s="52"/>
      <c r="AN1970" s="52"/>
    </row>
    <row r="1971" spans="1:40" x14ac:dyDescent="0.3">
      <c r="A1971" s="52">
        <v>1966</v>
      </c>
      <c r="B1971" s="52">
        <f>-bthan*500+(15+0.5)*bthan*1000/50</f>
        <v>-1045</v>
      </c>
      <c r="C1971" s="52">
        <f t="shared" si="212"/>
        <v>-10</v>
      </c>
      <c r="D1971" s="52">
        <f t="shared" si="209"/>
        <v>2200</v>
      </c>
      <c r="E1971" s="52">
        <f t="shared" si="210"/>
        <v>1</v>
      </c>
      <c r="F1971" s="52"/>
      <c r="G1971" s="52"/>
      <c r="H1971" s="52"/>
      <c r="I1971" s="52"/>
      <c r="J1971" s="52"/>
      <c r="K1971" s="52"/>
      <c r="L1971" s="52"/>
      <c r="M1971" s="52"/>
      <c r="N1971" s="52"/>
      <c r="O1971" s="52"/>
      <c r="P1971" s="52"/>
      <c r="Q1971" s="52"/>
      <c r="R1971" s="52"/>
      <c r="S1971" s="52"/>
      <c r="T1971" s="52"/>
      <c r="U1971" s="52"/>
      <c r="V1971" s="52"/>
      <c r="W1971" s="52"/>
      <c r="X1971" s="52"/>
      <c r="Y1971" s="52"/>
      <c r="Z1971" s="52"/>
      <c r="AA1971" s="52"/>
      <c r="AB1971" s="52"/>
      <c r="AC1971" s="52"/>
      <c r="AD1971" s="52"/>
      <c r="AE1971" s="52"/>
      <c r="AF1971" s="52"/>
      <c r="AG1971" s="52"/>
      <c r="AH1971" s="52"/>
      <c r="AI1971" s="52"/>
      <c r="AJ1971" s="52"/>
      <c r="AK1971" s="52"/>
      <c r="AL1971" s="52"/>
      <c r="AM1971" s="52"/>
      <c r="AN1971" s="52"/>
    </row>
    <row r="1972" spans="1:40" x14ac:dyDescent="0.3">
      <c r="A1972" s="52">
        <v>1967</v>
      </c>
      <c r="B1972" s="52">
        <f>-bthan*500+(16+0.5)*bthan*1000/50</f>
        <v>-935</v>
      </c>
      <c r="C1972" s="52">
        <f t="shared" si="212"/>
        <v>-10</v>
      </c>
      <c r="D1972" s="52">
        <f t="shared" si="209"/>
        <v>2200</v>
      </c>
      <c r="E1972" s="52">
        <f t="shared" si="210"/>
        <v>1</v>
      </c>
      <c r="F1972" s="52"/>
      <c r="G1972" s="52"/>
      <c r="H1972" s="52"/>
      <c r="I1972" s="52"/>
      <c r="J1972" s="52"/>
      <c r="K1972" s="52"/>
      <c r="L1972" s="52"/>
      <c r="M1972" s="52"/>
      <c r="N1972" s="52"/>
      <c r="O1972" s="52"/>
      <c r="P1972" s="52"/>
      <c r="Q1972" s="52"/>
      <c r="R1972" s="52"/>
      <c r="S1972" s="52"/>
      <c r="T1972" s="52"/>
      <c r="U1972" s="52"/>
      <c r="V1972" s="52"/>
      <c r="W1972" s="52"/>
      <c r="X1972" s="52"/>
      <c r="Y1972" s="52"/>
      <c r="Z1972" s="52"/>
      <c r="AA1972" s="52"/>
      <c r="AB1972" s="52"/>
      <c r="AC1972" s="52"/>
      <c r="AD1972" s="52"/>
      <c r="AE1972" s="52"/>
      <c r="AF1972" s="52"/>
      <c r="AG1972" s="52"/>
      <c r="AH1972" s="52"/>
      <c r="AI1972" s="52"/>
      <c r="AJ1972" s="52"/>
      <c r="AK1972" s="52"/>
      <c r="AL1972" s="52"/>
      <c r="AM1972" s="52"/>
      <c r="AN1972" s="52"/>
    </row>
    <row r="1973" spans="1:40" x14ac:dyDescent="0.3">
      <c r="A1973" s="52">
        <v>1968</v>
      </c>
      <c r="B1973" s="52">
        <f>-bthan*500+(17+0.5)*bthan*1000/50</f>
        <v>-825</v>
      </c>
      <c r="C1973" s="52">
        <f t="shared" si="212"/>
        <v>-10</v>
      </c>
      <c r="D1973" s="52">
        <f t="shared" si="209"/>
        <v>2200</v>
      </c>
      <c r="E1973" s="52">
        <f t="shared" si="210"/>
        <v>1</v>
      </c>
      <c r="F1973" s="52"/>
      <c r="G1973" s="52"/>
      <c r="H1973" s="52"/>
      <c r="I1973" s="52"/>
      <c r="J1973" s="52"/>
      <c r="K1973" s="52"/>
      <c r="L1973" s="52"/>
      <c r="M1973" s="52"/>
      <c r="N1973" s="52"/>
      <c r="O1973" s="52"/>
      <c r="P1973" s="52"/>
      <c r="Q1973" s="52"/>
      <c r="R1973" s="52"/>
      <c r="S1973" s="52"/>
      <c r="T1973" s="52"/>
      <c r="U1973" s="52"/>
      <c r="V1973" s="52"/>
      <c r="W1973" s="52"/>
      <c r="X1973" s="52"/>
      <c r="Y1973" s="52"/>
      <c r="Z1973" s="52"/>
      <c r="AA1973" s="52"/>
      <c r="AB1973" s="52"/>
      <c r="AC1973" s="52"/>
      <c r="AD1973" s="52"/>
      <c r="AE1973" s="52"/>
      <c r="AF1973" s="52"/>
      <c r="AG1973" s="52"/>
      <c r="AH1973" s="52"/>
      <c r="AI1973" s="52"/>
      <c r="AJ1973" s="52"/>
      <c r="AK1973" s="52"/>
      <c r="AL1973" s="52"/>
      <c r="AM1973" s="52"/>
      <c r="AN1973" s="52"/>
    </row>
    <row r="1974" spans="1:40" x14ac:dyDescent="0.3">
      <c r="A1974" s="52">
        <v>1969</v>
      </c>
      <c r="B1974" s="52">
        <f>-bthan*500+(18+0.5)*bthan*1000/50</f>
        <v>-715</v>
      </c>
      <c r="C1974" s="52">
        <f t="shared" si="212"/>
        <v>-10</v>
      </c>
      <c r="D1974" s="52">
        <f t="shared" si="209"/>
        <v>2200</v>
      </c>
      <c r="E1974" s="52">
        <f t="shared" si="210"/>
        <v>1</v>
      </c>
      <c r="F1974" s="52"/>
      <c r="G1974" s="52"/>
      <c r="H1974" s="52"/>
      <c r="I1974" s="52"/>
      <c r="J1974" s="52"/>
      <c r="K1974" s="52"/>
      <c r="L1974" s="52"/>
      <c r="M1974" s="52"/>
      <c r="N1974" s="52"/>
      <c r="O1974" s="52"/>
      <c r="P1974" s="52"/>
      <c r="Q1974" s="52"/>
      <c r="R1974" s="52"/>
      <c r="S1974" s="52"/>
      <c r="T1974" s="52"/>
      <c r="U1974" s="52"/>
      <c r="V1974" s="52"/>
      <c r="W1974" s="52"/>
      <c r="X1974" s="52"/>
      <c r="Y1974" s="52"/>
      <c r="Z1974" s="52"/>
      <c r="AA1974" s="52"/>
      <c r="AB1974" s="52"/>
      <c r="AC1974" s="52"/>
      <c r="AD1974" s="52"/>
      <c r="AE1974" s="52"/>
      <c r="AF1974" s="52"/>
      <c r="AG1974" s="52"/>
      <c r="AH1974" s="52"/>
      <c r="AI1974" s="52"/>
      <c r="AJ1974" s="52"/>
      <c r="AK1974" s="52"/>
      <c r="AL1974" s="52"/>
      <c r="AM1974" s="52"/>
      <c r="AN1974" s="52"/>
    </row>
    <row r="1975" spans="1:40" x14ac:dyDescent="0.3">
      <c r="A1975" s="52">
        <v>1970</v>
      </c>
      <c r="B1975" s="52">
        <f>-bthan*500+(19+0.5)*bthan*1000/50</f>
        <v>-605</v>
      </c>
      <c r="C1975" s="52">
        <f t="shared" si="212"/>
        <v>-10</v>
      </c>
      <c r="D1975" s="52">
        <f t="shared" si="209"/>
        <v>2200</v>
      </c>
      <c r="E1975" s="52">
        <f t="shared" si="210"/>
        <v>1</v>
      </c>
      <c r="F1975" s="52"/>
      <c r="G1975" s="52"/>
      <c r="H1975" s="52"/>
      <c r="I1975" s="52"/>
      <c r="J1975" s="52"/>
      <c r="K1975" s="52"/>
      <c r="L1975" s="52"/>
      <c r="M1975" s="52"/>
      <c r="N1975" s="52"/>
      <c r="O1975" s="52"/>
      <c r="P1975" s="52"/>
      <c r="Q1975" s="52"/>
      <c r="R1975" s="52"/>
      <c r="S1975" s="52"/>
      <c r="T1975" s="52"/>
      <c r="U1975" s="52"/>
      <c r="V1975" s="52"/>
      <c r="W1975" s="52"/>
      <c r="X1975" s="52"/>
      <c r="Y1975" s="52"/>
      <c r="Z1975" s="52"/>
      <c r="AA1975" s="52"/>
      <c r="AB1975" s="52"/>
      <c r="AC1975" s="52"/>
      <c r="AD1975" s="52"/>
      <c r="AE1975" s="52"/>
      <c r="AF1975" s="52"/>
      <c r="AG1975" s="52"/>
      <c r="AH1975" s="52"/>
      <c r="AI1975" s="52"/>
      <c r="AJ1975" s="52"/>
      <c r="AK1975" s="52"/>
      <c r="AL1975" s="52"/>
      <c r="AM1975" s="52"/>
      <c r="AN1975" s="52"/>
    </row>
    <row r="1976" spans="1:40" x14ac:dyDescent="0.3">
      <c r="A1976" s="52">
        <v>1971</v>
      </c>
      <c r="B1976" s="52">
        <f>-bthan*500+(20+0.5)*bthan*1000/50</f>
        <v>-495</v>
      </c>
      <c r="C1976" s="52">
        <f t="shared" si="212"/>
        <v>-10</v>
      </c>
      <c r="D1976" s="52">
        <f t="shared" si="209"/>
        <v>2200</v>
      </c>
      <c r="E1976" s="52">
        <f t="shared" si="210"/>
        <v>1</v>
      </c>
      <c r="F1976" s="52"/>
      <c r="G1976" s="52"/>
      <c r="H1976" s="52"/>
      <c r="I1976" s="52"/>
      <c r="J1976" s="52"/>
      <c r="K1976" s="52"/>
      <c r="L1976" s="52"/>
      <c r="M1976" s="52"/>
      <c r="N1976" s="52"/>
      <c r="O1976" s="52"/>
      <c r="P1976" s="52"/>
      <c r="Q1976" s="52"/>
      <c r="R1976" s="52"/>
      <c r="S1976" s="52"/>
      <c r="T1976" s="52"/>
      <c r="U1976" s="52"/>
      <c r="V1976" s="52"/>
      <c r="W1976" s="52"/>
      <c r="X1976" s="52"/>
      <c r="Y1976" s="52"/>
      <c r="Z1976" s="52"/>
      <c r="AA1976" s="52"/>
      <c r="AB1976" s="52"/>
      <c r="AC1976" s="52"/>
      <c r="AD1976" s="52"/>
      <c r="AE1976" s="52"/>
      <c r="AF1976" s="52"/>
      <c r="AG1976" s="52"/>
      <c r="AH1976" s="52"/>
      <c r="AI1976" s="52"/>
      <c r="AJ1976" s="52"/>
      <c r="AK1976" s="52"/>
      <c r="AL1976" s="52"/>
      <c r="AM1976" s="52"/>
      <c r="AN1976" s="52"/>
    </row>
    <row r="1977" spans="1:40" x14ac:dyDescent="0.3">
      <c r="A1977" s="52">
        <v>1972</v>
      </c>
      <c r="B1977" s="52">
        <f>-bthan*500+(21+0.5)*bthan*1000/50</f>
        <v>-385</v>
      </c>
      <c r="C1977" s="52">
        <f t="shared" si="212"/>
        <v>-10</v>
      </c>
      <c r="D1977" s="52">
        <f t="shared" si="209"/>
        <v>2200</v>
      </c>
      <c r="E1977" s="52">
        <f t="shared" si="210"/>
        <v>1</v>
      </c>
      <c r="F1977" s="52"/>
      <c r="G1977" s="52"/>
      <c r="H1977" s="52"/>
      <c r="I1977" s="52"/>
      <c r="J1977" s="52"/>
      <c r="K1977" s="52"/>
      <c r="L1977" s="52"/>
      <c r="M1977" s="52"/>
      <c r="N1977" s="52"/>
      <c r="O1977" s="52"/>
      <c r="P1977" s="52"/>
      <c r="Q1977" s="52"/>
      <c r="R1977" s="52"/>
      <c r="S1977" s="52"/>
      <c r="T1977" s="52"/>
      <c r="U1977" s="52"/>
      <c r="V1977" s="52"/>
      <c r="W1977" s="52"/>
      <c r="X1977" s="52"/>
      <c r="Y1977" s="52"/>
      <c r="Z1977" s="52"/>
      <c r="AA1977" s="52"/>
      <c r="AB1977" s="52"/>
      <c r="AC1977" s="52"/>
      <c r="AD1977" s="52"/>
      <c r="AE1977" s="52"/>
      <c r="AF1977" s="52"/>
      <c r="AG1977" s="52"/>
      <c r="AH1977" s="52"/>
      <c r="AI1977" s="52"/>
      <c r="AJ1977" s="52"/>
      <c r="AK1977" s="52"/>
      <c r="AL1977" s="52"/>
      <c r="AM1977" s="52"/>
      <c r="AN1977" s="52"/>
    </row>
    <row r="1978" spans="1:40" x14ac:dyDescent="0.3">
      <c r="A1978" s="52">
        <v>1973</v>
      </c>
      <c r="B1978" s="52">
        <f>-bthan*500+(22+0.5)*bthan*1000/50</f>
        <v>-275</v>
      </c>
      <c r="C1978" s="52">
        <f t="shared" si="212"/>
        <v>-10</v>
      </c>
      <c r="D1978" s="52">
        <f t="shared" si="209"/>
        <v>2200</v>
      </c>
      <c r="E1978" s="52">
        <f t="shared" si="210"/>
        <v>1</v>
      </c>
      <c r="F1978" s="52"/>
      <c r="G1978" s="52"/>
      <c r="H1978" s="52"/>
      <c r="I1978" s="52"/>
      <c r="J1978" s="52"/>
      <c r="K1978" s="52"/>
      <c r="L1978" s="52"/>
      <c r="M1978" s="52"/>
      <c r="N1978" s="52"/>
      <c r="O1978" s="52"/>
      <c r="P1978" s="52"/>
      <c r="Q1978" s="52"/>
      <c r="R1978" s="52"/>
      <c r="S1978" s="52"/>
      <c r="T1978" s="52"/>
      <c r="U1978" s="52"/>
      <c r="V1978" s="52"/>
      <c r="W1978" s="52"/>
      <c r="X1978" s="52"/>
      <c r="Y1978" s="52"/>
      <c r="Z1978" s="52"/>
      <c r="AA1978" s="52"/>
      <c r="AB1978" s="52"/>
      <c r="AC1978" s="52"/>
      <c r="AD1978" s="52"/>
      <c r="AE1978" s="52"/>
      <c r="AF1978" s="52"/>
      <c r="AG1978" s="52"/>
      <c r="AH1978" s="52"/>
      <c r="AI1978" s="52"/>
      <c r="AJ1978" s="52"/>
      <c r="AK1978" s="52"/>
      <c r="AL1978" s="52"/>
      <c r="AM1978" s="52"/>
      <c r="AN1978" s="52"/>
    </row>
    <row r="1979" spans="1:40" x14ac:dyDescent="0.3">
      <c r="A1979" s="52">
        <v>1974</v>
      </c>
      <c r="B1979" s="52">
        <f>-bthan*500+(23+0.5)*bthan*1000/50</f>
        <v>-165</v>
      </c>
      <c r="C1979" s="52">
        <f t="shared" si="212"/>
        <v>-10</v>
      </c>
      <c r="D1979" s="52">
        <f t="shared" si="209"/>
        <v>2200</v>
      </c>
      <c r="E1979" s="52">
        <f t="shared" si="210"/>
        <v>1</v>
      </c>
      <c r="F1979" s="52"/>
      <c r="G1979" s="52"/>
      <c r="H1979" s="52"/>
      <c r="I1979" s="52"/>
      <c r="J1979" s="52"/>
      <c r="K1979" s="52"/>
      <c r="L1979" s="52"/>
      <c r="M1979" s="52"/>
      <c r="N1979" s="52"/>
      <c r="O1979" s="52"/>
      <c r="P1979" s="52"/>
      <c r="Q1979" s="52"/>
      <c r="R1979" s="52"/>
      <c r="S1979" s="52"/>
      <c r="T1979" s="52"/>
      <c r="U1979" s="52"/>
      <c r="V1979" s="52"/>
      <c r="W1979" s="52"/>
      <c r="X1979" s="52"/>
      <c r="Y1979" s="52"/>
      <c r="Z1979" s="52"/>
      <c r="AA1979" s="52"/>
      <c r="AB1979" s="52"/>
      <c r="AC1979" s="52"/>
      <c r="AD1979" s="52"/>
      <c r="AE1979" s="52"/>
      <c r="AF1979" s="52"/>
      <c r="AG1979" s="52"/>
      <c r="AH1979" s="52"/>
      <c r="AI1979" s="52"/>
      <c r="AJ1979" s="52"/>
      <c r="AK1979" s="52"/>
      <c r="AL1979" s="52"/>
      <c r="AM1979" s="52"/>
      <c r="AN1979" s="52"/>
    </row>
    <row r="1980" spans="1:40" x14ac:dyDescent="0.3">
      <c r="A1980" s="52">
        <v>1975</v>
      </c>
      <c r="B1980" s="52">
        <f>-bthan*500+(24+0.5)*bthan*1000/50</f>
        <v>-55</v>
      </c>
      <c r="C1980" s="52">
        <f t="shared" si="212"/>
        <v>-10</v>
      </c>
      <c r="D1980" s="52">
        <f t="shared" si="209"/>
        <v>2200</v>
      </c>
      <c r="E1980" s="52">
        <f t="shared" si="210"/>
        <v>1</v>
      </c>
      <c r="F1980" s="52"/>
      <c r="G1980" s="52"/>
      <c r="H1980" s="52"/>
      <c r="I1980" s="52"/>
      <c r="J1980" s="52"/>
      <c r="K1980" s="52"/>
      <c r="L1980" s="52"/>
      <c r="M1980" s="52"/>
      <c r="N1980" s="52"/>
      <c r="O1980" s="52"/>
      <c r="P1980" s="52"/>
      <c r="Q1980" s="52"/>
      <c r="R1980" s="52"/>
      <c r="S1980" s="52"/>
      <c r="T1980" s="52"/>
      <c r="U1980" s="52"/>
      <c r="V1980" s="52"/>
      <c r="W1980" s="52"/>
      <c r="X1980" s="52"/>
      <c r="Y1980" s="52"/>
      <c r="Z1980" s="52"/>
      <c r="AA1980" s="52"/>
      <c r="AB1980" s="52"/>
      <c r="AC1980" s="52"/>
      <c r="AD1980" s="52"/>
      <c r="AE1980" s="52"/>
      <c r="AF1980" s="52"/>
      <c r="AG1980" s="52"/>
      <c r="AH1980" s="52"/>
      <c r="AI1980" s="52"/>
      <c r="AJ1980" s="52"/>
      <c r="AK1980" s="52"/>
      <c r="AL1980" s="52"/>
      <c r="AM1980" s="52"/>
      <c r="AN1980" s="52"/>
    </row>
    <row r="1981" spans="1:40" x14ac:dyDescent="0.3">
      <c r="A1981" s="52">
        <v>1976</v>
      </c>
      <c r="B1981" s="52">
        <f>-bthan*500+(25+0.5)*bthan*1000/50</f>
        <v>55</v>
      </c>
      <c r="C1981" s="52">
        <f t="shared" si="212"/>
        <v>-10</v>
      </c>
      <c r="D1981" s="52">
        <f t="shared" si="209"/>
        <v>2200</v>
      </c>
      <c r="E1981" s="52">
        <f t="shared" si="210"/>
        <v>1</v>
      </c>
      <c r="F1981" s="52"/>
      <c r="G1981" s="52"/>
      <c r="H1981" s="52"/>
      <c r="I1981" s="52"/>
      <c r="J1981" s="52"/>
      <c r="K1981" s="52"/>
      <c r="L1981" s="52"/>
      <c r="M1981" s="52"/>
      <c r="N1981" s="52"/>
      <c r="O1981" s="52"/>
      <c r="P1981" s="52"/>
      <c r="Q1981" s="52"/>
      <c r="R1981" s="52"/>
      <c r="S1981" s="52"/>
      <c r="T1981" s="52"/>
      <c r="U1981" s="52"/>
      <c r="V1981" s="52"/>
      <c r="W1981" s="52"/>
      <c r="X1981" s="52"/>
      <c r="Y1981" s="52"/>
      <c r="Z1981" s="52"/>
      <c r="AA1981" s="52"/>
      <c r="AB1981" s="52"/>
      <c r="AC1981" s="52"/>
      <c r="AD1981" s="52"/>
      <c r="AE1981" s="52"/>
      <c r="AF1981" s="52"/>
      <c r="AG1981" s="52"/>
      <c r="AH1981" s="52"/>
      <c r="AI1981" s="52"/>
      <c r="AJ1981" s="52"/>
      <c r="AK1981" s="52"/>
      <c r="AL1981" s="52"/>
      <c r="AM1981" s="52"/>
      <c r="AN1981" s="52"/>
    </row>
    <row r="1982" spans="1:40" x14ac:dyDescent="0.3">
      <c r="A1982" s="52">
        <v>1977</v>
      </c>
      <c r="B1982" s="52">
        <f>-bthan*500+(26+0.5)*bthan*1000/50</f>
        <v>165</v>
      </c>
      <c r="C1982" s="52">
        <f t="shared" si="212"/>
        <v>-10</v>
      </c>
      <c r="D1982" s="52">
        <f t="shared" si="209"/>
        <v>2200</v>
      </c>
      <c r="E1982" s="52">
        <f t="shared" si="210"/>
        <v>1</v>
      </c>
      <c r="F1982" s="52"/>
      <c r="G1982" s="52"/>
      <c r="H1982" s="52"/>
      <c r="I1982" s="52"/>
      <c r="J1982" s="52"/>
      <c r="K1982" s="52"/>
      <c r="L1982" s="52"/>
      <c r="M1982" s="52"/>
      <c r="N1982" s="52"/>
      <c r="O1982" s="52"/>
      <c r="P1982" s="52"/>
      <c r="Q1982" s="52"/>
      <c r="R1982" s="52"/>
      <c r="S1982" s="52"/>
      <c r="T1982" s="52"/>
      <c r="U1982" s="52"/>
      <c r="V1982" s="52"/>
      <c r="W1982" s="52"/>
      <c r="X1982" s="52"/>
      <c r="Y1982" s="52"/>
      <c r="Z1982" s="52"/>
      <c r="AA1982" s="52"/>
      <c r="AB1982" s="52"/>
      <c r="AC1982" s="52"/>
      <c r="AD1982" s="52"/>
      <c r="AE1982" s="52"/>
      <c r="AF1982" s="52"/>
      <c r="AG1982" s="52"/>
      <c r="AH1982" s="52"/>
      <c r="AI1982" s="52"/>
      <c r="AJ1982" s="52"/>
      <c r="AK1982" s="52"/>
      <c r="AL1982" s="52"/>
      <c r="AM1982" s="52"/>
      <c r="AN1982" s="52"/>
    </row>
    <row r="1983" spans="1:40" x14ac:dyDescent="0.3">
      <c r="A1983" s="52">
        <v>1978</v>
      </c>
      <c r="B1983" s="52">
        <f>-bthan*500+(27+0.5)*bthan*1000/50</f>
        <v>275</v>
      </c>
      <c r="C1983" s="52">
        <f t="shared" si="212"/>
        <v>-10</v>
      </c>
      <c r="D1983" s="52">
        <f t="shared" si="209"/>
        <v>2200</v>
      </c>
      <c r="E1983" s="52">
        <f t="shared" si="210"/>
        <v>1</v>
      </c>
      <c r="F1983" s="52"/>
      <c r="G1983" s="52"/>
      <c r="H1983" s="52"/>
      <c r="I1983" s="52"/>
      <c r="J1983" s="52"/>
      <c r="K1983" s="52"/>
      <c r="L1983" s="52"/>
      <c r="M1983" s="52"/>
      <c r="N1983" s="52"/>
      <c r="O1983" s="52"/>
      <c r="P1983" s="52"/>
      <c r="Q1983" s="52"/>
      <c r="R1983" s="52"/>
      <c r="S1983" s="52"/>
      <c r="T1983" s="52"/>
      <c r="U1983" s="52"/>
      <c r="V1983" s="52"/>
      <c r="W1983" s="52"/>
      <c r="X1983" s="52"/>
      <c r="Y1983" s="52"/>
      <c r="Z1983" s="52"/>
      <c r="AA1983" s="52"/>
      <c r="AB1983" s="52"/>
      <c r="AC1983" s="52"/>
      <c r="AD1983" s="52"/>
      <c r="AE1983" s="52"/>
      <c r="AF1983" s="52"/>
      <c r="AG1983" s="52"/>
      <c r="AH1983" s="52"/>
      <c r="AI1983" s="52"/>
      <c r="AJ1983" s="52"/>
      <c r="AK1983" s="52"/>
      <c r="AL1983" s="52"/>
      <c r="AM1983" s="52"/>
      <c r="AN1983" s="52"/>
    </row>
    <row r="1984" spans="1:40" x14ac:dyDescent="0.3">
      <c r="A1984" s="52">
        <v>1979</v>
      </c>
      <c r="B1984" s="52">
        <f>-bthan*500+(28+0.5)*bthan*1000/50</f>
        <v>385</v>
      </c>
      <c r="C1984" s="52">
        <f t="shared" si="212"/>
        <v>-10</v>
      </c>
      <c r="D1984" s="52">
        <f t="shared" si="209"/>
        <v>2200</v>
      </c>
      <c r="E1984" s="52">
        <f t="shared" si="210"/>
        <v>1</v>
      </c>
      <c r="F1984" s="52"/>
      <c r="G1984" s="52"/>
      <c r="H1984" s="52"/>
      <c r="I1984" s="52"/>
      <c r="J1984" s="52"/>
      <c r="K1984" s="52"/>
      <c r="L1984" s="52"/>
      <c r="M1984" s="52"/>
      <c r="N1984" s="52"/>
      <c r="O1984" s="52"/>
      <c r="P1984" s="52"/>
      <c r="Q1984" s="52"/>
      <c r="R1984" s="52"/>
      <c r="S1984" s="52"/>
      <c r="T1984" s="52"/>
      <c r="U1984" s="52"/>
      <c r="V1984" s="52"/>
      <c r="W1984" s="52"/>
      <c r="X1984" s="52"/>
      <c r="Y1984" s="52"/>
      <c r="Z1984" s="52"/>
      <c r="AA1984" s="52"/>
      <c r="AB1984" s="52"/>
      <c r="AC1984" s="52"/>
      <c r="AD1984" s="52"/>
      <c r="AE1984" s="52"/>
      <c r="AF1984" s="52"/>
      <c r="AG1984" s="52"/>
      <c r="AH1984" s="52"/>
      <c r="AI1984" s="52"/>
      <c r="AJ1984" s="52"/>
      <c r="AK1984" s="52"/>
      <c r="AL1984" s="52"/>
      <c r="AM1984" s="52"/>
      <c r="AN1984" s="52"/>
    </row>
    <row r="1985" spans="1:40" x14ac:dyDescent="0.3">
      <c r="A1985" s="52">
        <v>1980</v>
      </c>
      <c r="B1985" s="52">
        <f>-bthan*500+(29+0.5)*bthan*1000/50</f>
        <v>495</v>
      </c>
      <c r="C1985" s="52">
        <f t="shared" si="212"/>
        <v>-10</v>
      </c>
      <c r="D1985" s="52">
        <f t="shared" si="209"/>
        <v>2200</v>
      </c>
      <c r="E1985" s="52">
        <f t="shared" si="210"/>
        <v>1</v>
      </c>
      <c r="F1985" s="52"/>
      <c r="G1985" s="52"/>
      <c r="H1985" s="52"/>
      <c r="I1985" s="52"/>
      <c r="J1985" s="52"/>
      <c r="K1985" s="52"/>
      <c r="L1985" s="52"/>
      <c r="M1985" s="52"/>
      <c r="N1985" s="52"/>
      <c r="O1985" s="52"/>
      <c r="P1985" s="52"/>
      <c r="Q1985" s="52"/>
      <c r="R1985" s="52"/>
      <c r="S1985" s="52"/>
      <c r="T1985" s="52"/>
      <c r="U1985" s="52"/>
      <c r="V1985" s="52"/>
      <c r="W1985" s="52"/>
      <c r="X1985" s="52"/>
      <c r="Y1985" s="52"/>
      <c r="Z1985" s="52"/>
      <c r="AA1985" s="52"/>
      <c r="AB1985" s="52"/>
      <c r="AC1985" s="52"/>
      <c r="AD1985" s="52"/>
      <c r="AE1985" s="52"/>
      <c r="AF1985" s="52"/>
      <c r="AG1985" s="52"/>
      <c r="AH1985" s="52"/>
      <c r="AI1985" s="52"/>
      <c r="AJ1985" s="52"/>
      <c r="AK1985" s="52"/>
      <c r="AL1985" s="52"/>
      <c r="AM1985" s="52"/>
      <c r="AN1985" s="52"/>
    </row>
    <row r="1986" spans="1:40" x14ac:dyDescent="0.3">
      <c r="A1986" s="52">
        <v>1981</v>
      </c>
      <c r="B1986" s="52">
        <f>-bthan*500+(30+0.5)*bthan*1000/50</f>
        <v>605</v>
      </c>
      <c r="C1986" s="52">
        <f t="shared" si="212"/>
        <v>-10</v>
      </c>
      <c r="D1986" s="52">
        <f t="shared" si="209"/>
        <v>2200</v>
      </c>
      <c r="E1986" s="52">
        <f t="shared" si="210"/>
        <v>1</v>
      </c>
      <c r="F1986" s="52"/>
      <c r="G1986" s="52"/>
      <c r="H1986" s="52"/>
      <c r="I1986" s="52"/>
      <c r="J1986" s="52"/>
      <c r="K1986" s="52"/>
      <c r="L1986" s="52"/>
      <c r="M1986" s="52"/>
      <c r="N1986" s="52"/>
      <c r="O1986" s="52"/>
      <c r="P1986" s="52"/>
      <c r="Q1986" s="52"/>
      <c r="R1986" s="52"/>
      <c r="S1986" s="52"/>
      <c r="T1986" s="52"/>
      <c r="U1986" s="52"/>
      <c r="V1986" s="52"/>
      <c r="W1986" s="52"/>
      <c r="X1986" s="52"/>
      <c r="Y1986" s="52"/>
      <c r="Z1986" s="52"/>
      <c r="AA1986" s="52"/>
      <c r="AB1986" s="52"/>
      <c r="AC1986" s="52"/>
      <c r="AD1986" s="52"/>
      <c r="AE1986" s="52"/>
      <c r="AF1986" s="52"/>
      <c r="AG1986" s="52"/>
      <c r="AH1986" s="52"/>
      <c r="AI1986" s="52"/>
      <c r="AJ1986" s="52"/>
      <c r="AK1986" s="52"/>
      <c r="AL1986" s="52"/>
      <c r="AM1986" s="52"/>
      <c r="AN1986" s="52"/>
    </row>
    <row r="1987" spans="1:40" x14ac:dyDescent="0.3">
      <c r="A1987" s="52">
        <v>1982</v>
      </c>
      <c r="B1987" s="52">
        <f>-bthan*500+(31+0.5)*bthan*1000/50</f>
        <v>715</v>
      </c>
      <c r="C1987" s="52">
        <f t="shared" si="212"/>
        <v>-10</v>
      </c>
      <c r="D1987" s="52">
        <f t="shared" si="209"/>
        <v>2200</v>
      </c>
      <c r="E1987" s="52">
        <f t="shared" si="210"/>
        <v>1</v>
      </c>
      <c r="F1987" s="52"/>
      <c r="G1987" s="52"/>
      <c r="H1987" s="52"/>
      <c r="I1987" s="52"/>
      <c r="J1987" s="52"/>
      <c r="K1987" s="52"/>
      <c r="L1987" s="52"/>
      <c r="M1987" s="52"/>
      <c r="N1987" s="52"/>
      <c r="O1987" s="52"/>
      <c r="P1987" s="52"/>
      <c r="Q1987" s="52"/>
      <c r="R1987" s="52"/>
      <c r="S1987" s="52"/>
      <c r="T1987" s="52"/>
      <c r="U1987" s="52"/>
      <c r="V1987" s="52"/>
      <c r="W1987" s="52"/>
      <c r="X1987" s="52"/>
      <c r="Y1987" s="52"/>
      <c r="Z1987" s="52"/>
      <c r="AA1987" s="52"/>
      <c r="AB1987" s="52"/>
      <c r="AC1987" s="52"/>
      <c r="AD1987" s="52"/>
      <c r="AE1987" s="52"/>
      <c r="AF1987" s="52"/>
      <c r="AG1987" s="52"/>
      <c r="AH1987" s="52"/>
      <c r="AI1987" s="52"/>
      <c r="AJ1987" s="52"/>
      <c r="AK1987" s="52"/>
      <c r="AL1987" s="52"/>
      <c r="AM1987" s="52"/>
      <c r="AN1987" s="52"/>
    </row>
    <row r="1988" spans="1:40" x14ac:dyDescent="0.3">
      <c r="A1988" s="52">
        <v>1983</v>
      </c>
      <c r="B1988" s="52">
        <f>-bthan*500+(32+0.5)*bthan*1000/50</f>
        <v>825</v>
      </c>
      <c r="C1988" s="52">
        <f t="shared" ref="C1988:C2005" si="213">-hthan*500+(39+0.5)*hthan*1000/80</f>
        <v>-10</v>
      </c>
      <c r="D1988" s="52">
        <f t="shared" si="209"/>
        <v>2200</v>
      </c>
      <c r="E1988" s="52">
        <f t="shared" si="210"/>
        <v>1</v>
      </c>
      <c r="F1988" s="52"/>
      <c r="G1988" s="52"/>
      <c r="H1988" s="52"/>
      <c r="I1988" s="52"/>
      <c r="J1988" s="52"/>
      <c r="K1988" s="52"/>
      <c r="L1988" s="52"/>
      <c r="M1988" s="52"/>
      <c r="N1988" s="52"/>
      <c r="O1988" s="52"/>
      <c r="P1988" s="52"/>
      <c r="Q1988" s="52"/>
      <c r="R1988" s="52"/>
      <c r="S1988" s="52"/>
      <c r="T1988" s="52"/>
      <c r="U1988" s="52"/>
      <c r="V1988" s="52"/>
      <c r="W1988" s="52"/>
      <c r="X1988" s="52"/>
      <c r="Y1988" s="52"/>
      <c r="Z1988" s="52"/>
      <c r="AA1988" s="52"/>
      <c r="AB1988" s="52"/>
      <c r="AC1988" s="52"/>
      <c r="AD1988" s="52"/>
      <c r="AE1988" s="52"/>
      <c r="AF1988" s="52"/>
      <c r="AG1988" s="52"/>
      <c r="AH1988" s="52"/>
      <c r="AI1988" s="52"/>
      <c r="AJ1988" s="52"/>
      <c r="AK1988" s="52"/>
      <c r="AL1988" s="52"/>
      <c r="AM1988" s="52"/>
      <c r="AN1988" s="52"/>
    </row>
    <row r="1989" spans="1:40" x14ac:dyDescent="0.3">
      <c r="A1989" s="52">
        <v>1984</v>
      </c>
      <c r="B1989" s="52">
        <f>-bthan*500+(33+0.5)*bthan*1000/50</f>
        <v>935</v>
      </c>
      <c r="C1989" s="52">
        <f t="shared" si="213"/>
        <v>-10</v>
      </c>
      <c r="D1989" s="52">
        <f t="shared" si="209"/>
        <v>2200</v>
      </c>
      <c r="E1989" s="52">
        <f t="shared" si="210"/>
        <v>1</v>
      </c>
      <c r="F1989" s="52"/>
      <c r="G1989" s="52"/>
      <c r="H1989" s="52"/>
      <c r="I1989" s="52"/>
      <c r="J1989" s="52"/>
      <c r="K1989" s="52"/>
      <c r="L1989" s="52"/>
      <c r="M1989" s="52"/>
      <c r="N1989" s="52"/>
      <c r="O1989" s="52"/>
      <c r="P1989" s="52"/>
      <c r="Q1989" s="52"/>
      <c r="R1989" s="52"/>
      <c r="S1989" s="52"/>
      <c r="T1989" s="52"/>
      <c r="U1989" s="52"/>
      <c r="V1989" s="52"/>
      <c r="W1989" s="52"/>
      <c r="X1989" s="52"/>
      <c r="Y1989" s="52"/>
      <c r="Z1989" s="52"/>
      <c r="AA1989" s="52"/>
      <c r="AB1989" s="52"/>
      <c r="AC1989" s="52"/>
      <c r="AD1989" s="52"/>
      <c r="AE1989" s="52"/>
      <c r="AF1989" s="52"/>
      <c r="AG1989" s="52"/>
      <c r="AH1989" s="52"/>
      <c r="AI1989" s="52"/>
      <c r="AJ1989" s="52"/>
      <c r="AK1989" s="52"/>
      <c r="AL1989" s="52"/>
      <c r="AM1989" s="52"/>
      <c r="AN1989" s="52"/>
    </row>
    <row r="1990" spans="1:40" x14ac:dyDescent="0.3">
      <c r="A1990" s="52">
        <v>1985</v>
      </c>
      <c r="B1990" s="52">
        <f>-bthan*500+(34+0.5)*bthan*1000/50</f>
        <v>1045</v>
      </c>
      <c r="C1990" s="52">
        <f t="shared" si="213"/>
        <v>-10</v>
      </c>
      <c r="D1990" s="52">
        <f t="shared" ref="D1990:D2053" si="214">bthan*1000/50*hthan*1000/80</f>
        <v>2200</v>
      </c>
      <c r="E1990" s="52">
        <f t="shared" ref="E1990:E2053" si="215">IF(shp=1,--(OR(ABS(B1990)&lt;=MAX(0,(bthan-hthan)*500),(ABS(B1990)-MAX(0,(bthan-hthan)*500))^2+C1990^2&lt;=(hthan*500)^2)),--(AND(ABS(B1990)&lt;=bthan*500,ABS(C1990)&lt;=hthan*500,OR(ABS(B1990)&lt;=bthan*500-cch*1000,ABS(C1990)&lt;=hthan*500-cch*1000,(bthan*500-ABS(B1990))+(hthan*500-ABS(C1990))&gt;=cch*1000))))</f>
        <v>1</v>
      </c>
      <c r="F1990" s="52"/>
      <c r="G1990" s="52"/>
      <c r="H1990" s="52"/>
      <c r="I1990" s="52"/>
      <c r="J1990" s="52"/>
      <c r="K1990" s="52"/>
      <c r="L1990" s="52"/>
      <c r="M1990" s="52"/>
      <c r="N1990" s="52"/>
      <c r="O1990" s="52"/>
      <c r="P1990" s="52"/>
      <c r="Q1990" s="52"/>
      <c r="R1990" s="52"/>
      <c r="S1990" s="52"/>
      <c r="T1990" s="52"/>
      <c r="U1990" s="52"/>
      <c r="V1990" s="52"/>
      <c r="W1990" s="52"/>
      <c r="X1990" s="52"/>
      <c r="Y1990" s="52"/>
      <c r="Z1990" s="52"/>
      <c r="AA1990" s="52"/>
      <c r="AB1990" s="52"/>
      <c r="AC1990" s="52"/>
      <c r="AD1990" s="52"/>
      <c r="AE1990" s="52"/>
      <c r="AF1990" s="52"/>
      <c r="AG1990" s="52"/>
      <c r="AH1990" s="52"/>
      <c r="AI1990" s="52"/>
      <c r="AJ1990" s="52"/>
      <c r="AK1990" s="52"/>
      <c r="AL1990" s="52"/>
      <c r="AM1990" s="52"/>
      <c r="AN1990" s="52"/>
    </row>
    <row r="1991" spans="1:40" x14ac:dyDescent="0.3">
      <c r="A1991" s="52">
        <v>1986</v>
      </c>
      <c r="B1991" s="52">
        <f>-bthan*500+(35+0.5)*bthan*1000/50</f>
        <v>1155</v>
      </c>
      <c r="C1991" s="52">
        <f t="shared" si="213"/>
        <v>-10</v>
      </c>
      <c r="D1991" s="52">
        <f t="shared" si="214"/>
        <v>2200</v>
      </c>
      <c r="E1991" s="52">
        <f t="shared" si="215"/>
        <v>1</v>
      </c>
      <c r="F1991" s="52"/>
      <c r="G1991" s="52"/>
      <c r="H1991" s="52"/>
      <c r="I1991" s="52"/>
      <c r="J1991" s="52"/>
      <c r="K1991" s="52"/>
      <c r="L1991" s="52"/>
      <c r="M1991" s="52"/>
      <c r="N1991" s="52"/>
      <c r="O1991" s="52"/>
      <c r="P1991" s="52"/>
      <c r="Q1991" s="52"/>
      <c r="R1991" s="52"/>
      <c r="S1991" s="52"/>
      <c r="T1991" s="52"/>
      <c r="U1991" s="52"/>
      <c r="V1991" s="52"/>
      <c r="W1991" s="52"/>
      <c r="X1991" s="52"/>
      <c r="Y1991" s="52"/>
      <c r="Z1991" s="52"/>
      <c r="AA1991" s="52"/>
      <c r="AB1991" s="52"/>
      <c r="AC1991" s="52"/>
      <c r="AD1991" s="52"/>
      <c r="AE1991" s="52"/>
      <c r="AF1991" s="52"/>
      <c r="AG1991" s="52"/>
      <c r="AH1991" s="52"/>
      <c r="AI1991" s="52"/>
      <c r="AJ1991" s="52"/>
      <c r="AK1991" s="52"/>
      <c r="AL1991" s="52"/>
      <c r="AM1991" s="52"/>
      <c r="AN1991" s="52"/>
    </row>
    <row r="1992" spans="1:40" x14ac:dyDescent="0.3">
      <c r="A1992" s="52">
        <v>1987</v>
      </c>
      <c r="B1992" s="52">
        <f>-bthan*500+(36+0.5)*bthan*1000/50</f>
        <v>1265</v>
      </c>
      <c r="C1992" s="52">
        <f t="shared" si="213"/>
        <v>-10</v>
      </c>
      <c r="D1992" s="52">
        <f t="shared" si="214"/>
        <v>2200</v>
      </c>
      <c r="E1992" s="52">
        <f t="shared" si="215"/>
        <v>1</v>
      </c>
      <c r="F1992" s="52"/>
      <c r="G1992" s="52"/>
      <c r="H1992" s="52"/>
      <c r="I1992" s="52"/>
      <c r="J1992" s="52"/>
      <c r="K1992" s="52"/>
      <c r="L1992" s="52"/>
      <c r="M1992" s="52"/>
      <c r="N1992" s="52"/>
      <c r="O1992" s="52"/>
      <c r="P1992" s="52"/>
      <c r="Q1992" s="52"/>
      <c r="R1992" s="52"/>
      <c r="S1992" s="52"/>
      <c r="T1992" s="52"/>
      <c r="U1992" s="52"/>
      <c r="V1992" s="52"/>
      <c r="W1992" s="52"/>
      <c r="X1992" s="52"/>
      <c r="Y1992" s="52"/>
      <c r="Z1992" s="52"/>
      <c r="AA1992" s="52"/>
      <c r="AB1992" s="52"/>
      <c r="AC1992" s="52"/>
      <c r="AD1992" s="52"/>
      <c r="AE1992" s="52"/>
      <c r="AF1992" s="52"/>
      <c r="AG1992" s="52"/>
      <c r="AH1992" s="52"/>
      <c r="AI1992" s="52"/>
      <c r="AJ1992" s="52"/>
      <c r="AK1992" s="52"/>
      <c r="AL1992" s="52"/>
      <c r="AM1992" s="52"/>
      <c r="AN1992" s="52"/>
    </row>
    <row r="1993" spans="1:40" x14ac:dyDescent="0.3">
      <c r="A1993" s="52">
        <v>1988</v>
      </c>
      <c r="B1993" s="52">
        <f>-bthan*500+(37+0.5)*bthan*1000/50</f>
        <v>1375</v>
      </c>
      <c r="C1993" s="52">
        <f t="shared" si="213"/>
        <v>-10</v>
      </c>
      <c r="D1993" s="52">
        <f t="shared" si="214"/>
        <v>2200</v>
      </c>
      <c r="E1993" s="52">
        <f t="shared" si="215"/>
        <v>1</v>
      </c>
      <c r="F1993" s="52"/>
      <c r="G1993" s="52"/>
      <c r="H1993" s="52"/>
      <c r="I1993" s="52"/>
      <c r="J1993" s="52"/>
      <c r="K1993" s="52"/>
      <c r="L1993" s="52"/>
      <c r="M1993" s="52"/>
      <c r="N1993" s="52"/>
      <c r="O1993" s="52"/>
      <c r="P1993" s="52"/>
      <c r="Q1993" s="52"/>
      <c r="R1993" s="52"/>
      <c r="S1993" s="52"/>
      <c r="T1993" s="52"/>
      <c r="U1993" s="52"/>
      <c r="V1993" s="52"/>
      <c r="W1993" s="52"/>
      <c r="X1993" s="52"/>
      <c r="Y1993" s="52"/>
      <c r="Z1993" s="52"/>
      <c r="AA1993" s="52"/>
      <c r="AB1993" s="52"/>
      <c r="AC1993" s="52"/>
      <c r="AD1993" s="52"/>
      <c r="AE1993" s="52"/>
      <c r="AF1993" s="52"/>
      <c r="AG1993" s="52"/>
      <c r="AH1993" s="52"/>
      <c r="AI1993" s="52"/>
      <c r="AJ1993" s="52"/>
      <c r="AK1993" s="52"/>
      <c r="AL1993" s="52"/>
      <c r="AM1993" s="52"/>
      <c r="AN1993" s="52"/>
    </row>
    <row r="1994" spans="1:40" x14ac:dyDescent="0.3">
      <c r="A1994" s="52">
        <v>1989</v>
      </c>
      <c r="B1994" s="52">
        <f>-bthan*500+(38+0.5)*bthan*1000/50</f>
        <v>1485</v>
      </c>
      <c r="C1994" s="52">
        <f t="shared" si="213"/>
        <v>-10</v>
      </c>
      <c r="D1994" s="52">
        <f t="shared" si="214"/>
        <v>2200</v>
      </c>
      <c r="E1994" s="52">
        <f t="shared" si="215"/>
        <v>1</v>
      </c>
      <c r="F1994" s="52"/>
      <c r="G1994" s="52"/>
      <c r="H1994" s="52"/>
      <c r="I1994" s="52"/>
      <c r="J1994" s="52"/>
      <c r="K1994" s="52"/>
      <c r="L1994" s="52"/>
      <c r="M1994" s="52"/>
      <c r="N1994" s="52"/>
      <c r="O1994" s="52"/>
      <c r="P1994" s="52"/>
      <c r="Q1994" s="52"/>
      <c r="R1994" s="52"/>
      <c r="S1994" s="52"/>
      <c r="T1994" s="52"/>
      <c r="U1994" s="52"/>
      <c r="V1994" s="52"/>
      <c r="W1994" s="52"/>
      <c r="X1994" s="52"/>
      <c r="Y1994" s="52"/>
      <c r="Z1994" s="52"/>
      <c r="AA1994" s="52"/>
      <c r="AB1994" s="52"/>
      <c r="AC1994" s="52"/>
      <c r="AD1994" s="52"/>
      <c r="AE1994" s="52"/>
      <c r="AF1994" s="52"/>
      <c r="AG1994" s="52"/>
      <c r="AH1994" s="52"/>
      <c r="AI1994" s="52"/>
      <c r="AJ1994" s="52"/>
      <c r="AK1994" s="52"/>
      <c r="AL1994" s="52"/>
      <c r="AM1994" s="52"/>
      <c r="AN1994" s="52"/>
    </row>
    <row r="1995" spans="1:40" x14ac:dyDescent="0.3">
      <c r="A1995" s="52">
        <v>1990</v>
      </c>
      <c r="B1995" s="52">
        <f>-bthan*500+(39+0.5)*bthan*1000/50</f>
        <v>1595</v>
      </c>
      <c r="C1995" s="52">
        <f t="shared" si="213"/>
        <v>-10</v>
      </c>
      <c r="D1995" s="52">
        <f t="shared" si="214"/>
        <v>2200</v>
      </c>
      <c r="E1995" s="52">
        <f t="shared" si="215"/>
        <v>1</v>
      </c>
      <c r="F1995" s="52"/>
      <c r="G1995" s="52"/>
      <c r="H1995" s="52"/>
      <c r="I1995" s="52"/>
      <c r="J1995" s="52"/>
      <c r="K1995" s="52"/>
      <c r="L1995" s="52"/>
      <c r="M1995" s="52"/>
      <c r="N1995" s="52"/>
      <c r="O1995" s="52"/>
      <c r="P1995" s="52"/>
      <c r="Q1995" s="52"/>
      <c r="R1995" s="52"/>
      <c r="S1995" s="52"/>
      <c r="T1995" s="52"/>
      <c r="U1995" s="52"/>
      <c r="V1995" s="52"/>
      <c r="W1995" s="52"/>
      <c r="X1995" s="52"/>
      <c r="Y1995" s="52"/>
      <c r="Z1995" s="52"/>
      <c r="AA1995" s="52"/>
      <c r="AB1995" s="52"/>
      <c r="AC1995" s="52"/>
      <c r="AD1995" s="52"/>
      <c r="AE1995" s="52"/>
      <c r="AF1995" s="52"/>
      <c r="AG1995" s="52"/>
      <c r="AH1995" s="52"/>
      <c r="AI1995" s="52"/>
      <c r="AJ1995" s="52"/>
      <c r="AK1995" s="52"/>
      <c r="AL1995" s="52"/>
      <c r="AM1995" s="52"/>
      <c r="AN1995" s="52"/>
    </row>
    <row r="1996" spans="1:40" x14ac:dyDescent="0.3">
      <c r="A1996" s="52">
        <v>1991</v>
      </c>
      <c r="B1996" s="52">
        <f>-bthan*500+(40+0.5)*bthan*1000/50</f>
        <v>1705</v>
      </c>
      <c r="C1996" s="52">
        <f t="shared" si="213"/>
        <v>-10</v>
      </c>
      <c r="D1996" s="52">
        <f t="shared" si="214"/>
        <v>2200</v>
      </c>
      <c r="E1996" s="52">
        <f t="shared" si="215"/>
        <v>1</v>
      </c>
      <c r="F1996" s="52"/>
      <c r="G1996" s="52"/>
      <c r="H1996" s="52"/>
      <c r="I1996" s="52"/>
      <c r="J1996" s="52"/>
      <c r="K1996" s="52"/>
      <c r="L1996" s="52"/>
      <c r="M1996" s="52"/>
      <c r="N1996" s="52"/>
      <c r="O1996" s="52"/>
      <c r="P1996" s="52"/>
      <c r="Q1996" s="52"/>
      <c r="R1996" s="52"/>
      <c r="S1996" s="52"/>
      <c r="T1996" s="52"/>
      <c r="U1996" s="52"/>
      <c r="V1996" s="52"/>
      <c r="W1996" s="52"/>
      <c r="X1996" s="52"/>
      <c r="Y1996" s="52"/>
      <c r="Z1996" s="52"/>
      <c r="AA1996" s="52"/>
      <c r="AB1996" s="52"/>
      <c r="AC1996" s="52"/>
      <c r="AD1996" s="52"/>
      <c r="AE1996" s="52"/>
      <c r="AF1996" s="52"/>
      <c r="AG1996" s="52"/>
      <c r="AH1996" s="52"/>
      <c r="AI1996" s="52"/>
      <c r="AJ1996" s="52"/>
      <c r="AK1996" s="52"/>
      <c r="AL1996" s="52"/>
      <c r="AM1996" s="52"/>
      <c r="AN1996" s="52"/>
    </row>
    <row r="1997" spans="1:40" x14ac:dyDescent="0.3">
      <c r="A1997" s="52">
        <v>1992</v>
      </c>
      <c r="B1997" s="52">
        <f>-bthan*500+(41+0.5)*bthan*1000/50</f>
        <v>1815</v>
      </c>
      <c r="C1997" s="52">
        <f t="shared" si="213"/>
        <v>-10</v>
      </c>
      <c r="D1997" s="52">
        <f t="shared" si="214"/>
        <v>2200</v>
      </c>
      <c r="E1997" s="52">
        <f t="shared" si="215"/>
        <v>1</v>
      </c>
      <c r="F1997" s="52"/>
      <c r="G1997" s="52"/>
      <c r="H1997" s="52"/>
      <c r="I1997" s="52"/>
      <c r="J1997" s="52"/>
      <c r="K1997" s="52"/>
      <c r="L1997" s="52"/>
      <c r="M1997" s="52"/>
      <c r="N1997" s="52"/>
      <c r="O1997" s="52"/>
      <c r="P1997" s="52"/>
      <c r="Q1997" s="52"/>
      <c r="R1997" s="52"/>
      <c r="S1997" s="52"/>
      <c r="T1997" s="52"/>
      <c r="U1997" s="52"/>
      <c r="V1997" s="52"/>
      <c r="W1997" s="52"/>
      <c r="X1997" s="52"/>
      <c r="Y1997" s="52"/>
      <c r="Z1997" s="52"/>
      <c r="AA1997" s="52"/>
      <c r="AB1997" s="52"/>
      <c r="AC1997" s="52"/>
      <c r="AD1997" s="52"/>
      <c r="AE1997" s="52"/>
      <c r="AF1997" s="52"/>
      <c r="AG1997" s="52"/>
      <c r="AH1997" s="52"/>
      <c r="AI1997" s="52"/>
      <c r="AJ1997" s="52"/>
      <c r="AK1997" s="52"/>
      <c r="AL1997" s="52"/>
      <c r="AM1997" s="52"/>
      <c r="AN1997" s="52"/>
    </row>
    <row r="1998" spans="1:40" x14ac:dyDescent="0.3">
      <c r="A1998" s="52">
        <v>1993</v>
      </c>
      <c r="B1998" s="52">
        <f>-bthan*500+(42+0.5)*bthan*1000/50</f>
        <v>1925</v>
      </c>
      <c r="C1998" s="52">
        <f t="shared" si="213"/>
        <v>-10</v>
      </c>
      <c r="D1998" s="52">
        <f t="shared" si="214"/>
        <v>2200</v>
      </c>
      <c r="E1998" s="52">
        <f t="shared" si="215"/>
        <v>1</v>
      </c>
      <c r="F1998" s="52"/>
      <c r="G1998" s="52"/>
      <c r="H1998" s="52"/>
      <c r="I1998" s="52"/>
      <c r="J1998" s="52"/>
      <c r="K1998" s="52"/>
      <c r="L1998" s="52"/>
      <c r="M1998" s="52"/>
      <c r="N1998" s="52"/>
      <c r="O1998" s="52"/>
      <c r="P1998" s="52"/>
      <c r="Q1998" s="52"/>
      <c r="R1998" s="52"/>
      <c r="S1998" s="52"/>
      <c r="T1998" s="52"/>
      <c r="U1998" s="52"/>
      <c r="V1998" s="52"/>
      <c r="W1998" s="52"/>
      <c r="X1998" s="52"/>
      <c r="Y1998" s="52"/>
      <c r="Z1998" s="52"/>
      <c r="AA1998" s="52"/>
      <c r="AB1998" s="52"/>
      <c r="AC1998" s="52"/>
      <c r="AD1998" s="52"/>
      <c r="AE1998" s="52"/>
      <c r="AF1998" s="52"/>
      <c r="AG1998" s="52"/>
      <c r="AH1998" s="52"/>
      <c r="AI1998" s="52"/>
      <c r="AJ1998" s="52"/>
      <c r="AK1998" s="52"/>
      <c r="AL1998" s="52"/>
      <c r="AM1998" s="52"/>
      <c r="AN1998" s="52"/>
    </row>
    <row r="1999" spans="1:40" x14ac:dyDescent="0.3">
      <c r="A1999" s="52">
        <v>1994</v>
      </c>
      <c r="B1999" s="52">
        <f>-bthan*500+(43+0.5)*bthan*1000/50</f>
        <v>2035</v>
      </c>
      <c r="C1999" s="52">
        <f t="shared" si="213"/>
        <v>-10</v>
      </c>
      <c r="D1999" s="52">
        <f t="shared" si="214"/>
        <v>2200</v>
      </c>
      <c r="E1999" s="52">
        <f t="shared" si="215"/>
        <v>1</v>
      </c>
      <c r="F1999" s="52"/>
      <c r="G1999" s="52"/>
      <c r="H1999" s="52"/>
      <c r="I1999" s="52"/>
      <c r="J1999" s="52"/>
      <c r="K1999" s="52"/>
      <c r="L1999" s="52"/>
      <c r="M1999" s="52"/>
      <c r="N1999" s="52"/>
      <c r="O1999" s="52"/>
      <c r="P1999" s="52"/>
      <c r="Q1999" s="52"/>
      <c r="R1999" s="52"/>
      <c r="S1999" s="52"/>
      <c r="T1999" s="52"/>
      <c r="U1999" s="52"/>
      <c r="V1999" s="52"/>
      <c r="W1999" s="52"/>
      <c r="X1999" s="52"/>
      <c r="Y1999" s="52"/>
      <c r="Z1999" s="52"/>
      <c r="AA1999" s="52"/>
      <c r="AB1999" s="52"/>
      <c r="AC1999" s="52"/>
      <c r="AD1999" s="52"/>
      <c r="AE1999" s="52"/>
      <c r="AF1999" s="52"/>
      <c r="AG1999" s="52"/>
      <c r="AH1999" s="52"/>
      <c r="AI1999" s="52"/>
      <c r="AJ1999" s="52"/>
      <c r="AK1999" s="52"/>
      <c r="AL1999" s="52"/>
      <c r="AM1999" s="52"/>
      <c r="AN1999" s="52"/>
    </row>
    <row r="2000" spans="1:40" x14ac:dyDescent="0.3">
      <c r="A2000" s="52">
        <v>1995</v>
      </c>
      <c r="B2000" s="52">
        <f>-bthan*500+(44+0.5)*bthan*1000/50</f>
        <v>2145</v>
      </c>
      <c r="C2000" s="52">
        <f t="shared" si="213"/>
        <v>-10</v>
      </c>
      <c r="D2000" s="52">
        <f t="shared" si="214"/>
        <v>2200</v>
      </c>
      <c r="E2000" s="52">
        <f t="shared" si="215"/>
        <v>1</v>
      </c>
      <c r="F2000" s="52"/>
      <c r="G2000" s="52"/>
      <c r="H2000" s="52"/>
      <c r="I2000" s="52"/>
      <c r="J2000" s="52"/>
      <c r="K2000" s="52"/>
      <c r="L2000" s="52"/>
      <c r="M2000" s="52"/>
      <c r="N2000" s="52"/>
      <c r="O2000" s="52"/>
      <c r="P2000" s="52"/>
      <c r="Q2000" s="52"/>
      <c r="R2000" s="52"/>
      <c r="S2000" s="52"/>
      <c r="T2000" s="52"/>
      <c r="U2000" s="52"/>
      <c r="V2000" s="52"/>
      <c r="W2000" s="52"/>
      <c r="X2000" s="52"/>
      <c r="Y2000" s="52"/>
      <c r="Z2000" s="52"/>
      <c r="AA2000" s="52"/>
      <c r="AB2000" s="52"/>
      <c r="AC2000" s="52"/>
      <c r="AD2000" s="52"/>
      <c r="AE2000" s="52"/>
      <c r="AF2000" s="52"/>
      <c r="AG2000" s="52"/>
      <c r="AH2000" s="52"/>
      <c r="AI2000" s="52"/>
      <c r="AJ2000" s="52"/>
      <c r="AK2000" s="52"/>
      <c r="AL2000" s="52"/>
      <c r="AM2000" s="52"/>
      <c r="AN2000" s="52"/>
    </row>
    <row r="2001" spans="1:40" x14ac:dyDescent="0.3">
      <c r="A2001" s="52">
        <v>1996</v>
      </c>
      <c r="B2001" s="52">
        <f>-bthan*500+(45+0.5)*bthan*1000/50</f>
        <v>2255</v>
      </c>
      <c r="C2001" s="52">
        <f t="shared" si="213"/>
        <v>-10</v>
      </c>
      <c r="D2001" s="52">
        <f t="shared" si="214"/>
        <v>2200</v>
      </c>
      <c r="E2001" s="52">
        <f t="shared" si="215"/>
        <v>1</v>
      </c>
      <c r="F2001" s="52"/>
      <c r="G2001" s="52"/>
      <c r="H2001" s="52"/>
      <c r="I2001" s="52"/>
      <c r="J2001" s="52"/>
      <c r="K2001" s="52"/>
      <c r="L2001" s="52"/>
      <c r="M2001" s="52"/>
      <c r="N2001" s="52"/>
      <c r="O2001" s="52"/>
      <c r="P2001" s="52"/>
      <c r="Q2001" s="52"/>
      <c r="R2001" s="52"/>
      <c r="S2001" s="52"/>
      <c r="T2001" s="52"/>
      <c r="U2001" s="52"/>
      <c r="V2001" s="52"/>
      <c r="W2001" s="52"/>
      <c r="X2001" s="52"/>
      <c r="Y2001" s="52"/>
      <c r="Z2001" s="52"/>
      <c r="AA2001" s="52"/>
      <c r="AB2001" s="52"/>
      <c r="AC2001" s="52"/>
      <c r="AD2001" s="52"/>
      <c r="AE2001" s="52"/>
      <c r="AF2001" s="52"/>
      <c r="AG2001" s="52"/>
      <c r="AH2001" s="52"/>
      <c r="AI2001" s="52"/>
      <c r="AJ2001" s="52"/>
      <c r="AK2001" s="52"/>
      <c r="AL2001" s="52"/>
      <c r="AM2001" s="52"/>
      <c r="AN2001" s="52"/>
    </row>
    <row r="2002" spans="1:40" x14ac:dyDescent="0.3">
      <c r="A2002" s="52">
        <v>1997</v>
      </c>
      <c r="B2002" s="52">
        <f>-bthan*500+(46+0.5)*bthan*1000/50</f>
        <v>2365</v>
      </c>
      <c r="C2002" s="52">
        <f t="shared" si="213"/>
        <v>-10</v>
      </c>
      <c r="D2002" s="52">
        <f t="shared" si="214"/>
        <v>2200</v>
      </c>
      <c r="E2002" s="52">
        <f t="shared" si="215"/>
        <v>1</v>
      </c>
      <c r="F2002" s="52"/>
      <c r="G2002" s="52"/>
      <c r="H2002" s="52"/>
      <c r="I2002" s="52"/>
      <c r="J2002" s="52"/>
      <c r="K2002" s="52"/>
      <c r="L2002" s="52"/>
      <c r="M2002" s="52"/>
      <c r="N2002" s="52"/>
      <c r="O2002" s="52"/>
      <c r="P2002" s="52"/>
      <c r="Q2002" s="52"/>
      <c r="R2002" s="52"/>
      <c r="S2002" s="52"/>
      <c r="T2002" s="52"/>
      <c r="U2002" s="52"/>
      <c r="V2002" s="52"/>
      <c r="W2002" s="52"/>
      <c r="X2002" s="52"/>
      <c r="Y2002" s="52"/>
      <c r="Z2002" s="52"/>
      <c r="AA2002" s="52"/>
      <c r="AB2002" s="52"/>
      <c r="AC2002" s="52"/>
      <c r="AD2002" s="52"/>
      <c r="AE2002" s="52"/>
      <c r="AF2002" s="52"/>
      <c r="AG2002" s="52"/>
      <c r="AH2002" s="52"/>
      <c r="AI2002" s="52"/>
      <c r="AJ2002" s="52"/>
      <c r="AK2002" s="52"/>
      <c r="AL2002" s="52"/>
      <c r="AM2002" s="52"/>
      <c r="AN2002" s="52"/>
    </row>
    <row r="2003" spans="1:40" x14ac:dyDescent="0.3">
      <c r="A2003" s="52">
        <v>1998</v>
      </c>
      <c r="B2003" s="52">
        <f>-bthan*500+(47+0.5)*bthan*1000/50</f>
        <v>2475</v>
      </c>
      <c r="C2003" s="52">
        <f t="shared" si="213"/>
        <v>-10</v>
      </c>
      <c r="D2003" s="52">
        <f t="shared" si="214"/>
        <v>2200</v>
      </c>
      <c r="E2003" s="52">
        <f t="shared" si="215"/>
        <v>1</v>
      </c>
      <c r="F2003" s="52"/>
      <c r="G2003" s="52"/>
      <c r="H2003" s="52"/>
      <c r="I2003" s="52"/>
      <c r="J2003" s="52"/>
      <c r="K2003" s="52"/>
      <c r="L2003" s="52"/>
      <c r="M2003" s="52"/>
      <c r="N2003" s="52"/>
      <c r="O2003" s="52"/>
      <c r="P2003" s="52"/>
      <c r="Q2003" s="52"/>
      <c r="R2003" s="52"/>
      <c r="S2003" s="52"/>
      <c r="T2003" s="52"/>
      <c r="U2003" s="52"/>
      <c r="V2003" s="52"/>
      <c r="W2003" s="52"/>
      <c r="X2003" s="52"/>
      <c r="Y2003" s="52"/>
      <c r="Z2003" s="52"/>
      <c r="AA2003" s="52"/>
      <c r="AB2003" s="52"/>
      <c r="AC2003" s="52"/>
      <c r="AD2003" s="52"/>
      <c r="AE2003" s="52"/>
      <c r="AF2003" s="52"/>
      <c r="AG2003" s="52"/>
      <c r="AH2003" s="52"/>
      <c r="AI2003" s="52"/>
      <c r="AJ2003" s="52"/>
      <c r="AK2003" s="52"/>
      <c r="AL2003" s="52"/>
      <c r="AM2003" s="52"/>
      <c r="AN2003" s="52"/>
    </row>
    <row r="2004" spans="1:40" x14ac:dyDescent="0.3">
      <c r="A2004" s="52">
        <v>1999</v>
      </c>
      <c r="B2004" s="52">
        <f>-bthan*500+(48+0.5)*bthan*1000/50</f>
        <v>2585</v>
      </c>
      <c r="C2004" s="52">
        <f t="shared" si="213"/>
        <v>-10</v>
      </c>
      <c r="D2004" s="52">
        <f t="shared" si="214"/>
        <v>2200</v>
      </c>
      <c r="E2004" s="52">
        <f t="shared" si="215"/>
        <v>1</v>
      </c>
      <c r="F2004" s="52"/>
      <c r="G2004" s="52"/>
      <c r="H2004" s="52"/>
      <c r="I2004" s="52"/>
      <c r="J2004" s="52"/>
      <c r="K2004" s="52"/>
      <c r="L2004" s="52"/>
      <c r="M2004" s="52"/>
      <c r="N2004" s="52"/>
      <c r="O2004" s="52"/>
      <c r="P2004" s="52"/>
      <c r="Q2004" s="52"/>
      <c r="R2004" s="52"/>
      <c r="S2004" s="52"/>
      <c r="T2004" s="52"/>
      <c r="U2004" s="52"/>
      <c r="V2004" s="52"/>
      <c r="W2004" s="52"/>
      <c r="X2004" s="52"/>
      <c r="Y2004" s="52"/>
      <c r="Z2004" s="52"/>
      <c r="AA2004" s="52"/>
      <c r="AB2004" s="52"/>
      <c r="AC2004" s="52"/>
      <c r="AD2004" s="52"/>
      <c r="AE2004" s="52"/>
      <c r="AF2004" s="52"/>
      <c r="AG2004" s="52"/>
      <c r="AH2004" s="52"/>
      <c r="AI2004" s="52"/>
      <c r="AJ2004" s="52"/>
      <c r="AK2004" s="52"/>
      <c r="AL2004" s="52"/>
      <c r="AM2004" s="52"/>
      <c r="AN2004" s="52"/>
    </row>
    <row r="2005" spans="1:40" x14ac:dyDescent="0.3">
      <c r="A2005" s="52">
        <v>2000</v>
      </c>
      <c r="B2005" s="52">
        <f>-bthan*500+(49+0.5)*bthan*1000/50</f>
        <v>2695</v>
      </c>
      <c r="C2005" s="52">
        <f t="shared" si="213"/>
        <v>-10</v>
      </c>
      <c r="D2005" s="52">
        <f t="shared" si="214"/>
        <v>2200</v>
      </c>
      <c r="E2005" s="52">
        <f t="shared" si="215"/>
        <v>1</v>
      </c>
      <c r="F2005" s="52"/>
      <c r="G2005" s="52"/>
      <c r="H2005" s="52"/>
      <c r="I2005" s="52"/>
      <c r="J2005" s="52"/>
      <c r="K2005" s="52"/>
      <c r="L2005" s="52"/>
      <c r="M2005" s="52"/>
      <c r="N2005" s="52"/>
      <c r="O2005" s="52"/>
      <c r="P2005" s="52"/>
      <c r="Q2005" s="52"/>
      <c r="R2005" s="52"/>
      <c r="S2005" s="52"/>
      <c r="T2005" s="52"/>
      <c r="U2005" s="52"/>
      <c r="V2005" s="52"/>
      <c r="W2005" s="52"/>
      <c r="X2005" s="52"/>
      <c r="Y2005" s="52"/>
      <c r="Z2005" s="52"/>
      <c r="AA2005" s="52"/>
      <c r="AB2005" s="52"/>
      <c r="AC2005" s="52"/>
      <c r="AD2005" s="52"/>
      <c r="AE2005" s="52"/>
      <c r="AF2005" s="52"/>
      <c r="AG2005" s="52"/>
      <c r="AH2005" s="52"/>
      <c r="AI2005" s="52"/>
      <c r="AJ2005" s="52"/>
      <c r="AK2005" s="52"/>
      <c r="AL2005" s="52"/>
      <c r="AM2005" s="52"/>
      <c r="AN2005" s="52"/>
    </row>
    <row r="2006" spans="1:40" x14ac:dyDescent="0.3">
      <c r="A2006" s="52">
        <v>2001</v>
      </c>
      <c r="B2006" s="52">
        <f>-bthan*500+(0+0.5)*bthan*1000/50</f>
        <v>-2695</v>
      </c>
      <c r="C2006" s="52">
        <f t="shared" ref="C2006:C2037" si="216">-hthan*500+(40+0.5)*hthan*1000/80</f>
        <v>10</v>
      </c>
      <c r="D2006" s="52">
        <f t="shared" si="214"/>
        <v>2200</v>
      </c>
      <c r="E2006" s="52">
        <f t="shared" si="215"/>
        <v>1</v>
      </c>
      <c r="F2006" s="52"/>
      <c r="G2006" s="52"/>
      <c r="H2006" s="52"/>
      <c r="I2006" s="52"/>
      <c r="J2006" s="52"/>
      <c r="K2006" s="52"/>
      <c r="L2006" s="52"/>
      <c r="M2006" s="52"/>
      <c r="N2006" s="52"/>
      <c r="O2006" s="52"/>
      <c r="P2006" s="52"/>
      <c r="Q2006" s="52"/>
      <c r="R2006" s="52"/>
      <c r="S2006" s="52"/>
      <c r="T2006" s="52"/>
      <c r="U2006" s="52"/>
      <c r="V2006" s="52"/>
      <c r="W2006" s="52"/>
      <c r="X2006" s="52"/>
      <c r="Y2006" s="52"/>
      <c r="Z2006" s="52"/>
      <c r="AA2006" s="52"/>
      <c r="AB2006" s="52"/>
      <c r="AC2006" s="52"/>
      <c r="AD2006" s="52"/>
      <c r="AE2006" s="52"/>
      <c r="AF2006" s="52"/>
      <c r="AG2006" s="52"/>
      <c r="AH2006" s="52"/>
      <c r="AI2006" s="52"/>
      <c r="AJ2006" s="52"/>
      <c r="AK2006" s="52"/>
      <c r="AL2006" s="52"/>
      <c r="AM2006" s="52"/>
      <c r="AN2006" s="52"/>
    </row>
    <row r="2007" spans="1:40" x14ac:dyDescent="0.3">
      <c r="A2007" s="52">
        <v>2002</v>
      </c>
      <c r="B2007" s="52">
        <f>-bthan*500+(1+0.5)*bthan*1000/50</f>
        <v>-2585</v>
      </c>
      <c r="C2007" s="52">
        <f t="shared" si="216"/>
        <v>10</v>
      </c>
      <c r="D2007" s="52">
        <f t="shared" si="214"/>
        <v>2200</v>
      </c>
      <c r="E2007" s="52">
        <f t="shared" si="215"/>
        <v>1</v>
      </c>
      <c r="F2007" s="52"/>
      <c r="G2007" s="52"/>
      <c r="H2007" s="52"/>
      <c r="I2007" s="52"/>
      <c r="J2007" s="52"/>
      <c r="K2007" s="52"/>
      <c r="L2007" s="52"/>
      <c r="M2007" s="52"/>
      <c r="N2007" s="52"/>
      <c r="O2007" s="52"/>
      <c r="P2007" s="52"/>
      <c r="Q2007" s="52"/>
      <c r="R2007" s="52"/>
      <c r="S2007" s="52"/>
      <c r="T2007" s="52"/>
      <c r="U2007" s="52"/>
      <c r="V2007" s="52"/>
      <c r="W2007" s="52"/>
      <c r="X2007" s="52"/>
      <c r="Y2007" s="52"/>
      <c r="Z2007" s="52"/>
      <c r="AA2007" s="52"/>
      <c r="AB2007" s="52"/>
      <c r="AC2007" s="52"/>
      <c r="AD2007" s="52"/>
      <c r="AE2007" s="52"/>
      <c r="AF2007" s="52"/>
      <c r="AG2007" s="52"/>
      <c r="AH2007" s="52"/>
      <c r="AI2007" s="52"/>
      <c r="AJ2007" s="52"/>
      <c r="AK2007" s="52"/>
      <c r="AL2007" s="52"/>
      <c r="AM2007" s="52"/>
      <c r="AN2007" s="52"/>
    </row>
    <row r="2008" spans="1:40" x14ac:dyDescent="0.3">
      <c r="A2008" s="52">
        <v>2003</v>
      </c>
      <c r="B2008" s="52">
        <f>-bthan*500+(2+0.5)*bthan*1000/50</f>
        <v>-2475</v>
      </c>
      <c r="C2008" s="52">
        <f t="shared" si="216"/>
        <v>10</v>
      </c>
      <c r="D2008" s="52">
        <f t="shared" si="214"/>
        <v>2200</v>
      </c>
      <c r="E2008" s="52">
        <f t="shared" si="215"/>
        <v>1</v>
      </c>
      <c r="F2008" s="52"/>
      <c r="G2008" s="52"/>
      <c r="H2008" s="52"/>
      <c r="I2008" s="52"/>
      <c r="J2008" s="52"/>
      <c r="K2008" s="52"/>
      <c r="L2008" s="52"/>
      <c r="M2008" s="52"/>
      <c r="N2008" s="52"/>
      <c r="O2008" s="52"/>
      <c r="P2008" s="52"/>
      <c r="Q2008" s="52"/>
      <c r="R2008" s="52"/>
      <c r="S2008" s="52"/>
      <c r="T2008" s="52"/>
      <c r="U2008" s="52"/>
      <c r="V2008" s="52"/>
      <c r="W2008" s="52"/>
      <c r="X2008" s="52"/>
      <c r="Y2008" s="52"/>
      <c r="Z2008" s="52"/>
      <c r="AA2008" s="52"/>
      <c r="AB2008" s="52"/>
      <c r="AC2008" s="52"/>
      <c r="AD2008" s="52"/>
      <c r="AE2008" s="52"/>
      <c r="AF2008" s="52"/>
      <c r="AG2008" s="52"/>
      <c r="AH2008" s="52"/>
      <c r="AI2008" s="52"/>
      <c r="AJ2008" s="52"/>
      <c r="AK2008" s="52"/>
      <c r="AL2008" s="52"/>
      <c r="AM2008" s="52"/>
      <c r="AN2008" s="52"/>
    </row>
    <row r="2009" spans="1:40" x14ac:dyDescent="0.3">
      <c r="A2009" s="52">
        <v>2004</v>
      </c>
      <c r="B2009" s="52">
        <f>-bthan*500+(3+0.5)*bthan*1000/50</f>
        <v>-2365</v>
      </c>
      <c r="C2009" s="52">
        <f t="shared" si="216"/>
        <v>10</v>
      </c>
      <c r="D2009" s="52">
        <f t="shared" si="214"/>
        <v>2200</v>
      </c>
      <c r="E2009" s="52">
        <f t="shared" si="215"/>
        <v>1</v>
      </c>
      <c r="F2009" s="52"/>
      <c r="G2009" s="52"/>
      <c r="H2009" s="52"/>
      <c r="I2009" s="52"/>
      <c r="J2009" s="52"/>
      <c r="K2009" s="52"/>
      <c r="L2009" s="52"/>
      <c r="M2009" s="52"/>
      <c r="N2009" s="52"/>
      <c r="O2009" s="52"/>
      <c r="P2009" s="52"/>
      <c r="Q2009" s="52"/>
      <c r="R2009" s="52"/>
      <c r="S2009" s="52"/>
      <c r="T2009" s="52"/>
      <c r="U2009" s="52"/>
      <c r="V2009" s="52"/>
      <c r="W2009" s="52"/>
      <c r="X2009" s="52"/>
      <c r="Y2009" s="52"/>
      <c r="Z2009" s="52"/>
      <c r="AA2009" s="52"/>
      <c r="AB2009" s="52"/>
      <c r="AC2009" s="52"/>
      <c r="AD2009" s="52"/>
      <c r="AE2009" s="52"/>
      <c r="AF2009" s="52"/>
      <c r="AG2009" s="52"/>
      <c r="AH2009" s="52"/>
      <c r="AI2009" s="52"/>
      <c r="AJ2009" s="52"/>
      <c r="AK2009" s="52"/>
      <c r="AL2009" s="52"/>
      <c r="AM2009" s="52"/>
      <c r="AN2009" s="52"/>
    </row>
    <row r="2010" spans="1:40" x14ac:dyDescent="0.3">
      <c r="A2010" s="52">
        <v>2005</v>
      </c>
      <c r="B2010" s="52">
        <f>-bthan*500+(4+0.5)*bthan*1000/50</f>
        <v>-2255</v>
      </c>
      <c r="C2010" s="52">
        <f t="shared" si="216"/>
        <v>10</v>
      </c>
      <c r="D2010" s="52">
        <f t="shared" si="214"/>
        <v>2200</v>
      </c>
      <c r="E2010" s="52">
        <f t="shared" si="215"/>
        <v>1</v>
      </c>
      <c r="F2010" s="52"/>
      <c r="G2010" s="52"/>
      <c r="H2010" s="52"/>
      <c r="I2010" s="52"/>
      <c r="J2010" s="52"/>
      <c r="K2010" s="52"/>
      <c r="L2010" s="52"/>
      <c r="M2010" s="52"/>
      <c r="N2010" s="52"/>
      <c r="O2010" s="52"/>
      <c r="P2010" s="52"/>
      <c r="Q2010" s="52"/>
      <c r="R2010" s="52"/>
      <c r="S2010" s="52"/>
      <c r="T2010" s="52"/>
      <c r="U2010" s="52"/>
      <c r="V2010" s="52"/>
      <c r="W2010" s="52"/>
      <c r="X2010" s="52"/>
      <c r="Y2010" s="52"/>
      <c r="Z2010" s="52"/>
      <c r="AA2010" s="52"/>
      <c r="AB2010" s="52"/>
      <c r="AC2010" s="52"/>
      <c r="AD2010" s="52"/>
      <c r="AE2010" s="52"/>
      <c r="AF2010" s="52"/>
      <c r="AG2010" s="52"/>
      <c r="AH2010" s="52"/>
      <c r="AI2010" s="52"/>
      <c r="AJ2010" s="52"/>
      <c r="AK2010" s="52"/>
      <c r="AL2010" s="52"/>
      <c r="AM2010" s="52"/>
      <c r="AN2010" s="52"/>
    </row>
    <row r="2011" spans="1:40" x14ac:dyDescent="0.3">
      <c r="A2011" s="52">
        <v>2006</v>
      </c>
      <c r="B2011" s="52">
        <f>-bthan*500+(5+0.5)*bthan*1000/50</f>
        <v>-2145</v>
      </c>
      <c r="C2011" s="52">
        <f t="shared" si="216"/>
        <v>10</v>
      </c>
      <c r="D2011" s="52">
        <f t="shared" si="214"/>
        <v>2200</v>
      </c>
      <c r="E2011" s="52">
        <f t="shared" si="215"/>
        <v>1</v>
      </c>
      <c r="F2011" s="52"/>
      <c r="G2011" s="52"/>
      <c r="H2011" s="52"/>
      <c r="I2011" s="52"/>
      <c r="J2011" s="52"/>
      <c r="K2011" s="52"/>
      <c r="L2011" s="52"/>
      <c r="M2011" s="52"/>
      <c r="N2011" s="52"/>
      <c r="O2011" s="52"/>
      <c r="P2011" s="52"/>
      <c r="Q2011" s="52"/>
      <c r="R2011" s="52"/>
      <c r="S2011" s="52"/>
      <c r="T2011" s="52"/>
      <c r="U2011" s="52"/>
      <c r="V2011" s="52"/>
      <c r="W2011" s="52"/>
      <c r="X2011" s="52"/>
      <c r="Y2011" s="52"/>
      <c r="Z2011" s="52"/>
      <c r="AA2011" s="52"/>
      <c r="AB2011" s="52"/>
      <c r="AC2011" s="52"/>
      <c r="AD2011" s="52"/>
      <c r="AE2011" s="52"/>
      <c r="AF2011" s="52"/>
      <c r="AG2011" s="52"/>
      <c r="AH2011" s="52"/>
      <c r="AI2011" s="52"/>
      <c r="AJ2011" s="52"/>
      <c r="AK2011" s="52"/>
      <c r="AL2011" s="52"/>
      <c r="AM2011" s="52"/>
      <c r="AN2011" s="52"/>
    </row>
    <row r="2012" spans="1:40" x14ac:dyDescent="0.3">
      <c r="A2012" s="52">
        <v>2007</v>
      </c>
      <c r="B2012" s="52">
        <f>-bthan*500+(6+0.5)*bthan*1000/50</f>
        <v>-2035</v>
      </c>
      <c r="C2012" s="52">
        <f t="shared" si="216"/>
        <v>10</v>
      </c>
      <c r="D2012" s="52">
        <f t="shared" si="214"/>
        <v>2200</v>
      </c>
      <c r="E2012" s="52">
        <f t="shared" si="215"/>
        <v>1</v>
      </c>
      <c r="F2012" s="52"/>
      <c r="G2012" s="52"/>
      <c r="H2012" s="52"/>
      <c r="I2012" s="52"/>
      <c r="J2012" s="52"/>
      <c r="K2012" s="52"/>
      <c r="L2012" s="52"/>
      <c r="M2012" s="52"/>
      <c r="N2012" s="52"/>
      <c r="O2012" s="52"/>
      <c r="P2012" s="52"/>
      <c r="Q2012" s="52"/>
      <c r="R2012" s="52"/>
      <c r="S2012" s="52"/>
      <c r="T2012" s="52"/>
      <c r="U2012" s="52"/>
      <c r="V2012" s="52"/>
      <c r="W2012" s="52"/>
      <c r="X2012" s="52"/>
      <c r="Y2012" s="52"/>
      <c r="Z2012" s="52"/>
      <c r="AA2012" s="52"/>
      <c r="AB2012" s="52"/>
      <c r="AC2012" s="52"/>
      <c r="AD2012" s="52"/>
      <c r="AE2012" s="52"/>
      <c r="AF2012" s="52"/>
      <c r="AG2012" s="52"/>
      <c r="AH2012" s="52"/>
      <c r="AI2012" s="52"/>
      <c r="AJ2012" s="52"/>
      <c r="AK2012" s="52"/>
      <c r="AL2012" s="52"/>
      <c r="AM2012" s="52"/>
      <c r="AN2012" s="52"/>
    </row>
    <row r="2013" spans="1:40" x14ac:dyDescent="0.3">
      <c r="A2013" s="52">
        <v>2008</v>
      </c>
      <c r="B2013" s="52">
        <f>-bthan*500+(7+0.5)*bthan*1000/50</f>
        <v>-1925</v>
      </c>
      <c r="C2013" s="52">
        <f t="shared" si="216"/>
        <v>10</v>
      </c>
      <c r="D2013" s="52">
        <f t="shared" si="214"/>
        <v>2200</v>
      </c>
      <c r="E2013" s="52">
        <f t="shared" si="215"/>
        <v>1</v>
      </c>
      <c r="F2013" s="52"/>
      <c r="G2013" s="52"/>
      <c r="H2013" s="52"/>
      <c r="I2013" s="52"/>
      <c r="J2013" s="52"/>
      <c r="K2013" s="52"/>
      <c r="L2013" s="52"/>
      <c r="M2013" s="52"/>
      <c r="N2013" s="52"/>
      <c r="O2013" s="52"/>
      <c r="P2013" s="52"/>
      <c r="Q2013" s="52"/>
      <c r="R2013" s="52"/>
      <c r="S2013" s="52"/>
      <c r="T2013" s="52"/>
      <c r="U2013" s="52"/>
      <c r="V2013" s="52"/>
      <c r="W2013" s="52"/>
      <c r="X2013" s="52"/>
      <c r="Y2013" s="52"/>
      <c r="Z2013" s="52"/>
      <c r="AA2013" s="52"/>
      <c r="AB2013" s="52"/>
      <c r="AC2013" s="52"/>
      <c r="AD2013" s="52"/>
      <c r="AE2013" s="52"/>
      <c r="AF2013" s="52"/>
      <c r="AG2013" s="52"/>
      <c r="AH2013" s="52"/>
      <c r="AI2013" s="52"/>
      <c r="AJ2013" s="52"/>
      <c r="AK2013" s="52"/>
      <c r="AL2013" s="52"/>
      <c r="AM2013" s="52"/>
      <c r="AN2013" s="52"/>
    </row>
    <row r="2014" spans="1:40" x14ac:dyDescent="0.3">
      <c r="A2014" s="52">
        <v>2009</v>
      </c>
      <c r="B2014" s="52">
        <f>-bthan*500+(8+0.5)*bthan*1000/50</f>
        <v>-1815</v>
      </c>
      <c r="C2014" s="52">
        <f t="shared" si="216"/>
        <v>10</v>
      </c>
      <c r="D2014" s="52">
        <f t="shared" si="214"/>
        <v>2200</v>
      </c>
      <c r="E2014" s="52">
        <f t="shared" si="215"/>
        <v>1</v>
      </c>
      <c r="F2014" s="52"/>
      <c r="G2014" s="52"/>
      <c r="H2014" s="52"/>
      <c r="I2014" s="52"/>
      <c r="J2014" s="52"/>
      <c r="K2014" s="52"/>
      <c r="L2014" s="52"/>
      <c r="M2014" s="52"/>
      <c r="N2014" s="52"/>
      <c r="O2014" s="52"/>
      <c r="P2014" s="52"/>
      <c r="Q2014" s="52"/>
      <c r="R2014" s="52"/>
      <c r="S2014" s="52"/>
      <c r="T2014" s="52"/>
      <c r="U2014" s="52"/>
      <c r="V2014" s="52"/>
      <c r="W2014" s="52"/>
      <c r="X2014" s="52"/>
      <c r="Y2014" s="52"/>
      <c r="Z2014" s="52"/>
      <c r="AA2014" s="52"/>
      <c r="AB2014" s="52"/>
      <c r="AC2014" s="52"/>
      <c r="AD2014" s="52"/>
      <c r="AE2014" s="52"/>
      <c r="AF2014" s="52"/>
      <c r="AG2014" s="52"/>
      <c r="AH2014" s="52"/>
      <c r="AI2014" s="52"/>
      <c r="AJ2014" s="52"/>
      <c r="AK2014" s="52"/>
      <c r="AL2014" s="52"/>
      <c r="AM2014" s="52"/>
      <c r="AN2014" s="52"/>
    </row>
    <row r="2015" spans="1:40" x14ac:dyDescent="0.3">
      <c r="A2015" s="52">
        <v>2010</v>
      </c>
      <c r="B2015" s="52">
        <f>-bthan*500+(9+0.5)*bthan*1000/50</f>
        <v>-1705</v>
      </c>
      <c r="C2015" s="52">
        <f t="shared" si="216"/>
        <v>10</v>
      </c>
      <c r="D2015" s="52">
        <f t="shared" si="214"/>
        <v>2200</v>
      </c>
      <c r="E2015" s="52">
        <f t="shared" si="215"/>
        <v>1</v>
      </c>
      <c r="F2015" s="52"/>
      <c r="G2015" s="52"/>
      <c r="H2015" s="52"/>
      <c r="I2015" s="52"/>
      <c r="J2015" s="52"/>
      <c r="K2015" s="52"/>
      <c r="L2015" s="52"/>
      <c r="M2015" s="52"/>
      <c r="N2015" s="52"/>
      <c r="O2015" s="52"/>
      <c r="P2015" s="52"/>
      <c r="Q2015" s="52"/>
      <c r="R2015" s="52"/>
      <c r="S2015" s="52"/>
      <c r="T2015" s="52"/>
      <c r="U2015" s="52"/>
      <c r="V2015" s="52"/>
      <c r="W2015" s="52"/>
      <c r="X2015" s="52"/>
      <c r="Y2015" s="52"/>
      <c r="Z2015" s="52"/>
      <c r="AA2015" s="52"/>
      <c r="AB2015" s="52"/>
      <c r="AC2015" s="52"/>
      <c r="AD2015" s="52"/>
      <c r="AE2015" s="52"/>
      <c r="AF2015" s="52"/>
      <c r="AG2015" s="52"/>
      <c r="AH2015" s="52"/>
      <c r="AI2015" s="52"/>
      <c r="AJ2015" s="52"/>
      <c r="AK2015" s="52"/>
      <c r="AL2015" s="52"/>
      <c r="AM2015" s="52"/>
      <c r="AN2015" s="52"/>
    </row>
    <row r="2016" spans="1:40" x14ac:dyDescent="0.3">
      <c r="A2016" s="52">
        <v>2011</v>
      </c>
      <c r="B2016" s="52">
        <f>-bthan*500+(10+0.5)*bthan*1000/50</f>
        <v>-1595</v>
      </c>
      <c r="C2016" s="52">
        <f t="shared" si="216"/>
        <v>10</v>
      </c>
      <c r="D2016" s="52">
        <f t="shared" si="214"/>
        <v>2200</v>
      </c>
      <c r="E2016" s="52">
        <f t="shared" si="215"/>
        <v>1</v>
      </c>
      <c r="F2016" s="52"/>
      <c r="G2016" s="52"/>
      <c r="H2016" s="52"/>
      <c r="I2016" s="52"/>
      <c r="J2016" s="52"/>
      <c r="K2016" s="52"/>
      <c r="L2016" s="52"/>
      <c r="M2016" s="52"/>
      <c r="N2016" s="52"/>
      <c r="O2016" s="52"/>
      <c r="P2016" s="52"/>
      <c r="Q2016" s="52"/>
      <c r="R2016" s="52"/>
      <c r="S2016" s="52"/>
      <c r="T2016" s="52"/>
      <c r="U2016" s="52"/>
      <c r="V2016" s="52"/>
      <c r="W2016" s="52"/>
      <c r="X2016" s="52"/>
      <c r="Y2016" s="52"/>
      <c r="Z2016" s="52"/>
      <c r="AA2016" s="52"/>
      <c r="AB2016" s="52"/>
      <c r="AC2016" s="52"/>
      <c r="AD2016" s="52"/>
      <c r="AE2016" s="52"/>
      <c r="AF2016" s="52"/>
      <c r="AG2016" s="52"/>
      <c r="AH2016" s="52"/>
      <c r="AI2016" s="52"/>
      <c r="AJ2016" s="52"/>
      <c r="AK2016" s="52"/>
      <c r="AL2016" s="52"/>
      <c r="AM2016" s="52"/>
      <c r="AN2016" s="52"/>
    </row>
    <row r="2017" spans="1:40" x14ac:dyDescent="0.3">
      <c r="A2017" s="52">
        <v>2012</v>
      </c>
      <c r="B2017" s="52">
        <f>-bthan*500+(11+0.5)*bthan*1000/50</f>
        <v>-1485</v>
      </c>
      <c r="C2017" s="52">
        <f t="shared" si="216"/>
        <v>10</v>
      </c>
      <c r="D2017" s="52">
        <f t="shared" si="214"/>
        <v>2200</v>
      </c>
      <c r="E2017" s="52">
        <f t="shared" si="215"/>
        <v>1</v>
      </c>
      <c r="F2017" s="52"/>
      <c r="G2017" s="52"/>
      <c r="H2017" s="52"/>
      <c r="I2017" s="52"/>
      <c r="J2017" s="52"/>
      <c r="K2017" s="52"/>
      <c r="L2017" s="52"/>
      <c r="M2017" s="52"/>
      <c r="N2017" s="52"/>
      <c r="O2017" s="52"/>
      <c r="P2017" s="52"/>
      <c r="Q2017" s="52"/>
      <c r="R2017" s="52"/>
      <c r="S2017" s="52"/>
      <c r="T2017" s="52"/>
      <c r="U2017" s="52"/>
      <c r="V2017" s="52"/>
      <c r="W2017" s="52"/>
      <c r="X2017" s="52"/>
      <c r="Y2017" s="52"/>
      <c r="Z2017" s="52"/>
      <c r="AA2017" s="52"/>
      <c r="AB2017" s="52"/>
      <c r="AC2017" s="52"/>
      <c r="AD2017" s="52"/>
      <c r="AE2017" s="52"/>
      <c r="AF2017" s="52"/>
      <c r="AG2017" s="52"/>
      <c r="AH2017" s="52"/>
      <c r="AI2017" s="52"/>
      <c r="AJ2017" s="52"/>
      <c r="AK2017" s="52"/>
      <c r="AL2017" s="52"/>
      <c r="AM2017" s="52"/>
      <c r="AN2017" s="52"/>
    </row>
    <row r="2018" spans="1:40" x14ac:dyDescent="0.3">
      <c r="A2018" s="52">
        <v>2013</v>
      </c>
      <c r="B2018" s="52">
        <f>-bthan*500+(12+0.5)*bthan*1000/50</f>
        <v>-1375</v>
      </c>
      <c r="C2018" s="52">
        <f t="shared" si="216"/>
        <v>10</v>
      </c>
      <c r="D2018" s="52">
        <f t="shared" si="214"/>
        <v>2200</v>
      </c>
      <c r="E2018" s="52">
        <f t="shared" si="215"/>
        <v>1</v>
      </c>
      <c r="F2018" s="52"/>
      <c r="G2018" s="52"/>
      <c r="H2018" s="52"/>
      <c r="I2018" s="52"/>
      <c r="J2018" s="52"/>
      <c r="K2018" s="52"/>
      <c r="L2018" s="52"/>
      <c r="M2018" s="52"/>
      <c r="N2018" s="52"/>
      <c r="O2018" s="52"/>
      <c r="P2018" s="52"/>
      <c r="Q2018" s="52"/>
      <c r="R2018" s="52"/>
      <c r="S2018" s="52"/>
      <c r="T2018" s="52"/>
      <c r="U2018" s="52"/>
      <c r="V2018" s="52"/>
      <c r="W2018" s="52"/>
      <c r="X2018" s="52"/>
      <c r="Y2018" s="52"/>
      <c r="Z2018" s="52"/>
      <c r="AA2018" s="52"/>
      <c r="AB2018" s="52"/>
      <c r="AC2018" s="52"/>
      <c r="AD2018" s="52"/>
      <c r="AE2018" s="52"/>
      <c r="AF2018" s="52"/>
      <c r="AG2018" s="52"/>
      <c r="AH2018" s="52"/>
      <c r="AI2018" s="52"/>
      <c r="AJ2018" s="52"/>
      <c r="AK2018" s="52"/>
      <c r="AL2018" s="52"/>
      <c r="AM2018" s="52"/>
      <c r="AN2018" s="52"/>
    </row>
    <row r="2019" spans="1:40" x14ac:dyDescent="0.3">
      <c r="A2019" s="52">
        <v>2014</v>
      </c>
      <c r="B2019" s="52">
        <f>-bthan*500+(13+0.5)*bthan*1000/50</f>
        <v>-1265</v>
      </c>
      <c r="C2019" s="52">
        <f t="shared" si="216"/>
        <v>10</v>
      </c>
      <c r="D2019" s="52">
        <f t="shared" si="214"/>
        <v>2200</v>
      </c>
      <c r="E2019" s="52">
        <f t="shared" si="215"/>
        <v>1</v>
      </c>
      <c r="F2019" s="52"/>
      <c r="G2019" s="52"/>
      <c r="H2019" s="52"/>
      <c r="I2019" s="52"/>
      <c r="J2019" s="52"/>
      <c r="K2019" s="52"/>
      <c r="L2019" s="52"/>
      <c r="M2019" s="52"/>
      <c r="N2019" s="52"/>
      <c r="O2019" s="52"/>
      <c r="P2019" s="52"/>
      <c r="Q2019" s="52"/>
      <c r="R2019" s="52"/>
      <c r="S2019" s="52"/>
      <c r="T2019" s="52"/>
      <c r="U2019" s="52"/>
      <c r="V2019" s="52"/>
      <c r="W2019" s="52"/>
      <c r="X2019" s="52"/>
      <c r="Y2019" s="52"/>
      <c r="Z2019" s="52"/>
      <c r="AA2019" s="52"/>
      <c r="AB2019" s="52"/>
      <c r="AC2019" s="52"/>
      <c r="AD2019" s="52"/>
      <c r="AE2019" s="52"/>
      <c r="AF2019" s="52"/>
      <c r="AG2019" s="52"/>
      <c r="AH2019" s="52"/>
      <c r="AI2019" s="52"/>
      <c r="AJ2019" s="52"/>
      <c r="AK2019" s="52"/>
      <c r="AL2019" s="52"/>
      <c r="AM2019" s="52"/>
      <c r="AN2019" s="52"/>
    </row>
    <row r="2020" spans="1:40" x14ac:dyDescent="0.3">
      <c r="A2020" s="52">
        <v>2015</v>
      </c>
      <c r="B2020" s="52">
        <f>-bthan*500+(14+0.5)*bthan*1000/50</f>
        <v>-1155</v>
      </c>
      <c r="C2020" s="52">
        <f t="shared" si="216"/>
        <v>10</v>
      </c>
      <c r="D2020" s="52">
        <f t="shared" si="214"/>
        <v>2200</v>
      </c>
      <c r="E2020" s="52">
        <f t="shared" si="215"/>
        <v>1</v>
      </c>
      <c r="F2020" s="52"/>
      <c r="G2020" s="52"/>
      <c r="H2020" s="52"/>
      <c r="I2020" s="52"/>
      <c r="J2020" s="52"/>
      <c r="K2020" s="52"/>
      <c r="L2020" s="52"/>
      <c r="M2020" s="52"/>
      <c r="N2020" s="52"/>
      <c r="O2020" s="52"/>
      <c r="P2020" s="52"/>
      <c r="Q2020" s="52"/>
      <c r="R2020" s="52"/>
      <c r="S2020" s="52"/>
      <c r="T2020" s="52"/>
      <c r="U2020" s="52"/>
      <c r="V2020" s="52"/>
      <c r="W2020" s="52"/>
      <c r="X2020" s="52"/>
      <c r="Y2020" s="52"/>
      <c r="Z2020" s="52"/>
      <c r="AA2020" s="52"/>
      <c r="AB2020" s="52"/>
      <c r="AC2020" s="52"/>
      <c r="AD2020" s="52"/>
      <c r="AE2020" s="52"/>
      <c r="AF2020" s="52"/>
      <c r="AG2020" s="52"/>
      <c r="AH2020" s="52"/>
      <c r="AI2020" s="52"/>
      <c r="AJ2020" s="52"/>
      <c r="AK2020" s="52"/>
      <c r="AL2020" s="52"/>
      <c r="AM2020" s="52"/>
      <c r="AN2020" s="52"/>
    </row>
    <row r="2021" spans="1:40" x14ac:dyDescent="0.3">
      <c r="A2021" s="52">
        <v>2016</v>
      </c>
      <c r="B2021" s="52">
        <f>-bthan*500+(15+0.5)*bthan*1000/50</f>
        <v>-1045</v>
      </c>
      <c r="C2021" s="52">
        <f t="shared" si="216"/>
        <v>10</v>
      </c>
      <c r="D2021" s="52">
        <f t="shared" si="214"/>
        <v>2200</v>
      </c>
      <c r="E2021" s="52">
        <f t="shared" si="215"/>
        <v>1</v>
      </c>
      <c r="F2021" s="52"/>
      <c r="G2021" s="52"/>
      <c r="H2021" s="52"/>
      <c r="I2021" s="52"/>
      <c r="J2021" s="52"/>
      <c r="K2021" s="52"/>
      <c r="L2021" s="52"/>
      <c r="M2021" s="52"/>
      <c r="N2021" s="52"/>
      <c r="O2021" s="52"/>
      <c r="P2021" s="52"/>
      <c r="Q2021" s="52"/>
      <c r="R2021" s="52"/>
      <c r="S2021" s="52"/>
      <c r="T2021" s="52"/>
      <c r="U2021" s="52"/>
      <c r="V2021" s="52"/>
      <c r="W2021" s="52"/>
      <c r="X2021" s="52"/>
      <c r="Y2021" s="52"/>
      <c r="Z2021" s="52"/>
      <c r="AA2021" s="52"/>
      <c r="AB2021" s="52"/>
      <c r="AC2021" s="52"/>
      <c r="AD2021" s="52"/>
      <c r="AE2021" s="52"/>
      <c r="AF2021" s="52"/>
      <c r="AG2021" s="52"/>
      <c r="AH2021" s="52"/>
      <c r="AI2021" s="52"/>
      <c r="AJ2021" s="52"/>
      <c r="AK2021" s="52"/>
      <c r="AL2021" s="52"/>
      <c r="AM2021" s="52"/>
      <c r="AN2021" s="52"/>
    </row>
    <row r="2022" spans="1:40" x14ac:dyDescent="0.3">
      <c r="A2022" s="52">
        <v>2017</v>
      </c>
      <c r="B2022" s="52">
        <f>-bthan*500+(16+0.5)*bthan*1000/50</f>
        <v>-935</v>
      </c>
      <c r="C2022" s="52">
        <f t="shared" si="216"/>
        <v>10</v>
      </c>
      <c r="D2022" s="52">
        <f t="shared" si="214"/>
        <v>2200</v>
      </c>
      <c r="E2022" s="52">
        <f t="shared" si="215"/>
        <v>1</v>
      </c>
      <c r="F2022" s="52"/>
      <c r="G2022" s="52"/>
      <c r="H2022" s="52"/>
      <c r="I2022" s="52"/>
      <c r="J2022" s="52"/>
      <c r="K2022" s="52"/>
      <c r="L2022" s="52"/>
      <c r="M2022" s="52"/>
      <c r="N2022" s="52"/>
      <c r="O2022" s="52"/>
      <c r="P2022" s="52"/>
      <c r="Q2022" s="52"/>
      <c r="R2022" s="52"/>
      <c r="S2022" s="52"/>
      <c r="T2022" s="52"/>
      <c r="U2022" s="52"/>
      <c r="V2022" s="52"/>
      <c r="W2022" s="52"/>
      <c r="X2022" s="52"/>
      <c r="Y2022" s="52"/>
      <c r="Z2022" s="52"/>
      <c r="AA2022" s="52"/>
      <c r="AB2022" s="52"/>
      <c r="AC2022" s="52"/>
      <c r="AD2022" s="52"/>
      <c r="AE2022" s="52"/>
      <c r="AF2022" s="52"/>
      <c r="AG2022" s="52"/>
      <c r="AH2022" s="52"/>
      <c r="AI2022" s="52"/>
      <c r="AJ2022" s="52"/>
      <c r="AK2022" s="52"/>
      <c r="AL2022" s="52"/>
      <c r="AM2022" s="52"/>
      <c r="AN2022" s="52"/>
    </row>
    <row r="2023" spans="1:40" x14ac:dyDescent="0.3">
      <c r="A2023" s="52">
        <v>2018</v>
      </c>
      <c r="B2023" s="52">
        <f>-bthan*500+(17+0.5)*bthan*1000/50</f>
        <v>-825</v>
      </c>
      <c r="C2023" s="52">
        <f t="shared" si="216"/>
        <v>10</v>
      </c>
      <c r="D2023" s="52">
        <f t="shared" si="214"/>
        <v>2200</v>
      </c>
      <c r="E2023" s="52">
        <f t="shared" si="215"/>
        <v>1</v>
      </c>
      <c r="F2023" s="52"/>
      <c r="G2023" s="52"/>
      <c r="H2023" s="52"/>
      <c r="I2023" s="52"/>
      <c r="J2023" s="52"/>
      <c r="K2023" s="52"/>
      <c r="L2023" s="52"/>
      <c r="M2023" s="52"/>
      <c r="N2023" s="52"/>
      <c r="O2023" s="52"/>
      <c r="P2023" s="52"/>
      <c r="Q2023" s="52"/>
      <c r="R2023" s="52"/>
      <c r="S2023" s="52"/>
      <c r="T2023" s="52"/>
      <c r="U2023" s="52"/>
      <c r="V2023" s="52"/>
      <c r="W2023" s="52"/>
      <c r="X2023" s="52"/>
      <c r="Y2023" s="52"/>
      <c r="Z2023" s="52"/>
      <c r="AA2023" s="52"/>
      <c r="AB2023" s="52"/>
      <c r="AC2023" s="52"/>
      <c r="AD2023" s="52"/>
      <c r="AE2023" s="52"/>
      <c r="AF2023" s="52"/>
      <c r="AG2023" s="52"/>
      <c r="AH2023" s="52"/>
      <c r="AI2023" s="52"/>
      <c r="AJ2023" s="52"/>
      <c r="AK2023" s="52"/>
      <c r="AL2023" s="52"/>
      <c r="AM2023" s="52"/>
      <c r="AN2023" s="52"/>
    </row>
    <row r="2024" spans="1:40" x14ac:dyDescent="0.3">
      <c r="A2024" s="52">
        <v>2019</v>
      </c>
      <c r="B2024" s="52">
        <f>-bthan*500+(18+0.5)*bthan*1000/50</f>
        <v>-715</v>
      </c>
      <c r="C2024" s="52">
        <f t="shared" si="216"/>
        <v>10</v>
      </c>
      <c r="D2024" s="52">
        <f t="shared" si="214"/>
        <v>2200</v>
      </c>
      <c r="E2024" s="52">
        <f t="shared" si="215"/>
        <v>1</v>
      </c>
      <c r="F2024" s="52"/>
      <c r="G2024" s="52"/>
      <c r="H2024" s="52"/>
      <c r="I2024" s="52"/>
      <c r="J2024" s="52"/>
      <c r="K2024" s="52"/>
      <c r="L2024" s="52"/>
      <c r="M2024" s="52"/>
      <c r="N2024" s="52"/>
      <c r="O2024" s="52"/>
      <c r="P2024" s="52"/>
      <c r="Q2024" s="52"/>
      <c r="R2024" s="52"/>
      <c r="S2024" s="52"/>
      <c r="T2024" s="52"/>
      <c r="U2024" s="52"/>
      <c r="V2024" s="52"/>
      <c r="W2024" s="52"/>
      <c r="X2024" s="52"/>
      <c r="Y2024" s="52"/>
      <c r="Z2024" s="52"/>
      <c r="AA2024" s="52"/>
      <c r="AB2024" s="52"/>
      <c r="AC2024" s="52"/>
      <c r="AD2024" s="52"/>
      <c r="AE2024" s="52"/>
      <c r="AF2024" s="52"/>
      <c r="AG2024" s="52"/>
      <c r="AH2024" s="52"/>
      <c r="AI2024" s="52"/>
      <c r="AJ2024" s="52"/>
      <c r="AK2024" s="52"/>
      <c r="AL2024" s="52"/>
      <c r="AM2024" s="52"/>
      <c r="AN2024" s="52"/>
    </row>
    <row r="2025" spans="1:40" x14ac:dyDescent="0.3">
      <c r="A2025" s="52">
        <v>2020</v>
      </c>
      <c r="B2025" s="52">
        <f>-bthan*500+(19+0.5)*bthan*1000/50</f>
        <v>-605</v>
      </c>
      <c r="C2025" s="52">
        <f t="shared" si="216"/>
        <v>10</v>
      </c>
      <c r="D2025" s="52">
        <f t="shared" si="214"/>
        <v>2200</v>
      </c>
      <c r="E2025" s="52">
        <f t="shared" si="215"/>
        <v>1</v>
      </c>
      <c r="F2025" s="52"/>
      <c r="G2025" s="52"/>
      <c r="H2025" s="52"/>
      <c r="I2025" s="52"/>
      <c r="J2025" s="52"/>
      <c r="K2025" s="52"/>
      <c r="L2025" s="52"/>
      <c r="M2025" s="52"/>
      <c r="N2025" s="52"/>
      <c r="O2025" s="52"/>
      <c r="P2025" s="52"/>
      <c r="Q2025" s="52"/>
      <c r="R2025" s="52"/>
      <c r="S2025" s="52"/>
      <c r="T2025" s="52"/>
      <c r="U2025" s="52"/>
      <c r="V2025" s="52"/>
      <c r="W2025" s="52"/>
      <c r="X2025" s="52"/>
      <c r="Y2025" s="52"/>
      <c r="Z2025" s="52"/>
      <c r="AA2025" s="52"/>
      <c r="AB2025" s="52"/>
      <c r="AC2025" s="52"/>
      <c r="AD2025" s="52"/>
      <c r="AE2025" s="52"/>
      <c r="AF2025" s="52"/>
      <c r="AG2025" s="52"/>
      <c r="AH2025" s="52"/>
      <c r="AI2025" s="52"/>
      <c r="AJ2025" s="52"/>
      <c r="AK2025" s="52"/>
      <c r="AL2025" s="52"/>
      <c r="AM2025" s="52"/>
      <c r="AN2025" s="52"/>
    </row>
    <row r="2026" spans="1:40" x14ac:dyDescent="0.3">
      <c r="A2026" s="52">
        <v>2021</v>
      </c>
      <c r="B2026" s="52">
        <f>-bthan*500+(20+0.5)*bthan*1000/50</f>
        <v>-495</v>
      </c>
      <c r="C2026" s="52">
        <f t="shared" si="216"/>
        <v>10</v>
      </c>
      <c r="D2026" s="52">
        <f t="shared" si="214"/>
        <v>2200</v>
      </c>
      <c r="E2026" s="52">
        <f t="shared" si="215"/>
        <v>1</v>
      </c>
      <c r="F2026" s="52"/>
      <c r="G2026" s="52"/>
      <c r="H2026" s="52"/>
      <c r="I2026" s="52"/>
      <c r="J2026" s="52"/>
      <c r="K2026" s="52"/>
      <c r="L2026" s="52"/>
      <c r="M2026" s="52"/>
      <c r="N2026" s="52"/>
      <c r="O2026" s="52"/>
      <c r="P2026" s="52"/>
      <c r="Q2026" s="52"/>
      <c r="R2026" s="52"/>
      <c r="S2026" s="52"/>
      <c r="T2026" s="52"/>
      <c r="U2026" s="52"/>
      <c r="V2026" s="52"/>
      <c r="W2026" s="52"/>
      <c r="X2026" s="52"/>
      <c r="Y2026" s="52"/>
      <c r="Z2026" s="52"/>
      <c r="AA2026" s="52"/>
      <c r="AB2026" s="52"/>
      <c r="AC2026" s="52"/>
      <c r="AD2026" s="52"/>
      <c r="AE2026" s="52"/>
      <c r="AF2026" s="52"/>
      <c r="AG2026" s="52"/>
      <c r="AH2026" s="52"/>
      <c r="AI2026" s="52"/>
      <c r="AJ2026" s="52"/>
      <c r="AK2026" s="52"/>
      <c r="AL2026" s="52"/>
      <c r="AM2026" s="52"/>
      <c r="AN2026" s="52"/>
    </row>
    <row r="2027" spans="1:40" x14ac:dyDescent="0.3">
      <c r="A2027" s="52">
        <v>2022</v>
      </c>
      <c r="B2027" s="52">
        <f>-bthan*500+(21+0.5)*bthan*1000/50</f>
        <v>-385</v>
      </c>
      <c r="C2027" s="52">
        <f t="shared" si="216"/>
        <v>10</v>
      </c>
      <c r="D2027" s="52">
        <f t="shared" si="214"/>
        <v>2200</v>
      </c>
      <c r="E2027" s="52">
        <f t="shared" si="215"/>
        <v>1</v>
      </c>
      <c r="F2027" s="52"/>
      <c r="G2027" s="52"/>
      <c r="H2027" s="52"/>
      <c r="I2027" s="52"/>
      <c r="J2027" s="52"/>
      <c r="K2027" s="52"/>
      <c r="L2027" s="52"/>
      <c r="M2027" s="52"/>
      <c r="N2027" s="52"/>
      <c r="O2027" s="52"/>
      <c r="P2027" s="52"/>
      <c r="Q2027" s="52"/>
      <c r="R2027" s="52"/>
      <c r="S2027" s="52"/>
      <c r="T2027" s="52"/>
      <c r="U2027" s="52"/>
      <c r="V2027" s="52"/>
      <c r="W2027" s="52"/>
      <c r="X2027" s="52"/>
      <c r="Y2027" s="52"/>
      <c r="Z2027" s="52"/>
      <c r="AA2027" s="52"/>
      <c r="AB2027" s="52"/>
      <c r="AC2027" s="52"/>
      <c r="AD2027" s="52"/>
      <c r="AE2027" s="52"/>
      <c r="AF2027" s="52"/>
      <c r="AG2027" s="52"/>
      <c r="AH2027" s="52"/>
      <c r="AI2027" s="52"/>
      <c r="AJ2027" s="52"/>
      <c r="AK2027" s="52"/>
      <c r="AL2027" s="52"/>
      <c r="AM2027" s="52"/>
      <c r="AN2027" s="52"/>
    </row>
    <row r="2028" spans="1:40" x14ac:dyDescent="0.3">
      <c r="A2028" s="52">
        <v>2023</v>
      </c>
      <c r="B2028" s="52">
        <f>-bthan*500+(22+0.5)*bthan*1000/50</f>
        <v>-275</v>
      </c>
      <c r="C2028" s="52">
        <f t="shared" si="216"/>
        <v>10</v>
      </c>
      <c r="D2028" s="52">
        <f t="shared" si="214"/>
        <v>2200</v>
      </c>
      <c r="E2028" s="52">
        <f t="shared" si="215"/>
        <v>1</v>
      </c>
      <c r="F2028" s="52"/>
      <c r="G2028" s="52"/>
      <c r="H2028" s="52"/>
      <c r="I2028" s="52"/>
      <c r="J2028" s="52"/>
      <c r="K2028" s="52"/>
      <c r="L2028" s="52"/>
      <c r="M2028" s="52"/>
      <c r="N2028" s="52"/>
      <c r="O2028" s="52"/>
      <c r="P2028" s="52"/>
      <c r="Q2028" s="52"/>
      <c r="R2028" s="52"/>
      <c r="S2028" s="52"/>
      <c r="T2028" s="52"/>
      <c r="U2028" s="52"/>
      <c r="V2028" s="52"/>
      <c r="W2028" s="52"/>
      <c r="X2028" s="52"/>
      <c r="Y2028" s="52"/>
      <c r="Z2028" s="52"/>
      <c r="AA2028" s="52"/>
      <c r="AB2028" s="52"/>
      <c r="AC2028" s="52"/>
      <c r="AD2028" s="52"/>
      <c r="AE2028" s="52"/>
      <c r="AF2028" s="52"/>
      <c r="AG2028" s="52"/>
      <c r="AH2028" s="52"/>
      <c r="AI2028" s="52"/>
      <c r="AJ2028" s="52"/>
      <c r="AK2028" s="52"/>
      <c r="AL2028" s="52"/>
      <c r="AM2028" s="52"/>
      <c r="AN2028" s="52"/>
    </row>
    <row r="2029" spans="1:40" x14ac:dyDescent="0.3">
      <c r="A2029" s="52">
        <v>2024</v>
      </c>
      <c r="B2029" s="52">
        <f>-bthan*500+(23+0.5)*bthan*1000/50</f>
        <v>-165</v>
      </c>
      <c r="C2029" s="52">
        <f t="shared" si="216"/>
        <v>10</v>
      </c>
      <c r="D2029" s="52">
        <f t="shared" si="214"/>
        <v>2200</v>
      </c>
      <c r="E2029" s="52">
        <f t="shared" si="215"/>
        <v>1</v>
      </c>
      <c r="F2029" s="52"/>
      <c r="G2029" s="52"/>
      <c r="H2029" s="52"/>
      <c r="I2029" s="52"/>
      <c r="J2029" s="52"/>
      <c r="K2029" s="52"/>
      <c r="L2029" s="52"/>
      <c r="M2029" s="52"/>
      <c r="N2029" s="52"/>
      <c r="O2029" s="52"/>
      <c r="P2029" s="52"/>
      <c r="Q2029" s="52"/>
      <c r="R2029" s="52"/>
      <c r="S2029" s="52"/>
      <c r="T2029" s="52"/>
      <c r="U2029" s="52"/>
      <c r="V2029" s="52"/>
      <c r="W2029" s="52"/>
      <c r="X2029" s="52"/>
      <c r="Y2029" s="52"/>
      <c r="Z2029" s="52"/>
      <c r="AA2029" s="52"/>
      <c r="AB2029" s="52"/>
      <c r="AC2029" s="52"/>
      <c r="AD2029" s="52"/>
      <c r="AE2029" s="52"/>
      <c r="AF2029" s="52"/>
      <c r="AG2029" s="52"/>
      <c r="AH2029" s="52"/>
      <c r="AI2029" s="52"/>
      <c r="AJ2029" s="52"/>
      <c r="AK2029" s="52"/>
      <c r="AL2029" s="52"/>
      <c r="AM2029" s="52"/>
      <c r="AN2029" s="52"/>
    </row>
    <row r="2030" spans="1:40" x14ac:dyDescent="0.3">
      <c r="A2030" s="52">
        <v>2025</v>
      </c>
      <c r="B2030" s="52">
        <f>-bthan*500+(24+0.5)*bthan*1000/50</f>
        <v>-55</v>
      </c>
      <c r="C2030" s="52">
        <f t="shared" si="216"/>
        <v>10</v>
      </c>
      <c r="D2030" s="52">
        <f t="shared" si="214"/>
        <v>2200</v>
      </c>
      <c r="E2030" s="52">
        <f t="shared" si="215"/>
        <v>1</v>
      </c>
      <c r="F2030" s="52"/>
      <c r="G2030" s="52"/>
      <c r="H2030" s="52"/>
      <c r="I2030" s="52"/>
      <c r="J2030" s="52"/>
      <c r="K2030" s="52"/>
      <c r="L2030" s="52"/>
      <c r="M2030" s="52"/>
      <c r="N2030" s="52"/>
      <c r="O2030" s="52"/>
      <c r="P2030" s="52"/>
      <c r="Q2030" s="52"/>
      <c r="R2030" s="52"/>
      <c r="S2030" s="52"/>
      <c r="T2030" s="52"/>
      <c r="U2030" s="52"/>
      <c r="V2030" s="52"/>
      <c r="W2030" s="52"/>
      <c r="X2030" s="52"/>
      <c r="Y2030" s="52"/>
      <c r="Z2030" s="52"/>
      <c r="AA2030" s="52"/>
      <c r="AB2030" s="52"/>
      <c r="AC2030" s="52"/>
      <c r="AD2030" s="52"/>
      <c r="AE2030" s="52"/>
      <c r="AF2030" s="52"/>
      <c r="AG2030" s="52"/>
      <c r="AH2030" s="52"/>
      <c r="AI2030" s="52"/>
      <c r="AJ2030" s="52"/>
      <c r="AK2030" s="52"/>
      <c r="AL2030" s="52"/>
      <c r="AM2030" s="52"/>
      <c r="AN2030" s="52"/>
    </row>
    <row r="2031" spans="1:40" x14ac:dyDescent="0.3">
      <c r="A2031" s="52">
        <v>2026</v>
      </c>
      <c r="B2031" s="52">
        <f>-bthan*500+(25+0.5)*bthan*1000/50</f>
        <v>55</v>
      </c>
      <c r="C2031" s="52">
        <f t="shared" si="216"/>
        <v>10</v>
      </c>
      <c r="D2031" s="52">
        <f t="shared" si="214"/>
        <v>2200</v>
      </c>
      <c r="E2031" s="52">
        <f t="shared" si="215"/>
        <v>1</v>
      </c>
      <c r="F2031" s="52"/>
      <c r="G2031" s="52"/>
      <c r="H2031" s="52"/>
      <c r="I2031" s="52"/>
      <c r="J2031" s="52"/>
      <c r="K2031" s="52"/>
      <c r="L2031" s="52"/>
      <c r="M2031" s="52"/>
      <c r="N2031" s="52"/>
      <c r="O2031" s="52"/>
      <c r="P2031" s="52"/>
      <c r="Q2031" s="52"/>
      <c r="R2031" s="52"/>
      <c r="S2031" s="52"/>
      <c r="T2031" s="52"/>
      <c r="U2031" s="52"/>
      <c r="V2031" s="52"/>
      <c r="W2031" s="52"/>
      <c r="X2031" s="52"/>
      <c r="Y2031" s="52"/>
      <c r="Z2031" s="52"/>
      <c r="AA2031" s="52"/>
      <c r="AB2031" s="52"/>
      <c r="AC2031" s="52"/>
      <c r="AD2031" s="52"/>
      <c r="AE2031" s="52"/>
      <c r="AF2031" s="52"/>
      <c r="AG2031" s="52"/>
      <c r="AH2031" s="52"/>
      <c r="AI2031" s="52"/>
      <c r="AJ2031" s="52"/>
      <c r="AK2031" s="52"/>
      <c r="AL2031" s="52"/>
      <c r="AM2031" s="52"/>
      <c r="AN2031" s="52"/>
    </row>
    <row r="2032" spans="1:40" x14ac:dyDescent="0.3">
      <c r="A2032" s="52">
        <v>2027</v>
      </c>
      <c r="B2032" s="52">
        <f>-bthan*500+(26+0.5)*bthan*1000/50</f>
        <v>165</v>
      </c>
      <c r="C2032" s="52">
        <f t="shared" si="216"/>
        <v>10</v>
      </c>
      <c r="D2032" s="52">
        <f t="shared" si="214"/>
        <v>2200</v>
      </c>
      <c r="E2032" s="52">
        <f t="shared" si="215"/>
        <v>1</v>
      </c>
      <c r="F2032" s="52"/>
      <c r="G2032" s="52"/>
      <c r="H2032" s="52"/>
      <c r="I2032" s="52"/>
      <c r="J2032" s="52"/>
      <c r="K2032" s="52"/>
      <c r="L2032" s="52"/>
      <c r="M2032" s="52"/>
      <c r="N2032" s="52"/>
      <c r="O2032" s="52"/>
      <c r="P2032" s="52"/>
      <c r="Q2032" s="52"/>
      <c r="R2032" s="52"/>
      <c r="S2032" s="52"/>
      <c r="T2032" s="52"/>
      <c r="U2032" s="52"/>
      <c r="V2032" s="52"/>
      <c r="W2032" s="52"/>
      <c r="X2032" s="52"/>
      <c r="Y2032" s="52"/>
      <c r="Z2032" s="52"/>
      <c r="AA2032" s="52"/>
      <c r="AB2032" s="52"/>
      <c r="AC2032" s="52"/>
      <c r="AD2032" s="52"/>
      <c r="AE2032" s="52"/>
      <c r="AF2032" s="52"/>
      <c r="AG2032" s="52"/>
      <c r="AH2032" s="52"/>
      <c r="AI2032" s="52"/>
      <c r="AJ2032" s="52"/>
      <c r="AK2032" s="52"/>
      <c r="AL2032" s="52"/>
      <c r="AM2032" s="52"/>
      <c r="AN2032" s="52"/>
    </row>
    <row r="2033" spans="1:40" x14ac:dyDescent="0.3">
      <c r="A2033" s="52">
        <v>2028</v>
      </c>
      <c r="B2033" s="52">
        <f>-bthan*500+(27+0.5)*bthan*1000/50</f>
        <v>275</v>
      </c>
      <c r="C2033" s="52">
        <f t="shared" si="216"/>
        <v>10</v>
      </c>
      <c r="D2033" s="52">
        <f t="shared" si="214"/>
        <v>2200</v>
      </c>
      <c r="E2033" s="52">
        <f t="shared" si="215"/>
        <v>1</v>
      </c>
      <c r="F2033" s="52"/>
      <c r="G2033" s="52"/>
      <c r="H2033" s="52"/>
      <c r="I2033" s="52"/>
      <c r="J2033" s="52"/>
      <c r="K2033" s="52"/>
      <c r="L2033" s="52"/>
      <c r="M2033" s="52"/>
      <c r="N2033" s="52"/>
      <c r="O2033" s="52"/>
      <c r="P2033" s="52"/>
      <c r="Q2033" s="52"/>
      <c r="R2033" s="52"/>
      <c r="S2033" s="52"/>
      <c r="T2033" s="52"/>
      <c r="U2033" s="52"/>
      <c r="V2033" s="52"/>
      <c r="W2033" s="52"/>
      <c r="X2033" s="52"/>
      <c r="Y2033" s="52"/>
      <c r="Z2033" s="52"/>
      <c r="AA2033" s="52"/>
      <c r="AB2033" s="52"/>
      <c r="AC2033" s="52"/>
      <c r="AD2033" s="52"/>
      <c r="AE2033" s="52"/>
      <c r="AF2033" s="52"/>
      <c r="AG2033" s="52"/>
      <c r="AH2033" s="52"/>
      <c r="AI2033" s="52"/>
      <c r="AJ2033" s="52"/>
      <c r="AK2033" s="52"/>
      <c r="AL2033" s="52"/>
      <c r="AM2033" s="52"/>
      <c r="AN2033" s="52"/>
    </row>
    <row r="2034" spans="1:40" x14ac:dyDescent="0.3">
      <c r="A2034" s="52">
        <v>2029</v>
      </c>
      <c r="B2034" s="52">
        <f>-bthan*500+(28+0.5)*bthan*1000/50</f>
        <v>385</v>
      </c>
      <c r="C2034" s="52">
        <f t="shared" si="216"/>
        <v>10</v>
      </c>
      <c r="D2034" s="52">
        <f t="shared" si="214"/>
        <v>2200</v>
      </c>
      <c r="E2034" s="52">
        <f t="shared" si="215"/>
        <v>1</v>
      </c>
      <c r="F2034" s="52"/>
      <c r="G2034" s="52"/>
      <c r="H2034" s="52"/>
      <c r="I2034" s="52"/>
      <c r="J2034" s="52"/>
      <c r="K2034" s="52"/>
      <c r="L2034" s="52"/>
      <c r="M2034" s="52"/>
      <c r="N2034" s="52"/>
      <c r="O2034" s="52"/>
      <c r="P2034" s="52"/>
      <c r="Q2034" s="52"/>
      <c r="R2034" s="52"/>
      <c r="S2034" s="52"/>
      <c r="T2034" s="52"/>
      <c r="U2034" s="52"/>
      <c r="V2034" s="52"/>
      <c r="W2034" s="52"/>
      <c r="X2034" s="52"/>
      <c r="Y2034" s="52"/>
      <c r="Z2034" s="52"/>
      <c r="AA2034" s="52"/>
      <c r="AB2034" s="52"/>
      <c r="AC2034" s="52"/>
      <c r="AD2034" s="52"/>
      <c r="AE2034" s="52"/>
      <c r="AF2034" s="52"/>
      <c r="AG2034" s="52"/>
      <c r="AH2034" s="52"/>
      <c r="AI2034" s="52"/>
      <c r="AJ2034" s="52"/>
      <c r="AK2034" s="52"/>
      <c r="AL2034" s="52"/>
      <c r="AM2034" s="52"/>
      <c r="AN2034" s="52"/>
    </row>
    <row r="2035" spans="1:40" x14ac:dyDescent="0.3">
      <c r="A2035" s="52">
        <v>2030</v>
      </c>
      <c r="B2035" s="52">
        <f>-bthan*500+(29+0.5)*bthan*1000/50</f>
        <v>495</v>
      </c>
      <c r="C2035" s="52">
        <f t="shared" si="216"/>
        <v>10</v>
      </c>
      <c r="D2035" s="52">
        <f t="shared" si="214"/>
        <v>2200</v>
      </c>
      <c r="E2035" s="52">
        <f t="shared" si="215"/>
        <v>1</v>
      </c>
      <c r="F2035" s="52"/>
      <c r="G2035" s="52"/>
      <c r="H2035" s="52"/>
      <c r="I2035" s="52"/>
      <c r="J2035" s="52"/>
      <c r="K2035" s="52"/>
      <c r="L2035" s="52"/>
      <c r="M2035" s="52"/>
      <c r="N2035" s="52"/>
      <c r="O2035" s="52"/>
      <c r="P2035" s="52"/>
      <c r="Q2035" s="52"/>
      <c r="R2035" s="52"/>
      <c r="S2035" s="52"/>
      <c r="T2035" s="52"/>
      <c r="U2035" s="52"/>
      <c r="V2035" s="52"/>
      <c r="W2035" s="52"/>
      <c r="X2035" s="52"/>
      <c r="Y2035" s="52"/>
      <c r="Z2035" s="52"/>
      <c r="AA2035" s="52"/>
      <c r="AB2035" s="52"/>
      <c r="AC2035" s="52"/>
      <c r="AD2035" s="52"/>
      <c r="AE2035" s="52"/>
      <c r="AF2035" s="52"/>
      <c r="AG2035" s="52"/>
      <c r="AH2035" s="52"/>
      <c r="AI2035" s="52"/>
      <c r="AJ2035" s="52"/>
      <c r="AK2035" s="52"/>
      <c r="AL2035" s="52"/>
      <c r="AM2035" s="52"/>
      <c r="AN2035" s="52"/>
    </row>
    <row r="2036" spans="1:40" x14ac:dyDescent="0.3">
      <c r="A2036" s="52">
        <v>2031</v>
      </c>
      <c r="B2036" s="52">
        <f>-bthan*500+(30+0.5)*bthan*1000/50</f>
        <v>605</v>
      </c>
      <c r="C2036" s="52">
        <f t="shared" si="216"/>
        <v>10</v>
      </c>
      <c r="D2036" s="52">
        <f t="shared" si="214"/>
        <v>2200</v>
      </c>
      <c r="E2036" s="52">
        <f t="shared" si="215"/>
        <v>1</v>
      </c>
      <c r="F2036" s="52"/>
      <c r="G2036" s="52"/>
      <c r="H2036" s="52"/>
      <c r="I2036" s="52"/>
      <c r="J2036" s="52"/>
      <c r="K2036" s="52"/>
      <c r="L2036" s="52"/>
      <c r="M2036" s="52"/>
      <c r="N2036" s="52"/>
      <c r="O2036" s="52"/>
      <c r="P2036" s="52"/>
      <c r="Q2036" s="52"/>
      <c r="R2036" s="52"/>
      <c r="S2036" s="52"/>
      <c r="T2036" s="52"/>
      <c r="U2036" s="52"/>
      <c r="V2036" s="52"/>
      <c r="W2036" s="52"/>
      <c r="X2036" s="52"/>
      <c r="Y2036" s="52"/>
      <c r="Z2036" s="52"/>
      <c r="AA2036" s="52"/>
      <c r="AB2036" s="52"/>
      <c r="AC2036" s="52"/>
      <c r="AD2036" s="52"/>
      <c r="AE2036" s="52"/>
      <c r="AF2036" s="52"/>
      <c r="AG2036" s="52"/>
      <c r="AH2036" s="52"/>
      <c r="AI2036" s="52"/>
      <c r="AJ2036" s="52"/>
      <c r="AK2036" s="52"/>
      <c r="AL2036" s="52"/>
      <c r="AM2036" s="52"/>
      <c r="AN2036" s="52"/>
    </row>
    <row r="2037" spans="1:40" x14ac:dyDescent="0.3">
      <c r="A2037" s="52">
        <v>2032</v>
      </c>
      <c r="B2037" s="52">
        <f>-bthan*500+(31+0.5)*bthan*1000/50</f>
        <v>715</v>
      </c>
      <c r="C2037" s="52">
        <f t="shared" si="216"/>
        <v>10</v>
      </c>
      <c r="D2037" s="52">
        <f t="shared" si="214"/>
        <v>2200</v>
      </c>
      <c r="E2037" s="52">
        <f t="shared" si="215"/>
        <v>1</v>
      </c>
      <c r="F2037" s="52"/>
      <c r="G2037" s="52"/>
      <c r="H2037" s="52"/>
      <c r="I2037" s="52"/>
      <c r="J2037" s="52"/>
      <c r="K2037" s="52"/>
      <c r="L2037" s="52"/>
      <c r="M2037" s="52"/>
      <c r="N2037" s="52"/>
      <c r="O2037" s="52"/>
      <c r="P2037" s="52"/>
      <c r="Q2037" s="52"/>
      <c r="R2037" s="52"/>
      <c r="S2037" s="52"/>
      <c r="T2037" s="52"/>
      <c r="U2037" s="52"/>
      <c r="V2037" s="52"/>
      <c r="W2037" s="52"/>
      <c r="X2037" s="52"/>
      <c r="Y2037" s="52"/>
      <c r="Z2037" s="52"/>
      <c r="AA2037" s="52"/>
      <c r="AB2037" s="52"/>
      <c r="AC2037" s="52"/>
      <c r="AD2037" s="52"/>
      <c r="AE2037" s="52"/>
      <c r="AF2037" s="52"/>
      <c r="AG2037" s="52"/>
      <c r="AH2037" s="52"/>
      <c r="AI2037" s="52"/>
      <c r="AJ2037" s="52"/>
      <c r="AK2037" s="52"/>
      <c r="AL2037" s="52"/>
      <c r="AM2037" s="52"/>
      <c r="AN2037" s="52"/>
    </row>
    <row r="2038" spans="1:40" x14ac:dyDescent="0.3">
      <c r="A2038" s="52">
        <v>2033</v>
      </c>
      <c r="B2038" s="52">
        <f>-bthan*500+(32+0.5)*bthan*1000/50</f>
        <v>825</v>
      </c>
      <c r="C2038" s="52">
        <f t="shared" ref="C2038:C2055" si="217">-hthan*500+(40+0.5)*hthan*1000/80</f>
        <v>10</v>
      </c>
      <c r="D2038" s="52">
        <f t="shared" si="214"/>
        <v>2200</v>
      </c>
      <c r="E2038" s="52">
        <f t="shared" si="215"/>
        <v>1</v>
      </c>
      <c r="F2038" s="52"/>
      <c r="G2038" s="52"/>
      <c r="H2038" s="52"/>
      <c r="I2038" s="52"/>
      <c r="J2038" s="52"/>
      <c r="K2038" s="52"/>
      <c r="L2038" s="52"/>
      <c r="M2038" s="52"/>
      <c r="N2038" s="52"/>
      <c r="O2038" s="52"/>
      <c r="P2038" s="52"/>
      <c r="Q2038" s="52"/>
      <c r="R2038" s="52"/>
      <c r="S2038" s="52"/>
      <c r="T2038" s="52"/>
      <c r="U2038" s="52"/>
      <c r="V2038" s="52"/>
      <c r="W2038" s="52"/>
      <c r="X2038" s="52"/>
      <c r="Y2038" s="52"/>
      <c r="Z2038" s="52"/>
      <c r="AA2038" s="52"/>
      <c r="AB2038" s="52"/>
      <c r="AC2038" s="52"/>
      <c r="AD2038" s="52"/>
      <c r="AE2038" s="52"/>
      <c r="AF2038" s="52"/>
      <c r="AG2038" s="52"/>
      <c r="AH2038" s="52"/>
      <c r="AI2038" s="52"/>
      <c r="AJ2038" s="52"/>
      <c r="AK2038" s="52"/>
      <c r="AL2038" s="52"/>
      <c r="AM2038" s="52"/>
      <c r="AN2038" s="52"/>
    </row>
    <row r="2039" spans="1:40" x14ac:dyDescent="0.3">
      <c r="A2039" s="52">
        <v>2034</v>
      </c>
      <c r="B2039" s="52">
        <f>-bthan*500+(33+0.5)*bthan*1000/50</f>
        <v>935</v>
      </c>
      <c r="C2039" s="52">
        <f t="shared" si="217"/>
        <v>10</v>
      </c>
      <c r="D2039" s="52">
        <f t="shared" si="214"/>
        <v>2200</v>
      </c>
      <c r="E2039" s="52">
        <f t="shared" si="215"/>
        <v>1</v>
      </c>
      <c r="F2039" s="52"/>
      <c r="G2039" s="52"/>
      <c r="H2039" s="52"/>
      <c r="I2039" s="52"/>
      <c r="J2039" s="52"/>
      <c r="K2039" s="52"/>
      <c r="L2039" s="52"/>
      <c r="M2039" s="52"/>
      <c r="N2039" s="52"/>
      <c r="O2039" s="52"/>
      <c r="P2039" s="52"/>
      <c r="Q2039" s="52"/>
      <c r="R2039" s="52"/>
      <c r="S2039" s="52"/>
      <c r="T2039" s="52"/>
      <c r="U2039" s="52"/>
      <c r="V2039" s="52"/>
      <c r="W2039" s="52"/>
      <c r="X2039" s="52"/>
      <c r="Y2039" s="52"/>
      <c r="Z2039" s="52"/>
      <c r="AA2039" s="52"/>
      <c r="AB2039" s="52"/>
      <c r="AC2039" s="52"/>
      <c r="AD2039" s="52"/>
      <c r="AE2039" s="52"/>
      <c r="AF2039" s="52"/>
      <c r="AG2039" s="52"/>
      <c r="AH2039" s="52"/>
      <c r="AI2039" s="52"/>
      <c r="AJ2039" s="52"/>
      <c r="AK2039" s="52"/>
      <c r="AL2039" s="52"/>
      <c r="AM2039" s="52"/>
      <c r="AN2039" s="52"/>
    </row>
    <row r="2040" spans="1:40" x14ac:dyDescent="0.3">
      <c r="A2040" s="52">
        <v>2035</v>
      </c>
      <c r="B2040" s="52">
        <f>-bthan*500+(34+0.5)*bthan*1000/50</f>
        <v>1045</v>
      </c>
      <c r="C2040" s="52">
        <f t="shared" si="217"/>
        <v>10</v>
      </c>
      <c r="D2040" s="52">
        <f t="shared" si="214"/>
        <v>2200</v>
      </c>
      <c r="E2040" s="52">
        <f t="shared" si="215"/>
        <v>1</v>
      </c>
      <c r="F2040" s="52"/>
      <c r="G2040" s="52"/>
      <c r="H2040" s="52"/>
      <c r="I2040" s="52"/>
      <c r="J2040" s="52"/>
      <c r="K2040" s="52"/>
      <c r="L2040" s="52"/>
      <c r="M2040" s="52"/>
      <c r="N2040" s="52"/>
      <c r="O2040" s="52"/>
      <c r="P2040" s="52"/>
      <c r="Q2040" s="52"/>
      <c r="R2040" s="52"/>
      <c r="S2040" s="52"/>
      <c r="T2040" s="52"/>
      <c r="U2040" s="52"/>
      <c r="V2040" s="52"/>
      <c r="W2040" s="52"/>
      <c r="X2040" s="52"/>
      <c r="Y2040" s="52"/>
      <c r="Z2040" s="52"/>
      <c r="AA2040" s="52"/>
      <c r="AB2040" s="52"/>
      <c r="AC2040" s="52"/>
      <c r="AD2040" s="52"/>
      <c r="AE2040" s="52"/>
      <c r="AF2040" s="52"/>
      <c r="AG2040" s="52"/>
      <c r="AH2040" s="52"/>
      <c r="AI2040" s="52"/>
      <c r="AJ2040" s="52"/>
      <c r="AK2040" s="52"/>
      <c r="AL2040" s="52"/>
      <c r="AM2040" s="52"/>
      <c r="AN2040" s="52"/>
    </row>
    <row r="2041" spans="1:40" x14ac:dyDescent="0.3">
      <c r="A2041" s="52">
        <v>2036</v>
      </c>
      <c r="B2041" s="52">
        <f>-bthan*500+(35+0.5)*bthan*1000/50</f>
        <v>1155</v>
      </c>
      <c r="C2041" s="52">
        <f t="shared" si="217"/>
        <v>10</v>
      </c>
      <c r="D2041" s="52">
        <f t="shared" si="214"/>
        <v>2200</v>
      </c>
      <c r="E2041" s="52">
        <f t="shared" si="215"/>
        <v>1</v>
      </c>
      <c r="F2041" s="52"/>
      <c r="G2041" s="52"/>
      <c r="H2041" s="52"/>
      <c r="I2041" s="52"/>
      <c r="J2041" s="52"/>
      <c r="K2041" s="52"/>
      <c r="L2041" s="52"/>
      <c r="M2041" s="52"/>
      <c r="N2041" s="52"/>
      <c r="O2041" s="52"/>
      <c r="P2041" s="52"/>
      <c r="Q2041" s="52"/>
      <c r="R2041" s="52"/>
      <c r="S2041" s="52"/>
      <c r="T2041" s="52"/>
      <c r="U2041" s="52"/>
      <c r="V2041" s="52"/>
      <c r="W2041" s="52"/>
      <c r="X2041" s="52"/>
      <c r="Y2041" s="52"/>
      <c r="Z2041" s="52"/>
      <c r="AA2041" s="52"/>
      <c r="AB2041" s="52"/>
      <c r="AC2041" s="52"/>
      <c r="AD2041" s="52"/>
      <c r="AE2041" s="52"/>
      <c r="AF2041" s="52"/>
      <c r="AG2041" s="52"/>
      <c r="AH2041" s="52"/>
      <c r="AI2041" s="52"/>
      <c r="AJ2041" s="52"/>
      <c r="AK2041" s="52"/>
      <c r="AL2041" s="52"/>
      <c r="AM2041" s="52"/>
      <c r="AN2041" s="52"/>
    </row>
    <row r="2042" spans="1:40" x14ac:dyDescent="0.3">
      <c r="A2042" s="52">
        <v>2037</v>
      </c>
      <c r="B2042" s="52">
        <f>-bthan*500+(36+0.5)*bthan*1000/50</f>
        <v>1265</v>
      </c>
      <c r="C2042" s="52">
        <f t="shared" si="217"/>
        <v>10</v>
      </c>
      <c r="D2042" s="52">
        <f t="shared" si="214"/>
        <v>2200</v>
      </c>
      <c r="E2042" s="52">
        <f t="shared" si="215"/>
        <v>1</v>
      </c>
      <c r="F2042" s="52"/>
      <c r="G2042" s="52"/>
      <c r="H2042" s="52"/>
      <c r="I2042" s="52"/>
      <c r="J2042" s="52"/>
      <c r="K2042" s="52"/>
      <c r="L2042" s="52"/>
      <c r="M2042" s="52"/>
      <c r="N2042" s="52"/>
      <c r="O2042" s="52"/>
      <c r="P2042" s="52"/>
      <c r="Q2042" s="52"/>
      <c r="R2042" s="52"/>
      <c r="S2042" s="52"/>
      <c r="T2042" s="52"/>
      <c r="U2042" s="52"/>
      <c r="V2042" s="52"/>
      <c r="W2042" s="52"/>
      <c r="X2042" s="52"/>
      <c r="Y2042" s="52"/>
      <c r="Z2042" s="52"/>
      <c r="AA2042" s="52"/>
      <c r="AB2042" s="52"/>
      <c r="AC2042" s="52"/>
      <c r="AD2042" s="52"/>
      <c r="AE2042" s="52"/>
      <c r="AF2042" s="52"/>
      <c r="AG2042" s="52"/>
      <c r="AH2042" s="52"/>
      <c r="AI2042" s="52"/>
      <c r="AJ2042" s="52"/>
      <c r="AK2042" s="52"/>
      <c r="AL2042" s="52"/>
      <c r="AM2042" s="52"/>
      <c r="AN2042" s="52"/>
    </row>
    <row r="2043" spans="1:40" x14ac:dyDescent="0.3">
      <c r="A2043" s="52">
        <v>2038</v>
      </c>
      <c r="B2043" s="52">
        <f>-bthan*500+(37+0.5)*bthan*1000/50</f>
        <v>1375</v>
      </c>
      <c r="C2043" s="52">
        <f t="shared" si="217"/>
        <v>10</v>
      </c>
      <c r="D2043" s="52">
        <f t="shared" si="214"/>
        <v>2200</v>
      </c>
      <c r="E2043" s="52">
        <f t="shared" si="215"/>
        <v>1</v>
      </c>
      <c r="F2043" s="52"/>
      <c r="G2043" s="52"/>
      <c r="H2043" s="52"/>
      <c r="I2043" s="52"/>
      <c r="J2043" s="52"/>
      <c r="K2043" s="52"/>
      <c r="L2043" s="52"/>
      <c r="M2043" s="52"/>
      <c r="N2043" s="52"/>
      <c r="O2043" s="52"/>
      <c r="P2043" s="52"/>
      <c r="Q2043" s="52"/>
      <c r="R2043" s="52"/>
      <c r="S2043" s="52"/>
      <c r="T2043" s="52"/>
      <c r="U2043" s="52"/>
      <c r="V2043" s="52"/>
      <c r="W2043" s="52"/>
      <c r="X2043" s="52"/>
      <c r="Y2043" s="52"/>
      <c r="Z2043" s="52"/>
      <c r="AA2043" s="52"/>
      <c r="AB2043" s="52"/>
      <c r="AC2043" s="52"/>
      <c r="AD2043" s="52"/>
      <c r="AE2043" s="52"/>
      <c r="AF2043" s="52"/>
      <c r="AG2043" s="52"/>
      <c r="AH2043" s="52"/>
      <c r="AI2043" s="52"/>
      <c r="AJ2043" s="52"/>
      <c r="AK2043" s="52"/>
      <c r="AL2043" s="52"/>
      <c r="AM2043" s="52"/>
      <c r="AN2043" s="52"/>
    </row>
    <row r="2044" spans="1:40" x14ac:dyDescent="0.3">
      <c r="A2044" s="52">
        <v>2039</v>
      </c>
      <c r="B2044" s="52">
        <f>-bthan*500+(38+0.5)*bthan*1000/50</f>
        <v>1485</v>
      </c>
      <c r="C2044" s="52">
        <f t="shared" si="217"/>
        <v>10</v>
      </c>
      <c r="D2044" s="52">
        <f t="shared" si="214"/>
        <v>2200</v>
      </c>
      <c r="E2044" s="52">
        <f t="shared" si="215"/>
        <v>1</v>
      </c>
      <c r="F2044" s="52"/>
      <c r="G2044" s="52"/>
      <c r="H2044" s="52"/>
      <c r="I2044" s="52"/>
      <c r="J2044" s="52"/>
      <c r="K2044" s="52"/>
      <c r="L2044" s="52"/>
      <c r="M2044" s="52"/>
      <c r="N2044" s="52"/>
      <c r="O2044" s="52"/>
      <c r="P2044" s="52"/>
      <c r="Q2044" s="52"/>
      <c r="R2044" s="52"/>
      <c r="S2044" s="52"/>
      <c r="T2044" s="52"/>
      <c r="U2044" s="52"/>
      <c r="V2044" s="52"/>
      <c r="W2044" s="52"/>
      <c r="X2044" s="52"/>
      <c r="Y2044" s="52"/>
      <c r="Z2044" s="52"/>
      <c r="AA2044" s="52"/>
      <c r="AB2044" s="52"/>
      <c r="AC2044" s="52"/>
      <c r="AD2044" s="52"/>
      <c r="AE2044" s="52"/>
      <c r="AF2044" s="52"/>
      <c r="AG2044" s="52"/>
      <c r="AH2044" s="52"/>
      <c r="AI2044" s="52"/>
      <c r="AJ2044" s="52"/>
      <c r="AK2044" s="52"/>
      <c r="AL2044" s="52"/>
      <c r="AM2044" s="52"/>
      <c r="AN2044" s="52"/>
    </row>
    <row r="2045" spans="1:40" x14ac:dyDescent="0.3">
      <c r="A2045" s="52">
        <v>2040</v>
      </c>
      <c r="B2045" s="52">
        <f>-bthan*500+(39+0.5)*bthan*1000/50</f>
        <v>1595</v>
      </c>
      <c r="C2045" s="52">
        <f t="shared" si="217"/>
        <v>10</v>
      </c>
      <c r="D2045" s="52">
        <f t="shared" si="214"/>
        <v>2200</v>
      </c>
      <c r="E2045" s="52">
        <f t="shared" si="215"/>
        <v>1</v>
      </c>
      <c r="F2045" s="52"/>
      <c r="G2045" s="52"/>
      <c r="H2045" s="52"/>
      <c r="I2045" s="52"/>
      <c r="J2045" s="52"/>
      <c r="K2045" s="52"/>
      <c r="L2045" s="52"/>
      <c r="M2045" s="52"/>
      <c r="N2045" s="52"/>
      <c r="O2045" s="52"/>
      <c r="P2045" s="52"/>
      <c r="Q2045" s="52"/>
      <c r="R2045" s="52"/>
      <c r="S2045" s="52"/>
      <c r="T2045" s="52"/>
      <c r="U2045" s="52"/>
      <c r="V2045" s="52"/>
      <c r="W2045" s="52"/>
      <c r="X2045" s="52"/>
      <c r="Y2045" s="52"/>
      <c r="Z2045" s="52"/>
      <c r="AA2045" s="52"/>
      <c r="AB2045" s="52"/>
      <c r="AC2045" s="52"/>
      <c r="AD2045" s="52"/>
      <c r="AE2045" s="52"/>
      <c r="AF2045" s="52"/>
      <c r="AG2045" s="52"/>
      <c r="AH2045" s="52"/>
      <c r="AI2045" s="52"/>
      <c r="AJ2045" s="52"/>
      <c r="AK2045" s="52"/>
      <c r="AL2045" s="52"/>
      <c r="AM2045" s="52"/>
      <c r="AN2045" s="52"/>
    </row>
    <row r="2046" spans="1:40" x14ac:dyDescent="0.3">
      <c r="A2046" s="52">
        <v>2041</v>
      </c>
      <c r="B2046" s="52">
        <f>-bthan*500+(40+0.5)*bthan*1000/50</f>
        <v>1705</v>
      </c>
      <c r="C2046" s="52">
        <f t="shared" si="217"/>
        <v>10</v>
      </c>
      <c r="D2046" s="52">
        <f t="shared" si="214"/>
        <v>2200</v>
      </c>
      <c r="E2046" s="52">
        <f t="shared" si="215"/>
        <v>1</v>
      </c>
      <c r="F2046" s="52"/>
      <c r="G2046" s="52"/>
      <c r="H2046" s="52"/>
      <c r="I2046" s="52"/>
      <c r="J2046" s="52"/>
      <c r="K2046" s="52"/>
      <c r="L2046" s="52"/>
      <c r="M2046" s="52"/>
      <c r="N2046" s="52"/>
      <c r="O2046" s="52"/>
      <c r="P2046" s="52"/>
      <c r="Q2046" s="52"/>
      <c r="R2046" s="52"/>
      <c r="S2046" s="52"/>
      <c r="T2046" s="52"/>
      <c r="U2046" s="52"/>
      <c r="V2046" s="52"/>
      <c r="W2046" s="52"/>
      <c r="X2046" s="52"/>
      <c r="Y2046" s="52"/>
      <c r="Z2046" s="52"/>
      <c r="AA2046" s="52"/>
      <c r="AB2046" s="52"/>
      <c r="AC2046" s="52"/>
      <c r="AD2046" s="52"/>
      <c r="AE2046" s="52"/>
      <c r="AF2046" s="52"/>
      <c r="AG2046" s="52"/>
      <c r="AH2046" s="52"/>
      <c r="AI2046" s="52"/>
      <c r="AJ2046" s="52"/>
      <c r="AK2046" s="52"/>
      <c r="AL2046" s="52"/>
      <c r="AM2046" s="52"/>
      <c r="AN2046" s="52"/>
    </row>
    <row r="2047" spans="1:40" x14ac:dyDescent="0.3">
      <c r="A2047" s="52">
        <v>2042</v>
      </c>
      <c r="B2047" s="52">
        <f>-bthan*500+(41+0.5)*bthan*1000/50</f>
        <v>1815</v>
      </c>
      <c r="C2047" s="52">
        <f t="shared" si="217"/>
        <v>10</v>
      </c>
      <c r="D2047" s="52">
        <f t="shared" si="214"/>
        <v>2200</v>
      </c>
      <c r="E2047" s="52">
        <f t="shared" si="215"/>
        <v>1</v>
      </c>
      <c r="F2047" s="52"/>
      <c r="G2047" s="52"/>
      <c r="H2047" s="52"/>
      <c r="I2047" s="52"/>
      <c r="J2047" s="52"/>
      <c r="K2047" s="52"/>
      <c r="L2047" s="52"/>
      <c r="M2047" s="52"/>
      <c r="N2047" s="52"/>
      <c r="O2047" s="52"/>
      <c r="P2047" s="52"/>
      <c r="Q2047" s="52"/>
      <c r="R2047" s="52"/>
      <c r="S2047" s="52"/>
      <c r="T2047" s="52"/>
      <c r="U2047" s="52"/>
      <c r="V2047" s="52"/>
      <c r="W2047" s="52"/>
      <c r="X2047" s="52"/>
      <c r="Y2047" s="52"/>
      <c r="Z2047" s="52"/>
      <c r="AA2047" s="52"/>
      <c r="AB2047" s="52"/>
      <c r="AC2047" s="52"/>
      <c r="AD2047" s="52"/>
      <c r="AE2047" s="52"/>
      <c r="AF2047" s="52"/>
      <c r="AG2047" s="52"/>
      <c r="AH2047" s="52"/>
      <c r="AI2047" s="52"/>
      <c r="AJ2047" s="52"/>
      <c r="AK2047" s="52"/>
      <c r="AL2047" s="52"/>
      <c r="AM2047" s="52"/>
      <c r="AN2047" s="52"/>
    </row>
    <row r="2048" spans="1:40" x14ac:dyDescent="0.3">
      <c r="A2048" s="52">
        <v>2043</v>
      </c>
      <c r="B2048" s="52">
        <f>-bthan*500+(42+0.5)*bthan*1000/50</f>
        <v>1925</v>
      </c>
      <c r="C2048" s="52">
        <f t="shared" si="217"/>
        <v>10</v>
      </c>
      <c r="D2048" s="52">
        <f t="shared" si="214"/>
        <v>2200</v>
      </c>
      <c r="E2048" s="52">
        <f t="shared" si="215"/>
        <v>1</v>
      </c>
      <c r="F2048" s="52"/>
      <c r="G2048" s="52"/>
      <c r="H2048" s="52"/>
      <c r="I2048" s="52"/>
      <c r="J2048" s="52"/>
      <c r="K2048" s="52"/>
      <c r="L2048" s="52"/>
      <c r="M2048" s="52"/>
      <c r="N2048" s="52"/>
      <c r="O2048" s="52"/>
      <c r="P2048" s="52"/>
      <c r="Q2048" s="52"/>
      <c r="R2048" s="52"/>
      <c r="S2048" s="52"/>
      <c r="T2048" s="52"/>
      <c r="U2048" s="52"/>
      <c r="V2048" s="52"/>
      <c r="W2048" s="52"/>
      <c r="X2048" s="52"/>
      <c r="Y2048" s="52"/>
      <c r="Z2048" s="52"/>
      <c r="AA2048" s="52"/>
      <c r="AB2048" s="52"/>
      <c r="AC2048" s="52"/>
      <c r="AD2048" s="52"/>
      <c r="AE2048" s="52"/>
      <c r="AF2048" s="52"/>
      <c r="AG2048" s="52"/>
      <c r="AH2048" s="52"/>
      <c r="AI2048" s="52"/>
      <c r="AJ2048" s="52"/>
      <c r="AK2048" s="52"/>
      <c r="AL2048" s="52"/>
      <c r="AM2048" s="52"/>
      <c r="AN2048" s="52"/>
    </row>
    <row r="2049" spans="1:40" x14ac:dyDescent="0.3">
      <c r="A2049" s="52">
        <v>2044</v>
      </c>
      <c r="B2049" s="52">
        <f>-bthan*500+(43+0.5)*bthan*1000/50</f>
        <v>2035</v>
      </c>
      <c r="C2049" s="52">
        <f t="shared" si="217"/>
        <v>10</v>
      </c>
      <c r="D2049" s="52">
        <f t="shared" si="214"/>
        <v>2200</v>
      </c>
      <c r="E2049" s="52">
        <f t="shared" si="215"/>
        <v>1</v>
      </c>
      <c r="F2049" s="52"/>
      <c r="G2049" s="52"/>
      <c r="H2049" s="52"/>
      <c r="I2049" s="52"/>
      <c r="J2049" s="52"/>
      <c r="K2049" s="52"/>
      <c r="L2049" s="52"/>
      <c r="M2049" s="52"/>
      <c r="N2049" s="52"/>
      <c r="O2049" s="52"/>
      <c r="P2049" s="52"/>
      <c r="Q2049" s="52"/>
      <c r="R2049" s="52"/>
      <c r="S2049" s="52"/>
      <c r="T2049" s="52"/>
      <c r="U2049" s="52"/>
      <c r="V2049" s="52"/>
      <c r="W2049" s="52"/>
      <c r="X2049" s="52"/>
      <c r="Y2049" s="52"/>
      <c r="Z2049" s="52"/>
      <c r="AA2049" s="52"/>
      <c r="AB2049" s="52"/>
      <c r="AC2049" s="52"/>
      <c r="AD2049" s="52"/>
      <c r="AE2049" s="52"/>
      <c r="AF2049" s="52"/>
      <c r="AG2049" s="52"/>
      <c r="AH2049" s="52"/>
      <c r="AI2049" s="52"/>
      <c r="AJ2049" s="52"/>
      <c r="AK2049" s="52"/>
      <c r="AL2049" s="52"/>
      <c r="AM2049" s="52"/>
      <c r="AN2049" s="52"/>
    </row>
    <row r="2050" spans="1:40" x14ac:dyDescent="0.3">
      <c r="A2050" s="52">
        <v>2045</v>
      </c>
      <c r="B2050" s="52">
        <f>-bthan*500+(44+0.5)*bthan*1000/50</f>
        <v>2145</v>
      </c>
      <c r="C2050" s="52">
        <f t="shared" si="217"/>
        <v>10</v>
      </c>
      <c r="D2050" s="52">
        <f t="shared" si="214"/>
        <v>2200</v>
      </c>
      <c r="E2050" s="52">
        <f t="shared" si="215"/>
        <v>1</v>
      </c>
      <c r="F2050" s="52"/>
      <c r="G2050" s="52"/>
      <c r="H2050" s="52"/>
      <c r="I2050" s="52"/>
      <c r="J2050" s="52"/>
      <c r="K2050" s="52"/>
      <c r="L2050" s="52"/>
      <c r="M2050" s="52"/>
      <c r="N2050" s="52"/>
      <c r="O2050" s="52"/>
      <c r="P2050" s="52"/>
      <c r="Q2050" s="52"/>
      <c r="R2050" s="52"/>
      <c r="S2050" s="52"/>
      <c r="T2050" s="52"/>
      <c r="U2050" s="52"/>
      <c r="V2050" s="52"/>
      <c r="W2050" s="52"/>
      <c r="X2050" s="52"/>
      <c r="Y2050" s="52"/>
      <c r="Z2050" s="52"/>
      <c r="AA2050" s="52"/>
      <c r="AB2050" s="52"/>
      <c r="AC2050" s="52"/>
      <c r="AD2050" s="52"/>
      <c r="AE2050" s="52"/>
      <c r="AF2050" s="52"/>
      <c r="AG2050" s="52"/>
      <c r="AH2050" s="52"/>
      <c r="AI2050" s="52"/>
      <c r="AJ2050" s="52"/>
      <c r="AK2050" s="52"/>
      <c r="AL2050" s="52"/>
      <c r="AM2050" s="52"/>
      <c r="AN2050" s="52"/>
    </row>
    <row r="2051" spans="1:40" x14ac:dyDescent="0.3">
      <c r="A2051" s="52">
        <v>2046</v>
      </c>
      <c r="B2051" s="52">
        <f>-bthan*500+(45+0.5)*bthan*1000/50</f>
        <v>2255</v>
      </c>
      <c r="C2051" s="52">
        <f t="shared" si="217"/>
        <v>10</v>
      </c>
      <c r="D2051" s="52">
        <f t="shared" si="214"/>
        <v>2200</v>
      </c>
      <c r="E2051" s="52">
        <f t="shared" si="215"/>
        <v>1</v>
      </c>
      <c r="F2051" s="52"/>
      <c r="G2051" s="52"/>
      <c r="H2051" s="52"/>
      <c r="I2051" s="52"/>
      <c r="J2051" s="52"/>
      <c r="K2051" s="52"/>
      <c r="L2051" s="52"/>
      <c r="M2051" s="52"/>
      <c r="N2051" s="52"/>
      <c r="O2051" s="52"/>
      <c r="P2051" s="52"/>
      <c r="Q2051" s="52"/>
      <c r="R2051" s="52"/>
      <c r="S2051" s="52"/>
      <c r="T2051" s="52"/>
      <c r="U2051" s="52"/>
      <c r="V2051" s="52"/>
      <c r="W2051" s="52"/>
      <c r="X2051" s="52"/>
      <c r="Y2051" s="52"/>
      <c r="Z2051" s="52"/>
      <c r="AA2051" s="52"/>
      <c r="AB2051" s="52"/>
      <c r="AC2051" s="52"/>
      <c r="AD2051" s="52"/>
      <c r="AE2051" s="52"/>
      <c r="AF2051" s="52"/>
      <c r="AG2051" s="52"/>
      <c r="AH2051" s="52"/>
      <c r="AI2051" s="52"/>
      <c r="AJ2051" s="52"/>
      <c r="AK2051" s="52"/>
      <c r="AL2051" s="52"/>
      <c r="AM2051" s="52"/>
      <c r="AN2051" s="52"/>
    </row>
    <row r="2052" spans="1:40" x14ac:dyDescent="0.3">
      <c r="A2052" s="52">
        <v>2047</v>
      </c>
      <c r="B2052" s="52">
        <f>-bthan*500+(46+0.5)*bthan*1000/50</f>
        <v>2365</v>
      </c>
      <c r="C2052" s="52">
        <f t="shared" si="217"/>
        <v>10</v>
      </c>
      <c r="D2052" s="52">
        <f t="shared" si="214"/>
        <v>2200</v>
      </c>
      <c r="E2052" s="52">
        <f t="shared" si="215"/>
        <v>1</v>
      </c>
      <c r="F2052" s="52"/>
      <c r="G2052" s="52"/>
      <c r="H2052" s="52"/>
      <c r="I2052" s="52"/>
      <c r="J2052" s="52"/>
      <c r="K2052" s="52"/>
      <c r="L2052" s="52"/>
      <c r="M2052" s="52"/>
      <c r="N2052" s="52"/>
      <c r="O2052" s="52"/>
      <c r="P2052" s="52"/>
      <c r="Q2052" s="52"/>
      <c r="R2052" s="52"/>
      <c r="S2052" s="52"/>
      <c r="T2052" s="52"/>
      <c r="U2052" s="52"/>
      <c r="V2052" s="52"/>
      <c r="W2052" s="52"/>
      <c r="X2052" s="52"/>
      <c r="Y2052" s="52"/>
      <c r="Z2052" s="52"/>
      <c r="AA2052" s="52"/>
      <c r="AB2052" s="52"/>
      <c r="AC2052" s="52"/>
      <c r="AD2052" s="52"/>
      <c r="AE2052" s="52"/>
      <c r="AF2052" s="52"/>
      <c r="AG2052" s="52"/>
      <c r="AH2052" s="52"/>
      <c r="AI2052" s="52"/>
      <c r="AJ2052" s="52"/>
      <c r="AK2052" s="52"/>
      <c r="AL2052" s="52"/>
      <c r="AM2052" s="52"/>
      <c r="AN2052" s="52"/>
    </row>
    <row r="2053" spans="1:40" x14ac:dyDescent="0.3">
      <c r="A2053" s="52">
        <v>2048</v>
      </c>
      <c r="B2053" s="52">
        <f>-bthan*500+(47+0.5)*bthan*1000/50</f>
        <v>2475</v>
      </c>
      <c r="C2053" s="52">
        <f t="shared" si="217"/>
        <v>10</v>
      </c>
      <c r="D2053" s="52">
        <f t="shared" si="214"/>
        <v>2200</v>
      </c>
      <c r="E2053" s="52">
        <f t="shared" si="215"/>
        <v>1</v>
      </c>
      <c r="F2053" s="52"/>
      <c r="G2053" s="52"/>
      <c r="H2053" s="52"/>
      <c r="I2053" s="52"/>
      <c r="J2053" s="52"/>
      <c r="K2053" s="52"/>
      <c r="L2053" s="52"/>
      <c r="M2053" s="52"/>
      <c r="N2053" s="52"/>
      <c r="O2053" s="52"/>
      <c r="P2053" s="52"/>
      <c r="Q2053" s="52"/>
      <c r="R2053" s="52"/>
      <c r="S2053" s="52"/>
      <c r="T2053" s="52"/>
      <c r="U2053" s="52"/>
      <c r="V2053" s="52"/>
      <c r="W2053" s="52"/>
      <c r="X2053" s="52"/>
      <c r="Y2053" s="52"/>
      <c r="Z2053" s="52"/>
      <c r="AA2053" s="52"/>
      <c r="AB2053" s="52"/>
      <c r="AC2053" s="52"/>
      <c r="AD2053" s="52"/>
      <c r="AE2053" s="52"/>
      <c r="AF2053" s="52"/>
      <c r="AG2053" s="52"/>
      <c r="AH2053" s="52"/>
      <c r="AI2053" s="52"/>
      <c r="AJ2053" s="52"/>
      <c r="AK2053" s="52"/>
      <c r="AL2053" s="52"/>
      <c r="AM2053" s="52"/>
      <c r="AN2053" s="52"/>
    </row>
    <row r="2054" spans="1:40" x14ac:dyDescent="0.3">
      <c r="A2054" s="52">
        <v>2049</v>
      </c>
      <c r="B2054" s="52">
        <f>-bthan*500+(48+0.5)*bthan*1000/50</f>
        <v>2585</v>
      </c>
      <c r="C2054" s="52">
        <f t="shared" si="217"/>
        <v>10</v>
      </c>
      <c r="D2054" s="52">
        <f t="shared" ref="D2054:D2117" si="218">bthan*1000/50*hthan*1000/80</f>
        <v>2200</v>
      </c>
      <c r="E2054" s="52">
        <f t="shared" ref="E2054:E2117" si="219">IF(shp=1,--(OR(ABS(B2054)&lt;=MAX(0,(bthan-hthan)*500),(ABS(B2054)-MAX(0,(bthan-hthan)*500))^2+C2054^2&lt;=(hthan*500)^2)),--(AND(ABS(B2054)&lt;=bthan*500,ABS(C2054)&lt;=hthan*500,OR(ABS(B2054)&lt;=bthan*500-cch*1000,ABS(C2054)&lt;=hthan*500-cch*1000,(bthan*500-ABS(B2054))+(hthan*500-ABS(C2054))&gt;=cch*1000))))</f>
        <v>1</v>
      </c>
      <c r="F2054" s="52"/>
      <c r="G2054" s="52"/>
      <c r="H2054" s="52"/>
      <c r="I2054" s="52"/>
      <c r="J2054" s="52"/>
      <c r="K2054" s="52"/>
      <c r="L2054" s="52"/>
      <c r="M2054" s="52"/>
      <c r="N2054" s="52"/>
      <c r="O2054" s="52"/>
      <c r="P2054" s="52"/>
      <c r="Q2054" s="52"/>
      <c r="R2054" s="52"/>
      <c r="S2054" s="52"/>
      <c r="T2054" s="52"/>
      <c r="U2054" s="52"/>
      <c r="V2054" s="52"/>
      <c r="W2054" s="52"/>
      <c r="X2054" s="52"/>
      <c r="Y2054" s="52"/>
      <c r="Z2054" s="52"/>
      <c r="AA2054" s="52"/>
      <c r="AB2054" s="52"/>
      <c r="AC2054" s="52"/>
      <c r="AD2054" s="52"/>
      <c r="AE2054" s="52"/>
      <c r="AF2054" s="52"/>
      <c r="AG2054" s="52"/>
      <c r="AH2054" s="52"/>
      <c r="AI2054" s="52"/>
      <c r="AJ2054" s="52"/>
      <c r="AK2054" s="52"/>
      <c r="AL2054" s="52"/>
      <c r="AM2054" s="52"/>
      <c r="AN2054" s="52"/>
    </row>
    <row r="2055" spans="1:40" x14ac:dyDescent="0.3">
      <c r="A2055" s="52">
        <v>2050</v>
      </c>
      <c r="B2055" s="52">
        <f>-bthan*500+(49+0.5)*bthan*1000/50</f>
        <v>2695</v>
      </c>
      <c r="C2055" s="52">
        <f t="shared" si="217"/>
        <v>10</v>
      </c>
      <c r="D2055" s="52">
        <f t="shared" si="218"/>
        <v>2200</v>
      </c>
      <c r="E2055" s="52">
        <f t="shared" si="219"/>
        <v>1</v>
      </c>
      <c r="F2055" s="52"/>
      <c r="G2055" s="52"/>
      <c r="H2055" s="52"/>
      <c r="I2055" s="52"/>
      <c r="J2055" s="52"/>
      <c r="K2055" s="52"/>
      <c r="L2055" s="52"/>
      <c r="M2055" s="52"/>
      <c r="N2055" s="52"/>
      <c r="O2055" s="52"/>
      <c r="P2055" s="52"/>
      <c r="Q2055" s="52"/>
      <c r="R2055" s="52"/>
      <c r="S2055" s="52"/>
      <c r="T2055" s="52"/>
      <c r="U2055" s="52"/>
      <c r="V2055" s="52"/>
      <c r="W2055" s="52"/>
      <c r="X2055" s="52"/>
      <c r="Y2055" s="52"/>
      <c r="Z2055" s="52"/>
      <c r="AA2055" s="52"/>
      <c r="AB2055" s="52"/>
      <c r="AC2055" s="52"/>
      <c r="AD2055" s="52"/>
      <c r="AE2055" s="52"/>
      <c r="AF2055" s="52"/>
      <c r="AG2055" s="52"/>
      <c r="AH2055" s="52"/>
      <c r="AI2055" s="52"/>
      <c r="AJ2055" s="52"/>
      <c r="AK2055" s="52"/>
      <c r="AL2055" s="52"/>
      <c r="AM2055" s="52"/>
      <c r="AN2055" s="52"/>
    </row>
    <row r="2056" spans="1:40" x14ac:dyDescent="0.3">
      <c r="A2056" s="52">
        <v>2051</v>
      </c>
      <c r="B2056" s="52">
        <f>-bthan*500+(0+0.5)*bthan*1000/50</f>
        <v>-2695</v>
      </c>
      <c r="C2056" s="52">
        <f t="shared" ref="C2056:C2087" si="220">-hthan*500+(41+0.5)*hthan*1000/80</f>
        <v>30</v>
      </c>
      <c r="D2056" s="52">
        <f t="shared" si="218"/>
        <v>2200</v>
      </c>
      <c r="E2056" s="52">
        <f t="shared" si="219"/>
        <v>1</v>
      </c>
      <c r="F2056" s="52"/>
      <c r="G2056" s="52"/>
      <c r="H2056" s="52"/>
      <c r="I2056" s="52"/>
      <c r="J2056" s="52"/>
      <c r="K2056" s="52"/>
      <c r="L2056" s="52"/>
      <c r="M2056" s="52"/>
      <c r="N2056" s="52"/>
      <c r="O2056" s="52"/>
      <c r="P2056" s="52"/>
      <c r="Q2056" s="52"/>
      <c r="R2056" s="52"/>
      <c r="S2056" s="52"/>
      <c r="T2056" s="52"/>
      <c r="U2056" s="52"/>
      <c r="V2056" s="52"/>
      <c r="W2056" s="52"/>
      <c r="X2056" s="52"/>
      <c r="Y2056" s="52"/>
      <c r="Z2056" s="52"/>
      <c r="AA2056" s="52"/>
      <c r="AB2056" s="52"/>
      <c r="AC2056" s="52"/>
      <c r="AD2056" s="52"/>
      <c r="AE2056" s="52"/>
      <c r="AF2056" s="52"/>
      <c r="AG2056" s="52"/>
      <c r="AH2056" s="52"/>
      <c r="AI2056" s="52"/>
      <c r="AJ2056" s="52"/>
      <c r="AK2056" s="52"/>
      <c r="AL2056" s="52"/>
      <c r="AM2056" s="52"/>
      <c r="AN2056" s="52"/>
    </row>
    <row r="2057" spans="1:40" x14ac:dyDescent="0.3">
      <c r="A2057" s="52">
        <v>2052</v>
      </c>
      <c r="B2057" s="52">
        <f>-bthan*500+(1+0.5)*bthan*1000/50</f>
        <v>-2585</v>
      </c>
      <c r="C2057" s="52">
        <f t="shared" si="220"/>
        <v>30</v>
      </c>
      <c r="D2057" s="52">
        <f t="shared" si="218"/>
        <v>2200</v>
      </c>
      <c r="E2057" s="52">
        <f t="shared" si="219"/>
        <v>1</v>
      </c>
      <c r="F2057" s="52"/>
      <c r="G2057" s="52"/>
      <c r="H2057" s="52"/>
      <c r="I2057" s="52"/>
      <c r="J2057" s="52"/>
      <c r="K2057" s="52"/>
      <c r="L2057" s="52"/>
      <c r="M2057" s="52"/>
      <c r="N2057" s="52"/>
      <c r="O2057" s="52"/>
      <c r="P2057" s="52"/>
      <c r="Q2057" s="52"/>
      <c r="R2057" s="52"/>
      <c r="S2057" s="52"/>
      <c r="T2057" s="52"/>
      <c r="U2057" s="52"/>
      <c r="V2057" s="52"/>
      <c r="W2057" s="52"/>
      <c r="X2057" s="52"/>
      <c r="Y2057" s="52"/>
      <c r="Z2057" s="52"/>
      <c r="AA2057" s="52"/>
      <c r="AB2057" s="52"/>
      <c r="AC2057" s="52"/>
      <c r="AD2057" s="52"/>
      <c r="AE2057" s="52"/>
      <c r="AF2057" s="52"/>
      <c r="AG2057" s="52"/>
      <c r="AH2057" s="52"/>
      <c r="AI2057" s="52"/>
      <c r="AJ2057" s="52"/>
      <c r="AK2057" s="52"/>
      <c r="AL2057" s="52"/>
      <c r="AM2057" s="52"/>
      <c r="AN2057" s="52"/>
    </row>
    <row r="2058" spans="1:40" x14ac:dyDescent="0.3">
      <c r="A2058" s="52">
        <v>2053</v>
      </c>
      <c r="B2058" s="52">
        <f>-bthan*500+(2+0.5)*bthan*1000/50</f>
        <v>-2475</v>
      </c>
      <c r="C2058" s="52">
        <f t="shared" si="220"/>
        <v>30</v>
      </c>
      <c r="D2058" s="52">
        <f t="shared" si="218"/>
        <v>2200</v>
      </c>
      <c r="E2058" s="52">
        <f t="shared" si="219"/>
        <v>1</v>
      </c>
      <c r="F2058" s="52"/>
      <c r="G2058" s="52"/>
      <c r="H2058" s="52"/>
      <c r="I2058" s="52"/>
      <c r="J2058" s="52"/>
      <c r="K2058" s="52"/>
      <c r="L2058" s="52"/>
      <c r="M2058" s="52"/>
      <c r="N2058" s="52"/>
      <c r="O2058" s="52"/>
      <c r="P2058" s="52"/>
      <c r="Q2058" s="52"/>
      <c r="R2058" s="52"/>
      <c r="S2058" s="52"/>
      <c r="T2058" s="52"/>
      <c r="U2058" s="52"/>
      <c r="V2058" s="52"/>
      <c r="W2058" s="52"/>
      <c r="X2058" s="52"/>
      <c r="Y2058" s="52"/>
      <c r="Z2058" s="52"/>
      <c r="AA2058" s="52"/>
      <c r="AB2058" s="52"/>
      <c r="AC2058" s="52"/>
      <c r="AD2058" s="52"/>
      <c r="AE2058" s="52"/>
      <c r="AF2058" s="52"/>
      <c r="AG2058" s="52"/>
      <c r="AH2058" s="52"/>
      <c r="AI2058" s="52"/>
      <c r="AJ2058" s="52"/>
      <c r="AK2058" s="52"/>
      <c r="AL2058" s="52"/>
      <c r="AM2058" s="52"/>
      <c r="AN2058" s="52"/>
    </row>
    <row r="2059" spans="1:40" x14ac:dyDescent="0.3">
      <c r="A2059" s="52">
        <v>2054</v>
      </c>
      <c r="B2059" s="52">
        <f>-bthan*500+(3+0.5)*bthan*1000/50</f>
        <v>-2365</v>
      </c>
      <c r="C2059" s="52">
        <f t="shared" si="220"/>
        <v>30</v>
      </c>
      <c r="D2059" s="52">
        <f t="shared" si="218"/>
        <v>2200</v>
      </c>
      <c r="E2059" s="52">
        <f t="shared" si="219"/>
        <v>1</v>
      </c>
      <c r="F2059" s="52"/>
      <c r="G2059" s="52"/>
      <c r="H2059" s="52"/>
      <c r="I2059" s="52"/>
      <c r="J2059" s="52"/>
      <c r="K2059" s="52"/>
      <c r="L2059" s="52"/>
      <c r="M2059" s="52"/>
      <c r="N2059" s="52"/>
      <c r="O2059" s="52"/>
      <c r="P2059" s="52"/>
      <c r="Q2059" s="52"/>
      <c r="R2059" s="52"/>
      <c r="S2059" s="52"/>
      <c r="T2059" s="52"/>
      <c r="U2059" s="52"/>
      <c r="V2059" s="52"/>
      <c r="W2059" s="52"/>
      <c r="X2059" s="52"/>
      <c r="Y2059" s="52"/>
      <c r="Z2059" s="52"/>
      <c r="AA2059" s="52"/>
      <c r="AB2059" s="52"/>
      <c r="AC2059" s="52"/>
      <c r="AD2059" s="52"/>
      <c r="AE2059" s="52"/>
      <c r="AF2059" s="52"/>
      <c r="AG2059" s="52"/>
      <c r="AH2059" s="52"/>
      <c r="AI2059" s="52"/>
      <c r="AJ2059" s="52"/>
      <c r="AK2059" s="52"/>
      <c r="AL2059" s="52"/>
      <c r="AM2059" s="52"/>
      <c r="AN2059" s="52"/>
    </row>
    <row r="2060" spans="1:40" x14ac:dyDescent="0.3">
      <c r="A2060" s="52">
        <v>2055</v>
      </c>
      <c r="B2060" s="52">
        <f>-bthan*500+(4+0.5)*bthan*1000/50</f>
        <v>-2255</v>
      </c>
      <c r="C2060" s="52">
        <f t="shared" si="220"/>
        <v>30</v>
      </c>
      <c r="D2060" s="52">
        <f t="shared" si="218"/>
        <v>2200</v>
      </c>
      <c r="E2060" s="52">
        <f t="shared" si="219"/>
        <v>1</v>
      </c>
      <c r="F2060" s="52"/>
      <c r="G2060" s="52"/>
      <c r="H2060" s="52"/>
      <c r="I2060" s="52"/>
      <c r="J2060" s="52"/>
      <c r="K2060" s="52"/>
      <c r="L2060" s="52"/>
      <c r="M2060" s="52"/>
      <c r="N2060" s="52"/>
      <c r="O2060" s="52"/>
      <c r="P2060" s="52"/>
      <c r="Q2060" s="52"/>
      <c r="R2060" s="52"/>
      <c r="S2060" s="52"/>
      <c r="T2060" s="52"/>
      <c r="U2060" s="52"/>
      <c r="V2060" s="52"/>
      <c r="W2060" s="52"/>
      <c r="X2060" s="52"/>
      <c r="Y2060" s="52"/>
      <c r="Z2060" s="52"/>
      <c r="AA2060" s="52"/>
      <c r="AB2060" s="52"/>
      <c r="AC2060" s="52"/>
      <c r="AD2060" s="52"/>
      <c r="AE2060" s="52"/>
      <c r="AF2060" s="52"/>
      <c r="AG2060" s="52"/>
      <c r="AH2060" s="52"/>
      <c r="AI2060" s="52"/>
      <c r="AJ2060" s="52"/>
      <c r="AK2060" s="52"/>
      <c r="AL2060" s="52"/>
      <c r="AM2060" s="52"/>
      <c r="AN2060" s="52"/>
    </row>
    <row r="2061" spans="1:40" x14ac:dyDescent="0.3">
      <c r="A2061" s="52">
        <v>2056</v>
      </c>
      <c r="B2061" s="52">
        <f>-bthan*500+(5+0.5)*bthan*1000/50</f>
        <v>-2145</v>
      </c>
      <c r="C2061" s="52">
        <f t="shared" si="220"/>
        <v>30</v>
      </c>
      <c r="D2061" s="52">
        <f t="shared" si="218"/>
        <v>2200</v>
      </c>
      <c r="E2061" s="52">
        <f t="shared" si="219"/>
        <v>1</v>
      </c>
      <c r="F2061" s="52"/>
      <c r="G2061" s="52"/>
      <c r="H2061" s="52"/>
      <c r="I2061" s="52"/>
      <c r="J2061" s="52"/>
      <c r="K2061" s="52"/>
      <c r="L2061" s="52"/>
      <c r="M2061" s="52"/>
      <c r="N2061" s="52"/>
      <c r="O2061" s="52"/>
      <c r="P2061" s="52"/>
      <c r="Q2061" s="52"/>
      <c r="R2061" s="52"/>
      <c r="S2061" s="52"/>
      <c r="T2061" s="52"/>
      <c r="U2061" s="52"/>
      <c r="V2061" s="52"/>
      <c r="W2061" s="52"/>
      <c r="X2061" s="52"/>
      <c r="Y2061" s="52"/>
      <c r="Z2061" s="52"/>
      <c r="AA2061" s="52"/>
      <c r="AB2061" s="52"/>
      <c r="AC2061" s="52"/>
      <c r="AD2061" s="52"/>
      <c r="AE2061" s="52"/>
      <c r="AF2061" s="52"/>
      <c r="AG2061" s="52"/>
      <c r="AH2061" s="52"/>
      <c r="AI2061" s="52"/>
      <c r="AJ2061" s="52"/>
      <c r="AK2061" s="52"/>
      <c r="AL2061" s="52"/>
      <c r="AM2061" s="52"/>
      <c r="AN2061" s="52"/>
    </row>
    <row r="2062" spans="1:40" x14ac:dyDescent="0.3">
      <c r="A2062" s="52">
        <v>2057</v>
      </c>
      <c r="B2062" s="52">
        <f>-bthan*500+(6+0.5)*bthan*1000/50</f>
        <v>-2035</v>
      </c>
      <c r="C2062" s="52">
        <f t="shared" si="220"/>
        <v>30</v>
      </c>
      <c r="D2062" s="52">
        <f t="shared" si="218"/>
        <v>2200</v>
      </c>
      <c r="E2062" s="52">
        <f t="shared" si="219"/>
        <v>1</v>
      </c>
      <c r="F2062" s="52"/>
      <c r="G2062" s="52"/>
      <c r="H2062" s="52"/>
      <c r="I2062" s="52"/>
      <c r="J2062" s="52"/>
      <c r="K2062" s="52"/>
      <c r="L2062" s="52"/>
      <c r="M2062" s="52"/>
      <c r="N2062" s="52"/>
      <c r="O2062" s="52"/>
      <c r="P2062" s="52"/>
      <c r="Q2062" s="52"/>
      <c r="R2062" s="52"/>
      <c r="S2062" s="52"/>
      <c r="T2062" s="52"/>
      <c r="U2062" s="52"/>
      <c r="V2062" s="52"/>
      <c r="W2062" s="52"/>
      <c r="X2062" s="52"/>
      <c r="Y2062" s="52"/>
      <c r="Z2062" s="52"/>
      <c r="AA2062" s="52"/>
      <c r="AB2062" s="52"/>
      <c r="AC2062" s="52"/>
      <c r="AD2062" s="52"/>
      <c r="AE2062" s="52"/>
      <c r="AF2062" s="52"/>
      <c r="AG2062" s="52"/>
      <c r="AH2062" s="52"/>
      <c r="AI2062" s="52"/>
      <c r="AJ2062" s="52"/>
      <c r="AK2062" s="52"/>
      <c r="AL2062" s="52"/>
      <c r="AM2062" s="52"/>
      <c r="AN2062" s="52"/>
    </row>
    <row r="2063" spans="1:40" x14ac:dyDescent="0.3">
      <c r="A2063" s="52">
        <v>2058</v>
      </c>
      <c r="B2063" s="52">
        <f>-bthan*500+(7+0.5)*bthan*1000/50</f>
        <v>-1925</v>
      </c>
      <c r="C2063" s="52">
        <f t="shared" si="220"/>
        <v>30</v>
      </c>
      <c r="D2063" s="52">
        <f t="shared" si="218"/>
        <v>2200</v>
      </c>
      <c r="E2063" s="52">
        <f t="shared" si="219"/>
        <v>1</v>
      </c>
      <c r="F2063" s="52"/>
      <c r="G2063" s="52"/>
      <c r="H2063" s="52"/>
      <c r="I2063" s="52"/>
      <c r="J2063" s="52"/>
      <c r="K2063" s="52"/>
      <c r="L2063" s="52"/>
      <c r="M2063" s="52"/>
      <c r="N2063" s="52"/>
      <c r="O2063" s="52"/>
      <c r="P2063" s="52"/>
      <c r="Q2063" s="52"/>
      <c r="R2063" s="52"/>
      <c r="S2063" s="52"/>
      <c r="T2063" s="52"/>
      <c r="U2063" s="52"/>
      <c r="V2063" s="52"/>
      <c r="W2063" s="52"/>
      <c r="X2063" s="52"/>
      <c r="Y2063" s="52"/>
      <c r="Z2063" s="52"/>
      <c r="AA2063" s="52"/>
      <c r="AB2063" s="52"/>
      <c r="AC2063" s="52"/>
      <c r="AD2063" s="52"/>
      <c r="AE2063" s="52"/>
      <c r="AF2063" s="52"/>
      <c r="AG2063" s="52"/>
      <c r="AH2063" s="52"/>
      <c r="AI2063" s="52"/>
      <c r="AJ2063" s="52"/>
      <c r="AK2063" s="52"/>
      <c r="AL2063" s="52"/>
      <c r="AM2063" s="52"/>
      <c r="AN2063" s="52"/>
    </row>
    <row r="2064" spans="1:40" x14ac:dyDescent="0.3">
      <c r="A2064" s="52">
        <v>2059</v>
      </c>
      <c r="B2064" s="52">
        <f>-bthan*500+(8+0.5)*bthan*1000/50</f>
        <v>-1815</v>
      </c>
      <c r="C2064" s="52">
        <f t="shared" si="220"/>
        <v>30</v>
      </c>
      <c r="D2064" s="52">
        <f t="shared" si="218"/>
        <v>2200</v>
      </c>
      <c r="E2064" s="52">
        <f t="shared" si="219"/>
        <v>1</v>
      </c>
      <c r="F2064" s="52"/>
      <c r="G2064" s="52"/>
      <c r="H2064" s="52"/>
      <c r="I2064" s="52"/>
      <c r="J2064" s="52"/>
      <c r="K2064" s="52"/>
      <c r="L2064" s="52"/>
      <c r="M2064" s="52"/>
      <c r="N2064" s="52"/>
      <c r="O2064" s="52"/>
      <c r="P2064" s="52"/>
      <c r="Q2064" s="52"/>
      <c r="R2064" s="52"/>
      <c r="S2064" s="52"/>
      <c r="T2064" s="52"/>
      <c r="U2064" s="52"/>
      <c r="V2064" s="52"/>
      <c r="W2064" s="52"/>
      <c r="X2064" s="52"/>
      <c r="Y2064" s="52"/>
      <c r="Z2064" s="52"/>
      <c r="AA2064" s="52"/>
      <c r="AB2064" s="52"/>
      <c r="AC2064" s="52"/>
      <c r="AD2064" s="52"/>
      <c r="AE2064" s="52"/>
      <c r="AF2064" s="52"/>
      <c r="AG2064" s="52"/>
      <c r="AH2064" s="52"/>
      <c r="AI2064" s="52"/>
      <c r="AJ2064" s="52"/>
      <c r="AK2064" s="52"/>
      <c r="AL2064" s="52"/>
      <c r="AM2064" s="52"/>
      <c r="AN2064" s="52"/>
    </row>
    <row r="2065" spans="1:40" x14ac:dyDescent="0.3">
      <c r="A2065" s="52">
        <v>2060</v>
      </c>
      <c r="B2065" s="52">
        <f>-bthan*500+(9+0.5)*bthan*1000/50</f>
        <v>-1705</v>
      </c>
      <c r="C2065" s="52">
        <f t="shared" si="220"/>
        <v>30</v>
      </c>
      <c r="D2065" s="52">
        <f t="shared" si="218"/>
        <v>2200</v>
      </c>
      <c r="E2065" s="52">
        <f t="shared" si="219"/>
        <v>1</v>
      </c>
      <c r="F2065" s="52"/>
      <c r="G2065" s="52"/>
      <c r="H2065" s="52"/>
      <c r="I2065" s="52"/>
      <c r="J2065" s="52"/>
      <c r="K2065" s="52"/>
      <c r="L2065" s="52"/>
      <c r="M2065" s="52"/>
      <c r="N2065" s="52"/>
      <c r="O2065" s="52"/>
      <c r="P2065" s="52"/>
      <c r="Q2065" s="52"/>
      <c r="R2065" s="52"/>
      <c r="S2065" s="52"/>
      <c r="T2065" s="52"/>
      <c r="U2065" s="52"/>
      <c r="V2065" s="52"/>
      <c r="W2065" s="52"/>
      <c r="X2065" s="52"/>
      <c r="Y2065" s="52"/>
      <c r="Z2065" s="52"/>
      <c r="AA2065" s="52"/>
      <c r="AB2065" s="52"/>
      <c r="AC2065" s="52"/>
      <c r="AD2065" s="52"/>
      <c r="AE2065" s="52"/>
      <c r="AF2065" s="52"/>
      <c r="AG2065" s="52"/>
      <c r="AH2065" s="52"/>
      <c r="AI2065" s="52"/>
      <c r="AJ2065" s="52"/>
      <c r="AK2065" s="52"/>
      <c r="AL2065" s="52"/>
      <c r="AM2065" s="52"/>
      <c r="AN2065" s="52"/>
    </row>
    <row r="2066" spans="1:40" x14ac:dyDescent="0.3">
      <c r="A2066" s="52">
        <v>2061</v>
      </c>
      <c r="B2066" s="52">
        <f>-bthan*500+(10+0.5)*bthan*1000/50</f>
        <v>-1595</v>
      </c>
      <c r="C2066" s="52">
        <f t="shared" si="220"/>
        <v>30</v>
      </c>
      <c r="D2066" s="52">
        <f t="shared" si="218"/>
        <v>2200</v>
      </c>
      <c r="E2066" s="52">
        <f t="shared" si="219"/>
        <v>1</v>
      </c>
      <c r="F2066" s="52"/>
      <c r="G2066" s="52"/>
      <c r="H2066" s="52"/>
      <c r="I2066" s="52"/>
      <c r="J2066" s="52"/>
      <c r="K2066" s="52"/>
      <c r="L2066" s="52"/>
      <c r="M2066" s="52"/>
      <c r="N2066" s="52"/>
      <c r="O2066" s="52"/>
      <c r="P2066" s="52"/>
      <c r="Q2066" s="52"/>
      <c r="R2066" s="52"/>
      <c r="S2066" s="52"/>
      <c r="T2066" s="52"/>
      <c r="U2066" s="52"/>
      <c r="V2066" s="52"/>
      <c r="W2066" s="52"/>
      <c r="X2066" s="52"/>
      <c r="Y2066" s="52"/>
      <c r="Z2066" s="52"/>
      <c r="AA2066" s="52"/>
      <c r="AB2066" s="52"/>
      <c r="AC2066" s="52"/>
      <c r="AD2066" s="52"/>
      <c r="AE2066" s="52"/>
      <c r="AF2066" s="52"/>
      <c r="AG2066" s="52"/>
      <c r="AH2066" s="52"/>
      <c r="AI2066" s="52"/>
      <c r="AJ2066" s="52"/>
      <c r="AK2066" s="52"/>
      <c r="AL2066" s="52"/>
      <c r="AM2066" s="52"/>
      <c r="AN2066" s="52"/>
    </row>
    <row r="2067" spans="1:40" x14ac:dyDescent="0.3">
      <c r="A2067" s="52">
        <v>2062</v>
      </c>
      <c r="B2067" s="52">
        <f>-bthan*500+(11+0.5)*bthan*1000/50</f>
        <v>-1485</v>
      </c>
      <c r="C2067" s="52">
        <f t="shared" si="220"/>
        <v>30</v>
      </c>
      <c r="D2067" s="52">
        <f t="shared" si="218"/>
        <v>2200</v>
      </c>
      <c r="E2067" s="52">
        <f t="shared" si="219"/>
        <v>1</v>
      </c>
      <c r="F2067" s="52"/>
      <c r="G2067" s="52"/>
      <c r="H2067" s="52"/>
      <c r="I2067" s="52"/>
      <c r="J2067" s="52"/>
      <c r="K2067" s="52"/>
      <c r="L2067" s="52"/>
      <c r="M2067" s="52"/>
      <c r="N2067" s="52"/>
      <c r="O2067" s="52"/>
      <c r="P2067" s="52"/>
      <c r="Q2067" s="52"/>
      <c r="R2067" s="52"/>
      <c r="S2067" s="52"/>
      <c r="T2067" s="52"/>
      <c r="U2067" s="52"/>
      <c r="V2067" s="52"/>
      <c r="W2067" s="52"/>
      <c r="X2067" s="52"/>
      <c r="Y2067" s="52"/>
      <c r="Z2067" s="52"/>
      <c r="AA2067" s="52"/>
      <c r="AB2067" s="52"/>
      <c r="AC2067" s="52"/>
      <c r="AD2067" s="52"/>
      <c r="AE2067" s="52"/>
      <c r="AF2067" s="52"/>
      <c r="AG2067" s="52"/>
      <c r="AH2067" s="52"/>
      <c r="AI2067" s="52"/>
      <c r="AJ2067" s="52"/>
      <c r="AK2067" s="52"/>
      <c r="AL2067" s="52"/>
      <c r="AM2067" s="52"/>
      <c r="AN2067" s="52"/>
    </row>
    <row r="2068" spans="1:40" x14ac:dyDescent="0.3">
      <c r="A2068" s="52">
        <v>2063</v>
      </c>
      <c r="B2068" s="52">
        <f>-bthan*500+(12+0.5)*bthan*1000/50</f>
        <v>-1375</v>
      </c>
      <c r="C2068" s="52">
        <f t="shared" si="220"/>
        <v>30</v>
      </c>
      <c r="D2068" s="52">
        <f t="shared" si="218"/>
        <v>2200</v>
      </c>
      <c r="E2068" s="52">
        <f t="shared" si="219"/>
        <v>1</v>
      </c>
      <c r="F2068" s="52"/>
      <c r="G2068" s="52"/>
      <c r="H2068" s="52"/>
      <c r="I2068" s="52"/>
      <c r="J2068" s="52"/>
      <c r="K2068" s="52"/>
      <c r="L2068" s="52"/>
      <c r="M2068" s="52"/>
      <c r="N2068" s="52"/>
      <c r="O2068" s="52"/>
      <c r="P2068" s="52"/>
      <c r="Q2068" s="52"/>
      <c r="R2068" s="52"/>
      <c r="S2068" s="52"/>
      <c r="T2068" s="52"/>
      <c r="U2068" s="52"/>
      <c r="V2068" s="52"/>
      <c r="W2068" s="52"/>
      <c r="X2068" s="52"/>
      <c r="Y2068" s="52"/>
      <c r="Z2068" s="52"/>
      <c r="AA2068" s="52"/>
      <c r="AB2068" s="52"/>
      <c r="AC2068" s="52"/>
      <c r="AD2068" s="52"/>
      <c r="AE2068" s="52"/>
      <c r="AF2068" s="52"/>
      <c r="AG2068" s="52"/>
      <c r="AH2068" s="52"/>
      <c r="AI2068" s="52"/>
      <c r="AJ2068" s="52"/>
      <c r="AK2068" s="52"/>
      <c r="AL2068" s="52"/>
      <c r="AM2068" s="52"/>
      <c r="AN2068" s="52"/>
    </row>
    <row r="2069" spans="1:40" x14ac:dyDescent="0.3">
      <c r="A2069" s="52">
        <v>2064</v>
      </c>
      <c r="B2069" s="52">
        <f>-bthan*500+(13+0.5)*bthan*1000/50</f>
        <v>-1265</v>
      </c>
      <c r="C2069" s="52">
        <f t="shared" si="220"/>
        <v>30</v>
      </c>
      <c r="D2069" s="52">
        <f t="shared" si="218"/>
        <v>2200</v>
      </c>
      <c r="E2069" s="52">
        <f t="shared" si="219"/>
        <v>1</v>
      </c>
      <c r="F2069" s="52"/>
      <c r="G2069" s="52"/>
      <c r="H2069" s="52"/>
      <c r="I2069" s="52"/>
      <c r="J2069" s="52"/>
      <c r="K2069" s="52"/>
      <c r="L2069" s="52"/>
      <c r="M2069" s="52"/>
      <c r="N2069" s="52"/>
      <c r="O2069" s="52"/>
      <c r="P2069" s="52"/>
      <c r="Q2069" s="52"/>
      <c r="R2069" s="52"/>
      <c r="S2069" s="52"/>
      <c r="T2069" s="52"/>
      <c r="U2069" s="52"/>
      <c r="V2069" s="52"/>
      <c r="W2069" s="52"/>
      <c r="X2069" s="52"/>
      <c r="Y2069" s="52"/>
      <c r="Z2069" s="52"/>
      <c r="AA2069" s="52"/>
      <c r="AB2069" s="52"/>
      <c r="AC2069" s="52"/>
      <c r="AD2069" s="52"/>
      <c r="AE2069" s="52"/>
      <c r="AF2069" s="52"/>
      <c r="AG2069" s="52"/>
      <c r="AH2069" s="52"/>
      <c r="AI2069" s="52"/>
      <c r="AJ2069" s="52"/>
      <c r="AK2069" s="52"/>
      <c r="AL2069" s="52"/>
      <c r="AM2069" s="52"/>
      <c r="AN2069" s="52"/>
    </row>
    <row r="2070" spans="1:40" x14ac:dyDescent="0.3">
      <c r="A2070" s="52">
        <v>2065</v>
      </c>
      <c r="B2070" s="52">
        <f>-bthan*500+(14+0.5)*bthan*1000/50</f>
        <v>-1155</v>
      </c>
      <c r="C2070" s="52">
        <f t="shared" si="220"/>
        <v>30</v>
      </c>
      <c r="D2070" s="52">
        <f t="shared" si="218"/>
        <v>2200</v>
      </c>
      <c r="E2070" s="52">
        <f t="shared" si="219"/>
        <v>1</v>
      </c>
      <c r="F2070" s="52"/>
      <c r="G2070" s="52"/>
      <c r="H2070" s="52"/>
      <c r="I2070" s="52"/>
      <c r="J2070" s="52"/>
      <c r="K2070" s="52"/>
      <c r="L2070" s="52"/>
      <c r="M2070" s="52"/>
      <c r="N2070" s="52"/>
      <c r="O2070" s="52"/>
      <c r="P2070" s="52"/>
      <c r="Q2070" s="52"/>
      <c r="R2070" s="52"/>
      <c r="S2070" s="52"/>
      <c r="T2070" s="52"/>
      <c r="U2070" s="52"/>
      <c r="V2070" s="52"/>
      <c r="W2070" s="52"/>
      <c r="X2070" s="52"/>
      <c r="Y2070" s="52"/>
      <c r="Z2070" s="52"/>
      <c r="AA2070" s="52"/>
      <c r="AB2070" s="52"/>
      <c r="AC2070" s="52"/>
      <c r="AD2070" s="52"/>
      <c r="AE2070" s="52"/>
      <c r="AF2070" s="52"/>
      <c r="AG2070" s="52"/>
      <c r="AH2070" s="52"/>
      <c r="AI2070" s="52"/>
      <c r="AJ2070" s="52"/>
      <c r="AK2070" s="52"/>
      <c r="AL2070" s="52"/>
      <c r="AM2070" s="52"/>
      <c r="AN2070" s="52"/>
    </row>
    <row r="2071" spans="1:40" x14ac:dyDescent="0.3">
      <c r="A2071" s="52">
        <v>2066</v>
      </c>
      <c r="B2071" s="52">
        <f>-bthan*500+(15+0.5)*bthan*1000/50</f>
        <v>-1045</v>
      </c>
      <c r="C2071" s="52">
        <f t="shared" si="220"/>
        <v>30</v>
      </c>
      <c r="D2071" s="52">
        <f t="shared" si="218"/>
        <v>2200</v>
      </c>
      <c r="E2071" s="52">
        <f t="shared" si="219"/>
        <v>1</v>
      </c>
      <c r="F2071" s="52"/>
      <c r="G2071" s="52"/>
      <c r="H2071" s="52"/>
      <c r="I2071" s="52"/>
      <c r="J2071" s="52"/>
      <c r="K2071" s="52"/>
      <c r="L2071" s="52"/>
      <c r="M2071" s="52"/>
      <c r="N2071" s="52"/>
      <c r="O2071" s="52"/>
      <c r="P2071" s="52"/>
      <c r="Q2071" s="52"/>
      <c r="R2071" s="52"/>
      <c r="S2071" s="52"/>
      <c r="T2071" s="52"/>
      <c r="U2071" s="52"/>
      <c r="V2071" s="52"/>
      <c r="W2071" s="52"/>
      <c r="X2071" s="52"/>
      <c r="Y2071" s="52"/>
      <c r="Z2071" s="52"/>
      <c r="AA2071" s="52"/>
      <c r="AB2071" s="52"/>
      <c r="AC2071" s="52"/>
      <c r="AD2071" s="52"/>
      <c r="AE2071" s="52"/>
      <c r="AF2071" s="52"/>
      <c r="AG2071" s="52"/>
      <c r="AH2071" s="52"/>
      <c r="AI2071" s="52"/>
      <c r="AJ2071" s="52"/>
      <c r="AK2071" s="52"/>
      <c r="AL2071" s="52"/>
      <c r="AM2071" s="52"/>
      <c r="AN2071" s="52"/>
    </row>
    <row r="2072" spans="1:40" x14ac:dyDescent="0.3">
      <c r="A2072" s="52">
        <v>2067</v>
      </c>
      <c r="B2072" s="52">
        <f>-bthan*500+(16+0.5)*bthan*1000/50</f>
        <v>-935</v>
      </c>
      <c r="C2072" s="52">
        <f t="shared" si="220"/>
        <v>30</v>
      </c>
      <c r="D2072" s="52">
        <f t="shared" si="218"/>
        <v>2200</v>
      </c>
      <c r="E2072" s="52">
        <f t="shared" si="219"/>
        <v>1</v>
      </c>
      <c r="F2072" s="52"/>
      <c r="G2072" s="52"/>
      <c r="H2072" s="52"/>
      <c r="I2072" s="52"/>
      <c r="J2072" s="52"/>
      <c r="K2072" s="52"/>
      <c r="L2072" s="52"/>
      <c r="M2072" s="52"/>
      <c r="N2072" s="52"/>
      <c r="O2072" s="52"/>
      <c r="P2072" s="52"/>
      <c r="Q2072" s="52"/>
      <c r="R2072" s="52"/>
      <c r="S2072" s="52"/>
      <c r="T2072" s="52"/>
      <c r="U2072" s="52"/>
      <c r="V2072" s="52"/>
      <c r="W2072" s="52"/>
      <c r="X2072" s="52"/>
      <c r="Y2072" s="52"/>
      <c r="Z2072" s="52"/>
      <c r="AA2072" s="52"/>
      <c r="AB2072" s="52"/>
      <c r="AC2072" s="52"/>
      <c r="AD2072" s="52"/>
      <c r="AE2072" s="52"/>
      <c r="AF2072" s="52"/>
      <c r="AG2072" s="52"/>
      <c r="AH2072" s="52"/>
      <c r="AI2072" s="52"/>
      <c r="AJ2072" s="52"/>
      <c r="AK2072" s="52"/>
      <c r="AL2072" s="52"/>
      <c r="AM2072" s="52"/>
      <c r="AN2072" s="52"/>
    </row>
    <row r="2073" spans="1:40" x14ac:dyDescent="0.3">
      <c r="A2073" s="52">
        <v>2068</v>
      </c>
      <c r="B2073" s="52">
        <f>-bthan*500+(17+0.5)*bthan*1000/50</f>
        <v>-825</v>
      </c>
      <c r="C2073" s="52">
        <f t="shared" si="220"/>
        <v>30</v>
      </c>
      <c r="D2073" s="52">
        <f t="shared" si="218"/>
        <v>2200</v>
      </c>
      <c r="E2073" s="52">
        <f t="shared" si="219"/>
        <v>1</v>
      </c>
      <c r="F2073" s="52"/>
      <c r="G2073" s="52"/>
      <c r="H2073" s="52"/>
      <c r="I2073" s="52"/>
      <c r="J2073" s="52"/>
      <c r="K2073" s="52"/>
      <c r="L2073" s="52"/>
      <c r="M2073" s="52"/>
      <c r="N2073" s="52"/>
      <c r="O2073" s="52"/>
      <c r="P2073" s="52"/>
      <c r="Q2073" s="52"/>
      <c r="R2073" s="52"/>
      <c r="S2073" s="52"/>
      <c r="T2073" s="52"/>
      <c r="U2073" s="52"/>
      <c r="V2073" s="52"/>
      <c r="W2073" s="52"/>
      <c r="X2073" s="52"/>
      <c r="Y2073" s="52"/>
      <c r="Z2073" s="52"/>
      <c r="AA2073" s="52"/>
      <c r="AB2073" s="52"/>
      <c r="AC2073" s="52"/>
      <c r="AD2073" s="52"/>
      <c r="AE2073" s="52"/>
      <c r="AF2073" s="52"/>
      <c r="AG2073" s="52"/>
      <c r="AH2073" s="52"/>
      <c r="AI2073" s="52"/>
      <c r="AJ2073" s="52"/>
      <c r="AK2073" s="52"/>
      <c r="AL2073" s="52"/>
      <c r="AM2073" s="52"/>
      <c r="AN2073" s="52"/>
    </row>
    <row r="2074" spans="1:40" x14ac:dyDescent="0.3">
      <c r="A2074" s="52">
        <v>2069</v>
      </c>
      <c r="B2074" s="52">
        <f>-bthan*500+(18+0.5)*bthan*1000/50</f>
        <v>-715</v>
      </c>
      <c r="C2074" s="52">
        <f t="shared" si="220"/>
        <v>30</v>
      </c>
      <c r="D2074" s="52">
        <f t="shared" si="218"/>
        <v>2200</v>
      </c>
      <c r="E2074" s="52">
        <f t="shared" si="219"/>
        <v>1</v>
      </c>
      <c r="F2074" s="52"/>
      <c r="G2074" s="52"/>
      <c r="H2074" s="52"/>
      <c r="I2074" s="52"/>
      <c r="J2074" s="52"/>
      <c r="K2074" s="52"/>
      <c r="L2074" s="52"/>
      <c r="M2074" s="52"/>
      <c r="N2074" s="52"/>
      <c r="O2074" s="52"/>
      <c r="P2074" s="52"/>
      <c r="Q2074" s="52"/>
      <c r="R2074" s="52"/>
      <c r="S2074" s="52"/>
      <c r="T2074" s="52"/>
      <c r="U2074" s="52"/>
      <c r="V2074" s="52"/>
      <c r="W2074" s="52"/>
      <c r="X2074" s="52"/>
      <c r="Y2074" s="52"/>
      <c r="Z2074" s="52"/>
      <c r="AA2074" s="52"/>
      <c r="AB2074" s="52"/>
      <c r="AC2074" s="52"/>
      <c r="AD2074" s="52"/>
      <c r="AE2074" s="52"/>
      <c r="AF2074" s="52"/>
      <c r="AG2074" s="52"/>
      <c r="AH2074" s="52"/>
      <c r="AI2074" s="52"/>
      <c r="AJ2074" s="52"/>
      <c r="AK2074" s="52"/>
      <c r="AL2074" s="52"/>
      <c r="AM2074" s="52"/>
      <c r="AN2074" s="52"/>
    </row>
    <row r="2075" spans="1:40" x14ac:dyDescent="0.3">
      <c r="A2075" s="52">
        <v>2070</v>
      </c>
      <c r="B2075" s="52">
        <f>-bthan*500+(19+0.5)*bthan*1000/50</f>
        <v>-605</v>
      </c>
      <c r="C2075" s="52">
        <f t="shared" si="220"/>
        <v>30</v>
      </c>
      <c r="D2075" s="52">
        <f t="shared" si="218"/>
        <v>2200</v>
      </c>
      <c r="E2075" s="52">
        <f t="shared" si="219"/>
        <v>1</v>
      </c>
      <c r="F2075" s="52"/>
      <c r="G2075" s="52"/>
      <c r="H2075" s="52"/>
      <c r="I2075" s="52"/>
      <c r="J2075" s="52"/>
      <c r="K2075" s="52"/>
      <c r="L2075" s="52"/>
      <c r="M2075" s="52"/>
      <c r="N2075" s="52"/>
      <c r="O2075" s="52"/>
      <c r="P2075" s="52"/>
      <c r="Q2075" s="52"/>
      <c r="R2075" s="52"/>
      <c r="S2075" s="52"/>
      <c r="T2075" s="52"/>
      <c r="U2075" s="52"/>
      <c r="V2075" s="52"/>
      <c r="W2075" s="52"/>
      <c r="X2075" s="52"/>
      <c r="Y2075" s="52"/>
      <c r="Z2075" s="52"/>
      <c r="AA2075" s="52"/>
      <c r="AB2075" s="52"/>
      <c r="AC2075" s="52"/>
      <c r="AD2075" s="52"/>
      <c r="AE2075" s="52"/>
      <c r="AF2075" s="52"/>
      <c r="AG2075" s="52"/>
      <c r="AH2075" s="52"/>
      <c r="AI2075" s="52"/>
      <c r="AJ2075" s="52"/>
      <c r="AK2075" s="52"/>
      <c r="AL2075" s="52"/>
      <c r="AM2075" s="52"/>
      <c r="AN2075" s="52"/>
    </row>
    <row r="2076" spans="1:40" x14ac:dyDescent="0.3">
      <c r="A2076" s="52">
        <v>2071</v>
      </c>
      <c r="B2076" s="52">
        <f>-bthan*500+(20+0.5)*bthan*1000/50</f>
        <v>-495</v>
      </c>
      <c r="C2076" s="52">
        <f t="shared" si="220"/>
        <v>30</v>
      </c>
      <c r="D2076" s="52">
        <f t="shared" si="218"/>
        <v>2200</v>
      </c>
      <c r="E2076" s="52">
        <f t="shared" si="219"/>
        <v>1</v>
      </c>
      <c r="F2076" s="52"/>
      <c r="G2076" s="52"/>
      <c r="H2076" s="52"/>
      <c r="I2076" s="52"/>
      <c r="J2076" s="52"/>
      <c r="K2076" s="52"/>
      <c r="L2076" s="52"/>
      <c r="M2076" s="52"/>
      <c r="N2076" s="52"/>
      <c r="O2076" s="52"/>
      <c r="P2076" s="52"/>
      <c r="Q2076" s="52"/>
      <c r="R2076" s="52"/>
      <c r="S2076" s="52"/>
      <c r="T2076" s="52"/>
      <c r="U2076" s="52"/>
      <c r="V2076" s="52"/>
      <c r="W2076" s="52"/>
      <c r="X2076" s="52"/>
      <c r="Y2076" s="52"/>
      <c r="Z2076" s="52"/>
      <c r="AA2076" s="52"/>
      <c r="AB2076" s="52"/>
      <c r="AC2076" s="52"/>
      <c r="AD2076" s="52"/>
      <c r="AE2076" s="52"/>
      <c r="AF2076" s="52"/>
      <c r="AG2076" s="52"/>
      <c r="AH2076" s="52"/>
      <c r="AI2076" s="52"/>
      <c r="AJ2076" s="52"/>
      <c r="AK2076" s="52"/>
      <c r="AL2076" s="52"/>
      <c r="AM2076" s="52"/>
      <c r="AN2076" s="52"/>
    </row>
    <row r="2077" spans="1:40" x14ac:dyDescent="0.3">
      <c r="A2077" s="52">
        <v>2072</v>
      </c>
      <c r="B2077" s="52">
        <f>-bthan*500+(21+0.5)*bthan*1000/50</f>
        <v>-385</v>
      </c>
      <c r="C2077" s="52">
        <f t="shared" si="220"/>
        <v>30</v>
      </c>
      <c r="D2077" s="52">
        <f t="shared" si="218"/>
        <v>2200</v>
      </c>
      <c r="E2077" s="52">
        <f t="shared" si="219"/>
        <v>1</v>
      </c>
      <c r="F2077" s="52"/>
      <c r="G2077" s="52"/>
      <c r="H2077" s="52"/>
      <c r="I2077" s="52"/>
      <c r="J2077" s="52"/>
      <c r="K2077" s="52"/>
      <c r="L2077" s="52"/>
      <c r="M2077" s="52"/>
      <c r="N2077" s="52"/>
      <c r="O2077" s="52"/>
      <c r="P2077" s="52"/>
      <c r="Q2077" s="52"/>
      <c r="R2077" s="52"/>
      <c r="S2077" s="52"/>
      <c r="T2077" s="52"/>
      <c r="U2077" s="52"/>
      <c r="V2077" s="52"/>
      <c r="W2077" s="52"/>
      <c r="X2077" s="52"/>
      <c r="Y2077" s="52"/>
      <c r="Z2077" s="52"/>
      <c r="AA2077" s="52"/>
      <c r="AB2077" s="52"/>
      <c r="AC2077" s="52"/>
      <c r="AD2077" s="52"/>
      <c r="AE2077" s="52"/>
      <c r="AF2077" s="52"/>
      <c r="AG2077" s="52"/>
      <c r="AH2077" s="52"/>
      <c r="AI2077" s="52"/>
      <c r="AJ2077" s="52"/>
      <c r="AK2077" s="52"/>
      <c r="AL2077" s="52"/>
      <c r="AM2077" s="52"/>
      <c r="AN2077" s="52"/>
    </row>
    <row r="2078" spans="1:40" x14ac:dyDescent="0.3">
      <c r="A2078" s="52">
        <v>2073</v>
      </c>
      <c r="B2078" s="52">
        <f>-bthan*500+(22+0.5)*bthan*1000/50</f>
        <v>-275</v>
      </c>
      <c r="C2078" s="52">
        <f t="shared" si="220"/>
        <v>30</v>
      </c>
      <c r="D2078" s="52">
        <f t="shared" si="218"/>
        <v>2200</v>
      </c>
      <c r="E2078" s="52">
        <f t="shared" si="219"/>
        <v>1</v>
      </c>
      <c r="F2078" s="52"/>
      <c r="G2078" s="52"/>
      <c r="H2078" s="52"/>
      <c r="I2078" s="52"/>
      <c r="J2078" s="52"/>
      <c r="K2078" s="52"/>
      <c r="L2078" s="52"/>
      <c r="M2078" s="52"/>
      <c r="N2078" s="52"/>
      <c r="O2078" s="52"/>
      <c r="P2078" s="52"/>
      <c r="Q2078" s="52"/>
      <c r="R2078" s="52"/>
      <c r="S2078" s="52"/>
      <c r="T2078" s="52"/>
      <c r="U2078" s="52"/>
      <c r="V2078" s="52"/>
      <c r="W2078" s="52"/>
      <c r="X2078" s="52"/>
      <c r="Y2078" s="52"/>
      <c r="Z2078" s="52"/>
      <c r="AA2078" s="52"/>
      <c r="AB2078" s="52"/>
      <c r="AC2078" s="52"/>
      <c r="AD2078" s="52"/>
      <c r="AE2078" s="52"/>
      <c r="AF2078" s="52"/>
      <c r="AG2078" s="52"/>
      <c r="AH2078" s="52"/>
      <c r="AI2078" s="52"/>
      <c r="AJ2078" s="52"/>
      <c r="AK2078" s="52"/>
      <c r="AL2078" s="52"/>
      <c r="AM2078" s="52"/>
      <c r="AN2078" s="52"/>
    </row>
    <row r="2079" spans="1:40" x14ac:dyDescent="0.3">
      <c r="A2079" s="52">
        <v>2074</v>
      </c>
      <c r="B2079" s="52">
        <f>-bthan*500+(23+0.5)*bthan*1000/50</f>
        <v>-165</v>
      </c>
      <c r="C2079" s="52">
        <f t="shared" si="220"/>
        <v>30</v>
      </c>
      <c r="D2079" s="52">
        <f t="shared" si="218"/>
        <v>2200</v>
      </c>
      <c r="E2079" s="52">
        <f t="shared" si="219"/>
        <v>1</v>
      </c>
      <c r="F2079" s="52"/>
      <c r="G2079" s="52"/>
      <c r="H2079" s="52"/>
      <c r="I2079" s="52"/>
      <c r="J2079" s="52"/>
      <c r="K2079" s="52"/>
      <c r="L2079" s="52"/>
      <c r="M2079" s="52"/>
      <c r="N2079" s="52"/>
      <c r="O2079" s="52"/>
      <c r="P2079" s="52"/>
      <c r="Q2079" s="52"/>
      <c r="R2079" s="52"/>
      <c r="S2079" s="52"/>
      <c r="T2079" s="52"/>
      <c r="U2079" s="52"/>
      <c r="V2079" s="52"/>
      <c r="W2079" s="52"/>
      <c r="X2079" s="52"/>
      <c r="Y2079" s="52"/>
      <c r="Z2079" s="52"/>
      <c r="AA2079" s="52"/>
      <c r="AB2079" s="52"/>
      <c r="AC2079" s="52"/>
      <c r="AD2079" s="52"/>
      <c r="AE2079" s="52"/>
      <c r="AF2079" s="52"/>
      <c r="AG2079" s="52"/>
      <c r="AH2079" s="52"/>
      <c r="AI2079" s="52"/>
      <c r="AJ2079" s="52"/>
      <c r="AK2079" s="52"/>
      <c r="AL2079" s="52"/>
      <c r="AM2079" s="52"/>
      <c r="AN2079" s="52"/>
    </row>
    <row r="2080" spans="1:40" x14ac:dyDescent="0.3">
      <c r="A2080" s="52">
        <v>2075</v>
      </c>
      <c r="B2080" s="52">
        <f>-bthan*500+(24+0.5)*bthan*1000/50</f>
        <v>-55</v>
      </c>
      <c r="C2080" s="52">
        <f t="shared" si="220"/>
        <v>30</v>
      </c>
      <c r="D2080" s="52">
        <f t="shared" si="218"/>
        <v>2200</v>
      </c>
      <c r="E2080" s="52">
        <f t="shared" si="219"/>
        <v>1</v>
      </c>
      <c r="F2080" s="52"/>
      <c r="G2080" s="52"/>
      <c r="H2080" s="52"/>
      <c r="I2080" s="52"/>
      <c r="J2080" s="52"/>
      <c r="K2080" s="52"/>
      <c r="L2080" s="52"/>
      <c r="M2080" s="52"/>
      <c r="N2080" s="52"/>
      <c r="O2080" s="52"/>
      <c r="P2080" s="52"/>
      <c r="Q2080" s="52"/>
      <c r="R2080" s="52"/>
      <c r="S2080" s="52"/>
      <c r="T2080" s="52"/>
      <c r="U2080" s="52"/>
      <c r="V2080" s="52"/>
      <c r="W2080" s="52"/>
      <c r="X2080" s="52"/>
      <c r="Y2080" s="52"/>
      <c r="Z2080" s="52"/>
      <c r="AA2080" s="52"/>
      <c r="AB2080" s="52"/>
      <c r="AC2080" s="52"/>
      <c r="AD2080" s="52"/>
      <c r="AE2080" s="52"/>
      <c r="AF2080" s="52"/>
      <c r="AG2080" s="52"/>
      <c r="AH2080" s="52"/>
      <c r="AI2080" s="52"/>
      <c r="AJ2080" s="52"/>
      <c r="AK2080" s="52"/>
      <c r="AL2080" s="52"/>
      <c r="AM2080" s="52"/>
      <c r="AN2080" s="52"/>
    </row>
    <row r="2081" spans="1:40" x14ac:dyDescent="0.3">
      <c r="A2081" s="52">
        <v>2076</v>
      </c>
      <c r="B2081" s="52">
        <f>-bthan*500+(25+0.5)*bthan*1000/50</f>
        <v>55</v>
      </c>
      <c r="C2081" s="52">
        <f t="shared" si="220"/>
        <v>30</v>
      </c>
      <c r="D2081" s="52">
        <f t="shared" si="218"/>
        <v>2200</v>
      </c>
      <c r="E2081" s="52">
        <f t="shared" si="219"/>
        <v>1</v>
      </c>
      <c r="F2081" s="52"/>
      <c r="G2081" s="52"/>
      <c r="H2081" s="52"/>
      <c r="I2081" s="52"/>
      <c r="J2081" s="52"/>
      <c r="K2081" s="52"/>
      <c r="L2081" s="52"/>
      <c r="M2081" s="52"/>
      <c r="N2081" s="52"/>
      <c r="O2081" s="52"/>
      <c r="P2081" s="52"/>
      <c r="Q2081" s="52"/>
      <c r="R2081" s="52"/>
      <c r="S2081" s="52"/>
      <c r="T2081" s="52"/>
      <c r="U2081" s="52"/>
      <c r="V2081" s="52"/>
      <c r="W2081" s="52"/>
      <c r="X2081" s="52"/>
      <c r="Y2081" s="52"/>
      <c r="Z2081" s="52"/>
      <c r="AA2081" s="52"/>
      <c r="AB2081" s="52"/>
      <c r="AC2081" s="52"/>
      <c r="AD2081" s="52"/>
      <c r="AE2081" s="52"/>
      <c r="AF2081" s="52"/>
      <c r="AG2081" s="52"/>
      <c r="AH2081" s="52"/>
      <c r="AI2081" s="52"/>
      <c r="AJ2081" s="52"/>
      <c r="AK2081" s="52"/>
      <c r="AL2081" s="52"/>
      <c r="AM2081" s="52"/>
      <c r="AN2081" s="52"/>
    </row>
    <row r="2082" spans="1:40" x14ac:dyDescent="0.3">
      <c r="A2082" s="52">
        <v>2077</v>
      </c>
      <c r="B2082" s="52">
        <f>-bthan*500+(26+0.5)*bthan*1000/50</f>
        <v>165</v>
      </c>
      <c r="C2082" s="52">
        <f t="shared" si="220"/>
        <v>30</v>
      </c>
      <c r="D2082" s="52">
        <f t="shared" si="218"/>
        <v>2200</v>
      </c>
      <c r="E2082" s="52">
        <f t="shared" si="219"/>
        <v>1</v>
      </c>
      <c r="F2082" s="52"/>
      <c r="G2082" s="52"/>
      <c r="H2082" s="52"/>
      <c r="I2082" s="52"/>
      <c r="J2082" s="52"/>
      <c r="K2082" s="52"/>
      <c r="L2082" s="52"/>
      <c r="M2082" s="52"/>
      <c r="N2082" s="52"/>
      <c r="O2082" s="52"/>
      <c r="P2082" s="52"/>
      <c r="Q2082" s="52"/>
      <c r="R2082" s="52"/>
      <c r="S2082" s="52"/>
      <c r="T2082" s="52"/>
      <c r="U2082" s="52"/>
      <c r="V2082" s="52"/>
      <c r="W2082" s="52"/>
      <c r="X2082" s="52"/>
      <c r="Y2082" s="52"/>
      <c r="Z2082" s="52"/>
      <c r="AA2082" s="52"/>
      <c r="AB2082" s="52"/>
      <c r="AC2082" s="52"/>
      <c r="AD2082" s="52"/>
      <c r="AE2082" s="52"/>
      <c r="AF2082" s="52"/>
      <c r="AG2082" s="52"/>
      <c r="AH2082" s="52"/>
      <c r="AI2082" s="52"/>
      <c r="AJ2082" s="52"/>
      <c r="AK2082" s="52"/>
      <c r="AL2082" s="52"/>
      <c r="AM2082" s="52"/>
      <c r="AN2082" s="52"/>
    </row>
    <row r="2083" spans="1:40" x14ac:dyDescent="0.3">
      <c r="A2083" s="52">
        <v>2078</v>
      </c>
      <c r="B2083" s="52">
        <f>-bthan*500+(27+0.5)*bthan*1000/50</f>
        <v>275</v>
      </c>
      <c r="C2083" s="52">
        <f t="shared" si="220"/>
        <v>30</v>
      </c>
      <c r="D2083" s="52">
        <f t="shared" si="218"/>
        <v>2200</v>
      </c>
      <c r="E2083" s="52">
        <f t="shared" si="219"/>
        <v>1</v>
      </c>
      <c r="F2083" s="52"/>
      <c r="G2083" s="52"/>
      <c r="H2083" s="52"/>
      <c r="I2083" s="52"/>
      <c r="J2083" s="52"/>
      <c r="K2083" s="52"/>
      <c r="L2083" s="52"/>
      <c r="M2083" s="52"/>
      <c r="N2083" s="52"/>
      <c r="O2083" s="52"/>
      <c r="P2083" s="52"/>
      <c r="Q2083" s="52"/>
      <c r="R2083" s="52"/>
      <c r="S2083" s="52"/>
      <c r="T2083" s="52"/>
      <c r="U2083" s="52"/>
      <c r="V2083" s="52"/>
      <c r="W2083" s="52"/>
      <c r="X2083" s="52"/>
      <c r="Y2083" s="52"/>
      <c r="Z2083" s="52"/>
      <c r="AA2083" s="52"/>
      <c r="AB2083" s="52"/>
      <c r="AC2083" s="52"/>
      <c r="AD2083" s="52"/>
      <c r="AE2083" s="52"/>
      <c r="AF2083" s="52"/>
      <c r="AG2083" s="52"/>
      <c r="AH2083" s="52"/>
      <c r="AI2083" s="52"/>
      <c r="AJ2083" s="52"/>
      <c r="AK2083" s="52"/>
      <c r="AL2083" s="52"/>
      <c r="AM2083" s="52"/>
      <c r="AN2083" s="52"/>
    </row>
    <row r="2084" spans="1:40" x14ac:dyDescent="0.3">
      <c r="A2084" s="52">
        <v>2079</v>
      </c>
      <c r="B2084" s="52">
        <f>-bthan*500+(28+0.5)*bthan*1000/50</f>
        <v>385</v>
      </c>
      <c r="C2084" s="52">
        <f t="shared" si="220"/>
        <v>30</v>
      </c>
      <c r="D2084" s="52">
        <f t="shared" si="218"/>
        <v>2200</v>
      </c>
      <c r="E2084" s="52">
        <f t="shared" si="219"/>
        <v>1</v>
      </c>
      <c r="F2084" s="52"/>
      <c r="G2084" s="52"/>
      <c r="H2084" s="52"/>
      <c r="I2084" s="52"/>
      <c r="J2084" s="52"/>
      <c r="K2084" s="52"/>
      <c r="L2084" s="52"/>
      <c r="M2084" s="52"/>
      <c r="N2084" s="52"/>
      <c r="O2084" s="52"/>
      <c r="P2084" s="52"/>
      <c r="Q2084" s="52"/>
      <c r="R2084" s="52"/>
      <c r="S2084" s="52"/>
      <c r="T2084" s="52"/>
      <c r="U2084" s="52"/>
      <c r="V2084" s="52"/>
      <c r="W2084" s="52"/>
      <c r="X2084" s="52"/>
      <c r="Y2084" s="52"/>
      <c r="Z2084" s="52"/>
      <c r="AA2084" s="52"/>
      <c r="AB2084" s="52"/>
      <c r="AC2084" s="52"/>
      <c r="AD2084" s="52"/>
      <c r="AE2084" s="52"/>
      <c r="AF2084" s="52"/>
      <c r="AG2084" s="52"/>
      <c r="AH2084" s="52"/>
      <c r="AI2084" s="52"/>
      <c r="AJ2084" s="52"/>
      <c r="AK2084" s="52"/>
      <c r="AL2084" s="52"/>
      <c r="AM2084" s="52"/>
      <c r="AN2084" s="52"/>
    </row>
    <row r="2085" spans="1:40" x14ac:dyDescent="0.3">
      <c r="A2085" s="52">
        <v>2080</v>
      </c>
      <c r="B2085" s="52">
        <f>-bthan*500+(29+0.5)*bthan*1000/50</f>
        <v>495</v>
      </c>
      <c r="C2085" s="52">
        <f t="shared" si="220"/>
        <v>30</v>
      </c>
      <c r="D2085" s="52">
        <f t="shared" si="218"/>
        <v>2200</v>
      </c>
      <c r="E2085" s="52">
        <f t="shared" si="219"/>
        <v>1</v>
      </c>
      <c r="F2085" s="52"/>
      <c r="G2085" s="52"/>
      <c r="H2085" s="52"/>
      <c r="I2085" s="52"/>
      <c r="J2085" s="52"/>
      <c r="K2085" s="52"/>
      <c r="L2085" s="52"/>
      <c r="M2085" s="52"/>
      <c r="N2085" s="52"/>
      <c r="O2085" s="52"/>
      <c r="P2085" s="52"/>
      <c r="Q2085" s="52"/>
      <c r="R2085" s="52"/>
      <c r="S2085" s="52"/>
      <c r="T2085" s="52"/>
      <c r="U2085" s="52"/>
      <c r="V2085" s="52"/>
      <c r="W2085" s="52"/>
      <c r="X2085" s="52"/>
      <c r="Y2085" s="52"/>
      <c r="Z2085" s="52"/>
      <c r="AA2085" s="52"/>
      <c r="AB2085" s="52"/>
      <c r="AC2085" s="52"/>
      <c r="AD2085" s="52"/>
      <c r="AE2085" s="52"/>
      <c r="AF2085" s="52"/>
      <c r="AG2085" s="52"/>
      <c r="AH2085" s="52"/>
      <c r="AI2085" s="52"/>
      <c r="AJ2085" s="52"/>
      <c r="AK2085" s="52"/>
      <c r="AL2085" s="52"/>
      <c r="AM2085" s="52"/>
      <c r="AN2085" s="52"/>
    </row>
    <row r="2086" spans="1:40" x14ac:dyDescent="0.3">
      <c r="A2086" s="52">
        <v>2081</v>
      </c>
      <c r="B2086" s="52">
        <f>-bthan*500+(30+0.5)*bthan*1000/50</f>
        <v>605</v>
      </c>
      <c r="C2086" s="52">
        <f t="shared" si="220"/>
        <v>30</v>
      </c>
      <c r="D2086" s="52">
        <f t="shared" si="218"/>
        <v>2200</v>
      </c>
      <c r="E2086" s="52">
        <f t="shared" si="219"/>
        <v>1</v>
      </c>
      <c r="F2086" s="52"/>
      <c r="G2086" s="52"/>
      <c r="H2086" s="52"/>
      <c r="I2086" s="52"/>
      <c r="J2086" s="52"/>
      <c r="K2086" s="52"/>
      <c r="L2086" s="52"/>
      <c r="M2086" s="52"/>
      <c r="N2086" s="52"/>
      <c r="O2086" s="52"/>
      <c r="P2086" s="52"/>
      <c r="Q2086" s="52"/>
      <c r="R2086" s="52"/>
      <c r="S2086" s="52"/>
      <c r="T2086" s="52"/>
      <c r="U2086" s="52"/>
      <c r="V2086" s="52"/>
      <c r="W2086" s="52"/>
      <c r="X2086" s="52"/>
      <c r="Y2086" s="52"/>
      <c r="Z2086" s="52"/>
      <c r="AA2086" s="52"/>
      <c r="AB2086" s="52"/>
      <c r="AC2086" s="52"/>
      <c r="AD2086" s="52"/>
      <c r="AE2086" s="52"/>
      <c r="AF2086" s="52"/>
      <c r="AG2086" s="52"/>
      <c r="AH2086" s="52"/>
      <c r="AI2086" s="52"/>
      <c r="AJ2086" s="52"/>
      <c r="AK2086" s="52"/>
      <c r="AL2086" s="52"/>
      <c r="AM2086" s="52"/>
      <c r="AN2086" s="52"/>
    </row>
    <row r="2087" spans="1:40" x14ac:dyDescent="0.3">
      <c r="A2087" s="52">
        <v>2082</v>
      </c>
      <c r="B2087" s="52">
        <f>-bthan*500+(31+0.5)*bthan*1000/50</f>
        <v>715</v>
      </c>
      <c r="C2087" s="52">
        <f t="shared" si="220"/>
        <v>30</v>
      </c>
      <c r="D2087" s="52">
        <f t="shared" si="218"/>
        <v>2200</v>
      </c>
      <c r="E2087" s="52">
        <f t="shared" si="219"/>
        <v>1</v>
      </c>
      <c r="F2087" s="52"/>
      <c r="G2087" s="52"/>
      <c r="H2087" s="52"/>
      <c r="I2087" s="52"/>
      <c r="J2087" s="52"/>
      <c r="K2087" s="52"/>
      <c r="L2087" s="52"/>
      <c r="M2087" s="52"/>
      <c r="N2087" s="52"/>
      <c r="O2087" s="52"/>
      <c r="P2087" s="52"/>
      <c r="Q2087" s="52"/>
      <c r="R2087" s="52"/>
      <c r="S2087" s="52"/>
      <c r="T2087" s="52"/>
      <c r="U2087" s="52"/>
      <c r="V2087" s="52"/>
      <c r="W2087" s="52"/>
      <c r="X2087" s="52"/>
      <c r="Y2087" s="52"/>
      <c r="Z2087" s="52"/>
      <c r="AA2087" s="52"/>
      <c r="AB2087" s="52"/>
      <c r="AC2087" s="52"/>
      <c r="AD2087" s="52"/>
      <c r="AE2087" s="52"/>
      <c r="AF2087" s="52"/>
      <c r="AG2087" s="52"/>
      <c r="AH2087" s="52"/>
      <c r="AI2087" s="52"/>
      <c r="AJ2087" s="52"/>
      <c r="AK2087" s="52"/>
      <c r="AL2087" s="52"/>
      <c r="AM2087" s="52"/>
      <c r="AN2087" s="52"/>
    </row>
    <row r="2088" spans="1:40" x14ac:dyDescent="0.3">
      <c r="A2088" s="52">
        <v>2083</v>
      </c>
      <c r="B2088" s="52">
        <f>-bthan*500+(32+0.5)*bthan*1000/50</f>
        <v>825</v>
      </c>
      <c r="C2088" s="52">
        <f t="shared" ref="C2088:C2105" si="221">-hthan*500+(41+0.5)*hthan*1000/80</f>
        <v>30</v>
      </c>
      <c r="D2088" s="52">
        <f t="shared" si="218"/>
        <v>2200</v>
      </c>
      <c r="E2088" s="52">
        <f t="shared" si="219"/>
        <v>1</v>
      </c>
      <c r="F2088" s="52"/>
      <c r="G2088" s="52"/>
      <c r="H2088" s="52"/>
      <c r="I2088" s="52"/>
      <c r="J2088" s="52"/>
      <c r="K2088" s="52"/>
      <c r="L2088" s="52"/>
      <c r="M2088" s="52"/>
      <c r="N2088" s="52"/>
      <c r="O2088" s="52"/>
      <c r="P2088" s="52"/>
      <c r="Q2088" s="52"/>
      <c r="R2088" s="52"/>
      <c r="S2088" s="52"/>
      <c r="T2088" s="52"/>
      <c r="U2088" s="52"/>
      <c r="V2088" s="52"/>
      <c r="W2088" s="52"/>
      <c r="X2088" s="52"/>
      <c r="Y2088" s="52"/>
      <c r="Z2088" s="52"/>
      <c r="AA2088" s="52"/>
      <c r="AB2088" s="52"/>
      <c r="AC2088" s="52"/>
      <c r="AD2088" s="52"/>
      <c r="AE2088" s="52"/>
      <c r="AF2088" s="52"/>
      <c r="AG2088" s="52"/>
      <c r="AH2088" s="52"/>
      <c r="AI2088" s="52"/>
      <c r="AJ2088" s="52"/>
      <c r="AK2088" s="52"/>
      <c r="AL2088" s="52"/>
      <c r="AM2088" s="52"/>
      <c r="AN2088" s="52"/>
    </row>
    <row r="2089" spans="1:40" x14ac:dyDescent="0.3">
      <c r="A2089" s="52">
        <v>2084</v>
      </c>
      <c r="B2089" s="52">
        <f>-bthan*500+(33+0.5)*bthan*1000/50</f>
        <v>935</v>
      </c>
      <c r="C2089" s="52">
        <f t="shared" si="221"/>
        <v>30</v>
      </c>
      <c r="D2089" s="52">
        <f t="shared" si="218"/>
        <v>2200</v>
      </c>
      <c r="E2089" s="52">
        <f t="shared" si="219"/>
        <v>1</v>
      </c>
      <c r="F2089" s="52"/>
      <c r="G2089" s="52"/>
      <c r="H2089" s="52"/>
      <c r="I2089" s="52"/>
      <c r="J2089" s="52"/>
      <c r="K2089" s="52"/>
      <c r="L2089" s="52"/>
      <c r="M2089" s="52"/>
      <c r="N2089" s="52"/>
      <c r="O2089" s="52"/>
      <c r="P2089" s="52"/>
      <c r="Q2089" s="52"/>
      <c r="R2089" s="52"/>
      <c r="S2089" s="52"/>
      <c r="T2089" s="52"/>
      <c r="U2089" s="52"/>
      <c r="V2089" s="52"/>
      <c r="W2089" s="52"/>
      <c r="X2089" s="52"/>
      <c r="Y2089" s="52"/>
      <c r="Z2089" s="52"/>
      <c r="AA2089" s="52"/>
      <c r="AB2089" s="52"/>
      <c r="AC2089" s="52"/>
      <c r="AD2089" s="52"/>
      <c r="AE2089" s="52"/>
      <c r="AF2089" s="52"/>
      <c r="AG2089" s="52"/>
      <c r="AH2089" s="52"/>
      <c r="AI2089" s="52"/>
      <c r="AJ2089" s="52"/>
      <c r="AK2089" s="52"/>
      <c r="AL2089" s="52"/>
      <c r="AM2089" s="52"/>
      <c r="AN2089" s="52"/>
    </row>
    <row r="2090" spans="1:40" x14ac:dyDescent="0.3">
      <c r="A2090" s="52">
        <v>2085</v>
      </c>
      <c r="B2090" s="52">
        <f>-bthan*500+(34+0.5)*bthan*1000/50</f>
        <v>1045</v>
      </c>
      <c r="C2090" s="52">
        <f t="shared" si="221"/>
        <v>30</v>
      </c>
      <c r="D2090" s="52">
        <f t="shared" si="218"/>
        <v>2200</v>
      </c>
      <c r="E2090" s="52">
        <f t="shared" si="219"/>
        <v>1</v>
      </c>
      <c r="F2090" s="52"/>
      <c r="G2090" s="52"/>
      <c r="H2090" s="52"/>
      <c r="I2090" s="52"/>
      <c r="J2090" s="52"/>
      <c r="K2090" s="52"/>
      <c r="L2090" s="52"/>
      <c r="M2090" s="52"/>
      <c r="N2090" s="52"/>
      <c r="O2090" s="52"/>
      <c r="P2090" s="52"/>
      <c r="Q2090" s="52"/>
      <c r="R2090" s="52"/>
      <c r="S2090" s="52"/>
      <c r="T2090" s="52"/>
      <c r="U2090" s="52"/>
      <c r="V2090" s="52"/>
      <c r="W2090" s="52"/>
      <c r="X2090" s="52"/>
      <c r="Y2090" s="52"/>
      <c r="Z2090" s="52"/>
      <c r="AA2090" s="52"/>
      <c r="AB2090" s="52"/>
      <c r="AC2090" s="52"/>
      <c r="AD2090" s="52"/>
      <c r="AE2090" s="52"/>
      <c r="AF2090" s="52"/>
      <c r="AG2090" s="52"/>
      <c r="AH2090" s="52"/>
      <c r="AI2090" s="52"/>
      <c r="AJ2090" s="52"/>
      <c r="AK2090" s="52"/>
      <c r="AL2090" s="52"/>
      <c r="AM2090" s="52"/>
      <c r="AN2090" s="52"/>
    </row>
    <row r="2091" spans="1:40" x14ac:dyDescent="0.3">
      <c r="A2091" s="52">
        <v>2086</v>
      </c>
      <c r="B2091" s="52">
        <f>-bthan*500+(35+0.5)*bthan*1000/50</f>
        <v>1155</v>
      </c>
      <c r="C2091" s="52">
        <f t="shared" si="221"/>
        <v>30</v>
      </c>
      <c r="D2091" s="52">
        <f t="shared" si="218"/>
        <v>2200</v>
      </c>
      <c r="E2091" s="52">
        <f t="shared" si="219"/>
        <v>1</v>
      </c>
      <c r="F2091" s="52"/>
      <c r="G2091" s="52"/>
      <c r="H2091" s="52"/>
      <c r="I2091" s="52"/>
      <c r="J2091" s="52"/>
      <c r="K2091" s="52"/>
      <c r="L2091" s="52"/>
      <c r="M2091" s="52"/>
      <c r="N2091" s="52"/>
      <c r="O2091" s="52"/>
      <c r="P2091" s="52"/>
      <c r="Q2091" s="52"/>
      <c r="R2091" s="52"/>
      <c r="S2091" s="52"/>
      <c r="T2091" s="52"/>
      <c r="U2091" s="52"/>
      <c r="V2091" s="52"/>
      <c r="W2091" s="52"/>
      <c r="X2091" s="52"/>
      <c r="Y2091" s="52"/>
      <c r="Z2091" s="52"/>
      <c r="AA2091" s="52"/>
      <c r="AB2091" s="52"/>
      <c r="AC2091" s="52"/>
      <c r="AD2091" s="52"/>
      <c r="AE2091" s="52"/>
      <c r="AF2091" s="52"/>
      <c r="AG2091" s="52"/>
      <c r="AH2091" s="52"/>
      <c r="AI2091" s="52"/>
      <c r="AJ2091" s="52"/>
      <c r="AK2091" s="52"/>
      <c r="AL2091" s="52"/>
      <c r="AM2091" s="52"/>
      <c r="AN2091" s="52"/>
    </row>
    <row r="2092" spans="1:40" x14ac:dyDescent="0.3">
      <c r="A2092" s="52">
        <v>2087</v>
      </c>
      <c r="B2092" s="52">
        <f>-bthan*500+(36+0.5)*bthan*1000/50</f>
        <v>1265</v>
      </c>
      <c r="C2092" s="52">
        <f t="shared" si="221"/>
        <v>30</v>
      </c>
      <c r="D2092" s="52">
        <f t="shared" si="218"/>
        <v>2200</v>
      </c>
      <c r="E2092" s="52">
        <f t="shared" si="219"/>
        <v>1</v>
      </c>
      <c r="F2092" s="52"/>
      <c r="G2092" s="52"/>
      <c r="H2092" s="52"/>
      <c r="I2092" s="52"/>
      <c r="J2092" s="52"/>
      <c r="K2092" s="52"/>
      <c r="L2092" s="52"/>
      <c r="M2092" s="52"/>
      <c r="N2092" s="52"/>
      <c r="O2092" s="52"/>
      <c r="P2092" s="52"/>
      <c r="Q2092" s="52"/>
      <c r="R2092" s="52"/>
      <c r="S2092" s="52"/>
      <c r="T2092" s="52"/>
      <c r="U2092" s="52"/>
      <c r="V2092" s="52"/>
      <c r="W2092" s="52"/>
      <c r="X2092" s="52"/>
      <c r="Y2092" s="52"/>
      <c r="Z2092" s="52"/>
      <c r="AA2092" s="52"/>
      <c r="AB2092" s="52"/>
      <c r="AC2092" s="52"/>
      <c r="AD2092" s="52"/>
      <c r="AE2092" s="52"/>
      <c r="AF2092" s="52"/>
      <c r="AG2092" s="52"/>
      <c r="AH2092" s="52"/>
      <c r="AI2092" s="52"/>
      <c r="AJ2092" s="52"/>
      <c r="AK2092" s="52"/>
      <c r="AL2092" s="52"/>
      <c r="AM2092" s="52"/>
      <c r="AN2092" s="52"/>
    </row>
    <row r="2093" spans="1:40" x14ac:dyDescent="0.3">
      <c r="A2093" s="52">
        <v>2088</v>
      </c>
      <c r="B2093" s="52">
        <f>-bthan*500+(37+0.5)*bthan*1000/50</f>
        <v>1375</v>
      </c>
      <c r="C2093" s="52">
        <f t="shared" si="221"/>
        <v>30</v>
      </c>
      <c r="D2093" s="52">
        <f t="shared" si="218"/>
        <v>2200</v>
      </c>
      <c r="E2093" s="52">
        <f t="shared" si="219"/>
        <v>1</v>
      </c>
      <c r="F2093" s="52"/>
      <c r="G2093" s="52"/>
      <c r="H2093" s="52"/>
      <c r="I2093" s="52"/>
      <c r="J2093" s="52"/>
      <c r="K2093" s="52"/>
      <c r="L2093" s="52"/>
      <c r="M2093" s="52"/>
      <c r="N2093" s="52"/>
      <c r="O2093" s="52"/>
      <c r="P2093" s="52"/>
      <c r="Q2093" s="52"/>
      <c r="R2093" s="52"/>
      <c r="S2093" s="52"/>
      <c r="T2093" s="52"/>
      <c r="U2093" s="52"/>
      <c r="V2093" s="52"/>
      <c r="W2093" s="52"/>
      <c r="X2093" s="52"/>
      <c r="Y2093" s="52"/>
      <c r="Z2093" s="52"/>
      <c r="AA2093" s="52"/>
      <c r="AB2093" s="52"/>
      <c r="AC2093" s="52"/>
      <c r="AD2093" s="52"/>
      <c r="AE2093" s="52"/>
      <c r="AF2093" s="52"/>
      <c r="AG2093" s="52"/>
      <c r="AH2093" s="52"/>
      <c r="AI2093" s="52"/>
      <c r="AJ2093" s="52"/>
      <c r="AK2093" s="52"/>
      <c r="AL2093" s="52"/>
      <c r="AM2093" s="52"/>
      <c r="AN2093" s="52"/>
    </row>
    <row r="2094" spans="1:40" x14ac:dyDescent="0.3">
      <c r="A2094" s="52">
        <v>2089</v>
      </c>
      <c r="B2094" s="52">
        <f>-bthan*500+(38+0.5)*bthan*1000/50</f>
        <v>1485</v>
      </c>
      <c r="C2094" s="52">
        <f t="shared" si="221"/>
        <v>30</v>
      </c>
      <c r="D2094" s="52">
        <f t="shared" si="218"/>
        <v>2200</v>
      </c>
      <c r="E2094" s="52">
        <f t="shared" si="219"/>
        <v>1</v>
      </c>
      <c r="F2094" s="52"/>
      <c r="G2094" s="52"/>
      <c r="H2094" s="52"/>
      <c r="I2094" s="52"/>
      <c r="J2094" s="52"/>
      <c r="K2094" s="52"/>
      <c r="L2094" s="52"/>
      <c r="M2094" s="52"/>
      <c r="N2094" s="52"/>
      <c r="O2094" s="52"/>
      <c r="P2094" s="52"/>
      <c r="Q2094" s="52"/>
      <c r="R2094" s="52"/>
      <c r="S2094" s="52"/>
      <c r="T2094" s="52"/>
      <c r="U2094" s="52"/>
      <c r="V2094" s="52"/>
      <c r="W2094" s="52"/>
      <c r="X2094" s="52"/>
      <c r="Y2094" s="52"/>
      <c r="Z2094" s="52"/>
      <c r="AA2094" s="52"/>
      <c r="AB2094" s="52"/>
      <c r="AC2094" s="52"/>
      <c r="AD2094" s="52"/>
      <c r="AE2094" s="52"/>
      <c r="AF2094" s="52"/>
      <c r="AG2094" s="52"/>
      <c r="AH2094" s="52"/>
      <c r="AI2094" s="52"/>
      <c r="AJ2094" s="52"/>
      <c r="AK2094" s="52"/>
      <c r="AL2094" s="52"/>
      <c r="AM2094" s="52"/>
      <c r="AN2094" s="52"/>
    </row>
    <row r="2095" spans="1:40" x14ac:dyDescent="0.3">
      <c r="A2095" s="52">
        <v>2090</v>
      </c>
      <c r="B2095" s="52">
        <f>-bthan*500+(39+0.5)*bthan*1000/50</f>
        <v>1595</v>
      </c>
      <c r="C2095" s="52">
        <f t="shared" si="221"/>
        <v>30</v>
      </c>
      <c r="D2095" s="52">
        <f t="shared" si="218"/>
        <v>2200</v>
      </c>
      <c r="E2095" s="52">
        <f t="shared" si="219"/>
        <v>1</v>
      </c>
      <c r="F2095" s="52"/>
      <c r="G2095" s="52"/>
      <c r="H2095" s="52"/>
      <c r="I2095" s="52"/>
      <c r="J2095" s="52"/>
      <c r="K2095" s="52"/>
      <c r="L2095" s="52"/>
      <c r="M2095" s="52"/>
      <c r="N2095" s="52"/>
      <c r="O2095" s="52"/>
      <c r="P2095" s="52"/>
      <c r="Q2095" s="52"/>
      <c r="R2095" s="52"/>
      <c r="S2095" s="52"/>
      <c r="T2095" s="52"/>
      <c r="U2095" s="52"/>
      <c r="V2095" s="52"/>
      <c r="W2095" s="52"/>
      <c r="X2095" s="52"/>
      <c r="Y2095" s="52"/>
      <c r="Z2095" s="52"/>
      <c r="AA2095" s="52"/>
      <c r="AB2095" s="52"/>
      <c r="AC2095" s="52"/>
      <c r="AD2095" s="52"/>
      <c r="AE2095" s="52"/>
      <c r="AF2095" s="52"/>
      <c r="AG2095" s="52"/>
      <c r="AH2095" s="52"/>
      <c r="AI2095" s="52"/>
      <c r="AJ2095" s="52"/>
      <c r="AK2095" s="52"/>
      <c r="AL2095" s="52"/>
      <c r="AM2095" s="52"/>
      <c r="AN2095" s="52"/>
    </row>
    <row r="2096" spans="1:40" x14ac:dyDescent="0.3">
      <c r="A2096" s="52">
        <v>2091</v>
      </c>
      <c r="B2096" s="52">
        <f>-bthan*500+(40+0.5)*bthan*1000/50</f>
        <v>1705</v>
      </c>
      <c r="C2096" s="52">
        <f t="shared" si="221"/>
        <v>30</v>
      </c>
      <c r="D2096" s="52">
        <f t="shared" si="218"/>
        <v>2200</v>
      </c>
      <c r="E2096" s="52">
        <f t="shared" si="219"/>
        <v>1</v>
      </c>
      <c r="F2096" s="52"/>
      <c r="G2096" s="52"/>
      <c r="H2096" s="52"/>
      <c r="I2096" s="52"/>
      <c r="J2096" s="52"/>
      <c r="K2096" s="52"/>
      <c r="L2096" s="52"/>
      <c r="M2096" s="52"/>
      <c r="N2096" s="52"/>
      <c r="O2096" s="52"/>
      <c r="P2096" s="52"/>
      <c r="Q2096" s="52"/>
      <c r="R2096" s="52"/>
      <c r="S2096" s="52"/>
      <c r="T2096" s="52"/>
      <c r="U2096" s="52"/>
      <c r="V2096" s="52"/>
      <c r="W2096" s="52"/>
      <c r="X2096" s="52"/>
      <c r="Y2096" s="52"/>
      <c r="Z2096" s="52"/>
      <c r="AA2096" s="52"/>
      <c r="AB2096" s="52"/>
      <c r="AC2096" s="52"/>
      <c r="AD2096" s="52"/>
      <c r="AE2096" s="52"/>
      <c r="AF2096" s="52"/>
      <c r="AG2096" s="52"/>
      <c r="AH2096" s="52"/>
      <c r="AI2096" s="52"/>
      <c r="AJ2096" s="52"/>
      <c r="AK2096" s="52"/>
      <c r="AL2096" s="52"/>
      <c r="AM2096" s="52"/>
      <c r="AN2096" s="52"/>
    </row>
    <row r="2097" spans="1:40" x14ac:dyDescent="0.3">
      <c r="A2097" s="52">
        <v>2092</v>
      </c>
      <c r="B2097" s="52">
        <f>-bthan*500+(41+0.5)*bthan*1000/50</f>
        <v>1815</v>
      </c>
      <c r="C2097" s="52">
        <f t="shared" si="221"/>
        <v>30</v>
      </c>
      <c r="D2097" s="52">
        <f t="shared" si="218"/>
        <v>2200</v>
      </c>
      <c r="E2097" s="52">
        <f t="shared" si="219"/>
        <v>1</v>
      </c>
      <c r="F2097" s="52"/>
      <c r="G2097" s="52"/>
      <c r="H2097" s="52"/>
      <c r="I2097" s="52"/>
      <c r="J2097" s="52"/>
      <c r="K2097" s="52"/>
      <c r="L2097" s="52"/>
      <c r="M2097" s="52"/>
      <c r="N2097" s="52"/>
      <c r="O2097" s="52"/>
      <c r="P2097" s="52"/>
      <c r="Q2097" s="52"/>
      <c r="R2097" s="52"/>
      <c r="S2097" s="52"/>
      <c r="T2097" s="52"/>
      <c r="U2097" s="52"/>
      <c r="V2097" s="52"/>
      <c r="W2097" s="52"/>
      <c r="X2097" s="52"/>
      <c r="Y2097" s="52"/>
      <c r="Z2097" s="52"/>
      <c r="AA2097" s="52"/>
      <c r="AB2097" s="52"/>
      <c r="AC2097" s="52"/>
      <c r="AD2097" s="52"/>
      <c r="AE2097" s="52"/>
      <c r="AF2097" s="52"/>
      <c r="AG2097" s="52"/>
      <c r="AH2097" s="52"/>
      <c r="AI2097" s="52"/>
      <c r="AJ2097" s="52"/>
      <c r="AK2097" s="52"/>
      <c r="AL2097" s="52"/>
      <c r="AM2097" s="52"/>
      <c r="AN2097" s="52"/>
    </row>
    <row r="2098" spans="1:40" x14ac:dyDescent="0.3">
      <c r="A2098" s="52">
        <v>2093</v>
      </c>
      <c r="B2098" s="52">
        <f>-bthan*500+(42+0.5)*bthan*1000/50</f>
        <v>1925</v>
      </c>
      <c r="C2098" s="52">
        <f t="shared" si="221"/>
        <v>30</v>
      </c>
      <c r="D2098" s="52">
        <f t="shared" si="218"/>
        <v>2200</v>
      </c>
      <c r="E2098" s="52">
        <f t="shared" si="219"/>
        <v>1</v>
      </c>
      <c r="F2098" s="52"/>
      <c r="G2098" s="52"/>
      <c r="H2098" s="52"/>
      <c r="I2098" s="52"/>
      <c r="J2098" s="52"/>
      <c r="K2098" s="52"/>
      <c r="L2098" s="52"/>
      <c r="M2098" s="52"/>
      <c r="N2098" s="52"/>
      <c r="O2098" s="52"/>
      <c r="P2098" s="52"/>
      <c r="Q2098" s="52"/>
      <c r="R2098" s="52"/>
      <c r="S2098" s="52"/>
      <c r="T2098" s="52"/>
      <c r="U2098" s="52"/>
      <c r="V2098" s="52"/>
      <c r="W2098" s="52"/>
      <c r="X2098" s="52"/>
      <c r="Y2098" s="52"/>
      <c r="Z2098" s="52"/>
      <c r="AA2098" s="52"/>
      <c r="AB2098" s="52"/>
      <c r="AC2098" s="52"/>
      <c r="AD2098" s="52"/>
      <c r="AE2098" s="52"/>
      <c r="AF2098" s="52"/>
      <c r="AG2098" s="52"/>
      <c r="AH2098" s="52"/>
      <c r="AI2098" s="52"/>
      <c r="AJ2098" s="52"/>
      <c r="AK2098" s="52"/>
      <c r="AL2098" s="52"/>
      <c r="AM2098" s="52"/>
      <c r="AN2098" s="52"/>
    </row>
    <row r="2099" spans="1:40" x14ac:dyDescent="0.3">
      <c r="A2099" s="52">
        <v>2094</v>
      </c>
      <c r="B2099" s="52">
        <f>-bthan*500+(43+0.5)*bthan*1000/50</f>
        <v>2035</v>
      </c>
      <c r="C2099" s="52">
        <f t="shared" si="221"/>
        <v>30</v>
      </c>
      <c r="D2099" s="52">
        <f t="shared" si="218"/>
        <v>2200</v>
      </c>
      <c r="E2099" s="52">
        <f t="shared" si="219"/>
        <v>1</v>
      </c>
      <c r="F2099" s="52"/>
      <c r="G2099" s="52"/>
      <c r="H2099" s="52"/>
      <c r="I2099" s="52"/>
      <c r="J2099" s="52"/>
      <c r="K2099" s="52"/>
      <c r="L2099" s="52"/>
      <c r="M2099" s="52"/>
      <c r="N2099" s="52"/>
      <c r="O2099" s="52"/>
      <c r="P2099" s="52"/>
      <c r="Q2099" s="52"/>
      <c r="R2099" s="52"/>
      <c r="S2099" s="52"/>
      <c r="T2099" s="52"/>
      <c r="U2099" s="52"/>
      <c r="V2099" s="52"/>
      <c r="W2099" s="52"/>
      <c r="X2099" s="52"/>
      <c r="Y2099" s="52"/>
      <c r="Z2099" s="52"/>
      <c r="AA2099" s="52"/>
      <c r="AB2099" s="52"/>
      <c r="AC2099" s="52"/>
      <c r="AD2099" s="52"/>
      <c r="AE2099" s="52"/>
      <c r="AF2099" s="52"/>
      <c r="AG2099" s="52"/>
      <c r="AH2099" s="52"/>
      <c r="AI2099" s="52"/>
      <c r="AJ2099" s="52"/>
      <c r="AK2099" s="52"/>
      <c r="AL2099" s="52"/>
      <c r="AM2099" s="52"/>
      <c r="AN2099" s="52"/>
    </row>
    <row r="2100" spans="1:40" x14ac:dyDescent="0.3">
      <c r="A2100" s="52">
        <v>2095</v>
      </c>
      <c r="B2100" s="52">
        <f>-bthan*500+(44+0.5)*bthan*1000/50</f>
        <v>2145</v>
      </c>
      <c r="C2100" s="52">
        <f t="shared" si="221"/>
        <v>30</v>
      </c>
      <c r="D2100" s="52">
        <f t="shared" si="218"/>
        <v>2200</v>
      </c>
      <c r="E2100" s="52">
        <f t="shared" si="219"/>
        <v>1</v>
      </c>
      <c r="F2100" s="52"/>
      <c r="G2100" s="52"/>
      <c r="H2100" s="52"/>
      <c r="I2100" s="52"/>
      <c r="J2100" s="52"/>
      <c r="K2100" s="52"/>
      <c r="L2100" s="52"/>
      <c r="M2100" s="52"/>
      <c r="N2100" s="52"/>
      <c r="O2100" s="52"/>
      <c r="P2100" s="52"/>
      <c r="Q2100" s="52"/>
      <c r="R2100" s="52"/>
      <c r="S2100" s="52"/>
      <c r="T2100" s="52"/>
      <c r="U2100" s="52"/>
      <c r="V2100" s="52"/>
      <c r="W2100" s="52"/>
      <c r="X2100" s="52"/>
      <c r="Y2100" s="52"/>
      <c r="Z2100" s="52"/>
      <c r="AA2100" s="52"/>
      <c r="AB2100" s="52"/>
      <c r="AC2100" s="52"/>
      <c r="AD2100" s="52"/>
      <c r="AE2100" s="52"/>
      <c r="AF2100" s="52"/>
      <c r="AG2100" s="52"/>
      <c r="AH2100" s="52"/>
      <c r="AI2100" s="52"/>
      <c r="AJ2100" s="52"/>
      <c r="AK2100" s="52"/>
      <c r="AL2100" s="52"/>
      <c r="AM2100" s="52"/>
      <c r="AN2100" s="52"/>
    </row>
    <row r="2101" spans="1:40" x14ac:dyDescent="0.3">
      <c r="A2101" s="52">
        <v>2096</v>
      </c>
      <c r="B2101" s="52">
        <f>-bthan*500+(45+0.5)*bthan*1000/50</f>
        <v>2255</v>
      </c>
      <c r="C2101" s="52">
        <f t="shared" si="221"/>
        <v>30</v>
      </c>
      <c r="D2101" s="52">
        <f t="shared" si="218"/>
        <v>2200</v>
      </c>
      <c r="E2101" s="52">
        <f t="shared" si="219"/>
        <v>1</v>
      </c>
      <c r="F2101" s="52"/>
      <c r="G2101" s="52"/>
      <c r="H2101" s="52"/>
      <c r="I2101" s="52"/>
      <c r="J2101" s="52"/>
      <c r="K2101" s="52"/>
      <c r="L2101" s="52"/>
      <c r="M2101" s="52"/>
      <c r="N2101" s="52"/>
      <c r="O2101" s="52"/>
      <c r="P2101" s="52"/>
      <c r="Q2101" s="52"/>
      <c r="R2101" s="52"/>
      <c r="S2101" s="52"/>
      <c r="T2101" s="52"/>
      <c r="U2101" s="52"/>
      <c r="V2101" s="52"/>
      <c r="W2101" s="52"/>
      <c r="X2101" s="52"/>
      <c r="Y2101" s="52"/>
      <c r="Z2101" s="52"/>
      <c r="AA2101" s="52"/>
      <c r="AB2101" s="52"/>
      <c r="AC2101" s="52"/>
      <c r="AD2101" s="52"/>
      <c r="AE2101" s="52"/>
      <c r="AF2101" s="52"/>
      <c r="AG2101" s="52"/>
      <c r="AH2101" s="52"/>
      <c r="AI2101" s="52"/>
      <c r="AJ2101" s="52"/>
      <c r="AK2101" s="52"/>
      <c r="AL2101" s="52"/>
      <c r="AM2101" s="52"/>
      <c r="AN2101" s="52"/>
    </row>
    <row r="2102" spans="1:40" x14ac:dyDescent="0.3">
      <c r="A2102" s="52">
        <v>2097</v>
      </c>
      <c r="B2102" s="52">
        <f>-bthan*500+(46+0.5)*bthan*1000/50</f>
        <v>2365</v>
      </c>
      <c r="C2102" s="52">
        <f t="shared" si="221"/>
        <v>30</v>
      </c>
      <c r="D2102" s="52">
        <f t="shared" si="218"/>
        <v>2200</v>
      </c>
      <c r="E2102" s="52">
        <f t="shared" si="219"/>
        <v>1</v>
      </c>
      <c r="F2102" s="52"/>
      <c r="G2102" s="52"/>
      <c r="H2102" s="52"/>
      <c r="I2102" s="52"/>
      <c r="J2102" s="52"/>
      <c r="K2102" s="52"/>
      <c r="L2102" s="52"/>
      <c r="M2102" s="52"/>
      <c r="N2102" s="52"/>
      <c r="O2102" s="52"/>
      <c r="P2102" s="52"/>
      <c r="Q2102" s="52"/>
      <c r="R2102" s="52"/>
      <c r="S2102" s="52"/>
      <c r="T2102" s="52"/>
      <c r="U2102" s="52"/>
      <c r="V2102" s="52"/>
      <c r="W2102" s="52"/>
      <c r="X2102" s="52"/>
      <c r="Y2102" s="52"/>
      <c r="Z2102" s="52"/>
      <c r="AA2102" s="52"/>
      <c r="AB2102" s="52"/>
      <c r="AC2102" s="52"/>
      <c r="AD2102" s="52"/>
      <c r="AE2102" s="52"/>
      <c r="AF2102" s="52"/>
      <c r="AG2102" s="52"/>
      <c r="AH2102" s="52"/>
      <c r="AI2102" s="52"/>
      <c r="AJ2102" s="52"/>
      <c r="AK2102" s="52"/>
      <c r="AL2102" s="52"/>
      <c r="AM2102" s="52"/>
      <c r="AN2102" s="52"/>
    </row>
    <row r="2103" spans="1:40" x14ac:dyDescent="0.3">
      <c r="A2103" s="52">
        <v>2098</v>
      </c>
      <c r="B2103" s="52">
        <f>-bthan*500+(47+0.5)*bthan*1000/50</f>
        <v>2475</v>
      </c>
      <c r="C2103" s="52">
        <f t="shared" si="221"/>
        <v>30</v>
      </c>
      <c r="D2103" s="52">
        <f t="shared" si="218"/>
        <v>2200</v>
      </c>
      <c r="E2103" s="52">
        <f t="shared" si="219"/>
        <v>1</v>
      </c>
      <c r="F2103" s="52"/>
      <c r="G2103" s="52"/>
      <c r="H2103" s="52"/>
      <c r="I2103" s="52"/>
      <c r="J2103" s="52"/>
      <c r="K2103" s="52"/>
      <c r="L2103" s="52"/>
      <c r="M2103" s="52"/>
      <c r="N2103" s="52"/>
      <c r="O2103" s="52"/>
      <c r="P2103" s="52"/>
      <c r="Q2103" s="52"/>
      <c r="R2103" s="52"/>
      <c r="S2103" s="52"/>
      <c r="T2103" s="52"/>
      <c r="U2103" s="52"/>
      <c r="V2103" s="52"/>
      <c r="W2103" s="52"/>
      <c r="X2103" s="52"/>
      <c r="Y2103" s="52"/>
      <c r="Z2103" s="52"/>
      <c r="AA2103" s="52"/>
      <c r="AB2103" s="52"/>
      <c r="AC2103" s="52"/>
      <c r="AD2103" s="52"/>
      <c r="AE2103" s="52"/>
      <c r="AF2103" s="52"/>
      <c r="AG2103" s="52"/>
      <c r="AH2103" s="52"/>
      <c r="AI2103" s="52"/>
      <c r="AJ2103" s="52"/>
      <c r="AK2103" s="52"/>
      <c r="AL2103" s="52"/>
      <c r="AM2103" s="52"/>
      <c r="AN2103" s="52"/>
    </row>
    <row r="2104" spans="1:40" x14ac:dyDescent="0.3">
      <c r="A2104" s="52">
        <v>2099</v>
      </c>
      <c r="B2104" s="52">
        <f>-bthan*500+(48+0.5)*bthan*1000/50</f>
        <v>2585</v>
      </c>
      <c r="C2104" s="52">
        <f t="shared" si="221"/>
        <v>30</v>
      </c>
      <c r="D2104" s="52">
        <f t="shared" si="218"/>
        <v>2200</v>
      </c>
      <c r="E2104" s="52">
        <f t="shared" si="219"/>
        <v>1</v>
      </c>
      <c r="F2104" s="52"/>
      <c r="G2104" s="52"/>
      <c r="H2104" s="52"/>
      <c r="I2104" s="52"/>
      <c r="J2104" s="52"/>
      <c r="K2104" s="52"/>
      <c r="L2104" s="52"/>
      <c r="M2104" s="52"/>
      <c r="N2104" s="52"/>
      <c r="O2104" s="52"/>
      <c r="P2104" s="52"/>
      <c r="Q2104" s="52"/>
      <c r="R2104" s="52"/>
      <c r="S2104" s="52"/>
      <c r="T2104" s="52"/>
      <c r="U2104" s="52"/>
      <c r="V2104" s="52"/>
      <c r="W2104" s="52"/>
      <c r="X2104" s="52"/>
      <c r="Y2104" s="52"/>
      <c r="Z2104" s="52"/>
      <c r="AA2104" s="52"/>
      <c r="AB2104" s="52"/>
      <c r="AC2104" s="52"/>
      <c r="AD2104" s="52"/>
      <c r="AE2104" s="52"/>
      <c r="AF2104" s="52"/>
      <c r="AG2104" s="52"/>
      <c r="AH2104" s="52"/>
      <c r="AI2104" s="52"/>
      <c r="AJ2104" s="52"/>
      <c r="AK2104" s="52"/>
      <c r="AL2104" s="52"/>
      <c r="AM2104" s="52"/>
      <c r="AN2104" s="52"/>
    </row>
    <row r="2105" spans="1:40" x14ac:dyDescent="0.3">
      <c r="A2105" s="52">
        <v>2100</v>
      </c>
      <c r="B2105" s="52">
        <f>-bthan*500+(49+0.5)*bthan*1000/50</f>
        <v>2695</v>
      </c>
      <c r="C2105" s="52">
        <f t="shared" si="221"/>
        <v>30</v>
      </c>
      <c r="D2105" s="52">
        <f t="shared" si="218"/>
        <v>2200</v>
      </c>
      <c r="E2105" s="52">
        <f t="shared" si="219"/>
        <v>1</v>
      </c>
      <c r="F2105" s="52"/>
      <c r="G2105" s="52"/>
      <c r="H2105" s="52"/>
      <c r="I2105" s="52"/>
      <c r="J2105" s="52"/>
      <c r="K2105" s="52"/>
      <c r="L2105" s="52"/>
      <c r="M2105" s="52"/>
      <c r="N2105" s="52"/>
      <c r="O2105" s="52"/>
      <c r="P2105" s="52"/>
      <c r="Q2105" s="52"/>
      <c r="R2105" s="52"/>
      <c r="S2105" s="52"/>
      <c r="T2105" s="52"/>
      <c r="U2105" s="52"/>
      <c r="V2105" s="52"/>
      <c r="W2105" s="52"/>
      <c r="X2105" s="52"/>
      <c r="Y2105" s="52"/>
      <c r="Z2105" s="52"/>
      <c r="AA2105" s="52"/>
      <c r="AB2105" s="52"/>
      <c r="AC2105" s="52"/>
      <c r="AD2105" s="52"/>
      <c r="AE2105" s="52"/>
      <c r="AF2105" s="52"/>
      <c r="AG2105" s="52"/>
      <c r="AH2105" s="52"/>
      <c r="AI2105" s="52"/>
      <c r="AJ2105" s="52"/>
      <c r="AK2105" s="52"/>
      <c r="AL2105" s="52"/>
      <c r="AM2105" s="52"/>
      <c r="AN2105" s="52"/>
    </row>
    <row r="2106" spans="1:40" x14ac:dyDescent="0.3">
      <c r="A2106" s="52">
        <v>2101</v>
      </c>
      <c r="B2106" s="52">
        <f>-bthan*500+(0+0.5)*bthan*1000/50</f>
        <v>-2695</v>
      </c>
      <c r="C2106" s="52">
        <f t="shared" ref="C2106:C2137" si="222">-hthan*500+(42+0.5)*hthan*1000/80</f>
        <v>50</v>
      </c>
      <c r="D2106" s="52">
        <f t="shared" si="218"/>
        <v>2200</v>
      </c>
      <c r="E2106" s="52">
        <f t="shared" si="219"/>
        <v>1</v>
      </c>
      <c r="F2106" s="52"/>
      <c r="G2106" s="52"/>
      <c r="H2106" s="52"/>
      <c r="I2106" s="52"/>
      <c r="J2106" s="52"/>
      <c r="K2106" s="52"/>
      <c r="L2106" s="52"/>
      <c r="M2106" s="52"/>
      <c r="N2106" s="52"/>
      <c r="O2106" s="52"/>
      <c r="P2106" s="52"/>
      <c r="Q2106" s="52"/>
      <c r="R2106" s="52"/>
      <c r="S2106" s="52"/>
      <c r="T2106" s="52"/>
      <c r="U2106" s="52"/>
      <c r="V2106" s="52"/>
      <c r="W2106" s="52"/>
      <c r="X2106" s="52"/>
      <c r="Y2106" s="52"/>
      <c r="Z2106" s="52"/>
      <c r="AA2106" s="52"/>
      <c r="AB2106" s="52"/>
      <c r="AC2106" s="52"/>
      <c r="AD2106" s="52"/>
      <c r="AE2106" s="52"/>
      <c r="AF2106" s="52"/>
      <c r="AG2106" s="52"/>
      <c r="AH2106" s="52"/>
      <c r="AI2106" s="52"/>
      <c r="AJ2106" s="52"/>
      <c r="AK2106" s="52"/>
      <c r="AL2106" s="52"/>
      <c r="AM2106" s="52"/>
      <c r="AN2106" s="52"/>
    </row>
    <row r="2107" spans="1:40" x14ac:dyDescent="0.3">
      <c r="A2107" s="52">
        <v>2102</v>
      </c>
      <c r="B2107" s="52">
        <f>-bthan*500+(1+0.5)*bthan*1000/50</f>
        <v>-2585</v>
      </c>
      <c r="C2107" s="52">
        <f t="shared" si="222"/>
        <v>50</v>
      </c>
      <c r="D2107" s="52">
        <f t="shared" si="218"/>
        <v>2200</v>
      </c>
      <c r="E2107" s="52">
        <f t="shared" si="219"/>
        <v>1</v>
      </c>
      <c r="F2107" s="52"/>
      <c r="G2107" s="52"/>
      <c r="H2107" s="52"/>
      <c r="I2107" s="52"/>
      <c r="J2107" s="52"/>
      <c r="K2107" s="52"/>
      <c r="L2107" s="52"/>
      <c r="M2107" s="52"/>
      <c r="N2107" s="52"/>
      <c r="O2107" s="52"/>
      <c r="P2107" s="52"/>
      <c r="Q2107" s="52"/>
      <c r="R2107" s="52"/>
      <c r="S2107" s="52"/>
      <c r="T2107" s="52"/>
      <c r="U2107" s="52"/>
      <c r="V2107" s="52"/>
      <c r="W2107" s="52"/>
      <c r="X2107" s="52"/>
      <c r="Y2107" s="52"/>
      <c r="Z2107" s="52"/>
      <c r="AA2107" s="52"/>
      <c r="AB2107" s="52"/>
      <c r="AC2107" s="52"/>
      <c r="AD2107" s="52"/>
      <c r="AE2107" s="52"/>
      <c r="AF2107" s="52"/>
      <c r="AG2107" s="52"/>
      <c r="AH2107" s="52"/>
      <c r="AI2107" s="52"/>
      <c r="AJ2107" s="52"/>
      <c r="AK2107" s="52"/>
      <c r="AL2107" s="52"/>
      <c r="AM2107" s="52"/>
      <c r="AN2107" s="52"/>
    </row>
    <row r="2108" spans="1:40" x14ac:dyDescent="0.3">
      <c r="A2108" s="52">
        <v>2103</v>
      </c>
      <c r="B2108" s="52">
        <f>-bthan*500+(2+0.5)*bthan*1000/50</f>
        <v>-2475</v>
      </c>
      <c r="C2108" s="52">
        <f t="shared" si="222"/>
        <v>50</v>
      </c>
      <c r="D2108" s="52">
        <f t="shared" si="218"/>
        <v>2200</v>
      </c>
      <c r="E2108" s="52">
        <f t="shared" si="219"/>
        <v>1</v>
      </c>
      <c r="F2108" s="52"/>
      <c r="G2108" s="52"/>
      <c r="H2108" s="52"/>
      <c r="I2108" s="52"/>
      <c r="J2108" s="52"/>
      <c r="K2108" s="52"/>
      <c r="L2108" s="52"/>
      <c r="M2108" s="52"/>
      <c r="N2108" s="52"/>
      <c r="O2108" s="52"/>
      <c r="P2108" s="52"/>
      <c r="Q2108" s="52"/>
      <c r="R2108" s="52"/>
      <c r="S2108" s="52"/>
      <c r="T2108" s="52"/>
      <c r="U2108" s="52"/>
      <c r="V2108" s="52"/>
      <c r="W2108" s="52"/>
      <c r="X2108" s="52"/>
      <c r="Y2108" s="52"/>
      <c r="Z2108" s="52"/>
      <c r="AA2108" s="52"/>
      <c r="AB2108" s="52"/>
      <c r="AC2108" s="52"/>
      <c r="AD2108" s="52"/>
      <c r="AE2108" s="52"/>
      <c r="AF2108" s="52"/>
      <c r="AG2108" s="52"/>
      <c r="AH2108" s="52"/>
      <c r="AI2108" s="52"/>
      <c r="AJ2108" s="52"/>
      <c r="AK2108" s="52"/>
      <c r="AL2108" s="52"/>
      <c r="AM2108" s="52"/>
      <c r="AN2108" s="52"/>
    </row>
    <row r="2109" spans="1:40" x14ac:dyDescent="0.3">
      <c r="A2109" s="52">
        <v>2104</v>
      </c>
      <c r="B2109" s="52">
        <f>-bthan*500+(3+0.5)*bthan*1000/50</f>
        <v>-2365</v>
      </c>
      <c r="C2109" s="52">
        <f t="shared" si="222"/>
        <v>50</v>
      </c>
      <c r="D2109" s="52">
        <f t="shared" si="218"/>
        <v>2200</v>
      </c>
      <c r="E2109" s="52">
        <f t="shared" si="219"/>
        <v>1</v>
      </c>
      <c r="F2109" s="52"/>
      <c r="G2109" s="52"/>
      <c r="H2109" s="52"/>
      <c r="I2109" s="52"/>
      <c r="J2109" s="52"/>
      <c r="K2109" s="52"/>
      <c r="L2109" s="52"/>
      <c r="M2109" s="52"/>
      <c r="N2109" s="52"/>
      <c r="O2109" s="52"/>
      <c r="P2109" s="52"/>
      <c r="Q2109" s="52"/>
      <c r="R2109" s="52"/>
      <c r="S2109" s="52"/>
      <c r="T2109" s="52"/>
      <c r="U2109" s="52"/>
      <c r="V2109" s="52"/>
      <c r="W2109" s="52"/>
      <c r="X2109" s="52"/>
      <c r="Y2109" s="52"/>
      <c r="Z2109" s="52"/>
      <c r="AA2109" s="52"/>
      <c r="AB2109" s="52"/>
      <c r="AC2109" s="52"/>
      <c r="AD2109" s="52"/>
      <c r="AE2109" s="52"/>
      <c r="AF2109" s="52"/>
      <c r="AG2109" s="52"/>
      <c r="AH2109" s="52"/>
      <c r="AI2109" s="52"/>
      <c r="AJ2109" s="52"/>
      <c r="AK2109" s="52"/>
      <c r="AL2109" s="52"/>
      <c r="AM2109" s="52"/>
      <c r="AN2109" s="52"/>
    </row>
    <row r="2110" spans="1:40" x14ac:dyDescent="0.3">
      <c r="A2110" s="52">
        <v>2105</v>
      </c>
      <c r="B2110" s="52">
        <f>-bthan*500+(4+0.5)*bthan*1000/50</f>
        <v>-2255</v>
      </c>
      <c r="C2110" s="52">
        <f t="shared" si="222"/>
        <v>50</v>
      </c>
      <c r="D2110" s="52">
        <f t="shared" si="218"/>
        <v>2200</v>
      </c>
      <c r="E2110" s="52">
        <f t="shared" si="219"/>
        <v>1</v>
      </c>
      <c r="F2110" s="52"/>
      <c r="G2110" s="52"/>
      <c r="H2110" s="52"/>
      <c r="I2110" s="52"/>
      <c r="J2110" s="52"/>
      <c r="K2110" s="52"/>
      <c r="L2110" s="52"/>
      <c r="M2110" s="52"/>
      <c r="N2110" s="52"/>
      <c r="O2110" s="52"/>
      <c r="P2110" s="52"/>
      <c r="Q2110" s="52"/>
      <c r="R2110" s="52"/>
      <c r="S2110" s="52"/>
      <c r="T2110" s="52"/>
      <c r="U2110" s="52"/>
      <c r="V2110" s="52"/>
      <c r="W2110" s="52"/>
      <c r="X2110" s="52"/>
      <c r="Y2110" s="52"/>
      <c r="Z2110" s="52"/>
      <c r="AA2110" s="52"/>
      <c r="AB2110" s="52"/>
      <c r="AC2110" s="52"/>
      <c r="AD2110" s="52"/>
      <c r="AE2110" s="52"/>
      <c r="AF2110" s="52"/>
      <c r="AG2110" s="52"/>
      <c r="AH2110" s="52"/>
      <c r="AI2110" s="52"/>
      <c r="AJ2110" s="52"/>
      <c r="AK2110" s="52"/>
      <c r="AL2110" s="52"/>
      <c r="AM2110" s="52"/>
      <c r="AN2110" s="52"/>
    </row>
    <row r="2111" spans="1:40" x14ac:dyDescent="0.3">
      <c r="A2111" s="52">
        <v>2106</v>
      </c>
      <c r="B2111" s="52">
        <f>-bthan*500+(5+0.5)*bthan*1000/50</f>
        <v>-2145</v>
      </c>
      <c r="C2111" s="52">
        <f t="shared" si="222"/>
        <v>50</v>
      </c>
      <c r="D2111" s="52">
        <f t="shared" si="218"/>
        <v>2200</v>
      </c>
      <c r="E2111" s="52">
        <f t="shared" si="219"/>
        <v>1</v>
      </c>
      <c r="F2111" s="52"/>
      <c r="G2111" s="52"/>
      <c r="H2111" s="52"/>
      <c r="I2111" s="52"/>
      <c r="J2111" s="52"/>
      <c r="K2111" s="52"/>
      <c r="L2111" s="52"/>
      <c r="M2111" s="52"/>
      <c r="N2111" s="52"/>
      <c r="O2111" s="52"/>
      <c r="P2111" s="52"/>
      <c r="Q2111" s="52"/>
      <c r="R2111" s="52"/>
      <c r="S2111" s="52"/>
      <c r="T2111" s="52"/>
      <c r="U2111" s="52"/>
      <c r="V2111" s="52"/>
      <c r="W2111" s="52"/>
      <c r="X2111" s="52"/>
      <c r="Y2111" s="52"/>
      <c r="Z2111" s="52"/>
      <c r="AA2111" s="52"/>
      <c r="AB2111" s="52"/>
      <c r="AC2111" s="52"/>
      <c r="AD2111" s="52"/>
      <c r="AE2111" s="52"/>
      <c r="AF2111" s="52"/>
      <c r="AG2111" s="52"/>
      <c r="AH2111" s="52"/>
      <c r="AI2111" s="52"/>
      <c r="AJ2111" s="52"/>
      <c r="AK2111" s="52"/>
      <c r="AL2111" s="52"/>
      <c r="AM2111" s="52"/>
      <c r="AN2111" s="52"/>
    </row>
    <row r="2112" spans="1:40" x14ac:dyDescent="0.3">
      <c r="A2112" s="52">
        <v>2107</v>
      </c>
      <c r="B2112" s="52">
        <f>-bthan*500+(6+0.5)*bthan*1000/50</f>
        <v>-2035</v>
      </c>
      <c r="C2112" s="52">
        <f t="shared" si="222"/>
        <v>50</v>
      </c>
      <c r="D2112" s="52">
        <f t="shared" si="218"/>
        <v>2200</v>
      </c>
      <c r="E2112" s="52">
        <f t="shared" si="219"/>
        <v>1</v>
      </c>
      <c r="F2112" s="52"/>
      <c r="G2112" s="52"/>
      <c r="H2112" s="52"/>
      <c r="I2112" s="52"/>
      <c r="J2112" s="52"/>
      <c r="K2112" s="52"/>
      <c r="L2112" s="52"/>
      <c r="M2112" s="52"/>
      <c r="N2112" s="52"/>
      <c r="O2112" s="52"/>
      <c r="P2112" s="52"/>
      <c r="Q2112" s="52"/>
      <c r="R2112" s="52"/>
      <c r="S2112" s="52"/>
      <c r="T2112" s="52"/>
      <c r="U2112" s="52"/>
      <c r="V2112" s="52"/>
      <c r="W2112" s="52"/>
      <c r="X2112" s="52"/>
      <c r="Y2112" s="52"/>
      <c r="Z2112" s="52"/>
      <c r="AA2112" s="52"/>
      <c r="AB2112" s="52"/>
      <c r="AC2112" s="52"/>
      <c r="AD2112" s="52"/>
      <c r="AE2112" s="52"/>
      <c r="AF2112" s="52"/>
      <c r="AG2112" s="52"/>
      <c r="AH2112" s="52"/>
      <c r="AI2112" s="52"/>
      <c r="AJ2112" s="52"/>
      <c r="AK2112" s="52"/>
      <c r="AL2112" s="52"/>
      <c r="AM2112" s="52"/>
      <c r="AN2112" s="52"/>
    </row>
    <row r="2113" spans="1:40" x14ac:dyDescent="0.3">
      <c r="A2113" s="52">
        <v>2108</v>
      </c>
      <c r="B2113" s="52">
        <f>-bthan*500+(7+0.5)*bthan*1000/50</f>
        <v>-1925</v>
      </c>
      <c r="C2113" s="52">
        <f t="shared" si="222"/>
        <v>50</v>
      </c>
      <c r="D2113" s="52">
        <f t="shared" si="218"/>
        <v>2200</v>
      </c>
      <c r="E2113" s="52">
        <f t="shared" si="219"/>
        <v>1</v>
      </c>
      <c r="F2113" s="52"/>
      <c r="G2113" s="52"/>
      <c r="H2113" s="52"/>
      <c r="I2113" s="52"/>
      <c r="J2113" s="52"/>
      <c r="K2113" s="52"/>
      <c r="L2113" s="52"/>
      <c r="M2113" s="52"/>
      <c r="N2113" s="52"/>
      <c r="O2113" s="52"/>
      <c r="P2113" s="52"/>
      <c r="Q2113" s="52"/>
      <c r="R2113" s="52"/>
      <c r="S2113" s="52"/>
      <c r="T2113" s="52"/>
      <c r="U2113" s="52"/>
      <c r="V2113" s="52"/>
      <c r="W2113" s="52"/>
      <c r="X2113" s="52"/>
      <c r="Y2113" s="52"/>
      <c r="Z2113" s="52"/>
      <c r="AA2113" s="52"/>
      <c r="AB2113" s="52"/>
      <c r="AC2113" s="52"/>
      <c r="AD2113" s="52"/>
      <c r="AE2113" s="52"/>
      <c r="AF2113" s="52"/>
      <c r="AG2113" s="52"/>
      <c r="AH2113" s="52"/>
      <c r="AI2113" s="52"/>
      <c r="AJ2113" s="52"/>
      <c r="AK2113" s="52"/>
      <c r="AL2113" s="52"/>
      <c r="AM2113" s="52"/>
      <c r="AN2113" s="52"/>
    </row>
    <row r="2114" spans="1:40" x14ac:dyDescent="0.3">
      <c r="A2114" s="52">
        <v>2109</v>
      </c>
      <c r="B2114" s="52">
        <f>-bthan*500+(8+0.5)*bthan*1000/50</f>
        <v>-1815</v>
      </c>
      <c r="C2114" s="52">
        <f t="shared" si="222"/>
        <v>50</v>
      </c>
      <c r="D2114" s="52">
        <f t="shared" si="218"/>
        <v>2200</v>
      </c>
      <c r="E2114" s="52">
        <f t="shared" si="219"/>
        <v>1</v>
      </c>
      <c r="F2114" s="52"/>
      <c r="G2114" s="52"/>
      <c r="H2114" s="52"/>
      <c r="I2114" s="52"/>
      <c r="J2114" s="52"/>
      <c r="K2114" s="52"/>
      <c r="L2114" s="52"/>
      <c r="M2114" s="52"/>
      <c r="N2114" s="52"/>
      <c r="O2114" s="52"/>
      <c r="P2114" s="52"/>
      <c r="Q2114" s="52"/>
      <c r="R2114" s="52"/>
      <c r="S2114" s="52"/>
      <c r="T2114" s="52"/>
      <c r="U2114" s="52"/>
      <c r="V2114" s="52"/>
      <c r="W2114" s="52"/>
      <c r="X2114" s="52"/>
      <c r="Y2114" s="52"/>
      <c r="Z2114" s="52"/>
      <c r="AA2114" s="52"/>
      <c r="AB2114" s="52"/>
      <c r="AC2114" s="52"/>
      <c r="AD2114" s="52"/>
      <c r="AE2114" s="52"/>
      <c r="AF2114" s="52"/>
      <c r="AG2114" s="52"/>
      <c r="AH2114" s="52"/>
      <c r="AI2114" s="52"/>
      <c r="AJ2114" s="52"/>
      <c r="AK2114" s="52"/>
      <c r="AL2114" s="52"/>
      <c r="AM2114" s="52"/>
      <c r="AN2114" s="52"/>
    </row>
    <row r="2115" spans="1:40" x14ac:dyDescent="0.3">
      <c r="A2115" s="52">
        <v>2110</v>
      </c>
      <c r="B2115" s="52">
        <f>-bthan*500+(9+0.5)*bthan*1000/50</f>
        <v>-1705</v>
      </c>
      <c r="C2115" s="52">
        <f t="shared" si="222"/>
        <v>50</v>
      </c>
      <c r="D2115" s="52">
        <f t="shared" si="218"/>
        <v>2200</v>
      </c>
      <c r="E2115" s="52">
        <f t="shared" si="219"/>
        <v>1</v>
      </c>
      <c r="F2115" s="52"/>
      <c r="G2115" s="52"/>
      <c r="H2115" s="52"/>
      <c r="I2115" s="52"/>
      <c r="J2115" s="52"/>
      <c r="K2115" s="52"/>
      <c r="L2115" s="52"/>
      <c r="M2115" s="52"/>
      <c r="N2115" s="52"/>
      <c r="O2115" s="52"/>
      <c r="P2115" s="52"/>
      <c r="Q2115" s="52"/>
      <c r="R2115" s="52"/>
      <c r="S2115" s="52"/>
      <c r="T2115" s="52"/>
      <c r="U2115" s="52"/>
      <c r="V2115" s="52"/>
      <c r="W2115" s="52"/>
      <c r="X2115" s="52"/>
      <c r="Y2115" s="52"/>
      <c r="Z2115" s="52"/>
      <c r="AA2115" s="52"/>
      <c r="AB2115" s="52"/>
      <c r="AC2115" s="52"/>
      <c r="AD2115" s="52"/>
      <c r="AE2115" s="52"/>
      <c r="AF2115" s="52"/>
      <c r="AG2115" s="52"/>
      <c r="AH2115" s="52"/>
      <c r="AI2115" s="52"/>
      <c r="AJ2115" s="52"/>
      <c r="AK2115" s="52"/>
      <c r="AL2115" s="52"/>
      <c r="AM2115" s="52"/>
      <c r="AN2115" s="52"/>
    </row>
    <row r="2116" spans="1:40" x14ac:dyDescent="0.3">
      <c r="A2116" s="52">
        <v>2111</v>
      </c>
      <c r="B2116" s="52">
        <f>-bthan*500+(10+0.5)*bthan*1000/50</f>
        <v>-1595</v>
      </c>
      <c r="C2116" s="52">
        <f t="shared" si="222"/>
        <v>50</v>
      </c>
      <c r="D2116" s="52">
        <f t="shared" si="218"/>
        <v>2200</v>
      </c>
      <c r="E2116" s="52">
        <f t="shared" si="219"/>
        <v>1</v>
      </c>
      <c r="F2116" s="52"/>
      <c r="G2116" s="52"/>
      <c r="H2116" s="52"/>
      <c r="I2116" s="52"/>
      <c r="J2116" s="52"/>
      <c r="K2116" s="52"/>
      <c r="L2116" s="52"/>
      <c r="M2116" s="52"/>
      <c r="N2116" s="52"/>
      <c r="O2116" s="52"/>
      <c r="P2116" s="52"/>
      <c r="Q2116" s="52"/>
      <c r="R2116" s="52"/>
      <c r="S2116" s="52"/>
      <c r="T2116" s="52"/>
      <c r="U2116" s="52"/>
      <c r="V2116" s="52"/>
      <c r="W2116" s="52"/>
      <c r="X2116" s="52"/>
      <c r="Y2116" s="52"/>
      <c r="Z2116" s="52"/>
      <c r="AA2116" s="52"/>
      <c r="AB2116" s="52"/>
      <c r="AC2116" s="52"/>
      <c r="AD2116" s="52"/>
      <c r="AE2116" s="52"/>
      <c r="AF2116" s="52"/>
      <c r="AG2116" s="52"/>
      <c r="AH2116" s="52"/>
      <c r="AI2116" s="52"/>
      <c r="AJ2116" s="52"/>
      <c r="AK2116" s="52"/>
      <c r="AL2116" s="52"/>
      <c r="AM2116" s="52"/>
      <c r="AN2116" s="52"/>
    </row>
    <row r="2117" spans="1:40" x14ac:dyDescent="0.3">
      <c r="A2117" s="52">
        <v>2112</v>
      </c>
      <c r="B2117" s="52">
        <f>-bthan*500+(11+0.5)*bthan*1000/50</f>
        <v>-1485</v>
      </c>
      <c r="C2117" s="52">
        <f t="shared" si="222"/>
        <v>50</v>
      </c>
      <c r="D2117" s="52">
        <f t="shared" si="218"/>
        <v>2200</v>
      </c>
      <c r="E2117" s="52">
        <f t="shared" si="219"/>
        <v>1</v>
      </c>
      <c r="F2117" s="52"/>
      <c r="G2117" s="52"/>
      <c r="H2117" s="52"/>
      <c r="I2117" s="52"/>
      <c r="J2117" s="52"/>
      <c r="K2117" s="52"/>
      <c r="L2117" s="52"/>
      <c r="M2117" s="52"/>
      <c r="N2117" s="52"/>
      <c r="O2117" s="52"/>
      <c r="P2117" s="52"/>
      <c r="Q2117" s="52"/>
      <c r="R2117" s="52"/>
      <c r="S2117" s="52"/>
      <c r="T2117" s="52"/>
      <c r="U2117" s="52"/>
      <c r="V2117" s="52"/>
      <c r="W2117" s="52"/>
      <c r="X2117" s="52"/>
      <c r="Y2117" s="52"/>
      <c r="Z2117" s="52"/>
      <c r="AA2117" s="52"/>
      <c r="AB2117" s="52"/>
      <c r="AC2117" s="52"/>
      <c r="AD2117" s="52"/>
      <c r="AE2117" s="52"/>
      <c r="AF2117" s="52"/>
      <c r="AG2117" s="52"/>
      <c r="AH2117" s="52"/>
      <c r="AI2117" s="52"/>
      <c r="AJ2117" s="52"/>
      <c r="AK2117" s="52"/>
      <c r="AL2117" s="52"/>
      <c r="AM2117" s="52"/>
      <c r="AN2117" s="52"/>
    </row>
    <row r="2118" spans="1:40" x14ac:dyDescent="0.3">
      <c r="A2118" s="52">
        <v>2113</v>
      </c>
      <c r="B2118" s="52">
        <f>-bthan*500+(12+0.5)*bthan*1000/50</f>
        <v>-1375</v>
      </c>
      <c r="C2118" s="52">
        <f t="shared" si="222"/>
        <v>50</v>
      </c>
      <c r="D2118" s="52">
        <f t="shared" ref="D2118:D2181" si="223">bthan*1000/50*hthan*1000/80</f>
        <v>2200</v>
      </c>
      <c r="E2118" s="52">
        <f t="shared" ref="E2118:E2181" si="224">IF(shp=1,--(OR(ABS(B2118)&lt;=MAX(0,(bthan-hthan)*500),(ABS(B2118)-MAX(0,(bthan-hthan)*500))^2+C2118^2&lt;=(hthan*500)^2)),--(AND(ABS(B2118)&lt;=bthan*500,ABS(C2118)&lt;=hthan*500,OR(ABS(B2118)&lt;=bthan*500-cch*1000,ABS(C2118)&lt;=hthan*500-cch*1000,(bthan*500-ABS(B2118))+(hthan*500-ABS(C2118))&gt;=cch*1000))))</f>
        <v>1</v>
      </c>
      <c r="F2118" s="52"/>
      <c r="G2118" s="52"/>
      <c r="H2118" s="52"/>
      <c r="I2118" s="52"/>
      <c r="J2118" s="52"/>
      <c r="K2118" s="52"/>
      <c r="L2118" s="52"/>
      <c r="M2118" s="52"/>
      <c r="N2118" s="52"/>
      <c r="O2118" s="52"/>
      <c r="P2118" s="52"/>
      <c r="Q2118" s="52"/>
      <c r="R2118" s="52"/>
      <c r="S2118" s="52"/>
      <c r="T2118" s="52"/>
      <c r="U2118" s="52"/>
      <c r="V2118" s="52"/>
      <c r="W2118" s="52"/>
      <c r="X2118" s="52"/>
      <c r="Y2118" s="52"/>
      <c r="Z2118" s="52"/>
      <c r="AA2118" s="52"/>
      <c r="AB2118" s="52"/>
      <c r="AC2118" s="52"/>
      <c r="AD2118" s="52"/>
      <c r="AE2118" s="52"/>
      <c r="AF2118" s="52"/>
      <c r="AG2118" s="52"/>
      <c r="AH2118" s="52"/>
      <c r="AI2118" s="52"/>
      <c r="AJ2118" s="52"/>
      <c r="AK2118" s="52"/>
      <c r="AL2118" s="52"/>
      <c r="AM2118" s="52"/>
      <c r="AN2118" s="52"/>
    </row>
    <row r="2119" spans="1:40" x14ac:dyDescent="0.3">
      <c r="A2119" s="52">
        <v>2114</v>
      </c>
      <c r="B2119" s="52">
        <f>-bthan*500+(13+0.5)*bthan*1000/50</f>
        <v>-1265</v>
      </c>
      <c r="C2119" s="52">
        <f t="shared" si="222"/>
        <v>50</v>
      </c>
      <c r="D2119" s="52">
        <f t="shared" si="223"/>
        <v>2200</v>
      </c>
      <c r="E2119" s="52">
        <f t="shared" si="224"/>
        <v>1</v>
      </c>
      <c r="F2119" s="52"/>
      <c r="G2119" s="52"/>
      <c r="H2119" s="52"/>
      <c r="I2119" s="52"/>
      <c r="J2119" s="52"/>
      <c r="K2119" s="52"/>
      <c r="L2119" s="52"/>
      <c r="M2119" s="52"/>
      <c r="N2119" s="52"/>
      <c r="O2119" s="52"/>
      <c r="P2119" s="52"/>
      <c r="Q2119" s="52"/>
      <c r="R2119" s="52"/>
      <c r="S2119" s="52"/>
      <c r="T2119" s="52"/>
      <c r="U2119" s="52"/>
      <c r="V2119" s="52"/>
      <c r="W2119" s="52"/>
      <c r="X2119" s="52"/>
      <c r="Y2119" s="52"/>
      <c r="Z2119" s="52"/>
      <c r="AA2119" s="52"/>
      <c r="AB2119" s="52"/>
      <c r="AC2119" s="52"/>
      <c r="AD2119" s="52"/>
      <c r="AE2119" s="52"/>
      <c r="AF2119" s="52"/>
      <c r="AG2119" s="52"/>
      <c r="AH2119" s="52"/>
      <c r="AI2119" s="52"/>
      <c r="AJ2119" s="52"/>
      <c r="AK2119" s="52"/>
      <c r="AL2119" s="52"/>
      <c r="AM2119" s="52"/>
      <c r="AN2119" s="52"/>
    </row>
    <row r="2120" spans="1:40" x14ac:dyDescent="0.3">
      <c r="A2120" s="52">
        <v>2115</v>
      </c>
      <c r="B2120" s="52">
        <f>-bthan*500+(14+0.5)*bthan*1000/50</f>
        <v>-1155</v>
      </c>
      <c r="C2120" s="52">
        <f t="shared" si="222"/>
        <v>50</v>
      </c>
      <c r="D2120" s="52">
        <f t="shared" si="223"/>
        <v>2200</v>
      </c>
      <c r="E2120" s="52">
        <f t="shared" si="224"/>
        <v>1</v>
      </c>
      <c r="F2120" s="52"/>
      <c r="G2120" s="52"/>
      <c r="H2120" s="52"/>
      <c r="I2120" s="52"/>
      <c r="J2120" s="52"/>
      <c r="K2120" s="52"/>
      <c r="L2120" s="52"/>
      <c r="M2120" s="52"/>
      <c r="N2120" s="52"/>
      <c r="O2120" s="52"/>
      <c r="P2120" s="52"/>
      <c r="Q2120" s="52"/>
      <c r="R2120" s="52"/>
      <c r="S2120" s="52"/>
      <c r="T2120" s="52"/>
      <c r="U2120" s="52"/>
      <c r="V2120" s="52"/>
      <c r="W2120" s="52"/>
      <c r="X2120" s="52"/>
      <c r="Y2120" s="52"/>
      <c r="Z2120" s="52"/>
      <c r="AA2120" s="52"/>
      <c r="AB2120" s="52"/>
      <c r="AC2120" s="52"/>
      <c r="AD2120" s="52"/>
      <c r="AE2120" s="52"/>
      <c r="AF2120" s="52"/>
      <c r="AG2120" s="52"/>
      <c r="AH2120" s="52"/>
      <c r="AI2120" s="52"/>
      <c r="AJ2120" s="52"/>
      <c r="AK2120" s="52"/>
      <c r="AL2120" s="52"/>
      <c r="AM2120" s="52"/>
      <c r="AN2120" s="52"/>
    </row>
    <row r="2121" spans="1:40" x14ac:dyDescent="0.3">
      <c r="A2121" s="52">
        <v>2116</v>
      </c>
      <c r="B2121" s="52">
        <f>-bthan*500+(15+0.5)*bthan*1000/50</f>
        <v>-1045</v>
      </c>
      <c r="C2121" s="52">
        <f t="shared" si="222"/>
        <v>50</v>
      </c>
      <c r="D2121" s="52">
        <f t="shared" si="223"/>
        <v>2200</v>
      </c>
      <c r="E2121" s="52">
        <f t="shared" si="224"/>
        <v>1</v>
      </c>
      <c r="F2121" s="52"/>
      <c r="G2121" s="52"/>
      <c r="H2121" s="52"/>
      <c r="I2121" s="52"/>
      <c r="J2121" s="52"/>
      <c r="K2121" s="52"/>
      <c r="L2121" s="52"/>
      <c r="M2121" s="52"/>
      <c r="N2121" s="52"/>
      <c r="O2121" s="52"/>
      <c r="P2121" s="52"/>
      <c r="Q2121" s="52"/>
      <c r="R2121" s="52"/>
      <c r="S2121" s="52"/>
      <c r="T2121" s="52"/>
      <c r="U2121" s="52"/>
      <c r="V2121" s="52"/>
      <c r="W2121" s="52"/>
      <c r="X2121" s="52"/>
      <c r="Y2121" s="52"/>
      <c r="Z2121" s="52"/>
      <c r="AA2121" s="52"/>
      <c r="AB2121" s="52"/>
      <c r="AC2121" s="52"/>
      <c r="AD2121" s="52"/>
      <c r="AE2121" s="52"/>
      <c r="AF2121" s="52"/>
      <c r="AG2121" s="52"/>
      <c r="AH2121" s="52"/>
      <c r="AI2121" s="52"/>
      <c r="AJ2121" s="52"/>
      <c r="AK2121" s="52"/>
      <c r="AL2121" s="52"/>
      <c r="AM2121" s="52"/>
      <c r="AN2121" s="52"/>
    </row>
    <row r="2122" spans="1:40" x14ac:dyDescent="0.3">
      <c r="A2122" s="52">
        <v>2117</v>
      </c>
      <c r="B2122" s="52">
        <f>-bthan*500+(16+0.5)*bthan*1000/50</f>
        <v>-935</v>
      </c>
      <c r="C2122" s="52">
        <f t="shared" si="222"/>
        <v>50</v>
      </c>
      <c r="D2122" s="52">
        <f t="shared" si="223"/>
        <v>2200</v>
      </c>
      <c r="E2122" s="52">
        <f t="shared" si="224"/>
        <v>1</v>
      </c>
      <c r="F2122" s="52"/>
      <c r="G2122" s="52"/>
      <c r="H2122" s="52"/>
      <c r="I2122" s="52"/>
      <c r="J2122" s="52"/>
      <c r="K2122" s="52"/>
      <c r="L2122" s="52"/>
      <c r="M2122" s="52"/>
      <c r="N2122" s="52"/>
      <c r="O2122" s="52"/>
      <c r="P2122" s="52"/>
      <c r="Q2122" s="52"/>
      <c r="R2122" s="52"/>
      <c r="S2122" s="52"/>
      <c r="T2122" s="52"/>
      <c r="U2122" s="52"/>
      <c r="V2122" s="52"/>
      <c r="W2122" s="52"/>
      <c r="X2122" s="52"/>
      <c r="Y2122" s="52"/>
      <c r="Z2122" s="52"/>
      <c r="AA2122" s="52"/>
      <c r="AB2122" s="52"/>
      <c r="AC2122" s="52"/>
      <c r="AD2122" s="52"/>
      <c r="AE2122" s="52"/>
      <c r="AF2122" s="52"/>
      <c r="AG2122" s="52"/>
      <c r="AH2122" s="52"/>
      <c r="AI2122" s="52"/>
      <c r="AJ2122" s="52"/>
      <c r="AK2122" s="52"/>
      <c r="AL2122" s="52"/>
      <c r="AM2122" s="52"/>
      <c r="AN2122" s="52"/>
    </row>
    <row r="2123" spans="1:40" x14ac:dyDescent="0.3">
      <c r="A2123" s="52">
        <v>2118</v>
      </c>
      <c r="B2123" s="52">
        <f>-bthan*500+(17+0.5)*bthan*1000/50</f>
        <v>-825</v>
      </c>
      <c r="C2123" s="52">
        <f t="shared" si="222"/>
        <v>50</v>
      </c>
      <c r="D2123" s="52">
        <f t="shared" si="223"/>
        <v>2200</v>
      </c>
      <c r="E2123" s="52">
        <f t="shared" si="224"/>
        <v>1</v>
      </c>
      <c r="F2123" s="52"/>
      <c r="G2123" s="52"/>
      <c r="H2123" s="52"/>
      <c r="I2123" s="52"/>
      <c r="J2123" s="52"/>
      <c r="K2123" s="52"/>
      <c r="L2123" s="52"/>
      <c r="M2123" s="52"/>
      <c r="N2123" s="52"/>
      <c r="O2123" s="52"/>
      <c r="P2123" s="52"/>
      <c r="Q2123" s="52"/>
      <c r="R2123" s="52"/>
      <c r="S2123" s="52"/>
      <c r="T2123" s="52"/>
      <c r="U2123" s="52"/>
      <c r="V2123" s="52"/>
      <c r="W2123" s="52"/>
      <c r="X2123" s="52"/>
      <c r="Y2123" s="52"/>
      <c r="Z2123" s="52"/>
      <c r="AA2123" s="52"/>
      <c r="AB2123" s="52"/>
      <c r="AC2123" s="52"/>
      <c r="AD2123" s="52"/>
      <c r="AE2123" s="52"/>
      <c r="AF2123" s="52"/>
      <c r="AG2123" s="52"/>
      <c r="AH2123" s="52"/>
      <c r="AI2123" s="52"/>
      <c r="AJ2123" s="52"/>
      <c r="AK2123" s="52"/>
      <c r="AL2123" s="52"/>
      <c r="AM2123" s="52"/>
      <c r="AN2123" s="52"/>
    </row>
    <row r="2124" spans="1:40" x14ac:dyDescent="0.3">
      <c r="A2124" s="52">
        <v>2119</v>
      </c>
      <c r="B2124" s="52">
        <f>-bthan*500+(18+0.5)*bthan*1000/50</f>
        <v>-715</v>
      </c>
      <c r="C2124" s="52">
        <f t="shared" si="222"/>
        <v>50</v>
      </c>
      <c r="D2124" s="52">
        <f t="shared" si="223"/>
        <v>2200</v>
      </c>
      <c r="E2124" s="52">
        <f t="shared" si="224"/>
        <v>1</v>
      </c>
      <c r="F2124" s="52"/>
      <c r="G2124" s="52"/>
      <c r="H2124" s="52"/>
      <c r="I2124" s="52"/>
      <c r="J2124" s="52"/>
      <c r="K2124" s="52"/>
      <c r="L2124" s="52"/>
      <c r="M2124" s="52"/>
      <c r="N2124" s="52"/>
      <c r="O2124" s="52"/>
      <c r="P2124" s="52"/>
      <c r="Q2124" s="52"/>
      <c r="R2124" s="52"/>
      <c r="S2124" s="52"/>
      <c r="T2124" s="52"/>
      <c r="U2124" s="52"/>
      <c r="V2124" s="52"/>
      <c r="W2124" s="52"/>
      <c r="X2124" s="52"/>
      <c r="Y2124" s="52"/>
      <c r="Z2124" s="52"/>
      <c r="AA2124" s="52"/>
      <c r="AB2124" s="52"/>
      <c r="AC2124" s="52"/>
      <c r="AD2124" s="52"/>
      <c r="AE2124" s="52"/>
      <c r="AF2124" s="52"/>
      <c r="AG2124" s="52"/>
      <c r="AH2124" s="52"/>
      <c r="AI2124" s="52"/>
      <c r="AJ2124" s="52"/>
      <c r="AK2124" s="52"/>
      <c r="AL2124" s="52"/>
      <c r="AM2124" s="52"/>
      <c r="AN2124" s="52"/>
    </row>
    <row r="2125" spans="1:40" x14ac:dyDescent="0.3">
      <c r="A2125" s="52">
        <v>2120</v>
      </c>
      <c r="B2125" s="52">
        <f>-bthan*500+(19+0.5)*bthan*1000/50</f>
        <v>-605</v>
      </c>
      <c r="C2125" s="52">
        <f t="shared" si="222"/>
        <v>50</v>
      </c>
      <c r="D2125" s="52">
        <f t="shared" si="223"/>
        <v>2200</v>
      </c>
      <c r="E2125" s="52">
        <f t="shared" si="224"/>
        <v>1</v>
      </c>
      <c r="F2125" s="52"/>
      <c r="G2125" s="52"/>
      <c r="H2125" s="52"/>
      <c r="I2125" s="52"/>
      <c r="J2125" s="52"/>
      <c r="K2125" s="52"/>
      <c r="L2125" s="52"/>
      <c r="M2125" s="52"/>
      <c r="N2125" s="52"/>
      <c r="O2125" s="52"/>
      <c r="P2125" s="52"/>
      <c r="Q2125" s="52"/>
      <c r="R2125" s="52"/>
      <c r="S2125" s="52"/>
      <c r="T2125" s="52"/>
      <c r="U2125" s="52"/>
      <c r="V2125" s="52"/>
      <c r="W2125" s="52"/>
      <c r="X2125" s="52"/>
      <c r="Y2125" s="52"/>
      <c r="Z2125" s="52"/>
      <c r="AA2125" s="52"/>
      <c r="AB2125" s="52"/>
      <c r="AC2125" s="52"/>
      <c r="AD2125" s="52"/>
      <c r="AE2125" s="52"/>
      <c r="AF2125" s="52"/>
      <c r="AG2125" s="52"/>
      <c r="AH2125" s="52"/>
      <c r="AI2125" s="52"/>
      <c r="AJ2125" s="52"/>
      <c r="AK2125" s="52"/>
      <c r="AL2125" s="52"/>
      <c r="AM2125" s="52"/>
      <c r="AN2125" s="52"/>
    </row>
    <row r="2126" spans="1:40" x14ac:dyDescent="0.3">
      <c r="A2126" s="52">
        <v>2121</v>
      </c>
      <c r="B2126" s="52">
        <f>-bthan*500+(20+0.5)*bthan*1000/50</f>
        <v>-495</v>
      </c>
      <c r="C2126" s="52">
        <f t="shared" si="222"/>
        <v>50</v>
      </c>
      <c r="D2126" s="52">
        <f t="shared" si="223"/>
        <v>2200</v>
      </c>
      <c r="E2126" s="52">
        <f t="shared" si="224"/>
        <v>1</v>
      </c>
      <c r="F2126" s="52"/>
      <c r="G2126" s="52"/>
      <c r="H2126" s="52"/>
      <c r="I2126" s="52"/>
      <c r="J2126" s="52"/>
      <c r="K2126" s="52"/>
      <c r="L2126" s="52"/>
      <c r="M2126" s="52"/>
      <c r="N2126" s="52"/>
      <c r="O2126" s="52"/>
      <c r="P2126" s="52"/>
      <c r="Q2126" s="52"/>
      <c r="R2126" s="52"/>
      <c r="S2126" s="52"/>
      <c r="T2126" s="52"/>
      <c r="U2126" s="52"/>
      <c r="V2126" s="52"/>
      <c r="W2126" s="52"/>
      <c r="X2126" s="52"/>
      <c r="Y2126" s="52"/>
      <c r="Z2126" s="52"/>
      <c r="AA2126" s="52"/>
      <c r="AB2126" s="52"/>
      <c r="AC2126" s="52"/>
      <c r="AD2126" s="52"/>
      <c r="AE2126" s="52"/>
      <c r="AF2126" s="52"/>
      <c r="AG2126" s="52"/>
      <c r="AH2126" s="52"/>
      <c r="AI2126" s="52"/>
      <c r="AJ2126" s="52"/>
      <c r="AK2126" s="52"/>
      <c r="AL2126" s="52"/>
      <c r="AM2126" s="52"/>
      <c r="AN2126" s="52"/>
    </row>
    <row r="2127" spans="1:40" x14ac:dyDescent="0.3">
      <c r="A2127" s="52">
        <v>2122</v>
      </c>
      <c r="B2127" s="52">
        <f>-bthan*500+(21+0.5)*bthan*1000/50</f>
        <v>-385</v>
      </c>
      <c r="C2127" s="52">
        <f t="shared" si="222"/>
        <v>50</v>
      </c>
      <c r="D2127" s="52">
        <f t="shared" si="223"/>
        <v>2200</v>
      </c>
      <c r="E2127" s="52">
        <f t="shared" si="224"/>
        <v>1</v>
      </c>
      <c r="F2127" s="52"/>
      <c r="G2127" s="52"/>
      <c r="H2127" s="52"/>
      <c r="I2127" s="52"/>
      <c r="J2127" s="52"/>
      <c r="K2127" s="52"/>
      <c r="L2127" s="52"/>
      <c r="M2127" s="52"/>
      <c r="N2127" s="52"/>
      <c r="O2127" s="52"/>
      <c r="P2127" s="52"/>
      <c r="Q2127" s="52"/>
      <c r="R2127" s="52"/>
      <c r="S2127" s="52"/>
      <c r="T2127" s="52"/>
      <c r="U2127" s="52"/>
      <c r="V2127" s="52"/>
      <c r="W2127" s="52"/>
      <c r="X2127" s="52"/>
      <c r="Y2127" s="52"/>
      <c r="Z2127" s="52"/>
      <c r="AA2127" s="52"/>
      <c r="AB2127" s="52"/>
      <c r="AC2127" s="52"/>
      <c r="AD2127" s="52"/>
      <c r="AE2127" s="52"/>
      <c r="AF2127" s="52"/>
      <c r="AG2127" s="52"/>
      <c r="AH2127" s="52"/>
      <c r="AI2127" s="52"/>
      <c r="AJ2127" s="52"/>
      <c r="AK2127" s="52"/>
      <c r="AL2127" s="52"/>
      <c r="AM2127" s="52"/>
      <c r="AN2127" s="52"/>
    </row>
    <row r="2128" spans="1:40" x14ac:dyDescent="0.3">
      <c r="A2128" s="52">
        <v>2123</v>
      </c>
      <c r="B2128" s="52">
        <f>-bthan*500+(22+0.5)*bthan*1000/50</f>
        <v>-275</v>
      </c>
      <c r="C2128" s="52">
        <f t="shared" si="222"/>
        <v>50</v>
      </c>
      <c r="D2128" s="52">
        <f t="shared" si="223"/>
        <v>2200</v>
      </c>
      <c r="E2128" s="52">
        <f t="shared" si="224"/>
        <v>1</v>
      </c>
      <c r="F2128" s="52"/>
      <c r="G2128" s="52"/>
      <c r="H2128" s="52"/>
      <c r="I2128" s="52"/>
      <c r="J2128" s="52"/>
      <c r="K2128" s="52"/>
      <c r="L2128" s="52"/>
      <c r="M2128" s="52"/>
      <c r="N2128" s="52"/>
      <c r="O2128" s="52"/>
      <c r="P2128" s="52"/>
      <c r="Q2128" s="52"/>
      <c r="R2128" s="52"/>
      <c r="S2128" s="52"/>
      <c r="T2128" s="52"/>
      <c r="U2128" s="52"/>
      <c r="V2128" s="52"/>
      <c r="W2128" s="52"/>
      <c r="X2128" s="52"/>
      <c r="Y2128" s="52"/>
      <c r="Z2128" s="52"/>
      <c r="AA2128" s="52"/>
      <c r="AB2128" s="52"/>
      <c r="AC2128" s="52"/>
      <c r="AD2128" s="52"/>
      <c r="AE2128" s="52"/>
      <c r="AF2128" s="52"/>
      <c r="AG2128" s="52"/>
      <c r="AH2128" s="52"/>
      <c r="AI2128" s="52"/>
      <c r="AJ2128" s="52"/>
      <c r="AK2128" s="52"/>
      <c r="AL2128" s="52"/>
      <c r="AM2128" s="52"/>
      <c r="AN2128" s="52"/>
    </row>
    <row r="2129" spans="1:40" x14ac:dyDescent="0.3">
      <c r="A2129" s="52">
        <v>2124</v>
      </c>
      <c r="B2129" s="52">
        <f>-bthan*500+(23+0.5)*bthan*1000/50</f>
        <v>-165</v>
      </c>
      <c r="C2129" s="52">
        <f t="shared" si="222"/>
        <v>50</v>
      </c>
      <c r="D2129" s="52">
        <f t="shared" si="223"/>
        <v>2200</v>
      </c>
      <c r="E2129" s="52">
        <f t="shared" si="224"/>
        <v>1</v>
      </c>
      <c r="F2129" s="52"/>
      <c r="G2129" s="52"/>
      <c r="H2129" s="52"/>
      <c r="I2129" s="52"/>
      <c r="J2129" s="52"/>
      <c r="K2129" s="52"/>
      <c r="L2129" s="52"/>
      <c r="M2129" s="52"/>
      <c r="N2129" s="52"/>
      <c r="O2129" s="52"/>
      <c r="P2129" s="52"/>
      <c r="Q2129" s="52"/>
      <c r="R2129" s="52"/>
      <c r="S2129" s="52"/>
      <c r="T2129" s="52"/>
      <c r="U2129" s="52"/>
      <c r="V2129" s="52"/>
      <c r="W2129" s="52"/>
      <c r="X2129" s="52"/>
      <c r="Y2129" s="52"/>
      <c r="Z2129" s="52"/>
      <c r="AA2129" s="52"/>
      <c r="AB2129" s="52"/>
      <c r="AC2129" s="52"/>
      <c r="AD2129" s="52"/>
      <c r="AE2129" s="52"/>
      <c r="AF2129" s="52"/>
      <c r="AG2129" s="52"/>
      <c r="AH2129" s="52"/>
      <c r="AI2129" s="52"/>
      <c r="AJ2129" s="52"/>
      <c r="AK2129" s="52"/>
      <c r="AL2129" s="52"/>
      <c r="AM2129" s="52"/>
      <c r="AN2129" s="52"/>
    </row>
    <row r="2130" spans="1:40" x14ac:dyDescent="0.3">
      <c r="A2130" s="52">
        <v>2125</v>
      </c>
      <c r="B2130" s="52">
        <f>-bthan*500+(24+0.5)*bthan*1000/50</f>
        <v>-55</v>
      </c>
      <c r="C2130" s="52">
        <f t="shared" si="222"/>
        <v>50</v>
      </c>
      <c r="D2130" s="52">
        <f t="shared" si="223"/>
        <v>2200</v>
      </c>
      <c r="E2130" s="52">
        <f t="shared" si="224"/>
        <v>1</v>
      </c>
      <c r="F2130" s="52"/>
      <c r="G2130" s="52"/>
      <c r="H2130" s="52"/>
      <c r="I2130" s="52"/>
      <c r="J2130" s="52"/>
      <c r="K2130" s="52"/>
      <c r="L2130" s="52"/>
      <c r="M2130" s="52"/>
      <c r="N2130" s="52"/>
      <c r="O2130" s="52"/>
      <c r="P2130" s="52"/>
      <c r="Q2130" s="52"/>
      <c r="R2130" s="52"/>
      <c r="S2130" s="52"/>
      <c r="T2130" s="52"/>
      <c r="U2130" s="52"/>
      <c r="V2130" s="52"/>
      <c r="W2130" s="52"/>
      <c r="X2130" s="52"/>
      <c r="Y2130" s="52"/>
      <c r="Z2130" s="52"/>
      <c r="AA2130" s="52"/>
      <c r="AB2130" s="52"/>
      <c r="AC2130" s="52"/>
      <c r="AD2130" s="52"/>
      <c r="AE2130" s="52"/>
      <c r="AF2130" s="52"/>
      <c r="AG2130" s="52"/>
      <c r="AH2130" s="52"/>
      <c r="AI2130" s="52"/>
      <c r="AJ2130" s="52"/>
      <c r="AK2130" s="52"/>
      <c r="AL2130" s="52"/>
      <c r="AM2130" s="52"/>
      <c r="AN2130" s="52"/>
    </row>
    <row r="2131" spans="1:40" x14ac:dyDescent="0.3">
      <c r="A2131" s="52">
        <v>2126</v>
      </c>
      <c r="B2131" s="52">
        <f>-bthan*500+(25+0.5)*bthan*1000/50</f>
        <v>55</v>
      </c>
      <c r="C2131" s="52">
        <f t="shared" si="222"/>
        <v>50</v>
      </c>
      <c r="D2131" s="52">
        <f t="shared" si="223"/>
        <v>2200</v>
      </c>
      <c r="E2131" s="52">
        <f t="shared" si="224"/>
        <v>1</v>
      </c>
      <c r="F2131" s="52"/>
      <c r="G2131" s="52"/>
      <c r="H2131" s="52"/>
      <c r="I2131" s="52"/>
      <c r="J2131" s="52"/>
      <c r="K2131" s="52"/>
      <c r="L2131" s="52"/>
      <c r="M2131" s="52"/>
      <c r="N2131" s="52"/>
      <c r="O2131" s="52"/>
      <c r="P2131" s="52"/>
      <c r="Q2131" s="52"/>
      <c r="R2131" s="52"/>
      <c r="S2131" s="52"/>
      <c r="T2131" s="52"/>
      <c r="U2131" s="52"/>
      <c r="V2131" s="52"/>
      <c r="W2131" s="52"/>
      <c r="X2131" s="52"/>
      <c r="Y2131" s="52"/>
      <c r="Z2131" s="52"/>
      <c r="AA2131" s="52"/>
      <c r="AB2131" s="52"/>
      <c r="AC2131" s="52"/>
      <c r="AD2131" s="52"/>
      <c r="AE2131" s="52"/>
      <c r="AF2131" s="52"/>
      <c r="AG2131" s="52"/>
      <c r="AH2131" s="52"/>
      <c r="AI2131" s="52"/>
      <c r="AJ2131" s="52"/>
      <c r="AK2131" s="52"/>
      <c r="AL2131" s="52"/>
      <c r="AM2131" s="52"/>
      <c r="AN2131" s="52"/>
    </row>
    <row r="2132" spans="1:40" x14ac:dyDescent="0.3">
      <c r="A2132" s="52">
        <v>2127</v>
      </c>
      <c r="B2132" s="52">
        <f>-bthan*500+(26+0.5)*bthan*1000/50</f>
        <v>165</v>
      </c>
      <c r="C2132" s="52">
        <f t="shared" si="222"/>
        <v>50</v>
      </c>
      <c r="D2132" s="52">
        <f t="shared" si="223"/>
        <v>2200</v>
      </c>
      <c r="E2132" s="52">
        <f t="shared" si="224"/>
        <v>1</v>
      </c>
      <c r="F2132" s="52"/>
      <c r="G2132" s="52"/>
      <c r="H2132" s="52"/>
      <c r="I2132" s="52"/>
      <c r="J2132" s="52"/>
      <c r="K2132" s="52"/>
      <c r="L2132" s="52"/>
      <c r="M2132" s="52"/>
      <c r="N2132" s="52"/>
      <c r="O2132" s="52"/>
      <c r="P2132" s="52"/>
      <c r="Q2132" s="52"/>
      <c r="R2132" s="52"/>
      <c r="S2132" s="52"/>
      <c r="T2132" s="52"/>
      <c r="U2132" s="52"/>
      <c r="V2132" s="52"/>
      <c r="W2132" s="52"/>
      <c r="X2132" s="52"/>
      <c r="Y2132" s="52"/>
      <c r="Z2132" s="52"/>
      <c r="AA2132" s="52"/>
      <c r="AB2132" s="52"/>
      <c r="AC2132" s="52"/>
      <c r="AD2132" s="52"/>
      <c r="AE2132" s="52"/>
      <c r="AF2132" s="52"/>
      <c r="AG2132" s="52"/>
      <c r="AH2132" s="52"/>
      <c r="AI2132" s="52"/>
      <c r="AJ2132" s="52"/>
      <c r="AK2132" s="52"/>
      <c r="AL2132" s="52"/>
      <c r="AM2132" s="52"/>
      <c r="AN2132" s="52"/>
    </row>
    <row r="2133" spans="1:40" x14ac:dyDescent="0.3">
      <c r="A2133" s="52">
        <v>2128</v>
      </c>
      <c r="B2133" s="52">
        <f>-bthan*500+(27+0.5)*bthan*1000/50</f>
        <v>275</v>
      </c>
      <c r="C2133" s="52">
        <f t="shared" si="222"/>
        <v>50</v>
      </c>
      <c r="D2133" s="52">
        <f t="shared" si="223"/>
        <v>2200</v>
      </c>
      <c r="E2133" s="52">
        <f t="shared" si="224"/>
        <v>1</v>
      </c>
      <c r="F2133" s="52"/>
      <c r="G2133" s="52"/>
      <c r="H2133" s="52"/>
      <c r="I2133" s="52"/>
      <c r="J2133" s="52"/>
      <c r="K2133" s="52"/>
      <c r="L2133" s="52"/>
      <c r="M2133" s="52"/>
      <c r="N2133" s="52"/>
      <c r="O2133" s="52"/>
      <c r="P2133" s="52"/>
      <c r="Q2133" s="52"/>
      <c r="R2133" s="52"/>
      <c r="S2133" s="52"/>
      <c r="T2133" s="52"/>
      <c r="U2133" s="52"/>
      <c r="V2133" s="52"/>
      <c r="W2133" s="52"/>
      <c r="X2133" s="52"/>
      <c r="Y2133" s="52"/>
      <c r="Z2133" s="52"/>
      <c r="AA2133" s="52"/>
      <c r="AB2133" s="52"/>
      <c r="AC2133" s="52"/>
      <c r="AD2133" s="52"/>
      <c r="AE2133" s="52"/>
      <c r="AF2133" s="52"/>
      <c r="AG2133" s="52"/>
      <c r="AH2133" s="52"/>
      <c r="AI2133" s="52"/>
      <c r="AJ2133" s="52"/>
      <c r="AK2133" s="52"/>
      <c r="AL2133" s="52"/>
      <c r="AM2133" s="52"/>
      <c r="AN2133" s="52"/>
    </row>
    <row r="2134" spans="1:40" x14ac:dyDescent="0.3">
      <c r="A2134" s="52">
        <v>2129</v>
      </c>
      <c r="B2134" s="52">
        <f>-bthan*500+(28+0.5)*bthan*1000/50</f>
        <v>385</v>
      </c>
      <c r="C2134" s="52">
        <f t="shared" si="222"/>
        <v>50</v>
      </c>
      <c r="D2134" s="52">
        <f t="shared" si="223"/>
        <v>2200</v>
      </c>
      <c r="E2134" s="52">
        <f t="shared" si="224"/>
        <v>1</v>
      </c>
      <c r="F2134" s="52"/>
      <c r="G2134" s="52"/>
      <c r="H2134" s="52"/>
      <c r="I2134" s="52"/>
      <c r="J2134" s="52"/>
      <c r="K2134" s="52"/>
      <c r="L2134" s="52"/>
      <c r="M2134" s="52"/>
      <c r="N2134" s="52"/>
      <c r="O2134" s="52"/>
      <c r="P2134" s="52"/>
      <c r="Q2134" s="52"/>
      <c r="R2134" s="52"/>
      <c r="S2134" s="52"/>
      <c r="T2134" s="52"/>
      <c r="U2134" s="52"/>
      <c r="V2134" s="52"/>
      <c r="W2134" s="52"/>
      <c r="X2134" s="52"/>
      <c r="Y2134" s="52"/>
      <c r="Z2134" s="52"/>
      <c r="AA2134" s="52"/>
      <c r="AB2134" s="52"/>
      <c r="AC2134" s="52"/>
      <c r="AD2134" s="52"/>
      <c r="AE2134" s="52"/>
      <c r="AF2134" s="52"/>
      <c r="AG2134" s="52"/>
      <c r="AH2134" s="52"/>
      <c r="AI2134" s="52"/>
      <c r="AJ2134" s="52"/>
      <c r="AK2134" s="52"/>
      <c r="AL2134" s="52"/>
      <c r="AM2134" s="52"/>
      <c r="AN2134" s="52"/>
    </row>
    <row r="2135" spans="1:40" x14ac:dyDescent="0.3">
      <c r="A2135" s="52">
        <v>2130</v>
      </c>
      <c r="B2135" s="52">
        <f>-bthan*500+(29+0.5)*bthan*1000/50</f>
        <v>495</v>
      </c>
      <c r="C2135" s="52">
        <f t="shared" si="222"/>
        <v>50</v>
      </c>
      <c r="D2135" s="52">
        <f t="shared" si="223"/>
        <v>2200</v>
      </c>
      <c r="E2135" s="52">
        <f t="shared" si="224"/>
        <v>1</v>
      </c>
      <c r="F2135" s="52"/>
      <c r="G2135" s="52"/>
      <c r="H2135" s="52"/>
      <c r="I2135" s="52"/>
      <c r="J2135" s="52"/>
      <c r="K2135" s="52"/>
      <c r="L2135" s="52"/>
      <c r="M2135" s="52"/>
      <c r="N2135" s="52"/>
      <c r="O2135" s="52"/>
      <c r="P2135" s="52"/>
      <c r="Q2135" s="52"/>
      <c r="R2135" s="52"/>
      <c r="S2135" s="52"/>
      <c r="T2135" s="52"/>
      <c r="U2135" s="52"/>
      <c r="V2135" s="52"/>
      <c r="W2135" s="52"/>
      <c r="X2135" s="52"/>
      <c r="Y2135" s="52"/>
      <c r="Z2135" s="52"/>
      <c r="AA2135" s="52"/>
      <c r="AB2135" s="52"/>
      <c r="AC2135" s="52"/>
      <c r="AD2135" s="52"/>
      <c r="AE2135" s="52"/>
      <c r="AF2135" s="52"/>
      <c r="AG2135" s="52"/>
      <c r="AH2135" s="52"/>
      <c r="AI2135" s="52"/>
      <c r="AJ2135" s="52"/>
      <c r="AK2135" s="52"/>
      <c r="AL2135" s="52"/>
      <c r="AM2135" s="52"/>
      <c r="AN2135" s="52"/>
    </row>
    <row r="2136" spans="1:40" x14ac:dyDescent="0.3">
      <c r="A2136" s="52">
        <v>2131</v>
      </c>
      <c r="B2136" s="52">
        <f>-bthan*500+(30+0.5)*bthan*1000/50</f>
        <v>605</v>
      </c>
      <c r="C2136" s="52">
        <f t="shared" si="222"/>
        <v>50</v>
      </c>
      <c r="D2136" s="52">
        <f t="shared" si="223"/>
        <v>2200</v>
      </c>
      <c r="E2136" s="52">
        <f t="shared" si="224"/>
        <v>1</v>
      </c>
      <c r="F2136" s="52"/>
      <c r="G2136" s="52"/>
      <c r="H2136" s="52"/>
      <c r="I2136" s="52"/>
      <c r="J2136" s="52"/>
      <c r="K2136" s="52"/>
      <c r="L2136" s="52"/>
      <c r="M2136" s="52"/>
      <c r="N2136" s="52"/>
      <c r="O2136" s="52"/>
      <c r="P2136" s="52"/>
      <c r="Q2136" s="52"/>
      <c r="R2136" s="52"/>
      <c r="S2136" s="52"/>
      <c r="T2136" s="52"/>
      <c r="U2136" s="52"/>
      <c r="V2136" s="52"/>
      <c r="W2136" s="52"/>
      <c r="X2136" s="52"/>
      <c r="Y2136" s="52"/>
      <c r="Z2136" s="52"/>
      <c r="AA2136" s="52"/>
      <c r="AB2136" s="52"/>
      <c r="AC2136" s="52"/>
      <c r="AD2136" s="52"/>
      <c r="AE2136" s="52"/>
      <c r="AF2136" s="52"/>
      <c r="AG2136" s="52"/>
      <c r="AH2136" s="52"/>
      <c r="AI2136" s="52"/>
      <c r="AJ2136" s="52"/>
      <c r="AK2136" s="52"/>
      <c r="AL2136" s="52"/>
      <c r="AM2136" s="52"/>
      <c r="AN2136" s="52"/>
    </row>
    <row r="2137" spans="1:40" x14ac:dyDescent="0.3">
      <c r="A2137" s="52">
        <v>2132</v>
      </c>
      <c r="B2137" s="52">
        <f>-bthan*500+(31+0.5)*bthan*1000/50</f>
        <v>715</v>
      </c>
      <c r="C2137" s="52">
        <f t="shared" si="222"/>
        <v>50</v>
      </c>
      <c r="D2137" s="52">
        <f t="shared" si="223"/>
        <v>2200</v>
      </c>
      <c r="E2137" s="52">
        <f t="shared" si="224"/>
        <v>1</v>
      </c>
      <c r="F2137" s="52"/>
      <c r="G2137" s="52"/>
      <c r="H2137" s="52"/>
      <c r="I2137" s="52"/>
      <c r="J2137" s="52"/>
      <c r="K2137" s="52"/>
      <c r="L2137" s="52"/>
      <c r="M2137" s="52"/>
      <c r="N2137" s="52"/>
      <c r="O2137" s="52"/>
      <c r="P2137" s="52"/>
      <c r="Q2137" s="52"/>
      <c r="R2137" s="52"/>
      <c r="S2137" s="52"/>
      <c r="T2137" s="52"/>
      <c r="U2137" s="52"/>
      <c r="V2137" s="52"/>
      <c r="W2137" s="52"/>
      <c r="X2137" s="52"/>
      <c r="Y2137" s="52"/>
      <c r="Z2137" s="52"/>
      <c r="AA2137" s="52"/>
      <c r="AB2137" s="52"/>
      <c r="AC2137" s="52"/>
      <c r="AD2137" s="52"/>
      <c r="AE2137" s="52"/>
      <c r="AF2137" s="52"/>
      <c r="AG2137" s="52"/>
      <c r="AH2137" s="52"/>
      <c r="AI2137" s="52"/>
      <c r="AJ2137" s="52"/>
      <c r="AK2137" s="52"/>
      <c r="AL2137" s="52"/>
      <c r="AM2137" s="52"/>
      <c r="AN2137" s="52"/>
    </row>
    <row r="2138" spans="1:40" x14ac:dyDescent="0.3">
      <c r="A2138" s="52">
        <v>2133</v>
      </c>
      <c r="B2138" s="52">
        <f>-bthan*500+(32+0.5)*bthan*1000/50</f>
        <v>825</v>
      </c>
      <c r="C2138" s="52">
        <f t="shared" ref="C2138:C2155" si="225">-hthan*500+(42+0.5)*hthan*1000/80</f>
        <v>50</v>
      </c>
      <c r="D2138" s="52">
        <f t="shared" si="223"/>
        <v>2200</v>
      </c>
      <c r="E2138" s="52">
        <f t="shared" si="224"/>
        <v>1</v>
      </c>
      <c r="F2138" s="52"/>
      <c r="G2138" s="52"/>
      <c r="H2138" s="52"/>
      <c r="I2138" s="52"/>
      <c r="J2138" s="52"/>
      <c r="K2138" s="52"/>
      <c r="L2138" s="52"/>
      <c r="M2138" s="52"/>
      <c r="N2138" s="52"/>
      <c r="O2138" s="52"/>
      <c r="P2138" s="52"/>
      <c r="Q2138" s="52"/>
      <c r="R2138" s="52"/>
      <c r="S2138" s="52"/>
      <c r="T2138" s="52"/>
      <c r="U2138" s="52"/>
      <c r="V2138" s="52"/>
      <c r="W2138" s="52"/>
      <c r="X2138" s="52"/>
      <c r="Y2138" s="52"/>
      <c r="Z2138" s="52"/>
      <c r="AA2138" s="52"/>
      <c r="AB2138" s="52"/>
      <c r="AC2138" s="52"/>
      <c r="AD2138" s="52"/>
      <c r="AE2138" s="52"/>
      <c r="AF2138" s="52"/>
      <c r="AG2138" s="52"/>
      <c r="AH2138" s="52"/>
      <c r="AI2138" s="52"/>
      <c r="AJ2138" s="52"/>
      <c r="AK2138" s="52"/>
      <c r="AL2138" s="52"/>
      <c r="AM2138" s="52"/>
      <c r="AN2138" s="52"/>
    </row>
    <row r="2139" spans="1:40" x14ac:dyDescent="0.3">
      <c r="A2139" s="52">
        <v>2134</v>
      </c>
      <c r="B2139" s="52">
        <f>-bthan*500+(33+0.5)*bthan*1000/50</f>
        <v>935</v>
      </c>
      <c r="C2139" s="52">
        <f t="shared" si="225"/>
        <v>50</v>
      </c>
      <c r="D2139" s="52">
        <f t="shared" si="223"/>
        <v>2200</v>
      </c>
      <c r="E2139" s="52">
        <f t="shared" si="224"/>
        <v>1</v>
      </c>
      <c r="F2139" s="52"/>
      <c r="G2139" s="52"/>
      <c r="H2139" s="52"/>
      <c r="I2139" s="52"/>
      <c r="J2139" s="52"/>
      <c r="K2139" s="52"/>
      <c r="L2139" s="52"/>
      <c r="M2139" s="52"/>
      <c r="N2139" s="52"/>
      <c r="O2139" s="52"/>
      <c r="P2139" s="52"/>
      <c r="Q2139" s="52"/>
      <c r="R2139" s="52"/>
      <c r="S2139" s="52"/>
      <c r="T2139" s="52"/>
      <c r="U2139" s="52"/>
      <c r="V2139" s="52"/>
      <c r="W2139" s="52"/>
      <c r="X2139" s="52"/>
      <c r="Y2139" s="52"/>
      <c r="Z2139" s="52"/>
      <c r="AA2139" s="52"/>
      <c r="AB2139" s="52"/>
      <c r="AC2139" s="52"/>
      <c r="AD2139" s="52"/>
      <c r="AE2139" s="52"/>
      <c r="AF2139" s="52"/>
      <c r="AG2139" s="52"/>
      <c r="AH2139" s="52"/>
      <c r="AI2139" s="52"/>
      <c r="AJ2139" s="52"/>
      <c r="AK2139" s="52"/>
      <c r="AL2139" s="52"/>
      <c r="AM2139" s="52"/>
      <c r="AN2139" s="52"/>
    </row>
    <row r="2140" spans="1:40" x14ac:dyDescent="0.3">
      <c r="A2140" s="52">
        <v>2135</v>
      </c>
      <c r="B2140" s="52">
        <f>-bthan*500+(34+0.5)*bthan*1000/50</f>
        <v>1045</v>
      </c>
      <c r="C2140" s="52">
        <f t="shared" si="225"/>
        <v>50</v>
      </c>
      <c r="D2140" s="52">
        <f t="shared" si="223"/>
        <v>2200</v>
      </c>
      <c r="E2140" s="52">
        <f t="shared" si="224"/>
        <v>1</v>
      </c>
      <c r="F2140" s="52"/>
      <c r="G2140" s="52"/>
      <c r="H2140" s="52"/>
      <c r="I2140" s="52"/>
      <c r="J2140" s="52"/>
      <c r="K2140" s="52"/>
      <c r="L2140" s="52"/>
      <c r="M2140" s="52"/>
      <c r="N2140" s="52"/>
      <c r="O2140" s="52"/>
      <c r="P2140" s="52"/>
      <c r="Q2140" s="52"/>
      <c r="R2140" s="52"/>
      <c r="S2140" s="52"/>
      <c r="T2140" s="52"/>
      <c r="U2140" s="52"/>
      <c r="V2140" s="52"/>
      <c r="W2140" s="52"/>
      <c r="X2140" s="52"/>
      <c r="Y2140" s="52"/>
      <c r="Z2140" s="52"/>
      <c r="AA2140" s="52"/>
      <c r="AB2140" s="52"/>
      <c r="AC2140" s="52"/>
      <c r="AD2140" s="52"/>
      <c r="AE2140" s="52"/>
      <c r="AF2140" s="52"/>
      <c r="AG2140" s="52"/>
      <c r="AH2140" s="52"/>
      <c r="AI2140" s="52"/>
      <c r="AJ2140" s="52"/>
      <c r="AK2140" s="52"/>
      <c r="AL2140" s="52"/>
      <c r="AM2140" s="52"/>
      <c r="AN2140" s="52"/>
    </row>
    <row r="2141" spans="1:40" x14ac:dyDescent="0.3">
      <c r="A2141" s="52">
        <v>2136</v>
      </c>
      <c r="B2141" s="52">
        <f>-bthan*500+(35+0.5)*bthan*1000/50</f>
        <v>1155</v>
      </c>
      <c r="C2141" s="52">
        <f t="shared" si="225"/>
        <v>50</v>
      </c>
      <c r="D2141" s="52">
        <f t="shared" si="223"/>
        <v>2200</v>
      </c>
      <c r="E2141" s="52">
        <f t="shared" si="224"/>
        <v>1</v>
      </c>
      <c r="F2141" s="52"/>
      <c r="G2141" s="52"/>
      <c r="H2141" s="52"/>
      <c r="I2141" s="52"/>
      <c r="J2141" s="52"/>
      <c r="K2141" s="52"/>
      <c r="L2141" s="52"/>
      <c r="M2141" s="52"/>
      <c r="N2141" s="52"/>
      <c r="O2141" s="52"/>
      <c r="P2141" s="52"/>
      <c r="Q2141" s="52"/>
      <c r="R2141" s="52"/>
      <c r="S2141" s="52"/>
      <c r="T2141" s="52"/>
      <c r="U2141" s="52"/>
      <c r="V2141" s="52"/>
      <c r="W2141" s="52"/>
      <c r="X2141" s="52"/>
      <c r="Y2141" s="52"/>
      <c r="Z2141" s="52"/>
      <c r="AA2141" s="52"/>
      <c r="AB2141" s="52"/>
      <c r="AC2141" s="52"/>
      <c r="AD2141" s="52"/>
      <c r="AE2141" s="52"/>
      <c r="AF2141" s="52"/>
      <c r="AG2141" s="52"/>
      <c r="AH2141" s="52"/>
      <c r="AI2141" s="52"/>
      <c r="AJ2141" s="52"/>
      <c r="AK2141" s="52"/>
      <c r="AL2141" s="52"/>
      <c r="AM2141" s="52"/>
      <c r="AN2141" s="52"/>
    </row>
    <row r="2142" spans="1:40" x14ac:dyDescent="0.3">
      <c r="A2142" s="52">
        <v>2137</v>
      </c>
      <c r="B2142" s="52">
        <f>-bthan*500+(36+0.5)*bthan*1000/50</f>
        <v>1265</v>
      </c>
      <c r="C2142" s="52">
        <f t="shared" si="225"/>
        <v>50</v>
      </c>
      <c r="D2142" s="52">
        <f t="shared" si="223"/>
        <v>2200</v>
      </c>
      <c r="E2142" s="52">
        <f t="shared" si="224"/>
        <v>1</v>
      </c>
      <c r="F2142" s="52"/>
      <c r="G2142" s="52"/>
      <c r="H2142" s="52"/>
      <c r="I2142" s="52"/>
      <c r="J2142" s="52"/>
      <c r="K2142" s="52"/>
      <c r="L2142" s="52"/>
      <c r="M2142" s="52"/>
      <c r="N2142" s="52"/>
      <c r="O2142" s="52"/>
      <c r="P2142" s="52"/>
      <c r="Q2142" s="52"/>
      <c r="R2142" s="52"/>
      <c r="S2142" s="52"/>
      <c r="T2142" s="52"/>
      <c r="U2142" s="52"/>
      <c r="V2142" s="52"/>
      <c r="W2142" s="52"/>
      <c r="X2142" s="52"/>
      <c r="Y2142" s="52"/>
      <c r="Z2142" s="52"/>
      <c r="AA2142" s="52"/>
      <c r="AB2142" s="52"/>
      <c r="AC2142" s="52"/>
      <c r="AD2142" s="52"/>
      <c r="AE2142" s="52"/>
      <c r="AF2142" s="52"/>
      <c r="AG2142" s="52"/>
      <c r="AH2142" s="52"/>
      <c r="AI2142" s="52"/>
      <c r="AJ2142" s="52"/>
      <c r="AK2142" s="52"/>
      <c r="AL2142" s="52"/>
      <c r="AM2142" s="52"/>
      <c r="AN2142" s="52"/>
    </row>
    <row r="2143" spans="1:40" x14ac:dyDescent="0.3">
      <c r="A2143" s="52">
        <v>2138</v>
      </c>
      <c r="B2143" s="52">
        <f>-bthan*500+(37+0.5)*bthan*1000/50</f>
        <v>1375</v>
      </c>
      <c r="C2143" s="52">
        <f t="shared" si="225"/>
        <v>50</v>
      </c>
      <c r="D2143" s="52">
        <f t="shared" si="223"/>
        <v>2200</v>
      </c>
      <c r="E2143" s="52">
        <f t="shared" si="224"/>
        <v>1</v>
      </c>
      <c r="F2143" s="52"/>
      <c r="G2143" s="52"/>
      <c r="H2143" s="52"/>
      <c r="I2143" s="52"/>
      <c r="J2143" s="52"/>
      <c r="K2143" s="52"/>
      <c r="L2143" s="52"/>
      <c r="M2143" s="52"/>
      <c r="N2143" s="52"/>
      <c r="O2143" s="52"/>
      <c r="P2143" s="52"/>
      <c r="Q2143" s="52"/>
      <c r="R2143" s="52"/>
      <c r="S2143" s="52"/>
      <c r="T2143" s="52"/>
      <c r="U2143" s="52"/>
      <c r="V2143" s="52"/>
      <c r="W2143" s="52"/>
      <c r="X2143" s="52"/>
      <c r="Y2143" s="52"/>
      <c r="Z2143" s="52"/>
      <c r="AA2143" s="52"/>
      <c r="AB2143" s="52"/>
      <c r="AC2143" s="52"/>
      <c r="AD2143" s="52"/>
      <c r="AE2143" s="52"/>
      <c r="AF2143" s="52"/>
      <c r="AG2143" s="52"/>
      <c r="AH2143" s="52"/>
      <c r="AI2143" s="52"/>
      <c r="AJ2143" s="52"/>
      <c r="AK2143" s="52"/>
      <c r="AL2143" s="52"/>
      <c r="AM2143" s="52"/>
      <c r="AN2143" s="52"/>
    </row>
    <row r="2144" spans="1:40" x14ac:dyDescent="0.3">
      <c r="A2144" s="52">
        <v>2139</v>
      </c>
      <c r="B2144" s="52">
        <f>-bthan*500+(38+0.5)*bthan*1000/50</f>
        <v>1485</v>
      </c>
      <c r="C2144" s="52">
        <f t="shared" si="225"/>
        <v>50</v>
      </c>
      <c r="D2144" s="52">
        <f t="shared" si="223"/>
        <v>2200</v>
      </c>
      <c r="E2144" s="52">
        <f t="shared" si="224"/>
        <v>1</v>
      </c>
      <c r="F2144" s="52"/>
      <c r="G2144" s="52"/>
      <c r="H2144" s="52"/>
      <c r="I2144" s="52"/>
      <c r="J2144" s="52"/>
      <c r="K2144" s="52"/>
      <c r="L2144" s="52"/>
      <c r="M2144" s="52"/>
      <c r="N2144" s="52"/>
      <c r="O2144" s="52"/>
      <c r="P2144" s="52"/>
      <c r="Q2144" s="52"/>
      <c r="R2144" s="52"/>
      <c r="S2144" s="52"/>
      <c r="T2144" s="52"/>
      <c r="U2144" s="52"/>
      <c r="V2144" s="52"/>
      <c r="W2144" s="52"/>
      <c r="X2144" s="52"/>
      <c r="Y2144" s="52"/>
      <c r="Z2144" s="52"/>
      <c r="AA2144" s="52"/>
      <c r="AB2144" s="52"/>
      <c r="AC2144" s="52"/>
      <c r="AD2144" s="52"/>
      <c r="AE2144" s="52"/>
      <c r="AF2144" s="52"/>
      <c r="AG2144" s="52"/>
      <c r="AH2144" s="52"/>
      <c r="AI2144" s="52"/>
      <c r="AJ2144" s="52"/>
      <c r="AK2144" s="52"/>
      <c r="AL2144" s="52"/>
      <c r="AM2144" s="52"/>
      <c r="AN2144" s="52"/>
    </row>
    <row r="2145" spans="1:40" x14ac:dyDescent="0.3">
      <c r="A2145" s="52">
        <v>2140</v>
      </c>
      <c r="B2145" s="52">
        <f>-bthan*500+(39+0.5)*bthan*1000/50</f>
        <v>1595</v>
      </c>
      <c r="C2145" s="52">
        <f t="shared" si="225"/>
        <v>50</v>
      </c>
      <c r="D2145" s="52">
        <f t="shared" si="223"/>
        <v>2200</v>
      </c>
      <c r="E2145" s="52">
        <f t="shared" si="224"/>
        <v>1</v>
      </c>
      <c r="F2145" s="52"/>
      <c r="G2145" s="52"/>
      <c r="H2145" s="52"/>
      <c r="I2145" s="52"/>
      <c r="J2145" s="52"/>
      <c r="K2145" s="52"/>
      <c r="L2145" s="52"/>
      <c r="M2145" s="52"/>
      <c r="N2145" s="52"/>
      <c r="O2145" s="52"/>
      <c r="P2145" s="52"/>
      <c r="Q2145" s="52"/>
      <c r="R2145" s="52"/>
      <c r="S2145" s="52"/>
      <c r="T2145" s="52"/>
      <c r="U2145" s="52"/>
      <c r="V2145" s="52"/>
      <c r="W2145" s="52"/>
      <c r="X2145" s="52"/>
      <c r="Y2145" s="52"/>
      <c r="Z2145" s="52"/>
      <c r="AA2145" s="52"/>
      <c r="AB2145" s="52"/>
      <c r="AC2145" s="52"/>
      <c r="AD2145" s="52"/>
      <c r="AE2145" s="52"/>
      <c r="AF2145" s="52"/>
      <c r="AG2145" s="52"/>
      <c r="AH2145" s="52"/>
      <c r="AI2145" s="52"/>
      <c r="AJ2145" s="52"/>
      <c r="AK2145" s="52"/>
      <c r="AL2145" s="52"/>
      <c r="AM2145" s="52"/>
      <c r="AN2145" s="52"/>
    </row>
    <row r="2146" spans="1:40" x14ac:dyDescent="0.3">
      <c r="A2146" s="52">
        <v>2141</v>
      </c>
      <c r="B2146" s="52">
        <f>-bthan*500+(40+0.5)*bthan*1000/50</f>
        <v>1705</v>
      </c>
      <c r="C2146" s="52">
        <f t="shared" si="225"/>
        <v>50</v>
      </c>
      <c r="D2146" s="52">
        <f t="shared" si="223"/>
        <v>2200</v>
      </c>
      <c r="E2146" s="52">
        <f t="shared" si="224"/>
        <v>1</v>
      </c>
      <c r="F2146" s="52"/>
      <c r="G2146" s="52"/>
      <c r="H2146" s="52"/>
      <c r="I2146" s="52"/>
      <c r="J2146" s="52"/>
      <c r="K2146" s="52"/>
      <c r="L2146" s="52"/>
      <c r="M2146" s="52"/>
      <c r="N2146" s="52"/>
      <c r="O2146" s="52"/>
      <c r="P2146" s="52"/>
      <c r="Q2146" s="52"/>
      <c r="R2146" s="52"/>
      <c r="S2146" s="52"/>
      <c r="T2146" s="52"/>
      <c r="U2146" s="52"/>
      <c r="V2146" s="52"/>
      <c r="W2146" s="52"/>
      <c r="X2146" s="52"/>
      <c r="Y2146" s="52"/>
      <c r="Z2146" s="52"/>
      <c r="AA2146" s="52"/>
      <c r="AB2146" s="52"/>
      <c r="AC2146" s="52"/>
      <c r="AD2146" s="52"/>
      <c r="AE2146" s="52"/>
      <c r="AF2146" s="52"/>
      <c r="AG2146" s="52"/>
      <c r="AH2146" s="52"/>
      <c r="AI2146" s="52"/>
      <c r="AJ2146" s="52"/>
      <c r="AK2146" s="52"/>
      <c r="AL2146" s="52"/>
      <c r="AM2146" s="52"/>
      <c r="AN2146" s="52"/>
    </row>
    <row r="2147" spans="1:40" x14ac:dyDescent="0.3">
      <c r="A2147" s="52">
        <v>2142</v>
      </c>
      <c r="B2147" s="52">
        <f>-bthan*500+(41+0.5)*bthan*1000/50</f>
        <v>1815</v>
      </c>
      <c r="C2147" s="52">
        <f t="shared" si="225"/>
        <v>50</v>
      </c>
      <c r="D2147" s="52">
        <f t="shared" si="223"/>
        <v>2200</v>
      </c>
      <c r="E2147" s="52">
        <f t="shared" si="224"/>
        <v>1</v>
      </c>
      <c r="F2147" s="52"/>
      <c r="G2147" s="52"/>
      <c r="H2147" s="52"/>
      <c r="I2147" s="52"/>
      <c r="J2147" s="52"/>
      <c r="K2147" s="52"/>
      <c r="L2147" s="52"/>
      <c r="M2147" s="52"/>
      <c r="N2147" s="52"/>
      <c r="O2147" s="52"/>
      <c r="P2147" s="52"/>
      <c r="Q2147" s="52"/>
      <c r="R2147" s="52"/>
      <c r="S2147" s="52"/>
      <c r="T2147" s="52"/>
      <c r="U2147" s="52"/>
      <c r="V2147" s="52"/>
      <c r="W2147" s="52"/>
      <c r="X2147" s="52"/>
      <c r="Y2147" s="52"/>
      <c r="Z2147" s="52"/>
      <c r="AA2147" s="52"/>
      <c r="AB2147" s="52"/>
      <c r="AC2147" s="52"/>
      <c r="AD2147" s="52"/>
      <c r="AE2147" s="52"/>
      <c r="AF2147" s="52"/>
      <c r="AG2147" s="52"/>
      <c r="AH2147" s="52"/>
      <c r="AI2147" s="52"/>
      <c r="AJ2147" s="52"/>
      <c r="AK2147" s="52"/>
      <c r="AL2147" s="52"/>
      <c r="AM2147" s="52"/>
      <c r="AN2147" s="52"/>
    </row>
    <row r="2148" spans="1:40" x14ac:dyDescent="0.3">
      <c r="A2148" s="52">
        <v>2143</v>
      </c>
      <c r="B2148" s="52">
        <f>-bthan*500+(42+0.5)*bthan*1000/50</f>
        <v>1925</v>
      </c>
      <c r="C2148" s="52">
        <f t="shared" si="225"/>
        <v>50</v>
      </c>
      <c r="D2148" s="52">
        <f t="shared" si="223"/>
        <v>2200</v>
      </c>
      <c r="E2148" s="52">
        <f t="shared" si="224"/>
        <v>1</v>
      </c>
      <c r="F2148" s="52"/>
      <c r="G2148" s="52"/>
      <c r="H2148" s="52"/>
      <c r="I2148" s="52"/>
      <c r="J2148" s="52"/>
      <c r="K2148" s="52"/>
      <c r="L2148" s="52"/>
      <c r="M2148" s="52"/>
      <c r="N2148" s="52"/>
      <c r="O2148" s="52"/>
      <c r="P2148" s="52"/>
      <c r="Q2148" s="52"/>
      <c r="R2148" s="52"/>
      <c r="S2148" s="52"/>
      <c r="T2148" s="52"/>
      <c r="U2148" s="52"/>
      <c r="V2148" s="52"/>
      <c r="W2148" s="52"/>
      <c r="X2148" s="52"/>
      <c r="Y2148" s="52"/>
      <c r="Z2148" s="52"/>
      <c r="AA2148" s="52"/>
      <c r="AB2148" s="52"/>
      <c r="AC2148" s="52"/>
      <c r="AD2148" s="52"/>
      <c r="AE2148" s="52"/>
      <c r="AF2148" s="52"/>
      <c r="AG2148" s="52"/>
      <c r="AH2148" s="52"/>
      <c r="AI2148" s="52"/>
      <c r="AJ2148" s="52"/>
      <c r="AK2148" s="52"/>
      <c r="AL2148" s="52"/>
      <c r="AM2148" s="52"/>
      <c r="AN2148" s="52"/>
    </row>
    <row r="2149" spans="1:40" x14ac:dyDescent="0.3">
      <c r="A2149" s="52">
        <v>2144</v>
      </c>
      <c r="B2149" s="52">
        <f>-bthan*500+(43+0.5)*bthan*1000/50</f>
        <v>2035</v>
      </c>
      <c r="C2149" s="52">
        <f t="shared" si="225"/>
        <v>50</v>
      </c>
      <c r="D2149" s="52">
        <f t="shared" si="223"/>
        <v>2200</v>
      </c>
      <c r="E2149" s="52">
        <f t="shared" si="224"/>
        <v>1</v>
      </c>
      <c r="F2149" s="52"/>
      <c r="G2149" s="52"/>
      <c r="H2149" s="52"/>
      <c r="I2149" s="52"/>
      <c r="J2149" s="52"/>
      <c r="K2149" s="52"/>
      <c r="L2149" s="52"/>
      <c r="M2149" s="52"/>
      <c r="N2149" s="52"/>
      <c r="O2149" s="52"/>
      <c r="P2149" s="52"/>
      <c r="Q2149" s="52"/>
      <c r="R2149" s="52"/>
      <c r="S2149" s="52"/>
      <c r="T2149" s="52"/>
      <c r="U2149" s="52"/>
      <c r="V2149" s="52"/>
      <c r="W2149" s="52"/>
      <c r="X2149" s="52"/>
      <c r="Y2149" s="52"/>
      <c r="Z2149" s="52"/>
      <c r="AA2149" s="52"/>
      <c r="AB2149" s="52"/>
      <c r="AC2149" s="52"/>
      <c r="AD2149" s="52"/>
      <c r="AE2149" s="52"/>
      <c r="AF2149" s="52"/>
      <c r="AG2149" s="52"/>
      <c r="AH2149" s="52"/>
      <c r="AI2149" s="52"/>
      <c r="AJ2149" s="52"/>
      <c r="AK2149" s="52"/>
      <c r="AL2149" s="52"/>
      <c r="AM2149" s="52"/>
      <c r="AN2149" s="52"/>
    </row>
    <row r="2150" spans="1:40" x14ac:dyDescent="0.3">
      <c r="A2150" s="52">
        <v>2145</v>
      </c>
      <c r="B2150" s="52">
        <f>-bthan*500+(44+0.5)*bthan*1000/50</f>
        <v>2145</v>
      </c>
      <c r="C2150" s="52">
        <f t="shared" si="225"/>
        <v>50</v>
      </c>
      <c r="D2150" s="52">
        <f t="shared" si="223"/>
        <v>2200</v>
      </c>
      <c r="E2150" s="52">
        <f t="shared" si="224"/>
        <v>1</v>
      </c>
      <c r="F2150" s="52"/>
      <c r="G2150" s="52"/>
      <c r="H2150" s="52"/>
      <c r="I2150" s="52"/>
      <c r="J2150" s="52"/>
      <c r="K2150" s="52"/>
      <c r="L2150" s="52"/>
      <c r="M2150" s="52"/>
      <c r="N2150" s="52"/>
      <c r="O2150" s="52"/>
      <c r="P2150" s="52"/>
      <c r="Q2150" s="52"/>
      <c r="R2150" s="52"/>
      <c r="S2150" s="52"/>
      <c r="T2150" s="52"/>
      <c r="U2150" s="52"/>
      <c r="V2150" s="52"/>
      <c r="W2150" s="52"/>
      <c r="X2150" s="52"/>
      <c r="Y2150" s="52"/>
      <c r="Z2150" s="52"/>
      <c r="AA2150" s="52"/>
      <c r="AB2150" s="52"/>
      <c r="AC2150" s="52"/>
      <c r="AD2150" s="52"/>
      <c r="AE2150" s="52"/>
      <c r="AF2150" s="52"/>
      <c r="AG2150" s="52"/>
      <c r="AH2150" s="52"/>
      <c r="AI2150" s="52"/>
      <c r="AJ2150" s="52"/>
      <c r="AK2150" s="52"/>
      <c r="AL2150" s="52"/>
      <c r="AM2150" s="52"/>
      <c r="AN2150" s="52"/>
    </row>
    <row r="2151" spans="1:40" x14ac:dyDescent="0.3">
      <c r="A2151" s="52">
        <v>2146</v>
      </c>
      <c r="B2151" s="52">
        <f>-bthan*500+(45+0.5)*bthan*1000/50</f>
        <v>2255</v>
      </c>
      <c r="C2151" s="52">
        <f t="shared" si="225"/>
        <v>50</v>
      </c>
      <c r="D2151" s="52">
        <f t="shared" si="223"/>
        <v>2200</v>
      </c>
      <c r="E2151" s="52">
        <f t="shared" si="224"/>
        <v>1</v>
      </c>
      <c r="F2151" s="52"/>
      <c r="G2151" s="52"/>
      <c r="H2151" s="52"/>
      <c r="I2151" s="52"/>
      <c r="J2151" s="52"/>
      <c r="K2151" s="52"/>
      <c r="L2151" s="52"/>
      <c r="M2151" s="52"/>
      <c r="N2151" s="52"/>
      <c r="O2151" s="52"/>
      <c r="P2151" s="52"/>
      <c r="Q2151" s="52"/>
      <c r="R2151" s="52"/>
      <c r="S2151" s="52"/>
      <c r="T2151" s="52"/>
      <c r="U2151" s="52"/>
      <c r="V2151" s="52"/>
      <c r="W2151" s="52"/>
      <c r="X2151" s="52"/>
      <c r="Y2151" s="52"/>
      <c r="Z2151" s="52"/>
      <c r="AA2151" s="52"/>
      <c r="AB2151" s="52"/>
      <c r="AC2151" s="52"/>
      <c r="AD2151" s="52"/>
      <c r="AE2151" s="52"/>
      <c r="AF2151" s="52"/>
      <c r="AG2151" s="52"/>
      <c r="AH2151" s="52"/>
      <c r="AI2151" s="52"/>
      <c r="AJ2151" s="52"/>
      <c r="AK2151" s="52"/>
      <c r="AL2151" s="52"/>
      <c r="AM2151" s="52"/>
      <c r="AN2151" s="52"/>
    </row>
    <row r="2152" spans="1:40" x14ac:dyDescent="0.3">
      <c r="A2152" s="52">
        <v>2147</v>
      </c>
      <c r="B2152" s="52">
        <f>-bthan*500+(46+0.5)*bthan*1000/50</f>
        <v>2365</v>
      </c>
      <c r="C2152" s="52">
        <f t="shared" si="225"/>
        <v>50</v>
      </c>
      <c r="D2152" s="52">
        <f t="shared" si="223"/>
        <v>2200</v>
      </c>
      <c r="E2152" s="52">
        <f t="shared" si="224"/>
        <v>1</v>
      </c>
      <c r="F2152" s="52"/>
      <c r="G2152" s="52"/>
      <c r="H2152" s="52"/>
      <c r="I2152" s="52"/>
      <c r="J2152" s="52"/>
      <c r="K2152" s="52"/>
      <c r="L2152" s="52"/>
      <c r="M2152" s="52"/>
      <c r="N2152" s="52"/>
      <c r="O2152" s="52"/>
      <c r="P2152" s="52"/>
      <c r="Q2152" s="52"/>
      <c r="R2152" s="52"/>
      <c r="S2152" s="52"/>
      <c r="T2152" s="52"/>
      <c r="U2152" s="52"/>
      <c r="V2152" s="52"/>
      <c r="W2152" s="52"/>
      <c r="X2152" s="52"/>
      <c r="Y2152" s="52"/>
      <c r="Z2152" s="52"/>
      <c r="AA2152" s="52"/>
      <c r="AB2152" s="52"/>
      <c r="AC2152" s="52"/>
      <c r="AD2152" s="52"/>
      <c r="AE2152" s="52"/>
      <c r="AF2152" s="52"/>
      <c r="AG2152" s="52"/>
      <c r="AH2152" s="52"/>
      <c r="AI2152" s="52"/>
      <c r="AJ2152" s="52"/>
      <c r="AK2152" s="52"/>
      <c r="AL2152" s="52"/>
      <c r="AM2152" s="52"/>
      <c r="AN2152" s="52"/>
    </row>
    <row r="2153" spans="1:40" x14ac:dyDescent="0.3">
      <c r="A2153" s="52">
        <v>2148</v>
      </c>
      <c r="B2153" s="52">
        <f>-bthan*500+(47+0.5)*bthan*1000/50</f>
        <v>2475</v>
      </c>
      <c r="C2153" s="52">
        <f t="shared" si="225"/>
        <v>50</v>
      </c>
      <c r="D2153" s="52">
        <f t="shared" si="223"/>
        <v>2200</v>
      </c>
      <c r="E2153" s="52">
        <f t="shared" si="224"/>
        <v>1</v>
      </c>
      <c r="F2153" s="52"/>
      <c r="G2153" s="52"/>
      <c r="H2153" s="52"/>
      <c r="I2153" s="52"/>
      <c r="J2153" s="52"/>
      <c r="K2153" s="52"/>
      <c r="L2153" s="52"/>
      <c r="M2153" s="52"/>
      <c r="N2153" s="52"/>
      <c r="O2153" s="52"/>
      <c r="P2153" s="52"/>
      <c r="Q2153" s="52"/>
      <c r="R2153" s="52"/>
      <c r="S2153" s="52"/>
      <c r="T2153" s="52"/>
      <c r="U2153" s="52"/>
      <c r="V2153" s="52"/>
      <c r="W2153" s="52"/>
      <c r="X2153" s="52"/>
      <c r="Y2153" s="52"/>
      <c r="Z2153" s="52"/>
      <c r="AA2153" s="52"/>
      <c r="AB2153" s="52"/>
      <c r="AC2153" s="52"/>
      <c r="AD2153" s="52"/>
      <c r="AE2153" s="52"/>
      <c r="AF2153" s="52"/>
      <c r="AG2153" s="52"/>
      <c r="AH2153" s="52"/>
      <c r="AI2153" s="52"/>
      <c r="AJ2153" s="52"/>
      <c r="AK2153" s="52"/>
      <c r="AL2153" s="52"/>
      <c r="AM2153" s="52"/>
      <c r="AN2153" s="52"/>
    </row>
    <row r="2154" spans="1:40" x14ac:dyDescent="0.3">
      <c r="A2154" s="52">
        <v>2149</v>
      </c>
      <c r="B2154" s="52">
        <f>-bthan*500+(48+0.5)*bthan*1000/50</f>
        <v>2585</v>
      </c>
      <c r="C2154" s="52">
        <f t="shared" si="225"/>
        <v>50</v>
      </c>
      <c r="D2154" s="52">
        <f t="shared" si="223"/>
        <v>2200</v>
      </c>
      <c r="E2154" s="52">
        <f t="shared" si="224"/>
        <v>1</v>
      </c>
      <c r="F2154" s="52"/>
      <c r="G2154" s="52"/>
      <c r="H2154" s="52"/>
      <c r="I2154" s="52"/>
      <c r="J2154" s="52"/>
      <c r="K2154" s="52"/>
      <c r="L2154" s="52"/>
      <c r="M2154" s="52"/>
      <c r="N2154" s="52"/>
      <c r="O2154" s="52"/>
      <c r="P2154" s="52"/>
      <c r="Q2154" s="52"/>
      <c r="R2154" s="52"/>
      <c r="S2154" s="52"/>
      <c r="T2154" s="52"/>
      <c r="U2154" s="52"/>
      <c r="V2154" s="52"/>
      <c r="W2154" s="52"/>
      <c r="X2154" s="52"/>
      <c r="Y2154" s="52"/>
      <c r="Z2154" s="52"/>
      <c r="AA2154" s="52"/>
      <c r="AB2154" s="52"/>
      <c r="AC2154" s="52"/>
      <c r="AD2154" s="52"/>
      <c r="AE2154" s="52"/>
      <c r="AF2154" s="52"/>
      <c r="AG2154" s="52"/>
      <c r="AH2154" s="52"/>
      <c r="AI2154" s="52"/>
      <c r="AJ2154" s="52"/>
      <c r="AK2154" s="52"/>
      <c r="AL2154" s="52"/>
      <c r="AM2154" s="52"/>
      <c r="AN2154" s="52"/>
    </row>
    <row r="2155" spans="1:40" x14ac:dyDescent="0.3">
      <c r="A2155" s="52">
        <v>2150</v>
      </c>
      <c r="B2155" s="52">
        <f>-bthan*500+(49+0.5)*bthan*1000/50</f>
        <v>2695</v>
      </c>
      <c r="C2155" s="52">
        <f t="shared" si="225"/>
        <v>50</v>
      </c>
      <c r="D2155" s="52">
        <f t="shared" si="223"/>
        <v>2200</v>
      </c>
      <c r="E2155" s="52">
        <f t="shared" si="224"/>
        <v>1</v>
      </c>
      <c r="F2155" s="52"/>
      <c r="G2155" s="52"/>
      <c r="H2155" s="52"/>
      <c r="I2155" s="52"/>
      <c r="J2155" s="52"/>
      <c r="K2155" s="52"/>
      <c r="L2155" s="52"/>
      <c r="M2155" s="52"/>
      <c r="N2155" s="52"/>
      <c r="O2155" s="52"/>
      <c r="P2155" s="52"/>
      <c r="Q2155" s="52"/>
      <c r="R2155" s="52"/>
      <c r="S2155" s="52"/>
      <c r="T2155" s="52"/>
      <c r="U2155" s="52"/>
      <c r="V2155" s="52"/>
      <c r="W2155" s="52"/>
      <c r="X2155" s="52"/>
      <c r="Y2155" s="52"/>
      <c r="Z2155" s="52"/>
      <c r="AA2155" s="52"/>
      <c r="AB2155" s="52"/>
      <c r="AC2155" s="52"/>
      <c r="AD2155" s="52"/>
      <c r="AE2155" s="52"/>
      <c r="AF2155" s="52"/>
      <c r="AG2155" s="52"/>
      <c r="AH2155" s="52"/>
      <c r="AI2155" s="52"/>
      <c r="AJ2155" s="52"/>
      <c r="AK2155" s="52"/>
      <c r="AL2155" s="52"/>
      <c r="AM2155" s="52"/>
      <c r="AN2155" s="52"/>
    </row>
    <row r="2156" spans="1:40" x14ac:dyDescent="0.3">
      <c r="A2156" s="52">
        <v>2151</v>
      </c>
      <c r="B2156" s="52">
        <f>-bthan*500+(0+0.5)*bthan*1000/50</f>
        <v>-2695</v>
      </c>
      <c r="C2156" s="52">
        <f t="shared" ref="C2156:C2187" si="226">-hthan*500+(43+0.5)*hthan*1000/80</f>
        <v>70.000000000000227</v>
      </c>
      <c r="D2156" s="52">
        <f t="shared" si="223"/>
        <v>2200</v>
      </c>
      <c r="E2156" s="52">
        <f t="shared" si="224"/>
        <v>1</v>
      </c>
      <c r="F2156" s="52"/>
      <c r="G2156" s="52"/>
      <c r="H2156" s="52"/>
      <c r="I2156" s="52"/>
      <c r="J2156" s="52"/>
      <c r="K2156" s="52"/>
      <c r="L2156" s="52"/>
      <c r="M2156" s="52"/>
      <c r="N2156" s="52"/>
      <c r="O2156" s="52"/>
      <c r="P2156" s="52"/>
      <c r="Q2156" s="52"/>
      <c r="R2156" s="52"/>
      <c r="S2156" s="52"/>
      <c r="T2156" s="52"/>
      <c r="U2156" s="52"/>
      <c r="V2156" s="52"/>
      <c r="W2156" s="52"/>
      <c r="X2156" s="52"/>
      <c r="Y2156" s="52"/>
      <c r="Z2156" s="52"/>
      <c r="AA2156" s="52"/>
      <c r="AB2156" s="52"/>
      <c r="AC2156" s="52"/>
      <c r="AD2156" s="52"/>
      <c r="AE2156" s="52"/>
      <c r="AF2156" s="52"/>
      <c r="AG2156" s="52"/>
      <c r="AH2156" s="52"/>
      <c r="AI2156" s="52"/>
      <c r="AJ2156" s="52"/>
      <c r="AK2156" s="52"/>
      <c r="AL2156" s="52"/>
      <c r="AM2156" s="52"/>
      <c r="AN2156" s="52"/>
    </row>
    <row r="2157" spans="1:40" x14ac:dyDescent="0.3">
      <c r="A2157" s="52">
        <v>2152</v>
      </c>
      <c r="B2157" s="52">
        <f>-bthan*500+(1+0.5)*bthan*1000/50</f>
        <v>-2585</v>
      </c>
      <c r="C2157" s="52">
        <f t="shared" si="226"/>
        <v>70.000000000000227</v>
      </c>
      <c r="D2157" s="52">
        <f t="shared" si="223"/>
        <v>2200</v>
      </c>
      <c r="E2157" s="52">
        <f t="shared" si="224"/>
        <v>1</v>
      </c>
      <c r="F2157" s="52"/>
      <c r="G2157" s="52"/>
      <c r="H2157" s="52"/>
      <c r="I2157" s="52"/>
      <c r="J2157" s="52"/>
      <c r="K2157" s="52"/>
      <c r="L2157" s="52"/>
      <c r="M2157" s="52"/>
      <c r="N2157" s="52"/>
      <c r="O2157" s="52"/>
      <c r="P2157" s="52"/>
      <c r="Q2157" s="52"/>
      <c r="R2157" s="52"/>
      <c r="S2157" s="52"/>
      <c r="T2157" s="52"/>
      <c r="U2157" s="52"/>
      <c r="V2157" s="52"/>
      <c r="W2157" s="52"/>
      <c r="X2157" s="52"/>
      <c r="Y2157" s="52"/>
      <c r="Z2157" s="52"/>
      <c r="AA2157" s="52"/>
      <c r="AB2157" s="52"/>
      <c r="AC2157" s="52"/>
      <c r="AD2157" s="52"/>
      <c r="AE2157" s="52"/>
      <c r="AF2157" s="52"/>
      <c r="AG2157" s="52"/>
      <c r="AH2157" s="52"/>
      <c r="AI2157" s="52"/>
      <c r="AJ2157" s="52"/>
      <c r="AK2157" s="52"/>
      <c r="AL2157" s="52"/>
      <c r="AM2157" s="52"/>
      <c r="AN2157" s="52"/>
    </row>
    <row r="2158" spans="1:40" x14ac:dyDescent="0.3">
      <c r="A2158" s="52">
        <v>2153</v>
      </c>
      <c r="B2158" s="52">
        <f>-bthan*500+(2+0.5)*bthan*1000/50</f>
        <v>-2475</v>
      </c>
      <c r="C2158" s="52">
        <f t="shared" si="226"/>
        <v>70.000000000000227</v>
      </c>
      <c r="D2158" s="52">
        <f t="shared" si="223"/>
        <v>2200</v>
      </c>
      <c r="E2158" s="52">
        <f t="shared" si="224"/>
        <v>1</v>
      </c>
      <c r="F2158" s="52"/>
      <c r="G2158" s="52"/>
      <c r="H2158" s="52"/>
      <c r="I2158" s="52"/>
      <c r="J2158" s="52"/>
      <c r="K2158" s="52"/>
      <c r="L2158" s="52"/>
      <c r="M2158" s="52"/>
      <c r="N2158" s="52"/>
      <c r="O2158" s="52"/>
      <c r="P2158" s="52"/>
      <c r="Q2158" s="52"/>
      <c r="R2158" s="52"/>
      <c r="S2158" s="52"/>
      <c r="T2158" s="52"/>
      <c r="U2158" s="52"/>
      <c r="V2158" s="52"/>
      <c r="W2158" s="52"/>
      <c r="X2158" s="52"/>
      <c r="Y2158" s="52"/>
      <c r="Z2158" s="52"/>
      <c r="AA2158" s="52"/>
      <c r="AB2158" s="52"/>
      <c r="AC2158" s="52"/>
      <c r="AD2158" s="52"/>
      <c r="AE2158" s="52"/>
      <c r="AF2158" s="52"/>
      <c r="AG2158" s="52"/>
      <c r="AH2158" s="52"/>
      <c r="AI2158" s="52"/>
      <c r="AJ2158" s="52"/>
      <c r="AK2158" s="52"/>
      <c r="AL2158" s="52"/>
      <c r="AM2158" s="52"/>
      <c r="AN2158" s="52"/>
    </row>
    <row r="2159" spans="1:40" x14ac:dyDescent="0.3">
      <c r="A2159" s="52">
        <v>2154</v>
      </c>
      <c r="B2159" s="52">
        <f>-bthan*500+(3+0.5)*bthan*1000/50</f>
        <v>-2365</v>
      </c>
      <c r="C2159" s="52">
        <f t="shared" si="226"/>
        <v>70.000000000000227</v>
      </c>
      <c r="D2159" s="52">
        <f t="shared" si="223"/>
        <v>2200</v>
      </c>
      <c r="E2159" s="52">
        <f t="shared" si="224"/>
        <v>1</v>
      </c>
      <c r="F2159" s="52"/>
      <c r="G2159" s="52"/>
      <c r="H2159" s="52"/>
      <c r="I2159" s="52"/>
      <c r="J2159" s="52"/>
      <c r="K2159" s="52"/>
      <c r="L2159" s="52"/>
      <c r="M2159" s="52"/>
      <c r="N2159" s="52"/>
      <c r="O2159" s="52"/>
      <c r="P2159" s="52"/>
      <c r="Q2159" s="52"/>
      <c r="R2159" s="52"/>
      <c r="S2159" s="52"/>
      <c r="T2159" s="52"/>
      <c r="U2159" s="52"/>
      <c r="V2159" s="52"/>
      <c r="W2159" s="52"/>
      <c r="X2159" s="52"/>
      <c r="Y2159" s="52"/>
      <c r="Z2159" s="52"/>
      <c r="AA2159" s="52"/>
      <c r="AB2159" s="52"/>
      <c r="AC2159" s="52"/>
      <c r="AD2159" s="52"/>
      <c r="AE2159" s="52"/>
      <c r="AF2159" s="52"/>
      <c r="AG2159" s="52"/>
      <c r="AH2159" s="52"/>
      <c r="AI2159" s="52"/>
      <c r="AJ2159" s="52"/>
      <c r="AK2159" s="52"/>
      <c r="AL2159" s="52"/>
      <c r="AM2159" s="52"/>
      <c r="AN2159" s="52"/>
    </row>
    <row r="2160" spans="1:40" x14ac:dyDescent="0.3">
      <c r="A2160" s="52">
        <v>2155</v>
      </c>
      <c r="B2160" s="52">
        <f>-bthan*500+(4+0.5)*bthan*1000/50</f>
        <v>-2255</v>
      </c>
      <c r="C2160" s="52">
        <f t="shared" si="226"/>
        <v>70.000000000000227</v>
      </c>
      <c r="D2160" s="52">
        <f t="shared" si="223"/>
        <v>2200</v>
      </c>
      <c r="E2160" s="52">
        <f t="shared" si="224"/>
        <v>1</v>
      </c>
      <c r="F2160" s="52"/>
      <c r="G2160" s="52"/>
      <c r="H2160" s="52"/>
      <c r="I2160" s="52"/>
      <c r="J2160" s="52"/>
      <c r="K2160" s="52"/>
      <c r="L2160" s="52"/>
      <c r="M2160" s="52"/>
      <c r="N2160" s="52"/>
      <c r="O2160" s="52"/>
      <c r="P2160" s="52"/>
      <c r="Q2160" s="52"/>
      <c r="R2160" s="52"/>
      <c r="S2160" s="52"/>
      <c r="T2160" s="52"/>
      <c r="U2160" s="52"/>
      <c r="V2160" s="52"/>
      <c r="W2160" s="52"/>
      <c r="X2160" s="52"/>
      <c r="Y2160" s="52"/>
      <c r="Z2160" s="52"/>
      <c r="AA2160" s="52"/>
      <c r="AB2160" s="52"/>
      <c r="AC2160" s="52"/>
      <c r="AD2160" s="52"/>
      <c r="AE2160" s="52"/>
      <c r="AF2160" s="52"/>
      <c r="AG2160" s="52"/>
      <c r="AH2160" s="52"/>
      <c r="AI2160" s="52"/>
      <c r="AJ2160" s="52"/>
      <c r="AK2160" s="52"/>
      <c r="AL2160" s="52"/>
      <c r="AM2160" s="52"/>
      <c r="AN2160" s="52"/>
    </row>
    <row r="2161" spans="1:40" x14ac:dyDescent="0.3">
      <c r="A2161" s="52">
        <v>2156</v>
      </c>
      <c r="B2161" s="52">
        <f>-bthan*500+(5+0.5)*bthan*1000/50</f>
        <v>-2145</v>
      </c>
      <c r="C2161" s="52">
        <f t="shared" si="226"/>
        <v>70.000000000000227</v>
      </c>
      <c r="D2161" s="52">
        <f t="shared" si="223"/>
        <v>2200</v>
      </c>
      <c r="E2161" s="52">
        <f t="shared" si="224"/>
        <v>1</v>
      </c>
      <c r="F2161" s="52"/>
      <c r="G2161" s="52"/>
      <c r="H2161" s="52"/>
      <c r="I2161" s="52"/>
      <c r="J2161" s="52"/>
      <c r="K2161" s="52"/>
      <c r="L2161" s="52"/>
      <c r="M2161" s="52"/>
      <c r="N2161" s="52"/>
      <c r="O2161" s="52"/>
      <c r="P2161" s="52"/>
      <c r="Q2161" s="52"/>
      <c r="R2161" s="52"/>
      <c r="S2161" s="52"/>
      <c r="T2161" s="52"/>
      <c r="U2161" s="52"/>
      <c r="V2161" s="52"/>
      <c r="W2161" s="52"/>
      <c r="X2161" s="52"/>
      <c r="Y2161" s="52"/>
      <c r="Z2161" s="52"/>
      <c r="AA2161" s="52"/>
      <c r="AB2161" s="52"/>
      <c r="AC2161" s="52"/>
      <c r="AD2161" s="52"/>
      <c r="AE2161" s="52"/>
      <c r="AF2161" s="52"/>
      <c r="AG2161" s="52"/>
      <c r="AH2161" s="52"/>
      <c r="AI2161" s="52"/>
      <c r="AJ2161" s="52"/>
      <c r="AK2161" s="52"/>
      <c r="AL2161" s="52"/>
      <c r="AM2161" s="52"/>
      <c r="AN2161" s="52"/>
    </row>
    <row r="2162" spans="1:40" x14ac:dyDescent="0.3">
      <c r="A2162" s="52">
        <v>2157</v>
      </c>
      <c r="B2162" s="52">
        <f>-bthan*500+(6+0.5)*bthan*1000/50</f>
        <v>-2035</v>
      </c>
      <c r="C2162" s="52">
        <f t="shared" si="226"/>
        <v>70.000000000000227</v>
      </c>
      <c r="D2162" s="52">
        <f t="shared" si="223"/>
        <v>2200</v>
      </c>
      <c r="E2162" s="52">
        <f t="shared" si="224"/>
        <v>1</v>
      </c>
      <c r="F2162" s="52"/>
      <c r="G2162" s="52"/>
      <c r="H2162" s="52"/>
      <c r="I2162" s="52"/>
      <c r="J2162" s="52"/>
      <c r="K2162" s="52"/>
      <c r="L2162" s="52"/>
      <c r="M2162" s="52"/>
      <c r="N2162" s="52"/>
      <c r="O2162" s="52"/>
      <c r="P2162" s="52"/>
      <c r="Q2162" s="52"/>
      <c r="R2162" s="52"/>
      <c r="S2162" s="52"/>
      <c r="T2162" s="52"/>
      <c r="U2162" s="52"/>
      <c r="V2162" s="52"/>
      <c r="W2162" s="52"/>
      <c r="X2162" s="52"/>
      <c r="Y2162" s="52"/>
      <c r="Z2162" s="52"/>
      <c r="AA2162" s="52"/>
      <c r="AB2162" s="52"/>
      <c r="AC2162" s="52"/>
      <c r="AD2162" s="52"/>
      <c r="AE2162" s="52"/>
      <c r="AF2162" s="52"/>
      <c r="AG2162" s="52"/>
      <c r="AH2162" s="52"/>
      <c r="AI2162" s="52"/>
      <c r="AJ2162" s="52"/>
      <c r="AK2162" s="52"/>
      <c r="AL2162" s="52"/>
      <c r="AM2162" s="52"/>
      <c r="AN2162" s="52"/>
    </row>
    <row r="2163" spans="1:40" x14ac:dyDescent="0.3">
      <c r="A2163" s="52">
        <v>2158</v>
      </c>
      <c r="B2163" s="52">
        <f>-bthan*500+(7+0.5)*bthan*1000/50</f>
        <v>-1925</v>
      </c>
      <c r="C2163" s="52">
        <f t="shared" si="226"/>
        <v>70.000000000000227</v>
      </c>
      <c r="D2163" s="52">
        <f t="shared" si="223"/>
        <v>2200</v>
      </c>
      <c r="E2163" s="52">
        <f t="shared" si="224"/>
        <v>1</v>
      </c>
      <c r="F2163" s="52"/>
      <c r="G2163" s="52"/>
      <c r="H2163" s="52"/>
      <c r="I2163" s="52"/>
      <c r="J2163" s="52"/>
      <c r="K2163" s="52"/>
      <c r="L2163" s="52"/>
      <c r="M2163" s="52"/>
      <c r="N2163" s="52"/>
      <c r="O2163" s="52"/>
      <c r="P2163" s="52"/>
      <c r="Q2163" s="52"/>
      <c r="R2163" s="52"/>
      <c r="S2163" s="52"/>
      <c r="T2163" s="52"/>
      <c r="U2163" s="52"/>
      <c r="V2163" s="52"/>
      <c r="W2163" s="52"/>
      <c r="X2163" s="52"/>
      <c r="Y2163" s="52"/>
      <c r="Z2163" s="52"/>
      <c r="AA2163" s="52"/>
      <c r="AB2163" s="52"/>
      <c r="AC2163" s="52"/>
      <c r="AD2163" s="52"/>
      <c r="AE2163" s="52"/>
      <c r="AF2163" s="52"/>
      <c r="AG2163" s="52"/>
      <c r="AH2163" s="52"/>
      <c r="AI2163" s="52"/>
      <c r="AJ2163" s="52"/>
      <c r="AK2163" s="52"/>
      <c r="AL2163" s="52"/>
      <c r="AM2163" s="52"/>
      <c r="AN2163" s="52"/>
    </row>
    <row r="2164" spans="1:40" x14ac:dyDescent="0.3">
      <c r="A2164" s="52">
        <v>2159</v>
      </c>
      <c r="B2164" s="52">
        <f>-bthan*500+(8+0.5)*bthan*1000/50</f>
        <v>-1815</v>
      </c>
      <c r="C2164" s="52">
        <f t="shared" si="226"/>
        <v>70.000000000000227</v>
      </c>
      <c r="D2164" s="52">
        <f t="shared" si="223"/>
        <v>2200</v>
      </c>
      <c r="E2164" s="52">
        <f t="shared" si="224"/>
        <v>1</v>
      </c>
      <c r="F2164" s="52"/>
      <c r="G2164" s="52"/>
      <c r="H2164" s="52"/>
      <c r="I2164" s="52"/>
      <c r="J2164" s="52"/>
      <c r="K2164" s="52"/>
      <c r="L2164" s="52"/>
      <c r="M2164" s="52"/>
      <c r="N2164" s="52"/>
      <c r="O2164" s="52"/>
      <c r="P2164" s="52"/>
      <c r="Q2164" s="52"/>
      <c r="R2164" s="52"/>
      <c r="S2164" s="52"/>
      <c r="T2164" s="52"/>
      <c r="U2164" s="52"/>
      <c r="V2164" s="52"/>
      <c r="W2164" s="52"/>
      <c r="X2164" s="52"/>
      <c r="Y2164" s="52"/>
      <c r="Z2164" s="52"/>
      <c r="AA2164" s="52"/>
      <c r="AB2164" s="52"/>
      <c r="AC2164" s="52"/>
      <c r="AD2164" s="52"/>
      <c r="AE2164" s="52"/>
      <c r="AF2164" s="52"/>
      <c r="AG2164" s="52"/>
      <c r="AH2164" s="52"/>
      <c r="AI2164" s="52"/>
      <c r="AJ2164" s="52"/>
      <c r="AK2164" s="52"/>
      <c r="AL2164" s="52"/>
      <c r="AM2164" s="52"/>
      <c r="AN2164" s="52"/>
    </row>
    <row r="2165" spans="1:40" x14ac:dyDescent="0.3">
      <c r="A2165" s="52">
        <v>2160</v>
      </c>
      <c r="B2165" s="52">
        <f>-bthan*500+(9+0.5)*bthan*1000/50</f>
        <v>-1705</v>
      </c>
      <c r="C2165" s="52">
        <f t="shared" si="226"/>
        <v>70.000000000000227</v>
      </c>
      <c r="D2165" s="52">
        <f t="shared" si="223"/>
        <v>2200</v>
      </c>
      <c r="E2165" s="52">
        <f t="shared" si="224"/>
        <v>1</v>
      </c>
      <c r="F2165" s="52"/>
      <c r="G2165" s="52"/>
      <c r="H2165" s="52"/>
      <c r="I2165" s="52"/>
      <c r="J2165" s="52"/>
      <c r="K2165" s="52"/>
      <c r="L2165" s="52"/>
      <c r="M2165" s="52"/>
      <c r="N2165" s="52"/>
      <c r="O2165" s="52"/>
      <c r="P2165" s="52"/>
      <c r="Q2165" s="52"/>
      <c r="R2165" s="52"/>
      <c r="S2165" s="52"/>
      <c r="T2165" s="52"/>
      <c r="U2165" s="52"/>
      <c r="V2165" s="52"/>
      <c r="W2165" s="52"/>
      <c r="X2165" s="52"/>
      <c r="Y2165" s="52"/>
      <c r="Z2165" s="52"/>
      <c r="AA2165" s="52"/>
      <c r="AB2165" s="52"/>
      <c r="AC2165" s="52"/>
      <c r="AD2165" s="52"/>
      <c r="AE2165" s="52"/>
      <c r="AF2165" s="52"/>
      <c r="AG2165" s="52"/>
      <c r="AH2165" s="52"/>
      <c r="AI2165" s="52"/>
      <c r="AJ2165" s="52"/>
      <c r="AK2165" s="52"/>
      <c r="AL2165" s="52"/>
      <c r="AM2165" s="52"/>
      <c r="AN2165" s="52"/>
    </row>
    <row r="2166" spans="1:40" x14ac:dyDescent="0.3">
      <c r="A2166" s="52">
        <v>2161</v>
      </c>
      <c r="B2166" s="52">
        <f>-bthan*500+(10+0.5)*bthan*1000/50</f>
        <v>-1595</v>
      </c>
      <c r="C2166" s="52">
        <f t="shared" si="226"/>
        <v>70.000000000000227</v>
      </c>
      <c r="D2166" s="52">
        <f t="shared" si="223"/>
        <v>2200</v>
      </c>
      <c r="E2166" s="52">
        <f t="shared" si="224"/>
        <v>1</v>
      </c>
      <c r="F2166" s="52"/>
      <c r="G2166" s="52"/>
      <c r="H2166" s="52"/>
      <c r="I2166" s="52"/>
      <c r="J2166" s="52"/>
      <c r="K2166" s="52"/>
      <c r="L2166" s="52"/>
      <c r="M2166" s="52"/>
      <c r="N2166" s="52"/>
      <c r="O2166" s="52"/>
      <c r="P2166" s="52"/>
      <c r="Q2166" s="52"/>
      <c r="R2166" s="52"/>
      <c r="S2166" s="52"/>
      <c r="T2166" s="52"/>
      <c r="U2166" s="52"/>
      <c r="V2166" s="52"/>
      <c r="W2166" s="52"/>
      <c r="X2166" s="52"/>
      <c r="Y2166" s="52"/>
      <c r="Z2166" s="52"/>
      <c r="AA2166" s="52"/>
      <c r="AB2166" s="52"/>
      <c r="AC2166" s="52"/>
      <c r="AD2166" s="52"/>
      <c r="AE2166" s="52"/>
      <c r="AF2166" s="52"/>
      <c r="AG2166" s="52"/>
      <c r="AH2166" s="52"/>
      <c r="AI2166" s="52"/>
      <c r="AJ2166" s="52"/>
      <c r="AK2166" s="52"/>
      <c r="AL2166" s="52"/>
      <c r="AM2166" s="52"/>
      <c r="AN2166" s="52"/>
    </row>
    <row r="2167" spans="1:40" x14ac:dyDescent="0.3">
      <c r="A2167" s="52">
        <v>2162</v>
      </c>
      <c r="B2167" s="52">
        <f>-bthan*500+(11+0.5)*bthan*1000/50</f>
        <v>-1485</v>
      </c>
      <c r="C2167" s="52">
        <f t="shared" si="226"/>
        <v>70.000000000000227</v>
      </c>
      <c r="D2167" s="52">
        <f t="shared" si="223"/>
        <v>2200</v>
      </c>
      <c r="E2167" s="52">
        <f t="shared" si="224"/>
        <v>1</v>
      </c>
      <c r="F2167" s="52"/>
      <c r="G2167" s="52"/>
      <c r="H2167" s="52"/>
      <c r="I2167" s="52"/>
      <c r="J2167" s="52"/>
      <c r="K2167" s="52"/>
      <c r="L2167" s="52"/>
      <c r="M2167" s="52"/>
      <c r="N2167" s="52"/>
      <c r="O2167" s="52"/>
      <c r="P2167" s="52"/>
      <c r="Q2167" s="52"/>
      <c r="R2167" s="52"/>
      <c r="S2167" s="52"/>
      <c r="T2167" s="52"/>
      <c r="U2167" s="52"/>
      <c r="V2167" s="52"/>
      <c r="W2167" s="52"/>
      <c r="X2167" s="52"/>
      <c r="Y2167" s="52"/>
      <c r="Z2167" s="52"/>
      <c r="AA2167" s="52"/>
      <c r="AB2167" s="52"/>
      <c r="AC2167" s="52"/>
      <c r="AD2167" s="52"/>
      <c r="AE2167" s="52"/>
      <c r="AF2167" s="52"/>
      <c r="AG2167" s="52"/>
      <c r="AH2167" s="52"/>
      <c r="AI2167" s="52"/>
      <c r="AJ2167" s="52"/>
      <c r="AK2167" s="52"/>
      <c r="AL2167" s="52"/>
      <c r="AM2167" s="52"/>
      <c r="AN2167" s="52"/>
    </row>
    <row r="2168" spans="1:40" x14ac:dyDescent="0.3">
      <c r="A2168" s="52">
        <v>2163</v>
      </c>
      <c r="B2168" s="52">
        <f>-bthan*500+(12+0.5)*bthan*1000/50</f>
        <v>-1375</v>
      </c>
      <c r="C2168" s="52">
        <f t="shared" si="226"/>
        <v>70.000000000000227</v>
      </c>
      <c r="D2168" s="52">
        <f t="shared" si="223"/>
        <v>2200</v>
      </c>
      <c r="E2168" s="52">
        <f t="shared" si="224"/>
        <v>1</v>
      </c>
      <c r="F2168" s="52"/>
      <c r="G2168" s="52"/>
      <c r="H2168" s="52"/>
      <c r="I2168" s="52"/>
      <c r="J2168" s="52"/>
      <c r="K2168" s="52"/>
      <c r="L2168" s="52"/>
      <c r="M2168" s="52"/>
      <c r="N2168" s="52"/>
      <c r="O2168" s="52"/>
      <c r="P2168" s="52"/>
      <c r="Q2168" s="52"/>
      <c r="R2168" s="52"/>
      <c r="S2168" s="52"/>
      <c r="T2168" s="52"/>
      <c r="U2168" s="52"/>
      <c r="V2168" s="52"/>
      <c r="W2168" s="52"/>
      <c r="X2168" s="52"/>
      <c r="Y2168" s="52"/>
      <c r="Z2168" s="52"/>
      <c r="AA2168" s="52"/>
      <c r="AB2168" s="52"/>
      <c r="AC2168" s="52"/>
      <c r="AD2168" s="52"/>
      <c r="AE2168" s="52"/>
      <c r="AF2168" s="52"/>
      <c r="AG2168" s="52"/>
      <c r="AH2168" s="52"/>
      <c r="AI2168" s="52"/>
      <c r="AJ2168" s="52"/>
      <c r="AK2168" s="52"/>
      <c r="AL2168" s="52"/>
      <c r="AM2168" s="52"/>
      <c r="AN2168" s="52"/>
    </row>
    <row r="2169" spans="1:40" x14ac:dyDescent="0.3">
      <c r="A2169" s="52">
        <v>2164</v>
      </c>
      <c r="B2169" s="52">
        <f>-bthan*500+(13+0.5)*bthan*1000/50</f>
        <v>-1265</v>
      </c>
      <c r="C2169" s="52">
        <f t="shared" si="226"/>
        <v>70.000000000000227</v>
      </c>
      <c r="D2169" s="52">
        <f t="shared" si="223"/>
        <v>2200</v>
      </c>
      <c r="E2169" s="52">
        <f t="shared" si="224"/>
        <v>1</v>
      </c>
      <c r="F2169" s="52"/>
      <c r="G2169" s="52"/>
      <c r="H2169" s="52"/>
      <c r="I2169" s="52"/>
      <c r="J2169" s="52"/>
      <c r="K2169" s="52"/>
      <c r="L2169" s="52"/>
      <c r="M2169" s="52"/>
      <c r="N2169" s="52"/>
      <c r="O2169" s="52"/>
      <c r="P2169" s="52"/>
      <c r="Q2169" s="52"/>
      <c r="R2169" s="52"/>
      <c r="S2169" s="52"/>
      <c r="T2169" s="52"/>
      <c r="U2169" s="52"/>
      <c r="V2169" s="52"/>
      <c r="W2169" s="52"/>
      <c r="X2169" s="52"/>
      <c r="Y2169" s="52"/>
      <c r="Z2169" s="52"/>
      <c r="AA2169" s="52"/>
      <c r="AB2169" s="52"/>
      <c r="AC2169" s="52"/>
      <c r="AD2169" s="52"/>
      <c r="AE2169" s="52"/>
      <c r="AF2169" s="52"/>
      <c r="AG2169" s="52"/>
      <c r="AH2169" s="52"/>
      <c r="AI2169" s="52"/>
      <c r="AJ2169" s="52"/>
      <c r="AK2169" s="52"/>
      <c r="AL2169" s="52"/>
      <c r="AM2169" s="52"/>
      <c r="AN2169" s="52"/>
    </row>
    <row r="2170" spans="1:40" x14ac:dyDescent="0.3">
      <c r="A2170" s="52">
        <v>2165</v>
      </c>
      <c r="B2170" s="52">
        <f>-bthan*500+(14+0.5)*bthan*1000/50</f>
        <v>-1155</v>
      </c>
      <c r="C2170" s="52">
        <f t="shared" si="226"/>
        <v>70.000000000000227</v>
      </c>
      <c r="D2170" s="52">
        <f t="shared" si="223"/>
        <v>2200</v>
      </c>
      <c r="E2170" s="52">
        <f t="shared" si="224"/>
        <v>1</v>
      </c>
      <c r="F2170" s="52"/>
      <c r="G2170" s="52"/>
      <c r="H2170" s="52"/>
      <c r="I2170" s="52"/>
      <c r="J2170" s="52"/>
      <c r="K2170" s="52"/>
      <c r="L2170" s="52"/>
      <c r="M2170" s="52"/>
      <c r="N2170" s="52"/>
      <c r="O2170" s="52"/>
      <c r="P2170" s="52"/>
      <c r="Q2170" s="52"/>
      <c r="R2170" s="52"/>
      <c r="S2170" s="52"/>
      <c r="T2170" s="52"/>
      <c r="U2170" s="52"/>
      <c r="V2170" s="52"/>
      <c r="W2170" s="52"/>
      <c r="X2170" s="52"/>
      <c r="Y2170" s="52"/>
      <c r="Z2170" s="52"/>
      <c r="AA2170" s="52"/>
      <c r="AB2170" s="52"/>
      <c r="AC2170" s="52"/>
      <c r="AD2170" s="52"/>
      <c r="AE2170" s="52"/>
      <c r="AF2170" s="52"/>
      <c r="AG2170" s="52"/>
      <c r="AH2170" s="52"/>
      <c r="AI2170" s="52"/>
      <c r="AJ2170" s="52"/>
      <c r="AK2170" s="52"/>
      <c r="AL2170" s="52"/>
      <c r="AM2170" s="52"/>
      <c r="AN2170" s="52"/>
    </row>
    <row r="2171" spans="1:40" x14ac:dyDescent="0.3">
      <c r="A2171" s="52">
        <v>2166</v>
      </c>
      <c r="B2171" s="52">
        <f>-bthan*500+(15+0.5)*bthan*1000/50</f>
        <v>-1045</v>
      </c>
      <c r="C2171" s="52">
        <f t="shared" si="226"/>
        <v>70.000000000000227</v>
      </c>
      <c r="D2171" s="52">
        <f t="shared" si="223"/>
        <v>2200</v>
      </c>
      <c r="E2171" s="52">
        <f t="shared" si="224"/>
        <v>1</v>
      </c>
      <c r="F2171" s="52"/>
      <c r="G2171" s="52"/>
      <c r="H2171" s="52"/>
      <c r="I2171" s="52"/>
      <c r="J2171" s="52"/>
      <c r="K2171" s="52"/>
      <c r="L2171" s="52"/>
      <c r="M2171" s="52"/>
      <c r="N2171" s="52"/>
      <c r="O2171" s="52"/>
      <c r="P2171" s="52"/>
      <c r="Q2171" s="52"/>
      <c r="R2171" s="52"/>
      <c r="S2171" s="52"/>
      <c r="T2171" s="52"/>
      <c r="U2171" s="52"/>
      <c r="V2171" s="52"/>
      <c r="W2171" s="52"/>
      <c r="X2171" s="52"/>
      <c r="Y2171" s="52"/>
      <c r="Z2171" s="52"/>
      <c r="AA2171" s="52"/>
      <c r="AB2171" s="52"/>
      <c r="AC2171" s="52"/>
      <c r="AD2171" s="52"/>
      <c r="AE2171" s="52"/>
      <c r="AF2171" s="52"/>
      <c r="AG2171" s="52"/>
      <c r="AH2171" s="52"/>
      <c r="AI2171" s="52"/>
      <c r="AJ2171" s="52"/>
      <c r="AK2171" s="52"/>
      <c r="AL2171" s="52"/>
      <c r="AM2171" s="52"/>
      <c r="AN2171" s="52"/>
    </row>
    <row r="2172" spans="1:40" x14ac:dyDescent="0.3">
      <c r="A2172" s="52">
        <v>2167</v>
      </c>
      <c r="B2172" s="52">
        <f>-bthan*500+(16+0.5)*bthan*1000/50</f>
        <v>-935</v>
      </c>
      <c r="C2172" s="52">
        <f t="shared" si="226"/>
        <v>70.000000000000227</v>
      </c>
      <c r="D2172" s="52">
        <f t="shared" si="223"/>
        <v>2200</v>
      </c>
      <c r="E2172" s="52">
        <f t="shared" si="224"/>
        <v>1</v>
      </c>
      <c r="F2172" s="52"/>
      <c r="G2172" s="52"/>
      <c r="H2172" s="52"/>
      <c r="I2172" s="52"/>
      <c r="J2172" s="52"/>
      <c r="K2172" s="52"/>
      <c r="L2172" s="52"/>
      <c r="M2172" s="52"/>
      <c r="N2172" s="52"/>
      <c r="O2172" s="52"/>
      <c r="P2172" s="52"/>
      <c r="Q2172" s="52"/>
      <c r="R2172" s="52"/>
      <c r="S2172" s="52"/>
      <c r="T2172" s="52"/>
      <c r="U2172" s="52"/>
      <c r="V2172" s="52"/>
      <c r="W2172" s="52"/>
      <c r="X2172" s="52"/>
      <c r="Y2172" s="52"/>
      <c r="Z2172" s="52"/>
      <c r="AA2172" s="52"/>
      <c r="AB2172" s="52"/>
      <c r="AC2172" s="52"/>
      <c r="AD2172" s="52"/>
      <c r="AE2172" s="52"/>
      <c r="AF2172" s="52"/>
      <c r="AG2172" s="52"/>
      <c r="AH2172" s="52"/>
      <c r="AI2172" s="52"/>
      <c r="AJ2172" s="52"/>
      <c r="AK2172" s="52"/>
      <c r="AL2172" s="52"/>
      <c r="AM2172" s="52"/>
      <c r="AN2172" s="52"/>
    </row>
    <row r="2173" spans="1:40" x14ac:dyDescent="0.3">
      <c r="A2173" s="52">
        <v>2168</v>
      </c>
      <c r="B2173" s="52">
        <f>-bthan*500+(17+0.5)*bthan*1000/50</f>
        <v>-825</v>
      </c>
      <c r="C2173" s="52">
        <f t="shared" si="226"/>
        <v>70.000000000000227</v>
      </c>
      <c r="D2173" s="52">
        <f t="shared" si="223"/>
        <v>2200</v>
      </c>
      <c r="E2173" s="52">
        <f t="shared" si="224"/>
        <v>1</v>
      </c>
      <c r="F2173" s="52"/>
      <c r="G2173" s="52"/>
      <c r="H2173" s="52"/>
      <c r="I2173" s="52"/>
      <c r="J2173" s="52"/>
      <c r="K2173" s="52"/>
      <c r="L2173" s="52"/>
      <c r="M2173" s="52"/>
      <c r="N2173" s="52"/>
      <c r="O2173" s="52"/>
      <c r="P2173" s="52"/>
      <c r="Q2173" s="52"/>
      <c r="R2173" s="52"/>
      <c r="S2173" s="52"/>
      <c r="T2173" s="52"/>
      <c r="U2173" s="52"/>
      <c r="V2173" s="52"/>
      <c r="W2173" s="52"/>
      <c r="X2173" s="52"/>
      <c r="Y2173" s="52"/>
      <c r="Z2173" s="52"/>
      <c r="AA2173" s="52"/>
      <c r="AB2173" s="52"/>
      <c r="AC2173" s="52"/>
      <c r="AD2173" s="52"/>
      <c r="AE2173" s="52"/>
      <c r="AF2173" s="52"/>
      <c r="AG2173" s="52"/>
      <c r="AH2173" s="52"/>
      <c r="AI2173" s="52"/>
      <c r="AJ2173" s="52"/>
      <c r="AK2173" s="52"/>
      <c r="AL2173" s="52"/>
      <c r="AM2173" s="52"/>
      <c r="AN2173" s="52"/>
    </row>
    <row r="2174" spans="1:40" x14ac:dyDescent="0.3">
      <c r="A2174" s="52">
        <v>2169</v>
      </c>
      <c r="B2174" s="52">
        <f>-bthan*500+(18+0.5)*bthan*1000/50</f>
        <v>-715</v>
      </c>
      <c r="C2174" s="52">
        <f t="shared" si="226"/>
        <v>70.000000000000227</v>
      </c>
      <c r="D2174" s="52">
        <f t="shared" si="223"/>
        <v>2200</v>
      </c>
      <c r="E2174" s="52">
        <f t="shared" si="224"/>
        <v>1</v>
      </c>
      <c r="F2174" s="52"/>
      <c r="G2174" s="52"/>
      <c r="H2174" s="52"/>
      <c r="I2174" s="52"/>
      <c r="J2174" s="52"/>
      <c r="K2174" s="52"/>
      <c r="L2174" s="52"/>
      <c r="M2174" s="52"/>
      <c r="N2174" s="52"/>
      <c r="O2174" s="52"/>
      <c r="P2174" s="52"/>
      <c r="Q2174" s="52"/>
      <c r="R2174" s="52"/>
      <c r="S2174" s="52"/>
      <c r="T2174" s="52"/>
      <c r="U2174" s="52"/>
      <c r="V2174" s="52"/>
      <c r="W2174" s="52"/>
      <c r="X2174" s="52"/>
      <c r="Y2174" s="52"/>
      <c r="Z2174" s="52"/>
      <c r="AA2174" s="52"/>
      <c r="AB2174" s="52"/>
      <c r="AC2174" s="52"/>
      <c r="AD2174" s="52"/>
      <c r="AE2174" s="52"/>
      <c r="AF2174" s="52"/>
      <c r="AG2174" s="52"/>
      <c r="AH2174" s="52"/>
      <c r="AI2174" s="52"/>
      <c r="AJ2174" s="52"/>
      <c r="AK2174" s="52"/>
      <c r="AL2174" s="52"/>
      <c r="AM2174" s="52"/>
      <c r="AN2174" s="52"/>
    </row>
    <row r="2175" spans="1:40" x14ac:dyDescent="0.3">
      <c r="A2175" s="52">
        <v>2170</v>
      </c>
      <c r="B2175" s="52">
        <f>-bthan*500+(19+0.5)*bthan*1000/50</f>
        <v>-605</v>
      </c>
      <c r="C2175" s="52">
        <f t="shared" si="226"/>
        <v>70.000000000000227</v>
      </c>
      <c r="D2175" s="52">
        <f t="shared" si="223"/>
        <v>2200</v>
      </c>
      <c r="E2175" s="52">
        <f t="shared" si="224"/>
        <v>1</v>
      </c>
      <c r="F2175" s="52"/>
      <c r="G2175" s="52"/>
      <c r="H2175" s="52"/>
      <c r="I2175" s="52"/>
      <c r="J2175" s="52"/>
      <c r="K2175" s="52"/>
      <c r="L2175" s="52"/>
      <c r="M2175" s="52"/>
      <c r="N2175" s="52"/>
      <c r="O2175" s="52"/>
      <c r="P2175" s="52"/>
      <c r="Q2175" s="52"/>
      <c r="R2175" s="52"/>
      <c r="S2175" s="52"/>
      <c r="T2175" s="52"/>
      <c r="U2175" s="52"/>
      <c r="V2175" s="52"/>
      <c r="W2175" s="52"/>
      <c r="X2175" s="52"/>
      <c r="Y2175" s="52"/>
      <c r="Z2175" s="52"/>
      <c r="AA2175" s="52"/>
      <c r="AB2175" s="52"/>
      <c r="AC2175" s="52"/>
      <c r="AD2175" s="52"/>
      <c r="AE2175" s="52"/>
      <c r="AF2175" s="52"/>
      <c r="AG2175" s="52"/>
      <c r="AH2175" s="52"/>
      <c r="AI2175" s="52"/>
      <c r="AJ2175" s="52"/>
      <c r="AK2175" s="52"/>
      <c r="AL2175" s="52"/>
      <c r="AM2175" s="52"/>
      <c r="AN2175" s="52"/>
    </row>
    <row r="2176" spans="1:40" x14ac:dyDescent="0.3">
      <c r="A2176" s="52">
        <v>2171</v>
      </c>
      <c r="B2176" s="52">
        <f>-bthan*500+(20+0.5)*bthan*1000/50</f>
        <v>-495</v>
      </c>
      <c r="C2176" s="52">
        <f t="shared" si="226"/>
        <v>70.000000000000227</v>
      </c>
      <c r="D2176" s="52">
        <f t="shared" si="223"/>
        <v>2200</v>
      </c>
      <c r="E2176" s="52">
        <f t="shared" si="224"/>
        <v>1</v>
      </c>
      <c r="F2176" s="52"/>
      <c r="G2176" s="52"/>
      <c r="H2176" s="52"/>
      <c r="I2176" s="52"/>
      <c r="J2176" s="52"/>
      <c r="K2176" s="52"/>
      <c r="L2176" s="52"/>
      <c r="M2176" s="52"/>
      <c r="N2176" s="52"/>
      <c r="O2176" s="52"/>
      <c r="P2176" s="52"/>
      <c r="Q2176" s="52"/>
      <c r="R2176" s="52"/>
      <c r="S2176" s="52"/>
      <c r="T2176" s="52"/>
      <c r="U2176" s="52"/>
      <c r="V2176" s="52"/>
      <c r="W2176" s="52"/>
      <c r="X2176" s="52"/>
      <c r="Y2176" s="52"/>
      <c r="Z2176" s="52"/>
      <c r="AA2176" s="52"/>
      <c r="AB2176" s="52"/>
      <c r="AC2176" s="52"/>
      <c r="AD2176" s="52"/>
      <c r="AE2176" s="52"/>
      <c r="AF2176" s="52"/>
      <c r="AG2176" s="52"/>
      <c r="AH2176" s="52"/>
      <c r="AI2176" s="52"/>
      <c r="AJ2176" s="52"/>
      <c r="AK2176" s="52"/>
      <c r="AL2176" s="52"/>
      <c r="AM2176" s="52"/>
      <c r="AN2176" s="52"/>
    </row>
    <row r="2177" spans="1:40" x14ac:dyDescent="0.3">
      <c r="A2177" s="52">
        <v>2172</v>
      </c>
      <c r="B2177" s="52">
        <f>-bthan*500+(21+0.5)*bthan*1000/50</f>
        <v>-385</v>
      </c>
      <c r="C2177" s="52">
        <f t="shared" si="226"/>
        <v>70.000000000000227</v>
      </c>
      <c r="D2177" s="52">
        <f t="shared" si="223"/>
        <v>2200</v>
      </c>
      <c r="E2177" s="52">
        <f t="shared" si="224"/>
        <v>1</v>
      </c>
      <c r="F2177" s="52"/>
      <c r="G2177" s="52"/>
      <c r="H2177" s="52"/>
      <c r="I2177" s="52"/>
      <c r="J2177" s="52"/>
      <c r="K2177" s="52"/>
      <c r="L2177" s="52"/>
      <c r="M2177" s="52"/>
      <c r="N2177" s="52"/>
      <c r="O2177" s="52"/>
      <c r="P2177" s="52"/>
      <c r="Q2177" s="52"/>
      <c r="R2177" s="52"/>
      <c r="S2177" s="52"/>
      <c r="T2177" s="52"/>
      <c r="U2177" s="52"/>
      <c r="V2177" s="52"/>
      <c r="W2177" s="52"/>
      <c r="X2177" s="52"/>
      <c r="Y2177" s="52"/>
      <c r="Z2177" s="52"/>
      <c r="AA2177" s="52"/>
      <c r="AB2177" s="52"/>
      <c r="AC2177" s="52"/>
      <c r="AD2177" s="52"/>
      <c r="AE2177" s="52"/>
      <c r="AF2177" s="52"/>
      <c r="AG2177" s="52"/>
      <c r="AH2177" s="52"/>
      <c r="AI2177" s="52"/>
      <c r="AJ2177" s="52"/>
      <c r="AK2177" s="52"/>
      <c r="AL2177" s="52"/>
      <c r="AM2177" s="52"/>
      <c r="AN2177" s="52"/>
    </row>
    <row r="2178" spans="1:40" x14ac:dyDescent="0.3">
      <c r="A2178" s="52">
        <v>2173</v>
      </c>
      <c r="B2178" s="52">
        <f>-bthan*500+(22+0.5)*bthan*1000/50</f>
        <v>-275</v>
      </c>
      <c r="C2178" s="52">
        <f t="shared" si="226"/>
        <v>70.000000000000227</v>
      </c>
      <c r="D2178" s="52">
        <f t="shared" si="223"/>
        <v>2200</v>
      </c>
      <c r="E2178" s="52">
        <f t="shared" si="224"/>
        <v>1</v>
      </c>
      <c r="F2178" s="52"/>
      <c r="G2178" s="52"/>
      <c r="H2178" s="52"/>
      <c r="I2178" s="52"/>
      <c r="J2178" s="52"/>
      <c r="K2178" s="52"/>
      <c r="L2178" s="52"/>
      <c r="M2178" s="52"/>
      <c r="N2178" s="52"/>
      <c r="O2178" s="52"/>
      <c r="P2178" s="52"/>
      <c r="Q2178" s="52"/>
      <c r="R2178" s="52"/>
      <c r="S2178" s="52"/>
      <c r="T2178" s="52"/>
      <c r="U2178" s="52"/>
      <c r="V2178" s="52"/>
      <c r="W2178" s="52"/>
      <c r="X2178" s="52"/>
      <c r="Y2178" s="52"/>
      <c r="Z2178" s="52"/>
      <c r="AA2178" s="52"/>
      <c r="AB2178" s="52"/>
      <c r="AC2178" s="52"/>
      <c r="AD2178" s="52"/>
      <c r="AE2178" s="52"/>
      <c r="AF2178" s="52"/>
      <c r="AG2178" s="52"/>
      <c r="AH2178" s="52"/>
      <c r="AI2178" s="52"/>
      <c r="AJ2178" s="52"/>
      <c r="AK2178" s="52"/>
      <c r="AL2178" s="52"/>
      <c r="AM2178" s="52"/>
      <c r="AN2178" s="52"/>
    </row>
    <row r="2179" spans="1:40" x14ac:dyDescent="0.3">
      <c r="A2179" s="52">
        <v>2174</v>
      </c>
      <c r="B2179" s="52">
        <f>-bthan*500+(23+0.5)*bthan*1000/50</f>
        <v>-165</v>
      </c>
      <c r="C2179" s="52">
        <f t="shared" si="226"/>
        <v>70.000000000000227</v>
      </c>
      <c r="D2179" s="52">
        <f t="shared" si="223"/>
        <v>2200</v>
      </c>
      <c r="E2179" s="52">
        <f t="shared" si="224"/>
        <v>1</v>
      </c>
      <c r="F2179" s="52"/>
      <c r="G2179" s="52"/>
      <c r="H2179" s="52"/>
      <c r="I2179" s="52"/>
      <c r="J2179" s="52"/>
      <c r="K2179" s="52"/>
      <c r="L2179" s="52"/>
      <c r="M2179" s="52"/>
      <c r="N2179" s="52"/>
      <c r="O2179" s="52"/>
      <c r="P2179" s="52"/>
      <c r="Q2179" s="52"/>
      <c r="R2179" s="52"/>
      <c r="S2179" s="52"/>
      <c r="T2179" s="52"/>
      <c r="U2179" s="52"/>
      <c r="V2179" s="52"/>
      <c r="W2179" s="52"/>
      <c r="X2179" s="52"/>
      <c r="Y2179" s="52"/>
      <c r="Z2179" s="52"/>
      <c r="AA2179" s="52"/>
      <c r="AB2179" s="52"/>
      <c r="AC2179" s="52"/>
      <c r="AD2179" s="52"/>
      <c r="AE2179" s="52"/>
      <c r="AF2179" s="52"/>
      <c r="AG2179" s="52"/>
      <c r="AH2179" s="52"/>
      <c r="AI2179" s="52"/>
      <c r="AJ2179" s="52"/>
      <c r="AK2179" s="52"/>
      <c r="AL2179" s="52"/>
      <c r="AM2179" s="52"/>
      <c r="AN2179" s="52"/>
    </row>
    <row r="2180" spans="1:40" x14ac:dyDescent="0.3">
      <c r="A2180" s="52">
        <v>2175</v>
      </c>
      <c r="B2180" s="52">
        <f>-bthan*500+(24+0.5)*bthan*1000/50</f>
        <v>-55</v>
      </c>
      <c r="C2180" s="52">
        <f t="shared" si="226"/>
        <v>70.000000000000227</v>
      </c>
      <c r="D2180" s="52">
        <f t="shared" si="223"/>
        <v>2200</v>
      </c>
      <c r="E2180" s="52">
        <f t="shared" si="224"/>
        <v>1</v>
      </c>
      <c r="F2180" s="52"/>
      <c r="G2180" s="52"/>
      <c r="H2180" s="52"/>
      <c r="I2180" s="52"/>
      <c r="J2180" s="52"/>
      <c r="K2180" s="52"/>
      <c r="L2180" s="52"/>
      <c r="M2180" s="52"/>
      <c r="N2180" s="52"/>
      <c r="O2180" s="52"/>
      <c r="P2180" s="52"/>
      <c r="Q2180" s="52"/>
      <c r="R2180" s="52"/>
      <c r="S2180" s="52"/>
      <c r="T2180" s="52"/>
      <c r="U2180" s="52"/>
      <c r="V2180" s="52"/>
      <c r="W2180" s="52"/>
      <c r="X2180" s="52"/>
      <c r="Y2180" s="52"/>
      <c r="Z2180" s="52"/>
      <c r="AA2180" s="52"/>
      <c r="AB2180" s="52"/>
      <c r="AC2180" s="52"/>
      <c r="AD2180" s="52"/>
      <c r="AE2180" s="52"/>
      <c r="AF2180" s="52"/>
      <c r="AG2180" s="52"/>
      <c r="AH2180" s="52"/>
      <c r="AI2180" s="52"/>
      <c r="AJ2180" s="52"/>
      <c r="AK2180" s="52"/>
      <c r="AL2180" s="52"/>
      <c r="AM2180" s="52"/>
      <c r="AN2180" s="52"/>
    </row>
    <row r="2181" spans="1:40" x14ac:dyDescent="0.3">
      <c r="A2181" s="52">
        <v>2176</v>
      </c>
      <c r="B2181" s="52">
        <f>-bthan*500+(25+0.5)*bthan*1000/50</f>
        <v>55</v>
      </c>
      <c r="C2181" s="52">
        <f t="shared" si="226"/>
        <v>70.000000000000227</v>
      </c>
      <c r="D2181" s="52">
        <f t="shared" si="223"/>
        <v>2200</v>
      </c>
      <c r="E2181" s="52">
        <f t="shared" si="224"/>
        <v>1</v>
      </c>
      <c r="F2181" s="52"/>
      <c r="G2181" s="52"/>
      <c r="H2181" s="52"/>
      <c r="I2181" s="52"/>
      <c r="J2181" s="52"/>
      <c r="K2181" s="52"/>
      <c r="L2181" s="52"/>
      <c r="M2181" s="52"/>
      <c r="N2181" s="52"/>
      <c r="O2181" s="52"/>
      <c r="P2181" s="52"/>
      <c r="Q2181" s="52"/>
      <c r="R2181" s="52"/>
      <c r="S2181" s="52"/>
      <c r="T2181" s="52"/>
      <c r="U2181" s="52"/>
      <c r="V2181" s="52"/>
      <c r="W2181" s="52"/>
      <c r="X2181" s="52"/>
      <c r="Y2181" s="52"/>
      <c r="Z2181" s="52"/>
      <c r="AA2181" s="52"/>
      <c r="AB2181" s="52"/>
      <c r="AC2181" s="52"/>
      <c r="AD2181" s="52"/>
      <c r="AE2181" s="52"/>
      <c r="AF2181" s="52"/>
      <c r="AG2181" s="52"/>
      <c r="AH2181" s="52"/>
      <c r="AI2181" s="52"/>
      <c r="AJ2181" s="52"/>
      <c r="AK2181" s="52"/>
      <c r="AL2181" s="52"/>
      <c r="AM2181" s="52"/>
      <c r="AN2181" s="52"/>
    </row>
    <row r="2182" spans="1:40" x14ac:dyDescent="0.3">
      <c r="A2182" s="52">
        <v>2177</v>
      </c>
      <c r="B2182" s="52">
        <f>-bthan*500+(26+0.5)*bthan*1000/50</f>
        <v>165</v>
      </c>
      <c r="C2182" s="52">
        <f t="shared" si="226"/>
        <v>70.000000000000227</v>
      </c>
      <c r="D2182" s="52">
        <f t="shared" ref="D2182:D2245" si="227">bthan*1000/50*hthan*1000/80</f>
        <v>2200</v>
      </c>
      <c r="E2182" s="52">
        <f t="shared" ref="E2182:E2245" si="228">IF(shp=1,--(OR(ABS(B2182)&lt;=MAX(0,(bthan-hthan)*500),(ABS(B2182)-MAX(0,(bthan-hthan)*500))^2+C2182^2&lt;=(hthan*500)^2)),--(AND(ABS(B2182)&lt;=bthan*500,ABS(C2182)&lt;=hthan*500,OR(ABS(B2182)&lt;=bthan*500-cch*1000,ABS(C2182)&lt;=hthan*500-cch*1000,(bthan*500-ABS(B2182))+(hthan*500-ABS(C2182))&gt;=cch*1000))))</f>
        <v>1</v>
      </c>
      <c r="F2182" s="52"/>
      <c r="G2182" s="52"/>
      <c r="H2182" s="52"/>
      <c r="I2182" s="52"/>
      <c r="J2182" s="52"/>
      <c r="K2182" s="52"/>
      <c r="L2182" s="52"/>
      <c r="M2182" s="52"/>
      <c r="N2182" s="52"/>
      <c r="O2182" s="52"/>
      <c r="P2182" s="52"/>
      <c r="Q2182" s="52"/>
      <c r="R2182" s="52"/>
      <c r="S2182" s="52"/>
      <c r="T2182" s="52"/>
      <c r="U2182" s="52"/>
      <c r="V2182" s="52"/>
      <c r="W2182" s="52"/>
      <c r="X2182" s="52"/>
      <c r="Y2182" s="52"/>
      <c r="Z2182" s="52"/>
      <c r="AA2182" s="52"/>
      <c r="AB2182" s="52"/>
      <c r="AC2182" s="52"/>
      <c r="AD2182" s="52"/>
      <c r="AE2182" s="52"/>
      <c r="AF2182" s="52"/>
      <c r="AG2182" s="52"/>
      <c r="AH2182" s="52"/>
      <c r="AI2182" s="52"/>
      <c r="AJ2182" s="52"/>
      <c r="AK2182" s="52"/>
      <c r="AL2182" s="52"/>
      <c r="AM2182" s="52"/>
      <c r="AN2182" s="52"/>
    </row>
    <row r="2183" spans="1:40" x14ac:dyDescent="0.3">
      <c r="A2183" s="52">
        <v>2178</v>
      </c>
      <c r="B2183" s="52">
        <f>-bthan*500+(27+0.5)*bthan*1000/50</f>
        <v>275</v>
      </c>
      <c r="C2183" s="52">
        <f t="shared" si="226"/>
        <v>70.000000000000227</v>
      </c>
      <c r="D2183" s="52">
        <f t="shared" si="227"/>
        <v>2200</v>
      </c>
      <c r="E2183" s="52">
        <f t="shared" si="228"/>
        <v>1</v>
      </c>
      <c r="F2183" s="52"/>
      <c r="G2183" s="52"/>
      <c r="H2183" s="52"/>
      <c r="I2183" s="52"/>
      <c r="J2183" s="52"/>
      <c r="K2183" s="52"/>
      <c r="L2183" s="52"/>
      <c r="M2183" s="52"/>
      <c r="N2183" s="52"/>
      <c r="O2183" s="52"/>
      <c r="P2183" s="52"/>
      <c r="Q2183" s="52"/>
      <c r="R2183" s="52"/>
      <c r="S2183" s="52"/>
      <c r="T2183" s="52"/>
      <c r="U2183" s="52"/>
      <c r="V2183" s="52"/>
      <c r="W2183" s="52"/>
      <c r="X2183" s="52"/>
      <c r="Y2183" s="52"/>
      <c r="Z2183" s="52"/>
      <c r="AA2183" s="52"/>
      <c r="AB2183" s="52"/>
      <c r="AC2183" s="52"/>
      <c r="AD2183" s="52"/>
      <c r="AE2183" s="52"/>
      <c r="AF2183" s="52"/>
      <c r="AG2183" s="52"/>
      <c r="AH2183" s="52"/>
      <c r="AI2183" s="52"/>
      <c r="AJ2183" s="52"/>
      <c r="AK2183" s="52"/>
      <c r="AL2183" s="52"/>
      <c r="AM2183" s="52"/>
      <c r="AN2183" s="52"/>
    </row>
    <row r="2184" spans="1:40" x14ac:dyDescent="0.3">
      <c r="A2184" s="52">
        <v>2179</v>
      </c>
      <c r="B2184" s="52">
        <f>-bthan*500+(28+0.5)*bthan*1000/50</f>
        <v>385</v>
      </c>
      <c r="C2184" s="52">
        <f t="shared" si="226"/>
        <v>70.000000000000227</v>
      </c>
      <c r="D2184" s="52">
        <f t="shared" si="227"/>
        <v>2200</v>
      </c>
      <c r="E2184" s="52">
        <f t="shared" si="228"/>
        <v>1</v>
      </c>
      <c r="F2184" s="52"/>
      <c r="G2184" s="52"/>
      <c r="H2184" s="52"/>
      <c r="I2184" s="52"/>
      <c r="J2184" s="52"/>
      <c r="K2184" s="52"/>
      <c r="L2184" s="52"/>
      <c r="M2184" s="52"/>
      <c r="N2184" s="52"/>
      <c r="O2184" s="52"/>
      <c r="P2184" s="52"/>
      <c r="Q2184" s="52"/>
      <c r="R2184" s="52"/>
      <c r="S2184" s="52"/>
      <c r="T2184" s="52"/>
      <c r="U2184" s="52"/>
      <c r="V2184" s="52"/>
      <c r="W2184" s="52"/>
      <c r="X2184" s="52"/>
      <c r="Y2184" s="52"/>
      <c r="Z2184" s="52"/>
      <c r="AA2184" s="52"/>
      <c r="AB2184" s="52"/>
      <c r="AC2184" s="52"/>
      <c r="AD2184" s="52"/>
      <c r="AE2184" s="52"/>
      <c r="AF2184" s="52"/>
      <c r="AG2184" s="52"/>
      <c r="AH2184" s="52"/>
      <c r="AI2184" s="52"/>
      <c r="AJ2184" s="52"/>
      <c r="AK2184" s="52"/>
      <c r="AL2184" s="52"/>
      <c r="AM2184" s="52"/>
      <c r="AN2184" s="52"/>
    </row>
    <row r="2185" spans="1:40" x14ac:dyDescent="0.3">
      <c r="A2185" s="52">
        <v>2180</v>
      </c>
      <c r="B2185" s="52">
        <f>-bthan*500+(29+0.5)*bthan*1000/50</f>
        <v>495</v>
      </c>
      <c r="C2185" s="52">
        <f t="shared" si="226"/>
        <v>70.000000000000227</v>
      </c>
      <c r="D2185" s="52">
        <f t="shared" si="227"/>
        <v>2200</v>
      </c>
      <c r="E2185" s="52">
        <f t="shared" si="228"/>
        <v>1</v>
      </c>
      <c r="F2185" s="52"/>
      <c r="G2185" s="52"/>
      <c r="H2185" s="52"/>
      <c r="I2185" s="52"/>
      <c r="J2185" s="52"/>
      <c r="K2185" s="52"/>
      <c r="L2185" s="52"/>
      <c r="M2185" s="52"/>
      <c r="N2185" s="52"/>
      <c r="O2185" s="52"/>
      <c r="P2185" s="52"/>
      <c r="Q2185" s="52"/>
      <c r="R2185" s="52"/>
      <c r="S2185" s="52"/>
      <c r="T2185" s="52"/>
      <c r="U2185" s="52"/>
      <c r="V2185" s="52"/>
      <c r="W2185" s="52"/>
      <c r="X2185" s="52"/>
      <c r="Y2185" s="52"/>
      <c r="Z2185" s="52"/>
      <c r="AA2185" s="52"/>
      <c r="AB2185" s="52"/>
      <c r="AC2185" s="52"/>
      <c r="AD2185" s="52"/>
      <c r="AE2185" s="52"/>
      <c r="AF2185" s="52"/>
      <c r="AG2185" s="52"/>
      <c r="AH2185" s="52"/>
      <c r="AI2185" s="52"/>
      <c r="AJ2185" s="52"/>
      <c r="AK2185" s="52"/>
      <c r="AL2185" s="52"/>
      <c r="AM2185" s="52"/>
      <c r="AN2185" s="52"/>
    </row>
    <row r="2186" spans="1:40" x14ac:dyDescent="0.3">
      <c r="A2186" s="52">
        <v>2181</v>
      </c>
      <c r="B2186" s="52">
        <f>-bthan*500+(30+0.5)*bthan*1000/50</f>
        <v>605</v>
      </c>
      <c r="C2186" s="52">
        <f t="shared" si="226"/>
        <v>70.000000000000227</v>
      </c>
      <c r="D2186" s="52">
        <f t="shared" si="227"/>
        <v>2200</v>
      </c>
      <c r="E2186" s="52">
        <f t="shared" si="228"/>
        <v>1</v>
      </c>
      <c r="F2186" s="52"/>
      <c r="G2186" s="52"/>
      <c r="H2186" s="52"/>
      <c r="I2186" s="52"/>
      <c r="J2186" s="52"/>
      <c r="K2186" s="52"/>
      <c r="L2186" s="52"/>
      <c r="M2186" s="52"/>
      <c r="N2186" s="52"/>
      <c r="O2186" s="52"/>
      <c r="P2186" s="52"/>
      <c r="Q2186" s="52"/>
      <c r="R2186" s="52"/>
      <c r="S2186" s="52"/>
      <c r="T2186" s="52"/>
      <c r="U2186" s="52"/>
      <c r="V2186" s="52"/>
      <c r="W2186" s="52"/>
      <c r="X2186" s="52"/>
      <c r="Y2186" s="52"/>
      <c r="Z2186" s="52"/>
      <c r="AA2186" s="52"/>
      <c r="AB2186" s="52"/>
      <c r="AC2186" s="52"/>
      <c r="AD2186" s="52"/>
      <c r="AE2186" s="52"/>
      <c r="AF2186" s="52"/>
      <c r="AG2186" s="52"/>
      <c r="AH2186" s="52"/>
      <c r="AI2186" s="52"/>
      <c r="AJ2186" s="52"/>
      <c r="AK2186" s="52"/>
      <c r="AL2186" s="52"/>
      <c r="AM2186" s="52"/>
      <c r="AN2186" s="52"/>
    </row>
    <row r="2187" spans="1:40" x14ac:dyDescent="0.3">
      <c r="A2187" s="52">
        <v>2182</v>
      </c>
      <c r="B2187" s="52">
        <f>-bthan*500+(31+0.5)*bthan*1000/50</f>
        <v>715</v>
      </c>
      <c r="C2187" s="52">
        <f t="shared" si="226"/>
        <v>70.000000000000227</v>
      </c>
      <c r="D2187" s="52">
        <f t="shared" si="227"/>
        <v>2200</v>
      </c>
      <c r="E2187" s="52">
        <f t="shared" si="228"/>
        <v>1</v>
      </c>
      <c r="F2187" s="52"/>
      <c r="G2187" s="52"/>
      <c r="H2187" s="52"/>
      <c r="I2187" s="52"/>
      <c r="J2187" s="52"/>
      <c r="K2187" s="52"/>
      <c r="L2187" s="52"/>
      <c r="M2187" s="52"/>
      <c r="N2187" s="52"/>
      <c r="O2187" s="52"/>
      <c r="P2187" s="52"/>
      <c r="Q2187" s="52"/>
      <c r="R2187" s="52"/>
      <c r="S2187" s="52"/>
      <c r="T2187" s="52"/>
      <c r="U2187" s="52"/>
      <c r="V2187" s="52"/>
      <c r="W2187" s="52"/>
      <c r="X2187" s="52"/>
      <c r="Y2187" s="52"/>
      <c r="Z2187" s="52"/>
      <c r="AA2187" s="52"/>
      <c r="AB2187" s="52"/>
      <c r="AC2187" s="52"/>
      <c r="AD2187" s="52"/>
      <c r="AE2187" s="52"/>
      <c r="AF2187" s="52"/>
      <c r="AG2187" s="52"/>
      <c r="AH2187" s="52"/>
      <c r="AI2187" s="52"/>
      <c r="AJ2187" s="52"/>
      <c r="AK2187" s="52"/>
      <c r="AL2187" s="52"/>
      <c r="AM2187" s="52"/>
      <c r="AN2187" s="52"/>
    </row>
    <row r="2188" spans="1:40" x14ac:dyDescent="0.3">
      <c r="A2188" s="52">
        <v>2183</v>
      </c>
      <c r="B2188" s="52">
        <f>-bthan*500+(32+0.5)*bthan*1000/50</f>
        <v>825</v>
      </c>
      <c r="C2188" s="52">
        <f t="shared" ref="C2188:C2205" si="229">-hthan*500+(43+0.5)*hthan*1000/80</f>
        <v>70.000000000000227</v>
      </c>
      <c r="D2188" s="52">
        <f t="shared" si="227"/>
        <v>2200</v>
      </c>
      <c r="E2188" s="52">
        <f t="shared" si="228"/>
        <v>1</v>
      </c>
      <c r="F2188" s="52"/>
      <c r="G2188" s="52"/>
      <c r="H2188" s="52"/>
      <c r="I2188" s="52"/>
      <c r="J2188" s="52"/>
      <c r="K2188" s="52"/>
      <c r="L2188" s="52"/>
      <c r="M2188" s="52"/>
      <c r="N2188" s="52"/>
      <c r="O2188" s="52"/>
      <c r="P2188" s="52"/>
      <c r="Q2188" s="52"/>
      <c r="R2188" s="52"/>
      <c r="S2188" s="52"/>
      <c r="T2188" s="52"/>
      <c r="U2188" s="52"/>
      <c r="V2188" s="52"/>
      <c r="W2188" s="52"/>
      <c r="X2188" s="52"/>
      <c r="Y2188" s="52"/>
      <c r="Z2188" s="52"/>
      <c r="AA2188" s="52"/>
      <c r="AB2188" s="52"/>
      <c r="AC2188" s="52"/>
      <c r="AD2188" s="52"/>
      <c r="AE2188" s="52"/>
      <c r="AF2188" s="52"/>
      <c r="AG2188" s="52"/>
      <c r="AH2188" s="52"/>
      <c r="AI2188" s="52"/>
      <c r="AJ2188" s="52"/>
      <c r="AK2188" s="52"/>
      <c r="AL2188" s="52"/>
      <c r="AM2188" s="52"/>
      <c r="AN2188" s="52"/>
    </row>
    <row r="2189" spans="1:40" x14ac:dyDescent="0.3">
      <c r="A2189" s="52">
        <v>2184</v>
      </c>
      <c r="B2189" s="52">
        <f>-bthan*500+(33+0.5)*bthan*1000/50</f>
        <v>935</v>
      </c>
      <c r="C2189" s="52">
        <f t="shared" si="229"/>
        <v>70.000000000000227</v>
      </c>
      <c r="D2189" s="52">
        <f t="shared" si="227"/>
        <v>2200</v>
      </c>
      <c r="E2189" s="52">
        <f t="shared" si="228"/>
        <v>1</v>
      </c>
      <c r="F2189" s="52"/>
      <c r="G2189" s="52"/>
      <c r="H2189" s="52"/>
      <c r="I2189" s="52"/>
      <c r="J2189" s="52"/>
      <c r="K2189" s="52"/>
      <c r="L2189" s="52"/>
      <c r="M2189" s="52"/>
      <c r="N2189" s="52"/>
      <c r="O2189" s="52"/>
      <c r="P2189" s="52"/>
      <c r="Q2189" s="52"/>
      <c r="R2189" s="52"/>
      <c r="S2189" s="52"/>
      <c r="T2189" s="52"/>
      <c r="U2189" s="52"/>
      <c r="V2189" s="52"/>
      <c r="W2189" s="52"/>
      <c r="X2189" s="52"/>
      <c r="Y2189" s="52"/>
      <c r="Z2189" s="52"/>
      <c r="AA2189" s="52"/>
      <c r="AB2189" s="52"/>
      <c r="AC2189" s="52"/>
      <c r="AD2189" s="52"/>
      <c r="AE2189" s="52"/>
      <c r="AF2189" s="52"/>
      <c r="AG2189" s="52"/>
      <c r="AH2189" s="52"/>
      <c r="AI2189" s="52"/>
      <c r="AJ2189" s="52"/>
      <c r="AK2189" s="52"/>
      <c r="AL2189" s="52"/>
      <c r="AM2189" s="52"/>
      <c r="AN2189" s="52"/>
    </row>
    <row r="2190" spans="1:40" x14ac:dyDescent="0.3">
      <c r="A2190" s="52">
        <v>2185</v>
      </c>
      <c r="B2190" s="52">
        <f>-bthan*500+(34+0.5)*bthan*1000/50</f>
        <v>1045</v>
      </c>
      <c r="C2190" s="52">
        <f t="shared" si="229"/>
        <v>70.000000000000227</v>
      </c>
      <c r="D2190" s="52">
        <f t="shared" si="227"/>
        <v>2200</v>
      </c>
      <c r="E2190" s="52">
        <f t="shared" si="228"/>
        <v>1</v>
      </c>
      <c r="F2190" s="52"/>
      <c r="G2190" s="52"/>
      <c r="H2190" s="52"/>
      <c r="I2190" s="52"/>
      <c r="J2190" s="52"/>
      <c r="K2190" s="52"/>
      <c r="L2190" s="52"/>
      <c r="M2190" s="52"/>
      <c r="N2190" s="52"/>
      <c r="O2190" s="52"/>
      <c r="P2190" s="52"/>
      <c r="Q2190" s="52"/>
      <c r="R2190" s="52"/>
      <c r="S2190" s="52"/>
      <c r="T2190" s="52"/>
      <c r="U2190" s="52"/>
      <c r="V2190" s="52"/>
      <c r="W2190" s="52"/>
      <c r="X2190" s="52"/>
      <c r="Y2190" s="52"/>
      <c r="Z2190" s="52"/>
      <c r="AA2190" s="52"/>
      <c r="AB2190" s="52"/>
      <c r="AC2190" s="52"/>
      <c r="AD2190" s="52"/>
      <c r="AE2190" s="52"/>
      <c r="AF2190" s="52"/>
      <c r="AG2190" s="52"/>
      <c r="AH2190" s="52"/>
      <c r="AI2190" s="52"/>
      <c r="AJ2190" s="52"/>
      <c r="AK2190" s="52"/>
      <c r="AL2190" s="52"/>
      <c r="AM2190" s="52"/>
      <c r="AN2190" s="52"/>
    </row>
    <row r="2191" spans="1:40" x14ac:dyDescent="0.3">
      <c r="A2191" s="52">
        <v>2186</v>
      </c>
      <c r="B2191" s="52">
        <f>-bthan*500+(35+0.5)*bthan*1000/50</f>
        <v>1155</v>
      </c>
      <c r="C2191" s="52">
        <f t="shared" si="229"/>
        <v>70.000000000000227</v>
      </c>
      <c r="D2191" s="52">
        <f t="shared" si="227"/>
        <v>2200</v>
      </c>
      <c r="E2191" s="52">
        <f t="shared" si="228"/>
        <v>1</v>
      </c>
      <c r="F2191" s="52"/>
      <c r="G2191" s="52"/>
      <c r="H2191" s="52"/>
      <c r="I2191" s="52"/>
      <c r="J2191" s="52"/>
      <c r="K2191" s="52"/>
      <c r="L2191" s="52"/>
      <c r="M2191" s="52"/>
      <c r="N2191" s="52"/>
      <c r="O2191" s="52"/>
      <c r="P2191" s="52"/>
      <c r="Q2191" s="52"/>
      <c r="R2191" s="52"/>
      <c r="S2191" s="52"/>
      <c r="T2191" s="52"/>
      <c r="U2191" s="52"/>
      <c r="V2191" s="52"/>
      <c r="W2191" s="52"/>
      <c r="X2191" s="52"/>
      <c r="Y2191" s="52"/>
      <c r="Z2191" s="52"/>
      <c r="AA2191" s="52"/>
      <c r="AB2191" s="52"/>
      <c r="AC2191" s="52"/>
      <c r="AD2191" s="52"/>
      <c r="AE2191" s="52"/>
      <c r="AF2191" s="52"/>
      <c r="AG2191" s="52"/>
      <c r="AH2191" s="52"/>
      <c r="AI2191" s="52"/>
      <c r="AJ2191" s="52"/>
      <c r="AK2191" s="52"/>
      <c r="AL2191" s="52"/>
      <c r="AM2191" s="52"/>
      <c r="AN2191" s="52"/>
    </row>
    <row r="2192" spans="1:40" x14ac:dyDescent="0.3">
      <c r="A2192" s="52">
        <v>2187</v>
      </c>
      <c r="B2192" s="52">
        <f>-bthan*500+(36+0.5)*bthan*1000/50</f>
        <v>1265</v>
      </c>
      <c r="C2192" s="52">
        <f t="shared" si="229"/>
        <v>70.000000000000227</v>
      </c>
      <c r="D2192" s="52">
        <f t="shared" si="227"/>
        <v>2200</v>
      </c>
      <c r="E2192" s="52">
        <f t="shared" si="228"/>
        <v>1</v>
      </c>
      <c r="F2192" s="52"/>
      <c r="G2192" s="52"/>
      <c r="H2192" s="52"/>
      <c r="I2192" s="52"/>
      <c r="J2192" s="52"/>
      <c r="K2192" s="52"/>
      <c r="L2192" s="52"/>
      <c r="M2192" s="52"/>
      <c r="N2192" s="52"/>
      <c r="O2192" s="52"/>
      <c r="P2192" s="52"/>
      <c r="Q2192" s="52"/>
      <c r="R2192" s="52"/>
      <c r="S2192" s="52"/>
      <c r="T2192" s="52"/>
      <c r="U2192" s="52"/>
      <c r="V2192" s="52"/>
      <c r="W2192" s="52"/>
      <c r="X2192" s="52"/>
      <c r="Y2192" s="52"/>
      <c r="Z2192" s="52"/>
      <c r="AA2192" s="52"/>
      <c r="AB2192" s="52"/>
      <c r="AC2192" s="52"/>
      <c r="AD2192" s="52"/>
      <c r="AE2192" s="52"/>
      <c r="AF2192" s="52"/>
      <c r="AG2192" s="52"/>
      <c r="AH2192" s="52"/>
      <c r="AI2192" s="52"/>
      <c r="AJ2192" s="52"/>
      <c r="AK2192" s="52"/>
      <c r="AL2192" s="52"/>
      <c r="AM2192" s="52"/>
      <c r="AN2192" s="52"/>
    </row>
    <row r="2193" spans="1:40" x14ac:dyDescent="0.3">
      <c r="A2193" s="52">
        <v>2188</v>
      </c>
      <c r="B2193" s="52">
        <f>-bthan*500+(37+0.5)*bthan*1000/50</f>
        <v>1375</v>
      </c>
      <c r="C2193" s="52">
        <f t="shared" si="229"/>
        <v>70.000000000000227</v>
      </c>
      <c r="D2193" s="52">
        <f t="shared" si="227"/>
        <v>2200</v>
      </c>
      <c r="E2193" s="52">
        <f t="shared" si="228"/>
        <v>1</v>
      </c>
      <c r="F2193" s="52"/>
      <c r="G2193" s="52"/>
      <c r="H2193" s="52"/>
      <c r="I2193" s="52"/>
      <c r="J2193" s="52"/>
      <c r="K2193" s="52"/>
      <c r="L2193" s="52"/>
      <c r="M2193" s="52"/>
      <c r="N2193" s="52"/>
      <c r="O2193" s="52"/>
      <c r="P2193" s="52"/>
      <c r="Q2193" s="52"/>
      <c r="R2193" s="52"/>
      <c r="S2193" s="52"/>
      <c r="T2193" s="52"/>
      <c r="U2193" s="52"/>
      <c r="V2193" s="52"/>
      <c r="W2193" s="52"/>
      <c r="X2193" s="52"/>
      <c r="Y2193" s="52"/>
      <c r="Z2193" s="52"/>
      <c r="AA2193" s="52"/>
      <c r="AB2193" s="52"/>
      <c r="AC2193" s="52"/>
      <c r="AD2193" s="52"/>
      <c r="AE2193" s="52"/>
      <c r="AF2193" s="52"/>
      <c r="AG2193" s="52"/>
      <c r="AH2193" s="52"/>
      <c r="AI2193" s="52"/>
      <c r="AJ2193" s="52"/>
      <c r="AK2193" s="52"/>
      <c r="AL2193" s="52"/>
      <c r="AM2193" s="52"/>
      <c r="AN2193" s="52"/>
    </row>
    <row r="2194" spans="1:40" x14ac:dyDescent="0.3">
      <c r="A2194" s="52">
        <v>2189</v>
      </c>
      <c r="B2194" s="52">
        <f>-bthan*500+(38+0.5)*bthan*1000/50</f>
        <v>1485</v>
      </c>
      <c r="C2194" s="52">
        <f t="shared" si="229"/>
        <v>70.000000000000227</v>
      </c>
      <c r="D2194" s="52">
        <f t="shared" si="227"/>
        <v>2200</v>
      </c>
      <c r="E2194" s="52">
        <f t="shared" si="228"/>
        <v>1</v>
      </c>
      <c r="F2194" s="52"/>
      <c r="G2194" s="52"/>
      <c r="H2194" s="52"/>
      <c r="I2194" s="52"/>
      <c r="J2194" s="52"/>
      <c r="K2194" s="52"/>
      <c r="L2194" s="52"/>
      <c r="M2194" s="52"/>
      <c r="N2194" s="52"/>
      <c r="O2194" s="52"/>
      <c r="P2194" s="52"/>
      <c r="Q2194" s="52"/>
      <c r="R2194" s="52"/>
      <c r="S2194" s="52"/>
      <c r="T2194" s="52"/>
      <c r="U2194" s="52"/>
      <c r="V2194" s="52"/>
      <c r="W2194" s="52"/>
      <c r="X2194" s="52"/>
      <c r="Y2194" s="52"/>
      <c r="Z2194" s="52"/>
      <c r="AA2194" s="52"/>
      <c r="AB2194" s="52"/>
      <c r="AC2194" s="52"/>
      <c r="AD2194" s="52"/>
      <c r="AE2194" s="52"/>
      <c r="AF2194" s="52"/>
      <c r="AG2194" s="52"/>
      <c r="AH2194" s="52"/>
      <c r="AI2194" s="52"/>
      <c r="AJ2194" s="52"/>
      <c r="AK2194" s="52"/>
      <c r="AL2194" s="52"/>
      <c r="AM2194" s="52"/>
      <c r="AN2194" s="52"/>
    </row>
    <row r="2195" spans="1:40" x14ac:dyDescent="0.3">
      <c r="A2195" s="52">
        <v>2190</v>
      </c>
      <c r="B2195" s="52">
        <f>-bthan*500+(39+0.5)*bthan*1000/50</f>
        <v>1595</v>
      </c>
      <c r="C2195" s="52">
        <f t="shared" si="229"/>
        <v>70.000000000000227</v>
      </c>
      <c r="D2195" s="52">
        <f t="shared" si="227"/>
        <v>2200</v>
      </c>
      <c r="E2195" s="52">
        <f t="shared" si="228"/>
        <v>1</v>
      </c>
      <c r="F2195" s="52"/>
      <c r="G2195" s="52"/>
      <c r="H2195" s="52"/>
      <c r="I2195" s="52"/>
      <c r="J2195" s="52"/>
      <c r="K2195" s="52"/>
      <c r="L2195" s="52"/>
      <c r="M2195" s="52"/>
      <c r="N2195" s="52"/>
      <c r="O2195" s="52"/>
      <c r="P2195" s="52"/>
      <c r="Q2195" s="52"/>
      <c r="R2195" s="52"/>
      <c r="S2195" s="52"/>
      <c r="T2195" s="52"/>
      <c r="U2195" s="52"/>
      <c r="V2195" s="52"/>
      <c r="W2195" s="52"/>
      <c r="X2195" s="52"/>
      <c r="Y2195" s="52"/>
      <c r="Z2195" s="52"/>
      <c r="AA2195" s="52"/>
      <c r="AB2195" s="52"/>
      <c r="AC2195" s="52"/>
      <c r="AD2195" s="52"/>
      <c r="AE2195" s="52"/>
      <c r="AF2195" s="52"/>
      <c r="AG2195" s="52"/>
      <c r="AH2195" s="52"/>
      <c r="AI2195" s="52"/>
      <c r="AJ2195" s="52"/>
      <c r="AK2195" s="52"/>
      <c r="AL2195" s="52"/>
      <c r="AM2195" s="52"/>
      <c r="AN2195" s="52"/>
    </row>
    <row r="2196" spans="1:40" x14ac:dyDescent="0.3">
      <c r="A2196" s="52">
        <v>2191</v>
      </c>
      <c r="B2196" s="52">
        <f>-bthan*500+(40+0.5)*bthan*1000/50</f>
        <v>1705</v>
      </c>
      <c r="C2196" s="52">
        <f t="shared" si="229"/>
        <v>70.000000000000227</v>
      </c>
      <c r="D2196" s="52">
        <f t="shared" si="227"/>
        <v>2200</v>
      </c>
      <c r="E2196" s="52">
        <f t="shared" si="228"/>
        <v>1</v>
      </c>
      <c r="F2196" s="52"/>
      <c r="G2196" s="52"/>
      <c r="H2196" s="52"/>
      <c r="I2196" s="52"/>
      <c r="J2196" s="52"/>
      <c r="K2196" s="52"/>
      <c r="L2196" s="52"/>
      <c r="M2196" s="52"/>
      <c r="N2196" s="52"/>
      <c r="O2196" s="52"/>
      <c r="P2196" s="52"/>
      <c r="Q2196" s="52"/>
      <c r="R2196" s="52"/>
      <c r="S2196" s="52"/>
      <c r="T2196" s="52"/>
      <c r="U2196" s="52"/>
      <c r="V2196" s="52"/>
      <c r="W2196" s="52"/>
      <c r="X2196" s="52"/>
      <c r="Y2196" s="52"/>
      <c r="Z2196" s="52"/>
      <c r="AA2196" s="52"/>
      <c r="AB2196" s="52"/>
      <c r="AC2196" s="52"/>
      <c r="AD2196" s="52"/>
      <c r="AE2196" s="52"/>
      <c r="AF2196" s="52"/>
      <c r="AG2196" s="52"/>
      <c r="AH2196" s="52"/>
      <c r="AI2196" s="52"/>
      <c r="AJ2196" s="52"/>
      <c r="AK2196" s="52"/>
      <c r="AL2196" s="52"/>
      <c r="AM2196" s="52"/>
      <c r="AN2196" s="52"/>
    </row>
    <row r="2197" spans="1:40" x14ac:dyDescent="0.3">
      <c r="A2197" s="52">
        <v>2192</v>
      </c>
      <c r="B2197" s="52">
        <f>-bthan*500+(41+0.5)*bthan*1000/50</f>
        <v>1815</v>
      </c>
      <c r="C2197" s="52">
        <f t="shared" si="229"/>
        <v>70.000000000000227</v>
      </c>
      <c r="D2197" s="52">
        <f t="shared" si="227"/>
        <v>2200</v>
      </c>
      <c r="E2197" s="52">
        <f t="shared" si="228"/>
        <v>1</v>
      </c>
      <c r="F2197" s="52"/>
      <c r="G2197" s="52"/>
      <c r="H2197" s="52"/>
      <c r="I2197" s="52"/>
      <c r="J2197" s="52"/>
      <c r="K2197" s="52"/>
      <c r="L2197" s="52"/>
      <c r="M2197" s="52"/>
      <c r="N2197" s="52"/>
      <c r="O2197" s="52"/>
      <c r="P2197" s="52"/>
      <c r="Q2197" s="52"/>
      <c r="R2197" s="52"/>
      <c r="S2197" s="52"/>
      <c r="T2197" s="52"/>
      <c r="U2197" s="52"/>
      <c r="V2197" s="52"/>
      <c r="W2197" s="52"/>
      <c r="X2197" s="52"/>
      <c r="Y2197" s="52"/>
      <c r="Z2197" s="52"/>
      <c r="AA2197" s="52"/>
      <c r="AB2197" s="52"/>
      <c r="AC2197" s="52"/>
      <c r="AD2197" s="52"/>
      <c r="AE2197" s="52"/>
      <c r="AF2197" s="52"/>
      <c r="AG2197" s="52"/>
      <c r="AH2197" s="52"/>
      <c r="AI2197" s="52"/>
      <c r="AJ2197" s="52"/>
      <c r="AK2197" s="52"/>
      <c r="AL2197" s="52"/>
      <c r="AM2197" s="52"/>
      <c r="AN2197" s="52"/>
    </row>
    <row r="2198" spans="1:40" x14ac:dyDescent="0.3">
      <c r="A2198" s="52">
        <v>2193</v>
      </c>
      <c r="B2198" s="52">
        <f>-bthan*500+(42+0.5)*bthan*1000/50</f>
        <v>1925</v>
      </c>
      <c r="C2198" s="52">
        <f t="shared" si="229"/>
        <v>70.000000000000227</v>
      </c>
      <c r="D2198" s="52">
        <f t="shared" si="227"/>
        <v>2200</v>
      </c>
      <c r="E2198" s="52">
        <f t="shared" si="228"/>
        <v>1</v>
      </c>
      <c r="F2198" s="52"/>
      <c r="G2198" s="52"/>
      <c r="H2198" s="52"/>
      <c r="I2198" s="52"/>
      <c r="J2198" s="52"/>
      <c r="K2198" s="52"/>
      <c r="L2198" s="52"/>
      <c r="M2198" s="52"/>
      <c r="N2198" s="52"/>
      <c r="O2198" s="52"/>
      <c r="P2198" s="52"/>
      <c r="Q2198" s="52"/>
      <c r="R2198" s="52"/>
      <c r="S2198" s="52"/>
      <c r="T2198" s="52"/>
      <c r="U2198" s="52"/>
      <c r="V2198" s="52"/>
      <c r="W2198" s="52"/>
      <c r="X2198" s="52"/>
      <c r="Y2198" s="52"/>
      <c r="Z2198" s="52"/>
      <c r="AA2198" s="52"/>
      <c r="AB2198" s="52"/>
      <c r="AC2198" s="52"/>
      <c r="AD2198" s="52"/>
      <c r="AE2198" s="52"/>
      <c r="AF2198" s="52"/>
      <c r="AG2198" s="52"/>
      <c r="AH2198" s="52"/>
      <c r="AI2198" s="52"/>
      <c r="AJ2198" s="52"/>
      <c r="AK2198" s="52"/>
      <c r="AL2198" s="52"/>
      <c r="AM2198" s="52"/>
      <c r="AN2198" s="52"/>
    </row>
    <row r="2199" spans="1:40" x14ac:dyDescent="0.3">
      <c r="A2199" s="52">
        <v>2194</v>
      </c>
      <c r="B2199" s="52">
        <f>-bthan*500+(43+0.5)*bthan*1000/50</f>
        <v>2035</v>
      </c>
      <c r="C2199" s="52">
        <f t="shared" si="229"/>
        <v>70.000000000000227</v>
      </c>
      <c r="D2199" s="52">
        <f t="shared" si="227"/>
        <v>2200</v>
      </c>
      <c r="E2199" s="52">
        <f t="shared" si="228"/>
        <v>1</v>
      </c>
      <c r="F2199" s="52"/>
      <c r="G2199" s="52"/>
      <c r="H2199" s="52"/>
      <c r="I2199" s="52"/>
      <c r="J2199" s="52"/>
      <c r="K2199" s="52"/>
      <c r="L2199" s="52"/>
      <c r="M2199" s="52"/>
      <c r="N2199" s="52"/>
      <c r="O2199" s="52"/>
      <c r="P2199" s="52"/>
      <c r="Q2199" s="52"/>
      <c r="R2199" s="52"/>
      <c r="S2199" s="52"/>
      <c r="T2199" s="52"/>
      <c r="U2199" s="52"/>
      <c r="V2199" s="52"/>
      <c r="W2199" s="52"/>
      <c r="X2199" s="52"/>
      <c r="Y2199" s="52"/>
      <c r="Z2199" s="52"/>
      <c r="AA2199" s="52"/>
      <c r="AB2199" s="52"/>
      <c r="AC2199" s="52"/>
      <c r="AD2199" s="52"/>
      <c r="AE2199" s="52"/>
      <c r="AF2199" s="52"/>
      <c r="AG2199" s="52"/>
      <c r="AH2199" s="52"/>
      <c r="AI2199" s="52"/>
      <c r="AJ2199" s="52"/>
      <c r="AK2199" s="52"/>
      <c r="AL2199" s="52"/>
      <c r="AM2199" s="52"/>
      <c r="AN2199" s="52"/>
    </row>
    <row r="2200" spans="1:40" x14ac:dyDescent="0.3">
      <c r="A2200" s="52">
        <v>2195</v>
      </c>
      <c r="B2200" s="52">
        <f>-bthan*500+(44+0.5)*bthan*1000/50</f>
        <v>2145</v>
      </c>
      <c r="C2200" s="52">
        <f t="shared" si="229"/>
        <v>70.000000000000227</v>
      </c>
      <c r="D2200" s="52">
        <f t="shared" si="227"/>
        <v>2200</v>
      </c>
      <c r="E2200" s="52">
        <f t="shared" si="228"/>
        <v>1</v>
      </c>
      <c r="F2200" s="52"/>
      <c r="G2200" s="52"/>
      <c r="H2200" s="52"/>
      <c r="I2200" s="52"/>
      <c r="J2200" s="52"/>
      <c r="K2200" s="52"/>
      <c r="L2200" s="52"/>
      <c r="M2200" s="52"/>
      <c r="N2200" s="52"/>
      <c r="O2200" s="52"/>
      <c r="P2200" s="52"/>
      <c r="Q2200" s="52"/>
      <c r="R2200" s="52"/>
      <c r="S2200" s="52"/>
      <c r="T2200" s="52"/>
      <c r="U2200" s="52"/>
      <c r="V2200" s="52"/>
      <c r="W2200" s="52"/>
      <c r="X2200" s="52"/>
      <c r="Y2200" s="52"/>
      <c r="Z2200" s="52"/>
      <c r="AA2200" s="52"/>
      <c r="AB2200" s="52"/>
      <c r="AC2200" s="52"/>
      <c r="AD2200" s="52"/>
      <c r="AE2200" s="52"/>
      <c r="AF2200" s="52"/>
      <c r="AG2200" s="52"/>
      <c r="AH2200" s="52"/>
      <c r="AI2200" s="52"/>
      <c r="AJ2200" s="52"/>
      <c r="AK2200" s="52"/>
      <c r="AL2200" s="52"/>
      <c r="AM2200" s="52"/>
      <c r="AN2200" s="52"/>
    </row>
    <row r="2201" spans="1:40" x14ac:dyDescent="0.3">
      <c r="A2201" s="52">
        <v>2196</v>
      </c>
      <c r="B2201" s="52">
        <f>-bthan*500+(45+0.5)*bthan*1000/50</f>
        <v>2255</v>
      </c>
      <c r="C2201" s="52">
        <f t="shared" si="229"/>
        <v>70.000000000000227</v>
      </c>
      <c r="D2201" s="52">
        <f t="shared" si="227"/>
        <v>2200</v>
      </c>
      <c r="E2201" s="52">
        <f t="shared" si="228"/>
        <v>1</v>
      </c>
      <c r="F2201" s="52"/>
      <c r="G2201" s="52"/>
      <c r="H2201" s="52"/>
      <c r="I2201" s="52"/>
      <c r="J2201" s="52"/>
      <c r="K2201" s="52"/>
      <c r="L2201" s="52"/>
      <c r="M2201" s="52"/>
      <c r="N2201" s="52"/>
      <c r="O2201" s="52"/>
      <c r="P2201" s="52"/>
      <c r="Q2201" s="52"/>
      <c r="R2201" s="52"/>
      <c r="S2201" s="52"/>
      <c r="T2201" s="52"/>
      <c r="U2201" s="52"/>
      <c r="V2201" s="52"/>
      <c r="W2201" s="52"/>
      <c r="X2201" s="52"/>
      <c r="Y2201" s="52"/>
      <c r="Z2201" s="52"/>
      <c r="AA2201" s="52"/>
      <c r="AB2201" s="52"/>
      <c r="AC2201" s="52"/>
      <c r="AD2201" s="52"/>
      <c r="AE2201" s="52"/>
      <c r="AF2201" s="52"/>
      <c r="AG2201" s="52"/>
      <c r="AH2201" s="52"/>
      <c r="AI2201" s="52"/>
      <c r="AJ2201" s="52"/>
      <c r="AK2201" s="52"/>
      <c r="AL2201" s="52"/>
      <c r="AM2201" s="52"/>
      <c r="AN2201" s="52"/>
    </row>
    <row r="2202" spans="1:40" x14ac:dyDescent="0.3">
      <c r="A2202" s="52">
        <v>2197</v>
      </c>
      <c r="B2202" s="52">
        <f>-bthan*500+(46+0.5)*bthan*1000/50</f>
        <v>2365</v>
      </c>
      <c r="C2202" s="52">
        <f t="shared" si="229"/>
        <v>70.000000000000227</v>
      </c>
      <c r="D2202" s="52">
        <f t="shared" si="227"/>
        <v>2200</v>
      </c>
      <c r="E2202" s="52">
        <f t="shared" si="228"/>
        <v>1</v>
      </c>
      <c r="F2202" s="52"/>
      <c r="G2202" s="52"/>
      <c r="H2202" s="52"/>
      <c r="I2202" s="52"/>
      <c r="J2202" s="52"/>
      <c r="K2202" s="52"/>
      <c r="L2202" s="52"/>
      <c r="M2202" s="52"/>
      <c r="N2202" s="52"/>
      <c r="O2202" s="52"/>
      <c r="P2202" s="52"/>
      <c r="Q2202" s="52"/>
      <c r="R2202" s="52"/>
      <c r="S2202" s="52"/>
      <c r="T2202" s="52"/>
      <c r="U2202" s="52"/>
      <c r="V2202" s="52"/>
      <c r="W2202" s="52"/>
      <c r="X2202" s="52"/>
      <c r="Y2202" s="52"/>
      <c r="Z2202" s="52"/>
      <c r="AA2202" s="52"/>
      <c r="AB2202" s="52"/>
      <c r="AC2202" s="52"/>
      <c r="AD2202" s="52"/>
      <c r="AE2202" s="52"/>
      <c r="AF2202" s="52"/>
      <c r="AG2202" s="52"/>
      <c r="AH2202" s="52"/>
      <c r="AI2202" s="52"/>
      <c r="AJ2202" s="52"/>
      <c r="AK2202" s="52"/>
      <c r="AL2202" s="52"/>
      <c r="AM2202" s="52"/>
      <c r="AN2202" s="52"/>
    </row>
    <row r="2203" spans="1:40" x14ac:dyDescent="0.3">
      <c r="A2203" s="52">
        <v>2198</v>
      </c>
      <c r="B2203" s="52">
        <f>-bthan*500+(47+0.5)*bthan*1000/50</f>
        <v>2475</v>
      </c>
      <c r="C2203" s="52">
        <f t="shared" si="229"/>
        <v>70.000000000000227</v>
      </c>
      <c r="D2203" s="52">
        <f t="shared" si="227"/>
        <v>2200</v>
      </c>
      <c r="E2203" s="52">
        <f t="shared" si="228"/>
        <v>1</v>
      </c>
      <c r="F2203" s="52"/>
      <c r="G2203" s="52"/>
      <c r="H2203" s="52"/>
      <c r="I2203" s="52"/>
      <c r="J2203" s="52"/>
      <c r="K2203" s="52"/>
      <c r="L2203" s="52"/>
      <c r="M2203" s="52"/>
      <c r="N2203" s="52"/>
      <c r="O2203" s="52"/>
      <c r="P2203" s="52"/>
      <c r="Q2203" s="52"/>
      <c r="R2203" s="52"/>
      <c r="S2203" s="52"/>
      <c r="T2203" s="52"/>
      <c r="U2203" s="52"/>
      <c r="V2203" s="52"/>
      <c r="W2203" s="52"/>
      <c r="X2203" s="52"/>
      <c r="Y2203" s="52"/>
      <c r="Z2203" s="52"/>
      <c r="AA2203" s="52"/>
      <c r="AB2203" s="52"/>
      <c r="AC2203" s="52"/>
      <c r="AD2203" s="52"/>
      <c r="AE2203" s="52"/>
      <c r="AF2203" s="52"/>
      <c r="AG2203" s="52"/>
      <c r="AH2203" s="52"/>
      <c r="AI2203" s="52"/>
      <c r="AJ2203" s="52"/>
      <c r="AK2203" s="52"/>
      <c r="AL2203" s="52"/>
      <c r="AM2203" s="52"/>
      <c r="AN2203" s="52"/>
    </row>
    <row r="2204" spans="1:40" x14ac:dyDescent="0.3">
      <c r="A2204" s="52">
        <v>2199</v>
      </c>
      <c r="B2204" s="52">
        <f>-bthan*500+(48+0.5)*bthan*1000/50</f>
        <v>2585</v>
      </c>
      <c r="C2204" s="52">
        <f t="shared" si="229"/>
        <v>70.000000000000227</v>
      </c>
      <c r="D2204" s="52">
        <f t="shared" si="227"/>
        <v>2200</v>
      </c>
      <c r="E2204" s="52">
        <f t="shared" si="228"/>
        <v>1</v>
      </c>
      <c r="F2204" s="52"/>
      <c r="G2204" s="52"/>
      <c r="H2204" s="52"/>
      <c r="I2204" s="52"/>
      <c r="J2204" s="52"/>
      <c r="K2204" s="52"/>
      <c r="L2204" s="52"/>
      <c r="M2204" s="52"/>
      <c r="N2204" s="52"/>
      <c r="O2204" s="52"/>
      <c r="P2204" s="52"/>
      <c r="Q2204" s="52"/>
      <c r="R2204" s="52"/>
      <c r="S2204" s="52"/>
      <c r="T2204" s="52"/>
      <c r="U2204" s="52"/>
      <c r="V2204" s="52"/>
      <c r="W2204" s="52"/>
      <c r="X2204" s="52"/>
      <c r="Y2204" s="52"/>
      <c r="Z2204" s="52"/>
      <c r="AA2204" s="52"/>
      <c r="AB2204" s="52"/>
      <c r="AC2204" s="52"/>
      <c r="AD2204" s="52"/>
      <c r="AE2204" s="52"/>
      <c r="AF2204" s="52"/>
      <c r="AG2204" s="52"/>
      <c r="AH2204" s="52"/>
      <c r="AI2204" s="52"/>
      <c r="AJ2204" s="52"/>
      <c r="AK2204" s="52"/>
      <c r="AL2204" s="52"/>
      <c r="AM2204" s="52"/>
      <c r="AN2204" s="52"/>
    </row>
    <row r="2205" spans="1:40" x14ac:dyDescent="0.3">
      <c r="A2205" s="52">
        <v>2200</v>
      </c>
      <c r="B2205" s="52">
        <f>-bthan*500+(49+0.5)*bthan*1000/50</f>
        <v>2695</v>
      </c>
      <c r="C2205" s="52">
        <f t="shared" si="229"/>
        <v>70.000000000000227</v>
      </c>
      <c r="D2205" s="52">
        <f t="shared" si="227"/>
        <v>2200</v>
      </c>
      <c r="E2205" s="52">
        <f t="shared" si="228"/>
        <v>1</v>
      </c>
      <c r="F2205" s="52"/>
      <c r="G2205" s="52"/>
      <c r="H2205" s="52"/>
      <c r="I2205" s="52"/>
      <c r="J2205" s="52"/>
      <c r="K2205" s="52"/>
      <c r="L2205" s="52"/>
      <c r="M2205" s="52"/>
      <c r="N2205" s="52"/>
      <c r="O2205" s="52"/>
      <c r="P2205" s="52"/>
      <c r="Q2205" s="52"/>
      <c r="R2205" s="52"/>
      <c r="S2205" s="52"/>
      <c r="T2205" s="52"/>
      <c r="U2205" s="52"/>
      <c r="V2205" s="52"/>
      <c r="W2205" s="52"/>
      <c r="X2205" s="52"/>
      <c r="Y2205" s="52"/>
      <c r="Z2205" s="52"/>
      <c r="AA2205" s="52"/>
      <c r="AB2205" s="52"/>
      <c r="AC2205" s="52"/>
      <c r="AD2205" s="52"/>
      <c r="AE2205" s="52"/>
      <c r="AF2205" s="52"/>
      <c r="AG2205" s="52"/>
      <c r="AH2205" s="52"/>
      <c r="AI2205" s="52"/>
      <c r="AJ2205" s="52"/>
      <c r="AK2205" s="52"/>
      <c r="AL2205" s="52"/>
      <c r="AM2205" s="52"/>
      <c r="AN2205" s="52"/>
    </row>
    <row r="2206" spans="1:40" x14ac:dyDescent="0.3">
      <c r="A2206" s="52">
        <v>2201</v>
      </c>
      <c r="B2206" s="52">
        <f>-bthan*500+(0+0.5)*bthan*1000/50</f>
        <v>-2695</v>
      </c>
      <c r="C2206" s="52">
        <f t="shared" ref="C2206:C2237" si="230">-hthan*500+(44+0.5)*hthan*1000/80</f>
        <v>90</v>
      </c>
      <c r="D2206" s="52">
        <f t="shared" si="227"/>
        <v>2200</v>
      </c>
      <c r="E2206" s="52">
        <f t="shared" si="228"/>
        <v>1</v>
      </c>
      <c r="F2206" s="52"/>
      <c r="G2206" s="52"/>
      <c r="H2206" s="52"/>
      <c r="I2206" s="52"/>
      <c r="J2206" s="52"/>
      <c r="K2206" s="52"/>
      <c r="L2206" s="52"/>
      <c r="M2206" s="52"/>
      <c r="N2206" s="52"/>
      <c r="O2206" s="52"/>
      <c r="P2206" s="52"/>
      <c r="Q2206" s="52"/>
      <c r="R2206" s="52"/>
      <c r="S2206" s="52"/>
      <c r="T2206" s="52"/>
      <c r="U2206" s="52"/>
      <c r="V2206" s="52"/>
      <c r="W2206" s="52"/>
      <c r="X2206" s="52"/>
      <c r="Y2206" s="52"/>
      <c r="Z2206" s="52"/>
      <c r="AA2206" s="52"/>
      <c r="AB2206" s="52"/>
      <c r="AC2206" s="52"/>
      <c r="AD2206" s="52"/>
      <c r="AE2206" s="52"/>
      <c r="AF2206" s="52"/>
      <c r="AG2206" s="52"/>
      <c r="AH2206" s="52"/>
      <c r="AI2206" s="52"/>
      <c r="AJ2206" s="52"/>
      <c r="AK2206" s="52"/>
      <c r="AL2206" s="52"/>
      <c r="AM2206" s="52"/>
      <c r="AN2206" s="52"/>
    </row>
    <row r="2207" spans="1:40" x14ac:dyDescent="0.3">
      <c r="A2207" s="52">
        <v>2202</v>
      </c>
      <c r="B2207" s="52">
        <f>-bthan*500+(1+0.5)*bthan*1000/50</f>
        <v>-2585</v>
      </c>
      <c r="C2207" s="52">
        <f t="shared" si="230"/>
        <v>90</v>
      </c>
      <c r="D2207" s="52">
        <f t="shared" si="227"/>
        <v>2200</v>
      </c>
      <c r="E2207" s="52">
        <f t="shared" si="228"/>
        <v>1</v>
      </c>
      <c r="F2207" s="52"/>
      <c r="G2207" s="52"/>
      <c r="H2207" s="52"/>
      <c r="I2207" s="52"/>
      <c r="J2207" s="52"/>
      <c r="K2207" s="52"/>
      <c r="L2207" s="52"/>
      <c r="M2207" s="52"/>
      <c r="N2207" s="52"/>
      <c r="O2207" s="52"/>
      <c r="P2207" s="52"/>
      <c r="Q2207" s="52"/>
      <c r="R2207" s="52"/>
      <c r="S2207" s="52"/>
      <c r="T2207" s="52"/>
      <c r="U2207" s="52"/>
      <c r="V2207" s="52"/>
      <c r="W2207" s="52"/>
      <c r="X2207" s="52"/>
      <c r="Y2207" s="52"/>
      <c r="Z2207" s="52"/>
      <c r="AA2207" s="52"/>
      <c r="AB2207" s="52"/>
      <c r="AC2207" s="52"/>
      <c r="AD2207" s="52"/>
      <c r="AE2207" s="52"/>
      <c r="AF2207" s="52"/>
      <c r="AG2207" s="52"/>
      <c r="AH2207" s="52"/>
      <c r="AI2207" s="52"/>
      <c r="AJ2207" s="52"/>
      <c r="AK2207" s="52"/>
      <c r="AL2207" s="52"/>
      <c r="AM2207" s="52"/>
      <c r="AN2207" s="52"/>
    </row>
    <row r="2208" spans="1:40" x14ac:dyDescent="0.3">
      <c r="A2208" s="52">
        <v>2203</v>
      </c>
      <c r="B2208" s="52">
        <f>-bthan*500+(2+0.5)*bthan*1000/50</f>
        <v>-2475</v>
      </c>
      <c r="C2208" s="52">
        <f t="shared" si="230"/>
        <v>90</v>
      </c>
      <c r="D2208" s="52">
        <f t="shared" si="227"/>
        <v>2200</v>
      </c>
      <c r="E2208" s="52">
        <f t="shared" si="228"/>
        <v>1</v>
      </c>
      <c r="F2208" s="52"/>
      <c r="G2208" s="52"/>
      <c r="H2208" s="52"/>
      <c r="I2208" s="52"/>
      <c r="J2208" s="52"/>
      <c r="K2208" s="52"/>
      <c r="L2208" s="52"/>
      <c r="M2208" s="52"/>
      <c r="N2208" s="52"/>
      <c r="O2208" s="52"/>
      <c r="P2208" s="52"/>
      <c r="Q2208" s="52"/>
      <c r="R2208" s="52"/>
      <c r="S2208" s="52"/>
      <c r="T2208" s="52"/>
      <c r="U2208" s="52"/>
      <c r="V2208" s="52"/>
      <c r="W2208" s="52"/>
      <c r="X2208" s="52"/>
      <c r="Y2208" s="52"/>
      <c r="Z2208" s="52"/>
      <c r="AA2208" s="52"/>
      <c r="AB2208" s="52"/>
      <c r="AC2208" s="52"/>
      <c r="AD2208" s="52"/>
      <c r="AE2208" s="52"/>
      <c r="AF2208" s="52"/>
      <c r="AG2208" s="52"/>
      <c r="AH2208" s="52"/>
      <c r="AI2208" s="52"/>
      <c r="AJ2208" s="52"/>
      <c r="AK2208" s="52"/>
      <c r="AL2208" s="52"/>
      <c r="AM2208" s="52"/>
      <c r="AN2208" s="52"/>
    </row>
    <row r="2209" spans="1:40" x14ac:dyDescent="0.3">
      <c r="A2209" s="52">
        <v>2204</v>
      </c>
      <c r="B2209" s="52">
        <f>-bthan*500+(3+0.5)*bthan*1000/50</f>
        <v>-2365</v>
      </c>
      <c r="C2209" s="52">
        <f t="shared" si="230"/>
        <v>90</v>
      </c>
      <c r="D2209" s="52">
        <f t="shared" si="227"/>
        <v>2200</v>
      </c>
      <c r="E2209" s="52">
        <f t="shared" si="228"/>
        <v>1</v>
      </c>
      <c r="F2209" s="52"/>
      <c r="G2209" s="52"/>
      <c r="H2209" s="52"/>
      <c r="I2209" s="52"/>
      <c r="J2209" s="52"/>
      <c r="K2209" s="52"/>
      <c r="L2209" s="52"/>
      <c r="M2209" s="52"/>
      <c r="N2209" s="52"/>
      <c r="O2209" s="52"/>
      <c r="P2209" s="52"/>
      <c r="Q2209" s="52"/>
      <c r="R2209" s="52"/>
      <c r="S2209" s="52"/>
      <c r="T2209" s="52"/>
      <c r="U2209" s="52"/>
      <c r="V2209" s="52"/>
      <c r="W2209" s="52"/>
      <c r="X2209" s="52"/>
      <c r="Y2209" s="52"/>
      <c r="Z2209" s="52"/>
      <c r="AA2209" s="52"/>
      <c r="AB2209" s="52"/>
      <c r="AC2209" s="52"/>
      <c r="AD2209" s="52"/>
      <c r="AE2209" s="52"/>
      <c r="AF2209" s="52"/>
      <c r="AG2209" s="52"/>
      <c r="AH2209" s="52"/>
      <c r="AI2209" s="52"/>
      <c r="AJ2209" s="52"/>
      <c r="AK2209" s="52"/>
      <c r="AL2209" s="52"/>
      <c r="AM2209" s="52"/>
      <c r="AN2209" s="52"/>
    </row>
    <row r="2210" spans="1:40" x14ac:dyDescent="0.3">
      <c r="A2210" s="52">
        <v>2205</v>
      </c>
      <c r="B2210" s="52">
        <f>-bthan*500+(4+0.5)*bthan*1000/50</f>
        <v>-2255</v>
      </c>
      <c r="C2210" s="52">
        <f t="shared" si="230"/>
        <v>90</v>
      </c>
      <c r="D2210" s="52">
        <f t="shared" si="227"/>
        <v>2200</v>
      </c>
      <c r="E2210" s="52">
        <f t="shared" si="228"/>
        <v>1</v>
      </c>
      <c r="F2210" s="52"/>
      <c r="G2210" s="52"/>
      <c r="H2210" s="52"/>
      <c r="I2210" s="52"/>
      <c r="J2210" s="52"/>
      <c r="K2210" s="52"/>
      <c r="L2210" s="52"/>
      <c r="M2210" s="52"/>
      <c r="N2210" s="52"/>
      <c r="O2210" s="52"/>
      <c r="P2210" s="52"/>
      <c r="Q2210" s="52"/>
      <c r="R2210" s="52"/>
      <c r="S2210" s="52"/>
      <c r="T2210" s="52"/>
      <c r="U2210" s="52"/>
      <c r="V2210" s="52"/>
      <c r="W2210" s="52"/>
      <c r="X2210" s="52"/>
      <c r="Y2210" s="52"/>
      <c r="Z2210" s="52"/>
      <c r="AA2210" s="52"/>
      <c r="AB2210" s="52"/>
      <c r="AC2210" s="52"/>
      <c r="AD2210" s="52"/>
      <c r="AE2210" s="52"/>
      <c r="AF2210" s="52"/>
      <c r="AG2210" s="52"/>
      <c r="AH2210" s="52"/>
      <c r="AI2210" s="52"/>
      <c r="AJ2210" s="52"/>
      <c r="AK2210" s="52"/>
      <c r="AL2210" s="52"/>
      <c r="AM2210" s="52"/>
      <c r="AN2210" s="52"/>
    </row>
    <row r="2211" spans="1:40" x14ac:dyDescent="0.3">
      <c r="A2211" s="52">
        <v>2206</v>
      </c>
      <c r="B2211" s="52">
        <f>-bthan*500+(5+0.5)*bthan*1000/50</f>
        <v>-2145</v>
      </c>
      <c r="C2211" s="52">
        <f t="shared" si="230"/>
        <v>90</v>
      </c>
      <c r="D2211" s="52">
        <f t="shared" si="227"/>
        <v>2200</v>
      </c>
      <c r="E2211" s="52">
        <f t="shared" si="228"/>
        <v>1</v>
      </c>
      <c r="F2211" s="52"/>
      <c r="G2211" s="52"/>
      <c r="H2211" s="52"/>
      <c r="I2211" s="52"/>
      <c r="J2211" s="52"/>
      <c r="K2211" s="52"/>
      <c r="L2211" s="52"/>
      <c r="M2211" s="52"/>
      <c r="N2211" s="52"/>
      <c r="O2211" s="52"/>
      <c r="P2211" s="52"/>
      <c r="Q2211" s="52"/>
      <c r="R2211" s="52"/>
      <c r="S2211" s="52"/>
      <c r="T2211" s="52"/>
      <c r="U2211" s="52"/>
      <c r="V2211" s="52"/>
      <c r="W2211" s="52"/>
      <c r="X2211" s="52"/>
      <c r="Y2211" s="52"/>
      <c r="Z2211" s="52"/>
      <c r="AA2211" s="52"/>
      <c r="AB2211" s="52"/>
      <c r="AC2211" s="52"/>
      <c r="AD2211" s="52"/>
      <c r="AE2211" s="52"/>
      <c r="AF2211" s="52"/>
      <c r="AG2211" s="52"/>
      <c r="AH2211" s="52"/>
      <c r="AI2211" s="52"/>
      <c r="AJ2211" s="52"/>
      <c r="AK2211" s="52"/>
      <c r="AL2211" s="52"/>
      <c r="AM2211" s="52"/>
      <c r="AN2211" s="52"/>
    </row>
    <row r="2212" spans="1:40" x14ac:dyDescent="0.3">
      <c r="A2212" s="52">
        <v>2207</v>
      </c>
      <c r="B2212" s="52">
        <f>-bthan*500+(6+0.5)*bthan*1000/50</f>
        <v>-2035</v>
      </c>
      <c r="C2212" s="52">
        <f t="shared" si="230"/>
        <v>90</v>
      </c>
      <c r="D2212" s="52">
        <f t="shared" si="227"/>
        <v>2200</v>
      </c>
      <c r="E2212" s="52">
        <f t="shared" si="228"/>
        <v>1</v>
      </c>
      <c r="F2212" s="52"/>
      <c r="G2212" s="52"/>
      <c r="H2212" s="52"/>
      <c r="I2212" s="52"/>
      <c r="J2212" s="52"/>
      <c r="K2212" s="52"/>
      <c r="L2212" s="52"/>
      <c r="M2212" s="52"/>
      <c r="N2212" s="52"/>
      <c r="O2212" s="52"/>
      <c r="P2212" s="52"/>
      <c r="Q2212" s="52"/>
      <c r="R2212" s="52"/>
      <c r="S2212" s="52"/>
      <c r="T2212" s="52"/>
      <c r="U2212" s="52"/>
      <c r="V2212" s="52"/>
      <c r="W2212" s="52"/>
      <c r="X2212" s="52"/>
      <c r="Y2212" s="52"/>
      <c r="Z2212" s="52"/>
      <c r="AA2212" s="52"/>
      <c r="AB2212" s="52"/>
      <c r="AC2212" s="52"/>
      <c r="AD2212" s="52"/>
      <c r="AE2212" s="52"/>
      <c r="AF2212" s="52"/>
      <c r="AG2212" s="52"/>
      <c r="AH2212" s="52"/>
      <c r="AI2212" s="52"/>
      <c r="AJ2212" s="52"/>
      <c r="AK2212" s="52"/>
      <c r="AL2212" s="52"/>
      <c r="AM2212" s="52"/>
      <c r="AN2212" s="52"/>
    </row>
    <row r="2213" spans="1:40" x14ac:dyDescent="0.3">
      <c r="A2213" s="52">
        <v>2208</v>
      </c>
      <c r="B2213" s="52">
        <f>-bthan*500+(7+0.5)*bthan*1000/50</f>
        <v>-1925</v>
      </c>
      <c r="C2213" s="52">
        <f t="shared" si="230"/>
        <v>90</v>
      </c>
      <c r="D2213" s="52">
        <f t="shared" si="227"/>
        <v>2200</v>
      </c>
      <c r="E2213" s="52">
        <f t="shared" si="228"/>
        <v>1</v>
      </c>
      <c r="F2213" s="52"/>
      <c r="G2213" s="52"/>
      <c r="H2213" s="52"/>
      <c r="I2213" s="52"/>
      <c r="J2213" s="52"/>
      <c r="K2213" s="52"/>
      <c r="L2213" s="52"/>
      <c r="M2213" s="52"/>
      <c r="N2213" s="52"/>
      <c r="O2213" s="52"/>
      <c r="P2213" s="52"/>
      <c r="Q2213" s="52"/>
      <c r="R2213" s="52"/>
      <c r="S2213" s="52"/>
      <c r="T2213" s="52"/>
      <c r="U2213" s="52"/>
      <c r="V2213" s="52"/>
      <c r="W2213" s="52"/>
      <c r="X2213" s="52"/>
      <c r="Y2213" s="52"/>
      <c r="Z2213" s="52"/>
      <c r="AA2213" s="52"/>
      <c r="AB2213" s="52"/>
      <c r="AC2213" s="52"/>
      <c r="AD2213" s="52"/>
      <c r="AE2213" s="52"/>
      <c r="AF2213" s="52"/>
      <c r="AG2213" s="52"/>
      <c r="AH2213" s="52"/>
      <c r="AI2213" s="52"/>
      <c r="AJ2213" s="52"/>
      <c r="AK2213" s="52"/>
      <c r="AL2213" s="52"/>
      <c r="AM2213" s="52"/>
      <c r="AN2213" s="52"/>
    </row>
    <row r="2214" spans="1:40" x14ac:dyDescent="0.3">
      <c r="A2214" s="52">
        <v>2209</v>
      </c>
      <c r="B2214" s="52">
        <f>-bthan*500+(8+0.5)*bthan*1000/50</f>
        <v>-1815</v>
      </c>
      <c r="C2214" s="52">
        <f t="shared" si="230"/>
        <v>90</v>
      </c>
      <c r="D2214" s="52">
        <f t="shared" si="227"/>
        <v>2200</v>
      </c>
      <c r="E2214" s="52">
        <f t="shared" si="228"/>
        <v>1</v>
      </c>
      <c r="F2214" s="52"/>
      <c r="G2214" s="52"/>
      <c r="H2214" s="52"/>
      <c r="I2214" s="52"/>
      <c r="J2214" s="52"/>
      <c r="K2214" s="52"/>
      <c r="L2214" s="52"/>
      <c r="M2214" s="52"/>
      <c r="N2214" s="52"/>
      <c r="O2214" s="52"/>
      <c r="P2214" s="52"/>
      <c r="Q2214" s="52"/>
      <c r="R2214" s="52"/>
      <c r="S2214" s="52"/>
      <c r="T2214" s="52"/>
      <c r="U2214" s="52"/>
      <c r="V2214" s="52"/>
      <c r="W2214" s="52"/>
      <c r="X2214" s="52"/>
      <c r="Y2214" s="52"/>
      <c r="Z2214" s="52"/>
      <c r="AA2214" s="52"/>
      <c r="AB2214" s="52"/>
      <c r="AC2214" s="52"/>
      <c r="AD2214" s="52"/>
      <c r="AE2214" s="52"/>
      <c r="AF2214" s="52"/>
      <c r="AG2214" s="52"/>
      <c r="AH2214" s="52"/>
      <c r="AI2214" s="52"/>
      <c r="AJ2214" s="52"/>
      <c r="AK2214" s="52"/>
      <c r="AL2214" s="52"/>
      <c r="AM2214" s="52"/>
      <c r="AN2214" s="52"/>
    </row>
    <row r="2215" spans="1:40" x14ac:dyDescent="0.3">
      <c r="A2215" s="52">
        <v>2210</v>
      </c>
      <c r="B2215" s="52">
        <f>-bthan*500+(9+0.5)*bthan*1000/50</f>
        <v>-1705</v>
      </c>
      <c r="C2215" s="52">
        <f t="shared" si="230"/>
        <v>90</v>
      </c>
      <c r="D2215" s="52">
        <f t="shared" si="227"/>
        <v>2200</v>
      </c>
      <c r="E2215" s="52">
        <f t="shared" si="228"/>
        <v>1</v>
      </c>
      <c r="F2215" s="52"/>
      <c r="G2215" s="52"/>
      <c r="H2215" s="52"/>
      <c r="I2215" s="52"/>
      <c r="J2215" s="52"/>
      <c r="K2215" s="52"/>
      <c r="L2215" s="52"/>
      <c r="M2215" s="52"/>
      <c r="N2215" s="52"/>
      <c r="O2215" s="52"/>
      <c r="P2215" s="52"/>
      <c r="Q2215" s="52"/>
      <c r="R2215" s="52"/>
      <c r="S2215" s="52"/>
      <c r="T2215" s="52"/>
      <c r="U2215" s="52"/>
      <c r="V2215" s="52"/>
      <c r="W2215" s="52"/>
      <c r="X2215" s="52"/>
      <c r="Y2215" s="52"/>
      <c r="Z2215" s="52"/>
      <c r="AA2215" s="52"/>
      <c r="AB2215" s="52"/>
      <c r="AC2215" s="52"/>
      <c r="AD2215" s="52"/>
      <c r="AE2215" s="52"/>
      <c r="AF2215" s="52"/>
      <c r="AG2215" s="52"/>
      <c r="AH2215" s="52"/>
      <c r="AI2215" s="52"/>
      <c r="AJ2215" s="52"/>
      <c r="AK2215" s="52"/>
      <c r="AL2215" s="52"/>
      <c r="AM2215" s="52"/>
      <c r="AN2215" s="52"/>
    </row>
    <row r="2216" spans="1:40" x14ac:dyDescent="0.3">
      <c r="A2216" s="52">
        <v>2211</v>
      </c>
      <c r="B2216" s="52">
        <f>-bthan*500+(10+0.5)*bthan*1000/50</f>
        <v>-1595</v>
      </c>
      <c r="C2216" s="52">
        <f t="shared" si="230"/>
        <v>90</v>
      </c>
      <c r="D2216" s="52">
        <f t="shared" si="227"/>
        <v>2200</v>
      </c>
      <c r="E2216" s="52">
        <f t="shared" si="228"/>
        <v>1</v>
      </c>
      <c r="F2216" s="52"/>
      <c r="G2216" s="52"/>
      <c r="H2216" s="52"/>
      <c r="I2216" s="52"/>
      <c r="J2216" s="52"/>
      <c r="K2216" s="52"/>
      <c r="L2216" s="52"/>
      <c r="M2216" s="52"/>
      <c r="N2216" s="52"/>
      <c r="O2216" s="52"/>
      <c r="P2216" s="52"/>
      <c r="Q2216" s="52"/>
      <c r="R2216" s="52"/>
      <c r="S2216" s="52"/>
      <c r="T2216" s="52"/>
      <c r="U2216" s="52"/>
      <c r="V2216" s="52"/>
      <c r="W2216" s="52"/>
      <c r="X2216" s="52"/>
      <c r="Y2216" s="52"/>
      <c r="Z2216" s="52"/>
      <c r="AA2216" s="52"/>
      <c r="AB2216" s="52"/>
      <c r="AC2216" s="52"/>
      <c r="AD2216" s="52"/>
      <c r="AE2216" s="52"/>
      <c r="AF2216" s="52"/>
      <c r="AG2216" s="52"/>
      <c r="AH2216" s="52"/>
      <c r="AI2216" s="52"/>
      <c r="AJ2216" s="52"/>
      <c r="AK2216" s="52"/>
      <c r="AL2216" s="52"/>
      <c r="AM2216" s="52"/>
      <c r="AN2216" s="52"/>
    </row>
    <row r="2217" spans="1:40" x14ac:dyDescent="0.3">
      <c r="A2217" s="52">
        <v>2212</v>
      </c>
      <c r="B2217" s="52">
        <f>-bthan*500+(11+0.5)*bthan*1000/50</f>
        <v>-1485</v>
      </c>
      <c r="C2217" s="52">
        <f t="shared" si="230"/>
        <v>90</v>
      </c>
      <c r="D2217" s="52">
        <f t="shared" si="227"/>
        <v>2200</v>
      </c>
      <c r="E2217" s="52">
        <f t="shared" si="228"/>
        <v>1</v>
      </c>
      <c r="F2217" s="52"/>
      <c r="G2217" s="52"/>
      <c r="H2217" s="52"/>
      <c r="I2217" s="52"/>
      <c r="J2217" s="52"/>
      <c r="K2217" s="52"/>
      <c r="L2217" s="52"/>
      <c r="M2217" s="52"/>
      <c r="N2217" s="52"/>
      <c r="O2217" s="52"/>
      <c r="P2217" s="52"/>
      <c r="Q2217" s="52"/>
      <c r="R2217" s="52"/>
      <c r="S2217" s="52"/>
      <c r="T2217" s="52"/>
      <c r="U2217" s="52"/>
      <c r="V2217" s="52"/>
      <c r="W2217" s="52"/>
      <c r="X2217" s="52"/>
      <c r="Y2217" s="52"/>
      <c r="Z2217" s="52"/>
      <c r="AA2217" s="52"/>
      <c r="AB2217" s="52"/>
      <c r="AC2217" s="52"/>
      <c r="AD2217" s="52"/>
      <c r="AE2217" s="52"/>
      <c r="AF2217" s="52"/>
      <c r="AG2217" s="52"/>
      <c r="AH2217" s="52"/>
      <c r="AI2217" s="52"/>
      <c r="AJ2217" s="52"/>
      <c r="AK2217" s="52"/>
      <c r="AL2217" s="52"/>
      <c r="AM2217" s="52"/>
      <c r="AN2217" s="52"/>
    </row>
    <row r="2218" spans="1:40" x14ac:dyDescent="0.3">
      <c r="A2218" s="52">
        <v>2213</v>
      </c>
      <c r="B2218" s="52">
        <f>-bthan*500+(12+0.5)*bthan*1000/50</f>
        <v>-1375</v>
      </c>
      <c r="C2218" s="52">
        <f t="shared" si="230"/>
        <v>90</v>
      </c>
      <c r="D2218" s="52">
        <f t="shared" si="227"/>
        <v>2200</v>
      </c>
      <c r="E2218" s="52">
        <f t="shared" si="228"/>
        <v>1</v>
      </c>
      <c r="F2218" s="52"/>
      <c r="G2218" s="52"/>
      <c r="H2218" s="52"/>
      <c r="I2218" s="52"/>
      <c r="J2218" s="52"/>
      <c r="K2218" s="52"/>
      <c r="L2218" s="52"/>
      <c r="M2218" s="52"/>
      <c r="N2218" s="52"/>
      <c r="O2218" s="52"/>
      <c r="P2218" s="52"/>
      <c r="Q2218" s="52"/>
      <c r="R2218" s="52"/>
      <c r="S2218" s="52"/>
      <c r="T2218" s="52"/>
      <c r="U2218" s="52"/>
      <c r="V2218" s="52"/>
      <c r="W2218" s="52"/>
      <c r="X2218" s="52"/>
      <c r="Y2218" s="52"/>
      <c r="Z2218" s="52"/>
      <c r="AA2218" s="52"/>
      <c r="AB2218" s="52"/>
      <c r="AC2218" s="52"/>
      <c r="AD2218" s="52"/>
      <c r="AE2218" s="52"/>
      <c r="AF2218" s="52"/>
      <c r="AG2218" s="52"/>
      <c r="AH2218" s="52"/>
      <c r="AI2218" s="52"/>
      <c r="AJ2218" s="52"/>
      <c r="AK2218" s="52"/>
      <c r="AL2218" s="52"/>
      <c r="AM2218" s="52"/>
      <c r="AN2218" s="52"/>
    </row>
    <row r="2219" spans="1:40" x14ac:dyDescent="0.3">
      <c r="A2219" s="52">
        <v>2214</v>
      </c>
      <c r="B2219" s="52">
        <f>-bthan*500+(13+0.5)*bthan*1000/50</f>
        <v>-1265</v>
      </c>
      <c r="C2219" s="52">
        <f t="shared" si="230"/>
        <v>90</v>
      </c>
      <c r="D2219" s="52">
        <f t="shared" si="227"/>
        <v>2200</v>
      </c>
      <c r="E2219" s="52">
        <f t="shared" si="228"/>
        <v>1</v>
      </c>
      <c r="F2219" s="52"/>
      <c r="G2219" s="52"/>
      <c r="H2219" s="52"/>
      <c r="I2219" s="52"/>
      <c r="J2219" s="52"/>
      <c r="K2219" s="52"/>
      <c r="L2219" s="52"/>
      <c r="M2219" s="52"/>
      <c r="N2219" s="52"/>
      <c r="O2219" s="52"/>
      <c r="P2219" s="52"/>
      <c r="Q2219" s="52"/>
      <c r="R2219" s="52"/>
      <c r="S2219" s="52"/>
      <c r="T2219" s="52"/>
      <c r="U2219" s="52"/>
      <c r="V2219" s="52"/>
      <c r="W2219" s="52"/>
      <c r="X2219" s="52"/>
      <c r="Y2219" s="52"/>
      <c r="Z2219" s="52"/>
      <c r="AA2219" s="52"/>
      <c r="AB2219" s="52"/>
      <c r="AC2219" s="52"/>
      <c r="AD2219" s="52"/>
      <c r="AE2219" s="52"/>
      <c r="AF2219" s="52"/>
      <c r="AG2219" s="52"/>
      <c r="AH2219" s="52"/>
      <c r="AI2219" s="52"/>
      <c r="AJ2219" s="52"/>
      <c r="AK2219" s="52"/>
      <c r="AL2219" s="52"/>
      <c r="AM2219" s="52"/>
      <c r="AN2219" s="52"/>
    </row>
    <row r="2220" spans="1:40" x14ac:dyDescent="0.3">
      <c r="A2220" s="52">
        <v>2215</v>
      </c>
      <c r="B2220" s="52">
        <f>-bthan*500+(14+0.5)*bthan*1000/50</f>
        <v>-1155</v>
      </c>
      <c r="C2220" s="52">
        <f t="shared" si="230"/>
        <v>90</v>
      </c>
      <c r="D2220" s="52">
        <f t="shared" si="227"/>
        <v>2200</v>
      </c>
      <c r="E2220" s="52">
        <f t="shared" si="228"/>
        <v>1</v>
      </c>
      <c r="F2220" s="52"/>
      <c r="G2220" s="52"/>
      <c r="H2220" s="52"/>
      <c r="I2220" s="52"/>
      <c r="J2220" s="52"/>
      <c r="K2220" s="52"/>
      <c r="L2220" s="52"/>
      <c r="M2220" s="52"/>
      <c r="N2220" s="52"/>
      <c r="O2220" s="52"/>
      <c r="P2220" s="52"/>
      <c r="Q2220" s="52"/>
      <c r="R2220" s="52"/>
      <c r="S2220" s="52"/>
      <c r="T2220" s="52"/>
      <c r="U2220" s="52"/>
      <c r="V2220" s="52"/>
      <c r="W2220" s="52"/>
      <c r="X2220" s="52"/>
      <c r="Y2220" s="52"/>
      <c r="Z2220" s="52"/>
      <c r="AA2220" s="52"/>
      <c r="AB2220" s="52"/>
      <c r="AC2220" s="52"/>
      <c r="AD2220" s="52"/>
      <c r="AE2220" s="52"/>
      <c r="AF2220" s="52"/>
      <c r="AG2220" s="52"/>
      <c r="AH2220" s="52"/>
      <c r="AI2220" s="52"/>
      <c r="AJ2220" s="52"/>
      <c r="AK2220" s="52"/>
      <c r="AL2220" s="52"/>
      <c r="AM2220" s="52"/>
      <c r="AN2220" s="52"/>
    </row>
    <row r="2221" spans="1:40" x14ac:dyDescent="0.3">
      <c r="A2221" s="52">
        <v>2216</v>
      </c>
      <c r="B2221" s="52">
        <f>-bthan*500+(15+0.5)*bthan*1000/50</f>
        <v>-1045</v>
      </c>
      <c r="C2221" s="52">
        <f t="shared" si="230"/>
        <v>90</v>
      </c>
      <c r="D2221" s="52">
        <f t="shared" si="227"/>
        <v>2200</v>
      </c>
      <c r="E2221" s="52">
        <f t="shared" si="228"/>
        <v>1</v>
      </c>
      <c r="F2221" s="52"/>
      <c r="G2221" s="52"/>
      <c r="H2221" s="52"/>
      <c r="I2221" s="52"/>
      <c r="J2221" s="52"/>
      <c r="K2221" s="52"/>
      <c r="L2221" s="52"/>
      <c r="M2221" s="52"/>
      <c r="N2221" s="52"/>
      <c r="O2221" s="52"/>
      <c r="P2221" s="52"/>
      <c r="Q2221" s="52"/>
      <c r="R2221" s="52"/>
      <c r="S2221" s="52"/>
      <c r="T2221" s="52"/>
      <c r="U2221" s="52"/>
      <c r="V2221" s="52"/>
      <c r="W2221" s="52"/>
      <c r="X2221" s="52"/>
      <c r="Y2221" s="52"/>
      <c r="Z2221" s="52"/>
      <c r="AA2221" s="52"/>
      <c r="AB2221" s="52"/>
      <c r="AC2221" s="52"/>
      <c r="AD2221" s="52"/>
      <c r="AE2221" s="52"/>
      <c r="AF2221" s="52"/>
      <c r="AG2221" s="52"/>
      <c r="AH2221" s="52"/>
      <c r="AI2221" s="52"/>
      <c r="AJ2221" s="52"/>
      <c r="AK2221" s="52"/>
      <c r="AL2221" s="52"/>
      <c r="AM2221" s="52"/>
      <c r="AN2221" s="52"/>
    </row>
    <row r="2222" spans="1:40" x14ac:dyDescent="0.3">
      <c r="A2222" s="52">
        <v>2217</v>
      </c>
      <c r="B2222" s="52">
        <f>-bthan*500+(16+0.5)*bthan*1000/50</f>
        <v>-935</v>
      </c>
      <c r="C2222" s="52">
        <f t="shared" si="230"/>
        <v>90</v>
      </c>
      <c r="D2222" s="52">
        <f t="shared" si="227"/>
        <v>2200</v>
      </c>
      <c r="E2222" s="52">
        <f t="shared" si="228"/>
        <v>1</v>
      </c>
      <c r="F2222" s="52"/>
      <c r="G2222" s="52"/>
      <c r="H2222" s="52"/>
      <c r="I2222" s="52"/>
      <c r="J2222" s="52"/>
      <c r="K2222" s="52"/>
      <c r="L2222" s="52"/>
      <c r="M2222" s="52"/>
      <c r="N2222" s="52"/>
      <c r="O2222" s="52"/>
      <c r="P2222" s="52"/>
      <c r="Q2222" s="52"/>
      <c r="R2222" s="52"/>
      <c r="S2222" s="52"/>
      <c r="T2222" s="52"/>
      <c r="U2222" s="52"/>
      <c r="V2222" s="52"/>
      <c r="W2222" s="52"/>
      <c r="X2222" s="52"/>
      <c r="Y2222" s="52"/>
      <c r="Z2222" s="52"/>
      <c r="AA2222" s="52"/>
      <c r="AB2222" s="52"/>
      <c r="AC2222" s="52"/>
      <c r="AD2222" s="52"/>
      <c r="AE2222" s="52"/>
      <c r="AF2222" s="52"/>
      <c r="AG2222" s="52"/>
      <c r="AH2222" s="52"/>
      <c r="AI2222" s="52"/>
      <c r="AJ2222" s="52"/>
      <c r="AK2222" s="52"/>
      <c r="AL2222" s="52"/>
      <c r="AM2222" s="52"/>
      <c r="AN2222" s="52"/>
    </row>
    <row r="2223" spans="1:40" x14ac:dyDescent="0.3">
      <c r="A2223" s="52">
        <v>2218</v>
      </c>
      <c r="B2223" s="52">
        <f>-bthan*500+(17+0.5)*bthan*1000/50</f>
        <v>-825</v>
      </c>
      <c r="C2223" s="52">
        <f t="shared" si="230"/>
        <v>90</v>
      </c>
      <c r="D2223" s="52">
        <f t="shared" si="227"/>
        <v>2200</v>
      </c>
      <c r="E2223" s="52">
        <f t="shared" si="228"/>
        <v>1</v>
      </c>
      <c r="F2223" s="52"/>
      <c r="G2223" s="52"/>
      <c r="H2223" s="52"/>
      <c r="I2223" s="52"/>
      <c r="J2223" s="52"/>
      <c r="K2223" s="52"/>
      <c r="L2223" s="52"/>
      <c r="M2223" s="52"/>
      <c r="N2223" s="52"/>
      <c r="O2223" s="52"/>
      <c r="P2223" s="52"/>
      <c r="Q2223" s="52"/>
      <c r="R2223" s="52"/>
      <c r="S2223" s="52"/>
      <c r="T2223" s="52"/>
      <c r="U2223" s="52"/>
      <c r="V2223" s="52"/>
      <c r="W2223" s="52"/>
      <c r="X2223" s="52"/>
      <c r="Y2223" s="52"/>
      <c r="Z2223" s="52"/>
      <c r="AA2223" s="52"/>
      <c r="AB2223" s="52"/>
      <c r="AC2223" s="52"/>
      <c r="AD2223" s="52"/>
      <c r="AE2223" s="52"/>
      <c r="AF2223" s="52"/>
      <c r="AG2223" s="52"/>
      <c r="AH2223" s="52"/>
      <c r="AI2223" s="52"/>
      <c r="AJ2223" s="52"/>
      <c r="AK2223" s="52"/>
      <c r="AL2223" s="52"/>
      <c r="AM2223" s="52"/>
      <c r="AN2223" s="52"/>
    </row>
    <row r="2224" spans="1:40" x14ac:dyDescent="0.3">
      <c r="A2224" s="52">
        <v>2219</v>
      </c>
      <c r="B2224" s="52">
        <f>-bthan*500+(18+0.5)*bthan*1000/50</f>
        <v>-715</v>
      </c>
      <c r="C2224" s="52">
        <f t="shared" si="230"/>
        <v>90</v>
      </c>
      <c r="D2224" s="52">
        <f t="shared" si="227"/>
        <v>2200</v>
      </c>
      <c r="E2224" s="52">
        <f t="shared" si="228"/>
        <v>1</v>
      </c>
      <c r="F2224" s="52"/>
      <c r="G2224" s="52"/>
      <c r="H2224" s="52"/>
      <c r="I2224" s="52"/>
      <c r="J2224" s="52"/>
      <c r="K2224" s="52"/>
      <c r="L2224" s="52"/>
      <c r="M2224" s="52"/>
      <c r="N2224" s="52"/>
      <c r="O2224" s="52"/>
      <c r="P2224" s="52"/>
      <c r="Q2224" s="52"/>
      <c r="R2224" s="52"/>
      <c r="S2224" s="52"/>
      <c r="T2224" s="52"/>
      <c r="U2224" s="52"/>
      <c r="V2224" s="52"/>
      <c r="W2224" s="52"/>
      <c r="X2224" s="52"/>
      <c r="Y2224" s="52"/>
      <c r="Z2224" s="52"/>
      <c r="AA2224" s="52"/>
      <c r="AB2224" s="52"/>
      <c r="AC2224" s="52"/>
      <c r="AD2224" s="52"/>
      <c r="AE2224" s="52"/>
      <c r="AF2224" s="52"/>
      <c r="AG2224" s="52"/>
      <c r="AH2224" s="52"/>
      <c r="AI2224" s="52"/>
      <c r="AJ2224" s="52"/>
      <c r="AK2224" s="52"/>
      <c r="AL2224" s="52"/>
      <c r="AM2224" s="52"/>
      <c r="AN2224" s="52"/>
    </row>
    <row r="2225" spans="1:40" x14ac:dyDescent="0.3">
      <c r="A2225" s="52">
        <v>2220</v>
      </c>
      <c r="B2225" s="52">
        <f>-bthan*500+(19+0.5)*bthan*1000/50</f>
        <v>-605</v>
      </c>
      <c r="C2225" s="52">
        <f t="shared" si="230"/>
        <v>90</v>
      </c>
      <c r="D2225" s="52">
        <f t="shared" si="227"/>
        <v>2200</v>
      </c>
      <c r="E2225" s="52">
        <f t="shared" si="228"/>
        <v>1</v>
      </c>
      <c r="F2225" s="52"/>
      <c r="G2225" s="52"/>
      <c r="H2225" s="52"/>
      <c r="I2225" s="52"/>
      <c r="J2225" s="52"/>
      <c r="K2225" s="52"/>
      <c r="L2225" s="52"/>
      <c r="M2225" s="52"/>
      <c r="N2225" s="52"/>
      <c r="O2225" s="52"/>
      <c r="P2225" s="52"/>
      <c r="Q2225" s="52"/>
      <c r="R2225" s="52"/>
      <c r="S2225" s="52"/>
      <c r="T2225" s="52"/>
      <c r="U2225" s="52"/>
      <c r="V2225" s="52"/>
      <c r="W2225" s="52"/>
      <c r="X2225" s="52"/>
      <c r="Y2225" s="52"/>
      <c r="Z2225" s="52"/>
      <c r="AA2225" s="52"/>
      <c r="AB2225" s="52"/>
      <c r="AC2225" s="52"/>
      <c r="AD2225" s="52"/>
      <c r="AE2225" s="52"/>
      <c r="AF2225" s="52"/>
      <c r="AG2225" s="52"/>
      <c r="AH2225" s="52"/>
      <c r="AI2225" s="52"/>
      <c r="AJ2225" s="52"/>
      <c r="AK2225" s="52"/>
      <c r="AL2225" s="52"/>
      <c r="AM2225" s="52"/>
      <c r="AN2225" s="52"/>
    </row>
    <row r="2226" spans="1:40" x14ac:dyDescent="0.3">
      <c r="A2226" s="52">
        <v>2221</v>
      </c>
      <c r="B2226" s="52">
        <f>-bthan*500+(20+0.5)*bthan*1000/50</f>
        <v>-495</v>
      </c>
      <c r="C2226" s="52">
        <f t="shared" si="230"/>
        <v>90</v>
      </c>
      <c r="D2226" s="52">
        <f t="shared" si="227"/>
        <v>2200</v>
      </c>
      <c r="E2226" s="52">
        <f t="shared" si="228"/>
        <v>1</v>
      </c>
      <c r="F2226" s="52"/>
      <c r="G2226" s="52"/>
      <c r="H2226" s="52"/>
      <c r="I2226" s="52"/>
      <c r="J2226" s="52"/>
      <c r="K2226" s="52"/>
      <c r="L2226" s="52"/>
      <c r="M2226" s="52"/>
      <c r="N2226" s="52"/>
      <c r="O2226" s="52"/>
      <c r="P2226" s="52"/>
      <c r="Q2226" s="52"/>
      <c r="R2226" s="52"/>
      <c r="S2226" s="52"/>
      <c r="T2226" s="52"/>
      <c r="U2226" s="52"/>
      <c r="V2226" s="52"/>
      <c r="W2226" s="52"/>
      <c r="X2226" s="52"/>
      <c r="Y2226" s="52"/>
      <c r="Z2226" s="52"/>
      <c r="AA2226" s="52"/>
      <c r="AB2226" s="52"/>
      <c r="AC2226" s="52"/>
      <c r="AD2226" s="52"/>
      <c r="AE2226" s="52"/>
      <c r="AF2226" s="52"/>
      <c r="AG2226" s="52"/>
      <c r="AH2226" s="52"/>
      <c r="AI2226" s="52"/>
      <c r="AJ2226" s="52"/>
      <c r="AK2226" s="52"/>
      <c r="AL2226" s="52"/>
      <c r="AM2226" s="52"/>
      <c r="AN2226" s="52"/>
    </row>
    <row r="2227" spans="1:40" x14ac:dyDescent="0.3">
      <c r="A2227" s="52">
        <v>2222</v>
      </c>
      <c r="B2227" s="52">
        <f>-bthan*500+(21+0.5)*bthan*1000/50</f>
        <v>-385</v>
      </c>
      <c r="C2227" s="52">
        <f t="shared" si="230"/>
        <v>90</v>
      </c>
      <c r="D2227" s="52">
        <f t="shared" si="227"/>
        <v>2200</v>
      </c>
      <c r="E2227" s="52">
        <f t="shared" si="228"/>
        <v>1</v>
      </c>
      <c r="F2227" s="52"/>
      <c r="G2227" s="52"/>
      <c r="H2227" s="52"/>
      <c r="I2227" s="52"/>
      <c r="J2227" s="52"/>
      <c r="K2227" s="52"/>
      <c r="L2227" s="52"/>
      <c r="M2227" s="52"/>
      <c r="N2227" s="52"/>
      <c r="O2227" s="52"/>
      <c r="P2227" s="52"/>
      <c r="Q2227" s="52"/>
      <c r="R2227" s="52"/>
      <c r="S2227" s="52"/>
      <c r="T2227" s="52"/>
      <c r="U2227" s="52"/>
      <c r="V2227" s="52"/>
      <c r="W2227" s="52"/>
      <c r="X2227" s="52"/>
      <c r="Y2227" s="52"/>
      <c r="Z2227" s="52"/>
      <c r="AA2227" s="52"/>
      <c r="AB2227" s="52"/>
      <c r="AC2227" s="52"/>
      <c r="AD2227" s="52"/>
      <c r="AE2227" s="52"/>
      <c r="AF2227" s="52"/>
      <c r="AG2227" s="52"/>
      <c r="AH2227" s="52"/>
      <c r="AI2227" s="52"/>
      <c r="AJ2227" s="52"/>
      <c r="AK2227" s="52"/>
      <c r="AL2227" s="52"/>
      <c r="AM2227" s="52"/>
      <c r="AN2227" s="52"/>
    </row>
    <row r="2228" spans="1:40" x14ac:dyDescent="0.3">
      <c r="A2228" s="52">
        <v>2223</v>
      </c>
      <c r="B2228" s="52">
        <f>-bthan*500+(22+0.5)*bthan*1000/50</f>
        <v>-275</v>
      </c>
      <c r="C2228" s="52">
        <f t="shared" si="230"/>
        <v>90</v>
      </c>
      <c r="D2228" s="52">
        <f t="shared" si="227"/>
        <v>2200</v>
      </c>
      <c r="E2228" s="52">
        <f t="shared" si="228"/>
        <v>1</v>
      </c>
      <c r="F2228" s="52"/>
      <c r="G2228" s="52"/>
      <c r="H2228" s="52"/>
      <c r="I2228" s="52"/>
      <c r="J2228" s="52"/>
      <c r="K2228" s="52"/>
      <c r="L2228" s="52"/>
      <c r="M2228" s="52"/>
      <c r="N2228" s="52"/>
      <c r="O2228" s="52"/>
      <c r="P2228" s="52"/>
      <c r="Q2228" s="52"/>
      <c r="R2228" s="52"/>
      <c r="S2228" s="52"/>
      <c r="T2228" s="52"/>
      <c r="U2228" s="52"/>
      <c r="V2228" s="52"/>
      <c r="W2228" s="52"/>
      <c r="X2228" s="52"/>
      <c r="Y2228" s="52"/>
      <c r="Z2228" s="52"/>
      <c r="AA2228" s="52"/>
      <c r="AB2228" s="52"/>
      <c r="AC2228" s="52"/>
      <c r="AD2228" s="52"/>
      <c r="AE2228" s="52"/>
      <c r="AF2228" s="52"/>
      <c r="AG2228" s="52"/>
      <c r="AH2228" s="52"/>
      <c r="AI2228" s="52"/>
      <c r="AJ2228" s="52"/>
      <c r="AK2228" s="52"/>
      <c r="AL2228" s="52"/>
      <c r="AM2228" s="52"/>
      <c r="AN2228" s="52"/>
    </row>
    <row r="2229" spans="1:40" x14ac:dyDescent="0.3">
      <c r="A2229" s="52">
        <v>2224</v>
      </c>
      <c r="B2229" s="52">
        <f>-bthan*500+(23+0.5)*bthan*1000/50</f>
        <v>-165</v>
      </c>
      <c r="C2229" s="52">
        <f t="shared" si="230"/>
        <v>90</v>
      </c>
      <c r="D2229" s="52">
        <f t="shared" si="227"/>
        <v>2200</v>
      </c>
      <c r="E2229" s="52">
        <f t="shared" si="228"/>
        <v>1</v>
      </c>
      <c r="F2229" s="52"/>
      <c r="G2229" s="52"/>
      <c r="H2229" s="52"/>
      <c r="I2229" s="52"/>
      <c r="J2229" s="52"/>
      <c r="K2229" s="52"/>
      <c r="L2229" s="52"/>
      <c r="M2229" s="52"/>
      <c r="N2229" s="52"/>
      <c r="O2229" s="52"/>
      <c r="P2229" s="52"/>
      <c r="Q2229" s="52"/>
      <c r="R2229" s="52"/>
      <c r="S2229" s="52"/>
      <c r="T2229" s="52"/>
      <c r="U2229" s="52"/>
      <c r="V2229" s="52"/>
      <c r="W2229" s="52"/>
      <c r="X2229" s="52"/>
      <c r="Y2229" s="52"/>
      <c r="Z2229" s="52"/>
      <c r="AA2229" s="52"/>
      <c r="AB2229" s="52"/>
      <c r="AC2229" s="52"/>
      <c r="AD2229" s="52"/>
      <c r="AE2229" s="52"/>
      <c r="AF2229" s="52"/>
      <c r="AG2229" s="52"/>
      <c r="AH2229" s="52"/>
      <c r="AI2229" s="52"/>
      <c r="AJ2229" s="52"/>
      <c r="AK2229" s="52"/>
      <c r="AL2229" s="52"/>
      <c r="AM2229" s="52"/>
      <c r="AN2229" s="52"/>
    </row>
    <row r="2230" spans="1:40" x14ac:dyDescent="0.3">
      <c r="A2230" s="52">
        <v>2225</v>
      </c>
      <c r="B2230" s="52">
        <f>-bthan*500+(24+0.5)*bthan*1000/50</f>
        <v>-55</v>
      </c>
      <c r="C2230" s="52">
        <f t="shared" si="230"/>
        <v>90</v>
      </c>
      <c r="D2230" s="52">
        <f t="shared" si="227"/>
        <v>2200</v>
      </c>
      <c r="E2230" s="52">
        <f t="shared" si="228"/>
        <v>1</v>
      </c>
      <c r="F2230" s="52"/>
      <c r="G2230" s="52"/>
      <c r="H2230" s="52"/>
      <c r="I2230" s="52"/>
      <c r="J2230" s="52"/>
      <c r="K2230" s="52"/>
      <c r="L2230" s="52"/>
      <c r="M2230" s="52"/>
      <c r="N2230" s="52"/>
      <c r="O2230" s="52"/>
      <c r="P2230" s="52"/>
      <c r="Q2230" s="52"/>
      <c r="R2230" s="52"/>
      <c r="S2230" s="52"/>
      <c r="T2230" s="52"/>
      <c r="U2230" s="52"/>
      <c r="V2230" s="52"/>
      <c r="W2230" s="52"/>
      <c r="X2230" s="52"/>
      <c r="Y2230" s="52"/>
      <c r="Z2230" s="52"/>
      <c r="AA2230" s="52"/>
      <c r="AB2230" s="52"/>
      <c r="AC2230" s="52"/>
      <c r="AD2230" s="52"/>
      <c r="AE2230" s="52"/>
      <c r="AF2230" s="52"/>
      <c r="AG2230" s="52"/>
      <c r="AH2230" s="52"/>
      <c r="AI2230" s="52"/>
      <c r="AJ2230" s="52"/>
      <c r="AK2230" s="52"/>
      <c r="AL2230" s="52"/>
      <c r="AM2230" s="52"/>
      <c r="AN2230" s="52"/>
    </row>
    <row r="2231" spans="1:40" x14ac:dyDescent="0.3">
      <c r="A2231" s="52">
        <v>2226</v>
      </c>
      <c r="B2231" s="52">
        <f>-bthan*500+(25+0.5)*bthan*1000/50</f>
        <v>55</v>
      </c>
      <c r="C2231" s="52">
        <f t="shared" si="230"/>
        <v>90</v>
      </c>
      <c r="D2231" s="52">
        <f t="shared" si="227"/>
        <v>2200</v>
      </c>
      <c r="E2231" s="52">
        <f t="shared" si="228"/>
        <v>1</v>
      </c>
      <c r="F2231" s="52"/>
      <c r="G2231" s="52"/>
      <c r="H2231" s="52"/>
      <c r="I2231" s="52"/>
      <c r="J2231" s="52"/>
      <c r="K2231" s="52"/>
      <c r="L2231" s="52"/>
      <c r="M2231" s="52"/>
      <c r="N2231" s="52"/>
      <c r="O2231" s="52"/>
      <c r="P2231" s="52"/>
      <c r="Q2231" s="52"/>
      <c r="R2231" s="52"/>
      <c r="S2231" s="52"/>
      <c r="T2231" s="52"/>
      <c r="U2231" s="52"/>
      <c r="V2231" s="52"/>
      <c r="W2231" s="52"/>
      <c r="X2231" s="52"/>
      <c r="Y2231" s="52"/>
      <c r="Z2231" s="52"/>
      <c r="AA2231" s="52"/>
      <c r="AB2231" s="52"/>
      <c r="AC2231" s="52"/>
      <c r="AD2231" s="52"/>
      <c r="AE2231" s="52"/>
      <c r="AF2231" s="52"/>
      <c r="AG2231" s="52"/>
      <c r="AH2231" s="52"/>
      <c r="AI2231" s="52"/>
      <c r="AJ2231" s="52"/>
      <c r="AK2231" s="52"/>
      <c r="AL2231" s="52"/>
      <c r="AM2231" s="52"/>
      <c r="AN2231" s="52"/>
    </row>
    <row r="2232" spans="1:40" x14ac:dyDescent="0.3">
      <c r="A2232" s="52">
        <v>2227</v>
      </c>
      <c r="B2232" s="52">
        <f>-bthan*500+(26+0.5)*bthan*1000/50</f>
        <v>165</v>
      </c>
      <c r="C2232" s="52">
        <f t="shared" si="230"/>
        <v>90</v>
      </c>
      <c r="D2232" s="52">
        <f t="shared" si="227"/>
        <v>2200</v>
      </c>
      <c r="E2232" s="52">
        <f t="shared" si="228"/>
        <v>1</v>
      </c>
      <c r="F2232" s="52"/>
      <c r="G2232" s="52"/>
      <c r="H2232" s="52"/>
      <c r="I2232" s="52"/>
      <c r="J2232" s="52"/>
      <c r="K2232" s="52"/>
      <c r="L2232" s="52"/>
      <c r="M2232" s="52"/>
      <c r="N2232" s="52"/>
      <c r="O2232" s="52"/>
      <c r="P2232" s="52"/>
      <c r="Q2232" s="52"/>
      <c r="R2232" s="52"/>
      <c r="S2232" s="52"/>
      <c r="T2232" s="52"/>
      <c r="U2232" s="52"/>
      <c r="V2232" s="52"/>
      <c r="W2232" s="52"/>
      <c r="X2232" s="52"/>
      <c r="Y2232" s="52"/>
      <c r="Z2232" s="52"/>
      <c r="AA2232" s="52"/>
      <c r="AB2232" s="52"/>
      <c r="AC2232" s="52"/>
      <c r="AD2232" s="52"/>
      <c r="AE2232" s="52"/>
      <c r="AF2232" s="52"/>
      <c r="AG2232" s="52"/>
      <c r="AH2232" s="52"/>
      <c r="AI2232" s="52"/>
      <c r="AJ2232" s="52"/>
      <c r="AK2232" s="52"/>
      <c r="AL2232" s="52"/>
      <c r="AM2232" s="52"/>
      <c r="AN2232" s="52"/>
    </row>
    <row r="2233" spans="1:40" x14ac:dyDescent="0.3">
      <c r="A2233" s="52">
        <v>2228</v>
      </c>
      <c r="B2233" s="52">
        <f>-bthan*500+(27+0.5)*bthan*1000/50</f>
        <v>275</v>
      </c>
      <c r="C2233" s="52">
        <f t="shared" si="230"/>
        <v>90</v>
      </c>
      <c r="D2233" s="52">
        <f t="shared" si="227"/>
        <v>2200</v>
      </c>
      <c r="E2233" s="52">
        <f t="shared" si="228"/>
        <v>1</v>
      </c>
      <c r="F2233" s="52"/>
      <c r="G2233" s="52"/>
      <c r="H2233" s="52"/>
      <c r="I2233" s="52"/>
      <c r="J2233" s="52"/>
      <c r="K2233" s="52"/>
      <c r="L2233" s="52"/>
      <c r="M2233" s="52"/>
      <c r="N2233" s="52"/>
      <c r="O2233" s="52"/>
      <c r="P2233" s="52"/>
      <c r="Q2233" s="52"/>
      <c r="R2233" s="52"/>
      <c r="S2233" s="52"/>
      <c r="T2233" s="52"/>
      <c r="U2233" s="52"/>
      <c r="V2233" s="52"/>
      <c r="W2233" s="52"/>
      <c r="X2233" s="52"/>
      <c r="Y2233" s="52"/>
      <c r="Z2233" s="52"/>
      <c r="AA2233" s="52"/>
      <c r="AB2233" s="52"/>
      <c r="AC2233" s="52"/>
      <c r="AD2233" s="52"/>
      <c r="AE2233" s="52"/>
      <c r="AF2233" s="52"/>
      <c r="AG2233" s="52"/>
      <c r="AH2233" s="52"/>
      <c r="AI2233" s="52"/>
      <c r="AJ2233" s="52"/>
      <c r="AK2233" s="52"/>
      <c r="AL2233" s="52"/>
      <c r="AM2233" s="52"/>
      <c r="AN2233" s="52"/>
    </row>
    <row r="2234" spans="1:40" x14ac:dyDescent="0.3">
      <c r="A2234" s="52">
        <v>2229</v>
      </c>
      <c r="B2234" s="52">
        <f>-bthan*500+(28+0.5)*bthan*1000/50</f>
        <v>385</v>
      </c>
      <c r="C2234" s="52">
        <f t="shared" si="230"/>
        <v>90</v>
      </c>
      <c r="D2234" s="52">
        <f t="shared" si="227"/>
        <v>2200</v>
      </c>
      <c r="E2234" s="52">
        <f t="shared" si="228"/>
        <v>1</v>
      </c>
      <c r="F2234" s="52"/>
      <c r="G2234" s="52"/>
      <c r="H2234" s="52"/>
      <c r="I2234" s="52"/>
      <c r="J2234" s="52"/>
      <c r="K2234" s="52"/>
      <c r="L2234" s="52"/>
      <c r="M2234" s="52"/>
      <c r="N2234" s="52"/>
      <c r="O2234" s="52"/>
      <c r="P2234" s="52"/>
      <c r="Q2234" s="52"/>
      <c r="R2234" s="52"/>
      <c r="S2234" s="52"/>
      <c r="T2234" s="52"/>
      <c r="U2234" s="52"/>
      <c r="V2234" s="52"/>
      <c r="W2234" s="52"/>
      <c r="X2234" s="52"/>
      <c r="Y2234" s="52"/>
      <c r="Z2234" s="52"/>
      <c r="AA2234" s="52"/>
      <c r="AB2234" s="52"/>
      <c r="AC2234" s="52"/>
      <c r="AD2234" s="52"/>
      <c r="AE2234" s="52"/>
      <c r="AF2234" s="52"/>
      <c r="AG2234" s="52"/>
      <c r="AH2234" s="52"/>
      <c r="AI2234" s="52"/>
      <c r="AJ2234" s="52"/>
      <c r="AK2234" s="52"/>
      <c r="AL2234" s="52"/>
      <c r="AM2234" s="52"/>
      <c r="AN2234" s="52"/>
    </row>
    <row r="2235" spans="1:40" x14ac:dyDescent="0.3">
      <c r="A2235" s="52">
        <v>2230</v>
      </c>
      <c r="B2235" s="52">
        <f>-bthan*500+(29+0.5)*bthan*1000/50</f>
        <v>495</v>
      </c>
      <c r="C2235" s="52">
        <f t="shared" si="230"/>
        <v>90</v>
      </c>
      <c r="D2235" s="52">
        <f t="shared" si="227"/>
        <v>2200</v>
      </c>
      <c r="E2235" s="52">
        <f t="shared" si="228"/>
        <v>1</v>
      </c>
      <c r="F2235" s="52"/>
      <c r="G2235" s="52"/>
      <c r="H2235" s="52"/>
      <c r="I2235" s="52"/>
      <c r="J2235" s="52"/>
      <c r="K2235" s="52"/>
      <c r="L2235" s="52"/>
      <c r="M2235" s="52"/>
      <c r="N2235" s="52"/>
      <c r="O2235" s="52"/>
      <c r="P2235" s="52"/>
      <c r="Q2235" s="52"/>
      <c r="R2235" s="52"/>
      <c r="S2235" s="52"/>
      <c r="T2235" s="52"/>
      <c r="U2235" s="52"/>
      <c r="V2235" s="52"/>
      <c r="W2235" s="52"/>
      <c r="X2235" s="52"/>
      <c r="Y2235" s="52"/>
      <c r="Z2235" s="52"/>
      <c r="AA2235" s="52"/>
      <c r="AB2235" s="52"/>
      <c r="AC2235" s="52"/>
      <c r="AD2235" s="52"/>
      <c r="AE2235" s="52"/>
      <c r="AF2235" s="52"/>
      <c r="AG2235" s="52"/>
      <c r="AH2235" s="52"/>
      <c r="AI2235" s="52"/>
      <c r="AJ2235" s="52"/>
      <c r="AK2235" s="52"/>
      <c r="AL2235" s="52"/>
      <c r="AM2235" s="52"/>
      <c r="AN2235" s="52"/>
    </row>
    <row r="2236" spans="1:40" x14ac:dyDescent="0.3">
      <c r="A2236" s="52">
        <v>2231</v>
      </c>
      <c r="B2236" s="52">
        <f>-bthan*500+(30+0.5)*bthan*1000/50</f>
        <v>605</v>
      </c>
      <c r="C2236" s="52">
        <f t="shared" si="230"/>
        <v>90</v>
      </c>
      <c r="D2236" s="52">
        <f t="shared" si="227"/>
        <v>2200</v>
      </c>
      <c r="E2236" s="52">
        <f t="shared" si="228"/>
        <v>1</v>
      </c>
      <c r="F2236" s="52"/>
      <c r="G2236" s="52"/>
      <c r="H2236" s="52"/>
      <c r="I2236" s="52"/>
      <c r="J2236" s="52"/>
      <c r="K2236" s="52"/>
      <c r="L2236" s="52"/>
      <c r="M2236" s="52"/>
      <c r="N2236" s="52"/>
      <c r="O2236" s="52"/>
      <c r="P2236" s="52"/>
      <c r="Q2236" s="52"/>
      <c r="R2236" s="52"/>
      <c r="S2236" s="52"/>
      <c r="T2236" s="52"/>
      <c r="U2236" s="52"/>
      <c r="V2236" s="52"/>
      <c r="W2236" s="52"/>
      <c r="X2236" s="52"/>
      <c r="Y2236" s="52"/>
      <c r="Z2236" s="52"/>
      <c r="AA2236" s="52"/>
      <c r="AB2236" s="52"/>
      <c r="AC2236" s="52"/>
      <c r="AD2236" s="52"/>
      <c r="AE2236" s="52"/>
      <c r="AF2236" s="52"/>
      <c r="AG2236" s="52"/>
      <c r="AH2236" s="52"/>
      <c r="AI2236" s="52"/>
      <c r="AJ2236" s="52"/>
      <c r="AK2236" s="52"/>
      <c r="AL2236" s="52"/>
      <c r="AM2236" s="52"/>
      <c r="AN2236" s="52"/>
    </row>
    <row r="2237" spans="1:40" x14ac:dyDescent="0.3">
      <c r="A2237" s="52">
        <v>2232</v>
      </c>
      <c r="B2237" s="52">
        <f>-bthan*500+(31+0.5)*bthan*1000/50</f>
        <v>715</v>
      </c>
      <c r="C2237" s="52">
        <f t="shared" si="230"/>
        <v>90</v>
      </c>
      <c r="D2237" s="52">
        <f t="shared" si="227"/>
        <v>2200</v>
      </c>
      <c r="E2237" s="52">
        <f t="shared" si="228"/>
        <v>1</v>
      </c>
      <c r="F2237" s="52"/>
      <c r="G2237" s="52"/>
      <c r="H2237" s="52"/>
      <c r="I2237" s="52"/>
      <c r="J2237" s="52"/>
      <c r="K2237" s="52"/>
      <c r="L2237" s="52"/>
      <c r="M2237" s="52"/>
      <c r="N2237" s="52"/>
      <c r="O2237" s="52"/>
      <c r="P2237" s="52"/>
      <c r="Q2237" s="52"/>
      <c r="R2237" s="52"/>
      <c r="S2237" s="52"/>
      <c r="T2237" s="52"/>
      <c r="U2237" s="52"/>
      <c r="V2237" s="52"/>
      <c r="W2237" s="52"/>
      <c r="X2237" s="52"/>
      <c r="Y2237" s="52"/>
      <c r="Z2237" s="52"/>
      <c r="AA2237" s="52"/>
      <c r="AB2237" s="52"/>
      <c r="AC2237" s="52"/>
      <c r="AD2237" s="52"/>
      <c r="AE2237" s="52"/>
      <c r="AF2237" s="52"/>
      <c r="AG2237" s="52"/>
      <c r="AH2237" s="52"/>
      <c r="AI2237" s="52"/>
      <c r="AJ2237" s="52"/>
      <c r="AK2237" s="52"/>
      <c r="AL2237" s="52"/>
      <c r="AM2237" s="52"/>
      <c r="AN2237" s="52"/>
    </row>
    <row r="2238" spans="1:40" x14ac:dyDescent="0.3">
      <c r="A2238" s="52">
        <v>2233</v>
      </c>
      <c r="B2238" s="52">
        <f>-bthan*500+(32+0.5)*bthan*1000/50</f>
        <v>825</v>
      </c>
      <c r="C2238" s="52">
        <f t="shared" ref="C2238:C2255" si="231">-hthan*500+(44+0.5)*hthan*1000/80</f>
        <v>90</v>
      </c>
      <c r="D2238" s="52">
        <f t="shared" si="227"/>
        <v>2200</v>
      </c>
      <c r="E2238" s="52">
        <f t="shared" si="228"/>
        <v>1</v>
      </c>
      <c r="F2238" s="52"/>
      <c r="G2238" s="52"/>
      <c r="H2238" s="52"/>
      <c r="I2238" s="52"/>
      <c r="J2238" s="52"/>
      <c r="K2238" s="52"/>
      <c r="L2238" s="52"/>
      <c r="M2238" s="52"/>
      <c r="N2238" s="52"/>
      <c r="O2238" s="52"/>
      <c r="P2238" s="52"/>
      <c r="Q2238" s="52"/>
      <c r="R2238" s="52"/>
      <c r="S2238" s="52"/>
      <c r="T2238" s="52"/>
      <c r="U2238" s="52"/>
      <c r="V2238" s="52"/>
      <c r="W2238" s="52"/>
      <c r="X2238" s="52"/>
      <c r="Y2238" s="52"/>
      <c r="Z2238" s="52"/>
      <c r="AA2238" s="52"/>
      <c r="AB2238" s="52"/>
      <c r="AC2238" s="52"/>
      <c r="AD2238" s="52"/>
      <c r="AE2238" s="52"/>
      <c r="AF2238" s="52"/>
      <c r="AG2238" s="52"/>
      <c r="AH2238" s="52"/>
      <c r="AI2238" s="52"/>
      <c r="AJ2238" s="52"/>
      <c r="AK2238" s="52"/>
      <c r="AL2238" s="52"/>
      <c r="AM2238" s="52"/>
      <c r="AN2238" s="52"/>
    </row>
    <row r="2239" spans="1:40" x14ac:dyDescent="0.3">
      <c r="A2239" s="52">
        <v>2234</v>
      </c>
      <c r="B2239" s="52">
        <f>-bthan*500+(33+0.5)*bthan*1000/50</f>
        <v>935</v>
      </c>
      <c r="C2239" s="52">
        <f t="shared" si="231"/>
        <v>90</v>
      </c>
      <c r="D2239" s="52">
        <f t="shared" si="227"/>
        <v>2200</v>
      </c>
      <c r="E2239" s="52">
        <f t="shared" si="228"/>
        <v>1</v>
      </c>
      <c r="F2239" s="52"/>
      <c r="G2239" s="52"/>
      <c r="H2239" s="52"/>
      <c r="I2239" s="52"/>
      <c r="J2239" s="52"/>
      <c r="K2239" s="52"/>
      <c r="L2239" s="52"/>
      <c r="M2239" s="52"/>
      <c r="N2239" s="52"/>
      <c r="O2239" s="52"/>
      <c r="P2239" s="52"/>
      <c r="Q2239" s="52"/>
      <c r="R2239" s="52"/>
      <c r="S2239" s="52"/>
      <c r="T2239" s="52"/>
      <c r="U2239" s="52"/>
      <c r="V2239" s="52"/>
      <c r="W2239" s="52"/>
      <c r="X2239" s="52"/>
      <c r="Y2239" s="52"/>
      <c r="Z2239" s="52"/>
      <c r="AA2239" s="52"/>
      <c r="AB2239" s="52"/>
      <c r="AC2239" s="52"/>
      <c r="AD2239" s="52"/>
      <c r="AE2239" s="52"/>
      <c r="AF2239" s="52"/>
      <c r="AG2239" s="52"/>
      <c r="AH2239" s="52"/>
      <c r="AI2239" s="52"/>
      <c r="AJ2239" s="52"/>
      <c r="AK2239" s="52"/>
      <c r="AL2239" s="52"/>
      <c r="AM2239" s="52"/>
      <c r="AN2239" s="52"/>
    </row>
    <row r="2240" spans="1:40" x14ac:dyDescent="0.3">
      <c r="A2240" s="52">
        <v>2235</v>
      </c>
      <c r="B2240" s="52">
        <f>-bthan*500+(34+0.5)*bthan*1000/50</f>
        <v>1045</v>
      </c>
      <c r="C2240" s="52">
        <f t="shared" si="231"/>
        <v>90</v>
      </c>
      <c r="D2240" s="52">
        <f t="shared" si="227"/>
        <v>2200</v>
      </c>
      <c r="E2240" s="52">
        <f t="shared" si="228"/>
        <v>1</v>
      </c>
      <c r="F2240" s="52"/>
      <c r="G2240" s="52"/>
      <c r="H2240" s="52"/>
      <c r="I2240" s="52"/>
      <c r="J2240" s="52"/>
      <c r="K2240" s="52"/>
      <c r="L2240" s="52"/>
      <c r="M2240" s="52"/>
      <c r="N2240" s="52"/>
      <c r="O2240" s="52"/>
      <c r="P2240" s="52"/>
      <c r="Q2240" s="52"/>
      <c r="R2240" s="52"/>
      <c r="S2240" s="52"/>
      <c r="T2240" s="52"/>
      <c r="U2240" s="52"/>
      <c r="V2240" s="52"/>
      <c r="W2240" s="52"/>
      <c r="X2240" s="52"/>
      <c r="Y2240" s="52"/>
      <c r="Z2240" s="52"/>
      <c r="AA2240" s="52"/>
      <c r="AB2240" s="52"/>
      <c r="AC2240" s="52"/>
      <c r="AD2240" s="52"/>
      <c r="AE2240" s="52"/>
      <c r="AF2240" s="52"/>
      <c r="AG2240" s="52"/>
      <c r="AH2240" s="52"/>
      <c r="AI2240" s="52"/>
      <c r="AJ2240" s="52"/>
      <c r="AK2240" s="52"/>
      <c r="AL2240" s="52"/>
      <c r="AM2240" s="52"/>
      <c r="AN2240" s="52"/>
    </row>
    <row r="2241" spans="1:40" x14ac:dyDescent="0.3">
      <c r="A2241" s="52">
        <v>2236</v>
      </c>
      <c r="B2241" s="52">
        <f>-bthan*500+(35+0.5)*bthan*1000/50</f>
        <v>1155</v>
      </c>
      <c r="C2241" s="52">
        <f t="shared" si="231"/>
        <v>90</v>
      </c>
      <c r="D2241" s="52">
        <f t="shared" si="227"/>
        <v>2200</v>
      </c>
      <c r="E2241" s="52">
        <f t="shared" si="228"/>
        <v>1</v>
      </c>
      <c r="F2241" s="52"/>
      <c r="G2241" s="52"/>
      <c r="H2241" s="52"/>
      <c r="I2241" s="52"/>
      <c r="J2241" s="52"/>
      <c r="K2241" s="52"/>
      <c r="L2241" s="52"/>
      <c r="M2241" s="52"/>
      <c r="N2241" s="52"/>
      <c r="O2241" s="52"/>
      <c r="P2241" s="52"/>
      <c r="Q2241" s="52"/>
      <c r="R2241" s="52"/>
      <c r="S2241" s="52"/>
      <c r="T2241" s="52"/>
      <c r="U2241" s="52"/>
      <c r="V2241" s="52"/>
      <c r="W2241" s="52"/>
      <c r="X2241" s="52"/>
      <c r="Y2241" s="52"/>
      <c r="Z2241" s="52"/>
      <c r="AA2241" s="52"/>
      <c r="AB2241" s="52"/>
      <c r="AC2241" s="52"/>
      <c r="AD2241" s="52"/>
      <c r="AE2241" s="52"/>
      <c r="AF2241" s="52"/>
      <c r="AG2241" s="52"/>
      <c r="AH2241" s="52"/>
      <c r="AI2241" s="52"/>
      <c r="AJ2241" s="52"/>
      <c r="AK2241" s="52"/>
      <c r="AL2241" s="52"/>
      <c r="AM2241" s="52"/>
      <c r="AN2241" s="52"/>
    </row>
    <row r="2242" spans="1:40" x14ac:dyDescent="0.3">
      <c r="A2242" s="52">
        <v>2237</v>
      </c>
      <c r="B2242" s="52">
        <f>-bthan*500+(36+0.5)*bthan*1000/50</f>
        <v>1265</v>
      </c>
      <c r="C2242" s="52">
        <f t="shared" si="231"/>
        <v>90</v>
      </c>
      <c r="D2242" s="52">
        <f t="shared" si="227"/>
        <v>2200</v>
      </c>
      <c r="E2242" s="52">
        <f t="shared" si="228"/>
        <v>1</v>
      </c>
      <c r="F2242" s="52"/>
      <c r="G2242" s="52"/>
      <c r="H2242" s="52"/>
      <c r="I2242" s="52"/>
      <c r="J2242" s="52"/>
      <c r="K2242" s="52"/>
      <c r="L2242" s="52"/>
      <c r="M2242" s="52"/>
      <c r="N2242" s="52"/>
      <c r="O2242" s="52"/>
      <c r="P2242" s="52"/>
      <c r="Q2242" s="52"/>
      <c r="R2242" s="52"/>
      <c r="S2242" s="52"/>
      <c r="T2242" s="52"/>
      <c r="U2242" s="52"/>
      <c r="V2242" s="52"/>
      <c r="W2242" s="52"/>
      <c r="X2242" s="52"/>
      <c r="Y2242" s="52"/>
      <c r="Z2242" s="52"/>
      <c r="AA2242" s="52"/>
      <c r="AB2242" s="52"/>
      <c r="AC2242" s="52"/>
      <c r="AD2242" s="52"/>
      <c r="AE2242" s="52"/>
      <c r="AF2242" s="52"/>
      <c r="AG2242" s="52"/>
      <c r="AH2242" s="52"/>
      <c r="AI2242" s="52"/>
      <c r="AJ2242" s="52"/>
      <c r="AK2242" s="52"/>
      <c r="AL2242" s="52"/>
      <c r="AM2242" s="52"/>
      <c r="AN2242" s="52"/>
    </row>
    <row r="2243" spans="1:40" x14ac:dyDescent="0.3">
      <c r="A2243" s="52">
        <v>2238</v>
      </c>
      <c r="B2243" s="52">
        <f>-bthan*500+(37+0.5)*bthan*1000/50</f>
        <v>1375</v>
      </c>
      <c r="C2243" s="52">
        <f t="shared" si="231"/>
        <v>90</v>
      </c>
      <c r="D2243" s="52">
        <f t="shared" si="227"/>
        <v>2200</v>
      </c>
      <c r="E2243" s="52">
        <f t="shared" si="228"/>
        <v>1</v>
      </c>
      <c r="F2243" s="52"/>
      <c r="G2243" s="52"/>
      <c r="H2243" s="52"/>
      <c r="I2243" s="52"/>
      <c r="J2243" s="52"/>
      <c r="K2243" s="52"/>
      <c r="L2243" s="52"/>
      <c r="M2243" s="52"/>
      <c r="N2243" s="52"/>
      <c r="O2243" s="52"/>
      <c r="P2243" s="52"/>
      <c r="Q2243" s="52"/>
      <c r="R2243" s="52"/>
      <c r="S2243" s="52"/>
      <c r="T2243" s="52"/>
      <c r="U2243" s="52"/>
      <c r="V2243" s="52"/>
      <c r="W2243" s="52"/>
      <c r="X2243" s="52"/>
      <c r="Y2243" s="52"/>
      <c r="Z2243" s="52"/>
      <c r="AA2243" s="52"/>
      <c r="AB2243" s="52"/>
      <c r="AC2243" s="52"/>
      <c r="AD2243" s="52"/>
      <c r="AE2243" s="52"/>
      <c r="AF2243" s="52"/>
      <c r="AG2243" s="52"/>
      <c r="AH2243" s="52"/>
      <c r="AI2243" s="52"/>
      <c r="AJ2243" s="52"/>
      <c r="AK2243" s="52"/>
      <c r="AL2243" s="52"/>
      <c r="AM2243" s="52"/>
      <c r="AN2243" s="52"/>
    </row>
    <row r="2244" spans="1:40" x14ac:dyDescent="0.3">
      <c r="A2244" s="52">
        <v>2239</v>
      </c>
      <c r="B2244" s="52">
        <f>-bthan*500+(38+0.5)*bthan*1000/50</f>
        <v>1485</v>
      </c>
      <c r="C2244" s="52">
        <f t="shared" si="231"/>
        <v>90</v>
      </c>
      <c r="D2244" s="52">
        <f t="shared" si="227"/>
        <v>2200</v>
      </c>
      <c r="E2244" s="52">
        <f t="shared" si="228"/>
        <v>1</v>
      </c>
      <c r="F2244" s="52"/>
      <c r="G2244" s="52"/>
      <c r="H2244" s="52"/>
      <c r="I2244" s="52"/>
      <c r="J2244" s="52"/>
      <c r="K2244" s="52"/>
      <c r="L2244" s="52"/>
      <c r="M2244" s="52"/>
      <c r="N2244" s="52"/>
      <c r="O2244" s="52"/>
      <c r="P2244" s="52"/>
      <c r="Q2244" s="52"/>
      <c r="R2244" s="52"/>
      <c r="S2244" s="52"/>
      <c r="T2244" s="52"/>
      <c r="U2244" s="52"/>
      <c r="V2244" s="52"/>
      <c r="W2244" s="52"/>
      <c r="X2244" s="52"/>
      <c r="Y2244" s="52"/>
      <c r="Z2244" s="52"/>
      <c r="AA2244" s="52"/>
      <c r="AB2244" s="52"/>
      <c r="AC2244" s="52"/>
      <c r="AD2244" s="52"/>
      <c r="AE2244" s="52"/>
      <c r="AF2244" s="52"/>
      <c r="AG2244" s="52"/>
      <c r="AH2244" s="52"/>
      <c r="AI2244" s="52"/>
      <c r="AJ2244" s="52"/>
      <c r="AK2244" s="52"/>
      <c r="AL2244" s="52"/>
      <c r="AM2244" s="52"/>
      <c r="AN2244" s="52"/>
    </row>
    <row r="2245" spans="1:40" x14ac:dyDescent="0.3">
      <c r="A2245" s="52">
        <v>2240</v>
      </c>
      <c r="B2245" s="52">
        <f>-bthan*500+(39+0.5)*bthan*1000/50</f>
        <v>1595</v>
      </c>
      <c r="C2245" s="52">
        <f t="shared" si="231"/>
        <v>90</v>
      </c>
      <c r="D2245" s="52">
        <f t="shared" si="227"/>
        <v>2200</v>
      </c>
      <c r="E2245" s="52">
        <f t="shared" si="228"/>
        <v>1</v>
      </c>
      <c r="F2245" s="52"/>
      <c r="G2245" s="52"/>
      <c r="H2245" s="52"/>
      <c r="I2245" s="52"/>
      <c r="J2245" s="52"/>
      <c r="K2245" s="52"/>
      <c r="L2245" s="52"/>
      <c r="M2245" s="52"/>
      <c r="N2245" s="52"/>
      <c r="O2245" s="52"/>
      <c r="P2245" s="52"/>
      <c r="Q2245" s="52"/>
      <c r="R2245" s="52"/>
      <c r="S2245" s="52"/>
      <c r="T2245" s="52"/>
      <c r="U2245" s="52"/>
      <c r="V2245" s="52"/>
      <c r="W2245" s="52"/>
      <c r="X2245" s="52"/>
      <c r="Y2245" s="52"/>
      <c r="Z2245" s="52"/>
      <c r="AA2245" s="52"/>
      <c r="AB2245" s="52"/>
      <c r="AC2245" s="52"/>
      <c r="AD2245" s="52"/>
      <c r="AE2245" s="52"/>
      <c r="AF2245" s="52"/>
      <c r="AG2245" s="52"/>
      <c r="AH2245" s="52"/>
      <c r="AI2245" s="52"/>
      <c r="AJ2245" s="52"/>
      <c r="AK2245" s="52"/>
      <c r="AL2245" s="52"/>
      <c r="AM2245" s="52"/>
      <c r="AN2245" s="52"/>
    </row>
    <row r="2246" spans="1:40" x14ac:dyDescent="0.3">
      <c r="A2246" s="52">
        <v>2241</v>
      </c>
      <c r="B2246" s="52">
        <f>-bthan*500+(40+0.5)*bthan*1000/50</f>
        <v>1705</v>
      </c>
      <c r="C2246" s="52">
        <f t="shared" si="231"/>
        <v>90</v>
      </c>
      <c r="D2246" s="52">
        <f t="shared" ref="D2246:D2309" si="232">bthan*1000/50*hthan*1000/80</f>
        <v>2200</v>
      </c>
      <c r="E2246" s="52">
        <f t="shared" ref="E2246:E2309" si="233">IF(shp=1,--(OR(ABS(B2246)&lt;=MAX(0,(bthan-hthan)*500),(ABS(B2246)-MAX(0,(bthan-hthan)*500))^2+C2246^2&lt;=(hthan*500)^2)),--(AND(ABS(B2246)&lt;=bthan*500,ABS(C2246)&lt;=hthan*500,OR(ABS(B2246)&lt;=bthan*500-cch*1000,ABS(C2246)&lt;=hthan*500-cch*1000,(bthan*500-ABS(B2246))+(hthan*500-ABS(C2246))&gt;=cch*1000))))</f>
        <v>1</v>
      </c>
      <c r="F2246" s="52"/>
      <c r="G2246" s="52"/>
      <c r="H2246" s="52"/>
      <c r="I2246" s="52"/>
      <c r="J2246" s="52"/>
      <c r="K2246" s="52"/>
      <c r="L2246" s="52"/>
      <c r="M2246" s="52"/>
      <c r="N2246" s="52"/>
      <c r="O2246" s="52"/>
      <c r="P2246" s="52"/>
      <c r="Q2246" s="52"/>
      <c r="R2246" s="52"/>
      <c r="S2246" s="52"/>
      <c r="T2246" s="52"/>
      <c r="U2246" s="52"/>
      <c r="V2246" s="52"/>
      <c r="W2246" s="52"/>
      <c r="X2246" s="52"/>
      <c r="Y2246" s="52"/>
      <c r="Z2246" s="52"/>
      <c r="AA2246" s="52"/>
      <c r="AB2246" s="52"/>
      <c r="AC2246" s="52"/>
      <c r="AD2246" s="52"/>
      <c r="AE2246" s="52"/>
      <c r="AF2246" s="52"/>
      <c r="AG2246" s="52"/>
      <c r="AH2246" s="52"/>
      <c r="AI2246" s="52"/>
      <c r="AJ2246" s="52"/>
      <c r="AK2246" s="52"/>
      <c r="AL2246" s="52"/>
      <c r="AM2246" s="52"/>
      <c r="AN2246" s="52"/>
    </row>
    <row r="2247" spans="1:40" x14ac:dyDescent="0.3">
      <c r="A2247" s="52">
        <v>2242</v>
      </c>
      <c r="B2247" s="52">
        <f>-bthan*500+(41+0.5)*bthan*1000/50</f>
        <v>1815</v>
      </c>
      <c r="C2247" s="52">
        <f t="shared" si="231"/>
        <v>90</v>
      </c>
      <c r="D2247" s="52">
        <f t="shared" si="232"/>
        <v>2200</v>
      </c>
      <c r="E2247" s="52">
        <f t="shared" si="233"/>
        <v>1</v>
      </c>
      <c r="F2247" s="52"/>
      <c r="G2247" s="52"/>
      <c r="H2247" s="52"/>
      <c r="I2247" s="52"/>
      <c r="J2247" s="52"/>
      <c r="K2247" s="52"/>
      <c r="L2247" s="52"/>
      <c r="M2247" s="52"/>
      <c r="N2247" s="52"/>
      <c r="O2247" s="52"/>
      <c r="P2247" s="52"/>
      <c r="Q2247" s="52"/>
      <c r="R2247" s="52"/>
      <c r="S2247" s="52"/>
      <c r="T2247" s="52"/>
      <c r="U2247" s="52"/>
      <c r="V2247" s="52"/>
      <c r="W2247" s="52"/>
      <c r="X2247" s="52"/>
      <c r="Y2247" s="52"/>
      <c r="Z2247" s="52"/>
      <c r="AA2247" s="52"/>
      <c r="AB2247" s="52"/>
      <c r="AC2247" s="52"/>
      <c r="AD2247" s="52"/>
      <c r="AE2247" s="52"/>
      <c r="AF2247" s="52"/>
      <c r="AG2247" s="52"/>
      <c r="AH2247" s="52"/>
      <c r="AI2247" s="52"/>
      <c r="AJ2247" s="52"/>
      <c r="AK2247" s="52"/>
      <c r="AL2247" s="52"/>
      <c r="AM2247" s="52"/>
      <c r="AN2247" s="52"/>
    </row>
    <row r="2248" spans="1:40" x14ac:dyDescent="0.3">
      <c r="A2248" s="52">
        <v>2243</v>
      </c>
      <c r="B2248" s="52">
        <f>-bthan*500+(42+0.5)*bthan*1000/50</f>
        <v>1925</v>
      </c>
      <c r="C2248" s="52">
        <f t="shared" si="231"/>
        <v>90</v>
      </c>
      <c r="D2248" s="52">
        <f t="shared" si="232"/>
        <v>2200</v>
      </c>
      <c r="E2248" s="52">
        <f t="shared" si="233"/>
        <v>1</v>
      </c>
      <c r="F2248" s="52"/>
      <c r="G2248" s="52"/>
      <c r="H2248" s="52"/>
      <c r="I2248" s="52"/>
      <c r="J2248" s="52"/>
      <c r="K2248" s="52"/>
      <c r="L2248" s="52"/>
      <c r="M2248" s="52"/>
      <c r="N2248" s="52"/>
      <c r="O2248" s="52"/>
      <c r="P2248" s="52"/>
      <c r="Q2248" s="52"/>
      <c r="R2248" s="52"/>
      <c r="S2248" s="52"/>
      <c r="T2248" s="52"/>
      <c r="U2248" s="52"/>
      <c r="V2248" s="52"/>
      <c r="W2248" s="52"/>
      <c r="X2248" s="52"/>
      <c r="Y2248" s="52"/>
      <c r="Z2248" s="52"/>
      <c r="AA2248" s="52"/>
      <c r="AB2248" s="52"/>
      <c r="AC2248" s="52"/>
      <c r="AD2248" s="52"/>
      <c r="AE2248" s="52"/>
      <c r="AF2248" s="52"/>
      <c r="AG2248" s="52"/>
      <c r="AH2248" s="52"/>
      <c r="AI2248" s="52"/>
      <c r="AJ2248" s="52"/>
      <c r="AK2248" s="52"/>
      <c r="AL2248" s="52"/>
      <c r="AM2248" s="52"/>
      <c r="AN2248" s="52"/>
    </row>
    <row r="2249" spans="1:40" x14ac:dyDescent="0.3">
      <c r="A2249" s="52">
        <v>2244</v>
      </c>
      <c r="B2249" s="52">
        <f>-bthan*500+(43+0.5)*bthan*1000/50</f>
        <v>2035</v>
      </c>
      <c r="C2249" s="52">
        <f t="shared" si="231"/>
        <v>90</v>
      </c>
      <c r="D2249" s="52">
        <f t="shared" si="232"/>
        <v>2200</v>
      </c>
      <c r="E2249" s="52">
        <f t="shared" si="233"/>
        <v>1</v>
      </c>
      <c r="F2249" s="52"/>
      <c r="G2249" s="52"/>
      <c r="H2249" s="52"/>
      <c r="I2249" s="52"/>
      <c r="J2249" s="52"/>
      <c r="K2249" s="52"/>
      <c r="L2249" s="52"/>
      <c r="M2249" s="52"/>
      <c r="N2249" s="52"/>
      <c r="O2249" s="52"/>
      <c r="P2249" s="52"/>
      <c r="Q2249" s="52"/>
      <c r="R2249" s="52"/>
      <c r="S2249" s="52"/>
      <c r="T2249" s="52"/>
      <c r="U2249" s="52"/>
      <c r="V2249" s="52"/>
      <c r="W2249" s="52"/>
      <c r="X2249" s="52"/>
      <c r="Y2249" s="52"/>
      <c r="Z2249" s="52"/>
      <c r="AA2249" s="52"/>
      <c r="AB2249" s="52"/>
      <c r="AC2249" s="52"/>
      <c r="AD2249" s="52"/>
      <c r="AE2249" s="52"/>
      <c r="AF2249" s="52"/>
      <c r="AG2249" s="52"/>
      <c r="AH2249" s="52"/>
      <c r="AI2249" s="52"/>
      <c r="AJ2249" s="52"/>
      <c r="AK2249" s="52"/>
      <c r="AL2249" s="52"/>
      <c r="AM2249" s="52"/>
      <c r="AN2249" s="52"/>
    </row>
    <row r="2250" spans="1:40" x14ac:dyDescent="0.3">
      <c r="A2250" s="52">
        <v>2245</v>
      </c>
      <c r="B2250" s="52">
        <f>-bthan*500+(44+0.5)*bthan*1000/50</f>
        <v>2145</v>
      </c>
      <c r="C2250" s="52">
        <f t="shared" si="231"/>
        <v>90</v>
      </c>
      <c r="D2250" s="52">
        <f t="shared" si="232"/>
        <v>2200</v>
      </c>
      <c r="E2250" s="52">
        <f t="shared" si="233"/>
        <v>1</v>
      </c>
      <c r="F2250" s="52"/>
      <c r="G2250" s="52"/>
      <c r="H2250" s="52"/>
      <c r="I2250" s="52"/>
      <c r="J2250" s="52"/>
      <c r="K2250" s="52"/>
      <c r="L2250" s="52"/>
      <c r="M2250" s="52"/>
      <c r="N2250" s="52"/>
      <c r="O2250" s="52"/>
      <c r="P2250" s="52"/>
      <c r="Q2250" s="52"/>
      <c r="R2250" s="52"/>
      <c r="S2250" s="52"/>
      <c r="T2250" s="52"/>
      <c r="U2250" s="52"/>
      <c r="V2250" s="52"/>
      <c r="W2250" s="52"/>
      <c r="X2250" s="52"/>
      <c r="Y2250" s="52"/>
      <c r="Z2250" s="52"/>
      <c r="AA2250" s="52"/>
      <c r="AB2250" s="52"/>
      <c r="AC2250" s="52"/>
      <c r="AD2250" s="52"/>
      <c r="AE2250" s="52"/>
      <c r="AF2250" s="52"/>
      <c r="AG2250" s="52"/>
      <c r="AH2250" s="52"/>
      <c r="AI2250" s="52"/>
      <c r="AJ2250" s="52"/>
      <c r="AK2250" s="52"/>
      <c r="AL2250" s="52"/>
      <c r="AM2250" s="52"/>
      <c r="AN2250" s="52"/>
    </row>
    <row r="2251" spans="1:40" x14ac:dyDescent="0.3">
      <c r="A2251" s="52">
        <v>2246</v>
      </c>
      <c r="B2251" s="52">
        <f>-bthan*500+(45+0.5)*bthan*1000/50</f>
        <v>2255</v>
      </c>
      <c r="C2251" s="52">
        <f t="shared" si="231"/>
        <v>90</v>
      </c>
      <c r="D2251" s="52">
        <f t="shared" si="232"/>
        <v>2200</v>
      </c>
      <c r="E2251" s="52">
        <f t="shared" si="233"/>
        <v>1</v>
      </c>
      <c r="F2251" s="52"/>
      <c r="G2251" s="52"/>
      <c r="H2251" s="52"/>
      <c r="I2251" s="52"/>
      <c r="J2251" s="52"/>
      <c r="K2251" s="52"/>
      <c r="L2251" s="52"/>
      <c r="M2251" s="52"/>
      <c r="N2251" s="52"/>
      <c r="O2251" s="52"/>
      <c r="P2251" s="52"/>
      <c r="Q2251" s="52"/>
      <c r="R2251" s="52"/>
      <c r="S2251" s="52"/>
      <c r="T2251" s="52"/>
      <c r="U2251" s="52"/>
      <c r="V2251" s="52"/>
      <c r="W2251" s="52"/>
      <c r="X2251" s="52"/>
      <c r="Y2251" s="52"/>
      <c r="Z2251" s="52"/>
      <c r="AA2251" s="52"/>
      <c r="AB2251" s="52"/>
      <c r="AC2251" s="52"/>
      <c r="AD2251" s="52"/>
      <c r="AE2251" s="52"/>
      <c r="AF2251" s="52"/>
      <c r="AG2251" s="52"/>
      <c r="AH2251" s="52"/>
      <c r="AI2251" s="52"/>
      <c r="AJ2251" s="52"/>
      <c r="AK2251" s="52"/>
      <c r="AL2251" s="52"/>
      <c r="AM2251" s="52"/>
      <c r="AN2251" s="52"/>
    </row>
    <row r="2252" spans="1:40" x14ac:dyDescent="0.3">
      <c r="A2252" s="52">
        <v>2247</v>
      </c>
      <c r="B2252" s="52">
        <f>-bthan*500+(46+0.5)*bthan*1000/50</f>
        <v>2365</v>
      </c>
      <c r="C2252" s="52">
        <f t="shared" si="231"/>
        <v>90</v>
      </c>
      <c r="D2252" s="52">
        <f t="shared" si="232"/>
        <v>2200</v>
      </c>
      <c r="E2252" s="52">
        <f t="shared" si="233"/>
        <v>1</v>
      </c>
      <c r="F2252" s="52"/>
      <c r="G2252" s="52"/>
      <c r="H2252" s="52"/>
      <c r="I2252" s="52"/>
      <c r="J2252" s="52"/>
      <c r="K2252" s="52"/>
      <c r="L2252" s="52"/>
      <c r="M2252" s="52"/>
      <c r="N2252" s="52"/>
      <c r="O2252" s="52"/>
      <c r="P2252" s="52"/>
      <c r="Q2252" s="52"/>
      <c r="R2252" s="52"/>
      <c r="S2252" s="52"/>
      <c r="T2252" s="52"/>
      <c r="U2252" s="52"/>
      <c r="V2252" s="52"/>
      <c r="W2252" s="52"/>
      <c r="X2252" s="52"/>
      <c r="Y2252" s="52"/>
      <c r="Z2252" s="52"/>
      <c r="AA2252" s="52"/>
      <c r="AB2252" s="52"/>
      <c r="AC2252" s="52"/>
      <c r="AD2252" s="52"/>
      <c r="AE2252" s="52"/>
      <c r="AF2252" s="52"/>
      <c r="AG2252" s="52"/>
      <c r="AH2252" s="52"/>
      <c r="AI2252" s="52"/>
      <c r="AJ2252" s="52"/>
      <c r="AK2252" s="52"/>
      <c r="AL2252" s="52"/>
      <c r="AM2252" s="52"/>
      <c r="AN2252" s="52"/>
    </row>
    <row r="2253" spans="1:40" x14ac:dyDescent="0.3">
      <c r="A2253" s="52">
        <v>2248</v>
      </c>
      <c r="B2253" s="52">
        <f>-bthan*500+(47+0.5)*bthan*1000/50</f>
        <v>2475</v>
      </c>
      <c r="C2253" s="52">
        <f t="shared" si="231"/>
        <v>90</v>
      </c>
      <c r="D2253" s="52">
        <f t="shared" si="232"/>
        <v>2200</v>
      </c>
      <c r="E2253" s="52">
        <f t="shared" si="233"/>
        <v>1</v>
      </c>
      <c r="F2253" s="52"/>
      <c r="G2253" s="52"/>
      <c r="H2253" s="52"/>
      <c r="I2253" s="52"/>
      <c r="J2253" s="52"/>
      <c r="K2253" s="52"/>
      <c r="L2253" s="52"/>
      <c r="M2253" s="52"/>
      <c r="N2253" s="52"/>
      <c r="O2253" s="52"/>
      <c r="P2253" s="52"/>
      <c r="Q2253" s="52"/>
      <c r="R2253" s="52"/>
      <c r="S2253" s="52"/>
      <c r="T2253" s="52"/>
      <c r="U2253" s="52"/>
      <c r="V2253" s="52"/>
      <c r="W2253" s="52"/>
      <c r="X2253" s="52"/>
      <c r="Y2253" s="52"/>
      <c r="Z2253" s="52"/>
      <c r="AA2253" s="52"/>
      <c r="AB2253" s="52"/>
      <c r="AC2253" s="52"/>
      <c r="AD2253" s="52"/>
      <c r="AE2253" s="52"/>
      <c r="AF2253" s="52"/>
      <c r="AG2253" s="52"/>
      <c r="AH2253" s="52"/>
      <c r="AI2253" s="52"/>
      <c r="AJ2253" s="52"/>
      <c r="AK2253" s="52"/>
      <c r="AL2253" s="52"/>
      <c r="AM2253" s="52"/>
      <c r="AN2253" s="52"/>
    </row>
    <row r="2254" spans="1:40" x14ac:dyDescent="0.3">
      <c r="A2254" s="52">
        <v>2249</v>
      </c>
      <c r="B2254" s="52">
        <f>-bthan*500+(48+0.5)*bthan*1000/50</f>
        <v>2585</v>
      </c>
      <c r="C2254" s="52">
        <f t="shared" si="231"/>
        <v>90</v>
      </c>
      <c r="D2254" s="52">
        <f t="shared" si="232"/>
        <v>2200</v>
      </c>
      <c r="E2254" s="52">
        <f t="shared" si="233"/>
        <v>1</v>
      </c>
      <c r="F2254" s="52"/>
      <c r="G2254" s="52"/>
      <c r="H2254" s="52"/>
      <c r="I2254" s="52"/>
      <c r="J2254" s="52"/>
      <c r="K2254" s="52"/>
      <c r="L2254" s="52"/>
      <c r="M2254" s="52"/>
      <c r="N2254" s="52"/>
      <c r="O2254" s="52"/>
      <c r="P2254" s="52"/>
      <c r="Q2254" s="52"/>
      <c r="R2254" s="52"/>
      <c r="S2254" s="52"/>
      <c r="T2254" s="52"/>
      <c r="U2254" s="52"/>
      <c r="V2254" s="52"/>
      <c r="W2254" s="52"/>
      <c r="X2254" s="52"/>
      <c r="Y2254" s="52"/>
      <c r="Z2254" s="52"/>
      <c r="AA2254" s="52"/>
      <c r="AB2254" s="52"/>
      <c r="AC2254" s="52"/>
      <c r="AD2254" s="52"/>
      <c r="AE2254" s="52"/>
      <c r="AF2254" s="52"/>
      <c r="AG2254" s="52"/>
      <c r="AH2254" s="52"/>
      <c r="AI2254" s="52"/>
      <c r="AJ2254" s="52"/>
      <c r="AK2254" s="52"/>
      <c r="AL2254" s="52"/>
      <c r="AM2254" s="52"/>
      <c r="AN2254" s="52"/>
    </row>
    <row r="2255" spans="1:40" x14ac:dyDescent="0.3">
      <c r="A2255" s="52">
        <v>2250</v>
      </c>
      <c r="B2255" s="52">
        <f>-bthan*500+(49+0.5)*bthan*1000/50</f>
        <v>2695</v>
      </c>
      <c r="C2255" s="52">
        <f t="shared" si="231"/>
        <v>90</v>
      </c>
      <c r="D2255" s="52">
        <f t="shared" si="232"/>
        <v>2200</v>
      </c>
      <c r="E2255" s="52">
        <f t="shared" si="233"/>
        <v>1</v>
      </c>
      <c r="F2255" s="52"/>
      <c r="G2255" s="52"/>
      <c r="H2255" s="52"/>
      <c r="I2255" s="52"/>
      <c r="J2255" s="52"/>
      <c r="K2255" s="52"/>
      <c r="L2255" s="52"/>
      <c r="M2255" s="52"/>
      <c r="N2255" s="52"/>
      <c r="O2255" s="52"/>
      <c r="P2255" s="52"/>
      <c r="Q2255" s="52"/>
      <c r="R2255" s="52"/>
      <c r="S2255" s="52"/>
      <c r="T2255" s="52"/>
      <c r="U2255" s="52"/>
      <c r="V2255" s="52"/>
      <c r="W2255" s="52"/>
      <c r="X2255" s="52"/>
      <c r="Y2255" s="52"/>
      <c r="Z2255" s="52"/>
      <c r="AA2255" s="52"/>
      <c r="AB2255" s="52"/>
      <c r="AC2255" s="52"/>
      <c r="AD2255" s="52"/>
      <c r="AE2255" s="52"/>
      <c r="AF2255" s="52"/>
      <c r="AG2255" s="52"/>
      <c r="AH2255" s="52"/>
      <c r="AI2255" s="52"/>
      <c r="AJ2255" s="52"/>
      <c r="AK2255" s="52"/>
      <c r="AL2255" s="52"/>
      <c r="AM2255" s="52"/>
      <c r="AN2255" s="52"/>
    </row>
    <row r="2256" spans="1:40" x14ac:dyDescent="0.3">
      <c r="A2256" s="52">
        <v>2251</v>
      </c>
      <c r="B2256" s="52">
        <f>-bthan*500+(0+0.5)*bthan*1000/50</f>
        <v>-2695</v>
      </c>
      <c r="C2256" s="52">
        <f t="shared" ref="C2256:C2287" si="234">-hthan*500+(45+0.5)*hthan*1000/80</f>
        <v>110</v>
      </c>
      <c r="D2256" s="52">
        <f t="shared" si="232"/>
        <v>2200</v>
      </c>
      <c r="E2256" s="52">
        <f t="shared" si="233"/>
        <v>1</v>
      </c>
      <c r="F2256" s="52"/>
      <c r="G2256" s="52"/>
      <c r="H2256" s="52"/>
      <c r="I2256" s="52"/>
      <c r="J2256" s="52"/>
      <c r="K2256" s="52"/>
      <c r="L2256" s="52"/>
      <c r="M2256" s="52"/>
      <c r="N2256" s="52"/>
      <c r="O2256" s="52"/>
      <c r="P2256" s="52"/>
      <c r="Q2256" s="52"/>
      <c r="R2256" s="52"/>
      <c r="S2256" s="52"/>
      <c r="T2256" s="52"/>
      <c r="U2256" s="52"/>
      <c r="V2256" s="52"/>
      <c r="W2256" s="52"/>
      <c r="X2256" s="52"/>
      <c r="Y2256" s="52"/>
      <c r="Z2256" s="52"/>
      <c r="AA2256" s="52"/>
      <c r="AB2256" s="52"/>
      <c r="AC2256" s="52"/>
      <c r="AD2256" s="52"/>
      <c r="AE2256" s="52"/>
      <c r="AF2256" s="52"/>
      <c r="AG2256" s="52"/>
      <c r="AH2256" s="52"/>
      <c r="AI2256" s="52"/>
      <c r="AJ2256" s="52"/>
      <c r="AK2256" s="52"/>
      <c r="AL2256" s="52"/>
      <c r="AM2256" s="52"/>
      <c r="AN2256" s="52"/>
    </row>
    <row r="2257" spans="1:40" x14ac:dyDescent="0.3">
      <c r="A2257" s="52">
        <v>2252</v>
      </c>
      <c r="B2257" s="52">
        <f>-bthan*500+(1+0.5)*bthan*1000/50</f>
        <v>-2585</v>
      </c>
      <c r="C2257" s="52">
        <f t="shared" si="234"/>
        <v>110</v>
      </c>
      <c r="D2257" s="52">
        <f t="shared" si="232"/>
        <v>2200</v>
      </c>
      <c r="E2257" s="52">
        <f t="shared" si="233"/>
        <v>1</v>
      </c>
      <c r="F2257" s="52"/>
      <c r="G2257" s="52"/>
      <c r="H2257" s="52"/>
      <c r="I2257" s="52"/>
      <c r="J2257" s="52"/>
      <c r="K2257" s="52"/>
      <c r="L2257" s="52"/>
      <c r="M2257" s="52"/>
      <c r="N2257" s="52"/>
      <c r="O2257" s="52"/>
      <c r="P2257" s="52"/>
      <c r="Q2257" s="52"/>
      <c r="R2257" s="52"/>
      <c r="S2257" s="52"/>
      <c r="T2257" s="52"/>
      <c r="U2257" s="52"/>
      <c r="V2257" s="52"/>
      <c r="W2257" s="52"/>
      <c r="X2257" s="52"/>
      <c r="Y2257" s="52"/>
      <c r="Z2257" s="52"/>
      <c r="AA2257" s="52"/>
      <c r="AB2257" s="52"/>
      <c r="AC2257" s="52"/>
      <c r="AD2257" s="52"/>
      <c r="AE2257" s="52"/>
      <c r="AF2257" s="52"/>
      <c r="AG2257" s="52"/>
      <c r="AH2257" s="52"/>
      <c r="AI2257" s="52"/>
      <c r="AJ2257" s="52"/>
      <c r="AK2257" s="52"/>
      <c r="AL2257" s="52"/>
      <c r="AM2257" s="52"/>
      <c r="AN2257" s="52"/>
    </row>
    <row r="2258" spans="1:40" x14ac:dyDescent="0.3">
      <c r="A2258" s="52">
        <v>2253</v>
      </c>
      <c r="B2258" s="52">
        <f>-bthan*500+(2+0.5)*bthan*1000/50</f>
        <v>-2475</v>
      </c>
      <c r="C2258" s="52">
        <f t="shared" si="234"/>
        <v>110</v>
      </c>
      <c r="D2258" s="52">
        <f t="shared" si="232"/>
        <v>2200</v>
      </c>
      <c r="E2258" s="52">
        <f t="shared" si="233"/>
        <v>1</v>
      </c>
      <c r="F2258" s="52"/>
      <c r="G2258" s="52"/>
      <c r="H2258" s="52"/>
      <c r="I2258" s="52"/>
      <c r="J2258" s="52"/>
      <c r="K2258" s="52"/>
      <c r="L2258" s="52"/>
      <c r="M2258" s="52"/>
      <c r="N2258" s="52"/>
      <c r="O2258" s="52"/>
      <c r="P2258" s="52"/>
      <c r="Q2258" s="52"/>
      <c r="R2258" s="52"/>
      <c r="S2258" s="52"/>
      <c r="T2258" s="52"/>
      <c r="U2258" s="52"/>
      <c r="V2258" s="52"/>
      <c r="W2258" s="52"/>
      <c r="X2258" s="52"/>
      <c r="Y2258" s="52"/>
      <c r="Z2258" s="52"/>
      <c r="AA2258" s="52"/>
      <c r="AB2258" s="52"/>
      <c r="AC2258" s="52"/>
      <c r="AD2258" s="52"/>
      <c r="AE2258" s="52"/>
      <c r="AF2258" s="52"/>
      <c r="AG2258" s="52"/>
      <c r="AH2258" s="52"/>
      <c r="AI2258" s="52"/>
      <c r="AJ2258" s="52"/>
      <c r="AK2258" s="52"/>
      <c r="AL2258" s="52"/>
      <c r="AM2258" s="52"/>
      <c r="AN2258" s="52"/>
    </row>
    <row r="2259" spans="1:40" x14ac:dyDescent="0.3">
      <c r="A2259" s="52">
        <v>2254</v>
      </c>
      <c r="B2259" s="52">
        <f>-bthan*500+(3+0.5)*bthan*1000/50</f>
        <v>-2365</v>
      </c>
      <c r="C2259" s="52">
        <f t="shared" si="234"/>
        <v>110</v>
      </c>
      <c r="D2259" s="52">
        <f t="shared" si="232"/>
        <v>2200</v>
      </c>
      <c r="E2259" s="52">
        <f t="shared" si="233"/>
        <v>1</v>
      </c>
      <c r="F2259" s="52"/>
      <c r="G2259" s="52"/>
      <c r="H2259" s="52"/>
      <c r="I2259" s="52"/>
      <c r="J2259" s="52"/>
      <c r="K2259" s="52"/>
      <c r="L2259" s="52"/>
      <c r="M2259" s="52"/>
      <c r="N2259" s="52"/>
      <c r="O2259" s="52"/>
      <c r="P2259" s="52"/>
      <c r="Q2259" s="52"/>
      <c r="R2259" s="52"/>
      <c r="S2259" s="52"/>
      <c r="T2259" s="52"/>
      <c r="U2259" s="52"/>
      <c r="V2259" s="52"/>
      <c r="W2259" s="52"/>
      <c r="X2259" s="52"/>
      <c r="Y2259" s="52"/>
      <c r="Z2259" s="52"/>
      <c r="AA2259" s="52"/>
      <c r="AB2259" s="52"/>
      <c r="AC2259" s="52"/>
      <c r="AD2259" s="52"/>
      <c r="AE2259" s="52"/>
      <c r="AF2259" s="52"/>
      <c r="AG2259" s="52"/>
      <c r="AH2259" s="52"/>
      <c r="AI2259" s="52"/>
      <c r="AJ2259" s="52"/>
      <c r="AK2259" s="52"/>
      <c r="AL2259" s="52"/>
      <c r="AM2259" s="52"/>
      <c r="AN2259" s="52"/>
    </row>
    <row r="2260" spans="1:40" x14ac:dyDescent="0.3">
      <c r="A2260" s="52">
        <v>2255</v>
      </c>
      <c r="B2260" s="52">
        <f>-bthan*500+(4+0.5)*bthan*1000/50</f>
        <v>-2255</v>
      </c>
      <c r="C2260" s="52">
        <f t="shared" si="234"/>
        <v>110</v>
      </c>
      <c r="D2260" s="52">
        <f t="shared" si="232"/>
        <v>2200</v>
      </c>
      <c r="E2260" s="52">
        <f t="shared" si="233"/>
        <v>1</v>
      </c>
      <c r="F2260" s="52"/>
      <c r="G2260" s="52"/>
      <c r="H2260" s="52"/>
      <c r="I2260" s="52"/>
      <c r="J2260" s="52"/>
      <c r="K2260" s="52"/>
      <c r="L2260" s="52"/>
      <c r="M2260" s="52"/>
      <c r="N2260" s="52"/>
      <c r="O2260" s="52"/>
      <c r="P2260" s="52"/>
      <c r="Q2260" s="52"/>
      <c r="R2260" s="52"/>
      <c r="S2260" s="52"/>
      <c r="T2260" s="52"/>
      <c r="U2260" s="52"/>
      <c r="V2260" s="52"/>
      <c r="W2260" s="52"/>
      <c r="X2260" s="52"/>
      <c r="Y2260" s="52"/>
      <c r="Z2260" s="52"/>
      <c r="AA2260" s="52"/>
      <c r="AB2260" s="52"/>
      <c r="AC2260" s="52"/>
      <c r="AD2260" s="52"/>
      <c r="AE2260" s="52"/>
      <c r="AF2260" s="52"/>
      <c r="AG2260" s="52"/>
      <c r="AH2260" s="52"/>
      <c r="AI2260" s="52"/>
      <c r="AJ2260" s="52"/>
      <c r="AK2260" s="52"/>
      <c r="AL2260" s="52"/>
      <c r="AM2260" s="52"/>
      <c r="AN2260" s="52"/>
    </row>
    <row r="2261" spans="1:40" x14ac:dyDescent="0.3">
      <c r="A2261" s="52">
        <v>2256</v>
      </c>
      <c r="B2261" s="52">
        <f>-bthan*500+(5+0.5)*bthan*1000/50</f>
        <v>-2145</v>
      </c>
      <c r="C2261" s="52">
        <f t="shared" si="234"/>
        <v>110</v>
      </c>
      <c r="D2261" s="52">
        <f t="shared" si="232"/>
        <v>2200</v>
      </c>
      <c r="E2261" s="52">
        <f t="shared" si="233"/>
        <v>1</v>
      </c>
      <c r="F2261" s="52"/>
      <c r="G2261" s="52"/>
      <c r="H2261" s="52"/>
      <c r="I2261" s="52"/>
      <c r="J2261" s="52"/>
      <c r="K2261" s="52"/>
      <c r="L2261" s="52"/>
      <c r="M2261" s="52"/>
      <c r="N2261" s="52"/>
      <c r="O2261" s="52"/>
      <c r="P2261" s="52"/>
      <c r="Q2261" s="52"/>
      <c r="R2261" s="52"/>
      <c r="S2261" s="52"/>
      <c r="T2261" s="52"/>
      <c r="U2261" s="52"/>
      <c r="V2261" s="52"/>
      <c r="W2261" s="52"/>
      <c r="X2261" s="52"/>
      <c r="Y2261" s="52"/>
      <c r="Z2261" s="52"/>
      <c r="AA2261" s="52"/>
      <c r="AB2261" s="52"/>
      <c r="AC2261" s="52"/>
      <c r="AD2261" s="52"/>
      <c r="AE2261" s="52"/>
      <c r="AF2261" s="52"/>
      <c r="AG2261" s="52"/>
      <c r="AH2261" s="52"/>
      <c r="AI2261" s="52"/>
      <c r="AJ2261" s="52"/>
      <c r="AK2261" s="52"/>
      <c r="AL2261" s="52"/>
      <c r="AM2261" s="52"/>
      <c r="AN2261" s="52"/>
    </row>
    <row r="2262" spans="1:40" x14ac:dyDescent="0.3">
      <c r="A2262" s="52">
        <v>2257</v>
      </c>
      <c r="B2262" s="52">
        <f>-bthan*500+(6+0.5)*bthan*1000/50</f>
        <v>-2035</v>
      </c>
      <c r="C2262" s="52">
        <f t="shared" si="234"/>
        <v>110</v>
      </c>
      <c r="D2262" s="52">
        <f t="shared" si="232"/>
        <v>2200</v>
      </c>
      <c r="E2262" s="52">
        <f t="shared" si="233"/>
        <v>1</v>
      </c>
      <c r="F2262" s="52"/>
      <c r="G2262" s="52"/>
      <c r="H2262" s="52"/>
      <c r="I2262" s="52"/>
      <c r="J2262" s="52"/>
      <c r="K2262" s="52"/>
      <c r="L2262" s="52"/>
      <c r="M2262" s="52"/>
      <c r="N2262" s="52"/>
      <c r="O2262" s="52"/>
      <c r="P2262" s="52"/>
      <c r="Q2262" s="52"/>
      <c r="R2262" s="52"/>
      <c r="S2262" s="52"/>
      <c r="T2262" s="52"/>
      <c r="U2262" s="52"/>
      <c r="V2262" s="52"/>
      <c r="W2262" s="52"/>
      <c r="X2262" s="52"/>
      <c r="Y2262" s="52"/>
      <c r="Z2262" s="52"/>
      <c r="AA2262" s="52"/>
      <c r="AB2262" s="52"/>
      <c r="AC2262" s="52"/>
      <c r="AD2262" s="52"/>
      <c r="AE2262" s="52"/>
      <c r="AF2262" s="52"/>
      <c r="AG2262" s="52"/>
      <c r="AH2262" s="52"/>
      <c r="AI2262" s="52"/>
      <c r="AJ2262" s="52"/>
      <c r="AK2262" s="52"/>
      <c r="AL2262" s="52"/>
      <c r="AM2262" s="52"/>
      <c r="AN2262" s="52"/>
    </row>
    <row r="2263" spans="1:40" x14ac:dyDescent="0.3">
      <c r="A2263" s="52">
        <v>2258</v>
      </c>
      <c r="B2263" s="52">
        <f>-bthan*500+(7+0.5)*bthan*1000/50</f>
        <v>-1925</v>
      </c>
      <c r="C2263" s="52">
        <f t="shared" si="234"/>
        <v>110</v>
      </c>
      <c r="D2263" s="52">
        <f t="shared" si="232"/>
        <v>2200</v>
      </c>
      <c r="E2263" s="52">
        <f t="shared" si="233"/>
        <v>1</v>
      </c>
      <c r="F2263" s="52"/>
      <c r="G2263" s="52"/>
      <c r="H2263" s="52"/>
      <c r="I2263" s="52"/>
      <c r="J2263" s="52"/>
      <c r="K2263" s="52"/>
      <c r="L2263" s="52"/>
      <c r="M2263" s="52"/>
      <c r="N2263" s="52"/>
      <c r="O2263" s="52"/>
      <c r="P2263" s="52"/>
      <c r="Q2263" s="52"/>
      <c r="R2263" s="52"/>
      <c r="S2263" s="52"/>
      <c r="T2263" s="52"/>
      <c r="U2263" s="52"/>
      <c r="V2263" s="52"/>
      <c r="W2263" s="52"/>
      <c r="X2263" s="52"/>
      <c r="Y2263" s="52"/>
      <c r="Z2263" s="52"/>
      <c r="AA2263" s="52"/>
      <c r="AB2263" s="52"/>
      <c r="AC2263" s="52"/>
      <c r="AD2263" s="52"/>
      <c r="AE2263" s="52"/>
      <c r="AF2263" s="52"/>
      <c r="AG2263" s="52"/>
      <c r="AH2263" s="52"/>
      <c r="AI2263" s="52"/>
      <c r="AJ2263" s="52"/>
      <c r="AK2263" s="52"/>
      <c r="AL2263" s="52"/>
      <c r="AM2263" s="52"/>
      <c r="AN2263" s="52"/>
    </row>
    <row r="2264" spans="1:40" x14ac:dyDescent="0.3">
      <c r="A2264" s="52">
        <v>2259</v>
      </c>
      <c r="B2264" s="52">
        <f>-bthan*500+(8+0.5)*bthan*1000/50</f>
        <v>-1815</v>
      </c>
      <c r="C2264" s="52">
        <f t="shared" si="234"/>
        <v>110</v>
      </c>
      <c r="D2264" s="52">
        <f t="shared" si="232"/>
        <v>2200</v>
      </c>
      <c r="E2264" s="52">
        <f t="shared" si="233"/>
        <v>1</v>
      </c>
      <c r="F2264" s="52"/>
      <c r="G2264" s="52"/>
      <c r="H2264" s="52"/>
      <c r="I2264" s="52"/>
      <c r="J2264" s="52"/>
      <c r="K2264" s="52"/>
      <c r="L2264" s="52"/>
      <c r="M2264" s="52"/>
      <c r="N2264" s="52"/>
      <c r="O2264" s="52"/>
      <c r="P2264" s="52"/>
      <c r="Q2264" s="52"/>
      <c r="R2264" s="52"/>
      <c r="S2264" s="52"/>
      <c r="T2264" s="52"/>
      <c r="U2264" s="52"/>
      <c r="V2264" s="52"/>
      <c r="W2264" s="52"/>
      <c r="X2264" s="52"/>
      <c r="Y2264" s="52"/>
      <c r="Z2264" s="52"/>
      <c r="AA2264" s="52"/>
      <c r="AB2264" s="52"/>
      <c r="AC2264" s="52"/>
      <c r="AD2264" s="52"/>
      <c r="AE2264" s="52"/>
      <c r="AF2264" s="52"/>
      <c r="AG2264" s="52"/>
      <c r="AH2264" s="52"/>
      <c r="AI2264" s="52"/>
      <c r="AJ2264" s="52"/>
      <c r="AK2264" s="52"/>
      <c r="AL2264" s="52"/>
      <c r="AM2264" s="52"/>
      <c r="AN2264" s="52"/>
    </row>
    <row r="2265" spans="1:40" x14ac:dyDescent="0.3">
      <c r="A2265" s="52">
        <v>2260</v>
      </c>
      <c r="B2265" s="52">
        <f>-bthan*500+(9+0.5)*bthan*1000/50</f>
        <v>-1705</v>
      </c>
      <c r="C2265" s="52">
        <f t="shared" si="234"/>
        <v>110</v>
      </c>
      <c r="D2265" s="52">
        <f t="shared" si="232"/>
        <v>2200</v>
      </c>
      <c r="E2265" s="52">
        <f t="shared" si="233"/>
        <v>1</v>
      </c>
      <c r="F2265" s="52"/>
      <c r="G2265" s="52"/>
      <c r="H2265" s="52"/>
      <c r="I2265" s="52"/>
      <c r="J2265" s="52"/>
      <c r="K2265" s="52"/>
      <c r="L2265" s="52"/>
      <c r="M2265" s="52"/>
      <c r="N2265" s="52"/>
      <c r="O2265" s="52"/>
      <c r="P2265" s="52"/>
      <c r="Q2265" s="52"/>
      <c r="R2265" s="52"/>
      <c r="S2265" s="52"/>
      <c r="T2265" s="52"/>
      <c r="U2265" s="52"/>
      <c r="V2265" s="52"/>
      <c r="W2265" s="52"/>
      <c r="X2265" s="52"/>
      <c r="Y2265" s="52"/>
      <c r="Z2265" s="52"/>
      <c r="AA2265" s="52"/>
      <c r="AB2265" s="52"/>
      <c r="AC2265" s="52"/>
      <c r="AD2265" s="52"/>
      <c r="AE2265" s="52"/>
      <c r="AF2265" s="52"/>
      <c r="AG2265" s="52"/>
      <c r="AH2265" s="52"/>
      <c r="AI2265" s="52"/>
      <c r="AJ2265" s="52"/>
      <c r="AK2265" s="52"/>
      <c r="AL2265" s="52"/>
      <c r="AM2265" s="52"/>
      <c r="AN2265" s="52"/>
    </row>
    <row r="2266" spans="1:40" x14ac:dyDescent="0.3">
      <c r="A2266" s="52">
        <v>2261</v>
      </c>
      <c r="B2266" s="52">
        <f>-bthan*500+(10+0.5)*bthan*1000/50</f>
        <v>-1595</v>
      </c>
      <c r="C2266" s="52">
        <f t="shared" si="234"/>
        <v>110</v>
      </c>
      <c r="D2266" s="52">
        <f t="shared" si="232"/>
        <v>2200</v>
      </c>
      <c r="E2266" s="52">
        <f t="shared" si="233"/>
        <v>1</v>
      </c>
      <c r="F2266" s="52"/>
      <c r="G2266" s="52"/>
      <c r="H2266" s="52"/>
      <c r="I2266" s="52"/>
      <c r="J2266" s="52"/>
      <c r="K2266" s="52"/>
      <c r="L2266" s="52"/>
      <c r="M2266" s="52"/>
      <c r="N2266" s="52"/>
      <c r="O2266" s="52"/>
      <c r="P2266" s="52"/>
      <c r="Q2266" s="52"/>
      <c r="R2266" s="52"/>
      <c r="S2266" s="52"/>
      <c r="T2266" s="52"/>
      <c r="U2266" s="52"/>
      <c r="V2266" s="52"/>
      <c r="W2266" s="52"/>
      <c r="X2266" s="52"/>
      <c r="Y2266" s="52"/>
      <c r="Z2266" s="52"/>
      <c r="AA2266" s="52"/>
      <c r="AB2266" s="52"/>
      <c r="AC2266" s="52"/>
      <c r="AD2266" s="52"/>
      <c r="AE2266" s="52"/>
      <c r="AF2266" s="52"/>
      <c r="AG2266" s="52"/>
      <c r="AH2266" s="52"/>
      <c r="AI2266" s="52"/>
      <c r="AJ2266" s="52"/>
      <c r="AK2266" s="52"/>
      <c r="AL2266" s="52"/>
      <c r="AM2266" s="52"/>
      <c r="AN2266" s="52"/>
    </row>
    <row r="2267" spans="1:40" x14ac:dyDescent="0.3">
      <c r="A2267" s="52">
        <v>2262</v>
      </c>
      <c r="B2267" s="52">
        <f>-bthan*500+(11+0.5)*bthan*1000/50</f>
        <v>-1485</v>
      </c>
      <c r="C2267" s="52">
        <f t="shared" si="234"/>
        <v>110</v>
      </c>
      <c r="D2267" s="52">
        <f t="shared" si="232"/>
        <v>2200</v>
      </c>
      <c r="E2267" s="52">
        <f t="shared" si="233"/>
        <v>1</v>
      </c>
      <c r="F2267" s="52"/>
      <c r="G2267" s="52"/>
      <c r="H2267" s="52"/>
      <c r="I2267" s="52"/>
      <c r="J2267" s="52"/>
      <c r="K2267" s="52"/>
      <c r="L2267" s="52"/>
      <c r="M2267" s="52"/>
      <c r="N2267" s="52"/>
      <c r="O2267" s="52"/>
      <c r="P2267" s="52"/>
      <c r="Q2267" s="52"/>
      <c r="R2267" s="52"/>
      <c r="S2267" s="52"/>
      <c r="T2267" s="52"/>
      <c r="U2267" s="52"/>
      <c r="V2267" s="52"/>
      <c r="W2267" s="52"/>
      <c r="X2267" s="52"/>
      <c r="Y2267" s="52"/>
      <c r="Z2267" s="52"/>
      <c r="AA2267" s="52"/>
      <c r="AB2267" s="52"/>
      <c r="AC2267" s="52"/>
      <c r="AD2267" s="52"/>
      <c r="AE2267" s="52"/>
      <c r="AF2267" s="52"/>
      <c r="AG2267" s="52"/>
      <c r="AH2267" s="52"/>
      <c r="AI2267" s="52"/>
      <c r="AJ2267" s="52"/>
      <c r="AK2267" s="52"/>
      <c r="AL2267" s="52"/>
      <c r="AM2267" s="52"/>
      <c r="AN2267" s="52"/>
    </row>
    <row r="2268" spans="1:40" x14ac:dyDescent="0.3">
      <c r="A2268" s="52">
        <v>2263</v>
      </c>
      <c r="B2268" s="52">
        <f>-bthan*500+(12+0.5)*bthan*1000/50</f>
        <v>-1375</v>
      </c>
      <c r="C2268" s="52">
        <f t="shared" si="234"/>
        <v>110</v>
      </c>
      <c r="D2268" s="52">
        <f t="shared" si="232"/>
        <v>2200</v>
      </c>
      <c r="E2268" s="52">
        <f t="shared" si="233"/>
        <v>1</v>
      </c>
      <c r="F2268" s="52"/>
      <c r="G2268" s="52"/>
      <c r="H2268" s="52"/>
      <c r="I2268" s="52"/>
      <c r="J2268" s="52"/>
      <c r="K2268" s="52"/>
      <c r="L2268" s="52"/>
      <c r="M2268" s="52"/>
      <c r="N2268" s="52"/>
      <c r="O2268" s="52"/>
      <c r="P2268" s="52"/>
      <c r="Q2268" s="52"/>
      <c r="R2268" s="52"/>
      <c r="S2268" s="52"/>
      <c r="T2268" s="52"/>
      <c r="U2268" s="52"/>
      <c r="V2268" s="52"/>
      <c r="W2268" s="52"/>
      <c r="X2268" s="52"/>
      <c r="Y2268" s="52"/>
      <c r="Z2268" s="52"/>
      <c r="AA2268" s="52"/>
      <c r="AB2268" s="52"/>
      <c r="AC2268" s="52"/>
      <c r="AD2268" s="52"/>
      <c r="AE2268" s="52"/>
      <c r="AF2268" s="52"/>
      <c r="AG2268" s="52"/>
      <c r="AH2268" s="52"/>
      <c r="AI2268" s="52"/>
      <c r="AJ2268" s="52"/>
      <c r="AK2268" s="52"/>
      <c r="AL2268" s="52"/>
      <c r="AM2268" s="52"/>
      <c r="AN2268" s="52"/>
    </row>
    <row r="2269" spans="1:40" x14ac:dyDescent="0.3">
      <c r="A2269" s="52">
        <v>2264</v>
      </c>
      <c r="B2269" s="52">
        <f>-bthan*500+(13+0.5)*bthan*1000/50</f>
        <v>-1265</v>
      </c>
      <c r="C2269" s="52">
        <f t="shared" si="234"/>
        <v>110</v>
      </c>
      <c r="D2269" s="52">
        <f t="shared" si="232"/>
        <v>2200</v>
      </c>
      <c r="E2269" s="52">
        <f t="shared" si="233"/>
        <v>1</v>
      </c>
      <c r="F2269" s="52"/>
      <c r="G2269" s="52"/>
      <c r="H2269" s="52"/>
      <c r="I2269" s="52"/>
      <c r="J2269" s="52"/>
      <c r="K2269" s="52"/>
      <c r="L2269" s="52"/>
      <c r="M2269" s="52"/>
      <c r="N2269" s="52"/>
      <c r="O2269" s="52"/>
      <c r="P2269" s="52"/>
      <c r="Q2269" s="52"/>
      <c r="R2269" s="52"/>
      <c r="S2269" s="52"/>
      <c r="T2269" s="52"/>
      <c r="U2269" s="52"/>
      <c r="V2269" s="52"/>
      <c r="W2269" s="52"/>
      <c r="X2269" s="52"/>
      <c r="Y2269" s="52"/>
      <c r="Z2269" s="52"/>
      <c r="AA2269" s="52"/>
      <c r="AB2269" s="52"/>
      <c r="AC2269" s="52"/>
      <c r="AD2269" s="52"/>
      <c r="AE2269" s="52"/>
      <c r="AF2269" s="52"/>
      <c r="AG2269" s="52"/>
      <c r="AH2269" s="52"/>
      <c r="AI2269" s="52"/>
      <c r="AJ2269" s="52"/>
      <c r="AK2269" s="52"/>
      <c r="AL2269" s="52"/>
      <c r="AM2269" s="52"/>
      <c r="AN2269" s="52"/>
    </row>
    <row r="2270" spans="1:40" x14ac:dyDescent="0.3">
      <c r="A2270" s="52">
        <v>2265</v>
      </c>
      <c r="B2270" s="52">
        <f>-bthan*500+(14+0.5)*bthan*1000/50</f>
        <v>-1155</v>
      </c>
      <c r="C2270" s="52">
        <f t="shared" si="234"/>
        <v>110</v>
      </c>
      <c r="D2270" s="52">
        <f t="shared" si="232"/>
        <v>2200</v>
      </c>
      <c r="E2270" s="52">
        <f t="shared" si="233"/>
        <v>1</v>
      </c>
      <c r="F2270" s="52"/>
      <c r="G2270" s="52"/>
      <c r="H2270" s="52"/>
      <c r="I2270" s="52"/>
      <c r="J2270" s="52"/>
      <c r="K2270" s="52"/>
      <c r="L2270" s="52"/>
      <c r="M2270" s="52"/>
      <c r="N2270" s="52"/>
      <c r="O2270" s="52"/>
      <c r="P2270" s="52"/>
      <c r="Q2270" s="52"/>
      <c r="R2270" s="52"/>
      <c r="S2270" s="52"/>
      <c r="T2270" s="52"/>
      <c r="U2270" s="52"/>
      <c r="V2270" s="52"/>
      <c r="W2270" s="52"/>
      <c r="X2270" s="52"/>
      <c r="Y2270" s="52"/>
      <c r="Z2270" s="52"/>
      <c r="AA2270" s="52"/>
      <c r="AB2270" s="52"/>
      <c r="AC2270" s="52"/>
      <c r="AD2270" s="52"/>
      <c r="AE2270" s="52"/>
      <c r="AF2270" s="52"/>
      <c r="AG2270" s="52"/>
      <c r="AH2270" s="52"/>
      <c r="AI2270" s="52"/>
      <c r="AJ2270" s="52"/>
      <c r="AK2270" s="52"/>
      <c r="AL2270" s="52"/>
      <c r="AM2270" s="52"/>
      <c r="AN2270" s="52"/>
    </row>
    <row r="2271" spans="1:40" x14ac:dyDescent="0.3">
      <c r="A2271" s="52">
        <v>2266</v>
      </c>
      <c r="B2271" s="52">
        <f>-bthan*500+(15+0.5)*bthan*1000/50</f>
        <v>-1045</v>
      </c>
      <c r="C2271" s="52">
        <f t="shared" si="234"/>
        <v>110</v>
      </c>
      <c r="D2271" s="52">
        <f t="shared" si="232"/>
        <v>2200</v>
      </c>
      <c r="E2271" s="52">
        <f t="shared" si="233"/>
        <v>1</v>
      </c>
      <c r="F2271" s="52"/>
      <c r="G2271" s="52"/>
      <c r="H2271" s="52"/>
      <c r="I2271" s="52"/>
      <c r="J2271" s="52"/>
      <c r="K2271" s="52"/>
      <c r="L2271" s="52"/>
      <c r="M2271" s="52"/>
      <c r="N2271" s="52"/>
      <c r="O2271" s="52"/>
      <c r="P2271" s="52"/>
      <c r="Q2271" s="52"/>
      <c r="R2271" s="52"/>
      <c r="S2271" s="52"/>
      <c r="T2271" s="52"/>
      <c r="U2271" s="52"/>
      <c r="V2271" s="52"/>
      <c r="W2271" s="52"/>
      <c r="X2271" s="52"/>
      <c r="Y2271" s="52"/>
      <c r="Z2271" s="52"/>
      <c r="AA2271" s="52"/>
      <c r="AB2271" s="52"/>
      <c r="AC2271" s="52"/>
      <c r="AD2271" s="52"/>
      <c r="AE2271" s="52"/>
      <c r="AF2271" s="52"/>
      <c r="AG2271" s="52"/>
      <c r="AH2271" s="52"/>
      <c r="AI2271" s="52"/>
      <c r="AJ2271" s="52"/>
      <c r="AK2271" s="52"/>
      <c r="AL2271" s="52"/>
      <c r="AM2271" s="52"/>
      <c r="AN2271" s="52"/>
    </row>
    <row r="2272" spans="1:40" x14ac:dyDescent="0.3">
      <c r="A2272" s="52">
        <v>2267</v>
      </c>
      <c r="B2272" s="52">
        <f>-bthan*500+(16+0.5)*bthan*1000/50</f>
        <v>-935</v>
      </c>
      <c r="C2272" s="52">
        <f t="shared" si="234"/>
        <v>110</v>
      </c>
      <c r="D2272" s="52">
        <f t="shared" si="232"/>
        <v>2200</v>
      </c>
      <c r="E2272" s="52">
        <f t="shared" si="233"/>
        <v>1</v>
      </c>
      <c r="F2272" s="52"/>
      <c r="G2272" s="52"/>
      <c r="H2272" s="52"/>
      <c r="I2272" s="52"/>
      <c r="J2272" s="52"/>
      <c r="K2272" s="52"/>
      <c r="L2272" s="52"/>
      <c r="M2272" s="52"/>
      <c r="N2272" s="52"/>
      <c r="O2272" s="52"/>
      <c r="P2272" s="52"/>
      <c r="Q2272" s="52"/>
      <c r="R2272" s="52"/>
      <c r="S2272" s="52"/>
      <c r="T2272" s="52"/>
      <c r="U2272" s="52"/>
      <c r="V2272" s="52"/>
      <c r="W2272" s="52"/>
      <c r="X2272" s="52"/>
      <c r="Y2272" s="52"/>
      <c r="Z2272" s="52"/>
      <c r="AA2272" s="52"/>
      <c r="AB2272" s="52"/>
      <c r="AC2272" s="52"/>
      <c r="AD2272" s="52"/>
      <c r="AE2272" s="52"/>
      <c r="AF2272" s="52"/>
      <c r="AG2272" s="52"/>
      <c r="AH2272" s="52"/>
      <c r="AI2272" s="52"/>
      <c r="AJ2272" s="52"/>
      <c r="AK2272" s="52"/>
      <c r="AL2272" s="52"/>
      <c r="AM2272" s="52"/>
      <c r="AN2272" s="52"/>
    </row>
    <row r="2273" spans="1:40" x14ac:dyDescent="0.3">
      <c r="A2273" s="52">
        <v>2268</v>
      </c>
      <c r="B2273" s="52">
        <f>-bthan*500+(17+0.5)*bthan*1000/50</f>
        <v>-825</v>
      </c>
      <c r="C2273" s="52">
        <f t="shared" si="234"/>
        <v>110</v>
      </c>
      <c r="D2273" s="52">
        <f t="shared" si="232"/>
        <v>2200</v>
      </c>
      <c r="E2273" s="52">
        <f t="shared" si="233"/>
        <v>1</v>
      </c>
      <c r="F2273" s="52"/>
      <c r="G2273" s="52"/>
      <c r="H2273" s="52"/>
      <c r="I2273" s="52"/>
      <c r="J2273" s="52"/>
      <c r="K2273" s="52"/>
      <c r="L2273" s="52"/>
      <c r="M2273" s="52"/>
      <c r="N2273" s="52"/>
      <c r="O2273" s="52"/>
      <c r="P2273" s="52"/>
      <c r="Q2273" s="52"/>
      <c r="R2273" s="52"/>
      <c r="S2273" s="52"/>
      <c r="T2273" s="52"/>
      <c r="U2273" s="52"/>
      <c r="V2273" s="52"/>
      <c r="W2273" s="52"/>
      <c r="X2273" s="52"/>
      <c r="Y2273" s="52"/>
      <c r="Z2273" s="52"/>
      <c r="AA2273" s="52"/>
      <c r="AB2273" s="52"/>
      <c r="AC2273" s="52"/>
      <c r="AD2273" s="52"/>
      <c r="AE2273" s="52"/>
      <c r="AF2273" s="52"/>
      <c r="AG2273" s="52"/>
      <c r="AH2273" s="52"/>
      <c r="AI2273" s="52"/>
      <c r="AJ2273" s="52"/>
      <c r="AK2273" s="52"/>
      <c r="AL2273" s="52"/>
      <c r="AM2273" s="52"/>
      <c r="AN2273" s="52"/>
    </row>
    <row r="2274" spans="1:40" x14ac:dyDescent="0.3">
      <c r="A2274" s="52">
        <v>2269</v>
      </c>
      <c r="B2274" s="52">
        <f>-bthan*500+(18+0.5)*bthan*1000/50</f>
        <v>-715</v>
      </c>
      <c r="C2274" s="52">
        <f t="shared" si="234"/>
        <v>110</v>
      </c>
      <c r="D2274" s="52">
        <f t="shared" si="232"/>
        <v>2200</v>
      </c>
      <c r="E2274" s="52">
        <f t="shared" si="233"/>
        <v>1</v>
      </c>
      <c r="F2274" s="52"/>
      <c r="G2274" s="52"/>
      <c r="H2274" s="52"/>
      <c r="I2274" s="52"/>
      <c r="J2274" s="52"/>
      <c r="K2274" s="52"/>
      <c r="L2274" s="52"/>
      <c r="M2274" s="52"/>
      <c r="N2274" s="52"/>
      <c r="O2274" s="52"/>
      <c r="P2274" s="52"/>
      <c r="Q2274" s="52"/>
      <c r="R2274" s="52"/>
      <c r="S2274" s="52"/>
      <c r="T2274" s="52"/>
      <c r="U2274" s="52"/>
      <c r="V2274" s="52"/>
      <c r="W2274" s="52"/>
      <c r="X2274" s="52"/>
      <c r="Y2274" s="52"/>
      <c r="Z2274" s="52"/>
      <c r="AA2274" s="52"/>
      <c r="AB2274" s="52"/>
      <c r="AC2274" s="52"/>
      <c r="AD2274" s="52"/>
      <c r="AE2274" s="52"/>
      <c r="AF2274" s="52"/>
      <c r="AG2274" s="52"/>
      <c r="AH2274" s="52"/>
      <c r="AI2274" s="52"/>
      <c r="AJ2274" s="52"/>
      <c r="AK2274" s="52"/>
      <c r="AL2274" s="52"/>
      <c r="AM2274" s="52"/>
      <c r="AN2274" s="52"/>
    </row>
    <row r="2275" spans="1:40" x14ac:dyDescent="0.3">
      <c r="A2275" s="52">
        <v>2270</v>
      </c>
      <c r="B2275" s="52">
        <f>-bthan*500+(19+0.5)*bthan*1000/50</f>
        <v>-605</v>
      </c>
      <c r="C2275" s="52">
        <f t="shared" si="234"/>
        <v>110</v>
      </c>
      <c r="D2275" s="52">
        <f t="shared" si="232"/>
        <v>2200</v>
      </c>
      <c r="E2275" s="52">
        <f t="shared" si="233"/>
        <v>1</v>
      </c>
      <c r="F2275" s="52"/>
      <c r="G2275" s="52"/>
      <c r="H2275" s="52"/>
      <c r="I2275" s="52"/>
      <c r="J2275" s="52"/>
      <c r="K2275" s="52"/>
      <c r="L2275" s="52"/>
      <c r="M2275" s="52"/>
      <c r="N2275" s="52"/>
      <c r="O2275" s="52"/>
      <c r="P2275" s="52"/>
      <c r="Q2275" s="52"/>
      <c r="R2275" s="52"/>
      <c r="S2275" s="52"/>
      <c r="T2275" s="52"/>
      <c r="U2275" s="52"/>
      <c r="V2275" s="52"/>
      <c r="W2275" s="52"/>
      <c r="X2275" s="52"/>
      <c r="Y2275" s="52"/>
      <c r="Z2275" s="52"/>
      <c r="AA2275" s="52"/>
      <c r="AB2275" s="52"/>
      <c r="AC2275" s="52"/>
      <c r="AD2275" s="52"/>
      <c r="AE2275" s="52"/>
      <c r="AF2275" s="52"/>
      <c r="AG2275" s="52"/>
      <c r="AH2275" s="52"/>
      <c r="AI2275" s="52"/>
      <c r="AJ2275" s="52"/>
      <c r="AK2275" s="52"/>
      <c r="AL2275" s="52"/>
      <c r="AM2275" s="52"/>
      <c r="AN2275" s="52"/>
    </row>
    <row r="2276" spans="1:40" x14ac:dyDescent="0.3">
      <c r="A2276" s="52">
        <v>2271</v>
      </c>
      <c r="B2276" s="52">
        <f>-bthan*500+(20+0.5)*bthan*1000/50</f>
        <v>-495</v>
      </c>
      <c r="C2276" s="52">
        <f t="shared" si="234"/>
        <v>110</v>
      </c>
      <c r="D2276" s="52">
        <f t="shared" si="232"/>
        <v>2200</v>
      </c>
      <c r="E2276" s="52">
        <f t="shared" si="233"/>
        <v>1</v>
      </c>
      <c r="F2276" s="52"/>
      <c r="G2276" s="52"/>
      <c r="H2276" s="52"/>
      <c r="I2276" s="52"/>
      <c r="J2276" s="52"/>
      <c r="K2276" s="52"/>
      <c r="L2276" s="52"/>
      <c r="M2276" s="52"/>
      <c r="N2276" s="52"/>
      <c r="O2276" s="52"/>
      <c r="P2276" s="52"/>
      <c r="Q2276" s="52"/>
      <c r="R2276" s="52"/>
      <c r="S2276" s="52"/>
      <c r="T2276" s="52"/>
      <c r="U2276" s="52"/>
      <c r="V2276" s="52"/>
      <c r="W2276" s="52"/>
      <c r="X2276" s="52"/>
      <c r="Y2276" s="52"/>
      <c r="Z2276" s="52"/>
      <c r="AA2276" s="52"/>
      <c r="AB2276" s="52"/>
      <c r="AC2276" s="52"/>
      <c r="AD2276" s="52"/>
      <c r="AE2276" s="52"/>
      <c r="AF2276" s="52"/>
      <c r="AG2276" s="52"/>
      <c r="AH2276" s="52"/>
      <c r="AI2276" s="52"/>
      <c r="AJ2276" s="52"/>
      <c r="AK2276" s="52"/>
      <c r="AL2276" s="52"/>
      <c r="AM2276" s="52"/>
      <c r="AN2276" s="52"/>
    </row>
    <row r="2277" spans="1:40" x14ac:dyDescent="0.3">
      <c r="A2277" s="52">
        <v>2272</v>
      </c>
      <c r="B2277" s="52">
        <f>-bthan*500+(21+0.5)*bthan*1000/50</f>
        <v>-385</v>
      </c>
      <c r="C2277" s="52">
        <f t="shared" si="234"/>
        <v>110</v>
      </c>
      <c r="D2277" s="52">
        <f t="shared" si="232"/>
        <v>2200</v>
      </c>
      <c r="E2277" s="52">
        <f t="shared" si="233"/>
        <v>1</v>
      </c>
      <c r="F2277" s="52"/>
      <c r="G2277" s="52"/>
      <c r="H2277" s="52"/>
      <c r="I2277" s="52"/>
      <c r="J2277" s="52"/>
      <c r="K2277" s="52"/>
      <c r="L2277" s="52"/>
      <c r="M2277" s="52"/>
      <c r="N2277" s="52"/>
      <c r="O2277" s="52"/>
      <c r="P2277" s="52"/>
      <c r="Q2277" s="52"/>
      <c r="R2277" s="52"/>
      <c r="S2277" s="52"/>
      <c r="T2277" s="52"/>
      <c r="U2277" s="52"/>
      <c r="V2277" s="52"/>
      <c r="W2277" s="52"/>
      <c r="X2277" s="52"/>
      <c r="Y2277" s="52"/>
      <c r="Z2277" s="52"/>
      <c r="AA2277" s="52"/>
      <c r="AB2277" s="52"/>
      <c r="AC2277" s="52"/>
      <c r="AD2277" s="52"/>
      <c r="AE2277" s="52"/>
      <c r="AF2277" s="52"/>
      <c r="AG2277" s="52"/>
      <c r="AH2277" s="52"/>
      <c r="AI2277" s="52"/>
      <c r="AJ2277" s="52"/>
      <c r="AK2277" s="52"/>
      <c r="AL2277" s="52"/>
      <c r="AM2277" s="52"/>
      <c r="AN2277" s="52"/>
    </row>
    <row r="2278" spans="1:40" x14ac:dyDescent="0.3">
      <c r="A2278" s="52">
        <v>2273</v>
      </c>
      <c r="B2278" s="52">
        <f>-bthan*500+(22+0.5)*bthan*1000/50</f>
        <v>-275</v>
      </c>
      <c r="C2278" s="52">
        <f t="shared" si="234"/>
        <v>110</v>
      </c>
      <c r="D2278" s="52">
        <f t="shared" si="232"/>
        <v>2200</v>
      </c>
      <c r="E2278" s="52">
        <f t="shared" si="233"/>
        <v>1</v>
      </c>
      <c r="F2278" s="52"/>
      <c r="G2278" s="52"/>
      <c r="H2278" s="52"/>
      <c r="I2278" s="52"/>
      <c r="J2278" s="52"/>
      <c r="K2278" s="52"/>
      <c r="L2278" s="52"/>
      <c r="M2278" s="52"/>
      <c r="N2278" s="52"/>
      <c r="O2278" s="52"/>
      <c r="P2278" s="52"/>
      <c r="Q2278" s="52"/>
      <c r="R2278" s="52"/>
      <c r="S2278" s="52"/>
      <c r="T2278" s="52"/>
      <c r="U2278" s="52"/>
      <c r="V2278" s="52"/>
      <c r="W2278" s="52"/>
      <c r="X2278" s="52"/>
      <c r="Y2278" s="52"/>
      <c r="Z2278" s="52"/>
      <c r="AA2278" s="52"/>
      <c r="AB2278" s="52"/>
      <c r="AC2278" s="52"/>
      <c r="AD2278" s="52"/>
      <c r="AE2278" s="52"/>
      <c r="AF2278" s="52"/>
      <c r="AG2278" s="52"/>
      <c r="AH2278" s="52"/>
      <c r="AI2278" s="52"/>
      <c r="AJ2278" s="52"/>
      <c r="AK2278" s="52"/>
      <c r="AL2278" s="52"/>
      <c r="AM2278" s="52"/>
      <c r="AN2278" s="52"/>
    </row>
    <row r="2279" spans="1:40" x14ac:dyDescent="0.3">
      <c r="A2279" s="52">
        <v>2274</v>
      </c>
      <c r="B2279" s="52">
        <f>-bthan*500+(23+0.5)*bthan*1000/50</f>
        <v>-165</v>
      </c>
      <c r="C2279" s="52">
        <f t="shared" si="234"/>
        <v>110</v>
      </c>
      <c r="D2279" s="52">
        <f t="shared" si="232"/>
        <v>2200</v>
      </c>
      <c r="E2279" s="52">
        <f t="shared" si="233"/>
        <v>1</v>
      </c>
      <c r="F2279" s="52"/>
      <c r="G2279" s="52"/>
      <c r="H2279" s="52"/>
      <c r="I2279" s="52"/>
      <c r="J2279" s="52"/>
      <c r="K2279" s="52"/>
      <c r="L2279" s="52"/>
      <c r="M2279" s="52"/>
      <c r="N2279" s="52"/>
      <c r="O2279" s="52"/>
      <c r="P2279" s="52"/>
      <c r="Q2279" s="52"/>
      <c r="R2279" s="52"/>
      <c r="S2279" s="52"/>
      <c r="T2279" s="52"/>
      <c r="U2279" s="52"/>
      <c r="V2279" s="52"/>
      <c r="W2279" s="52"/>
      <c r="X2279" s="52"/>
      <c r="Y2279" s="52"/>
      <c r="Z2279" s="52"/>
      <c r="AA2279" s="52"/>
      <c r="AB2279" s="52"/>
      <c r="AC2279" s="52"/>
      <c r="AD2279" s="52"/>
      <c r="AE2279" s="52"/>
      <c r="AF2279" s="52"/>
      <c r="AG2279" s="52"/>
      <c r="AH2279" s="52"/>
      <c r="AI2279" s="52"/>
      <c r="AJ2279" s="52"/>
      <c r="AK2279" s="52"/>
      <c r="AL2279" s="52"/>
      <c r="AM2279" s="52"/>
      <c r="AN2279" s="52"/>
    </row>
    <row r="2280" spans="1:40" x14ac:dyDescent="0.3">
      <c r="A2280" s="52">
        <v>2275</v>
      </c>
      <c r="B2280" s="52">
        <f>-bthan*500+(24+0.5)*bthan*1000/50</f>
        <v>-55</v>
      </c>
      <c r="C2280" s="52">
        <f t="shared" si="234"/>
        <v>110</v>
      </c>
      <c r="D2280" s="52">
        <f t="shared" si="232"/>
        <v>2200</v>
      </c>
      <c r="E2280" s="52">
        <f t="shared" si="233"/>
        <v>1</v>
      </c>
      <c r="F2280" s="52"/>
      <c r="G2280" s="52"/>
      <c r="H2280" s="52"/>
      <c r="I2280" s="52"/>
      <c r="J2280" s="52"/>
      <c r="K2280" s="52"/>
      <c r="L2280" s="52"/>
      <c r="M2280" s="52"/>
      <c r="N2280" s="52"/>
      <c r="O2280" s="52"/>
      <c r="P2280" s="52"/>
      <c r="Q2280" s="52"/>
      <c r="R2280" s="52"/>
      <c r="S2280" s="52"/>
      <c r="T2280" s="52"/>
      <c r="U2280" s="52"/>
      <c r="V2280" s="52"/>
      <c r="W2280" s="52"/>
      <c r="X2280" s="52"/>
      <c r="Y2280" s="52"/>
      <c r="Z2280" s="52"/>
      <c r="AA2280" s="52"/>
      <c r="AB2280" s="52"/>
      <c r="AC2280" s="52"/>
      <c r="AD2280" s="52"/>
      <c r="AE2280" s="52"/>
      <c r="AF2280" s="52"/>
      <c r="AG2280" s="52"/>
      <c r="AH2280" s="52"/>
      <c r="AI2280" s="52"/>
      <c r="AJ2280" s="52"/>
      <c r="AK2280" s="52"/>
      <c r="AL2280" s="52"/>
      <c r="AM2280" s="52"/>
      <c r="AN2280" s="52"/>
    </row>
    <row r="2281" spans="1:40" x14ac:dyDescent="0.3">
      <c r="A2281" s="52">
        <v>2276</v>
      </c>
      <c r="B2281" s="52">
        <f>-bthan*500+(25+0.5)*bthan*1000/50</f>
        <v>55</v>
      </c>
      <c r="C2281" s="52">
        <f t="shared" si="234"/>
        <v>110</v>
      </c>
      <c r="D2281" s="52">
        <f t="shared" si="232"/>
        <v>2200</v>
      </c>
      <c r="E2281" s="52">
        <f t="shared" si="233"/>
        <v>1</v>
      </c>
      <c r="F2281" s="52"/>
      <c r="G2281" s="52"/>
      <c r="H2281" s="52"/>
      <c r="I2281" s="52"/>
      <c r="J2281" s="52"/>
      <c r="K2281" s="52"/>
      <c r="L2281" s="52"/>
      <c r="M2281" s="52"/>
      <c r="N2281" s="52"/>
      <c r="O2281" s="52"/>
      <c r="P2281" s="52"/>
      <c r="Q2281" s="52"/>
      <c r="R2281" s="52"/>
      <c r="S2281" s="52"/>
      <c r="T2281" s="52"/>
      <c r="U2281" s="52"/>
      <c r="V2281" s="52"/>
      <c r="W2281" s="52"/>
      <c r="X2281" s="52"/>
      <c r="Y2281" s="52"/>
      <c r="Z2281" s="52"/>
      <c r="AA2281" s="52"/>
      <c r="AB2281" s="52"/>
      <c r="AC2281" s="52"/>
      <c r="AD2281" s="52"/>
      <c r="AE2281" s="52"/>
      <c r="AF2281" s="52"/>
      <c r="AG2281" s="52"/>
      <c r="AH2281" s="52"/>
      <c r="AI2281" s="52"/>
      <c r="AJ2281" s="52"/>
      <c r="AK2281" s="52"/>
      <c r="AL2281" s="52"/>
      <c r="AM2281" s="52"/>
      <c r="AN2281" s="52"/>
    </row>
    <row r="2282" spans="1:40" x14ac:dyDescent="0.3">
      <c r="A2282" s="52">
        <v>2277</v>
      </c>
      <c r="B2282" s="52">
        <f>-bthan*500+(26+0.5)*bthan*1000/50</f>
        <v>165</v>
      </c>
      <c r="C2282" s="52">
        <f t="shared" si="234"/>
        <v>110</v>
      </c>
      <c r="D2282" s="52">
        <f t="shared" si="232"/>
        <v>2200</v>
      </c>
      <c r="E2282" s="52">
        <f t="shared" si="233"/>
        <v>1</v>
      </c>
      <c r="F2282" s="52"/>
      <c r="G2282" s="52"/>
      <c r="H2282" s="52"/>
      <c r="I2282" s="52"/>
      <c r="J2282" s="52"/>
      <c r="K2282" s="52"/>
      <c r="L2282" s="52"/>
      <c r="M2282" s="52"/>
      <c r="N2282" s="52"/>
      <c r="O2282" s="52"/>
      <c r="P2282" s="52"/>
      <c r="Q2282" s="52"/>
      <c r="R2282" s="52"/>
      <c r="S2282" s="52"/>
      <c r="T2282" s="52"/>
      <c r="U2282" s="52"/>
      <c r="V2282" s="52"/>
      <c r="W2282" s="52"/>
      <c r="X2282" s="52"/>
      <c r="Y2282" s="52"/>
      <c r="Z2282" s="52"/>
      <c r="AA2282" s="52"/>
      <c r="AB2282" s="52"/>
      <c r="AC2282" s="52"/>
      <c r="AD2282" s="52"/>
      <c r="AE2282" s="52"/>
      <c r="AF2282" s="52"/>
      <c r="AG2282" s="52"/>
      <c r="AH2282" s="52"/>
      <c r="AI2282" s="52"/>
      <c r="AJ2282" s="52"/>
      <c r="AK2282" s="52"/>
      <c r="AL2282" s="52"/>
      <c r="AM2282" s="52"/>
      <c r="AN2282" s="52"/>
    </row>
    <row r="2283" spans="1:40" x14ac:dyDescent="0.3">
      <c r="A2283" s="52">
        <v>2278</v>
      </c>
      <c r="B2283" s="52">
        <f>-bthan*500+(27+0.5)*bthan*1000/50</f>
        <v>275</v>
      </c>
      <c r="C2283" s="52">
        <f t="shared" si="234"/>
        <v>110</v>
      </c>
      <c r="D2283" s="52">
        <f t="shared" si="232"/>
        <v>2200</v>
      </c>
      <c r="E2283" s="52">
        <f t="shared" si="233"/>
        <v>1</v>
      </c>
      <c r="F2283" s="52"/>
      <c r="G2283" s="52"/>
      <c r="H2283" s="52"/>
      <c r="I2283" s="52"/>
      <c r="J2283" s="52"/>
      <c r="K2283" s="52"/>
      <c r="L2283" s="52"/>
      <c r="M2283" s="52"/>
      <c r="N2283" s="52"/>
      <c r="O2283" s="52"/>
      <c r="P2283" s="52"/>
      <c r="Q2283" s="52"/>
      <c r="R2283" s="52"/>
      <c r="S2283" s="52"/>
      <c r="T2283" s="52"/>
      <c r="U2283" s="52"/>
      <c r="V2283" s="52"/>
      <c r="W2283" s="52"/>
      <c r="X2283" s="52"/>
      <c r="Y2283" s="52"/>
      <c r="Z2283" s="52"/>
      <c r="AA2283" s="52"/>
      <c r="AB2283" s="52"/>
      <c r="AC2283" s="52"/>
      <c r="AD2283" s="52"/>
      <c r="AE2283" s="52"/>
      <c r="AF2283" s="52"/>
      <c r="AG2283" s="52"/>
      <c r="AH2283" s="52"/>
      <c r="AI2283" s="52"/>
      <c r="AJ2283" s="52"/>
      <c r="AK2283" s="52"/>
      <c r="AL2283" s="52"/>
      <c r="AM2283" s="52"/>
      <c r="AN2283" s="52"/>
    </row>
    <row r="2284" spans="1:40" x14ac:dyDescent="0.3">
      <c r="A2284" s="52">
        <v>2279</v>
      </c>
      <c r="B2284" s="52">
        <f>-bthan*500+(28+0.5)*bthan*1000/50</f>
        <v>385</v>
      </c>
      <c r="C2284" s="52">
        <f t="shared" si="234"/>
        <v>110</v>
      </c>
      <c r="D2284" s="52">
        <f t="shared" si="232"/>
        <v>2200</v>
      </c>
      <c r="E2284" s="52">
        <f t="shared" si="233"/>
        <v>1</v>
      </c>
      <c r="F2284" s="52"/>
      <c r="G2284" s="52"/>
      <c r="H2284" s="52"/>
      <c r="I2284" s="52"/>
      <c r="J2284" s="52"/>
      <c r="K2284" s="52"/>
      <c r="L2284" s="52"/>
      <c r="M2284" s="52"/>
      <c r="N2284" s="52"/>
      <c r="O2284" s="52"/>
      <c r="P2284" s="52"/>
      <c r="Q2284" s="52"/>
      <c r="R2284" s="52"/>
      <c r="S2284" s="52"/>
      <c r="T2284" s="52"/>
      <c r="U2284" s="52"/>
      <c r="V2284" s="52"/>
      <c r="W2284" s="52"/>
      <c r="X2284" s="52"/>
      <c r="Y2284" s="52"/>
      <c r="Z2284" s="52"/>
      <c r="AA2284" s="52"/>
      <c r="AB2284" s="52"/>
      <c r="AC2284" s="52"/>
      <c r="AD2284" s="52"/>
      <c r="AE2284" s="52"/>
      <c r="AF2284" s="52"/>
      <c r="AG2284" s="52"/>
      <c r="AH2284" s="52"/>
      <c r="AI2284" s="52"/>
      <c r="AJ2284" s="52"/>
      <c r="AK2284" s="52"/>
      <c r="AL2284" s="52"/>
      <c r="AM2284" s="52"/>
      <c r="AN2284" s="52"/>
    </row>
    <row r="2285" spans="1:40" x14ac:dyDescent="0.3">
      <c r="A2285" s="52">
        <v>2280</v>
      </c>
      <c r="B2285" s="52">
        <f>-bthan*500+(29+0.5)*bthan*1000/50</f>
        <v>495</v>
      </c>
      <c r="C2285" s="52">
        <f t="shared" si="234"/>
        <v>110</v>
      </c>
      <c r="D2285" s="52">
        <f t="shared" si="232"/>
        <v>2200</v>
      </c>
      <c r="E2285" s="52">
        <f t="shared" si="233"/>
        <v>1</v>
      </c>
      <c r="F2285" s="52"/>
      <c r="G2285" s="52"/>
      <c r="H2285" s="52"/>
      <c r="I2285" s="52"/>
      <c r="J2285" s="52"/>
      <c r="K2285" s="52"/>
      <c r="L2285" s="52"/>
      <c r="M2285" s="52"/>
      <c r="N2285" s="52"/>
      <c r="O2285" s="52"/>
      <c r="P2285" s="52"/>
      <c r="Q2285" s="52"/>
      <c r="R2285" s="52"/>
      <c r="S2285" s="52"/>
      <c r="T2285" s="52"/>
      <c r="U2285" s="52"/>
      <c r="V2285" s="52"/>
      <c r="W2285" s="52"/>
      <c r="X2285" s="52"/>
      <c r="Y2285" s="52"/>
      <c r="Z2285" s="52"/>
      <c r="AA2285" s="52"/>
      <c r="AB2285" s="52"/>
      <c r="AC2285" s="52"/>
      <c r="AD2285" s="52"/>
      <c r="AE2285" s="52"/>
      <c r="AF2285" s="52"/>
      <c r="AG2285" s="52"/>
      <c r="AH2285" s="52"/>
      <c r="AI2285" s="52"/>
      <c r="AJ2285" s="52"/>
      <c r="AK2285" s="52"/>
      <c r="AL2285" s="52"/>
      <c r="AM2285" s="52"/>
      <c r="AN2285" s="52"/>
    </row>
    <row r="2286" spans="1:40" x14ac:dyDescent="0.3">
      <c r="A2286" s="52">
        <v>2281</v>
      </c>
      <c r="B2286" s="52">
        <f>-bthan*500+(30+0.5)*bthan*1000/50</f>
        <v>605</v>
      </c>
      <c r="C2286" s="52">
        <f t="shared" si="234"/>
        <v>110</v>
      </c>
      <c r="D2286" s="52">
        <f t="shared" si="232"/>
        <v>2200</v>
      </c>
      <c r="E2286" s="52">
        <f t="shared" si="233"/>
        <v>1</v>
      </c>
      <c r="F2286" s="52"/>
      <c r="G2286" s="52"/>
      <c r="H2286" s="52"/>
      <c r="I2286" s="52"/>
      <c r="J2286" s="52"/>
      <c r="K2286" s="52"/>
      <c r="L2286" s="52"/>
      <c r="M2286" s="52"/>
      <c r="N2286" s="52"/>
      <c r="O2286" s="52"/>
      <c r="P2286" s="52"/>
      <c r="Q2286" s="52"/>
      <c r="R2286" s="52"/>
      <c r="S2286" s="52"/>
      <c r="T2286" s="52"/>
      <c r="U2286" s="52"/>
      <c r="V2286" s="52"/>
      <c r="W2286" s="52"/>
      <c r="X2286" s="52"/>
      <c r="Y2286" s="52"/>
      <c r="Z2286" s="52"/>
      <c r="AA2286" s="52"/>
      <c r="AB2286" s="52"/>
      <c r="AC2286" s="52"/>
      <c r="AD2286" s="52"/>
      <c r="AE2286" s="52"/>
      <c r="AF2286" s="52"/>
      <c r="AG2286" s="52"/>
      <c r="AH2286" s="52"/>
      <c r="AI2286" s="52"/>
      <c r="AJ2286" s="52"/>
      <c r="AK2286" s="52"/>
      <c r="AL2286" s="52"/>
      <c r="AM2286" s="52"/>
      <c r="AN2286" s="52"/>
    </row>
    <row r="2287" spans="1:40" x14ac:dyDescent="0.3">
      <c r="A2287" s="52">
        <v>2282</v>
      </c>
      <c r="B2287" s="52">
        <f>-bthan*500+(31+0.5)*bthan*1000/50</f>
        <v>715</v>
      </c>
      <c r="C2287" s="52">
        <f t="shared" si="234"/>
        <v>110</v>
      </c>
      <c r="D2287" s="52">
        <f t="shared" si="232"/>
        <v>2200</v>
      </c>
      <c r="E2287" s="52">
        <f t="shared" si="233"/>
        <v>1</v>
      </c>
      <c r="F2287" s="52"/>
      <c r="G2287" s="52"/>
      <c r="H2287" s="52"/>
      <c r="I2287" s="52"/>
      <c r="J2287" s="52"/>
      <c r="K2287" s="52"/>
      <c r="L2287" s="52"/>
      <c r="M2287" s="52"/>
      <c r="N2287" s="52"/>
      <c r="O2287" s="52"/>
      <c r="P2287" s="52"/>
      <c r="Q2287" s="52"/>
      <c r="R2287" s="52"/>
      <c r="S2287" s="52"/>
      <c r="T2287" s="52"/>
      <c r="U2287" s="52"/>
      <c r="V2287" s="52"/>
      <c r="W2287" s="52"/>
      <c r="X2287" s="52"/>
      <c r="Y2287" s="52"/>
      <c r="Z2287" s="52"/>
      <c r="AA2287" s="52"/>
      <c r="AB2287" s="52"/>
      <c r="AC2287" s="52"/>
      <c r="AD2287" s="52"/>
      <c r="AE2287" s="52"/>
      <c r="AF2287" s="52"/>
      <c r="AG2287" s="52"/>
      <c r="AH2287" s="52"/>
      <c r="AI2287" s="52"/>
      <c r="AJ2287" s="52"/>
      <c r="AK2287" s="52"/>
      <c r="AL2287" s="52"/>
      <c r="AM2287" s="52"/>
      <c r="AN2287" s="52"/>
    </row>
    <row r="2288" spans="1:40" x14ac:dyDescent="0.3">
      <c r="A2288" s="52">
        <v>2283</v>
      </c>
      <c r="B2288" s="52">
        <f>-bthan*500+(32+0.5)*bthan*1000/50</f>
        <v>825</v>
      </c>
      <c r="C2288" s="52">
        <f t="shared" ref="C2288:C2305" si="235">-hthan*500+(45+0.5)*hthan*1000/80</f>
        <v>110</v>
      </c>
      <c r="D2288" s="52">
        <f t="shared" si="232"/>
        <v>2200</v>
      </c>
      <c r="E2288" s="52">
        <f t="shared" si="233"/>
        <v>1</v>
      </c>
      <c r="F2288" s="52"/>
      <c r="G2288" s="52"/>
      <c r="H2288" s="52"/>
      <c r="I2288" s="52"/>
      <c r="J2288" s="52"/>
      <c r="K2288" s="52"/>
      <c r="L2288" s="52"/>
      <c r="M2288" s="52"/>
      <c r="N2288" s="52"/>
      <c r="O2288" s="52"/>
      <c r="P2288" s="52"/>
      <c r="Q2288" s="52"/>
      <c r="R2288" s="52"/>
      <c r="S2288" s="52"/>
      <c r="T2288" s="52"/>
      <c r="U2288" s="52"/>
      <c r="V2288" s="52"/>
      <c r="W2288" s="52"/>
      <c r="X2288" s="52"/>
      <c r="Y2288" s="52"/>
      <c r="Z2288" s="52"/>
      <c r="AA2288" s="52"/>
      <c r="AB2288" s="52"/>
      <c r="AC2288" s="52"/>
      <c r="AD2288" s="52"/>
      <c r="AE2288" s="52"/>
      <c r="AF2288" s="52"/>
      <c r="AG2288" s="52"/>
      <c r="AH2288" s="52"/>
      <c r="AI2288" s="52"/>
      <c r="AJ2288" s="52"/>
      <c r="AK2288" s="52"/>
      <c r="AL2288" s="52"/>
      <c r="AM2288" s="52"/>
      <c r="AN2288" s="52"/>
    </row>
    <row r="2289" spans="1:40" x14ac:dyDescent="0.3">
      <c r="A2289" s="52">
        <v>2284</v>
      </c>
      <c r="B2289" s="52">
        <f>-bthan*500+(33+0.5)*bthan*1000/50</f>
        <v>935</v>
      </c>
      <c r="C2289" s="52">
        <f t="shared" si="235"/>
        <v>110</v>
      </c>
      <c r="D2289" s="52">
        <f t="shared" si="232"/>
        <v>2200</v>
      </c>
      <c r="E2289" s="52">
        <f t="shared" si="233"/>
        <v>1</v>
      </c>
      <c r="F2289" s="52"/>
      <c r="G2289" s="52"/>
      <c r="H2289" s="52"/>
      <c r="I2289" s="52"/>
      <c r="J2289" s="52"/>
      <c r="K2289" s="52"/>
      <c r="L2289" s="52"/>
      <c r="M2289" s="52"/>
      <c r="N2289" s="52"/>
      <c r="O2289" s="52"/>
      <c r="P2289" s="52"/>
      <c r="Q2289" s="52"/>
      <c r="R2289" s="52"/>
      <c r="S2289" s="52"/>
      <c r="T2289" s="52"/>
      <c r="U2289" s="52"/>
      <c r="V2289" s="52"/>
      <c r="W2289" s="52"/>
      <c r="X2289" s="52"/>
      <c r="Y2289" s="52"/>
      <c r="Z2289" s="52"/>
      <c r="AA2289" s="52"/>
      <c r="AB2289" s="52"/>
      <c r="AC2289" s="52"/>
      <c r="AD2289" s="52"/>
      <c r="AE2289" s="52"/>
      <c r="AF2289" s="52"/>
      <c r="AG2289" s="52"/>
      <c r="AH2289" s="52"/>
      <c r="AI2289" s="52"/>
      <c r="AJ2289" s="52"/>
      <c r="AK2289" s="52"/>
      <c r="AL2289" s="52"/>
      <c r="AM2289" s="52"/>
      <c r="AN2289" s="52"/>
    </row>
    <row r="2290" spans="1:40" x14ac:dyDescent="0.3">
      <c r="A2290" s="52">
        <v>2285</v>
      </c>
      <c r="B2290" s="52">
        <f>-bthan*500+(34+0.5)*bthan*1000/50</f>
        <v>1045</v>
      </c>
      <c r="C2290" s="52">
        <f t="shared" si="235"/>
        <v>110</v>
      </c>
      <c r="D2290" s="52">
        <f t="shared" si="232"/>
        <v>2200</v>
      </c>
      <c r="E2290" s="52">
        <f t="shared" si="233"/>
        <v>1</v>
      </c>
      <c r="F2290" s="52"/>
      <c r="G2290" s="52"/>
      <c r="H2290" s="52"/>
      <c r="I2290" s="52"/>
      <c r="J2290" s="52"/>
      <c r="K2290" s="52"/>
      <c r="L2290" s="52"/>
      <c r="M2290" s="52"/>
      <c r="N2290" s="52"/>
      <c r="O2290" s="52"/>
      <c r="P2290" s="52"/>
      <c r="Q2290" s="52"/>
      <c r="R2290" s="52"/>
      <c r="S2290" s="52"/>
      <c r="T2290" s="52"/>
      <c r="U2290" s="52"/>
      <c r="V2290" s="52"/>
      <c r="W2290" s="52"/>
      <c r="X2290" s="52"/>
      <c r="Y2290" s="52"/>
      <c r="Z2290" s="52"/>
      <c r="AA2290" s="52"/>
      <c r="AB2290" s="52"/>
      <c r="AC2290" s="52"/>
      <c r="AD2290" s="52"/>
      <c r="AE2290" s="52"/>
      <c r="AF2290" s="52"/>
      <c r="AG2290" s="52"/>
      <c r="AH2290" s="52"/>
      <c r="AI2290" s="52"/>
      <c r="AJ2290" s="52"/>
      <c r="AK2290" s="52"/>
      <c r="AL2290" s="52"/>
      <c r="AM2290" s="52"/>
      <c r="AN2290" s="52"/>
    </row>
    <row r="2291" spans="1:40" x14ac:dyDescent="0.3">
      <c r="A2291" s="52">
        <v>2286</v>
      </c>
      <c r="B2291" s="52">
        <f>-bthan*500+(35+0.5)*bthan*1000/50</f>
        <v>1155</v>
      </c>
      <c r="C2291" s="52">
        <f t="shared" si="235"/>
        <v>110</v>
      </c>
      <c r="D2291" s="52">
        <f t="shared" si="232"/>
        <v>2200</v>
      </c>
      <c r="E2291" s="52">
        <f t="shared" si="233"/>
        <v>1</v>
      </c>
      <c r="F2291" s="52"/>
      <c r="G2291" s="52"/>
      <c r="H2291" s="52"/>
      <c r="I2291" s="52"/>
      <c r="J2291" s="52"/>
      <c r="K2291" s="52"/>
      <c r="L2291" s="52"/>
      <c r="M2291" s="52"/>
      <c r="N2291" s="52"/>
      <c r="O2291" s="52"/>
      <c r="P2291" s="52"/>
      <c r="Q2291" s="52"/>
      <c r="R2291" s="52"/>
      <c r="S2291" s="52"/>
      <c r="T2291" s="52"/>
      <c r="U2291" s="52"/>
      <c r="V2291" s="52"/>
      <c r="W2291" s="52"/>
      <c r="X2291" s="52"/>
      <c r="Y2291" s="52"/>
      <c r="Z2291" s="52"/>
      <c r="AA2291" s="52"/>
      <c r="AB2291" s="52"/>
      <c r="AC2291" s="52"/>
      <c r="AD2291" s="52"/>
      <c r="AE2291" s="52"/>
      <c r="AF2291" s="52"/>
      <c r="AG2291" s="52"/>
      <c r="AH2291" s="52"/>
      <c r="AI2291" s="52"/>
      <c r="AJ2291" s="52"/>
      <c r="AK2291" s="52"/>
      <c r="AL2291" s="52"/>
      <c r="AM2291" s="52"/>
      <c r="AN2291" s="52"/>
    </row>
    <row r="2292" spans="1:40" x14ac:dyDescent="0.3">
      <c r="A2292" s="52">
        <v>2287</v>
      </c>
      <c r="B2292" s="52">
        <f>-bthan*500+(36+0.5)*bthan*1000/50</f>
        <v>1265</v>
      </c>
      <c r="C2292" s="52">
        <f t="shared" si="235"/>
        <v>110</v>
      </c>
      <c r="D2292" s="52">
        <f t="shared" si="232"/>
        <v>2200</v>
      </c>
      <c r="E2292" s="52">
        <f t="shared" si="233"/>
        <v>1</v>
      </c>
      <c r="F2292" s="52"/>
      <c r="G2292" s="52"/>
      <c r="H2292" s="52"/>
      <c r="I2292" s="52"/>
      <c r="J2292" s="52"/>
      <c r="K2292" s="52"/>
      <c r="L2292" s="52"/>
      <c r="M2292" s="52"/>
      <c r="N2292" s="52"/>
      <c r="O2292" s="52"/>
      <c r="P2292" s="52"/>
      <c r="Q2292" s="52"/>
      <c r="R2292" s="52"/>
      <c r="S2292" s="52"/>
      <c r="T2292" s="52"/>
      <c r="U2292" s="52"/>
      <c r="V2292" s="52"/>
      <c r="W2292" s="52"/>
      <c r="X2292" s="52"/>
      <c r="Y2292" s="52"/>
      <c r="Z2292" s="52"/>
      <c r="AA2292" s="52"/>
      <c r="AB2292" s="52"/>
      <c r="AC2292" s="52"/>
      <c r="AD2292" s="52"/>
      <c r="AE2292" s="52"/>
      <c r="AF2292" s="52"/>
      <c r="AG2292" s="52"/>
      <c r="AH2292" s="52"/>
      <c r="AI2292" s="52"/>
      <c r="AJ2292" s="52"/>
      <c r="AK2292" s="52"/>
      <c r="AL2292" s="52"/>
      <c r="AM2292" s="52"/>
      <c r="AN2292" s="52"/>
    </row>
    <row r="2293" spans="1:40" x14ac:dyDescent="0.3">
      <c r="A2293" s="52">
        <v>2288</v>
      </c>
      <c r="B2293" s="52">
        <f>-bthan*500+(37+0.5)*bthan*1000/50</f>
        <v>1375</v>
      </c>
      <c r="C2293" s="52">
        <f t="shared" si="235"/>
        <v>110</v>
      </c>
      <c r="D2293" s="52">
        <f t="shared" si="232"/>
        <v>2200</v>
      </c>
      <c r="E2293" s="52">
        <f t="shared" si="233"/>
        <v>1</v>
      </c>
      <c r="F2293" s="52"/>
      <c r="G2293" s="52"/>
      <c r="H2293" s="52"/>
      <c r="I2293" s="52"/>
      <c r="J2293" s="52"/>
      <c r="K2293" s="52"/>
      <c r="L2293" s="52"/>
      <c r="M2293" s="52"/>
      <c r="N2293" s="52"/>
      <c r="O2293" s="52"/>
      <c r="P2293" s="52"/>
      <c r="Q2293" s="52"/>
      <c r="R2293" s="52"/>
      <c r="S2293" s="52"/>
      <c r="T2293" s="52"/>
      <c r="U2293" s="52"/>
      <c r="V2293" s="52"/>
      <c r="W2293" s="52"/>
      <c r="X2293" s="52"/>
      <c r="Y2293" s="52"/>
      <c r="Z2293" s="52"/>
      <c r="AA2293" s="52"/>
      <c r="AB2293" s="52"/>
      <c r="AC2293" s="52"/>
      <c r="AD2293" s="52"/>
      <c r="AE2293" s="52"/>
      <c r="AF2293" s="52"/>
      <c r="AG2293" s="52"/>
      <c r="AH2293" s="52"/>
      <c r="AI2293" s="52"/>
      <c r="AJ2293" s="52"/>
      <c r="AK2293" s="52"/>
      <c r="AL2293" s="52"/>
      <c r="AM2293" s="52"/>
      <c r="AN2293" s="52"/>
    </row>
    <row r="2294" spans="1:40" x14ac:dyDescent="0.3">
      <c r="A2294" s="52">
        <v>2289</v>
      </c>
      <c r="B2294" s="52">
        <f>-bthan*500+(38+0.5)*bthan*1000/50</f>
        <v>1485</v>
      </c>
      <c r="C2294" s="52">
        <f t="shared" si="235"/>
        <v>110</v>
      </c>
      <c r="D2294" s="52">
        <f t="shared" si="232"/>
        <v>2200</v>
      </c>
      <c r="E2294" s="52">
        <f t="shared" si="233"/>
        <v>1</v>
      </c>
      <c r="F2294" s="52"/>
      <c r="G2294" s="52"/>
      <c r="H2294" s="52"/>
      <c r="I2294" s="52"/>
      <c r="J2294" s="52"/>
      <c r="K2294" s="52"/>
      <c r="L2294" s="52"/>
      <c r="M2294" s="52"/>
      <c r="N2294" s="52"/>
      <c r="O2294" s="52"/>
      <c r="P2294" s="52"/>
      <c r="Q2294" s="52"/>
      <c r="R2294" s="52"/>
      <c r="S2294" s="52"/>
      <c r="T2294" s="52"/>
      <c r="U2294" s="52"/>
      <c r="V2294" s="52"/>
      <c r="W2294" s="52"/>
      <c r="X2294" s="52"/>
      <c r="Y2294" s="52"/>
      <c r="Z2294" s="52"/>
      <c r="AA2294" s="52"/>
      <c r="AB2294" s="52"/>
      <c r="AC2294" s="52"/>
      <c r="AD2294" s="52"/>
      <c r="AE2294" s="52"/>
      <c r="AF2294" s="52"/>
      <c r="AG2294" s="52"/>
      <c r="AH2294" s="52"/>
      <c r="AI2294" s="52"/>
      <c r="AJ2294" s="52"/>
      <c r="AK2294" s="52"/>
      <c r="AL2294" s="52"/>
      <c r="AM2294" s="52"/>
      <c r="AN2294" s="52"/>
    </row>
    <row r="2295" spans="1:40" x14ac:dyDescent="0.3">
      <c r="A2295" s="52">
        <v>2290</v>
      </c>
      <c r="B2295" s="52">
        <f>-bthan*500+(39+0.5)*bthan*1000/50</f>
        <v>1595</v>
      </c>
      <c r="C2295" s="52">
        <f t="shared" si="235"/>
        <v>110</v>
      </c>
      <c r="D2295" s="52">
        <f t="shared" si="232"/>
        <v>2200</v>
      </c>
      <c r="E2295" s="52">
        <f t="shared" si="233"/>
        <v>1</v>
      </c>
      <c r="F2295" s="52"/>
      <c r="G2295" s="52"/>
      <c r="H2295" s="52"/>
      <c r="I2295" s="52"/>
      <c r="J2295" s="52"/>
      <c r="K2295" s="52"/>
      <c r="L2295" s="52"/>
      <c r="M2295" s="52"/>
      <c r="N2295" s="52"/>
      <c r="O2295" s="52"/>
      <c r="P2295" s="52"/>
      <c r="Q2295" s="52"/>
      <c r="R2295" s="52"/>
      <c r="S2295" s="52"/>
      <c r="T2295" s="52"/>
      <c r="U2295" s="52"/>
      <c r="V2295" s="52"/>
      <c r="W2295" s="52"/>
      <c r="X2295" s="52"/>
      <c r="Y2295" s="52"/>
      <c r="Z2295" s="52"/>
      <c r="AA2295" s="52"/>
      <c r="AB2295" s="52"/>
      <c r="AC2295" s="52"/>
      <c r="AD2295" s="52"/>
      <c r="AE2295" s="52"/>
      <c r="AF2295" s="52"/>
      <c r="AG2295" s="52"/>
      <c r="AH2295" s="52"/>
      <c r="AI2295" s="52"/>
      <c r="AJ2295" s="52"/>
      <c r="AK2295" s="52"/>
      <c r="AL2295" s="52"/>
      <c r="AM2295" s="52"/>
      <c r="AN2295" s="52"/>
    </row>
    <row r="2296" spans="1:40" x14ac:dyDescent="0.3">
      <c r="A2296" s="52">
        <v>2291</v>
      </c>
      <c r="B2296" s="52">
        <f>-bthan*500+(40+0.5)*bthan*1000/50</f>
        <v>1705</v>
      </c>
      <c r="C2296" s="52">
        <f t="shared" si="235"/>
        <v>110</v>
      </c>
      <c r="D2296" s="52">
        <f t="shared" si="232"/>
        <v>2200</v>
      </c>
      <c r="E2296" s="52">
        <f t="shared" si="233"/>
        <v>1</v>
      </c>
      <c r="F2296" s="52"/>
      <c r="G2296" s="52"/>
      <c r="H2296" s="52"/>
      <c r="I2296" s="52"/>
      <c r="J2296" s="52"/>
      <c r="K2296" s="52"/>
      <c r="L2296" s="52"/>
      <c r="M2296" s="52"/>
      <c r="N2296" s="52"/>
      <c r="O2296" s="52"/>
      <c r="P2296" s="52"/>
      <c r="Q2296" s="52"/>
      <c r="R2296" s="52"/>
      <c r="S2296" s="52"/>
      <c r="T2296" s="52"/>
      <c r="U2296" s="52"/>
      <c r="V2296" s="52"/>
      <c r="W2296" s="52"/>
      <c r="X2296" s="52"/>
      <c r="Y2296" s="52"/>
      <c r="Z2296" s="52"/>
      <c r="AA2296" s="52"/>
      <c r="AB2296" s="52"/>
      <c r="AC2296" s="52"/>
      <c r="AD2296" s="52"/>
      <c r="AE2296" s="52"/>
      <c r="AF2296" s="52"/>
      <c r="AG2296" s="52"/>
      <c r="AH2296" s="52"/>
      <c r="AI2296" s="52"/>
      <c r="AJ2296" s="52"/>
      <c r="AK2296" s="52"/>
      <c r="AL2296" s="52"/>
      <c r="AM2296" s="52"/>
      <c r="AN2296" s="52"/>
    </row>
    <row r="2297" spans="1:40" x14ac:dyDescent="0.3">
      <c r="A2297" s="52">
        <v>2292</v>
      </c>
      <c r="B2297" s="52">
        <f>-bthan*500+(41+0.5)*bthan*1000/50</f>
        <v>1815</v>
      </c>
      <c r="C2297" s="52">
        <f t="shared" si="235"/>
        <v>110</v>
      </c>
      <c r="D2297" s="52">
        <f t="shared" si="232"/>
        <v>2200</v>
      </c>
      <c r="E2297" s="52">
        <f t="shared" si="233"/>
        <v>1</v>
      </c>
      <c r="F2297" s="52"/>
      <c r="G2297" s="52"/>
      <c r="H2297" s="52"/>
      <c r="I2297" s="52"/>
      <c r="J2297" s="52"/>
      <c r="K2297" s="52"/>
      <c r="L2297" s="52"/>
      <c r="M2297" s="52"/>
      <c r="N2297" s="52"/>
      <c r="O2297" s="52"/>
      <c r="P2297" s="52"/>
      <c r="Q2297" s="52"/>
      <c r="R2297" s="52"/>
      <c r="S2297" s="52"/>
      <c r="T2297" s="52"/>
      <c r="U2297" s="52"/>
      <c r="V2297" s="52"/>
      <c r="W2297" s="52"/>
      <c r="X2297" s="52"/>
      <c r="Y2297" s="52"/>
      <c r="Z2297" s="52"/>
      <c r="AA2297" s="52"/>
      <c r="AB2297" s="52"/>
      <c r="AC2297" s="52"/>
      <c r="AD2297" s="52"/>
      <c r="AE2297" s="52"/>
      <c r="AF2297" s="52"/>
      <c r="AG2297" s="52"/>
      <c r="AH2297" s="52"/>
      <c r="AI2297" s="52"/>
      <c r="AJ2297" s="52"/>
      <c r="AK2297" s="52"/>
      <c r="AL2297" s="52"/>
      <c r="AM2297" s="52"/>
      <c r="AN2297" s="52"/>
    </row>
    <row r="2298" spans="1:40" x14ac:dyDescent="0.3">
      <c r="A2298" s="52">
        <v>2293</v>
      </c>
      <c r="B2298" s="52">
        <f>-bthan*500+(42+0.5)*bthan*1000/50</f>
        <v>1925</v>
      </c>
      <c r="C2298" s="52">
        <f t="shared" si="235"/>
        <v>110</v>
      </c>
      <c r="D2298" s="52">
        <f t="shared" si="232"/>
        <v>2200</v>
      </c>
      <c r="E2298" s="52">
        <f t="shared" si="233"/>
        <v>1</v>
      </c>
      <c r="F2298" s="52"/>
      <c r="G2298" s="52"/>
      <c r="H2298" s="52"/>
      <c r="I2298" s="52"/>
      <c r="J2298" s="52"/>
      <c r="K2298" s="52"/>
      <c r="L2298" s="52"/>
      <c r="M2298" s="52"/>
      <c r="N2298" s="52"/>
      <c r="O2298" s="52"/>
      <c r="P2298" s="52"/>
      <c r="Q2298" s="52"/>
      <c r="R2298" s="52"/>
      <c r="S2298" s="52"/>
      <c r="T2298" s="52"/>
      <c r="U2298" s="52"/>
      <c r="V2298" s="52"/>
      <c r="W2298" s="52"/>
      <c r="X2298" s="52"/>
      <c r="Y2298" s="52"/>
      <c r="Z2298" s="52"/>
      <c r="AA2298" s="52"/>
      <c r="AB2298" s="52"/>
      <c r="AC2298" s="52"/>
      <c r="AD2298" s="52"/>
      <c r="AE2298" s="52"/>
      <c r="AF2298" s="52"/>
      <c r="AG2298" s="52"/>
      <c r="AH2298" s="52"/>
      <c r="AI2298" s="52"/>
      <c r="AJ2298" s="52"/>
      <c r="AK2298" s="52"/>
      <c r="AL2298" s="52"/>
      <c r="AM2298" s="52"/>
      <c r="AN2298" s="52"/>
    </row>
    <row r="2299" spans="1:40" x14ac:dyDescent="0.3">
      <c r="A2299" s="52">
        <v>2294</v>
      </c>
      <c r="B2299" s="52">
        <f>-bthan*500+(43+0.5)*bthan*1000/50</f>
        <v>2035</v>
      </c>
      <c r="C2299" s="52">
        <f t="shared" si="235"/>
        <v>110</v>
      </c>
      <c r="D2299" s="52">
        <f t="shared" si="232"/>
        <v>2200</v>
      </c>
      <c r="E2299" s="52">
        <f t="shared" si="233"/>
        <v>1</v>
      </c>
      <c r="F2299" s="52"/>
      <c r="G2299" s="52"/>
      <c r="H2299" s="52"/>
      <c r="I2299" s="52"/>
      <c r="J2299" s="52"/>
      <c r="K2299" s="52"/>
      <c r="L2299" s="52"/>
      <c r="M2299" s="52"/>
      <c r="N2299" s="52"/>
      <c r="O2299" s="52"/>
      <c r="P2299" s="52"/>
      <c r="Q2299" s="52"/>
      <c r="R2299" s="52"/>
      <c r="S2299" s="52"/>
      <c r="T2299" s="52"/>
      <c r="U2299" s="52"/>
      <c r="V2299" s="52"/>
      <c r="W2299" s="52"/>
      <c r="X2299" s="52"/>
      <c r="Y2299" s="52"/>
      <c r="Z2299" s="52"/>
      <c r="AA2299" s="52"/>
      <c r="AB2299" s="52"/>
      <c r="AC2299" s="52"/>
      <c r="AD2299" s="52"/>
      <c r="AE2299" s="52"/>
      <c r="AF2299" s="52"/>
      <c r="AG2299" s="52"/>
      <c r="AH2299" s="52"/>
      <c r="AI2299" s="52"/>
      <c r="AJ2299" s="52"/>
      <c r="AK2299" s="52"/>
      <c r="AL2299" s="52"/>
      <c r="AM2299" s="52"/>
      <c r="AN2299" s="52"/>
    </row>
    <row r="2300" spans="1:40" x14ac:dyDescent="0.3">
      <c r="A2300" s="52">
        <v>2295</v>
      </c>
      <c r="B2300" s="52">
        <f>-bthan*500+(44+0.5)*bthan*1000/50</f>
        <v>2145</v>
      </c>
      <c r="C2300" s="52">
        <f t="shared" si="235"/>
        <v>110</v>
      </c>
      <c r="D2300" s="52">
        <f t="shared" si="232"/>
        <v>2200</v>
      </c>
      <c r="E2300" s="52">
        <f t="shared" si="233"/>
        <v>1</v>
      </c>
      <c r="F2300" s="52"/>
      <c r="G2300" s="52"/>
      <c r="H2300" s="52"/>
      <c r="I2300" s="52"/>
      <c r="J2300" s="52"/>
      <c r="K2300" s="52"/>
      <c r="L2300" s="52"/>
      <c r="M2300" s="52"/>
      <c r="N2300" s="52"/>
      <c r="O2300" s="52"/>
      <c r="P2300" s="52"/>
      <c r="Q2300" s="52"/>
      <c r="R2300" s="52"/>
      <c r="S2300" s="52"/>
      <c r="T2300" s="52"/>
      <c r="U2300" s="52"/>
      <c r="V2300" s="52"/>
      <c r="W2300" s="52"/>
      <c r="X2300" s="52"/>
      <c r="Y2300" s="52"/>
      <c r="Z2300" s="52"/>
      <c r="AA2300" s="52"/>
      <c r="AB2300" s="52"/>
      <c r="AC2300" s="52"/>
      <c r="AD2300" s="52"/>
      <c r="AE2300" s="52"/>
      <c r="AF2300" s="52"/>
      <c r="AG2300" s="52"/>
      <c r="AH2300" s="52"/>
      <c r="AI2300" s="52"/>
      <c r="AJ2300" s="52"/>
      <c r="AK2300" s="52"/>
      <c r="AL2300" s="52"/>
      <c r="AM2300" s="52"/>
      <c r="AN2300" s="52"/>
    </row>
    <row r="2301" spans="1:40" x14ac:dyDescent="0.3">
      <c r="A2301" s="52">
        <v>2296</v>
      </c>
      <c r="B2301" s="52">
        <f>-bthan*500+(45+0.5)*bthan*1000/50</f>
        <v>2255</v>
      </c>
      <c r="C2301" s="52">
        <f t="shared" si="235"/>
        <v>110</v>
      </c>
      <c r="D2301" s="52">
        <f t="shared" si="232"/>
        <v>2200</v>
      </c>
      <c r="E2301" s="52">
        <f t="shared" si="233"/>
        <v>1</v>
      </c>
      <c r="F2301" s="52"/>
      <c r="G2301" s="52"/>
      <c r="H2301" s="52"/>
      <c r="I2301" s="52"/>
      <c r="J2301" s="52"/>
      <c r="K2301" s="52"/>
      <c r="L2301" s="52"/>
      <c r="M2301" s="52"/>
      <c r="N2301" s="52"/>
      <c r="O2301" s="52"/>
      <c r="P2301" s="52"/>
      <c r="Q2301" s="52"/>
      <c r="R2301" s="52"/>
      <c r="S2301" s="52"/>
      <c r="T2301" s="52"/>
      <c r="U2301" s="52"/>
      <c r="V2301" s="52"/>
      <c r="W2301" s="52"/>
      <c r="X2301" s="52"/>
      <c r="Y2301" s="52"/>
      <c r="Z2301" s="52"/>
      <c r="AA2301" s="52"/>
      <c r="AB2301" s="52"/>
      <c r="AC2301" s="52"/>
      <c r="AD2301" s="52"/>
      <c r="AE2301" s="52"/>
      <c r="AF2301" s="52"/>
      <c r="AG2301" s="52"/>
      <c r="AH2301" s="52"/>
      <c r="AI2301" s="52"/>
      <c r="AJ2301" s="52"/>
      <c r="AK2301" s="52"/>
      <c r="AL2301" s="52"/>
      <c r="AM2301" s="52"/>
      <c r="AN2301" s="52"/>
    </row>
    <row r="2302" spans="1:40" x14ac:dyDescent="0.3">
      <c r="A2302" s="52">
        <v>2297</v>
      </c>
      <c r="B2302" s="52">
        <f>-bthan*500+(46+0.5)*bthan*1000/50</f>
        <v>2365</v>
      </c>
      <c r="C2302" s="52">
        <f t="shared" si="235"/>
        <v>110</v>
      </c>
      <c r="D2302" s="52">
        <f t="shared" si="232"/>
        <v>2200</v>
      </c>
      <c r="E2302" s="52">
        <f t="shared" si="233"/>
        <v>1</v>
      </c>
      <c r="F2302" s="52"/>
      <c r="G2302" s="52"/>
      <c r="H2302" s="52"/>
      <c r="I2302" s="52"/>
      <c r="J2302" s="52"/>
      <c r="K2302" s="52"/>
      <c r="L2302" s="52"/>
      <c r="M2302" s="52"/>
      <c r="N2302" s="52"/>
      <c r="O2302" s="52"/>
      <c r="P2302" s="52"/>
      <c r="Q2302" s="52"/>
      <c r="R2302" s="52"/>
      <c r="S2302" s="52"/>
      <c r="T2302" s="52"/>
      <c r="U2302" s="52"/>
      <c r="V2302" s="52"/>
      <c r="W2302" s="52"/>
      <c r="X2302" s="52"/>
      <c r="Y2302" s="52"/>
      <c r="Z2302" s="52"/>
      <c r="AA2302" s="52"/>
      <c r="AB2302" s="52"/>
      <c r="AC2302" s="52"/>
      <c r="AD2302" s="52"/>
      <c r="AE2302" s="52"/>
      <c r="AF2302" s="52"/>
      <c r="AG2302" s="52"/>
      <c r="AH2302" s="52"/>
      <c r="AI2302" s="52"/>
      <c r="AJ2302" s="52"/>
      <c r="AK2302" s="52"/>
      <c r="AL2302" s="52"/>
      <c r="AM2302" s="52"/>
      <c r="AN2302" s="52"/>
    </row>
    <row r="2303" spans="1:40" x14ac:dyDescent="0.3">
      <c r="A2303" s="52">
        <v>2298</v>
      </c>
      <c r="B2303" s="52">
        <f>-bthan*500+(47+0.5)*bthan*1000/50</f>
        <v>2475</v>
      </c>
      <c r="C2303" s="52">
        <f t="shared" si="235"/>
        <v>110</v>
      </c>
      <c r="D2303" s="52">
        <f t="shared" si="232"/>
        <v>2200</v>
      </c>
      <c r="E2303" s="52">
        <f t="shared" si="233"/>
        <v>1</v>
      </c>
      <c r="F2303" s="52"/>
      <c r="G2303" s="52"/>
      <c r="H2303" s="52"/>
      <c r="I2303" s="52"/>
      <c r="J2303" s="52"/>
      <c r="K2303" s="52"/>
      <c r="L2303" s="52"/>
      <c r="M2303" s="52"/>
      <c r="N2303" s="52"/>
      <c r="O2303" s="52"/>
      <c r="P2303" s="52"/>
      <c r="Q2303" s="52"/>
      <c r="R2303" s="52"/>
      <c r="S2303" s="52"/>
      <c r="T2303" s="52"/>
      <c r="U2303" s="52"/>
      <c r="V2303" s="52"/>
      <c r="W2303" s="52"/>
      <c r="X2303" s="52"/>
      <c r="Y2303" s="52"/>
      <c r="Z2303" s="52"/>
      <c r="AA2303" s="52"/>
      <c r="AB2303" s="52"/>
      <c r="AC2303" s="52"/>
      <c r="AD2303" s="52"/>
      <c r="AE2303" s="52"/>
      <c r="AF2303" s="52"/>
      <c r="AG2303" s="52"/>
      <c r="AH2303" s="52"/>
      <c r="AI2303" s="52"/>
      <c r="AJ2303" s="52"/>
      <c r="AK2303" s="52"/>
      <c r="AL2303" s="52"/>
      <c r="AM2303" s="52"/>
      <c r="AN2303" s="52"/>
    </row>
    <row r="2304" spans="1:40" x14ac:dyDescent="0.3">
      <c r="A2304" s="52">
        <v>2299</v>
      </c>
      <c r="B2304" s="52">
        <f>-bthan*500+(48+0.5)*bthan*1000/50</f>
        <v>2585</v>
      </c>
      <c r="C2304" s="52">
        <f t="shared" si="235"/>
        <v>110</v>
      </c>
      <c r="D2304" s="52">
        <f t="shared" si="232"/>
        <v>2200</v>
      </c>
      <c r="E2304" s="52">
        <f t="shared" si="233"/>
        <v>1</v>
      </c>
      <c r="F2304" s="52"/>
      <c r="G2304" s="52"/>
      <c r="H2304" s="52"/>
      <c r="I2304" s="52"/>
      <c r="J2304" s="52"/>
      <c r="K2304" s="52"/>
      <c r="L2304" s="52"/>
      <c r="M2304" s="52"/>
      <c r="N2304" s="52"/>
      <c r="O2304" s="52"/>
      <c r="P2304" s="52"/>
      <c r="Q2304" s="52"/>
      <c r="R2304" s="52"/>
      <c r="S2304" s="52"/>
      <c r="T2304" s="52"/>
      <c r="U2304" s="52"/>
      <c r="V2304" s="52"/>
      <c r="W2304" s="52"/>
      <c r="X2304" s="52"/>
      <c r="Y2304" s="52"/>
      <c r="Z2304" s="52"/>
      <c r="AA2304" s="52"/>
      <c r="AB2304" s="52"/>
      <c r="AC2304" s="52"/>
      <c r="AD2304" s="52"/>
      <c r="AE2304" s="52"/>
      <c r="AF2304" s="52"/>
      <c r="AG2304" s="52"/>
      <c r="AH2304" s="52"/>
      <c r="AI2304" s="52"/>
      <c r="AJ2304" s="52"/>
      <c r="AK2304" s="52"/>
      <c r="AL2304" s="52"/>
      <c r="AM2304" s="52"/>
      <c r="AN2304" s="52"/>
    </row>
    <row r="2305" spans="1:40" x14ac:dyDescent="0.3">
      <c r="A2305" s="52">
        <v>2300</v>
      </c>
      <c r="B2305" s="52">
        <f>-bthan*500+(49+0.5)*bthan*1000/50</f>
        <v>2695</v>
      </c>
      <c r="C2305" s="52">
        <f t="shared" si="235"/>
        <v>110</v>
      </c>
      <c r="D2305" s="52">
        <f t="shared" si="232"/>
        <v>2200</v>
      </c>
      <c r="E2305" s="52">
        <f t="shared" si="233"/>
        <v>1</v>
      </c>
      <c r="F2305" s="52"/>
      <c r="G2305" s="52"/>
      <c r="H2305" s="52"/>
      <c r="I2305" s="52"/>
      <c r="J2305" s="52"/>
      <c r="K2305" s="52"/>
      <c r="L2305" s="52"/>
      <c r="M2305" s="52"/>
      <c r="N2305" s="52"/>
      <c r="O2305" s="52"/>
      <c r="P2305" s="52"/>
      <c r="Q2305" s="52"/>
      <c r="R2305" s="52"/>
      <c r="S2305" s="52"/>
      <c r="T2305" s="52"/>
      <c r="U2305" s="52"/>
      <c r="V2305" s="52"/>
      <c r="W2305" s="52"/>
      <c r="X2305" s="52"/>
      <c r="Y2305" s="52"/>
      <c r="Z2305" s="52"/>
      <c r="AA2305" s="52"/>
      <c r="AB2305" s="52"/>
      <c r="AC2305" s="52"/>
      <c r="AD2305" s="52"/>
      <c r="AE2305" s="52"/>
      <c r="AF2305" s="52"/>
      <c r="AG2305" s="52"/>
      <c r="AH2305" s="52"/>
      <c r="AI2305" s="52"/>
      <c r="AJ2305" s="52"/>
      <c r="AK2305" s="52"/>
      <c r="AL2305" s="52"/>
      <c r="AM2305" s="52"/>
      <c r="AN2305" s="52"/>
    </row>
    <row r="2306" spans="1:40" x14ac:dyDescent="0.3">
      <c r="A2306" s="52">
        <v>2301</v>
      </c>
      <c r="B2306" s="52">
        <f>-bthan*500+(0+0.5)*bthan*1000/50</f>
        <v>-2695</v>
      </c>
      <c r="C2306" s="52">
        <f t="shared" ref="C2306:C2337" si="236">-hthan*500+(46+0.5)*hthan*1000/80</f>
        <v>130</v>
      </c>
      <c r="D2306" s="52">
        <f t="shared" si="232"/>
        <v>2200</v>
      </c>
      <c r="E2306" s="52">
        <f t="shared" si="233"/>
        <v>1</v>
      </c>
      <c r="F2306" s="52"/>
      <c r="G2306" s="52"/>
      <c r="H2306" s="52"/>
      <c r="I2306" s="52"/>
      <c r="J2306" s="52"/>
      <c r="K2306" s="52"/>
      <c r="L2306" s="52"/>
      <c r="M2306" s="52"/>
      <c r="N2306" s="52"/>
      <c r="O2306" s="52"/>
      <c r="P2306" s="52"/>
      <c r="Q2306" s="52"/>
      <c r="R2306" s="52"/>
      <c r="S2306" s="52"/>
      <c r="T2306" s="52"/>
      <c r="U2306" s="52"/>
      <c r="V2306" s="52"/>
      <c r="W2306" s="52"/>
      <c r="X2306" s="52"/>
      <c r="Y2306" s="52"/>
      <c r="Z2306" s="52"/>
      <c r="AA2306" s="52"/>
      <c r="AB2306" s="52"/>
      <c r="AC2306" s="52"/>
      <c r="AD2306" s="52"/>
      <c r="AE2306" s="52"/>
      <c r="AF2306" s="52"/>
      <c r="AG2306" s="52"/>
      <c r="AH2306" s="52"/>
      <c r="AI2306" s="52"/>
      <c r="AJ2306" s="52"/>
      <c r="AK2306" s="52"/>
      <c r="AL2306" s="52"/>
      <c r="AM2306" s="52"/>
      <c r="AN2306" s="52"/>
    </row>
    <row r="2307" spans="1:40" x14ac:dyDescent="0.3">
      <c r="A2307" s="52">
        <v>2302</v>
      </c>
      <c r="B2307" s="52">
        <f>-bthan*500+(1+0.5)*bthan*1000/50</f>
        <v>-2585</v>
      </c>
      <c r="C2307" s="52">
        <f t="shared" si="236"/>
        <v>130</v>
      </c>
      <c r="D2307" s="52">
        <f t="shared" si="232"/>
        <v>2200</v>
      </c>
      <c r="E2307" s="52">
        <f t="shared" si="233"/>
        <v>1</v>
      </c>
      <c r="F2307" s="52"/>
      <c r="G2307" s="52"/>
      <c r="H2307" s="52"/>
      <c r="I2307" s="52"/>
      <c r="J2307" s="52"/>
      <c r="K2307" s="52"/>
      <c r="L2307" s="52"/>
      <c r="M2307" s="52"/>
      <c r="N2307" s="52"/>
      <c r="O2307" s="52"/>
      <c r="P2307" s="52"/>
      <c r="Q2307" s="52"/>
      <c r="R2307" s="52"/>
      <c r="S2307" s="52"/>
      <c r="T2307" s="52"/>
      <c r="U2307" s="52"/>
      <c r="V2307" s="52"/>
      <c r="W2307" s="52"/>
      <c r="X2307" s="52"/>
      <c r="Y2307" s="52"/>
      <c r="Z2307" s="52"/>
      <c r="AA2307" s="52"/>
      <c r="AB2307" s="52"/>
      <c r="AC2307" s="52"/>
      <c r="AD2307" s="52"/>
      <c r="AE2307" s="52"/>
      <c r="AF2307" s="52"/>
      <c r="AG2307" s="52"/>
      <c r="AH2307" s="52"/>
      <c r="AI2307" s="52"/>
      <c r="AJ2307" s="52"/>
      <c r="AK2307" s="52"/>
      <c r="AL2307" s="52"/>
      <c r="AM2307" s="52"/>
      <c r="AN2307" s="52"/>
    </row>
    <row r="2308" spans="1:40" x14ac:dyDescent="0.3">
      <c r="A2308" s="52">
        <v>2303</v>
      </c>
      <c r="B2308" s="52">
        <f>-bthan*500+(2+0.5)*bthan*1000/50</f>
        <v>-2475</v>
      </c>
      <c r="C2308" s="52">
        <f t="shared" si="236"/>
        <v>130</v>
      </c>
      <c r="D2308" s="52">
        <f t="shared" si="232"/>
        <v>2200</v>
      </c>
      <c r="E2308" s="52">
        <f t="shared" si="233"/>
        <v>1</v>
      </c>
      <c r="F2308" s="52"/>
      <c r="G2308" s="52"/>
      <c r="H2308" s="52"/>
      <c r="I2308" s="52"/>
      <c r="J2308" s="52"/>
      <c r="K2308" s="52"/>
      <c r="L2308" s="52"/>
      <c r="M2308" s="52"/>
      <c r="N2308" s="52"/>
      <c r="O2308" s="52"/>
      <c r="P2308" s="52"/>
      <c r="Q2308" s="52"/>
      <c r="R2308" s="52"/>
      <c r="S2308" s="52"/>
      <c r="T2308" s="52"/>
      <c r="U2308" s="52"/>
      <c r="V2308" s="52"/>
      <c r="W2308" s="52"/>
      <c r="X2308" s="52"/>
      <c r="Y2308" s="52"/>
      <c r="Z2308" s="52"/>
      <c r="AA2308" s="52"/>
      <c r="AB2308" s="52"/>
      <c r="AC2308" s="52"/>
      <c r="AD2308" s="52"/>
      <c r="AE2308" s="52"/>
      <c r="AF2308" s="52"/>
      <c r="AG2308" s="52"/>
      <c r="AH2308" s="52"/>
      <c r="AI2308" s="52"/>
      <c r="AJ2308" s="52"/>
      <c r="AK2308" s="52"/>
      <c r="AL2308" s="52"/>
      <c r="AM2308" s="52"/>
      <c r="AN2308" s="52"/>
    </row>
    <row r="2309" spans="1:40" x14ac:dyDescent="0.3">
      <c r="A2309" s="52">
        <v>2304</v>
      </c>
      <c r="B2309" s="52">
        <f>-bthan*500+(3+0.5)*bthan*1000/50</f>
        <v>-2365</v>
      </c>
      <c r="C2309" s="52">
        <f t="shared" si="236"/>
        <v>130</v>
      </c>
      <c r="D2309" s="52">
        <f t="shared" si="232"/>
        <v>2200</v>
      </c>
      <c r="E2309" s="52">
        <f t="shared" si="233"/>
        <v>1</v>
      </c>
      <c r="F2309" s="52"/>
      <c r="G2309" s="52"/>
      <c r="H2309" s="52"/>
      <c r="I2309" s="52"/>
      <c r="J2309" s="52"/>
      <c r="K2309" s="52"/>
      <c r="L2309" s="52"/>
      <c r="M2309" s="52"/>
      <c r="N2309" s="52"/>
      <c r="O2309" s="52"/>
      <c r="P2309" s="52"/>
      <c r="Q2309" s="52"/>
      <c r="R2309" s="52"/>
      <c r="S2309" s="52"/>
      <c r="T2309" s="52"/>
      <c r="U2309" s="52"/>
      <c r="V2309" s="52"/>
      <c r="W2309" s="52"/>
      <c r="X2309" s="52"/>
      <c r="Y2309" s="52"/>
      <c r="Z2309" s="52"/>
      <c r="AA2309" s="52"/>
      <c r="AB2309" s="52"/>
      <c r="AC2309" s="52"/>
      <c r="AD2309" s="52"/>
      <c r="AE2309" s="52"/>
      <c r="AF2309" s="52"/>
      <c r="AG2309" s="52"/>
      <c r="AH2309" s="52"/>
      <c r="AI2309" s="52"/>
      <c r="AJ2309" s="52"/>
      <c r="AK2309" s="52"/>
      <c r="AL2309" s="52"/>
      <c r="AM2309" s="52"/>
      <c r="AN2309" s="52"/>
    </row>
    <row r="2310" spans="1:40" x14ac:dyDescent="0.3">
      <c r="A2310" s="52">
        <v>2305</v>
      </c>
      <c r="B2310" s="52">
        <f>-bthan*500+(4+0.5)*bthan*1000/50</f>
        <v>-2255</v>
      </c>
      <c r="C2310" s="52">
        <f t="shared" si="236"/>
        <v>130</v>
      </c>
      <c r="D2310" s="52">
        <f t="shared" ref="D2310:D2373" si="237">bthan*1000/50*hthan*1000/80</f>
        <v>2200</v>
      </c>
      <c r="E2310" s="52">
        <f t="shared" ref="E2310:E2373" si="238">IF(shp=1,--(OR(ABS(B2310)&lt;=MAX(0,(bthan-hthan)*500),(ABS(B2310)-MAX(0,(bthan-hthan)*500))^2+C2310^2&lt;=(hthan*500)^2)),--(AND(ABS(B2310)&lt;=bthan*500,ABS(C2310)&lt;=hthan*500,OR(ABS(B2310)&lt;=bthan*500-cch*1000,ABS(C2310)&lt;=hthan*500-cch*1000,(bthan*500-ABS(B2310))+(hthan*500-ABS(C2310))&gt;=cch*1000))))</f>
        <v>1</v>
      </c>
      <c r="F2310" s="52"/>
      <c r="G2310" s="52"/>
      <c r="H2310" s="52"/>
      <c r="I2310" s="52"/>
      <c r="J2310" s="52"/>
      <c r="K2310" s="52"/>
      <c r="L2310" s="52"/>
      <c r="M2310" s="52"/>
      <c r="N2310" s="52"/>
      <c r="O2310" s="52"/>
      <c r="P2310" s="52"/>
      <c r="Q2310" s="52"/>
      <c r="R2310" s="52"/>
      <c r="S2310" s="52"/>
      <c r="T2310" s="52"/>
      <c r="U2310" s="52"/>
      <c r="V2310" s="52"/>
      <c r="W2310" s="52"/>
      <c r="X2310" s="52"/>
      <c r="Y2310" s="52"/>
      <c r="Z2310" s="52"/>
      <c r="AA2310" s="52"/>
      <c r="AB2310" s="52"/>
      <c r="AC2310" s="52"/>
      <c r="AD2310" s="52"/>
      <c r="AE2310" s="52"/>
      <c r="AF2310" s="52"/>
      <c r="AG2310" s="52"/>
      <c r="AH2310" s="52"/>
      <c r="AI2310" s="52"/>
      <c r="AJ2310" s="52"/>
      <c r="AK2310" s="52"/>
      <c r="AL2310" s="52"/>
      <c r="AM2310" s="52"/>
      <c r="AN2310" s="52"/>
    </row>
    <row r="2311" spans="1:40" x14ac:dyDescent="0.3">
      <c r="A2311" s="52">
        <v>2306</v>
      </c>
      <c r="B2311" s="52">
        <f>-bthan*500+(5+0.5)*bthan*1000/50</f>
        <v>-2145</v>
      </c>
      <c r="C2311" s="52">
        <f t="shared" si="236"/>
        <v>130</v>
      </c>
      <c r="D2311" s="52">
        <f t="shared" si="237"/>
        <v>2200</v>
      </c>
      <c r="E2311" s="52">
        <f t="shared" si="238"/>
        <v>1</v>
      </c>
      <c r="F2311" s="52"/>
      <c r="G2311" s="52"/>
      <c r="H2311" s="52"/>
      <c r="I2311" s="52"/>
      <c r="J2311" s="52"/>
      <c r="K2311" s="52"/>
      <c r="L2311" s="52"/>
      <c r="M2311" s="52"/>
      <c r="N2311" s="52"/>
      <c r="O2311" s="52"/>
      <c r="P2311" s="52"/>
      <c r="Q2311" s="52"/>
      <c r="R2311" s="52"/>
      <c r="S2311" s="52"/>
      <c r="T2311" s="52"/>
      <c r="U2311" s="52"/>
      <c r="V2311" s="52"/>
      <c r="W2311" s="52"/>
      <c r="X2311" s="52"/>
      <c r="Y2311" s="52"/>
      <c r="Z2311" s="52"/>
      <c r="AA2311" s="52"/>
      <c r="AB2311" s="52"/>
      <c r="AC2311" s="52"/>
      <c r="AD2311" s="52"/>
      <c r="AE2311" s="52"/>
      <c r="AF2311" s="52"/>
      <c r="AG2311" s="52"/>
      <c r="AH2311" s="52"/>
      <c r="AI2311" s="52"/>
      <c r="AJ2311" s="52"/>
      <c r="AK2311" s="52"/>
      <c r="AL2311" s="52"/>
      <c r="AM2311" s="52"/>
      <c r="AN2311" s="52"/>
    </row>
    <row r="2312" spans="1:40" x14ac:dyDescent="0.3">
      <c r="A2312" s="52">
        <v>2307</v>
      </c>
      <c r="B2312" s="52">
        <f>-bthan*500+(6+0.5)*bthan*1000/50</f>
        <v>-2035</v>
      </c>
      <c r="C2312" s="52">
        <f t="shared" si="236"/>
        <v>130</v>
      </c>
      <c r="D2312" s="52">
        <f t="shared" si="237"/>
        <v>2200</v>
      </c>
      <c r="E2312" s="52">
        <f t="shared" si="238"/>
        <v>1</v>
      </c>
      <c r="F2312" s="52"/>
      <c r="G2312" s="52"/>
      <c r="H2312" s="52"/>
      <c r="I2312" s="52"/>
      <c r="J2312" s="52"/>
      <c r="K2312" s="52"/>
      <c r="L2312" s="52"/>
      <c r="M2312" s="52"/>
      <c r="N2312" s="52"/>
      <c r="O2312" s="52"/>
      <c r="P2312" s="52"/>
      <c r="Q2312" s="52"/>
      <c r="R2312" s="52"/>
      <c r="S2312" s="52"/>
      <c r="T2312" s="52"/>
      <c r="U2312" s="52"/>
      <c r="V2312" s="52"/>
      <c r="W2312" s="52"/>
      <c r="X2312" s="52"/>
      <c r="Y2312" s="52"/>
      <c r="Z2312" s="52"/>
      <c r="AA2312" s="52"/>
      <c r="AB2312" s="52"/>
      <c r="AC2312" s="52"/>
      <c r="AD2312" s="52"/>
      <c r="AE2312" s="52"/>
      <c r="AF2312" s="52"/>
      <c r="AG2312" s="52"/>
      <c r="AH2312" s="52"/>
      <c r="AI2312" s="52"/>
      <c r="AJ2312" s="52"/>
      <c r="AK2312" s="52"/>
      <c r="AL2312" s="52"/>
      <c r="AM2312" s="52"/>
      <c r="AN2312" s="52"/>
    </row>
    <row r="2313" spans="1:40" x14ac:dyDescent="0.3">
      <c r="A2313" s="52">
        <v>2308</v>
      </c>
      <c r="B2313" s="52">
        <f>-bthan*500+(7+0.5)*bthan*1000/50</f>
        <v>-1925</v>
      </c>
      <c r="C2313" s="52">
        <f t="shared" si="236"/>
        <v>130</v>
      </c>
      <c r="D2313" s="52">
        <f t="shared" si="237"/>
        <v>2200</v>
      </c>
      <c r="E2313" s="52">
        <f t="shared" si="238"/>
        <v>1</v>
      </c>
      <c r="F2313" s="52"/>
      <c r="G2313" s="52"/>
      <c r="H2313" s="52"/>
      <c r="I2313" s="52"/>
      <c r="J2313" s="52"/>
      <c r="K2313" s="52"/>
      <c r="L2313" s="52"/>
      <c r="M2313" s="52"/>
      <c r="N2313" s="52"/>
      <c r="O2313" s="52"/>
      <c r="P2313" s="52"/>
      <c r="Q2313" s="52"/>
      <c r="R2313" s="52"/>
      <c r="S2313" s="52"/>
      <c r="T2313" s="52"/>
      <c r="U2313" s="52"/>
      <c r="V2313" s="52"/>
      <c r="W2313" s="52"/>
      <c r="X2313" s="52"/>
      <c r="Y2313" s="52"/>
      <c r="Z2313" s="52"/>
      <c r="AA2313" s="52"/>
      <c r="AB2313" s="52"/>
      <c r="AC2313" s="52"/>
      <c r="AD2313" s="52"/>
      <c r="AE2313" s="52"/>
      <c r="AF2313" s="52"/>
      <c r="AG2313" s="52"/>
      <c r="AH2313" s="52"/>
      <c r="AI2313" s="52"/>
      <c r="AJ2313" s="52"/>
      <c r="AK2313" s="52"/>
      <c r="AL2313" s="52"/>
      <c r="AM2313" s="52"/>
      <c r="AN2313" s="52"/>
    </row>
    <row r="2314" spans="1:40" x14ac:dyDescent="0.3">
      <c r="A2314" s="52">
        <v>2309</v>
      </c>
      <c r="B2314" s="52">
        <f>-bthan*500+(8+0.5)*bthan*1000/50</f>
        <v>-1815</v>
      </c>
      <c r="C2314" s="52">
        <f t="shared" si="236"/>
        <v>130</v>
      </c>
      <c r="D2314" s="52">
        <f t="shared" si="237"/>
        <v>2200</v>
      </c>
      <c r="E2314" s="52">
        <f t="shared" si="238"/>
        <v>1</v>
      </c>
      <c r="F2314" s="52"/>
      <c r="G2314" s="52"/>
      <c r="H2314" s="52"/>
      <c r="I2314" s="52"/>
      <c r="J2314" s="52"/>
      <c r="K2314" s="52"/>
      <c r="L2314" s="52"/>
      <c r="M2314" s="52"/>
      <c r="N2314" s="52"/>
      <c r="O2314" s="52"/>
      <c r="P2314" s="52"/>
      <c r="Q2314" s="52"/>
      <c r="R2314" s="52"/>
      <c r="S2314" s="52"/>
      <c r="T2314" s="52"/>
      <c r="U2314" s="52"/>
      <c r="V2314" s="52"/>
      <c r="W2314" s="52"/>
      <c r="X2314" s="52"/>
      <c r="Y2314" s="52"/>
      <c r="Z2314" s="52"/>
      <c r="AA2314" s="52"/>
      <c r="AB2314" s="52"/>
      <c r="AC2314" s="52"/>
      <c r="AD2314" s="52"/>
      <c r="AE2314" s="52"/>
      <c r="AF2314" s="52"/>
      <c r="AG2314" s="52"/>
      <c r="AH2314" s="52"/>
      <c r="AI2314" s="52"/>
      <c r="AJ2314" s="52"/>
      <c r="AK2314" s="52"/>
      <c r="AL2314" s="52"/>
      <c r="AM2314" s="52"/>
      <c r="AN2314" s="52"/>
    </row>
    <row r="2315" spans="1:40" x14ac:dyDescent="0.3">
      <c r="A2315" s="52">
        <v>2310</v>
      </c>
      <c r="B2315" s="52">
        <f>-bthan*500+(9+0.5)*bthan*1000/50</f>
        <v>-1705</v>
      </c>
      <c r="C2315" s="52">
        <f t="shared" si="236"/>
        <v>130</v>
      </c>
      <c r="D2315" s="52">
        <f t="shared" si="237"/>
        <v>2200</v>
      </c>
      <c r="E2315" s="52">
        <f t="shared" si="238"/>
        <v>1</v>
      </c>
      <c r="F2315" s="52"/>
      <c r="G2315" s="52"/>
      <c r="H2315" s="52"/>
      <c r="I2315" s="52"/>
      <c r="J2315" s="52"/>
      <c r="K2315" s="52"/>
      <c r="L2315" s="52"/>
      <c r="M2315" s="52"/>
      <c r="N2315" s="52"/>
      <c r="O2315" s="52"/>
      <c r="P2315" s="52"/>
      <c r="Q2315" s="52"/>
      <c r="R2315" s="52"/>
      <c r="S2315" s="52"/>
      <c r="T2315" s="52"/>
      <c r="U2315" s="52"/>
      <c r="V2315" s="52"/>
      <c r="W2315" s="52"/>
      <c r="X2315" s="52"/>
      <c r="Y2315" s="52"/>
      <c r="Z2315" s="52"/>
      <c r="AA2315" s="52"/>
      <c r="AB2315" s="52"/>
      <c r="AC2315" s="52"/>
      <c r="AD2315" s="52"/>
      <c r="AE2315" s="52"/>
      <c r="AF2315" s="52"/>
      <c r="AG2315" s="52"/>
      <c r="AH2315" s="52"/>
      <c r="AI2315" s="52"/>
      <c r="AJ2315" s="52"/>
      <c r="AK2315" s="52"/>
      <c r="AL2315" s="52"/>
      <c r="AM2315" s="52"/>
      <c r="AN2315" s="52"/>
    </row>
    <row r="2316" spans="1:40" x14ac:dyDescent="0.3">
      <c r="A2316" s="52">
        <v>2311</v>
      </c>
      <c r="B2316" s="52">
        <f>-bthan*500+(10+0.5)*bthan*1000/50</f>
        <v>-1595</v>
      </c>
      <c r="C2316" s="52">
        <f t="shared" si="236"/>
        <v>130</v>
      </c>
      <c r="D2316" s="52">
        <f t="shared" si="237"/>
        <v>2200</v>
      </c>
      <c r="E2316" s="52">
        <f t="shared" si="238"/>
        <v>1</v>
      </c>
      <c r="F2316" s="52"/>
      <c r="G2316" s="52"/>
      <c r="H2316" s="52"/>
      <c r="I2316" s="52"/>
      <c r="J2316" s="52"/>
      <c r="K2316" s="52"/>
      <c r="L2316" s="52"/>
      <c r="M2316" s="52"/>
      <c r="N2316" s="52"/>
      <c r="O2316" s="52"/>
      <c r="P2316" s="52"/>
      <c r="Q2316" s="52"/>
      <c r="R2316" s="52"/>
      <c r="S2316" s="52"/>
      <c r="T2316" s="52"/>
      <c r="U2316" s="52"/>
      <c r="V2316" s="52"/>
      <c r="W2316" s="52"/>
      <c r="X2316" s="52"/>
      <c r="Y2316" s="52"/>
      <c r="Z2316" s="52"/>
      <c r="AA2316" s="52"/>
      <c r="AB2316" s="52"/>
      <c r="AC2316" s="52"/>
      <c r="AD2316" s="52"/>
      <c r="AE2316" s="52"/>
      <c r="AF2316" s="52"/>
      <c r="AG2316" s="52"/>
      <c r="AH2316" s="52"/>
      <c r="AI2316" s="52"/>
      <c r="AJ2316" s="52"/>
      <c r="AK2316" s="52"/>
      <c r="AL2316" s="52"/>
      <c r="AM2316" s="52"/>
      <c r="AN2316" s="52"/>
    </row>
    <row r="2317" spans="1:40" x14ac:dyDescent="0.3">
      <c r="A2317" s="52">
        <v>2312</v>
      </c>
      <c r="B2317" s="52">
        <f>-bthan*500+(11+0.5)*bthan*1000/50</f>
        <v>-1485</v>
      </c>
      <c r="C2317" s="52">
        <f t="shared" si="236"/>
        <v>130</v>
      </c>
      <c r="D2317" s="52">
        <f t="shared" si="237"/>
        <v>2200</v>
      </c>
      <c r="E2317" s="52">
        <f t="shared" si="238"/>
        <v>1</v>
      </c>
      <c r="F2317" s="52"/>
      <c r="G2317" s="52"/>
      <c r="H2317" s="52"/>
      <c r="I2317" s="52"/>
      <c r="J2317" s="52"/>
      <c r="K2317" s="52"/>
      <c r="L2317" s="52"/>
      <c r="M2317" s="52"/>
      <c r="N2317" s="52"/>
      <c r="O2317" s="52"/>
      <c r="P2317" s="52"/>
      <c r="Q2317" s="52"/>
      <c r="R2317" s="52"/>
      <c r="S2317" s="52"/>
      <c r="T2317" s="52"/>
      <c r="U2317" s="52"/>
      <c r="V2317" s="52"/>
      <c r="W2317" s="52"/>
      <c r="X2317" s="52"/>
      <c r="Y2317" s="52"/>
      <c r="Z2317" s="52"/>
      <c r="AA2317" s="52"/>
      <c r="AB2317" s="52"/>
      <c r="AC2317" s="52"/>
      <c r="AD2317" s="52"/>
      <c r="AE2317" s="52"/>
      <c r="AF2317" s="52"/>
      <c r="AG2317" s="52"/>
      <c r="AH2317" s="52"/>
      <c r="AI2317" s="52"/>
      <c r="AJ2317" s="52"/>
      <c r="AK2317" s="52"/>
      <c r="AL2317" s="52"/>
      <c r="AM2317" s="52"/>
      <c r="AN2317" s="52"/>
    </row>
    <row r="2318" spans="1:40" x14ac:dyDescent="0.3">
      <c r="A2318" s="52">
        <v>2313</v>
      </c>
      <c r="B2318" s="52">
        <f>-bthan*500+(12+0.5)*bthan*1000/50</f>
        <v>-1375</v>
      </c>
      <c r="C2318" s="52">
        <f t="shared" si="236"/>
        <v>130</v>
      </c>
      <c r="D2318" s="52">
        <f t="shared" si="237"/>
        <v>2200</v>
      </c>
      <c r="E2318" s="52">
        <f t="shared" si="238"/>
        <v>1</v>
      </c>
      <c r="F2318" s="52"/>
      <c r="G2318" s="52"/>
      <c r="H2318" s="52"/>
      <c r="I2318" s="52"/>
      <c r="J2318" s="52"/>
      <c r="K2318" s="52"/>
      <c r="L2318" s="52"/>
      <c r="M2318" s="52"/>
      <c r="N2318" s="52"/>
      <c r="O2318" s="52"/>
      <c r="P2318" s="52"/>
      <c r="Q2318" s="52"/>
      <c r="R2318" s="52"/>
      <c r="S2318" s="52"/>
      <c r="T2318" s="52"/>
      <c r="U2318" s="52"/>
      <c r="V2318" s="52"/>
      <c r="W2318" s="52"/>
      <c r="X2318" s="52"/>
      <c r="Y2318" s="52"/>
      <c r="Z2318" s="52"/>
      <c r="AA2318" s="52"/>
      <c r="AB2318" s="52"/>
      <c r="AC2318" s="52"/>
      <c r="AD2318" s="52"/>
      <c r="AE2318" s="52"/>
      <c r="AF2318" s="52"/>
      <c r="AG2318" s="52"/>
      <c r="AH2318" s="52"/>
      <c r="AI2318" s="52"/>
      <c r="AJ2318" s="52"/>
      <c r="AK2318" s="52"/>
      <c r="AL2318" s="52"/>
      <c r="AM2318" s="52"/>
      <c r="AN2318" s="52"/>
    </row>
    <row r="2319" spans="1:40" x14ac:dyDescent="0.3">
      <c r="A2319" s="52">
        <v>2314</v>
      </c>
      <c r="B2319" s="52">
        <f>-bthan*500+(13+0.5)*bthan*1000/50</f>
        <v>-1265</v>
      </c>
      <c r="C2319" s="52">
        <f t="shared" si="236"/>
        <v>130</v>
      </c>
      <c r="D2319" s="52">
        <f t="shared" si="237"/>
        <v>2200</v>
      </c>
      <c r="E2319" s="52">
        <f t="shared" si="238"/>
        <v>1</v>
      </c>
      <c r="F2319" s="52"/>
      <c r="G2319" s="52"/>
      <c r="H2319" s="52"/>
      <c r="I2319" s="52"/>
      <c r="J2319" s="52"/>
      <c r="K2319" s="52"/>
      <c r="L2319" s="52"/>
      <c r="M2319" s="52"/>
      <c r="N2319" s="52"/>
      <c r="O2319" s="52"/>
      <c r="P2319" s="52"/>
      <c r="Q2319" s="52"/>
      <c r="R2319" s="52"/>
      <c r="S2319" s="52"/>
      <c r="T2319" s="52"/>
      <c r="U2319" s="52"/>
      <c r="V2319" s="52"/>
      <c r="W2319" s="52"/>
      <c r="X2319" s="52"/>
      <c r="Y2319" s="52"/>
      <c r="Z2319" s="52"/>
      <c r="AA2319" s="52"/>
      <c r="AB2319" s="52"/>
      <c r="AC2319" s="52"/>
      <c r="AD2319" s="52"/>
      <c r="AE2319" s="52"/>
      <c r="AF2319" s="52"/>
      <c r="AG2319" s="52"/>
      <c r="AH2319" s="52"/>
      <c r="AI2319" s="52"/>
      <c r="AJ2319" s="52"/>
      <c r="AK2319" s="52"/>
      <c r="AL2319" s="52"/>
      <c r="AM2319" s="52"/>
      <c r="AN2319" s="52"/>
    </row>
    <row r="2320" spans="1:40" x14ac:dyDescent="0.3">
      <c r="A2320" s="52">
        <v>2315</v>
      </c>
      <c r="B2320" s="52">
        <f>-bthan*500+(14+0.5)*bthan*1000/50</f>
        <v>-1155</v>
      </c>
      <c r="C2320" s="52">
        <f t="shared" si="236"/>
        <v>130</v>
      </c>
      <c r="D2320" s="52">
        <f t="shared" si="237"/>
        <v>2200</v>
      </c>
      <c r="E2320" s="52">
        <f t="shared" si="238"/>
        <v>1</v>
      </c>
      <c r="F2320" s="52"/>
      <c r="G2320" s="52"/>
      <c r="H2320" s="52"/>
      <c r="I2320" s="52"/>
      <c r="J2320" s="52"/>
      <c r="K2320" s="52"/>
      <c r="L2320" s="52"/>
      <c r="M2320" s="52"/>
      <c r="N2320" s="52"/>
      <c r="O2320" s="52"/>
      <c r="P2320" s="52"/>
      <c r="Q2320" s="52"/>
      <c r="R2320" s="52"/>
      <c r="S2320" s="52"/>
      <c r="T2320" s="52"/>
      <c r="U2320" s="52"/>
      <c r="V2320" s="52"/>
      <c r="W2320" s="52"/>
      <c r="X2320" s="52"/>
      <c r="Y2320" s="52"/>
      <c r="Z2320" s="52"/>
      <c r="AA2320" s="52"/>
      <c r="AB2320" s="52"/>
      <c r="AC2320" s="52"/>
      <c r="AD2320" s="52"/>
      <c r="AE2320" s="52"/>
      <c r="AF2320" s="52"/>
      <c r="AG2320" s="52"/>
      <c r="AH2320" s="52"/>
      <c r="AI2320" s="52"/>
      <c r="AJ2320" s="52"/>
      <c r="AK2320" s="52"/>
      <c r="AL2320" s="52"/>
      <c r="AM2320" s="52"/>
      <c r="AN2320" s="52"/>
    </row>
    <row r="2321" spans="1:40" x14ac:dyDescent="0.3">
      <c r="A2321" s="52">
        <v>2316</v>
      </c>
      <c r="B2321" s="52">
        <f>-bthan*500+(15+0.5)*bthan*1000/50</f>
        <v>-1045</v>
      </c>
      <c r="C2321" s="52">
        <f t="shared" si="236"/>
        <v>130</v>
      </c>
      <c r="D2321" s="52">
        <f t="shared" si="237"/>
        <v>2200</v>
      </c>
      <c r="E2321" s="52">
        <f t="shared" si="238"/>
        <v>1</v>
      </c>
      <c r="F2321" s="52"/>
      <c r="G2321" s="52"/>
      <c r="H2321" s="52"/>
      <c r="I2321" s="52"/>
      <c r="J2321" s="52"/>
      <c r="K2321" s="52"/>
      <c r="L2321" s="52"/>
      <c r="M2321" s="52"/>
      <c r="N2321" s="52"/>
      <c r="O2321" s="52"/>
      <c r="P2321" s="52"/>
      <c r="Q2321" s="52"/>
      <c r="R2321" s="52"/>
      <c r="S2321" s="52"/>
      <c r="T2321" s="52"/>
      <c r="U2321" s="52"/>
      <c r="V2321" s="52"/>
      <c r="W2321" s="52"/>
      <c r="X2321" s="52"/>
      <c r="Y2321" s="52"/>
      <c r="Z2321" s="52"/>
      <c r="AA2321" s="52"/>
      <c r="AB2321" s="52"/>
      <c r="AC2321" s="52"/>
      <c r="AD2321" s="52"/>
      <c r="AE2321" s="52"/>
      <c r="AF2321" s="52"/>
      <c r="AG2321" s="52"/>
      <c r="AH2321" s="52"/>
      <c r="AI2321" s="52"/>
      <c r="AJ2321" s="52"/>
      <c r="AK2321" s="52"/>
      <c r="AL2321" s="52"/>
      <c r="AM2321" s="52"/>
      <c r="AN2321" s="52"/>
    </row>
    <row r="2322" spans="1:40" x14ac:dyDescent="0.3">
      <c r="A2322" s="52">
        <v>2317</v>
      </c>
      <c r="B2322" s="52">
        <f>-bthan*500+(16+0.5)*bthan*1000/50</f>
        <v>-935</v>
      </c>
      <c r="C2322" s="52">
        <f t="shared" si="236"/>
        <v>130</v>
      </c>
      <c r="D2322" s="52">
        <f t="shared" si="237"/>
        <v>2200</v>
      </c>
      <c r="E2322" s="52">
        <f t="shared" si="238"/>
        <v>1</v>
      </c>
      <c r="F2322" s="52"/>
      <c r="G2322" s="52"/>
      <c r="H2322" s="52"/>
      <c r="I2322" s="52"/>
      <c r="J2322" s="52"/>
      <c r="K2322" s="52"/>
      <c r="L2322" s="52"/>
      <c r="M2322" s="52"/>
      <c r="N2322" s="52"/>
      <c r="O2322" s="52"/>
      <c r="P2322" s="52"/>
      <c r="Q2322" s="52"/>
      <c r="R2322" s="52"/>
      <c r="S2322" s="52"/>
      <c r="T2322" s="52"/>
      <c r="U2322" s="52"/>
      <c r="V2322" s="52"/>
      <c r="W2322" s="52"/>
      <c r="X2322" s="52"/>
      <c r="Y2322" s="52"/>
      <c r="Z2322" s="52"/>
      <c r="AA2322" s="52"/>
      <c r="AB2322" s="52"/>
      <c r="AC2322" s="52"/>
      <c r="AD2322" s="52"/>
      <c r="AE2322" s="52"/>
      <c r="AF2322" s="52"/>
      <c r="AG2322" s="52"/>
      <c r="AH2322" s="52"/>
      <c r="AI2322" s="52"/>
      <c r="AJ2322" s="52"/>
      <c r="AK2322" s="52"/>
      <c r="AL2322" s="52"/>
      <c r="AM2322" s="52"/>
      <c r="AN2322" s="52"/>
    </row>
    <row r="2323" spans="1:40" x14ac:dyDescent="0.3">
      <c r="A2323" s="52">
        <v>2318</v>
      </c>
      <c r="B2323" s="52">
        <f>-bthan*500+(17+0.5)*bthan*1000/50</f>
        <v>-825</v>
      </c>
      <c r="C2323" s="52">
        <f t="shared" si="236"/>
        <v>130</v>
      </c>
      <c r="D2323" s="52">
        <f t="shared" si="237"/>
        <v>2200</v>
      </c>
      <c r="E2323" s="52">
        <f t="shared" si="238"/>
        <v>1</v>
      </c>
      <c r="F2323" s="52"/>
      <c r="G2323" s="52"/>
      <c r="H2323" s="52"/>
      <c r="I2323" s="52"/>
      <c r="J2323" s="52"/>
      <c r="K2323" s="52"/>
      <c r="L2323" s="52"/>
      <c r="M2323" s="52"/>
      <c r="N2323" s="52"/>
      <c r="O2323" s="52"/>
      <c r="P2323" s="52"/>
      <c r="Q2323" s="52"/>
      <c r="R2323" s="52"/>
      <c r="S2323" s="52"/>
      <c r="T2323" s="52"/>
      <c r="U2323" s="52"/>
      <c r="V2323" s="52"/>
      <c r="W2323" s="52"/>
      <c r="X2323" s="52"/>
      <c r="Y2323" s="52"/>
      <c r="Z2323" s="52"/>
      <c r="AA2323" s="52"/>
      <c r="AB2323" s="52"/>
      <c r="AC2323" s="52"/>
      <c r="AD2323" s="52"/>
      <c r="AE2323" s="52"/>
      <c r="AF2323" s="52"/>
      <c r="AG2323" s="52"/>
      <c r="AH2323" s="52"/>
      <c r="AI2323" s="52"/>
      <c r="AJ2323" s="52"/>
      <c r="AK2323" s="52"/>
      <c r="AL2323" s="52"/>
      <c r="AM2323" s="52"/>
      <c r="AN2323" s="52"/>
    </row>
    <row r="2324" spans="1:40" x14ac:dyDescent="0.3">
      <c r="A2324" s="52">
        <v>2319</v>
      </c>
      <c r="B2324" s="52">
        <f>-bthan*500+(18+0.5)*bthan*1000/50</f>
        <v>-715</v>
      </c>
      <c r="C2324" s="52">
        <f t="shared" si="236"/>
        <v>130</v>
      </c>
      <c r="D2324" s="52">
        <f t="shared" si="237"/>
        <v>2200</v>
      </c>
      <c r="E2324" s="52">
        <f t="shared" si="238"/>
        <v>1</v>
      </c>
      <c r="F2324" s="52"/>
      <c r="G2324" s="52"/>
      <c r="H2324" s="52"/>
      <c r="I2324" s="52"/>
      <c r="J2324" s="52"/>
      <c r="K2324" s="52"/>
      <c r="L2324" s="52"/>
      <c r="M2324" s="52"/>
      <c r="N2324" s="52"/>
      <c r="O2324" s="52"/>
      <c r="P2324" s="52"/>
      <c r="Q2324" s="52"/>
      <c r="R2324" s="52"/>
      <c r="S2324" s="52"/>
      <c r="T2324" s="52"/>
      <c r="U2324" s="52"/>
      <c r="V2324" s="52"/>
      <c r="W2324" s="52"/>
      <c r="X2324" s="52"/>
      <c r="Y2324" s="52"/>
      <c r="Z2324" s="52"/>
      <c r="AA2324" s="52"/>
      <c r="AB2324" s="52"/>
      <c r="AC2324" s="52"/>
      <c r="AD2324" s="52"/>
      <c r="AE2324" s="52"/>
      <c r="AF2324" s="52"/>
      <c r="AG2324" s="52"/>
      <c r="AH2324" s="52"/>
      <c r="AI2324" s="52"/>
      <c r="AJ2324" s="52"/>
      <c r="AK2324" s="52"/>
      <c r="AL2324" s="52"/>
      <c r="AM2324" s="52"/>
      <c r="AN2324" s="52"/>
    </row>
    <row r="2325" spans="1:40" x14ac:dyDescent="0.3">
      <c r="A2325" s="52">
        <v>2320</v>
      </c>
      <c r="B2325" s="52">
        <f>-bthan*500+(19+0.5)*bthan*1000/50</f>
        <v>-605</v>
      </c>
      <c r="C2325" s="52">
        <f t="shared" si="236"/>
        <v>130</v>
      </c>
      <c r="D2325" s="52">
        <f t="shared" si="237"/>
        <v>2200</v>
      </c>
      <c r="E2325" s="52">
        <f t="shared" si="238"/>
        <v>1</v>
      </c>
      <c r="F2325" s="52"/>
      <c r="G2325" s="52"/>
      <c r="H2325" s="52"/>
      <c r="I2325" s="52"/>
      <c r="J2325" s="52"/>
      <c r="K2325" s="52"/>
      <c r="L2325" s="52"/>
      <c r="M2325" s="52"/>
      <c r="N2325" s="52"/>
      <c r="O2325" s="52"/>
      <c r="P2325" s="52"/>
      <c r="Q2325" s="52"/>
      <c r="R2325" s="52"/>
      <c r="S2325" s="52"/>
      <c r="T2325" s="52"/>
      <c r="U2325" s="52"/>
      <c r="V2325" s="52"/>
      <c r="W2325" s="52"/>
      <c r="X2325" s="52"/>
      <c r="Y2325" s="52"/>
      <c r="Z2325" s="52"/>
      <c r="AA2325" s="52"/>
      <c r="AB2325" s="52"/>
      <c r="AC2325" s="52"/>
      <c r="AD2325" s="52"/>
      <c r="AE2325" s="52"/>
      <c r="AF2325" s="52"/>
      <c r="AG2325" s="52"/>
      <c r="AH2325" s="52"/>
      <c r="AI2325" s="52"/>
      <c r="AJ2325" s="52"/>
      <c r="AK2325" s="52"/>
      <c r="AL2325" s="52"/>
      <c r="AM2325" s="52"/>
      <c r="AN2325" s="52"/>
    </row>
    <row r="2326" spans="1:40" x14ac:dyDescent="0.3">
      <c r="A2326" s="52">
        <v>2321</v>
      </c>
      <c r="B2326" s="52">
        <f>-bthan*500+(20+0.5)*bthan*1000/50</f>
        <v>-495</v>
      </c>
      <c r="C2326" s="52">
        <f t="shared" si="236"/>
        <v>130</v>
      </c>
      <c r="D2326" s="52">
        <f t="shared" si="237"/>
        <v>2200</v>
      </c>
      <c r="E2326" s="52">
        <f t="shared" si="238"/>
        <v>1</v>
      </c>
      <c r="F2326" s="52"/>
      <c r="G2326" s="52"/>
      <c r="H2326" s="52"/>
      <c r="I2326" s="52"/>
      <c r="J2326" s="52"/>
      <c r="K2326" s="52"/>
      <c r="L2326" s="52"/>
      <c r="M2326" s="52"/>
      <c r="N2326" s="52"/>
      <c r="O2326" s="52"/>
      <c r="P2326" s="52"/>
      <c r="Q2326" s="52"/>
      <c r="R2326" s="52"/>
      <c r="S2326" s="52"/>
      <c r="T2326" s="52"/>
      <c r="U2326" s="52"/>
      <c r="V2326" s="52"/>
      <c r="W2326" s="52"/>
      <c r="X2326" s="52"/>
      <c r="Y2326" s="52"/>
      <c r="Z2326" s="52"/>
      <c r="AA2326" s="52"/>
      <c r="AB2326" s="52"/>
      <c r="AC2326" s="52"/>
      <c r="AD2326" s="52"/>
      <c r="AE2326" s="52"/>
      <c r="AF2326" s="52"/>
      <c r="AG2326" s="52"/>
      <c r="AH2326" s="52"/>
      <c r="AI2326" s="52"/>
      <c r="AJ2326" s="52"/>
      <c r="AK2326" s="52"/>
      <c r="AL2326" s="52"/>
      <c r="AM2326" s="52"/>
      <c r="AN2326" s="52"/>
    </row>
    <row r="2327" spans="1:40" x14ac:dyDescent="0.3">
      <c r="A2327" s="52">
        <v>2322</v>
      </c>
      <c r="B2327" s="52">
        <f>-bthan*500+(21+0.5)*bthan*1000/50</f>
        <v>-385</v>
      </c>
      <c r="C2327" s="52">
        <f t="shared" si="236"/>
        <v>130</v>
      </c>
      <c r="D2327" s="52">
        <f t="shared" si="237"/>
        <v>2200</v>
      </c>
      <c r="E2327" s="52">
        <f t="shared" si="238"/>
        <v>1</v>
      </c>
      <c r="F2327" s="52"/>
      <c r="G2327" s="52"/>
      <c r="H2327" s="52"/>
      <c r="I2327" s="52"/>
      <c r="J2327" s="52"/>
      <c r="K2327" s="52"/>
      <c r="L2327" s="52"/>
      <c r="M2327" s="52"/>
      <c r="N2327" s="52"/>
      <c r="O2327" s="52"/>
      <c r="P2327" s="52"/>
      <c r="Q2327" s="52"/>
      <c r="R2327" s="52"/>
      <c r="S2327" s="52"/>
      <c r="T2327" s="52"/>
      <c r="U2327" s="52"/>
      <c r="V2327" s="52"/>
      <c r="W2327" s="52"/>
      <c r="X2327" s="52"/>
      <c r="Y2327" s="52"/>
      <c r="Z2327" s="52"/>
      <c r="AA2327" s="52"/>
      <c r="AB2327" s="52"/>
      <c r="AC2327" s="52"/>
      <c r="AD2327" s="52"/>
      <c r="AE2327" s="52"/>
      <c r="AF2327" s="52"/>
      <c r="AG2327" s="52"/>
      <c r="AH2327" s="52"/>
      <c r="AI2327" s="52"/>
      <c r="AJ2327" s="52"/>
      <c r="AK2327" s="52"/>
      <c r="AL2327" s="52"/>
      <c r="AM2327" s="52"/>
      <c r="AN2327" s="52"/>
    </row>
    <row r="2328" spans="1:40" x14ac:dyDescent="0.3">
      <c r="A2328" s="52">
        <v>2323</v>
      </c>
      <c r="B2328" s="52">
        <f>-bthan*500+(22+0.5)*bthan*1000/50</f>
        <v>-275</v>
      </c>
      <c r="C2328" s="52">
        <f t="shared" si="236"/>
        <v>130</v>
      </c>
      <c r="D2328" s="52">
        <f t="shared" si="237"/>
        <v>2200</v>
      </c>
      <c r="E2328" s="52">
        <f t="shared" si="238"/>
        <v>1</v>
      </c>
      <c r="F2328" s="52"/>
      <c r="G2328" s="52"/>
      <c r="H2328" s="52"/>
      <c r="I2328" s="52"/>
      <c r="J2328" s="52"/>
      <c r="K2328" s="52"/>
      <c r="L2328" s="52"/>
      <c r="M2328" s="52"/>
      <c r="N2328" s="52"/>
      <c r="O2328" s="52"/>
      <c r="P2328" s="52"/>
      <c r="Q2328" s="52"/>
      <c r="R2328" s="52"/>
      <c r="S2328" s="52"/>
      <c r="T2328" s="52"/>
      <c r="U2328" s="52"/>
      <c r="V2328" s="52"/>
      <c r="W2328" s="52"/>
      <c r="X2328" s="52"/>
      <c r="Y2328" s="52"/>
      <c r="Z2328" s="52"/>
      <c r="AA2328" s="52"/>
      <c r="AB2328" s="52"/>
      <c r="AC2328" s="52"/>
      <c r="AD2328" s="52"/>
      <c r="AE2328" s="52"/>
      <c r="AF2328" s="52"/>
      <c r="AG2328" s="52"/>
      <c r="AH2328" s="52"/>
      <c r="AI2328" s="52"/>
      <c r="AJ2328" s="52"/>
      <c r="AK2328" s="52"/>
      <c r="AL2328" s="52"/>
      <c r="AM2328" s="52"/>
      <c r="AN2328" s="52"/>
    </row>
    <row r="2329" spans="1:40" x14ac:dyDescent="0.3">
      <c r="A2329" s="52">
        <v>2324</v>
      </c>
      <c r="B2329" s="52">
        <f>-bthan*500+(23+0.5)*bthan*1000/50</f>
        <v>-165</v>
      </c>
      <c r="C2329" s="52">
        <f t="shared" si="236"/>
        <v>130</v>
      </c>
      <c r="D2329" s="52">
        <f t="shared" si="237"/>
        <v>2200</v>
      </c>
      <c r="E2329" s="52">
        <f t="shared" si="238"/>
        <v>1</v>
      </c>
      <c r="F2329" s="52"/>
      <c r="G2329" s="52"/>
      <c r="H2329" s="52"/>
      <c r="I2329" s="52"/>
      <c r="J2329" s="52"/>
      <c r="K2329" s="52"/>
      <c r="L2329" s="52"/>
      <c r="M2329" s="52"/>
      <c r="N2329" s="52"/>
      <c r="O2329" s="52"/>
      <c r="P2329" s="52"/>
      <c r="Q2329" s="52"/>
      <c r="R2329" s="52"/>
      <c r="S2329" s="52"/>
      <c r="T2329" s="52"/>
      <c r="U2329" s="52"/>
      <c r="V2329" s="52"/>
      <c r="W2329" s="52"/>
      <c r="X2329" s="52"/>
      <c r="Y2329" s="52"/>
      <c r="Z2329" s="52"/>
      <c r="AA2329" s="52"/>
      <c r="AB2329" s="52"/>
      <c r="AC2329" s="52"/>
      <c r="AD2329" s="52"/>
      <c r="AE2329" s="52"/>
      <c r="AF2329" s="52"/>
      <c r="AG2329" s="52"/>
      <c r="AH2329" s="52"/>
      <c r="AI2329" s="52"/>
      <c r="AJ2329" s="52"/>
      <c r="AK2329" s="52"/>
      <c r="AL2329" s="52"/>
      <c r="AM2329" s="52"/>
      <c r="AN2329" s="52"/>
    </row>
    <row r="2330" spans="1:40" x14ac:dyDescent="0.3">
      <c r="A2330" s="52">
        <v>2325</v>
      </c>
      <c r="B2330" s="52">
        <f>-bthan*500+(24+0.5)*bthan*1000/50</f>
        <v>-55</v>
      </c>
      <c r="C2330" s="52">
        <f t="shared" si="236"/>
        <v>130</v>
      </c>
      <c r="D2330" s="52">
        <f t="shared" si="237"/>
        <v>2200</v>
      </c>
      <c r="E2330" s="52">
        <f t="shared" si="238"/>
        <v>1</v>
      </c>
      <c r="F2330" s="52"/>
      <c r="G2330" s="52"/>
      <c r="H2330" s="52"/>
      <c r="I2330" s="52"/>
      <c r="J2330" s="52"/>
      <c r="K2330" s="52"/>
      <c r="L2330" s="52"/>
      <c r="M2330" s="52"/>
      <c r="N2330" s="52"/>
      <c r="O2330" s="52"/>
      <c r="P2330" s="52"/>
      <c r="Q2330" s="52"/>
      <c r="R2330" s="52"/>
      <c r="S2330" s="52"/>
      <c r="T2330" s="52"/>
      <c r="U2330" s="52"/>
      <c r="V2330" s="52"/>
      <c r="W2330" s="52"/>
      <c r="X2330" s="52"/>
      <c r="Y2330" s="52"/>
      <c r="Z2330" s="52"/>
      <c r="AA2330" s="52"/>
      <c r="AB2330" s="52"/>
      <c r="AC2330" s="52"/>
      <c r="AD2330" s="52"/>
      <c r="AE2330" s="52"/>
      <c r="AF2330" s="52"/>
      <c r="AG2330" s="52"/>
      <c r="AH2330" s="52"/>
      <c r="AI2330" s="52"/>
      <c r="AJ2330" s="52"/>
      <c r="AK2330" s="52"/>
      <c r="AL2330" s="52"/>
      <c r="AM2330" s="52"/>
      <c r="AN2330" s="52"/>
    </row>
    <row r="2331" spans="1:40" x14ac:dyDescent="0.3">
      <c r="A2331" s="52">
        <v>2326</v>
      </c>
      <c r="B2331" s="52">
        <f>-bthan*500+(25+0.5)*bthan*1000/50</f>
        <v>55</v>
      </c>
      <c r="C2331" s="52">
        <f t="shared" si="236"/>
        <v>130</v>
      </c>
      <c r="D2331" s="52">
        <f t="shared" si="237"/>
        <v>2200</v>
      </c>
      <c r="E2331" s="52">
        <f t="shared" si="238"/>
        <v>1</v>
      </c>
      <c r="F2331" s="52"/>
      <c r="G2331" s="52"/>
      <c r="H2331" s="52"/>
      <c r="I2331" s="52"/>
      <c r="J2331" s="52"/>
      <c r="K2331" s="52"/>
      <c r="L2331" s="52"/>
      <c r="M2331" s="52"/>
      <c r="N2331" s="52"/>
      <c r="O2331" s="52"/>
      <c r="P2331" s="52"/>
      <c r="Q2331" s="52"/>
      <c r="R2331" s="52"/>
      <c r="S2331" s="52"/>
      <c r="T2331" s="52"/>
      <c r="U2331" s="52"/>
      <c r="V2331" s="52"/>
      <c r="W2331" s="52"/>
      <c r="X2331" s="52"/>
      <c r="Y2331" s="52"/>
      <c r="Z2331" s="52"/>
      <c r="AA2331" s="52"/>
      <c r="AB2331" s="52"/>
      <c r="AC2331" s="52"/>
      <c r="AD2331" s="52"/>
      <c r="AE2331" s="52"/>
      <c r="AF2331" s="52"/>
      <c r="AG2331" s="52"/>
      <c r="AH2331" s="52"/>
      <c r="AI2331" s="52"/>
      <c r="AJ2331" s="52"/>
      <c r="AK2331" s="52"/>
      <c r="AL2331" s="52"/>
      <c r="AM2331" s="52"/>
      <c r="AN2331" s="52"/>
    </row>
    <row r="2332" spans="1:40" x14ac:dyDescent="0.3">
      <c r="A2332" s="52">
        <v>2327</v>
      </c>
      <c r="B2332" s="52">
        <f>-bthan*500+(26+0.5)*bthan*1000/50</f>
        <v>165</v>
      </c>
      <c r="C2332" s="52">
        <f t="shared" si="236"/>
        <v>130</v>
      </c>
      <c r="D2332" s="52">
        <f t="shared" si="237"/>
        <v>2200</v>
      </c>
      <c r="E2332" s="52">
        <f t="shared" si="238"/>
        <v>1</v>
      </c>
      <c r="F2332" s="52"/>
      <c r="G2332" s="52"/>
      <c r="H2332" s="52"/>
      <c r="I2332" s="52"/>
      <c r="J2332" s="52"/>
      <c r="K2332" s="52"/>
      <c r="L2332" s="52"/>
      <c r="M2332" s="52"/>
      <c r="N2332" s="52"/>
      <c r="O2332" s="52"/>
      <c r="P2332" s="52"/>
      <c r="Q2332" s="52"/>
      <c r="R2332" s="52"/>
      <c r="S2332" s="52"/>
      <c r="T2332" s="52"/>
      <c r="U2332" s="52"/>
      <c r="V2332" s="52"/>
      <c r="W2332" s="52"/>
      <c r="X2332" s="52"/>
      <c r="Y2332" s="52"/>
      <c r="Z2332" s="52"/>
      <c r="AA2332" s="52"/>
      <c r="AB2332" s="52"/>
      <c r="AC2332" s="52"/>
      <c r="AD2332" s="52"/>
      <c r="AE2332" s="52"/>
      <c r="AF2332" s="52"/>
      <c r="AG2332" s="52"/>
      <c r="AH2332" s="52"/>
      <c r="AI2332" s="52"/>
      <c r="AJ2332" s="52"/>
      <c r="AK2332" s="52"/>
      <c r="AL2332" s="52"/>
      <c r="AM2332" s="52"/>
      <c r="AN2332" s="52"/>
    </row>
    <row r="2333" spans="1:40" x14ac:dyDescent="0.3">
      <c r="A2333" s="52">
        <v>2328</v>
      </c>
      <c r="B2333" s="52">
        <f>-bthan*500+(27+0.5)*bthan*1000/50</f>
        <v>275</v>
      </c>
      <c r="C2333" s="52">
        <f t="shared" si="236"/>
        <v>130</v>
      </c>
      <c r="D2333" s="52">
        <f t="shared" si="237"/>
        <v>2200</v>
      </c>
      <c r="E2333" s="52">
        <f t="shared" si="238"/>
        <v>1</v>
      </c>
      <c r="F2333" s="52"/>
      <c r="G2333" s="52"/>
      <c r="H2333" s="52"/>
      <c r="I2333" s="52"/>
      <c r="J2333" s="52"/>
      <c r="K2333" s="52"/>
      <c r="L2333" s="52"/>
      <c r="M2333" s="52"/>
      <c r="N2333" s="52"/>
      <c r="O2333" s="52"/>
      <c r="P2333" s="52"/>
      <c r="Q2333" s="52"/>
      <c r="R2333" s="52"/>
      <c r="S2333" s="52"/>
      <c r="T2333" s="52"/>
      <c r="U2333" s="52"/>
      <c r="V2333" s="52"/>
      <c r="W2333" s="52"/>
      <c r="X2333" s="52"/>
      <c r="Y2333" s="52"/>
      <c r="Z2333" s="52"/>
      <c r="AA2333" s="52"/>
      <c r="AB2333" s="52"/>
      <c r="AC2333" s="52"/>
      <c r="AD2333" s="52"/>
      <c r="AE2333" s="52"/>
      <c r="AF2333" s="52"/>
      <c r="AG2333" s="52"/>
      <c r="AH2333" s="52"/>
      <c r="AI2333" s="52"/>
      <c r="AJ2333" s="52"/>
      <c r="AK2333" s="52"/>
      <c r="AL2333" s="52"/>
      <c r="AM2333" s="52"/>
      <c r="AN2333" s="52"/>
    </row>
    <row r="2334" spans="1:40" x14ac:dyDescent="0.3">
      <c r="A2334" s="52">
        <v>2329</v>
      </c>
      <c r="B2334" s="52">
        <f>-bthan*500+(28+0.5)*bthan*1000/50</f>
        <v>385</v>
      </c>
      <c r="C2334" s="52">
        <f t="shared" si="236"/>
        <v>130</v>
      </c>
      <c r="D2334" s="52">
        <f t="shared" si="237"/>
        <v>2200</v>
      </c>
      <c r="E2334" s="52">
        <f t="shared" si="238"/>
        <v>1</v>
      </c>
      <c r="F2334" s="52"/>
      <c r="G2334" s="52"/>
      <c r="H2334" s="52"/>
      <c r="I2334" s="52"/>
      <c r="J2334" s="52"/>
      <c r="K2334" s="52"/>
      <c r="L2334" s="52"/>
      <c r="M2334" s="52"/>
      <c r="N2334" s="52"/>
      <c r="O2334" s="52"/>
      <c r="P2334" s="52"/>
      <c r="Q2334" s="52"/>
      <c r="R2334" s="52"/>
      <c r="S2334" s="52"/>
      <c r="T2334" s="52"/>
      <c r="U2334" s="52"/>
      <c r="V2334" s="52"/>
      <c r="W2334" s="52"/>
      <c r="X2334" s="52"/>
      <c r="Y2334" s="52"/>
      <c r="Z2334" s="52"/>
      <c r="AA2334" s="52"/>
      <c r="AB2334" s="52"/>
      <c r="AC2334" s="52"/>
      <c r="AD2334" s="52"/>
      <c r="AE2334" s="52"/>
      <c r="AF2334" s="52"/>
      <c r="AG2334" s="52"/>
      <c r="AH2334" s="52"/>
      <c r="AI2334" s="52"/>
      <c r="AJ2334" s="52"/>
      <c r="AK2334" s="52"/>
      <c r="AL2334" s="52"/>
      <c r="AM2334" s="52"/>
      <c r="AN2334" s="52"/>
    </row>
    <row r="2335" spans="1:40" x14ac:dyDescent="0.3">
      <c r="A2335" s="52">
        <v>2330</v>
      </c>
      <c r="B2335" s="52">
        <f>-bthan*500+(29+0.5)*bthan*1000/50</f>
        <v>495</v>
      </c>
      <c r="C2335" s="52">
        <f t="shared" si="236"/>
        <v>130</v>
      </c>
      <c r="D2335" s="52">
        <f t="shared" si="237"/>
        <v>2200</v>
      </c>
      <c r="E2335" s="52">
        <f t="shared" si="238"/>
        <v>1</v>
      </c>
      <c r="F2335" s="52"/>
      <c r="G2335" s="52"/>
      <c r="H2335" s="52"/>
      <c r="I2335" s="52"/>
      <c r="J2335" s="52"/>
      <c r="K2335" s="52"/>
      <c r="L2335" s="52"/>
      <c r="M2335" s="52"/>
      <c r="N2335" s="52"/>
      <c r="O2335" s="52"/>
      <c r="P2335" s="52"/>
      <c r="Q2335" s="52"/>
      <c r="R2335" s="52"/>
      <c r="S2335" s="52"/>
      <c r="T2335" s="52"/>
      <c r="U2335" s="52"/>
      <c r="V2335" s="52"/>
      <c r="W2335" s="52"/>
      <c r="X2335" s="52"/>
      <c r="Y2335" s="52"/>
      <c r="Z2335" s="52"/>
      <c r="AA2335" s="52"/>
      <c r="AB2335" s="52"/>
      <c r="AC2335" s="52"/>
      <c r="AD2335" s="52"/>
      <c r="AE2335" s="52"/>
      <c r="AF2335" s="52"/>
      <c r="AG2335" s="52"/>
      <c r="AH2335" s="52"/>
      <c r="AI2335" s="52"/>
      <c r="AJ2335" s="52"/>
      <c r="AK2335" s="52"/>
      <c r="AL2335" s="52"/>
      <c r="AM2335" s="52"/>
      <c r="AN2335" s="52"/>
    </row>
    <row r="2336" spans="1:40" x14ac:dyDescent="0.3">
      <c r="A2336" s="52">
        <v>2331</v>
      </c>
      <c r="B2336" s="52">
        <f>-bthan*500+(30+0.5)*bthan*1000/50</f>
        <v>605</v>
      </c>
      <c r="C2336" s="52">
        <f t="shared" si="236"/>
        <v>130</v>
      </c>
      <c r="D2336" s="52">
        <f t="shared" si="237"/>
        <v>2200</v>
      </c>
      <c r="E2336" s="52">
        <f t="shared" si="238"/>
        <v>1</v>
      </c>
      <c r="F2336" s="52"/>
      <c r="G2336" s="52"/>
      <c r="H2336" s="52"/>
      <c r="I2336" s="52"/>
      <c r="J2336" s="52"/>
      <c r="K2336" s="52"/>
      <c r="L2336" s="52"/>
      <c r="M2336" s="52"/>
      <c r="N2336" s="52"/>
      <c r="O2336" s="52"/>
      <c r="P2336" s="52"/>
      <c r="Q2336" s="52"/>
      <c r="R2336" s="52"/>
      <c r="S2336" s="52"/>
      <c r="T2336" s="52"/>
      <c r="U2336" s="52"/>
      <c r="V2336" s="52"/>
      <c r="W2336" s="52"/>
      <c r="X2336" s="52"/>
      <c r="Y2336" s="52"/>
      <c r="Z2336" s="52"/>
      <c r="AA2336" s="52"/>
      <c r="AB2336" s="52"/>
      <c r="AC2336" s="52"/>
      <c r="AD2336" s="52"/>
      <c r="AE2336" s="52"/>
      <c r="AF2336" s="52"/>
      <c r="AG2336" s="52"/>
      <c r="AH2336" s="52"/>
      <c r="AI2336" s="52"/>
      <c r="AJ2336" s="52"/>
      <c r="AK2336" s="52"/>
      <c r="AL2336" s="52"/>
      <c r="AM2336" s="52"/>
      <c r="AN2336" s="52"/>
    </row>
    <row r="2337" spans="1:40" x14ac:dyDescent="0.3">
      <c r="A2337" s="52">
        <v>2332</v>
      </c>
      <c r="B2337" s="52">
        <f>-bthan*500+(31+0.5)*bthan*1000/50</f>
        <v>715</v>
      </c>
      <c r="C2337" s="52">
        <f t="shared" si="236"/>
        <v>130</v>
      </c>
      <c r="D2337" s="52">
        <f t="shared" si="237"/>
        <v>2200</v>
      </c>
      <c r="E2337" s="52">
        <f t="shared" si="238"/>
        <v>1</v>
      </c>
      <c r="F2337" s="52"/>
      <c r="G2337" s="52"/>
      <c r="H2337" s="52"/>
      <c r="I2337" s="52"/>
      <c r="J2337" s="52"/>
      <c r="K2337" s="52"/>
      <c r="L2337" s="52"/>
      <c r="M2337" s="52"/>
      <c r="N2337" s="52"/>
      <c r="O2337" s="52"/>
      <c r="P2337" s="52"/>
      <c r="Q2337" s="52"/>
      <c r="R2337" s="52"/>
      <c r="S2337" s="52"/>
      <c r="T2337" s="52"/>
      <c r="U2337" s="52"/>
      <c r="V2337" s="52"/>
      <c r="W2337" s="52"/>
      <c r="X2337" s="52"/>
      <c r="Y2337" s="52"/>
      <c r="Z2337" s="52"/>
      <c r="AA2337" s="52"/>
      <c r="AB2337" s="52"/>
      <c r="AC2337" s="52"/>
      <c r="AD2337" s="52"/>
      <c r="AE2337" s="52"/>
      <c r="AF2337" s="52"/>
      <c r="AG2337" s="52"/>
      <c r="AH2337" s="52"/>
      <c r="AI2337" s="52"/>
      <c r="AJ2337" s="52"/>
      <c r="AK2337" s="52"/>
      <c r="AL2337" s="52"/>
      <c r="AM2337" s="52"/>
      <c r="AN2337" s="52"/>
    </row>
    <row r="2338" spans="1:40" x14ac:dyDescent="0.3">
      <c r="A2338" s="52">
        <v>2333</v>
      </c>
      <c r="B2338" s="52">
        <f>-bthan*500+(32+0.5)*bthan*1000/50</f>
        <v>825</v>
      </c>
      <c r="C2338" s="52">
        <f t="shared" ref="C2338:C2355" si="239">-hthan*500+(46+0.5)*hthan*1000/80</f>
        <v>130</v>
      </c>
      <c r="D2338" s="52">
        <f t="shared" si="237"/>
        <v>2200</v>
      </c>
      <c r="E2338" s="52">
        <f t="shared" si="238"/>
        <v>1</v>
      </c>
      <c r="F2338" s="52"/>
      <c r="G2338" s="52"/>
      <c r="H2338" s="52"/>
      <c r="I2338" s="52"/>
      <c r="J2338" s="52"/>
      <c r="K2338" s="52"/>
      <c r="L2338" s="52"/>
      <c r="M2338" s="52"/>
      <c r="N2338" s="52"/>
      <c r="O2338" s="52"/>
      <c r="P2338" s="52"/>
      <c r="Q2338" s="52"/>
      <c r="R2338" s="52"/>
      <c r="S2338" s="52"/>
      <c r="T2338" s="52"/>
      <c r="U2338" s="52"/>
      <c r="V2338" s="52"/>
      <c r="W2338" s="52"/>
      <c r="X2338" s="52"/>
      <c r="Y2338" s="52"/>
      <c r="Z2338" s="52"/>
      <c r="AA2338" s="52"/>
      <c r="AB2338" s="52"/>
      <c r="AC2338" s="52"/>
      <c r="AD2338" s="52"/>
      <c r="AE2338" s="52"/>
      <c r="AF2338" s="52"/>
      <c r="AG2338" s="52"/>
      <c r="AH2338" s="52"/>
      <c r="AI2338" s="52"/>
      <c r="AJ2338" s="52"/>
      <c r="AK2338" s="52"/>
      <c r="AL2338" s="52"/>
      <c r="AM2338" s="52"/>
      <c r="AN2338" s="52"/>
    </row>
    <row r="2339" spans="1:40" x14ac:dyDescent="0.3">
      <c r="A2339" s="52">
        <v>2334</v>
      </c>
      <c r="B2339" s="52">
        <f>-bthan*500+(33+0.5)*bthan*1000/50</f>
        <v>935</v>
      </c>
      <c r="C2339" s="52">
        <f t="shared" si="239"/>
        <v>130</v>
      </c>
      <c r="D2339" s="52">
        <f t="shared" si="237"/>
        <v>2200</v>
      </c>
      <c r="E2339" s="52">
        <f t="shared" si="238"/>
        <v>1</v>
      </c>
      <c r="F2339" s="52"/>
      <c r="G2339" s="52"/>
      <c r="H2339" s="52"/>
      <c r="I2339" s="52"/>
      <c r="J2339" s="52"/>
      <c r="K2339" s="52"/>
      <c r="L2339" s="52"/>
      <c r="M2339" s="52"/>
      <c r="N2339" s="52"/>
      <c r="O2339" s="52"/>
      <c r="P2339" s="52"/>
      <c r="Q2339" s="52"/>
      <c r="R2339" s="52"/>
      <c r="S2339" s="52"/>
      <c r="T2339" s="52"/>
      <c r="U2339" s="52"/>
      <c r="V2339" s="52"/>
      <c r="W2339" s="52"/>
      <c r="X2339" s="52"/>
      <c r="Y2339" s="52"/>
      <c r="Z2339" s="52"/>
      <c r="AA2339" s="52"/>
      <c r="AB2339" s="52"/>
      <c r="AC2339" s="52"/>
      <c r="AD2339" s="52"/>
      <c r="AE2339" s="52"/>
      <c r="AF2339" s="52"/>
      <c r="AG2339" s="52"/>
      <c r="AH2339" s="52"/>
      <c r="AI2339" s="52"/>
      <c r="AJ2339" s="52"/>
      <c r="AK2339" s="52"/>
      <c r="AL2339" s="52"/>
      <c r="AM2339" s="52"/>
      <c r="AN2339" s="52"/>
    </row>
    <row r="2340" spans="1:40" x14ac:dyDescent="0.3">
      <c r="A2340" s="52">
        <v>2335</v>
      </c>
      <c r="B2340" s="52">
        <f>-bthan*500+(34+0.5)*bthan*1000/50</f>
        <v>1045</v>
      </c>
      <c r="C2340" s="52">
        <f t="shared" si="239"/>
        <v>130</v>
      </c>
      <c r="D2340" s="52">
        <f t="shared" si="237"/>
        <v>2200</v>
      </c>
      <c r="E2340" s="52">
        <f t="shared" si="238"/>
        <v>1</v>
      </c>
      <c r="F2340" s="52"/>
      <c r="G2340" s="52"/>
      <c r="H2340" s="52"/>
      <c r="I2340" s="52"/>
      <c r="J2340" s="52"/>
      <c r="K2340" s="52"/>
      <c r="L2340" s="52"/>
      <c r="M2340" s="52"/>
      <c r="N2340" s="52"/>
      <c r="O2340" s="52"/>
      <c r="P2340" s="52"/>
      <c r="Q2340" s="52"/>
      <c r="R2340" s="52"/>
      <c r="S2340" s="52"/>
      <c r="T2340" s="52"/>
      <c r="U2340" s="52"/>
      <c r="V2340" s="52"/>
      <c r="W2340" s="52"/>
      <c r="X2340" s="52"/>
      <c r="Y2340" s="52"/>
      <c r="Z2340" s="52"/>
      <c r="AA2340" s="52"/>
      <c r="AB2340" s="52"/>
      <c r="AC2340" s="52"/>
      <c r="AD2340" s="52"/>
      <c r="AE2340" s="52"/>
      <c r="AF2340" s="52"/>
      <c r="AG2340" s="52"/>
      <c r="AH2340" s="52"/>
      <c r="AI2340" s="52"/>
      <c r="AJ2340" s="52"/>
      <c r="AK2340" s="52"/>
      <c r="AL2340" s="52"/>
      <c r="AM2340" s="52"/>
      <c r="AN2340" s="52"/>
    </row>
    <row r="2341" spans="1:40" x14ac:dyDescent="0.3">
      <c r="A2341" s="52">
        <v>2336</v>
      </c>
      <c r="B2341" s="52">
        <f>-bthan*500+(35+0.5)*bthan*1000/50</f>
        <v>1155</v>
      </c>
      <c r="C2341" s="52">
        <f t="shared" si="239"/>
        <v>130</v>
      </c>
      <c r="D2341" s="52">
        <f t="shared" si="237"/>
        <v>2200</v>
      </c>
      <c r="E2341" s="52">
        <f t="shared" si="238"/>
        <v>1</v>
      </c>
      <c r="F2341" s="52"/>
      <c r="G2341" s="52"/>
      <c r="H2341" s="52"/>
      <c r="I2341" s="52"/>
      <c r="J2341" s="52"/>
      <c r="K2341" s="52"/>
      <c r="L2341" s="52"/>
      <c r="M2341" s="52"/>
      <c r="N2341" s="52"/>
      <c r="O2341" s="52"/>
      <c r="P2341" s="52"/>
      <c r="Q2341" s="52"/>
      <c r="R2341" s="52"/>
      <c r="S2341" s="52"/>
      <c r="T2341" s="52"/>
      <c r="U2341" s="52"/>
      <c r="V2341" s="52"/>
      <c r="W2341" s="52"/>
      <c r="X2341" s="52"/>
      <c r="Y2341" s="52"/>
      <c r="Z2341" s="52"/>
      <c r="AA2341" s="52"/>
      <c r="AB2341" s="52"/>
      <c r="AC2341" s="52"/>
      <c r="AD2341" s="52"/>
      <c r="AE2341" s="52"/>
      <c r="AF2341" s="52"/>
      <c r="AG2341" s="52"/>
      <c r="AH2341" s="52"/>
      <c r="AI2341" s="52"/>
      <c r="AJ2341" s="52"/>
      <c r="AK2341" s="52"/>
      <c r="AL2341" s="52"/>
      <c r="AM2341" s="52"/>
      <c r="AN2341" s="52"/>
    </row>
    <row r="2342" spans="1:40" x14ac:dyDescent="0.3">
      <c r="A2342" s="52">
        <v>2337</v>
      </c>
      <c r="B2342" s="52">
        <f>-bthan*500+(36+0.5)*bthan*1000/50</f>
        <v>1265</v>
      </c>
      <c r="C2342" s="52">
        <f t="shared" si="239"/>
        <v>130</v>
      </c>
      <c r="D2342" s="52">
        <f t="shared" si="237"/>
        <v>2200</v>
      </c>
      <c r="E2342" s="52">
        <f t="shared" si="238"/>
        <v>1</v>
      </c>
      <c r="F2342" s="52"/>
      <c r="G2342" s="52"/>
      <c r="H2342" s="52"/>
      <c r="I2342" s="52"/>
      <c r="J2342" s="52"/>
      <c r="K2342" s="52"/>
      <c r="L2342" s="52"/>
      <c r="M2342" s="52"/>
      <c r="N2342" s="52"/>
      <c r="O2342" s="52"/>
      <c r="P2342" s="52"/>
      <c r="Q2342" s="52"/>
      <c r="R2342" s="52"/>
      <c r="S2342" s="52"/>
      <c r="T2342" s="52"/>
      <c r="U2342" s="52"/>
      <c r="V2342" s="52"/>
      <c r="W2342" s="52"/>
      <c r="X2342" s="52"/>
      <c r="Y2342" s="52"/>
      <c r="Z2342" s="52"/>
      <c r="AA2342" s="52"/>
      <c r="AB2342" s="52"/>
      <c r="AC2342" s="52"/>
      <c r="AD2342" s="52"/>
      <c r="AE2342" s="52"/>
      <c r="AF2342" s="52"/>
      <c r="AG2342" s="52"/>
      <c r="AH2342" s="52"/>
      <c r="AI2342" s="52"/>
      <c r="AJ2342" s="52"/>
      <c r="AK2342" s="52"/>
      <c r="AL2342" s="52"/>
      <c r="AM2342" s="52"/>
      <c r="AN2342" s="52"/>
    </row>
    <row r="2343" spans="1:40" x14ac:dyDescent="0.3">
      <c r="A2343" s="52">
        <v>2338</v>
      </c>
      <c r="B2343" s="52">
        <f>-bthan*500+(37+0.5)*bthan*1000/50</f>
        <v>1375</v>
      </c>
      <c r="C2343" s="52">
        <f t="shared" si="239"/>
        <v>130</v>
      </c>
      <c r="D2343" s="52">
        <f t="shared" si="237"/>
        <v>2200</v>
      </c>
      <c r="E2343" s="52">
        <f t="shared" si="238"/>
        <v>1</v>
      </c>
      <c r="F2343" s="52"/>
      <c r="G2343" s="52"/>
      <c r="H2343" s="52"/>
      <c r="I2343" s="52"/>
      <c r="J2343" s="52"/>
      <c r="K2343" s="52"/>
      <c r="L2343" s="52"/>
      <c r="M2343" s="52"/>
      <c r="N2343" s="52"/>
      <c r="O2343" s="52"/>
      <c r="P2343" s="52"/>
      <c r="Q2343" s="52"/>
      <c r="R2343" s="52"/>
      <c r="S2343" s="52"/>
      <c r="T2343" s="52"/>
      <c r="U2343" s="52"/>
      <c r="V2343" s="52"/>
      <c r="W2343" s="52"/>
      <c r="X2343" s="52"/>
      <c r="Y2343" s="52"/>
      <c r="Z2343" s="52"/>
      <c r="AA2343" s="52"/>
      <c r="AB2343" s="52"/>
      <c r="AC2343" s="52"/>
      <c r="AD2343" s="52"/>
      <c r="AE2343" s="52"/>
      <c r="AF2343" s="52"/>
      <c r="AG2343" s="52"/>
      <c r="AH2343" s="52"/>
      <c r="AI2343" s="52"/>
      <c r="AJ2343" s="52"/>
      <c r="AK2343" s="52"/>
      <c r="AL2343" s="52"/>
      <c r="AM2343" s="52"/>
      <c r="AN2343" s="52"/>
    </row>
    <row r="2344" spans="1:40" x14ac:dyDescent="0.3">
      <c r="A2344" s="52">
        <v>2339</v>
      </c>
      <c r="B2344" s="52">
        <f>-bthan*500+(38+0.5)*bthan*1000/50</f>
        <v>1485</v>
      </c>
      <c r="C2344" s="52">
        <f t="shared" si="239"/>
        <v>130</v>
      </c>
      <c r="D2344" s="52">
        <f t="shared" si="237"/>
        <v>2200</v>
      </c>
      <c r="E2344" s="52">
        <f t="shared" si="238"/>
        <v>1</v>
      </c>
      <c r="F2344" s="52"/>
      <c r="G2344" s="52"/>
      <c r="H2344" s="52"/>
      <c r="I2344" s="52"/>
      <c r="J2344" s="52"/>
      <c r="K2344" s="52"/>
      <c r="L2344" s="52"/>
      <c r="M2344" s="52"/>
      <c r="N2344" s="52"/>
      <c r="O2344" s="52"/>
      <c r="P2344" s="52"/>
      <c r="Q2344" s="52"/>
      <c r="R2344" s="52"/>
      <c r="S2344" s="52"/>
      <c r="T2344" s="52"/>
      <c r="U2344" s="52"/>
      <c r="V2344" s="52"/>
      <c r="W2344" s="52"/>
      <c r="X2344" s="52"/>
      <c r="Y2344" s="52"/>
      <c r="Z2344" s="52"/>
      <c r="AA2344" s="52"/>
      <c r="AB2344" s="52"/>
      <c r="AC2344" s="52"/>
      <c r="AD2344" s="52"/>
      <c r="AE2344" s="52"/>
      <c r="AF2344" s="52"/>
      <c r="AG2344" s="52"/>
      <c r="AH2344" s="52"/>
      <c r="AI2344" s="52"/>
      <c r="AJ2344" s="52"/>
      <c r="AK2344" s="52"/>
      <c r="AL2344" s="52"/>
      <c r="AM2344" s="52"/>
      <c r="AN2344" s="52"/>
    </row>
    <row r="2345" spans="1:40" x14ac:dyDescent="0.3">
      <c r="A2345" s="52">
        <v>2340</v>
      </c>
      <c r="B2345" s="52">
        <f>-bthan*500+(39+0.5)*bthan*1000/50</f>
        <v>1595</v>
      </c>
      <c r="C2345" s="52">
        <f t="shared" si="239"/>
        <v>130</v>
      </c>
      <c r="D2345" s="52">
        <f t="shared" si="237"/>
        <v>2200</v>
      </c>
      <c r="E2345" s="52">
        <f t="shared" si="238"/>
        <v>1</v>
      </c>
      <c r="F2345" s="52"/>
      <c r="G2345" s="52"/>
      <c r="H2345" s="52"/>
      <c r="I2345" s="52"/>
      <c r="J2345" s="52"/>
      <c r="K2345" s="52"/>
      <c r="L2345" s="52"/>
      <c r="M2345" s="52"/>
      <c r="N2345" s="52"/>
      <c r="O2345" s="52"/>
      <c r="P2345" s="52"/>
      <c r="Q2345" s="52"/>
      <c r="R2345" s="52"/>
      <c r="S2345" s="52"/>
      <c r="T2345" s="52"/>
      <c r="U2345" s="52"/>
      <c r="V2345" s="52"/>
      <c r="W2345" s="52"/>
      <c r="X2345" s="52"/>
      <c r="Y2345" s="52"/>
      <c r="Z2345" s="52"/>
      <c r="AA2345" s="52"/>
      <c r="AB2345" s="52"/>
      <c r="AC2345" s="52"/>
      <c r="AD2345" s="52"/>
      <c r="AE2345" s="52"/>
      <c r="AF2345" s="52"/>
      <c r="AG2345" s="52"/>
      <c r="AH2345" s="52"/>
      <c r="AI2345" s="52"/>
      <c r="AJ2345" s="52"/>
      <c r="AK2345" s="52"/>
      <c r="AL2345" s="52"/>
      <c r="AM2345" s="52"/>
      <c r="AN2345" s="52"/>
    </row>
    <row r="2346" spans="1:40" x14ac:dyDescent="0.3">
      <c r="A2346" s="52">
        <v>2341</v>
      </c>
      <c r="B2346" s="52">
        <f>-bthan*500+(40+0.5)*bthan*1000/50</f>
        <v>1705</v>
      </c>
      <c r="C2346" s="52">
        <f t="shared" si="239"/>
        <v>130</v>
      </c>
      <c r="D2346" s="52">
        <f t="shared" si="237"/>
        <v>2200</v>
      </c>
      <c r="E2346" s="52">
        <f t="shared" si="238"/>
        <v>1</v>
      </c>
      <c r="F2346" s="52"/>
      <c r="G2346" s="52"/>
      <c r="H2346" s="52"/>
      <c r="I2346" s="52"/>
      <c r="J2346" s="52"/>
      <c r="K2346" s="52"/>
      <c r="L2346" s="52"/>
      <c r="M2346" s="52"/>
      <c r="N2346" s="52"/>
      <c r="O2346" s="52"/>
      <c r="P2346" s="52"/>
      <c r="Q2346" s="52"/>
      <c r="R2346" s="52"/>
      <c r="S2346" s="52"/>
      <c r="T2346" s="52"/>
      <c r="U2346" s="52"/>
      <c r="V2346" s="52"/>
      <c r="W2346" s="52"/>
      <c r="X2346" s="52"/>
      <c r="Y2346" s="52"/>
      <c r="Z2346" s="52"/>
      <c r="AA2346" s="52"/>
      <c r="AB2346" s="52"/>
      <c r="AC2346" s="52"/>
      <c r="AD2346" s="52"/>
      <c r="AE2346" s="52"/>
      <c r="AF2346" s="52"/>
      <c r="AG2346" s="52"/>
      <c r="AH2346" s="52"/>
      <c r="AI2346" s="52"/>
      <c r="AJ2346" s="52"/>
      <c r="AK2346" s="52"/>
      <c r="AL2346" s="52"/>
      <c r="AM2346" s="52"/>
      <c r="AN2346" s="52"/>
    </row>
    <row r="2347" spans="1:40" x14ac:dyDescent="0.3">
      <c r="A2347" s="52">
        <v>2342</v>
      </c>
      <c r="B2347" s="52">
        <f>-bthan*500+(41+0.5)*bthan*1000/50</f>
        <v>1815</v>
      </c>
      <c r="C2347" s="52">
        <f t="shared" si="239"/>
        <v>130</v>
      </c>
      <c r="D2347" s="52">
        <f t="shared" si="237"/>
        <v>2200</v>
      </c>
      <c r="E2347" s="52">
        <f t="shared" si="238"/>
        <v>1</v>
      </c>
      <c r="F2347" s="52"/>
      <c r="G2347" s="52"/>
      <c r="H2347" s="52"/>
      <c r="I2347" s="52"/>
      <c r="J2347" s="52"/>
      <c r="K2347" s="52"/>
      <c r="L2347" s="52"/>
      <c r="M2347" s="52"/>
      <c r="N2347" s="52"/>
      <c r="O2347" s="52"/>
      <c r="P2347" s="52"/>
      <c r="Q2347" s="52"/>
      <c r="R2347" s="52"/>
      <c r="S2347" s="52"/>
      <c r="T2347" s="52"/>
      <c r="U2347" s="52"/>
      <c r="V2347" s="52"/>
      <c r="W2347" s="52"/>
      <c r="X2347" s="52"/>
      <c r="Y2347" s="52"/>
      <c r="Z2347" s="52"/>
      <c r="AA2347" s="52"/>
      <c r="AB2347" s="52"/>
      <c r="AC2347" s="52"/>
      <c r="AD2347" s="52"/>
      <c r="AE2347" s="52"/>
      <c r="AF2347" s="52"/>
      <c r="AG2347" s="52"/>
      <c r="AH2347" s="52"/>
      <c r="AI2347" s="52"/>
      <c r="AJ2347" s="52"/>
      <c r="AK2347" s="52"/>
      <c r="AL2347" s="52"/>
      <c r="AM2347" s="52"/>
      <c r="AN2347" s="52"/>
    </row>
    <row r="2348" spans="1:40" x14ac:dyDescent="0.3">
      <c r="A2348" s="52">
        <v>2343</v>
      </c>
      <c r="B2348" s="52">
        <f>-bthan*500+(42+0.5)*bthan*1000/50</f>
        <v>1925</v>
      </c>
      <c r="C2348" s="52">
        <f t="shared" si="239"/>
        <v>130</v>
      </c>
      <c r="D2348" s="52">
        <f t="shared" si="237"/>
        <v>2200</v>
      </c>
      <c r="E2348" s="52">
        <f t="shared" si="238"/>
        <v>1</v>
      </c>
      <c r="F2348" s="52"/>
      <c r="G2348" s="52"/>
      <c r="H2348" s="52"/>
      <c r="I2348" s="52"/>
      <c r="J2348" s="52"/>
      <c r="K2348" s="52"/>
      <c r="L2348" s="52"/>
      <c r="M2348" s="52"/>
      <c r="N2348" s="52"/>
      <c r="O2348" s="52"/>
      <c r="P2348" s="52"/>
      <c r="Q2348" s="52"/>
      <c r="R2348" s="52"/>
      <c r="S2348" s="52"/>
      <c r="T2348" s="52"/>
      <c r="U2348" s="52"/>
      <c r="V2348" s="52"/>
      <c r="W2348" s="52"/>
      <c r="X2348" s="52"/>
      <c r="Y2348" s="52"/>
      <c r="Z2348" s="52"/>
      <c r="AA2348" s="52"/>
      <c r="AB2348" s="52"/>
      <c r="AC2348" s="52"/>
      <c r="AD2348" s="52"/>
      <c r="AE2348" s="52"/>
      <c r="AF2348" s="52"/>
      <c r="AG2348" s="52"/>
      <c r="AH2348" s="52"/>
      <c r="AI2348" s="52"/>
      <c r="AJ2348" s="52"/>
      <c r="AK2348" s="52"/>
      <c r="AL2348" s="52"/>
      <c r="AM2348" s="52"/>
      <c r="AN2348" s="52"/>
    </row>
    <row r="2349" spans="1:40" x14ac:dyDescent="0.3">
      <c r="A2349" s="52">
        <v>2344</v>
      </c>
      <c r="B2349" s="52">
        <f>-bthan*500+(43+0.5)*bthan*1000/50</f>
        <v>2035</v>
      </c>
      <c r="C2349" s="52">
        <f t="shared" si="239"/>
        <v>130</v>
      </c>
      <c r="D2349" s="52">
        <f t="shared" si="237"/>
        <v>2200</v>
      </c>
      <c r="E2349" s="52">
        <f t="shared" si="238"/>
        <v>1</v>
      </c>
      <c r="F2349" s="52"/>
      <c r="G2349" s="52"/>
      <c r="H2349" s="52"/>
      <c r="I2349" s="52"/>
      <c r="J2349" s="52"/>
      <c r="K2349" s="52"/>
      <c r="L2349" s="52"/>
      <c r="M2349" s="52"/>
      <c r="N2349" s="52"/>
      <c r="O2349" s="52"/>
      <c r="P2349" s="52"/>
      <c r="Q2349" s="52"/>
      <c r="R2349" s="52"/>
      <c r="S2349" s="52"/>
      <c r="T2349" s="52"/>
      <c r="U2349" s="52"/>
      <c r="V2349" s="52"/>
      <c r="W2349" s="52"/>
      <c r="X2349" s="52"/>
      <c r="Y2349" s="52"/>
      <c r="Z2349" s="52"/>
      <c r="AA2349" s="52"/>
      <c r="AB2349" s="52"/>
      <c r="AC2349" s="52"/>
      <c r="AD2349" s="52"/>
      <c r="AE2349" s="52"/>
      <c r="AF2349" s="52"/>
      <c r="AG2349" s="52"/>
      <c r="AH2349" s="52"/>
      <c r="AI2349" s="52"/>
      <c r="AJ2349" s="52"/>
      <c r="AK2349" s="52"/>
      <c r="AL2349" s="52"/>
      <c r="AM2349" s="52"/>
      <c r="AN2349" s="52"/>
    </row>
    <row r="2350" spans="1:40" x14ac:dyDescent="0.3">
      <c r="A2350" s="52">
        <v>2345</v>
      </c>
      <c r="B2350" s="52">
        <f>-bthan*500+(44+0.5)*bthan*1000/50</f>
        <v>2145</v>
      </c>
      <c r="C2350" s="52">
        <f t="shared" si="239"/>
        <v>130</v>
      </c>
      <c r="D2350" s="52">
        <f t="shared" si="237"/>
        <v>2200</v>
      </c>
      <c r="E2350" s="52">
        <f t="shared" si="238"/>
        <v>1</v>
      </c>
      <c r="F2350" s="52"/>
      <c r="G2350" s="52"/>
      <c r="H2350" s="52"/>
      <c r="I2350" s="52"/>
      <c r="J2350" s="52"/>
      <c r="K2350" s="52"/>
      <c r="L2350" s="52"/>
      <c r="M2350" s="52"/>
      <c r="N2350" s="52"/>
      <c r="O2350" s="52"/>
      <c r="P2350" s="52"/>
      <c r="Q2350" s="52"/>
      <c r="R2350" s="52"/>
      <c r="S2350" s="52"/>
      <c r="T2350" s="52"/>
      <c r="U2350" s="52"/>
      <c r="V2350" s="52"/>
      <c r="W2350" s="52"/>
      <c r="X2350" s="52"/>
      <c r="Y2350" s="52"/>
      <c r="Z2350" s="52"/>
      <c r="AA2350" s="52"/>
      <c r="AB2350" s="52"/>
      <c r="AC2350" s="52"/>
      <c r="AD2350" s="52"/>
      <c r="AE2350" s="52"/>
      <c r="AF2350" s="52"/>
      <c r="AG2350" s="52"/>
      <c r="AH2350" s="52"/>
      <c r="AI2350" s="52"/>
      <c r="AJ2350" s="52"/>
      <c r="AK2350" s="52"/>
      <c r="AL2350" s="52"/>
      <c r="AM2350" s="52"/>
      <c r="AN2350" s="52"/>
    </row>
    <row r="2351" spans="1:40" x14ac:dyDescent="0.3">
      <c r="A2351" s="52">
        <v>2346</v>
      </c>
      <c r="B2351" s="52">
        <f>-bthan*500+(45+0.5)*bthan*1000/50</f>
        <v>2255</v>
      </c>
      <c r="C2351" s="52">
        <f t="shared" si="239"/>
        <v>130</v>
      </c>
      <c r="D2351" s="52">
        <f t="shared" si="237"/>
        <v>2200</v>
      </c>
      <c r="E2351" s="52">
        <f t="shared" si="238"/>
        <v>1</v>
      </c>
      <c r="F2351" s="52"/>
      <c r="G2351" s="52"/>
      <c r="H2351" s="52"/>
      <c r="I2351" s="52"/>
      <c r="J2351" s="52"/>
      <c r="K2351" s="52"/>
      <c r="L2351" s="52"/>
      <c r="M2351" s="52"/>
      <c r="N2351" s="52"/>
      <c r="O2351" s="52"/>
      <c r="P2351" s="52"/>
      <c r="Q2351" s="52"/>
      <c r="R2351" s="52"/>
      <c r="S2351" s="52"/>
      <c r="T2351" s="52"/>
      <c r="U2351" s="52"/>
      <c r="V2351" s="52"/>
      <c r="W2351" s="52"/>
      <c r="X2351" s="52"/>
      <c r="Y2351" s="52"/>
      <c r="Z2351" s="52"/>
      <c r="AA2351" s="52"/>
      <c r="AB2351" s="52"/>
      <c r="AC2351" s="52"/>
      <c r="AD2351" s="52"/>
      <c r="AE2351" s="52"/>
      <c r="AF2351" s="52"/>
      <c r="AG2351" s="52"/>
      <c r="AH2351" s="52"/>
      <c r="AI2351" s="52"/>
      <c r="AJ2351" s="52"/>
      <c r="AK2351" s="52"/>
      <c r="AL2351" s="52"/>
      <c r="AM2351" s="52"/>
      <c r="AN2351" s="52"/>
    </row>
    <row r="2352" spans="1:40" x14ac:dyDescent="0.3">
      <c r="A2352" s="52">
        <v>2347</v>
      </c>
      <c r="B2352" s="52">
        <f>-bthan*500+(46+0.5)*bthan*1000/50</f>
        <v>2365</v>
      </c>
      <c r="C2352" s="52">
        <f t="shared" si="239"/>
        <v>130</v>
      </c>
      <c r="D2352" s="52">
        <f t="shared" si="237"/>
        <v>2200</v>
      </c>
      <c r="E2352" s="52">
        <f t="shared" si="238"/>
        <v>1</v>
      </c>
      <c r="F2352" s="52"/>
      <c r="G2352" s="52"/>
      <c r="H2352" s="52"/>
      <c r="I2352" s="52"/>
      <c r="J2352" s="52"/>
      <c r="K2352" s="52"/>
      <c r="L2352" s="52"/>
      <c r="M2352" s="52"/>
      <c r="N2352" s="52"/>
      <c r="O2352" s="52"/>
      <c r="P2352" s="52"/>
      <c r="Q2352" s="52"/>
      <c r="R2352" s="52"/>
      <c r="S2352" s="52"/>
      <c r="T2352" s="52"/>
      <c r="U2352" s="52"/>
      <c r="V2352" s="52"/>
      <c r="W2352" s="52"/>
      <c r="X2352" s="52"/>
      <c r="Y2352" s="52"/>
      <c r="Z2352" s="52"/>
      <c r="AA2352" s="52"/>
      <c r="AB2352" s="52"/>
      <c r="AC2352" s="52"/>
      <c r="AD2352" s="52"/>
      <c r="AE2352" s="52"/>
      <c r="AF2352" s="52"/>
      <c r="AG2352" s="52"/>
      <c r="AH2352" s="52"/>
      <c r="AI2352" s="52"/>
      <c r="AJ2352" s="52"/>
      <c r="AK2352" s="52"/>
      <c r="AL2352" s="52"/>
      <c r="AM2352" s="52"/>
      <c r="AN2352" s="52"/>
    </row>
    <row r="2353" spans="1:40" x14ac:dyDescent="0.3">
      <c r="A2353" s="52">
        <v>2348</v>
      </c>
      <c r="B2353" s="52">
        <f>-bthan*500+(47+0.5)*bthan*1000/50</f>
        <v>2475</v>
      </c>
      <c r="C2353" s="52">
        <f t="shared" si="239"/>
        <v>130</v>
      </c>
      <c r="D2353" s="52">
        <f t="shared" si="237"/>
        <v>2200</v>
      </c>
      <c r="E2353" s="52">
        <f t="shared" si="238"/>
        <v>1</v>
      </c>
      <c r="F2353" s="52"/>
      <c r="G2353" s="52"/>
      <c r="H2353" s="52"/>
      <c r="I2353" s="52"/>
      <c r="J2353" s="52"/>
      <c r="K2353" s="52"/>
      <c r="L2353" s="52"/>
      <c r="M2353" s="52"/>
      <c r="N2353" s="52"/>
      <c r="O2353" s="52"/>
      <c r="P2353" s="52"/>
      <c r="Q2353" s="52"/>
      <c r="R2353" s="52"/>
      <c r="S2353" s="52"/>
      <c r="T2353" s="52"/>
      <c r="U2353" s="52"/>
      <c r="V2353" s="52"/>
      <c r="W2353" s="52"/>
      <c r="X2353" s="52"/>
      <c r="Y2353" s="52"/>
      <c r="Z2353" s="52"/>
      <c r="AA2353" s="52"/>
      <c r="AB2353" s="52"/>
      <c r="AC2353" s="52"/>
      <c r="AD2353" s="52"/>
      <c r="AE2353" s="52"/>
      <c r="AF2353" s="52"/>
      <c r="AG2353" s="52"/>
      <c r="AH2353" s="52"/>
      <c r="AI2353" s="52"/>
      <c r="AJ2353" s="52"/>
      <c r="AK2353" s="52"/>
      <c r="AL2353" s="52"/>
      <c r="AM2353" s="52"/>
      <c r="AN2353" s="52"/>
    </row>
    <row r="2354" spans="1:40" x14ac:dyDescent="0.3">
      <c r="A2354" s="52">
        <v>2349</v>
      </c>
      <c r="B2354" s="52">
        <f>-bthan*500+(48+0.5)*bthan*1000/50</f>
        <v>2585</v>
      </c>
      <c r="C2354" s="52">
        <f t="shared" si="239"/>
        <v>130</v>
      </c>
      <c r="D2354" s="52">
        <f t="shared" si="237"/>
        <v>2200</v>
      </c>
      <c r="E2354" s="52">
        <f t="shared" si="238"/>
        <v>1</v>
      </c>
      <c r="F2354" s="52"/>
      <c r="G2354" s="52"/>
      <c r="H2354" s="52"/>
      <c r="I2354" s="52"/>
      <c r="J2354" s="52"/>
      <c r="K2354" s="52"/>
      <c r="L2354" s="52"/>
      <c r="M2354" s="52"/>
      <c r="N2354" s="52"/>
      <c r="O2354" s="52"/>
      <c r="P2354" s="52"/>
      <c r="Q2354" s="52"/>
      <c r="R2354" s="52"/>
      <c r="S2354" s="52"/>
      <c r="T2354" s="52"/>
      <c r="U2354" s="52"/>
      <c r="V2354" s="52"/>
      <c r="W2354" s="52"/>
      <c r="X2354" s="52"/>
      <c r="Y2354" s="52"/>
      <c r="Z2354" s="52"/>
      <c r="AA2354" s="52"/>
      <c r="AB2354" s="52"/>
      <c r="AC2354" s="52"/>
      <c r="AD2354" s="52"/>
      <c r="AE2354" s="52"/>
      <c r="AF2354" s="52"/>
      <c r="AG2354" s="52"/>
      <c r="AH2354" s="52"/>
      <c r="AI2354" s="52"/>
      <c r="AJ2354" s="52"/>
      <c r="AK2354" s="52"/>
      <c r="AL2354" s="52"/>
      <c r="AM2354" s="52"/>
      <c r="AN2354" s="52"/>
    </row>
    <row r="2355" spans="1:40" x14ac:dyDescent="0.3">
      <c r="A2355" s="52">
        <v>2350</v>
      </c>
      <c r="B2355" s="52">
        <f>-bthan*500+(49+0.5)*bthan*1000/50</f>
        <v>2695</v>
      </c>
      <c r="C2355" s="52">
        <f t="shared" si="239"/>
        <v>130</v>
      </c>
      <c r="D2355" s="52">
        <f t="shared" si="237"/>
        <v>2200</v>
      </c>
      <c r="E2355" s="52">
        <f t="shared" si="238"/>
        <v>1</v>
      </c>
      <c r="F2355" s="52"/>
      <c r="G2355" s="52"/>
      <c r="H2355" s="52"/>
      <c r="I2355" s="52"/>
      <c r="J2355" s="52"/>
      <c r="K2355" s="52"/>
      <c r="L2355" s="52"/>
      <c r="M2355" s="52"/>
      <c r="N2355" s="52"/>
      <c r="O2355" s="52"/>
      <c r="P2355" s="52"/>
      <c r="Q2355" s="52"/>
      <c r="R2355" s="52"/>
      <c r="S2355" s="52"/>
      <c r="T2355" s="52"/>
      <c r="U2355" s="52"/>
      <c r="V2355" s="52"/>
      <c r="W2355" s="52"/>
      <c r="X2355" s="52"/>
      <c r="Y2355" s="52"/>
      <c r="Z2355" s="52"/>
      <c r="AA2355" s="52"/>
      <c r="AB2355" s="52"/>
      <c r="AC2355" s="52"/>
      <c r="AD2355" s="52"/>
      <c r="AE2355" s="52"/>
      <c r="AF2355" s="52"/>
      <c r="AG2355" s="52"/>
      <c r="AH2355" s="52"/>
      <c r="AI2355" s="52"/>
      <c r="AJ2355" s="52"/>
      <c r="AK2355" s="52"/>
      <c r="AL2355" s="52"/>
      <c r="AM2355" s="52"/>
      <c r="AN2355" s="52"/>
    </row>
    <row r="2356" spans="1:40" x14ac:dyDescent="0.3">
      <c r="A2356" s="52">
        <v>2351</v>
      </c>
      <c r="B2356" s="52">
        <f>-bthan*500+(0+0.5)*bthan*1000/50</f>
        <v>-2695</v>
      </c>
      <c r="C2356" s="52">
        <f t="shared" ref="C2356:C2387" si="240">-hthan*500+(47+0.5)*hthan*1000/80</f>
        <v>150</v>
      </c>
      <c r="D2356" s="52">
        <f t="shared" si="237"/>
        <v>2200</v>
      </c>
      <c r="E2356" s="52">
        <f t="shared" si="238"/>
        <v>1</v>
      </c>
      <c r="F2356" s="52"/>
      <c r="G2356" s="52"/>
      <c r="H2356" s="52"/>
      <c r="I2356" s="52"/>
      <c r="J2356" s="52"/>
      <c r="K2356" s="52"/>
      <c r="L2356" s="52"/>
      <c r="M2356" s="52"/>
      <c r="N2356" s="52"/>
      <c r="O2356" s="52"/>
      <c r="P2356" s="52"/>
      <c r="Q2356" s="52"/>
      <c r="R2356" s="52"/>
      <c r="S2356" s="52"/>
      <c r="T2356" s="52"/>
      <c r="U2356" s="52"/>
      <c r="V2356" s="52"/>
      <c r="W2356" s="52"/>
      <c r="X2356" s="52"/>
      <c r="Y2356" s="52"/>
      <c r="Z2356" s="52"/>
      <c r="AA2356" s="52"/>
      <c r="AB2356" s="52"/>
      <c r="AC2356" s="52"/>
      <c r="AD2356" s="52"/>
      <c r="AE2356" s="52"/>
      <c r="AF2356" s="52"/>
      <c r="AG2356" s="52"/>
      <c r="AH2356" s="52"/>
      <c r="AI2356" s="52"/>
      <c r="AJ2356" s="52"/>
      <c r="AK2356" s="52"/>
      <c r="AL2356" s="52"/>
      <c r="AM2356" s="52"/>
      <c r="AN2356" s="52"/>
    </row>
    <row r="2357" spans="1:40" x14ac:dyDescent="0.3">
      <c r="A2357" s="52">
        <v>2352</v>
      </c>
      <c r="B2357" s="52">
        <f>-bthan*500+(1+0.5)*bthan*1000/50</f>
        <v>-2585</v>
      </c>
      <c r="C2357" s="52">
        <f t="shared" si="240"/>
        <v>150</v>
      </c>
      <c r="D2357" s="52">
        <f t="shared" si="237"/>
        <v>2200</v>
      </c>
      <c r="E2357" s="52">
        <f t="shared" si="238"/>
        <v>1</v>
      </c>
      <c r="F2357" s="52"/>
      <c r="G2357" s="52"/>
      <c r="H2357" s="52"/>
      <c r="I2357" s="52"/>
      <c r="J2357" s="52"/>
      <c r="K2357" s="52"/>
      <c r="L2357" s="52"/>
      <c r="M2357" s="52"/>
      <c r="N2357" s="52"/>
      <c r="O2357" s="52"/>
      <c r="P2357" s="52"/>
      <c r="Q2357" s="52"/>
      <c r="R2357" s="52"/>
      <c r="S2357" s="52"/>
      <c r="T2357" s="52"/>
      <c r="U2357" s="52"/>
      <c r="V2357" s="52"/>
      <c r="W2357" s="52"/>
      <c r="X2357" s="52"/>
      <c r="Y2357" s="52"/>
      <c r="Z2357" s="52"/>
      <c r="AA2357" s="52"/>
      <c r="AB2357" s="52"/>
      <c r="AC2357" s="52"/>
      <c r="AD2357" s="52"/>
      <c r="AE2357" s="52"/>
      <c r="AF2357" s="52"/>
      <c r="AG2357" s="52"/>
      <c r="AH2357" s="52"/>
      <c r="AI2357" s="52"/>
      <c r="AJ2357" s="52"/>
      <c r="AK2357" s="52"/>
      <c r="AL2357" s="52"/>
      <c r="AM2357" s="52"/>
      <c r="AN2357" s="52"/>
    </row>
    <row r="2358" spans="1:40" x14ac:dyDescent="0.3">
      <c r="A2358" s="52">
        <v>2353</v>
      </c>
      <c r="B2358" s="52">
        <f>-bthan*500+(2+0.5)*bthan*1000/50</f>
        <v>-2475</v>
      </c>
      <c r="C2358" s="52">
        <f t="shared" si="240"/>
        <v>150</v>
      </c>
      <c r="D2358" s="52">
        <f t="shared" si="237"/>
        <v>2200</v>
      </c>
      <c r="E2358" s="52">
        <f t="shared" si="238"/>
        <v>1</v>
      </c>
      <c r="F2358" s="52"/>
      <c r="G2358" s="52"/>
      <c r="H2358" s="52"/>
      <c r="I2358" s="52"/>
      <c r="J2358" s="52"/>
      <c r="K2358" s="52"/>
      <c r="L2358" s="52"/>
      <c r="M2358" s="52"/>
      <c r="N2358" s="52"/>
      <c r="O2358" s="52"/>
      <c r="P2358" s="52"/>
      <c r="Q2358" s="52"/>
      <c r="R2358" s="52"/>
      <c r="S2358" s="52"/>
      <c r="T2358" s="52"/>
      <c r="U2358" s="52"/>
      <c r="V2358" s="52"/>
      <c r="W2358" s="52"/>
      <c r="X2358" s="52"/>
      <c r="Y2358" s="52"/>
      <c r="Z2358" s="52"/>
      <c r="AA2358" s="52"/>
      <c r="AB2358" s="52"/>
      <c r="AC2358" s="52"/>
      <c r="AD2358" s="52"/>
      <c r="AE2358" s="52"/>
      <c r="AF2358" s="52"/>
      <c r="AG2358" s="52"/>
      <c r="AH2358" s="52"/>
      <c r="AI2358" s="52"/>
      <c r="AJ2358" s="52"/>
      <c r="AK2358" s="52"/>
      <c r="AL2358" s="52"/>
      <c r="AM2358" s="52"/>
      <c r="AN2358" s="52"/>
    </row>
    <row r="2359" spans="1:40" x14ac:dyDescent="0.3">
      <c r="A2359" s="52">
        <v>2354</v>
      </c>
      <c r="B2359" s="52">
        <f>-bthan*500+(3+0.5)*bthan*1000/50</f>
        <v>-2365</v>
      </c>
      <c r="C2359" s="52">
        <f t="shared" si="240"/>
        <v>150</v>
      </c>
      <c r="D2359" s="52">
        <f t="shared" si="237"/>
        <v>2200</v>
      </c>
      <c r="E2359" s="52">
        <f t="shared" si="238"/>
        <v>1</v>
      </c>
      <c r="F2359" s="52"/>
      <c r="G2359" s="52"/>
      <c r="H2359" s="52"/>
      <c r="I2359" s="52"/>
      <c r="J2359" s="52"/>
      <c r="K2359" s="52"/>
      <c r="L2359" s="52"/>
      <c r="M2359" s="52"/>
      <c r="N2359" s="52"/>
      <c r="O2359" s="52"/>
      <c r="P2359" s="52"/>
      <c r="Q2359" s="52"/>
      <c r="R2359" s="52"/>
      <c r="S2359" s="52"/>
      <c r="T2359" s="52"/>
      <c r="U2359" s="52"/>
      <c r="V2359" s="52"/>
      <c r="W2359" s="52"/>
      <c r="X2359" s="52"/>
      <c r="Y2359" s="52"/>
      <c r="Z2359" s="52"/>
      <c r="AA2359" s="52"/>
      <c r="AB2359" s="52"/>
      <c r="AC2359" s="52"/>
      <c r="AD2359" s="52"/>
      <c r="AE2359" s="52"/>
      <c r="AF2359" s="52"/>
      <c r="AG2359" s="52"/>
      <c r="AH2359" s="52"/>
      <c r="AI2359" s="52"/>
      <c r="AJ2359" s="52"/>
      <c r="AK2359" s="52"/>
      <c r="AL2359" s="52"/>
      <c r="AM2359" s="52"/>
      <c r="AN2359" s="52"/>
    </row>
    <row r="2360" spans="1:40" x14ac:dyDescent="0.3">
      <c r="A2360" s="52">
        <v>2355</v>
      </c>
      <c r="B2360" s="52">
        <f>-bthan*500+(4+0.5)*bthan*1000/50</f>
        <v>-2255</v>
      </c>
      <c r="C2360" s="52">
        <f t="shared" si="240"/>
        <v>150</v>
      </c>
      <c r="D2360" s="52">
        <f t="shared" si="237"/>
        <v>2200</v>
      </c>
      <c r="E2360" s="52">
        <f t="shared" si="238"/>
        <v>1</v>
      </c>
      <c r="F2360" s="52"/>
      <c r="G2360" s="52"/>
      <c r="H2360" s="52"/>
      <c r="I2360" s="52"/>
      <c r="J2360" s="52"/>
      <c r="K2360" s="52"/>
      <c r="L2360" s="52"/>
      <c r="M2360" s="52"/>
      <c r="N2360" s="52"/>
      <c r="O2360" s="52"/>
      <c r="P2360" s="52"/>
      <c r="Q2360" s="52"/>
      <c r="R2360" s="52"/>
      <c r="S2360" s="52"/>
      <c r="T2360" s="52"/>
      <c r="U2360" s="52"/>
      <c r="V2360" s="52"/>
      <c r="W2360" s="52"/>
      <c r="X2360" s="52"/>
      <c r="Y2360" s="52"/>
      <c r="Z2360" s="52"/>
      <c r="AA2360" s="52"/>
      <c r="AB2360" s="52"/>
      <c r="AC2360" s="52"/>
      <c r="AD2360" s="52"/>
      <c r="AE2360" s="52"/>
      <c r="AF2360" s="52"/>
      <c r="AG2360" s="52"/>
      <c r="AH2360" s="52"/>
      <c r="AI2360" s="52"/>
      <c r="AJ2360" s="52"/>
      <c r="AK2360" s="52"/>
      <c r="AL2360" s="52"/>
      <c r="AM2360" s="52"/>
      <c r="AN2360" s="52"/>
    </row>
    <row r="2361" spans="1:40" x14ac:dyDescent="0.3">
      <c r="A2361" s="52">
        <v>2356</v>
      </c>
      <c r="B2361" s="52">
        <f>-bthan*500+(5+0.5)*bthan*1000/50</f>
        <v>-2145</v>
      </c>
      <c r="C2361" s="52">
        <f t="shared" si="240"/>
        <v>150</v>
      </c>
      <c r="D2361" s="52">
        <f t="shared" si="237"/>
        <v>2200</v>
      </c>
      <c r="E2361" s="52">
        <f t="shared" si="238"/>
        <v>1</v>
      </c>
      <c r="F2361" s="52"/>
      <c r="G2361" s="52"/>
      <c r="H2361" s="52"/>
      <c r="I2361" s="52"/>
      <c r="J2361" s="52"/>
      <c r="K2361" s="52"/>
      <c r="L2361" s="52"/>
      <c r="M2361" s="52"/>
      <c r="N2361" s="52"/>
      <c r="O2361" s="52"/>
      <c r="P2361" s="52"/>
      <c r="Q2361" s="52"/>
      <c r="R2361" s="52"/>
      <c r="S2361" s="52"/>
      <c r="T2361" s="52"/>
      <c r="U2361" s="52"/>
      <c r="V2361" s="52"/>
      <c r="W2361" s="52"/>
      <c r="X2361" s="52"/>
      <c r="Y2361" s="52"/>
      <c r="Z2361" s="52"/>
      <c r="AA2361" s="52"/>
      <c r="AB2361" s="52"/>
      <c r="AC2361" s="52"/>
      <c r="AD2361" s="52"/>
      <c r="AE2361" s="52"/>
      <c r="AF2361" s="52"/>
      <c r="AG2361" s="52"/>
      <c r="AH2361" s="52"/>
      <c r="AI2361" s="52"/>
      <c r="AJ2361" s="52"/>
      <c r="AK2361" s="52"/>
      <c r="AL2361" s="52"/>
      <c r="AM2361" s="52"/>
      <c r="AN2361" s="52"/>
    </row>
    <row r="2362" spans="1:40" x14ac:dyDescent="0.3">
      <c r="A2362" s="52">
        <v>2357</v>
      </c>
      <c r="B2362" s="52">
        <f>-bthan*500+(6+0.5)*bthan*1000/50</f>
        <v>-2035</v>
      </c>
      <c r="C2362" s="52">
        <f t="shared" si="240"/>
        <v>150</v>
      </c>
      <c r="D2362" s="52">
        <f t="shared" si="237"/>
        <v>2200</v>
      </c>
      <c r="E2362" s="52">
        <f t="shared" si="238"/>
        <v>1</v>
      </c>
      <c r="F2362" s="52"/>
      <c r="G2362" s="52"/>
      <c r="H2362" s="52"/>
      <c r="I2362" s="52"/>
      <c r="J2362" s="52"/>
      <c r="K2362" s="52"/>
      <c r="L2362" s="52"/>
      <c r="M2362" s="52"/>
      <c r="N2362" s="52"/>
      <c r="O2362" s="52"/>
      <c r="P2362" s="52"/>
      <c r="Q2362" s="52"/>
      <c r="R2362" s="52"/>
      <c r="S2362" s="52"/>
      <c r="T2362" s="52"/>
      <c r="U2362" s="52"/>
      <c r="V2362" s="52"/>
      <c r="W2362" s="52"/>
      <c r="X2362" s="52"/>
      <c r="Y2362" s="52"/>
      <c r="Z2362" s="52"/>
      <c r="AA2362" s="52"/>
      <c r="AB2362" s="52"/>
      <c r="AC2362" s="52"/>
      <c r="AD2362" s="52"/>
      <c r="AE2362" s="52"/>
      <c r="AF2362" s="52"/>
      <c r="AG2362" s="52"/>
      <c r="AH2362" s="52"/>
      <c r="AI2362" s="52"/>
      <c r="AJ2362" s="52"/>
      <c r="AK2362" s="52"/>
      <c r="AL2362" s="52"/>
      <c r="AM2362" s="52"/>
      <c r="AN2362" s="52"/>
    </row>
    <row r="2363" spans="1:40" x14ac:dyDescent="0.3">
      <c r="A2363" s="52">
        <v>2358</v>
      </c>
      <c r="B2363" s="52">
        <f>-bthan*500+(7+0.5)*bthan*1000/50</f>
        <v>-1925</v>
      </c>
      <c r="C2363" s="52">
        <f t="shared" si="240"/>
        <v>150</v>
      </c>
      <c r="D2363" s="52">
        <f t="shared" si="237"/>
        <v>2200</v>
      </c>
      <c r="E2363" s="52">
        <f t="shared" si="238"/>
        <v>1</v>
      </c>
      <c r="F2363" s="52"/>
      <c r="G2363" s="52"/>
      <c r="H2363" s="52"/>
      <c r="I2363" s="52"/>
      <c r="J2363" s="52"/>
      <c r="K2363" s="52"/>
      <c r="L2363" s="52"/>
      <c r="M2363" s="52"/>
      <c r="N2363" s="52"/>
      <c r="O2363" s="52"/>
      <c r="P2363" s="52"/>
      <c r="Q2363" s="52"/>
      <c r="R2363" s="52"/>
      <c r="S2363" s="52"/>
      <c r="T2363" s="52"/>
      <c r="U2363" s="52"/>
      <c r="V2363" s="52"/>
      <c r="W2363" s="52"/>
      <c r="X2363" s="52"/>
      <c r="Y2363" s="52"/>
      <c r="Z2363" s="52"/>
      <c r="AA2363" s="52"/>
      <c r="AB2363" s="52"/>
      <c r="AC2363" s="52"/>
      <c r="AD2363" s="52"/>
      <c r="AE2363" s="52"/>
      <c r="AF2363" s="52"/>
      <c r="AG2363" s="52"/>
      <c r="AH2363" s="52"/>
      <c r="AI2363" s="52"/>
      <c r="AJ2363" s="52"/>
      <c r="AK2363" s="52"/>
      <c r="AL2363" s="52"/>
      <c r="AM2363" s="52"/>
      <c r="AN2363" s="52"/>
    </row>
    <row r="2364" spans="1:40" x14ac:dyDescent="0.3">
      <c r="A2364" s="52">
        <v>2359</v>
      </c>
      <c r="B2364" s="52">
        <f>-bthan*500+(8+0.5)*bthan*1000/50</f>
        <v>-1815</v>
      </c>
      <c r="C2364" s="52">
        <f t="shared" si="240"/>
        <v>150</v>
      </c>
      <c r="D2364" s="52">
        <f t="shared" si="237"/>
        <v>2200</v>
      </c>
      <c r="E2364" s="52">
        <f t="shared" si="238"/>
        <v>1</v>
      </c>
      <c r="F2364" s="52"/>
      <c r="G2364" s="52"/>
      <c r="H2364" s="52"/>
      <c r="I2364" s="52"/>
      <c r="J2364" s="52"/>
      <c r="K2364" s="52"/>
      <c r="L2364" s="52"/>
      <c r="M2364" s="52"/>
      <c r="N2364" s="52"/>
      <c r="O2364" s="52"/>
      <c r="P2364" s="52"/>
      <c r="Q2364" s="52"/>
      <c r="R2364" s="52"/>
      <c r="S2364" s="52"/>
      <c r="T2364" s="52"/>
      <c r="U2364" s="52"/>
      <c r="V2364" s="52"/>
      <c r="W2364" s="52"/>
      <c r="X2364" s="52"/>
      <c r="Y2364" s="52"/>
      <c r="Z2364" s="52"/>
      <c r="AA2364" s="52"/>
      <c r="AB2364" s="52"/>
      <c r="AC2364" s="52"/>
      <c r="AD2364" s="52"/>
      <c r="AE2364" s="52"/>
      <c r="AF2364" s="52"/>
      <c r="AG2364" s="52"/>
      <c r="AH2364" s="52"/>
      <c r="AI2364" s="52"/>
      <c r="AJ2364" s="52"/>
      <c r="AK2364" s="52"/>
      <c r="AL2364" s="52"/>
      <c r="AM2364" s="52"/>
      <c r="AN2364" s="52"/>
    </row>
    <row r="2365" spans="1:40" x14ac:dyDescent="0.3">
      <c r="A2365" s="52">
        <v>2360</v>
      </c>
      <c r="B2365" s="52">
        <f>-bthan*500+(9+0.5)*bthan*1000/50</f>
        <v>-1705</v>
      </c>
      <c r="C2365" s="52">
        <f t="shared" si="240"/>
        <v>150</v>
      </c>
      <c r="D2365" s="52">
        <f t="shared" si="237"/>
        <v>2200</v>
      </c>
      <c r="E2365" s="52">
        <f t="shared" si="238"/>
        <v>1</v>
      </c>
      <c r="F2365" s="52"/>
      <c r="G2365" s="52"/>
      <c r="H2365" s="52"/>
      <c r="I2365" s="52"/>
      <c r="J2365" s="52"/>
      <c r="K2365" s="52"/>
      <c r="L2365" s="52"/>
      <c r="M2365" s="52"/>
      <c r="N2365" s="52"/>
      <c r="O2365" s="52"/>
      <c r="P2365" s="52"/>
      <c r="Q2365" s="52"/>
      <c r="R2365" s="52"/>
      <c r="S2365" s="52"/>
      <c r="T2365" s="52"/>
      <c r="U2365" s="52"/>
      <c r="V2365" s="52"/>
      <c r="W2365" s="52"/>
      <c r="X2365" s="52"/>
      <c r="Y2365" s="52"/>
      <c r="Z2365" s="52"/>
      <c r="AA2365" s="52"/>
      <c r="AB2365" s="52"/>
      <c r="AC2365" s="52"/>
      <c r="AD2365" s="52"/>
      <c r="AE2365" s="52"/>
      <c r="AF2365" s="52"/>
      <c r="AG2365" s="52"/>
      <c r="AH2365" s="52"/>
      <c r="AI2365" s="52"/>
      <c r="AJ2365" s="52"/>
      <c r="AK2365" s="52"/>
      <c r="AL2365" s="52"/>
      <c r="AM2365" s="52"/>
      <c r="AN2365" s="52"/>
    </row>
    <row r="2366" spans="1:40" x14ac:dyDescent="0.3">
      <c r="A2366" s="52">
        <v>2361</v>
      </c>
      <c r="B2366" s="52">
        <f>-bthan*500+(10+0.5)*bthan*1000/50</f>
        <v>-1595</v>
      </c>
      <c r="C2366" s="52">
        <f t="shared" si="240"/>
        <v>150</v>
      </c>
      <c r="D2366" s="52">
        <f t="shared" si="237"/>
        <v>2200</v>
      </c>
      <c r="E2366" s="52">
        <f t="shared" si="238"/>
        <v>1</v>
      </c>
      <c r="F2366" s="52"/>
      <c r="G2366" s="52"/>
      <c r="H2366" s="52"/>
      <c r="I2366" s="52"/>
      <c r="J2366" s="52"/>
      <c r="K2366" s="52"/>
      <c r="L2366" s="52"/>
      <c r="M2366" s="52"/>
      <c r="N2366" s="52"/>
      <c r="O2366" s="52"/>
      <c r="P2366" s="52"/>
      <c r="Q2366" s="52"/>
      <c r="R2366" s="52"/>
      <c r="S2366" s="52"/>
      <c r="T2366" s="52"/>
      <c r="U2366" s="52"/>
      <c r="V2366" s="52"/>
      <c r="W2366" s="52"/>
      <c r="X2366" s="52"/>
      <c r="Y2366" s="52"/>
      <c r="Z2366" s="52"/>
      <c r="AA2366" s="52"/>
      <c r="AB2366" s="52"/>
      <c r="AC2366" s="52"/>
      <c r="AD2366" s="52"/>
      <c r="AE2366" s="52"/>
      <c r="AF2366" s="52"/>
      <c r="AG2366" s="52"/>
      <c r="AH2366" s="52"/>
      <c r="AI2366" s="52"/>
      <c r="AJ2366" s="52"/>
      <c r="AK2366" s="52"/>
      <c r="AL2366" s="52"/>
      <c r="AM2366" s="52"/>
      <c r="AN2366" s="52"/>
    </row>
    <row r="2367" spans="1:40" x14ac:dyDescent="0.3">
      <c r="A2367" s="52">
        <v>2362</v>
      </c>
      <c r="B2367" s="52">
        <f>-bthan*500+(11+0.5)*bthan*1000/50</f>
        <v>-1485</v>
      </c>
      <c r="C2367" s="52">
        <f t="shared" si="240"/>
        <v>150</v>
      </c>
      <c r="D2367" s="52">
        <f t="shared" si="237"/>
        <v>2200</v>
      </c>
      <c r="E2367" s="52">
        <f t="shared" si="238"/>
        <v>1</v>
      </c>
      <c r="F2367" s="52"/>
      <c r="G2367" s="52"/>
      <c r="H2367" s="52"/>
      <c r="I2367" s="52"/>
      <c r="J2367" s="52"/>
      <c r="K2367" s="52"/>
      <c r="L2367" s="52"/>
      <c r="M2367" s="52"/>
      <c r="N2367" s="52"/>
      <c r="O2367" s="52"/>
      <c r="P2367" s="52"/>
      <c r="Q2367" s="52"/>
      <c r="R2367" s="52"/>
      <c r="S2367" s="52"/>
      <c r="T2367" s="52"/>
      <c r="U2367" s="52"/>
      <c r="V2367" s="52"/>
      <c r="W2367" s="52"/>
      <c r="X2367" s="52"/>
      <c r="Y2367" s="52"/>
      <c r="Z2367" s="52"/>
      <c r="AA2367" s="52"/>
      <c r="AB2367" s="52"/>
      <c r="AC2367" s="52"/>
      <c r="AD2367" s="52"/>
      <c r="AE2367" s="52"/>
      <c r="AF2367" s="52"/>
      <c r="AG2367" s="52"/>
      <c r="AH2367" s="52"/>
      <c r="AI2367" s="52"/>
      <c r="AJ2367" s="52"/>
      <c r="AK2367" s="52"/>
      <c r="AL2367" s="52"/>
      <c r="AM2367" s="52"/>
      <c r="AN2367" s="52"/>
    </row>
    <row r="2368" spans="1:40" x14ac:dyDescent="0.3">
      <c r="A2368" s="52">
        <v>2363</v>
      </c>
      <c r="B2368" s="52">
        <f>-bthan*500+(12+0.5)*bthan*1000/50</f>
        <v>-1375</v>
      </c>
      <c r="C2368" s="52">
        <f t="shared" si="240"/>
        <v>150</v>
      </c>
      <c r="D2368" s="52">
        <f t="shared" si="237"/>
        <v>2200</v>
      </c>
      <c r="E2368" s="52">
        <f t="shared" si="238"/>
        <v>1</v>
      </c>
      <c r="F2368" s="52"/>
      <c r="G2368" s="52"/>
      <c r="H2368" s="52"/>
      <c r="I2368" s="52"/>
      <c r="J2368" s="52"/>
      <c r="K2368" s="52"/>
      <c r="L2368" s="52"/>
      <c r="M2368" s="52"/>
      <c r="N2368" s="52"/>
      <c r="O2368" s="52"/>
      <c r="P2368" s="52"/>
      <c r="Q2368" s="52"/>
      <c r="R2368" s="52"/>
      <c r="S2368" s="52"/>
      <c r="T2368" s="52"/>
      <c r="U2368" s="52"/>
      <c r="V2368" s="52"/>
      <c r="W2368" s="52"/>
      <c r="X2368" s="52"/>
      <c r="Y2368" s="52"/>
      <c r="Z2368" s="52"/>
      <c r="AA2368" s="52"/>
      <c r="AB2368" s="52"/>
      <c r="AC2368" s="52"/>
      <c r="AD2368" s="52"/>
      <c r="AE2368" s="52"/>
      <c r="AF2368" s="52"/>
      <c r="AG2368" s="52"/>
      <c r="AH2368" s="52"/>
      <c r="AI2368" s="52"/>
      <c r="AJ2368" s="52"/>
      <c r="AK2368" s="52"/>
      <c r="AL2368" s="52"/>
      <c r="AM2368" s="52"/>
      <c r="AN2368" s="52"/>
    </row>
    <row r="2369" spans="1:40" x14ac:dyDescent="0.3">
      <c r="A2369" s="52">
        <v>2364</v>
      </c>
      <c r="B2369" s="52">
        <f>-bthan*500+(13+0.5)*bthan*1000/50</f>
        <v>-1265</v>
      </c>
      <c r="C2369" s="52">
        <f t="shared" si="240"/>
        <v>150</v>
      </c>
      <c r="D2369" s="52">
        <f t="shared" si="237"/>
        <v>2200</v>
      </c>
      <c r="E2369" s="52">
        <f t="shared" si="238"/>
        <v>1</v>
      </c>
      <c r="F2369" s="52"/>
      <c r="G2369" s="52"/>
      <c r="H2369" s="52"/>
      <c r="I2369" s="52"/>
      <c r="J2369" s="52"/>
      <c r="K2369" s="52"/>
      <c r="L2369" s="52"/>
      <c r="M2369" s="52"/>
      <c r="N2369" s="52"/>
      <c r="O2369" s="52"/>
      <c r="P2369" s="52"/>
      <c r="Q2369" s="52"/>
      <c r="R2369" s="52"/>
      <c r="S2369" s="52"/>
      <c r="T2369" s="52"/>
      <c r="U2369" s="52"/>
      <c r="V2369" s="52"/>
      <c r="W2369" s="52"/>
      <c r="X2369" s="52"/>
      <c r="Y2369" s="52"/>
      <c r="Z2369" s="52"/>
      <c r="AA2369" s="52"/>
      <c r="AB2369" s="52"/>
      <c r="AC2369" s="52"/>
      <c r="AD2369" s="52"/>
      <c r="AE2369" s="52"/>
      <c r="AF2369" s="52"/>
      <c r="AG2369" s="52"/>
      <c r="AH2369" s="52"/>
      <c r="AI2369" s="52"/>
      <c r="AJ2369" s="52"/>
      <c r="AK2369" s="52"/>
      <c r="AL2369" s="52"/>
      <c r="AM2369" s="52"/>
      <c r="AN2369" s="52"/>
    </row>
    <row r="2370" spans="1:40" x14ac:dyDescent="0.3">
      <c r="A2370" s="52">
        <v>2365</v>
      </c>
      <c r="B2370" s="52">
        <f>-bthan*500+(14+0.5)*bthan*1000/50</f>
        <v>-1155</v>
      </c>
      <c r="C2370" s="52">
        <f t="shared" si="240"/>
        <v>150</v>
      </c>
      <c r="D2370" s="52">
        <f t="shared" si="237"/>
        <v>2200</v>
      </c>
      <c r="E2370" s="52">
        <f t="shared" si="238"/>
        <v>1</v>
      </c>
      <c r="F2370" s="52"/>
      <c r="G2370" s="52"/>
      <c r="H2370" s="52"/>
      <c r="I2370" s="52"/>
      <c r="J2370" s="52"/>
      <c r="K2370" s="52"/>
      <c r="L2370" s="52"/>
      <c r="M2370" s="52"/>
      <c r="N2370" s="52"/>
      <c r="O2370" s="52"/>
      <c r="P2370" s="52"/>
      <c r="Q2370" s="52"/>
      <c r="R2370" s="52"/>
      <c r="S2370" s="52"/>
      <c r="T2370" s="52"/>
      <c r="U2370" s="52"/>
      <c r="V2370" s="52"/>
      <c r="W2370" s="52"/>
      <c r="X2370" s="52"/>
      <c r="Y2370" s="52"/>
      <c r="Z2370" s="52"/>
      <c r="AA2370" s="52"/>
      <c r="AB2370" s="52"/>
      <c r="AC2370" s="52"/>
      <c r="AD2370" s="52"/>
      <c r="AE2370" s="52"/>
      <c r="AF2370" s="52"/>
      <c r="AG2370" s="52"/>
      <c r="AH2370" s="52"/>
      <c r="AI2370" s="52"/>
      <c r="AJ2370" s="52"/>
      <c r="AK2370" s="52"/>
      <c r="AL2370" s="52"/>
      <c r="AM2370" s="52"/>
      <c r="AN2370" s="52"/>
    </row>
    <row r="2371" spans="1:40" x14ac:dyDescent="0.3">
      <c r="A2371" s="52">
        <v>2366</v>
      </c>
      <c r="B2371" s="52">
        <f>-bthan*500+(15+0.5)*bthan*1000/50</f>
        <v>-1045</v>
      </c>
      <c r="C2371" s="52">
        <f t="shared" si="240"/>
        <v>150</v>
      </c>
      <c r="D2371" s="52">
        <f t="shared" si="237"/>
        <v>2200</v>
      </c>
      <c r="E2371" s="52">
        <f t="shared" si="238"/>
        <v>1</v>
      </c>
      <c r="F2371" s="52"/>
      <c r="G2371" s="52"/>
      <c r="H2371" s="52"/>
      <c r="I2371" s="52"/>
      <c r="J2371" s="52"/>
      <c r="K2371" s="52"/>
      <c r="L2371" s="52"/>
      <c r="M2371" s="52"/>
      <c r="N2371" s="52"/>
      <c r="O2371" s="52"/>
      <c r="P2371" s="52"/>
      <c r="Q2371" s="52"/>
      <c r="R2371" s="52"/>
      <c r="S2371" s="52"/>
      <c r="T2371" s="52"/>
      <c r="U2371" s="52"/>
      <c r="V2371" s="52"/>
      <c r="W2371" s="52"/>
      <c r="X2371" s="52"/>
      <c r="Y2371" s="52"/>
      <c r="Z2371" s="52"/>
      <c r="AA2371" s="52"/>
      <c r="AB2371" s="52"/>
      <c r="AC2371" s="52"/>
      <c r="AD2371" s="52"/>
      <c r="AE2371" s="52"/>
      <c r="AF2371" s="52"/>
      <c r="AG2371" s="52"/>
      <c r="AH2371" s="52"/>
      <c r="AI2371" s="52"/>
      <c r="AJ2371" s="52"/>
      <c r="AK2371" s="52"/>
      <c r="AL2371" s="52"/>
      <c r="AM2371" s="52"/>
      <c r="AN2371" s="52"/>
    </row>
    <row r="2372" spans="1:40" x14ac:dyDescent="0.3">
      <c r="A2372" s="52">
        <v>2367</v>
      </c>
      <c r="B2372" s="52">
        <f>-bthan*500+(16+0.5)*bthan*1000/50</f>
        <v>-935</v>
      </c>
      <c r="C2372" s="52">
        <f t="shared" si="240"/>
        <v>150</v>
      </c>
      <c r="D2372" s="52">
        <f t="shared" si="237"/>
        <v>2200</v>
      </c>
      <c r="E2372" s="52">
        <f t="shared" si="238"/>
        <v>1</v>
      </c>
      <c r="F2372" s="52"/>
      <c r="G2372" s="52"/>
      <c r="H2372" s="52"/>
      <c r="I2372" s="52"/>
      <c r="J2372" s="52"/>
      <c r="K2372" s="52"/>
      <c r="L2372" s="52"/>
      <c r="M2372" s="52"/>
      <c r="N2372" s="52"/>
      <c r="O2372" s="52"/>
      <c r="P2372" s="52"/>
      <c r="Q2372" s="52"/>
      <c r="R2372" s="52"/>
      <c r="S2372" s="52"/>
      <c r="T2372" s="52"/>
      <c r="U2372" s="52"/>
      <c r="V2372" s="52"/>
      <c r="W2372" s="52"/>
      <c r="X2372" s="52"/>
      <c r="Y2372" s="52"/>
      <c r="Z2372" s="52"/>
      <c r="AA2372" s="52"/>
      <c r="AB2372" s="52"/>
      <c r="AC2372" s="52"/>
      <c r="AD2372" s="52"/>
      <c r="AE2372" s="52"/>
      <c r="AF2372" s="52"/>
      <c r="AG2372" s="52"/>
      <c r="AH2372" s="52"/>
      <c r="AI2372" s="52"/>
      <c r="AJ2372" s="52"/>
      <c r="AK2372" s="52"/>
      <c r="AL2372" s="52"/>
      <c r="AM2372" s="52"/>
      <c r="AN2372" s="52"/>
    </row>
    <row r="2373" spans="1:40" x14ac:dyDescent="0.3">
      <c r="A2373" s="52">
        <v>2368</v>
      </c>
      <c r="B2373" s="52">
        <f>-bthan*500+(17+0.5)*bthan*1000/50</f>
        <v>-825</v>
      </c>
      <c r="C2373" s="52">
        <f t="shared" si="240"/>
        <v>150</v>
      </c>
      <c r="D2373" s="52">
        <f t="shared" si="237"/>
        <v>2200</v>
      </c>
      <c r="E2373" s="52">
        <f t="shared" si="238"/>
        <v>1</v>
      </c>
      <c r="F2373" s="52"/>
      <c r="G2373" s="52"/>
      <c r="H2373" s="52"/>
      <c r="I2373" s="52"/>
      <c r="J2373" s="52"/>
      <c r="K2373" s="52"/>
      <c r="L2373" s="52"/>
      <c r="M2373" s="52"/>
      <c r="N2373" s="52"/>
      <c r="O2373" s="52"/>
      <c r="P2373" s="52"/>
      <c r="Q2373" s="52"/>
      <c r="R2373" s="52"/>
      <c r="S2373" s="52"/>
      <c r="T2373" s="52"/>
      <c r="U2373" s="52"/>
      <c r="V2373" s="52"/>
      <c r="W2373" s="52"/>
      <c r="X2373" s="52"/>
      <c r="Y2373" s="52"/>
      <c r="Z2373" s="52"/>
      <c r="AA2373" s="52"/>
      <c r="AB2373" s="52"/>
      <c r="AC2373" s="52"/>
      <c r="AD2373" s="52"/>
      <c r="AE2373" s="52"/>
      <c r="AF2373" s="52"/>
      <c r="AG2373" s="52"/>
      <c r="AH2373" s="52"/>
      <c r="AI2373" s="52"/>
      <c r="AJ2373" s="52"/>
      <c r="AK2373" s="52"/>
      <c r="AL2373" s="52"/>
      <c r="AM2373" s="52"/>
      <c r="AN2373" s="52"/>
    </row>
    <row r="2374" spans="1:40" x14ac:dyDescent="0.3">
      <c r="A2374" s="52">
        <v>2369</v>
      </c>
      <c r="B2374" s="52">
        <f>-bthan*500+(18+0.5)*bthan*1000/50</f>
        <v>-715</v>
      </c>
      <c r="C2374" s="52">
        <f t="shared" si="240"/>
        <v>150</v>
      </c>
      <c r="D2374" s="52">
        <f t="shared" ref="D2374:D2437" si="241">bthan*1000/50*hthan*1000/80</f>
        <v>2200</v>
      </c>
      <c r="E2374" s="52">
        <f t="shared" ref="E2374:E2437" si="242">IF(shp=1,--(OR(ABS(B2374)&lt;=MAX(0,(bthan-hthan)*500),(ABS(B2374)-MAX(0,(bthan-hthan)*500))^2+C2374^2&lt;=(hthan*500)^2)),--(AND(ABS(B2374)&lt;=bthan*500,ABS(C2374)&lt;=hthan*500,OR(ABS(B2374)&lt;=bthan*500-cch*1000,ABS(C2374)&lt;=hthan*500-cch*1000,(bthan*500-ABS(B2374))+(hthan*500-ABS(C2374))&gt;=cch*1000))))</f>
        <v>1</v>
      </c>
      <c r="F2374" s="52"/>
      <c r="G2374" s="52"/>
      <c r="H2374" s="52"/>
      <c r="I2374" s="52"/>
      <c r="J2374" s="52"/>
      <c r="K2374" s="52"/>
      <c r="L2374" s="52"/>
      <c r="M2374" s="52"/>
      <c r="N2374" s="52"/>
      <c r="O2374" s="52"/>
      <c r="P2374" s="52"/>
      <c r="Q2374" s="52"/>
      <c r="R2374" s="52"/>
      <c r="S2374" s="52"/>
      <c r="T2374" s="52"/>
      <c r="U2374" s="52"/>
      <c r="V2374" s="52"/>
      <c r="W2374" s="52"/>
      <c r="X2374" s="52"/>
      <c r="Y2374" s="52"/>
      <c r="Z2374" s="52"/>
      <c r="AA2374" s="52"/>
      <c r="AB2374" s="52"/>
      <c r="AC2374" s="52"/>
      <c r="AD2374" s="52"/>
      <c r="AE2374" s="52"/>
      <c r="AF2374" s="52"/>
      <c r="AG2374" s="52"/>
      <c r="AH2374" s="52"/>
      <c r="AI2374" s="52"/>
      <c r="AJ2374" s="52"/>
      <c r="AK2374" s="52"/>
      <c r="AL2374" s="52"/>
      <c r="AM2374" s="52"/>
      <c r="AN2374" s="52"/>
    </row>
    <row r="2375" spans="1:40" x14ac:dyDescent="0.3">
      <c r="A2375" s="52">
        <v>2370</v>
      </c>
      <c r="B2375" s="52">
        <f>-bthan*500+(19+0.5)*bthan*1000/50</f>
        <v>-605</v>
      </c>
      <c r="C2375" s="52">
        <f t="shared" si="240"/>
        <v>150</v>
      </c>
      <c r="D2375" s="52">
        <f t="shared" si="241"/>
        <v>2200</v>
      </c>
      <c r="E2375" s="52">
        <f t="shared" si="242"/>
        <v>1</v>
      </c>
      <c r="F2375" s="52"/>
      <c r="G2375" s="52"/>
      <c r="H2375" s="52"/>
      <c r="I2375" s="52"/>
      <c r="J2375" s="52"/>
      <c r="K2375" s="52"/>
      <c r="L2375" s="52"/>
      <c r="M2375" s="52"/>
      <c r="N2375" s="52"/>
      <c r="O2375" s="52"/>
      <c r="P2375" s="52"/>
      <c r="Q2375" s="52"/>
      <c r="R2375" s="52"/>
      <c r="S2375" s="52"/>
      <c r="T2375" s="52"/>
      <c r="U2375" s="52"/>
      <c r="V2375" s="52"/>
      <c r="W2375" s="52"/>
      <c r="X2375" s="52"/>
      <c r="Y2375" s="52"/>
      <c r="Z2375" s="52"/>
      <c r="AA2375" s="52"/>
      <c r="AB2375" s="52"/>
      <c r="AC2375" s="52"/>
      <c r="AD2375" s="52"/>
      <c r="AE2375" s="52"/>
      <c r="AF2375" s="52"/>
      <c r="AG2375" s="52"/>
      <c r="AH2375" s="52"/>
      <c r="AI2375" s="52"/>
      <c r="AJ2375" s="52"/>
      <c r="AK2375" s="52"/>
      <c r="AL2375" s="52"/>
      <c r="AM2375" s="52"/>
      <c r="AN2375" s="52"/>
    </row>
    <row r="2376" spans="1:40" x14ac:dyDescent="0.3">
      <c r="A2376" s="52">
        <v>2371</v>
      </c>
      <c r="B2376" s="52">
        <f>-bthan*500+(20+0.5)*bthan*1000/50</f>
        <v>-495</v>
      </c>
      <c r="C2376" s="52">
        <f t="shared" si="240"/>
        <v>150</v>
      </c>
      <c r="D2376" s="52">
        <f t="shared" si="241"/>
        <v>2200</v>
      </c>
      <c r="E2376" s="52">
        <f t="shared" si="242"/>
        <v>1</v>
      </c>
      <c r="F2376" s="52"/>
      <c r="G2376" s="52"/>
      <c r="H2376" s="52"/>
      <c r="I2376" s="52"/>
      <c r="J2376" s="52"/>
      <c r="K2376" s="52"/>
      <c r="L2376" s="52"/>
      <c r="M2376" s="52"/>
      <c r="N2376" s="52"/>
      <c r="O2376" s="52"/>
      <c r="P2376" s="52"/>
      <c r="Q2376" s="52"/>
      <c r="R2376" s="52"/>
      <c r="S2376" s="52"/>
      <c r="T2376" s="52"/>
      <c r="U2376" s="52"/>
      <c r="V2376" s="52"/>
      <c r="W2376" s="52"/>
      <c r="X2376" s="52"/>
      <c r="Y2376" s="52"/>
      <c r="Z2376" s="52"/>
      <c r="AA2376" s="52"/>
      <c r="AB2376" s="52"/>
      <c r="AC2376" s="52"/>
      <c r="AD2376" s="52"/>
      <c r="AE2376" s="52"/>
      <c r="AF2376" s="52"/>
      <c r="AG2376" s="52"/>
      <c r="AH2376" s="52"/>
      <c r="AI2376" s="52"/>
      <c r="AJ2376" s="52"/>
      <c r="AK2376" s="52"/>
      <c r="AL2376" s="52"/>
      <c r="AM2376" s="52"/>
      <c r="AN2376" s="52"/>
    </row>
    <row r="2377" spans="1:40" x14ac:dyDescent="0.3">
      <c r="A2377" s="52">
        <v>2372</v>
      </c>
      <c r="B2377" s="52">
        <f>-bthan*500+(21+0.5)*bthan*1000/50</f>
        <v>-385</v>
      </c>
      <c r="C2377" s="52">
        <f t="shared" si="240"/>
        <v>150</v>
      </c>
      <c r="D2377" s="52">
        <f t="shared" si="241"/>
        <v>2200</v>
      </c>
      <c r="E2377" s="52">
        <f t="shared" si="242"/>
        <v>1</v>
      </c>
      <c r="F2377" s="52"/>
      <c r="G2377" s="52"/>
      <c r="H2377" s="52"/>
      <c r="I2377" s="52"/>
      <c r="J2377" s="52"/>
      <c r="K2377" s="52"/>
      <c r="L2377" s="52"/>
      <c r="M2377" s="52"/>
      <c r="N2377" s="52"/>
      <c r="O2377" s="52"/>
      <c r="P2377" s="52"/>
      <c r="Q2377" s="52"/>
      <c r="R2377" s="52"/>
      <c r="S2377" s="52"/>
      <c r="T2377" s="52"/>
      <c r="U2377" s="52"/>
      <c r="V2377" s="52"/>
      <c r="W2377" s="52"/>
      <c r="X2377" s="52"/>
      <c r="Y2377" s="52"/>
      <c r="Z2377" s="52"/>
      <c r="AA2377" s="52"/>
      <c r="AB2377" s="52"/>
      <c r="AC2377" s="52"/>
      <c r="AD2377" s="52"/>
      <c r="AE2377" s="52"/>
      <c r="AF2377" s="52"/>
      <c r="AG2377" s="52"/>
      <c r="AH2377" s="52"/>
      <c r="AI2377" s="52"/>
      <c r="AJ2377" s="52"/>
      <c r="AK2377" s="52"/>
      <c r="AL2377" s="52"/>
      <c r="AM2377" s="52"/>
      <c r="AN2377" s="52"/>
    </row>
    <row r="2378" spans="1:40" x14ac:dyDescent="0.3">
      <c r="A2378" s="52">
        <v>2373</v>
      </c>
      <c r="B2378" s="52">
        <f>-bthan*500+(22+0.5)*bthan*1000/50</f>
        <v>-275</v>
      </c>
      <c r="C2378" s="52">
        <f t="shared" si="240"/>
        <v>150</v>
      </c>
      <c r="D2378" s="52">
        <f t="shared" si="241"/>
        <v>2200</v>
      </c>
      <c r="E2378" s="52">
        <f t="shared" si="242"/>
        <v>1</v>
      </c>
      <c r="F2378" s="52"/>
      <c r="G2378" s="52"/>
      <c r="H2378" s="52"/>
      <c r="I2378" s="52"/>
      <c r="J2378" s="52"/>
      <c r="K2378" s="52"/>
      <c r="L2378" s="52"/>
      <c r="M2378" s="52"/>
      <c r="N2378" s="52"/>
      <c r="O2378" s="52"/>
      <c r="P2378" s="52"/>
      <c r="Q2378" s="52"/>
      <c r="R2378" s="52"/>
      <c r="S2378" s="52"/>
      <c r="T2378" s="52"/>
      <c r="U2378" s="52"/>
      <c r="V2378" s="52"/>
      <c r="W2378" s="52"/>
      <c r="X2378" s="52"/>
      <c r="Y2378" s="52"/>
      <c r="Z2378" s="52"/>
      <c r="AA2378" s="52"/>
      <c r="AB2378" s="52"/>
      <c r="AC2378" s="52"/>
      <c r="AD2378" s="52"/>
      <c r="AE2378" s="52"/>
      <c r="AF2378" s="52"/>
      <c r="AG2378" s="52"/>
      <c r="AH2378" s="52"/>
      <c r="AI2378" s="52"/>
      <c r="AJ2378" s="52"/>
      <c r="AK2378" s="52"/>
      <c r="AL2378" s="52"/>
      <c r="AM2378" s="52"/>
      <c r="AN2378" s="52"/>
    </row>
    <row r="2379" spans="1:40" x14ac:dyDescent="0.3">
      <c r="A2379" s="52">
        <v>2374</v>
      </c>
      <c r="B2379" s="52">
        <f>-bthan*500+(23+0.5)*bthan*1000/50</f>
        <v>-165</v>
      </c>
      <c r="C2379" s="52">
        <f t="shared" si="240"/>
        <v>150</v>
      </c>
      <c r="D2379" s="52">
        <f t="shared" si="241"/>
        <v>2200</v>
      </c>
      <c r="E2379" s="52">
        <f t="shared" si="242"/>
        <v>1</v>
      </c>
      <c r="F2379" s="52"/>
      <c r="G2379" s="52"/>
      <c r="H2379" s="52"/>
      <c r="I2379" s="52"/>
      <c r="J2379" s="52"/>
      <c r="K2379" s="52"/>
      <c r="L2379" s="52"/>
      <c r="M2379" s="52"/>
      <c r="N2379" s="52"/>
      <c r="O2379" s="52"/>
      <c r="P2379" s="52"/>
      <c r="Q2379" s="52"/>
      <c r="R2379" s="52"/>
      <c r="S2379" s="52"/>
      <c r="T2379" s="52"/>
      <c r="U2379" s="52"/>
      <c r="V2379" s="52"/>
      <c r="W2379" s="52"/>
      <c r="X2379" s="52"/>
      <c r="Y2379" s="52"/>
      <c r="Z2379" s="52"/>
      <c r="AA2379" s="52"/>
      <c r="AB2379" s="52"/>
      <c r="AC2379" s="52"/>
      <c r="AD2379" s="52"/>
      <c r="AE2379" s="52"/>
      <c r="AF2379" s="52"/>
      <c r="AG2379" s="52"/>
      <c r="AH2379" s="52"/>
      <c r="AI2379" s="52"/>
      <c r="AJ2379" s="52"/>
      <c r="AK2379" s="52"/>
      <c r="AL2379" s="52"/>
      <c r="AM2379" s="52"/>
      <c r="AN2379" s="52"/>
    </row>
    <row r="2380" spans="1:40" x14ac:dyDescent="0.3">
      <c r="A2380" s="52">
        <v>2375</v>
      </c>
      <c r="B2380" s="52">
        <f>-bthan*500+(24+0.5)*bthan*1000/50</f>
        <v>-55</v>
      </c>
      <c r="C2380" s="52">
        <f t="shared" si="240"/>
        <v>150</v>
      </c>
      <c r="D2380" s="52">
        <f t="shared" si="241"/>
        <v>2200</v>
      </c>
      <c r="E2380" s="52">
        <f t="shared" si="242"/>
        <v>1</v>
      </c>
      <c r="F2380" s="52"/>
      <c r="G2380" s="52"/>
      <c r="H2380" s="52"/>
      <c r="I2380" s="52"/>
      <c r="J2380" s="52"/>
      <c r="K2380" s="52"/>
      <c r="L2380" s="52"/>
      <c r="M2380" s="52"/>
      <c r="N2380" s="52"/>
      <c r="O2380" s="52"/>
      <c r="P2380" s="52"/>
      <c r="Q2380" s="52"/>
      <c r="R2380" s="52"/>
      <c r="S2380" s="52"/>
      <c r="T2380" s="52"/>
      <c r="U2380" s="52"/>
      <c r="V2380" s="52"/>
      <c r="W2380" s="52"/>
      <c r="X2380" s="52"/>
      <c r="Y2380" s="52"/>
      <c r="Z2380" s="52"/>
      <c r="AA2380" s="52"/>
      <c r="AB2380" s="52"/>
      <c r="AC2380" s="52"/>
      <c r="AD2380" s="52"/>
      <c r="AE2380" s="52"/>
      <c r="AF2380" s="52"/>
      <c r="AG2380" s="52"/>
      <c r="AH2380" s="52"/>
      <c r="AI2380" s="52"/>
      <c r="AJ2380" s="52"/>
      <c r="AK2380" s="52"/>
      <c r="AL2380" s="52"/>
      <c r="AM2380" s="52"/>
      <c r="AN2380" s="52"/>
    </row>
    <row r="2381" spans="1:40" x14ac:dyDescent="0.3">
      <c r="A2381" s="52">
        <v>2376</v>
      </c>
      <c r="B2381" s="52">
        <f>-bthan*500+(25+0.5)*bthan*1000/50</f>
        <v>55</v>
      </c>
      <c r="C2381" s="52">
        <f t="shared" si="240"/>
        <v>150</v>
      </c>
      <c r="D2381" s="52">
        <f t="shared" si="241"/>
        <v>2200</v>
      </c>
      <c r="E2381" s="52">
        <f t="shared" si="242"/>
        <v>1</v>
      </c>
      <c r="F2381" s="52"/>
      <c r="G2381" s="52"/>
      <c r="H2381" s="52"/>
      <c r="I2381" s="52"/>
      <c r="J2381" s="52"/>
      <c r="K2381" s="52"/>
      <c r="L2381" s="52"/>
      <c r="M2381" s="52"/>
      <c r="N2381" s="52"/>
      <c r="O2381" s="52"/>
      <c r="P2381" s="52"/>
      <c r="Q2381" s="52"/>
      <c r="R2381" s="52"/>
      <c r="S2381" s="52"/>
      <c r="T2381" s="52"/>
      <c r="U2381" s="52"/>
      <c r="V2381" s="52"/>
      <c r="W2381" s="52"/>
      <c r="X2381" s="52"/>
      <c r="Y2381" s="52"/>
      <c r="Z2381" s="52"/>
      <c r="AA2381" s="52"/>
      <c r="AB2381" s="52"/>
      <c r="AC2381" s="52"/>
      <c r="AD2381" s="52"/>
      <c r="AE2381" s="52"/>
      <c r="AF2381" s="52"/>
      <c r="AG2381" s="52"/>
      <c r="AH2381" s="52"/>
      <c r="AI2381" s="52"/>
      <c r="AJ2381" s="52"/>
      <c r="AK2381" s="52"/>
      <c r="AL2381" s="52"/>
      <c r="AM2381" s="52"/>
      <c r="AN2381" s="52"/>
    </row>
    <row r="2382" spans="1:40" x14ac:dyDescent="0.3">
      <c r="A2382" s="52">
        <v>2377</v>
      </c>
      <c r="B2382" s="52">
        <f>-bthan*500+(26+0.5)*bthan*1000/50</f>
        <v>165</v>
      </c>
      <c r="C2382" s="52">
        <f t="shared" si="240"/>
        <v>150</v>
      </c>
      <c r="D2382" s="52">
        <f t="shared" si="241"/>
        <v>2200</v>
      </c>
      <c r="E2382" s="52">
        <f t="shared" si="242"/>
        <v>1</v>
      </c>
      <c r="F2382" s="52"/>
      <c r="G2382" s="52"/>
      <c r="H2382" s="52"/>
      <c r="I2382" s="52"/>
      <c r="J2382" s="52"/>
      <c r="K2382" s="52"/>
      <c r="L2382" s="52"/>
      <c r="M2382" s="52"/>
      <c r="N2382" s="52"/>
      <c r="O2382" s="52"/>
      <c r="P2382" s="52"/>
      <c r="Q2382" s="52"/>
      <c r="R2382" s="52"/>
      <c r="S2382" s="52"/>
      <c r="T2382" s="52"/>
      <c r="U2382" s="52"/>
      <c r="V2382" s="52"/>
      <c r="W2382" s="52"/>
      <c r="X2382" s="52"/>
      <c r="Y2382" s="52"/>
      <c r="Z2382" s="52"/>
      <c r="AA2382" s="52"/>
      <c r="AB2382" s="52"/>
      <c r="AC2382" s="52"/>
      <c r="AD2382" s="52"/>
      <c r="AE2382" s="52"/>
      <c r="AF2382" s="52"/>
      <c r="AG2382" s="52"/>
      <c r="AH2382" s="52"/>
      <c r="AI2382" s="52"/>
      <c r="AJ2382" s="52"/>
      <c r="AK2382" s="52"/>
      <c r="AL2382" s="52"/>
      <c r="AM2382" s="52"/>
      <c r="AN2382" s="52"/>
    </row>
    <row r="2383" spans="1:40" x14ac:dyDescent="0.3">
      <c r="A2383" s="52">
        <v>2378</v>
      </c>
      <c r="B2383" s="52">
        <f>-bthan*500+(27+0.5)*bthan*1000/50</f>
        <v>275</v>
      </c>
      <c r="C2383" s="52">
        <f t="shared" si="240"/>
        <v>150</v>
      </c>
      <c r="D2383" s="52">
        <f t="shared" si="241"/>
        <v>2200</v>
      </c>
      <c r="E2383" s="52">
        <f t="shared" si="242"/>
        <v>1</v>
      </c>
      <c r="F2383" s="52"/>
      <c r="G2383" s="52"/>
      <c r="H2383" s="52"/>
      <c r="I2383" s="52"/>
      <c r="J2383" s="52"/>
      <c r="K2383" s="52"/>
      <c r="L2383" s="52"/>
      <c r="M2383" s="52"/>
      <c r="N2383" s="52"/>
      <c r="O2383" s="52"/>
      <c r="P2383" s="52"/>
      <c r="Q2383" s="52"/>
      <c r="R2383" s="52"/>
      <c r="S2383" s="52"/>
      <c r="T2383" s="52"/>
      <c r="U2383" s="52"/>
      <c r="V2383" s="52"/>
      <c r="W2383" s="52"/>
      <c r="X2383" s="52"/>
      <c r="Y2383" s="52"/>
      <c r="Z2383" s="52"/>
      <c r="AA2383" s="52"/>
      <c r="AB2383" s="52"/>
      <c r="AC2383" s="52"/>
      <c r="AD2383" s="52"/>
      <c r="AE2383" s="52"/>
      <c r="AF2383" s="52"/>
      <c r="AG2383" s="52"/>
      <c r="AH2383" s="52"/>
      <c r="AI2383" s="52"/>
      <c r="AJ2383" s="52"/>
      <c r="AK2383" s="52"/>
      <c r="AL2383" s="52"/>
      <c r="AM2383" s="52"/>
      <c r="AN2383" s="52"/>
    </row>
    <row r="2384" spans="1:40" x14ac:dyDescent="0.3">
      <c r="A2384" s="52">
        <v>2379</v>
      </c>
      <c r="B2384" s="52">
        <f>-bthan*500+(28+0.5)*bthan*1000/50</f>
        <v>385</v>
      </c>
      <c r="C2384" s="52">
        <f t="shared" si="240"/>
        <v>150</v>
      </c>
      <c r="D2384" s="52">
        <f t="shared" si="241"/>
        <v>2200</v>
      </c>
      <c r="E2384" s="52">
        <f t="shared" si="242"/>
        <v>1</v>
      </c>
      <c r="F2384" s="52"/>
      <c r="G2384" s="52"/>
      <c r="H2384" s="52"/>
      <c r="I2384" s="52"/>
      <c r="J2384" s="52"/>
      <c r="K2384" s="52"/>
      <c r="L2384" s="52"/>
      <c r="M2384" s="52"/>
      <c r="N2384" s="52"/>
      <c r="O2384" s="52"/>
      <c r="P2384" s="52"/>
      <c r="Q2384" s="52"/>
      <c r="R2384" s="52"/>
      <c r="S2384" s="52"/>
      <c r="T2384" s="52"/>
      <c r="U2384" s="52"/>
      <c r="V2384" s="52"/>
      <c r="W2384" s="52"/>
      <c r="X2384" s="52"/>
      <c r="Y2384" s="52"/>
      <c r="Z2384" s="52"/>
      <c r="AA2384" s="52"/>
      <c r="AB2384" s="52"/>
      <c r="AC2384" s="52"/>
      <c r="AD2384" s="52"/>
      <c r="AE2384" s="52"/>
      <c r="AF2384" s="52"/>
      <c r="AG2384" s="52"/>
      <c r="AH2384" s="52"/>
      <c r="AI2384" s="52"/>
      <c r="AJ2384" s="52"/>
      <c r="AK2384" s="52"/>
      <c r="AL2384" s="52"/>
      <c r="AM2384" s="52"/>
      <c r="AN2384" s="52"/>
    </row>
    <row r="2385" spans="1:40" x14ac:dyDescent="0.3">
      <c r="A2385" s="52">
        <v>2380</v>
      </c>
      <c r="B2385" s="52">
        <f>-bthan*500+(29+0.5)*bthan*1000/50</f>
        <v>495</v>
      </c>
      <c r="C2385" s="52">
        <f t="shared" si="240"/>
        <v>150</v>
      </c>
      <c r="D2385" s="52">
        <f t="shared" si="241"/>
        <v>2200</v>
      </c>
      <c r="E2385" s="52">
        <f t="shared" si="242"/>
        <v>1</v>
      </c>
      <c r="F2385" s="52"/>
      <c r="G2385" s="52"/>
      <c r="H2385" s="52"/>
      <c r="I2385" s="52"/>
      <c r="J2385" s="52"/>
      <c r="K2385" s="52"/>
      <c r="L2385" s="52"/>
      <c r="M2385" s="52"/>
      <c r="N2385" s="52"/>
      <c r="O2385" s="52"/>
      <c r="P2385" s="52"/>
      <c r="Q2385" s="52"/>
      <c r="R2385" s="52"/>
      <c r="S2385" s="52"/>
      <c r="T2385" s="52"/>
      <c r="U2385" s="52"/>
      <c r="V2385" s="52"/>
      <c r="W2385" s="52"/>
      <c r="X2385" s="52"/>
      <c r="Y2385" s="52"/>
      <c r="Z2385" s="52"/>
      <c r="AA2385" s="52"/>
      <c r="AB2385" s="52"/>
      <c r="AC2385" s="52"/>
      <c r="AD2385" s="52"/>
      <c r="AE2385" s="52"/>
      <c r="AF2385" s="52"/>
      <c r="AG2385" s="52"/>
      <c r="AH2385" s="52"/>
      <c r="AI2385" s="52"/>
      <c r="AJ2385" s="52"/>
      <c r="AK2385" s="52"/>
      <c r="AL2385" s="52"/>
      <c r="AM2385" s="52"/>
      <c r="AN2385" s="52"/>
    </row>
    <row r="2386" spans="1:40" x14ac:dyDescent="0.3">
      <c r="A2386" s="52">
        <v>2381</v>
      </c>
      <c r="B2386" s="52">
        <f>-bthan*500+(30+0.5)*bthan*1000/50</f>
        <v>605</v>
      </c>
      <c r="C2386" s="52">
        <f t="shared" si="240"/>
        <v>150</v>
      </c>
      <c r="D2386" s="52">
        <f t="shared" si="241"/>
        <v>2200</v>
      </c>
      <c r="E2386" s="52">
        <f t="shared" si="242"/>
        <v>1</v>
      </c>
      <c r="F2386" s="52"/>
      <c r="G2386" s="52"/>
      <c r="H2386" s="52"/>
      <c r="I2386" s="52"/>
      <c r="J2386" s="52"/>
      <c r="K2386" s="52"/>
      <c r="L2386" s="52"/>
      <c r="M2386" s="52"/>
      <c r="N2386" s="52"/>
      <c r="O2386" s="52"/>
      <c r="P2386" s="52"/>
      <c r="Q2386" s="52"/>
      <c r="R2386" s="52"/>
      <c r="S2386" s="52"/>
      <c r="T2386" s="52"/>
      <c r="U2386" s="52"/>
      <c r="V2386" s="52"/>
      <c r="W2386" s="52"/>
      <c r="X2386" s="52"/>
      <c r="Y2386" s="52"/>
      <c r="Z2386" s="52"/>
      <c r="AA2386" s="52"/>
      <c r="AB2386" s="52"/>
      <c r="AC2386" s="52"/>
      <c r="AD2386" s="52"/>
      <c r="AE2386" s="52"/>
      <c r="AF2386" s="52"/>
      <c r="AG2386" s="52"/>
      <c r="AH2386" s="52"/>
      <c r="AI2386" s="52"/>
      <c r="AJ2386" s="52"/>
      <c r="AK2386" s="52"/>
      <c r="AL2386" s="52"/>
      <c r="AM2386" s="52"/>
      <c r="AN2386" s="52"/>
    </row>
    <row r="2387" spans="1:40" x14ac:dyDescent="0.3">
      <c r="A2387" s="52">
        <v>2382</v>
      </c>
      <c r="B2387" s="52">
        <f>-bthan*500+(31+0.5)*bthan*1000/50</f>
        <v>715</v>
      </c>
      <c r="C2387" s="52">
        <f t="shared" si="240"/>
        <v>150</v>
      </c>
      <c r="D2387" s="52">
        <f t="shared" si="241"/>
        <v>2200</v>
      </c>
      <c r="E2387" s="52">
        <f t="shared" si="242"/>
        <v>1</v>
      </c>
      <c r="F2387" s="52"/>
      <c r="G2387" s="52"/>
      <c r="H2387" s="52"/>
      <c r="I2387" s="52"/>
      <c r="J2387" s="52"/>
      <c r="K2387" s="52"/>
      <c r="L2387" s="52"/>
      <c r="M2387" s="52"/>
      <c r="N2387" s="52"/>
      <c r="O2387" s="52"/>
      <c r="P2387" s="52"/>
      <c r="Q2387" s="52"/>
      <c r="R2387" s="52"/>
      <c r="S2387" s="52"/>
      <c r="T2387" s="52"/>
      <c r="U2387" s="52"/>
      <c r="V2387" s="52"/>
      <c r="W2387" s="52"/>
      <c r="X2387" s="52"/>
      <c r="Y2387" s="52"/>
      <c r="Z2387" s="52"/>
      <c r="AA2387" s="52"/>
      <c r="AB2387" s="52"/>
      <c r="AC2387" s="52"/>
      <c r="AD2387" s="52"/>
      <c r="AE2387" s="52"/>
      <c r="AF2387" s="52"/>
      <c r="AG2387" s="52"/>
      <c r="AH2387" s="52"/>
      <c r="AI2387" s="52"/>
      <c r="AJ2387" s="52"/>
      <c r="AK2387" s="52"/>
      <c r="AL2387" s="52"/>
      <c r="AM2387" s="52"/>
      <c r="AN2387" s="52"/>
    </row>
    <row r="2388" spans="1:40" x14ac:dyDescent="0.3">
      <c r="A2388" s="52">
        <v>2383</v>
      </c>
      <c r="B2388" s="52">
        <f>-bthan*500+(32+0.5)*bthan*1000/50</f>
        <v>825</v>
      </c>
      <c r="C2388" s="52">
        <f t="shared" ref="C2388:C2405" si="243">-hthan*500+(47+0.5)*hthan*1000/80</f>
        <v>150</v>
      </c>
      <c r="D2388" s="52">
        <f t="shared" si="241"/>
        <v>2200</v>
      </c>
      <c r="E2388" s="52">
        <f t="shared" si="242"/>
        <v>1</v>
      </c>
      <c r="F2388" s="52"/>
      <c r="G2388" s="52"/>
      <c r="H2388" s="52"/>
      <c r="I2388" s="52"/>
      <c r="J2388" s="52"/>
      <c r="K2388" s="52"/>
      <c r="L2388" s="52"/>
      <c r="M2388" s="52"/>
      <c r="N2388" s="52"/>
      <c r="O2388" s="52"/>
      <c r="P2388" s="52"/>
      <c r="Q2388" s="52"/>
      <c r="R2388" s="52"/>
      <c r="S2388" s="52"/>
      <c r="T2388" s="52"/>
      <c r="U2388" s="52"/>
      <c r="V2388" s="52"/>
      <c r="W2388" s="52"/>
      <c r="X2388" s="52"/>
      <c r="Y2388" s="52"/>
      <c r="Z2388" s="52"/>
      <c r="AA2388" s="52"/>
      <c r="AB2388" s="52"/>
      <c r="AC2388" s="52"/>
      <c r="AD2388" s="52"/>
      <c r="AE2388" s="52"/>
      <c r="AF2388" s="52"/>
      <c r="AG2388" s="52"/>
      <c r="AH2388" s="52"/>
      <c r="AI2388" s="52"/>
      <c r="AJ2388" s="52"/>
      <c r="AK2388" s="52"/>
      <c r="AL2388" s="52"/>
      <c r="AM2388" s="52"/>
      <c r="AN2388" s="52"/>
    </row>
    <row r="2389" spans="1:40" x14ac:dyDescent="0.3">
      <c r="A2389" s="52">
        <v>2384</v>
      </c>
      <c r="B2389" s="52">
        <f>-bthan*500+(33+0.5)*bthan*1000/50</f>
        <v>935</v>
      </c>
      <c r="C2389" s="52">
        <f t="shared" si="243"/>
        <v>150</v>
      </c>
      <c r="D2389" s="52">
        <f t="shared" si="241"/>
        <v>2200</v>
      </c>
      <c r="E2389" s="52">
        <f t="shared" si="242"/>
        <v>1</v>
      </c>
      <c r="F2389" s="52"/>
      <c r="G2389" s="52"/>
      <c r="H2389" s="52"/>
      <c r="I2389" s="52"/>
      <c r="J2389" s="52"/>
      <c r="K2389" s="52"/>
      <c r="L2389" s="52"/>
      <c r="M2389" s="52"/>
      <c r="N2389" s="52"/>
      <c r="O2389" s="52"/>
      <c r="P2389" s="52"/>
      <c r="Q2389" s="52"/>
      <c r="R2389" s="52"/>
      <c r="S2389" s="52"/>
      <c r="T2389" s="52"/>
      <c r="U2389" s="52"/>
      <c r="V2389" s="52"/>
      <c r="W2389" s="52"/>
      <c r="X2389" s="52"/>
      <c r="Y2389" s="52"/>
      <c r="Z2389" s="52"/>
      <c r="AA2389" s="52"/>
      <c r="AB2389" s="52"/>
      <c r="AC2389" s="52"/>
      <c r="AD2389" s="52"/>
      <c r="AE2389" s="52"/>
      <c r="AF2389" s="52"/>
      <c r="AG2389" s="52"/>
      <c r="AH2389" s="52"/>
      <c r="AI2389" s="52"/>
      <c r="AJ2389" s="52"/>
      <c r="AK2389" s="52"/>
      <c r="AL2389" s="52"/>
      <c r="AM2389" s="52"/>
      <c r="AN2389" s="52"/>
    </row>
    <row r="2390" spans="1:40" x14ac:dyDescent="0.3">
      <c r="A2390" s="52">
        <v>2385</v>
      </c>
      <c r="B2390" s="52">
        <f>-bthan*500+(34+0.5)*bthan*1000/50</f>
        <v>1045</v>
      </c>
      <c r="C2390" s="52">
        <f t="shared" si="243"/>
        <v>150</v>
      </c>
      <c r="D2390" s="52">
        <f t="shared" si="241"/>
        <v>2200</v>
      </c>
      <c r="E2390" s="52">
        <f t="shared" si="242"/>
        <v>1</v>
      </c>
      <c r="F2390" s="52"/>
      <c r="G2390" s="52"/>
      <c r="H2390" s="52"/>
      <c r="I2390" s="52"/>
      <c r="J2390" s="52"/>
      <c r="K2390" s="52"/>
      <c r="L2390" s="52"/>
      <c r="M2390" s="52"/>
      <c r="N2390" s="52"/>
      <c r="O2390" s="52"/>
      <c r="P2390" s="52"/>
      <c r="Q2390" s="52"/>
      <c r="R2390" s="52"/>
      <c r="S2390" s="52"/>
      <c r="T2390" s="52"/>
      <c r="U2390" s="52"/>
      <c r="V2390" s="52"/>
      <c r="W2390" s="52"/>
      <c r="X2390" s="52"/>
      <c r="Y2390" s="52"/>
      <c r="Z2390" s="52"/>
      <c r="AA2390" s="52"/>
      <c r="AB2390" s="52"/>
      <c r="AC2390" s="52"/>
      <c r="AD2390" s="52"/>
      <c r="AE2390" s="52"/>
      <c r="AF2390" s="52"/>
      <c r="AG2390" s="52"/>
      <c r="AH2390" s="52"/>
      <c r="AI2390" s="52"/>
      <c r="AJ2390" s="52"/>
      <c r="AK2390" s="52"/>
      <c r="AL2390" s="52"/>
      <c r="AM2390" s="52"/>
      <c r="AN2390" s="52"/>
    </row>
    <row r="2391" spans="1:40" x14ac:dyDescent="0.3">
      <c r="A2391" s="52">
        <v>2386</v>
      </c>
      <c r="B2391" s="52">
        <f>-bthan*500+(35+0.5)*bthan*1000/50</f>
        <v>1155</v>
      </c>
      <c r="C2391" s="52">
        <f t="shared" si="243"/>
        <v>150</v>
      </c>
      <c r="D2391" s="52">
        <f t="shared" si="241"/>
        <v>2200</v>
      </c>
      <c r="E2391" s="52">
        <f t="shared" si="242"/>
        <v>1</v>
      </c>
      <c r="F2391" s="52"/>
      <c r="G2391" s="52"/>
      <c r="H2391" s="52"/>
      <c r="I2391" s="52"/>
      <c r="J2391" s="52"/>
      <c r="K2391" s="52"/>
      <c r="L2391" s="52"/>
      <c r="M2391" s="52"/>
      <c r="N2391" s="52"/>
      <c r="O2391" s="52"/>
      <c r="P2391" s="52"/>
      <c r="Q2391" s="52"/>
      <c r="R2391" s="52"/>
      <c r="S2391" s="52"/>
      <c r="T2391" s="52"/>
      <c r="U2391" s="52"/>
      <c r="V2391" s="52"/>
      <c r="W2391" s="52"/>
      <c r="X2391" s="52"/>
      <c r="Y2391" s="52"/>
      <c r="Z2391" s="52"/>
      <c r="AA2391" s="52"/>
      <c r="AB2391" s="52"/>
      <c r="AC2391" s="52"/>
      <c r="AD2391" s="52"/>
      <c r="AE2391" s="52"/>
      <c r="AF2391" s="52"/>
      <c r="AG2391" s="52"/>
      <c r="AH2391" s="52"/>
      <c r="AI2391" s="52"/>
      <c r="AJ2391" s="52"/>
      <c r="AK2391" s="52"/>
      <c r="AL2391" s="52"/>
      <c r="AM2391" s="52"/>
      <c r="AN2391" s="52"/>
    </row>
    <row r="2392" spans="1:40" x14ac:dyDescent="0.3">
      <c r="A2392" s="52">
        <v>2387</v>
      </c>
      <c r="B2392" s="52">
        <f>-bthan*500+(36+0.5)*bthan*1000/50</f>
        <v>1265</v>
      </c>
      <c r="C2392" s="52">
        <f t="shared" si="243"/>
        <v>150</v>
      </c>
      <c r="D2392" s="52">
        <f t="shared" si="241"/>
        <v>2200</v>
      </c>
      <c r="E2392" s="52">
        <f t="shared" si="242"/>
        <v>1</v>
      </c>
      <c r="F2392" s="52"/>
      <c r="G2392" s="52"/>
      <c r="H2392" s="52"/>
      <c r="I2392" s="52"/>
      <c r="J2392" s="52"/>
      <c r="K2392" s="52"/>
      <c r="L2392" s="52"/>
      <c r="M2392" s="52"/>
      <c r="N2392" s="52"/>
      <c r="O2392" s="52"/>
      <c r="P2392" s="52"/>
      <c r="Q2392" s="52"/>
      <c r="R2392" s="52"/>
      <c r="S2392" s="52"/>
      <c r="T2392" s="52"/>
      <c r="U2392" s="52"/>
      <c r="V2392" s="52"/>
      <c r="W2392" s="52"/>
      <c r="X2392" s="52"/>
      <c r="Y2392" s="52"/>
      <c r="Z2392" s="52"/>
      <c r="AA2392" s="52"/>
      <c r="AB2392" s="52"/>
      <c r="AC2392" s="52"/>
      <c r="AD2392" s="52"/>
      <c r="AE2392" s="52"/>
      <c r="AF2392" s="52"/>
      <c r="AG2392" s="52"/>
      <c r="AH2392" s="52"/>
      <c r="AI2392" s="52"/>
      <c r="AJ2392" s="52"/>
      <c r="AK2392" s="52"/>
      <c r="AL2392" s="52"/>
      <c r="AM2392" s="52"/>
      <c r="AN2392" s="52"/>
    </row>
    <row r="2393" spans="1:40" x14ac:dyDescent="0.3">
      <c r="A2393" s="52">
        <v>2388</v>
      </c>
      <c r="B2393" s="52">
        <f>-bthan*500+(37+0.5)*bthan*1000/50</f>
        <v>1375</v>
      </c>
      <c r="C2393" s="52">
        <f t="shared" si="243"/>
        <v>150</v>
      </c>
      <c r="D2393" s="52">
        <f t="shared" si="241"/>
        <v>2200</v>
      </c>
      <c r="E2393" s="52">
        <f t="shared" si="242"/>
        <v>1</v>
      </c>
      <c r="F2393" s="52"/>
      <c r="G2393" s="52"/>
      <c r="H2393" s="52"/>
      <c r="I2393" s="52"/>
      <c r="J2393" s="52"/>
      <c r="K2393" s="52"/>
      <c r="L2393" s="52"/>
      <c r="M2393" s="52"/>
      <c r="N2393" s="52"/>
      <c r="O2393" s="52"/>
      <c r="P2393" s="52"/>
      <c r="Q2393" s="52"/>
      <c r="R2393" s="52"/>
      <c r="S2393" s="52"/>
      <c r="T2393" s="52"/>
      <c r="U2393" s="52"/>
      <c r="V2393" s="52"/>
      <c r="W2393" s="52"/>
      <c r="X2393" s="52"/>
      <c r="Y2393" s="52"/>
      <c r="Z2393" s="52"/>
      <c r="AA2393" s="52"/>
      <c r="AB2393" s="52"/>
      <c r="AC2393" s="52"/>
      <c r="AD2393" s="52"/>
      <c r="AE2393" s="52"/>
      <c r="AF2393" s="52"/>
      <c r="AG2393" s="52"/>
      <c r="AH2393" s="52"/>
      <c r="AI2393" s="52"/>
      <c r="AJ2393" s="52"/>
      <c r="AK2393" s="52"/>
      <c r="AL2393" s="52"/>
      <c r="AM2393" s="52"/>
      <c r="AN2393" s="52"/>
    </row>
    <row r="2394" spans="1:40" x14ac:dyDescent="0.3">
      <c r="A2394" s="52">
        <v>2389</v>
      </c>
      <c r="B2394" s="52">
        <f>-bthan*500+(38+0.5)*bthan*1000/50</f>
        <v>1485</v>
      </c>
      <c r="C2394" s="52">
        <f t="shared" si="243"/>
        <v>150</v>
      </c>
      <c r="D2394" s="52">
        <f t="shared" si="241"/>
        <v>2200</v>
      </c>
      <c r="E2394" s="52">
        <f t="shared" si="242"/>
        <v>1</v>
      </c>
      <c r="F2394" s="52"/>
      <c r="G2394" s="52"/>
      <c r="H2394" s="52"/>
      <c r="I2394" s="52"/>
      <c r="J2394" s="52"/>
      <c r="K2394" s="52"/>
      <c r="L2394" s="52"/>
      <c r="M2394" s="52"/>
      <c r="N2394" s="52"/>
      <c r="O2394" s="52"/>
      <c r="P2394" s="52"/>
      <c r="Q2394" s="52"/>
      <c r="R2394" s="52"/>
      <c r="S2394" s="52"/>
      <c r="T2394" s="52"/>
      <c r="U2394" s="52"/>
      <c r="V2394" s="52"/>
      <c r="W2394" s="52"/>
      <c r="X2394" s="52"/>
      <c r="Y2394" s="52"/>
      <c r="Z2394" s="52"/>
      <c r="AA2394" s="52"/>
      <c r="AB2394" s="52"/>
      <c r="AC2394" s="52"/>
      <c r="AD2394" s="52"/>
      <c r="AE2394" s="52"/>
      <c r="AF2394" s="52"/>
      <c r="AG2394" s="52"/>
      <c r="AH2394" s="52"/>
      <c r="AI2394" s="52"/>
      <c r="AJ2394" s="52"/>
      <c r="AK2394" s="52"/>
      <c r="AL2394" s="52"/>
      <c r="AM2394" s="52"/>
      <c r="AN2394" s="52"/>
    </row>
    <row r="2395" spans="1:40" x14ac:dyDescent="0.3">
      <c r="A2395" s="52">
        <v>2390</v>
      </c>
      <c r="B2395" s="52">
        <f>-bthan*500+(39+0.5)*bthan*1000/50</f>
        <v>1595</v>
      </c>
      <c r="C2395" s="52">
        <f t="shared" si="243"/>
        <v>150</v>
      </c>
      <c r="D2395" s="52">
        <f t="shared" si="241"/>
        <v>2200</v>
      </c>
      <c r="E2395" s="52">
        <f t="shared" si="242"/>
        <v>1</v>
      </c>
      <c r="F2395" s="52"/>
      <c r="G2395" s="52"/>
      <c r="H2395" s="52"/>
      <c r="I2395" s="52"/>
      <c r="J2395" s="52"/>
      <c r="K2395" s="52"/>
      <c r="L2395" s="52"/>
      <c r="M2395" s="52"/>
      <c r="N2395" s="52"/>
      <c r="O2395" s="52"/>
      <c r="P2395" s="52"/>
      <c r="Q2395" s="52"/>
      <c r="R2395" s="52"/>
      <c r="S2395" s="52"/>
      <c r="T2395" s="52"/>
      <c r="U2395" s="52"/>
      <c r="V2395" s="52"/>
      <c r="W2395" s="52"/>
      <c r="X2395" s="52"/>
      <c r="Y2395" s="52"/>
      <c r="Z2395" s="52"/>
      <c r="AA2395" s="52"/>
      <c r="AB2395" s="52"/>
      <c r="AC2395" s="52"/>
      <c r="AD2395" s="52"/>
      <c r="AE2395" s="52"/>
      <c r="AF2395" s="52"/>
      <c r="AG2395" s="52"/>
      <c r="AH2395" s="52"/>
      <c r="AI2395" s="52"/>
      <c r="AJ2395" s="52"/>
      <c r="AK2395" s="52"/>
      <c r="AL2395" s="52"/>
      <c r="AM2395" s="52"/>
      <c r="AN2395" s="52"/>
    </row>
    <row r="2396" spans="1:40" x14ac:dyDescent="0.3">
      <c r="A2396" s="52">
        <v>2391</v>
      </c>
      <c r="B2396" s="52">
        <f>-bthan*500+(40+0.5)*bthan*1000/50</f>
        <v>1705</v>
      </c>
      <c r="C2396" s="52">
        <f t="shared" si="243"/>
        <v>150</v>
      </c>
      <c r="D2396" s="52">
        <f t="shared" si="241"/>
        <v>2200</v>
      </c>
      <c r="E2396" s="52">
        <f t="shared" si="242"/>
        <v>1</v>
      </c>
      <c r="F2396" s="52"/>
      <c r="G2396" s="52"/>
      <c r="H2396" s="52"/>
      <c r="I2396" s="52"/>
      <c r="J2396" s="52"/>
      <c r="K2396" s="52"/>
      <c r="L2396" s="52"/>
      <c r="M2396" s="52"/>
      <c r="N2396" s="52"/>
      <c r="O2396" s="52"/>
      <c r="P2396" s="52"/>
      <c r="Q2396" s="52"/>
      <c r="R2396" s="52"/>
      <c r="S2396" s="52"/>
      <c r="T2396" s="52"/>
      <c r="U2396" s="52"/>
      <c r="V2396" s="52"/>
      <c r="W2396" s="52"/>
      <c r="X2396" s="52"/>
      <c r="Y2396" s="52"/>
      <c r="Z2396" s="52"/>
      <c r="AA2396" s="52"/>
      <c r="AB2396" s="52"/>
      <c r="AC2396" s="52"/>
      <c r="AD2396" s="52"/>
      <c r="AE2396" s="52"/>
      <c r="AF2396" s="52"/>
      <c r="AG2396" s="52"/>
      <c r="AH2396" s="52"/>
      <c r="AI2396" s="52"/>
      <c r="AJ2396" s="52"/>
      <c r="AK2396" s="52"/>
      <c r="AL2396" s="52"/>
      <c r="AM2396" s="52"/>
      <c r="AN2396" s="52"/>
    </row>
    <row r="2397" spans="1:40" x14ac:dyDescent="0.3">
      <c r="A2397" s="52">
        <v>2392</v>
      </c>
      <c r="B2397" s="52">
        <f>-bthan*500+(41+0.5)*bthan*1000/50</f>
        <v>1815</v>
      </c>
      <c r="C2397" s="52">
        <f t="shared" si="243"/>
        <v>150</v>
      </c>
      <c r="D2397" s="52">
        <f t="shared" si="241"/>
        <v>2200</v>
      </c>
      <c r="E2397" s="52">
        <f t="shared" si="242"/>
        <v>1</v>
      </c>
      <c r="F2397" s="52"/>
      <c r="G2397" s="52"/>
      <c r="H2397" s="52"/>
      <c r="I2397" s="52"/>
      <c r="J2397" s="52"/>
      <c r="K2397" s="52"/>
      <c r="L2397" s="52"/>
      <c r="M2397" s="52"/>
      <c r="N2397" s="52"/>
      <c r="O2397" s="52"/>
      <c r="P2397" s="52"/>
      <c r="Q2397" s="52"/>
      <c r="R2397" s="52"/>
      <c r="S2397" s="52"/>
      <c r="T2397" s="52"/>
      <c r="U2397" s="52"/>
      <c r="V2397" s="52"/>
      <c r="W2397" s="52"/>
      <c r="X2397" s="52"/>
      <c r="Y2397" s="52"/>
      <c r="Z2397" s="52"/>
      <c r="AA2397" s="52"/>
      <c r="AB2397" s="52"/>
      <c r="AC2397" s="52"/>
      <c r="AD2397" s="52"/>
      <c r="AE2397" s="52"/>
      <c r="AF2397" s="52"/>
      <c r="AG2397" s="52"/>
      <c r="AH2397" s="52"/>
      <c r="AI2397" s="52"/>
      <c r="AJ2397" s="52"/>
      <c r="AK2397" s="52"/>
      <c r="AL2397" s="52"/>
      <c r="AM2397" s="52"/>
      <c r="AN2397" s="52"/>
    </row>
    <row r="2398" spans="1:40" x14ac:dyDescent="0.3">
      <c r="A2398" s="52">
        <v>2393</v>
      </c>
      <c r="B2398" s="52">
        <f>-bthan*500+(42+0.5)*bthan*1000/50</f>
        <v>1925</v>
      </c>
      <c r="C2398" s="52">
        <f t="shared" si="243"/>
        <v>150</v>
      </c>
      <c r="D2398" s="52">
        <f t="shared" si="241"/>
        <v>2200</v>
      </c>
      <c r="E2398" s="52">
        <f t="shared" si="242"/>
        <v>1</v>
      </c>
      <c r="F2398" s="52"/>
      <c r="G2398" s="52"/>
      <c r="H2398" s="52"/>
      <c r="I2398" s="52"/>
      <c r="J2398" s="52"/>
      <c r="K2398" s="52"/>
      <c r="L2398" s="52"/>
      <c r="M2398" s="52"/>
      <c r="N2398" s="52"/>
      <c r="O2398" s="52"/>
      <c r="P2398" s="52"/>
      <c r="Q2398" s="52"/>
      <c r="R2398" s="52"/>
      <c r="S2398" s="52"/>
      <c r="T2398" s="52"/>
      <c r="U2398" s="52"/>
      <c r="V2398" s="52"/>
      <c r="W2398" s="52"/>
      <c r="X2398" s="52"/>
      <c r="Y2398" s="52"/>
      <c r="Z2398" s="52"/>
      <c r="AA2398" s="52"/>
      <c r="AB2398" s="52"/>
      <c r="AC2398" s="52"/>
      <c r="AD2398" s="52"/>
      <c r="AE2398" s="52"/>
      <c r="AF2398" s="52"/>
      <c r="AG2398" s="52"/>
      <c r="AH2398" s="52"/>
      <c r="AI2398" s="52"/>
      <c r="AJ2398" s="52"/>
      <c r="AK2398" s="52"/>
      <c r="AL2398" s="52"/>
      <c r="AM2398" s="52"/>
      <c r="AN2398" s="52"/>
    </row>
    <row r="2399" spans="1:40" x14ac:dyDescent="0.3">
      <c r="A2399" s="52">
        <v>2394</v>
      </c>
      <c r="B2399" s="52">
        <f>-bthan*500+(43+0.5)*bthan*1000/50</f>
        <v>2035</v>
      </c>
      <c r="C2399" s="52">
        <f t="shared" si="243"/>
        <v>150</v>
      </c>
      <c r="D2399" s="52">
        <f t="shared" si="241"/>
        <v>2200</v>
      </c>
      <c r="E2399" s="52">
        <f t="shared" si="242"/>
        <v>1</v>
      </c>
      <c r="F2399" s="52"/>
      <c r="G2399" s="52"/>
      <c r="H2399" s="52"/>
      <c r="I2399" s="52"/>
      <c r="J2399" s="52"/>
      <c r="K2399" s="52"/>
      <c r="L2399" s="52"/>
      <c r="M2399" s="52"/>
      <c r="N2399" s="52"/>
      <c r="O2399" s="52"/>
      <c r="P2399" s="52"/>
      <c r="Q2399" s="52"/>
      <c r="R2399" s="52"/>
      <c r="S2399" s="52"/>
      <c r="T2399" s="52"/>
      <c r="U2399" s="52"/>
      <c r="V2399" s="52"/>
      <c r="W2399" s="52"/>
      <c r="X2399" s="52"/>
      <c r="Y2399" s="52"/>
      <c r="Z2399" s="52"/>
      <c r="AA2399" s="52"/>
      <c r="AB2399" s="52"/>
      <c r="AC2399" s="52"/>
      <c r="AD2399" s="52"/>
      <c r="AE2399" s="52"/>
      <c r="AF2399" s="52"/>
      <c r="AG2399" s="52"/>
      <c r="AH2399" s="52"/>
      <c r="AI2399" s="52"/>
      <c r="AJ2399" s="52"/>
      <c r="AK2399" s="52"/>
      <c r="AL2399" s="52"/>
      <c r="AM2399" s="52"/>
      <c r="AN2399" s="52"/>
    </row>
    <row r="2400" spans="1:40" x14ac:dyDescent="0.3">
      <c r="A2400" s="52">
        <v>2395</v>
      </c>
      <c r="B2400" s="52">
        <f>-bthan*500+(44+0.5)*bthan*1000/50</f>
        <v>2145</v>
      </c>
      <c r="C2400" s="52">
        <f t="shared" si="243"/>
        <v>150</v>
      </c>
      <c r="D2400" s="52">
        <f t="shared" si="241"/>
        <v>2200</v>
      </c>
      <c r="E2400" s="52">
        <f t="shared" si="242"/>
        <v>1</v>
      </c>
      <c r="F2400" s="52"/>
      <c r="G2400" s="52"/>
      <c r="H2400" s="52"/>
      <c r="I2400" s="52"/>
      <c r="J2400" s="52"/>
      <c r="K2400" s="52"/>
      <c r="L2400" s="52"/>
      <c r="M2400" s="52"/>
      <c r="N2400" s="52"/>
      <c r="O2400" s="52"/>
      <c r="P2400" s="52"/>
      <c r="Q2400" s="52"/>
      <c r="R2400" s="52"/>
      <c r="S2400" s="52"/>
      <c r="T2400" s="52"/>
      <c r="U2400" s="52"/>
      <c r="V2400" s="52"/>
      <c r="W2400" s="52"/>
      <c r="X2400" s="52"/>
      <c r="Y2400" s="52"/>
      <c r="Z2400" s="52"/>
      <c r="AA2400" s="52"/>
      <c r="AB2400" s="52"/>
      <c r="AC2400" s="52"/>
      <c r="AD2400" s="52"/>
      <c r="AE2400" s="52"/>
      <c r="AF2400" s="52"/>
      <c r="AG2400" s="52"/>
      <c r="AH2400" s="52"/>
      <c r="AI2400" s="52"/>
      <c r="AJ2400" s="52"/>
      <c r="AK2400" s="52"/>
      <c r="AL2400" s="52"/>
      <c r="AM2400" s="52"/>
      <c r="AN2400" s="52"/>
    </row>
    <row r="2401" spans="1:40" x14ac:dyDescent="0.3">
      <c r="A2401" s="52">
        <v>2396</v>
      </c>
      <c r="B2401" s="52">
        <f>-bthan*500+(45+0.5)*bthan*1000/50</f>
        <v>2255</v>
      </c>
      <c r="C2401" s="52">
        <f t="shared" si="243"/>
        <v>150</v>
      </c>
      <c r="D2401" s="52">
        <f t="shared" si="241"/>
        <v>2200</v>
      </c>
      <c r="E2401" s="52">
        <f t="shared" si="242"/>
        <v>1</v>
      </c>
      <c r="F2401" s="52"/>
      <c r="G2401" s="52"/>
      <c r="H2401" s="52"/>
      <c r="I2401" s="52"/>
      <c r="J2401" s="52"/>
      <c r="K2401" s="52"/>
      <c r="L2401" s="52"/>
      <c r="M2401" s="52"/>
      <c r="N2401" s="52"/>
      <c r="O2401" s="52"/>
      <c r="P2401" s="52"/>
      <c r="Q2401" s="52"/>
      <c r="R2401" s="52"/>
      <c r="S2401" s="52"/>
      <c r="T2401" s="52"/>
      <c r="U2401" s="52"/>
      <c r="V2401" s="52"/>
      <c r="W2401" s="52"/>
      <c r="X2401" s="52"/>
      <c r="Y2401" s="52"/>
      <c r="Z2401" s="52"/>
      <c r="AA2401" s="52"/>
      <c r="AB2401" s="52"/>
      <c r="AC2401" s="52"/>
      <c r="AD2401" s="52"/>
      <c r="AE2401" s="52"/>
      <c r="AF2401" s="52"/>
      <c r="AG2401" s="52"/>
      <c r="AH2401" s="52"/>
      <c r="AI2401" s="52"/>
      <c r="AJ2401" s="52"/>
      <c r="AK2401" s="52"/>
      <c r="AL2401" s="52"/>
      <c r="AM2401" s="52"/>
      <c r="AN2401" s="52"/>
    </row>
    <row r="2402" spans="1:40" x14ac:dyDescent="0.3">
      <c r="A2402" s="52">
        <v>2397</v>
      </c>
      <c r="B2402" s="52">
        <f>-bthan*500+(46+0.5)*bthan*1000/50</f>
        <v>2365</v>
      </c>
      <c r="C2402" s="52">
        <f t="shared" si="243"/>
        <v>150</v>
      </c>
      <c r="D2402" s="52">
        <f t="shared" si="241"/>
        <v>2200</v>
      </c>
      <c r="E2402" s="52">
        <f t="shared" si="242"/>
        <v>1</v>
      </c>
      <c r="F2402" s="52"/>
      <c r="G2402" s="52"/>
      <c r="H2402" s="52"/>
      <c r="I2402" s="52"/>
      <c r="J2402" s="52"/>
      <c r="K2402" s="52"/>
      <c r="L2402" s="52"/>
      <c r="M2402" s="52"/>
      <c r="N2402" s="52"/>
      <c r="O2402" s="52"/>
      <c r="P2402" s="52"/>
      <c r="Q2402" s="52"/>
      <c r="R2402" s="52"/>
      <c r="S2402" s="52"/>
      <c r="T2402" s="52"/>
      <c r="U2402" s="52"/>
      <c r="V2402" s="52"/>
      <c r="W2402" s="52"/>
      <c r="X2402" s="52"/>
      <c r="Y2402" s="52"/>
      <c r="Z2402" s="52"/>
      <c r="AA2402" s="52"/>
      <c r="AB2402" s="52"/>
      <c r="AC2402" s="52"/>
      <c r="AD2402" s="52"/>
      <c r="AE2402" s="52"/>
      <c r="AF2402" s="52"/>
      <c r="AG2402" s="52"/>
      <c r="AH2402" s="52"/>
      <c r="AI2402" s="52"/>
      <c r="AJ2402" s="52"/>
      <c r="AK2402" s="52"/>
      <c r="AL2402" s="52"/>
      <c r="AM2402" s="52"/>
      <c r="AN2402" s="52"/>
    </row>
    <row r="2403" spans="1:40" x14ac:dyDescent="0.3">
      <c r="A2403" s="52">
        <v>2398</v>
      </c>
      <c r="B2403" s="52">
        <f>-bthan*500+(47+0.5)*bthan*1000/50</f>
        <v>2475</v>
      </c>
      <c r="C2403" s="52">
        <f t="shared" si="243"/>
        <v>150</v>
      </c>
      <c r="D2403" s="52">
        <f t="shared" si="241"/>
        <v>2200</v>
      </c>
      <c r="E2403" s="52">
        <f t="shared" si="242"/>
        <v>1</v>
      </c>
      <c r="F2403" s="52"/>
      <c r="G2403" s="52"/>
      <c r="H2403" s="52"/>
      <c r="I2403" s="52"/>
      <c r="J2403" s="52"/>
      <c r="K2403" s="52"/>
      <c r="L2403" s="52"/>
      <c r="M2403" s="52"/>
      <c r="N2403" s="52"/>
      <c r="O2403" s="52"/>
      <c r="P2403" s="52"/>
      <c r="Q2403" s="52"/>
      <c r="R2403" s="52"/>
      <c r="S2403" s="52"/>
      <c r="T2403" s="52"/>
      <c r="U2403" s="52"/>
      <c r="V2403" s="52"/>
      <c r="W2403" s="52"/>
      <c r="X2403" s="52"/>
      <c r="Y2403" s="52"/>
      <c r="Z2403" s="52"/>
      <c r="AA2403" s="52"/>
      <c r="AB2403" s="52"/>
      <c r="AC2403" s="52"/>
      <c r="AD2403" s="52"/>
      <c r="AE2403" s="52"/>
      <c r="AF2403" s="52"/>
      <c r="AG2403" s="52"/>
      <c r="AH2403" s="52"/>
      <c r="AI2403" s="52"/>
      <c r="AJ2403" s="52"/>
      <c r="AK2403" s="52"/>
      <c r="AL2403" s="52"/>
      <c r="AM2403" s="52"/>
      <c r="AN2403" s="52"/>
    </row>
    <row r="2404" spans="1:40" x14ac:dyDescent="0.3">
      <c r="A2404" s="52">
        <v>2399</v>
      </c>
      <c r="B2404" s="52">
        <f>-bthan*500+(48+0.5)*bthan*1000/50</f>
        <v>2585</v>
      </c>
      <c r="C2404" s="52">
        <f t="shared" si="243"/>
        <v>150</v>
      </c>
      <c r="D2404" s="52">
        <f t="shared" si="241"/>
        <v>2200</v>
      </c>
      <c r="E2404" s="52">
        <f t="shared" si="242"/>
        <v>1</v>
      </c>
      <c r="F2404" s="52"/>
      <c r="G2404" s="52"/>
      <c r="H2404" s="52"/>
      <c r="I2404" s="52"/>
      <c r="J2404" s="52"/>
      <c r="K2404" s="52"/>
      <c r="L2404" s="52"/>
      <c r="M2404" s="52"/>
      <c r="N2404" s="52"/>
      <c r="O2404" s="52"/>
      <c r="P2404" s="52"/>
      <c r="Q2404" s="52"/>
      <c r="R2404" s="52"/>
      <c r="S2404" s="52"/>
      <c r="T2404" s="52"/>
      <c r="U2404" s="52"/>
      <c r="V2404" s="52"/>
      <c r="W2404" s="52"/>
      <c r="X2404" s="52"/>
      <c r="Y2404" s="52"/>
      <c r="Z2404" s="52"/>
      <c r="AA2404" s="52"/>
      <c r="AB2404" s="52"/>
      <c r="AC2404" s="52"/>
      <c r="AD2404" s="52"/>
      <c r="AE2404" s="52"/>
      <c r="AF2404" s="52"/>
      <c r="AG2404" s="52"/>
      <c r="AH2404" s="52"/>
      <c r="AI2404" s="52"/>
      <c r="AJ2404" s="52"/>
      <c r="AK2404" s="52"/>
      <c r="AL2404" s="52"/>
      <c r="AM2404" s="52"/>
      <c r="AN2404" s="52"/>
    </row>
    <row r="2405" spans="1:40" x14ac:dyDescent="0.3">
      <c r="A2405" s="52">
        <v>2400</v>
      </c>
      <c r="B2405" s="52">
        <f>-bthan*500+(49+0.5)*bthan*1000/50</f>
        <v>2695</v>
      </c>
      <c r="C2405" s="52">
        <f t="shared" si="243"/>
        <v>150</v>
      </c>
      <c r="D2405" s="52">
        <f t="shared" si="241"/>
        <v>2200</v>
      </c>
      <c r="E2405" s="52">
        <f t="shared" si="242"/>
        <v>1</v>
      </c>
      <c r="F2405" s="52"/>
      <c r="G2405" s="52"/>
      <c r="H2405" s="52"/>
      <c r="I2405" s="52"/>
      <c r="J2405" s="52"/>
      <c r="K2405" s="52"/>
      <c r="L2405" s="52"/>
      <c r="M2405" s="52"/>
      <c r="N2405" s="52"/>
      <c r="O2405" s="52"/>
      <c r="P2405" s="52"/>
      <c r="Q2405" s="52"/>
      <c r="R2405" s="52"/>
      <c r="S2405" s="52"/>
      <c r="T2405" s="52"/>
      <c r="U2405" s="52"/>
      <c r="V2405" s="52"/>
      <c r="W2405" s="52"/>
      <c r="X2405" s="52"/>
      <c r="Y2405" s="52"/>
      <c r="Z2405" s="52"/>
      <c r="AA2405" s="52"/>
      <c r="AB2405" s="52"/>
      <c r="AC2405" s="52"/>
      <c r="AD2405" s="52"/>
      <c r="AE2405" s="52"/>
      <c r="AF2405" s="52"/>
      <c r="AG2405" s="52"/>
      <c r="AH2405" s="52"/>
      <c r="AI2405" s="52"/>
      <c r="AJ2405" s="52"/>
      <c r="AK2405" s="52"/>
      <c r="AL2405" s="52"/>
      <c r="AM2405" s="52"/>
      <c r="AN2405" s="52"/>
    </row>
    <row r="2406" spans="1:40" x14ac:dyDescent="0.3">
      <c r="A2406" s="52">
        <v>2401</v>
      </c>
      <c r="B2406" s="52">
        <f>-bthan*500+(0+0.5)*bthan*1000/50</f>
        <v>-2695</v>
      </c>
      <c r="C2406" s="52">
        <f t="shared" ref="C2406:C2437" si="244">-hthan*500+(48+0.5)*hthan*1000/80</f>
        <v>170.00000000000023</v>
      </c>
      <c r="D2406" s="52">
        <f t="shared" si="241"/>
        <v>2200</v>
      </c>
      <c r="E2406" s="52">
        <f t="shared" si="242"/>
        <v>1</v>
      </c>
      <c r="F2406" s="52"/>
      <c r="G2406" s="52"/>
      <c r="H2406" s="52"/>
      <c r="I2406" s="52"/>
      <c r="J2406" s="52"/>
      <c r="K2406" s="52"/>
      <c r="L2406" s="52"/>
      <c r="M2406" s="52"/>
      <c r="N2406" s="52"/>
      <c r="O2406" s="52"/>
      <c r="P2406" s="52"/>
      <c r="Q2406" s="52"/>
      <c r="R2406" s="52"/>
      <c r="S2406" s="52"/>
      <c r="T2406" s="52"/>
      <c r="U2406" s="52"/>
      <c r="V2406" s="52"/>
      <c r="W2406" s="52"/>
      <c r="X2406" s="52"/>
      <c r="Y2406" s="52"/>
      <c r="Z2406" s="52"/>
      <c r="AA2406" s="52"/>
      <c r="AB2406" s="52"/>
      <c r="AC2406" s="52"/>
      <c r="AD2406" s="52"/>
      <c r="AE2406" s="52"/>
      <c r="AF2406" s="52"/>
      <c r="AG2406" s="52"/>
      <c r="AH2406" s="52"/>
      <c r="AI2406" s="52"/>
      <c r="AJ2406" s="52"/>
      <c r="AK2406" s="52"/>
      <c r="AL2406" s="52"/>
      <c r="AM2406" s="52"/>
      <c r="AN2406" s="52"/>
    </row>
    <row r="2407" spans="1:40" x14ac:dyDescent="0.3">
      <c r="A2407" s="52">
        <v>2402</v>
      </c>
      <c r="B2407" s="52">
        <f>-bthan*500+(1+0.5)*bthan*1000/50</f>
        <v>-2585</v>
      </c>
      <c r="C2407" s="52">
        <f t="shared" si="244"/>
        <v>170.00000000000023</v>
      </c>
      <c r="D2407" s="52">
        <f t="shared" si="241"/>
        <v>2200</v>
      </c>
      <c r="E2407" s="52">
        <f t="shared" si="242"/>
        <v>1</v>
      </c>
      <c r="F2407" s="52"/>
      <c r="G2407" s="52"/>
      <c r="H2407" s="52"/>
      <c r="I2407" s="52"/>
      <c r="J2407" s="52"/>
      <c r="K2407" s="52"/>
      <c r="L2407" s="52"/>
      <c r="M2407" s="52"/>
      <c r="N2407" s="52"/>
      <c r="O2407" s="52"/>
      <c r="P2407" s="52"/>
      <c r="Q2407" s="52"/>
      <c r="R2407" s="52"/>
      <c r="S2407" s="52"/>
      <c r="T2407" s="52"/>
      <c r="U2407" s="52"/>
      <c r="V2407" s="52"/>
      <c r="W2407" s="52"/>
      <c r="X2407" s="52"/>
      <c r="Y2407" s="52"/>
      <c r="Z2407" s="52"/>
      <c r="AA2407" s="52"/>
      <c r="AB2407" s="52"/>
      <c r="AC2407" s="52"/>
      <c r="AD2407" s="52"/>
      <c r="AE2407" s="52"/>
      <c r="AF2407" s="52"/>
      <c r="AG2407" s="52"/>
      <c r="AH2407" s="52"/>
      <c r="AI2407" s="52"/>
      <c r="AJ2407" s="52"/>
      <c r="AK2407" s="52"/>
      <c r="AL2407" s="52"/>
      <c r="AM2407" s="52"/>
      <c r="AN2407" s="52"/>
    </row>
    <row r="2408" spans="1:40" x14ac:dyDescent="0.3">
      <c r="A2408" s="52">
        <v>2403</v>
      </c>
      <c r="B2408" s="52">
        <f>-bthan*500+(2+0.5)*bthan*1000/50</f>
        <v>-2475</v>
      </c>
      <c r="C2408" s="52">
        <f t="shared" si="244"/>
        <v>170.00000000000023</v>
      </c>
      <c r="D2408" s="52">
        <f t="shared" si="241"/>
        <v>2200</v>
      </c>
      <c r="E2408" s="52">
        <f t="shared" si="242"/>
        <v>1</v>
      </c>
      <c r="F2408" s="52"/>
      <c r="G2408" s="52"/>
      <c r="H2408" s="52"/>
      <c r="I2408" s="52"/>
      <c r="J2408" s="52"/>
      <c r="K2408" s="52"/>
      <c r="L2408" s="52"/>
      <c r="M2408" s="52"/>
      <c r="N2408" s="52"/>
      <c r="O2408" s="52"/>
      <c r="P2408" s="52"/>
      <c r="Q2408" s="52"/>
      <c r="R2408" s="52"/>
      <c r="S2408" s="52"/>
      <c r="T2408" s="52"/>
      <c r="U2408" s="52"/>
      <c r="V2408" s="52"/>
      <c r="W2408" s="52"/>
      <c r="X2408" s="52"/>
      <c r="Y2408" s="52"/>
      <c r="Z2408" s="52"/>
      <c r="AA2408" s="52"/>
      <c r="AB2408" s="52"/>
      <c r="AC2408" s="52"/>
      <c r="AD2408" s="52"/>
      <c r="AE2408" s="52"/>
      <c r="AF2408" s="52"/>
      <c r="AG2408" s="52"/>
      <c r="AH2408" s="52"/>
      <c r="AI2408" s="52"/>
      <c r="AJ2408" s="52"/>
      <c r="AK2408" s="52"/>
      <c r="AL2408" s="52"/>
      <c r="AM2408" s="52"/>
      <c r="AN2408" s="52"/>
    </row>
    <row r="2409" spans="1:40" x14ac:dyDescent="0.3">
      <c r="A2409" s="52">
        <v>2404</v>
      </c>
      <c r="B2409" s="52">
        <f>-bthan*500+(3+0.5)*bthan*1000/50</f>
        <v>-2365</v>
      </c>
      <c r="C2409" s="52">
        <f t="shared" si="244"/>
        <v>170.00000000000023</v>
      </c>
      <c r="D2409" s="52">
        <f t="shared" si="241"/>
        <v>2200</v>
      </c>
      <c r="E2409" s="52">
        <f t="shared" si="242"/>
        <v>1</v>
      </c>
      <c r="F2409" s="52"/>
      <c r="G2409" s="52"/>
      <c r="H2409" s="52"/>
      <c r="I2409" s="52"/>
      <c r="J2409" s="52"/>
      <c r="K2409" s="52"/>
      <c r="L2409" s="52"/>
      <c r="M2409" s="52"/>
      <c r="N2409" s="52"/>
      <c r="O2409" s="52"/>
      <c r="P2409" s="52"/>
      <c r="Q2409" s="52"/>
      <c r="R2409" s="52"/>
      <c r="S2409" s="52"/>
      <c r="T2409" s="52"/>
      <c r="U2409" s="52"/>
      <c r="V2409" s="52"/>
      <c r="W2409" s="52"/>
      <c r="X2409" s="52"/>
      <c r="Y2409" s="52"/>
      <c r="Z2409" s="52"/>
      <c r="AA2409" s="52"/>
      <c r="AB2409" s="52"/>
      <c r="AC2409" s="52"/>
      <c r="AD2409" s="52"/>
      <c r="AE2409" s="52"/>
      <c r="AF2409" s="52"/>
      <c r="AG2409" s="52"/>
      <c r="AH2409" s="52"/>
      <c r="AI2409" s="52"/>
      <c r="AJ2409" s="52"/>
      <c r="AK2409" s="52"/>
      <c r="AL2409" s="52"/>
      <c r="AM2409" s="52"/>
      <c r="AN2409" s="52"/>
    </row>
    <row r="2410" spans="1:40" x14ac:dyDescent="0.3">
      <c r="A2410" s="52">
        <v>2405</v>
      </c>
      <c r="B2410" s="52">
        <f>-bthan*500+(4+0.5)*bthan*1000/50</f>
        <v>-2255</v>
      </c>
      <c r="C2410" s="52">
        <f t="shared" si="244"/>
        <v>170.00000000000023</v>
      </c>
      <c r="D2410" s="52">
        <f t="shared" si="241"/>
        <v>2200</v>
      </c>
      <c r="E2410" s="52">
        <f t="shared" si="242"/>
        <v>1</v>
      </c>
      <c r="F2410" s="52"/>
      <c r="G2410" s="52"/>
      <c r="H2410" s="52"/>
      <c r="I2410" s="52"/>
      <c r="J2410" s="52"/>
      <c r="K2410" s="52"/>
      <c r="L2410" s="52"/>
      <c r="M2410" s="52"/>
      <c r="N2410" s="52"/>
      <c r="O2410" s="52"/>
      <c r="P2410" s="52"/>
      <c r="Q2410" s="52"/>
      <c r="R2410" s="52"/>
      <c r="S2410" s="52"/>
      <c r="T2410" s="52"/>
      <c r="U2410" s="52"/>
      <c r="V2410" s="52"/>
      <c r="W2410" s="52"/>
      <c r="X2410" s="52"/>
      <c r="Y2410" s="52"/>
      <c r="Z2410" s="52"/>
      <c r="AA2410" s="52"/>
      <c r="AB2410" s="52"/>
      <c r="AC2410" s="52"/>
      <c r="AD2410" s="52"/>
      <c r="AE2410" s="52"/>
      <c r="AF2410" s="52"/>
      <c r="AG2410" s="52"/>
      <c r="AH2410" s="52"/>
      <c r="AI2410" s="52"/>
      <c r="AJ2410" s="52"/>
      <c r="AK2410" s="52"/>
      <c r="AL2410" s="52"/>
      <c r="AM2410" s="52"/>
      <c r="AN2410" s="52"/>
    </row>
    <row r="2411" spans="1:40" x14ac:dyDescent="0.3">
      <c r="A2411" s="52">
        <v>2406</v>
      </c>
      <c r="B2411" s="52">
        <f>-bthan*500+(5+0.5)*bthan*1000/50</f>
        <v>-2145</v>
      </c>
      <c r="C2411" s="52">
        <f t="shared" si="244"/>
        <v>170.00000000000023</v>
      </c>
      <c r="D2411" s="52">
        <f t="shared" si="241"/>
        <v>2200</v>
      </c>
      <c r="E2411" s="52">
        <f t="shared" si="242"/>
        <v>1</v>
      </c>
      <c r="F2411" s="52"/>
      <c r="G2411" s="52"/>
      <c r="H2411" s="52"/>
      <c r="I2411" s="52"/>
      <c r="J2411" s="52"/>
      <c r="K2411" s="52"/>
      <c r="L2411" s="52"/>
      <c r="M2411" s="52"/>
      <c r="N2411" s="52"/>
      <c r="O2411" s="52"/>
      <c r="P2411" s="52"/>
      <c r="Q2411" s="52"/>
      <c r="R2411" s="52"/>
      <c r="S2411" s="52"/>
      <c r="T2411" s="52"/>
      <c r="U2411" s="52"/>
      <c r="V2411" s="52"/>
      <c r="W2411" s="52"/>
      <c r="X2411" s="52"/>
      <c r="Y2411" s="52"/>
      <c r="Z2411" s="52"/>
      <c r="AA2411" s="52"/>
      <c r="AB2411" s="52"/>
      <c r="AC2411" s="52"/>
      <c r="AD2411" s="52"/>
      <c r="AE2411" s="52"/>
      <c r="AF2411" s="52"/>
      <c r="AG2411" s="52"/>
      <c r="AH2411" s="52"/>
      <c r="AI2411" s="52"/>
      <c r="AJ2411" s="52"/>
      <c r="AK2411" s="52"/>
      <c r="AL2411" s="52"/>
      <c r="AM2411" s="52"/>
      <c r="AN2411" s="52"/>
    </row>
    <row r="2412" spans="1:40" x14ac:dyDescent="0.3">
      <c r="A2412" s="52">
        <v>2407</v>
      </c>
      <c r="B2412" s="52">
        <f>-bthan*500+(6+0.5)*bthan*1000/50</f>
        <v>-2035</v>
      </c>
      <c r="C2412" s="52">
        <f t="shared" si="244"/>
        <v>170.00000000000023</v>
      </c>
      <c r="D2412" s="52">
        <f t="shared" si="241"/>
        <v>2200</v>
      </c>
      <c r="E2412" s="52">
        <f t="shared" si="242"/>
        <v>1</v>
      </c>
      <c r="F2412" s="52"/>
      <c r="G2412" s="52"/>
      <c r="H2412" s="52"/>
      <c r="I2412" s="52"/>
      <c r="J2412" s="52"/>
      <c r="K2412" s="52"/>
      <c r="L2412" s="52"/>
      <c r="M2412" s="52"/>
      <c r="N2412" s="52"/>
      <c r="O2412" s="52"/>
      <c r="P2412" s="52"/>
      <c r="Q2412" s="52"/>
      <c r="R2412" s="52"/>
      <c r="S2412" s="52"/>
      <c r="T2412" s="52"/>
      <c r="U2412" s="52"/>
      <c r="V2412" s="52"/>
      <c r="W2412" s="52"/>
      <c r="X2412" s="52"/>
      <c r="Y2412" s="52"/>
      <c r="Z2412" s="52"/>
      <c r="AA2412" s="52"/>
      <c r="AB2412" s="52"/>
      <c r="AC2412" s="52"/>
      <c r="AD2412" s="52"/>
      <c r="AE2412" s="52"/>
      <c r="AF2412" s="52"/>
      <c r="AG2412" s="52"/>
      <c r="AH2412" s="52"/>
      <c r="AI2412" s="52"/>
      <c r="AJ2412" s="52"/>
      <c r="AK2412" s="52"/>
      <c r="AL2412" s="52"/>
      <c r="AM2412" s="52"/>
      <c r="AN2412" s="52"/>
    </row>
    <row r="2413" spans="1:40" x14ac:dyDescent="0.3">
      <c r="A2413" s="52">
        <v>2408</v>
      </c>
      <c r="B2413" s="52">
        <f>-bthan*500+(7+0.5)*bthan*1000/50</f>
        <v>-1925</v>
      </c>
      <c r="C2413" s="52">
        <f t="shared" si="244"/>
        <v>170.00000000000023</v>
      </c>
      <c r="D2413" s="52">
        <f t="shared" si="241"/>
        <v>2200</v>
      </c>
      <c r="E2413" s="52">
        <f t="shared" si="242"/>
        <v>1</v>
      </c>
      <c r="F2413" s="52"/>
      <c r="G2413" s="52"/>
      <c r="H2413" s="52"/>
      <c r="I2413" s="52"/>
      <c r="J2413" s="52"/>
      <c r="K2413" s="52"/>
      <c r="L2413" s="52"/>
      <c r="M2413" s="52"/>
      <c r="N2413" s="52"/>
      <c r="O2413" s="52"/>
      <c r="P2413" s="52"/>
      <c r="Q2413" s="52"/>
      <c r="R2413" s="52"/>
      <c r="S2413" s="52"/>
      <c r="T2413" s="52"/>
      <c r="U2413" s="52"/>
      <c r="V2413" s="52"/>
      <c r="W2413" s="52"/>
      <c r="X2413" s="52"/>
      <c r="Y2413" s="52"/>
      <c r="Z2413" s="52"/>
      <c r="AA2413" s="52"/>
      <c r="AB2413" s="52"/>
      <c r="AC2413" s="52"/>
      <c r="AD2413" s="52"/>
      <c r="AE2413" s="52"/>
      <c r="AF2413" s="52"/>
      <c r="AG2413" s="52"/>
      <c r="AH2413" s="52"/>
      <c r="AI2413" s="52"/>
      <c r="AJ2413" s="52"/>
      <c r="AK2413" s="52"/>
      <c r="AL2413" s="52"/>
      <c r="AM2413" s="52"/>
      <c r="AN2413" s="52"/>
    </row>
    <row r="2414" spans="1:40" x14ac:dyDescent="0.3">
      <c r="A2414" s="52">
        <v>2409</v>
      </c>
      <c r="B2414" s="52">
        <f>-bthan*500+(8+0.5)*bthan*1000/50</f>
        <v>-1815</v>
      </c>
      <c r="C2414" s="52">
        <f t="shared" si="244"/>
        <v>170.00000000000023</v>
      </c>
      <c r="D2414" s="52">
        <f t="shared" si="241"/>
        <v>2200</v>
      </c>
      <c r="E2414" s="52">
        <f t="shared" si="242"/>
        <v>1</v>
      </c>
      <c r="F2414" s="52"/>
      <c r="G2414" s="52"/>
      <c r="H2414" s="52"/>
      <c r="I2414" s="52"/>
      <c r="J2414" s="52"/>
      <c r="K2414" s="52"/>
      <c r="L2414" s="52"/>
      <c r="M2414" s="52"/>
      <c r="N2414" s="52"/>
      <c r="O2414" s="52"/>
      <c r="P2414" s="52"/>
      <c r="Q2414" s="52"/>
      <c r="R2414" s="52"/>
      <c r="S2414" s="52"/>
      <c r="T2414" s="52"/>
      <c r="U2414" s="52"/>
      <c r="V2414" s="52"/>
      <c r="W2414" s="52"/>
      <c r="X2414" s="52"/>
      <c r="Y2414" s="52"/>
      <c r="Z2414" s="52"/>
      <c r="AA2414" s="52"/>
      <c r="AB2414" s="52"/>
      <c r="AC2414" s="52"/>
      <c r="AD2414" s="52"/>
      <c r="AE2414" s="52"/>
      <c r="AF2414" s="52"/>
      <c r="AG2414" s="52"/>
      <c r="AH2414" s="52"/>
      <c r="AI2414" s="52"/>
      <c r="AJ2414" s="52"/>
      <c r="AK2414" s="52"/>
      <c r="AL2414" s="52"/>
      <c r="AM2414" s="52"/>
      <c r="AN2414" s="52"/>
    </row>
    <row r="2415" spans="1:40" x14ac:dyDescent="0.3">
      <c r="A2415" s="52">
        <v>2410</v>
      </c>
      <c r="B2415" s="52">
        <f>-bthan*500+(9+0.5)*bthan*1000/50</f>
        <v>-1705</v>
      </c>
      <c r="C2415" s="52">
        <f t="shared" si="244"/>
        <v>170.00000000000023</v>
      </c>
      <c r="D2415" s="52">
        <f t="shared" si="241"/>
        <v>2200</v>
      </c>
      <c r="E2415" s="52">
        <f t="shared" si="242"/>
        <v>1</v>
      </c>
      <c r="F2415" s="52"/>
      <c r="G2415" s="52"/>
      <c r="H2415" s="52"/>
      <c r="I2415" s="52"/>
      <c r="J2415" s="52"/>
      <c r="K2415" s="52"/>
      <c r="L2415" s="52"/>
      <c r="M2415" s="52"/>
      <c r="N2415" s="52"/>
      <c r="O2415" s="52"/>
      <c r="P2415" s="52"/>
      <c r="Q2415" s="52"/>
      <c r="R2415" s="52"/>
      <c r="S2415" s="52"/>
      <c r="T2415" s="52"/>
      <c r="U2415" s="52"/>
      <c r="V2415" s="52"/>
      <c r="W2415" s="52"/>
      <c r="X2415" s="52"/>
      <c r="Y2415" s="52"/>
      <c r="Z2415" s="52"/>
      <c r="AA2415" s="52"/>
      <c r="AB2415" s="52"/>
      <c r="AC2415" s="52"/>
      <c r="AD2415" s="52"/>
      <c r="AE2415" s="52"/>
      <c r="AF2415" s="52"/>
      <c r="AG2415" s="52"/>
      <c r="AH2415" s="52"/>
      <c r="AI2415" s="52"/>
      <c r="AJ2415" s="52"/>
      <c r="AK2415" s="52"/>
      <c r="AL2415" s="52"/>
      <c r="AM2415" s="52"/>
      <c r="AN2415" s="52"/>
    </row>
    <row r="2416" spans="1:40" x14ac:dyDescent="0.3">
      <c r="A2416" s="52">
        <v>2411</v>
      </c>
      <c r="B2416" s="52">
        <f>-bthan*500+(10+0.5)*bthan*1000/50</f>
        <v>-1595</v>
      </c>
      <c r="C2416" s="52">
        <f t="shared" si="244"/>
        <v>170.00000000000023</v>
      </c>
      <c r="D2416" s="52">
        <f t="shared" si="241"/>
        <v>2200</v>
      </c>
      <c r="E2416" s="52">
        <f t="shared" si="242"/>
        <v>1</v>
      </c>
      <c r="F2416" s="52"/>
      <c r="G2416" s="52"/>
      <c r="H2416" s="52"/>
      <c r="I2416" s="52"/>
      <c r="J2416" s="52"/>
      <c r="K2416" s="52"/>
      <c r="L2416" s="52"/>
      <c r="M2416" s="52"/>
      <c r="N2416" s="52"/>
      <c r="O2416" s="52"/>
      <c r="P2416" s="52"/>
      <c r="Q2416" s="52"/>
      <c r="R2416" s="52"/>
      <c r="S2416" s="52"/>
      <c r="T2416" s="52"/>
      <c r="U2416" s="52"/>
      <c r="V2416" s="52"/>
      <c r="W2416" s="52"/>
      <c r="X2416" s="52"/>
      <c r="Y2416" s="52"/>
      <c r="Z2416" s="52"/>
      <c r="AA2416" s="52"/>
      <c r="AB2416" s="52"/>
      <c r="AC2416" s="52"/>
      <c r="AD2416" s="52"/>
      <c r="AE2416" s="52"/>
      <c r="AF2416" s="52"/>
      <c r="AG2416" s="52"/>
      <c r="AH2416" s="52"/>
      <c r="AI2416" s="52"/>
      <c r="AJ2416" s="52"/>
      <c r="AK2416" s="52"/>
      <c r="AL2416" s="52"/>
      <c r="AM2416" s="52"/>
      <c r="AN2416" s="52"/>
    </row>
    <row r="2417" spans="1:40" x14ac:dyDescent="0.3">
      <c r="A2417" s="52">
        <v>2412</v>
      </c>
      <c r="B2417" s="52">
        <f>-bthan*500+(11+0.5)*bthan*1000/50</f>
        <v>-1485</v>
      </c>
      <c r="C2417" s="52">
        <f t="shared" si="244"/>
        <v>170.00000000000023</v>
      </c>
      <c r="D2417" s="52">
        <f t="shared" si="241"/>
        <v>2200</v>
      </c>
      <c r="E2417" s="52">
        <f t="shared" si="242"/>
        <v>1</v>
      </c>
      <c r="F2417" s="52"/>
      <c r="G2417" s="52"/>
      <c r="H2417" s="52"/>
      <c r="I2417" s="52"/>
      <c r="J2417" s="52"/>
      <c r="K2417" s="52"/>
      <c r="L2417" s="52"/>
      <c r="M2417" s="52"/>
      <c r="N2417" s="52"/>
      <c r="O2417" s="52"/>
      <c r="P2417" s="52"/>
      <c r="Q2417" s="52"/>
      <c r="R2417" s="52"/>
      <c r="S2417" s="52"/>
      <c r="T2417" s="52"/>
      <c r="U2417" s="52"/>
      <c r="V2417" s="52"/>
      <c r="W2417" s="52"/>
      <c r="X2417" s="52"/>
      <c r="Y2417" s="52"/>
      <c r="Z2417" s="52"/>
      <c r="AA2417" s="52"/>
      <c r="AB2417" s="52"/>
      <c r="AC2417" s="52"/>
      <c r="AD2417" s="52"/>
      <c r="AE2417" s="52"/>
      <c r="AF2417" s="52"/>
      <c r="AG2417" s="52"/>
      <c r="AH2417" s="52"/>
      <c r="AI2417" s="52"/>
      <c r="AJ2417" s="52"/>
      <c r="AK2417" s="52"/>
      <c r="AL2417" s="52"/>
      <c r="AM2417" s="52"/>
      <c r="AN2417" s="52"/>
    </row>
    <row r="2418" spans="1:40" x14ac:dyDescent="0.3">
      <c r="A2418" s="52">
        <v>2413</v>
      </c>
      <c r="B2418" s="52">
        <f>-bthan*500+(12+0.5)*bthan*1000/50</f>
        <v>-1375</v>
      </c>
      <c r="C2418" s="52">
        <f t="shared" si="244"/>
        <v>170.00000000000023</v>
      </c>
      <c r="D2418" s="52">
        <f t="shared" si="241"/>
        <v>2200</v>
      </c>
      <c r="E2418" s="52">
        <f t="shared" si="242"/>
        <v>1</v>
      </c>
      <c r="F2418" s="52"/>
      <c r="G2418" s="52"/>
      <c r="H2418" s="52"/>
      <c r="I2418" s="52"/>
      <c r="J2418" s="52"/>
      <c r="K2418" s="52"/>
      <c r="L2418" s="52"/>
      <c r="M2418" s="52"/>
      <c r="N2418" s="52"/>
      <c r="O2418" s="52"/>
      <c r="P2418" s="52"/>
      <c r="Q2418" s="52"/>
      <c r="R2418" s="52"/>
      <c r="S2418" s="52"/>
      <c r="T2418" s="52"/>
      <c r="U2418" s="52"/>
      <c r="V2418" s="52"/>
      <c r="W2418" s="52"/>
      <c r="X2418" s="52"/>
      <c r="Y2418" s="52"/>
      <c r="Z2418" s="52"/>
      <c r="AA2418" s="52"/>
      <c r="AB2418" s="52"/>
      <c r="AC2418" s="52"/>
      <c r="AD2418" s="52"/>
      <c r="AE2418" s="52"/>
      <c r="AF2418" s="52"/>
      <c r="AG2418" s="52"/>
      <c r="AH2418" s="52"/>
      <c r="AI2418" s="52"/>
      <c r="AJ2418" s="52"/>
      <c r="AK2418" s="52"/>
      <c r="AL2418" s="52"/>
      <c r="AM2418" s="52"/>
      <c r="AN2418" s="52"/>
    </row>
    <row r="2419" spans="1:40" x14ac:dyDescent="0.3">
      <c r="A2419" s="52">
        <v>2414</v>
      </c>
      <c r="B2419" s="52">
        <f>-bthan*500+(13+0.5)*bthan*1000/50</f>
        <v>-1265</v>
      </c>
      <c r="C2419" s="52">
        <f t="shared" si="244"/>
        <v>170.00000000000023</v>
      </c>
      <c r="D2419" s="52">
        <f t="shared" si="241"/>
        <v>2200</v>
      </c>
      <c r="E2419" s="52">
        <f t="shared" si="242"/>
        <v>1</v>
      </c>
      <c r="F2419" s="52"/>
      <c r="G2419" s="52"/>
      <c r="H2419" s="52"/>
      <c r="I2419" s="52"/>
      <c r="J2419" s="52"/>
      <c r="K2419" s="52"/>
      <c r="L2419" s="52"/>
      <c r="M2419" s="52"/>
      <c r="N2419" s="52"/>
      <c r="O2419" s="52"/>
      <c r="P2419" s="52"/>
      <c r="Q2419" s="52"/>
      <c r="R2419" s="52"/>
      <c r="S2419" s="52"/>
      <c r="T2419" s="52"/>
      <c r="U2419" s="52"/>
      <c r="V2419" s="52"/>
      <c r="W2419" s="52"/>
      <c r="X2419" s="52"/>
      <c r="Y2419" s="52"/>
      <c r="Z2419" s="52"/>
      <c r="AA2419" s="52"/>
      <c r="AB2419" s="52"/>
      <c r="AC2419" s="52"/>
      <c r="AD2419" s="52"/>
      <c r="AE2419" s="52"/>
      <c r="AF2419" s="52"/>
      <c r="AG2419" s="52"/>
      <c r="AH2419" s="52"/>
      <c r="AI2419" s="52"/>
      <c r="AJ2419" s="52"/>
      <c r="AK2419" s="52"/>
      <c r="AL2419" s="52"/>
      <c r="AM2419" s="52"/>
      <c r="AN2419" s="52"/>
    </row>
    <row r="2420" spans="1:40" x14ac:dyDescent="0.3">
      <c r="A2420" s="52">
        <v>2415</v>
      </c>
      <c r="B2420" s="52">
        <f>-bthan*500+(14+0.5)*bthan*1000/50</f>
        <v>-1155</v>
      </c>
      <c r="C2420" s="52">
        <f t="shared" si="244"/>
        <v>170.00000000000023</v>
      </c>
      <c r="D2420" s="52">
        <f t="shared" si="241"/>
        <v>2200</v>
      </c>
      <c r="E2420" s="52">
        <f t="shared" si="242"/>
        <v>1</v>
      </c>
      <c r="F2420" s="52"/>
      <c r="G2420" s="52"/>
      <c r="H2420" s="52"/>
      <c r="I2420" s="52"/>
      <c r="J2420" s="52"/>
      <c r="K2420" s="52"/>
      <c r="L2420" s="52"/>
      <c r="M2420" s="52"/>
      <c r="N2420" s="52"/>
      <c r="O2420" s="52"/>
      <c r="P2420" s="52"/>
      <c r="Q2420" s="52"/>
      <c r="R2420" s="52"/>
      <c r="S2420" s="52"/>
      <c r="T2420" s="52"/>
      <c r="U2420" s="52"/>
      <c r="V2420" s="52"/>
      <c r="W2420" s="52"/>
      <c r="X2420" s="52"/>
      <c r="Y2420" s="52"/>
      <c r="Z2420" s="52"/>
      <c r="AA2420" s="52"/>
      <c r="AB2420" s="52"/>
      <c r="AC2420" s="52"/>
      <c r="AD2420" s="52"/>
      <c r="AE2420" s="52"/>
      <c r="AF2420" s="52"/>
      <c r="AG2420" s="52"/>
      <c r="AH2420" s="52"/>
      <c r="AI2420" s="52"/>
      <c r="AJ2420" s="52"/>
      <c r="AK2420" s="52"/>
      <c r="AL2420" s="52"/>
      <c r="AM2420" s="52"/>
      <c r="AN2420" s="52"/>
    </row>
    <row r="2421" spans="1:40" x14ac:dyDescent="0.3">
      <c r="A2421" s="52">
        <v>2416</v>
      </c>
      <c r="B2421" s="52">
        <f>-bthan*500+(15+0.5)*bthan*1000/50</f>
        <v>-1045</v>
      </c>
      <c r="C2421" s="52">
        <f t="shared" si="244"/>
        <v>170.00000000000023</v>
      </c>
      <c r="D2421" s="52">
        <f t="shared" si="241"/>
        <v>2200</v>
      </c>
      <c r="E2421" s="52">
        <f t="shared" si="242"/>
        <v>1</v>
      </c>
      <c r="F2421" s="52"/>
      <c r="G2421" s="52"/>
      <c r="H2421" s="52"/>
      <c r="I2421" s="52"/>
      <c r="J2421" s="52"/>
      <c r="K2421" s="52"/>
      <c r="L2421" s="52"/>
      <c r="M2421" s="52"/>
      <c r="N2421" s="52"/>
      <c r="O2421" s="52"/>
      <c r="P2421" s="52"/>
      <c r="Q2421" s="52"/>
      <c r="R2421" s="52"/>
      <c r="S2421" s="52"/>
      <c r="T2421" s="52"/>
      <c r="U2421" s="52"/>
      <c r="V2421" s="52"/>
      <c r="W2421" s="52"/>
      <c r="X2421" s="52"/>
      <c r="Y2421" s="52"/>
      <c r="Z2421" s="52"/>
      <c r="AA2421" s="52"/>
      <c r="AB2421" s="52"/>
      <c r="AC2421" s="52"/>
      <c r="AD2421" s="52"/>
      <c r="AE2421" s="52"/>
      <c r="AF2421" s="52"/>
      <c r="AG2421" s="52"/>
      <c r="AH2421" s="52"/>
      <c r="AI2421" s="52"/>
      <c r="AJ2421" s="52"/>
      <c r="AK2421" s="52"/>
      <c r="AL2421" s="52"/>
      <c r="AM2421" s="52"/>
      <c r="AN2421" s="52"/>
    </row>
    <row r="2422" spans="1:40" x14ac:dyDescent="0.3">
      <c r="A2422" s="52">
        <v>2417</v>
      </c>
      <c r="B2422" s="52">
        <f>-bthan*500+(16+0.5)*bthan*1000/50</f>
        <v>-935</v>
      </c>
      <c r="C2422" s="52">
        <f t="shared" si="244"/>
        <v>170.00000000000023</v>
      </c>
      <c r="D2422" s="52">
        <f t="shared" si="241"/>
        <v>2200</v>
      </c>
      <c r="E2422" s="52">
        <f t="shared" si="242"/>
        <v>1</v>
      </c>
      <c r="F2422" s="52"/>
      <c r="G2422" s="52"/>
      <c r="H2422" s="52"/>
      <c r="I2422" s="52"/>
      <c r="J2422" s="52"/>
      <c r="K2422" s="52"/>
      <c r="L2422" s="52"/>
      <c r="M2422" s="52"/>
      <c r="N2422" s="52"/>
      <c r="O2422" s="52"/>
      <c r="P2422" s="52"/>
      <c r="Q2422" s="52"/>
      <c r="R2422" s="52"/>
      <c r="S2422" s="52"/>
      <c r="T2422" s="52"/>
      <c r="U2422" s="52"/>
      <c r="V2422" s="52"/>
      <c r="W2422" s="52"/>
      <c r="X2422" s="52"/>
      <c r="Y2422" s="52"/>
      <c r="Z2422" s="52"/>
      <c r="AA2422" s="52"/>
      <c r="AB2422" s="52"/>
      <c r="AC2422" s="52"/>
      <c r="AD2422" s="52"/>
      <c r="AE2422" s="52"/>
      <c r="AF2422" s="52"/>
      <c r="AG2422" s="52"/>
      <c r="AH2422" s="52"/>
      <c r="AI2422" s="52"/>
      <c r="AJ2422" s="52"/>
      <c r="AK2422" s="52"/>
      <c r="AL2422" s="52"/>
      <c r="AM2422" s="52"/>
      <c r="AN2422" s="52"/>
    </row>
    <row r="2423" spans="1:40" x14ac:dyDescent="0.3">
      <c r="A2423" s="52">
        <v>2418</v>
      </c>
      <c r="B2423" s="52">
        <f>-bthan*500+(17+0.5)*bthan*1000/50</f>
        <v>-825</v>
      </c>
      <c r="C2423" s="52">
        <f t="shared" si="244"/>
        <v>170.00000000000023</v>
      </c>
      <c r="D2423" s="52">
        <f t="shared" si="241"/>
        <v>2200</v>
      </c>
      <c r="E2423" s="52">
        <f t="shared" si="242"/>
        <v>1</v>
      </c>
      <c r="F2423" s="52"/>
      <c r="G2423" s="52"/>
      <c r="H2423" s="52"/>
      <c r="I2423" s="52"/>
      <c r="J2423" s="52"/>
      <c r="K2423" s="52"/>
      <c r="L2423" s="52"/>
      <c r="M2423" s="52"/>
      <c r="N2423" s="52"/>
      <c r="O2423" s="52"/>
      <c r="P2423" s="52"/>
      <c r="Q2423" s="52"/>
      <c r="R2423" s="52"/>
      <c r="S2423" s="52"/>
      <c r="T2423" s="52"/>
      <c r="U2423" s="52"/>
      <c r="V2423" s="52"/>
      <c r="W2423" s="52"/>
      <c r="X2423" s="52"/>
      <c r="Y2423" s="52"/>
      <c r="Z2423" s="52"/>
      <c r="AA2423" s="52"/>
      <c r="AB2423" s="52"/>
      <c r="AC2423" s="52"/>
      <c r="AD2423" s="52"/>
      <c r="AE2423" s="52"/>
      <c r="AF2423" s="52"/>
      <c r="AG2423" s="52"/>
      <c r="AH2423" s="52"/>
      <c r="AI2423" s="52"/>
      <c r="AJ2423" s="52"/>
      <c r="AK2423" s="52"/>
      <c r="AL2423" s="52"/>
      <c r="AM2423" s="52"/>
      <c r="AN2423" s="52"/>
    </row>
    <row r="2424" spans="1:40" x14ac:dyDescent="0.3">
      <c r="A2424" s="52">
        <v>2419</v>
      </c>
      <c r="B2424" s="52">
        <f>-bthan*500+(18+0.5)*bthan*1000/50</f>
        <v>-715</v>
      </c>
      <c r="C2424" s="52">
        <f t="shared" si="244"/>
        <v>170.00000000000023</v>
      </c>
      <c r="D2424" s="52">
        <f t="shared" si="241"/>
        <v>2200</v>
      </c>
      <c r="E2424" s="52">
        <f t="shared" si="242"/>
        <v>1</v>
      </c>
      <c r="F2424" s="52"/>
      <c r="G2424" s="52"/>
      <c r="H2424" s="52"/>
      <c r="I2424" s="52"/>
      <c r="J2424" s="52"/>
      <c r="K2424" s="52"/>
      <c r="L2424" s="52"/>
      <c r="M2424" s="52"/>
      <c r="N2424" s="52"/>
      <c r="O2424" s="52"/>
      <c r="P2424" s="52"/>
      <c r="Q2424" s="52"/>
      <c r="R2424" s="52"/>
      <c r="S2424" s="52"/>
      <c r="T2424" s="52"/>
      <c r="U2424" s="52"/>
      <c r="V2424" s="52"/>
      <c r="W2424" s="52"/>
      <c r="X2424" s="52"/>
      <c r="Y2424" s="52"/>
      <c r="Z2424" s="52"/>
      <c r="AA2424" s="52"/>
      <c r="AB2424" s="52"/>
      <c r="AC2424" s="52"/>
      <c r="AD2424" s="52"/>
      <c r="AE2424" s="52"/>
      <c r="AF2424" s="52"/>
      <c r="AG2424" s="52"/>
      <c r="AH2424" s="52"/>
      <c r="AI2424" s="52"/>
      <c r="AJ2424" s="52"/>
      <c r="AK2424" s="52"/>
      <c r="AL2424" s="52"/>
      <c r="AM2424" s="52"/>
      <c r="AN2424" s="52"/>
    </row>
    <row r="2425" spans="1:40" x14ac:dyDescent="0.3">
      <c r="A2425" s="52">
        <v>2420</v>
      </c>
      <c r="B2425" s="52">
        <f>-bthan*500+(19+0.5)*bthan*1000/50</f>
        <v>-605</v>
      </c>
      <c r="C2425" s="52">
        <f t="shared" si="244"/>
        <v>170.00000000000023</v>
      </c>
      <c r="D2425" s="52">
        <f t="shared" si="241"/>
        <v>2200</v>
      </c>
      <c r="E2425" s="52">
        <f t="shared" si="242"/>
        <v>1</v>
      </c>
      <c r="F2425" s="52"/>
      <c r="G2425" s="52"/>
      <c r="H2425" s="52"/>
      <c r="I2425" s="52"/>
      <c r="J2425" s="52"/>
      <c r="K2425" s="52"/>
      <c r="L2425" s="52"/>
      <c r="M2425" s="52"/>
      <c r="N2425" s="52"/>
      <c r="O2425" s="52"/>
      <c r="P2425" s="52"/>
      <c r="Q2425" s="52"/>
      <c r="R2425" s="52"/>
      <c r="S2425" s="52"/>
      <c r="T2425" s="52"/>
      <c r="U2425" s="52"/>
      <c r="V2425" s="52"/>
      <c r="W2425" s="52"/>
      <c r="X2425" s="52"/>
      <c r="Y2425" s="52"/>
      <c r="Z2425" s="52"/>
      <c r="AA2425" s="52"/>
      <c r="AB2425" s="52"/>
      <c r="AC2425" s="52"/>
      <c r="AD2425" s="52"/>
      <c r="AE2425" s="52"/>
      <c r="AF2425" s="52"/>
      <c r="AG2425" s="52"/>
      <c r="AH2425" s="52"/>
      <c r="AI2425" s="52"/>
      <c r="AJ2425" s="52"/>
      <c r="AK2425" s="52"/>
      <c r="AL2425" s="52"/>
      <c r="AM2425" s="52"/>
      <c r="AN2425" s="52"/>
    </row>
    <row r="2426" spans="1:40" x14ac:dyDescent="0.3">
      <c r="A2426" s="52">
        <v>2421</v>
      </c>
      <c r="B2426" s="52">
        <f>-bthan*500+(20+0.5)*bthan*1000/50</f>
        <v>-495</v>
      </c>
      <c r="C2426" s="52">
        <f t="shared" si="244"/>
        <v>170.00000000000023</v>
      </c>
      <c r="D2426" s="52">
        <f t="shared" si="241"/>
        <v>2200</v>
      </c>
      <c r="E2426" s="52">
        <f t="shared" si="242"/>
        <v>1</v>
      </c>
      <c r="F2426" s="52"/>
      <c r="G2426" s="52"/>
      <c r="H2426" s="52"/>
      <c r="I2426" s="52"/>
      <c r="J2426" s="52"/>
      <c r="K2426" s="52"/>
      <c r="L2426" s="52"/>
      <c r="M2426" s="52"/>
      <c r="N2426" s="52"/>
      <c r="O2426" s="52"/>
      <c r="P2426" s="52"/>
      <c r="Q2426" s="52"/>
      <c r="R2426" s="52"/>
      <c r="S2426" s="52"/>
      <c r="T2426" s="52"/>
      <c r="U2426" s="52"/>
      <c r="V2426" s="52"/>
      <c r="W2426" s="52"/>
      <c r="X2426" s="52"/>
      <c r="Y2426" s="52"/>
      <c r="Z2426" s="52"/>
      <c r="AA2426" s="52"/>
      <c r="AB2426" s="52"/>
      <c r="AC2426" s="52"/>
      <c r="AD2426" s="52"/>
      <c r="AE2426" s="52"/>
      <c r="AF2426" s="52"/>
      <c r="AG2426" s="52"/>
      <c r="AH2426" s="52"/>
      <c r="AI2426" s="52"/>
      <c r="AJ2426" s="52"/>
      <c r="AK2426" s="52"/>
      <c r="AL2426" s="52"/>
      <c r="AM2426" s="52"/>
      <c r="AN2426" s="52"/>
    </row>
    <row r="2427" spans="1:40" x14ac:dyDescent="0.3">
      <c r="A2427" s="52">
        <v>2422</v>
      </c>
      <c r="B2427" s="52">
        <f>-bthan*500+(21+0.5)*bthan*1000/50</f>
        <v>-385</v>
      </c>
      <c r="C2427" s="52">
        <f t="shared" si="244"/>
        <v>170.00000000000023</v>
      </c>
      <c r="D2427" s="52">
        <f t="shared" si="241"/>
        <v>2200</v>
      </c>
      <c r="E2427" s="52">
        <f t="shared" si="242"/>
        <v>1</v>
      </c>
      <c r="F2427" s="52"/>
      <c r="G2427" s="52"/>
      <c r="H2427" s="52"/>
      <c r="I2427" s="52"/>
      <c r="J2427" s="52"/>
      <c r="K2427" s="52"/>
      <c r="L2427" s="52"/>
      <c r="M2427" s="52"/>
      <c r="N2427" s="52"/>
      <c r="O2427" s="52"/>
      <c r="P2427" s="52"/>
      <c r="Q2427" s="52"/>
      <c r="R2427" s="52"/>
      <c r="S2427" s="52"/>
      <c r="T2427" s="52"/>
      <c r="U2427" s="52"/>
      <c r="V2427" s="52"/>
      <c r="W2427" s="52"/>
      <c r="X2427" s="52"/>
      <c r="Y2427" s="52"/>
      <c r="Z2427" s="52"/>
      <c r="AA2427" s="52"/>
      <c r="AB2427" s="52"/>
      <c r="AC2427" s="52"/>
      <c r="AD2427" s="52"/>
      <c r="AE2427" s="52"/>
      <c r="AF2427" s="52"/>
      <c r="AG2427" s="52"/>
      <c r="AH2427" s="52"/>
      <c r="AI2427" s="52"/>
      <c r="AJ2427" s="52"/>
      <c r="AK2427" s="52"/>
      <c r="AL2427" s="52"/>
      <c r="AM2427" s="52"/>
      <c r="AN2427" s="52"/>
    </row>
    <row r="2428" spans="1:40" x14ac:dyDescent="0.3">
      <c r="A2428" s="52">
        <v>2423</v>
      </c>
      <c r="B2428" s="52">
        <f>-bthan*500+(22+0.5)*bthan*1000/50</f>
        <v>-275</v>
      </c>
      <c r="C2428" s="52">
        <f t="shared" si="244"/>
        <v>170.00000000000023</v>
      </c>
      <c r="D2428" s="52">
        <f t="shared" si="241"/>
        <v>2200</v>
      </c>
      <c r="E2428" s="52">
        <f t="shared" si="242"/>
        <v>1</v>
      </c>
      <c r="F2428" s="52"/>
      <c r="G2428" s="52"/>
      <c r="H2428" s="52"/>
      <c r="I2428" s="52"/>
      <c r="J2428" s="52"/>
      <c r="K2428" s="52"/>
      <c r="L2428" s="52"/>
      <c r="M2428" s="52"/>
      <c r="N2428" s="52"/>
      <c r="O2428" s="52"/>
      <c r="P2428" s="52"/>
      <c r="Q2428" s="52"/>
      <c r="R2428" s="52"/>
      <c r="S2428" s="52"/>
      <c r="T2428" s="52"/>
      <c r="U2428" s="52"/>
      <c r="V2428" s="52"/>
      <c r="W2428" s="52"/>
      <c r="X2428" s="52"/>
      <c r="Y2428" s="52"/>
      <c r="Z2428" s="52"/>
      <c r="AA2428" s="52"/>
      <c r="AB2428" s="52"/>
      <c r="AC2428" s="52"/>
      <c r="AD2428" s="52"/>
      <c r="AE2428" s="52"/>
      <c r="AF2428" s="52"/>
      <c r="AG2428" s="52"/>
      <c r="AH2428" s="52"/>
      <c r="AI2428" s="52"/>
      <c r="AJ2428" s="52"/>
      <c r="AK2428" s="52"/>
      <c r="AL2428" s="52"/>
      <c r="AM2428" s="52"/>
      <c r="AN2428" s="52"/>
    </row>
    <row r="2429" spans="1:40" x14ac:dyDescent="0.3">
      <c r="A2429" s="52">
        <v>2424</v>
      </c>
      <c r="B2429" s="52">
        <f>-bthan*500+(23+0.5)*bthan*1000/50</f>
        <v>-165</v>
      </c>
      <c r="C2429" s="52">
        <f t="shared" si="244"/>
        <v>170.00000000000023</v>
      </c>
      <c r="D2429" s="52">
        <f t="shared" si="241"/>
        <v>2200</v>
      </c>
      <c r="E2429" s="52">
        <f t="shared" si="242"/>
        <v>1</v>
      </c>
      <c r="F2429" s="52"/>
      <c r="G2429" s="52"/>
      <c r="H2429" s="52"/>
      <c r="I2429" s="52"/>
      <c r="J2429" s="52"/>
      <c r="K2429" s="52"/>
      <c r="L2429" s="52"/>
      <c r="M2429" s="52"/>
      <c r="N2429" s="52"/>
      <c r="O2429" s="52"/>
      <c r="P2429" s="52"/>
      <c r="Q2429" s="52"/>
      <c r="R2429" s="52"/>
      <c r="S2429" s="52"/>
      <c r="T2429" s="52"/>
      <c r="U2429" s="52"/>
      <c r="V2429" s="52"/>
      <c r="W2429" s="52"/>
      <c r="X2429" s="52"/>
      <c r="Y2429" s="52"/>
      <c r="Z2429" s="52"/>
      <c r="AA2429" s="52"/>
      <c r="AB2429" s="52"/>
      <c r="AC2429" s="52"/>
      <c r="AD2429" s="52"/>
      <c r="AE2429" s="52"/>
      <c r="AF2429" s="52"/>
      <c r="AG2429" s="52"/>
      <c r="AH2429" s="52"/>
      <c r="AI2429" s="52"/>
      <c r="AJ2429" s="52"/>
      <c r="AK2429" s="52"/>
      <c r="AL2429" s="52"/>
      <c r="AM2429" s="52"/>
      <c r="AN2429" s="52"/>
    </row>
    <row r="2430" spans="1:40" x14ac:dyDescent="0.3">
      <c r="A2430" s="52">
        <v>2425</v>
      </c>
      <c r="B2430" s="52">
        <f>-bthan*500+(24+0.5)*bthan*1000/50</f>
        <v>-55</v>
      </c>
      <c r="C2430" s="52">
        <f t="shared" si="244"/>
        <v>170.00000000000023</v>
      </c>
      <c r="D2430" s="52">
        <f t="shared" si="241"/>
        <v>2200</v>
      </c>
      <c r="E2430" s="52">
        <f t="shared" si="242"/>
        <v>1</v>
      </c>
      <c r="F2430" s="52"/>
      <c r="G2430" s="52"/>
      <c r="H2430" s="52"/>
      <c r="I2430" s="52"/>
      <c r="J2430" s="52"/>
      <c r="K2430" s="52"/>
      <c r="L2430" s="52"/>
      <c r="M2430" s="52"/>
      <c r="N2430" s="52"/>
      <c r="O2430" s="52"/>
      <c r="P2430" s="52"/>
      <c r="Q2430" s="52"/>
      <c r="R2430" s="52"/>
      <c r="S2430" s="52"/>
      <c r="T2430" s="52"/>
      <c r="U2430" s="52"/>
      <c r="V2430" s="52"/>
      <c r="W2430" s="52"/>
      <c r="X2430" s="52"/>
      <c r="Y2430" s="52"/>
      <c r="Z2430" s="52"/>
      <c r="AA2430" s="52"/>
      <c r="AB2430" s="52"/>
      <c r="AC2430" s="52"/>
      <c r="AD2430" s="52"/>
      <c r="AE2430" s="52"/>
      <c r="AF2430" s="52"/>
      <c r="AG2430" s="52"/>
      <c r="AH2430" s="52"/>
      <c r="AI2430" s="52"/>
      <c r="AJ2430" s="52"/>
      <c r="AK2430" s="52"/>
      <c r="AL2430" s="52"/>
      <c r="AM2430" s="52"/>
      <c r="AN2430" s="52"/>
    </row>
    <row r="2431" spans="1:40" x14ac:dyDescent="0.3">
      <c r="A2431" s="52">
        <v>2426</v>
      </c>
      <c r="B2431" s="52">
        <f>-bthan*500+(25+0.5)*bthan*1000/50</f>
        <v>55</v>
      </c>
      <c r="C2431" s="52">
        <f t="shared" si="244"/>
        <v>170.00000000000023</v>
      </c>
      <c r="D2431" s="52">
        <f t="shared" si="241"/>
        <v>2200</v>
      </c>
      <c r="E2431" s="52">
        <f t="shared" si="242"/>
        <v>1</v>
      </c>
      <c r="F2431" s="52"/>
      <c r="G2431" s="52"/>
      <c r="H2431" s="52"/>
      <c r="I2431" s="52"/>
      <c r="J2431" s="52"/>
      <c r="K2431" s="52"/>
      <c r="L2431" s="52"/>
      <c r="M2431" s="52"/>
      <c r="N2431" s="52"/>
      <c r="O2431" s="52"/>
      <c r="P2431" s="52"/>
      <c r="Q2431" s="52"/>
      <c r="R2431" s="52"/>
      <c r="S2431" s="52"/>
      <c r="T2431" s="52"/>
      <c r="U2431" s="52"/>
      <c r="V2431" s="52"/>
      <c r="W2431" s="52"/>
      <c r="X2431" s="52"/>
      <c r="Y2431" s="52"/>
      <c r="Z2431" s="52"/>
      <c r="AA2431" s="52"/>
      <c r="AB2431" s="52"/>
      <c r="AC2431" s="52"/>
      <c r="AD2431" s="52"/>
      <c r="AE2431" s="52"/>
      <c r="AF2431" s="52"/>
      <c r="AG2431" s="52"/>
      <c r="AH2431" s="52"/>
      <c r="AI2431" s="52"/>
      <c r="AJ2431" s="52"/>
      <c r="AK2431" s="52"/>
      <c r="AL2431" s="52"/>
      <c r="AM2431" s="52"/>
      <c r="AN2431" s="52"/>
    </row>
    <row r="2432" spans="1:40" x14ac:dyDescent="0.3">
      <c r="A2432" s="52">
        <v>2427</v>
      </c>
      <c r="B2432" s="52">
        <f>-bthan*500+(26+0.5)*bthan*1000/50</f>
        <v>165</v>
      </c>
      <c r="C2432" s="52">
        <f t="shared" si="244"/>
        <v>170.00000000000023</v>
      </c>
      <c r="D2432" s="52">
        <f t="shared" si="241"/>
        <v>2200</v>
      </c>
      <c r="E2432" s="52">
        <f t="shared" si="242"/>
        <v>1</v>
      </c>
      <c r="F2432" s="52"/>
      <c r="G2432" s="52"/>
      <c r="H2432" s="52"/>
      <c r="I2432" s="52"/>
      <c r="J2432" s="52"/>
      <c r="K2432" s="52"/>
      <c r="L2432" s="52"/>
      <c r="M2432" s="52"/>
      <c r="N2432" s="52"/>
      <c r="O2432" s="52"/>
      <c r="P2432" s="52"/>
      <c r="Q2432" s="52"/>
      <c r="R2432" s="52"/>
      <c r="S2432" s="52"/>
      <c r="T2432" s="52"/>
      <c r="U2432" s="52"/>
      <c r="V2432" s="52"/>
      <c r="W2432" s="52"/>
      <c r="X2432" s="52"/>
      <c r="Y2432" s="52"/>
      <c r="Z2432" s="52"/>
      <c r="AA2432" s="52"/>
      <c r="AB2432" s="52"/>
      <c r="AC2432" s="52"/>
      <c r="AD2432" s="52"/>
      <c r="AE2432" s="52"/>
      <c r="AF2432" s="52"/>
      <c r="AG2432" s="52"/>
      <c r="AH2432" s="52"/>
      <c r="AI2432" s="52"/>
      <c r="AJ2432" s="52"/>
      <c r="AK2432" s="52"/>
      <c r="AL2432" s="52"/>
      <c r="AM2432" s="52"/>
      <c r="AN2432" s="52"/>
    </row>
    <row r="2433" spans="1:40" x14ac:dyDescent="0.3">
      <c r="A2433" s="52">
        <v>2428</v>
      </c>
      <c r="B2433" s="52">
        <f>-bthan*500+(27+0.5)*bthan*1000/50</f>
        <v>275</v>
      </c>
      <c r="C2433" s="52">
        <f t="shared" si="244"/>
        <v>170.00000000000023</v>
      </c>
      <c r="D2433" s="52">
        <f t="shared" si="241"/>
        <v>2200</v>
      </c>
      <c r="E2433" s="52">
        <f t="shared" si="242"/>
        <v>1</v>
      </c>
      <c r="F2433" s="52"/>
      <c r="G2433" s="52"/>
      <c r="H2433" s="52"/>
      <c r="I2433" s="52"/>
      <c r="J2433" s="52"/>
      <c r="K2433" s="52"/>
      <c r="L2433" s="52"/>
      <c r="M2433" s="52"/>
      <c r="N2433" s="52"/>
      <c r="O2433" s="52"/>
      <c r="P2433" s="52"/>
      <c r="Q2433" s="52"/>
      <c r="R2433" s="52"/>
      <c r="S2433" s="52"/>
      <c r="T2433" s="52"/>
      <c r="U2433" s="52"/>
      <c r="V2433" s="52"/>
      <c r="W2433" s="52"/>
      <c r="X2433" s="52"/>
      <c r="Y2433" s="52"/>
      <c r="Z2433" s="52"/>
      <c r="AA2433" s="52"/>
      <c r="AB2433" s="52"/>
      <c r="AC2433" s="52"/>
      <c r="AD2433" s="52"/>
      <c r="AE2433" s="52"/>
      <c r="AF2433" s="52"/>
      <c r="AG2433" s="52"/>
      <c r="AH2433" s="52"/>
      <c r="AI2433" s="52"/>
      <c r="AJ2433" s="52"/>
      <c r="AK2433" s="52"/>
      <c r="AL2433" s="52"/>
      <c r="AM2433" s="52"/>
      <c r="AN2433" s="52"/>
    </row>
    <row r="2434" spans="1:40" x14ac:dyDescent="0.3">
      <c r="A2434" s="52">
        <v>2429</v>
      </c>
      <c r="B2434" s="52">
        <f>-bthan*500+(28+0.5)*bthan*1000/50</f>
        <v>385</v>
      </c>
      <c r="C2434" s="52">
        <f t="shared" si="244"/>
        <v>170.00000000000023</v>
      </c>
      <c r="D2434" s="52">
        <f t="shared" si="241"/>
        <v>2200</v>
      </c>
      <c r="E2434" s="52">
        <f t="shared" si="242"/>
        <v>1</v>
      </c>
      <c r="F2434" s="52"/>
      <c r="G2434" s="52"/>
      <c r="H2434" s="52"/>
      <c r="I2434" s="52"/>
      <c r="J2434" s="52"/>
      <c r="K2434" s="52"/>
      <c r="L2434" s="52"/>
      <c r="M2434" s="52"/>
      <c r="N2434" s="52"/>
      <c r="O2434" s="52"/>
      <c r="P2434" s="52"/>
      <c r="Q2434" s="52"/>
      <c r="R2434" s="52"/>
      <c r="S2434" s="52"/>
      <c r="T2434" s="52"/>
      <c r="U2434" s="52"/>
      <c r="V2434" s="52"/>
      <c r="W2434" s="52"/>
      <c r="X2434" s="52"/>
      <c r="Y2434" s="52"/>
      <c r="Z2434" s="52"/>
      <c r="AA2434" s="52"/>
      <c r="AB2434" s="52"/>
      <c r="AC2434" s="52"/>
      <c r="AD2434" s="52"/>
      <c r="AE2434" s="52"/>
      <c r="AF2434" s="52"/>
      <c r="AG2434" s="52"/>
      <c r="AH2434" s="52"/>
      <c r="AI2434" s="52"/>
      <c r="AJ2434" s="52"/>
      <c r="AK2434" s="52"/>
      <c r="AL2434" s="52"/>
      <c r="AM2434" s="52"/>
      <c r="AN2434" s="52"/>
    </row>
    <row r="2435" spans="1:40" x14ac:dyDescent="0.3">
      <c r="A2435" s="52">
        <v>2430</v>
      </c>
      <c r="B2435" s="52">
        <f>-bthan*500+(29+0.5)*bthan*1000/50</f>
        <v>495</v>
      </c>
      <c r="C2435" s="52">
        <f t="shared" si="244"/>
        <v>170.00000000000023</v>
      </c>
      <c r="D2435" s="52">
        <f t="shared" si="241"/>
        <v>2200</v>
      </c>
      <c r="E2435" s="52">
        <f t="shared" si="242"/>
        <v>1</v>
      </c>
      <c r="F2435" s="52"/>
      <c r="G2435" s="52"/>
      <c r="H2435" s="52"/>
      <c r="I2435" s="52"/>
      <c r="J2435" s="52"/>
      <c r="K2435" s="52"/>
      <c r="L2435" s="52"/>
      <c r="M2435" s="52"/>
      <c r="N2435" s="52"/>
      <c r="O2435" s="52"/>
      <c r="P2435" s="52"/>
      <c r="Q2435" s="52"/>
      <c r="R2435" s="52"/>
      <c r="S2435" s="52"/>
      <c r="T2435" s="52"/>
      <c r="U2435" s="52"/>
      <c r="V2435" s="52"/>
      <c r="W2435" s="52"/>
      <c r="X2435" s="52"/>
      <c r="Y2435" s="52"/>
      <c r="Z2435" s="52"/>
      <c r="AA2435" s="52"/>
      <c r="AB2435" s="52"/>
      <c r="AC2435" s="52"/>
      <c r="AD2435" s="52"/>
      <c r="AE2435" s="52"/>
      <c r="AF2435" s="52"/>
      <c r="AG2435" s="52"/>
      <c r="AH2435" s="52"/>
      <c r="AI2435" s="52"/>
      <c r="AJ2435" s="52"/>
      <c r="AK2435" s="52"/>
      <c r="AL2435" s="52"/>
      <c r="AM2435" s="52"/>
      <c r="AN2435" s="52"/>
    </row>
    <row r="2436" spans="1:40" x14ac:dyDescent="0.3">
      <c r="A2436" s="52">
        <v>2431</v>
      </c>
      <c r="B2436" s="52">
        <f>-bthan*500+(30+0.5)*bthan*1000/50</f>
        <v>605</v>
      </c>
      <c r="C2436" s="52">
        <f t="shared" si="244"/>
        <v>170.00000000000023</v>
      </c>
      <c r="D2436" s="52">
        <f t="shared" si="241"/>
        <v>2200</v>
      </c>
      <c r="E2436" s="52">
        <f t="shared" si="242"/>
        <v>1</v>
      </c>
      <c r="F2436" s="52"/>
      <c r="G2436" s="52"/>
      <c r="H2436" s="52"/>
      <c r="I2436" s="52"/>
      <c r="J2436" s="52"/>
      <c r="K2436" s="52"/>
      <c r="L2436" s="52"/>
      <c r="M2436" s="52"/>
      <c r="N2436" s="52"/>
      <c r="O2436" s="52"/>
      <c r="P2436" s="52"/>
      <c r="Q2436" s="52"/>
      <c r="R2436" s="52"/>
      <c r="S2436" s="52"/>
      <c r="T2436" s="52"/>
      <c r="U2436" s="52"/>
      <c r="V2436" s="52"/>
      <c r="W2436" s="52"/>
      <c r="X2436" s="52"/>
      <c r="Y2436" s="52"/>
      <c r="Z2436" s="52"/>
      <c r="AA2436" s="52"/>
      <c r="AB2436" s="52"/>
      <c r="AC2436" s="52"/>
      <c r="AD2436" s="52"/>
      <c r="AE2436" s="52"/>
      <c r="AF2436" s="52"/>
      <c r="AG2436" s="52"/>
      <c r="AH2436" s="52"/>
      <c r="AI2436" s="52"/>
      <c r="AJ2436" s="52"/>
      <c r="AK2436" s="52"/>
      <c r="AL2436" s="52"/>
      <c r="AM2436" s="52"/>
      <c r="AN2436" s="52"/>
    </row>
    <row r="2437" spans="1:40" x14ac:dyDescent="0.3">
      <c r="A2437" s="52">
        <v>2432</v>
      </c>
      <c r="B2437" s="52">
        <f>-bthan*500+(31+0.5)*bthan*1000/50</f>
        <v>715</v>
      </c>
      <c r="C2437" s="52">
        <f t="shared" si="244"/>
        <v>170.00000000000023</v>
      </c>
      <c r="D2437" s="52">
        <f t="shared" si="241"/>
        <v>2200</v>
      </c>
      <c r="E2437" s="52">
        <f t="shared" si="242"/>
        <v>1</v>
      </c>
      <c r="F2437" s="52"/>
      <c r="G2437" s="52"/>
      <c r="H2437" s="52"/>
      <c r="I2437" s="52"/>
      <c r="J2437" s="52"/>
      <c r="K2437" s="52"/>
      <c r="L2437" s="52"/>
      <c r="M2437" s="52"/>
      <c r="N2437" s="52"/>
      <c r="O2437" s="52"/>
      <c r="P2437" s="52"/>
      <c r="Q2437" s="52"/>
      <c r="R2437" s="52"/>
      <c r="S2437" s="52"/>
      <c r="T2437" s="52"/>
      <c r="U2437" s="52"/>
      <c r="V2437" s="52"/>
      <c r="W2437" s="52"/>
      <c r="X2437" s="52"/>
      <c r="Y2437" s="52"/>
      <c r="Z2437" s="52"/>
      <c r="AA2437" s="52"/>
      <c r="AB2437" s="52"/>
      <c r="AC2437" s="52"/>
      <c r="AD2437" s="52"/>
      <c r="AE2437" s="52"/>
      <c r="AF2437" s="52"/>
      <c r="AG2437" s="52"/>
      <c r="AH2437" s="52"/>
      <c r="AI2437" s="52"/>
      <c r="AJ2437" s="52"/>
      <c r="AK2437" s="52"/>
      <c r="AL2437" s="52"/>
      <c r="AM2437" s="52"/>
      <c r="AN2437" s="52"/>
    </row>
    <row r="2438" spans="1:40" x14ac:dyDescent="0.3">
      <c r="A2438" s="52">
        <v>2433</v>
      </c>
      <c r="B2438" s="52">
        <f>-bthan*500+(32+0.5)*bthan*1000/50</f>
        <v>825</v>
      </c>
      <c r="C2438" s="52">
        <f t="shared" ref="C2438:C2455" si="245">-hthan*500+(48+0.5)*hthan*1000/80</f>
        <v>170.00000000000023</v>
      </c>
      <c r="D2438" s="52">
        <f t="shared" ref="D2438:D2501" si="246">bthan*1000/50*hthan*1000/80</f>
        <v>2200</v>
      </c>
      <c r="E2438" s="52">
        <f t="shared" ref="E2438:E2501" si="247">IF(shp=1,--(OR(ABS(B2438)&lt;=MAX(0,(bthan-hthan)*500),(ABS(B2438)-MAX(0,(bthan-hthan)*500))^2+C2438^2&lt;=(hthan*500)^2)),--(AND(ABS(B2438)&lt;=bthan*500,ABS(C2438)&lt;=hthan*500,OR(ABS(B2438)&lt;=bthan*500-cch*1000,ABS(C2438)&lt;=hthan*500-cch*1000,(bthan*500-ABS(B2438))+(hthan*500-ABS(C2438))&gt;=cch*1000))))</f>
        <v>1</v>
      </c>
      <c r="F2438" s="52"/>
      <c r="G2438" s="52"/>
      <c r="H2438" s="52"/>
      <c r="I2438" s="52"/>
      <c r="J2438" s="52"/>
      <c r="K2438" s="52"/>
      <c r="L2438" s="52"/>
      <c r="M2438" s="52"/>
      <c r="N2438" s="52"/>
      <c r="O2438" s="52"/>
      <c r="P2438" s="52"/>
      <c r="Q2438" s="52"/>
      <c r="R2438" s="52"/>
      <c r="S2438" s="52"/>
      <c r="T2438" s="52"/>
      <c r="U2438" s="52"/>
      <c r="V2438" s="52"/>
      <c r="W2438" s="52"/>
      <c r="X2438" s="52"/>
      <c r="Y2438" s="52"/>
      <c r="Z2438" s="52"/>
      <c r="AA2438" s="52"/>
      <c r="AB2438" s="52"/>
      <c r="AC2438" s="52"/>
      <c r="AD2438" s="52"/>
      <c r="AE2438" s="52"/>
      <c r="AF2438" s="52"/>
      <c r="AG2438" s="52"/>
      <c r="AH2438" s="52"/>
      <c r="AI2438" s="52"/>
      <c r="AJ2438" s="52"/>
      <c r="AK2438" s="52"/>
      <c r="AL2438" s="52"/>
      <c r="AM2438" s="52"/>
      <c r="AN2438" s="52"/>
    </row>
    <row r="2439" spans="1:40" x14ac:dyDescent="0.3">
      <c r="A2439" s="52">
        <v>2434</v>
      </c>
      <c r="B2439" s="52">
        <f>-bthan*500+(33+0.5)*bthan*1000/50</f>
        <v>935</v>
      </c>
      <c r="C2439" s="52">
        <f t="shared" si="245"/>
        <v>170.00000000000023</v>
      </c>
      <c r="D2439" s="52">
        <f t="shared" si="246"/>
        <v>2200</v>
      </c>
      <c r="E2439" s="52">
        <f t="shared" si="247"/>
        <v>1</v>
      </c>
      <c r="F2439" s="52"/>
      <c r="G2439" s="52"/>
      <c r="H2439" s="52"/>
      <c r="I2439" s="52"/>
      <c r="J2439" s="52"/>
      <c r="K2439" s="52"/>
      <c r="L2439" s="52"/>
      <c r="M2439" s="52"/>
      <c r="N2439" s="52"/>
      <c r="O2439" s="52"/>
      <c r="P2439" s="52"/>
      <c r="Q2439" s="52"/>
      <c r="R2439" s="52"/>
      <c r="S2439" s="52"/>
      <c r="T2439" s="52"/>
      <c r="U2439" s="52"/>
      <c r="V2439" s="52"/>
      <c r="W2439" s="52"/>
      <c r="X2439" s="52"/>
      <c r="Y2439" s="52"/>
      <c r="Z2439" s="52"/>
      <c r="AA2439" s="52"/>
      <c r="AB2439" s="52"/>
      <c r="AC2439" s="52"/>
      <c r="AD2439" s="52"/>
      <c r="AE2439" s="52"/>
      <c r="AF2439" s="52"/>
      <c r="AG2439" s="52"/>
      <c r="AH2439" s="52"/>
      <c r="AI2439" s="52"/>
      <c r="AJ2439" s="52"/>
      <c r="AK2439" s="52"/>
      <c r="AL2439" s="52"/>
      <c r="AM2439" s="52"/>
      <c r="AN2439" s="52"/>
    </row>
    <row r="2440" spans="1:40" x14ac:dyDescent="0.3">
      <c r="A2440" s="52">
        <v>2435</v>
      </c>
      <c r="B2440" s="52">
        <f>-bthan*500+(34+0.5)*bthan*1000/50</f>
        <v>1045</v>
      </c>
      <c r="C2440" s="52">
        <f t="shared" si="245"/>
        <v>170.00000000000023</v>
      </c>
      <c r="D2440" s="52">
        <f t="shared" si="246"/>
        <v>2200</v>
      </c>
      <c r="E2440" s="52">
        <f t="shared" si="247"/>
        <v>1</v>
      </c>
      <c r="F2440" s="52"/>
      <c r="G2440" s="52"/>
      <c r="H2440" s="52"/>
      <c r="I2440" s="52"/>
      <c r="J2440" s="52"/>
      <c r="K2440" s="52"/>
      <c r="L2440" s="52"/>
      <c r="M2440" s="52"/>
      <c r="N2440" s="52"/>
      <c r="O2440" s="52"/>
      <c r="P2440" s="52"/>
      <c r="Q2440" s="52"/>
      <c r="R2440" s="52"/>
      <c r="S2440" s="52"/>
      <c r="T2440" s="52"/>
      <c r="U2440" s="52"/>
      <c r="V2440" s="52"/>
      <c r="W2440" s="52"/>
      <c r="X2440" s="52"/>
      <c r="Y2440" s="52"/>
      <c r="Z2440" s="52"/>
      <c r="AA2440" s="52"/>
      <c r="AB2440" s="52"/>
      <c r="AC2440" s="52"/>
      <c r="AD2440" s="52"/>
      <c r="AE2440" s="52"/>
      <c r="AF2440" s="52"/>
      <c r="AG2440" s="52"/>
      <c r="AH2440" s="52"/>
      <c r="AI2440" s="52"/>
      <c r="AJ2440" s="52"/>
      <c r="AK2440" s="52"/>
      <c r="AL2440" s="52"/>
      <c r="AM2440" s="52"/>
      <c r="AN2440" s="52"/>
    </row>
    <row r="2441" spans="1:40" x14ac:dyDescent="0.3">
      <c r="A2441" s="52">
        <v>2436</v>
      </c>
      <c r="B2441" s="52">
        <f>-bthan*500+(35+0.5)*bthan*1000/50</f>
        <v>1155</v>
      </c>
      <c r="C2441" s="52">
        <f t="shared" si="245"/>
        <v>170.00000000000023</v>
      </c>
      <c r="D2441" s="52">
        <f t="shared" si="246"/>
        <v>2200</v>
      </c>
      <c r="E2441" s="52">
        <f t="shared" si="247"/>
        <v>1</v>
      </c>
      <c r="F2441" s="52"/>
      <c r="G2441" s="52"/>
      <c r="H2441" s="52"/>
      <c r="I2441" s="52"/>
      <c r="J2441" s="52"/>
      <c r="K2441" s="52"/>
      <c r="L2441" s="52"/>
      <c r="M2441" s="52"/>
      <c r="N2441" s="52"/>
      <c r="O2441" s="52"/>
      <c r="P2441" s="52"/>
      <c r="Q2441" s="52"/>
      <c r="R2441" s="52"/>
      <c r="S2441" s="52"/>
      <c r="T2441" s="52"/>
      <c r="U2441" s="52"/>
      <c r="V2441" s="52"/>
      <c r="W2441" s="52"/>
      <c r="X2441" s="52"/>
      <c r="Y2441" s="52"/>
      <c r="Z2441" s="52"/>
      <c r="AA2441" s="52"/>
      <c r="AB2441" s="52"/>
      <c r="AC2441" s="52"/>
      <c r="AD2441" s="52"/>
      <c r="AE2441" s="52"/>
      <c r="AF2441" s="52"/>
      <c r="AG2441" s="52"/>
      <c r="AH2441" s="52"/>
      <c r="AI2441" s="52"/>
      <c r="AJ2441" s="52"/>
      <c r="AK2441" s="52"/>
      <c r="AL2441" s="52"/>
      <c r="AM2441" s="52"/>
      <c r="AN2441" s="52"/>
    </row>
    <row r="2442" spans="1:40" x14ac:dyDescent="0.3">
      <c r="A2442" s="52">
        <v>2437</v>
      </c>
      <c r="B2442" s="52">
        <f>-bthan*500+(36+0.5)*bthan*1000/50</f>
        <v>1265</v>
      </c>
      <c r="C2442" s="52">
        <f t="shared" si="245"/>
        <v>170.00000000000023</v>
      </c>
      <c r="D2442" s="52">
        <f t="shared" si="246"/>
        <v>2200</v>
      </c>
      <c r="E2442" s="52">
        <f t="shared" si="247"/>
        <v>1</v>
      </c>
      <c r="F2442" s="52"/>
      <c r="G2442" s="52"/>
      <c r="H2442" s="52"/>
      <c r="I2442" s="52"/>
      <c r="J2442" s="52"/>
      <c r="K2442" s="52"/>
      <c r="L2442" s="52"/>
      <c r="M2442" s="52"/>
      <c r="N2442" s="52"/>
      <c r="O2442" s="52"/>
      <c r="P2442" s="52"/>
      <c r="Q2442" s="52"/>
      <c r="R2442" s="52"/>
      <c r="S2442" s="52"/>
      <c r="T2442" s="52"/>
      <c r="U2442" s="52"/>
      <c r="V2442" s="52"/>
      <c r="W2442" s="52"/>
      <c r="X2442" s="52"/>
      <c r="Y2442" s="52"/>
      <c r="Z2442" s="52"/>
      <c r="AA2442" s="52"/>
      <c r="AB2442" s="52"/>
      <c r="AC2442" s="52"/>
      <c r="AD2442" s="52"/>
      <c r="AE2442" s="52"/>
      <c r="AF2442" s="52"/>
      <c r="AG2442" s="52"/>
      <c r="AH2442" s="52"/>
      <c r="AI2442" s="52"/>
      <c r="AJ2442" s="52"/>
      <c r="AK2442" s="52"/>
      <c r="AL2442" s="52"/>
      <c r="AM2442" s="52"/>
      <c r="AN2442" s="52"/>
    </row>
    <row r="2443" spans="1:40" x14ac:dyDescent="0.3">
      <c r="A2443" s="52">
        <v>2438</v>
      </c>
      <c r="B2443" s="52">
        <f>-bthan*500+(37+0.5)*bthan*1000/50</f>
        <v>1375</v>
      </c>
      <c r="C2443" s="52">
        <f t="shared" si="245"/>
        <v>170.00000000000023</v>
      </c>
      <c r="D2443" s="52">
        <f t="shared" si="246"/>
        <v>2200</v>
      </c>
      <c r="E2443" s="52">
        <f t="shared" si="247"/>
        <v>1</v>
      </c>
      <c r="F2443" s="52"/>
      <c r="G2443" s="52"/>
      <c r="H2443" s="52"/>
      <c r="I2443" s="52"/>
      <c r="J2443" s="52"/>
      <c r="K2443" s="52"/>
      <c r="L2443" s="52"/>
      <c r="M2443" s="52"/>
      <c r="N2443" s="52"/>
      <c r="O2443" s="52"/>
      <c r="P2443" s="52"/>
      <c r="Q2443" s="52"/>
      <c r="R2443" s="52"/>
      <c r="S2443" s="52"/>
      <c r="T2443" s="52"/>
      <c r="U2443" s="52"/>
      <c r="V2443" s="52"/>
      <c r="W2443" s="52"/>
      <c r="X2443" s="52"/>
      <c r="Y2443" s="52"/>
      <c r="Z2443" s="52"/>
      <c r="AA2443" s="52"/>
      <c r="AB2443" s="52"/>
      <c r="AC2443" s="52"/>
      <c r="AD2443" s="52"/>
      <c r="AE2443" s="52"/>
      <c r="AF2443" s="52"/>
      <c r="AG2443" s="52"/>
      <c r="AH2443" s="52"/>
      <c r="AI2443" s="52"/>
      <c r="AJ2443" s="52"/>
      <c r="AK2443" s="52"/>
      <c r="AL2443" s="52"/>
      <c r="AM2443" s="52"/>
      <c r="AN2443" s="52"/>
    </row>
    <row r="2444" spans="1:40" x14ac:dyDescent="0.3">
      <c r="A2444" s="52">
        <v>2439</v>
      </c>
      <c r="B2444" s="52">
        <f>-bthan*500+(38+0.5)*bthan*1000/50</f>
        <v>1485</v>
      </c>
      <c r="C2444" s="52">
        <f t="shared" si="245"/>
        <v>170.00000000000023</v>
      </c>
      <c r="D2444" s="52">
        <f t="shared" si="246"/>
        <v>2200</v>
      </c>
      <c r="E2444" s="52">
        <f t="shared" si="247"/>
        <v>1</v>
      </c>
      <c r="F2444" s="52"/>
      <c r="G2444" s="52"/>
      <c r="H2444" s="52"/>
      <c r="I2444" s="52"/>
      <c r="J2444" s="52"/>
      <c r="K2444" s="52"/>
      <c r="L2444" s="52"/>
      <c r="M2444" s="52"/>
      <c r="N2444" s="52"/>
      <c r="O2444" s="52"/>
      <c r="P2444" s="52"/>
      <c r="Q2444" s="52"/>
      <c r="R2444" s="52"/>
      <c r="S2444" s="52"/>
      <c r="T2444" s="52"/>
      <c r="U2444" s="52"/>
      <c r="V2444" s="52"/>
      <c r="W2444" s="52"/>
      <c r="X2444" s="52"/>
      <c r="Y2444" s="52"/>
      <c r="Z2444" s="52"/>
      <c r="AA2444" s="52"/>
      <c r="AB2444" s="52"/>
      <c r="AC2444" s="52"/>
      <c r="AD2444" s="52"/>
      <c r="AE2444" s="52"/>
      <c r="AF2444" s="52"/>
      <c r="AG2444" s="52"/>
      <c r="AH2444" s="52"/>
      <c r="AI2444" s="52"/>
      <c r="AJ2444" s="52"/>
      <c r="AK2444" s="52"/>
      <c r="AL2444" s="52"/>
      <c r="AM2444" s="52"/>
      <c r="AN2444" s="52"/>
    </row>
    <row r="2445" spans="1:40" x14ac:dyDescent="0.3">
      <c r="A2445" s="52">
        <v>2440</v>
      </c>
      <c r="B2445" s="52">
        <f>-bthan*500+(39+0.5)*bthan*1000/50</f>
        <v>1595</v>
      </c>
      <c r="C2445" s="52">
        <f t="shared" si="245"/>
        <v>170.00000000000023</v>
      </c>
      <c r="D2445" s="52">
        <f t="shared" si="246"/>
        <v>2200</v>
      </c>
      <c r="E2445" s="52">
        <f t="shared" si="247"/>
        <v>1</v>
      </c>
      <c r="F2445" s="52"/>
      <c r="G2445" s="52"/>
      <c r="H2445" s="52"/>
      <c r="I2445" s="52"/>
      <c r="J2445" s="52"/>
      <c r="K2445" s="52"/>
      <c r="L2445" s="52"/>
      <c r="M2445" s="52"/>
      <c r="N2445" s="52"/>
      <c r="O2445" s="52"/>
      <c r="P2445" s="52"/>
      <c r="Q2445" s="52"/>
      <c r="R2445" s="52"/>
      <c r="S2445" s="52"/>
      <c r="T2445" s="52"/>
      <c r="U2445" s="52"/>
      <c r="V2445" s="52"/>
      <c r="W2445" s="52"/>
      <c r="X2445" s="52"/>
      <c r="Y2445" s="52"/>
      <c r="Z2445" s="52"/>
      <c r="AA2445" s="52"/>
      <c r="AB2445" s="52"/>
      <c r="AC2445" s="52"/>
      <c r="AD2445" s="52"/>
      <c r="AE2445" s="52"/>
      <c r="AF2445" s="52"/>
      <c r="AG2445" s="52"/>
      <c r="AH2445" s="52"/>
      <c r="AI2445" s="52"/>
      <c r="AJ2445" s="52"/>
      <c r="AK2445" s="52"/>
      <c r="AL2445" s="52"/>
      <c r="AM2445" s="52"/>
      <c r="AN2445" s="52"/>
    </row>
    <row r="2446" spans="1:40" x14ac:dyDescent="0.3">
      <c r="A2446" s="52">
        <v>2441</v>
      </c>
      <c r="B2446" s="52">
        <f>-bthan*500+(40+0.5)*bthan*1000/50</f>
        <v>1705</v>
      </c>
      <c r="C2446" s="52">
        <f t="shared" si="245"/>
        <v>170.00000000000023</v>
      </c>
      <c r="D2446" s="52">
        <f t="shared" si="246"/>
        <v>2200</v>
      </c>
      <c r="E2446" s="52">
        <f t="shared" si="247"/>
        <v>1</v>
      </c>
      <c r="F2446" s="52"/>
      <c r="G2446" s="52"/>
      <c r="H2446" s="52"/>
      <c r="I2446" s="52"/>
      <c r="J2446" s="52"/>
      <c r="K2446" s="52"/>
      <c r="L2446" s="52"/>
      <c r="M2446" s="52"/>
      <c r="N2446" s="52"/>
      <c r="O2446" s="52"/>
      <c r="P2446" s="52"/>
      <c r="Q2446" s="52"/>
      <c r="R2446" s="52"/>
      <c r="S2446" s="52"/>
      <c r="T2446" s="52"/>
      <c r="U2446" s="52"/>
      <c r="V2446" s="52"/>
      <c r="W2446" s="52"/>
      <c r="X2446" s="52"/>
      <c r="Y2446" s="52"/>
      <c r="Z2446" s="52"/>
      <c r="AA2446" s="52"/>
      <c r="AB2446" s="52"/>
      <c r="AC2446" s="52"/>
      <c r="AD2446" s="52"/>
      <c r="AE2446" s="52"/>
      <c r="AF2446" s="52"/>
      <c r="AG2446" s="52"/>
      <c r="AH2446" s="52"/>
      <c r="AI2446" s="52"/>
      <c r="AJ2446" s="52"/>
      <c r="AK2446" s="52"/>
      <c r="AL2446" s="52"/>
      <c r="AM2446" s="52"/>
      <c r="AN2446" s="52"/>
    </row>
    <row r="2447" spans="1:40" x14ac:dyDescent="0.3">
      <c r="A2447" s="52">
        <v>2442</v>
      </c>
      <c r="B2447" s="52">
        <f>-bthan*500+(41+0.5)*bthan*1000/50</f>
        <v>1815</v>
      </c>
      <c r="C2447" s="52">
        <f t="shared" si="245"/>
        <v>170.00000000000023</v>
      </c>
      <c r="D2447" s="52">
        <f t="shared" si="246"/>
        <v>2200</v>
      </c>
      <c r="E2447" s="52">
        <f t="shared" si="247"/>
        <v>1</v>
      </c>
      <c r="F2447" s="52"/>
      <c r="G2447" s="52"/>
      <c r="H2447" s="52"/>
      <c r="I2447" s="52"/>
      <c r="J2447" s="52"/>
      <c r="K2447" s="52"/>
      <c r="L2447" s="52"/>
      <c r="M2447" s="52"/>
      <c r="N2447" s="52"/>
      <c r="O2447" s="52"/>
      <c r="P2447" s="52"/>
      <c r="Q2447" s="52"/>
      <c r="R2447" s="52"/>
      <c r="S2447" s="52"/>
      <c r="T2447" s="52"/>
      <c r="U2447" s="52"/>
      <c r="V2447" s="52"/>
      <c r="W2447" s="52"/>
      <c r="X2447" s="52"/>
      <c r="Y2447" s="52"/>
      <c r="Z2447" s="52"/>
      <c r="AA2447" s="52"/>
      <c r="AB2447" s="52"/>
      <c r="AC2447" s="52"/>
      <c r="AD2447" s="52"/>
      <c r="AE2447" s="52"/>
      <c r="AF2447" s="52"/>
      <c r="AG2447" s="52"/>
      <c r="AH2447" s="52"/>
      <c r="AI2447" s="52"/>
      <c r="AJ2447" s="52"/>
      <c r="AK2447" s="52"/>
      <c r="AL2447" s="52"/>
      <c r="AM2447" s="52"/>
      <c r="AN2447" s="52"/>
    </row>
    <row r="2448" spans="1:40" x14ac:dyDescent="0.3">
      <c r="A2448" s="52">
        <v>2443</v>
      </c>
      <c r="B2448" s="52">
        <f>-bthan*500+(42+0.5)*bthan*1000/50</f>
        <v>1925</v>
      </c>
      <c r="C2448" s="52">
        <f t="shared" si="245"/>
        <v>170.00000000000023</v>
      </c>
      <c r="D2448" s="52">
        <f t="shared" si="246"/>
        <v>2200</v>
      </c>
      <c r="E2448" s="52">
        <f t="shared" si="247"/>
        <v>1</v>
      </c>
      <c r="F2448" s="52"/>
      <c r="G2448" s="52"/>
      <c r="H2448" s="52"/>
      <c r="I2448" s="52"/>
      <c r="J2448" s="52"/>
      <c r="K2448" s="52"/>
      <c r="L2448" s="52"/>
      <c r="M2448" s="52"/>
      <c r="N2448" s="52"/>
      <c r="O2448" s="52"/>
      <c r="P2448" s="52"/>
      <c r="Q2448" s="52"/>
      <c r="R2448" s="52"/>
      <c r="S2448" s="52"/>
      <c r="T2448" s="52"/>
      <c r="U2448" s="52"/>
      <c r="V2448" s="52"/>
      <c r="W2448" s="52"/>
      <c r="X2448" s="52"/>
      <c r="Y2448" s="52"/>
      <c r="Z2448" s="52"/>
      <c r="AA2448" s="52"/>
      <c r="AB2448" s="52"/>
      <c r="AC2448" s="52"/>
      <c r="AD2448" s="52"/>
      <c r="AE2448" s="52"/>
      <c r="AF2448" s="52"/>
      <c r="AG2448" s="52"/>
      <c r="AH2448" s="52"/>
      <c r="AI2448" s="52"/>
      <c r="AJ2448" s="52"/>
      <c r="AK2448" s="52"/>
      <c r="AL2448" s="52"/>
      <c r="AM2448" s="52"/>
      <c r="AN2448" s="52"/>
    </row>
    <row r="2449" spans="1:40" x14ac:dyDescent="0.3">
      <c r="A2449" s="52">
        <v>2444</v>
      </c>
      <c r="B2449" s="52">
        <f>-bthan*500+(43+0.5)*bthan*1000/50</f>
        <v>2035</v>
      </c>
      <c r="C2449" s="52">
        <f t="shared" si="245"/>
        <v>170.00000000000023</v>
      </c>
      <c r="D2449" s="52">
        <f t="shared" si="246"/>
        <v>2200</v>
      </c>
      <c r="E2449" s="52">
        <f t="shared" si="247"/>
        <v>1</v>
      </c>
      <c r="F2449" s="52"/>
      <c r="G2449" s="52"/>
      <c r="H2449" s="52"/>
      <c r="I2449" s="52"/>
      <c r="J2449" s="52"/>
      <c r="K2449" s="52"/>
      <c r="L2449" s="52"/>
      <c r="M2449" s="52"/>
      <c r="N2449" s="52"/>
      <c r="O2449" s="52"/>
      <c r="P2449" s="52"/>
      <c r="Q2449" s="52"/>
      <c r="R2449" s="52"/>
      <c r="S2449" s="52"/>
      <c r="T2449" s="52"/>
      <c r="U2449" s="52"/>
      <c r="V2449" s="52"/>
      <c r="W2449" s="52"/>
      <c r="X2449" s="52"/>
      <c r="Y2449" s="52"/>
      <c r="Z2449" s="52"/>
      <c r="AA2449" s="52"/>
      <c r="AB2449" s="52"/>
      <c r="AC2449" s="52"/>
      <c r="AD2449" s="52"/>
      <c r="AE2449" s="52"/>
      <c r="AF2449" s="52"/>
      <c r="AG2449" s="52"/>
      <c r="AH2449" s="52"/>
      <c r="AI2449" s="52"/>
      <c r="AJ2449" s="52"/>
      <c r="AK2449" s="52"/>
      <c r="AL2449" s="52"/>
      <c r="AM2449" s="52"/>
      <c r="AN2449" s="52"/>
    </row>
    <row r="2450" spans="1:40" x14ac:dyDescent="0.3">
      <c r="A2450" s="52">
        <v>2445</v>
      </c>
      <c r="B2450" s="52">
        <f>-bthan*500+(44+0.5)*bthan*1000/50</f>
        <v>2145</v>
      </c>
      <c r="C2450" s="52">
        <f t="shared" si="245"/>
        <v>170.00000000000023</v>
      </c>
      <c r="D2450" s="52">
        <f t="shared" si="246"/>
        <v>2200</v>
      </c>
      <c r="E2450" s="52">
        <f t="shared" si="247"/>
        <v>1</v>
      </c>
      <c r="F2450" s="52"/>
      <c r="G2450" s="52"/>
      <c r="H2450" s="52"/>
      <c r="I2450" s="52"/>
      <c r="J2450" s="52"/>
      <c r="K2450" s="52"/>
      <c r="L2450" s="52"/>
      <c r="M2450" s="52"/>
      <c r="N2450" s="52"/>
      <c r="O2450" s="52"/>
      <c r="P2450" s="52"/>
      <c r="Q2450" s="52"/>
      <c r="R2450" s="52"/>
      <c r="S2450" s="52"/>
      <c r="T2450" s="52"/>
      <c r="U2450" s="52"/>
      <c r="V2450" s="52"/>
      <c r="W2450" s="52"/>
      <c r="X2450" s="52"/>
      <c r="Y2450" s="52"/>
      <c r="Z2450" s="52"/>
      <c r="AA2450" s="52"/>
      <c r="AB2450" s="52"/>
      <c r="AC2450" s="52"/>
      <c r="AD2450" s="52"/>
      <c r="AE2450" s="52"/>
      <c r="AF2450" s="52"/>
      <c r="AG2450" s="52"/>
      <c r="AH2450" s="52"/>
      <c r="AI2450" s="52"/>
      <c r="AJ2450" s="52"/>
      <c r="AK2450" s="52"/>
      <c r="AL2450" s="52"/>
      <c r="AM2450" s="52"/>
      <c r="AN2450" s="52"/>
    </row>
    <row r="2451" spans="1:40" x14ac:dyDescent="0.3">
      <c r="A2451" s="52">
        <v>2446</v>
      </c>
      <c r="B2451" s="52">
        <f>-bthan*500+(45+0.5)*bthan*1000/50</f>
        <v>2255</v>
      </c>
      <c r="C2451" s="52">
        <f t="shared" si="245"/>
        <v>170.00000000000023</v>
      </c>
      <c r="D2451" s="52">
        <f t="shared" si="246"/>
        <v>2200</v>
      </c>
      <c r="E2451" s="52">
        <f t="shared" si="247"/>
        <v>1</v>
      </c>
      <c r="F2451" s="52"/>
      <c r="G2451" s="52"/>
      <c r="H2451" s="52"/>
      <c r="I2451" s="52"/>
      <c r="J2451" s="52"/>
      <c r="K2451" s="52"/>
      <c r="L2451" s="52"/>
      <c r="M2451" s="52"/>
      <c r="N2451" s="52"/>
      <c r="O2451" s="52"/>
      <c r="P2451" s="52"/>
      <c r="Q2451" s="52"/>
      <c r="R2451" s="52"/>
      <c r="S2451" s="52"/>
      <c r="T2451" s="52"/>
      <c r="U2451" s="52"/>
      <c r="V2451" s="52"/>
      <c r="W2451" s="52"/>
      <c r="X2451" s="52"/>
      <c r="Y2451" s="52"/>
      <c r="Z2451" s="52"/>
      <c r="AA2451" s="52"/>
      <c r="AB2451" s="52"/>
      <c r="AC2451" s="52"/>
      <c r="AD2451" s="52"/>
      <c r="AE2451" s="52"/>
      <c r="AF2451" s="52"/>
      <c r="AG2451" s="52"/>
      <c r="AH2451" s="52"/>
      <c r="AI2451" s="52"/>
      <c r="AJ2451" s="52"/>
      <c r="AK2451" s="52"/>
      <c r="AL2451" s="52"/>
      <c r="AM2451" s="52"/>
      <c r="AN2451" s="52"/>
    </row>
    <row r="2452" spans="1:40" x14ac:dyDescent="0.3">
      <c r="A2452" s="52">
        <v>2447</v>
      </c>
      <c r="B2452" s="52">
        <f>-bthan*500+(46+0.5)*bthan*1000/50</f>
        <v>2365</v>
      </c>
      <c r="C2452" s="52">
        <f t="shared" si="245"/>
        <v>170.00000000000023</v>
      </c>
      <c r="D2452" s="52">
        <f t="shared" si="246"/>
        <v>2200</v>
      </c>
      <c r="E2452" s="52">
        <f t="shared" si="247"/>
        <v>1</v>
      </c>
      <c r="F2452" s="52"/>
      <c r="G2452" s="52"/>
      <c r="H2452" s="52"/>
      <c r="I2452" s="52"/>
      <c r="J2452" s="52"/>
      <c r="K2452" s="52"/>
      <c r="L2452" s="52"/>
      <c r="M2452" s="52"/>
      <c r="N2452" s="52"/>
      <c r="O2452" s="52"/>
      <c r="P2452" s="52"/>
      <c r="Q2452" s="52"/>
      <c r="R2452" s="52"/>
      <c r="S2452" s="52"/>
      <c r="T2452" s="52"/>
      <c r="U2452" s="52"/>
      <c r="V2452" s="52"/>
      <c r="W2452" s="52"/>
      <c r="X2452" s="52"/>
      <c r="Y2452" s="52"/>
      <c r="Z2452" s="52"/>
      <c r="AA2452" s="52"/>
      <c r="AB2452" s="52"/>
      <c r="AC2452" s="52"/>
      <c r="AD2452" s="52"/>
      <c r="AE2452" s="52"/>
      <c r="AF2452" s="52"/>
      <c r="AG2452" s="52"/>
      <c r="AH2452" s="52"/>
      <c r="AI2452" s="52"/>
      <c r="AJ2452" s="52"/>
      <c r="AK2452" s="52"/>
      <c r="AL2452" s="52"/>
      <c r="AM2452" s="52"/>
      <c r="AN2452" s="52"/>
    </row>
    <row r="2453" spans="1:40" x14ac:dyDescent="0.3">
      <c r="A2453" s="52">
        <v>2448</v>
      </c>
      <c r="B2453" s="52">
        <f>-bthan*500+(47+0.5)*bthan*1000/50</f>
        <v>2475</v>
      </c>
      <c r="C2453" s="52">
        <f t="shared" si="245"/>
        <v>170.00000000000023</v>
      </c>
      <c r="D2453" s="52">
        <f t="shared" si="246"/>
        <v>2200</v>
      </c>
      <c r="E2453" s="52">
        <f t="shared" si="247"/>
        <v>1</v>
      </c>
      <c r="F2453" s="52"/>
      <c r="G2453" s="52"/>
      <c r="H2453" s="52"/>
      <c r="I2453" s="52"/>
      <c r="J2453" s="52"/>
      <c r="K2453" s="52"/>
      <c r="L2453" s="52"/>
      <c r="M2453" s="52"/>
      <c r="N2453" s="52"/>
      <c r="O2453" s="52"/>
      <c r="P2453" s="52"/>
      <c r="Q2453" s="52"/>
      <c r="R2453" s="52"/>
      <c r="S2453" s="52"/>
      <c r="T2453" s="52"/>
      <c r="U2453" s="52"/>
      <c r="V2453" s="52"/>
      <c r="W2453" s="52"/>
      <c r="X2453" s="52"/>
      <c r="Y2453" s="52"/>
      <c r="Z2453" s="52"/>
      <c r="AA2453" s="52"/>
      <c r="AB2453" s="52"/>
      <c r="AC2453" s="52"/>
      <c r="AD2453" s="52"/>
      <c r="AE2453" s="52"/>
      <c r="AF2453" s="52"/>
      <c r="AG2453" s="52"/>
      <c r="AH2453" s="52"/>
      <c r="AI2453" s="52"/>
      <c r="AJ2453" s="52"/>
      <c r="AK2453" s="52"/>
      <c r="AL2453" s="52"/>
      <c r="AM2453" s="52"/>
      <c r="AN2453" s="52"/>
    </row>
    <row r="2454" spans="1:40" x14ac:dyDescent="0.3">
      <c r="A2454" s="52">
        <v>2449</v>
      </c>
      <c r="B2454" s="52">
        <f>-bthan*500+(48+0.5)*bthan*1000/50</f>
        <v>2585</v>
      </c>
      <c r="C2454" s="52">
        <f t="shared" si="245"/>
        <v>170.00000000000023</v>
      </c>
      <c r="D2454" s="52">
        <f t="shared" si="246"/>
        <v>2200</v>
      </c>
      <c r="E2454" s="52">
        <f t="shared" si="247"/>
        <v>1</v>
      </c>
      <c r="F2454" s="52"/>
      <c r="G2454" s="52"/>
      <c r="H2454" s="52"/>
      <c r="I2454" s="52"/>
      <c r="J2454" s="52"/>
      <c r="K2454" s="52"/>
      <c r="L2454" s="52"/>
      <c r="M2454" s="52"/>
      <c r="N2454" s="52"/>
      <c r="O2454" s="52"/>
      <c r="P2454" s="52"/>
      <c r="Q2454" s="52"/>
      <c r="R2454" s="52"/>
      <c r="S2454" s="52"/>
      <c r="T2454" s="52"/>
      <c r="U2454" s="52"/>
      <c r="V2454" s="52"/>
      <c r="W2454" s="52"/>
      <c r="X2454" s="52"/>
      <c r="Y2454" s="52"/>
      <c r="Z2454" s="52"/>
      <c r="AA2454" s="52"/>
      <c r="AB2454" s="52"/>
      <c r="AC2454" s="52"/>
      <c r="AD2454" s="52"/>
      <c r="AE2454" s="52"/>
      <c r="AF2454" s="52"/>
      <c r="AG2454" s="52"/>
      <c r="AH2454" s="52"/>
      <c r="AI2454" s="52"/>
      <c r="AJ2454" s="52"/>
      <c r="AK2454" s="52"/>
      <c r="AL2454" s="52"/>
      <c r="AM2454" s="52"/>
      <c r="AN2454" s="52"/>
    </row>
    <row r="2455" spans="1:40" x14ac:dyDescent="0.3">
      <c r="A2455" s="52">
        <v>2450</v>
      </c>
      <c r="B2455" s="52">
        <f>-bthan*500+(49+0.5)*bthan*1000/50</f>
        <v>2695</v>
      </c>
      <c r="C2455" s="52">
        <f t="shared" si="245"/>
        <v>170.00000000000023</v>
      </c>
      <c r="D2455" s="52">
        <f t="shared" si="246"/>
        <v>2200</v>
      </c>
      <c r="E2455" s="52">
        <f t="shared" si="247"/>
        <v>1</v>
      </c>
      <c r="F2455" s="52"/>
      <c r="G2455" s="52"/>
      <c r="H2455" s="52"/>
      <c r="I2455" s="52"/>
      <c r="J2455" s="52"/>
      <c r="K2455" s="52"/>
      <c r="L2455" s="52"/>
      <c r="M2455" s="52"/>
      <c r="N2455" s="52"/>
      <c r="O2455" s="52"/>
      <c r="P2455" s="52"/>
      <c r="Q2455" s="52"/>
      <c r="R2455" s="52"/>
      <c r="S2455" s="52"/>
      <c r="T2455" s="52"/>
      <c r="U2455" s="52"/>
      <c r="V2455" s="52"/>
      <c r="W2455" s="52"/>
      <c r="X2455" s="52"/>
      <c r="Y2455" s="52"/>
      <c r="Z2455" s="52"/>
      <c r="AA2455" s="52"/>
      <c r="AB2455" s="52"/>
      <c r="AC2455" s="52"/>
      <c r="AD2455" s="52"/>
      <c r="AE2455" s="52"/>
      <c r="AF2455" s="52"/>
      <c r="AG2455" s="52"/>
      <c r="AH2455" s="52"/>
      <c r="AI2455" s="52"/>
      <c r="AJ2455" s="52"/>
      <c r="AK2455" s="52"/>
      <c r="AL2455" s="52"/>
      <c r="AM2455" s="52"/>
      <c r="AN2455" s="52"/>
    </row>
    <row r="2456" spans="1:40" x14ac:dyDescent="0.3">
      <c r="A2456" s="52">
        <v>2451</v>
      </c>
      <c r="B2456" s="52">
        <f>-bthan*500+(0+0.5)*bthan*1000/50</f>
        <v>-2695</v>
      </c>
      <c r="C2456" s="52">
        <f t="shared" ref="C2456:C2487" si="248">-hthan*500+(49+0.5)*hthan*1000/80</f>
        <v>190</v>
      </c>
      <c r="D2456" s="52">
        <f t="shared" si="246"/>
        <v>2200</v>
      </c>
      <c r="E2456" s="52">
        <f t="shared" si="247"/>
        <v>1</v>
      </c>
      <c r="F2456" s="52"/>
      <c r="G2456" s="52"/>
      <c r="H2456" s="52"/>
      <c r="I2456" s="52"/>
      <c r="J2456" s="52"/>
      <c r="K2456" s="52"/>
      <c r="L2456" s="52"/>
      <c r="M2456" s="52"/>
      <c r="N2456" s="52"/>
      <c r="O2456" s="52"/>
      <c r="P2456" s="52"/>
      <c r="Q2456" s="52"/>
      <c r="R2456" s="52"/>
      <c r="S2456" s="52"/>
      <c r="T2456" s="52"/>
      <c r="U2456" s="52"/>
      <c r="V2456" s="52"/>
      <c r="W2456" s="52"/>
      <c r="X2456" s="52"/>
      <c r="Y2456" s="52"/>
      <c r="Z2456" s="52"/>
      <c r="AA2456" s="52"/>
      <c r="AB2456" s="52"/>
      <c r="AC2456" s="52"/>
      <c r="AD2456" s="52"/>
      <c r="AE2456" s="52"/>
      <c r="AF2456" s="52"/>
      <c r="AG2456" s="52"/>
      <c r="AH2456" s="52"/>
      <c r="AI2456" s="52"/>
      <c r="AJ2456" s="52"/>
      <c r="AK2456" s="52"/>
      <c r="AL2456" s="52"/>
      <c r="AM2456" s="52"/>
      <c r="AN2456" s="52"/>
    </row>
    <row r="2457" spans="1:40" x14ac:dyDescent="0.3">
      <c r="A2457" s="52">
        <v>2452</v>
      </c>
      <c r="B2457" s="52">
        <f>-bthan*500+(1+0.5)*bthan*1000/50</f>
        <v>-2585</v>
      </c>
      <c r="C2457" s="52">
        <f t="shared" si="248"/>
        <v>190</v>
      </c>
      <c r="D2457" s="52">
        <f t="shared" si="246"/>
        <v>2200</v>
      </c>
      <c r="E2457" s="52">
        <f t="shared" si="247"/>
        <v>1</v>
      </c>
      <c r="F2457" s="52"/>
      <c r="G2457" s="52"/>
      <c r="H2457" s="52"/>
      <c r="I2457" s="52"/>
      <c r="J2457" s="52"/>
      <c r="K2457" s="52"/>
      <c r="L2457" s="52"/>
      <c r="M2457" s="52"/>
      <c r="N2457" s="52"/>
      <c r="O2457" s="52"/>
      <c r="P2457" s="52"/>
      <c r="Q2457" s="52"/>
      <c r="R2457" s="52"/>
      <c r="S2457" s="52"/>
      <c r="T2457" s="52"/>
      <c r="U2457" s="52"/>
      <c r="V2457" s="52"/>
      <c r="W2457" s="52"/>
      <c r="X2457" s="52"/>
      <c r="Y2457" s="52"/>
      <c r="Z2457" s="52"/>
      <c r="AA2457" s="52"/>
      <c r="AB2457" s="52"/>
      <c r="AC2457" s="52"/>
      <c r="AD2457" s="52"/>
      <c r="AE2457" s="52"/>
      <c r="AF2457" s="52"/>
      <c r="AG2457" s="52"/>
      <c r="AH2457" s="52"/>
      <c r="AI2457" s="52"/>
      <c r="AJ2457" s="52"/>
      <c r="AK2457" s="52"/>
      <c r="AL2457" s="52"/>
      <c r="AM2457" s="52"/>
      <c r="AN2457" s="52"/>
    </row>
    <row r="2458" spans="1:40" x14ac:dyDescent="0.3">
      <c r="A2458" s="52">
        <v>2453</v>
      </c>
      <c r="B2458" s="52">
        <f>-bthan*500+(2+0.5)*bthan*1000/50</f>
        <v>-2475</v>
      </c>
      <c r="C2458" s="52">
        <f t="shared" si="248"/>
        <v>190</v>
      </c>
      <c r="D2458" s="52">
        <f t="shared" si="246"/>
        <v>2200</v>
      </c>
      <c r="E2458" s="52">
        <f t="shared" si="247"/>
        <v>1</v>
      </c>
      <c r="F2458" s="52"/>
      <c r="G2458" s="52"/>
      <c r="H2458" s="52"/>
      <c r="I2458" s="52"/>
      <c r="J2458" s="52"/>
      <c r="K2458" s="52"/>
      <c r="L2458" s="52"/>
      <c r="M2458" s="52"/>
      <c r="N2458" s="52"/>
      <c r="O2458" s="52"/>
      <c r="P2458" s="52"/>
      <c r="Q2458" s="52"/>
      <c r="R2458" s="52"/>
      <c r="S2458" s="52"/>
      <c r="T2458" s="52"/>
      <c r="U2458" s="52"/>
      <c r="V2458" s="52"/>
      <c r="W2458" s="52"/>
      <c r="X2458" s="52"/>
      <c r="Y2458" s="52"/>
      <c r="Z2458" s="52"/>
      <c r="AA2458" s="52"/>
      <c r="AB2458" s="52"/>
      <c r="AC2458" s="52"/>
      <c r="AD2458" s="52"/>
      <c r="AE2458" s="52"/>
      <c r="AF2458" s="52"/>
      <c r="AG2458" s="52"/>
      <c r="AH2458" s="52"/>
      <c r="AI2458" s="52"/>
      <c r="AJ2458" s="52"/>
      <c r="AK2458" s="52"/>
      <c r="AL2458" s="52"/>
      <c r="AM2458" s="52"/>
      <c r="AN2458" s="52"/>
    </row>
    <row r="2459" spans="1:40" x14ac:dyDescent="0.3">
      <c r="A2459" s="52">
        <v>2454</v>
      </c>
      <c r="B2459" s="52">
        <f>-bthan*500+(3+0.5)*bthan*1000/50</f>
        <v>-2365</v>
      </c>
      <c r="C2459" s="52">
        <f t="shared" si="248"/>
        <v>190</v>
      </c>
      <c r="D2459" s="52">
        <f t="shared" si="246"/>
        <v>2200</v>
      </c>
      <c r="E2459" s="52">
        <f t="shared" si="247"/>
        <v>1</v>
      </c>
      <c r="F2459" s="52"/>
      <c r="G2459" s="52"/>
      <c r="H2459" s="52"/>
      <c r="I2459" s="52"/>
      <c r="J2459" s="52"/>
      <c r="K2459" s="52"/>
      <c r="L2459" s="52"/>
      <c r="M2459" s="52"/>
      <c r="N2459" s="52"/>
      <c r="O2459" s="52"/>
      <c r="P2459" s="52"/>
      <c r="Q2459" s="52"/>
      <c r="R2459" s="52"/>
      <c r="S2459" s="52"/>
      <c r="T2459" s="52"/>
      <c r="U2459" s="52"/>
      <c r="V2459" s="52"/>
      <c r="W2459" s="52"/>
      <c r="X2459" s="52"/>
      <c r="Y2459" s="52"/>
      <c r="Z2459" s="52"/>
      <c r="AA2459" s="52"/>
      <c r="AB2459" s="52"/>
      <c r="AC2459" s="52"/>
      <c r="AD2459" s="52"/>
      <c r="AE2459" s="52"/>
      <c r="AF2459" s="52"/>
      <c r="AG2459" s="52"/>
      <c r="AH2459" s="52"/>
      <c r="AI2459" s="52"/>
      <c r="AJ2459" s="52"/>
      <c r="AK2459" s="52"/>
      <c r="AL2459" s="52"/>
      <c r="AM2459" s="52"/>
      <c r="AN2459" s="52"/>
    </row>
    <row r="2460" spans="1:40" x14ac:dyDescent="0.3">
      <c r="A2460" s="52">
        <v>2455</v>
      </c>
      <c r="B2460" s="52">
        <f>-bthan*500+(4+0.5)*bthan*1000/50</f>
        <v>-2255</v>
      </c>
      <c r="C2460" s="52">
        <f t="shared" si="248"/>
        <v>190</v>
      </c>
      <c r="D2460" s="52">
        <f t="shared" si="246"/>
        <v>2200</v>
      </c>
      <c r="E2460" s="52">
        <f t="shared" si="247"/>
        <v>1</v>
      </c>
      <c r="F2460" s="52"/>
      <c r="G2460" s="52"/>
      <c r="H2460" s="52"/>
      <c r="I2460" s="52"/>
      <c r="J2460" s="52"/>
      <c r="K2460" s="52"/>
      <c r="L2460" s="52"/>
      <c r="M2460" s="52"/>
      <c r="N2460" s="52"/>
      <c r="O2460" s="52"/>
      <c r="P2460" s="52"/>
      <c r="Q2460" s="52"/>
      <c r="R2460" s="52"/>
      <c r="S2460" s="52"/>
      <c r="T2460" s="52"/>
      <c r="U2460" s="52"/>
      <c r="V2460" s="52"/>
      <c r="W2460" s="52"/>
      <c r="X2460" s="52"/>
      <c r="Y2460" s="52"/>
      <c r="Z2460" s="52"/>
      <c r="AA2460" s="52"/>
      <c r="AB2460" s="52"/>
      <c r="AC2460" s="52"/>
      <c r="AD2460" s="52"/>
      <c r="AE2460" s="52"/>
      <c r="AF2460" s="52"/>
      <c r="AG2460" s="52"/>
      <c r="AH2460" s="52"/>
      <c r="AI2460" s="52"/>
      <c r="AJ2460" s="52"/>
      <c r="AK2460" s="52"/>
      <c r="AL2460" s="52"/>
      <c r="AM2460" s="52"/>
      <c r="AN2460" s="52"/>
    </row>
    <row r="2461" spans="1:40" x14ac:dyDescent="0.3">
      <c r="A2461" s="52">
        <v>2456</v>
      </c>
      <c r="B2461" s="52">
        <f>-bthan*500+(5+0.5)*bthan*1000/50</f>
        <v>-2145</v>
      </c>
      <c r="C2461" s="52">
        <f t="shared" si="248"/>
        <v>190</v>
      </c>
      <c r="D2461" s="52">
        <f t="shared" si="246"/>
        <v>2200</v>
      </c>
      <c r="E2461" s="52">
        <f t="shared" si="247"/>
        <v>1</v>
      </c>
      <c r="F2461" s="52"/>
      <c r="G2461" s="52"/>
      <c r="H2461" s="52"/>
      <c r="I2461" s="52"/>
      <c r="J2461" s="52"/>
      <c r="K2461" s="52"/>
      <c r="L2461" s="52"/>
      <c r="M2461" s="52"/>
      <c r="N2461" s="52"/>
      <c r="O2461" s="52"/>
      <c r="P2461" s="52"/>
      <c r="Q2461" s="52"/>
      <c r="R2461" s="52"/>
      <c r="S2461" s="52"/>
      <c r="T2461" s="52"/>
      <c r="U2461" s="52"/>
      <c r="V2461" s="52"/>
      <c r="W2461" s="52"/>
      <c r="X2461" s="52"/>
      <c r="Y2461" s="52"/>
      <c r="Z2461" s="52"/>
      <c r="AA2461" s="52"/>
      <c r="AB2461" s="52"/>
      <c r="AC2461" s="52"/>
      <c r="AD2461" s="52"/>
      <c r="AE2461" s="52"/>
      <c r="AF2461" s="52"/>
      <c r="AG2461" s="52"/>
      <c r="AH2461" s="52"/>
      <c r="AI2461" s="52"/>
      <c r="AJ2461" s="52"/>
      <c r="AK2461" s="52"/>
      <c r="AL2461" s="52"/>
      <c r="AM2461" s="52"/>
      <c r="AN2461" s="52"/>
    </row>
    <row r="2462" spans="1:40" x14ac:dyDescent="0.3">
      <c r="A2462" s="52">
        <v>2457</v>
      </c>
      <c r="B2462" s="52">
        <f>-bthan*500+(6+0.5)*bthan*1000/50</f>
        <v>-2035</v>
      </c>
      <c r="C2462" s="52">
        <f t="shared" si="248"/>
        <v>190</v>
      </c>
      <c r="D2462" s="52">
        <f t="shared" si="246"/>
        <v>2200</v>
      </c>
      <c r="E2462" s="52">
        <f t="shared" si="247"/>
        <v>1</v>
      </c>
      <c r="F2462" s="52"/>
      <c r="G2462" s="52"/>
      <c r="H2462" s="52"/>
      <c r="I2462" s="52"/>
      <c r="J2462" s="52"/>
      <c r="K2462" s="52"/>
      <c r="L2462" s="52"/>
      <c r="M2462" s="52"/>
      <c r="N2462" s="52"/>
      <c r="O2462" s="52"/>
      <c r="P2462" s="52"/>
      <c r="Q2462" s="52"/>
      <c r="R2462" s="52"/>
      <c r="S2462" s="52"/>
      <c r="T2462" s="52"/>
      <c r="U2462" s="52"/>
      <c r="V2462" s="52"/>
      <c r="W2462" s="52"/>
      <c r="X2462" s="52"/>
      <c r="Y2462" s="52"/>
      <c r="Z2462" s="52"/>
      <c r="AA2462" s="52"/>
      <c r="AB2462" s="52"/>
      <c r="AC2462" s="52"/>
      <c r="AD2462" s="52"/>
      <c r="AE2462" s="52"/>
      <c r="AF2462" s="52"/>
      <c r="AG2462" s="52"/>
      <c r="AH2462" s="52"/>
      <c r="AI2462" s="52"/>
      <c r="AJ2462" s="52"/>
      <c r="AK2462" s="52"/>
      <c r="AL2462" s="52"/>
      <c r="AM2462" s="52"/>
      <c r="AN2462" s="52"/>
    </row>
    <row r="2463" spans="1:40" x14ac:dyDescent="0.3">
      <c r="A2463" s="52">
        <v>2458</v>
      </c>
      <c r="B2463" s="52">
        <f>-bthan*500+(7+0.5)*bthan*1000/50</f>
        <v>-1925</v>
      </c>
      <c r="C2463" s="52">
        <f t="shared" si="248"/>
        <v>190</v>
      </c>
      <c r="D2463" s="52">
        <f t="shared" si="246"/>
        <v>2200</v>
      </c>
      <c r="E2463" s="52">
        <f t="shared" si="247"/>
        <v>1</v>
      </c>
      <c r="F2463" s="52"/>
      <c r="G2463" s="52"/>
      <c r="H2463" s="52"/>
      <c r="I2463" s="52"/>
      <c r="J2463" s="52"/>
      <c r="K2463" s="52"/>
      <c r="L2463" s="52"/>
      <c r="M2463" s="52"/>
      <c r="N2463" s="52"/>
      <c r="O2463" s="52"/>
      <c r="P2463" s="52"/>
      <c r="Q2463" s="52"/>
      <c r="R2463" s="52"/>
      <c r="S2463" s="52"/>
      <c r="T2463" s="52"/>
      <c r="U2463" s="52"/>
      <c r="V2463" s="52"/>
      <c r="W2463" s="52"/>
      <c r="X2463" s="52"/>
      <c r="Y2463" s="52"/>
      <c r="Z2463" s="52"/>
      <c r="AA2463" s="52"/>
      <c r="AB2463" s="52"/>
      <c r="AC2463" s="52"/>
      <c r="AD2463" s="52"/>
      <c r="AE2463" s="52"/>
      <c r="AF2463" s="52"/>
      <c r="AG2463" s="52"/>
      <c r="AH2463" s="52"/>
      <c r="AI2463" s="52"/>
      <c r="AJ2463" s="52"/>
      <c r="AK2463" s="52"/>
      <c r="AL2463" s="52"/>
      <c r="AM2463" s="52"/>
      <c r="AN2463" s="52"/>
    </row>
    <row r="2464" spans="1:40" x14ac:dyDescent="0.3">
      <c r="A2464" s="52">
        <v>2459</v>
      </c>
      <c r="B2464" s="52">
        <f>-bthan*500+(8+0.5)*bthan*1000/50</f>
        <v>-1815</v>
      </c>
      <c r="C2464" s="52">
        <f t="shared" si="248"/>
        <v>190</v>
      </c>
      <c r="D2464" s="52">
        <f t="shared" si="246"/>
        <v>2200</v>
      </c>
      <c r="E2464" s="52">
        <f t="shared" si="247"/>
        <v>1</v>
      </c>
      <c r="F2464" s="52"/>
      <c r="G2464" s="52"/>
      <c r="H2464" s="52"/>
      <c r="I2464" s="52"/>
      <c r="J2464" s="52"/>
      <c r="K2464" s="52"/>
      <c r="L2464" s="52"/>
      <c r="M2464" s="52"/>
      <c r="N2464" s="52"/>
      <c r="O2464" s="52"/>
      <c r="P2464" s="52"/>
      <c r="Q2464" s="52"/>
      <c r="R2464" s="52"/>
      <c r="S2464" s="52"/>
      <c r="T2464" s="52"/>
      <c r="U2464" s="52"/>
      <c r="V2464" s="52"/>
      <c r="W2464" s="52"/>
      <c r="X2464" s="52"/>
      <c r="Y2464" s="52"/>
      <c r="Z2464" s="52"/>
      <c r="AA2464" s="52"/>
      <c r="AB2464" s="52"/>
      <c r="AC2464" s="52"/>
      <c r="AD2464" s="52"/>
      <c r="AE2464" s="52"/>
      <c r="AF2464" s="52"/>
      <c r="AG2464" s="52"/>
      <c r="AH2464" s="52"/>
      <c r="AI2464" s="52"/>
      <c r="AJ2464" s="52"/>
      <c r="AK2464" s="52"/>
      <c r="AL2464" s="52"/>
      <c r="AM2464" s="52"/>
      <c r="AN2464" s="52"/>
    </row>
    <row r="2465" spans="1:40" x14ac:dyDescent="0.3">
      <c r="A2465" s="52">
        <v>2460</v>
      </c>
      <c r="B2465" s="52">
        <f>-bthan*500+(9+0.5)*bthan*1000/50</f>
        <v>-1705</v>
      </c>
      <c r="C2465" s="52">
        <f t="shared" si="248"/>
        <v>190</v>
      </c>
      <c r="D2465" s="52">
        <f t="shared" si="246"/>
        <v>2200</v>
      </c>
      <c r="E2465" s="52">
        <f t="shared" si="247"/>
        <v>1</v>
      </c>
      <c r="F2465" s="52"/>
      <c r="G2465" s="52"/>
      <c r="H2465" s="52"/>
      <c r="I2465" s="52"/>
      <c r="J2465" s="52"/>
      <c r="K2465" s="52"/>
      <c r="L2465" s="52"/>
      <c r="M2465" s="52"/>
      <c r="N2465" s="52"/>
      <c r="O2465" s="52"/>
      <c r="P2465" s="52"/>
      <c r="Q2465" s="52"/>
      <c r="R2465" s="52"/>
      <c r="S2465" s="52"/>
      <c r="T2465" s="52"/>
      <c r="U2465" s="52"/>
      <c r="V2465" s="52"/>
      <c r="W2465" s="52"/>
      <c r="X2465" s="52"/>
      <c r="Y2465" s="52"/>
      <c r="Z2465" s="52"/>
      <c r="AA2465" s="52"/>
      <c r="AB2465" s="52"/>
      <c r="AC2465" s="52"/>
      <c r="AD2465" s="52"/>
      <c r="AE2465" s="52"/>
      <c r="AF2465" s="52"/>
      <c r="AG2465" s="52"/>
      <c r="AH2465" s="52"/>
      <c r="AI2465" s="52"/>
      <c r="AJ2465" s="52"/>
      <c r="AK2465" s="52"/>
      <c r="AL2465" s="52"/>
      <c r="AM2465" s="52"/>
      <c r="AN2465" s="52"/>
    </row>
    <row r="2466" spans="1:40" x14ac:dyDescent="0.3">
      <c r="A2466" s="52">
        <v>2461</v>
      </c>
      <c r="B2466" s="52">
        <f>-bthan*500+(10+0.5)*bthan*1000/50</f>
        <v>-1595</v>
      </c>
      <c r="C2466" s="52">
        <f t="shared" si="248"/>
        <v>190</v>
      </c>
      <c r="D2466" s="52">
        <f t="shared" si="246"/>
        <v>2200</v>
      </c>
      <c r="E2466" s="52">
        <f t="shared" si="247"/>
        <v>1</v>
      </c>
      <c r="F2466" s="52"/>
      <c r="G2466" s="52"/>
      <c r="H2466" s="52"/>
      <c r="I2466" s="52"/>
      <c r="J2466" s="52"/>
      <c r="K2466" s="52"/>
      <c r="L2466" s="52"/>
      <c r="M2466" s="52"/>
      <c r="N2466" s="52"/>
      <c r="O2466" s="52"/>
      <c r="P2466" s="52"/>
      <c r="Q2466" s="52"/>
      <c r="R2466" s="52"/>
      <c r="S2466" s="52"/>
      <c r="T2466" s="52"/>
      <c r="U2466" s="52"/>
      <c r="V2466" s="52"/>
      <c r="W2466" s="52"/>
      <c r="X2466" s="52"/>
      <c r="Y2466" s="52"/>
      <c r="Z2466" s="52"/>
      <c r="AA2466" s="52"/>
      <c r="AB2466" s="52"/>
      <c r="AC2466" s="52"/>
      <c r="AD2466" s="52"/>
      <c r="AE2466" s="52"/>
      <c r="AF2466" s="52"/>
      <c r="AG2466" s="52"/>
      <c r="AH2466" s="52"/>
      <c r="AI2466" s="52"/>
      <c r="AJ2466" s="52"/>
      <c r="AK2466" s="52"/>
      <c r="AL2466" s="52"/>
      <c r="AM2466" s="52"/>
      <c r="AN2466" s="52"/>
    </row>
    <row r="2467" spans="1:40" x14ac:dyDescent="0.3">
      <c r="A2467" s="52">
        <v>2462</v>
      </c>
      <c r="B2467" s="52">
        <f>-bthan*500+(11+0.5)*bthan*1000/50</f>
        <v>-1485</v>
      </c>
      <c r="C2467" s="52">
        <f t="shared" si="248"/>
        <v>190</v>
      </c>
      <c r="D2467" s="52">
        <f t="shared" si="246"/>
        <v>2200</v>
      </c>
      <c r="E2467" s="52">
        <f t="shared" si="247"/>
        <v>1</v>
      </c>
      <c r="F2467" s="52"/>
      <c r="G2467" s="52"/>
      <c r="H2467" s="52"/>
      <c r="I2467" s="52"/>
      <c r="J2467" s="52"/>
      <c r="K2467" s="52"/>
      <c r="L2467" s="52"/>
      <c r="M2467" s="52"/>
      <c r="N2467" s="52"/>
      <c r="O2467" s="52"/>
      <c r="P2467" s="52"/>
      <c r="Q2467" s="52"/>
      <c r="R2467" s="52"/>
      <c r="S2467" s="52"/>
      <c r="T2467" s="52"/>
      <c r="U2467" s="52"/>
      <c r="V2467" s="52"/>
      <c r="W2467" s="52"/>
      <c r="X2467" s="52"/>
      <c r="Y2467" s="52"/>
      <c r="Z2467" s="52"/>
      <c r="AA2467" s="52"/>
      <c r="AB2467" s="52"/>
      <c r="AC2467" s="52"/>
      <c r="AD2467" s="52"/>
      <c r="AE2467" s="52"/>
      <c r="AF2467" s="52"/>
      <c r="AG2467" s="52"/>
      <c r="AH2467" s="52"/>
      <c r="AI2467" s="52"/>
      <c r="AJ2467" s="52"/>
      <c r="AK2467" s="52"/>
      <c r="AL2467" s="52"/>
      <c r="AM2467" s="52"/>
      <c r="AN2467" s="52"/>
    </row>
    <row r="2468" spans="1:40" x14ac:dyDescent="0.3">
      <c r="A2468" s="52">
        <v>2463</v>
      </c>
      <c r="B2468" s="52">
        <f>-bthan*500+(12+0.5)*bthan*1000/50</f>
        <v>-1375</v>
      </c>
      <c r="C2468" s="52">
        <f t="shared" si="248"/>
        <v>190</v>
      </c>
      <c r="D2468" s="52">
        <f t="shared" si="246"/>
        <v>2200</v>
      </c>
      <c r="E2468" s="52">
        <f t="shared" si="247"/>
        <v>1</v>
      </c>
      <c r="F2468" s="52"/>
      <c r="G2468" s="52"/>
      <c r="H2468" s="52"/>
      <c r="I2468" s="52"/>
      <c r="J2468" s="52"/>
      <c r="K2468" s="52"/>
      <c r="L2468" s="52"/>
      <c r="M2468" s="52"/>
      <c r="N2468" s="52"/>
      <c r="O2468" s="52"/>
      <c r="P2468" s="52"/>
      <c r="Q2468" s="52"/>
      <c r="R2468" s="52"/>
      <c r="S2468" s="52"/>
      <c r="T2468" s="52"/>
      <c r="U2468" s="52"/>
      <c r="V2468" s="52"/>
      <c r="W2468" s="52"/>
      <c r="X2468" s="52"/>
      <c r="Y2468" s="52"/>
      <c r="Z2468" s="52"/>
      <c r="AA2468" s="52"/>
      <c r="AB2468" s="52"/>
      <c r="AC2468" s="52"/>
      <c r="AD2468" s="52"/>
      <c r="AE2468" s="52"/>
      <c r="AF2468" s="52"/>
      <c r="AG2468" s="52"/>
      <c r="AH2468" s="52"/>
      <c r="AI2468" s="52"/>
      <c r="AJ2468" s="52"/>
      <c r="AK2468" s="52"/>
      <c r="AL2468" s="52"/>
      <c r="AM2468" s="52"/>
      <c r="AN2468" s="52"/>
    </row>
    <row r="2469" spans="1:40" x14ac:dyDescent="0.3">
      <c r="A2469" s="52">
        <v>2464</v>
      </c>
      <c r="B2469" s="52">
        <f>-bthan*500+(13+0.5)*bthan*1000/50</f>
        <v>-1265</v>
      </c>
      <c r="C2469" s="52">
        <f t="shared" si="248"/>
        <v>190</v>
      </c>
      <c r="D2469" s="52">
        <f t="shared" si="246"/>
        <v>2200</v>
      </c>
      <c r="E2469" s="52">
        <f t="shared" si="247"/>
        <v>1</v>
      </c>
      <c r="F2469" s="52"/>
      <c r="G2469" s="52"/>
      <c r="H2469" s="52"/>
      <c r="I2469" s="52"/>
      <c r="J2469" s="52"/>
      <c r="K2469" s="52"/>
      <c r="L2469" s="52"/>
      <c r="M2469" s="52"/>
      <c r="N2469" s="52"/>
      <c r="O2469" s="52"/>
      <c r="P2469" s="52"/>
      <c r="Q2469" s="52"/>
      <c r="R2469" s="52"/>
      <c r="S2469" s="52"/>
      <c r="T2469" s="52"/>
      <c r="U2469" s="52"/>
      <c r="V2469" s="52"/>
      <c r="W2469" s="52"/>
      <c r="X2469" s="52"/>
      <c r="Y2469" s="52"/>
      <c r="Z2469" s="52"/>
      <c r="AA2469" s="52"/>
      <c r="AB2469" s="52"/>
      <c r="AC2469" s="52"/>
      <c r="AD2469" s="52"/>
      <c r="AE2469" s="52"/>
      <c r="AF2469" s="52"/>
      <c r="AG2469" s="52"/>
      <c r="AH2469" s="52"/>
      <c r="AI2469" s="52"/>
      <c r="AJ2469" s="52"/>
      <c r="AK2469" s="52"/>
      <c r="AL2469" s="52"/>
      <c r="AM2469" s="52"/>
      <c r="AN2469" s="52"/>
    </row>
    <row r="2470" spans="1:40" x14ac:dyDescent="0.3">
      <c r="A2470" s="52">
        <v>2465</v>
      </c>
      <c r="B2470" s="52">
        <f>-bthan*500+(14+0.5)*bthan*1000/50</f>
        <v>-1155</v>
      </c>
      <c r="C2470" s="52">
        <f t="shared" si="248"/>
        <v>190</v>
      </c>
      <c r="D2470" s="52">
        <f t="shared" si="246"/>
        <v>2200</v>
      </c>
      <c r="E2470" s="52">
        <f t="shared" si="247"/>
        <v>1</v>
      </c>
      <c r="F2470" s="52"/>
      <c r="G2470" s="52"/>
      <c r="H2470" s="52"/>
      <c r="I2470" s="52"/>
      <c r="J2470" s="52"/>
      <c r="K2470" s="52"/>
      <c r="L2470" s="52"/>
      <c r="M2470" s="52"/>
      <c r="N2470" s="52"/>
      <c r="O2470" s="52"/>
      <c r="P2470" s="52"/>
      <c r="Q2470" s="52"/>
      <c r="R2470" s="52"/>
      <c r="S2470" s="52"/>
      <c r="T2470" s="52"/>
      <c r="U2470" s="52"/>
      <c r="V2470" s="52"/>
      <c r="W2470" s="52"/>
      <c r="X2470" s="52"/>
      <c r="Y2470" s="52"/>
      <c r="Z2470" s="52"/>
      <c r="AA2470" s="52"/>
      <c r="AB2470" s="52"/>
      <c r="AC2470" s="52"/>
      <c r="AD2470" s="52"/>
      <c r="AE2470" s="52"/>
      <c r="AF2470" s="52"/>
      <c r="AG2470" s="52"/>
      <c r="AH2470" s="52"/>
      <c r="AI2470" s="52"/>
      <c r="AJ2470" s="52"/>
      <c r="AK2470" s="52"/>
      <c r="AL2470" s="52"/>
      <c r="AM2470" s="52"/>
      <c r="AN2470" s="52"/>
    </row>
    <row r="2471" spans="1:40" x14ac:dyDescent="0.3">
      <c r="A2471" s="52">
        <v>2466</v>
      </c>
      <c r="B2471" s="52">
        <f>-bthan*500+(15+0.5)*bthan*1000/50</f>
        <v>-1045</v>
      </c>
      <c r="C2471" s="52">
        <f t="shared" si="248"/>
        <v>190</v>
      </c>
      <c r="D2471" s="52">
        <f t="shared" si="246"/>
        <v>2200</v>
      </c>
      <c r="E2471" s="52">
        <f t="shared" si="247"/>
        <v>1</v>
      </c>
      <c r="F2471" s="52"/>
      <c r="G2471" s="52"/>
      <c r="H2471" s="52"/>
      <c r="I2471" s="52"/>
      <c r="J2471" s="52"/>
      <c r="K2471" s="52"/>
      <c r="L2471" s="52"/>
      <c r="M2471" s="52"/>
      <c r="N2471" s="52"/>
      <c r="O2471" s="52"/>
      <c r="P2471" s="52"/>
      <c r="Q2471" s="52"/>
      <c r="R2471" s="52"/>
      <c r="S2471" s="52"/>
      <c r="T2471" s="52"/>
      <c r="U2471" s="52"/>
      <c r="V2471" s="52"/>
      <c r="W2471" s="52"/>
      <c r="X2471" s="52"/>
      <c r="Y2471" s="52"/>
      <c r="Z2471" s="52"/>
      <c r="AA2471" s="52"/>
      <c r="AB2471" s="52"/>
      <c r="AC2471" s="52"/>
      <c r="AD2471" s="52"/>
      <c r="AE2471" s="52"/>
      <c r="AF2471" s="52"/>
      <c r="AG2471" s="52"/>
      <c r="AH2471" s="52"/>
      <c r="AI2471" s="52"/>
      <c r="AJ2471" s="52"/>
      <c r="AK2471" s="52"/>
      <c r="AL2471" s="52"/>
      <c r="AM2471" s="52"/>
      <c r="AN2471" s="52"/>
    </row>
    <row r="2472" spans="1:40" x14ac:dyDescent="0.3">
      <c r="A2472" s="52">
        <v>2467</v>
      </c>
      <c r="B2472" s="52">
        <f>-bthan*500+(16+0.5)*bthan*1000/50</f>
        <v>-935</v>
      </c>
      <c r="C2472" s="52">
        <f t="shared" si="248"/>
        <v>190</v>
      </c>
      <c r="D2472" s="52">
        <f t="shared" si="246"/>
        <v>2200</v>
      </c>
      <c r="E2472" s="52">
        <f t="shared" si="247"/>
        <v>1</v>
      </c>
      <c r="F2472" s="52"/>
      <c r="G2472" s="52"/>
      <c r="H2472" s="52"/>
      <c r="I2472" s="52"/>
      <c r="J2472" s="52"/>
      <c r="K2472" s="52"/>
      <c r="L2472" s="52"/>
      <c r="M2472" s="52"/>
      <c r="N2472" s="52"/>
      <c r="O2472" s="52"/>
      <c r="P2472" s="52"/>
      <c r="Q2472" s="52"/>
      <c r="R2472" s="52"/>
      <c r="S2472" s="52"/>
      <c r="T2472" s="52"/>
      <c r="U2472" s="52"/>
      <c r="V2472" s="52"/>
      <c r="W2472" s="52"/>
      <c r="X2472" s="52"/>
      <c r="Y2472" s="52"/>
      <c r="Z2472" s="52"/>
      <c r="AA2472" s="52"/>
      <c r="AB2472" s="52"/>
      <c r="AC2472" s="52"/>
      <c r="AD2472" s="52"/>
      <c r="AE2472" s="52"/>
      <c r="AF2472" s="52"/>
      <c r="AG2472" s="52"/>
      <c r="AH2472" s="52"/>
      <c r="AI2472" s="52"/>
      <c r="AJ2472" s="52"/>
      <c r="AK2472" s="52"/>
      <c r="AL2472" s="52"/>
      <c r="AM2472" s="52"/>
      <c r="AN2472" s="52"/>
    </row>
    <row r="2473" spans="1:40" x14ac:dyDescent="0.3">
      <c r="A2473" s="52">
        <v>2468</v>
      </c>
      <c r="B2473" s="52">
        <f>-bthan*500+(17+0.5)*bthan*1000/50</f>
        <v>-825</v>
      </c>
      <c r="C2473" s="52">
        <f t="shared" si="248"/>
        <v>190</v>
      </c>
      <c r="D2473" s="52">
        <f t="shared" si="246"/>
        <v>2200</v>
      </c>
      <c r="E2473" s="52">
        <f t="shared" si="247"/>
        <v>1</v>
      </c>
      <c r="F2473" s="52"/>
      <c r="G2473" s="52"/>
      <c r="H2473" s="52"/>
      <c r="I2473" s="52"/>
      <c r="J2473" s="52"/>
      <c r="K2473" s="52"/>
      <c r="L2473" s="52"/>
      <c r="M2473" s="52"/>
      <c r="N2473" s="52"/>
      <c r="O2473" s="52"/>
      <c r="P2473" s="52"/>
      <c r="Q2473" s="52"/>
      <c r="R2473" s="52"/>
      <c r="S2473" s="52"/>
      <c r="T2473" s="52"/>
      <c r="U2473" s="52"/>
      <c r="V2473" s="52"/>
      <c r="W2473" s="52"/>
      <c r="X2473" s="52"/>
      <c r="Y2473" s="52"/>
      <c r="Z2473" s="52"/>
      <c r="AA2473" s="52"/>
      <c r="AB2473" s="52"/>
      <c r="AC2473" s="52"/>
      <c r="AD2473" s="52"/>
      <c r="AE2473" s="52"/>
      <c r="AF2473" s="52"/>
      <c r="AG2473" s="52"/>
      <c r="AH2473" s="52"/>
      <c r="AI2473" s="52"/>
      <c r="AJ2473" s="52"/>
      <c r="AK2473" s="52"/>
      <c r="AL2473" s="52"/>
      <c r="AM2473" s="52"/>
      <c r="AN2473" s="52"/>
    </row>
    <row r="2474" spans="1:40" x14ac:dyDescent="0.3">
      <c r="A2474" s="52">
        <v>2469</v>
      </c>
      <c r="B2474" s="52">
        <f>-bthan*500+(18+0.5)*bthan*1000/50</f>
        <v>-715</v>
      </c>
      <c r="C2474" s="52">
        <f t="shared" si="248"/>
        <v>190</v>
      </c>
      <c r="D2474" s="52">
        <f t="shared" si="246"/>
        <v>2200</v>
      </c>
      <c r="E2474" s="52">
        <f t="shared" si="247"/>
        <v>1</v>
      </c>
      <c r="F2474" s="52"/>
      <c r="G2474" s="52"/>
      <c r="H2474" s="52"/>
      <c r="I2474" s="52"/>
      <c r="J2474" s="52"/>
      <c r="K2474" s="52"/>
      <c r="L2474" s="52"/>
      <c r="M2474" s="52"/>
      <c r="N2474" s="52"/>
      <c r="O2474" s="52"/>
      <c r="P2474" s="52"/>
      <c r="Q2474" s="52"/>
      <c r="R2474" s="52"/>
      <c r="S2474" s="52"/>
      <c r="T2474" s="52"/>
      <c r="U2474" s="52"/>
      <c r="V2474" s="52"/>
      <c r="W2474" s="52"/>
      <c r="X2474" s="52"/>
      <c r="Y2474" s="52"/>
      <c r="Z2474" s="52"/>
      <c r="AA2474" s="52"/>
      <c r="AB2474" s="52"/>
      <c r="AC2474" s="52"/>
      <c r="AD2474" s="52"/>
      <c r="AE2474" s="52"/>
      <c r="AF2474" s="52"/>
      <c r="AG2474" s="52"/>
      <c r="AH2474" s="52"/>
      <c r="AI2474" s="52"/>
      <c r="AJ2474" s="52"/>
      <c r="AK2474" s="52"/>
      <c r="AL2474" s="52"/>
      <c r="AM2474" s="52"/>
      <c r="AN2474" s="52"/>
    </row>
    <row r="2475" spans="1:40" x14ac:dyDescent="0.3">
      <c r="A2475" s="52">
        <v>2470</v>
      </c>
      <c r="B2475" s="52">
        <f>-bthan*500+(19+0.5)*bthan*1000/50</f>
        <v>-605</v>
      </c>
      <c r="C2475" s="52">
        <f t="shared" si="248"/>
        <v>190</v>
      </c>
      <c r="D2475" s="52">
        <f t="shared" si="246"/>
        <v>2200</v>
      </c>
      <c r="E2475" s="52">
        <f t="shared" si="247"/>
        <v>1</v>
      </c>
      <c r="F2475" s="52"/>
      <c r="G2475" s="52"/>
      <c r="H2475" s="52"/>
      <c r="I2475" s="52"/>
      <c r="J2475" s="52"/>
      <c r="K2475" s="52"/>
      <c r="L2475" s="52"/>
      <c r="M2475" s="52"/>
      <c r="N2475" s="52"/>
      <c r="O2475" s="52"/>
      <c r="P2475" s="52"/>
      <c r="Q2475" s="52"/>
      <c r="R2475" s="52"/>
      <c r="S2475" s="52"/>
      <c r="T2475" s="52"/>
      <c r="U2475" s="52"/>
      <c r="V2475" s="52"/>
      <c r="W2475" s="52"/>
      <c r="X2475" s="52"/>
      <c r="Y2475" s="52"/>
      <c r="Z2475" s="52"/>
      <c r="AA2475" s="52"/>
      <c r="AB2475" s="52"/>
      <c r="AC2475" s="52"/>
      <c r="AD2475" s="52"/>
      <c r="AE2475" s="52"/>
      <c r="AF2475" s="52"/>
      <c r="AG2475" s="52"/>
      <c r="AH2475" s="52"/>
      <c r="AI2475" s="52"/>
      <c r="AJ2475" s="52"/>
      <c r="AK2475" s="52"/>
      <c r="AL2475" s="52"/>
      <c r="AM2475" s="52"/>
      <c r="AN2475" s="52"/>
    </row>
    <row r="2476" spans="1:40" x14ac:dyDescent="0.3">
      <c r="A2476" s="52">
        <v>2471</v>
      </c>
      <c r="B2476" s="52">
        <f>-bthan*500+(20+0.5)*bthan*1000/50</f>
        <v>-495</v>
      </c>
      <c r="C2476" s="52">
        <f t="shared" si="248"/>
        <v>190</v>
      </c>
      <c r="D2476" s="52">
        <f t="shared" si="246"/>
        <v>2200</v>
      </c>
      <c r="E2476" s="52">
        <f t="shared" si="247"/>
        <v>1</v>
      </c>
      <c r="F2476" s="52"/>
      <c r="G2476" s="52"/>
      <c r="H2476" s="52"/>
      <c r="I2476" s="52"/>
      <c r="J2476" s="52"/>
      <c r="K2476" s="52"/>
      <c r="L2476" s="52"/>
      <c r="M2476" s="52"/>
      <c r="N2476" s="52"/>
      <c r="O2476" s="52"/>
      <c r="P2476" s="52"/>
      <c r="Q2476" s="52"/>
      <c r="R2476" s="52"/>
      <c r="S2476" s="52"/>
      <c r="T2476" s="52"/>
      <c r="U2476" s="52"/>
      <c r="V2476" s="52"/>
      <c r="W2476" s="52"/>
      <c r="X2476" s="52"/>
      <c r="Y2476" s="52"/>
      <c r="Z2476" s="52"/>
      <c r="AA2476" s="52"/>
      <c r="AB2476" s="52"/>
      <c r="AC2476" s="52"/>
      <c r="AD2476" s="52"/>
      <c r="AE2476" s="52"/>
      <c r="AF2476" s="52"/>
      <c r="AG2476" s="52"/>
      <c r="AH2476" s="52"/>
      <c r="AI2476" s="52"/>
      <c r="AJ2476" s="52"/>
      <c r="AK2476" s="52"/>
      <c r="AL2476" s="52"/>
      <c r="AM2476" s="52"/>
      <c r="AN2476" s="52"/>
    </row>
    <row r="2477" spans="1:40" x14ac:dyDescent="0.3">
      <c r="A2477" s="52">
        <v>2472</v>
      </c>
      <c r="B2477" s="52">
        <f>-bthan*500+(21+0.5)*bthan*1000/50</f>
        <v>-385</v>
      </c>
      <c r="C2477" s="52">
        <f t="shared" si="248"/>
        <v>190</v>
      </c>
      <c r="D2477" s="52">
        <f t="shared" si="246"/>
        <v>2200</v>
      </c>
      <c r="E2477" s="52">
        <f t="shared" si="247"/>
        <v>1</v>
      </c>
      <c r="F2477" s="52"/>
      <c r="G2477" s="52"/>
      <c r="H2477" s="52"/>
      <c r="I2477" s="52"/>
      <c r="J2477" s="52"/>
      <c r="K2477" s="52"/>
      <c r="L2477" s="52"/>
      <c r="M2477" s="52"/>
      <c r="N2477" s="52"/>
      <c r="O2477" s="52"/>
      <c r="P2477" s="52"/>
      <c r="Q2477" s="52"/>
      <c r="R2477" s="52"/>
      <c r="S2477" s="52"/>
      <c r="T2477" s="52"/>
      <c r="U2477" s="52"/>
      <c r="V2477" s="52"/>
      <c r="W2477" s="52"/>
      <c r="X2477" s="52"/>
      <c r="Y2477" s="52"/>
      <c r="Z2477" s="52"/>
      <c r="AA2477" s="52"/>
      <c r="AB2477" s="52"/>
      <c r="AC2477" s="52"/>
      <c r="AD2477" s="52"/>
      <c r="AE2477" s="52"/>
      <c r="AF2477" s="52"/>
      <c r="AG2477" s="52"/>
      <c r="AH2477" s="52"/>
      <c r="AI2477" s="52"/>
      <c r="AJ2477" s="52"/>
      <c r="AK2477" s="52"/>
      <c r="AL2477" s="52"/>
      <c r="AM2477" s="52"/>
      <c r="AN2477" s="52"/>
    </row>
    <row r="2478" spans="1:40" x14ac:dyDescent="0.3">
      <c r="A2478" s="52">
        <v>2473</v>
      </c>
      <c r="B2478" s="52">
        <f>-bthan*500+(22+0.5)*bthan*1000/50</f>
        <v>-275</v>
      </c>
      <c r="C2478" s="52">
        <f t="shared" si="248"/>
        <v>190</v>
      </c>
      <c r="D2478" s="52">
        <f t="shared" si="246"/>
        <v>2200</v>
      </c>
      <c r="E2478" s="52">
        <f t="shared" si="247"/>
        <v>1</v>
      </c>
      <c r="F2478" s="52"/>
      <c r="G2478" s="52"/>
      <c r="H2478" s="52"/>
      <c r="I2478" s="52"/>
      <c r="J2478" s="52"/>
      <c r="K2478" s="52"/>
      <c r="L2478" s="52"/>
      <c r="M2478" s="52"/>
      <c r="N2478" s="52"/>
      <c r="O2478" s="52"/>
      <c r="P2478" s="52"/>
      <c r="Q2478" s="52"/>
      <c r="R2478" s="52"/>
      <c r="S2478" s="52"/>
      <c r="T2478" s="52"/>
      <c r="U2478" s="52"/>
      <c r="V2478" s="52"/>
      <c r="W2478" s="52"/>
      <c r="X2478" s="52"/>
      <c r="Y2478" s="52"/>
      <c r="Z2478" s="52"/>
      <c r="AA2478" s="52"/>
      <c r="AB2478" s="52"/>
      <c r="AC2478" s="52"/>
      <c r="AD2478" s="52"/>
      <c r="AE2478" s="52"/>
      <c r="AF2478" s="52"/>
      <c r="AG2478" s="52"/>
      <c r="AH2478" s="52"/>
      <c r="AI2478" s="52"/>
      <c r="AJ2478" s="52"/>
      <c r="AK2478" s="52"/>
      <c r="AL2478" s="52"/>
      <c r="AM2478" s="52"/>
      <c r="AN2478" s="52"/>
    </row>
    <row r="2479" spans="1:40" x14ac:dyDescent="0.3">
      <c r="A2479" s="52">
        <v>2474</v>
      </c>
      <c r="B2479" s="52">
        <f>-bthan*500+(23+0.5)*bthan*1000/50</f>
        <v>-165</v>
      </c>
      <c r="C2479" s="52">
        <f t="shared" si="248"/>
        <v>190</v>
      </c>
      <c r="D2479" s="52">
        <f t="shared" si="246"/>
        <v>2200</v>
      </c>
      <c r="E2479" s="52">
        <f t="shared" si="247"/>
        <v>1</v>
      </c>
      <c r="F2479" s="52"/>
      <c r="G2479" s="52"/>
      <c r="H2479" s="52"/>
      <c r="I2479" s="52"/>
      <c r="J2479" s="52"/>
      <c r="K2479" s="52"/>
      <c r="L2479" s="52"/>
      <c r="M2479" s="52"/>
      <c r="N2479" s="52"/>
      <c r="O2479" s="52"/>
      <c r="P2479" s="52"/>
      <c r="Q2479" s="52"/>
      <c r="R2479" s="52"/>
      <c r="S2479" s="52"/>
      <c r="T2479" s="52"/>
      <c r="U2479" s="52"/>
      <c r="V2479" s="52"/>
      <c r="W2479" s="52"/>
      <c r="X2479" s="52"/>
      <c r="Y2479" s="52"/>
      <c r="Z2479" s="52"/>
      <c r="AA2479" s="52"/>
      <c r="AB2479" s="52"/>
      <c r="AC2479" s="52"/>
      <c r="AD2479" s="52"/>
      <c r="AE2479" s="52"/>
      <c r="AF2479" s="52"/>
      <c r="AG2479" s="52"/>
      <c r="AH2479" s="52"/>
      <c r="AI2479" s="52"/>
      <c r="AJ2479" s="52"/>
      <c r="AK2479" s="52"/>
      <c r="AL2479" s="52"/>
      <c r="AM2479" s="52"/>
      <c r="AN2479" s="52"/>
    </row>
    <row r="2480" spans="1:40" x14ac:dyDescent="0.3">
      <c r="A2480" s="52">
        <v>2475</v>
      </c>
      <c r="B2480" s="52">
        <f>-bthan*500+(24+0.5)*bthan*1000/50</f>
        <v>-55</v>
      </c>
      <c r="C2480" s="52">
        <f t="shared" si="248"/>
        <v>190</v>
      </c>
      <c r="D2480" s="52">
        <f t="shared" si="246"/>
        <v>2200</v>
      </c>
      <c r="E2480" s="52">
        <f t="shared" si="247"/>
        <v>1</v>
      </c>
      <c r="F2480" s="52"/>
      <c r="G2480" s="52"/>
      <c r="H2480" s="52"/>
      <c r="I2480" s="52"/>
      <c r="J2480" s="52"/>
      <c r="K2480" s="52"/>
      <c r="L2480" s="52"/>
      <c r="M2480" s="52"/>
      <c r="N2480" s="52"/>
      <c r="O2480" s="52"/>
      <c r="P2480" s="52"/>
      <c r="Q2480" s="52"/>
      <c r="R2480" s="52"/>
      <c r="S2480" s="52"/>
      <c r="T2480" s="52"/>
      <c r="U2480" s="52"/>
      <c r="V2480" s="52"/>
      <c r="W2480" s="52"/>
      <c r="X2480" s="52"/>
      <c r="Y2480" s="52"/>
      <c r="Z2480" s="52"/>
      <c r="AA2480" s="52"/>
      <c r="AB2480" s="52"/>
      <c r="AC2480" s="52"/>
      <c r="AD2480" s="52"/>
      <c r="AE2480" s="52"/>
      <c r="AF2480" s="52"/>
      <c r="AG2480" s="52"/>
      <c r="AH2480" s="52"/>
      <c r="AI2480" s="52"/>
      <c r="AJ2480" s="52"/>
      <c r="AK2480" s="52"/>
      <c r="AL2480" s="52"/>
      <c r="AM2480" s="52"/>
      <c r="AN2480" s="52"/>
    </row>
    <row r="2481" spans="1:40" x14ac:dyDescent="0.3">
      <c r="A2481" s="52">
        <v>2476</v>
      </c>
      <c r="B2481" s="52">
        <f>-bthan*500+(25+0.5)*bthan*1000/50</f>
        <v>55</v>
      </c>
      <c r="C2481" s="52">
        <f t="shared" si="248"/>
        <v>190</v>
      </c>
      <c r="D2481" s="52">
        <f t="shared" si="246"/>
        <v>2200</v>
      </c>
      <c r="E2481" s="52">
        <f t="shared" si="247"/>
        <v>1</v>
      </c>
      <c r="F2481" s="52"/>
      <c r="G2481" s="52"/>
      <c r="H2481" s="52"/>
      <c r="I2481" s="52"/>
      <c r="J2481" s="52"/>
      <c r="K2481" s="52"/>
      <c r="L2481" s="52"/>
      <c r="M2481" s="52"/>
      <c r="N2481" s="52"/>
      <c r="O2481" s="52"/>
      <c r="P2481" s="52"/>
      <c r="Q2481" s="52"/>
      <c r="R2481" s="52"/>
      <c r="S2481" s="52"/>
      <c r="T2481" s="52"/>
      <c r="U2481" s="52"/>
      <c r="V2481" s="52"/>
      <c r="W2481" s="52"/>
      <c r="X2481" s="52"/>
      <c r="Y2481" s="52"/>
      <c r="Z2481" s="52"/>
      <c r="AA2481" s="52"/>
      <c r="AB2481" s="52"/>
      <c r="AC2481" s="52"/>
      <c r="AD2481" s="52"/>
      <c r="AE2481" s="52"/>
      <c r="AF2481" s="52"/>
      <c r="AG2481" s="52"/>
      <c r="AH2481" s="52"/>
      <c r="AI2481" s="52"/>
      <c r="AJ2481" s="52"/>
      <c r="AK2481" s="52"/>
      <c r="AL2481" s="52"/>
      <c r="AM2481" s="52"/>
      <c r="AN2481" s="52"/>
    </row>
    <row r="2482" spans="1:40" x14ac:dyDescent="0.3">
      <c r="A2482" s="52">
        <v>2477</v>
      </c>
      <c r="B2482" s="52">
        <f>-bthan*500+(26+0.5)*bthan*1000/50</f>
        <v>165</v>
      </c>
      <c r="C2482" s="52">
        <f t="shared" si="248"/>
        <v>190</v>
      </c>
      <c r="D2482" s="52">
        <f t="shared" si="246"/>
        <v>2200</v>
      </c>
      <c r="E2482" s="52">
        <f t="shared" si="247"/>
        <v>1</v>
      </c>
      <c r="F2482" s="52"/>
      <c r="G2482" s="52"/>
      <c r="H2482" s="52"/>
      <c r="I2482" s="52"/>
      <c r="J2482" s="52"/>
      <c r="K2482" s="52"/>
      <c r="L2482" s="52"/>
      <c r="M2482" s="52"/>
      <c r="N2482" s="52"/>
      <c r="O2482" s="52"/>
      <c r="P2482" s="52"/>
      <c r="Q2482" s="52"/>
      <c r="R2482" s="52"/>
      <c r="S2482" s="52"/>
      <c r="T2482" s="52"/>
      <c r="U2482" s="52"/>
      <c r="V2482" s="52"/>
      <c r="W2482" s="52"/>
      <c r="X2482" s="52"/>
      <c r="Y2482" s="52"/>
      <c r="Z2482" s="52"/>
      <c r="AA2482" s="52"/>
      <c r="AB2482" s="52"/>
      <c r="AC2482" s="52"/>
      <c r="AD2482" s="52"/>
      <c r="AE2482" s="52"/>
      <c r="AF2482" s="52"/>
      <c r="AG2482" s="52"/>
      <c r="AH2482" s="52"/>
      <c r="AI2482" s="52"/>
      <c r="AJ2482" s="52"/>
      <c r="AK2482" s="52"/>
      <c r="AL2482" s="52"/>
      <c r="AM2482" s="52"/>
      <c r="AN2482" s="52"/>
    </row>
    <row r="2483" spans="1:40" x14ac:dyDescent="0.3">
      <c r="A2483" s="52">
        <v>2478</v>
      </c>
      <c r="B2483" s="52">
        <f>-bthan*500+(27+0.5)*bthan*1000/50</f>
        <v>275</v>
      </c>
      <c r="C2483" s="52">
        <f t="shared" si="248"/>
        <v>190</v>
      </c>
      <c r="D2483" s="52">
        <f t="shared" si="246"/>
        <v>2200</v>
      </c>
      <c r="E2483" s="52">
        <f t="shared" si="247"/>
        <v>1</v>
      </c>
      <c r="F2483" s="52"/>
      <c r="G2483" s="52"/>
      <c r="H2483" s="52"/>
      <c r="I2483" s="52"/>
      <c r="J2483" s="52"/>
      <c r="K2483" s="52"/>
      <c r="L2483" s="52"/>
      <c r="M2483" s="52"/>
      <c r="N2483" s="52"/>
      <c r="O2483" s="52"/>
      <c r="P2483" s="52"/>
      <c r="Q2483" s="52"/>
      <c r="R2483" s="52"/>
      <c r="S2483" s="52"/>
      <c r="T2483" s="52"/>
      <c r="U2483" s="52"/>
      <c r="V2483" s="52"/>
      <c r="W2483" s="52"/>
      <c r="X2483" s="52"/>
      <c r="Y2483" s="52"/>
      <c r="Z2483" s="52"/>
      <c r="AA2483" s="52"/>
      <c r="AB2483" s="52"/>
      <c r="AC2483" s="52"/>
      <c r="AD2483" s="52"/>
      <c r="AE2483" s="52"/>
      <c r="AF2483" s="52"/>
      <c r="AG2483" s="52"/>
      <c r="AH2483" s="52"/>
      <c r="AI2483" s="52"/>
      <c r="AJ2483" s="52"/>
      <c r="AK2483" s="52"/>
      <c r="AL2483" s="52"/>
      <c r="AM2483" s="52"/>
      <c r="AN2483" s="52"/>
    </row>
    <row r="2484" spans="1:40" x14ac:dyDescent="0.3">
      <c r="A2484" s="52">
        <v>2479</v>
      </c>
      <c r="B2484" s="52">
        <f>-bthan*500+(28+0.5)*bthan*1000/50</f>
        <v>385</v>
      </c>
      <c r="C2484" s="52">
        <f t="shared" si="248"/>
        <v>190</v>
      </c>
      <c r="D2484" s="52">
        <f t="shared" si="246"/>
        <v>2200</v>
      </c>
      <c r="E2484" s="52">
        <f t="shared" si="247"/>
        <v>1</v>
      </c>
      <c r="F2484" s="52"/>
      <c r="G2484" s="52"/>
      <c r="H2484" s="52"/>
      <c r="I2484" s="52"/>
      <c r="J2484" s="52"/>
      <c r="K2484" s="52"/>
      <c r="L2484" s="52"/>
      <c r="M2484" s="52"/>
      <c r="N2484" s="52"/>
      <c r="O2484" s="52"/>
      <c r="P2484" s="52"/>
      <c r="Q2484" s="52"/>
      <c r="R2484" s="52"/>
      <c r="S2484" s="52"/>
      <c r="T2484" s="52"/>
      <c r="U2484" s="52"/>
      <c r="V2484" s="52"/>
      <c r="W2484" s="52"/>
      <c r="X2484" s="52"/>
      <c r="Y2484" s="52"/>
      <c r="Z2484" s="52"/>
      <c r="AA2484" s="52"/>
      <c r="AB2484" s="52"/>
      <c r="AC2484" s="52"/>
      <c r="AD2484" s="52"/>
      <c r="AE2484" s="52"/>
      <c r="AF2484" s="52"/>
      <c r="AG2484" s="52"/>
      <c r="AH2484" s="52"/>
      <c r="AI2484" s="52"/>
      <c r="AJ2484" s="52"/>
      <c r="AK2484" s="52"/>
      <c r="AL2484" s="52"/>
      <c r="AM2484" s="52"/>
      <c r="AN2484" s="52"/>
    </row>
    <row r="2485" spans="1:40" x14ac:dyDescent="0.3">
      <c r="A2485" s="52">
        <v>2480</v>
      </c>
      <c r="B2485" s="52">
        <f>-bthan*500+(29+0.5)*bthan*1000/50</f>
        <v>495</v>
      </c>
      <c r="C2485" s="52">
        <f t="shared" si="248"/>
        <v>190</v>
      </c>
      <c r="D2485" s="52">
        <f t="shared" si="246"/>
        <v>2200</v>
      </c>
      <c r="E2485" s="52">
        <f t="shared" si="247"/>
        <v>1</v>
      </c>
      <c r="F2485" s="52"/>
      <c r="G2485" s="52"/>
      <c r="H2485" s="52"/>
      <c r="I2485" s="52"/>
      <c r="J2485" s="52"/>
      <c r="K2485" s="52"/>
      <c r="L2485" s="52"/>
      <c r="M2485" s="52"/>
      <c r="N2485" s="52"/>
      <c r="O2485" s="52"/>
      <c r="P2485" s="52"/>
      <c r="Q2485" s="52"/>
      <c r="R2485" s="52"/>
      <c r="S2485" s="52"/>
      <c r="T2485" s="52"/>
      <c r="U2485" s="52"/>
      <c r="V2485" s="52"/>
      <c r="W2485" s="52"/>
      <c r="X2485" s="52"/>
      <c r="Y2485" s="52"/>
      <c r="Z2485" s="52"/>
      <c r="AA2485" s="52"/>
      <c r="AB2485" s="52"/>
      <c r="AC2485" s="52"/>
      <c r="AD2485" s="52"/>
      <c r="AE2485" s="52"/>
      <c r="AF2485" s="52"/>
      <c r="AG2485" s="52"/>
      <c r="AH2485" s="52"/>
      <c r="AI2485" s="52"/>
      <c r="AJ2485" s="52"/>
      <c r="AK2485" s="52"/>
      <c r="AL2485" s="52"/>
      <c r="AM2485" s="52"/>
      <c r="AN2485" s="52"/>
    </row>
    <row r="2486" spans="1:40" x14ac:dyDescent="0.3">
      <c r="A2486" s="52">
        <v>2481</v>
      </c>
      <c r="B2486" s="52">
        <f>-bthan*500+(30+0.5)*bthan*1000/50</f>
        <v>605</v>
      </c>
      <c r="C2486" s="52">
        <f t="shared" si="248"/>
        <v>190</v>
      </c>
      <c r="D2486" s="52">
        <f t="shared" si="246"/>
        <v>2200</v>
      </c>
      <c r="E2486" s="52">
        <f t="shared" si="247"/>
        <v>1</v>
      </c>
      <c r="F2486" s="52"/>
      <c r="G2486" s="52"/>
      <c r="H2486" s="52"/>
      <c r="I2486" s="52"/>
      <c r="J2486" s="52"/>
      <c r="K2486" s="52"/>
      <c r="L2486" s="52"/>
      <c r="M2486" s="52"/>
      <c r="N2486" s="52"/>
      <c r="O2486" s="52"/>
      <c r="P2486" s="52"/>
      <c r="Q2486" s="52"/>
      <c r="R2486" s="52"/>
      <c r="S2486" s="52"/>
      <c r="T2486" s="52"/>
      <c r="U2486" s="52"/>
      <c r="V2486" s="52"/>
      <c r="W2486" s="52"/>
      <c r="X2486" s="52"/>
      <c r="Y2486" s="52"/>
      <c r="Z2486" s="52"/>
      <c r="AA2486" s="52"/>
      <c r="AB2486" s="52"/>
      <c r="AC2486" s="52"/>
      <c r="AD2486" s="52"/>
      <c r="AE2486" s="52"/>
      <c r="AF2486" s="52"/>
      <c r="AG2486" s="52"/>
      <c r="AH2486" s="52"/>
      <c r="AI2486" s="52"/>
      <c r="AJ2486" s="52"/>
      <c r="AK2486" s="52"/>
      <c r="AL2486" s="52"/>
      <c r="AM2486" s="52"/>
      <c r="AN2486" s="52"/>
    </row>
    <row r="2487" spans="1:40" x14ac:dyDescent="0.3">
      <c r="A2487" s="52">
        <v>2482</v>
      </c>
      <c r="B2487" s="52">
        <f>-bthan*500+(31+0.5)*bthan*1000/50</f>
        <v>715</v>
      </c>
      <c r="C2487" s="52">
        <f t="shared" si="248"/>
        <v>190</v>
      </c>
      <c r="D2487" s="52">
        <f t="shared" si="246"/>
        <v>2200</v>
      </c>
      <c r="E2487" s="52">
        <f t="shared" si="247"/>
        <v>1</v>
      </c>
      <c r="F2487" s="52"/>
      <c r="G2487" s="52"/>
      <c r="H2487" s="52"/>
      <c r="I2487" s="52"/>
      <c r="J2487" s="52"/>
      <c r="K2487" s="52"/>
      <c r="L2487" s="52"/>
      <c r="M2487" s="52"/>
      <c r="N2487" s="52"/>
      <c r="O2487" s="52"/>
      <c r="P2487" s="52"/>
      <c r="Q2487" s="52"/>
      <c r="R2487" s="52"/>
      <c r="S2487" s="52"/>
      <c r="T2487" s="52"/>
      <c r="U2487" s="52"/>
      <c r="V2487" s="52"/>
      <c r="W2487" s="52"/>
      <c r="X2487" s="52"/>
      <c r="Y2487" s="52"/>
      <c r="Z2487" s="52"/>
      <c r="AA2487" s="52"/>
      <c r="AB2487" s="52"/>
      <c r="AC2487" s="52"/>
      <c r="AD2487" s="52"/>
      <c r="AE2487" s="52"/>
      <c r="AF2487" s="52"/>
      <c r="AG2487" s="52"/>
      <c r="AH2487" s="52"/>
      <c r="AI2487" s="52"/>
      <c r="AJ2487" s="52"/>
      <c r="AK2487" s="52"/>
      <c r="AL2487" s="52"/>
      <c r="AM2487" s="52"/>
      <c r="AN2487" s="52"/>
    </row>
    <row r="2488" spans="1:40" x14ac:dyDescent="0.3">
      <c r="A2488" s="52">
        <v>2483</v>
      </c>
      <c r="B2488" s="52">
        <f>-bthan*500+(32+0.5)*bthan*1000/50</f>
        <v>825</v>
      </c>
      <c r="C2488" s="52">
        <f t="shared" ref="C2488:C2505" si="249">-hthan*500+(49+0.5)*hthan*1000/80</f>
        <v>190</v>
      </c>
      <c r="D2488" s="52">
        <f t="shared" si="246"/>
        <v>2200</v>
      </c>
      <c r="E2488" s="52">
        <f t="shared" si="247"/>
        <v>1</v>
      </c>
      <c r="F2488" s="52"/>
      <c r="G2488" s="52"/>
      <c r="H2488" s="52"/>
      <c r="I2488" s="52"/>
      <c r="J2488" s="52"/>
      <c r="K2488" s="52"/>
      <c r="L2488" s="52"/>
      <c r="M2488" s="52"/>
      <c r="N2488" s="52"/>
      <c r="O2488" s="52"/>
      <c r="P2488" s="52"/>
      <c r="Q2488" s="52"/>
      <c r="R2488" s="52"/>
      <c r="S2488" s="52"/>
      <c r="T2488" s="52"/>
      <c r="U2488" s="52"/>
      <c r="V2488" s="52"/>
      <c r="W2488" s="52"/>
      <c r="X2488" s="52"/>
      <c r="Y2488" s="52"/>
      <c r="Z2488" s="52"/>
      <c r="AA2488" s="52"/>
      <c r="AB2488" s="52"/>
      <c r="AC2488" s="52"/>
      <c r="AD2488" s="52"/>
      <c r="AE2488" s="52"/>
      <c r="AF2488" s="52"/>
      <c r="AG2488" s="52"/>
      <c r="AH2488" s="52"/>
      <c r="AI2488" s="52"/>
      <c r="AJ2488" s="52"/>
      <c r="AK2488" s="52"/>
      <c r="AL2488" s="52"/>
      <c r="AM2488" s="52"/>
      <c r="AN2488" s="52"/>
    </row>
    <row r="2489" spans="1:40" x14ac:dyDescent="0.3">
      <c r="A2489" s="52">
        <v>2484</v>
      </c>
      <c r="B2489" s="52">
        <f>-bthan*500+(33+0.5)*bthan*1000/50</f>
        <v>935</v>
      </c>
      <c r="C2489" s="52">
        <f t="shared" si="249"/>
        <v>190</v>
      </c>
      <c r="D2489" s="52">
        <f t="shared" si="246"/>
        <v>2200</v>
      </c>
      <c r="E2489" s="52">
        <f t="shared" si="247"/>
        <v>1</v>
      </c>
      <c r="F2489" s="52"/>
      <c r="G2489" s="52"/>
      <c r="H2489" s="52"/>
      <c r="I2489" s="52"/>
      <c r="J2489" s="52"/>
      <c r="K2489" s="52"/>
      <c r="L2489" s="52"/>
      <c r="M2489" s="52"/>
      <c r="N2489" s="52"/>
      <c r="O2489" s="52"/>
      <c r="P2489" s="52"/>
      <c r="Q2489" s="52"/>
      <c r="R2489" s="52"/>
      <c r="S2489" s="52"/>
      <c r="T2489" s="52"/>
      <c r="U2489" s="52"/>
      <c r="V2489" s="52"/>
      <c r="W2489" s="52"/>
      <c r="X2489" s="52"/>
      <c r="Y2489" s="52"/>
      <c r="Z2489" s="52"/>
      <c r="AA2489" s="52"/>
      <c r="AB2489" s="52"/>
      <c r="AC2489" s="52"/>
      <c r="AD2489" s="52"/>
      <c r="AE2489" s="52"/>
      <c r="AF2489" s="52"/>
      <c r="AG2489" s="52"/>
      <c r="AH2489" s="52"/>
      <c r="AI2489" s="52"/>
      <c r="AJ2489" s="52"/>
      <c r="AK2489" s="52"/>
      <c r="AL2489" s="52"/>
      <c r="AM2489" s="52"/>
      <c r="AN2489" s="52"/>
    </row>
    <row r="2490" spans="1:40" x14ac:dyDescent="0.3">
      <c r="A2490" s="52">
        <v>2485</v>
      </c>
      <c r="B2490" s="52">
        <f>-bthan*500+(34+0.5)*bthan*1000/50</f>
        <v>1045</v>
      </c>
      <c r="C2490" s="52">
        <f t="shared" si="249"/>
        <v>190</v>
      </c>
      <c r="D2490" s="52">
        <f t="shared" si="246"/>
        <v>2200</v>
      </c>
      <c r="E2490" s="52">
        <f t="shared" si="247"/>
        <v>1</v>
      </c>
      <c r="F2490" s="52"/>
      <c r="G2490" s="52"/>
      <c r="H2490" s="52"/>
      <c r="I2490" s="52"/>
      <c r="J2490" s="52"/>
      <c r="K2490" s="52"/>
      <c r="L2490" s="52"/>
      <c r="M2490" s="52"/>
      <c r="N2490" s="52"/>
      <c r="O2490" s="52"/>
      <c r="P2490" s="52"/>
      <c r="Q2490" s="52"/>
      <c r="R2490" s="52"/>
      <c r="S2490" s="52"/>
      <c r="T2490" s="52"/>
      <c r="U2490" s="52"/>
      <c r="V2490" s="52"/>
      <c r="W2490" s="52"/>
      <c r="X2490" s="52"/>
      <c r="Y2490" s="52"/>
      <c r="Z2490" s="52"/>
      <c r="AA2490" s="52"/>
      <c r="AB2490" s="52"/>
      <c r="AC2490" s="52"/>
      <c r="AD2490" s="52"/>
      <c r="AE2490" s="52"/>
      <c r="AF2490" s="52"/>
      <c r="AG2490" s="52"/>
      <c r="AH2490" s="52"/>
      <c r="AI2490" s="52"/>
      <c r="AJ2490" s="52"/>
      <c r="AK2490" s="52"/>
      <c r="AL2490" s="52"/>
      <c r="AM2490" s="52"/>
      <c r="AN2490" s="52"/>
    </row>
    <row r="2491" spans="1:40" x14ac:dyDescent="0.3">
      <c r="A2491" s="52">
        <v>2486</v>
      </c>
      <c r="B2491" s="52">
        <f>-bthan*500+(35+0.5)*bthan*1000/50</f>
        <v>1155</v>
      </c>
      <c r="C2491" s="52">
        <f t="shared" si="249"/>
        <v>190</v>
      </c>
      <c r="D2491" s="52">
        <f t="shared" si="246"/>
        <v>2200</v>
      </c>
      <c r="E2491" s="52">
        <f t="shared" si="247"/>
        <v>1</v>
      </c>
      <c r="F2491" s="52"/>
      <c r="G2491" s="52"/>
      <c r="H2491" s="52"/>
      <c r="I2491" s="52"/>
      <c r="J2491" s="52"/>
      <c r="K2491" s="52"/>
      <c r="L2491" s="52"/>
      <c r="M2491" s="52"/>
      <c r="N2491" s="52"/>
      <c r="O2491" s="52"/>
      <c r="P2491" s="52"/>
      <c r="Q2491" s="52"/>
      <c r="R2491" s="52"/>
      <c r="S2491" s="52"/>
      <c r="T2491" s="52"/>
      <c r="U2491" s="52"/>
      <c r="V2491" s="52"/>
      <c r="W2491" s="52"/>
      <c r="X2491" s="52"/>
      <c r="Y2491" s="52"/>
      <c r="Z2491" s="52"/>
      <c r="AA2491" s="52"/>
      <c r="AB2491" s="52"/>
      <c r="AC2491" s="52"/>
      <c r="AD2491" s="52"/>
      <c r="AE2491" s="52"/>
      <c r="AF2491" s="52"/>
      <c r="AG2491" s="52"/>
      <c r="AH2491" s="52"/>
      <c r="AI2491" s="52"/>
      <c r="AJ2491" s="52"/>
      <c r="AK2491" s="52"/>
      <c r="AL2491" s="52"/>
      <c r="AM2491" s="52"/>
      <c r="AN2491" s="52"/>
    </row>
    <row r="2492" spans="1:40" x14ac:dyDescent="0.3">
      <c r="A2492" s="52">
        <v>2487</v>
      </c>
      <c r="B2492" s="52">
        <f>-bthan*500+(36+0.5)*bthan*1000/50</f>
        <v>1265</v>
      </c>
      <c r="C2492" s="52">
        <f t="shared" si="249"/>
        <v>190</v>
      </c>
      <c r="D2492" s="52">
        <f t="shared" si="246"/>
        <v>2200</v>
      </c>
      <c r="E2492" s="52">
        <f t="shared" si="247"/>
        <v>1</v>
      </c>
      <c r="F2492" s="52"/>
      <c r="G2492" s="52"/>
      <c r="H2492" s="52"/>
      <c r="I2492" s="52"/>
      <c r="J2492" s="52"/>
      <c r="K2492" s="52"/>
      <c r="L2492" s="52"/>
      <c r="M2492" s="52"/>
      <c r="N2492" s="52"/>
      <c r="O2492" s="52"/>
      <c r="P2492" s="52"/>
      <c r="Q2492" s="52"/>
      <c r="R2492" s="52"/>
      <c r="S2492" s="52"/>
      <c r="T2492" s="52"/>
      <c r="U2492" s="52"/>
      <c r="V2492" s="52"/>
      <c r="W2492" s="52"/>
      <c r="X2492" s="52"/>
      <c r="Y2492" s="52"/>
      <c r="Z2492" s="52"/>
      <c r="AA2492" s="52"/>
      <c r="AB2492" s="52"/>
      <c r="AC2492" s="52"/>
      <c r="AD2492" s="52"/>
      <c r="AE2492" s="52"/>
      <c r="AF2492" s="52"/>
      <c r="AG2492" s="52"/>
      <c r="AH2492" s="52"/>
      <c r="AI2492" s="52"/>
      <c r="AJ2492" s="52"/>
      <c r="AK2492" s="52"/>
      <c r="AL2492" s="52"/>
      <c r="AM2492" s="52"/>
      <c r="AN2492" s="52"/>
    </row>
    <row r="2493" spans="1:40" x14ac:dyDescent="0.3">
      <c r="A2493" s="52">
        <v>2488</v>
      </c>
      <c r="B2493" s="52">
        <f>-bthan*500+(37+0.5)*bthan*1000/50</f>
        <v>1375</v>
      </c>
      <c r="C2493" s="52">
        <f t="shared" si="249"/>
        <v>190</v>
      </c>
      <c r="D2493" s="52">
        <f t="shared" si="246"/>
        <v>2200</v>
      </c>
      <c r="E2493" s="52">
        <f t="shared" si="247"/>
        <v>1</v>
      </c>
      <c r="F2493" s="52"/>
      <c r="G2493" s="52"/>
      <c r="H2493" s="52"/>
      <c r="I2493" s="52"/>
      <c r="J2493" s="52"/>
      <c r="K2493" s="52"/>
      <c r="L2493" s="52"/>
      <c r="M2493" s="52"/>
      <c r="N2493" s="52"/>
      <c r="O2493" s="52"/>
      <c r="P2493" s="52"/>
      <c r="Q2493" s="52"/>
      <c r="R2493" s="52"/>
      <c r="S2493" s="52"/>
      <c r="T2493" s="52"/>
      <c r="U2493" s="52"/>
      <c r="V2493" s="52"/>
      <c r="W2493" s="52"/>
      <c r="X2493" s="52"/>
      <c r="Y2493" s="52"/>
      <c r="Z2493" s="52"/>
      <c r="AA2493" s="52"/>
      <c r="AB2493" s="52"/>
      <c r="AC2493" s="52"/>
      <c r="AD2493" s="52"/>
      <c r="AE2493" s="52"/>
      <c r="AF2493" s="52"/>
      <c r="AG2493" s="52"/>
      <c r="AH2493" s="52"/>
      <c r="AI2493" s="52"/>
      <c r="AJ2493" s="52"/>
      <c r="AK2493" s="52"/>
      <c r="AL2493" s="52"/>
      <c r="AM2493" s="52"/>
      <c r="AN2493" s="52"/>
    </row>
    <row r="2494" spans="1:40" x14ac:dyDescent="0.3">
      <c r="A2494" s="52">
        <v>2489</v>
      </c>
      <c r="B2494" s="52">
        <f>-bthan*500+(38+0.5)*bthan*1000/50</f>
        <v>1485</v>
      </c>
      <c r="C2494" s="52">
        <f t="shared" si="249"/>
        <v>190</v>
      </c>
      <c r="D2494" s="52">
        <f t="shared" si="246"/>
        <v>2200</v>
      </c>
      <c r="E2494" s="52">
        <f t="shared" si="247"/>
        <v>1</v>
      </c>
      <c r="F2494" s="52"/>
      <c r="G2494" s="52"/>
      <c r="H2494" s="52"/>
      <c r="I2494" s="52"/>
      <c r="J2494" s="52"/>
      <c r="K2494" s="52"/>
      <c r="L2494" s="52"/>
      <c r="M2494" s="52"/>
      <c r="N2494" s="52"/>
      <c r="O2494" s="52"/>
      <c r="P2494" s="52"/>
      <c r="Q2494" s="52"/>
      <c r="R2494" s="52"/>
      <c r="S2494" s="52"/>
      <c r="T2494" s="52"/>
      <c r="U2494" s="52"/>
      <c r="V2494" s="52"/>
      <c r="W2494" s="52"/>
      <c r="X2494" s="52"/>
      <c r="Y2494" s="52"/>
      <c r="Z2494" s="52"/>
      <c r="AA2494" s="52"/>
      <c r="AB2494" s="52"/>
      <c r="AC2494" s="52"/>
      <c r="AD2494" s="52"/>
      <c r="AE2494" s="52"/>
      <c r="AF2494" s="52"/>
      <c r="AG2494" s="52"/>
      <c r="AH2494" s="52"/>
      <c r="AI2494" s="52"/>
      <c r="AJ2494" s="52"/>
      <c r="AK2494" s="52"/>
      <c r="AL2494" s="52"/>
      <c r="AM2494" s="52"/>
      <c r="AN2494" s="52"/>
    </row>
    <row r="2495" spans="1:40" x14ac:dyDescent="0.3">
      <c r="A2495" s="52">
        <v>2490</v>
      </c>
      <c r="B2495" s="52">
        <f>-bthan*500+(39+0.5)*bthan*1000/50</f>
        <v>1595</v>
      </c>
      <c r="C2495" s="52">
        <f t="shared" si="249"/>
        <v>190</v>
      </c>
      <c r="D2495" s="52">
        <f t="shared" si="246"/>
        <v>2200</v>
      </c>
      <c r="E2495" s="52">
        <f t="shared" si="247"/>
        <v>1</v>
      </c>
      <c r="F2495" s="52"/>
      <c r="G2495" s="52"/>
      <c r="H2495" s="52"/>
      <c r="I2495" s="52"/>
      <c r="J2495" s="52"/>
      <c r="K2495" s="52"/>
      <c r="L2495" s="52"/>
      <c r="M2495" s="52"/>
      <c r="N2495" s="52"/>
      <c r="O2495" s="52"/>
      <c r="P2495" s="52"/>
      <c r="Q2495" s="52"/>
      <c r="R2495" s="52"/>
      <c r="S2495" s="52"/>
      <c r="T2495" s="52"/>
      <c r="U2495" s="52"/>
      <c r="V2495" s="52"/>
      <c r="W2495" s="52"/>
      <c r="X2495" s="52"/>
      <c r="Y2495" s="52"/>
      <c r="Z2495" s="52"/>
      <c r="AA2495" s="52"/>
      <c r="AB2495" s="52"/>
      <c r="AC2495" s="52"/>
      <c r="AD2495" s="52"/>
      <c r="AE2495" s="52"/>
      <c r="AF2495" s="52"/>
      <c r="AG2495" s="52"/>
      <c r="AH2495" s="52"/>
      <c r="AI2495" s="52"/>
      <c r="AJ2495" s="52"/>
      <c r="AK2495" s="52"/>
      <c r="AL2495" s="52"/>
      <c r="AM2495" s="52"/>
      <c r="AN2495" s="52"/>
    </row>
    <row r="2496" spans="1:40" x14ac:dyDescent="0.3">
      <c r="A2496" s="52">
        <v>2491</v>
      </c>
      <c r="B2496" s="52">
        <f>-bthan*500+(40+0.5)*bthan*1000/50</f>
        <v>1705</v>
      </c>
      <c r="C2496" s="52">
        <f t="shared" si="249"/>
        <v>190</v>
      </c>
      <c r="D2496" s="52">
        <f t="shared" si="246"/>
        <v>2200</v>
      </c>
      <c r="E2496" s="52">
        <f t="shared" si="247"/>
        <v>1</v>
      </c>
      <c r="F2496" s="52"/>
      <c r="G2496" s="52"/>
      <c r="H2496" s="52"/>
      <c r="I2496" s="52"/>
      <c r="J2496" s="52"/>
      <c r="K2496" s="52"/>
      <c r="L2496" s="52"/>
      <c r="M2496" s="52"/>
      <c r="N2496" s="52"/>
      <c r="O2496" s="52"/>
      <c r="P2496" s="52"/>
      <c r="Q2496" s="52"/>
      <c r="R2496" s="52"/>
      <c r="S2496" s="52"/>
      <c r="T2496" s="52"/>
      <c r="U2496" s="52"/>
      <c r="V2496" s="52"/>
      <c r="W2496" s="52"/>
      <c r="X2496" s="52"/>
      <c r="Y2496" s="52"/>
      <c r="Z2496" s="52"/>
      <c r="AA2496" s="52"/>
      <c r="AB2496" s="52"/>
      <c r="AC2496" s="52"/>
      <c r="AD2496" s="52"/>
      <c r="AE2496" s="52"/>
      <c r="AF2496" s="52"/>
      <c r="AG2496" s="52"/>
      <c r="AH2496" s="52"/>
      <c r="AI2496" s="52"/>
      <c r="AJ2496" s="52"/>
      <c r="AK2496" s="52"/>
      <c r="AL2496" s="52"/>
      <c r="AM2496" s="52"/>
      <c r="AN2496" s="52"/>
    </row>
    <row r="2497" spans="1:40" x14ac:dyDescent="0.3">
      <c r="A2497" s="52">
        <v>2492</v>
      </c>
      <c r="B2497" s="52">
        <f>-bthan*500+(41+0.5)*bthan*1000/50</f>
        <v>1815</v>
      </c>
      <c r="C2497" s="52">
        <f t="shared" si="249"/>
        <v>190</v>
      </c>
      <c r="D2497" s="52">
        <f t="shared" si="246"/>
        <v>2200</v>
      </c>
      <c r="E2497" s="52">
        <f t="shared" si="247"/>
        <v>1</v>
      </c>
      <c r="F2497" s="52"/>
      <c r="G2497" s="52"/>
      <c r="H2497" s="52"/>
      <c r="I2497" s="52"/>
      <c r="J2497" s="52"/>
      <c r="K2497" s="52"/>
      <c r="L2497" s="52"/>
      <c r="M2497" s="52"/>
      <c r="N2497" s="52"/>
      <c r="O2497" s="52"/>
      <c r="P2497" s="52"/>
      <c r="Q2497" s="52"/>
      <c r="R2497" s="52"/>
      <c r="S2497" s="52"/>
      <c r="T2497" s="52"/>
      <c r="U2497" s="52"/>
      <c r="V2497" s="52"/>
      <c r="W2497" s="52"/>
      <c r="X2497" s="52"/>
      <c r="Y2497" s="52"/>
      <c r="Z2497" s="52"/>
      <c r="AA2497" s="52"/>
      <c r="AB2497" s="52"/>
      <c r="AC2497" s="52"/>
      <c r="AD2497" s="52"/>
      <c r="AE2497" s="52"/>
      <c r="AF2497" s="52"/>
      <c r="AG2497" s="52"/>
      <c r="AH2497" s="52"/>
      <c r="AI2497" s="52"/>
      <c r="AJ2497" s="52"/>
      <c r="AK2497" s="52"/>
      <c r="AL2497" s="52"/>
      <c r="AM2497" s="52"/>
      <c r="AN2497" s="52"/>
    </row>
    <row r="2498" spans="1:40" x14ac:dyDescent="0.3">
      <c r="A2498" s="52">
        <v>2493</v>
      </c>
      <c r="B2498" s="52">
        <f>-bthan*500+(42+0.5)*bthan*1000/50</f>
        <v>1925</v>
      </c>
      <c r="C2498" s="52">
        <f t="shared" si="249"/>
        <v>190</v>
      </c>
      <c r="D2498" s="52">
        <f t="shared" si="246"/>
        <v>2200</v>
      </c>
      <c r="E2498" s="52">
        <f t="shared" si="247"/>
        <v>1</v>
      </c>
      <c r="F2498" s="52"/>
      <c r="G2498" s="52"/>
      <c r="H2498" s="52"/>
      <c r="I2498" s="52"/>
      <c r="J2498" s="52"/>
      <c r="K2498" s="52"/>
      <c r="L2498" s="52"/>
      <c r="M2498" s="52"/>
      <c r="N2498" s="52"/>
      <c r="O2498" s="52"/>
      <c r="P2498" s="52"/>
      <c r="Q2498" s="52"/>
      <c r="R2498" s="52"/>
      <c r="S2498" s="52"/>
      <c r="T2498" s="52"/>
      <c r="U2498" s="52"/>
      <c r="V2498" s="52"/>
      <c r="W2498" s="52"/>
      <c r="X2498" s="52"/>
      <c r="Y2498" s="52"/>
      <c r="Z2498" s="52"/>
      <c r="AA2498" s="52"/>
      <c r="AB2498" s="52"/>
      <c r="AC2498" s="52"/>
      <c r="AD2498" s="52"/>
      <c r="AE2498" s="52"/>
      <c r="AF2498" s="52"/>
      <c r="AG2498" s="52"/>
      <c r="AH2498" s="52"/>
      <c r="AI2498" s="52"/>
      <c r="AJ2498" s="52"/>
      <c r="AK2498" s="52"/>
      <c r="AL2498" s="52"/>
      <c r="AM2498" s="52"/>
      <c r="AN2498" s="52"/>
    </row>
    <row r="2499" spans="1:40" x14ac:dyDescent="0.3">
      <c r="A2499" s="52">
        <v>2494</v>
      </c>
      <c r="B2499" s="52">
        <f>-bthan*500+(43+0.5)*bthan*1000/50</f>
        <v>2035</v>
      </c>
      <c r="C2499" s="52">
        <f t="shared" si="249"/>
        <v>190</v>
      </c>
      <c r="D2499" s="52">
        <f t="shared" si="246"/>
        <v>2200</v>
      </c>
      <c r="E2499" s="52">
        <f t="shared" si="247"/>
        <v>1</v>
      </c>
      <c r="F2499" s="52"/>
      <c r="G2499" s="52"/>
      <c r="H2499" s="52"/>
      <c r="I2499" s="52"/>
      <c r="J2499" s="52"/>
      <c r="K2499" s="52"/>
      <c r="L2499" s="52"/>
      <c r="M2499" s="52"/>
      <c r="N2499" s="52"/>
      <c r="O2499" s="52"/>
      <c r="P2499" s="52"/>
      <c r="Q2499" s="52"/>
      <c r="R2499" s="52"/>
      <c r="S2499" s="52"/>
      <c r="T2499" s="52"/>
      <c r="U2499" s="52"/>
      <c r="V2499" s="52"/>
      <c r="W2499" s="52"/>
      <c r="X2499" s="52"/>
      <c r="Y2499" s="52"/>
      <c r="Z2499" s="52"/>
      <c r="AA2499" s="52"/>
      <c r="AB2499" s="52"/>
      <c r="AC2499" s="52"/>
      <c r="AD2499" s="52"/>
      <c r="AE2499" s="52"/>
      <c r="AF2499" s="52"/>
      <c r="AG2499" s="52"/>
      <c r="AH2499" s="52"/>
      <c r="AI2499" s="52"/>
      <c r="AJ2499" s="52"/>
      <c r="AK2499" s="52"/>
      <c r="AL2499" s="52"/>
      <c r="AM2499" s="52"/>
      <c r="AN2499" s="52"/>
    </row>
    <row r="2500" spans="1:40" x14ac:dyDescent="0.3">
      <c r="A2500" s="52">
        <v>2495</v>
      </c>
      <c r="B2500" s="52">
        <f>-bthan*500+(44+0.5)*bthan*1000/50</f>
        <v>2145</v>
      </c>
      <c r="C2500" s="52">
        <f t="shared" si="249"/>
        <v>190</v>
      </c>
      <c r="D2500" s="52">
        <f t="shared" si="246"/>
        <v>2200</v>
      </c>
      <c r="E2500" s="52">
        <f t="shared" si="247"/>
        <v>1</v>
      </c>
      <c r="F2500" s="52"/>
      <c r="G2500" s="52"/>
      <c r="H2500" s="52"/>
      <c r="I2500" s="52"/>
      <c r="J2500" s="52"/>
      <c r="K2500" s="52"/>
      <c r="L2500" s="52"/>
      <c r="M2500" s="52"/>
      <c r="N2500" s="52"/>
      <c r="O2500" s="52"/>
      <c r="P2500" s="52"/>
      <c r="Q2500" s="52"/>
      <c r="R2500" s="52"/>
      <c r="S2500" s="52"/>
      <c r="T2500" s="52"/>
      <c r="U2500" s="52"/>
      <c r="V2500" s="52"/>
      <c r="W2500" s="52"/>
      <c r="X2500" s="52"/>
      <c r="Y2500" s="52"/>
      <c r="Z2500" s="52"/>
      <c r="AA2500" s="52"/>
      <c r="AB2500" s="52"/>
      <c r="AC2500" s="52"/>
      <c r="AD2500" s="52"/>
      <c r="AE2500" s="52"/>
      <c r="AF2500" s="52"/>
      <c r="AG2500" s="52"/>
      <c r="AH2500" s="52"/>
      <c r="AI2500" s="52"/>
      <c r="AJ2500" s="52"/>
      <c r="AK2500" s="52"/>
      <c r="AL2500" s="52"/>
      <c r="AM2500" s="52"/>
      <c r="AN2500" s="52"/>
    </row>
    <row r="2501" spans="1:40" x14ac:dyDescent="0.3">
      <c r="A2501" s="52">
        <v>2496</v>
      </c>
      <c r="B2501" s="52">
        <f>-bthan*500+(45+0.5)*bthan*1000/50</f>
        <v>2255</v>
      </c>
      <c r="C2501" s="52">
        <f t="shared" si="249"/>
        <v>190</v>
      </c>
      <c r="D2501" s="52">
        <f t="shared" si="246"/>
        <v>2200</v>
      </c>
      <c r="E2501" s="52">
        <f t="shared" si="247"/>
        <v>1</v>
      </c>
      <c r="F2501" s="52"/>
      <c r="G2501" s="52"/>
      <c r="H2501" s="52"/>
      <c r="I2501" s="52"/>
      <c r="J2501" s="52"/>
      <c r="K2501" s="52"/>
      <c r="L2501" s="52"/>
      <c r="M2501" s="52"/>
      <c r="N2501" s="52"/>
      <c r="O2501" s="52"/>
      <c r="P2501" s="52"/>
      <c r="Q2501" s="52"/>
      <c r="R2501" s="52"/>
      <c r="S2501" s="52"/>
      <c r="T2501" s="52"/>
      <c r="U2501" s="52"/>
      <c r="V2501" s="52"/>
      <c r="W2501" s="52"/>
      <c r="X2501" s="52"/>
      <c r="Y2501" s="52"/>
      <c r="Z2501" s="52"/>
      <c r="AA2501" s="52"/>
      <c r="AB2501" s="52"/>
      <c r="AC2501" s="52"/>
      <c r="AD2501" s="52"/>
      <c r="AE2501" s="52"/>
      <c r="AF2501" s="52"/>
      <c r="AG2501" s="52"/>
      <c r="AH2501" s="52"/>
      <c r="AI2501" s="52"/>
      <c r="AJ2501" s="52"/>
      <c r="AK2501" s="52"/>
      <c r="AL2501" s="52"/>
      <c r="AM2501" s="52"/>
      <c r="AN2501" s="52"/>
    </row>
    <row r="2502" spans="1:40" x14ac:dyDescent="0.3">
      <c r="A2502" s="52">
        <v>2497</v>
      </c>
      <c r="B2502" s="52">
        <f>-bthan*500+(46+0.5)*bthan*1000/50</f>
        <v>2365</v>
      </c>
      <c r="C2502" s="52">
        <f t="shared" si="249"/>
        <v>190</v>
      </c>
      <c r="D2502" s="52">
        <f t="shared" ref="D2502:D2565" si="250">bthan*1000/50*hthan*1000/80</f>
        <v>2200</v>
      </c>
      <c r="E2502" s="52">
        <f t="shared" ref="E2502:E2565" si="251">IF(shp=1,--(OR(ABS(B2502)&lt;=MAX(0,(bthan-hthan)*500),(ABS(B2502)-MAX(0,(bthan-hthan)*500))^2+C2502^2&lt;=(hthan*500)^2)),--(AND(ABS(B2502)&lt;=bthan*500,ABS(C2502)&lt;=hthan*500,OR(ABS(B2502)&lt;=bthan*500-cch*1000,ABS(C2502)&lt;=hthan*500-cch*1000,(bthan*500-ABS(B2502))+(hthan*500-ABS(C2502))&gt;=cch*1000))))</f>
        <v>1</v>
      </c>
      <c r="F2502" s="52"/>
      <c r="G2502" s="52"/>
      <c r="H2502" s="52"/>
      <c r="I2502" s="52"/>
      <c r="J2502" s="52"/>
      <c r="K2502" s="52"/>
      <c r="L2502" s="52"/>
      <c r="M2502" s="52"/>
      <c r="N2502" s="52"/>
      <c r="O2502" s="52"/>
      <c r="P2502" s="52"/>
      <c r="Q2502" s="52"/>
      <c r="R2502" s="52"/>
      <c r="S2502" s="52"/>
      <c r="T2502" s="52"/>
      <c r="U2502" s="52"/>
      <c r="V2502" s="52"/>
      <c r="W2502" s="52"/>
      <c r="X2502" s="52"/>
      <c r="Y2502" s="52"/>
      <c r="Z2502" s="52"/>
      <c r="AA2502" s="52"/>
      <c r="AB2502" s="52"/>
      <c r="AC2502" s="52"/>
      <c r="AD2502" s="52"/>
      <c r="AE2502" s="52"/>
      <c r="AF2502" s="52"/>
      <c r="AG2502" s="52"/>
      <c r="AH2502" s="52"/>
      <c r="AI2502" s="52"/>
      <c r="AJ2502" s="52"/>
      <c r="AK2502" s="52"/>
      <c r="AL2502" s="52"/>
      <c r="AM2502" s="52"/>
      <c r="AN2502" s="52"/>
    </row>
    <row r="2503" spans="1:40" x14ac:dyDescent="0.3">
      <c r="A2503" s="52">
        <v>2498</v>
      </c>
      <c r="B2503" s="52">
        <f>-bthan*500+(47+0.5)*bthan*1000/50</f>
        <v>2475</v>
      </c>
      <c r="C2503" s="52">
        <f t="shared" si="249"/>
        <v>190</v>
      </c>
      <c r="D2503" s="52">
        <f t="shared" si="250"/>
        <v>2200</v>
      </c>
      <c r="E2503" s="52">
        <f t="shared" si="251"/>
        <v>1</v>
      </c>
      <c r="F2503" s="52"/>
      <c r="G2503" s="52"/>
      <c r="H2503" s="52"/>
      <c r="I2503" s="52"/>
      <c r="J2503" s="52"/>
      <c r="K2503" s="52"/>
      <c r="L2503" s="52"/>
      <c r="M2503" s="52"/>
      <c r="N2503" s="52"/>
      <c r="O2503" s="52"/>
      <c r="P2503" s="52"/>
      <c r="Q2503" s="52"/>
      <c r="R2503" s="52"/>
      <c r="S2503" s="52"/>
      <c r="T2503" s="52"/>
      <c r="U2503" s="52"/>
      <c r="V2503" s="52"/>
      <c r="W2503" s="52"/>
      <c r="X2503" s="52"/>
      <c r="Y2503" s="52"/>
      <c r="Z2503" s="52"/>
      <c r="AA2503" s="52"/>
      <c r="AB2503" s="52"/>
      <c r="AC2503" s="52"/>
      <c r="AD2503" s="52"/>
      <c r="AE2503" s="52"/>
      <c r="AF2503" s="52"/>
      <c r="AG2503" s="52"/>
      <c r="AH2503" s="52"/>
      <c r="AI2503" s="52"/>
      <c r="AJ2503" s="52"/>
      <c r="AK2503" s="52"/>
      <c r="AL2503" s="52"/>
      <c r="AM2503" s="52"/>
      <c r="AN2503" s="52"/>
    </row>
    <row r="2504" spans="1:40" x14ac:dyDescent="0.3">
      <c r="A2504" s="52">
        <v>2499</v>
      </c>
      <c r="B2504" s="52">
        <f>-bthan*500+(48+0.5)*bthan*1000/50</f>
        <v>2585</v>
      </c>
      <c r="C2504" s="52">
        <f t="shared" si="249"/>
        <v>190</v>
      </c>
      <c r="D2504" s="52">
        <f t="shared" si="250"/>
        <v>2200</v>
      </c>
      <c r="E2504" s="52">
        <f t="shared" si="251"/>
        <v>1</v>
      </c>
      <c r="F2504" s="52"/>
      <c r="G2504" s="52"/>
      <c r="H2504" s="52"/>
      <c r="I2504" s="52"/>
      <c r="J2504" s="52"/>
      <c r="K2504" s="52"/>
      <c r="L2504" s="52"/>
      <c r="M2504" s="52"/>
      <c r="N2504" s="52"/>
      <c r="O2504" s="52"/>
      <c r="P2504" s="52"/>
      <c r="Q2504" s="52"/>
      <c r="R2504" s="52"/>
      <c r="S2504" s="52"/>
      <c r="T2504" s="52"/>
      <c r="U2504" s="52"/>
      <c r="V2504" s="52"/>
      <c r="W2504" s="52"/>
      <c r="X2504" s="52"/>
      <c r="Y2504" s="52"/>
      <c r="Z2504" s="52"/>
      <c r="AA2504" s="52"/>
      <c r="AB2504" s="52"/>
      <c r="AC2504" s="52"/>
      <c r="AD2504" s="52"/>
      <c r="AE2504" s="52"/>
      <c r="AF2504" s="52"/>
      <c r="AG2504" s="52"/>
      <c r="AH2504" s="52"/>
      <c r="AI2504" s="52"/>
      <c r="AJ2504" s="52"/>
      <c r="AK2504" s="52"/>
      <c r="AL2504" s="52"/>
      <c r="AM2504" s="52"/>
      <c r="AN2504" s="52"/>
    </row>
    <row r="2505" spans="1:40" x14ac:dyDescent="0.3">
      <c r="A2505" s="52">
        <v>2500</v>
      </c>
      <c r="B2505" s="52">
        <f>-bthan*500+(49+0.5)*bthan*1000/50</f>
        <v>2695</v>
      </c>
      <c r="C2505" s="52">
        <f t="shared" si="249"/>
        <v>190</v>
      </c>
      <c r="D2505" s="52">
        <f t="shared" si="250"/>
        <v>2200</v>
      </c>
      <c r="E2505" s="52">
        <f t="shared" si="251"/>
        <v>1</v>
      </c>
      <c r="F2505" s="52"/>
      <c r="G2505" s="52"/>
      <c r="H2505" s="52"/>
      <c r="I2505" s="52"/>
      <c r="J2505" s="52"/>
      <c r="K2505" s="52"/>
      <c r="L2505" s="52"/>
      <c r="M2505" s="52"/>
      <c r="N2505" s="52"/>
      <c r="O2505" s="52"/>
      <c r="P2505" s="52"/>
      <c r="Q2505" s="52"/>
      <c r="R2505" s="52"/>
      <c r="S2505" s="52"/>
      <c r="T2505" s="52"/>
      <c r="U2505" s="52"/>
      <c r="V2505" s="52"/>
      <c r="W2505" s="52"/>
      <c r="X2505" s="52"/>
      <c r="Y2505" s="52"/>
      <c r="Z2505" s="52"/>
      <c r="AA2505" s="52"/>
      <c r="AB2505" s="52"/>
      <c r="AC2505" s="52"/>
      <c r="AD2505" s="52"/>
      <c r="AE2505" s="52"/>
      <c r="AF2505" s="52"/>
      <c r="AG2505" s="52"/>
      <c r="AH2505" s="52"/>
      <c r="AI2505" s="52"/>
      <c r="AJ2505" s="52"/>
      <c r="AK2505" s="52"/>
      <c r="AL2505" s="52"/>
      <c r="AM2505" s="52"/>
      <c r="AN2505" s="52"/>
    </row>
    <row r="2506" spans="1:40" x14ac:dyDescent="0.3">
      <c r="A2506" s="52">
        <v>2501</v>
      </c>
      <c r="B2506" s="52">
        <f>-bthan*500+(0+0.5)*bthan*1000/50</f>
        <v>-2695</v>
      </c>
      <c r="C2506" s="52">
        <f t="shared" ref="C2506:C2537" si="252">-hthan*500+(50+0.5)*hthan*1000/80</f>
        <v>210.00000000000023</v>
      </c>
      <c r="D2506" s="52">
        <f t="shared" si="250"/>
        <v>2200</v>
      </c>
      <c r="E2506" s="52">
        <f t="shared" si="251"/>
        <v>1</v>
      </c>
      <c r="F2506" s="52"/>
      <c r="G2506" s="52"/>
      <c r="H2506" s="52"/>
      <c r="I2506" s="52"/>
      <c r="J2506" s="52"/>
      <c r="K2506" s="52"/>
      <c r="L2506" s="52"/>
      <c r="M2506" s="52"/>
      <c r="N2506" s="52"/>
      <c r="O2506" s="52"/>
      <c r="P2506" s="52"/>
      <c r="Q2506" s="52"/>
      <c r="R2506" s="52"/>
      <c r="S2506" s="52"/>
      <c r="T2506" s="52"/>
      <c r="U2506" s="52"/>
      <c r="V2506" s="52"/>
      <c r="W2506" s="52"/>
      <c r="X2506" s="52"/>
      <c r="Y2506" s="52"/>
      <c r="Z2506" s="52"/>
      <c r="AA2506" s="52"/>
      <c r="AB2506" s="52"/>
      <c r="AC2506" s="52"/>
      <c r="AD2506" s="52"/>
      <c r="AE2506" s="52"/>
      <c r="AF2506" s="52"/>
      <c r="AG2506" s="52"/>
      <c r="AH2506" s="52"/>
      <c r="AI2506" s="52"/>
      <c r="AJ2506" s="52"/>
      <c r="AK2506" s="52"/>
      <c r="AL2506" s="52"/>
      <c r="AM2506" s="52"/>
      <c r="AN2506" s="52"/>
    </row>
    <row r="2507" spans="1:40" x14ac:dyDescent="0.3">
      <c r="A2507" s="52">
        <v>2502</v>
      </c>
      <c r="B2507" s="52">
        <f>-bthan*500+(1+0.5)*bthan*1000/50</f>
        <v>-2585</v>
      </c>
      <c r="C2507" s="52">
        <f t="shared" si="252"/>
        <v>210.00000000000023</v>
      </c>
      <c r="D2507" s="52">
        <f t="shared" si="250"/>
        <v>2200</v>
      </c>
      <c r="E2507" s="52">
        <f t="shared" si="251"/>
        <v>1</v>
      </c>
      <c r="F2507" s="52"/>
      <c r="G2507" s="52"/>
      <c r="H2507" s="52"/>
      <c r="I2507" s="52"/>
      <c r="J2507" s="52"/>
      <c r="K2507" s="52"/>
      <c r="L2507" s="52"/>
      <c r="M2507" s="52"/>
      <c r="N2507" s="52"/>
      <c r="O2507" s="52"/>
      <c r="P2507" s="52"/>
      <c r="Q2507" s="52"/>
      <c r="R2507" s="52"/>
      <c r="S2507" s="52"/>
      <c r="T2507" s="52"/>
      <c r="U2507" s="52"/>
      <c r="V2507" s="52"/>
      <c r="W2507" s="52"/>
      <c r="X2507" s="52"/>
      <c r="Y2507" s="52"/>
      <c r="Z2507" s="52"/>
      <c r="AA2507" s="52"/>
      <c r="AB2507" s="52"/>
      <c r="AC2507" s="52"/>
      <c r="AD2507" s="52"/>
      <c r="AE2507" s="52"/>
      <c r="AF2507" s="52"/>
      <c r="AG2507" s="52"/>
      <c r="AH2507" s="52"/>
      <c r="AI2507" s="52"/>
      <c r="AJ2507" s="52"/>
      <c r="AK2507" s="52"/>
      <c r="AL2507" s="52"/>
      <c r="AM2507" s="52"/>
      <c r="AN2507" s="52"/>
    </row>
    <row r="2508" spans="1:40" x14ac:dyDescent="0.3">
      <c r="A2508" s="52">
        <v>2503</v>
      </c>
      <c r="B2508" s="52">
        <f>-bthan*500+(2+0.5)*bthan*1000/50</f>
        <v>-2475</v>
      </c>
      <c r="C2508" s="52">
        <f t="shared" si="252"/>
        <v>210.00000000000023</v>
      </c>
      <c r="D2508" s="52">
        <f t="shared" si="250"/>
        <v>2200</v>
      </c>
      <c r="E2508" s="52">
        <f t="shared" si="251"/>
        <v>1</v>
      </c>
      <c r="F2508" s="52"/>
      <c r="G2508" s="52"/>
      <c r="H2508" s="52"/>
      <c r="I2508" s="52"/>
      <c r="J2508" s="52"/>
      <c r="K2508" s="52"/>
      <c r="L2508" s="52"/>
      <c r="M2508" s="52"/>
      <c r="N2508" s="52"/>
      <c r="O2508" s="52"/>
      <c r="P2508" s="52"/>
      <c r="Q2508" s="52"/>
      <c r="R2508" s="52"/>
      <c r="S2508" s="52"/>
      <c r="T2508" s="52"/>
      <c r="U2508" s="52"/>
      <c r="V2508" s="52"/>
      <c r="W2508" s="52"/>
      <c r="X2508" s="52"/>
      <c r="Y2508" s="52"/>
      <c r="Z2508" s="52"/>
      <c r="AA2508" s="52"/>
      <c r="AB2508" s="52"/>
      <c r="AC2508" s="52"/>
      <c r="AD2508" s="52"/>
      <c r="AE2508" s="52"/>
      <c r="AF2508" s="52"/>
      <c r="AG2508" s="52"/>
      <c r="AH2508" s="52"/>
      <c r="AI2508" s="52"/>
      <c r="AJ2508" s="52"/>
      <c r="AK2508" s="52"/>
      <c r="AL2508" s="52"/>
      <c r="AM2508" s="52"/>
      <c r="AN2508" s="52"/>
    </row>
    <row r="2509" spans="1:40" x14ac:dyDescent="0.3">
      <c r="A2509" s="52">
        <v>2504</v>
      </c>
      <c r="B2509" s="52">
        <f>-bthan*500+(3+0.5)*bthan*1000/50</f>
        <v>-2365</v>
      </c>
      <c r="C2509" s="52">
        <f t="shared" si="252"/>
        <v>210.00000000000023</v>
      </c>
      <c r="D2509" s="52">
        <f t="shared" si="250"/>
        <v>2200</v>
      </c>
      <c r="E2509" s="52">
        <f t="shared" si="251"/>
        <v>1</v>
      </c>
      <c r="F2509" s="52"/>
      <c r="G2509" s="52"/>
      <c r="H2509" s="52"/>
      <c r="I2509" s="52"/>
      <c r="J2509" s="52"/>
      <c r="K2509" s="52"/>
      <c r="L2509" s="52"/>
      <c r="M2509" s="52"/>
      <c r="N2509" s="52"/>
      <c r="O2509" s="52"/>
      <c r="P2509" s="52"/>
      <c r="Q2509" s="52"/>
      <c r="R2509" s="52"/>
      <c r="S2509" s="52"/>
      <c r="T2509" s="52"/>
      <c r="U2509" s="52"/>
      <c r="V2509" s="52"/>
      <c r="W2509" s="52"/>
      <c r="X2509" s="52"/>
      <c r="Y2509" s="52"/>
      <c r="Z2509" s="52"/>
      <c r="AA2509" s="52"/>
      <c r="AB2509" s="52"/>
      <c r="AC2509" s="52"/>
      <c r="AD2509" s="52"/>
      <c r="AE2509" s="52"/>
      <c r="AF2509" s="52"/>
      <c r="AG2509" s="52"/>
      <c r="AH2509" s="52"/>
      <c r="AI2509" s="52"/>
      <c r="AJ2509" s="52"/>
      <c r="AK2509" s="52"/>
      <c r="AL2509" s="52"/>
      <c r="AM2509" s="52"/>
      <c r="AN2509" s="52"/>
    </row>
    <row r="2510" spans="1:40" x14ac:dyDescent="0.3">
      <c r="A2510" s="52">
        <v>2505</v>
      </c>
      <c r="B2510" s="52">
        <f>-bthan*500+(4+0.5)*bthan*1000/50</f>
        <v>-2255</v>
      </c>
      <c r="C2510" s="52">
        <f t="shared" si="252"/>
        <v>210.00000000000023</v>
      </c>
      <c r="D2510" s="52">
        <f t="shared" si="250"/>
        <v>2200</v>
      </c>
      <c r="E2510" s="52">
        <f t="shared" si="251"/>
        <v>1</v>
      </c>
      <c r="F2510" s="52"/>
      <c r="G2510" s="52"/>
      <c r="H2510" s="52"/>
      <c r="I2510" s="52"/>
      <c r="J2510" s="52"/>
      <c r="K2510" s="52"/>
      <c r="L2510" s="52"/>
      <c r="M2510" s="52"/>
      <c r="N2510" s="52"/>
      <c r="O2510" s="52"/>
      <c r="P2510" s="52"/>
      <c r="Q2510" s="52"/>
      <c r="R2510" s="52"/>
      <c r="S2510" s="52"/>
      <c r="T2510" s="52"/>
      <c r="U2510" s="52"/>
      <c r="V2510" s="52"/>
      <c r="W2510" s="52"/>
      <c r="X2510" s="52"/>
      <c r="Y2510" s="52"/>
      <c r="Z2510" s="52"/>
      <c r="AA2510" s="52"/>
      <c r="AB2510" s="52"/>
      <c r="AC2510" s="52"/>
      <c r="AD2510" s="52"/>
      <c r="AE2510" s="52"/>
      <c r="AF2510" s="52"/>
      <c r="AG2510" s="52"/>
      <c r="AH2510" s="52"/>
      <c r="AI2510" s="52"/>
      <c r="AJ2510" s="52"/>
      <c r="AK2510" s="52"/>
      <c r="AL2510" s="52"/>
      <c r="AM2510" s="52"/>
      <c r="AN2510" s="52"/>
    </row>
    <row r="2511" spans="1:40" x14ac:dyDescent="0.3">
      <c r="A2511" s="52">
        <v>2506</v>
      </c>
      <c r="B2511" s="52">
        <f>-bthan*500+(5+0.5)*bthan*1000/50</f>
        <v>-2145</v>
      </c>
      <c r="C2511" s="52">
        <f t="shared" si="252"/>
        <v>210.00000000000023</v>
      </c>
      <c r="D2511" s="52">
        <f t="shared" si="250"/>
        <v>2200</v>
      </c>
      <c r="E2511" s="52">
        <f t="shared" si="251"/>
        <v>1</v>
      </c>
      <c r="F2511" s="52"/>
      <c r="G2511" s="52"/>
      <c r="H2511" s="52"/>
      <c r="I2511" s="52"/>
      <c r="J2511" s="52"/>
      <c r="K2511" s="52"/>
      <c r="L2511" s="52"/>
      <c r="M2511" s="52"/>
      <c r="N2511" s="52"/>
      <c r="O2511" s="52"/>
      <c r="P2511" s="52"/>
      <c r="Q2511" s="52"/>
      <c r="R2511" s="52"/>
      <c r="S2511" s="52"/>
      <c r="T2511" s="52"/>
      <c r="U2511" s="52"/>
      <c r="V2511" s="52"/>
      <c r="W2511" s="52"/>
      <c r="X2511" s="52"/>
      <c r="Y2511" s="52"/>
      <c r="Z2511" s="52"/>
      <c r="AA2511" s="52"/>
      <c r="AB2511" s="52"/>
      <c r="AC2511" s="52"/>
      <c r="AD2511" s="52"/>
      <c r="AE2511" s="52"/>
      <c r="AF2511" s="52"/>
      <c r="AG2511" s="52"/>
      <c r="AH2511" s="52"/>
      <c r="AI2511" s="52"/>
      <c r="AJ2511" s="52"/>
      <c r="AK2511" s="52"/>
      <c r="AL2511" s="52"/>
      <c r="AM2511" s="52"/>
      <c r="AN2511" s="52"/>
    </row>
    <row r="2512" spans="1:40" x14ac:dyDescent="0.3">
      <c r="A2512" s="52">
        <v>2507</v>
      </c>
      <c r="B2512" s="52">
        <f>-bthan*500+(6+0.5)*bthan*1000/50</f>
        <v>-2035</v>
      </c>
      <c r="C2512" s="52">
        <f t="shared" si="252"/>
        <v>210.00000000000023</v>
      </c>
      <c r="D2512" s="52">
        <f t="shared" si="250"/>
        <v>2200</v>
      </c>
      <c r="E2512" s="52">
        <f t="shared" si="251"/>
        <v>1</v>
      </c>
      <c r="F2512" s="52"/>
      <c r="G2512" s="52"/>
      <c r="H2512" s="52"/>
      <c r="I2512" s="52"/>
      <c r="J2512" s="52"/>
      <c r="K2512" s="52"/>
      <c r="L2512" s="52"/>
      <c r="M2512" s="52"/>
      <c r="N2512" s="52"/>
      <c r="O2512" s="52"/>
      <c r="P2512" s="52"/>
      <c r="Q2512" s="52"/>
      <c r="R2512" s="52"/>
      <c r="S2512" s="52"/>
      <c r="T2512" s="52"/>
      <c r="U2512" s="52"/>
      <c r="V2512" s="52"/>
      <c r="W2512" s="52"/>
      <c r="X2512" s="52"/>
      <c r="Y2512" s="52"/>
      <c r="Z2512" s="52"/>
      <c r="AA2512" s="52"/>
      <c r="AB2512" s="52"/>
      <c r="AC2512" s="52"/>
      <c r="AD2512" s="52"/>
      <c r="AE2512" s="52"/>
      <c r="AF2512" s="52"/>
      <c r="AG2512" s="52"/>
      <c r="AH2512" s="52"/>
      <c r="AI2512" s="52"/>
      <c r="AJ2512" s="52"/>
      <c r="AK2512" s="52"/>
      <c r="AL2512" s="52"/>
      <c r="AM2512" s="52"/>
      <c r="AN2512" s="52"/>
    </row>
    <row r="2513" spans="1:40" x14ac:dyDescent="0.3">
      <c r="A2513" s="52">
        <v>2508</v>
      </c>
      <c r="B2513" s="52">
        <f>-bthan*500+(7+0.5)*bthan*1000/50</f>
        <v>-1925</v>
      </c>
      <c r="C2513" s="52">
        <f t="shared" si="252"/>
        <v>210.00000000000023</v>
      </c>
      <c r="D2513" s="52">
        <f t="shared" si="250"/>
        <v>2200</v>
      </c>
      <c r="E2513" s="52">
        <f t="shared" si="251"/>
        <v>1</v>
      </c>
      <c r="F2513" s="52"/>
      <c r="G2513" s="52"/>
      <c r="H2513" s="52"/>
      <c r="I2513" s="52"/>
      <c r="J2513" s="52"/>
      <c r="K2513" s="52"/>
      <c r="L2513" s="52"/>
      <c r="M2513" s="52"/>
      <c r="N2513" s="52"/>
      <c r="O2513" s="52"/>
      <c r="P2513" s="52"/>
      <c r="Q2513" s="52"/>
      <c r="R2513" s="52"/>
      <c r="S2513" s="52"/>
      <c r="T2513" s="52"/>
      <c r="U2513" s="52"/>
      <c r="V2513" s="52"/>
      <c r="W2513" s="52"/>
      <c r="X2513" s="52"/>
      <c r="Y2513" s="52"/>
      <c r="Z2513" s="52"/>
      <c r="AA2513" s="52"/>
      <c r="AB2513" s="52"/>
      <c r="AC2513" s="52"/>
      <c r="AD2513" s="52"/>
      <c r="AE2513" s="52"/>
      <c r="AF2513" s="52"/>
      <c r="AG2513" s="52"/>
      <c r="AH2513" s="52"/>
      <c r="AI2513" s="52"/>
      <c r="AJ2513" s="52"/>
      <c r="AK2513" s="52"/>
      <c r="AL2513" s="52"/>
      <c r="AM2513" s="52"/>
      <c r="AN2513" s="52"/>
    </row>
    <row r="2514" spans="1:40" x14ac:dyDescent="0.3">
      <c r="A2514" s="52">
        <v>2509</v>
      </c>
      <c r="B2514" s="52">
        <f>-bthan*500+(8+0.5)*bthan*1000/50</f>
        <v>-1815</v>
      </c>
      <c r="C2514" s="52">
        <f t="shared" si="252"/>
        <v>210.00000000000023</v>
      </c>
      <c r="D2514" s="52">
        <f t="shared" si="250"/>
        <v>2200</v>
      </c>
      <c r="E2514" s="52">
        <f t="shared" si="251"/>
        <v>1</v>
      </c>
      <c r="F2514" s="52"/>
      <c r="G2514" s="52"/>
      <c r="H2514" s="52"/>
      <c r="I2514" s="52"/>
      <c r="J2514" s="52"/>
      <c r="K2514" s="52"/>
      <c r="L2514" s="52"/>
      <c r="M2514" s="52"/>
      <c r="N2514" s="52"/>
      <c r="O2514" s="52"/>
      <c r="P2514" s="52"/>
      <c r="Q2514" s="52"/>
      <c r="R2514" s="52"/>
      <c r="S2514" s="52"/>
      <c r="T2514" s="52"/>
      <c r="U2514" s="52"/>
      <c r="V2514" s="52"/>
      <c r="W2514" s="52"/>
      <c r="X2514" s="52"/>
      <c r="Y2514" s="52"/>
      <c r="Z2514" s="52"/>
      <c r="AA2514" s="52"/>
      <c r="AB2514" s="52"/>
      <c r="AC2514" s="52"/>
      <c r="AD2514" s="52"/>
      <c r="AE2514" s="52"/>
      <c r="AF2514" s="52"/>
      <c r="AG2514" s="52"/>
      <c r="AH2514" s="52"/>
      <c r="AI2514" s="52"/>
      <c r="AJ2514" s="52"/>
      <c r="AK2514" s="52"/>
      <c r="AL2514" s="52"/>
      <c r="AM2514" s="52"/>
      <c r="AN2514" s="52"/>
    </row>
    <row r="2515" spans="1:40" x14ac:dyDescent="0.3">
      <c r="A2515" s="52">
        <v>2510</v>
      </c>
      <c r="B2515" s="52">
        <f>-bthan*500+(9+0.5)*bthan*1000/50</f>
        <v>-1705</v>
      </c>
      <c r="C2515" s="52">
        <f t="shared" si="252"/>
        <v>210.00000000000023</v>
      </c>
      <c r="D2515" s="52">
        <f t="shared" si="250"/>
        <v>2200</v>
      </c>
      <c r="E2515" s="52">
        <f t="shared" si="251"/>
        <v>1</v>
      </c>
      <c r="F2515" s="52"/>
      <c r="G2515" s="52"/>
      <c r="H2515" s="52"/>
      <c r="I2515" s="52"/>
      <c r="J2515" s="52"/>
      <c r="K2515" s="52"/>
      <c r="L2515" s="52"/>
      <c r="M2515" s="52"/>
      <c r="N2515" s="52"/>
      <c r="O2515" s="52"/>
      <c r="P2515" s="52"/>
      <c r="Q2515" s="52"/>
      <c r="R2515" s="52"/>
      <c r="S2515" s="52"/>
      <c r="T2515" s="52"/>
      <c r="U2515" s="52"/>
      <c r="V2515" s="52"/>
      <c r="W2515" s="52"/>
      <c r="X2515" s="52"/>
      <c r="Y2515" s="52"/>
      <c r="Z2515" s="52"/>
      <c r="AA2515" s="52"/>
      <c r="AB2515" s="52"/>
      <c r="AC2515" s="52"/>
      <c r="AD2515" s="52"/>
      <c r="AE2515" s="52"/>
      <c r="AF2515" s="52"/>
      <c r="AG2515" s="52"/>
      <c r="AH2515" s="52"/>
      <c r="AI2515" s="52"/>
      <c r="AJ2515" s="52"/>
      <c r="AK2515" s="52"/>
      <c r="AL2515" s="52"/>
      <c r="AM2515" s="52"/>
      <c r="AN2515" s="52"/>
    </row>
    <row r="2516" spans="1:40" x14ac:dyDescent="0.3">
      <c r="A2516" s="52">
        <v>2511</v>
      </c>
      <c r="B2516" s="52">
        <f>-bthan*500+(10+0.5)*bthan*1000/50</f>
        <v>-1595</v>
      </c>
      <c r="C2516" s="52">
        <f t="shared" si="252"/>
        <v>210.00000000000023</v>
      </c>
      <c r="D2516" s="52">
        <f t="shared" si="250"/>
        <v>2200</v>
      </c>
      <c r="E2516" s="52">
        <f t="shared" si="251"/>
        <v>1</v>
      </c>
      <c r="F2516" s="52"/>
      <c r="G2516" s="52"/>
      <c r="H2516" s="52"/>
      <c r="I2516" s="52"/>
      <c r="J2516" s="52"/>
      <c r="K2516" s="52"/>
      <c r="L2516" s="52"/>
      <c r="M2516" s="52"/>
      <c r="N2516" s="52"/>
      <c r="O2516" s="52"/>
      <c r="P2516" s="52"/>
      <c r="Q2516" s="52"/>
      <c r="R2516" s="52"/>
      <c r="S2516" s="52"/>
      <c r="T2516" s="52"/>
      <c r="U2516" s="52"/>
      <c r="V2516" s="52"/>
      <c r="W2516" s="52"/>
      <c r="X2516" s="52"/>
      <c r="Y2516" s="52"/>
      <c r="Z2516" s="52"/>
      <c r="AA2516" s="52"/>
      <c r="AB2516" s="52"/>
      <c r="AC2516" s="52"/>
      <c r="AD2516" s="52"/>
      <c r="AE2516" s="52"/>
      <c r="AF2516" s="52"/>
      <c r="AG2516" s="52"/>
      <c r="AH2516" s="52"/>
      <c r="AI2516" s="52"/>
      <c r="AJ2516" s="52"/>
      <c r="AK2516" s="52"/>
      <c r="AL2516" s="52"/>
      <c r="AM2516" s="52"/>
      <c r="AN2516" s="52"/>
    </row>
    <row r="2517" spans="1:40" x14ac:dyDescent="0.3">
      <c r="A2517" s="52">
        <v>2512</v>
      </c>
      <c r="B2517" s="52">
        <f>-bthan*500+(11+0.5)*bthan*1000/50</f>
        <v>-1485</v>
      </c>
      <c r="C2517" s="52">
        <f t="shared" si="252"/>
        <v>210.00000000000023</v>
      </c>
      <c r="D2517" s="52">
        <f t="shared" si="250"/>
        <v>2200</v>
      </c>
      <c r="E2517" s="52">
        <f t="shared" si="251"/>
        <v>1</v>
      </c>
      <c r="F2517" s="52"/>
      <c r="G2517" s="52"/>
      <c r="H2517" s="52"/>
      <c r="I2517" s="52"/>
      <c r="J2517" s="52"/>
      <c r="K2517" s="52"/>
      <c r="L2517" s="52"/>
      <c r="M2517" s="52"/>
      <c r="N2517" s="52"/>
      <c r="O2517" s="52"/>
      <c r="P2517" s="52"/>
      <c r="Q2517" s="52"/>
      <c r="R2517" s="52"/>
      <c r="S2517" s="52"/>
      <c r="T2517" s="52"/>
      <c r="U2517" s="52"/>
      <c r="V2517" s="52"/>
      <c r="W2517" s="52"/>
      <c r="X2517" s="52"/>
      <c r="Y2517" s="52"/>
      <c r="Z2517" s="52"/>
      <c r="AA2517" s="52"/>
      <c r="AB2517" s="52"/>
      <c r="AC2517" s="52"/>
      <c r="AD2517" s="52"/>
      <c r="AE2517" s="52"/>
      <c r="AF2517" s="52"/>
      <c r="AG2517" s="52"/>
      <c r="AH2517" s="52"/>
      <c r="AI2517" s="52"/>
      <c r="AJ2517" s="52"/>
      <c r="AK2517" s="52"/>
      <c r="AL2517" s="52"/>
      <c r="AM2517" s="52"/>
      <c r="AN2517" s="52"/>
    </row>
    <row r="2518" spans="1:40" x14ac:dyDescent="0.3">
      <c r="A2518" s="52">
        <v>2513</v>
      </c>
      <c r="B2518" s="52">
        <f>-bthan*500+(12+0.5)*bthan*1000/50</f>
        <v>-1375</v>
      </c>
      <c r="C2518" s="52">
        <f t="shared" si="252"/>
        <v>210.00000000000023</v>
      </c>
      <c r="D2518" s="52">
        <f t="shared" si="250"/>
        <v>2200</v>
      </c>
      <c r="E2518" s="52">
        <f t="shared" si="251"/>
        <v>1</v>
      </c>
      <c r="F2518" s="52"/>
      <c r="G2518" s="52"/>
      <c r="H2518" s="52"/>
      <c r="I2518" s="52"/>
      <c r="J2518" s="52"/>
      <c r="K2518" s="52"/>
      <c r="L2518" s="52"/>
      <c r="M2518" s="52"/>
      <c r="N2518" s="52"/>
      <c r="O2518" s="52"/>
      <c r="P2518" s="52"/>
      <c r="Q2518" s="52"/>
      <c r="R2518" s="52"/>
      <c r="S2518" s="52"/>
      <c r="T2518" s="52"/>
      <c r="U2518" s="52"/>
      <c r="V2518" s="52"/>
      <c r="W2518" s="52"/>
      <c r="X2518" s="52"/>
      <c r="Y2518" s="52"/>
      <c r="Z2518" s="52"/>
      <c r="AA2518" s="52"/>
      <c r="AB2518" s="52"/>
      <c r="AC2518" s="52"/>
      <c r="AD2518" s="52"/>
      <c r="AE2518" s="52"/>
      <c r="AF2518" s="52"/>
      <c r="AG2518" s="52"/>
      <c r="AH2518" s="52"/>
      <c r="AI2518" s="52"/>
      <c r="AJ2518" s="52"/>
      <c r="AK2518" s="52"/>
      <c r="AL2518" s="52"/>
      <c r="AM2518" s="52"/>
      <c r="AN2518" s="52"/>
    </row>
    <row r="2519" spans="1:40" x14ac:dyDescent="0.3">
      <c r="A2519" s="52">
        <v>2514</v>
      </c>
      <c r="B2519" s="52">
        <f>-bthan*500+(13+0.5)*bthan*1000/50</f>
        <v>-1265</v>
      </c>
      <c r="C2519" s="52">
        <f t="shared" si="252"/>
        <v>210.00000000000023</v>
      </c>
      <c r="D2519" s="52">
        <f t="shared" si="250"/>
        <v>2200</v>
      </c>
      <c r="E2519" s="52">
        <f t="shared" si="251"/>
        <v>1</v>
      </c>
      <c r="F2519" s="52"/>
      <c r="G2519" s="52"/>
      <c r="H2519" s="52"/>
      <c r="I2519" s="52"/>
      <c r="J2519" s="52"/>
      <c r="K2519" s="52"/>
      <c r="L2519" s="52"/>
      <c r="M2519" s="52"/>
      <c r="N2519" s="52"/>
      <c r="O2519" s="52"/>
      <c r="P2519" s="52"/>
      <c r="Q2519" s="52"/>
      <c r="R2519" s="52"/>
      <c r="S2519" s="52"/>
      <c r="T2519" s="52"/>
      <c r="U2519" s="52"/>
      <c r="V2519" s="52"/>
      <c r="W2519" s="52"/>
      <c r="X2519" s="52"/>
      <c r="Y2519" s="52"/>
      <c r="Z2519" s="52"/>
      <c r="AA2519" s="52"/>
      <c r="AB2519" s="52"/>
      <c r="AC2519" s="52"/>
      <c r="AD2519" s="52"/>
      <c r="AE2519" s="52"/>
      <c r="AF2519" s="52"/>
      <c r="AG2519" s="52"/>
      <c r="AH2519" s="52"/>
      <c r="AI2519" s="52"/>
      <c r="AJ2519" s="52"/>
      <c r="AK2519" s="52"/>
      <c r="AL2519" s="52"/>
      <c r="AM2519" s="52"/>
      <c r="AN2519" s="52"/>
    </row>
    <row r="2520" spans="1:40" x14ac:dyDescent="0.3">
      <c r="A2520" s="52">
        <v>2515</v>
      </c>
      <c r="B2520" s="52">
        <f>-bthan*500+(14+0.5)*bthan*1000/50</f>
        <v>-1155</v>
      </c>
      <c r="C2520" s="52">
        <f t="shared" si="252"/>
        <v>210.00000000000023</v>
      </c>
      <c r="D2520" s="52">
        <f t="shared" si="250"/>
        <v>2200</v>
      </c>
      <c r="E2520" s="52">
        <f t="shared" si="251"/>
        <v>1</v>
      </c>
      <c r="F2520" s="52"/>
      <c r="G2520" s="52"/>
      <c r="H2520" s="52"/>
      <c r="I2520" s="52"/>
      <c r="J2520" s="52"/>
      <c r="K2520" s="52"/>
      <c r="L2520" s="52"/>
      <c r="M2520" s="52"/>
      <c r="N2520" s="52"/>
      <c r="O2520" s="52"/>
      <c r="P2520" s="52"/>
      <c r="Q2520" s="52"/>
      <c r="R2520" s="52"/>
      <c r="S2520" s="52"/>
      <c r="T2520" s="52"/>
      <c r="U2520" s="52"/>
      <c r="V2520" s="52"/>
      <c r="W2520" s="52"/>
      <c r="X2520" s="52"/>
      <c r="Y2520" s="52"/>
      <c r="Z2520" s="52"/>
      <c r="AA2520" s="52"/>
      <c r="AB2520" s="52"/>
      <c r="AC2520" s="52"/>
      <c r="AD2520" s="52"/>
      <c r="AE2520" s="52"/>
      <c r="AF2520" s="52"/>
      <c r="AG2520" s="52"/>
      <c r="AH2520" s="52"/>
      <c r="AI2520" s="52"/>
      <c r="AJ2520" s="52"/>
      <c r="AK2520" s="52"/>
      <c r="AL2520" s="52"/>
      <c r="AM2520" s="52"/>
      <c r="AN2520" s="52"/>
    </row>
    <row r="2521" spans="1:40" x14ac:dyDescent="0.3">
      <c r="A2521" s="52">
        <v>2516</v>
      </c>
      <c r="B2521" s="52">
        <f>-bthan*500+(15+0.5)*bthan*1000/50</f>
        <v>-1045</v>
      </c>
      <c r="C2521" s="52">
        <f t="shared" si="252"/>
        <v>210.00000000000023</v>
      </c>
      <c r="D2521" s="52">
        <f t="shared" si="250"/>
        <v>2200</v>
      </c>
      <c r="E2521" s="52">
        <f t="shared" si="251"/>
        <v>1</v>
      </c>
      <c r="F2521" s="52"/>
      <c r="G2521" s="52"/>
      <c r="H2521" s="52"/>
      <c r="I2521" s="52"/>
      <c r="J2521" s="52"/>
      <c r="K2521" s="52"/>
      <c r="L2521" s="52"/>
      <c r="M2521" s="52"/>
      <c r="N2521" s="52"/>
      <c r="O2521" s="52"/>
      <c r="P2521" s="52"/>
      <c r="Q2521" s="52"/>
      <c r="R2521" s="52"/>
      <c r="S2521" s="52"/>
      <c r="T2521" s="52"/>
      <c r="U2521" s="52"/>
      <c r="V2521" s="52"/>
      <c r="W2521" s="52"/>
      <c r="X2521" s="52"/>
      <c r="Y2521" s="52"/>
      <c r="Z2521" s="52"/>
      <c r="AA2521" s="52"/>
      <c r="AB2521" s="52"/>
      <c r="AC2521" s="52"/>
      <c r="AD2521" s="52"/>
      <c r="AE2521" s="52"/>
      <c r="AF2521" s="52"/>
      <c r="AG2521" s="52"/>
      <c r="AH2521" s="52"/>
      <c r="AI2521" s="52"/>
      <c r="AJ2521" s="52"/>
      <c r="AK2521" s="52"/>
      <c r="AL2521" s="52"/>
      <c r="AM2521" s="52"/>
      <c r="AN2521" s="52"/>
    </row>
    <row r="2522" spans="1:40" x14ac:dyDescent="0.3">
      <c r="A2522" s="52">
        <v>2517</v>
      </c>
      <c r="B2522" s="52">
        <f>-bthan*500+(16+0.5)*bthan*1000/50</f>
        <v>-935</v>
      </c>
      <c r="C2522" s="52">
        <f t="shared" si="252"/>
        <v>210.00000000000023</v>
      </c>
      <c r="D2522" s="52">
        <f t="shared" si="250"/>
        <v>2200</v>
      </c>
      <c r="E2522" s="52">
        <f t="shared" si="251"/>
        <v>1</v>
      </c>
      <c r="F2522" s="52"/>
      <c r="G2522" s="52"/>
      <c r="H2522" s="52"/>
      <c r="I2522" s="52"/>
      <c r="J2522" s="52"/>
      <c r="K2522" s="52"/>
      <c r="L2522" s="52"/>
      <c r="M2522" s="52"/>
      <c r="N2522" s="52"/>
      <c r="O2522" s="52"/>
      <c r="P2522" s="52"/>
      <c r="Q2522" s="52"/>
      <c r="R2522" s="52"/>
      <c r="S2522" s="52"/>
      <c r="T2522" s="52"/>
      <c r="U2522" s="52"/>
      <c r="V2522" s="52"/>
      <c r="W2522" s="52"/>
      <c r="X2522" s="52"/>
      <c r="Y2522" s="52"/>
      <c r="Z2522" s="52"/>
      <c r="AA2522" s="52"/>
      <c r="AB2522" s="52"/>
      <c r="AC2522" s="52"/>
      <c r="AD2522" s="52"/>
      <c r="AE2522" s="52"/>
      <c r="AF2522" s="52"/>
      <c r="AG2522" s="52"/>
      <c r="AH2522" s="52"/>
      <c r="AI2522" s="52"/>
      <c r="AJ2522" s="52"/>
      <c r="AK2522" s="52"/>
      <c r="AL2522" s="52"/>
      <c r="AM2522" s="52"/>
      <c r="AN2522" s="52"/>
    </row>
    <row r="2523" spans="1:40" x14ac:dyDescent="0.3">
      <c r="A2523" s="52">
        <v>2518</v>
      </c>
      <c r="B2523" s="52">
        <f>-bthan*500+(17+0.5)*bthan*1000/50</f>
        <v>-825</v>
      </c>
      <c r="C2523" s="52">
        <f t="shared" si="252"/>
        <v>210.00000000000023</v>
      </c>
      <c r="D2523" s="52">
        <f t="shared" si="250"/>
        <v>2200</v>
      </c>
      <c r="E2523" s="52">
        <f t="shared" si="251"/>
        <v>1</v>
      </c>
      <c r="F2523" s="52"/>
      <c r="G2523" s="52"/>
      <c r="H2523" s="52"/>
      <c r="I2523" s="52"/>
      <c r="J2523" s="52"/>
      <c r="K2523" s="52"/>
      <c r="L2523" s="52"/>
      <c r="M2523" s="52"/>
      <c r="N2523" s="52"/>
      <c r="O2523" s="52"/>
      <c r="P2523" s="52"/>
      <c r="Q2523" s="52"/>
      <c r="R2523" s="52"/>
      <c r="S2523" s="52"/>
      <c r="T2523" s="52"/>
      <c r="U2523" s="52"/>
      <c r="V2523" s="52"/>
      <c r="W2523" s="52"/>
      <c r="X2523" s="52"/>
      <c r="Y2523" s="52"/>
      <c r="Z2523" s="52"/>
      <c r="AA2523" s="52"/>
      <c r="AB2523" s="52"/>
      <c r="AC2523" s="52"/>
      <c r="AD2523" s="52"/>
      <c r="AE2523" s="52"/>
      <c r="AF2523" s="52"/>
      <c r="AG2523" s="52"/>
      <c r="AH2523" s="52"/>
      <c r="AI2523" s="52"/>
      <c r="AJ2523" s="52"/>
      <c r="AK2523" s="52"/>
      <c r="AL2523" s="52"/>
      <c r="AM2523" s="52"/>
      <c r="AN2523" s="52"/>
    </row>
    <row r="2524" spans="1:40" x14ac:dyDescent="0.3">
      <c r="A2524" s="52">
        <v>2519</v>
      </c>
      <c r="B2524" s="52">
        <f>-bthan*500+(18+0.5)*bthan*1000/50</f>
        <v>-715</v>
      </c>
      <c r="C2524" s="52">
        <f t="shared" si="252"/>
        <v>210.00000000000023</v>
      </c>
      <c r="D2524" s="52">
        <f t="shared" si="250"/>
        <v>2200</v>
      </c>
      <c r="E2524" s="52">
        <f t="shared" si="251"/>
        <v>1</v>
      </c>
      <c r="F2524" s="52"/>
      <c r="G2524" s="52"/>
      <c r="H2524" s="52"/>
      <c r="I2524" s="52"/>
      <c r="J2524" s="52"/>
      <c r="K2524" s="52"/>
      <c r="L2524" s="52"/>
      <c r="M2524" s="52"/>
      <c r="N2524" s="52"/>
      <c r="O2524" s="52"/>
      <c r="P2524" s="52"/>
      <c r="Q2524" s="52"/>
      <c r="R2524" s="52"/>
      <c r="S2524" s="52"/>
      <c r="T2524" s="52"/>
      <c r="U2524" s="52"/>
      <c r="V2524" s="52"/>
      <c r="W2524" s="52"/>
      <c r="X2524" s="52"/>
      <c r="Y2524" s="52"/>
      <c r="Z2524" s="52"/>
      <c r="AA2524" s="52"/>
      <c r="AB2524" s="52"/>
      <c r="AC2524" s="52"/>
      <c r="AD2524" s="52"/>
      <c r="AE2524" s="52"/>
      <c r="AF2524" s="52"/>
      <c r="AG2524" s="52"/>
      <c r="AH2524" s="52"/>
      <c r="AI2524" s="52"/>
      <c r="AJ2524" s="52"/>
      <c r="AK2524" s="52"/>
      <c r="AL2524" s="52"/>
      <c r="AM2524" s="52"/>
      <c r="AN2524" s="52"/>
    </row>
    <row r="2525" spans="1:40" x14ac:dyDescent="0.3">
      <c r="A2525" s="52">
        <v>2520</v>
      </c>
      <c r="B2525" s="52">
        <f>-bthan*500+(19+0.5)*bthan*1000/50</f>
        <v>-605</v>
      </c>
      <c r="C2525" s="52">
        <f t="shared" si="252"/>
        <v>210.00000000000023</v>
      </c>
      <c r="D2525" s="52">
        <f t="shared" si="250"/>
        <v>2200</v>
      </c>
      <c r="E2525" s="52">
        <f t="shared" si="251"/>
        <v>1</v>
      </c>
      <c r="F2525" s="52"/>
      <c r="G2525" s="52"/>
      <c r="H2525" s="52"/>
      <c r="I2525" s="52"/>
      <c r="J2525" s="52"/>
      <c r="K2525" s="52"/>
      <c r="L2525" s="52"/>
      <c r="M2525" s="52"/>
      <c r="N2525" s="52"/>
      <c r="O2525" s="52"/>
      <c r="P2525" s="52"/>
      <c r="Q2525" s="52"/>
      <c r="R2525" s="52"/>
      <c r="S2525" s="52"/>
      <c r="T2525" s="52"/>
      <c r="U2525" s="52"/>
      <c r="V2525" s="52"/>
      <c r="W2525" s="52"/>
      <c r="X2525" s="52"/>
      <c r="Y2525" s="52"/>
      <c r="Z2525" s="52"/>
      <c r="AA2525" s="52"/>
      <c r="AB2525" s="52"/>
      <c r="AC2525" s="52"/>
      <c r="AD2525" s="52"/>
      <c r="AE2525" s="52"/>
      <c r="AF2525" s="52"/>
      <c r="AG2525" s="52"/>
      <c r="AH2525" s="52"/>
      <c r="AI2525" s="52"/>
      <c r="AJ2525" s="52"/>
      <c r="AK2525" s="52"/>
      <c r="AL2525" s="52"/>
      <c r="AM2525" s="52"/>
      <c r="AN2525" s="52"/>
    </row>
    <row r="2526" spans="1:40" x14ac:dyDescent="0.3">
      <c r="A2526" s="52">
        <v>2521</v>
      </c>
      <c r="B2526" s="52">
        <f>-bthan*500+(20+0.5)*bthan*1000/50</f>
        <v>-495</v>
      </c>
      <c r="C2526" s="52">
        <f t="shared" si="252"/>
        <v>210.00000000000023</v>
      </c>
      <c r="D2526" s="52">
        <f t="shared" si="250"/>
        <v>2200</v>
      </c>
      <c r="E2526" s="52">
        <f t="shared" si="251"/>
        <v>1</v>
      </c>
      <c r="F2526" s="52"/>
      <c r="G2526" s="52"/>
      <c r="H2526" s="52"/>
      <c r="I2526" s="52"/>
      <c r="J2526" s="52"/>
      <c r="K2526" s="52"/>
      <c r="L2526" s="52"/>
      <c r="M2526" s="52"/>
      <c r="N2526" s="52"/>
      <c r="O2526" s="52"/>
      <c r="P2526" s="52"/>
      <c r="Q2526" s="52"/>
      <c r="R2526" s="52"/>
      <c r="S2526" s="52"/>
      <c r="T2526" s="52"/>
      <c r="U2526" s="52"/>
      <c r="V2526" s="52"/>
      <c r="W2526" s="52"/>
      <c r="X2526" s="52"/>
      <c r="Y2526" s="52"/>
      <c r="Z2526" s="52"/>
      <c r="AA2526" s="52"/>
      <c r="AB2526" s="52"/>
      <c r="AC2526" s="52"/>
      <c r="AD2526" s="52"/>
      <c r="AE2526" s="52"/>
      <c r="AF2526" s="52"/>
      <c r="AG2526" s="52"/>
      <c r="AH2526" s="52"/>
      <c r="AI2526" s="52"/>
      <c r="AJ2526" s="52"/>
      <c r="AK2526" s="52"/>
      <c r="AL2526" s="52"/>
      <c r="AM2526" s="52"/>
      <c r="AN2526" s="52"/>
    </row>
    <row r="2527" spans="1:40" x14ac:dyDescent="0.3">
      <c r="A2527" s="52">
        <v>2522</v>
      </c>
      <c r="B2527" s="52">
        <f>-bthan*500+(21+0.5)*bthan*1000/50</f>
        <v>-385</v>
      </c>
      <c r="C2527" s="52">
        <f t="shared" si="252"/>
        <v>210.00000000000023</v>
      </c>
      <c r="D2527" s="52">
        <f t="shared" si="250"/>
        <v>2200</v>
      </c>
      <c r="E2527" s="52">
        <f t="shared" si="251"/>
        <v>1</v>
      </c>
      <c r="F2527" s="52"/>
      <c r="G2527" s="52"/>
      <c r="H2527" s="52"/>
      <c r="I2527" s="52"/>
      <c r="J2527" s="52"/>
      <c r="K2527" s="52"/>
      <c r="L2527" s="52"/>
      <c r="M2527" s="52"/>
      <c r="N2527" s="52"/>
      <c r="O2527" s="52"/>
      <c r="P2527" s="52"/>
      <c r="Q2527" s="52"/>
      <c r="R2527" s="52"/>
      <c r="S2527" s="52"/>
      <c r="T2527" s="52"/>
      <c r="U2527" s="52"/>
      <c r="V2527" s="52"/>
      <c r="W2527" s="52"/>
      <c r="X2527" s="52"/>
      <c r="Y2527" s="52"/>
      <c r="Z2527" s="52"/>
      <c r="AA2527" s="52"/>
      <c r="AB2527" s="52"/>
      <c r="AC2527" s="52"/>
      <c r="AD2527" s="52"/>
      <c r="AE2527" s="52"/>
      <c r="AF2527" s="52"/>
      <c r="AG2527" s="52"/>
      <c r="AH2527" s="52"/>
      <c r="AI2527" s="52"/>
      <c r="AJ2527" s="52"/>
      <c r="AK2527" s="52"/>
      <c r="AL2527" s="52"/>
      <c r="AM2527" s="52"/>
      <c r="AN2527" s="52"/>
    </row>
    <row r="2528" spans="1:40" x14ac:dyDescent="0.3">
      <c r="A2528" s="52">
        <v>2523</v>
      </c>
      <c r="B2528" s="52">
        <f>-bthan*500+(22+0.5)*bthan*1000/50</f>
        <v>-275</v>
      </c>
      <c r="C2528" s="52">
        <f t="shared" si="252"/>
        <v>210.00000000000023</v>
      </c>
      <c r="D2528" s="52">
        <f t="shared" si="250"/>
        <v>2200</v>
      </c>
      <c r="E2528" s="52">
        <f t="shared" si="251"/>
        <v>1</v>
      </c>
      <c r="F2528" s="52"/>
      <c r="G2528" s="52"/>
      <c r="H2528" s="52"/>
      <c r="I2528" s="52"/>
      <c r="J2528" s="52"/>
      <c r="K2528" s="52"/>
      <c r="L2528" s="52"/>
      <c r="M2528" s="52"/>
      <c r="N2528" s="52"/>
      <c r="O2528" s="52"/>
      <c r="P2528" s="52"/>
      <c r="Q2528" s="52"/>
      <c r="R2528" s="52"/>
      <c r="S2528" s="52"/>
      <c r="T2528" s="52"/>
      <c r="U2528" s="52"/>
      <c r="V2528" s="52"/>
      <c r="W2528" s="52"/>
      <c r="X2528" s="52"/>
      <c r="Y2528" s="52"/>
      <c r="Z2528" s="52"/>
      <c r="AA2528" s="52"/>
      <c r="AB2528" s="52"/>
      <c r="AC2528" s="52"/>
      <c r="AD2528" s="52"/>
      <c r="AE2528" s="52"/>
      <c r="AF2528" s="52"/>
      <c r="AG2528" s="52"/>
      <c r="AH2528" s="52"/>
      <c r="AI2528" s="52"/>
      <c r="AJ2528" s="52"/>
      <c r="AK2528" s="52"/>
      <c r="AL2528" s="52"/>
      <c r="AM2528" s="52"/>
      <c r="AN2528" s="52"/>
    </row>
    <row r="2529" spans="1:40" x14ac:dyDescent="0.3">
      <c r="A2529" s="52">
        <v>2524</v>
      </c>
      <c r="B2529" s="52">
        <f>-bthan*500+(23+0.5)*bthan*1000/50</f>
        <v>-165</v>
      </c>
      <c r="C2529" s="52">
        <f t="shared" si="252"/>
        <v>210.00000000000023</v>
      </c>
      <c r="D2529" s="52">
        <f t="shared" si="250"/>
        <v>2200</v>
      </c>
      <c r="E2529" s="52">
        <f t="shared" si="251"/>
        <v>1</v>
      </c>
      <c r="F2529" s="52"/>
      <c r="G2529" s="52"/>
      <c r="H2529" s="52"/>
      <c r="I2529" s="52"/>
      <c r="J2529" s="52"/>
      <c r="K2529" s="52"/>
      <c r="L2529" s="52"/>
      <c r="M2529" s="52"/>
      <c r="N2529" s="52"/>
      <c r="O2529" s="52"/>
      <c r="P2529" s="52"/>
      <c r="Q2529" s="52"/>
      <c r="R2529" s="52"/>
      <c r="S2529" s="52"/>
      <c r="T2529" s="52"/>
      <c r="U2529" s="52"/>
      <c r="V2529" s="52"/>
      <c r="W2529" s="52"/>
      <c r="X2529" s="52"/>
      <c r="Y2529" s="52"/>
      <c r="Z2529" s="52"/>
      <c r="AA2529" s="52"/>
      <c r="AB2529" s="52"/>
      <c r="AC2529" s="52"/>
      <c r="AD2529" s="52"/>
      <c r="AE2529" s="52"/>
      <c r="AF2529" s="52"/>
      <c r="AG2529" s="52"/>
      <c r="AH2529" s="52"/>
      <c r="AI2529" s="52"/>
      <c r="AJ2529" s="52"/>
      <c r="AK2529" s="52"/>
      <c r="AL2529" s="52"/>
      <c r="AM2529" s="52"/>
      <c r="AN2529" s="52"/>
    </row>
    <row r="2530" spans="1:40" x14ac:dyDescent="0.3">
      <c r="A2530" s="52">
        <v>2525</v>
      </c>
      <c r="B2530" s="52">
        <f>-bthan*500+(24+0.5)*bthan*1000/50</f>
        <v>-55</v>
      </c>
      <c r="C2530" s="52">
        <f t="shared" si="252"/>
        <v>210.00000000000023</v>
      </c>
      <c r="D2530" s="52">
        <f t="shared" si="250"/>
        <v>2200</v>
      </c>
      <c r="E2530" s="52">
        <f t="shared" si="251"/>
        <v>1</v>
      </c>
      <c r="F2530" s="52"/>
      <c r="G2530" s="52"/>
      <c r="H2530" s="52"/>
      <c r="I2530" s="52"/>
      <c r="J2530" s="52"/>
      <c r="K2530" s="52"/>
      <c r="L2530" s="52"/>
      <c r="M2530" s="52"/>
      <c r="N2530" s="52"/>
      <c r="O2530" s="52"/>
      <c r="P2530" s="52"/>
      <c r="Q2530" s="52"/>
      <c r="R2530" s="52"/>
      <c r="S2530" s="52"/>
      <c r="T2530" s="52"/>
      <c r="U2530" s="52"/>
      <c r="V2530" s="52"/>
      <c r="W2530" s="52"/>
      <c r="X2530" s="52"/>
      <c r="Y2530" s="52"/>
      <c r="Z2530" s="52"/>
      <c r="AA2530" s="52"/>
      <c r="AB2530" s="52"/>
      <c r="AC2530" s="52"/>
      <c r="AD2530" s="52"/>
      <c r="AE2530" s="52"/>
      <c r="AF2530" s="52"/>
      <c r="AG2530" s="52"/>
      <c r="AH2530" s="52"/>
      <c r="AI2530" s="52"/>
      <c r="AJ2530" s="52"/>
      <c r="AK2530" s="52"/>
      <c r="AL2530" s="52"/>
      <c r="AM2530" s="52"/>
      <c r="AN2530" s="52"/>
    </row>
    <row r="2531" spans="1:40" x14ac:dyDescent="0.3">
      <c r="A2531" s="52">
        <v>2526</v>
      </c>
      <c r="B2531" s="52">
        <f>-bthan*500+(25+0.5)*bthan*1000/50</f>
        <v>55</v>
      </c>
      <c r="C2531" s="52">
        <f t="shared" si="252"/>
        <v>210.00000000000023</v>
      </c>
      <c r="D2531" s="52">
        <f t="shared" si="250"/>
        <v>2200</v>
      </c>
      <c r="E2531" s="52">
        <f t="shared" si="251"/>
        <v>1</v>
      </c>
      <c r="F2531" s="52"/>
      <c r="G2531" s="52"/>
      <c r="H2531" s="52"/>
      <c r="I2531" s="52"/>
      <c r="J2531" s="52"/>
      <c r="K2531" s="52"/>
      <c r="L2531" s="52"/>
      <c r="M2531" s="52"/>
      <c r="N2531" s="52"/>
      <c r="O2531" s="52"/>
      <c r="P2531" s="52"/>
      <c r="Q2531" s="52"/>
      <c r="R2531" s="52"/>
      <c r="S2531" s="52"/>
      <c r="T2531" s="52"/>
      <c r="U2531" s="52"/>
      <c r="V2531" s="52"/>
      <c r="W2531" s="52"/>
      <c r="X2531" s="52"/>
      <c r="Y2531" s="52"/>
      <c r="Z2531" s="52"/>
      <c r="AA2531" s="52"/>
      <c r="AB2531" s="52"/>
      <c r="AC2531" s="52"/>
      <c r="AD2531" s="52"/>
      <c r="AE2531" s="52"/>
      <c r="AF2531" s="52"/>
      <c r="AG2531" s="52"/>
      <c r="AH2531" s="52"/>
      <c r="AI2531" s="52"/>
      <c r="AJ2531" s="52"/>
      <c r="AK2531" s="52"/>
      <c r="AL2531" s="52"/>
      <c r="AM2531" s="52"/>
      <c r="AN2531" s="52"/>
    </row>
    <row r="2532" spans="1:40" x14ac:dyDescent="0.3">
      <c r="A2532" s="52">
        <v>2527</v>
      </c>
      <c r="B2532" s="52">
        <f>-bthan*500+(26+0.5)*bthan*1000/50</f>
        <v>165</v>
      </c>
      <c r="C2532" s="52">
        <f t="shared" si="252"/>
        <v>210.00000000000023</v>
      </c>
      <c r="D2532" s="52">
        <f t="shared" si="250"/>
        <v>2200</v>
      </c>
      <c r="E2532" s="52">
        <f t="shared" si="251"/>
        <v>1</v>
      </c>
      <c r="F2532" s="52"/>
      <c r="G2532" s="52"/>
      <c r="H2532" s="52"/>
      <c r="I2532" s="52"/>
      <c r="J2532" s="52"/>
      <c r="K2532" s="52"/>
      <c r="L2532" s="52"/>
      <c r="M2532" s="52"/>
      <c r="N2532" s="52"/>
      <c r="O2532" s="52"/>
      <c r="P2532" s="52"/>
      <c r="Q2532" s="52"/>
      <c r="R2532" s="52"/>
      <c r="S2532" s="52"/>
      <c r="T2532" s="52"/>
      <c r="U2532" s="52"/>
      <c r="V2532" s="52"/>
      <c r="W2532" s="52"/>
      <c r="X2532" s="52"/>
      <c r="Y2532" s="52"/>
      <c r="Z2532" s="52"/>
      <c r="AA2532" s="52"/>
      <c r="AB2532" s="52"/>
      <c r="AC2532" s="52"/>
      <c r="AD2532" s="52"/>
      <c r="AE2532" s="52"/>
      <c r="AF2532" s="52"/>
      <c r="AG2532" s="52"/>
      <c r="AH2532" s="52"/>
      <c r="AI2532" s="52"/>
      <c r="AJ2532" s="52"/>
      <c r="AK2532" s="52"/>
      <c r="AL2532" s="52"/>
      <c r="AM2532" s="52"/>
      <c r="AN2532" s="52"/>
    </row>
    <row r="2533" spans="1:40" x14ac:dyDescent="0.3">
      <c r="A2533" s="52">
        <v>2528</v>
      </c>
      <c r="B2533" s="52">
        <f>-bthan*500+(27+0.5)*bthan*1000/50</f>
        <v>275</v>
      </c>
      <c r="C2533" s="52">
        <f t="shared" si="252"/>
        <v>210.00000000000023</v>
      </c>
      <c r="D2533" s="52">
        <f t="shared" si="250"/>
        <v>2200</v>
      </c>
      <c r="E2533" s="52">
        <f t="shared" si="251"/>
        <v>1</v>
      </c>
      <c r="F2533" s="52"/>
      <c r="G2533" s="52"/>
      <c r="H2533" s="52"/>
      <c r="I2533" s="52"/>
      <c r="J2533" s="52"/>
      <c r="K2533" s="52"/>
      <c r="L2533" s="52"/>
      <c r="M2533" s="52"/>
      <c r="N2533" s="52"/>
      <c r="O2533" s="52"/>
      <c r="P2533" s="52"/>
      <c r="Q2533" s="52"/>
      <c r="R2533" s="52"/>
      <c r="S2533" s="52"/>
      <c r="T2533" s="52"/>
      <c r="U2533" s="52"/>
      <c r="V2533" s="52"/>
      <c r="W2533" s="52"/>
      <c r="X2533" s="52"/>
      <c r="Y2533" s="52"/>
      <c r="Z2533" s="52"/>
      <c r="AA2533" s="52"/>
      <c r="AB2533" s="52"/>
      <c r="AC2533" s="52"/>
      <c r="AD2533" s="52"/>
      <c r="AE2533" s="52"/>
      <c r="AF2533" s="52"/>
      <c r="AG2533" s="52"/>
      <c r="AH2533" s="52"/>
      <c r="AI2533" s="52"/>
      <c r="AJ2533" s="52"/>
      <c r="AK2533" s="52"/>
      <c r="AL2533" s="52"/>
      <c r="AM2533" s="52"/>
      <c r="AN2533" s="52"/>
    </row>
    <row r="2534" spans="1:40" x14ac:dyDescent="0.3">
      <c r="A2534" s="52">
        <v>2529</v>
      </c>
      <c r="B2534" s="52">
        <f>-bthan*500+(28+0.5)*bthan*1000/50</f>
        <v>385</v>
      </c>
      <c r="C2534" s="52">
        <f t="shared" si="252"/>
        <v>210.00000000000023</v>
      </c>
      <c r="D2534" s="52">
        <f t="shared" si="250"/>
        <v>2200</v>
      </c>
      <c r="E2534" s="52">
        <f t="shared" si="251"/>
        <v>1</v>
      </c>
      <c r="F2534" s="52"/>
      <c r="G2534" s="52"/>
      <c r="H2534" s="52"/>
      <c r="I2534" s="52"/>
      <c r="J2534" s="52"/>
      <c r="K2534" s="52"/>
      <c r="L2534" s="52"/>
      <c r="M2534" s="52"/>
      <c r="N2534" s="52"/>
      <c r="O2534" s="52"/>
      <c r="P2534" s="52"/>
      <c r="Q2534" s="52"/>
      <c r="R2534" s="52"/>
      <c r="S2534" s="52"/>
      <c r="T2534" s="52"/>
      <c r="U2534" s="52"/>
      <c r="V2534" s="52"/>
      <c r="W2534" s="52"/>
      <c r="X2534" s="52"/>
      <c r="Y2534" s="52"/>
      <c r="Z2534" s="52"/>
      <c r="AA2534" s="52"/>
      <c r="AB2534" s="52"/>
      <c r="AC2534" s="52"/>
      <c r="AD2534" s="52"/>
      <c r="AE2534" s="52"/>
      <c r="AF2534" s="52"/>
      <c r="AG2534" s="52"/>
      <c r="AH2534" s="52"/>
      <c r="AI2534" s="52"/>
      <c r="AJ2534" s="52"/>
      <c r="AK2534" s="52"/>
      <c r="AL2534" s="52"/>
      <c r="AM2534" s="52"/>
      <c r="AN2534" s="52"/>
    </row>
    <row r="2535" spans="1:40" x14ac:dyDescent="0.3">
      <c r="A2535" s="52">
        <v>2530</v>
      </c>
      <c r="B2535" s="52">
        <f>-bthan*500+(29+0.5)*bthan*1000/50</f>
        <v>495</v>
      </c>
      <c r="C2535" s="52">
        <f t="shared" si="252"/>
        <v>210.00000000000023</v>
      </c>
      <c r="D2535" s="52">
        <f t="shared" si="250"/>
        <v>2200</v>
      </c>
      <c r="E2535" s="52">
        <f t="shared" si="251"/>
        <v>1</v>
      </c>
      <c r="F2535" s="52"/>
      <c r="G2535" s="52"/>
      <c r="H2535" s="52"/>
      <c r="I2535" s="52"/>
      <c r="J2535" s="52"/>
      <c r="K2535" s="52"/>
      <c r="L2535" s="52"/>
      <c r="M2535" s="52"/>
      <c r="N2535" s="52"/>
      <c r="O2535" s="52"/>
      <c r="P2535" s="52"/>
      <c r="Q2535" s="52"/>
      <c r="R2535" s="52"/>
      <c r="S2535" s="52"/>
      <c r="T2535" s="52"/>
      <c r="U2535" s="52"/>
      <c r="V2535" s="52"/>
      <c r="W2535" s="52"/>
      <c r="X2535" s="52"/>
      <c r="Y2535" s="52"/>
      <c r="Z2535" s="52"/>
      <c r="AA2535" s="52"/>
      <c r="AB2535" s="52"/>
      <c r="AC2535" s="52"/>
      <c r="AD2535" s="52"/>
      <c r="AE2535" s="52"/>
      <c r="AF2535" s="52"/>
      <c r="AG2535" s="52"/>
      <c r="AH2535" s="52"/>
      <c r="AI2535" s="52"/>
      <c r="AJ2535" s="52"/>
      <c r="AK2535" s="52"/>
      <c r="AL2535" s="52"/>
      <c r="AM2535" s="52"/>
      <c r="AN2535" s="52"/>
    </row>
    <row r="2536" spans="1:40" x14ac:dyDescent="0.3">
      <c r="A2536" s="52">
        <v>2531</v>
      </c>
      <c r="B2536" s="52">
        <f>-bthan*500+(30+0.5)*bthan*1000/50</f>
        <v>605</v>
      </c>
      <c r="C2536" s="52">
        <f t="shared" si="252"/>
        <v>210.00000000000023</v>
      </c>
      <c r="D2536" s="52">
        <f t="shared" si="250"/>
        <v>2200</v>
      </c>
      <c r="E2536" s="52">
        <f t="shared" si="251"/>
        <v>1</v>
      </c>
      <c r="F2536" s="52"/>
      <c r="G2536" s="52"/>
      <c r="H2536" s="52"/>
      <c r="I2536" s="52"/>
      <c r="J2536" s="52"/>
      <c r="K2536" s="52"/>
      <c r="L2536" s="52"/>
      <c r="M2536" s="52"/>
      <c r="N2536" s="52"/>
      <c r="O2536" s="52"/>
      <c r="P2536" s="52"/>
      <c r="Q2536" s="52"/>
      <c r="R2536" s="52"/>
      <c r="S2536" s="52"/>
      <c r="T2536" s="52"/>
      <c r="U2536" s="52"/>
      <c r="V2536" s="52"/>
      <c r="W2536" s="52"/>
      <c r="X2536" s="52"/>
      <c r="Y2536" s="52"/>
      <c r="Z2536" s="52"/>
      <c r="AA2536" s="52"/>
      <c r="AB2536" s="52"/>
      <c r="AC2536" s="52"/>
      <c r="AD2536" s="52"/>
      <c r="AE2536" s="52"/>
      <c r="AF2536" s="52"/>
      <c r="AG2536" s="52"/>
      <c r="AH2536" s="52"/>
      <c r="AI2536" s="52"/>
      <c r="AJ2536" s="52"/>
      <c r="AK2536" s="52"/>
      <c r="AL2536" s="52"/>
      <c r="AM2536" s="52"/>
      <c r="AN2536" s="52"/>
    </row>
    <row r="2537" spans="1:40" x14ac:dyDescent="0.3">
      <c r="A2537" s="52">
        <v>2532</v>
      </c>
      <c r="B2537" s="52">
        <f>-bthan*500+(31+0.5)*bthan*1000/50</f>
        <v>715</v>
      </c>
      <c r="C2537" s="52">
        <f t="shared" si="252"/>
        <v>210.00000000000023</v>
      </c>
      <c r="D2537" s="52">
        <f t="shared" si="250"/>
        <v>2200</v>
      </c>
      <c r="E2537" s="52">
        <f t="shared" si="251"/>
        <v>1</v>
      </c>
      <c r="F2537" s="52"/>
      <c r="G2537" s="52"/>
      <c r="H2537" s="52"/>
      <c r="I2537" s="52"/>
      <c r="J2537" s="52"/>
      <c r="K2537" s="52"/>
      <c r="L2537" s="52"/>
      <c r="M2537" s="52"/>
      <c r="N2537" s="52"/>
      <c r="O2537" s="52"/>
      <c r="P2537" s="52"/>
      <c r="Q2537" s="52"/>
      <c r="R2537" s="52"/>
      <c r="S2537" s="52"/>
      <c r="T2537" s="52"/>
      <c r="U2537" s="52"/>
      <c r="V2537" s="52"/>
      <c r="W2537" s="52"/>
      <c r="X2537" s="52"/>
      <c r="Y2537" s="52"/>
      <c r="Z2537" s="52"/>
      <c r="AA2537" s="52"/>
      <c r="AB2537" s="52"/>
      <c r="AC2537" s="52"/>
      <c r="AD2537" s="52"/>
      <c r="AE2537" s="52"/>
      <c r="AF2537" s="52"/>
      <c r="AG2537" s="52"/>
      <c r="AH2537" s="52"/>
      <c r="AI2537" s="52"/>
      <c r="AJ2537" s="52"/>
      <c r="AK2537" s="52"/>
      <c r="AL2537" s="52"/>
      <c r="AM2537" s="52"/>
      <c r="AN2537" s="52"/>
    </row>
    <row r="2538" spans="1:40" x14ac:dyDescent="0.3">
      <c r="A2538" s="52">
        <v>2533</v>
      </c>
      <c r="B2538" s="52">
        <f>-bthan*500+(32+0.5)*bthan*1000/50</f>
        <v>825</v>
      </c>
      <c r="C2538" s="52">
        <f t="shared" ref="C2538:C2555" si="253">-hthan*500+(50+0.5)*hthan*1000/80</f>
        <v>210.00000000000023</v>
      </c>
      <c r="D2538" s="52">
        <f t="shared" si="250"/>
        <v>2200</v>
      </c>
      <c r="E2538" s="52">
        <f t="shared" si="251"/>
        <v>1</v>
      </c>
      <c r="F2538" s="52"/>
      <c r="G2538" s="52"/>
      <c r="H2538" s="52"/>
      <c r="I2538" s="52"/>
      <c r="J2538" s="52"/>
      <c r="K2538" s="52"/>
      <c r="L2538" s="52"/>
      <c r="M2538" s="52"/>
      <c r="N2538" s="52"/>
      <c r="O2538" s="52"/>
      <c r="P2538" s="52"/>
      <c r="Q2538" s="52"/>
      <c r="R2538" s="52"/>
      <c r="S2538" s="52"/>
      <c r="T2538" s="52"/>
      <c r="U2538" s="52"/>
      <c r="V2538" s="52"/>
      <c r="W2538" s="52"/>
      <c r="X2538" s="52"/>
      <c r="Y2538" s="52"/>
      <c r="Z2538" s="52"/>
      <c r="AA2538" s="52"/>
      <c r="AB2538" s="52"/>
      <c r="AC2538" s="52"/>
      <c r="AD2538" s="52"/>
      <c r="AE2538" s="52"/>
      <c r="AF2538" s="52"/>
      <c r="AG2538" s="52"/>
      <c r="AH2538" s="52"/>
      <c r="AI2538" s="52"/>
      <c r="AJ2538" s="52"/>
      <c r="AK2538" s="52"/>
      <c r="AL2538" s="52"/>
      <c r="AM2538" s="52"/>
      <c r="AN2538" s="52"/>
    </row>
    <row r="2539" spans="1:40" x14ac:dyDescent="0.3">
      <c r="A2539" s="52">
        <v>2534</v>
      </c>
      <c r="B2539" s="52">
        <f>-bthan*500+(33+0.5)*bthan*1000/50</f>
        <v>935</v>
      </c>
      <c r="C2539" s="52">
        <f t="shared" si="253"/>
        <v>210.00000000000023</v>
      </c>
      <c r="D2539" s="52">
        <f t="shared" si="250"/>
        <v>2200</v>
      </c>
      <c r="E2539" s="52">
        <f t="shared" si="251"/>
        <v>1</v>
      </c>
      <c r="F2539" s="52"/>
      <c r="G2539" s="52"/>
      <c r="H2539" s="52"/>
      <c r="I2539" s="52"/>
      <c r="J2539" s="52"/>
      <c r="K2539" s="52"/>
      <c r="L2539" s="52"/>
      <c r="M2539" s="52"/>
      <c r="N2539" s="52"/>
      <c r="O2539" s="52"/>
      <c r="P2539" s="52"/>
      <c r="Q2539" s="52"/>
      <c r="R2539" s="52"/>
      <c r="S2539" s="52"/>
      <c r="T2539" s="52"/>
      <c r="U2539" s="52"/>
      <c r="V2539" s="52"/>
      <c r="W2539" s="52"/>
      <c r="X2539" s="52"/>
      <c r="Y2539" s="52"/>
      <c r="Z2539" s="52"/>
      <c r="AA2539" s="52"/>
      <c r="AB2539" s="52"/>
      <c r="AC2539" s="52"/>
      <c r="AD2539" s="52"/>
      <c r="AE2539" s="52"/>
      <c r="AF2539" s="52"/>
      <c r="AG2539" s="52"/>
      <c r="AH2539" s="52"/>
      <c r="AI2539" s="52"/>
      <c r="AJ2539" s="52"/>
      <c r="AK2539" s="52"/>
      <c r="AL2539" s="52"/>
      <c r="AM2539" s="52"/>
      <c r="AN2539" s="52"/>
    </row>
    <row r="2540" spans="1:40" x14ac:dyDescent="0.3">
      <c r="A2540" s="52">
        <v>2535</v>
      </c>
      <c r="B2540" s="52">
        <f>-bthan*500+(34+0.5)*bthan*1000/50</f>
        <v>1045</v>
      </c>
      <c r="C2540" s="52">
        <f t="shared" si="253"/>
        <v>210.00000000000023</v>
      </c>
      <c r="D2540" s="52">
        <f t="shared" si="250"/>
        <v>2200</v>
      </c>
      <c r="E2540" s="52">
        <f t="shared" si="251"/>
        <v>1</v>
      </c>
      <c r="F2540" s="52"/>
      <c r="G2540" s="52"/>
      <c r="H2540" s="52"/>
      <c r="I2540" s="52"/>
      <c r="J2540" s="52"/>
      <c r="K2540" s="52"/>
      <c r="L2540" s="52"/>
      <c r="M2540" s="52"/>
      <c r="N2540" s="52"/>
      <c r="O2540" s="52"/>
      <c r="P2540" s="52"/>
      <c r="Q2540" s="52"/>
      <c r="R2540" s="52"/>
      <c r="S2540" s="52"/>
      <c r="T2540" s="52"/>
      <c r="U2540" s="52"/>
      <c r="V2540" s="52"/>
      <c r="W2540" s="52"/>
      <c r="X2540" s="52"/>
      <c r="Y2540" s="52"/>
      <c r="Z2540" s="52"/>
      <c r="AA2540" s="52"/>
      <c r="AB2540" s="52"/>
      <c r="AC2540" s="52"/>
      <c r="AD2540" s="52"/>
      <c r="AE2540" s="52"/>
      <c r="AF2540" s="52"/>
      <c r="AG2540" s="52"/>
      <c r="AH2540" s="52"/>
      <c r="AI2540" s="52"/>
      <c r="AJ2540" s="52"/>
      <c r="AK2540" s="52"/>
      <c r="AL2540" s="52"/>
      <c r="AM2540" s="52"/>
      <c r="AN2540" s="52"/>
    </row>
    <row r="2541" spans="1:40" x14ac:dyDescent="0.3">
      <c r="A2541" s="52">
        <v>2536</v>
      </c>
      <c r="B2541" s="52">
        <f>-bthan*500+(35+0.5)*bthan*1000/50</f>
        <v>1155</v>
      </c>
      <c r="C2541" s="52">
        <f t="shared" si="253"/>
        <v>210.00000000000023</v>
      </c>
      <c r="D2541" s="52">
        <f t="shared" si="250"/>
        <v>2200</v>
      </c>
      <c r="E2541" s="52">
        <f t="shared" si="251"/>
        <v>1</v>
      </c>
      <c r="F2541" s="52"/>
      <c r="G2541" s="52"/>
      <c r="H2541" s="52"/>
      <c r="I2541" s="52"/>
      <c r="J2541" s="52"/>
      <c r="K2541" s="52"/>
      <c r="L2541" s="52"/>
      <c r="M2541" s="52"/>
      <c r="N2541" s="52"/>
      <c r="O2541" s="52"/>
      <c r="P2541" s="52"/>
      <c r="Q2541" s="52"/>
      <c r="R2541" s="52"/>
      <c r="S2541" s="52"/>
      <c r="T2541" s="52"/>
      <c r="U2541" s="52"/>
      <c r="V2541" s="52"/>
      <c r="W2541" s="52"/>
      <c r="X2541" s="52"/>
      <c r="Y2541" s="52"/>
      <c r="Z2541" s="52"/>
      <c r="AA2541" s="52"/>
      <c r="AB2541" s="52"/>
      <c r="AC2541" s="52"/>
      <c r="AD2541" s="52"/>
      <c r="AE2541" s="52"/>
      <c r="AF2541" s="52"/>
      <c r="AG2541" s="52"/>
      <c r="AH2541" s="52"/>
      <c r="AI2541" s="52"/>
      <c r="AJ2541" s="52"/>
      <c r="AK2541" s="52"/>
      <c r="AL2541" s="52"/>
      <c r="AM2541" s="52"/>
      <c r="AN2541" s="52"/>
    </row>
    <row r="2542" spans="1:40" x14ac:dyDescent="0.3">
      <c r="A2542" s="52">
        <v>2537</v>
      </c>
      <c r="B2542" s="52">
        <f>-bthan*500+(36+0.5)*bthan*1000/50</f>
        <v>1265</v>
      </c>
      <c r="C2542" s="52">
        <f t="shared" si="253"/>
        <v>210.00000000000023</v>
      </c>
      <c r="D2542" s="52">
        <f t="shared" si="250"/>
        <v>2200</v>
      </c>
      <c r="E2542" s="52">
        <f t="shared" si="251"/>
        <v>1</v>
      </c>
      <c r="F2542" s="52"/>
      <c r="G2542" s="52"/>
      <c r="H2542" s="52"/>
      <c r="I2542" s="52"/>
      <c r="J2542" s="52"/>
      <c r="K2542" s="52"/>
      <c r="L2542" s="52"/>
      <c r="M2542" s="52"/>
      <c r="N2542" s="52"/>
      <c r="O2542" s="52"/>
      <c r="P2542" s="52"/>
      <c r="Q2542" s="52"/>
      <c r="R2542" s="52"/>
      <c r="S2542" s="52"/>
      <c r="T2542" s="52"/>
      <c r="U2542" s="52"/>
      <c r="V2542" s="52"/>
      <c r="W2542" s="52"/>
      <c r="X2542" s="52"/>
      <c r="Y2542" s="52"/>
      <c r="Z2542" s="52"/>
      <c r="AA2542" s="52"/>
      <c r="AB2542" s="52"/>
      <c r="AC2542" s="52"/>
      <c r="AD2542" s="52"/>
      <c r="AE2542" s="52"/>
      <c r="AF2542" s="52"/>
      <c r="AG2542" s="52"/>
      <c r="AH2542" s="52"/>
      <c r="AI2542" s="52"/>
      <c r="AJ2542" s="52"/>
      <c r="AK2542" s="52"/>
      <c r="AL2542" s="52"/>
      <c r="AM2542" s="52"/>
      <c r="AN2542" s="52"/>
    </row>
    <row r="2543" spans="1:40" x14ac:dyDescent="0.3">
      <c r="A2543" s="52">
        <v>2538</v>
      </c>
      <c r="B2543" s="52">
        <f>-bthan*500+(37+0.5)*bthan*1000/50</f>
        <v>1375</v>
      </c>
      <c r="C2543" s="52">
        <f t="shared" si="253"/>
        <v>210.00000000000023</v>
      </c>
      <c r="D2543" s="52">
        <f t="shared" si="250"/>
        <v>2200</v>
      </c>
      <c r="E2543" s="52">
        <f t="shared" si="251"/>
        <v>1</v>
      </c>
      <c r="F2543" s="52"/>
      <c r="G2543" s="52"/>
      <c r="H2543" s="52"/>
      <c r="I2543" s="52"/>
      <c r="J2543" s="52"/>
      <c r="K2543" s="52"/>
      <c r="L2543" s="52"/>
      <c r="M2543" s="52"/>
      <c r="N2543" s="52"/>
      <c r="O2543" s="52"/>
      <c r="P2543" s="52"/>
      <c r="Q2543" s="52"/>
      <c r="R2543" s="52"/>
      <c r="S2543" s="52"/>
      <c r="T2543" s="52"/>
      <c r="U2543" s="52"/>
      <c r="V2543" s="52"/>
      <c r="W2543" s="52"/>
      <c r="X2543" s="52"/>
      <c r="Y2543" s="52"/>
      <c r="Z2543" s="52"/>
      <c r="AA2543" s="52"/>
      <c r="AB2543" s="52"/>
      <c r="AC2543" s="52"/>
      <c r="AD2543" s="52"/>
      <c r="AE2543" s="52"/>
      <c r="AF2543" s="52"/>
      <c r="AG2543" s="52"/>
      <c r="AH2543" s="52"/>
      <c r="AI2543" s="52"/>
      <c r="AJ2543" s="52"/>
      <c r="AK2543" s="52"/>
      <c r="AL2543" s="52"/>
      <c r="AM2543" s="52"/>
      <c r="AN2543" s="52"/>
    </row>
    <row r="2544" spans="1:40" x14ac:dyDescent="0.3">
      <c r="A2544" s="52">
        <v>2539</v>
      </c>
      <c r="B2544" s="52">
        <f>-bthan*500+(38+0.5)*bthan*1000/50</f>
        <v>1485</v>
      </c>
      <c r="C2544" s="52">
        <f t="shared" si="253"/>
        <v>210.00000000000023</v>
      </c>
      <c r="D2544" s="52">
        <f t="shared" si="250"/>
        <v>2200</v>
      </c>
      <c r="E2544" s="52">
        <f t="shared" si="251"/>
        <v>1</v>
      </c>
      <c r="F2544" s="52"/>
      <c r="G2544" s="52"/>
      <c r="H2544" s="52"/>
      <c r="I2544" s="52"/>
      <c r="J2544" s="52"/>
      <c r="K2544" s="52"/>
      <c r="L2544" s="52"/>
      <c r="M2544" s="52"/>
      <c r="N2544" s="52"/>
      <c r="O2544" s="52"/>
      <c r="P2544" s="52"/>
      <c r="Q2544" s="52"/>
      <c r="R2544" s="52"/>
      <c r="S2544" s="52"/>
      <c r="T2544" s="52"/>
      <c r="U2544" s="52"/>
      <c r="V2544" s="52"/>
      <c r="W2544" s="52"/>
      <c r="X2544" s="52"/>
      <c r="Y2544" s="52"/>
      <c r="Z2544" s="52"/>
      <c r="AA2544" s="52"/>
      <c r="AB2544" s="52"/>
      <c r="AC2544" s="52"/>
      <c r="AD2544" s="52"/>
      <c r="AE2544" s="52"/>
      <c r="AF2544" s="52"/>
      <c r="AG2544" s="52"/>
      <c r="AH2544" s="52"/>
      <c r="AI2544" s="52"/>
      <c r="AJ2544" s="52"/>
      <c r="AK2544" s="52"/>
      <c r="AL2544" s="52"/>
      <c r="AM2544" s="52"/>
      <c r="AN2544" s="52"/>
    </row>
    <row r="2545" spans="1:40" x14ac:dyDescent="0.3">
      <c r="A2545" s="52">
        <v>2540</v>
      </c>
      <c r="B2545" s="52">
        <f>-bthan*500+(39+0.5)*bthan*1000/50</f>
        <v>1595</v>
      </c>
      <c r="C2545" s="52">
        <f t="shared" si="253"/>
        <v>210.00000000000023</v>
      </c>
      <c r="D2545" s="52">
        <f t="shared" si="250"/>
        <v>2200</v>
      </c>
      <c r="E2545" s="52">
        <f t="shared" si="251"/>
        <v>1</v>
      </c>
      <c r="F2545" s="52"/>
      <c r="G2545" s="52"/>
      <c r="H2545" s="52"/>
      <c r="I2545" s="52"/>
      <c r="J2545" s="52"/>
      <c r="K2545" s="52"/>
      <c r="L2545" s="52"/>
      <c r="M2545" s="52"/>
      <c r="N2545" s="52"/>
      <c r="O2545" s="52"/>
      <c r="P2545" s="52"/>
      <c r="Q2545" s="52"/>
      <c r="R2545" s="52"/>
      <c r="S2545" s="52"/>
      <c r="T2545" s="52"/>
      <c r="U2545" s="52"/>
      <c r="V2545" s="52"/>
      <c r="W2545" s="52"/>
      <c r="X2545" s="52"/>
      <c r="Y2545" s="52"/>
      <c r="Z2545" s="52"/>
      <c r="AA2545" s="52"/>
      <c r="AB2545" s="52"/>
      <c r="AC2545" s="52"/>
      <c r="AD2545" s="52"/>
      <c r="AE2545" s="52"/>
      <c r="AF2545" s="52"/>
      <c r="AG2545" s="52"/>
      <c r="AH2545" s="52"/>
      <c r="AI2545" s="52"/>
      <c r="AJ2545" s="52"/>
      <c r="AK2545" s="52"/>
      <c r="AL2545" s="52"/>
      <c r="AM2545" s="52"/>
      <c r="AN2545" s="52"/>
    </row>
    <row r="2546" spans="1:40" x14ac:dyDescent="0.3">
      <c r="A2546" s="52">
        <v>2541</v>
      </c>
      <c r="B2546" s="52">
        <f>-bthan*500+(40+0.5)*bthan*1000/50</f>
        <v>1705</v>
      </c>
      <c r="C2546" s="52">
        <f t="shared" si="253"/>
        <v>210.00000000000023</v>
      </c>
      <c r="D2546" s="52">
        <f t="shared" si="250"/>
        <v>2200</v>
      </c>
      <c r="E2546" s="52">
        <f t="shared" si="251"/>
        <v>1</v>
      </c>
      <c r="F2546" s="52"/>
      <c r="G2546" s="52"/>
      <c r="H2546" s="52"/>
      <c r="I2546" s="52"/>
      <c r="J2546" s="52"/>
      <c r="K2546" s="52"/>
      <c r="L2546" s="52"/>
      <c r="M2546" s="52"/>
      <c r="N2546" s="52"/>
      <c r="O2546" s="52"/>
      <c r="P2546" s="52"/>
      <c r="Q2546" s="52"/>
      <c r="R2546" s="52"/>
      <c r="S2546" s="52"/>
      <c r="T2546" s="52"/>
      <c r="U2546" s="52"/>
      <c r="V2546" s="52"/>
      <c r="W2546" s="52"/>
      <c r="X2546" s="52"/>
      <c r="Y2546" s="52"/>
      <c r="Z2546" s="52"/>
      <c r="AA2546" s="52"/>
      <c r="AB2546" s="52"/>
      <c r="AC2546" s="52"/>
      <c r="AD2546" s="52"/>
      <c r="AE2546" s="52"/>
      <c r="AF2546" s="52"/>
      <c r="AG2546" s="52"/>
      <c r="AH2546" s="52"/>
      <c r="AI2546" s="52"/>
      <c r="AJ2546" s="52"/>
      <c r="AK2546" s="52"/>
      <c r="AL2546" s="52"/>
      <c r="AM2546" s="52"/>
      <c r="AN2546" s="52"/>
    </row>
    <row r="2547" spans="1:40" x14ac:dyDescent="0.3">
      <c r="A2547" s="52">
        <v>2542</v>
      </c>
      <c r="B2547" s="52">
        <f>-bthan*500+(41+0.5)*bthan*1000/50</f>
        <v>1815</v>
      </c>
      <c r="C2547" s="52">
        <f t="shared" si="253"/>
        <v>210.00000000000023</v>
      </c>
      <c r="D2547" s="52">
        <f t="shared" si="250"/>
        <v>2200</v>
      </c>
      <c r="E2547" s="52">
        <f t="shared" si="251"/>
        <v>1</v>
      </c>
      <c r="F2547" s="52"/>
      <c r="G2547" s="52"/>
      <c r="H2547" s="52"/>
      <c r="I2547" s="52"/>
      <c r="J2547" s="52"/>
      <c r="K2547" s="52"/>
      <c r="L2547" s="52"/>
      <c r="M2547" s="52"/>
      <c r="N2547" s="52"/>
      <c r="O2547" s="52"/>
      <c r="P2547" s="52"/>
      <c r="Q2547" s="52"/>
      <c r="R2547" s="52"/>
      <c r="S2547" s="52"/>
      <c r="T2547" s="52"/>
      <c r="U2547" s="52"/>
      <c r="V2547" s="52"/>
      <c r="W2547" s="52"/>
      <c r="X2547" s="52"/>
      <c r="Y2547" s="52"/>
      <c r="Z2547" s="52"/>
      <c r="AA2547" s="52"/>
      <c r="AB2547" s="52"/>
      <c r="AC2547" s="52"/>
      <c r="AD2547" s="52"/>
      <c r="AE2547" s="52"/>
      <c r="AF2547" s="52"/>
      <c r="AG2547" s="52"/>
      <c r="AH2547" s="52"/>
      <c r="AI2547" s="52"/>
      <c r="AJ2547" s="52"/>
      <c r="AK2547" s="52"/>
      <c r="AL2547" s="52"/>
      <c r="AM2547" s="52"/>
      <c r="AN2547" s="52"/>
    </row>
    <row r="2548" spans="1:40" x14ac:dyDescent="0.3">
      <c r="A2548" s="52">
        <v>2543</v>
      </c>
      <c r="B2548" s="52">
        <f>-bthan*500+(42+0.5)*bthan*1000/50</f>
        <v>1925</v>
      </c>
      <c r="C2548" s="52">
        <f t="shared" si="253"/>
        <v>210.00000000000023</v>
      </c>
      <c r="D2548" s="52">
        <f t="shared" si="250"/>
        <v>2200</v>
      </c>
      <c r="E2548" s="52">
        <f t="shared" si="251"/>
        <v>1</v>
      </c>
      <c r="F2548" s="52"/>
      <c r="G2548" s="52"/>
      <c r="H2548" s="52"/>
      <c r="I2548" s="52"/>
      <c r="J2548" s="52"/>
      <c r="K2548" s="52"/>
      <c r="L2548" s="52"/>
      <c r="M2548" s="52"/>
      <c r="N2548" s="52"/>
      <c r="O2548" s="52"/>
      <c r="P2548" s="52"/>
      <c r="Q2548" s="52"/>
      <c r="R2548" s="52"/>
      <c r="S2548" s="52"/>
      <c r="T2548" s="52"/>
      <c r="U2548" s="52"/>
      <c r="V2548" s="52"/>
      <c r="W2548" s="52"/>
      <c r="X2548" s="52"/>
      <c r="Y2548" s="52"/>
      <c r="Z2548" s="52"/>
      <c r="AA2548" s="52"/>
      <c r="AB2548" s="52"/>
      <c r="AC2548" s="52"/>
      <c r="AD2548" s="52"/>
      <c r="AE2548" s="52"/>
      <c r="AF2548" s="52"/>
      <c r="AG2548" s="52"/>
      <c r="AH2548" s="52"/>
      <c r="AI2548" s="52"/>
      <c r="AJ2548" s="52"/>
      <c r="AK2548" s="52"/>
      <c r="AL2548" s="52"/>
      <c r="AM2548" s="52"/>
      <c r="AN2548" s="52"/>
    </row>
    <row r="2549" spans="1:40" x14ac:dyDescent="0.3">
      <c r="A2549" s="52">
        <v>2544</v>
      </c>
      <c r="B2549" s="52">
        <f>-bthan*500+(43+0.5)*bthan*1000/50</f>
        <v>2035</v>
      </c>
      <c r="C2549" s="52">
        <f t="shared" si="253"/>
        <v>210.00000000000023</v>
      </c>
      <c r="D2549" s="52">
        <f t="shared" si="250"/>
        <v>2200</v>
      </c>
      <c r="E2549" s="52">
        <f t="shared" si="251"/>
        <v>1</v>
      </c>
      <c r="F2549" s="52"/>
      <c r="G2549" s="52"/>
      <c r="H2549" s="52"/>
      <c r="I2549" s="52"/>
      <c r="J2549" s="52"/>
      <c r="K2549" s="52"/>
      <c r="L2549" s="52"/>
      <c r="M2549" s="52"/>
      <c r="N2549" s="52"/>
      <c r="O2549" s="52"/>
      <c r="P2549" s="52"/>
      <c r="Q2549" s="52"/>
      <c r="R2549" s="52"/>
      <c r="S2549" s="52"/>
      <c r="T2549" s="52"/>
      <c r="U2549" s="52"/>
      <c r="V2549" s="52"/>
      <c r="W2549" s="52"/>
      <c r="X2549" s="52"/>
      <c r="Y2549" s="52"/>
      <c r="Z2549" s="52"/>
      <c r="AA2549" s="52"/>
      <c r="AB2549" s="52"/>
      <c r="AC2549" s="52"/>
      <c r="AD2549" s="52"/>
      <c r="AE2549" s="52"/>
      <c r="AF2549" s="52"/>
      <c r="AG2549" s="52"/>
      <c r="AH2549" s="52"/>
      <c r="AI2549" s="52"/>
      <c r="AJ2549" s="52"/>
      <c r="AK2549" s="52"/>
      <c r="AL2549" s="52"/>
      <c r="AM2549" s="52"/>
      <c r="AN2549" s="52"/>
    </row>
    <row r="2550" spans="1:40" x14ac:dyDescent="0.3">
      <c r="A2550" s="52">
        <v>2545</v>
      </c>
      <c r="B2550" s="52">
        <f>-bthan*500+(44+0.5)*bthan*1000/50</f>
        <v>2145</v>
      </c>
      <c r="C2550" s="52">
        <f t="shared" si="253"/>
        <v>210.00000000000023</v>
      </c>
      <c r="D2550" s="52">
        <f t="shared" si="250"/>
        <v>2200</v>
      </c>
      <c r="E2550" s="52">
        <f t="shared" si="251"/>
        <v>1</v>
      </c>
      <c r="F2550" s="52"/>
      <c r="G2550" s="52"/>
      <c r="H2550" s="52"/>
      <c r="I2550" s="52"/>
      <c r="J2550" s="52"/>
      <c r="K2550" s="52"/>
      <c r="L2550" s="52"/>
      <c r="M2550" s="52"/>
      <c r="N2550" s="52"/>
      <c r="O2550" s="52"/>
      <c r="P2550" s="52"/>
      <c r="Q2550" s="52"/>
      <c r="R2550" s="52"/>
      <c r="S2550" s="52"/>
      <c r="T2550" s="52"/>
      <c r="U2550" s="52"/>
      <c r="V2550" s="52"/>
      <c r="W2550" s="52"/>
      <c r="X2550" s="52"/>
      <c r="Y2550" s="52"/>
      <c r="Z2550" s="52"/>
      <c r="AA2550" s="52"/>
      <c r="AB2550" s="52"/>
      <c r="AC2550" s="52"/>
      <c r="AD2550" s="52"/>
      <c r="AE2550" s="52"/>
      <c r="AF2550" s="52"/>
      <c r="AG2550" s="52"/>
      <c r="AH2550" s="52"/>
      <c r="AI2550" s="52"/>
      <c r="AJ2550" s="52"/>
      <c r="AK2550" s="52"/>
      <c r="AL2550" s="52"/>
      <c r="AM2550" s="52"/>
      <c r="AN2550" s="52"/>
    </row>
    <row r="2551" spans="1:40" x14ac:dyDescent="0.3">
      <c r="A2551" s="52">
        <v>2546</v>
      </c>
      <c r="B2551" s="52">
        <f>-bthan*500+(45+0.5)*bthan*1000/50</f>
        <v>2255</v>
      </c>
      <c r="C2551" s="52">
        <f t="shared" si="253"/>
        <v>210.00000000000023</v>
      </c>
      <c r="D2551" s="52">
        <f t="shared" si="250"/>
        <v>2200</v>
      </c>
      <c r="E2551" s="52">
        <f t="shared" si="251"/>
        <v>1</v>
      </c>
      <c r="F2551" s="52"/>
      <c r="G2551" s="52"/>
      <c r="H2551" s="52"/>
      <c r="I2551" s="52"/>
      <c r="J2551" s="52"/>
      <c r="K2551" s="52"/>
      <c r="L2551" s="52"/>
      <c r="M2551" s="52"/>
      <c r="N2551" s="52"/>
      <c r="O2551" s="52"/>
      <c r="P2551" s="52"/>
      <c r="Q2551" s="52"/>
      <c r="R2551" s="52"/>
      <c r="S2551" s="52"/>
      <c r="T2551" s="52"/>
      <c r="U2551" s="52"/>
      <c r="V2551" s="52"/>
      <c r="W2551" s="52"/>
      <c r="X2551" s="52"/>
      <c r="Y2551" s="52"/>
      <c r="Z2551" s="52"/>
      <c r="AA2551" s="52"/>
      <c r="AB2551" s="52"/>
      <c r="AC2551" s="52"/>
      <c r="AD2551" s="52"/>
      <c r="AE2551" s="52"/>
      <c r="AF2551" s="52"/>
      <c r="AG2551" s="52"/>
      <c r="AH2551" s="52"/>
      <c r="AI2551" s="52"/>
      <c r="AJ2551" s="52"/>
      <c r="AK2551" s="52"/>
      <c r="AL2551" s="52"/>
      <c r="AM2551" s="52"/>
      <c r="AN2551" s="52"/>
    </row>
    <row r="2552" spans="1:40" x14ac:dyDescent="0.3">
      <c r="A2552" s="52">
        <v>2547</v>
      </c>
      <c r="B2552" s="52">
        <f>-bthan*500+(46+0.5)*bthan*1000/50</f>
        <v>2365</v>
      </c>
      <c r="C2552" s="52">
        <f t="shared" si="253"/>
        <v>210.00000000000023</v>
      </c>
      <c r="D2552" s="52">
        <f t="shared" si="250"/>
        <v>2200</v>
      </c>
      <c r="E2552" s="52">
        <f t="shared" si="251"/>
        <v>1</v>
      </c>
      <c r="F2552" s="52"/>
      <c r="G2552" s="52"/>
      <c r="H2552" s="52"/>
      <c r="I2552" s="52"/>
      <c r="J2552" s="52"/>
      <c r="K2552" s="52"/>
      <c r="L2552" s="52"/>
      <c r="M2552" s="52"/>
      <c r="N2552" s="52"/>
      <c r="O2552" s="52"/>
      <c r="P2552" s="52"/>
      <c r="Q2552" s="52"/>
      <c r="R2552" s="52"/>
      <c r="S2552" s="52"/>
      <c r="T2552" s="52"/>
      <c r="U2552" s="52"/>
      <c r="V2552" s="52"/>
      <c r="W2552" s="52"/>
      <c r="X2552" s="52"/>
      <c r="Y2552" s="52"/>
      <c r="Z2552" s="52"/>
      <c r="AA2552" s="52"/>
      <c r="AB2552" s="52"/>
      <c r="AC2552" s="52"/>
      <c r="AD2552" s="52"/>
      <c r="AE2552" s="52"/>
      <c r="AF2552" s="52"/>
      <c r="AG2552" s="52"/>
      <c r="AH2552" s="52"/>
      <c r="AI2552" s="52"/>
      <c r="AJ2552" s="52"/>
      <c r="AK2552" s="52"/>
      <c r="AL2552" s="52"/>
      <c r="AM2552" s="52"/>
      <c r="AN2552" s="52"/>
    </row>
    <row r="2553" spans="1:40" x14ac:dyDescent="0.3">
      <c r="A2553" s="52">
        <v>2548</v>
      </c>
      <c r="B2553" s="52">
        <f>-bthan*500+(47+0.5)*bthan*1000/50</f>
        <v>2475</v>
      </c>
      <c r="C2553" s="52">
        <f t="shared" si="253"/>
        <v>210.00000000000023</v>
      </c>
      <c r="D2553" s="52">
        <f t="shared" si="250"/>
        <v>2200</v>
      </c>
      <c r="E2553" s="52">
        <f t="shared" si="251"/>
        <v>1</v>
      </c>
      <c r="F2553" s="52"/>
      <c r="G2553" s="52"/>
      <c r="H2553" s="52"/>
      <c r="I2553" s="52"/>
      <c r="J2553" s="52"/>
      <c r="K2553" s="52"/>
      <c r="L2553" s="52"/>
      <c r="M2553" s="52"/>
      <c r="N2553" s="52"/>
      <c r="O2553" s="52"/>
      <c r="P2553" s="52"/>
      <c r="Q2553" s="52"/>
      <c r="R2553" s="52"/>
      <c r="S2553" s="52"/>
      <c r="T2553" s="52"/>
      <c r="U2553" s="52"/>
      <c r="V2553" s="52"/>
      <c r="W2553" s="52"/>
      <c r="X2553" s="52"/>
      <c r="Y2553" s="52"/>
      <c r="Z2553" s="52"/>
      <c r="AA2553" s="52"/>
      <c r="AB2553" s="52"/>
      <c r="AC2553" s="52"/>
      <c r="AD2553" s="52"/>
      <c r="AE2553" s="52"/>
      <c r="AF2553" s="52"/>
      <c r="AG2553" s="52"/>
      <c r="AH2553" s="52"/>
      <c r="AI2553" s="52"/>
      <c r="AJ2553" s="52"/>
      <c r="AK2553" s="52"/>
      <c r="AL2553" s="52"/>
      <c r="AM2553" s="52"/>
      <c r="AN2553" s="52"/>
    </row>
    <row r="2554" spans="1:40" x14ac:dyDescent="0.3">
      <c r="A2554" s="52">
        <v>2549</v>
      </c>
      <c r="B2554" s="52">
        <f>-bthan*500+(48+0.5)*bthan*1000/50</f>
        <v>2585</v>
      </c>
      <c r="C2554" s="52">
        <f t="shared" si="253"/>
        <v>210.00000000000023</v>
      </c>
      <c r="D2554" s="52">
        <f t="shared" si="250"/>
        <v>2200</v>
      </c>
      <c r="E2554" s="52">
        <f t="shared" si="251"/>
        <v>1</v>
      </c>
      <c r="F2554" s="52"/>
      <c r="G2554" s="52"/>
      <c r="H2554" s="52"/>
      <c r="I2554" s="52"/>
      <c r="J2554" s="52"/>
      <c r="K2554" s="52"/>
      <c r="L2554" s="52"/>
      <c r="M2554" s="52"/>
      <c r="N2554" s="52"/>
      <c r="O2554" s="52"/>
      <c r="P2554" s="52"/>
      <c r="Q2554" s="52"/>
      <c r="R2554" s="52"/>
      <c r="S2554" s="52"/>
      <c r="T2554" s="52"/>
      <c r="U2554" s="52"/>
      <c r="V2554" s="52"/>
      <c r="W2554" s="52"/>
      <c r="X2554" s="52"/>
      <c r="Y2554" s="52"/>
      <c r="Z2554" s="52"/>
      <c r="AA2554" s="52"/>
      <c r="AB2554" s="52"/>
      <c r="AC2554" s="52"/>
      <c r="AD2554" s="52"/>
      <c r="AE2554" s="52"/>
      <c r="AF2554" s="52"/>
      <c r="AG2554" s="52"/>
      <c r="AH2554" s="52"/>
      <c r="AI2554" s="52"/>
      <c r="AJ2554" s="52"/>
      <c r="AK2554" s="52"/>
      <c r="AL2554" s="52"/>
      <c r="AM2554" s="52"/>
      <c r="AN2554" s="52"/>
    </row>
    <row r="2555" spans="1:40" x14ac:dyDescent="0.3">
      <c r="A2555" s="52">
        <v>2550</v>
      </c>
      <c r="B2555" s="52">
        <f>-bthan*500+(49+0.5)*bthan*1000/50</f>
        <v>2695</v>
      </c>
      <c r="C2555" s="52">
        <f t="shared" si="253"/>
        <v>210.00000000000023</v>
      </c>
      <c r="D2555" s="52">
        <f t="shared" si="250"/>
        <v>2200</v>
      </c>
      <c r="E2555" s="52">
        <f t="shared" si="251"/>
        <v>1</v>
      </c>
      <c r="F2555" s="52"/>
      <c r="G2555" s="52"/>
      <c r="H2555" s="52"/>
      <c r="I2555" s="52"/>
      <c r="J2555" s="52"/>
      <c r="K2555" s="52"/>
      <c r="L2555" s="52"/>
      <c r="M2555" s="52"/>
      <c r="N2555" s="52"/>
      <c r="O2555" s="52"/>
      <c r="P2555" s="52"/>
      <c r="Q2555" s="52"/>
      <c r="R2555" s="52"/>
      <c r="S2555" s="52"/>
      <c r="T2555" s="52"/>
      <c r="U2555" s="52"/>
      <c r="V2555" s="52"/>
      <c r="W2555" s="52"/>
      <c r="X2555" s="52"/>
      <c r="Y2555" s="52"/>
      <c r="Z2555" s="52"/>
      <c r="AA2555" s="52"/>
      <c r="AB2555" s="52"/>
      <c r="AC2555" s="52"/>
      <c r="AD2555" s="52"/>
      <c r="AE2555" s="52"/>
      <c r="AF2555" s="52"/>
      <c r="AG2555" s="52"/>
      <c r="AH2555" s="52"/>
      <c r="AI2555" s="52"/>
      <c r="AJ2555" s="52"/>
      <c r="AK2555" s="52"/>
      <c r="AL2555" s="52"/>
      <c r="AM2555" s="52"/>
      <c r="AN2555" s="52"/>
    </row>
    <row r="2556" spans="1:40" x14ac:dyDescent="0.3">
      <c r="A2556" s="52">
        <v>2551</v>
      </c>
      <c r="B2556" s="52">
        <f>-bthan*500+(0+0.5)*bthan*1000/50</f>
        <v>-2695</v>
      </c>
      <c r="C2556" s="52">
        <f t="shared" ref="C2556:C2587" si="254">-hthan*500+(51+0.5)*hthan*1000/80</f>
        <v>230</v>
      </c>
      <c r="D2556" s="52">
        <f t="shared" si="250"/>
        <v>2200</v>
      </c>
      <c r="E2556" s="52">
        <f t="shared" si="251"/>
        <v>1</v>
      </c>
      <c r="F2556" s="52"/>
      <c r="G2556" s="52"/>
      <c r="H2556" s="52"/>
      <c r="I2556" s="52"/>
      <c r="J2556" s="52"/>
      <c r="K2556" s="52"/>
      <c r="L2556" s="52"/>
      <c r="M2556" s="52"/>
      <c r="N2556" s="52"/>
      <c r="O2556" s="52"/>
      <c r="P2556" s="52"/>
      <c r="Q2556" s="52"/>
      <c r="R2556" s="52"/>
      <c r="S2556" s="52"/>
      <c r="T2556" s="52"/>
      <c r="U2556" s="52"/>
      <c r="V2556" s="52"/>
      <c r="W2556" s="52"/>
      <c r="X2556" s="52"/>
      <c r="Y2556" s="52"/>
      <c r="Z2556" s="52"/>
      <c r="AA2556" s="52"/>
      <c r="AB2556" s="52"/>
      <c r="AC2556" s="52"/>
      <c r="AD2556" s="52"/>
      <c r="AE2556" s="52"/>
      <c r="AF2556" s="52"/>
      <c r="AG2556" s="52"/>
      <c r="AH2556" s="52"/>
      <c r="AI2556" s="52"/>
      <c r="AJ2556" s="52"/>
      <c r="AK2556" s="52"/>
      <c r="AL2556" s="52"/>
      <c r="AM2556" s="52"/>
      <c r="AN2556" s="52"/>
    </row>
    <row r="2557" spans="1:40" x14ac:dyDescent="0.3">
      <c r="A2557" s="52">
        <v>2552</v>
      </c>
      <c r="B2557" s="52">
        <f>-bthan*500+(1+0.5)*bthan*1000/50</f>
        <v>-2585</v>
      </c>
      <c r="C2557" s="52">
        <f t="shared" si="254"/>
        <v>230</v>
      </c>
      <c r="D2557" s="52">
        <f t="shared" si="250"/>
        <v>2200</v>
      </c>
      <c r="E2557" s="52">
        <f t="shared" si="251"/>
        <v>1</v>
      </c>
      <c r="F2557" s="52"/>
      <c r="G2557" s="52"/>
      <c r="H2557" s="52"/>
      <c r="I2557" s="52"/>
      <c r="J2557" s="52"/>
      <c r="K2557" s="52"/>
      <c r="L2557" s="52"/>
      <c r="M2557" s="52"/>
      <c r="N2557" s="52"/>
      <c r="O2557" s="52"/>
      <c r="P2557" s="52"/>
      <c r="Q2557" s="52"/>
      <c r="R2557" s="52"/>
      <c r="S2557" s="52"/>
      <c r="T2557" s="52"/>
      <c r="U2557" s="52"/>
      <c r="V2557" s="52"/>
      <c r="W2557" s="52"/>
      <c r="X2557" s="52"/>
      <c r="Y2557" s="52"/>
      <c r="Z2557" s="52"/>
      <c r="AA2557" s="52"/>
      <c r="AB2557" s="52"/>
      <c r="AC2557" s="52"/>
      <c r="AD2557" s="52"/>
      <c r="AE2557" s="52"/>
      <c r="AF2557" s="52"/>
      <c r="AG2557" s="52"/>
      <c r="AH2557" s="52"/>
      <c r="AI2557" s="52"/>
      <c r="AJ2557" s="52"/>
      <c r="AK2557" s="52"/>
      <c r="AL2557" s="52"/>
      <c r="AM2557" s="52"/>
      <c r="AN2557" s="52"/>
    </row>
    <row r="2558" spans="1:40" x14ac:dyDescent="0.3">
      <c r="A2558" s="52">
        <v>2553</v>
      </c>
      <c r="B2558" s="52">
        <f>-bthan*500+(2+0.5)*bthan*1000/50</f>
        <v>-2475</v>
      </c>
      <c r="C2558" s="52">
        <f t="shared" si="254"/>
        <v>230</v>
      </c>
      <c r="D2558" s="52">
        <f t="shared" si="250"/>
        <v>2200</v>
      </c>
      <c r="E2558" s="52">
        <f t="shared" si="251"/>
        <v>1</v>
      </c>
      <c r="F2558" s="52"/>
      <c r="G2558" s="52"/>
      <c r="H2558" s="52"/>
      <c r="I2558" s="52"/>
      <c r="J2558" s="52"/>
      <c r="K2558" s="52"/>
      <c r="L2558" s="52"/>
      <c r="M2558" s="52"/>
      <c r="N2558" s="52"/>
      <c r="O2558" s="52"/>
      <c r="P2558" s="52"/>
      <c r="Q2558" s="52"/>
      <c r="R2558" s="52"/>
      <c r="S2558" s="52"/>
      <c r="T2558" s="52"/>
      <c r="U2558" s="52"/>
      <c r="V2558" s="52"/>
      <c r="W2558" s="52"/>
      <c r="X2558" s="52"/>
      <c r="Y2558" s="52"/>
      <c r="Z2558" s="52"/>
      <c r="AA2558" s="52"/>
      <c r="AB2558" s="52"/>
      <c r="AC2558" s="52"/>
      <c r="AD2558" s="52"/>
      <c r="AE2558" s="52"/>
      <c r="AF2558" s="52"/>
      <c r="AG2558" s="52"/>
      <c r="AH2558" s="52"/>
      <c r="AI2558" s="52"/>
      <c r="AJ2558" s="52"/>
      <c r="AK2558" s="52"/>
      <c r="AL2558" s="52"/>
      <c r="AM2558" s="52"/>
      <c r="AN2558" s="52"/>
    </row>
    <row r="2559" spans="1:40" x14ac:dyDescent="0.3">
      <c r="A2559" s="52">
        <v>2554</v>
      </c>
      <c r="B2559" s="52">
        <f>-bthan*500+(3+0.5)*bthan*1000/50</f>
        <v>-2365</v>
      </c>
      <c r="C2559" s="52">
        <f t="shared" si="254"/>
        <v>230</v>
      </c>
      <c r="D2559" s="52">
        <f t="shared" si="250"/>
        <v>2200</v>
      </c>
      <c r="E2559" s="52">
        <f t="shared" si="251"/>
        <v>1</v>
      </c>
      <c r="F2559" s="52"/>
      <c r="G2559" s="52"/>
      <c r="H2559" s="52"/>
      <c r="I2559" s="52"/>
      <c r="J2559" s="52"/>
      <c r="K2559" s="52"/>
      <c r="L2559" s="52"/>
      <c r="M2559" s="52"/>
      <c r="N2559" s="52"/>
      <c r="O2559" s="52"/>
      <c r="P2559" s="52"/>
      <c r="Q2559" s="52"/>
      <c r="R2559" s="52"/>
      <c r="S2559" s="52"/>
      <c r="T2559" s="52"/>
      <c r="U2559" s="52"/>
      <c r="V2559" s="52"/>
      <c r="W2559" s="52"/>
      <c r="X2559" s="52"/>
      <c r="Y2559" s="52"/>
      <c r="Z2559" s="52"/>
      <c r="AA2559" s="52"/>
      <c r="AB2559" s="52"/>
      <c r="AC2559" s="52"/>
      <c r="AD2559" s="52"/>
      <c r="AE2559" s="52"/>
      <c r="AF2559" s="52"/>
      <c r="AG2559" s="52"/>
      <c r="AH2559" s="52"/>
      <c r="AI2559" s="52"/>
      <c r="AJ2559" s="52"/>
      <c r="AK2559" s="52"/>
      <c r="AL2559" s="52"/>
      <c r="AM2559" s="52"/>
      <c r="AN2559" s="52"/>
    </row>
    <row r="2560" spans="1:40" x14ac:dyDescent="0.3">
      <c r="A2560" s="52">
        <v>2555</v>
      </c>
      <c r="B2560" s="52">
        <f>-bthan*500+(4+0.5)*bthan*1000/50</f>
        <v>-2255</v>
      </c>
      <c r="C2560" s="52">
        <f t="shared" si="254"/>
        <v>230</v>
      </c>
      <c r="D2560" s="52">
        <f t="shared" si="250"/>
        <v>2200</v>
      </c>
      <c r="E2560" s="52">
        <f t="shared" si="251"/>
        <v>1</v>
      </c>
      <c r="F2560" s="52"/>
      <c r="G2560" s="52"/>
      <c r="H2560" s="52"/>
      <c r="I2560" s="52"/>
      <c r="J2560" s="52"/>
      <c r="K2560" s="52"/>
      <c r="L2560" s="52"/>
      <c r="M2560" s="52"/>
      <c r="N2560" s="52"/>
      <c r="O2560" s="52"/>
      <c r="P2560" s="52"/>
      <c r="Q2560" s="52"/>
      <c r="R2560" s="52"/>
      <c r="S2560" s="52"/>
      <c r="T2560" s="52"/>
      <c r="U2560" s="52"/>
      <c r="V2560" s="52"/>
      <c r="W2560" s="52"/>
      <c r="X2560" s="52"/>
      <c r="Y2560" s="52"/>
      <c r="Z2560" s="52"/>
      <c r="AA2560" s="52"/>
      <c r="AB2560" s="52"/>
      <c r="AC2560" s="52"/>
      <c r="AD2560" s="52"/>
      <c r="AE2560" s="52"/>
      <c r="AF2560" s="52"/>
      <c r="AG2560" s="52"/>
      <c r="AH2560" s="52"/>
      <c r="AI2560" s="52"/>
      <c r="AJ2560" s="52"/>
      <c r="AK2560" s="52"/>
      <c r="AL2560" s="52"/>
      <c r="AM2560" s="52"/>
      <c r="AN2560" s="52"/>
    </row>
    <row r="2561" spans="1:40" x14ac:dyDescent="0.3">
      <c r="A2561" s="52">
        <v>2556</v>
      </c>
      <c r="B2561" s="52">
        <f>-bthan*500+(5+0.5)*bthan*1000/50</f>
        <v>-2145</v>
      </c>
      <c r="C2561" s="52">
        <f t="shared" si="254"/>
        <v>230</v>
      </c>
      <c r="D2561" s="52">
        <f t="shared" si="250"/>
        <v>2200</v>
      </c>
      <c r="E2561" s="52">
        <f t="shared" si="251"/>
        <v>1</v>
      </c>
      <c r="F2561" s="52"/>
      <c r="G2561" s="52"/>
      <c r="H2561" s="52"/>
      <c r="I2561" s="52"/>
      <c r="J2561" s="52"/>
      <c r="K2561" s="52"/>
      <c r="L2561" s="52"/>
      <c r="M2561" s="52"/>
      <c r="N2561" s="52"/>
      <c r="O2561" s="52"/>
      <c r="P2561" s="52"/>
      <c r="Q2561" s="52"/>
      <c r="R2561" s="52"/>
      <c r="S2561" s="52"/>
      <c r="T2561" s="52"/>
      <c r="U2561" s="52"/>
      <c r="V2561" s="52"/>
      <c r="W2561" s="52"/>
      <c r="X2561" s="52"/>
      <c r="Y2561" s="52"/>
      <c r="Z2561" s="52"/>
      <c r="AA2561" s="52"/>
      <c r="AB2561" s="52"/>
      <c r="AC2561" s="52"/>
      <c r="AD2561" s="52"/>
      <c r="AE2561" s="52"/>
      <c r="AF2561" s="52"/>
      <c r="AG2561" s="52"/>
      <c r="AH2561" s="52"/>
      <c r="AI2561" s="52"/>
      <c r="AJ2561" s="52"/>
      <c r="AK2561" s="52"/>
      <c r="AL2561" s="52"/>
      <c r="AM2561" s="52"/>
      <c r="AN2561" s="52"/>
    </row>
    <row r="2562" spans="1:40" x14ac:dyDescent="0.3">
      <c r="A2562" s="52">
        <v>2557</v>
      </c>
      <c r="B2562" s="52">
        <f>-bthan*500+(6+0.5)*bthan*1000/50</f>
        <v>-2035</v>
      </c>
      <c r="C2562" s="52">
        <f t="shared" si="254"/>
        <v>230</v>
      </c>
      <c r="D2562" s="52">
        <f t="shared" si="250"/>
        <v>2200</v>
      </c>
      <c r="E2562" s="52">
        <f t="shared" si="251"/>
        <v>1</v>
      </c>
      <c r="F2562" s="52"/>
      <c r="G2562" s="52"/>
      <c r="H2562" s="52"/>
      <c r="I2562" s="52"/>
      <c r="J2562" s="52"/>
      <c r="K2562" s="52"/>
      <c r="L2562" s="52"/>
      <c r="M2562" s="52"/>
      <c r="N2562" s="52"/>
      <c r="O2562" s="52"/>
      <c r="P2562" s="52"/>
      <c r="Q2562" s="52"/>
      <c r="R2562" s="52"/>
      <c r="S2562" s="52"/>
      <c r="T2562" s="52"/>
      <c r="U2562" s="52"/>
      <c r="V2562" s="52"/>
      <c r="W2562" s="52"/>
      <c r="X2562" s="52"/>
      <c r="Y2562" s="52"/>
      <c r="Z2562" s="52"/>
      <c r="AA2562" s="52"/>
      <c r="AB2562" s="52"/>
      <c r="AC2562" s="52"/>
      <c r="AD2562" s="52"/>
      <c r="AE2562" s="52"/>
      <c r="AF2562" s="52"/>
      <c r="AG2562" s="52"/>
      <c r="AH2562" s="52"/>
      <c r="AI2562" s="52"/>
      <c r="AJ2562" s="52"/>
      <c r="AK2562" s="52"/>
      <c r="AL2562" s="52"/>
      <c r="AM2562" s="52"/>
      <c r="AN2562" s="52"/>
    </row>
    <row r="2563" spans="1:40" x14ac:dyDescent="0.3">
      <c r="A2563" s="52">
        <v>2558</v>
      </c>
      <c r="B2563" s="52">
        <f>-bthan*500+(7+0.5)*bthan*1000/50</f>
        <v>-1925</v>
      </c>
      <c r="C2563" s="52">
        <f t="shared" si="254"/>
        <v>230</v>
      </c>
      <c r="D2563" s="52">
        <f t="shared" si="250"/>
        <v>2200</v>
      </c>
      <c r="E2563" s="52">
        <f t="shared" si="251"/>
        <v>1</v>
      </c>
      <c r="F2563" s="52"/>
      <c r="G2563" s="52"/>
      <c r="H2563" s="52"/>
      <c r="I2563" s="52"/>
      <c r="J2563" s="52"/>
      <c r="K2563" s="52"/>
      <c r="L2563" s="52"/>
      <c r="M2563" s="52"/>
      <c r="N2563" s="52"/>
      <c r="O2563" s="52"/>
      <c r="P2563" s="52"/>
      <c r="Q2563" s="52"/>
      <c r="R2563" s="52"/>
      <c r="S2563" s="52"/>
      <c r="T2563" s="52"/>
      <c r="U2563" s="52"/>
      <c r="V2563" s="52"/>
      <c r="W2563" s="52"/>
      <c r="X2563" s="52"/>
      <c r="Y2563" s="52"/>
      <c r="Z2563" s="52"/>
      <c r="AA2563" s="52"/>
      <c r="AB2563" s="52"/>
      <c r="AC2563" s="52"/>
      <c r="AD2563" s="52"/>
      <c r="AE2563" s="52"/>
      <c r="AF2563" s="52"/>
      <c r="AG2563" s="52"/>
      <c r="AH2563" s="52"/>
      <c r="AI2563" s="52"/>
      <c r="AJ2563" s="52"/>
      <c r="AK2563" s="52"/>
      <c r="AL2563" s="52"/>
      <c r="AM2563" s="52"/>
      <c r="AN2563" s="52"/>
    </row>
    <row r="2564" spans="1:40" x14ac:dyDescent="0.3">
      <c r="A2564" s="52">
        <v>2559</v>
      </c>
      <c r="B2564" s="52">
        <f>-bthan*500+(8+0.5)*bthan*1000/50</f>
        <v>-1815</v>
      </c>
      <c r="C2564" s="52">
        <f t="shared" si="254"/>
        <v>230</v>
      </c>
      <c r="D2564" s="52">
        <f t="shared" si="250"/>
        <v>2200</v>
      </c>
      <c r="E2564" s="52">
        <f t="shared" si="251"/>
        <v>1</v>
      </c>
      <c r="F2564" s="52"/>
      <c r="G2564" s="52"/>
      <c r="H2564" s="52"/>
      <c r="I2564" s="52"/>
      <c r="J2564" s="52"/>
      <c r="K2564" s="52"/>
      <c r="L2564" s="52"/>
      <c r="M2564" s="52"/>
      <c r="N2564" s="52"/>
      <c r="O2564" s="52"/>
      <c r="P2564" s="52"/>
      <c r="Q2564" s="52"/>
      <c r="R2564" s="52"/>
      <c r="S2564" s="52"/>
      <c r="T2564" s="52"/>
      <c r="U2564" s="52"/>
      <c r="V2564" s="52"/>
      <c r="W2564" s="52"/>
      <c r="X2564" s="52"/>
      <c r="Y2564" s="52"/>
      <c r="Z2564" s="52"/>
      <c r="AA2564" s="52"/>
      <c r="AB2564" s="52"/>
      <c r="AC2564" s="52"/>
      <c r="AD2564" s="52"/>
      <c r="AE2564" s="52"/>
      <c r="AF2564" s="52"/>
      <c r="AG2564" s="52"/>
      <c r="AH2564" s="52"/>
      <c r="AI2564" s="52"/>
      <c r="AJ2564" s="52"/>
      <c r="AK2564" s="52"/>
      <c r="AL2564" s="52"/>
      <c r="AM2564" s="52"/>
      <c r="AN2564" s="52"/>
    </row>
    <row r="2565" spans="1:40" x14ac:dyDescent="0.3">
      <c r="A2565" s="52">
        <v>2560</v>
      </c>
      <c r="B2565" s="52">
        <f>-bthan*500+(9+0.5)*bthan*1000/50</f>
        <v>-1705</v>
      </c>
      <c r="C2565" s="52">
        <f t="shared" si="254"/>
        <v>230</v>
      </c>
      <c r="D2565" s="52">
        <f t="shared" si="250"/>
        <v>2200</v>
      </c>
      <c r="E2565" s="52">
        <f t="shared" si="251"/>
        <v>1</v>
      </c>
      <c r="F2565" s="52"/>
      <c r="G2565" s="52"/>
      <c r="H2565" s="52"/>
      <c r="I2565" s="52"/>
      <c r="J2565" s="52"/>
      <c r="K2565" s="52"/>
      <c r="L2565" s="52"/>
      <c r="M2565" s="52"/>
      <c r="N2565" s="52"/>
      <c r="O2565" s="52"/>
      <c r="P2565" s="52"/>
      <c r="Q2565" s="52"/>
      <c r="R2565" s="52"/>
      <c r="S2565" s="52"/>
      <c r="T2565" s="52"/>
      <c r="U2565" s="52"/>
      <c r="V2565" s="52"/>
      <c r="W2565" s="52"/>
      <c r="X2565" s="52"/>
      <c r="Y2565" s="52"/>
      <c r="Z2565" s="52"/>
      <c r="AA2565" s="52"/>
      <c r="AB2565" s="52"/>
      <c r="AC2565" s="52"/>
      <c r="AD2565" s="52"/>
      <c r="AE2565" s="52"/>
      <c r="AF2565" s="52"/>
      <c r="AG2565" s="52"/>
      <c r="AH2565" s="52"/>
      <c r="AI2565" s="52"/>
      <c r="AJ2565" s="52"/>
      <c r="AK2565" s="52"/>
      <c r="AL2565" s="52"/>
      <c r="AM2565" s="52"/>
      <c r="AN2565" s="52"/>
    </row>
    <row r="2566" spans="1:40" x14ac:dyDescent="0.3">
      <c r="A2566" s="52">
        <v>2561</v>
      </c>
      <c r="B2566" s="52">
        <f>-bthan*500+(10+0.5)*bthan*1000/50</f>
        <v>-1595</v>
      </c>
      <c r="C2566" s="52">
        <f t="shared" si="254"/>
        <v>230</v>
      </c>
      <c r="D2566" s="52">
        <f t="shared" ref="D2566:D2629" si="255">bthan*1000/50*hthan*1000/80</f>
        <v>2200</v>
      </c>
      <c r="E2566" s="52">
        <f t="shared" ref="E2566:E2629" si="256">IF(shp=1,--(OR(ABS(B2566)&lt;=MAX(0,(bthan-hthan)*500),(ABS(B2566)-MAX(0,(bthan-hthan)*500))^2+C2566^2&lt;=(hthan*500)^2)),--(AND(ABS(B2566)&lt;=bthan*500,ABS(C2566)&lt;=hthan*500,OR(ABS(B2566)&lt;=bthan*500-cch*1000,ABS(C2566)&lt;=hthan*500-cch*1000,(bthan*500-ABS(B2566))+(hthan*500-ABS(C2566))&gt;=cch*1000))))</f>
        <v>1</v>
      </c>
      <c r="F2566" s="52"/>
      <c r="G2566" s="52"/>
      <c r="H2566" s="52"/>
      <c r="I2566" s="52"/>
      <c r="J2566" s="52"/>
      <c r="K2566" s="52"/>
      <c r="L2566" s="52"/>
      <c r="M2566" s="52"/>
      <c r="N2566" s="52"/>
      <c r="O2566" s="52"/>
      <c r="P2566" s="52"/>
      <c r="Q2566" s="52"/>
      <c r="R2566" s="52"/>
      <c r="S2566" s="52"/>
      <c r="T2566" s="52"/>
      <c r="U2566" s="52"/>
      <c r="V2566" s="52"/>
      <c r="W2566" s="52"/>
      <c r="X2566" s="52"/>
      <c r="Y2566" s="52"/>
      <c r="Z2566" s="52"/>
      <c r="AA2566" s="52"/>
      <c r="AB2566" s="52"/>
      <c r="AC2566" s="52"/>
      <c r="AD2566" s="52"/>
      <c r="AE2566" s="52"/>
      <c r="AF2566" s="52"/>
      <c r="AG2566" s="52"/>
      <c r="AH2566" s="52"/>
      <c r="AI2566" s="52"/>
      <c r="AJ2566" s="52"/>
      <c r="AK2566" s="52"/>
      <c r="AL2566" s="52"/>
      <c r="AM2566" s="52"/>
      <c r="AN2566" s="52"/>
    </row>
    <row r="2567" spans="1:40" x14ac:dyDescent="0.3">
      <c r="A2567" s="52">
        <v>2562</v>
      </c>
      <c r="B2567" s="52">
        <f>-bthan*500+(11+0.5)*bthan*1000/50</f>
        <v>-1485</v>
      </c>
      <c r="C2567" s="52">
        <f t="shared" si="254"/>
        <v>230</v>
      </c>
      <c r="D2567" s="52">
        <f t="shared" si="255"/>
        <v>2200</v>
      </c>
      <c r="E2567" s="52">
        <f t="shared" si="256"/>
        <v>1</v>
      </c>
      <c r="F2567" s="52"/>
      <c r="G2567" s="52"/>
      <c r="H2567" s="52"/>
      <c r="I2567" s="52"/>
      <c r="J2567" s="52"/>
      <c r="K2567" s="52"/>
      <c r="L2567" s="52"/>
      <c r="M2567" s="52"/>
      <c r="N2567" s="52"/>
      <c r="O2567" s="52"/>
      <c r="P2567" s="52"/>
      <c r="Q2567" s="52"/>
      <c r="R2567" s="52"/>
      <c r="S2567" s="52"/>
      <c r="T2567" s="52"/>
      <c r="U2567" s="52"/>
      <c r="V2567" s="52"/>
      <c r="W2567" s="52"/>
      <c r="X2567" s="52"/>
      <c r="Y2567" s="52"/>
      <c r="Z2567" s="52"/>
      <c r="AA2567" s="52"/>
      <c r="AB2567" s="52"/>
      <c r="AC2567" s="52"/>
      <c r="AD2567" s="52"/>
      <c r="AE2567" s="52"/>
      <c r="AF2567" s="52"/>
      <c r="AG2567" s="52"/>
      <c r="AH2567" s="52"/>
      <c r="AI2567" s="52"/>
      <c r="AJ2567" s="52"/>
      <c r="AK2567" s="52"/>
      <c r="AL2567" s="52"/>
      <c r="AM2567" s="52"/>
      <c r="AN2567" s="52"/>
    </row>
    <row r="2568" spans="1:40" x14ac:dyDescent="0.3">
      <c r="A2568" s="52">
        <v>2563</v>
      </c>
      <c r="B2568" s="52">
        <f>-bthan*500+(12+0.5)*bthan*1000/50</f>
        <v>-1375</v>
      </c>
      <c r="C2568" s="52">
        <f t="shared" si="254"/>
        <v>230</v>
      </c>
      <c r="D2568" s="52">
        <f t="shared" si="255"/>
        <v>2200</v>
      </c>
      <c r="E2568" s="52">
        <f t="shared" si="256"/>
        <v>1</v>
      </c>
      <c r="F2568" s="52"/>
      <c r="G2568" s="52"/>
      <c r="H2568" s="52"/>
      <c r="I2568" s="52"/>
      <c r="J2568" s="52"/>
      <c r="K2568" s="52"/>
      <c r="L2568" s="52"/>
      <c r="M2568" s="52"/>
      <c r="N2568" s="52"/>
      <c r="O2568" s="52"/>
      <c r="P2568" s="52"/>
      <c r="Q2568" s="52"/>
      <c r="R2568" s="52"/>
      <c r="S2568" s="52"/>
      <c r="T2568" s="52"/>
      <c r="U2568" s="52"/>
      <c r="V2568" s="52"/>
      <c r="W2568" s="52"/>
      <c r="X2568" s="52"/>
      <c r="Y2568" s="52"/>
      <c r="Z2568" s="52"/>
      <c r="AA2568" s="52"/>
      <c r="AB2568" s="52"/>
      <c r="AC2568" s="52"/>
      <c r="AD2568" s="52"/>
      <c r="AE2568" s="52"/>
      <c r="AF2568" s="52"/>
      <c r="AG2568" s="52"/>
      <c r="AH2568" s="52"/>
      <c r="AI2568" s="52"/>
      <c r="AJ2568" s="52"/>
      <c r="AK2568" s="52"/>
      <c r="AL2568" s="52"/>
      <c r="AM2568" s="52"/>
      <c r="AN2568" s="52"/>
    </row>
    <row r="2569" spans="1:40" x14ac:dyDescent="0.3">
      <c r="A2569" s="52">
        <v>2564</v>
      </c>
      <c r="B2569" s="52">
        <f>-bthan*500+(13+0.5)*bthan*1000/50</f>
        <v>-1265</v>
      </c>
      <c r="C2569" s="52">
        <f t="shared" si="254"/>
        <v>230</v>
      </c>
      <c r="D2569" s="52">
        <f t="shared" si="255"/>
        <v>2200</v>
      </c>
      <c r="E2569" s="52">
        <f t="shared" si="256"/>
        <v>1</v>
      </c>
      <c r="F2569" s="52"/>
      <c r="G2569" s="52"/>
      <c r="H2569" s="52"/>
      <c r="I2569" s="52"/>
      <c r="J2569" s="52"/>
      <c r="K2569" s="52"/>
      <c r="L2569" s="52"/>
      <c r="M2569" s="52"/>
      <c r="N2569" s="52"/>
      <c r="O2569" s="52"/>
      <c r="P2569" s="52"/>
      <c r="Q2569" s="52"/>
      <c r="R2569" s="52"/>
      <c r="S2569" s="52"/>
      <c r="T2569" s="52"/>
      <c r="U2569" s="52"/>
      <c r="V2569" s="52"/>
      <c r="W2569" s="52"/>
      <c r="X2569" s="52"/>
      <c r="Y2569" s="52"/>
      <c r="Z2569" s="52"/>
      <c r="AA2569" s="52"/>
      <c r="AB2569" s="52"/>
      <c r="AC2569" s="52"/>
      <c r="AD2569" s="52"/>
      <c r="AE2569" s="52"/>
      <c r="AF2569" s="52"/>
      <c r="AG2569" s="52"/>
      <c r="AH2569" s="52"/>
      <c r="AI2569" s="52"/>
      <c r="AJ2569" s="52"/>
      <c r="AK2569" s="52"/>
      <c r="AL2569" s="52"/>
      <c r="AM2569" s="52"/>
      <c r="AN2569" s="52"/>
    </row>
    <row r="2570" spans="1:40" x14ac:dyDescent="0.3">
      <c r="A2570" s="52">
        <v>2565</v>
      </c>
      <c r="B2570" s="52">
        <f>-bthan*500+(14+0.5)*bthan*1000/50</f>
        <v>-1155</v>
      </c>
      <c r="C2570" s="52">
        <f t="shared" si="254"/>
        <v>230</v>
      </c>
      <c r="D2570" s="52">
        <f t="shared" si="255"/>
        <v>2200</v>
      </c>
      <c r="E2570" s="52">
        <f t="shared" si="256"/>
        <v>1</v>
      </c>
      <c r="F2570" s="52"/>
      <c r="G2570" s="52"/>
      <c r="H2570" s="52"/>
      <c r="I2570" s="52"/>
      <c r="J2570" s="52"/>
      <c r="K2570" s="52"/>
      <c r="L2570" s="52"/>
      <c r="M2570" s="52"/>
      <c r="N2570" s="52"/>
      <c r="O2570" s="52"/>
      <c r="P2570" s="52"/>
      <c r="Q2570" s="52"/>
      <c r="R2570" s="52"/>
      <c r="S2570" s="52"/>
      <c r="T2570" s="52"/>
      <c r="U2570" s="52"/>
      <c r="V2570" s="52"/>
      <c r="W2570" s="52"/>
      <c r="X2570" s="52"/>
      <c r="Y2570" s="52"/>
      <c r="Z2570" s="52"/>
      <c r="AA2570" s="52"/>
      <c r="AB2570" s="52"/>
      <c r="AC2570" s="52"/>
      <c r="AD2570" s="52"/>
      <c r="AE2570" s="52"/>
      <c r="AF2570" s="52"/>
      <c r="AG2570" s="52"/>
      <c r="AH2570" s="52"/>
      <c r="AI2570" s="52"/>
      <c r="AJ2570" s="52"/>
      <c r="AK2570" s="52"/>
      <c r="AL2570" s="52"/>
      <c r="AM2570" s="52"/>
      <c r="AN2570" s="52"/>
    </row>
    <row r="2571" spans="1:40" x14ac:dyDescent="0.3">
      <c r="A2571" s="52">
        <v>2566</v>
      </c>
      <c r="B2571" s="52">
        <f>-bthan*500+(15+0.5)*bthan*1000/50</f>
        <v>-1045</v>
      </c>
      <c r="C2571" s="52">
        <f t="shared" si="254"/>
        <v>230</v>
      </c>
      <c r="D2571" s="52">
        <f t="shared" si="255"/>
        <v>2200</v>
      </c>
      <c r="E2571" s="52">
        <f t="shared" si="256"/>
        <v>1</v>
      </c>
      <c r="F2571" s="52"/>
      <c r="G2571" s="52"/>
      <c r="H2571" s="52"/>
      <c r="I2571" s="52"/>
      <c r="J2571" s="52"/>
      <c r="K2571" s="52"/>
      <c r="L2571" s="52"/>
      <c r="M2571" s="52"/>
      <c r="N2571" s="52"/>
      <c r="O2571" s="52"/>
      <c r="P2571" s="52"/>
      <c r="Q2571" s="52"/>
      <c r="R2571" s="52"/>
      <c r="S2571" s="52"/>
      <c r="T2571" s="52"/>
      <c r="U2571" s="52"/>
      <c r="V2571" s="52"/>
      <c r="W2571" s="52"/>
      <c r="X2571" s="52"/>
      <c r="Y2571" s="52"/>
      <c r="Z2571" s="52"/>
      <c r="AA2571" s="52"/>
      <c r="AB2571" s="52"/>
      <c r="AC2571" s="52"/>
      <c r="AD2571" s="52"/>
      <c r="AE2571" s="52"/>
      <c r="AF2571" s="52"/>
      <c r="AG2571" s="52"/>
      <c r="AH2571" s="52"/>
      <c r="AI2571" s="52"/>
      <c r="AJ2571" s="52"/>
      <c r="AK2571" s="52"/>
      <c r="AL2571" s="52"/>
      <c r="AM2571" s="52"/>
      <c r="AN2571" s="52"/>
    </row>
    <row r="2572" spans="1:40" x14ac:dyDescent="0.3">
      <c r="A2572" s="52">
        <v>2567</v>
      </c>
      <c r="B2572" s="52">
        <f>-bthan*500+(16+0.5)*bthan*1000/50</f>
        <v>-935</v>
      </c>
      <c r="C2572" s="52">
        <f t="shared" si="254"/>
        <v>230</v>
      </c>
      <c r="D2572" s="52">
        <f t="shared" si="255"/>
        <v>2200</v>
      </c>
      <c r="E2572" s="52">
        <f t="shared" si="256"/>
        <v>1</v>
      </c>
      <c r="F2572" s="52"/>
      <c r="G2572" s="52"/>
      <c r="H2572" s="52"/>
      <c r="I2572" s="52"/>
      <c r="J2572" s="52"/>
      <c r="K2572" s="52"/>
      <c r="L2572" s="52"/>
      <c r="M2572" s="52"/>
      <c r="N2572" s="52"/>
      <c r="O2572" s="52"/>
      <c r="P2572" s="52"/>
      <c r="Q2572" s="52"/>
      <c r="R2572" s="52"/>
      <c r="S2572" s="52"/>
      <c r="T2572" s="52"/>
      <c r="U2572" s="52"/>
      <c r="V2572" s="52"/>
      <c r="W2572" s="52"/>
      <c r="X2572" s="52"/>
      <c r="Y2572" s="52"/>
      <c r="Z2572" s="52"/>
      <c r="AA2572" s="52"/>
      <c r="AB2572" s="52"/>
      <c r="AC2572" s="52"/>
      <c r="AD2572" s="52"/>
      <c r="AE2572" s="52"/>
      <c r="AF2572" s="52"/>
      <c r="AG2572" s="52"/>
      <c r="AH2572" s="52"/>
      <c r="AI2572" s="52"/>
      <c r="AJ2572" s="52"/>
      <c r="AK2572" s="52"/>
      <c r="AL2572" s="52"/>
      <c r="AM2572" s="52"/>
      <c r="AN2572" s="52"/>
    </row>
    <row r="2573" spans="1:40" x14ac:dyDescent="0.3">
      <c r="A2573" s="52">
        <v>2568</v>
      </c>
      <c r="B2573" s="52">
        <f>-bthan*500+(17+0.5)*bthan*1000/50</f>
        <v>-825</v>
      </c>
      <c r="C2573" s="52">
        <f t="shared" si="254"/>
        <v>230</v>
      </c>
      <c r="D2573" s="52">
        <f t="shared" si="255"/>
        <v>2200</v>
      </c>
      <c r="E2573" s="52">
        <f t="shared" si="256"/>
        <v>1</v>
      </c>
      <c r="F2573" s="52"/>
      <c r="G2573" s="52"/>
      <c r="H2573" s="52"/>
      <c r="I2573" s="52"/>
      <c r="J2573" s="52"/>
      <c r="K2573" s="52"/>
      <c r="L2573" s="52"/>
      <c r="M2573" s="52"/>
      <c r="N2573" s="52"/>
      <c r="O2573" s="52"/>
      <c r="P2573" s="52"/>
      <c r="Q2573" s="52"/>
      <c r="R2573" s="52"/>
      <c r="S2573" s="52"/>
      <c r="T2573" s="52"/>
      <c r="U2573" s="52"/>
      <c r="V2573" s="52"/>
      <c r="W2573" s="52"/>
      <c r="X2573" s="52"/>
      <c r="Y2573" s="52"/>
      <c r="Z2573" s="52"/>
      <c r="AA2573" s="52"/>
      <c r="AB2573" s="52"/>
      <c r="AC2573" s="52"/>
      <c r="AD2573" s="52"/>
      <c r="AE2573" s="52"/>
      <c r="AF2573" s="52"/>
      <c r="AG2573" s="52"/>
      <c r="AH2573" s="52"/>
      <c r="AI2573" s="52"/>
      <c r="AJ2573" s="52"/>
      <c r="AK2573" s="52"/>
      <c r="AL2573" s="52"/>
      <c r="AM2573" s="52"/>
      <c r="AN2573" s="52"/>
    </row>
    <row r="2574" spans="1:40" x14ac:dyDescent="0.3">
      <c r="A2574" s="52">
        <v>2569</v>
      </c>
      <c r="B2574" s="52">
        <f>-bthan*500+(18+0.5)*bthan*1000/50</f>
        <v>-715</v>
      </c>
      <c r="C2574" s="52">
        <f t="shared" si="254"/>
        <v>230</v>
      </c>
      <c r="D2574" s="52">
        <f t="shared" si="255"/>
        <v>2200</v>
      </c>
      <c r="E2574" s="52">
        <f t="shared" si="256"/>
        <v>1</v>
      </c>
      <c r="F2574" s="52"/>
      <c r="G2574" s="52"/>
      <c r="H2574" s="52"/>
      <c r="I2574" s="52"/>
      <c r="J2574" s="52"/>
      <c r="K2574" s="52"/>
      <c r="L2574" s="52"/>
      <c r="M2574" s="52"/>
      <c r="N2574" s="52"/>
      <c r="O2574" s="52"/>
      <c r="P2574" s="52"/>
      <c r="Q2574" s="52"/>
      <c r="R2574" s="52"/>
      <c r="S2574" s="52"/>
      <c r="T2574" s="52"/>
      <c r="U2574" s="52"/>
      <c r="V2574" s="52"/>
      <c r="W2574" s="52"/>
      <c r="X2574" s="52"/>
      <c r="Y2574" s="52"/>
      <c r="Z2574" s="52"/>
      <c r="AA2574" s="52"/>
      <c r="AB2574" s="52"/>
      <c r="AC2574" s="52"/>
      <c r="AD2574" s="52"/>
      <c r="AE2574" s="52"/>
      <c r="AF2574" s="52"/>
      <c r="AG2574" s="52"/>
      <c r="AH2574" s="52"/>
      <c r="AI2574" s="52"/>
      <c r="AJ2574" s="52"/>
      <c r="AK2574" s="52"/>
      <c r="AL2574" s="52"/>
      <c r="AM2574" s="52"/>
      <c r="AN2574" s="52"/>
    </row>
    <row r="2575" spans="1:40" x14ac:dyDescent="0.3">
      <c r="A2575" s="52">
        <v>2570</v>
      </c>
      <c r="B2575" s="52">
        <f>-bthan*500+(19+0.5)*bthan*1000/50</f>
        <v>-605</v>
      </c>
      <c r="C2575" s="52">
        <f t="shared" si="254"/>
        <v>230</v>
      </c>
      <c r="D2575" s="52">
        <f t="shared" si="255"/>
        <v>2200</v>
      </c>
      <c r="E2575" s="52">
        <f t="shared" si="256"/>
        <v>1</v>
      </c>
      <c r="F2575" s="52"/>
      <c r="G2575" s="52"/>
      <c r="H2575" s="52"/>
      <c r="I2575" s="52"/>
      <c r="J2575" s="52"/>
      <c r="K2575" s="52"/>
      <c r="L2575" s="52"/>
      <c r="M2575" s="52"/>
      <c r="N2575" s="52"/>
      <c r="O2575" s="52"/>
      <c r="P2575" s="52"/>
      <c r="Q2575" s="52"/>
      <c r="R2575" s="52"/>
      <c r="S2575" s="52"/>
      <c r="T2575" s="52"/>
      <c r="U2575" s="52"/>
      <c r="V2575" s="52"/>
      <c r="W2575" s="52"/>
      <c r="X2575" s="52"/>
      <c r="Y2575" s="52"/>
      <c r="Z2575" s="52"/>
      <c r="AA2575" s="52"/>
      <c r="AB2575" s="52"/>
      <c r="AC2575" s="52"/>
      <c r="AD2575" s="52"/>
      <c r="AE2575" s="52"/>
      <c r="AF2575" s="52"/>
      <c r="AG2575" s="52"/>
      <c r="AH2575" s="52"/>
      <c r="AI2575" s="52"/>
      <c r="AJ2575" s="52"/>
      <c r="AK2575" s="52"/>
      <c r="AL2575" s="52"/>
      <c r="AM2575" s="52"/>
      <c r="AN2575" s="52"/>
    </row>
    <row r="2576" spans="1:40" x14ac:dyDescent="0.3">
      <c r="A2576" s="52">
        <v>2571</v>
      </c>
      <c r="B2576" s="52">
        <f>-bthan*500+(20+0.5)*bthan*1000/50</f>
        <v>-495</v>
      </c>
      <c r="C2576" s="52">
        <f t="shared" si="254"/>
        <v>230</v>
      </c>
      <c r="D2576" s="52">
        <f t="shared" si="255"/>
        <v>2200</v>
      </c>
      <c r="E2576" s="52">
        <f t="shared" si="256"/>
        <v>1</v>
      </c>
      <c r="F2576" s="52"/>
      <c r="G2576" s="52"/>
      <c r="H2576" s="52"/>
      <c r="I2576" s="52"/>
      <c r="J2576" s="52"/>
      <c r="K2576" s="52"/>
      <c r="L2576" s="52"/>
      <c r="M2576" s="52"/>
      <c r="N2576" s="52"/>
      <c r="O2576" s="52"/>
      <c r="P2576" s="52"/>
      <c r="Q2576" s="52"/>
      <c r="R2576" s="52"/>
      <c r="S2576" s="52"/>
      <c r="T2576" s="52"/>
      <c r="U2576" s="52"/>
      <c r="V2576" s="52"/>
      <c r="W2576" s="52"/>
      <c r="X2576" s="52"/>
      <c r="Y2576" s="52"/>
      <c r="Z2576" s="52"/>
      <c r="AA2576" s="52"/>
      <c r="AB2576" s="52"/>
      <c r="AC2576" s="52"/>
      <c r="AD2576" s="52"/>
      <c r="AE2576" s="52"/>
      <c r="AF2576" s="52"/>
      <c r="AG2576" s="52"/>
      <c r="AH2576" s="52"/>
      <c r="AI2576" s="52"/>
      <c r="AJ2576" s="52"/>
      <c r="AK2576" s="52"/>
      <c r="AL2576" s="52"/>
      <c r="AM2576" s="52"/>
      <c r="AN2576" s="52"/>
    </row>
    <row r="2577" spans="1:40" x14ac:dyDescent="0.3">
      <c r="A2577" s="52">
        <v>2572</v>
      </c>
      <c r="B2577" s="52">
        <f>-bthan*500+(21+0.5)*bthan*1000/50</f>
        <v>-385</v>
      </c>
      <c r="C2577" s="52">
        <f t="shared" si="254"/>
        <v>230</v>
      </c>
      <c r="D2577" s="52">
        <f t="shared" si="255"/>
        <v>2200</v>
      </c>
      <c r="E2577" s="52">
        <f t="shared" si="256"/>
        <v>1</v>
      </c>
      <c r="F2577" s="52"/>
      <c r="G2577" s="52"/>
      <c r="H2577" s="52"/>
      <c r="I2577" s="52"/>
      <c r="J2577" s="52"/>
      <c r="K2577" s="52"/>
      <c r="L2577" s="52"/>
      <c r="M2577" s="52"/>
      <c r="N2577" s="52"/>
      <c r="O2577" s="52"/>
      <c r="P2577" s="52"/>
      <c r="Q2577" s="52"/>
      <c r="R2577" s="52"/>
      <c r="S2577" s="52"/>
      <c r="T2577" s="52"/>
      <c r="U2577" s="52"/>
      <c r="V2577" s="52"/>
      <c r="W2577" s="52"/>
      <c r="X2577" s="52"/>
      <c r="Y2577" s="52"/>
      <c r="Z2577" s="52"/>
      <c r="AA2577" s="52"/>
      <c r="AB2577" s="52"/>
      <c r="AC2577" s="52"/>
      <c r="AD2577" s="52"/>
      <c r="AE2577" s="52"/>
      <c r="AF2577" s="52"/>
      <c r="AG2577" s="52"/>
      <c r="AH2577" s="52"/>
      <c r="AI2577" s="52"/>
      <c r="AJ2577" s="52"/>
      <c r="AK2577" s="52"/>
      <c r="AL2577" s="52"/>
      <c r="AM2577" s="52"/>
      <c r="AN2577" s="52"/>
    </row>
    <row r="2578" spans="1:40" x14ac:dyDescent="0.3">
      <c r="A2578" s="52">
        <v>2573</v>
      </c>
      <c r="B2578" s="52">
        <f>-bthan*500+(22+0.5)*bthan*1000/50</f>
        <v>-275</v>
      </c>
      <c r="C2578" s="52">
        <f t="shared" si="254"/>
        <v>230</v>
      </c>
      <c r="D2578" s="52">
        <f t="shared" si="255"/>
        <v>2200</v>
      </c>
      <c r="E2578" s="52">
        <f t="shared" si="256"/>
        <v>1</v>
      </c>
      <c r="F2578" s="52"/>
      <c r="G2578" s="52"/>
      <c r="H2578" s="52"/>
      <c r="I2578" s="52"/>
      <c r="J2578" s="52"/>
      <c r="K2578" s="52"/>
      <c r="L2578" s="52"/>
      <c r="M2578" s="52"/>
      <c r="N2578" s="52"/>
      <c r="O2578" s="52"/>
      <c r="P2578" s="52"/>
      <c r="Q2578" s="52"/>
      <c r="R2578" s="52"/>
      <c r="S2578" s="52"/>
      <c r="T2578" s="52"/>
      <c r="U2578" s="52"/>
      <c r="V2578" s="52"/>
      <c r="W2578" s="52"/>
      <c r="X2578" s="52"/>
      <c r="Y2578" s="52"/>
      <c r="Z2578" s="52"/>
      <c r="AA2578" s="52"/>
      <c r="AB2578" s="52"/>
      <c r="AC2578" s="52"/>
      <c r="AD2578" s="52"/>
      <c r="AE2578" s="52"/>
      <c r="AF2578" s="52"/>
      <c r="AG2578" s="52"/>
      <c r="AH2578" s="52"/>
      <c r="AI2578" s="52"/>
      <c r="AJ2578" s="52"/>
      <c r="AK2578" s="52"/>
      <c r="AL2578" s="52"/>
      <c r="AM2578" s="52"/>
      <c r="AN2578" s="52"/>
    </row>
    <row r="2579" spans="1:40" x14ac:dyDescent="0.3">
      <c r="A2579" s="52">
        <v>2574</v>
      </c>
      <c r="B2579" s="52">
        <f>-bthan*500+(23+0.5)*bthan*1000/50</f>
        <v>-165</v>
      </c>
      <c r="C2579" s="52">
        <f t="shared" si="254"/>
        <v>230</v>
      </c>
      <c r="D2579" s="52">
        <f t="shared" si="255"/>
        <v>2200</v>
      </c>
      <c r="E2579" s="52">
        <f t="shared" si="256"/>
        <v>1</v>
      </c>
      <c r="F2579" s="52"/>
      <c r="G2579" s="52"/>
      <c r="H2579" s="52"/>
      <c r="I2579" s="52"/>
      <c r="J2579" s="52"/>
      <c r="K2579" s="52"/>
      <c r="L2579" s="52"/>
      <c r="M2579" s="52"/>
      <c r="N2579" s="52"/>
      <c r="O2579" s="52"/>
      <c r="P2579" s="52"/>
      <c r="Q2579" s="52"/>
      <c r="R2579" s="52"/>
      <c r="S2579" s="52"/>
      <c r="T2579" s="52"/>
      <c r="U2579" s="52"/>
      <c r="V2579" s="52"/>
      <c r="W2579" s="52"/>
      <c r="X2579" s="52"/>
      <c r="Y2579" s="52"/>
      <c r="Z2579" s="52"/>
      <c r="AA2579" s="52"/>
      <c r="AB2579" s="52"/>
      <c r="AC2579" s="52"/>
      <c r="AD2579" s="52"/>
      <c r="AE2579" s="52"/>
      <c r="AF2579" s="52"/>
      <c r="AG2579" s="52"/>
      <c r="AH2579" s="52"/>
      <c r="AI2579" s="52"/>
      <c r="AJ2579" s="52"/>
      <c r="AK2579" s="52"/>
      <c r="AL2579" s="52"/>
      <c r="AM2579" s="52"/>
      <c r="AN2579" s="52"/>
    </row>
    <row r="2580" spans="1:40" x14ac:dyDescent="0.3">
      <c r="A2580" s="52">
        <v>2575</v>
      </c>
      <c r="B2580" s="52">
        <f>-bthan*500+(24+0.5)*bthan*1000/50</f>
        <v>-55</v>
      </c>
      <c r="C2580" s="52">
        <f t="shared" si="254"/>
        <v>230</v>
      </c>
      <c r="D2580" s="52">
        <f t="shared" si="255"/>
        <v>2200</v>
      </c>
      <c r="E2580" s="52">
        <f t="shared" si="256"/>
        <v>1</v>
      </c>
      <c r="F2580" s="52"/>
      <c r="G2580" s="52"/>
      <c r="H2580" s="52"/>
      <c r="I2580" s="52"/>
      <c r="J2580" s="52"/>
      <c r="K2580" s="52"/>
      <c r="L2580" s="52"/>
      <c r="M2580" s="52"/>
      <c r="N2580" s="52"/>
      <c r="O2580" s="52"/>
      <c r="P2580" s="52"/>
      <c r="Q2580" s="52"/>
      <c r="R2580" s="52"/>
      <c r="S2580" s="52"/>
      <c r="T2580" s="52"/>
      <c r="U2580" s="52"/>
      <c r="V2580" s="52"/>
      <c r="W2580" s="52"/>
      <c r="X2580" s="52"/>
      <c r="Y2580" s="52"/>
      <c r="Z2580" s="52"/>
      <c r="AA2580" s="52"/>
      <c r="AB2580" s="52"/>
      <c r="AC2580" s="52"/>
      <c r="AD2580" s="52"/>
      <c r="AE2580" s="52"/>
      <c r="AF2580" s="52"/>
      <c r="AG2580" s="52"/>
      <c r="AH2580" s="52"/>
      <c r="AI2580" s="52"/>
      <c r="AJ2580" s="52"/>
      <c r="AK2580" s="52"/>
      <c r="AL2580" s="52"/>
      <c r="AM2580" s="52"/>
      <c r="AN2580" s="52"/>
    </row>
    <row r="2581" spans="1:40" x14ac:dyDescent="0.3">
      <c r="A2581" s="52">
        <v>2576</v>
      </c>
      <c r="B2581" s="52">
        <f>-bthan*500+(25+0.5)*bthan*1000/50</f>
        <v>55</v>
      </c>
      <c r="C2581" s="52">
        <f t="shared" si="254"/>
        <v>230</v>
      </c>
      <c r="D2581" s="52">
        <f t="shared" si="255"/>
        <v>2200</v>
      </c>
      <c r="E2581" s="52">
        <f t="shared" si="256"/>
        <v>1</v>
      </c>
      <c r="F2581" s="52"/>
      <c r="G2581" s="52"/>
      <c r="H2581" s="52"/>
      <c r="I2581" s="52"/>
      <c r="J2581" s="52"/>
      <c r="K2581" s="52"/>
      <c r="L2581" s="52"/>
      <c r="M2581" s="52"/>
      <c r="N2581" s="52"/>
      <c r="O2581" s="52"/>
      <c r="P2581" s="52"/>
      <c r="Q2581" s="52"/>
      <c r="R2581" s="52"/>
      <c r="S2581" s="52"/>
      <c r="T2581" s="52"/>
      <c r="U2581" s="52"/>
      <c r="V2581" s="52"/>
      <c r="W2581" s="52"/>
      <c r="X2581" s="52"/>
      <c r="Y2581" s="52"/>
      <c r="Z2581" s="52"/>
      <c r="AA2581" s="52"/>
      <c r="AB2581" s="52"/>
      <c r="AC2581" s="52"/>
      <c r="AD2581" s="52"/>
      <c r="AE2581" s="52"/>
      <c r="AF2581" s="52"/>
      <c r="AG2581" s="52"/>
      <c r="AH2581" s="52"/>
      <c r="AI2581" s="52"/>
      <c r="AJ2581" s="52"/>
      <c r="AK2581" s="52"/>
      <c r="AL2581" s="52"/>
      <c r="AM2581" s="52"/>
      <c r="AN2581" s="52"/>
    </row>
    <row r="2582" spans="1:40" x14ac:dyDescent="0.3">
      <c r="A2582" s="52">
        <v>2577</v>
      </c>
      <c r="B2582" s="52">
        <f>-bthan*500+(26+0.5)*bthan*1000/50</f>
        <v>165</v>
      </c>
      <c r="C2582" s="52">
        <f t="shared" si="254"/>
        <v>230</v>
      </c>
      <c r="D2582" s="52">
        <f t="shared" si="255"/>
        <v>2200</v>
      </c>
      <c r="E2582" s="52">
        <f t="shared" si="256"/>
        <v>1</v>
      </c>
      <c r="F2582" s="52"/>
      <c r="G2582" s="52"/>
      <c r="H2582" s="52"/>
      <c r="I2582" s="52"/>
      <c r="J2582" s="52"/>
      <c r="K2582" s="52"/>
      <c r="L2582" s="52"/>
      <c r="M2582" s="52"/>
      <c r="N2582" s="52"/>
      <c r="O2582" s="52"/>
      <c r="P2582" s="52"/>
      <c r="Q2582" s="52"/>
      <c r="R2582" s="52"/>
      <c r="S2582" s="52"/>
      <c r="T2582" s="52"/>
      <c r="U2582" s="52"/>
      <c r="V2582" s="52"/>
      <c r="W2582" s="52"/>
      <c r="X2582" s="52"/>
      <c r="Y2582" s="52"/>
      <c r="Z2582" s="52"/>
      <c r="AA2582" s="52"/>
      <c r="AB2582" s="52"/>
      <c r="AC2582" s="52"/>
      <c r="AD2582" s="52"/>
      <c r="AE2582" s="52"/>
      <c r="AF2582" s="52"/>
      <c r="AG2582" s="52"/>
      <c r="AH2582" s="52"/>
      <c r="AI2582" s="52"/>
      <c r="AJ2582" s="52"/>
      <c r="AK2582" s="52"/>
      <c r="AL2582" s="52"/>
      <c r="AM2582" s="52"/>
      <c r="AN2582" s="52"/>
    </row>
    <row r="2583" spans="1:40" x14ac:dyDescent="0.3">
      <c r="A2583" s="52">
        <v>2578</v>
      </c>
      <c r="B2583" s="52">
        <f>-bthan*500+(27+0.5)*bthan*1000/50</f>
        <v>275</v>
      </c>
      <c r="C2583" s="52">
        <f t="shared" si="254"/>
        <v>230</v>
      </c>
      <c r="D2583" s="52">
        <f t="shared" si="255"/>
        <v>2200</v>
      </c>
      <c r="E2583" s="52">
        <f t="shared" si="256"/>
        <v>1</v>
      </c>
      <c r="F2583" s="52"/>
      <c r="G2583" s="52"/>
      <c r="H2583" s="52"/>
      <c r="I2583" s="52"/>
      <c r="J2583" s="52"/>
      <c r="K2583" s="52"/>
      <c r="L2583" s="52"/>
      <c r="M2583" s="52"/>
      <c r="N2583" s="52"/>
      <c r="O2583" s="52"/>
      <c r="P2583" s="52"/>
      <c r="Q2583" s="52"/>
      <c r="R2583" s="52"/>
      <c r="S2583" s="52"/>
      <c r="T2583" s="52"/>
      <c r="U2583" s="52"/>
      <c r="V2583" s="52"/>
      <c r="W2583" s="52"/>
      <c r="X2583" s="52"/>
      <c r="Y2583" s="52"/>
      <c r="Z2583" s="52"/>
      <c r="AA2583" s="52"/>
      <c r="AB2583" s="52"/>
      <c r="AC2583" s="52"/>
      <c r="AD2583" s="52"/>
      <c r="AE2583" s="52"/>
      <c r="AF2583" s="52"/>
      <c r="AG2583" s="52"/>
      <c r="AH2583" s="52"/>
      <c r="AI2583" s="52"/>
      <c r="AJ2583" s="52"/>
      <c r="AK2583" s="52"/>
      <c r="AL2583" s="52"/>
      <c r="AM2583" s="52"/>
      <c r="AN2583" s="52"/>
    </row>
    <row r="2584" spans="1:40" x14ac:dyDescent="0.3">
      <c r="A2584" s="52">
        <v>2579</v>
      </c>
      <c r="B2584" s="52">
        <f>-bthan*500+(28+0.5)*bthan*1000/50</f>
        <v>385</v>
      </c>
      <c r="C2584" s="52">
        <f t="shared" si="254"/>
        <v>230</v>
      </c>
      <c r="D2584" s="52">
        <f t="shared" si="255"/>
        <v>2200</v>
      </c>
      <c r="E2584" s="52">
        <f t="shared" si="256"/>
        <v>1</v>
      </c>
      <c r="F2584" s="52"/>
      <c r="G2584" s="52"/>
      <c r="H2584" s="52"/>
      <c r="I2584" s="52"/>
      <c r="J2584" s="52"/>
      <c r="K2584" s="52"/>
      <c r="L2584" s="52"/>
      <c r="M2584" s="52"/>
      <c r="N2584" s="52"/>
      <c r="O2584" s="52"/>
      <c r="P2584" s="52"/>
      <c r="Q2584" s="52"/>
      <c r="R2584" s="52"/>
      <c r="S2584" s="52"/>
      <c r="T2584" s="52"/>
      <c r="U2584" s="52"/>
      <c r="V2584" s="52"/>
      <c r="W2584" s="52"/>
      <c r="X2584" s="52"/>
      <c r="Y2584" s="52"/>
      <c r="Z2584" s="52"/>
      <c r="AA2584" s="52"/>
      <c r="AB2584" s="52"/>
      <c r="AC2584" s="52"/>
      <c r="AD2584" s="52"/>
      <c r="AE2584" s="52"/>
      <c r="AF2584" s="52"/>
      <c r="AG2584" s="52"/>
      <c r="AH2584" s="52"/>
      <c r="AI2584" s="52"/>
      <c r="AJ2584" s="52"/>
      <c r="AK2584" s="52"/>
      <c r="AL2584" s="52"/>
      <c r="AM2584" s="52"/>
      <c r="AN2584" s="52"/>
    </row>
    <row r="2585" spans="1:40" x14ac:dyDescent="0.3">
      <c r="A2585" s="52">
        <v>2580</v>
      </c>
      <c r="B2585" s="52">
        <f>-bthan*500+(29+0.5)*bthan*1000/50</f>
        <v>495</v>
      </c>
      <c r="C2585" s="52">
        <f t="shared" si="254"/>
        <v>230</v>
      </c>
      <c r="D2585" s="52">
        <f t="shared" si="255"/>
        <v>2200</v>
      </c>
      <c r="E2585" s="52">
        <f t="shared" si="256"/>
        <v>1</v>
      </c>
      <c r="F2585" s="52"/>
      <c r="G2585" s="52"/>
      <c r="H2585" s="52"/>
      <c r="I2585" s="52"/>
      <c r="J2585" s="52"/>
      <c r="K2585" s="52"/>
      <c r="L2585" s="52"/>
      <c r="M2585" s="52"/>
      <c r="N2585" s="52"/>
      <c r="O2585" s="52"/>
      <c r="P2585" s="52"/>
      <c r="Q2585" s="52"/>
      <c r="R2585" s="52"/>
      <c r="S2585" s="52"/>
      <c r="T2585" s="52"/>
      <c r="U2585" s="52"/>
      <c r="V2585" s="52"/>
      <c r="W2585" s="52"/>
      <c r="X2585" s="52"/>
      <c r="Y2585" s="52"/>
      <c r="Z2585" s="52"/>
      <c r="AA2585" s="52"/>
      <c r="AB2585" s="52"/>
      <c r="AC2585" s="52"/>
      <c r="AD2585" s="52"/>
      <c r="AE2585" s="52"/>
      <c r="AF2585" s="52"/>
      <c r="AG2585" s="52"/>
      <c r="AH2585" s="52"/>
      <c r="AI2585" s="52"/>
      <c r="AJ2585" s="52"/>
      <c r="AK2585" s="52"/>
      <c r="AL2585" s="52"/>
      <c r="AM2585" s="52"/>
      <c r="AN2585" s="52"/>
    </row>
    <row r="2586" spans="1:40" x14ac:dyDescent="0.3">
      <c r="A2586" s="52">
        <v>2581</v>
      </c>
      <c r="B2586" s="52">
        <f>-bthan*500+(30+0.5)*bthan*1000/50</f>
        <v>605</v>
      </c>
      <c r="C2586" s="52">
        <f t="shared" si="254"/>
        <v>230</v>
      </c>
      <c r="D2586" s="52">
        <f t="shared" si="255"/>
        <v>2200</v>
      </c>
      <c r="E2586" s="52">
        <f t="shared" si="256"/>
        <v>1</v>
      </c>
      <c r="F2586" s="52"/>
      <c r="G2586" s="52"/>
      <c r="H2586" s="52"/>
      <c r="I2586" s="52"/>
      <c r="J2586" s="52"/>
      <c r="K2586" s="52"/>
      <c r="L2586" s="52"/>
      <c r="M2586" s="52"/>
      <c r="N2586" s="52"/>
      <c r="O2586" s="52"/>
      <c r="P2586" s="52"/>
      <c r="Q2586" s="52"/>
      <c r="R2586" s="52"/>
      <c r="S2586" s="52"/>
      <c r="T2586" s="52"/>
      <c r="U2586" s="52"/>
      <c r="V2586" s="52"/>
      <c r="W2586" s="52"/>
      <c r="X2586" s="52"/>
      <c r="Y2586" s="52"/>
      <c r="Z2586" s="52"/>
      <c r="AA2586" s="52"/>
      <c r="AB2586" s="52"/>
      <c r="AC2586" s="52"/>
      <c r="AD2586" s="52"/>
      <c r="AE2586" s="52"/>
      <c r="AF2586" s="52"/>
      <c r="AG2586" s="52"/>
      <c r="AH2586" s="52"/>
      <c r="AI2586" s="52"/>
      <c r="AJ2586" s="52"/>
      <c r="AK2586" s="52"/>
      <c r="AL2586" s="52"/>
      <c r="AM2586" s="52"/>
      <c r="AN2586" s="52"/>
    </row>
    <row r="2587" spans="1:40" x14ac:dyDescent="0.3">
      <c r="A2587" s="52">
        <v>2582</v>
      </c>
      <c r="B2587" s="52">
        <f>-bthan*500+(31+0.5)*bthan*1000/50</f>
        <v>715</v>
      </c>
      <c r="C2587" s="52">
        <f t="shared" si="254"/>
        <v>230</v>
      </c>
      <c r="D2587" s="52">
        <f t="shared" si="255"/>
        <v>2200</v>
      </c>
      <c r="E2587" s="52">
        <f t="shared" si="256"/>
        <v>1</v>
      </c>
      <c r="F2587" s="52"/>
      <c r="G2587" s="52"/>
      <c r="H2587" s="52"/>
      <c r="I2587" s="52"/>
      <c r="J2587" s="52"/>
      <c r="K2587" s="52"/>
      <c r="L2587" s="52"/>
      <c r="M2587" s="52"/>
      <c r="N2587" s="52"/>
      <c r="O2587" s="52"/>
      <c r="P2587" s="52"/>
      <c r="Q2587" s="52"/>
      <c r="R2587" s="52"/>
      <c r="S2587" s="52"/>
      <c r="T2587" s="52"/>
      <c r="U2587" s="52"/>
      <c r="V2587" s="52"/>
      <c r="W2587" s="52"/>
      <c r="X2587" s="52"/>
      <c r="Y2587" s="52"/>
      <c r="Z2587" s="52"/>
      <c r="AA2587" s="52"/>
      <c r="AB2587" s="52"/>
      <c r="AC2587" s="52"/>
      <c r="AD2587" s="52"/>
      <c r="AE2587" s="52"/>
      <c r="AF2587" s="52"/>
      <c r="AG2587" s="52"/>
      <c r="AH2587" s="52"/>
      <c r="AI2587" s="52"/>
      <c r="AJ2587" s="52"/>
      <c r="AK2587" s="52"/>
      <c r="AL2587" s="52"/>
      <c r="AM2587" s="52"/>
      <c r="AN2587" s="52"/>
    </row>
    <row r="2588" spans="1:40" x14ac:dyDescent="0.3">
      <c r="A2588" s="52">
        <v>2583</v>
      </c>
      <c r="B2588" s="52">
        <f>-bthan*500+(32+0.5)*bthan*1000/50</f>
        <v>825</v>
      </c>
      <c r="C2588" s="52">
        <f t="shared" ref="C2588:C2605" si="257">-hthan*500+(51+0.5)*hthan*1000/80</f>
        <v>230</v>
      </c>
      <c r="D2588" s="52">
        <f t="shared" si="255"/>
        <v>2200</v>
      </c>
      <c r="E2588" s="52">
        <f t="shared" si="256"/>
        <v>1</v>
      </c>
      <c r="F2588" s="52"/>
      <c r="G2588" s="52"/>
      <c r="H2588" s="52"/>
      <c r="I2588" s="52"/>
      <c r="J2588" s="52"/>
      <c r="K2588" s="52"/>
      <c r="L2588" s="52"/>
      <c r="M2588" s="52"/>
      <c r="N2588" s="52"/>
      <c r="O2588" s="52"/>
      <c r="P2588" s="52"/>
      <c r="Q2588" s="52"/>
      <c r="R2588" s="52"/>
      <c r="S2588" s="52"/>
      <c r="T2588" s="52"/>
      <c r="U2588" s="52"/>
      <c r="V2588" s="52"/>
      <c r="W2588" s="52"/>
      <c r="X2588" s="52"/>
      <c r="Y2588" s="52"/>
      <c r="Z2588" s="52"/>
      <c r="AA2588" s="52"/>
      <c r="AB2588" s="52"/>
      <c r="AC2588" s="52"/>
      <c r="AD2588" s="52"/>
      <c r="AE2588" s="52"/>
      <c r="AF2588" s="52"/>
      <c r="AG2588" s="52"/>
      <c r="AH2588" s="52"/>
      <c r="AI2588" s="52"/>
      <c r="AJ2588" s="52"/>
      <c r="AK2588" s="52"/>
      <c r="AL2588" s="52"/>
      <c r="AM2588" s="52"/>
      <c r="AN2588" s="52"/>
    </row>
    <row r="2589" spans="1:40" x14ac:dyDescent="0.3">
      <c r="A2589" s="52">
        <v>2584</v>
      </c>
      <c r="B2589" s="52">
        <f>-bthan*500+(33+0.5)*bthan*1000/50</f>
        <v>935</v>
      </c>
      <c r="C2589" s="52">
        <f t="shared" si="257"/>
        <v>230</v>
      </c>
      <c r="D2589" s="52">
        <f t="shared" si="255"/>
        <v>2200</v>
      </c>
      <c r="E2589" s="52">
        <f t="shared" si="256"/>
        <v>1</v>
      </c>
      <c r="F2589" s="52"/>
      <c r="G2589" s="52"/>
      <c r="H2589" s="52"/>
      <c r="I2589" s="52"/>
      <c r="J2589" s="52"/>
      <c r="K2589" s="52"/>
      <c r="L2589" s="52"/>
      <c r="M2589" s="52"/>
      <c r="N2589" s="52"/>
      <c r="O2589" s="52"/>
      <c r="P2589" s="52"/>
      <c r="Q2589" s="52"/>
      <c r="R2589" s="52"/>
      <c r="S2589" s="52"/>
      <c r="T2589" s="52"/>
      <c r="U2589" s="52"/>
      <c r="V2589" s="52"/>
      <c r="W2589" s="52"/>
      <c r="X2589" s="52"/>
      <c r="Y2589" s="52"/>
      <c r="Z2589" s="52"/>
      <c r="AA2589" s="52"/>
      <c r="AB2589" s="52"/>
      <c r="AC2589" s="52"/>
      <c r="AD2589" s="52"/>
      <c r="AE2589" s="52"/>
      <c r="AF2589" s="52"/>
      <c r="AG2589" s="52"/>
      <c r="AH2589" s="52"/>
      <c r="AI2589" s="52"/>
      <c r="AJ2589" s="52"/>
      <c r="AK2589" s="52"/>
      <c r="AL2589" s="52"/>
      <c r="AM2589" s="52"/>
      <c r="AN2589" s="52"/>
    </row>
    <row r="2590" spans="1:40" x14ac:dyDescent="0.3">
      <c r="A2590" s="52">
        <v>2585</v>
      </c>
      <c r="B2590" s="52">
        <f>-bthan*500+(34+0.5)*bthan*1000/50</f>
        <v>1045</v>
      </c>
      <c r="C2590" s="52">
        <f t="shared" si="257"/>
        <v>230</v>
      </c>
      <c r="D2590" s="52">
        <f t="shared" si="255"/>
        <v>2200</v>
      </c>
      <c r="E2590" s="52">
        <f t="shared" si="256"/>
        <v>1</v>
      </c>
      <c r="F2590" s="52"/>
      <c r="G2590" s="52"/>
      <c r="H2590" s="52"/>
      <c r="I2590" s="52"/>
      <c r="J2590" s="52"/>
      <c r="K2590" s="52"/>
      <c r="L2590" s="52"/>
      <c r="M2590" s="52"/>
      <c r="N2590" s="52"/>
      <c r="O2590" s="52"/>
      <c r="P2590" s="52"/>
      <c r="Q2590" s="52"/>
      <c r="R2590" s="52"/>
      <c r="S2590" s="52"/>
      <c r="T2590" s="52"/>
      <c r="U2590" s="52"/>
      <c r="V2590" s="52"/>
      <c r="W2590" s="52"/>
      <c r="X2590" s="52"/>
      <c r="Y2590" s="52"/>
      <c r="Z2590" s="52"/>
      <c r="AA2590" s="52"/>
      <c r="AB2590" s="52"/>
      <c r="AC2590" s="52"/>
      <c r="AD2590" s="52"/>
      <c r="AE2590" s="52"/>
      <c r="AF2590" s="52"/>
      <c r="AG2590" s="52"/>
      <c r="AH2590" s="52"/>
      <c r="AI2590" s="52"/>
      <c r="AJ2590" s="52"/>
      <c r="AK2590" s="52"/>
      <c r="AL2590" s="52"/>
      <c r="AM2590" s="52"/>
      <c r="AN2590" s="52"/>
    </row>
    <row r="2591" spans="1:40" x14ac:dyDescent="0.3">
      <c r="A2591" s="52">
        <v>2586</v>
      </c>
      <c r="B2591" s="52">
        <f>-bthan*500+(35+0.5)*bthan*1000/50</f>
        <v>1155</v>
      </c>
      <c r="C2591" s="52">
        <f t="shared" si="257"/>
        <v>230</v>
      </c>
      <c r="D2591" s="52">
        <f t="shared" si="255"/>
        <v>2200</v>
      </c>
      <c r="E2591" s="52">
        <f t="shared" si="256"/>
        <v>1</v>
      </c>
      <c r="F2591" s="52"/>
      <c r="G2591" s="52"/>
      <c r="H2591" s="52"/>
      <c r="I2591" s="52"/>
      <c r="J2591" s="52"/>
      <c r="K2591" s="52"/>
      <c r="L2591" s="52"/>
      <c r="M2591" s="52"/>
      <c r="N2591" s="52"/>
      <c r="O2591" s="52"/>
      <c r="P2591" s="52"/>
      <c r="Q2591" s="52"/>
      <c r="R2591" s="52"/>
      <c r="S2591" s="52"/>
      <c r="T2591" s="52"/>
      <c r="U2591" s="52"/>
      <c r="V2591" s="52"/>
      <c r="W2591" s="52"/>
      <c r="X2591" s="52"/>
      <c r="Y2591" s="52"/>
      <c r="Z2591" s="52"/>
      <c r="AA2591" s="52"/>
      <c r="AB2591" s="52"/>
      <c r="AC2591" s="52"/>
      <c r="AD2591" s="52"/>
      <c r="AE2591" s="52"/>
      <c r="AF2591" s="52"/>
      <c r="AG2591" s="52"/>
      <c r="AH2591" s="52"/>
      <c r="AI2591" s="52"/>
      <c r="AJ2591" s="52"/>
      <c r="AK2591" s="52"/>
      <c r="AL2591" s="52"/>
      <c r="AM2591" s="52"/>
      <c r="AN2591" s="52"/>
    </row>
    <row r="2592" spans="1:40" x14ac:dyDescent="0.3">
      <c r="A2592" s="52">
        <v>2587</v>
      </c>
      <c r="B2592" s="52">
        <f>-bthan*500+(36+0.5)*bthan*1000/50</f>
        <v>1265</v>
      </c>
      <c r="C2592" s="52">
        <f t="shared" si="257"/>
        <v>230</v>
      </c>
      <c r="D2592" s="52">
        <f t="shared" si="255"/>
        <v>2200</v>
      </c>
      <c r="E2592" s="52">
        <f t="shared" si="256"/>
        <v>1</v>
      </c>
      <c r="F2592" s="52"/>
      <c r="G2592" s="52"/>
      <c r="H2592" s="52"/>
      <c r="I2592" s="52"/>
      <c r="J2592" s="52"/>
      <c r="K2592" s="52"/>
      <c r="L2592" s="52"/>
      <c r="M2592" s="52"/>
      <c r="N2592" s="52"/>
      <c r="O2592" s="52"/>
      <c r="P2592" s="52"/>
      <c r="Q2592" s="52"/>
      <c r="R2592" s="52"/>
      <c r="S2592" s="52"/>
      <c r="T2592" s="52"/>
      <c r="U2592" s="52"/>
      <c r="V2592" s="52"/>
      <c r="W2592" s="52"/>
      <c r="X2592" s="52"/>
      <c r="Y2592" s="52"/>
      <c r="Z2592" s="52"/>
      <c r="AA2592" s="52"/>
      <c r="AB2592" s="52"/>
      <c r="AC2592" s="52"/>
      <c r="AD2592" s="52"/>
      <c r="AE2592" s="52"/>
      <c r="AF2592" s="52"/>
      <c r="AG2592" s="52"/>
      <c r="AH2592" s="52"/>
      <c r="AI2592" s="52"/>
      <c r="AJ2592" s="52"/>
      <c r="AK2592" s="52"/>
      <c r="AL2592" s="52"/>
      <c r="AM2592" s="52"/>
      <c r="AN2592" s="52"/>
    </row>
    <row r="2593" spans="1:40" x14ac:dyDescent="0.3">
      <c r="A2593" s="52">
        <v>2588</v>
      </c>
      <c r="B2593" s="52">
        <f>-bthan*500+(37+0.5)*bthan*1000/50</f>
        <v>1375</v>
      </c>
      <c r="C2593" s="52">
        <f t="shared" si="257"/>
        <v>230</v>
      </c>
      <c r="D2593" s="52">
        <f t="shared" si="255"/>
        <v>2200</v>
      </c>
      <c r="E2593" s="52">
        <f t="shared" si="256"/>
        <v>1</v>
      </c>
      <c r="F2593" s="52"/>
      <c r="G2593" s="52"/>
      <c r="H2593" s="52"/>
      <c r="I2593" s="52"/>
      <c r="J2593" s="52"/>
      <c r="K2593" s="52"/>
      <c r="L2593" s="52"/>
      <c r="M2593" s="52"/>
      <c r="N2593" s="52"/>
      <c r="O2593" s="52"/>
      <c r="P2593" s="52"/>
      <c r="Q2593" s="52"/>
      <c r="R2593" s="52"/>
      <c r="S2593" s="52"/>
      <c r="T2593" s="52"/>
      <c r="U2593" s="52"/>
      <c r="V2593" s="52"/>
      <c r="W2593" s="52"/>
      <c r="X2593" s="52"/>
      <c r="Y2593" s="52"/>
      <c r="Z2593" s="52"/>
      <c r="AA2593" s="52"/>
      <c r="AB2593" s="52"/>
      <c r="AC2593" s="52"/>
      <c r="AD2593" s="52"/>
      <c r="AE2593" s="52"/>
      <c r="AF2593" s="52"/>
      <c r="AG2593" s="52"/>
      <c r="AH2593" s="52"/>
      <c r="AI2593" s="52"/>
      <c r="AJ2593" s="52"/>
      <c r="AK2593" s="52"/>
      <c r="AL2593" s="52"/>
      <c r="AM2593" s="52"/>
      <c r="AN2593" s="52"/>
    </row>
    <row r="2594" spans="1:40" x14ac:dyDescent="0.3">
      <c r="A2594" s="52">
        <v>2589</v>
      </c>
      <c r="B2594" s="52">
        <f>-bthan*500+(38+0.5)*bthan*1000/50</f>
        <v>1485</v>
      </c>
      <c r="C2594" s="52">
        <f t="shared" si="257"/>
        <v>230</v>
      </c>
      <c r="D2594" s="52">
        <f t="shared" si="255"/>
        <v>2200</v>
      </c>
      <c r="E2594" s="52">
        <f t="shared" si="256"/>
        <v>1</v>
      </c>
      <c r="F2594" s="52"/>
      <c r="G2594" s="52"/>
      <c r="H2594" s="52"/>
      <c r="I2594" s="52"/>
      <c r="J2594" s="52"/>
      <c r="K2594" s="52"/>
      <c r="L2594" s="52"/>
      <c r="M2594" s="52"/>
      <c r="N2594" s="52"/>
      <c r="O2594" s="52"/>
      <c r="P2594" s="52"/>
      <c r="Q2594" s="52"/>
      <c r="R2594" s="52"/>
      <c r="S2594" s="52"/>
      <c r="T2594" s="52"/>
      <c r="U2594" s="52"/>
      <c r="V2594" s="52"/>
      <c r="W2594" s="52"/>
      <c r="X2594" s="52"/>
      <c r="Y2594" s="52"/>
      <c r="Z2594" s="52"/>
      <c r="AA2594" s="52"/>
      <c r="AB2594" s="52"/>
      <c r="AC2594" s="52"/>
      <c r="AD2594" s="52"/>
      <c r="AE2594" s="52"/>
      <c r="AF2594" s="52"/>
      <c r="AG2594" s="52"/>
      <c r="AH2594" s="52"/>
      <c r="AI2594" s="52"/>
      <c r="AJ2594" s="52"/>
      <c r="AK2594" s="52"/>
      <c r="AL2594" s="52"/>
      <c r="AM2594" s="52"/>
      <c r="AN2594" s="52"/>
    </row>
    <row r="2595" spans="1:40" x14ac:dyDescent="0.3">
      <c r="A2595" s="52">
        <v>2590</v>
      </c>
      <c r="B2595" s="52">
        <f>-bthan*500+(39+0.5)*bthan*1000/50</f>
        <v>1595</v>
      </c>
      <c r="C2595" s="52">
        <f t="shared" si="257"/>
        <v>230</v>
      </c>
      <c r="D2595" s="52">
        <f t="shared" si="255"/>
        <v>2200</v>
      </c>
      <c r="E2595" s="52">
        <f t="shared" si="256"/>
        <v>1</v>
      </c>
      <c r="F2595" s="52"/>
      <c r="G2595" s="52"/>
      <c r="H2595" s="52"/>
      <c r="I2595" s="52"/>
      <c r="J2595" s="52"/>
      <c r="K2595" s="52"/>
      <c r="L2595" s="52"/>
      <c r="M2595" s="52"/>
      <c r="N2595" s="52"/>
      <c r="O2595" s="52"/>
      <c r="P2595" s="52"/>
      <c r="Q2595" s="52"/>
      <c r="R2595" s="52"/>
      <c r="S2595" s="52"/>
      <c r="T2595" s="52"/>
      <c r="U2595" s="52"/>
      <c r="V2595" s="52"/>
      <c r="W2595" s="52"/>
      <c r="X2595" s="52"/>
      <c r="Y2595" s="52"/>
      <c r="Z2595" s="52"/>
      <c r="AA2595" s="52"/>
      <c r="AB2595" s="52"/>
      <c r="AC2595" s="52"/>
      <c r="AD2595" s="52"/>
      <c r="AE2595" s="52"/>
      <c r="AF2595" s="52"/>
      <c r="AG2595" s="52"/>
      <c r="AH2595" s="52"/>
      <c r="AI2595" s="52"/>
      <c r="AJ2595" s="52"/>
      <c r="AK2595" s="52"/>
      <c r="AL2595" s="52"/>
      <c r="AM2595" s="52"/>
      <c r="AN2595" s="52"/>
    </row>
    <row r="2596" spans="1:40" x14ac:dyDescent="0.3">
      <c r="A2596" s="52">
        <v>2591</v>
      </c>
      <c r="B2596" s="52">
        <f>-bthan*500+(40+0.5)*bthan*1000/50</f>
        <v>1705</v>
      </c>
      <c r="C2596" s="52">
        <f t="shared" si="257"/>
        <v>230</v>
      </c>
      <c r="D2596" s="52">
        <f t="shared" si="255"/>
        <v>2200</v>
      </c>
      <c r="E2596" s="52">
        <f t="shared" si="256"/>
        <v>1</v>
      </c>
      <c r="F2596" s="52"/>
      <c r="G2596" s="52"/>
      <c r="H2596" s="52"/>
      <c r="I2596" s="52"/>
      <c r="J2596" s="52"/>
      <c r="K2596" s="52"/>
      <c r="L2596" s="52"/>
      <c r="M2596" s="52"/>
      <c r="N2596" s="52"/>
      <c r="O2596" s="52"/>
      <c r="P2596" s="52"/>
      <c r="Q2596" s="52"/>
      <c r="R2596" s="52"/>
      <c r="S2596" s="52"/>
      <c r="T2596" s="52"/>
      <c r="U2596" s="52"/>
      <c r="V2596" s="52"/>
      <c r="W2596" s="52"/>
      <c r="X2596" s="52"/>
      <c r="Y2596" s="52"/>
      <c r="Z2596" s="52"/>
      <c r="AA2596" s="52"/>
      <c r="AB2596" s="52"/>
      <c r="AC2596" s="52"/>
      <c r="AD2596" s="52"/>
      <c r="AE2596" s="52"/>
      <c r="AF2596" s="52"/>
      <c r="AG2596" s="52"/>
      <c r="AH2596" s="52"/>
      <c r="AI2596" s="52"/>
      <c r="AJ2596" s="52"/>
      <c r="AK2596" s="52"/>
      <c r="AL2596" s="52"/>
      <c r="AM2596" s="52"/>
      <c r="AN2596" s="52"/>
    </row>
    <row r="2597" spans="1:40" x14ac:dyDescent="0.3">
      <c r="A2597" s="52">
        <v>2592</v>
      </c>
      <c r="B2597" s="52">
        <f>-bthan*500+(41+0.5)*bthan*1000/50</f>
        <v>1815</v>
      </c>
      <c r="C2597" s="52">
        <f t="shared" si="257"/>
        <v>230</v>
      </c>
      <c r="D2597" s="52">
        <f t="shared" si="255"/>
        <v>2200</v>
      </c>
      <c r="E2597" s="52">
        <f t="shared" si="256"/>
        <v>1</v>
      </c>
      <c r="F2597" s="52"/>
      <c r="G2597" s="52"/>
      <c r="H2597" s="52"/>
      <c r="I2597" s="52"/>
      <c r="J2597" s="52"/>
      <c r="K2597" s="52"/>
      <c r="L2597" s="52"/>
      <c r="M2597" s="52"/>
      <c r="N2597" s="52"/>
      <c r="O2597" s="52"/>
      <c r="P2597" s="52"/>
      <c r="Q2597" s="52"/>
      <c r="R2597" s="52"/>
      <c r="S2597" s="52"/>
      <c r="T2597" s="52"/>
      <c r="U2597" s="52"/>
      <c r="V2597" s="52"/>
      <c r="W2597" s="52"/>
      <c r="X2597" s="52"/>
      <c r="Y2597" s="52"/>
      <c r="Z2597" s="52"/>
      <c r="AA2597" s="52"/>
      <c r="AB2597" s="52"/>
      <c r="AC2597" s="52"/>
      <c r="AD2597" s="52"/>
      <c r="AE2597" s="52"/>
      <c r="AF2597" s="52"/>
      <c r="AG2597" s="52"/>
      <c r="AH2597" s="52"/>
      <c r="AI2597" s="52"/>
      <c r="AJ2597" s="52"/>
      <c r="AK2597" s="52"/>
      <c r="AL2597" s="52"/>
      <c r="AM2597" s="52"/>
      <c r="AN2597" s="52"/>
    </row>
    <row r="2598" spans="1:40" x14ac:dyDescent="0.3">
      <c r="A2598" s="52">
        <v>2593</v>
      </c>
      <c r="B2598" s="52">
        <f>-bthan*500+(42+0.5)*bthan*1000/50</f>
        <v>1925</v>
      </c>
      <c r="C2598" s="52">
        <f t="shared" si="257"/>
        <v>230</v>
      </c>
      <c r="D2598" s="52">
        <f t="shared" si="255"/>
        <v>2200</v>
      </c>
      <c r="E2598" s="52">
        <f t="shared" si="256"/>
        <v>1</v>
      </c>
      <c r="F2598" s="52"/>
      <c r="G2598" s="52"/>
      <c r="H2598" s="52"/>
      <c r="I2598" s="52"/>
      <c r="J2598" s="52"/>
      <c r="K2598" s="52"/>
      <c r="L2598" s="52"/>
      <c r="M2598" s="52"/>
      <c r="N2598" s="52"/>
      <c r="O2598" s="52"/>
      <c r="P2598" s="52"/>
      <c r="Q2598" s="52"/>
      <c r="R2598" s="52"/>
      <c r="S2598" s="52"/>
      <c r="T2598" s="52"/>
      <c r="U2598" s="52"/>
      <c r="V2598" s="52"/>
      <c r="W2598" s="52"/>
      <c r="X2598" s="52"/>
      <c r="Y2598" s="52"/>
      <c r="Z2598" s="52"/>
      <c r="AA2598" s="52"/>
      <c r="AB2598" s="52"/>
      <c r="AC2598" s="52"/>
      <c r="AD2598" s="52"/>
      <c r="AE2598" s="52"/>
      <c r="AF2598" s="52"/>
      <c r="AG2598" s="52"/>
      <c r="AH2598" s="52"/>
      <c r="AI2598" s="52"/>
      <c r="AJ2598" s="52"/>
      <c r="AK2598" s="52"/>
      <c r="AL2598" s="52"/>
      <c r="AM2598" s="52"/>
      <c r="AN2598" s="52"/>
    </row>
    <row r="2599" spans="1:40" x14ac:dyDescent="0.3">
      <c r="A2599" s="52">
        <v>2594</v>
      </c>
      <c r="B2599" s="52">
        <f>-bthan*500+(43+0.5)*bthan*1000/50</f>
        <v>2035</v>
      </c>
      <c r="C2599" s="52">
        <f t="shared" si="257"/>
        <v>230</v>
      </c>
      <c r="D2599" s="52">
        <f t="shared" si="255"/>
        <v>2200</v>
      </c>
      <c r="E2599" s="52">
        <f t="shared" si="256"/>
        <v>1</v>
      </c>
      <c r="F2599" s="52"/>
      <c r="G2599" s="52"/>
      <c r="H2599" s="52"/>
      <c r="I2599" s="52"/>
      <c r="J2599" s="52"/>
      <c r="K2599" s="52"/>
      <c r="L2599" s="52"/>
      <c r="M2599" s="52"/>
      <c r="N2599" s="52"/>
      <c r="O2599" s="52"/>
      <c r="P2599" s="52"/>
      <c r="Q2599" s="52"/>
      <c r="R2599" s="52"/>
      <c r="S2599" s="52"/>
      <c r="T2599" s="52"/>
      <c r="U2599" s="52"/>
      <c r="V2599" s="52"/>
      <c r="W2599" s="52"/>
      <c r="X2599" s="52"/>
      <c r="Y2599" s="52"/>
      <c r="Z2599" s="52"/>
      <c r="AA2599" s="52"/>
      <c r="AB2599" s="52"/>
      <c r="AC2599" s="52"/>
      <c r="AD2599" s="52"/>
      <c r="AE2599" s="52"/>
      <c r="AF2599" s="52"/>
      <c r="AG2599" s="52"/>
      <c r="AH2599" s="52"/>
      <c r="AI2599" s="52"/>
      <c r="AJ2599" s="52"/>
      <c r="AK2599" s="52"/>
      <c r="AL2599" s="52"/>
      <c r="AM2599" s="52"/>
      <c r="AN2599" s="52"/>
    </row>
    <row r="2600" spans="1:40" x14ac:dyDescent="0.3">
      <c r="A2600" s="52">
        <v>2595</v>
      </c>
      <c r="B2600" s="52">
        <f>-bthan*500+(44+0.5)*bthan*1000/50</f>
        <v>2145</v>
      </c>
      <c r="C2600" s="52">
        <f t="shared" si="257"/>
        <v>230</v>
      </c>
      <c r="D2600" s="52">
        <f t="shared" si="255"/>
        <v>2200</v>
      </c>
      <c r="E2600" s="52">
        <f t="shared" si="256"/>
        <v>1</v>
      </c>
      <c r="F2600" s="52"/>
      <c r="G2600" s="52"/>
      <c r="H2600" s="52"/>
      <c r="I2600" s="52"/>
      <c r="J2600" s="52"/>
      <c r="K2600" s="52"/>
      <c r="L2600" s="52"/>
      <c r="M2600" s="52"/>
      <c r="N2600" s="52"/>
      <c r="O2600" s="52"/>
      <c r="P2600" s="52"/>
      <c r="Q2600" s="52"/>
      <c r="R2600" s="52"/>
      <c r="S2600" s="52"/>
      <c r="T2600" s="52"/>
      <c r="U2600" s="52"/>
      <c r="V2600" s="52"/>
      <c r="W2600" s="52"/>
      <c r="X2600" s="52"/>
      <c r="Y2600" s="52"/>
      <c r="Z2600" s="52"/>
      <c r="AA2600" s="52"/>
      <c r="AB2600" s="52"/>
      <c r="AC2600" s="52"/>
      <c r="AD2600" s="52"/>
      <c r="AE2600" s="52"/>
      <c r="AF2600" s="52"/>
      <c r="AG2600" s="52"/>
      <c r="AH2600" s="52"/>
      <c r="AI2600" s="52"/>
      <c r="AJ2600" s="52"/>
      <c r="AK2600" s="52"/>
      <c r="AL2600" s="52"/>
      <c r="AM2600" s="52"/>
      <c r="AN2600" s="52"/>
    </row>
    <row r="2601" spans="1:40" x14ac:dyDescent="0.3">
      <c r="A2601" s="52">
        <v>2596</v>
      </c>
      <c r="B2601" s="52">
        <f>-bthan*500+(45+0.5)*bthan*1000/50</f>
        <v>2255</v>
      </c>
      <c r="C2601" s="52">
        <f t="shared" si="257"/>
        <v>230</v>
      </c>
      <c r="D2601" s="52">
        <f t="shared" si="255"/>
        <v>2200</v>
      </c>
      <c r="E2601" s="52">
        <f t="shared" si="256"/>
        <v>1</v>
      </c>
      <c r="F2601" s="52"/>
      <c r="G2601" s="52"/>
      <c r="H2601" s="52"/>
      <c r="I2601" s="52"/>
      <c r="J2601" s="52"/>
      <c r="K2601" s="52"/>
      <c r="L2601" s="52"/>
      <c r="M2601" s="52"/>
      <c r="N2601" s="52"/>
      <c r="O2601" s="52"/>
      <c r="P2601" s="52"/>
      <c r="Q2601" s="52"/>
      <c r="R2601" s="52"/>
      <c r="S2601" s="52"/>
      <c r="T2601" s="52"/>
      <c r="U2601" s="52"/>
      <c r="V2601" s="52"/>
      <c r="W2601" s="52"/>
      <c r="X2601" s="52"/>
      <c r="Y2601" s="52"/>
      <c r="Z2601" s="52"/>
      <c r="AA2601" s="52"/>
      <c r="AB2601" s="52"/>
      <c r="AC2601" s="52"/>
      <c r="AD2601" s="52"/>
      <c r="AE2601" s="52"/>
      <c r="AF2601" s="52"/>
      <c r="AG2601" s="52"/>
      <c r="AH2601" s="52"/>
      <c r="AI2601" s="52"/>
      <c r="AJ2601" s="52"/>
      <c r="AK2601" s="52"/>
      <c r="AL2601" s="52"/>
      <c r="AM2601" s="52"/>
      <c r="AN2601" s="52"/>
    </row>
    <row r="2602" spans="1:40" x14ac:dyDescent="0.3">
      <c r="A2602" s="52">
        <v>2597</v>
      </c>
      <c r="B2602" s="52">
        <f>-bthan*500+(46+0.5)*bthan*1000/50</f>
        <v>2365</v>
      </c>
      <c r="C2602" s="52">
        <f t="shared" si="257"/>
        <v>230</v>
      </c>
      <c r="D2602" s="52">
        <f t="shared" si="255"/>
        <v>2200</v>
      </c>
      <c r="E2602" s="52">
        <f t="shared" si="256"/>
        <v>1</v>
      </c>
      <c r="F2602" s="52"/>
      <c r="G2602" s="52"/>
      <c r="H2602" s="52"/>
      <c r="I2602" s="52"/>
      <c r="J2602" s="52"/>
      <c r="K2602" s="52"/>
      <c r="L2602" s="52"/>
      <c r="M2602" s="52"/>
      <c r="N2602" s="52"/>
      <c r="O2602" s="52"/>
      <c r="P2602" s="52"/>
      <c r="Q2602" s="52"/>
      <c r="R2602" s="52"/>
      <c r="S2602" s="52"/>
      <c r="T2602" s="52"/>
      <c r="U2602" s="52"/>
      <c r="V2602" s="52"/>
      <c r="W2602" s="52"/>
      <c r="X2602" s="52"/>
      <c r="Y2602" s="52"/>
      <c r="Z2602" s="52"/>
      <c r="AA2602" s="52"/>
      <c r="AB2602" s="52"/>
      <c r="AC2602" s="52"/>
      <c r="AD2602" s="52"/>
      <c r="AE2602" s="52"/>
      <c r="AF2602" s="52"/>
      <c r="AG2602" s="52"/>
      <c r="AH2602" s="52"/>
      <c r="AI2602" s="52"/>
      <c r="AJ2602" s="52"/>
      <c r="AK2602" s="52"/>
      <c r="AL2602" s="52"/>
      <c r="AM2602" s="52"/>
      <c r="AN2602" s="52"/>
    </row>
    <row r="2603" spans="1:40" x14ac:dyDescent="0.3">
      <c r="A2603" s="52">
        <v>2598</v>
      </c>
      <c r="B2603" s="52">
        <f>-bthan*500+(47+0.5)*bthan*1000/50</f>
        <v>2475</v>
      </c>
      <c r="C2603" s="52">
        <f t="shared" si="257"/>
        <v>230</v>
      </c>
      <c r="D2603" s="52">
        <f t="shared" si="255"/>
        <v>2200</v>
      </c>
      <c r="E2603" s="52">
        <f t="shared" si="256"/>
        <v>1</v>
      </c>
      <c r="F2603" s="52"/>
      <c r="G2603" s="52"/>
      <c r="H2603" s="52"/>
      <c r="I2603" s="52"/>
      <c r="J2603" s="52"/>
      <c r="K2603" s="52"/>
      <c r="L2603" s="52"/>
      <c r="M2603" s="52"/>
      <c r="N2603" s="52"/>
      <c r="O2603" s="52"/>
      <c r="P2603" s="52"/>
      <c r="Q2603" s="52"/>
      <c r="R2603" s="52"/>
      <c r="S2603" s="52"/>
      <c r="T2603" s="52"/>
      <c r="U2603" s="52"/>
      <c r="V2603" s="52"/>
      <c r="W2603" s="52"/>
      <c r="X2603" s="52"/>
      <c r="Y2603" s="52"/>
      <c r="Z2603" s="52"/>
      <c r="AA2603" s="52"/>
      <c r="AB2603" s="52"/>
      <c r="AC2603" s="52"/>
      <c r="AD2603" s="52"/>
      <c r="AE2603" s="52"/>
      <c r="AF2603" s="52"/>
      <c r="AG2603" s="52"/>
      <c r="AH2603" s="52"/>
      <c r="AI2603" s="52"/>
      <c r="AJ2603" s="52"/>
      <c r="AK2603" s="52"/>
      <c r="AL2603" s="52"/>
      <c r="AM2603" s="52"/>
      <c r="AN2603" s="52"/>
    </row>
    <row r="2604" spans="1:40" x14ac:dyDescent="0.3">
      <c r="A2604" s="52">
        <v>2599</v>
      </c>
      <c r="B2604" s="52">
        <f>-bthan*500+(48+0.5)*bthan*1000/50</f>
        <v>2585</v>
      </c>
      <c r="C2604" s="52">
        <f t="shared" si="257"/>
        <v>230</v>
      </c>
      <c r="D2604" s="52">
        <f t="shared" si="255"/>
        <v>2200</v>
      </c>
      <c r="E2604" s="52">
        <f t="shared" si="256"/>
        <v>1</v>
      </c>
      <c r="F2604" s="52"/>
      <c r="G2604" s="52"/>
      <c r="H2604" s="52"/>
      <c r="I2604" s="52"/>
      <c r="J2604" s="52"/>
      <c r="K2604" s="52"/>
      <c r="L2604" s="52"/>
      <c r="M2604" s="52"/>
      <c r="N2604" s="52"/>
      <c r="O2604" s="52"/>
      <c r="P2604" s="52"/>
      <c r="Q2604" s="52"/>
      <c r="R2604" s="52"/>
      <c r="S2604" s="52"/>
      <c r="T2604" s="52"/>
      <c r="U2604" s="52"/>
      <c r="V2604" s="52"/>
      <c r="W2604" s="52"/>
      <c r="X2604" s="52"/>
      <c r="Y2604" s="52"/>
      <c r="Z2604" s="52"/>
      <c r="AA2604" s="52"/>
      <c r="AB2604" s="52"/>
      <c r="AC2604" s="52"/>
      <c r="AD2604" s="52"/>
      <c r="AE2604" s="52"/>
      <c r="AF2604" s="52"/>
      <c r="AG2604" s="52"/>
      <c r="AH2604" s="52"/>
      <c r="AI2604" s="52"/>
      <c r="AJ2604" s="52"/>
      <c r="AK2604" s="52"/>
      <c r="AL2604" s="52"/>
      <c r="AM2604" s="52"/>
      <c r="AN2604" s="52"/>
    </row>
    <row r="2605" spans="1:40" x14ac:dyDescent="0.3">
      <c r="A2605" s="52">
        <v>2600</v>
      </c>
      <c r="B2605" s="52">
        <f>-bthan*500+(49+0.5)*bthan*1000/50</f>
        <v>2695</v>
      </c>
      <c r="C2605" s="52">
        <f t="shared" si="257"/>
        <v>230</v>
      </c>
      <c r="D2605" s="52">
        <f t="shared" si="255"/>
        <v>2200</v>
      </c>
      <c r="E2605" s="52">
        <f t="shared" si="256"/>
        <v>1</v>
      </c>
      <c r="F2605" s="52"/>
      <c r="G2605" s="52"/>
      <c r="H2605" s="52"/>
      <c r="I2605" s="52"/>
      <c r="J2605" s="52"/>
      <c r="K2605" s="52"/>
      <c r="L2605" s="52"/>
      <c r="M2605" s="52"/>
      <c r="N2605" s="52"/>
      <c r="O2605" s="52"/>
      <c r="P2605" s="52"/>
      <c r="Q2605" s="52"/>
      <c r="R2605" s="52"/>
      <c r="S2605" s="52"/>
      <c r="T2605" s="52"/>
      <c r="U2605" s="52"/>
      <c r="V2605" s="52"/>
      <c r="W2605" s="52"/>
      <c r="X2605" s="52"/>
      <c r="Y2605" s="52"/>
      <c r="Z2605" s="52"/>
      <c r="AA2605" s="52"/>
      <c r="AB2605" s="52"/>
      <c r="AC2605" s="52"/>
      <c r="AD2605" s="52"/>
      <c r="AE2605" s="52"/>
      <c r="AF2605" s="52"/>
      <c r="AG2605" s="52"/>
      <c r="AH2605" s="52"/>
      <c r="AI2605" s="52"/>
      <c r="AJ2605" s="52"/>
      <c r="AK2605" s="52"/>
      <c r="AL2605" s="52"/>
      <c r="AM2605" s="52"/>
      <c r="AN2605" s="52"/>
    </row>
    <row r="2606" spans="1:40" x14ac:dyDescent="0.3">
      <c r="A2606" s="52">
        <v>2601</v>
      </c>
      <c r="B2606" s="52">
        <f>-bthan*500+(0+0.5)*bthan*1000/50</f>
        <v>-2695</v>
      </c>
      <c r="C2606" s="52">
        <f t="shared" ref="C2606:C2637" si="258">-hthan*500+(52+0.5)*hthan*1000/80</f>
        <v>250</v>
      </c>
      <c r="D2606" s="52">
        <f t="shared" si="255"/>
        <v>2200</v>
      </c>
      <c r="E2606" s="52">
        <f t="shared" si="256"/>
        <v>1</v>
      </c>
      <c r="F2606" s="52"/>
      <c r="G2606" s="52"/>
      <c r="H2606" s="52"/>
      <c r="I2606" s="52"/>
      <c r="J2606" s="52"/>
      <c r="K2606" s="52"/>
      <c r="L2606" s="52"/>
      <c r="M2606" s="52"/>
      <c r="N2606" s="52"/>
      <c r="O2606" s="52"/>
      <c r="P2606" s="52"/>
      <c r="Q2606" s="52"/>
      <c r="R2606" s="52"/>
      <c r="S2606" s="52"/>
      <c r="T2606" s="52"/>
      <c r="U2606" s="52"/>
      <c r="V2606" s="52"/>
      <c r="W2606" s="52"/>
      <c r="X2606" s="52"/>
      <c r="Y2606" s="52"/>
      <c r="Z2606" s="52"/>
      <c r="AA2606" s="52"/>
      <c r="AB2606" s="52"/>
      <c r="AC2606" s="52"/>
      <c r="AD2606" s="52"/>
      <c r="AE2606" s="52"/>
      <c r="AF2606" s="52"/>
      <c r="AG2606" s="52"/>
      <c r="AH2606" s="52"/>
      <c r="AI2606" s="52"/>
      <c r="AJ2606" s="52"/>
      <c r="AK2606" s="52"/>
      <c r="AL2606" s="52"/>
      <c r="AM2606" s="52"/>
      <c r="AN2606" s="52"/>
    </row>
    <row r="2607" spans="1:40" x14ac:dyDescent="0.3">
      <c r="A2607" s="52">
        <v>2602</v>
      </c>
      <c r="B2607" s="52">
        <f>-bthan*500+(1+0.5)*bthan*1000/50</f>
        <v>-2585</v>
      </c>
      <c r="C2607" s="52">
        <f t="shared" si="258"/>
        <v>250</v>
      </c>
      <c r="D2607" s="52">
        <f t="shared" si="255"/>
        <v>2200</v>
      </c>
      <c r="E2607" s="52">
        <f t="shared" si="256"/>
        <v>1</v>
      </c>
      <c r="F2607" s="52"/>
      <c r="G2607" s="52"/>
      <c r="H2607" s="52"/>
      <c r="I2607" s="52"/>
      <c r="J2607" s="52"/>
      <c r="K2607" s="52"/>
      <c r="L2607" s="52"/>
      <c r="M2607" s="52"/>
      <c r="N2607" s="52"/>
      <c r="O2607" s="52"/>
      <c r="P2607" s="52"/>
      <c r="Q2607" s="52"/>
      <c r="R2607" s="52"/>
      <c r="S2607" s="52"/>
      <c r="T2607" s="52"/>
      <c r="U2607" s="52"/>
      <c r="V2607" s="52"/>
      <c r="W2607" s="52"/>
      <c r="X2607" s="52"/>
      <c r="Y2607" s="52"/>
      <c r="Z2607" s="52"/>
      <c r="AA2607" s="52"/>
      <c r="AB2607" s="52"/>
      <c r="AC2607" s="52"/>
      <c r="AD2607" s="52"/>
      <c r="AE2607" s="52"/>
      <c r="AF2607" s="52"/>
      <c r="AG2607" s="52"/>
      <c r="AH2607" s="52"/>
      <c r="AI2607" s="52"/>
      <c r="AJ2607" s="52"/>
      <c r="AK2607" s="52"/>
      <c r="AL2607" s="52"/>
      <c r="AM2607" s="52"/>
      <c r="AN2607" s="52"/>
    </row>
    <row r="2608" spans="1:40" x14ac:dyDescent="0.3">
      <c r="A2608" s="52">
        <v>2603</v>
      </c>
      <c r="B2608" s="52">
        <f>-bthan*500+(2+0.5)*bthan*1000/50</f>
        <v>-2475</v>
      </c>
      <c r="C2608" s="52">
        <f t="shared" si="258"/>
        <v>250</v>
      </c>
      <c r="D2608" s="52">
        <f t="shared" si="255"/>
        <v>2200</v>
      </c>
      <c r="E2608" s="52">
        <f t="shared" si="256"/>
        <v>1</v>
      </c>
      <c r="F2608" s="52"/>
      <c r="G2608" s="52"/>
      <c r="H2608" s="52"/>
      <c r="I2608" s="52"/>
      <c r="J2608" s="52"/>
      <c r="K2608" s="52"/>
      <c r="L2608" s="52"/>
      <c r="M2608" s="52"/>
      <c r="N2608" s="52"/>
      <c r="O2608" s="52"/>
      <c r="P2608" s="52"/>
      <c r="Q2608" s="52"/>
      <c r="R2608" s="52"/>
      <c r="S2608" s="52"/>
      <c r="T2608" s="52"/>
      <c r="U2608" s="52"/>
      <c r="V2608" s="52"/>
      <c r="W2608" s="52"/>
      <c r="X2608" s="52"/>
      <c r="Y2608" s="52"/>
      <c r="Z2608" s="52"/>
      <c r="AA2608" s="52"/>
      <c r="AB2608" s="52"/>
      <c r="AC2608" s="52"/>
      <c r="AD2608" s="52"/>
      <c r="AE2608" s="52"/>
      <c r="AF2608" s="52"/>
      <c r="AG2608" s="52"/>
      <c r="AH2608" s="52"/>
      <c r="AI2608" s="52"/>
      <c r="AJ2608" s="52"/>
      <c r="AK2608" s="52"/>
      <c r="AL2608" s="52"/>
      <c r="AM2608" s="52"/>
      <c r="AN2608" s="52"/>
    </row>
    <row r="2609" spans="1:40" x14ac:dyDescent="0.3">
      <c r="A2609" s="52">
        <v>2604</v>
      </c>
      <c r="B2609" s="52">
        <f>-bthan*500+(3+0.5)*bthan*1000/50</f>
        <v>-2365</v>
      </c>
      <c r="C2609" s="52">
        <f t="shared" si="258"/>
        <v>250</v>
      </c>
      <c r="D2609" s="52">
        <f t="shared" si="255"/>
        <v>2200</v>
      </c>
      <c r="E2609" s="52">
        <f t="shared" si="256"/>
        <v>1</v>
      </c>
      <c r="F2609" s="52"/>
      <c r="G2609" s="52"/>
      <c r="H2609" s="52"/>
      <c r="I2609" s="52"/>
      <c r="J2609" s="52"/>
      <c r="K2609" s="52"/>
      <c r="L2609" s="52"/>
      <c r="M2609" s="52"/>
      <c r="N2609" s="52"/>
      <c r="O2609" s="52"/>
      <c r="P2609" s="52"/>
      <c r="Q2609" s="52"/>
      <c r="R2609" s="52"/>
      <c r="S2609" s="52"/>
      <c r="T2609" s="52"/>
      <c r="U2609" s="52"/>
      <c r="V2609" s="52"/>
      <c r="W2609" s="52"/>
      <c r="X2609" s="52"/>
      <c r="Y2609" s="52"/>
      <c r="Z2609" s="52"/>
      <c r="AA2609" s="52"/>
      <c r="AB2609" s="52"/>
      <c r="AC2609" s="52"/>
      <c r="AD2609" s="52"/>
      <c r="AE2609" s="52"/>
      <c r="AF2609" s="52"/>
      <c r="AG2609" s="52"/>
      <c r="AH2609" s="52"/>
      <c r="AI2609" s="52"/>
      <c r="AJ2609" s="52"/>
      <c r="AK2609" s="52"/>
      <c r="AL2609" s="52"/>
      <c r="AM2609" s="52"/>
      <c r="AN2609" s="52"/>
    </row>
    <row r="2610" spans="1:40" x14ac:dyDescent="0.3">
      <c r="A2610" s="52">
        <v>2605</v>
      </c>
      <c r="B2610" s="52">
        <f>-bthan*500+(4+0.5)*bthan*1000/50</f>
        <v>-2255</v>
      </c>
      <c r="C2610" s="52">
        <f t="shared" si="258"/>
        <v>250</v>
      </c>
      <c r="D2610" s="52">
        <f t="shared" si="255"/>
        <v>2200</v>
      </c>
      <c r="E2610" s="52">
        <f t="shared" si="256"/>
        <v>1</v>
      </c>
      <c r="F2610" s="52"/>
      <c r="G2610" s="52"/>
      <c r="H2610" s="52"/>
      <c r="I2610" s="52"/>
      <c r="J2610" s="52"/>
      <c r="K2610" s="52"/>
      <c r="L2610" s="52"/>
      <c r="M2610" s="52"/>
      <c r="N2610" s="52"/>
      <c r="O2610" s="52"/>
      <c r="P2610" s="52"/>
      <c r="Q2610" s="52"/>
      <c r="R2610" s="52"/>
      <c r="S2610" s="52"/>
      <c r="T2610" s="52"/>
      <c r="U2610" s="52"/>
      <c r="V2610" s="52"/>
      <c r="W2610" s="52"/>
      <c r="X2610" s="52"/>
      <c r="Y2610" s="52"/>
      <c r="Z2610" s="52"/>
      <c r="AA2610" s="52"/>
      <c r="AB2610" s="52"/>
      <c r="AC2610" s="52"/>
      <c r="AD2610" s="52"/>
      <c r="AE2610" s="52"/>
      <c r="AF2610" s="52"/>
      <c r="AG2610" s="52"/>
      <c r="AH2610" s="52"/>
      <c r="AI2610" s="52"/>
      <c r="AJ2610" s="52"/>
      <c r="AK2610" s="52"/>
      <c r="AL2610" s="52"/>
      <c r="AM2610" s="52"/>
      <c r="AN2610" s="52"/>
    </row>
    <row r="2611" spans="1:40" x14ac:dyDescent="0.3">
      <c r="A2611" s="52">
        <v>2606</v>
      </c>
      <c r="B2611" s="52">
        <f>-bthan*500+(5+0.5)*bthan*1000/50</f>
        <v>-2145</v>
      </c>
      <c r="C2611" s="52">
        <f t="shared" si="258"/>
        <v>250</v>
      </c>
      <c r="D2611" s="52">
        <f t="shared" si="255"/>
        <v>2200</v>
      </c>
      <c r="E2611" s="52">
        <f t="shared" si="256"/>
        <v>1</v>
      </c>
      <c r="F2611" s="52"/>
      <c r="G2611" s="52"/>
      <c r="H2611" s="52"/>
      <c r="I2611" s="52"/>
      <c r="J2611" s="52"/>
      <c r="K2611" s="52"/>
      <c r="L2611" s="52"/>
      <c r="M2611" s="52"/>
      <c r="N2611" s="52"/>
      <c r="O2611" s="52"/>
      <c r="P2611" s="52"/>
      <c r="Q2611" s="52"/>
      <c r="R2611" s="52"/>
      <c r="S2611" s="52"/>
      <c r="T2611" s="52"/>
      <c r="U2611" s="52"/>
      <c r="V2611" s="52"/>
      <c r="W2611" s="52"/>
      <c r="X2611" s="52"/>
      <c r="Y2611" s="52"/>
      <c r="Z2611" s="52"/>
      <c r="AA2611" s="52"/>
      <c r="AB2611" s="52"/>
      <c r="AC2611" s="52"/>
      <c r="AD2611" s="52"/>
      <c r="AE2611" s="52"/>
      <c r="AF2611" s="52"/>
      <c r="AG2611" s="52"/>
      <c r="AH2611" s="52"/>
      <c r="AI2611" s="52"/>
      <c r="AJ2611" s="52"/>
      <c r="AK2611" s="52"/>
      <c r="AL2611" s="52"/>
      <c r="AM2611" s="52"/>
      <c r="AN2611" s="52"/>
    </row>
    <row r="2612" spans="1:40" x14ac:dyDescent="0.3">
      <c r="A2612" s="52">
        <v>2607</v>
      </c>
      <c r="B2612" s="52">
        <f>-bthan*500+(6+0.5)*bthan*1000/50</f>
        <v>-2035</v>
      </c>
      <c r="C2612" s="52">
        <f t="shared" si="258"/>
        <v>250</v>
      </c>
      <c r="D2612" s="52">
        <f t="shared" si="255"/>
        <v>2200</v>
      </c>
      <c r="E2612" s="52">
        <f t="shared" si="256"/>
        <v>1</v>
      </c>
      <c r="F2612" s="52"/>
      <c r="G2612" s="52"/>
      <c r="H2612" s="52"/>
      <c r="I2612" s="52"/>
      <c r="J2612" s="52"/>
      <c r="K2612" s="52"/>
      <c r="L2612" s="52"/>
      <c r="M2612" s="52"/>
      <c r="N2612" s="52"/>
      <c r="O2612" s="52"/>
      <c r="P2612" s="52"/>
      <c r="Q2612" s="52"/>
      <c r="R2612" s="52"/>
      <c r="S2612" s="52"/>
      <c r="T2612" s="52"/>
      <c r="U2612" s="52"/>
      <c r="V2612" s="52"/>
      <c r="W2612" s="52"/>
      <c r="X2612" s="52"/>
      <c r="Y2612" s="52"/>
      <c r="Z2612" s="52"/>
      <c r="AA2612" s="52"/>
      <c r="AB2612" s="52"/>
      <c r="AC2612" s="52"/>
      <c r="AD2612" s="52"/>
      <c r="AE2612" s="52"/>
      <c r="AF2612" s="52"/>
      <c r="AG2612" s="52"/>
      <c r="AH2612" s="52"/>
      <c r="AI2612" s="52"/>
      <c r="AJ2612" s="52"/>
      <c r="AK2612" s="52"/>
      <c r="AL2612" s="52"/>
      <c r="AM2612" s="52"/>
      <c r="AN2612" s="52"/>
    </row>
    <row r="2613" spans="1:40" x14ac:dyDescent="0.3">
      <c r="A2613" s="52">
        <v>2608</v>
      </c>
      <c r="B2613" s="52">
        <f>-bthan*500+(7+0.5)*bthan*1000/50</f>
        <v>-1925</v>
      </c>
      <c r="C2613" s="52">
        <f t="shared" si="258"/>
        <v>250</v>
      </c>
      <c r="D2613" s="52">
        <f t="shared" si="255"/>
        <v>2200</v>
      </c>
      <c r="E2613" s="52">
        <f t="shared" si="256"/>
        <v>1</v>
      </c>
      <c r="F2613" s="52"/>
      <c r="G2613" s="52"/>
      <c r="H2613" s="52"/>
      <c r="I2613" s="52"/>
      <c r="J2613" s="52"/>
      <c r="K2613" s="52"/>
      <c r="L2613" s="52"/>
      <c r="M2613" s="52"/>
      <c r="N2613" s="52"/>
      <c r="O2613" s="52"/>
      <c r="P2613" s="52"/>
      <c r="Q2613" s="52"/>
      <c r="R2613" s="52"/>
      <c r="S2613" s="52"/>
      <c r="T2613" s="52"/>
      <c r="U2613" s="52"/>
      <c r="V2613" s="52"/>
      <c r="W2613" s="52"/>
      <c r="X2613" s="52"/>
      <c r="Y2613" s="52"/>
      <c r="Z2613" s="52"/>
      <c r="AA2613" s="52"/>
      <c r="AB2613" s="52"/>
      <c r="AC2613" s="52"/>
      <c r="AD2613" s="52"/>
      <c r="AE2613" s="52"/>
      <c r="AF2613" s="52"/>
      <c r="AG2613" s="52"/>
      <c r="AH2613" s="52"/>
      <c r="AI2613" s="52"/>
      <c r="AJ2613" s="52"/>
      <c r="AK2613" s="52"/>
      <c r="AL2613" s="52"/>
      <c r="AM2613" s="52"/>
      <c r="AN2613" s="52"/>
    </row>
    <row r="2614" spans="1:40" x14ac:dyDescent="0.3">
      <c r="A2614" s="52">
        <v>2609</v>
      </c>
      <c r="B2614" s="52">
        <f>-bthan*500+(8+0.5)*bthan*1000/50</f>
        <v>-1815</v>
      </c>
      <c r="C2614" s="52">
        <f t="shared" si="258"/>
        <v>250</v>
      </c>
      <c r="D2614" s="52">
        <f t="shared" si="255"/>
        <v>2200</v>
      </c>
      <c r="E2614" s="52">
        <f t="shared" si="256"/>
        <v>1</v>
      </c>
      <c r="F2614" s="52"/>
      <c r="G2614" s="52"/>
      <c r="H2614" s="52"/>
      <c r="I2614" s="52"/>
      <c r="J2614" s="52"/>
      <c r="K2614" s="52"/>
      <c r="L2614" s="52"/>
      <c r="M2614" s="52"/>
      <c r="N2614" s="52"/>
      <c r="O2614" s="52"/>
      <c r="P2614" s="52"/>
      <c r="Q2614" s="52"/>
      <c r="R2614" s="52"/>
      <c r="S2614" s="52"/>
      <c r="T2614" s="52"/>
      <c r="U2614" s="52"/>
      <c r="V2614" s="52"/>
      <c r="W2614" s="52"/>
      <c r="X2614" s="52"/>
      <c r="Y2614" s="52"/>
      <c r="Z2614" s="52"/>
      <c r="AA2614" s="52"/>
      <c r="AB2614" s="52"/>
      <c r="AC2614" s="52"/>
      <c r="AD2614" s="52"/>
      <c r="AE2614" s="52"/>
      <c r="AF2614" s="52"/>
      <c r="AG2614" s="52"/>
      <c r="AH2614" s="52"/>
      <c r="AI2614" s="52"/>
      <c r="AJ2614" s="52"/>
      <c r="AK2614" s="52"/>
      <c r="AL2614" s="52"/>
      <c r="AM2614" s="52"/>
      <c r="AN2614" s="52"/>
    </row>
    <row r="2615" spans="1:40" x14ac:dyDescent="0.3">
      <c r="A2615" s="52">
        <v>2610</v>
      </c>
      <c r="B2615" s="52">
        <f>-bthan*500+(9+0.5)*bthan*1000/50</f>
        <v>-1705</v>
      </c>
      <c r="C2615" s="52">
        <f t="shared" si="258"/>
        <v>250</v>
      </c>
      <c r="D2615" s="52">
        <f t="shared" si="255"/>
        <v>2200</v>
      </c>
      <c r="E2615" s="52">
        <f t="shared" si="256"/>
        <v>1</v>
      </c>
      <c r="F2615" s="52"/>
      <c r="G2615" s="52"/>
      <c r="H2615" s="52"/>
      <c r="I2615" s="52"/>
      <c r="J2615" s="52"/>
      <c r="K2615" s="52"/>
      <c r="L2615" s="52"/>
      <c r="M2615" s="52"/>
      <c r="N2615" s="52"/>
      <c r="O2615" s="52"/>
      <c r="P2615" s="52"/>
      <c r="Q2615" s="52"/>
      <c r="R2615" s="52"/>
      <c r="S2615" s="52"/>
      <c r="T2615" s="52"/>
      <c r="U2615" s="52"/>
      <c r="V2615" s="52"/>
      <c r="W2615" s="52"/>
      <c r="X2615" s="52"/>
      <c r="Y2615" s="52"/>
      <c r="Z2615" s="52"/>
      <c r="AA2615" s="52"/>
      <c r="AB2615" s="52"/>
      <c r="AC2615" s="52"/>
      <c r="AD2615" s="52"/>
      <c r="AE2615" s="52"/>
      <c r="AF2615" s="52"/>
      <c r="AG2615" s="52"/>
      <c r="AH2615" s="52"/>
      <c r="AI2615" s="52"/>
      <c r="AJ2615" s="52"/>
      <c r="AK2615" s="52"/>
      <c r="AL2615" s="52"/>
      <c r="AM2615" s="52"/>
      <c r="AN2615" s="52"/>
    </row>
    <row r="2616" spans="1:40" x14ac:dyDescent="0.3">
      <c r="A2616" s="52">
        <v>2611</v>
      </c>
      <c r="B2616" s="52">
        <f>-bthan*500+(10+0.5)*bthan*1000/50</f>
        <v>-1595</v>
      </c>
      <c r="C2616" s="52">
        <f t="shared" si="258"/>
        <v>250</v>
      </c>
      <c r="D2616" s="52">
        <f t="shared" si="255"/>
        <v>2200</v>
      </c>
      <c r="E2616" s="52">
        <f t="shared" si="256"/>
        <v>1</v>
      </c>
      <c r="F2616" s="52"/>
      <c r="G2616" s="52"/>
      <c r="H2616" s="52"/>
      <c r="I2616" s="52"/>
      <c r="J2616" s="52"/>
      <c r="K2616" s="52"/>
      <c r="L2616" s="52"/>
      <c r="M2616" s="52"/>
      <c r="N2616" s="52"/>
      <c r="O2616" s="52"/>
      <c r="P2616" s="52"/>
      <c r="Q2616" s="52"/>
      <c r="R2616" s="52"/>
      <c r="S2616" s="52"/>
      <c r="T2616" s="52"/>
      <c r="U2616" s="52"/>
      <c r="V2616" s="52"/>
      <c r="W2616" s="52"/>
      <c r="X2616" s="52"/>
      <c r="Y2616" s="52"/>
      <c r="Z2616" s="52"/>
      <c r="AA2616" s="52"/>
      <c r="AB2616" s="52"/>
      <c r="AC2616" s="52"/>
      <c r="AD2616" s="52"/>
      <c r="AE2616" s="52"/>
      <c r="AF2616" s="52"/>
      <c r="AG2616" s="52"/>
      <c r="AH2616" s="52"/>
      <c r="AI2616" s="52"/>
      <c r="AJ2616" s="52"/>
      <c r="AK2616" s="52"/>
      <c r="AL2616" s="52"/>
      <c r="AM2616" s="52"/>
      <c r="AN2616" s="52"/>
    </row>
    <row r="2617" spans="1:40" x14ac:dyDescent="0.3">
      <c r="A2617" s="52">
        <v>2612</v>
      </c>
      <c r="B2617" s="52">
        <f>-bthan*500+(11+0.5)*bthan*1000/50</f>
        <v>-1485</v>
      </c>
      <c r="C2617" s="52">
        <f t="shared" si="258"/>
        <v>250</v>
      </c>
      <c r="D2617" s="52">
        <f t="shared" si="255"/>
        <v>2200</v>
      </c>
      <c r="E2617" s="52">
        <f t="shared" si="256"/>
        <v>1</v>
      </c>
      <c r="F2617" s="52"/>
      <c r="G2617" s="52"/>
      <c r="H2617" s="52"/>
      <c r="I2617" s="52"/>
      <c r="J2617" s="52"/>
      <c r="K2617" s="52"/>
      <c r="L2617" s="52"/>
      <c r="M2617" s="52"/>
      <c r="N2617" s="52"/>
      <c r="O2617" s="52"/>
      <c r="P2617" s="52"/>
      <c r="Q2617" s="52"/>
      <c r="R2617" s="52"/>
      <c r="S2617" s="52"/>
      <c r="T2617" s="52"/>
      <c r="U2617" s="52"/>
      <c r="V2617" s="52"/>
      <c r="W2617" s="52"/>
      <c r="X2617" s="52"/>
      <c r="Y2617" s="52"/>
      <c r="Z2617" s="52"/>
      <c r="AA2617" s="52"/>
      <c r="AB2617" s="52"/>
      <c r="AC2617" s="52"/>
      <c r="AD2617" s="52"/>
      <c r="AE2617" s="52"/>
      <c r="AF2617" s="52"/>
      <c r="AG2617" s="52"/>
      <c r="AH2617" s="52"/>
      <c r="AI2617" s="52"/>
      <c r="AJ2617" s="52"/>
      <c r="AK2617" s="52"/>
      <c r="AL2617" s="52"/>
      <c r="AM2617" s="52"/>
      <c r="AN2617" s="52"/>
    </row>
    <row r="2618" spans="1:40" x14ac:dyDescent="0.3">
      <c r="A2618" s="52">
        <v>2613</v>
      </c>
      <c r="B2618" s="52">
        <f>-bthan*500+(12+0.5)*bthan*1000/50</f>
        <v>-1375</v>
      </c>
      <c r="C2618" s="52">
        <f t="shared" si="258"/>
        <v>250</v>
      </c>
      <c r="D2618" s="52">
        <f t="shared" si="255"/>
        <v>2200</v>
      </c>
      <c r="E2618" s="52">
        <f t="shared" si="256"/>
        <v>1</v>
      </c>
      <c r="F2618" s="52"/>
      <c r="G2618" s="52"/>
      <c r="H2618" s="52"/>
      <c r="I2618" s="52"/>
      <c r="J2618" s="52"/>
      <c r="K2618" s="52"/>
      <c r="L2618" s="52"/>
      <c r="M2618" s="52"/>
      <c r="N2618" s="52"/>
      <c r="O2618" s="52"/>
      <c r="P2618" s="52"/>
      <c r="Q2618" s="52"/>
      <c r="R2618" s="52"/>
      <c r="S2618" s="52"/>
      <c r="T2618" s="52"/>
      <c r="U2618" s="52"/>
      <c r="V2618" s="52"/>
      <c r="W2618" s="52"/>
      <c r="X2618" s="52"/>
      <c r="Y2618" s="52"/>
      <c r="Z2618" s="52"/>
      <c r="AA2618" s="52"/>
      <c r="AB2618" s="52"/>
      <c r="AC2618" s="52"/>
      <c r="AD2618" s="52"/>
      <c r="AE2618" s="52"/>
      <c r="AF2618" s="52"/>
      <c r="AG2618" s="52"/>
      <c r="AH2618" s="52"/>
      <c r="AI2618" s="52"/>
      <c r="AJ2618" s="52"/>
      <c r="AK2618" s="52"/>
      <c r="AL2618" s="52"/>
      <c r="AM2618" s="52"/>
      <c r="AN2618" s="52"/>
    </row>
    <row r="2619" spans="1:40" x14ac:dyDescent="0.3">
      <c r="A2619" s="52">
        <v>2614</v>
      </c>
      <c r="B2619" s="52">
        <f>-bthan*500+(13+0.5)*bthan*1000/50</f>
        <v>-1265</v>
      </c>
      <c r="C2619" s="52">
        <f t="shared" si="258"/>
        <v>250</v>
      </c>
      <c r="D2619" s="52">
        <f t="shared" si="255"/>
        <v>2200</v>
      </c>
      <c r="E2619" s="52">
        <f t="shared" si="256"/>
        <v>1</v>
      </c>
      <c r="F2619" s="52"/>
      <c r="G2619" s="52"/>
      <c r="H2619" s="52"/>
      <c r="I2619" s="52"/>
      <c r="J2619" s="52"/>
      <c r="K2619" s="52"/>
      <c r="L2619" s="52"/>
      <c r="M2619" s="52"/>
      <c r="N2619" s="52"/>
      <c r="O2619" s="52"/>
      <c r="P2619" s="52"/>
      <c r="Q2619" s="52"/>
      <c r="R2619" s="52"/>
      <c r="S2619" s="52"/>
      <c r="T2619" s="52"/>
      <c r="U2619" s="52"/>
      <c r="V2619" s="52"/>
      <c r="W2619" s="52"/>
      <c r="X2619" s="52"/>
      <c r="Y2619" s="52"/>
      <c r="Z2619" s="52"/>
      <c r="AA2619" s="52"/>
      <c r="AB2619" s="52"/>
      <c r="AC2619" s="52"/>
      <c r="AD2619" s="52"/>
      <c r="AE2619" s="52"/>
      <c r="AF2619" s="52"/>
      <c r="AG2619" s="52"/>
      <c r="AH2619" s="52"/>
      <c r="AI2619" s="52"/>
      <c r="AJ2619" s="52"/>
      <c r="AK2619" s="52"/>
      <c r="AL2619" s="52"/>
      <c r="AM2619" s="52"/>
      <c r="AN2619" s="52"/>
    </row>
    <row r="2620" spans="1:40" x14ac:dyDescent="0.3">
      <c r="A2620" s="52">
        <v>2615</v>
      </c>
      <c r="B2620" s="52">
        <f>-bthan*500+(14+0.5)*bthan*1000/50</f>
        <v>-1155</v>
      </c>
      <c r="C2620" s="52">
        <f t="shared" si="258"/>
        <v>250</v>
      </c>
      <c r="D2620" s="52">
        <f t="shared" si="255"/>
        <v>2200</v>
      </c>
      <c r="E2620" s="52">
        <f t="shared" si="256"/>
        <v>1</v>
      </c>
      <c r="F2620" s="52"/>
      <c r="G2620" s="52"/>
      <c r="H2620" s="52"/>
      <c r="I2620" s="52"/>
      <c r="J2620" s="52"/>
      <c r="K2620" s="52"/>
      <c r="L2620" s="52"/>
      <c r="M2620" s="52"/>
      <c r="N2620" s="52"/>
      <c r="O2620" s="52"/>
      <c r="P2620" s="52"/>
      <c r="Q2620" s="52"/>
      <c r="R2620" s="52"/>
      <c r="S2620" s="52"/>
      <c r="T2620" s="52"/>
      <c r="U2620" s="52"/>
      <c r="V2620" s="52"/>
      <c r="W2620" s="52"/>
      <c r="X2620" s="52"/>
      <c r="Y2620" s="52"/>
      <c r="Z2620" s="52"/>
      <c r="AA2620" s="52"/>
      <c r="AB2620" s="52"/>
      <c r="AC2620" s="52"/>
      <c r="AD2620" s="52"/>
      <c r="AE2620" s="52"/>
      <c r="AF2620" s="52"/>
      <c r="AG2620" s="52"/>
      <c r="AH2620" s="52"/>
      <c r="AI2620" s="52"/>
      <c r="AJ2620" s="52"/>
      <c r="AK2620" s="52"/>
      <c r="AL2620" s="52"/>
      <c r="AM2620" s="52"/>
      <c r="AN2620" s="52"/>
    </row>
    <row r="2621" spans="1:40" x14ac:dyDescent="0.3">
      <c r="A2621" s="52">
        <v>2616</v>
      </c>
      <c r="B2621" s="52">
        <f>-bthan*500+(15+0.5)*bthan*1000/50</f>
        <v>-1045</v>
      </c>
      <c r="C2621" s="52">
        <f t="shared" si="258"/>
        <v>250</v>
      </c>
      <c r="D2621" s="52">
        <f t="shared" si="255"/>
        <v>2200</v>
      </c>
      <c r="E2621" s="52">
        <f t="shared" si="256"/>
        <v>1</v>
      </c>
      <c r="F2621" s="52"/>
      <c r="G2621" s="52"/>
      <c r="H2621" s="52"/>
      <c r="I2621" s="52"/>
      <c r="J2621" s="52"/>
      <c r="K2621" s="52"/>
      <c r="L2621" s="52"/>
      <c r="M2621" s="52"/>
      <c r="N2621" s="52"/>
      <c r="O2621" s="52"/>
      <c r="P2621" s="52"/>
      <c r="Q2621" s="52"/>
      <c r="R2621" s="52"/>
      <c r="S2621" s="52"/>
      <c r="T2621" s="52"/>
      <c r="U2621" s="52"/>
      <c r="V2621" s="52"/>
      <c r="W2621" s="52"/>
      <c r="X2621" s="52"/>
      <c r="Y2621" s="52"/>
      <c r="Z2621" s="52"/>
      <c r="AA2621" s="52"/>
      <c r="AB2621" s="52"/>
      <c r="AC2621" s="52"/>
      <c r="AD2621" s="52"/>
      <c r="AE2621" s="52"/>
      <c r="AF2621" s="52"/>
      <c r="AG2621" s="52"/>
      <c r="AH2621" s="52"/>
      <c r="AI2621" s="52"/>
      <c r="AJ2621" s="52"/>
      <c r="AK2621" s="52"/>
      <c r="AL2621" s="52"/>
      <c r="AM2621" s="52"/>
      <c r="AN2621" s="52"/>
    </row>
    <row r="2622" spans="1:40" x14ac:dyDescent="0.3">
      <c r="A2622" s="52">
        <v>2617</v>
      </c>
      <c r="B2622" s="52">
        <f>-bthan*500+(16+0.5)*bthan*1000/50</f>
        <v>-935</v>
      </c>
      <c r="C2622" s="52">
        <f t="shared" si="258"/>
        <v>250</v>
      </c>
      <c r="D2622" s="52">
        <f t="shared" si="255"/>
        <v>2200</v>
      </c>
      <c r="E2622" s="52">
        <f t="shared" si="256"/>
        <v>1</v>
      </c>
      <c r="F2622" s="52"/>
      <c r="G2622" s="52"/>
      <c r="H2622" s="52"/>
      <c r="I2622" s="52"/>
      <c r="J2622" s="52"/>
      <c r="K2622" s="52"/>
      <c r="L2622" s="52"/>
      <c r="M2622" s="52"/>
      <c r="N2622" s="52"/>
      <c r="O2622" s="52"/>
      <c r="P2622" s="52"/>
      <c r="Q2622" s="52"/>
      <c r="R2622" s="52"/>
      <c r="S2622" s="52"/>
      <c r="T2622" s="52"/>
      <c r="U2622" s="52"/>
      <c r="V2622" s="52"/>
      <c r="W2622" s="52"/>
      <c r="X2622" s="52"/>
      <c r="Y2622" s="52"/>
      <c r="Z2622" s="52"/>
      <c r="AA2622" s="52"/>
      <c r="AB2622" s="52"/>
      <c r="AC2622" s="52"/>
      <c r="AD2622" s="52"/>
      <c r="AE2622" s="52"/>
      <c r="AF2622" s="52"/>
      <c r="AG2622" s="52"/>
      <c r="AH2622" s="52"/>
      <c r="AI2622" s="52"/>
      <c r="AJ2622" s="52"/>
      <c r="AK2622" s="52"/>
      <c r="AL2622" s="52"/>
      <c r="AM2622" s="52"/>
      <c r="AN2622" s="52"/>
    </row>
    <row r="2623" spans="1:40" x14ac:dyDescent="0.3">
      <c r="A2623" s="52">
        <v>2618</v>
      </c>
      <c r="B2623" s="52">
        <f>-bthan*500+(17+0.5)*bthan*1000/50</f>
        <v>-825</v>
      </c>
      <c r="C2623" s="52">
        <f t="shared" si="258"/>
        <v>250</v>
      </c>
      <c r="D2623" s="52">
        <f t="shared" si="255"/>
        <v>2200</v>
      </c>
      <c r="E2623" s="52">
        <f t="shared" si="256"/>
        <v>1</v>
      </c>
      <c r="F2623" s="52"/>
      <c r="G2623" s="52"/>
      <c r="H2623" s="52"/>
      <c r="I2623" s="52"/>
      <c r="J2623" s="52"/>
      <c r="K2623" s="52"/>
      <c r="L2623" s="52"/>
      <c r="M2623" s="52"/>
      <c r="N2623" s="52"/>
      <c r="O2623" s="52"/>
      <c r="P2623" s="52"/>
      <c r="Q2623" s="52"/>
      <c r="R2623" s="52"/>
      <c r="S2623" s="52"/>
      <c r="T2623" s="52"/>
      <c r="U2623" s="52"/>
      <c r="V2623" s="52"/>
      <c r="W2623" s="52"/>
      <c r="X2623" s="52"/>
      <c r="Y2623" s="52"/>
      <c r="Z2623" s="52"/>
      <c r="AA2623" s="52"/>
      <c r="AB2623" s="52"/>
      <c r="AC2623" s="52"/>
      <c r="AD2623" s="52"/>
      <c r="AE2623" s="52"/>
      <c r="AF2623" s="52"/>
      <c r="AG2623" s="52"/>
      <c r="AH2623" s="52"/>
      <c r="AI2623" s="52"/>
      <c r="AJ2623" s="52"/>
      <c r="AK2623" s="52"/>
      <c r="AL2623" s="52"/>
      <c r="AM2623" s="52"/>
      <c r="AN2623" s="52"/>
    </row>
    <row r="2624" spans="1:40" x14ac:dyDescent="0.3">
      <c r="A2624" s="52">
        <v>2619</v>
      </c>
      <c r="B2624" s="52">
        <f>-bthan*500+(18+0.5)*bthan*1000/50</f>
        <v>-715</v>
      </c>
      <c r="C2624" s="52">
        <f t="shared" si="258"/>
        <v>250</v>
      </c>
      <c r="D2624" s="52">
        <f t="shared" si="255"/>
        <v>2200</v>
      </c>
      <c r="E2624" s="52">
        <f t="shared" si="256"/>
        <v>1</v>
      </c>
      <c r="F2624" s="52"/>
      <c r="G2624" s="52"/>
      <c r="H2624" s="52"/>
      <c r="I2624" s="52"/>
      <c r="J2624" s="52"/>
      <c r="K2624" s="52"/>
      <c r="L2624" s="52"/>
      <c r="M2624" s="52"/>
      <c r="N2624" s="52"/>
      <c r="O2624" s="52"/>
      <c r="P2624" s="52"/>
      <c r="Q2624" s="52"/>
      <c r="R2624" s="52"/>
      <c r="S2624" s="52"/>
      <c r="T2624" s="52"/>
      <c r="U2624" s="52"/>
      <c r="V2624" s="52"/>
      <c r="W2624" s="52"/>
      <c r="X2624" s="52"/>
      <c r="Y2624" s="52"/>
      <c r="Z2624" s="52"/>
      <c r="AA2624" s="52"/>
      <c r="AB2624" s="52"/>
      <c r="AC2624" s="52"/>
      <c r="AD2624" s="52"/>
      <c r="AE2624" s="52"/>
      <c r="AF2624" s="52"/>
      <c r="AG2624" s="52"/>
      <c r="AH2624" s="52"/>
      <c r="AI2624" s="52"/>
      <c r="AJ2624" s="52"/>
      <c r="AK2624" s="52"/>
      <c r="AL2624" s="52"/>
      <c r="AM2624" s="52"/>
      <c r="AN2624" s="52"/>
    </row>
    <row r="2625" spans="1:40" x14ac:dyDescent="0.3">
      <c r="A2625" s="52">
        <v>2620</v>
      </c>
      <c r="B2625" s="52">
        <f>-bthan*500+(19+0.5)*bthan*1000/50</f>
        <v>-605</v>
      </c>
      <c r="C2625" s="52">
        <f t="shared" si="258"/>
        <v>250</v>
      </c>
      <c r="D2625" s="52">
        <f t="shared" si="255"/>
        <v>2200</v>
      </c>
      <c r="E2625" s="52">
        <f t="shared" si="256"/>
        <v>1</v>
      </c>
      <c r="F2625" s="52"/>
      <c r="G2625" s="52"/>
      <c r="H2625" s="52"/>
      <c r="I2625" s="52"/>
      <c r="J2625" s="52"/>
      <c r="K2625" s="52"/>
      <c r="L2625" s="52"/>
      <c r="M2625" s="52"/>
      <c r="N2625" s="52"/>
      <c r="O2625" s="52"/>
      <c r="P2625" s="52"/>
      <c r="Q2625" s="52"/>
      <c r="R2625" s="52"/>
      <c r="S2625" s="52"/>
      <c r="T2625" s="52"/>
      <c r="U2625" s="52"/>
      <c r="V2625" s="52"/>
      <c r="W2625" s="52"/>
      <c r="X2625" s="52"/>
      <c r="Y2625" s="52"/>
      <c r="Z2625" s="52"/>
      <c r="AA2625" s="52"/>
      <c r="AB2625" s="52"/>
      <c r="AC2625" s="52"/>
      <c r="AD2625" s="52"/>
      <c r="AE2625" s="52"/>
      <c r="AF2625" s="52"/>
      <c r="AG2625" s="52"/>
      <c r="AH2625" s="52"/>
      <c r="AI2625" s="52"/>
      <c r="AJ2625" s="52"/>
      <c r="AK2625" s="52"/>
      <c r="AL2625" s="52"/>
      <c r="AM2625" s="52"/>
      <c r="AN2625" s="52"/>
    </row>
    <row r="2626" spans="1:40" x14ac:dyDescent="0.3">
      <c r="A2626" s="52">
        <v>2621</v>
      </c>
      <c r="B2626" s="52">
        <f>-bthan*500+(20+0.5)*bthan*1000/50</f>
        <v>-495</v>
      </c>
      <c r="C2626" s="52">
        <f t="shared" si="258"/>
        <v>250</v>
      </c>
      <c r="D2626" s="52">
        <f t="shared" si="255"/>
        <v>2200</v>
      </c>
      <c r="E2626" s="52">
        <f t="shared" si="256"/>
        <v>1</v>
      </c>
      <c r="F2626" s="52"/>
      <c r="G2626" s="52"/>
      <c r="H2626" s="52"/>
      <c r="I2626" s="52"/>
      <c r="J2626" s="52"/>
      <c r="K2626" s="52"/>
      <c r="L2626" s="52"/>
      <c r="M2626" s="52"/>
      <c r="N2626" s="52"/>
      <c r="O2626" s="52"/>
      <c r="P2626" s="52"/>
      <c r="Q2626" s="52"/>
      <c r="R2626" s="52"/>
      <c r="S2626" s="52"/>
      <c r="T2626" s="52"/>
      <c r="U2626" s="52"/>
      <c r="V2626" s="52"/>
      <c r="W2626" s="52"/>
      <c r="X2626" s="52"/>
      <c r="Y2626" s="52"/>
      <c r="Z2626" s="52"/>
      <c r="AA2626" s="52"/>
      <c r="AB2626" s="52"/>
      <c r="AC2626" s="52"/>
      <c r="AD2626" s="52"/>
      <c r="AE2626" s="52"/>
      <c r="AF2626" s="52"/>
      <c r="AG2626" s="52"/>
      <c r="AH2626" s="52"/>
      <c r="AI2626" s="52"/>
      <c r="AJ2626" s="52"/>
      <c r="AK2626" s="52"/>
      <c r="AL2626" s="52"/>
      <c r="AM2626" s="52"/>
      <c r="AN2626" s="52"/>
    </row>
    <row r="2627" spans="1:40" x14ac:dyDescent="0.3">
      <c r="A2627" s="52">
        <v>2622</v>
      </c>
      <c r="B2627" s="52">
        <f>-bthan*500+(21+0.5)*bthan*1000/50</f>
        <v>-385</v>
      </c>
      <c r="C2627" s="52">
        <f t="shared" si="258"/>
        <v>250</v>
      </c>
      <c r="D2627" s="52">
        <f t="shared" si="255"/>
        <v>2200</v>
      </c>
      <c r="E2627" s="52">
        <f t="shared" si="256"/>
        <v>1</v>
      </c>
      <c r="F2627" s="52"/>
      <c r="G2627" s="52"/>
      <c r="H2627" s="52"/>
      <c r="I2627" s="52"/>
      <c r="J2627" s="52"/>
      <c r="K2627" s="52"/>
      <c r="L2627" s="52"/>
      <c r="M2627" s="52"/>
      <c r="N2627" s="52"/>
      <c r="O2627" s="52"/>
      <c r="P2627" s="52"/>
      <c r="Q2627" s="52"/>
      <c r="R2627" s="52"/>
      <c r="S2627" s="52"/>
      <c r="T2627" s="52"/>
      <c r="U2627" s="52"/>
      <c r="V2627" s="52"/>
      <c r="W2627" s="52"/>
      <c r="X2627" s="52"/>
      <c r="Y2627" s="52"/>
      <c r="Z2627" s="52"/>
      <c r="AA2627" s="52"/>
      <c r="AB2627" s="52"/>
      <c r="AC2627" s="52"/>
      <c r="AD2627" s="52"/>
      <c r="AE2627" s="52"/>
      <c r="AF2627" s="52"/>
      <c r="AG2627" s="52"/>
      <c r="AH2627" s="52"/>
      <c r="AI2627" s="52"/>
      <c r="AJ2627" s="52"/>
      <c r="AK2627" s="52"/>
      <c r="AL2627" s="52"/>
      <c r="AM2627" s="52"/>
      <c r="AN2627" s="52"/>
    </row>
    <row r="2628" spans="1:40" x14ac:dyDescent="0.3">
      <c r="A2628" s="52">
        <v>2623</v>
      </c>
      <c r="B2628" s="52">
        <f>-bthan*500+(22+0.5)*bthan*1000/50</f>
        <v>-275</v>
      </c>
      <c r="C2628" s="52">
        <f t="shared" si="258"/>
        <v>250</v>
      </c>
      <c r="D2628" s="52">
        <f t="shared" si="255"/>
        <v>2200</v>
      </c>
      <c r="E2628" s="52">
        <f t="shared" si="256"/>
        <v>1</v>
      </c>
      <c r="F2628" s="52"/>
      <c r="G2628" s="52"/>
      <c r="H2628" s="52"/>
      <c r="I2628" s="52"/>
      <c r="J2628" s="52"/>
      <c r="K2628" s="52"/>
      <c r="L2628" s="52"/>
      <c r="M2628" s="52"/>
      <c r="N2628" s="52"/>
      <c r="O2628" s="52"/>
      <c r="P2628" s="52"/>
      <c r="Q2628" s="52"/>
      <c r="R2628" s="52"/>
      <c r="S2628" s="52"/>
      <c r="T2628" s="52"/>
      <c r="U2628" s="52"/>
      <c r="V2628" s="52"/>
      <c r="W2628" s="52"/>
      <c r="X2628" s="52"/>
      <c r="Y2628" s="52"/>
      <c r="Z2628" s="52"/>
      <c r="AA2628" s="52"/>
      <c r="AB2628" s="52"/>
      <c r="AC2628" s="52"/>
      <c r="AD2628" s="52"/>
      <c r="AE2628" s="52"/>
      <c r="AF2628" s="52"/>
      <c r="AG2628" s="52"/>
      <c r="AH2628" s="52"/>
      <c r="AI2628" s="52"/>
      <c r="AJ2628" s="52"/>
      <c r="AK2628" s="52"/>
      <c r="AL2628" s="52"/>
      <c r="AM2628" s="52"/>
      <c r="AN2628" s="52"/>
    </row>
    <row r="2629" spans="1:40" x14ac:dyDescent="0.3">
      <c r="A2629" s="52">
        <v>2624</v>
      </c>
      <c r="B2629" s="52">
        <f>-bthan*500+(23+0.5)*bthan*1000/50</f>
        <v>-165</v>
      </c>
      <c r="C2629" s="52">
        <f t="shared" si="258"/>
        <v>250</v>
      </c>
      <c r="D2629" s="52">
        <f t="shared" si="255"/>
        <v>2200</v>
      </c>
      <c r="E2629" s="52">
        <f t="shared" si="256"/>
        <v>1</v>
      </c>
      <c r="F2629" s="52"/>
      <c r="G2629" s="52"/>
      <c r="H2629" s="52"/>
      <c r="I2629" s="52"/>
      <c r="J2629" s="52"/>
      <c r="K2629" s="52"/>
      <c r="L2629" s="52"/>
      <c r="M2629" s="52"/>
      <c r="N2629" s="52"/>
      <c r="O2629" s="52"/>
      <c r="P2629" s="52"/>
      <c r="Q2629" s="52"/>
      <c r="R2629" s="52"/>
      <c r="S2629" s="52"/>
      <c r="T2629" s="52"/>
      <c r="U2629" s="52"/>
      <c r="V2629" s="52"/>
      <c r="W2629" s="52"/>
      <c r="X2629" s="52"/>
      <c r="Y2629" s="52"/>
      <c r="Z2629" s="52"/>
      <c r="AA2629" s="52"/>
      <c r="AB2629" s="52"/>
      <c r="AC2629" s="52"/>
      <c r="AD2629" s="52"/>
      <c r="AE2629" s="52"/>
      <c r="AF2629" s="52"/>
      <c r="AG2629" s="52"/>
      <c r="AH2629" s="52"/>
      <c r="AI2629" s="52"/>
      <c r="AJ2629" s="52"/>
      <c r="AK2629" s="52"/>
      <c r="AL2629" s="52"/>
      <c r="AM2629" s="52"/>
      <c r="AN2629" s="52"/>
    </row>
    <row r="2630" spans="1:40" x14ac:dyDescent="0.3">
      <c r="A2630" s="52">
        <v>2625</v>
      </c>
      <c r="B2630" s="52">
        <f>-bthan*500+(24+0.5)*bthan*1000/50</f>
        <v>-55</v>
      </c>
      <c r="C2630" s="52">
        <f t="shared" si="258"/>
        <v>250</v>
      </c>
      <c r="D2630" s="52">
        <f t="shared" ref="D2630:D2693" si="259">bthan*1000/50*hthan*1000/80</f>
        <v>2200</v>
      </c>
      <c r="E2630" s="52">
        <f t="shared" ref="E2630:E2693" si="260">IF(shp=1,--(OR(ABS(B2630)&lt;=MAX(0,(bthan-hthan)*500),(ABS(B2630)-MAX(0,(bthan-hthan)*500))^2+C2630^2&lt;=(hthan*500)^2)),--(AND(ABS(B2630)&lt;=bthan*500,ABS(C2630)&lt;=hthan*500,OR(ABS(B2630)&lt;=bthan*500-cch*1000,ABS(C2630)&lt;=hthan*500-cch*1000,(bthan*500-ABS(B2630))+(hthan*500-ABS(C2630))&gt;=cch*1000))))</f>
        <v>1</v>
      </c>
      <c r="F2630" s="52"/>
      <c r="G2630" s="52"/>
      <c r="H2630" s="52"/>
      <c r="I2630" s="52"/>
      <c r="J2630" s="52"/>
      <c r="K2630" s="52"/>
      <c r="L2630" s="52"/>
      <c r="M2630" s="52"/>
      <c r="N2630" s="52"/>
      <c r="O2630" s="52"/>
      <c r="P2630" s="52"/>
      <c r="Q2630" s="52"/>
      <c r="R2630" s="52"/>
      <c r="S2630" s="52"/>
      <c r="T2630" s="52"/>
      <c r="U2630" s="52"/>
      <c r="V2630" s="52"/>
      <c r="W2630" s="52"/>
      <c r="X2630" s="52"/>
      <c r="Y2630" s="52"/>
      <c r="Z2630" s="52"/>
      <c r="AA2630" s="52"/>
      <c r="AB2630" s="52"/>
      <c r="AC2630" s="52"/>
      <c r="AD2630" s="52"/>
      <c r="AE2630" s="52"/>
      <c r="AF2630" s="52"/>
      <c r="AG2630" s="52"/>
      <c r="AH2630" s="52"/>
      <c r="AI2630" s="52"/>
      <c r="AJ2630" s="52"/>
      <c r="AK2630" s="52"/>
      <c r="AL2630" s="52"/>
      <c r="AM2630" s="52"/>
      <c r="AN2630" s="52"/>
    </row>
    <row r="2631" spans="1:40" x14ac:dyDescent="0.3">
      <c r="A2631" s="52">
        <v>2626</v>
      </c>
      <c r="B2631" s="52">
        <f>-bthan*500+(25+0.5)*bthan*1000/50</f>
        <v>55</v>
      </c>
      <c r="C2631" s="52">
        <f t="shared" si="258"/>
        <v>250</v>
      </c>
      <c r="D2631" s="52">
        <f t="shared" si="259"/>
        <v>2200</v>
      </c>
      <c r="E2631" s="52">
        <f t="shared" si="260"/>
        <v>1</v>
      </c>
      <c r="F2631" s="52"/>
      <c r="G2631" s="52"/>
      <c r="H2631" s="52"/>
      <c r="I2631" s="52"/>
      <c r="J2631" s="52"/>
      <c r="K2631" s="52"/>
      <c r="L2631" s="52"/>
      <c r="M2631" s="52"/>
      <c r="N2631" s="52"/>
      <c r="O2631" s="52"/>
      <c r="P2631" s="52"/>
      <c r="Q2631" s="52"/>
      <c r="R2631" s="52"/>
      <c r="S2631" s="52"/>
      <c r="T2631" s="52"/>
      <c r="U2631" s="52"/>
      <c r="V2631" s="52"/>
      <c r="W2631" s="52"/>
      <c r="X2631" s="52"/>
      <c r="Y2631" s="52"/>
      <c r="Z2631" s="52"/>
      <c r="AA2631" s="52"/>
      <c r="AB2631" s="52"/>
      <c r="AC2631" s="52"/>
      <c r="AD2631" s="52"/>
      <c r="AE2631" s="52"/>
      <c r="AF2631" s="52"/>
      <c r="AG2631" s="52"/>
      <c r="AH2631" s="52"/>
      <c r="AI2631" s="52"/>
      <c r="AJ2631" s="52"/>
      <c r="AK2631" s="52"/>
      <c r="AL2631" s="52"/>
      <c r="AM2631" s="52"/>
      <c r="AN2631" s="52"/>
    </row>
    <row r="2632" spans="1:40" x14ac:dyDescent="0.3">
      <c r="A2632" s="52">
        <v>2627</v>
      </c>
      <c r="B2632" s="52">
        <f>-bthan*500+(26+0.5)*bthan*1000/50</f>
        <v>165</v>
      </c>
      <c r="C2632" s="52">
        <f t="shared" si="258"/>
        <v>250</v>
      </c>
      <c r="D2632" s="52">
        <f t="shared" si="259"/>
        <v>2200</v>
      </c>
      <c r="E2632" s="52">
        <f t="shared" si="260"/>
        <v>1</v>
      </c>
      <c r="F2632" s="52"/>
      <c r="G2632" s="52"/>
      <c r="H2632" s="52"/>
      <c r="I2632" s="52"/>
      <c r="J2632" s="52"/>
      <c r="K2632" s="52"/>
      <c r="L2632" s="52"/>
      <c r="M2632" s="52"/>
      <c r="N2632" s="52"/>
      <c r="O2632" s="52"/>
      <c r="P2632" s="52"/>
      <c r="Q2632" s="52"/>
      <c r="R2632" s="52"/>
      <c r="S2632" s="52"/>
      <c r="T2632" s="52"/>
      <c r="U2632" s="52"/>
      <c r="V2632" s="52"/>
      <c r="W2632" s="52"/>
      <c r="X2632" s="52"/>
      <c r="Y2632" s="52"/>
      <c r="Z2632" s="52"/>
      <c r="AA2632" s="52"/>
      <c r="AB2632" s="52"/>
      <c r="AC2632" s="52"/>
      <c r="AD2632" s="52"/>
      <c r="AE2632" s="52"/>
      <c r="AF2632" s="52"/>
      <c r="AG2632" s="52"/>
      <c r="AH2632" s="52"/>
      <c r="AI2632" s="52"/>
      <c r="AJ2632" s="52"/>
      <c r="AK2632" s="52"/>
      <c r="AL2632" s="52"/>
      <c r="AM2632" s="52"/>
      <c r="AN2632" s="52"/>
    </row>
    <row r="2633" spans="1:40" x14ac:dyDescent="0.3">
      <c r="A2633" s="52">
        <v>2628</v>
      </c>
      <c r="B2633" s="52">
        <f>-bthan*500+(27+0.5)*bthan*1000/50</f>
        <v>275</v>
      </c>
      <c r="C2633" s="52">
        <f t="shared" si="258"/>
        <v>250</v>
      </c>
      <c r="D2633" s="52">
        <f t="shared" si="259"/>
        <v>2200</v>
      </c>
      <c r="E2633" s="52">
        <f t="shared" si="260"/>
        <v>1</v>
      </c>
      <c r="F2633" s="52"/>
      <c r="G2633" s="52"/>
      <c r="H2633" s="52"/>
      <c r="I2633" s="52"/>
      <c r="J2633" s="52"/>
      <c r="K2633" s="52"/>
      <c r="L2633" s="52"/>
      <c r="M2633" s="52"/>
      <c r="N2633" s="52"/>
      <c r="O2633" s="52"/>
      <c r="P2633" s="52"/>
      <c r="Q2633" s="52"/>
      <c r="R2633" s="52"/>
      <c r="S2633" s="52"/>
      <c r="T2633" s="52"/>
      <c r="U2633" s="52"/>
      <c r="V2633" s="52"/>
      <c r="W2633" s="52"/>
      <c r="X2633" s="52"/>
      <c r="Y2633" s="52"/>
      <c r="Z2633" s="52"/>
      <c r="AA2633" s="52"/>
      <c r="AB2633" s="52"/>
      <c r="AC2633" s="52"/>
      <c r="AD2633" s="52"/>
      <c r="AE2633" s="52"/>
      <c r="AF2633" s="52"/>
      <c r="AG2633" s="52"/>
      <c r="AH2633" s="52"/>
      <c r="AI2633" s="52"/>
      <c r="AJ2633" s="52"/>
      <c r="AK2633" s="52"/>
      <c r="AL2633" s="52"/>
      <c r="AM2633" s="52"/>
      <c r="AN2633" s="52"/>
    </row>
    <row r="2634" spans="1:40" x14ac:dyDescent="0.3">
      <c r="A2634" s="52">
        <v>2629</v>
      </c>
      <c r="B2634" s="52">
        <f>-bthan*500+(28+0.5)*bthan*1000/50</f>
        <v>385</v>
      </c>
      <c r="C2634" s="52">
        <f t="shared" si="258"/>
        <v>250</v>
      </c>
      <c r="D2634" s="52">
        <f t="shared" si="259"/>
        <v>2200</v>
      </c>
      <c r="E2634" s="52">
        <f t="shared" si="260"/>
        <v>1</v>
      </c>
      <c r="F2634" s="52"/>
      <c r="G2634" s="52"/>
      <c r="H2634" s="52"/>
      <c r="I2634" s="52"/>
      <c r="J2634" s="52"/>
      <c r="K2634" s="52"/>
      <c r="L2634" s="52"/>
      <c r="M2634" s="52"/>
      <c r="N2634" s="52"/>
      <c r="O2634" s="52"/>
      <c r="P2634" s="52"/>
      <c r="Q2634" s="52"/>
      <c r="R2634" s="52"/>
      <c r="S2634" s="52"/>
      <c r="T2634" s="52"/>
      <c r="U2634" s="52"/>
      <c r="V2634" s="52"/>
      <c r="W2634" s="52"/>
      <c r="X2634" s="52"/>
      <c r="Y2634" s="52"/>
      <c r="Z2634" s="52"/>
      <c r="AA2634" s="52"/>
      <c r="AB2634" s="52"/>
      <c r="AC2634" s="52"/>
      <c r="AD2634" s="52"/>
      <c r="AE2634" s="52"/>
      <c r="AF2634" s="52"/>
      <c r="AG2634" s="52"/>
      <c r="AH2634" s="52"/>
      <c r="AI2634" s="52"/>
      <c r="AJ2634" s="52"/>
      <c r="AK2634" s="52"/>
      <c r="AL2634" s="52"/>
      <c r="AM2634" s="52"/>
      <c r="AN2634" s="52"/>
    </row>
    <row r="2635" spans="1:40" x14ac:dyDescent="0.3">
      <c r="A2635" s="52">
        <v>2630</v>
      </c>
      <c r="B2635" s="52">
        <f>-bthan*500+(29+0.5)*bthan*1000/50</f>
        <v>495</v>
      </c>
      <c r="C2635" s="52">
        <f t="shared" si="258"/>
        <v>250</v>
      </c>
      <c r="D2635" s="52">
        <f t="shared" si="259"/>
        <v>2200</v>
      </c>
      <c r="E2635" s="52">
        <f t="shared" si="260"/>
        <v>1</v>
      </c>
      <c r="F2635" s="52"/>
      <c r="G2635" s="52"/>
      <c r="H2635" s="52"/>
      <c r="I2635" s="52"/>
      <c r="J2635" s="52"/>
      <c r="K2635" s="52"/>
      <c r="L2635" s="52"/>
      <c r="M2635" s="52"/>
      <c r="N2635" s="52"/>
      <c r="O2635" s="52"/>
      <c r="P2635" s="52"/>
      <c r="Q2635" s="52"/>
      <c r="R2635" s="52"/>
      <c r="S2635" s="52"/>
      <c r="T2635" s="52"/>
      <c r="U2635" s="52"/>
      <c r="V2635" s="52"/>
      <c r="W2635" s="52"/>
      <c r="X2635" s="52"/>
      <c r="Y2635" s="52"/>
      <c r="Z2635" s="52"/>
      <c r="AA2635" s="52"/>
      <c r="AB2635" s="52"/>
      <c r="AC2635" s="52"/>
      <c r="AD2635" s="52"/>
      <c r="AE2635" s="52"/>
      <c r="AF2635" s="52"/>
      <c r="AG2635" s="52"/>
      <c r="AH2635" s="52"/>
      <c r="AI2635" s="52"/>
      <c r="AJ2635" s="52"/>
      <c r="AK2635" s="52"/>
      <c r="AL2635" s="52"/>
      <c r="AM2635" s="52"/>
      <c r="AN2635" s="52"/>
    </row>
    <row r="2636" spans="1:40" x14ac:dyDescent="0.3">
      <c r="A2636" s="52">
        <v>2631</v>
      </c>
      <c r="B2636" s="52">
        <f>-bthan*500+(30+0.5)*bthan*1000/50</f>
        <v>605</v>
      </c>
      <c r="C2636" s="52">
        <f t="shared" si="258"/>
        <v>250</v>
      </c>
      <c r="D2636" s="52">
        <f t="shared" si="259"/>
        <v>2200</v>
      </c>
      <c r="E2636" s="52">
        <f t="shared" si="260"/>
        <v>1</v>
      </c>
      <c r="F2636" s="52"/>
      <c r="G2636" s="52"/>
      <c r="H2636" s="52"/>
      <c r="I2636" s="52"/>
      <c r="J2636" s="52"/>
      <c r="K2636" s="52"/>
      <c r="L2636" s="52"/>
      <c r="M2636" s="52"/>
      <c r="N2636" s="52"/>
      <c r="O2636" s="52"/>
      <c r="P2636" s="52"/>
      <c r="Q2636" s="52"/>
      <c r="R2636" s="52"/>
      <c r="S2636" s="52"/>
      <c r="T2636" s="52"/>
      <c r="U2636" s="52"/>
      <c r="V2636" s="52"/>
      <c r="W2636" s="52"/>
      <c r="X2636" s="52"/>
      <c r="Y2636" s="52"/>
      <c r="Z2636" s="52"/>
      <c r="AA2636" s="52"/>
      <c r="AB2636" s="52"/>
      <c r="AC2636" s="52"/>
      <c r="AD2636" s="52"/>
      <c r="AE2636" s="52"/>
      <c r="AF2636" s="52"/>
      <c r="AG2636" s="52"/>
      <c r="AH2636" s="52"/>
      <c r="AI2636" s="52"/>
      <c r="AJ2636" s="52"/>
      <c r="AK2636" s="52"/>
      <c r="AL2636" s="52"/>
      <c r="AM2636" s="52"/>
      <c r="AN2636" s="52"/>
    </row>
    <row r="2637" spans="1:40" x14ac:dyDescent="0.3">
      <c r="A2637" s="52">
        <v>2632</v>
      </c>
      <c r="B2637" s="52">
        <f>-bthan*500+(31+0.5)*bthan*1000/50</f>
        <v>715</v>
      </c>
      <c r="C2637" s="52">
        <f t="shared" si="258"/>
        <v>250</v>
      </c>
      <c r="D2637" s="52">
        <f t="shared" si="259"/>
        <v>2200</v>
      </c>
      <c r="E2637" s="52">
        <f t="shared" si="260"/>
        <v>1</v>
      </c>
      <c r="F2637" s="52"/>
      <c r="G2637" s="52"/>
      <c r="H2637" s="52"/>
      <c r="I2637" s="52"/>
      <c r="J2637" s="52"/>
      <c r="K2637" s="52"/>
      <c r="L2637" s="52"/>
      <c r="M2637" s="52"/>
      <c r="N2637" s="52"/>
      <c r="O2637" s="52"/>
      <c r="P2637" s="52"/>
      <c r="Q2637" s="52"/>
      <c r="R2637" s="52"/>
      <c r="S2637" s="52"/>
      <c r="T2637" s="52"/>
      <c r="U2637" s="52"/>
      <c r="V2637" s="52"/>
      <c r="W2637" s="52"/>
      <c r="X2637" s="52"/>
      <c r="Y2637" s="52"/>
      <c r="Z2637" s="52"/>
      <c r="AA2637" s="52"/>
      <c r="AB2637" s="52"/>
      <c r="AC2637" s="52"/>
      <c r="AD2637" s="52"/>
      <c r="AE2637" s="52"/>
      <c r="AF2637" s="52"/>
      <c r="AG2637" s="52"/>
      <c r="AH2637" s="52"/>
      <c r="AI2637" s="52"/>
      <c r="AJ2637" s="52"/>
      <c r="AK2637" s="52"/>
      <c r="AL2637" s="52"/>
      <c r="AM2637" s="52"/>
      <c r="AN2637" s="52"/>
    </row>
    <row r="2638" spans="1:40" x14ac:dyDescent="0.3">
      <c r="A2638" s="52">
        <v>2633</v>
      </c>
      <c r="B2638" s="52">
        <f>-bthan*500+(32+0.5)*bthan*1000/50</f>
        <v>825</v>
      </c>
      <c r="C2638" s="52">
        <f t="shared" ref="C2638:C2655" si="261">-hthan*500+(52+0.5)*hthan*1000/80</f>
        <v>250</v>
      </c>
      <c r="D2638" s="52">
        <f t="shared" si="259"/>
        <v>2200</v>
      </c>
      <c r="E2638" s="52">
        <f t="shared" si="260"/>
        <v>1</v>
      </c>
      <c r="F2638" s="52"/>
      <c r="G2638" s="52"/>
      <c r="H2638" s="52"/>
      <c r="I2638" s="52"/>
      <c r="J2638" s="52"/>
      <c r="K2638" s="52"/>
      <c r="L2638" s="52"/>
      <c r="M2638" s="52"/>
      <c r="N2638" s="52"/>
      <c r="O2638" s="52"/>
      <c r="P2638" s="52"/>
      <c r="Q2638" s="52"/>
      <c r="R2638" s="52"/>
      <c r="S2638" s="52"/>
      <c r="T2638" s="52"/>
      <c r="U2638" s="52"/>
      <c r="V2638" s="52"/>
      <c r="W2638" s="52"/>
      <c r="X2638" s="52"/>
      <c r="Y2638" s="52"/>
      <c r="Z2638" s="52"/>
      <c r="AA2638" s="52"/>
      <c r="AB2638" s="52"/>
      <c r="AC2638" s="52"/>
      <c r="AD2638" s="52"/>
      <c r="AE2638" s="52"/>
      <c r="AF2638" s="52"/>
      <c r="AG2638" s="52"/>
      <c r="AH2638" s="52"/>
      <c r="AI2638" s="52"/>
      <c r="AJ2638" s="52"/>
      <c r="AK2638" s="52"/>
      <c r="AL2638" s="52"/>
      <c r="AM2638" s="52"/>
      <c r="AN2638" s="52"/>
    </row>
    <row r="2639" spans="1:40" x14ac:dyDescent="0.3">
      <c r="A2639" s="52">
        <v>2634</v>
      </c>
      <c r="B2639" s="52">
        <f>-bthan*500+(33+0.5)*bthan*1000/50</f>
        <v>935</v>
      </c>
      <c r="C2639" s="52">
        <f t="shared" si="261"/>
        <v>250</v>
      </c>
      <c r="D2639" s="52">
        <f t="shared" si="259"/>
        <v>2200</v>
      </c>
      <c r="E2639" s="52">
        <f t="shared" si="260"/>
        <v>1</v>
      </c>
      <c r="F2639" s="52"/>
      <c r="G2639" s="52"/>
      <c r="H2639" s="52"/>
      <c r="I2639" s="52"/>
      <c r="J2639" s="52"/>
      <c r="K2639" s="52"/>
      <c r="L2639" s="52"/>
      <c r="M2639" s="52"/>
      <c r="N2639" s="52"/>
      <c r="O2639" s="52"/>
      <c r="P2639" s="52"/>
      <c r="Q2639" s="52"/>
      <c r="R2639" s="52"/>
      <c r="S2639" s="52"/>
      <c r="T2639" s="52"/>
      <c r="U2639" s="52"/>
      <c r="V2639" s="52"/>
      <c r="W2639" s="52"/>
      <c r="X2639" s="52"/>
      <c r="Y2639" s="52"/>
      <c r="Z2639" s="52"/>
      <c r="AA2639" s="52"/>
      <c r="AB2639" s="52"/>
      <c r="AC2639" s="52"/>
      <c r="AD2639" s="52"/>
      <c r="AE2639" s="52"/>
      <c r="AF2639" s="52"/>
      <c r="AG2639" s="52"/>
      <c r="AH2639" s="52"/>
      <c r="AI2639" s="52"/>
      <c r="AJ2639" s="52"/>
      <c r="AK2639" s="52"/>
      <c r="AL2639" s="52"/>
      <c r="AM2639" s="52"/>
      <c r="AN2639" s="52"/>
    </row>
    <row r="2640" spans="1:40" x14ac:dyDescent="0.3">
      <c r="A2640" s="52">
        <v>2635</v>
      </c>
      <c r="B2640" s="52">
        <f>-bthan*500+(34+0.5)*bthan*1000/50</f>
        <v>1045</v>
      </c>
      <c r="C2640" s="52">
        <f t="shared" si="261"/>
        <v>250</v>
      </c>
      <c r="D2640" s="52">
        <f t="shared" si="259"/>
        <v>2200</v>
      </c>
      <c r="E2640" s="52">
        <f t="shared" si="260"/>
        <v>1</v>
      </c>
      <c r="F2640" s="52"/>
      <c r="G2640" s="52"/>
      <c r="H2640" s="52"/>
      <c r="I2640" s="52"/>
      <c r="J2640" s="52"/>
      <c r="K2640" s="52"/>
      <c r="L2640" s="52"/>
      <c r="M2640" s="52"/>
      <c r="N2640" s="52"/>
      <c r="O2640" s="52"/>
      <c r="P2640" s="52"/>
      <c r="Q2640" s="52"/>
      <c r="R2640" s="52"/>
      <c r="S2640" s="52"/>
      <c r="T2640" s="52"/>
      <c r="U2640" s="52"/>
      <c r="V2640" s="52"/>
      <c r="W2640" s="52"/>
      <c r="X2640" s="52"/>
      <c r="Y2640" s="52"/>
      <c r="Z2640" s="52"/>
      <c r="AA2640" s="52"/>
      <c r="AB2640" s="52"/>
      <c r="AC2640" s="52"/>
      <c r="AD2640" s="52"/>
      <c r="AE2640" s="52"/>
      <c r="AF2640" s="52"/>
      <c r="AG2640" s="52"/>
      <c r="AH2640" s="52"/>
      <c r="AI2640" s="52"/>
      <c r="AJ2640" s="52"/>
      <c r="AK2640" s="52"/>
      <c r="AL2640" s="52"/>
      <c r="AM2640" s="52"/>
      <c r="AN2640" s="52"/>
    </row>
    <row r="2641" spans="1:40" x14ac:dyDescent="0.3">
      <c r="A2641" s="52">
        <v>2636</v>
      </c>
      <c r="B2641" s="52">
        <f>-bthan*500+(35+0.5)*bthan*1000/50</f>
        <v>1155</v>
      </c>
      <c r="C2641" s="52">
        <f t="shared" si="261"/>
        <v>250</v>
      </c>
      <c r="D2641" s="52">
        <f t="shared" si="259"/>
        <v>2200</v>
      </c>
      <c r="E2641" s="52">
        <f t="shared" si="260"/>
        <v>1</v>
      </c>
      <c r="F2641" s="52"/>
      <c r="G2641" s="52"/>
      <c r="H2641" s="52"/>
      <c r="I2641" s="52"/>
      <c r="J2641" s="52"/>
      <c r="K2641" s="52"/>
      <c r="L2641" s="52"/>
      <c r="M2641" s="52"/>
      <c r="N2641" s="52"/>
      <c r="O2641" s="52"/>
      <c r="P2641" s="52"/>
      <c r="Q2641" s="52"/>
      <c r="R2641" s="52"/>
      <c r="S2641" s="52"/>
      <c r="T2641" s="52"/>
      <c r="U2641" s="52"/>
      <c r="V2641" s="52"/>
      <c r="W2641" s="52"/>
      <c r="X2641" s="52"/>
      <c r="Y2641" s="52"/>
      <c r="Z2641" s="52"/>
      <c r="AA2641" s="52"/>
      <c r="AB2641" s="52"/>
      <c r="AC2641" s="52"/>
      <c r="AD2641" s="52"/>
      <c r="AE2641" s="52"/>
      <c r="AF2641" s="52"/>
      <c r="AG2641" s="52"/>
      <c r="AH2641" s="52"/>
      <c r="AI2641" s="52"/>
      <c r="AJ2641" s="52"/>
      <c r="AK2641" s="52"/>
      <c r="AL2641" s="52"/>
      <c r="AM2641" s="52"/>
      <c r="AN2641" s="52"/>
    </row>
    <row r="2642" spans="1:40" x14ac:dyDescent="0.3">
      <c r="A2642" s="52">
        <v>2637</v>
      </c>
      <c r="B2642" s="52">
        <f>-bthan*500+(36+0.5)*bthan*1000/50</f>
        <v>1265</v>
      </c>
      <c r="C2642" s="52">
        <f t="shared" si="261"/>
        <v>250</v>
      </c>
      <c r="D2642" s="52">
        <f t="shared" si="259"/>
        <v>2200</v>
      </c>
      <c r="E2642" s="52">
        <f t="shared" si="260"/>
        <v>1</v>
      </c>
      <c r="F2642" s="52"/>
      <c r="G2642" s="52"/>
      <c r="H2642" s="52"/>
      <c r="I2642" s="52"/>
      <c r="J2642" s="52"/>
      <c r="K2642" s="52"/>
      <c r="L2642" s="52"/>
      <c r="M2642" s="52"/>
      <c r="N2642" s="52"/>
      <c r="O2642" s="52"/>
      <c r="P2642" s="52"/>
      <c r="Q2642" s="52"/>
      <c r="R2642" s="52"/>
      <c r="S2642" s="52"/>
      <c r="T2642" s="52"/>
      <c r="U2642" s="52"/>
      <c r="V2642" s="52"/>
      <c r="W2642" s="52"/>
      <c r="X2642" s="52"/>
      <c r="Y2642" s="52"/>
      <c r="Z2642" s="52"/>
      <c r="AA2642" s="52"/>
      <c r="AB2642" s="52"/>
      <c r="AC2642" s="52"/>
      <c r="AD2642" s="52"/>
      <c r="AE2642" s="52"/>
      <c r="AF2642" s="52"/>
      <c r="AG2642" s="52"/>
      <c r="AH2642" s="52"/>
      <c r="AI2642" s="52"/>
      <c r="AJ2642" s="52"/>
      <c r="AK2642" s="52"/>
      <c r="AL2642" s="52"/>
      <c r="AM2642" s="52"/>
      <c r="AN2642" s="52"/>
    </row>
    <row r="2643" spans="1:40" x14ac:dyDescent="0.3">
      <c r="A2643" s="52">
        <v>2638</v>
      </c>
      <c r="B2643" s="52">
        <f>-bthan*500+(37+0.5)*bthan*1000/50</f>
        <v>1375</v>
      </c>
      <c r="C2643" s="52">
        <f t="shared" si="261"/>
        <v>250</v>
      </c>
      <c r="D2643" s="52">
        <f t="shared" si="259"/>
        <v>2200</v>
      </c>
      <c r="E2643" s="52">
        <f t="shared" si="260"/>
        <v>1</v>
      </c>
      <c r="F2643" s="52"/>
      <c r="G2643" s="52"/>
      <c r="H2643" s="52"/>
      <c r="I2643" s="52"/>
      <c r="J2643" s="52"/>
      <c r="K2643" s="52"/>
      <c r="L2643" s="52"/>
      <c r="M2643" s="52"/>
      <c r="N2643" s="52"/>
      <c r="O2643" s="52"/>
      <c r="P2643" s="52"/>
      <c r="Q2643" s="52"/>
      <c r="R2643" s="52"/>
      <c r="S2643" s="52"/>
      <c r="T2643" s="52"/>
      <c r="U2643" s="52"/>
      <c r="V2643" s="52"/>
      <c r="W2643" s="52"/>
      <c r="X2643" s="52"/>
      <c r="Y2643" s="52"/>
      <c r="Z2643" s="52"/>
      <c r="AA2643" s="52"/>
      <c r="AB2643" s="52"/>
      <c r="AC2643" s="52"/>
      <c r="AD2643" s="52"/>
      <c r="AE2643" s="52"/>
      <c r="AF2643" s="52"/>
      <c r="AG2643" s="52"/>
      <c r="AH2643" s="52"/>
      <c r="AI2643" s="52"/>
      <c r="AJ2643" s="52"/>
      <c r="AK2643" s="52"/>
      <c r="AL2643" s="52"/>
      <c r="AM2643" s="52"/>
      <c r="AN2643" s="52"/>
    </row>
    <row r="2644" spans="1:40" x14ac:dyDescent="0.3">
      <c r="A2644" s="52">
        <v>2639</v>
      </c>
      <c r="B2644" s="52">
        <f>-bthan*500+(38+0.5)*bthan*1000/50</f>
        <v>1485</v>
      </c>
      <c r="C2644" s="52">
        <f t="shared" si="261"/>
        <v>250</v>
      </c>
      <c r="D2644" s="52">
        <f t="shared" si="259"/>
        <v>2200</v>
      </c>
      <c r="E2644" s="52">
        <f t="shared" si="260"/>
        <v>1</v>
      </c>
      <c r="F2644" s="52"/>
      <c r="G2644" s="52"/>
      <c r="H2644" s="52"/>
      <c r="I2644" s="52"/>
      <c r="J2644" s="52"/>
      <c r="K2644" s="52"/>
      <c r="L2644" s="52"/>
      <c r="M2644" s="52"/>
      <c r="N2644" s="52"/>
      <c r="O2644" s="52"/>
      <c r="P2644" s="52"/>
      <c r="Q2644" s="52"/>
      <c r="R2644" s="52"/>
      <c r="S2644" s="52"/>
      <c r="T2644" s="52"/>
      <c r="U2644" s="52"/>
      <c r="V2644" s="52"/>
      <c r="W2644" s="52"/>
      <c r="X2644" s="52"/>
      <c r="Y2644" s="52"/>
      <c r="Z2644" s="52"/>
      <c r="AA2644" s="52"/>
      <c r="AB2644" s="52"/>
      <c r="AC2644" s="52"/>
      <c r="AD2644" s="52"/>
      <c r="AE2644" s="52"/>
      <c r="AF2644" s="52"/>
      <c r="AG2644" s="52"/>
      <c r="AH2644" s="52"/>
      <c r="AI2644" s="52"/>
      <c r="AJ2644" s="52"/>
      <c r="AK2644" s="52"/>
      <c r="AL2644" s="52"/>
      <c r="AM2644" s="52"/>
      <c r="AN2644" s="52"/>
    </row>
    <row r="2645" spans="1:40" x14ac:dyDescent="0.3">
      <c r="A2645" s="52">
        <v>2640</v>
      </c>
      <c r="B2645" s="52">
        <f>-bthan*500+(39+0.5)*bthan*1000/50</f>
        <v>1595</v>
      </c>
      <c r="C2645" s="52">
        <f t="shared" si="261"/>
        <v>250</v>
      </c>
      <c r="D2645" s="52">
        <f t="shared" si="259"/>
        <v>2200</v>
      </c>
      <c r="E2645" s="52">
        <f t="shared" si="260"/>
        <v>1</v>
      </c>
      <c r="F2645" s="52"/>
      <c r="G2645" s="52"/>
      <c r="H2645" s="52"/>
      <c r="I2645" s="52"/>
      <c r="J2645" s="52"/>
      <c r="K2645" s="52"/>
      <c r="L2645" s="52"/>
      <c r="M2645" s="52"/>
      <c r="N2645" s="52"/>
      <c r="O2645" s="52"/>
      <c r="P2645" s="52"/>
      <c r="Q2645" s="52"/>
      <c r="R2645" s="52"/>
      <c r="S2645" s="52"/>
      <c r="T2645" s="52"/>
      <c r="U2645" s="52"/>
      <c r="V2645" s="52"/>
      <c r="W2645" s="52"/>
      <c r="X2645" s="52"/>
      <c r="Y2645" s="52"/>
      <c r="Z2645" s="52"/>
      <c r="AA2645" s="52"/>
      <c r="AB2645" s="52"/>
      <c r="AC2645" s="52"/>
      <c r="AD2645" s="52"/>
      <c r="AE2645" s="52"/>
      <c r="AF2645" s="52"/>
      <c r="AG2645" s="52"/>
      <c r="AH2645" s="52"/>
      <c r="AI2645" s="52"/>
      <c r="AJ2645" s="52"/>
      <c r="AK2645" s="52"/>
      <c r="AL2645" s="52"/>
      <c r="AM2645" s="52"/>
      <c r="AN2645" s="52"/>
    </row>
    <row r="2646" spans="1:40" x14ac:dyDescent="0.3">
      <c r="A2646" s="52">
        <v>2641</v>
      </c>
      <c r="B2646" s="52">
        <f>-bthan*500+(40+0.5)*bthan*1000/50</f>
        <v>1705</v>
      </c>
      <c r="C2646" s="52">
        <f t="shared" si="261"/>
        <v>250</v>
      </c>
      <c r="D2646" s="52">
        <f t="shared" si="259"/>
        <v>2200</v>
      </c>
      <c r="E2646" s="52">
        <f t="shared" si="260"/>
        <v>1</v>
      </c>
      <c r="F2646" s="52"/>
      <c r="G2646" s="52"/>
      <c r="H2646" s="52"/>
      <c r="I2646" s="52"/>
      <c r="J2646" s="52"/>
      <c r="K2646" s="52"/>
      <c r="L2646" s="52"/>
      <c r="M2646" s="52"/>
      <c r="N2646" s="52"/>
      <c r="O2646" s="52"/>
      <c r="P2646" s="52"/>
      <c r="Q2646" s="52"/>
      <c r="R2646" s="52"/>
      <c r="S2646" s="52"/>
      <c r="T2646" s="52"/>
      <c r="U2646" s="52"/>
      <c r="V2646" s="52"/>
      <c r="W2646" s="52"/>
      <c r="X2646" s="52"/>
      <c r="Y2646" s="52"/>
      <c r="Z2646" s="52"/>
      <c r="AA2646" s="52"/>
      <c r="AB2646" s="52"/>
      <c r="AC2646" s="52"/>
      <c r="AD2646" s="52"/>
      <c r="AE2646" s="52"/>
      <c r="AF2646" s="52"/>
      <c r="AG2646" s="52"/>
      <c r="AH2646" s="52"/>
      <c r="AI2646" s="52"/>
      <c r="AJ2646" s="52"/>
      <c r="AK2646" s="52"/>
      <c r="AL2646" s="52"/>
      <c r="AM2646" s="52"/>
      <c r="AN2646" s="52"/>
    </row>
    <row r="2647" spans="1:40" x14ac:dyDescent="0.3">
      <c r="A2647" s="52">
        <v>2642</v>
      </c>
      <c r="B2647" s="52">
        <f>-bthan*500+(41+0.5)*bthan*1000/50</f>
        <v>1815</v>
      </c>
      <c r="C2647" s="52">
        <f t="shared" si="261"/>
        <v>250</v>
      </c>
      <c r="D2647" s="52">
        <f t="shared" si="259"/>
        <v>2200</v>
      </c>
      <c r="E2647" s="52">
        <f t="shared" si="260"/>
        <v>1</v>
      </c>
      <c r="F2647" s="52"/>
      <c r="G2647" s="52"/>
      <c r="H2647" s="52"/>
      <c r="I2647" s="52"/>
      <c r="J2647" s="52"/>
      <c r="K2647" s="52"/>
      <c r="L2647" s="52"/>
      <c r="M2647" s="52"/>
      <c r="N2647" s="52"/>
      <c r="O2647" s="52"/>
      <c r="P2647" s="52"/>
      <c r="Q2647" s="52"/>
      <c r="R2647" s="52"/>
      <c r="S2647" s="52"/>
      <c r="T2647" s="52"/>
      <c r="U2647" s="52"/>
      <c r="V2647" s="52"/>
      <c r="W2647" s="52"/>
      <c r="X2647" s="52"/>
      <c r="Y2647" s="52"/>
      <c r="Z2647" s="52"/>
      <c r="AA2647" s="52"/>
      <c r="AB2647" s="52"/>
      <c r="AC2647" s="52"/>
      <c r="AD2647" s="52"/>
      <c r="AE2647" s="52"/>
      <c r="AF2647" s="52"/>
      <c r="AG2647" s="52"/>
      <c r="AH2647" s="52"/>
      <c r="AI2647" s="52"/>
      <c r="AJ2647" s="52"/>
      <c r="AK2647" s="52"/>
      <c r="AL2647" s="52"/>
      <c r="AM2647" s="52"/>
      <c r="AN2647" s="52"/>
    </row>
    <row r="2648" spans="1:40" x14ac:dyDescent="0.3">
      <c r="A2648" s="52">
        <v>2643</v>
      </c>
      <c r="B2648" s="52">
        <f>-bthan*500+(42+0.5)*bthan*1000/50</f>
        <v>1925</v>
      </c>
      <c r="C2648" s="52">
        <f t="shared" si="261"/>
        <v>250</v>
      </c>
      <c r="D2648" s="52">
        <f t="shared" si="259"/>
        <v>2200</v>
      </c>
      <c r="E2648" s="52">
        <f t="shared" si="260"/>
        <v>1</v>
      </c>
      <c r="F2648" s="52"/>
      <c r="G2648" s="52"/>
      <c r="H2648" s="52"/>
      <c r="I2648" s="52"/>
      <c r="J2648" s="52"/>
      <c r="K2648" s="52"/>
      <c r="L2648" s="52"/>
      <c r="M2648" s="52"/>
      <c r="N2648" s="52"/>
      <c r="O2648" s="52"/>
      <c r="P2648" s="52"/>
      <c r="Q2648" s="52"/>
      <c r="R2648" s="52"/>
      <c r="S2648" s="52"/>
      <c r="T2648" s="52"/>
      <c r="U2648" s="52"/>
      <c r="V2648" s="52"/>
      <c r="W2648" s="52"/>
      <c r="X2648" s="52"/>
      <c r="Y2648" s="52"/>
      <c r="Z2648" s="52"/>
      <c r="AA2648" s="52"/>
      <c r="AB2648" s="52"/>
      <c r="AC2648" s="52"/>
      <c r="AD2648" s="52"/>
      <c r="AE2648" s="52"/>
      <c r="AF2648" s="52"/>
      <c r="AG2648" s="52"/>
      <c r="AH2648" s="52"/>
      <c r="AI2648" s="52"/>
      <c r="AJ2648" s="52"/>
      <c r="AK2648" s="52"/>
      <c r="AL2648" s="52"/>
      <c r="AM2648" s="52"/>
      <c r="AN2648" s="52"/>
    </row>
    <row r="2649" spans="1:40" x14ac:dyDescent="0.3">
      <c r="A2649" s="52">
        <v>2644</v>
      </c>
      <c r="B2649" s="52">
        <f>-bthan*500+(43+0.5)*bthan*1000/50</f>
        <v>2035</v>
      </c>
      <c r="C2649" s="52">
        <f t="shared" si="261"/>
        <v>250</v>
      </c>
      <c r="D2649" s="52">
        <f t="shared" si="259"/>
        <v>2200</v>
      </c>
      <c r="E2649" s="52">
        <f t="shared" si="260"/>
        <v>1</v>
      </c>
      <c r="F2649" s="52"/>
      <c r="G2649" s="52"/>
      <c r="H2649" s="52"/>
      <c r="I2649" s="52"/>
      <c r="J2649" s="52"/>
      <c r="K2649" s="52"/>
      <c r="L2649" s="52"/>
      <c r="M2649" s="52"/>
      <c r="N2649" s="52"/>
      <c r="O2649" s="52"/>
      <c r="P2649" s="52"/>
      <c r="Q2649" s="52"/>
      <c r="R2649" s="52"/>
      <c r="S2649" s="52"/>
      <c r="T2649" s="52"/>
      <c r="U2649" s="52"/>
      <c r="V2649" s="52"/>
      <c r="W2649" s="52"/>
      <c r="X2649" s="52"/>
      <c r="Y2649" s="52"/>
      <c r="Z2649" s="52"/>
      <c r="AA2649" s="52"/>
      <c r="AB2649" s="52"/>
      <c r="AC2649" s="52"/>
      <c r="AD2649" s="52"/>
      <c r="AE2649" s="52"/>
      <c r="AF2649" s="52"/>
      <c r="AG2649" s="52"/>
      <c r="AH2649" s="52"/>
      <c r="AI2649" s="52"/>
      <c r="AJ2649" s="52"/>
      <c r="AK2649" s="52"/>
      <c r="AL2649" s="52"/>
      <c r="AM2649" s="52"/>
      <c r="AN2649" s="52"/>
    </row>
    <row r="2650" spans="1:40" x14ac:dyDescent="0.3">
      <c r="A2650" s="52">
        <v>2645</v>
      </c>
      <c r="B2650" s="52">
        <f>-bthan*500+(44+0.5)*bthan*1000/50</f>
        <v>2145</v>
      </c>
      <c r="C2650" s="52">
        <f t="shared" si="261"/>
        <v>250</v>
      </c>
      <c r="D2650" s="52">
        <f t="shared" si="259"/>
        <v>2200</v>
      </c>
      <c r="E2650" s="52">
        <f t="shared" si="260"/>
        <v>1</v>
      </c>
      <c r="F2650" s="52"/>
      <c r="G2650" s="52"/>
      <c r="H2650" s="52"/>
      <c r="I2650" s="52"/>
      <c r="J2650" s="52"/>
      <c r="K2650" s="52"/>
      <c r="L2650" s="52"/>
      <c r="M2650" s="52"/>
      <c r="N2650" s="52"/>
      <c r="O2650" s="52"/>
      <c r="P2650" s="52"/>
      <c r="Q2650" s="52"/>
      <c r="R2650" s="52"/>
      <c r="S2650" s="52"/>
      <c r="T2650" s="52"/>
      <c r="U2650" s="52"/>
      <c r="V2650" s="52"/>
      <c r="W2650" s="52"/>
      <c r="X2650" s="52"/>
      <c r="Y2650" s="52"/>
      <c r="Z2650" s="52"/>
      <c r="AA2650" s="52"/>
      <c r="AB2650" s="52"/>
      <c r="AC2650" s="52"/>
      <c r="AD2650" s="52"/>
      <c r="AE2650" s="52"/>
      <c r="AF2650" s="52"/>
      <c r="AG2650" s="52"/>
      <c r="AH2650" s="52"/>
      <c r="AI2650" s="52"/>
      <c r="AJ2650" s="52"/>
      <c r="AK2650" s="52"/>
      <c r="AL2650" s="52"/>
      <c r="AM2650" s="52"/>
      <c r="AN2650" s="52"/>
    </row>
    <row r="2651" spans="1:40" x14ac:dyDescent="0.3">
      <c r="A2651" s="52">
        <v>2646</v>
      </c>
      <c r="B2651" s="52">
        <f>-bthan*500+(45+0.5)*bthan*1000/50</f>
        <v>2255</v>
      </c>
      <c r="C2651" s="52">
        <f t="shared" si="261"/>
        <v>250</v>
      </c>
      <c r="D2651" s="52">
        <f t="shared" si="259"/>
        <v>2200</v>
      </c>
      <c r="E2651" s="52">
        <f t="shared" si="260"/>
        <v>1</v>
      </c>
      <c r="F2651" s="52"/>
      <c r="G2651" s="52"/>
      <c r="H2651" s="52"/>
      <c r="I2651" s="52"/>
      <c r="J2651" s="52"/>
      <c r="K2651" s="52"/>
      <c r="L2651" s="52"/>
      <c r="M2651" s="52"/>
      <c r="N2651" s="52"/>
      <c r="O2651" s="52"/>
      <c r="P2651" s="52"/>
      <c r="Q2651" s="52"/>
      <c r="R2651" s="52"/>
      <c r="S2651" s="52"/>
      <c r="T2651" s="52"/>
      <c r="U2651" s="52"/>
      <c r="V2651" s="52"/>
      <c r="W2651" s="52"/>
      <c r="X2651" s="52"/>
      <c r="Y2651" s="52"/>
      <c r="Z2651" s="52"/>
      <c r="AA2651" s="52"/>
      <c r="AB2651" s="52"/>
      <c r="AC2651" s="52"/>
      <c r="AD2651" s="52"/>
      <c r="AE2651" s="52"/>
      <c r="AF2651" s="52"/>
      <c r="AG2651" s="52"/>
      <c r="AH2651" s="52"/>
      <c r="AI2651" s="52"/>
      <c r="AJ2651" s="52"/>
      <c r="AK2651" s="52"/>
      <c r="AL2651" s="52"/>
      <c r="AM2651" s="52"/>
      <c r="AN2651" s="52"/>
    </row>
    <row r="2652" spans="1:40" x14ac:dyDescent="0.3">
      <c r="A2652" s="52">
        <v>2647</v>
      </c>
      <c r="B2652" s="52">
        <f>-bthan*500+(46+0.5)*bthan*1000/50</f>
        <v>2365</v>
      </c>
      <c r="C2652" s="52">
        <f t="shared" si="261"/>
        <v>250</v>
      </c>
      <c r="D2652" s="52">
        <f t="shared" si="259"/>
        <v>2200</v>
      </c>
      <c r="E2652" s="52">
        <f t="shared" si="260"/>
        <v>1</v>
      </c>
      <c r="F2652" s="52"/>
      <c r="G2652" s="52"/>
      <c r="H2652" s="52"/>
      <c r="I2652" s="52"/>
      <c r="J2652" s="52"/>
      <c r="K2652" s="52"/>
      <c r="L2652" s="52"/>
      <c r="M2652" s="52"/>
      <c r="N2652" s="52"/>
      <c r="O2652" s="52"/>
      <c r="P2652" s="52"/>
      <c r="Q2652" s="52"/>
      <c r="R2652" s="52"/>
      <c r="S2652" s="52"/>
      <c r="T2652" s="52"/>
      <c r="U2652" s="52"/>
      <c r="V2652" s="52"/>
      <c r="W2652" s="52"/>
      <c r="X2652" s="52"/>
      <c r="Y2652" s="52"/>
      <c r="Z2652" s="52"/>
      <c r="AA2652" s="52"/>
      <c r="AB2652" s="52"/>
      <c r="AC2652" s="52"/>
      <c r="AD2652" s="52"/>
      <c r="AE2652" s="52"/>
      <c r="AF2652" s="52"/>
      <c r="AG2652" s="52"/>
      <c r="AH2652" s="52"/>
      <c r="AI2652" s="52"/>
      <c r="AJ2652" s="52"/>
      <c r="AK2652" s="52"/>
      <c r="AL2652" s="52"/>
      <c r="AM2652" s="52"/>
      <c r="AN2652" s="52"/>
    </row>
    <row r="2653" spans="1:40" x14ac:dyDescent="0.3">
      <c r="A2653" s="52">
        <v>2648</v>
      </c>
      <c r="B2653" s="52">
        <f>-bthan*500+(47+0.5)*bthan*1000/50</f>
        <v>2475</v>
      </c>
      <c r="C2653" s="52">
        <f t="shared" si="261"/>
        <v>250</v>
      </c>
      <c r="D2653" s="52">
        <f t="shared" si="259"/>
        <v>2200</v>
      </c>
      <c r="E2653" s="52">
        <f t="shared" si="260"/>
        <v>1</v>
      </c>
      <c r="F2653" s="52"/>
      <c r="G2653" s="52"/>
      <c r="H2653" s="52"/>
      <c r="I2653" s="52"/>
      <c r="J2653" s="52"/>
      <c r="K2653" s="52"/>
      <c r="L2653" s="52"/>
      <c r="M2653" s="52"/>
      <c r="N2653" s="52"/>
      <c r="O2653" s="52"/>
      <c r="P2653" s="52"/>
      <c r="Q2653" s="52"/>
      <c r="R2653" s="52"/>
      <c r="S2653" s="52"/>
      <c r="T2653" s="52"/>
      <c r="U2653" s="52"/>
      <c r="V2653" s="52"/>
      <c r="W2653" s="52"/>
      <c r="X2653" s="52"/>
      <c r="Y2653" s="52"/>
      <c r="Z2653" s="52"/>
      <c r="AA2653" s="52"/>
      <c r="AB2653" s="52"/>
      <c r="AC2653" s="52"/>
      <c r="AD2653" s="52"/>
      <c r="AE2653" s="52"/>
      <c r="AF2653" s="52"/>
      <c r="AG2653" s="52"/>
      <c r="AH2653" s="52"/>
      <c r="AI2653" s="52"/>
      <c r="AJ2653" s="52"/>
      <c r="AK2653" s="52"/>
      <c r="AL2653" s="52"/>
      <c r="AM2653" s="52"/>
      <c r="AN2653" s="52"/>
    </row>
    <row r="2654" spans="1:40" x14ac:dyDescent="0.3">
      <c r="A2654" s="52">
        <v>2649</v>
      </c>
      <c r="B2654" s="52">
        <f>-bthan*500+(48+0.5)*bthan*1000/50</f>
        <v>2585</v>
      </c>
      <c r="C2654" s="52">
        <f t="shared" si="261"/>
        <v>250</v>
      </c>
      <c r="D2654" s="52">
        <f t="shared" si="259"/>
        <v>2200</v>
      </c>
      <c r="E2654" s="52">
        <f t="shared" si="260"/>
        <v>1</v>
      </c>
      <c r="F2654" s="52"/>
      <c r="G2654" s="52"/>
      <c r="H2654" s="52"/>
      <c r="I2654" s="52"/>
      <c r="J2654" s="52"/>
      <c r="K2654" s="52"/>
      <c r="L2654" s="52"/>
      <c r="M2654" s="52"/>
      <c r="N2654" s="52"/>
      <c r="O2654" s="52"/>
      <c r="P2654" s="52"/>
      <c r="Q2654" s="52"/>
      <c r="R2654" s="52"/>
      <c r="S2654" s="52"/>
      <c r="T2654" s="52"/>
      <c r="U2654" s="52"/>
      <c r="V2654" s="52"/>
      <c r="W2654" s="52"/>
      <c r="X2654" s="52"/>
      <c r="Y2654" s="52"/>
      <c r="Z2654" s="52"/>
      <c r="AA2654" s="52"/>
      <c r="AB2654" s="52"/>
      <c r="AC2654" s="52"/>
      <c r="AD2654" s="52"/>
      <c r="AE2654" s="52"/>
      <c r="AF2654" s="52"/>
      <c r="AG2654" s="52"/>
      <c r="AH2654" s="52"/>
      <c r="AI2654" s="52"/>
      <c r="AJ2654" s="52"/>
      <c r="AK2654" s="52"/>
      <c r="AL2654" s="52"/>
      <c r="AM2654" s="52"/>
      <c r="AN2654" s="52"/>
    </row>
    <row r="2655" spans="1:40" x14ac:dyDescent="0.3">
      <c r="A2655" s="52">
        <v>2650</v>
      </c>
      <c r="B2655" s="52">
        <f>-bthan*500+(49+0.5)*bthan*1000/50</f>
        <v>2695</v>
      </c>
      <c r="C2655" s="52">
        <f t="shared" si="261"/>
        <v>250</v>
      </c>
      <c r="D2655" s="52">
        <f t="shared" si="259"/>
        <v>2200</v>
      </c>
      <c r="E2655" s="52">
        <f t="shared" si="260"/>
        <v>1</v>
      </c>
      <c r="F2655" s="52"/>
      <c r="G2655" s="52"/>
      <c r="H2655" s="52"/>
      <c r="I2655" s="52"/>
      <c r="J2655" s="52"/>
      <c r="K2655" s="52"/>
      <c r="L2655" s="52"/>
      <c r="M2655" s="52"/>
      <c r="N2655" s="52"/>
      <c r="O2655" s="52"/>
      <c r="P2655" s="52"/>
      <c r="Q2655" s="52"/>
      <c r="R2655" s="52"/>
      <c r="S2655" s="52"/>
      <c r="T2655" s="52"/>
      <c r="U2655" s="52"/>
      <c r="V2655" s="52"/>
      <c r="W2655" s="52"/>
      <c r="X2655" s="52"/>
      <c r="Y2655" s="52"/>
      <c r="Z2655" s="52"/>
      <c r="AA2655" s="52"/>
      <c r="AB2655" s="52"/>
      <c r="AC2655" s="52"/>
      <c r="AD2655" s="52"/>
      <c r="AE2655" s="52"/>
      <c r="AF2655" s="52"/>
      <c r="AG2655" s="52"/>
      <c r="AH2655" s="52"/>
      <c r="AI2655" s="52"/>
      <c r="AJ2655" s="52"/>
      <c r="AK2655" s="52"/>
      <c r="AL2655" s="52"/>
      <c r="AM2655" s="52"/>
      <c r="AN2655" s="52"/>
    </row>
    <row r="2656" spans="1:40" x14ac:dyDescent="0.3">
      <c r="A2656" s="52">
        <v>2651</v>
      </c>
      <c r="B2656" s="52">
        <f>-bthan*500+(0+0.5)*bthan*1000/50</f>
        <v>-2695</v>
      </c>
      <c r="C2656" s="52">
        <f t="shared" ref="C2656:C2687" si="262">-hthan*500+(53+0.5)*hthan*1000/80</f>
        <v>270.00000000000023</v>
      </c>
      <c r="D2656" s="52">
        <f t="shared" si="259"/>
        <v>2200</v>
      </c>
      <c r="E2656" s="52">
        <f t="shared" si="260"/>
        <v>1</v>
      </c>
      <c r="F2656" s="52"/>
      <c r="G2656" s="52"/>
      <c r="H2656" s="52"/>
      <c r="I2656" s="52"/>
      <c r="J2656" s="52"/>
      <c r="K2656" s="52"/>
      <c r="L2656" s="52"/>
      <c r="M2656" s="52"/>
      <c r="N2656" s="52"/>
      <c r="O2656" s="52"/>
      <c r="P2656" s="52"/>
      <c r="Q2656" s="52"/>
      <c r="R2656" s="52"/>
      <c r="S2656" s="52"/>
      <c r="T2656" s="52"/>
      <c r="U2656" s="52"/>
      <c r="V2656" s="52"/>
      <c r="W2656" s="52"/>
      <c r="X2656" s="52"/>
      <c r="Y2656" s="52"/>
      <c r="Z2656" s="52"/>
      <c r="AA2656" s="52"/>
      <c r="AB2656" s="52"/>
      <c r="AC2656" s="52"/>
      <c r="AD2656" s="52"/>
      <c r="AE2656" s="52"/>
      <c r="AF2656" s="52"/>
      <c r="AG2656" s="52"/>
      <c r="AH2656" s="52"/>
      <c r="AI2656" s="52"/>
      <c r="AJ2656" s="52"/>
      <c r="AK2656" s="52"/>
      <c r="AL2656" s="52"/>
      <c r="AM2656" s="52"/>
      <c r="AN2656" s="52"/>
    </row>
    <row r="2657" spans="1:40" x14ac:dyDescent="0.3">
      <c r="A2657" s="52">
        <v>2652</v>
      </c>
      <c r="B2657" s="52">
        <f>-bthan*500+(1+0.5)*bthan*1000/50</f>
        <v>-2585</v>
      </c>
      <c r="C2657" s="52">
        <f t="shared" si="262"/>
        <v>270.00000000000023</v>
      </c>
      <c r="D2657" s="52">
        <f t="shared" si="259"/>
        <v>2200</v>
      </c>
      <c r="E2657" s="52">
        <f t="shared" si="260"/>
        <v>1</v>
      </c>
      <c r="F2657" s="52"/>
      <c r="G2657" s="52"/>
      <c r="H2657" s="52"/>
      <c r="I2657" s="52"/>
      <c r="J2657" s="52"/>
      <c r="K2657" s="52"/>
      <c r="L2657" s="52"/>
      <c r="M2657" s="52"/>
      <c r="N2657" s="52"/>
      <c r="O2657" s="52"/>
      <c r="P2657" s="52"/>
      <c r="Q2657" s="52"/>
      <c r="R2657" s="52"/>
      <c r="S2657" s="52"/>
      <c r="T2657" s="52"/>
      <c r="U2657" s="52"/>
      <c r="V2657" s="52"/>
      <c r="W2657" s="52"/>
      <c r="X2657" s="52"/>
      <c r="Y2657" s="52"/>
      <c r="Z2657" s="52"/>
      <c r="AA2657" s="52"/>
      <c r="AB2657" s="52"/>
      <c r="AC2657" s="52"/>
      <c r="AD2657" s="52"/>
      <c r="AE2657" s="52"/>
      <c r="AF2657" s="52"/>
      <c r="AG2657" s="52"/>
      <c r="AH2657" s="52"/>
      <c r="AI2657" s="52"/>
      <c r="AJ2657" s="52"/>
      <c r="AK2657" s="52"/>
      <c r="AL2657" s="52"/>
      <c r="AM2657" s="52"/>
      <c r="AN2657" s="52"/>
    </row>
    <row r="2658" spans="1:40" x14ac:dyDescent="0.3">
      <c r="A2658" s="52">
        <v>2653</v>
      </c>
      <c r="B2658" s="52">
        <f>-bthan*500+(2+0.5)*bthan*1000/50</f>
        <v>-2475</v>
      </c>
      <c r="C2658" s="52">
        <f t="shared" si="262"/>
        <v>270.00000000000023</v>
      </c>
      <c r="D2658" s="52">
        <f t="shared" si="259"/>
        <v>2200</v>
      </c>
      <c r="E2658" s="52">
        <f t="shared" si="260"/>
        <v>1</v>
      </c>
      <c r="F2658" s="52"/>
      <c r="G2658" s="52"/>
      <c r="H2658" s="52"/>
      <c r="I2658" s="52"/>
      <c r="J2658" s="52"/>
      <c r="K2658" s="52"/>
      <c r="L2658" s="52"/>
      <c r="M2658" s="52"/>
      <c r="N2658" s="52"/>
      <c r="O2658" s="52"/>
      <c r="P2658" s="52"/>
      <c r="Q2658" s="52"/>
      <c r="R2658" s="52"/>
      <c r="S2658" s="52"/>
      <c r="T2658" s="52"/>
      <c r="U2658" s="52"/>
      <c r="V2658" s="52"/>
      <c r="W2658" s="52"/>
      <c r="X2658" s="52"/>
      <c r="Y2658" s="52"/>
      <c r="Z2658" s="52"/>
      <c r="AA2658" s="52"/>
      <c r="AB2658" s="52"/>
      <c r="AC2658" s="52"/>
      <c r="AD2658" s="52"/>
      <c r="AE2658" s="52"/>
      <c r="AF2658" s="52"/>
      <c r="AG2658" s="52"/>
      <c r="AH2658" s="52"/>
      <c r="AI2658" s="52"/>
      <c r="AJ2658" s="52"/>
      <c r="AK2658" s="52"/>
      <c r="AL2658" s="52"/>
      <c r="AM2658" s="52"/>
      <c r="AN2658" s="52"/>
    </row>
    <row r="2659" spans="1:40" x14ac:dyDescent="0.3">
      <c r="A2659" s="52">
        <v>2654</v>
      </c>
      <c r="B2659" s="52">
        <f>-bthan*500+(3+0.5)*bthan*1000/50</f>
        <v>-2365</v>
      </c>
      <c r="C2659" s="52">
        <f t="shared" si="262"/>
        <v>270.00000000000023</v>
      </c>
      <c r="D2659" s="52">
        <f t="shared" si="259"/>
        <v>2200</v>
      </c>
      <c r="E2659" s="52">
        <f t="shared" si="260"/>
        <v>1</v>
      </c>
      <c r="F2659" s="52"/>
      <c r="G2659" s="52"/>
      <c r="H2659" s="52"/>
      <c r="I2659" s="52"/>
      <c r="J2659" s="52"/>
      <c r="K2659" s="52"/>
      <c r="L2659" s="52"/>
      <c r="M2659" s="52"/>
      <c r="N2659" s="52"/>
      <c r="O2659" s="52"/>
      <c r="P2659" s="52"/>
      <c r="Q2659" s="52"/>
      <c r="R2659" s="52"/>
      <c r="S2659" s="52"/>
      <c r="T2659" s="52"/>
      <c r="U2659" s="52"/>
      <c r="V2659" s="52"/>
      <c r="W2659" s="52"/>
      <c r="X2659" s="52"/>
      <c r="Y2659" s="52"/>
      <c r="Z2659" s="52"/>
      <c r="AA2659" s="52"/>
      <c r="AB2659" s="52"/>
      <c r="AC2659" s="52"/>
      <c r="AD2659" s="52"/>
      <c r="AE2659" s="52"/>
      <c r="AF2659" s="52"/>
      <c r="AG2659" s="52"/>
      <c r="AH2659" s="52"/>
      <c r="AI2659" s="52"/>
      <c r="AJ2659" s="52"/>
      <c r="AK2659" s="52"/>
      <c r="AL2659" s="52"/>
      <c r="AM2659" s="52"/>
      <c r="AN2659" s="52"/>
    </row>
    <row r="2660" spans="1:40" x14ac:dyDescent="0.3">
      <c r="A2660" s="52">
        <v>2655</v>
      </c>
      <c r="B2660" s="52">
        <f>-bthan*500+(4+0.5)*bthan*1000/50</f>
        <v>-2255</v>
      </c>
      <c r="C2660" s="52">
        <f t="shared" si="262"/>
        <v>270.00000000000023</v>
      </c>
      <c r="D2660" s="52">
        <f t="shared" si="259"/>
        <v>2200</v>
      </c>
      <c r="E2660" s="52">
        <f t="shared" si="260"/>
        <v>1</v>
      </c>
      <c r="F2660" s="52"/>
      <c r="G2660" s="52"/>
      <c r="H2660" s="52"/>
      <c r="I2660" s="52"/>
      <c r="J2660" s="52"/>
      <c r="K2660" s="52"/>
      <c r="L2660" s="52"/>
      <c r="M2660" s="52"/>
      <c r="N2660" s="52"/>
      <c r="O2660" s="52"/>
      <c r="P2660" s="52"/>
      <c r="Q2660" s="52"/>
      <c r="R2660" s="52"/>
      <c r="S2660" s="52"/>
      <c r="T2660" s="52"/>
      <c r="U2660" s="52"/>
      <c r="V2660" s="52"/>
      <c r="W2660" s="52"/>
      <c r="X2660" s="52"/>
      <c r="Y2660" s="52"/>
      <c r="Z2660" s="52"/>
      <c r="AA2660" s="52"/>
      <c r="AB2660" s="52"/>
      <c r="AC2660" s="52"/>
      <c r="AD2660" s="52"/>
      <c r="AE2660" s="52"/>
      <c r="AF2660" s="52"/>
      <c r="AG2660" s="52"/>
      <c r="AH2660" s="52"/>
      <c r="AI2660" s="52"/>
      <c r="AJ2660" s="52"/>
      <c r="AK2660" s="52"/>
      <c r="AL2660" s="52"/>
      <c r="AM2660" s="52"/>
      <c r="AN2660" s="52"/>
    </row>
    <row r="2661" spans="1:40" x14ac:dyDescent="0.3">
      <c r="A2661" s="52">
        <v>2656</v>
      </c>
      <c r="B2661" s="52">
        <f>-bthan*500+(5+0.5)*bthan*1000/50</f>
        <v>-2145</v>
      </c>
      <c r="C2661" s="52">
        <f t="shared" si="262"/>
        <v>270.00000000000023</v>
      </c>
      <c r="D2661" s="52">
        <f t="shared" si="259"/>
        <v>2200</v>
      </c>
      <c r="E2661" s="52">
        <f t="shared" si="260"/>
        <v>1</v>
      </c>
      <c r="F2661" s="52"/>
      <c r="G2661" s="52"/>
      <c r="H2661" s="52"/>
      <c r="I2661" s="52"/>
      <c r="J2661" s="52"/>
      <c r="K2661" s="52"/>
      <c r="L2661" s="52"/>
      <c r="M2661" s="52"/>
      <c r="N2661" s="52"/>
      <c r="O2661" s="52"/>
      <c r="P2661" s="52"/>
      <c r="Q2661" s="52"/>
      <c r="R2661" s="52"/>
      <c r="S2661" s="52"/>
      <c r="T2661" s="52"/>
      <c r="U2661" s="52"/>
      <c r="V2661" s="52"/>
      <c r="W2661" s="52"/>
      <c r="X2661" s="52"/>
      <c r="Y2661" s="52"/>
      <c r="Z2661" s="52"/>
      <c r="AA2661" s="52"/>
      <c r="AB2661" s="52"/>
      <c r="AC2661" s="52"/>
      <c r="AD2661" s="52"/>
      <c r="AE2661" s="52"/>
      <c r="AF2661" s="52"/>
      <c r="AG2661" s="52"/>
      <c r="AH2661" s="52"/>
      <c r="AI2661" s="52"/>
      <c r="AJ2661" s="52"/>
      <c r="AK2661" s="52"/>
      <c r="AL2661" s="52"/>
      <c r="AM2661" s="52"/>
      <c r="AN2661" s="52"/>
    </row>
    <row r="2662" spans="1:40" x14ac:dyDescent="0.3">
      <c r="A2662" s="52">
        <v>2657</v>
      </c>
      <c r="B2662" s="52">
        <f>-bthan*500+(6+0.5)*bthan*1000/50</f>
        <v>-2035</v>
      </c>
      <c r="C2662" s="52">
        <f t="shared" si="262"/>
        <v>270.00000000000023</v>
      </c>
      <c r="D2662" s="52">
        <f t="shared" si="259"/>
        <v>2200</v>
      </c>
      <c r="E2662" s="52">
        <f t="shared" si="260"/>
        <v>1</v>
      </c>
      <c r="F2662" s="52"/>
      <c r="G2662" s="52"/>
      <c r="H2662" s="52"/>
      <c r="I2662" s="52"/>
      <c r="J2662" s="52"/>
      <c r="K2662" s="52"/>
      <c r="L2662" s="52"/>
      <c r="M2662" s="52"/>
      <c r="N2662" s="52"/>
      <c r="O2662" s="52"/>
      <c r="P2662" s="52"/>
      <c r="Q2662" s="52"/>
      <c r="R2662" s="52"/>
      <c r="S2662" s="52"/>
      <c r="T2662" s="52"/>
      <c r="U2662" s="52"/>
      <c r="V2662" s="52"/>
      <c r="W2662" s="52"/>
      <c r="X2662" s="52"/>
      <c r="Y2662" s="52"/>
      <c r="Z2662" s="52"/>
      <c r="AA2662" s="52"/>
      <c r="AB2662" s="52"/>
      <c r="AC2662" s="52"/>
      <c r="AD2662" s="52"/>
      <c r="AE2662" s="52"/>
      <c r="AF2662" s="52"/>
      <c r="AG2662" s="52"/>
      <c r="AH2662" s="52"/>
      <c r="AI2662" s="52"/>
      <c r="AJ2662" s="52"/>
      <c r="AK2662" s="52"/>
      <c r="AL2662" s="52"/>
      <c r="AM2662" s="52"/>
      <c r="AN2662" s="52"/>
    </row>
    <row r="2663" spans="1:40" x14ac:dyDescent="0.3">
      <c r="A2663" s="52">
        <v>2658</v>
      </c>
      <c r="B2663" s="52">
        <f>-bthan*500+(7+0.5)*bthan*1000/50</f>
        <v>-1925</v>
      </c>
      <c r="C2663" s="52">
        <f t="shared" si="262"/>
        <v>270.00000000000023</v>
      </c>
      <c r="D2663" s="52">
        <f t="shared" si="259"/>
        <v>2200</v>
      </c>
      <c r="E2663" s="52">
        <f t="shared" si="260"/>
        <v>1</v>
      </c>
      <c r="F2663" s="52"/>
      <c r="G2663" s="52"/>
      <c r="H2663" s="52"/>
      <c r="I2663" s="52"/>
      <c r="J2663" s="52"/>
      <c r="K2663" s="52"/>
      <c r="L2663" s="52"/>
      <c r="M2663" s="52"/>
      <c r="N2663" s="52"/>
      <c r="O2663" s="52"/>
      <c r="P2663" s="52"/>
      <c r="Q2663" s="52"/>
      <c r="R2663" s="52"/>
      <c r="S2663" s="52"/>
      <c r="T2663" s="52"/>
      <c r="U2663" s="52"/>
      <c r="V2663" s="52"/>
      <c r="W2663" s="52"/>
      <c r="X2663" s="52"/>
      <c r="Y2663" s="52"/>
      <c r="Z2663" s="52"/>
      <c r="AA2663" s="52"/>
      <c r="AB2663" s="52"/>
      <c r="AC2663" s="52"/>
      <c r="AD2663" s="52"/>
      <c r="AE2663" s="52"/>
      <c r="AF2663" s="52"/>
      <c r="AG2663" s="52"/>
      <c r="AH2663" s="52"/>
      <c r="AI2663" s="52"/>
      <c r="AJ2663" s="52"/>
      <c r="AK2663" s="52"/>
      <c r="AL2663" s="52"/>
      <c r="AM2663" s="52"/>
      <c r="AN2663" s="52"/>
    </row>
    <row r="2664" spans="1:40" x14ac:dyDescent="0.3">
      <c r="A2664" s="52">
        <v>2659</v>
      </c>
      <c r="B2664" s="52">
        <f>-bthan*500+(8+0.5)*bthan*1000/50</f>
        <v>-1815</v>
      </c>
      <c r="C2664" s="52">
        <f t="shared" si="262"/>
        <v>270.00000000000023</v>
      </c>
      <c r="D2664" s="52">
        <f t="shared" si="259"/>
        <v>2200</v>
      </c>
      <c r="E2664" s="52">
        <f t="shared" si="260"/>
        <v>1</v>
      </c>
      <c r="F2664" s="52"/>
      <c r="G2664" s="52"/>
      <c r="H2664" s="52"/>
      <c r="I2664" s="52"/>
      <c r="J2664" s="52"/>
      <c r="K2664" s="52"/>
      <c r="L2664" s="52"/>
      <c r="M2664" s="52"/>
      <c r="N2664" s="52"/>
      <c r="O2664" s="52"/>
      <c r="P2664" s="52"/>
      <c r="Q2664" s="52"/>
      <c r="R2664" s="52"/>
      <c r="S2664" s="52"/>
      <c r="T2664" s="52"/>
      <c r="U2664" s="52"/>
      <c r="V2664" s="52"/>
      <c r="W2664" s="52"/>
      <c r="X2664" s="52"/>
      <c r="Y2664" s="52"/>
      <c r="Z2664" s="52"/>
      <c r="AA2664" s="52"/>
      <c r="AB2664" s="52"/>
      <c r="AC2664" s="52"/>
      <c r="AD2664" s="52"/>
      <c r="AE2664" s="52"/>
      <c r="AF2664" s="52"/>
      <c r="AG2664" s="52"/>
      <c r="AH2664" s="52"/>
      <c r="AI2664" s="52"/>
      <c r="AJ2664" s="52"/>
      <c r="AK2664" s="52"/>
      <c r="AL2664" s="52"/>
      <c r="AM2664" s="52"/>
      <c r="AN2664" s="52"/>
    </row>
    <row r="2665" spans="1:40" x14ac:dyDescent="0.3">
      <c r="A2665" s="52">
        <v>2660</v>
      </c>
      <c r="B2665" s="52">
        <f>-bthan*500+(9+0.5)*bthan*1000/50</f>
        <v>-1705</v>
      </c>
      <c r="C2665" s="52">
        <f t="shared" si="262"/>
        <v>270.00000000000023</v>
      </c>
      <c r="D2665" s="52">
        <f t="shared" si="259"/>
        <v>2200</v>
      </c>
      <c r="E2665" s="52">
        <f t="shared" si="260"/>
        <v>1</v>
      </c>
      <c r="F2665" s="52"/>
      <c r="G2665" s="52"/>
      <c r="H2665" s="52"/>
      <c r="I2665" s="52"/>
      <c r="J2665" s="52"/>
      <c r="K2665" s="52"/>
      <c r="L2665" s="52"/>
      <c r="M2665" s="52"/>
      <c r="N2665" s="52"/>
      <c r="O2665" s="52"/>
      <c r="P2665" s="52"/>
      <c r="Q2665" s="52"/>
      <c r="R2665" s="52"/>
      <c r="S2665" s="52"/>
      <c r="T2665" s="52"/>
      <c r="U2665" s="52"/>
      <c r="V2665" s="52"/>
      <c r="W2665" s="52"/>
      <c r="X2665" s="52"/>
      <c r="Y2665" s="52"/>
      <c r="Z2665" s="52"/>
      <c r="AA2665" s="52"/>
      <c r="AB2665" s="52"/>
      <c r="AC2665" s="52"/>
      <c r="AD2665" s="52"/>
      <c r="AE2665" s="52"/>
      <c r="AF2665" s="52"/>
      <c r="AG2665" s="52"/>
      <c r="AH2665" s="52"/>
      <c r="AI2665" s="52"/>
      <c r="AJ2665" s="52"/>
      <c r="AK2665" s="52"/>
      <c r="AL2665" s="52"/>
      <c r="AM2665" s="52"/>
      <c r="AN2665" s="52"/>
    </row>
    <row r="2666" spans="1:40" x14ac:dyDescent="0.3">
      <c r="A2666" s="52">
        <v>2661</v>
      </c>
      <c r="B2666" s="52">
        <f>-bthan*500+(10+0.5)*bthan*1000/50</f>
        <v>-1595</v>
      </c>
      <c r="C2666" s="52">
        <f t="shared" si="262"/>
        <v>270.00000000000023</v>
      </c>
      <c r="D2666" s="52">
        <f t="shared" si="259"/>
        <v>2200</v>
      </c>
      <c r="E2666" s="52">
        <f t="shared" si="260"/>
        <v>1</v>
      </c>
      <c r="F2666" s="52"/>
      <c r="G2666" s="52"/>
      <c r="H2666" s="52"/>
      <c r="I2666" s="52"/>
      <c r="J2666" s="52"/>
      <c r="K2666" s="52"/>
      <c r="L2666" s="52"/>
      <c r="M2666" s="52"/>
      <c r="N2666" s="52"/>
      <c r="O2666" s="52"/>
      <c r="P2666" s="52"/>
      <c r="Q2666" s="52"/>
      <c r="R2666" s="52"/>
      <c r="S2666" s="52"/>
      <c r="T2666" s="52"/>
      <c r="U2666" s="52"/>
      <c r="V2666" s="52"/>
      <c r="W2666" s="52"/>
      <c r="X2666" s="52"/>
      <c r="Y2666" s="52"/>
      <c r="Z2666" s="52"/>
      <c r="AA2666" s="52"/>
      <c r="AB2666" s="52"/>
      <c r="AC2666" s="52"/>
      <c r="AD2666" s="52"/>
      <c r="AE2666" s="52"/>
      <c r="AF2666" s="52"/>
      <c r="AG2666" s="52"/>
      <c r="AH2666" s="52"/>
      <c r="AI2666" s="52"/>
      <c r="AJ2666" s="52"/>
      <c r="AK2666" s="52"/>
      <c r="AL2666" s="52"/>
      <c r="AM2666" s="52"/>
      <c r="AN2666" s="52"/>
    </row>
    <row r="2667" spans="1:40" x14ac:dyDescent="0.3">
      <c r="A2667" s="52">
        <v>2662</v>
      </c>
      <c r="B2667" s="52">
        <f>-bthan*500+(11+0.5)*bthan*1000/50</f>
        <v>-1485</v>
      </c>
      <c r="C2667" s="52">
        <f t="shared" si="262"/>
        <v>270.00000000000023</v>
      </c>
      <c r="D2667" s="52">
        <f t="shared" si="259"/>
        <v>2200</v>
      </c>
      <c r="E2667" s="52">
        <f t="shared" si="260"/>
        <v>1</v>
      </c>
      <c r="F2667" s="52"/>
      <c r="G2667" s="52"/>
      <c r="H2667" s="52"/>
      <c r="I2667" s="52"/>
      <c r="J2667" s="52"/>
      <c r="K2667" s="52"/>
      <c r="L2667" s="52"/>
      <c r="M2667" s="52"/>
      <c r="N2667" s="52"/>
      <c r="O2667" s="52"/>
      <c r="P2667" s="52"/>
      <c r="Q2667" s="52"/>
      <c r="R2667" s="52"/>
      <c r="S2667" s="52"/>
      <c r="T2667" s="52"/>
      <c r="U2667" s="52"/>
      <c r="V2667" s="52"/>
      <c r="W2667" s="52"/>
      <c r="X2667" s="52"/>
      <c r="Y2667" s="52"/>
      <c r="Z2667" s="52"/>
      <c r="AA2667" s="52"/>
      <c r="AB2667" s="52"/>
      <c r="AC2667" s="52"/>
      <c r="AD2667" s="52"/>
      <c r="AE2667" s="52"/>
      <c r="AF2667" s="52"/>
      <c r="AG2667" s="52"/>
      <c r="AH2667" s="52"/>
      <c r="AI2667" s="52"/>
      <c r="AJ2667" s="52"/>
      <c r="AK2667" s="52"/>
      <c r="AL2667" s="52"/>
      <c r="AM2667" s="52"/>
      <c r="AN2667" s="52"/>
    </row>
    <row r="2668" spans="1:40" x14ac:dyDescent="0.3">
      <c r="A2668" s="52">
        <v>2663</v>
      </c>
      <c r="B2668" s="52">
        <f>-bthan*500+(12+0.5)*bthan*1000/50</f>
        <v>-1375</v>
      </c>
      <c r="C2668" s="52">
        <f t="shared" si="262"/>
        <v>270.00000000000023</v>
      </c>
      <c r="D2668" s="52">
        <f t="shared" si="259"/>
        <v>2200</v>
      </c>
      <c r="E2668" s="52">
        <f t="shared" si="260"/>
        <v>1</v>
      </c>
      <c r="F2668" s="52"/>
      <c r="G2668" s="52"/>
      <c r="H2668" s="52"/>
      <c r="I2668" s="52"/>
      <c r="J2668" s="52"/>
      <c r="K2668" s="52"/>
      <c r="L2668" s="52"/>
      <c r="M2668" s="52"/>
      <c r="N2668" s="52"/>
      <c r="O2668" s="52"/>
      <c r="P2668" s="52"/>
      <c r="Q2668" s="52"/>
      <c r="R2668" s="52"/>
      <c r="S2668" s="52"/>
      <c r="T2668" s="52"/>
      <c r="U2668" s="52"/>
      <c r="V2668" s="52"/>
      <c r="W2668" s="52"/>
      <c r="X2668" s="52"/>
      <c r="Y2668" s="52"/>
      <c r="Z2668" s="52"/>
      <c r="AA2668" s="52"/>
      <c r="AB2668" s="52"/>
      <c r="AC2668" s="52"/>
      <c r="AD2668" s="52"/>
      <c r="AE2668" s="52"/>
      <c r="AF2668" s="52"/>
      <c r="AG2668" s="52"/>
      <c r="AH2668" s="52"/>
      <c r="AI2668" s="52"/>
      <c r="AJ2668" s="52"/>
      <c r="AK2668" s="52"/>
      <c r="AL2668" s="52"/>
      <c r="AM2668" s="52"/>
      <c r="AN2668" s="52"/>
    </row>
    <row r="2669" spans="1:40" x14ac:dyDescent="0.3">
      <c r="A2669" s="52">
        <v>2664</v>
      </c>
      <c r="B2669" s="52">
        <f>-bthan*500+(13+0.5)*bthan*1000/50</f>
        <v>-1265</v>
      </c>
      <c r="C2669" s="52">
        <f t="shared" si="262"/>
        <v>270.00000000000023</v>
      </c>
      <c r="D2669" s="52">
        <f t="shared" si="259"/>
        <v>2200</v>
      </c>
      <c r="E2669" s="52">
        <f t="shared" si="260"/>
        <v>1</v>
      </c>
      <c r="F2669" s="52"/>
      <c r="G2669" s="52"/>
      <c r="H2669" s="52"/>
      <c r="I2669" s="52"/>
      <c r="J2669" s="52"/>
      <c r="K2669" s="52"/>
      <c r="L2669" s="52"/>
      <c r="M2669" s="52"/>
      <c r="N2669" s="52"/>
      <c r="O2669" s="52"/>
      <c r="P2669" s="52"/>
      <c r="Q2669" s="52"/>
      <c r="R2669" s="52"/>
      <c r="S2669" s="52"/>
      <c r="T2669" s="52"/>
      <c r="U2669" s="52"/>
      <c r="V2669" s="52"/>
      <c r="W2669" s="52"/>
      <c r="X2669" s="52"/>
      <c r="Y2669" s="52"/>
      <c r="Z2669" s="52"/>
      <c r="AA2669" s="52"/>
      <c r="AB2669" s="52"/>
      <c r="AC2669" s="52"/>
      <c r="AD2669" s="52"/>
      <c r="AE2669" s="52"/>
      <c r="AF2669" s="52"/>
      <c r="AG2669" s="52"/>
      <c r="AH2669" s="52"/>
      <c r="AI2669" s="52"/>
      <c r="AJ2669" s="52"/>
      <c r="AK2669" s="52"/>
      <c r="AL2669" s="52"/>
      <c r="AM2669" s="52"/>
      <c r="AN2669" s="52"/>
    </row>
    <row r="2670" spans="1:40" x14ac:dyDescent="0.3">
      <c r="A2670" s="52">
        <v>2665</v>
      </c>
      <c r="B2670" s="52">
        <f>-bthan*500+(14+0.5)*bthan*1000/50</f>
        <v>-1155</v>
      </c>
      <c r="C2670" s="52">
        <f t="shared" si="262"/>
        <v>270.00000000000023</v>
      </c>
      <c r="D2670" s="52">
        <f t="shared" si="259"/>
        <v>2200</v>
      </c>
      <c r="E2670" s="52">
        <f t="shared" si="260"/>
        <v>1</v>
      </c>
      <c r="F2670" s="52"/>
      <c r="G2670" s="52"/>
      <c r="H2670" s="52"/>
      <c r="I2670" s="52"/>
      <c r="J2670" s="52"/>
      <c r="K2670" s="52"/>
      <c r="L2670" s="52"/>
      <c r="M2670" s="52"/>
      <c r="N2670" s="52"/>
      <c r="O2670" s="52"/>
      <c r="P2670" s="52"/>
      <c r="Q2670" s="52"/>
      <c r="R2670" s="52"/>
      <c r="S2670" s="52"/>
      <c r="T2670" s="52"/>
      <c r="U2670" s="52"/>
      <c r="V2670" s="52"/>
      <c r="W2670" s="52"/>
      <c r="X2670" s="52"/>
      <c r="Y2670" s="52"/>
      <c r="Z2670" s="52"/>
      <c r="AA2670" s="52"/>
      <c r="AB2670" s="52"/>
      <c r="AC2670" s="52"/>
      <c r="AD2670" s="52"/>
      <c r="AE2670" s="52"/>
      <c r="AF2670" s="52"/>
      <c r="AG2670" s="52"/>
      <c r="AH2670" s="52"/>
      <c r="AI2670" s="52"/>
      <c r="AJ2670" s="52"/>
      <c r="AK2670" s="52"/>
      <c r="AL2670" s="52"/>
      <c r="AM2670" s="52"/>
      <c r="AN2670" s="52"/>
    </row>
    <row r="2671" spans="1:40" x14ac:dyDescent="0.3">
      <c r="A2671" s="52">
        <v>2666</v>
      </c>
      <c r="B2671" s="52">
        <f>-bthan*500+(15+0.5)*bthan*1000/50</f>
        <v>-1045</v>
      </c>
      <c r="C2671" s="52">
        <f t="shared" si="262"/>
        <v>270.00000000000023</v>
      </c>
      <c r="D2671" s="52">
        <f t="shared" si="259"/>
        <v>2200</v>
      </c>
      <c r="E2671" s="52">
        <f t="shared" si="260"/>
        <v>1</v>
      </c>
      <c r="F2671" s="52"/>
      <c r="G2671" s="52"/>
      <c r="H2671" s="52"/>
      <c r="I2671" s="52"/>
      <c r="J2671" s="52"/>
      <c r="K2671" s="52"/>
      <c r="L2671" s="52"/>
      <c r="M2671" s="52"/>
      <c r="N2671" s="52"/>
      <c r="O2671" s="52"/>
      <c r="P2671" s="52"/>
      <c r="Q2671" s="52"/>
      <c r="R2671" s="52"/>
      <c r="S2671" s="52"/>
      <c r="T2671" s="52"/>
      <c r="U2671" s="52"/>
      <c r="V2671" s="52"/>
      <c r="W2671" s="52"/>
      <c r="X2671" s="52"/>
      <c r="Y2671" s="52"/>
      <c r="Z2671" s="52"/>
      <c r="AA2671" s="52"/>
      <c r="AB2671" s="52"/>
      <c r="AC2671" s="52"/>
      <c r="AD2671" s="52"/>
      <c r="AE2671" s="52"/>
      <c r="AF2671" s="52"/>
      <c r="AG2671" s="52"/>
      <c r="AH2671" s="52"/>
      <c r="AI2671" s="52"/>
      <c r="AJ2671" s="52"/>
      <c r="AK2671" s="52"/>
      <c r="AL2671" s="52"/>
      <c r="AM2671" s="52"/>
      <c r="AN2671" s="52"/>
    </row>
    <row r="2672" spans="1:40" x14ac:dyDescent="0.3">
      <c r="A2672" s="52">
        <v>2667</v>
      </c>
      <c r="B2672" s="52">
        <f>-bthan*500+(16+0.5)*bthan*1000/50</f>
        <v>-935</v>
      </c>
      <c r="C2672" s="52">
        <f t="shared" si="262"/>
        <v>270.00000000000023</v>
      </c>
      <c r="D2672" s="52">
        <f t="shared" si="259"/>
        <v>2200</v>
      </c>
      <c r="E2672" s="52">
        <f t="shared" si="260"/>
        <v>1</v>
      </c>
      <c r="F2672" s="52"/>
      <c r="G2672" s="52"/>
      <c r="H2672" s="52"/>
      <c r="I2672" s="52"/>
      <c r="J2672" s="52"/>
      <c r="K2672" s="52"/>
      <c r="L2672" s="52"/>
      <c r="M2672" s="52"/>
      <c r="N2672" s="52"/>
      <c r="O2672" s="52"/>
      <c r="P2672" s="52"/>
      <c r="Q2672" s="52"/>
      <c r="R2672" s="52"/>
      <c r="S2672" s="52"/>
      <c r="T2672" s="52"/>
      <c r="U2672" s="52"/>
      <c r="V2672" s="52"/>
      <c r="W2672" s="52"/>
      <c r="X2672" s="52"/>
      <c r="Y2672" s="52"/>
      <c r="Z2672" s="52"/>
      <c r="AA2672" s="52"/>
      <c r="AB2672" s="52"/>
      <c r="AC2672" s="52"/>
      <c r="AD2672" s="52"/>
      <c r="AE2672" s="52"/>
      <c r="AF2672" s="52"/>
      <c r="AG2672" s="52"/>
      <c r="AH2672" s="52"/>
      <c r="AI2672" s="52"/>
      <c r="AJ2672" s="52"/>
      <c r="AK2672" s="52"/>
      <c r="AL2672" s="52"/>
      <c r="AM2672" s="52"/>
      <c r="AN2672" s="52"/>
    </row>
    <row r="2673" spans="1:40" x14ac:dyDescent="0.3">
      <c r="A2673" s="52">
        <v>2668</v>
      </c>
      <c r="B2673" s="52">
        <f>-bthan*500+(17+0.5)*bthan*1000/50</f>
        <v>-825</v>
      </c>
      <c r="C2673" s="52">
        <f t="shared" si="262"/>
        <v>270.00000000000023</v>
      </c>
      <c r="D2673" s="52">
        <f t="shared" si="259"/>
        <v>2200</v>
      </c>
      <c r="E2673" s="52">
        <f t="shared" si="260"/>
        <v>1</v>
      </c>
      <c r="F2673" s="52"/>
      <c r="G2673" s="52"/>
      <c r="H2673" s="52"/>
      <c r="I2673" s="52"/>
      <c r="J2673" s="52"/>
      <c r="K2673" s="52"/>
      <c r="L2673" s="52"/>
      <c r="M2673" s="52"/>
      <c r="N2673" s="52"/>
      <c r="O2673" s="52"/>
      <c r="P2673" s="52"/>
      <c r="Q2673" s="52"/>
      <c r="R2673" s="52"/>
      <c r="S2673" s="52"/>
      <c r="T2673" s="52"/>
      <c r="U2673" s="52"/>
      <c r="V2673" s="52"/>
      <c r="W2673" s="52"/>
      <c r="X2673" s="52"/>
      <c r="Y2673" s="52"/>
      <c r="Z2673" s="52"/>
      <c r="AA2673" s="52"/>
      <c r="AB2673" s="52"/>
      <c r="AC2673" s="52"/>
      <c r="AD2673" s="52"/>
      <c r="AE2673" s="52"/>
      <c r="AF2673" s="52"/>
      <c r="AG2673" s="52"/>
      <c r="AH2673" s="52"/>
      <c r="AI2673" s="52"/>
      <c r="AJ2673" s="52"/>
      <c r="AK2673" s="52"/>
      <c r="AL2673" s="52"/>
      <c r="AM2673" s="52"/>
      <c r="AN2673" s="52"/>
    </row>
    <row r="2674" spans="1:40" x14ac:dyDescent="0.3">
      <c r="A2674" s="52">
        <v>2669</v>
      </c>
      <c r="B2674" s="52">
        <f>-bthan*500+(18+0.5)*bthan*1000/50</f>
        <v>-715</v>
      </c>
      <c r="C2674" s="52">
        <f t="shared" si="262"/>
        <v>270.00000000000023</v>
      </c>
      <c r="D2674" s="52">
        <f t="shared" si="259"/>
        <v>2200</v>
      </c>
      <c r="E2674" s="52">
        <f t="shared" si="260"/>
        <v>1</v>
      </c>
      <c r="F2674" s="52"/>
      <c r="G2674" s="52"/>
      <c r="H2674" s="52"/>
      <c r="I2674" s="52"/>
      <c r="J2674" s="52"/>
      <c r="K2674" s="52"/>
      <c r="L2674" s="52"/>
      <c r="M2674" s="52"/>
      <c r="N2674" s="52"/>
      <c r="O2674" s="52"/>
      <c r="P2674" s="52"/>
      <c r="Q2674" s="52"/>
      <c r="R2674" s="52"/>
      <c r="S2674" s="52"/>
      <c r="T2674" s="52"/>
      <c r="U2674" s="52"/>
      <c r="V2674" s="52"/>
      <c r="W2674" s="52"/>
      <c r="X2674" s="52"/>
      <c r="Y2674" s="52"/>
      <c r="Z2674" s="52"/>
      <c r="AA2674" s="52"/>
      <c r="AB2674" s="52"/>
      <c r="AC2674" s="52"/>
      <c r="AD2674" s="52"/>
      <c r="AE2674" s="52"/>
      <c r="AF2674" s="52"/>
      <c r="AG2674" s="52"/>
      <c r="AH2674" s="52"/>
      <c r="AI2674" s="52"/>
      <c r="AJ2674" s="52"/>
      <c r="AK2674" s="52"/>
      <c r="AL2674" s="52"/>
      <c r="AM2674" s="52"/>
      <c r="AN2674" s="52"/>
    </row>
    <row r="2675" spans="1:40" x14ac:dyDescent="0.3">
      <c r="A2675" s="52">
        <v>2670</v>
      </c>
      <c r="B2675" s="52">
        <f>-bthan*500+(19+0.5)*bthan*1000/50</f>
        <v>-605</v>
      </c>
      <c r="C2675" s="52">
        <f t="shared" si="262"/>
        <v>270.00000000000023</v>
      </c>
      <c r="D2675" s="52">
        <f t="shared" si="259"/>
        <v>2200</v>
      </c>
      <c r="E2675" s="52">
        <f t="shared" si="260"/>
        <v>1</v>
      </c>
      <c r="F2675" s="52"/>
      <c r="G2675" s="52"/>
      <c r="H2675" s="52"/>
      <c r="I2675" s="52"/>
      <c r="J2675" s="52"/>
      <c r="K2675" s="52"/>
      <c r="L2675" s="52"/>
      <c r="M2675" s="52"/>
      <c r="N2675" s="52"/>
      <c r="O2675" s="52"/>
      <c r="P2675" s="52"/>
      <c r="Q2675" s="52"/>
      <c r="R2675" s="52"/>
      <c r="S2675" s="52"/>
      <c r="T2675" s="52"/>
      <c r="U2675" s="52"/>
      <c r="V2675" s="52"/>
      <c r="W2675" s="52"/>
      <c r="X2675" s="52"/>
      <c r="Y2675" s="52"/>
      <c r="Z2675" s="52"/>
      <c r="AA2675" s="52"/>
      <c r="AB2675" s="52"/>
      <c r="AC2675" s="52"/>
      <c r="AD2675" s="52"/>
      <c r="AE2675" s="52"/>
      <c r="AF2675" s="52"/>
      <c r="AG2675" s="52"/>
      <c r="AH2675" s="52"/>
      <c r="AI2675" s="52"/>
      <c r="AJ2675" s="52"/>
      <c r="AK2675" s="52"/>
      <c r="AL2675" s="52"/>
      <c r="AM2675" s="52"/>
      <c r="AN2675" s="52"/>
    </row>
    <row r="2676" spans="1:40" x14ac:dyDescent="0.3">
      <c r="A2676" s="52">
        <v>2671</v>
      </c>
      <c r="B2676" s="52">
        <f>-bthan*500+(20+0.5)*bthan*1000/50</f>
        <v>-495</v>
      </c>
      <c r="C2676" s="52">
        <f t="shared" si="262"/>
        <v>270.00000000000023</v>
      </c>
      <c r="D2676" s="52">
        <f t="shared" si="259"/>
        <v>2200</v>
      </c>
      <c r="E2676" s="52">
        <f t="shared" si="260"/>
        <v>1</v>
      </c>
      <c r="F2676" s="52"/>
      <c r="G2676" s="52"/>
      <c r="H2676" s="52"/>
      <c r="I2676" s="52"/>
      <c r="J2676" s="52"/>
      <c r="K2676" s="52"/>
      <c r="L2676" s="52"/>
      <c r="M2676" s="52"/>
      <c r="N2676" s="52"/>
      <c r="O2676" s="52"/>
      <c r="P2676" s="52"/>
      <c r="Q2676" s="52"/>
      <c r="R2676" s="52"/>
      <c r="S2676" s="52"/>
      <c r="T2676" s="52"/>
      <c r="U2676" s="52"/>
      <c r="V2676" s="52"/>
      <c r="W2676" s="52"/>
      <c r="X2676" s="52"/>
      <c r="Y2676" s="52"/>
      <c r="Z2676" s="52"/>
      <c r="AA2676" s="52"/>
      <c r="AB2676" s="52"/>
      <c r="AC2676" s="52"/>
      <c r="AD2676" s="52"/>
      <c r="AE2676" s="52"/>
      <c r="AF2676" s="52"/>
      <c r="AG2676" s="52"/>
      <c r="AH2676" s="52"/>
      <c r="AI2676" s="52"/>
      <c r="AJ2676" s="52"/>
      <c r="AK2676" s="52"/>
      <c r="AL2676" s="52"/>
      <c r="AM2676" s="52"/>
      <c r="AN2676" s="52"/>
    </row>
    <row r="2677" spans="1:40" x14ac:dyDescent="0.3">
      <c r="A2677" s="52">
        <v>2672</v>
      </c>
      <c r="B2677" s="52">
        <f>-bthan*500+(21+0.5)*bthan*1000/50</f>
        <v>-385</v>
      </c>
      <c r="C2677" s="52">
        <f t="shared" si="262"/>
        <v>270.00000000000023</v>
      </c>
      <c r="D2677" s="52">
        <f t="shared" si="259"/>
        <v>2200</v>
      </c>
      <c r="E2677" s="52">
        <f t="shared" si="260"/>
        <v>1</v>
      </c>
      <c r="F2677" s="52"/>
      <c r="G2677" s="52"/>
      <c r="H2677" s="52"/>
      <c r="I2677" s="52"/>
      <c r="J2677" s="52"/>
      <c r="K2677" s="52"/>
      <c r="L2677" s="52"/>
      <c r="M2677" s="52"/>
      <c r="N2677" s="52"/>
      <c r="O2677" s="52"/>
      <c r="P2677" s="52"/>
      <c r="Q2677" s="52"/>
      <c r="R2677" s="52"/>
      <c r="S2677" s="52"/>
      <c r="T2677" s="52"/>
      <c r="U2677" s="52"/>
      <c r="V2677" s="52"/>
      <c r="W2677" s="52"/>
      <c r="X2677" s="52"/>
      <c r="Y2677" s="52"/>
      <c r="Z2677" s="52"/>
      <c r="AA2677" s="52"/>
      <c r="AB2677" s="52"/>
      <c r="AC2677" s="52"/>
      <c r="AD2677" s="52"/>
      <c r="AE2677" s="52"/>
      <c r="AF2677" s="52"/>
      <c r="AG2677" s="52"/>
      <c r="AH2677" s="52"/>
      <c r="AI2677" s="52"/>
      <c r="AJ2677" s="52"/>
      <c r="AK2677" s="52"/>
      <c r="AL2677" s="52"/>
      <c r="AM2677" s="52"/>
      <c r="AN2677" s="52"/>
    </row>
    <row r="2678" spans="1:40" x14ac:dyDescent="0.3">
      <c r="A2678" s="52">
        <v>2673</v>
      </c>
      <c r="B2678" s="52">
        <f>-bthan*500+(22+0.5)*bthan*1000/50</f>
        <v>-275</v>
      </c>
      <c r="C2678" s="52">
        <f t="shared" si="262"/>
        <v>270.00000000000023</v>
      </c>
      <c r="D2678" s="52">
        <f t="shared" si="259"/>
        <v>2200</v>
      </c>
      <c r="E2678" s="52">
        <f t="shared" si="260"/>
        <v>1</v>
      </c>
      <c r="F2678" s="52"/>
      <c r="G2678" s="52"/>
      <c r="H2678" s="52"/>
      <c r="I2678" s="52"/>
      <c r="J2678" s="52"/>
      <c r="K2678" s="52"/>
      <c r="L2678" s="52"/>
      <c r="M2678" s="52"/>
      <c r="N2678" s="52"/>
      <c r="O2678" s="52"/>
      <c r="P2678" s="52"/>
      <c r="Q2678" s="52"/>
      <c r="R2678" s="52"/>
      <c r="S2678" s="52"/>
      <c r="T2678" s="52"/>
      <c r="U2678" s="52"/>
      <c r="V2678" s="52"/>
      <c r="W2678" s="52"/>
      <c r="X2678" s="52"/>
      <c r="Y2678" s="52"/>
      <c r="Z2678" s="52"/>
      <c r="AA2678" s="52"/>
      <c r="AB2678" s="52"/>
      <c r="AC2678" s="52"/>
      <c r="AD2678" s="52"/>
      <c r="AE2678" s="52"/>
      <c r="AF2678" s="52"/>
      <c r="AG2678" s="52"/>
      <c r="AH2678" s="52"/>
      <c r="AI2678" s="52"/>
      <c r="AJ2678" s="52"/>
      <c r="AK2678" s="52"/>
      <c r="AL2678" s="52"/>
      <c r="AM2678" s="52"/>
      <c r="AN2678" s="52"/>
    </row>
    <row r="2679" spans="1:40" x14ac:dyDescent="0.3">
      <c r="A2679" s="52">
        <v>2674</v>
      </c>
      <c r="B2679" s="52">
        <f>-bthan*500+(23+0.5)*bthan*1000/50</f>
        <v>-165</v>
      </c>
      <c r="C2679" s="52">
        <f t="shared" si="262"/>
        <v>270.00000000000023</v>
      </c>
      <c r="D2679" s="52">
        <f t="shared" si="259"/>
        <v>2200</v>
      </c>
      <c r="E2679" s="52">
        <f t="shared" si="260"/>
        <v>1</v>
      </c>
      <c r="F2679" s="52"/>
      <c r="G2679" s="52"/>
      <c r="H2679" s="52"/>
      <c r="I2679" s="52"/>
      <c r="J2679" s="52"/>
      <c r="K2679" s="52"/>
      <c r="L2679" s="52"/>
      <c r="M2679" s="52"/>
      <c r="N2679" s="52"/>
      <c r="O2679" s="52"/>
      <c r="P2679" s="52"/>
      <c r="Q2679" s="52"/>
      <c r="R2679" s="52"/>
      <c r="S2679" s="52"/>
      <c r="T2679" s="52"/>
      <c r="U2679" s="52"/>
      <c r="V2679" s="52"/>
      <c r="W2679" s="52"/>
      <c r="X2679" s="52"/>
      <c r="Y2679" s="52"/>
      <c r="Z2679" s="52"/>
      <c r="AA2679" s="52"/>
      <c r="AB2679" s="52"/>
      <c r="AC2679" s="52"/>
      <c r="AD2679" s="52"/>
      <c r="AE2679" s="52"/>
      <c r="AF2679" s="52"/>
      <c r="AG2679" s="52"/>
      <c r="AH2679" s="52"/>
      <c r="AI2679" s="52"/>
      <c r="AJ2679" s="52"/>
      <c r="AK2679" s="52"/>
      <c r="AL2679" s="52"/>
      <c r="AM2679" s="52"/>
      <c r="AN2679" s="52"/>
    </row>
    <row r="2680" spans="1:40" x14ac:dyDescent="0.3">
      <c r="A2680" s="52">
        <v>2675</v>
      </c>
      <c r="B2680" s="52">
        <f>-bthan*500+(24+0.5)*bthan*1000/50</f>
        <v>-55</v>
      </c>
      <c r="C2680" s="52">
        <f t="shared" si="262"/>
        <v>270.00000000000023</v>
      </c>
      <c r="D2680" s="52">
        <f t="shared" si="259"/>
        <v>2200</v>
      </c>
      <c r="E2680" s="52">
        <f t="shared" si="260"/>
        <v>1</v>
      </c>
      <c r="F2680" s="52"/>
      <c r="G2680" s="52"/>
      <c r="H2680" s="52"/>
      <c r="I2680" s="52"/>
      <c r="J2680" s="52"/>
      <c r="K2680" s="52"/>
      <c r="L2680" s="52"/>
      <c r="M2680" s="52"/>
      <c r="N2680" s="52"/>
      <c r="O2680" s="52"/>
      <c r="P2680" s="52"/>
      <c r="Q2680" s="52"/>
      <c r="R2680" s="52"/>
      <c r="S2680" s="52"/>
      <c r="T2680" s="52"/>
      <c r="U2680" s="52"/>
      <c r="V2680" s="52"/>
      <c r="W2680" s="52"/>
      <c r="X2680" s="52"/>
      <c r="Y2680" s="52"/>
      <c r="Z2680" s="52"/>
      <c r="AA2680" s="52"/>
      <c r="AB2680" s="52"/>
      <c r="AC2680" s="52"/>
      <c r="AD2680" s="52"/>
      <c r="AE2680" s="52"/>
      <c r="AF2680" s="52"/>
      <c r="AG2680" s="52"/>
      <c r="AH2680" s="52"/>
      <c r="AI2680" s="52"/>
      <c r="AJ2680" s="52"/>
      <c r="AK2680" s="52"/>
      <c r="AL2680" s="52"/>
      <c r="AM2680" s="52"/>
      <c r="AN2680" s="52"/>
    </row>
    <row r="2681" spans="1:40" x14ac:dyDescent="0.3">
      <c r="A2681" s="52">
        <v>2676</v>
      </c>
      <c r="B2681" s="52">
        <f>-bthan*500+(25+0.5)*bthan*1000/50</f>
        <v>55</v>
      </c>
      <c r="C2681" s="52">
        <f t="shared" si="262"/>
        <v>270.00000000000023</v>
      </c>
      <c r="D2681" s="52">
        <f t="shared" si="259"/>
        <v>2200</v>
      </c>
      <c r="E2681" s="52">
        <f t="shared" si="260"/>
        <v>1</v>
      </c>
      <c r="F2681" s="52"/>
      <c r="G2681" s="52"/>
      <c r="H2681" s="52"/>
      <c r="I2681" s="52"/>
      <c r="J2681" s="52"/>
      <c r="K2681" s="52"/>
      <c r="L2681" s="52"/>
      <c r="M2681" s="52"/>
      <c r="N2681" s="52"/>
      <c r="O2681" s="52"/>
      <c r="P2681" s="52"/>
      <c r="Q2681" s="52"/>
      <c r="R2681" s="52"/>
      <c r="S2681" s="52"/>
      <c r="T2681" s="52"/>
      <c r="U2681" s="52"/>
      <c r="V2681" s="52"/>
      <c r="W2681" s="52"/>
      <c r="X2681" s="52"/>
      <c r="Y2681" s="52"/>
      <c r="Z2681" s="52"/>
      <c r="AA2681" s="52"/>
      <c r="AB2681" s="52"/>
      <c r="AC2681" s="52"/>
      <c r="AD2681" s="52"/>
      <c r="AE2681" s="52"/>
      <c r="AF2681" s="52"/>
      <c r="AG2681" s="52"/>
      <c r="AH2681" s="52"/>
      <c r="AI2681" s="52"/>
      <c r="AJ2681" s="52"/>
      <c r="AK2681" s="52"/>
      <c r="AL2681" s="52"/>
      <c r="AM2681" s="52"/>
      <c r="AN2681" s="52"/>
    </row>
    <row r="2682" spans="1:40" x14ac:dyDescent="0.3">
      <c r="A2682" s="52">
        <v>2677</v>
      </c>
      <c r="B2682" s="52">
        <f>-bthan*500+(26+0.5)*bthan*1000/50</f>
        <v>165</v>
      </c>
      <c r="C2682" s="52">
        <f t="shared" si="262"/>
        <v>270.00000000000023</v>
      </c>
      <c r="D2682" s="52">
        <f t="shared" si="259"/>
        <v>2200</v>
      </c>
      <c r="E2682" s="52">
        <f t="shared" si="260"/>
        <v>1</v>
      </c>
      <c r="F2682" s="52"/>
      <c r="G2682" s="52"/>
      <c r="H2682" s="52"/>
      <c r="I2682" s="52"/>
      <c r="J2682" s="52"/>
      <c r="K2682" s="52"/>
      <c r="L2682" s="52"/>
      <c r="M2682" s="52"/>
      <c r="N2682" s="52"/>
      <c r="O2682" s="52"/>
      <c r="P2682" s="52"/>
      <c r="Q2682" s="52"/>
      <c r="R2682" s="52"/>
      <c r="S2682" s="52"/>
      <c r="T2682" s="52"/>
      <c r="U2682" s="52"/>
      <c r="V2682" s="52"/>
      <c r="W2682" s="52"/>
      <c r="X2682" s="52"/>
      <c r="Y2682" s="52"/>
      <c r="Z2682" s="52"/>
      <c r="AA2682" s="52"/>
      <c r="AB2682" s="52"/>
      <c r="AC2682" s="52"/>
      <c r="AD2682" s="52"/>
      <c r="AE2682" s="52"/>
      <c r="AF2682" s="52"/>
      <c r="AG2682" s="52"/>
      <c r="AH2682" s="52"/>
      <c r="AI2682" s="52"/>
      <c r="AJ2682" s="52"/>
      <c r="AK2682" s="52"/>
      <c r="AL2682" s="52"/>
      <c r="AM2682" s="52"/>
      <c r="AN2682" s="52"/>
    </row>
    <row r="2683" spans="1:40" x14ac:dyDescent="0.3">
      <c r="A2683" s="52">
        <v>2678</v>
      </c>
      <c r="B2683" s="52">
        <f>-bthan*500+(27+0.5)*bthan*1000/50</f>
        <v>275</v>
      </c>
      <c r="C2683" s="52">
        <f t="shared" si="262"/>
        <v>270.00000000000023</v>
      </c>
      <c r="D2683" s="52">
        <f t="shared" si="259"/>
        <v>2200</v>
      </c>
      <c r="E2683" s="52">
        <f t="shared" si="260"/>
        <v>1</v>
      </c>
      <c r="F2683" s="52"/>
      <c r="G2683" s="52"/>
      <c r="H2683" s="52"/>
      <c r="I2683" s="52"/>
      <c r="J2683" s="52"/>
      <c r="K2683" s="52"/>
      <c r="L2683" s="52"/>
      <c r="M2683" s="52"/>
      <c r="N2683" s="52"/>
      <c r="O2683" s="52"/>
      <c r="P2683" s="52"/>
      <c r="Q2683" s="52"/>
      <c r="R2683" s="52"/>
      <c r="S2683" s="52"/>
      <c r="T2683" s="52"/>
      <c r="U2683" s="52"/>
      <c r="V2683" s="52"/>
      <c r="W2683" s="52"/>
      <c r="X2683" s="52"/>
      <c r="Y2683" s="52"/>
      <c r="Z2683" s="52"/>
      <c r="AA2683" s="52"/>
      <c r="AB2683" s="52"/>
      <c r="AC2683" s="52"/>
      <c r="AD2683" s="52"/>
      <c r="AE2683" s="52"/>
      <c r="AF2683" s="52"/>
      <c r="AG2683" s="52"/>
      <c r="AH2683" s="52"/>
      <c r="AI2683" s="52"/>
      <c r="AJ2683" s="52"/>
      <c r="AK2683" s="52"/>
      <c r="AL2683" s="52"/>
      <c r="AM2683" s="52"/>
      <c r="AN2683" s="52"/>
    </row>
    <row r="2684" spans="1:40" x14ac:dyDescent="0.3">
      <c r="A2684" s="52">
        <v>2679</v>
      </c>
      <c r="B2684" s="52">
        <f>-bthan*500+(28+0.5)*bthan*1000/50</f>
        <v>385</v>
      </c>
      <c r="C2684" s="52">
        <f t="shared" si="262"/>
        <v>270.00000000000023</v>
      </c>
      <c r="D2684" s="52">
        <f t="shared" si="259"/>
        <v>2200</v>
      </c>
      <c r="E2684" s="52">
        <f t="shared" si="260"/>
        <v>1</v>
      </c>
      <c r="F2684" s="52"/>
      <c r="G2684" s="52"/>
      <c r="H2684" s="52"/>
      <c r="I2684" s="52"/>
      <c r="J2684" s="52"/>
      <c r="K2684" s="52"/>
      <c r="L2684" s="52"/>
      <c r="M2684" s="52"/>
      <c r="N2684" s="52"/>
      <c r="O2684" s="52"/>
      <c r="P2684" s="52"/>
      <c r="Q2684" s="52"/>
      <c r="R2684" s="52"/>
      <c r="S2684" s="52"/>
      <c r="T2684" s="52"/>
      <c r="U2684" s="52"/>
      <c r="V2684" s="52"/>
      <c r="W2684" s="52"/>
      <c r="X2684" s="52"/>
      <c r="Y2684" s="52"/>
      <c r="Z2684" s="52"/>
      <c r="AA2684" s="52"/>
      <c r="AB2684" s="52"/>
      <c r="AC2684" s="52"/>
      <c r="AD2684" s="52"/>
      <c r="AE2684" s="52"/>
      <c r="AF2684" s="52"/>
      <c r="AG2684" s="52"/>
      <c r="AH2684" s="52"/>
      <c r="AI2684" s="52"/>
      <c r="AJ2684" s="52"/>
      <c r="AK2684" s="52"/>
      <c r="AL2684" s="52"/>
      <c r="AM2684" s="52"/>
      <c r="AN2684" s="52"/>
    </row>
    <row r="2685" spans="1:40" x14ac:dyDescent="0.3">
      <c r="A2685" s="52">
        <v>2680</v>
      </c>
      <c r="B2685" s="52">
        <f>-bthan*500+(29+0.5)*bthan*1000/50</f>
        <v>495</v>
      </c>
      <c r="C2685" s="52">
        <f t="shared" si="262"/>
        <v>270.00000000000023</v>
      </c>
      <c r="D2685" s="52">
        <f t="shared" si="259"/>
        <v>2200</v>
      </c>
      <c r="E2685" s="52">
        <f t="shared" si="260"/>
        <v>1</v>
      </c>
      <c r="F2685" s="52"/>
      <c r="G2685" s="52"/>
      <c r="H2685" s="52"/>
      <c r="I2685" s="52"/>
      <c r="J2685" s="52"/>
      <c r="K2685" s="52"/>
      <c r="L2685" s="52"/>
      <c r="M2685" s="52"/>
      <c r="N2685" s="52"/>
      <c r="O2685" s="52"/>
      <c r="P2685" s="52"/>
      <c r="Q2685" s="52"/>
      <c r="R2685" s="52"/>
      <c r="S2685" s="52"/>
      <c r="T2685" s="52"/>
      <c r="U2685" s="52"/>
      <c r="V2685" s="52"/>
      <c r="W2685" s="52"/>
      <c r="X2685" s="52"/>
      <c r="Y2685" s="52"/>
      <c r="Z2685" s="52"/>
      <c r="AA2685" s="52"/>
      <c r="AB2685" s="52"/>
      <c r="AC2685" s="52"/>
      <c r="AD2685" s="52"/>
      <c r="AE2685" s="52"/>
      <c r="AF2685" s="52"/>
      <c r="AG2685" s="52"/>
      <c r="AH2685" s="52"/>
      <c r="AI2685" s="52"/>
      <c r="AJ2685" s="52"/>
      <c r="AK2685" s="52"/>
      <c r="AL2685" s="52"/>
      <c r="AM2685" s="52"/>
      <c r="AN2685" s="52"/>
    </row>
    <row r="2686" spans="1:40" x14ac:dyDescent="0.3">
      <c r="A2686" s="52">
        <v>2681</v>
      </c>
      <c r="B2686" s="52">
        <f>-bthan*500+(30+0.5)*bthan*1000/50</f>
        <v>605</v>
      </c>
      <c r="C2686" s="52">
        <f t="shared" si="262"/>
        <v>270.00000000000023</v>
      </c>
      <c r="D2686" s="52">
        <f t="shared" si="259"/>
        <v>2200</v>
      </c>
      <c r="E2686" s="52">
        <f t="shared" si="260"/>
        <v>1</v>
      </c>
      <c r="F2686" s="52"/>
      <c r="G2686" s="52"/>
      <c r="H2686" s="52"/>
      <c r="I2686" s="52"/>
      <c r="J2686" s="52"/>
      <c r="K2686" s="52"/>
      <c r="L2686" s="52"/>
      <c r="M2686" s="52"/>
      <c r="N2686" s="52"/>
      <c r="O2686" s="52"/>
      <c r="P2686" s="52"/>
      <c r="Q2686" s="52"/>
      <c r="R2686" s="52"/>
      <c r="S2686" s="52"/>
      <c r="T2686" s="52"/>
      <c r="U2686" s="52"/>
      <c r="V2686" s="52"/>
      <c r="W2686" s="52"/>
      <c r="X2686" s="52"/>
      <c r="Y2686" s="52"/>
      <c r="Z2686" s="52"/>
      <c r="AA2686" s="52"/>
      <c r="AB2686" s="52"/>
      <c r="AC2686" s="52"/>
      <c r="AD2686" s="52"/>
      <c r="AE2686" s="52"/>
      <c r="AF2686" s="52"/>
      <c r="AG2686" s="52"/>
      <c r="AH2686" s="52"/>
      <c r="AI2686" s="52"/>
      <c r="AJ2686" s="52"/>
      <c r="AK2686" s="52"/>
      <c r="AL2686" s="52"/>
      <c r="AM2686" s="52"/>
      <c r="AN2686" s="52"/>
    </row>
    <row r="2687" spans="1:40" x14ac:dyDescent="0.3">
      <c r="A2687" s="52">
        <v>2682</v>
      </c>
      <c r="B2687" s="52">
        <f>-bthan*500+(31+0.5)*bthan*1000/50</f>
        <v>715</v>
      </c>
      <c r="C2687" s="52">
        <f t="shared" si="262"/>
        <v>270.00000000000023</v>
      </c>
      <c r="D2687" s="52">
        <f t="shared" si="259"/>
        <v>2200</v>
      </c>
      <c r="E2687" s="52">
        <f t="shared" si="260"/>
        <v>1</v>
      </c>
      <c r="F2687" s="52"/>
      <c r="G2687" s="52"/>
      <c r="H2687" s="52"/>
      <c r="I2687" s="52"/>
      <c r="J2687" s="52"/>
      <c r="K2687" s="52"/>
      <c r="L2687" s="52"/>
      <c r="M2687" s="52"/>
      <c r="N2687" s="52"/>
      <c r="O2687" s="52"/>
      <c r="P2687" s="52"/>
      <c r="Q2687" s="52"/>
      <c r="R2687" s="52"/>
      <c r="S2687" s="52"/>
      <c r="T2687" s="52"/>
      <c r="U2687" s="52"/>
      <c r="V2687" s="52"/>
      <c r="W2687" s="52"/>
      <c r="X2687" s="52"/>
      <c r="Y2687" s="52"/>
      <c r="Z2687" s="52"/>
      <c r="AA2687" s="52"/>
      <c r="AB2687" s="52"/>
      <c r="AC2687" s="52"/>
      <c r="AD2687" s="52"/>
      <c r="AE2687" s="52"/>
      <c r="AF2687" s="52"/>
      <c r="AG2687" s="52"/>
      <c r="AH2687" s="52"/>
      <c r="AI2687" s="52"/>
      <c r="AJ2687" s="52"/>
      <c r="AK2687" s="52"/>
      <c r="AL2687" s="52"/>
      <c r="AM2687" s="52"/>
      <c r="AN2687" s="52"/>
    </row>
    <row r="2688" spans="1:40" x14ac:dyDescent="0.3">
      <c r="A2688" s="52">
        <v>2683</v>
      </c>
      <c r="B2688" s="52">
        <f>-bthan*500+(32+0.5)*bthan*1000/50</f>
        <v>825</v>
      </c>
      <c r="C2688" s="52">
        <f t="shared" ref="C2688:C2705" si="263">-hthan*500+(53+0.5)*hthan*1000/80</f>
        <v>270.00000000000023</v>
      </c>
      <c r="D2688" s="52">
        <f t="shared" si="259"/>
        <v>2200</v>
      </c>
      <c r="E2688" s="52">
        <f t="shared" si="260"/>
        <v>1</v>
      </c>
      <c r="F2688" s="52"/>
      <c r="G2688" s="52"/>
      <c r="H2688" s="52"/>
      <c r="I2688" s="52"/>
      <c r="J2688" s="52"/>
      <c r="K2688" s="52"/>
      <c r="L2688" s="52"/>
      <c r="M2688" s="52"/>
      <c r="N2688" s="52"/>
      <c r="O2688" s="52"/>
      <c r="P2688" s="52"/>
      <c r="Q2688" s="52"/>
      <c r="R2688" s="52"/>
      <c r="S2688" s="52"/>
      <c r="T2688" s="52"/>
      <c r="U2688" s="52"/>
      <c r="V2688" s="52"/>
      <c r="W2688" s="52"/>
      <c r="X2688" s="52"/>
      <c r="Y2688" s="52"/>
      <c r="Z2688" s="52"/>
      <c r="AA2688" s="52"/>
      <c r="AB2688" s="52"/>
      <c r="AC2688" s="52"/>
      <c r="AD2688" s="52"/>
      <c r="AE2688" s="52"/>
      <c r="AF2688" s="52"/>
      <c r="AG2688" s="52"/>
      <c r="AH2688" s="52"/>
      <c r="AI2688" s="52"/>
      <c r="AJ2688" s="52"/>
      <c r="AK2688" s="52"/>
      <c r="AL2688" s="52"/>
      <c r="AM2688" s="52"/>
      <c r="AN2688" s="52"/>
    </row>
    <row r="2689" spans="1:40" x14ac:dyDescent="0.3">
      <c r="A2689" s="52">
        <v>2684</v>
      </c>
      <c r="B2689" s="52">
        <f>-bthan*500+(33+0.5)*bthan*1000/50</f>
        <v>935</v>
      </c>
      <c r="C2689" s="52">
        <f t="shared" si="263"/>
        <v>270.00000000000023</v>
      </c>
      <c r="D2689" s="52">
        <f t="shared" si="259"/>
        <v>2200</v>
      </c>
      <c r="E2689" s="52">
        <f t="shared" si="260"/>
        <v>1</v>
      </c>
      <c r="F2689" s="52"/>
      <c r="G2689" s="52"/>
      <c r="H2689" s="52"/>
      <c r="I2689" s="52"/>
      <c r="J2689" s="52"/>
      <c r="K2689" s="52"/>
      <c r="L2689" s="52"/>
      <c r="M2689" s="52"/>
      <c r="N2689" s="52"/>
      <c r="O2689" s="52"/>
      <c r="P2689" s="52"/>
      <c r="Q2689" s="52"/>
      <c r="R2689" s="52"/>
      <c r="S2689" s="52"/>
      <c r="T2689" s="52"/>
      <c r="U2689" s="52"/>
      <c r="V2689" s="52"/>
      <c r="W2689" s="52"/>
      <c r="X2689" s="52"/>
      <c r="Y2689" s="52"/>
      <c r="Z2689" s="52"/>
      <c r="AA2689" s="52"/>
      <c r="AB2689" s="52"/>
      <c r="AC2689" s="52"/>
      <c r="AD2689" s="52"/>
      <c r="AE2689" s="52"/>
      <c r="AF2689" s="52"/>
      <c r="AG2689" s="52"/>
      <c r="AH2689" s="52"/>
      <c r="AI2689" s="52"/>
      <c r="AJ2689" s="52"/>
      <c r="AK2689" s="52"/>
      <c r="AL2689" s="52"/>
      <c r="AM2689" s="52"/>
      <c r="AN2689" s="52"/>
    </row>
    <row r="2690" spans="1:40" x14ac:dyDescent="0.3">
      <c r="A2690" s="52">
        <v>2685</v>
      </c>
      <c r="B2690" s="52">
        <f>-bthan*500+(34+0.5)*bthan*1000/50</f>
        <v>1045</v>
      </c>
      <c r="C2690" s="52">
        <f t="shared" si="263"/>
        <v>270.00000000000023</v>
      </c>
      <c r="D2690" s="52">
        <f t="shared" si="259"/>
        <v>2200</v>
      </c>
      <c r="E2690" s="52">
        <f t="shared" si="260"/>
        <v>1</v>
      </c>
      <c r="F2690" s="52"/>
      <c r="G2690" s="52"/>
      <c r="H2690" s="52"/>
      <c r="I2690" s="52"/>
      <c r="J2690" s="52"/>
      <c r="K2690" s="52"/>
      <c r="L2690" s="52"/>
      <c r="M2690" s="52"/>
      <c r="N2690" s="52"/>
      <c r="O2690" s="52"/>
      <c r="P2690" s="52"/>
      <c r="Q2690" s="52"/>
      <c r="R2690" s="52"/>
      <c r="S2690" s="52"/>
      <c r="T2690" s="52"/>
      <c r="U2690" s="52"/>
      <c r="V2690" s="52"/>
      <c r="W2690" s="52"/>
      <c r="X2690" s="52"/>
      <c r="Y2690" s="52"/>
      <c r="Z2690" s="52"/>
      <c r="AA2690" s="52"/>
      <c r="AB2690" s="52"/>
      <c r="AC2690" s="52"/>
      <c r="AD2690" s="52"/>
      <c r="AE2690" s="52"/>
      <c r="AF2690" s="52"/>
      <c r="AG2690" s="52"/>
      <c r="AH2690" s="52"/>
      <c r="AI2690" s="52"/>
      <c r="AJ2690" s="52"/>
      <c r="AK2690" s="52"/>
      <c r="AL2690" s="52"/>
      <c r="AM2690" s="52"/>
      <c r="AN2690" s="52"/>
    </row>
    <row r="2691" spans="1:40" x14ac:dyDescent="0.3">
      <c r="A2691" s="52">
        <v>2686</v>
      </c>
      <c r="B2691" s="52">
        <f>-bthan*500+(35+0.5)*bthan*1000/50</f>
        <v>1155</v>
      </c>
      <c r="C2691" s="52">
        <f t="shared" si="263"/>
        <v>270.00000000000023</v>
      </c>
      <c r="D2691" s="52">
        <f t="shared" si="259"/>
        <v>2200</v>
      </c>
      <c r="E2691" s="52">
        <f t="shared" si="260"/>
        <v>1</v>
      </c>
      <c r="F2691" s="52"/>
      <c r="G2691" s="52"/>
      <c r="H2691" s="52"/>
      <c r="I2691" s="52"/>
      <c r="J2691" s="52"/>
      <c r="K2691" s="52"/>
      <c r="L2691" s="52"/>
      <c r="M2691" s="52"/>
      <c r="N2691" s="52"/>
      <c r="O2691" s="52"/>
      <c r="P2691" s="52"/>
      <c r="Q2691" s="52"/>
      <c r="R2691" s="52"/>
      <c r="S2691" s="52"/>
      <c r="T2691" s="52"/>
      <c r="U2691" s="52"/>
      <c r="V2691" s="52"/>
      <c r="W2691" s="52"/>
      <c r="X2691" s="52"/>
      <c r="Y2691" s="52"/>
      <c r="Z2691" s="52"/>
      <c r="AA2691" s="52"/>
      <c r="AB2691" s="52"/>
      <c r="AC2691" s="52"/>
      <c r="AD2691" s="52"/>
      <c r="AE2691" s="52"/>
      <c r="AF2691" s="52"/>
      <c r="AG2691" s="52"/>
      <c r="AH2691" s="52"/>
      <c r="AI2691" s="52"/>
      <c r="AJ2691" s="52"/>
      <c r="AK2691" s="52"/>
      <c r="AL2691" s="52"/>
      <c r="AM2691" s="52"/>
      <c r="AN2691" s="52"/>
    </row>
    <row r="2692" spans="1:40" x14ac:dyDescent="0.3">
      <c r="A2692" s="52">
        <v>2687</v>
      </c>
      <c r="B2692" s="52">
        <f>-bthan*500+(36+0.5)*bthan*1000/50</f>
        <v>1265</v>
      </c>
      <c r="C2692" s="52">
        <f t="shared" si="263"/>
        <v>270.00000000000023</v>
      </c>
      <c r="D2692" s="52">
        <f t="shared" si="259"/>
        <v>2200</v>
      </c>
      <c r="E2692" s="52">
        <f t="shared" si="260"/>
        <v>1</v>
      </c>
      <c r="F2692" s="52"/>
      <c r="G2692" s="52"/>
      <c r="H2692" s="52"/>
      <c r="I2692" s="52"/>
      <c r="J2692" s="52"/>
      <c r="K2692" s="52"/>
      <c r="L2692" s="52"/>
      <c r="M2692" s="52"/>
      <c r="N2692" s="52"/>
      <c r="O2692" s="52"/>
      <c r="P2692" s="52"/>
      <c r="Q2692" s="52"/>
      <c r="R2692" s="52"/>
      <c r="S2692" s="52"/>
      <c r="T2692" s="52"/>
      <c r="U2692" s="52"/>
      <c r="V2692" s="52"/>
      <c r="W2692" s="52"/>
      <c r="X2692" s="52"/>
      <c r="Y2692" s="52"/>
      <c r="Z2692" s="52"/>
      <c r="AA2692" s="52"/>
      <c r="AB2692" s="52"/>
      <c r="AC2692" s="52"/>
      <c r="AD2692" s="52"/>
      <c r="AE2692" s="52"/>
      <c r="AF2692" s="52"/>
      <c r="AG2692" s="52"/>
      <c r="AH2692" s="52"/>
      <c r="AI2692" s="52"/>
      <c r="AJ2692" s="52"/>
      <c r="AK2692" s="52"/>
      <c r="AL2692" s="52"/>
      <c r="AM2692" s="52"/>
      <c r="AN2692" s="52"/>
    </row>
    <row r="2693" spans="1:40" x14ac:dyDescent="0.3">
      <c r="A2693" s="52">
        <v>2688</v>
      </c>
      <c r="B2693" s="52">
        <f>-bthan*500+(37+0.5)*bthan*1000/50</f>
        <v>1375</v>
      </c>
      <c r="C2693" s="52">
        <f t="shared" si="263"/>
        <v>270.00000000000023</v>
      </c>
      <c r="D2693" s="52">
        <f t="shared" si="259"/>
        <v>2200</v>
      </c>
      <c r="E2693" s="52">
        <f t="shared" si="260"/>
        <v>1</v>
      </c>
      <c r="F2693" s="52"/>
      <c r="G2693" s="52"/>
      <c r="H2693" s="52"/>
      <c r="I2693" s="52"/>
      <c r="J2693" s="52"/>
      <c r="K2693" s="52"/>
      <c r="L2693" s="52"/>
      <c r="M2693" s="52"/>
      <c r="N2693" s="52"/>
      <c r="O2693" s="52"/>
      <c r="P2693" s="52"/>
      <c r="Q2693" s="52"/>
      <c r="R2693" s="52"/>
      <c r="S2693" s="52"/>
      <c r="T2693" s="52"/>
      <c r="U2693" s="52"/>
      <c r="V2693" s="52"/>
      <c r="W2693" s="52"/>
      <c r="X2693" s="52"/>
      <c r="Y2693" s="52"/>
      <c r="Z2693" s="52"/>
      <c r="AA2693" s="52"/>
      <c r="AB2693" s="52"/>
      <c r="AC2693" s="52"/>
      <c r="AD2693" s="52"/>
      <c r="AE2693" s="52"/>
      <c r="AF2693" s="52"/>
      <c r="AG2693" s="52"/>
      <c r="AH2693" s="52"/>
      <c r="AI2693" s="52"/>
      <c r="AJ2693" s="52"/>
      <c r="AK2693" s="52"/>
      <c r="AL2693" s="52"/>
      <c r="AM2693" s="52"/>
      <c r="AN2693" s="52"/>
    </row>
    <row r="2694" spans="1:40" x14ac:dyDescent="0.3">
      <c r="A2694" s="52">
        <v>2689</v>
      </c>
      <c r="B2694" s="52">
        <f>-bthan*500+(38+0.5)*bthan*1000/50</f>
        <v>1485</v>
      </c>
      <c r="C2694" s="52">
        <f t="shared" si="263"/>
        <v>270.00000000000023</v>
      </c>
      <c r="D2694" s="52">
        <f t="shared" ref="D2694:D2757" si="264">bthan*1000/50*hthan*1000/80</f>
        <v>2200</v>
      </c>
      <c r="E2694" s="52">
        <f t="shared" ref="E2694:E2757" si="265">IF(shp=1,--(OR(ABS(B2694)&lt;=MAX(0,(bthan-hthan)*500),(ABS(B2694)-MAX(0,(bthan-hthan)*500))^2+C2694^2&lt;=(hthan*500)^2)),--(AND(ABS(B2694)&lt;=bthan*500,ABS(C2694)&lt;=hthan*500,OR(ABS(B2694)&lt;=bthan*500-cch*1000,ABS(C2694)&lt;=hthan*500-cch*1000,(bthan*500-ABS(B2694))+(hthan*500-ABS(C2694))&gt;=cch*1000))))</f>
        <v>1</v>
      </c>
      <c r="F2694" s="52"/>
      <c r="G2694" s="52"/>
      <c r="H2694" s="52"/>
      <c r="I2694" s="52"/>
      <c r="J2694" s="52"/>
      <c r="K2694" s="52"/>
      <c r="L2694" s="52"/>
      <c r="M2694" s="52"/>
      <c r="N2694" s="52"/>
      <c r="O2694" s="52"/>
      <c r="P2694" s="52"/>
      <c r="Q2694" s="52"/>
      <c r="R2694" s="52"/>
      <c r="S2694" s="52"/>
      <c r="T2694" s="52"/>
      <c r="U2694" s="52"/>
      <c r="V2694" s="52"/>
      <c r="W2694" s="52"/>
      <c r="X2694" s="52"/>
      <c r="Y2694" s="52"/>
      <c r="Z2694" s="52"/>
      <c r="AA2694" s="52"/>
      <c r="AB2694" s="52"/>
      <c r="AC2694" s="52"/>
      <c r="AD2694" s="52"/>
      <c r="AE2694" s="52"/>
      <c r="AF2694" s="52"/>
      <c r="AG2694" s="52"/>
      <c r="AH2694" s="52"/>
      <c r="AI2694" s="52"/>
      <c r="AJ2694" s="52"/>
      <c r="AK2694" s="52"/>
      <c r="AL2694" s="52"/>
      <c r="AM2694" s="52"/>
      <c r="AN2694" s="52"/>
    </row>
    <row r="2695" spans="1:40" x14ac:dyDescent="0.3">
      <c r="A2695" s="52">
        <v>2690</v>
      </c>
      <c r="B2695" s="52">
        <f>-bthan*500+(39+0.5)*bthan*1000/50</f>
        <v>1595</v>
      </c>
      <c r="C2695" s="52">
        <f t="shared" si="263"/>
        <v>270.00000000000023</v>
      </c>
      <c r="D2695" s="52">
        <f t="shared" si="264"/>
        <v>2200</v>
      </c>
      <c r="E2695" s="52">
        <f t="shared" si="265"/>
        <v>1</v>
      </c>
      <c r="F2695" s="52"/>
      <c r="G2695" s="52"/>
      <c r="H2695" s="52"/>
      <c r="I2695" s="52"/>
      <c r="J2695" s="52"/>
      <c r="K2695" s="52"/>
      <c r="L2695" s="52"/>
      <c r="M2695" s="52"/>
      <c r="N2695" s="52"/>
      <c r="O2695" s="52"/>
      <c r="P2695" s="52"/>
      <c r="Q2695" s="52"/>
      <c r="R2695" s="52"/>
      <c r="S2695" s="52"/>
      <c r="T2695" s="52"/>
      <c r="U2695" s="52"/>
      <c r="V2695" s="52"/>
      <c r="W2695" s="52"/>
      <c r="X2695" s="52"/>
      <c r="Y2695" s="52"/>
      <c r="Z2695" s="52"/>
      <c r="AA2695" s="52"/>
      <c r="AB2695" s="52"/>
      <c r="AC2695" s="52"/>
      <c r="AD2695" s="52"/>
      <c r="AE2695" s="52"/>
      <c r="AF2695" s="52"/>
      <c r="AG2695" s="52"/>
      <c r="AH2695" s="52"/>
      <c r="AI2695" s="52"/>
      <c r="AJ2695" s="52"/>
      <c r="AK2695" s="52"/>
      <c r="AL2695" s="52"/>
      <c r="AM2695" s="52"/>
      <c r="AN2695" s="52"/>
    </row>
    <row r="2696" spans="1:40" x14ac:dyDescent="0.3">
      <c r="A2696" s="52">
        <v>2691</v>
      </c>
      <c r="B2696" s="52">
        <f>-bthan*500+(40+0.5)*bthan*1000/50</f>
        <v>1705</v>
      </c>
      <c r="C2696" s="52">
        <f t="shared" si="263"/>
        <v>270.00000000000023</v>
      </c>
      <c r="D2696" s="52">
        <f t="shared" si="264"/>
        <v>2200</v>
      </c>
      <c r="E2696" s="52">
        <f t="shared" si="265"/>
        <v>1</v>
      </c>
      <c r="F2696" s="52"/>
      <c r="G2696" s="52"/>
      <c r="H2696" s="52"/>
      <c r="I2696" s="52"/>
      <c r="J2696" s="52"/>
      <c r="K2696" s="52"/>
      <c r="L2696" s="52"/>
      <c r="M2696" s="52"/>
      <c r="N2696" s="52"/>
      <c r="O2696" s="52"/>
      <c r="P2696" s="52"/>
      <c r="Q2696" s="52"/>
      <c r="R2696" s="52"/>
      <c r="S2696" s="52"/>
      <c r="T2696" s="52"/>
      <c r="U2696" s="52"/>
      <c r="V2696" s="52"/>
      <c r="W2696" s="52"/>
      <c r="X2696" s="52"/>
      <c r="Y2696" s="52"/>
      <c r="Z2696" s="52"/>
      <c r="AA2696" s="52"/>
      <c r="AB2696" s="52"/>
      <c r="AC2696" s="52"/>
      <c r="AD2696" s="52"/>
      <c r="AE2696" s="52"/>
      <c r="AF2696" s="52"/>
      <c r="AG2696" s="52"/>
      <c r="AH2696" s="52"/>
      <c r="AI2696" s="52"/>
      <c r="AJ2696" s="52"/>
      <c r="AK2696" s="52"/>
      <c r="AL2696" s="52"/>
      <c r="AM2696" s="52"/>
      <c r="AN2696" s="52"/>
    </row>
    <row r="2697" spans="1:40" x14ac:dyDescent="0.3">
      <c r="A2697" s="52">
        <v>2692</v>
      </c>
      <c r="B2697" s="52">
        <f>-bthan*500+(41+0.5)*bthan*1000/50</f>
        <v>1815</v>
      </c>
      <c r="C2697" s="52">
        <f t="shared" si="263"/>
        <v>270.00000000000023</v>
      </c>
      <c r="D2697" s="52">
        <f t="shared" si="264"/>
        <v>2200</v>
      </c>
      <c r="E2697" s="52">
        <f t="shared" si="265"/>
        <v>1</v>
      </c>
      <c r="F2697" s="52"/>
      <c r="G2697" s="52"/>
      <c r="H2697" s="52"/>
      <c r="I2697" s="52"/>
      <c r="J2697" s="52"/>
      <c r="K2697" s="52"/>
      <c r="L2697" s="52"/>
      <c r="M2697" s="52"/>
      <c r="N2697" s="52"/>
      <c r="O2697" s="52"/>
      <c r="P2697" s="52"/>
      <c r="Q2697" s="52"/>
      <c r="R2697" s="52"/>
      <c r="S2697" s="52"/>
      <c r="T2697" s="52"/>
      <c r="U2697" s="52"/>
      <c r="V2697" s="52"/>
      <c r="W2697" s="52"/>
      <c r="X2697" s="52"/>
      <c r="Y2697" s="52"/>
      <c r="Z2697" s="52"/>
      <c r="AA2697" s="52"/>
      <c r="AB2697" s="52"/>
      <c r="AC2697" s="52"/>
      <c r="AD2697" s="52"/>
      <c r="AE2697" s="52"/>
      <c r="AF2697" s="52"/>
      <c r="AG2697" s="52"/>
      <c r="AH2697" s="52"/>
      <c r="AI2697" s="52"/>
      <c r="AJ2697" s="52"/>
      <c r="AK2697" s="52"/>
      <c r="AL2697" s="52"/>
      <c r="AM2697" s="52"/>
      <c r="AN2697" s="52"/>
    </row>
    <row r="2698" spans="1:40" x14ac:dyDescent="0.3">
      <c r="A2698" s="52">
        <v>2693</v>
      </c>
      <c r="B2698" s="52">
        <f>-bthan*500+(42+0.5)*bthan*1000/50</f>
        <v>1925</v>
      </c>
      <c r="C2698" s="52">
        <f t="shared" si="263"/>
        <v>270.00000000000023</v>
      </c>
      <c r="D2698" s="52">
        <f t="shared" si="264"/>
        <v>2200</v>
      </c>
      <c r="E2698" s="52">
        <f t="shared" si="265"/>
        <v>1</v>
      </c>
      <c r="F2698" s="52"/>
      <c r="G2698" s="52"/>
      <c r="H2698" s="52"/>
      <c r="I2698" s="52"/>
      <c r="J2698" s="52"/>
      <c r="K2698" s="52"/>
      <c r="L2698" s="52"/>
      <c r="M2698" s="52"/>
      <c r="N2698" s="52"/>
      <c r="O2698" s="52"/>
      <c r="P2698" s="52"/>
      <c r="Q2698" s="52"/>
      <c r="R2698" s="52"/>
      <c r="S2698" s="52"/>
      <c r="T2698" s="52"/>
      <c r="U2698" s="52"/>
      <c r="V2698" s="52"/>
      <c r="W2698" s="52"/>
      <c r="X2698" s="52"/>
      <c r="Y2698" s="52"/>
      <c r="Z2698" s="52"/>
      <c r="AA2698" s="52"/>
      <c r="AB2698" s="52"/>
      <c r="AC2698" s="52"/>
      <c r="AD2698" s="52"/>
      <c r="AE2698" s="52"/>
      <c r="AF2698" s="52"/>
      <c r="AG2698" s="52"/>
      <c r="AH2698" s="52"/>
      <c r="AI2698" s="52"/>
      <c r="AJ2698" s="52"/>
      <c r="AK2698" s="52"/>
      <c r="AL2698" s="52"/>
      <c r="AM2698" s="52"/>
      <c r="AN2698" s="52"/>
    </row>
    <row r="2699" spans="1:40" x14ac:dyDescent="0.3">
      <c r="A2699" s="52">
        <v>2694</v>
      </c>
      <c r="B2699" s="52">
        <f>-bthan*500+(43+0.5)*bthan*1000/50</f>
        <v>2035</v>
      </c>
      <c r="C2699" s="52">
        <f t="shared" si="263"/>
        <v>270.00000000000023</v>
      </c>
      <c r="D2699" s="52">
        <f t="shared" si="264"/>
        <v>2200</v>
      </c>
      <c r="E2699" s="52">
        <f t="shared" si="265"/>
        <v>1</v>
      </c>
      <c r="F2699" s="52"/>
      <c r="G2699" s="52"/>
      <c r="H2699" s="52"/>
      <c r="I2699" s="52"/>
      <c r="J2699" s="52"/>
      <c r="K2699" s="52"/>
      <c r="L2699" s="52"/>
      <c r="M2699" s="52"/>
      <c r="N2699" s="52"/>
      <c r="O2699" s="52"/>
      <c r="P2699" s="52"/>
      <c r="Q2699" s="52"/>
      <c r="R2699" s="52"/>
      <c r="S2699" s="52"/>
      <c r="T2699" s="52"/>
      <c r="U2699" s="52"/>
      <c r="V2699" s="52"/>
      <c r="W2699" s="52"/>
      <c r="X2699" s="52"/>
      <c r="Y2699" s="52"/>
      <c r="Z2699" s="52"/>
      <c r="AA2699" s="52"/>
      <c r="AB2699" s="52"/>
      <c r="AC2699" s="52"/>
      <c r="AD2699" s="52"/>
      <c r="AE2699" s="52"/>
      <c r="AF2699" s="52"/>
      <c r="AG2699" s="52"/>
      <c r="AH2699" s="52"/>
      <c r="AI2699" s="52"/>
      <c r="AJ2699" s="52"/>
      <c r="AK2699" s="52"/>
      <c r="AL2699" s="52"/>
      <c r="AM2699" s="52"/>
      <c r="AN2699" s="52"/>
    </row>
    <row r="2700" spans="1:40" x14ac:dyDescent="0.3">
      <c r="A2700" s="52">
        <v>2695</v>
      </c>
      <c r="B2700" s="52">
        <f>-bthan*500+(44+0.5)*bthan*1000/50</f>
        <v>2145</v>
      </c>
      <c r="C2700" s="52">
        <f t="shared" si="263"/>
        <v>270.00000000000023</v>
      </c>
      <c r="D2700" s="52">
        <f t="shared" si="264"/>
        <v>2200</v>
      </c>
      <c r="E2700" s="52">
        <f t="shared" si="265"/>
        <v>1</v>
      </c>
      <c r="F2700" s="52"/>
      <c r="G2700" s="52"/>
      <c r="H2700" s="52"/>
      <c r="I2700" s="52"/>
      <c r="J2700" s="52"/>
      <c r="K2700" s="52"/>
      <c r="L2700" s="52"/>
      <c r="M2700" s="52"/>
      <c r="N2700" s="52"/>
      <c r="O2700" s="52"/>
      <c r="P2700" s="52"/>
      <c r="Q2700" s="52"/>
      <c r="R2700" s="52"/>
      <c r="S2700" s="52"/>
      <c r="T2700" s="52"/>
      <c r="U2700" s="52"/>
      <c r="V2700" s="52"/>
      <c r="W2700" s="52"/>
      <c r="X2700" s="52"/>
      <c r="Y2700" s="52"/>
      <c r="Z2700" s="52"/>
      <c r="AA2700" s="52"/>
      <c r="AB2700" s="52"/>
      <c r="AC2700" s="52"/>
      <c r="AD2700" s="52"/>
      <c r="AE2700" s="52"/>
      <c r="AF2700" s="52"/>
      <c r="AG2700" s="52"/>
      <c r="AH2700" s="52"/>
      <c r="AI2700" s="52"/>
      <c r="AJ2700" s="52"/>
      <c r="AK2700" s="52"/>
      <c r="AL2700" s="52"/>
      <c r="AM2700" s="52"/>
      <c r="AN2700" s="52"/>
    </row>
    <row r="2701" spans="1:40" x14ac:dyDescent="0.3">
      <c r="A2701" s="52">
        <v>2696</v>
      </c>
      <c r="B2701" s="52">
        <f>-bthan*500+(45+0.5)*bthan*1000/50</f>
        <v>2255</v>
      </c>
      <c r="C2701" s="52">
        <f t="shared" si="263"/>
        <v>270.00000000000023</v>
      </c>
      <c r="D2701" s="52">
        <f t="shared" si="264"/>
        <v>2200</v>
      </c>
      <c r="E2701" s="52">
        <f t="shared" si="265"/>
        <v>1</v>
      </c>
      <c r="F2701" s="52"/>
      <c r="G2701" s="52"/>
      <c r="H2701" s="52"/>
      <c r="I2701" s="52"/>
      <c r="J2701" s="52"/>
      <c r="K2701" s="52"/>
      <c r="L2701" s="52"/>
      <c r="M2701" s="52"/>
      <c r="N2701" s="52"/>
      <c r="O2701" s="52"/>
      <c r="P2701" s="52"/>
      <c r="Q2701" s="52"/>
      <c r="R2701" s="52"/>
      <c r="S2701" s="52"/>
      <c r="T2701" s="52"/>
      <c r="U2701" s="52"/>
      <c r="V2701" s="52"/>
      <c r="W2701" s="52"/>
      <c r="X2701" s="52"/>
      <c r="Y2701" s="52"/>
      <c r="Z2701" s="52"/>
      <c r="AA2701" s="52"/>
      <c r="AB2701" s="52"/>
      <c r="AC2701" s="52"/>
      <c r="AD2701" s="52"/>
      <c r="AE2701" s="52"/>
      <c r="AF2701" s="52"/>
      <c r="AG2701" s="52"/>
      <c r="AH2701" s="52"/>
      <c r="AI2701" s="52"/>
      <c r="AJ2701" s="52"/>
      <c r="AK2701" s="52"/>
      <c r="AL2701" s="52"/>
      <c r="AM2701" s="52"/>
      <c r="AN2701" s="52"/>
    </row>
    <row r="2702" spans="1:40" x14ac:dyDescent="0.3">
      <c r="A2702" s="52">
        <v>2697</v>
      </c>
      <c r="B2702" s="52">
        <f>-bthan*500+(46+0.5)*bthan*1000/50</f>
        <v>2365</v>
      </c>
      <c r="C2702" s="52">
        <f t="shared" si="263"/>
        <v>270.00000000000023</v>
      </c>
      <c r="D2702" s="52">
        <f t="shared" si="264"/>
        <v>2200</v>
      </c>
      <c r="E2702" s="52">
        <f t="shared" si="265"/>
        <v>1</v>
      </c>
      <c r="F2702" s="52"/>
      <c r="G2702" s="52"/>
      <c r="H2702" s="52"/>
      <c r="I2702" s="52"/>
      <c r="J2702" s="52"/>
      <c r="K2702" s="52"/>
      <c r="L2702" s="52"/>
      <c r="M2702" s="52"/>
      <c r="N2702" s="52"/>
      <c r="O2702" s="52"/>
      <c r="P2702" s="52"/>
      <c r="Q2702" s="52"/>
      <c r="R2702" s="52"/>
      <c r="S2702" s="52"/>
      <c r="T2702" s="52"/>
      <c r="U2702" s="52"/>
      <c r="V2702" s="52"/>
      <c r="W2702" s="52"/>
      <c r="X2702" s="52"/>
      <c r="Y2702" s="52"/>
      <c r="Z2702" s="52"/>
      <c r="AA2702" s="52"/>
      <c r="AB2702" s="52"/>
      <c r="AC2702" s="52"/>
      <c r="AD2702" s="52"/>
      <c r="AE2702" s="52"/>
      <c r="AF2702" s="52"/>
      <c r="AG2702" s="52"/>
      <c r="AH2702" s="52"/>
      <c r="AI2702" s="52"/>
      <c r="AJ2702" s="52"/>
      <c r="AK2702" s="52"/>
      <c r="AL2702" s="52"/>
      <c r="AM2702" s="52"/>
      <c r="AN2702" s="52"/>
    </row>
    <row r="2703" spans="1:40" x14ac:dyDescent="0.3">
      <c r="A2703" s="52">
        <v>2698</v>
      </c>
      <c r="B2703" s="52">
        <f>-bthan*500+(47+0.5)*bthan*1000/50</f>
        <v>2475</v>
      </c>
      <c r="C2703" s="52">
        <f t="shared" si="263"/>
        <v>270.00000000000023</v>
      </c>
      <c r="D2703" s="52">
        <f t="shared" si="264"/>
        <v>2200</v>
      </c>
      <c r="E2703" s="52">
        <f t="shared" si="265"/>
        <v>1</v>
      </c>
      <c r="F2703" s="52"/>
      <c r="G2703" s="52"/>
      <c r="H2703" s="52"/>
      <c r="I2703" s="52"/>
      <c r="J2703" s="52"/>
      <c r="K2703" s="52"/>
      <c r="L2703" s="52"/>
      <c r="M2703" s="52"/>
      <c r="N2703" s="52"/>
      <c r="O2703" s="52"/>
      <c r="P2703" s="52"/>
      <c r="Q2703" s="52"/>
      <c r="R2703" s="52"/>
      <c r="S2703" s="52"/>
      <c r="T2703" s="52"/>
      <c r="U2703" s="52"/>
      <c r="V2703" s="52"/>
      <c r="W2703" s="52"/>
      <c r="X2703" s="52"/>
      <c r="Y2703" s="52"/>
      <c r="Z2703" s="52"/>
      <c r="AA2703" s="52"/>
      <c r="AB2703" s="52"/>
      <c r="AC2703" s="52"/>
      <c r="AD2703" s="52"/>
      <c r="AE2703" s="52"/>
      <c r="AF2703" s="52"/>
      <c r="AG2703" s="52"/>
      <c r="AH2703" s="52"/>
      <c r="AI2703" s="52"/>
      <c r="AJ2703" s="52"/>
      <c r="AK2703" s="52"/>
      <c r="AL2703" s="52"/>
      <c r="AM2703" s="52"/>
      <c r="AN2703" s="52"/>
    </row>
    <row r="2704" spans="1:40" x14ac:dyDescent="0.3">
      <c r="A2704" s="52">
        <v>2699</v>
      </c>
      <c r="B2704" s="52">
        <f>-bthan*500+(48+0.5)*bthan*1000/50</f>
        <v>2585</v>
      </c>
      <c r="C2704" s="52">
        <f t="shared" si="263"/>
        <v>270.00000000000023</v>
      </c>
      <c r="D2704" s="52">
        <f t="shared" si="264"/>
        <v>2200</v>
      </c>
      <c r="E2704" s="52">
        <f t="shared" si="265"/>
        <v>1</v>
      </c>
      <c r="F2704" s="52"/>
      <c r="G2704" s="52"/>
      <c r="H2704" s="52"/>
      <c r="I2704" s="52"/>
      <c r="J2704" s="52"/>
      <c r="K2704" s="52"/>
      <c r="L2704" s="52"/>
      <c r="M2704" s="52"/>
      <c r="N2704" s="52"/>
      <c r="O2704" s="52"/>
      <c r="P2704" s="52"/>
      <c r="Q2704" s="52"/>
      <c r="R2704" s="52"/>
      <c r="S2704" s="52"/>
      <c r="T2704" s="52"/>
      <c r="U2704" s="52"/>
      <c r="V2704" s="52"/>
      <c r="W2704" s="52"/>
      <c r="X2704" s="52"/>
      <c r="Y2704" s="52"/>
      <c r="Z2704" s="52"/>
      <c r="AA2704" s="52"/>
      <c r="AB2704" s="52"/>
      <c r="AC2704" s="52"/>
      <c r="AD2704" s="52"/>
      <c r="AE2704" s="52"/>
      <c r="AF2704" s="52"/>
      <c r="AG2704" s="52"/>
      <c r="AH2704" s="52"/>
      <c r="AI2704" s="52"/>
      <c r="AJ2704" s="52"/>
      <c r="AK2704" s="52"/>
      <c r="AL2704" s="52"/>
      <c r="AM2704" s="52"/>
      <c r="AN2704" s="52"/>
    </row>
    <row r="2705" spans="1:40" x14ac:dyDescent="0.3">
      <c r="A2705" s="52">
        <v>2700</v>
      </c>
      <c r="B2705" s="52">
        <f>-bthan*500+(49+0.5)*bthan*1000/50</f>
        <v>2695</v>
      </c>
      <c r="C2705" s="52">
        <f t="shared" si="263"/>
        <v>270.00000000000023</v>
      </c>
      <c r="D2705" s="52">
        <f t="shared" si="264"/>
        <v>2200</v>
      </c>
      <c r="E2705" s="52">
        <f t="shared" si="265"/>
        <v>1</v>
      </c>
      <c r="F2705" s="52"/>
      <c r="G2705" s="52"/>
      <c r="H2705" s="52"/>
      <c r="I2705" s="52"/>
      <c r="J2705" s="52"/>
      <c r="K2705" s="52"/>
      <c r="L2705" s="52"/>
      <c r="M2705" s="52"/>
      <c r="N2705" s="52"/>
      <c r="O2705" s="52"/>
      <c r="P2705" s="52"/>
      <c r="Q2705" s="52"/>
      <c r="R2705" s="52"/>
      <c r="S2705" s="52"/>
      <c r="T2705" s="52"/>
      <c r="U2705" s="52"/>
      <c r="V2705" s="52"/>
      <c r="W2705" s="52"/>
      <c r="X2705" s="52"/>
      <c r="Y2705" s="52"/>
      <c r="Z2705" s="52"/>
      <c r="AA2705" s="52"/>
      <c r="AB2705" s="52"/>
      <c r="AC2705" s="52"/>
      <c r="AD2705" s="52"/>
      <c r="AE2705" s="52"/>
      <c r="AF2705" s="52"/>
      <c r="AG2705" s="52"/>
      <c r="AH2705" s="52"/>
      <c r="AI2705" s="52"/>
      <c r="AJ2705" s="52"/>
      <c r="AK2705" s="52"/>
      <c r="AL2705" s="52"/>
      <c r="AM2705" s="52"/>
      <c r="AN2705" s="52"/>
    </row>
    <row r="2706" spans="1:40" x14ac:dyDescent="0.3">
      <c r="A2706" s="52">
        <v>2701</v>
      </c>
      <c r="B2706" s="52">
        <f>-bthan*500+(0+0.5)*bthan*1000/50</f>
        <v>-2695</v>
      </c>
      <c r="C2706" s="52">
        <f t="shared" ref="C2706:C2737" si="266">-hthan*500+(54+0.5)*hthan*1000/80</f>
        <v>290</v>
      </c>
      <c r="D2706" s="52">
        <f t="shared" si="264"/>
        <v>2200</v>
      </c>
      <c r="E2706" s="52">
        <f t="shared" si="265"/>
        <v>1</v>
      </c>
      <c r="F2706" s="52"/>
      <c r="G2706" s="52"/>
      <c r="H2706" s="52"/>
      <c r="I2706" s="52"/>
      <c r="J2706" s="52"/>
      <c r="K2706" s="52"/>
      <c r="L2706" s="52"/>
      <c r="M2706" s="52"/>
      <c r="N2706" s="52"/>
      <c r="O2706" s="52"/>
      <c r="P2706" s="52"/>
      <c r="Q2706" s="52"/>
      <c r="R2706" s="52"/>
      <c r="S2706" s="52"/>
      <c r="T2706" s="52"/>
      <c r="U2706" s="52"/>
      <c r="V2706" s="52"/>
      <c r="W2706" s="52"/>
      <c r="X2706" s="52"/>
      <c r="Y2706" s="52"/>
      <c r="Z2706" s="52"/>
      <c r="AA2706" s="52"/>
      <c r="AB2706" s="52"/>
      <c r="AC2706" s="52"/>
      <c r="AD2706" s="52"/>
      <c r="AE2706" s="52"/>
      <c r="AF2706" s="52"/>
      <c r="AG2706" s="52"/>
      <c r="AH2706" s="52"/>
      <c r="AI2706" s="52"/>
      <c r="AJ2706" s="52"/>
      <c r="AK2706" s="52"/>
      <c r="AL2706" s="52"/>
      <c r="AM2706" s="52"/>
      <c r="AN2706" s="52"/>
    </row>
    <row r="2707" spans="1:40" x14ac:dyDescent="0.3">
      <c r="A2707" s="52">
        <v>2702</v>
      </c>
      <c r="B2707" s="52">
        <f>-bthan*500+(1+0.5)*bthan*1000/50</f>
        <v>-2585</v>
      </c>
      <c r="C2707" s="52">
        <f t="shared" si="266"/>
        <v>290</v>
      </c>
      <c r="D2707" s="52">
        <f t="shared" si="264"/>
        <v>2200</v>
      </c>
      <c r="E2707" s="52">
        <f t="shared" si="265"/>
        <v>1</v>
      </c>
      <c r="F2707" s="52"/>
      <c r="G2707" s="52"/>
      <c r="H2707" s="52"/>
      <c r="I2707" s="52"/>
      <c r="J2707" s="52"/>
      <c r="K2707" s="52"/>
      <c r="L2707" s="52"/>
      <c r="M2707" s="52"/>
      <c r="N2707" s="52"/>
      <c r="O2707" s="52"/>
      <c r="P2707" s="52"/>
      <c r="Q2707" s="52"/>
      <c r="R2707" s="52"/>
      <c r="S2707" s="52"/>
      <c r="T2707" s="52"/>
      <c r="U2707" s="52"/>
      <c r="V2707" s="52"/>
      <c r="W2707" s="52"/>
      <c r="X2707" s="52"/>
      <c r="Y2707" s="52"/>
      <c r="Z2707" s="52"/>
      <c r="AA2707" s="52"/>
      <c r="AB2707" s="52"/>
      <c r="AC2707" s="52"/>
      <c r="AD2707" s="52"/>
      <c r="AE2707" s="52"/>
      <c r="AF2707" s="52"/>
      <c r="AG2707" s="52"/>
      <c r="AH2707" s="52"/>
      <c r="AI2707" s="52"/>
      <c r="AJ2707" s="52"/>
      <c r="AK2707" s="52"/>
      <c r="AL2707" s="52"/>
      <c r="AM2707" s="52"/>
      <c r="AN2707" s="52"/>
    </row>
    <row r="2708" spans="1:40" x14ac:dyDescent="0.3">
      <c r="A2708" s="52">
        <v>2703</v>
      </c>
      <c r="B2708" s="52">
        <f>-bthan*500+(2+0.5)*bthan*1000/50</f>
        <v>-2475</v>
      </c>
      <c r="C2708" s="52">
        <f t="shared" si="266"/>
        <v>290</v>
      </c>
      <c r="D2708" s="52">
        <f t="shared" si="264"/>
        <v>2200</v>
      </c>
      <c r="E2708" s="52">
        <f t="shared" si="265"/>
        <v>1</v>
      </c>
      <c r="F2708" s="52"/>
      <c r="G2708" s="52"/>
      <c r="H2708" s="52"/>
      <c r="I2708" s="52"/>
      <c r="J2708" s="52"/>
      <c r="K2708" s="52"/>
      <c r="L2708" s="52"/>
      <c r="M2708" s="52"/>
      <c r="N2708" s="52"/>
      <c r="O2708" s="52"/>
      <c r="P2708" s="52"/>
      <c r="Q2708" s="52"/>
      <c r="R2708" s="52"/>
      <c r="S2708" s="52"/>
      <c r="T2708" s="52"/>
      <c r="U2708" s="52"/>
      <c r="V2708" s="52"/>
      <c r="W2708" s="52"/>
      <c r="X2708" s="52"/>
      <c r="Y2708" s="52"/>
      <c r="Z2708" s="52"/>
      <c r="AA2708" s="52"/>
      <c r="AB2708" s="52"/>
      <c r="AC2708" s="52"/>
      <c r="AD2708" s="52"/>
      <c r="AE2708" s="52"/>
      <c r="AF2708" s="52"/>
      <c r="AG2708" s="52"/>
      <c r="AH2708" s="52"/>
      <c r="AI2708" s="52"/>
      <c r="AJ2708" s="52"/>
      <c r="AK2708" s="52"/>
      <c r="AL2708" s="52"/>
      <c r="AM2708" s="52"/>
      <c r="AN2708" s="52"/>
    </row>
    <row r="2709" spans="1:40" x14ac:dyDescent="0.3">
      <c r="A2709" s="52">
        <v>2704</v>
      </c>
      <c r="B2709" s="52">
        <f>-bthan*500+(3+0.5)*bthan*1000/50</f>
        <v>-2365</v>
      </c>
      <c r="C2709" s="52">
        <f t="shared" si="266"/>
        <v>290</v>
      </c>
      <c r="D2709" s="52">
        <f t="shared" si="264"/>
        <v>2200</v>
      </c>
      <c r="E2709" s="52">
        <f t="shared" si="265"/>
        <v>1</v>
      </c>
      <c r="F2709" s="52"/>
      <c r="G2709" s="52"/>
      <c r="H2709" s="52"/>
      <c r="I2709" s="52"/>
      <c r="J2709" s="52"/>
      <c r="K2709" s="52"/>
      <c r="L2709" s="52"/>
      <c r="M2709" s="52"/>
      <c r="N2709" s="52"/>
      <c r="O2709" s="52"/>
      <c r="P2709" s="52"/>
      <c r="Q2709" s="52"/>
      <c r="R2709" s="52"/>
      <c r="S2709" s="52"/>
      <c r="T2709" s="52"/>
      <c r="U2709" s="52"/>
      <c r="V2709" s="52"/>
      <c r="W2709" s="52"/>
      <c r="X2709" s="52"/>
      <c r="Y2709" s="52"/>
      <c r="Z2709" s="52"/>
      <c r="AA2709" s="52"/>
      <c r="AB2709" s="52"/>
      <c r="AC2709" s="52"/>
      <c r="AD2709" s="52"/>
      <c r="AE2709" s="52"/>
      <c r="AF2709" s="52"/>
      <c r="AG2709" s="52"/>
      <c r="AH2709" s="52"/>
      <c r="AI2709" s="52"/>
      <c r="AJ2709" s="52"/>
      <c r="AK2709" s="52"/>
      <c r="AL2709" s="52"/>
      <c r="AM2709" s="52"/>
      <c r="AN2709" s="52"/>
    </row>
    <row r="2710" spans="1:40" x14ac:dyDescent="0.3">
      <c r="A2710" s="52">
        <v>2705</v>
      </c>
      <c r="B2710" s="52">
        <f>-bthan*500+(4+0.5)*bthan*1000/50</f>
        <v>-2255</v>
      </c>
      <c r="C2710" s="52">
        <f t="shared" si="266"/>
        <v>290</v>
      </c>
      <c r="D2710" s="52">
        <f t="shared" si="264"/>
        <v>2200</v>
      </c>
      <c r="E2710" s="52">
        <f t="shared" si="265"/>
        <v>1</v>
      </c>
      <c r="F2710" s="52"/>
      <c r="G2710" s="52"/>
      <c r="H2710" s="52"/>
      <c r="I2710" s="52"/>
      <c r="J2710" s="52"/>
      <c r="K2710" s="52"/>
      <c r="L2710" s="52"/>
      <c r="M2710" s="52"/>
      <c r="N2710" s="52"/>
      <c r="O2710" s="52"/>
      <c r="P2710" s="52"/>
      <c r="Q2710" s="52"/>
      <c r="R2710" s="52"/>
      <c r="S2710" s="52"/>
      <c r="T2710" s="52"/>
      <c r="U2710" s="52"/>
      <c r="V2710" s="52"/>
      <c r="W2710" s="52"/>
      <c r="X2710" s="52"/>
      <c r="Y2710" s="52"/>
      <c r="Z2710" s="52"/>
      <c r="AA2710" s="52"/>
      <c r="AB2710" s="52"/>
      <c r="AC2710" s="52"/>
      <c r="AD2710" s="52"/>
      <c r="AE2710" s="52"/>
      <c r="AF2710" s="52"/>
      <c r="AG2710" s="52"/>
      <c r="AH2710" s="52"/>
      <c r="AI2710" s="52"/>
      <c r="AJ2710" s="52"/>
      <c r="AK2710" s="52"/>
      <c r="AL2710" s="52"/>
      <c r="AM2710" s="52"/>
      <c r="AN2710" s="52"/>
    </row>
    <row r="2711" spans="1:40" x14ac:dyDescent="0.3">
      <c r="A2711" s="52">
        <v>2706</v>
      </c>
      <c r="B2711" s="52">
        <f>-bthan*500+(5+0.5)*bthan*1000/50</f>
        <v>-2145</v>
      </c>
      <c r="C2711" s="52">
        <f t="shared" si="266"/>
        <v>290</v>
      </c>
      <c r="D2711" s="52">
        <f t="shared" si="264"/>
        <v>2200</v>
      </c>
      <c r="E2711" s="52">
        <f t="shared" si="265"/>
        <v>1</v>
      </c>
      <c r="F2711" s="52"/>
      <c r="G2711" s="52"/>
      <c r="H2711" s="52"/>
      <c r="I2711" s="52"/>
      <c r="J2711" s="52"/>
      <c r="K2711" s="52"/>
      <c r="L2711" s="52"/>
      <c r="M2711" s="52"/>
      <c r="N2711" s="52"/>
      <c r="O2711" s="52"/>
      <c r="P2711" s="52"/>
      <c r="Q2711" s="52"/>
      <c r="R2711" s="52"/>
      <c r="S2711" s="52"/>
      <c r="T2711" s="52"/>
      <c r="U2711" s="52"/>
      <c r="V2711" s="52"/>
      <c r="W2711" s="52"/>
      <c r="X2711" s="52"/>
      <c r="Y2711" s="52"/>
      <c r="Z2711" s="52"/>
      <c r="AA2711" s="52"/>
      <c r="AB2711" s="52"/>
      <c r="AC2711" s="52"/>
      <c r="AD2711" s="52"/>
      <c r="AE2711" s="52"/>
      <c r="AF2711" s="52"/>
      <c r="AG2711" s="52"/>
      <c r="AH2711" s="52"/>
      <c r="AI2711" s="52"/>
      <c r="AJ2711" s="52"/>
      <c r="AK2711" s="52"/>
      <c r="AL2711" s="52"/>
      <c r="AM2711" s="52"/>
      <c r="AN2711" s="52"/>
    </row>
    <row r="2712" spans="1:40" x14ac:dyDescent="0.3">
      <c r="A2712" s="52">
        <v>2707</v>
      </c>
      <c r="B2712" s="52">
        <f>-bthan*500+(6+0.5)*bthan*1000/50</f>
        <v>-2035</v>
      </c>
      <c r="C2712" s="52">
        <f t="shared" si="266"/>
        <v>290</v>
      </c>
      <c r="D2712" s="52">
        <f t="shared" si="264"/>
        <v>2200</v>
      </c>
      <c r="E2712" s="52">
        <f t="shared" si="265"/>
        <v>1</v>
      </c>
      <c r="F2712" s="52"/>
      <c r="G2712" s="52"/>
      <c r="H2712" s="52"/>
      <c r="I2712" s="52"/>
      <c r="J2712" s="52"/>
      <c r="K2712" s="52"/>
      <c r="L2712" s="52"/>
      <c r="M2712" s="52"/>
      <c r="N2712" s="52"/>
      <c r="O2712" s="52"/>
      <c r="P2712" s="52"/>
      <c r="Q2712" s="52"/>
      <c r="R2712" s="52"/>
      <c r="S2712" s="52"/>
      <c r="T2712" s="52"/>
      <c r="U2712" s="52"/>
      <c r="V2712" s="52"/>
      <c r="W2712" s="52"/>
      <c r="X2712" s="52"/>
      <c r="Y2712" s="52"/>
      <c r="Z2712" s="52"/>
      <c r="AA2712" s="52"/>
      <c r="AB2712" s="52"/>
      <c r="AC2712" s="52"/>
      <c r="AD2712" s="52"/>
      <c r="AE2712" s="52"/>
      <c r="AF2712" s="52"/>
      <c r="AG2712" s="52"/>
      <c r="AH2712" s="52"/>
      <c r="AI2712" s="52"/>
      <c r="AJ2712" s="52"/>
      <c r="AK2712" s="52"/>
      <c r="AL2712" s="52"/>
      <c r="AM2712" s="52"/>
      <c r="AN2712" s="52"/>
    </row>
    <row r="2713" spans="1:40" x14ac:dyDescent="0.3">
      <c r="A2713" s="52">
        <v>2708</v>
      </c>
      <c r="B2713" s="52">
        <f>-bthan*500+(7+0.5)*bthan*1000/50</f>
        <v>-1925</v>
      </c>
      <c r="C2713" s="52">
        <f t="shared" si="266"/>
        <v>290</v>
      </c>
      <c r="D2713" s="52">
        <f t="shared" si="264"/>
        <v>2200</v>
      </c>
      <c r="E2713" s="52">
        <f t="shared" si="265"/>
        <v>1</v>
      </c>
      <c r="F2713" s="52"/>
      <c r="G2713" s="52"/>
      <c r="H2713" s="52"/>
      <c r="I2713" s="52"/>
      <c r="J2713" s="52"/>
      <c r="K2713" s="52"/>
      <c r="L2713" s="52"/>
      <c r="M2713" s="52"/>
      <c r="N2713" s="52"/>
      <c r="O2713" s="52"/>
      <c r="P2713" s="52"/>
      <c r="Q2713" s="52"/>
      <c r="R2713" s="52"/>
      <c r="S2713" s="52"/>
      <c r="T2713" s="52"/>
      <c r="U2713" s="52"/>
      <c r="V2713" s="52"/>
      <c r="W2713" s="52"/>
      <c r="X2713" s="52"/>
      <c r="Y2713" s="52"/>
      <c r="Z2713" s="52"/>
      <c r="AA2713" s="52"/>
      <c r="AB2713" s="52"/>
      <c r="AC2713" s="52"/>
      <c r="AD2713" s="52"/>
      <c r="AE2713" s="52"/>
      <c r="AF2713" s="52"/>
      <c r="AG2713" s="52"/>
      <c r="AH2713" s="52"/>
      <c r="AI2713" s="52"/>
      <c r="AJ2713" s="52"/>
      <c r="AK2713" s="52"/>
      <c r="AL2713" s="52"/>
      <c r="AM2713" s="52"/>
      <c r="AN2713" s="52"/>
    </row>
    <row r="2714" spans="1:40" x14ac:dyDescent="0.3">
      <c r="A2714" s="52">
        <v>2709</v>
      </c>
      <c r="B2714" s="52">
        <f>-bthan*500+(8+0.5)*bthan*1000/50</f>
        <v>-1815</v>
      </c>
      <c r="C2714" s="52">
        <f t="shared" si="266"/>
        <v>290</v>
      </c>
      <c r="D2714" s="52">
        <f t="shared" si="264"/>
        <v>2200</v>
      </c>
      <c r="E2714" s="52">
        <f t="shared" si="265"/>
        <v>1</v>
      </c>
      <c r="F2714" s="52"/>
      <c r="G2714" s="52"/>
      <c r="H2714" s="52"/>
      <c r="I2714" s="52"/>
      <c r="J2714" s="52"/>
      <c r="K2714" s="52"/>
      <c r="L2714" s="52"/>
      <c r="M2714" s="52"/>
      <c r="N2714" s="52"/>
      <c r="O2714" s="52"/>
      <c r="P2714" s="52"/>
      <c r="Q2714" s="52"/>
      <c r="R2714" s="52"/>
      <c r="S2714" s="52"/>
      <c r="T2714" s="52"/>
      <c r="U2714" s="52"/>
      <c r="V2714" s="52"/>
      <c r="W2714" s="52"/>
      <c r="X2714" s="52"/>
      <c r="Y2714" s="52"/>
      <c r="Z2714" s="52"/>
      <c r="AA2714" s="52"/>
      <c r="AB2714" s="52"/>
      <c r="AC2714" s="52"/>
      <c r="AD2714" s="52"/>
      <c r="AE2714" s="52"/>
      <c r="AF2714" s="52"/>
      <c r="AG2714" s="52"/>
      <c r="AH2714" s="52"/>
      <c r="AI2714" s="52"/>
      <c r="AJ2714" s="52"/>
      <c r="AK2714" s="52"/>
      <c r="AL2714" s="52"/>
      <c r="AM2714" s="52"/>
      <c r="AN2714" s="52"/>
    </row>
    <row r="2715" spans="1:40" x14ac:dyDescent="0.3">
      <c r="A2715" s="52">
        <v>2710</v>
      </c>
      <c r="B2715" s="52">
        <f>-bthan*500+(9+0.5)*bthan*1000/50</f>
        <v>-1705</v>
      </c>
      <c r="C2715" s="52">
        <f t="shared" si="266"/>
        <v>290</v>
      </c>
      <c r="D2715" s="52">
        <f t="shared" si="264"/>
        <v>2200</v>
      </c>
      <c r="E2715" s="52">
        <f t="shared" si="265"/>
        <v>1</v>
      </c>
      <c r="F2715" s="52"/>
      <c r="G2715" s="52"/>
      <c r="H2715" s="52"/>
      <c r="I2715" s="52"/>
      <c r="J2715" s="52"/>
      <c r="K2715" s="52"/>
      <c r="L2715" s="52"/>
      <c r="M2715" s="52"/>
      <c r="N2715" s="52"/>
      <c r="O2715" s="52"/>
      <c r="P2715" s="52"/>
      <c r="Q2715" s="52"/>
      <c r="R2715" s="52"/>
      <c r="S2715" s="52"/>
      <c r="T2715" s="52"/>
      <c r="U2715" s="52"/>
      <c r="V2715" s="52"/>
      <c r="W2715" s="52"/>
      <c r="X2715" s="52"/>
      <c r="Y2715" s="52"/>
      <c r="Z2715" s="52"/>
      <c r="AA2715" s="52"/>
      <c r="AB2715" s="52"/>
      <c r="AC2715" s="52"/>
      <c r="AD2715" s="52"/>
      <c r="AE2715" s="52"/>
      <c r="AF2715" s="52"/>
      <c r="AG2715" s="52"/>
      <c r="AH2715" s="52"/>
      <c r="AI2715" s="52"/>
      <c r="AJ2715" s="52"/>
      <c r="AK2715" s="52"/>
      <c r="AL2715" s="52"/>
      <c r="AM2715" s="52"/>
      <c r="AN2715" s="52"/>
    </row>
    <row r="2716" spans="1:40" x14ac:dyDescent="0.3">
      <c r="A2716" s="52">
        <v>2711</v>
      </c>
      <c r="B2716" s="52">
        <f>-bthan*500+(10+0.5)*bthan*1000/50</f>
        <v>-1595</v>
      </c>
      <c r="C2716" s="52">
        <f t="shared" si="266"/>
        <v>290</v>
      </c>
      <c r="D2716" s="52">
        <f t="shared" si="264"/>
        <v>2200</v>
      </c>
      <c r="E2716" s="52">
        <f t="shared" si="265"/>
        <v>1</v>
      </c>
      <c r="F2716" s="52"/>
      <c r="G2716" s="52"/>
      <c r="H2716" s="52"/>
      <c r="I2716" s="52"/>
      <c r="J2716" s="52"/>
      <c r="K2716" s="52"/>
      <c r="L2716" s="52"/>
      <c r="M2716" s="52"/>
      <c r="N2716" s="52"/>
      <c r="O2716" s="52"/>
      <c r="P2716" s="52"/>
      <c r="Q2716" s="52"/>
      <c r="R2716" s="52"/>
      <c r="S2716" s="52"/>
      <c r="T2716" s="52"/>
      <c r="U2716" s="52"/>
      <c r="V2716" s="52"/>
      <c r="W2716" s="52"/>
      <c r="X2716" s="52"/>
      <c r="Y2716" s="52"/>
      <c r="Z2716" s="52"/>
      <c r="AA2716" s="52"/>
      <c r="AB2716" s="52"/>
      <c r="AC2716" s="52"/>
      <c r="AD2716" s="52"/>
      <c r="AE2716" s="52"/>
      <c r="AF2716" s="52"/>
      <c r="AG2716" s="52"/>
      <c r="AH2716" s="52"/>
      <c r="AI2716" s="52"/>
      <c r="AJ2716" s="52"/>
      <c r="AK2716" s="52"/>
      <c r="AL2716" s="52"/>
      <c r="AM2716" s="52"/>
      <c r="AN2716" s="52"/>
    </row>
    <row r="2717" spans="1:40" x14ac:dyDescent="0.3">
      <c r="A2717" s="52">
        <v>2712</v>
      </c>
      <c r="B2717" s="52">
        <f>-bthan*500+(11+0.5)*bthan*1000/50</f>
        <v>-1485</v>
      </c>
      <c r="C2717" s="52">
        <f t="shared" si="266"/>
        <v>290</v>
      </c>
      <c r="D2717" s="52">
        <f t="shared" si="264"/>
        <v>2200</v>
      </c>
      <c r="E2717" s="52">
        <f t="shared" si="265"/>
        <v>1</v>
      </c>
      <c r="F2717" s="52"/>
      <c r="G2717" s="52"/>
      <c r="H2717" s="52"/>
      <c r="I2717" s="52"/>
      <c r="J2717" s="52"/>
      <c r="K2717" s="52"/>
      <c r="L2717" s="52"/>
      <c r="M2717" s="52"/>
      <c r="N2717" s="52"/>
      <c r="O2717" s="52"/>
      <c r="P2717" s="52"/>
      <c r="Q2717" s="52"/>
      <c r="R2717" s="52"/>
      <c r="S2717" s="52"/>
      <c r="T2717" s="52"/>
      <c r="U2717" s="52"/>
      <c r="V2717" s="52"/>
      <c r="W2717" s="52"/>
      <c r="X2717" s="52"/>
      <c r="Y2717" s="52"/>
      <c r="Z2717" s="52"/>
      <c r="AA2717" s="52"/>
      <c r="AB2717" s="52"/>
      <c r="AC2717" s="52"/>
      <c r="AD2717" s="52"/>
      <c r="AE2717" s="52"/>
      <c r="AF2717" s="52"/>
      <c r="AG2717" s="52"/>
      <c r="AH2717" s="52"/>
      <c r="AI2717" s="52"/>
      <c r="AJ2717" s="52"/>
      <c r="AK2717" s="52"/>
      <c r="AL2717" s="52"/>
      <c r="AM2717" s="52"/>
      <c r="AN2717" s="52"/>
    </row>
    <row r="2718" spans="1:40" x14ac:dyDescent="0.3">
      <c r="A2718" s="52">
        <v>2713</v>
      </c>
      <c r="B2718" s="52">
        <f>-bthan*500+(12+0.5)*bthan*1000/50</f>
        <v>-1375</v>
      </c>
      <c r="C2718" s="52">
        <f t="shared" si="266"/>
        <v>290</v>
      </c>
      <c r="D2718" s="52">
        <f t="shared" si="264"/>
        <v>2200</v>
      </c>
      <c r="E2718" s="52">
        <f t="shared" si="265"/>
        <v>1</v>
      </c>
      <c r="F2718" s="52"/>
      <c r="G2718" s="52"/>
      <c r="H2718" s="52"/>
      <c r="I2718" s="52"/>
      <c r="J2718" s="52"/>
      <c r="K2718" s="52"/>
      <c r="L2718" s="52"/>
      <c r="M2718" s="52"/>
      <c r="N2718" s="52"/>
      <c r="O2718" s="52"/>
      <c r="P2718" s="52"/>
      <c r="Q2718" s="52"/>
      <c r="R2718" s="52"/>
      <c r="S2718" s="52"/>
      <c r="T2718" s="52"/>
      <c r="U2718" s="52"/>
      <c r="V2718" s="52"/>
      <c r="W2718" s="52"/>
      <c r="X2718" s="52"/>
      <c r="Y2718" s="52"/>
      <c r="Z2718" s="52"/>
      <c r="AA2718" s="52"/>
      <c r="AB2718" s="52"/>
      <c r="AC2718" s="52"/>
      <c r="AD2718" s="52"/>
      <c r="AE2718" s="52"/>
      <c r="AF2718" s="52"/>
      <c r="AG2718" s="52"/>
      <c r="AH2718" s="52"/>
      <c r="AI2718" s="52"/>
      <c r="AJ2718" s="52"/>
      <c r="AK2718" s="52"/>
      <c r="AL2718" s="52"/>
      <c r="AM2718" s="52"/>
      <c r="AN2718" s="52"/>
    </row>
    <row r="2719" spans="1:40" x14ac:dyDescent="0.3">
      <c r="A2719" s="52">
        <v>2714</v>
      </c>
      <c r="B2719" s="52">
        <f>-bthan*500+(13+0.5)*bthan*1000/50</f>
        <v>-1265</v>
      </c>
      <c r="C2719" s="52">
        <f t="shared" si="266"/>
        <v>290</v>
      </c>
      <c r="D2719" s="52">
        <f t="shared" si="264"/>
        <v>2200</v>
      </c>
      <c r="E2719" s="52">
        <f t="shared" si="265"/>
        <v>1</v>
      </c>
      <c r="F2719" s="52"/>
      <c r="G2719" s="52"/>
      <c r="H2719" s="52"/>
      <c r="I2719" s="52"/>
      <c r="J2719" s="52"/>
      <c r="K2719" s="52"/>
      <c r="L2719" s="52"/>
      <c r="M2719" s="52"/>
      <c r="N2719" s="52"/>
      <c r="O2719" s="52"/>
      <c r="P2719" s="52"/>
      <c r="Q2719" s="52"/>
      <c r="R2719" s="52"/>
      <c r="S2719" s="52"/>
      <c r="T2719" s="52"/>
      <c r="U2719" s="52"/>
      <c r="V2719" s="52"/>
      <c r="W2719" s="52"/>
      <c r="X2719" s="52"/>
      <c r="Y2719" s="52"/>
      <c r="Z2719" s="52"/>
      <c r="AA2719" s="52"/>
      <c r="AB2719" s="52"/>
      <c r="AC2719" s="52"/>
      <c r="AD2719" s="52"/>
      <c r="AE2719" s="52"/>
      <c r="AF2719" s="52"/>
      <c r="AG2719" s="52"/>
      <c r="AH2719" s="52"/>
      <c r="AI2719" s="52"/>
      <c r="AJ2719" s="52"/>
      <c r="AK2719" s="52"/>
      <c r="AL2719" s="52"/>
      <c r="AM2719" s="52"/>
      <c r="AN2719" s="52"/>
    </row>
    <row r="2720" spans="1:40" x14ac:dyDescent="0.3">
      <c r="A2720" s="52">
        <v>2715</v>
      </c>
      <c r="B2720" s="52">
        <f>-bthan*500+(14+0.5)*bthan*1000/50</f>
        <v>-1155</v>
      </c>
      <c r="C2720" s="52">
        <f t="shared" si="266"/>
        <v>290</v>
      </c>
      <c r="D2720" s="52">
        <f t="shared" si="264"/>
        <v>2200</v>
      </c>
      <c r="E2720" s="52">
        <f t="shared" si="265"/>
        <v>1</v>
      </c>
      <c r="F2720" s="52"/>
      <c r="G2720" s="52"/>
      <c r="H2720" s="52"/>
      <c r="I2720" s="52"/>
      <c r="J2720" s="52"/>
      <c r="K2720" s="52"/>
      <c r="L2720" s="52"/>
      <c r="M2720" s="52"/>
      <c r="N2720" s="52"/>
      <c r="O2720" s="52"/>
      <c r="P2720" s="52"/>
      <c r="Q2720" s="52"/>
      <c r="R2720" s="52"/>
      <c r="S2720" s="52"/>
      <c r="T2720" s="52"/>
      <c r="U2720" s="52"/>
      <c r="V2720" s="52"/>
      <c r="W2720" s="52"/>
      <c r="X2720" s="52"/>
      <c r="Y2720" s="52"/>
      <c r="Z2720" s="52"/>
      <c r="AA2720" s="52"/>
      <c r="AB2720" s="52"/>
      <c r="AC2720" s="52"/>
      <c r="AD2720" s="52"/>
      <c r="AE2720" s="52"/>
      <c r="AF2720" s="52"/>
      <c r="AG2720" s="52"/>
      <c r="AH2720" s="52"/>
      <c r="AI2720" s="52"/>
      <c r="AJ2720" s="52"/>
      <c r="AK2720" s="52"/>
      <c r="AL2720" s="52"/>
      <c r="AM2720" s="52"/>
      <c r="AN2720" s="52"/>
    </row>
    <row r="2721" spans="1:40" x14ac:dyDescent="0.3">
      <c r="A2721" s="52">
        <v>2716</v>
      </c>
      <c r="B2721" s="52">
        <f>-bthan*500+(15+0.5)*bthan*1000/50</f>
        <v>-1045</v>
      </c>
      <c r="C2721" s="52">
        <f t="shared" si="266"/>
        <v>290</v>
      </c>
      <c r="D2721" s="52">
        <f t="shared" si="264"/>
        <v>2200</v>
      </c>
      <c r="E2721" s="52">
        <f t="shared" si="265"/>
        <v>1</v>
      </c>
      <c r="F2721" s="52"/>
      <c r="G2721" s="52"/>
      <c r="H2721" s="52"/>
      <c r="I2721" s="52"/>
      <c r="J2721" s="52"/>
      <c r="K2721" s="52"/>
      <c r="L2721" s="52"/>
      <c r="M2721" s="52"/>
      <c r="N2721" s="52"/>
      <c r="O2721" s="52"/>
      <c r="P2721" s="52"/>
      <c r="Q2721" s="52"/>
      <c r="R2721" s="52"/>
      <c r="S2721" s="52"/>
      <c r="T2721" s="52"/>
      <c r="U2721" s="52"/>
      <c r="V2721" s="52"/>
      <c r="W2721" s="52"/>
      <c r="X2721" s="52"/>
      <c r="Y2721" s="52"/>
      <c r="Z2721" s="52"/>
      <c r="AA2721" s="52"/>
      <c r="AB2721" s="52"/>
      <c r="AC2721" s="52"/>
      <c r="AD2721" s="52"/>
      <c r="AE2721" s="52"/>
      <c r="AF2721" s="52"/>
      <c r="AG2721" s="52"/>
      <c r="AH2721" s="52"/>
      <c r="AI2721" s="52"/>
      <c r="AJ2721" s="52"/>
      <c r="AK2721" s="52"/>
      <c r="AL2721" s="52"/>
      <c r="AM2721" s="52"/>
      <c r="AN2721" s="52"/>
    </row>
    <row r="2722" spans="1:40" x14ac:dyDescent="0.3">
      <c r="A2722" s="52">
        <v>2717</v>
      </c>
      <c r="B2722" s="52">
        <f>-bthan*500+(16+0.5)*bthan*1000/50</f>
        <v>-935</v>
      </c>
      <c r="C2722" s="52">
        <f t="shared" si="266"/>
        <v>290</v>
      </c>
      <c r="D2722" s="52">
        <f t="shared" si="264"/>
        <v>2200</v>
      </c>
      <c r="E2722" s="52">
        <f t="shared" si="265"/>
        <v>1</v>
      </c>
      <c r="F2722" s="52"/>
      <c r="G2722" s="52"/>
      <c r="H2722" s="52"/>
      <c r="I2722" s="52"/>
      <c r="J2722" s="52"/>
      <c r="K2722" s="52"/>
      <c r="L2722" s="52"/>
      <c r="M2722" s="52"/>
      <c r="N2722" s="52"/>
      <c r="O2722" s="52"/>
      <c r="P2722" s="52"/>
      <c r="Q2722" s="52"/>
      <c r="R2722" s="52"/>
      <c r="S2722" s="52"/>
      <c r="T2722" s="52"/>
      <c r="U2722" s="52"/>
      <c r="V2722" s="52"/>
      <c r="W2722" s="52"/>
      <c r="X2722" s="52"/>
      <c r="Y2722" s="52"/>
      <c r="Z2722" s="52"/>
      <c r="AA2722" s="52"/>
      <c r="AB2722" s="52"/>
      <c r="AC2722" s="52"/>
      <c r="AD2722" s="52"/>
      <c r="AE2722" s="52"/>
      <c r="AF2722" s="52"/>
      <c r="AG2722" s="52"/>
      <c r="AH2722" s="52"/>
      <c r="AI2722" s="52"/>
      <c r="AJ2722" s="52"/>
      <c r="AK2722" s="52"/>
      <c r="AL2722" s="52"/>
      <c r="AM2722" s="52"/>
      <c r="AN2722" s="52"/>
    </row>
    <row r="2723" spans="1:40" x14ac:dyDescent="0.3">
      <c r="A2723" s="52">
        <v>2718</v>
      </c>
      <c r="B2723" s="52">
        <f>-bthan*500+(17+0.5)*bthan*1000/50</f>
        <v>-825</v>
      </c>
      <c r="C2723" s="52">
        <f t="shared" si="266"/>
        <v>290</v>
      </c>
      <c r="D2723" s="52">
        <f t="shared" si="264"/>
        <v>2200</v>
      </c>
      <c r="E2723" s="52">
        <f t="shared" si="265"/>
        <v>1</v>
      </c>
      <c r="F2723" s="52"/>
      <c r="G2723" s="52"/>
      <c r="H2723" s="52"/>
      <c r="I2723" s="52"/>
      <c r="J2723" s="52"/>
      <c r="K2723" s="52"/>
      <c r="L2723" s="52"/>
      <c r="M2723" s="52"/>
      <c r="N2723" s="52"/>
      <c r="O2723" s="52"/>
      <c r="P2723" s="52"/>
      <c r="Q2723" s="52"/>
      <c r="R2723" s="52"/>
      <c r="S2723" s="52"/>
      <c r="T2723" s="52"/>
      <c r="U2723" s="52"/>
      <c r="V2723" s="52"/>
      <c r="W2723" s="52"/>
      <c r="X2723" s="52"/>
      <c r="Y2723" s="52"/>
      <c r="Z2723" s="52"/>
      <c r="AA2723" s="52"/>
      <c r="AB2723" s="52"/>
      <c r="AC2723" s="52"/>
      <c r="AD2723" s="52"/>
      <c r="AE2723" s="52"/>
      <c r="AF2723" s="52"/>
      <c r="AG2723" s="52"/>
      <c r="AH2723" s="52"/>
      <c r="AI2723" s="52"/>
      <c r="AJ2723" s="52"/>
      <c r="AK2723" s="52"/>
      <c r="AL2723" s="52"/>
      <c r="AM2723" s="52"/>
      <c r="AN2723" s="52"/>
    </row>
    <row r="2724" spans="1:40" x14ac:dyDescent="0.3">
      <c r="A2724" s="52">
        <v>2719</v>
      </c>
      <c r="B2724" s="52">
        <f>-bthan*500+(18+0.5)*bthan*1000/50</f>
        <v>-715</v>
      </c>
      <c r="C2724" s="52">
        <f t="shared" si="266"/>
        <v>290</v>
      </c>
      <c r="D2724" s="52">
        <f t="shared" si="264"/>
        <v>2200</v>
      </c>
      <c r="E2724" s="52">
        <f t="shared" si="265"/>
        <v>1</v>
      </c>
      <c r="F2724" s="52"/>
      <c r="G2724" s="52"/>
      <c r="H2724" s="52"/>
      <c r="I2724" s="52"/>
      <c r="J2724" s="52"/>
      <c r="K2724" s="52"/>
      <c r="L2724" s="52"/>
      <c r="M2724" s="52"/>
      <c r="N2724" s="52"/>
      <c r="O2724" s="52"/>
      <c r="P2724" s="52"/>
      <c r="Q2724" s="52"/>
      <c r="R2724" s="52"/>
      <c r="S2724" s="52"/>
      <c r="T2724" s="52"/>
      <c r="U2724" s="52"/>
      <c r="V2724" s="52"/>
      <c r="W2724" s="52"/>
      <c r="X2724" s="52"/>
      <c r="Y2724" s="52"/>
      <c r="Z2724" s="52"/>
      <c r="AA2724" s="52"/>
      <c r="AB2724" s="52"/>
      <c r="AC2724" s="52"/>
      <c r="AD2724" s="52"/>
      <c r="AE2724" s="52"/>
      <c r="AF2724" s="52"/>
      <c r="AG2724" s="52"/>
      <c r="AH2724" s="52"/>
      <c r="AI2724" s="52"/>
      <c r="AJ2724" s="52"/>
      <c r="AK2724" s="52"/>
      <c r="AL2724" s="52"/>
      <c r="AM2724" s="52"/>
      <c r="AN2724" s="52"/>
    </row>
    <row r="2725" spans="1:40" x14ac:dyDescent="0.3">
      <c r="A2725" s="52">
        <v>2720</v>
      </c>
      <c r="B2725" s="52">
        <f>-bthan*500+(19+0.5)*bthan*1000/50</f>
        <v>-605</v>
      </c>
      <c r="C2725" s="52">
        <f t="shared" si="266"/>
        <v>290</v>
      </c>
      <c r="D2725" s="52">
        <f t="shared" si="264"/>
        <v>2200</v>
      </c>
      <c r="E2725" s="52">
        <f t="shared" si="265"/>
        <v>1</v>
      </c>
      <c r="F2725" s="52"/>
      <c r="G2725" s="52"/>
      <c r="H2725" s="52"/>
      <c r="I2725" s="52"/>
      <c r="J2725" s="52"/>
      <c r="K2725" s="52"/>
      <c r="L2725" s="52"/>
      <c r="M2725" s="52"/>
      <c r="N2725" s="52"/>
      <c r="O2725" s="52"/>
      <c r="P2725" s="52"/>
      <c r="Q2725" s="52"/>
      <c r="R2725" s="52"/>
      <c r="S2725" s="52"/>
      <c r="T2725" s="52"/>
      <c r="U2725" s="52"/>
      <c r="V2725" s="52"/>
      <c r="W2725" s="52"/>
      <c r="X2725" s="52"/>
      <c r="Y2725" s="52"/>
      <c r="Z2725" s="52"/>
      <c r="AA2725" s="52"/>
      <c r="AB2725" s="52"/>
      <c r="AC2725" s="52"/>
      <c r="AD2725" s="52"/>
      <c r="AE2725" s="52"/>
      <c r="AF2725" s="52"/>
      <c r="AG2725" s="52"/>
      <c r="AH2725" s="52"/>
      <c r="AI2725" s="52"/>
      <c r="AJ2725" s="52"/>
      <c r="AK2725" s="52"/>
      <c r="AL2725" s="52"/>
      <c r="AM2725" s="52"/>
      <c r="AN2725" s="52"/>
    </row>
    <row r="2726" spans="1:40" x14ac:dyDescent="0.3">
      <c r="A2726" s="52">
        <v>2721</v>
      </c>
      <c r="B2726" s="52">
        <f>-bthan*500+(20+0.5)*bthan*1000/50</f>
        <v>-495</v>
      </c>
      <c r="C2726" s="52">
        <f t="shared" si="266"/>
        <v>290</v>
      </c>
      <c r="D2726" s="52">
        <f t="shared" si="264"/>
        <v>2200</v>
      </c>
      <c r="E2726" s="52">
        <f t="shared" si="265"/>
        <v>1</v>
      </c>
      <c r="F2726" s="52"/>
      <c r="G2726" s="52"/>
      <c r="H2726" s="52"/>
      <c r="I2726" s="52"/>
      <c r="J2726" s="52"/>
      <c r="K2726" s="52"/>
      <c r="L2726" s="52"/>
      <c r="M2726" s="52"/>
      <c r="N2726" s="52"/>
      <c r="O2726" s="52"/>
      <c r="P2726" s="52"/>
      <c r="Q2726" s="52"/>
      <c r="R2726" s="52"/>
      <c r="S2726" s="52"/>
      <c r="T2726" s="52"/>
      <c r="U2726" s="52"/>
      <c r="V2726" s="52"/>
      <c r="W2726" s="52"/>
      <c r="X2726" s="52"/>
      <c r="Y2726" s="52"/>
      <c r="Z2726" s="52"/>
      <c r="AA2726" s="52"/>
      <c r="AB2726" s="52"/>
      <c r="AC2726" s="52"/>
      <c r="AD2726" s="52"/>
      <c r="AE2726" s="52"/>
      <c r="AF2726" s="52"/>
      <c r="AG2726" s="52"/>
      <c r="AH2726" s="52"/>
      <c r="AI2726" s="52"/>
      <c r="AJ2726" s="52"/>
      <c r="AK2726" s="52"/>
      <c r="AL2726" s="52"/>
      <c r="AM2726" s="52"/>
      <c r="AN2726" s="52"/>
    </row>
    <row r="2727" spans="1:40" x14ac:dyDescent="0.3">
      <c r="A2727" s="52">
        <v>2722</v>
      </c>
      <c r="B2727" s="52">
        <f>-bthan*500+(21+0.5)*bthan*1000/50</f>
        <v>-385</v>
      </c>
      <c r="C2727" s="52">
        <f t="shared" si="266"/>
        <v>290</v>
      </c>
      <c r="D2727" s="52">
        <f t="shared" si="264"/>
        <v>2200</v>
      </c>
      <c r="E2727" s="52">
        <f t="shared" si="265"/>
        <v>1</v>
      </c>
      <c r="F2727" s="52"/>
      <c r="G2727" s="52"/>
      <c r="H2727" s="52"/>
      <c r="I2727" s="52"/>
      <c r="J2727" s="52"/>
      <c r="K2727" s="52"/>
      <c r="L2727" s="52"/>
      <c r="M2727" s="52"/>
      <c r="N2727" s="52"/>
      <c r="O2727" s="52"/>
      <c r="P2727" s="52"/>
      <c r="Q2727" s="52"/>
      <c r="R2727" s="52"/>
      <c r="S2727" s="52"/>
      <c r="T2727" s="52"/>
      <c r="U2727" s="52"/>
      <c r="V2727" s="52"/>
      <c r="W2727" s="52"/>
      <c r="X2727" s="52"/>
      <c r="Y2727" s="52"/>
      <c r="Z2727" s="52"/>
      <c r="AA2727" s="52"/>
      <c r="AB2727" s="52"/>
      <c r="AC2727" s="52"/>
      <c r="AD2727" s="52"/>
      <c r="AE2727" s="52"/>
      <c r="AF2727" s="52"/>
      <c r="AG2727" s="52"/>
      <c r="AH2727" s="52"/>
      <c r="AI2727" s="52"/>
      <c r="AJ2727" s="52"/>
      <c r="AK2727" s="52"/>
      <c r="AL2727" s="52"/>
      <c r="AM2727" s="52"/>
      <c r="AN2727" s="52"/>
    </row>
    <row r="2728" spans="1:40" x14ac:dyDescent="0.3">
      <c r="A2728" s="52">
        <v>2723</v>
      </c>
      <c r="B2728" s="52">
        <f>-bthan*500+(22+0.5)*bthan*1000/50</f>
        <v>-275</v>
      </c>
      <c r="C2728" s="52">
        <f t="shared" si="266"/>
        <v>290</v>
      </c>
      <c r="D2728" s="52">
        <f t="shared" si="264"/>
        <v>2200</v>
      </c>
      <c r="E2728" s="52">
        <f t="shared" si="265"/>
        <v>1</v>
      </c>
      <c r="F2728" s="52"/>
      <c r="G2728" s="52"/>
      <c r="H2728" s="52"/>
      <c r="I2728" s="52"/>
      <c r="J2728" s="52"/>
      <c r="K2728" s="52"/>
      <c r="L2728" s="52"/>
      <c r="M2728" s="52"/>
      <c r="N2728" s="52"/>
      <c r="O2728" s="52"/>
      <c r="P2728" s="52"/>
      <c r="Q2728" s="52"/>
      <c r="R2728" s="52"/>
      <c r="S2728" s="52"/>
      <c r="T2728" s="52"/>
      <c r="U2728" s="52"/>
      <c r="V2728" s="52"/>
      <c r="W2728" s="52"/>
      <c r="X2728" s="52"/>
      <c r="Y2728" s="52"/>
      <c r="Z2728" s="52"/>
      <c r="AA2728" s="52"/>
      <c r="AB2728" s="52"/>
      <c r="AC2728" s="52"/>
      <c r="AD2728" s="52"/>
      <c r="AE2728" s="52"/>
      <c r="AF2728" s="52"/>
      <c r="AG2728" s="52"/>
      <c r="AH2728" s="52"/>
      <c r="AI2728" s="52"/>
      <c r="AJ2728" s="52"/>
      <c r="AK2728" s="52"/>
      <c r="AL2728" s="52"/>
      <c r="AM2728" s="52"/>
      <c r="AN2728" s="52"/>
    </row>
    <row r="2729" spans="1:40" x14ac:dyDescent="0.3">
      <c r="A2729" s="52">
        <v>2724</v>
      </c>
      <c r="B2729" s="52">
        <f>-bthan*500+(23+0.5)*bthan*1000/50</f>
        <v>-165</v>
      </c>
      <c r="C2729" s="52">
        <f t="shared" si="266"/>
        <v>290</v>
      </c>
      <c r="D2729" s="52">
        <f t="shared" si="264"/>
        <v>2200</v>
      </c>
      <c r="E2729" s="52">
        <f t="shared" si="265"/>
        <v>1</v>
      </c>
      <c r="F2729" s="52"/>
      <c r="G2729" s="52"/>
      <c r="H2729" s="52"/>
      <c r="I2729" s="52"/>
      <c r="J2729" s="52"/>
      <c r="K2729" s="52"/>
      <c r="L2729" s="52"/>
      <c r="M2729" s="52"/>
      <c r="N2729" s="52"/>
      <c r="O2729" s="52"/>
      <c r="P2729" s="52"/>
      <c r="Q2729" s="52"/>
      <c r="R2729" s="52"/>
      <c r="S2729" s="52"/>
      <c r="T2729" s="52"/>
      <c r="U2729" s="52"/>
      <c r="V2729" s="52"/>
      <c r="W2729" s="52"/>
      <c r="X2729" s="52"/>
      <c r="Y2729" s="52"/>
      <c r="Z2729" s="52"/>
      <c r="AA2729" s="52"/>
      <c r="AB2729" s="52"/>
      <c r="AC2729" s="52"/>
      <c r="AD2729" s="52"/>
      <c r="AE2729" s="52"/>
      <c r="AF2729" s="52"/>
      <c r="AG2729" s="52"/>
      <c r="AH2729" s="52"/>
      <c r="AI2729" s="52"/>
      <c r="AJ2729" s="52"/>
      <c r="AK2729" s="52"/>
      <c r="AL2729" s="52"/>
      <c r="AM2729" s="52"/>
      <c r="AN2729" s="52"/>
    </row>
    <row r="2730" spans="1:40" x14ac:dyDescent="0.3">
      <c r="A2730" s="52">
        <v>2725</v>
      </c>
      <c r="B2730" s="52">
        <f>-bthan*500+(24+0.5)*bthan*1000/50</f>
        <v>-55</v>
      </c>
      <c r="C2730" s="52">
        <f t="shared" si="266"/>
        <v>290</v>
      </c>
      <c r="D2730" s="52">
        <f t="shared" si="264"/>
        <v>2200</v>
      </c>
      <c r="E2730" s="52">
        <f t="shared" si="265"/>
        <v>1</v>
      </c>
      <c r="F2730" s="52"/>
      <c r="G2730" s="52"/>
      <c r="H2730" s="52"/>
      <c r="I2730" s="52"/>
      <c r="J2730" s="52"/>
      <c r="K2730" s="52"/>
      <c r="L2730" s="52"/>
      <c r="M2730" s="52"/>
      <c r="N2730" s="52"/>
      <c r="O2730" s="52"/>
      <c r="P2730" s="52"/>
      <c r="Q2730" s="52"/>
      <c r="R2730" s="52"/>
      <c r="S2730" s="52"/>
      <c r="T2730" s="52"/>
      <c r="U2730" s="52"/>
      <c r="V2730" s="52"/>
      <c r="W2730" s="52"/>
      <c r="X2730" s="52"/>
      <c r="Y2730" s="52"/>
      <c r="Z2730" s="52"/>
      <c r="AA2730" s="52"/>
      <c r="AB2730" s="52"/>
      <c r="AC2730" s="52"/>
      <c r="AD2730" s="52"/>
      <c r="AE2730" s="52"/>
      <c r="AF2730" s="52"/>
      <c r="AG2730" s="52"/>
      <c r="AH2730" s="52"/>
      <c r="AI2730" s="52"/>
      <c r="AJ2730" s="52"/>
      <c r="AK2730" s="52"/>
      <c r="AL2730" s="52"/>
      <c r="AM2730" s="52"/>
      <c r="AN2730" s="52"/>
    </row>
    <row r="2731" spans="1:40" x14ac:dyDescent="0.3">
      <c r="A2731" s="52">
        <v>2726</v>
      </c>
      <c r="B2731" s="52">
        <f>-bthan*500+(25+0.5)*bthan*1000/50</f>
        <v>55</v>
      </c>
      <c r="C2731" s="52">
        <f t="shared" si="266"/>
        <v>290</v>
      </c>
      <c r="D2731" s="52">
        <f t="shared" si="264"/>
        <v>2200</v>
      </c>
      <c r="E2731" s="52">
        <f t="shared" si="265"/>
        <v>1</v>
      </c>
      <c r="F2731" s="52"/>
      <c r="G2731" s="52"/>
      <c r="H2731" s="52"/>
      <c r="I2731" s="52"/>
      <c r="J2731" s="52"/>
      <c r="K2731" s="52"/>
      <c r="L2731" s="52"/>
      <c r="M2731" s="52"/>
      <c r="N2731" s="52"/>
      <c r="O2731" s="52"/>
      <c r="P2731" s="52"/>
      <c r="Q2731" s="52"/>
      <c r="R2731" s="52"/>
      <c r="S2731" s="52"/>
      <c r="T2731" s="52"/>
      <c r="U2731" s="52"/>
      <c r="V2731" s="52"/>
      <c r="W2731" s="52"/>
      <c r="X2731" s="52"/>
      <c r="Y2731" s="52"/>
      <c r="Z2731" s="52"/>
      <c r="AA2731" s="52"/>
      <c r="AB2731" s="52"/>
      <c r="AC2731" s="52"/>
      <c r="AD2731" s="52"/>
      <c r="AE2731" s="52"/>
      <c r="AF2731" s="52"/>
      <c r="AG2731" s="52"/>
      <c r="AH2731" s="52"/>
      <c r="AI2731" s="52"/>
      <c r="AJ2731" s="52"/>
      <c r="AK2731" s="52"/>
      <c r="AL2731" s="52"/>
      <c r="AM2731" s="52"/>
      <c r="AN2731" s="52"/>
    </row>
    <row r="2732" spans="1:40" x14ac:dyDescent="0.3">
      <c r="A2732" s="52">
        <v>2727</v>
      </c>
      <c r="B2732" s="52">
        <f>-bthan*500+(26+0.5)*bthan*1000/50</f>
        <v>165</v>
      </c>
      <c r="C2732" s="52">
        <f t="shared" si="266"/>
        <v>290</v>
      </c>
      <c r="D2732" s="52">
        <f t="shared" si="264"/>
        <v>2200</v>
      </c>
      <c r="E2732" s="52">
        <f t="shared" si="265"/>
        <v>1</v>
      </c>
      <c r="F2732" s="52"/>
      <c r="G2732" s="52"/>
      <c r="H2732" s="52"/>
      <c r="I2732" s="52"/>
      <c r="J2732" s="52"/>
      <c r="K2732" s="52"/>
      <c r="L2732" s="52"/>
      <c r="M2732" s="52"/>
      <c r="N2732" s="52"/>
      <c r="O2732" s="52"/>
      <c r="P2732" s="52"/>
      <c r="Q2732" s="52"/>
      <c r="R2732" s="52"/>
      <c r="S2732" s="52"/>
      <c r="T2732" s="52"/>
      <c r="U2732" s="52"/>
      <c r="V2732" s="52"/>
      <c r="W2732" s="52"/>
      <c r="X2732" s="52"/>
      <c r="Y2732" s="52"/>
      <c r="Z2732" s="52"/>
      <c r="AA2732" s="52"/>
      <c r="AB2732" s="52"/>
      <c r="AC2732" s="52"/>
      <c r="AD2732" s="52"/>
      <c r="AE2732" s="52"/>
      <c r="AF2732" s="52"/>
      <c r="AG2732" s="52"/>
      <c r="AH2732" s="52"/>
      <c r="AI2732" s="52"/>
      <c r="AJ2732" s="52"/>
      <c r="AK2732" s="52"/>
      <c r="AL2732" s="52"/>
      <c r="AM2732" s="52"/>
      <c r="AN2732" s="52"/>
    </row>
    <row r="2733" spans="1:40" x14ac:dyDescent="0.3">
      <c r="A2733" s="52">
        <v>2728</v>
      </c>
      <c r="B2733" s="52">
        <f>-bthan*500+(27+0.5)*bthan*1000/50</f>
        <v>275</v>
      </c>
      <c r="C2733" s="52">
        <f t="shared" si="266"/>
        <v>290</v>
      </c>
      <c r="D2733" s="52">
        <f t="shared" si="264"/>
        <v>2200</v>
      </c>
      <c r="E2733" s="52">
        <f t="shared" si="265"/>
        <v>1</v>
      </c>
      <c r="F2733" s="52"/>
      <c r="G2733" s="52"/>
      <c r="H2733" s="52"/>
      <c r="I2733" s="52"/>
      <c r="J2733" s="52"/>
      <c r="K2733" s="52"/>
      <c r="L2733" s="52"/>
      <c r="M2733" s="52"/>
      <c r="N2733" s="52"/>
      <c r="O2733" s="52"/>
      <c r="P2733" s="52"/>
      <c r="Q2733" s="52"/>
      <c r="R2733" s="52"/>
      <c r="S2733" s="52"/>
      <c r="T2733" s="52"/>
      <c r="U2733" s="52"/>
      <c r="V2733" s="52"/>
      <c r="W2733" s="52"/>
      <c r="X2733" s="52"/>
      <c r="Y2733" s="52"/>
      <c r="Z2733" s="52"/>
      <c r="AA2733" s="52"/>
      <c r="AB2733" s="52"/>
      <c r="AC2733" s="52"/>
      <c r="AD2733" s="52"/>
      <c r="AE2733" s="52"/>
      <c r="AF2733" s="52"/>
      <c r="AG2733" s="52"/>
      <c r="AH2733" s="52"/>
      <c r="AI2733" s="52"/>
      <c r="AJ2733" s="52"/>
      <c r="AK2733" s="52"/>
      <c r="AL2733" s="52"/>
      <c r="AM2733" s="52"/>
      <c r="AN2733" s="52"/>
    </row>
    <row r="2734" spans="1:40" x14ac:dyDescent="0.3">
      <c r="A2734" s="52">
        <v>2729</v>
      </c>
      <c r="B2734" s="52">
        <f>-bthan*500+(28+0.5)*bthan*1000/50</f>
        <v>385</v>
      </c>
      <c r="C2734" s="52">
        <f t="shared" si="266"/>
        <v>290</v>
      </c>
      <c r="D2734" s="52">
        <f t="shared" si="264"/>
        <v>2200</v>
      </c>
      <c r="E2734" s="52">
        <f t="shared" si="265"/>
        <v>1</v>
      </c>
      <c r="F2734" s="52"/>
      <c r="G2734" s="52"/>
      <c r="H2734" s="52"/>
      <c r="I2734" s="52"/>
      <c r="J2734" s="52"/>
      <c r="K2734" s="52"/>
      <c r="L2734" s="52"/>
      <c r="M2734" s="52"/>
      <c r="N2734" s="52"/>
      <c r="O2734" s="52"/>
      <c r="P2734" s="52"/>
      <c r="Q2734" s="52"/>
      <c r="R2734" s="52"/>
      <c r="S2734" s="52"/>
      <c r="T2734" s="52"/>
      <c r="U2734" s="52"/>
      <c r="V2734" s="52"/>
      <c r="W2734" s="52"/>
      <c r="X2734" s="52"/>
      <c r="Y2734" s="52"/>
      <c r="Z2734" s="52"/>
      <c r="AA2734" s="52"/>
      <c r="AB2734" s="52"/>
      <c r="AC2734" s="52"/>
      <c r="AD2734" s="52"/>
      <c r="AE2734" s="52"/>
      <c r="AF2734" s="52"/>
      <c r="AG2734" s="52"/>
      <c r="AH2734" s="52"/>
      <c r="AI2734" s="52"/>
      <c r="AJ2734" s="52"/>
      <c r="AK2734" s="52"/>
      <c r="AL2734" s="52"/>
      <c r="AM2734" s="52"/>
      <c r="AN2734" s="52"/>
    </row>
    <row r="2735" spans="1:40" x14ac:dyDescent="0.3">
      <c r="A2735" s="52">
        <v>2730</v>
      </c>
      <c r="B2735" s="52">
        <f>-bthan*500+(29+0.5)*bthan*1000/50</f>
        <v>495</v>
      </c>
      <c r="C2735" s="52">
        <f t="shared" si="266"/>
        <v>290</v>
      </c>
      <c r="D2735" s="52">
        <f t="shared" si="264"/>
        <v>2200</v>
      </c>
      <c r="E2735" s="52">
        <f t="shared" si="265"/>
        <v>1</v>
      </c>
      <c r="F2735" s="52"/>
      <c r="G2735" s="52"/>
      <c r="H2735" s="52"/>
      <c r="I2735" s="52"/>
      <c r="J2735" s="52"/>
      <c r="K2735" s="52"/>
      <c r="L2735" s="52"/>
      <c r="M2735" s="52"/>
      <c r="N2735" s="52"/>
      <c r="O2735" s="52"/>
      <c r="P2735" s="52"/>
      <c r="Q2735" s="52"/>
      <c r="R2735" s="52"/>
      <c r="S2735" s="52"/>
      <c r="T2735" s="52"/>
      <c r="U2735" s="52"/>
      <c r="V2735" s="52"/>
      <c r="W2735" s="52"/>
      <c r="X2735" s="52"/>
      <c r="Y2735" s="52"/>
      <c r="Z2735" s="52"/>
      <c r="AA2735" s="52"/>
      <c r="AB2735" s="52"/>
      <c r="AC2735" s="52"/>
      <c r="AD2735" s="52"/>
      <c r="AE2735" s="52"/>
      <c r="AF2735" s="52"/>
      <c r="AG2735" s="52"/>
      <c r="AH2735" s="52"/>
      <c r="AI2735" s="52"/>
      <c r="AJ2735" s="52"/>
      <c r="AK2735" s="52"/>
      <c r="AL2735" s="52"/>
      <c r="AM2735" s="52"/>
      <c r="AN2735" s="52"/>
    </row>
    <row r="2736" spans="1:40" x14ac:dyDescent="0.3">
      <c r="A2736" s="52">
        <v>2731</v>
      </c>
      <c r="B2736" s="52">
        <f>-bthan*500+(30+0.5)*bthan*1000/50</f>
        <v>605</v>
      </c>
      <c r="C2736" s="52">
        <f t="shared" si="266"/>
        <v>290</v>
      </c>
      <c r="D2736" s="52">
        <f t="shared" si="264"/>
        <v>2200</v>
      </c>
      <c r="E2736" s="52">
        <f t="shared" si="265"/>
        <v>1</v>
      </c>
      <c r="F2736" s="52"/>
      <c r="G2736" s="52"/>
      <c r="H2736" s="52"/>
      <c r="I2736" s="52"/>
      <c r="J2736" s="52"/>
      <c r="K2736" s="52"/>
      <c r="L2736" s="52"/>
      <c r="M2736" s="52"/>
      <c r="N2736" s="52"/>
      <c r="O2736" s="52"/>
      <c r="P2736" s="52"/>
      <c r="Q2736" s="52"/>
      <c r="R2736" s="52"/>
      <c r="S2736" s="52"/>
      <c r="T2736" s="52"/>
      <c r="U2736" s="52"/>
      <c r="V2736" s="52"/>
      <c r="W2736" s="52"/>
      <c r="X2736" s="52"/>
      <c r="Y2736" s="52"/>
      <c r="Z2736" s="52"/>
      <c r="AA2736" s="52"/>
      <c r="AB2736" s="52"/>
      <c r="AC2736" s="52"/>
      <c r="AD2736" s="52"/>
      <c r="AE2736" s="52"/>
      <c r="AF2736" s="52"/>
      <c r="AG2736" s="52"/>
      <c r="AH2736" s="52"/>
      <c r="AI2736" s="52"/>
      <c r="AJ2736" s="52"/>
      <c r="AK2736" s="52"/>
      <c r="AL2736" s="52"/>
      <c r="AM2736" s="52"/>
      <c r="AN2736" s="52"/>
    </row>
    <row r="2737" spans="1:40" x14ac:dyDescent="0.3">
      <c r="A2737" s="52">
        <v>2732</v>
      </c>
      <c r="B2737" s="52">
        <f>-bthan*500+(31+0.5)*bthan*1000/50</f>
        <v>715</v>
      </c>
      <c r="C2737" s="52">
        <f t="shared" si="266"/>
        <v>290</v>
      </c>
      <c r="D2737" s="52">
        <f t="shared" si="264"/>
        <v>2200</v>
      </c>
      <c r="E2737" s="52">
        <f t="shared" si="265"/>
        <v>1</v>
      </c>
      <c r="F2737" s="52"/>
      <c r="G2737" s="52"/>
      <c r="H2737" s="52"/>
      <c r="I2737" s="52"/>
      <c r="J2737" s="52"/>
      <c r="K2737" s="52"/>
      <c r="L2737" s="52"/>
      <c r="M2737" s="52"/>
      <c r="N2737" s="52"/>
      <c r="O2737" s="52"/>
      <c r="P2737" s="52"/>
      <c r="Q2737" s="52"/>
      <c r="R2737" s="52"/>
      <c r="S2737" s="52"/>
      <c r="T2737" s="52"/>
      <c r="U2737" s="52"/>
      <c r="V2737" s="52"/>
      <c r="W2737" s="52"/>
      <c r="X2737" s="52"/>
      <c r="Y2737" s="52"/>
      <c r="Z2737" s="52"/>
      <c r="AA2737" s="52"/>
      <c r="AB2737" s="52"/>
      <c r="AC2737" s="52"/>
      <c r="AD2737" s="52"/>
      <c r="AE2737" s="52"/>
      <c r="AF2737" s="52"/>
      <c r="AG2737" s="52"/>
      <c r="AH2737" s="52"/>
      <c r="AI2737" s="52"/>
      <c r="AJ2737" s="52"/>
      <c r="AK2737" s="52"/>
      <c r="AL2737" s="52"/>
      <c r="AM2737" s="52"/>
      <c r="AN2737" s="52"/>
    </row>
    <row r="2738" spans="1:40" x14ac:dyDescent="0.3">
      <c r="A2738" s="52">
        <v>2733</v>
      </c>
      <c r="B2738" s="52">
        <f>-bthan*500+(32+0.5)*bthan*1000/50</f>
        <v>825</v>
      </c>
      <c r="C2738" s="52">
        <f t="shared" ref="C2738:C2755" si="267">-hthan*500+(54+0.5)*hthan*1000/80</f>
        <v>290</v>
      </c>
      <c r="D2738" s="52">
        <f t="shared" si="264"/>
        <v>2200</v>
      </c>
      <c r="E2738" s="52">
        <f t="shared" si="265"/>
        <v>1</v>
      </c>
      <c r="F2738" s="52"/>
      <c r="G2738" s="52"/>
      <c r="H2738" s="52"/>
      <c r="I2738" s="52"/>
      <c r="J2738" s="52"/>
      <c r="K2738" s="52"/>
      <c r="L2738" s="52"/>
      <c r="M2738" s="52"/>
      <c r="N2738" s="52"/>
      <c r="O2738" s="52"/>
      <c r="P2738" s="52"/>
      <c r="Q2738" s="52"/>
      <c r="R2738" s="52"/>
      <c r="S2738" s="52"/>
      <c r="T2738" s="52"/>
      <c r="U2738" s="52"/>
      <c r="V2738" s="52"/>
      <c r="W2738" s="52"/>
      <c r="X2738" s="52"/>
      <c r="Y2738" s="52"/>
      <c r="Z2738" s="52"/>
      <c r="AA2738" s="52"/>
      <c r="AB2738" s="52"/>
      <c r="AC2738" s="52"/>
      <c r="AD2738" s="52"/>
      <c r="AE2738" s="52"/>
      <c r="AF2738" s="52"/>
      <c r="AG2738" s="52"/>
      <c r="AH2738" s="52"/>
      <c r="AI2738" s="52"/>
      <c r="AJ2738" s="52"/>
      <c r="AK2738" s="52"/>
      <c r="AL2738" s="52"/>
      <c r="AM2738" s="52"/>
      <c r="AN2738" s="52"/>
    </row>
    <row r="2739" spans="1:40" x14ac:dyDescent="0.3">
      <c r="A2739" s="52">
        <v>2734</v>
      </c>
      <c r="B2739" s="52">
        <f>-bthan*500+(33+0.5)*bthan*1000/50</f>
        <v>935</v>
      </c>
      <c r="C2739" s="52">
        <f t="shared" si="267"/>
        <v>290</v>
      </c>
      <c r="D2739" s="52">
        <f t="shared" si="264"/>
        <v>2200</v>
      </c>
      <c r="E2739" s="52">
        <f t="shared" si="265"/>
        <v>1</v>
      </c>
      <c r="F2739" s="52"/>
      <c r="G2739" s="52"/>
      <c r="H2739" s="52"/>
      <c r="I2739" s="52"/>
      <c r="J2739" s="52"/>
      <c r="K2739" s="52"/>
      <c r="L2739" s="52"/>
      <c r="M2739" s="52"/>
      <c r="N2739" s="52"/>
      <c r="O2739" s="52"/>
      <c r="P2739" s="52"/>
      <c r="Q2739" s="52"/>
      <c r="R2739" s="52"/>
      <c r="S2739" s="52"/>
      <c r="T2739" s="52"/>
      <c r="U2739" s="52"/>
      <c r="V2739" s="52"/>
      <c r="W2739" s="52"/>
      <c r="X2739" s="52"/>
      <c r="Y2739" s="52"/>
      <c r="Z2739" s="52"/>
      <c r="AA2739" s="52"/>
      <c r="AB2739" s="52"/>
      <c r="AC2739" s="52"/>
      <c r="AD2739" s="52"/>
      <c r="AE2739" s="52"/>
      <c r="AF2739" s="52"/>
      <c r="AG2739" s="52"/>
      <c r="AH2739" s="52"/>
      <c r="AI2739" s="52"/>
      <c r="AJ2739" s="52"/>
      <c r="AK2739" s="52"/>
      <c r="AL2739" s="52"/>
      <c r="AM2739" s="52"/>
      <c r="AN2739" s="52"/>
    </row>
    <row r="2740" spans="1:40" x14ac:dyDescent="0.3">
      <c r="A2740" s="52">
        <v>2735</v>
      </c>
      <c r="B2740" s="52">
        <f>-bthan*500+(34+0.5)*bthan*1000/50</f>
        <v>1045</v>
      </c>
      <c r="C2740" s="52">
        <f t="shared" si="267"/>
        <v>290</v>
      </c>
      <c r="D2740" s="52">
        <f t="shared" si="264"/>
        <v>2200</v>
      </c>
      <c r="E2740" s="52">
        <f t="shared" si="265"/>
        <v>1</v>
      </c>
      <c r="F2740" s="52"/>
      <c r="G2740" s="52"/>
      <c r="H2740" s="52"/>
      <c r="I2740" s="52"/>
      <c r="J2740" s="52"/>
      <c r="K2740" s="52"/>
      <c r="L2740" s="52"/>
      <c r="M2740" s="52"/>
      <c r="N2740" s="52"/>
      <c r="O2740" s="52"/>
      <c r="P2740" s="52"/>
      <c r="Q2740" s="52"/>
      <c r="R2740" s="52"/>
      <c r="S2740" s="52"/>
      <c r="T2740" s="52"/>
      <c r="U2740" s="52"/>
      <c r="V2740" s="52"/>
      <c r="W2740" s="52"/>
      <c r="X2740" s="52"/>
      <c r="Y2740" s="52"/>
      <c r="Z2740" s="52"/>
      <c r="AA2740" s="52"/>
      <c r="AB2740" s="52"/>
      <c r="AC2740" s="52"/>
      <c r="AD2740" s="52"/>
      <c r="AE2740" s="52"/>
      <c r="AF2740" s="52"/>
      <c r="AG2740" s="52"/>
      <c r="AH2740" s="52"/>
      <c r="AI2740" s="52"/>
      <c r="AJ2740" s="52"/>
      <c r="AK2740" s="52"/>
      <c r="AL2740" s="52"/>
      <c r="AM2740" s="52"/>
      <c r="AN2740" s="52"/>
    </row>
    <row r="2741" spans="1:40" x14ac:dyDescent="0.3">
      <c r="A2741" s="52">
        <v>2736</v>
      </c>
      <c r="B2741" s="52">
        <f>-bthan*500+(35+0.5)*bthan*1000/50</f>
        <v>1155</v>
      </c>
      <c r="C2741" s="52">
        <f t="shared" si="267"/>
        <v>290</v>
      </c>
      <c r="D2741" s="52">
        <f t="shared" si="264"/>
        <v>2200</v>
      </c>
      <c r="E2741" s="52">
        <f t="shared" si="265"/>
        <v>1</v>
      </c>
      <c r="F2741" s="52"/>
      <c r="G2741" s="52"/>
      <c r="H2741" s="52"/>
      <c r="I2741" s="52"/>
      <c r="J2741" s="52"/>
      <c r="K2741" s="52"/>
      <c r="L2741" s="52"/>
      <c r="M2741" s="52"/>
      <c r="N2741" s="52"/>
      <c r="O2741" s="52"/>
      <c r="P2741" s="52"/>
      <c r="Q2741" s="52"/>
      <c r="R2741" s="52"/>
      <c r="S2741" s="52"/>
      <c r="T2741" s="52"/>
      <c r="U2741" s="52"/>
      <c r="V2741" s="52"/>
      <c r="W2741" s="52"/>
      <c r="X2741" s="52"/>
      <c r="Y2741" s="52"/>
      <c r="Z2741" s="52"/>
      <c r="AA2741" s="52"/>
      <c r="AB2741" s="52"/>
      <c r="AC2741" s="52"/>
      <c r="AD2741" s="52"/>
      <c r="AE2741" s="52"/>
      <c r="AF2741" s="52"/>
      <c r="AG2741" s="52"/>
      <c r="AH2741" s="52"/>
      <c r="AI2741" s="52"/>
      <c r="AJ2741" s="52"/>
      <c r="AK2741" s="52"/>
      <c r="AL2741" s="52"/>
      <c r="AM2741" s="52"/>
      <c r="AN2741" s="52"/>
    </row>
    <row r="2742" spans="1:40" x14ac:dyDescent="0.3">
      <c r="A2742" s="52">
        <v>2737</v>
      </c>
      <c r="B2742" s="52">
        <f>-bthan*500+(36+0.5)*bthan*1000/50</f>
        <v>1265</v>
      </c>
      <c r="C2742" s="52">
        <f t="shared" si="267"/>
        <v>290</v>
      </c>
      <c r="D2742" s="52">
        <f t="shared" si="264"/>
        <v>2200</v>
      </c>
      <c r="E2742" s="52">
        <f t="shared" si="265"/>
        <v>1</v>
      </c>
      <c r="F2742" s="52"/>
      <c r="G2742" s="52"/>
      <c r="H2742" s="52"/>
      <c r="I2742" s="52"/>
      <c r="J2742" s="52"/>
      <c r="K2742" s="52"/>
      <c r="L2742" s="52"/>
      <c r="M2742" s="52"/>
      <c r="N2742" s="52"/>
      <c r="O2742" s="52"/>
      <c r="P2742" s="52"/>
      <c r="Q2742" s="52"/>
      <c r="R2742" s="52"/>
      <c r="S2742" s="52"/>
      <c r="T2742" s="52"/>
      <c r="U2742" s="52"/>
      <c r="V2742" s="52"/>
      <c r="W2742" s="52"/>
      <c r="X2742" s="52"/>
      <c r="Y2742" s="52"/>
      <c r="Z2742" s="52"/>
      <c r="AA2742" s="52"/>
      <c r="AB2742" s="52"/>
      <c r="AC2742" s="52"/>
      <c r="AD2742" s="52"/>
      <c r="AE2742" s="52"/>
      <c r="AF2742" s="52"/>
      <c r="AG2742" s="52"/>
      <c r="AH2742" s="52"/>
      <c r="AI2742" s="52"/>
      <c r="AJ2742" s="52"/>
      <c r="AK2742" s="52"/>
      <c r="AL2742" s="52"/>
      <c r="AM2742" s="52"/>
      <c r="AN2742" s="52"/>
    </row>
    <row r="2743" spans="1:40" x14ac:dyDescent="0.3">
      <c r="A2743" s="52">
        <v>2738</v>
      </c>
      <c r="B2743" s="52">
        <f>-bthan*500+(37+0.5)*bthan*1000/50</f>
        <v>1375</v>
      </c>
      <c r="C2743" s="52">
        <f t="shared" si="267"/>
        <v>290</v>
      </c>
      <c r="D2743" s="52">
        <f t="shared" si="264"/>
        <v>2200</v>
      </c>
      <c r="E2743" s="52">
        <f t="shared" si="265"/>
        <v>1</v>
      </c>
      <c r="F2743" s="52"/>
      <c r="G2743" s="52"/>
      <c r="H2743" s="52"/>
      <c r="I2743" s="52"/>
      <c r="J2743" s="52"/>
      <c r="K2743" s="52"/>
      <c r="L2743" s="52"/>
      <c r="M2743" s="52"/>
      <c r="N2743" s="52"/>
      <c r="O2743" s="52"/>
      <c r="P2743" s="52"/>
      <c r="Q2743" s="52"/>
      <c r="R2743" s="52"/>
      <c r="S2743" s="52"/>
      <c r="T2743" s="52"/>
      <c r="U2743" s="52"/>
      <c r="V2743" s="52"/>
      <c r="W2743" s="52"/>
      <c r="X2743" s="52"/>
      <c r="Y2743" s="52"/>
      <c r="Z2743" s="52"/>
      <c r="AA2743" s="52"/>
      <c r="AB2743" s="52"/>
      <c r="AC2743" s="52"/>
      <c r="AD2743" s="52"/>
      <c r="AE2743" s="52"/>
      <c r="AF2743" s="52"/>
      <c r="AG2743" s="52"/>
      <c r="AH2743" s="52"/>
      <c r="AI2743" s="52"/>
      <c r="AJ2743" s="52"/>
      <c r="AK2743" s="52"/>
      <c r="AL2743" s="52"/>
      <c r="AM2743" s="52"/>
      <c r="AN2743" s="52"/>
    </row>
    <row r="2744" spans="1:40" x14ac:dyDescent="0.3">
      <c r="A2744" s="52">
        <v>2739</v>
      </c>
      <c r="B2744" s="52">
        <f>-bthan*500+(38+0.5)*bthan*1000/50</f>
        <v>1485</v>
      </c>
      <c r="C2744" s="52">
        <f t="shared" si="267"/>
        <v>290</v>
      </c>
      <c r="D2744" s="52">
        <f t="shared" si="264"/>
        <v>2200</v>
      </c>
      <c r="E2744" s="52">
        <f t="shared" si="265"/>
        <v>1</v>
      </c>
      <c r="F2744" s="52"/>
      <c r="G2744" s="52"/>
      <c r="H2744" s="52"/>
      <c r="I2744" s="52"/>
      <c r="J2744" s="52"/>
      <c r="K2744" s="52"/>
      <c r="L2744" s="52"/>
      <c r="M2744" s="52"/>
      <c r="N2744" s="52"/>
      <c r="O2744" s="52"/>
      <c r="P2744" s="52"/>
      <c r="Q2744" s="52"/>
      <c r="R2744" s="52"/>
      <c r="S2744" s="52"/>
      <c r="T2744" s="52"/>
      <c r="U2744" s="52"/>
      <c r="V2744" s="52"/>
      <c r="W2744" s="52"/>
      <c r="X2744" s="52"/>
      <c r="Y2744" s="52"/>
      <c r="Z2744" s="52"/>
      <c r="AA2744" s="52"/>
      <c r="AB2744" s="52"/>
      <c r="AC2744" s="52"/>
      <c r="AD2744" s="52"/>
      <c r="AE2744" s="52"/>
      <c r="AF2744" s="52"/>
      <c r="AG2744" s="52"/>
      <c r="AH2744" s="52"/>
      <c r="AI2744" s="52"/>
      <c r="AJ2744" s="52"/>
      <c r="AK2744" s="52"/>
      <c r="AL2744" s="52"/>
      <c r="AM2744" s="52"/>
      <c r="AN2744" s="52"/>
    </row>
    <row r="2745" spans="1:40" x14ac:dyDescent="0.3">
      <c r="A2745" s="52">
        <v>2740</v>
      </c>
      <c r="B2745" s="52">
        <f>-bthan*500+(39+0.5)*bthan*1000/50</f>
        <v>1595</v>
      </c>
      <c r="C2745" s="52">
        <f t="shared" si="267"/>
        <v>290</v>
      </c>
      <c r="D2745" s="52">
        <f t="shared" si="264"/>
        <v>2200</v>
      </c>
      <c r="E2745" s="52">
        <f t="shared" si="265"/>
        <v>1</v>
      </c>
      <c r="F2745" s="52"/>
      <c r="G2745" s="52"/>
      <c r="H2745" s="52"/>
      <c r="I2745" s="52"/>
      <c r="J2745" s="52"/>
      <c r="K2745" s="52"/>
      <c r="L2745" s="52"/>
      <c r="M2745" s="52"/>
      <c r="N2745" s="52"/>
      <c r="O2745" s="52"/>
      <c r="P2745" s="52"/>
      <c r="Q2745" s="52"/>
      <c r="R2745" s="52"/>
      <c r="S2745" s="52"/>
      <c r="T2745" s="52"/>
      <c r="U2745" s="52"/>
      <c r="V2745" s="52"/>
      <c r="W2745" s="52"/>
      <c r="X2745" s="52"/>
      <c r="Y2745" s="52"/>
      <c r="Z2745" s="52"/>
      <c r="AA2745" s="52"/>
      <c r="AB2745" s="52"/>
      <c r="AC2745" s="52"/>
      <c r="AD2745" s="52"/>
      <c r="AE2745" s="52"/>
      <c r="AF2745" s="52"/>
      <c r="AG2745" s="52"/>
      <c r="AH2745" s="52"/>
      <c r="AI2745" s="52"/>
      <c r="AJ2745" s="52"/>
      <c r="AK2745" s="52"/>
      <c r="AL2745" s="52"/>
      <c r="AM2745" s="52"/>
      <c r="AN2745" s="52"/>
    </row>
    <row r="2746" spans="1:40" x14ac:dyDescent="0.3">
      <c r="A2746" s="52">
        <v>2741</v>
      </c>
      <c r="B2746" s="52">
        <f>-bthan*500+(40+0.5)*bthan*1000/50</f>
        <v>1705</v>
      </c>
      <c r="C2746" s="52">
        <f t="shared" si="267"/>
        <v>290</v>
      </c>
      <c r="D2746" s="52">
        <f t="shared" si="264"/>
        <v>2200</v>
      </c>
      <c r="E2746" s="52">
        <f t="shared" si="265"/>
        <v>1</v>
      </c>
      <c r="F2746" s="52"/>
      <c r="G2746" s="52"/>
      <c r="H2746" s="52"/>
      <c r="I2746" s="52"/>
      <c r="J2746" s="52"/>
      <c r="K2746" s="52"/>
      <c r="L2746" s="52"/>
      <c r="M2746" s="52"/>
      <c r="N2746" s="52"/>
      <c r="O2746" s="52"/>
      <c r="P2746" s="52"/>
      <c r="Q2746" s="52"/>
      <c r="R2746" s="52"/>
      <c r="S2746" s="52"/>
      <c r="T2746" s="52"/>
      <c r="U2746" s="52"/>
      <c r="V2746" s="52"/>
      <c r="W2746" s="52"/>
      <c r="X2746" s="52"/>
      <c r="Y2746" s="52"/>
      <c r="Z2746" s="52"/>
      <c r="AA2746" s="52"/>
      <c r="AB2746" s="52"/>
      <c r="AC2746" s="52"/>
      <c r="AD2746" s="52"/>
      <c r="AE2746" s="52"/>
      <c r="AF2746" s="52"/>
      <c r="AG2746" s="52"/>
      <c r="AH2746" s="52"/>
      <c r="AI2746" s="52"/>
      <c r="AJ2746" s="52"/>
      <c r="AK2746" s="52"/>
      <c r="AL2746" s="52"/>
      <c r="AM2746" s="52"/>
      <c r="AN2746" s="52"/>
    </row>
    <row r="2747" spans="1:40" x14ac:dyDescent="0.3">
      <c r="A2747" s="52">
        <v>2742</v>
      </c>
      <c r="B2747" s="52">
        <f>-bthan*500+(41+0.5)*bthan*1000/50</f>
        <v>1815</v>
      </c>
      <c r="C2747" s="52">
        <f t="shared" si="267"/>
        <v>290</v>
      </c>
      <c r="D2747" s="52">
        <f t="shared" si="264"/>
        <v>2200</v>
      </c>
      <c r="E2747" s="52">
        <f t="shared" si="265"/>
        <v>1</v>
      </c>
      <c r="F2747" s="52"/>
      <c r="G2747" s="52"/>
      <c r="H2747" s="52"/>
      <c r="I2747" s="52"/>
      <c r="J2747" s="52"/>
      <c r="K2747" s="52"/>
      <c r="L2747" s="52"/>
      <c r="M2747" s="52"/>
      <c r="N2747" s="52"/>
      <c r="O2747" s="52"/>
      <c r="P2747" s="52"/>
      <c r="Q2747" s="52"/>
      <c r="R2747" s="52"/>
      <c r="S2747" s="52"/>
      <c r="T2747" s="52"/>
      <c r="U2747" s="52"/>
      <c r="V2747" s="52"/>
      <c r="W2747" s="52"/>
      <c r="X2747" s="52"/>
      <c r="Y2747" s="52"/>
      <c r="Z2747" s="52"/>
      <c r="AA2747" s="52"/>
      <c r="AB2747" s="52"/>
      <c r="AC2747" s="52"/>
      <c r="AD2747" s="52"/>
      <c r="AE2747" s="52"/>
      <c r="AF2747" s="52"/>
      <c r="AG2747" s="52"/>
      <c r="AH2747" s="52"/>
      <c r="AI2747" s="52"/>
      <c r="AJ2747" s="52"/>
      <c r="AK2747" s="52"/>
      <c r="AL2747" s="52"/>
      <c r="AM2747" s="52"/>
      <c r="AN2747" s="52"/>
    </row>
    <row r="2748" spans="1:40" x14ac:dyDescent="0.3">
      <c r="A2748" s="52">
        <v>2743</v>
      </c>
      <c r="B2748" s="52">
        <f>-bthan*500+(42+0.5)*bthan*1000/50</f>
        <v>1925</v>
      </c>
      <c r="C2748" s="52">
        <f t="shared" si="267"/>
        <v>290</v>
      </c>
      <c r="D2748" s="52">
        <f t="shared" si="264"/>
        <v>2200</v>
      </c>
      <c r="E2748" s="52">
        <f t="shared" si="265"/>
        <v>1</v>
      </c>
      <c r="F2748" s="52"/>
      <c r="G2748" s="52"/>
      <c r="H2748" s="52"/>
      <c r="I2748" s="52"/>
      <c r="J2748" s="52"/>
      <c r="K2748" s="52"/>
      <c r="L2748" s="52"/>
      <c r="M2748" s="52"/>
      <c r="N2748" s="52"/>
      <c r="O2748" s="52"/>
      <c r="P2748" s="52"/>
      <c r="Q2748" s="52"/>
      <c r="R2748" s="52"/>
      <c r="S2748" s="52"/>
      <c r="T2748" s="52"/>
      <c r="U2748" s="52"/>
      <c r="V2748" s="52"/>
      <c r="W2748" s="52"/>
      <c r="X2748" s="52"/>
      <c r="Y2748" s="52"/>
      <c r="Z2748" s="52"/>
      <c r="AA2748" s="52"/>
      <c r="AB2748" s="52"/>
      <c r="AC2748" s="52"/>
      <c r="AD2748" s="52"/>
      <c r="AE2748" s="52"/>
      <c r="AF2748" s="52"/>
      <c r="AG2748" s="52"/>
      <c r="AH2748" s="52"/>
      <c r="AI2748" s="52"/>
      <c r="AJ2748" s="52"/>
      <c r="AK2748" s="52"/>
      <c r="AL2748" s="52"/>
      <c r="AM2748" s="52"/>
      <c r="AN2748" s="52"/>
    </row>
    <row r="2749" spans="1:40" x14ac:dyDescent="0.3">
      <c r="A2749" s="52">
        <v>2744</v>
      </c>
      <c r="B2749" s="52">
        <f>-bthan*500+(43+0.5)*bthan*1000/50</f>
        <v>2035</v>
      </c>
      <c r="C2749" s="52">
        <f t="shared" si="267"/>
        <v>290</v>
      </c>
      <c r="D2749" s="52">
        <f t="shared" si="264"/>
        <v>2200</v>
      </c>
      <c r="E2749" s="52">
        <f t="shared" si="265"/>
        <v>1</v>
      </c>
      <c r="F2749" s="52"/>
      <c r="G2749" s="52"/>
      <c r="H2749" s="52"/>
      <c r="I2749" s="52"/>
      <c r="J2749" s="52"/>
      <c r="K2749" s="52"/>
      <c r="L2749" s="52"/>
      <c r="M2749" s="52"/>
      <c r="N2749" s="52"/>
      <c r="O2749" s="52"/>
      <c r="P2749" s="52"/>
      <c r="Q2749" s="52"/>
      <c r="R2749" s="52"/>
      <c r="S2749" s="52"/>
      <c r="T2749" s="52"/>
      <c r="U2749" s="52"/>
      <c r="V2749" s="52"/>
      <c r="W2749" s="52"/>
      <c r="X2749" s="52"/>
      <c r="Y2749" s="52"/>
      <c r="Z2749" s="52"/>
      <c r="AA2749" s="52"/>
      <c r="AB2749" s="52"/>
      <c r="AC2749" s="52"/>
      <c r="AD2749" s="52"/>
      <c r="AE2749" s="52"/>
      <c r="AF2749" s="52"/>
      <c r="AG2749" s="52"/>
      <c r="AH2749" s="52"/>
      <c r="AI2749" s="52"/>
      <c r="AJ2749" s="52"/>
      <c r="AK2749" s="52"/>
      <c r="AL2749" s="52"/>
      <c r="AM2749" s="52"/>
      <c r="AN2749" s="52"/>
    </row>
    <row r="2750" spans="1:40" x14ac:dyDescent="0.3">
      <c r="A2750" s="52">
        <v>2745</v>
      </c>
      <c r="B2750" s="52">
        <f>-bthan*500+(44+0.5)*bthan*1000/50</f>
        <v>2145</v>
      </c>
      <c r="C2750" s="52">
        <f t="shared" si="267"/>
        <v>290</v>
      </c>
      <c r="D2750" s="52">
        <f t="shared" si="264"/>
        <v>2200</v>
      </c>
      <c r="E2750" s="52">
        <f t="shared" si="265"/>
        <v>1</v>
      </c>
      <c r="F2750" s="52"/>
      <c r="G2750" s="52"/>
      <c r="H2750" s="52"/>
      <c r="I2750" s="52"/>
      <c r="J2750" s="52"/>
      <c r="K2750" s="52"/>
      <c r="L2750" s="52"/>
      <c r="M2750" s="52"/>
      <c r="N2750" s="52"/>
      <c r="O2750" s="52"/>
      <c r="P2750" s="52"/>
      <c r="Q2750" s="52"/>
      <c r="R2750" s="52"/>
      <c r="S2750" s="52"/>
      <c r="T2750" s="52"/>
      <c r="U2750" s="52"/>
      <c r="V2750" s="52"/>
      <c r="W2750" s="52"/>
      <c r="X2750" s="52"/>
      <c r="Y2750" s="52"/>
      <c r="Z2750" s="52"/>
      <c r="AA2750" s="52"/>
      <c r="AB2750" s="52"/>
      <c r="AC2750" s="52"/>
      <c r="AD2750" s="52"/>
      <c r="AE2750" s="52"/>
      <c r="AF2750" s="52"/>
      <c r="AG2750" s="52"/>
      <c r="AH2750" s="52"/>
      <c r="AI2750" s="52"/>
      <c r="AJ2750" s="52"/>
      <c r="AK2750" s="52"/>
      <c r="AL2750" s="52"/>
      <c r="AM2750" s="52"/>
      <c r="AN2750" s="52"/>
    </row>
    <row r="2751" spans="1:40" x14ac:dyDescent="0.3">
      <c r="A2751" s="52">
        <v>2746</v>
      </c>
      <c r="B2751" s="52">
        <f>-bthan*500+(45+0.5)*bthan*1000/50</f>
        <v>2255</v>
      </c>
      <c r="C2751" s="52">
        <f t="shared" si="267"/>
        <v>290</v>
      </c>
      <c r="D2751" s="52">
        <f t="shared" si="264"/>
        <v>2200</v>
      </c>
      <c r="E2751" s="52">
        <f t="shared" si="265"/>
        <v>1</v>
      </c>
      <c r="F2751" s="52"/>
      <c r="G2751" s="52"/>
      <c r="H2751" s="52"/>
      <c r="I2751" s="52"/>
      <c r="J2751" s="52"/>
      <c r="K2751" s="52"/>
      <c r="L2751" s="52"/>
      <c r="M2751" s="52"/>
      <c r="N2751" s="52"/>
      <c r="O2751" s="52"/>
      <c r="P2751" s="52"/>
      <c r="Q2751" s="52"/>
      <c r="R2751" s="52"/>
      <c r="S2751" s="52"/>
      <c r="T2751" s="52"/>
      <c r="U2751" s="52"/>
      <c r="V2751" s="52"/>
      <c r="W2751" s="52"/>
      <c r="X2751" s="52"/>
      <c r="Y2751" s="52"/>
      <c r="Z2751" s="52"/>
      <c r="AA2751" s="52"/>
      <c r="AB2751" s="52"/>
      <c r="AC2751" s="52"/>
      <c r="AD2751" s="52"/>
      <c r="AE2751" s="52"/>
      <c r="AF2751" s="52"/>
      <c r="AG2751" s="52"/>
      <c r="AH2751" s="52"/>
      <c r="AI2751" s="52"/>
      <c r="AJ2751" s="52"/>
      <c r="AK2751" s="52"/>
      <c r="AL2751" s="52"/>
      <c r="AM2751" s="52"/>
      <c r="AN2751" s="52"/>
    </row>
    <row r="2752" spans="1:40" x14ac:dyDescent="0.3">
      <c r="A2752" s="52">
        <v>2747</v>
      </c>
      <c r="B2752" s="52">
        <f>-bthan*500+(46+0.5)*bthan*1000/50</f>
        <v>2365</v>
      </c>
      <c r="C2752" s="52">
        <f t="shared" si="267"/>
        <v>290</v>
      </c>
      <c r="D2752" s="52">
        <f t="shared" si="264"/>
        <v>2200</v>
      </c>
      <c r="E2752" s="52">
        <f t="shared" si="265"/>
        <v>1</v>
      </c>
      <c r="F2752" s="52"/>
      <c r="G2752" s="52"/>
      <c r="H2752" s="52"/>
      <c r="I2752" s="52"/>
      <c r="J2752" s="52"/>
      <c r="K2752" s="52"/>
      <c r="L2752" s="52"/>
      <c r="M2752" s="52"/>
      <c r="N2752" s="52"/>
      <c r="O2752" s="52"/>
      <c r="P2752" s="52"/>
      <c r="Q2752" s="52"/>
      <c r="R2752" s="52"/>
      <c r="S2752" s="52"/>
      <c r="T2752" s="52"/>
      <c r="U2752" s="52"/>
      <c r="V2752" s="52"/>
      <c r="W2752" s="52"/>
      <c r="X2752" s="52"/>
      <c r="Y2752" s="52"/>
      <c r="Z2752" s="52"/>
      <c r="AA2752" s="52"/>
      <c r="AB2752" s="52"/>
      <c r="AC2752" s="52"/>
      <c r="AD2752" s="52"/>
      <c r="AE2752" s="52"/>
      <c r="AF2752" s="52"/>
      <c r="AG2752" s="52"/>
      <c r="AH2752" s="52"/>
      <c r="AI2752" s="52"/>
      <c r="AJ2752" s="52"/>
      <c r="AK2752" s="52"/>
      <c r="AL2752" s="52"/>
      <c r="AM2752" s="52"/>
      <c r="AN2752" s="52"/>
    </row>
    <row r="2753" spans="1:40" x14ac:dyDescent="0.3">
      <c r="A2753" s="52">
        <v>2748</v>
      </c>
      <c r="B2753" s="52">
        <f>-bthan*500+(47+0.5)*bthan*1000/50</f>
        <v>2475</v>
      </c>
      <c r="C2753" s="52">
        <f t="shared" si="267"/>
        <v>290</v>
      </c>
      <c r="D2753" s="52">
        <f t="shared" si="264"/>
        <v>2200</v>
      </c>
      <c r="E2753" s="52">
        <f t="shared" si="265"/>
        <v>1</v>
      </c>
      <c r="F2753" s="52"/>
      <c r="G2753" s="52"/>
      <c r="H2753" s="52"/>
      <c r="I2753" s="52"/>
      <c r="J2753" s="52"/>
      <c r="K2753" s="52"/>
      <c r="L2753" s="52"/>
      <c r="M2753" s="52"/>
      <c r="N2753" s="52"/>
      <c r="O2753" s="52"/>
      <c r="P2753" s="52"/>
      <c r="Q2753" s="52"/>
      <c r="R2753" s="52"/>
      <c r="S2753" s="52"/>
      <c r="T2753" s="52"/>
      <c r="U2753" s="52"/>
      <c r="V2753" s="52"/>
      <c r="W2753" s="52"/>
      <c r="X2753" s="52"/>
      <c r="Y2753" s="52"/>
      <c r="Z2753" s="52"/>
      <c r="AA2753" s="52"/>
      <c r="AB2753" s="52"/>
      <c r="AC2753" s="52"/>
      <c r="AD2753" s="52"/>
      <c r="AE2753" s="52"/>
      <c r="AF2753" s="52"/>
      <c r="AG2753" s="52"/>
      <c r="AH2753" s="52"/>
      <c r="AI2753" s="52"/>
      <c r="AJ2753" s="52"/>
      <c r="AK2753" s="52"/>
      <c r="AL2753" s="52"/>
      <c r="AM2753" s="52"/>
      <c r="AN2753" s="52"/>
    </row>
    <row r="2754" spans="1:40" x14ac:dyDescent="0.3">
      <c r="A2754" s="52">
        <v>2749</v>
      </c>
      <c r="B2754" s="52">
        <f>-bthan*500+(48+0.5)*bthan*1000/50</f>
        <v>2585</v>
      </c>
      <c r="C2754" s="52">
        <f t="shared" si="267"/>
        <v>290</v>
      </c>
      <c r="D2754" s="52">
        <f t="shared" si="264"/>
        <v>2200</v>
      </c>
      <c r="E2754" s="52">
        <f t="shared" si="265"/>
        <v>1</v>
      </c>
      <c r="F2754" s="52"/>
      <c r="G2754" s="52"/>
      <c r="H2754" s="52"/>
      <c r="I2754" s="52"/>
      <c r="J2754" s="52"/>
      <c r="K2754" s="52"/>
      <c r="L2754" s="52"/>
      <c r="M2754" s="52"/>
      <c r="N2754" s="52"/>
      <c r="O2754" s="52"/>
      <c r="P2754" s="52"/>
      <c r="Q2754" s="52"/>
      <c r="R2754" s="52"/>
      <c r="S2754" s="52"/>
      <c r="T2754" s="52"/>
      <c r="U2754" s="52"/>
      <c r="V2754" s="52"/>
      <c r="W2754" s="52"/>
      <c r="X2754" s="52"/>
      <c r="Y2754" s="52"/>
      <c r="Z2754" s="52"/>
      <c r="AA2754" s="52"/>
      <c r="AB2754" s="52"/>
      <c r="AC2754" s="52"/>
      <c r="AD2754" s="52"/>
      <c r="AE2754" s="52"/>
      <c r="AF2754" s="52"/>
      <c r="AG2754" s="52"/>
      <c r="AH2754" s="52"/>
      <c r="AI2754" s="52"/>
      <c r="AJ2754" s="52"/>
      <c r="AK2754" s="52"/>
      <c r="AL2754" s="52"/>
      <c r="AM2754" s="52"/>
      <c r="AN2754" s="52"/>
    </row>
    <row r="2755" spans="1:40" x14ac:dyDescent="0.3">
      <c r="A2755" s="52">
        <v>2750</v>
      </c>
      <c r="B2755" s="52">
        <f>-bthan*500+(49+0.5)*bthan*1000/50</f>
        <v>2695</v>
      </c>
      <c r="C2755" s="52">
        <f t="shared" si="267"/>
        <v>290</v>
      </c>
      <c r="D2755" s="52">
        <f t="shared" si="264"/>
        <v>2200</v>
      </c>
      <c r="E2755" s="52">
        <f t="shared" si="265"/>
        <v>1</v>
      </c>
      <c r="F2755" s="52"/>
      <c r="G2755" s="52"/>
      <c r="H2755" s="52"/>
      <c r="I2755" s="52"/>
      <c r="J2755" s="52"/>
      <c r="K2755" s="52"/>
      <c r="L2755" s="52"/>
      <c r="M2755" s="52"/>
      <c r="N2755" s="52"/>
      <c r="O2755" s="52"/>
      <c r="P2755" s="52"/>
      <c r="Q2755" s="52"/>
      <c r="R2755" s="52"/>
      <c r="S2755" s="52"/>
      <c r="T2755" s="52"/>
      <c r="U2755" s="52"/>
      <c r="V2755" s="52"/>
      <c r="W2755" s="52"/>
      <c r="X2755" s="52"/>
      <c r="Y2755" s="52"/>
      <c r="Z2755" s="52"/>
      <c r="AA2755" s="52"/>
      <c r="AB2755" s="52"/>
      <c r="AC2755" s="52"/>
      <c r="AD2755" s="52"/>
      <c r="AE2755" s="52"/>
      <c r="AF2755" s="52"/>
      <c r="AG2755" s="52"/>
      <c r="AH2755" s="52"/>
      <c r="AI2755" s="52"/>
      <c r="AJ2755" s="52"/>
      <c r="AK2755" s="52"/>
      <c r="AL2755" s="52"/>
      <c r="AM2755" s="52"/>
      <c r="AN2755" s="52"/>
    </row>
    <row r="2756" spans="1:40" x14ac:dyDescent="0.3">
      <c r="A2756" s="52">
        <v>2751</v>
      </c>
      <c r="B2756" s="52">
        <f>-bthan*500+(0+0.5)*bthan*1000/50</f>
        <v>-2695</v>
      </c>
      <c r="C2756" s="52">
        <f t="shared" ref="C2756:C2787" si="268">-hthan*500+(55+0.5)*hthan*1000/80</f>
        <v>310.00000000000023</v>
      </c>
      <c r="D2756" s="52">
        <f t="shared" si="264"/>
        <v>2200</v>
      </c>
      <c r="E2756" s="52">
        <f t="shared" si="265"/>
        <v>0</v>
      </c>
      <c r="F2756" s="52"/>
      <c r="G2756" s="52"/>
      <c r="H2756" s="52"/>
      <c r="I2756" s="52"/>
      <c r="J2756" s="52"/>
      <c r="K2756" s="52"/>
      <c r="L2756" s="52"/>
      <c r="M2756" s="52"/>
      <c r="N2756" s="52"/>
      <c r="O2756" s="52"/>
      <c r="P2756" s="52"/>
      <c r="Q2756" s="52"/>
      <c r="R2756" s="52"/>
      <c r="S2756" s="52"/>
      <c r="T2756" s="52"/>
      <c r="U2756" s="52"/>
      <c r="V2756" s="52"/>
      <c r="W2756" s="52"/>
      <c r="X2756" s="52"/>
      <c r="Y2756" s="52"/>
      <c r="Z2756" s="52"/>
      <c r="AA2756" s="52"/>
      <c r="AB2756" s="52"/>
      <c r="AC2756" s="52"/>
      <c r="AD2756" s="52"/>
      <c r="AE2756" s="52"/>
      <c r="AF2756" s="52"/>
      <c r="AG2756" s="52"/>
      <c r="AH2756" s="52"/>
      <c r="AI2756" s="52"/>
      <c r="AJ2756" s="52"/>
      <c r="AK2756" s="52"/>
      <c r="AL2756" s="52"/>
      <c r="AM2756" s="52"/>
      <c r="AN2756" s="52"/>
    </row>
    <row r="2757" spans="1:40" x14ac:dyDescent="0.3">
      <c r="A2757" s="52">
        <v>2752</v>
      </c>
      <c r="B2757" s="52">
        <f>-bthan*500+(1+0.5)*bthan*1000/50</f>
        <v>-2585</v>
      </c>
      <c r="C2757" s="52">
        <f t="shared" si="268"/>
        <v>310.00000000000023</v>
      </c>
      <c r="D2757" s="52">
        <f t="shared" si="264"/>
        <v>2200</v>
      </c>
      <c r="E2757" s="52">
        <f t="shared" si="265"/>
        <v>1</v>
      </c>
      <c r="F2757" s="52"/>
      <c r="G2757" s="52"/>
      <c r="H2757" s="52"/>
      <c r="I2757" s="52"/>
      <c r="J2757" s="52"/>
      <c r="K2757" s="52"/>
      <c r="L2757" s="52"/>
      <c r="M2757" s="52"/>
      <c r="N2757" s="52"/>
      <c r="O2757" s="52"/>
      <c r="P2757" s="52"/>
      <c r="Q2757" s="52"/>
      <c r="R2757" s="52"/>
      <c r="S2757" s="52"/>
      <c r="T2757" s="52"/>
      <c r="U2757" s="52"/>
      <c r="V2757" s="52"/>
      <c r="W2757" s="52"/>
      <c r="X2757" s="52"/>
      <c r="Y2757" s="52"/>
      <c r="Z2757" s="52"/>
      <c r="AA2757" s="52"/>
      <c r="AB2757" s="52"/>
      <c r="AC2757" s="52"/>
      <c r="AD2757" s="52"/>
      <c r="AE2757" s="52"/>
      <c r="AF2757" s="52"/>
      <c r="AG2757" s="52"/>
      <c r="AH2757" s="52"/>
      <c r="AI2757" s="52"/>
      <c r="AJ2757" s="52"/>
      <c r="AK2757" s="52"/>
      <c r="AL2757" s="52"/>
      <c r="AM2757" s="52"/>
      <c r="AN2757" s="52"/>
    </row>
    <row r="2758" spans="1:40" x14ac:dyDescent="0.3">
      <c r="A2758" s="52">
        <v>2753</v>
      </c>
      <c r="B2758" s="52">
        <f>-bthan*500+(2+0.5)*bthan*1000/50</f>
        <v>-2475</v>
      </c>
      <c r="C2758" s="52">
        <f t="shared" si="268"/>
        <v>310.00000000000023</v>
      </c>
      <c r="D2758" s="52">
        <f t="shared" ref="D2758:D2821" si="269">bthan*1000/50*hthan*1000/80</f>
        <v>2200</v>
      </c>
      <c r="E2758" s="52">
        <f t="shared" ref="E2758:E2821" si="270">IF(shp=1,--(OR(ABS(B2758)&lt;=MAX(0,(bthan-hthan)*500),(ABS(B2758)-MAX(0,(bthan-hthan)*500))^2+C2758^2&lt;=(hthan*500)^2)),--(AND(ABS(B2758)&lt;=bthan*500,ABS(C2758)&lt;=hthan*500,OR(ABS(B2758)&lt;=bthan*500-cch*1000,ABS(C2758)&lt;=hthan*500-cch*1000,(bthan*500-ABS(B2758))+(hthan*500-ABS(C2758))&gt;=cch*1000))))</f>
        <v>1</v>
      </c>
      <c r="F2758" s="52"/>
      <c r="G2758" s="52"/>
      <c r="H2758" s="52"/>
      <c r="I2758" s="52"/>
      <c r="J2758" s="52"/>
      <c r="K2758" s="52"/>
      <c r="L2758" s="52"/>
      <c r="M2758" s="52"/>
      <c r="N2758" s="52"/>
      <c r="O2758" s="52"/>
      <c r="P2758" s="52"/>
      <c r="Q2758" s="52"/>
      <c r="R2758" s="52"/>
      <c r="S2758" s="52"/>
      <c r="T2758" s="52"/>
      <c r="U2758" s="52"/>
      <c r="V2758" s="52"/>
      <c r="W2758" s="52"/>
      <c r="X2758" s="52"/>
      <c r="Y2758" s="52"/>
      <c r="Z2758" s="52"/>
      <c r="AA2758" s="52"/>
      <c r="AB2758" s="52"/>
      <c r="AC2758" s="52"/>
      <c r="AD2758" s="52"/>
      <c r="AE2758" s="52"/>
      <c r="AF2758" s="52"/>
      <c r="AG2758" s="52"/>
      <c r="AH2758" s="52"/>
      <c r="AI2758" s="52"/>
      <c r="AJ2758" s="52"/>
      <c r="AK2758" s="52"/>
      <c r="AL2758" s="52"/>
      <c r="AM2758" s="52"/>
      <c r="AN2758" s="52"/>
    </row>
    <row r="2759" spans="1:40" x14ac:dyDescent="0.3">
      <c r="A2759" s="52">
        <v>2754</v>
      </c>
      <c r="B2759" s="52">
        <f>-bthan*500+(3+0.5)*bthan*1000/50</f>
        <v>-2365</v>
      </c>
      <c r="C2759" s="52">
        <f t="shared" si="268"/>
        <v>310.00000000000023</v>
      </c>
      <c r="D2759" s="52">
        <f t="shared" si="269"/>
        <v>2200</v>
      </c>
      <c r="E2759" s="52">
        <f t="shared" si="270"/>
        <v>1</v>
      </c>
      <c r="F2759" s="52"/>
      <c r="G2759" s="52"/>
      <c r="H2759" s="52"/>
      <c r="I2759" s="52"/>
      <c r="J2759" s="52"/>
      <c r="K2759" s="52"/>
      <c r="L2759" s="52"/>
      <c r="M2759" s="52"/>
      <c r="N2759" s="52"/>
      <c r="O2759" s="52"/>
      <c r="P2759" s="52"/>
      <c r="Q2759" s="52"/>
      <c r="R2759" s="52"/>
      <c r="S2759" s="52"/>
      <c r="T2759" s="52"/>
      <c r="U2759" s="52"/>
      <c r="V2759" s="52"/>
      <c r="W2759" s="52"/>
      <c r="X2759" s="52"/>
      <c r="Y2759" s="52"/>
      <c r="Z2759" s="52"/>
      <c r="AA2759" s="52"/>
      <c r="AB2759" s="52"/>
      <c r="AC2759" s="52"/>
      <c r="AD2759" s="52"/>
      <c r="AE2759" s="52"/>
      <c r="AF2759" s="52"/>
      <c r="AG2759" s="52"/>
      <c r="AH2759" s="52"/>
      <c r="AI2759" s="52"/>
      <c r="AJ2759" s="52"/>
      <c r="AK2759" s="52"/>
      <c r="AL2759" s="52"/>
      <c r="AM2759" s="52"/>
      <c r="AN2759" s="52"/>
    </row>
    <row r="2760" spans="1:40" x14ac:dyDescent="0.3">
      <c r="A2760" s="52">
        <v>2755</v>
      </c>
      <c r="B2760" s="52">
        <f>-bthan*500+(4+0.5)*bthan*1000/50</f>
        <v>-2255</v>
      </c>
      <c r="C2760" s="52">
        <f t="shared" si="268"/>
        <v>310.00000000000023</v>
      </c>
      <c r="D2760" s="52">
        <f t="shared" si="269"/>
        <v>2200</v>
      </c>
      <c r="E2760" s="52">
        <f t="shared" si="270"/>
        <v>1</v>
      </c>
      <c r="F2760" s="52"/>
      <c r="G2760" s="52"/>
      <c r="H2760" s="52"/>
      <c r="I2760" s="52"/>
      <c r="J2760" s="52"/>
      <c r="K2760" s="52"/>
      <c r="L2760" s="52"/>
      <c r="M2760" s="52"/>
      <c r="N2760" s="52"/>
      <c r="O2760" s="52"/>
      <c r="P2760" s="52"/>
      <c r="Q2760" s="52"/>
      <c r="R2760" s="52"/>
      <c r="S2760" s="52"/>
      <c r="T2760" s="52"/>
      <c r="U2760" s="52"/>
      <c r="V2760" s="52"/>
      <c r="W2760" s="52"/>
      <c r="X2760" s="52"/>
      <c r="Y2760" s="52"/>
      <c r="Z2760" s="52"/>
      <c r="AA2760" s="52"/>
      <c r="AB2760" s="52"/>
      <c r="AC2760" s="52"/>
      <c r="AD2760" s="52"/>
      <c r="AE2760" s="52"/>
      <c r="AF2760" s="52"/>
      <c r="AG2760" s="52"/>
      <c r="AH2760" s="52"/>
      <c r="AI2760" s="52"/>
      <c r="AJ2760" s="52"/>
      <c r="AK2760" s="52"/>
      <c r="AL2760" s="52"/>
      <c r="AM2760" s="52"/>
      <c r="AN2760" s="52"/>
    </row>
    <row r="2761" spans="1:40" x14ac:dyDescent="0.3">
      <c r="A2761" s="52">
        <v>2756</v>
      </c>
      <c r="B2761" s="52">
        <f>-bthan*500+(5+0.5)*bthan*1000/50</f>
        <v>-2145</v>
      </c>
      <c r="C2761" s="52">
        <f t="shared" si="268"/>
        <v>310.00000000000023</v>
      </c>
      <c r="D2761" s="52">
        <f t="shared" si="269"/>
        <v>2200</v>
      </c>
      <c r="E2761" s="52">
        <f t="shared" si="270"/>
        <v>1</v>
      </c>
      <c r="F2761" s="52"/>
      <c r="G2761" s="52"/>
      <c r="H2761" s="52"/>
      <c r="I2761" s="52"/>
      <c r="J2761" s="52"/>
      <c r="K2761" s="52"/>
      <c r="L2761" s="52"/>
      <c r="M2761" s="52"/>
      <c r="N2761" s="52"/>
      <c r="O2761" s="52"/>
      <c r="P2761" s="52"/>
      <c r="Q2761" s="52"/>
      <c r="R2761" s="52"/>
      <c r="S2761" s="52"/>
      <c r="T2761" s="52"/>
      <c r="U2761" s="52"/>
      <c r="V2761" s="52"/>
      <c r="W2761" s="52"/>
      <c r="X2761" s="52"/>
      <c r="Y2761" s="52"/>
      <c r="Z2761" s="52"/>
      <c r="AA2761" s="52"/>
      <c r="AB2761" s="52"/>
      <c r="AC2761" s="52"/>
      <c r="AD2761" s="52"/>
      <c r="AE2761" s="52"/>
      <c r="AF2761" s="52"/>
      <c r="AG2761" s="52"/>
      <c r="AH2761" s="52"/>
      <c r="AI2761" s="52"/>
      <c r="AJ2761" s="52"/>
      <c r="AK2761" s="52"/>
      <c r="AL2761" s="52"/>
      <c r="AM2761" s="52"/>
      <c r="AN2761" s="52"/>
    </row>
    <row r="2762" spans="1:40" x14ac:dyDescent="0.3">
      <c r="A2762" s="52">
        <v>2757</v>
      </c>
      <c r="B2762" s="52">
        <f>-bthan*500+(6+0.5)*bthan*1000/50</f>
        <v>-2035</v>
      </c>
      <c r="C2762" s="52">
        <f t="shared" si="268"/>
        <v>310.00000000000023</v>
      </c>
      <c r="D2762" s="52">
        <f t="shared" si="269"/>
        <v>2200</v>
      </c>
      <c r="E2762" s="52">
        <f t="shared" si="270"/>
        <v>1</v>
      </c>
      <c r="F2762" s="52"/>
      <c r="G2762" s="52"/>
      <c r="H2762" s="52"/>
      <c r="I2762" s="52"/>
      <c r="J2762" s="52"/>
      <c r="K2762" s="52"/>
      <c r="L2762" s="52"/>
      <c r="M2762" s="52"/>
      <c r="N2762" s="52"/>
      <c r="O2762" s="52"/>
      <c r="P2762" s="52"/>
      <c r="Q2762" s="52"/>
      <c r="R2762" s="52"/>
      <c r="S2762" s="52"/>
      <c r="T2762" s="52"/>
      <c r="U2762" s="52"/>
      <c r="V2762" s="52"/>
      <c r="W2762" s="52"/>
      <c r="X2762" s="52"/>
      <c r="Y2762" s="52"/>
      <c r="Z2762" s="52"/>
      <c r="AA2762" s="52"/>
      <c r="AB2762" s="52"/>
      <c r="AC2762" s="52"/>
      <c r="AD2762" s="52"/>
      <c r="AE2762" s="52"/>
      <c r="AF2762" s="52"/>
      <c r="AG2762" s="52"/>
      <c r="AH2762" s="52"/>
      <c r="AI2762" s="52"/>
      <c r="AJ2762" s="52"/>
      <c r="AK2762" s="52"/>
      <c r="AL2762" s="52"/>
      <c r="AM2762" s="52"/>
      <c r="AN2762" s="52"/>
    </row>
    <row r="2763" spans="1:40" x14ac:dyDescent="0.3">
      <c r="A2763" s="52">
        <v>2758</v>
      </c>
      <c r="B2763" s="52">
        <f>-bthan*500+(7+0.5)*bthan*1000/50</f>
        <v>-1925</v>
      </c>
      <c r="C2763" s="52">
        <f t="shared" si="268"/>
        <v>310.00000000000023</v>
      </c>
      <c r="D2763" s="52">
        <f t="shared" si="269"/>
        <v>2200</v>
      </c>
      <c r="E2763" s="52">
        <f t="shared" si="270"/>
        <v>1</v>
      </c>
      <c r="F2763" s="52"/>
      <c r="G2763" s="52"/>
      <c r="H2763" s="52"/>
      <c r="I2763" s="52"/>
      <c r="J2763" s="52"/>
      <c r="K2763" s="52"/>
      <c r="L2763" s="52"/>
      <c r="M2763" s="52"/>
      <c r="N2763" s="52"/>
      <c r="O2763" s="52"/>
      <c r="P2763" s="52"/>
      <c r="Q2763" s="52"/>
      <c r="R2763" s="52"/>
      <c r="S2763" s="52"/>
      <c r="T2763" s="52"/>
      <c r="U2763" s="52"/>
      <c r="V2763" s="52"/>
      <c r="W2763" s="52"/>
      <c r="X2763" s="52"/>
      <c r="Y2763" s="52"/>
      <c r="Z2763" s="52"/>
      <c r="AA2763" s="52"/>
      <c r="AB2763" s="52"/>
      <c r="AC2763" s="52"/>
      <c r="AD2763" s="52"/>
      <c r="AE2763" s="52"/>
      <c r="AF2763" s="52"/>
      <c r="AG2763" s="52"/>
      <c r="AH2763" s="52"/>
      <c r="AI2763" s="52"/>
      <c r="AJ2763" s="52"/>
      <c r="AK2763" s="52"/>
      <c r="AL2763" s="52"/>
      <c r="AM2763" s="52"/>
      <c r="AN2763" s="52"/>
    </row>
    <row r="2764" spans="1:40" x14ac:dyDescent="0.3">
      <c r="A2764" s="52">
        <v>2759</v>
      </c>
      <c r="B2764" s="52">
        <f>-bthan*500+(8+0.5)*bthan*1000/50</f>
        <v>-1815</v>
      </c>
      <c r="C2764" s="52">
        <f t="shared" si="268"/>
        <v>310.00000000000023</v>
      </c>
      <c r="D2764" s="52">
        <f t="shared" si="269"/>
        <v>2200</v>
      </c>
      <c r="E2764" s="52">
        <f t="shared" si="270"/>
        <v>1</v>
      </c>
      <c r="F2764" s="52"/>
      <c r="G2764" s="52"/>
      <c r="H2764" s="52"/>
      <c r="I2764" s="52"/>
      <c r="J2764" s="52"/>
      <c r="K2764" s="52"/>
      <c r="L2764" s="52"/>
      <c r="M2764" s="52"/>
      <c r="N2764" s="52"/>
      <c r="O2764" s="52"/>
      <c r="P2764" s="52"/>
      <c r="Q2764" s="52"/>
      <c r="R2764" s="52"/>
      <c r="S2764" s="52"/>
      <c r="T2764" s="52"/>
      <c r="U2764" s="52"/>
      <c r="V2764" s="52"/>
      <c r="W2764" s="52"/>
      <c r="X2764" s="52"/>
      <c r="Y2764" s="52"/>
      <c r="Z2764" s="52"/>
      <c r="AA2764" s="52"/>
      <c r="AB2764" s="52"/>
      <c r="AC2764" s="52"/>
      <c r="AD2764" s="52"/>
      <c r="AE2764" s="52"/>
      <c r="AF2764" s="52"/>
      <c r="AG2764" s="52"/>
      <c r="AH2764" s="52"/>
      <c r="AI2764" s="52"/>
      <c r="AJ2764" s="52"/>
      <c r="AK2764" s="52"/>
      <c r="AL2764" s="52"/>
      <c r="AM2764" s="52"/>
      <c r="AN2764" s="52"/>
    </row>
    <row r="2765" spans="1:40" x14ac:dyDescent="0.3">
      <c r="A2765" s="52">
        <v>2760</v>
      </c>
      <c r="B2765" s="52">
        <f>-bthan*500+(9+0.5)*bthan*1000/50</f>
        <v>-1705</v>
      </c>
      <c r="C2765" s="52">
        <f t="shared" si="268"/>
        <v>310.00000000000023</v>
      </c>
      <c r="D2765" s="52">
        <f t="shared" si="269"/>
        <v>2200</v>
      </c>
      <c r="E2765" s="52">
        <f t="shared" si="270"/>
        <v>1</v>
      </c>
      <c r="F2765" s="52"/>
      <c r="G2765" s="52"/>
      <c r="H2765" s="52"/>
      <c r="I2765" s="52"/>
      <c r="J2765" s="52"/>
      <c r="K2765" s="52"/>
      <c r="L2765" s="52"/>
      <c r="M2765" s="52"/>
      <c r="N2765" s="52"/>
      <c r="O2765" s="52"/>
      <c r="P2765" s="52"/>
      <c r="Q2765" s="52"/>
      <c r="R2765" s="52"/>
      <c r="S2765" s="52"/>
      <c r="T2765" s="52"/>
      <c r="U2765" s="52"/>
      <c r="V2765" s="52"/>
      <c r="W2765" s="52"/>
      <c r="X2765" s="52"/>
      <c r="Y2765" s="52"/>
      <c r="Z2765" s="52"/>
      <c r="AA2765" s="52"/>
      <c r="AB2765" s="52"/>
      <c r="AC2765" s="52"/>
      <c r="AD2765" s="52"/>
      <c r="AE2765" s="52"/>
      <c r="AF2765" s="52"/>
      <c r="AG2765" s="52"/>
      <c r="AH2765" s="52"/>
      <c r="AI2765" s="52"/>
      <c r="AJ2765" s="52"/>
      <c r="AK2765" s="52"/>
      <c r="AL2765" s="52"/>
      <c r="AM2765" s="52"/>
      <c r="AN2765" s="52"/>
    </row>
    <row r="2766" spans="1:40" x14ac:dyDescent="0.3">
      <c r="A2766" s="52">
        <v>2761</v>
      </c>
      <c r="B2766" s="52">
        <f>-bthan*500+(10+0.5)*bthan*1000/50</f>
        <v>-1595</v>
      </c>
      <c r="C2766" s="52">
        <f t="shared" si="268"/>
        <v>310.00000000000023</v>
      </c>
      <c r="D2766" s="52">
        <f t="shared" si="269"/>
        <v>2200</v>
      </c>
      <c r="E2766" s="52">
        <f t="shared" si="270"/>
        <v>1</v>
      </c>
      <c r="F2766" s="52"/>
      <c r="G2766" s="52"/>
      <c r="H2766" s="52"/>
      <c r="I2766" s="52"/>
      <c r="J2766" s="52"/>
      <c r="K2766" s="52"/>
      <c r="L2766" s="52"/>
      <c r="M2766" s="52"/>
      <c r="N2766" s="52"/>
      <c r="O2766" s="52"/>
      <c r="P2766" s="52"/>
      <c r="Q2766" s="52"/>
      <c r="R2766" s="52"/>
      <c r="S2766" s="52"/>
      <c r="T2766" s="52"/>
      <c r="U2766" s="52"/>
      <c r="V2766" s="52"/>
      <c r="W2766" s="52"/>
      <c r="X2766" s="52"/>
      <c r="Y2766" s="52"/>
      <c r="Z2766" s="52"/>
      <c r="AA2766" s="52"/>
      <c r="AB2766" s="52"/>
      <c r="AC2766" s="52"/>
      <c r="AD2766" s="52"/>
      <c r="AE2766" s="52"/>
      <c r="AF2766" s="52"/>
      <c r="AG2766" s="52"/>
      <c r="AH2766" s="52"/>
      <c r="AI2766" s="52"/>
      <c r="AJ2766" s="52"/>
      <c r="AK2766" s="52"/>
      <c r="AL2766" s="52"/>
      <c r="AM2766" s="52"/>
      <c r="AN2766" s="52"/>
    </row>
    <row r="2767" spans="1:40" x14ac:dyDescent="0.3">
      <c r="A2767" s="52">
        <v>2762</v>
      </c>
      <c r="B2767" s="52">
        <f>-bthan*500+(11+0.5)*bthan*1000/50</f>
        <v>-1485</v>
      </c>
      <c r="C2767" s="52">
        <f t="shared" si="268"/>
        <v>310.00000000000023</v>
      </c>
      <c r="D2767" s="52">
        <f t="shared" si="269"/>
        <v>2200</v>
      </c>
      <c r="E2767" s="52">
        <f t="shared" si="270"/>
        <v>1</v>
      </c>
      <c r="F2767" s="52"/>
      <c r="G2767" s="52"/>
      <c r="H2767" s="52"/>
      <c r="I2767" s="52"/>
      <c r="J2767" s="52"/>
      <c r="K2767" s="52"/>
      <c r="L2767" s="52"/>
      <c r="M2767" s="52"/>
      <c r="N2767" s="52"/>
      <c r="O2767" s="52"/>
      <c r="P2767" s="52"/>
      <c r="Q2767" s="52"/>
      <c r="R2767" s="52"/>
      <c r="S2767" s="52"/>
      <c r="T2767" s="52"/>
      <c r="U2767" s="52"/>
      <c r="V2767" s="52"/>
      <c r="W2767" s="52"/>
      <c r="X2767" s="52"/>
      <c r="Y2767" s="52"/>
      <c r="Z2767" s="52"/>
      <c r="AA2767" s="52"/>
      <c r="AB2767" s="52"/>
      <c r="AC2767" s="52"/>
      <c r="AD2767" s="52"/>
      <c r="AE2767" s="52"/>
      <c r="AF2767" s="52"/>
      <c r="AG2767" s="52"/>
      <c r="AH2767" s="52"/>
      <c r="AI2767" s="52"/>
      <c r="AJ2767" s="52"/>
      <c r="AK2767" s="52"/>
      <c r="AL2767" s="52"/>
      <c r="AM2767" s="52"/>
      <c r="AN2767" s="52"/>
    </row>
    <row r="2768" spans="1:40" x14ac:dyDescent="0.3">
      <c r="A2768" s="52">
        <v>2763</v>
      </c>
      <c r="B2768" s="52">
        <f>-bthan*500+(12+0.5)*bthan*1000/50</f>
        <v>-1375</v>
      </c>
      <c r="C2768" s="52">
        <f t="shared" si="268"/>
        <v>310.00000000000023</v>
      </c>
      <c r="D2768" s="52">
        <f t="shared" si="269"/>
        <v>2200</v>
      </c>
      <c r="E2768" s="52">
        <f t="shared" si="270"/>
        <v>1</v>
      </c>
      <c r="F2768" s="52"/>
      <c r="G2768" s="52"/>
      <c r="H2768" s="52"/>
      <c r="I2768" s="52"/>
      <c r="J2768" s="52"/>
      <c r="K2768" s="52"/>
      <c r="L2768" s="52"/>
      <c r="M2768" s="52"/>
      <c r="N2768" s="52"/>
      <c r="O2768" s="52"/>
      <c r="P2768" s="52"/>
      <c r="Q2768" s="52"/>
      <c r="R2768" s="52"/>
      <c r="S2768" s="52"/>
      <c r="T2768" s="52"/>
      <c r="U2768" s="52"/>
      <c r="V2768" s="52"/>
      <c r="W2768" s="52"/>
      <c r="X2768" s="52"/>
      <c r="Y2768" s="52"/>
      <c r="Z2768" s="52"/>
      <c r="AA2768" s="52"/>
      <c r="AB2768" s="52"/>
      <c r="AC2768" s="52"/>
      <c r="AD2768" s="52"/>
      <c r="AE2768" s="52"/>
      <c r="AF2768" s="52"/>
      <c r="AG2768" s="52"/>
      <c r="AH2768" s="52"/>
      <c r="AI2768" s="52"/>
      <c r="AJ2768" s="52"/>
      <c r="AK2768" s="52"/>
      <c r="AL2768" s="52"/>
      <c r="AM2768" s="52"/>
      <c r="AN2768" s="52"/>
    </row>
    <row r="2769" spans="1:40" x14ac:dyDescent="0.3">
      <c r="A2769" s="52">
        <v>2764</v>
      </c>
      <c r="B2769" s="52">
        <f>-bthan*500+(13+0.5)*bthan*1000/50</f>
        <v>-1265</v>
      </c>
      <c r="C2769" s="52">
        <f t="shared" si="268"/>
        <v>310.00000000000023</v>
      </c>
      <c r="D2769" s="52">
        <f t="shared" si="269"/>
        <v>2200</v>
      </c>
      <c r="E2769" s="52">
        <f t="shared" si="270"/>
        <v>1</v>
      </c>
      <c r="F2769" s="52"/>
      <c r="G2769" s="52"/>
      <c r="H2769" s="52"/>
      <c r="I2769" s="52"/>
      <c r="J2769" s="52"/>
      <c r="K2769" s="52"/>
      <c r="L2769" s="52"/>
      <c r="M2769" s="52"/>
      <c r="N2769" s="52"/>
      <c r="O2769" s="52"/>
      <c r="P2769" s="52"/>
      <c r="Q2769" s="52"/>
      <c r="R2769" s="52"/>
      <c r="S2769" s="52"/>
      <c r="T2769" s="52"/>
      <c r="U2769" s="52"/>
      <c r="V2769" s="52"/>
      <c r="W2769" s="52"/>
      <c r="X2769" s="52"/>
      <c r="Y2769" s="52"/>
      <c r="Z2769" s="52"/>
      <c r="AA2769" s="52"/>
      <c r="AB2769" s="52"/>
      <c r="AC2769" s="52"/>
      <c r="AD2769" s="52"/>
      <c r="AE2769" s="52"/>
      <c r="AF2769" s="52"/>
      <c r="AG2769" s="52"/>
      <c r="AH2769" s="52"/>
      <c r="AI2769" s="52"/>
      <c r="AJ2769" s="52"/>
      <c r="AK2769" s="52"/>
      <c r="AL2769" s="52"/>
      <c r="AM2769" s="52"/>
      <c r="AN2769" s="52"/>
    </row>
    <row r="2770" spans="1:40" x14ac:dyDescent="0.3">
      <c r="A2770" s="52">
        <v>2765</v>
      </c>
      <c r="B2770" s="52">
        <f>-bthan*500+(14+0.5)*bthan*1000/50</f>
        <v>-1155</v>
      </c>
      <c r="C2770" s="52">
        <f t="shared" si="268"/>
        <v>310.00000000000023</v>
      </c>
      <c r="D2770" s="52">
        <f t="shared" si="269"/>
        <v>2200</v>
      </c>
      <c r="E2770" s="52">
        <f t="shared" si="270"/>
        <v>1</v>
      </c>
      <c r="F2770" s="52"/>
      <c r="G2770" s="52"/>
      <c r="H2770" s="52"/>
      <c r="I2770" s="52"/>
      <c r="J2770" s="52"/>
      <c r="K2770" s="52"/>
      <c r="L2770" s="52"/>
      <c r="M2770" s="52"/>
      <c r="N2770" s="52"/>
      <c r="O2770" s="52"/>
      <c r="P2770" s="52"/>
      <c r="Q2770" s="52"/>
      <c r="R2770" s="52"/>
      <c r="S2770" s="52"/>
      <c r="T2770" s="52"/>
      <c r="U2770" s="52"/>
      <c r="V2770" s="52"/>
      <c r="W2770" s="52"/>
      <c r="X2770" s="52"/>
      <c r="Y2770" s="52"/>
      <c r="Z2770" s="52"/>
      <c r="AA2770" s="52"/>
      <c r="AB2770" s="52"/>
      <c r="AC2770" s="52"/>
      <c r="AD2770" s="52"/>
      <c r="AE2770" s="52"/>
      <c r="AF2770" s="52"/>
      <c r="AG2770" s="52"/>
      <c r="AH2770" s="52"/>
      <c r="AI2770" s="52"/>
      <c r="AJ2770" s="52"/>
      <c r="AK2770" s="52"/>
      <c r="AL2770" s="52"/>
      <c r="AM2770" s="52"/>
      <c r="AN2770" s="52"/>
    </row>
    <row r="2771" spans="1:40" x14ac:dyDescent="0.3">
      <c r="A2771" s="52">
        <v>2766</v>
      </c>
      <c r="B2771" s="52">
        <f>-bthan*500+(15+0.5)*bthan*1000/50</f>
        <v>-1045</v>
      </c>
      <c r="C2771" s="52">
        <f t="shared" si="268"/>
        <v>310.00000000000023</v>
      </c>
      <c r="D2771" s="52">
        <f t="shared" si="269"/>
        <v>2200</v>
      </c>
      <c r="E2771" s="52">
        <f t="shared" si="270"/>
        <v>1</v>
      </c>
      <c r="F2771" s="52"/>
      <c r="G2771" s="52"/>
      <c r="H2771" s="52"/>
      <c r="I2771" s="52"/>
      <c r="J2771" s="52"/>
      <c r="K2771" s="52"/>
      <c r="L2771" s="52"/>
      <c r="M2771" s="52"/>
      <c r="N2771" s="52"/>
      <c r="O2771" s="52"/>
      <c r="P2771" s="52"/>
      <c r="Q2771" s="52"/>
      <c r="R2771" s="52"/>
      <c r="S2771" s="52"/>
      <c r="T2771" s="52"/>
      <c r="U2771" s="52"/>
      <c r="V2771" s="52"/>
      <c r="W2771" s="52"/>
      <c r="X2771" s="52"/>
      <c r="Y2771" s="52"/>
      <c r="Z2771" s="52"/>
      <c r="AA2771" s="52"/>
      <c r="AB2771" s="52"/>
      <c r="AC2771" s="52"/>
      <c r="AD2771" s="52"/>
      <c r="AE2771" s="52"/>
      <c r="AF2771" s="52"/>
      <c r="AG2771" s="52"/>
      <c r="AH2771" s="52"/>
      <c r="AI2771" s="52"/>
      <c r="AJ2771" s="52"/>
      <c r="AK2771" s="52"/>
      <c r="AL2771" s="52"/>
      <c r="AM2771" s="52"/>
      <c r="AN2771" s="52"/>
    </row>
    <row r="2772" spans="1:40" x14ac:dyDescent="0.3">
      <c r="A2772" s="52">
        <v>2767</v>
      </c>
      <c r="B2772" s="52">
        <f>-bthan*500+(16+0.5)*bthan*1000/50</f>
        <v>-935</v>
      </c>
      <c r="C2772" s="52">
        <f t="shared" si="268"/>
        <v>310.00000000000023</v>
      </c>
      <c r="D2772" s="52">
        <f t="shared" si="269"/>
        <v>2200</v>
      </c>
      <c r="E2772" s="52">
        <f t="shared" si="270"/>
        <v>1</v>
      </c>
      <c r="F2772" s="52"/>
      <c r="G2772" s="52"/>
      <c r="H2772" s="52"/>
      <c r="I2772" s="52"/>
      <c r="J2772" s="52"/>
      <c r="K2772" s="52"/>
      <c r="L2772" s="52"/>
      <c r="M2772" s="52"/>
      <c r="N2772" s="52"/>
      <c r="O2772" s="52"/>
      <c r="P2772" s="52"/>
      <c r="Q2772" s="52"/>
      <c r="R2772" s="52"/>
      <c r="S2772" s="52"/>
      <c r="T2772" s="52"/>
      <c r="U2772" s="52"/>
      <c r="V2772" s="52"/>
      <c r="W2772" s="52"/>
      <c r="X2772" s="52"/>
      <c r="Y2772" s="52"/>
      <c r="Z2772" s="52"/>
      <c r="AA2772" s="52"/>
      <c r="AB2772" s="52"/>
      <c r="AC2772" s="52"/>
      <c r="AD2772" s="52"/>
      <c r="AE2772" s="52"/>
      <c r="AF2772" s="52"/>
      <c r="AG2772" s="52"/>
      <c r="AH2772" s="52"/>
      <c r="AI2772" s="52"/>
      <c r="AJ2772" s="52"/>
      <c r="AK2772" s="52"/>
      <c r="AL2772" s="52"/>
      <c r="AM2772" s="52"/>
      <c r="AN2772" s="52"/>
    </row>
    <row r="2773" spans="1:40" x14ac:dyDescent="0.3">
      <c r="A2773" s="52">
        <v>2768</v>
      </c>
      <c r="B2773" s="52">
        <f>-bthan*500+(17+0.5)*bthan*1000/50</f>
        <v>-825</v>
      </c>
      <c r="C2773" s="52">
        <f t="shared" si="268"/>
        <v>310.00000000000023</v>
      </c>
      <c r="D2773" s="52">
        <f t="shared" si="269"/>
        <v>2200</v>
      </c>
      <c r="E2773" s="52">
        <f t="shared" si="270"/>
        <v>1</v>
      </c>
      <c r="F2773" s="52"/>
      <c r="G2773" s="52"/>
      <c r="H2773" s="52"/>
      <c r="I2773" s="52"/>
      <c r="J2773" s="52"/>
      <c r="K2773" s="52"/>
      <c r="L2773" s="52"/>
      <c r="M2773" s="52"/>
      <c r="N2773" s="52"/>
      <c r="O2773" s="52"/>
      <c r="P2773" s="52"/>
      <c r="Q2773" s="52"/>
      <c r="R2773" s="52"/>
      <c r="S2773" s="52"/>
      <c r="T2773" s="52"/>
      <c r="U2773" s="52"/>
      <c r="V2773" s="52"/>
      <c r="W2773" s="52"/>
      <c r="X2773" s="52"/>
      <c r="Y2773" s="52"/>
      <c r="Z2773" s="52"/>
      <c r="AA2773" s="52"/>
      <c r="AB2773" s="52"/>
      <c r="AC2773" s="52"/>
      <c r="AD2773" s="52"/>
      <c r="AE2773" s="52"/>
      <c r="AF2773" s="52"/>
      <c r="AG2773" s="52"/>
      <c r="AH2773" s="52"/>
      <c r="AI2773" s="52"/>
      <c r="AJ2773" s="52"/>
      <c r="AK2773" s="52"/>
      <c r="AL2773" s="52"/>
      <c r="AM2773" s="52"/>
      <c r="AN2773" s="52"/>
    </row>
    <row r="2774" spans="1:40" x14ac:dyDescent="0.3">
      <c r="A2774" s="52">
        <v>2769</v>
      </c>
      <c r="B2774" s="52">
        <f>-bthan*500+(18+0.5)*bthan*1000/50</f>
        <v>-715</v>
      </c>
      <c r="C2774" s="52">
        <f t="shared" si="268"/>
        <v>310.00000000000023</v>
      </c>
      <c r="D2774" s="52">
        <f t="shared" si="269"/>
        <v>2200</v>
      </c>
      <c r="E2774" s="52">
        <f t="shared" si="270"/>
        <v>1</v>
      </c>
      <c r="F2774" s="52"/>
      <c r="G2774" s="52"/>
      <c r="H2774" s="52"/>
      <c r="I2774" s="52"/>
      <c r="J2774" s="52"/>
      <c r="K2774" s="52"/>
      <c r="L2774" s="52"/>
      <c r="M2774" s="52"/>
      <c r="N2774" s="52"/>
      <c r="O2774" s="52"/>
      <c r="P2774" s="52"/>
      <c r="Q2774" s="52"/>
      <c r="R2774" s="52"/>
      <c r="S2774" s="52"/>
      <c r="T2774" s="52"/>
      <c r="U2774" s="52"/>
      <c r="V2774" s="52"/>
      <c r="W2774" s="52"/>
      <c r="X2774" s="52"/>
      <c r="Y2774" s="52"/>
      <c r="Z2774" s="52"/>
      <c r="AA2774" s="52"/>
      <c r="AB2774" s="52"/>
      <c r="AC2774" s="52"/>
      <c r="AD2774" s="52"/>
      <c r="AE2774" s="52"/>
      <c r="AF2774" s="52"/>
      <c r="AG2774" s="52"/>
      <c r="AH2774" s="52"/>
      <c r="AI2774" s="52"/>
      <c r="AJ2774" s="52"/>
      <c r="AK2774" s="52"/>
      <c r="AL2774" s="52"/>
      <c r="AM2774" s="52"/>
      <c r="AN2774" s="52"/>
    </row>
    <row r="2775" spans="1:40" x14ac:dyDescent="0.3">
      <c r="A2775" s="52">
        <v>2770</v>
      </c>
      <c r="B2775" s="52">
        <f>-bthan*500+(19+0.5)*bthan*1000/50</f>
        <v>-605</v>
      </c>
      <c r="C2775" s="52">
        <f t="shared" si="268"/>
        <v>310.00000000000023</v>
      </c>
      <c r="D2775" s="52">
        <f t="shared" si="269"/>
        <v>2200</v>
      </c>
      <c r="E2775" s="52">
        <f t="shared" si="270"/>
        <v>1</v>
      </c>
      <c r="F2775" s="52"/>
      <c r="G2775" s="52"/>
      <c r="H2775" s="52"/>
      <c r="I2775" s="52"/>
      <c r="J2775" s="52"/>
      <c r="K2775" s="52"/>
      <c r="L2775" s="52"/>
      <c r="M2775" s="52"/>
      <c r="N2775" s="52"/>
      <c r="O2775" s="52"/>
      <c r="P2775" s="52"/>
      <c r="Q2775" s="52"/>
      <c r="R2775" s="52"/>
      <c r="S2775" s="52"/>
      <c r="T2775" s="52"/>
      <c r="U2775" s="52"/>
      <c r="V2775" s="52"/>
      <c r="W2775" s="52"/>
      <c r="X2775" s="52"/>
      <c r="Y2775" s="52"/>
      <c r="Z2775" s="52"/>
      <c r="AA2775" s="52"/>
      <c r="AB2775" s="52"/>
      <c r="AC2775" s="52"/>
      <c r="AD2775" s="52"/>
      <c r="AE2775" s="52"/>
      <c r="AF2775" s="52"/>
      <c r="AG2775" s="52"/>
      <c r="AH2775" s="52"/>
      <c r="AI2775" s="52"/>
      <c r="AJ2775" s="52"/>
      <c r="AK2775" s="52"/>
      <c r="AL2775" s="52"/>
      <c r="AM2775" s="52"/>
      <c r="AN2775" s="52"/>
    </row>
    <row r="2776" spans="1:40" x14ac:dyDescent="0.3">
      <c r="A2776" s="52">
        <v>2771</v>
      </c>
      <c r="B2776" s="52">
        <f>-bthan*500+(20+0.5)*bthan*1000/50</f>
        <v>-495</v>
      </c>
      <c r="C2776" s="52">
        <f t="shared" si="268"/>
        <v>310.00000000000023</v>
      </c>
      <c r="D2776" s="52">
        <f t="shared" si="269"/>
        <v>2200</v>
      </c>
      <c r="E2776" s="52">
        <f t="shared" si="270"/>
        <v>1</v>
      </c>
      <c r="F2776" s="52"/>
      <c r="G2776" s="52"/>
      <c r="H2776" s="52"/>
      <c r="I2776" s="52"/>
      <c r="J2776" s="52"/>
      <c r="K2776" s="52"/>
      <c r="L2776" s="52"/>
      <c r="M2776" s="52"/>
      <c r="N2776" s="52"/>
      <c r="O2776" s="52"/>
      <c r="P2776" s="52"/>
      <c r="Q2776" s="52"/>
      <c r="R2776" s="52"/>
      <c r="S2776" s="52"/>
      <c r="T2776" s="52"/>
      <c r="U2776" s="52"/>
      <c r="V2776" s="52"/>
      <c r="W2776" s="52"/>
      <c r="X2776" s="52"/>
      <c r="Y2776" s="52"/>
      <c r="Z2776" s="52"/>
      <c r="AA2776" s="52"/>
      <c r="AB2776" s="52"/>
      <c r="AC2776" s="52"/>
      <c r="AD2776" s="52"/>
      <c r="AE2776" s="52"/>
      <c r="AF2776" s="52"/>
      <c r="AG2776" s="52"/>
      <c r="AH2776" s="52"/>
      <c r="AI2776" s="52"/>
      <c r="AJ2776" s="52"/>
      <c r="AK2776" s="52"/>
      <c r="AL2776" s="52"/>
      <c r="AM2776" s="52"/>
      <c r="AN2776" s="52"/>
    </row>
    <row r="2777" spans="1:40" x14ac:dyDescent="0.3">
      <c r="A2777" s="52">
        <v>2772</v>
      </c>
      <c r="B2777" s="52">
        <f>-bthan*500+(21+0.5)*bthan*1000/50</f>
        <v>-385</v>
      </c>
      <c r="C2777" s="52">
        <f t="shared" si="268"/>
        <v>310.00000000000023</v>
      </c>
      <c r="D2777" s="52">
        <f t="shared" si="269"/>
        <v>2200</v>
      </c>
      <c r="E2777" s="52">
        <f t="shared" si="270"/>
        <v>1</v>
      </c>
      <c r="F2777" s="52"/>
      <c r="G2777" s="52"/>
      <c r="H2777" s="52"/>
      <c r="I2777" s="52"/>
      <c r="J2777" s="52"/>
      <c r="K2777" s="52"/>
      <c r="L2777" s="52"/>
      <c r="M2777" s="52"/>
      <c r="N2777" s="52"/>
      <c r="O2777" s="52"/>
      <c r="P2777" s="52"/>
      <c r="Q2777" s="52"/>
      <c r="R2777" s="52"/>
      <c r="S2777" s="52"/>
      <c r="T2777" s="52"/>
      <c r="U2777" s="52"/>
      <c r="V2777" s="52"/>
      <c r="W2777" s="52"/>
      <c r="X2777" s="52"/>
      <c r="Y2777" s="52"/>
      <c r="Z2777" s="52"/>
      <c r="AA2777" s="52"/>
      <c r="AB2777" s="52"/>
      <c r="AC2777" s="52"/>
      <c r="AD2777" s="52"/>
      <c r="AE2777" s="52"/>
      <c r="AF2777" s="52"/>
      <c r="AG2777" s="52"/>
      <c r="AH2777" s="52"/>
      <c r="AI2777" s="52"/>
      <c r="AJ2777" s="52"/>
      <c r="AK2777" s="52"/>
      <c r="AL2777" s="52"/>
      <c r="AM2777" s="52"/>
      <c r="AN2777" s="52"/>
    </row>
    <row r="2778" spans="1:40" x14ac:dyDescent="0.3">
      <c r="A2778" s="52">
        <v>2773</v>
      </c>
      <c r="B2778" s="52">
        <f>-bthan*500+(22+0.5)*bthan*1000/50</f>
        <v>-275</v>
      </c>
      <c r="C2778" s="52">
        <f t="shared" si="268"/>
        <v>310.00000000000023</v>
      </c>
      <c r="D2778" s="52">
        <f t="shared" si="269"/>
        <v>2200</v>
      </c>
      <c r="E2778" s="52">
        <f t="shared" si="270"/>
        <v>1</v>
      </c>
      <c r="F2778" s="52"/>
      <c r="G2778" s="52"/>
      <c r="H2778" s="52"/>
      <c r="I2778" s="52"/>
      <c r="J2778" s="52"/>
      <c r="K2778" s="52"/>
      <c r="L2778" s="52"/>
      <c r="M2778" s="52"/>
      <c r="N2778" s="52"/>
      <c r="O2778" s="52"/>
      <c r="P2778" s="52"/>
      <c r="Q2778" s="52"/>
      <c r="R2778" s="52"/>
      <c r="S2778" s="52"/>
      <c r="T2778" s="52"/>
      <c r="U2778" s="52"/>
      <c r="V2778" s="52"/>
      <c r="W2778" s="52"/>
      <c r="X2778" s="52"/>
      <c r="Y2778" s="52"/>
      <c r="Z2778" s="52"/>
      <c r="AA2778" s="52"/>
      <c r="AB2778" s="52"/>
      <c r="AC2778" s="52"/>
      <c r="AD2778" s="52"/>
      <c r="AE2778" s="52"/>
      <c r="AF2778" s="52"/>
      <c r="AG2778" s="52"/>
      <c r="AH2778" s="52"/>
      <c r="AI2778" s="52"/>
      <c r="AJ2778" s="52"/>
      <c r="AK2778" s="52"/>
      <c r="AL2778" s="52"/>
      <c r="AM2778" s="52"/>
      <c r="AN2778" s="52"/>
    </row>
    <row r="2779" spans="1:40" x14ac:dyDescent="0.3">
      <c r="A2779" s="52">
        <v>2774</v>
      </c>
      <c r="B2779" s="52">
        <f>-bthan*500+(23+0.5)*bthan*1000/50</f>
        <v>-165</v>
      </c>
      <c r="C2779" s="52">
        <f t="shared" si="268"/>
        <v>310.00000000000023</v>
      </c>
      <c r="D2779" s="52">
        <f t="shared" si="269"/>
        <v>2200</v>
      </c>
      <c r="E2779" s="52">
        <f t="shared" si="270"/>
        <v>1</v>
      </c>
      <c r="F2779" s="52"/>
      <c r="G2779" s="52"/>
      <c r="H2779" s="52"/>
      <c r="I2779" s="52"/>
      <c r="J2779" s="52"/>
      <c r="K2779" s="52"/>
      <c r="L2779" s="52"/>
      <c r="M2779" s="52"/>
      <c r="N2779" s="52"/>
      <c r="O2779" s="52"/>
      <c r="P2779" s="52"/>
      <c r="Q2779" s="52"/>
      <c r="R2779" s="52"/>
      <c r="S2779" s="52"/>
      <c r="T2779" s="52"/>
      <c r="U2779" s="52"/>
      <c r="V2779" s="52"/>
      <c r="W2779" s="52"/>
      <c r="X2779" s="52"/>
      <c r="Y2779" s="52"/>
      <c r="Z2779" s="52"/>
      <c r="AA2779" s="52"/>
      <c r="AB2779" s="52"/>
      <c r="AC2779" s="52"/>
      <c r="AD2779" s="52"/>
      <c r="AE2779" s="52"/>
      <c r="AF2779" s="52"/>
      <c r="AG2779" s="52"/>
      <c r="AH2779" s="52"/>
      <c r="AI2779" s="52"/>
      <c r="AJ2779" s="52"/>
      <c r="AK2779" s="52"/>
      <c r="AL2779" s="52"/>
      <c r="AM2779" s="52"/>
      <c r="AN2779" s="52"/>
    </row>
    <row r="2780" spans="1:40" x14ac:dyDescent="0.3">
      <c r="A2780" s="52">
        <v>2775</v>
      </c>
      <c r="B2780" s="52">
        <f>-bthan*500+(24+0.5)*bthan*1000/50</f>
        <v>-55</v>
      </c>
      <c r="C2780" s="52">
        <f t="shared" si="268"/>
        <v>310.00000000000023</v>
      </c>
      <c r="D2780" s="52">
        <f t="shared" si="269"/>
        <v>2200</v>
      </c>
      <c r="E2780" s="52">
        <f t="shared" si="270"/>
        <v>1</v>
      </c>
      <c r="F2780" s="52"/>
      <c r="G2780" s="52"/>
      <c r="H2780" s="52"/>
      <c r="I2780" s="52"/>
      <c r="J2780" s="52"/>
      <c r="K2780" s="52"/>
      <c r="L2780" s="52"/>
      <c r="M2780" s="52"/>
      <c r="N2780" s="52"/>
      <c r="O2780" s="52"/>
      <c r="P2780" s="52"/>
      <c r="Q2780" s="52"/>
      <c r="R2780" s="52"/>
      <c r="S2780" s="52"/>
      <c r="T2780" s="52"/>
      <c r="U2780" s="52"/>
      <c r="V2780" s="52"/>
      <c r="W2780" s="52"/>
      <c r="X2780" s="52"/>
      <c r="Y2780" s="52"/>
      <c r="Z2780" s="52"/>
      <c r="AA2780" s="52"/>
      <c r="AB2780" s="52"/>
      <c r="AC2780" s="52"/>
      <c r="AD2780" s="52"/>
      <c r="AE2780" s="52"/>
      <c r="AF2780" s="52"/>
      <c r="AG2780" s="52"/>
      <c r="AH2780" s="52"/>
      <c r="AI2780" s="52"/>
      <c r="AJ2780" s="52"/>
      <c r="AK2780" s="52"/>
      <c r="AL2780" s="52"/>
      <c r="AM2780" s="52"/>
      <c r="AN2780" s="52"/>
    </row>
    <row r="2781" spans="1:40" x14ac:dyDescent="0.3">
      <c r="A2781" s="52">
        <v>2776</v>
      </c>
      <c r="B2781" s="52">
        <f>-bthan*500+(25+0.5)*bthan*1000/50</f>
        <v>55</v>
      </c>
      <c r="C2781" s="52">
        <f t="shared" si="268"/>
        <v>310.00000000000023</v>
      </c>
      <c r="D2781" s="52">
        <f t="shared" si="269"/>
        <v>2200</v>
      </c>
      <c r="E2781" s="52">
        <f t="shared" si="270"/>
        <v>1</v>
      </c>
      <c r="F2781" s="52"/>
      <c r="G2781" s="52"/>
      <c r="H2781" s="52"/>
      <c r="I2781" s="52"/>
      <c r="J2781" s="52"/>
      <c r="K2781" s="52"/>
      <c r="L2781" s="52"/>
      <c r="M2781" s="52"/>
      <c r="N2781" s="52"/>
      <c r="O2781" s="52"/>
      <c r="P2781" s="52"/>
      <c r="Q2781" s="52"/>
      <c r="R2781" s="52"/>
      <c r="S2781" s="52"/>
      <c r="T2781" s="52"/>
      <c r="U2781" s="52"/>
      <c r="V2781" s="52"/>
      <c r="W2781" s="52"/>
      <c r="X2781" s="52"/>
      <c r="Y2781" s="52"/>
      <c r="Z2781" s="52"/>
      <c r="AA2781" s="52"/>
      <c r="AB2781" s="52"/>
      <c r="AC2781" s="52"/>
      <c r="AD2781" s="52"/>
      <c r="AE2781" s="52"/>
      <c r="AF2781" s="52"/>
      <c r="AG2781" s="52"/>
      <c r="AH2781" s="52"/>
      <c r="AI2781" s="52"/>
      <c r="AJ2781" s="52"/>
      <c r="AK2781" s="52"/>
      <c r="AL2781" s="52"/>
      <c r="AM2781" s="52"/>
      <c r="AN2781" s="52"/>
    </row>
    <row r="2782" spans="1:40" x14ac:dyDescent="0.3">
      <c r="A2782" s="52">
        <v>2777</v>
      </c>
      <c r="B2782" s="52">
        <f>-bthan*500+(26+0.5)*bthan*1000/50</f>
        <v>165</v>
      </c>
      <c r="C2782" s="52">
        <f t="shared" si="268"/>
        <v>310.00000000000023</v>
      </c>
      <c r="D2782" s="52">
        <f t="shared" si="269"/>
        <v>2200</v>
      </c>
      <c r="E2782" s="52">
        <f t="shared" si="270"/>
        <v>1</v>
      </c>
      <c r="F2782" s="52"/>
      <c r="G2782" s="52"/>
      <c r="H2782" s="52"/>
      <c r="I2782" s="52"/>
      <c r="J2782" s="52"/>
      <c r="K2782" s="52"/>
      <c r="L2782" s="52"/>
      <c r="M2782" s="52"/>
      <c r="N2782" s="52"/>
      <c r="O2782" s="52"/>
      <c r="P2782" s="52"/>
      <c r="Q2782" s="52"/>
      <c r="R2782" s="52"/>
      <c r="S2782" s="52"/>
      <c r="T2782" s="52"/>
      <c r="U2782" s="52"/>
      <c r="V2782" s="52"/>
      <c r="W2782" s="52"/>
      <c r="X2782" s="52"/>
      <c r="Y2782" s="52"/>
      <c r="Z2782" s="52"/>
      <c r="AA2782" s="52"/>
      <c r="AB2782" s="52"/>
      <c r="AC2782" s="52"/>
      <c r="AD2782" s="52"/>
      <c r="AE2782" s="52"/>
      <c r="AF2782" s="52"/>
      <c r="AG2782" s="52"/>
      <c r="AH2782" s="52"/>
      <c r="AI2782" s="52"/>
      <c r="AJ2782" s="52"/>
      <c r="AK2782" s="52"/>
      <c r="AL2782" s="52"/>
      <c r="AM2782" s="52"/>
      <c r="AN2782" s="52"/>
    </row>
    <row r="2783" spans="1:40" x14ac:dyDescent="0.3">
      <c r="A2783" s="52">
        <v>2778</v>
      </c>
      <c r="B2783" s="52">
        <f>-bthan*500+(27+0.5)*bthan*1000/50</f>
        <v>275</v>
      </c>
      <c r="C2783" s="52">
        <f t="shared" si="268"/>
        <v>310.00000000000023</v>
      </c>
      <c r="D2783" s="52">
        <f t="shared" si="269"/>
        <v>2200</v>
      </c>
      <c r="E2783" s="52">
        <f t="shared" si="270"/>
        <v>1</v>
      </c>
      <c r="F2783" s="52"/>
      <c r="G2783" s="52"/>
      <c r="H2783" s="52"/>
      <c r="I2783" s="52"/>
      <c r="J2783" s="52"/>
      <c r="K2783" s="52"/>
      <c r="L2783" s="52"/>
      <c r="M2783" s="52"/>
      <c r="N2783" s="52"/>
      <c r="O2783" s="52"/>
      <c r="P2783" s="52"/>
      <c r="Q2783" s="52"/>
      <c r="R2783" s="52"/>
      <c r="S2783" s="52"/>
      <c r="T2783" s="52"/>
      <c r="U2783" s="52"/>
      <c r="V2783" s="52"/>
      <c r="W2783" s="52"/>
      <c r="X2783" s="52"/>
      <c r="Y2783" s="52"/>
      <c r="Z2783" s="52"/>
      <c r="AA2783" s="52"/>
      <c r="AB2783" s="52"/>
      <c r="AC2783" s="52"/>
      <c r="AD2783" s="52"/>
      <c r="AE2783" s="52"/>
      <c r="AF2783" s="52"/>
      <c r="AG2783" s="52"/>
      <c r="AH2783" s="52"/>
      <c r="AI2783" s="52"/>
      <c r="AJ2783" s="52"/>
      <c r="AK2783" s="52"/>
      <c r="AL2783" s="52"/>
      <c r="AM2783" s="52"/>
      <c r="AN2783" s="52"/>
    </row>
    <row r="2784" spans="1:40" x14ac:dyDescent="0.3">
      <c r="A2784" s="52">
        <v>2779</v>
      </c>
      <c r="B2784" s="52">
        <f>-bthan*500+(28+0.5)*bthan*1000/50</f>
        <v>385</v>
      </c>
      <c r="C2784" s="52">
        <f t="shared" si="268"/>
        <v>310.00000000000023</v>
      </c>
      <c r="D2784" s="52">
        <f t="shared" si="269"/>
        <v>2200</v>
      </c>
      <c r="E2784" s="52">
        <f t="shared" si="270"/>
        <v>1</v>
      </c>
      <c r="F2784" s="52"/>
      <c r="G2784" s="52"/>
      <c r="H2784" s="52"/>
      <c r="I2784" s="52"/>
      <c r="J2784" s="52"/>
      <c r="K2784" s="52"/>
      <c r="L2784" s="52"/>
      <c r="M2784" s="52"/>
      <c r="N2784" s="52"/>
      <c r="O2784" s="52"/>
      <c r="P2784" s="52"/>
      <c r="Q2784" s="52"/>
      <c r="R2784" s="52"/>
      <c r="S2784" s="52"/>
      <c r="T2784" s="52"/>
      <c r="U2784" s="52"/>
      <c r="V2784" s="52"/>
      <c r="W2784" s="52"/>
      <c r="X2784" s="52"/>
      <c r="Y2784" s="52"/>
      <c r="Z2784" s="52"/>
      <c r="AA2784" s="52"/>
      <c r="AB2784" s="52"/>
      <c r="AC2784" s="52"/>
      <c r="AD2784" s="52"/>
      <c r="AE2784" s="52"/>
      <c r="AF2784" s="52"/>
      <c r="AG2784" s="52"/>
      <c r="AH2784" s="52"/>
      <c r="AI2784" s="52"/>
      <c r="AJ2784" s="52"/>
      <c r="AK2784" s="52"/>
      <c r="AL2784" s="52"/>
      <c r="AM2784" s="52"/>
      <c r="AN2784" s="52"/>
    </row>
    <row r="2785" spans="1:40" x14ac:dyDescent="0.3">
      <c r="A2785" s="52">
        <v>2780</v>
      </c>
      <c r="B2785" s="52">
        <f>-bthan*500+(29+0.5)*bthan*1000/50</f>
        <v>495</v>
      </c>
      <c r="C2785" s="52">
        <f t="shared" si="268"/>
        <v>310.00000000000023</v>
      </c>
      <c r="D2785" s="52">
        <f t="shared" si="269"/>
        <v>2200</v>
      </c>
      <c r="E2785" s="52">
        <f t="shared" si="270"/>
        <v>1</v>
      </c>
      <c r="F2785" s="52"/>
      <c r="G2785" s="52"/>
      <c r="H2785" s="52"/>
      <c r="I2785" s="52"/>
      <c r="J2785" s="52"/>
      <c r="K2785" s="52"/>
      <c r="L2785" s="52"/>
      <c r="M2785" s="52"/>
      <c r="N2785" s="52"/>
      <c r="O2785" s="52"/>
      <c r="P2785" s="52"/>
      <c r="Q2785" s="52"/>
      <c r="R2785" s="52"/>
      <c r="S2785" s="52"/>
      <c r="T2785" s="52"/>
      <c r="U2785" s="52"/>
      <c r="V2785" s="52"/>
      <c r="W2785" s="52"/>
      <c r="X2785" s="52"/>
      <c r="Y2785" s="52"/>
      <c r="Z2785" s="52"/>
      <c r="AA2785" s="52"/>
      <c r="AB2785" s="52"/>
      <c r="AC2785" s="52"/>
      <c r="AD2785" s="52"/>
      <c r="AE2785" s="52"/>
      <c r="AF2785" s="52"/>
      <c r="AG2785" s="52"/>
      <c r="AH2785" s="52"/>
      <c r="AI2785" s="52"/>
      <c r="AJ2785" s="52"/>
      <c r="AK2785" s="52"/>
      <c r="AL2785" s="52"/>
      <c r="AM2785" s="52"/>
      <c r="AN2785" s="52"/>
    </row>
    <row r="2786" spans="1:40" x14ac:dyDescent="0.3">
      <c r="A2786" s="52">
        <v>2781</v>
      </c>
      <c r="B2786" s="52">
        <f>-bthan*500+(30+0.5)*bthan*1000/50</f>
        <v>605</v>
      </c>
      <c r="C2786" s="52">
        <f t="shared" si="268"/>
        <v>310.00000000000023</v>
      </c>
      <c r="D2786" s="52">
        <f t="shared" si="269"/>
        <v>2200</v>
      </c>
      <c r="E2786" s="52">
        <f t="shared" si="270"/>
        <v>1</v>
      </c>
      <c r="F2786" s="52"/>
      <c r="G2786" s="52"/>
      <c r="H2786" s="52"/>
      <c r="I2786" s="52"/>
      <c r="J2786" s="52"/>
      <c r="K2786" s="52"/>
      <c r="L2786" s="52"/>
      <c r="M2786" s="52"/>
      <c r="N2786" s="52"/>
      <c r="O2786" s="52"/>
      <c r="P2786" s="52"/>
      <c r="Q2786" s="52"/>
      <c r="R2786" s="52"/>
      <c r="S2786" s="52"/>
      <c r="T2786" s="52"/>
      <c r="U2786" s="52"/>
      <c r="V2786" s="52"/>
      <c r="W2786" s="52"/>
      <c r="X2786" s="52"/>
      <c r="Y2786" s="52"/>
      <c r="Z2786" s="52"/>
      <c r="AA2786" s="52"/>
      <c r="AB2786" s="52"/>
      <c r="AC2786" s="52"/>
      <c r="AD2786" s="52"/>
      <c r="AE2786" s="52"/>
      <c r="AF2786" s="52"/>
      <c r="AG2786" s="52"/>
      <c r="AH2786" s="52"/>
      <c r="AI2786" s="52"/>
      <c r="AJ2786" s="52"/>
      <c r="AK2786" s="52"/>
      <c r="AL2786" s="52"/>
      <c r="AM2786" s="52"/>
      <c r="AN2786" s="52"/>
    </row>
    <row r="2787" spans="1:40" x14ac:dyDescent="0.3">
      <c r="A2787" s="52">
        <v>2782</v>
      </c>
      <c r="B2787" s="52">
        <f>-bthan*500+(31+0.5)*bthan*1000/50</f>
        <v>715</v>
      </c>
      <c r="C2787" s="52">
        <f t="shared" si="268"/>
        <v>310.00000000000023</v>
      </c>
      <c r="D2787" s="52">
        <f t="shared" si="269"/>
        <v>2200</v>
      </c>
      <c r="E2787" s="52">
        <f t="shared" si="270"/>
        <v>1</v>
      </c>
      <c r="F2787" s="52"/>
      <c r="G2787" s="52"/>
      <c r="H2787" s="52"/>
      <c r="I2787" s="52"/>
      <c r="J2787" s="52"/>
      <c r="K2787" s="52"/>
      <c r="L2787" s="52"/>
      <c r="M2787" s="52"/>
      <c r="N2787" s="52"/>
      <c r="O2787" s="52"/>
      <c r="P2787" s="52"/>
      <c r="Q2787" s="52"/>
      <c r="R2787" s="52"/>
      <c r="S2787" s="52"/>
      <c r="T2787" s="52"/>
      <c r="U2787" s="52"/>
      <c r="V2787" s="52"/>
      <c r="W2787" s="52"/>
      <c r="X2787" s="52"/>
      <c r="Y2787" s="52"/>
      <c r="Z2787" s="52"/>
      <c r="AA2787" s="52"/>
      <c r="AB2787" s="52"/>
      <c r="AC2787" s="52"/>
      <c r="AD2787" s="52"/>
      <c r="AE2787" s="52"/>
      <c r="AF2787" s="52"/>
      <c r="AG2787" s="52"/>
      <c r="AH2787" s="52"/>
      <c r="AI2787" s="52"/>
      <c r="AJ2787" s="52"/>
      <c r="AK2787" s="52"/>
      <c r="AL2787" s="52"/>
      <c r="AM2787" s="52"/>
      <c r="AN2787" s="52"/>
    </row>
    <row r="2788" spans="1:40" x14ac:dyDescent="0.3">
      <c r="A2788" s="52">
        <v>2783</v>
      </c>
      <c r="B2788" s="52">
        <f>-bthan*500+(32+0.5)*bthan*1000/50</f>
        <v>825</v>
      </c>
      <c r="C2788" s="52">
        <f t="shared" ref="C2788:C2805" si="271">-hthan*500+(55+0.5)*hthan*1000/80</f>
        <v>310.00000000000023</v>
      </c>
      <c r="D2788" s="52">
        <f t="shared" si="269"/>
        <v>2200</v>
      </c>
      <c r="E2788" s="52">
        <f t="shared" si="270"/>
        <v>1</v>
      </c>
      <c r="F2788" s="52"/>
      <c r="G2788" s="52"/>
      <c r="H2788" s="52"/>
      <c r="I2788" s="52"/>
      <c r="J2788" s="52"/>
      <c r="K2788" s="52"/>
      <c r="L2788" s="52"/>
      <c r="M2788" s="52"/>
      <c r="N2788" s="52"/>
      <c r="O2788" s="52"/>
      <c r="P2788" s="52"/>
      <c r="Q2788" s="52"/>
      <c r="R2788" s="52"/>
      <c r="S2788" s="52"/>
      <c r="T2788" s="52"/>
      <c r="U2788" s="52"/>
      <c r="V2788" s="52"/>
      <c r="W2788" s="52"/>
      <c r="X2788" s="52"/>
      <c r="Y2788" s="52"/>
      <c r="Z2788" s="52"/>
      <c r="AA2788" s="52"/>
      <c r="AB2788" s="52"/>
      <c r="AC2788" s="52"/>
      <c r="AD2788" s="52"/>
      <c r="AE2788" s="52"/>
      <c r="AF2788" s="52"/>
      <c r="AG2788" s="52"/>
      <c r="AH2788" s="52"/>
      <c r="AI2788" s="52"/>
      <c r="AJ2788" s="52"/>
      <c r="AK2788" s="52"/>
      <c r="AL2788" s="52"/>
      <c r="AM2788" s="52"/>
      <c r="AN2788" s="52"/>
    </row>
    <row r="2789" spans="1:40" x14ac:dyDescent="0.3">
      <c r="A2789" s="52">
        <v>2784</v>
      </c>
      <c r="B2789" s="52">
        <f>-bthan*500+(33+0.5)*bthan*1000/50</f>
        <v>935</v>
      </c>
      <c r="C2789" s="52">
        <f t="shared" si="271"/>
        <v>310.00000000000023</v>
      </c>
      <c r="D2789" s="52">
        <f t="shared" si="269"/>
        <v>2200</v>
      </c>
      <c r="E2789" s="52">
        <f t="shared" si="270"/>
        <v>1</v>
      </c>
      <c r="F2789" s="52"/>
      <c r="G2789" s="52"/>
      <c r="H2789" s="52"/>
      <c r="I2789" s="52"/>
      <c r="J2789" s="52"/>
      <c r="K2789" s="52"/>
      <c r="L2789" s="52"/>
      <c r="M2789" s="52"/>
      <c r="N2789" s="52"/>
      <c r="O2789" s="52"/>
      <c r="P2789" s="52"/>
      <c r="Q2789" s="52"/>
      <c r="R2789" s="52"/>
      <c r="S2789" s="52"/>
      <c r="T2789" s="52"/>
      <c r="U2789" s="52"/>
      <c r="V2789" s="52"/>
      <c r="W2789" s="52"/>
      <c r="X2789" s="52"/>
      <c r="Y2789" s="52"/>
      <c r="Z2789" s="52"/>
      <c r="AA2789" s="52"/>
      <c r="AB2789" s="52"/>
      <c r="AC2789" s="52"/>
      <c r="AD2789" s="52"/>
      <c r="AE2789" s="52"/>
      <c r="AF2789" s="52"/>
      <c r="AG2789" s="52"/>
      <c r="AH2789" s="52"/>
      <c r="AI2789" s="52"/>
      <c r="AJ2789" s="52"/>
      <c r="AK2789" s="52"/>
      <c r="AL2789" s="52"/>
      <c r="AM2789" s="52"/>
      <c r="AN2789" s="52"/>
    </row>
    <row r="2790" spans="1:40" x14ac:dyDescent="0.3">
      <c r="A2790" s="52">
        <v>2785</v>
      </c>
      <c r="B2790" s="52">
        <f>-bthan*500+(34+0.5)*bthan*1000/50</f>
        <v>1045</v>
      </c>
      <c r="C2790" s="52">
        <f t="shared" si="271"/>
        <v>310.00000000000023</v>
      </c>
      <c r="D2790" s="52">
        <f t="shared" si="269"/>
        <v>2200</v>
      </c>
      <c r="E2790" s="52">
        <f t="shared" si="270"/>
        <v>1</v>
      </c>
      <c r="F2790" s="52"/>
      <c r="G2790" s="52"/>
      <c r="H2790" s="52"/>
      <c r="I2790" s="52"/>
      <c r="J2790" s="52"/>
      <c r="K2790" s="52"/>
      <c r="L2790" s="52"/>
      <c r="M2790" s="52"/>
      <c r="N2790" s="52"/>
      <c r="O2790" s="52"/>
      <c r="P2790" s="52"/>
      <c r="Q2790" s="52"/>
      <c r="R2790" s="52"/>
      <c r="S2790" s="52"/>
      <c r="T2790" s="52"/>
      <c r="U2790" s="52"/>
      <c r="V2790" s="52"/>
      <c r="W2790" s="52"/>
      <c r="X2790" s="52"/>
      <c r="Y2790" s="52"/>
      <c r="Z2790" s="52"/>
      <c r="AA2790" s="52"/>
      <c r="AB2790" s="52"/>
      <c r="AC2790" s="52"/>
      <c r="AD2790" s="52"/>
      <c r="AE2790" s="52"/>
      <c r="AF2790" s="52"/>
      <c r="AG2790" s="52"/>
      <c r="AH2790" s="52"/>
      <c r="AI2790" s="52"/>
      <c r="AJ2790" s="52"/>
      <c r="AK2790" s="52"/>
      <c r="AL2790" s="52"/>
      <c r="AM2790" s="52"/>
      <c r="AN2790" s="52"/>
    </row>
    <row r="2791" spans="1:40" x14ac:dyDescent="0.3">
      <c r="A2791" s="52">
        <v>2786</v>
      </c>
      <c r="B2791" s="52">
        <f>-bthan*500+(35+0.5)*bthan*1000/50</f>
        <v>1155</v>
      </c>
      <c r="C2791" s="52">
        <f t="shared" si="271"/>
        <v>310.00000000000023</v>
      </c>
      <c r="D2791" s="52">
        <f t="shared" si="269"/>
        <v>2200</v>
      </c>
      <c r="E2791" s="52">
        <f t="shared" si="270"/>
        <v>1</v>
      </c>
      <c r="F2791" s="52"/>
      <c r="G2791" s="52"/>
      <c r="H2791" s="52"/>
      <c r="I2791" s="52"/>
      <c r="J2791" s="52"/>
      <c r="K2791" s="52"/>
      <c r="L2791" s="52"/>
      <c r="M2791" s="52"/>
      <c r="N2791" s="52"/>
      <c r="O2791" s="52"/>
      <c r="P2791" s="52"/>
      <c r="Q2791" s="52"/>
      <c r="R2791" s="52"/>
      <c r="S2791" s="52"/>
      <c r="T2791" s="52"/>
      <c r="U2791" s="52"/>
      <c r="V2791" s="52"/>
      <c r="W2791" s="52"/>
      <c r="X2791" s="52"/>
      <c r="Y2791" s="52"/>
      <c r="Z2791" s="52"/>
      <c r="AA2791" s="52"/>
      <c r="AB2791" s="52"/>
      <c r="AC2791" s="52"/>
      <c r="AD2791" s="52"/>
      <c r="AE2791" s="52"/>
      <c r="AF2791" s="52"/>
      <c r="AG2791" s="52"/>
      <c r="AH2791" s="52"/>
      <c r="AI2791" s="52"/>
      <c r="AJ2791" s="52"/>
      <c r="AK2791" s="52"/>
      <c r="AL2791" s="52"/>
      <c r="AM2791" s="52"/>
      <c r="AN2791" s="52"/>
    </row>
    <row r="2792" spans="1:40" x14ac:dyDescent="0.3">
      <c r="A2792" s="52">
        <v>2787</v>
      </c>
      <c r="B2792" s="52">
        <f>-bthan*500+(36+0.5)*bthan*1000/50</f>
        <v>1265</v>
      </c>
      <c r="C2792" s="52">
        <f t="shared" si="271"/>
        <v>310.00000000000023</v>
      </c>
      <c r="D2792" s="52">
        <f t="shared" si="269"/>
        <v>2200</v>
      </c>
      <c r="E2792" s="52">
        <f t="shared" si="270"/>
        <v>1</v>
      </c>
      <c r="F2792" s="52"/>
      <c r="G2792" s="52"/>
      <c r="H2792" s="52"/>
      <c r="I2792" s="52"/>
      <c r="J2792" s="52"/>
      <c r="K2792" s="52"/>
      <c r="L2792" s="52"/>
      <c r="M2792" s="52"/>
      <c r="N2792" s="52"/>
      <c r="O2792" s="52"/>
      <c r="P2792" s="52"/>
      <c r="Q2792" s="52"/>
      <c r="R2792" s="52"/>
      <c r="S2792" s="52"/>
      <c r="T2792" s="52"/>
      <c r="U2792" s="52"/>
      <c r="V2792" s="52"/>
      <c r="W2792" s="52"/>
      <c r="X2792" s="52"/>
      <c r="Y2792" s="52"/>
      <c r="Z2792" s="52"/>
      <c r="AA2792" s="52"/>
      <c r="AB2792" s="52"/>
      <c r="AC2792" s="52"/>
      <c r="AD2792" s="52"/>
      <c r="AE2792" s="52"/>
      <c r="AF2792" s="52"/>
      <c r="AG2792" s="52"/>
      <c r="AH2792" s="52"/>
      <c r="AI2792" s="52"/>
      <c r="AJ2792" s="52"/>
      <c r="AK2792" s="52"/>
      <c r="AL2792" s="52"/>
      <c r="AM2792" s="52"/>
      <c r="AN2792" s="52"/>
    </row>
    <row r="2793" spans="1:40" x14ac:dyDescent="0.3">
      <c r="A2793" s="52">
        <v>2788</v>
      </c>
      <c r="B2793" s="52">
        <f>-bthan*500+(37+0.5)*bthan*1000/50</f>
        <v>1375</v>
      </c>
      <c r="C2793" s="52">
        <f t="shared" si="271"/>
        <v>310.00000000000023</v>
      </c>
      <c r="D2793" s="52">
        <f t="shared" si="269"/>
        <v>2200</v>
      </c>
      <c r="E2793" s="52">
        <f t="shared" si="270"/>
        <v>1</v>
      </c>
      <c r="F2793" s="52"/>
      <c r="G2793" s="52"/>
      <c r="H2793" s="52"/>
      <c r="I2793" s="52"/>
      <c r="J2793" s="52"/>
      <c r="K2793" s="52"/>
      <c r="L2793" s="52"/>
      <c r="M2793" s="52"/>
      <c r="N2793" s="52"/>
      <c r="O2793" s="52"/>
      <c r="P2793" s="52"/>
      <c r="Q2793" s="52"/>
      <c r="R2793" s="52"/>
      <c r="S2793" s="52"/>
      <c r="T2793" s="52"/>
      <c r="U2793" s="52"/>
      <c r="V2793" s="52"/>
      <c r="W2793" s="52"/>
      <c r="X2793" s="52"/>
      <c r="Y2793" s="52"/>
      <c r="Z2793" s="52"/>
      <c r="AA2793" s="52"/>
      <c r="AB2793" s="52"/>
      <c r="AC2793" s="52"/>
      <c r="AD2793" s="52"/>
      <c r="AE2793" s="52"/>
      <c r="AF2793" s="52"/>
      <c r="AG2793" s="52"/>
      <c r="AH2793" s="52"/>
      <c r="AI2793" s="52"/>
      <c r="AJ2793" s="52"/>
      <c r="AK2793" s="52"/>
      <c r="AL2793" s="52"/>
      <c r="AM2793" s="52"/>
      <c r="AN2793" s="52"/>
    </row>
    <row r="2794" spans="1:40" x14ac:dyDescent="0.3">
      <c r="A2794" s="52">
        <v>2789</v>
      </c>
      <c r="B2794" s="52">
        <f>-bthan*500+(38+0.5)*bthan*1000/50</f>
        <v>1485</v>
      </c>
      <c r="C2794" s="52">
        <f t="shared" si="271"/>
        <v>310.00000000000023</v>
      </c>
      <c r="D2794" s="52">
        <f t="shared" si="269"/>
        <v>2200</v>
      </c>
      <c r="E2794" s="52">
        <f t="shared" si="270"/>
        <v>1</v>
      </c>
      <c r="F2794" s="52"/>
      <c r="G2794" s="52"/>
      <c r="H2794" s="52"/>
      <c r="I2794" s="52"/>
      <c r="J2794" s="52"/>
      <c r="K2794" s="52"/>
      <c r="L2794" s="52"/>
      <c r="M2794" s="52"/>
      <c r="N2794" s="52"/>
      <c r="O2794" s="52"/>
      <c r="P2794" s="52"/>
      <c r="Q2794" s="52"/>
      <c r="R2794" s="52"/>
      <c r="S2794" s="52"/>
      <c r="T2794" s="52"/>
      <c r="U2794" s="52"/>
      <c r="V2794" s="52"/>
      <c r="W2794" s="52"/>
      <c r="X2794" s="52"/>
      <c r="Y2794" s="52"/>
      <c r="Z2794" s="52"/>
      <c r="AA2794" s="52"/>
      <c r="AB2794" s="52"/>
      <c r="AC2794" s="52"/>
      <c r="AD2794" s="52"/>
      <c r="AE2794" s="52"/>
      <c r="AF2794" s="52"/>
      <c r="AG2794" s="52"/>
      <c r="AH2794" s="52"/>
      <c r="AI2794" s="52"/>
      <c r="AJ2794" s="52"/>
      <c r="AK2794" s="52"/>
      <c r="AL2794" s="52"/>
      <c r="AM2794" s="52"/>
      <c r="AN2794" s="52"/>
    </row>
    <row r="2795" spans="1:40" x14ac:dyDescent="0.3">
      <c r="A2795" s="52">
        <v>2790</v>
      </c>
      <c r="B2795" s="52">
        <f>-bthan*500+(39+0.5)*bthan*1000/50</f>
        <v>1595</v>
      </c>
      <c r="C2795" s="52">
        <f t="shared" si="271"/>
        <v>310.00000000000023</v>
      </c>
      <c r="D2795" s="52">
        <f t="shared" si="269"/>
        <v>2200</v>
      </c>
      <c r="E2795" s="52">
        <f t="shared" si="270"/>
        <v>1</v>
      </c>
      <c r="F2795" s="52"/>
      <c r="G2795" s="52"/>
      <c r="H2795" s="52"/>
      <c r="I2795" s="52"/>
      <c r="J2795" s="52"/>
      <c r="K2795" s="52"/>
      <c r="L2795" s="52"/>
      <c r="M2795" s="52"/>
      <c r="N2795" s="52"/>
      <c r="O2795" s="52"/>
      <c r="P2795" s="52"/>
      <c r="Q2795" s="52"/>
      <c r="R2795" s="52"/>
      <c r="S2795" s="52"/>
      <c r="T2795" s="52"/>
      <c r="U2795" s="52"/>
      <c r="V2795" s="52"/>
      <c r="W2795" s="52"/>
      <c r="X2795" s="52"/>
      <c r="Y2795" s="52"/>
      <c r="Z2795" s="52"/>
      <c r="AA2795" s="52"/>
      <c r="AB2795" s="52"/>
      <c r="AC2795" s="52"/>
      <c r="AD2795" s="52"/>
      <c r="AE2795" s="52"/>
      <c r="AF2795" s="52"/>
      <c r="AG2795" s="52"/>
      <c r="AH2795" s="52"/>
      <c r="AI2795" s="52"/>
      <c r="AJ2795" s="52"/>
      <c r="AK2795" s="52"/>
      <c r="AL2795" s="52"/>
      <c r="AM2795" s="52"/>
      <c r="AN2795" s="52"/>
    </row>
    <row r="2796" spans="1:40" x14ac:dyDescent="0.3">
      <c r="A2796" s="52">
        <v>2791</v>
      </c>
      <c r="B2796" s="52">
        <f>-bthan*500+(40+0.5)*bthan*1000/50</f>
        <v>1705</v>
      </c>
      <c r="C2796" s="52">
        <f t="shared" si="271"/>
        <v>310.00000000000023</v>
      </c>
      <c r="D2796" s="52">
        <f t="shared" si="269"/>
        <v>2200</v>
      </c>
      <c r="E2796" s="52">
        <f t="shared" si="270"/>
        <v>1</v>
      </c>
      <c r="F2796" s="52"/>
      <c r="G2796" s="52"/>
      <c r="H2796" s="52"/>
      <c r="I2796" s="52"/>
      <c r="J2796" s="52"/>
      <c r="K2796" s="52"/>
      <c r="L2796" s="52"/>
      <c r="M2796" s="52"/>
      <c r="N2796" s="52"/>
      <c r="O2796" s="52"/>
      <c r="P2796" s="52"/>
      <c r="Q2796" s="52"/>
      <c r="R2796" s="52"/>
      <c r="S2796" s="52"/>
      <c r="T2796" s="52"/>
      <c r="U2796" s="52"/>
      <c r="V2796" s="52"/>
      <c r="W2796" s="52"/>
      <c r="X2796" s="52"/>
      <c r="Y2796" s="52"/>
      <c r="Z2796" s="52"/>
      <c r="AA2796" s="52"/>
      <c r="AB2796" s="52"/>
      <c r="AC2796" s="52"/>
      <c r="AD2796" s="52"/>
      <c r="AE2796" s="52"/>
      <c r="AF2796" s="52"/>
      <c r="AG2796" s="52"/>
      <c r="AH2796" s="52"/>
      <c r="AI2796" s="52"/>
      <c r="AJ2796" s="52"/>
      <c r="AK2796" s="52"/>
      <c r="AL2796" s="52"/>
      <c r="AM2796" s="52"/>
      <c r="AN2796" s="52"/>
    </row>
    <row r="2797" spans="1:40" x14ac:dyDescent="0.3">
      <c r="A2797" s="52">
        <v>2792</v>
      </c>
      <c r="B2797" s="52">
        <f>-bthan*500+(41+0.5)*bthan*1000/50</f>
        <v>1815</v>
      </c>
      <c r="C2797" s="52">
        <f t="shared" si="271"/>
        <v>310.00000000000023</v>
      </c>
      <c r="D2797" s="52">
        <f t="shared" si="269"/>
        <v>2200</v>
      </c>
      <c r="E2797" s="52">
        <f t="shared" si="270"/>
        <v>1</v>
      </c>
      <c r="F2797" s="52"/>
      <c r="G2797" s="52"/>
      <c r="H2797" s="52"/>
      <c r="I2797" s="52"/>
      <c r="J2797" s="52"/>
      <c r="K2797" s="52"/>
      <c r="L2797" s="52"/>
      <c r="M2797" s="52"/>
      <c r="N2797" s="52"/>
      <c r="O2797" s="52"/>
      <c r="P2797" s="52"/>
      <c r="Q2797" s="52"/>
      <c r="R2797" s="52"/>
      <c r="S2797" s="52"/>
      <c r="T2797" s="52"/>
      <c r="U2797" s="52"/>
      <c r="V2797" s="52"/>
      <c r="W2797" s="52"/>
      <c r="X2797" s="52"/>
      <c r="Y2797" s="52"/>
      <c r="Z2797" s="52"/>
      <c r="AA2797" s="52"/>
      <c r="AB2797" s="52"/>
      <c r="AC2797" s="52"/>
      <c r="AD2797" s="52"/>
      <c r="AE2797" s="52"/>
      <c r="AF2797" s="52"/>
      <c r="AG2797" s="52"/>
      <c r="AH2797" s="52"/>
      <c r="AI2797" s="52"/>
      <c r="AJ2797" s="52"/>
      <c r="AK2797" s="52"/>
      <c r="AL2797" s="52"/>
      <c r="AM2797" s="52"/>
      <c r="AN2797" s="52"/>
    </row>
    <row r="2798" spans="1:40" x14ac:dyDescent="0.3">
      <c r="A2798" s="52">
        <v>2793</v>
      </c>
      <c r="B2798" s="52">
        <f>-bthan*500+(42+0.5)*bthan*1000/50</f>
        <v>1925</v>
      </c>
      <c r="C2798" s="52">
        <f t="shared" si="271"/>
        <v>310.00000000000023</v>
      </c>
      <c r="D2798" s="52">
        <f t="shared" si="269"/>
        <v>2200</v>
      </c>
      <c r="E2798" s="52">
        <f t="shared" si="270"/>
        <v>1</v>
      </c>
      <c r="F2798" s="52"/>
      <c r="G2798" s="52"/>
      <c r="H2798" s="52"/>
      <c r="I2798" s="52"/>
      <c r="J2798" s="52"/>
      <c r="K2798" s="52"/>
      <c r="L2798" s="52"/>
      <c r="M2798" s="52"/>
      <c r="N2798" s="52"/>
      <c r="O2798" s="52"/>
      <c r="P2798" s="52"/>
      <c r="Q2798" s="52"/>
      <c r="R2798" s="52"/>
      <c r="S2798" s="52"/>
      <c r="T2798" s="52"/>
      <c r="U2798" s="52"/>
      <c r="V2798" s="52"/>
      <c r="W2798" s="52"/>
      <c r="X2798" s="52"/>
      <c r="Y2798" s="52"/>
      <c r="Z2798" s="52"/>
      <c r="AA2798" s="52"/>
      <c r="AB2798" s="52"/>
      <c r="AC2798" s="52"/>
      <c r="AD2798" s="52"/>
      <c r="AE2798" s="52"/>
      <c r="AF2798" s="52"/>
      <c r="AG2798" s="52"/>
      <c r="AH2798" s="52"/>
      <c r="AI2798" s="52"/>
      <c r="AJ2798" s="52"/>
      <c r="AK2798" s="52"/>
      <c r="AL2798" s="52"/>
      <c r="AM2798" s="52"/>
      <c r="AN2798" s="52"/>
    </row>
    <row r="2799" spans="1:40" x14ac:dyDescent="0.3">
      <c r="A2799" s="52">
        <v>2794</v>
      </c>
      <c r="B2799" s="52">
        <f>-bthan*500+(43+0.5)*bthan*1000/50</f>
        <v>2035</v>
      </c>
      <c r="C2799" s="52">
        <f t="shared" si="271"/>
        <v>310.00000000000023</v>
      </c>
      <c r="D2799" s="52">
        <f t="shared" si="269"/>
        <v>2200</v>
      </c>
      <c r="E2799" s="52">
        <f t="shared" si="270"/>
        <v>1</v>
      </c>
      <c r="F2799" s="52"/>
      <c r="G2799" s="52"/>
      <c r="H2799" s="52"/>
      <c r="I2799" s="52"/>
      <c r="J2799" s="52"/>
      <c r="K2799" s="52"/>
      <c r="L2799" s="52"/>
      <c r="M2799" s="52"/>
      <c r="N2799" s="52"/>
      <c r="O2799" s="52"/>
      <c r="P2799" s="52"/>
      <c r="Q2799" s="52"/>
      <c r="R2799" s="52"/>
      <c r="S2799" s="52"/>
      <c r="T2799" s="52"/>
      <c r="U2799" s="52"/>
      <c r="V2799" s="52"/>
      <c r="W2799" s="52"/>
      <c r="X2799" s="52"/>
      <c r="Y2799" s="52"/>
      <c r="Z2799" s="52"/>
      <c r="AA2799" s="52"/>
      <c r="AB2799" s="52"/>
      <c r="AC2799" s="52"/>
      <c r="AD2799" s="52"/>
      <c r="AE2799" s="52"/>
      <c r="AF2799" s="52"/>
      <c r="AG2799" s="52"/>
      <c r="AH2799" s="52"/>
      <c r="AI2799" s="52"/>
      <c r="AJ2799" s="52"/>
      <c r="AK2799" s="52"/>
      <c r="AL2799" s="52"/>
      <c r="AM2799" s="52"/>
      <c r="AN2799" s="52"/>
    </row>
    <row r="2800" spans="1:40" x14ac:dyDescent="0.3">
      <c r="A2800" s="52">
        <v>2795</v>
      </c>
      <c r="B2800" s="52">
        <f>-bthan*500+(44+0.5)*bthan*1000/50</f>
        <v>2145</v>
      </c>
      <c r="C2800" s="52">
        <f t="shared" si="271"/>
        <v>310.00000000000023</v>
      </c>
      <c r="D2800" s="52">
        <f t="shared" si="269"/>
        <v>2200</v>
      </c>
      <c r="E2800" s="52">
        <f t="shared" si="270"/>
        <v>1</v>
      </c>
      <c r="F2800" s="52"/>
      <c r="G2800" s="52"/>
      <c r="H2800" s="52"/>
      <c r="I2800" s="52"/>
      <c r="J2800" s="52"/>
      <c r="K2800" s="52"/>
      <c r="L2800" s="52"/>
      <c r="M2800" s="52"/>
      <c r="N2800" s="52"/>
      <c r="O2800" s="52"/>
      <c r="P2800" s="52"/>
      <c r="Q2800" s="52"/>
      <c r="R2800" s="52"/>
      <c r="S2800" s="52"/>
      <c r="T2800" s="52"/>
      <c r="U2800" s="52"/>
      <c r="V2800" s="52"/>
      <c r="W2800" s="52"/>
      <c r="X2800" s="52"/>
      <c r="Y2800" s="52"/>
      <c r="Z2800" s="52"/>
      <c r="AA2800" s="52"/>
      <c r="AB2800" s="52"/>
      <c r="AC2800" s="52"/>
      <c r="AD2800" s="52"/>
      <c r="AE2800" s="52"/>
      <c r="AF2800" s="52"/>
      <c r="AG2800" s="52"/>
      <c r="AH2800" s="52"/>
      <c r="AI2800" s="52"/>
      <c r="AJ2800" s="52"/>
      <c r="AK2800" s="52"/>
      <c r="AL2800" s="52"/>
      <c r="AM2800" s="52"/>
      <c r="AN2800" s="52"/>
    </row>
    <row r="2801" spans="1:40" x14ac:dyDescent="0.3">
      <c r="A2801" s="52">
        <v>2796</v>
      </c>
      <c r="B2801" s="52">
        <f>-bthan*500+(45+0.5)*bthan*1000/50</f>
        <v>2255</v>
      </c>
      <c r="C2801" s="52">
        <f t="shared" si="271"/>
        <v>310.00000000000023</v>
      </c>
      <c r="D2801" s="52">
        <f t="shared" si="269"/>
        <v>2200</v>
      </c>
      <c r="E2801" s="52">
        <f t="shared" si="270"/>
        <v>1</v>
      </c>
      <c r="F2801" s="52"/>
      <c r="G2801" s="52"/>
      <c r="H2801" s="52"/>
      <c r="I2801" s="52"/>
      <c r="J2801" s="52"/>
      <c r="K2801" s="52"/>
      <c r="L2801" s="52"/>
      <c r="M2801" s="52"/>
      <c r="N2801" s="52"/>
      <c r="O2801" s="52"/>
      <c r="P2801" s="52"/>
      <c r="Q2801" s="52"/>
      <c r="R2801" s="52"/>
      <c r="S2801" s="52"/>
      <c r="T2801" s="52"/>
      <c r="U2801" s="52"/>
      <c r="V2801" s="52"/>
      <c r="W2801" s="52"/>
      <c r="X2801" s="52"/>
      <c r="Y2801" s="52"/>
      <c r="Z2801" s="52"/>
      <c r="AA2801" s="52"/>
      <c r="AB2801" s="52"/>
      <c r="AC2801" s="52"/>
      <c r="AD2801" s="52"/>
      <c r="AE2801" s="52"/>
      <c r="AF2801" s="52"/>
      <c r="AG2801" s="52"/>
      <c r="AH2801" s="52"/>
      <c r="AI2801" s="52"/>
      <c r="AJ2801" s="52"/>
      <c r="AK2801" s="52"/>
      <c r="AL2801" s="52"/>
      <c r="AM2801" s="52"/>
      <c r="AN2801" s="52"/>
    </row>
    <row r="2802" spans="1:40" x14ac:dyDescent="0.3">
      <c r="A2802" s="52">
        <v>2797</v>
      </c>
      <c r="B2802" s="52">
        <f>-bthan*500+(46+0.5)*bthan*1000/50</f>
        <v>2365</v>
      </c>
      <c r="C2802" s="52">
        <f t="shared" si="271"/>
        <v>310.00000000000023</v>
      </c>
      <c r="D2802" s="52">
        <f t="shared" si="269"/>
        <v>2200</v>
      </c>
      <c r="E2802" s="52">
        <f t="shared" si="270"/>
        <v>1</v>
      </c>
      <c r="F2802" s="52"/>
      <c r="G2802" s="52"/>
      <c r="H2802" s="52"/>
      <c r="I2802" s="52"/>
      <c r="J2802" s="52"/>
      <c r="K2802" s="52"/>
      <c r="L2802" s="52"/>
      <c r="M2802" s="52"/>
      <c r="N2802" s="52"/>
      <c r="O2802" s="52"/>
      <c r="P2802" s="52"/>
      <c r="Q2802" s="52"/>
      <c r="R2802" s="52"/>
      <c r="S2802" s="52"/>
      <c r="T2802" s="52"/>
      <c r="U2802" s="52"/>
      <c r="V2802" s="52"/>
      <c r="W2802" s="52"/>
      <c r="X2802" s="52"/>
      <c r="Y2802" s="52"/>
      <c r="Z2802" s="52"/>
      <c r="AA2802" s="52"/>
      <c r="AB2802" s="52"/>
      <c r="AC2802" s="52"/>
      <c r="AD2802" s="52"/>
      <c r="AE2802" s="52"/>
      <c r="AF2802" s="52"/>
      <c r="AG2802" s="52"/>
      <c r="AH2802" s="52"/>
      <c r="AI2802" s="52"/>
      <c r="AJ2802" s="52"/>
      <c r="AK2802" s="52"/>
      <c r="AL2802" s="52"/>
      <c r="AM2802" s="52"/>
      <c r="AN2802" s="52"/>
    </row>
    <row r="2803" spans="1:40" x14ac:dyDescent="0.3">
      <c r="A2803" s="52">
        <v>2798</v>
      </c>
      <c r="B2803" s="52">
        <f>-bthan*500+(47+0.5)*bthan*1000/50</f>
        <v>2475</v>
      </c>
      <c r="C2803" s="52">
        <f t="shared" si="271"/>
        <v>310.00000000000023</v>
      </c>
      <c r="D2803" s="52">
        <f t="shared" si="269"/>
        <v>2200</v>
      </c>
      <c r="E2803" s="52">
        <f t="shared" si="270"/>
        <v>1</v>
      </c>
      <c r="F2803" s="52"/>
      <c r="G2803" s="52"/>
      <c r="H2803" s="52"/>
      <c r="I2803" s="52"/>
      <c r="J2803" s="52"/>
      <c r="K2803" s="52"/>
      <c r="L2803" s="52"/>
      <c r="M2803" s="52"/>
      <c r="N2803" s="52"/>
      <c r="O2803" s="52"/>
      <c r="P2803" s="52"/>
      <c r="Q2803" s="52"/>
      <c r="R2803" s="52"/>
      <c r="S2803" s="52"/>
      <c r="T2803" s="52"/>
      <c r="U2803" s="52"/>
      <c r="V2803" s="52"/>
      <c r="W2803" s="52"/>
      <c r="X2803" s="52"/>
      <c r="Y2803" s="52"/>
      <c r="Z2803" s="52"/>
      <c r="AA2803" s="52"/>
      <c r="AB2803" s="52"/>
      <c r="AC2803" s="52"/>
      <c r="AD2803" s="52"/>
      <c r="AE2803" s="52"/>
      <c r="AF2803" s="52"/>
      <c r="AG2803" s="52"/>
      <c r="AH2803" s="52"/>
      <c r="AI2803" s="52"/>
      <c r="AJ2803" s="52"/>
      <c r="AK2803" s="52"/>
      <c r="AL2803" s="52"/>
      <c r="AM2803" s="52"/>
      <c r="AN2803" s="52"/>
    </row>
    <row r="2804" spans="1:40" x14ac:dyDescent="0.3">
      <c r="A2804" s="52">
        <v>2799</v>
      </c>
      <c r="B2804" s="52">
        <f>-bthan*500+(48+0.5)*bthan*1000/50</f>
        <v>2585</v>
      </c>
      <c r="C2804" s="52">
        <f t="shared" si="271"/>
        <v>310.00000000000023</v>
      </c>
      <c r="D2804" s="52">
        <f t="shared" si="269"/>
        <v>2200</v>
      </c>
      <c r="E2804" s="52">
        <f t="shared" si="270"/>
        <v>1</v>
      </c>
      <c r="F2804" s="52"/>
      <c r="G2804" s="52"/>
      <c r="H2804" s="52"/>
      <c r="I2804" s="52"/>
      <c r="J2804" s="52"/>
      <c r="K2804" s="52"/>
      <c r="L2804" s="52"/>
      <c r="M2804" s="52"/>
      <c r="N2804" s="52"/>
      <c r="O2804" s="52"/>
      <c r="P2804" s="52"/>
      <c r="Q2804" s="52"/>
      <c r="R2804" s="52"/>
      <c r="S2804" s="52"/>
      <c r="T2804" s="52"/>
      <c r="U2804" s="52"/>
      <c r="V2804" s="52"/>
      <c r="W2804" s="52"/>
      <c r="X2804" s="52"/>
      <c r="Y2804" s="52"/>
      <c r="Z2804" s="52"/>
      <c r="AA2804" s="52"/>
      <c r="AB2804" s="52"/>
      <c r="AC2804" s="52"/>
      <c r="AD2804" s="52"/>
      <c r="AE2804" s="52"/>
      <c r="AF2804" s="52"/>
      <c r="AG2804" s="52"/>
      <c r="AH2804" s="52"/>
      <c r="AI2804" s="52"/>
      <c r="AJ2804" s="52"/>
      <c r="AK2804" s="52"/>
      <c r="AL2804" s="52"/>
      <c r="AM2804" s="52"/>
      <c r="AN2804" s="52"/>
    </row>
    <row r="2805" spans="1:40" x14ac:dyDescent="0.3">
      <c r="A2805" s="52">
        <v>2800</v>
      </c>
      <c r="B2805" s="52">
        <f>-bthan*500+(49+0.5)*bthan*1000/50</f>
        <v>2695</v>
      </c>
      <c r="C2805" s="52">
        <f t="shared" si="271"/>
        <v>310.00000000000023</v>
      </c>
      <c r="D2805" s="52">
        <f t="shared" si="269"/>
        <v>2200</v>
      </c>
      <c r="E2805" s="52">
        <f t="shared" si="270"/>
        <v>0</v>
      </c>
      <c r="F2805" s="52"/>
      <c r="G2805" s="52"/>
      <c r="H2805" s="52"/>
      <c r="I2805" s="52"/>
      <c r="J2805" s="52"/>
      <c r="K2805" s="52"/>
      <c r="L2805" s="52"/>
      <c r="M2805" s="52"/>
      <c r="N2805" s="52"/>
      <c r="O2805" s="52"/>
      <c r="P2805" s="52"/>
      <c r="Q2805" s="52"/>
      <c r="R2805" s="52"/>
      <c r="S2805" s="52"/>
      <c r="T2805" s="52"/>
      <c r="U2805" s="52"/>
      <c r="V2805" s="52"/>
      <c r="W2805" s="52"/>
      <c r="X2805" s="52"/>
      <c r="Y2805" s="52"/>
      <c r="Z2805" s="52"/>
      <c r="AA2805" s="52"/>
      <c r="AB2805" s="52"/>
      <c r="AC2805" s="52"/>
      <c r="AD2805" s="52"/>
      <c r="AE2805" s="52"/>
      <c r="AF2805" s="52"/>
      <c r="AG2805" s="52"/>
      <c r="AH2805" s="52"/>
      <c r="AI2805" s="52"/>
      <c r="AJ2805" s="52"/>
      <c r="AK2805" s="52"/>
      <c r="AL2805" s="52"/>
      <c r="AM2805" s="52"/>
      <c r="AN2805" s="52"/>
    </row>
    <row r="2806" spans="1:40" x14ac:dyDescent="0.3">
      <c r="A2806" s="52">
        <v>2801</v>
      </c>
      <c r="B2806" s="52">
        <f>-bthan*500+(0+0.5)*bthan*1000/50</f>
        <v>-2695</v>
      </c>
      <c r="C2806" s="52">
        <f t="shared" ref="C2806:C2837" si="272">-hthan*500+(56+0.5)*hthan*1000/80</f>
        <v>330</v>
      </c>
      <c r="D2806" s="52">
        <f t="shared" si="269"/>
        <v>2200</v>
      </c>
      <c r="E2806" s="52">
        <f t="shared" si="270"/>
        <v>0</v>
      </c>
      <c r="F2806" s="52"/>
      <c r="G2806" s="52"/>
      <c r="H2806" s="52"/>
      <c r="I2806" s="52"/>
      <c r="J2806" s="52"/>
      <c r="K2806" s="52"/>
      <c r="L2806" s="52"/>
      <c r="M2806" s="52"/>
      <c r="N2806" s="52"/>
      <c r="O2806" s="52"/>
      <c r="P2806" s="52"/>
      <c r="Q2806" s="52"/>
      <c r="R2806" s="52"/>
      <c r="S2806" s="52"/>
      <c r="T2806" s="52"/>
      <c r="U2806" s="52"/>
      <c r="V2806" s="52"/>
      <c r="W2806" s="52"/>
      <c r="X2806" s="52"/>
      <c r="Y2806" s="52"/>
      <c r="Z2806" s="52"/>
      <c r="AA2806" s="52"/>
      <c r="AB2806" s="52"/>
      <c r="AC2806" s="52"/>
      <c r="AD2806" s="52"/>
      <c r="AE2806" s="52"/>
      <c r="AF2806" s="52"/>
      <c r="AG2806" s="52"/>
      <c r="AH2806" s="52"/>
      <c r="AI2806" s="52"/>
      <c r="AJ2806" s="52"/>
      <c r="AK2806" s="52"/>
      <c r="AL2806" s="52"/>
      <c r="AM2806" s="52"/>
      <c r="AN2806" s="52"/>
    </row>
    <row r="2807" spans="1:40" x14ac:dyDescent="0.3">
      <c r="A2807" s="52">
        <v>2802</v>
      </c>
      <c r="B2807" s="52">
        <f>-bthan*500+(1+0.5)*bthan*1000/50</f>
        <v>-2585</v>
      </c>
      <c r="C2807" s="52">
        <f t="shared" si="272"/>
        <v>330</v>
      </c>
      <c r="D2807" s="52">
        <f t="shared" si="269"/>
        <v>2200</v>
      </c>
      <c r="E2807" s="52">
        <f t="shared" si="270"/>
        <v>1</v>
      </c>
      <c r="F2807" s="52"/>
      <c r="G2807" s="52"/>
      <c r="H2807" s="52"/>
      <c r="I2807" s="52"/>
      <c r="J2807" s="52"/>
      <c r="K2807" s="52"/>
      <c r="L2807" s="52"/>
      <c r="M2807" s="52"/>
      <c r="N2807" s="52"/>
      <c r="O2807" s="52"/>
      <c r="P2807" s="52"/>
      <c r="Q2807" s="52"/>
      <c r="R2807" s="52"/>
      <c r="S2807" s="52"/>
      <c r="T2807" s="52"/>
      <c r="U2807" s="52"/>
      <c r="V2807" s="52"/>
      <c r="W2807" s="52"/>
      <c r="X2807" s="52"/>
      <c r="Y2807" s="52"/>
      <c r="Z2807" s="52"/>
      <c r="AA2807" s="52"/>
      <c r="AB2807" s="52"/>
      <c r="AC2807" s="52"/>
      <c r="AD2807" s="52"/>
      <c r="AE2807" s="52"/>
      <c r="AF2807" s="52"/>
      <c r="AG2807" s="52"/>
      <c r="AH2807" s="52"/>
      <c r="AI2807" s="52"/>
      <c r="AJ2807" s="52"/>
      <c r="AK2807" s="52"/>
      <c r="AL2807" s="52"/>
      <c r="AM2807" s="52"/>
      <c r="AN2807" s="52"/>
    </row>
    <row r="2808" spans="1:40" x14ac:dyDescent="0.3">
      <c r="A2808" s="52">
        <v>2803</v>
      </c>
      <c r="B2808" s="52">
        <f>-bthan*500+(2+0.5)*bthan*1000/50</f>
        <v>-2475</v>
      </c>
      <c r="C2808" s="52">
        <f t="shared" si="272"/>
        <v>330</v>
      </c>
      <c r="D2808" s="52">
        <f t="shared" si="269"/>
        <v>2200</v>
      </c>
      <c r="E2808" s="52">
        <f t="shared" si="270"/>
        <v>1</v>
      </c>
      <c r="F2808" s="52"/>
      <c r="G2808" s="52"/>
      <c r="H2808" s="52"/>
      <c r="I2808" s="52"/>
      <c r="J2808" s="52"/>
      <c r="K2808" s="52"/>
      <c r="L2808" s="52"/>
      <c r="M2808" s="52"/>
      <c r="N2808" s="52"/>
      <c r="O2808" s="52"/>
      <c r="P2808" s="52"/>
      <c r="Q2808" s="52"/>
      <c r="R2808" s="52"/>
      <c r="S2808" s="52"/>
      <c r="T2808" s="52"/>
      <c r="U2808" s="52"/>
      <c r="V2808" s="52"/>
      <c r="W2808" s="52"/>
      <c r="X2808" s="52"/>
      <c r="Y2808" s="52"/>
      <c r="Z2808" s="52"/>
      <c r="AA2808" s="52"/>
      <c r="AB2808" s="52"/>
      <c r="AC2808" s="52"/>
      <c r="AD2808" s="52"/>
      <c r="AE2808" s="52"/>
      <c r="AF2808" s="52"/>
      <c r="AG2808" s="52"/>
      <c r="AH2808" s="52"/>
      <c r="AI2808" s="52"/>
      <c r="AJ2808" s="52"/>
      <c r="AK2808" s="52"/>
      <c r="AL2808" s="52"/>
      <c r="AM2808" s="52"/>
      <c r="AN2808" s="52"/>
    </row>
    <row r="2809" spans="1:40" x14ac:dyDescent="0.3">
      <c r="A2809" s="52">
        <v>2804</v>
      </c>
      <c r="B2809" s="52">
        <f>-bthan*500+(3+0.5)*bthan*1000/50</f>
        <v>-2365</v>
      </c>
      <c r="C2809" s="52">
        <f t="shared" si="272"/>
        <v>330</v>
      </c>
      <c r="D2809" s="52">
        <f t="shared" si="269"/>
        <v>2200</v>
      </c>
      <c r="E2809" s="52">
        <f t="shared" si="270"/>
        <v>1</v>
      </c>
      <c r="F2809" s="52"/>
      <c r="G2809" s="52"/>
      <c r="H2809" s="52"/>
      <c r="I2809" s="52"/>
      <c r="J2809" s="52"/>
      <c r="K2809" s="52"/>
      <c r="L2809" s="52"/>
      <c r="M2809" s="52"/>
      <c r="N2809" s="52"/>
      <c r="O2809" s="52"/>
      <c r="P2809" s="52"/>
      <c r="Q2809" s="52"/>
      <c r="R2809" s="52"/>
      <c r="S2809" s="52"/>
      <c r="T2809" s="52"/>
      <c r="U2809" s="52"/>
      <c r="V2809" s="52"/>
      <c r="W2809" s="52"/>
      <c r="X2809" s="52"/>
      <c r="Y2809" s="52"/>
      <c r="Z2809" s="52"/>
      <c r="AA2809" s="52"/>
      <c r="AB2809" s="52"/>
      <c r="AC2809" s="52"/>
      <c r="AD2809" s="52"/>
      <c r="AE2809" s="52"/>
      <c r="AF2809" s="52"/>
      <c r="AG2809" s="52"/>
      <c r="AH2809" s="52"/>
      <c r="AI2809" s="52"/>
      <c r="AJ2809" s="52"/>
      <c r="AK2809" s="52"/>
      <c r="AL2809" s="52"/>
      <c r="AM2809" s="52"/>
      <c r="AN2809" s="52"/>
    </row>
    <row r="2810" spans="1:40" x14ac:dyDescent="0.3">
      <c r="A2810" s="52">
        <v>2805</v>
      </c>
      <c r="B2810" s="52">
        <f>-bthan*500+(4+0.5)*bthan*1000/50</f>
        <v>-2255</v>
      </c>
      <c r="C2810" s="52">
        <f t="shared" si="272"/>
        <v>330</v>
      </c>
      <c r="D2810" s="52">
        <f t="shared" si="269"/>
        <v>2200</v>
      </c>
      <c r="E2810" s="52">
        <f t="shared" si="270"/>
        <v>1</v>
      </c>
      <c r="F2810" s="52"/>
      <c r="G2810" s="52"/>
      <c r="H2810" s="52"/>
      <c r="I2810" s="52"/>
      <c r="J2810" s="52"/>
      <c r="K2810" s="52"/>
      <c r="L2810" s="52"/>
      <c r="M2810" s="52"/>
      <c r="N2810" s="52"/>
      <c r="O2810" s="52"/>
      <c r="P2810" s="52"/>
      <c r="Q2810" s="52"/>
      <c r="R2810" s="52"/>
      <c r="S2810" s="52"/>
      <c r="T2810" s="52"/>
      <c r="U2810" s="52"/>
      <c r="V2810" s="52"/>
      <c r="W2810" s="52"/>
      <c r="X2810" s="52"/>
      <c r="Y2810" s="52"/>
      <c r="Z2810" s="52"/>
      <c r="AA2810" s="52"/>
      <c r="AB2810" s="52"/>
      <c r="AC2810" s="52"/>
      <c r="AD2810" s="52"/>
      <c r="AE2810" s="52"/>
      <c r="AF2810" s="52"/>
      <c r="AG2810" s="52"/>
      <c r="AH2810" s="52"/>
      <c r="AI2810" s="52"/>
      <c r="AJ2810" s="52"/>
      <c r="AK2810" s="52"/>
      <c r="AL2810" s="52"/>
      <c r="AM2810" s="52"/>
      <c r="AN2810" s="52"/>
    </row>
    <row r="2811" spans="1:40" x14ac:dyDescent="0.3">
      <c r="A2811" s="52">
        <v>2806</v>
      </c>
      <c r="B2811" s="52">
        <f>-bthan*500+(5+0.5)*bthan*1000/50</f>
        <v>-2145</v>
      </c>
      <c r="C2811" s="52">
        <f t="shared" si="272"/>
        <v>330</v>
      </c>
      <c r="D2811" s="52">
        <f t="shared" si="269"/>
        <v>2200</v>
      </c>
      <c r="E2811" s="52">
        <f t="shared" si="270"/>
        <v>1</v>
      </c>
      <c r="F2811" s="52"/>
      <c r="G2811" s="52"/>
      <c r="H2811" s="52"/>
      <c r="I2811" s="52"/>
      <c r="J2811" s="52"/>
      <c r="K2811" s="52"/>
      <c r="L2811" s="52"/>
      <c r="M2811" s="52"/>
      <c r="N2811" s="52"/>
      <c r="O2811" s="52"/>
      <c r="P2811" s="52"/>
      <c r="Q2811" s="52"/>
      <c r="R2811" s="52"/>
      <c r="S2811" s="52"/>
      <c r="T2811" s="52"/>
      <c r="U2811" s="52"/>
      <c r="V2811" s="52"/>
      <c r="W2811" s="52"/>
      <c r="X2811" s="52"/>
      <c r="Y2811" s="52"/>
      <c r="Z2811" s="52"/>
      <c r="AA2811" s="52"/>
      <c r="AB2811" s="52"/>
      <c r="AC2811" s="52"/>
      <c r="AD2811" s="52"/>
      <c r="AE2811" s="52"/>
      <c r="AF2811" s="52"/>
      <c r="AG2811" s="52"/>
      <c r="AH2811" s="52"/>
      <c r="AI2811" s="52"/>
      <c r="AJ2811" s="52"/>
      <c r="AK2811" s="52"/>
      <c r="AL2811" s="52"/>
      <c r="AM2811" s="52"/>
      <c r="AN2811" s="52"/>
    </row>
    <row r="2812" spans="1:40" x14ac:dyDescent="0.3">
      <c r="A2812" s="52">
        <v>2807</v>
      </c>
      <c r="B2812" s="52">
        <f>-bthan*500+(6+0.5)*bthan*1000/50</f>
        <v>-2035</v>
      </c>
      <c r="C2812" s="52">
        <f t="shared" si="272"/>
        <v>330</v>
      </c>
      <c r="D2812" s="52">
        <f t="shared" si="269"/>
        <v>2200</v>
      </c>
      <c r="E2812" s="52">
        <f t="shared" si="270"/>
        <v>1</v>
      </c>
      <c r="F2812" s="52"/>
      <c r="G2812" s="52"/>
      <c r="H2812" s="52"/>
      <c r="I2812" s="52"/>
      <c r="J2812" s="52"/>
      <c r="K2812" s="52"/>
      <c r="L2812" s="52"/>
      <c r="M2812" s="52"/>
      <c r="N2812" s="52"/>
      <c r="O2812" s="52"/>
      <c r="P2812" s="52"/>
      <c r="Q2812" s="52"/>
      <c r="R2812" s="52"/>
      <c r="S2812" s="52"/>
      <c r="T2812" s="52"/>
      <c r="U2812" s="52"/>
      <c r="V2812" s="52"/>
      <c r="W2812" s="52"/>
      <c r="X2812" s="52"/>
      <c r="Y2812" s="52"/>
      <c r="Z2812" s="52"/>
      <c r="AA2812" s="52"/>
      <c r="AB2812" s="52"/>
      <c r="AC2812" s="52"/>
      <c r="AD2812" s="52"/>
      <c r="AE2812" s="52"/>
      <c r="AF2812" s="52"/>
      <c r="AG2812" s="52"/>
      <c r="AH2812" s="52"/>
      <c r="AI2812" s="52"/>
      <c r="AJ2812" s="52"/>
      <c r="AK2812" s="52"/>
      <c r="AL2812" s="52"/>
      <c r="AM2812" s="52"/>
      <c r="AN2812" s="52"/>
    </row>
    <row r="2813" spans="1:40" x14ac:dyDescent="0.3">
      <c r="A2813" s="52">
        <v>2808</v>
      </c>
      <c r="B2813" s="52">
        <f>-bthan*500+(7+0.5)*bthan*1000/50</f>
        <v>-1925</v>
      </c>
      <c r="C2813" s="52">
        <f t="shared" si="272"/>
        <v>330</v>
      </c>
      <c r="D2813" s="52">
        <f t="shared" si="269"/>
        <v>2200</v>
      </c>
      <c r="E2813" s="52">
        <f t="shared" si="270"/>
        <v>1</v>
      </c>
      <c r="F2813" s="52"/>
      <c r="G2813" s="52"/>
      <c r="H2813" s="52"/>
      <c r="I2813" s="52"/>
      <c r="J2813" s="52"/>
      <c r="K2813" s="52"/>
      <c r="L2813" s="52"/>
      <c r="M2813" s="52"/>
      <c r="N2813" s="52"/>
      <c r="O2813" s="52"/>
      <c r="P2813" s="52"/>
      <c r="Q2813" s="52"/>
      <c r="R2813" s="52"/>
      <c r="S2813" s="52"/>
      <c r="T2813" s="52"/>
      <c r="U2813" s="52"/>
      <c r="V2813" s="52"/>
      <c r="W2813" s="52"/>
      <c r="X2813" s="52"/>
      <c r="Y2813" s="52"/>
      <c r="Z2813" s="52"/>
      <c r="AA2813" s="52"/>
      <c r="AB2813" s="52"/>
      <c r="AC2813" s="52"/>
      <c r="AD2813" s="52"/>
      <c r="AE2813" s="52"/>
      <c r="AF2813" s="52"/>
      <c r="AG2813" s="52"/>
      <c r="AH2813" s="52"/>
      <c r="AI2813" s="52"/>
      <c r="AJ2813" s="52"/>
      <c r="AK2813" s="52"/>
      <c r="AL2813" s="52"/>
      <c r="AM2813" s="52"/>
      <c r="AN2813" s="52"/>
    </row>
    <row r="2814" spans="1:40" x14ac:dyDescent="0.3">
      <c r="A2814" s="52">
        <v>2809</v>
      </c>
      <c r="B2814" s="52">
        <f>-bthan*500+(8+0.5)*bthan*1000/50</f>
        <v>-1815</v>
      </c>
      <c r="C2814" s="52">
        <f t="shared" si="272"/>
        <v>330</v>
      </c>
      <c r="D2814" s="52">
        <f t="shared" si="269"/>
        <v>2200</v>
      </c>
      <c r="E2814" s="52">
        <f t="shared" si="270"/>
        <v>1</v>
      </c>
      <c r="F2814" s="52"/>
      <c r="G2814" s="52"/>
      <c r="H2814" s="52"/>
      <c r="I2814" s="52"/>
      <c r="J2814" s="52"/>
      <c r="K2814" s="52"/>
      <c r="L2814" s="52"/>
      <c r="M2814" s="52"/>
      <c r="N2814" s="52"/>
      <c r="O2814" s="52"/>
      <c r="P2814" s="52"/>
      <c r="Q2814" s="52"/>
      <c r="R2814" s="52"/>
      <c r="S2814" s="52"/>
      <c r="T2814" s="52"/>
      <c r="U2814" s="52"/>
      <c r="V2814" s="52"/>
      <c r="W2814" s="52"/>
      <c r="X2814" s="52"/>
      <c r="Y2814" s="52"/>
      <c r="Z2814" s="52"/>
      <c r="AA2814" s="52"/>
      <c r="AB2814" s="52"/>
      <c r="AC2814" s="52"/>
      <c r="AD2814" s="52"/>
      <c r="AE2814" s="52"/>
      <c r="AF2814" s="52"/>
      <c r="AG2814" s="52"/>
      <c r="AH2814" s="52"/>
      <c r="AI2814" s="52"/>
      <c r="AJ2814" s="52"/>
      <c r="AK2814" s="52"/>
      <c r="AL2814" s="52"/>
      <c r="AM2814" s="52"/>
      <c r="AN2814" s="52"/>
    </row>
    <row r="2815" spans="1:40" x14ac:dyDescent="0.3">
      <c r="A2815" s="52">
        <v>2810</v>
      </c>
      <c r="B2815" s="52">
        <f>-bthan*500+(9+0.5)*bthan*1000/50</f>
        <v>-1705</v>
      </c>
      <c r="C2815" s="52">
        <f t="shared" si="272"/>
        <v>330</v>
      </c>
      <c r="D2815" s="52">
        <f t="shared" si="269"/>
        <v>2200</v>
      </c>
      <c r="E2815" s="52">
        <f t="shared" si="270"/>
        <v>1</v>
      </c>
      <c r="F2815" s="52"/>
      <c r="G2815" s="52"/>
      <c r="H2815" s="52"/>
      <c r="I2815" s="52"/>
      <c r="J2815" s="52"/>
      <c r="K2815" s="52"/>
      <c r="L2815" s="52"/>
      <c r="M2815" s="52"/>
      <c r="N2815" s="52"/>
      <c r="O2815" s="52"/>
      <c r="P2815" s="52"/>
      <c r="Q2815" s="52"/>
      <c r="R2815" s="52"/>
      <c r="S2815" s="52"/>
      <c r="T2815" s="52"/>
      <c r="U2815" s="52"/>
      <c r="V2815" s="52"/>
      <c r="W2815" s="52"/>
      <c r="X2815" s="52"/>
      <c r="Y2815" s="52"/>
      <c r="Z2815" s="52"/>
      <c r="AA2815" s="52"/>
      <c r="AB2815" s="52"/>
      <c r="AC2815" s="52"/>
      <c r="AD2815" s="52"/>
      <c r="AE2815" s="52"/>
      <c r="AF2815" s="52"/>
      <c r="AG2815" s="52"/>
      <c r="AH2815" s="52"/>
      <c r="AI2815" s="52"/>
      <c r="AJ2815" s="52"/>
      <c r="AK2815" s="52"/>
      <c r="AL2815" s="52"/>
      <c r="AM2815" s="52"/>
      <c r="AN2815" s="52"/>
    </row>
    <row r="2816" spans="1:40" x14ac:dyDescent="0.3">
      <c r="A2816" s="52">
        <v>2811</v>
      </c>
      <c r="B2816" s="52">
        <f>-bthan*500+(10+0.5)*bthan*1000/50</f>
        <v>-1595</v>
      </c>
      <c r="C2816" s="52">
        <f t="shared" si="272"/>
        <v>330</v>
      </c>
      <c r="D2816" s="52">
        <f t="shared" si="269"/>
        <v>2200</v>
      </c>
      <c r="E2816" s="52">
        <f t="shared" si="270"/>
        <v>1</v>
      </c>
      <c r="F2816" s="52"/>
      <c r="G2816" s="52"/>
      <c r="H2816" s="52"/>
      <c r="I2816" s="52"/>
      <c r="J2816" s="52"/>
      <c r="K2816" s="52"/>
      <c r="L2816" s="52"/>
      <c r="M2816" s="52"/>
      <c r="N2816" s="52"/>
      <c r="O2816" s="52"/>
      <c r="P2816" s="52"/>
      <c r="Q2816" s="52"/>
      <c r="R2816" s="52"/>
      <c r="S2816" s="52"/>
      <c r="T2816" s="52"/>
      <c r="U2816" s="52"/>
      <c r="V2816" s="52"/>
      <c r="W2816" s="52"/>
      <c r="X2816" s="52"/>
      <c r="Y2816" s="52"/>
      <c r="Z2816" s="52"/>
      <c r="AA2816" s="52"/>
      <c r="AB2816" s="52"/>
      <c r="AC2816" s="52"/>
      <c r="AD2816" s="52"/>
      <c r="AE2816" s="52"/>
      <c r="AF2816" s="52"/>
      <c r="AG2816" s="52"/>
      <c r="AH2816" s="52"/>
      <c r="AI2816" s="52"/>
      <c r="AJ2816" s="52"/>
      <c r="AK2816" s="52"/>
      <c r="AL2816" s="52"/>
      <c r="AM2816" s="52"/>
      <c r="AN2816" s="52"/>
    </row>
    <row r="2817" spans="1:40" x14ac:dyDescent="0.3">
      <c r="A2817" s="52">
        <v>2812</v>
      </c>
      <c r="B2817" s="52">
        <f>-bthan*500+(11+0.5)*bthan*1000/50</f>
        <v>-1485</v>
      </c>
      <c r="C2817" s="52">
        <f t="shared" si="272"/>
        <v>330</v>
      </c>
      <c r="D2817" s="52">
        <f t="shared" si="269"/>
        <v>2200</v>
      </c>
      <c r="E2817" s="52">
        <f t="shared" si="270"/>
        <v>1</v>
      </c>
      <c r="F2817" s="52"/>
      <c r="G2817" s="52"/>
      <c r="H2817" s="52"/>
      <c r="I2817" s="52"/>
      <c r="J2817" s="52"/>
      <c r="K2817" s="52"/>
      <c r="L2817" s="52"/>
      <c r="M2817" s="52"/>
      <c r="N2817" s="52"/>
      <c r="O2817" s="52"/>
      <c r="P2817" s="52"/>
      <c r="Q2817" s="52"/>
      <c r="R2817" s="52"/>
      <c r="S2817" s="52"/>
      <c r="T2817" s="52"/>
      <c r="U2817" s="52"/>
      <c r="V2817" s="52"/>
      <c r="W2817" s="52"/>
      <c r="X2817" s="52"/>
      <c r="Y2817" s="52"/>
      <c r="Z2817" s="52"/>
      <c r="AA2817" s="52"/>
      <c r="AB2817" s="52"/>
      <c r="AC2817" s="52"/>
      <c r="AD2817" s="52"/>
      <c r="AE2817" s="52"/>
      <c r="AF2817" s="52"/>
      <c r="AG2817" s="52"/>
      <c r="AH2817" s="52"/>
      <c r="AI2817" s="52"/>
      <c r="AJ2817" s="52"/>
      <c r="AK2817" s="52"/>
      <c r="AL2817" s="52"/>
      <c r="AM2817" s="52"/>
      <c r="AN2817" s="52"/>
    </row>
    <row r="2818" spans="1:40" x14ac:dyDescent="0.3">
      <c r="A2818" s="52">
        <v>2813</v>
      </c>
      <c r="B2818" s="52">
        <f>-bthan*500+(12+0.5)*bthan*1000/50</f>
        <v>-1375</v>
      </c>
      <c r="C2818" s="52">
        <f t="shared" si="272"/>
        <v>330</v>
      </c>
      <c r="D2818" s="52">
        <f t="shared" si="269"/>
        <v>2200</v>
      </c>
      <c r="E2818" s="52">
        <f t="shared" si="270"/>
        <v>1</v>
      </c>
      <c r="F2818" s="52"/>
      <c r="G2818" s="52"/>
      <c r="H2818" s="52"/>
      <c r="I2818" s="52"/>
      <c r="J2818" s="52"/>
      <c r="K2818" s="52"/>
      <c r="L2818" s="52"/>
      <c r="M2818" s="52"/>
      <c r="N2818" s="52"/>
      <c r="O2818" s="52"/>
      <c r="P2818" s="52"/>
      <c r="Q2818" s="52"/>
      <c r="R2818" s="52"/>
      <c r="S2818" s="52"/>
      <c r="T2818" s="52"/>
      <c r="U2818" s="52"/>
      <c r="V2818" s="52"/>
      <c r="W2818" s="52"/>
      <c r="X2818" s="52"/>
      <c r="Y2818" s="52"/>
      <c r="Z2818" s="52"/>
      <c r="AA2818" s="52"/>
      <c r="AB2818" s="52"/>
      <c r="AC2818" s="52"/>
      <c r="AD2818" s="52"/>
      <c r="AE2818" s="52"/>
      <c r="AF2818" s="52"/>
      <c r="AG2818" s="52"/>
      <c r="AH2818" s="52"/>
      <c r="AI2818" s="52"/>
      <c r="AJ2818" s="52"/>
      <c r="AK2818" s="52"/>
      <c r="AL2818" s="52"/>
      <c r="AM2818" s="52"/>
      <c r="AN2818" s="52"/>
    </row>
    <row r="2819" spans="1:40" x14ac:dyDescent="0.3">
      <c r="A2819" s="52">
        <v>2814</v>
      </c>
      <c r="B2819" s="52">
        <f>-bthan*500+(13+0.5)*bthan*1000/50</f>
        <v>-1265</v>
      </c>
      <c r="C2819" s="52">
        <f t="shared" si="272"/>
        <v>330</v>
      </c>
      <c r="D2819" s="52">
        <f t="shared" si="269"/>
        <v>2200</v>
      </c>
      <c r="E2819" s="52">
        <f t="shared" si="270"/>
        <v>1</v>
      </c>
      <c r="F2819" s="52"/>
      <c r="G2819" s="52"/>
      <c r="H2819" s="52"/>
      <c r="I2819" s="52"/>
      <c r="J2819" s="52"/>
      <c r="K2819" s="52"/>
      <c r="L2819" s="52"/>
      <c r="M2819" s="52"/>
      <c r="N2819" s="52"/>
      <c r="O2819" s="52"/>
      <c r="P2819" s="52"/>
      <c r="Q2819" s="52"/>
      <c r="R2819" s="52"/>
      <c r="S2819" s="52"/>
      <c r="T2819" s="52"/>
      <c r="U2819" s="52"/>
      <c r="V2819" s="52"/>
      <c r="W2819" s="52"/>
      <c r="X2819" s="52"/>
      <c r="Y2819" s="52"/>
      <c r="Z2819" s="52"/>
      <c r="AA2819" s="52"/>
      <c r="AB2819" s="52"/>
      <c r="AC2819" s="52"/>
      <c r="AD2819" s="52"/>
      <c r="AE2819" s="52"/>
      <c r="AF2819" s="52"/>
      <c r="AG2819" s="52"/>
      <c r="AH2819" s="52"/>
      <c r="AI2819" s="52"/>
      <c r="AJ2819" s="52"/>
      <c r="AK2819" s="52"/>
      <c r="AL2819" s="52"/>
      <c r="AM2819" s="52"/>
      <c r="AN2819" s="52"/>
    </row>
    <row r="2820" spans="1:40" x14ac:dyDescent="0.3">
      <c r="A2820" s="52">
        <v>2815</v>
      </c>
      <c r="B2820" s="52">
        <f>-bthan*500+(14+0.5)*bthan*1000/50</f>
        <v>-1155</v>
      </c>
      <c r="C2820" s="52">
        <f t="shared" si="272"/>
        <v>330</v>
      </c>
      <c r="D2820" s="52">
        <f t="shared" si="269"/>
        <v>2200</v>
      </c>
      <c r="E2820" s="52">
        <f t="shared" si="270"/>
        <v>1</v>
      </c>
      <c r="F2820" s="52"/>
      <c r="G2820" s="52"/>
      <c r="H2820" s="52"/>
      <c r="I2820" s="52"/>
      <c r="J2820" s="52"/>
      <c r="K2820" s="52"/>
      <c r="L2820" s="52"/>
      <c r="M2820" s="52"/>
      <c r="N2820" s="52"/>
      <c r="O2820" s="52"/>
      <c r="P2820" s="52"/>
      <c r="Q2820" s="52"/>
      <c r="R2820" s="52"/>
      <c r="S2820" s="52"/>
      <c r="T2820" s="52"/>
      <c r="U2820" s="52"/>
      <c r="V2820" s="52"/>
      <c r="W2820" s="52"/>
      <c r="X2820" s="52"/>
      <c r="Y2820" s="52"/>
      <c r="Z2820" s="52"/>
      <c r="AA2820" s="52"/>
      <c r="AB2820" s="52"/>
      <c r="AC2820" s="52"/>
      <c r="AD2820" s="52"/>
      <c r="AE2820" s="52"/>
      <c r="AF2820" s="52"/>
      <c r="AG2820" s="52"/>
      <c r="AH2820" s="52"/>
      <c r="AI2820" s="52"/>
      <c r="AJ2820" s="52"/>
      <c r="AK2820" s="52"/>
      <c r="AL2820" s="52"/>
      <c r="AM2820" s="52"/>
      <c r="AN2820" s="52"/>
    </row>
    <row r="2821" spans="1:40" x14ac:dyDescent="0.3">
      <c r="A2821" s="52">
        <v>2816</v>
      </c>
      <c r="B2821" s="52">
        <f>-bthan*500+(15+0.5)*bthan*1000/50</f>
        <v>-1045</v>
      </c>
      <c r="C2821" s="52">
        <f t="shared" si="272"/>
        <v>330</v>
      </c>
      <c r="D2821" s="52">
        <f t="shared" si="269"/>
        <v>2200</v>
      </c>
      <c r="E2821" s="52">
        <f t="shared" si="270"/>
        <v>1</v>
      </c>
      <c r="F2821" s="52"/>
      <c r="G2821" s="52"/>
      <c r="H2821" s="52"/>
      <c r="I2821" s="52"/>
      <c r="J2821" s="52"/>
      <c r="K2821" s="52"/>
      <c r="L2821" s="52"/>
      <c r="M2821" s="52"/>
      <c r="N2821" s="52"/>
      <c r="O2821" s="52"/>
      <c r="P2821" s="52"/>
      <c r="Q2821" s="52"/>
      <c r="R2821" s="52"/>
      <c r="S2821" s="52"/>
      <c r="T2821" s="52"/>
      <c r="U2821" s="52"/>
      <c r="V2821" s="52"/>
      <c r="W2821" s="52"/>
      <c r="X2821" s="52"/>
      <c r="Y2821" s="52"/>
      <c r="Z2821" s="52"/>
      <c r="AA2821" s="52"/>
      <c r="AB2821" s="52"/>
      <c r="AC2821" s="52"/>
      <c r="AD2821" s="52"/>
      <c r="AE2821" s="52"/>
      <c r="AF2821" s="52"/>
      <c r="AG2821" s="52"/>
      <c r="AH2821" s="52"/>
      <c r="AI2821" s="52"/>
      <c r="AJ2821" s="52"/>
      <c r="AK2821" s="52"/>
      <c r="AL2821" s="52"/>
      <c r="AM2821" s="52"/>
      <c r="AN2821" s="52"/>
    </row>
    <row r="2822" spans="1:40" x14ac:dyDescent="0.3">
      <c r="A2822" s="52">
        <v>2817</v>
      </c>
      <c r="B2822" s="52">
        <f>-bthan*500+(16+0.5)*bthan*1000/50</f>
        <v>-935</v>
      </c>
      <c r="C2822" s="52">
        <f t="shared" si="272"/>
        <v>330</v>
      </c>
      <c r="D2822" s="52">
        <f t="shared" ref="D2822:D2885" si="273">bthan*1000/50*hthan*1000/80</f>
        <v>2200</v>
      </c>
      <c r="E2822" s="52">
        <f t="shared" ref="E2822:E2885" si="274">IF(shp=1,--(OR(ABS(B2822)&lt;=MAX(0,(bthan-hthan)*500),(ABS(B2822)-MAX(0,(bthan-hthan)*500))^2+C2822^2&lt;=(hthan*500)^2)),--(AND(ABS(B2822)&lt;=bthan*500,ABS(C2822)&lt;=hthan*500,OR(ABS(B2822)&lt;=bthan*500-cch*1000,ABS(C2822)&lt;=hthan*500-cch*1000,(bthan*500-ABS(B2822))+(hthan*500-ABS(C2822))&gt;=cch*1000))))</f>
        <v>1</v>
      </c>
      <c r="F2822" s="52"/>
      <c r="G2822" s="52"/>
      <c r="H2822" s="52"/>
      <c r="I2822" s="52"/>
      <c r="J2822" s="52"/>
      <c r="K2822" s="52"/>
      <c r="L2822" s="52"/>
      <c r="M2822" s="52"/>
      <c r="N2822" s="52"/>
      <c r="O2822" s="52"/>
      <c r="P2822" s="52"/>
      <c r="Q2822" s="52"/>
      <c r="R2822" s="52"/>
      <c r="S2822" s="52"/>
      <c r="T2822" s="52"/>
      <c r="U2822" s="52"/>
      <c r="V2822" s="52"/>
      <c r="W2822" s="52"/>
      <c r="X2822" s="52"/>
      <c r="Y2822" s="52"/>
      <c r="Z2822" s="52"/>
      <c r="AA2822" s="52"/>
      <c r="AB2822" s="52"/>
      <c r="AC2822" s="52"/>
      <c r="AD2822" s="52"/>
      <c r="AE2822" s="52"/>
      <c r="AF2822" s="52"/>
      <c r="AG2822" s="52"/>
      <c r="AH2822" s="52"/>
      <c r="AI2822" s="52"/>
      <c r="AJ2822" s="52"/>
      <c r="AK2822" s="52"/>
      <c r="AL2822" s="52"/>
      <c r="AM2822" s="52"/>
      <c r="AN2822" s="52"/>
    </row>
    <row r="2823" spans="1:40" x14ac:dyDescent="0.3">
      <c r="A2823" s="52">
        <v>2818</v>
      </c>
      <c r="B2823" s="52">
        <f>-bthan*500+(17+0.5)*bthan*1000/50</f>
        <v>-825</v>
      </c>
      <c r="C2823" s="52">
        <f t="shared" si="272"/>
        <v>330</v>
      </c>
      <c r="D2823" s="52">
        <f t="shared" si="273"/>
        <v>2200</v>
      </c>
      <c r="E2823" s="52">
        <f t="shared" si="274"/>
        <v>1</v>
      </c>
      <c r="F2823" s="52"/>
      <c r="G2823" s="52"/>
      <c r="H2823" s="52"/>
      <c r="I2823" s="52"/>
      <c r="J2823" s="52"/>
      <c r="K2823" s="52"/>
      <c r="L2823" s="52"/>
      <c r="M2823" s="52"/>
      <c r="N2823" s="52"/>
      <c r="O2823" s="52"/>
      <c r="P2823" s="52"/>
      <c r="Q2823" s="52"/>
      <c r="R2823" s="52"/>
      <c r="S2823" s="52"/>
      <c r="T2823" s="52"/>
      <c r="U2823" s="52"/>
      <c r="V2823" s="52"/>
      <c r="W2823" s="52"/>
      <c r="X2823" s="52"/>
      <c r="Y2823" s="52"/>
      <c r="Z2823" s="52"/>
      <c r="AA2823" s="52"/>
      <c r="AB2823" s="52"/>
      <c r="AC2823" s="52"/>
      <c r="AD2823" s="52"/>
      <c r="AE2823" s="52"/>
      <c r="AF2823" s="52"/>
      <c r="AG2823" s="52"/>
      <c r="AH2823" s="52"/>
      <c r="AI2823" s="52"/>
      <c r="AJ2823" s="52"/>
      <c r="AK2823" s="52"/>
      <c r="AL2823" s="52"/>
      <c r="AM2823" s="52"/>
      <c r="AN2823" s="52"/>
    </row>
    <row r="2824" spans="1:40" x14ac:dyDescent="0.3">
      <c r="A2824" s="52">
        <v>2819</v>
      </c>
      <c r="B2824" s="52">
        <f>-bthan*500+(18+0.5)*bthan*1000/50</f>
        <v>-715</v>
      </c>
      <c r="C2824" s="52">
        <f t="shared" si="272"/>
        <v>330</v>
      </c>
      <c r="D2824" s="52">
        <f t="shared" si="273"/>
        <v>2200</v>
      </c>
      <c r="E2824" s="52">
        <f t="shared" si="274"/>
        <v>1</v>
      </c>
      <c r="F2824" s="52"/>
      <c r="G2824" s="52"/>
      <c r="H2824" s="52"/>
      <c r="I2824" s="52"/>
      <c r="J2824" s="52"/>
      <c r="K2824" s="52"/>
      <c r="L2824" s="52"/>
      <c r="M2824" s="52"/>
      <c r="N2824" s="52"/>
      <c r="O2824" s="52"/>
      <c r="P2824" s="52"/>
      <c r="Q2824" s="52"/>
      <c r="R2824" s="52"/>
      <c r="S2824" s="52"/>
      <c r="T2824" s="52"/>
      <c r="U2824" s="52"/>
      <c r="V2824" s="52"/>
      <c r="W2824" s="52"/>
      <c r="X2824" s="52"/>
      <c r="Y2824" s="52"/>
      <c r="Z2824" s="52"/>
      <c r="AA2824" s="52"/>
      <c r="AB2824" s="52"/>
      <c r="AC2824" s="52"/>
      <c r="AD2824" s="52"/>
      <c r="AE2824" s="52"/>
      <c r="AF2824" s="52"/>
      <c r="AG2824" s="52"/>
      <c r="AH2824" s="52"/>
      <c r="AI2824" s="52"/>
      <c r="AJ2824" s="52"/>
      <c r="AK2824" s="52"/>
      <c r="AL2824" s="52"/>
      <c r="AM2824" s="52"/>
      <c r="AN2824" s="52"/>
    </row>
    <row r="2825" spans="1:40" x14ac:dyDescent="0.3">
      <c r="A2825" s="52">
        <v>2820</v>
      </c>
      <c r="B2825" s="52">
        <f>-bthan*500+(19+0.5)*bthan*1000/50</f>
        <v>-605</v>
      </c>
      <c r="C2825" s="52">
        <f t="shared" si="272"/>
        <v>330</v>
      </c>
      <c r="D2825" s="52">
        <f t="shared" si="273"/>
        <v>2200</v>
      </c>
      <c r="E2825" s="52">
        <f t="shared" si="274"/>
        <v>1</v>
      </c>
      <c r="F2825" s="52"/>
      <c r="G2825" s="52"/>
      <c r="H2825" s="52"/>
      <c r="I2825" s="52"/>
      <c r="J2825" s="52"/>
      <c r="K2825" s="52"/>
      <c r="L2825" s="52"/>
      <c r="M2825" s="52"/>
      <c r="N2825" s="52"/>
      <c r="O2825" s="52"/>
      <c r="P2825" s="52"/>
      <c r="Q2825" s="52"/>
      <c r="R2825" s="52"/>
      <c r="S2825" s="52"/>
      <c r="T2825" s="52"/>
      <c r="U2825" s="52"/>
      <c r="V2825" s="52"/>
      <c r="W2825" s="52"/>
      <c r="X2825" s="52"/>
      <c r="Y2825" s="52"/>
      <c r="Z2825" s="52"/>
      <c r="AA2825" s="52"/>
      <c r="AB2825" s="52"/>
      <c r="AC2825" s="52"/>
      <c r="AD2825" s="52"/>
      <c r="AE2825" s="52"/>
      <c r="AF2825" s="52"/>
      <c r="AG2825" s="52"/>
      <c r="AH2825" s="52"/>
      <c r="AI2825" s="52"/>
      <c r="AJ2825" s="52"/>
      <c r="AK2825" s="52"/>
      <c r="AL2825" s="52"/>
      <c r="AM2825" s="52"/>
      <c r="AN2825" s="52"/>
    </row>
    <row r="2826" spans="1:40" x14ac:dyDescent="0.3">
      <c r="A2826" s="52">
        <v>2821</v>
      </c>
      <c r="B2826" s="52">
        <f>-bthan*500+(20+0.5)*bthan*1000/50</f>
        <v>-495</v>
      </c>
      <c r="C2826" s="52">
        <f t="shared" si="272"/>
        <v>330</v>
      </c>
      <c r="D2826" s="52">
        <f t="shared" si="273"/>
        <v>2200</v>
      </c>
      <c r="E2826" s="52">
        <f t="shared" si="274"/>
        <v>1</v>
      </c>
      <c r="F2826" s="52"/>
      <c r="G2826" s="52"/>
      <c r="H2826" s="52"/>
      <c r="I2826" s="52"/>
      <c r="J2826" s="52"/>
      <c r="K2826" s="52"/>
      <c r="L2826" s="52"/>
      <c r="M2826" s="52"/>
      <c r="N2826" s="52"/>
      <c r="O2826" s="52"/>
      <c r="P2826" s="52"/>
      <c r="Q2826" s="52"/>
      <c r="R2826" s="52"/>
      <c r="S2826" s="52"/>
      <c r="T2826" s="52"/>
      <c r="U2826" s="52"/>
      <c r="V2826" s="52"/>
      <c r="W2826" s="52"/>
      <c r="X2826" s="52"/>
      <c r="Y2826" s="52"/>
      <c r="Z2826" s="52"/>
      <c r="AA2826" s="52"/>
      <c r="AB2826" s="52"/>
      <c r="AC2826" s="52"/>
      <c r="AD2826" s="52"/>
      <c r="AE2826" s="52"/>
      <c r="AF2826" s="52"/>
      <c r="AG2826" s="52"/>
      <c r="AH2826" s="52"/>
      <c r="AI2826" s="52"/>
      <c r="AJ2826" s="52"/>
      <c r="AK2826" s="52"/>
      <c r="AL2826" s="52"/>
      <c r="AM2826" s="52"/>
      <c r="AN2826" s="52"/>
    </row>
    <row r="2827" spans="1:40" x14ac:dyDescent="0.3">
      <c r="A2827" s="52">
        <v>2822</v>
      </c>
      <c r="B2827" s="52">
        <f>-bthan*500+(21+0.5)*bthan*1000/50</f>
        <v>-385</v>
      </c>
      <c r="C2827" s="52">
        <f t="shared" si="272"/>
        <v>330</v>
      </c>
      <c r="D2827" s="52">
        <f t="shared" si="273"/>
        <v>2200</v>
      </c>
      <c r="E2827" s="52">
        <f t="shared" si="274"/>
        <v>1</v>
      </c>
      <c r="F2827" s="52"/>
      <c r="G2827" s="52"/>
      <c r="H2827" s="52"/>
      <c r="I2827" s="52"/>
      <c r="J2827" s="52"/>
      <c r="K2827" s="52"/>
      <c r="L2827" s="52"/>
      <c r="M2827" s="52"/>
      <c r="N2827" s="52"/>
      <c r="O2827" s="52"/>
      <c r="P2827" s="52"/>
      <c r="Q2827" s="52"/>
      <c r="R2827" s="52"/>
      <c r="S2827" s="52"/>
      <c r="T2827" s="52"/>
      <c r="U2827" s="52"/>
      <c r="V2827" s="52"/>
      <c r="W2827" s="52"/>
      <c r="X2827" s="52"/>
      <c r="Y2827" s="52"/>
      <c r="Z2827" s="52"/>
      <c r="AA2827" s="52"/>
      <c r="AB2827" s="52"/>
      <c r="AC2827" s="52"/>
      <c r="AD2827" s="52"/>
      <c r="AE2827" s="52"/>
      <c r="AF2827" s="52"/>
      <c r="AG2827" s="52"/>
      <c r="AH2827" s="52"/>
      <c r="AI2827" s="52"/>
      <c r="AJ2827" s="52"/>
      <c r="AK2827" s="52"/>
      <c r="AL2827" s="52"/>
      <c r="AM2827" s="52"/>
      <c r="AN2827" s="52"/>
    </row>
    <row r="2828" spans="1:40" x14ac:dyDescent="0.3">
      <c r="A2828" s="52">
        <v>2823</v>
      </c>
      <c r="B2828" s="52">
        <f>-bthan*500+(22+0.5)*bthan*1000/50</f>
        <v>-275</v>
      </c>
      <c r="C2828" s="52">
        <f t="shared" si="272"/>
        <v>330</v>
      </c>
      <c r="D2828" s="52">
        <f t="shared" si="273"/>
        <v>2200</v>
      </c>
      <c r="E2828" s="52">
        <f t="shared" si="274"/>
        <v>1</v>
      </c>
      <c r="F2828" s="52"/>
      <c r="G2828" s="52"/>
      <c r="H2828" s="52"/>
      <c r="I2828" s="52"/>
      <c r="J2828" s="52"/>
      <c r="K2828" s="52"/>
      <c r="L2828" s="52"/>
      <c r="M2828" s="52"/>
      <c r="N2828" s="52"/>
      <c r="O2828" s="52"/>
      <c r="P2828" s="52"/>
      <c r="Q2828" s="52"/>
      <c r="R2828" s="52"/>
      <c r="S2828" s="52"/>
      <c r="T2828" s="52"/>
      <c r="U2828" s="52"/>
      <c r="V2828" s="52"/>
      <c r="W2828" s="52"/>
      <c r="X2828" s="52"/>
      <c r="Y2828" s="52"/>
      <c r="Z2828" s="52"/>
      <c r="AA2828" s="52"/>
      <c r="AB2828" s="52"/>
      <c r="AC2828" s="52"/>
      <c r="AD2828" s="52"/>
      <c r="AE2828" s="52"/>
      <c r="AF2828" s="52"/>
      <c r="AG2828" s="52"/>
      <c r="AH2828" s="52"/>
      <c r="AI2828" s="52"/>
      <c r="AJ2828" s="52"/>
      <c r="AK2828" s="52"/>
      <c r="AL2828" s="52"/>
      <c r="AM2828" s="52"/>
      <c r="AN2828" s="52"/>
    </row>
    <row r="2829" spans="1:40" x14ac:dyDescent="0.3">
      <c r="A2829" s="52">
        <v>2824</v>
      </c>
      <c r="B2829" s="52">
        <f>-bthan*500+(23+0.5)*bthan*1000/50</f>
        <v>-165</v>
      </c>
      <c r="C2829" s="52">
        <f t="shared" si="272"/>
        <v>330</v>
      </c>
      <c r="D2829" s="52">
        <f t="shared" si="273"/>
        <v>2200</v>
      </c>
      <c r="E2829" s="52">
        <f t="shared" si="274"/>
        <v>1</v>
      </c>
      <c r="F2829" s="52"/>
      <c r="G2829" s="52"/>
      <c r="H2829" s="52"/>
      <c r="I2829" s="52"/>
      <c r="J2829" s="52"/>
      <c r="K2829" s="52"/>
      <c r="L2829" s="52"/>
      <c r="M2829" s="52"/>
      <c r="N2829" s="52"/>
      <c r="O2829" s="52"/>
      <c r="P2829" s="52"/>
      <c r="Q2829" s="52"/>
      <c r="R2829" s="52"/>
      <c r="S2829" s="52"/>
      <c r="T2829" s="52"/>
      <c r="U2829" s="52"/>
      <c r="V2829" s="52"/>
      <c r="W2829" s="52"/>
      <c r="X2829" s="52"/>
      <c r="Y2829" s="52"/>
      <c r="Z2829" s="52"/>
      <c r="AA2829" s="52"/>
      <c r="AB2829" s="52"/>
      <c r="AC2829" s="52"/>
      <c r="AD2829" s="52"/>
      <c r="AE2829" s="52"/>
      <c r="AF2829" s="52"/>
      <c r="AG2829" s="52"/>
      <c r="AH2829" s="52"/>
      <c r="AI2829" s="52"/>
      <c r="AJ2829" s="52"/>
      <c r="AK2829" s="52"/>
      <c r="AL2829" s="52"/>
      <c r="AM2829" s="52"/>
      <c r="AN2829" s="52"/>
    </row>
    <row r="2830" spans="1:40" x14ac:dyDescent="0.3">
      <c r="A2830" s="52">
        <v>2825</v>
      </c>
      <c r="B2830" s="52">
        <f>-bthan*500+(24+0.5)*bthan*1000/50</f>
        <v>-55</v>
      </c>
      <c r="C2830" s="52">
        <f t="shared" si="272"/>
        <v>330</v>
      </c>
      <c r="D2830" s="52">
        <f t="shared" si="273"/>
        <v>2200</v>
      </c>
      <c r="E2830" s="52">
        <f t="shared" si="274"/>
        <v>1</v>
      </c>
      <c r="F2830" s="52"/>
      <c r="G2830" s="52"/>
      <c r="H2830" s="52"/>
      <c r="I2830" s="52"/>
      <c r="J2830" s="52"/>
      <c r="K2830" s="52"/>
      <c r="L2830" s="52"/>
      <c r="M2830" s="52"/>
      <c r="N2830" s="52"/>
      <c r="O2830" s="52"/>
      <c r="P2830" s="52"/>
      <c r="Q2830" s="52"/>
      <c r="R2830" s="52"/>
      <c r="S2830" s="52"/>
      <c r="T2830" s="52"/>
      <c r="U2830" s="52"/>
      <c r="V2830" s="52"/>
      <c r="W2830" s="52"/>
      <c r="X2830" s="52"/>
      <c r="Y2830" s="52"/>
      <c r="Z2830" s="52"/>
      <c r="AA2830" s="52"/>
      <c r="AB2830" s="52"/>
      <c r="AC2830" s="52"/>
      <c r="AD2830" s="52"/>
      <c r="AE2830" s="52"/>
      <c r="AF2830" s="52"/>
      <c r="AG2830" s="52"/>
      <c r="AH2830" s="52"/>
      <c r="AI2830" s="52"/>
      <c r="AJ2830" s="52"/>
      <c r="AK2830" s="52"/>
      <c r="AL2830" s="52"/>
      <c r="AM2830" s="52"/>
      <c r="AN2830" s="52"/>
    </row>
    <row r="2831" spans="1:40" x14ac:dyDescent="0.3">
      <c r="A2831" s="52">
        <v>2826</v>
      </c>
      <c r="B2831" s="52">
        <f>-bthan*500+(25+0.5)*bthan*1000/50</f>
        <v>55</v>
      </c>
      <c r="C2831" s="52">
        <f t="shared" si="272"/>
        <v>330</v>
      </c>
      <c r="D2831" s="52">
        <f t="shared" si="273"/>
        <v>2200</v>
      </c>
      <c r="E2831" s="52">
        <f t="shared" si="274"/>
        <v>1</v>
      </c>
      <c r="F2831" s="52"/>
      <c r="G2831" s="52"/>
      <c r="H2831" s="52"/>
      <c r="I2831" s="52"/>
      <c r="J2831" s="52"/>
      <c r="K2831" s="52"/>
      <c r="L2831" s="52"/>
      <c r="M2831" s="52"/>
      <c r="N2831" s="52"/>
      <c r="O2831" s="52"/>
      <c r="P2831" s="52"/>
      <c r="Q2831" s="52"/>
      <c r="R2831" s="52"/>
      <c r="S2831" s="52"/>
      <c r="T2831" s="52"/>
      <c r="U2831" s="52"/>
      <c r="V2831" s="52"/>
      <c r="W2831" s="52"/>
      <c r="X2831" s="52"/>
      <c r="Y2831" s="52"/>
      <c r="Z2831" s="52"/>
      <c r="AA2831" s="52"/>
      <c r="AB2831" s="52"/>
      <c r="AC2831" s="52"/>
      <c r="AD2831" s="52"/>
      <c r="AE2831" s="52"/>
      <c r="AF2831" s="52"/>
      <c r="AG2831" s="52"/>
      <c r="AH2831" s="52"/>
      <c r="AI2831" s="52"/>
      <c r="AJ2831" s="52"/>
      <c r="AK2831" s="52"/>
      <c r="AL2831" s="52"/>
      <c r="AM2831" s="52"/>
      <c r="AN2831" s="52"/>
    </row>
    <row r="2832" spans="1:40" x14ac:dyDescent="0.3">
      <c r="A2832" s="52">
        <v>2827</v>
      </c>
      <c r="B2832" s="52">
        <f>-bthan*500+(26+0.5)*bthan*1000/50</f>
        <v>165</v>
      </c>
      <c r="C2832" s="52">
        <f t="shared" si="272"/>
        <v>330</v>
      </c>
      <c r="D2832" s="52">
        <f t="shared" si="273"/>
        <v>2200</v>
      </c>
      <c r="E2832" s="52">
        <f t="shared" si="274"/>
        <v>1</v>
      </c>
      <c r="F2832" s="52"/>
      <c r="G2832" s="52"/>
      <c r="H2832" s="52"/>
      <c r="I2832" s="52"/>
      <c r="J2832" s="52"/>
      <c r="K2832" s="52"/>
      <c r="L2832" s="52"/>
      <c r="M2832" s="52"/>
      <c r="N2832" s="52"/>
      <c r="O2832" s="52"/>
      <c r="P2832" s="52"/>
      <c r="Q2832" s="52"/>
      <c r="R2832" s="52"/>
      <c r="S2832" s="52"/>
      <c r="T2832" s="52"/>
      <c r="U2832" s="52"/>
      <c r="V2832" s="52"/>
      <c r="W2832" s="52"/>
      <c r="X2832" s="52"/>
      <c r="Y2832" s="52"/>
      <c r="Z2832" s="52"/>
      <c r="AA2832" s="52"/>
      <c r="AB2832" s="52"/>
      <c r="AC2832" s="52"/>
      <c r="AD2832" s="52"/>
      <c r="AE2832" s="52"/>
      <c r="AF2832" s="52"/>
      <c r="AG2832" s="52"/>
      <c r="AH2832" s="52"/>
      <c r="AI2832" s="52"/>
      <c r="AJ2832" s="52"/>
      <c r="AK2832" s="52"/>
      <c r="AL2832" s="52"/>
      <c r="AM2832" s="52"/>
      <c r="AN2832" s="52"/>
    </row>
    <row r="2833" spans="1:40" x14ac:dyDescent="0.3">
      <c r="A2833" s="52">
        <v>2828</v>
      </c>
      <c r="B2833" s="52">
        <f>-bthan*500+(27+0.5)*bthan*1000/50</f>
        <v>275</v>
      </c>
      <c r="C2833" s="52">
        <f t="shared" si="272"/>
        <v>330</v>
      </c>
      <c r="D2833" s="52">
        <f t="shared" si="273"/>
        <v>2200</v>
      </c>
      <c r="E2833" s="52">
        <f t="shared" si="274"/>
        <v>1</v>
      </c>
      <c r="F2833" s="52"/>
      <c r="G2833" s="52"/>
      <c r="H2833" s="52"/>
      <c r="I2833" s="52"/>
      <c r="J2833" s="52"/>
      <c r="K2833" s="52"/>
      <c r="L2833" s="52"/>
      <c r="M2833" s="52"/>
      <c r="N2833" s="52"/>
      <c r="O2833" s="52"/>
      <c r="P2833" s="52"/>
      <c r="Q2833" s="52"/>
      <c r="R2833" s="52"/>
      <c r="S2833" s="52"/>
      <c r="T2833" s="52"/>
      <c r="U2833" s="52"/>
      <c r="V2833" s="52"/>
      <c r="W2833" s="52"/>
      <c r="X2833" s="52"/>
      <c r="Y2833" s="52"/>
      <c r="Z2833" s="52"/>
      <c r="AA2833" s="52"/>
      <c r="AB2833" s="52"/>
      <c r="AC2833" s="52"/>
      <c r="AD2833" s="52"/>
      <c r="AE2833" s="52"/>
      <c r="AF2833" s="52"/>
      <c r="AG2833" s="52"/>
      <c r="AH2833" s="52"/>
      <c r="AI2833" s="52"/>
      <c r="AJ2833" s="52"/>
      <c r="AK2833" s="52"/>
      <c r="AL2833" s="52"/>
      <c r="AM2833" s="52"/>
      <c r="AN2833" s="52"/>
    </row>
    <row r="2834" spans="1:40" x14ac:dyDescent="0.3">
      <c r="A2834" s="52">
        <v>2829</v>
      </c>
      <c r="B2834" s="52">
        <f>-bthan*500+(28+0.5)*bthan*1000/50</f>
        <v>385</v>
      </c>
      <c r="C2834" s="52">
        <f t="shared" si="272"/>
        <v>330</v>
      </c>
      <c r="D2834" s="52">
        <f t="shared" si="273"/>
        <v>2200</v>
      </c>
      <c r="E2834" s="52">
        <f t="shared" si="274"/>
        <v>1</v>
      </c>
      <c r="F2834" s="52"/>
      <c r="G2834" s="52"/>
      <c r="H2834" s="52"/>
      <c r="I2834" s="52"/>
      <c r="J2834" s="52"/>
      <c r="K2834" s="52"/>
      <c r="L2834" s="52"/>
      <c r="M2834" s="52"/>
      <c r="N2834" s="52"/>
      <c r="O2834" s="52"/>
      <c r="P2834" s="52"/>
      <c r="Q2834" s="52"/>
      <c r="R2834" s="52"/>
      <c r="S2834" s="52"/>
      <c r="T2834" s="52"/>
      <c r="U2834" s="52"/>
      <c r="V2834" s="52"/>
      <c r="W2834" s="52"/>
      <c r="X2834" s="52"/>
      <c r="Y2834" s="52"/>
      <c r="Z2834" s="52"/>
      <c r="AA2834" s="52"/>
      <c r="AB2834" s="52"/>
      <c r="AC2834" s="52"/>
      <c r="AD2834" s="52"/>
      <c r="AE2834" s="52"/>
      <c r="AF2834" s="52"/>
      <c r="AG2834" s="52"/>
      <c r="AH2834" s="52"/>
      <c r="AI2834" s="52"/>
      <c r="AJ2834" s="52"/>
      <c r="AK2834" s="52"/>
      <c r="AL2834" s="52"/>
      <c r="AM2834" s="52"/>
      <c r="AN2834" s="52"/>
    </row>
    <row r="2835" spans="1:40" x14ac:dyDescent="0.3">
      <c r="A2835" s="52">
        <v>2830</v>
      </c>
      <c r="B2835" s="52">
        <f>-bthan*500+(29+0.5)*bthan*1000/50</f>
        <v>495</v>
      </c>
      <c r="C2835" s="52">
        <f t="shared" si="272"/>
        <v>330</v>
      </c>
      <c r="D2835" s="52">
        <f t="shared" si="273"/>
        <v>2200</v>
      </c>
      <c r="E2835" s="52">
        <f t="shared" si="274"/>
        <v>1</v>
      </c>
      <c r="F2835" s="52"/>
      <c r="G2835" s="52"/>
      <c r="H2835" s="52"/>
      <c r="I2835" s="52"/>
      <c r="J2835" s="52"/>
      <c r="K2835" s="52"/>
      <c r="L2835" s="52"/>
      <c r="M2835" s="52"/>
      <c r="N2835" s="52"/>
      <c r="O2835" s="52"/>
      <c r="P2835" s="52"/>
      <c r="Q2835" s="52"/>
      <c r="R2835" s="52"/>
      <c r="S2835" s="52"/>
      <c r="T2835" s="52"/>
      <c r="U2835" s="52"/>
      <c r="V2835" s="52"/>
      <c r="W2835" s="52"/>
      <c r="X2835" s="52"/>
      <c r="Y2835" s="52"/>
      <c r="Z2835" s="52"/>
      <c r="AA2835" s="52"/>
      <c r="AB2835" s="52"/>
      <c r="AC2835" s="52"/>
      <c r="AD2835" s="52"/>
      <c r="AE2835" s="52"/>
      <c r="AF2835" s="52"/>
      <c r="AG2835" s="52"/>
      <c r="AH2835" s="52"/>
      <c r="AI2835" s="52"/>
      <c r="AJ2835" s="52"/>
      <c r="AK2835" s="52"/>
      <c r="AL2835" s="52"/>
      <c r="AM2835" s="52"/>
      <c r="AN2835" s="52"/>
    </row>
    <row r="2836" spans="1:40" x14ac:dyDescent="0.3">
      <c r="A2836" s="52">
        <v>2831</v>
      </c>
      <c r="B2836" s="52">
        <f>-bthan*500+(30+0.5)*bthan*1000/50</f>
        <v>605</v>
      </c>
      <c r="C2836" s="52">
        <f t="shared" si="272"/>
        <v>330</v>
      </c>
      <c r="D2836" s="52">
        <f t="shared" si="273"/>
        <v>2200</v>
      </c>
      <c r="E2836" s="52">
        <f t="shared" si="274"/>
        <v>1</v>
      </c>
      <c r="F2836" s="52"/>
      <c r="G2836" s="52"/>
      <c r="H2836" s="52"/>
      <c r="I2836" s="52"/>
      <c r="J2836" s="52"/>
      <c r="K2836" s="52"/>
      <c r="L2836" s="52"/>
      <c r="M2836" s="52"/>
      <c r="N2836" s="52"/>
      <c r="O2836" s="52"/>
      <c r="P2836" s="52"/>
      <c r="Q2836" s="52"/>
      <c r="R2836" s="52"/>
      <c r="S2836" s="52"/>
      <c r="T2836" s="52"/>
      <c r="U2836" s="52"/>
      <c r="V2836" s="52"/>
      <c r="W2836" s="52"/>
      <c r="X2836" s="52"/>
      <c r="Y2836" s="52"/>
      <c r="Z2836" s="52"/>
      <c r="AA2836" s="52"/>
      <c r="AB2836" s="52"/>
      <c r="AC2836" s="52"/>
      <c r="AD2836" s="52"/>
      <c r="AE2836" s="52"/>
      <c r="AF2836" s="52"/>
      <c r="AG2836" s="52"/>
      <c r="AH2836" s="52"/>
      <c r="AI2836" s="52"/>
      <c r="AJ2836" s="52"/>
      <c r="AK2836" s="52"/>
      <c r="AL2836" s="52"/>
      <c r="AM2836" s="52"/>
      <c r="AN2836" s="52"/>
    </row>
    <row r="2837" spans="1:40" x14ac:dyDescent="0.3">
      <c r="A2837" s="52">
        <v>2832</v>
      </c>
      <c r="B2837" s="52">
        <f>-bthan*500+(31+0.5)*bthan*1000/50</f>
        <v>715</v>
      </c>
      <c r="C2837" s="52">
        <f t="shared" si="272"/>
        <v>330</v>
      </c>
      <c r="D2837" s="52">
        <f t="shared" si="273"/>
        <v>2200</v>
      </c>
      <c r="E2837" s="52">
        <f t="shared" si="274"/>
        <v>1</v>
      </c>
      <c r="F2837" s="52"/>
      <c r="G2837" s="52"/>
      <c r="H2837" s="52"/>
      <c r="I2837" s="52"/>
      <c r="J2837" s="52"/>
      <c r="K2837" s="52"/>
      <c r="L2837" s="52"/>
      <c r="M2837" s="52"/>
      <c r="N2837" s="52"/>
      <c r="O2837" s="52"/>
      <c r="P2837" s="52"/>
      <c r="Q2837" s="52"/>
      <c r="R2837" s="52"/>
      <c r="S2837" s="52"/>
      <c r="T2837" s="52"/>
      <c r="U2837" s="52"/>
      <c r="V2837" s="52"/>
      <c r="W2837" s="52"/>
      <c r="X2837" s="52"/>
      <c r="Y2837" s="52"/>
      <c r="Z2837" s="52"/>
      <c r="AA2837" s="52"/>
      <c r="AB2837" s="52"/>
      <c r="AC2837" s="52"/>
      <c r="AD2837" s="52"/>
      <c r="AE2837" s="52"/>
      <c r="AF2837" s="52"/>
      <c r="AG2837" s="52"/>
      <c r="AH2837" s="52"/>
      <c r="AI2837" s="52"/>
      <c r="AJ2837" s="52"/>
      <c r="AK2837" s="52"/>
      <c r="AL2837" s="52"/>
      <c r="AM2837" s="52"/>
      <c r="AN2837" s="52"/>
    </row>
    <row r="2838" spans="1:40" x14ac:dyDescent="0.3">
      <c r="A2838" s="52">
        <v>2833</v>
      </c>
      <c r="B2838" s="52">
        <f>-bthan*500+(32+0.5)*bthan*1000/50</f>
        <v>825</v>
      </c>
      <c r="C2838" s="52">
        <f t="shared" ref="C2838:C2855" si="275">-hthan*500+(56+0.5)*hthan*1000/80</f>
        <v>330</v>
      </c>
      <c r="D2838" s="52">
        <f t="shared" si="273"/>
        <v>2200</v>
      </c>
      <c r="E2838" s="52">
        <f t="shared" si="274"/>
        <v>1</v>
      </c>
      <c r="F2838" s="52"/>
      <c r="G2838" s="52"/>
      <c r="H2838" s="52"/>
      <c r="I2838" s="52"/>
      <c r="J2838" s="52"/>
      <c r="K2838" s="52"/>
      <c r="L2838" s="52"/>
      <c r="M2838" s="52"/>
      <c r="N2838" s="52"/>
      <c r="O2838" s="52"/>
      <c r="P2838" s="52"/>
      <c r="Q2838" s="52"/>
      <c r="R2838" s="52"/>
      <c r="S2838" s="52"/>
      <c r="T2838" s="52"/>
      <c r="U2838" s="52"/>
      <c r="V2838" s="52"/>
      <c r="W2838" s="52"/>
      <c r="X2838" s="52"/>
      <c r="Y2838" s="52"/>
      <c r="Z2838" s="52"/>
      <c r="AA2838" s="52"/>
      <c r="AB2838" s="52"/>
      <c r="AC2838" s="52"/>
      <c r="AD2838" s="52"/>
      <c r="AE2838" s="52"/>
      <c r="AF2838" s="52"/>
      <c r="AG2838" s="52"/>
      <c r="AH2838" s="52"/>
      <c r="AI2838" s="52"/>
      <c r="AJ2838" s="52"/>
      <c r="AK2838" s="52"/>
      <c r="AL2838" s="52"/>
      <c r="AM2838" s="52"/>
      <c r="AN2838" s="52"/>
    </row>
    <row r="2839" spans="1:40" x14ac:dyDescent="0.3">
      <c r="A2839" s="52">
        <v>2834</v>
      </c>
      <c r="B2839" s="52">
        <f>-bthan*500+(33+0.5)*bthan*1000/50</f>
        <v>935</v>
      </c>
      <c r="C2839" s="52">
        <f t="shared" si="275"/>
        <v>330</v>
      </c>
      <c r="D2839" s="52">
        <f t="shared" si="273"/>
        <v>2200</v>
      </c>
      <c r="E2839" s="52">
        <f t="shared" si="274"/>
        <v>1</v>
      </c>
      <c r="F2839" s="52"/>
      <c r="G2839" s="52"/>
      <c r="H2839" s="52"/>
      <c r="I2839" s="52"/>
      <c r="J2839" s="52"/>
      <c r="K2839" s="52"/>
      <c r="L2839" s="52"/>
      <c r="M2839" s="52"/>
      <c r="N2839" s="52"/>
      <c r="O2839" s="52"/>
      <c r="P2839" s="52"/>
      <c r="Q2839" s="52"/>
      <c r="R2839" s="52"/>
      <c r="S2839" s="52"/>
      <c r="T2839" s="52"/>
      <c r="U2839" s="52"/>
      <c r="V2839" s="52"/>
      <c r="W2839" s="52"/>
      <c r="X2839" s="52"/>
      <c r="Y2839" s="52"/>
      <c r="Z2839" s="52"/>
      <c r="AA2839" s="52"/>
      <c r="AB2839" s="52"/>
      <c r="AC2839" s="52"/>
      <c r="AD2839" s="52"/>
      <c r="AE2839" s="52"/>
      <c r="AF2839" s="52"/>
      <c r="AG2839" s="52"/>
      <c r="AH2839" s="52"/>
      <c r="AI2839" s="52"/>
      <c r="AJ2839" s="52"/>
      <c r="AK2839" s="52"/>
      <c r="AL2839" s="52"/>
      <c r="AM2839" s="52"/>
      <c r="AN2839" s="52"/>
    </row>
    <row r="2840" spans="1:40" x14ac:dyDescent="0.3">
      <c r="A2840" s="52">
        <v>2835</v>
      </c>
      <c r="B2840" s="52">
        <f>-bthan*500+(34+0.5)*bthan*1000/50</f>
        <v>1045</v>
      </c>
      <c r="C2840" s="52">
        <f t="shared" si="275"/>
        <v>330</v>
      </c>
      <c r="D2840" s="52">
        <f t="shared" si="273"/>
        <v>2200</v>
      </c>
      <c r="E2840" s="52">
        <f t="shared" si="274"/>
        <v>1</v>
      </c>
      <c r="F2840" s="52"/>
      <c r="G2840" s="52"/>
      <c r="H2840" s="52"/>
      <c r="I2840" s="52"/>
      <c r="J2840" s="52"/>
      <c r="K2840" s="52"/>
      <c r="L2840" s="52"/>
      <c r="M2840" s="52"/>
      <c r="N2840" s="52"/>
      <c r="O2840" s="52"/>
      <c r="P2840" s="52"/>
      <c r="Q2840" s="52"/>
      <c r="R2840" s="52"/>
      <c r="S2840" s="52"/>
      <c r="T2840" s="52"/>
      <c r="U2840" s="52"/>
      <c r="V2840" s="52"/>
      <c r="W2840" s="52"/>
      <c r="X2840" s="52"/>
      <c r="Y2840" s="52"/>
      <c r="Z2840" s="52"/>
      <c r="AA2840" s="52"/>
      <c r="AB2840" s="52"/>
      <c r="AC2840" s="52"/>
      <c r="AD2840" s="52"/>
      <c r="AE2840" s="52"/>
      <c r="AF2840" s="52"/>
      <c r="AG2840" s="52"/>
      <c r="AH2840" s="52"/>
      <c r="AI2840" s="52"/>
      <c r="AJ2840" s="52"/>
      <c r="AK2840" s="52"/>
      <c r="AL2840" s="52"/>
      <c r="AM2840" s="52"/>
      <c r="AN2840" s="52"/>
    </row>
    <row r="2841" spans="1:40" x14ac:dyDescent="0.3">
      <c r="A2841" s="52">
        <v>2836</v>
      </c>
      <c r="B2841" s="52">
        <f>-bthan*500+(35+0.5)*bthan*1000/50</f>
        <v>1155</v>
      </c>
      <c r="C2841" s="52">
        <f t="shared" si="275"/>
        <v>330</v>
      </c>
      <c r="D2841" s="52">
        <f t="shared" si="273"/>
        <v>2200</v>
      </c>
      <c r="E2841" s="52">
        <f t="shared" si="274"/>
        <v>1</v>
      </c>
      <c r="F2841" s="52"/>
      <c r="G2841" s="52"/>
      <c r="H2841" s="52"/>
      <c r="I2841" s="52"/>
      <c r="J2841" s="52"/>
      <c r="K2841" s="52"/>
      <c r="L2841" s="52"/>
      <c r="M2841" s="52"/>
      <c r="N2841" s="52"/>
      <c r="O2841" s="52"/>
      <c r="P2841" s="52"/>
      <c r="Q2841" s="52"/>
      <c r="R2841" s="52"/>
      <c r="S2841" s="52"/>
      <c r="T2841" s="52"/>
      <c r="U2841" s="52"/>
      <c r="V2841" s="52"/>
      <c r="W2841" s="52"/>
      <c r="X2841" s="52"/>
      <c r="Y2841" s="52"/>
      <c r="Z2841" s="52"/>
      <c r="AA2841" s="52"/>
      <c r="AB2841" s="52"/>
      <c r="AC2841" s="52"/>
      <c r="AD2841" s="52"/>
      <c r="AE2841" s="52"/>
      <c r="AF2841" s="52"/>
      <c r="AG2841" s="52"/>
      <c r="AH2841" s="52"/>
      <c r="AI2841" s="52"/>
      <c r="AJ2841" s="52"/>
      <c r="AK2841" s="52"/>
      <c r="AL2841" s="52"/>
      <c r="AM2841" s="52"/>
      <c r="AN2841" s="52"/>
    </row>
    <row r="2842" spans="1:40" x14ac:dyDescent="0.3">
      <c r="A2842" s="52">
        <v>2837</v>
      </c>
      <c r="B2842" s="52">
        <f>-bthan*500+(36+0.5)*bthan*1000/50</f>
        <v>1265</v>
      </c>
      <c r="C2842" s="52">
        <f t="shared" si="275"/>
        <v>330</v>
      </c>
      <c r="D2842" s="52">
        <f t="shared" si="273"/>
        <v>2200</v>
      </c>
      <c r="E2842" s="52">
        <f t="shared" si="274"/>
        <v>1</v>
      </c>
      <c r="F2842" s="52"/>
      <c r="G2842" s="52"/>
      <c r="H2842" s="52"/>
      <c r="I2842" s="52"/>
      <c r="J2842" s="52"/>
      <c r="K2842" s="52"/>
      <c r="L2842" s="52"/>
      <c r="M2842" s="52"/>
      <c r="N2842" s="52"/>
      <c r="O2842" s="52"/>
      <c r="P2842" s="52"/>
      <c r="Q2842" s="52"/>
      <c r="R2842" s="52"/>
      <c r="S2842" s="52"/>
      <c r="T2842" s="52"/>
      <c r="U2842" s="52"/>
      <c r="V2842" s="52"/>
      <c r="W2842" s="52"/>
      <c r="X2842" s="52"/>
      <c r="Y2842" s="52"/>
      <c r="Z2842" s="52"/>
      <c r="AA2842" s="52"/>
      <c r="AB2842" s="52"/>
      <c r="AC2842" s="52"/>
      <c r="AD2842" s="52"/>
      <c r="AE2842" s="52"/>
      <c r="AF2842" s="52"/>
      <c r="AG2842" s="52"/>
      <c r="AH2842" s="52"/>
      <c r="AI2842" s="52"/>
      <c r="AJ2842" s="52"/>
      <c r="AK2842" s="52"/>
      <c r="AL2842" s="52"/>
      <c r="AM2842" s="52"/>
      <c r="AN2842" s="52"/>
    </row>
    <row r="2843" spans="1:40" x14ac:dyDescent="0.3">
      <c r="A2843" s="52">
        <v>2838</v>
      </c>
      <c r="B2843" s="52">
        <f>-bthan*500+(37+0.5)*bthan*1000/50</f>
        <v>1375</v>
      </c>
      <c r="C2843" s="52">
        <f t="shared" si="275"/>
        <v>330</v>
      </c>
      <c r="D2843" s="52">
        <f t="shared" si="273"/>
        <v>2200</v>
      </c>
      <c r="E2843" s="52">
        <f t="shared" si="274"/>
        <v>1</v>
      </c>
      <c r="F2843" s="52"/>
      <c r="G2843" s="52"/>
      <c r="H2843" s="52"/>
      <c r="I2843" s="52"/>
      <c r="J2843" s="52"/>
      <c r="K2843" s="52"/>
      <c r="L2843" s="52"/>
      <c r="M2843" s="52"/>
      <c r="N2843" s="52"/>
      <c r="O2843" s="52"/>
      <c r="P2843" s="52"/>
      <c r="Q2843" s="52"/>
      <c r="R2843" s="52"/>
      <c r="S2843" s="52"/>
      <c r="T2843" s="52"/>
      <c r="U2843" s="52"/>
      <c r="V2843" s="52"/>
      <c r="W2843" s="52"/>
      <c r="X2843" s="52"/>
      <c r="Y2843" s="52"/>
      <c r="Z2843" s="52"/>
      <c r="AA2843" s="52"/>
      <c r="AB2843" s="52"/>
      <c r="AC2843" s="52"/>
      <c r="AD2843" s="52"/>
      <c r="AE2843" s="52"/>
      <c r="AF2843" s="52"/>
      <c r="AG2843" s="52"/>
      <c r="AH2843" s="52"/>
      <c r="AI2843" s="52"/>
      <c r="AJ2843" s="52"/>
      <c r="AK2843" s="52"/>
      <c r="AL2843" s="52"/>
      <c r="AM2843" s="52"/>
      <c r="AN2843" s="52"/>
    </row>
    <row r="2844" spans="1:40" x14ac:dyDescent="0.3">
      <c r="A2844" s="52">
        <v>2839</v>
      </c>
      <c r="B2844" s="52">
        <f>-bthan*500+(38+0.5)*bthan*1000/50</f>
        <v>1485</v>
      </c>
      <c r="C2844" s="52">
        <f t="shared" si="275"/>
        <v>330</v>
      </c>
      <c r="D2844" s="52">
        <f t="shared" si="273"/>
        <v>2200</v>
      </c>
      <c r="E2844" s="52">
        <f t="shared" si="274"/>
        <v>1</v>
      </c>
      <c r="F2844" s="52"/>
      <c r="G2844" s="52"/>
      <c r="H2844" s="52"/>
      <c r="I2844" s="52"/>
      <c r="J2844" s="52"/>
      <c r="K2844" s="52"/>
      <c r="L2844" s="52"/>
      <c r="M2844" s="52"/>
      <c r="N2844" s="52"/>
      <c r="O2844" s="52"/>
      <c r="P2844" s="52"/>
      <c r="Q2844" s="52"/>
      <c r="R2844" s="52"/>
      <c r="S2844" s="52"/>
      <c r="T2844" s="52"/>
      <c r="U2844" s="52"/>
      <c r="V2844" s="52"/>
      <c r="W2844" s="52"/>
      <c r="X2844" s="52"/>
      <c r="Y2844" s="52"/>
      <c r="Z2844" s="52"/>
      <c r="AA2844" s="52"/>
      <c r="AB2844" s="52"/>
      <c r="AC2844" s="52"/>
      <c r="AD2844" s="52"/>
      <c r="AE2844" s="52"/>
      <c r="AF2844" s="52"/>
      <c r="AG2844" s="52"/>
      <c r="AH2844" s="52"/>
      <c r="AI2844" s="52"/>
      <c r="AJ2844" s="52"/>
      <c r="AK2844" s="52"/>
      <c r="AL2844" s="52"/>
      <c r="AM2844" s="52"/>
      <c r="AN2844" s="52"/>
    </row>
    <row r="2845" spans="1:40" x14ac:dyDescent="0.3">
      <c r="A2845" s="52">
        <v>2840</v>
      </c>
      <c r="B2845" s="52">
        <f>-bthan*500+(39+0.5)*bthan*1000/50</f>
        <v>1595</v>
      </c>
      <c r="C2845" s="52">
        <f t="shared" si="275"/>
        <v>330</v>
      </c>
      <c r="D2845" s="52">
        <f t="shared" si="273"/>
        <v>2200</v>
      </c>
      <c r="E2845" s="52">
        <f t="shared" si="274"/>
        <v>1</v>
      </c>
      <c r="F2845" s="52"/>
      <c r="G2845" s="52"/>
      <c r="H2845" s="52"/>
      <c r="I2845" s="52"/>
      <c r="J2845" s="52"/>
      <c r="K2845" s="52"/>
      <c r="L2845" s="52"/>
      <c r="M2845" s="52"/>
      <c r="N2845" s="52"/>
      <c r="O2845" s="52"/>
      <c r="P2845" s="52"/>
      <c r="Q2845" s="52"/>
      <c r="R2845" s="52"/>
      <c r="S2845" s="52"/>
      <c r="T2845" s="52"/>
      <c r="U2845" s="52"/>
      <c r="V2845" s="52"/>
      <c r="W2845" s="52"/>
      <c r="X2845" s="52"/>
      <c r="Y2845" s="52"/>
      <c r="Z2845" s="52"/>
      <c r="AA2845" s="52"/>
      <c r="AB2845" s="52"/>
      <c r="AC2845" s="52"/>
      <c r="AD2845" s="52"/>
      <c r="AE2845" s="52"/>
      <c r="AF2845" s="52"/>
      <c r="AG2845" s="52"/>
      <c r="AH2845" s="52"/>
      <c r="AI2845" s="52"/>
      <c r="AJ2845" s="52"/>
      <c r="AK2845" s="52"/>
      <c r="AL2845" s="52"/>
      <c r="AM2845" s="52"/>
      <c r="AN2845" s="52"/>
    </row>
    <row r="2846" spans="1:40" x14ac:dyDescent="0.3">
      <c r="A2846" s="52">
        <v>2841</v>
      </c>
      <c r="B2846" s="52">
        <f>-bthan*500+(40+0.5)*bthan*1000/50</f>
        <v>1705</v>
      </c>
      <c r="C2846" s="52">
        <f t="shared" si="275"/>
        <v>330</v>
      </c>
      <c r="D2846" s="52">
        <f t="shared" si="273"/>
        <v>2200</v>
      </c>
      <c r="E2846" s="52">
        <f t="shared" si="274"/>
        <v>1</v>
      </c>
      <c r="F2846" s="52"/>
      <c r="G2846" s="52"/>
      <c r="H2846" s="52"/>
      <c r="I2846" s="52"/>
      <c r="J2846" s="52"/>
      <c r="K2846" s="52"/>
      <c r="L2846" s="52"/>
      <c r="M2846" s="52"/>
      <c r="N2846" s="52"/>
      <c r="O2846" s="52"/>
      <c r="P2846" s="52"/>
      <c r="Q2846" s="52"/>
      <c r="R2846" s="52"/>
      <c r="S2846" s="52"/>
      <c r="T2846" s="52"/>
      <c r="U2846" s="52"/>
      <c r="V2846" s="52"/>
      <c r="W2846" s="52"/>
      <c r="X2846" s="52"/>
      <c r="Y2846" s="52"/>
      <c r="Z2846" s="52"/>
      <c r="AA2846" s="52"/>
      <c r="AB2846" s="52"/>
      <c r="AC2846" s="52"/>
      <c r="AD2846" s="52"/>
      <c r="AE2846" s="52"/>
      <c r="AF2846" s="52"/>
      <c r="AG2846" s="52"/>
      <c r="AH2846" s="52"/>
      <c r="AI2846" s="52"/>
      <c r="AJ2846" s="52"/>
      <c r="AK2846" s="52"/>
      <c r="AL2846" s="52"/>
      <c r="AM2846" s="52"/>
      <c r="AN2846" s="52"/>
    </row>
    <row r="2847" spans="1:40" x14ac:dyDescent="0.3">
      <c r="A2847" s="52">
        <v>2842</v>
      </c>
      <c r="B2847" s="52">
        <f>-bthan*500+(41+0.5)*bthan*1000/50</f>
        <v>1815</v>
      </c>
      <c r="C2847" s="52">
        <f t="shared" si="275"/>
        <v>330</v>
      </c>
      <c r="D2847" s="52">
        <f t="shared" si="273"/>
        <v>2200</v>
      </c>
      <c r="E2847" s="52">
        <f t="shared" si="274"/>
        <v>1</v>
      </c>
      <c r="F2847" s="52"/>
      <c r="G2847" s="52"/>
      <c r="H2847" s="52"/>
      <c r="I2847" s="52"/>
      <c r="J2847" s="52"/>
      <c r="K2847" s="52"/>
      <c r="L2847" s="52"/>
      <c r="M2847" s="52"/>
      <c r="N2847" s="52"/>
      <c r="O2847" s="52"/>
      <c r="P2847" s="52"/>
      <c r="Q2847" s="52"/>
      <c r="R2847" s="52"/>
      <c r="S2847" s="52"/>
      <c r="T2847" s="52"/>
      <c r="U2847" s="52"/>
      <c r="V2847" s="52"/>
      <c r="W2847" s="52"/>
      <c r="X2847" s="52"/>
      <c r="Y2847" s="52"/>
      <c r="Z2847" s="52"/>
      <c r="AA2847" s="52"/>
      <c r="AB2847" s="52"/>
      <c r="AC2847" s="52"/>
      <c r="AD2847" s="52"/>
      <c r="AE2847" s="52"/>
      <c r="AF2847" s="52"/>
      <c r="AG2847" s="52"/>
      <c r="AH2847" s="52"/>
      <c r="AI2847" s="52"/>
      <c r="AJ2847" s="52"/>
      <c r="AK2847" s="52"/>
      <c r="AL2847" s="52"/>
      <c r="AM2847" s="52"/>
      <c r="AN2847" s="52"/>
    </row>
    <row r="2848" spans="1:40" x14ac:dyDescent="0.3">
      <c r="A2848" s="52">
        <v>2843</v>
      </c>
      <c r="B2848" s="52">
        <f>-bthan*500+(42+0.5)*bthan*1000/50</f>
        <v>1925</v>
      </c>
      <c r="C2848" s="52">
        <f t="shared" si="275"/>
        <v>330</v>
      </c>
      <c r="D2848" s="52">
        <f t="shared" si="273"/>
        <v>2200</v>
      </c>
      <c r="E2848" s="52">
        <f t="shared" si="274"/>
        <v>1</v>
      </c>
      <c r="F2848" s="52"/>
      <c r="G2848" s="52"/>
      <c r="H2848" s="52"/>
      <c r="I2848" s="52"/>
      <c r="J2848" s="52"/>
      <c r="K2848" s="52"/>
      <c r="L2848" s="52"/>
      <c r="M2848" s="52"/>
      <c r="N2848" s="52"/>
      <c r="O2848" s="52"/>
      <c r="P2848" s="52"/>
      <c r="Q2848" s="52"/>
      <c r="R2848" s="52"/>
      <c r="S2848" s="52"/>
      <c r="T2848" s="52"/>
      <c r="U2848" s="52"/>
      <c r="V2848" s="52"/>
      <c r="W2848" s="52"/>
      <c r="X2848" s="52"/>
      <c r="Y2848" s="52"/>
      <c r="Z2848" s="52"/>
      <c r="AA2848" s="52"/>
      <c r="AB2848" s="52"/>
      <c r="AC2848" s="52"/>
      <c r="AD2848" s="52"/>
      <c r="AE2848" s="52"/>
      <c r="AF2848" s="52"/>
      <c r="AG2848" s="52"/>
      <c r="AH2848" s="52"/>
      <c r="AI2848" s="52"/>
      <c r="AJ2848" s="52"/>
      <c r="AK2848" s="52"/>
      <c r="AL2848" s="52"/>
      <c r="AM2848" s="52"/>
      <c r="AN2848" s="52"/>
    </row>
    <row r="2849" spans="1:40" x14ac:dyDescent="0.3">
      <c r="A2849" s="52">
        <v>2844</v>
      </c>
      <c r="B2849" s="52">
        <f>-bthan*500+(43+0.5)*bthan*1000/50</f>
        <v>2035</v>
      </c>
      <c r="C2849" s="52">
        <f t="shared" si="275"/>
        <v>330</v>
      </c>
      <c r="D2849" s="52">
        <f t="shared" si="273"/>
        <v>2200</v>
      </c>
      <c r="E2849" s="52">
        <f t="shared" si="274"/>
        <v>1</v>
      </c>
      <c r="F2849" s="52"/>
      <c r="G2849" s="52"/>
      <c r="H2849" s="52"/>
      <c r="I2849" s="52"/>
      <c r="J2849" s="52"/>
      <c r="K2849" s="52"/>
      <c r="L2849" s="52"/>
      <c r="M2849" s="52"/>
      <c r="N2849" s="52"/>
      <c r="O2849" s="52"/>
      <c r="P2849" s="52"/>
      <c r="Q2849" s="52"/>
      <c r="R2849" s="52"/>
      <c r="S2849" s="52"/>
      <c r="T2849" s="52"/>
      <c r="U2849" s="52"/>
      <c r="V2849" s="52"/>
      <c r="W2849" s="52"/>
      <c r="X2849" s="52"/>
      <c r="Y2849" s="52"/>
      <c r="Z2849" s="52"/>
      <c r="AA2849" s="52"/>
      <c r="AB2849" s="52"/>
      <c r="AC2849" s="52"/>
      <c r="AD2849" s="52"/>
      <c r="AE2849" s="52"/>
      <c r="AF2849" s="52"/>
      <c r="AG2849" s="52"/>
      <c r="AH2849" s="52"/>
      <c r="AI2849" s="52"/>
      <c r="AJ2849" s="52"/>
      <c r="AK2849" s="52"/>
      <c r="AL2849" s="52"/>
      <c r="AM2849" s="52"/>
      <c r="AN2849" s="52"/>
    </row>
    <row r="2850" spans="1:40" x14ac:dyDescent="0.3">
      <c r="A2850" s="52">
        <v>2845</v>
      </c>
      <c r="B2850" s="52">
        <f>-bthan*500+(44+0.5)*bthan*1000/50</f>
        <v>2145</v>
      </c>
      <c r="C2850" s="52">
        <f t="shared" si="275"/>
        <v>330</v>
      </c>
      <c r="D2850" s="52">
        <f t="shared" si="273"/>
        <v>2200</v>
      </c>
      <c r="E2850" s="52">
        <f t="shared" si="274"/>
        <v>1</v>
      </c>
      <c r="F2850" s="52"/>
      <c r="G2850" s="52"/>
      <c r="H2850" s="52"/>
      <c r="I2850" s="52"/>
      <c r="J2850" s="52"/>
      <c r="K2850" s="52"/>
      <c r="L2850" s="52"/>
      <c r="M2850" s="52"/>
      <c r="N2850" s="52"/>
      <c r="O2850" s="52"/>
      <c r="P2850" s="52"/>
      <c r="Q2850" s="52"/>
      <c r="R2850" s="52"/>
      <c r="S2850" s="52"/>
      <c r="T2850" s="52"/>
      <c r="U2850" s="52"/>
      <c r="V2850" s="52"/>
      <c r="W2850" s="52"/>
      <c r="X2850" s="52"/>
      <c r="Y2850" s="52"/>
      <c r="Z2850" s="52"/>
      <c r="AA2850" s="52"/>
      <c r="AB2850" s="52"/>
      <c r="AC2850" s="52"/>
      <c r="AD2850" s="52"/>
      <c r="AE2850" s="52"/>
      <c r="AF2850" s="52"/>
      <c r="AG2850" s="52"/>
      <c r="AH2850" s="52"/>
      <c r="AI2850" s="52"/>
      <c r="AJ2850" s="52"/>
      <c r="AK2850" s="52"/>
      <c r="AL2850" s="52"/>
      <c r="AM2850" s="52"/>
      <c r="AN2850" s="52"/>
    </row>
    <row r="2851" spans="1:40" x14ac:dyDescent="0.3">
      <c r="A2851" s="52">
        <v>2846</v>
      </c>
      <c r="B2851" s="52">
        <f>-bthan*500+(45+0.5)*bthan*1000/50</f>
        <v>2255</v>
      </c>
      <c r="C2851" s="52">
        <f t="shared" si="275"/>
        <v>330</v>
      </c>
      <c r="D2851" s="52">
        <f t="shared" si="273"/>
        <v>2200</v>
      </c>
      <c r="E2851" s="52">
        <f t="shared" si="274"/>
        <v>1</v>
      </c>
      <c r="F2851" s="52"/>
      <c r="G2851" s="52"/>
      <c r="H2851" s="52"/>
      <c r="I2851" s="52"/>
      <c r="J2851" s="52"/>
      <c r="K2851" s="52"/>
      <c r="L2851" s="52"/>
      <c r="M2851" s="52"/>
      <c r="N2851" s="52"/>
      <c r="O2851" s="52"/>
      <c r="P2851" s="52"/>
      <c r="Q2851" s="52"/>
      <c r="R2851" s="52"/>
      <c r="S2851" s="52"/>
      <c r="T2851" s="52"/>
      <c r="U2851" s="52"/>
      <c r="V2851" s="52"/>
      <c r="W2851" s="52"/>
      <c r="X2851" s="52"/>
      <c r="Y2851" s="52"/>
      <c r="Z2851" s="52"/>
      <c r="AA2851" s="52"/>
      <c r="AB2851" s="52"/>
      <c r="AC2851" s="52"/>
      <c r="AD2851" s="52"/>
      <c r="AE2851" s="52"/>
      <c r="AF2851" s="52"/>
      <c r="AG2851" s="52"/>
      <c r="AH2851" s="52"/>
      <c r="AI2851" s="52"/>
      <c r="AJ2851" s="52"/>
      <c r="AK2851" s="52"/>
      <c r="AL2851" s="52"/>
      <c r="AM2851" s="52"/>
      <c r="AN2851" s="52"/>
    </row>
    <row r="2852" spans="1:40" x14ac:dyDescent="0.3">
      <c r="A2852" s="52">
        <v>2847</v>
      </c>
      <c r="B2852" s="52">
        <f>-bthan*500+(46+0.5)*bthan*1000/50</f>
        <v>2365</v>
      </c>
      <c r="C2852" s="52">
        <f t="shared" si="275"/>
        <v>330</v>
      </c>
      <c r="D2852" s="52">
        <f t="shared" si="273"/>
        <v>2200</v>
      </c>
      <c r="E2852" s="52">
        <f t="shared" si="274"/>
        <v>1</v>
      </c>
      <c r="F2852" s="52"/>
      <c r="G2852" s="52"/>
      <c r="H2852" s="52"/>
      <c r="I2852" s="52"/>
      <c r="J2852" s="52"/>
      <c r="K2852" s="52"/>
      <c r="L2852" s="52"/>
      <c r="M2852" s="52"/>
      <c r="N2852" s="52"/>
      <c r="O2852" s="52"/>
      <c r="P2852" s="52"/>
      <c r="Q2852" s="52"/>
      <c r="R2852" s="52"/>
      <c r="S2852" s="52"/>
      <c r="T2852" s="52"/>
      <c r="U2852" s="52"/>
      <c r="V2852" s="52"/>
      <c r="W2852" s="52"/>
      <c r="X2852" s="52"/>
      <c r="Y2852" s="52"/>
      <c r="Z2852" s="52"/>
      <c r="AA2852" s="52"/>
      <c r="AB2852" s="52"/>
      <c r="AC2852" s="52"/>
      <c r="AD2852" s="52"/>
      <c r="AE2852" s="52"/>
      <c r="AF2852" s="52"/>
      <c r="AG2852" s="52"/>
      <c r="AH2852" s="52"/>
      <c r="AI2852" s="52"/>
      <c r="AJ2852" s="52"/>
      <c r="AK2852" s="52"/>
      <c r="AL2852" s="52"/>
      <c r="AM2852" s="52"/>
      <c r="AN2852" s="52"/>
    </row>
    <row r="2853" spans="1:40" x14ac:dyDescent="0.3">
      <c r="A2853" s="52">
        <v>2848</v>
      </c>
      <c r="B2853" s="52">
        <f>-bthan*500+(47+0.5)*bthan*1000/50</f>
        <v>2475</v>
      </c>
      <c r="C2853" s="52">
        <f t="shared" si="275"/>
        <v>330</v>
      </c>
      <c r="D2853" s="52">
        <f t="shared" si="273"/>
        <v>2200</v>
      </c>
      <c r="E2853" s="52">
        <f t="shared" si="274"/>
        <v>1</v>
      </c>
      <c r="F2853" s="52"/>
      <c r="G2853" s="52"/>
      <c r="H2853" s="52"/>
      <c r="I2853" s="52"/>
      <c r="J2853" s="52"/>
      <c r="K2853" s="52"/>
      <c r="L2853" s="52"/>
      <c r="M2853" s="52"/>
      <c r="N2853" s="52"/>
      <c r="O2853" s="52"/>
      <c r="P2853" s="52"/>
      <c r="Q2853" s="52"/>
      <c r="R2853" s="52"/>
      <c r="S2853" s="52"/>
      <c r="T2853" s="52"/>
      <c r="U2853" s="52"/>
      <c r="V2853" s="52"/>
      <c r="W2853" s="52"/>
      <c r="X2853" s="52"/>
      <c r="Y2853" s="52"/>
      <c r="Z2853" s="52"/>
      <c r="AA2853" s="52"/>
      <c r="AB2853" s="52"/>
      <c r="AC2853" s="52"/>
      <c r="AD2853" s="52"/>
      <c r="AE2853" s="52"/>
      <c r="AF2853" s="52"/>
      <c r="AG2853" s="52"/>
      <c r="AH2853" s="52"/>
      <c r="AI2853" s="52"/>
      <c r="AJ2853" s="52"/>
      <c r="AK2853" s="52"/>
      <c r="AL2853" s="52"/>
      <c r="AM2853" s="52"/>
      <c r="AN2853" s="52"/>
    </row>
    <row r="2854" spans="1:40" x14ac:dyDescent="0.3">
      <c r="A2854" s="52">
        <v>2849</v>
      </c>
      <c r="B2854" s="52">
        <f>-bthan*500+(48+0.5)*bthan*1000/50</f>
        <v>2585</v>
      </c>
      <c r="C2854" s="52">
        <f t="shared" si="275"/>
        <v>330</v>
      </c>
      <c r="D2854" s="52">
        <f t="shared" si="273"/>
        <v>2200</v>
      </c>
      <c r="E2854" s="52">
        <f t="shared" si="274"/>
        <v>1</v>
      </c>
      <c r="F2854" s="52"/>
      <c r="G2854" s="52"/>
      <c r="H2854" s="52"/>
      <c r="I2854" s="52"/>
      <c r="J2854" s="52"/>
      <c r="K2854" s="52"/>
      <c r="L2854" s="52"/>
      <c r="M2854" s="52"/>
      <c r="N2854" s="52"/>
      <c r="O2854" s="52"/>
      <c r="P2854" s="52"/>
      <c r="Q2854" s="52"/>
      <c r="R2854" s="52"/>
      <c r="S2854" s="52"/>
      <c r="T2854" s="52"/>
      <c r="U2854" s="52"/>
      <c r="V2854" s="52"/>
      <c r="W2854" s="52"/>
      <c r="X2854" s="52"/>
      <c r="Y2854" s="52"/>
      <c r="Z2854" s="52"/>
      <c r="AA2854" s="52"/>
      <c r="AB2854" s="52"/>
      <c r="AC2854" s="52"/>
      <c r="AD2854" s="52"/>
      <c r="AE2854" s="52"/>
      <c r="AF2854" s="52"/>
      <c r="AG2854" s="52"/>
      <c r="AH2854" s="52"/>
      <c r="AI2854" s="52"/>
      <c r="AJ2854" s="52"/>
      <c r="AK2854" s="52"/>
      <c r="AL2854" s="52"/>
      <c r="AM2854" s="52"/>
      <c r="AN2854" s="52"/>
    </row>
    <row r="2855" spans="1:40" x14ac:dyDescent="0.3">
      <c r="A2855" s="52">
        <v>2850</v>
      </c>
      <c r="B2855" s="52">
        <f>-bthan*500+(49+0.5)*bthan*1000/50</f>
        <v>2695</v>
      </c>
      <c r="C2855" s="52">
        <f t="shared" si="275"/>
        <v>330</v>
      </c>
      <c r="D2855" s="52">
        <f t="shared" si="273"/>
        <v>2200</v>
      </c>
      <c r="E2855" s="52">
        <f t="shared" si="274"/>
        <v>0</v>
      </c>
      <c r="F2855" s="52"/>
      <c r="G2855" s="52"/>
      <c r="H2855" s="52"/>
      <c r="I2855" s="52"/>
      <c r="J2855" s="52"/>
      <c r="K2855" s="52"/>
      <c r="L2855" s="52"/>
      <c r="M2855" s="52"/>
      <c r="N2855" s="52"/>
      <c r="O2855" s="52"/>
      <c r="P2855" s="52"/>
      <c r="Q2855" s="52"/>
      <c r="R2855" s="52"/>
      <c r="S2855" s="52"/>
      <c r="T2855" s="52"/>
      <c r="U2855" s="52"/>
      <c r="V2855" s="52"/>
      <c r="W2855" s="52"/>
      <c r="X2855" s="52"/>
      <c r="Y2855" s="52"/>
      <c r="Z2855" s="52"/>
      <c r="AA2855" s="52"/>
      <c r="AB2855" s="52"/>
      <c r="AC2855" s="52"/>
      <c r="AD2855" s="52"/>
      <c r="AE2855" s="52"/>
      <c r="AF2855" s="52"/>
      <c r="AG2855" s="52"/>
      <c r="AH2855" s="52"/>
      <c r="AI2855" s="52"/>
      <c r="AJ2855" s="52"/>
      <c r="AK2855" s="52"/>
      <c r="AL2855" s="52"/>
      <c r="AM2855" s="52"/>
      <c r="AN2855" s="52"/>
    </row>
    <row r="2856" spans="1:40" x14ac:dyDescent="0.3">
      <c r="A2856" s="52">
        <v>2851</v>
      </c>
      <c r="B2856" s="52">
        <f>-bthan*500+(0+0.5)*bthan*1000/50</f>
        <v>-2695</v>
      </c>
      <c r="C2856" s="52">
        <f t="shared" ref="C2856:C2887" si="276">-hthan*500+(57+0.5)*hthan*1000/80</f>
        <v>350</v>
      </c>
      <c r="D2856" s="52">
        <f t="shared" si="273"/>
        <v>2200</v>
      </c>
      <c r="E2856" s="52">
        <f t="shared" si="274"/>
        <v>0</v>
      </c>
      <c r="F2856" s="52"/>
      <c r="G2856" s="52"/>
      <c r="H2856" s="52"/>
      <c r="I2856" s="52"/>
      <c r="J2856" s="52"/>
      <c r="K2856" s="52"/>
      <c r="L2856" s="52"/>
      <c r="M2856" s="52"/>
      <c r="N2856" s="52"/>
      <c r="O2856" s="52"/>
      <c r="P2856" s="52"/>
      <c r="Q2856" s="52"/>
      <c r="R2856" s="52"/>
      <c r="S2856" s="52"/>
      <c r="T2856" s="52"/>
      <c r="U2856" s="52"/>
      <c r="V2856" s="52"/>
      <c r="W2856" s="52"/>
      <c r="X2856" s="52"/>
      <c r="Y2856" s="52"/>
      <c r="Z2856" s="52"/>
      <c r="AA2856" s="52"/>
      <c r="AB2856" s="52"/>
      <c r="AC2856" s="52"/>
      <c r="AD2856" s="52"/>
      <c r="AE2856" s="52"/>
      <c r="AF2856" s="52"/>
      <c r="AG2856" s="52"/>
      <c r="AH2856" s="52"/>
      <c r="AI2856" s="52"/>
      <c r="AJ2856" s="52"/>
      <c r="AK2856" s="52"/>
      <c r="AL2856" s="52"/>
      <c r="AM2856" s="52"/>
      <c r="AN2856" s="52"/>
    </row>
    <row r="2857" spans="1:40" x14ac:dyDescent="0.3">
      <c r="A2857" s="52">
        <v>2852</v>
      </c>
      <c r="B2857" s="52">
        <f>-bthan*500+(1+0.5)*bthan*1000/50</f>
        <v>-2585</v>
      </c>
      <c r="C2857" s="52">
        <f t="shared" si="276"/>
        <v>350</v>
      </c>
      <c r="D2857" s="52">
        <f t="shared" si="273"/>
        <v>2200</v>
      </c>
      <c r="E2857" s="52">
        <f t="shared" si="274"/>
        <v>1</v>
      </c>
      <c r="F2857" s="52"/>
      <c r="G2857" s="52"/>
      <c r="H2857" s="52"/>
      <c r="I2857" s="52"/>
      <c r="J2857" s="52"/>
      <c r="K2857" s="52"/>
      <c r="L2857" s="52"/>
      <c r="M2857" s="52"/>
      <c r="N2857" s="52"/>
      <c r="O2857" s="52"/>
      <c r="P2857" s="52"/>
      <c r="Q2857" s="52"/>
      <c r="R2857" s="52"/>
      <c r="S2857" s="52"/>
      <c r="T2857" s="52"/>
      <c r="U2857" s="52"/>
      <c r="V2857" s="52"/>
      <c r="W2857" s="52"/>
      <c r="X2857" s="52"/>
      <c r="Y2857" s="52"/>
      <c r="Z2857" s="52"/>
      <c r="AA2857" s="52"/>
      <c r="AB2857" s="52"/>
      <c r="AC2857" s="52"/>
      <c r="AD2857" s="52"/>
      <c r="AE2857" s="52"/>
      <c r="AF2857" s="52"/>
      <c r="AG2857" s="52"/>
      <c r="AH2857" s="52"/>
      <c r="AI2857" s="52"/>
      <c r="AJ2857" s="52"/>
      <c r="AK2857" s="52"/>
      <c r="AL2857" s="52"/>
      <c r="AM2857" s="52"/>
      <c r="AN2857" s="52"/>
    </row>
    <row r="2858" spans="1:40" x14ac:dyDescent="0.3">
      <c r="A2858" s="52">
        <v>2853</v>
      </c>
      <c r="B2858" s="52">
        <f>-bthan*500+(2+0.5)*bthan*1000/50</f>
        <v>-2475</v>
      </c>
      <c r="C2858" s="52">
        <f t="shared" si="276"/>
        <v>350</v>
      </c>
      <c r="D2858" s="52">
        <f t="shared" si="273"/>
        <v>2200</v>
      </c>
      <c r="E2858" s="52">
        <f t="shared" si="274"/>
        <v>1</v>
      </c>
      <c r="F2858" s="52"/>
      <c r="G2858" s="52"/>
      <c r="H2858" s="52"/>
      <c r="I2858" s="52"/>
      <c r="J2858" s="52"/>
      <c r="K2858" s="52"/>
      <c r="L2858" s="52"/>
      <c r="M2858" s="52"/>
      <c r="N2858" s="52"/>
      <c r="O2858" s="52"/>
      <c r="P2858" s="52"/>
      <c r="Q2858" s="52"/>
      <c r="R2858" s="52"/>
      <c r="S2858" s="52"/>
      <c r="T2858" s="52"/>
      <c r="U2858" s="52"/>
      <c r="V2858" s="52"/>
      <c r="W2858" s="52"/>
      <c r="X2858" s="52"/>
      <c r="Y2858" s="52"/>
      <c r="Z2858" s="52"/>
      <c r="AA2858" s="52"/>
      <c r="AB2858" s="52"/>
      <c r="AC2858" s="52"/>
      <c r="AD2858" s="52"/>
      <c r="AE2858" s="52"/>
      <c r="AF2858" s="52"/>
      <c r="AG2858" s="52"/>
      <c r="AH2858" s="52"/>
      <c r="AI2858" s="52"/>
      <c r="AJ2858" s="52"/>
      <c r="AK2858" s="52"/>
      <c r="AL2858" s="52"/>
      <c r="AM2858" s="52"/>
      <c r="AN2858" s="52"/>
    </row>
    <row r="2859" spans="1:40" x14ac:dyDescent="0.3">
      <c r="A2859" s="52">
        <v>2854</v>
      </c>
      <c r="B2859" s="52">
        <f>-bthan*500+(3+0.5)*bthan*1000/50</f>
        <v>-2365</v>
      </c>
      <c r="C2859" s="52">
        <f t="shared" si="276"/>
        <v>350</v>
      </c>
      <c r="D2859" s="52">
        <f t="shared" si="273"/>
        <v>2200</v>
      </c>
      <c r="E2859" s="52">
        <f t="shared" si="274"/>
        <v>1</v>
      </c>
      <c r="F2859" s="52"/>
      <c r="G2859" s="52"/>
      <c r="H2859" s="52"/>
      <c r="I2859" s="52"/>
      <c r="J2859" s="52"/>
      <c r="K2859" s="52"/>
      <c r="L2859" s="52"/>
      <c r="M2859" s="52"/>
      <c r="N2859" s="52"/>
      <c r="O2859" s="52"/>
      <c r="P2859" s="52"/>
      <c r="Q2859" s="52"/>
      <c r="R2859" s="52"/>
      <c r="S2859" s="52"/>
      <c r="T2859" s="52"/>
      <c r="U2859" s="52"/>
      <c r="V2859" s="52"/>
      <c r="W2859" s="52"/>
      <c r="X2859" s="52"/>
      <c r="Y2859" s="52"/>
      <c r="Z2859" s="52"/>
      <c r="AA2859" s="52"/>
      <c r="AB2859" s="52"/>
      <c r="AC2859" s="52"/>
      <c r="AD2859" s="52"/>
      <c r="AE2859" s="52"/>
      <c r="AF2859" s="52"/>
      <c r="AG2859" s="52"/>
      <c r="AH2859" s="52"/>
      <c r="AI2859" s="52"/>
      <c r="AJ2859" s="52"/>
      <c r="AK2859" s="52"/>
      <c r="AL2859" s="52"/>
      <c r="AM2859" s="52"/>
      <c r="AN2859" s="52"/>
    </row>
    <row r="2860" spans="1:40" x14ac:dyDescent="0.3">
      <c r="A2860" s="52">
        <v>2855</v>
      </c>
      <c r="B2860" s="52">
        <f>-bthan*500+(4+0.5)*bthan*1000/50</f>
        <v>-2255</v>
      </c>
      <c r="C2860" s="52">
        <f t="shared" si="276"/>
        <v>350</v>
      </c>
      <c r="D2860" s="52">
        <f t="shared" si="273"/>
        <v>2200</v>
      </c>
      <c r="E2860" s="52">
        <f t="shared" si="274"/>
        <v>1</v>
      </c>
      <c r="F2860" s="52"/>
      <c r="G2860" s="52"/>
      <c r="H2860" s="52"/>
      <c r="I2860" s="52"/>
      <c r="J2860" s="52"/>
      <c r="K2860" s="52"/>
      <c r="L2860" s="52"/>
      <c r="M2860" s="52"/>
      <c r="N2860" s="52"/>
      <c r="O2860" s="52"/>
      <c r="P2860" s="52"/>
      <c r="Q2860" s="52"/>
      <c r="R2860" s="52"/>
      <c r="S2860" s="52"/>
      <c r="T2860" s="52"/>
      <c r="U2860" s="52"/>
      <c r="V2860" s="52"/>
      <c r="W2860" s="52"/>
      <c r="X2860" s="52"/>
      <c r="Y2860" s="52"/>
      <c r="Z2860" s="52"/>
      <c r="AA2860" s="52"/>
      <c r="AB2860" s="52"/>
      <c r="AC2860" s="52"/>
      <c r="AD2860" s="52"/>
      <c r="AE2860" s="52"/>
      <c r="AF2860" s="52"/>
      <c r="AG2860" s="52"/>
      <c r="AH2860" s="52"/>
      <c r="AI2860" s="52"/>
      <c r="AJ2860" s="52"/>
      <c r="AK2860" s="52"/>
      <c r="AL2860" s="52"/>
      <c r="AM2860" s="52"/>
      <c r="AN2860" s="52"/>
    </row>
    <row r="2861" spans="1:40" x14ac:dyDescent="0.3">
      <c r="A2861" s="52">
        <v>2856</v>
      </c>
      <c r="B2861" s="52">
        <f>-bthan*500+(5+0.5)*bthan*1000/50</f>
        <v>-2145</v>
      </c>
      <c r="C2861" s="52">
        <f t="shared" si="276"/>
        <v>350</v>
      </c>
      <c r="D2861" s="52">
        <f t="shared" si="273"/>
        <v>2200</v>
      </c>
      <c r="E2861" s="52">
        <f t="shared" si="274"/>
        <v>1</v>
      </c>
      <c r="F2861" s="52"/>
      <c r="G2861" s="52"/>
      <c r="H2861" s="52"/>
      <c r="I2861" s="52"/>
      <c r="J2861" s="52"/>
      <c r="K2861" s="52"/>
      <c r="L2861" s="52"/>
      <c r="M2861" s="52"/>
      <c r="N2861" s="52"/>
      <c r="O2861" s="52"/>
      <c r="P2861" s="52"/>
      <c r="Q2861" s="52"/>
      <c r="R2861" s="52"/>
      <c r="S2861" s="52"/>
      <c r="T2861" s="52"/>
      <c r="U2861" s="52"/>
      <c r="V2861" s="52"/>
      <c r="W2861" s="52"/>
      <c r="X2861" s="52"/>
      <c r="Y2861" s="52"/>
      <c r="Z2861" s="52"/>
      <c r="AA2861" s="52"/>
      <c r="AB2861" s="52"/>
      <c r="AC2861" s="52"/>
      <c r="AD2861" s="52"/>
      <c r="AE2861" s="52"/>
      <c r="AF2861" s="52"/>
      <c r="AG2861" s="52"/>
      <c r="AH2861" s="52"/>
      <c r="AI2861" s="52"/>
      <c r="AJ2861" s="52"/>
      <c r="AK2861" s="52"/>
      <c r="AL2861" s="52"/>
      <c r="AM2861" s="52"/>
      <c r="AN2861" s="52"/>
    </row>
    <row r="2862" spans="1:40" x14ac:dyDescent="0.3">
      <c r="A2862" s="52">
        <v>2857</v>
      </c>
      <c r="B2862" s="52">
        <f>-bthan*500+(6+0.5)*bthan*1000/50</f>
        <v>-2035</v>
      </c>
      <c r="C2862" s="52">
        <f t="shared" si="276"/>
        <v>350</v>
      </c>
      <c r="D2862" s="52">
        <f t="shared" si="273"/>
        <v>2200</v>
      </c>
      <c r="E2862" s="52">
        <f t="shared" si="274"/>
        <v>1</v>
      </c>
      <c r="F2862" s="52"/>
      <c r="G2862" s="52"/>
      <c r="H2862" s="52"/>
      <c r="I2862" s="52"/>
      <c r="J2862" s="52"/>
      <c r="K2862" s="52"/>
      <c r="L2862" s="52"/>
      <c r="M2862" s="52"/>
      <c r="N2862" s="52"/>
      <c r="O2862" s="52"/>
      <c r="P2862" s="52"/>
      <c r="Q2862" s="52"/>
      <c r="R2862" s="52"/>
      <c r="S2862" s="52"/>
      <c r="T2862" s="52"/>
      <c r="U2862" s="52"/>
      <c r="V2862" s="52"/>
      <c r="W2862" s="52"/>
      <c r="X2862" s="52"/>
      <c r="Y2862" s="52"/>
      <c r="Z2862" s="52"/>
      <c r="AA2862" s="52"/>
      <c r="AB2862" s="52"/>
      <c r="AC2862" s="52"/>
      <c r="AD2862" s="52"/>
      <c r="AE2862" s="52"/>
      <c r="AF2862" s="52"/>
      <c r="AG2862" s="52"/>
      <c r="AH2862" s="52"/>
      <c r="AI2862" s="52"/>
      <c r="AJ2862" s="52"/>
      <c r="AK2862" s="52"/>
      <c r="AL2862" s="52"/>
      <c r="AM2862" s="52"/>
      <c r="AN2862" s="52"/>
    </row>
    <row r="2863" spans="1:40" x14ac:dyDescent="0.3">
      <c r="A2863" s="52">
        <v>2858</v>
      </c>
      <c r="B2863" s="52">
        <f>-bthan*500+(7+0.5)*bthan*1000/50</f>
        <v>-1925</v>
      </c>
      <c r="C2863" s="52">
        <f t="shared" si="276"/>
        <v>350</v>
      </c>
      <c r="D2863" s="52">
        <f t="shared" si="273"/>
        <v>2200</v>
      </c>
      <c r="E2863" s="52">
        <f t="shared" si="274"/>
        <v>1</v>
      </c>
      <c r="F2863" s="52"/>
      <c r="G2863" s="52"/>
      <c r="H2863" s="52"/>
      <c r="I2863" s="52"/>
      <c r="J2863" s="52"/>
      <c r="K2863" s="52"/>
      <c r="L2863" s="52"/>
      <c r="M2863" s="52"/>
      <c r="N2863" s="52"/>
      <c r="O2863" s="52"/>
      <c r="P2863" s="52"/>
      <c r="Q2863" s="52"/>
      <c r="R2863" s="52"/>
      <c r="S2863" s="52"/>
      <c r="T2863" s="52"/>
      <c r="U2863" s="52"/>
      <c r="V2863" s="52"/>
      <c r="W2863" s="52"/>
      <c r="X2863" s="52"/>
      <c r="Y2863" s="52"/>
      <c r="Z2863" s="52"/>
      <c r="AA2863" s="52"/>
      <c r="AB2863" s="52"/>
      <c r="AC2863" s="52"/>
      <c r="AD2863" s="52"/>
      <c r="AE2863" s="52"/>
      <c r="AF2863" s="52"/>
      <c r="AG2863" s="52"/>
      <c r="AH2863" s="52"/>
      <c r="AI2863" s="52"/>
      <c r="AJ2863" s="52"/>
      <c r="AK2863" s="52"/>
      <c r="AL2863" s="52"/>
      <c r="AM2863" s="52"/>
      <c r="AN2863" s="52"/>
    </row>
    <row r="2864" spans="1:40" x14ac:dyDescent="0.3">
      <c r="A2864" s="52">
        <v>2859</v>
      </c>
      <c r="B2864" s="52">
        <f>-bthan*500+(8+0.5)*bthan*1000/50</f>
        <v>-1815</v>
      </c>
      <c r="C2864" s="52">
        <f t="shared" si="276"/>
        <v>350</v>
      </c>
      <c r="D2864" s="52">
        <f t="shared" si="273"/>
        <v>2200</v>
      </c>
      <c r="E2864" s="52">
        <f t="shared" si="274"/>
        <v>1</v>
      </c>
      <c r="F2864" s="52"/>
      <c r="G2864" s="52"/>
      <c r="H2864" s="52"/>
      <c r="I2864" s="52"/>
      <c r="J2864" s="52"/>
      <c r="K2864" s="52"/>
      <c r="L2864" s="52"/>
      <c r="M2864" s="52"/>
      <c r="N2864" s="52"/>
      <c r="O2864" s="52"/>
      <c r="P2864" s="52"/>
      <c r="Q2864" s="52"/>
      <c r="R2864" s="52"/>
      <c r="S2864" s="52"/>
      <c r="T2864" s="52"/>
      <c r="U2864" s="52"/>
      <c r="V2864" s="52"/>
      <c r="W2864" s="52"/>
      <c r="X2864" s="52"/>
      <c r="Y2864" s="52"/>
      <c r="Z2864" s="52"/>
      <c r="AA2864" s="52"/>
      <c r="AB2864" s="52"/>
      <c r="AC2864" s="52"/>
      <c r="AD2864" s="52"/>
      <c r="AE2864" s="52"/>
      <c r="AF2864" s="52"/>
      <c r="AG2864" s="52"/>
      <c r="AH2864" s="52"/>
      <c r="AI2864" s="52"/>
      <c r="AJ2864" s="52"/>
      <c r="AK2864" s="52"/>
      <c r="AL2864" s="52"/>
      <c r="AM2864" s="52"/>
      <c r="AN2864" s="52"/>
    </row>
    <row r="2865" spans="1:40" x14ac:dyDescent="0.3">
      <c r="A2865" s="52">
        <v>2860</v>
      </c>
      <c r="B2865" s="52">
        <f>-bthan*500+(9+0.5)*bthan*1000/50</f>
        <v>-1705</v>
      </c>
      <c r="C2865" s="52">
        <f t="shared" si="276"/>
        <v>350</v>
      </c>
      <c r="D2865" s="52">
        <f t="shared" si="273"/>
        <v>2200</v>
      </c>
      <c r="E2865" s="52">
        <f t="shared" si="274"/>
        <v>1</v>
      </c>
      <c r="F2865" s="52"/>
      <c r="G2865" s="52"/>
      <c r="H2865" s="52"/>
      <c r="I2865" s="52"/>
      <c r="J2865" s="52"/>
      <c r="K2865" s="52"/>
      <c r="L2865" s="52"/>
      <c r="M2865" s="52"/>
      <c r="N2865" s="52"/>
      <c r="O2865" s="52"/>
      <c r="P2865" s="52"/>
      <c r="Q2865" s="52"/>
      <c r="R2865" s="52"/>
      <c r="S2865" s="52"/>
      <c r="T2865" s="52"/>
      <c r="U2865" s="52"/>
      <c r="V2865" s="52"/>
      <c r="W2865" s="52"/>
      <c r="X2865" s="52"/>
      <c r="Y2865" s="52"/>
      <c r="Z2865" s="52"/>
      <c r="AA2865" s="52"/>
      <c r="AB2865" s="52"/>
      <c r="AC2865" s="52"/>
      <c r="AD2865" s="52"/>
      <c r="AE2865" s="52"/>
      <c r="AF2865" s="52"/>
      <c r="AG2865" s="52"/>
      <c r="AH2865" s="52"/>
      <c r="AI2865" s="52"/>
      <c r="AJ2865" s="52"/>
      <c r="AK2865" s="52"/>
      <c r="AL2865" s="52"/>
      <c r="AM2865" s="52"/>
      <c r="AN2865" s="52"/>
    </row>
    <row r="2866" spans="1:40" x14ac:dyDescent="0.3">
      <c r="A2866" s="52">
        <v>2861</v>
      </c>
      <c r="B2866" s="52">
        <f>-bthan*500+(10+0.5)*bthan*1000/50</f>
        <v>-1595</v>
      </c>
      <c r="C2866" s="52">
        <f t="shared" si="276"/>
        <v>350</v>
      </c>
      <c r="D2866" s="52">
        <f t="shared" si="273"/>
        <v>2200</v>
      </c>
      <c r="E2866" s="52">
        <f t="shared" si="274"/>
        <v>1</v>
      </c>
      <c r="F2866" s="52"/>
      <c r="G2866" s="52"/>
      <c r="H2866" s="52"/>
      <c r="I2866" s="52"/>
      <c r="J2866" s="52"/>
      <c r="K2866" s="52"/>
      <c r="L2866" s="52"/>
      <c r="M2866" s="52"/>
      <c r="N2866" s="52"/>
      <c r="O2866" s="52"/>
      <c r="P2866" s="52"/>
      <c r="Q2866" s="52"/>
      <c r="R2866" s="52"/>
      <c r="S2866" s="52"/>
      <c r="T2866" s="52"/>
      <c r="U2866" s="52"/>
      <c r="V2866" s="52"/>
      <c r="W2866" s="52"/>
      <c r="X2866" s="52"/>
      <c r="Y2866" s="52"/>
      <c r="Z2866" s="52"/>
      <c r="AA2866" s="52"/>
      <c r="AB2866" s="52"/>
      <c r="AC2866" s="52"/>
      <c r="AD2866" s="52"/>
      <c r="AE2866" s="52"/>
      <c r="AF2866" s="52"/>
      <c r="AG2866" s="52"/>
      <c r="AH2866" s="52"/>
      <c r="AI2866" s="52"/>
      <c r="AJ2866" s="52"/>
      <c r="AK2866" s="52"/>
      <c r="AL2866" s="52"/>
      <c r="AM2866" s="52"/>
      <c r="AN2866" s="52"/>
    </row>
    <row r="2867" spans="1:40" x14ac:dyDescent="0.3">
      <c r="A2867" s="52">
        <v>2862</v>
      </c>
      <c r="B2867" s="52">
        <f>-bthan*500+(11+0.5)*bthan*1000/50</f>
        <v>-1485</v>
      </c>
      <c r="C2867" s="52">
        <f t="shared" si="276"/>
        <v>350</v>
      </c>
      <c r="D2867" s="52">
        <f t="shared" si="273"/>
        <v>2200</v>
      </c>
      <c r="E2867" s="52">
        <f t="shared" si="274"/>
        <v>1</v>
      </c>
      <c r="F2867" s="52"/>
      <c r="G2867" s="52"/>
      <c r="H2867" s="52"/>
      <c r="I2867" s="52"/>
      <c r="J2867" s="52"/>
      <c r="K2867" s="52"/>
      <c r="L2867" s="52"/>
      <c r="M2867" s="52"/>
      <c r="N2867" s="52"/>
      <c r="O2867" s="52"/>
      <c r="P2867" s="52"/>
      <c r="Q2867" s="52"/>
      <c r="R2867" s="52"/>
      <c r="S2867" s="52"/>
      <c r="T2867" s="52"/>
      <c r="U2867" s="52"/>
      <c r="V2867" s="52"/>
      <c r="W2867" s="52"/>
      <c r="X2867" s="52"/>
      <c r="Y2867" s="52"/>
      <c r="Z2867" s="52"/>
      <c r="AA2867" s="52"/>
      <c r="AB2867" s="52"/>
      <c r="AC2867" s="52"/>
      <c r="AD2867" s="52"/>
      <c r="AE2867" s="52"/>
      <c r="AF2867" s="52"/>
      <c r="AG2867" s="52"/>
      <c r="AH2867" s="52"/>
      <c r="AI2867" s="52"/>
      <c r="AJ2867" s="52"/>
      <c r="AK2867" s="52"/>
      <c r="AL2867" s="52"/>
      <c r="AM2867" s="52"/>
      <c r="AN2867" s="52"/>
    </row>
    <row r="2868" spans="1:40" x14ac:dyDescent="0.3">
      <c r="A2868" s="52">
        <v>2863</v>
      </c>
      <c r="B2868" s="52">
        <f>-bthan*500+(12+0.5)*bthan*1000/50</f>
        <v>-1375</v>
      </c>
      <c r="C2868" s="52">
        <f t="shared" si="276"/>
        <v>350</v>
      </c>
      <c r="D2868" s="52">
        <f t="shared" si="273"/>
        <v>2200</v>
      </c>
      <c r="E2868" s="52">
        <f t="shared" si="274"/>
        <v>1</v>
      </c>
      <c r="F2868" s="52"/>
      <c r="G2868" s="52"/>
      <c r="H2868" s="52"/>
      <c r="I2868" s="52"/>
      <c r="J2868" s="52"/>
      <c r="K2868" s="52"/>
      <c r="L2868" s="52"/>
      <c r="M2868" s="52"/>
      <c r="N2868" s="52"/>
      <c r="O2868" s="52"/>
      <c r="P2868" s="52"/>
      <c r="Q2868" s="52"/>
      <c r="R2868" s="52"/>
      <c r="S2868" s="52"/>
      <c r="T2868" s="52"/>
      <c r="U2868" s="52"/>
      <c r="V2868" s="52"/>
      <c r="W2868" s="52"/>
      <c r="X2868" s="52"/>
      <c r="Y2868" s="52"/>
      <c r="Z2868" s="52"/>
      <c r="AA2868" s="52"/>
      <c r="AB2868" s="52"/>
      <c r="AC2868" s="52"/>
      <c r="AD2868" s="52"/>
      <c r="AE2868" s="52"/>
      <c r="AF2868" s="52"/>
      <c r="AG2868" s="52"/>
      <c r="AH2868" s="52"/>
      <c r="AI2868" s="52"/>
      <c r="AJ2868" s="52"/>
      <c r="AK2868" s="52"/>
      <c r="AL2868" s="52"/>
      <c r="AM2868" s="52"/>
      <c r="AN2868" s="52"/>
    </row>
    <row r="2869" spans="1:40" x14ac:dyDescent="0.3">
      <c r="A2869" s="52">
        <v>2864</v>
      </c>
      <c r="B2869" s="52">
        <f>-bthan*500+(13+0.5)*bthan*1000/50</f>
        <v>-1265</v>
      </c>
      <c r="C2869" s="52">
        <f t="shared" si="276"/>
        <v>350</v>
      </c>
      <c r="D2869" s="52">
        <f t="shared" si="273"/>
        <v>2200</v>
      </c>
      <c r="E2869" s="52">
        <f t="shared" si="274"/>
        <v>1</v>
      </c>
      <c r="F2869" s="52"/>
      <c r="G2869" s="52"/>
      <c r="H2869" s="52"/>
      <c r="I2869" s="52"/>
      <c r="J2869" s="52"/>
      <c r="K2869" s="52"/>
      <c r="L2869" s="52"/>
      <c r="M2869" s="52"/>
      <c r="N2869" s="52"/>
      <c r="O2869" s="52"/>
      <c r="P2869" s="52"/>
      <c r="Q2869" s="52"/>
      <c r="R2869" s="52"/>
      <c r="S2869" s="52"/>
      <c r="T2869" s="52"/>
      <c r="U2869" s="52"/>
      <c r="V2869" s="52"/>
      <c r="W2869" s="52"/>
      <c r="X2869" s="52"/>
      <c r="Y2869" s="52"/>
      <c r="Z2869" s="52"/>
      <c r="AA2869" s="52"/>
      <c r="AB2869" s="52"/>
      <c r="AC2869" s="52"/>
      <c r="AD2869" s="52"/>
      <c r="AE2869" s="52"/>
      <c r="AF2869" s="52"/>
      <c r="AG2869" s="52"/>
      <c r="AH2869" s="52"/>
      <c r="AI2869" s="52"/>
      <c r="AJ2869" s="52"/>
      <c r="AK2869" s="52"/>
      <c r="AL2869" s="52"/>
      <c r="AM2869" s="52"/>
      <c r="AN2869" s="52"/>
    </row>
    <row r="2870" spans="1:40" x14ac:dyDescent="0.3">
      <c r="A2870" s="52">
        <v>2865</v>
      </c>
      <c r="B2870" s="52">
        <f>-bthan*500+(14+0.5)*bthan*1000/50</f>
        <v>-1155</v>
      </c>
      <c r="C2870" s="52">
        <f t="shared" si="276"/>
        <v>350</v>
      </c>
      <c r="D2870" s="52">
        <f t="shared" si="273"/>
        <v>2200</v>
      </c>
      <c r="E2870" s="52">
        <f t="shared" si="274"/>
        <v>1</v>
      </c>
      <c r="F2870" s="52"/>
      <c r="G2870" s="52"/>
      <c r="H2870" s="52"/>
      <c r="I2870" s="52"/>
      <c r="J2870" s="52"/>
      <c r="K2870" s="52"/>
      <c r="L2870" s="52"/>
      <c r="M2870" s="52"/>
      <c r="N2870" s="52"/>
      <c r="O2870" s="52"/>
      <c r="P2870" s="52"/>
      <c r="Q2870" s="52"/>
      <c r="R2870" s="52"/>
      <c r="S2870" s="52"/>
      <c r="T2870" s="52"/>
      <c r="U2870" s="52"/>
      <c r="V2870" s="52"/>
      <c r="W2870" s="52"/>
      <c r="X2870" s="52"/>
      <c r="Y2870" s="52"/>
      <c r="Z2870" s="52"/>
      <c r="AA2870" s="52"/>
      <c r="AB2870" s="52"/>
      <c r="AC2870" s="52"/>
      <c r="AD2870" s="52"/>
      <c r="AE2870" s="52"/>
      <c r="AF2870" s="52"/>
      <c r="AG2870" s="52"/>
      <c r="AH2870" s="52"/>
      <c r="AI2870" s="52"/>
      <c r="AJ2870" s="52"/>
      <c r="AK2870" s="52"/>
      <c r="AL2870" s="52"/>
      <c r="AM2870" s="52"/>
      <c r="AN2870" s="52"/>
    </row>
    <row r="2871" spans="1:40" x14ac:dyDescent="0.3">
      <c r="A2871" s="52">
        <v>2866</v>
      </c>
      <c r="B2871" s="52">
        <f>-bthan*500+(15+0.5)*bthan*1000/50</f>
        <v>-1045</v>
      </c>
      <c r="C2871" s="52">
        <f t="shared" si="276"/>
        <v>350</v>
      </c>
      <c r="D2871" s="52">
        <f t="shared" si="273"/>
        <v>2200</v>
      </c>
      <c r="E2871" s="52">
        <f t="shared" si="274"/>
        <v>1</v>
      </c>
      <c r="F2871" s="52"/>
      <c r="G2871" s="52"/>
      <c r="H2871" s="52"/>
      <c r="I2871" s="52"/>
      <c r="J2871" s="52"/>
      <c r="K2871" s="52"/>
      <c r="L2871" s="52"/>
      <c r="M2871" s="52"/>
      <c r="N2871" s="52"/>
      <c r="O2871" s="52"/>
      <c r="P2871" s="52"/>
      <c r="Q2871" s="52"/>
      <c r="R2871" s="52"/>
      <c r="S2871" s="52"/>
      <c r="T2871" s="52"/>
      <c r="U2871" s="52"/>
      <c r="V2871" s="52"/>
      <c r="W2871" s="52"/>
      <c r="X2871" s="52"/>
      <c r="Y2871" s="52"/>
      <c r="Z2871" s="52"/>
      <c r="AA2871" s="52"/>
      <c r="AB2871" s="52"/>
      <c r="AC2871" s="52"/>
      <c r="AD2871" s="52"/>
      <c r="AE2871" s="52"/>
      <c r="AF2871" s="52"/>
      <c r="AG2871" s="52"/>
      <c r="AH2871" s="52"/>
      <c r="AI2871" s="52"/>
      <c r="AJ2871" s="52"/>
      <c r="AK2871" s="52"/>
      <c r="AL2871" s="52"/>
      <c r="AM2871" s="52"/>
      <c r="AN2871" s="52"/>
    </row>
    <row r="2872" spans="1:40" x14ac:dyDescent="0.3">
      <c r="A2872" s="52">
        <v>2867</v>
      </c>
      <c r="B2872" s="52">
        <f>-bthan*500+(16+0.5)*bthan*1000/50</f>
        <v>-935</v>
      </c>
      <c r="C2872" s="52">
        <f t="shared" si="276"/>
        <v>350</v>
      </c>
      <c r="D2872" s="52">
        <f t="shared" si="273"/>
        <v>2200</v>
      </c>
      <c r="E2872" s="52">
        <f t="shared" si="274"/>
        <v>1</v>
      </c>
      <c r="F2872" s="52"/>
      <c r="G2872" s="52"/>
      <c r="H2872" s="52"/>
      <c r="I2872" s="52"/>
      <c r="J2872" s="52"/>
      <c r="K2872" s="52"/>
      <c r="L2872" s="52"/>
      <c r="M2872" s="52"/>
      <c r="N2872" s="52"/>
      <c r="O2872" s="52"/>
      <c r="P2872" s="52"/>
      <c r="Q2872" s="52"/>
      <c r="R2872" s="52"/>
      <c r="S2872" s="52"/>
      <c r="T2872" s="52"/>
      <c r="U2872" s="52"/>
      <c r="V2872" s="52"/>
      <c r="W2872" s="52"/>
      <c r="X2872" s="52"/>
      <c r="Y2872" s="52"/>
      <c r="Z2872" s="52"/>
      <c r="AA2872" s="52"/>
      <c r="AB2872" s="52"/>
      <c r="AC2872" s="52"/>
      <c r="AD2872" s="52"/>
      <c r="AE2872" s="52"/>
      <c r="AF2872" s="52"/>
      <c r="AG2872" s="52"/>
      <c r="AH2872" s="52"/>
      <c r="AI2872" s="52"/>
      <c r="AJ2872" s="52"/>
      <c r="AK2872" s="52"/>
      <c r="AL2872" s="52"/>
      <c r="AM2872" s="52"/>
      <c r="AN2872" s="52"/>
    </row>
    <row r="2873" spans="1:40" x14ac:dyDescent="0.3">
      <c r="A2873" s="52">
        <v>2868</v>
      </c>
      <c r="B2873" s="52">
        <f>-bthan*500+(17+0.5)*bthan*1000/50</f>
        <v>-825</v>
      </c>
      <c r="C2873" s="52">
        <f t="shared" si="276"/>
        <v>350</v>
      </c>
      <c r="D2873" s="52">
        <f t="shared" si="273"/>
        <v>2200</v>
      </c>
      <c r="E2873" s="52">
        <f t="shared" si="274"/>
        <v>1</v>
      </c>
      <c r="F2873" s="52"/>
      <c r="G2873" s="52"/>
      <c r="H2873" s="52"/>
      <c r="I2873" s="52"/>
      <c r="J2873" s="52"/>
      <c r="K2873" s="52"/>
      <c r="L2873" s="52"/>
      <c r="M2873" s="52"/>
      <c r="N2873" s="52"/>
      <c r="O2873" s="52"/>
      <c r="P2873" s="52"/>
      <c r="Q2873" s="52"/>
      <c r="R2873" s="52"/>
      <c r="S2873" s="52"/>
      <c r="T2873" s="52"/>
      <c r="U2873" s="52"/>
      <c r="V2873" s="52"/>
      <c r="W2873" s="52"/>
      <c r="X2873" s="52"/>
      <c r="Y2873" s="52"/>
      <c r="Z2873" s="52"/>
      <c r="AA2873" s="52"/>
      <c r="AB2873" s="52"/>
      <c r="AC2873" s="52"/>
      <c r="AD2873" s="52"/>
      <c r="AE2873" s="52"/>
      <c r="AF2873" s="52"/>
      <c r="AG2873" s="52"/>
      <c r="AH2873" s="52"/>
      <c r="AI2873" s="52"/>
      <c r="AJ2873" s="52"/>
      <c r="AK2873" s="52"/>
      <c r="AL2873" s="52"/>
      <c r="AM2873" s="52"/>
      <c r="AN2873" s="52"/>
    </row>
    <row r="2874" spans="1:40" x14ac:dyDescent="0.3">
      <c r="A2874" s="52">
        <v>2869</v>
      </c>
      <c r="B2874" s="52">
        <f>-bthan*500+(18+0.5)*bthan*1000/50</f>
        <v>-715</v>
      </c>
      <c r="C2874" s="52">
        <f t="shared" si="276"/>
        <v>350</v>
      </c>
      <c r="D2874" s="52">
        <f t="shared" si="273"/>
        <v>2200</v>
      </c>
      <c r="E2874" s="52">
        <f t="shared" si="274"/>
        <v>1</v>
      </c>
      <c r="F2874" s="52"/>
      <c r="G2874" s="52"/>
      <c r="H2874" s="52"/>
      <c r="I2874" s="52"/>
      <c r="J2874" s="52"/>
      <c r="K2874" s="52"/>
      <c r="L2874" s="52"/>
      <c r="M2874" s="52"/>
      <c r="N2874" s="52"/>
      <c r="O2874" s="52"/>
      <c r="P2874" s="52"/>
      <c r="Q2874" s="52"/>
      <c r="R2874" s="52"/>
      <c r="S2874" s="52"/>
      <c r="T2874" s="52"/>
      <c r="U2874" s="52"/>
      <c r="V2874" s="52"/>
      <c r="W2874" s="52"/>
      <c r="X2874" s="52"/>
      <c r="Y2874" s="52"/>
      <c r="Z2874" s="52"/>
      <c r="AA2874" s="52"/>
      <c r="AB2874" s="52"/>
      <c r="AC2874" s="52"/>
      <c r="AD2874" s="52"/>
      <c r="AE2874" s="52"/>
      <c r="AF2874" s="52"/>
      <c r="AG2874" s="52"/>
      <c r="AH2874" s="52"/>
      <c r="AI2874" s="52"/>
      <c r="AJ2874" s="52"/>
      <c r="AK2874" s="52"/>
      <c r="AL2874" s="52"/>
      <c r="AM2874" s="52"/>
      <c r="AN2874" s="52"/>
    </row>
    <row r="2875" spans="1:40" x14ac:dyDescent="0.3">
      <c r="A2875" s="52">
        <v>2870</v>
      </c>
      <c r="B2875" s="52">
        <f>-bthan*500+(19+0.5)*bthan*1000/50</f>
        <v>-605</v>
      </c>
      <c r="C2875" s="52">
        <f t="shared" si="276"/>
        <v>350</v>
      </c>
      <c r="D2875" s="52">
        <f t="shared" si="273"/>
        <v>2200</v>
      </c>
      <c r="E2875" s="52">
        <f t="shared" si="274"/>
        <v>1</v>
      </c>
      <c r="F2875" s="52"/>
      <c r="G2875" s="52"/>
      <c r="H2875" s="52"/>
      <c r="I2875" s="52"/>
      <c r="J2875" s="52"/>
      <c r="K2875" s="52"/>
      <c r="L2875" s="52"/>
      <c r="M2875" s="52"/>
      <c r="N2875" s="52"/>
      <c r="O2875" s="52"/>
      <c r="P2875" s="52"/>
      <c r="Q2875" s="52"/>
      <c r="R2875" s="52"/>
      <c r="S2875" s="52"/>
      <c r="T2875" s="52"/>
      <c r="U2875" s="52"/>
      <c r="V2875" s="52"/>
      <c r="W2875" s="52"/>
      <c r="X2875" s="52"/>
      <c r="Y2875" s="52"/>
      <c r="Z2875" s="52"/>
      <c r="AA2875" s="52"/>
      <c r="AB2875" s="52"/>
      <c r="AC2875" s="52"/>
      <c r="AD2875" s="52"/>
      <c r="AE2875" s="52"/>
      <c r="AF2875" s="52"/>
      <c r="AG2875" s="52"/>
      <c r="AH2875" s="52"/>
      <c r="AI2875" s="52"/>
      <c r="AJ2875" s="52"/>
      <c r="AK2875" s="52"/>
      <c r="AL2875" s="52"/>
      <c r="AM2875" s="52"/>
      <c r="AN2875" s="52"/>
    </row>
    <row r="2876" spans="1:40" x14ac:dyDescent="0.3">
      <c r="A2876" s="52">
        <v>2871</v>
      </c>
      <c r="B2876" s="52">
        <f>-bthan*500+(20+0.5)*bthan*1000/50</f>
        <v>-495</v>
      </c>
      <c r="C2876" s="52">
        <f t="shared" si="276"/>
        <v>350</v>
      </c>
      <c r="D2876" s="52">
        <f t="shared" si="273"/>
        <v>2200</v>
      </c>
      <c r="E2876" s="52">
        <f t="shared" si="274"/>
        <v>1</v>
      </c>
      <c r="F2876" s="52"/>
      <c r="G2876" s="52"/>
      <c r="H2876" s="52"/>
      <c r="I2876" s="52"/>
      <c r="J2876" s="52"/>
      <c r="K2876" s="52"/>
      <c r="L2876" s="52"/>
      <c r="M2876" s="52"/>
      <c r="N2876" s="52"/>
      <c r="O2876" s="52"/>
      <c r="P2876" s="52"/>
      <c r="Q2876" s="52"/>
      <c r="R2876" s="52"/>
      <c r="S2876" s="52"/>
      <c r="T2876" s="52"/>
      <c r="U2876" s="52"/>
      <c r="V2876" s="52"/>
      <c r="W2876" s="52"/>
      <c r="X2876" s="52"/>
      <c r="Y2876" s="52"/>
      <c r="Z2876" s="52"/>
      <c r="AA2876" s="52"/>
      <c r="AB2876" s="52"/>
      <c r="AC2876" s="52"/>
      <c r="AD2876" s="52"/>
      <c r="AE2876" s="52"/>
      <c r="AF2876" s="52"/>
      <c r="AG2876" s="52"/>
      <c r="AH2876" s="52"/>
      <c r="AI2876" s="52"/>
      <c r="AJ2876" s="52"/>
      <c r="AK2876" s="52"/>
      <c r="AL2876" s="52"/>
      <c r="AM2876" s="52"/>
      <c r="AN2876" s="52"/>
    </row>
    <row r="2877" spans="1:40" x14ac:dyDescent="0.3">
      <c r="A2877" s="52">
        <v>2872</v>
      </c>
      <c r="B2877" s="52">
        <f>-bthan*500+(21+0.5)*bthan*1000/50</f>
        <v>-385</v>
      </c>
      <c r="C2877" s="52">
        <f t="shared" si="276"/>
        <v>350</v>
      </c>
      <c r="D2877" s="52">
        <f t="shared" si="273"/>
        <v>2200</v>
      </c>
      <c r="E2877" s="52">
        <f t="shared" si="274"/>
        <v>1</v>
      </c>
      <c r="F2877" s="52"/>
      <c r="G2877" s="52"/>
      <c r="H2877" s="52"/>
      <c r="I2877" s="52"/>
      <c r="J2877" s="52"/>
      <c r="K2877" s="52"/>
      <c r="L2877" s="52"/>
      <c r="M2877" s="52"/>
      <c r="N2877" s="52"/>
      <c r="O2877" s="52"/>
      <c r="P2877" s="52"/>
      <c r="Q2877" s="52"/>
      <c r="R2877" s="52"/>
      <c r="S2877" s="52"/>
      <c r="T2877" s="52"/>
      <c r="U2877" s="52"/>
      <c r="V2877" s="52"/>
      <c r="W2877" s="52"/>
      <c r="X2877" s="52"/>
      <c r="Y2877" s="52"/>
      <c r="Z2877" s="52"/>
      <c r="AA2877" s="52"/>
      <c r="AB2877" s="52"/>
      <c r="AC2877" s="52"/>
      <c r="AD2877" s="52"/>
      <c r="AE2877" s="52"/>
      <c r="AF2877" s="52"/>
      <c r="AG2877" s="52"/>
      <c r="AH2877" s="52"/>
      <c r="AI2877" s="52"/>
      <c r="AJ2877" s="52"/>
      <c r="AK2877" s="52"/>
      <c r="AL2877" s="52"/>
      <c r="AM2877" s="52"/>
      <c r="AN2877" s="52"/>
    </row>
    <row r="2878" spans="1:40" x14ac:dyDescent="0.3">
      <c r="A2878" s="52">
        <v>2873</v>
      </c>
      <c r="B2878" s="52">
        <f>-bthan*500+(22+0.5)*bthan*1000/50</f>
        <v>-275</v>
      </c>
      <c r="C2878" s="52">
        <f t="shared" si="276"/>
        <v>350</v>
      </c>
      <c r="D2878" s="52">
        <f t="shared" si="273"/>
        <v>2200</v>
      </c>
      <c r="E2878" s="52">
        <f t="shared" si="274"/>
        <v>1</v>
      </c>
      <c r="F2878" s="52"/>
      <c r="G2878" s="52"/>
      <c r="H2878" s="52"/>
      <c r="I2878" s="52"/>
      <c r="J2878" s="52"/>
      <c r="K2878" s="52"/>
      <c r="L2878" s="52"/>
      <c r="M2878" s="52"/>
      <c r="N2878" s="52"/>
      <c r="O2878" s="52"/>
      <c r="P2878" s="52"/>
      <c r="Q2878" s="52"/>
      <c r="R2878" s="52"/>
      <c r="S2878" s="52"/>
      <c r="T2878" s="52"/>
      <c r="U2878" s="52"/>
      <c r="V2878" s="52"/>
      <c r="W2878" s="52"/>
      <c r="X2878" s="52"/>
      <c r="Y2878" s="52"/>
      <c r="Z2878" s="52"/>
      <c r="AA2878" s="52"/>
      <c r="AB2878" s="52"/>
      <c r="AC2878" s="52"/>
      <c r="AD2878" s="52"/>
      <c r="AE2878" s="52"/>
      <c r="AF2878" s="52"/>
      <c r="AG2878" s="52"/>
      <c r="AH2878" s="52"/>
      <c r="AI2878" s="52"/>
      <c r="AJ2878" s="52"/>
      <c r="AK2878" s="52"/>
      <c r="AL2878" s="52"/>
      <c r="AM2878" s="52"/>
      <c r="AN2878" s="52"/>
    </row>
    <row r="2879" spans="1:40" x14ac:dyDescent="0.3">
      <c r="A2879" s="52">
        <v>2874</v>
      </c>
      <c r="B2879" s="52">
        <f>-bthan*500+(23+0.5)*bthan*1000/50</f>
        <v>-165</v>
      </c>
      <c r="C2879" s="52">
        <f t="shared" si="276"/>
        <v>350</v>
      </c>
      <c r="D2879" s="52">
        <f t="shared" si="273"/>
        <v>2200</v>
      </c>
      <c r="E2879" s="52">
        <f t="shared" si="274"/>
        <v>1</v>
      </c>
      <c r="F2879" s="52"/>
      <c r="G2879" s="52"/>
      <c r="H2879" s="52"/>
      <c r="I2879" s="52"/>
      <c r="J2879" s="52"/>
      <c r="K2879" s="52"/>
      <c r="L2879" s="52"/>
      <c r="M2879" s="52"/>
      <c r="N2879" s="52"/>
      <c r="O2879" s="52"/>
      <c r="P2879" s="52"/>
      <c r="Q2879" s="52"/>
      <c r="R2879" s="52"/>
      <c r="S2879" s="52"/>
      <c r="T2879" s="52"/>
      <c r="U2879" s="52"/>
      <c r="V2879" s="52"/>
      <c r="W2879" s="52"/>
      <c r="X2879" s="52"/>
      <c r="Y2879" s="52"/>
      <c r="Z2879" s="52"/>
      <c r="AA2879" s="52"/>
      <c r="AB2879" s="52"/>
      <c r="AC2879" s="52"/>
      <c r="AD2879" s="52"/>
      <c r="AE2879" s="52"/>
      <c r="AF2879" s="52"/>
      <c r="AG2879" s="52"/>
      <c r="AH2879" s="52"/>
      <c r="AI2879" s="52"/>
      <c r="AJ2879" s="52"/>
      <c r="AK2879" s="52"/>
      <c r="AL2879" s="52"/>
      <c r="AM2879" s="52"/>
      <c r="AN2879" s="52"/>
    </row>
    <row r="2880" spans="1:40" x14ac:dyDescent="0.3">
      <c r="A2880" s="52">
        <v>2875</v>
      </c>
      <c r="B2880" s="52">
        <f>-bthan*500+(24+0.5)*bthan*1000/50</f>
        <v>-55</v>
      </c>
      <c r="C2880" s="52">
        <f t="shared" si="276"/>
        <v>350</v>
      </c>
      <c r="D2880" s="52">
        <f t="shared" si="273"/>
        <v>2200</v>
      </c>
      <c r="E2880" s="52">
        <f t="shared" si="274"/>
        <v>1</v>
      </c>
      <c r="F2880" s="52"/>
      <c r="G2880" s="52"/>
      <c r="H2880" s="52"/>
      <c r="I2880" s="52"/>
      <c r="J2880" s="52"/>
      <c r="K2880" s="52"/>
      <c r="L2880" s="52"/>
      <c r="M2880" s="52"/>
      <c r="N2880" s="52"/>
      <c r="O2880" s="52"/>
      <c r="P2880" s="52"/>
      <c r="Q2880" s="52"/>
      <c r="R2880" s="52"/>
      <c r="S2880" s="52"/>
      <c r="T2880" s="52"/>
      <c r="U2880" s="52"/>
      <c r="V2880" s="52"/>
      <c r="W2880" s="52"/>
      <c r="X2880" s="52"/>
      <c r="Y2880" s="52"/>
      <c r="Z2880" s="52"/>
      <c r="AA2880" s="52"/>
      <c r="AB2880" s="52"/>
      <c r="AC2880" s="52"/>
      <c r="AD2880" s="52"/>
      <c r="AE2880" s="52"/>
      <c r="AF2880" s="52"/>
      <c r="AG2880" s="52"/>
      <c r="AH2880" s="52"/>
      <c r="AI2880" s="52"/>
      <c r="AJ2880" s="52"/>
      <c r="AK2880" s="52"/>
      <c r="AL2880" s="52"/>
      <c r="AM2880" s="52"/>
      <c r="AN2880" s="52"/>
    </row>
    <row r="2881" spans="1:40" x14ac:dyDescent="0.3">
      <c r="A2881" s="52">
        <v>2876</v>
      </c>
      <c r="B2881" s="52">
        <f>-bthan*500+(25+0.5)*bthan*1000/50</f>
        <v>55</v>
      </c>
      <c r="C2881" s="52">
        <f t="shared" si="276"/>
        <v>350</v>
      </c>
      <c r="D2881" s="52">
        <f t="shared" si="273"/>
        <v>2200</v>
      </c>
      <c r="E2881" s="52">
        <f t="shared" si="274"/>
        <v>1</v>
      </c>
      <c r="F2881" s="52"/>
      <c r="G2881" s="52"/>
      <c r="H2881" s="52"/>
      <c r="I2881" s="52"/>
      <c r="J2881" s="52"/>
      <c r="K2881" s="52"/>
      <c r="L2881" s="52"/>
      <c r="M2881" s="52"/>
      <c r="N2881" s="52"/>
      <c r="O2881" s="52"/>
      <c r="P2881" s="52"/>
      <c r="Q2881" s="52"/>
      <c r="R2881" s="52"/>
      <c r="S2881" s="52"/>
      <c r="T2881" s="52"/>
      <c r="U2881" s="52"/>
      <c r="V2881" s="52"/>
      <c r="W2881" s="52"/>
      <c r="X2881" s="52"/>
      <c r="Y2881" s="52"/>
      <c r="Z2881" s="52"/>
      <c r="AA2881" s="52"/>
      <c r="AB2881" s="52"/>
      <c r="AC2881" s="52"/>
      <c r="AD2881" s="52"/>
      <c r="AE2881" s="52"/>
      <c r="AF2881" s="52"/>
      <c r="AG2881" s="52"/>
      <c r="AH2881" s="52"/>
      <c r="AI2881" s="52"/>
      <c r="AJ2881" s="52"/>
      <c r="AK2881" s="52"/>
      <c r="AL2881" s="52"/>
      <c r="AM2881" s="52"/>
      <c r="AN2881" s="52"/>
    </row>
    <row r="2882" spans="1:40" x14ac:dyDescent="0.3">
      <c r="A2882" s="52">
        <v>2877</v>
      </c>
      <c r="B2882" s="52">
        <f>-bthan*500+(26+0.5)*bthan*1000/50</f>
        <v>165</v>
      </c>
      <c r="C2882" s="52">
        <f t="shared" si="276"/>
        <v>350</v>
      </c>
      <c r="D2882" s="52">
        <f t="shared" si="273"/>
        <v>2200</v>
      </c>
      <c r="E2882" s="52">
        <f t="shared" si="274"/>
        <v>1</v>
      </c>
      <c r="F2882" s="52"/>
      <c r="G2882" s="52"/>
      <c r="H2882" s="52"/>
      <c r="I2882" s="52"/>
      <c r="J2882" s="52"/>
      <c r="K2882" s="52"/>
      <c r="L2882" s="52"/>
      <c r="M2882" s="52"/>
      <c r="N2882" s="52"/>
      <c r="O2882" s="52"/>
      <c r="P2882" s="52"/>
      <c r="Q2882" s="52"/>
      <c r="R2882" s="52"/>
      <c r="S2882" s="52"/>
      <c r="T2882" s="52"/>
      <c r="U2882" s="52"/>
      <c r="V2882" s="52"/>
      <c r="W2882" s="52"/>
      <c r="X2882" s="52"/>
      <c r="Y2882" s="52"/>
      <c r="Z2882" s="52"/>
      <c r="AA2882" s="52"/>
      <c r="AB2882" s="52"/>
      <c r="AC2882" s="52"/>
      <c r="AD2882" s="52"/>
      <c r="AE2882" s="52"/>
      <c r="AF2882" s="52"/>
      <c r="AG2882" s="52"/>
      <c r="AH2882" s="52"/>
      <c r="AI2882" s="52"/>
      <c r="AJ2882" s="52"/>
      <c r="AK2882" s="52"/>
      <c r="AL2882" s="52"/>
      <c r="AM2882" s="52"/>
      <c r="AN2882" s="52"/>
    </row>
    <row r="2883" spans="1:40" x14ac:dyDescent="0.3">
      <c r="A2883" s="52">
        <v>2878</v>
      </c>
      <c r="B2883" s="52">
        <f>-bthan*500+(27+0.5)*bthan*1000/50</f>
        <v>275</v>
      </c>
      <c r="C2883" s="52">
        <f t="shared" si="276"/>
        <v>350</v>
      </c>
      <c r="D2883" s="52">
        <f t="shared" si="273"/>
        <v>2200</v>
      </c>
      <c r="E2883" s="52">
        <f t="shared" si="274"/>
        <v>1</v>
      </c>
      <c r="F2883" s="52"/>
      <c r="G2883" s="52"/>
      <c r="H2883" s="52"/>
      <c r="I2883" s="52"/>
      <c r="J2883" s="52"/>
      <c r="K2883" s="52"/>
      <c r="L2883" s="52"/>
      <c r="M2883" s="52"/>
      <c r="N2883" s="52"/>
      <c r="O2883" s="52"/>
      <c r="P2883" s="52"/>
      <c r="Q2883" s="52"/>
      <c r="R2883" s="52"/>
      <c r="S2883" s="52"/>
      <c r="T2883" s="52"/>
      <c r="U2883" s="52"/>
      <c r="V2883" s="52"/>
      <c r="W2883" s="52"/>
      <c r="X2883" s="52"/>
      <c r="Y2883" s="52"/>
      <c r="Z2883" s="52"/>
      <c r="AA2883" s="52"/>
      <c r="AB2883" s="52"/>
      <c r="AC2883" s="52"/>
      <c r="AD2883" s="52"/>
      <c r="AE2883" s="52"/>
      <c r="AF2883" s="52"/>
      <c r="AG2883" s="52"/>
      <c r="AH2883" s="52"/>
      <c r="AI2883" s="52"/>
      <c r="AJ2883" s="52"/>
      <c r="AK2883" s="52"/>
      <c r="AL2883" s="52"/>
      <c r="AM2883" s="52"/>
      <c r="AN2883" s="52"/>
    </row>
    <row r="2884" spans="1:40" x14ac:dyDescent="0.3">
      <c r="A2884" s="52">
        <v>2879</v>
      </c>
      <c r="B2884" s="52">
        <f>-bthan*500+(28+0.5)*bthan*1000/50</f>
        <v>385</v>
      </c>
      <c r="C2884" s="52">
        <f t="shared" si="276"/>
        <v>350</v>
      </c>
      <c r="D2884" s="52">
        <f t="shared" si="273"/>
        <v>2200</v>
      </c>
      <c r="E2884" s="52">
        <f t="shared" si="274"/>
        <v>1</v>
      </c>
      <c r="F2884" s="52"/>
      <c r="G2884" s="52"/>
      <c r="H2884" s="52"/>
      <c r="I2884" s="52"/>
      <c r="J2884" s="52"/>
      <c r="K2884" s="52"/>
      <c r="L2884" s="52"/>
      <c r="M2884" s="52"/>
      <c r="N2884" s="52"/>
      <c r="O2884" s="52"/>
      <c r="P2884" s="52"/>
      <c r="Q2884" s="52"/>
      <c r="R2884" s="52"/>
      <c r="S2884" s="52"/>
      <c r="T2884" s="52"/>
      <c r="U2884" s="52"/>
      <c r="V2884" s="52"/>
      <c r="W2884" s="52"/>
      <c r="X2884" s="52"/>
      <c r="Y2884" s="52"/>
      <c r="Z2884" s="52"/>
      <c r="AA2884" s="52"/>
      <c r="AB2884" s="52"/>
      <c r="AC2884" s="52"/>
      <c r="AD2884" s="52"/>
      <c r="AE2884" s="52"/>
      <c r="AF2884" s="52"/>
      <c r="AG2884" s="52"/>
      <c r="AH2884" s="52"/>
      <c r="AI2884" s="52"/>
      <c r="AJ2884" s="52"/>
      <c r="AK2884" s="52"/>
      <c r="AL2884" s="52"/>
      <c r="AM2884" s="52"/>
      <c r="AN2884" s="52"/>
    </row>
    <row r="2885" spans="1:40" x14ac:dyDescent="0.3">
      <c r="A2885" s="52">
        <v>2880</v>
      </c>
      <c r="B2885" s="52">
        <f>-bthan*500+(29+0.5)*bthan*1000/50</f>
        <v>495</v>
      </c>
      <c r="C2885" s="52">
        <f t="shared" si="276"/>
        <v>350</v>
      </c>
      <c r="D2885" s="52">
        <f t="shared" si="273"/>
        <v>2200</v>
      </c>
      <c r="E2885" s="52">
        <f t="shared" si="274"/>
        <v>1</v>
      </c>
      <c r="F2885" s="52"/>
      <c r="G2885" s="52"/>
      <c r="H2885" s="52"/>
      <c r="I2885" s="52"/>
      <c r="J2885" s="52"/>
      <c r="K2885" s="52"/>
      <c r="L2885" s="52"/>
      <c r="M2885" s="52"/>
      <c r="N2885" s="52"/>
      <c r="O2885" s="52"/>
      <c r="P2885" s="52"/>
      <c r="Q2885" s="52"/>
      <c r="R2885" s="52"/>
      <c r="S2885" s="52"/>
      <c r="T2885" s="52"/>
      <c r="U2885" s="52"/>
      <c r="V2885" s="52"/>
      <c r="W2885" s="52"/>
      <c r="X2885" s="52"/>
      <c r="Y2885" s="52"/>
      <c r="Z2885" s="52"/>
      <c r="AA2885" s="52"/>
      <c r="AB2885" s="52"/>
      <c r="AC2885" s="52"/>
      <c r="AD2885" s="52"/>
      <c r="AE2885" s="52"/>
      <c r="AF2885" s="52"/>
      <c r="AG2885" s="52"/>
      <c r="AH2885" s="52"/>
      <c r="AI2885" s="52"/>
      <c r="AJ2885" s="52"/>
      <c r="AK2885" s="52"/>
      <c r="AL2885" s="52"/>
      <c r="AM2885" s="52"/>
      <c r="AN2885" s="52"/>
    </row>
    <row r="2886" spans="1:40" x14ac:dyDescent="0.3">
      <c r="A2886" s="52">
        <v>2881</v>
      </c>
      <c r="B2886" s="52">
        <f>-bthan*500+(30+0.5)*bthan*1000/50</f>
        <v>605</v>
      </c>
      <c r="C2886" s="52">
        <f t="shared" si="276"/>
        <v>350</v>
      </c>
      <c r="D2886" s="52">
        <f t="shared" ref="D2886:D2949" si="277">bthan*1000/50*hthan*1000/80</f>
        <v>2200</v>
      </c>
      <c r="E2886" s="52">
        <f t="shared" ref="E2886:E2949" si="278">IF(shp=1,--(OR(ABS(B2886)&lt;=MAX(0,(bthan-hthan)*500),(ABS(B2886)-MAX(0,(bthan-hthan)*500))^2+C2886^2&lt;=(hthan*500)^2)),--(AND(ABS(B2886)&lt;=bthan*500,ABS(C2886)&lt;=hthan*500,OR(ABS(B2886)&lt;=bthan*500-cch*1000,ABS(C2886)&lt;=hthan*500-cch*1000,(bthan*500-ABS(B2886))+(hthan*500-ABS(C2886))&gt;=cch*1000))))</f>
        <v>1</v>
      </c>
      <c r="F2886" s="52"/>
      <c r="G2886" s="52"/>
      <c r="H2886" s="52"/>
      <c r="I2886" s="52"/>
      <c r="J2886" s="52"/>
      <c r="K2886" s="52"/>
      <c r="L2886" s="52"/>
      <c r="M2886" s="52"/>
      <c r="N2886" s="52"/>
      <c r="O2886" s="52"/>
      <c r="P2886" s="52"/>
      <c r="Q2886" s="52"/>
      <c r="R2886" s="52"/>
      <c r="S2886" s="52"/>
      <c r="T2886" s="52"/>
      <c r="U2886" s="52"/>
      <c r="V2886" s="52"/>
      <c r="W2886" s="52"/>
      <c r="X2886" s="52"/>
      <c r="Y2886" s="52"/>
      <c r="Z2886" s="52"/>
      <c r="AA2886" s="52"/>
      <c r="AB2886" s="52"/>
      <c r="AC2886" s="52"/>
      <c r="AD2886" s="52"/>
      <c r="AE2886" s="52"/>
      <c r="AF2886" s="52"/>
      <c r="AG2886" s="52"/>
      <c r="AH2886" s="52"/>
      <c r="AI2886" s="52"/>
      <c r="AJ2886" s="52"/>
      <c r="AK2886" s="52"/>
      <c r="AL2886" s="52"/>
      <c r="AM2886" s="52"/>
      <c r="AN2886" s="52"/>
    </row>
    <row r="2887" spans="1:40" x14ac:dyDescent="0.3">
      <c r="A2887" s="52">
        <v>2882</v>
      </c>
      <c r="B2887" s="52">
        <f>-bthan*500+(31+0.5)*bthan*1000/50</f>
        <v>715</v>
      </c>
      <c r="C2887" s="52">
        <f t="shared" si="276"/>
        <v>350</v>
      </c>
      <c r="D2887" s="52">
        <f t="shared" si="277"/>
        <v>2200</v>
      </c>
      <c r="E2887" s="52">
        <f t="shared" si="278"/>
        <v>1</v>
      </c>
      <c r="F2887" s="52"/>
      <c r="G2887" s="52"/>
      <c r="H2887" s="52"/>
      <c r="I2887" s="52"/>
      <c r="J2887" s="52"/>
      <c r="K2887" s="52"/>
      <c r="L2887" s="52"/>
      <c r="M2887" s="52"/>
      <c r="N2887" s="52"/>
      <c r="O2887" s="52"/>
      <c r="P2887" s="52"/>
      <c r="Q2887" s="52"/>
      <c r="R2887" s="52"/>
      <c r="S2887" s="52"/>
      <c r="T2887" s="52"/>
      <c r="U2887" s="52"/>
      <c r="V2887" s="52"/>
      <c r="W2887" s="52"/>
      <c r="X2887" s="52"/>
      <c r="Y2887" s="52"/>
      <c r="Z2887" s="52"/>
      <c r="AA2887" s="52"/>
      <c r="AB2887" s="52"/>
      <c r="AC2887" s="52"/>
      <c r="AD2887" s="52"/>
      <c r="AE2887" s="52"/>
      <c r="AF2887" s="52"/>
      <c r="AG2887" s="52"/>
      <c r="AH2887" s="52"/>
      <c r="AI2887" s="52"/>
      <c r="AJ2887" s="52"/>
      <c r="AK2887" s="52"/>
      <c r="AL2887" s="52"/>
      <c r="AM2887" s="52"/>
      <c r="AN2887" s="52"/>
    </row>
    <row r="2888" spans="1:40" x14ac:dyDescent="0.3">
      <c r="A2888" s="52">
        <v>2883</v>
      </c>
      <c r="B2888" s="52">
        <f>-bthan*500+(32+0.5)*bthan*1000/50</f>
        <v>825</v>
      </c>
      <c r="C2888" s="52">
        <f t="shared" ref="C2888:C2905" si="279">-hthan*500+(57+0.5)*hthan*1000/80</f>
        <v>350</v>
      </c>
      <c r="D2888" s="52">
        <f t="shared" si="277"/>
        <v>2200</v>
      </c>
      <c r="E2888" s="52">
        <f t="shared" si="278"/>
        <v>1</v>
      </c>
      <c r="F2888" s="52"/>
      <c r="G2888" s="52"/>
      <c r="H2888" s="52"/>
      <c r="I2888" s="52"/>
      <c r="J2888" s="52"/>
      <c r="K2888" s="52"/>
      <c r="L2888" s="52"/>
      <c r="M2888" s="52"/>
      <c r="N2888" s="52"/>
      <c r="O2888" s="52"/>
      <c r="P2888" s="52"/>
      <c r="Q2888" s="52"/>
      <c r="R2888" s="52"/>
      <c r="S2888" s="52"/>
      <c r="T2888" s="52"/>
      <c r="U2888" s="52"/>
      <c r="V2888" s="52"/>
      <c r="W2888" s="52"/>
      <c r="X2888" s="52"/>
      <c r="Y2888" s="52"/>
      <c r="Z2888" s="52"/>
      <c r="AA2888" s="52"/>
      <c r="AB2888" s="52"/>
      <c r="AC2888" s="52"/>
      <c r="AD2888" s="52"/>
      <c r="AE2888" s="52"/>
      <c r="AF2888" s="52"/>
      <c r="AG2888" s="52"/>
      <c r="AH2888" s="52"/>
      <c r="AI2888" s="52"/>
      <c r="AJ2888" s="52"/>
      <c r="AK2888" s="52"/>
      <c r="AL2888" s="52"/>
      <c r="AM2888" s="52"/>
      <c r="AN2888" s="52"/>
    </row>
    <row r="2889" spans="1:40" x14ac:dyDescent="0.3">
      <c r="A2889" s="52">
        <v>2884</v>
      </c>
      <c r="B2889" s="52">
        <f>-bthan*500+(33+0.5)*bthan*1000/50</f>
        <v>935</v>
      </c>
      <c r="C2889" s="52">
        <f t="shared" si="279"/>
        <v>350</v>
      </c>
      <c r="D2889" s="52">
        <f t="shared" si="277"/>
        <v>2200</v>
      </c>
      <c r="E2889" s="52">
        <f t="shared" si="278"/>
        <v>1</v>
      </c>
      <c r="F2889" s="52"/>
      <c r="G2889" s="52"/>
      <c r="H2889" s="52"/>
      <c r="I2889" s="52"/>
      <c r="J2889" s="52"/>
      <c r="K2889" s="52"/>
      <c r="L2889" s="52"/>
      <c r="M2889" s="52"/>
      <c r="N2889" s="52"/>
      <c r="O2889" s="52"/>
      <c r="P2889" s="52"/>
      <c r="Q2889" s="52"/>
      <c r="R2889" s="52"/>
      <c r="S2889" s="52"/>
      <c r="T2889" s="52"/>
      <c r="U2889" s="52"/>
      <c r="V2889" s="52"/>
      <c r="W2889" s="52"/>
      <c r="X2889" s="52"/>
      <c r="Y2889" s="52"/>
      <c r="Z2889" s="52"/>
      <c r="AA2889" s="52"/>
      <c r="AB2889" s="52"/>
      <c r="AC2889" s="52"/>
      <c r="AD2889" s="52"/>
      <c r="AE2889" s="52"/>
      <c r="AF2889" s="52"/>
      <c r="AG2889" s="52"/>
      <c r="AH2889" s="52"/>
      <c r="AI2889" s="52"/>
      <c r="AJ2889" s="52"/>
      <c r="AK2889" s="52"/>
      <c r="AL2889" s="52"/>
      <c r="AM2889" s="52"/>
      <c r="AN2889" s="52"/>
    </row>
    <row r="2890" spans="1:40" x14ac:dyDescent="0.3">
      <c r="A2890" s="52">
        <v>2885</v>
      </c>
      <c r="B2890" s="52">
        <f>-bthan*500+(34+0.5)*bthan*1000/50</f>
        <v>1045</v>
      </c>
      <c r="C2890" s="52">
        <f t="shared" si="279"/>
        <v>350</v>
      </c>
      <c r="D2890" s="52">
        <f t="shared" si="277"/>
        <v>2200</v>
      </c>
      <c r="E2890" s="52">
        <f t="shared" si="278"/>
        <v>1</v>
      </c>
      <c r="F2890" s="52"/>
      <c r="G2890" s="52"/>
      <c r="H2890" s="52"/>
      <c r="I2890" s="52"/>
      <c r="J2890" s="52"/>
      <c r="K2890" s="52"/>
      <c r="L2890" s="52"/>
      <c r="M2890" s="52"/>
      <c r="N2890" s="52"/>
      <c r="O2890" s="52"/>
      <c r="P2890" s="52"/>
      <c r="Q2890" s="52"/>
      <c r="R2890" s="52"/>
      <c r="S2890" s="52"/>
      <c r="T2890" s="52"/>
      <c r="U2890" s="52"/>
      <c r="V2890" s="52"/>
      <c r="W2890" s="52"/>
      <c r="X2890" s="52"/>
      <c r="Y2890" s="52"/>
      <c r="Z2890" s="52"/>
      <c r="AA2890" s="52"/>
      <c r="AB2890" s="52"/>
      <c r="AC2890" s="52"/>
      <c r="AD2890" s="52"/>
      <c r="AE2890" s="52"/>
      <c r="AF2890" s="52"/>
      <c r="AG2890" s="52"/>
      <c r="AH2890" s="52"/>
      <c r="AI2890" s="52"/>
      <c r="AJ2890" s="52"/>
      <c r="AK2890" s="52"/>
      <c r="AL2890" s="52"/>
      <c r="AM2890" s="52"/>
      <c r="AN2890" s="52"/>
    </row>
    <row r="2891" spans="1:40" x14ac:dyDescent="0.3">
      <c r="A2891" s="52">
        <v>2886</v>
      </c>
      <c r="B2891" s="52">
        <f>-bthan*500+(35+0.5)*bthan*1000/50</f>
        <v>1155</v>
      </c>
      <c r="C2891" s="52">
        <f t="shared" si="279"/>
        <v>350</v>
      </c>
      <c r="D2891" s="52">
        <f t="shared" si="277"/>
        <v>2200</v>
      </c>
      <c r="E2891" s="52">
        <f t="shared" si="278"/>
        <v>1</v>
      </c>
      <c r="F2891" s="52"/>
      <c r="G2891" s="52"/>
      <c r="H2891" s="52"/>
      <c r="I2891" s="52"/>
      <c r="J2891" s="52"/>
      <c r="K2891" s="52"/>
      <c r="L2891" s="52"/>
      <c r="M2891" s="52"/>
      <c r="N2891" s="52"/>
      <c r="O2891" s="52"/>
      <c r="P2891" s="52"/>
      <c r="Q2891" s="52"/>
      <c r="R2891" s="52"/>
      <c r="S2891" s="52"/>
      <c r="T2891" s="52"/>
      <c r="U2891" s="52"/>
      <c r="V2891" s="52"/>
      <c r="W2891" s="52"/>
      <c r="X2891" s="52"/>
      <c r="Y2891" s="52"/>
      <c r="Z2891" s="52"/>
      <c r="AA2891" s="52"/>
      <c r="AB2891" s="52"/>
      <c r="AC2891" s="52"/>
      <c r="AD2891" s="52"/>
      <c r="AE2891" s="52"/>
      <c r="AF2891" s="52"/>
      <c r="AG2891" s="52"/>
      <c r="AH2891" s="52"/>
      <c r="AI2891" s="52"/>
      <c r="AJ2891" s="52"/>
      <c r="AK2891" s="52"/>
      <c r="AL2891" s="52"/>
      <c r="AM2891" s="52"/>
      <c r="AN2891" s="52"/>
    </row>
    <row r="2892" spans="1:40" x14ac:dyDescent="0.3">
      <c r="A2892" s="52">
        <v>2887</v>
      </c>
      <c r="B2892" s="52">
        <f>-bthan*500+(36+0.5)*bthan*1000/50</f>
        <v>1265</v>
      </c>
      <c r="C2892" s="52">
        <f t="shared" si="279"/>
        <v>350</v>
      </c>
      <c r="D2892" s="52">
        <f t="shared" si="277"/>
        <v>2200</v>
      </c>
      <c r="E2892" s="52">
        <f t="shared" si="278"/>
        <v>1</v>
      </c>
      <c r="F2892" s="52"/>
      <c r="G2892" s="52"/>
      <c r="H2892" s="52"/>
      <c r="I2892" s="52"/>
      <c r="J2892" s="52"/>
      <c r="K2892" s="52"/>
      <c r="L2892" s="52"/>
      <c r="M2892" s="52"/>
      <c r="N2892" s="52"/>
      <c r="O2892" s="52"/>
      <c r="P2892" s="52"/>
      <c r="Q2892" s="52"/>
      <c r="R2892" s="52"/>
      <c r="S2892" s="52"/>
      <c r="T2892" s="52"/>
      <c r="U2892" s="52"/>
      <c r="V2892" s="52"/>
      <c r="W2892" s="52"/>
      <c r="X2892" s="52"/>
      <c r="Y2892" s="52"/>
      <c r="Z2892" s="52"/>
      <c r="AA2892" s="52"/>
      <c r="AB2892" s="52"/>
      <c r="AC2892" s="52"/>
      <c r="AD2892" s="52"/>
      <c r="AE2892" s="52"/>
      <c r="AF2892" s="52"/>
      <c r="AG2892" s="52"/>
      <c r="AH2892" s="52"/>
      <c r="AI2892" s="52"/>
      <c r="AJ2892" s="52"/>
      <c r="AK2892" s="52"/>
      <c r="AL2892" s="52"/>
      <c r="AM2892" s="52"/>
      <c r="AN2892" s="52"/>
    </row>
    <row r="2893" spans="1:40" x14ac:dyDescent="0.3">
      <c r="A2893" s="52">
        <v>2888</v>
      </c>
      <c r="B2893" s="52">
        <f>-bthan*500+(37+0.5)*bthan*1000/50</f>
        <v>1375</v>
      </c>
      <c r="C2893" s="52">
        <f t="shared" si="279"/>
        <v>350</v>
      </c>
      <c r="D2893" s="52">
        <f t="shared" si="277"/>
        <v>2200</v>
      </c>
      <c r="E2893" s="52">
        <f t="shared" si="278"/>
        <v>1</v>
      </c>
      <c r="F2893" s="52"/>
      <c r="G2893" s="52"/>
      <c r="H2893" s="52"/>
      <c r="I2893" s="52"/>
      <c r="J2893" s="52"/>
      <c r="K2893" s="52"/>
      <c r="L2893" s="52"/>
      <c r="M2893" s="52"/>
      <c r="N2893" s="52"/>
      <c r="O2893" s="52"/>
      <c r="P2893" s="52"/>
      <c r="Q2893" s="52"/>
      <c r="R2893" s="52"/>
      <c r="S2893" s="52"/>
      <c r="T2893" s="52"/>
      <c r="U2893" s="52"/>
      <c r="V2893" s="52"/>
      <c r="W2893" s="52"/>
      <c r="X2893" s="52"/>
      <c r="Y2893" s="52"/>
      <c r="Z2893" s="52"/>
      <c r="AA2893" s="52"/>
      <c r="AB2893" s="52"/>
      <c r="AC2893" s="52"/>
      <c r="AD2893" s="52"/>
      <c r="AE2893" s="52"/>
      <c r="AF2893" s="52"/>
      <c r="AG2893" s="52"/>
      <c r="AH2893" s="52"/>
      <c r="AI2893" s="52"/>
      <c r="AJ2893" s="52"/>
      <c r="AK2893" s="52"/>
      <c r="AL2893" s="52"/>
      <c r="AM2893" s="52"/>
      <c r="AN2893" s="52"/>
    </row>
    <row r="2894" spans="1:40" x14ac:dyDescent="0.3">
      <c r="A2894" s="52">
        <v>2889</v>
      </c>
      <c r="B2894" s="52">
        <f>-bthan*500+(38+0.5)*bthan*1000/50</f>
        <v>1485</v>
      </c>
      <c r="C2894" s="52">
        <f t="shared" si="279"/>
        <v>350</v>
      </c>
      <c r="D2894" s="52">
        <f t="shared" si="277"/>
        <v>2200</v>
      </c>
      <c r="E2894" s="52">
        <f t="shared" si="278"/>
        <v>1</v>
      </c>
      <c r="F2894" s="52"/>
      <c r="G2894" s="52"/>
      <c r="H2894" s="52"/>
      <c r="I2894" s="52"/>
      <c r="J2894" s="52"/>
      <c r="K2894" s="52"/>
      <c r="L2894" s="52"/>
      <c r="M2894" s="52"/>
      <c r="N2894" s="52"/>
      <c r="O2894" s="52"/>
      <c r="P2894" s="52"/>
      <c r="Q2894" s="52"/>
      <c r="R2894" s="52"/>
      <c r="S2894" s="52"/>
      <c r="T2894" s="52"/>
      <c r="U2894" s="52"/>
      <c r="V2894" s="52"/>
      <c r="W2894" s="52"/>
      <c r="X2894" s="52"/>
      <c r="Y2894" s="52"/>
      <c r="Z2894" s="52"/>
      <c r="AA2894" s="52"/>
      <c r="AB2894" s="52"/>
      <c r="AC2894" s="52"/>
      <c r="AD2894" s="52"/>
      <c r="AE2894" s="52"/>
      <c r="AF2894" s="52"/>
      <c r="AG2894" s="52"/>
      <c r="AH2894" s="52"/>
      <c r="AI2894" s="52"/>
      <c r="AJ2894" s="52"/>
      <c r="AK2894" s="52"/>
      <c r="AL2894" s="52"/>
      <c r="AM2894" s="52"/>
      <c r="AN2894" s="52"/>
    </row>
    <row r="2895" spans="1:40" x14ac:dyDescent="0.3">
      <c r="A2895" s="52">
        <v>2890</v>
      </c>
      <c r="B2895" s="52">
        <f>-bthan*500+(39+0.5)*bthan*1000/50</f>
        <v>1595</v>
      </c>
      <c r="C2895" s="52">
        <f t="shared" si="279"/>
        <v>350</v>
      </c>
      <c r="D2895" s="52">
        <f t="shared" si="277"/>
        <v>2200</v>
      </c>
      <c r="E2895" s="52">
        <f t="shared" si="278"/>
        <v>1</v>
      </c>
      <c r="F2895" s="52"/>
      <c r="G2895" s="52"/>
      <c r="H2895" s="52"/>
      <c r="I2895" s="52"/>
      <c r="J2895" s="52"/>
      <c r="K2895" s="52"/>
      <c r="L2895" s="52"/>
      <c r="M2895" s="52"/>
      <c r="N2895" s="52"/>
      <c r="O2895" s="52"/>
      <c r="P2895" s="52"/>
      <c r="Q2895" s="52"/>
      <c r="R2895" s="52"/>
      <c r="S2895" s="52"/>
      <c r="T2895" s="52"/>
      <c r="U2895" s="52"/>
      <c r="V2895" s="52"/>
      <c r="W2895" s="52"/>
      <c r="X2895" s="52"/>
      <c r="Y2895" s="52"/>
      <c r="Z2895" s="52"/>
      <c r="AA2895" s="52"/>
      <c r="AB2895" s="52"/>
      <c r="AC2895" s="52"/>
      <c r="AD2895" s="52"/>
      <c r="AE2895" s="52"/>
      <c r="AF2895" s="52"/>
      <c r="AG2895" s="52"/>
      <c r="AH2895" s="52"/>
      <c r="AI2895" s="52"/>
      <c r="AJ2895" s="52"/>
      <c r="AK2895" s="52"/>
      <c r="AL2895" s="52"/>
      <c r="AM2895" s="52"/>
      <c r="AN2895" s="52"/>
    </row>
    <row r="2896" spans="1:40" x14ac:dyDescent="0.3">
      <c r="A2896" s="52">
        <v>2891</v>
      </c>
      <c r="B2896" s="52">
        <f>-bthan*500+(40+0.5)*bthan*1000/50</f>
        <v>1705</v>
      </c>
      <c r="C2896" s="52">
        <f t="shared" si="279"/>
        <v>350</v>
      </c>
      <c r="D2896" s="52">
        <f t="shared" si="277"/>
        <v>2200</v>
      </c>
      <c r="E2896" s="52">
        <f t="shared" si="278"/>
        <v>1</v>
      </c>
      <c r="F2896" s="52"/>
      <c r="G2896" s="52"/>
      <c r="H2896" s="52"/>
      <c r="I2896" s="52"/>
      <c r="J2896" s="52"/>
      <c r="K2896" s="52"/>
      <c r="L2896" s="52"/>
      <c r="M2896" s="52"/>
      <c r="N2896" s="52"/>
      <c r="O2896" s="52"/>
      <c r="P2896" s="52"/>
      <c r="Q2896" s="52"/>
      <c r="R2896" s="52"/>
      <c r="S2896" s="52"/>
      <c r="T2896" s="52"/>
      <c r="U2896" s="52"/>
      <c r="V2896" s="52"/>
      <c r="W2896" s="52"/>
      <c r="X2896" s="52"/>
      <c r="Y2896" s="52"/>
      <c r="Z2896" s="52"/>
      <c r="AA2896" s="52"/>
      <c r="AB2896" s="52"/>
      <c r="AC2896" s="52"/>
      <c r="AD2896" s="52"/>
      <c r="AE2896" s="52"/>
      <c r="AF2896" s="52"/>
      <c r="AG2896" s="52"/>
      <c r="AH2896" s="52"/>
      <c r="AI2896" s="52"/>
      <c r="AJ2896" s="52"/>
      <c r="AK2896" s="52"/>
      <c r="AL2896" s="52"/>
      <c r="AM2896" s="52"/>
      <c r="AN2896" s="52"/>
    </row>
    <row r="2897" spans="1:40" x14ac:dyDescent="0.3">
      <c r="A2897" s="52">
        <v>2892</v>
      </c>
      <c r="B2897" s="52">
        <f>-bthan*500+(41+0.5)*bthan*1000/50</f>
        <v>1815</v>
      </c>
      <c r="C2897" s="52">
        <f t="shared" si="279"/>
        <v>350</v>
      </c>
      <c r="D2897" s="52">
        <f t="shared" si="277"/>
        <v>2200</v>
      </c>
      <c r="E2897" s="52">
        <f t="shared" si="278"/>
        <v>1</v>
      </c>
      <c r="F2897" s="52"/>
      <c r="G2897" s="52"/>
      <c r="H2897" s="52"/>
      <c r="I2897" s="52"/>
      <c r="J2897" s="52"/>
      <c r="K2897" s="52"/>
      <c r="L2897" s="52"/>
      <c r="M2897" s="52"/>
      <c r="N2897" s="52"/>
      <c r="O2897" s="52"/>
      <c r="P2897" s="52"/>
      <c r="Q2897" s="52"/>
      <c r="R2897" s="52"/>
      <c r="S2897" s="52"/>
      <c r="T2897" s="52"/>
      <c r="U2897" s="52"/>
      <c r="V2897" s="52"/>
      <c r="W2897" s="52"/>
      <c r="X2897" s="52"/>
      <c r="Y2897" s="52"/>
      <c r="Z2897" s="52"/>
      <c r="AA2897" s="52"/>
      <c r="AB2897" s="52"/>
      <c r="AC2897" s="52"/>
      <c r="AD2897" s="52"/>
      <c r="AE2897" s="52"/>
      <c r="AF2897" s="52"/>
      <c r="AG2897" s="52"/>
      <c r="AH2897" s="52"/>
      <c r="AI2897" s="52"/>
      <c r="AJ2897" s="52"/>
      <c r="AK2897" s="52"/>
      <c r="AL2897" s="52"/>
      <c r="AM2897" s="52"/>
      <c r="AN2897" s="52"/>
    </row>
    <row r="2898" spans="1:40" x14ac:dyDescent="0.3">
      <c r="A2898" s="52">
        <v>2893</v>
      </c>
      <c r="B2898" s="52">
        <f>-bthan*500+(42+0.5)*bthan*1000/50</f>
        <v>1925</v>
      </c>
      <c r="C2898" s="52">
        <f t="shared" si="279"/>
        <v>350</v>
      </c>
      <c r="D2898" s="52">
        <f t="shared" si="277"/>
        <v>2200</v>
      </c>
      <c r="E2898" s="52">
        <f t="shared" si="278"/>
        <v>1</v>
      </c>
      <c r="F2898" s="52"/>
      <c r="G2898" s="52"/>
      <c r="H2898" s="52"/>
      <c r="I2898" s="52"/>
      <c r="J2898" s="52"/>
      <c r="K2898" s="52"/>
      <c r="L2898" s="52"/>
      <c r="M2898" s="52"/>
      <c r="N2898" s="52"/>
      <c r="O2898" s="52"/>
      <c r="P2898" s="52"/>
      <c r="Q2898" s="52"/>
      <c r="R2898" s="52"/>
      <c r="S2898" s="52"/>
      <c r="T2898" s="52"/>
      <c r="U2898" s="52"/>
      <c r="V2898" s="52"/>
      <c r="W2898" s="52"/>
      <c r="X2898" s="52"/>
      <c r="Y2898" s="52"/>
      <c r="Z2898" s="52"/>
      <c r="AA2898" s="52"/>
      <c r="AB2898" s="52"/>
      <c r="AC2898" s="52"/>
      <c r="AD2898" s="52"/>
      <c r="AE2898" s="52"/>
      <c r="AF2898" s="52"/>
      <c r="AG2898" s="52"/>
      <c r="AH2898" s="52"/>
      <c r="AI2898" s="52"/>
      <c r="AJ2898" s="52"/>
      <c r="AK2898" s="52"/>
      <c r="AL2898" s="52"/>
      <c r="AM2898" s="52"/>
      <c r="AN2898" s="52"/>
    </row>
    <row r="2899" spans="1:40" x14ac:dyDescent="0.3">
      <c r="A2899" s="52">
        <v>2894</v>
      </c>
      <c r="B2899" s="52">
        <f>-bthan*500+(43+0.5)*bthan*1000/50</f>
        <v>2035</v>
      </c>
      <c r="C2899" s="52">
        <f t="shared" si="279"/>
        <v>350</v>
      </c>
      <c r="D2899" s="52">
        <f t="shared" si="277"/>
        <v>2200</v>
      </c>
      <c r="E2899" s="52">
        <f t="shared" si="278"/>
        <v>1</v>
      </c>
      <c r="F2899" s="52"/>
      <c r="G2899" s="52"/>
      <c r="H2899" s="52"/>
      <c r="I2899" s="52"/>
      <c r="J2899" s="52"/>
      <c r="K2899" s="52"/>
      <c r="L2899" s="52"/>
      <c r="M2899" s="52"/>
      <c r="N2899" s="52"/>
      <c r="O2899" s="52"/>
      <c r="P2899" s="52"/>
      <c r="Q2899" s="52"/>
      <c r="R2899" s="52"/>
      <c r="S2899" s="52"/>
      <c r="T2899" s="52"/>
      <c r="U2899" s="52"/>
      <c r="V2899" s="52"/>
      <c r="W2899" s="52"/>
      <c r="X2899" s="52"/>
      <c r="Y2899" s="52"/>
      <c r="Z2899" s="52"/>
      <c r="AA2899" s="52"/>
      <c r="AB2899" s="52"/>
      <c r="AC2899" s="52"/>
      <c r="AD2899" s="52"/>
      <c r="AE2899" s="52"/>
      <c r="AF2899" s="52"/>
      <c r="AG2899" s="52"/>
      <c r="AH2899" s="52"/>
      <c r="AI2899" s="52"/>
      <c r="AJ2899" s="52"/>
      <c r="AK2899" s="52"/>
      <c r="AL2899" s="52"/>
      <c r="AM2899" s="52"/>
      <c r="AN2899" s="52"/>
    </row>
    <row r="2900" spans="1:40" x14ac:dyDescent="0.3">
      <c r="A2900" s="52">
        <v>2895</v>
      </c>
      <c r="B2900" s="52">
        <f>-bthan*500+(44+0.5)*bthan*1000/50</f>
        <v>2145</v>
      </c>
      <c r="C2900" s="52">
        <f t="shared" si="279"/>
        <v>350</v>
      </c>
      <c r="D2900" s="52">
        <f t="shared" si="277"/>
        <v>2200</v>
      </c>
      <c r="E2900" s="52">
        <f t="shared" si="278"/>
        <v>1</v>
      </c>
      <c r="F2900" s="52"/>
      <c r="G2900" s="52"/>
      <c r="H2900" s="52"/>
      <c r="I2900" s="52"/>
      <c r="J2900" s="52"/>
      <c r="K2900" s="52"/>
      <c r="L2900" s="52"/>
      <c r="M2900" s="52"/>
      <c r="N2900" s="52"/>
      <c r="O2900" s="52"/>
      <c r="P2900" s="52"/>
      <c r="Q2900" s="52"/>
      <c r="R2900" s="52"/>
      <c r="S2900" s="52"/>
      <c r="T2900" s="52"/>
      <c r="U2900" s="52"/>
      <c r="V2900" s="52"/>
      <c r="W2900" s="52"/>
      <c r="X2900" s="52"/>
      <c r="Y2900" s="52"/>
      <c r="Z2900" s="52"/>
      <c r="AA2900" s="52"/>
      <c r="AB2900" s="52"/>
      <c r="AC2900" s="52"/>
      <c r="AD2900" s="52"/>
      <c r="AE2900" s="52"/>
      <c r="AF2900" s="52"/>
      <c r="AG2900" s="52"/>
      <c r="AH2900" s="52"/>
      <c r="AI2900" s="52"/>
      <c r="AJ2900" s="52"/>
      <c r="AK2900" s="52"/>
      <c r="AL2900" s="52"/>
      <c r="AM2900" s="52"/>
      <c r="AN2900" s="52"/>
    </row>
    <row r="2901" spans="1:40" x14ac:dyDescent="0.3">
      <c r="A2901" s="52">
        <v>2896</v>
      </c>
      <c r="B2901" s="52">
        <f>-bthan*500+(45+0.5)*bthan*1000/50</f>
        <v>2255</v>
      </c>
      <c r="C2901" s="52">
        <f t="shared" si="279"/>
        <v>350</v>
      </c>
      <c r="D2901" s="52">
        <f t="shared" si="277"/>
        <v>2200</v>
      </c>
      <c r="E2901" s="52">
        <f t="shared" si="278"/>
        <v>1</v>
      </c>
      <c r="F2901" s="52"/>
      <c r="G2901" s="52"/>
      <c r="H2901" s="52"/>
      <c r="I2901" s="52"/>
      <c r="J2901" s="52"/>
      <c r="K2901" s="52"/>
      <c r="L2901" s="52"/>
      <c r="M2901" s="52"/>
      <c r="N2901" s="52"/>
      <c r="O2901" s="52"/>
      <c r="P2901" s="52"/>
      <c r="Q2901" s="52"/>
      <c r="R2901" s="52"/>
      <c r="S2901" s="52"/>
      <c r="T2901" s="52"/>
      <c r="U2901" s="52"/>
      <c r="V2901" s="52"/>
      <c r="W2901" s="52"/>
      <c r="X2901" s="52"/>
      <c r="Y2901" s="52"/>
      <c r="Z2901" s="52"/>
      <c r="AA2901" s="52"/>
      <c r="AB2901" s="52"/>
      <c r="AC2901" s="52"/>
      <c r="AD2901" s="52"/>
      <c r="AE2901" s="52"/>
      <c r="AF2901" s="52"/>
      <c r="AG2901" s="52"/>
      <c r="AH2901" s="52"/>
      <c r="AI2901" s="52"/>
      <c r="AJ2901" s="52"/>
      <c r="AK2901" s="52"/>
      <c r="AL2901" s="52"/>
      <c r="AM2901" s="52"/>
      <c r="AN2901" s="52"/>
    </row>
    <row r="2902" spans="1:40" x14ac:dyDescent="0.3">
      <c r="A2902" s="52">
        <v>2897</v>
      </c>
      <c r="B2902" s="52">
        <f>-bthan*500+(46+0.5)*bthan*1000/50</f>
        <v>2365</v>
      </c>
      <c r="C2902" s="52">
        <f t="shared" si="279"/>
        <v>350</v>
      </c>
      <c r="D2902" s="52">
        <f t="shared" si="277"/>
        <v>2200</v>
      </c>
      <c r="E2902" s="52">
        <f t="shared" si="278"/>
        <v>1</v>
      </c>
      <c r="F2902" s="52"/>
      <c r="G2902" s="52"/>
      <c r="H2902" s="52"/>
      <c r="I2902" s="52"/>
      <c r="J2902" s="52"/>
      <c r="K2902" s="52"/>
      <c r="L2902" s="52"/>
      <c r="M2902" s="52"/>
      <c r="N2902" s="52"/>
      <c r="O2902" s="52"/>
      <c r="P2902" s="52"/>
      <c r="Q2902" s="52"/>
      <c r="R2902" s="52"/>
      <c r="S2902" s="52"/>
      <c r="T2902" s="52"/>
      <c r="U2902" s="52"/>
      <c r="V2902" s="52"/>
      <c r="W2902" s="52"/>
      <c r="X2902" s="52"/>
      <c r="Y2902" s="52"/>
      <c r="Z2902" s="52"/>
      <c r="AA2902" s="52"/>
      <c r="AB2902" s="52"/>
      <c r="AC2902" s="52"/>
      <c r="AD2902" s="52"/>
      <c r="AE2902" s="52"/>
      <c r="AF2902" s="52"/>
      <c r="AG2902" s="52"/>
      <c r="AH2902" s="52"/>
      <c r="AI2902" s="52"/>
      <c r="AJ2902" s="52"/>
      <c r="AK2902" s="52"/>
      <c r="AL2902" s="52"/>
      <c r="AM2902" s="52"/>
      <c r="AN2902" s="52"/>
    </row>
    <row r="2903" spans="1:40" x14ac:dyDescent="0.3">
      <c r="A2903" s="52">
        <v>2898</v>
      </c>
      <c r="B2903" s="52">
        <f>-bthan*500+(47+0.5)*bthan*1000/50</f>
        <v>2475</v>
      </c>
      <c r="C2903" s="52">
        <f t="shared" si="279"/>
        <v>350</v>
      </c>
      <c r="D2903" s="52">
        <f t="shared" si="277"/>
        <v>2200</v>
      </c>
      <c r="E2903" s="52">
        <f t="shared" si="278"/>
        <v>1</v>
      </c>
      <c r="F2903" s="52"/>
      <c r="G2903" s="52"/>
      <c r="H2903" s="52"/>
      <c r="I2903" s="52"/>
      <c r="J2903" s="52"/>
      <c r="K2903" s="52"/>
      <c r="L2903" s="52"/>
      <c r="M2903" s="52"/>
      <c r="N2903" s="52"/>
      <c r="O2903" s="52"/>
      <c r="P2903" s="52"/>
      <c r="Q2903" s="52"/>
      <c r="R2903" s="52"/>
      <c r="S2903" s="52"/>
      <c r="T2903" s="52"/>
      <c r="U2903" s="52"/>
      <c r="V2903" s="52"/>
      <c r="W2903" s="52"/>
      <c r="X2903" s="52"/>
      <c r="Y2903" s="52"/>
      <c r="Z2903" s="52"/>
      <c r="AA2903" s="52"/>
      <c r="AB2903" s="52"/>
      <c r="AC2903" s="52"/>
      <c r="AD2903" s="52"/>
      <c r="AE2903" s="52"/>
      <c r="AF2903" s="52"/>
      <c r="AG2903" s="52"/>
      <c r="AH2903" s="52"/>
      <c r="AI2903" s="52"/>
      <c r="AJ2903" s="52"/>
      <c r="AK2903" s="52"/>
      <c r="AL2903" s="52"/>
      <c r="AM2903" s="52"/>
      <c r="AN2903" s="52"/>
    </row>
    <row r="2904" spans="1:40" x14ac:dyDescent="0.3">
      <c r="A2904" s="52">
        <v>2899</v>
      </c>
      <c r="B2904" s="52">
        <f>-bthan*500+(48+0.5)*bthan*1000/50</f>
        <v>2585</v>
      </c>
      <c r="C2904" s="52">
        <f t="shared" si="279"/>
        <v>350</v>
      </c>
      <c r="D2904" s="52">
        <f t="shared" si="277"/>
        <v>2200</v>
      </c>
      <c r="E2904" s="52">
        <f t="shared" si="278"/>
        <v>1</v>
      </c>
      <c r="F2904" s="52"/>
      <c r="G2904" s="52"/>
      <c r="H2904" s="52"/>
      <c r="I2904" s="52"/>
      <c r="J2904" s="52"/>
      <c r="K2904" s="52"/>
      <c r="L2904" s="52"/>
      <c r="M2904" s="52"/>
      <c r="N2904" s="52"/>
      <c r="O2904" s="52"/>
      <c r="P2904" s="52"/>
      <c r="Q2904" s="52"/>
      <c r="R2904" s="52"/>
      <c r="S2904" s="52"/>
      <c r="T2904" s="52"/>
      <c r="U2904" s="52"/>
      <c r="V2904" s="52"/>
      <c r="W2904" s="52"/>
      <c r="X2904" s="52"/>
      <c r="Y2904" s="52"/>
      <c r="Z2904" s="52"/>
      <c r="AA2904" s="52"/>
      <c r="AB2904" s="52"/>
      <c r="AC2904" s="52"/>
      <c r="AD2904" s="52"/>
      <c r="AE2904" s="52"/>
      <c r="AF2904" s="52"/>
      <c r="AG2904" s="52"/>
      <c r="AH2904" s="52"/>
      <c r="AI2904" s="52"/>
      <c r="AJ2904" s="52"/>
      <c r="AK2904" s="52"/>
      <c r="AL2904" s="52"/>
      <c r="AM2904" s="52"/>
      <c r="AN2904" s="52"/>
    </row>
    <row r="2905" spans="1:40" x14ac:dyDescent="0.3">
      <c r="A2905" s="52">
        <v>2900</v>
      </c>
      <c r="B2905" s="52">
        <f>-bthan*500+(49+0.5)*bthan*1000/50</f>
        <v>2695</v>
      </c>
      <c r="C2905" s="52">
        <f t="shared" si="279"/>
        <v>350</v>
      </c>
      <c r="D2905" s="52">
        <f t="shared" si="277"/>
        <v>2200</v>
      </c>
      <c r="E2905" s="52">
        <f t="shared" si="278"/>
        <v>0</v>
      </c>
      <c r="F2905" s="52"/>
      <c r="G2905" s="52"/>
      <c r="H2905" s="52"/>
      <c r="I2905" s="52"/>
      <c r="J2905" s="52"/>
      <c r="K2905" s="52"/>
      <c r="L2905" s="52"/>
      <c r="M2905" s="52"/>
      <c r="N2905" s="52"/>
      <c r="O2905" s="52"/>
      <c r="P2905" s="52"/>
      <c r="Q2905" s="52"/>
      <c r="R2905" s="52"/>
      <c r="S2905" s="52"/>
      <c r="T2905" s="52"/>
      <c r="U2905" s="52"/>
      <c r="V2905" s="52"/>
      <c r="W2905" s="52"/>
      <c r="X2905" s="52"/>
      <c r="Y2905" s="52"/>
      <c r="Z2905" s="52"/>
      <c r="AA2905" s="52"/>
      <c r="AB2905" s="52"/>
      <c r="AC2905" s="52"/>
      <c r="AD2905" s="52"/>
      <c r="AE2905" s="52"/>
      <c r="AF2905" s="52"/>
      <c r="AG2905" s="52"/>
      <c r="AH2905" s="52"/>
      <c r="AI2905" s="52"/>
      <c r="AJ2905" s="52"/>
      <c r="AK2905" s="52"/>
      <c r="AL2905" s="52"/>
      <c r="AM2905" s="52"/>
      <c r="AN2905" s="52"/>
    </row>
    <row r="2906" spans="1:40" x14ac:dyDescent="0.3">
      <c r="A2906" s="52">
        <v>2901</v>
      </c>
      <c r="B2906" s="52">
        <f>-bthan*500+(0+0.5)*bthan*1000/50</f>
        <v>-2695</v>
      </c>
      <c r="C2906" s="52">
        <f t="shared" ref="C2906:C2937" si="280">-hthan*500+(58+0.5)*hthan*1000/80</f>
        <v>370.00000000000023</v>
      </c>
      <c r="D2906" s="52">
        <f t="shared" si="277"/>
        <v>2200</v>
      </c>
      <c r="E2906" s="52">
        <f t="shared" si="278"/>
        <v>0</v>
      </c>
      <c r="F2906" s="52"/>
      <c r="G2906" s="52"/>
      <c r="H2906" s="52"/>
      <c r="I2906" s="52"/>
      <c r="J2906" s="52"/>
      <c r="K2906" s="52"/>
      <c r="L2906" s="52"/>
      <c r="M2906" s="52"/>
      <c r="N2906" s="52"/>
      <c r="O2906" s="52"/>
      <c r="P2906" s="52"/>
      <c r="Q2906" s="52"/>
      <c r="R2906" s="52"/>
      <c r="S2906" s="52"/>
      <c r="T2906" s="52"/>
      <c r="U2906" s="52"/>
      <c r="V2906" s="52"/>
      <c r="W2906" s="52"/>
      <c r="X2906" s="52"/>
      <c r="Y2906" s="52"/>
      <c r="Z2906" s="52"/>
      <c r="AA2906" s="52"/>
      <c r="AB2906" s="52"/>
      <c r="AC2906" s="52"/>
      <c r="AD2906" s="52"/>
      <c r="AE2906" s="52"/>
      <c r="AF2906" s="52"/>
      <c r="AG2906" s="52"/>
      <c r="AH2906" s="52"/>
      <c r="AI2906" s="52"/>
      <c r="AJ2906" s="52"/>
      <c r="AK2906" s="52"/>
      <c r="AL2906" s="52"/>
      <c r="AM2906" s="52"/>
      <c r="AN2906" s="52"/>
    </row>
    <row r="2907" spans="1:40" x14ac:dyDescent="0.3">
      <c r="A2907" s="52">
        <v>2902</v>
      </c>
      <c r="B2907" s="52">
        <f>-bthan*500+(1+0.5)*bthan*1000/50</f>
        <v>-2585</v>
      </c>
      <c r="C2907" s="52">
        <f t="shared" si="280"/>
        <v>370.00000000000023</v>
      </c>
      <c r="D2907" s="52">
        <f t="shared" si="277"/>
        <v>2200</v>
      </c>
      <c r="E2907" s="52">
        <f t="shared" si="278"/>
        <v>1</v>
      </c>
      <c r="F2907" s="52"/>
      <c r="G2907" s="52"/>
      <c r="H2907" s="52"/>
      <c r="I2907" s="52"/>
      <c r="J2907" s="52"/>
      <c r="K2907" s="52"/>
      <c r="L2907" s="52"/>
      <c r="M2907" s="52"/>
      <c r="N2907" s="52"/>
      <c r="O2907" s="52"/>
      <c r="P2907" s="52"/>
      <c r="Q2907" s="52"/>
      <c r="R2907" s="52"/>
      <c r="S2907" s="52"/>
      <c r="T2907" s="52"/>
      <c r="U2907" s="52"/>
      <c r="V2907" s="52"/>
      <c r="W2907" s="52"/>
      <c r="X2907" s="52"/>
      <c r="Y2907" s="52"/>
      <c r="Z2907" s="52"/>
      <c r="AA2907" s="52"/>
      <c r="AB2907" s="52"/>
      <c r="AC2907" s="52"/>
      <c r="AD2907" s="52"/>
      <c r="AE2907" s="52"/>
      <c r="AF2907" s="52"/>
      <c r="AG2907" s="52"/>
      <c r="AH2907" s="52"/>
      <c r="AI2907" s="52"/>
      <c r="AJ2907" s="52"/>
      <c r="AK2907" s="52"/>
      <c r="AL2907" s="52"/>
      <c r="AM2907" s="52"/>
      <c r="AN2907" s="52"/>
    </row>
    <row r="2908" spans="1:40" x14ac:dyDescent="0.3">
      <c r="A2908" s="52">
        <v>2903</v>
      </c>
      <c r="B2908" s="52">
        <f>-bthan*500+(2+0.5)*bthan*1000/50</f>
        <v>-2475</v>
      </c>
      <c r="C2908" s="52">
        <f t="shared" si="280"/>
        <v>370.00000000000023</v>
      </c>
      <c r="D2908" s="52">
        <f t="shared" si="277"/>
        <v>2200</v>
      </c>
      <c r="E2908" s="52">
        <f t="shared" si="278"/>
        <v>1</v>
      </c>
      <c r="F2908" s="52"/>
      <c r="G2908" s="52"/>
      <c r="H2908" s="52"/>
      <c r="I2908" s="52"/>
      <c r="J2908" s="52"/>
      <c r="K2908" s="52"/>
      <c r="L2908" s="52"/>
      <c r="M2908" s="52"/>
      <c r="N2908" s="52"/>
      <c r="O2908" s="52"/>
      <c r="P2908" s="52"/>
      <c r="Q2908" s="52"/>
      <c r="R2908" s="52"/>
      <c r="S2908" s="52"/>
      <c r="T2908" s="52"/>
      <c r="U2908" s="52"/>
      <c r="V2908" s="52"/>
      <c r="W2908" s="52"/>
      <c r="X2908" s="52"/>
      <c r="Y2908" s="52"/>
      <c r="Z2908" s="52"/>
      <c r="AA2908" s="52"/>
      <c r="AB2908" s="52"/>
      <c r="AC2908" s="52"/>
      <c r="AD2908" s="52"/>
      <c r="AE2908" s="52"/>
      <c r="AF2908" s="52"/>
      <c r="AG2908" s="52"/>
      <c r="AH2908" s="52"/>
      <c r="AI2908" s="52"/>
      <c r="AJ2908" s="52"/>
      <c r="AK2908" s="52"/>
      <c r="AL2908" s="52"/>
      <c r="AM2908" s="52"/>
      <c r="AN2908" s="52"/>
    </row>
    <row r="2909" spans="1:40" x14ac:dyDescent="0.3">
      <c r="A2909" s="52">
        <v>2904</v>
      </c>
      <c r="B2909" s="52">
        <f>-bthan*500+(3+0.5)*bthan*1000/50</f>
        <v>-2365</v>
      </c>
      <c r="C2909" s="52">
        <f t="shared" si="280"/>
        <v>370.00000000000023</v>
      </c>
      <c r="D2909" s="52">
        <f t="shared" si="277"/>
        <v>2200</v>
      </c>
      <c r="E2909" s="52">
        <f t="shared" si="278"/>
        <v>1</v>
      </c>
      <c r="F2909" s="52"/>
      <c r="G2909" s="52"/>
      <c r="H2909" s="52"/>
      <c r="I2909" s="52"/>
      <c r="J2909" s="52"/>
      <c r="K2909" s="52"/>
      <c r="L2909" s="52"/>
      <c r="M2909" s="52"/>
      <c r="N2909" s="52"/>
      <c r="O2909" s="52"/>
      <c r="P2909" s="52"/>
      <c r="Q2909" s="52"/>
      <c r="R2909" s="52"/>
      <c r="S2909" s="52"/>
      <c r="T2909" s="52"/>
      <c r="U2909" s="52"/>
      <c r="V2909" s="52"/>
      <c r="W2909" s="52"/>
      <c r="X2909" s="52"/>
      <c r="Y2909" s="52"/>
      <c r="Z2909" s="52"/>
      <c r="AA2909" s="52"/>
      <c r="AB2909" s="52"/>
      <c r="AC2909" s="52"/>
      <c r="AD2909" s="52"/>
      <c r="AE2909" s="52"/>
      <c r="AF2909" s="52"/>
      <c r="AG2909" s="52"/>
      <c r="AH2909" s="52"/>
      <c r="AI2909" s="52"/>
      <c r="AJ2909" s="52"/>
      <c r="AK2909" s="52"/>
      <c r="AL2909" s="52"/>
      <c r="AM2909" s="52"/>
      <c r="AN2909" s="52"/>
    </row>
    <row r="2910" spans="1:40" x14ac:dyDescent="0.3">
      <c r="A2910" s="52">
        <v>2905</v>
      </c>
      <c r="B2910" s="52">
        <f>-bthan*500+(4+0.5)*bthan*1000/50</f>
        <v>-2255</v>
      </c>
      <c r="C2910" s="52">
        <f t="shared" si="280"/>
        <v>370.00000000000023</v>
      </c>
      <c r="D2910" s="52">
        <f t="shared" si="277"/>
        <v>2200</v>
      </c>
      <c r="E2910" s="52">
        <f t="shared" si="278"/>
        <v>1</v>
      </c>
      <c r="F2910" s="52"/>
      <c r="G2910" s="52"/>
      <c r="H2910" s="52"/>
      <c r="I2910" s="52"/>
      <c r="J2910" s="52"/>
      <c r="K2910" s="52"/>
      <c r="L2910" s="52"/>
      <c r="M2910" s="52"/>
      <c r="N2910" s="52"/>
      <c r="O2910" s="52"/>
      <c r="P2910" s="52"/>
      <c r="Q2910" s="52"/>
      <c r="R2910" s="52"/>
      <c r="S2910" s="52"/>
      <c r="T2910" s="52"/>
      <c r="U2910" s="52"/>
      <c r="V2910" s="52"/>
      <c r="W2910" s="52"/>
      <c r="X2910" s="52"/>
      <c r="Y2910" s="52"/>
      <c r="Z2910" s="52"/>
      <c r="AA2910" s="52"/>
      <c r="AB2910" s="52"/>
      <c r="AC2910" s="52"/>
      <c r="AD2910" s="52"/>
      <c r="AE2910" s="52"/>
      <c r="AF2910" s="52"/>
      <c r="AG2910" s="52"/>
      <c r="AH2910" s="52"/>
      <c r="AI2910" s="52"/>
      <c r="AJ2910" s="52"/>
      <c r="AK2910" s="52"/>
      <c r="AL2910" s="52"/>
      <c r="AM2910" s="52"/>
      <c r="AN2910" s="52"/>
    </row>
    <row r="2911" spans="1:40" x14ac:dyDescent="0.3">
      <c r="A2911" s="52">
        <v>2906</v>
      </c>
      <c r="B2911" s="52">
        <f>-bthan*500+(5+0.5)*bthan*1000/50</f>
        <v>-2145</v>
      </c>
      <c r="C2911" s="52">
        <f t="shared" si="280"/>
        <v>370.00000000000023</v>
      </c>
      <c r="D2911" s="52">
        <f t="shared" si="277"/>
        <v>2200</v>
      </c>
      <c r="E2911" s="52">
        <f t="shared" si="278"/>
        <v>1</v>
      </c>
      <c r="F2911" s="52"/>
      <c r="G2911" s="52"/>
      <c r="H2911" s="52"/>
      <c r="I2911" s="52"/>
      <c r="J2911" s="52"/>
      <c r="K2911" s="52"/>
      <c r="L2911" s="52"/>
      <c r="M2911" s="52"/>
      <c r="N2911" s="52"/>
      <c r="O2911" s="52"/>
      <c r="P2911" s="52"/>
      <c r="Q2911" s="52"/>
      <c r="R2911" s="52"/>
      <c r="S2911" s="52"/>
      <c r="T2911" s="52"/>
      <c r="U2911" s="52"/>
      <c r="V2911" s="52"/>
      <c r="W2911" s="52"/>
      <c r="X2911" s="52"/>
      <c r="Y2911" s="52"/>
      <c r="Z2911" s="52"/>
      <c r="AA2911" s="52"/>
      <c r="AB2911" s="52"/>
      <c r="AC2911" s="52"/>
      <c r="AD2911" s="52"/>
      <c r="AE2911" s="52"/>
      <c r="AF2911" s="52"/>
      <c r="AG2911" s="52"/>
      <c r="AH2911" s="52"/>
      <c r="AI2911" s="52"/>
      <c r="AJ2911" s="52"/>
      <c r="AK2911" s="52"/>
      <c r="AL2911" s="52"/>
      <c r="AM2911" s="52"/>
      <c r="AN2911" s="52"/>
    </row>
    <row r="2912" spans="1:40" x14ac:dyDescent="0.3">
      <c r="A2912" s="52">
        <v>2907</v>
      </c>
      <c r="B2912" s="52">
        <f>-bthan*500+(6+0.5)*bthan*1000/50</f>
        <v>-2035</v>
      </c>
      <c r="C2912" s="52">
        <f t="shared" si="280"/>
        <v>370.00000000000023</v>
      </c>
      <c r="D2912" s="52">
        <f t="shared" si="277"/>
        <v>2200</v>
      </c>
      <c r="E2912" s="52">
        <f t="shared" si="278"/>
        <v>1</v>
      </c>
      <c r="F2912" s="52"/>
      <c r="G2912" s="52"/>
      <c r="H2912" s="52"/>
      <c r="I2912" s="52"/>
      <c r="J2912" s="52"/>
      <c r="K2912" s="52"/>
      <c r="L2912" s="52"/>
      <c r="M2912" s="52"/>
      <c r="N2912" s="52"/>
      <c r="O2912" s="52"/>
      <c r="P2912" s="52"/>
      <c r="Q2912" s="52"/>
      <c r="R2912" s="52"/>
      <c r="S2912" s="52"/>
      <c r="T2912" s="52"/>
      <c r="U2912" s="52"/>
      <c r="V2912" s="52"/>
      <c r="W2912" s="52"/>
      <c r="X2912" s="52"/>
      <c r="Y2912" s="52"/>
      <c r="Z2912" s="52"/>
      <c r="AA2912" s="52"/>
      <c r="AB2912" s="52"/>
      <c r="AC2912" s="52"/>
      <c r="AD2912" s="52"/>
      <c r="AE2912" s="52"/>
      <c r="AF2912" s="52"/>
      <c r="AG2912" s="52"/>
      <c r="AH2912" s="52"/>
      <c r="AI2912" s="52"/>
      <c r="AJ2912" s="52"/>
      <c r="AK2912" s="52"/>
      <c r="AL2912" s="52"/>
      <c r="AM2912" s="52"/>
      <c r="AN2912" s="52"/>
    </row>
    <row r="2913" spans="1:40" x14ac:dyDescent="0.3">
      <c r="A2913" s="52">
        <v>2908</v>
      </c>
      <c r="B2913" s="52">
        <f>-bthan*500+(7+0.5)*bthan*1000/50</f>
        <v>-1925</v>
      </c>
      <c r="C2913" s="52">
        <f t="shared" si="280"/>
        <v>370.00000000000023</v>
      </c>
      <c r="D2913" s="52">
        <f t="shared" si="277"/>
        <v>2200</v>
      </c>
      <c r="E2913" s="52">
        <f t="shared" si="278"/>
        <v>1</v>
      </c>
      <c r="F2913" s="52"/>
      <c r="G2913" s="52"/>
      <c r="H2913" s="52"/>
      <c r="I2913" s="52"/>
      <c r="J2913" s="52"/>
      <c r="K2913" s="52"/>
      <c r="L2913" s="52"/>
      <c r="M2913" s="52"/>
      <c r="N2913" s="52"/>
      <c r="O2913" s="52"/>
      <c r="P2913" s="52"/>
      <c r="Q2913" s="52"/>
      <c r="R2913" s="52"/>
      <c r="S2913" s="52"/>
      <c r="T2913" s="52"/>
      <c r="U2913" s="52"/>
      <c r="V2913" s="52"/>
      <c r="W2913" s="52"/>
      <c r="X2913" s="52"/>
      <c r="Y2913" s="52"/>
      <c r="Z2913" s="52"/>
      <c r="AA2913" s="52"/>
      <c r="AB2913" s="52"/>
      <c r="AC2913" s="52"/>
      <c r="AD2913" s="52"/>
      <c r="AE2913" s="52"/>
      <c r="AF2913" s="52"/>
      <c r="AG2913" s="52"/>
      <c r="AH2913" s="52"/>
      <c r="AI2913" s="52"/>
      <c r="AJ2913" s="52"/>
      <c r="AK2913" s="52"/>
      <c r="AL2913" s="52"/>
      <c r="AM2913" s="52"/>
      <c r="AN2913" s="52"/>
    </row>
    <row r="2914" spans="1:40" x14ac:dyDescent="0.3">
      <c r="A2914" s="52">
        <v>2909</v>
      </c>
      <c r="B2914" s="52">
        <f>-bthan*500+(8+0.5)*bthan*1000/50</f>
        <v>-1815</v>
      </c>
      <c r="C2914" s="52">
        <f t="shared" si="280"/>
        <v>370.00000000000023</v>
      </c>
      <c r="D2914" s="52">
        <f t="shared" si="277"/>
        <v>2200</v>
      </c>
      <c r="E2914" s="52">
        <f t="shared" si="278"/>
        <v>1</v>
      </c>
      <c r="F2914" s="52"/>
      <c r="G2914" s="52"/>
      <c r="H2914" s="52"/>
      <c r="I2914" s="52"/>
      <c r="J2914" s="52"/>
      <c r="K2914" s="52"/>
      <c r="L2914" s="52"/>
      <c r="M2914" s="52"/>
      <c r="N2914" s="52"/>
      <c r="O2914" s="52"/>
      <c r="P2914" s="52"/>
      <c r="Q2914" s="52"/>
      <c r="R2914" s="52"/>
      <c r="S2914" s="52"/>
      <c r="T2914" s="52"/>
      <c r="U2914" s="52"/>
      <c r="V2914" s="52"/>
      <c r="W2914" s="52"/>
      <c r="X2914" s="52"/>
      <c r="Y2914" s="52"/>
      <c r="Z2914" s="52"/>
      <c r="AA2914" s="52"/>
      <c r="AB2914" s="52"/>
      <c r="AC2914" s="52"/>
      <c r="AD2914" s="52"/>
      <c r="AE2914" s="52"/>
      <c r="AF2914" s="52"/>
      <c r="AG2914" s="52"/>
      <c r="AH2914" s="52"/>
      <c r="AI2914" s="52"/>
      <c r="AJ2914" s="52"/>
      <c r="AK2914" s="52"/>
      <c r="AL2914" s="52"/>
      <c r="AM2914" s="52"/>
      <c r="AN2914" s="52"/>
    </row>
    <row r="2915" spans="1:40" x14ac:dyDescent="0.3">
      <c r="A2915" s="52">
        <v>2910</v>
      </c>
      <c r="B2915" s="52">
        <f>-bthan*500+(9+0.5)*bthan*1000/50</f>
        <v>-1705</v>
      </c>
      <c r="C2915" s="52">
        <f t="shared" si="280"/>
        <v>370.00000000000023</v>
      </c>
      <c r="D2915" s="52">
        <f t="shared" si="277"/>
        <v>2200</v>
      </c>
      <c r="E2915" s="52">
        <f t="shared" si="278"/>
        <v>1</v>
      </c>
      <c r="F2915" s="52"/>
      <c r="G2915" s="52"/>
      <c r="H2915" s="52"/>
      <c r="I2915" s="52"/>
      <c r="J2915" s="52"/>
      <c r="K2915" s="52"/>
      <c r="L2915" s="52"/>
      <c r="M2915" s="52"/>
      <c r="N2915" s="52"/>
      <c r="O2915" s="52"/>
      <c r="P2915" s="52"/>
      <c r="Q2915" s="52"/>
      <c r="R2915" s="52"/>
      <c r="S2915" s="52"/>
      <c r="T2915" s="52"/>
      <c r="U2915" s="52"/>
      <c r="V2915" s="52"/>
      <c r="W2915" s="52"/>
      <c r="X2915" s="52"/>
      <c r="Y2915" s="52"/>
      <c r="Z2915" s="52"/>
      <c r="AA2915" s="52"/>
      <c r="AB2915" s="52"/>
      <c r="AC2915" s="52"/>
      <c r="AD2915" s="52"/>
      <c r="AE2915" s="52"/>
      <c r="AF2915" s="52"/>
      <c r="AG2915" s="52"/>
      <c r="AH2915" s="52"/>
      <c r="AI2915" s="52"/>
      <c r="AJ2915" s="52"/>
      <c r="AK2915" s="52"/>
      <c r="AL2915" s="52"/>
      <c r="AM2915" s="52"/>
      <c r="AN2915" s="52"/>
    </row>
    <row r="2916" spans="1:40" x14ac:dyDescent="0.3">
      <c r="A2916" s="52">
        <v>2911</v>
      </c>
      <c r="B2916" s="52">
        <f>-bthan*500+(10+0.5)*bthan*1000/50</f>
        <v>-1595</v>
      </c>
      <c r="C2916" s="52">
        <f t="shared" si="280"/>
        <v>370.00000000000023</v>
      </c>
      <c r="D2916" s="52">
        <f t="shared" si="277"/>
        <v>2200</v>
      </c>
      <c r="E2916" s="52">
        <f t="shared" si="278"/>
        <v>1</v>
      </c>
      <c r="F2916" s="52"/>
      <c r="G2916" s="52"/>
      <c r="H2916" s="52"/>
      <c r="I2916" s="52"/>
      <c r="J2916" s="52"/>
      <c r="K2916" s="52"/>
      <c r="L2916" s="52"/>
      <c r="M2916" s="52"/>
      <c r="N2916" s="52"/>
      <c r="O2916" s="52"/>
      <c r="P2916" s="52"/>
      <c r="Q2916" s="52"/>
      <c r="R2916" s="52"/>
      <c r="S2916" s="52"/>
      <c r="T2916" s="52"/>
      <c r="U2916" s="52"/>
      <c r="V2916" s="52"/>
      <c r="W2916" s="52"/>
      <c r="X2916" s="52"/>
      <c r="Y2916" s="52"/>
      <c r="Z2916" s="52"/>
      <c r="AA2916" s="52"/>
      <c r="AB2916" s="52"/>
      <c r="AC2916" s="52"/>
      <c r="AD2916" s="52"/>
      <c r="AE2916" s="52"/>
      <c r="AF2916" s="52"/>
      <c r="AG2916" s="52"/>
      <c r="AH2916" s="52"/>
      <c r="AI2916" s="52"/>
      <c r="AJ2916" s="52"/>
      <c r="AK2916" s="52"/>
      <c r="AL2916" s="52"/>
      <c r="AM2916" s="52"/>
      <c r="AN2916" s="52"/>
    </row>
    <row r="2917" spans="1:40" x14ac:dyDescent="0.3">
      <c r="A2917" s="52">
        <v>2912</v>
      </c>
      <c r="B2917" s="52">
        <f>-bthan*500+(11+0.5)*bthan*1000/50</f>
        <v>-1485</v>
      </c>
      <c r="C2917" s="52">
        <f t="shared" si="280"/>
        <v>370.00000000000023</v>
      </c>
      <c r="D2917" s="52">
        <f t="shared" si="277"/>
        <v>2200</v>
      </c>
      <c r="E2917" s="52">
        <f t="shared" si="278"/>
        <v>1</v>
      </c>
      <c r="F2917" s="52"/>
      <c r="G2917" s="52"/>
      <c r="H2917" s="52"/>
      <c r="I2917" s="52"/>
      <c r="J2917" s="52"/>
      <c r="K2917" s="52"/>
      <c r="L2917" s="52"/>
      <c r="M2917" s="52"/>
      <c r="N2917" s="52"/>
      <c r="O2917" s="52"/>
      <c r="P2917" s="52"/>
      <c r="Q2917" s="52"/>
      <c r="R2917" s="52"/>
      <c r="S2917" s="52"/>
      <c r="T2917" s="52"/>
      <c r="U2917" s="52"/>
      <c r="V2917" s="52"/>
      <c r="W2917" s="52"/>
      <c r="X2917" s="52"/>
      <c r="Y2917" s="52"/>
      <c r="Z2917" s="52"/>
      <c r="AA2917" s="52"/>
      <c r="AB2917" s="52"/>
      <c r="AC2917" s="52"/>
      <c r="AD2917" s="52"/>
      <c r="AE2917" s="52"/>
      <c r="AF2917" s="52"/>
      <c r="AG2917" s="52"/>
      <c r="AH2917" s="52"/>
      <c r="AI2917" s="52"/>
      <c r="AJ2917" s="52"/>
      <c r="AK2917" s="52"/>
      <c r="AL2917" s="52"/>
      <c r="AM2917" s="52"/>
      <c r="AN2917" s="52"/>
    </row>
    <row r="2918" spans="1:40" x14ac:dyDescent="0.3">
      <c r="A2918" s="52">
        <v>2913</v>
      </c>
      <c r="B2918" s="52">
        <f>-bthan*500+(12+0.5)*bthan*1000/50</f>
        <v>-1375</v>
      </c>
      <c r="C2918" s="52">
        <f t="shared" si="280"/>
        <v>370.00000000000023</v>
      </c>
      <c r="D2918" s="52">
        <f t="shared" si="277"/>
        <v>2200</v>
      </c>
      <c r="E2918" s="52">
        <f t="shared" si="278"/>
        <v>1</v>
      </c>
      <c r="F2918" s="52"/>
      <c r="G2918" s="52"/>
      <c r="H2918" s="52"/>
      <c r="I2918" s="52"/>
      <c r="J2918" s="52"/>
      <c r="K2918" s="52"/>
      <c r="L2918" s="52"/>
      <c r="M2918" s="52"/>
      <c r="N2918" s="52"/>
      <c r="O2918" s="52"/>
      <c r="P2918" s="52"/>
      <c r="Q2918" s="52"/>
      <c r="R2918" s="52"/>
      <c r="S2918" s="52"/>
      <c r="T2918" s="52"/>
      <c r="U2918" s="52"/>
      <c r="V2918" s="52"/>
      <c r="W2918" s="52"/>
      <c r="X2918" s="52"/>
      <c r="Y2918" s="52"/>
      <c r="Z2918" s="52"/>
      <c r="AA2918" s="52"/>
      <c r="AB2918" s="52"/>
      <c r="AC2918" s="52"/>
      <c r="AD2918" s="52"/>
      <c r="AE2918" s="52"/>
      <c r="AF2918" s="52"/>
      <c r="AG2918" s="52"/>
      <c r="AH2918" s="52"/>
      <c r="AI2918" s="52"/>
      <c r="AJ2918" s="52"/>
      <c r="AK2918" s="52"/>
      <c r="AL2918" s="52"/>
      <c r="AM2918" s="52"/>
      <c r="AN2918" s="52"/>
    </row>
    <row r="2919" spans="1:40" x14ac:dyDescent="0.3">
      <c r="A2919" s="52">
        <v>2914</v>
      </c>
      <c r="B2919" s="52">
        <f>-bthan*500+(13+0.5)*bthan*1000/50</f>
        <v>-1265</v>
      </c>
      <c r="C2919" s="52">
        <f t="shared" si="280"/>
        <v>370.00000000000023</v>
      </c>
      <c r="D2919" s="52">
        <f t="shared" si="277"/>
        <v>2200</v>
      </c>
      <c r="E2919" s="52">
        <f t="shared" si="278"/>
        <v>1</v>
      </c>
      <c r="F2919" s="52"/>
      <c r="G2919" s="52"/>
      <c r="H2919" s="52"/>
      <c r="I2919" s="52"/>
      <c r="J2919" s="52"/>
      <c r="K2919" s="52"/>
      <c r="L2919" s="52"/>
      <c r="M2919" s="52"/>
      <c r="N2919" s="52"/>
      <c r="O2919" s="52"/>
      <c r="P2919" s="52"/>
      <c r="Q2919" s="52"/>
      <c r="R2919" s="52"/>
      <c r="S2919" s="52"/>
      <c r="T2919" s="52"/>
      <c r="U2919" s="52"/>
      <c r="V2919" s="52"/>
      <c r="W2919" s="52"/>
      <c r="X2919" s="52"/>
      <c r="Y2919" s="52"/>
      <c r="Z2919" s="52"/>
      <c r="AA2919" s="52"/>
      <c r="AB2919" s="52"/>
      <c r="AC2919" s="52"/>
      <c r="AD2919" s="52"/>
      <c r="AE2919" s="52"/>
      <c r="AF2919" s="52"/>
      <c r="AG2919" s="52"/>
      <c r="AH2919" s="52"/>
      <c r="AI2919" s="52"/>
      <c r="AJ2919" s="52"/>
      <c r="AK2919" s="52"/>
      <c r="AL2919" s="52"/>
      <c r="AM2919" s="52"/>
      <c r="AN2919" s="52"/>
    </row>
    <row r="2920" spans="1:40" x14ac:dyDescent="0.3">
      <c r="A2920" s="52">
        <v>2915</v>
      </c>
      <c r="B2920" s="52">
        <f>-bthan*500+(14+0.5)*bthan*1000/50</f>
        <v>-1155</v>
      </c>
      <c r="C2920" s="52">
        <f t="shared" si="280"/>
        <v>370.00000000000023</v>
      </c>
      <c r="D2920" s="52">
        <f t="shared" si="277"/>
        <v>2200</v>
      </c>
      <c r="E2920" s="52">
        <f t="shared" si="278"/>
        <v>1</v>
      </c>
      <c r="F2920" s="52"/>
      <c r="G2920" s="52"/>
      <c r="H2920" s="52"/>
      <c r="I2920" s="52"/>
      <c r="J2920" s="52"/>
      <c r="K2920" s="52"/>
      <c r="L2920" s="52"/>
      <c r="M2920" s="52"/>
      <c r="N2920" s="52"/>
      <c r="O2920" s="52"/>
      <c r="P2920" s="52"/>
      <c r="Q2920" s="52"/>
      <c r="R2920" s="52"/>
      <c r="S2920" s="52"/>
      <c r="T2920" s="52"/>
      <c r="U2920" s="52"/>
      <c r="V2920" s="52"/>
      <c r="W2920" s="52"/>
      <c r="X2920" s="52"/>
      <c r="Y2920" s="52"/>
      <c r="Z2920" s="52"/>
      <c r="AA2920" s="52"/>
      <c r="AB2920" s="52"/>
      <c r="AC2920" s="52"/>
      <c r="AD2920" s="52"/>
      <c r="AE2920" s="52"/>
      <c r="AF2920" s="52"/>
      <c r="AG2920" s="52"/>
      <c r="AH2920" s="52"/>
      <c r="AI2920" s="52"/>
      <c r="AJ2920" s="52"/>
      <c r="AK2920" s="52"/>
      <c r="AL2920" s="52"/>
      <c r="AM2920" s="52"/>
      <c r="AN2920" s="52"/>
    </row>
    <row r="2921" spans="1:40" x14ac:dyDescent="0.3">
      <c r="A2921" s="52">
        <v>2916</v>
      </c>
      <c r="B2921" s="52">
        <f>-bthan*500+(15+0.5)*bthan*1000/50</f>
        <v>-1045</v>
      </c>
      <c r="C2921" s="52">
        <f t="shared" si="280"/>
        <v>370.00000000000023</v>
      </c>
      <c r="D2921" s="52">
        <f t="shared" si="277"/>
        <v>2200</v>
      </c>
      <c r="E2921" s="52">
        <f t="shared" si="278"/>
        <v>1</v>
      </c>
      <c r="F2921" s="52"/>
      <c r="G2921" s="52"/>
      <c r="H2921" s="52"/>
      <c r="I2921" s="52"/>
      <c r="J2921" s="52"/>
      <c r="K2921" s="52"/>
      <c r="L2921" s="52"/>
      <c r="M2921" s="52"/>
      <c r="N2921" s="52"/>
      <c r="O2921" s="52"/>
      <c r="P2921" s="52"/>
      <c r="Q2921" s="52"/>
      <c r="R2921" s="52"/>
      <c r="S2921" s="52"/>
      <c r="T2921" s="52"/>
      <c r="U2921" s="52"/>
      <c r="V2921" s="52"/>
      <c r="W2921" s="52"/>
      <c r="X2921" s="52"/>
      <c r="Y2921" s="52"/>
      <c r="Z2921" s="52"/>
      <c r="AA2921" s="52"/>
      <c r="AB2921" s="52"/>
      <c r="AC2921" s="52"/>
      <c r="AD2921" s="52"/>
      <c r="AE2921" s="52"/>
      <c r="AF2921" s="52"/>
      <c r="AG2921" s="52"/>
      <c r="AH2921" s="52"/>
      <c r="AI2921" s="52"/>
      <c r="AJ2921" s="52"/>
      <c r="AK2921" s="52"/>
      <c r="AL2921" s="52"/>
      <c r="AM2921" s="52"/>
      <c r="AN2921" s="52"/>
    </row>
    <row r="2922" spans="1:40" x14ac:dyDescent="0.3">
      <c r="A2922" s="52">
        <v>2917</v>
      </c>
      <c r="B2922" s="52">
        <f>-bthan*500+(16+0.5)*bthan*1000/50</f>
        <v>-935</v>
      </c>
      <c r="C2922" s="52">
        <f t="shared" si="280"/>
        <v>370.00000000000023</v>
      </c>
      <c r="D2922" s="52">
        <f t="shared" si="277"/>
        <v>2200</v>
      </c>
      <c r="E2922" s="52">
        <f t="shared" si="278"/>
        <v>1</v>
      </c>
      <c r="F2922" s="52"/>
      <c r="G2922" s="52"/>
      <c r="H2922" s="52"/>
      <c r="I2922" s="52"/>
      <c r="J2922" s="52"/>
      <c r="K2922" s="52"/>
      <c r="L2922" s="52"/>
      <c r="M2922" s="52"/>
      <c r="N2922" s="52"/>
      <c r="O2922" s="52"/>
      <c r="P2922" s="52"/>
      <c r="Q2922" s="52"/>
      <c r="R2922" s="52"/>
      <c r="S2922" s="52"/>
      <c r="T2922" s="52"/>
      <c r="U2922" s="52"/>
      <c r="V2922" s="52"/>
      <c r="W2922" s="52"/>
      <c r="X2922" s="52"/>
      <c r="Y2922" s="52"/>
      <c r="Z2922" s="52"/>
      <c r="AA2922" s="52"/>
      <c r="AB2922" s="52"/>
      <c r="AC2922" s="52"/>
      <c r="AD2922" s="52"/>
      <c r="AE2922" s="52"/>
      <c r="AF2922" s="52"/>
      <c r="AG2922" s="52"/>
      <c r="AH2922" s="52"/>
      <c r="AI2922" s="52"/>
      <c r="AJ2922" s="52"/>
      <c r="AK2922" s="52"/>
      <c r="AL2922" s="52"/>
      <c r="AM2922" s="52"/>
      <c r="AN2922" s="52"/>
    </row>
    <row r="2923" spans="1:40" x14ac:dyDescent="0.3">
      <c r="A2923" s="52">
        <v>2918</v>
      </c>
      <c r="B2923" s="52">
        <f>-bthan*500+(17+0.5)*bthan*1000/50</f>
        <v>-825</v>
      </c>
      <c r="C2923" s="52">
        <f t="shared" si="280"/>
        <v>370.00000000000023</v>
      </c>
      <c r="D2923" s="52">
        <f t="shared" si="277"/>
        <v>2200</v>
      </c>
      <c r="E2923" s="52">
        <f t="shared" si="278"/>
        <v>1</v>
      </c>
      <c r="F2923" s="52"/>
      <c r="G2923" s="52"/>
      <c r="H2923" s="52"/>
      <c r="I2923" s="52"/>
      <c r="J2923" s="52"/>
      <c r="K2923" s="52"/>
      <c r="L2923" s="52"/>
      <c r="M2923" s="52"/>
      <c r="N2923" s="52"/>
      <c r="O2923" s="52"/>
      <c r="P2923" s="52"/>
      <c r="Q2923" s="52"/>
      <c r="R2923" s="52"/>
      <c r="S2923" s="52"/>
      <c r="T2923" s="52"/>
      <c r="U2923" s="52"/>
      <c r="V2923" s="52"/>
      <c r="W2923" s="52"/>
      <c r="X2923" s="52"/>
      <c r="Y2923" s="52"/>
      <c r="Z2923" s="52"/>
      <c r="AA2923" s="52"/>
      <c r="AB2923" s="52"/>
      <c r="AC2923" s="52"/>
      <c r="AD2923" s="52"/>
      <c r="AE2923" s="52"/>
      <c r="AF2923" s="52"/>
      <c r="AG2923" s="52"/>
      <c r="AH2923" s="52"/>
      <c r="AI2923" s="52"/>
      <c r="AJ2923" s="52"/>
      <c r="AK2923" s="52"/>
      <c r="AL2923" s="52"/>
      <c r="AM2923" s="52"/>
      <c r="AN2923" s="52"/>
    </row>
    <row r="2924" spans="1:40" x14ac:dyDescent="0.3">
      <c r="A2924" s="52">
        <v>2919</v>
      </c>
      <c r="B2924" s="52">
        <f>-bthan*500+(18+0.5)*bthan*1000/50</f>
        <v>-715</v>
      </c>
      <c r="C2924" s="52">
        <f t="shared" si="280"/>
        <v>370.00000000000023</v>
      </c>
      <c r="D2924" s="52">
        <f t="shared" si="277"/>
        <v>2200</v>
      </c>
      <c r="E2924" s="52">
        <f t="shared" si="278"/>
        <v>1</v>
      </c>
      <c r="F2924" s="52"/>
      <c r="G2924" s="52"/>
      <c r="H2924" s="52"/>
      <c r="I2924" s="52"/>
      <c r="J2924" s="52"/>
      <c r="K2924" s="52"/>
      <c r="L2924" s="52"/>
      <c r="M2924" s="52"/>
      <c r="N2924" s="52"/>
      <c r="O2924" s="52"/>
      <c r="P2924" s="52"/>
      <c r="Q2924" s="52"/>
      <c r="R2924" s="52"/>
      <c r="S2924" s="52"/>
      <c r="T2924" s="52"/>
      <c r="U2924" s="52"/>
      <c r="V2924" s="52"/>
      <c r="W2924" s="52"/>
      <c r="X2924" s="52"/>
      <c r="Y2924" s="52"/>
      <c r="Z2924" s="52"/>
      <c r="AA2924" s="52"/>
      <c r="AB2924" s="52"/>
      <c r="AC2924" s="52"/>
      <c r="AD2924" s="52"/>
      <c r="AE2924" s="52"/>
      <c r="AF2924" s="52"/>
      <c r="AG2924" s="52"/>
      <c r="AH2924" s="52"/>
      <c r="AI2924" s="52"/>
      <c r="AJ2924" s="52"/>
      <c r="AK2924" s="52"/>
      <c r="AL2924" s="52"/>
      <c r="AM2924" s="52"/>
      <c r="AN2924" s="52"/>
    </row>
    <row r="2925" spans="1:40" x14ac:dyDescent="0.3">
      <c r="A2925" s="52">
        <v>2920</v>
      </c>
      <c r="B2925" s="52">
        <f>-bthan*500+(19+0.5)*bthan*1000/50</f>
        <v>-605</v>
      </c>
      <c r="C2925" s="52">
        <f t="shared" si="280"/>
        <v>370.00000000000023</v>
      </c>
      <c r="D2925" s="52">
        <f t="shared" si="277"/>
        <v>2200</v>
      </c>
      <c r="E2925" s="52">
        <f t="shared" si="278"/>
        <v>1</v>
      </c>
      <c r="F2925" s="52"/>
      <c r="G2925" s="52"/>
      <c r="H2925" s="52"/>
      <c r="I2925" s="52"/>
      <c r="J2925" s="52"/>
      <c r="K2925" s="52"/>
      <c r="L2925" s="52"/>
      <c r="M2925" s="52"/>
      <c r="N2925" s="52"/>
      <c r="O2925" s="52"/>
      <c r="P2925" s="52"/>
      <c r="Q2925" s="52"/>
      <c r="R2925" s="52"/>
      <c r="S2925" s="52"/>
      <c r="T2925" s="52"/>
      <c r="U2925" s="52"/>
      <c r="V2925" s="52"/>
      <c r="W2925" s="52"/>
      <c r="X2925" s="52"/>
      <c r="Y2925" s="52"/>
      <c r="Z2925" s="52"/>
      <c r="AA2925" s="52"/>
      <c r="AB2925" s="52"/>
      <c r="AC2925" s="52"/>
      <c r="AD2925" s="52"/>
      <c r="AE2925" s="52"/>
      <c r="AF2925" s="52"/>
      <c r="AG2925" s="52"/>
      <c r="AH2925" s="52"/>
      <c r="AI2925" s="52"/>
      <c r="AJ2925" s="52"/>
      <c r="AK2925" s="52"/>
      <c r="AL2925" s="52"/>
      <c r="AM2925" s="52"/>
      <c r="AN2925" s="52"/>
    </row>
    <row r="2926" spans="1:40" x14ac:dyDescent="0.3">
      <c r="A2926" s="52">
        <v>2921</v>
      </c>
      <c r="B2926" s="52">
        <f>-bthan*500+(20+0.5)*bthan*1000/50</f>
        <v>-495</v>
      </c>
      <c r="C2926" s="52">
        <f t="shared" si="280"/>
        <v>370.00000000000023</v>
      </c>
      <c r="D2926" s="52">
        <f t="shared" si="277"/>
        <v>2200</v>
      </c>
      <c r="E2926" s="52">
        <f t="shared" si="278"/>
        <v>1</v>
      </c>
      <c r="F2926" s="52"/>
      <c r="G2926" s="52"/>
      <c r="H2926" s="52"/>
      <c r="I2926" s="52"/>
      <c r="J2926" s="52"/>
      <c r="K2926" s="52"/>
      <c r="L2926" s="52"/>
      <c r="M2926" s="52"/>
      <c r="N2926" s="52"/>
      <c r="O2926" s="52"/>
      <c r="P2926" s="52"/>
      <c r="Q2926" s="52"/>
      <c r="R2926" s="52"/>
      <c r="S2926" s="52"/>
      <c r="T2926" s="52"/>
      <c r="U2926" s="52"/>
      <c r="V2926" s="52"/>
      <c r="W2926" s="52"/>
      <c r="X2926" s="52"/>
      <c r="Y2926" s="52"/>
      <c r="Z2926" s="52"/>
      <c r="AA2926" s="52"/>
      <c r="AB2926" s="52"/>
      <c r="AC2926" s="52"/>
      <c r="AD2926" s="52"/>
      <c r="AE2926" s="52"/>
      <c r="AF2926" s="52"/>
      <c r="AG2926" s="52"/>
      <c r="AH2926" s="52"/>
      <c r="AI2926" s="52"/>
      <c r="AJ2926" s="52"/>
      <c r="AK2926" s="52"/>
      <c r="AL2926" s="52"/>
      <c r="AM2926" s="52"/>
      <c r="AN2926" s="52"/>
    </row>
    <row r="2927" spans="1:40" x14ac:dyDescent="0.3">
      <c r="A2927" s="52">
        <v>2922</v>
      </c>
      <c r="B2927" s="52">
        <f>-bthan*500+(21+0.5)*bthan*1000/50</f>
        <v>-385</v>
      </c>
      <c r="C2927" s="52">
        <f t="shared" si="280"/>
        <v>370.00000000000023</v>
      </c>
      <c r="D2927" s="52">
        <f t="shared" si="277"/>
        <v>2200</v>
      </c>
      <c r="E2927" s="52">
        <f t="shared" si="278"/>
        <v>1</v>
      </c>
      <c r="F2927" s="52"/>
      <c r="G2927" s="52"/>
      <c r="H2927" s="52"/>
      <c r="I2927" s="52"/>
      <c r="J2927" s="52"/>
      <c r="K2927" s="52"/>
      <c r="L2927" s="52"/>
      <c r="M2927" s="52"/>
      <c r="N2927" s="52"/>
      <c r="O2927" s="52"/>
      <c r="P2927" s="52"/>
      <c r="Q2927" s="52"/>
      <c r="R2927" s="52"/>
      <c r="S2927" s="52"/>
      <c r="T2927" s="52"/>
      <c r="U2927" s="52"/>
      <c r="V2927" s="52"/>
      <c r="W2927" s="52"/>
      <c r="X2927" s="52"/>
      <c r="Y2927" s="52"/>
      <c r="Z2927" s="52"/>
      <c r="AA2927" s="52"/>
      <c r="AB2927" s="52"/>
      <c r="AC2927" s="52"/>
      <c r="AD2927" s="52"/>
      <c r="AE2927" s="52"/>
      <c r="AF2927" s="52"/>
      <c r="AG2927" s="52"/>
      <c r="AH2927" s="52"/>
      <c r="AI2927" s="52"/>
      <c r="AJ2927" s="52"/>
      <c r="AK2927" s="52"/>
      <c r="AL2927" s="52"/>
      <c r="AM2927" s="52"/>
      <c r="AN2927" s="52"/>
    </row>
    <row r="2928" spans="1:40" x14ac:dyDescent="0.3">
      <c r="A2928" s="52">
        <v>2923</v>
      </c>
      <c r="B2928" s="52">
        <f>-bthan*500+(22+0.5)*bthan*1000/50</f>
        <v>-275</v>
      </c>
      <c r="C2928" s="52">
        <f t="shared" si="280"/>
        <v>370.00000000000023</v>
      </c>
      <c r="D2928" s="52">
        <f t="shared" si="277"/>
        <v>2200</v>
      </c>
      <c r="E2928" s="52">
        <f t="shared" si="278"/>
        <v>1</v>
      </c>
      <c r="F2928" s="52"/>
      <c r="G2928" s="52"/>
      <c r="H2928" s="52"/>
      <c r="I2928" s="52"/>
      <c r="J2928" s="52"/>
      <c r="K2928" s="52"/>
      <c r="L2928" s="52"/>
      <c r="M2928" s="52"/>
      <c r="N2928" s="52"/>
      <c r="O2928" s="52"/>
      <c r="P2928" s="52"/>
      <c r="Q2928" s="52"/>
      <c r="R2928" s="52"/>
      <c r="S2928" s="52"/>
      <c r="T2928" s="52"/>
      <c r="U2928" s="52"/>
      <c r="V2928" s="52"/>
      <c r="W2928" s="52"/>
      <c r="X2928" s="52"/>
      <c r="Y2928" s="52"/>
      <c r="Z2928" s="52"/>
      <c r="AA2928" s="52"/>
      <c r="AB2928" s="52"/>
      <c r="AC2928" s="52"/>
      <c r="AD2928" s="52"/>
      <c r="AE2928" s="52"/>
      <c r="AF2928" s="52"/>
      <c r="AG2928" s="52"/>
      <c r="AH2928" s="52"/>
      <c r="AI2928" s="52"/>
      <c r="AJ2928" s="52"/>
      <c r="AK2928" s="52"/>
      <c r="AL2928" s="52"/>
      <c r="AM2928" s="52"/>
      <c r="AN2928" s="52"/>
    </row>
    <row r="2929" spans="1:40" x14ac:dyDescent="0.3">
      <c r="A2929" s="52">
        <v>2924</v>
      </c>
      <c r="B2929" s="52">
        <f>-bthan*500+(23+0.5)*bthan*1000/50</f>
        <v>-165</v>
      </c>
      <c r="C2929" s="52">
        <f t="shared" si="280"/>
        <v>370.00000000000023</v>
      </c>
      <c r="D2929" s="52">
        <f t="shared" si="277"/>
        <v>2200</v>
      </c>
      <c r="E2929" s="52">
        <f t="shared" si="278"/>
        <v>1</v>
      </c>
      <c r="F2929" s="52"/>
      <c r="G2929" s="52"/>
      <c r="H2929" s="52"/>
      <c r="I2929" s="52"/>
      <c r="J2929" s="52"/>
      <c r="K2929" s="52"/>
      <c r="L2929" s="52"/>
      <c r="M2929" s="52"/>
      <c r="N2929" s="52"/>
      <c r="O2929" s="52"/>
      <c r="P2929" s="52"/>
      <c r="Q2929" s="52"/>
      <c r="R2929" s="52"/>
      <c r="S2929" s="52"/>
      <c r="T2929" s="52"/>
      <c r="U2929" s="52"/>
      <c r="V2929" s="52"/>
      <c r="W2929" s="52"/>
      <c r="X2929" s="52"/>
      <c r="Y2929" s="52"/>
      <c r="Z2929" s="52"/>
      <c r="AA2929" s="52"/>
      <c r="AB2929" s="52"/>
      <c r="AC2929" s="52"/>
      <c r="AD2929" s="52"/>
      <c r="AE2929" s="52"/>
      <c r="AF2929" s="52"/>
      <c r="AG2929" s="52"/>
      <c r="AH2929" s="52"/>
      <c r="AI2929" s="52"/>
      <c r="AJ2929" s="52"/>
      <c r="AK2929" s="52"/>
      <c r="AL2929" s="52"/>
      <c r="AM2929" s="52"/>
      <c r="AN2929" s="52"/>
    </row>
    <row r="2930" spans="1:40" x14ac:dyDescent="0.3">
      <c r="A2930" s="52">
        <v>2925</v>
      </c>
      <c r="B2930" s="52">
        <f>-bthan*500+(24+0.5)*bthan*1000/50</f>
        <v>-55</v>
      </c>
      <c r="C2930" s="52">
        <f t="shared" si="280"/>
        <v>370.00000000000023</v>
      </c>
      <c r="D2930" s="52">
        <f t="shared" si="277"/>
        <v>2200</v>
      </c>
      <c r="E2930" s="52">
        <f t="shared" si="278"/>
        <v>1</v>
      </c>
      <c r="F2930" s="52"/>
      <c r="G2930" s="52"/>
      <c r="H2930" s="52"/>
      <c r="I2930" s="52"/>
      <c r="J2930" s="52"/>
      <c r="K2930" s="52"/>
      <c r="L2930" s="52"/>
      <c r="M2930" s="52"/>
      <c r="N2930" s="52"/>
      <c r="O2930" s="52"/>
      <c r="P2930" s="52"/>
      <c r="Q2930" s="52"/>
      <c r="R2930" s="52"/>
      <c r="S2930" s="52"/>
      <c r="T2930" s="52"/>
      <c r="U2930" s="52"/>
      <c r="V2930" s="52"/>
      <c r="W2930" s="52"/>
      <c r="X2930" s="52"/>
      <c r="Y2930" s="52"/>
      <c r="Z2930" s="52"/>
      <c r="AA2930" s="52"/>
      <c r="AB2930" s="52"/>
      <c r="AC2930" s="52"/>
      <c r="AD2930" s="52"/>
      <c r="AE2930" s="52"/>
      <c r="AF2930" s="52"/>
      <c r="AG2930" s="52"/>
      <c r="AH2930" s="52"/>
      <c r="AI2930" s="52"/>
      <c r="AJ2930" s="52"/>
      <c r="AK2930" s="52"/>
      <c r="AL2930" s="52"/>
      <c r="AM2930" s="52"/>
      <c r="AN2930" s="52"/>
    </row>
    <row r="2931" spans="1:40" x14ac:dyDescent="0.3">
      <c r="A2931" s="52">
        <v>2926</v>
      </c>
      <c r="B2931" s="52">
        <f>-bthan*500+(25+0.5)*bthan*1000/50</f>
        <v>55</v>
      </c>
      <c r="C2931" s="52">
        <f t="shared" si="280"/>
        <v>370.00000000000023</v>
      </c>
      <c r="D2931" s="52">
        <f t="shared" si="277"/>
        <v>2200</v>
      </c>
      <c r="E2931" s="52">
        <f t="shared" si="278"/>
        <v>1</v>
      </c>
      <c r="F2931" s="52"/>
      <c r="G2931" s="52"/>
      <c r="H2931" s="52"/>
      <c r="I2931" s="52"/>
      <c r="J2931" s="52"/>
      <c r="K2931" s="52"/>
      <c r="L2931" s="52"/>
      <c r="M2931" s="52"/>
      <c r="N2931" s="52"/>
      <c r="O2931" s="52"/>
      <c r="P2931" s="52"/>
      <c r="Q2931" s="52"/>
      <c r="R2931" s="52"/>
      <c r="S2931" s="52"/>
      <c r="T2931" s="52"/>
      <c r="U2931" s="52"/>
      <c r="V2931" s="52"/>
      <c r="W2931" s="52"/>
      <c r="X2931" s="52"/>
      <c r="Y2931" s="52"/>
      <c r="Z2931" s="52"/>
      <c r="AA2931" s="52"/>
      <c r="AB2931" s="52"/>
      <c r="AC2931" s="52"/>
      <c r="AD2931" s="52"/>
      <c r="AE2931" s="52"/>
      <c r="AF2931" s="52"/>
      <c r="AG2931" s="52"/>
      <c r="AH2931" s="52"/>
      <c r="AI2931" s="52"/>
      <c r="AJ2931" s="52"/>
      <c r="AK2931" s="52"/>
      <c r="AL2931" s="52"/>
      <c r="AM2931" s="52"/>
      <c r="AN2931" s="52"/>
    </row>
    <row r="2932" spans="1:40" x14ac:dyDescent="0.3">
      <c r="A2932" s="52">
        <v>2927</v>
      </c>
      <c r="B2932" s="52">
        <f>-bthan*500+(26+0.5)*bthan*1000/50</f>
        <v>165</v>
      </c>
      <c r="C2932" s="52">
        <f t="shared" si="280"/>
        <v>370.00000000000023</v>
      </c>
      <c r="D2932" s="52">
        <f t="shared" si="277"/>
        <v>2200</v>
      </c>
      <c r="E2932" s="52">
        <f t="shared" si="278"/>
        <v>1</v>
      </c>
      <c r="F2932" s="52"/>
      <c r="G2932" s="52"/>
      <c r="H2932" s="52"/>
      <c r="I2932" s="52"/>
      <c r="J2932" s="52"/>
      <c r="K2932" s="52"/>
      <c r="L2932" s="52"/>
      <c r="M2932" s="52"/>
      <c r="N2932" s="52"/>
      <c r="O2932" s="52"/>
      <c r="P2932" s="52"/>
      <c r="Q2932" s="52"/>
      <c r="R2932" s="52"/>
      <c r="S2932" s="52"/>
      <c r="T2932" s="52"/>
      <c r="U2932" s="52"/>
      <c r="V2932" s="52"/>
      <c r="W2932" s="52"/>
      <c r="X2932" s="52"/>
      <c r="Y2932" s="52"/>
      <c r="Z2932" s="52"/>
      <c r="AA2932" s="52"/>
      <c r="AB2932" s="52"/>
      <c r="AC2932" s="52"/>
      <c r="AD2932" s="52"/>
      <c r="AE2932" s="52"/>
      <c r="AF2932" s="52"/>
      <c r="AG2932" s="52"/>
      <c r="AH2932" s="52"/>
      <c r="AI2932" s="52"/>
      <c r="AJ2932" s="52"/>
      <c r="AK2932" s="52"/>
      <c r="AL2932" s="52"/>
      <c r="AM2932" s="52"/>
      <c r="AN2932" s="52"/>
    </row>
    <row r="2933" spans="1:40" x14ac:dyDescent="0.3">
      <c r="A2933" s="52">
        <v>2928</v>
      </c>
      <c r="B2933" s="52">
        <f>-bthan*500+(27+0.5)*bthan*1000/50</f>
        <v>275</v>
      </c>
      <c r="C2933" s="52">
        <f t="shared" si="280"/>
        <v>370.00000000000023</v>
      </c>
      <c r="D2933" s="52">
        <f t="shared" si="277"/>
        <v>2200</v>
      </c>
      <c r="E2933" s="52">
        <f t="shared" si="278"/>
        <v>1</v>
      </c>
      <c r="F2933" s="52"/>
      <c r="G2933" s="52"/>
      <c r="H2933" s="52"/>
      <c r="I2933" s="52"/>
      <c r="J2933" s="52"/>
      <c r="K2933" s="52"/>
      <c r="L2933" s="52"/>
      <c r="M2933" s="52"/>
      <c r="N2933" s="52"/>
      <c r="O2933" s="52"/>
      <c r="P2933" s="52"/>
      <c r="Q2933" s="52"/>
      <c r="R2933" s="52"/>
      <c r="S2933" s="52"/>
      <c r="T2933" s="52"/>
      <c r="U2933" s="52"/>
      <c r="V2933" s="52"/>
      <c r="W2933" s="52"/>
      <c r="X2933" s="52"/>
      <c r="Y2933" s="52"/>
      <c r="Z2933" s="52"/>
      <c r="AA2933" s="52"/>
      <c r="AB2933" s="52"/>
      <c r="AC2933" s="52"/>
      <c r="AD2933" s="52"/>
      <c r="AE2933" s="52"/>
      <c r="AF2933" s="52"/>
      <c r="AG2933" s="52"/>
      <c r="AH2933" s="52"/>
      <c r="AI2933" s="52"/>
      <c r="AJ2933" s="52"/>
      <c r="AK2933" s="52"/>
      <c r="AL2933" s="52"/>
      <c r="AM2933" s="52"/>
      <c r="AN2933" s="52"/>
    </row>
    <row r="2934" spans="1:40" x14ac:dyDescent="0.3">
      <c r="A2934" s="52">
        <v>2929</v>
      </c>
      <c r="B2934" s="52">
        <f>-bthan*500+(28+0.5)*bthan*1000/50</f>
        <v>385</v>
      </c>
      <c r="C2934" s="52">
        <f t="shared" si="280"/>
        <v>370.00000000000023</v>
      </c>
      <c r="D2934" s="52">
        <f t="shared" si="277"/>
        <v>2200</v>
      </c>
      <c r="E2934" s="52">
        <f t="shared" si="278"/>
        <v>1</v>
      </c>
      <c r="F2934" s="52"/>
      <c r="G2934" s="52"/>
      <c r="H2934" s="52"/>
      <c r="I2934" s="52"/>
      <c r="J2934" s="52"/>
      <c r="K2934" s="52"/>
      <c r="L2934" s="52"/>
      <c r="M2934" s="52"/>
      <c r="N2934" s="52"/>
      <c r="O2934" s="52"/>
      <c r="P2934" s="52"/>
      <c r="Q2934" s="52"/>
      <c r="R2934" s="52"/>
      <c r="S2934" s="52"/>
      <c r="T2934" s="52"/>
      <c r="U2934" s="52"/>
      <c r="V2934" s="52"/>
      <c r="W2934" s="52"/>
      <c r="X2934" s="52"/>
      <c r="Y2934" s="52"/>
      <c r="Z2934" s="52"/>
      <c r="AA2934" s="52"/>
      <c r="AB2934" s="52"/>
      <c r="AC2934" s="52"/>
      <c r="AD2934" s="52"/>
      <c r="AE2934" s="52"/>
      <c r="AF2934" s="52"/>
      <c r="AG2934" s="52"/>
      <c r="AH2934" s="52"/>
      <c r="AI2934" s="52"/>
      <c r="AJ2934" s="52"/>
      <c r="AK2934" s="52"/>
      <c r="AL2934" s="52"/>
      <c r="AM2934" s="52"/>
      <c r="AN2934" s="52"/>
    </row>
    <row r="2935" spans="1:40" x14ac:dyDescent="0.3">
      <c r="A2935" s="52">
        <v>2930</v>
      </c>
      <c r="B2935" s="52">
        <f>-bthan*500+(29+0.5)*bthan*1000/50</f>
        <v>495</v>
      </c>
      <c r="C2935" s="52">
        <f t="shared" si="280"/>
        <v>370.00000000000023</v>
      </c>
      <c r="D2935" s="52">
        <f t="shared" si="277"/>
        <v>2200</v>
      </c>
      <c r="E2935" s="52">
        <f t="shared" si="278"/>
        <v>1</v>
      </c>
      <c r="F2935" s="52"/>
      <c r="G2935" s="52"/>
      <c r="H2935" s="52"/>
      <c r="I2935" s="52"/>
      <c r="J2935" s="52"/>
      <c r="K2935" s="52"/>
      <c r="L2935" s="52"/>
      <c r="M2935" s="52"/>
      <c r="N2935" s="52"/>
      <c r="O2935" s="52"/>
      <c r="P2935" s="52"/>
      <c r="Q2935" s="52"/>
      <c r="R2935" s="52"/>
      <c r="S2935" s="52"/>
      <c r="T2935" s="52"/>
      <c r="U2935" s="52"/>
      <c r="V2935" s="52"/>
      <c r="W2935" s="52"/>
      <c r="X2935" s="52"/>
      <c r="Y2935" s="52"/>
      <c r="Z2935" s="52"/>
      <c r="AA2935" s="52"/>
      <c r="AB2935" s="52"/>
      <c r="AC2935" s="52"/>
      <c r="AD2935" s="52"/>
      <c r="AE2935" s="52"/>
      <c r="AF2935" s="52"/>
      <c r="AG2935" s="52"/>
      <c r="AH2935" s="52"/>
      <c r="AI2935" s="52"/>
      <c r="AJ2935" s="52"/>
      <c r="AK2935" s="52"/>
      <c r="AL2935" s="52"/>
      <c r="AM2935" s="52"/>
      <c r="AN2935" s="52"/>
    </row>
    <row r="2936" spans="1:40" x14ac:dyDescent="0.3">
      <c r="A2936" s="52">
        <v>2931</v>
      </c>
      <c r="B2936" s="52">
        <f>-bthan*500+(30+0.5)*bthan*1000/50</f>
        <v>605</v>
      </c>
      <c r="C2936" s="52">
        <f t="shared" si="280"/>
        <v>370.00000000000023</v>
      </c>
      <c r="D2936" s="52">
        <f t="shared" si="277"/>
        <v>2200</v>
      </c>
      <c r="E2936" s="52">
        <f t="shared" si="278"/>
        <v>1</v>
      </c>
      <c r="F2936" s="52"/>
      <c r="G2936" s="52"/>
      <c r="H2936" s="52"/>
      <c r="I2936" s="52"/>
      <c r="J2936" s="52"/>
      <c r="K2936" s="52"/>
      <c r="L2936" s="52"/>
      <c r="M2936" s="52"/>
      <c r="N2936" s="52"/>
      <c r="O2936" s="52"/>
      <c r="P2936" s="52"/>
      <c r="Q2936" s="52"/>
      <c r="R2936" s="52"/>
      <c r="S2936" s="52"/>
      <c r="T2936" s="52"/>
      <c r="U2936" s="52"/>
      <c r="V2936" s="52"/>
      <c r="W2936" s="52"/>
      <c r="X2936" s="52"/>
      <c r="Y2936" s="52"/>
      <c r="Z2936" s="52"/>
      <c r="AA2936" s="52"/>
      <c r="AB2936" s="52"/>
      <c r="AC2936" s="52"/>
      <c r="AD2936" s="52"/>
      <c r="AE2936" s="52"/>
      <c r="AF2936" s="52"/>
      <c r="AG2936" s="52"/>
      <c r="AH2936" s="52"/>
      <c r="AI2936" s="52"/>
      <c r="AJ2936" s="52"/>
      <c r="AK2936" s="52"/>
      <c r="AL2936" s="52"/>
      <c r="AM2936" s="52"/>
      <c r="AN2936" s="52"/>
    </row>
    <row r="2937" spans="1:40" x14ac:dyDescent="0.3">
      <c r="A2937" s="52">
        <v>2932</v>
      </c>
      <c r="B2937" s="52">
        <f>-bthan*500+(31+0.5)*bthan*1000/50</f>
        <v>715</v>
      </c>
      <c r="C2937" s="52">
        <f t="shared" si="280"/>
        <v>370.00000000000023</v>
      </c>
      <c r="D2937" s="52">
        <f t="shared" si="277"/>
        <v>2200</v>
      </c>
      <c r="E2937" s="52">
        <f t="shared" si="278"/>
        <v>1</v>
      </c>
      <c r="F2937" s="52"/>
      <c r="G2937" s="52"/>
      <c r="H2937" s="52"/>
      <c r="I2937" s="52"/>
      <c r="J2937" s="52"/>
      <c r="K2937" s="52"/>
      <c r="L2937" s="52"/>
      <c r="M2937" s="52"/>
      <c r="N2937" s="52"/>
      <c r="O2937" s="52"/>
      <c r="P2937" s="52"/>
      <c r="Q2937" s="52"/>
      <c r="R2937" s="52"/>
      <c r="S2937" s="52"/>
      <c r="T2937" s="52"/>
      <c r="U2937" s="52"/>
      <c r="V2937" s="52"/>
      <c r="W2937" s="52"/>
      <c r="X2937" s="52"/>
      <c r="Y2937" s="52"/>
      <c r="Z2937" s="52"/>
      <c r="AA2937" s="52"/>
      <c r="AB2937" s="52"/>
      <c r="AC2937" s="52"/>
      <c r="AD2937" s="52"/>
      <c r="AE2937" s="52"/>
      <c r="AF2937" s="52"/>
      <c r="AG2937" s="52"/>
      <c r="AH2937" s="52"/>
      <c r="AI2937" s="52"/>
      <c r="AJ2937" s="52"/>
      <c r="AK2937" s="52"/>
      <c r="AL2937" s="52"/>
      <c r="AM2937" s="52"/>
      <c r="AN2937" s="52"/>
    </row>
    <row r="2938" spans="1:40" x14ac:dyDescent="0.3">
      <c r="A2938" s="52">
        <v>2933</v>
      </c>
      <c r="B2938" s="52">
        <f>-bthan*500+(32+0.5)*bthan*1000/50</f>
        <v>825</v>
      </c>
      <c r="C2938" s="52">
        <f t="shared" ref="C2938:C2955" si="281">-hthan*500+(58+0.5)*hthan*1000/80</f>
        <v>370.00000000000023</v>
      </c>
      <c r="D2938" s="52">
        <f t="shared" si="277"/>
        <v>2200</v>
      </c>
      <c r="E2938" s="52">
        <f t="shared" si="278"/>
        <v>1</v>
      </c>
      <c r="F2938" s="52"/>
      <c r="G2938" s="52"/>
      <c r="H2938" s="52"/>
      <c r="I2938" s="52"/>
      <c r="J2938" s="52"/>
      <c r="K2938" s="52"/>
      <c r="L2938" s="52"/>
      <c r="M2938" s="52"/>
      <c r="N2938" s="52"/>
      <c r="O2938" s="52"/>
      <c r="P2938" s="52"/>
      <c r="Q2938" s="52"/>
      <c r="R2938" s="52"/>
      <c r="S2938" s="52"/>
      <c r="T2938" s="52"/>
      <c r="U2938" s="52"/>
      <c r="V2938" s="52"/>
      <c r="W2938" s="52"/>
      <c r="X2938" s="52"/>
      <c r="Y2938" s="52"/>
      <c r="Z2938" s="52"/>
      <c r="AA2938" s="52"/>
      <c r="AB2938" s="52"/>
      <c r="AC2938" s="52"/>
      <c r="AD2938" s="52"/>
      <c r="AE2938" s="52"/>
      <c r="AF2938" s="52"/>
      <c r="AG2938" s="52"/>
      <c r="AH2938" s="52"/>
      <c r="AI2938" s="52"/>
      <c r="AJ2938" s="52"/>
      <c r="AK2938" s="52"/>
      <c r="AL2938" s="52"/>
      <c r="AM2938" s="52"/>
      <c r="AN2938" s="52"/>
    </row>
    <row r="2939" spans="1:40" x14ac:dyDescent="0.3">
      <c r="A2939" s="52">
        <v>2934</v>
      </c>
      <c r="B2939" s="52">
        <f>-bthan*500+(33+0.5)*bthan*1000/50</f>
        <v>935</v>
      </c>
      <c r="C2939" s="52">
        <f t="shared" si="281"/>
        <v>370.00000000000023</v>
      </c>
      <c r="D2939" s="52">
        <f t="shared" si="277"/>
        <v>2200</v>
      </c>
      <c r="E2939" s="52">
        <f t="shared" si="278"/>
        <v>1</v>
      </c>
      <c r="F2939" s="52"/>
      <c r="G2939" s="52"/>
      <c r="H2939" s="52"/>
      <c r="I2939" s="52"/>
      <c r="J2939" s="52"/>
      <c r="K2939" s="52"/>
      <c r="L2939" s="52"/>
      <c r="M2939" s="52"/>
      <c r="N2939" s="52"/>
      <c r="O2939" s="52"/>
      <c r="P2939" s="52"/>
      <c r="Q2939" s="52"/>
      <c r="R2939" s="52"/>
      <c r="S2939" s="52"/>
      <c r="T2939" s="52"/>
      <c r="U2939" s="52"/>
      <c r="V2939" s="52"/>
      <c r="W2939" s="52"/>
      <c r="X2939" s="52"/>
      <c r="Y2939" s="52"/>
      <c r="Z2939" s="52"/>
      <c r="AA2939" s="52"/>
      <c r="AB2939" s="52"/>
      <c r="AC2939" s="52"/>
      <c r="AD2939" s="52"/>
      <c r="AE2939" s="52"/>
      <c r="AF2939" s="52"/>
      <c r="AG2939" s="52"/>
      <c r="AH2939" s="52"/>
      <c r="AI2939" s="52"/>
      <c r="AJ2939" s="52"/>
      <c r="AK2939" s="52"/>
      <c r="AL2939" s="52"/>
      <c r="AM2939" s="52"/>
      <c r="AN2939" s="52"/>
    </row>
    <row r="2940" spans="1:40" x14ac:dyDescent="0.3">
      <c r="A2940" s="52">
        <v>2935</v>
      </c>
      <c r="B2940" s="52">
        <f>-bthan*500+(34+0.5)*bthan*1000/50</f>
        <v>1045</v>
      </c>
      <c r="C2940" s="52">
        <f t="shared" si="281"/>
        <v>370.00000000000023</v>
      </c>
      <c r="D2940" s="52">
        <f t="shared" si="277"/>
        <v>2200</v>
      </c>
      <c r="E2940" s="52">
        <f t="shared" si="278"/>
        <v>1</v>
      </c>
      <c r="F2940" s="52"/>
      <c r="G2940" s="52"/>
      <c r="H2940" s="52"/>
      <c r="I2940" s="52"/>
      <c r="J2940" s="52"/>
      <c r="K2940" s="52"/>
      <c r="L2940" s="52"/>
      <c r="M2940" s="52"/>
      <c r="N2940" s="52"/>
      <c r="O2940" s="52"/>
      <c r="P2940" s="52"/>
      <c r="Q2940" s="52"/>
      <c r="R2940" s="52"/>
      <c r="S2940" s="52"/>
      <c r="T2940" s="52"/>
      <c r="U2940" s="52"/>
      <c r="V2940" s="52"/>
      <c r="W2940" s="52"/>
      <c r="X2940" s="52"/>
      <c r="Y2940" s="52"/>
      <c r="Z2940" s="52"/>
      <c r="AA2940" s="52"/>
      <c r="AB2940" s="52"/>
      <c r="AC2940" s="52"/>
      <c r="AD2940" s="52"/>
      <c r="AE2940" s="52"/>
      <c r="AF2940" s="52"/>
      <c r="AG2940" s="52"/>
      <c r="AH2940" s="52"/>
      <c r="AI2940" s="52"/>
      <c r="AJ2940" s="52"/>
      <c r="AK2940" s="52"/>
      <c r="AL2940" s="52"/>
      <c r="AM2940" s="52"/>
      <c r="AN2940" s="52"/>
    </row>
    <row r="2941" spans="1:40" x14ac:dyDescent="0.3">
      <c r="A2941" s="52">
        <v>2936</v>
      </c>
      <c r="B2941" s="52">
        <f>-bthan*500+(35+0.5)*bthan*1000/50</f>
        <v>1155</v>
      </c>
      <c r="C2941" s="52">
        <f t="shared" si="281"/>
        <v>370.00000000000023</v>
      </c>
      <c r="D2941" s="52">
        <f t="shared" si="277"/>
        <v>2200</v>
      </c>
      <c r="E2941" s="52">
        <f t="shared" si="278"/>
        <v>1</v>
      </c>
      <c r="F2941" s="52"/>
      <c r="G2941" s="52"/>
      <c r="H2941" s="52"/>
      <c r="I2941" s="52"/>
      <c r="J2941" s="52"/>
      <c r="K2941" s="52"/>
      <c r="L2941" s="52"/>
      <c r="M2941" s="52"/>
      <c r="N2941" s="52"/>
      <c r="O2941" s="52"/>
      <c r="P2941" s="52"/>
      <c r="Q2941" s="52"/>
      <c r="R2941" s="52"/>
      <c r="S2941" s="52"/>
      <c r="T2941" s="52"/>
      <c r="U2941" s="52"/>
      <c r="V2941" s="52"/>
      <c r="W2941" s="52"/>
      <c r="X2941" s="52"/>
      <c r="Y2941" s="52"/>
      <c r="Z2941" s="52"/>
      <c r="AA2941" s="52"/>
      <c r="AB2941" s="52"/>
      <c r="AC2941" s="52"/>
      <c r="AD2941" s="52"/>
      <c r="AE2941" s="52"/>
      <c r="AF2941" s="52"/>
      <c r="AG2941" s="52"/>
      <c r="AH2941" s="52"/>
      <c r="AI2941" s="52"/>
      <c r="AJ2941" s="52"/>
      <c r="AK2941" s="52"/>
      <c r="AL2941" s="52"/>
      <c r="AM2941" s="52"/>
      <c r="AN2941" s="52"/>
    </row>
    <row r="2942" spans="1:40" x14ac:dyDescent="0.3">
      <c r="A2942" s="52">
        <v>2937</v>
      </c>
      <c r="B2942" s="52">
        <f>-bthan*500+(36+0.5)*bthan*1000/50</f>
        <v>1265</v>
      </c>
      <c r="C2942" s="52">
        <f t="shared" si="281"/>
        <v>370.00000000000023</v>
      </c>
      <c r="D2942" s="52">
        <f t="shared" si="277"/>
        <v>2200</v>
      </c>
      <c r="E2942" s="52">
        <f t="shared" si="278"/>
        <v>1</v>
      </c>
      <c r="F2942" s="52"/>
      <c r="G2942" s="52"/>
      <c r="H2942" s="52"/>
      <c r="I2942" s="52"/>
      <c r="J2942" s="52"/>
      <c r="K2942" s="52"/>
      <c r="L2942" s="52"/>
      <c r="M2942" s="52"/>
      <c r="N2942" s="52"/>
      <c r="O2942" s="52"/>
      <c r="P2942" s="52"/>
      <c r="Q2942" s="52"/>
      <c r="R2942" s="52"/>
      <c r="S2942" s="52"/>
      <c r="T2942" s="52"/>
      <c r="U2942" s="52"/>
      <c r="V2942" s="52"/>
      <c r="W2942" s="52"/>
      <c r="X2942" s="52"/>
      <c r="Y2942" s="52"/>
      <c r="Z2942" s="52"/>
      <c r="AA2942" s="52"/>
      <c r="AB2942" s="52"/>
      <c r="AC2942" s="52"/>
      <c r="AD2942" s="52"/>
      <c r="AE2942" s="52"/>
      <c r="AF2942" s="52"/>
      <c r="AG2942" s="52"/>
      <c r="AH2942" s="52"/>
      <c r="AI2942" s="52"/>
      <c r="AJ2942" s="52"/>
      <c r="AK2942" s="52"/>
      <c r="AL2942" s="52"/>
      <c r="AM2942" s="52"/>
      <c r="AN2942" s="52"/>
    </row>
    <row r="2943" spans="1:40" x14ac:dyDescent="0.3">
      <c r="A2943" s="52">
        <v>2938</v>
      </c>
      <c r="B2943" s="52">
        <f>-bthan*500+(37+0.5)*bthan*1000/50</f>
        <v>1375</v>
      </c>
      <c r="C2943" s="52">
        <f t="shared" si="281"/>
        <v>370.00000000000023</v>
      </c>
      <c r="D2943" s="52">
        <f t="shared" si="277"/>
        <v>2200</v>
      </c>
      <c r="E2943" s="52">
        <f t="shared" si="278"/>
        <v>1</v>
      </c>
      <c r="F2943" s="52"/>
      <c r="G2943" s="52"/>
      <c r="H2943" s="52"/>
      <c r="I2943" s="52"/>
      <c r="J2943" s="52"/>
      <c r="K2943" s="52"/>
      <c r="L2943" s="52"/>
      <c r="M2943" s="52"/>
      <c r="N2943" s="52"/>
      <c r="O2943" s="52"/>
      <c r="P2943" s="52"/>
      <c r="Q2943" s="52"/>
      <c r="R2943" s="52"/>
      <c r="S2943" s="52"/>
      <c r="T2943" s="52"/>
      <c r="U2943" s="52"/>
      <c r="V2943" s="52"/>
      <c r="W2943" s="52"/>
      <c r="X2943" s="52"/>
      <c r="Y2943" s="52"/>
      <c r="Z2943" s="52"/>
      <c r="AA2943" s="52"/>
      <c r="AB2943" s="52"/>
      <c r="AC2943" s="52"/>
      <c r="AD2943" s="52"/>
      <c r="AE2943" s="52"/>
      <c r="AF2943" s="52"/>
      <c r="AG2943" s="52"/>
      <c r="AH2943" s="52"/>
      <c r="AI2943" s="52"/>
      <c r="AJ2943" s="52"/>
      <c r="AK2943" s="52"/>
      <c r="AL2943" s="52"/>
      <c r="AM2943" s="52"/>
      <c r="AN2943" s="52"/>
    </row>
    <row r="2944" spans="1:40" x14ac:dyDescent="0.3">
      <c r="A2944" s="52">
        <v>2939</v>
      </c>
      <c r="B2944" s="52">
        <f>-bthan*500+(38+0.5)*bthan*1000/50</f>
        <v>1485</v>
      </c>
      <c r="C2944" s="52">
        <f t="shared" si="281"/>
        <v>370.00000000000023</v>
      </c>
      <c r="D2944" s="52">
        <f t="shared" si="277"/>
        <v>2200</v>
      </c>
      <c r="E2944" s="52">
        <f t="shared" si="278"/>
        <v>1</v>
      </c>
      <c r="F2944" s="52"/>
      <c r="G2944" s="52"/>
      <c r="H2944" s="52"/>
      <c r="I2944" s="52"/>
      <c r="J2944" s="52"/>
      <c r="K2944" s="52"/>
      <c r="L2944" s="52"/>
      <c r="M2944" s="52"/>
      <c r="N2944" s="52"/>
      <c r="O2944" s="52"/>
      <c r="P2944" s="52"/>
      <c r="Q2944" s="52"/>
      <c r="R2944" s="52"/>
      <c r="S2944" s="52"/>
      <c r="T2944" s="52"/>
      <c r="U2944" s="52"/>
      <c r="V2944" s="52"/>
      <c r="W2944" s="52"/>
      <c r="X2944" s="52"/>
      <c r="Y2944" s="52"/>
      <c r="Z2944" s="52"/>
      <c r="AA2944" s="52"/>
      <c r="AB2944" s="52"/>
      <c r="AC2944" s="52"/>
      <c r="AD2944" s="52"/>
      <c r="AE2944" s="52"/>
      <c r="AF2944" s="52"/>
      <c r="AG2944" s="52"/>
      <c r="AH2944" s="52"/>
      <c r="AI2944" s="52"/>
      <c r="AJ2944" s="52"/>
      <c r="AK2944" s="52"/>
      <c r="AL2944" s="52"/>
      <c r="AM2944" s="52"/>
      <c r="AN2944" s="52"/>
    </row>
    <row r="2945" spans="1:40" x14ac:dyDescent="0.3">
      <c r="A2945" s="52">
        <v>2940</v>
      </c>
      <c r="B2945" s="52">
        <f>-bthan*500+(39+0.5)*bthan*1000/50</f>
        <v>1595</v>
      </c>
      <c r="C2945" s="52">
        <f t="shared" si="281"/>
        <v>370.00000000000023</v>
      </c>
      <c r="D2945" s="52">
        <f t="shared" si="277"/>
        <v>2200</v>
      </c>
      <c r="E2945" s="52">
        <f t="shared" si="278"/>
        <v>1</v>
      </c>
      <c r="F2945" s="52"/>
      <c r="G2945" s="52"/>
      <c r="H2945" s="52"/>
      <c r="I2945" s="52"/>
      <c r="J2945" s="52"/>
      <c r="K2945" s="52"/>
      <c r="L2945" s="52"/>
      <c r="M2945" s="52"/>
      <c r="N2945" s="52"/>
      <c r="O2945" s="52"/>
      <c r="P2945" s="52"/>
      <c r="Q2945" s="52"/>
      <c r="R2945" s="52"/>
      <c r="S2945" s="52"/>
      <c r="T2945" s="52"/>
      <c r="U2945" s="52"/>
      <c r="V2945" s="52"/>
      <c r="W2945" s="52"/>
      <c r="X2945" s="52"/>
      <c r="Y2945" s="52"/>
      <c r="Z2945" s="52"/>
      <c r="AA2945" s="52"/>
      <c r="AB2945" s="52"/>
      <c r="AC2945" s="52"/>
      <c r="AD2945" s="52"/>
      <c r="AE2945" s="52"/>
      <c r="AF2945" s="52"/>
      <c r="AG2945" s="52"/>
      <c r="AH2945" s="52"/>
      <c r="AI2945" s="52"/>
      <c r="AJ2945" s="52"/>
      <c r="AK2945" s="52"/>
      <c r="AL2945" s="52"/>
      <c r="AM2945" s="52"/>
      <c r="AN2945" s="52"/>
    </row>
    <row r="2946" spans="1:40" x14ac:dyDescent="0.3">
      <c r="A2946" s="52">
        <v>2941</v>
      </c>
      <c r="B2946" s="52">
        <f>-bthan*500+(40+0.5)*bthan*1000/50</f>
        <v>1705</v>
      </c>
      <c r="C2946" s="52">
        <f t="shared" si="281"/>
        <v>370.00000000000023</v>
      </c>
      <c r="D2946" s="52">
        <f t="shared" si="277"/>
        <v>2200</v>
      </c>
      <c r="E2946" s="52">
        <f t="shared" si="278"/>
        <v>1</v>
      </c>
      <c r="F2946" s="52"/>
      <c r="G2946" s="52"/>
      <c r="H2946" s="52"/>
      <c r="I2946" s="52"/>
      <c r="J2946" s="52"/>
      <c r="K2946" s="52"/>
      <c r="L2946" s="52"/>
      <c r="M2946" s="52"/>
      <c r="N2946" s="52"/>
      <c r="O2946" s="52"/>
      <c r="P2946" s="52"/>
      <c r="Q2946" s="52"/>
      <c r="R2946" s="52"/>
      <c r="S2946" s="52"/>
      <c r="T2946" s="52"/>
      <c r="U2946" s="52"/>
      <c r="V2946" s="52"/>
      <c r="W2946" s="52"/>
      <c r="X2946" s="52"/>
      <c r="Y2946" s="52"/>
      <c r="Z2946" s="52"/>
      <c r="AA2946" s="52"/>
      <c r="AB2946" s="52"/>
      <c r="AC2946" s="52"/>
      <c r="AD2946" s="52"/>
      <c r="AE2946" s="52"/>
      <c r="AF2946" s="52"/>
      <c r="AG2946" s="52"/>
      <c r="AH2946" s="52"/>
      <c r="AI2946" s="52"/>
      <c r="AJ2946" s="52"/>
      <c r="AK2946" s="52"/>
      <c r="AL2946" s="52"/>
      <c r="AM2946" s="52"/>
      <c r="AN2946" s="52"/>
    </row>
    <row r="2947" spans="1:40" x14ac:dyDescent="0.3">
      <c r="A2947" s="52">
        <v>2942</v>
      </c>
      <c r="B2947" s="52">
        <f>-bthan*500+(41+0.5)*bthan*1000/50</f>
        <v>1815</v>
      </c>
      <c r="C2947" s="52">
        <f t="shared" si="281"/>
        <v>370.00000000000023</v>
      </c>
      <c r="D2947" s="52">
        <f t="shared" si="277"/>
        <v>2200</v>
      </c>
      <c r="E2947" s="52">
        <f t="shared" si="278"/>
        <v>1</v>
      </c>
      <c r="F2947" s="52"/>
      <c r="G2947" s="52"/>
      <c r="H2947" s="52"/>
      <c r="I2947" s="52"/>
      <c r="J2947" s="52"/>
      <c r="K2947" s="52"/>
      <c r="L2947" s="52"/>
      <c r="M2947" s="52"/>
      <c r="N2947" s="52"/>
      <c r="O2947" s="52"/>
      <c r="P2947" s="52"/>
      <c r="Q2947" s="52"/>
      <c r="R2947" s="52"/>
      <c r="S2947" s="52"/>
      <c r="T2947" s="52"/>
      <c r="U2947" s="52"/>
      <c r="V2947" s="52"/>
      <c r="W2947" s="52"/>
      <c r="X2947" s="52"/>
      <c r="Y2947" s="52"/>
      <c r="Z2947" s="52"/>
      <c r="AA2947" s="52"/>
      <c r="AB2947" s="52"/>
      <c r="AC2947" s="52"/>
      <c r="AD2947" s="52"/>
      <c r="AE2947" s="52"/>
      <c r="AF2947" s="52"/>
      <c r="AG2947" s="52"/>
      <c r="AH2947" s="52"/>
      <c r="AI2947" s="52"/>
      <c r="AJ2947" s="52"/>
      <c r="AK2947" s="52"/>
      <c r="AL2947" s="52"/>
      <c r="AM2947" s="52"/>
      <c r="AN2947" s="52"/>
    </row>
    <row r="2948" spans="1:40" x14ac:dyDescent="0.3">
      <c r="A2948" s="52">
        <v>2943</v>
      </c>
      <c r="B2948" s="52">
        <f>-bthan*500+(42+0.5)*bthan*1000/50</f>
        <v>1925</v>
      </c>
      <c r="C2948" s="52">
        <f t="shared" si="281"/>
        <v>370.00000000000023</v>
      </c>
      <c r="D2948" s="52">
        <f t="shared" si="277"/>
        <v>2200</v>
      </c>
      <c r="E2948" s="52">
        <f t="shared" si="278"/>
        <v>1</v>
      </c>
      <c r="F2948" s="52"/>
      <c r="G2948" s="52"/>
      <c r="H2948" s="52"/>
      <c r="I2948" s="52"/>
      <c r="J2948" s="52"/>
      <c r="K2948" s="52"/>
      <c r="L2948" s="52"/>
      <c r="M2948" s="52"/>
      <c r="N2948" s="52"/>
      <c r="O2948" s="52"/>
      <c r="P2948" s="52"/>
      <c r="Q2948" s="52"/>
      <c r="R2948" s="52"/>
      <c r="S2948" s="52"/>
      <c r="T2948" s="52"/>
      <c r="U2948" s="52"/>
      <c r="V2948" s="52"/>
      <c r="W2948" s="52"/>
      <c r="X2948" s="52"/>
      <c r="Y2948" s="52"/>
      <c r="Z2948" s="52"/>
      <c r="AA2948" s="52"/>
      <c r="AB2948" s="52"/>
      <c r="AC2948" s="52"/>
      <c r="AD2948" s="52"/>
      <c r="AE2948" s="52"/>
      <c r="AF2948" s="52"/>
      <c r="AG2948" s="52"/>
      <c r="AH2948" s="52"/>
      <c r="AI2948" s="52"/>
      <c r="AJ2948" s="52"/>
      <c r="AK2948" s="52"/>
      <c r="AL2948" s="52"/>
      <c r="AM2948" s="52"/>
      <c r="AN2948" s="52"/>
    </row>
    <row r="2949" spans="1:40" x14ac:dyDescent="0.3">
      <c r="A2949" s="52">
        <v>2944</v>
      </c>
      <c r="B2949" s="52">
        <f>-bthan*500+(43+0.5)*bthan*1000/50</f>
        <v>2035</v>
      </c>
      <c r="C2949" s="52">
        <f t="shared" si="281"/>
        <v>370.00000000000023</v>
      </c>
      <c r="D2949" s="52">
        <f t="shared" si="277"/>
        <v>2200</v>
      </c>
      <c r="E2949" s="52">
        <f t="shared" si="278"/>
        <v>1</v>
      </c>
      <c r="F2949" s="52"/>
      <c r="G2949" s="52"/>
      <c r="H2949" s="52"/>
      <c r="I2949" s="52"/>
      <c r="J2949" s="52"/>
      <c r="K2949" s="52"/>
      <c r="L2949" s="52"/>
      <c r="M2949" s="52"/>
      <c r="N2949" s="52"/>
      <c r="O2949" s="52"/>
      <c r="P2949" s="52"/>
      <c r="Q2949" s="52"/>
      <c r="R2949" s="52"/>
      <c r="S2949" s="52"/>
      <c r="T2949" s="52"/>
      <c r="U2949" s="52"/>
      <c r="V2949" s="52"/>
      <c r="W2949" s="52"/>
      <c r="X2949" s="52"/>
      <c r="Y2949" s="52"/>
      <c r="Z2949" s="52"/>
      <c r="AA2949" s="52"/>
      <c r="AB2949" s="52"/>
      <c r="AC2949" s="52"/>
      <c r="AD2949" s="52"/>
      <c r="AE2949" s="52"/>
      <c r="AF2949" s="52"/>
      <c r="AG2949" s="52"/>
      <c r="AH2949" s="52"/>
      <c r="AI2949" s="52"/>
      <c r="AJ2949" s="52"/>
      <c r="AK2949" s="52"/>
      <c r="AL2949" s="52"/>
      <c r="AM2949" s="52"/>
      <c r="AN2949" s="52"/>
    </row>
    <row r="2950" spans="1:40" x14ac:dyDescent="0.3">
      <c r="A2950" s="52">
        <v>2945</v>
      </c>
      <c r="B2950" s="52">
        <f>-bthan*500+(44+0.5)*bthan*1000/50</f>
        <v>2145</v>
      </c>
      <c r="C2950" s="52">
        <f t="shared" si="281"/>
        <v>370.00000000000023</v>
      </c>
      <c r="D2950" s="52">
        <f t="shared" ref="D2950:D3013" si="282">bthan*1000/50*hthan*1000/80</f>
        <v>2200</v>
      </c>
      <c r="E2950" s="52">
        <f t="shared" ref="E2950:E3013" si="283">IF(shp=1,--(OR(ABS(B2950)&lt;=MAX(0,(bthan-hthan)*500),(ABS(B2950)-MAX(0,(bthan-hthan)*500))^2+C2950^2&lt;=(hthan*500)^2)),--(AND(ABS(B2950)&lt;=bthan*500,ABS(C2950)&lt;=hthan*500,OR(ABS(B2950)&lt;=bthan*500-cch*1000,ABS(C2950)&lt;=hthan*500-cch*1000,(bthan*500-ABS(B2950))+(hthan*500-ABS(C2950))&gt;=cch*1000))))</f>
        <v>1</v>
      </c>
      <c r="F2950" s="52"/>
      <c r="G2950" s="52"/>
      <c r="H2950" s="52"/>
      <c r="I2950" s="52"/>
      <c r="J2950" s="52"/>
      <c r="K2950" s="52"/>
      <c r="L2950" s="52"/>
      <c r="M2950" s="52"/>
      <c r="N2950" s="52"/>
      <c r="O2950" s="52"/>
      <c r="P2950" s="52"/>
      <c r="Q2950" s="52"/>
      <c r="R2950" s="52"/>
      <c r="S2950" s="52"/>
      <c r="T2950" s="52"/>
      <c r="U2950" s="52"/>
      <c r="V2950" s="52"/>
      <c r="W2950" s="52"/>
      <c r="X2950" s="52"/>
      <c r="Y2950" s="52"/>
      <c r="Z2950" s="52"/>
      <c r="AA2950" s="52"/>
      <c r="AB2950" s="52"/>
      <c r="AC2950" s="52"/>
      <c r="AD2950" s="52"/>
      <c r="AE2950" s="52"/>
      <c r="AF2950" s="52"/>
      <c r="AG2950" s="52"/>
      <c r="AH2950" s="52"/>
      <c r="AI2950" s="52"/>
      <c r="AJ2950" s="52"/>
      <c r="AK2950" s="52"/>
      <c r="AL2950" s="52"/>
      <c r="AM2950" s="52"/>
      <c r="AN2950" s="52"/>
    </row>
    <row r="2951" spans="1:40" x14ac:dyDescent="0.3">
      <c r="A2951" s="52">
        <v>2946</v>
      </c>
      <c r="B2951" s="52">
        <f>-bthan*500+(45+0.5)*bthan*1000/50</f>
        <v>2255</v>
      </c>
      <c r="C2951" s="52">
        <f t="shared" si="281"/>
        <v>370.00000000000023</v>
      </c>
      <c r="D2951" s="52">
        <f t="shared" si="282"/>
        <v>2200</v>
      </c>
      <c r="E2951" s="52">
        <f t="shared" si="283"/>
        <v>1</v>
      </c>
      <c r="F2951" s="52"/>
      <c r="G2951" s="52"/>
      <c r="H2951" s="52"/>
      <c r="I2951" s="52"/>
      <c r="J2951" s="52"/>
      <c r="K2951" s="52"/>
      <c r="L2951" s="52"/>
      <c r="M2951" s="52"/>
      <c r="N2951" s="52"/>
      <c r="O2951" s="52"/>
      <c r="P2951" s="52"/>
      <c r="Q2951" s="52"/>
      <c r="R2951" s="52"/>
      <c r="S2951" s="52"/>
      <c r="T2951" s="52"/>
      <c r="U2951" s="52"/>
      <c r="V2951" s="52"/>
      <c r="W2951" s="52"/>
      <c r="X2951" s="52"/>
      <c r="Y2951" s="52"/>
      <c r="Z2951" s="52"/>
      <c r="AA2951" s="52"/>
      <c r="AB2951" s="52"/>
      <c r="AC2951" s="52"/>
      <c r="AD2951" s="52"/>
      <c r="AE2951" s="52"/>
      <c r="AF2951" s="52"/>
      <c r="AG2951" s="52"/>
      <c r="AH2951" s="52"/>
      <c r="AI2951" s="52"/>
      <c r="AJ2951" s="52"/>
      <c r="AK2951" s="52"/>
      <c r="AL2951" s="52"/>
      <c r="AM2951" s="52"/>
      <c r="AN2951" s="52"/>
    </row>
    <row r="2952" spans="1:40" x14ac:dyDescent="0.3">
      <c r="A2952" s="52">
        <v>2947</v>
      </c>
      <c r="B2952" s="52">
        <f>-bthan*500+(46+0.5)*bthan*1000/50</f>
        <v>2365</v>
      </c>
      <c r="C2952" s="52">
        <f t="shared" si="281"/>
        <v>370.00000000000023</v>
      </c>
      <c r="D2952" s="52">
        <f t="shared" si="282"/>
        <v>2200</v>
      </c>
      <c r="E2952" s="52">
        <f t="shared" si="283"/>
        <v>1</v>
      </c>
      <c r="F2952" s="52"/>
      <c r="G2952" s="52"/>
      <c r="H2952" s="52"/>
      <c r="I2952" s="52"/>
      <c r="J2952" s="52"/>
      <c r="K2952" s="52"/>
      <c r="L2952" s="52"/>
      <c r="M2952" s="52"/>
      <c r="N2952" s="52"/>
      <c r="O2952" s="52"/>
      <c r="P2952" s="52"/>
      <c r="Q2952" s="52"/>
      <c r="R2952" s="52"/>
      <c r="S2952" s="52"/>
      <c r="T2952" s="52"/>
      <c r="U2952" s="52"/>
      <c r="V2952" s="52"/>
      <c r="W2952" s="52"/>
      <c r="X2952" s="52"/>
      <c r="Y2952" s="52"/>
      <c r="Z2952" s="52"/>
      <c r="AA2952" s="52"/>
      <c r="AB2952" s="52"/>
      <c r="AC2952" s="52"/>
      <c r="AD2952" s="52"/>
      <c r="AE2952" s="52"/>
      <c r="AF2952" s="52"/>
      <c r="AG2952" s="52"/>
      <c r="AH2952" s="52"/>
      <c r="AI2952" s="52"/>
      <c r="AJ2952" s="52"/>
      <c r="AK2952" s="52"/>
      <c r="AL2952" s="52"/>
      <c r="AM2952" s="52"/>
      <c r="AN2952" s="52"/>
    </row>
    <row r="2953" spans="1:40" x14ac:dyDescent="0.3">
      <c r="A2953" s="52">
        <v>2948</v>
      </c>
      <c r="B2953" s="52">
        <f>-bthan*500+(47+0.5)*bthan*1000/50</f>
        <v>2475</v>
      </c>
      <c r="C2953" s="52">
        <f t="shared" si="281"/>
        <v>370.00000000000023</v>
      </c>
      <c r="D2953" s="52">
        <f t="shared" si="282"/>
        <v>2200</v>
      </c>
      <c r="E2953" s="52">
        <f t="shared" si="283"/>
        <v>1</v>
      </c>
      <c r="F2953" s="52"/>
      <c r="G2953" s="52"/>
      <c r="H2953" s="52"/>
      <c r="I2953" s="52"/>
      <c r="J2953" s="52"/>
      <c r="K2953" s="52"/>
      <c r="L2953" s="52"/>
      <c r="M2953" s="52"/>
      <c r="N2953" s="52"/>
      <c r="O2953" s="52"/>
      <c r="P2953" s="52"/>
      <c r="Q2953" s="52"/>
      <c r="R2953" s="52"/>
      <c r="S2953" s="52"/>
      <c r="T2953" s="52"/>
      <c r="U2953" s="52"/>
      <c r="V2953" s="52"/>
      <c r="W2953" s="52"/>
      <c r="X2953" s="52"/>
      <c r="Y2953" s="52"/>
      <c r="Z2953" s="52"/>
      <c r="AA2953" s="52"/>
      <c r="AB2953" s="52"/>
      <c r="AC2953" s="52"/>
      <c r="AD2953" s="52"/>
      <c r="AE2953" s="52"/>
      <c r="AF2953" s="52"/>
      <c r="AG2953" s="52"/>
      <c r="AH2953" s="52"/>
      <c r="AI2953" s="52"/>
      <c r="AJ2953" s="52"/>
      <c r="AK2953" s="52"/>
      <c r="AL2953" s="52"/>
      <c r="AM2953" s="52"/>
      <c r="AN2953" s="52"/>
    </row>
    <row r="2954" spans="1:40" x14ac:dyDescent="0.3">
      <c r="A2954" s="52">
        <v>2949</v>
      </c>
      <c r="B2954" s="52">
        <f>-bthan*500+(48+0.5)*bthan*1000/50</f>
        <v>2585</v>
      </c>
      <c r="C2954" s="52">
        <f t="shared" si="281"/>
        <v>370.00000000000023</v>
      </c>
      <c r="D2954" s="52">
        <f t="shared" si="282"/>
        <v>2200</v>
      </c>
      <c r="E2954" s="52">
        <f t="shared" si="283"/>
        <v>1</v>
      </c>
      <c r="F2954" s="52"/>
      <c r="G2954" s="52"/>
      <c r="H2954" s="52"/>
      <c r="I2954" s="52"/>
      <c r="J2954" s="52"/>
      <c r="K2954" s="52"/>
      <c r="L2954" s="52"/>
      <c r="M2954" s="52"/>
      <c r="N2954" s="52"/>
      <c r="O2954" s="52"/>
      <c r="P2954" s="52"/>
      <c r="Q2954" s="52"/>
      <c r="R2954" s="52"/>
      <c r="S2954" s="52"/>
      <c r="T2954" s="52"/>
      <c r="U2954" s="52"/>
      <c r="V2954" s="52"/>
      <c r="W2954" s="52"/>
      <c r="X2954" s="52"/>
      <c r="Y2954" s="52"/>
      <c r="Z2954" s="52"/>
      <c r="AA2954" s="52"/>
      <c r="AB2954" s="52"/>
      <c r="AC2954" s="52"/>
      <c r="AD2954" s="52"/>
      <c r="AE2954" s="52"/>
      <c r="AF2954" s="52"/>
      <c r="AG2954" s="52"/>
      <c r="AH2954" s="52"/>
      <c r="AI2954" s="52"/>
      <c r="AJ2954" s="52"/>
      <c r="AK2954" s="52"/>
      <c r="AL2954" s="52"/>
      <c r="AM2954" s="52"/>
      <c r="AN2954" s="52"/>
    </row>
    <row r="2955" spans="1:40" x14ac:dyDescent="0.3">
      <c r="A2955" s="52">
        <v>2950</v>
      </c>
      <c r="B2955" s="52">
        <f>-bthan*500+(49+0.5)*bthan*1000/50</f>
        <v>2695</v>
      </c>
      <c r="C2955" s="52">
        <f t="shared" si="281"/>
        <v>370.00000000000023</v>
      </c>
      <c r="D2955" s="52">
        <f t="shared" si="282"/>
        <v>2200</v>
      </c>
      <c r="E2955" s="52">
        <f t="shared" si="283"/>
        <v>0</v>
      </c>
      <c r="F2955" s="52"/>
      <c r="G2955" s="52"/>
      <c r="H2955" s="52"/>
      <c r="I2955" s="52"/>
      <c r="J2955" s="52"/>
      <c r="K2955" s="52"/>
      <c r="L2955" s="52"/>
      <c r="M2955" s="52"/>
      <c r="N2955" s="52"/>
      <c r="O2955" s="52"/>
      <c r="P2955" s="52"/>
      <c r="Q2955" s="52"/>
      <c r="R2955" s="52"/>
      <c r="S2955" s="52"/>
      <c r="T2955" s="52"/>
      <c r="U2955" s="52"/>
      <c r="V2955" s="52"/>
      <c r="W2955" s="52"/>
      <c r="X2955" s="52"/>
      <c r="Y2955" s="52"/>
      <c r="Z2955" s="52"/>
      <c r="AA2955" s="52"/>
      <c r="AB2955" s="52"/>
      <c r="AC2955" s="52"/>
      <c r="AD2955" s="52"/>
      <c r="AE2955" s="52"/>
      <c r="AF2955" s="52"/>
      <c r="AG2955" s="52"/>
      <c r="AH2955" s="52"/>
      <c r="AI2955" s="52"/>
      <c r="AJ2955" s="52"/>
      <c r="AK2955" s="52"/>
      <c r="AL2955" s="52"/>
      <c r="AM2955" s="52"/>
      <c r="AN2955" s="52"/>
    </row>
    <row r="2956" spans="1:40" x14ac:dyDescent="0.3">
      <c r="A2956" s="52">
        <v>2951</v>
      </c>
      <c r="B2956" s="52">
        <f>-bthan*500+(0+0.5)*bthan*1000/50</f>
        <v>-2695</v>
      </c>
      <c r="C2956" s="52">
        <f t="shared" ref="C2956:C2987" si="284">-hthan*500+(59+0.5)*hthan*1000/80</f>
        <v>390</v>
      </c>
      <c r="D2956" s="52">
        <f t="shared" si="282"/>
        <v>2200</v>
      </c>
      <c r="E2956" s="52">
        <f t="shared" si="283"/>
        <v>0</v>
      </c>
      <c r="F2956" s="52"/>
      <c r="G2956" s="52"/>
      <c r="H2956" s="52"/>
      <c r="I2956" s="52"/>
      <c r="J2956" s="52"/>
      <c r="K2956" s="52"/>
      <c r="L2956" s="52"/>
      <c r="M2956" s="52"/>
      <c r="N2956" s="52"/>
      <c r="O2956" s="52"/>
      <c r="P2956" s="52"/>
      <c r="Q2956" s="52"/>
      <c r="R2956" s="52"/>
      <c r="S2956" s="52"/>
      <c r="T2956" s="52"/>
      <c r="U2956" s="52"/>
      <c r="V2956" s="52"/>
      <c r="W2956" s="52"/>
      <c r="X2956" s="52"/>
      <c r="Y2956" s="52"/>
      <c r="Z2956" s="52"/>
      <c r="AA2956" s="52"/>
      <c r="AB2956" s="52"/>
      <c r="AC2956" s="52"/>
      <c r="AD2956" s="52"/>
      <c r="AE2956" s="52"/>
      <c r="AF2956" s="52"/>
      <c r="AG2956" s="52"/>
      <c r="AH2956" s="52"/>
      <c r="AI2956" s="52"/>
      <c r="AJ2956" s="52"/>
      <c r="AK2956" s="52"/>
      <c r="AL2956" s="52"/>
      <c r="AM2956" s="52"/>
      <c r="AN2956" s="52"/>
    </row>
    <row r="2957" spans="1:40" x14ac:dyDescent="0.3">
      <c r="A2957" s="52">
        <v>2952</v>
      </c>
      <c r="B2957" s="52">
        <f>-bthan*500+(1+0.5)*bthan*1000/50</f>
        <v>-2585</v>
      </c>
      <c r="C2957" s="52">
        <f t="shared" si="284"/>
        <v>390</v>
      </c>
      <c r="D2957" s="52">
        <f t="shared" si="282"/>
        <v>2200</v>
      </c>
      <c r="E2957" s="52">
        <f t="shared" si="283"/>
        <v>1</v>
      </c>
      <c r="F2957" s="52"/>
      <c r="G2957" s="52"/>
      <c r="H2957" s="52"/>
      <c r="I2957" s="52"/>
      <c r="J2957" s="52"/>
      <c r="K2957" s="52"/>
      <c r="L2957" s="52"/>
      <c r="M2957" s="52"/>
      <c r="N2957" s="52"/>
      <c r="O2957" s="52"/>
      <c r="P2957" s="52"/>
      <c r="Q2957" s="52"/>
      <c r="R2957" s="52"/>
      <c r="S2957" s="52"/>
      <c r="T2957" s="52"/>
      <c r="U2957" s="52"/>
      <c r="V2957" s="52"/>
      <c r="W2957" s="52"/>
      <c r="X2957" s="52"/>
      <c r="Y2957" s="52"/>
      <c r="Z2957" s="52"/>
      <c r="AA2957" s="52"/>
      <c r="AB2957" s="52"/>
      <c r="AC2957" s="52"/>
      <c r="AD2957" s="52"/>
      <c r="AE2957" s="52"/>
      <c r="AF2957" s="52"/>
      <c r="AG2957" s="52"/>
      <c r="AH2957" s="52"/>
      <c r="AI2957" s="52"/>
      <c r="AJ2957" s="52"/>
      <c r="AK2957" s="52"/>
      <c r="AL2957" s="52"/>
      <c r="AM2957" s="52"/>
      <c r="AN2957" s="52"/>
    </row>
    <row r="2958" spans="1:40" x14ac:dyDescent="0.3">
      <c r="A2958" s="52">
        <v>2953</v>
      </c>
      <c r="B2958" s="52">
        <f>-bthan*500+(2+0.5)*bthan*1000/50</f>
        <v>-2475</v>
      </c>
      <c r="C2958" s="52">
        <f t="shared" si="284"/>
        <v>390</v>
      </c>
      <c r="D2958" s="52">
        <f t="shared" si="282"/>
        <v>2200</v>
      </c>
      <c r="E2958" s="52">
        <f t="shared" si="283"/>
        <v>1</v>
      </c>
      <c r="F2958" s="52"/>
      <c r="G2958" s="52"/>
      <c r="H2958" s="52"/>
      <c r="I2958" s="52"/>
      <c r="J2958" s="52"/>
      <c r="K2958" s="52"/>
      <c r="L2958" s="52"/>
      <c r="M2958" s="52"/>
      <c r="N2958" s="52"/>
      <c r="O2958" s="52"/>
      <c r="P2958" s="52"/>
      <c r="Q2958" s="52"/>
      <c r="R2958" s="52"/>
      <c r="S2958" s="52"/>
      <c r="T2958" s="52"/>
      <c r="U2958" s="52"/>
      <c r="V2958" s="52"/>
      <c r="W2958" s="52"/>
      <c r="X2958" s="52"/>
      <c r="Y2958" s="52"/>
      <c r="Z2958" s="52"/>
      <c r="AA2958" s="52"/>
      <c r="AB2958" s="52"/>
      <c r="AC2958" s="52"/>
      <c r="AD2958" s="52"/>
      <c r="AE2958" s="52"/>
      <c r="AF2958" s="52"/>
      <c r="AG2958" s="52"/>
      <c r="AH2958" s="52"/>
      <c r="AI2958" s="52"/>
      <c r="AJ2958" s="52"/>
      <c r="AK2958" s="52"/>
      <c r="AL2958" s="52"/>
      <c r="AM2958" s="52"/>
      <c r="AN2958" s="52"/>
    </row>
    <row r="2959" spans="1:40" x14ac:dyDescent="0.3">
      <c r="A2959" s="52">
        <v>2954</v>
      </c>
      <c r="B2959" s="52">
        <f>-bthan*500+(3+0.5)*bthan*1000/50</f>
        <v>-2365</v>
      </c>
      <c r="C2959" s="52">
        <f t="shared" si="284"/>
        <v>390</v>
      </c>
      <c r="D2959" s="52">
        <f t="shared" si="282"/>
        <v>2200</v>
      </c>
      <c r="E2959" s="52">
        <f t="shared" si="283"/>
        <v>1</v>
      </c>
      <c r="F2959" s="52"/>
      <c r="G2959" s="52"/>
      <c r="H2959" s="52"/>
      <c r="I2959" s="52"/>
      <c r="J2959" s="52"/>
      <c r="K2959" s="52"/>
      <c r="L2959" s="52"/>
      <c r="M2959" s="52"/>
      <c r="N2959" s="52"/>
      <c r="O2959" s="52"/>
      <c r="P2959" s="52"/>
      <c r="Q2959" s="52"/>
      <c r="R2959" s="52"/>
      <c r="S2959" s="52"/>
      <c r="T2959" s="52"/>
      <c r="U2959" s="52"/>
      <c r="V2959" s="52"/>
      <c r="W2959" s="52"/>
      <c r="X2959" s="52"/>
      <c r="Y2959" s="52"/>
      <c r="Z2959" s="52"/>
      <c r="AA2959" s="52"/>
      <c r="AB2959" s="52"/>
      <c r="AC2959" s="52"/>
      <c r="AD2959" s="52"/>
      <c r="AE2959" s="52"/>
      <c r="AF2959" s="52"/>
      <c r="AG2959" s="52"/>
      <c r="AH2959" s="52"/>
      <c r="AI2959" s="52"/>
      <c r="AJ2959" s="52"/>
      <c r="AK2959" s="52"/>
      <c r="AL2959" s="52"/>
      <c r="AM2959" s="52"/>
      <c r="AN2959" s="52"/>
    </row>
    <row r="2960" spans="1:40" x14ac:dyDescent="0.3">
      <c r="A2960" s="52">
        <v>2955</v>
      </c>
      <c r="B2960" s="52">
        <f>-bthan*500+(4+0.5)*bthan*1000/50</f>
        <v>-2255</v>
      </c>
      <c r="C2960" s="52">
        <f t="shared" si="284"/>
        <v>390</v>
      </c>
      <c r="D2960" s="52">
        <f t="shared" si="282"/>
        <v>2200</v>
      </c>
      <c r="E2960" s="52">
        <f t="shared" si="283"/>
        <v>1</v>
      </c>
      <c r="F2960" s="52"/>
      <c r="G2960" s="52"/>
      <c r="H2960" s="52"/>
      <c r="I2960" s="52"/>
      <c r="J2960" s="52"/>
      <c r="K2960" s="52"/>
      <c r="L2960" s="52"/>
      <c r="M2960" s="52"/>
      <c r="N2960" s="52"/>
      <c r="O2960" s="52"/>
      <c r="P2960" s="52"/>
      <c r="Q2960" s="52"/>
      <c r="R2960" s="52"/>
      <c r="S2960" s="52"/>
      <c r="T2960" s="52"/>
      <c r="U2960" s="52"/>
      <c r="V2960" s="52"/>
      <c r="W2960" s="52"/>
      <c r="X2960" s="52"/>
      <c r="Y2960" s="52"/>
      <c r="Z2960" s="52"/>
      <c r="AA2960" s="52"/>
      <c r="AB2960" s="52"/>
      <c r="AC2960" s="52"/>
      <c r="AD2960" s="52"/>
      <c r="AE2960" s="52"/>
      <c r="AF2960" s="52"/>
      <c r="AG2960" s="52"/>
      <c r="AH2960" s="52"/>
      <c r="AI2960" s="52"/>
      <c r="AJ2960" s="52"/>
      <c r="AK2960" s="52"/>
      <c r="AL2960" s="52"/>
      <c r="AM2960" s="52"/>
      <c r="AN2960" s="52"/>
    </row>
    <row r="2961" spans="1:40" x14ac:dyDescent="0.3">
      <c r="A2961" s="52">
        <v>2956</v>
      </c>
      <c r="B2961" s="52">
        <f>-bthan*500+(5+0.5)*bthan*1000/50</f>
        <v>-2145</v>
      </c>
      <c r="C2961" s="52">
        <f t="shared" si="284"/>
        <v>390</v>
      </c>
      <c r="D2961" s="52">
        <f t="shared" si="282"/>
        <v>2200</v>
      </c>
      <c r="E2961" s="52">
        <f t="shared" si="283"/>
        <v>1</v>
      </c>
      <c r="F2961" s="52"/>
      <c r="G2961" s="52"/>
      <c r="H2961" s="52"/>
      <c r="I2961" s="52"/>
      <c r="J2961" s="52"/>
      <c r="K2961" s="52"/>
      <c r="L2961" s="52"/>
      <c r="M2961" s="52"/>
      <c r="N2961" s="52"/>
      <c r="O2961" s="52"/>
      <c r="P2961" s="52"/>
      <c r="Q2961" s="52"/>
      <c r="R2961" s="52"/>
      <c r="S2961" s="52"/>
      <c r="T2961" s="52"/>
      <c r="U2961" s="52"/>
      <c r="V2961" s="52"/>
      <c r="W2961" s="52"/>
      <c r="X2961" s="52"/>
      <c r="Y2961" s="52"/>
      <c r="Z2961" s="52"/>
      <c r="AA2961" s="52"/>
      <c r="AB2961" s="52"/>
      <c r="AC2961" s="52"/>
      <c r="AD2961" s="52"/>
      <c r="AE2961" s="52"/>
      <c r="AF2961" s="52"/>
      <c r="AG2961" s="52"/>
      <c r="AH2961" s="52"/>
      <c r="AI2961" s="52"/>
      <c r="AJ2961" s="52"/>
      <c r="AK2961" s="52"/>
      <c r="AL2961" s="52"/>
      <c r="AM2961" s="52"/>
      <c r="AN2961" s="52"/>
    </row>
    <row r="2962" spans="1:40" x14ac:dyDescent="0.3">
      <c r="A2962" s="52">
        <v>2957</v>
      </c>
      <c r="B2962" s="52">
        <f>-bthan*500+(6+0.5)*bthan*1000/50</f>
        <v>-2035</v>
      </c>
      <c r="C2962" s="52">
        <f t="shared" si="284"/>
        <v>390</v>
      </c>
      <c r="D2962" s="52">
        <f t="shared" si="282"/>
        <v>2200</v>
      </c>
      <c r="E2962" s="52">
        <f t="shared" si="283"/>
        <v>1</v>
      </c>
      <c r="F2962" s="52"/>
      <c r="G2962" s="52"/>
      <c r="H2962" s="52"/>
      <c r="I2962" s="52"/>
      <c r="J2962" s="52"/>
      <c r="K2962" s="52"/>
      <c r="L2962" s="52"/>
      <c r="M2962" s="52"/>
      <c r="N2962" s="52"/>
      <c r="O2962" s="52"/>
      <c r="P2962" s="52"/>
      <c r="Q2962" s="52"/>
      <c r="R2962" s="52"/>
      <c r="S2962" s="52"/>
      <c r="T2962" s="52"/>
      <c r="U2962" s="52"/>
      <c r="V2962" s="52"/>
      <c r="W2962" s="52"/>
      <c r="X2962" s="52"/>
      <c r="Y2962" s="52"/>
      <c r="Z2962" s="52"/>
      <c r="AA2962" s="52"/>
      <c r="AB2962" s="52"/>
      <c r="AC2962" s="52"/>
      <c r="AD2962" s="52"/>
      <c r="AE2962" s="52"/>
      <c r="AF2962" s="52"/>
      <c r="AG2962" s="52"/>
      <c r="AH2962" s="52"/>
      <c r="AI2962" s="52"/>
      <c r="AJ2962" s="52"/>
      <c r="AK2962" s="52"/>
      <c r="AL2962" s="52"/>
      <c r="AM2962" s="52"/>
      <c r="AN2962" s="52"/>
    </row>
    <row r="2963" spans="1:40" x14ac:dyDescent="0.3">
      <c r="A2963" s="52">
        <v>2958</v>
      </c>
      <c r="B2963" s="52">
        <f>-bthan*500+(7+0.5)*bthan*1000/50</f>
        <v>-1925</v>
      </c>
      <c r="C2963" s="52">
        <f t="shared" si="284"/>
        <v>390</v>
      </c>
      <c r="D2963" s="52">
        <f t="shared" si="282"/>
        <v>2200</v>
      </c>
      <c r="E2963" s="52">
        <f t="shared" si="283"/>
        <v>1</v>
      </c>
      <c r="F2963" s="52"/>
      <c r="G2963" s="52"/>
      <c r="H2963" s="52"/>
      <c r="I2963" s="52"/>
      <c r="J2963" s="52"/>
      <c r="K2963" s="52"/>
      <c r="L2963" s="52"/>
      <c r="M2963" s="52"/>
      <c r="N2963" s="52"/>
      <c r="O2963" s="52"/>
      <c r="P2963" s="52"/>
      <c r="Q2963" s="52"/>
      <c r="R2963" s="52"/>
      <c r="S2963" s="52"/>
      <c r="T2963" s="52"/>
      <c r="U2963" s="52"/>
      <c r="V2963" s="52"/>
      <c r="W2963" s="52"/>
      <c r="X2963" s="52"/>
      <c r="Y2963" s="52"/>
      <c r="Z2963" s="52"/>
      <c r="AA2963" s="52"/>
      <c r="AB2963" s="52"/>
      <c r="AC2963" s="52"/>
      <c r="AD2963" s="52"/>
      <c r="AE2963" s="52"/>
      <c r="AF2963" s="52"/>
      <c r="AG2963" s="52"/>
      <c r="AH2963" s="52"/>
      <c r="AI2963" s="52"/>
      <c r="AJ2963" s="52"/>
      <c r="AK2963" s="52"/>
      <c r="AL2963" s="52"/>
      <c r="AM2963" s="52"/>
      <c r="AN2963" s="52"/>
    </row>
    <row r="2964" spans="1:40" x14ac:dyDescent="0.3">
      <c r="A2964" s="52">
        <v>2959</v>
      </c>
      <c r="B2964" s="52">
        <f>-bthan*500+(8+0.5)*bthan*1000/50</f>
        <v>-1815</v>
      </c>
      <c r="C2964" s="52">
        <f t="shared" si="284"/>
        <v>390</v>
      </c>
      <c r="D2964" s="52">
        <f t="shared" si="282"/>
        <v>2200</v>
      </c>
      <c r="E2964" s="52">
        <f t="shared" si="283"/>
        <v>1</v>
      </c>
      <c r="F2964" s="52"/>
      <c r="G2964" s="52"/>
      <c r="H2964" s="52"/>
      <c r="I2964" s="52"/>
      <c r="J2964" s="52"/>
      <c r="K2964" s="52"/>
      <c r="L2964" s="52"/>
      <c r="M2964" s="52"/>
      <c r="N2964" s="52"/>
      <c r="O2964" s="52"/>
      <c r="P2964" s="52"/>
      <c r="Q2964" s="52"/>
      <c r="R2964" s="52"/>
      <c r="S2964" s="52"/>
      <c r="T2964" s="52"/>
      <c r="U2964" s="52"/>
      <c r="V2964" s="52"/>
      <c r="W2964" s="52"/>
      <c r="X2964" s="52"/>
      <c r="Y2964" s="52"/>
      <c r="Z2964" s="52"/>
      <c r="AA2964" s="52"/>
      <c r="AB2964" s="52"/>
      <c r="AC2964" s="52"/>
      <c r="AD2964" s="52"/>
      <c r="AE2964" s="52"/>
      <c r="AF2964" s="52"/>
      <c r="AG2964" s="52"/>
      <c r="AH2964" s="52"/>
      <c r="AI2964" s="52"/>
      <c r="AJ2964" s="52"/>
      <c r="AK2964" s="52"/>
      <c r="AL2964" s="52"/>
      <c r="AM2964" s="52"/>
      <c r="AN2964" s="52"/>
    </row>
    <row r="2965" spans="1:40" x14ac:dyDescent="0.3">
      <c r="A2965" s="52">
        <v>2960</v>
      </c>
      <c r="B2965" s="52">
        <f>-bthan*500+(9+0.5)*bthan*1000/50</f>
        <v>-1705</v>
      </c>
      <c r="C2965" s="52">
        <f t="shared" si="284"/>
        <v>390</v>
      </c>
      <c r="D2965" s="52">
        <f t="shared" si="282"/>
        <v>2200</v>
      </c>
      <c r="E2965" s="52">
        <f t="shared" si="283"/>
        <v>1</v>
      </c>
      <c r="F2965" s="52"/>
      <c r="G2965" s="52"/>
      <c r="H2965" s="52"/>
      <c r="I2965" s="52"/>
      <c r="J2965" s="52"/>
      <c r="K2965" s="52"/>
      <c r="L2965" s="52"/>
      <c r="M2965" s="52"/>
      <c r="N2965" s="52"/>
      <c r="O2965" s="52"/>
      <c r="P2965" s="52"/>
      <c r="Q2965" s="52"/>
      <c r="R2965" s="52"/>
      <c r="S2965" s="52"/>
      <c r="T2965" s="52"/>
      <c r="U2965" s="52"/>
      <c r="V2965" s="52"/>
      <c r="W2965" s="52"/>
      <c r="X2965" s="52"/>
      <c r="Y2965" s="52"/>
      <c r="Z2965" s="52"/>
      <c r="AA2965" s="52"/>
      <c r="AB2965" s="52"/>
      <c r="AC2965" s="52"/>
      <c r="AD2965" s="52"/>
      <c r="AE2965" s="52"/>
      <c r="AF2965" s="52"/>
      <c r="AG2965" s="52"/>
      <c r="AH2965" s="52"/>
      <c r="AI2965" s="52"/>
      <c r="AJ2965" s="52"/>
      <c r="AK2965" s="52"/>
      <c r="AL2965" s="52"/>
      <c r="AM2965" s="52"/>
      <c r="AN2965" s="52"/>
    </row>
    <row r="2966" spans="1:40" x14ac:dyDescent="0.3">
      <c r="A2966" s="52">
        <v>2961</v>
      </c>
      <c r="B2966" s="52">
        <f>-bthan*500+(10+0.5)*bthan*1000/50</f>
        <v>-1595</v>
      </c>
      <c r="C2966" s="52">
        <f t="shared" si="284"/>
        <v>390</v>
      </c>
      <c r="D2966" s="52">
        <f t="shared" si="282"/>
        <v>2200</v>
      </c>
      <c r="E2966" s="52">
        <f t="shared" si="283"/>
        <v>1</v>
      </c>
      <c r="F2966" s="52"/>
      <c r="G2966" s="52"/>
      <c r="H2966" s="52"/>
      <c r="I2966" s="52"/>
      <c r="J2966" s="52"/>
      <c r="K2966" s="52"/>
      <c r="L2966" s="52"/>
      <c r="M2966" s="52"/>
      <c r="N2966" s="52"/>
      <c r="O2966" s="52"/>
      <c r="P2966" s="52"/>
      <c r="Q2966" s="52"/>
      <c r="R2966" s="52"/>
      <c r="S2966" s="52"/>
      <c r="T2966" s="52"/>
      <c r="U2966" s="52"/>
      <c r="V2966" s="52"/>
      <c r="W2966" s="52"/>
      <c r="X2966" s="52"/>
      <c r="Y2966" s="52"/>
      <c r="Z2966" s="52"/>
      <c r="AA2966" s="52"/>
      <c r="AB2966" s="52"/>
      <c r="AC2966" s="52"/>
      <c r="AD2966" s="52"/>
      <c r="AE2966" s="52"/>
      <c r="AF2966" s="52"/>
      <c r="AG2966" s="52"/>
      <c r="AH2966" s="52"/>
      <c r="AI2966" s="52"/>
      <c r="AJ2966" s="52"/>
      <c r="AK2966" s="52"/>
      <c r="AL2966" s="52"/>
      <c r="AM2966" s="52"/>
      <c r="AN2966" s="52"/>
    </row>
    <row r="2967" spans="1:40" x14ac:dyDescent="0.3">
      <c r="A2967" s="52">
        <v>2962</v>
      </c>
      <c r="B2967" s="52">
        <f>-bthan*500+(11+0.5)*bthan*1000/50</f>
        <v>-1485</v>
      </c>
      <c r="C2967" s="52">
        <f t="shared" si="284"/>
        <v>390</v>
      </c>
      <c r="D2967" s="52">
        <f t="shared" si="282"/>
        <v>2200</v>
      </c>
      <c r="E2967" s="52">
        <f t="shared" si="283"/>
        <v>1</v>
      </c>
      <c r="F2967" s="52"/>
      <c r="G2967" s="52"/>
      <c r="H2967" s="52"/>
      <c r="I2967" s="52"/>
      <c r="J2967" s="52"/>
      <c r="K2967" s="52"/>
      <c r="L2967" s="52"/>
      <c r="M2967" s="52"/>
      <c r="N2967" s="52"/>
      <c r="O2967" s="52"/>
      <c r="P2967" s="52"/>
      <c r="Q2967" s="52"/>
      <c r="R2967" s="52"/>
      <c r="S2967" s="52"/>
      <c r="T2967" s="52"/>
      <c r="U2967" s="52"/>
      <c r="V2967" s="52"/>
      <c r="W2967" s="52"/>
      <c r="X2967" s="52"/>
      <c r="Y2967" s="52"/>
      <c r="Z2967" s="52"/>
      <c r="AA2967" s="52"/>
      <c r="AB2967" s="52"/>
      <c r="AC2967" s="52"/>
      <c r="AD2967" s="52"/>
      <c r="AE2967" s="52"/>
      <c r="AF2967" s="52"/>
      <c r="AG2967" s="52"/>
      <c r="AH2967" s="52"/>
      <c r="AI2967" s="52"/>
      <c r="AJ2967" s="52"/>
      <c r="AK2967" s="52"/>
      <c r="AL2967" s="52"/>
      <c r="AM2967" s="52"/>
      <c r="AN2967" s="52"/>
    </row>
    <row r="2968" spans="1:40" x14ac:dyDescent="0.3">
      <c r="A2968" s="52">
        <v>2963</v>
      </c>
      <c r="B2968" s="52">
        <f>-bthan*500+(12+0.5)*bthan*1000/50</f>
        <v>-1375</v>
      </c>
      <c r="C2968" s="52">
        <f t="shared" si="284"/>
        <v>390</v>
      </c>
      <c r="D2968" s="52">
        <f t="shared" si="282"/>
        <v>2200</v>
      </c>
      <c r="E2968" s="52">
        <f t="shared" si="283"/>
        <v>1</v>
      </c>
      <c r="F2968" s="52"/>
      <c r="G2968" s="52"/>
      <c r="H2968" s="52"/>
      <c r="I2968" s="52"/>
      <c r="J2968" s="52"/>
      <c r="K2968" s="52"/>
      <c r="L2968" s="52"/>
      <c r="M2968" s="52"/>
      <c r="N2968" s="52"/>
      <c r="O2968" s="52"/>
      <c r="P2968" s="52"/>
      <c r="Q2968" s="52"/>
      <c r="R2968" s="52"/>
      <c r="S2968" s="52"/>
      <c r="T2968" s="52"/>
      <c r="U2968" s="52"/>
      <c r="V2968" s="52"/>
      <c r="W2968" s="52"/>
      <c r="X2968" s="52"/>
      <c r="Y2968" s="52"/>
      <c r="Z2968" s="52"/>
      <c r="AA2968" s="52"/>
      <c r="AB2968" s="52"/>
      <c r="AC2968" s="52"/>
      <c r="AD2968" s="52"/>
      <c r="AE2968" s="52"/>
      <c r="AF2968" s="52"/>
      <c r="AG2968" s="52"/>
      <c r="AH2968" s="52"/>
      <c r="AI2968" s="52"/>
      <c r="AJ2968" s="52"/>
      <c r="AK2968" s="52"/>
      <c r="AL2968" s="52"/>
      <c r="AM2968" s="52"/>
      <c r="AN2968" s="52"/>
    </row>
    <row r="2969" spans="1:40" x14ac:dyDescent="0.3">
      <c r="A2969" s="52">
        <v>2964</v>
      </c>
      <c r="B2969" s="52">
        <f>-bthan*500+(13+0.5)*bthan*1000/50</f>
        <v>-1265</v>
      </c>
      <c r="C2969" s="52">
        <f t="shared" si="284"/>
        <v>390</v>
      </c>
      <c r="D2969" s="52">
        <f t="shared" si="282"/>
        <v>2200</v>
      </c>
      <c r="E2969" s="52">
        <f t="shared" si="283"/>
        <v>1</v>
      </c>
      <c r="F2969" s="52"/>
      <c r="G2969" s="52"/>
      <c r="H2969" s="52"/>
      <c r="I2969" s="52"/>
      <c r="J2969" s="52"/>
      <c r="K2969" s="52"/>
      <c r="L2969" s="52"/>
      <c r="M2969" s="52"/>
      <c r="N2969" s="52"/>
      <c r="O2969" s="52"/>
      <c r="P2969" s="52"/>
      <c r="Q2969" s="52"/>
      <c r="R2969" s="52"/>
      <c r="S2969" s="52"/>
      <c r="T2969" s="52"/>
      <c r="U2969" s="52"/>
      <c r="V2969" s="52"/>
      <c r="W2969" s="52"/>
      <c r="X2969" s="52"/>
      <c r="Y2969" s="52"/>
      <c r="Z2969" s="52"/>
      <c r="AA2969" s="52"/>
      <c r="AB2969" s="52"/>
      <c r="AC2969" s="52"/>
      <c r="AD2969" s="52"/>
      <c r="AE2969" s="52"/>
      <c r="AF2969" s="52"/>
      <c r="AG2969" s="52"/>
      <c r="AH2969" s="52"/>
      <c r="AI2969" s="52"/>
      <c r="AJ2969" s="52"/>
      <c r="AK2969" s="52"/>
      <c r="AL2969" s="52"/>
      <c r="AM2969" s="52"/>
      <c r="AN2969" s="52"/>
    </row>
    <row r="2970" spans="1:40" x14ac:dyDescent="0.3">
      <c r="A2970" s="52">
        <v>2965</v>
      </c>
      <c r="B2970" s="52">
        <f>-bthan*500+(14+0.5)*bthan*1000/50</f>
        <v>-1155</v>
      </c>
      <c r="C2970" s="52">
        <f t="shared" si="284"/>
        <v>390</v>
      </c>
      <c r="D2970" s="52">
        <f t="shared" si="282"/>
        <v>2200</v>
      </c>
      <c r="E2970" s="52">
        <f t="shared" si="283"/>
        <v>1</v>
      </c>
      <c r="F2970" s="52"/>
      <c r="G2970" s="52"/>
      <c r="H2970" s="52"/>
      <c r="I2970" s="52"/>
      <c r="J2970" s="52"/>
      <c r="K2970" s="52"/>
      <c r="L2970" s="52"/>
      <c r="M2970" s="52"/>
      <c r="N2970" s="52"/>
      <c r="O2970" s="52"/>
      <c r="P2970" s="52"/>
      <c r="Q2970" s="52"/>
      <c r="R2970" s="52"/>
      <c r="S2970" s="52"/>
      <c r="T2970" s="52"/>
      <c r="U2970" s="52"/>
      <c r="V2970" s="52"/>
      <c r="W2970" s="52"/>
      <c r="X2970" s="52"/>
      <c r="Y2970" s="52"/>
      <c r="Z2970" s="52"/>
      <c r="AA2970" s="52"/>
      <c r="AB2970" s="52"/>
      <c r="AC2970" s="52"/>
      <c r="AD2970" s="52"/>
      <c r="AE2970" s="52"/>
      <c r="AF2970" s="52"/>
      <c r="AG2970" s="52"/>
      <c r="AH2970" s="52"/>
      <c r="AI2970" s="52"/>
      <c r="AJ2970" s="52"/>
      <c r="AK2970" s="52"/>
      <c r="AL2970" s="52"/>
      <c r="AM2970" s="52"/>
      <c r="AN2970" s="52"/>
    </row>
    <row r="2971" spans="1:40" x14ac:dyDescent="0.3">
      <c r="A2971" s="52">
        <v>2966</v>
      </c>
      <c r="B2971" s="52">
        <f>-bthan*500+(15+0.5)*bthan*1000/50</f>
        <v>-1045</v>
      </c>
      <c r="C2971" s="52">
        <f t="shared" si="284"/>
        <v>390</v>
      </c>
      <c r="D2971" s="52">
        <f t="shared" si="282"/>
        <v>2200</v>
      </c>
      <c r="E2971" s="52">
        <f t="shared" si="283"/>
        <v>1</v>
      </c>
      <c r="F2971" s="52"/>
      <c r="G2971" s="52"/>
      <c r="H2971" s="52"/>
      <c r="I2971" s="52"/>
      <c r="J2971" s="52"/>
      <c r="K2971" s="52"/>
      <c r="L2971" s="52"/>
      <c r="M2971" s="52"/>
      <c r="N2971" s="52"/>
      <c r="O2971" s="52"/>
      <c r="P2971" s="52"/>
      <c r="Q2971" s="52"/>
      <c r="R2971" s="52"/>
      <c r="S2971" s="52"/>
      <c r="T2971" s="52"/>
      <c r="U2971" s="52"/>
      <c r="V2971" s="52"/>
      <c r="W2971" s="52"/>
      <c r="X2971" s="52"/>
      <c r="Y2971" s="52"/>
      <c r="Z2971" s="52"/>
      <c r="AA2971" s="52"/>
      <c r="AB2971" s="52"/>
      <c r="AC2971" s="52"/>
      <c r="AD2971" s="52"/>
      <c r="AE2971" s="52"/>
      <c r="AF2971" s="52"/>
      <c r="AG2971" s="52"/>
      <c r="AH2971" s="52"/>
      <c r="AI2971" s="52"/>
      <c r="AJ2971" s="52"/>
      <c r="AK2971" s="52"/>
      <c r="AL2971" s="52"/>
      <c r="AM2971" s="52"/>
      <c r="AN2971" s="52"/>
    </row>
    <row r="2972" spans="1:40" x14ac:dyDescent="0.3">
      <c r="A2972" s="52">
        <v>2967</v>
      </c>
      <c r="B2972" s="52">
        <f>-bthan*500+(16+0.5)*bthan*1000/50</f>
        <v>-935</v>
      </c>
      <c r="C2972" s="52">
        <f t="shared" si="284"/>
        <v>390</v>
      </c>
      <c r="D2972" s="52">
        <f t="shared" si="282"/>
        <v>2200</v>
      </c>
      <c r="E2972" s="52">
        <f t="shared" si="283"/>
        <v>1</v>
      </c>
      <c r="F2972" s="52"/>
      <c r="G2972" s="52"/>
      <c r="H2972" s="52"/>
      <c r="I2972" s="52"/>
      <c r="J2972" s="52"/>
      <c r="K2972" s="52"/>
      <c r="L2972" s="52"/>
      <c r="M2972" s="52"/>
      <c r="N2972" s="52"/>
      <c r="O2972" s="52"/>
      <c r="P2972" s="52"/>
      <c r="Q2972" s="52"/>
      <c r="R2972" s="52"/>
      <c r="S2972" s="52"/>
      <c r="T2972" s="52"/>
      <c r="U2972" s="52"/>
      <c r="V2972" s="52"/>
      <c r="W2972" s="52"/>
      <c r="X2972" s="52"/>
      <c r="Y2972" s="52"/>
      <c r="Z2972" s="52"/>
      <c r="AA2972" s="52"/>
      <c r="AB2972" s="52"/>
      <c r="AC2972" s="52"/>
      <c r="AD2972" s="52"/>
      <c r="AE2972" s="52"/>
      <c r="AF2972" s="52"/>
      <c r="AG2972" s="52"/>
      <c r="AH2972" s="52"/>
      <c r="AI2972" s="52"/>
      <c r="AJ2972" s="52"/>
      <c r="AK2972" s="52"/>
      <c r="AL2972" s="52"/>
      <c r="AM2972" s="52"/>
      <c r="AN2972" s="52"/>
    </row>
    <row r="2973" spans="1:40" x14ac:dyDescent="0.3">
      <c r="A2973" s="52">
        <v>2968</v>
      </c>
      <c r="B2973" s="52">
        <f>-bthan*500+(17+0.5)*bthan*1000/50</f>
        <v>-825</v>
      </c>
      <c r="C2973" s="52">
        <f t="shared" si="284"/>
        <v>390</v>
      </c>
      <c r="D2973" s="52">
        <f t="shared" si="282"/>
        <v>2200</v>
      </c>
      <c r="E2973" s="52">
        <f t="shared" si="283"/>
        <v>1</v>
      </c>
      <c r="F2973" s="52"/>
      <c r="G2973" s="52"/>
      <c r="H2973" s="52"/>
      <c r="I2973" s="52"/>
      <c r="J2973" s="52"/>
      <c r="K2973" s="52"/>
      <c r="L2973" s="52"/>
      <c r="M2973" s="52"/>
      <c r="N2973" s="52"/>
      <c r="O2973" s="52"/>
      <c r="P2973" s="52"/>
      <c r="Q2973" s="52"/>
      <c r="R2973" s="52"/>
      <c r="S2973" s="52"/>
      <c r="T2973" s="52"/>
      <c r="U2973" s="52"/>
      <c r="V2973" s="52"/>
      <c r="W2973" s="52"/>
      <c r="X2973" s="52"/>
      <c r="Y2973" s="52"/>
      <c r="Z2973" s="52"/>
      <c r="AA2973" s="52"/>
      <c r="AB2973" s="52"/>
      <c r="AC2973" s="52"/>
      <c r="AD2973" s="52"/>
      <c r="AE2973" s="52"/>
      <c r="AF2973" s="52"/>
      <c r="AG2973" s="52"/>
      <c r="AH2973" s="52"/>
      <c r="AI2973" s="52"/>
      <c r="AJ2973" s="52"/>
      <c r="AK2973" s="52"/>
      <c r="AL2973" s="52"/>
      <c r="AM2973" s="52"/>
      <c r="AN2973" s="52"/>
    </row>
    <row r="2974" spans="1:40" x14ac:dyDescent="0.3">
      <c r="A2974" s="52">
        <v>2969</v>
      </c>
      <c r="B2974" s="52">
        <f>-bthan*500+(18+0.5)*bthan*1000/50</f>
        <v>-715</v>
      </c>
      <c r="C2974" s="52">
        <f t="shared" si="284"/>
        <v>390</v>
      </c>
      <c r="D2974" s="52">
        <f t="shared" si="282"/>
        <v>2200</v>
      </c>
      <c r="E2974" s="52">
        <f t="shared" si="283"/>
        <v>1</v>
      </c>
      <c r="F2974" s="52"/>
      <c r="G2974" s="52"/>
      <c r="H2974" s="52"/>
      <c r="I2974" s="52"/>
      <c r="J2974" s="52"/>
      <c r="K2974" s="52"/>
      <c r="L2974" s="52"/>
      <c r="M2974" s="52"/>
      <c r="N2974" s="52"/>
      <c r="O2974" s="52"/>
      <c r="P2974" s="52"/>
      <c r="Q2974" s="52"/>
      <c r="R2974" s="52"/>
      <c r="S2974" s="52"/>
      <c r="T2974" s="52"/>
      <c r="U2974" s="52"/>
      <c r="V2974" s="52"/>
      <c r="W2974" s="52"/>
      <c r="X2974" s="52"/>
      <c r="Y2974" s="52"/>
      <c r="Z2974" s="52"/>
      <c r="AA2974" s="52"/>
      <c r="AB2974" s="52"/>
      <c r="AC2974" s="52"/>
      <c r="AD2974" s="52"/>
      <c r="AE2974" s="52"/>
      <c r="AF2974" s="52"/>
      <c r="AG2974" s="52"/>
      <c r="AH2974" s="52"/>
      <c r="AI2974" s="52"/>
      <c r="AJ2974" s="52"/>
      <c r="AK2974" s="52"/>
      <c r="AL2974" s="52"/>
      <c r="AM2974" s="52"/>
      <c r="AN2974" s="52"/>
    </row>
    <row r="2975" spans="1:40" x14ac:dyDescent="0.3">
      <c r="A2975" s="52">
        <v>2970</v>
      </c>
      <c r="B2975" s="52">
        <f>-bthan*500+(19+0.5)*bthan*1000/50</f>
        <v>-605</v>
      </c>
      <c r="C2975" s="52">
        <f t="shared" si="284"/>
        <v>390</v>
      </c>
      <c r="D2975" s="52">
        <f t="shared" si="282"/>
        <v>2200</v>
      </c>
      <c r="E2975" s="52">
        <f t="shared" si="283"/>
        <v>1</v>
      </c>
      <c r="F2975" s="52"/>
      <c r="G2975" s="52"/>
      <c r="H2975" s="52"/>
      <c r="I2975" s="52"/>
      <c r="J2975" s="52"/>
      <c r="K2975" s="52"/>
      <c r="L2975" s="52"/>
      <c r="M2975" s="52"/>
      <c r="N2975" s="52"/>
      <c r="O2975" s="52"/>
      <c r="P2975" s="52"/>
      <c r="Q2975" s="52"/>
      <c r="R2975" s="52"/>
      <c r="S2975" s="52"/>
      <c r="T2975" s="52"/>
      <c r="U2975" s="52"/>
      <c r="V2975" s="52"/>
      <c r="W2975" s="52"/>
      <c r="X2975" s="52"/>
      <c r="Y2975" s="52"/>
      <c r="Z2975" s="52"/>
      <c r="AA2975" s="52"/>
      <c r="AB2975" s="52"/>
      <c r="AC2975" s="52"/>
      <c r="AD2975" s="52"/>
      <c r="AE2975" s="52"/>
      <c r="AF2975" s="52"/>
      <c r="AG2975" s="52"/>
      <c r="AH2975" s="52"/>
      <c r="AI2975" s="52"/>
      <c r="AJ2975" s="52"/>
      <c r="AK2975" s="52"/>
      <c r="AL2975" s="52"/>
      <c r="AM2975" s="52"/>
      <c r="AN2975" s="52"/>
    </row>
    <row r="2976" spans="1:40" x14ac:dyDescent="0.3">
      <c r="A2976" s="52">
        <v>2971</v>
      </c>
      <c r="B2976" s="52">
        <f>-bthan*500+(20+0.5)*bthan*1000/50</f>
        <v>-495</v>
      </c>
      <c r="C2976" s="52">
        <f t="shared" si="284"/>
        <v>390</v>
      </c>
      <c r="D2976" s="52">
        <f t="shared" si="282"/>
        <v>2200</v>
      </c>
      <c r="E2976" s="52">
        <f t="shared" si="283"/>
        <v>1</v>
      </c>
      <c r="F2976" s="52"/>
      <c r="G2976" s="52"/>
      <c r="H2976" s="52"/>
      <c r="I2976" s="52"/>
      <c r="J2976" s="52"/>
      <c r="K2976" s="52"/>
      <c r="L2976" s="52"/>
      <c r="M2976" s="52"/>
      <c r="N2976" s="52"/>
      <c r="O2976" s="52"/>
      <c r="P2976" s="52"/>
      <c r="Q2976" s="52"/>
      <c r="R2976" s="52"/>
      <c r="S2976" s="52"/>
      <c r="T2976" s="52"/>
      <c r="U2976" s="52"/>
      <c r="V2976" s="52"/>
      <c r="W2976" s="52"/>
      <c r="X2976" s="52"/>
      <c r="Y2976" s="52"/>
      <c r="Z2976" s="52"/>
      <c r="AA2976" s="52"/>
      <c r="AB2976" s="52"/>
      <c r="AC2976" s="52"/>
      <c r="AD2976" s="52"/>
      <c r="AE2976" s="52"/>
      <c r="AF2976" s="52"/>
      <c r="AG2976" s="52"/>
      <c r="AH2976" s="52"/>
      <c r="AI2976" s="52"/>
      <c r="AJ2976" s="52"/>
      <c r="AK2976" s="52"/>
      <c r="AL2976" s="52"/>
      <c r="AM2976" s="52"/>
      <c r="AN2976" s="52"/>
    </row>
    <row r="2977" spans="1:40" x14ac:dyDescent="0.3">
      <c r="A2977" s="52">
        <v>2972</v>
      </c>
      <c r="B2977" s="52">
        <f>-bthan*500+(21+0.5)*bthan*1000/50</f>
        <v>-385</v>
      </c>
      <c r="C2977" s="52">
        <f t="shared" si="284"/>
        <v>390</v>
      </c>
      <c r="D2977" s="52">
        <f t="shared" si="282"/>
        <v>2200</v>
      </c>
      <c r="E2977" s="52">
        <f t="shared" si="283"/>
        <v>1</v>
      </c>
      <c r="F2977" s="52"/>
      <c r="G2977" s="52"/>
      <c r="H2977" s="52"/>
      <c r="I2977" s="52"/>
      <c r="J2977" s="52"/>
      <c r="K2977" s="52"/>
      <c r="L2977" s="52"/>
      <c r="M2977" s="52"/>
      <c r="N2977" s="52"/>
      <c r="O2977" s="52"/>
      <c r="P2977" s="52"/>
      <c r="Q2977" s="52"/>
      <c r="R2977" s="52"/>
      <c r="S2977" s="52"/>
      <c r="T2977" s="52"/>
      <c r="U2977" s="52"/>
      <c r="V2977" s="52"/>
      <c r="W2977" s="52"/>
      <c r="X2977" s="52"/>
      <c r="Y2977" s="52"/>
      <c r="Z2977" s="52"/>
      <c r="AA2977" s="52"/>
      <c r="AB2977" s="52"/>
      <c r="AC2977" s="52"/>
      <c r="AD2977" s="52"/>
      <c r="AE2977" s="52"/>
      <c r="AF2977" s="52"/>
      <c r="AG2977" s="52"/>
      <c r="AH2977" s="52"/>
      <c r="AI2977" s="52"/>
      <c r="AJ2977" s="52"/>
      <c r="AK2977" s="52"/>
      <c r="AL2977" s="52"/>
      <c r="AM2977" s="52"/>
      <c r="AN2977" s="52"/>
    </row>
    <row r="2978" spans="1:40" x14ac:dyDescent="0.3">
      <c r="A2978" s="52">
        <v>2973</v>
      </c>
      <c r="B2978" s="52">
        <f>-bthan*500+(22+0.5)*bthan*1000/50</f>
        <v>-275</v>
      </c>
      <c r="C2978" s="52">
        <f t="shared" si="284"/>
        <v>390</v>
      </c>
      <c r="D2978" s="52">
        <f t="shared" si="282"/>
        <v>2200</v>
      </c>
      <c r="E2978" s="52">
        <f t="shared" si="283"/>
        <v>1</v>
      </c>
      <c r="F2978" s="52"/>
      <c r="G2978" s="52"/>
      <c r="H2978" s="52"/>
      <c r="I2978" s="52"/>
      <c r="J2978" s="52"/>
      <c r="K2978" s="52"/>
      <c r="L2978" s="52"/>
      <c r="M2978" s="52"/>
      <c r="N2978" s="52"/>
      <c r="O2978" s="52"/>
      <c r="P2978" s="52"/>
      <c r="Q2978" s="52"/>
      <c r="R2978" s="52"/>
      <c r="S2978" s="52"/>
      <c r="T2978" s="52"/>
      <c r="U2978" s="52"/>
      <c r="V2978" s="52"/>
      <c r="W2978" s="52"/>
      <c r="X2978" s="52"/>
      <c r="Y2978" s="52"/>
      <c r="Z2978" s="52"/>
      <c r="AA2978" s="52"/>
      <c r="AB2978" s="52"/>
      <c r="AC2978" s="52"/>
      <c r="AD2978" s="52"/>
      <c r="AE2978" s="52"/>
      <c r="AF2978" s="52"/>
      <c r="AG2978" s="52"/>
      <c r="AH2978" s="52"/>
      <c r="AI2978" s="52"/>
      <c r="AJ2978" s="52"/>
      <c r="AK2978" s="52"/>
      <c r="AL2978" s="52"/>
      <c r="AM2978" s="52"/>
      <c r="AN2978" s="52"/>
    </row>
    <row r="2979" spans="1:40" x14ac:dyDescent="0.3">
      <c r="A2979" s="52">
        <v>2974</v>
      </c>
      <c r="B2979" s="52">
        <f>-bthan*500+(23+0.5)*bthan*1000/50</f>
        <v>-165</v>
      </c>
      <c r="C2979" s="52">
        <f t="shared" si="284"/>
        <v>390</v>
      </c>
      <c r="D2979" s="52">
        <f t="shared" si="282"/>
        <v>2200</v>
      </c>
      <c r="E2979" s="52">
        <f t="shared" si="283"/>
        <v>1</v>
      </c>
      <c r="F2979" s="52"/>
      <c r="G2979" s="52"/>
      <c r="H2979" s="52"/>
      <c r="I2979" s="52"/>
      <c r="J2979" s="52"/>
      <c r="K2979" s="52"/>
      <c r="L2979" s="52"/>
      <c r="M2979" s="52"/>
      <c r="N2979" s="52"/>
      <c r="O2979" s="52"/>
      <c r="P2979" s="52"/>
      <c r="Q2979" s="52"/>
      <c r="R2979" s="52"/>
      <c r="S2979" s="52"/>
      <c r="T2979" s="52"/>
      <c r="U2979" s="52"/>
      <c r="V2979" s="52"/>
      <c r="W2979" s="52"/>
      <c r="X2979" s="52"/>
      <c r="Y2979" s="52"/>
      <c r="Z2979" s="52"/>
      <c r="AA2979" s="52"/>
      <c r="AB2979" s="52"/>
      <c r="AC2979" s="52"/>
      <c r="AD2979" s="52"/>
      <c r="AE2979" s="52"/>
      <c r="AF2979" s="52"/>
      <c r="AG2979" s="52"/>
      <c r="AH2979" s="52"/>
      <c r="AI2979" s="52"/>
      <c r="AJ2979" s="52"/>
      <c r="AK2979" s="52"/>
      <c r="AL2979" s="52"/>
      <c r="AM2979" s="52"/>
      <c r="AN2979" s="52"/>
    </row>
    <row r="2980" spans="1:40" x14ac:dyDescent="0.3">
      <c r="A2980" s="52">
        <v>2975</v>
      </c>
      <c r="B2980" s="52">
        <f>-bthan*500+(24+0.5)*bthan*1000/50</f>
        <v>-55</v>
      </c>
      <c r="C2980" s="52">
        <f t="shared" si="284"/>
        <v>390</v>
      </c>
      <c r="D2980" s="52">
        <f t="shared" si="282"/>
        <v>2200</v>
      </c>
      <c r="E2980" s="52">
        <f t="shared" si="283"/>
        <v>1</v>
      </c>
      <c r="F2980" s="52"/>
      <c r="G2980" s="52"/>
      <c r="H2980" s="52"/>
      <c r="I2980" s="52"/>
      <c r="J2980" s="52"/>
      <c r="K2980" s="52"/>
      <c r="L2980" s="52"/>
      <c r="M2980" s="52"/>
      <c r="N2980" s="52"/>
      <c r="O2980" s="52"/>
      <c r="P2980" s="52"/>
      <c r="Q2980" s="52"/>
      <c r="R2980" s="52"/>
      <c r="S2980" s="52"/>
      <c r="T2980" s="52"/>
      <c r="U2980" s="52"/>
      <c r="V2980" s="52"/>
      <c r="W2980" s="52"/>
      <c r="X2980" s="52"/>
      <c r="Y2980" s="52"/>
      <c r="Z2980" s="52"/>
      <c r="AA2980" s="52"/>
      <c r="AB2980" s="52"/>
      <c r="AC2980" s="52"/>
      <c r="AD2980" s="52"/>
      <c r="AE2980" s="52"/>
      <c r="AF2980" s="52"/>
      <c r="AG2980" s="52"/>
      <c r="AH2980" s="52"/>
      <c r="AI2980" s="52"/>
      <c r="AJ2980" s="52"/>
      <c r="AK2980" s="52"/>
      <c r="AL2980" s="52"/>
      <c r="AM2980" s="52"/>
      <c r="AN2980" s="52"/>
    </row>
    <row r="2981" spans="1:40" x14ac:dyDescent="0.3">
      <c r="A2981" s="52">
        <v>2976</v>
      </c>
      <c r="B2981" s="52">
        <f>-bthan*500+(25+0.5)*bthan*1000/50</f>
        <v>55</v>
      </c>
      <c r="C2981" s="52">
        <f t="shared" si="284"/>
        <v>390</v>
      </c>
      <c r="D2981" s="52">
        <f t="shared" si="282"/>
        <v>2200</v>
      </c>
      <c r="E2981" s="52">
        <f t="shared" si="283"/>
        <v>1</v>
      </c>
      <c r="F2981" s="52"/>
      <c r="G2981" s="52"/>
      <c r="H2981" s="52"/>
      <c r="I2981" s="52"/>
      <c r="J2981" s="52"/>
      <c r="K2981" s="52"/>
      <c r="L2981" s="52"/>
      <c r="M2981" s="52"/>
      <c r="N2981" s="52"/>
      <c r="O2981" s="52"/>
      <c r="P2981" s="52"/>
      <c r="Q2981" s="52"/>
      <c r="R2981" s="52"/>
      <c r="S2981" s="52"/>
      <c r="T2981" s="52"/>
      <c r="U2981" s="52"/>
      <c r="V2981" s="52"/>
      <c r="W2981" s="52"/>
      <c r="X2981" s="52"/>
      <c r="Y2981" s="52"/>
      <c r="Z2981" s="52"/>
      <c r="AA2981" s="52"/>
      <c r="AB2981" s="52"/>
      <c r="AC2981" s="52"/>
      <c r="AD2981" s="52"/>
      <c r="AE2981" s="52"/>
      <c r="AF2981" s="52"/>
      <c r="AG2981" s="52"/>
      <c r="AH2981" s="52"/>
      <c r="AI2981" s="52"/>
      <c r="AJ2981" s="52"/>
      <c r="AK2981" s="52"/>
      <c r="AL2981" s="52"/>
      <c r="AM2981" s="52"/>
      <c r="AN2981" s="52"/>
    </row>
    <row r="2982" spans="1:40" x14ac:dyDescent="0.3">
      <c r="A2982" s="52">
        <v>2977</v>
      </c>
      <c r="B2982" s="52">
        <f>-bthan*500+(26+0.5)*bthan*1000/50</f>
        <v>165</v>
      </c>
      <c r="C2982" s="52">
        <f t="shared" si="284"/>
        <v>390</v>
      </c>
      <c r="D2982" s="52">
        <f t="shared" si="282"/>
        <v>2200</v>
      </c>
      <c r="E2982" s="52">
        <f t="shared" si="283"/>
        <v>1</v>
      </c>
      <c r="F2982" s="52"/>
      <c r="G2982" s="52"/>
      <c r="H2982" s="52"/>
      <c r="I2982" s="52"/>
      <c r="J2982" s="52"/>
      <c r="K2982" s="52"/>
      <c r="L2982" s="52"/>
      <c r="M2982" s="52"/>
      <c r="N2982" s="52"/>
      <c r="O2982" s="52"/>
      <c r="P2982" s="52"/>
      <c r="Q2982" s="52"/>
      <c r="R2982" s="52"/>
      <c r="S2982" s="52"/>
      <c r="T2982" s="52"/>
      <c r="U2982" s="52"/>
      <c r="V2982" s="52"/>
      <c r="W2982" s="52"/>
      <c r="X2982" s="52"/>
      <c r="Y2982" s="52"/>
      <c r="Z2982" s="52"/>
      <c r="AA2982" s="52"/>
      <c r="AB2982" s="52"/>
      <c r="AC2982" s="52"/>
      <c r="AD2982" s="52"/>
      <c r="AE2982" s="52"/>
      <c r="AF2982" s="52"/>
      <c r="AG2982" s="52"/>
      <c r="AH2982" s="52"/>
      <c r="AI2982" s="52"/>
      <c r="AJ2982" s="52"/>
      <c r="AK2982" s="52"/>
      <c r="AL2982" s="52"/>
      <c r="AM2982" s="52"/>
      <c r="AN2982" s="52"/>
    </row>
    <row r="2983" spans="1:40" x14ac:dyDescent="0.3">
      <c r="A2983" s="52">
        <v>2978</v>
      </c>
      <c r="B2983" s="52">
        <f>-bthan*500+(27+0.5)*bthan*1000/50</f>
        <v>275</v>
      </c>
      <c r="C2983" s="52">
        <f t="shared" si="284"/>
        <v>390</v>
      </c>
      <c r="D2983" s="52">
        <f t="shared" si="282"/>
        <v>2200</v>
      </c>
      <c r="E2983" s="52">
        <f t="shared" si="283"/>
        <v>1</v>
      </c>
      <c r="F2983" s="52"/>
      <c r="G2983" s="52"/>
      <c r="H2983" s="52"/>
      <c r="I2983" s="52"/>
      <c r="J2983" s="52"/>
      <c r="K2983" s="52"/>
      <c r="L2983" s="52"/>
      <c r="M2983" s="52"/>
      <c r="N2983" s="52"/>
      <c r="O2983" s="52"/>
      <c r="P2983" s="52"/>
      <c r="Q2983" s="52"/>
      <c r="R2983" s="52"/>
      <c r="S2983" s="52"/>
      <c r="T2983" s="52"/>
      <c r="U2983" s="52"/>
      <c r="V2983" s="52"/>
      <c r="W2983" s="52"/>
      <c r="X2983" s="52"/>
      <c r="Y2983" s="52"/>
      <c r="Z2983" s="52"/>
      <c r="AA2983" s="52"/>
      <c r="AB2983" s="52"/>
      <c r="AC2983" s="52"/>
      <c r="AD2983" s="52"/>
      <c r="AE2983" s="52"/>
      <c r="AF2983" s="52"/>
      <c r="AG2983" s="52"/>
      <c r="AH2983" s="52"/>
      <c r="AI2983" s="52"/>
      <c r="AJ2983" s="52"/>
      <c r="AK2983" s="52"/>
      <c r="AL2983" s="52"/>
      <c r="AM2983" s="52"/>
      <c r="AN2983" s="52"/>
    </row>
    <row r="2984" spans="1:40" x14ac:dyDescent="0.3">
      <c r="A2984" s="52">
        <v>2979</v>
      </c>
      <c r="B2984" s="52">
        <f>-bthan*500+(28+0.5)*bthan*1000/50</f>
        <v>385</v>
      </c>
      <c r="C2984" s="52">
        <f t="shared" si="284"/>
        <v>390</v>
      </c>
      <c r="D2984" s="52">
        <f t="shared" si="282"/>
        <v>2200</v>
      </c>
      <c r="E2984" s="52">
        <f t="shared" si="283"/>
        <v>1</v>
      </c>
      <c r="F2984" s="52"/>
      <c r="G2984" s="52"/>
      <c r="H2984" s="52"/>
      <c r="I2984" s="52"/>
      <c r="J2984" s="52"/>
      <c r="K2984" s="52"/>
      <c r="L2984" s="52"/>
      <c r="M2984" s="52"/>
      <c r="N2984" s="52"/>
      <c r="O2984" s="52"/>
      <c r="P2984" s="52"/>
      <c r="Q2984" s="52"/>
      <c r="R2984" s="52"/>
      <c r="S2984" s="52"/>
      <c r="T2984" s="52"/>
      <c r="U2984" s="52"/>
      <c r="V2984" s="52"/>
      <c r="W2984" s="52"/>
      <c r="X2984" s="52"/>
      <c r="Y2984" s="52"/>
      <c r="Z2984" s="52"/>
      <c r="AA2984" s="52"/>
      <c r="AB2984" s="52"/>
      <c r="AC2984" s="52"/>
      <c r="AD2984" s="52"/>
      <c r="AE2984" s="52"/>
      <c r="AF2984" s="52"/>
      <c r="AG2984" s="52"/>
      <c r="AH2984" s="52"/>
      <c r="AI2984" s="52"/>
      <c r="AJ2984" s="52"/>
      <c r="AK2984" s="52"/>
      <c r="AL2984" s="52"/>
      <c r="AM2984" s="52"/>
      <c r="AN2984" s="52"/>
    </row>
    <row r="2985" spans="1:40" x14ac:dyDescent="0.3">
      <c r="A2985" s="52">
        <v>2980</v>
      </c>
      <c r="B2985" s="52">
        <f>-bthan*500+(29+0.5)*bthan*1000/50</f>
        <v>495</v>
      </c>
      <c r="C2985" s="52">
        <f t="shared" si="284"/>
        <v>390</v>
      </c>
      <c r="D2985" s="52">
        <f t="shared" si="282"/>
        <v>2200</v>
      </c>
      <c r="E2985" s="52">
        <f t="shared" si="283"/>
        <v>1</v>
      </c>
      <c r="F2985" s="52"/>
      <c r="G2985" s="52"/>
      <c r="H2985" s="52"/>
      <c r="I2985" s="52"/>
      <c r="J2985" s="52"/>
      <c r="K2985" s="52"/>
      <c r="L2985" s="52"/>
      <c r="M2985" s="52"/>
      <c r="N2985" s="52"/>
      <c r="O2985" s="52"/>
      <c r="P2985" s="52"/>
      <c r="Q2985" s="52"/>
      <c r="R2985" s="52"/>
      <c r="S2985" s="52"/>
      <c r="T2985" s="52"/>
      <c r="U2985" s="52"/>
      <c r="V2985" s="52"/>
      <c r="W2985" s="52"/>
      <c r="X2985" s="52"/>
      <c r="Y2985" s="52"/>
      <c r="Z2985" s="52"/>
      <c r="AA2985" s="52"/>
      <c r="AB2985" s="52"/>
      <c r="AC2985" s="52"/>
      <c r="AD2985" s="52"/>
      <c r="AE2985" s="52"/>
      <c r="AF2985" s="52"/>
      <c r="AG2985" s="52"/>
      <c r="AH2985" s="52"/>
      <c r="AI2985" s="52"/>
      <c r="AJ2985" s="52"/>
      <c r="AK2985" s="52"/>
      <c r="AL2985" s="52"/>
      <c r="AM2985" s="52"/>
      <c r="AN2985" s="52"/>
    </row>
    <row r="2986" spans="1:40" x14ac:dyDescent="0.3">
      <c r="A2986" s="52">
        <v>2981</v>
      </c>
      <c r="B2986" s="52">
        <f>-bthan*500+(30+0.5)*bthan*1000/50</f>
        <v>605</v>
      </c>
      <c r="C2986" s="52">
        <f t="shared" si="284"/>
        <v>390</v>
      </c>
      <c r="D2986" s="52">
        <f t="shared" si="282"/>
        <v>2200</v>
      </c>
      <c r="E2986" s="52">
        <f t="shared" si="283"/>
        <v>1</v>
      </c>
      <c r="F2986" s="52"/>
      <c r="G2986" s="52"/>
      <c r="H2986" s="52"/>
      <c r="I2986" s="52"/>
      <c r="J2986" s="52"/>
      <c r="K2986" s="52"/>
      <c r="L2986" s="52"/>
      <c r="M2986" s="52"/>
      <c r="N2986" s="52"/>
      <c r="O2986" s="52"/>
      <c r="P2986" s="52"/>
      <c r="Q2986" s="52"/>
      <c r="R2986" s="52"/>
      <c r="S2986" s="52"/>
      <c r="T2986" s="52"/>
      <c r="U2986" s="52"/>
      <c r="V2986" s="52"/>
      <c r="W2986" s="52"/>
      <c r="X2986" s="52"/>
      <c r="Y2986" s="52"/>
      <c r="Z2986" s="52"/>
      <c r="AA2986" s="52"/>
      <c r="AB2986" s="52"/>
      <c r="AC2986" s="52"/>
      <c r="AD2986" s="52"/>
      <c r="AE2986" s="52"/>
      <c r="AF2986" s="52"/>
      <c r="AG2986" s="52"/>
      <c r="AH2986" s="52"/>
      <c r="AI2986" s="52"/>
      <c r="AJ2986" s="52"/>
      <c r="AK2986" s="52"/>
      <c r="AL2986" s="52"/>
      <c r="AM2986" s="52"/>
      <c r="AN2986" s="52"/>
    </row>
    <row r="2987" spans="1:40" x14ac:dyDescent="0.3">
      <c r="A2987" s="52">
        <v>2982</v>
      </c>
      <c r="B2987" s="52">
        <f>-bthan*500+(31+0.5)*bthan*1000/50</f>
        <v>715</v>
      </c>
      <c r="C2987" s="52">
        <f t="shared" si="284"/>
        <v>390</v>
      </c>
      <c r="D2987" s="52">
        <f t="shared" si="282"/>
        <v>2200</v>
      </c>
      <c r="E2987" s="52">
        <f t="shared" si="283"/>
        <v>1</v>
      </c>
      <c r="F2987" s="52"/>
      <c r="G2987" s="52"/>
      <c r="H2987" s="52"/>
      <c r="I2987" s="52"/>
      <c r="J2987" s="52"/>
      <c r="K2987" s="52"/>
      <c r="L2987" s="52"/>
      <c r="M2987" s="52"/>
      <c r="N2987" s="52"/>
      <c r="O2987" s="52"/>
      <c r="P2987" s="52"/>
      <c r="Q2987" s="52"/>
      <c r="R2987" s="52"/>
      <c r="S2987" s="52"/>
      <c r="T2987" s="52"/>
      <c r="U2987" s="52"/>
      <c r="V2987" s="52"/>
      <c r="W2987" s="52"/>
      <c r="X2987" s="52"/>
      <c r="Y2987" s="52"/>
      <c r="Z2987" s="52"/>
      <c r="AA2987" s="52"/>
      <c r="AB2987" s="52"/>
      <c r="AC2987" s="52"/>
      <c r="AD2987" s="52"/>
      <c r="AE2987" s="52"/>
      <c r="AF2987" s="52"/>
      <c r="AG2987" s="52"/>
      <c r="AH2987" s="52"/>
      <c r="AI2987" s="52"/>
      <c r="AJ2987" s="52"/>
      <c r="AK2987" s="52"/>
      <c r="AL2987" s="52"/>
      <c r="AM2987" s="52"/>
      <c r="AN2987" s="52"/>
    </row>
    <row r="2988" spans="1:40" x14ac:dyDescent="0.3">
      <c r="A2988" s="52">
        <v>2983</v>
      </c>
      <c r="B2988" s="52">
        <f>-bthan*500+(32+0.5)*bthan*1000/50</f>
        <v>825</v>
      </c>
      <c r="C2988" s="52">
        <f t="shared" ref="C2988:C3005" si="285">-hthan*500+(59+0.5)*hthan*1000/80</f>
        <v>390</v>
      </c>
      <c r="D2988" s="52">
        <f t="shared" si="282"/>
        <v>2200</v>
      </c>
      <c r="E2988" s="52">
        <f t="shared" si="283"/>
        <v>1</v>
      </c>
      <c r="F2988" s="52"/>
      <c r="G2988" s="52"/>
      <c r="H2988" s="52"/>
      <c r="I2988" s="52"/>
      <c r="J2988" s="52"/>
      <c r="K2988" s="52"/>
      <c r="L2988" s="52"/>
      <c r="M2988" s="52"/>
      <c r="N2988" s="52"/>
      <c r="O2988" s="52"/>
      <c r="P2988" s="52"/>
      <c r="Q2988" s="52"/>
      <c r="R2988" s="52"/>
      <c r="S2988" s="52"/>
      <c r="T2988" s="52"/>
      <c r="U2988" s="52"/>
      <c r="V2988" s="52"/>
      <c r="W2988" s="52"/>
      <c r="X2988" s="52"/>
      <c r="Y2988" s="52"/>
      <c r="Z2988" s="52"/>
      <c r="AA2988" s="52"/>
      <c r="AB2988" s="52"/>
      <c r="AC2988" s="52"/>
      <c r="AD2988" s="52"/>
      <c r="AE2988" s="52"/>
      <c r="AF2988" s="52"/>
      <c r="AG2988" s="52"/>
      <c r="AH2988" s="52"/>
      <c r="AI2988" s="52"/>
      <c r="AJ2988" s="52"/>
      <c r="AK2988" s="52"/>
      <c r="AL2988" s="52"/>
      <c r="AM2988" s="52"/>
      <c r="AN2988" s="52"/>
    </row>
    <row r="2989" spans="1:40" x14ac:dyDescent="0.3">
      <c r="A2989" s="52">
        <v>2984</v>
      </c>
      <c r="B2989" s="52">
        <f>-bthan*500+(33+0.5)*bthan*1000/50</f>
        <v>935</v>
      </c>
      <c r="C2989" s="52">
        <f t="shared" si="285"/>
        <v>390</v>
      </c>
      <c r="D2989" s="52">
        <f t="shared" si="282"/>
        <v>2200</v>
      </c>
      <c r="E2989" s="52">
        <f t="shared" si="283"/>
        <v>1</v>
      </c>
      <c r="F2989" s="52"/>
      <c r="G2989" s="52"/>
      <c r="H2989" s="52"/>
      <c r="I2989" s="52"/>
      <c r="J2989" s="52"/>
      <c r="K2989" s="52"/>
      <c r="L2989" s="52"/>
      <c r="M2989" s="52"/>
      <c r="N2989" s="52"/>
      <c r="O2989" s="52"/>
      <c r="P2989" s="52"/>
      <c r="Q2989" s="52"/>
      <c r="R2989" s="52"/>
      <c r="S2989" s="52"/>
      <c r="T2989" s="52"/>
      <c r="U2989" s="52"/>
      <c r="V2989" s="52"/>
      <c r="W2989" s="52"/>
      <c r="X2989" s="52"/>
      <c r="Y2989" s="52"/>
      <c r="Z2989" s="52"/>
      <c r="AA2989" s="52"/>
      <c r="AB2989" s="52"/>
      <c r="AC2989" s="52"/>
      <c r="AD2989" s="52"/>
      <c r="AE2989" s="52"/>
      <c r="AF2989" s="52"/>
      <c r="AG2989" s="52"/>
      <c r="AH2989" s="52"/>
      <c r="AI2989" s="52"/>
      <c r="AJ2989" s="52"/>
      <c r="AK2989" s="52"/>
      <c r="AL2989" s="52"/>
      <c r="AM2989" s="52"/>
      <c r="AN2989" s="52"/>
    </row>
    <row r="2990" spans="1:40" x14ac:dyDescent="0.3">
      <c r="A2990" s="52">
        <v>2985</v>
      </c>
      <c r="B2990" s="52">
        <f>-bthan*500+(34+0.5)*bthan*1000/50</f>
        <v>1045</v>
      </c>
      <c r="C2990" s="52">
        <f t="shared" si="285"/>
        <v>390</v>
      </c>
      <c r="D2990" s="52">
        <f t="shared" si="282"/>
        <v>2200</v>
      </c>
      <c r="E2990" s="52">
        <f t="shared" si="283"/>
        <v>1</v>
      </c>
      <c r="F2990" s="52"/>
      <c r="G2990" s="52"/>
      <c r="H2990" s="52"/>
      <c r="I2990" s="52"/>
      <c r="J2990" s="52"/>
      <c r="K2990" s="52"/>
      <c r="L2990" s="52"/>
      <c r="M2990" s="52"/>
      <c r="N2990" s="52"/>
      <c r="O2990" s="52"/>
      <c r="P2990" s="52"/>
      <c r="Q2990" s="52"/>
      <c r="R2990" s="52"/>
      <c r="S2990" s="52"/>
      <c r="T2990" s="52"/>
      <c r="U2990" s="52"/>
      <c r="V2990" s="52"/>
      <c r="W2990" s="52"/>
      <c r="X2990" s="52"/>
      <c r="Y2990" s="52"/>
      <c r="Z2990" s="52"/>
      <c r="AA2990" s="52"/>
      <c r="AB2990" s="52"/>
      <c r="AC2990" s="52"/>
      <c r="AD2990" s="52"/>
      <c r="AE2990" s="52"/>
      <c r="AF2990" s="52"/>
      <c r="AG2990" s="52"/>
      <c r="AH2990" s="52"/>
      <c r="AI2990" s="52"/>
      <c r="AJ2990" s="52"/>
      <c r="AK2990" s="52"/>
      <c r="AL2990" s="52"/>
      <c r="AM2990" s="52"/>
      <c r="AN2990" s="52"/>
    </row>
    <row r="2991" spans="1:40" x14ac:dyDescent="0.3">
      <c r="A2991" s="52">
        <v>2986</v>
      </c>
      <c r="B2991" s="52">
        <f>-bthan*500+(35+0.5)*bthan*1000/50</f>
        <v>1155</v>
      </c>
      <c r="C2991" s="52">
        <f t="shared" si="285"/>
        <v>390</v>
      </c>
      <c r="D2991" s="52">
        <f t="shared" si="282"/>
        <v>2200</v>
      </c>
      <c r="E2991" s="52">
        <f t="shared" si="283"/>
        <v>1</v>
      </c>
      <c r="F2991" s="52"/>
      <c r="G2991" s="52"/>
      <c r="H2991" s="52"/>
      <c r="I2991" s="52"/>
      <c r="J2991" s="52"/>
      <c r="K2991" s="52"/>
      <c r="L2991" s="52"/>
      <c r="M2991" s="52"/>
      <c r="N2991" s="52"/>
      <c r="O2991" s="52"/>
      <c r="P2991" s="52"/>
      <c r="Q2991" s="52"/>
      <c r="R2991" s="52"/>
      <c r="S2991" s="52"/>
      <c r="T2991" s="52"/>
      <c r="U2991" s="52"/>
      <c r="V2991" s="52"/>
      <c r="W2991" s="52"/>
      <c r="X2991" s="52"/>
      <c r="Y2991" s="52"/>
      <c r="Z2991" s="52"/>
      <c r="AA2991" s="52"/>
      <c r="AB2991" s="52"/>
      <c r="AC2991" s="52"/>
      <c r="AD2991" s="52"/>
      <c r="AE2991" s="52"/>
      <c r="AF2991" s="52"/>
      <c r="AG2991" s="52"/>
      <c r="AH2991" s="52"/>
      <c r="AI2991" s="52"/>
      <c r="AJ2991" s="52"/>
      <c r="AK2991" s="52"/>
      <c r="AL2991" s="52"/>
      <c r="AM2991" s="52"/>
      <c r="AN2991" s="52"/>
    </row>
    <row r="2992" spans="1:40" x14ac:dyDescent="0.3">
      <c r="A2992" s="52">
        <v>2987</v>
      </c>
      <c r="B2992" s="52">
        <f>-bthan*500+(36+0.5)*bthan*1000/50</f>
        <v>1265</v>
      </c>
      <c r="C2992" s="52">
        <f t="shared" si="285"/>
        <v>390</v>
      </c>
      <c r="D2992" s="52">
        <f t="shared" si="282"/>
        <v>2200</v>
      </c>
      <c r="E2992" s="52">
        <f t="shared" si="283"/>
        <v>1</v>
      </c>
      <c r="F2992" s="52"/>
      <c r="G2992" s="52"/>
      <c r="H2992" s="52"/>
      <c r="I2992" s="52"/>
      <c r="J2992" s="52"/>
      <c r="K2992" s="52"/>
      <c r="L2992" s="52"/>
      <c r="M2992" s="52"/>
      <c r="N2992" s="52"/>
      <c r="O2992" s="52"/>
      <c r="P2992" s="52"/>
      <c r="Q2992" s="52"/>
      <c r="R2992" s="52"/>
      <c r="S2992" s="52"/>
      <c r="T2992" s="52"/>
      <c r="U2992" s="52"/>
      <c r="V2992" s="52"/>
      <c r="W2992" s="52"/>
      <c r="X2992" s="52"/>
      <c r="Y2992" s="52"/>
      <c r="Z2992" s="52"/>
      <c r="AA2992" s="52"/>
      <c r="AB2992" s="52"/>
      <c r="AC2992" s="52"/>
      <c r="AD2992" s="52"/>
      <c r="AE2992" s="52"/>
      <c r="AF2992" s="52"/>
      <c r="AG2992" s="52"/>
      <c r="AH2992" s="52"/>
      <c r="AI2992" s="52"/>
      <c r="AJ2992" s="52"/>
      <c r="AK2992" s="52"/>
      <c r="AL2992" s="52"/>
      <c r="AM2992" s="52"/>
      <c r="AN2992" s="52"/>
    </row>
    <row r="2993" spans="1:40" x14ac:dyDescent="0.3">
      <c r="A2993" s="52">
        <v>2988</v>
      </c>
      <c r="B2993" s="52">
        <f>-bthan*500+(37+0.5)*bthan*1000/50</f>
        <v>1375</v>
      </c>
      <c r="C2993" s="52">
        <f t="shared" si="285"/>
        <v>390</v>
      </c>
      <c r="D2993" s="52">
        <f t="shared" si="282"/>
        <v>2200</v>
      </c>
      <c r="E2993" s="52">
        <f t="shared" si="283"/>
        <v>1</v>
      </c>
      <c r="F2993" s="52"/>
      <c r="G2993" s="52"/>
      <c r="H2993" s="52"/>
      <c r="I2993" s="52"/>
      <c r="J2993" s="52"/>
      <c r="K2993" s="52"/>
      <c r="L2993" s="52"/>
      <c r="M2993" s="52"/>
      <c r="N2993" s="52"/>
      <c r="O2993" s="52"/>
      <c r="P2993" s="52"/>
      <c r="Q2993" s="52"/>
      <c r="R2993" s="52"/>
      <c r="S2993" s="52"/>
      <c r="T2993" s="52"/>
      <c r="U2993" s="52"/>
      <c r="V2993" s="52"/>
      <c r="W2993" s="52"/>
      <c r="X2993" s="52"/>
      <c r="Y2993" s="52"/>
      <c r="Z2993" s="52"/>
      <c r="AA2993" s="52"/>
      <c r="AB2993" s="52"/>
      <c r="AC2993" s="52"/>
      <c r="AD2993" s="52"/>
      <c r="AE2993" s="52"/>
      <c r="AF2993" s="52"/>
      <c r="AG2993" s="52"/>
      <c r="AH2993" s="52"/>
      <c r="AI2993" s="52"/>
      <c r="AJ2993" s="52"/>
      <c r="AK2993" s="52"/>
      <c r="AL2993" s="52"/>
      <c r="AM2993" s="52"/>
      <c r="AN2993" s="52"/>
    </row>
    <row r="2994" spans="1:40" x14ac:dyDescent="0.3">
      <c r="A2994" s="52">
        <v>2989</v>
      </c>
      <c r="B2994" s="52">
        <f>-bthan*500+(38+0.5)*bthan*1000/50</f>
        <v>1485</v>
      </c>
      <c r="C2994" s="52">
        <f t="shared" si="285"/>
        <v>390</v>
      </c>
      <c r="D2994" s="52">
        <f t="shared" si="282"/>
        <v>2200</v>
      </c>
      <c r="E2994" s="52">
        <f t="shared" si="283"/>
        <v>1</v>
      </c>
      <c r="F2994" s="52"/>
      <c r="G2994" s="52"/>
      <c r="H2994" s="52"/>
      <c r="I2994" s="52"/>
      <c r="J2994" s="52"/>
      <c r="K2994" s="52"/>
      <c r="L2994" s="52"/>
      <c r="M2994" s="52"/>
      <c r="N2994" s="52"/>
      <c r="O2994" s="52"/>
      <c r="P2994" s="52"/>
      <c r="Q2994" s="52"/>
      <c r="R2994" s="52"/>
      <c r="S2994" s="52"/>
      <c r="T2994" s="52"/>
      <c r="U2994" s="52"/>
      <c r="V2994" s="52"/>
      <c r="W2994" s="52"/>
      <c r="X2994" s="52"/>
      <c r="Y2994" s="52"/>
      <c r="Z2994" s="52"/>
      <c r="AA2994" s="52"/>
      <c r="AB2994" s="52"/>
      <c r="AC2994" s="52"/>
      <c r="AD2994" s="52"/>
      <c r="AE2994" s="52"/>
      <c r="AF2994" s="52"/>
      <c r="AG2994" s="52"/>
      <c r="AH2994" s="52"/>
      <c r="AI2994" s="52"/>
      <c r="AJ2994" s="52"/>
      <c r="AK2994" s="52"/>
      <c r="AL2994" s="52"/>
      <c r="AM2994" s="52"/>
      <c r="AN2994" s="52"/>
    </row>
    <row r="2995" spans="1:40" x14ac:dyDescent="0.3">
      <c r="A2995" s="52">
        <v>2990</v>
      </c>
      <c r="B2995" s="52">
        <f>-bthan*500+(39+0.5)*bthan*1000/50</f>
        <v>1595</v>
      </c>
      <c r="C2995" s="52">
        <f t="shared" si="285"/>
        <v>390</v>
      </c>
      <c r="D2995" s="52">
        <f t="shared" si="282"/>
        <v>2200</v>
      </c>
      <c r="E2995" s="52">
        <f t="shared" si="283"/>
        <v>1</v>
      </c>
      <c r="F2995" s="52"/>
      <c r="G2995" s="52"/>
      <c r="H2995" s="52"/>
      <c r="I2995" s="52"/>
      <c r="J2995" s="52"/>
      <c r="K2995" s="52"/>
      <c r="L2995" s="52"/>
      <c r="M2995" s="52"/>
      <c r="N2995" s="52"/>
      <c r="O2995" s="52"/>
      <c r="P2995" s="52"/>
      <c r="Q2995" s="52"/>
      <c r="R2995" s="52"/>
      <c r="S2995" s="52"/>
      <c r="T2995" s="52"/>
      <c r="U2995" s="52"/>
      <c r="V2995" s="52"/>
      <c r="W2995" s="52"/>
      <c r="X2995" s="52"/>
      <c r="Y2995" s="52"/>
      <c r="Z2995" s="52"/>
      <c r="AA2995" s="52"/>
      <c r="AB2995" s="52"/>
      <c r="AC2995" s="52"/>
      <c r="AD2995" s="52"/>
      <c r="AE2995" s="52"/>
      <c r="AF2995" s="52"/>
      <c r="AG2995" s="52"/>
      <c r="AH2995" s="52"/>
      <c r="AI2995" s="52"/>
      <c r="AJ2995" s="52"/>
      <c r="AK2995" s="52"/>
      <c r="AL2995" s="52"/>
      <c r="AM2995" s="52"/>
      <c r="AN2995" s="52"/>
    </row>
    <row r="2996" spans="1:40" x14ac:dyDescent="0.3">
      <c r="A2996" s="52">
        <v>2991</v>
      </c>
      <c r="B2996" s="52">
        <f>-bthan*500+(40+0.5)*bthan*1000/50</f>
        <v>1705</v>
      </c>
      <c r="C2996" s="52">
        <f t="shared" si="285"/>
        <v>390</v>
      </c>
      <c r="D2996" s="52">
        <f t="shared" si="282"/>
        <v>2200</v>
      </c>
      <c r="E2996" s="52">
        <f t="shared" si="283"/>
        <v>1</v>
      </c>
      <c r="F2996" s="52"/>
      <c r="G2996" s="52"/>
      <c r="H2996" s="52"/>
      <c r="I2996" s="52"/>
      <c r="J2996" s="52"/>
      <c r="K2996" s="52"/>
      <c r="L2996" s="52"/>
      <c r="M2996" s="52"/>
      <c r="N2996" s="52"/>
      <c r="O2996" s="52"/>
      <c r="P2996" s="52"/>
      <c r="Q2996" s="52"/>
      <c r="R2996" s="52"/>
      <c r="S2996" s="52"/>
      <c r="T2996" s="52"/>
      <c r="U2996" s="52"/>
      <c r="V2996" s="52"/>
      <c r="W2996" s="52"/>
      <c r="X2996" s="52"/>
      <c r="Y2996" s="52"/>
      <c r="Z2996" s="52"/>
      <c r="AA2996" s="52"/>
      <c r="AB2996" s="52"/>
      <c r="AC2996" s="52"/>
      <c r="AD2996" s="52"/>
      <c r="AE2996" s="52"/>
      <c r="AF2996" s="52"/>
      <c r="AG2996" s="52"/>
      <c r="AH2996" s="52"/>
      <c r="AI2996" s="52"/>
      <c r="AJ2996" s="52"/>
      <c r="AK2996" s="52"/>
      <c r="AL2996" s="52"/>
      <c r="AM2996" s="52"/>
      <c r="AN2996" s="52"/>
    </row>
    <row r="2997" spans="1:40" x14ac:dyDescent="0.3">
      <c r="A2997" s="52">
        <v>2992</v>
      </c>
      <c r="B2997" s="52">
        <f>-bthan*500+(41+0.5)*bthan*1000/50</f>
        <v>1815</v>
      </c>
      <c r="C2997" s="52">
        <f t="shared" si="285"/>
        <v>390</v>
      </c>
      <c r="D2997" s="52">
        <f t="shared" si="282"/>
        <v>2200</v>
      </c>
      <c r="E2997" s="52">
        <f t="shared" si="283"/>
        <v>1</v>
      </c>
      <c r="F2997" s="52"/>
      <c r="G2997" s="52"/>
      <c r="H2997" s="52"/>
      <c r="I2997" s="52"/>
      <c r="J2997" s="52"/>
      <c r="K2997" s="52"/>
      <c r="L2997" s="52"/>
      <c r="M2997" s="52"/>
      <c r="N2997" s="52"/>
      <c r="O2997" s="52"/>
      <c r="P2997" s="52"/>
      <c r="Q2997" s="52"/>
      <c r="R2997" s="52"/>
      <c r="S2997" s="52"/>
      <c r="T2997" s="52"/>
      <c r="U2997" s="52"/>
      <c r="V2997" s="52"/>
      <c r="W2997" s="52"/>
      <c r="X2997" s="52"/>
      <c r="Y2997" s="52"/>
      <c r="Z2997" s="52"/>
      <c r="AA2997" s="52"/>
      <c r="AB2997" s="52"/>
      <c r="AC2997" s="52"/>
      <c r="AD2997" s="52"/>
      <c r="AE2997" s="52"/>
      <c r="AF2997" s="52"/>
      <c r="AG2997" s="52"/>
      <c r="AH2997" s="52"/>
      <c r="AI2997" s="52"/>
      <c r="AJ2997" s="52"/>
      <c r="AK2997" s="52"/>
      <c r="AL2997" s="52"/>
      <c r="AM2997" s="52"/>
      <c r="AN2997" s="52"/>
    </row>
    <row r="2998" spans="1:40" x14ac:dyDescent="0.3">
      <c r="A2998" s="52">
        <v>2993</v>
      </c>
      <c r="B2998" s="52">
        <f>-bthan*500+(42+0.5)*bthan*1000/50</f>
        <v>1925</v>
      </c>
      <c r="C2998" s="52">
        <f t="shared" si="285"/>
        <v>390</v>
      </c>
      <c r="D2998" s="52">
        <f t="shared" si="282"/>
        <v>2200</v>
      </c>
      <c r="E2998" s="52">
        <f t="shared" si="283"/>
        <v>1</v>
      </c>
      <c r="F2998" s="52"/>
      <c r="G2998" s="52"/>
      <c r="H2998" s="52"/>
      <c r="I2998" s="52"/>
      <c r="J2998" s="52"/>
      <c r="K2998" s="52"/>
      <c r="L2998" s="52"/>
      <c r="M2998" s="52"/>
      <c r="N2998" s="52"/>
      <c r="O2998" s="52"/>
      <c r="P2998" s="52"/>
      <c r="Q2998" s="52"/>
      <c r="R2998" s="52"/>
      <c r="S2998" s="52"/>
      <c r="T2998" s="52"/>
      <c r="U2998" s="52"/>
      <c r="V2998" s="52"/>
      <c r="W2998" s="52"/>
      <c r="X2998" s="52"/>
      <c r="Y2998" s="52"/>
      <c r="Z2998" s="52"/>
      <c r="AA2998" s="52"/>
      <c r="AB2998" s="52"/>
      <c r="AC2998" s="52"/>
      <c r="AD2998" s="52"/>
      <c r="AE2998" s="52"/>
      <c r="AF2998" s="52"/>
      <c r="AG2998" s="52"/>
      <c r="AH2998" s="52"/>
      <c r="AI2998" s="52"/>
      <c r="AJ2998" s="52"/>
      <c r="AK2998" s="52"/>
      <c r="AL2998" s="52"/>
      <c r="AM2998" s="52"/>
      <c r="AN2998" s="52"/>
    </row>
    <row r="2999" spans="1:40" x14ac:dyDescent="0.3">
      <c r="A2999" s="52">
        <v>2994</v>
      </c>
      <c r="B2999" s="52">
        <f>-bthan*500+(43+0.5)*bthan*1000/50</f>
        <v>2035</v>
      </c>
      <c r="C2999" s="52">
        <f t="shared" si="285"/>
        <v>390</v>
      </c>
      <c r="D2999" s="52">
        <f t="shared" si="282"/>
        <v>2200</v>
      </c>
      <c r="E2999" s="52">
        <f t="shared" si="283"/>
        <v>1</v>
      </c>
      <c r="F2999" s="52"/>
      <c r="G2999" s="52"/>
      <c r="H2999" s="52"/>
      <c r="I2999" s="52"/>
      <c r="J2999" s="52"/>
      <c r="K2999" s="52"/>
      <c r="L2999" s="52"/>
      <c r="M2999" s="52"/>
      <c r="N2999" s="52"/>
      <c r="O2999" s="52"/>
      <c r="P2999" s="52"/>
      <c r="Q2999" s="52"/>
      <c r="R2999" s="52"/>
      <c r="S2999" s="52"/>
      <c r="T2999" s="52"/>
      <c r="U2999" s="52"/>
      <c r="V2999" s="52"/>
      <c r="W2999" s="52"/>
      <c r="X2999" s="52"/>
      <c r="Y2999" s="52"/>
      <c r="Z2999" s="52"/>
      <c r="AA2999" s="52"/>
      <c r="AB2999" s="52"/>
      <c r="AC2999" s="52"/>
      <c r="AD2999" s="52"/>
      <c r="AE2999" s="52"/>
      <c r="AF2999" s="52"/>
      <c r="AG2999" s="52"/>
      <c r="AH2999" s="52"/>
      <c r="AI2999" s="52"/>
      <c r="AJ2999" s="52"/>
      <c r="AK2999" s="52"/>
      <c r="AL2999" s="52"/>
      <c r="AM2999" s="52"/>
      <c r="AN2999" s="52"/>
    </row>
    <row r="3000" spans="1:40" x14ac:dyDescent="0.3">
      <c r="A3000" s="52">
        <v>2995</v>
      </c>
      <c r="B3000" s="52">
        <f>-bthan*500+(44+0.5)*bthan*1000/50</f>
        <v>2145</v>
      </c>
      <c r="C3000" s="52">
        <f t="shared" si="285"/>
        <v>390</v>
      </c>
      <c r="D3000" s="52">
        <f t="shared" si="282"/>
        <v>2200</v>
      </c>
      <c r="E3000" s="52">
        <f t="shared" si="283"/>
        <v>1</v>
      </c>
      <c r="F3000" s="52"/>
      <c r="G3000" s="52"/>
      <c r="H3000" s="52"/>
      <c r="I3000" s="52"/>
      <c r="J3000" s="52"/>
      <c r="K3000" s="52"/>
      <c r="L3000" s="52"/>
      <c r="M3000" s="52"/>
      <c r="N3000" s="52"/>
      <c r="O3000" s="52"/>
      <c r="P3000" s="52"/>
      <c r="Q3000" s="52"/>
      <c r="R3000" s="52"/>
      <c r="S3000" s="52"/>
      <c r="T3000" s="52"/>
      <c r="U3000" s="52"/>
      <c r="V3000" s="52"/>
      <c r="W3000" s="52"/>
      <c r="X3000" s="52"/>
      <c r="Y3000" s="52"/>
      <c r="Z3000" s="52"/>
      <c r="AA3000" s="52"/>
      <c r="AB3000" s="52"/>
      <c r="AC3000" s="52"/>
      <c r="AD3000" s="52"/>
      <c r="AE3000" s="52"/>
      <c r="AF3000" s="52"/>
      <c r="AG3000" s="52"/>
      <c r="AH3000" s="52"/>
      <c r="AI3000" s="52"/>
      <c r="AJ3000" s="52"/>
      <c r="AK3000" s="52"/>
      <c r="AL3000" s="52"/>
      <c r="AM3000" s="52"/>
      <c r="AN3000" s="52"/>
    </row>
    <row r="3001" spans="1:40" x14ac:dyDescent="0.3">
      <c r="A3001" s="52">
        <v>2996</v>
      </c>
      <c r="B3001" s="52">
        <f>-bthan*500+(45+0.5)*bthan*1000/50</f>
        <v>2255</v>
      </c>
      <c r="C3001" s="52">
        <f t="shared" si="285"/>
        <v>390</v>
      </c>
      <c r="D3001" s="52">
        <f t="shared" si="282"/>
        <v>2200</v>
      </c>
      <c r="E3001" s="52">
        <f t="shared" si="283"/>
        <v>1</v>
      </c>
      <c r="F3001" s="52"/>
      <c r="G3001" s="52"/>
      <c r="H3001" s="52"/>
      <c r="I3001" s="52"/>
      <c r="J3001" s="52"/>
      <c r="K3001" s="52"/>
      <c r="L3001" s="52"/>
      <c r="M3001" s="52"/>
      <c r="N3001" s="52"/>
      <c r="O3001" s="52"/>
      <c r="P3001" s="52"/>
      <c r="Q3001" s="52"/>
      <c r="R3001" s="52"/>
      <c r="S3001" s="52"/>
      <c r="T3001" s="52"/>
      <c r="U3001" s="52"/>
      <c r="V3001" s="52"/>
      <c r="W3001" s="52"/>
      <c r="X3001" s="52"/>
      <c r="Y3001" s="52"/>
      <c r="Z3001" s="52"/>
      <c r="AA3001" s="52"/>
      <c r="AB3001" s="52"/>
      <c r="AC3001" s="52"/>
      <c r="AD3001" s="52"/>
      <c r="AE3001" s="52"/>
      <c r="AF3001" s="52"/>
      <c r="AG3001" s="52"/>
      <c r="AH3001" s="52"/>
      <c r="AI3001" s="52"/>
      <c r="AJ3001" s="52"/>
      <c r="AK3001" s="52"/>
      <c r="AL3001" s="52"/>
      <c r="AM3001" s="52"/>
      <c r="AN3001" s="52"/>
    </row>
    <row r="3002" spans="1:40" x14ac:dyDescent="0.3">
      <c r="A3002" s="52">
        <v>2997</v>
      </c>
      <c r="B3002" s="52">
        <f>-bthan*500+(46+0.5)*bthan*1000/50</f>
        <v>2365</v>
      </c>
      <c r="C3002" s="52">
        <f t="shared" si="285"/>
        <v>390</v>
      </c>
      <c r="D3002" s="52">
        <f t="shared" si="282"/>
        <v>2200</v>
      </c>
      <c r="E3002" s="52">
        <f t="shared" si="283"/>
        <v>1</v>
      </c>
      <c r="F3002" s="52"/>
      <c r="G3002" s="52"/>
      <c r="H3002" s="52"/>
      <c r="I3002" s="52"/>
      <c r="J3002" s="52"/>
      <c r="K3002" s="52"/>
      <c r="L3002" s="52"/>
      <c r="M3002" s="52"/>
      <c r="N3002" s="52"/>
      <c r="O3002" s="52"/>
      <c r="P3002" s="52"/>
      <c r="Q3002" s="52"/>
      <c r="R3002" s="52"/>
      <c r="S3002" s="52"/>
      <c r="T3002" s="52"/>
      <c r="U3002" s="52"/>
      <c r="V3002" s="52"/>
      <c r="W3002" s="52"/>
      <c r="X3002" s="52"/>
      <c r="Y3002" s="52"/>
      <c r="Z3002" s="52"/>
      <c r="AA3002" s="52"/>
      <c r="AB3002" s="52"/>
      <c r="AC3002" s="52"/>
      <c r="AD3002" s="52"/>
      <c r="AE3002" s="52"/>
      <c r="AF3002" s="52"/>
      <c r="AG3002" s="52"/>
      <c r="AH3002" s="52"/>
      <c r="AI3002" s="52"/>
      <c r="AJ3002" s="52"/>
      <c r="AK3002" s="52"/>
      <c r="AL3002" s="52"/>
      <c r="AM3002" s="52"/>
      <c r="AN3002" s="52"/>
    </row>
    <row r="3003" spans="1:40" x14ac:dyDescent="0.3">
      <c r="A3003" s="52">
        <v>2998</v>
      </c>
      <c r="B3003" s="52">
        <f>-bthan*500+(47+0.5)*bthan*1000/50</f>
        <v>2475</v>
      </c>
      <c r="C3003" s="52">
        <f t="shared" si="285"/>
        <v>390</v>
      </c>
      <c r="D3003" s="52">
        <f t="shared" si="282"/>
        <v>2200</v>
      </c>
      <c r="E3003" s="52">
        <f t="shared" si="283"/>
        <v>1</v>
      </c>
      <c r="F3003" s="52"/>
      <c r="G3003" s="52"/>
      <c r="H3003" s="52"/>
      <c r="I3003" s="52"/>
      <c r="J3003" s="52"/>
      <c r="K3003" s="52"/>
      <c r="L3003" s="52"/>
      <c r="M3003" s="52"/>
      <c r="N3003" s="52"/>
      <c r="O3003" s="52"/>
      <c r="P3003" s="52"/>
      <c r="Q3003" s="52"/>
      <c r="R3003" s="52"/>
      <c r="S3003" s="52"/>
      <c r="T3003" s="52"/>
      <c r="U3003" s="52"/>
      <c r="V3003" s="52"/>
      <c r="W3003" s="52"/>
      <c r="X3003" s="52"/>
      <c r="Y3003" s="52"/>
      <c r="Z3003" s="52"/>
      <c r="AA3003" s="52"/>
      <c r="AB3003" s="52"/>
      <c r="AC3003" s="52"/>
      <c r="AD3003" s="52"/>
      <c r="AE3003" s="52"/>
      <c r="AF3003" s="52"/>
      <c r="AG3003" s="52"/>
      <c r="AH3003" s="52"/>
      <c r="AI3003" s="52"/>
      <c r="AJ3003" s="52"/>
      <c r="AK3003" s="52"/>
      <c r="AL3003" s="52"/>
      <c r="AM3003" s="52"/>
      <c r="AN3003" s="52"/>
    </row>
    <row r="3004" spans="1:40" x14ac:dyDescent="0.3">
      <c r="A3004" s="52">
        <v>2999</v>
      </c>
      <c r="B3004" s="52">
        <f>-bthan*500+(48+0.5)*bthan*1000/50</f>
        <v>2585</v>
      </c>
      <c r="C3004" s="52">
        <f t="shared" si="285"/>
        <v>390</v>
      </c>
      <c r="D3004" s="52">
        <f t="shared" si="282"/>
        <v>2200</v>
      </c>
      <c r="E3004" s="52">
        <f t="shared" si="283"/>
        <v>1</v>
      </c>
      <c r="F3004" s="52"/>
      <c r="G3004" s="52"/>
      <c r="H3004" s="52"/>
      <c r="I3004" s="52"/>
      <c r="J3004" s="52"/>
      <c r="K3004" s="52"/>
      <c r="L3004" s="52"/>
      <c r="M3004" s="52"/>
      <c r="N3004" s="52"/>
      <c r="O3004" s="52"/>
      <c r="P3004" s="52"/>
      <c r="Q3004" s="52"/>
      <c r="R3004" s="52"/>
      <c r="S3004" s="52"/>
      <c r="T3004" s="52"/>
      <c r="U3004" s="52"/>
      <c r="V3004" s="52"/>
      <c r="W3004" s="52"/>
      <c r="X3004" s="52"/>
      <c r="Y3004" s="52"/>
      <c r="Z3004" s="52"/>
      <c r="AA3004" s="52"/>
      <c r="AB3004" s="52"/>
      <c r="AC3004" s="52"/>
      <c r="AD3004" s="52"/>
      <c r="AE3004" s="52"/>
      <c r="AF3004" s="52"/>
      <c r="AG3004" s="52"/>
      <c r="AH3004" s="52"/>
      <c r="AI3004" s="52"/>
      <c r="AJ3004" s="52"/>
      <c r="AK3004" s="52"/>
      <c r="AL3004" s="52"/>
      <c r="AM3004" s="52"/>
      <c r="AN3004" s="52"/>
    </row>
    <row r="3005" spans="1:40" x14ac:dyDescent="0.3">
      <c r="A3005" s="52">
        <v>3000</v>
      </c>
      <c r="B3005" s="52">
        <f>-bthan*500+(49+0.5)*bthan*1000/50</f>
        <v>2695</v>
      </c>
      <c r="C3005" s="52">
        <f t="shared" si="285"/>
        <v>390</v>
      </c>
      <c r="D3005" s="52">
        <f t="shared" si="282"/>
        <v>2200</v>
      </c>
      <c r="E3005" s="52">
        <f t="shared" si="283"/>
        <v>0</v>
      </c>
      <c r="F3005" s="52"/>
      <c r="G3005" s="52"/>
      <c r="H3005" s="52"/>
      <c r="I3005" s="52"/>
      <c r="J3005" s="52"/>
      <c r="K3005" s="52"/>
      <c r="L3005" s="52"/>
      <c r="M3005" s="52"/>
      <c r="N3005" s="52"/>
      <c r="O3005" s="52"/>
      <c r="P3005" s="52"/>
      <c r="Q3005" s="52"/>
      <c r="R3005" s="52"/>
      <c r="S3005" s="52"/>
      <c r="T3005" s="52"/>
      <c r="U3005" s="52"/>
      <c r="V3005" s="52"/>
      <c r="W3005" s="52"/>
      <c r="X3005" s="52"/>
      <c r="Y3005" s="52"/>
      <c r="Z3005" s="52"/>
      <c r="AA3005" s="52"/>
      <c r="AB3005" s="52"/>
      <c r="AC3005" s="52"/>
      <c r="AD3005" s="52"/>
      <c r="AE3005" s="52"/>
      <c r="AF3005" s="52"/>
      <c r="AG3005" s="52"/>
      <c r="AH3005" s="52"/>
      <c r="AI3005" s="52"/>
      <c r="AJ3005" s="52"/>
      <c r="AK3005" s="52"/>
      <c r="AL3005" s="52"/>
      <c r="AM3005" s="52"/>
      <c r="AN3005" s="52"/>
    </row>
    <row r="3006" spans="1:40" x14ac:dyDescent="0.3">
      <c r="A3006" s="52">
        <v>3001</v>
      </c>
      <c r="B3006" s="52">
        <f>-bthan*500+(0+0.5)*bthan*1000/50</f>
        <v>-2695</v>
      </c>
      <c r="C3006" s="52">
        <f t="shared" ref="C3006:C3037" si="286">-hthan*500+(60+0.5)*hthan*1000/80</f>
        <v>410.00000000000023</v>
      </c>
      <c r="D3006" s="52">
        <f t="shared" si="282"/>
        <v>2200</v>
      </c>
      <c r="E3006" s="52">
        <f t="shared" si="283"/>
        <v>0</v>
      </c>
      <c r="F3006" s="52"/>
      <c r="G3006" s="52"/>
      <c r="H3006" s="52"/>
      <c r="I3006" s="52"/>
      <c r="J3006" s="52"/>
      <c r="K3006" s="52"/>
      <c r="L3006" s="52"/>
      <c r="M3006" s="52"/>
      <c r="N3006" s="52"/>
      <c r="O3006" s="52"/>
      <c r="P3006" s="52"/>
      <c r="Q3006" s="52"/>
      <c r="R3006" s="52"/>
      <c r="S3006" s="52"/>
      <c r="T3006" s="52"/>
      <c r="U3006" s="52"/>
      <c r="V3006" s="52"/>
      <c r="W3006" s="52"/>
      <c r="X3006" s="52"/>
      <c r="Y3006" s="52"/>
      <c r="Z3006" s="52"/>
      <c r="AA3006" s="52"/>
      <c r="AB3006" s="52"/>
      <c r="AC3006" s="52"/>
      <c r="AD3006" s="52"/>
      <c r="AE3006" s="52"/>
      <c r="AF3006" s="52"/>
      <c r="AG3006" s="52"/>
      <c r="AH3006" s="52"/>
      <c r="AI3006" s="52"/>
      <c r="AJ3006" s="52"/>
      <c r="AK3006" s="52"/>
      <c r="AL3006" s="52"/>
      <c r="AM3006" s="52"/>
      <c r="AN3006" s="52"/>
    </row>
    <row r="3007" spans="1:40" x14ac:dyDescent="0.3">
      <c r="A3007" s="52">
        <v>3002</v>
      </c>
      <c r="B3007" s="52">
        <f>-bthan*500+(1+0.5)*bthan*1000/50</f>
        <v>-2585</v>
      </c>
      <c r="C3007" s="52">
        <f t="shared" si="286"/>
        <v>410.00000000000023</v>
      </c>
      <c r="D3007" s="52">
        <f t="shared" si="282"/>
        <v>2200</v>
      </c>
      <c r="E3007" s="52">
        <f t="shared" si="283"/>
        <v>1</v>
      </c>
      <c r="F3007" s="52"/>
      <c r="G3007" s="52"/>
      <c r="H3007" s="52"/>
      <c r="I3007" s="52"/>
      <c r="J3007" s="52"/>
      <c r="K3007" s="52"/>
      <c r="L3007" s="52"/>
      <c r="M3007" s="52"/>
      <c r="N3007" s="52"/>
      <c r="O3007" s="52"/>
      <c r="P3007" s="52"/>
      <c r="Q3007" s="52"/>
      <c r="R3007" s="52"/>
      <c r="S3007" s="52"/>
      <c r="T3007" s="52"/>
      <c r="U3007" s="52"/>
      <c r="V3007" s="52"/>
      <c r="W3007" s="52"/>
      <c r="X3007" s="52"/>
      <c r="Y3007" s="52"/>
      <c r="Z3007" s="52"/>
      <c r="AA3007" s="52"/>
      <c r="AB3007" s="52"/>
      <c r="AC3007" s="52"/>
      <c r="AD3007" s="52"/>
      <c r="AE3007" s="52"/>
      <c r="AF3007" s="52"/>
      <c r="AG3007" s="52"/>
      <c r="AH3007" s="52"/>
      <c r="AI3007" s="52"/>
      <c r="AJ3007" s="52"/>
      <c r="AK3007" s="52"/>
      <c r="AL3007" s="52"/>
      <c r="AM3007" s="52"/>
      <c r="AN3007" s="52"/>
    </row>
    <row r="3008" spans="1:40" x14ac:dyDescent="0.3">
      <c r="A3008" s="52">
        <v>3003</v>
      </c>
      <c r="B3008" s="52">
        <f>-bthan*500+(2+0.5)*bthan*1000/50</f>
        <v>-2475</v>
      </c>
      <c r="C3008" s="52">
        <f t="shared" si="286"/>
        <v>410.00000000000023</v>
      </c>
      <c r="D3008" s="52">
        <f t="shared" si="282"/>
        <v>2200</v>
      </c>
      <c r="E3008" s="52">
        <f t="shared" si="283"/>
        <v>1</v>
      </c>
      <c r="F3008" s="52"/>
      <c r="G3008" s="52"/>
      <c r="H3008" s="52"/>
      <c r="I3008" s="52"/>
      <c r="J3008" s="52"/>
      <c r="K3008" s="52"/>
      <c r="L3008" s="52"/>
      <c r="M3008" s="52"/>
      <c r="N3008" s="52"/>
      <c r="O3008" s="52"/>
      <c r="P3008" s="52"/>
      <c r="Q3008" s="52"/>
      <c r="R3008" s="52"/>
      <c r="S3008" s="52"/>
      <c r="T3008" s="52"/>
      <c r="U3008" s="52"/>
      <c r="V3008" s="52"/>
      <c r="W3008" s="52"/>
      <c r="X3008" s="52"/>
      <c r="Y3008" s="52"/>
      <c r="Z3008" s="52"/>
      <c r="AA3008" s="52"/>
      <c r="AB3008" s="52"/>
      <c r="AC3008" s="52"/>
      <c r="AD3008" s="52"/>
      <c r="AE3008" s="52"/>
      <c r="AF3008" s="52"/>
      <c r="AG3008" s="52"/>
      <c r="AH3008" s="52"/>
      <c r="AI3008" s="52"/>
      <c r="AJ3008" s="52"/>
      <c r="AK3008" s="52"/>
      <c r="AL3008" s="52"/>
      <c r="AM3008" s="52"/>
      <c r="AN3008" s="52"/>
    </row>
    <row r="3009" spans="1:40" x14ac:dyDescent="0.3">
      <c r="A3009" s="52">
        <v>3004</v>
      </c>
      <c r="B3009" s="52">
        <f>-bthan*500+(3+0.5)*bthan*1000/50</f>
        <v>-2365</v>
      </c>
      <c r="C3009" s="52">
        <f t="shared" si="286"/>
        <v>410.00000000000023</v>
      </c>
      <c r="D3009" s="52">
        <f t="shared" si="282"/>
        <v>2200</v>
      </c>
      <c r="E3009" s="52">
        <f t="shared" si="283"/>
        <v>1</v>
      </c>
      <c r="F3009" s="52"/>
      <c r="G3009" s="52"/>
      <c r="H3009" s="52"/>
      <c r="I3009" s="52"/>
      <c r="J3009" s="52"/>
      <c r="K3009" s="52"/>
      <c r="L3009" s="52"/>
      <c r="M3009" s="52"/>
      <c r="N3009" s="52"/>
      <c r="O3009" s="52"/>
      <c r="P3009" s="52"/>
      <c r="Q3009" s="52"/>
      <c r="R3009" s="52"/>
      <c r="S3009" s="52"/>
      <c r="T3009" s="52"/>
      <c r="U3009" s="52"/>
      <c r="V3009" s="52"/>
      <c r="W3009" s="52"/>
      <c r="X3009" s="52"/>
      <c r="Y3009" s="52"/>
      <c r="Z3009" s="52"/>
      <c r="AA3009" s="52"/>
      <c r="AB3009" s="52"/>
      <c r="AC3009" s="52"/>
      <c r="AD3009" s="52"/>
      <c r="AE3009" s="52"/>
      <c r="AF3009" s="52"/>
      <c r="AG3009" s="52"/>
      <c r="AH3009" s="52"/>
      <c r="AI3009" s="52"/>
      <c r="AJ3009" s="52"/>
      <c r="AK3009" s="52"/>
      <c r="AL3009" s="52"/>
      <c r="AM3009" s="52"/>
      <c r="AN3009" s="52"/>
    </row>
    <row r="3010" spans="1:40" x14ac:dyDescent="0.3">
      <c r="A3010" s="52">
        <v>3005</v>
      </c>
      <c r="B3010" s="52">
        <f>-bthan*500+(4+0.5)*bthan*1000/50</f>
        <v>-2255</v>
      </c>
      <c r="C3010" s="52">
        <f t="shared" si="286"/>
        <v>410.00000000000023</v>
      </c>
      <c r="D3010" s="52">
        <f t="shared" si="282"/>
        <v>2200</v>
      </c>
      <c r="E3010" s="52">
        <f t="shared" si="283"/>
        <v>1</v>
      </c>
      <c r="F3010" s="52"/>
      <c r="G3010" s="52"/>
      <c r="H3010" s="52"/>
      <c r="I3010" s="52"/>
      <c r="J3010" s="52"/>
      <c r="K3010" s="52"/>
      <c r="L3010" s="52"/>
      <c r="M3010" s="52"/>
      <c r="N3010" s="52"/>
      <c r="O3010" s="52"/>
      <c r="P3010" s="52"/>
      <c r="Q3010" s="52"/>
      <c r="R3010" s="52"/>
      <c r="S3010" s="52"/>
      <c r="T3010" s="52"/>
      <c r="U3010" s="52"/>
      <c r="V3010" s="52"/>
      <c r="W3010" s="52"/>
      <c r="X3010" s="52"/>
      <c r="Y3010" s="52"/>
      <c r="Z3010" s="52"/>
      <c r="AA3010" s="52"/>
      <c r="AB3010" s="52"/>
      <c r="AC3010" s="52"/>
      <c r="AD3010" s="52"/>
      <c r="AE3010" s="52"/>
      <c r="AF3010" s="52"/>
      <c r="AG3010" s="52"/>
      <c r="AH3010" s="52"/>
      <c r="AI3010" s="52"/>
      <c r="AJ3010" s="52"/>
      <c r="AK3010" s="52"/>
      <c r="AL3010" s="52"/>
      <c r="AM3010" s="52"/>
      <c r="AN3010" s="52"/>
    </row>
    <row r="3011" spans="1:40" x14ac:dyDescent="0.3">
      <c r="A3011" s="52">
        <v>3006</v>
      </c>
      <c r="B3011" s="52">
        <f>-bthan*500+(5+0.5)*bthan*1000/50</f>
        <v>-2145</v>
      </c>
      <c r="C3011" s="52">
        <f t="shared" si="286"/>
        <v>410.00000000000023</v>
      </c>
      <c r="D3011" s="52">
        <f t="shared" si="282"/>
        <v>2200</v>
      </c>
      <c r="E3011" s="52">
        <f t="shared" si="283"/>
        <v>1</v>
      </c>
      <c r="F3011" s="52"/>
      <c r="G3011" s="52"/>
      <c r="H3011" s="52"/>
      <c r="I3011" s="52"/>
      <c r="J3011" s="52"/>
      <c r="K3011" s="52"/>
      <c r="L3011" s="52"/>
      <c r="M3011" s="52"/>
      <c r="N3011" s="52"/>
      <c r="O3011" s="52"/>
      <c r="P3011" s="52"/>
      <c r="Q3011" s="52"/>
      <c r="R3011" s="52"/>
      <c r="S3011" s="52"/>
      <c r="T3011" s="52"/>
      <c r="U3011" s="52"/>
      <c r="V3011" s="52"/>
      <c r="W3011" s="52"/>
      <c r="X3011" s="52"/>
      <c r="Y3011" s="52"/>
      <c r="Z3011" s="52"/>
      <c r="AA3011" s="52"/>
      <c r="AB3011" s="52"/>
      <c r="AC3011" s="52"/>
      <c r="AD3011" s="52"/>
      <c r="AE3011" s="52"/>
      <c r="AF3011" s="52"/>
      <c r="AG3011" s="52"/>
      <c r="AH3011" s="52"/>
      <c r="AI3011" s="52"/>
      <c r="AJ3011" s="52"/>
      <c r="AK3011" s="52"/>
      <c r="AL3011" s="52"/>
      <c r="AM3011" s="52"/>
      <c r="AN3011" s="52"/>
    </row>
    <row r="3012" spans="1:40" x14ac:dyDescent="0.3">
      <c r="A3012" s="52">
        <v>3007</v>
      </c>
      <c r="B3012" s="52">
        <f>-bthan*500+(6+0.5)*bthan*1000/50</f>
        <v>-2035</v>
      </c>
      <c r="C3012" s="52">
        <f t="shared" si="286"/>
        <v>410.00000000000023</v>
      </c>
      <c r="D3012" s="52">
        <f t="shared" si="282"/>
        <v>2200</v>
      </c>
      <c r="E3012" s="52">
        <f t="shared" si="283"/>
        <v>1</v>
      </c>
      <c r="F3012" s="52"/>
      <c r="G3012" s="52"/>
      <c r="H3012" s="52"/>
      <c r="I3012" s="52"/>
      <c r="J3012" s="52"/>
      <c r="K3012" s="52"/>
      <c r="L3012" s="52"/>
      <c r="M3012" s="52"/>
      <c r="N3012" s="52"/>
      <c r="O3012" s="52"/>
      <c r="P3012" s="52"/>
      <c r="Q3012" s="52"/>
      <c r="R3012" s="52"/>
      <c r="S3012" s="52"/>
      <c r="T3012" s="52"/>
      <c r="U3012" s="52"/>
      <c r="V3012" s="52"/>
      <c r="W3012" s="52"/>
      <c r="X3012" s="52"/>
      <c r="Y3012" s="52"/>
      <c r="Z3012" s="52"/>
      <c r="AA3012" s="52"/>
      <c r="AB3012" s="52"/>
      <c r="AC3012" s="52"/>
      <c r="AD3012" s="52"/>
      <c r="AE3012" s="52"/>
      <c r="AF3012" s="52"/>
      <c r="AG3012" s="52"/>
      <c r="AH3012" s="52"/>
      <c r="AI3012" s="52"/>
      <c r="AJ3012" s="52"/>
      <c r="AK3012" s="52"/>
      <c r="AL3012" s="52"/>
      <c r="AM3012" s="52"/>
      <c r="AN3012" s="52"/>
    </row>
    <row r="3013" spans="1:40" x14ac:dyDescent="0.3">
      <c r="A3013" s="52">
        <v>3008</v>
      </c>
      <c r="B3013" s="52">
        <f>-bthan*500+(7+0.5)*bthan*1000/50</f>
        <v>-1925</v>
      </c>
      <c r="C3013" s="52">
        <f t="shared" si="286"/>
        <v>410.00000000000023</v>
      </c>
      <c r="D3013" s="52">
        <f t="shared" si="282"/>
        <v>2200</v>
      </c>
      <c r="E3013" s="52">
        <f t="shared" si="283"/>
        <v>1</v>
      </c>
      <c r="F3013" s="52"/>
      <c r="G3013" s="52"/>
      <c r="H3013" s="52"/>
      <c r="I3013" s="52"/>
      <c r="J3013" s="52"/>
      <c r="K3013" s="52"/>
      <c r="L3013" s="52"/>
      <c r="M3013" s="52"/>
      <c r="N3013" s="52"/>
      <c r="O3013" s="52"/>
      <c r="P3013" s="52"/>
      <c r="Q3013" s="52"/>
      <c r="R3013" s="52"/>
      <c r="S3013" s="52"/>
      <c r="T3013" s="52"/>
      <c r="U3013" s="52"/>
      <c r="V3013" s="52"/>
      <c r="W3013" s="52"/>
      <c r="X3013" s="52"/>
      <c r="Y3013" s="52"/>
      <c r="Z3013" s="52"/>
      <c r="AA3013" s="52"/>
      <c r="AB3013" s="52"/>
      <c r="AC3013" s="52"/>
      <c r="AD3013" s="52"/>
      <c r="AE3013" s="52"/>
      <c r="AF3013" s="52"/>
      <c r="AG3013" s="52"/>
      <c r="AH3013" s="52"/>
      <c r="AI3013" s="52"/>
      <c r="AJ3013" s="52"/>
      <c r="AK3013" s="52"/>
      <c r="AL3013" s="52"/>
      <c r="AM3013" s="52"/>
      <c r="AN3013" s="52"/>
    </row>
    <row r="3014" spans="1:40" x14ac:dyDescent="0.3">
      <c r="A3014" s="52">
        <v>3009</v>
      </c>
      <c r="B3014" s="52">
        <f>-bthan*500+(8+0.5)*bthan*1000/50</f>
        <v>-1815</v>
      </c>
      <c r="C3014" s="52">
        <f t="shared" si="286"/>
        <v>410.00000000000023</v>
      </c>
      <c r="D3014" s="52">
        <f t="shared" ref="D3014:D3077" si="287">bthan*1000/50*hthan*1000/80</f>
        <v>2200</v>
      </c>
      <c r="E3014" s="52">
        <f t="shared" ref="E3014:E3077" si="288">IF(shp=1,--(OR(ABS(B3014)&lt;=MAX(0,(bthan-hthan)*500),(ABS(B3014)-MAX(0,(bthan-hthan)*500))^2+C3014^2&lt;=(hthan*500)^2)),--(AND(ABS(B3014)&lt;=bthan*500,ABS(C3014)&lt;=hthan*500,OR(ABS(B3014)&lt;=bthan*500-cch*1000,ABS(C3014)&lt;=hthan*500-cch*1000,(bthan*500-ABS(B3014))+(hthan*500-ABS(C3014))&gt;=cch*1000))))</f>
        <v>1</v>
      </c>
      <c r="F3014" s="52"/>
      <c r="G3014" s="52"/>
      <c r="H3014" s="52"/>
      <c r="I3014" s="52"/>
      <c r="J3014" s="52"/>
      <c r="K3014" s="52"/>
      <c r="L3014" s="52"/>
      <c r="M3014" s="52"/>
      <c r="N3014" s="52"/>
      <c r="O3014" s="52"/>
      <c r="P3014" s="52"/>
      <c r="Q3014" s="52"/>
      <c r="R3014" s="52"/>
      <c r="S3014" s="52"/>
      <c r="T3014" s="52"/>
      <c r="U3014" s="52"/>
      <c r="V3014" s="52"/>
      <c r="W3014" s="52"/>
      <c r="X3014" s="52"/>
      <c r="Y3014" s="52"/>
      <c r="Z3014" s="52"/>
      <c r="AA3014" s="52"/>
      <c r="AB3014" s="52"/>
      <c r="AC3014" s="52"/>
      <c r="AD3014" s="52"/>
      <c r="AE3014" s="52"/>
      <c r="AF3014" s="52"/>
      <c r="AG3014" s="52"/>
      <c r="AH3014" s="52"/>
      <c r="AI3014" s="52"/>
      <c r="AJ3014" s="52"/>
      <c r="AK3014" s="52"/>
      <c r="AL3014" s="52"/>
      <c r="AM3014" s="52"/>
      <c r="AN3014" s="52"/>
    </row>
    <row r="3015" spans="1:40" x14ac:dyDescent="0.3">
      <c r="A3015" s="52">
        <v>3010</v>
      </c>
      <c r="B3015" s="52">
        <f>-bthan*500+(9+0.5)*bthan*1000/50</f>
        <v>-1705</v>
      </c>
      <c r="C3015" s="52">
        <f t="shared" si="286"/>
        <v>410.00000000000023</v>
      </c>
      <c r="D3015" s="52">
        <f t="shared" si="287"/>
        <v>2200</v>
      </c>
      <c r="E3015" s="52">
        <f t="shared" si="288"/>
        <v>1</v>
      </c>
      <c r="F3015" s="52"/>
      <c r="G3015" s="52"/>
      <c r="H3015" s="52"/>
      <c r="I3015" s="52"/>
      <c r="J3015" s="52"/>
      <c r="K3015" s="52"/>
      <c r="L3015" s="52"/>
      <c r="M3015" s="52"/>
      <c r="N3015" s="52"/>
      <c r="O3015" s="52"/>
      <c r="P3015" s="52"/>
      <c r="Q3015" s="52"/>
      <c r="R3015" s="52"/>
      <c r="S3015" s="52"/>
      <c r="T3015" s="52"/>
      <c r="U3015" s="52"/>
      <c r="V3015" s="52"/>
      <c r="W3015" s="52"/>
      <c r="X3015" s="52"/>
      <c r="Y3015" s="52"/>
      <c r="Z3015" s="52"/>
      <c r="AA3015" s="52"/>
      <c r="AB3015" s="52"/>
      <c r="AC3015" s="52"/>
      <c r="AD3015" s="52"/>
      <c r="AE3015" s="52"/>
      <c r="AF3015" s="52"/>
      <c r="AG3015" s="52"/>
      <c r="AH3015" s="52"/>
      <c r="AI3015" s="52"/>
      <c r="AJ3015" s="52"/>
      <c r="AK3015" s="52"/>
      <c r="AL3015" s="52"/>
      <c r="AM3015" s="52"/>
      <c r="AN3015" s="52"/>
    </row>
    <row r="3016" spans="1:40" x14ac:dyDescent="0.3">
      <c r="A3016" s="52">
        <v>3011</v>
      </c>
      <c r="B3016" s="52">
        <f>-bthan*500+(10+0.5)*bthan*1000/50</f>
        <v>-1595</v>
      </c>
      <c r="C3016" s="52">
        <f t="shared" si="286"/>
        <v>410.00000000000023</v>
      </c>
      <c r="D3016" s="52">
        <f t="shared" si="287"/>
        <v>2200</v>
      </c>
      <c r="E3016" s="52">
        <f t="shared" si="288"/>
        <v>1</v>
      </c>
      <c r="F3016" s="52"/>
      <c r="G3016" s="52"/>
      <c r="H3016" s="52"/>
      <c r="I3016" s="52"/>
      <c r="J3016" s="52"/>
      <c r="K3016" s="52"/>
      <c r="L3016" s="52"/>
      <c r="M3016" s="52"/>
      <c r="N3016" s="52"/>
      <c r="O3016" s="52"/>
      <c r="P3016" s="52"/>
      <c r="Q3016" s="52"/>
      <c r="R3016" s="52"/>
      <c r="S3016" s="52"/>
      <c r="T3016" s="52"/>
      <c r="U3016" s="52"/>
      <c r="V3016" s="52"/>
      <c r="W3016" s="52"/>
      <c r="X3016" s="52"/>
      <c r="Y3016" s="52"/>
      <c r="Z3016" s="52"/>
      <c r="AA3016" s="52"/>
      <c r="AB3016" s="52"/>
      <c r="AC3016" s="52"/>
      <c r="AD3016" s="52"/>
      <c r="AE3016" s="52"/>
      <c r="AF3016" s="52"/>
      <c r="AG3016" s="52"/>
      <c r="AH3016" s="52"/>
      <c r="AI3016" s="52"/>
      <c r="AJ3016" s="52"/>
      <c r="AK3016" s="52"/>
      <c r="AL3016" s="52"/>
      <c r="AM3016" s="52"/>
      <c r="AN3016" s="52"/>
    </row>
    <row r="3017" spans="1:40" x14ac:dyDescent="0.3">
      <c r="A3017" s="52">
        <v>3012</v>
      </c>
      <c r="B3017" s="52">
        <f>-bthan*500+(11+0.5)*bthan*1000/50</f>
        <v>-1485</v>
      </c>
      <c r="C3017" s="52">
        <f t="shared" si="286"/>
        <v>410.00000000000023</v>
      </c>
      <c r="D3017" s="52">
        <f t="shared" si="287"/>
        <v>2200</v>
      </c>
      <c r="E3017" s="52">
        <f t="shared" si="288"/>
        <v>1</v>
      </c>
      <c r="F3017" s="52"/>
      <c r="G3017" s="52"/>
      <c r="H3017" s="52"/>
      <c r="I3017" s="52"/>
      <c r="J3017" s="52"/>
      <c r="K3017" s="52"/>
      <c r="L3017" s="52"/>
      <c r="M3017" s="52"/>
      <c r="N3017" s="52"/>
      <c r="O3017" s="52"/>
      <c r="P3017" s="52"/>
      <c r="Q3017" s="52"/>
      <c r="R3017" s="52"/>
      <c r="S3017" s="52"/>
      <c r="T3017" s="52"/>
      <c r="U3017" s="52"/>
      <c r="V3017" s="52"/>
      <c r="W3017" s="52"/>
      <c r="X3017" s="52"/>
      <c r="Y3017" s="52"/>
      <c r="Z3017" s="52"/>
      <c r="AA3017" s="52"/>
      <c r="AB3017" s="52"/>
      <c r="AC3017" s="52"/>
      <c r="AD3017" s="52"/>
      <c r="AE3017" s="52"/>
      <c r="AF3017" s="52"/>
      <c r="AG3017" s="52"/>
      <c r="AH3017" s="52"/>
      <c r="AI3017" s="52"/>
      <c r="AJ3017" s="52"/>
      <c r="AK3017" s="52"/>
      <c r="AL3017" s="52"/>
      <c r="AM3017" s="52"/>
      <c r="AN3017" s="52"/>
    </row>
    <row r="3018" spans="1:40" x14ac:dyDescent="0.3">
      <c r="A3018" s="52">
        <v>3013</v>
      </c>
      <c r="B3018" s="52">
        <f>-bthan*500+(12+0.5)*bthan*1000/50</f>
        <v>-1375</v>
      </c>
      <c r="C3018" s="52">
        <f t="shared" si="286"/>
        <v>410.00000000000023</v>
      </c>
      <c r="D3018" s="52">
        <f t="shared" si="287"/>
        <v>2200</v>
      </c>
      <c r="E3018" s="52">
        <f t="shared" si="288"/>
        <v>1</v>
      </c>
      <c r="F3018" s="52"/>
      <c r="G3018" s="52"/>
      <c r="H3018" s="52"/>
      <c r="I3018" s="52"/>
      <c r="J3018" s="52"/>
      <c r="K3018" s="52"/>
      <c r="L3018" s="52"/>
      <c r="M3018" s="52"/>
      <c r="N3018" s="52"/>
      <c r="O3018" s="52"/>
      <c r="P3018" s="52"/>
      <c r="Q3018" s="52"/>
      <c r="R3018" s="52"/>
      <c r="S3018" s="52"/>
      <c r="T3018" s="52"/>
      <c r="U3018" s="52"/>
      <c r="V3018" s="52"/>
      <c r="W3018" s="52"/>
      <c r="X3018" s="52"/>
      <c r="Y3018" s="52"/>
      <c r="Z3018" s="52"/>
      <c r="AA3018" s="52"/>
      <c r="AB3018" s="52"/>
      <c r="AC3018" s="52"/>
      <c r="AD3018" s="52"/>
      <c r="AE3018" s="52"/>
      <c r="AF3018" s="52"/>
      <c r="AG3018" s="52"/>
      <c r="AH3018" s="52"/>
      <c r="AI3018" s="52"/>
      <c r="AJ3018" s="52"/>
      <c r="AK3018" s="52"/>
      <c r="AL3018" s="52"/>
      <c r="AM3018" s="52"/>
      <c r="AN3018" s="52"/>
    </row>
    <row r="3019" spans="1:40" x14ac:dyDescent="0.3">
      <c r="A3019" s="52">
        <v>3014</v>
      </c>
      <c r="B3019" s="52">
        <f>-bthan*500+(13+0.5)*bthan*1000/50</f>
        <v>-1265</v>
      </c>
      <c r="C3019" s="52">
        <f t="shared" si="286"/>
        <v>410.00000000000023</v>
      </c>
      <c r="D3019" s="52">
        <f t="shared" si="287"/>
        <v>2200</v>
      </c>
      <c r="E3019" s="52">
        <f t="shared" si="288"/>
        <v>1</v>
      </c>
      <c r="F3019" s="52"/>
      <c r="G3019" s="52"/>
      <c r="H3019" s="52"/>
      <c r="I3019" s="52"/>
      <c r="J3019" s="52"/>
      <c r="K3019" s="52"/>
      <c r="L3019" s="52"/>
      <c r="M3019" s="52"/>
      <c r="N3019" s="52"/>
      <c r="O3019" s="52"/>
      <c r="P3019" s="52"/>
      <c r="Q3019" s="52"/>
      <c r="R3019" s="52"/>
      <c r="S3019" s="52"/>
      <c r="T3019" s="52"/>
      <c r="U3019" s="52"/>
      <c r="V3019" s="52"/>
      <c r="W3019" s="52"/>
      <c r="X3019" s="52"/>
      <c r="Y3019" s="52"/>
      <c r="Z3019" s="52"/>
      <c r="AA3019" s="52"/>
      <c r="AB3019" s="52"/>
      <c r="AC3019" s="52"/>
      <c r="AD3019" s="52"/>
      <c r="AE3019" s="52"/>
      <c r="AF3019" s="52"/>
      <c r="AG3019" s="52"/>
      <c r="AH3019" s="52"/>
      <c r="AI3019" s="52"/>
      <c r="AJ3019" s="52"/>
      <c r="AK3019" s="52"/>
      <c r="AL3019" s="52"/>
      <c r="AM3019" s="52"/>
      <c r="AN3019" s="52"/>
    </row>
    <row r="3020" spans="1:40" x14ac:dyDescent="0.3">
      <c r="A3020" s="52">
        <v>3015</v>
      </c>
      <c r="B3020" s="52">
        <f>-bthan*500+(14+0.5)*bthan*1000/50</f>
        <v>-1155</v>
      </c>
      <c r="C3020" s="52">
        <f t="shared" si="286"/>
        <v>410.00000000000023</v>
      </c>
      <c r="D3020" s="52">
        <f t="shared" si="287"/>
        <v>2200</v>
      </c>
      <c r="E3020" s="52">
        <f t="shared" si="288"/>
        <v>1</v>
      </c>
      <c r="F3020" s="52"/>
      <c r="G3020" s="52"/>
      <c r="H3020" s="52"/>
      <c r="I3020" s="52"/>
      <c r="J3020" s="52"/>
      <c r="K3020" s="52"/>
      <c r="L3020" s="52"/>
      <c r="M3020" s="52"/>
      <c r="N3020" s="52"/>
      <c r="O3020" s="52"/>
      <c r="P3020" s="52"/>
      <c r="Q3020" s="52"/>
      <c r="R3020" s="52"/>
      <c r="S3020" s="52"/>
      <c r="T3020" s="52"/>
      <c r="U3020" s="52"/>
      <c r="V3020" s="52"/>
      <c r="W3020" s="52"/>
      <c r="X3020" s="52"/>
      <c r="Y3020" s="52"/>
      <c r="Z3020" s="52"/>
      <c r="AA3020" s="52"/>
      <c r="AB3020" s="52"/>
      <c r="AC3020" s="52"/>
      <c r="AD3020" s="52"/>
      <c r="AE3020" s="52"/>
      <c r="AF3020" s="52"/>
      <c r="AG3020" s="52"/>
      <c r="AH3020" s="52"/>
      <c r="AI3020" s="52"/>
      <c r="AJ3020" s="52"/>
      <c r="AK3020" s="52"/>
      <c r="AL3020" s="52"/>
      <c r="AM3020" s="52"/>
      <c r="AN3020" s="52"/>
    </row>
    <row r="3021" spans="1:40" x14ac:dyDescent="0.3">
      <c r="A3021" s="52">
        <v>3016</v>
      </c>
      <c r="B3021" s="52">
        <f>-bthan*500+(15+0.5)*bthan*1000/50</f>
        <v>-1045</v>
      </c>
      <c r="C3021" s="52">
        <f t="shared" si="286"/>
        <v>410.00000000000023</v>
      </c>
      <c r="D3021" s="52">
        <f t="shared" si="287"/>
        <v>2200</v>
      </c>
      <c r="E3021" s="52">
        <f t="shared" si="288"/>
        <v>1</v>
      </c>
      <c r="F3021" s="52"/>
      <c r="G3021" s="52"/>
      <c r="H3021" s="52"/>
      <c r="I3021" s="52"/>
      <c r="J3021" s="52"/>
      <c r="K3021" s="52"/>
      <c r="L3021" s="52"/>
      <c r="M3021" s="52"/>
      <c r="N3021" s="52"/>
      <c r="O3021" s="52"/>
      <c r="P3021" s="52"/>
      <c r="Q3021" s="52"/>
      <c r="R3021" s="52"/>
      <c r="S3021" s="52"/>
      <c r="T3021" s="52"/>
      <c r="U3021" s="52"/>
      <c r="V3021" s="52"/>
      <c r="W3021" s="52"/>
      <c r="X3021" s="52"/>
      <c r="Y3021" s="52"/>
      <c r="Z3021" s="52"/>
      <c r="AA3021" s="52"/>
      <c r="AB3021" s="52"/>
      <c r="AC3021" s="52"/>
      <c r="AD3021" s="52"/>
      <c r="AE3021" s="52"/>
      <c r="AF3021" s="52"/>
      <c r="AG3021" s="52"/>
      <c r="AH3021" s="52"/>
      <c r="AI3021" s="52"/>
      <c r="AJ3021" s="52"/>
      <c r="AK3021" s="52"/>
      <c r="AL3021" s="52"/>
      <c r="AM3021" s="52"/>
      <c r="AN3021" s="52"/>
    </row>
    <row r="3022" spans="1:40" x14ac:dyDescent="0.3">
      <c r="A3022" s="52">
        <v>3017</v>
      </c>
      <c r="B3022" s="52">
        <f>-bthan*500+(16+0.5)*bthan*1000/50</f>
        <v>-935</v>
      </c>
      <c r="C3022" s="52">
        <f t="shared" si="286"/>
        <v>410.00000000000023</v>
      </c>
      <c r="D3022" s="52">
        <f t="shared" si="287"/>
        <v>2200</v>
      </c>
      <c r="E3022" s="52">
        <f t="shared" si="288"/>
        <v>1</v>
      </c>
      <c r="F3022" s="52"/>
      <c r="G3022" s="52"/>
      <c r="H3022" s="52"/>
      <c r="I3022" s="52"/>
      <c r="J3022" s="52"/>
      <c r="K3022" s="52"/>
      <c r="L3022" s="52"/>
      <c r="M3022" s="52"/>
      <c r="N3022" s="52"/>
      <c r="O3022" s="52"/>
      <c r="P3022" s="52"/>
      <c r="Q3022" s="52"/>
      <c r="R3022" s="52"/>
      <c r="S3022" s="52"/>
      <c r="T3022" s="52"/>
      <c r="U3022" s="52"/>
      <c r="V3022" s="52"/>
      <c r="W3022" s="52"/>
      <c r="X3022" s="52"/>
      <c r="Y3022" s="52"/>
      <c r="Z3022" s="52"/>
      <c r="AA3022" s="52"/>
      <c r="AB3022" s="52"/>
      <c r="AC3022" s="52"/>
      <c r="AD3022" s="52"/>
      <c r="AE3022" s="52"/>
      <c r="AF3022" s="52"/>
      <c r="AG3022" s="52"/>
      <c r="AH3022" s="52"/>
      <c r="AI3022" s="52"/>
      <c r="AJ3022" s="52"/>
      <c r="AK3022" s="52"/>
      <c r="AL3022" s="52"/>
      <c r="AM3022" s="52"/>
      <c r="AN3022" s="52"/>
    </row>
    <row r="3023" spans="1:40" x14ac:dyDescent="0.3">
      <c r="A3023" s="52">
        <v>3018</v>
      </c>
      <c r="B3023" s="52">
        <f>-bthan*500+(17+0.5)*bthan*1000/50</f>
        <v>-825</v>
      </c>
      <c r="C3023" s="52">
        <f t="shared" si="286"/>
        <v>410.00000000000023</v>
      </c>
      <c r="D3023" s="52">
        <f t="shared" si="287"/>
        <v>2200</v>
      </c>
      <c r="E3023" s="52">
        <f t="shared" si="288"/>
        <v>1</v>
      </c>
      <c r="F3023" s="52"/>
      <c r="G3023" s="52"/>
      <c r="H3023" s="52"/>
      <c r="I3023" s="52"/>
      <c r="J3023" s="52"/>
      <c r="K3023" s="52"/>
      <c r="L3023" s="52"/>
      <c r="M3023" s="52"/>
      <c r="N3023" s="52"/>
      <c r="O3023" s="52"/>
      <c r="P3023" s="52"/>
      <c r="Q3023" s="52"/>
      <c r="R3023" s="52"/>
      <c r="S3023" s="52"/>
      <c r="T3023" s="52"/>
      <c r="U3023" s="52"/>
      <c r="V3023" s="52"/>
      <c r="W3023" s="52"/>
      <c r="X3023" s="52"/>
      <c r="Y3023" s="52"/>
      <c r="Z3023" s="52"/>
      <c r="AA3023" s="52"/>
      <c r="AB3023" s="52"/>
      <c r="AC3023" s="52"/>
      <c r="AD3023" s="52"/>
      <c r="AE3023" s="52"/>
      <c r="AF3023" s="52"/>
      <c r="AG3023" s="52"/>
      <c r="AH3023" s="52"/>
      <c r="AI3023" s="52"/>
      <c r="AJ3023" s="52"/>
      <c r="AK3023" s="52"/>
      <c r="AL3023" s="52"/>
      <c r="AM3023" s="52"/>
      <c r="AN3023" s="52"/>
    </row>
    <row r="3024" spans="1:40" x14ac:dyDescent="0.3">
      <c r="A3024" s="52">
        <v>3019</v>
      </c>
      <c r="B3024" s="52">
        <f>-bthan*500+(18+0.5)*bthan*1000/50</f>
        <v>-715</v>
      </c>
      <c r="C3024" s="52">
        <f t="shared" si="286"/>
        <v>410.00000000000023</v>
      </c>
      <c r="D3024" s="52">
        <f t="shared" si="287"/>
        <v>2200</v>
      </c>
      <c r="E3024" s="52">
        <f t="shared" si="288"/>
        <v>1</v>
      </c>
      <c r="F3024" s="52"/>
      <c r="G3024" s="52"/>
      <c r="H3024" s="52"/>
      <c r="I3024" s="52"/>
      <c r="J3024" s="52"/>
      <c r="K3024" s="52"/>
      <c r="L3024" s="52"/>
      <c r="M3024" s="52"/>
      <c r="N3024" s="52"/>
      <c r="O3024" s="52"/>
      <c r="P3024" s="52"/>
      <c r="Q3024" s="52"/>
      <c r="R3024" s="52"/>
      <c r="S3024" s="52"/>
      <c r="T3024" s="52"/>
      <c r="U3024" s="52"/>
      <c r="V3024" s="52"/>
      <c r="W3024" s="52"/>
      <c r="X3024" s="52"/>
      <c r="Y3024" s="52"/>
      <c r="Z3024" s="52"/>
      <c r="AA3024" s="52"/>
      <c r="AB3024" s="52"/>
      <c r="AC3024" s="52"/>
      <c r="AD3024" s="52"/>
      <c r="AE3024" s="52"/>
      <c r="AF3024" s="52"/>
      <c r="AG3024" s="52"/>
      <c r="AH3024" s="52"/>
      <c r="AI3024" s="52"/>
      <c r="AJ3024" s="52"/>
      <c r="AK3024" s="52"/>
      <c r="AL3024" s="52"/>
      <c r="AM3024" s="52"/>
      <c r="AN3024" s="52"/>
    </row>
    <row r="3025" spans="1:40" x14ac:dyDescent="0.3">
      <c r="A3025" s="52">
        <v>3020</v>
      </c>
      <c r="B3025" s="52">
        <f>-bthan*500+(19+0.5)*bthan*1000/50</f>
        <v>-605</v>
      </c>
      <c r="C3025" s="52">
        <f t="shared" si="286"/>
        <v>410.00000000000023</v>
      </c>
      <c r="D3025" s="52">
        <f t="shared" si="287"/>
        <v>2200</v>
      </c>
      <c r="E3025" s="52">
        <f t="shared" si="288"/>
        <v>1</v>
      </c>
      <c r="F3025" s="52"/>
      <c r="G3025" s="52"/>
      <c r="H3025" s="52"/>
      <c r="I3025" s="52"/>
      <c r="J3025" s="52"/>
      <c r="K3025" s="52"/>
      <c r="L3025" s="52"/>
      <c r="M3025" s="52"/>
      <c r="N3025" s="52"/>
      <c r="O3025" s="52"/>
      <c r="P3025" s="52"/>
      <c r="Q3025" s="52"/>
      <c r="R3025" s="52"/>
      <c r="S3025" s="52"/>
      <c r="T3025" s="52"/>
      <c r="U3025" s="52"/>
      <c r="V3025" s="52"/>
      <c r="W3025" s="52"/>
      <c r="X3025" s="52"/>
      <c r="Y3025" s="52"/>
      <c r="Z3025" s="52"/>
      <c r="AA3025" s="52"/>
      <c r="AB3025" s="52"/>
      <c r="AC3025" s="52"/>
      <c r="AD3025" s="52"/>
      <c r="AE3025" s="52"/>
      <c r="AF3025" s="52"/>
      <c r="AG3025" s="52"/>
      <c r="AH3025" s="52"/>
      <c r="AI3025" s="52"/>
      <c r="AJ3025" s="52"/>
      <c r="AK3025" s="52"/>
      <c r="AL3025" s="52"/>
      <c r="AM3025" s="52"/>
      <c r="AN3025" s="52"/>
    </row>
    <row r="3026" spans="1:40" x14ac:dyDescent="0.3">
      <c r="A3026" s="52">
        <v>3021</v>
      </c>
      <c r="B3026" s="52">
        <f>-bthan*500+(20+0.5)*bthan*1000/50</f>
        <v>-495</v>
      </c>
      <c r="C3026" s="52">
        <f t="shared" si="286"/>
        <v>410.00000000000023</v>
      </c>
      <c r="D3026" s="52">
        <f t="shared" si="287"/>
        <v>2200</v>
      </c>
      <c r="E3026" s="52">
        <f t="shared" si="288"/>
        <v>1</v>
      </c>
      <c r="F3026" s="52"/>
      <c r="G3026" s="52"/>
      <c r="H3026" s="52"/>
      <c r="I3026" s="52"/>
      <c r="J3026" s="52"/>
      <c r="K3026" s="52"/>
      <c r="L3026" s="52"/>
      <c r="M3026" s="52"/>
      <c r="N3026" s="52"/>
      <c r="O3026" s="52"/>
      <c r="P3026" s="52"/>
      <c r="Q3026" s="52"/>
      <c r="R3026" s="52"/>
      <c r="S3026" s="52"/>
      <c r="T3026" s="52"/>
      <c r="U3026" s="52"/>
      <c r="V3026" s="52"/>
      <c r="W3026" s="52"/>
      <c r="X3026" s="52"/>
      <c r="Y3026" s="52"/>
      <c r="Z3026" s="52"/>
      <c r="AA3026" s="52"/>
      <c r="AB3026" s="52"/>
      <c r="AC3026" s="52"/>
      <c r="AD3026" s="52"/>
      <c r="AE3026" s="52"/>
      <c r="AF3026" s="52"/>
      <c r="AG3026" s="52"/>
      <c r="AH3026" s="52"/>
      <c r="AI3026" s="52"/>
      <c r="AJ3026" s="52"/>
      <c r="AK3026" s="52"/>
      <c r="AL3026" s="52"/>
      <c r="AM3026" s="52"/>
      <c r="AN3026" s="52"/>
    </row>
    <row r="3027" spans="1:40" x14ac:dyDescent="0.3">
      <c r="A3027" s="52">
        <v>3022</v>
      </c>
      <c r="B3027" s="52">
        <f>-bthan*500+(21+0.5)*bthan*1000/50</f>
        <v>-385</v>
      </c>
      <c r="C3027" s="52">
        <f t="shared" si="286"/>
        <v>410.00000000000023</v>
      </c>
      <c r="D3027" s="52">
        <f t="shared" si="287"/>
        <v>2200</v>
      </c>
      <c r="E3027" s="52">
        <f t="shared" si="288"/>
        <v>1</v>
      </c>
      <c r="F3027" s="52"/>
      <c r="G3027" s="52"/>
      <c r="H3027" s="52"/>
      <c r="I3027" s="52"/>
      <c r="J3027" s="52"/>
      <c r="K3027" s="52"/>
      <c r="L3027" s="52"/>
      <c r="M3027" s="52"/>
      <c r="N3027" s="52"/>
      <c r="O3027" s="52"/>
      <c r="P3027" s="52"/>
      <c r="Q3027" s="52"/>
      <c r="R3027" s="52"/>
      <c r="S3027" s="52"/>
      <c r="T3027" s="52"/>
      <c r="U3027" s="52"/>
      <c r="V3027" s="52"/>
      <c r="W3027" s="52"/>
      <c r="X3027" s="52"/>
      <c r="Y3027" s="52"/>
      <c r="Z3027" s="52"/>
      <c r="AA3027" s="52"/>
      <c r="AB3027" s="52"/>
      <c r="AC3027" s="52"/>
      <c r="AD3027" s="52"/>
      <c r="AE3027" s="52"/>
      <c r="AF3027" s="52"/>
      <c r="AG3027" s="52"/>
      <c r="AH3027" s="52"/>
      <c r="AI3027" s="52"/>
      <c r="AJ3027" s="52"/>
      <c r="AK3027" s="52"/>
      <c r="AL3027" s="52"/>
      <c r="AM3027" s="52"/>
      <c r="AN3027" s="52"/>
    </row>
    <row r="3028" spans="1:40" x14ac:dyDescent="0.3">
      <c r="A3028" s="52">
        <v>3023</v>
      </c>
      <c r="B3028" s="52">
        <f>-bthan*500+(22+0.5)*bthan*1000/50</f>
        <v>-275</v>
      </c>
      <c r="C3028" s="52">
        <f t="shared" si="286"/>
        <v>410.00000000000023</v>
      </c>
      <c r="D3028" s="52">
        <f t="shared" si="287"/>
        <v>2200</v>
      </c>
      <c r="E3028" s="52">
        <f t="shared" si="288"/>
        <v>1</v>
      </c>
      <c r="F3028" s="52"/>
      <c r="G3028" s="52"/>
      <c r="H3028" s="52"/>
      <c r="I3028" s="52"/>
      <c r="J3028" s="52"/>
      <c r="K3028" s="52"/>
      <c r="L3028" s="52"/>
      <c r="M3028" s="52"/>
      <c r="N3028" s="52"/>
      <c r="O3028" s="52"/>
      <c r="P3028" s="52"/>
      <c r="Q3028" s="52"/>
      <c r="R3028" s="52"/>
      <c r="S3028" s="52"/>
      <c r="T3028" s="52"/>
      <c r="U3028" s="52"/>
      <c r="V3028" s="52"/>
      <c r="W3028" s="52"/>
      <c r="X3028" s="52"/>
      <c r="Y3028" s="52"/>
      <c r="Z3028" s="52"/>
      <c r="AA3028" s="52"/>
      <c r="AB3028" s="52"/>
      <c r="AC3028" s="52"/>
      <c r="AD3028" s="52"/>
      <c r="AE3028" s="52"/>
      <c r="AF3028" s="52"/>
      <c r="AG3028" s="52"/>
      <c r="AH3028" s="52"/>
      <c r="AI3028" s="52"/>
      <c r="AJ3028" s="52"/>
      <c r="AK3028" s="52"/>
      <c r="AL3028" s="52"/>
      <c r="AM3028" s="52"/>
      <c r="AN3028" s="52"/>
    </row>
    <row r="3029" spans="1:40" x14ac:dyDescent="0.3">
      <c r="A3029" s="52">
        <v>3024</v>
      </c>
      <c r="B3029" s="52">
        <f>-bthan*500+(23+0.5)*bthan*1000/50</f>
        <v>-165</v>
      </c>
      <c r="C3029" s="52">
        <f t="shared" si="286"/>
        <v>410.00000000000023</v>
      </c>
      <c r="D3029" s="52">
        <f t="shared" si="287"/>
        <v>2200</v>
      </c>
      <c r="E3029" s="52">
        <f t="shared" si="288"/>
        <v>1</v>
      </c>
      <c r="F3029" s="52"/>
      <c r="G3029" s="52"/>
      <c r="H3029" s="52"/>
      <c r="I3029" s="52"/>
      <c r="J3029" s="52"/>
      <c r="K3029" s="52"/>
      <c r="L3029" s="52"/>
      <c r="M3029" s="52"/>
      <c r="N3029" s="52"/>
      <c r="O3029" s="52"/>
      <c r="P3029" s="52"/>
      <c r="Q3029" s="52"/>
      <c r="R3029" s="52"/>
      <c r="S3029" s="52"/>
      <c r="T3029" s="52"/>
      <c r="U3029" s="52"/>
      <c r="V3029" s="52"/>
      <c r="W3029" s="52"/>
      <c r="X3029" s="52"/>
      <c r="Y3029" s="52"/>
      <c r="Z3029" s="52"/>
      <c r="AA3029" s="52"/>
      <c r="AB3029" s="52"/>
      <c r="AC3029" s="52"/>
      <c r="AD3029" s="52"/>
      <c r="AE3029" s="52"/>
      <c r="AF3029" s="52"/>
      <c r="AG3029" s="52"/>
      <c r="AH3029" s="52"/>
      <c r="AI3029" s="52"/>
      <c r="AJ3029" s="52"/>
      <c r="AK3029" s="52"/>
      <c r="AL3029" s="52"/>
      <c r="AM3029" s="52"/>
      <c r="AN3029" s="52"/>
    </row>
    <row r="3030" spans="1:40" x14ac:dyDescent="0.3">
      <c r="A3030" s="52">
        <v>3025</v>
      </c>
      <c r="B3030" s="52">
        <f>-bthan*500+(24+0.5)*bthan*1000/50</f>
        <v>-55</v>
      </c>
      <c r="C3030" s="52">
        <f t="shared" si="286"/>
        <v>410.00000000000023</v>
      </c>
      <c r="D3030" s="52">
        <f t="shared" si="287"/>
        <v>2200</v>
      </c>
      <c r="E3030" s="52">
        <f t="shared" si="288"/>
        <v>1</v>
      </c>
      <c r="F3030" s="52"/>
      <c r="G3030" s="52"/>
      <c r="H3030" s="52"/>
      <c r="I3030" s="52"/>
      <c r="J3030" s="52"/>
      <c r="K3030" s="52"/>
      <c r="L3030" s="52"/>
      <c r="M3030" s="52"/>
      <c r="N3030" s="52"/>
      <c r="O3030" s="52"/>
      <c r="P3030" s="52"/>
      <c r="Q3030" s="52"/>
      <c r="R3030" s="52"/>
      <c r="S3030" s="52"/>
      <c r="T3030" s="52"/>
      <c r="U3030" s="52"/>
      <c r="V3030" s="52"/>
      <c r="W3030" s="52"/>
      <c r="X3030" s="52"/>
      <c r="Y3030" s="52"/>
      <c r="Z3030" s="52"/>
      <c r="AA3030" s="52"/>
      <c r="AB3030" s="52"/>
      <c r="AC3030" s="52"/>
      <c r="AD3030" s="52"/>
      <c r="AE3030" s="52"/>
      <c r="AF3030" s="52"/>
      <c r="AG3030" s="52"/>
      <c r="AH3030" s="52"/>
      <c r="AI3030" s="52"/>
      <c r="AJ3030" s="52"/>
      <c r="AK3030" s="52"/>
      <c r="AL3030" s="52"/>
      <c r="AM3030" s="52"/>
      <c r="AN3030" s="52"/>
    </row>
    <row r="3031" spans="1:40" x14ac:dyDescent="0.3">
      <c r="A3031" s="52">
        <v>3026</v>
      </c>
      <c r="B3031" s="52">
        <f>-bthan*500+(25+0.5)*bthan*1000/50</f>
        <v>55</v>
      </c>
      <c r="C3031" s="52">
        <f t="shared" si="286"/>
        <v>410.00000000000023</v>
      </c>
      <c r="D3031" s="52">
        <f t="shared" si="287"/>
        <v>2200</v>
      </c>
      <c r="E3031" s="52">
        <f t="shared" si="288"/>
        <v>1</v>
      </c>
      <c r="F3031" s="52"/>
      <c r="G3031" s="52"/>
      <c r="H3031" s="52"/>
      <c r="I3031" s="52"/>
      <c r="J3031" s="52"/>
      <c r="K3031" s="52"/>
      <c r="L3031" s="52"/>
      <c r="M3031" s="52"/>
      <c r="N3031" s="52"/>
      <c r="O3031" s="52"/>
      <c r="P3031" s="52"/>
      <c r="Q3031" s="52"/>
      <c r="R3031" s="52"/>
      <c r="S3031" s="52"/>
      <c r="T3031" s="52"/>
      <c r="U3031" s="52"/>
      <c r="V3031" s="52"/>
      <c r="W3031" s="52"/>
      <c r="X3031" s="52"/>
      <c r="Y3031" s="52"/>
      <c r="Z3031" s="52"/>
      <c r="AA3031" s="52"/>
      <c r="AB3031" s="52"/>
      <c r="AC3031" s="52"/>
      <c r="AD3031" s="52"/>
      <c r="AE3031" s="52"/>
      <c r="AF3031" s="52"/>
      <c r="AG3031" s="52"/>
      <c r="AH3031" s="52"/>
      <c r="AI3031" s="52"/>
      <c r="AJ3031" s="52"/>
      <c r="AK3031" s="52"/>
      <c r="AL3031" s="52"/>
      <c r="AM3031" s="52"/>
      <c r="AN3031" s="52"/>
    </row>
    <row r="3032" spans="1:40" x14ac:dyDescent="0.3">
      <c r="A3032" s="52">
        <v>3027</v>
      </c>
      <c r="B3032" s="52">
        <f>-bthan*500+(26+0.5)*bthan*1000/50</f>
        <v>165</v>
      </c>
      <c r="C3032" s="52">
        <f t="shared" si="286"/>
        <v>410.00000000000023</v>
      </c>
      <c r="D3032" s="52">
        <f t="shared" si="287"/>
        <v>2200</v>
      </c>
      <c r="E3032" s="52">
        <f t="shared" si="288"/>
        <v>1</v>
      </c>
      <c r="F3032" s="52"/>
      <c r="G3032" s="52"/>
      <c r="H3032" s="52"/>
      <c r="I3032" s="52"/>
      <c r="J3032" s="52"/>
      <c r="K3032" s="52"/>
      <c r="L3032" s="52"/>
      <c r="M3032" s="52"/>
      <c r="N3032" s="52"/>
      <c r="O3032" s="52"/>
      <c r="P3032" s="52"/>
      <c r="Q3032" s="52"/>
      <c r="R3032" s="52"/>
      <c r="S3032" s="52"/>
      <c r="T3032" s="52"/>
      <c r="U3032" s="52"/>
      <c r="V3032" s="52"/>
      <c r="W3032" s="52"/>
      <c r="X3032" s="52"/>
      <c r="Y3032" s="52"/>
      <c r="Z3032" s="52"/>
      <c r="AA3032" s="52"/>
      <c r="AB3032" s="52"/>
      <c r="AC3032" s="52"/>
      <c r="AD3032" s="52"/>
      <c r="AE3032" s="52"/>
      <c r="AF3032" s="52"/>
      <c r="AG3032" s="52"/>
      <c r="AH3032" s="52"/>
      <c r="AI3032" s="52"/>
      <c r="AJ3032" s="52"/>
      <c r="AK3032" s="52"/>
      <c r="AL3032" s="52"/>
      <c r="AM3032" s="52"/>
      <c r="AN3032" s="52"/>
    </row>
    <row r="3033" spans="1:40" x14ac:dyDescent="0.3">
      <c r="A3033" s="52">
        <v>3028</v>
      </c>
      <c r="B3033" s="52">
        <f>-bthan*500+(27+0.5)*bthan*1000/50</f>
        <v>275</v>
      </c>
      <c r="C3033" s="52">
        <f t="shared" si="286"/>
        <v>410.00000000000023</v>
      </c>
      <c r="D3033" s="52">
        <f t="shared" si="287"/>
        <v>2200</v>
      </c>
      <c r="E3033" s="52">
        <f t="shared" si="288"/>
        <v>1</v>
      </c>
      <c r="F3033" s="52"/>
      <c r="G3033" s="52"/>
      <c r="H3033" s="52"/>
      <c r="I3033" s="52"/>
      <c r="J3033" s="52"/>
      <c r="K3033" s="52"/>
      <c r="L3033" s="52"/>
      <c r="M3033" s="52"/>
      <c r="N3033" s="52"/>
      <c r="O3033" s="52"/>
      <c r="P3033" s="52"/>
      <c r="Q3033" s="52"/>
      <c r="R3033" s="52"/>
      <c r="S3033" s="52"/>
      <c r="T3033" s="52"/>
      <c r="U3033" s="52"/>
      <c r="V3033" s="52"/>
      <c r="W3033" s="52"/>
      <c r="X3033" s="52"/>
      <c r="Y3033" s="52"/>
      <c r="Z3033" s="52"/>
      <c r="AA3033" s="52"/>
      <c r="AB3033" s="52"/>
      <c r="AC3033" s="52"/>
      <c r="AD3033" s="52"/>
      <c r="AE3033" s="52"/>
      <c r="AF3033" s="52"/>
      <c r="AG3033" s="52"/>
      <c r="AH3033" s="52"/>
      <c r="AI3033" s="52"/>
      <c r="AJ3033" s="52"/>
      <c r="AK3033" s="52"/>
      <c r="AL3033" s="52"/>
      <c r="AM3033" s="52"/>
      <c r="AN3033" s="52"/>
    </row>
    <row r="3034" spans="1:40" x14ac:dyDescent="0.3">
      <c r="A3034" s="52">
        <v>3029</v>
      </c>
      <c r="B3034" s="52">
        <f>-bthan*500+(28+0.5)*bthan*1000/50</f>
        <v>385</v>
      </c>
      <c r="C3034" s="52">
        <f t="shared" si="286"/>
        <v>410.00000000000023</v>
      </c>
      <c r="D3034" s="52">
        <f t="shared" si="287"/>
        <v>2200</v>
      </c>
      <c r="E3034" s="52">
        <f t="shared" si="288"/>
        <v>1</v>
      </c>
      <c r="F3034" s="52"/>
      <c r="G3034" s="52"/>
      <c r="H3034" s="52"/>
      <c r="I3034" s="52"/>
      <c r="J3034" s="52"/>
      <c r="K3034" s="52"/>
      <c r="L3034" s="52"/>
      <c r="M3034" s="52"/>
      <c r="N3034" s="52"/>
      <c r="O3034" s="52"/>
      <c r="P3034" s="52"/>
      <c r="Q3034" s="52"/>
      <c r="R3034" s="52"/>
      <c r="S3034" s="52"/>
      <c r="T3034" s="52"/>
      <c r="U3034" s="52"/>
      <c r="V3034" s="52"/>
      <c r="W3034" s="52"/>
      <c r="X3034" s="52"/>
      <c r="Y3034" s="52"/>
      <c r="Z3034" s="52"/>
      <c r="AA3034" s="52"/>
      <c r="AB3034" s="52"/>
      <c r="AC3034" s="52"/>
      <c r="AD3034" s="52"/>
      <c r="AE3034" s="52"/>
      <c r="AF3034" s="52"/>
      <c r="AG3034" s="52"/>
      <c r="AH3034" s="52"/>
      <c r="AI3034" s="52"/>
      <c r="AJ3034" s="52"/>
      <c r="AK3034" s="52"/>
      <c r="AL3034" s="52"/>
      <c r="AM3034" s="52"/>
      <c r="AN3034" s="52"/>
    </row>
    <row r="3035" spans="1:40" x14ac:dyDescent="0.3">
      <c r="A3035" s="52">
        <v>3030</v>
      </c>
      <c r="B3035" s="52">
        <f>-bthan*500+(29+0.5)*bthan*1000/50</f>
        <v>495</v>
      </c>
      <c r="C3035" s="52">
        <f t="shared" si="286"/>
        <v>410.00000000000023</v>
      </c>
      <c r="D3035" s="52">
        <f t="shared" si="287"/>
        <v>2200</v>
      </c>
      <c r="E3035" s="52">
        <f t="shared" si="288"/>
        <v>1</v>
      </c>
      <c r="F3035" s="52"/>
      <c r="G3035" s="52"/>
      <c r="H3035" s="52"/>
      <c r="I3035" s="52"/>
      <c r="J3035" s="52"/>
      <c r="K3035" s="52"/>
      <c r="L3035" s="52"/>
      <c r="M3035" s="52"/>
      <c r="N3035" s="52"/>
      <c r="O3035" s="52"/>
      <c r="P3035" s="52"/>
      <c r="Q3035" s="52"/>
      <c r="R3035" s="52"/>
      <c r="S3035" s="52"/>
      <c r="T3035" s="52"/>
      <c r="U3035" s="52"/>
      <c r="V3035" s="52"/>
      <c r="W3035" s="52"/>
      <c r="X3035" s="52"/>
      <c r="Y3035" s="52"/>
      <c r="Z3035" s="52"/>
      <c r="AA3035" s="52"/>
      <c r="AB3035" s="52"/>
      <c r="AC3035" s="52"/>
      <c r="AD3035" s="52"/>
      <c r="AE3035" s="52"/>
      <c r="AF3035" s="52"/>
      <c r="AG3035" s="52"/>
      <c r="AH3035" s="52"/>
      <c r="AI3035" s="52"/>
      <c r="AJ3035" s="52"/>
      <c r="AK3035" s="52"/>
      <c r="AL3035" s="52"/>
      <c r="AM3035" s="52"/>
      <c r="AN3035" s="52"/>
    </row>
    <row r="3036" spans="1:40" x14ac:dyDescent="0.3">
      <c r="A3036" s="52">
        <v>3031</v>
      </c>
      <c r="B3036" s="52">
        <f>-bthan*500+(30+0.5)*bthan*1000/50</f>
        <v>605</v>
      </c>
      <c r="C3036" s="52">
        <f t="shared" si="286"/>
        <v>410.00000000000023</v>
      </c>
      <c r="D3036" s="52">
        <f t="shared" si="287"/>
        <v>2200</v>
      </c>
      <c r="E3036" s="52">
        <f t="shared" si="288"/>
        <v>1</v>
      </c>
      <c r="F3036" s="52"/>
      <c r="G3036" s="52"/>
      <c r="H3036" s="52"/>
      <c r="I3036" s="52"/>
      <c r="J3036" s="52"/>
      <c r="K3036" s="52"/>
      <c r="L3036" s="52"/>
      <c r="M3036" s="52"/>
      <c r="N3036" s="52"/>
      <c r="O3036" s="52"/>
      <c r="P3036" s="52"/>
      <c r="Q3036" s="52"/>
      <c r="R3036" s="52"/>
      <c r="S3036" s="52"/>
      <c r="T3036" s="52"/>
      <c r="U3036" s="52"/>
      <c r="V3036" s="52"/>
      <c r="W3036" s="52"/>
      <c r="X3036" s="52"/>
      <c r="Y3036" s="52"/>
      <c r="Z3036" s="52"/>
      <c r="AA3036" s="52"/>
      <c r="AB3036" s="52"/>
      <c r="AC3036" s="52"/>
      <c r="AD3036" s="52"/>
      <c r="AE3036" s="52"/>
      <c r="AF3036" s="52"/>
      <c r="AG3036" s="52"/>
      <c r="AH3036" s="52"/>
      <c r="AI3036" s="52"/>
      <c r="AJ3036" s="52"/>
      <c r="AK3036" s="52"/>
      <c r="AL3036" s="52"/>
      <c r="AM3036" s="52"/>
      <c r="AN3036" s="52"/>
    </row>
    <row r="3037" spans="1:40" x14ac:dyDescent="0.3">
      <c r="A3037" s="52">
        <v>3032</v>
      </c>
      <c r="B3037" s="52">
        <f>-bthan*500+(31+0.5)*bthan*1000/50</f>
        <v>715</v>
      </c>
      <c r="C3037" s="52">
        <f t="shared" si="286"/>
        <v>410.00000000000023</v>
      </c>
      <c r="D3037" s="52">
        <f t="shared" si="287"/>
        <v>2200</v>
      </c>
      <c r="E3037" s="52">
        <f t="shared" si="288"/>
        <v>1</v>
      </c>
      <c r="F3037" s="52"/>
      <c r="G3037" s="52"/>
      <c r="H3037" s="52"/>
      <c r="I3037" s="52"/>
      <c r="J3037" s="52"/>
      <c r="K3037" s="52"/>
      <c r="L3037" s="52"/>
      <c r="M3037" s="52"/>
      <c r="N3037" s="52"/>
      <c r="O3037" s="52"/>
      <c r="P3037" s="52"/>
      <c r="Q3037" s="52"/>
      <c r="R3037" s="52"/>
      <c r="S3037" s="52"/>
      <c r="T3037" s="52"/>
      <c r="U3037" s="52"/>
      <c r="V3037" s="52"/>
      <c r="W3037" s="52"/>
      <c r="X3037" s="52"/>
      <c r="Y3037" s="52"/>
      <c r="Z3037" s="52"/>
      <c r="AA3037" s="52"/>
      <c r="AB3037" s="52"/>
      <c r="AC3037" s="52"/>
      <c r="AD3037" s="52"/>
      <c r="AE3037" s="52"/>
      <c r="AF3037" s="52"/>
      <c r="AG3037" s="52"/>
      <c r="AH3037" s="52"/>
      <c r="AI3037" s="52"/>
      <c r="AJ3037" s="52"/>
      <c r="AK3037" s="52"/>
      <c r="AL3037" s="52"/>
      <c r="AM3037" s="52"/>
      <c r="AN3037" s="52"/>
    </row>
    <row r="3038" spans="1:40" x14ac:dyDescent="0.3">
      <c r="A3038" s="52">
        <v>3033</v>
      </c>
      <c r="B3038" s="52">
        <f>-bthan*500+(32+0.5)*bthan*1000/50</f>
        <v>825</v>
      </c>
      <c r="C3038" s="52">
        <f t="shared" ref="C3038:C3055" si="289">-hthan*500+(60+0.5)*hthan*1000/80</f>
        <v>410.00000000000023</v>
      </c>
      <c r="D3038" s="52">
        <f t="shared" si="287"/>
        <v>2200</v>
      </c>
      <c r="E3038" s="52">
        <f t="shared" si="288"/>
        <v>1</v>
      </c>
      <c r="F3038" s="52"/>
      <c r="G3038" s="52"/>
      <c r="H3038" s="52"/>
      <c r="I3038" s="52"/>
      <c r="J3038" s="52"/>
      <c r="K3038" s="52"/>
      <c r="L3038" s="52"/>
      <c r="M3038" s="52"/>
      <c r="N3038" s="52"/>
      <c r="O3038" s="52"/>
      <c r="P3038" s="52"/>
      <c r="Q3038" s="52"/>
      <c r="R3038" s="52"/>
      <c r="S3038" s="52"/>
      <c r="T3038" s="52"/>
      <c r="U3038" s="52"/>
      <c r="V3038" s="52"/>
      <c r="W3038" s="52"/>
      <c r="X3038" s="52"/>
      <c r="Y3038" s="52"/>
      <c r="Z3038" s="52"/>
      <c r="AA3038" s="52"/>
      <c r="AB3038" s="52"/>
      <c r="AC3038" s="52"/>
      <c r="AD3038" s="52"/>
      <c r="AE3038" s="52"/>
      <c r="AF3038" s="52"/>
      <c r="AG3038" s="52"/>
      <c r="AH3038" s="52"/>
      <c r="AI3038" s="52"/>
      <c r="AJ3038" s="52"/>
      <c r="AK3038" s="52"/>
      <c r="AL3038" s="52"/>
      <c r="AM3038" s="52"/>
      <c r="AN3038" s="52"/>
    </row>
    <row r="3039" spans="1:40" x14ac:dyDescent="0.3">
      <c r="A3039" s="52">
        <v>3034</v>
      </c>
      <c r="B3039" s="52">
        <f>-bthan*500+(33+0.5)*bthan*1000/50</f>
        <v>935</v>
      </c>
      <c r="C3039" s="52">
        <f t="shared" si="289"/>
        <v>410.00000000000023</v>
      </c>
      <c r="D3039" s="52">
        <f t="shared" si="287"/>
        <v>2200</v>
      </c>
      <c r="E3039" s="52">
        <f t="shared" si="288"/>
        <v>1</v>
      </c>
      <c r="F3039" s="52"/>
      <c r="G3039" s="52"/>
      <c r="H3039" s="52"/>
      <c r="I3039" s="52"/>
      <c r="J3039" s="52"/>
      <c r="K3039" s="52"/>
      <c r="L3039" s="52"/>
      <c r="M3039" s="52"/>
      <c r="N3039" s="52"/>
      <c r="O3039" s="52"/>
      <c r="P3039" s="52"/>
      <c r="Q3039" s="52"/>
      <c r="R3039" s="52"/>
      <c r="S3039" s="52"/>
      <c r="T3039" s="52"/>
      <c r="U3039" s="52"/>
      <c r="V3039" s="52"/>
      <c r="W3039" s="52"/>
      <c r="X3039" s="52"/>
      <c r="Y3039" s="52"/>
      <c r="Z3039" s="52"/>
      <c r="AA3039" s="52"/>
      <c r="AB3039" s="52"/>
      <c r="AC3039" s="52"/>
      <c r="AD3039" s="52"/>
      <c r="AE3039" s="52"/>
      <c r="AF3039" s="52"/>
      <c r="AG3039" s="52"/>
      <c r="AH3039" s="52"/>
      <c r="AI3039" s="52"/>
      <c r="AJ3039" s="52"/>
      <c r="AK3039" s="52"/>
      <c r="AL3039" s="52"/>
      <c r="AM3039" s="52"/>
      <c r="AN3039" s="52"/>
    </row>
    <row r="3040" spans="1:40" x14ac:dyDescent="0.3">
      <c r="A3040" s="52">
        <v>3035</v>
      </c>
      <c r="B3040" s="52">
        <f>-bthan*500+(34+0.5)*bthan*1000/50</f>
        <v>1045</v>
      </c>
      <c r="C3040" s="52">
        <f t="shared" si="289"/>
        <v>410.00000000000023</v>
      </c>
      <c r="D3040" s="52">
        <f t="shared" si="287"/>
        <v>2200</v>
      </c>
      <c r="E3040" s="52">
        <f t="shared" si="288"/>
        <v>1</v>
      </c>
      <c r="F3040" s="52"/>
      <c r="G3040" s="52"/>
      <c r="H3040" s="52"/>
      <c r="I3040" s="52"/>
      <c r="J3040" s="52"/>
      <c r="K3040" s="52"/>
      <c r="L3040" s="52"/>
      <c r="M3040" s="52"/>
      <c r="N3040" s="52"/>
      <c r="O3040" s="52"/>
      <c r="P3040" s="52"/>
      <c r="Q3040" s="52"/>
      <c r="R3040" s="52"/>
      <c r="S3040" s="52"/>
      <c r="T3040" s="52"/>
      <c r="U3040" s="52"/>
      <c r="V3040" s="52"/>
      <c r="W3040" s="52"/>
      <c r="X3040" s="52"/>
      <c r="Y3040" s="52"/>
      <c r="Z3040" s="52"/>
      <c r="AA3040" s="52"/>
      <c r="AB3040" s="52"/>
      <c r="AC3040" s="52"/>
      <c r="AD3040" s="52"/>
      <c r="AE3040" s="52"/>
      <c r="AF3040" s="52"/>
      <c r="AG3040" s="52"/>
      <c r="AH3040" s="52"/>
      <c r="AI3040" s="52"/>
      <c r="AJ3040" s="52"/>
      <c r="AK3040" s="52"/>
      <c r="AL3040" s="52"/>
      <c r="AM3040" s="52"/>
      <c r="AN3040" s="52"/>
    </row>
    <row r="3041" spans="1:40" x14ac:dyDescent="0.3">
      <c r="A3041" s="52">
        <v>3036</v>
      </c>
      <c r="B3041" s="52">
        <f>-bthan*500+(35+0.5)*bthan*1000/50</f>
        <v>1155</v>
      </c>
      <c r="C3041" s="52">
        <f t="shared" si="289"/>
        <v>410.00000000000023</v>
      </c>
      <c r="D3041" s="52">
        <f t="shared" si="287"/>
        <v>2200</v>
      </c>
      <c r="E3041" s="52">
        <f t="shared" si="288"/>
        <v>1</v>
      </c>
      <c r="F3041" s="52"/>
      <c r="G3041" s="52"/>
      <c r="H3041" s="52"/>
      <c r="I3041" s="52"/>
      <c r="J3041" s="52"/>
      <c r="K3041" s="52"/>
      <c r="L3041" s="52"/>
      <c r="M3041" s="52"/>
      <c r="N3041" s="52"/>
      <c r="O3041" s="52"/>
      <c r="P3041" s="52"/>
      <c r="Q3041" s="52"/>
      <c r="R3041" s="52"/>
      <c r="S3041" s="52"/>
      <c r="T3041" s="52"/>
      <c r="U3041" s="52"/>
      <c r="V3041" s="52"/>
      <c r="W3041" s="52"/>
      <c r="X3041" s="52"/>
      <c r="Y3041" s="52"/>
      <c r="Z3041" s="52"/>
      <c r="AA3041" s="52"/>
      <c r="AB3041" s="52"/>
      <c r="AC3041" s="52"/>
      <c r="AD3041" s="52"/>
      <c r="AE3041" s="52"/>
      <c r="AF3041" s="52"/>
      <c r="AG3041" s="52"/>
      <c r="AH3041" s="52"/>
      <c r="AI3041" s="52"/>
      <c r="AJ3041" s="52"/>
      <c r="AK3041" s="52"/>
      <c r="AL3041" s="52"/>
      <c r="AM3041" s="52"/>
      <c r="AN3041" s="52"/>
    </row>
    <row r="3042" spans="1:40" x14ac:dyDescent="0.3">
      <c r="A3042" s="52">
        <v>3037</v>
      </c>
      <c r="B3042" s="52">
        <f>-bthan*500+(36+0.5)*bthan*1000/50</f>
        <v>1265</v>
      </c>
      <c r="C3042" s="52">
        <f t="shared" si="289"/>
        <v>410.00000000000023</v>
      </c>
      <c r="D3042" s="52">
        <f t="shared" si="287"/>
        <v>2200</v>
      </c>
      <c r="E3042" s="52">
        <f t="shared" si="288"/>
        <v>1</v>
      </c>
      <c r="F3042" s="52"/>
      <c r="G3042" s="52"/>
      <c r="H3042" s="52"/>
      <c r="I3042" s="52"/>
      <c r="J3042" s="52"/>
      <c r="K3042" s="52"/>
      <c r="L3042" s="52"/>
      <c r="M3042" s="52"/>
      <c r="N3042" s="52"/>
      <c r="O3042" s="52"/>
      <c r="P3042" s="52"/>
      <c r="Q3042" s="52"/>
      <c r="R3042" s="52"/>
      <c r="S3042" s="52"/>
      <c r="T3042" s="52"/>
      <c r="U3042" s="52"/>
      <c r="V3042" s="52"/>
      <c r="W3042" s="52"/>
      <c r="X3042" s="52"/>
      <c r="Y3042" s="52"/>
      <c r="Z3042" s="52"/>
      <c r="AA3042" s="52"/>
      <c r="AB3042" s="52"/>
      <c r="AC3042" s="52"/>
      <c r="AD3042" s="52"/>
      <c r="AE3042" s="52"/>
      <c r="AF3042" s="52"/>
      <c r="AG3042" s="52"/>
      <c r="AH3042" s="52"/>
      <c r="AI3042" s="52"/>
      <c r="AJ3042" s="52"/>
      <c r="AK3042" s="52"/>
      <c r="AL3042" s="52"/>
      <c r="AM3042" s="52"/>
      <c r="AN3042" s="52"/>
    </row>
    <row r="3043" spans="1:40" x14ac:dyDescent="0.3">
      <c r="A3043" s="52">
        <v>3038</v>
      </c>
      <c r="B3043" s="52">
        <f>-bthan*500+(37+0.5)*bthan*1000/50</f>
        <v>1375</v>
      </c>
      <c r="C3043" s="52">
        <f t="shared" si="289"/>
        <v>410.00000000000023</v>
      </c>
      <c r="D3043" s="52">
        <f t="shared" si="287"/>
        <v>2200</v>
      </c>
      <c r="E3043" s="52">
        <f t="shared" si="288"/>
        <v>1</v>
      </c>
      <c r="F3043" s="52"/>
      <c r="G3043" s="52"/>
      <c r="H3043" s="52"/>
      <c r="I3043" s="52"/>
      <c r="J3043" s="52"/>
      <c r="K3043" s="52"/>
      <c r="L3043" s="52"/>
      <c r="M3043" s="52"/>
      <c r="N3043" s="52"/>
      <c r="O3043" s="52"/>
      <c r="P3043" s="52"/>
      <c r="Q3043" s="52"/>
      <c r="R3043" s="52"/>
      <c r="S3043" s="52"/>
      <c r="T3043" s="52"/>
      <c r="U3043" s="52"/>
      <c r="V3043" s="52"/>
      <c r="W3043" s="52"/>
      <c r="X3043" s="52"/>
      <c r="Y3043" s="52"/>
      <c r="Z3043" s="52"/>
      <c r="AA3043" s="52"/>
      <c r="AB3043" s="52"/>
      <c r="AC3043" s="52"/>
      <c r="AD3043" s="52"/>
      <c r="AE3043" s="52"/>
      <c r="AF3043" s="52"/>
      <c r="AG3043" s="52"/>
      <c r="AH3043" s="52"/>
      <c r="AI3043" s="52"/>
      <c r="AJ3043" s="52"/>
      <c r="AK3043" s="52"/>
      <c r="AL3043" s="52"/>
      <c r="AM3043" s="52"/>
      <c r="AN3043" s="52"/>
    </row>
    <row r="3044" spans="1:40" x14ac:dyDescent="0.3">
      <c r="A3044" s="52">
        <v>3039</v>
      </c>
      <c r="B3044" s="52">
        <f>-bthan*500+(38+0.5)*bthan*1000/50</f>
        <v>1485</v>
      </c>
      <c r="C3044" s="52">
        <f t="shared" si="289"/>
        <v>410.00000000000023</v>
      </c>
      <c r="D3044" s="52">
        <f t="shared" si="287"/>
        <v>2200</v>
      </c>
      <c r="E3044" s="52">
        <f t="shared" si="288"/>
        <v>1</v>
      </c>
      <c r="F3044" s="52"/>
      <c r="G3044" s="52"/>
      <c r="H3044" s="52"/>
      <c r="I3044" s="52"/>
      <c r="J3044" s="52"/>
      <c r="K3044" s="52"/>
      <c r="L3044" s="52"/>
      <c r="M3044" s="52"/>
      <c r="N3044" s="52"/>
      <c r="O3044" s="52"/>
      <c r="P3044" s="52"/>
      <c r="Q3044" s="52"/>
      <c r="R3044" s="52"/>
      <c r="S3044" s="52"/>
      <c r="T3044" s="52"/>
      <c r="U3044" s="52"/>
      <c r="V3044" s="52"/>
      <c r="W3044" s="52"/>
      <c r="X3044" s="52"/>
      <c r="Y3044" s="52"/>
      <c r="Z3044" s="52"/>
      <c r="AA3044" s="52"/>
      <c r="AB3044" s="52"/>
      <c r="AC3044" s="52"/>
      <c r="AD3044" s="52"/>
      <c r="AE3044" s="52"/>
      <c r="AF3044" s="52"/>
      <c r="AG3044" s="52"/>
      <c r="AH3044" s="52"/>
      <c r="AI3044" s="52"/>
      <c r="AJ3044" s="52"/>
      <c r="AK3044" s="52"/>
      <c r="AL3044" s="52"/>
      <c r="AM3044" s="52"/>
      <c r="AN3044" s="52"/>
    </row>
    <row r="3045" spans="1:40" x14ac:dyDescent="0.3">
      <c r="A3045" s="52">
        <v>3040</v>
      </c>
      <c r="B3045" s="52">
        <f>-bthan*500+(39+0.5)*bthan*1000/50</f>
        <v>1595</v>
      </c>
      <c r="C3045" s="52">
        <f t="shared" si="289"/>
        <v>410.00000000000023</v>
      </c>
      <c r="D3045" s="52">
        <f t="shared" si="287"/>
        <v>2200</v>
      </c>
      <c r="E3045" s="52">
        <f t="shared" si="288"/>
        <v>1</v>
      </c>
      <c r="F3045" s="52"/>
      <c r="G3045" s="52"/>
      <c r="H3045" s="52"/>
      <c r="I3045" s="52"/>
      <c r="J3045" s="52"/>
      <c r="K3045" s="52"/>
      <c r="L3045" s="52"/>
      <c r="M3045" s="52"/>
      <c r="N3045" s="52"/>
      <c r="O3045" s="52"/>
      <c r="P3045" s="52"/>
      <c r="Q3045" s="52"/>
      <c r="R3045" s="52"/>
      <c r="S3045" s="52"/>
      <c r="T3045" s="52"/>
      <c r="U3045" s="52"/>
      <c r="V3045" s="52"/>
      <c r="W3045" s="52"/>
      <c r="X3045" s="52"/>
      <c r="Y3045" s="52"/>
      <c r="Z3045" s="52"/>
      <c r="AA3045" s="52"/>
      <c r="AB3045" s="52"/>
      <c r="AC3045" s="52"/>
      <c r="AD3045" s="52"/>
      <c r="AE3045" s="52"/>
      <c r="AF3045" s="52"/>
      <c r="AG3045" s="52"/>
      <c r="AH3045" s="52"/>
      <c r="AI3045" s="52"/>
      <c r="AJ3045" s="52"/>
      <c r="AK3045" s="52"/>
      <c r="AL3045" s="52"/>
      <c r="AM3045" s="52"/>
      <c r="AN3045" s="52"/>
    </row>
    <row r="3046" spans="1:40" x14ac:dyDescent="0.3">
      <c r="A3046" s="52">
        <v>3041</v>
      </c>
      <c r="B3046" s="52">
        <f>-bthan*500+(40+0.5)*bthan*1000/50</f>
        <v>1705</v>
      </c>
      <c r="C3046" s="52">
        <f t="shared" si="289"/>
        <v>410.00000000000023</v>
      </c>
      <c r="D3046" s="52">
        <f t="shared" si="287"/>
        <v>2200</v>
      </c>
      <c r="E3046" s="52">
        <f t="shared" si="288"/>
        <v>1</v>
      </c>
      <c r="F3046" s="52"/>
      <c r="G3046" s="52"/>
      <c r="H3046" s="52"/>
      <c r="I3046" s="52"/>
      <c r="J3046" s="52"/>
      <c r="K3046" s="52"/>
      <c r="L3046" s="52"/>
      <c r="M3046" s="52"/>
      <c r="N3046" s="52"/>
      <c r="O3046" s="52"/>
      <c r="P3046" s="52"/>
      <c r="Q3046" s="52"/>
      <c r="R3046" s="52"/>
      <c r="S3046" s="52"/>
      <c r="T3046" s="52"/>
      <c r="U3046" s="52"/>
      <c r="V3046" s="52"/>
      <c r="W3046" s="52"/>
      <c r="X3046" s="52"/>
      <c r="Y3046" s="52"/>
      <c r="Z3046" s="52"/>
      <c r="AA3046" s="52"/>
      <c r="AB3046" s="52"/>
      <c r="AC3046" s="52"/>
      <c r="AD3046" s="52"/>
      <c r="AE3046" s="52"/>
      <c r="AF3046" s="52"/>
      <c r="AG3046" s="52"/>
      <c r="AH3046" s="52"/>
      <c r="AI3046" s="52"/>
      <c r="AJ3046" s="52"/>
      <c r="AK3046" s="52"/>
      <c r="AL3046" s="52"/>
      <c r="AM3046" s="52"/>
      <c r="AN3046" s="52"/>
    </row>
    <row r="3047" spans="1:40" x14ac:dyDescent="0.3">
      <c r="A3047" s="52">
        <v>3042</v>
      </c>
      <c r="B3047" s="52">
        <f>-bthan*500+(41+0.5)*bthan*1000/50</f>
        <v>1815</v>
      </c>
      <c r="C3047" s="52">
        <f t="shared" si="289"/>
        <v>410.00000000000023</v>
      </c>
      <c r="D3047" s="52">
        <f t="shared" si="287"/>
        <v>2200</v>
      </c>
      <c r="E3047" s="52">
        <f t="shared" si="288"/>
        <v>1</v>
      </c>
      <c r="F3047" s="52"/>
      <c r="G3047" s="52"/>
      <c r="H3047" s="52"/>
      <c r="I3047" s="52"/>
      <c r="J3047" s="52"/>
      <c r="K3047" s="52"/>
      <c r="L3047" s="52"/>
      <c r="M3047" s="52"/>
      <c r="N3047" s="52"/>
      <c r="O3047" s="52"/>
      <c r="P3047" s="52"/>
      <c r="Q3047" s="52"/>
      <c r="R3047" s="52"/>
      <c r="S3047" s="52"/>
      <c r="T3047" s="52"/>
      <c r="U3047" s="52"/>
      <c r="V3047" s="52"/>
      <c r="W3047" s="52"/>
      <c r="X3047" s="52"/>
      <c r="Y3047" s="52"/>
      <c r="Z3047" s="52"/>
      <c r="AA3047" s="52"/>
      <c r="AB3047" s="52"/>
      <c r="AC3047" s="52"/>
      <c r="AD3047" s="52"/>
      <c r="AE3047" s="52"/>
      <c r="AF3047" s="52"/>
      <c r="AG3047" s="52"/>
      <c r="AH3047" s="52"/>
      <c r="AI3047" s="52"/>
      <c r="AJ3047" s="52"/>
      <c r="AK3047" s="52"/>
      <c r="AL3047" s="52"/>
      <c r="AM3047" s="52"/>
      <c r="AN3047" s="52"/>
    </row>
    <row r="3048" spans="1:40" x14ac:dyDescent="0.3">
      <c r="A3048" s="52">
        <v>3043</v>
      </c>
      <c r="B3048" s="52">
        <f>-bthan*500+(42+0.5)*bthan*1000/50</f>
        <v>1925</v>
      </c>
      <c r="C3048" s="52">
        <f t="shared" si="289"/>
        <v>410.00000000000023</v>
      </c>
      <c r="D3048" s="52">
        <f t="shared" si="287"/>
        <v>2200</v>
      </c>
      <c r="E3048" s="52">
        <f t="shared" si="288"/>
        <v>1</v>
      </c>
      <c r="F3048" s="52"/>
      <c r="G3048" s="52"/>
      <c r="H3048" s="52"/>
      <c r="I3048" s="52"/>
      <c r="J3048" s="52"/>
      <c r="K3048" s="52"/>
      <c r="L3048" s="52"/>
      <c r="M3048" s="52"/>
      <c r="N3048" s="52"/>
      <c r="O3048" s="52"/>
      <c r="P3048" s="52"/>
      <c r="Q3048" s="52"/>
      <c r="R3048" s="52"/>
      <c r="S3048" s="52"/>
      <c r="T3048" s="52"/>
      <c r="U3048" s="52"/>
      <c r="V3048" s="52"/>
      <c r="W3048" s="52"/>
      <c r="X3048" s="52"/>
      <c r="Y3048" s="52"/>
      <c r="Z3048" s="52"/>
      <c r="AA3048" s="52"/>
      <c r="AB3048" s="52"/>
      <c r="AC3048" s="52"/>
      <c r="AD3048" s="52"/>
      <c r="AE3048" s="52"/>
      <c r="AF3048" s="52"/>
      <c r="AG3048" s="52"/>
      <c r="AH3048" s="52"/>
      <c r="AI3048" s="52"/>
      <c r="AJ3048" s="52"/>
      <c r="AK3048" s="52"/>
      <c r="AL3048" s="52"/>
      <c r="AM3048" s="52"/>
      <c r="AN3048" s="52"/>
    </row>
    <row r="3049" spans="1:40" x14ac:dyDescent="0.3">
      <c r="A3049" s="52">
        <v>3044</v>
      </c>
      <c r="B3049" s="52">
        <f>-bthan*500+(43+0.5)*bthan*1000/50</f>
        <v>2035</v>
      </c>
      <c r="C3049" s="52">
        <f t="shared" si="289"/>
        <v>410.00000000000023</v>
      </c>
      <c r="D3049" s="52">
        <f t="shared" si="287"/>
        <v>2200</v>
      </c>
      <c r="E3049" s="52">
        <f t="shared" si="288"/>
        <v>1</v>
      </c>
      <c r="F3049" s="52"/>
      <c r="G3049" s="52"/>
      <c r="H3049" s="52"/>
      <c r="I3049" s="52"/>
      <c r="J3049" s="52"/>
      <c r="K3049" s="52"/>
      <c r="L3049" s="52"/>
      <c r="M3049" s="52"/>
      <c r="N3049" s="52"/>
      <c r="O3049" s="52"/>
      <c r="P3049" s="52"/>
      <c r="Q3049" s="52"/>
      <c r="R3049" s="52"/>
      <c r="S3049" s="52"/>
      <c r="T3049" s="52"/>
      <c r="U3049" s="52"/>
      <c r="V3049" s="52"/>
      <c r="W3049" s="52"/>
      <c r="X3049" s="52"/>
      <c r="Y3049" s="52"/>
      <c r="Z3049" s="52"/>
      <c r="AA3049" s="52"/>
      <c r="AB3049" s="52"/>
      <c r="AC3049" s="52"/>
      <c r="AD3049" s="52"/>
      <c r="AE3049" s="52"/>
      <c r="AF3049" s="52"/>
      <c r="AG3049" s="52"/>
      <c r="AH3049" s="52"/>
      <c r="AI3049" s="52"/>
      <c r="AJ3049" s="52"/>
      <c r="AK3049" s="52"/>
      <c r="AL3049" s="52"/>
      <c r="AM3049" s="52"/>
      <c r="AN3049" s="52"/>
    </row>
    <row r="3050" spans="1:40" x14ac:dyDescent="0.3">
      <c r="A3050" s="52">
        <v>3045</v>
      </c>
      <c r="B3050" s="52">
        <f>-bthan*500+(44+0.5)*bthan*1000/50</f>
        <v>2145</v>
      </c>
      <c r="C3050" s="52">
        <f t="shared" si="289"/>
        <v>410.00000000000023</v>
      </c>
      <c r="D3050" s="52">
        <f t="shared" si="287"/>
        <v>2200</v>
      </c>
      <c r="E3050" s="52">
        <f t="shared" si="288"/>
        <v>1</v>
      </c>
      <c r="F3050" s="52"/>
      <c r="G3050" s="52"/>
      <c r="H3050" s="52"/>
      <c r="I3050" s="52"/>
      <c r="J3050" s="52"/>
      <c r="K3050" s="52"/>
      <c r="L3050" s="52"/>
      <c r="M3050" s="52"/>
      <c r="N3050" s="52"/>
      <c r="O3050" s="52"/>
      <c r="P3050" s="52"/>
      <c r="Q3050" s="52"/>
      <c r="R3050" s="52"/>
      <c r="S3050" s="52"/>
      <c r="T3050" s="52"/>
      <c r="U3050" s="52"/>
      <c r="V3050" s="52"/>
      <c r="W3050" s="52"/>
      <c r="X3050" s="52"/>
      <c r="Y3050" s="52"/>
      <c r="Z3050" s="52"/>
      <c r="AA3050" s="52"/>
      <c r="AB3050" s="52"/>
      <c r="AC3050" s="52"/>
      <c r="AD3050" s="52"/>
      <c r="AE3050" s="52"/>
      <c r="AF3050" s="52"/>
      <c r="AG3050" s="52"/>
      <c r="AH3050" s="52"/>
      <c r="AI3050" s="52"/>
      <c r="AJ3050" s="52"/>
      <c r="AK3050" s="52"/>
      <c r="AL3050" s="52"/>
      <c r="AM3050" s="52"/>
      <c r="AN3050" s="52"/>
    </row>
    <row r="3051" spans="1:40" x14ac:dyDescent="0.3">
      <c r="A3051" s="52">
        <v>3046</v>
      </c>
      <c r="B3051" s="52">
        <f>-bthan*500+(45+0.5)*bthan*1000/50</f>
        <v>2255</v>
      </c>
      <c r="C3051" s="52">
        <f t="shared" si="289"/>
        <v>410.00000000000023</v>
      </c>
      <c r="D3051" s="52">
        <f t="shared" si="287"/>
        <v>2200</v>
      </c>
      <c r="E3051" s="52">
        <f t="shared" si="288"/>
        <v>1</v>
      </c>
      <c r="F3051" s="52"/>
      <c r="G3051" s="52"/>
      <c r="H3051" s="52"/>
      <c r="I3051" s="52"/>
      <c r="J3051" s="52"/>
      <c r="K3051" s="52"/>
      <c r="L3051" s="52"/>
      <c r="M3051" s="52"/>
      <c r="N3051" s="52"/>
      <c r="O3051" s="52"/>
      <c r="P3051" s="52"/>
      <c r="Q3051" s="52"/>
      <c r="R3051" s="52"/>
      <c r="S3051" s="52"/>
      <c r="T3051" s="52"/>
      <c r="U3051" s="52"/>
      <c r="V3051" s="52"/>
      <c r="W3051" s="52"/>
      <c r="X3051" s="52"/>
      <c r="Y3051" s="52"/>
      <c r="Z3051" s="52"/>
      <c r="AA3051" s="52"/>
      <c r="AB3051" s="52"/>
      <c r="AC3051" s="52"/>
      <c r="AD3051" s="52"/>
      <c r="AE3051" s="52"/>
      <c r="AF3051" s="52"/>
      <c r="AG3051" s="52"/>
      <c r="AH3051" s="52"/>
      <c r="AI3051" s="52"/>
      <c r="AJ3051" s="52"/>
      <c r="AK3051" s="52"/>
      <c r="AL3051" s="52"/>
      <c r="AM3051" s="52"/>
      <c r="AN3051" s="52"/>
    </row>
    <row r="3052" spans="1:40" x14ac:dyDescent="0.3">
      <c r="A3052" s="52">
        <v>3047</v>
      </c>
      <c r="B3052" s="52">
        <f>-bthan*500+(46+0.5)*bthan*1000/50</f>
        <v>2365</v>
      </c>
      <c r="C3052" s="52">
        <f t="shared" si="289"/>
        <v>410.00000000000023</v>
      </c>
      <c r="D3052" s="52">
        <f t="shared" si="287"/>
        <v>2200</v>
      </c>
      <c r="E3052" s="52">
        <f t="shared" si="288"/>
        <v>1</v>
      </c>
      <c r="F3052" s="52"/>
      <c r="G3052" s="52"/>
      <c r="H3052" s="52"/>
      <c r="I3052" s="52"/>
      <c r="J3052" s="52"/>
      <c r="K3052" s="52"/>
      <c r="L3052" s="52"/>
      <c r="M3052" s="52"/>
      <c r="N3052" s="52"/>
      <c r="O3052" s="52"/>
      <c r="P3052" s="52"/>
      <c r="Q3052" s="52"/>
      <c r="R3052" s="52"/>
      <c r="S3052" s="52"/>
      <c r="T3052" s="52"/>
      <c r="U3052" s="52"/>
      <c r="V3052" s="52"/>
      <c r="W3052" s="52"/>
      <c r="X3052" s="52"/>
      <c r="Y3052" s="52"/>
      <c r="Z3052" s="52"/>
      <c r="AA3052" s="52"/>
      <c r="AB3052" s="52"/>
      <c r="AC3052" s="52"/>
      <c r="AD3052" s="52"/>
      <c r="AE3052" s="52"/>
      <c r="AF3052" s="52"/>
      <c r="AG3052" s="52"/>
      <c r="AH3052" s="52"/>
      <c r="AI3052" s="52"/>
      <c r="AJ3052" s="52"/>
      <c r="AK3052" s="52"/>
      <c r="AL3052" s="52"/>
      <c r="AM3052" s="52"/>
      <c r="AN3052" s="52"/>
    </row>
    <row r="3053" spans="1:40" x14ac:dyDescent="0.3">
      <c r="A3053" s="52">
        <v>3048</v>
      </c>
      <c r="B3053" s="52">
        <f>-bthan*500+(47+0.5)*bthan*1000/50</f>
        <v>2475</v>
      </c>
      <c r="C3053" s="52">
        <f t="shared" si="289"/>
        <v>410.00000000000023</v>
      </c>
      <c r="D3053" s="52">
        <f t="shared" si="287"/>
        <v>2200</v>
      </c>
      <c r="E3053" s="52">
        <f t="shared" si="288"/>
        <v>1</v>
      </c>
      <c r="F3053" s="52"/>
      <c r="G3053" s="52"/>
      <c r="H3053" s="52"/>
      <c r="I3053" s="52"/>
      <c r="J3053" s="52"/>
      <c r="K3053" s="52"/>
      <c r="L3053" s="52"/>
      <c r="M3053" s="52"/>
      <c r="N3053" s="52"/>
      <c r="O3053" s="52"/>
      <c r="P3053" s="52"/>
      <c r="Q3053" s="52"/>
      <c r="R3053" s="52"/>
      <c r="S3053" s="52"/>
      <c r="T3053" s="52"/>
      <c r="U3053" s="52"/>
      <c r="V3053" s="52"/>
      <c r="W3053" s="52"/>
      <c r="X3053" s="52"/>
      <c r="Y3053" s="52"/>
      <c r="Z3053" s="52"/>
      <c r="AA3053" s="52"/>
      <c r="AB3053" s="52"/>
      <c r="AC3053" s="52"/>
      <c r="AD3053" s="52"/>
      <c r="AE3053" s="52"/>
      <c r="AF3053" s="52"/>
      <c r="AG3053" s="52"/>
      <c r="AH3053" s="52"/>
      <c r="AI3053" s="52"/>
      <c r="AJ3053" s="52"/>
      <c r="AK3053" s="52"/>
      <c r="AL3053" s="52"/>
      <c r="AM3053" s="52"/>
      <c r="AN3053" s="52"/>
    </row>
    <row r="3054" spans="1:40" x14ac:dyDescent="0.3">
      <c r="A3054" s="52">
        <v>3049</v>
      </c>
      <c r="B3054" s="52">
        <f>-bthan*500+(48+0.5)*bthan*1000/50</f>
        <v>2585</v>
      </c>
      <c r="C3054" s="52">
        <f t="shared" si="289"/>
        <v>410.00000000000023</v>
      </c>
      <c r="D3054" s="52">
        <f t="shared" si="287"/>
        <v>2200</v>
      </c>
      <c r="E3054" s="52">
        <f t="shared" si="288"/>
        <v>1</v>
      </c>
      <c r="F3054" s="52"/>
      <c r="G3054" s="52"/>
      <c r="H3054" s="52"/>
      <c r="I3054" s="52"/>
      <c r="J3054" s="52"/>
      <c r="K3054" s="52"/>
      <c r="L3054" s="52"/>
      <c r="M3054" s="52"/>
      <c r="N3054" s="52"/>
      <c r="O3054" s="52"/>
      <c r="P3054" s="52"/>
      <c r="Q3054" s="52"/>
      <c r="R3054" s="52"/>
      <c r="S3054" s="52"/>
      <c r="T3054" s="52"/>
      <c r="U3054" s="52"/>
      <c r="V3054" s="52"/>
      <c r="W3054" s="52"/>
      <c r="X3054" s="52"/>
      <c r="Y3054" s="52"/>
      <c r="Z3054" s="52"/>
      <c r="AA3054" s="52"/>
      <c r="AB3054" s="52"/>
      <c r="AC3054" s="52"/>
      <c r="AD3054" s="52"/>
      <c r="AE3054" s="52"/>
      <c r="AF3054" s="52"/>
      <c r="AG3054" s="52"/>
      <c r="AH3054" s="52"/>
      <c r="AI3054" s="52"/>
      <c r="AJ3054" s="52"/>
      <c r="AK3054" s="52"/>
      <c r="AL3054" s="52"/>
      <c r="AM3054" s="52"/>
      <c r="AN3054" s="52"/>
    </row>
    <row r="3055" spans="1:40" x14ac:dyDescent="0.3">
      <c r="A3055" s="52">
        <v>3050</v>
      </c>
      <c r="B3055" s="52">
        <f>-bthan*500+(49+0.5)*bthan*1000/50</f>
        <v>2695</v>
      </c>
      <c r="C3055" s="52">
        <f t="shared" si="289"/>
        <v>410.00000000000023</v>
      </c>
      <c r="D3055" s="52">
        <f t="shared" si="287"/>
        <v>2200</v>
      </c>
      <c r="E3055" s="52">
        <f t="shared" si="288"/>
        <v>0</v>
      </c>
      <c r="F3055" s="52"/>
      <c r="G3055" s="52"/>
      <c r="H3055" s="52"/>
      <c r="I3055" s="52"/>
      <c r="J3055" s="52"/>
      <c r="K3055" s="52"/>
      <c r="L3055" s="52"/>
      <c r="M3055" s="52"/>
      <c r="N3055" s="52"/>
      <c r="O3055" s="52"/>
      <c r="P3055" s="52"/>
      <c r="Q3055" s="52"/>
      <c r="R3055" s="52"/>
      <c r="S3055" s="52"/>
      <c r="T3055" s="52"/>
      <c r="U3055" s="52"/>
      <c r="V3055" s="52"/>
      <c r="W3055" s="52"/>
      <c r="X3055" s="52"/>
      <c r="Y3055" s="52"/>
      <c r="Z3055" s="52"/>
      <c r="AA3055" s="52"/>
      <c r="AB3055" s="52"/>
      <c r="AC3055" s="52"/>
      <c r="AD3055" s="52"/>
      <c r="AE3055" s="52"/>
      <c r="AF3055" s="52"/>
      <c r="AG3055" s="52"/>
      <c r="AH3055" s="52"/>
      <c r="AI3055" s="52"/>
      <c r="AJ3055" s="52"/>
      <c r="AK3055" s="52"/>
      <c r="AL3055" s="52"/>
      <c r="AM3055" s="52"/>
      <c r="AN3055" s="52"/>
    </row>
    <row r="3056" spans="1:40" x14ac:dyDescent="0.3">
      <c r="A3056" s="52">
        <v>3051</v>
      </c>
      <c r="B3056" s="52">
        <f>-bthan*500+(0+0.5)*bthan*1000/50</f>
        <v>-2695</v>
      </c>
      <c r="C3056" s="52">
        <f t="shared" ref="C3056:C3087" si="290">-hthan*500+(61+0.5)*hthan*1000/80</f>
        <v>430</v>
      </c>
      <c r="D3056" s="52">
        <f t="shared" si="287"/>
        <v>2200</v>
      </c>
      <c r="E3056" s="52">
        <f t="shared" si="288"/>
        <v>0</v>
      </c>
      <c r="F3056" s="52"/>
      <c r="G3056" s="52"/>
      <c r="H3056" s="52"/>
      <c r="I3056" s="52"/>
      <c r="J3056" s="52"/>
      <c r="K3056" s="52"/>
      <c r="L3056" s="52"/>
      <c r="M3056" s="52"/>
      <c r="N3056" s="52"/>
      <c r="O3056" s="52"/>
      <c r="P3056" s="52"/>
      <c r="Q3056" s="52"/>
      <c r="R3056" s="52"/>
      <c r="S3056" s="52"/>
      <c r="T3056" s="52"/>
      <c r="U3056" s="52"/>
      <c r="V3056" s="52"/>
      <c r="W3056" s="52"/>
      <c r="X3056" s="52"/>
      <c r="Y3056" s="52"/>
      <c r="Z3056" s="52"/>
      <c r="AA3056" s="52"/>
      <c r="AB3056" s="52"/>
      <c r="AC3056" s="52"/>
      <c r="AD3056" s="52"/>
      <c r="AE3056" s="52"/>
      <c r="AF3056" s="52"/>
      <c r="AG3056" s="52"/>
      <c r="AH3056" s="52"/>
      <c r="AI3056" s="52"/>
      <c r="AJ3056" s="52"/>
      <c r="AK3056" s="52"/>
      <c r="AL3056" s="52"/>
      <c r="AM3056" s="52"/>
      <c r="AN3056" s="52"/>
    </row>
    <row r="3057" spans="1:40" x14ac:dyDescent="0.3">
      <c r="A3057" s="52">
        <v>3052</v>
      </c>
      <c r="B3057" s="52">
        <f>-bthan*500+(1+0.5)*bthan*1000/50</f>
        <v>-2585</v>
      </c>
      <c r="C3057" s="52">
        <f t="shared" si="290"/>
        <v>430</v>
      </c>
      <c r="D3057" s="52">
        <f t="shared" si="287"/>
        <v>2200</v>
      </c>
      <c r="E3057" s="52">
        <f t="shared" si="288"/>
        <v>1</v>
      </c>
      <c r="F3057" s="52"/>
      <c r="G3057" s="52"/>
      <c r="H3057" s="52"/>
      <c r="I3057" s="52"/>
      <c r="J3057" s="52"/>
      <c r="K3057" s="52"/>
      <c r="L3057" s="52"/>
      <c r="M3057" s="52"/>
      <c r="N3057" s="52"/>
      <c r="O3057" s="52"/>
      <c r="P3057" s="52"/>
      <c r="Q3057" s="52"/>
      <c r="R3057" s="52"/>
      <c r="S3057" s="52"/>
      <c r="T3057" s="52"/>
      <c r="U3057" s="52"/>
      <c r="V3057" s="52"/>
      <c r="W3057" s="52"/>
      <c r="X3057" s="52"/>
      <c r="Y3057" s="52"/>
      <c r="Z3057" s="52"/>
      <c r="AA3057" s="52"/>
      <c r="AB3057" s="52"/>
      <c r="AC3057" s="52"/>
      <c r="AD3057" s="52"/>
      <c r="AE3057" s="52"/>
      <c r="AF3057" s="52"/>
      <c r="AG3057" s="52"/>
      <c r="AH3057" s="52"/>
      <c r="AI3057" s="52"/>
      <c r="AJ3057" s="52"/>
      <c r="AK3057" s="52"/>
      <c r="AL3057" s="52"/>
      <c r="AM3057" s="52"/>
      <c r="AN3057" s="52"/>
    </row>
    <row r="3058" spans="1:40" x14ac:dyDescent="0.3">
      <c r="A3058" s="52">
        <v>3053</v>
      </c>
      <c r="B3058" s="52">
        <f>-bthan*500+(2+0.5)*bthan*1000/50</f>
        <v>-2475</v>
      </c>
      <c r="C3058" s="52">
        <f t="shared" si="290"/>
        <v>430</v>
      </c>
      <c r="D3058" s="52">
        <f t="shared" si="287"/>
        <v>2200</v>
      </c>
      <c r="E3058" s="52">
        <f t="shared" si="288"/>
        <v>1</v>
      </c>
      <c r="F3058" s="52"/>
      <c r="G3058" s="52"/>
      <c r="H3058" s="52"/>
      <c r="I3058" s="52"/>
      <c r="J3058" s="52"/>
      <c r="K3058" s="52"/>
      <c r="L3058" s="52"/>
      <c r="M3058" s="52"/>
      <c r="N3058" s="52"/>
      <c r="O3058" s="52"/>
      <c r="P3058" s="52"/>
      <c r="Q3058" s="52"/>
      <c r="R3058" s="52"/>
      <c r="S3058" s="52"/>
      <c r="T3058" s="52"/>
      <c r="U3058" s="52"/>
      <c r="V3058" s="52"/>
      <c r="W3058" s="52"/>
      <c r="X3058" s="52"/>
      <c r="Y3058" s="52"/>
      <c r="Z3058" s="52"/>
      <c r="AA3058" s="52"/>
      <c r="AB3058" s="52"/>
      <c r="AC3058" s="52"/>
      <c r="AD3058" s="52"/>
      <c r="AE3058" s="52"/>
      <c r="AF3058" s="52"/>
      <c r="AG3058" s="52"/>
      <c r="AH3058" s="52"/>
      <c r="AI3058" s="52"/>
      <c r="AJ3058" s="52"/>
      <c r="AK3058" s="52"/>
      <c r="AL3058" s="52"/>
      <c r="AM3058" s="52"/>
      <c r="AN3058" s="52"/>
    </row>
    <row r="3059" spans="1:40" x14ac:dyDescent="0.3">
      <c r="A3059" s="52">
        <v>3054</v>
      </c>
      <c r="B3059" s="52">
        <f>-bthan*500+(3+0.5)*bthan*1000/50</f>
        <v>-2365</v>
      </c>
      <c r="C3059" s="52">
        <f t="shared" si="290"/>
        <v>430</v>
      </c>
      <c r="D3059" s="52">
        <f t="shared" si="287"/>
        <v>2200</v>
      </c>
      <c r="E3059" s="52">
        <f t="shared" si="288"/>
        <v>1</v>
      </c>
      <c r="F3059" s="52"/>
      <c r="G3059" s="52"/>
      <c r="H3059" s="52"/>
      <c r="I3059" s="52"/>
      <c r="J3059" s="52"/>
      <c r="K3059" s="52"/>
      <c r="L3059" s="52"/>
      <c r="M3059" s="52"/>
      <c r="N3059" s="52"/>
      <c r="O3059" s="52"/>
      <c r="P3059" s="52"/>
      <c r="Q3059" s="52"/>
      <c r="R3059" s="52"/>
      <c r="S3059" s="52"/>
      <c r="T3059" s="52"/>
      <c r="U3059" s="52"/>
      <c r="V3059" s="52"/>
      <c r="W3059" s="52"/>
      <c r="X3059" s="52"/>
      <c r="Y3059" s="52"/>
      <c r="Z3059" s="52"/>
      <c r="AA3059" s="52"/>
      <c r="AB3059" s="52"/>
      <c r="AC3059" s="52"/>
      <c r="AD3059" s="52"/>
      <c r="AE3059" s="52"/>
      <c r="AF3059" s="52"/>
      <c r="AG3059" s="52"/>
      <c r="AH3059" s="52"/>
      <c r="AI3059" s="52"/>
      <c r="AJ3059" s="52"/>
      <c r="AK3059" s="52"/>
      <c r="AL3059" s="52"/>
      <c r="AM3059" s="52"/>
      <c r="AN3059" s="52"/>
    </row>
    <row r="3060" spans="1:40" x14ac:dyDescent="0.3">
      <c r="A3060" s="52">
        <v>3055</v>
      </c>
      <c r="B3060" s="52">
        <f>-bthan*500+(4+0.5)*bthan*1000/50</f>
        <v>-2255</v>
      </c>
      <c r="C3060" s="52">
        <f t="shared" si="290"/>
        <v>430</v>
      </c>
      <c r="D3060" s="52">
        <f t="shared" si="287"/>
        <v>2200</v>
      </c>
      <c r="E3060" s="52">
        <f t="shared" si="288"/>
        <v>1</v>
      </c>
      <c r="F3060" s="52"/>
      <c r="G3060" s="52"/>
      <c r="H3060" s="52"/>
      <c r="I3060" s="52"/>
      <c r="J3060" s="52"/>
      <c r="K3060" s="52"/>
      <c r="L3060" s="52"/>
      <c r="M3060" s="52"/>
      <c r="N3060" s="52"/>
      <c r="O3060" s="52"/>
      <c r="P3060" s="52"/>
      <c r="Q3060" s="52"/>
      <c r="R3060" s="52"/>
      <c r="S3060" s="52"/>
      <c r="T3060" s="52"/>
      <c r="U3060" s="52"/>
      <c r="V3060" s="52"/>
      <c r="W3060" s="52"/>
      <c r="X3060" s="52"/>
      <c r="Y3060" s="52"/>
      <c r="Z3060" s="52"/>
      <c r="AA3060" s="52"/>
      <c r="AB3060" s="52"/>
      <c r="AC3060" s="52"/>
      <c r="AD3060" s="52"/>
      <c r="AE3060" s="52"/>
      <c r="AF3060" s="52"/>
      <c r="AG3060" s="52"/>
      <c r="AH3060" s="52"/>
      <c r="AI3060" s="52"/>
      <c r="AJ3060" s="52"/>
      <c r="AK3060" s="52"/>
      <c r="AL3060" s="52"/>
      <c r="AM3060" s="52"/>
      <c r="AN3060" s="52"/>
    </row>
    <row r="3061" spans="1:40" x14ac:dyDescent="0.3">
      <c r="A3061" s="52">
        <v>3056</v>
      </c>
      <c r="B3061" s="52">
        <f>-bthan*500+(5+0.5)*bthan*1000/50</f>
        <v>-2145</v>
      </c>
      <c r="C3061" s="52">
        <f t="shared" si="290"/>
        <v>430</v>
      </c>
      <c r="D3061" s="52">
        <f t="shared" si="287"/>
        <v>2200</v>
      </c>
      <c r="E3061" s="52">
        <f t="shared" si="288"/>
        <v>1</v>
      </c>
      <c r="F3061" s="52"/>
      <c r="G3061" s="52"/>
      <c r="H3061" s="52"/>
      <c r="I3061" s="52"/>
      <c r="J3061" s="52"/>
      <c r="K3061" s="52"/>
      <c r="L3061" s="52"/>
      <c r="M3061" s="52"/>
      <c r="N3061" s="52"/>
      <c r="O3061" s="52"/>
      <c r="P3061" s="52"/>
      <c r="Q3061" s="52"/>
      <c r="R3061" s="52"/>
      <c r="S3061" s="52"/>
      <c r="T3061" s="52"/>
      <c r="U3061" s="52"/>
      <c r="V3061" s="52"/>
      <c r="W3061" s="52"/>
      <c r="X3061" s="52"/>
      <c r="Y3061" s="52"/>
      <c r="Z3061" s="52"/>
      <c r="AA3061" s="52"/>
      <c r="AB3061" s="52"/>
      <c r="AC3061" s="52"/>
      <c r="AD3061" s="52"/>
      <c r="AE3061" s="52"/>
      <c r="AF3061" s="52"/>
      <c r="AG3061" s="52"/>
      <c r="AH3061" s="52"/>
      <c r="AI3061" s="52"/>
      <c r="AJ3061" s="52"/>
      <c r="AK3061" s="52"/>
      <c r="AL3061" s="52"/>
      <c r="AM3061" s="52"/>
      <c r="AN3061" s="52"/>
    </row>
    <row r="3062" spans="1:40" x14ac:dyDescent="0.3">
      <c r="A3062" s="52">
        <v>3057</v>
      </c>
      <c r="B3062" s="52">
        <f>-bthan*500+(6+0.5)*bthan*1000/50</f>
        <v>-2035</v>
      </c>
      <c r="C3062" s="52">
        <f t="shared" si="290"/>
        <v>430</v>
      </c>
      <c r="D3062" s="52">
        <f t="shared" si="287"/>
        <v>2200</v>
      </c>
      <c r="E3062" s="52">
        <f t="shared" si="288"/>
        <v>1</v>
      </c>
      <c r="F3062" s="52"/>
      <c r="G3062" s="52"/>
      <c r="H3062" s="52"/>
      <c r="I3062" s="52"/>
      <c r="J3062" s="52"/>
      <c r="K3062" s="52"/>
      <c r="L3062" s="52"/>
      <c r="M3062" s="52"/>
      <c r="N3062" s="52"/>
      <c r="O3062" s="52"/>
      <c r="P3062" s="52"/>
      <c r="Q3062" s="52"/>
      <c r="R3062" s="52"/>
      <c r="S3062" s="52"/>
      <c r="T3062" s="52"/>
      <c r="U3062" s="52"/>
      <c r="V3062" s="52"/>
      <c r="W3062" s="52"/>
      <c r="X3062" s="52"/>
      <c r="Y3062" s="52"/>
      <c r="Z3062" s="52"/>
      <c r="AA3062" s="52"/>
      <c r="AB3062" s="52"/>
      <c r="AC3062" s="52"/>
      <c r="AD3062" s="52"/>
      <c r="AE3062" s="52"/>
      <c r="AF3062" s="52"/>
      <c r="AG3062" s="52"/>
      <c r="AH3062" s="52"/>
      <c r="AI3062" s="52"/>
      <c r="AJ3062" s="52"/>
      <c r="AK3062" s="52"/>
      <c r="AL3062" s="52"/>
      <c r="AM3062" s="52"/>
      <c r="AN3062" s="52"/>
    </row>
    <row r="3063" spans="1:40" x14ac:dyDescent="0.3">
      <c r="A3063" s="52">
        <v>3058</v>
      </c>
      <c r="B3063" s="52">
        <f>-bthan*500+(7+0.5)*bthan*1000/50</f>
        <v>-1925</v>
      </c>
      <c r="C3063" s="52">
        <f t="shared" si="290"/>
        <v>430</v>
      </c>
      <c r="D3063" s="52">
        <f t="shared" si="287"/>
        <v>2200</v>
      </c>
      <c r="E3063" s="52">
        <f t="shared" si="288"/>
        <v>1</v>
      </c>
      <c r="F3063" s="52"/>
      <c r="G3063" s="52"/>
      <c r="H3063" s="52"/>
      <c r="I3063" s="52"/>
      <c r="J3063" s="52"/>
      <c r="K3063" s="52"/>
      <c r="L3063" s="52"/>
      <c r="M3063" s="52"/>
      <c r="N3063" s="52"/>
      <c r="O3063" s="52"/>
      <c r="P3063" s="52"/>
      <c r="Q3063" s="52"/>
      <c r="R3063" s="52"/>
      <c r="S3063" s="52"/>
      <c r="T3063" s="52"/>
      <c r="U3063" s="52"/>
      <c r="V3063" s="52"/>
      <c r="W3063" s="52"/>
      <c r="X3063" s="52"/>
      <c r="Y3063" s="52"/>
      <c r="Z3063" s="52"/>
      <c r="AA3063" s="52"/>
      <c r="AB3063" s="52"/>
      <c r="AC3063" s="52"/>
      <c r="AD3063" s="52"/>
      <c r="AE3063" s="52"/>
      <c r="AF3063" s="52"/>
      <c r="AG3063" s="52"/>
      <c r="AH3063" s="52"/>
      <c r="AI3063" s="52"/>
      <c r="AJ3063" s="52"/>
      <c r="AK3063" s="52"/>
      <c r="AL3063" s="52"/>
      <c r="AM3063" s="52"/>
      <c r="AN3063" s="52"/>
    </row>
    <row r="3064" spans="1:40" x14ac:dyDescent="0.3">
      <c r="A3064" s="52">
        <v>3059</v>
      </c>
      <c r="B3064" s="52">
        <f>-bthan*500+(8+0.5)*bthan*1000/50</f>
        <v>-1815</v>
      </c>
      <c r="C3064" s="52">
        <f t="shared" si="290"/>
        <v>430</v>
      </c>
      <c r="D3064" s="52">
        <f t="shared" si="287"/>
        <v>2200</v>
      </c>
      <c r="E3064" s="52">
        <f t="shared" si="288"/>
        <v>1</v>
      </c>
      <c r="F3064" s="52"/>
      <c r="G3064" s="52"/>
      <c r="H3064" s="52"/>
      <c r="I3064" s="52"/>
      <c r="J3064" s="52"/>
      <c r="K3064" s="52"/>
      <c r="L3064" s="52"/>
      <c r="M3064" s="52"/>
      <c r="N3064" s="52"/>
      <c r="O3064" s="52"/>
      <c r="P3064" s="52"/>
      <c r="Q3064" s="52"/>
      <c r="R3064" s="52"/>
      <c r="S3064" s="52"/>
      <c r="T3064" s="52"/>
      <c r="U3064" s="52"/>
      <c r="V3064" s="52"/>
      <c r="W3064" s="52"/>
      <c r="X3064" s="52"/>
      <c r="Y3064" s="52"/>
      <c r="Z3064" s="52"/>
      <c r="AA3064" s="52"/>
      <c r="AB3064" s="52"/>
      <c r="AC3064" s="52"/>
      <c r="AD3064" s="52"/>
      <c r="AE3064" s="52"/>
      <c r="AF3064" s="52"/>
      <c r="AG3064" s="52"/>
      <c r="AH3064" s="52"/>
      <c r="AI3064" s="52"/>
      <c r="AJ3064" s="52"/>
      <c r="AK3064" s="52"/>
      <c r="AL3064" s="52"/>
      <c r="AM3064" s="52"/>
      <c r="AN3064" s="52"/>
    </row>
    <row r="3065" spans="1:40" x14ac:dyDescent="0.3">
      <c r="A3065" s="52">
        <v>3060</v>
      </c>
      <c r="B3065" s="52">
        <f>-bthan*500+(9+0.5)*bthan*1000/50</f>
        <v>-1705</v>
      </c>
      <c r="C3065" s="52">
        <f t="shared" si="290"/>
        <v>430</v>
      </c>
      <c r="D3065" s="52">
        <f t="shared" si="287"/>
        <v>2200</v>
      </c>
      <c r="E3065" s="52">
        <f t="shared" si="288"/>
        <v>1</v>
      </c>
      <c r="F3065" s="52"/>
      <c r="G3065" s="52"/>
      <c r="H3065" s="52"/>
      <c r="I3065" s="52"/>
      <c r="J3065" s="52"/>
      <c r="K3065" s="52"/>
      <c r="L3065" s="52"/>
      <c r="M3065" s="52"/>
      <c r="N3065" s="52"/>
      <c r="O3065" s="52"/>
      <c r="P3065" s="52"/>
      <c r="Q3065" s="52"/>
      <c r="R3065" s="52"/>
      <c r="S3065" s="52"/>
      <c r="T3065" s="52"/>
      <c r="U3065" s="52"/>
      <c r="V3065" s="52"/>
      <c r="W3065" s="52"/>
      <c r="X3065" s="52"/>
      <c r="Y3065" s="52"/>
      <c r="Z3065" s="52"/>
      <c r="AA3065" s="52"/>
      <c r="AB3065" s="52"/>
      <c r="AC3065" s="52"/>
      <c r="AD3065" s="52"/>
      <c r="AE3065" s="52"/>
      <c r="AF3065" s="52"/>
      <c r="AG3065" s="52"/>
      <c r="AH3065" s="52"/>
      <c r="AI3065" s="52"/>
      <c r="AJ3065" s="52"/>
      <c r="AK3065" s="52"/>
      <c r="AL3065" s="52"/>
      <c r="AM3065" s="52"/>
      <c r="AN3065" s="52"/>
    </row>
    <row r="3066" spans="1:40" x14ac:dyDescent="0.3">
      <c r="A3066" s="52">
        <v>3061</v>
      </c>
      <c r="B3066" s="52">
        <f>-bthan*500+(10+0.5)*bthan*1000/50</f>
        <v>-1595</v>
      </c>
      <c r="C3066" s="52">
        <f t="shared" si="290"/>
        <v>430</v>
      </c>
      <c r="D3066" s="52">
        <f t="shared" si="287"/>
        <v>2200</v>
      </c>
      <c r="E3066" s="52">
        <f t="shared" si="288"/>
        <v>1</v>
      </c>
      <c r="F3066" s="52"/>
      <c r="G3066" s="52"/>
      <c r="H3066" s="52"/>
      <c r="I3066" s="52"/>
      <c r="J3066" s="52"/>
      <c r="K3066" s="52"/>
      <c r="L3066" s="52"/>
      <c r="M3066" s="52"/>
      <c r="N3066" s="52"/>
      <c r="O3066" s="52"/>
      <c r="P3066" s="52"/>
      <c r="Q3066" s="52"/>
      <c r="R3066" s="52"/>
      <c r="S3066" s="52"/>
      <c r="T3066" s="52"/>
      <c r="U3066" s="52"/>
      <c r="V3066" s="52"/>
      <c r="W3066" s="52"/>
      <c r="X3066" s="52"/>
      <c r="Y3066" s="52"/>
      <c r="Z3066" s="52"/>
      <c r="AA3066" s="52"/>
      <c r="AB3066" s="52"/>
      <c r="AC3066" s="52"/>
      <c r="AD3066" s="52"/>
      <c r="AE3066" s="52"/>
      <c r="AF3066" s="52"/>
      <c r="AG3066" s="52"/>
      <c r="AH3066" s="52"/>
      <c r="AI3066" s="52"/>
      <c r="AJ3066" s="52"/>
      <c r="AK3066" s="52"/>
      <c r="AL3066" s="52"/>
      <c r="AM3066" s="52"/>
      <c r="AN3066" s="52"/>
    </row>
    <row r="3067" spans="1:40" x14ac:dyDescent="0.3">
      <c r="A3067" s="52">
        <v>3062</v>
      </c>
      <c r="B3067" s="52">
        <f>-bthan*500+(11+0.5)*bthan*1000/50</f>
        <v>-1485</v>
      </c>
      <c r="C3067" s="52">
        <f t="shared" si="290"/>
        <v>430</v>
      </c>
      <c r="D3067" s="52">
        <f t="shared" si="287"/>
        <v>2200</v>
      </c>
      <c r="E3067" s="52">
        <f t="shared" si="288"/>
        <v>1</v>
      </c>
      <c r="F3067" s="52"/>
      <c r="G3067" s="52"/>
      <c r="H3067" s="52"/>
      <c r="I3067" s="52"/>
      <c r="J3067" s="52"/>
      <c r="K3067" s="52"/>
      <c r="L3067" s="52"/>
      <c r="M3067" s="52"/>
      <c r="N3067" s="52"/>
      <c r="O3067" s="52"/>
      <c r="P3067" s="52"/>
      <c r="Q3067" s="52"/>
      <c r="R3067" s="52"/>
      <c r="S3067" s="52"/>
      <c r="T3067" s="52"/>
      <c r="U3067" s="52"/>
      <c r="V3067" s="52"/>
      <c r="W3067" s="52"/>
      <c r="X3067" s="52"/>
      <c r="Y3067" s="52"/>
      <c r="Z3067" s="52"/>
      <c r="AA3067" s="52"/>
      <c r="AB3067" s="52"/>
      <c r="AC3067" s="52"/>
      <c r="AD3067" s="52"/>
      <c r="AE3067" s="52"/>
      <c r="AF3067" s="52"/>
      <c r="AG3067" s="52"/>
      <c r="AH3067" s="52"/>
      <c r="AI3067" s="52"/>
      <c r="AJ3067" s="52"/>
      <c r="AK3067" s="52"/>
      <c r="AL3067" s="52"/>
      <c r="AM3067" s="52"/>
      <c r="AN3067" s="52"/>
    </row>
    <row r="3068" spans="1:40" x14ac:dyDescent="0.3">
      <c r="A3068" s="52">
        <v>3063</v>
      </c>
      <c r="B3068" s="52">
        <f>-bthan*500+(12+0.5)*bthan*1000/50</f>
        <v>-1375</v>
      </c>
      <c r="C3068" s="52">
        <f t="shared" si="290"/>
        <v>430</v>
      </c>
      <c r="D3068" s="52">
        <f t="shared" si="287"/>
        <v>2200</v>
      </c>
      <c r="E3068" s="52">
        <f t="shared" si="288"/>
        <v>1</v>
      </c>
      <c r="F3068" s="52"/>
      <c r="G3068" s="52"/>
      <c r="H3068" s="52"/>
      <c r="I3068" s="52"/>
      <c r="J3068" s="52"/>
      <c r="K3068" s="52"/>
      <c r="L3068" s="52"/>
      <c r="M3068" s="52"/>
      <c r="N3068" s="52"/>
      <c r="O3068" s="52"/>
      <c r="P3068" s="52"/>
      <c r="Q3068" s="52"/>
      <c r="R3068" s="52"/>
      <c r="S3068" s="52"/>
      <c r="T3068" s="52"/>
      <c r="U3068" s="52"/>
      <c r="V3068" s="52"/>
      <c r="W3068" s="52"/>
      <c r="X3068" s="52"/>
      <c r="Y3068" s="52"/>
      <c r="Z3068" s="52"/>
      <c r="AA3068" s="52"/>
      <c r="AB3068" s="52"/>
      <c r="AC3068" s="52"/>
      <c r="AD3068" s="52"/>
      <c r="AE3068" s="52"/>
      <c r="AF3068" s="52"/>
      <c r="AG3068" s="52"/>
      <c r="AH3068" s="52"/>
      <c r="AI3068" s="52"/>
      <c r="AJ3068" s="52"/>
      <c r="AK3068" s="52"/>
      <c r="AL3068" s="52"/>
      <c r="AM3068" s="52"/>
      <c r="AN3068" s="52"/>
    </row>
    <row r="3069" spans="1:40" x14ac:dyDescent="0.3">
      <c r="A3069" s="52">
        <v>3064</v>
      </c>
      <c r="B3069" s="52">
        <f>-bthan*500+(13+0.5)*bthan*1000/50</f>
        <v>-1265</v>
      </c>
      <c r="C3069" s="52">
        <f t="shared" si="290"/>
        <v>430</v>
      </c>
      <c r="D3069" s="52">
        <f t="shared" si="287"/>
        <v>2200</v>
      </c>
      <c r="E3069" s="52">
        <f t="shared" si="288"/>
        <v>1</v>
      </c>
      <c r="F3069" s="52"/>
      <c r="G3069" s="52"/>
      <c r="H3069" s="52"/>
      <c r="I3069" s="52"/>
      <c r="J3069" s="52"/>
      <c r="K3069" s="52"/>
      <c r="L3069" s="52"/>
      <c r="M3069" s="52"/>
      <c r="N3069" s="52"/>
      <c r="O3069" s="52"/>
      <c r="P3069" s="52"/>
      <c r="Q3069" s="52"/>
      <c r="R3069" s="52"/>
      <c r="S3069" s="52"/>
      <c r="T3069" s="52"/>
      <c r="U3069" s="52"/>
      <c r="V3069" s="52"/>
      <c r="W3069" s="52"/>
      <c r="X3069" s="52"/>
      <c r="Y3069" s="52"/>
      <c r="Z3069" s="52"/>
      <c r="AA3069" s="52"/>
      <c r="AB3069" s="52"/>
      <c r="AC3069" s="52"/>
      <c r="AD3069" s="52"/>
      <c r="AE3069" s="52"/>
      <c r="AF3069" s="52"/>
      <c r="AG3069" s="52"/>
      <c r="AH3069" s="52"/>
      <c r="AI3069" s="52"/>
      <c r="AJ3069" s="52"/>
      <c r="AK3069" s="52"/>
      <c r="AL3069" s="52"/>
      <c r="AM3069" s="52"/>
      <c r="AN3069" s="52"/>
    </row>
    <row r="3070" spans="1:40" x14ac:dyDescent="0.3">
      <c r="A3070" s="52">
        <v>3065</v>
      </c>
      <c r="B3070" s="52">
        <f>-bthan*500+(14+0.5)*bthan*1000/50</f>
        <v>-1155</v>
      </c>
      <c r="C3070" s="52">
        <f t="shared" si="290"/>
        <v>430</v>
      </c>
      <c r="D3070" s="52">
        <f t="shared" si="287"/>
        <v>2200</v>
      </c>
      <c r="E3070" s="52">
        <f t="shared" si="288"/>
        <v>1</v>
      </c>
      <c r="F3070" s="52"/>
      <c r="G3070" s="52"/>
      <c r="H3070" s="52"/>
      <c r="I3070" s="52"/>
      <c r="J3070" s="52"/>
      <c r="K3070" s="52"/>
      <c r="L3070" s="52"/>
      <c r="M3070" s="52"/>
      <c r="N3070" s="52"/>
      <c r="O3070" s="52"/>
      <c r="P3070" s="52"/>
      <c r="Q3070" s="52"/>
      <c r="R3070" s="52"/>
      <c r="S3070" s="52"/>
      <c r="T3070" s="52"/>
      <c r="U3070" s="52"/>
      <c r="V3070" s="52"/>
      <c r="W3070" s="52"/>
      <c r="X3070" s="52"/>
      <c r="Y3070" s="52"/>
      <c r="Z3070" s="52"/>
      <c r="AA3070" s="52"/>
      <c r="AB3070" s="52"/>
      <c r="AC3070" s="52"/>
      <c r="AD3070" s="52"/>
      <c r="AE3070" s="52"/>
      <c r="AF3070" s="52"/>
      <c r="AG3070" s="52"/>
      <c r="AH3070" s="52"/>
      <c r="AI3070" s="52"/>
      <c r="AJ3070" s="52"/>
      <c r="AK3070" s="52"/>
      <c r="AL3070" s="52"/>
      <c r="AM3070" s="52"/>
      <c r="AN3070" s="52"/>
    </row>
    <row r="3071" spans="1:40" x14ac:dyDescent="0.3">
      <c r="A3071" s="52">
        <v>3066</v>
      </c>
      <c r="B3071" s="52">
        <f>-bthan*500+(15+0.5)*bthan*1000/50</f>
        <v>-1045</v>
      </c>
      <c r="C3071" s="52">
        <f t="shared" si="290"/>
        <v>430</v>
      </c>
      <c r="D3071" s="52">
        <f t="shared" si="287"/>
        <v>2200</v>
      </c>
      <c r="E3071" s="52">
        <f t="shared" si="288"/>
        <v>1</v>
      </c>
      <c r="F3071" s="52"/>
      <c r="G3071" s="52"/>
      <c r="H3071" s="52"/>
      <c r="I3071" s="52"/>
      <c r="J3071" s="52"/>
      <c r="K3071" s="52"/>
      <c r="L3071" s="52"/>
      <c r="M3071" s="52"/>
      <c r="N3071" s="52"/>
      <c r="O3071" s="52"/>
      <c r="P3071" s="52"/>
      <c r="Q3071" s="52"/>
      <c r="R3071" s="52"/>
      <c r="S3071" s="52"/>
      <c r="T3071" s="52"/>
      <c r="U3071" s="52"/>
      <c r="V3071" s="52"/>
      <c r="W3071" s="52"/>
      <c r="X3071" s="52"/>
      <c r="Y3071" s="52"/>
      <c r="Z3071" s="52"/>
      <c r="AA3071" s="52"/>
      <c r="AB3071" s="52"/>
      <c r="AC3071" s="52"/>
      <c r="AD3071" s="52"/>
      <c r="AE3071" s="52"/>
      <c r="AF3071" s="52"/>
      <c r="AG3071" s="52"/>
      <c r="AH3071" s="52"/>
      <c r="AI3071" s="52"/>
      <c r="AJ3071" s="52"/>
      <c r="AK3071" s="52"/>
      <c r="AL3071" s="52"/>
      <c r="AM3071" s="52"/>
      <c r="AN3071" s="52"/>
    </row>
    <row r="3072" spans="1:40" x14ac:dyDescent="0.3">
      <c r="A3072" s="52">
        <v>3067</v>
      </c>
      <c r="B3072" s="52">
        <f>-bthan*500+(16+0.5)*bthan*1000/50</f>
        <v>-935</v>
      </c>
      <c r="C3072" s="52">
        <f t="shared" si="290"/>
        <v>430</v>
      </c>
      <c r="D3072" s="52">
        <f t="shared" si="287"/>
        <v>2200</v>
      </c>
      <c r="E3072" s="52">
        <f t="shared" si="288"/>
        <v>1</v>
      </c>
      <c r="F3072" s="52"/>
      <c r="G3072" s="52"/>
      <c r="H3072" s="52"/>
      <c r="I3072" s="52"/>
      <c r="J3072" s="52"/>
      <c r="K3072" s="52"/>
      <c r="L3072" s="52"/>
      <c r="M3072" s="52"/>
      <c r="N3072" s="52"/>
      <c r="O3072" s="52"/>
      <c r="P3072" s="52"/>
      <c r="Q3072" s="52"/>
      <c r="R3072" s="52"/>
      <c r="S3072" s="52"/>
      <c r="T3072" s="52"/>
      <c r="U3072" s="52"/>
      <c r="V3072" s="52"/>
      <c r="W3072" s="52"/>
      <c r="X3072" s="52"/>
      <c r="Y3072" s="52"/>
      <c r="Z3072" s="52"/>
      <c r="AA3072" s="52"/>
      <c r="AB3072" s="52"/>
      <c r="AC3072" s="52"/>
      <c r="AD3072" s="52"/>
      <c r="AE3072" s="52"/>
      <c r="AF3072" s="52"/>
      <c r="AG3072" s="52"/>
      <c r="AH3072" s="52"/>
      <c r="AI3072" s="52"/>
      <c r="AJ3072" s="52"/>
      <c r="AK3072" s="52"/>
      <c r="AL3072" s="52"/>
      <c r="AM3072" s="52"/>
      <c r="AN3072" s="52"/>
    </row>
    <row r="3073" spans="1:40" x14ac:dyDescent="0.3">
      <c r="A3073" s="52">
        <v>3068</v>
      </c>
      <c r="B3073" s="52">
        <f>-bthan*500+(17+0.5)*bthan*1000/50</f>
        <v>-825</v>
      </c>
      <c r="C3073" s="52">
        <f t="shared" si="290"/>
        <v>430</v>
      </c>
      <c r="D3073" s="52">
        <f t="shared" si="287"/>
        <v>2200</v>
      </c>
      <c r="E3073" s="52">
        <f t="shared" si="288"/>
        <v>1</v>
      </c>
      <c r="F3073" s="52"/>
      <c r="G3073" s="52"/>
      <c r="H3073" s="52"/>
      <c r="I3073" s="52"/>
      <c r="J3073" s="52"/>
      <c r="K3073" s="52"/>
      <c r="L3073" s="52"/>
      <c r="M3073" s="52"/>
      <c r="N3073" s="52"/>
      <c r="O3073" s="52"/>
      <c r="P3073" s="52"/>
      <c r="Q3073" s="52"/>
      <c r="R3073" s="52"/>
      <c r="S3073" s="52"/>
      <c r="T3073" s="52"/>
      <c r="U3073" s="52"/>
      <c r="V3073" s="52"/>
      <c r="W3073" s="52"/>
      <c r="X3073" s="52"/>
      <c r="Y3073" s="52"/>
      <c r="Z3073" s="52"/>
      <c r="AA3073" s="52"/>
      <c r="AB3073" s="52"/>
      <c r="AC3073" s="52"/>
      <c r="AD3073" s="52"/>
      <c r="AE3073" s="52"/>
      <c r="AF3073" s="52"/>
      <c r="AG3073" s="52"/>
      <c r="AH3073" s="52"/>
      <c r="AI3073" s="52"/>
      <c r="AJ3073" s="52"/>
      <c r="AK3073" s="52"/>
      <c r="AL3073" s="52"/>
      <c r="AM3073" s="52"/>
      <c r="AN3073" s="52"/>
    </row>
    <row r="3074" spans="1:40" x14ac:dyDescent="0.3">
      <c r="A3074" s="52">
        <v>3069</v>
      </c>
      <c r="B3074" s="52">
        <f>-bthan*500+(18+0.5)*bthan*1000/50</f>
        <v>-715</v>
      </c>
      <c r="C3074" s="52">
        <f t="shared" si="290"/>
        <v>430</v>
      </c>
      <c r="D3074" s="52">
        <f t="shared" si="287"/>
        <v>2200</v>
      </c>
      <c r="E3074" s="52">
        <f t="shared" si="288"/>
        <v>1</v>
      </c>
      <c r="F3074" s="52"/>
      <c r="G3074" s="52"/>
      <c r="H3074" s="52"/>
      <c r="I3074" s="52"/>
      <c r="J3074" s="52"/>
      <c r="K3074" s="52"/>
      <c r="L3074" s="52"/>
      <c r="M3074" s="52"/>
      <c r="N3074" s="52"/>
      <c r="O3074" s="52"/>
      <c r="P3074" s="52"/>
      <c r="Q3074" s="52"/>
      <c r="R3074" s="52"/>
      <c r="S3074" s="52"/>
      <c r="T3074" s="52"/>
      <c r="U3074" s="52"/>
      <c r="V3074" s="52"/>
      <c r="W3074" s="52"/>
      <c r="X3074" s="52"/>
      <c r="Y3074" s="52"/>
      <c r="Z3074" s="52"/>
      <c r="AA3074" s="52"/>
      <c r="AB3074" s="52"/>
      <c r="AC3074" s="52"/>
      <c r="AD3074" s="52"/>
      <c r="AE3074" s="52"/>
      <c r="AF3074" s="52"/>
      <c r="AG3074" s="52"/>
      <c r="AH3074" s="52"/>
      <c r="AI3074" s="52"/>
      <c r="AJ3074" s="52"/>
      <c r="AK3074" s="52"/>
      <c r="AL3074" s="52"/>
      <c r="AM3074" s="52"/>
      <c r="AN3074" s="52"/>
    </row>
    <row r="3075" spans="1:40" x14ac:dyDescent="0.3">
      <c r="A3075" s="52">
        <v>3070</v>
      </c>
      <c r="B3075" s="52">
        <f>-bthan*500+(19+0.5)*bthan*1000/50</f>
        <v>-605</v>
      </c>
      <c r="C3075" s="52">
        <f t="shared" si="290"/>
        <v>430</v>
      </c>
      <c r="D3075" s="52">
        <f t="shared" si="287"/>
        <v>2200</v>
      </c>
      <c r="E3075" s="52">
        <f t="shared" si="288"/>
        <v>1</v>
      </c>
      <c r="F3075" s="52"/>
      <c r="G3075" s="52"/>
      <c r="H3075" s="52"/>
      <c r="I3075" s="52"/>
      <c r="J3075" s="52"/>
      <c r="K3075" s="52"/>
      <c r="L3075" s="52"/>
      <c r="M3075" s="52"/>
      <c r="N3075" s="52"/>
      <c r="O3075" s="52"/>
      <c r="P3075" s="52"/>
      <c r="Q3075" s="52"/>
      <c r="R3075" s="52"/>
      <c r="S3075" s="52"/>
      <c r="T3075" s="52"/>
      <c r="U3075" s="52"/>
      <c r="V3075" s="52"/>
      <c r="W3075" s="52"/>
      <c r="X3075" s="52"/>
      <c r="Y3075" s="52"/>
      <c r="Z3075" s="52"/>
      <c r="AA3075" s="52"/>
      <c r="AB3075" s="52"/>
      <c r="AC3075" s="52"/>
      <c r="AD3075" s="52"/>
      <c r="AE3075" s="52"/>
      <c r="AF3075" s="52"/>
      <c r="AG3075" s="52"/>
      <c r="AH3075" s="52"/>
      <c r="AI3075" s="52"/>
      <c r="AJ3075" s="52"/>
      <c r="AK3075" s="52"/>
      <c r="AL3075" s="52"/>
      <c r="AM3075" s="52"/>
      <c r="AN3075" s="52"/>
    </row>
    <row r="3076" spans="1:40" x14ac:dyDescent="0.3">
      <c r="A3076" s="52">
        <v>3071</v>
      </c>
      <c r="B3076" s="52">
        <f>-bthan*500+(20+0.5)*bthan*1000/50</f>
        <v>-495</v>
      </c>
      <c r="C3076" s="52">
        <f t="shared" si="290"/>
        <v>430</v>
      </c>
      <c r="D3076" s="52">
        <f t="shared" si="287"/>
        <v>2200</v>
      </c>
      <c r="E3076" s="52">
        <f t="shared" si="288"/>
        <v>1</v>
      </c>
      <c r="F3076" s="52"/>
      <c r="G3076" s="52"/>
      <c r="H3076" s="52"/>
      <c r="I3076" s="52"/>
      <c r="J3076" s="52"/>
      <c r="K3076" s="52"/>
      <c r="L3076" s="52"/>
      <c r="M3076" s="52"/>
      <c r="N3076" s="52"/>
      <c r="O3076" s="52"/>
      <c r="P3076" s="52"/>
      <c r="Q3076" s="52"/>
      <c r="R3076" s="52"/>
      <c r="S3076" s="52"/>
      <c r="T3076" s="52"/>
      <c r="U3076" s="52"/>
      <c r="V3076" s="52"/>
      <c r="W3076" s="52"/>
      <c r="X3076" s="52"/>
      <c r="Y3076" s="52"/>
      <c r="Z3076" s="52"/>
      <c r="AA3076" s="52"/>
      <c r="AB3076" s="52"/>
      <c r="AC3076" s="52"/>
      <c r="AD3076" s="52"/>
      <c r="AE3076" s="52"/>
      <c r="AF3076" s="52"/>
      <c r="AG3076" s="52"/>
      <c r="AH3076" s="52"/>
      <c r="AI3076" s="52"/>
      <c r="AJ3076" s="52"/>
      <c r="AK3076" s="52"/>
      <c r="AL3076" s="52"/>
      <c r="AM3076" s="52"/>
      <c r="AN3076" s="52"/>
    </row>
    <row r="3077" spans="1:40" x14ac:dyDescent="0.3">
      <c r="A3077" s="52">
        <v>3072</v>
      </c>
      <c r="B3077" s="52">
        <f>-bthan*500+(21+0.5)*bthan*1000/50</f>
        <v>-385</v>
      </c>
      <c r="C3077" s="52">
        <f t="shared" si="290"/>
        <v>430</v>
      </c>
      <c r="D3077" s="52">
        <f t="shared" si="287"/>
        <v>2200</v>
      </c>
      <c r="E3077" s="52">
        <f t="shared" si="288"/>
        <v>1</v>
      </c>
      <c r="F3077" s="52"/>
      <c r="G3077" s="52"/>
      <c r="H3077" s="52"/>
      <c r="I3077" s="52"/>
      <c r="J3077" s="52"/>
      <c r="K3077" s="52"/>
      <c r="L3077" s="52"/>
      <c r="M3077" s="52"/>
      <c r="N3077" s="52"/>
      <c r="O3077" s="52"/>
      <c r="P3077" s="52"/>
      <c r="Q3077" s="52"/>
      <c r="R3077" s="52"/>
      <c r="S3077" s="52"/>
      <c r="T3077" s="52"/>
      <c r="U3077" s="52"/>
      <c r="V3077" s="52"/>
      <c r="W3077" s="52"/>
      <c r="X3077" s="52"/>
      <c r="Y3077" s="52"/>
      <c r="Z3077" s="52"/>
      <c r="AA3077" s="52"/>
      <c r="AB3077" s="52"/>
      <c r="AC3077" s="52"/>
      <c r="AD3077" s="52"/>
      <c r="AE3077" s="52"/>
      <c r="AF3077" s="52"/>
      <c r="AG3077" s="52"/>
      <c r="AH3077" s="52"/>
      <c r="AI3077" s="52"/>
      <c r="AJ3077" s="52"/>
      <c r="AK3077" s="52"/>
      <c r="AL3077" s="52"/>
      <c r="AM3077" s="52"/>
      <c r="AN3077" s="52"/>
    </row>
    <row r="3078" spans="1:40" x14ac:dyDescent="0.3">
      <c r="A3078" s="52">
        <v>3073</v>
      </c>
      <c r="B3078" s="52">
        <f>-bthan*500+(22+0.5)*bthan*1000/50</f>
        <v>-275</v>
      </c>
      <c r="C3078" s="52">
        <f t="shared" si="290"/>
        <v>430</v>
      </c>
      <c r="D3078" s="52">
        <f t="shared" ref="D3078:D3141" si="291">bthan*1000/50*hthan*1000/80</f>
        <v>2200</v>
      </c>
      <c r="E3078" s="52">
        <f t="shared" ref="E3078:E3141" si="292">IF(shp=1,--(OR(ABS(B3078)&lt;=MAX(0,(bthan-hthan)*500),(ABS(B3078)-MAX(0,(bthan-hthan)*500))^2+C3078^2&lt;=(hthan*500)^2)),--(AND(ABS(B3078)&lt;=bthan*500,ABS(C3078)&lt;=hthan*500,OR(ABS(B3078)&lt;=bthan*500-cch*1000,ABS(C3078)&lt;=hthan*500-cch*1000,(bthan*500-ABS(B3078))+(hthan*500-ABS(C3078))&gt;=cch*1000))))</f>
        <v>1</v>
      </c>
      <c r="F3078" s="52"/>
      <c r="G3078" s="52"/>
      <c r="H3078" s="52"/>
      <c r="I3078" s="52"/>
      <c r="J3078" s="52"/>
      <c r="K3078" s="52"/>
      <c r="L3078" s="52"/>
      <c r="M3078" s="52"/>
      <c r="N3078" s="52"/>
      <c r="O3078" s="52"/>
      <c r="P3078" s="52"/>
      <c r="Q3078" s="52"/>
      <c r="R3078" s="52"/>
      <c r="S3078" s="52"/>
      <c r="T3078" s="52"/>
      <c r="U3078" s="52"/>
      <c r="V3078" s="52"/>
      <c r="W3078" s="52"/>
      <c r="X3078" s="52"/>
      <c r="Y3078" s="52"/>
      <c r="Z3078" s="52"/>
      <c r="AA3078" s="52"/>
      <c r="AB3078" s="52"/>
      <c r="AC3078" s="52"/>
      <c r="AD3078" s="52"/>
      <c r="AE3078" s="52"/>
      <c r="AF3078" s="52"/>
      <c r="AG3078" s="52"/>
      <c r="AH3078" s="52"/>
      <c r="AI3078" s="52"/>
      <c r="AJ3078" s="52"/>
      <c r="AK3078" s="52"/>
      <c r="AL3078" s="52"/>
      <c r="AM3078" s="52"/>
      <c r="AN3078" s="52"/>
    </row>
    <row r="3079" spans="1:40" x14ac:dyDescent="0.3">
      <c r="A3079" s="52">
        <v>3074</v>
      </c>
      <c r="B3079" s="52">
        <f>-bthan*500+(23+0.5)*bthan*1000/50</f>
        <v>-165</v>
      </c>
      <c r="C3079" s="52">
        <f t="shared" si="290"/>
        <v>430</v>
      </c>
      <c r="D3079" s="52">
        <f t="shared" si="291"/>
        <v>2200</v>
      </c>
      <c r="E3079" s="52">
        <f t="shared" si="292"/>
        <v>1</v>
      </c>
      <c r="F3079" s="52"/>
      <c r="G3079" s="52"/>
      <c r="H3079" s="52"/>
      <c r="I3079" s="52"/>
      <c r="J3079" s="52"/>
      <c r="K3079" s="52"/>
      <c r="L3079" s="52"/>
      <c r="M3079" s="52"/>
      <c r="N3079" s="52"/>
      <c r="O3079" s="52"/>
      <c r="P3079" s="52"/>
      <c r="Q3079" s="52"/>
      <c r="R3079" s="52"/>
      <c r="S3079" s="52"/>
      <c r="T3079" s="52"/>
      <c r="U3079" s="52"/>
      <c r="V3079" s="52"/>
      <c r="W3079" s="52"/>
      <c r="X3079" s="52"/>
      <c r="Y3079" s="52"/>
      <c r="Z3079" s="52"/>
      <c r="AA3079" s="52"/>
      <c r="AB3079" s="52"/>
      <c r="AC3079" s="52"/>
      <c r="AD3079" s="52"/>
      <c r="AE3079" s="52"/>
      <c r="AF3079" s="52"/>
      <c r="AG3079" s="52"/>
      <c r="AH3079" s="52"/>
      <c r="AI3079" s="52"/>
      <c r="AJ3079" s="52"/>
      <c r="AK3079" s="52"/>
      <c r="AL3079" s="52"/>
      <c r="AM3079" s="52"/>
      <c r="AN3079" s="52"/>
    </row>
    <row r="3080" spans="1:40" x14ac:dyDescent="0.3">
      <c r="A3080" s="52">
        <v>3075</v>
      </c>
      <c r="B3080" s="52">
        <f>-bthan*500+(24+0.5)*bthan*1000/50</f>
        <v>-55</v>
      </c>
      <c r="C3080" s="52">
        <f t="shared" si="290"/>
        <v>430</v>
      </c>
      <c r="D3080" s="52">
        <f t="shared" si="291"/>
        <v>2200</v>
      </c>
      <c r="E3080" s="52">
        <f t="shared" si="292"/>
        <v>1</v>
      </c>
      <c r="F3080" s="52"/>
      <c r="G3080" s="52"/>
      <c r="H3080" s="52"/>
      <c r="I3080" s="52"/>
      <c r="J3080" s="52"/>
      <c r="K3080" s="52"/>
      <c r="L3080" s="52"/>
      <c r="M3080" s="52"/>
      <c r="N3080" s="52"/>
      <c r="O3080" s="52"/>
      <c r="P3080" s="52"/>
      <c r="Q3080" s="52"/>
      <c r="R3080" s="52"/>
      <c r="S3080" s="52"/>
      <c r="T3080" s="52"/>
      <c r="U3080" s="52"/>
      <c r="V3080" s="52"/>
      <c r="W3080" s="52"/>
      <c r="X3080" s="52"/>
      <c r="Y3080" s="52"/>
      <c r="Z3080" s="52"/>
      <c r="AA3080" s="52"/>
      <c r="AB3080" s="52"/>
      <c r="AC3080" s="52"/>
      <c r="AD3080" s="52"/>
      <c r="AE3080" s="52"/>
      <c r="AF3080" s="52"/>
      <c r="AG3080" s="52"/>
      <c r="AH3080" s="52"/>
      <c r="AI3080" s="52"/>
      <c r="AJ3080" s="52"/>
      <c r="AK3080" s="52"/>
      <c r="AL3080" s="52"/>
      <c r="AM3080" s="52"/>
      <c r="AN3080" s="52"/>
    </row>
    <row r="3081" spans="1:40" x14ac:dyDescent="0.3">
      <c r="A3081" s="52">
        <v>3076</v>
      </c>
      <c r="B3081" s="52">
        <f>-bthan*500+(25+0.5)*bthan*1000/50</f>
        <v>55</v>
      </c>
      <c r="C3081" s="52">
        <f t="shared" si="290"/>
        <v>430</v>
      </c>
      <c r="D3081" s="52">
        <f t="shared" si="291"/>
        <v>2200</v>
      </c>
      <c r="E3081" s="52">
        <f t="shared" si="292"/>
        <v>1</v>
      </c>
      <c r="F3081" s="52"/>
      <c r="G3081" s="52"/>
      <c r="H3081" s="52"/>
      <c r="I3081" s="52"/>
      <c r="J3081" s="52"/>
      <c r="K3081" s="52"/>
      <c r="L3081" s="52"/>
      <c r="M3081" s="52"/>
      <c r="N3081" s="52"/>
      <c r="O3081" s="52"/>
      <c r="P3081" s="52"/>
      <c r="Q3081" s="52"/>
      <c r="R3081" s="52"/>
      <c r="S3081" s="52"/>
      <c r="T3081" s="52"/>
      <c r="U3081" s="52"/>
      <c r="V3081" s="52"/>
      <c r="W3081" s="52"/>
      <c r="X3081" s="52"/>
      <c r="Y3081" s="52"/>
      <c r="Z3081" s="52"/>
      <c r="AA3081" s="52"/>
      <c r="AB3081" s="52"/>
      <c r="AC3081" s="52"/>
      <c r="AD3081" s="52"/>
      <c r="AE3081" s="52"/>
      <c r="AF3081" s="52"/>
      <c r="AG3081" s="52"/>
      <c r="AH3081" s="52"/>
      <c r="AI3081" s="52"/>
      <c r="AJ3081" s="52"/>
      <c r="AK3081" s="52"/>
      <c r="AL3081" s="52"/>
      <c r="AM3081" s="52"/>
      <c r="AN3081" s="52"/>
    </row>
    <row r="3082" spans="1:40" x14ac:dyDescent="0.3">
      <c r="A3082" s="52">
        <v>3077</v>
      </c>
      <c r="B3082" s="52">
        <f>-bthan*500+(26+0.5)*bthan*1000/50</f>
        <v>165</v>
      </c>
      <c r="C3082" s="52">
        <f t="shared" si="290"/>
        <v>430</v>
      </c>
      <c r="D3082" s="52">
        <f t="shared" si="291"/>
        <v>2200</v>
      </c>
      <c r="E3082" s="52">
        <f t="shared" si="292"/>
        <v>1</v>
      </c>
      <c r="F3082" s="52"/>
      <c r="G3082" s="52"/>
      <c r="H3082" s="52"/>
      <c r="I3082" s="52"/>
      <c r="J3082" s="52"/>
      <c r="K3082" s="52"/>
      <c r="L3082" s="52"/>
      <c r="M3082" s="52"/>
      <c r="N3082" s="52"/>
      <c r="O3082" s="52"/>
      <c r="P3082" s="52"/>
      <c r="Q3082" s="52"/>
      <c r="R3082" s="52"/>
      <c r="S3082" s="52"/>
      <c r="T3082" s="52"/>
      <c r="U3082" s="52"/>
      <c r="V3082" s="52"/>
      <c r="W3082" s="52"/>
      <c r="X3082" s="52"/>
      <c r="Y3082" s="52"/>
      <c r="Z3082" s="52"/>
      <c r="AA3082" s="52"/>
      <c r="AB3082" s="52"/>
      <c r="AC3082" s="52"/>
      <c r="AD3082" s="52"/>
      <c r="AE3082" s="52"/>
      <c r="AF3082" s="52"/>
      <c r="AG3082" s="52"/>
      <c r="AH3082" s="52"/>
      <c r="AI3082" s="52"/>
      <c r="AJ3082" s="52"/>
      <c r="AK3082" s="52"/>
      <c r="AL3082" s="52"/>
      <c r="AM3082" s="52"/>
      <c r="AN3082" s="52"/>
    </row>
    <row r="3083" spans="1:40" x14ac:dyDescent="0.3">
      <c r="A3083" s="52">
        <v>3078</v>
      </c>
      <c r="B3083" s="52">
        <f>-bthan*500+(27+0.5)*bthan*1000/50</f>
        <v>275</v>
      </c>
      <c r="C3083" s="52">
        <f t="shared" si="290"/>
        <v>430</v>
      </c>
      <c r="D3083" s="52">
        <f t="shared" si="291"/>
        <v>2200</v>
      </c>
      <c r="E3083" s="52">
        <f t="shared" si="292"/>
        <v>1</v>
      </c>
      <c r="F3083" s="52"/>
      <c r="G3083" s="52"/>
      <c r="H3083" s="52"/>
      <c r="I3083" s="52"/>
      <c r="J3083" s="52"/>
      <c r="K3083" s="52"/>
      <c r="L3083" s="52"/>
      <c r="M3083" s="52"/>
      <c r="N3083" s="52"/>
      <c r="O3083" s="52"/>
      <c r="P3083" s="52"/>
      <c r="Q3083" s="52"/>
      <c r="R3083" s="52"/>
      <c r="S3083" s="52"/>
      <c r="T3083" s="52"/>
      <c r="U3083" s="52"/>
      <c r="V3083" s="52"/>
      <c r="W3083" s="52"/>
      <c r="X3083" s="52"/>
      <c r="Y3083" s="52"/>
      <c r="Z3083" s="52"/>
      <c r="AA3083" s="52"/>
      <c r="AB3083" s="52"/>
      <c r="AC3083" s="52"/>
      <c r="AD3083" s="52"/>
      <c r="AE3083" s="52"/>
      <c r="AF3083" s="52"/>
      <c r="AG3083" s="52"/>
      <c r="AH3083" s="52"/>
      <c r="AI3083" s="52"/>
      <c r="AJ3083" s="52"/>
      <c r="AK3083" s="52"/>
      <c r="AL3083" s="52"/>
      <c r="AM3083" s="52"/>
      <c r="AN3083" s="52"/>
    </row>
    <row r="3084" spans="1:40" x14ac:dyDescent="0.3">
      <c r="A3084" s="52">
        <v>3079</v>
      </c>
      <c r="B3084" s="52">
        <f>-bthan*500+(28+0.5)*bthan*1000/50</f>
        <v>385</v>
      </c>
      <c r="C3084" s="52">
        <f t="shared" si="290"/>
        <v>430</v>
      </c>
      <c r="D3084" s="52">
        <f t="shared" si="291"/>
        <v>2200</v>
      </c>
      <c r="E3084" s="52">
        <f t="shared" si="292"/>
        <v>1</v>
      </c>
      <c r="F3084" s="52"/>
      <c r="G3084" s="52"/>
      <c r="H3084" s="52"/>
      <c r="I3084" s="52"/>
      <c r="J3084" s="52"/>
      <c r="K3084" s="52"/>
      <c r="L3084" s="52"/>
      <c r="M3084" s="52"/>
      <c r="N3084" s="52"/>
      <c r="O3084" s="52"/>
      <c r="P3084" s="52"/>
      <c r="Q3084" s="52"/>
      <c r="R3084" s="52"/>
      <c r="S3084" s="52"/>
      <c r="T3084" s="52"/>
      <c r="U3084" s="52"/>
      <c r="V3084" s="52"/>
      <c r="W3084" s="52"/>
      <c r="X3084" s="52"/>
      <c r="Y3084" s="52"/>
      <c r="Z3084" s="52"/>
      <c r="AA3084" s="52"/>
      <c r="AB3084" s="52"/>
      <c r="AC3084" s="52"/>
      <c r="AD3084" s="52"/>
      <c r="AE3084" s="52"/>
      <c r="AF3084" s="52"/>
      <c r="AG3084" s="52"/>
      <c r="AH3084" s="52"/>
      <c r="AI3084" s="52"/>
      <c r="AJ3084" s="52"/>
      <c r="AK3084" s="52"/>
      <c r="AL3084" s="52"/>
      <c r="AM3084" s="52"/>
      <c r="AN3084" s="52"/>
    </row>
    <row r="3085" spans="1:40" x14ac:dyDescent="0.3">
      <c r="A3085" s="52">
        <v>3080</v>
      </c>
      <c r="B3085" s="52">
        <f>-bthan*500+(29+0.5)*bthan*1000/50</f>
        <v>495</v>
      </c>
      <c r="C3085" s="52">
        <f t="shared" si="290"/>
        <v>430</v>
      </c>
      <c r="D3085" s="52">
        <f t="shared" si="291"/>
        <v>2200</v>
      </c>
      <c r="E3085" s="52">
        <f t="shared" si="292"/>
        <v>1</v>
      </c>
      <c r="F3085" s="52"/>
      <c r="G3085" s="52"/>
      <c r="H3085" s="52"/>
      <c r="I3085" s="52"/>
      <c r="J3085" s="52"/>
      <c r="K3085" s="52"/>
      <c r="L3085" s="52"/>
      <c r="M3085" s="52"/>
      <c r="N3085" s="52"/>
      <c r="O3085" s="52"/>
      <c r="P3085" s="52"/>
      <c r="Q3085" s="52"/>
      <c r="R3085" s="52"/>
      <c r="S3085" s="52"/>
      <c r="T3085" s="52"/>
      <c r="U3085" s="52"/>
      <c r="V3085" s="52"/>
      <c r="W3085" s="52"/>
      <c r="X3085" s="52"/>
      <c r="Y3085" s="52"/>
      <c r="Z3085" s="52"/>
      <c r="AA3085" s="52"/>
      <c r="AB3085" s="52"/>
      <c r="AC3085" s="52"/>
      <c r="AD3085" s="52"/>
      <c r="AE3085" s="52"/>
      <c r="AF3085" s="52"/>
      <c r="AG3085" s="52"/>
      <c r="AH3085" s="52"/>
      <c r="AI3085" s="52"/>
      <c r="AJ3085" s="52"/>
      <c r="AK3085" s="52"/>
      <c r="AL3085" s="52"/>
      <c r="AM3085" s="52"/>
      <c r="AN3085" s="52"/>
    </row>
    <row r="3086" spans="1:40" x14ac:dyDescent="0.3">
      <c r="A3086" s="52">
        <v>3081</v>
      </c>
      <c r="B3086" s="52">
        <f>-bthan*500+(30+0.5)*bthan*1000/50</f>
        <v>605</v>
      </c>
      <c r="C3086" s="52">
        <f t="shared" si="290"/>
        <v>430</v>
      </c>
      <c r="D3086" s="52">
        <f t="shared" si="291"/>
        <v>2200</v>
      </c>
      <c r="E3086" s="52">
        <f t="shared" si="292"/>
        <v>1</v>
      </c>
      <c r="F3086" s="52"/>
      <c r="G3086" s="52"/>
      <c r="H3086" s="52"/>
      <c r="I3086" s="52"/>
      <c r="J3086" s="52"/>
      <c r="K3086" s="52"/>
      <c r="L3086" s="52"/>
      <c r="M3086" s="52"/>
      <c r="N3086" s="52"/>
      <c r="O3086" s="52"/>
      <c r="P3086" s="52"/>
      <c r="Q3086" s="52"/>
      <c r="R3086" s="52"/>
      <c r="S3086" s="52"/>
      <c r="T3086" s="52"/>
      <c r="U3086" s="52"/>
      <c r="V3086" s="52"/>
      <c r="W3086" s="52"/>
      <c r="X3086" s="52"/>
      <c r="Y3086" s="52"/>
      <c r="Z3086" s="52"/>
      <c r="AA3086" s="52"/>
      <c r="AB3086" s="52"/>
      <c r="AC3086" s="52"/>
      <c r="AD3086" s="52"/>
      <c r="AE3086" s="52"/>
      <c r="AF3086" s="52"/>
      <c r="AG3086" s="52"/>
      <c r="AH3086" s="52"/>
      <c r="AI3086" s="52"/>
      <c r="AJ3086" s="52"/>
      <c r="AK3086" s="52"/>
      <c r="AL3086" s="52"/>
      <c r="AM3086" s="52"/>
      <c r="AN3086" s="52"/>
    </row>
    <row r="3087" spans="1:40" x14ac:dyDescent="0.3">
      <c r="A3087" s="52">
        <v>3082</v>
      </c>
      <c r="B3087" s="52">
        <f>-bthan*500+(31+0.5)*bthan*1000/50</f>
        <v>715</v>
      </c>
      <c r="C3087" s="52">
        <f t="shared" si="290"/>
        <v>430</v>
      </c>
      <c r="D3087" s="52">
        <f t="shared" si="291"/>
        <v>2200</v>
      </c>
      <c r="E3087" s="52">
        <f t="shared" si="292"/>
        <v>1</v>
      </c>
      <c r="F3087" s="52"/>
      <c r="G3087" s="52"/>
      <c r="H3087" s="52"/>
      <c r="I3087" s="52"/>
      <c r="J3087" s="52"/>
      <c r="K3087" s="52"/>
      <c r="L3087" s="52"/>
      <c r="M3087" s="52"/>
      <c r="N3087" s="52"/>
      <c r="O3087" s="52"/>
      <c r="P3087" s="52"/>
      <c r="Q3087" s="52"/>
      <c r="R3087" s="52"/>
      <c r="S3087" s="52"/>
      <c r="T3087" s="52"/>
      <c r="U3087" s="52"/>
      <c r="V3087" s="52"/>
      <c r="W3087" s="52"/>
      <c r="X3087" s="52"/>
      <c r="Y3087" s="52"/>
      <c r="Z3087" s="52"/>
      <c r="AA3087" s="52"/>
      <c r="AB3087" s="52"/>
      <c r="AC3087" s="52"/>
      <c r="AD3087" s="52"/>
      <c r="AE3087" s="52"/>
      <c r="AF3087" s="52"/>
      <c r="AG3087" s="52"/>
      <c r="AH3087" s="52"/>
      <c r="AI3087" s="52"/>
      <c r="AJ3087" s="52"/>
      <c r="AK3087" s="52"/>
      <c r="AL3087" s="52"/>
      <c r="AM3087" s="52"/>
      <c r="AN3087" s="52"/>
    </row>
    <row r="3088" spans="1:40" x14ac:dyDescent="0.3">
      <c r="A3088" s="52">
        <v>3083</v>
      </c>
      <c r="B3088" s="52">
        <f>-bthan*500+(32+0.5)*bthan*1000/50</f>
        <v>825</v>
      </c>
      <c r="C3088" s="52">
        <f t="shared" ref="C3088:C3105" si="293">-hthan*500+(61+0.5)*hthan*1000/80</f>
        <v>430</v>
      </c>
      <c r="D3088" s="52">
        <f t="shared" si="291"/>
        <v>2200</v>
      </c>
      <c r="E3088" s="52">
        <f t="shared" si="292"/>
        <v>1</v>
      </c>
      <c r="F3088" s="52"/>
      <c r="G3088" s="52"/>
      <c r="H3088" s="52"/>
      <c r="I3088" s="52"/>
      <c r="J3088" s="52"/>
      <c r="K3088" s="52"/>
      <c r="L3088" s="52"/>
      <c r="M3088" s="52"/>
      <c r="N3088" s="52"/>
      <c r="O3088" s="52"/>
      <c r="P3088" s="52"/>
      <c r="Q3088" s="52"/>
      <c r="R3088" s="52"/>
      <c r="S3088" s="52"/>
      <c r="T3088" s="52"/>
      <c r="U3088" s="52"/>
      <c r="V3088" s="52"/>
      <c r="W3088" s="52"/>
      <c r="X3088" s="52"/>
      <c r="Y3088" s="52"/>
      <c r="Z3088" s="52"/>
      <c r="AA3088" s="52"/>
      <c r="AB3088" s="52"/>
      <c r="AC3088" s="52"/>
      <c r="AD3088" s="52"/>
      <c r="AE3088" s="52"/>
      <c r="AF3088" s="52"/>
      <c r="AG3088" s="52"/>
      <c r="AH3088" s="52"/>
      <c r="AI3088" s="52"/>
      <c r="AJ3088" s="52"/>
      <c r="AK3088" s="52"/>
      <c r="AL3088" s="52"/>
      <c r="AM3088" s="52"/>
      <c r="AN3088" s="52"/>
    </row>
    <row r="3089" spans="1:40" x14ac:dyDescent="0.3">
      <c r="A3089" s="52">
        <v>3084</v>
      </c>
      <c r="B3089" s="52">
        <f>-bthan*500+(33+0.5)*bthan*1000/50</f>
        <v>935</v>
      </c>
      <c r="C3089" s="52">
        <f t="shared" si="293"/>
        <v>430</v>
      </c>
      <c r="D3089" s="52">
        <f t="shared" si="291"/>
        <v>2200</v>
      </c>
      <c r="E3089" s="52">
        <f t="shared" si="292"/>
        <v>1</v>
      </c>
      <c r="F3089" s="52"/>
      <c r="G3089" s="52"/>
      <c r="H3089" s="52"/>
      <c r="I3089" s="52"/>
      <c r="J3089" s="52"/>
      <c r="K3089" s="52"/>
      <c r="L3089" s="52"/>
      <c r="M3089" s="52"/>
      <c r="N3089" s="52"/>
      <c r="O3089" s="52"/>
      <c r="P3089" s="52"/>
      <c r="Q3089" s="52"/>
      <c r="R3089" s="52"/>
      <c r="S3089" s="52"/>
      <c r="T3089" s="52"/>
      <c r="U3089" s="52"/>
      <c r="V3089" s="52"/>
      <c r="W3089" s="52"/>
      <c r="X3089" s="52"/>
      <c r="Y3089" s="52"/>
      <c r="Z3089" s="52"/>
      <c r="AA3089" s="52"/>
      <c r="AB3089" s="52"/>
      <c r="AC3089" s="52"/>
      <c r="AD3089" s="52"/>
      <c r="AE3089" s="52"/>
      <c r="AF3089" s="52"/>
      <c r="AG3089" s="52"/>
      <c r="AH3089" s="52"/>
      <c r="AI3089" s="52"/>
      <c r="AJ3089" s="52"/>
      <c r="AK3089" s="52"/>
      <c r="AL3089" s="52"/>
      <c r="AM3089" s="52"/>
      <c r="AN3089" s="52"/>
    </row>
    <row r="3090" spans="1:40" x14ac:dyDescent="0.3">
      <c r="A3090" s="52">
        <v>3085</v>
      </c>
      <c r="B3090" s="52">
        <f>-bthan*500+(34+0.5)*bthan*1000/50</f>
        <v>1045</v>
      </c>
      <c r="C3090" s="52">
        <f t="shared" si="293"/>
        <v>430</v>
      </c>
      <c r="D3090" s="52">
        <f t="shared" si="291"/>
        <v>2200</v>
      </c>
      <c r="E3090" s="52">
        <f t="shared" si="292"/>
        <v>1</v>
      </c>
      <c r="F3090" s="52"/>
      <c r="G3090" s="52"/>
      <c r="H3090" s="52"/>
      <c r="I3090" s="52"/>
      <c r="J3090" s="52"/>
      <c r="K3090" s="52"/>
      <c r="L3090" s="52"/>
      <c r="M3090" s="52"/>
      <c r="N3090" s="52"/>
      <c r="O3090" s="52"/>
      <c r="P3090" s="52"/>
      <c r="Q3090" s="52"/>
      <c r="R3090" s="52"/>
      <c r="S3090" s="52"/>
      <c r="T3090" s="52"/>
      <c r="U3090" s="52"/>
      <c r="V3090" s="52"/>
      <c r="W3090" s="52"/>
      <c r="X3090" s="52"/>
      <c r="Y3090" s="52"/>
      <c r="Z3090" s="52"/>
      <c r="AA3090" s="52"/>
      <c r="AB3090" s="52"/>
      <c r="AC3090" s="52"/>
      <c r="AD3090" s="52"/>
      <c r="AE3090" s="52"/>
      <c r="AF3090" s="52"/>
      <c r="AG3090" s="52"/>
      <c r="AH3090" s="52"/>
      <c r="AI3090" s="52"/>
      <c r="AJ3090" s="52"/>
      <c r="AK3090" s="52"/>
      <c r="AL3090" s="52"/>
      <c r="AM3090" s="52"/>
      <c r="AN3090" s="52"/>
    </row>
    <row r="3091" spans="1:40" x14ac:dyDescent="0.3">
      <c r="A3091" s="52">
        <v>3086</v>
      </c>
      <c r="B3091" s="52">
        <f>-bthan*500+(35+0.5)*bthan*1000/50</f>
        <v>1155</v>
      </c>
      <c r="C3091" s="52">
        <f t="shared" si="293"/>
        <v>430</v>
      </c>
      <c r="D3091" s="52">
        <f t="shared" si="291"/>
        <v>2200</v>
      </c>
      <c r="E3091" s="52">
        <f t="shared" si="292"/>
        <v>1</v>
      </c>
      <c r="F3091" s="52"/>
      <c r="G3091" s="52"/>
      <c r="H3091" s="52"/>
      <c r="I3091" s="52"/>
      <c r="J3091" s="52"/>
      <c r="K3091" s="52"/>
      <c r="L3091" s="52"/>
      <c r="M3091" s="52"/>
      <c r="N3091" s="52"/>
      <c r="O3091" s="52"/>
      <c r="P3091" s="52"/>
      <c r="Q3091" s="52"/>
      <c r="R3091" s="52"/>
      <c r="S3091" s="52"/>
      <c r="T3091" s="52"/>
      <c r="U3091" s="52"/>
      <c r="V3091" s="52"/>
      <c r="W3091" s="52"/>
      <c r="X3091" s="52"/>
      <c r="Y3091" s="52"/>
      <c r="Z3091" s="52"/>
      <c r="AA3091" s="52"/>
      <c r="AB3091" s="52"/>
      <c r="AC3091" s="52"/>
      <c r="AD3091" s="52"/>
      <c r="AE3091" s="52"/>
      <c r="AF3091" s="52"/>
      <c r="AG3091" s="52"/>
      <c r="AH3091" s="52"/>
      <c r="AI3091" s="52"/>
      <c r="AJ3091" s="52"/>
      <c r="AK3091" s="52"/>
      <c r="AL3091" s="52"/>
      <c r="AM3091" s="52"/>
      <c r="AN3091" s="52"/>
    </row>
    <row r="3092" spans="1:40" x14ac:dyDescent="0.3">
      <c r="A3092" s="52">
        <v>3087</v>
      </c>
      <c r="B3092" s="52">
        <f>-bthan*500+(36+0.5)*bthan*1000/50</f>
        <v>1265</v>
      </c>
      <c r="C3092" s="52">
        <f t="shared" si="293"/>
        <v>430</v>
      </c>
      <c r="D3092" s="52">
        <f t="shared" si="291"/>
        <v>2200</v>
      </c>
      <c r="E3092" s="52">
        <f t="shared" si="292"/>
        <v>1</v>
      </c>
      <c r="F3092" s="52"/>
      <c r="G3092" s="52"/>
      <c r="H3092" s="52"/>
      <c r="I3092" s="52"/>
      <c r="J3092" s="52"/>
      <c r="K3092" s="52"/>
      <c r="L3092" s="52"/>
      <c r="M3092" s="52"/>
      <c r="N3092" s="52"/>
      <c r="O3092" s="52"/>
      <c r="P3092" s="52"/>
      <c r="Q3092" s="52"/>
      <c r="R3092" s="52"/>
      <c r="S3092" s="52"/>
      <c r="T3092" s="52"/>
      <c r="U3092" s="52"/>
      <c r="V3092" s="52"/>
      <c r="W3092" s="52"/>
      <c r="X3092" s="52"/>
      <c r="Y3092" s="52"/>
      <c r="Z3092" s="52"/>
      <c r="AA3092" s="52"/>
      <c r="AB3092" s="52"/>
      <c r="AC3092" s="52"/>
      <c r="AD3092" s="52"/>
      <c r="AE3092" s="52"/>
      <c r="AF3092" s="52"/>
      <c r="AG3092" s="52"/>
      <c r="AH3092" s="52"/>
      <c r="AI3092" s="52"/>
      <c r="AJ3092" s="52"/>
      <c r="AK3092" s="52"/>
      <c r="AL3092" s="52"/>
      <c r="AM3092" s="52"/>
      <c r="AN3092" s="52"/>
    </row>
    <row r="3093" spans="1:40" x14ac:dyDescent="0.3">
      <c r="A3093" s="52">
        <v>3088</v>
      </c>
      <c r="B3093" s="52">
        <f>-bthan*500+(37+0.5)*bthan*1000/50</f>
        <v>1375</v>
      </c>
      <c r="C3093" s="52">
        <f t="shared" si="293"/>
        <v>430</v>
      </c>
      <c r="D3093" s="52">
        <f t="shared" si="291"/>
        <v>2200</v>
      </c>
      <c r="E3093" s="52">
        <f t="shared" si="292"/>
        <v>1</v>
      </c>
      <c r="F3093" s="52"/>
      <c r="G3093" s="52"/>
      <c r="H3093" s="52"/>
      <c r="I3093" s="52"/>
      <c r="J3093" s="52"/>
      <c r="K3093" s="52"/>
      <c r="L3093" s="52"/>
      <c r="M3093" s="52"/>
      <c r="N3093" s="52"/>
      <c r="O3093" s="52"/>
      <c r="P3093" s="52"/>
      <c r="Q3093" s="52"/>
      <c r="R3093" s="52"/>
      <c r="S3093" s="52"/>
      <c r="T3093" s="52"/>
      <c r="U3093" s="52"/>
      <c r="V3093" s="52"/>
      <c r="W3093" s="52"/>
      <c r="X3093" s="52"/>
      <c r="Y3093" s="52"/>
      <c r="Z3093" s="52"/>
      <c r="AA3093" s="52"/>
      <c r="AB3093" s="52"/>
      <c r="AC3093" s="52"/>
      <c r="AD3093" s="52"/>
      <c r="AE3093" s="52"/>
      <c r="AF3093" s="52"/>
      <c r="AG3093" s="52"/>
      <c r="AH3093" s="52"/>
      <c r="AI3093" s="52"/>
      <c r="AJ3093" s="52"/>
      <c r="AK3093" s="52"/>
      <c r="AL3093" s="52"/>
      <c r="AM3093" s="52"/>
      <c r="AN3093" s="52"/>
    </row>
    <row r="3094" spans="1:40" x14ac:dyDescent="0.3">
      <c r="A3094" s="52">
        <v>3089</v>
      </c>
      <c r="B3094" s="52">
        <f>-bthan*500+(38+0.5)*bthan*1000/50</f>
        <v>1485</v>
      </c>
      <c r="C3094" s="52">
        <f t="shared" si="293"/>
        <v>430</v>
      </c>
      <c r="D3094" s="52">
        <f t="shared" si="291"/>
        <v>2200</v>
      </c>
      <c r="E3094" s="52">
        <f t="shared" si="292"/>
        <v>1</v>
      </c>
      <c r="F3094" s="52"/>
      <c r="G3094" s="52"/>
      <c r="H3094" s="52"/>
      <c r="I3094" s="52"/>
      <c r="J3094" s="52"/>
      <c r="K3094" s="52"/>
      <c r="L3094" s="52"/>
      <c r="M3094" s="52"/>
      <c r="N3094" s="52"/>
      <c r="O3094" s="52"/>
      <c r="P3094" s="52"/>
      <c r="Q3094" s="52"/>
      <c r="R3094" s="52"/>
      <c r="S3094" s="52"/>
      <c r="T3094" s="52"/>
      <c r="U3094" s="52"/>
      <c r="V3094" s="52"/>
      <c r="W3094" s="52"/>
      <c r="X3094" s="52"/>
      <c r="Y3094" s="52"/>
      <c r="Z3094" s="52"/>
      <c r="AA3094" s="52"/>
      <c r="AB3094" s="52"/>
      <c r="AC3094" s="52"/>
      <c r="AD3094" s="52"/>
      <c r="AE3094" s="52"/>
      <c r="AF3094" s="52"/>
      <c r="AG3094" s="52"/>
      <c r="AH3094" s="52"/>
      <c r="AI3094" s="52"/>
      <c r="AJ3094" s="52"/>
      <c r="AK3094" s="52"/>
      <c r="AL3094" s="52"/>
      <c r="AM3094" s="52"/>
      <c r="AN3094" s="52"/>
    </row>
    <row r="3095" spans="1:40" x14ac:dyDescent="0.3">
      <c r="A3095" s="52">
        <v>3090</v>
      </c>
      <c r="B3095" s="52">
        <f>-bthan*500+(39+0.5)*bthan*1000/50</f>
        <v>1595</v>
      </c>
      <c r="C3095" s="52">
        <f t="shared" si="293"/>
        <v>430</v>
      </c>
      <c r="D3095" s="52">
        <f t="shared" si="291"/>
        <v>2200</v>
      </c>
      <c r="E3095" s="52">
        <f t="shared" si="292"/>
        <v>1</v>
      </c>
      <c r="F3095" s="52"/>
      <c r="G3095" s="52"/>
      <c r="H3095" s="52"/>
      <c r="I3095" s="52"/>
      <c r="J3095" s="52"/>
      <c r="K3095" s="52"/>
      <c r="L3095" s="52"/>
      <c r="M3095" s="52"/>
      <c r="N3095" s="52"/>
      <c r="O3095" s="52"/>
      <c r="P3095" s="52"/>
      <c r="Q3095" s="52"/>
      <c r="R3095" s="52"/>
      <c r="S3095" s="52"/>
      <c r="T3095" s="52"/>
      <c r="U3095" s="52"/>
      <c r="V3095" s="52"/>
      <c r="W3095" s="52"/>
      <c r="X3095" s="52"/>
      <c r="Y3095" s="52"/>
      <c r="Z3095" s="52"/>
      <c r="AA3095" s="52"/>
      <c r="AB3095" s="52"/>
      <c r="AC3095" s="52"/>
      <c r="AD3095" s="52"/>
      <c r="AE3095" s="52"/>
      <c r="AF3095" s="52"/>
      <c r="AG3095" s="52"/>
      <c r="AH3095" s="52"/>
      <c r="AI3095" s="52"/>
      <c r="AJ3095" s="52"/>
      <c r="AK3095" s="52"/>
      <c r="AL3095" s="52"/>
      <c r="AM3095" s="52"/>
      <c r="AN3095" s="52"/>
    </row>
    <row r="3096" spans="1:40" x14ac:dyDescent="0.3">
      <c r="A3096" s="52">
        <v>3091</v>
      </c>
      <c r="B3096" s="52">
        <f>-bthan*500+(40+0.5)*bthan*1000/50</f>
        <v>1705</v>
      </c>
      <c r="C3096" s="52">
        <f t="shared" si="293"/>
        <v>430</v>
      </c>
      <c r="D3096" s="52">
        <f t="shared" si="291"/>
        <v>2200</v>
      </c>
      <c r="E3096" s="52">
        <f t="shared" si="292"/>
        <v>1</v>
      </c>
      <c r="F3096" s="52"/>
      <c r="G3096" s="52"/>
      <c r="H3096" s="52"/>
      <c r="I3096" s="52"/>
      <c r="J3096" s="52"/>
      <c r="K3096" s="52"/>
      <c r="L3096" s="52"/>
      <c r="M3096" s="52"/>
      <c r="N3096" s="52"/>
      <c r="O3096" s="52"/>
      <c r="P3096" s="52"/>
      <c r="Q3096" s="52"/>
      <c r="R3096" s="52"/>
      <c r="S3096" s="52"/>
      <c r="T3096" s="52"/>
      <c r="U3096" s="52"/>
      <c r="V3096" s="52"/>
      <c r="W3096" s="52"/>
      <c r="X3096" s="52"/>
      <c r="Y3096" s="52"/>
      <c r="Z3096" s="52"/>
      <c r="AA3096" s="52"/>
      <c r="AB3096" s="52"/>
      <c r="AC3096" s="52"/>
      <c r="AD3096" s="52"/>
      <c r="AE3096" s="52"/>
      <c r="AF3096" s="52"/>
      <c r="AG3096" s="52"/>
      <c r="AH3096" s="52"/>
      <c r="AI3096" s="52"/>
      <c r="AJ3096" s="52"/>
      <c r="AK3096" s="52"/>
      <c r="AL3096" s="52"/>
      <c r="AM3096" s="52"/>
      <c r="AN3096" s="52"/>
    </row>
    <row r="3097" spans="1:40" x14ac:dyDescent="0.3">
      <c r="A3097" s="52">
        <v>3092</v>
      </c>
      <c r="B3097" s="52">
        <f>-bthan*500+(41+0.5)*bthan*1000/50</f>
        <v>1815</v>
      </c>
      <c r="C3097" s="52">
        <f t="shared" si="293"/>
        <v>430</v>
      </c>
      <c r="D3097" s="52">
        <f t="shared" si="291"/>
        <v>2200</v>
      </c>
      <c r="E3097" s="52">
        <f t="shared" si="292"/>
        <v>1</v>
      </c>
      <c r="F3097" s="52"/>
      <c r="G3097" s="52"/>
      <c r="H3097" s="52"/>
      <c r="I3097" s="52"/>
      <c r="J3097" s="52"/>
      <c r="K3097" s="52"/>
      <c r="L3097" s="52"/>
      <c r="M3097" s="52"/>
      <c r="N3097" s="52"/>
      <c r="O3097" s="52"/>
      <c r="P3097" s="52"/>
      <c r="Q3097" s="52"/>
      <c r="R3097" s="52"/>
      <c r="S3097" s="52"/>
      <c r="T3097" s="52"/>
      <c r="U3097" s="52"/>
      <c r="V3097" s="52"/>
      <c r="W3097" s="52"/>
      <c r="X3097" s="52"/>
      <c r="Y3097" s="52"/>
      <c r="Z3097" s="52"/>
      <c r="AA3097" s="52"/>
      <c r="AB3097" s="52"/>
      <c r="AC3097" s="52"/>
      <c r="AD3097" s="52"/>
      <c r="AE3097" s="52"/>
      <c r="AF3097" s="52"/>
      <c r="AG3097" s="52"/>
      <c r="AH3097" s="52"/>
      <c r="AI3097" s="52"/>
      <c r="AJ3097" s="52"/>
      <c r="AK3097" s="52"/>
      <c r="AL3097" s="52"/>
      <c r="AM3097" s="52"/>
      <c r="AN3097" s="52"/>
    </row>
    <row r="3098" spans="1:40" x14ac:dyDescent="0.3">
      <c r="A3098" s="52">
        <v>3093</v>
      </c>
      <c r="B3098" s="52">
        <f>-bthan*500+(42+0.5)*bthan*1000/50</f>
        <v>1925</v>
      </c>
      <c r="C3098" s="52">
        <f t="shared" si="293"/>
        <v>430</v>
      </c>
      <c r="D3098" s="52">
        <f t="shared" si="291"/>
        <v>2200</v>
      </c>
      <c r="E3098" s="52">
        <f t="shared" si="292"/>
        <v>1</v>
      </c>
      <c r="F3098" s="52"/>
      <c r="G3098" s="52"/>
      <c r="H3098" s="52"/>
      <c r="I3098" s="52"/>
      <c r="J3098" s="52"/>
      <c r="K3098" s="52"/>
      <c r="L3098" s="52"/>
      <c r="M3098" s="52"/>
      <c r="N3098" s="52"/>
      <c r="O3098" s="52"/>
      <c r="P3098" s="52"/>
      <c r="Q3098" s="52"/>
      <c r="R3098" s="52"/>
      <c r="S3098" s="52"/>
      <c r="T3098" s="52"/>
      <c r="U3098" s="52"/>
      <c r="V3098" s="52"/>
      <c r="W3098" s="52"/>
      <c r="X3098" s="52"/>
      <c r="Y3098" s="52"/>
      <c r="Z3098" s="52"/>
      <c r="AA3098" s="52"/>
      <c r="AB3098" s="52"/>
      <c r="AC3098" s="52"/>
      <c r="AD3098" s="52"/>
      <c r="AE3098" s="52"/>
      <c r="AF3098" s="52"/>
      <c r="AG3098" s="52"/>
      <c r="AH3098" s="52"/>
      <c r="AI3098" s="52"/>
      <c r="AJ3098" s="52"/>
      <c r="AK3098" s="52"/>
      <c r="AL3098" s="52"/>
      <c r="AM3098" s="52"/>
      <c r="AN3098" s="52"/>
    </row>
    <row r="3099" spans="1:40" x14ac:dyDescent="0.3">
      <c r="A3099" s="52">
        <v>3094</v>
      </c>
      <c r="B3099" s="52">
        <f>-bthan*500+(43+0.5)*bthan*1000/50</f>
        <v>2035</v>
      </c>
      <c r="C3099" s="52">
        <f t="shared" si="293"/>
        <v>430</v>
      </c>
      <c r="D3099" s="52">
        <f t="shared" si="291"/>
        <v>2200</v>
      </c>
      <c r="E3099" s="52">
        <f t="shared" si="292"/>
        <v>1</v>
      </c>
      <c r="F3099" s="52"/>
      <c r="G3099" s="52"/>
      <c r="H3099" s="52"/>
      <c r="I3099" s="52"/>
      <c r="J3099" s="52"/>
      <c r="K3099" s="52"/>
      <c r="L3099" s="52"/>
      <c r="M3099" s="52"/>
      <c r="N3099" s="52"/>
      <c r="O3099" s="52"/>
      <c r="P3099" s="52"/>
      <c r="Q3099" s="52"/>
      <c r="R3099" s="52"/>
      <c r="S3099" s="52"/>
      <c r="T3099" s="52"/>
      <c r="U3099" s="52"/>
      <c r="V3099" s="52"/>
      <c r="W3099" s="52"/>
      <c r="X3099" s="52"/>
      <c r="Y3099" s="52"/>
      <c r="Z3099" s="52"/>
      <c r="AA3099" s="52"/>
      <c r="AB3099" s="52"/>
      <c r="AC3099" s="52"/>
      <c r="AD3099" s="52"/>
      <c r="AE3099" s="52"/>
      <c r="AF3099" s="52"/>
      <c r="AG3099" s="52"/>
      <c r="AH3099" s="52"/>
      <c r="AI3099" s="52"/>
      <c r="AJ3099" s="52"/>
      <c r="AK3099" s="52"/>
      <c r="AL3099" s="52"/>
      <c r="AM3099" s="52"/>
      <c r="AN3099" s="52"/>
    </row>
    <row r="3100" spans="1:40" x14ac:dyDescent="0.3">
      <c r="A3100" s="52">
        <v>3095</v>
      </c>
      <c r="B3100" s="52">
        <f>-bthan*500+(44+0.5)*bthan*1000/50</f>
        <v>2145</v>
      </c>
      <c r="C3100" s="52">
        <f t="shared" si="293"/>
        <v>430</v>
      </c>
      <c r="D3100" s="52">
        <f t="shared" si="291"/>
        <v>2200</v>
      </c>
      <c r="E3100" s="52">
        <f t="shared" si="292"/>
        <v>1</v>
      </c>
      <c r="F3100" s="52"/>
      <c r="G3100" s="52"/>
      <c r="H3100" s="52"/>
      <c r="I3100" s="52"/>
      <c r="J3100" s="52"/>
      <c r="K3100" s="52"/>
      <c r="L3100" s="52"/>
      <c r="M3100" s="52"/>
      <c r="N3100" s="52"/>
      <c r="O3100" s="52"/>
      <c r="P3100" s="52"/>
      <c r="Q3100" s="52"/>
      <c r="R3100" s="52"/>
      <c r="S3100" s="52"/>
      <c r="T3100" s="52"/>
      <c r="U3100" s="52"/>
      <c r="V3100" s="52"/>
      <c r="W3100" s="52"/>
      <c r="X3100" s="52"/>
      <c r="Y3100" s="52"/>
      <c r="Z3100" s="52"/>
      <c r="AA3100" s="52"/>
      <c r="AB3100" s="52"/>
      <c r="AC3100" s="52"/>
      <c r="AD3100" s="52"/>
      <c r="AE3100" s="52"/>
      <c r="AF3100" s="52"/>
      <c r="AG3100" s="52"/>
      <c r="AH3100" s="52"/>
      <c r="AI3100" s="52"/>
      <c r="AJ3100" s="52"/>
      <c r="AK3100" s="52"/>
      <c r="AL3100" s="52"/>
      <c r="AM3100" s="52"/>
      <c r="AN3100" s="52"/>
    </row>
    <row r="3101" spans="1:40" x14ac:dyDescent="0.3">
      <c r="A3101" s="52">
        <v>3096</v>
      </c>
      <c r="B3101" s="52">
        <f>-bthan*500+(45+0.5)*bthan*1000/50</f>
        <v>2255</v>
      </c>
      <c r="C3101" s="52">
        <f t="shared" si="293"/>
        <v>430</v>
      </c>
      <c r="D3101" s="52">
        <f t="shared" si="291"/>
        <v>2200</v>
      </c>
      <c r="E3101" s="52">
        <f t="shared" si="292"/>
        <v>1</v>
      </c>
      <c r="F3101" s="52"/>
      <c r="G3101" s="52"/>
      <c r="H3101" s="52"/>
      <c r="I3101" s="52"/>
      <c r="J3101" s="52"/>
      <c r="K3101" s="52"/>
      <c r="L3101" s="52"/>
      <c r="M3101" s="52"/>
      <c r="N3101" s="52"/>
      <c r="O3101" s="52"/>
      <c r="P3101" s="52"/>
      <c r="Q3101" s="52"/>
      <c r="R3101" s="52"/>
      <c r="S3101" s="52"/>
      <c r="T3101" s="52"/>
      <c r="U3101" s="52"/>
      <c r="V3101" s="52"/>
      <c r="W3101" s="52"/>
      <c r="X3101" s="52"/>
      <c r="Y3101" s="52"/>
      <c r="Z3101" s="52"/>
      <c r="AA3101" s="52"/>
      <c r="AB3101" s="52"/>
      <c r="AC3101" s="52"/>
      <c r="AD3101" s="52"/>
      <c r="AE3101" s="52"/>
      <c r="AF3101" s="52"/>
      <c r="AG3101" s="52"/>
      <c r="AH3101" s="52"/>
      <c r="AI3101" s="52"/>
      <c r="AJ3101" s="52"/>
      <c r="AK3101" s="52"/>
      <c r="AL3101" s="52"/>
      <c r="AM3101" s="52"/>
      <c r="AN3101" s="52"/>
    </row>
    <row r="3102" spans="1:40" x14ac:dyDescent="0.3">
      <c r="A3102" s="52">
        <v>3097</v>
      </c>
      <c r="B3102" s="52">
        <f>-bthan*500+(46+0.5)*bthan*1000/50</f>
        <v>2365</v>
      </c>
      <c r="C3102" s="52">
        <f t="shared" si="293"/>
        <v>430</v>
      </c>
      <c r="D3102" s="52">
        <f t="shared" si="291"/>
        <v>2200</v>
      </c>
      <c r="E3102" s="52">
        <f t="shared" si="292"/>
        <v>1</v>
      </c>
      <c r="F3102" s="52"/>
      <c r="G3102" s="52"/>
      <c r="H3102" s="52"/>
      <c r="I3102" s="52"/>
      <c r="J3102" s="52"/>
      <c r="K3102" s="52"/>
      <c r="L3102" s="52"/>
      <c r="M3102" s="52"/>
      <c r="N3102" s="52"/>
      <c r="O3102" s="52"/>
      <c r="P3102" s="52"/>
      <c r="Q3102" s="52"/>
      <c r="R3102" s="52"/>
      <c r="S3102" s="52"/>
      <c r="T3102" s="52"/>
      <c r="U3102" s="52"/>
      <c r="V3102" s="52"/>
      <c r="W3102" s="52"/>
      <c r="X3102" s="52"/>
      <c r="Y3102" s="52"/>
      <c r="Z3102" s="52"/>
      <c r="AA3102" s="52"/>
      <c r="AB3102" s="52"/>
      <c r="AC3102" s="52"/>
      <c r="AD3102" s="52"/>
      <c r="AE3102" s="52"/>
      <c r="AF3102" s="52"/>
      <c r="AG3102" s="52"/>
      <c r="AH3102" s="52"/>
      <c r="AI3102" s="52"/>
      <c r="AJ3102" s="52"/>
      <c r="AK3102" s="52"/>
      <c r="AL3102" s="52"/>
      <c r="AM3102" s="52"/>
      <c r="AN3102" s="52"/>
    </row>
    <row r="3103" spans="1:40" x14ac:dyDescent="0.3">
      <c r="A3103" s="52">
        <v>3098</v>
      </c>
      <c r="B3103" s="52">
        <f>-bthan*500+(47+0.5)*bthan*1000/50</f>
        <v>2475</v>
      </c>
      <c r="C3103" s="52">
        <f t="shared" si="293"/>
        <v>430</v>
      </c>
      <c r="D3103" s="52">
        <f t="shared" si="291"/>
        <v>2200</v>
      </c>
      <c r="E3103" s="52">
        <f t="shared" si="292"/>
        <v>1</v>
      </c>
      <c r="F3103" s="52"/>
      <c r="G3103" s="52"/>
      <c r="H3103" s="52"/>
      <c r="I3103" s="52"/>
      <c r="J3103" s="52"/>
      <c r="K3103" s="52"/>
      <c r="L3103" s="52"/>
      <c r="M3103" s="52"/>
      <c r="N3103" s="52"/>
      <c r="O3103" s="52"/>
      <c r="P3103" s="52"/>
      <c r="Q3103" s="52"/>
      <c r="R3103" s="52"/>
      <c r="S3103" s="52"/>
      <c r="T3103" s="52"/>
      <c r="U3103" s="52"/>
      <c r="V3103" s="52"/>
      <c r="W3103" s="52"/>
      <c r="X3103" s="52"/>
      <c r="Y3103" s="52"/>
      <c r="Z3103" s="52"/>
      <c r="AA3103" s="52"/>
      <c r="AB3103" s="52"/>
      <c r="AC3103" s="52"/>
      <c r="AD3103" s="52"/>
      <c r="AE3103" s="52"/>
      <c r="AF3103" s="52"/>
      <c r="AG3103" s="52"/>
      <c r="AH3103" s="52"/>
      <c r="AI3103" s="52"/>
      <c r="AJ3103" s="52"/>
      <c r="AK3103" s="52"/>
      <c r="AL3103" s="52"/>
      <c r="AM3103" s="52"/>
      <c r="AN3103" s="52"/>
    </row>
    <row r="3104" spans="1:40" x14ac:dyDescent="0.3">
      <c r="A3104" s="52">
        <v>3099</v>
      </c>
      <c r="B3104" s="52">
        <f>-bthan*500+(48+0.5)*bthan*1000/50</f>
        <v>2585</v>
      </c>
      <c r="C3104" s="52">
        <f t="shared" si="293"/>
        <v>430</v>
      </c>
      <c r="D3104" s="52">
        <f t="shared" si="291"/>
        <v>2200</v>
      </c>
      <c r="E3104" s="52">
        <f t="shared" si="292"/>
        <v>1</v>
      </c>
      <c r="F3104" s="52"/>
      <c r="G3104" s="52"/>
      <c r="H3104" s="52"/>
      <c r="I3104" s="52"/>
      <c r="J3104" s="52"/>
      <c r="K3104" s="52"/>
      <c r="L3104" s="52"/>
      <c r="M3104" s="52"/>
      <c r="N3104" s="52"/>
      <c r="O3104" s="52"/>
      <c r="P3104" s="52"/>
      <c r="Q3104" s="52"/>
      <c r="R3104" s="52"/>
      <c r="S3104" s="52"/>
      <c r="T3104" s="52"/>
      <c r="U3104" s="52"/>
      <c r="V3104" s="52"/>
      <c r="W3104" s="52"/>
      <c r="X3104" s="52"/>
      <c r="Y3104" s="52"/>
      <c r="Z3104" s="52"/>
      <c r="AA3104" s="52"/>
      <c r="AB3104" s="52"/>
      <c r="AC3104" s="52"/>
      <c r="AD3104" s="52"/>
      <c r="AE3104" s="52"/>
      <c r="AF3104" s="52"/>
      <c r="AG3104" s="52"/>
      <c r="AH3104" s="52"/>
      <c r="AI3104" s="52"/>
      <c r="AJ3104" s="52"/>
      <c r="AK3104" s="52"/>
      <c r="AL3104" s="52"/>
      <c r="AM3104" s="52"/>
      <c r="AN3104" s="52"/>
    </row>
    <row r="3105" spans="1:40" x14ac:dyDescent="0.3">
      <c r="A3105" s="52">
        <v>3100</v>
      </c>
      <c r="B3105" s="52">
        <f>-bthan*500+(49+0.5)*bthan*1000/50</f>
        <v>2695</v>
      </c>
      <c r="C3105" s="52">
        <f t="shared" si="293"/>
        <v>430</v>
      </c>
      <c r="D3105" s="52">
        <f t="shared" si="291"/>
        <v>2200</v>
      </c>
      <c r="E3105" s="52">
        <f t="shared" si="292"/>
        <v>0</v>
      </c>
      <c r="F3105" s="52"/>
      <c r="G3105" s="52"/>
      <c r="H3105" s="52"/>
      <c r="I3105" s="52"/>
      <c r="J3105" s="52"/>
      <c r="K3105" s="52"/>
      <c r="L3105" s="52"/>
      <c r="M3105" s="52"/>
      <c r="N3105" s="52"/>
      <c r="O3105" s="52"/>
      <c r="P3105" s="52"/>
      <c r="Q3105" s="52"/>
      <c r="R3105" s="52"/>
      <c r="S3105" s="52"/>
      <c r="T3105" s="52"/>
      <c r="U3105" s="52"/>
      <c r="V3105" s="52"/>
      <c r="W3105" s="52"/>
      <c r="X3105" s="52"/>
      <c r="Y3105" s="52"/>
      <c r="Z3105" s="52"/>
      <c r="AA3105" s="52"/>
      <c r="AB3105" s="52"/>
      <c r="AC3105" s="52"/>
      <c r="AD3105" s="52"/>
      <c r="AE3105" s="52"/>
      <c r="AF3105" s="52"/>
      <c r="AG3105" s="52"/>
      <c r="AH3105" s="52"/>
      <c r="AI3105" s="52"/>
      <c r="AJ3105" s="52"/>
      <c r="AK3105" s="52"/>
      <c r="AL3105" s="52"/>
      <c r="AM3105" s="52"/>
      <c r="AN3105" s="52"/>
    </row>
    <row r="3106" spans="1:40" x14ac:dyDescent="0.3">
      <c r="A3106" s="52">
        <v>3101</v>
      </c>
      <c r="B3106" s="52">
        <f>-bthan*500+(0+0.5)*bthan*1000/50</f>
        <v>-2695</v>
      </c>
      <c r="C3106" s="52">
        <f t="shared" ref="C3106:C3137" si="294">-hthan*500+(62+0.5)*hthan*1000/80</f>
        <v>450</v>
      </c>
      <c r="D3106" s="52">
        <f t="shared" si="291"/>
        <v>2200</v>
      </c>
      <c r="E3106" s="52">
        <f t="shared" si="292"/>
        <v>0</v>
      </c>
      <c r="F3106" s="52"/>
      <c r="G3106" s="52"/>
      <c r="H3106" s="52"/>
      <c r="I3106" s="52"/>
      <c r="J3106" s="52"/>
      <c r="K3106" s="52"/>
      <c r="L3106" s="52"/>
      <c r="M3106" s="52"/>
      <c r="N3106" s="52"/>
      <c r="O3106" s="52"/>
      <c r="P3106" s="52"/>
      <c r="Q3106" s="52"/>
      <c r="R3106" s="52"/>
      <c r="S3106" s="52"/>
      <c r="T3106" s="52"/>
      <c r="U3106" s="52"/>
      <c r="V3106" s="52"/>
      <c r="W3106" s="52"/>
      <c r="X3106" s="52"/>
      <c r="Y3106" s="52"/>
      <c r="Z3106" s="52"/>
      <c r="AA3106" s="52"/>
      <c r="AB3106" s="52"/>
      <c r="AC3106" s="52"/>
      <c r="AD3106" s="52"/>
      <c r="AE3106" s="52"/>
      <c r="AF3106" s="52"/>
      <c r="AG3106" s="52"/>
      <c r="AH3106" s="52"/>
      <c r="AI3106" s="52"/>
      <c r="AJ3106" s="52"/>
      <c r="AK3106" s="52"/>
      <c r="AL3106" s="52"/>
      <c r="AM3106" s="52"/>
      <c r="AN3106" s="52"/>
    </row>
    <row r="3107" spans="1:40" x14ac:dyDescent="0.3">
      <c r="A3107" s="52">
        <v>3102</v>
      </c>
      <c r="B3107" s="52">
        <f>-bthan*500+(1+0.5)*bthan*1000/50</f>
        <v>-2585</v>
      </c>
      <c r="C3107" s="52">
        <f t="shared" si="294"/>
        <v>450</v>
      </c>
      <c r="D3107" s="52">
        <f t="shared" si="291"/>
        <v>2200</v>
      </c>
      <c r="E3107" s="52">
        <f t="shared" si="292"/>
        <v>1</v>
      </c>
      <c r="F3107" s="52"/>
      <c r="G3107" s="52"/>
      <c r="H3107" s="52"/>
      <c r="I3107" s="52"/>
      <c r="J3107" s="52"/>
      <c r="K3107" s="52"/>
      <c r="L3107" s="52"/>
      <c r="M3107" s="52"/>
      <c r="N3107" s="52"/>
      <c r="O3107" s="52"/>
      <c r="P3107" s="52"/>
      <c r="Q3107" s="52"/>
      <c r="R3107" s="52"/>
      <c r="S3107" s="52"/>
      <c r="T3107" s="52"/>
      <c r="U3107" s="52"/>
      <c r="V3107" s="52"/>
      <c r="W3107" s="52"/>
      <c r="X3107" s="52"/>
      <c r="Y3107" s="52"/>
      <c r="Z3107" s="52"/>
      <c r="AA3107" s="52"/>
      <c r="AB3107" s="52"/>
      <c r="AC3107" s="52"/>
      <c r="AD3107" s="52"/>
      <c r="AE3107" s="52"/>
      <c r="AF3107" s="52"/>
      <c r="AG3107" s="52"/>
      <c r="AH3107" s="52"/>
      <c r="AI3107" s="52"/>
      <c r="AJ3107" s="52"/>
      <c r="AK3107" s="52"/>
      <c r="AL3107" s="52"/>
      <c r="AM3107" s="52"/>
      <c r="AN3107" s="52"/>
    </row>
    <row r="3108" spans="1:40" x14ac:dyDescent="0.3">
      <c r="A3108" s="52">
        <v>3103</v>
      </c>
      <c r="B3108" s="52">
        <f>-bthan*500+(2+0.5)*bthan*1000/50</f>
        <v>-2475</v>
      </c>
      <c r="C3108" s="52">
        <f t="shared" si="294"/>
        <v>450</v>
      </c>
      <c r="D3108" s="52">
        <f t="shared" si="291"/>
        <v>2200</v>
      </c>
      <c r="E3108" s="52">
        <f t="shared" si="292"/>
        <v>1</v>
      </c>
      <c r="F3108" s="52"/>
      <c r="G3108" s="52"/>
      <c r="H3108" s="52"/>
      <c r="I3108" s="52"/>
      <c r="J3108" s="52"/>
      <c r="K3108" s="52"/>
      <c r="L3108" s="52"/>
      <c r="M3108" s="52"/>
      <c r="N3108" s="52"/>
      <c r="O3108" s="52"/>
      <c r="P3108" s="52"/>
      <c r="Q3108" s="52"/>
      <c r="R3108" s="52"/>
      <c r="S3108" s="52"/>
      <c r="T3108" s="52"/>
      <c r="U3108" s="52"/>
      <c r="V3108" s="52"/>
      <c r="W3108" s="52"/>
      <c r="X3108" s="52"/>
      <c r="Y3108" s="52"/>
      <c r="Z3108" s="52"/>
      <c r="AA3108" s="52"/>
      <c r="AB3108" s="52"/>
      <c r="AC3108" s="52"/>
      <c r="AD3108" s="52"/>
      <c r="AE3108" s="52"/>
      <c r="AF3108" s="52"/>
      <c r="AG3108" s="52"/>
      <c r="AH3108" s="52"/>
      <c r="AI3108" s="52"/>
      <c r="AJ3108" s="52"/>
      <c r="AK3108" s="52"/>
      <c r="AL3108" s="52"/>
      <c r="AM3108" s="52"/>
      <c r="AN3108" s="52"/>
    </row>
    <row r="3109" spans="1:40" x14ac:dyDescent="0.3">
      <c r="A3109" s="52">
        <v>3104</v>
      </c>
      <c r="B3109" s="52">
        <f>-bthan*500+(3+0.5)*bthan*1000/50</f>
        <v>-2365</v>
      </c>
      <c r="C3109" s="52">
        <f t="shared" si="294"/>
        <v>450</v>
      </c>
      <c r="D3109" s="52">
        <f t="shared" si="291"/>
        <v>2200</v>
      </c>
      <c r="E3109" s="52">
        <f t="shared" si="292"/>
        <v>1</v>
      </c>
      <c r="F3109" s="52"/>
      <c r="G3109" s="52"/>
      <c r="H3109" s="52"/>
      <c r="I3109" s="52"/>
      <c r="J3109" s="52"/>
      <c r="K3109" s="52"/>
      <c r="L3109" s="52"/>
      <c r="M3109" s="52"/>
      <c r="N3109" s="52"/>
      <c r="O3109" s="52"/>
      <c r="P3109" s="52"/>
      <c r="Q3109" s="52"/>
      <c r="R3109" s="52"/>
      <c r="S3109" s="52"/>
      <c r="T3109" s="52"/>
      <c r="U3109" s="52"/>
      <c r="V3109" s="52"/>
      <c r="W3109" s="52"/>
      <c r="X3109" s="52"/>
      <c r="Y3109" s="52"/>
      <c r="Z3109" s="52"/>
      <c r="AA3109" s="52"/>
      <c r="AB3109" s="52"/>
      <c r="AC3109" s="52"/>
      <c r="AD3109" s="52"/>
      <c r="AE3109" s="52"/>
      <c r="AF3109" s="52"/>
      <c r="AG3109" s="52"/>
      <c r="AH3109" s="52"/>
      <c r="AI3109" s="52"/>
      <c r="AJ3109" s="52"/>
      <c r="AK3109" s="52"/>
      <c r="AL3109" s="52"/>
      <c r="AM3109" s="52"/>
      <c r="AN3109" s="52"/>
    </row>
    <row r="3110" spans="1:40" x14ac:dyDescent="0.3">
      <c r="A3110" s="52">
        <v>3105</v>
      </c>
      <c r="B3110" s="52">
        <f>-bthan*500+(4+0.5)*bthan*1000/50</f>
        <v>-2255</v>
      </c>
      <c r="C3110" s="52">
        <f t="shared" si="294"/>
        <v>450</v>
      </c>
      <c r="D3110" s="52">
        <f t="shared" si="291"/>
        <v>2200</v>
      </c>
      <c r="E3110" s="52">
        <f t="shared" si="292"/>
        <v>1</v>
      </c>
      <c r="F3110" s="52"/>
      <c r="G3110" s="52"/>
      <c r="H3110" s="52"/>
      <c r="I3110" s="52"/>
      <c r="J3110" s="52"/>
      <c r="K3110" s="52"/>
      <c r="L3110" s="52"/>
      <c r="M3110" s="52"/>
      <c r="N3110" s="52"/>
      <c r="O3110" s="52"/>
      <c r="P3110" s="52"/>
      <c r="Q3110" s="52"/>
      <c r="R3110" s="52"/>
      <c r="S3110" s="52"/>
      <c r="T3110" s="52"/>
      <c r="U3110" s="52"/>
      <c r="V3110" s="52"/>
      <c r="W3110" s="52"/>
      <c r="X3110" s="52"/>
      <c r="Y3110" s="52"/>
      <c r="Z3110" s="52"/>
      <c r="AA3110" s="52"/>
      <c r="AB3110" s="52"/>
      <c r="AC3110" s="52"/>
      <c r="AD3110" s="52"/>
      <c r="AE3110" s="52"/>
      <c r="AF3110" s="52"/>
      <c r="AG3110" s="52"/>
      <c r="AH3110" s="52"/>
      <c r="AI3110" s="52"/>
      <c r="AJ3110" s="52"/>
      <c r="AK3110" s="52"/>
      <c r="AL3110" s="52"/>
      <c r="AM3110" s="52"/>
      <c r="AN3110" s="52"/>
    </row>
    <row r="3111" spans="1:40" x14ac:dyDescent="0.3">
      <c r="A3111" s="52">
        <v>3106</v>
      </c>
      <c r="B3111" s="52">
        <f>-bthan*500+(5+0.5)*bthan*1000/50</f>
        <v>-2145</v>
      </c>
      <c r="C3111" s="52">
        <f t="shared" si="294"/>
        <v>450</v>
      </c>
      <c r="D3111" s="52">
        <f t="shared" si="291"/>
        <v>2200</v>
      </c>
      <c r="E3111" s="52">
        <f t="shared" si="292"/>
        <v>1</v>
      </c>
      <c r="F3111" s="52"/>
      <c r="G3111" s="52"/>
      <c r="H3111" s="52"/>
      <c r="I3111" s="52"/>
      <c r="J3111" s="52"/>
      <c r="K3111" s="52"/>
      <c r="L3111" s="52"/>
      <c r="M3111" s="52"/>
      <c r="N3111" s="52"/>
      <c r="O3111" s="52"/>
      <c r="P3111" s="52"/>
      <c r="Q3111" s="52"/>
      <c r="R3111" s="52"/>
      <c r="S3111" s="52"/>
      <c r="T3111" s="52"/>
      <c r="U3111" s="52"/>
      <c r="V3111" s="52"/>
      <c r="W3111" s="52"/>
      <c r="X3111" s="52"/>
      <c r="Y3111" s="52"/>
      <c r="Z3111" s="52"/>
      <c r="AA3111" s="52"/>
      <c r="AB3111" s="52"/>
      <c r="AC3111" s="52"/>
      <c r="AD3111" s="52"/>
      <c r="AE3111" s="52"/>
      <c r="AF3111" s="52"/>
      <c r="AG3111" s="52"/>
      <c r="AH3111" s="52"/>
      <c r="AI3111" s="52"/>
      <c r="AJ3111" s="52"/>
      <c r="AK3111" s="52"/>
      <c r="AL3111" s="52"/>
      <c r="AM3111" s="52"/>
      <c r="AN3111" s="52"/>
    </row>
    <row r="3112" spans="1:40" x14ac:dyDescent="0.3">
      <c r="A3112" s="52">
        <v>3107</v>
      </c>
      <c r="B3112" s="52">
        <f>-bthan*500+(6+0.5)*bthan*1000/50</f>
        <v>-2035</v>
      </c>
      <c r="C3112" s="52">
        <f t="shared" si="294"/>
        <v>450</v>
      </c>
      <c r="D3112" s="52">
        <f t="shared" si="291"/>
        <v>2200</v>
      </c>
      <c r="E3112" s="52">
        <f t="shared" si="292"/>
        <v>1</v>
      </c>
      <c r="F3112" s="52"/>
      <c r="G3112" s="52"/>
      <c r="H3112" s="52"/>
      <c r="I3112" s="52"/>
      <c r="J3112" s="52"/>
      <c r="K3112" s="52"/>
      <c r="L3112" s="52"/>
      <c r="M3112" s="52"/>
      <c r="N3112" s="52"/>
      <c r="O3112" s="52"/>
      <c r="P3112" s="52"/>
      <c r="Q3112" s="52"/>
      <c r="R3112" s="52"/>
      <c r="S3112" s="52"/>
      <c r="T3112" s="52"/>
      <c r="U3112" s="52"/>
      <c r="V3112" s="52"/>
      <c r="W3112" s="52"/>
      <c r="X3112" s="52"/>
      <c r="Y3112" s="52"/>
      <c r="Z3112" s="52"/>
      <c r="AA3112" s="52"/>
      <c r="AB3112" s="52"/>
      <c r="AC3112" s="52"/>
      <c r="AD3112" s="52"/>
      <c r="AE3112" s="52"/>
      <c r="AF3112" s="52"/>
      <c r="AG3112" s="52"/>
      <c r="AH3112" s="52"/>
      <c r="AI3112" s="52"/>
      <c r="AJ3112" s="52"/>
      <c r="AK3112" s="52"/>
      <c r="AL3112" s="52"/>
      <c r="AM3112" s="52"/>
      <c r="AN3112" s="52"/>
    </row>
    <row r="3113" spans="1:40" x14ac:dyDescent="0.3">
      <c r="A3113" s="52">
        <v>3108</v>
      </c>
      <c r="B3113" s="52">
        <f>-bthan*500+(7+0.5)*bthan*1000/50</f>
        <v>-1925</v>
      </c>
      <c r="C3113" s="52">
        <f t="shared" si="294"/>
        <v>450</v>
      </c>
      <c r="D3113" s="52">
        <f t="shared" si="291"/>
        <v>2200</v>
      </c>
      <c r="E3113" s="52">
        <f t="shared" si="292"/>
        <v>1</v>
      </c>
      <c r="F3113" s="52"/>
      <c r="G3113" s="52"/>
      <c r="H3113" s="52"/>
      <c r="I3113" s="52"/>
      <c r="J3113" s="52"/>
      <c r="K3113" s="52"/>
      <c r="L3113" s="52"/>
      <c r="M3113" s="52"/>
      <c r="N3113" s="52"/>
      <c r="O3113" s="52"/>
      <c r="P3113" s="52"/>
      <c r="Q3113" s="52"/>
      <c r="R3113" s="52"/>
      <c r="S3113" s="52"/>
      <c r="T3113" s="52"/>
      <c r="U3113" s="52"/>
      <c r="V3113" s="52"/>
      <c r="W3113" s="52"/>
      <c r="X3113" s="52"/>
      <c r="Y3113" s="52"/>
      <c r="Z3113" s="52"/>
      <c r="AA3113" s="52"/>
      <c r="AB3113" s="52"/>
      <c r="AC3113" s="52"/>
      <c r="AD3113" s="52"/>
      <c r="AE3113" s="52"/>
      <c r="AF3113" s="52"/>
      <c r="AG3113" s="52"/>
      <c r="AH3113" s="52"/>
      <c r="AI3113" s="52"/>
      <c r="AJ3113" s="52"/>
      <c r="AK3113" s="52"/>
      <c r="AL3113" s="52"/>
      <c r="AM3113" s="52"/>
      <c r="AN3113" s="52"/>
    </row>
    <row r="3114" spans="1:40" x14ac:dyDescent="0.3">
      <c r="A3114" s="52">
        <v>3109</v>
      </c>
      <c r="B3114" s="52">
        <f>-bthan*500+(8+0.5)*bthan*1000/50</f>
        <v>-1815</v>
      </c>
      <c r="C3114" s="52">
        <f t="shared" si="294"/>
        <v>450</v>
      </c>
      <c r="D3114" s="52">
        <f t="shared" si="291"/>
        <v>2200</v>
      </c>
      <c r="E3114" s="52">
        <f t="shared" si="292"/>
        <v>1</v>
      </c>
      <c r="F3114" s="52"/>
      <c r="G3114" s="52"/>
      <c r="H3114" s="52"/>
      <c r="I3114" s="52"/>
      <c r="J3114" s="52"/>
      <c r="K3114" s="52"/>
      <c r="L3114" s="52"/>
      <c r="M3114" s="52"/>
      <c r="N3114" s="52"/>
      <c r="O3114" s="52"/>
      <c r="P3114" s="52"/>
      <c r="Q3114" s="52"/>
      <c r="R3114" s="52"/>
      <c r="S3114" s="52"/>
      <c r="T3114" s="52"/>
      <c r="U3114" s="52"/>
      <c r="V3114" s="52"/>
      <c r="W3114" s="52"/>
      <c r="X3114" s="52"/>
      <c r="Y3114" s="52"/>
      <c r="Z3114" s="52"/>
      <c r="AA3114" s="52"/>
      <c r="AB3114" s="52"/>
      <c r="AC3114" s="52"/>
      <c r="AD3114" s="52"/>
      <c r="AE3114" s="52"/>
      <c r="AF3114" s="52"/>
      <c r="AG3114" s="52"/>
      <c r="AH3114" s="52"/>
      <c r="AI3114" s="52"/>
      <c r="AJ3114" s="52"/>
      <c r="AK3114" s="52"/>
      <c r="AL3114" s="52"/>
      <c r="AM3114" s="52"/>
      <c r="AN3114" s="52"/>
    </row>
    <row r="3115" spans="1:40" x14ac:dyDescent="0.3">
      <c r="A3115" s="52">
        <v>3110</v>
      </c>
      <c r="B3115" s="52">
        <f>-bthan*500+(9+0.5)*bthan*1000/50</f>
        <v>-1705</v>
      </c>
      <c r="C3115" s="52">
        <f t="shared" si="294"/>
        <v>450</v>
      </c>
      <c r="D3115" s="52">
        <f t="shared" si="291"/>
        <v>2200</v>
      </c>
      <c r="E3115" s="52">
        <f t="shared" si="292"/>
        <v>1</v>
      </c>
      <c r="F3115" s="52"/>
      <c r="G3115" s="52"/>
      <c r="H3115" s="52"/>
      <c r="I3115" s="52"/>
      <c r="J3115" s="52"/>
      <c r="K3115" s="52"/>
      <c r="L3115" s="52"/>
      <c r="M3115" s="52"/>
      <c r="N3115" s="52"/>
      <c r="O3115" s="52"/>
      <c r="P3115" s="52"/>
      <c r="Q3115" s="52"/>
      <c r="R3115" s="52"/>
      <c r="S3115" s="52"/>
      <c r="T3115" s="52"/>
      <c r="U3115" s="52"/>
      <c r="V3115" s="52"/>
      <c r="W3115" s="52"/>
      <c r="X3115" s="52"/>
      <c r="Y3115" s="52"/>
      <c r="Z3115" s="52"/>
      <c r="AA3115" s="52"/>
      <c r="AB3115" s="52"/>
      <c r="AC3115" s="52"/>
      <c r="AD3115" s="52"/>
      <c r="AE3115" s="52"/>
      <c r="AF3115" s="52"/>
      <c r="AG3115" s="52"/>
      <c r="AH3115" s="52"/>
      <c r="AI3115" s="52"/>
      <c r="AJ3115" s="52"/>
      <c r="AK3115" s="52"/>
      <c r="AL3115" s="52"/>
      <c r="AM3115" s="52"/>
      <c r="AN3115" s="52"/>
    </row>
    <row r="3116" spans="1:40" x14ac:dyDescent="0.3">
      <c r="A3116" s="52">
        <v>3111</v>
      </c>
      <c r="B3116" s="52">
        <f>-bthan*500+(10+0.5)*bthan*1000/50</f>
        <v>-1595</v>
      </c>
      <c r="C3116" s="52">
        <f t="shared" si="294"/>
        <v>450</v>
      </c>
      <c r="D3116" s="52">
        <f t="shared" si="291"/>
        <v>2200</v>
      </c>
      <c r="E3116" s="52">
        <f t="shared" si="292"/>
        <v>1</v>
      </c>
      <c r="F3116" s="52"/>
      <c r="G3116" s="52"/>
      <c r="H3116" s="52"/>
      <c r="I3116" s="52"/>
      <c r="J3116" s="52"/>
      <c r="K3116" s="52"/>
      <c r="L3116" s="52"/>
      <c r="M3116" s="52"/>
      <c r="N3116" s="52"/>
      <c r="O3116" s="52"/>
      <c r="P3116" s="52"/>
      <c r="Q3116" s="52"/>
      <c r="R3116" s="52"/>
      <c r="S3116" s="52"/>
      <c r="T3116" s="52"/>
      <c r="U3116" s="52"/>
      <c r="V3116" s="52"/>
      <c r="W3116" s="52"/>
      <c r="X3116" s="52"/>
      <c r="Y3116" s="52"/>
      <c r="Z3116" s="52"/>
      <c r="AA3116" s="52"/>
      <c r="AB3116" s="52"/>
      <c r="AC3116" s="52"/>
      <c r="AD3116" s="52"/>
      <c r="AE3116" s="52"/>
      <c r="AF3116" s="52"/>
      <c r="AG3116" s="52"/>
      <c r="AH3116" s="52"/>
      <c r="AI3116" s="52"/>
      <c r="AJ3116" s="52"/>
      <c r="AK3116" s="52"/>
      <c r="AL3116" s="52"/>
      <c r="AM3116" s="52"/>
      <c r="AN3116" s="52"/>
    </row>
    <row r="3117" spans="1:40" x14ac:dyDescent="0.3">
      <c r="A3117" s="52">
        <v>3112</v>
      </c>
      <c r="B3117" s="52">
        <f>-bthan*500+(11+0.5)*bthan*1000/50</f>
        <v>-1485</v>
      </c>
      <c r="C3117" s="52">
        <f t="shared" si="294"/>
        <v>450</v>
      </c>
      <c r="D3117" s="52">
        <f t="shared" si="291"/>
        <v>2200</v>
      </c>
      <c r="E3117" s="52">
        <f t="shared" si="292"/>
        <v>1</v>
      </c>
      <c r="F3117" s="52"/>
      <c r="G3117" s="52"/>
      <c r="H3117" s="52"/>
      <c r="I3117" s="52"/>
      <c r="J3117" s="52"/>
      <c r="K3117" s="52"/>
      <c r="L3117" s="52"/>
      <c r="M3117" s="52"/>
      <c r="N3117" s="52"/>
      <c r="O3117" s="52"/>
      <c r="P3117" s="52"/>
      <c r="Q3117" s="52"/>
      <c r="R3117" s="52"/>
      <c r="S3117" s="52"/>
      <c r="T3117" s="52"/>
      <c r="U3117" s="52"/>
      <c r="V3117" s="52"/>
      <c r="W3117" s="52"/>
      <c r="X3117" s="52"/>
      <c r="Y3117" s="52"/>
      <c r="Z3117" s="52"/>
      <c r="AA3117" s="52"/>
      <c r="AB3117" s="52"/>
      <c r="AC3117" s="52"/>
      <c r="AD3117" s="52"/>
      <c r="AE3117" s="52"/>
      <c r="AF3117" s="52"/>
      <c r="AG3117" s="52"/>
      <c r="AH3117" s="52"/>
      <c r="AI3117" s="52"/>
      <c r="AJ3117" s="52"/>
      <c r="AK3117" s="52"/>
      <c r="AL3117" s="52"/>
      <c r="AM3117" s="52"/>
      <c r="AN3117" s="52"/>
    </row>
    <row r="3118" spans="1:40" x14ac:dyDescent="0.3">
      <c r="A3118" s="52">
        <v>3113</v>
      </c>
      <c r="B3118" s="52">
        <f>-bthan*500+(12+0.5)*bthan*1000/50</f>
        <v>-1375</v>
      </c>
      <c r="C3118" s="52">
        <f t="shared" si="294"/>
        <v>450</v>
      </c>
      <c r="D3118" s="52">
        <f t="shared" si="291"/>
        <v>2200</v>
      </c>
      <c r="E3118" s="52">
        <f t="shared" si="292"/>
        <v>1</v>
      </c>
      <c r="F3118" s="52"/>
      <c r="G3118" s="52"/>
      <c r="H3118" s="52"/>
      <c r="I3118" s="52"/>
      <c r="J3118" s="52"/>
      <c r="K3118" s="52"/>
      <c r="L3118" s="52"/>
      <c r="M3118" s="52"/>
      <c r="N3118" s="52"/>
      <c r="O3118" s="52"/>
      <c r="P3118" s="52"/>
      <c r="Q3118" s="52"/>
      <c r="R3118" s="52"/>
      <c r="S3118" s="52"/>
      <c r="T3118" s="52"/>
      <c r="U3118" s="52"/>
      <c r="V3118" s="52"/>
      <c r="W3118" s="52"/>
      <c r="X3118" s="52"/>
      <c r="Y3118" s="52"/>
      <c r="Z3118" s="52"/>
      <c r="AA3118" s="52"/>
      <c r="AB3118" s="52"/>
      <c r="AC3118" s="52"/>
      <c r="AD3118" s="52"/>
      <c r="AE3118" s="52"/>
      <c r="AF3118" s="52"/>
      <c r="AG3118" s="52"/>
      <c r="AH3118" s="52"/>
      <c r="AI3118" s="52"/>
      <c r="AJ3118" s="52"/>
      <c r="AK3118" s="52"/>
      <c r="AL3118" s="52"/>
      <c r="AM3118" s="52"/>
      <c r="AN3118" s="52"/>
    </row>
    <row r="3119" spans="1:40" x14ac:dyDescent="0.3">
      <c r="A3119" s="52">
        <v>3114</v>
      </c>
      <c r="B3119" s="52">
        <f>-bthan*500+(13+0.5)*bthan*1000/50</f>
        <v>-1265</v>
      </c>
      <c r="C3119" s="52">
        <f t="shared" si="294"/>
        <v>450</v>
      </c>
      <c r="D3119" s="52">
        <f t="shared" si="291"/>
        <v>2200</v>
      </c>
      <c r="E3119" s="52">
        <f t="shared" si="292"/>
        <v>1</v>
      </c>
      <c r="F3119" s="52"/>
      <c r="G3119" s="52"/>
      <c r="H3119" s="52"/>
      <c r="I3119" s="52"/>
      <c r="J3119" s="52"/>
      <c r="K3119" s="52"/>
      <c r="L3119" s="52"/>
      <c r="M3119" s="52"/>
      <c r="N3119" s="52"/>
      <c r="O3119" s="52"/>
      <c r="P3119" s="52"/>
      <c r="Q3119" s="52"/>
      <c r="R3119" s="52"/>
      <c r="S3119" s="52"/>
      <c r="T3119" s="52"/>
      <c r="U3119" s="52"/>
      <c r="V3119" s="52"/>
      <c r="W3119" s="52"/>
      <c r="X3119" s="52"/>
      <c r="Y3119" s="52"/>
      <c r="Z3119" s="52"/>
      <c r="AA3119" s="52"/>
      <c r="AB3119" s="52"/>
      <c r="AC3119" s="52"/>
      <c r="AD3119" s="52"/>
      <c r="AE3119" s="52"/>
      <c r="AF3119" s="52"/>
      <c r="AG3119" s="52"/>
      <c r="AH3119" s="52"/>
      <c r="AI3119" s="52"/>
      <c r="AJ3119" s="52"/>
      <c r="AK3119" s="52"/>
      <c r="AL3119" s="52"/>
      <c r="AM3119" s="52"/>
      <c r="AN3119" s="52"/>
    </row>
    <row r="3120" spans="1:40" x14ac:dyDescent="0.3">
      <c r="A3120" s="52">
        <v>3115</v>
      </c>
      <c r="B3120" s="52">
        <f>-bthan*500+(14+0.5)*bthan*1000/50</f>
        <v>-1155</v>
      </c>
      <c r="C3120" s="52">
        <f t="shared" si="294"/>
        <v>450</v>
      </c>
      <c r="D3120" s="52">
        <f t="shared" si="291"/>
        <v>2200</v>
      </c>
      <c r="E3120" s="52">
        <f t="shared" si="292"/>
        <v>1</v>
      </c>
      <c r="F3120" s="52"/>
      <c r="G3120" s="52"/>
      <c r="H3120" s="52"/>
      <c r="I3120" s="52"/>
      <c r="J3120" s="52"/>
      <c r="K3120" s="52"/>
      <c r="L3120" s="52"/>
      <c r="M3120" s="52"/>
      <c r="N3120" s="52"/>
      <c r="O3120" s="52"/>
      <c r="P3120" s="52"/>
      <c r="Q3120" s="52"/>
      <c r="R3120" s="52"/>
      <c r="S3120" s="52"/>
      <c r="T3120" s="52"/>
      <c r="U3120" s="52"/>
      <c r="V3120" s="52"/>
      <c r="W3120" s="52"/>
      <c r="X3120" s="52"/>
      <c r="Y3120" s="52"/>
      <c r="Z3120" s="52"/>
      <c r="AA3120" s="52"/>
      <c r="AB3120" s="52"/>
      <c r="AC3120" s="52"/>
      <c r="AD3120" s="52"/>
      <c r="AE3120" s="52"/>
      <c r="AF3120" s="52"/>
      <c r="AG3120" s="52"/>
      <c r="AH3120" s="52"/>
      <c r="AI3120" s="52"/>
      <c r="AJ3120" s="52"/>
      <c r="AK3120" s="52"/>
      <c r="AL3120" s="52"/>
      <c r="AM3120" s="52"/>
      <c r="AN3120" s="52"/>
    </row>
    <row r="3121" spans="1:40" x14ac:dyDescent="0.3">
      <c r="A3121" s="52">
        <v>3116</v>
      </c>
      <c r="B3121" s="52">
        <f>-bthan*500+(15+0.5)*bthan*1000/50</f>
        <v>-1045</v>
      </c>
      <c r="C3121" s="52">
        <f t="shared" si="294"/>
        <v>450</v>
      </c>
      <c r="D3121" s="52">
        <f t="shared" si="291"/>
        <v>2200</v>
      </c>
      <c r="E3121" s="52">
        <f t="shared" si="292"/>
        <v>1</v>
      </c>
      <c r="F3121" s="52"/>
      <c r="G3121" s="52"/>
      <c r="H3121" s="52"/>
      <c r="I3121" s="52"/>
      <c r="J3121" s="52"/>
      <c r="K3121" s="52"/>
      <c r="L3121" s="52"/>
      <c r="M3121" s="52"/>
      <c r="N3121" s="52"/>
      <c r="O3121" s="52"/>
      <c r="P3121" s="52"/>
      <c r="Q3121" s="52"/>
      <c r="R3121" s="52"/>
      <c r="S3121" s="52"/>
      <c r="T3121" s="52"/>
      <c r="U3121" s="52"/>
      <c r="V3121" s="52"/>
      <c r="W3121" s="52"/>
      <c r="X3121" s="52"/>
      <c r="Y3121" s="52"/>
      <c r="Z3121" s="52"/>
      <c r="AA3121" s="52"/>
      <c r="AB3121" s="52"/>
      <c r="AC3121" s="52"/>
      <c r="AD3121" s="52"/>
      <c r="AE3121" s="52"/>
      <c r="AF3121" s="52"/>
      <c r="AG3121" s="52"/>
      <c r="AH3121" s="52"/>
      <c r="AI3121" s="52"/>
      <c r="AJ3121" s="52"/>
      <c r="AK3121" s="52"/>
      <c r="AL3121" s="52"/>
      <c r="AM3121" s="52"/>
      <c r="AN3121" s="52"/>
    </row>
    <row r="3122" spans="1:40" x14ac:dyDescent="0.3">
      <c r="A3122" s="52">
        <v>3117</v>
      </c>
      <c r="B3122" s="52">
        <f>-bthan*500+(16+0.5)*bthan*1000/50</f>
        <v>-935</v>
      </c>
      <c r="C3122" s="52">
        <f t="shared" si="294"/>
        <v>450</v>
      </c>
      <c r="D3122" s="52">
        <f t="shared" si="291"/>
        <v>2200</v>
      </c>
      <c r="E3122" s="52">
        <f t="shared" si="292"/>
        <v>1</v>
      </c>
      <c r="F3122" s="52"/>
      <c r="G3122" s="52"/>
      <c r="H3122" s="52"/>
      <c r="I3122" s="52"/>
      <c r="J3122" s="52"/>
      <c r="K3122" s="52"/>
      <c r="L3122" s="52"/>
      <c r="M3122" s="52"/>
      <c r="N3122" s="52"/>
      <c r="O3122" s="52"/>
      <c r="P3122" s="52"/>
      <c r="Q3122" s="52"/>
      <c r="R3122" s="52"/>
      <c r="S3122" s="52"/>
      <c r="T3122" s="52"/>
      <c r="U3122" s="52"/>
      <c r="V3122" s="52"/>
      <c r="W3122" s="52"/>
      <c r="X3122" s="52"/>
      <c r="Y3122" s="52"/>
      <c r="Z3122" s="52"/>
      <c r="AA3122" s="52"/>
      <c r="AB3122" s="52"/>
      <c r="AC3122" s="52"/>
      <c r="AD3122" s="52"/>
      <c r="AE3122" s="52"/>
      <c r="AF3122" s="52"/>
      <c r="AG3122" s="52"/>
      <c r="AH3122" s="52"/>
      <c r="AI3122" s="52"/>
      <c r="AJ3122" s="52"/>
      <c r="AK3122" s="52"/>
      <c r="AL3122" s="52"/>
      <c r="AM3122" s="52"/>
      <c r="AN3122" s="52"/>
    </row>
    <row r="3123" spans="1:40" x14ac:dyDescent="0.3">
      <c r="A3123" s="52">
        <v>3118</v>
      </c>
      <c r="B3123" s="52">
        <f>-bthan*500+(17+0.5)*bthan*1000/50</f>
        <v>-825</v>
      </c>
      <c r="C3123" s="52">
        <f t="shared" si="294"/>
        <v>450</v>
      </c>
      <c r="D3123" s="52">
        <f t="shared" si="291"/>
        <v>2200</v>
      </c>
      <c r="E3123" s="52">
        <f t="shared" si="292"/>
        <v>1</v>
      </c>
      <c r="F3123" s="52"/>
      <c r="G3123" s="52"/>
      <c r="H3123" s="52"/>
      <c r="I3123" s="52"/>
      <c r="J3123" s="52"/>
      <c r="K3123" s="52"/>
      <c r="L3123" s="52"/>
      <c r="M3123" s="52"/>
      <c r="N3123" s="52"/>
      <c r="O3123" s="52"/>
      <c r="P3123" s="52"/>
      <c r="Q3123" s="52"/>
      <c r="R3123" s="52"/>
      <c r="S3123" s="52"/>
      <c r="T3123" s="52"/>
      <c r="U3123" s="52"/>
      <c r="V3123" s="52"/>
      <c r="W3123" s="52"/>
      <c r="X3123" s="52"/>
      <c r="Y3123" s="52"/>
      <c r="Z3123" s="52"/>
      <c r="AA3123" s="52"/>
      <c r="AB3123" s="52"/>
      <c r="AC3123" s="52"/>
      <c r="AD3123" s="52"/>
      <c r="AE3123" s="52"/>
      <c r="AF3123" s="52"/>
      <c r="AG3123" s="52"/>
      <c r="AH3123" s="52"/>
      <c r="AI3123" s="52"/>
      <c r="AJ3123" s="52"/>
      <c r="AK3123" s="52"/>
      <c r="AL3123" s="52"/>
      <c r="AM3123" s="52"/>
      <c r="AN3123" s="52"/>
    </row>
    <row r="3124" spans="1:40" x14ac:dyDescent="0.3">
      <c r="A3124" s="52">
        <v>3119</v>
      </c>
      <c r="B3124" s="52">
        <f>-bthan*500+(18+0.5)*bthan*1000/50</f>
        <v>-715</v>
      </c>
      <c r="C3124" s="52">
        <f t="shared" si="294"/>
        <v>450</v>
      </c>
      <c r="D3124" s="52">
        <f t="shared" si="291"/>
        <v>2200</v>
      </c>
      <c r="E3124" s="52">
        <f t="shared" si="292"/>
        <v>1</v>
      </c>
      <c r="F3124" s="52"/>
      <c r="G3124" s="52"/>
      <c r="H3124" s="52"/>
      <c r="I3124" s="52"/>
      <c r="J3124" s="52"/>
      <c r="K3124" s="52"/>
      <c r="L3124" s="52"/>
      <c r="M3124" s="52"/>
      <c r="N3124" s="52"/>
      <c r="O3124" s="52"/>
      <c r="P3124" s="52"/>
      <c r="Q3124" s="52"/>
      <c r="R3124" s="52"/>
      <c r="S3124" s="52"/>
      <c r="T3124" s="52"/>
      <c r="U3124" s="52"/>
      <c r="V3124" s="52"/>
      <c r="W3124" s="52"/>
      <c r="X3124" s="52"/>
      <c r="Y3124" s="52"/>
      <c r="Z3124" s="52"/>
      <c r="AA3124" s="52"/>
      <c r="AB3124" s="52"/>
      <c r="AC3124" s="52"/>
      <c r="AD3124" s="52"/>
      <c r="AE3124" s="52"/>
      <c r="AF3124" s="52"/>
      <c r="AG3124" s="52"/>
      <c r="AH3124" s="52"/>
      <c r="AI3124" s="52"/>
      <c r="AJ3124" s="52"/>
      <c r="AK3124" s="52"/>
      <c r="AL3124" s="52"/>
      <c r="AM3124" s="52"/>
      <c r="AN3124" s="52"/>
    </row>
    <row r="3125" spans="1:40" x14ac:dyDescent="0.3">
      <c r="A3125" s="52">
        <v>3120</v>
      </c>
      <c r="B3125" s="52">
        <f>-bthan*500+(19+0.5)*bthan*1000/50</f>
        <v>-605</v>
      </c>
      <c r="C3125" s="52">
        <f t="shared" si="294"/>
        <v>450</v>
      </c>
      <c r="D3125" s="52">
        <f t="shared" si="291"/>
        <v>2200</v>
      </c>
      <c r="E3125" s="52">
        <f t="shared" si="292"/>
        <v>1</v>
      </c>
      <c r="F3125" s="52"/>
      <c r="G3125" s="52"/>
      <c r="H3125" s="52"/>
      <c r="I3125" s="52"/>
      <c r="J3125" s="52"/>
      <c r="K3125" s="52"/>
      <c r="L3125" s="52"/>
      <c r="M3125" s="52"/>
      <c r="N3125" s="52"/>
      <c r="O3125" s="52"/>
      <c r="P3125" s="52"/>
      <c r="Q3125" s="52"/>
      <c r="R3125" s="52"/>
      <c r="S3125" s="52"/>
      <c r="T3125" s="52"/>
      <c r="U3125" s="52"/>
      <c r="V3125" s="52"/>
      <c r="W3125" s="52"/>
      <c r="X3125" s="52"/>
      <c r="Y3125" s="52"/>
      <c r="Z3125" s="52"/>
      <c r="AA3125" s="52"/>
      <c r="AB3125" s="52"/>
      <c r="AC3125" s="52"/>
      <c r="AD3125" s="52"/>
      <c r="AE3125" s="52"/>
      <c r="AF3125" s="52"/>
      <c r="AG3125" s="52"/>
      <c r="AH3125" s="52"/>
      <c r="AI3125" s="52"/>
      <c r="AJ3125" s="52"/>
      <c r="AK3125" s="52"/>
      <c r="AL3125" s="52"/>
      <c r="AM3125" s="52"/>
      <c r="AN3125" s="52"/>
    </row>
    <row r="3126" spans="1:40" x14ac:dyDescent="0.3">
      <c r="A3126" s="52">
        <v>3121</v>
      </c>
      <c r="B3126" s="52">
        <f>-bthan*500+(20+0.5)*bthan*1000/50</f>
        <v>-495</v>
      </c>
      <c r="C3126" s="52">
        <f t="shared" si="294"/>
        <v>450</v>
      </c>
      <c r="D3126" s="52">
        <f t="shared" si="291"/>
        <v>2200</v>
      </c>
      <c r="E3126" s="52">
        <f t="shared" si="292"/>
        <v>1</v>
      </c>
      <c r="F3126" s="52"/>
      <c r="G3126" s="52"/>
      <c r="H3126" s="52"/>
      <c r="I3126" s="52"/>
      <c r="J3126" s="52"/>
      <c r="K3126" s="52"/>
      <c r="L3126" s="52"/>
      <c r="M3126" s="52"/>
      <c r="N3126" s="52"/>
      <c r="O3126" s="52"/>
      <c r="P3126" s="52"/>
      <c r="Q3126" s="52"/>
      <c r="R3126" s="52"/>
      <c r="S3126" s="52"/>
      <c r="T3126" s="52"/>
      <c r="U3126" s="52"/>
      <c r="V3126" s="52"/>
      <c r="W3126" s="52"/>
      <c r="X3126" s="52"/>
      <c r="Y3126" s="52"/>
      <c r="Z3126" s="52"/>
      <c r="AA3126" s="52"/>
      <c r="AB3126" s="52"/>
      <c r="AC3126" s="52"/>
      <c r="AD3126" s="52"/>
      <c r="AE3126" s="52"/>
      <c r="AF3126" s="52"/>
      <c r="AG3126" s="52"/>
      <c r="AH3126" s="52"/>
      <c r="AI3126" s="52"/>
      <c r="AJ3126" s="52"/>
      <c r="AK3126" s="52"/>
      <c r="AL3126" s="52"/>
      <c r="AM3126" s="52"/>
      <c r="AN3126" s="52"/>
    </row>
    <row r="3127" spans="1:40" x14ac:dyDescent="0.3">
      <c r="A3127" s="52">
        <v>3122</v>
      </c>
      <c r="B3127" s="52">
        <f>-bthan*500+(21+0.5)*bthan*1000/50</f>
        <v>-385</v>
      </c>
      <c r="C3127" s="52">
        <f t="shared" si="294"/>
        <v>450</v>
      </c>
      <c r="D3127" s="52">
        <f t="shared" si="291"/>
        <v>2200</v>
      </c>
      <c r="E3127" s="52">
        <f t="shared" si="292"/>
        <v>1</v>
      </c>
      <c r="F3127" s="52"/>
      <c r="G3127" s="52"/>
      <c r="H3127" s="52"/>
      <c r="I3127" s="52"/>
      <c r="J3127" s="52"/>
      <c r="K3127" s="52"/>
      <c r="L3127" s="52"/>
      <c r="M3127" s="52"/>
      <c r="N3127" s="52"/>
      <c r="O3127" s="52"/>
      <c r="P3127" s="52"/>
      <c r="Q3127" s="52"/>
      <c r="R3127" s="52"/>
      <c r="S3127" s="52"/>
      <c r="T3127" s="52"/>
      <c r="U3127" s="52"/>
      <c r="V3127" s="52"/>
      <c r="W3127" s="52"/>
      <c r="X3127" s="52"/>
      <c r="Y3127" s="52"/>
      <c r="Z3127" s="52"/>
      <c r="AA3127" s="52"/>
      <c r="AB3127" s="52"/>
      <c r="AC3127" s="52"/>
      <c r="AD3127" s="52"/>
      <c r="AE3127" s="52"/>
      <c r="AF3127" s="52"/>
      <c r="AG3127" s="52"/>
      <c r="AH3127" s="52"/>
      <c r="AI3127" s="52"/>
      <c r="AJ3127" s="52"/>
      <c r="AK3127" s="52"/>
      <c r="AL3127" s="52"/>
      <c r="AM3127" s="52"/>
      <c r="AN3127" s="52"/>
    </row>
    <row r="3128" spans="1:40" x14ac:dyDescent="0.3">
      <c r="A3128" s="52">
        <v>3123</v>
      </c>
      <c r="B3128" s="52">
        <f>-bthan*500+(22+0.5)*bthan*1000/50</f>
        <v>-275</v>
      </c>
      <c r="C3128" s="52">
        <f t="shared" si="294"/>
        <v>450</v>
      </c>
      <c r="D3128" s="52">
        <f t="shared" si="291"/>
        <v>2200</v>
      </c>
      <c r="E3128" s="52">
        <f t="shared" si="292"/>
        <v>1</v>
      </c>
      <c r="F3128" s="52"/>
      <c r="G3128" s="52"/>
      <c r="H3128" s="52"/>
      <c r="I3128" s="52"/>
      <c r="J3128" s="52"/>
      <c r="K3128" s="52"/>
      <c r="L3128" s="52"/>
      <c r="M3128" s="52"/>
      <c r="N3128" s="52"/>
      <c r="O3128" s="52"/>
      <c r="P3128" s="52"/>
      <c r="Q3128" s="52"/>
      <c r="R3128" s="52"/>
      <c r="S3128" s="52"/>
      <c r="T3128" s="52"/>
      <c r="U3128" s="52"/>
      <c r="V3128" s="52"/>
      <c r="W3128" s="52"/>
      <c r="X3128" s="52"/>
      <c r="Y3128" s="52"/>
      <c r="Z3128" s="52"/>
      <c r="AA3128" s="52"/>
      <c r="AB3128" s="52"/>
      <c r="AC3128" s="52"/>
      <c r="AD3128" s="52"/>
      <c r="AE3128" s="52"/>
      <c r="AF3128" s="52"/>
      <c r="AG3128" s="52"/>
      <c r="AH3128" s="52"/>
      <c r="AI3128" s="52"/>
      <c r="AJ3128" s="52"/>
      <c r="AK3128" s="52"/>
      <c r="AL3128" s="52"/>
      <c r="AM3128" s="52"/>
      <c r="AN3128" s="52"/>
    </row>
    <row r="3129" spans="1:40" x14ac:dyDescent="0.3">
      <c r="A3129" s="52">
        <v>3124</v>
      </c>
      <c r="B3129" s="52">
        <f>-bthan*500+(23+0.5)*bthan*1000/50</f>
        <v>-165</v>
      </c>
      <c r="C3129" s="52">
        <f t="shared" si="294"/>
        <v>450</v>
      </c>
      <c r="D3129" s="52">
        <f t="shared" si="291"/>
        <v>2200</v>
      </c>
      <c r="E3129" s="52">
        <f t="shared" si="292"/>
        <v>1</v>
      </c>
      <c r="F3129" s="52"/>
      <c r="G3129" s="52"/>
      <c r="H3129" s="52"/>
      <c r="I3129" s="52"/>
      <c r="J3129" s="52"/>
      <c r="K3129" s="52"/>
      <c r="L3129" s="52"/>
      <c r="M3129" s="52"/>
      <c r="N3129" s="52"/>
      <c r="O3129" s="52"/>
      <c r="P3129" s="52"/>
      <c r="Q3129" s="52"/>
      <c r="R3129" s="52"/>
      <c r="S3129" s="52"/>
      <c r="T3129" s="52"/>
      <c r="U3129" s="52"/>
      <c r="V3129" s="52"/>
      <c r="W3129" s="52"/>
      <c r="X3129" s="52"/>
      <c r="Y3129" s="52"/>
      <c r="Z3129" s="52"/>
      <c r="AA3129" s="52"/>
      <c r="AB3129" s="52"/>
      <c r="AC3129" s="52"/>
      <c r="AD3129" s="52"/>
      <c r="AE3129" s="52"/>
      <c r="AF3129" s="52"/>
      <c r="AG3129" s="52"/>
      <c r="AH3129" s="52"/>
      <c r="AI3129" s="52"/>
      <c r="AJ3129" s="52"/>
      <c r="AK3129" s="52"/>
      <c r="AL3129" s="52"/>
      <c r="AM3129" s="52"/>
      <c r="AN3129" s="52"/>
    </row>
    <row r="3130" spans="1:40" x14ac:dyDescent="0.3">
      <c r="A3130" s="52">
        <v>3125</v>
      </c>
      <c r="B3130" s="52">
        <f>-bthan*500+(24+0.5)*bthan*1000/50</f>
        <v>-55</v>
      </c>
      <c r="C3130" s="52">
        <f t="shared" si="294"/>
        <v>450</v>
      </c>
      <c r="D3130" s="52">
        <f t="shared" si="291"/>
        <v>2200</v>
      </c>
      <c r="E3130" s="52">
        <f t="shared" si="292"/>
        <v>1</v>
      </c>
      <c r="F3130" s="52"/>
      <c r="G3130" s="52"/>
      <c r="H3130" s="52"/>
      <c r="I3130" s="52"/>
      <c r="J3130" s="52"/>
      <c r="K3130" s="52"/>
      <c r="L3130" s="52"/>
      <c r="M3130" s="52"/>
      <c r="N3130" s="52"/>
      <c r="O3130" s="52"/>
      <c r="P3130" s="52"/>
      <c r="Q3130" s="52"/>
      <c r="R3130" s="52"/>
      <c r="S3130" s="52"/>
      <c r="T3130" s="52"/>
      <c r="U3130" s="52"/>
      <c r="V3130" s="52"/>
      <c r="W3130" s="52"/>
      <c r="X3130" s="52"/>
      <c r="Y3130" s="52"/>
      <c r="Z3130" s="52"/>
      <c r="AA3130" s="52"/>
      <c r="AB3130" s="52"/>
      <c r="AC3130" s="52"/>
      <c r="AD3130" s="52"/>
      <c r="AE3130" s="52"/>
      <c r="AF3130" s="52"/>
      <c r="AG3130" s="52"/>
      <c r="AH3130" s="52"/>
      <c r="AI3130" s="52"/>
      <c r="AJ3130" s="52"/>
      <c r="AK3130" s="52"/>
      <c r="AL3130" s="52"/>
      <c r="AM3130" s="52"/>
      <c r="AN3130" s="52"/>
    </row>
    <row r="3131" spans="1:40" x14ac:dyDescent="0.3">
      <c r="A3131" s="52">
        <v>3126</v>
      </c>
      <c r="B3131" s="52">
        <f>-bthan*500+(25+0.5)*bthan*1000/50</f>
        <v>55</v>
      </c>
      <c r="C3131" s="52">
        <f t="shared" si="294"/>
        <v>450</v>
      </c>
      <c r="D3131" s="52">
        <f t="shared" si="291"/>
        <v>2200</v>
      </c>
      <c r="E3131" s="52">
        <f t="shared" si="292"/>
        <v>1</v>
      </c>
      <c r="F3131" s="52"/>
      <c r="G3131" s="52"/>
      <c r="H3131" s="52"/>
      <c r="I3131" s="52"/>
      <c r="J3131" s="52"/>
      <c r="K3131" s="52"/>
      <c r="L3131" s="52"/>
      <c r="M3131" s="52"/>
      <c r="N3131" s="52"/>
      <c r="O3131" s="52"/>
      <c r="P3131" s="52"/>
      <c r="Q3131" s="52"/>
      <c r="R3131" s="52"/>
      <c r="S3131" s="52"/>
      <c r="T3131" s="52"/>
      <c r="U3131" s="52"/>
      <c r="V3131" s="52"/>
      <c r="W3131" s="52"/>
      <c r="X3131" s="52"/>
      <c r="Y3131" s="52"/>
      <c r="Z3131" s="52"/>
      <c r="AA3131" s="52"/>
      <c r="AB3131" s="52"/>
      <c r="AC3131" s="52"/>
      <c r="AD3131" s="52"/>
      <c r="AE3131" s="52"/>
      <c r="AF3131" s="52"/>
      <c r="AG3131" s="52"/>
      <c r="AH3131" s="52"/>
      <c r="AI3131" s="52"/>
      <c r="AJ3131" s="52"/>
      <c r="AK3131" s="52"/>
      <c r="AL3131" s="52"/>
      <c r="AM3131" s="52"/>
      <c r="AN3131" s="52"/>
    </row>
    <row r="3132" spans="1:40" x14ac:dyDescent="0.3">
      <c r="A3132" s="52">
        <v>3127</v>
      </c>
      <c r="B3132" s="52">
        <f>-bthan*500+(26+0.5)*bthan*1000/50</f>
        <v>165</v>
      </c>
      <c r="C3132" s="52">
        <f t="shared" si="294"/>
        <v>450</v>
      </c>
      <c r="D3132" s="52">
        <f t="shared" si="291"/>
        <v>2200</v>
      </c>
      <c r="E3132" s="52">
        <f t="shared" si="292"/>
        <v>1</v>
      </c>
      <c r="F3132" s="52"/>
      <c r="G3132" s="52"/>
      <c r="H3132" s="52"/>
      <c r="I3132" s="52"/>
      <c r="J3132" s="52"/>
      <c r="K3132" s="52"/>
      <c r="L3132" s="52"/>
      <c r="M3132" s="52"/>
      <c r="N3132" s="52"/>
      <c r="O3132" s="52"/>
      <c r="P3132" s="52"/>
      <c r="Q3132" s="52"/>
      <c r="R3132" s="52"/>
      <c r="S3132" s="52"/>
      <c r="T3132" s="52"/>
      <c r="U3132" s="52"/>
      <c r="V3132" s="52"/>
      <c r="W3132" s="52"/>
      <c r="X3132" s="52"/>
      <c r="Y3132" s="52"/>
      <c r="Z3132" s="52"/>
      <c r="AA3132" s="52"/>
      <c r="AB3132" s="52"/>
      <c r="AC3132" s="52"/>
      <c r="AD3132" s="52"/>
      <c r="AE3132" s="52"/>
      <c r="AF3132" s="52"/>
      <c r="AG3132" s="52"/>
      <c r="AH3132" s="52"/>
      <c r="AI3132" s="52"/>
      <c r="AJ3132" s="52"/>
      <c r="AK3132" s="52"/>
      <c r="AL3132" s="52"/>
      <c r="AM3132" s="52"/>
      <c r="AN3132" s="52"/>
    </row>
    <row r="3133" spans="1:40" x14ac:dyDescent="0.3">
      <c r="A3133" s="52">
        <v>3128</v>
      </c>
      <c r="B3133" s="52">
        <f>-bthan*500+(27+0.5)*bthan*1000/50</f>
        <v>275</v>
      </c>
      <c r="C3133" s="52">
        <f t="shared" si="294"/>
        <v>450</v>
      </c>
      <c r="D3133" s="52">
        <f t="shared" si="291"/>
        <v>2200</v>
      </c>
      <c r="E3133" s="52">
        <f t="shared" si="292"/>
        <v>1</v>
      </c>
      <c r="F3133" s="52"/>
      <c r="G3133" s="52"/>
      <c r="H3133" s="52"/>
      <c r="I3133" s="52"/>
      <c r="J3133" s="52"/>
      <c r="K3133" s="52"/>
      <c r="L3133" s="52"/>
      <c r="M3133" s="52"/>
      <c r="N3133" s="52"/>
      <c r="O3133" s="52"/>
      <c r="P3133" s="52"/>
      <c r="Q3133" s="52"/>
      <c r="R3133" s="52"/>
      <c r="S3133" s="52"/>
      <c r="T3133" s="52"/>
      <c r="U3133" s="52"/>
      <c r="V3133" s="52"/>
      <c r="W3133" s="52"/>
      <c r="X3133" s="52"/>
      <c r="Y3133" s="52"/>
      <c r="Z3133" s="52"/>
      <c r="AA3133" s="52"/>
      <c r="AB3133" s="52"/>
      <c r="AC3133" s="52"/>
      <c r="AD3133" s="52"/>
      <c r="AE3133" s="52"/>
      <c r="AF3133" s="52"/>
      <c r="AG3133" s="52"/>
      <c r="AH3133" s="52"/>
      <c r="AI3133" s="52"/>
      <c r="AJ3133" s="52"/>
      <c r="AK3133" s="52"/>
      <c r="AL3133" s="52"/>
      <c r="AM3133" s="52"/>
      <c r="AN3133" s="52"/>
    </row>
    <row r="3134" spans="1:40" x14ac:dyDescent="0.3">
      <c r="A3134" s="52">
        <v>3129</v>
      </c>
      <c r="B3134" s="52">
        <f>-bthan*500+(28+0.5)*bthan*1000/50</f>
        <v>385</v>
      </c>
      <c r="C3134" s="52">
        <f t="shared" si="294"/>
        <v>450</v>
      </c>
      <c r="D3134" s="52">
        <f t="shared" si="291"/>
        <v>2200</v>
      </c>
      <c r="E3134" s="52">
        <f t="shared" si="292"/>
        <v>1</v>
      </c>
      <c r="F3134" s="52"/>
      <c r="G3134" s="52"/>
      <c r="H3134" s="52"/>
      <c r="I3134" s="52"/>
      <c r="J3134" s="52"/>
      <c r="K3134" s="52"/>
      <c r="L3134" s="52"/>
      <c r="M3134" s="52"/>
      <c r="N3134" s="52"/>
      <c r="O3134" s="52"/>
      <c r="P3134" s="52"/>
      <c r="Q3134" s="52"/>
      <c r="R3134" s="52"/>
      <c r="S3134" s="52"/>
      <c r="T3134" s="52"/>
      <c r="U3134" s="52"/>
      <c r="V3134" s="52"/>
      <c r="W3134" s="52"/>
      <c r="X3134" s="52"/>
      <c r="Y3134" s="52"/>
      <c r="Z3134" s="52"/>
      <c r="AA3134" s="52"/>
      <c r="AB3134" s="52"/>
      <c r="AC3134" s="52"/>
      <c r="AD3134" s="52"/>
      <c r="AE3134" s="52"/>
      <c r="AF3134" s="52"/>
      <c r="AG3134" s="52"/>
      <c r="AH3134" s="52"/>
      <c r="AI3134" s="52"/>
      <c r="AJ3134" s="52"/>
      <c r="AK3134" s="52"/>
      <c r="AL3134" s="52"/>
      <c r="AM3134" s="52"/>
      <c r="AN3134" s="52"/>
    </row>
    <row r="3135" spans="1:40" x14ac:dyDescent="0.3">
      <c r="A3135" s="52">
        <v>3130</v>
      </c>
      <c r="B3135" s="52">
        <f>-bthan*500+(29+0.5)*bthan*1000/50</f>
        <v>495</v>
      </c>
      <c r="C3135" s="52">
        <f t="shared" si="294"/>
        <v>450</v>
      </c>
      <c r="D3135" s="52">
        <f t="shared" si="291"/>
        <v>2200</v>
      </c>
      <c r="E3135" s="52">
        <f t="shared" si="292"/>
        <v>1</v>
      </c>
      <c r="F3135" s="52"/>
      <c r="G3135" s="52"/>
      <c r="H3135" s="52"/>
      <c r="I3135" s="52"/>
      <c r="J3135" s="52"/>
      <c r="K3135" s="52"/>
      <c r="L3135" s="52"/>
      <c r="M3135" s="52"/>
      <c r="N3135" s="52"/>
      <c r="O3135" s="52"/>
      <c r="P3135" s="52"/>
      <c r="Q3135" s="52"/>
      <c r="R3135" s="52"/>
      <c r="S3135" s="52"/>
      <c r="T3135" s="52"/>
      <c r="U3135" s="52"/>
      <c r="V3135" s="52"/>
      <c r="W3135" s="52"/>
      <c r="X3135" s="52"/>
      <c r="Y3135" s="52"/>
      <c r="Z3135" s="52"/>
      <c r="AA3135" s="52"/>
      <c r="AB3135" s="52"/>
      <c r="AC3135" s="52"/>
      <c r="AD3135" s="52"/>
      <c r="AE3135" s="52"/>
      <c r="AF3135" s="52"/>
      <c r="AG3135" s="52"/>
      <c r="AH3135" s="52"/>
      <c r="AI3135" s="52"/>
      <c r="AJ3135" s="52"/>
      <c r="AK3135" s="52"/>
      <c r="AL3135" s="52"/>
      <c r="AM3135" s="52"/>
      <c r="AN3135" s="52"/>
    </row>
    <row r="3136" spans="1:40" x14ac:dyDescent="0.3">
      <c r="A3136" s="52">
        <v>3131</v>
      </c>
      <c r="B3136" s="52">
        <f>-bthan*500+(30+0.5)*bthan*1000/50</f>
        <v>605</v>
      </c>
      <c r="C3136" s="52">
        <f t="shared" si="294"/>
        <v>450</v>
      </c>
      <c r="D3136" s="52">
        <f t="shared" si="291"/>
        <v>2200</v>
      </c>
      <c r="E3136" s="52">
        <f t="shared" si="292"/>
        <v>1</v>
      </c>
      <c r="F3136" s="52"/>
      <c r="G3136" s="52"/>
      <c r="H3136" s="52"/>
      <c r="I3136" s="52"/>
      <c r="J3136" s="52"/>
      <c r="K3136" s="52"/>
      <c r="L3136" s="52"/>
      <c r="M3136" s="52"/>
      <c r="N3136" s="52"/>
      <c r="O3136" s="52"/>
      <c r="P3136" s="52"/>
      <c r="Q3136" s="52"/>
      <c r="R3136" s="52"/>
      <c r="S3136" s="52"/>
      <c r="T3136" s="52"/>
      <c r="U3136" s="52"/>
      <c r="V3136" s="52"/>
      <c r="W3136" s="52"/>
      <c r="X3136" s="52"/>
      <c r="Y3136" s="52"/>
      <c r="Z3136" s="52"/>
      <c r="AA3136" s="52"/>
      <c r="AB3136" s="52"/>
      <c r="AC3136" s="52"/>
      <c r="AD3136" s="52"/>
      <c r="AE3136" s="52"/>
      <c r="AF3136" s="52"/>
      <c r="AG3136" s="52"/>
      <c r="AH3136" s="52"/>
      <c r="AI3136" s="52"/>
      <c r="AJ3136" s="52"/>
      <c r="AK3136" s="52"/>
      <c r="AL3136" s="52"/>
      <c r="AM3136" s="52"/>
      <c r="AN3136" s="52"/>
    </row>
    <row r="3137" spans="1:40" x14ac:dyDescent="0.3">
      <c r="A3137" s="52">
        <v>3132</v>
      </c>
      <c r="B3137" s="52">
        <f>-bthan*500+(31+0.5)*bthan*1000/50</f>
        <v>715</v>
      </c>
      <c r="C3137" s="52">
        <f t="shared" si="294"/>
        <v>450</v>
      </c>
      <c r="D3137" s="52">
        <f t="shared" si="291"/>
        <v>2200</v>
      </c>
      <c r="E3137" s="52">
        <f t="shared" si="292"/>
        <v>1</v>
      </c>
      <c r="F3137" s="52"/>
      <c r="G3137" s="52"/>
      <c r="H3137" s="52"/>
      <c r="I3137" s="52"/>
      <c r="J3137" s="52"/>
      <c r="K3137" s="52"/>
      <c r="L3137" s="52"/>
      <c r="M3137" s="52"/>
      <c r="N3137" s="52"/>
      <c r="O3137" s="52"/>
      <c r="P3137" s="52"/>
      <c r="Q3137" s="52"/>
      <c r="R3137" s="52"/>
      <c r="S3137" s="52"/>
      <c r="T3137" s="52"/>
      <c r="U3137" s="52"/>
      <c r="V3137" s="52"/>
      <c r="W3137" s="52"/>
      <c r="X3137" s="52"/>
      <c r="Y3137" s="52"/>
      <c r="Z3137" s="52"/>
      <c r="AA3137" s="52"/>
      <c r="AB3137" s="52"/>
      <c r="AC3137" s="52"/>
      <c r="AD3137" s="52"/>
      <c r="AE3137" s="52"/>
      <c r="AF3137" s="52"/>
      <c r="AG3137" s="52"/>
      <c r="AH3137" s="52"/>
      <c r="AI3137" s="52"/>
      <c r="AJ3137" s="52"/>
      <c r="AK3137" s="52"/>
      <c r="AL3137" s="52"/>
      <c r="AM3137" s="52"/>
      <c r="AN3137" s="52"/>
    </row>
    <row r="3138" spans="1:40" x14ac:dyDescent="0.3">
      <c r="A3138" s="52">
        <v>3133</v>
      </c>
      <c r="B3138" s="52">
        <f>-bthan*500+(32+0.5)*bthan*1000/50</f>
        <v>825</v>
      </c>
      <c r="C3138" s="52">
        <f t="shared" ref="C3138:C3155" si="295">-hthan*500+(62+0.5)*hthan*1000/80</f>
        <v>450</v>
      </c>
      <c r="D3138" s="52">
        <f t="shared" si="291"/>
        <v>2200</v>
      </c>
      <c r="E3138" s="52">
        <f t="shared" si="292"/>
        <v>1</v>
      </c>
      <c r="F3138" s="52"/>
      <c r="G3138" s="52"/>
      <c r="H3138" s="52"/>
      <c r="I3138" s="52"/>
      <c r="J3138" s="52"/>
      <c r="K3138" s="52"/>
      <c r="L3138" s="52"/>
      <c r="M3138" s="52"/>
      <c r="N3138" s="52"/>
      <c r="O3138" s="52"/>
      <c r="P3138" s="52"/>
      <c r="Q3138" s="52"/>
      <c r="R3138" s="52"/>
      <c r="S3138" s="52"/>
      <c r="T3138" s="52"/>
      <c r="U3138" s="52"/>
      <c r="V3138" s="52"/>
      <c r="W3138" s="52"/>
      <c r="X3138" s="52"/>
      <c r="Y3138" s="52"/>
      <c r="Z3138" s="52"/>
      <c r="AA3138" s="52"/>
      <c r="AB3138" s="52"/>
      <c r="AC3138" s="52"/>
      <c r="AD3138" s="52"/>
      <c r="AE3138" s="52"/>
      <c r="AF3138" s="52"/>
      <c r="AG3138" s="52"/>
      <c r="AH3138" s="52"/>
      <c r="AI3138" s="52"/>
      <c r="AJ3138" s="52"/>
      <c r="AK3138" s="52"/>
      <c r="AL3138" s="52"/>
      <c r="AM3138" s="52"/>
      <c r="AN3138" s="52"/>
    </row>
    <row r="3139" spans="1:40" x14ac:dyDescent="0.3">
      <c r="A3139" s="52">
        <v>3134</v>
      </c>
      <c r="B3139" s="52">
        <f>-bthan*500+(33+0.5)*bthan*1000/50</f>
        <v>935</v>
      </c>
      <c r="C3139" s="52">
        <f t="shared" si="295"/>
        <v>450</v>
      </c>
      <c r="D3139" s="52">
        <f t="shared" si="291"/>
        <v>2200</v>
      </c>
      <c r="E3139" s="52">
        <f t="shared" si="292"/>
        <v>1</v>
      </c>
      <c r="F3139" s="52"/>
      <c r="G3139" s="52"/>
      <c r="H3139" s="52"/>
      <c r="I3139" s="52"/>
      <c r="J3139" s="52"/>
      <c r="K3139" s="52"/>
      <c r="L3139" s="52"/>
      <c r="M3139" s="52"/>
      <c r="N3139" s="52"/>
      <c r="O3139" s="52"/>
      <c r="P3139" s="52"/>
      <c r="Q3139" s="52"/>
      <c r="R3139" s="52"/>
      <c r="S3139" s="52"/>
      <c r="T3139" s="52"/>
      <c r="U3139" s="52"/>
      <c r="V3139" s="52"/>
      <c r="W3139" s="52"/>
      <c r="X3139" s="52"/>
      <c r="Y3139" s="52"/>
      <c r="Z3139" s="52"/>
      <c r="AA3139" s="52"/>
      <c r="AB3139" s="52"/>
      <c r="AC3139" s="52"/>
      <c r="AD3139" s="52"/>
      <c r="AE3139" s="52"/>
      <c r="AF3139" s="52"/>
      <c r="AG3139" s="52"/>
      <c r="AH3139" s="52"/>
      <c r="AI3139" s="52"/>
      <c r="AJ3139" s="52"/>
      <c r="AK3139" s="52"/>
      <c r="AL3139" s="52"/>
      <c r="AM3139" s="52"/>
      <c r="AN3139" s="52"/>
    </row>
    <row r="3140" spans="1:40" x14ac:dyDescent="0.3">
      <c r="A3140" s="52">
        <v>3135</v>
      </c>
      <c r="B3140" s="52">
        <f>-bthan*500+(34+0.5)*bthan*1000/50</f>
        <v>1045</v>
      </c>
      <c r="C3140" s="52">
        <f t="shared" si="295"/>
        <v>450</v>
      </c>
      <c r="D3140" s="52">
        <f t="shared" si="291"/>
        <v>2200</v>
      </c>
      <c r="E3140" s="52">
        <f t="shared" si="292"/>
        <v>1</v>
      </c>
      <c r="F3140" s="52"/>
      <c r="G3140" s="52"/>
      <c r="H3140" s="52"/>
      <c r="I3140" s="52"/>
      <c r="J3140" s="52"/>
      <c r="K3140" s="52"/>
      <c r="L3140" s="52"/>
      <c r="M3140" s="52"/>
      <c r="N3140" s="52"/>
      <c r="O3140" s="52"/>
      <c r="P3140" s="52"/>
      <c r="Q3140" s="52"/>
      <c r="R3140" s="52"/>
      <c r="S3140" s="52"/>
      <c r="T3140" s="52"/>
      <c r="U3140" s="52"/>
      <c r="V3140" s="52"/>
      <c r="W3140" s="52"/>
      <c r="X3140" s="52"/>
      <c r="Y3140" s="52"/>
      <c r="Z3140" s="52"/>
      <c r="AA3140" s="52"/>
      <c r="AB3140" s="52"/>
      <c r="AC3140" s="52"/>
      <c r="AD3140" s="52"/>
      <c r="AE3140" s="52"/>
      <c r="AF3140" s="52"/>
      <c r="AG3140" s="52"/>
      <c r="AH3140" s="52"/>
      <c r="AI3140" s="52"/>
      <c r="AJ3140" s="52"/>
      <c r="AK3140" s="52"/>
      <c r="AL3140" s="52"/>
      <c r="AM3140" s="52"/>
      <c r="AN3140" s="52"/>
    </row>
    <row r="3141" spans="1:40" x14ac:dyDescent="0.3">
      <c r="A3141" s="52">
        <v>3136</v>
      </c>
      <c r="B3141" s="52">
        <f>-bthan*500+(35+0.5)*bthan*1000/50</f>
        <v>1155</v>
      </c>
      <c r="C3141" s="52">
        <f t="shared" si="295"/>
        <v>450</v>
      </c>
      <c r="D3141" s="52">
        <f t="shared" si="291"/>
        <v>2200</v>
      </c>
      <c r="E3141" s="52">
        <f t="shared" si="292"/>
        <v>1</v>
      </c>
      <c r="F3141" s="52"/>
      <c r="G3141" s="52"/>
      <c r="H3141" s="52"/>
      <c r="I3141" s="52"/>
      <c r="J3141" s="52"/>
      <c r="K3141" s="52"/>
      <c r="L3141" s="52"/>
      <c r="M3141" s="52"/>
      <c r="N3141" s="52"/>
      <c r="O3141" s="52"/>
      <c r="P3141" s="52"/>
      <c r="Q3141" s="52"/>
      <c r="R3141" s="52"/>
      <c r="S3141" s="52"/>
      <c r="T3141" s="52"/>
      <c r="U3141" s="52"/>
      <c r="V3141" s="52"/>
      <c r="W3141" s="52"/>
      <c r="X3141" s="52"/>
      <c r="Y3141" s="52"/>
      <c r="Z3141" s="52"/>
      <c r="AA3141" s="52"/>
      <c r="AB3141" s="52"/>
      <c r="AC3141" s="52"/>
      <c r="AD3141" s="52"/>
      <c r="AE3141" s="52"/>
      <c r="AF3141" s="52"/>
      <c r="AG3141" s="52"/>
      <c r="AH3141" s="52"/>
      <c r="AI3141" s="52"/>
      <c r="AJ3141" s="52"/>
      <c r="AK3141" s="52"/>
      <c r="AL3141" s="52"/>
      <c r="AM3141" s="52"/>
      <c r="AN3141" s="52"/>
    </row>
    <row r="3142" spans="1:40" x14ac:dyDescent="0.3">
      <c r="A3142" s="52">
        <v>3137</v>
      </c>
      <c r="B3142" s="52">
        <f>-bthan*500+(36+0.5)*bthan*1000/50</f>
        <v>1265</v>
      </c>
      <c r="C3142" s="52">
        <f t="shared" si="295"/>
        <v>450</v>
      </c>
      <c r="D3142" s="52">
        <f t="shared" ref="D3142:D3205" si="296">bthan*1000/50*hthan*1000/80</f>
        <v>2200</v>
      </c>
      <c r="E3142" s="52">
        <f t="shared" ref="E3142:E3205" si="297">IF(shp=1,--(OR(ABS(B3142)&lt;=MAX(0,(bthan-hthan)*500),(ABS(B3142)-MAX(0,(bthan-hthan)*500))^2+C3142^2&lt;=(hthan*500)^2)),--(AND(ABS(B3142)&lt;=bthan*500,ABS(C3142)&lt;=hthan*500,OR(ABS(B3142)&lt;=bthan*500-cch*1000,ABS(C3142)&lt;=hthan*500-cch*1000,(bthan*500-ABS(B3142))+(hthan*500-ABS(C3142))&gt;=cch*1000))))</f>
        <v>1</v>
      </c>
      <c r="F3142" s="52"/>
      <c r="G3142" s="52"/>
      <c r="H3142" s="52"/>
      <c r="I3142" s="52"/>
      <c r="J3142" s="52"/>
      <c r="K3142" s="52"/>
      <c r="L3142" s="52"/>
      <c r="M3142" s="52"/>
      <c r="N3142" s="52"/>
      <c r="O3142" s="52"/>
      <c r="P3142" s="52"/>
      <c r="Q3142" s="52"/>
      <c r="R3142" s="52"/>
      <c r="S3142" s="52"/>
      <c r="T3142" s="52"/>
      <c r="U3142" s="52"/>
      <c r="V3142" s="52"/>
      <c r="W3142" s="52"/>
      <c r="X3142" s="52"/>
      <c r="Y3142" s="52"/>
      <c r="Z3142" s="52"/>
      <c r="AA3142" s="52"/>
      <c r="AB3142" s="52"/>
      <c r="AC3142" s="52"/>
      <c r="AD3142" s="52"/>
      <c r="AE3142" s="52"/>
      <c r="AF3142" s="52"/>
      <c r="AG3142" s="52"/>
      <c r="AH3142" s="52"/>
      <c r="AI3142" s="52"/>
      <c r="AJ3142" s="52"/>
      <c r="AK3142" s="52"/>
      <c r="AL3142" s="52"/>
      <c r="AM3142" s="52"/>
      <c r="AN3142" s="52"/>
    </row>
    <row r="3143" spans="1:40" x14ac:dyDescent="0.3">
      <c r="A3143" s="52">
        <v>3138</v>
      </c>
      <c r="B3143" s="52">
        <f>-bthan*500+(37+0.5)*bthan*1000/50</f>
        <v>1375</v>
      </c>
      <c r="C3143" s="52">
        <f t="shared" si="295"/>
        <v>450</v>
      </c>
      <c r="D3143" s="52">
        <f t="shared" si="296"/>
        <v>2200</v>
      </c>
      <c r="E3143" s="52">
        <f t="shared" si="297"/>
        <v>1</v>
      </c>
      <c r="F3143" s="52"/>
      <c r="G3143" s="52"/>
      <c r="H3143" s="52"/>
      <c r="I3143" s="52"/>
      <c r="J3143" s="52"/>
      <c r="K3143" s="52"/>
      <c r="L3143" s="52"/>
      <c r="M3143" s="52"/>
      <c r="N3143" s="52"/>
      <c r="O3143" s="52"/>
      <c r="P3143" s="52"/>
      <c r="Q3143" s="52"/>
      <c r="R3143" s="52"/>
      <c r="S3143" s="52"/>
      <c r="T3143" s="52"/>
      <c r="U3143" s="52"/>
      <c r="V3143" s="52"/>
      <c r="W3143" s="52"/>
      <c r="X3143" s="52"/>
      <c r="Y3143" s="52"/>
      <c r="Z3143" s="52"/>
      <c r="AA3143" s="52"/>
      <c r="AB3143" s="52"/>
      <c r="AC3143" s="52"/>
      <c r="AD3143" s="52"/>
      <c r="AE3143" s="52"/>
      <c r="AF3143" s="52"/>
      <c r="AG3143" s="52"/>
      <c r="AH3143" s="52"/>
      <c r="AI3143" s="52"/>
      <c r="AJ3143" s="52"/>
      <c r="AK3143" s="52"/>
      <c r="AL3143" s="52"/>
      <c r="AM3143" s="52"/>
      <c r="AN3143" s="52"/>
    </row>
    <row r="3144" spans="1:40" x14ac:dyDescent="0.3">
      <c r="A3144" s="52">
        <v>3139</v>
      </c>
      <c r="B3144" s="52">
        <f>-bthan*500+(38+0.5)*bthan*1000/50</f>
        <v>1485</v>
      </c>
      <c r="C3144" s="52">
        <f t="shared" si="295"/>
        <v>450</v>
      </c>
      <c r="D3144" s="52">
        <f t="shared" si="296"/>
        <v>2200</v>
      </c>
      <c r="E3144" s="52">
        <f t="shared" si="297"/>
        <v>1</v>
      </c>
      <c r="F3144" s="52"/>
      <c r="G3144" s="52"/>
      <c r="H3144" s="52"/>
      <c r="I3144" s="52"/>
      <c r="J3144" s="52"/>
      <c r="K3144" s="52"/>
      <c r="L3144" s="52"/>
      <c r="M3144" s="52"/>
      <c r="N3144" s="52"/>
      <c r="O3144" s="52"/>
      <c r="P3144" s="52"/>
      <c r="Q3144" s="52"/>
      <c r="R3144" s="52"/>
      <c r="S3144" s="52"/>
      <c r="T3144" s="52"/>
      <c r="U3144" s="52"/>
      <c r="V3144" s="52"/>
      <c r="W3144" s="52"/>
      <c r="X3144" s="52"/>
      <c r="Y3144" s="52"/>
      <c r="Z3144" s="52"/>
      <c r="AA3144" s="52"/>
      <c r="AB3144" s="52"/>
      <c r="AC3144" s="52"/>
      <c r="AD3144" s="52"/>
      <c r="AE3144" s="52"/>
      <c r="AF3144" s="52"/>
      <c r="AG3144" s="52"/>
      <c r="AH3144" s="52"/>
      <c r="AI3144" s="52"/>
      <c r="AJ3144" s="52"/>
      <c r="AK3144" s="52"/>
      <c r="AL3144" s="52"/>
      <c r="AM3144" s="52"/>
      <c r="AN3144" s="52"/>
    </row>
    <row r="3145" spans="1:40" x14ac:dyDescent="0.3">
      <c r="A3145" s="52">
        <v>3140</v>
      </c>
      <c r="B3145" s="52">
        <f>-bthan*500+(39+0.5)*bthan*1000/50</f>
        <v>1595</v>
      </c>
      <c r="C3145" s="52">
        <f t="shared" si="295"/>
        <v>450</v>
      </c>
      <c r="D3145" s="52">
        <f t="shared" si="296"/>
        <v>2200</v>
      </c>
      <c r="E3145" s="52">
        <f t="shared" si="297"/>
        <v>1</v>
      </c>
      <c r="F3145" s="52"/>
      <c r="G3145" s="52"/>
      <c r="H3145" s="52"/>
      <c r="I3145" s="52"/>
      <c r="J3145" s="52"/>
      <c r="K3145" s="52"/>
      <c r="L3145" s="52"/>
      <c r="M3145" s="52"/>
      <c r="N3145" s="52"/>
      <c r="O3145" s="52"/>
      <c r="P3145" s="52"/>
      <c r="Q3145" s="52"/>
      <c r="R3145" s="52"/>
      <c r="S3145" s="52"/>
      <c r="T3145" s="52"/>
      <c r="U3145" s="52"/>
      <c r="V3145" s="52"/>
      <c r="W3145" s="52"/>
      <c r="X3145" s="52"/>
      <c r="Y3145" s="52"/>
      <c r="Z3145" s="52"/>
      <c r="AA3145" s="52"/>
      <c r="AB3145" s="52"/>
      <c r="AC3145" s="52"/>
      <c r="AD3145" s="52"/>
      <c r="AE3145" s="52"/>
      <c r="AF3145" s="52"/>
      <c r="AG3145" s="52"/>
      <c r="AH3145" s="52"/>
      <c r="AI3145" s="52"/>
      <c r="AJ3145" s="52"/>
      <c r="AK3145" s="52"/>
      <c r="AL3145" s="52"/>
      <c r="AM3145" s="52"/>
      <c r="AN3145" s="52"/>
    </row>
    <row r="3146" spans="1:40" x14ac:dyDescent="0.3">
      <c r="A3146" s="52">
        <v>3141</v>
      </c>
      <c r="B3146" s="52">
        <f>-bthan*500+(40+0.5)*bthan*1000/50</f>
        <v>1705</v>
      </c>
      <c r="C3146" s="52">
        <f t="shared" si="295"/>
        <v>450</v>
      </c>
      <c r="D3146" s="52">
        <f t="shared" si="296"/>
        <v>2200</v>
      </c>
      <c r="E3146" s="52">
        <f t="shared" si="297"/>
        <v>1</v>
      </c>
      <c r="F3146" s="52"/>
      <c r="G3146" s="52"/>
      <c r="H3146" s="52"/>
      <c r="I3146" s="52"/>
      <c r="J3146" s="52"/>
      <c r="K3146" s="52"/>
      <c r="L3146" s="52"/>
      <c r="M3146" s="52"/>
      <c r="N3146" s="52"/>
      <c r="O3146" s="52"/>
      <c r="P3146" s="52"/>
      <c r="Q3146" s="52"/>
      <c r="R3146" s="52"/>
      <c r="S3146" s="52"/>
      <c r="T3146" s="52"/>
      <c r="U3146" s="52"/>
      <c r="V3146" s="52"/>
      <c r="W3146" s="52"/>
      <c r="X3146" s="52"/>
      <c r="Y3146" s="52"/>
      <c r="Z3146" s="52"/>
      <c r="AA3146" s="52"/>
      <c r="AB3146" s="52"/>
      <c r="AC3146" s="52"/>
      <c r="AD3146" s="52"/>
      <c r="AE3146" s="52"/>
      <c r="AF3146" s="52"/>
      <c r="AG3146" s="52"/>
      <c r="AH3146" s="52"/>
      <c r="AI3146" s="52"/>
      <c r="AJ3146" s="52"/>
      <c r="AK3146" s="52"/>
      <c r="AL3146" s="52"/>
      <c r="AM3146" s="52"/>
      <c r="AN3146" s="52"/>
    </row>
    <row r="3147" spans="1:40" x14ac:dyDescent="0.3">
      <c r="A3147" s="52">
        <v>3142</v>
      </c>
      <c r="B3147" s="52">
        <f>-bthan*500+(41+0.5)*bthan*1000/50</f>
        <v>1815</v>
      </c>
      <c r="C3147" s="52">
        <f t="shared" si="295"/>
        <v>450</v>
      </c>
      <c r="D3147" s="52">
        <f t="shared" si="296"/>
        <v>2200</v>
      </c>
      <c r="E3147" s="52">
        <f t="shared" si="297"/>
        <v>1</v>
      </c>
      <c r="F3147" s="52"/>
      <c r="G3147" s="52"/>
      <c r="H3147" s="52"/>
      <c r="I3147" s="52"/>
      <c r="J3147" s="52"/>
      <c r="K3147" s="52"/>
      <c r="L3147" s="52"/>
      <c r="M3147" s="52"/>
      <c r="N3147" s="52"/>
      <c r="O3147" s="52"/>
      <c r="P3147" s="52"/>
      <c r="Q3147" s="52"/>
      <c r="R3147" s="52"/>
      <c r="S3147" s="52"/>
      <c r="T3147" s="52"/>
      <c r="U3147" s="52"/>
      <c r="V3147" s="52"/>
      <c r="W3147" s="52"/>
      <c r="X3147" s="52"/>
      <c r="Y3147" s="52"/>
      <c r="Z3147" s="52"/>
      <c r="AA3147" s="52"/>
      <c r="AB3147" s="52"/>
      <c r="AC3147" s="52"/>
      <c r="AD3147" s="52"/>
      <c r="AE3147" s="52"/>
      <c r="AF3147" s="52"/>
      <c r="AG3147" s="52"/>
      <c r="AH3147" s="52"/>
      <c r="AI3147" s="52"/>
      <c r="AJ3147" s="52"/>
      <c r="AK3147" s="52"/>
      <c r="AL3147" s="52"/>
      <c r="AM3147" s="52"/>
      <c r="AN3147" s="52"/>
    </row>
    <row r="3148" spans="1:40" x14ac:dyDescent="0.3">
      <c r="A3148" s="52">
        <v>3143</v>
      </c>
      <c r="B3148" s="52">
        <f>-bthan*500+(42+0.5)*bthan*1000/50</f>
        <v>1925</v>
      </c>
      <c r="C3148" s="52">
        <f t="shared" si="295"/>
        <v>450</v>
      </c>
      <c r="D3148" s="52">
        <f t="shared" si="296"/>
        <v>2200</v>
      </c>
      <c r="E3148" s="52">
        <f t="shared" si="297"/>
        <v>1</v>
      </c>
      <c r="F3148" s="52"/>
      <c r="G3148" s="52"/>
      <c r="H3148" s="52"/>
      <c r="I3148" s="52"/>
      <c r="J3148" s="52"/>
      <c r="K3148" s="52"/>
      <c r="L3148" s="52"/>
      <c r="M3148" s="52"/>
      <c r="N3148" s="52"/>
      <c r="O3148" s="52"/>
      <c r="P3148" s="52"/>
      <c r="Q3148" s="52"/>
      <c r="R3148" s="52"/>
      <c r="S3148" s="52"/>
      <c r="T3148" s="52"/>
      <c r="U3148" s="52"/>
      <c r="V3148" s="52"/>
      <c r="W3148" s="52"/>
      <c r="X3148" s="52"/>
      <c r="Y3148" s="52"/>
      <c r="Z3148" s="52"/>
      <c r="AA3148" s="52"/>
      <c r="AB3148" s="52"/>
      <c r="AC3148" s="52"/>
      <c r="AD3148" s="52"/>
      <c r="AE3148" s="52"/>
      <c r="AF3148" s="52"/>
      <c r="AG3148" s="52"/>
      <c r="AH3148" s="52"/>
      <c r="AI3148" s="52"/>
      <c r="AJ3148" s="52"/>
      <c r="AK3148" s="52"/>
      <c r="AL3148" s="52"/>
      <c r="AM3148" s="52"/>
      <c r="AN3148" s="52"/>
    </row>
    <row r="3149" spans="1:40" x14ac:dyDescent="0.3">
      <c r="A3149" s="52">
        <v>3144</v>
      </c>
      <c r="B3149" s="52">
        <f>-bthan*500+(43+0.5)*bthan*1000/50</f>
        <v>2035</v>
      </c>
      <c r="C3149" s="52">
        <f t="shared" si="295"/>
        <v>450</v>
      </c>
      <c r="D3149" s="52">
        <f t="shared" si="296"/>
        <v>2200</v>
      </c>
      <c r="E3149" s="52">
        <f t="shared" si="297"/>
        <v>1</v>
      </c>
      <c r="F3149" s="52"/>
      <c r="G3149" s="52"/>
      <c r="H3149" s="52"/>
      <c r="I3149" s="52"/>
      <c r="J3149" s="52"/>
      <c r="K3149" s="52"/>
      <c r="L3149" s="52"/>
      <c r="M3149" s="52"/>
      <c r="N3149" s="52"/>
      <c r="O3149" s="52"/>
      <c r="P3149" s="52"/>
      <c r="Q3149" s="52"/>
      <c r="R3149" s="52"/>
      <c r="S3149" s="52"/>
      <c r="T3149" s="52"/>
      <c r="U3149" s="52"/>
      <c r="V3149" s="52"/>
      <c r="W3149" s="52"/>
      <c r="X3149" s="52"/>
      <c r="Y3149" s="52"/>
      <c r="Z3149" s="52"/>
      <c r="AA3149" s="52"/>
      <c r="AB3149" s="52"/>
      <c r="AC3149" s="52"/>
      <c r="AD3149" s="52"/>
      <c r="AE3149" s="52"/>
      <c r="AF3149" s="52"/>
      <c r="AG3149" s="52"/>
      <c r="AH3149" s="52"/>
      <c r="AI3149" s="52"/>
      <c r="AJ3149" s="52"/>
      <c r="AK3149" s="52"/>
      <c r="AL3149" s="52"/>
      <c r="AM3149" s="52"/>
      <c r="AN3149" s="52"/>
    </row>
    <row r="3150" spans="1:40" x14ac:dyDescent="0.3">
      <c r="A3150" s="52">
        <v>3145</v>
      </c>
      <c r="B3150" s="52">
        <f>-bthan*500+(44+0.5)*bthan*1000/50</f>
        <v>2145</v>
      </c>
      <c r="C3150" s="52">
        <f t="shared" si="295"/>
        <v>450</v>
      </c>
      <c r="D3150" s="52">
        <f t="shared" si="296"/>
        <v>2200</v>
      </c>
      <c r="E3150" s="52">
        <f t="shared" si="297"/>
        <v>1</v>
      </c>
      <c r="F3150" s="52"/>
      <c r="G3150" s="52"/>
      <c r="H3150" s="52"/>
      <c r="I3150" s="52"/>
      <c r="J3150" s="52"/>
      <c r="K3150" s="52"/>
      <c r="L3150" s="52"/>
      <c r="M3150" s="52"/>
      <c r="N3150" s="52"/>
      <c r="O3150" s="52"/>
      <c r="P3150" s="52"/>
      <c r="Q3150" s="52"/>
      <c r="R3150" s="52"/>
      <c r="S3150" s="52"/>
      <c r="T3150" s="52"/>
      <c r="U3150" s="52"/>
      <c r="V3150" s="52"/>
      <c r="W3150" s="52"/>
      <c r="X3150" s="52"/>
      <c r="Y3150" s="52"/>
      <c r="Z3150" s="52"/>
      <c r="AA3150" s="52"/>
      <c r="AB3150" s="52"/>
      <c r="AC3150" s="52"/>
      <c r="AD3150" s="52"/>
      <c r="AE3150" s="52"/>
      <c r="AF3150" s="52"/>
      <c r="AG3150" s="52"/>
      <c r="AH3150" s="52"/>
      <c r="AI3150" s="52"/>
      <c r="AJ3150" s="52"/>
      <c r="AK3150" s="52"/>
      <c r="AL3150" s="52"/>
      <c r="AM3150" s="52"/>
      <c r="AN3150" s="52"/>
    </row>
    <row r="3151" spans="1:40" x14ac:dyDescent="0.3">
      <c r="A3151" s="52">
        <v>3146</v>
      </c>
      <c r="B3151" s="52">
        <f>-bthan*500+(45+0.5)*bthan*1000/50</f>
        <v>2255</v>
      </c>
      <c r="C3151" s="52">
        <f t="shared" si="295"/>
        <v>450</v>
      </c>
      <c r="D3151" s="52">
        <f t="shared" si="296"/>
        <v>2200</v>
      </c>
      <c r="E3151" s="52">
        <f t="shared" si="297"/>
        <v>1</v>
      </c>
      <c r="F3151" s="52"/>
      <c r="G3151" s="52"/>
      <c r="H3151" s="52"/>
      <c r="I3151" s="52"/>
      <c r="J3151" s="52"/>
      <c r="K3151" s="52"/>
      <c r="L3151" s="52"/>
      <c r="M3151" s="52"/>
      <c r="N3151" s="52"/>
      <c r="O3151" s="52"/>
      <c r="P3151" s="52"/>
      <c r="Q3151" s="52"/>
      <c r="R3151" s="52"/>
      <c r="S3151" s="52"/>
      <c r="T3151" s="52"/>
      <c r="U3151" s="52"/>
      <c r="V3151" s="52"/>
      <c r="W3151" s="52"/>
      <c r="X3151" s="52"/>
      <c r="Y3151" s="52"/>
      <c r="Z3151" s="52"/>
      <c r="AA3151" s="52"/>
      <c r="AB3151" s="52"/>
      <c r="AC3151" s="52"/>
      <c r="AD3151" s="52"/>
      <c r="AE3151" s="52"/>
      <c r="AF3151" s="52"/>
      <c r="AG3151" s="52"/>
      <c r="AH3151" s="52"/>
      <c r="AI3151" s="52"/>
      <c r="AJ3151" s="52"/>
      <c r="AK3151" s="52"/>
      <c r="AL3151" s="52"/>
      <c r="AM3151" s="52"/>
      <c r="AN3151" s="52"/>
    </row>
    <row r="3152" spans="1:40" x14ac:dyDescent="0.3">
      <c r="A3152" s="52">
        <v>3147</v>
      </c>
      <c r="B3152" s="52">
        <f>-bthan*500+(46+0.5)*bthan*1000/50</f>
        <v>2365</v>
      </c>
      <c r="C3152" s="52">
        <f t="shared" si="295"/>
        <v>450</v>
      </c>
      <c r="D3152" s="52">
        <f t="shared" si="296"/>
        <v>2200</v>
      </c>
      <c r="E3152" s="52">
        <f t="shared" si="297"/>
        <v>1</v>
      </c>
      <c r="F3152" s="52"/>
      <c r="G3152" s="52"/>
      <c r="H3152" s="52"/>
      <c r="I3152" s="52"/>
      <c r="J3152" s="52"/>
      <c r="K3152" s="52"/>
      <c r="L3152" s="52"/>
      <c r="M3152" s="52"/>
      <c r="N3152" s="52"/>
      <c r="O3152" s="52"/>
      <c r="P3152" s="52"/>
      <c r="Q3152" s="52"/>
      <c r="R3152" s="52"/>
      <c r="S3152" s="52"/>
      <c r="T3152" s="52"/>
      <c r="U3152" s="52"/>
      <c r="V3152" s="52"/>
      <c r="W3152" s="52"/>
      <c r="X3152" s="52"/>
      <c r="Y3152" s="52"/>
      <c r="Z3152" s="52"/>
      <c r="AA3152" s="52"/>
      <c r="AB3152" s="52"/>
      <c r="AC3152" s="52"/>
      <c r="AD3152" s="52"/>
      <c r="AE3152" s="52"/>
      <c r="AF3152" s="52"/>
      <c r="AG3152" s="52"/>
      <c r="AH3152" s="52"/>
      <c r="AI3152" s="52"/>
      <c r="AJ3152" s="52"/>
      <c r="AK3152" s="52"/>
      <c r="AL3152" s="52"/>
      <c r="AM3152" s="52"/>
      <c r="AN3152" s="52"/>
    </row>
    <row r="3153" spans="1:40" x14ac:dyDescent="0.3">
      <c r="A3153" s="52">
        <v>3148</v>
      </c>
      <c r="B3153" s="52">
        <f>-bthan*500+(47+0.5)*bthan*1000/50</f>
        <v>2475</v>
      </c>
      <c r="C3153" s="52">
        <f t="shared" si="295"/>
        <v>450</v>
      </c>
      <c r="D3153" s="52">
        <f t="shared" si="296"/>
        <v>2200</v>
      </c>
      <c r="E3153" s="52">
        <f t="shared" si="297"/>
        <v>1</v>
      </c>
      <c r="F3153" s="52"/>
      <c r="G3153" s="52"/>
      <c r="H3153" s="52"/>
      <c r="I3153" s="52"/>
      <c r="J3153" s="52"/>
      <c r="K3153" s="52"/>
      <c r="L3153" s="52"/>
      <c r="M3153" s="52"/>
      <c r="N3153" s="52"/>
      <c r="O3153" s="52"/>
      <c r="P3153" s="52"/>
      <c r="Q3153" s="52"/>
      <c r="R3153" s="52"/>
      <c r="S3153" s="52"/>
      <c r="T3153" s="52"/>
      <c r="U3153" s="52"/>
      <c r="V3153" s="52"/>
      <c r="W3153" s="52"/>
      <c r="X3153" s="52"/>
      <c r="Y3153" s="52"/>
      <c r="Z3153" s="52"/>
      <c r="AA3153" s="52"/>
      <c r="AB3153" s="52"/>
      <c r="AC3153" s="52"/>
      <c r="AD3153" s="52"/>
      <c r="AE3153" s="52"/>
      <c r="AF3153" s="52"/>
      <c r="AG3153" s="52"/>
      <c r="AH3153" s="52"/>
      <c r="AI3153" s="52"/>
      <c r="AJ3153" s="52"/>
      <c r="AK3153" s="52"/>
      <c r="AL3153" s="52"/>
      <c r="AM3153" s="52"/>
      <c r="AN3153" s="52"/>
    </row>
    <row r="3154" spans="1:40" x14ac:dyDescent="0.3">
      <c r="A3154" s="52">
        <v>3149</v>
      </c>
      <c r="B3154" s="52">
        <f>-bthan*500+(48+0.5)*bthan*1000/50</f>
        <v>2585</v>
      </c>
      <c r="C3154" s="52">
        <f t="shared" si="295"/>
        <v>450</v>
      </c>
      <c r="D3154" s="52">
        <f t="shared" si="296"/>
        <v>2200</v>
      </c>
      <c r="E3154" s="52">
        <f t="shared" si="297"/>
        <v>1</v>
      </c>
      <c r="F3154" s="52"/>
      <c r="G3154" s="52"/>
      <c r="H3154" s="52"/>
      <c r="I3154" s="52"/>
      <c r="J3154" s="52"/>
      <c r="K3154" s="52"/>
      <c r="L3154" s="52"/>
      <c r="M3154" s="52"/>
      <c r="N3154" s="52"/>
      <c r="O3154" s="52"/>
      <c r="P3154" s="52"/>
      <c r="Q3154" s="52"/>
      <c r="R3154" s="52"/>
      <c r="S3154" s="52"/>
      <c r="T3154" s="52"/>
      <c r="U3154" s="52"/>
      <c r="V3154" s="52"/>
      <c r="W3154" s="52"/>
      <c r="X3154" s="52"/>
      <c r="Y3154" s="52"/>
      <c r="Z3154" s="52"/>
      <c r="AA3154" s="52"/>
      <c r="AB3154" s="52"/>
      <c r="AC3154" s="52"/>
      <c r="AD3154" s="52"/>
      <c r="AE3154" s="52"/>
      <c r="AF3154" s="52"/>
      <c r="AG3154" s="52"/>
      <c r="AH3154" s="52"/>
      <c r="AI3154" s="52"/>
      <c r="AJ3154" s="52"/>
      <c r="AK3154" s="52"/>
      <c r="AL3154" s="52"/>
      <c r="AM3154" s="52"/>
      <c r="AN3154" s="52"/>
    </row>
    <row r="3155" spans="1:40" x14ac:dyDescent="0.3">
      <c r="A3155" s="52">
        <v>3150</v>
      </c>
      <c r="B3155" s="52">
        <f>-bthan*500+(49+0.5)*bthan*1000/50</f>
        <v>2695</v>
      </c>
      <c r="C3155" s="52">
        <f t="shared" si="295"/>
        <v>450</v>
      </c>
      <c r="D3155" s="52">
        <f t="shared" si="296"/>
        <v>2200</v>
      </c>
      <c r="E3155" s="52">
        <f t="shared" si="297"/>
        <v>0</v>
      </c>
      <c r="F3155" s="52"/>
      <c r="G3155" s="52"/>
      <c r="H3155" s="52"/>
      <c r="I3155" s="52"/>
      <c r="J3155" s="52"/>
      <c r="K3155" s="52"/>
      <c r="L3155" s="52"/>
      <c r="M3155" s="52"/>
      <c r="N3155" s="52"/>
      <c r="O3155" s="52"/>
      <c r="P3155" s="52"/>
      <c r="Q3155" s="52"/>
      <c r="R3155" s="52"/>
      <c r="S3155" s="52"/>
      <c r="T3155" s="52"/>
      <c r="U3155" s="52"/>
      <c r="V3155" s="52"/>
      <c r="W3155" s="52"/>
      <c r="X3155" s="52"/>
      <c r="Y3155" s="52"/>
      <c r="Z3155" s="52"/>
      <c r="AA3155" s="52"/>
      <c r="AB3155" s="52"/>
      <c r="AC3155" s="52"/>
      <c r="AD3155" s="52"/>
      <c r="AE3155" s="52"/>
      <c r="AF3155" s="52"/>
      <c r="AG3155" s="52"/>
      <c r="AH3155" s="52"/>
      <c r="AI3155" s="52"/>
      <c r="AJ3155" s="52"/>
      <c r="AK3155" s="52"/>
      <c r="AL3155" s="52"/>
      <c r="AM3155" s="52"/>
      <c r="AN3155" s="52"/>
    </row>
    <row r="3156" spans="1:40" x14ac:dyDescent="0.3">
      <c r="A3156" s="52">
        <v>3151</v>
      </c>
      <c r="B3156" s="52">
        <f>-bthan*500+(0+0.5)*bthan*1000/50</f>
        <v>-2695</v>
      </c>
      <c r="C3156" s="52">
        <f t="shared" ref="C3156:C3187" si="298">-hthan*500+(63+0.5)*hthan*1000/80</f>
        <v>470.00000000000023</v>
      </c>
      <c r="D3156" s="52">
        <f t="shared" si="296"/>
        <v>2200</v>
      </c>
      <c r="E3156" s="52">
        <f t="shared" si="297"/>
        <v>0</v>
      </c>
      <c r="F3156" s="52"/>
      <c r="G3156" s="52"/>
      <c r="H3156" s="52"/>
      <c r="I3156" s="52"/>
      <c r="J3156" s="52"/>
      <c r="K3156" s="52"/>
      <c r="L3156" s="52"/>
      <c r="M3156" s="52"/>
      <c r="N3156" s="52"/>
      <c r="O3156" s="52"/>
      <c r="P3156" s="52"/>
      <c r="Q3156" s="52"/>
      <c r="R3156" s="52"/>
      <c r="S3156" s="52"/>
      <c r="T3156" s="52"/>
      <c r="U3156" s="52"/>
      <c r="V3156" s="52"/>
      <c r="W3156" s="52"/>
      <c r="X3156" s="52"/>
      <c r="Y3156" s="52"/>
      <c r="Z3156" s="52"/>
      <c r="AA3156" s="52"/>
      <c r="AB3156" s="52"/>
      <c r="AC3156" s="52"/>
      <c r="AD3156" s="52"/>
      <c r="AE3156" s="52"/>
      <c r="AF3156" s="52"/>
      <c r="AG3156" s="52"/>
      <c r="AH3156" s="52"/>
      <c r="AI3156" s="52"/>
      <c r="AJ3156" s="52"/>
      <c r="AK3156" s="52"/>
      <c r="AL3156" s="52"/>
      <c r="AM3156" s="52"/>
      <c r="AN3156" s="52"/>
    </row>
    <row r="3157" spans="1:40" x14ac:dyDescent="0.3">
      <c r="A3157" s="52">
        <v>3152</v>
      </c>
      <c r="B3157" s="52">
        <f>-bthan*500+(1+0.5)*bthan*1000/50</f>
        <v>-2585</v>
      </c>
      <c r="C3157" s="52">
        <f t="shared" si="298"/>
        <v>470.00000000000023</v>
      </c>
      <c r="D3157" s="52">
        <f t="shared" si="296"/>
        <v>2200</v>
      </c>
      <c r="E3157" s="52">
        <f t="shared" si="297"/>
        <v>1</v>
      </c>
      <c r="F3157" s="52"/>
      <c r="G3157" s="52"/>
      <c r="H3157" s="52"/>
      <c r="I3157" s="52"/>
      <c r="J3157" s="52"/>
      <c r="K3157" s="52"/>
      <c r="L3157" s="52"/>
      <c r="M3157" s="52"/>
      <c r="N3157" s="52"/>
      <c r="O3157" s="52"/>
      <c r="P3157" s="52"/>
      <c r="Q3157" s="52"/>
      <c r="R3157" s="52"/>
      <c r="S3157" s="52"/>
      <c r="T3157" s="52"/>
      <c r="U3157" s="52"/>
      <c r="V3157" s="52"/>
      <c r="W3157" s="52"/>
      <c r="X3157" s="52"/>
      <c r="Y3157" s="52"/>
      <c r="Z3157" s="52"/>
      <c r="AA3157" s="52"/>
      <c r="AB3157" s="52"/>
      <c r="AC3157" s="52"/>
      <c r="AD3157" s="52"/>
      <c r="AE3157" s="52"/>
      <c r="AF3157" s="52"/>
      <c r="AG3157" s="52"/>
      <c r="AH3157" s="52"/>
      <c r="AI3157" s="52"/>
      <c r="AJ3157" s="52"/>
      <c r="AK3157" s="52"/>
      <c r="AL3157" s="52"/>
      <c r="AM3157" s="52"/>
      <c r="AN3157" s="52"/>
    </row>
    <row r="3158" spans="1:40" x14ac:dyDescent="0.3">
      <c r="A3158" s="52">
        <v>3153</v>
      </c>
      <c r="B3158" s="52">
        <f>-bthan*500+(2+0.5)*bthan*1000/50</f>
        <v>-2475</v>
      </c>
      <c r="C3158" s="52">
        <f t="shared" si="298"/>
        <v>470.00000000000023</v>
      </c>
      <c r="D3158" s="52">
        <f t="shared" si="296"/>
        <v>2200</v>
      </c>
      <c r="E3158" s="52">
        <f t="shared" si="297"/>
        <v>1</v>
      </c>
      <c r="F3158" s="52"/>
      <c r="G3158" s="52"/>
      <c r="H3158" s="52"/>
      <c r="I3158" s="52"/>
      <c r="J3158" s="52"/>
      <c r="K3158" s="52"/>
      <c r="L3158" s="52"/>
      <c r="M3158" s="52"/>
      <c r="N3158" s="52"/>
      <c r="O3158" s="52"/>
      <c r="P3158" s="52"/>
      <c r="Q3158" s="52"/>
      <c r="R3158" s="52"/>
      <c r="S3158" s="52"/>
      <c r="T3158" s="52"/>
      <c r="U3158" s="52"/>
      <c r="V3158" s="52"/>
      <c r="W3158" s="52"/>
      <c r="X3158" s="52"/>
      <c r="Y3158" s="52"/>
      <c r="Z3158" s="52"/>
      <c r="AA3158" s="52"/>
      <c r="AB3158" s="52"/>
      <c r="AC3158" s="52"/>
      <c r="AD3158" s="52"/>
      <c r="AE3158" s="52"/>
      <c r="AF3158" s="52"/>
      <c r="AG3158" s="52"/>
      <c r="AH3158" s="52"/>
      <c r="AI3158" s="52"/>
      <c r="AJ3158" s="52"/>
      <c r="AK3158" s="52"/>
      <c r="AL3158" s="52"/>
      <c r="AM3158" s="52"/>
      <c r="AN3158" s="52"/>
    </row>
    <row r="3159" spans="1:40" x14ac:dyDescent="0.3">
      <c r="A3159" s="52">
        <v>3154</v>
      </c>
      <c r="B3159" s="52">
        <f>-bthan*500+(3+0.5)*bthan*1000/50</f>
        <v>-2365</v>
      </c>
      <c r="C3159" s="52">
        <f t="shared" si="298"/>
        <v>470.00000000000023</v>
      </c>
      <c r="D3159" s="52">
        <f t="shared" si="296"/>
        <v>2200</v>
      </c>
      <c r="E3159" s="52">
        <f t="shared" si="297"/>
        <v>1</v>
      </c>
      <c r="F3159" s="52"/>
      <c r="G3159" s="52"/>
      <c r="H3159" s="52"/>
      <c r="I3159" s="52"/>
      <c r="J3159" s="52"/>
      <c r="K3159" s="52"/>
      <c r="L3159" s="52"/>
      <c r="M3159" s="52"/>
      <c r="N3159" s="52"/>
      <c r="O3159" s="52"/>
      <c r="P3159" s="52"/>
      <c r="Q3159" s="52"/>
      <c r="R3159" s="52"/>
      <c r="S3159" s="52"/>
      <c r="T3159" s="52"/>
      <c r="U3159" s="52"/>
      <c r="V3159" s="52"/>
      <c r="W3159" s="52"/>
      <c r="X3159" s="52"/>
      <c r="Y3159" s="52"/>
      <c r="Z3159" s="52"/>
      <c r="AA3159" s="52"/>
      <c r="AB3159" s="52"/>
      <c r="AC3159" s="52"/>
      <c r="AD3159" s="52"/>
      <c r="AE3159" s="52"/>
      <c r="AF3159" s="52"/>
      <c r="AG3159" s="52"/>
      <c r="AH3159" s="52"/>
      <c r="AI3159" s="52"/>
      <c r="AJ3159" s="52"/>
      <c r="AK3159" s="52"/>
      <c r="AL3159" s="52"/>
      <c r="AM3159" s="52"/>
      <c r="AN3159" s="52"/>
    </row>
    <row r="3160" spans="1:40" x14ac:dyDescent="0.3">
      <c r="A3160" s="52">
        <v>3155</v>
      </c>
      <c r="B3160" s="52">
        <f>-bthan*500+(4+0.5)*bthan*1000/50</f>
        <v>-2255</v>
      </c>
      <c r="C3160" s="52">
        <f t="shared" si="298"/>
        <v>470.00000000000023</v>
      </c>
      <c r="D3160" s="52">
        <f t="shared" si="296"/>
        <v>2200</v>
      </c>
      <c r="E3160" s="52">
        <f t="shared" si="297"/>
        <v>1</v>
      </c>
      <c r="F3160" s="52"/>
      <c r="G3160" s="52"/>
      <c r="H3160" s="52"/>
      <c r="I3160" s="52"/>
      <c r="J3160" s="52"/>
      <c r="K3160" s="52"/>
      <c r="L3160" s="52"/>
      <c r="M3160" s="52"/>
      <c r="N3160" s="52"/>
      <c r="O3160" s="52"/>
      <c r="P3160" s="52"/>
      <c r="Q3160" s="52"/>
      <c r="R3160" s="52"/>
      <c r="S3160" s="52"/>
      <c r="T3160" s="52"/>
      <c r="U3160" s="52"/>
      <c r="V3160" s="52"/>
      <c r="W3160" s="52"/>
      <c r="X3160" s="52"/>
      <c r="Y3160" s="52"/>
      <c r="Z3160" s="52"/>
      <c r="AA3160" s="52"/>
      <c r="AB3160" s="52"/>
      <c r="AC3160" s="52"/>
      <c r="AD3160" s="52"/>
      <c r="AE3160" s="52"/>
      <c r="AF3160" s="52"/>
      <c r="AG3160" s="52"/>
      <c r="AH3160" s="52"/>
      <c r="AI3160" s="52"/>
      <c r="AJ3160" s="52"/>
      <c r="AK3160" s="52"/>
      <c r="AL3160" s="52"/>
      <c r="AM3160" s="52"/>
      <c r="AN3160" s="52"/>
    </row>
    <row r="3161" spans="1:40" x14ac:dyDescent="0.3">
      <c r="A3161" s="52">
        <v>3156</v>
      </c>
      <c r="B3161" s="52">
        <f>-bthan*500+(5+0.5)*bthan*1000/50</f>
        <v>-2145</v>
      </c>
      <c r="C3161" s="52">
        <f t="shared" si="298"/>
        <v>470.00000000000023</v>
      </c>
      <c r="D3161" s="52">
        <f t="shared" si="296"/>
        <v>2200</v>
      </c>
      <c r="E3161" s="52">
        <f t="shared" si="297"/>
        <v>1</v>
      </c>
      <c r="F3161" s="52"/>
      <c r="G3161" s="52"/>
      <c r="H3161" s="52"/>
      <c r="I3161" s="52"/>
      <c r="J3161" s="52"/>
      <c r="K3161" s="52"/>
      <c r="L3161" s="52"/>
      <c r="M3161" s="52"/>
      <c r="N3161" s="52"/>
      <c r="O3161" s="52"/>
      <c r="P3161" s="52"/>
      <c r="Q3161" s="52"/>
      <c r="R3161" s="52"/>
      <c r="S3161" s="52"/>
      <c r="T3161" s="52"/>
      <c r="U3161" s="52"/>
      <c r="V3161" s="52"/>
      <c r="W3161" s="52"/>
      <c r="X3161" s="52"/>
      <c r="Y3161" s="52"/>
      <c r="Z3161" s="52"/>
      <c r="AA3161" s="52"/>
      <c r="AB3161" s="52"/>
      <c r="AC3161" s="52"/>
      <c r="AD3161" s="52"/>
      <c r="AE3161" s="52"/>
      <c r="AF3161" s="52"/>
      <c r="AG3161" s="52"/>
      <c r="AH3161" s="52"/>
      <c r="AI3161" s="52"/>
      <c r="AJ3161" s="52"/>
      <c r="AK3161" s="52"/>
      <c r="AL3161" s="52"/>
      <c r="AM3161" s="52"/>
      <c r="AN3161" s="52"/>
    </row>
    <row r="3162" spans="1:40" x14ac:dyDescent="0.3">
      <c r="A3162" s="52">
        <v>3157</v>
      </c>
      <c r="B3162" s="52">
        <f>-bthan*500+(6+0.5)*bthan*1000/50</f>
        <v>-2035</v>
      </c>
      <c r="C3162" s="52">
        <f t="shared" si="298"/>
        <v>470.00000000000023</v>
      </c>
      <c r="D3162" s="52">
        <f t="shared" si="296"/>
        <v>2200</v>
      </c>
      <c r="E3162" s="52">
        <f t="shared" si="297"/>
        <v>1</v>
      </c>
      <c r="F3162" s="52"/>
      <c r="G3162" s="52"/>
      <c r="H3162" s="52"/>
      <c r="I3162" s="52"/>
      <c r="J3162" s="52"/>
      <c r="K3162" s="52"/>
      <c r="L3162" s="52"/>
      <c r="M3162" s="52"/>
      <c r="N3162" s="52"/>
      <c r="O3162" s="52"/>
      <c r="P3162" s="52"/>
      <c r="Q3162" s="52"/>
      <c r="R3162" s="52"/>
      <c r="S3162" s="52"/>
      <c r="T3162" s="52"/>
      <c r="U3162" s="52"/>
      <c r="V3162" s="52"/>
      <c r="W3162" s="52"/>
      <c r="X3162" s="52"/>
      <c r="Y3162" s="52"/>
      <c r="Z3162" s="52"/>
      <c r="AA3162" s="52"/>
      <c r="AB3162" s="52"/>
      <c r="AC3162" s="52"/>
      <c r="AD3162" s="52"/>
      <c r="AE3162" s="52"/>
      <c r="AF3162" s="52"/>
      <c r="AG3162" s="52"/>
      <c r="AH3162" s="52"/>
      <c r="AI3162" s="52"/>
      <c r="AJ3162" s="52"/>
      <c r="AK3162" s="52"/>
      <c r="AL3162" s="52"/>
      <c r="AM3162" s="52"/>
      <c r="AN3162" s="52"/>
    </row>
    <row r="3163" spans="1:40" x14ac:dyDescent="0.3">
      <c r="A3163" s="52">
        <v>3158</v>
      </c>
      <c r="B3163" s="52">
        <f>-bthan*500+(7+0.5)*bthan*1000/50</f>
        <v>-1925</v>
      </c>
      <c r="C3163" s="52">
        <f t="shared" si="298"/>
        <v>470.00000000000023</v>
      </c>
      <c r="D3163" s="52">
        <f t="shared" si="296"/>
        <v>2200</v>
      </c>
      <c r="E3163" s="52">
        <f t="shared" si="297"/>
        <v>1</v>
      </c>
      <c r="F3163" s="52"/>
      <c r="G3163" s="52"/>
      <c r="H3163" s="52"/>
      <c r="I3163" s="52"/>
      <c r="J3163" s="52"/>
      <c r="K3163" s="52"/>
      <c r="L3163" s="52"/>
      <c r="M3163" s="52"/>
      <c r="N3163" s="52"/>
      <c r="O3163" s="52"/>
      <c r="P3163" s="52"/>
      <c r="Q3163" s="52"/>
      <c r="R3163" s="52"/>
      <c r="S3163" s="52"/>
      <c r="T3163" s="52"/>
      <c r="U3163" s="52"/>
      <c r="V3163" s="52"/>
      <c r="W3163" s="52"/>
      <c r="X3163" s="52"/>
      <c r="Y3163" s="52"/>
      <c r="Z3163" s="52"/>
      <c r="AA3163" s="52"/>
      <c r="AB3163" s="52"/>
      <c r="AC3163" s="52"/>
      <c r="AD3163" s="52"/>
      <c r="AE3163" s="52"/>
      <c r="AF3163" s="52"/>
      <c r="AG3163" s="52"/>
      <c r="AH3163" s="52"/>
      <c r="AI3163" s="52"/>
      <c r="AJ3163" s="52"/>
      <c r="AK3163" s="52"/>
      <c r="AL3163" s="52"/>
      <c r="AM3163" s="52"/>
      <c r="AN3163" s="52"/>
    </row>
    <row r="3164" spans="1:40" x14ac:dyDescent="0.3">
      <c r="A3164" s="52">
        <v>3159</v>
      </c>
      <c r="B3164" s="52">
        <f>-bthan*500+(8+0.5)*bthan*1000/50</f>
        <v>-1815</v>
      </c>
      <c r="C3164" s="52">
        <f t="shared" si="298"/>
        <v>470.00000000000023</v>
      </c>
      <c r="D3164" s="52">
        <f t="shared" si="296"/>
        <v>2200</v>
      </c>
      <c r="E3164" s="52">
        <f t="shared" si="297"/>
        <v>1</v>
      </c>
      <c r="F3164" s="52"/>
      <c r="G3164" s="52"/>
      <c r="H3164" s="52"/>
      <c r="I3164" s="52"/>
      <c r="J3164" s="52"/>
      <c r="K3164" s="52"/>
      <c r="L3164" s="52"/>
      <c r="M3164" s="52"/>
      <c r="N3164" s="52"/>
      <c r="O3164" s="52"/>
      <c r="P3164" s="52"/>
      <c r="Q3164" s="52"/>
      <c r="R3164" s="52"/>
      <c r="S3164" s="52"/>
      <c r="T3164" s="52"/>
      <c r="U3164" s="52"/>
      <c r="V3164" s="52"/>
      <c r="W3164" s="52"/>
      <c r="X3164" s="52"/>
      <c r="Y3164" s="52"/>
      <c r="Z3164" s="52"/>
      <c r="AA3164" s="52"/>
      <c r="AB3164" s="52"/>
      <c r="AC3164" s="52"/>
      <c r="AD3164" s="52"/>
      <c r="AE3164" s="52"/>
      <c r="AF3164" s="52"/>
      <c r="AG3164" s="52"/>
      <c r="AH3164" s="52"/>
      <c r="AI3164" s="52"/>
      <c r="AJ3164" s="52"/>
      <c r="AK3164" s="52"/>
      <c r="AL3164" s="52"/>
      <c r="AM3164" s="52"/>
      <c r="AN3164" s="52"/>
    </row>
    <row r="3165" spans="1:40" x14ac:dyDescent="0.3">
      <c r="A3165" s="52">
        <v>3160</v>
      </c>
      <c r="B3165" s="52">
        <f>-bthan*500+(9+0.5)*bthan*1000/50</f>
        <v>-1705</v>
      </c>
      <c r="C3165" s="52">
        <f t="shared" si="298"/>
        <v>470.00000000000023</v>
      </c>
      <c r="D3165" s="52">
        <f t="shared" si="296"/>
        <v>2200</v>
      </c>
      <c r="E3165" s="52">
        <f t="shared" si="297"/>
        <v>1</v>
      </c>
      <c r="F3165" s="52"/>
      <c r="G3165" s="52"/>
      <c r="H3165" s="52"/>
      <c r="I3165" s="52"/>
      <c r="J3165" s="52"/>
      <c r="K3165" s="52"/>
      <c r="L3165" s="52"/>
      <c r="M3165" s="52"/>
      <c r="N3165" s="52"/>
      <c r="O3165" s="52"/>
      <c r="P3165" s="52"/>
      <c r="Q3165" s="52"/>
      <c r="R3165" s="52"/>
      <c r="S3165" s="52"/>
      <c r="T3165" s="52"/>
      <c r="U3165" s="52"/>
      <c r="V3165" s="52"/>
      <c r="W3165" s="52"/>
      <c r="X3165" s="52"/>
      <c r="Y3165" s="52"/>
      <c r="Z3165" s="52"/>
      <c r="AA3165" s="52"/>
      <c r="AB3165" s="52"/>
      <c r="AC3165" s="52"/>
      <c r="AD3165" s="52"/>
      <c r="AE3165" s="52"/>
      <c r="AF3165" s="52"/>
      <c r="AG3165" s="52"/>
      <c r="AH3165" s="52"/>
      <c r="AI3165" s="52"/>
      <c r="AJ3165" s="52"/>
      <c r="AK3165" s="52"/>
      <c r="AL3165" s="52"/>
      <c r="AM3165" s="52"/>
      <c r="AN3165" s="52"/>
    </row>
    <row r="3166" spans="1:40" x14ac:dyDescent="0.3">
      <c r="A3166" s="52">
        <v>3161</v>
      </c>
      <c r="B3166" s="52">
        <f>-bthan*500+(10+0.5)*bthan*1000/50</f>
        <v>-1595</v>
      </c>
      <c r="C3166" s="52">
        <f t="shared" si="298"/>
        <v>470.00000000000023</v>
      </c>
      <c r="D3166" s="52">
        <f t="shared" si="296"/>
        <v>2200</v>
      </c>
      <c r="E3166" s="52">
        <f t="shared" si="297"/>
        <v>1</v>
      </c>
      <c r="F3166" s="52"/>
      <c r="G3166" s="52"/>
      <c r="H3166" s="52"/>
      <c r="I3166" s="52"/>
      <c r="J3166" s="52"/>
      <c r="K3166" s="52"/>
      <c r="L3166" s="52"/>
      <c r="M3166" s="52"/>
      <c r="N3166" s="52"/>
      <c r="O3166" s="52"/>
      <c r="P3166" s="52"/>
      <c r="Q3166" s="52"/>
      <c r="R3166" s="52"/>
      <c r="S3166" s="52"/>
      <c r="T3166" s="52"/>
      <c r="U3166" s="52"/>
      <c r="V3166" s="52"/>
      <c r="W3166" s="52"/>
      <c r="X3166" s="52"/>
      <c r="Y3166" s="52"/>
      <c r="Z3166" s="52"/>
      <c r="AA3166" s="52"/>
      <c r="AB3166" s="52"/>
      <c r="AC3166" s="52"/>
      <c r="AD3166" s="52"/>
      <c r="AE3166" s="52"/>
      <c r="AF3166" s="52"/>
      <c r="AG3166" s="52"/>
      <c r="AH3166" s="52"/>
      <c r="AI3166" s="52"/>
      <c r="AJ3166" s="52"/>
      <c r="AK3166" s="52"/>
      <c r="AL3166" s="52"/>
      <c r="AM3166" s="52"/>
      <c r="AN3166" s="52"/>
    </row>
    <row r="3167" spans="1:40" x14ac:dyDescent="0.3">
      <c r="A3167" s="52">
        <v>3162</v>
      </c>
      <c r="B3167" s="52">
        <f>-bthan*500+(11+0.5)*bthan*1000/50</f>
        <v>-1485</v>
      </c>
      <c r="C3167" s="52">
        <f t="shared" si="298"/>
        <v>470.00000000000023</v>
      </c>
      <c r="D3167" s="52">
        <f t="shared" si="296"/>
        <v>2200</v>
      </c>
      <c r="E3167" s="52">
        <f t="shared" si="297"/>
        <v>1</v>
      </c>
      <c r="F3167" s="52"/>
      <c r="G3167" s="52"/>
      <c r="H3167" s="52"/>
      <c r="I3167" s="52"/>
      <c r="J3167" s="52"/>
      <c r="K3167" s="52"/>
      <c r="L3167" s="52"/>
      <c r="M3167" s="52"/>
      <c r="N3167" s="52"/>
      <c r="O3167" s="52"/>
      <c r="P3167" s="52"/>
      <c r="Q3167" s="52"/>
      <c r="R3167" s="52"/>
      <c r="S3167" s="52"/>
      <c r="T3167" s="52"/>
      <c r="U3167" s="52"/>
      <c r="V3167" s="52"/>
      <c r="W3167" s="52"/>
      <c r="X3167" s="52"/>
      <c r="Y3167" s="52"/>
      <c r="Z3167" s="52"/>
      <c r="AA3167" s="52"/>
      <c r="AB3167" s="52"/>
      <c r="AC3167" s="52"/>
      <c r="AD3167" s="52"/>
      <c r="AE3167" s="52"/>
      <c r="AF3167" s="52"/>
      <c r="AG3167" s="52"/>
      <c r="AH3167" s="52"/>
      <c r="AI3167" s="52"/>
      <c r="AJ3167" s="52"/>
      <c r="AK3167" s="52"/>
      <c r="AL3167" s="52"/>
      <c r="AM3167" s="52"/>
      <c r="AN3167" s="52"/>
    </row>
    <row r="3168" spans="1:40" x14ac:dyDescent="0.3">
      <c r="A3168" s="52">
        <v>3163</v>
      </c>
      <c r="B3168" s="52">
        <f>-bthan*500+(12+0.5)*bthan*1000/50</f>
        <v>-1375</v>
      </c>
      <c r="C3168" s="52">
        <f t="shared" si="298"/>
        <v>470.00000000000023</v>
      </c>
      <c r="D3168" s="52">
        <f t="shared" si="296"/>
        <v>2200</v>
      </c>
      <c r="E3168" s="52">
        <f t="shared" si="297"/>
        <v>1</v>
      </c>
      <c r="F3168" s="52"/>
      <c r="G3168" s="52"/>
      <c r="H3168" s="52"/>
      <c r="I3168" s="52"/>
      <c r="J3168" s="52"/>
      <c r="K3168" s="52"/>
      <c r="L3168" s="52"/>
      <c r="M3168" s="52"/>
      <c r="N3168" s="52"/>
      <c r="O3168" s="52"/>
      <c r="P3168" s="52"/>
      <c r="Q3168" s="52"/>
      <c r="R3168" s="52"/>
      <c r="S3168" s="52"/>
      <c r="T3168" s="52"/>
      <c r="U3168" s="52"/>
      <c r="V3168" s="52"/>
      <c r="W3168" s="52"/>
      <c r="X3168" s="52"/>
      <c r="Y3168" s="52"/>
      <c r="Z3168" s="52"/>
      <c r="AA3168" s="52"/>
      <c r="AB3168" s="52"/>
      <c r="AC3168" s="52"/>
      <c r="AD3168" s="52"/>
      <c r="AE3168" s="52"/>
      <c r="AF3168" s="52"/>
      <c r="AG3168" s="52"/>
      <c r="AH3168" s="52"/>
      <c r="AI3168" s="52"/>
      <c r="AJ3168" s="52"/>
      <c r="AK3168" s="52"/>
      <c r="AL3168" s="52"/>
      <c r="AM3168" s="52"/>
      <c r="AN3168" s="52"/>
    </row>
    <row r="3169" spans="1:40" x14ac:dyDescent="0.3">
      <c r="A3169" s="52">
        <v>3164</v>
      </c>
      <c r="B3169" s="52">
        <f>-bthan*500+(13+0.5)*bthan*1000/50</f>
        <v>-1265</v>
      </c>
      <c r="C3169" s="52">
        <f t="shared" si="298"/>
        <v>470.00000000000023</v>
      </c>
      <c r="D3169" s="52">
        <f t="shared" si="296"/>
        <v>2200</v>
      </c>
      <c r="E3169" s="52">
        <f t="shared" si="297"/>
        <v>1</v>
      </c>
      <c r="F3169" s="52"/>
      <c r="G3169" s="52"/>
      <c r="H3169" s="52"/>
      <c r="I3169" s="52"/>
      <c r="J3169" s="52"/>
      <c r="K3169" s="52"/>
      <c r="L3169" s="52"/>
      <c r="M3169" s="52"/>
      <c r="N3169" s="52"/>
      <c r="O3169" s="52"/>
      <c r="P3169" s="52"/>
      <c r="Q3169" s="52"/>
      <c r="R3169" s="52"/>
      <c r="S3169" s="52"/>
      <c r="T3169" s="52"/>
      <c r="U3169" s="52"/>
      <c r="V3169" s="52"/>
      <c r="W3169" s="52"/>
      <c r="X3169" s="52"/>
      <c r="Y3169" s="52"/>
      <c r="Z3169" s="52"/>
      <c r="AA3169" s="52"/>
      <c r="AB3169" s="52"/>
      <c r="AC3169" s="52"/>
      <c r="AD3169" s="52"/>
      <c r="AE3169" s="52"/>
      <c r="AF3169" s="52"/>
      <c r="AG3169" s="52"/>
      <c r="AH3169" s="52"/>
      <c r="AI3169" s="52"/>
      <c r="AJ3169" s="52"/>
      <c r="AK3169" s="52"/>
      <c r="AL3169" s="52"/>
      <c r="AM3169" s="52"/>
      <c r="AN3169" s="52"/>
    </row>
    <row r="3170" spans="1:40" x14ac:dyDescent="0.3">
      <c r="A3170" s="52">
        <v>3165</v>
      </c>
      <c r="B3170" s="52">
        <f>-bthan*500+(14+0.5)*bthan*1000/50</f>
        <v>-1155</v>
      </c>
      <c r="C3170" s="52">
        <f t="shared" si="298"/>
        <v>470.00000000000023</v>
      </c>
      <c r="D3170" s="52">
        <f t="shared" si="296"/>
        <v>2200</v>
      </c>
      <c r="E3170" s="52">
        <f t="shared" si="297"/>
        <v>1</v>
      </c>
      <c r="F3170" s="52"/>
      <c r="G3170" s="52"/>
      <c r="H3170" s="52"/>
      <c r="I3170" s="52"/>
      <c r="J3170" s="52"/>
      <c r="K3170" s="52"/>
      <c r="L3170" s="52"/>
      <c r="M3170" s="52"/>
      <c r="N3170" s="52"/>
      <c r="O3170" s="52"/>
      <c r="P3170" s="52"/>
      <c r="Q3170" s="52"/>
      <c r="R3170" s="52"/>
      <c r="S3170" s="52"/>
      <c r="T3170" s="52"/>
      <c r="U3170" s="52"/>
      <c r="V3170" s="52"/>
      <c r="W3170" s="52"/>
      <c r="X3170" s="52"/>
      <c r="Y3170" s="52"/>
      <c r="Z3170" s="52"/>
      <c r="AA3170" s="52"/>
      <c r="AB3170" s="52"/>
      <c r="AC3170" s="52"/>
      <c r="AD3170" s="52"/>
      <c r="AE3170" s="52"/>
      <c r="AF3170" s="52"/>
      <c r="AG3170" s="52"/>
      <c r="AH3170" s="52"/>
      <c r="AI3170" s="52"/>
      <c r="AJ3170" s="52"/>
      <c r="AK3170" s="52"/>
      <c r="AL3170" s="52"/>
      <c r="AM3170" s="52"/>
      <c r="AN3170" s="52"/>
    </row>
    <row r="3171" spans="1:40" x14ac:dyDescent="0.3">
      <c r="A3171" s="52">
        <v>3166</v>
      </c>
      <c r="B3171" s="52">
        <f>-bthan*500+(15+0.5)*bthan*1000/50</f>
        <v>-1045</v>
      </c>
      <c r="C3171" s="52">
        <f t="shared" si="298"/>
        <v>470.00000000000023</v>
      </c>
      <c r="D3171" s="52">
        <f t="shared" si="296"/>
        <v>2200</v>
      </c>
      <c r="E3171" s="52">
        <f t="shared" si="297"/>
        <v>1</v>
      </c>
      <c r="F3171" s="52"/>
      <c r="G3171" s="52"/>
      <c r="H3171" s="52"/>
      <c r="I3171" s="52"/>
      <c r="J3171" s="52"/>
      <c r="K3171" s="52"/>
      <c r="L3171" s="52"/>
      <c r="M3171" s="52"/>
      <c r="N3171" s="52"/>
      <c r="O3171" s="52"/>
      <c r="P3171" s="52"/>
      <c r="Q3171" s="52"/>
      <c r="R3171" s="52"/>
      <c r="S3171" s="52"/>
      <c r="T3171" s="52"/>
      <c r="U3171" s="52"/>
      <c r="V3171" s="52"/>
      <c r="W3171" s="52"/>
      <c r="X3171" s="52"/>
      <c r="Y3171" s="52"/>
      <c r="Z3171" s="52"/>
      <c r="AA3171" s="52"/>
      <c r="AB3171" s="52"/>
      <c r="AC3171" s="52"/>
      <c r="AD3171" s="52"/>
      <c r="AE3171" s="52"/>
      <c r="AF3171" s="52"/>
      <c r="AG3171" s="52"/>
      <c r="AH3171" s="52"/>
      <c r="AI3171" s="52"/>
      <c r="AJ3171" s="52"/>
      <c r="AK3171" s="52"/>
      <c r="AL3171" s="52"/>
      <c r="AM3171" s="52"/>
      <c r="AN3171" s="52"/>
    </row>
    <row r="3172" spans="1:40" x14ac:dyDescent="0.3">
      <c r="A3172" s="52">
        <v>3167</v>
      </c>
      <c r="B3172" s="52">
        <f>-bthan*500+(16+0.5)*bthan*1000/50</f>
        <v>-935</v>
      </c>
      <c r="C3172" s="52">
        <f t="shared" si="298"/>
        <v>470.00000000000023</v>
      </c>
      <c r="D3172" s="52">
        <f t="shared" si="296"/>
        <v>2200</v>
      </c>
      <c r="E3172" s="52">
        <f t="shared" si="297"/>
        <v>1</v>
      </c>
      <c r="F3172" s="52"/>
      <c r="G3172" s="52"/>
      <c r="H3172" s="52"/>
      <c r="I3172" s="52"/>
      <c r="J3172" s="52"/>
      <c r="K3172" s="52"/>
      <c r="L3172" s="52"/>
      <c r="M3172" s="52"/>
      <c r="N3172" s="52"/>
      <c r="O3172" s="52"/>
      <c r="P3172" s="52"/>
      <c r="Q3172" s="52"/>
      <c r="R3172" s="52"/>
      <c r="S3172" s="52"/>
      <c r="T3172" s="52"/>
      <c r="U3172" s="52"/>
      <c r="V3172" s="52"/>
      <c r="W3172" s="52"/>
      <c r="X3172" s="52"/>
      <c r="Y3172" s="52"/>
      <c r="Z3172" s="52"/>
      <c r="AA3172" s="52"/>
      <c r="AB3172" s="52"/>
      <c r="AC3172" s="52"/>
      <c r="AD3172" s="52"/>
      <c r="AE3172" s="52"/>
      <c r="AF3172" s="52"/>
      <c r="AG3172" s="52"/>
      <c r="AH3172" s="52"/>
      <c r="AI3172" s="52"/>
      <c r="AJ3172" s="52"/>
      <c r="AK3172" s="52"/>
      <c r="AL3172" s="52"/>
      <c r="AM3172" s="52"/>
      <c r="AN3172" s="52"/>
    </row>
    <row r="3173" spans="1:40" x14ac:dyDescent="0.3">
      <c r="A3173" s="52">
        <v>3168</v>
      </c>
      <c r="B3173" s="52">
        <f>-bthan*500+(17+0.5)*bthan*1000/50</f>
        <v>-825</v>
      </c>
      <c r="C3173" s="52">
        <f t="shared" si="298"/>
        <v>470.00000000000023</v>
      </c>
      <c r="D3173" s="52">
        <f t="shared" si="296"/>
        <v>2200</v>
      </c>
      <c r="E3173" s="52">
        <f t="shared" si="297"/>
        <v>1</v>
      </c>
      <c r="F3173" s="52"/>
      <c r="G3173" s="52"/>
      <c r="H3173" s="52"/>
      <c r="I3173" s="52"/>
      <c r="J3173" s="52"/>
      <c r="K3173" s="52"/>
      <c r="L3173" s="52"/>
      <c r="M3173" s="52"/>
      <c r="N3173" s="52"/>
      <c r="O3173" s="52"/>
      <c r="P3173" s="52"/>
      <c r="Q3173" s="52"/>
      <c r="R3173" s="52"/>
      <c r="S3173" s="52"/>
      <c r="T3173" s="52"/>
      <c r="U3173" s="52"/>
      <c r="V3173" s="52"/>
      <c r="W3173" s="52"/>
      <c r="X3173" s="52"/>
      <c r="Y3173" s="52"/>
      <c r="Z3173" s="52"/>
      <c r="AA3173" s="52"/>
      <c r="AB3173" s="52"/>
      <c r="AC3173" s="52"/>
      <c r="AD3173" s="52"/>
      <c r="AE3173" s="52"/>
      <c r="AF3173" s="52"/>
      <c r="AG3173" s="52"/>
      <c r="AH3173" s="52"/>
      <c r="AI3173" s="52"/>
      <c r="AJ3173" s="52"/>
      <c r="AK3173" s="52"/>
      <c r="AL3173" s="52"/>
      <c r="AM3173" s="52"/>
      <c r="AN3173" s="52"/>
    </row>
    <row r="3174" spans="1:40" x14ac:dyDescent="0.3">
      <c r="A3174" s="52">
        <v>3169</v>
      </c>
      <c r="B3174" s="52">
        <f>-bthan*500+(18+0.5)*bthan*1000/50</f>
        <v>-715</v>
      </c>
      <c r="C3174" s="52">
        <f t="shared" si="298"/>
        <v>470.00000000000023</v>
      </c>
      <c r="D3174" s="52">
        <f t="shared" si="296"/>
        <v>2200</v>
      </c>
      <c r="E3174" s="52">
        <f t="shared" si="297"/>
        <v>1</v>
      </c>
      <c r="F3174" s="52"/>
      <c r="G3174" s="52"/>
      <c r="H3174" s="52"/>
      <c r="I3174" s="52"/>
      <c r="J3174" s="52"/>
      <c r="K3174" s="52"/>
      <c r="L3174" s="52"/>
      <c r="M3174" s="52"/>
      <c r="N3174" s="52"/>
      <c r="O3174" s="52"/>
      <c r="P3174" s="52"/>
      <c r="Q3174" s="52"/>
      <c r="R3174" s="52"/>
      <c r="S3174" s="52"/>
      <c r="T3174" s="52"/>
      <c r="U3174" s="52"/>
      <c r="V3174" s="52"/>
      <c r="W3174" s="52"/>
      <c r="X3174" s="52"/>
      <c r="Y3174" s="52"/>
      <c r="Z3174" s="52"/>
      <c r="AA3174" s="52"/>
      <c r="AB3174" s="52"/>
      <c r="AC3174" s="52"/>
      <c r="AD3174" s="52"/>
      <c r="AE3174" s="52"/>
      <c r="AF3174" s="52"/>
      <c r="AG3174" s="52"/>
      <c r="AH3174" s="52"/>
      <c r="AI3174" s="52"/>
      <c r="AJ3174" s="52"/>
      <c r="AK3174" s="52"/>
      <c r="AL3174" s="52"/>
      <c r="AM3174" s="52"/>
      <c r="AN3174" s="52"/>
    </row>
    <row r="3175" spans="1:40" x14ac:dyDescent="0.3">
      <c r="A3175" s="52">
        <v>3170</v>
      </c>
      <c r="B3175" s="52">
        <f>-bthan*500+(19+0.5)*bthan*1000/50</f>
        <v>-605</v>
      </c>
      <c r="C3175" s="52">
        <f t="shared" si="298"/>
        <v>470.00000000000023</v>
      </c>
      <c r="D3175" s="52">
        <f t="shared" si="296"/>
        <v>2200</v>
      </c>
      <c r="E3175" s="52">
        <f t="shared" si="297"/>
        <v>1</v>
      </c>
      <c r="F3175" s="52"/>
      <c r="G3175" s="52"/>
      <c r="H3175" s="52"/>
      <c r="I3175" s="52"/>
      <c r="J3175" s="52"/>
      <c r="K3175" s="52"/>
      <c r="L3175" s="52"/>
      <c r="M3175" s="52"/>
      <c r="N3175" s="52"/>
      <c r="O3175" s="52"/>
      <c r="P3175" s="52"/>
      <c r="Q3175" s="52"/>
      <c r="R3175" s="52"/>
      <c r="S3175" s="52"/>
      <c r="T3175" s="52"/>
      <c r="U3175" s="52"/>
      <c r="V3175" s="52"/>
      <c r="W3175" s="52"/>
      <c r="X3175" s="52"/>
      <c r="Y3175" s="52"/>
      <c r="Z3175" s="52"/>
      <c r="AA3175" s="52"/>
      <c r="AB3175" s="52"/>
      <c r="AC3175" s="52"/>
      <c r="AD3175" s="52"/>
      <c r="AE3175" s="52"/>
      <c r="AF3175" s="52"/>
      <c r="AG3175" s="52"/>
      <c r="AH3175" s="52"/>
      <c r="AI3175" s="52"/>
      <c r="AJ3175" s="52"/>
      <c r="AK3175" s="52"/>
      <c r="AL3175" s="52"/>
      <c r="AM3175" s="52"/>
      <c r="AN3175" s="52"/>
    </row>
    <row r="3176" spans="1:40" x14ac:dyDescent="0.3">
      <c r="A3176" s="52">
        <v>3171</v>
      </c>
      <c r="B3176" s="52">
        <f>-bthan*500+(20+0.5)*bthan*1000/50</f>
        <v>-495</v>
      </c>
      <c r="C3176" s="52">
        <f t="shared" si="298"/>
        <v>470.00000000000023</v>
      </c>
      <c r="D3176" s="52">
        <f t="shared" si="296"/>
        <v>2200</v>
      </c>
      <c r="E3176" s="52">
        <f t="shared" si="297"/>
        <v>1</v>
      </c>
      <c r="F3176" s="52"/>
      <c r="G3176" s="52"/>
      <c r="H3176" s="52"/>
      <c r="I3176" s="52"/>
      <c r="J3176" s="52"/>
      <c r="K3176" s="52"/>
      <c r="L3176" s="52"/>
      <c r="M3176" s="52"/>
      <c r="N3176" s="52"/>
      <c r="O3176" s="52"/>
      <c r="P3176" s="52"/>
      <c r="Q3176" s="52"/>
      <c r="R3176" s="52"/>
      <c r="S3176" s="52"/>
      <c r="T3176" s="52"/>
      <c r="U3176" s="52"/>
      <c r="V3176" s="52"/>
      <c r="W3176" s="52"/>
      <c r="X3176" s="52"/>
      <c r="Y3176" s="52"/>
      <c r="Z3176" s="52"/>
      <c r="AA3176" s="52"/>
      <c r="AB3176" s="52"/>
      <c r="AC3176" s="52"/>
      <c r="AD3176" s="52"/>
      <c r="AE3176" s="52"/>
      <c r="AF3176" s="52"/>
      <c r="AG3176" s="52"/>
      <c r="AH3176" s="52"/>
      <c r="AI3176" s="52"/>
      <c r="AJ3176" s="52"/>
      <c r="AK3176" s="52"/>
      <c r="AL3176" s="52"/>
      <c r="AM3176" s="52"/>
      <c r="AN3176" s="52"/>
    </row>
    <row r="3177" spans="1:40" x14ac:dyDescent="0.3">
      <c r="A3177" s="52">
        <v>3172</v>
      </c>
      <c r="B3177" s="52">
        <f>-bthan*500+(21+0.5)*bthan*1000/50</f>
        <v>-385</v>
      </c>
      <c r="C3177" s="52">
        <f t="shared" si="298"/>
        <v>470.00000000000023</v>
      </c>
      <c r="D3177" s="52">
        <f t="shared" si="296"/>
        <v>2200</v>
      </c>
      <c r="E3177" s="52">
        <f t="shared" si="297"/>
        <v>1</v>
      </c>
      <c r="F3177" s="52"/>
      <c r="G3177" s="52"/>
      <c r="H3177" s="52"/>
      <c r="I3177" s="52"/>
      <c r="J3177" s="52"/>
      <c r="K3177" s="52"/>
      <c r="L3177" s="52"/>
      <c r="M3177" s="52"/>
      <c r="N3177" s="52"/>
      <c r="O3177" s="52"/>
      <c r="P3177" s="52"/>
      <c r="Q3177" s="52"/>
      <c r="R3177" s="52"/>
      <c r="S3177" s="52"/>
      <c r="T3177" s="52"/>
      <c r="U3177" s="52"/>
      <c r="V3177" s="52"/>
      <c r="W3177" s="52"/>
      <c r="X3177" s="52"/>
      <c r="Y3177" s="52"/>
      <c r="Z3177" s="52"/>
      <c r="AA3177" s="52"/>
      <c r="AB3177" s="52"/>
      <c r="AC3177" s="52"/>
      <c r="AD3177" s="52"/>
      <c r="AE3177" s="52"/>
      <c r="AF3177" s="52"/>
      <c r="AG3177" s="52"/>
      <c r="AH3177" s="52"/>
      <c r="AI3177" s="52"/>
      <c r="AJ3177" s="52"/>
      <c r="AK3177" s="52"/>
      <c r="AL3177" s="52"/>
      <c r="AM3177" s="52"/>
      <c r="AN3177" s="52"/>
    </row>
    <row r="3178" spans="1:40" x14ac:dyDescent="0.3">
      <c r="A3178" s="52">
        <v>3173</v>
      </c>
      <c r="B3178" s="52">
        <f>-bthan*500+(22+0.5)*bthan*1000/50</f>
        <v>-275</v>
      </c>
      <c r="C3178" s="52">
        <f t="shared" si="298"/>
        <v>470.00000000000023</v>
      </c>
      <c r="D3178" s="52">
        <f t="shared" si="296"/>
        <v>2200</v>
      </c>
      <c r="E3178" s="52">
        <f t="shared" si="297"/>
        <v>1</v>
      </c>
      <c r="F3178" s="52"/>
      <c r="G3178" s="52"/>
      <c r="H3178" s="52"/>
      <c r="I3178" s="52"/>
      <c r="J3178" s="52"/>
      <c r="K3178" s="52"/>
      <c r="L3178" s="52"/>
      <c r="M3178" s="52"/>
      <c r="N3178" s="52"/>
      <c r="O3178" s="52"/>
      <c r="P3178" s="52"/>
      <c r="Q3178" s="52"/>
      <c r="R3178" s="52"/>
      <c r="S3178" s="52"/>
      <c r="T3178" s="52"/>
      <c r="U3178" s="52"/>
      <c r="V3178" s="52"/>
      <c r="W3178" s="52"/>
      <c r="X3178" s="52"/>
      <c r="Y3178" s="52"/>
      <c r="Z3178" s="52"/>
      <c r="AA3178" s="52"/>
      <c r="AB3178" s="52"/>
      <c r="AC3178" s="52"/>
      <c r="AD3178" s="52"/>
      <c r="AE3178" s="52"/>
      <c r="AF3178" s="52"/>
      <c r="AG3178" s="52"/>
      <c r="AH3178" s="52"/>
      <c r="AI3178" s="52"/>
      <c r="AJ3178" s="52"/>
      <c r="AK3178" s="52"/>
      <c r="AL3178" s="52"/>
      <c r="AM3178" s="52"/>
      <c r="AN3178" s="52"/>
    </row>
    <row r="3179" spans="1:40" x14ac:dyDescent="0.3">
      <c r="A3179" s="52">
        <v>3174</v>
      </c>
      <c r="B3179" s="52">
        <f>-bthan*500+(23+0.5)*bthan*1000/50</f>
        <v>-165</v>
      </c>
      <c r="C3179" s="52">
        <f t="shared" si="298"/>
        <v>470.00000000000023</v>
      </c>
      <c r="D3179" s="52">
        <f t="shared" si="296"/>
        <v>2200</v>
      </c>
      <c r="E3179" s="52">
        <f t="shared" si="297"/>
        <v>1</v>
      </c>
      <c r="F3179" s="52"/>
      <c r="G3179" s="52"/>
      <c r="H3179" s="52"/>
      <c r="I3179" s="52"/>
      <c r="J3179" s="52"/>
      <c r="K3179" s="52"/>
      <c r="L3179" s="52"/>
      <c r="M3179" s="52"/>
      <c r="N3179" s="52"/>
      <c r="O3179" s="52"/>
      <c r="P3179" s="52"/>
      <c r="Q3179" s="52"/>
      <c r="R3179" s="52"/>
      <c r="S3179" s="52"/>
      <c r="T3179" s="52"/>
      <c r="U3179" s="52"/>
      <c r="V3179" s="52"/>
      <c r="W3179" s="52"/>
      <c r="X3179" s="52"/>
      <c r="Y3179" s="52"/>
      <c r="Z3179" s="52"/>
      <c r="AA3179" s="52"/>
      <c r="AB3179" s="52"/>
      <c r="AC3179" s="52"/>
      <c r="AD3179" s="52"/>
      <c r="AE3179" s="52"/>
      <c r="AF3179" s="52"/>
      <c r="AG3179" s="52"/>
      <c r="AH3179" s="52"/>
      <c r="AI3179" s="52"/>
      <c r="AJ3179" s="52"/>
      <c r="AK3179" s="52"/>
      <c r="AL3179" s="52"/>
      <c r="AM3179" s="52"/>
      <c r="AN3179" s="52"/>
    </row>
    <row r="3180" spans="1:40" x14ac:dyDescent="0.3">
      <c r="A3180" s="52">
        <v>3175</v>
      </c>
      <c r="B3180" s="52">
        <f>-bthan*500+(24+0.5)*bthan*1000/50</f>
        <v>-55</v>
      </c>
      <c r="C3180" s="52">
        <f t="shared" si="298"/>
        <v>470.00000000000023</v>
      </c>
      <c r="D3180" s="52">
        <f t="shared" si="296"/>
        <v>2200</v>
      </c>
      <c r="E3180" s="52">
        <f t="shared" si="297"/>
        <v>1</v>
      </c>
      <c r="F3180" s="52"/>
      <c r="G3180" s="52"/>
      <c r="H3180" s="52"/>
      <c r="I3180" s="52"/>
      <c r="J3180" s="52"/>
      <c r="K3180" s="52"/>
      <c r="L3180" s="52"/>
      <c r="M3180" s="52"/>
      <c r="N3180" s="52"/>
      <c r="O3180" s="52"/>
      <c r="P3180" s="52"/>
      <c r="Q3180" s="52"/>
      <c r="R3180" s="52"/>
      <c r="S3180" s="52"/>
      <c r="T3180" s="52"/>
      <c r="U3180" s="52"/>
      <c r="V3180" s="52"/>
      <c r="W3180" s="52"/>
      <c r="X3180" s="52"/>
      <c r="Y3180" s="52"/>
      <c r="Z3180" s="52"/>
      <c r="AA3180" s="52"/>
      <c r="AB3180" s="52"/>
      <c r="AC3180" s="52"/>
      <c r="AD3180" s="52"/>
      <c r="AE3180" s="52"/>
      <c r="AF3180" s="52"/>
      <c r="AG3180" s="52"/>
      <c r="AH3180" s="52"/>
      <c r="AI3180" s="52"/>
      <c r="AJ3180" s="52"/>
      <c r="AK3180" s="52"/>
      <c r="AL3180" s="52"/>
      <c r="AM3180" s="52"/>
      <c r="AN3180" s="52"/>
    </row>
    <row r="3181" spans="1:40" x14ac:dyDescent="0.3">
      <c r="A3181" s="52">
        <v>3176</v>
      </c>
      <c r="B3181" s="52">
        <f>-bthan*500+(25+0.5)*bthan*1000/50</f>
        <v>55</v>
      </c>
      <c r="C3181" s="52">
        <f t="shared" si="298"/>
        <v>470.00000000000023</v>
      </c>
      <c r="D3181" s="52">
        <f t="shared" si="296"/>
        <v>2200</v>
      </c>
      <c r="E3181" s="52">
        <f t="shared" si="297"/>
        <v>1</v>
      </c>
      <c r="F3181" s="52"/>
      <c r="G3181" s="52"/>
      <c r="H3181" s="52"/>
      <c r="I3181" s="52"/>
      <c r="J3181" s="52"/>
      <c r="K3181" s="52"/>
      <c r="L3181" s="52"/>
      <c r="M3181" s="52"/>
      <c r="N3181" s="52"/>
      <c r="O3181" s="52"/>
      <c r="P3181" s="52"/>
      <c r="Q3181" s="52"/>
      <c r="R3181" s="52"/>
      <c r="S3181" s="52"/>
      <c r="T3181" s="52"/>
      <c r="U3181" s="52"/>
      <c r="V3181" s="52"/>
      <c r="W3181" s="52"/>
      <c r="X3181" s="52"/>
      <c r="Y3181" s="52"/>
      <c r="Z3181" s="52"/>
      <c r="AA3181" s="52"/>
      <c r="AB3181" s="52"/>
      <c r="AC3181" s="52"/>
      <c r="AD3181" s="52"/>
      <c r="AE3181" s="52"/>
      <c r="AF3181" s="52"/>
      <c r="AG3181" s="52"/>
      <c r="AH3181" s="52"/>
      <c r="AI3181" s="52"/>
      <c r="AJ3181" s="52"/>
      <c r="AK3181" s="52"/>
      <c r="AL3181" s="52"/>
      <c r="AM3181" s="52"/>
      <c r="AN3181" s="52"/>
    </row>
    <row r="3182" spans="1:40" x14ac:dyDescent="0.3">
      <c r="A3182" s="52">
        <v>3177</v>
      </c>
      <c r="B3182" s="52">
        <f>-bthan*500+(26+0.5)*bthan*1000/50</f>
        <v>165</v>
      </c>
      <c r="C3182" s="52">
        <f t="shared" si="298"/>
        <v>470.00000000000023</v>
      </c>
      <c r="D3182" s="52">
        <f t="shared" si="296"/>
        <v>2200</v>
      </c>
      <c r="E3182" s="52">
        <f t="shared" si="297"/>
        <v>1</v>
      </c>
      <c r="F3182" s="52"/>
      <c r="G3182" s="52"/>
      <c r="H3182" s="52"/>
      <c r="I3182" s="52"/>
      <c r="J3182" s="52"/>
      <c r="K3182" s="52"/>
      <c r="L3182" s="52"/>
      <c r="M3182" s="52"/>
      <c r="N3182" s="52"/>
      <c r="O3182" s="52"/>
      <c r="P3182" s="52"/>
      <c r="Q3182" s="52"/>
      <c r="R3182" s="52"/>
      <c r="S3182" s="52"/>
      <c r="T3182" s="52"/>
      <c r="U3182" s="52"/>
      <c r="V3182" s="52"/>
      <c r="W3182" s="52"/>
      <c r="X3182" s="52"/>
      <c r="Y3182" s="52"/>
      <c r="Z3182" s="52"/>
      <c r="AA3182" s="52"/>
      <c r="AB3182" s="52"/>
      <c r="AC3182" s="52"/>
      <c r="AD3182" s="52"/>
      <c r="AE3182" s="52"/>
      <c r="AF3182" s="52"/>
      <c r="AG3182" s="52"/>
      <c r="AH3182" s="52"/>
      <c r="AI3182" s="52"/>
      <c r="AJ3182" s="52"/>
      <c r="AK3182" s="52"/>
      <c r="AL3182" s="52"/>
      <c r="AM3182" s="52"/>
      <c r="AN3182" s="52"/>
    </row>
    <row r="3183" spans="1:40" x14ac:dyDescent="0.3">
      <c r="A3183" s="52">
        <v>3178</v>
      </c>
      <c r="B3183" s="52">
        <f>-bthan*500+(27+0.5)*bthan*1000/50</f>
        <v>275</v>
      </c>
      <c r="C3183" s="52">
        <f t="shared" si="298"/>
        <v>470.00000000000023</v>
      </c>
      <c r="D3183" s="52">
        <f t="shared" si="296"/>
        <v>2200</v>
      </c>
      <c r="E3183" s="52">
        <f t="shared" si="297"/>
        <v>1</v>
      </c>
      <c r="F3183" s="52"/>
      <c r="G3183" s="52"/>
      <c r="H3183" s="52"/>
      <c r="I3183" s="52"/>
      <c r="J3183" s="52"/>
      <c r="K3183" s="52"/>
      <c r="L3183" s="52"/>
      <c r="M3183" s="52"/>
      <c r="N3183" s="52"/>
      <c r="O3183" s="52"/>
      <c r="P3183" s="52"/>
      <c r="Q3183" s="52"/>
      <c r="R3183" s="52"/>
      <c r="S3183" s="52"/>
      <c r="T3183" s="52"/>
      <c r="U3183" s="52"/>
      <c r="V3183" s="52"/>
      <c r="W3183" s="52"/>
      <c r="X3183" s="52"/>
      <c r="Y3183" s="52"/>
      <c r="Z3183" s="52"/>
      <c r="AA3183" s="52"/>
      <c r="AB3183" s="52"/>
      <c r="AC3183" s="52"/>
      <c r="AD3183" s="52"/>
      <c r="AE3183" s="52"/>
      <c r="AF3183" s="52"/>
      <c r="AG3183" s="52"/>
      <c r="AH3183" s="52"/>
      <c r="AI3183" s="52"/>
      <c r="AJ3183" s="52"/>
      <c r="AK3183" s="52"/>
      <c r="AL3183" s="52"/>
      <c r="AM3183" s="52"/>
      <c r="AN3183" s="52"/>
    </row>
    <row r="3184" spans="1:40" x14ac:dyDescent="0.3">
      <c r="A3184" s="52">
        <v>3179</v>
      </c>
      <c r="B3184" s="52">
        <f>-bthan*500+(28+0.5)*bthan*1000/50</f>
        <v>385</v>
      </c>
      <c r="C3184" s="52">
        <f t="shared" si="298"/>
        <v>470.00000000000023</v>
      </c>
      <c r="D3184" s="52">
        <f t="shared" si="296"/>
        <v>2200</v>
      </c>
      <c r="E3184" s="52">
        <f t="shared" si="297"/>
        <v>1</v>
      </c>
      <c r="F3184" s="52"/>
      <c r="G3184" s="52"/>
      <c r="H3184" s="52"/>
      <c r="I3184" s="52"/>
      <c r="J3184" s="52"/>
      <c r="K3184" s="52"/>
      <c r="L3184" s="52"/>
      <c r="M3184" s="52"/>
      <c r="N3184" s="52"/>
      <c r="O3184" s="52"/>
      <c r="P3184" s="52"/>
      <c r="Q3184" s="52"/>
      <c r="R3184" s="52"/>
      <c r="S3184" s="52"/>
      <c r="T3184" s="52"/>
      <c r="U3184" s="52"/>
      <c r="V3184" s="52"/>
      <c r="W3184" s="52"/>
      <c r="X3184" s="52"/>
      <c r="Y3184" s="52"/>
      <c r="Z3184" s="52"/>
      <c r="AA3184" s="52"/>
      <c r="AB3184" s="52"/>
      <c r="AC3184" s="52"/>
      <c r="AD3184" s="52"/>
      <c r="AE3184" s="52"/>
      <c r="AF3184" s="52"/>
      <c r="AG3184" s="52"/>
      <c r="AH3184" s="52"/>
      <c r="AI3184" s="52"/>
      <c r="AJ3184" s="52"/>
      <c r="AK3184" s="52"/>
      <c r="AL3184" s="52"/>
      <c r="AM3184" s="52"/>
      <c r="AN3184" s="52"/>
    </row>
    <row r="3185" spans="1:40" x14ac:dyDescent="0.3">
      <c r="A3185" s="52">
        <v>3180</v>
      </c>
      <c r="B3185" s="52">
        <f>-bthan*500+(29+0.5)*bthan*1000/50</f>
        <v>495</v>
      </c>
      <c r="C3185" s="52">
        <f t="shared" si="298"/>
        <v>470.00000000000023</v>
      </c>
      <c r="D3185" s="52">
        <f t="shared" si="296"/>
        <v>2200</v>
      </c>
      <c r="E3185" s="52">
        <f t="shared" si="297"/>
        <v>1</v>
      </c>
      <c r="F3185" s="52"/>
      <c r="G3185" s="52"/>
      <c r="H3185" s="52"/>
      <c r="I3185" s="52"/>
      <c r="J3185" s="52"/>
      <c r="K3185" s="52"/>
      <c r="L3185" s="52"/>
      <c r="M3185" s="52"/>
      <c r="N3185" s="52"/>
      <c r="O3185" s="52"/>
      <c r="P3185" s="52"/>
      <c r="Q3185" s="52"/>
      <c r="R3185" s="52"/>
      <c r="S3185" s="52"/>
      <c r="T3185" s="52"/>
      <c r="U3185" s="52"/>
      <c r="V3185" s="52"/>
      <c r="W3185" s="52"/>
      <c r="X3185" s="52"/>
      <c r="Y3185" s="52"/>
      <c r="Z3185" s="52"/>
      <c r="AA3185" s="52"/>
      <c r="AB3185" s="52"/>
      <c r="AC3185" s="52"/>
      <c r="AD3185" s="52"/>
      <c r="AE3185" s="52"/>
      <c r="AF3185" s="52"/>
      <c r="AG3185" s="52"/>
      <c r="AH3185" s="52"/>
      <c r="AI3185" s="52"/>
      <c r="AJ3185" s="52"/>
      <c r="AK3185" s="52"/>
      <c r="AL3185" s="52"/>
      <c r="AM3185" s="52"/>
      <c r="AN3185" s="52"/>
    </row>
    <row r="3186" spans="1:40" x14ac:dyDescent="0.3">
      <c r="A3186" s="52">
        <v>3181</v>
      </c>
      <c r="B3186" s="52">
        <f>-bthan*500+(30+0.5)*bthan*1000/50</f>
        <v>605</v>
      </c>
      <c r="C3186" s="52">
        <f t="shared" si="298"/>
        <v>470.00000000000023</v>
      </c>
      <c r="D3186" s="52">
        <f t="shared" si="296"/>
        <v>2200</v>
      </c>
      <c r="E3186" s="52">
        <f t="shared" si="297"/>
        <v>1</v>
      </c>
      <c r="F3186" s="52"/>
      <c r="G3186" s="52"/>
      <c r="H3186" s="52"/>
      <c r="I3186" s="52"/>
      <c r="J3186" s="52"/>
      <c r="K3186" s="52"/>
      <c r="L3186" s="52"/>
      <c r="M3186" s="52"/>
      <c r="N3186" s="52"/>
      <c r="O3186" s="52"/>
      <c r="P3186" s="52"/>
      <c r="Q3186" s="52"/>
      <c r="R3186" s="52"/>
      <c r="S3186" s="52"/>
      <c r="T3186" s="52"/>
      <c r="U3186" s="52"/>
      <c r="V3186" s="52"/>
      <c r="W3186" s="52"/>
      <c r="X3186" s="52"/>
      <c r="Y3186" s="52"/>
      <c r="Z3186" s="52"/>
      <c r="AA3186" s="52"/>
      <c r="AB3186" s="52"/>
      <c r="AC3186" s="52"/>
      <c r="AD3186" s="52"/>
      <c r="AE3186" s="52"/>
      <c r="AF3186" s="52"/>
      <c r="AG3186" s="52"/>
      <c r="AH3186" s="52"/>
      <c r="AI3186" s="52"/>
      <c r="AJ3186" s="52"/>
      <c r="AK3186" s="52"/>
      <c r="AL3186" s="52"/>
      <c r="AM3186" s="52"/>
      <c r="AN3186" s="52"/>
    </row>
    <row r="3187" spans="1:40" x14ac:dyDescent="0.3">
      <c r="A3187" s="52">
        <v>3182</v>
      </c>
      <c r="B3187" s="52">
        <f>-bthan*500+(31+0.5)*bthan*1000/50</f>
        <v>715</v>
      </c>
      <c r="C3187" s="52">
        <f t="shared" si="298"/>
        <v>470.00000000000023</v>
      </c>
      <c r="D3187" s="52">
        <f t="shared" si="296"/>
        <v>2200</v>
      </c>
      <c r="E3187" s="52">
        <f t="shared" si="297"/>
        <v>1</v>
      </c>
      <c r="F3187" s="52"/>
      <c r="G3187" s="52"/>
      <c r="H3187" s="52"/>
      <c r="I3187" s="52"/>
      <c r="J3187" s="52"/>
      <c r="K3187" s="52"/>
      <c r="L3187" s="52"/>
      <c r="M3187" s="52"/>
      <c r="N3187" s="52"/>
      <c r="O3187" s="52"/>
      <c r="P3187" s="52"/>
      <c r="Q3187" s="52"/>
      <c r="R3187" s="52"/>
      <c r="S3187" s="52"/>
      <c r="T3187" s="52"/>
      <c r="U3187" s="52"/>
      <c r="V3187" s="52"/>
      <c r="W3187" s="52"/>
      <c r="X3187" s="52"/>
      <c r="Y3187" s="52"/>
      <c r="Z3187" s="52"/>
      <c r="AA3187" s="52"/>
      <c r="AB3187" s="52"/>
      <c r="AC3187" s="52"/>
      <c r="AD3187" s="52"/>
      <c r="AE3187" s="52"/>
      <c r="AF3187" s="52"/>
      <c r="AG3187" s="52"/>
      <c r="AH3187" s="52"/>
      <c r="AI3187" s="52"/>
      <c r="AJ3187" s="52"/>
      <c r="AK3187" s="52"/>
      <c r="AL3187" s="52"/>
      <c r="AM3187" s="52"/>
      <c r="AN3187" s="52"/>
    </row>
    <row r="3188" spans="1:40" x14ac:dyDescent="0.3">
      <c r="A3188" s="52">
        <v>3183</v>
      </c>
      <c r="B3188" s="52">
        <f>-bthan*500+(32+0.5)*bthan*1000/50</f>
        <v>825</v>
      </c>
      <c r="C3188" s="52">
        <f t="shared" ref="C3188:C3205" si="299">-hthan*500+(63+0.5)*hthan*1000/80</f>
        <v>470.00000000000023</v>
      </c>
      <c r="D3188" s="52">
        <f t="shared" si="296"/>
        <v>2200</v>
      </c>
      <c r="E3188" s="52">
        <f t="shared" si="297"/>
        <v>1</v>
      </c>
      <c r="F3188" s="52"/>
      <c r="G3188" s="52"/>
      <c r="H3188" s="52"/>
      <c r="I3188" s="52"/>
      <c r="J3188" s="52"/>
      <c r="K3188" s="52"/>
      <c r="L3188" s="52"/>
      <c r="M3188" s="52"/>
      <c r="N3188" s="52"/>
      <c r="O3188" s="52"/>
      <c r="P3188" s="52"/>
      <c r="Q3188" s="52"/>
      <c r="R3188" s="52"/>
      <c r="S3188" s="52"/>
      <c r="T3188" s="52"/>
      <c r="U3188" s="52"/>
      <c r="V3188" s="52"/>
      <c r="W3188" s="52"/>
      <c r="X3188" s="52"/>
      <c r="Y3188" s="52"/>
      <c r="Z3188" s="52"/>
      <c r="AA3188" s="52"/>
      <c r="AB3188" s="52"/>
      <c r="AC3188" s="52"/>
      <c r="AD3188" s="52"/>
      <c r="AE3188" s="52"/>
      <c r="AF3188" s="52"/>
      <c r="AG3188" s="52"/>
      <c r="AH3188" s="52"/>
      <c r="AI3188" s="52"/>
      <c r="AJ3188" s="52"/>
      <c r="AK3188" s="52"/>
      <c r="AL3188" s="52"/>
      <c r="AM3188" s="52"/>
      <c r="AN3188" s="52"/>
    </row>
    <row r="3189" spans="1:40" x14ac:dyDescent="0.3">
      <c r="A3189" s="52">
        <v>3184</v>
      </c>
      <c r="B3189" s="52">
        <f>-bthan*500+(33+0.5)*bthan*1000/50</f>
        <v>935</v>
      </c>
      <c r="C3189" s="52">
        <f t="shared" si="299"/>
        <v>470.00000000000023</v>
      </c>
      <c r="D3189" s="52">
        <f t="shared" si="296"/>
        <v>2200</v>
      </c>
      <c r="E3189" s="52">
        <f t="shared" si="297"/>
        <v>1</v>
      </c>
      <c r="F3189" s="52"/>
      <c r="G3189" s="52"/>
      <c r="H3189" s="52"/>
      <c r="I3189" s="52"/>
      <c r="J3189" s="52"/>
      <c r="K3189" s="52"/>
      <c r="L3189" s="52"/>
      <c r="M3189" s="52"/>
      <c r="N3189" s="52"/>
      <c r="O3189" s="52"/>
      <c r="P3189" s="52"/>
      <c r="Q3189" s="52"/>
      <c r="R3189" s="52"/>
      <c r="S3189" s="52"/>
      <c r="T3189" s="52"/>
      <c r="U3189" s="52"/>
      <c r="V3189" s="52"/>
      <c r="W3189" s="52"/>
      <c r="X3189" s="52"/>
      <c r="Y3189" s="52"/>
      <c r="Z3189" s="52"/>
      <c r="AA3189" s="52"/>
      <c r="AB3189" s="52"/>
      <c r="AC3189" s="52"/>
      <c r="AD3189" s="52"/>
      <c r="AE3189" s="52"/>
      <c r="AF3189" s="52"/>
      <c r="AG3189" s="52"/>
      <c r="AH3189" s="52"/>
      <c r="AI3189" s="52"/>
      <c r="AJ3189" s="52"/>
      <c r="AK3189" s="52"/>
      <c r="AL3189" s="52"/>
      <c r="AM3189" s="52"/>
      <c r="AN3189" s="52"/>
    </row>
    <row r="3190" spans="1:40" x14ac:dyDescent="0.3">
      <c r="A3190" s="52">
        <v>3185</v>
      </c>
      <c r="B3190" s="52">
        <f>-bthan*500+(34+0.5)*bthan*1000/50</f>
        <v>1045</v>
      </c>
      <c r="C3190" s="52">
        <f t="shared" si="299"/>
        <v>470.00000000000023</v>
      </c>
      <c r="D3190" s="52">
        <f t="shared" si="296"/>
        <v>2200</v>
      </c>
      <c r="E3190" s="52">
        <f t="shared" si="297"/>
        <v>1</v>
      </c>
      <c r="F3190" s="52"/>
      <c r="G3190" s="52"/>
      <c r="H3190" s="52"/>
      <c r="I3190" s="52"/>
      <c r="J3190" s="52"/>
      <c r="K3190" s="52"/>
      <c r="L3190" s="52"/>
      <c r="M3190" s="52"/>
      <c r="N3190" s="52"/>
      <c r="O3190" s="52"/>
      <c r="P3190" s="52"/>
      <c r="Q3190" s="52"/>
      <c r="R3190" s="52"/>
      <c r="S3190" s="52"/>
      <c r="T3190" s="52"/>
      <c r="U3190" s="52"/>
      <c r="V3190" s="52"/>
      <c r="W3190" s="52"/>
      <c r="X3190" s="52"/>
      <c r="Y3190" s="52"/>
      <c r="Z3190" s="52"/>
      <c r="AA3190" s="52"/>
      <c r="AB3190" s="52"/>
      <c r="AC3190" s="52"/>
      <c r="AD3190" s="52"/>
      <c r="AE3190" s="52"/>
      <c r="AF3190" s="52"/>
      <c r="AG3190" s="52"/>
      <c r="AH3190" s="52"/>
      <c r="AI3190" s="52"/>
      <c r="AJ3190" s="52"/>
      <c r="AK3190" s="52"/>
      <c r="AL3190" s="52"/>
      <c r="AM3190" s="52"/>
      <c r="AN3190" s="52"/>
    </row>
    <row r="3191" spans="1:40" x14ac:dyDescent="0.3">
      <c r="A3191" s="52">
        <v>3186</v>
      </c>
      <c r="B3191" s="52">
        <f>-bthan*500+(35+0.5)*bthan*1000/50</f>
        <v>1155</v>
      </c>
      <c r="C3191" s="52">
        <f t="shared" si="299"/>
        <v>470.00000000000023</v>
      </c>
      <c r="D3191" s="52">
        <f t="shared" si="296"/>
        <v>2200</v>
      </c>
      <c r="E3191" s="52">
        <f t="shared" si="297"/>
        <v>1</v>
      </c>
      <c r="F3191" s="52"/>
      <c r="G3191" s="52"/>
      <c r="H3191" s="52"/>
      <c r="I3191" s="52"/>
      <c r="J3191" s="52"/>
      <c r="K3191" s="52"/>
      <c r="L3191" s="52"/>
      <c r="M3191" s="52"/>
      <c r="N3191" s="52"/>
      <c r="O3191" s="52"/>
      <c r="P3191" s="52"/>
      <c r="Q3191" s="52"/>
      <c r="R3191" s="52"/>
      <c r="S3191" s="52"/>
      <c r="T3191" s="52"/>
      <c r="U3191" s="52"/>
      <c r="V3191" s="52"/>
      <c r="W3191" s="52"/>
      <c r="X3191" s="52"/>
      <c r="Y3191" s="52"/>
      <c r="Z3191" s="52"/>
      <c r="AA3191" s="52"/>
      <c r="AB3191" s="52"/>
      <c r="AC3191" s="52"/>
      <c r="AD3191" s="52"/>
      <c r="AE3191" s="52"/>
      <c r="AF3191" s="52"/>
      <c r="AG3191" s="52"/>
      <c r="AH3191" s="52"/>
      <c r="AI3191" s="52"/>
      <c r="AJ3191" s="52"/>
      <c r="AK3191" s="52"/>
      <c r="AL3191" s="52"/>
      <c r="AM3191" s="52"/>
      <c r="AN3191" s="52"/>
    </row>
    <row r="3192" spans="1:40" x14ac:dyDescent="0.3">
      <c r="A3192" s="52">
        <v>3187</v>
      </c>
      <c r="B3192" s="52">
        <f>-bthan*500+(36+0.5)*bthan*1000/50</f>
        <v>1265</v>
      </c>
      <c r="C3192" s="52">
        <f t="shared" si="299"/>
        <v>470.00000000000023</v>
      </c>
      <c r="D3192" s="52">
        <f t="shared" si="296"/>
        <v>2200</v>
      </c>
      <c r="E3192" s="52">
        <f t="shared" si="297"/>
        <v>1</v>
      </c>
      <c r="F3192" s="52"/>
      <c r="G3192" s="52"/>
      <c r="H3192" s="52"/>
      <c r="I3192" s="52"/>
      <c r="J3192" s="52"/>
      <c r="K3192" s="52"/>
      <c r="L3192" s="52"/>
      <c r="M3192" s="52"/>
      <c r="N3192" s="52"/>
      <c r="O3192" s="52"/>
      <c r="P3192" s="52"/>
      <c r="Q3192" s="52"/>
      <c r="R3192" s="52"/>
      <c r="S3192" s="52"/>
      <c r="T3192" s="52"/>
      <c r="U3192" s="52"/>
      <c r="V3192" s="52"/>
      <c r="W3192" s="52"/>
      <c r="X3192" s="52"/>
      <c r="Y3192" s="52"/>
      <c r="Z3192" s="52"/>
      <c r="AA3192" s="52"/>
      <c r="AB3192" s="52"/>
      <c r="AC3192" s="52"/>
      <c r="AD3192" s="52"/>
      <c r="AE3192" s="52"/>
      <c r="AF3192" s="52"/>
      <c r="AG3192" s="52"/>
      <c r="AH3192" s="52"/>
      <c r="AI3192" s="52"/>
      <c r="AJ3192" s="52"/>
      <c r="AK3192" s="52"/>
      <c r="AL3192" s="52"/>
      <c r="AM3192" s="52"/>
      <c r="AN3192" s="52"/>
    </row>
    <row r="3193" spans="1:40" x14ac:dyDescent="0.3">
      <c r="A3193" s="52">
        <v>3188</v>
      </c>
      <c r="B3193" s="52">
        <f>-bthan*500+(37+0.5)*bthan*1000/50</f>
        <v>1375</v>
      </c>
      <c r="C3193" s="52">
        <f t="shared" si="299"/>
        <v>470.00000000000023</v>
      </c>
      <c r="D3193" s="52">
        <f t="shared" si="296"/>
        <v>2200</v>
      </c>
      <c r="E3193" s="52">
        <f t="shared" si="297"/>
        <v>1</v>
      </c>
      <c r="F3193" s="52"/>
      <c r="G3193" s="52"/>
      <c r="H3193" s="52"/>
      <c r="I3193" s="52"/>
      <c r="J3193" s="52"/>
      <c r="K3193" s="52"/>
      <c r="L3193" s="52"/>
      <c r="M3193" s="52"/>
      <c r="N3193" s="52"/>
      <c r="O3193" s="52"/>
      <c r="P3193" s="52"/>
      <c r="Q3193" s="52"/>
      <c r="R3193" s="52"/>
      <c r="S3193" s="52"/>
      <c r="T3193" s="52"/>
      <c r="U3193" s="52"/>
      <c r="V3193" s="52"/>
      <c r="W3193" s="52"/>
      <c r="X3193" s="52"/>
      <c r="Y3193" s="52"/>
      <c r="Z3193" s="52"/>
      <c r="AA3193" s="52"/>
      <c r="AB3193" s="52"/>
      <c r="AC3193" s="52"/>
      <c r="AD3193" s="52"/>
      <c r="AE3193" s="52"/>
      <c r="AF3193" s="52"/>
      <c r="AG3193" s="52"/>
      <c r="AH3193" s="52"/>
      <c r="AI3193" s="52"/>
      <c r="AJ3193" s="52"/>
      <c r="AK3193" s="52"/>
      <c r="AL3193" s="52"/>
      <c r="AM3193" s="52"/>
      <c r="AN3193" s="52"/>
    </row>
    <row r="3194" spans="1:40" x14ac:dyDescent="0.3">
      <c r="A3194" s="52">
        <v>3189</v>
      </c>
      <c r="B3194" s="52">
        <f>-bthan*500+(38+0.5)*bthan*1000/50</f>
        <v>1485</v>
      </c>
      <c r="C3194" s="52">
        <f t="shared" si="299"/>
        <v>470.00000000000023</v>
      </c>
      <c r="D3194" s="52">
        <f t="shared" si="296"/>
        <v>2200</v>
      </c>
      <c r="E3194" s="52">
        <f t="shared" si="297"/>
        <v>1</v>
      </c>
      <c r="F3194" s="52"/>
      <c r="G3194" s="52"/>
      <c r="H3194" s="52"/>
      <c r="I3194" s="52"/>
      <c r="J3194" s="52"/>
      <c r="K3194" s="52"/>
      <c r="L3194" s="52"/>
      <c r="M3194" s="52"/>
      <c r="N3194" s="52"/>
      <c r="O3194" s="52"/>
      <c r="P3194" s="52"/>
      <c r="Q3194" s="52"/>
      <c r="R3194" s="52"/>
      <c r="S3194" s="52"/>
      <c r="T3194" s="52"/>
      <c r="U3194" s="52"/>
      <c r="V3194" s="52"/>
      <c r="W3194" s="52"/>
      <c r="X3194" s="52"/>
      <c r="Y3194" s="52"/>
      <c r="Z3194" s="52"/>
      <c r="AA3194" s="52"/>
      <c r="AB3194" s="52"/>
      <c r="AC3194" s="52"/>
      <c r="AD3194" s="52"/>
      <c r="AE3194" s="52"/>
      <c r="AF3194" s="52"/>
      <c r="AG3194" s="52"/>
      <c r="AH3194" s="52"/>
      <c r="AI3194" s="52"/>
      <c r="AJ3194" s="52"/>
      <c r="AK3194" s="52"/>
      <c r="AL3194" s="52"/>
      <c r="AM3194" s="52"/>
      <c r="AN3194" s="52"/>
    </row>
    <row r="3195" spans="1:40" x14ac:dyDescent="0.3">
      <c r="A3195" s="52">
        <v>3190</v>
      </c>
      <c r="B3195" s="52">
        <f>-bthan*500+(39+0.5)*bthan*1000/50</f>
        <v>1595</v>
      </c>
      <c r="C3195" s="52">
        <f t="shared" si="299"/>
        <v>470.00000000000023</v>
      </c>
      <c r="D3195" s="52">
        <f t="shared" si="296"/>
        <v>2200</v>
      </c>
      <c r="E3195" s="52">
        <f t="shared" si="297"/>
        <v>1</v>
      </c>
      <c r="F3195" s="52"/>
      <c r="G3195" s="52"/>
      <c r="H3195" s="52"/>
      <c r="I3195" s="52"/>
      <c r="J3195" s="52"/>
      <c r="K3195" s="52"/>
      <c r="L3195" s="52"/>
      <c r="M3195" s="52"/>
      <c r="N3195" s="52"/>
      <c r="O3195" s="52"/>
      <c r="P3195" s="52"/>
      <c r="Q3195" s="52"/>
      <c r="R3195" s="52"/>
      <c r="S3195" s="52"/>
      <c r="T3195" s="52"/>
      <c r="U3195" s="52"/>
      <c r="V3195" s="52"/>
      <c r="W3195" s="52"/>
      <c r="X3195" s="52"/>
      <c r="Y3195" s="52"/>
      <c r="Z3195" s="52"/>
      <c r="AA3195" s="52"/>
      <c r="AB3195" s="52"/>
      <c r="AC3195" s="52"/>
      <c r="AD3195" s="52"/>
      <c r="AE3195" s="52"/>
      <c r="AF3195" s="52"/>
      <c r="AG3195" s="52"/>
      <c r="AH3195" s="52"/>
      <c r="AI3195" s="52"/>
      <c r="AJ3195" s="52"/>
      <c r="AK3195" s="52"/>
      <c r="AL3195" s="52"/>
      <c r="AM3195" s="52"/>
      <c r="AN3195" s="52"/>
    </row>
    <row r="3196" spans="1:40" x14ac:dyDescent="0.3">
      <c r="A3196" s="52">
        <v>3191</v>
      </c>
      <c r="B3196" s="52">
        <f>-bthan*500+(40+0.5)*bthan*1000/50</f>
        <v>1705</v>
      </c>
      <c r="C3196" s="52">
        <f t="shared" si="299"/>
        <v>470.00000000000023</v>
      </c>
      <c r="D3196" s="52">
        <f t="shared" si="296"/>
        <v>2200</v>
      </c>
      <c r="E3196" s="52">
        <f t="shared" si="297"/>
        <v>1</v>
      </c>
      <c r="F3196" s="52"/>
      <c r="G3196" s="52"/>
      <c r="H3196" s="52"/>
      <c r="I3196" s="52"/>
      <c r="J3196" s="52"/>
      <c r="K3196" s="52"/>
      <c r="L3196" s="52"/>
      <c r="M3196" s="52"/>
      <c r="N3196" s="52"/>
      <c r="O3196" s="52"/>
      <c r="P3196" s="52"/>
      <c r="Q3196" s="52"/>
      <c r="R3196" s="52"/>
      <c r="S3196" s="52"/>
      <c r="T3196" s="52"/>
      <c r="U3196" s="52"/>
      <c r="V3196" s="52"/>
      <c r="W3196" s="52"/>
      <c r="X3196" s="52"/>
      <c r="Y3196" s="52"/>
      <c r="Z3196" s="52"/>
      <c r="AA3196" s="52"/>
      <c r="AB3196" s="52"/>
      <c r="AC3196" s="52"/>
      <c r="AD3196" s="52"/>
      <c r="AE3196" s="52"/>
      <c r="AF3196" s="52"/>
      <c r="AG3196" s="52"/>
      <c r="AH3196" s="52"/>
      <c r="AI3196" s="52"/>
      <c r="AJ3196" s="52"/>
      <c r="AK3196" s="52"/>
      <c r="AL3196" s="52"/>
      <c r="AM3196" s="52"/>
      <c r="AN3196" s="52"/>
    </row>
    <row r="3197" spans="1:40" x14ac:dyDescent="0.3">
      <c r="A3197" s="52">
        <v>3192</v>
      </c>
      <c r="B3197" s="52">
        <f>-bthan*500+(41+0.5)*bthan*1000/50</f>
        <v>1815</v>
      </c>
      <c r="C3197" s="52">
        <f t="shared" si="299"/>
        <v>470.00000000000023</v>
      </c>
      <c r="D3197" s="52">
        <f t="shared" si="296"/>
        <v>2200</v>
      </c>
      <c r="E3197" s="52">
        <f t="shared" si="297"/>
        <v>1</v>
      </c>
      <c r="F3197" s="52"/>
      <c r="G3197" s="52"/>
      <c r="H3197" s="52"/>
      <c r="I3197" s="52"/>
      <c r="J3197" s="52"/>
      <c r="K3197" s="52"/>
      <c r="L3197" s="52"/>
      <c r="M3197" s="52"/>
      <c r="N3197" s="52"/>
      <c r="O3197" s="52"/>
      <c r="P3197" s="52"/>
      <c r="Q3197" s="52"/>
      <c r="R3197" s="52"/>
      <c r="S3197" s="52"/>
      <c r="T3197" s="52"/>
      <c r="U3197" s="52"/>
      <c r="V3197" s="52"/>
      <c r="W3197" s="52"/>
      <c r="X3197" s="52"/>
      <c r="Y3197" s="52"/>
      <c r="Z3197" s="52"/>
      <c r="AA3197" s="52"/>
      <c r="AB3197" s="52"/>
      <c r="AC3197" s="52"/>
      <c r="AD3197" s="52"/>
      <c r="AE3197" s="52"/>
      <c r="AF3197" s="52"/>
      <c r="AG3197" s="52"/>
      <c r="AH3197" s="52"/>
      <c r="AI3197" s="52"/>
      <c r="AJ3197" s="52"/>
      <c r="AK3197" s="52"/>
      <c r="AL3197" s="52"/>
      <c r="AM3197" s="52"/>
      <c r="AN3197" s="52"/>
    </row>
    <row r="3198" spans="1:40" x14ac:dyDescent="0.3">
      <c r="A3198" s="52">
        <v>3193</v>
      </c>
      <c r="B3198" s="52">
        <f>-bthan*500+(42+0.5)*bthan*1000/50</f>
        <v>1925</v>
      </c>
      <c r="C3198" s="52">
        <f t="shared" si="299"/>
        <v>470.00000000000023</v>
      </c>
      <c r="D3198" s="52">
        <f t="shared" si="296"/>
        <v>2200</v>
      </c>
      <c r="E3198" s="52">
        <f t="shared" si="297"/>
        <v>1</v>
      </c>
      <c r="F3198" s="52"/>
      <c r="G3198" s="52"/>
      <c r="H3198" s="52"/>
      <c r="I3198" s="52"/>
      <c r="J3198" s="52"/>
      <c r="K3198" s="52"/>
      <c r="L3198" s="52"/>
      <c r="M3198" s="52"/>
      <c r="N3198" s="52"/>
      <c r="O3198" s="52"/>
      <c r="P3198" s="52"/>
      <c r="Q3198" s="52"/>
      <c r="R3198" s="52"/>
      <c r="S3198" s="52"/>
      <c r="T3198" s="52"/>
      <c r="U3198" s="52"/>
      <c r="V3198" s="52"/>
      <c r="W3198" s="52"/>
      <c r="X3198" s="52"/>
      <c r="Y3198" s="52"/>
      <c r="Z3198" s="52"/>
      <c r="AA3198" s="52"/>
      <c r="AB3198" s="52"/>
      <c r="AC3198" s="52"/>
      <c r="AD3198" s="52"/>
      <c r="AE3198" s="52"/>
      <c r="AF3198" s="52"/>
      <c r="AG3198" s="52"/>
      <c r="AH3198" s="52"/>
      <c r="AI3198" s="52"/>
      <c r="AJ3198" s="52"/>
      <c r="AK3198" s="52"/>
      <c r="AL3198" s="52"/>
      <c r="AM3198" s="52"/>
      <c r="AN3198" s="52"/>
    </row>
    <row r="3199" spans="1:40" x14ac:dyDescent="0.3">
      <c r="A3199" s="52">
        <v>3194</v>
      </c>
      <c r="B3199" s="52">
        <f>-bthan*500+(43+0.5)*bthan*1000/50</f>
        <v>2035</v>
      </c>
      <c r="C3199" s="52">
        <f t="shared" si="299"/>
        <v>470.00000000000023</v>
      </c>
      <c r="D3199" s="52">
        <f t="shared" si="296"/>
        <v>2200</v>
      </c>
      <c r="E3199" s="52">
        <f t="shared" si="297"/>
        <v>1</v>
      </c>
      <c r="F3199" s="52"/>
      <c r="G3199" s="52"/>
      <c r="H3199" s="52"/>
      <c r="I3199" s="52"/>
      <c r="J3199" s="52"/>
      <c r="K3199" s="52"/>
      <c r="L3199" s="52"/>
      <c r="M3199" s="52"/>
      <c r="N3199" s="52"/>
      <c r="O3199" s="52"/>
      <c r="P3199" s="52"/>
      <c r="Q3199" s="52"/>
      <c r="R3199" s="52"/>
      <c r="S3199" s="52"/>
      <c r="T3199" s="52"/>
      <c r="U3199" s="52"/>
      <c r="V3199" s="52"/>
      <c r="W3199" s="52"/>
      <c r="X3199" s="52"/>
      <c r="Y3199" s="52"/>
      <c r="Z3199" s="52"/>
      <c r="AA3199" s="52"/>
      <c r="AB3199" s="52"/>
      <c r="AC3199" s="52"/>
      <c r="AD3199" s="52"/>
      <c r="AE3199" s="52"/>
      <c r="AF3199" s="52"/>
      <c r="AG3199" s="52"/>
      <c r="AH3199" s="52"/>
      <c r="AI3199" s="52"/>
      <c r="AJ3199" s="52"/>
      <c r="AK3199" s="52"/>
      <c r="AL3199" s="52"/>
      <c r="AM3199" s="52"/>
      <c r="AN3199" s="52"/>
    </row>
    <row r="3200" spans="1:40" x14ac:dyDescent="0.3">
      <c r="A3200" s="52">
        <v>3195</v>
      </c>
      <c r="B3200" s="52">
        <f>-bthan*500+(44+0.5)*bthan*1000/50</f>
        <v>2145</v>
      </c>
      <c r="C3200" s="52">
        <f t="shared" si="299"/>
        <v>470.00000000000023</v>
      </c>
      <c r="D3200" s="52">
        <f t="shared" si="296"/>
        <v>2200</v>
      </c>
      <c r="E3200" s="52">
        <f t="shared" si="297"/>
        <v>1</v>
      </c>
      <c r="F3200" s="52"/>
      <c r="G3200" s="52"/>
      <c r="H3200" s="52"/>
      <c r="I3200" s="52"/>
      <c r="J3200" s="52"/>
      <c r="K3200" s="52"/>
      <c r="L3200" s="52"/>
      <c r="M3200" s="52"/>
      <c r="N3200" s="52"/>
      <c r="O3200" s="52"/>
      <c r="P3200" s="52"/>
      <c r="Q3200" s="52"/>
      <c r="R3200" s="52"/>
      <c r="S3200" s="52"/>
      <c r="T3200" s="52"/>
      <c r="U3200" s="52"/>
      <c r="V3200" s="52"/>
      <c r="W3200" s="52"/>
      <c r="X3200" s="52"/>
      <c r="Y3200" s="52"/>
      <c r="Z3200" s="52"/>
      <c r="AA3200" s="52"/>
      <c r="AB3200" s="52"/>
      <c r="AC3200" s="52"/>
      <c r="AD3200" s="52"/>
      <c r="AE3200" s="52"/>
      <c r="AF3200" s="52"/>
      <c r="AG3200" s="52"/>
      <c r="AH3200" s="52"/>
      <c r="AI3200" s="52"/>
      <c r="AJ3200" s="52"/>
      <c r="AK3200" s="52"/>
      <c r="AL3200" s="52"/>
      <c r="AM3200" s="52"/>
      <c r="AN3200" s="52"/>
    </row>
    <row r="3201" spans="1:40" x14ac:dyDescent="0.3">
      <c r="A3201" s="52">
        <v>3196</v>
      </c>
      <c r="B3201" s="52">
        <f>-bthan*500+(45+0.5)*bthan*1000/50</f>
        <v>2255</v>
      </c>
      <c r="C3201" s="52">
        <f t="shared" si="299"/>
        <v>470.00000000000023</v>
      </c>
      <c r="D3201" s="52">
        <f t="shared" si="296"/>
        <v>2200</v>
      </c>
      <c r="E3201" s="52">
        <f t="shared" si="297"/>
        <v>1</v>
      </c>
      <c r="F3201" s="52"/>
      <c r="G3201" s="52"/>
      <c r="H3201" s="52"/>
      <c r="I3201" s="52"/>
      <c r="J3201" s="52"/>
      <c r="K3201" s="52"/>
      <c r="L3201" s="52"/>
      <c r="M3201" s="52"/>
      <c r="N3201" s="52"/>
      <c r="O3201" s="52"/>
      <c r="P3201" s="52"/>
      <c r="Q3201" s="52"/>
      <c r="R3201" s="52"/>
      <c r="S3201" s="52"/>
      <c r="T3201" s="52"/>
      <c r="U3201" s="52"/>
      <c r="V3201" s="52"/>
      <c r="W3201" s="52"/>
      <c r="X3201" s="52"/>
      <c r="Y3201" s="52"/>
      <c r="Z3201" s="52"/>
      <c r="AA3201" s="52"/>
      <c r="AB3201" s="52"/>
      <c r="AC3201" s="52"/>
      <c r="AD3201" s="52"/>
      <c r="AE3201" s="52"/>
      <c r="AF3201" s="52"/>
      <c r="AG3201" s="52"/>
      <c r="AH3201" s="52"/>
      <c r="AI3201" s="52"/>
      <c r="AJ3201" s="52"/>
      <c r="AK3201" s="52"/>
      <c r="AL3201" s="52"/>
      <c r="AM3201" s="52"/>
      <c r="AN3201" s="52"/>
    </row>
    <row r="3202" spans="1:40" x14ac:dyDescent="0.3">
      <c r="A3202" s="52">
        <v>3197</v>
      </c>
      <c r="B3202" s="52">
        <f>-bthan*500+(46+0.5)*bthan*1000/50</f>
        <v>2365</v>
      </c>
      <c r="C3202" s="52">
        <f t="shared" si="299"/>
        <v>470.00000000000023</v>
      </c>
      <c r="D3202" s="52">
        <f t="shared" si="296"/>
        <v>2200</v>
      </c>
      <c r="E3202" s="52">
        <f t="shared" si="297"/>
        <v>1</v>
      </c>
      <c r="F3202" s="52"/>
      <c r="G3202" s="52"/>
      <c r="H3202" s="52"/>
      <c r="I3202" s="52"/>
      <c r="J3202" s="52"/>
      <c r="K3202" s="52"/>
      <c r="L3202" s="52"/>
      <c r="M3202" s="52"/>
      <c r="N3202" s="52"/>
      <c r="O3202" s="52"/>
      <c r="P3202" s="52"/>
      <c r="Q3202" s="52"/>
      <c r="R3202" s="52"/>
      <c r="S3202" s="52"/>
      <c r="T3202" s="52"/>
      <c r="U3202" s="52"/>
      <c r="V3202" s="52"/>
      <c r="W3202" s="52"/>
      <c r="X3202" s="52"/>
      <c r="Y3202" s="52"/>
      <c r="Z3202" s="52"/>
      <c r="AA3202" s="52"/>
      <c r="AB3202" s="52"/>
      <c r="AC3202" s="52"/>
      <c r="AD3202" s="52"/>
      <c r="AE3202" s="52"/>
      <c r="AF3202" s="52"/>
      <c r="AG3202" s="52"/>
      <c r="AH3202" s="52"/>
      <c r="AI3202" s="52"/>
      <c r="AJ3202" s="52"/>
      <c r="AK3202" s="52"/>
      <c r="AL3202" s="52"/>
      <c r="AM3202" s="52"/>
      <c r="AN3202" s="52"/>
    </row>
    <row r="3203" spans="1:40" x14ac:dyDescent="0.3">
      <c r="A3203" s="52">
        <v>3198</v>
      </c>
      <c r="B3203" s="52">
        <f>-bthan*500+(47+0.5)*bthan*1000/50</f>
        <v>2475</v>
      </c>
      <c r="C3203" s="52">
        <f t="shared" si="299"/>
        <v>470.00000000000023</v>
      </c>
      <c r="D3203" s="52">
        <f t="shared" si="296"/>
        <v>2200</v>
      </c>
      <c r="E3203" s="52">
        <f t="shared" si="297"/>
        <v>1</v>
      </c>
      <c r="F3203" s="52"/>
      <c r="G3203" s="52"/>
      <c r="H3203" s="52"/>
      <c r="I3203" s="52"/>
      <c r="J3203" s="52"/>
      <c r="K3203" s="52"/>
      <c r="L3203" s="52"/>
      <c r="M3203" s="52"/>
      <c r="N3203" s="52"/>
      <c r="O3203" s="52"/>
      <c r="P3203" s="52"/>
      <c r="Q3203" s="52"/>
      <c r="R3203" s="52"/>
      <c r="S3203" s="52"/>
      <c r="T3203" s="52"/>
      <c r="U3203" s="52"/>
      <c r="V3203" s="52"/>
      <c r="W3203" s="52"/>
      <c r="X3203" s="52"/>
      <c r="Y3203" s="52"/>
      <c r="Z3203" s="52"/>
      <c r="AA3203" s="52"/>
      <c r="AB3203" s="52"/>
      <c r="AC3203" s="52"/>
      <c r="AD3203" s="52"/>
      <c r="AE3203" s="52"/>
      <c r="AF3203" s="52"/>
      <c r="AG3203" s="52"/>
      <c r="AH3203" s="52"/>
      <c r="AI3203" s="52"/>
      <c r="AJ3203" s="52"/>
      <c r="AK3203" s="52"/>
      <c r="AL3203" s="52"/>
      <c r="AM3203" s="52"/>
      <c r="AN3203" s="52"/>
    </row>
    <row r="3204" spans="1:40" x14ac:dyDescent="0.3">
      <c r="A3204" s="52">
        <v>3199</v>
      </c>
      <c r="B3204" s="52">
        <f>-bthan*500+(48+0.5)*bthan*1000/50</f>
        <v>2585</v>
      </c>
      <c r="C3204" s="52">
        <f t="shared" si="299"/>
        <v>470.00000000000023</v>
      </c>
      <c r="D3204" s="52">
        <f t="shared" si="296"/>
        <v>2200</v>
      </c>
      <c r="E3204" s="52">
        <f t="shared" si="297"/>
        <v>1</v>
      </c>
      <c r="F3204" s="52"/>
      <c r="G3204" s="52"/>
      <c r="H3204" s="52"/>
      <c r="I3204" s="52"/>
      <c r="J3204" s="52"/>
      <c r="K3204" s="52"/>
      <c r="L3204" s="52"/>
      <c r="M3204" s="52"/>
      <c r="N3204" s="52"/>
      <c r="O3204" s="52"/>
      <c r="P3204" s="52"/>
      <c r="Q3204" s="52"/>
      <c r="R3204" s="52"/>
      <c r="S3204" s="52"/>
      <c r="T3204" s="52"/>
      <c r="U3204" s="52"/>
      <c r="V3204" s="52"/>
      <c r="W3204" s="52"/>
      <c r="X3204" s="52"/>
      <c r="Y3204" s="52"/>
      <c r="Z3204" s="52"/>
      <c r="AA3204" s="52"/>
      <c r="AB3204" s="52"/>
      <c r="AC3204" s="52"/>
      <c r="AD3204" s="52"/>
      <c r="AE3204" s="52"/>
      <c r="AF3204" s="52"/>
      <c r="AG3204" s="52"/>
      <c r="AH3204" s="52"/>
      <c r="AI3204" s="52"/>
      <c r="AJ3204" s="52"/>
      <c r="AK3204" s="52"/>
      <c r="AL3204" s="52"/>
      <c r="AM3204" s="52"/>
      <c r="AN3204" s="52"/>
    </row>
    <row r="3205" spans="1:40" x14ac:dyDescent="0.3">
      <c r="A3205" s="52">
        <v>3200</v>
      </c>
      <c r="B3205" s="52">
        <f>-bthan*500+(49+0.5)*bthan*1000/50</f>
        <v>2695</v>
      </c>
      <c r="C3205" s="52">
        <f t="shared" si="299"/>
        <v>470.00000000000023</v>
      </c>
      <c r="D3205" s="52">
        <f t="shared" si="296"/>
        <v>2200</v>
      </c>
      <c r="E3205" s="52">
        <f t="shared" si="297"/>
        <v>0</v>
      </c>
      <c r="F3205" s="52"/>
      <c r="G3205" s="52"/>
      <c r="H3205" s="52"/>
      <c r="I3205" s="52"/>
      <c r="J3205" s="52"/>
      <c r="K3205" s="52"/>
      <c r="L3205" s="52"/>
      <c r="M3205" s="52"/>
      <c r="N3205" s="52"/>
      <c r="O3205" s="52"/>
      <c r="P3205" s="52"/>
      <c r="Q3205" s="52"/>
      <c r="R3205" s="52"/>
      <c r="S3205" s="52"/>
      <c r="T3205" s="52"/>
      <c r="U3205" s="52"/>
      <c r="V3205" s="52"/>
      <c r="W3205" s="52"/>
      <c r="X3205" s="52"/>
      <c r="Y3205" s="52"/>
      <c r="Z3205" s="52"/>
      <c r="AA3205" s="52"/>
      <c r="AB3205" s="52"/>
      <c r="AC3205" s="52"/>
      <c r="AD3205" s="52"/>
      <c r="AE3205" s="52"/>
      <c r="AF3205" s="52"/>
      <c r="AG3205" s="52"/>
      <c r="AH3205" s="52"/>
      <c r="AI3205" s="52"/>
      <c r="AJ3205" s="52"/>
      <c r="AK3205" s="52"/>
      <c r="AL3205" s="52"/>
      <c r="AM3205" s="52"/>
      <c r="AN3205" s="52"/>
    </row>
    <row r="3206" spans="1:40" x14ac:dyDescent="0.3">
      <c r="A3206" s="52">
        <v>3201</v>
      </c>
      <c r="B3206" s="52">
        <f>-bthan*500+(0+0.5)*bthan*1000/50</f>
        <v>-2695</v>
      </c>
      <c r="C3206" s="52">
        <f t="shared" ref="C3206:C3237" si="300">-hthan*500+(64+0.5)*hthan*1000/80</f>
        <v>490</v>
      </c>
      <c r="D3206" s="52">
        <f t="shared" ref="D3206:D3269" si="301">bthan*1000/50*hthan*1000/80</f>
        <v>2200</v>
      </c>
      <c r="E3206" s="52">
        <f t="shared" ref="E3206:E3269" si="302">IF(shp=1,--(OR(ABS(B3206)&lt;=MAX(0,(bthan-hthan)*500),(ABS(B3206)-MAX(0,(bthan-hthan)*500))^2+C3206^2&lt;=(hthan*500)^2)),--(AND(ABS(B3206)&lt;=bthan*500,ABS(C3206)&lt;=hthan*500,OR(ABS(B3206)&lt;=bthan*500-cch*1000,ABS(C3206)&lt;=hthan*500-cch*1000,(bthan*500-ABS(B3206))+(hthan*500-ABS(C3206))&gt;=cch*1000))))</f>
        <v>0</v>
      </c>
      <c r="F3206" s="52"/>
      <c r="G3206" s="52"/>
      <c r="H3206" s="52"/>
      <c r="I3206" s="52"/>
      <c r="J3206" s="52"/>
      <c r="K3206" s="52"/>
      <c r="L3206" s="52"/>
      <c r="M3206" s="52"/>
      <c r="N3206" s="52"/>
      <c r="O3206" s="52"/>
      <c r="P3206" s="52"/>
      <c r="Q3206" s="52"/>
      <c r="R3206" s="52"/>
      <c r="S3206" s="52"/>
      <c r="T3206" s="52"/>
      <c r="U3206" s="52"/>
      <c r="V3206" s="52"/>
      <c r="W3206" s="52"/>
      <c r="X3206" s="52"/>
      <c r="Y3206" s="52"/>
      <c r="Z3206" s="52"/>
      <c r="AA3206" s="52"/>
      <c r="AB3206" s="52"/>
      <c r="AC3206" s="52"/>
      <c r="AD3206" s="52"/>
      <c r="AE3206" s="52"/>
      <c r="AF3206" s="52"/>
      <c r="AG3206" s="52"/>
      <c r="AH3206" s="52"/>
      <c r="AI3206" s="52"/>
      <c r="AJ3206" s="52"/>
      <c r="AK3206" s="52"/>
      <c r="AL3206" s="52"/>
      <c r="AM3206" s="52"/>
      <c r="AN3206" s="52"/>
    </row>
    <row r="3207" spans="1:40" x14ac:dyDescent="0.3">
      <c r="A3207" s="52">
        <v>3202</v>
      </c>
      <c r="B3207" s="52">
        <f>-bthan*500+(1+0.5)*bthan*1000/50</f>
        <v>-2585</v>
      </c>
      <c r="C3207" s="52">
        <f t="shared" si="300"/>
        <v>490</v>
      </c>
      <c r="D3207" s="52">
        <f t="shared" si="301"/>
        <v>2200</v>
      </c>
      <c r="E3207" s="52">
        <f t="shared" si="302"/>
        <v>0</v>
      </c>
      <c r="F3207" s="52"/>
      <c r="G3207" s="52"/>
      <c r="H3207" s="52"/>
      <c r="I3207" s="52"/>
      <c r="J3207" s="52"/>
      <c r="K3207" s="52"/>
      <c r="L3207" s="52"/>
      <c r="M3207" s="52"/>
      <c r="N3207" s="52"/>
      <c r="O3207" s="52"/>
      <c r="P3207" s="52"/>
      <c r="Q3207" s="52"/>
      <c r="R3207" s="52"/>
      <c r="S3207" s="52"/>
      <c r="T3207" s="52"/>
      <c r="U3207" s="52"/>
      <c r="V3207" s="52"/>
      <c r="W3207" s="52"/>
      <c r="X3207" s="52"/>
      <c r="Y3207" s="52"/>
      <c r="Z3207" s="52"/>
      <c r="AA3207" s="52"/>
      <c r="AB3207" s="52"/>
      <c r="AC3207" s="52"/>
      <c r="AD3207" s="52"/>
      <c r="AE3207" s="52"/>
      <c r="AF3207" s="52"/>
      <c r="AG3207" s="52"/>
      <c r="AH3207" s="52"/>
      <c r="AI3207" s="52"/>
      <c r="AJ3207" s="52"/>
      <c r="AK3207" s="52"/>
      <c r="AL3207" s="52"/>
      <c r="AM3207" s="52"/>
      <c r="AN3207" s="52"/>
    </row>
    <row r="3208" spans="1:40" x14ac:dyDescent="0.3">
      <c r="A3208" s="52">
        <v>3203</v>
      </c>
      <c r="B3208" s="52">
        <f>-bthan*500+(2+0.5)*bthan*1000/50</f>
        <v>-2475</v>
      </c>
      <c r="C3208" s="52">
        <f t="shared" si="300"/>
        <v>490</v>
      </c>
      <c r="D3208" s="52">
        <f t="shared" si="301"/>
        <v>2200</v>
      </c>
      <c r="E3208" s="52">
        <f t="shared" si="302"/>
        <v>1</v>
      </c>
      <c r="F3208" s="52"/>
      <c r="G3208" s="52"/>
      <c r="H3208" s="52"/>
      <c r="I3208" s="52"/>
      <c r="J3208" s="52"/>
      <c r="K3208" s="52"/>
      <c r="L3208" s="52"/>
      <c r="M3208" s="52"/>
      <c r="N3208" s="52"/>
      <c r="O3208" s="52"/>
      <c r="P3208" s="52"/>
      <c r="Q3208" s="52"/>
      <c r="R3208" s="52"/>
      <c r="S3208" s="52"/>
      <c r="T3208" s="52"/>
      <c r="U3208" s="52"/>
      <c r="V3208" s="52"/>
      <c r="W3208" s="52"/>
      <c r="X3208" s="52"/>
      <c r="Y3208" s="52"/>
      <c r="Z3208" s="52"/>
      <c r="AA3208" s="52"/>
      <c r="AB3208" s="52"/>
      <c r="AC3208" s="52"/>
      <c r="AD3208" s="52"/>
      <c r="AE3208" s="52"/>
      <c r="AF3208" s="52"/>
      <c r="AG3208" s="52"/>
      <c r="AH3208" s="52"/>
      <c r="AI3208" s="52"/>
      <c r="AJ3208" s="52"/>
      <c r="AK3208" s="52"/>
      <c r="AL3208" s="52"/>
      <c r="AM3208" s="52"/>
      <c r="AN3208" s="52"/>
    </row>
    <row r="3209" spans="1:40" x14ac:dyDescent="0.3">
      <c r="A3209" s="52">
        <v>3204</v>
      </c>
      <c r="B3209" s="52">
        <f>-bthan*500+(3+0.5)*bthan*1000/50</f>
        <v>-2365</v>
      </c>
      <c r="C3209" s="52">
        <f t="shared" si="300"/>
        <v>490</v>
      </c>
      <c r="D3209" s="52">
        <f t="shared" si="301"/>
        <v>2200</v>
      </c>
      <c r="E3209" s="52">
        <f t="shared" si="302"/>
        <v>1</v>
      </c>
      <c r="F3209" s="52"/>
      <c r="G3209" s="52"/>
      <c r="H3209" s="52"/>
      <c r="I3209" s="52"/>
      <c r="J3209" s="52"/>
      <c r="K3209" s="52"/>
      <c r="L3209" s="52"/>
      <c r="M3209" s="52"/>
      <c r="N3209" s="52"/>
      <c r="O3209" s="52"/>
      <c r="P3209" s="52"/>
      <c r="Q3209" s="52"/>
      <c r="R3209" s="52"/>
      <c r="S3209" s="52"/>
      <c r="T3209" s="52"/>
      <c r="U3209" s="52"/>
      <c r="V3209" s="52"/>
      <c r="W3209" s="52"/>
      <c r="X3209" s="52"/>
      <c r="Y3209" s="52"/>
      <c r="Z3209" s="52"/>
      <c r="AA3209" s="52"/>
      <c r="AB3209" s="52"/>
      <c r="AC3209" s="52"/>
      <c r="AD3209" s="52"/>
      <c r="AE3209" s="52"/>
      <c r="AF3209" s="52"/>
      <c r="AG3209" s="52"/>
      <c r="AH3209" s="52"/>
      <c r="AI3209" s="52"/>
      <c r="AJ3209" s="52"/>
      <c r="AK3209" s="52"/>
      <c r="AL3209" s="52"/>
      <c r="AM3209" s="52"/>
      <c r="AN3209" s="52"/>
    </row>
    <row r="3210" spans="1:40" x14ac:dyDescent="0.3">
      <c r="A3210" s="52">
        <v>3205</v>
      </c>
      <c r="B3210" s="52">
        <f>-bthan*500+(4+0.5)*bthan*1000/50</f>
        <v>-2255</v>
      </c>
      <c r="C3210" s="52">
        <f t="shared" si="300"/>
        <v>490</v>
      </c>
      <c r="D3210" s="52">
        <f t="shared" si="301"/>
        <v>2200</v>
      </c>
      <c r="E3210" s="52">
        <f t="shared" si="302"/>
        <v>1</v>
      </c>
      <c r="F3210" s="52"/>
      <c r="G3210" s="52"/>
      <c r="H3210" s="52"/>
      <c r="I3210" s="52"/>
      <c r="J3210" s="52"/>
      <c r="K3210" s="52"/>
      <c r="L3210" s="52"/>
      <c r="M3210" s="52"/>
      <c r="N3210" s="52"/>
      <c r="O3210" s="52"/>
      <c r="P3210" s="52"/>
      <c r="Q3210" s="52"/>
      <c r="R3210" s="52"/>
      <c r="S3210" s="52"/>
      <c r="T3210" s="52"/>
      <c r="U3210" s="52"/>
      <c r="V3210" s="52"/>
      <c r="W3210" s="52"/>
      <c r="X3210" s="52"/>
      <c r="Y3210" s="52"/>
      <c r="Z3210" s="52"/>
      <c r="AA3210" s="52"/>
      <c r="AB3210" s="52"/>
      <c r="AC3210" s="52"/>
      <c r="AD3210" s="52"/>
      <c r="AE3210" s="52"/>
      <c r="AF3210" s="52"/>
      <c r="AG3210" s="52"/>
      <c r="AH3210" s="52"/>
      <c r="AI3210" s="52"/>
      <c r="AJ3210" s="52"/>
      <c r="AK3210" s="52"/>
      <c r="AL3210" s="52"/>
      <c r="AM3210" s="52"/>
      <c r="AN3210" s="52"/>
    </row>
    <row r="3211" spans="1:40" x14ac:dyDescent="0.3">
      <c r="A3211" s="52">
        <v>3206</v>
      </c>
      <c r="B3211" s="52">
        <f>-bthan*500+(5+0.5)*bthan*1000/50</f>
        <v>-2145</v>
      </c>
      <c r="C3211" s="52">
        <f t="shared" si="300"/>
        <v>490</v>
      </c>
      <c r="D3211" s="52">
        <f t="shared" si="301"/>
        <v>2200</v>
      </c>
      <c r="E3211" s="52">
        <f t="shared" si="302"/>
        <v>1</v>
      </c>
      <c r="F3211" s="52"/>
      <c r="G3211" s="52"/>
      <c r="H3211" s="52"/>
      <c r="I3211" s="52"/>
      <c r="J3211" s="52"/>
      <c r="K3211" s="52"/>
      <c r="L3211" s="52"/>
      <c r="M3211" s="52"/>
      <c r="N3211" s="52"/>
      <c r="O3211" s="52"/>
      <c r="P3211" s="52"/>
      <c r="Q3211" s="52"/>
      <c r="R3211" s="52"/>
      <c r="S3211" s="52"/>
      <c r="T3211" s="52"/>
      <c r="U3211" s="52"/>
      <c r="V3211" s="52"/>
      <c r="W3211" s="52"/>
      <c r="X3211" s="52"/>
      <c r="Y3211" s="52"/>
      <c r="Z3211" s="52"/>
      <c r="AA3211" s="52"/>
      <c r="AB3211" s="52"/>
      <c r="AC3211" s="52"/>
      <c r="AD3211" s="52"/>
      <c r="AE3211" s="52"/>
      <c r="AF3211" s="52"/>
      <c r="AG3211" s="52"/>
      <c r="AH3211" s="52"/>
      <c r="AI3211" s="52"/>
      <c r="AJ3211" s="52"/>
      <c r="AK3211" s="52"/>
      <c r="AL3211" s="52"/>
      <c r="AM3211" s="52"/>
      <c r="AN3211" s="52"/>
    </row>
    <row r="3212" spans="1:40" x14ac:dyDescent="0.3">
      <c r="A3212" s="52">
        <v>3207</v>
      </c>
      <c r="B3212" s="52">
        <f>-bthan*500+(6+0.5)*bthan*1000/50</f>
        <v>-2035</v>
      </c>
      <c r="C3212" s="52">
        <f t="shared" si="300"/>
        <v>490</v>
      </c>
      <c r="D3212" s="52">
        <f t="shared" si="301"/>
        <v>2200</v>
      </c>
      <c r="E3212" s="52">
        <f t="shared" si="302"/>
        <v>1</v>
      </c>
      <c r="F3212" s="52"/>
      <c r="G3212" s="52"/>
      <c r="H3212" s="52"/>
      <c r="I3212" s="52"/>
      <c r="J3212" s="52"/>
      <c r="K3212" s="52"/>
      <c r="L3212" s="52"/>
      <c r="M3212" s="52"/>
      <c r="N3212" s="52"/>
      <c r="O3212" s="52"/>
      <c r="P3212" s="52"/>
      <c r="Q3212" s="52"/>
      <c r="R3212" s="52"/>
      <c r="S3212" s="52"/>
      <c r="T3212" s="52"/>
      <c r="U3212" s="52"/>
      <c r="V3212" s="52"/>
      <c r="W3212" s="52"/>
      <c r="X3212" s="52"/>
      <c r="Y3212" s="52"/>
      <c r="Z3212" s="52"/>
      <c r="AA3212" s="52"/>
      <c r="AB3212" s="52"/>
      <c r="AC3212" s="52"/>
      <c r="AD3212" s="52"/>
      <c r="AE3212" s="52"/>
      <c r="AF3212" s="52"/>
      <c r="AG3212" s="52"/>
      <c r="AH3212" s="52"/>
      <c r="AI3212" s="52"/>
      <c r="AJ3212" s="52"/>
      <c r="AK3212" s="52"/>
      <c r="AL3212" s="52"/>
      <c r="AM3212" s="52"/>
      <c r="AN3212" s="52"/>
    </row>
    <row r="3213" spans="1:40" x14ac:dyDescent="0.3">
      <c r="A3213" s="52">
        <v>3208</v>
      </c>
      <c r="B3213" s="52">
        <f>-bthan*500+(7+0.5)*bthan*1000/50</f>
        <v>-1925</v>
      </c>
      <c r="C3213" s="52">
        <f t="shared" si="300"/>
        <v>490</v>
      </c>
      <c r="D3213" s="52">
        <f t="shared" si="301"/>
        <v>2200</v>
      </c>
      <c r="E3213" s="52">
        <f t="shared" si="302"/>
        <v>1</v>
      </c>
      <c r="F3213" s="52"/>
      <c r="G3213" s="52"/>
      <c r="H3213" s="52"/>
      <c r="I3213" s="52"/>
      <c r="J3213" s="52"/>
      <c r="K3213" s="52"/>
      <c r="L3213" s="52"/>
      <c r="M3213" s="52"/>
      <c r="N3213" s="52"/>
      <c r="O3213" s="52"/>
      <c r="P3213" s="52"/>
      <c r="Q3213" s="52"/>
      <c r="R3213" s="52"/>
      <c r="S3213" s="52"/>
      <c r="T3213" s="52"/>
      <c r="U3213" s="52"/>
      <c r="V3213" s="52"/>
      <c r="W3213" s="52"/>
      <c r="X3213" s="52"/>
      <c r="Y3213" s="52"/>
      <c r="Z3213" s="52"/>
      <c r="AA3213" s="52"/>
      <c r="AB3213" s="52"/>
      <c r="AC3213" s="52"/>
      <c r="AD3213" s="52"/>
      <c r="AE3213" s="52"/>
      <c r="AF3213" s="52"/>
      <c r="AG3213" s="52"/>
      <c r="AH3213" s="52"/>
      <c r="AI3213" s="52"/>
      <c r="AJ3213" s="52"/>
      <c r="AK3213" s="52"/>
      <c r="AL3213" s="52"/>
      <c r="AM3213" s="52"/>
      <c r="AN3213" s="52"/>
    </row>
    <row r="3214" spans="1:40" x14ac:dyDescent="0.3">
      <c r="A3214" s="52">
        <v>3209</v>
      </c>
      <c r="B3214" s="52">
        <f>-bthan*500+(8+0.5)*bthan*1000/50</f>
        <v>-1815</v>
      </c>
      <c r="C3214" s="52">
        <f t="shared" si="300"/>
        <v>490</v>
      </c>
      <c r="D3214" s="52">
        <f t="shared" si="301"/>
        <v>2200</v>
      </c>
      <c r="E3214" s="52">
        <f t="shared" si="302"/>
        <v>1</v>
      </c>
      <c r="F3214" s="52"/>
      <c r="G3214" s="52"/>
      <c r="H3214" s="52"/>
      <c r="I3214" s="52"/>
      <c r="J3214" s="52"/>
      <c r="K3214" s="52"/>
      <c r="L3214" s="52"/>
      <c r="M3214" s="52"/>
      <c r="N3214" s="52"/>
      <c r="O3214" s="52"/>
      <c r="P3214" s="52"/>
      <c r="Q3214" s="52"/>
      <c r="R3214" s="52"/>
      <c r="S3214" s="52"/>
      <c r="T3214" s="52"/>
      <c r="U3214" s="52"/>
      <c r="V3214" s="52"/>
      <c r="W3214" s="52"/>
      <c r="X3214" s="52"/>
      <c r="Y3214" s="52"/>
      <c r="Z3214" s="52"/>
      <c r="AA3214" s="52"/>
      <c r="AB3214" s="52"/>
      <c r="AC3214" s="52"/>
      <c r="AD3214" s="52"/>
      <c r="AE3214" s="52"/>
      <c r="AF3214" s="52"/>
      <c r="AG3214" s="52"/>
      <c r="AH3214" s="52"/>
      <c r="AI3214" s="52"/>
      <c r="AJ3214" s="52"/>
      <c r="AK3214" s="52"/>
      <c r="AL3214" s="52"/>
      <c r="AM3214" s="52"/>
      <c r="AN3214" s="52"/>
    </row>
    <row r="3215" spans="1:40" x14ac:dyDescent="0.3">
      <c r="A3215" s="52">
        <v>3210</v>
      </c>
      <c r="B3215" s="52">
        <f>-bthan*500+(9+0.5)*bthan*1000/50</f>
        <v>-1705</v>
      </c>
      <c r="C3215" s="52">
        <f t="shared" si="300"/>
        <v>490</v>
      </c>
      <c r="D3215" s="52">
        <f t="shared" si="301"/>
        <v>2200</v>
      </c>
      <c r="E3215" s="52">
        <f t="shared" si="302"/>
        <v>1</v>
      </c>
      <c r="F3215" s="52"/>
      <c r="G3215" s="52"/>
      <c r="H3215" s="52"/>
      <c r="I3215" s="52"/>
      <c r="J3215" s="52"/>
      <c r="K3215" s="52"/>
      <c r="L3215" s="52"/>
      <c r="M3215" s="52"/>
      <c r="N3215" s="52"/>
      <c r="O3215" s="52"/>
      <c r="P3215" s="52"/>
      <c r="Q3215" s="52"/>
      <c r="R3215" s="52"/>
      <c r="S3215" s="52"/>
      <c r="T3215" s="52"/>
      <c r="U3215" s="52"/>
      <c r="V3215" s="52"/>
      <c r="W3215" s="52"/>
      <c r="X3215" s="52"/>
      <c r="Y3215" s="52"/>
      <c r="Z3215" s="52"/>
      <c r="AA3215" s="52"/>
      <c r="AB3215" s="52"/>
      <c r="AC3215" s="52"/>
      <c r="AD3215" s="52"/>
      <c r="AE3215" s="52"/>
      <c r="AF3215" s="52"/>
      <c r="AG3215" s="52"/>
      <c r="AH3215" s="52"/>
      <c r="AI3215" s="52"/>
      <c r="AJ3215" s="52"/>
      <c r="AK3215" s="52"/>
      <c r="AL3215" s="52"/>
      <c r="AM3215" s="52"/>
      <c r="AN3215" s="52"/>
    </row>
    <row r="3216" spans="1:40" x14ac:dyDescent="0.3">
      <c r="A3216" s="52">
        <v>3211</v>
      </c>
      <c r="B3216" s="52">
        <f>-bthan*500+(10+0.5)*bthan*1000/50</f>
        <v>-1595</v>
      </c>
      <c r="C3216" s="52">
        <f t="shared" si="300"/>
        <v>490</v>
      </c>
      <c r="D3216" s="52">
        <f t="shared" si="301"/>
        <v>2200</v>
      </c>
      <c r="E3216" s="52">
        <f t="shared" si="302"/>
        <v>1</v>
      </c>
      <c r="F3216" s="52"/>
      <c r="G3216" s="52"/>
      <c r="H3216" s="52"/>
      <c r="I3216" s="52"/>
      <c r="J3216" s="52"/>
      <c r="K3216" s="52"/>
      <c r="L3216" s="52"/>
      <c r="M3216" s="52"/>
      <c r="N3216" s="52"/>
      <c r="O3216" s="52"/>
      <c r="P3216" s="52"/>
      <c r="Q3216" s="52"/>
      <c r="R3216" s="52"/>
      <c r="S3216" s="52"/>
      <c r="T3216" s="52"/>
      <c r="U3216" s="52"/>
      <c r="V3216" s="52"/>
      <c r="W3216" s="52"/>
      <c r="X3216" s="52"/>
      <c r="Y3216" s="52"/>
      <c r="Z3216" s="52"/>
      <c r="AA3216" s="52"/>
      <c r="AB3216" s="52"/>
      <c r="AC3216" s="52"/>
      <c r="AD3216" s="52"/>
      <c r="AE3216" s="52"/>
      <c r="AF3216" s="52"/>
      <c r="AG3216" s="52"/>
      <c r="AH3216" s="52"/>
      <c r="AI3216" s="52"/>
      <c r="AJ3216" s="52"/>
      <c r="AK3216" s="52"/>
      <c r="AL3216" s="52"/>
      <c r="AM3216" s="52"/>
      <c r="AN3216" s="52"/>
    </row>
    <row r="3217" spans="1:40" x14ac:dyDescent="0.3">
      <c r="A3217" s="52">
        <v>3212</v>
      </c>
      <c r="B3217" s="52">
        <f>-bthan*500+(11+0.5)*bthan*1000/50</f>
        <v>-1485</v>
      </c>
      <c r="C3217" s="52">
        <f t="shared" si="300"/>
        <v>490</v>
      </c>
      <c r="D3217" s="52">
        <f t="shared" si="301"/>
        <v>2200</v>
      </c>
      <c r="E3217" s="52">
        <f t="shared" si="302"/>
        <v>1</v>
      </c>
      <c r="F3217" s="52"/>
      <c r="G3217" s="52"/>
      <c r="H3217" s="52"/>
      <c r="I3217" s="52"/>
      <c r="J3217" s="52"/>
      <c r="K3217" s="52"/>
      <c r="L3217" s="52"/>
      <c r="M3217" s="52"/>
      <c r="N3217" s="52"/>
      <c r="O3217" s="52"/>
      <c r="P3217" s="52"/>
      <c r="Q3217" s="52"/>
      <c r="R3217" s="52"/>
      <c r="S3217" s="52"/>
      <c r="T3217" s="52"/>
      <c r="U3217" s="52"/>
      <c r="V3217" s="52"/>
      <c r="W3217" s="52"/>
      <c r="X3217" s="52"/>
      <c r="Y3217" s="52"/>
      <c r="Z3217" s="52"/>
      <c r="AA3217" s="52"/>
      <c r="AB3217" s="52"/>
      <c r="AC3217" s="52"/>
      <c r="AD3217" s="52"/>
      <c r="AE3217" s="52"/>
      <c r="AF3217" s="52"/>
      <c r="AG3217" s="52"/>
      <c r="AH3217" s="52"/>
      <c r="AI3217" s="52"/>
      <c r="AJ3217" s="52"/>
      <c r="AK3217" s="52"/>
      <c r="AL3217" s="52"/>
      <c r="AM3217" s="52"/>
      <c r="AN3217" s="52"/>
    </row>
    <row r="3218" spans="1:40" x14ac:dyDescent="0.3">
      <c r="A3218" s="52">
        <v>3213</v>
      </c>
      <c r="B3218" s="52">
        <f>-bthan*500+(12+0.5)*bthan*1000/50</f>
        <v>-1375</v>
      </c>
      <c r="C3218" s="52">
        <f t="shared" si="300"/>
        <v>490</v>
      </c>
      <c r="D3218" s="52">
        <f t="shared" si="301"/>
        <v>2200</v>
      </c>
      <c r="E3218" s="52">
        <f t="shared" si="302"/>
        <v>1</v>
      </c>
      <c r="F3218" s="52"/>
      <c r="G3218" s="52"/>
      <c r="H3218" s="52"/>
      <c r="I3218" s="52"/>
      <c r="J3218" s="52"/>
      <c r="K3218" s="52"/>
      <c r="L3218" s="52"/>
      <c r="M3218" s="52"/>
      <c r="N3218" s="52"/>
      <c r="O3218" s="52"/>
      <c r="P3218" s="52"/>
      <c r="Q3218" s="52"/>
      <c r="R3218" s="52"/>
      <c r="S3218" s="52"/>
      <c r="T3218" s="52"/>
      <c r="U3218" s="52"/>
      <c r="V3218" s="52"/>
      <c r="W3218" s="52"/>
      <c r="X3218" s="52"/>
      <c r="Y3218" s="52"/>
      <c r="Z3218" s="52"/>
      <c r="AA3218" s="52"/>
      <c r="AB3218" s="52"/>
      <c r="AC3218" s="52"/>
      <c r="AD3218" s="52"/>
      <c r="AE3218" s="52"/>
      <c r="AF3218" s="52"/>
      <c r="AG3218" s="52"/>
      <c r="AH3218" s="52"/>
      <c r="AI3218" s="52"/>
      <c r="AJ3218" s="52"/>
      <c r="AK3218" s="52"/>
      <c r="AL3218" s="52"/>
      <c r="AM3218" s="52"/>
      <c r="AN3218" s="52"/>
    </row>
    <row r="3219" spans="1:40" x14ac:dyDescent="0.3">
      <c r="A3219" s="52">
        <v>3214</v>
      </c>
      <c r="B3219" s="52">
        <f>-bthan*500+(13+0.5)*bthan*1000/50</f>
        <v>-1265</v>
      </c>
      <c r="C3219" s="52">
        <f t="shared" si="300"/>
        <v>490</v>
      </c>
      <c r="D3219" s="52">
        <f t="shared" si="301"/>
        <v>2200</v>
      </c>
      <c r="E3219" s="52">
        <f t="shared" si="302"/>
        <v>1</v>
      </c>
      <c r="F3219" s="52"/>
      <c r="G3219" s="52"/>
      <c r="H3219" s="52"/>
      <c r="I3219" s="52"/>
      <c r="J3219" s="52"/>
      <c r="K3219" s="52"/>
      <c r="L3219" s="52"/>
      <c r="M3219" s="52"/>
      <c r="N3219" s="52"/>
      <c r="O3219" s="52"/>
      <c r="P3219" s="52"/>
      <c r="Q3219" s="52"/>
      <c r="R3219" s="52"/>
      <c r="S3219" s="52"/>
      <c r="T3219" s="52"/>
      <c r="U3219" s="52"/>
      <c r="V3219" s="52"/>
      <c r="W3219" s="52"/>
      <c r="X3219" s="52"/>
      <c r="Y3219" s="52"/>
      <c r="Z3219" s="52"/>
      <c r="AA3219" s="52"/>
      <c r="AB3219" s="52"/>
      <c r="AC3219" s="52"/>
      <c r="AD3219" s="52"/>
      <c r="AE3219" s="52"/>
      <c r="AF3219" s="52"/>
      <c r="AG3219" s="52"/>
      <c r="AH3219" s="52"/>
      <c r="AI3219" s="52"/>
      <c r="AJ3219" s="52"/>
      <c r="AK3219" s="52"/>
      <c r="AL3219" s="52"/>
      <c r="AM3219" s="52"/>
      <c r="AN3219" s="52"/>
    </row>
    <row r="3220" spans="1:40" x14ac:dyDescent="0.3">
      <c r="A3220" s="52">
        <v>3215</v>
      </c>
      <c r="B3220" s="52">
        <f>-bthan*500+(14+0.5)*bthan*1000/50</f>
        <v>-1155</v>
      </c>
      <c r="C3220" s="52">
        <f t="shared" si="300"/>
        <v>490</v>
      </c>
      <c r="D3220" s="52">
        <f t="shared" si="301"/>
        <v>2200</v>
      </c>
      <c r="E3220" s="52">
        <f t="shared" si="302"/>
        <v>1</v>
      </c>
      <c r="F3220" s="52"/>
      <c r="G3220" s="52"/>
      <c r="H3220" s="52"/>
      <c r="I3220" s="52"/>
      <c r="J3220" s="52"/>
      <c r="K3220" s="52"/>
      <c r="L3220" s="52"/>
      <c r="M3220" s="52"/>
      <c r="N3220" s="52"/>
      <c r="O3220" s="52"/>
      <c r="P3220" s="52"/>
      <c r="Q3220" s="52"/>
      <c r="R3220" s="52"/>
      <c r="S3220" s="52"/>
      <c r="T3220" s="52"/>
      <c r="U3220" s="52"/>
      <c r="V3220" s="52"/>
      <c r="W3220" s="52"/>
      <c r="X3220" s="52"/>
      <c r="Y3220" s="52"/>
      <c r="Z3220" s="52"/>
      <c r="AA3220" s="52"/>
      <c r="AB3220" s="52"/>
      <c r="AC3220" s="52"/>
      <c r="AD3220" s="52"/>
      <c r="AE3220" s="52"/>
      <c r="AF3220" s="52"/>
      <c r="AG3220" s="52"/>
      <c r="AH3220" s="52"/>
      <c r="AI3220" s="52"/>
      <c r="AJ3220" s="52"/>
      <c r="AK3220" s="52"/>
      <c r="AL3220" s="52"/>
      <c r="AM3220" s="52"/>
      <c r="AN3220" s="52"/>
    </row>
    <row r="3221" spans="1:40" x14ac:dyDescent="0.3">
      <c r="A3221" s="52">
        <v>3216</v>
      </c>
      <c r="B3221" s="52">
        <f>-bthan*500+(15+0.5)*bthan*1000/50</f>
        <v>-1045</v>
      </c>
      <c r="C3221" s="52">
        <f t="shared" si="300"/>
        <v>490</v>
      </c>
      <c r="D3221" s="52">
        <f t="shared" si="301"/>
        <v>2200</v>
      </c>
      <c r="E3221" s="52">
        <f t="shared" si="302"/>
        <v>1</v>
      </c>
      <c r="F3221" s="52"/>
      <c r="G3221" s="52"/>
      <c r="H3221" s="52"/>
      <c r="I3221" s="52"/>
      <c r="J3221" s="52"/>
      <c r="K3221" s="52"/>
      <c r="L3221" s="52"/>
      <c r="M3221" s="52"/>
      <c r="N3221" s="52"/>
      <c r="O3221" s="52"/>
      <c r="P3221" s="52"/>
      <c r="Q3221" s="52"/>
      <c r="R3221" s="52"/>
      <c r="S3221" s="52"/>
      <c r="T3221" s="52"/>
      <c r="U3221" s="52"/>
      <c r="V3221" s="52"/>
      <c r="W3221" s="52"/>
      <c r="X3221" s="52"/>
      <c r="Y3221" s="52"/>
      <c r="Z3221" s="52"/>
      <c r="AA3221" s="52"/>
      <c r="AB3221" s="52"/>
      <c r="AC3221" s="52"/>
      <c r="AD3221" s="52"/>
      <c r="AE3221" s="52"/>
      <c r="AF3221" s="52"/>
      <c r="AG3221" s="52"/>
      <c r="AH3221" s="52"/>
      <c r="AI3221" s="52"/>
      <c r="AJ3221" s="52"/>
      <c r="AK3221" s="52"/>
      <c r="AL3221" s="52"/>
      <c r="AM3221" s="52"/>
      <c r="AN3221" s="52"/>
    </row>
    <row r="3222" spans="1:40" x14ac:dyDescent="0.3">
      <c r="A3222" s="52">
        <v>3217</v>
      </c>
      <c r="B3222" s="52">
        <f>-bthan*500+(16+0.5)*bthan*1000/50</f>
        <v>-935</v>
      </c>
      <c r="C3222" s="52">
        <f t="shared" si="300"/>
        <v>490</v>
      </c>
      <c r="D3222" s="52">
        <f t="shared" si="301"/>
        <v>2200</v>
      </c>
      <c r="E3222" s="52">
        <f t="shared" si="302"/>
        <v>1</v>
      </c>
      <c r="F3222" s="52"/>
      <c r="G3222" s="52"/>
      <c r="H3222" s="52"/>
      <c r="I3222" s="52"/>
      <c r="J3222" s="52"/>
      <c r="K3222" s="52"/>
      <c r="L3222" s="52"/>
      <c r="M3222" s="52"/>
      <c r="N3222" s="52"/>
      <c r="O3222" s="52"/>
      <c r="P3222" s="52"/>
      <c r="Q3222" s="52"/>
      <c r="R3222" s="52"/>
      <c r="S3222" s="52"/>
      <c r="T3222" s="52"/>
      <c r="U3222" s="52"/>
      <c r="V3222" s="52"/>
      <c r="W3222" s="52"/>
      <c r="X3222" s="52"/>
      <c r="Y3222" s="52"/>
      <c r="Z3222" s="52"/>
      <c r="AA3222" s="52"/>
      <c r="AB3222" s="52"/>
      <c r="AC3222" s="52"/>
      <c r="AD3222" s="52"/>
      <c r="AE3222" s="52"/>
      <c r="AF3222" s="52"/>
      <c r="AG3222" s="52"/>
      <c r="AH3222" s="52"/>
      <c r="AI3222" s="52"/>
      <c r="AJ3222" s="52"/>
      <c r="AK3222" s="52"/>
      <c r="AL3222" s="52"/>
      <c r="AM3222" s="52"/>
      <c r="AN3222" s="52"/>
    </row>
    <row r="3223" spans="1:40" x14ac:dyDescent="0.3">
      <c r="A3223" s="52">
        <v>3218</v>
      </c>
      <c r="B3223" s="52">
        <f>-bthan*500+(17+0.5)*bthan*1000/50</f>
        <v>-825</v>
      </c>
      <c r="C3223" s="52">
        <f t="shared" si="300"/>
        <v>490</v>
      </c>
      <c r="D3223" s="52">
        <f t="shared" si="301"/>
        <v>2200</v>
      </c>
      <c r="E3223" s="52">
        <f t="shared" si="302"/>
        <v>1</v>
      </c>
      <c r="F3223" s="52"/>
      <c r="G3223" s="52"/>
      <c r="H3223" s="52"/>
      <c r="I3223" s="52"/>
      <c r="J3223" s="52"/>
      <c r="K3223" s="52"/>
      <c r="L3223" s="52"/>
      <c r="M3223" s="52"/>
      <c r="N3223" s="52"/>
      <c r="O3223" s="52"/>
      <c r="P3223" s="52"/>
      <c r="Q3223" s="52"/>
      <c r="R3223" s="52"/>
      <c r="S3223" s="52"/>
      <c r="T3223" s="52"/>
      <c r="U3223" s="52"/>
      <c r="V3223" s="52"/>
      <c r="W3223" s="52"/>
      <c r="X3223" s="52"/>
      <c r="Y3223" s="52"/>
      <c r="Z3223" s="52"/>
      <c r="AA3223" s="52"/>
      <c r="AB3223" s="52"/>
      <c r="AC3223" s="52"/>
      <c r="AD3223" s="52"/>
      <c r="AE3223" s="52"/>
      <c r="AF3223" s="52"/>
      <c r="AG3223" s="52"/>
      <c r="AH3223" s="52"/>
      <c r="AI3223" s="52"/>
      <c r="AJ3223" s="52"/>
      <c r="AK3223" s="52"/>
      <c r="AL3223" s="52"/>
      <c r="AM3223" s="52"/>
      <c r="AN3223" s="52"/>
    </row>
    <row r="3224" spans="1:40" x14ac:dyDescent="0.3">
      <c r="A3224" s="52">
        <v>3219</v>
      </c>
      <c r="B3224" s="52">
        <f>-bthan*500+(18+0.5)*bthan*1000/50</f>
        <v>-715</v>
      </c>
      <c r="C3224" s="52">
        <f t="shared" si="300"/>
        <v>490</v>
      </c>
      <c r="D3224" s="52">
        <f t="shared" si="301"/>
        <v>2200</v>
      </c>
      <c r="E3224" s="52">
        <f t="shared" si="302"/>
        <v>1</v>
      </c>
      <c r="F3224" s="52"/>
      <c r="G3224" s="52"/>
      <c r="H3224" s="52"/>
      <c r="I3224" s="52"/>
      <c r="J3224" s="52"/>
      <c r="K3224" s="52"/>
      <c r="L3224" s="52"/>
      <c r="M3224" s="52"/>
      <c r="N3224" s="52"/>
      <c r="O3224" s="52"/>
      <c r="P3224" s="52"/>
      <c r="Q3224" s="52"/>
      <c r="R3224" s="52"/>
      <c r="S3224" s="52"/>
      <c r="T3224" s="52"/>
      <c r="U3224" s="52"/>
      <c r="V3224" s="52"/>
      <c r="W3224" s="52"/>
      <c r="X3224" s="52"/>
      <c r="Y3224" s="52"/>
      <c r="Z3224" s="52"/>
      <c r="AA3224" s="52"/>
      <c r="AB3224" s="52"/>
      <c r="AC3224" s="52"/>
      <c r="AD3224" s="52"/>
      <c r="AE3224" s="52"/>
      <c r="AF3224" s="52"/>
      <c r="AG3224" s="52"/>
      <c r="AH3224" s="52"/>
      <c r="AI3224" s="52"/>
      <c r="AJ3224" s="52"/>
      <c r="AK3224" s="52"/>
      <c r="AL3224" s="52"/>
      <c r="AM3224" s="52"/>
      <c r="AN3224" s="52"/>
    </row>
    <row r="3225" spans="1:40" x14ac:dyDescent="0.3">
      <c r="A3225" s="52">
        <v>3220</v>
      </c>
      <c r="B3225" s="52">
        <f>-bthan*500+(19+0.5)*bthan*1000/50</f>
        <v>-605</v>
      </c>
      <c r="C3225" s="52">
        <f t="shared" si="300"/>
        <v>490</v>
      </c>
      <c r="D3225" s="52">
        <f t="shared" si="301"/>
        <v>2200</v>
      </c>
      <c r="E3225" s="52">
        <f t="shared" si="302"/>
        <v>1</v>
      </c>
      <c r="F3225" s="52"/>
      <c r="G3225" s="52"/>
      <c r="H3225" s="52"/>
      <c r="I3225" s="52"/>
      <c r="J3225" s="52"/>
      <c r="K3225" s="52"/>
      <c r="L3225" s="52"/>
      <c r="M3225" s="52"/>
      <c r="N3225" s="52"/>
      <c r="O3225" s="52"/>
      <c r="P3225" s="52"/>
      <c r="Q3225" s="52"/>
      <c r="R3225" s="52"/>
      <c r="S3225" s="52"/>
      <c r="T3225" s="52"/>
      <c r="U3225" s="52"/>
      <c r="V3225" s="52"/>
      <c r="W3225" s="52"/>
      <c r="X3225" s="52"/>
      <c r="Y3225" s="52"/>
      <c r="Z3225" s="52"/>
      <c r="AA3225" s="52"/>
      <c r="AB3225" s="52"/>
      <c r="AC3225" s="52"/>
      <c r="AD3225" s="52"/>
      <c r="AE3225" s="52"/>
      <c r="AF3225" s="52"/>
      <c r="AG3225" s="52"/>
      <c r="AH3225" s="52"/>
      <c r="AI3225" s="52"/>
      <c r="AJ3225" s="52"/>
      <c r="AK3225" s="52"/>
      <c r="AL3225" s="52"/>
      <c r="AM3225" s="52"/>
      <c r="AN3225" s="52"/>
    </row>
    <row r="3226" spans="1:40" x14ac:dyDescent="0.3">
      <c r="A3226" s="52">
        <v>3221</v>
      </c>
      <c r="B3226" s="52">
        <f>-bthan*500+(20+0.5)*bthan*1000/50</f>
        <v>-495</v>
      </c>
      <c r="C3226" s="52">
        <f t="shared" si="300"/>
        <v>490</v>
      </c>
      <c r="D3226" s="52">
        <f t="shared" si="301"/>
        <v>2200</v>
      </c>
      <c r="E3226" s="52">
        <f t="shared" si="302"/>
        <v>1</v>
      </c>
      <c r="F3226" s="52"/>
      <c r="G3226" s="52"/>
      <c r="H3226" s="52"/>
      <c r="I3226" s="52"/>
      <c r="J3226" s="52"/>
      <c r="K3226" s="52"/>
      <c r="L3226" s="52"/>
      <c r="M3226" s="52"/>
      <c r="N3226" s="52"/>
      <c r="O3226" s="52"/>
      <c r="P3226" s="52"/>
      <c r="Q3226" s="52"/>
      <c r="R3226" s="52"/>
      <c r="S3226" s="52"/>
      <c r="T3226" s="52"/>
      <c r="U3226" s="52"/>
      <c r="V3226" s="52"/>
      <c r="W3226" s="52"/>
      <c r="X3226" s="52"/>
      <c r="Y3226" s="52"/>
      <c r="Z3226" s="52"/>
      <c r="AA3226" s="52"/>
      <c r="AB3226" s="52"/>
      <c r="AC3226" s="52"/>
      <c r="AD3226" s="52"/>
      <c r="AE3226" s="52"/>
      <c r="AF3226" s="52"/>
      <c r="AG3226" s="52"/>
      <c r="AH3226" s="52"/>
      <c r="AI3226" s="52"/>
      <c r="AJ3226" s="52"/>
      <c r="AK3226" s="52"/>
      <c r="AL3226" s="52"/>
      <c r="AM3226" s="52"/>
      <c r="AN3226" s="52"/>
    </row>
    <row r="3227" spans="1:40" x14ac:dyDescent="0.3">
      <c r="A3227" s="52">
        <v>3222</v>
      </c>
      <c r="B3227" s="52">
        <f>-bthan*500+(21+0.5)*bthan*1000/50</f>
        <v>-385</v>
      </c>
      <c r="C3227" s="52">
        <f t="shared" si="300"/>
        <v>490</v>
      </c>
      <c r="D3227" s="52">
        <f t="shared" si="301"/>
        <v>2200</v>
      </c>
      <c r="E3227" s="52">
        <f t="shared" si="302"/>
        <v>1</v>
      </c>
      <c r="F3227" s="52"/>
      <c r="G3227" s="52"/>
      <c r="H3227" s="52"/>
      <c r="I3227" s="52"/>
      <c r="J3227" s="52"/>
      <c r="K3227" s="52"/>
      <c r="L3227" s="52"/>
      <c r="M3227" s="52"/>
      <c r="N3227" s="52"/>
      <c r="O3227" s="52"/>
      <c r="P3227" s="52"/>
      <c r="Q3227" s="52"/>
      <c r="R3227" s="52"/>
      <c r="S3227" s="52"/>
      <c r="T3227" s="52"/>
      <c r="U3227" s="52"/>
      <c r="V3227" s="52"/>
      <c r="W3227" s="52"/>
      <c r="X3227" s="52"/>
      <c r="Y3227" s="52"/>
      <c r="Z3227" s="52"/>
      <c r="AA3227" s="52"/>
      <c r="AB3227" s="52"/>
      <c r="AC3227" s="52"/>
      <c r="AD3227" s="52"/>
      <c r="AE3227" s="52"/>
      <c r="AF3227" s="52"/>
      <c r="AG3227" s="52"/>
      <c r="AH3227" s="52"/>
      <c r="AI3227" s="52"/>
      <c r="AJ3227" s="52"/>
      <c r="AK3227" s="52"/>
      <c r="AL3227" s="52"/>
      <c r="AM3227" s="52"/>
      <c r="AN3227" s="52"/>
    </row>
    <row r="3228" spans="1:40" x14ac:dyDescent="0.3">
      <c r="A3228" s="52">
        <v>3223</v>
      </c>
      <c r="B3228" s="52">
        <f>-bthan*500+(22+0.5)*bthan*1000/50</f>
        <v>-275</v>
      </c>
      <c r="C3228" s="52">
        <f t="shared" si="300"/>
        <v>490</v>
      </c>
      <c r="D3228" s="52">
        <f t="shared" si="301"/>
        <v>2200</v>
      </c>
      <c r="E3228" s="52">
        <f t="shared" si="302"/>
        <v>1</v>
      </c>
      <c r="F3228" s="52"/>
      <c r="G3228" s="52"/>
      <c r="H3228" s="52"/>
      <c r="I3228" s="52"/>
      <c r="J3228" s="52"/>
      <c r="K3228" s="52"/>
      <c r="L3228" s="52"/>
      <c r="M3228" s="52"/>
      <c r="N3228" s="52"/>
      <c r="O3228" s="52"/>
      <c r="P3228" s="52"/>
      <c r="Q3228" s="52"/>
      <c r="R3228" s="52"/>
      <c r="S3228" s="52"/>
      <c r="T3228" s="52"/>
      <c r="U3228" s="52"/>
      <c r="V3228" s="52"/>
      <c r="W3228" s="52"/>
      <c r="X3228" s="52"/>
      <c r="Y3228" s="52"/>
      <c r="Z3228" s="52"/>
      <c r="AA3228" s="52"/>
      <c r="AB3228" s="52"/>
      <c r="AC3228" s="52"/>
      <c r="AD3228" s="52"/>
      <c r="AE3228" s="52"/>
      <c r="AF3228" s="52"/>
      <c r="AG3228" s="52"/>
      <c r="AH3228" s="52"/>
      <c r="AI3228" s="52"/>
      <c r="AJ3228" s="52"/>
      <c r="AK3228" s="52"/>
      <c r="AL3228" s="52"/>
      <c r="AM3228" s="52"/>
      <c r="AN3228" s="52"/>
    </row>
    <row r="3229" spans="1:40" x14ac:dyDescent="0.3">
      <c r="A3229" s="52">
        <v>3224</v>
      </c>
      <c r="B3229" s="52">
        <f>-bthan*500+(23+0.5)*bthan*1000/50</f>
        <v>-165</v>
      </c>
      <c r="C3229" s="52">
        <f t="shared" si="300"/>
        <v>490</v>
      </c>
      <c r="D3229" s="52">
        <f t="shared" si="301"/>
        <v>2200</v>
      </c>
      <c r="E3229" s="52">
        <f t="shared" si="302"/>
        <v>1</v>
      </c>
      <c r="F3229" s="52"/>
      <c r="G3229" s="52"/>
      <c r="H3229" s="52"/>
      <c r="I3229" s="52"/>
      <c r="J3229" s="52"/>
      <c r="K3229" s="52"/>
      <c r="L3229" s="52"/>
      <c r="M3229" s="52"/>
      <c r="N3229" s="52"/>
      <c r="O3229" s="52"/>
      <c r="P3229" s="52"/>
      <c r="Q3229" s="52"/>
      <c r="R3229" s="52"/>
      <c r="S3229" s="52"/>
      <c r="T3229" s="52"/>
      <c r="U3229" s="52"/>
      <c r="V3229" s="52"/>
      <c r="W3229" s="52"/>
      <c r="X3229" s="52"/>
      <c r="Y3229" s="52"/>
      <c r="Z3229" s="52"/>
      <c r="AA3229" s="52"/>
      <c r="AB3229" s="52"/>
      <c r="AC3229" s="52"/>
      <c r="AD3229" s="52"/>
      <c r="AE3229" s="52"/>
      <c r="AF3229" s="52"/>
      <c r="AG3229" s="52"/>
      <c r="AH3229" s="52"/>
      <c r="AI3229" s="52"/>
      <c r="AJ3229" s="52"/>
      <c r="AK3229" s="52"/>
      <c r="AL3229" s="52"/>
      <c r="AM3229" s="52"/>
      <c r="AN3229" s="52"/>
    </row>
    <row r="3230" spans="1:40" x14ac:dyDescent="0.3">
      <c r="A3230" s="52">
        <v>3225</v>
      </c>
      <c r="B3230" s="52">
        <f>-bthan*500+(24+0.5)*bthan*1000/50</f>
        <v>-55</v>
      </c>
      <c r="C3230" s="52">
        <f t="shared" si="300"/>
        <v>490</v>
      </c>
      <c r="D3230" s="52">
        <f t="shared" si="301"/>
        <v>2200</v>
      </c>
      <c r="E3230" s="52">
        <f t="shared" si="302"/>
        <v>1</v>
      </c>
      <c r="F3230" s="52"/>
      <c r="G3230" s="52"/>
      <c r="H3230" s="52"/>
      <c r="I3230" s="52"/>
      <c r="J3230" s="52"/>
      <c r="K3230" s="52"/>
      <c r="L3230" s="52"/>
      <c r="M3230" s="52"/>
      <c r="N3230" s="52"/>
      <c r="O3230" s="52"/>
      <c r="P3230" s="52"/>
      <c r="Q3230" s="52"/>
      <c r="R3230" s="52"/>
      <c r="S3230" s="52"/>
      <c r="T3230" s="52"/>
      <c r="U3230" s="52"/>
      <c r="V3230" s="52"/>
      <c r="W3230" s="52"/>
      <c r="X3230" s="52"/>
      <c r="Y3230" s="52"/>
      <c r="Z3230" s="52"/>
      <c r="AA3230" s="52"/>
      <c r="AB3230" s="52"/>
      <c r="AC3230" s="52"/>
      <c r="AD3230" s="52"/>
      <c r="AE3230" s="52"/>
      <c r="AF3230" s="52"/>
      <c r="AG3230" s="52"/>
      <c r="AH3230" s="52"/>
      <c r="AI3230" s="52"/>
      <c r="AJ3230" s="52"/>
      <c r="AK3230" s="52"/>
      <c r="AL3230" s="52"/>
      <c r="AM3230" s="52"/>
      <c r="AN3230" s="52"/>
    </row>
    <row r="3231" spans="1:40" x14ac:dyDescent="0.3">
      <c r="A3231" s="52">
        <v>3226</v>
      </c>
      <c r="B3231" s="52">
        <f>-bthan*500+(25+0.5)*bthan*1000/50</f>
        <v>55</v>
      </c>
      <c r="C3231" s="52">
        <f t="shared" si="300"/>
        <v>490</v>
      </c>
      <c r="D3231" s="52">
        <f t="shared" si="301"/>
        <v>2200</v>
      </c>
      <c r="E3231" s="52">
        <f t="shared" si="302"/>
        <v>1</v>
      </c>
      <c r="F3231" s="52"/>
      <c r="G3231" s="52"/>
      <c r="H3231" s="52"/>
      <c r="I3231" s="52"/>
      <c r="J3231" s="52"/>
      <c r="K3231" s="52"/>
      <c r="L3231" s="52"/>
      <c r="M3231" s="52"/>
      <c r="N3231" s="52"/>
      <c r="O3231" s="52"/>
      <c r="P3231" s="52"/>
      <c r="Q3231" s="52"/>
      <c r="R3231" s="52"/>
      <c r="S3231" s="52"/>
      <c r="T3231" s="52"/>
      <c r="U3231" s="52"/>
      <c r="V3231" s="52"/>
      <c r="W3231" s="52"/>
      <c r="X3231" s="52"/>
      <c r="Y3231" s="52"/>
      <c r="Z3231" s="52"/>
      <c r="AA3231" s="52"/>
      <c r="AB3231" s="52"/>
      <c r="AC3231" s="52"/>
      <c r="AD3231" s="52"/>
      <c r="AE3231" s="52"/>
      <c r="AF3231" s="52"/>
      <c r="AG3231" s="52"/>
      <c r="AH3231" s="52"/>
      <c r="AI3231" s="52"/>
      <c r="AJ3231" s="52"/>
      <c r="AK3231" s="52"/>
      <c r="AL3231" s="52"/>
      <c r="AM3231" s="52"/>
      <c r="AN3231" s="52"/>
    </row>
    <row r="3232" spans="1:40" x14ac:dyDescent="0.3">
      <c r="A3232" s="52">
        <v>3227</v>
      </c>
      <c r="B3232" s="52">
        <f>-bthan*500+(26+0.5)*bthan*1000/50</f>
        <v>165</v>
      </c>
      <c r="C3232" s="52">
        <f t="shared" si="300"/>
        <v>490</v>
      </c>
      <c r="D3232" s="52">
        <f t="shared" si="301"/>
        <v>2200</v>
      </c>
      <c r="E3232" s="52">
        <f t="shared" si="302"/>
        <v>1</v>
      </c>
      <c r="F3232" s="52"/>
      <c r="G3232" s="52"/>
      <c r="H3232" s="52"/>
      <c r="I3232" s="52"/>
      <c r="J3232" s="52"/>
      <c r="K3232" s="52"/>
      <c r="L3232" s="52"/>
      <c r="M3232" s="52"/>
      <c r="N3232" s="52"/>
      <c r="O3232" s="52"/>
      <c r="P3232" s="52"/>
      <c r="Q3232" s="52"/>
      <c r="R3232" s="52"/>
      <c r="S3232" s="52"/>
      <c r="T3232" s="52"/>
      <c r="U3232" s="52"/>
      <c r="V3232" s="52"/>
      <c r="W3232" s="52"/>
      <c r="X3232" s="52"/>
      <c r="Y3232" s="52"/>
      <c r="Z3232" s="52"/>
      <c r="AA3232" s="52"/>
      <c r="AB3232" s="52"/>
      <c r="AC3232" s="52"/>
      <c r="AD3232" s="52"/>
      <c r="AE3232" s="52"/>
      <c r="AF3232" s="52"/>
      <c r="AG3232" s="52"/>
      <c r="AH3232" s="52"/>
      <c r="AI3232" s="52"/>
      <c r="AJ3232" s="52"/>
      <c r="AK3232" s="52"/>
      <c r="AL3232" s="52"/>
      <c r="AM3232" s="52"/>
      <c r="AN3232" s="52"/>
    </row>
    <row r="3233" spans="1:40" x14ac:dyDescent="0.3">
      <c r="A3233" s="52">
        <v>3228</v>
      </c>
      <c r="B3233" s="52">
        <f>-bthan*500+(27+0.5)*bthan*1000/50</f>
        <v>275</v>
      </c>
      <c r="C3233" s="52">
        <f t="shared" si="300"/>
        <v>490</v>
      </c>
      <c r="D3233" s="52">
        <f t="shared" si="301"/>
        <v>2200</v>
      </c>
      <c r="E3233" s="52">
        <f t="shared" si="302"/>
        <v>1</v>
      </c>
      <c r="F3233" s="52"/>
      <c r="G3233" s="52"/>
      <c r="H3233" s="52"/>
      <c r="I3233" s="52"/>
      <c r="J3233" s="52"/>
      <c r="K3233" s="52"/>
      <c r="L3233" s="52"/>
      <c r="M3233" s="52"/>
      <c r="N3233" s="52"/>
      <c r="O3233" s="52"/>
      <c r="P3233" s="52"/>
      <c r="Q3233" s="52"/>
      <c r="R3233" s="52"/>
      <c r="S3233" s="52"/>
      <c r="T3233" s="52"/>
      <c r="U3233" s="52"/>
      <c r="V3233" s="52"/>
      <c r="W3233" s="52"/>
      <c r="X3233" s="52"/>
      <c r="Y3233" s="52"/>
      <c r="Z3233" s="52"/>
      <c r="AA3233" s="52"/>
      <c r="AB3233" s="52"/>
      <c r="AC3233" s="52"/>
      <c r="AD3233" s="52"/>
      <c r="AE3233" s="52"/>
      <c r="AF3233" s="52"/>
      <c r="AG3233" s="52"/>
      <c r="AH3233" s="52"/>
      <c r="AI3233" s="52"/>
      <c r="AJ3233" s="52"/>
      <c r="AK3233" s="52"/>
      <c r="AL3233" s="52"/>
      <c r="AM3233" s="52"/>
      <c r="AN3233" s="52"/>
    </row>
    <row r="3234" spans="1:40" x14ac:dyDescent="0.3">
      <c r="A3234" s="52">
        <v>3229</v>
      </c>
      <c r="B3234" s="52">
        <f>-bthan*500+(28+0.5)*bthan*1000/50</f>
        <v>385</v>
      </c>
      <c r="C3234" s="52">
        <f t="shared" si="300"/>
        <v>490</v>
      </c>
      <c r="D3234" s="52">
        <f t="shared" si="301"/>
        <v>2200</v>
      </c>
      <c r="E3234" s="52">
        <f t="shared" si="302"/>
        <v>1</v>
      </c>
      <c r="F3234" s="52"/>
      <c r="G3234" s="52"/>
      <c r="H3234" s="52"/>
      <c r="I3234" s="52"/>
      <c r="J3234" s="52"/>
      <c r="K3234" s="52"/>
      <c r="L3234" s="52"/>
      <c r="M3234" s="52"/>
      <c r="N3234" s="52"/>
      <c r="O3234" s="52"/>
      <c r="P3234" s="52"/>
      <c r="Q3234" s="52"/>
      <c r="R3234" s="52"/>
      <c r="S3234" s="52"/>
      <c r="T3234" s="52"/>
      <c r="U3234" s="52"/>
      <c r="V3234" s="52"/>
      <c r="W3234" s="52"/>
      <c r="X3234" s="52"/>
      <c r="Y3234" s="52"/>
      <c r="Z3234" s="52"/>
      <c r="AA3234" s="52"/>
      <c r="AB3234" s="52"/>
      <c r="AC3234" s="52"/>
      <c r="AD3234" s="52"/>
      <c r="AE3234" s="52"/>
      <c r="AF3234" s="52"/>
      <c r="AG3234" s="52"/>
      <c r="AH3234" s="52"/>
      <c r="AI3234" s="52"/>
      <c r="AJ3234" s="52"/>
      <c r="AK3234" s="52"/>
      <c r="AL3234" s="52"/>
      <c r="AM3234" s="52"/>
      <c r="AN3234" s="52"/>
    </row>
    <row r="3235" spans="1:40" x14ac:dyDescent="0.3">
      <c r="A3235" s="52">
        <v>3230</v>
      </c>
      <c r="B3235" s="52">
        <f>-bthan*500+(29+0.5)*bthan*1000/50</f>
        <v>495</v>
      </c>
      <c r="C3235" s="52">
        <f t="shared" si="300"/>
        <v>490</v>
      </c>
      <c r="D3235" s="52">
        <f t="shared" si="301"/>
        <v>2200</v>
      </c>
      <c r="E3235" s="52">
        <f t="shared" si="302"/>
        <v>1</v>
      </c>
      <c r="F3235" s="52"/>
      <c r="G3235" s="52"/>
      <c r="H3235" s="52"/>
      <c r="I3235" s="52"/>
      <c r="J3235" s="52"/>
      <c r="K3235" s="52"/>
      <c r="L3235" s="52"/>
      <c r="M3235" s="52"/>
      <c r="N3235" s="52"/>
      <c r="O3235" s="52"/>
      <c r="P3235" s="52"/>
      <c r="Q3235" s="52"/>
      <c r="R3235" s="52"/>
      <c r="S3235" s="52"/>
      <c r="T3235" s="52"/>
      <c r="U3235" s="52"/>
      <c r="V3235" s="52"/>
      <c r="W3235" s="52"/>
      <c r="X3235" s="52"/>
      <c r="Y3235" s="52"/>
      <c r="Z3235" s="52"/>
      <c r="AA3235" s="52"/>
      <c r="AB3235" s="52"/>
      <c r="AC3235" s="52"/>
      <c r="AD3235" s="52"/>
      <c r="AE3235" s="52"/>
      <c r="AF3235" s="52"/>
      <c r="AG3235" s="52"/>
      <c r="AH3235" s="52"/>
      <c r="AI3235" s="52"/>
      <c r="AJ3235" s="52"/>
      <c r="AK3235" s="52"/>
      <c r="AL3235" s="52"/>
      <c r="AM3235" s="52"/>
      <c r="AN3235" s="52"/>
    </row>
    <row r="3236" spans="1:40" x14ac:dyDescent="0.3">
      <c r="A3236" s="52">
        <v>3231</v>
      </c>
      <c r="B3236" s="52">
        <f>-bthan*500+(30+0.5)*bthan*1000/50</f>
        <v>605</v>
      </c>
      <c r="C3236" s="52">
        <f t="shared" si="300"/>
        <v>490</v>
      </c>
      <c r="D3236" s="52">
        <f t="shared" si="301"/>
        <v>2200</v>
      </c>
      <c r="E3236" s="52">
        <f t="shared" si="302"/>
        <v>1</v>
      </c>
      <c r="F3236" s="52"/>
      <c r="G3236" s="52"/>
      <c r="H3236" s="52"/>
      <c r="I3236" s="52"/>
      <c r="J3236" s="52"/>
      <c r="K3236" s="52"/>
      <c r="L3236" s="52"/>
      <c r="M3236" s="52"/>
      <c r="N3236" s="52"/>
      <c r="O3236" s="52"/>
      <c r="P3236" s="52"/>
      <c r="Q3236" s="52"/>
      <c r="R3236" s="52"/>
      <c r="S3236" s="52"/>
      <c r="T3236" s="52"/>
      <c r="U3236" s="52"/>
      <c r="V3236" s="52"/>
      <c r="W3236" s="52"/>
      <c r="X3236" s="52"/>
      <c r="Y3236" s="52"/>
      <c r="Z3236" s="52"/>
      <c r="AA3236" s="52"/>
      <c r="AB3236" s="52"/>
      <c r="AC3236" s="52"/>
      <c r="AD3236" s="52"/>
      <c r="AE3236" s="52"/>
      <c r="AF3236" s="52"/>
      <c r="AG3236" s="52"/>
      <c r="AH3236" s="52"/>
      <c r="AI3236" s="52"/>
      <c r="AJ3236" s="52"/>
      <c r="AK3236" s="52"/>
      <c r="AL3236" s="52"/>
      <c r="AM3236" s="52"/>
      <c r="AN3236" s="52"/>
    </row>
    <row r="3237" spans="1:40" x14ac:dyDescent="0.3">
      <c r="A3237" s="52">
        <v>3232</v>
      </c>
      <c r="B3237" s="52">
        <f>-bthan*500+(31+0.5)*bthan*1000/50</f>
        <v>715</v>
      </c>
      <c r="C3237" s="52">
        <f t="shared" si="300"/>
        <v>490</v>
      </c>
      <c r="D3237" s="52">
        <f t="shared" si="301"/>
        <v>2200</v>
      </c>
      <c r="E3237" s="52">
        <f t="shared" si="302"/>
        <v>1</v>
      </c>
      <c r="F3237" s="52"/>
      <c r="G3237" s="52"/>
      <c r="H3237" s="52"/>
      <c r="I3237" s="52"/>
      <c r="J3237" s="52"/>
      <c r="K3237" s="52"/>
      <c r="L3237" s="52"/>
      <c r="M3237" s="52"/>
      <c r="N3237" s="52"/>
      <c r="O3237" s="52"/>
      <c r="P3237" s="52"/>
      <c r="Q3237" s="52"/>
      <c r="R3237" s="52"/>
      <c r="S3237" s="52"/>
      <c r="T3237" s="52"/>
      <c r="U3237" s="52"/>
      <c r="V3237" s="52"/>
      <c r="W3237" s="52"/>
      <c r="X3237" s="52"/>
      <c r="Y3237" s="52"/>
      <c r="Z3237" s="52"/>
      <c r="AA3237" s="52"/>
      <c r="AB3237" s="52"/>
      <c r="AC3237" s="52"/>
      <c r="AD3237" s="52"/>
      <c r="AE3237" s="52"/>
      <c r="AF3237" s="52"/>
      <c r="AG3237" s="52"/>
      <c r="AH3237" s="52"/>
      <c r="AI3237" s="52"/>
      <c r="AJ3237" s="52"/>
      <c r="AK3237" s="52"/>
      <c r="AL3237" s="52"/>
      <c r="AM3237" s="52"/>
      <c r="AN3237" s="52"/>
    </row>
    <row r="3238" spans="1:40" x14ac:dyDescent="0.3">
      <c r="A3238" s="52">
        <v>3233</v>
      </c>
      <c r="B3238" s="52">
        <f>-bthan*500+(32+0.5)*bthan*1000/50</f>
        <v>825</v>
      </c>
      <c r="C3238" s="52">
        <f t="shared" ref="C3238:C3255" si="303">-hthan*500+(64+0.5)*hthan*1000/80</f>
        <v>490</v>
      </c>
      <c r="D3238" s="52">
        <f t="shared" si="301"/>
        <v>2200</v>
      </c>
      <c r="E3238" s="52">
        <f t="shared" si="302"/>
        <v>1</v>
      </c>
      <c r="F3238" s="52"/>
      <c r="G3238" s="52"/>
      <c r="H3238" s="52"/>
      <c r="I3238" s="52"/>
      <c r="J3238" s="52"/>
      <c r="K3238" s="52"/>
      <c r="L3238" s="52"/>
      <c r="M3238" s="52"/>
      <c r="N3238" s="52"/>
      <c r="O3238" s="52"/>
      <c r="P3238" s="52"/>
      <c r="Q3238" s="52"/>
      <c r="R3238" s="52"/>
      <c r="S3238" s="52"/>
      <c r="T3238" s="52"/>
      <c r="U3238" s="52"/>
      <c r="V3238" s="52"/>
      <c r="W3238" s="52"/>
      <c r="X3238" s="52"/>
      <c r="Y3238" s="52"/>
      <c r="Z3238" s="52"/>
      <c r="AA3238" s="52"/>
      <c r="AB3238" s="52"/>
      <c r="AC3238" s="52"/>
      <c r="AD3238" s="52"/>
      <c r="AE3238" s="52"/>
      <c r="AF3238" s="52"/>
      <c r="AG3238" s="52"/>
      <c r="AH3238" s="52"/>
      <c r="AI3238" s="52"/>
      <c r="AJ3238" s="52"/>
      <c r="AK3238" s="52"/>
      <c r="AL3238" s="52"/>
      <c r="AM3238" s="52"/>
      <c r="AN3238" s="52"/>
    </row>
    <row r="3239" spans="1:40" x14ac:dyDescent="0.3">
      <c r="A3239" s="52">
        <v>3234</v>
      </c>
      <c r="B3239" s="52">
        <f>-bthan*500+(33+0.5)*bthan*1000/50</f>
        <v>935</v>
      </c>
      <c r="C3239" s="52">
        <f t="shared" si="303"/>
        <v>490</v>
      </c>
      <c r="D3239" s="52">
        <f t="shared" si="301"/>
        <v>2200</v>
      </c>
      <c r="E3239" s="52">
        <f t="shared" si="302"/>
        <v>1</v>
      </c>
      <c r="F3239" s="52"/>
      <c r="G3239" s="52"/>
      <c r="H3239" s="52"/>
      <c r="I3239" s="52"/>
      <c r="J3239" s="52"/>
      <c r="K3239" s="52"/>
      <c r="L3239" s="52"/>
      <c r="M3239" s="52"/>
      <c r="N3239" s="52"/>
      <c r="O3239" s="52"/>
      <c r="P3239" s="52"/>
      <c r="Q3239" s="52"/>
      <c r="R3239" s="52"/>
      <c r="S3239" s="52"/>
      <c r="T3239" s="52"/>
      <c r="U3239" s="52"/>
      <c r="V3239" s="52"/>
      <c r="W3239" s="52"/>
      <c r="X3239" s="52"/>
      <c r="Y3239" s="52"/>
      <c r="Z3239" s="52"/>
      <c r="AA3239" s="52"/>
      <c r="AB3239" s="52"/>
      <c r="AC3239" s="52"/>
      <c r="AD3239" s="52"/>
      <c r="AE3239" s="52"/>
      <c r="AF3239" s="52"/>
      <c r="AG3239" s="52"/>
      <c r="AH3239" s="52"/>
      <c r="AI3239" s="52"/>
      <c r="AJ3239" s="52"/>
      <c r="AK3239" s="52"/>
      <c r="AL3239" s="52"/>
      <c r="AM3239" s="52"/>
      <c r="AN3239" s="52"/>
    </row>
    <row r="3240" spans="1:40" x14ac:dyDescent="0.3">
      <c r="A3240" s="52">
        <v>3235</v>
      </c>
      <c r="B3240" s="52">
        <f>-bthan*500+(34+0.5)*bthan*1000/50</f>
        <v>1045</v>
      </c>
      <c r="C3240" s="52">
        <f t="shared" si="303"/>
        <v>490</v>
      </c>
      <c r="D3240" s="52">
        <f t="shared" si="301"/>
        <v>2200</v>
      </c>
      <c r="E3240" s="52">
        <f t="shared" si="302"/>
        <v>1</v>
      </c>
      <c r="F3240" s="52"/>
      <c r="G3240" s="52"/>
      <c r="H3240" s="52"/>
      <c r="I3240" s="52"/>
      <c r="J3240" s="52"/>
      <c r="K3240" s="52"/>
      <c r="L3240" s="52"/>
      <c r="M3240" s="52"/>
      <c r="N3240" s="52"/>
      <c r="O3240" s="52"/>
      <c r="P3240" s="52"/>
      <c r="Q3240" s="52"/>
      <c r="R3240" s="52"/>
      <c r="S3240" s="52"/>
      <c r="T3240" s="52"/>
      <c r="U3240" s="52"/>
      <c r="V3240" s="52"/>
      <c r="W3240" s="52"/>
      <c r="X3240" s="52"/>
      <c r="Y3240" s="52"/>
      <c r="Z3240" s="52"/>
      <c r="AA3240" s="52"/>
      <c r="AB3240" s="52"/>
      <c r="AC3240" s="52"/>
      <c r="AD3240" s="52"/>
      <c r="AE3240" s="52"/>
      <c r="AF3240" s="52"/>
      <c r="AG3240" s="52"/>
      <c r="AH3240" s="52"/>
      <c r="AI3240" s="52"/>
      <c r="AJ3240" s="52"/>
      <c r="AK3240" s="52"/>
      <c r="AL3240" s="52"/>
      <c r="AM3240" s="52"/>
      <c r="AN3240" s="52"/>
    </row>
    <row r="3241" spans="1:40" x14ac:dyDescent="0.3">
      <c r="A3241" s="52">
        <v>3236</v>
      </c>
      <c r="B3241" s="52">
        <f>-bthan*500+(35+0.5)*bthan*1000/50</f>
        <v>1155</v>
      </c>
      <c r="C3241" s="52">
        <f t="shared" si="303"/>
        <v>490</v>
      </c>
      <c r="D3241" s="52">
        <f t="shared" si="301"/>
        <v>2200</v>
      </c>
      <c r="E3241" s="52">
        <f t="shared" si="302"/>
        <v>1</v>
      </c>
      <c r="F3241" s="52"/>
      <c r="G3241" s="52"/>
      <c r="H3241" s="52"/>
      <c r="I3241" s="52"/>
      <c r="J3241" s="52"/>
      <c r="K3241" s="52"/>
      <c r="L3241" s="52"/>
      <c r="M3241" s="52"/>
      <c r="N3241" s="52"/>
      <c r="O3241" s="52"/>
      <c r="P3241" s="52"/>
      <c r="Q3241" s="52"/>
      <c r="R3241" s="52"/>
      <c r="S3241" s="52"/>
      <c r="T3241" s="52"/>
      <c r="U3241" s="52"/>
      <c r="V3241" s="52"/>
      <c r="W3241" s="52"/>
      <c r="X3241" s="52"/>
      <c r="Y3241" s="52"/>
      <c r="Z3241" s="52"/>
      <c r="AA3241" s="52"/>
      <c r="AB3241" s="52"/>
      <c r="AC3241" s="52"/>
      <c r="AD3241" s="52"/>
      <c r="AE3241" s="52"/>
      <c r="AF3241" s="52"/>
      <c r="AG3241" s="52"/>
      <c r="AH3241" s="52"/>
      <c r="AI3241" s="52"/>
      <c r="AJ3241" s="52"/>
      <c r="AK3241" s="52"/>
      <c r="AL3241" s="52"/>
      <c r="AM3241" s="52"/>
      <c r="AN3241" s="52"/>
    </row>
    <row r="3242" spans="1:40" x14ac:dyDescent="0.3">
      <c r="A3242" s="52">
        <v>3237</v>
      </c>
      <c r="B3242" s="52">
        <f>-bthan*500+(36+0.5)*bthan*1000/50</f>
        <v>1265</v>
      </c>
      <c r="C3242" s="52">
        <f t="shared" si="303"/>
        <v>490</v>
      </c>
      <c r="D3242" s="52">
        <f t="shared" si="301"/>
        <v>2200</v>
      </c>
      <c r="E3242" s="52">
        <f t="shared" si="302"/>
        <v>1</v>
      </c>
      <c r="F3242" s="52"/>
      <c r="G3242" s="52"/>
      <c r="H3242" s="52"/>
      <c r="I3242" s="52"/>
      <c r="J3242" s="52"/>
      <c r="K3242" s="52"/>
      <c r="L3242" s="52"/>
      <c r="M3242" s="52"/>
      <c r="N3242" s="52"/>
      <c r="O3242" s="52"/>
      <c r="P3242" s="52"/>
      <c r="Q3242" s="52"/>
      <c r="R3242" s="52"/>
      <c r="S3242" s="52"/>
      <c r="T3242" s="52"/>
      <c r="U3242" s="52"/>
      <c r="V3242" s="52"/>
      <c r="W3242" s="52"/>
      <c r="X3242" s="52"/>
      <c r="Y3242" s="52"/>
      <c r="Z3242" s="52"/>
      <c r="AA3242" s="52"/>
      <c r="AB3242" s="52"/>
      <c r="AC3242" s="52"/>
      <c r="AD3242" s="52"/>
      <c r="AE3242" s="52"/>
      <c r="AF3242" s="52"/>
      <c r="AG3242" s="52"/>
      <c r="AH3242" s="52"/>
      <c r="AI3242" s="52"/>
      <c r="AJ3242" s="52"/>
      <c r="AK3242" s="52"/>
      <c r="AL3242" s="52"/>
      <c r="AM3242" s="52"/>
      <c r="AN3242" s="52"/>
    </row>
    <row r="3243" spans="1:40" x14ac:dyDescent="0.3">
      <c r="A3243" s="52">
        <v>3238</v>
      </c>
      <c r="B3243" s="52">
        <f>-bthan*500+(37+0.5)*bthan*1000/50</f>
        <v>1375</v>
      </c>
      <c r="C3243" s="52">
        <f t="shared" si="303"/>
        <v>490</v>
      </c>
      <c r="D3243" s="52">
        <f t="shared" si="301"/>
        <v>2200</v>
      </c>
      <c r="E3243" s="52">
        <f t="shared" si="302"/>
        <v>1</v>
      </c>
      <c r="F3243" s="52"/>
      <c r="G3243" s="52"/>
      <c r="H3243" s="52"/>
      <c r="I3243" s="52"/>
      <c r="J3243" s="52"/>
      <c r="K3243" s="52"/>
      <c r="L3243" s="52"/>
      <c r="M3243" s="52"/>
      <c r="N3243" s="52"/>
      <c r="O3243" s="52"/>
      <c r="P3243" s="52"/>
      <c r="Q3243" s="52"/>
      <c r="R3243" s="52"/>
      <c r="S3243" s="52"/>
      <c r="T3243" s="52"/>
      <c r="U3243" s="52"/>
      <c r="V3243" s="52"/>
      <c r="W3243" s="52"/>
      <c r="X3243" s="52"/>
      <c r="Y3243" s="52"/>
      <c r="Z3243" s="52"/>
      <c r="AA3243" s="52"/>
      <c r="AB3243" s="52"/>
      <c r="AC3243" s="52"/>
      <c r="AD3243" s="52"/>
      <c r="AE3243" s="52"/>
      <c r="AF3243" s="52"/>
      <c r="AG3243" s="52"/>
      <c r="AH3243" s="52"/>
      <c r="AI3243" s="52"/>
      <c r="AJ3243" s="52"/>
      <c r="AK3243" s="52"/>
      <c r="AL3243" s="52"/>
      <c r="AM3243" s="52"/>
      <c r="AN3243" s="52"/>
    </row>
    <row r="3244" spans="1:40" x14ac:dyDescent="0.3">
      <c r="A3244" s="52">
        <v>3239</v>
      </c>
      <c r="B3244" s="52">
        <f>-bthan*500+(38+0.5)*bthan*1000/50</f>
        <v>1485</v>
      </c>
      <c r="C3244" s="52">
        <f t="shared" si="303"/>
        <v>490</v>
      </c>
      <c r="D3244" s="52">
        <f t="shared" si="301"/>
        <v>2200</v>
      </c>
      <c r="E3244" s="52">
        <f t="shared" si="302"/>
        <v>1</v>
      </c>
      <c r="F3244" s="52"/>
      <c r="G3244" s="52"/>
      <c r="H3244" s="52"/>
      <c r="I3244" s="52"/>
      <c r="J3244" s="52"/>
      <c r="K3244" s="52"/>
      <c r="L3244" s="52"/>
      <c r="M3244" s="52"/>
      <c r="N3244" s="52"/>
      <c r="O3244" s="52"/>
      <c r="P3244" s="52"/>
      <c r="Q3244" s="52"/>
      <c r="R3244" s="52"/>
      <c r="S3244" s="52"/>
      <c r="T3244" s="52"/>
      <c r="U3244" s="52"/>
      <c r="V3244" s="52"/>
      <c r="W3244" s="52"/>
      <c r="X3244" s="52"/>
      <c r="Y3244" s="52"/>
      <c r="Z3244" s="52"/>
      <c r="AA3244" s="52"/>
      <c r="AB3244" s="52"/>
      <c r="AC3244" s="52"/>
      <c r="AD3244" s="52"/>
      <c r="AE3244" s="52"/>
      <c r="AF3244" s="52"/>
      <c r="AG3244" s="52"/>
      <c r="AH3244" s="52"/>
      <c r="AI3244" s="52"/>
      <c r="AJ3244" s="52"/>
      <c r="AK3244" s="52"/>
      <c r="AL3244" s="52"/>
      <c r="AM3244" s="52"/>
      <c r="AN3244" s="52"/>
    </row>
    <row r="3245" spans="1:40" x14ac:dyDescent="0.3">
      <c r="A3245" s="52">
        <v>3240</v>
      </c>
      <c r="B3245" s="52">
        <f>-bthan*500+(39+0.5)*bthan*1000/50</f>
        <v>1595</v>
      </c>
      <c r="C3245" s="52">
        <f t="shared" si="303"/>
        <v>490</v>
      </c>
      <c r="D3245" s="52">
        <f t="shared" si="301"/>
        <v>2200</v>
      </c>
      <c r="E3245" s="52">
        <f t="shared" si="302"/>
        <v>1</v>
      </c>
      <c r="F3245" s="52"/>
      <c r="G3245" s="52"/>
      <c r="H3245" s="52"/>
      <c r="I3245" s="52"/>
      <c r="J3245" s="52"/>
      <c r="K3245" s="52"/>
      <c r="L3245" s="52"/>
      <c r="M3245" s="52"/>
      <c r="N3245" s="52"/>
      <c r="O3245" s="52"/>
      <c r="P3245" s="52"/>
      <c r="Q3245" s="52"/>
      <c r="R3245" s="52"/>
      <c r="S3245" s="52"/>
      <c r="T3245" s="52"/>
      <c r="U3245" s="52"/>
      <c r="V3245" s="52"/>
      <c r="W3245" s="52"/>
      <c r="X3245" s="52"/>
      <c r="Y3245" s="52"/>
      <c r="Z3245" s="52"/>
      <c r="AA3245" s="52"/>
      <c r="AB3245" s="52"/>
      <c r="AC3245" s="52"/>
      <c r="AD3245" s="52"/>
      <c r="AE3245" s="52"/>
      <c r="AF3245" s="52"/>
      <c r="AG3245" s="52"/>
      <c r="AH3245" s="52"/>
      <c r="AI3245" s="52"/>
      <c r="AJ3245" s="52"/>
      <c r="AK3245" s="52"/>
      <c r="AL3245" s="52"/>
      <c r="AM3245" s="52"/>
      <c r="AN3245" s="52"/>
    </row>
    <row r="3246" spans="1:40" x14ac:dyDescent="0.3">
      <c r="A3246" s="52">
        <v>3241</v>
      </c>
      <c r="B3246" s="52">
        <f>-bthan*500+(40+0.5)*bthan*1000/50</f>
        <v>1705</v>
      </c>
      <c r="C3246" s="52">
        <f t="shared" si="303"/>
        <v>490</v>
      </c>
      <c r="D3246" s="52">
        <f t="shared" si="301"/>
        <v>2200</v>
      </c>
      <c r="E3246" s="52">
        <f t="shared" si="302"/>
        <v>1</v>
      </c>
      <c r="F3246" s="52"/>
      <c r="G3246" s="52"/>
      <c r="H3246" s="52"/>
      <c r="I3246" s="52"/>
      <c r="J3246" s="52"/>
      <c r="K3246" s="52"/>
      <c r="L3246" s="52"/>
      <c r="M3246" s="52"/>
      <c r="N3246" s="52"/>
      <c r="O3246" s="52"/>
      <c r="P3246" s="52"/>
      <c r="Q3246" s="52"/>
      <c r="R3246" s="52"/>
      <c r="S3246" s="52"/>
      <c r="T3246" s="52"/>
      <c r="U3246" s="52"/>
      <c r="V3246" s="52"/>
      <c r="W3246" s="52"/>
      <c r="X3246" s="52"/>
      <c r="Y3246" s="52"/>
      <c r="Z3246" s="52"/>
      <c r="AA3246" s="52"/>
      <c r="AB3246" s="52"/>
      <c r="AC3246" s="52"/>
      <c r="AD3246" s="52"/>
      <c r="AE3246" s="52"/>
      <c r="AF3246" s="52"/>
      <c r="AG3246" s="52"/>
      <c r="AH3246" s="52"/>
      <c r="AI3246" s="52"/>
      <c r="AJ3246" s="52"/>
      <c r="AK3246" s="52"/>
      <c r="AL3246" s="52"/>
      <c r="AM3246" s="52"/>
      <c r="AN3246" s="52"/>
    </row>
    <row r="3247" spans="1:40" x14ac:dyDescent="0.3">
      <c r="A3247" s="52">
        <v>3242</v>
      </c>
      <c r="B3247" s="52">
        <f>-bthan*500+(41+0.5)*bthan*1000/50</f>
        <v>1815</v>
      </c>
      <c r="C3247" s="52">
        <f t="shared" si="303"/>
        <v>490</v>
      </c>
      <c r="D3247" s="52">
        <f t="shared" si="301"/>
        <v>2200</v>
      </c>
      <c r="E3247" s="52">
        <f t="shared" si="302"/>
        <v>1</v>
      </c>
      <c r="F3247" s="52"/>
      <c r="G3247" s="52"/>
      <c r="H3247" s="52"/>
      <c r="I3247" s="52"/>
      <c r="J3247" s="52"/>
      <c r="K3247" s="52"/>
      <c r="L3247" s="52"/>
      <c r="M3247" s="52"/>
      <c r="N3247" s="52"/>
      <c r="O3247" s="52"/>
      <c r="P3247" s="52"/>
      <c r="Q3247" s="52"/>
      <c r="R3247" s="52"/>
      <c r="S3247" s="52"/>
      <c r="T3247" s="52"/>
      <c r="U3247" s="52"/>
      <c r="V3247" s="52"/>
      <c r="W3247" s="52"/>
      <c r="X3247" s="52"/>
      <c r="Y3247" s="52"/>
      <c r="Z3247" s="52"/>
      <c r="AA3247" s="52"/>
      <c r="AB3247" s="52"/>
      <c r="AC3247" s="52"/>
      <c r="AD3247" s="52"/>
      <c r="AE3247" s="52"/>
      <c r="AF3247" s="52"/>
      <c r="AG3247" s="52"/>
      <c r="AH3247" s="52"/>
      <c r="AI3247" s="52"/>
      <c r="AJ3247" s="52"/>
      <c r="AK3247" s="52"/>
      <c r="AL3247" s="52"/>
      <c r="AM3247" s="52"/>
      <c r="AN3247" s="52"/>
    </row>
    <row r="3248" spans="1:40" x14ac:dyDescent="0.3">
      <c r="A3248" s="52">
        <v>3243</v>
      </c>
      <c r="B3248" s="52">
        <f>-bthan*500+(42+0.5)*bthan*1000/50</f>
        <v>1925</v>
      </c>
      <c r="C3248" s="52">
        <f t="shared" si="303"/>
        <v>490</v>
      </c>
      <c r="D3248" s="52">
        <f t="shared" si="301"/>
        <v>2200</v>
      </c>
      <c r="E3248" s="52">
        <f t="shared" si="302"/>
        <v>1</v>
      </c>
      <c r="F3248" s="52"/>
      <c r="G3248" s="52"/>
      <c r="H3248" s="52"/>
      <c r="I3248" s="52"/>
      <c r="J3248" s="52"/>
      <c r="K3248" s="52"/>
      <c r="L3248" s="52"/>
      <c r="M3248" s="52"/>
      <c r="N3248" s="52"/>
      <c r="O3248" s="52"/>
      <c r="P3248" s="52"/>
      <c r="Q3248" s="52"/>
      <c r="R3248" s="52"/>
      <c r="S3248" s="52"/>
      <c r="T3248" s="52"/>
      <c r="U3248" s="52"/>
      <c r="V3248" s="52"/>
      <c r="W3248" s="52"/>
      <c r="X3248" s="52"/>
      <c r="Y3248" s="52"/>
      <c r="Z3248" s="52"/>
      <c r="AA3248" s="52"/>
      <c r="AB3248" s="52"/>
      <c r="AC3248" s="52"/>
      <c r="AD3248" s="52"/>
      <c r="AE3248" s="52"/>
      <c r="AF3248" s="52"/>
      <c r="AG3248" s="52"/>
      <c r="AH3248" s="52"/>
      <c r="AI3248" s="52"/>
      <c r="AJ3248" s="52"/>
      <c r="AK3248" s="52"/>
      <c r="AL3248" s="52"/>
      <c r="AM3248" s="52"/>
      <c r="AN3248" s="52"/>
    </row>
    <row r="3249" spans="1:40" x14ac:dyDescent="0.3">
      <c r="A3249" s="52">
        <v>3244</v>
      </c>
      <c r="B3249" s="52">
        <f>-bthan*500+(43+0.5)*bthan*1000/50</f>
        <v>2035</v>
      </c>
      <c r="C3249" s="52">
        <f t="shared" si="303"/>
        <v>490</v>
      </c>
      <c r="D3249" s="52">
        <f t="shared" si="301"/>
        <v>2200</v>
      </c>
      <c r="E3249" s="52">
        <f t="shared" si="302"/>
        <v>1</v>
      </c>
      <c r="F3249" s="52"/>
      <c r="G3249" s="52"/>
      <c r="H3249" s="52"/>
      <c r="I3249" s="52"/>
      <c r="J3249" s="52"/>
      <c r="K3249" s="52"/>
      <c r="L3249" s="52"/>
      <c r="M3249" s="52"/>
      <c r="N3249" s="52"/>
      <c r="O3249" s="52"/>
      <c r="P3249" s="52"/>
      <c r="Q3249" s="52"/>
      <c r="R3249" s="52"/>
      <c r="S3249" s="52"/>
      <c r="T3249" s="52"/>
      <c r="U3249" s="52"/>
      <c r="V3249" s="52"/>
      <c r="W3249" s="52"/>
      <c r="X3249" s="52"/>
      <c r="Y3249" s="52"/>
      <c r="Z3249" s="52"/>
      <c r="AA3249" s="52"/>
      <c r="AB3249" s="52"/>
      <c r="AC3249" s="52"/>
      <c r="AD3249" s="52"/>
      <c r="AE3249" s="52"/>
      <c r="AF3249" s="52"/>
      <c r="AG3249" s="52"/>
      <c r="AH3249" s="52"/>
      <c r="AI3249" s="52"/>
      <c r="AJ3249" s="52"/>
      <c r="AK3249" s="52"/>
      <c r="AL3249" s="52"/>
      <c r="AM3249" s="52"/>
      <c r="AN3249" s="52"/>
    </row>
    <row r="3250" spans="1:40" x14ac:dyDescent="0.3">
      <c r="A3250" s="52">
        <v>3245</v>
      </c>
      <c r="B3250" s="52">
        <f>-bthan*500+(44+0.5)*bthan*1000/50</f>
        <v>2145</v>
      </c>
      <c r="C3250" s="52">
        <f t="shared" si="303"/>
        <v>490</v>
      </c>
      <c r="D3250" s="52">
        <f t="shared" si="301"/>
        <v>2200</v>
      </c>
      <c r="E3250" s="52">
        <f t="shared" si="302"/>
        <v>1</v>
      </c>
      <c r="F3250" s="52"/>
      <c r="G3250" s="52"/>
      <c r="H3250" s="52"/>
      <c r="I3250" s="52"/>
      <c r="J3250" s="52"/>
      <c r="K3250" s="52"/>
      <c r="L3250" s="52"/>
      <c r="M3250" s="52"/>
      <c r="N3250" s="52"/>
      <c r="O3250" s="52"/>
      <c r="P3250" s="52"/>
      <c r="Q3250" s="52"/>
      <c r="R3250" s="52"/>
      <c r="S3250" s="52"/>
      <c r="T3250" s="52"/>
      <c r="U3250" s="52"/>
      <c r="V3250" s="52"/>
      <c r="W3250" s="52"/>
      <c r="X3250" s="52"/>
      <c r="Y3250" s="52"/>
      <c r="Z3250" s="52"/>
      <c r="AA3250" s="52"/>
      <c r="AB3250" s="52"/>
      <c r="AC3250" s="52"/>
      <c r="AD3250" s="52"/>
      <c r="AE3250" s="52"/>
      <c r="AF3250" s="52"/>
      <c r="AG3250" s="52"/>
      <c r="AH3250" s="52"/>
      <c r="AI3250" s="52"/>
      <c r="AJ3250" s="52"/>
      <c r="AK3250" s="52"/>
      <c r="AL3250" s="52"/>
      <c r="AM3250" s="52"/>
      <c r="AN3250" s="52"/>
    </row>
    <row r="3251" spans="1:40" x14ac:dyDescent="0.3">
      <c r="A3251" s="52">
        <v>3246</v>
      </c>
      <c r="B3251" s="52">
        <f>-bthan*500+(45+0.5)*bthan*1000/50</f>
        <v>2255</v>
      </c>
      <c r="C3251" s="52">
        <f t="shared" si="303"/>
        <v>490</v>
      </c>
      <c r="D3251" s="52">
        <f t="shared" si="301"/>
        <v>2200</v>
      </c>
      <c r="E3251" s="52">
        <f t="shared" si="302"/>
        <v>1</v>
      </c>
      <c r="F3251" s="52"/>
      <c r="G3251" s="52"/>
      <c r="H3251" s="52"/>
      <c r="I3251" s="52"/>
      <c r="J3251" s="52"/>
      <c r="K3251" s="52"/>
      <c r="L3251" s="52"/>
      <c r="M3251" s="52"/>
      <c r="N3251" s="52"/>
      <c r="O3251" s="52"/>
      <c r="P3251" s="52"/>
      <c r="Q3251" s="52"/>
      <c r="R3251" s="52"/>
      <c r="S3251" s="52"/>
      <c r="T3251" s="52"/>
      <c r="U3251" s="52"/>
      <c r="V3251" s="52"/>
      <c r="W3251" s="52"/>
      <c r="X3251" s="52"/>
      <c r="Y3251" s="52"/>
      <c r="Z3251" s="52"/>
      <c r="AA3251" s="52"/>
      <c r="AB3251" s="52"/>
      <c r="AC3251" s="52"/>
      <c r="AD3251" s="52"/>
      <c r="AE3251" s="52"/>
      <c r="AF3251" s="52"/>
      <c r="AG3251" s="52"/>
      <c r="AH3251" s="52"/>
      <c r="AI3251" s="52"/>
      <c r="AJ3251" s="52"/>
      <c r="AK3251" s="52"/>
      <c r="AL3251" s="52"/>
      <c r="AM3251" s="52"/>
      <c r="AN3251" s="52"/>
    </row>
    <row r="3252" spans="1:40" x14ac:dyDescent="0.3">
      <c r="A3252" s="52">
        <v>3247</v>
      </c>
      <c r="B3252" s="52">
        <f>-bthan*500+(46+0.5)*bthan*1000/50</f>
        <v>2365</v>
      </c>
      <c r="C3252" s="52">
        <f t="shared" si="303"/>
        <v>490</v>
      </c>
      <c r="D3252" s="52">
        <f t="shared" si="301"/>
        <v>2200</v>
      </c>
      <c r="E3252" s="52">
        <f t="shared" si="302"/>
        <v>1</v>
      </c>
      <c r="F3252" s="52"/>
      <c r="G3252" s="52"/>
      <c r="H3252" s="52"/>
      <c r="I3252" s="52"/>
      <c r="J3252" s="52"/>
      <c r="K3252" s="52"/>
      <c r="L3252" s="52"/>
      <c r="M3252" s="52"/>
      <c r="N3252" s="52"/>
      <c r="O3252" s="52"/>
      <c r="P3252" s="52"/>
      <c r="Q3252" s="52"/>
      <c r="R3252" s="52"/>
      <c r="S3252" s="52"/>
      <c r="T3252" s="52"/>
      <c r="U3252" s="52"/>
      <c r="V3252" s="52"/>
      <c r="W3252" s="52"/>
      <c r="X3252" s="52"/>
      <c r="Y3252" s="52"/>
      <c r="Z3252" s="52"/>
      <c r="AA3252" s="52"/>
      <c r="AB3252" s="52"/>
      <c r="AC3252" s="52"/>
      <c r="AD3252" s="52"/>
      <c r="AE3252" s="52"/>
      <c r="AF3252" s="52"/>
      <c r="AG3252" s="52"/>
      <c r="AH3252" s="52"/>
      <c r="AI3252" s="52"/>
      <c r="AJ3252" s="52"/>
      <c r="AK3252" s="52"/>
      <c r="AL3252" s="52"/>
      <c r="AM3252" s="52"/>
      <c r="AN3252" s="52"/>
    </row>
    <row r="3253" spans="1:40" x14ac:dyDescent="0.3">
      <c r="A3253" s="52">
        <v>3248</v>
      </c>
      <c r="B3253" s="52">
        <f>-bthan*500+(47+0.5)*bthan*1000/50</f>
        <v>2475</v>
      </c>
      <c r="C3253" s="52">
        <f t="shared" si="303"/>
        <v>490</v>
      </c>
      <c r="D3253" s="52">
        <f t="shared" si="301"/>
        <v>2200</v>
      </c>
      <c r="E3253" s="52">
        <f t="shared" si="302"/>
        <v>1</v>
      </c>
      <c r="F3253" s="52"/>
      <c r="G3253" s="52"/>
      <c r="H3253" s="52"/>
      <c r="I3253" s="52"/>
      <c r="J3253" s="52"/>
      <c r="K3253" s="52"/>
      <c r="L3253" s="52"/>
      <c r="M3253" s="52"/>
      <c r="N3253" s="52"/>
      <c r="O3253" s="52"/>
      <c r="P3253" s="52"/>
      <c r="Q3253" s="52"/>
      <c r="R3253" s="52"/>
      <c r="S3253" s="52"/>
      <c r="T3253" s="52"/>
      <c r="U3253" s="52"/>
      <c r="V3253" s="52"/>
      <c r="W3253" s="52"/>
      <c r="X3253" s="52"/>
      <c r="Y3253" s="52"/>
      <c r="Z3253" s="52"/>
      <c r="AA3253" s="52"/>
      <c r="AB3253" s="52"/>
      <c r="AC3253" s="52"/>
      <c r="AD3253" s="52"/>
      <c r="AE3253" s="52"/>
      <c r="AF3253" s="52"/>
      <c r="AG3253" s="52"/>
      <c r="AH3253" s="52"/>
      <c r="AI3253" s="52"/>
      <c r="AJ3253" s="52"/>
      <c r="AK3253" s="52"/>
      <c r="AL3253" s="52"/>
      <c r="AM3253" s="52"/>
      <c r="AN3253" s="52"/>
    </row>
    <row r="3254" spans="1:40" x14ac:dyDescent="0.3">
      <c r="A3254" s="52">
        <v>3249</v>
      </c>
      <c r="B3254" s="52">
        <f>-bthan*500+(48+0.5)*bthan*1000/50</f>
        <v>2585</v>
      </c>
      <c r="C3254" s="52">
        <f t="shared" si="303"/>
        <v>490</v>
      </c>
      <c r="D3254" s="52">
        <f t="shared" si="301"/>
        <v>2200</v>
      </c>
      <c r="E3254" s="52">
        <f t="shared" si="302"/>
        <v>0</v>
      </c>
      <c r="F3254" s="52"/>
      <c r="G3254" s="52"/>
      <c r="H3254" s="52"/>
      <c r="I3254" s="52"/>
      <c r="J3254" s="52"/>
      <c r="K3254" s="52"/>
      <c r="L3254" s="52"/>
      <c r="M3254" s="52"/>
      <c r="N3254" s="52"/>
      <c r="O3254" s="52"/>
      <c r="P3254" s="52"/>
      <c r="Q3254" s="52"/>
      <c r="R3254" s="52"/>
      <c r="S3254" s="52"/>
      <c r="T3254" s="52"/>
      <c r="U3254" s="52"/>
      <c r="V3254" s="52"/>
      <c r="W3254" s="52"/>
      <c r="X3254" s="52"/>
      <c r="Y3254" s="52"/>
      <c r="Z3254" s="52"/>
      <c r="AA3254" s="52"/>
      <c r="AB3254" s="52"/>
      <c r="AC3254" s="52"/>
      <c r="AD3254" s="52"/>
      <c r="AE3254" s="52"/>
      <c r="AF3254" s="52"/>
      <c r="AG3254" s="52"/>
      <c r="AH3254" s="52"/>
      <c r="AI3254" s="52"/>
      <c r="AJ3254" s="52"/>
      <c r="AK3254" s="52"/>
      <c r="AL3254" s="52"/>
      <c r="AM3254" s="52"/>
      <c r="AN3254" s="52"/>
    </row>
    <row r="3255" spans="1:40" x14ac:dyDescent="0.3">
      <c r="A3255" s="52">
        <v>3250</v>
      </c>
      <c r="B3255" s="52">
        <f>-bthan*500+(49+0.5)*bthan*1000/50</f>
        <v>2695</v>
      </c>
      <c r="C3255" s="52">
        <f t="shared" si="303"/>
        <v>490</v>
      </c>
      <c r="D3255" s="52">
        <f t="shared" si="301"/>
        <v>2200</v>
      </c>
      <c r="E3255" s="52">
        <f t="shared" si="302"/>
        <v>0</v>
      </c>
      <c r="F3255" s="52"/>
      <c r="G3255" s="52"/>
      <c r="H3255" s="52"/>
      <c r="I3255" s="52"/>
      <c r="J3255" s="52"/>
      <c r="K3255" s="52"/>
      <c r="L3255" s="52"/>
      <c r="M3255" s="52"/>
      <c r="N3255" s="52"/>
      <c r="O3255" s="52"/>
      <c r="P3255" s="52"/>
      <c r="Q3255" s="52"/>
      <c r="R3255" s="52"/>
      <c r="S3255" s="52"/>
      <c r="T3255" s="52"/>
      <c r="U3255" s="52"/>
      <c r="V3255" s="52"/>
      <c r="W3255" s="52"/>
      <c r="X3255" s="52"/>
      <c r="Y3255" s="52"/>
      <c r="Z3255" s="52"/>
      <c r="AA3255" s="52"/>
      <c r="AB3255" s="52"/>
      <c r="AC3255" s="52"/>
      <c r="AD3255" s="52"/>
      <c r="AE3255" s="52"/>
      <c r="AF3255" s="52"/>
      <c r="AG3255" s="52"/>
      <c r="AH3255" s="52"/>
      <c r="AI3255" s="52"/>
      <c r="AJ3255" s="52"/>
      <c r="AK3255" s="52"/>
      <c r="AL3255" s="52"/>
      <c r="AM3255" s="52"/>
      <c r="AN3255" s="52"/>
    </row>
    <row r="3256" spans="1:40" x14ac:dyDescent="0.3">
      <c r="A3256" s="52">
        <v>3251</v>
      </c>
      <c r="B3256" s="52">
        <f>-bthan*500+(0+0.5)*bthan*1000/50</f>
        <v>-2695</v>
      </c>
      <c r="C3256" s="52">
        <f t="shared" ref="C3256:C3287" si="304">-hthan*500+(65+0.5)*hthan*1000/80</f>
        <v>510.00000000000023</v>
      </c>
      <c r="D3256" s="52">
        <f t="shared" si="301"/>
        <v>2200</v>
      </c>
      <c r="E3256" s="52">
        <f t="shared" si="302"/>
        <v>0</v>
      </c>
      <c r="F3256" s="52"/>
      <c r="G3256" s="52"/>
      <c r="H3256" s="52"/>
      <c r="I3256" s="52"/>
      <c r="J3256" s="52"/>
      <c r="K3256" s="52"/>
      <c r="L3256" s="52"/>
      <c r="M3256" s="52"/>
      <c r="N3256" s="52"/>
      <c r="O3256" s="52"/>
      <c r="P3256" s="52"/>
      <c r="Q3256" s="52"/>
      <c r="R3256" s="52"/>
      <c r="S3256" s="52"/>
      <c r="T3256" s="52"/>
      <c r="U3256" s="52"/>
      <c r="V3256" s="52"/>
      <c r="W3256" s="52"/>
      <c r="X3256" s="52"/>
      <c r="Y3256" s="52"/>
      <c r="Z3256" s="52"/>
      <c r="AA3256" s="52"/>
      <c r="AB3256" s="52"/>
      <c r="AC3256" s="52"/>
      <c r="AD3256" s="52"/>
      <c r="AE3256" s="52"/>
      <c r="AF3256" s="52"/>
      <c r="AG3256" s="52"/>
      <c r="AH3256" s="52"/>
      <c r="AI3256" s="52"/>
      <c r="AJ3256" s="52"/>
      <c r="AK3256" s="52"/>
      <c r="AL3256" s="52"/>
      <c r="AM3256" s="52"/>
      <c r="AN3256" s="52"/>
    </row>
    <row r="3257" spans="1:40" x14ac:dyDescent="0.3">
      <c r="A3257" s="52">
        <v>3252</v>
      </c>
      <c r="B3257" s="52">
        <f>-bthan*500+(1+0.5)*bthan*1000/50</f>
        <v>-2585</v>
      </c>
      <c r="C3257" s="52">
        <f t="shared" si="304"/>
        <v>510.00000000000023</v>
      </c>
      <c r="D3257" s="52">
        <f t="shared" si="301"/>
        <v>2200</v>
      </c>
      <c r="E3257" s="52">
        <f t="shared" si="302"/>
        <v>0</v>
      </c>
      <c r="F3257" s="52"/>
      <c r="G3257" s="52"/>
      <c r="H3257" s="52"/>
      <c r="I3257" s="52"/>
      <c r="J3257" s="52"/>
      <c r="K3257" s="52"/>
      <c r="L3257" s="52"/>
      <c r="M3257" s="52"/>
      <c r="N3257" s="52"/>
      <c r="O3257" s="52"/>
      <c r="P3257" s="52"/>
      <c r="Q3257" s="52"/>
      <c r="R3257" s="52"/>
      <c r="S3257" s="52"/>
      <c r="T3257" s="52"/>
      <c r="U3257" s="52"/>
      <c r="V3257" s="52"/>
      <c r="W3257" s="52"/>
      <c r="X3257" s="52"/>
      <c r="Y3257" s="52"/>
      <c r="Z3257" s="52"/>
      <c r="AA3257" s="52"/>
      <c r="AB3257" s="52"/>
      <c r="AC3257" s="52"/>
      <c r="AD3257" s="52"/>
      <c r="AE3257" s="52"/>
      <c r="AF3257" s="52"/>
      <c r="AG3257" s="52"/>
      <c r="AH3257" s="52"/>
      <c r="AI3257" s="52"/>
      <c r="AJ3257" s="52"/>
      <c r="AK3257" s="52"/>
      <c r="AL3257" s="52"/>
      <c r="AM3257" s="52"/>
      <c r="AN3257" s="52"/>
    </row>
    <row r="3258" spans="1:40" x14ac:dyDescent="0.3">
      <c r="A3258" s="52">
        <v>3253</v>
      </c>
      <c r="B3258" s="52">
        <f>-bthan*500+(2+0.5)*bthan*1000/50</f>
        <v>-2475</v>
      </c>
      <c r="C3258" s="52">
        <f t="shared" si="304"/>
        <v>510.00000000000023</v>
      </c>
      <c r="D3258" s="52">
        <f t="shared" si="301"/>
        <v>2200</v>
      </c>
      <c r="E3258" s="52">
        <f t="shared" si="302"/>
        <v>1</v>
      </c>
      <c r="F3258" s="52"/>
      <c r="G3258" s="52"/>
      <c r="H3258" s="52"/>
      <c r="I3258" s="52"/>
      <c r="J3258" s="52"/>
      <c r="K3258" s="52"/>
      <c r="L3258" s="52"/>
      <c r="M3258" s="52"/>
      <c r="N3258" s="52"/>
      <c r="O3258" s="52"/>
      <c r="P3258" s="52"/>
      <c r="Q3258" s="52"/>
      <c r="R3258" s="52"/>
      <c r="S3258" s="52"/>
      <c r="T3258" s="52"/>
      <c r="U3258" s="52"/>
      <c r="V3258" s="52"/>
      <c r="W3258" s="52"/>
      <c r="X3258" s="52"/>
      <c r="Y3258" s="52"/>
      <c r="Z3258" s="52"/>
      <c r="AA3258" s="52"/>
      <c r="AB3258" s="52"/>
      <c r="AC3258" s="52"/>
      <c r="AD3258" s="52"/>
      <c r="AE3258" s="52"/>
      <c r="AF3258" s="52"/>
      <c r="AG3258" s="52"/>
      <c r="AH3258" s="52"/>
      <c r="AI3258" s="52"/>
      <c r="AJ3258" s="52"/>
      <c r="AK3258" s="52"/>
      <c r="AL3258" s="52"/>
      <c r="AM3258" s="52"/>
      <c r="AN3258" s="52"/>
    </row>
    <row r="3259" spans="1:40" x14ac:dyDescent="0.3">
      <c r="A3259" s="52">
        <v>3254</v>
      </c>
      <c r="B3259" s="52">
        <f>-bthan*500+(3+0.5)*bthan*1000/50</f>
        <v>-2365</v>
      </c>
      <c r="C3259" s="52">
        <f t="shared" si="304"/>
        <v>510.00000000000023</v>
      </c>
      <c r="D3259" s="52">
        <f t="shared" si="301"/>
        <v>2200</v>
      </c>
      <c r="E3259" s="52">
        <f t="shared" si="302"/>
        <v>1</v>
      </c>
      <c r="F3259" s="52"/>
      <c r="G3259" s="52"/>
      <c r="H3259" s="52"/>
      <c r="I3259" s="52"/>
      <c r="J3259" s="52"/>
      <c r="K3259" s="52"/>
      <c r="L3259" s="52"/>
      <c r="M3259" s="52"/>
      <c r="N3259" s="52"/>
      <c r="O3259" s="52"/>
      <c r="P3259" s="52"/>
      <c r="Q3259" s="52"/>
      <c r="R3259" s="52"/>
      <c r="S3259" s="52"/>
      <c r="T3259" s="52"/>
      <c r="U3259" s="52"/>
      <c r="V3259" s="52"/>
      <c r="W3259" s="52"/>
      <c r="X3259" s="52"/>
      <c r="Y3259" s="52"/>
      <c r="Z3259" s="52"/>
      <c r="AA3259" s="52"/>
      <c r="AB3259" s="52"/>
      <c r="AC3259" s="52"/>
      <c r="AD3259" s="52"/>
      <c r="AE3259" s="52"/>
      <c r="AF3259" s="52"/>
      <c r="AG3259" s="52"/>
      <c r="AH3259" s="52"/>
      <c r="AI3259" s="52"/>
      <c r="AJ3259" s="52"/>
      <c r="AK3259" s="52"/>
      <c r="AL3259" s="52"/>
      <c r="AM3259" s="52"/>
      <c r="AN3259" s="52"/>
    </row>
    <row r="3260" spans="1:40" x14ac:dyDescent="0.3">
      <c r="A3260" s="52">
        <v>3255</v>
      </c>
      <c r="B3260" s="52">
        <f>-bthan*500+(4+0.5)*bthan*1000/50</f>
        <v>-2255</v>
      </c>
      <c r="C3260" s="52">
        <f t="shared" si="304"/>
        <v>510.00000000000023</v>
      </c>
      <c r="D3260" s="52">
        <f t="shared" si="301"/>
        <v>2200</v>
      </c>
      <c r="E3260" s="52">
        <f t="shared" si="302"/>
        <v>1</v>
      </c>
      <c r="F3260" s="52"/>
      <c r="G3260" s="52"/>
      <c r="H3260" s="52"/>
      <c r="I3260" s="52"/>
      <c r="J3260" s="52"/>
      <c r="K3260" s="52"/>
      <c r="L3260" s="52"/>
      <c r="M3260" s="52"/>
      <c r="N3260" s="52"/>
      <c r="O3260" s="52"/>
      <c r="P3260" s="52"/>
      <c r="Q3260" s="52"/>
      <c r="R3260" s="52"/>
      <c r="S3260" s="52"/>
      <c r="T3260" s="52"/>
      <c r="U3260" s="52"/>
      <c r="V3260" s="52"/>
      <c r="W3260" s="52"/>
      <c r="X3260" s="52"/>
      <c r="Y3260" s="52"/>
      <c r="Z3260" s="52"/>
      <c r="AA3260" s="52"/>
      <c r="AB3260" s="52"/>
      <c r="AC3260" s="52"/>
      <c r="AD3260" s="52"/>
      <c r="AE3260" s="52"/>
      <c r="AF3260" s="52"/>
      <c r="AG3260" s="52"/>
      <c r="AH3260" s="52"/>
      <c r="AI3260" s="52"/>
      <c r="AJ3260" s="52"/>
      <c r="AK3260" s="52"/>
      <c r="AL3260" s="52"/>
      <c r="AM3260" s="52"/>
      <c r="AN3260" s="52"/>
    </row>
    <row r="3261" spans="1:40" x14ac:dyDescent="0.3">
      <c r="A3261" s="52">
        <v>3256</v>
      </c>
      <c r="B3261" s="52">
        <f>-bthan*500+(5+0.5)*bthan*1000/50</f>
        <v>-2145</v>
      </c>
      <c r="C3261" s="52">
        <f t="shared" si="304"/>
        <v>510.00000000000023</v>
      </c>
      <c r="D3261" s="52">
        <f t="shared" si="301"/>
        <v>2200</v>
      </c>
      <c r="E3261" s="52">
        <f t="shared" si="302"/>
        <v>1</v>
      </c>
      <c r="F3261" s="52"/>
      <c r="G3261" s="52"/>
      <c r="H3261" s="52"/>
      <c r="I3261" s="52"/>
      <c r="J3261" s="52"/>
      <c r="K3261" s="52"/>
      <c r="L3261" s="52"/>
      <c r="M3261" s="52"/>
      <c r="N3261" s="52"/>
      <c r="O3261" s="52"/>
      <c r="P3261" s="52"/>
      <c r="Q3261" s="52"/>
      <c r="R3261" s="52"/>
      <c r="S3261" s="52"/>
      <c r="T3261" s="52"/>
      <c r="U3261" s="52"/>
      <c r="V3261" s="52"/>
      <c r="W3261" s="52"/>
      <c r="X3261" s="52"/>
      <c r="Y3261" s="52"/>
      <c r="Z3261" s="52"/>
      <c r="AA3261" s="52"/>
      <c r="AB3261" s="52"/>
      <c r="AC3261" s="52"/>
      <c r="AD3261" s="52"/>
      <c r="AE3261" s="52"/>
      <c r="AF3261" s="52"/>
      <c r="AG3261" s="52"/>
      <c r="AH3261" s="52"/>
      <c r="AI3261" s="52"/>
      <c r="AJ3261" s="52"/>
      <c r="AK3261" s="52"/>
      <c r="AL3261" s="52"/>
      <c r="AM3261" s="52"/>
      <c r="AN3261" s="52"/>
    </row>
    <row r="3262" spans="1:40" x14ac:dyDescent="0.3">
      <c r="A3262" s="52">
        <v>3257</v>
      </c>
      <c r="B3262" s="52">
        <f>-bthan*500+(6+0.5)*bthan*1000/50</f>
        <v>-2035</v>
      </c>
      <c r="C3262" s="52">
        <f t="shared" si="304"/>
        <v>510.00000000000023</v>
      </c>
      <c r="D3262" s="52">
        <f t="shared" si="301"/>
        <v>2200</v>
      </c>
      <c r="E3262" s="52">
        <f t="shared" si="302"/>
        <v>1</v>
      </c>
      <c r="F3262" s="52"/>
      <c r="G3262" s="52"/>
      <c r="H3262" s="52"/>
      <c r="I3262" s="52"/>
      <c r="J3262" s="52"/>
      <c r="K3262" s="52"/>
      <c r="L3262" s="52"/>
      <c r="M3262" s="52"/>
      <c r="N3262" s="52"/>
      <c r="O3262" s="52"/>
      <c r="P3262" s="52"/>
      <c r="Q3262" s="52"/>
      <c r="R3262" s="52"/>
      <c r="S3262" s="52"/>
      <c r="T3262" s="52"/>
      <c r="U3262" s="52"/>
      <c r="V3262" s="52"/>
      <c r="W3262" s="52"/>
      <c r="X3262" s="52"/>
      <c r="Y3262" s="52"/>
      <c r="Z3262" s="52"/>
      <c r="AA3262" s="52"/>
      <c r="AB3262" s="52"/>
      <c r="AC3262" s="52"/>
      <c r="AD3262" s="52"/>
      <c r="AE3262" s="52"/>
      <c r="AF3262" s="52"/>
      <c r="AG3262" s="52"/>
      <c r="AH3262" s="52"/>
      <c r="AI3262" s="52"/>
      <c r="AJ3262" s="52"/>
      <c r="AK3262" s="52"/>
      <c r="AL3262" s="52"/>
      <c r="AM3262" s="52"/>
      <c r="AN3262" s="52"/>
    </row>
    <row r="3263" spans="1:40" x14ac:dyDescent="0.3">
      <c r="A3263" s="52">
        <v>3258</v>
      </c>
      <c r="B3263" s="52">
        <f>-bthan*500+(7+0.5)*bthan*1000/50</f>
        <v>-1925</v>
      </c>
      <c r="C3263" s="52">
        <f t="shared" si="304"/>
        <v>510.00000000000023</v>
      </c>
      <c r="D3263" s="52">
        <f t="shared" si="301"/>
        <v>2200</v>
      </c>
      <c r="E3263" s="52">
        <f t="shared" si="302"/>
        <v>1</v>
      </c>
      <c r="F3263" s="52"/>
      <c r="G3263" s="52"/>
      <c r="H3263" s="52"/>
      <c r="I3263" s="52"/>
      <c r="J3263" s="52"/>
      <c r="K3263" s="52"/>
      <c r="L3263" s="52"/>
      <c r="M3263" s="52"/>
      <c r="N3263" s="52"/>
      <c r="O3263" s="52"/>
      <c r="P3263" s="52"/>
      <c r="Q3263" s="52"/>
      <c r="R3263" s="52"/>
      <c r="S3263" s="52"/>
      <c r="T3263" s="52"/>
      <c r="U3263" s="52"/>
      <c r="V3263" s="52"/>
      <c r="W3263" s="52"/>
      <c r="X3263" s="52"/>
      <c r="Y3263" s="52"/>
      <c r="Z3263" s="52"/>
      <c r="AA3263" s="52"/>
      <c r="AB3263" s="52"/>
      <c r="AC3263" s="52"/>
      <c r="AD3263" s="52"/>
      <c r="AE3263" s="52"/>
      <c r="AF3263" s="52"/>
      <c r="AG3263" s="52"/>
      <c r="AH3263" s="52"/>
      <c r="AI3263" s="52"/>
      <c r="AJ3263" s="52"/>
      <c r="AK3263" s="52"/>
      <c r="AL3263" s="52"/>
      <c r="AM3263" s="52"/>
      <c r="AN3263" s="52"/>
    </row>
    <row r="3264" spans="1:40" x14ac:dyDescent="0.3">
      <c r="A3264" s="52">
        <v>3259</v>
      </c>
      <c r="B3264" s="52">
        <f>-bthan*500+(8+0.5)*bthan*1000/50</f>
        <v>-1815</v>
      </c>
      <c r="C3264" s="52">
        <f t="shared" si="304"/>
        <v>510.00000000000023</v>
      </c>
      <c r="D3264" s="52">
        <f t="shared" si="301"/>
        <v>2200</v>
      </c>
      <c r="E3264" s="52">
        <f t="shared" si="302"/>
        <v>1</v>
      </c>
      <c r="F3264" s="52"/>
      <c r="G3264" s="52"/>
      <c r="H3264" s="52"/>
      <c r="I3264" s="52"/>
      <c r="J3264" s="52"/>
      <c r="K3264" s="52"/>
      <c r="L3264" s="52"/>
      <c r="M3264" s="52"/>
      <c r="N3264" s="52"/>
      <c r="O3264" s="52"/>
      <c r="P3264" s="52"/>
      <c r="Q3264" s="52"/>
      <c r="R3264" s="52"/>
      <c r="S3264" s="52"/>
      <c r="T3264" s="52"/>
      <c r="U3264" s="52"/>
      <c r="V3264" s="52"/>
      <c r="W3264" s="52"/>
      <c r="X3264" s="52"/>
      <c r="Y3264" s="52"/>
      <c r="Z3264" s="52"/>
      <c r="AA3264" s="52"/>
      <c r="AB3264" s="52"/>
      <c r="AC3264" s="52"/>
      <c r="AD3264" s="52"/>
      <c r="AE3264" s="52"/>
      <c r="AF3264" s="52"/>
      <c r="AG3264" s="52"/>
      <c r="AH3264" s="52"/>
      <c r="AI3264" s="52"/>
      <c r="AJ3264" s="52"/>
      <c r="AK3264" s="52"/>
      <c r="AL3264" s="52"/>
      <c r="AM3264" s="52"/>
      <c r="AN3264" s="52"/>
    </row>
    <row r="3265" spans="1:40" x14ac:dyDescent="0.3">
      <c r="A3265" s="52">
        <v>3260</v>
      </c>
      <c r="B3265" s="52">
        <f>-bthan*500+(9+0.5)*bthan*1000/50</f>
        <v>-1705</v>
      </c>
      <c r="C3265" s="52">
        <f t="shared" si="304"/>
        <v>510.00000000000023</v>
      </c>
      <c r="D3265" s="52">
        <f t="shared" si="301"/>
        <v>2200</v>
      </c>
      <c r="E3265" s="52">
        <f t="shared" si="302"/>
        <v>1</v>
      </c>
      <c r="F3265" s="52"/>
      <c r="G3265" s="52"/>
      <c r="H3265" s="52"/>
      <c r="I3265" s="52"/>
      <c r="J3265" s="52"/>
      <c r="K3265" s="52"/>
      <c r="L3265" s="52"/>
      <c r="M3265" s="52"/>
      <c r="N3265" s="52"/>
      <c r="O3265" s="52"/>
      <c r="P3265" s="52"/>
      <c r="Q3265" s="52"/>
      <c r="R3265" s="52"/>
      <c r="S3265" s="52"/>
      <c r="T3265" s="52"/>
      <c r="U3265" s="52"/>
      <c r="V3265" s="52"/>
      <c r="W3265" s="52"/>
      <c r="X3265" s="52"/>
      <c r="Y3265" s="52"/>
      <c r="Z3265" s="52"/>
      <c r="AA3265" s="52"/>
      <c r="AB3265" s="52"/>
      <c r="AC3265" s="52"/>
      <c r="AD3265" s="52"/>
      <c r="AE3265" s="52"/>
      <c r="AF3265" s="52"/>
      <c r="AG3265" s="52"/>
      <c r="AH3265" s="52"/>
      <c r="AI3265" s="52"/>
      <c r="AJ3265" s="52"/>
      <c r="AK3265" s="52"/>
      <c r="AL3265" s="52"/>
      <c r="AM3265" s="52"/>
      <c r="AN3265" s="52"/>
    </row>
    <row r="3266" spans="1:40" x14ac:dyDescent="0.3">
      <c r="A3266" s="52">
        <v>3261</v>
      </c>
      <c r="B3266" s="52">
        <f>-bthan*500+(10+0.5)*bthan*1000/50</f>
        <v>-1595</v>
      </c>
      <c r="C3266" s="52">
        <f t="shared" si="304"/>
        <v>510.00000000000023</v>
      </c>
      <c r="D3266" s="52">
        <f t="shared" si="301"/>
        <v>2200</v>
      </c>
      <c r="E3266" s="52">
        <f t="shared" si="302"/>
        <v>1</v>
      </c>
      <c r="F3266" s="52"/>
      <c r="G3266" s="52"/>
      <c r="H3266" s="52"/>
      <c r="I3266" s="52"/>
      <c r="J3266" s="52"/>
      <c r="K3266" s="52"/>
      <c r="L3266" s="52"/>
      <c r="M3266" s="52"/>
      <c r="N3266" s="52"/>
      <c r="O3266" s="52"/>
      <c r="P3266" s="52"/>
      <c r="Q3266" s="52"/>
      <c r="R3266" s="52"/>
      <c r="S3266" s="52"/>
      <c r="T3266" s="52"/>
      <c r="U3266" s="52"/>
      <c r="V3266" s="52"/>
      <c r="W3266" s="52"/>
      <c r="X3266" s="52"/>
      <c r="Y3266" s="52"/>
      <c r="Z3266" s="52"/>
      <c r="AA3266" s="52"/>
      <c r="AB3266" s="52"/>
      <c r="AC3266" s="52"/>
      <c r="AD3266" s="52"/>
      <c r="AE3266" s="52"/>
      <c r="AF3266" s="52"/>
      <c r="AG3266" s="52"/>
      <c r="AH3266" s="52"/>
      <c r="AI3266" s="52"/>
      <c r="AJ3266" s="52"/>
      <c r="AK3266" s="52"/>
      <c r="AL3266" s="52"/>
      <c r="AM3266" s="52"/>
      <c r="AN3266" s="52"/>
    </row>
    <row r="3267" spans="1:40" x14ac:dyDescent="0.3">
      <c r="A3267" s="52">
        <v>3262</v>
      </c>
      <c r="B3267" s="52">
        <f>-bthan*500+(11+0.5)*bthan*1000/50</f>
        <v>-1485</v>
      </c>
      <c r="C3267" s="52">
        <f t="shared" si="304"/>
        <v>510.00000000000023</v>
      </c>
      <c r="D3267" s="52">
        <f t="shared" si="301"/>
        <v>2200</v>
      </c>
      <c r="E3267" s="52">
        <f t="shared" si="302"/>
        <v>1</v>
      </c>
      <c r="F3267" s="52"/>
      <c r="G3267" s="52"/>
      <c r="H3267" s="52"/>
      <c r="I3267" s="52"/>
      <c r="J3267" s="52"/>
      <c r="K3267" s="52"/>
      <c r="L3267" s="52"/>
      <c r="M3267" s="52"/>
      <c r="N3267" s="52"/>
      <c r="O3267" s="52"/>
      <c r="P3267" s="52"/>
      <c r="Q3267" s="52"/>
      <c r="R3267" s="52"/>
      <c r="S3267" s="52"/>
      <c r="T3267" s="52"/>
      <c r="U3267" s="52"/>
      <c r="V3267" s="52"/>
      <c r="W3267" s="52"/>
      <c r="X3267" s="52"/>
      <c r="Y3267" s="52"/>
      <c r="Z3267" s="52"/>
      <c r="AA3267" s="52"/>
      <c r="AB3267" s="52"/>
      <c r="AC3267" s="52"/>
      <c r="AD3267" s="52"/>
      <c r="AE3267" s="52"/>
      <c r="AF3267" s="52"/>
      <c r="AG3267" s="52"/>
      <c r="AH3267" s="52"/>
      <c r="AI3267" s="52"/>
      <c r="AJ3267" s="52"/>
      <c r="AK3267" s="52"/>
      <c r="AL3267" s="52"/>
      <c r="AM3267" s="52"/>
      <c r="AN3267" s="52"/>
    </row>
    <row r="3268" spans="1:40" x14ac:dyDescent="0.3">
      <c r="A3268" s="52">
        <v>3263</v>
      </c>
      <c r="B3268" s="52">
        <f>-bthan*500+(12+0.5)*bthan*1000/50</f>
        <v>-1375</v>
      </c>
      <c r="C3268" s="52">
        <f t="shared" si="304"/>
        <v>510.00000000000023</v>
      </c>
      <c r="D3268" s="52">
        <f t="shared" si="301"/>
        <v>2200</v>
      </c>
      <c r="E3268" s="52">
        <f t="shared" si="302"/>
        <v>1</v>
      </c>
      <c r="F3268" s="52"/>
      <c r="G3268" s="52"/>
      <c r="H3268" s="52"/>
      <c r="I3268" s="52"/>
      <c r="J3268" s="52"/>
      <c r="K3268" s="52"/>
      <c r="L3268" s="52"/>
      <c r="M3268" s="52"/>
      <c r="N3268" s="52"/>
      <c r="O3268" s="52"/>
      <c r="P3268" s="52"/>
      <c r="Q3268" s="52"/>
      <c r="R3268" s="52"/>
      <c r="S3268" s="52"/>
      <c r="T3268" s="52"/>
      <c r="U3268" s="52"/>
      <c r="V3268" s="52"/>
      <c r="W3268" s="52"/>
      <c r="X3268" s="52"/>
      <c r="Y3268" s="52"/>
      <c r="Z3268" s="52"/>
      <c r="AA3268" s="52"/>
      <c r="AB3268" s="52"/>
      <c r="AC3268" s="52"/>
      <c r="AD3268" s="52"/>
      <c r="AE3268" s="52"/>
      <c r="AF3268" s="52"/>
      <c r="AG3268" s="52"/>
      <c r="AH3268" s="52"/>
      <c r="AI3268" s="52"/>
      <c r="AJ3268" s="52"/>
      <c r="AK3268" s="52"/>
      <c r="AL3268" s="52"/>
      <c r="AM3268" s="52"/>
      <c r="AN3268" s="52"/>
    </row>
    <row r="3269" spans="1:40" x14ac:dyDescent="0.3">
      <c r="A3269" s="52">
        <v>3264</v>
      </c>
      <c r="B3269" s="52">
        <f>-bthan*500+(13+0.5)*bthan*1000/50</f>
        <v>-1265</v>
      </c>
      <c r="C3269" s="52">
        <f t="shared" si="304"/>
        <v>510.00000000000023</v>
      </c>
      <c r="D3269" s="52">
        <f t="shared" si="301"/>
        <v>2200</v>
      </c>
      <c r="E3269" s="52">
        <f t="shared" si="302"/>
        <v>1</v>
      </c>
      <c r="F3269" s="52"/>
      <c r="G3269" s="52"/>
      <c r="H3269" s="52"/>
      <c r="I3269" s="52"/>
      <c r="J3269" s="52"/>
      <c r="K3269" s="52"/>
      <c r="L3269" s="52"/>
      <c r="M3269" s="52"/>
      <c r="N3269" s="52"/>
      <c r="O3269" s="52"/>
      <c r="P3269" s="52"/>
      <c r="Q3269" s="52"/>
      <c r="R3269" s="52"/>
      <c r="S3269" s="52"/>
      <c r="T3269" s="52"/>
      <c r="U3269" s="52"/>
      <c r="V3269" s="52"/>
      <c r="W3269" s="52"/>
      <c r="X3269" s="52"/>
      <c r="Y3269" s="52"/>
      <c r="Z3269" s="52"/>
      <c r="AA3269" s="52"/>
      <c r="AB3269" s="52"/>
      <c r="AC3269" s="52"/>
      <c r="AD3269" s="52"/>
      <c r="AE3269" s="52"/>
      <c r="AF3269" s="52"/>
      <c r="AG3269" s="52"/>
      <c r="AH3269" s="52"/>
      <c r="AI3269" s="52"/>
      <c r="AJ3269" s="52"/>
      <c r="AK3269" s="52"/>
      <c r="AL3269" s="52"/>
      <c r="AM3269" s="52"/>
      <c r="AN3269" s="52"/>
    </row>
    <row r="3270" spans="1:40" x14ac:dyDescent="0.3">
      <c r="A3270" s="52">
        <v>3265</v>
      </c>
      <c r="B3270" s="52">
        <f>-bthan*500+(14+0.5)*bthan*1000/50</f>
        <v>-1155</v>
      </c>
      <c r="C3270" s="52">
        <f t="shared" si="304"/>
        <v>510.00000000000023</v>
      </c>
      <c r="D3270" s="52">
        <f t="shared" ref="D3270:D3333" si="305">bthan*1000/50*hthan*1000/80</f>
        <v>2200</v>
      </c>
      <c r="E3270" s="52">
        <f t="shared" ref="E3270:E3333" si="306">IF(shp=1,--(OR(ABS(B3270)&lt;=MAX(0,(bthan-hthan)*500),(ABS(B3270)-MAX(0,(bthan-hthan)*500))^2+C3270^2&lt;=(hthan*500)^2)),--(AND(ABS(B3270)&lt;=bthan*500,ABS(C3270)&lt;=hthan*500,OR(ABS(B3270)&lt;=bthan*500-cch*1000,ABS(C3270)&lt;=hthan*500-cch*1000,(bthan*500-ABS(B3270))+(hthan*500-ABS(C3270))&gt;=cch*1000))))</f>
        <v>1</v>
      </c>
      <c r="F3270" s="52"/>
      <c r="G3270" s="52"/>
      <c r="H3270" s="52"/>
      <c r="I3270" s="52"/>
      <c r="J3270" s="52"/>
      <c r="K3270" s="52"/>
      <c r="L3270" s="52"/>
      <c r="M3270" s="52"/>
      <c r="N3270" s="52"/>
      <c r="O3270" s="52"/>
      <c r="P3270" s="52"/>
      <c r="Q3270" s="52"/>
      <c r="R3270" s="52"/>
      <c r="S3270" s="52"/>
      <c r="T3270" s="52"/>
      <c r="U3270" s="52"/>
      <c r="V3270" s="52"/>
      <c r="W3270" s="52"/>
      <c r="X3270" s="52"/>
      <c r="Y3270" s="52"/>
      <c r="Z3270" s="52"/>
      <c r="AA3270" s="52"/>
      <c r="AB3270" s="52"/>
      <c r="AC3270" s="52"/>
      <c r="AD3270" s="52"/>
      <c r="AE3270" s="52"/>
      <c r="AF3270" s="52"/>
      <c r="AG3270" s="52"/>
      <c r="AH3270" s="52"/>
      <c r="AI3270" s="52"/>
      <c r="AJ3270" s="52"/>
      <c r="AK3270" s="52"/>
      <c r="AL3270" s="52"/>
      <c r="AM3270" s="52"/>
      <c r="AN3270" s="52"/>
    </row>
    <row r="3271" spans="1:40" x14ac:dyDescent="0.3">
      <c r="A3271" s="52">
        <v>3266</v>
      </c>
      <c r="B3271" s="52">
        <f>-bthan*500+(15+0.5)*bthan*1000/50</f>
        <v>-1045</v>
      </c>
      <c r="C3271" s="52">
        <f t="shared" si="304"/>
        <v>510.00000000000023</v>
      </c>
      <c r="D3271" s="52">
        <f t="shared" si="305"/>
        <v>2200</v>
      </c>
      <c r="E3271" s="52">
        <f t="shared" si="306"/>
        <v>1</v>
      </c>
      <c r="F3271" s="52"/>
      <c r="G3271" s="52"/>
      <c r="H3271" s="52"/>
      <c r="I3271" s="52"/>
      <c r="J3271" s="52"/>
      <c r="K3271" s="52"/>
      <c r="L3271" s="52"/>
      <c r="M3271" s="52"/>
      <c r="N3271" s="52"/>
      <c r="O3271" s="52"/>
      <c r="P3271" s="52"/>
      <c r="Q3271" s="52"/>
      <c r="R3271" s="52"/>
      <c r="S3271" s="52"/>
      <c r="T3271" s="52"/>
      <c r="U3271" s="52"/>
      <c r="V3271" s="52"/>
      <c r="W3271" s="52"/>
      <c r="X3271" s="52"/>
      <c r="Y3271" s="52"/>
      <c r="Z3271" s="52"/>
      <c r="AA3271" s="52"/>
      <c r="AB3271" s="52"/>
      <c r="AC3271" s="52"/>
      <c r="AD3271" s="52"/>
      <c r="AE3271" s="52"/>
      <c r="AF3271" s="52"/>
      <c r="AG3271" s="52"/>
      <c r="AH3271" s="52"/>
      <c r="AI3271" s="52"/>
      <c r="AJ3271" s="52"/>
      <c r="AK3271" s="52"/>
      <c r="AL3271" s="52"/>
      <c r="AM3271" s="52"/>
      <c r="AN3271" s="52"/>
    </row>
    <row r="3272" spans="1:40" x14ac:dyDescent="0.3">
      <c r="A3272" s="52">
        <v>3267</v>
      </c>
      <c r="B3272" s="52">
        <f>-bthan*500+(16+0.5)*bthan*1000/50</f>
        <v>-935</v>
      </c>
      <c r="C3272" s="52">
        <f t="shared" si="304"/>
        <v>510.00000000000023</v>
      </c>
      <c r="D3272" s="52">
        <f t="shared" si="305"/>
        <v>2200</v>
      </c>
      <c r="E3272" s="52">
        <f t="shared" si="306"/>
        <v>1</v>
      </c>
      <c r="F3272" s="52"/>
      <c r="G3272" s="52"/>
      <c r="H3272" s="52"/>
      <c r="I3272" s="52"/>
      <c r="J3272" s="52"/>
      <c r="K3272" s="52"/>
      <c r="L3272" s="52"/>
      <c r="M3272" s="52"/>
      <c r="N3272" s="52"/>
      <c r="O3272" s="52"/>
      <c r="P3272" s="52"/>
      <c r="Q3272" s="52"/>
      <c r="R3272" s="52"/>
      <c r="S3272" s="52"/>
      <c r="T3272" s="52"/>
      <c r="U3272" s="52"/>
      <c r="V3272" s="52"/>
      <c r="W3272" s="52"/>
      <c r="X3272" s="52"/>
      <c r="Y3272" s="52"/>
      <c r="Z3272" s="52"/>
      <c r="AA3272" s="52"/>
      <c r="AB3272" s="52"/>
      <c r="AC3272" s="52"/>
      <c r="AD3272" s="52"/>
      <c r="AE3272" s="52"/>
      <c r="AF3272" s="52"/>
      <c r="AG3272" s="52"/>
      <c r="AH3272" s="52"/>
      <c r="AI3272" s="52"/>
      <c r="AJ3272" s="52"/>
      <c r="AK3272" s="52"/>
      <c r="AL3272" s="52"/>
      <c r="AM3272" s="52"/>
      <c r="AN3272" s="52"/>
    </row>
    <row r="3273" spans="1:40" x14ac:dyDescent="0.3">
      <c r="A3273" s="52">
        <v>3268</v>
      </c>
      <c r="B3273" s="52">
        <f>-bthan*500+(17+0.5)*bthan*1000/50</f>
        <v>-825</v>
      </c>
      <c r="C3273" s="52">
        <f t="shared" si="304"/>
        <v>510.00000000000023</v>
      </c>
      <c r="D3273" s="52">
        <f t="shared" si="305"/>
        <v>2200</v>
      </c>
      <c r="E3273" s="52">
        <f t="shared" si="306"/>
        <v>1</v>
      </c>
      <c r="F3273" s="52"/>
      <c r="G3273" s="52"/>
      <c r="H3273" s="52"/>
      <c r="I3273" s="52"/>
      <c r="J3273" s="52"/>
      <c r="K3273" s="52"/>
      <c r="L3273" s="52"/>
      <c r="M3273" s="52"/>
      <c r="N3273" s="52"/>
      <c r="O3273" s="52"/>
      <c r="P3273" s="52"/>
      <c r="Q3273" s="52"/>
      <c r="R3273" s="52"/>
      <c r="S3273" s="52"/>
      <c r="T3273" s="52"/>
      <c r="U3273" s="52"/>
      <c r="V3273" s="52"/>
      <c r="W3273" s="52"/>
      <c r="X3273" s="52"/>
      <c r="Y3273" s="52"/>
      <c r="Z3273" s="52"/>
      <c r="AA3273" s="52"/>
      <c r="AB3273" s="52"/>
      <c r="AC3273" s="52"/>
      <c r="AD3273" s="52"/>
      <c r="AE3273" s="52"/>
      <c r="AF3273" s="52"/>
      <c r="AG3273" s="52"/>
      <c r="AH3273" s="52"/>
      <c r="AI3273" s="52"/>
      <c r="AJ3273" s="52"/>
      <c r="AK3273" s="52"/>
      <c r="AL3273" s="52"/>
      <c r="AM3273" s="52"/>
      <c r="AN3273" s="52"/>
    </row>
    <row r="3274" spans="1:40" x14ac:dyDescent="0.3">
      <c r="A3274" s="52">
        <v>3269</v>
      </c>
      <c r="B3274" s="52">
        <f>-bthan*500+(18+0.5)*bthan*1000/50</f>
        <v>-715</v>
      </c>
      <c r="C3274" s="52">
        <f t="shared" si="304"/>
        <v>510.00000000000023</v>
      </c>
      <c r="D3274" s="52">
        <f t="shared" si="305"/>
        <v>2200</v>
      </c>
      <c r="E3274" s="52">
        <f t="shared" si="306"/>
        <v>1</v>
      </c>
      <c r="F3274" s="52"/>
      <c r="G3274" s="52"/>
      <c r="H3274" s="52"/>
      <c r="I3274" s="52"/>
      <c r="J3274" s="52"/>
      <c r="K3274" s="52"/>
      <c r="L3274" s="52"/>
      <c r="M3274" s="52"/>
      <c r="N3274" s="52"/>
      <c r="O3274" s="52"/>
      <c r="P3274" s="52"/>
      <c r="Q3274" s="52"/>
      <c r="R3274" s="52"/>
      <c r="S3274" s="52"/>
      <c r="T3274" s="52"/>
      <c r="U3274" s="52"/>
      <c r="V3274" s="52"/>
      <c r="W3274" s="52"/>
      <c r="X3274" s="52"/>
      <c r="Y3274" s="52"/>
      <c r="Z3274" s="52"/>
      <c r="AA3274" s="52"/>
      <c r="AB3274" s="52"/>
      <c r="AC3274" s="52"/>
      <c r="AD3274" s="52"/>
      <c r="AE3274" s="52"/>
      <c r="AF3274" s="52"/>
      <c r="AG3274" s="52"/>
      <c r="AH3274" s="52"/>
      <c r="AI3274" s="52"/>
      <c r="AJ3274" s="52"/>
      <c r="AK3274" s="52"/>
      <c r="AL3274" s="52"/>
      <c r="AM3274" s="52"/>
      <c r="AN3274" s="52"/>
    </row>
    <row r="3275" spans="1:40" x14ac:dyDescent="0.3">
      <c r="A3275" s="52">
        <v>3270</v>
      </c>
      <c r="B3275" s="52">
        <f>-bthan*500+(19+0.5)*bthan*1000/50</f>
        <v>-605</v>
      </c>
      <c r="C3275" s="52">
        <f t="shared" si="304"/>
        <v>510.00000000000023</v>
      </c>
      <c r="D3275" s="52">
        <f t="shared" si="305"/>
        <v>2200</v>
      </c>
      <c r="E3275" s="52">
        <f t="shared" si="306"/>
        <v>1</v>
      </c>
      <c r="F3275" s="52"/>
      <c r="G3275" s="52"/>
      <c r="H3275" s="52"/>
      <c r="I3275" s="52"/>
      <c r="J3275" s="52"/>
      <c r="K3275" s="52"/>
      <c r="L3275" s="52"/>
      <c r="M3275" s="52"/>
      <c r="N3275" s="52"/>
      <c r="O3275" s="52"/>
      <c r="P3275" s="52"/>
      <c r="Q3275" s="52"/>
      <c r="R3275" s="52"/>
      <c r="S3275" s="52"/>
      <c r="T3275" s="52"/>
      <c r="U3275" s="52"/>
      <c r="V3275" s="52"/>
      <c r="W3275" s="52"/>
      <c r="X3275" s="52"/>
      <c r="Y3275" s="52"/>
      <c r="Z3275" s="52"/>
      <c r="AA3275" s="52"/>
      <c r="AB3275" s="52"/>
      <c r="AC3275" s="52"/>
      <c r="AD3275" s="52"/>
      <c r="AE3275" s="52"/>
      <c r="AF3275" s="52"/>
      <c r="AG3275" s="52"/>
      <c r="AH3275" s="52"/>
      <c r="AI3275" s="52"/>
      <c r="AJ3275" s="52"/>
      <c r="AK3275" s="52"/>
      <c r="AL3275" s="52"/>
      <c r="AM3275" s="52"/>
      <c r="AN3275" s="52"/>
    </row>
    <row r="3276" spans="1:40" x14ac:dyDescent="0.3">
      <c r="A3276" s="52">
        <v>3271</v>
      </c>
      <c r="B3276" s="52">
        <f>-bthan*500+(20+0.5)*bthan*1000/50</f>
        <v>-495</v>
      </c>
      <c r="C3276" s="52">
        <f t="shared" si="304"/>
        <v>510.00000000000023</v>
      </c>
      <c r="D3276" s="52">
        <f t="shared" si="305"/>
        <v>2200</v>
      </c>
      <c r="E3276" s="52">
        <f t="shared" si="306"/>
        <v>1</v>
      </c>
      <c r="F3276" s="52"/>
      <c r="G3276" s="52"/>
      <c r="H3276" s="52"/>
      <c r="I3276" s="52"/>
      <c r="J3276" s="52"/>
      <c r="K3276" s="52"/>
      <c r="L3276" s="52"/>
      <c r="M3276" s="52"/>
      <c r="N3276" s="52"/>
      <c r="O3276" s="52"/>
      <c r="P3276" s="52"/>
      <c r="Q3276" s="52"/>
      <c r="R3276" s="52"/>
      <c r="S3276" s="52"/>
      <c r="T3276" s="52"/>
      <c r="U3276" s="52"/>
      <c r="V3276" s="52"/>
      <c r="W3276" s="52"/>
      <c r="X3276" s="52"/>
      <c r="Y3276" s="52"/>
      <c r="Z3276" s="52"/>
      <c r="AA3276" s="52"/>
      <c r="AB3276" s="52"/>
      <c r="AC3276" s="52"/>
      <c r="AD3276" s="52"/>
      <c r="AE3276" s="52"/>
      <c r="AF3276" s="52"/>
      <c r="AG3276" s="52"/>
      <c r="AH3276" s="52"/>
      <c r="AI3276" s="52"/>
      <c r="AJ3276" s="52"/>
      <c r="AK3276" s="52"/>
      <c r="AL3276" s="52"/>
      <c r="AM3276" s="52"/>
      <c r="AN3276" s="52"/>
    </row>
    <row r="3277" spans="1:40" x14ac:dyDescent="0.3">
      <c r="A3277" s="52">
        <v>3272</v>
      </c>
      <c r="B3277" s="52">
        <f>-bthan*500+(21+0.5)*bthan*1000/50</f>
        <v>-385</v>
      </c>
      <c r="C3277" s="52">
        <f t="shared" si="304"/>
        <v>510.00000000000023</v>
      </c>
      <c r="D3277" s="52">
        <f t="shared" si="305"/>
        <v>2200</v>
      </c>
      <c r="E3277" s="52">
        <f t="shared" si="306"/>
        <v>1</v>
      </c>
      <c r="F3277" s="52"/>
      <c r="G3277" s="52"/>
      <c r="H3277" s="52"/>
      <c r="I3277" s="52"/>
      <c r="J3277" s="52"/>
      <c r="K3277" s="52"/>
      <c r="L3277" s="52"/>
      <c r="M3277" s="52"/>
      <c r="N3277" s="52"/>
      <c r="O3277" s="52"/>
      <c r="P3277" s="52"/>
      <c r="Q3277" s="52"/>
      <c r="R3277" s="52"/>
      <c r="S3277" s="52"/>
      <c r="T3277" s="52"/>
      <c r="U3277" s="52"/>
      <c r="V3277" s="52"/>
      <c r="W3277" s="52"/>
      <c r="X3277" s="52"/>
      <c r="Y3277" s="52"/>
      <c r="Z3277" s="52"/>
      <c r="AA3277" s="52"/>
      <c r="AB3277" s="52"/>
      <c r="AC3277" s="52"/>
      <c r="AD3277" s="52"/>
      <c r="AE3277" s="52"/>
      <c r="AF3277" s="52"/>
      <c r="AG3277" s="52"/>
      <c r="AH3277" s="52"/>
      <c r="AI3277" s="52"/>
      <c r="AJ3277" s="52"/>
      <c r="AK3277" s="52"/>
      <c r="AL3277" s="52"/>
      <c r="AM3277" s="52"/>
      <c r="AN3277" s="52"/>
    </row>
    <row r="3278" spans="1:40" x14ac:dyDescent="0.3">
      <c r="A3278" s="52">
        <v>3273</v>
      </c>
      <c r="B3278" s="52">
        <f>-bthan*500+(22+0.5)*bthan*1000/50</f>
        <v>-275</v>
      </c>
      <c r="C3278" s="52">
        <f t="shared" si="304"/>
        <v>510.00000000000023</v>
      </c>
      <c r="D3278" s="52">
        <f t="shared" si="305"/>
        <v>2200</v>
      </c>
      <c r="E3278" s="52">
        <f t="shared" si="306"/>
        <v>1</v>
      </c>
      <c r="F3278" s="52"/>
      <c r="G3278" s="52"/>
      <c r="H3278" s="52"/>
      <c r="I3278" s="52"/>
      <c r="J3278" s="52"/>
      <c r="K3278" s="52"/>
      <c r="L3278" s="52"/>
      <c r="M3278" s="52"/>
      <c r="N3278" s="52"/>
      <c r="O3278" s="52"/>
      <c r="P3278" s="52"/>
      <c r="Q3278" s="52"/>
      <c r="R3278" s="52"/>
      <c r="S3278" s="52"/>
      <c r="T3278" s="52"/>
      <c r="U3278" s="52"/>
      <c r="V3278" s="52"/>
      <c r="W3278" s="52"/>
      <c r="X3278" s="52"/>
      <c r="Y3278" s="52"/>
      <c r="Z3278" s="52"/>
      <c r="AA3278" s="52"/>
      <c r="AB3278" s="52"/>
      <c r="AC3278" s="52"/>
      <c r="AD3278" s="52"/>
      <c r="AE3278" s="52"/>
      <c r="AF3278" s="52"/>
      <c r="AG3278" s="52"/>
      <c r="AH3278" s="52"/>
      <c r="AI3278" s="52"/>
      <c r="AJ3278" s="52"/>
      <c r="AK3278" s="52"/>
      <c r="AL3278" s="52"/>
      <c r="AM3278" s="52"/>
      <c r="AN3278" s="52"/>
    </row>
    <row r="3279" spans="1:40" x14ac:dyDescent="0.3">
      <c r="A3279" s="52">
        <v>3274</v>
      </c>
      <c r="B3279" s="52">
        <f>-bthan*500+(23+0.5)*bthan*1000/50</f>
        <v>-165</v>
      </c>
      <c r="C3279" s="52">
        <f t="shared" si="304"/>
        <v>510.00000000000023</v>
      </c>
      <c r="D3279" s="52">
        <f t="shared" si="305"/>
        <v>2200</v>
      </c>
      <c r="E3279" s="52">
        <f t="shared" si="306"/>
        <v>1</v>
      </c>
      <c r="F3279" s="52"/>
      <c r="G3279" s="52"/>
      <c r="H3279" s="52"/>
      <c r="I3279" s="52"/>
      <c r="J3279" s="52"/>
      <c r="K3279" s="52"/>
      <c r="L3279" s="52"/>
      <c r="M3279" s="52"/>
      <c r="N3279" s="52"/>
      <c r="O3279" s="52"/>
      <c r="P3279" s="52"/>
      <c r="Q3279" s="52"/>
      <c r="R3279" s="52"/>
      <c r="S3279" s="52"/>
      <c r="T3279" s="52"/>
      <c r="U3279" s="52"/>
      <c r="V3279" s="52"/>
      <c r="W3279" s="52"/>
      <c r="X3279" s="52"/>
      <c r="Y3279" s="52"/>
      <c r="Z3279" s="52"/>
      <c r="AA3279" s="52"/>
      <c r="AB3279" s="52"/>
      <c r="AC3279" s="52"/>
      <c r="AD3279" s="52"/>
      <c r="AE3279" s="52"/>
      <c r="AF3279" s="52"/>
      <c r="AG3279" s="52"/>
      <c r="AH3279" s="52"/>
      <c r="AI3279" s="52"/>
      <c r="AJ3279" s="52"/>
      <c r="AK3279" s="52"/>
      <c r="AL3279" s="52"/>
      <c r="AM3279" s="52"/>
      <c r="AN3279" s="52"/>
    </row>
    <row r="3280" spans="1:40" x14ac:dyDescent="0.3">
      <c r="A3280" s="52">
        <v>3275</v>
      </c>
      <c r="B3280" s="52">
        <f>-bthan*500+(24+0.5)*bthan*1000/50</f>
        <v>-55</v>
      </c>
      <c r="C3280" s="52">
        <f t="shared" si="304"/>
        <v>510.00000000000023</v>
      </c>
      <c r="D3280" s="52">
        <f t="shared" si="305"/>
        <v>2200</v>
      </c>
      <c r="E3280" s="52">
        <f t="shared" si="306"/>
        <v>1</v>
      </c>
      <c r="F3280" s="52"/>
      <c r="G3280" s="52"/>
      <c r="H3280" s="52"/>
      <c r="I3280" s="52"/>
      <c r="J3280" s="52"/>
      <c r="K3280" s="52"/>
      <c r="L3280" s="52"/>
      <c r="M3280" s="52"/>
      <c r="N3280" s="52"/>
      <c r="O3280" s="52"/>
      <c r="P3280" s="52"/>
      <c r="Q3280" s="52"/>
      <c r="R3280" s="52"/>
      <c r="S3280" s="52"/>
      <c r="T3280" s="52"/>
      <c r="U3280" s="52"/>
      <c r="V3280" s="52"/>
      <c r="W3280" s="52"/>
      <c r="X3280" s="52"/>
      <c r="Y3280" s="52"/>
      <c r="Z3280" s="52"/>
      <c r="AA3280" s="52"/>
      <c r="AB3280" s="52"/>
      <c r="AC3280" s="52"/>
      <c r="AD3280" s="52"/>
      <c r="AE3280" s="52"/>
      <c r="AF3280" s="52"/>
      <c r="AG3280" s="52"/>
      <c r="AH3280" s="52"/>
      <c r="AI3280" s="52"/>
      <c r="AJ3280" s="52"/>
      <c r="AK3280" s="52"/>
      <c r="AL3280" s="52"/>
      <c r="AM3280" s="52"/>
      <c r="AN3280" s="52"/>
    </row>
    <row r="3281" spans="1:40" x14ac:dyDescent="0.3">
      <c r="A3281" s="52">
        <v>3276</v>
      </c>
      <c r="B3281" s="52">
        <f>-bthan*500+(25+0.5)*bthan*1000/50</f>
        <v>55</v>
      </c>
      <c r="C3281" s="52">
        <f t="shared" si="304"/>
        <v>510.00000000000023</v>
      </c>
      <c r="D3281" s="52">
        <f t="shared" si="305"/>
        <v>2200</v>
      </c>
      <c r="E3281" s="52">
        <f t="shared" si="306"/>
        <v>1</v>
      </c>
      <c r="F3281" s="52"/>
      <c r="G3281" s="52"/>
      <c r="H3281" s="52"/>
      <c r="I3281" s="52"/>
      <c r="J3281" s="52"/>
      <c r="K3281" s="52"/>
      <c r="L3281" s="52"/>
      <c r="M3281" s="52"/>
      <c r="N3281" s="52"/>
      <c r="O3281" s="52"/>
      <c r="P3281" s="52"/>
      <c r="Q3281" s="52"/>
      <c r="R3281" s="52"/>
      <c r="S3281" s="52"/>
      <c r="T3281" s="52"/>
      <c r="U3281" s="52"/>
      <c r="V3281" s="52"/>
      <c r="W3281" s="52"/>
      <c r="X3281" s="52"/>
      <c r="Y3281" s="52"/>
      <c r="Z3281" s="52"/>
      <c r="AA3281" s="52"/>
      <c r="AB3281" s="52"/>
      <c r="AC3281" s="52"/>
      <c r="AD3281" s="52"/>
      <c r="AE3281" s="52"/>
      <c r="AF3281" s="52"/>
      <c r="AG3281" s="52"/>
      <c r="AH3281" s="52"/>
      <c r="AI3281" s="52"/>
      <c r="AJ3281" s="52"/>
      <c r="AK3281" s="52"/>
      <c r="AL3281" s="52"/>
      <c r="AM3281" s="52"/>
      <c r="AN3281" s="52"/>
    </row>
    <row r="3282" spans="1:40" x14ac:dyDescent="0.3">
      <c r="A3282" s="52">
        <v>3277</v>
      </c>
      <c r="B3282" s="52">
        <f>-bthan*500+(26+0.5)*bthan*1000/50</f>
        <v>165</v>
      </c>
      <c r="C3282" s="52">
        <f t="shared" si="304"/>
        <v>510.00000000000023</v>
      </c>
      <c r="D3282" s="52">
        <f t="shared" si="305"/>
        <v>2200</v>
      </c>
      <c r="E3282" s="52">
        <f t="shared" si="306"/>
        <v>1</v>
      </c>
      <c r="F3282" s="52"/>
      <c r="G3282" s="52"/>
      <c r="H3282" s="52"/>
      <c r="I3282" s="52"/>
      <c r="J3282" s="52"/>
      <c r="K3282" s="52"/>
      <c r="L3282" s="52"/>
      <c r="M3282" s="52"/>
      <c r="N3282" s="52"/>
      <c r="O3282" s="52"/>
      <c r="P3282" s="52"/>
      <c r="Q3282" s="52"/>
      <c r="R3282" s="52"/>
      <c r="S3282" s="52"/>
      <c r="T3282" s="52"/>
      <c r="U3282" s="52"/>
      <c r="V3282" s="52"/>
      <c r="W3282" s="52"/>
      <c r="X3282" s="52"/>
      <c r="Y3282" s="52"/>
      <c r="Z3282" s="52"/>
      <c r="AA3282" s="52"/>
      <c r="AB3282" s="52"/>
      <c r="AC3282" s="52"/>
      <c r="AD3282" s="52"/>
      <c r="AE3282" s="52"/>
      <c r="AF3282" s="52"/>
      <c r="AG3282" s="52"/>
      <c r="AH3282" s="52"/>
      <c r="AI3282" s="52"/>
      <c r="AJ3282" s="52"/>
      <c r="AK3282" s="52"/>
      <c r="AL3282" s="52"/>
      <c r="AM3282" s="52"/>
      <c r="AN3282" s="52"/>
    </row>
    <row r="3283" spans="1:40" x14ac:dyDescent="0.3">
      <c r="A3283" s="52">
        <v>3278</v>
      </c>
      <c r="B3283" s="52">
        <f>-bthan*500+(27+0.5)*bthan*1000/50</f>
        <v>275</v>
      </c>
      <c r="C3283" s="52">
        <f t="shared" si="304"/>
        <v>510.00000000000023</v>
      </c>
      <c r="D3283" s="52">
        <f t="shared" si="305"/>
        <v>2200</v>
      </c>
      <c r="E3283" s="52">
        <f t="shared" si="306"/>
        <v>1</v>
      </c>
      <c r="F3283" s="52"/>
      <c r="G3283" s="52"/>
      <c r="H3283" s="52"/>
      <c r="I3283" s="52"/>
      <c r="J3283" s="52"/>
      <c r="K3283" s="52"/>
      <c r="L3283" s="52"/>
      <c r="M3283" s="52"/>
      <c r="N3283" s="52"/>
      <c r="O3283" s="52"/>
      <c r="P3283" s="52"/>
      <c r="Q3283" s="52"/>
      <c r="R3283" s="52"/>
      <c r="S3283" s="52"/>
      <c r="T3283" s="52"/>
      <c r="U3283" s="52"/>
      <c r="V3283" s="52"/>
      <c r="W3283" s="52"/>
      <c r="X3283" s="52"/>
      <c r="Y3283" s="52"/>
      <c r="Z3283" s="52"/>
      <c r="AA3283" s="52"/>
      <c r="AB3283" s="52"/>
      <c r="AC3283" s="52"/>
      <c r="AD3283" s="52"/>
      <c r="AE3283" s="52"/>
      <c r="AF3283" s="52"/>
      <c r="AG3283" s="52"/>
      <c r="AH3283" s="52"/>
      <c r="AI3283" s="52"/>
      <c r="AJ3283" s="52"/>
      <c r="AK3283" s="52"/>
      <c r="AL3283" s="52"/>
      <c r="AM3283" s="52"/>
      <c r="AN3283" s="52"/>
    </row>
    <row r="3284" spans="1:40" x14ac:dyDescent="0.3">
      <c r="A3284" s="52">
        <v>3279</v>
      </c>
      <c r="B3284" s="52">
        <f>-bthan*500+(28+0.5)*bthan*1000/50</f>
        <v>385</v>
      </c>
      <c r="C3284" s="52">
        <f t="shared" si="304"/>
        <v>510.00000000000023</v>
      </c>
      <c r="D3284" s="52">
        <f t="shared" si="305"/>
        <v>2200</v>
      </c>
      <c r="E3284" s="52">
        <f t="shared" si="306"/>
        <v>1</v>
      </c>
      <c r="F3284" s="52"/>
      <c r="G3284" s="52"/>
      <c r="H3284" s="52"/>
      <c r="I3284" s="52"/>
      <c r="J3284" s="52"/>
      <c r="K3284" s="52"/>
      <c r="L3284" s="52"/>
      <c r="M3284" s="52"/>
      <c r="N3284" s="52"/>
      <c r="O3284" s="52"/>
      <c r="P3284" s="52"/>
      <c r="Q3284" s="52"/>
      <c r="R3284" s="52"/>
      <c r="S3284" s="52"/>
      <c r="T3284" s="52"/>
      <c r="U3284" s="52"/>
      <c r="V3284" s="52"/>
      <c r="W3284" s="52"/>
      <c r="X3284" s="52"/>
      <c r="Y3284" s="52"/>
      <c r="Z3284" s="52"/>
      <c r="AA3284" s="52"/>
      <c r="AB3284" s="52"/>
      <c r="AC3284" s="52"/>
      <c r="AD3284" s="52"/>
      <c r="AE3284" s="52"/>
      <c r="AF3284" s="52"/>
      <c r="AG3284" s="52"/>
      <c r="AH3284" s="52"/>
      <c r="AI3284" s="52"/>
      <c r="AJ3284" s="52"/>
      <c r="AK3284" s="52"/>
      <c r="AL3284" s="52"/>
      <c r="AM3284" s="52"/>
      <c r="AN3284" s="52"/>
    </row>
    <row r="3285" spans="1:40" x14ac:dyDescent="0.3">
      <c r="A3285" s="52">
        <v>3280</v>
      </c>
      <c r="B3285" s="52">
        <f>-bthan*500+(29+0.5)*bthan*1000/50</f>
        <v>495</v>
      </c>
      <c r="C3285" s="52">
        <f t="shared" si="304"/>
        <v>510.00000000000023</v>
      </c>
      <c r="D3285" s="52">
        <f t="shared" si="305"/>
        <v>2200</v>
      </c>
      <c r="E3285" s="52">
        <f t="shared" si="306"/>
        <v>1</v>
      </c>
      <c r="F3285" s="52"/>
      <c r="G3285" s="52"/>
      <c r="H3285" s="52"/>
      <c r="I3285" s="52"/>
      <c r="J3285" s="52"/>
      <c r="K3285" s="52"/>
      <c r="L3285" s="52"/>
      <c r="M3285" s="52"/>
      <c r="N3285" s="52"/>
      <c r="O3285" s="52"/>
      <c r="P3285" s="52"/>
      <c r="Q3285" s="52"/>
      <c r="R3285" s="52"/>
      <c r="S3285" s="52"/>
      <c r="T3285" s="52"/>
      <c r="U3285" s="52"/>
      <c r="V3285" s="52"/>
      <c r="W3285" s="52"/>
      <c r="X3285" s="52"/>
      <c r="Y3285" s="52"/>
      <c r="Z3285" s="52"/>
      <c r="AA3285" s="52"/>
      <c r="AB3285" s="52"/>
      <c r="AC3285" s="52"/>
      <c r="AD3285" s="52"/>
      <c r="AE3285" s="52"/>
      <c r="AF3285" s="52"/>
      <c r="AG3285" s="52"/>
      <c r="AH3285" s="52"/>
      <c r="AI3285" s="52"/>
      <c r="AJ3285" s="52"/>
      <c r="AK3285" s="52"/>
      <c r="AL3285" s="52"/>
      <c r="AM3285" s="52"/>
      <c r="AN3285" s="52"/>
    </row>
    <row r="3286" spans="1:40" x14ac:dyDescent="0.3">
      <c r="A3286" s="52">
        <v>3281</v>
      </c>
      <c r="B3286" s="52">
        <f>-bthan*500+(30+0.5)*bthan*1000/50</f>
        <v>605</v>
      </c>
      <c r="C3286" s="52">
        <f t="shared" si="304"/>
        <v>510.00000000000023</v>
      </c>
      <c r="D3286" s="52">
        <f t="shared" si="305"/>
        <v>2200</v>
      </c>
      <c r="E3286" s="52">
        <f t="shared" si="306"/>
        <v>1</v>
      </c>
      <c r="F3286" s="52"/>
      <c r="G3286" s="52"/>
      <c r="H3286" s="52"/>
      <c r="I3286" s="52"/>
      <c r="J3286" s="52"/>
      <c r="K3286" s="52"/>
      <c r="L3286" s="52"/>
      <c r="M3286" s="52"/>
      <c r="N3286" s="52"/>
      <c r="O3286" s="52"/>
      <c r="P3286" s="52"/>
      <c r="Q3286" s="52"/>
      <c r="R3286" s="52"/>
      <c r="S3286" s="52"/>
      <c r="T3286" s="52"/>
      <c r="U3286" s="52"/>
      <c r="V3286" s="52"/>
      <c r="W3286" s="52"/>
      <c r="X3286" s="52"/>
      <c r="Y3286" s="52"/>
      <c r="Z3286" s="52"/>
      <c r="AA3286" s="52"/>
      <c r="AB3286" s="52"/>
      <c r="AC3286" s="52"/>
      <c r="AD3286" s="52"/>
      <c r="AE3286" s="52"/>
      <c r="AF3286" s="52"/>
      <c r="AG3286" s="52"/>
      <c r="AH3286" s="52"/>
      <c r="AI3286" s="52"/>
      <c r="AJ3286" s="52"/>
      <c r="AK3286" s="52"/>
      <c r="AL3286" s="52"/>
      <c r="AM3286" s="52"/>
      <c r="AN3286" s="52"/>
    </row>
    <row r="3287" spans="1:40" x14ac:dyDescent="0.3">
      <c r="A3287" s="52">
        <v>3282</v>
      </c>
      <c r="B3287" s="52">
        <f>-bthan*500+(31+0.5)*bthan*1000/50</f>
        <v>715</v>
      </c>
      <c r="C3287" s="52">
        <f t="shared" si="304"/>
        <v>510.00000000000023</v>
      </c>
      <c r="D3287" s="52">
        <f t="shared" si="305"/>
        <v>2200</v>
      </c>
      <c r="E3287" s="52">
        <f t="shared" si="306"/>
        <v>1</v>
      </c>
      <c r="F3287" s="52"/>
      <c r="G3287" s="52"/>
      <c r="H3287" s="52"/>
      <c r="I3287" s="52"/>
      <c r="J3287" s="52"/>
      <c r="K3287" s="52"/>
      <c r="L3287" s="52"/>
      <c r="M3287" s="52"/>
      <c r="N3287" s="52"/>
      <c r="O3287" s="52"/>
      <c r="P3287" s="52"/>
      <c r="Q3287" s="52"/>
      <c r="R3287" s="52"/>
      <c r="S3287" s="52"/>
      <c r="T3287" s="52"/>
      <c r="U3287" s="52"/>
      <c r="V3287" s="52"/>
      <c r="W3287" s="52"/>
      <c r="X3287" s="52"/>
      <c r="Y3287" s="52"/>
      <c r="Z3287" s="52"/>
      <c r="AA3287" s="52"/>
      <c r="AB3287" s="52"/>
      <c r="AC3287" s="52"/>
      <c r="AD3287" s="52"/>
      <c r="AE3287" s="52"/>
      <c r="AF3287" s="52"/>
      <c r="AG3287" s="52"/>
      <c r="AH3287" s="52"/>
      <c r="AI3287" s="52"/>
      <c r="AJ3287" s="52"/>
      <c r="AK3287" s="52"/>
      <c r="AL3287" s="52"/>
      <c r="AM3287" s="52"/>
      <c r="AN3287" s="52"/>
    </row>
    <row r="3288" spans="1:40" x14ac:dyDescent="0.3">
      <c r="A3288" s="52">
        <v>3283</v>
      </c>
      <c r="B3288" s="52">
        <f>-bthan*500+(32+0.5)*bthan*1000/50</f>
        <v>825</v>
      </c>
      <c r="C3288" s="52">
        <f t="shared" ref="C3288:C3305" si="307">-hthan*500+(65+0.5)*hthan*1000/80</f>
        <v>510.00000000000023</v>
      </c>
      <c r="D3288" s="52">
        <f t="shared" si="305"/>
        <v>2200</v>
      </c>
      <c r="E3288" s="52">
        <f t="shared" si="306"/>
        <v>1</v>
      </c>
      <c r="F3288" s="52"/>
      <c r="G3288" s="52"/>
      <c r="H3288" s="52"/>
      <c r="I3288" s="52"/>
      <c r="J3288" s="52"/>
      <c r="K3288" s="52"/>
      <c r="L3288" s="52"/>
      <c r="M3288" s="52"/>
      <c r="N3288" s="52"/>
      <c r="O3288" s="52"/>
      <c r="P3288" s="52"/>
      <c r="Q3288" s="52"/>
      <c r="R3288" s="52"/>
      <c r="S3288" s="52"/>
      <c r="T3288" s="52"/>
      <c r="U3288" s="52"/>
      <c r="V3288" s="52"/>
      <c r="W3288" s="52"/>
      <c r="X3288" s="52"/>
      <c r="Y3288" s="52"/>
      <c r="Z3288" s="52"/>
      <c r="AA3288" s="52"/>
      <c r="AB3288" s="52"/>
      <c r="AC3288" s="52"/>
      <c r="AD3288" s="52"/>
      <c r="AE3288" s="52"/>
      <c r="AF3288" s="52"/>
      <c r="AG3288" s="52"/>
      <c r="AH3288" s="52"/>
      <c r="AI3288" s="52"/>
      <c r="AJ3288" s="52"/>
      <c r="AK3288" s="52"/>
      <c r="AL3288" s="52"/>
      <c r="AM3288" s="52"/>
      <c r="AN3288" s="52"/>
    </row>
    <row r="3289" spans="1:40" x14ac:dyDescent="0.3">
      <c r="A3289" s="52">
        <v>3284</v>
      </c>
      <c r="B3289" s="52">
        <f>-bthan*500+(33+0.5)*bthan*1000/50</f>
        <v>935</v>
      </c>
      <c r="C3289" s="52">
        <f t="shared" si="307"/>
        <v>510.00000000000023</v>
      </c>
      <c r="D3289" s="52">
        <f t="shared" si="305"/>
        <v>2200</v>
      </c>
      <c r="E3289" s="52">
        <f t="shared" si="306"/>
        <v>1</v>
      </c>
      <c r="F3289" s="52"/>
      <c r="G3289" s="52"/>
      <c r="H3289" s="52"/>
      <c r="I3289" s="52"/>
      <c r="J3289" s="52"/>
      <c r="K3289" s="52"/>
      <c r="L3289" s="52"/>
      <c r="M3289" s="52"/>
      <c r="N3289" s="52"/>
      <c r="O3289" s="52"/>
      <c r="P3289" s="52"/>
      <c r="Q3289" s="52"/>
      <c r="R3289" s="52"/>
      <c r="S3289" s="52"/>
      <c r="T3289" s="52"/>
      <c r="U3289" s="52"/>
      <c r="V3289" s="52"/>
      <c r="W3289" s="52"/>
      <c r="X3289" s="52"/>
      <c r="Y3289" s="52"/>
      <c r="Z3289" s="52"/>
      <c r="AA3289" s="52"/>
      <c r="AB3289" s="52"/>
      <c r="AC3289" s="52"/>
      <c r="AD3289" s="52"/>
      <c r="AE3289" s="52"/>
      <c r="AF3289" s="52"/>
      <c r="AG3289" s="52"/>
      <c r="AH3289" s="52"/>
      <c r="AI3289" s="52"/>
      <c r="AJ3289" s="52"/>
      <c r="AK3289" s="52"/>
      <c r="AL3289" s="52"/>
      <c r="AM3289" s="52"/>
      <c r="AN3289" s="52"/>
    </row>
    <row r="3290" spans="1:40" x14ac:dyDescent="0.3">
      <c r="A3290" s="52">
        <v>3285</v>
      </c>
      <c r="B3290" s="52">
        <f>-bthan*500+(34+0.5)*bthan*1000/50</f>
        <v>1045</v>
      </c>
      <c r="C3290" s="52">
        <f t="shared" si="307"/>
        <v>510.00000000000023</v>
      </c>
      <c r="D3290" s="52">
        <f t="shared" si="305"/>
        <v>2200</v>
      </c>
      <c r="E3290" s="52">
        <f t="shared" si="306"/>
        <v>1</v>
      </c>
      <c r="F3290" s="52"/>
      <c r="G3290" s="52"/>
      <c r="H3290" s="52"/>
      <c r="I3290" s="52"/>
      <c r="J3290" s="52"/>
      <c r="K3290" s="52"/>
      <c r="L3290" s="52"/>
      <c r="M3290" s="52"/>
      <c r="N3290" s="52"/>
      <c r="O3290" s="52"/>
      <c r="P3290" s="52"/>
      <c r="Q3290" s="52"/>
      <c r="R3290" s="52"/>
      <c r="S3290" s="52"/>
      <c r="T3290" s="52"/>
      <c r="U3290" s="52"/>
      <c r="V3290" s="52"/>
      <c r="W3290" s="52"/>
      <c r="X3290" s="52"/>
      <c r="Y3290" s="52"/>
      <c r="Z3290" s="52"/>
      <c r="AA3290" s="52"/>
      <c r="AB3290" s="52"/>
      <c r="AC3290" s="52"/>
      <c r="AD3290" s="52"/>
      <c r="AE3290" s="52"/>
      <c r="AF3290" s="52"/>
      <c r="AG3290" s="52"/>
      <c r="AH3290" s="52"/>
      <c r="AI3290" s="52"/>
      <c r="AJ3290" s="52"/>
      <c r="AK3290" s="52"/>
      <c r="AL3290" s="52"/>
      <c r="AM3290" s="52"/>
      <c r="AN3290" s="52"/>
    </row>
    <row r="3291" spans="1:40" x14ac:dyDescent="0.3">
      <c r="A3291" s="52">
        <v>3286</v>
      </c>
      <c r="B3291" s="52">
        <f>-bthan*500+(35+0.5)*bthan*1000/50</f>
        <v>1155</v>
      </c>
      <c r="C3291" s="52">
        <f t="shared" si="307"/>
        <v>510.00000000000023</v>
      </c>
      <c r="D3291" s="52">
        <f t="shared" si="305"/>
        <v>2200</v>
      </c>
      <c r="E3291" s="52">
        <f t="shared" si="306"/>
        <v>1</v>
      </c>
      <c r="F3291" s="52"/>
      <c r="G3291" s="52"/>
      <c r="H3291" s="52"/>
      <c r="I3291" s="52"/>
      <c r="J3291" s="52"/>
      <c r="K3291" s="52"/>
      <c r="L3291" s="52"/>
      <c r="M3291" s="52"/>
      <c r="N3291" s="52"/>
      <c r="O3291" s="52"/>
      <c r="P3291" s="52"/>
      <c r="Q3291" s="52"/>
      <c r="R3291" s="52"/>
      <c r="S3291" s="52"/>
      <c r="T3291" s="52"/>
      <c r="U3291" s="52"/>
      <c r="V3291" s="52"/>
      <c r="W3291" s="52"/>
      <c r="X3291" s="52"/>
      <c r="Y3291" s="52"/>
      <c r="Z3291" s="52"/>
      <c r="AA3291" s="52"/>
      <c r="AB3291" s="52"/>
      <c r="AC3291" s="52"/>
      <c r="AD3291" s="52"/>
      <c r="AE3291" s="52"/>
      <c r="AF3291" s="52"/>
      <c r="AG3291" s="52"/>
      <c r="AH3291" s="52"/>
      <c r="AI3291" s="52"/>
      <c r="AJ3291" s="52"/>
      <c r="AK3291" s="52"/>
      <c r="AL3291" s="52"/>
      <c r="AM3291" s="52"/>
      <c r="AN3291" s="52"/>
    </row>
    <row r="3292" spans="1:40" x14ac:dyDescent="0.3">
      <c r="A3292" s="52">
        <v>3287</v>
      </c>
      <c r="B3292" s="52">
        <f>-bthan*500+(36+0.5)*bthan*1000/50</f>
        <v>1265</v>
      </c>
      <c r="C3292" s="52">
        <f t="shared" si="307"/>
        <v>510.00000000000023</v>
      </c>
      <c r="D3292" s="52">
        <f t="shared" si="305"/>
        <v>2200</v>
      </c>
      <c r="E3292" s="52">
        <f t="shared" si="306"/>
        <v>1</v>
      </c>
      <c r="F3292" s="52"/>
      <c r="G3292" s="52"/>
      <c r="H3292" s="52"/>
      <c r="I3292" s="52"/>
      <c r="J3292" s="52"/>
      <c r="K3292" s="52"/>
      <c r="L3292" s="52"/>
      <c r="M3292" s="52"/>
      <c r="N3292" s="52"/>
      <c r="O3292" s="52"/>
      <c r="P3292" s="52"/>
      <c r="Q3292" s="52"/>
      <c r="R3292" s="52"/>
      <c r="S3292" s="52"/>
      <c r="T3292" s="52"/>
      <c r="U3292" s="52"/>
      <c r="V3292" s="52"/>
      <c r="W3292" s="52"/>
      <c r="X3292" s="52"/>
      <c r="Y3292" s="52"/>
      <c r="Z3292" s="52"/>
      <c r="AA3292" s="52"/>
      <c r="AB3292" s="52"/>
      <c r="AC3292" s="52"/>
      <c r="AD3292" s="52"/>
      <c r="AE3292" s="52"/>
      <c r="AF3292" s="52"/>
      <c r="AG3292" s="52"/>
      <c r="AH3292" s="52"/>
      <c r="AI3292" s="52"/>
      <c r="AJ3292" s="52"/>
      <c r="AK3292" s="52"/>
      <c r="AL3292" s="52"/>
      <c r="AM3292" s="52"/>
      <c r="AN3292" s="52"/>
    </row>
    <row r="3293" spans="1:40" x14ac:dyDescent="0.3">
      <c r="A3293" s="52">
        <v>3288</v>
      </c>
      <c r="B3293" s="52">
        <f>-bthan*500+(37+0.5)*bthan*1000/50</f>
        <v>1375</v>
      </c>
      <c r="C3293" s="52">
        <f t="shared" si="307"/>
        <v>510.00000000000023</v>
      </c>
      <c r="D3293" s="52">
        <f t="shared" si="305"/>
        <v>2200</v>
      </c>
      <c r="E3293" s="52">
        <f t="shared" si="306"/>
        <v>1</v>
      </c>
      <c r="F3293" s="52"/>
      <c r="G3293" s="52"/>
      <c r="H3293" s="52"/>
      <c r="I3293" s="52"/>
      <c r="J3293" s="52"/>
      <c r="K3293" s="52"/>
      <c r="L3293" s="52"/>
      <c r="M3293" s="52"/>
      <c r="N3293" s="52"/>
      <c r="O3293" s="52"/>
      <c r="P3293" s="52"/>
      <c r="Q3293" s="52"/>
      <c r="R3293" s="52"/>
      <c r="S3293" s="52"/>
      <c r="T3293" s="52"/>
      <c r="U3293" s="52"/>
      <c r="V3293" s="52"/>
      <c r="W3293" s="52"/>
      <c r="X3293" s="52"/>
      <c r="Y3293" s="52"/>
      <c r="Z3293" s="52"/>
      <c r="AA3293" s="52"/>
      <c r="AB3293" s="52"/>
      <c r="AC3293" s="52"/>
      <c r="AD3293" s="52"/>
      <c r="AE3293" s="52"/>
      <c r="AF3293" s="52"/>
      <c r="AG3293" s="52"/>
      <c r="AH3293" s="52"/>
      <c r="AI3293" s="52"/>
      <c r="AJ3293" s="52"/>
      <c r="AK3293" s="52"/>
      <c r="AL3293" s="52"/>
      <c r="AM3293" s="52"/>
      <c r="AN3293" s="52"/>
    </row>
    <row r="3294" spans="1:40" x14ac:dyDescent="0.3">
      <c r="A3294" s="52">
        <v>3289</v>
      </c>
      <c r="B3294" s="52">
        <f>-bthan*500+(38+0.5)*bthan*1000/50</f>
        <v>1485</v>
      </c>
      <c r="C3294" s="52">
        <f t="shared" si="307"/>
        <v>510.00000000000023</v>
      </c>
      <c r="D3294" s="52">
        <f t="shared" si="305"/>
        <v>2200</v>
      </c>
      <c r="E3294" s="52">
        <f t="shared" si="306"/>
        <v>1</v>
      </c>
      <c r="F3294" s="52"/>
      <c r="G3294" s="52"/>
      <c r="H3294" s="52"/>
      <c r="I3294" s="52"/>
      <c r="J3294" s="52"/>
      <c r="K3294" s="52"/>
      <c r="L3294" s="52"/>
      <c r="M3294" s="52"/>
      <c r="N3294" s="52"/>
      <c r="O3294" s="52"/>
      <c r="P3294" s="52"/>
      <c r="Q3294" s="52"/>
      <c r="R3294" s="52"/>
      <c r="S3294" s="52"/>
      <c r="T3294" s="52"/>
      <c r="U3294" s="52"/>
      <c r="V3294" s="52"/>
      <c r="W3294" s="52"/>
      <c r="X3294" s="52"/>
      <c r="Y3294" s="52"/>
      <c r="Z3294" s="52"/>
      <c r="AA3294" s="52"/>
      <c r="AB3294" s="52"/>
      <c r="AC3294" s="52"/>
      <c r="AD3294" s="52"/>
      <c r="AE3294" s="52"/>
      <c r="AF3294" s="52"/>
      <c r="AG3294" s="52"/>
      <c r="AH3294" s="52"/>
      <c r="AI3294" s="52"/>
      <c r="AJ3294" s="52"/>
      <c r="AK3294" s="52"/>
      <c r="AL3294" s="52"/>
      <c r="AM3294" s="52"/>
      <c r="AN3294" s="52"/>
    </row>
    <row r="3295" spans="1:40" x14ac:dyDescent="0.3">
      <c r="A3295" s="52">
        <v>3290</v>
      </c>
      <c r="B3295" s="52">
        <f>-bthan*500+(39+0.5)*bthan*1000/50</f>
        <v>1595</v>
      </c>
      <c r="C3295" s="52">
        <f t="shared" si="307"/>
        <v>510.00000000000023</v>
      </c>
      <c r="D3295" s="52">
        <f t="shared" si="305"/>
        <v>2200</v>
      </c>
      <c r="E3295" s="52">
        <f t="shared" si="306"/>
        <v>1</v>
      </c>
      <c r="F3295" s="52"/>
      <c r="G3295" s="52"/>
      <c r="H3295" s="52"/>
      <c r="I3295" s="52"/>
      <c r="J3295" s="52"/>
      <c r="K3295" s="52"/>
      <c r="L3295" s="52"/>
      <c r="M3295" s="52"/>
      <c r="N3295" s="52"/>
      <c r="O3295" s="52"/>
      <c r="P3295" s="52"/>
      <c r="Q3295" s="52"/>
      <c r="R3295" s="52"/>
      <c r="S3295" s="52"/>
      <c r="T3295" s="52"/>
      <c r="U3295" s="52"/>
      <c r="V3295" s="52"/>
      <c r="W3295" s="52"/>
      <c r="X3295" s="52"/>
      <c r="Y3295" s="52"/>
      <c r="Z3295" s="52"/>
      <c r="AA3295" s="52"/>
      <c r="AB3295" s="52"/>
      <c r="AC3295" s="52"/>
      <c r="AD3295" s="52"/>
      <c r="AE3295" s="52"/>
      <c r="AF3295" s="52"/>
      <c r="AG3295" s="52"/>
      <c r="AH3295" s="52"/>
      <c r="AI3295" s="52"/>
      <c r="AJ3295" s="52"/>
      <c r="AK3295" s="52"/>
      <c r="AL3295" s="52"/>
      <c r="AM3295" s="52"/>
      <c r="AN3295" s="52"/>
    </row>
    <row r="3296" spans="1:40" x14ac:dyDescent="0.3">
      <c r="A3296" s="52">
        <v>3291</v>
      </c>
      <c r="B3296" s="52">
        <f>-bthan*500+(40+0.5)*bthan*1000/50</f>
        <v>1705</v>
      </c>
      <c r="C3296" s="52">
        <f t="shared" si="307"/>
        <v>510.00000000000023</v>
      </c>
      <c r="D3296" s="52">
        <f t="shared" si="305"/>
        <v>2200</v>
      </c>
      <c r="E3296" s="52">
        <f t="shared" si="306"/>
        <v>1</v>
      </c>
      <c r="F3296" s="52"/>
      <c r="G3296" s="52"/>
      <c r="H3296" s="52"/>
      <c r="I3296" s="52"/>
      <c r="J3296" s="52"/>
      <c r="K3296" s="52"/>
      <c r="L3296" s="52"/>
      <c r="M3296" s="52"/>
      <c r="N3296" s="52"/>
      <c r="O3296" s="52"/>
      <c r="P3296" s="52"/>
      <c r="Q3296" s="52"/>
      <c r="R3296" s="52"/>
      <c r="S3296" s="52"/>
      <c r="T3296" s="52"/>
      <c r="U3296" s="52"/>
      <c r="V3296" s="52"/>
      <c r="W3296" s="52"/>
      <c r="X3296" s="52"/>
      <c r="Y3296" s="52"/>
      <c r="Z3296" s="52"/>
      <c r="AA3296" s="52"/>
      <c r="AB3296" s="52"/>
      <c r="AC3296" s="52"/>
      <c r="AD3296" s="52"/>
      <c r="AE3296" s="52"/>
      <c r="AF3296" s="52"/>
      <c r="AG3296" s="52"/>
      <c r="AH3296" s="52"/>
      <c r="AI3296" s="52"/>
      <c r="AJ3296" s="52"/>
      <c r="AK3296" s="52"/>
      <c r="AL3296" s="52"/>
      <c r="AM3296" s="52"/>
      <c r="AN3296" s="52"/>
    </row>
    <row r="3297" spans="1:40" x14ac:dyDescent="0.3">
      <c r="A3297" s="52">
        <v>3292</v>
      </c>
      <c r="B3297" s="52">
        <f>-bthan*500+(41+0.5)*bthan*1000/50</f>
        <v>1815</v>
      </c>
      <c r="C3297" s="52">
        <f t="shared" si="307"/>
        <v>510.00000000000023</v>
      </c>
      <c r="D3297" s="52">
        <f t="shared" si="305"/>
        <v>2200</v>
      </c>
      <c r="E3297" s="52">
        <f t="shared" si="306"/>
        <v>1</v>
      </c>
      <c r="F3297" s="52"/>
      <c r="G3297" s="52"/>
      <c r="H3297" s="52"/>
      <c r="I3297" s="52"/>
      <c r="J3297" s="52"/>
      <c r="K3297" s="52"/>
      <c r="L3297" s="52"/>
      <c r="M3297" s="52"/>
      <c r="N3297" s="52"/>
      <c r="O3297" s="52"/>
      <c r="P3297" s="52"/>
      <c r="Q3297" s="52"/>
      <c r="R3297" s="52"/>
      <c r="S3297" s="52"/>
      <c r="T3297" s="52"/>
      <c r="U3297" s="52"/>
      <c r="V3297" s="52"/>
      <c r="W3297" s="52"/>
      <c r="X3297" s="52"/>
      <c r="Y3297" s="52"/>
      <c r="Z3297" s="52"/>
      <c r="AA3297" s="52"/>
      <c r="AB3297" s="52"/>
      <c r="AC3297" s="52"/>
      <c r="AD3297" s="52"/>
      <c r="AE3297" s="52"/>
      <c r="AF3297" s="52"/>
      <c r="AG3297" s="52"/>
      <c r="AH3297" s="52"/>
      <c r="AI3297" s="52"/>
      <c r="AJ3297" s="52"/>
      <c r="AK3297" s="52"/>
      <c r="AL3297" s="52"/>
      <c r="AM3297" s="52"/>
      <c r="AN3297" s="52"/>
    </row>
    <row r="3298" spans="1:40" x14ac:dyDescent="0.3">
      <c r="A3298" s="52">
        <v>3293</v>
      </c>
      <c r="B3298" s="52">
        <f>-bthan*500+(42+0.5)*bthan*1000/50</f>
        <v>1925</v>
      </c>
      <c r="C3298" s="52">
        <f t="shared" si="307"/>
        <v>510.00000000000023</v>
      </c>
      <c r="D3298" s="52">
        <f t="shared" si="305"/>
        <v>2200</v>
      </c>
      <c r="E3298" s="52">
        <f t="shared" si="306"/>
        <v>1</v>
      </c>
      <c r="F3298" s="52"/>
      <c r="G3298" s="52"/>
      <c r="H3298" s="52"/>
      <c r="I3298" s="52"/>
      <c r="J3298" s="52"/>
      <c r="K3298" s="52"/>
      <c r="L3298" s="52"/>
      <c r="M3298" s="52"/>
      <c r="N3298" s="52"/>
      <c r="O3298" s="52"/>
      <c r="P3298" s="52"/>
      <c r="Q3298" s="52"/>
      <c r="R3298" s="52"/>
      <c r="S3298" s="52"/>
      <c r="T3298" s="52"/>
      <c r="U3298" s="52"/>
      <c r="V3298" s="52"/>
      <c r="W3298" s="52"/>
      <c r="X3298" s="52"/>
      <c r="Y3298" s="52"/>
      <c r="Z3298" s="52"/>
      <c r="AA3298" s="52"/>
      <c r="AB3298" s="52"/>
      <c r="AC3298" s="52"/>
      <c r="AD3298" s="52"/>
      <c r="AE3298" s="52"/>
      <c r="AF3298" s="52"/>
      <c r="AG3298" s="52"/>
      <c r="AH3298" s="52"/>
      <c r="AI3298" s="52"/>
      <c r="AJ3298" s="52"/>
      <c r="AK3298" s="52"/>
      <c r="AL3298" s="52"/>
      <c r="AM3298" s="52"/>
      <c r="AN3298" s="52"/>
    </row>
    <row r="3299" spans="1:40" x14ac:dyDescent="0.3">
      <c r="A3299" s="52">
        <v>3294</v>
      </c>
      <c r="B3299" s="52">
        <f>-bthan*500+(43+0.5)*bthan*1000/50</f>
        <v>2035</v>
      </c>
      <c r="C3299" s="52">
        <f t="shared" si="307"/>
        <v>510.00000000000023</v>
      </c>
      <c r="D3299" s="52">
        <f t="shared" si="305"/>
        <v>2200</v>
      </c>
      <c r="E3299" s="52">
        <f t="shared" si="306"/>
        <v>1</v>
      </c>
      <c r="F3299" s="52"/>
      <c r="G3299" s="52"/>
      <c r="H3299" s="52"/>
      <c r="I3299" s="52"/>
      <c r="J3299" s="52"/>
      <c r="K3299" s="52"/>
      <c r="L3299" s="52"/>
      <c r="M3299" s="52"/>
      <c r="N3299" s="52"/>
      <c r="O3299" s="52"/>
      <c r="P3299" s="52"/>
      <c r="Q3299" s="52"/>
      <c r="R3299" s="52"/>
      <c r="S3299" s="52"/>
      <c r="T3299" s="52"/>
      <c r="U3299" s="52"/>
      <c r="V3299" s="52"/>
      <c r="W3299" s="52"/>
      <c r="X3299" s="52"/>
      <c r="Y3299" s="52"/>
      <c r="Z3299" s="52"/>
      <c r="AA3299" s="52"/>
      <c r="AB3299" s="52"/>
      <c r="AC3299" s="52"/>
      <c r="AD3299" s="52"/>
      <c r="AE3299" s="52"/>
      <c r="AF3299" s="52"/>
      <c r="AG3299" s="52"/>
      <c r="AH3299" s="52"/>
      <c r="AI3299" s="52"/>
      <c r="AJ3299" s="52"/>
      <c r="AK3299" s="52"/>
      <c r="AL3299" s="52"/>
      <c r="AM3299" s="52"/>
      <c r="AN3299" s="52"/>
    </row>
    <row r="3300" spans="1:40" x14ac:dyDescent="0.3">
      <c r="A3300" s="52">
        <v>3295</v>
      </c>
      <c r="B3300" s="52">
        <f>-bthan*500+(44+0.5)*bthan*1000/50</f>
        <v>2145</v>
      </c>
      <c r="C3300" s="52">
        <f t="shared" si="307"/>
        <v>510.00000000000023</v>
      </c>
      <c r="D3300" s="52">
        <f t="shared" si="305"/>
        <v>2200</v>
      </c>
      <c r="E3300" s="52">
        <f t="shared" si="306"/>
        <v>1</v>
      </c>
      <c r="F3300" s="52"/>
      <c r="G3300" s="52"/>
      <c r="H3300" s="52"/>
      <c r="I3300" s="52"/>
      <c r="J3300" s="52"/>
      <c r="K3300" s="52"/>
      <c r="L3300" s="52"/>
      <c r="M3300" s="52"/>
      <c r="N3300" s="52"/>
      <c r="O3300" s="52"/>
      <c r="P3300" s="52"/>
      <c r="Q3300" s="52"/>
      <c r="R3300" s="52"/>
      <c r="S3300" s="52"/>
      <c r="T3300" s="52"/>
      <c r="U3300" s="52"/>
      <c r="V3300" s="52"/>
      <c r="W3300" s="52"/>
      <c r="X3300" s="52"/>
      <c r="Y3300" s="52"/>
      <c r="Z3300" s="52"/>
      <c r="AA3300" s="52"/>
      <c r="AB3300" s="52"/>
      <c r="AC3300" s="52"/>
      <c r="AD3300" s="52"/>
      <c r="AE3300" s="52"/>
      <c r="AF3300" s="52"/>
      <c r="AG3300" s="52"/>
      <c r="AH3300" s="52"/>
      <c r="AI3300" s="52"/>
      <c r="AJ3300" s="52"/>
      <c r="AK3300" s="52"/>
      <c r="AL3300" s="52"/>
      <c r="AM3300" s="52"/>
      <c r="AN3300" s="52"/>
    </row>
    <row r="3301" spans="1:40" x14ac:dyDescent="0.3">
      <c r="A3301" s="52">
        <v>3296</v>
      </c>
      <c r="B3301" s="52">
        <f>-bthan*500+(45+0.5)*bthan*1000/50</f>
        <v>2255</v>
      </c>
      <c r="C3301" s="52">
        <f t="shared" si="307"/>
        <v>510.00000000000023</v>
      </c>
      <c r="D3301" s="52">
        <f t="shared" si="305"/>
        <v>2200</v>
      </c>
      <c r="E3301" s="52">
        <f t="shared" si="306"/>
        <v>1</v>
      </c>
      <c r="F3301" s="52"/>
      <c r="G3301" s="52"/>
      <c r="H3301" s="52"/>
      <c r="I3301" s="52"/>
      <c r="J3301" s="52"/>
      <c r="K3301" s="52"/>
      <c r="L3301" s="52"/>
      <c r="M3301" s="52"/>
      <c r="N3301" s="52"/>
      <c r="O3301" s="52"/>
      <c r="P3301" s="52"/>
      <c r="Q3301" s="52"/>
      <c r="R3301" s="52"/>
      <c r="S3301" s="52"/>
      <c r="T3301" s="52"/>
      <c r="U3301" s="52"/>
      <c r="V3301" s="52"/>
      <c r="W3301" s="52"/>
      <c r="X3301" s="52"/>
      <c r="Y3301" s="52"/>
      <c r="Z3301" s="52"/>
      <c r="AA3301" s="52"/>
      <c r="AB3301" s="52"/>
      <c r="AC3301" s="52"/>
      <c r="AD3301" s="52"/>
      <c r="AE3301" s="52"/>
      <c r="AF3301" s="52"/>
      <c r="AG3301" s="52"/>
      <c r="AH3301" s="52"/>
      <c r="AI3301" s="52"/>
      <c r="AJ3301" s="52"/>
      <c r="AK3301" s="52"/>
      <c r="AL3301" s="52"/>
      <c r="AM3301" s="52"/>
      <c r="AN3301" s="52"/>
    </row>
    <row r="3302" spans="1:40" x14ac:dyDescent="0.3">
      <c r="A3302" s="52">
        <v>3297</v>
      </c>
      <c r="B3302" s="52">
        <f>-bthan*500+(46+0.5)*bthan*1000/50</f>
        <v>2365</v>
      </c>
      <c r="C3302" s="52">
        <f t="shared" si="307"/>
        <v>510.00000000000023</v>
      </c>
      <c r="D3302" s="52">
        <f t="shared" si="305"/>
        <v>2200</v>
      </c>
      <c r="E3302" s="52">
        <f t="shared" si="306"/>
        <v>1</v>
      </c>
      <c r="F3302" s="52"/>
      <c r="G3302" s="52"/>
      <c r="H3302" s="52"/>
      <c r="I3302" s="52"/>
      <c r="J3302" s="52"/>
      <c r="K3302" s="52"/>
      <c r="L3302" s="52"/>
      <c r="M3302" s="52"/>
      <c r="N3302" s="52"/>
      <c r="O3302" s="52"/>
      <c r="P3302" s="52"/>
      <c r="Q3302" s="52"/>
      <c r="R3302" s="52"/>
      <c r="S3302" s="52"/>
      <c r="T3302" s="52"/>
      <c r="U3302" s="52"/>
      <c r="V3302" s="52"/>
      <c r="W3302" s="52"/>
      <c r="X3302" s="52"/>
      <c r="Y3302" s="52"/>
      <c r="Z3302" s="52"/>
      <c r="AA3302" s="52"/>
      <c r="AB3302" s="52"/>
      <c r="AC3302" s="52"/>
      <c r="AD3302" s="52"/>
      <c r="AE3302" s="52"/>
      <c r="AF3302" s="52"/>
      <c r="AG3302" s="52"/>
      <c r="AH3302" s="52"/>
      <c r="AI3302" s="52"/>
      <c r="AJ3302" s="52"/>
      <c r="AK3302" s="52"/>
      <c r="AL3302" s="52"/>
      <c r="AM3302" s="52"/>
      <c r="AN3302" s="52"/>
    </row>
    <row r="3303" spans="1:40" x14ac:dyDescent="0.3">
      <c r="A3303" s="52">
        <v>3298</v>
      </c>
      <c r="B3303" s="52">
        <f>-bthan*500+(47+0.5)*bthan*1000/50</f>
        <v>2475</v>
      </c>
      <c r="C3303" s="52">
        <f t="shared" si="307"/>
        <v>510.00000000000023</v>
      </c>
      <c r="D3303" s="52">
        <f t="shared" si="305"/>
        <v>2200</v>
      </c>
      <c r="E3303" s="52">
        <f t="shared" si="306"/>
        <v>1</v>
      </c>
      <c r="F3303" s="52"/>
      <c r="G3303" s="52"/>
      <c r="H3303" s="52"/>
      <c r="I3303" s="52"/>
      <c r="J3303" s="52"/>
      <c r="K3303" s="52"/>
      <c r="L3303" s="52"/>
      <c r="M3303" s="52"/>
      <c r="N3303" s="52"/>
      <c r="O3303" s="52"/>
      <c r="P3303" s="52"/>
      <c r="Q3303" s="52"/>
      <c r="R3303" s="52"/>
      <c r="S3303" s="52"/>
      <c r="T3303" s="52"/>
      <c r="U3303" s="52"/>
      <c r="V3303" s="52"/>
      <c r="W3303" s="52"/>
      <c r="X3303" s="52"/>
      <c r="Y3303" s="52"/>
      <c r="Z3303" s="52"/>
      <c r="AA3303" s="52"/>
      <c r="AB3303" s="52"/>
      <c r="AC3303" s="52"/>
      <c r="AD3303" s="52"/>
      <c r="AE3303" s="52"/>
      <c r="AF3303" s="52"/>
      <c r="AG3303" s="52"/>
      <c r="AH3303" s="52"/>
      <c r="AI3303" s="52"/>
      <c r="AJ3303" s="52"/>
      <c r="AK3303" s="52"/>
      <c r="AL3303" s="52"/>
      <c r="AM3303" s="52"/>
      <c r="AN3303" s="52"/>
    </row>
    <row r="3304" spans="1:40" x14ac:dyDescent="0.3">
      <c r="A3304" s="52">
        <v>3299</v>
      </c>
      <c r="B3304" s="52">
        <f>-bthan*500+(48+0.5)*bthan*1000/50</f>
        <v>2585</v>
      </c>
      <c r="C3304" s="52">
        <f t="shared" si="307"/>
        <v>510.00000000000023</v>
      </c>
      <c r="D3304" s="52">
        <f t="shared" si="305"/>
        <v>2200</v>
      </c>
      <c r="E3304" s="52">
        <f t="shared" si="306"/>
        <v>0</v>
      </c>
      <c r="F3304" s="52"/>
      <c r="G3304" s="52"/>
      <c r="H3304" s="52"/>
      <c r="I3304" s="52"/>
      <c r="J3304" s="52"/>
      <c r="K3304" s="52"/>
      <c r="L3304" s="52"/>
      <c r="M3304" s="52"/>
      <c r="N3304" s="52"/>
      <c r="O3304" s="52"/>
      <c r="P3304" s="52"/>
      <c r="Q3304" s="52"/>
      <c r="R3304" s="52"/>
      <c r="S3304" s="52"/>
      <c r="T3304" s="52"/>
      <c r="U3304" s="52"/>
      <c r="V3304" s="52"/>
      <c r="W3304" s="52"/>
      <c r="X3304" s="52"/>
      <c r="Y3304" s="52"/>
      <c r="Z3304" s="52"/>
      <c r="AA3304" s="52"/>
      <c r="AB3304" s="52"/>
      <c r="AC3304" s="52"/>
      <c r="AD3304" s="52"/>
      <c r="AE3304" s="52"/>
      <c r="AF3304" s="52"/>
      <c r="AG3304" s="52"/>
      <c r="AH3304" s="52"/>
      <c r="AI3304" s="52"/>
      <c r="AJ3304" s="52"/>
      <c r="AK3304" s="52"/>
      <c r="AL3304" s="52"/>
      <c r="AM3304" s="52"/>
      <c r="AN3304" s="52"/>
    </row>
    <row r="3305" spans="1:40" x14ac:dyDescent="0.3">
      <c r="A3305" s="52">
        <v>3300</v>
      </c>
      <c r="B3305" s="52">
        <f>-bthan*500+(49+0.5)*bthan*1000/50</f>
        <v>2695</v>
      </c>
      <c r="C3305" s="52">
        <f t="shared" si="307"/>
        <v>510.00000000000023</v>
      </c>
      <c r="D3305" s="52">
        <f t="shared" si="305"/>
        <v>2200</v>
      </c>
      <c r="E3305" s="52">
        <f t="shared" si="306"/>
        <v>0</v>
      </c>
      <c r="F3305" s="52"/>
      <c r="G3305" s="52"/>
      <c r="H3305" s="52"/>
      <c r="I3305" s="52"/>
      <c r="J3305" s="52"/>
      <c r="K3305" s="52"/>
      <c r="L3305" s="52"/>
      <c r="M3305" s="52"/>
      <c r="N3305" s="52"/>
      <c r="O3305" s="52"/>
      <c r="P3305" s="52"/>
      <c r="Q3305" s="52"/>
      <c r="R3305" s="52"/>
      <c r="S3305" s="52"/>
      <c r="T3305" s="52"/>
      <c r="U3305" s="52"/>
      <c r="V3305" s="52"/>
      <c r="W3305" s="52"/>
      <c r="X3305" s="52"/>
      <c r="Y3305" s="52"/>
      <c r="Z3305" s="52"/>
      <c r="AA3305" s="52"/>
      <c r="AB3305" s="52"/>
      <c r="AC3305" s="52"/>
      <c r="AD3305" s="52"/>
      <c r="AE3305" s="52"/>
      <c r="AF3305" s="52"/>
      <c r="AG3305" s="52"/>
      <c r="AH3305" s="52"/>
      <c r="AI3305" s="52"/>
      <c r="AJ3305" s="52"/>
      <c r="AK3305" s="52"/>
      <c r="AL3305" s="52"/>
      <c r="AM3305" s="52"/>
      <c r="AN3305" s="52"/>
    </row>
    <row r="3306" spans="1:40" x14ac:dyDescent="0.3">
      <c r="A3306" s="52">
        <v>3301</v>
      </c>
      <c r="B3306" s="52">
        <f>-bthan*500+(0+0.5)*bthan*1000/50</f>
        <v>-2695</v>
      </c>
      <c r="C3306" s="52">
        <f t="shared" ref="C3306:C3337" si="308">-hthan*500+(66+0.5)*hthan*1000/80</f>
        <v>530</v>
      </c>
      <c r="D3306" s="52">
        <f t="shared" si="305"/>
        <v>2200</v>
      </c>
      <c r="E3306" s="52">
        <f t="shared" si="306"/>
        <v>0</v>
      </c>
      <c r="F3306" s="52"/>
      <c r="G3306" s="52"/>
      <c r="H3306" s="52"/>
      <c r="I3306" s="52"/>
      <c r="J3306" s="52"/>
      <c r="K3306" s="52"/>
      <c r="L3306" s="52"/>
      <c r="M3306" s="52"/>
      <c r="N3306" s="52"/>
      <c r="O3306" s="52"/>
      <c r="P3306" s="52"/>
      <c r="Q3306" s="52"/>
      <c r="R3306" s="52"/>
      <c r="S3306" s="52"/>
      <c r="T3306" s="52"/>
      <c r="U3306" s="52"/>
      <c r="V3306" s="52"/>
      <c r="W3306" s="52"/>
      <c r="X3306" s="52"/>
      <c r="Y3306" s="52"/>
      <c r="Z3306" s="52"/>
      <c r="AA3306" s="52"/>
      <c r="AB3306" s="52"/>
      <c r="AC3306" s="52"/>
      <c r="AD3306" s="52"/>
      <c r="AE3306" s="52"/>
      <c r="AF3306" s="52"/>
      <c r="AG3306" s="52"/>
      <c r="AH3306" s="52"/>
      <c r="AI3306" s="52"/>
      <c r="AJ3306" s="52"/>
      <c r="AK3306" s="52"/>
      <c r="AL3306" s="52"/>
      <c r="AM3306" s="52"/>
      <c r="AN3306" s="52"/>
    </row>
    <row r="3307" spans="1:40" x14ac:dyDescent="0.3">
      <c r="A3307" s="52">
        <v>3302</v>
      </c>
      <c r="B3307" s="52">
        <f>-bthan*500+(1+0.5)*bthan*1000/50</f>
        <v>-2585</v>
      </c>
      <c r="C3307" s="52">
        <f t="shared" si="308"/>
        <v>530</v>
      </c>
      <c r="D3307" s="52">
        <f t="shared" si="305"/>
        <v>2200</v>
      </c>
      <c r="E3307" s="52">
        <f t="shared" si="306"/>
        <v>0</v>
      </c>
      <c r="F3307" s="52"/>
      <c r="G3307" s="52"/>
      <c r="H3307" s="52"/>
      <c r="I3307" s="52"/>
      <c r="J3307" s="52"/>
      <c r="K3307" s="52"/>
      <c r="L3307" s="52"/>
      <c r="M3307" s="52"/>
      <c r="N3307" s="52"/>
      <c r="O3307" s="52"/>
      <c r="P3307" s="52"/>
      <c r="Q3307" s="52"/>
      <c r="R3307" s="52"/>
      <c r="S3307" s="52"/>
      <c r="T3307" s="52"/>
      <c r="U3307" s="52"/>
      <c r="V3307" s="52"/>
      <c r="W3307" s="52"/>
      <c r="X3307" s="52"/>
      <c r="Y3307" s="52"/>
      <c r="Z3307" s="52"/>
      <c r="AA3307" s="52"/>
      <c r="AB3307" s="52"/>
      <c r="AC3307" s="52"/>
      <c r="AD3307" s="52"/>
      <c r="AE3307" s="52"/>
      <c r="AF3307" s="52"/>
      <c r="AG3307" s="52"/>
      <c r="AH3307" s="52"/>
      <c r="AI3307" s="52"/>
      <c r="AJ3307" s="52"/>
      <c r="AK3307" s="52"/>
      <c r="AL3307" s="52"/>
      <c r="AM3307" s="52"/>
      <c r="AN3307" s="52"/>
    </row>
    <row r="3308" spans="1:40" x14ac:dyDescent="0.3">
      <c r="A3308" s="52">
        <v>3303</v>
      </c>
      <c r="B3308" s="52">
        <f>-bthan*500+(2+0.5)*bthan*1000/50</f>
        <v>-2475</v>
      </c>
      <c r="C3308" s="52">
        <f t="shared" si="308"/>
        <v>530</v>
      </c>
      <c r="D3308" s="52">
        <f t="shared" si="305"/>
        <v>2200</v>
      </c>
      <c r="E3308" s="52">
        <f t="shared" si="306"/>
        <v>1</v>
      </c>
      <c r="F3308" s="52"/>
      <c r="G3308" s="52"/>
      <c r="H3308" s="52"/>
      <c r="I3308" s="52"/>
      <c r="J3308" s="52"/>
      <c r="K3308" s="52"/>
      <c r="L3308" s="52"/>
      <c r="M3308" s="52"/>
      <c r="N3308" s="52"/>
      <c r="O3308" s="52"/>
      <c r="P3308" s="52"/>
      <c r="Q3308" s="52"/>
      <c r="R3308" s="52"/>
      <c r="S3308" s="52"/>
      <c r="T3308" s="52"/>
      <c r="U3308" s="52"/>
      <c r="V3308" s="52"/>
      <c r="W3308" s="52"/>
      <c r="X3308" s="52"/>
      <c r="Y3308" s="52"/>
      <c r="Z3308" s="52"/>
      <c r="AA3308" s="52"/>
      <c r="AB3308" s="52"/>
      <c r="AC3308" s="52"/>
      <c r="AD3308" s="52"/>
      <c r="AE3308" s="52"/>
      <c r="AF3308" s="52"/>
      <c r="AG3308" s="52"/>
      <c r="AH3308" s="52"/>
      <c r="AI3308" s="52"/>
      <c r="AJ3308" s="52"/>
      <c r="AK3308" s="52"/>
      <c r="AL3308" s="52"/>
      <c r="AM3308" s="52"/>
      <c r="AN3308" s="52"/>
    </row>
    <row r="3309" spans="1:40" x14ac:dyDescent="0.3">
      <c r="A3309" s="52">
        <v>3304</v>
      </c>
      <c r="B3309" s="52">
        <f>-bthan*500+(3+0.5)*bthan*1000/50</f>
        <v>-2365</v>
      </c>
      <c r="C3309" s="52">
        <f t="shared" si="308"/>
        <v>530</v>
      </c>
      <c r="D3309" s="52">
        <f t="shared" si="305"/>
        <v>2200</v>
      </c>
      <c r="E3309" s="52">
        <f t="shared" si="306"/>
        <v>1</v>
      </c>
      <c r="F3309" s="52"/>
      <c r="G3309" s="52"/>
      <c r="H3309" s="52"/>
      <c r="I3309" s="52"/>
      <c r="J3309" s="52"/>
      <c r="K3309" s="52"/>
      <c r="L3309" s="52"/>
      <c r="M3309" s="52"/>
      <c r="N3309" s="52"/>
      <c r="O3309" s="52"/>
      <c r="P3309" s="52"/>
      <c r="Q3309" s="52"/>
      <c r="R3309" s="52"/>
      <c r="S3309" s="52"/>
      <c r="T3309" s="52"/>
      <c r="U3309" s="52"/>
      <c r="V3309" s="52"/>
      <c r="W3309" s="52"/>
      <c r="X3309" s="52"/>
      <c r="Y3309" s="52"/>
      <c r="Z3309" s="52"/>
      <c r="AA3309" s="52"/>
      <c r="AB3309" s="52"/>
      <c r="AC3309" s="52"/>
      <c r="AD3309" s="52"/>
      <c r="AE3309" s="52"/>
      <c r="AF3309" s="52"/>
      <c r="AG3309" s="52"/>
      <c r="AH3309" s="52"/>
      <c r="AI3309" s="52"/>
      <c r="AJ3309" s="52"/>
      <c r="AK3309" s="52"/>
      <c r="AL3309" s="52"/>
      <c r="AM3309" s="52"/>
      <c r="AN3309" s="52"/>
    </row>
    <row r="3310" spans="1:40" x14ac:dyDescent="0.3">
      <c r="A3310" s="52">
        <v>3305</v>
      </c>
      <c r="B3310" s="52">
        <f>-bthan*500+(4+0.5)*bthan*1000/50</f>
        <v>-2255</v>
      </c>
      <c r="C3310" s="52">
        <f t="shared" si="308"/>
        <v>530</v>
      </c>
      <c r="D3310" s="52">
        <f t="shared" si="305"/>
        <v>2200</v>
      </c>
      <c r="E3310" s="52">
        <f t="shared" si="306"/>
        <v>1</v>
      </c>
      <c r="F3310" s="52"/>
      <c r="G3310" s="52"/>
      <c r="H3310" s="52"/>
      <c r="I3310" s="52"/>
      <c r="J3310" s="52"/>
      <c r="K3310" s="52"/>
      <c r="L3310" s="52"/>
      <c r="M3310" s="52"/>
      <c r="N3310" s="52"/>
      <c r="O3310" s="52"/>
      <c r="P3310" s="52"/>
      <c r="Q3310" s="52"/>
      <c r="R3310" s="52"/>
      <c r="S3310" s="52"/>
      <c r="T3310" s="52"/>
      <c r="U3310" s="52"/>
      <c r="V3310" s="52"/>
      <c r="W3310" s="52"/>
      <c r="X3310" s="52"/>
      <c r="Y3310" s="52"/>
      <c r="Z3310" s="52"/>
      <c r="AA3310" s="52"/>
      <c r="AB3310" s="52"/>
      <c r="AC3310" s="52"/>
      <c r="AD3310" s="52"/>
      <c r="AE3310" s="52"/>
      <c r="AF3310" s="52"/>
      <c r="AG3310" s="52"/>
      <c r="AH3310" s="52"/>
      <c r="AI3310" s="52"/>
      <c r="AJ3310" s="52"/>
      <c r="AK3310" s="52"/>
      <c r="AL3310" s="52"/>
      <c r="AM3310" s="52"/>
      <c r="AN3310" s="52"/>
    </row>
    <row r="3311" spans="1:40" x14ac:dyDescent="0.3">
      <c r="A3311" s="52">
        <v>3306</v>
      </c>
      <c r="B3311" s="52">
        <f>-bthan*500+(5+0.5)*bthan*1000/50</f>
        <v>-2145</v>
      </c>
      <c r="C3311" s="52">
        <f t="shared" si="308"/>
        <v>530</v>
      </c>
      <c r="D3311" s="52">
        <f t="shared" si="305"/>
        <v>2200</v>
      </c>
      <c r="E3311" s="52">
        <f t="shared" si="306"/>
        <v>1</v>
      </c>
      <c r="F3311" s="52"/>
      <c r="G3311" s="52"/>
      <c r="H3311" s="52"/>
      <c r="I3311" s="52"/>
      <c r="J3311" s="52"/>
      <c r="K3311" s="52"/>
      <c r="L3311" s="52"/>
      <c r="M3311" s="52"/>
      <c r="N3311" s="52"/>
      <c r="O3311" s="52"/>
      <c r="P3311" s="52"/>
      <c r="Q3311" s="52"/>
      <c r="R3311" s="52"/>
      <c r="S3311" s="52"/>
      <c r="T3311" s="52"/>
      <c r="U3311" s="52"/>
      <c r="V3311" s="52"/>
      <c r="W3311" s="52"/>
      <c r="X3311" s="52"/>
      <c r="Y3311" s="52"/>
      <c r="Z3311" s="52"/>
      <c r="AA3311" s="52"/>
      <c r="AB3311" s="52"/>
      <c r="AC3311" s="52"/>
      <c r="AD3311" s="52"/>
      <c r="AE3311" s="52"/>
      <c r="AF3311" s="52"/>
      <c r="AG3311" s="52"/>
      <c r="AH3311" s="52"/>
      <c r="AI3311" s="52"/>
      <c r="AJ3311" s="52"/>
      <c r="AK3311" s="52"/>
      <c r="AL3311" s="52"/>
      <c r="AM3311" s="52"/>
      <c r="AN3311" s="52"/>
    </row>
    <row r="3312" spans="1:40" x14ac:dyDescent="0.3">
      <c r="A3312" s="52">
        <v>3307</v>
      </c>
      <c r="B3312" s="52">
        <f>-bthan*500+(6+0.5)*bthan*1000/50</f>
        <v>-2035</v>
      </c>
      <c r="C3312" s="52">
        <f t="shared" si="308"/>
        <v>530</v>
      </c>
      <c r="D3312" s="52">
        <f t="shared" si="305"/>
        <v>2200</v>
      </c>
      <c r="E3312" s="52">
        <f t="shared" si="306"/>
        <v>1</v>
      </c>
      <c r="F3312" s="52"/>
      <c r="G3312" s="52"/>
      <c r="H3312" s="52"/>
      <c r="I3312" s="52"/>
      <c r="J3312" s="52"/>
      <c r="K3312" s="52"/>
      <c r="L3312" s="52"/>
      <c r="M3312" s="52"/>
      <c r="N3312" s="52"/>
      <c r="O3312" s="52"/>
      <c r="P3312" s="52"/>
      <c r="Q3312" s="52"/>
      <c r="R3312" s="52"/>
      <c r="S3312" s="52"/>
      <c r="T3312" s="52"/>
      <c r="U3312" s="52"/>
      <c r="V3312" s="52"/>
      <c r="W3312" s="52"/>
      <c r="X3312" s="52"/>
      <c r="Y3312" s="52"/>
      <c r="Z3312" s="52"/>
      <c r="AA3312" s="52"/>
      <c r="AB3312" s="52"/>
      <c r="AC3312" s="52"/>
      <c r="AD3312" s="52"/>
      <c r="AE3312" s="52"/>
      <c r="AF3312" s="52"/>
      <c r="AG3312" s="52"/>
      <c r="AH3312" s="52"/>
      <c r="AI3312" s="52"/>
      <c r="AJ3312" s="52"/>
      <c r="AK3312" s="52"/>
      <c r="AL3312" s="52"/>
      <c r="AM3312" s="52"/>
      <c r="AN3312" s="52"/>
    </row>
    <row r="3313" spans="1:40" x14ac:dyDescent="0.3">
      <c r="A3313" s="52">
        <v>3308</v>
      </c>
      <c r="B3313" s="52">
        <f>-bthan*500+(7+0.5)*bthan*1000/50</f>
        <v>-1925</v>
      </c>
      <c r="C3313" s="52">
        <f t="shared" si="308"/>
        <v>530</v>
      </c>
      <c r="D3313" s="52">
        <f t="shared" si="305"/>
        <v>2200</v>
      </c>
      <c r="E3313" s="52">
        <f t="shared" si="306"/>
        <v>1</v>
      </c>
      <c r="F3313" s="52"/>
      <c r="G3313" s="52"/>
      <c r="H3313" s="52"/>
      <c r="I3313" s="52"/>
      <c r="J3313" s="52"/>
      <c r="K3313" s="52"/>
      <c r="L3313" s="52"/>
      <c r="M3313" s="52"/>
      <c r="N3313" s="52"/>
      <c r="O3313" s="52"/>
      <c r="P3313" s="52"/>
      <c r="Q3313" s="52"/>
      <c r="R3313" s="52"/>
      <c r="S3313" s="52"/>
      <c r="T3313" s="52"/>
      <c r="U3313" s="52"/>
      <c r="V3313" s="52"/>
      <c r="W3313" s="52"/>
      <c r="X3313" s="52"/>
      <c r="Y3313" s="52"/>
      <c r="Z3313" s="52"/>
      <c r="AA3313" s="52"/>
      <c r="AB3313" s="52"/>
      <c r="AC3313" s="52"/>
      <c r="AD3313" s="52"/>
      <c r="AE3313" s="52"/>
      <c r="AF3313" s="52"/>
      <c r="AG3313" s="52"/>
      <c r="AH3313" s="52"/>
      <c r="AI3313" s="52"/>
      <c r="AJ3313" s="52"/>
      <c r="AK3313" s="52"/>
      <c r="AL3313" s="52"/>
      <c r="AM3313" s="52"/>
      <c r="AN3313" s="52"/>
    </row>
    <row r="3314" spans="1:40" x14ac:dyDescent="0.3">
      <c r="A3314" s="52">
        <v>3309</v>
      </c>
      <c r="B3314" s="52">
        <f>-bthan*500+(8+0.5)*bthan*1000/50</f>
        <v>-1815</v>
      </c>
      <c r="C3314" s="52">
        <f t="shared" si="308"/>
        <v>530</v>
      </c>
      <c r="D3314" s="52">
        <f t="shared" si="305"/>
        <v>2200</v>
      </c>
      <c r="E3314" s="52">
        <f t="shared" si="306"/>
        <v>1</v>
      </c>
      <c r="F3314" s="52"/>
      <c r="G3314" s="52"/>
      <c r="H3314" s="52"/>
      <c r="I3314" s="52"/>
      <c r="J3314" s="52"/>
      <c r="K3314" s="52"/>
      <c r="L3314" s="52"/>
      <c r="M3314" s="52"/>
      <c r="N3314" s="52"/>
      <c r="O3314" s="52"/>
      <c r="P3314" s="52"/>
      <c r="Q3314" s="52"/>
      <c r="R3314" s="52"/>
      <c r="S3314" s="52"/>
      <c r="T3314" s="52"/>
      <c r="U3314" s="52"/>
      <c r="V3314" s="52"/>
      <c r="W3314" s="52"/>
      <c r="X3314" s="52"/>
      <c r="Y3314" s="52"/>
      <c r="Z3314" s="52"/>
      <c r="AA3314" s="52"/>
      <c r="AB3314" s="52"/>
      <c r="AC3314" s="52"/>
      <c r="AD3314" s="52"/>
      <c r="AE3314" s="52"/>
      <c r="AF3314" s="52"/>
      <c r="AG3314" s="52"/>
      <c r="AH3314" s="52"/>
      <c r="AI3314" s="52"/>
      <c r="AJ3314" s="52"/>
      <c r="AK3314" s="52"/>
      <c r="AL3314" s="52"/>
      <c r="AM3314" s="52"/>
      <c r="AN3314" s="52"/>
    </row>
    <row r="3315" spans="1:40" x14ac:dyDescent="0.3">
      <c r="A3315" s="52">
        <v>3310</v>
      </c>
      <c r="B3315" s="52">
        <f>-bthan*500+(9+0.5)*bthan*1000/50</f>
        <v>-1705</v>
      </c>
      <c r="C3315" s="52">
        <f t="shared" si="308"/>
        <v>530</v>
      </c>
      <c r="D3315" s="52">
        <f t="shared" si="305"/>
        <v>2200</v>
      </c>
      <c r="E3315" s="52">
        <f t="shared" si="306"/>
        <v>1</v>
      </c>
      <c r="F3315" s="52"/>
      <c r="G3315" s="52"/>
      <c r="H3315" s="52"/>
      <c r="I3315" s="52"/>
      <c r="J3315" s="52"/>
      <c r="K3315" s="52"/>
      <c r="L3315" s="52"/>
      <c r="M3315" s="52"/>
      <c r="N3315" s="52"/>
      <c r="O3315" s="52"/>
      <c r="P3315" s="52"/>
      <c r="Q3315" s="52"/>
      <c r="R3315" s="52"/>
      <c r="S3315" s="52"/>
      <c r="T3315" s="52"/>
      <c r="U3315" s="52"/>
      <c r="V3315" s="52"/>
      <c r="W3315" s="52"/>
      <c r="X3315" s="52"/>
      <c r="Y3315" s="52"/>
      <c r="Z3315" s="52"/>
      <c r="AA3315" s="52"/>
      <c r="AB3315" s="52"/>
      <c r="AC3315" s="52"/>
      <c r="AD3315" s="52"/>
      <c r="AE3315" s="52"/>
      <c r="AF3315" s="52"/>
      <c r="AG3315" s="52"/>
      <c r="AH3315" s="52"/>
      <c r="AI3315" s="52"/>
      <c r="AJ3315" s="52"/>
      <c r="AK3315" s="52"/>
      <c r="AL3315" s="52"/>
      <c r="AM3315" s="52"/>
      <c r="AN3315" s="52"/>
    </row>
    <row r="3316" spans="1:40" x14ac:dyDescent="0.3">
      <c r="A3316" s="52">
        <v>3311</v>
      </c>
      <c r="B3316" s="52">
        <f>-bthan*500+(10+0.5)*bthan*1000/50</f>
        <v>-1595</v>
      </c>
      <c r="C3316" s="52">
        <f t="shared" si="308"/>
        <v>530</v>
      </c>
      <c r="D3316" s="52">
        <f t="shared" si="305"/>
        <v>2200</v>
      </c>
      <c r="E3316" s="52">
        <f t="shared" si="306"/>
        <v>1</v>
      </c>
      <c r="F3316" s="52"/>
      <c r="G3316" s="52"/>
      <c r="H3316" s="52"/>
      <c r="I3316" s="52"/>
      <c r="J3316" s="52"/>
      <c r="K3316" s="52"/>
      <c r="L3316" s="52"/>
      <c r="M3316" s="52"/>
      <c r="N3316" s="52"/>
      <c r="O3316" s="52"/>
      <c r="P3316" s="52"/>
      <c r="Q3316" s="52"/>
      <c r="R3316" s="52"/>
      <c r="S3316" s="52"/>
      <c r="T3316" s="52"/>
      <c r="U3316" s="52"/>
      <c r="V3316" s="52"/>
      <c r="W3316" s="52"/>
      <c r="X3316" s="52"/>
      <c r="Y3316" s="52"/>
      <c r="Z3316" s="52"/>
      <c r="AA3316" s="52"/>
      <c r="AB3316" s="52"/>
      <c r="AC3316" s="52"/>
      <c r="AD3316" s="52"/>
      <c r="AE3316" s="52"/>
      <c r="AF3316" s="52"/>
      <c r="AG3316" s="52"/>
      <c r="AH3316" s="52"/>
      <c r="AI3316" s="52"/>
      <c r="AJ3316" s="52"/>
      <c r="AK3316" s="52"/>
      <c r="AL3316" s="52"/>
      <c r="AM3316" s="52"/>
      <c r="AN3316" s="52"/>
    </row>
    <row r="3317" spans="1:40" x14ac:dyDescent="0.3">
      <c r="A3317" s="52">
        <v>3312</v>
      </c>
      <c r="B3317" s="52">
        <f>-bthan*500+(11+0.5)*bthan*1000/50</f>
        <v>-1485</v>
      </c>
      <c r="C3317" s="52">
        <f t="shared" si="308"/>
        <v>530</v>
      </c>
      <c r="D3317" s="52">
        <f t="shared" si="305"/>
        <v>2200</v>
      </c>
      <c r="E3317" s="52">
        <f t="shared" si="306"/>
        <v>1</v>
      </c>
      <c r="F3317" s="52"/>
      <c r="G3317" s="52"/>
      <c r="H3317" s="52"/>
      <c r="I3317" s="52"/>
      <c r="J3317" s="52"/>
      <c r="K3317" s="52"/>
      <c r="L3317" s="52"/>
      <c r="M3317" s="52"/>
      <c r="N3317" s="52"/>
      <c r="O3317" s="52"/>
      <c r="P3317" s="52"/>
      <c r="Q3317" s="52"/>
      <c r="R3317" s="52"/>
      <c r="S3317" s="52"/>
      <c r="T3317" s="52"/>
      <c r="U3317" s="52"/>
      <c r="V3317" s="52"/>
      <c r="W3317" s="52"/>
      <c r="X3317" s="52"/>
      <c r="Y3317" s="52"/>
      <c r="Z3317" s="52"/>
      <c r="AA3317" s="52"/>
      <c r="AB3317" s="52"/>
      <c r="AC3317" s="52"/>
      <c r="AD3317" s="52"/>
      <c r="AE3317" s="52"/>
      <c r="AF3317" s="52"/>
      <c r="AG3317" s="52"/>
      <c r="AH3317" s="52"/>
      <c r="AI3317" s="52"/>
      <c r="AJ3317" s="52"/>
      <c r="AK3317" s="52"/>
      <c r="AL3317" s="52"/>
      <c r="AM3317" s="52"/>
      <c r="AN3317" s="52"/>
    </row>
    <row r="3318" spans="1:40" x14ac:dyDescent="0.3">
      <c r="A3318" s="52">
        <v>3313</v>
      </c>
      <c r="B3318" s="52">
        <f>-bthan*500+(12+0.5)*bthan*1000/50</f>
        <v>-1375</v>
      </c>
      <c r="C3318" s="52">
        <f t="shared" si="308"/>
        <v>530</v>
      </c>
      <c r="D3318" s="52">
        <f t="shared" si="305"/>
        <v>2200</v>
      </c>
      <c r="E3318" s="52">
        <f t="shared" si="306"/>
        <v>1</v>
      </c>
      <c r="F3318" s="52"/>
      <c r="G3318" s="52"/>
      <c r="H3318" s="52"/>
      <c r="I3318" s="52"/>
      <c r="J3318" s="52"/>
      <c r="K3318" s="52"/>
      <c r="L3318" s="52"/>
      <c r="M3318" s="52"/>
      <c r="N3318" s="52"/>
      <c r="O3318" s="52"/>
      <c r="P3318" s="52"/>
      <c r="Q3318" s="52"/>
      <c r="R3318" s="52"/>
      <c r="S3318" s="52"/>
      <c r="T3318" s="52"/>
      <c r="U3318" s="52"/>
      <c r="V3318" s="52"/>
      <c r="W3318" s="52"/>
      <c r="X3318" s="52"/>
      <c r="Y3318" s="52"/>
      <c r="Z3318" s="52"/>
      <c r="AA3318" s="52"/>
      <c r="AB3318" s="52"/>
      <c r="AC3318" s="52"/>
      <c r="AD3318" s="52"/>
      <c r="AE3318" s="52"/>
      <c r="AF3318" s="52"/>
      <c r="AG3318" s="52"/>
      <c r="AH3318" s="52"/>
      <c r="AI3318" s="52"/>
      <c r="AJ3318" s="52"/>
      <c r="AK3318" s="52"/>
      <c r="AL3318" s="52"/>
      <c r="AM3318" s="52"/>
      <c r="AN3318" s="52"/>
    </row>
    <row r="3319" spans="1:40" x14ac:dyDescent="0.3">
      <c r="A3319" s="52">
        <v>3314</v>
      </c>
      <c r="B3319" s="52">
        <f>-bthan*500+(13+0.5)*bthan*1000/50</f>
        <v>-1265</v>
      </c>
      <c r="C3319" s="52">
        <f t="shared" si="308"/>
        <v>530</v>
      </c>
      <c r="D3319" s="52">
        <f t="shared" si="305"/>
        <v>2200</v>
      </c>
      <c r="E3319" s="52">
        <f t="shared" si="306"/>
        <v>1</v>
      </c>
      <c r="F3319" s="52"/>
      <c r="G3319" s="52"/>
      <c r="H3319" s="52"/>
      <c r="I3319" s="52"/>
      <c r="J3319" s="52"/>
      <c r="K3319" s="52"/>
      <c r="L3319" s="52"/>
      <c r="M3319" s="52"/>
      <c r="N3319" s="52"/>
      <c r="O3319" s="52"/>
      <c r="P3319" s="52"/>
      <c r="Q3319" s="52"/>
      <c r="R3319" s="52"/>
      <c r="S3319" s="52"/>
      <c r="T3319" s="52"/>
      <c r="U3319" s="52"/>
      <c r="V3319" s="52"/>
      <c r="W3319" s="52"/>
      <c r="X3319" s="52"/>
      <c r="Y3319" s="52"/>
      <c r="Z3319" s="52"/>
      <c r="AA3319" s="52"/>
      <c r="AB3319" s="52"/>
      <c r="AC3319" s="52"/>
      <c r="AD3319" s="52"/>
      <c r="AE3319" s="52"/>
      <c r="AF3319" s="52"/>
      <c r="AG3319" s="52"/>
      <c r="AH3319" s="52"/>
      <c r="AI3319" s="52"/>
      <c r="AJ3319" s="52"/>
      <c r="AK3319" s="52"/>
      <c r="AL3319" s="52"/>
      <c r="AM3319" s="52"/>
      <c r="AN3319" s="52"/>
    </row>
    <row r="3320" spans="1:40" x14ac:dyDescent="0.3">
      <c r="A3320" s="52">
        <v>3315</v>
      </c>
      <c r="B3320" s="52">
        <f>-bthan*500+(14+0.5)*bthan*1000/50</f>
        <v>-1155</v>
      </c>
      <c r="C3320" s="52">
        <f t="shared" si="308"/>
        <v>530</v>
      </c>
      <c r="D3320" s="52">
        <f t="shared" si="305"/>
        <v>2200</v>
      </c>
      <c r="E3320" s="52">
        <f t="shared" si="306"/>
        <v>1</v>
      </c>
      <c r="F3320" s="52"/>
      <c r="G3320" s="52"/>
      <c r="H3320" s="52"/>
      <c r="I3320" s="52"/>
      <c r="J3320" s="52"/>
      <c r="K3320" s="52"/>
      <c r="L3320" s="52"/>
      <c r="M3320" s="52"/>
      <c r="N3320" s="52"/>
      <c r="O3320" s="52"/>
      <c r="P3320" s="52"/>
      <c r="Q3320" s="52"/>
      <c r="R3320" s="52"/>
      <c r="S3320" s="52"/>
      <c r="T3320" s="52"/>
      <c r="U3320" s="52"/>
      <c r="V3320" s="52"/>
      <c r="W3320" s="52"/>
      <c r="X3320" s="52"/>
      <c r="Y3320" s="52"/>
      <c r="Z3320" s="52"/>
      <c r="AA3320" s="52"/>
      <c r="AB3320" s="52"/>
      <c r="AC3320" s="52"/>
      <c r="AD3320" s="52"/>
      <c r="AE3320" s="52"/>
      <c r="AF3320" s="52"/>
      <c r="AG3320" s="52"/>
      <c r="AH3320" s="52"/>
      <c r="AI3320" s="52"/>
      <c r="AJ3320" s="52"/>
      <c r="AK3320" s="52"/>
      <c r="AL3320" s="52"/>
      <c r="AM3320" s="52"/>
      <c r="AN3320" s="52"/>
    </row>
    <row r="3321" spans="1:40" x14ac:dyDescent="0.3">
      <c r="A3321" s="52">
        <v>3316</v>
      </c>
      <c r="B3321" s="52">
        <f>-bthan*500+(15+0.5)*bthan*1000/50</f>
        <v>-1045</v>
      </c>
      <c r="C3321" s="52">
        <f t="shared" si="308"/>
        <v>530</v>
      </c>
      <c r="D3321" s="52">
        <f t="shared" si="305"/>
        <v>2200</v>
      </c>
      <c r="E3321" s="52">
        <f t="shared" si="306"/>
        <v>1</v>
      </c>
      <c r="F3321" s="52"/>
      <c r="G3321" s="52"/>
      <c r="H3321" s="52"/>
      <c r="I3321" s="52"/>
      <c r="J3321" s="52"/>
      <c r="K3321" s="52"/>
      <c r="L3321" s="52"/>
      <c r="M3321" s="52"/>
      <c r="N3321" s="52"/>
      <c r="O3321" s="52"/>
      <c r="P3321" s="52"/>
      <c r="Q3321" s="52"/>
      <c r="R3321" s="52"/>
      <c r="S3321" s="52"/>
      <c r="T3321" s="52"/>
      <c r="U3321" s="52"/>
      <c r="V3321" s="52"/>
      <c r="W3321" s="52"/>
      <c r="X3321" s="52"/>
      <c r="Y3321" s="52"/>
      <c r="Z3321" s="52"/>
      <c r="AA3321" s="52"/>
      <c r="AB3321" s="52"/>
      <c r="AC3321" s="52"/>
      <c r="AD3321" s="52"/>
      <c r="AE3321" s="52"/>
      <c r="AF3321" s="52"/>
      <c r="AG3321" s="52"/>
      <c r="AH3321" s="52"/>
      <c r="AI3321" s="52"/>
      <c r="AJ3321" s="52"/>
      <c r="AK3321" s="52"/>
      <c r="AL3321" s="52"/>
      <c r="AM3321" s="52"/>
      <c r="AN3321" s="52"/>
    </row>
    <row r="3322" spans="1:40" x14ac:dyDescent="0.3">
      <c r="A3322" s="52">
        <v>3317</v>
      </c>
      <c r="B3322" s="52">
        <f>-bthan*500+(16+0.5)*bthan*1000/50</f>
        <v>-935</v>
      </c>
      <c r="C3322" s="52">
        <f t="shared" si="308"/>
        <v>530</v>
      </c>
      <c r="D3322" s="52">
        <f t="shared" si="305"/>
        <v>2200</v>
      </c>
      <c r="E3322" s="52">
        <f t="shared" si="306"/>
        <v>1</v>
      </c>
      <c r="F3322" s="52"/>
      <c r="G3322" s="52"/>
      <c r="H3322" s="52"/>
      <c r="I3322" s="52"/>
      <c r="J3322" s="52"/>
      <c r="K3322" s="52"/>
      <c r="L3322" s="52"/>
      <c r="M3322" s="52"/>
      <c r="N3322" s="52"/>
      <c r="O3322" s="52"/>
      <c r="P3322" s="52"/>
      <c r="Q3322" s="52"/>
      <c r="R3322" s="52"/>
      <c r="S3322" s="52"/>
      <c r="T3322" s="52"/>
      <c r="U3322" s="52"/>
      <c r="V3322" s="52"/>
      <c r="W3322" s="52"/>
      <c r="X3322" s="52"/>
      <c r="Y3322" s="52"/>
      <c r="Z3322" s="52"/>
      <c r="AA3322" s="52"/>
      <c r="AB3322" s="52"/>
      <c r="AC3322" s="52"/>
      <c r="AD3322" s="52"/>
      <c r="AE3322" s="52"/>
      <c r="AF3322" s="52"/>
      <c r="AG3322" s="52"/>
      <c r="AH3322" s="52"/>
      <c r="AI3322" s="52"/>
      <c r="AJ3322" s="52"/>
      <c r="AK3322" s="52"/>
      <c r="AL3322" s="52"/>
      <c r="AM3322" s="52"/>
      <c r="AN3322" s="52"/>
    </row>
    <row r="3323" spans="1:40" x14ac:dyDescent="0.3">
      <c r="A3323" s="52">
        <v>3318</v>
      </c>
      <c r="B3323" s="52">
        <f>-bthan*500+(17+0.5)*bthan*1000/50</f>
        <v>-825</v>
      </c>
      <c r="C3323" s="52">
        <f t="shared" si="308"/>
        <v>530</v>
      </c>
      <c r="D3323" s="52">
        <f t="shared" si="305"/>
        <v>2200</v>
      </c>
      <c r="E3323" s="52">
        <f t="shared" si="306"/>
        <v>1</v>
      </c>
      <c r="F3323" s="52"/>
      <c r="G3323" s="52"/>
      <c r="H3323" s="52"/>
      <c r="I3323" s="52"/>
      <c r="J3323" s="52"/>
      <c r="K3323" s="52"/>
      <c r="L3323" s="52"/>
      <c r="M3323" s="52"/>
      <c r="N3323" s="52"/>
      <c r="O3323" s="52"/>
      <c r="P3323" s="52"/>
      <c r="Q3323" s="52"/>
      <c r="R3323" s="52"/>
      <c r="S3323" s="52"/>
      <c r="T3323" s="52"/>
      <c r="U3323" s="52"/>
      <c r="V3323" s="52"/>
      <c r="W3323" s="52"/>
      <c r="X3323" s="52"/>
      <c r="Y3323" s="52"/>
      <c r="Z3323" s="52"/>
      <c r="AA3323" s="52"/>
      <c r="AB3323" s="52"/>
      <c r="AC3323" s="52"/>
      <c r="AD3323" s="52"/>
      <c r="AE3323" s="52"/>
      <c r="AF3323" s="52"/>
      <c r="AG3323" s="52"/>
      <c r="AH3323" s="52"/>
      <c r="AI3323" s="52"/>
      <c r="AJ3323" s="52"/>
      <c r="AK3323" s="52"/>
      <c r="AL3323" s="52"/>
      <c r="AM3323" s="52"/>
      <c r="AN3323" s="52"/>
    </row>
    <row r="3324" spans="1:40" x14ac:dyDescent="0.3">
      <c r="A3324" s="52">
        <v>3319</v>
      </c>
      <c r="B3324" s="52">
        <f>-bthan*500+(18+0.5)*bthan*1000/50</f>
        <v>-715</v>
      </c>
      <c r="C3324" s="52">
        <f t="shared" si="308"/>
        <v>530</v>
      </c>
      <c r="D3324" s="52">
        <f t="shared" si="305"/>
        <v>2200</v>
      </c>
      <c r="E3324" s="52">
        <f t="shared" si="306"/>
        <v>1</v>
      </c>
      <c r="F3324" s="52"/>
      <c r="G3324" s="52"/>
      <c r="H3324" s="52"/>
      <c r="I3324" s="52"/>
      <c r="J3324" s="52"/>
      <c r="K3324" s="52"/>
      <c r="L3324" s="52"/>
      <c r="M3324" s="52"/>
      <c r="N3324" s="52"/>
      <c r="O3324" s="52"/>
      <c r="P3324" s="52"/>
      <c r="Q3324" s="52"/>
      <c r="R3324" s="52"/>
      <c r="S3324" s="52"/>
      <c r="T3324" s="52"/>
      <c r="U3324" s="52"/>
      <c r="V3324" s="52"/>
      <c r="W3324" s="52"/>
      <c r="X3324" s="52"/>
      <c r="Y3324" s="52"/>
      <c r="Z3324" s="52"/>
      <c r="AA3324" s="52"/>
      <c r="AB3324" s="52"/>
      <c r="AC3324" s="52"/>
      <c r="AD3324" s="52"/>
      <c r="AE3324" s="52"/>
      <c r="AF3324" s="52"/>
      <c r="AG3324" s="52"/>
      <c r="AH3324" s="52"/>
      <c r="AI3324" s="52"/>
      <c r="AJ3324" s="52"/>
      <c r="AK3324" s="52"/>
      <c r="AL3324" s="52"/>
      <c r="AM3324" s="52"/>
      <c r="AN3324" s="52"/>
    </row>
    <row r="3325" spans="1:40" x14ac:dyDescent="0.3">
      <c r="A3325" s="52">
        <v>3320</v>
      </c>
      <c r="B3325" s="52">
        <f>-bthan*500+(19+0.5)*bthan*1000/50</f>
        <v>-605</v>
      </c>
      <c r="C3325" s="52">
        <f t="shared" si="308"/>
        <v>530</v>
      </c>
      <c r="D3325" s="52">
        <f t="shared" si="305"/>
        <v>2200</v>
      </c>
      <c r="E3325" s="52">
        <f t="shared" si="306"/>
        <v>1</v>
      </c>
      <c r="F3325" s="52"/>
      <c r="G3325" s="52"/>
      <c r="H3325" s="52"/>
      <c r="I3325" s="52"/>
      <c r="J3325" s="52"/>
      <c r="K3325" s="52"/>
      <c r="L3325" s="52"/>
      <c r="M3325" s="52"/>
      <c r="N3325" s="52"/>
      <c r="O3325" s="52"/>
      <c r="P3325" s="52"/>
      <c r="Q3325" s="52"/>
      <c r="R3325" s="52"/>
      <c r="S3325" s="52"/>
      <c r="T3325" s="52"/>
      <c r="U3325" s="52"/>
      <c r="V3325" s="52"/>
      <c r="W3325" s="52"/>
      <c r="X3325" s="52"/>
      <c r="Y3325" s="52"/>
      <c r="Z3325" s="52"/>
      <c r="AA3325" s="52"/>
      <c r="AB3325" s="52"/>
      <c r="AC3325" s="52"/>
      <c r="AD3325" s="52"/>
      <c r="AE3325" s="52"/>
      <c r="AF3325" s="52"/>
      <c r="AG3325" s="52"/>
      <c r="AH3325" s="52"/>
      <c r="AI3325" s="52"/>
      <c r="AJ3325" s="52"/>
      <c r="AK3325" s="52"/>
      <c r="AL3325" s="52"/>
      <c r="AM3325" s="52"/>
      <c r="AN3325" s="52"/>
    </row>
    <row r="3326" spans="1:40" x14ac:dyDescent="0.3">
      <c r="A3326" s="52">
        <v>3321</v>
      </c>
      <c r="B3326" s="52">
        <f>-bthan*500+(20+0.5)*bthan*1000/50</f>
        <v>-495</v>
      </c>
      <c r="C3326" s="52">
        <f t="shared" si="308"/>
        <v>530</v>
      </c>
      <c r="D3326" s="52">
        <f t="shared" si="305"/>
        <v>2200</v>
      </c>
      <c r="E3326" s="52">
        <f t="shared" si="306"/>
        <v>1</v>
      </c>
      <c r="F3326" s="52"/>
      <c r="G3326" s="52"/>
      <c r="H3326" s="52"/>
      <c r="I3326" s="52"/>
      <c r="J3326" s="52"/>
      <c r="K3326" s="52"/>
      <c r="L3326" s="52"/>
      <c r="M3326" s="52"/>
      <c r="N3326" s="52"/>
      <c r="O3326" s="52"/>
      <c r="P3326" s="52"/>
      <c r="Q3326" s="52"/>
      <c r="R3326" s="52"/>
      <c r="S3326" s="52"/>
      <c r="T3326" s="52"/>
      <c r="U3326" s="52"/>
      <c r="V3326" s="52"/>
      <c r="W3326" s="52"/>
      <c r="X3326" s="52"/>
      <c r="Y3326" s="52"/>
      <c r="Z3326" s="52"/>
      <c r="AA3326" s="52"/>
      <c r="AB3326" s="52"/>
      <c r="AC3326" s="52"/>
      <c r="AD3326" s="52"/>
      <c r="AE3326" s="52"/>
      <c r="AF3326" s="52"/>
      <c r="AG3326" s="52"/>
      <c r="AH3326" s="52"/>
      <c r="AI3326" s="52"/>
      <c r="AJ3326" s="52"/>
      <c r="AK3326" s="52"/>
      <c r="AL3326" s="52"/>
      <c r="AM3326" s="52"/>
      <c r="AN3326" s="52"/>
    </row>
    <row r="3327" spans="1:40" x14ac:dyDescent="0.3">
      <c r="A3327" s="52">
        <v>3322</v>
      </c>
      <c r="B3327" s="52">
        <f>-bthan*500+(21+0.5)*bthan*1000/50</f>
        <v>-385</v>
      </c>
      <c r="C3327" s="52">
        <f t="shared" si="308"/>
        <v>530</v>
      </c>
      <c r="D3327" s="52">
        <f t="shared" si="305"/>
        <v>2200</v>
      </c>
      <c r="E3327" s="52">
        <f t="shared" si="306"/>
        <v>1</v>
      </c>
      <c r="F3327" s="52"/>
      <c r="G3327" s="52"/>
      <c r="H3327" s="52"/>
      <c r="I3327" s="52"/>
      <c r="J3327" s="52"/>
      <c r="K3327" s="52"/>
      <c r="L3327" s="52"/>
      <c r="M3327" s="52"/>
      <c r="N3327" s="52"/>
      <c r="O3327" s="52"/>
      <c r="P3327" s="52"/>
      <c r="Q3327" s="52"/>
      <c r="R3327" s="52"/>
      <c r="S3327" s="52"/>
      <c r="T3327" s="52"/>
      <c r="U3327" s="52"/>
      <c r="V3327" s="52"/>
      <c r="W3327" s="52"/>
      <c r="X3327" s="52"/>
      <c r="Y3327" s="52"/>
      <c r="Z3327" s="52"/>
      <c r="AA3327" s="52"/>
      <c r="AB3327" s="52"/>
      <c r="AC3327" s="52"/>
      <c r="AD3327" s="52"/>
      <c r="AE3327" s="52"/>
      <c r="AF3327" s="52"/>
      <c r="AG3327" s="52"/>
      <c r="AH3327" s="52"/>
      <c r="AI3327" s="52"/>
      <c r="AJ3327" s="52"/>
      <c r="AK3327" s="52"/>
      <c r="AL3327" s="52"/>
      <c r="AM3327" s="52"/>
      <c r="AN3327" s="52"/>
    </row>
    <row r="3328" spans="1:40" x14ac:dyDescent="0.3">
      <c r="A3328" s="52">
        <v>3323</v>
      </c>
      <c r="B3328" s="52">
        <f>-bthan*500+(22+0.5)*bthan*1000/50</f>
        <v>-275</v>
      </c>
      <c r="C3328" s="52">
        <f t="shared" si="308"/>
        <v>530</v>
      </c>
      <c r="D3328" s="52">
        <f t="shared" si="305"/>
        <v>2200</v>
      </c>
      <c r="E3328" s="52">
        <f t="shared" si="306"/>
        <v>1</v>
      </c>
      <c r="F3328" s="52"/>
      <c r="G3328" s="52"/>
      <c r="H3328" s="52"/>
      <c r="I3328" s="52"/>
      <c r="J3328" s="52"/>
      <c r="K3328" s="52"/>
      <c r="L3328" s="52"/>
      <c r="M3328" s="52"/>
      <c r="N3328" s="52"/>
      <c r="O3328" s="52"/>
      <c r="P3328" s="52"/>
      <c r="Q3328" s="52"/>
      <c r="R3328" s="52"/>
      <c r="S3328" s="52"/>
      <c r="T3328" s="52"/>
      <c r="U3328" s="52"/>
      <c r="V3328" s="52"/>
      <c r="W3328" s="52"/>
      <c r="X3328" s="52"/>
      <c r="Y3328" s="52"/>
      <c r="Z3328" s="52"/>
      <c r="AA3328" s="52"/>
      <c r="AB3328" s="52"/>
      <c r="AC3328" s="52"/>
      <c r="AD3328" s="52"/>
      <c r="AE3328" s="52"/>
      <c r="AF3328" s="52"/>
      <c r="AG3328" s="52"/>
      <c r="AH3328" s="52"/>
      <c r="AI3328" s="52"/>
      <c r="AJ3328" s="52"/>
      <c r="AK3328" s="52"/>
      <c r="AL3328" s="52"/>
      <c r="AM3328" s="52"/>
      <c r="AN3328" s="52"/>
    </row>
    <row r="3329" spans="1:40" x14ac:dyDescent="0.3">
      <c r="A3329" s="52">
        <v>3324</v>
      </c>
      <c r="B3329" s="52">
        <f>-bthan*500+(23+0.5)*bthan*1000/50</f>
        <v>-165</v>
      </c>
      <c r="C3329" s="52">
        <f t="shared" si="308"/>
        <v>530</v>
      </c>
      <c r="D3329" s="52">
        <f t="shared" si="305"/>
        <v>2200</v>
      </c>
      <c r="E3329" s="52">
        <f t="shared" si="306"/>
        <v>1</v>
      </c>
      <c r="F3329" s="52"/>
      <c r="G3329" s="52"/>
      <c r="H3329" s="52"/>
      <c r="I3329" s="52"/>
      <c r="J3329" s="52"/>
      <c r="K3329" s="52"/>
      <c r="L3329" s="52"/>
      <c r="M3329" s="52"/>
      <c r="N3329" s="52"/>
      <c r="O3329" s="52"/>
      <c r="P3329" s="52"/>
      <c r="Q3329" s="52"/>
      <c r="R3329" s="52"/>
      <c r="S3329" s="52"/>
      <c r="T3329" s="52"/>
      <c r="U3329" s="52"/>
      <c r="V3329" s="52"/>
      <c r="W3329" s="52"/>
      <c r="X3329" s="52"/>
      <c r="Y3329" s="52"/>
      <c r="Z3329" s="52"/>
      <c r="AA3329" s="52"/>
      <c r="AB3329" s="52"/>
      <c r="AC3329" s="52"/>
      <c r="AD3329" s="52"/>
      <c r="AE3329" s="52"/>
      <c r="AF3329" s="52"/>
      <c r="AG3329" s="52"/>
      <c r="AH3329" s="52"/>
      <c r="AI3329" s="52"/>
      <c r="AJ3329" s="52"/>
      <c r="AK3329" s="52"/>
      <c r="AL3329" s="52"/>
      <c r="AM3329" s="52"/>
      <c r="AN3329" s="52"/>
    </row>
    <row r="3330" spans="1:40" x14ac:dyDescent="0.3">
      <c r="A3330" s="52">
        <v>3325</v>
      </c>
      <c r="B3330" s="52">
        <f>-bthan*500+(24+0.5)*bthan*1000/50</f>
        <v>-55</v>
      </c>
      <c r="C3330" s="52">
        <f t="shared" si="308"/>
        <v>530</v>
      </c>
      <c r="D3330" s="52">
        <f t="shared" si="305"/>
        <v>2200</v>
      </c>
      <c r="E3330" s="52">
        <f t="shared" si="306"/>
        <v>1</v>
      </c>
      <c r="F3330" s="52"/>
      <c r="G3330" s="52"/>
      <c r="H3330" s="52"/>
      <c r="I3330" s="52"/>
      <c r="J3330" s="52"/>
      <c r="K3330" s="52"/>
      <c r="L3330" s="52"/>
      <c r="M3330" s="52"/>
      <c r="N3330" s="52"/>
      <c r="O3330" s="52"/>
      <c r="P3330" s="52"/>
      <c r="Q3330" s="52"/>
      <c r="R3330" s="52"/>
      <c r="S3330" s="52"/>
      <c r="T3330" s="52"/>
      <c r="U3330" s="52"/>
      <c r="V3330" s="52"/>
      <c r="W3330" s="52"/>
      <c r="X3330" s="52"/>
      <c r="Y3330" s="52"/>
      <c r="Z3330" s="52"/>
      <c r="AA3330" s="52"/>
      <c r="AB3330" s="52"/>
      <c r="AC3330" s="52"/>
      <c r="AD3330" s="52"/>
      <c r="AE3330" s="52"/>
      <c r="AF3330" s="52"/>
      <c r="AG3330" s="52"/>
      <c r="AH3330" s="52"/>
      <c r="AI3330" s="52"/>
      <c r="AJ3330" s="52"/>
      <c r="AK3330" s="52"/>
      <c r="AL3330" s="52"/>
      <c r="AM3330" s="52"/>
      <c r="AN3330" s="52"/>
    </row>
    <row r="3331" spans="1:40" x14ac:dyDescent="0.3">
      <c r="A3331" s="52">
        <v>3326</v>
      </c>
      <c r="B3331" s="52">
        <f>-bthan*500+(25+0.5)*bthan*1000/50</f>
        <v>55</v>
      </c>
      <c r="C3331" s="52">
        <f t="shared" si="308"/>
        <v>530</v>
      </c>
      <c r="D3331" s="52">
        <f t="shared" si="305"/>
        <v>2200</v>
      </c>
      <c r="E3331" s="52">
        <f t="shared" si="306"/>
        <v>1</v>
      </c>
      <c r="F3331" s="52"/>
      <c r="G3331" s="52"/>
      <c r="H3331" s="52"/>
      <c r="I3331" s="52"/>
      <c r="J3331" s="52"/>
      <c r="K3331" s="52"/>
      <c r="L3331" s="52"/>
      <c r="M3331" s="52"/>
      <c r="N3331" s="52"/>
      <c r="O3331" s="52"/>
      <c r="P3331" s="52"/>
      <c r="Q3331" s="52"/>
      <c r="R3331" s="52"/>
      <c r="S3331" s="52"/>
      <c r="T3331" s="52"/>
      <c r="U3331" s="52"/>
      <c r="V3331" s="52"/>
      <c r="W3331" s="52"/>
      <c r="X3331" s="52"/>
      <c r="Y3331" s="52"/>
      <c r="Z3331" s="52"/>
      <c r="AA3331" s="52"/>
      <c r="AB3331" s="52"/>
      <c r="AC3331" s="52"/>
      <c r="AD3331" s="52"/>
      <c r="AE3331" s="52"/>
      <c r="AF3331" s="52"/>
      <c r="AG3331" s="52"/>
      <c r="AH3331" s="52"/>
      <c r="AI3331" s="52"/>
      <c r="AJ3331" s="52"/>
      <c r="AK3331" s="52"/>
      <c r="AL3331" s="52"/>
      <c r="AM3331" s="52"/>
      <c r="AN3331" s="52"/>
    </row>
    <row r="3332" spans="1:40" x14ac:dyDescent="0.3">
      <c r="A3332" s="52">
        <v>3327</v>
      </c>
      <c r="B3332" s="52">
        <f>-bthan*500+(26+0.5)*bthan*1000/50</f>
        <v>165</v>
      </c>
      <c r="C3332" s="52">
        <f t="shared" si="308"/>
        <v>530</v>
      </c>
      <c r="D3332" s="52">
        <f t="shared" si="305"/>
        <v>2200</v>
      </c>
      <c r="E3332" s="52">
        <f t="shared" si="306"/>
        <v>1</v>
      </c>
      <c r="F3332" s="52"/>
      <c r="G3332" s="52"/>
      <c r="H3332" s="52"/>
      <c r="I3332" s="52"/>
      <c r="J3332" s="52"/>
      <c r="K3332" s="52"/>
      <c r="L3332" s="52"/>
      <c r="M3332" s="52"/>
      <c r="N3332" s="52"/>
      <c r="O3332" s="52"/>
      <c r="P3332" s="52"/>
      <c r="Q3332" s="52"/>
      <c r="R3332" s="52"/>
      <c r="S3332" s="52"/>
      <c r="T3332" s="52"/>
      <c r="U3332" s="52"/>
      <c r="V3332" s="52"/>
      <c r="W3332" s="52"/>
      <c r="X3332" s="52"/>
      <c r="Y3332" s="52"/>
      <c r="Z3332" s="52"/>
      <c r="AA3332" s="52"/>
      <c r="AB3332" s="52"/>
      <c r="AC3332" s="52"/>
      <c r="AD3332" s="52"/>
      <c r="AE3332" s="52"/>
      <c r="AF3332" s="52"/>
      <c r="AG3332" s="52"/>
      <c r="AH3332" s="52"/>
      <c r="AI3332" s="52"/>
      <c r="AJ3332" s="52"/>
      <c r="AK3332" s="52"/>
      <c r="AL3332" s="52"/>
      <c r="AM3332" s="52"/>
      <c r="AN3332" s="52"/>
    </row>
    <row r="3333" spans="1:40" x14ac:dyDescent="0.3">
      <c r="A3333" s="52">
        <v>3328</v>
      </c>
      <c r="B3333" s="52">
        <f>-bthan*500+(27+0.5)*bthan*1000/50</f>
        <v>275</v>
      </c>
      <c r="C3333" s="52">
        <f t="shared" si="308"/>
        <v>530</v>
      </c>
      <c r="D3333" s="52">
        <f t="shared" si="305"/>
        <v>2200</v>
      </c>
      <c r="E3333" s="52">
        <f t="shared" si="306"/>
        <v>1</v>
      </c>
      <c r="F3333" s="52"/>
      <c r="G3333" s="52"/>
      <c r="H3333" s="52"/>
      <c r="I3333" s="52"/>
      <c r="J3333" s="52"/>
      <c r="K3333" s="52"/>
      <c r="L3333" s="52"/>
      <c r="M3333" s="52"/>
      <c r="N3333" s="52"/>
      <c r="O3333" s="52"/>
      <c r="P3333" s="52"/>
      <c r="Q3333" s="52"/>
      <c r="R3333" s="52"/>
      <c r="S3333" s="52"/>
      <c r="T3333" s="52"/>
      <c r="U3333" s="52"/>
      <c r="V3333" s="52"/>
      <c r="W3333" s="52"/>
      <c r="X3333" s="52"/>
      <c r="Y3333" s="52"/>
      <c r="Z3333" s="52"/>
      <c r="AA3333" s="52"/>
      <c r="AB3333" s="52"/>
      <c r="AC3333" s="52"/>
      <c r="AD3333" s="52"/>
      <c r="AE3333" s="52"/>
      <c r="AF3333" s="52"/>
      <c r="AG3333" s="52"/>
      <c r="AH3333" s="52"/>
      <c r="AI3333" s="52"/>
      <c r="AJ3333" s="52"/>
      <c r="AK3333" s="52"/>
      <c r="AL3333" s="52"/>
      <c r="AM3333" s="52"/>
      <c r="AN3333" s="52"/>
    </row>
    <row r="3334" spans="1:40" x14ac:dyDescent="0.3">
      <c r="A3334" s="52">
        <v>3329</v>
      </c>
      <c r="B3334" s="52">
        <f>-bthan*500+(28+0.5)*bthan*1000/50</f>
        <v>385</v>
      </c>
      <c r="C3334" s="52">
        <f t="shared" si="308"/>
        <v>530</v>
      </c>
      <c r="D3334" s="52">
        <f t="shared" ref="D3334:D3397" si="309">bthan*1000/50*hthan*1000/80</f>
        <v>2200</v>
      </c>
      <c r="E3334" s="52">
        <f t="shared" ref="E3334:E3397" si="310">IF(shp=1,--(OR(ABS(B3334)&lt;=MAX(0,(bthan-hthan)*500),(ABS(B3334)-MAX(0,(bthan-hthan)*500))^2+C3334^2&lt;=(hthan*500)^2)),--(AND(ABS(B3334)&lt;=bthan*500,ABS(C3334)&lt;=hthan*500,OR(ABS(B3334)&lt;=bthan*500-cch*1000,ABS(C3334)&lt;=hthan*500-cch*1000,(bthan*500-ABS(B3334))+(hthan*500-ABS(C3334))&gt;=cch*1000))))</f>
        <v>1</v>
      </c>
      <c r="F3334" s="52"/>
      <c r="G3334" s="52"/>
      <c r="H3334" s="52"/>
      <c r="I3334" s="52"/>
      <c r="J3334" s="52"/>
      <c r="K3334" s="52"/>
      <c r="L3334" s="52"/>
      <c r="M3334" s="52"/>
      <c r="N3334" s="52"/>
      <c r="O3334" s="52"/>
      <c r="P3334" s="52"/>
      <c r="Q3334" s="52"/>
      <c r="R3334" s="52"/>
      <c r="S3334" s="52"/>
      <c r="T3334" s="52"/>
      <c r="U3334" s="52"/>
      <c r="V3334" s="52"/>
      <c r="W3334" s="52"/>
      <c r="X3334" s="52"/>
      <c r="Y3334" s="52"/>
      <c r="Z3334" s="52"/>
      <c r="AA3334" s="52"/>
      <c r="AB3334" s="52"/>
      <c r="AC3334" s="52"/>
      <c r="AD3334" s="52"/>
      <c r="AE3334" s="52"/>
      <c r="AF3334" s="52"/>
      <c r="AG3334" s="52"/>
      <c r="AH3334" s="52"/>
      <c r="AI3334" s="52"/>
      <c r="AJ3334" s="52"/>
      <c r="AK3334" s="52"/>
      <c r="AL3334" s="52"/>
      <c r="AM3334" s="52"/>
      <c r="AN3334" s="52"/>
    </row>
    <row r="3335" spans="1:40" x14ac:dyDescent="0.3">
      <c r="A3335" s="52">
        <v>3330</v>
      </c>
      <c r="B3335" s="52">
        <f>-bthan*500+(29+0.5)*bthan*1000/50</f>
        <v>495</v>
      </c>
      <c r="C3335" s="52">
        <f t="shared" si="308"/>
        <v>530</v>
      </c>
      <c r="D3335" s="52">
        <f t="shared" si="309"/>
        <v>2200</v>
      </c>
      <c r="E3335" s="52">
        <f t="shared" si="310"/>
        <v>1</v>
      </c>
      <c r="F3335" s="52"/>
      <c r="G3335" s="52"/>
      <c r="H3335" s="52"/>
      <c r="I3335" s="52"/>
      <c r="J3335" s="52"/>
      <c r="K3335" s="52"/>
      <c r="L3335" s="52"/>
      <c r="M3335" s="52"/>
      <c r="N3335" s="52"/>
      <c r="O3335" s="52"/>
      <c r="P3335" s="52"/>
      <c r="Q3335" s="52"/>
      <c r="R3335" s="52"/>
      <c r="S3335" s="52"/>
      <c r="T3335" s="52"/>
      <c r="U3335" s="52"/>
      <c r="V3335" s="52"/>
      <c r="W3335" s="52"/>
      <c r="X3335" s="52"/>
      <c r="Y3335" s="52"/>
      <c r="Z3335" s="52"/>
      <c r="AA3335" s="52"/>
      <c r="AB3335" s="52"/>
      <c r="AC3335" s="52"/>
      <c r="AD3335" s="52"/>
      <c r="AE3335" s="52"/>
      <c r="AF3335" s="52"/>
      <c r="AG3335" s="52"/>
      <c r="AH3335" s="52"/>
      <c r="AI3335" s="52"/>
      <c r="AJ3335" s="52"/>
      <c r="AK3335" s="52"/>
      <c r="AL3335" s="52"/>
      <c r="AM3335" s="52"/>
      <c r="AN3335" s="52"/>
    </row>
    <row r="3336" spans="1:40" x14ac:dyDescent="0.3">
      <c r="A3336" s="52">
        <v>3331</v>
      </c>
      <c r="B3336" s="52">
        <f>-bthan*500+(30+0.5)*bthan*1000/50</f>
        <v>605</v>
      </c>
      <c r="C3336" s="52">
        <f t="shared" si="308"/>
        <v>530</v>
      </c>
      <c r="D3336" s="52">
        <f t="shared" si="309"/>
        <v>2200</v>
      </c>
      <c r="E3336" s="52">
        <f t="shared" si="310"/>
        <v>1</v>
      </c>
      <c r="F3336" s="52"/>
      <c r="G3336" s="52"/>
      <c r="H3336" s="52"/>
      <c r="I3336" s="52"/>
      <c r="J3336" s="52"/>
      <c r="K3336" s="52"/>
      <c r="L3336" s="52"/>
      <c r="M3336" s="52"/>
      <c r="N3336" s="52"/>
      <c r="O3336" s="52"/>
      <c r="P3336" s="52"/>
      <c r="Q3336" s="52"/>
      <c r="R3336" s="52"/>
      <c r="S3336" s="52"/>
      <c r="T3336" s="52"/>
      <c r="U3336" s="52"/>
      <c r="V3336" s="52"/>
      <c r="W3336" s="52"/>
      <c r="X3336" s="52"/>
      <c r="Y3336" s="52"/>
      <c r="Z3336" s="52"/>
      <c r="AA3336" s="52"/>
      <c r="AB3336" s="52"/>
      <c r="AC3336" s="52"/>
      <c r="AD3336" s="52"/>
      <c r="AE3336" s="52"/>
      <c r="AF3336" s="52"/>
      <c r="AG3336" s="52"/>
      <c r="AH3336" s="52"/>
      <c r="AI3336" s="52"/>
      <c r="AJ3336" s="52"/>
      <c r="AK3336" s="52"/>
      <c r="AL3336" s="52"/>
      <c r="AM3336" s="52"/>
      <c r="AN3336" s="52"/>
    </row>
    <row r="3337" spans="1:40" x14ac:dyDescent="0.3">
      <c r="A3337" s="52">
        <v>3332</v>
      </c>
      <c r="B3337" s="52">
        <f>-bthan*500+(31+0.5)*bthan*1000/50</f>
        <v>715</v>
      </c>
      <c r="C3337" s="52">
        <f t="shared" si="308"/>
        <v>530</v>
      </c>
      <c r="D3337" s="52">
        <f t="shared" si="309"/>
        <v>2200</v>
      </c>
      <c r="E3337" s="52">
        <f t="shared" si="310"/>
        <v>1</v>
      </c>
      <c r="F3337" s="52"/>
      <c r="G3337" s="52"/>
      <c r="H3337" s="52"/>
      <c r="I3337" s="52"/>
      <c r="J3337" s="52"/>
      <c r="K3337" s="52"/>
      <c r="L3337" s="52"/>
      <c r="M3337" s="52"/>
      <c r="N3337" s="52"/>
      <c r="O3337" s="52"/>
      <c r="P3337" s="52"/>
      <c r="Q3337" s="52"/>
      <c r="R3337" s="52"/>
      <c r="S3337" s="52"/>
      <c r="T3337" s="52"/>
      <c r="U3337" s="52"/>
      <c r="V3337" s="52"/>
      <c r="W3337" s="52"/>
      <c r="X3337" s="52"/>
      <c r="Y3337" s="52"/>
      <c r="Z3337" s="52"/>
      <c r="AA3337" s="52"/>
      <c r="AB3337" s="52"/>
      <c r="AC3337" s="52"/>
      <c r="AD3337" s="52"/>
      <c r="AE3337" s="52"/>
      <c r="AF3337" s="52"/>
      <c r="AG3337" s="52"/>
      <c r="AH3337" s="52"/>
      <c r="AI3337" s="52"/>
      <c r="AJ3337" s="52"/>
      <c r="AK3337" s="52"/>
      <c r="AL3337" s="52"/>
      <c r="AM3337" s="52"/>
      <c r="AN3337" s="52"/>
    </row>
    <row r="3338" spans="1:40" x14ac:dyDescent="0.3">
      <c r="A3338" s="52">
        <v>3333</v>
      </c>
      <c r="B3338" s="52">
        <f>-bthan*500+(32+0.5)*bthan*1000/50</f>
        <v>825</v>
      </c>
      <c r="C3338" s="52">
        <f t="shared" ref="C3338:C3355" si="311">-hthan*500+(66+0.5)*hthan*1000/80</f>
        <v>530</v>
      </c>
      <c r="D3338" s="52">
        <f t="shared" si="309"/>
        <v>2200</v>
      </c>
      <c r="E3338" s="52">
        <f t="shared" si="310"/>
        <v>1</v>
      </c>
      <c r="F3338" s="52"/>
      <c r="G3338" s="52"/>
      <c r="H3338" s="52"/>
      <c r="I3338" s="52"/>
      <c r="J3338" s="52"/>
      <c r="K3338" s="52"/>
      <c r="L3338" s="52"/>
      <c r="M3338" s="52"/>
      <c r="N3338" s="52"/>
      <c r="O3338" s="52"/>
      <c r="P3338" s="52"/>
      <c r="Q3338" s="52"/>
      <c r="R3338" s="52"/>
      <c r="S3338" s="52"/>
      <c r="T3338" s="52"/>
      <c r="U3338" s="52"/>
      <c r="V3338" s="52"/>
      <c r="W3338" s="52"/>
      <c r="X3338" s="52"/>
      <c r="Y3338" s="52"/>
      <c r="Z3338" s="52"/>
      <c r="AA3338" s="52"/>
      <c r="AB3338" s="52"/>
      <c r="AC3338" s="52"/>
      <c r="AD3338" s="52"/>
      <c r="AE3338" s="52"/>
      <c r="AF3338" s="52"/>
      <c r="AG3338" s="52"/>
      <c r="AH3338" s="52"/>
      <c r="AI3338" s="52"/>
      <c r="AJ3338" s="52"/>
      <c r="AK3338" s="52"/>
      <c r="AL3338" s="52"/>
      <c r="AM3338" s="52"/>
      <c r="AN3338" s="52"/>
    </row>
    <row r="3339" spans="1:40" x14ac:dyDescent="0.3">
      <c r="A3339" s="52">
        <v>3334</v>
      </c>
      <c r="B3339" s="52">
        <f>-bthan*500+(33+0.5)*bthan*1000/50</f>
        <v>935</v>
      </c>
      <c r="C3339" s="52">
        <f t="shared" si="311"/>
        <v>530</v>
      </c>
      <c r="D3339" s="52">
        <f t="shared" si="309"/>
        <v>2200</v>
      </c>
      <c r="E3339" s="52">
        <f t="shared" si="310"/>
        <v>1</v>
      </c>
      <c r="F3339" s="52"/>
      <c r="G3339" s="52"/>
      <c r="H3339" s="52"/>
      <c r="I3339" s="52"/>
      <c r="J3339" s="52"/>
      <c r="K3339" s="52"/>
      <c r="L3339" s="52"/>
      <c r="M3339" s="52"/>
      <c r="N3339" s="52"/>
      <c r="O3339" s="52"/>
      <c r="P3339" s="52"/>
      <c r="Q3339" s="52"/>
      <c r="R3339" s="52"/>
      <c r="S3339" s="52"/>
      <c r="T3339" s="52"/>
      <c r="U3339" s="52"/>
      <c r="V3339" s="52"/>
      <c r="W3339" s="52"/>
      <c r="X3339" s="52"/>
      <c r="Y3339" s="52"/>
      <c r="Z3339" s="52"/>
      <c r="AA3339" s="52"/>
      <c r="AB3339" s="52"/>
      <c r="AC3339" s="52"/>
      <c r="AD3339" s="52"/>
      <c r="AE3339" s="52"/>
      <c r="AF3339" s="52"/>
      <c r="AG3339" s="52"/>
      <c r="AH3339" s="52"/>
      <c r="AI3339" s="52"/>
      <c r="AJ3339" s="52"/>
      <c r="AK3339" s="52"/>
      <c r="AL3339" s="52"/>
      <c r="AM3339" s="52"/>
      <c r="AN3339" s="52"/>
    </row>
    <row r="3340" spans="1:40" x14ac:dyDescent="0.3">
      <c r="A3340" s="52">
        <v>3335</v>
      </c>
      <c r="B3340" s="52">
        <f>-bthan*500+(34+0.5)*bthan*1000/50</f>
        <v>1045</v>
      </c>
      <c r="C3340" s="52">
        <f t="shared" si="311"/>
        <v>530</v>
      </c>
      <c r="D3340" s="52">
        <f t="shared" si="309"/>
        <v>2200</v>
      </c>
      <c r="E3340" s="52">
        <f t="shared" si="310"/>
        <v>1</v>
      </c>
      <c r="F3340" s="52"/>
      <c r="G3340" s="52"/>
      <c r="H3340" s="52"/>
      <c r="I3340" s="52"/>
      <c r="J3340" s="52"/>
      <c r="K3340" s="52"/>
      <c r="L3340" s="52"/>
      <c r="M3340" s="52"/>
      <c r="N3340" s="52"/>
      <c r="O3340" s="52"/>
      <c r="P3340" s="52"/>
      <c r="Q3340" s="52"/>
      <c r="R3340" s="52"/>
      <c r="S3340" s="52"/>
      <c r="T3340" s="52"/>
      <c r="U3340" s="52"/>
      <c r="V3340" s="52"/>
      <c r="W3340" s="52"/>
      <c r="X3340" s="52"/>
      <c r="Y3340" s="52"/>
      <c r="Z3340" s="52"/>
      <c r="AA3340" s="52"/>
      <c r="AB3340" s="52"/>
      <c r="AC3340" s="52"/>
      <c r="AD3340" s="52"/>
      <c r="AE3340" s="52"/>
      <c r="AF3340" s="52"/>
      <c r="AG3340" s="52"/>
      <c r="AH3340" s="52"/>
      <c r="AI3340" s="52"/>
      <c r="AJ3340" s="52"/>
      <c r="AK3340" s="52"/>
      <c r="AL3340" s="52"/>
      <c r="AM3340" s="52"/>
      <c r="AN3340" s="52"/>
    </row>
    <row r="3341" spans="1:40" x14ac:dyDescent="0.3">
      <c r="A3341" s="52">
        <v>3336</v>
      </c>
      <c r="B3341" s="52">
        <f>-bthan*500+(35+0.5)*bthan*1000/50</f>
        <v>1155</v>
      </c>
      <c r="C3341" s="52">
        <f t="shared" si="311"/>
        <v>530</v>
      </c>
      <c r="D3341" s="52">
        <f t="shared" si="309"/>
        <v>2200</v>
      </c>
      <c r="E3341" s="52">
        <f t="shared" si="310"/>
        <v>1</v>
      </c>
      <c r="F3341" s="52"/>
      <c r="G3341" s="52"/>
      <c r="H3341" s="52"/>
      <c r="I3341" s="52"/>
      <c r="J3341" s="52"/>
      <c r="K3341" s="52"/>
      <c r="L3341" s="52"/>
      <c r="M3341" s="52"/>
      <c r="N3341" s="52"/>
      <c r="O3341" s="52"/>
      <c r="P3341" s="52"/>
      <c r="Q3341" s="52"/>
      <c r="R3341" s="52"/>
      <c r="S3341" s="52"/>
      <c r="T3341" s="52"/>
      <c r="U3341" s="52"/>
      <c r="V3341" s="52"/>
      <c r="W3341" s="52"/>
      <c r="X3341" s="52"/>
      <c r="Y3341" s="52"/>
      <c r="Z3341" s="52"/>
      <c r="AA3341" s="52"/>
      <c r="AB3341" s="52"/>
      <c r="AC3341" s="52"/>
      <c r="AD3341" s="52"/>
      <c r="AE3341" s="52"/>
      <c r="AF3341" s="52"/>
      <c r="AG3341" s="52"/>
      <c r="AH3341" s="52"/>
      <c r="AI3341" s="52"/>
      <c r="AJ3341" s="52"/>
      <c r="AK3341" s="52"/>
      <c r="AL3341" s="52"/>
      <c r="AM3341" s="52"/>
      <c r="AN3341" s="52"/>
    </row>
    <row r="3342" spans="1:40" x14ac:dyDescent="0.3">
      <c r="A3342" s="52">
        <v>3337</v>
      </c>
      <c r="B3342" s="52">
        <f>-bthan*500+(36+0.5)*bthan*1000/50</f>
        <v>1265</v>
      </c>
      <c r="C3342" s="52">
        <f t="shared" si="311"/>
        <v>530</v>
      </c>
      <c r="D3342" s="52">
        <f t="shared" si="309"/>
        <v>2200</v>
      </c>
      <c r="E3342" s="52">
        <f t="shared" si="310"/>
        <v>1</v>
      </c>
      <c r="F3342" s="52"/>
      <c r="G3342" s="52"/>
      <c r="H3342" s="52"/>
      <c r="I3342" s="52"/>
      <c r="J3342" s="52"/>
      <c r="K3342" s="52"/>
      <c r="L3342" s="52"/>
      <c r="M3342" s="52"/>
      <c r="N3342" s="52"/>
      <c r="O3342" s="52"/>
      <c r="P3342" s="52"/>
      <c r="Q3342" s="52"/>
      <c r="R3342" s="52"/>
      <c r="S3342" s="52"/>
      <c r="T3342" s="52"/>
      <c r="U3342" s="52"/>
      <c r="V3342" s="52"/>
      <c r="W3342" s="52"/>
      <c r="X3342" s="52"/>
      <c r="Y3342" s="52"/>
      <c r="Z3342" s="52"/>
      <c r="AA3342" s="52"/>
      <c r="AB3342" s="52"/>
      <c r="AC3342" s="52"/>
      <c r="AD3342" s="52"/>
      <c r="AE3342" s="52"/>
      <c r="AF3342" s="52"/>
      <c r="AG3342" s="52"/>
      <c r="AH3342" s="52"/>
      <c r="AI3342" s="52"/>
      <c r="AJ3342" s="52"/>
      <c r="AK3342" s="52"/>
      <c r="AL3342" s="52"/>
      <c r="AM3342" s="52"/>
      <c r="AN3342" s="52"/>
    </row>
    <row r="3343" spans="1:40" x14ac:dyDescent="0.3">
      <c r="A3343" s="52">
        <v>3338</v>
      </c>
      <c r="B3343" s="52">
        <f>-bthan*500+(37+0.5)*bthan*1000/50</f>
        <v>1375</v>
      </c>
      <c r="C3343" s="52">
        <f t="shared" si="311"/>
        <v>530</v>
      </c>
      <c r="D3343" s="52">
        <f t="shared" si="309"/>
        <v>2200</v>
      </c>
      <c r="E3343" s="52">
        <f t="shared" si="310"/>
        <v>1</v>
      </c>
      <c r="F3343" s="52"/>
      <c r="G3343" s="52"/>
      <c r="H3343" s="52"/>
      <c r="I3343" s="52"/>
      <c r="J3343" s="52"/>
      <c r="K3343" s="52"/>
      <c r="L3343" s="52"/>
      <c r="M3343" s="52"/>
      <c r="N3343" s="52"/>
      <c r="O3343" s="52"/>
      <c r="P3343" s="52"/>
      <c r="Q3343" s="52"/>
      <c r="R3343" s="52"/>
      <c r="S3343" s="52"/>
      <c r="T3343" s="52"/>
      <c r="U3343" s="52"/>
      <c r="V3343" s="52"/>
      <c r="W3343" s="52"/>
      <c r="X3343" s="52"/>
      <c r="Y3343" s="52"/>
      <c r="Z3343" s="52"/>
      <c r="AA3343" s="52"/>
      <c r="AB3343" s="52"/>
      <c r="AC3343" s="52"/>
      <c r="AD3343" s="52"/>
      <c r="AE3343" s="52"/>
      <c r="AF3343" s="52"/>
      <c r="AG3343" s="52"/>
      <c r="AH3343" s="52"/>
      <c r="AI3343" s="52"/>
      <c r="AJ3343" s="52"/>
      <c r="AK3343" s="52"/>
      <c r="AL3343" s="52"/>
      <c r="AM3343" s="52"/>
      <c r="AN3343" s="52"/>
    </row>
    <row r="3344" spans="1:40" x14ac:dyDescent="0.3">
      <c r="A3344" s="52">
        <v>3339</v>
      </c>
      <c r="B3344" s="52">
        <f>-bthan*500+(38+0.5)*bthan*1000/50</f>
        <v>1485</v>
      </c>
      <c r="C3344" s="52">
        <f t="shared" si="311"/>
        <v>530</v>
      </c>
      <c r="D3344" s="52">
        <f t="shared" si="309"/>
        <v>2200</v>
      </c>
      <c r="E3344" s="52">
        <f t="shared" si="310"/>
        <v>1</v>
      </c>
      <c r="F3344" s="52"/>
      <c r="G3344" s="52"/>
      <c r="H3344" s="52"/>
      <c r="I3344" s="52"/>
      <c r="J3344" s="52"/>
      <c r="K3344" s="52"/>
      <c r="L3344" s="52"/>
      <c r="M3344" s="52"/>
      <c r="N3344" s="52"/>
      <c r="O3344" s="52"/>
      <c r="P3344" s="52"/>
      <c r="Q3344" s="52"/>
      <c r="R3344" s="52"/>
      <c r="S3344" s="52"/>
      <c r="T3344" s="52"/>
      <c r="U3344" s="52"/>
      <c r="V3344" s="52"/>
      <c r="W3344" s="52"/>
      <c r="X3344" s="52"/>
      <c r="Y3344" s="52"/>
      <c r="Z3344" s="52"/>
      <c r="AA3344" s="52"/>
      <c r="AB3344" s="52"/>
      <c r="AC3344" s="52"/>
      <c r="AD3344" s="52"/>
      <c r="AE3344" s="52"/>
      <c r="AF3344" s="52"/>
      <c r="AG3344" s="52"/>
      <c r="AH3344" s="52"/>
      <c r="AI3344" s="52"/>
      <c r="AJ3344" s="52"/>
      <c r="AK3344" s="52"/>
      <c r="AL3344" s="52"/>
      <c r="AM3344" s="52"/>
      <c r="AN3344" s="52"/>
    </row>
    <row r="3345" spans="1:40" x14ac:dyDescent="0.3">
      <c r="A3345" s="52">
        <v>3340</v>
      </c>
      <c r="B3345" s="52">
        <f>-bthan*500+(39+0.5)*bthan*1000/50</f>
        <v>1595</v>
      </c>
      <c r="C3345" s="52">
        <f t="shared" si="311"/>
        <v>530</v>
      </c>
      <c r="D3345" s="52">
        <f t="shared" si="309"/>
        <v>2200</v>
      </c>
      <c r="E3345" s="52">
        <f t="shared" si="310"/>
        <v>1</v>
      </c>
      <c r="F3345" s="52"/>
      <c r="G3345" s="52"/>
      <c r="H3345" s="52"/>
      <c r="I3345" s="52"/>
      <c r="J3345" s="52"/>
      <c r="K3345" s="52"/>
      <c r="L3345" s="52"/>
      <c r="M3345" s="52"/>
      <c r="N3345" s="52"/>
      <c r="O3345" s="52"/>
      <c r="P3345" s="52"/>
      <c r="Q3345" s="52"/>
      <c r="R3345" s="52"/>
      <c r="S3345" s="52"/>
      <c r="T3345" s="52"/>
      <c r="U3345" s="52"/>
      <c r="V3345" s="52"/>
      <c r="W3345" s="52"/>
      <c r="X3345" s="52"/>
      <c r="Y3345" s="52"/>
      <c r="Z3345" s="52"/>
      <c r="AA3345" s="52"/>
      <c r="AB3345" s="52"/>
      <c r="AC3345" s="52"/>
      <c r="AD3345" s="52"/>
      <c r="AE3345" s="52"/>
      <c r="AF3345" s="52"/>
      <c r="AG3345" s="52"/>
      <c r="AH3345" s="52"/>
      <c r="AI3345" s="52"/>
      <c r="AJ3345" s="52"/>
      <c r="AK3345" s="52"/>
      <c r="AL3345" s="52"/>
      <c r="AM3345" s="52"/>
      <c r="AN3345" s="52"/>
    </row>
    <row r="3346" spans="1:40" x14ac:dyDescent="0.3">
      <c r="A3346" s="52">
        <v>3341</v>
      </c>
      <c r="B3346" s="52">
        <f>-bthan*500+(40+0.5)*bthan*1000/50</f>
        <v>1705</v>
      </c>
      <c r="C3346" s="52">
        <f t="shared" si="311"/>
        <v>530</v>
      </c>
      <c r="D3346" s="52">
        <f t="shared" si="309"/>
        <v>2200</v>
      </c>
      <c r="E3346" s="52">
        <f t="shared" si="310"/>
        <v>1</v>
      </c>
      <c r="F3346" s="52"/>
      <c r="G3346" s="52"/>
      <c r="H3346" s="52"/>
      <c r="I3346" s="52"/>
      <c r="J3346" s="52"/>
      <c r="K3346" s="52"/>
      <c r="L3346" s="52"/>
      <c r="M3346" s="52"/>
      <c r="N3346" s="52"/>
      <c r="O3346" s="52"/>
      <c r="P3346" s="52"/>
      <c r="Q3346" s="52"/>
      <c r="R3346" s="52"/>
      <c r="S3346" s="52"/>
      <c r="T3346" s="52"/>
      <c r="U3346" s="52"/>
      <c r="V3346" s="52"/>
      <c r="W3346" s="52"/>
      <c r="X3346" s="52"/>
      <c r="Y3346" s="52"/>
      <c r="Z3346" s="52"/>
      <c r="AA3346" s="52"/>
      <c r="AB3346" s="52"/>
      <c r="AC3346" s="52"/>
      <c r="AD3346" s="52"/>
      <c r="AE3346" s="52"/>
      <c r="AF3346" s="52"/>
      <c r="AG3346" s="52"/>
      <c r="AH3346" s="52"/>
      <c r="AI3346" s="52"/>
      <c r="AJ3346" s="52"/>
      <c r="AK3346" s="52"/>
      <c r="AL3346" s="52"/>
      <c r="AM3346" s="52"/>
      <c r="AN3346" s="52"/>
    </row>
    <row r="3347" spans="1:40" x14ac:dyDescent="0.3">
      <c r="A3347" s="52">
        <v>3342</v>
      </c>
      <c r="B3347" s="52">
        <f>-bthan*500+(41+0.5)*bthan*1000/50</f>
        <v>1815</v>
      </c>
      <c r="C3347" s="52">
        <f t="shared" si="311"/>
        <v>530</v>
      </c>
      <c r="D3347" s="52">
        <f t="shared" si="309"/>
        <v>2200</v>
      </c>
      <c r="E3347" s="52">
        <f t="shared" si="310"/>
        <v>1</v>
      </c>
      <c r="F3347" s="52"/>
      <c r="G3347" s="52"/>
      <c r="H3347" s="52"/>
      <c r="I3347" s="52"/>
      <c r="J3347" s="52"/>
      <c r="K3347" s="52"/>
      <c r="L3347" s="52"/>
      <c r="M3347" s="52"/>
      <c r="N3347" s="52"/>
      <c r="O3347" s="52"/>
      <c r="P3347" s="52"/>
      <c r="Q3347" s="52"/>
      <c r="R3347" s="52"/>
      <c r="S3347" s="52"/>
      <c r="T3347" s="52"/>
      <c r="U3347" s="52"/>
      <c r="V3347" s="52"/>
      <c r="W3347" s="52"/>
      <c r="X3347" s="52"/>
      <c r="Y3347" s="52"/>
      <c r="Z3347" s="52"/>
      <c r="AA3347" s="52"/>
      <c r="AB3347" s="52"/>
      <c r="AC3347" s="52"/>
      <c r="AD3347" s="52"/>
      <c r="AE3347" s="52"/>
      <c r="AF3347" s="52"/>
      <c r="AG3347" s="52"/>
      <c r="AH3347" s="52"/>
      <c r="AI3347" s="52"/>
      <c r="AJ3347" s="52"/>
      <c r="AK3347" s="52"/>
      <c r="AL3347" s="52"/>
      <c r="AM3347" s="52"/>
      <c r="AN3347" s="52"/>
    </row>
    <row r="3348" spans="1:40" x14ac:dyDescent="0.3">
      <c r="A3348" s="52">
        <v>3343</v>
      </c>
      <c r="B3348" s="52">
        <f>-bthan*500+(42+0.5)*bthan*1000/50</f>
        <v>1925</v>
      </c>
      <c r="C3348" s="52">
        <f t="shared" si="311"/>
        <v>530</v>
      </c>
      <c r="D3348" s="52">
        <f t="shared" si="309"/>
        <v>2200</v>
      </c>
      <c r="E3348" s="52">
        <f t="shared" si="310"/>
        <v>1</v>
      </c>
      <c r="F3348" s="52"/>
      <c r="G3348" s="52"/>
      <c r="H3348" s="52"/>
      <c r="I3348" s="52"/>
      <c r="J3348" s="52"/>
      <c r="K3348" s="52"/>
      <c r="L3348" s="52"/>
      <c r="M3348" s="52"/>
      <c r="N3348" s="52"/>
      <c r="O3348" s="52"/>
      <c r="P3348" s="52"/>
      <c r="Q3348" s="52"/>
      <c r="R3348" s="52"/>
      <c r="S3348" s="52"/>
      <c r="T3348" s="52"/>
      <c r="U3348" s="52"/>
      <c r="V3348" s="52"/>
      <c r="W3348" s="52"/>
      <c r="X3348" s="52"/>
      <c r="Y3348" s="52"/>
      <c r="Z3348" s="52"/>
      <c r="AA3348" s="52"/>
      <c r="AB3348" s="52"/>
      <c r="AC3348" s="52"/>
      <c r="AD3348" s="52"/>
      <c r="AE3348" s="52"/>
      <c r="AF3348" s="52"/>
      <c r="AG3348" s="52"/>
      <c r="AH3348" s="52"/>
      <c r="AI3348" s="52"/>
      <c r="AJ3348" s="52"/>
      <c r="AK3348" s="52"/>
      <c r="AL3348" s="52"/>
      <c r="AM3348" s="52"/>
      <c r="AN3348" s="52"/>
    </row>
    <row r="3349" spans="1:40" x14ac:dyDescent="0.3">
      <c r="A3349" s="52">
        <v>3344</v>
      </c>
      <c r="B3349" s="52">
        <f>-bthan*500+(43+0.5)*bthan*1000/50</f>
        <v>2035</v>
      </c>
      <c r="C3349" s="52">
        <f t="shared" si="311"/>
        <v>530</v>
      </c>
      <c r="D3349" s="52">
        <f t="shared" si="309"/>
        <v>2200</v>
      </c>
      <c r="E3349" s="52">
        <f t="shared" si="310"/>
        <v>1</v>
      </c>
      <c r="F3349" s="52"/>
      <c r="G3349" s="52"/>
      <c r="H3349" s="52"/>
      <c r="I3349" s="52"/>
      <c r="J3349" s="52"/>
      <c r="K3349" s="52"/>
      <c r="L3349" s="52"/>
      <c r="M3349" s="52"/>
      <c r="N3349" s="52"/>
      <c r="O3349" s="52"/>
      <c r="P3349" s="52"/>
      <c r="Q3349" s="52"/>
      <c r="R3349" s="52"/>
      <c r="S3349" s="52"/>
      <c r="T3349" s="52"/>
      <c r="U3349" s="52"/>
      <c r="V3349" s="52"/>
      <c r="W3349" s="52"/>
      <c r="X3349" s="52"/>
      <c r="Y3349" s="52"/>
      <c r="Z3349" s="52"/>
      <c r="AA3349" s="52"/>
      <c r="AB3349" s="52"/>
      <c r="AC3349" s="52"/>
      <c r="AD3349" s="52"/>
      <c r="AE3349" s="52"/>
      <c r="AF3349" s="52"/>
      <c r="AG3349" s="52"/>
      <c r="AH3349" s="52"/>
      <c r="AI3349" s="52"/>
      <c r="AJ3349" s="52"/>
      <c r="AK3349" s="52"/>
      <c r="AL3349" s="52"/>
      <c r="AM3349" s="52"/>
      <c r="AN3349" s="52"/>
    </row>
    <row r="3350" spans="1:40" x14ac:dyDescent="0.3">
      <c r="A3350" s="52">
        <v>3345</v>
      </c>
      <c r="B3350" s="52">
        <f>-bthan*500+(44+0.5)*bthan*1000/50</f>
        <v>2145</v>
      </c>
      <c r="C3350" s="52">
        <f t="shared" si="311"/>
        <v>530</v>
      </c>
      <c r="D3350" s="52">
        <f t="shared" si="309"/>
        <v>2200</v>
      </c>
      <c r="E3350" s="52">
        <f t="shared" si="310"/>
        <v>1</v>
      </c>
      <c r="F3350" s="52"/>
      <c r="G3350" s="52"/>
      <c r="H3350" s="52"/>
      <c r="I3350" s="52"/>
      <c r="J3350" s="52"/>
      <c r="K3350" s="52"/>
      <c r="L3350" s="52"/>
      <c r="M3350" s="52"/>
      <c r="N3350" s="52"/>
      <c r="O3350" s="52"/>
      <c r="P3350" s="52"/>
      <c r="Q3350" s="52"/>
      <c r="R3350" s="52"/>
      <c r="S3350" s="52"/>
      <c r="T3350" s="52"/>
      <c r="U3350" s="52"/>
      <c r="V3350" s="52"/>
      <c r="W3350" s="52"/>
      <c r="X3350" s="52"/>
      <c r="Y3350" s="52"/>
      <c r="Z3350" s="52"/>
      <c r="AA3350" s="52"/>
      <c r="AB3350" s="52"/>
      <c r="AC3350" s="52"/>
      <c r="AD3350" s="52"/>
      <c r="AE3350" s="52"/>
      <c r="AF3350" s="52"/>
      <c r="AG3350" s="52"/>
      <c r="AH3350" s="52"/>
      <c r="AI3350" s="52"/>
      <c r="AJ3350" s="52"/>
      <c r="AK3350" s="52"/>
      <c r="AL3350" s="52"/>
      <c r="AM3350" s="52"/>
      <c r="AN3350" s="52"/>
    </row>
    <row r="3351" spans="1:40" x14ac:dyDescent="0.3">
      <c r="A3351" s="52">
        <v>3346</v>
      </c>
      <c r="B3351" s="52">
        <f>-bthan*500+(45+0.5)*bthan*1000/50</f>
        <v>2255</v>
      </c>
      <c r="C3351" s="52">
        <f t="shared" si="311"/>
        <v>530</v>
      </c>
      <c r="D3351" s="52">
        <f t="shared" si="309"/>
        <v>2200</v>
      </c>
      <c r="E3351" s="52">
        <f t="shared" si="310"/>
        <v>1</v>
      </c>
      <c r="F3351" s="52"/>
      <c r="G3351" s="52"/>
      <c r="H3351" s="52"/>
      <c r="I3351" s="52"/>
      <c r="J3351" s="52"/>
      <c r="K3351" s="52"/>
      <c r="L3351" s="52"/>
      <c r="M3351" s="52"/>
      <c r="N3351" s="52"/>
      <c r="O3351" s="52"/>
      <c r="P3351" s="52"/>
      <c r="Q3351" s="52"/>
      <c r="R3351" s="52"/>
      <c r="S3351" s="52"/>
      <c r="T3351" s="52"/>
      <c r="U3351" s="52"/>
      <c r="V3351" s="52"/>
      <c r="W3351" s="52"/>
      <c r="X3351" s="52"/>
      <c r="Y3351" s="52"/>
      <c r="Z3351" s="52"/>
      <c r="AA3351" s="52"/>
      <c r="AB3351" s="52"/>
      <c r="AC3351" s="52"/>
      <c r="AD3351" s="52"/>
      <c r="AE3351" s="52"/>
      <c r="AF3351" s="52"/>
      <c r="AG3351" s="52"/>
      <c r="AH3351" s="52"/>
      <c r="AI3351" s="52"/>
      <c r="AJ3351" s="52"/>
      <c r="AK3351" s="52"/>
      <c r="AL3351" s="52"/>
      <c r="AM3351" s="52"/>
      <c r="AN3351" s="52"/>
    </row>
    <row r="3352" spans="1:40" x14ac:dyDescent="0.3">
      <c r="A3352" s="52">
        <v>3347</v>
      </c>
      <c r="B3352" s="52">
        <f>-bthan*500+(46+0.5)*bthan*1000/50</f>
        <v>2365</v>
      </c>
      <c r="C3352" s="52">
        <f t="shared" si="311"/>
        <v>530</v>
      </c>
      <c r="D3352" s="52">
        <f t="shared" si="309"/>
        <v>2200</v>
      </c>
      <c r="E3352" s="52">
        <f t="shared" si="310"/>
        <v>1</v>
      </c>
      <c r="F3352" s="52"/>
      <c r="G3352" s="52"/>
      <c r="H3352" s="52"/>
      <c r="I3352" s="52"/>
      <c r="J3352" s="52"/>
      <c r="K3352" s="52"/>
      <c r="L3352" s="52"/>
      <c r="M3352" s="52"/>
      <c r="N3352" s="52"/>
      <c r="O3352" s="52"/>
      <c r="P3352" s="52"/>
      <c r="Q3352" s="52"/>
      <c r="R3352" s="52"/>
      <c r="S3352" s="52"/>
      <c r="T3352" s="52"/>
      <c r="U3352" s="52"/>
      <c r="V3352" s="52"/>
      <c r="W3352" s="52"/>
      <c r="X3352" s="52"/>
      <c r="Y3352" s="52"/>
      <c r="Z3352" s="52"/>
      <c r="AA3352" s="52"/>
      <c r="AB3352" s="52"/>
      <c r="AC3352" s="52"/>
      <c r="AD3352" s="52"/>
      <c r="AE3352" s="52"/>
      <c r="AF3352" s="52"/>
      <c r="AG3352" s="52"/>
      <c r="AH3352" s="52"/>
      <c r="AI3352" s="52"/>
      <c r="AJ3352" s="52"/>
      <c r="AK3352" s="52"/>
      <c r="AL3352" s="52"/>
      <c r="AM3352" s="52"/>
      <c r="AN3352" s="52"/>
    </row>
    <row r="3353" spans="1:40" x14ac:dyDescent="0.3">
      <c r="A3353" s="52">
        <v>3348</v>
      </c>
      <c r="B3353" s="52">
        <f>-bthan*500+(47+0.5)*bthan*1000/50</f>
        <v>2475</v>
      </c>
      <c r="C3353" s="52">
        <f t="shared" si="311"/>
        <v>530</v>
      </c>
      <c r="D3353" s="52">
        <f t="shared" si="309"/>
        <v>2200</v>
      </c>
      <c r="E3353" s="52">
        <f t="shared" si="310"/>
        <v>1</v>
      </c>
      <c r="F3353" s="52"/>
      <c r="G3353" s="52"/>
      <c r="H3353" s="52"/>
      <c r="I3353" s="52"/>
      <c r="J3353" s="52"/>
      <c r="K3353" s="52"/>
      <c r="L3353" s="52"/>
      <c r="M3353" s="52"/>
      <c r="N3353" s="52"/>
      <c r="O3353" s="52"/>
      <c r="P3353" s="52"/>
      <c r="Q3353" s="52"/>
      <c r="R3353" s="52"/>
      <c r="S3353" s="52"/>
      <c r="T3353" s="52"/>
      <c r="U3353" s="52"/>
      <c r="V3353" s="52"/>
      <c r="W3353" s="52"/>
      <c r="X3353" s="52"/>
      <c r="Y3353" s="52"/>
      <c r="Z3353" s="52"/>
      <c r="AA3353" s="52"/>
      <c r="AB3353" s="52"/>
      <c r="AC3353" s="52"/>
      <c r="AD3353" s="52"/>
      <c r="AE3353" s="52"/>
      <c r="AF3353" s="52"/>
      <c r="AG3353" s="52"/>
      <c r="AH3353" s="52"/>
      <c r="AI3353" s="52"/>
      <c r="AJ3353" s="52"/>
      <c r="AK3353" s="52"/>
      <c r="AL3353" s="52"/>
      <c r="AM3353" s="52"/>
      <c r="AN3353" s="52"/>
    </row>
    <row r="3354" spans="1:40" x14ac:dyDescent="0.3">
      <c r="A3354" s="52">
        <v>3349</v>
      </c>
      <c r="B3354" s="52">
        <f>-bthan*500+(48+0.5)*bthan*1000/50</f>
        <v>2585</v>
      </c>
      <c r="C3354" s="52">
        <f t="shared" si="311"/>
        <v>530</v>
      </c>
      <c r="D3354" s="52">
        <f t="shared" si="309"/>
        <v>2200</v>
      </c>
      <c r="E3354" s="52">
        <f t="shared" si="310"/>
        <v>0</v>
      </c>
      <c r="F3354" s="52"/>
      <c r="G3354" s="52"/>
      <c r="H3354" s="52"/>
      <c r="I3354" s="52"/>
      <c r="J3354" s="52"/>
      <c r="K3354" s="52"/>
      <c r="L3354" s="52"/>
      <c r="M3354" s="52"/>
      <c r="N3354" s="52"/>
      <c r="O3354" s="52"/>
      <c r="P3354" s="52"/>
      <c r="Q3354" s="52"/>
      <c r="R3354" s="52"/>
      <c r="S3354" s="52"/>
      <c r="T3354" s="52"/>
      <c r="U3354" s="52"/>
      <c r="V3354" s="52"/>
      <c r="W3354" s="52"/>
      <c r="X3354" s="52"/>
      <c r="Y3354" s="52"/>
      <c r="Z3354" s="52"/>
      <c r="AA3354" s="52"/>
      <c r="AB3354" s="52"/>
      <c r="AC3354" s="52"/>
      <c r="AD3354" s="52"/>
      <c r="AE3354" s="52"/>
      <c r="AF3354" s="52"/>
      <c r="AG3354" s="52"/>
      <c r="AH3354" s="52"/>
      <c r="AI3354" s="52"/>
      <c r="AJ3354" s="52"/>
      <c r="AK3354" s="52"/>
      <c r="AL3354" s="52"/>
      <c r="AM3354" s="52"/>
      <c r="AN3354" s="52"/>
    </row>
    <row r="3355" spans="1:40" x14ac:dyDescent="0.3">
      <c r="A3355" s="52">
        <v>3350</v>
      </c>
      <c r="B3355" s="52">
        <f>-bthan*500+(49+0.5)*bthan*1000/50</f>
        <v>2695</v>
      </c>
      <c r="C3355" s="52">
        <f t="shared" si="311"/>
        <v>530</v>
      </c>
      <c r="D3355" s="52">
        <f t="shared" si="309"/>
        <v>2200</v>
      </c>
      <c r="E3355" s="52">
        <f t="shared" si="310"/>
        <v>0</v>
      </c>
      <c r="F3355" s="52"/>
      <c r="G3355" s="52"/>
      <c r="H3355" s="52"/>
      <c r="I3355" s="52"/>
      <c r="J3355" s="52"/>
      <c r="K3355" s="52"/>
      <c r="L3355" s="52"/>
      <c r="M3355" s="52"/>
      <c r="N3355" s="52"/>
      <c r="O3355" s="52"/>
      <c r="P3355" s="52"/>
      <c r="Q3355" s="52"/>
      <c r="R3355" s="52"/>
      <c r="S3355" s="52"/>
      <c r="T3355" s="52"/>
      <c r="U3355" s="52"/>
      <c r="V3355" s="52"/>
      <c r="W3355" s="52"/>
      <c r="X3355" s="52"/>
      <c r="Y3355" s="52"/>
      <c r="Z3355" s="52"/>
      <c r="AA3355" s="52"/>
      <c r="AB3355" s="52"/>
      <c r="AC3355" s="52"/>
      <c r="AD3355" s="52"/>
      <c r="AE3355" s="52"/>
      <c r="AF3355" s="52"/>
      <c r="AG3355" s="52"/>
      <c r="AH3355" s="52"/>
      <c r="AI3355" s="52"/>
      <c r="AJ3355" s="52"/>
      <c r="AK3355" s="52"/>
      <c r="AL3355" s="52"/>
      <c r="AM3355" s="52"/>
      <c r="AN3355" s="52"/>
    </row>
    <row r="3356" spans="1:40" x14ac:dyDescent="0.3">
      <c r="A3356" s="52">
        <v>3351</v>
      </c>
      <c r="B3356" s="52">
        <f>-bthan*500+(0+0.5)*bthan*1000/50</f>
        <v>-2695</v>
      </c>
      <c r="C3356" s="52">
        <f t="shared" ref="C3356:C3387" si="312">-hthan*500+(67+0.5)*hthan*1000/80</f>
        <v>550</v>
      </c>
      <c r="D3356" s="52">
        <f t="shared" si="309"/>
        <v>2200</v>
      </c>
      <c r="E3356" s="52">
        <f t="shared" si="310"/>
        <v>0</v>
      </c>
      <c r="F3356" s="52"/>
      <c r="G3356" s="52"/>
      <c r="H3356" s="52"/>
      <c r="I3356" s="52"/>
      <c r="J3356" s="52"/>
      <c r="K3356" s="52"/>
      <c r="L3356" s="52"/>
      <c r="M3356" s="52"/>
      <c r="N3356" s="52"/>
      <c r="O3356" s="52"/>
      <c r="P3356" s="52"/>
      <c r="Q3356" s="52"/>
      <c r="R3356" s="52"/>
      <c r="S3356" s="52"/>
      <c r="T3356" s="52"/>
      <c r="U3356" s="52"/>
      <c r="V3356" s="52"/>
      <c r="W3356" s="52"/>
      <c r="X3356" s="52"/>
      <c r="Y3356" s="52"/>
      <c r="Z3356" s="52"/>
      <c r="AA3356" s="52"/>
      <c r="AB3356" s="52"/>
      <c r="AC3356" s="52"/>
      <c r="AD3356" s="52"/>
      <c r="AE3356" s="52"/>
      <c r="AF3356" s="52"/>
      <c r="AG3356" s="52"/>
      <c r="AH3356" s="52"/>
      <c r="AI3356" s="52"/>
      <c r="AJ3356" s="52"/>
      <c r="AK3356" s="52"/>
      <c r="AL3356" s="52"/>
      <c r="AM3356" s="52"/>
      <c r="AN3356" s="52"/>
    </row>
    <row r="3357" spans="1:40" x14ac:dyDescent="0.3">
      <c r="A3357" s="52">
        <v>3352</v>
      </c>
      <c r="B3357" s="52">
        <f>-bthan*500+(1+0.5)*bthan*1000/50</f>
        <v>-2585</v>
      </c>
      <c r="C3357" s="52">
        <f t="shared" si="312"/>
        <v>550</v>
      </c>
      <c r="D3357" s="52">
        <f t="shared" si="309"/>
        <v>2200</v>
      </c>
      <c r="E3357" s="52">
        <f t="shared" si="310"/>
        <v>0</v>
      </c>
      <c r="F3357" s="52"/>
      <c r="G3357" s="52"/>
      <c r="H3357" s="52"/>
      <c r="I3357" s="52"/>
      <c r="J3357" s="52"/>
      <c r="K3357" s="52"/>
      <c r="L3357" s="52"/>
      <c r="M3357" s="52"/>
      <c r="N3357" s="52"/>
      <c r="O3357" s="52"/>
      <c r="P3357" s="52"/>
      <c r="Q3357" s="52"/>
      <c r="R3357" s="52"/>
      <c r="S3357" s="52"/>
      <c r="T3357" s="52"/>
      <c r="U3357" s="52"/>
      <c r="V3357" s="52"/>
      <c r="W3357" s="52"/>
      <c r="X3357" s="52"/>
      <c r="Y3357" s="52"/>
      <c r="Z3357" s="52"/>
      <c r="AA3357" s="52"/>
      <c r="AB3357" s="52"/>
      <c r="AC3357" s="52"/>
      <c r="AD3357" s="52"/>
      <c r="AE3357" s="52"/>
      <c r="AF3357" s="52"/>
      <c r="AG3357" s="52"/>
      <c r="AH3357" s="52"/>
      <c r="AI3357" s="52"/>
      <c r="AJ3357" s="52"/>
      <c r="AK3357" s="52"/>
      <c r="AL3357" s="52"/>
      <c r="AM3357" s="52"/>
      <c r="AN3357" s="52"/>
    </row>
    <row r="3358" spans="1:40" x14ac:dyDescent="0.3">
      <c r="A3358" s="52">
        <v>3353</v>
      </c>
      <c r="B3358" s="52">
        <f>-bthan*500+(2+0.5)*bthan*1000/50</f>
        <v>-2475</v>
      </c>
      <c r="C3358" s="52">
        <f t="shared" si="312"/>
        <v>550</v>
      </c>
      <c r="D3358" s="52">
        <f t="shared" si="309"/>
        <v>2200</v>
      </c>
      <c r="E3358" s="52">
        <f t="shared" si="310"/>
        <v>1</v>
      </c>
      <c r="F3358" s="52"/>
      <c r="G3358" s="52"/>
      <c r="H3358" s="52"/>
      <c r="I3358" s="52"/>
      <c r="J3358" s="52"/>
      <c r="K3358" s="52"/>
      <c r="L3358" s="52"/>
      <c r="M3358" s="52"/>
      <c r="N3358" s="52"/>
      <c r="O3358" s="52"/>
      <c r="P3358" s="52"/>
      <c r="Q3358" s="52"/>
      <c r="R3358" s="52"/>
      <c r="S3358" s="52"/>
      <c r="T3358" s="52"/>
      <c r="U3358" s="52"/>
      <c r="V3358" s="52"/>
      <c r="W3358" s="52"/>
      <c r="X3358" s="52"/>
      <c r="Y3358" s="52"/>
      <c r="Z3358" s="52"/>
      <c r="AA3358" s="52"/>
      <c r="AB3358" s="52"/>
      <c r="AC3358" s="52"/>
      <c r="AD3358" s="52"/>
      <c r="AE3358" s="52"/>
      <c r="AF3358" s="52"/>
      <c r="AG3358" s="52"/>
      <c r="AH3358" s="52"/>
      <c r="AI3358" s="52"/>
      <c r="AJ3358" s="52"/>
      <c r="AK3358" s="52"/>
      <c r="AL3358" s="52"/>
      <c r="AM3358" s="52"/>
      <c r="AN3358" s="52"/>
    </row>
    <row r="3359" spans="1:40" x14ac:dyDescent="0.3">
      <c r="A3359" s="52">
        <v>3354</v>
      </c>
      <c r="B3359" s="52">
        <f>-bthan*500+(3+0.5)*bthan*1000/50</f>
        <v>-2365</v>
      </c>
      <c r="C3359" s="52">
        <f t="shared" si="312"/>
        <v>550</v>
      </c>
      <c r="D3359" s="52">
        <f t="shared" si="309"/>
        <v>2200</v>
      </c>
      <c r="E3359" s="52">
        <f t="shared" si="310"/>
        <v>1</v>
      </c>
      <c r="F3359" s="52"/>
      <c r="G3359" s="52"/>
      <c r="H3359" s="52"/>
      <c r="I3359" s="52"/>
      <c r="J3359" s="52"/>
      <c r="K3359" s="52"/>
      <c r="L3359" s="52"/>
      <c r="M3359" s="52"/>
      <c r="N3359" s="52"/>
      <c r="O3359" s="52"/>
      <c r="P3359" s="52"/>
      <c r="Q3359" s="52"/>
      <c r="R3359" s="52"/>
      <c r="S3359" s="52"/>
      <c r="T3359" s="52"/>
      <c r="U3359" s="52"/>
      <c r="V3359" s="52"/>
      <c r="W3359" s="52"/>
      <c r="X3359" s="52"/>
      <c r="Y3359" s="52"/>
      <c r="Z3359" s="52"/>
      <c r="AA3359" s="52"/>
      <c r="AB3359" s="52"/>
      <c r="AC3359" s="52"/>
      <c r="AD3359" s="52"/>
      <c r="AE3359" s="52"/>
      <c r="AF3359" s="52"/>
      <c r="AG3359" s="52"/>
      <c r="AH3359" s="52"/>
      <c r="AI3359" s="52"/>
      <c r="AJ3359" s="52"/>
      <c r="AK3359" s="52"/>
      <c r="AL3359" s="52"/>
      <c r="AM3359" s="52"/>
      <c r="AN3359" s="52"/>
    </row>
    <row r="3360" spans="1:40" x14ac:dyDescent="0.3">
      <c r="A3360" s="52">
        <v>3355</v>
      </c>
      <c r="B3360" s="52">
        <f>-bthan*500+(4+0.5)*bthan*1000/50</f>
        <v>-2255</v>
      </c>
      <c r="C3360" s="52">
        <f t="shared" si="312"/>
        <v>550</v>
      </c>
      <c r="D3360" s="52">
        <f t="shared" si="309"/>
        <v>2200</v>
      </c>
      <c r="E3360" s="52">
        <f t="shared" si="310"/>
        <v>1</v>
      </c>
      <c r="F3360" s="52"/>
      <c r="G3360" s="52"/>
      <c r="H3360" s="52"/>
      <c r="I3360" s="52"/>
      <c r="J3360" s="52"/>
      <c r="K3360" s="52"/>
      <c r="L3360" s="52"/>
      <c r="M3360" s="52"/>
      <c r="N3360" s="52"/>
      <c r="O3360" s="52"/>
      <c r="P3360" s="52"/>
      <c r="Q3360" s="52"/>
      <c r="R3360" s="52"/>
      <c r="S3360" s="52"/>
      <c r="T3360" s="52"/>
      <c r="U3360" s="52"/>
      <c r="V3360" s="52"/>
      <c r="W3360" s="52"/>
      <c r="X3360" s="52"/>
      <c r="Y3360" s="52"/>
      <c r="Z3360" s="52"/>
      <c r="AA3360" s="52"/>
      <c r="AB3360" s="52"/>
      <c r="AC3360" s="52"/>
      <c r="AD3360" s="52"/>
      <c r="AE3360" s="52"/>
      <c r="AF3360" s="52"/>
      <c r="AG3360" s="52"/>
      <c r="AH3360" s="52"/>
      <c r="AI3360" s="52"/>
      <c r="AJ3360" s="52"/>
      <c r="AK3360" s="52"/>
      <c r="AL3360" s="52"/>
      <c r="AM3360" s="52"/>
      <c r="AN3360" s="52"/>
    </row>
    <row r="3361" spans="1:40" x14ac:dyDescent="0.3">
      <c r="A3361" s="52">
        <v>3356</v>
      </c>
      <c r="B3361" s="52">
        <f>-bthan*500+(5+0.5)*bthan*1000/50</f>
        <v>-2145</v>
      </c>
      <c r="C3361" s="52">
        <f t="shared" si="312"/>
        <v>550</v>
      </c>
      <c r="D3361" s="52">
        <f t="shared" si="309"/>
        <v>2200</v>
      </c>
      <c r="E3361" s="52">
        <f t="shared" si="310"/>
        <v>1</v>
      </c>
      <c r="F3361" s="52"/>
      <c r="G3361" s="52"/>
      <c r="H3361" s="52"/>
      <c r="I3361" s="52"/>
      <c r="J3361" s="52"/>
      <c r="K3361" s="52"/>
      <c r="L3361" s="52"/>
      <c r="M3361" s="52"/>
      <c r="N3361" s="52"/>
      <c r="O3361" s="52"/>
      <c r="P3361" s="52"/>
      <c r="Q3361" s="52"/>
      <c r="R3361" s="52"/>
      <c r="S3361" s="52"/>
      <c r="T3361" s="52"/>
      <c r="U3361" s="52"/>
      <c r="V3361" s="52"/>
      <c r="W3361" s="52"/>
      <c r="X3361" s="52"/>
      <c r="Y3361" s="52"/>
      <c r="Z3361" s="52"/>
      <c r="AA3361" s="52"/>
      <c r="AB3361" s="52"/>
      <c r="AC3361" s="52"/>
      <c r="AD3361" s="52"/>
      <c r="AE3361" s="52"/>
      <c r="AF3361" s="52"/>
      <c r="AG3361" s="52"/>
      <c r="AH3361" s="52"/>
      <c r="AI3361" s="52"/>
      <c r="AJ3361" s="52"/>
      <c r="AK3361" s="52"/>
      <c r="AL3361" s="52"/>
      <c r="AM3361" s="52"/>
      <c r="AN3361" s="52"/>
    </row>
    <row r="3362" spans="1:40" x14ac:dyDescent="0.3">
      <c r="A3362" s="52">
        <v>3357</v>
      </c>
      <c r="B3362" s="52">
        <f>-bthan*500+(6+0.5)*bthan*1000/50</f>
        <v>-2035</v>
      </c>
      <c r="C3362" s="52">
        <f t="shared" si="312"/>
        <v>550</v>
      </c>
      <c r="D3362" s="52">
        <f t="shared" si="309"/>
        <v>2200</v>
      </c>
      <c r="E3362" s="52">
        <f t="shared" si="310"/>
        <v>1</v>
      </c>
      <c r="F3362" s="52"/>
      <c r="G3362" s="52"/>
      <c r="H3362" s="52"/>
      <c r="I3362" s="52"/>
      <c r="J3362" s="52"/>
      <c r="K3362" s="52"/>
      <c r="L3362" s="52"/>
      <c r="M3362" s="52"/>
      <c r="N3362" s="52"/>
      <c r="O3362" s="52"/>
      <c r="P3362" s="52"/>
      <c r="Q3362" s="52"/>
      <c r="R3362" s="52"/>
      <c r="S3362" s="52"/>
      <c r="T3362" s="52"/>
      <c r="U3362" s="52"/>
      <c r="V3362" s="52"/>
      <c r="W3362" s="52"/>
      <c r="X3362" s="52"/>
      <c r="Y3362" s="52"/>
      <c r="Z3362" s="52"/>
      <c r="AA3362" s="52"/>
      <c r="AB3362" s="52"/>
      <c r="AC3362" s="52"/>
      <c r="AD3362" s="52"/>
      <c r="AE3362" s="52"/>
      <c r="AF3362" s="52"/>
      <c r="AG3362" s="52"/>
      <c r="AH3362" s="52"/>
      <c r="AI3362" s="52"/>
      <c r="AJ3362" s="52"/>
      <c r="AK3362" s="52"/>
      <c r="AL3362" s="52"/>
      <c r="AM3362" s="52"/>
      <c r="AN3362" s="52"/>
    </row>
    <row r="3363" spans="1:40" x14ac:dyDescent="0.3">
      <c r="A3363" s="52">
        <v>3358</v>
      </c>
      <c r="B3363" s="52">
        <f>-bthan*500+(7+0.5)*bthan*1000/50</f>
        <v>-1925</v>
      </c>
      <c r="C3363" s="52">
        <f t="shared" si="312"/>
        <v>550</v>
      </c>
      <c r="D3363" s="52">
        <f t="shared" si="309"/>
        <v>2200</v>
      </c>
      <c r="E3363" s="52">
        <f t="shared" si="310"/>
        <v>1</v>
      </c>
      <c r="F3363" s="52"/>
      <c r="G3363" s="52"/>
      <c r="H3363" s="52"/>
      <c r="I3363" s="52"/>
      <c r="J3363" s="52"/>
      <c r="K3363" s="52"/>
      <c r="L3363" s="52"/>
      <c r="M3363" s="52"/>
      <c r="N3363" s="52"/>
      <c r="O3363" s="52"/>
      <c r="P3363" s="52"/>
      <c r="Q3363" s="52"/>
      <c r="R3363" s="52"/>
      <c r="S3363" s="52"/>
      <c r="T3363" s="52"/>
      <c r="U3363" s="52"/>
      <c r="V3363" s="52"/>
      <c r="W3363" s="52"/>
      <c r="X3363" s="52"/>
      <c r="Y3363" s="52"/>
      <c r="Z3363" s="52"/>
      <c r="AA3363" s="52"/>
      <c r="AB3363" s="52"/>
      <c r="AC3363" s="52"/>
      <c r="AD3363" s="52"/>
      <c r="AE3363" s="52"/>
      <c r="AF3363" s="52"/>
      <c r="AG3363" s="52"/>
      <c r="AH3363" s="52"/>
      <c r="AI3363" s="52"/>
      <c r="AJ3363" s="52"/>
      <c r="AK3363" s="52"/>
      <c r="AL3363" s="52"/>
      <c r="AM3363" s="52"/>
      <c r="AN3363" s="52"/>
    </row>
    <row r="3364" spans="1:40" x14ac:dyDescent="0.3">
      <c r="A3364" s="52">
        <v>3359</v>
      </c>
      <c r="B3364" s="52">
        <f>-bthan*500+(8+0.5)*bthan*1000/50</f>
        <v>-1815</v>
      </c>
      <c r="C3364" s="52">
        <f t="shared" si="312"/>
        <v>550</v>
      </c>
      <c r="D3364" s="52">
        <f t="shared" si="309"/>
        <v>2200</v>
      </c>
      <c r="E3364" s="52">
        <f t="shared" si="310"/>
        <v>1</v>
      </c>
      <c r="F3364" s="52"/>
      <c r="G3364" s="52"/>
      <c r="H3364" s="52"/>
      <c r="I3364" s="52"/>
      <c r="J3364" s="52"/>
      <c r="K3364" s="52"/>
      <c r="L3364" s="52"/>
      <c r="M3364" s="52"/>
      <c r="N3364" s="52"/>
      <c r="O3364" s="52"/>
      <c r="P3364" s="52"/>
      <c r="Q3364" s="52"/>
      <c r="R3364" s="52"/>
      <c r="S3364" s="52"/>
      <c r="T3364" s="52"/>
      <c r="U3364" s="52"/>
      <c r="V3364" s="52"/>
      <c r="W3364" s="52"/>
      <c r="X3364" s="52"/>
      <c r="Y3364" s="52"/>
      <c r="Z3364" s="52"/>
      <c r="AA3364" s="52"/>
      <c r="AB3364" s="52"/>
      <c r="AC3364" s="52"/>
      <c r="AD3364" s="52"/>
      <c r="AE3364" s="52"/>
      <c r="AF3364" s="52"/>
      <c r="AG3364" s="52"/>
      <c r="AH3364" s="52"/>
      <c r="AI3364" s="52"/>
      <c r="AJ3364" s="52"/>
      <c r="AK3364" s="52"/>
      <c r="AL3364" s="52"/>
      <c r="AM3364" s="52"/>
      <c r="AN3364" s="52"/>
    </row>
    <row r="3365" spans="1:40" x14ac:dyDescent="0.3">
      <c r="A3365" s="52">
        <v>3360</v>
      </c>
      <c r="B3365" s="52">
        <f>-bthan*500+(9+0.5)*bthan*1000/50</f>
        <v>-1705</v>
      </c>
      <c r="C3365" s="52">
        <f t="shared" si="312"/>
        <v>550</v>
      </c>
      <c r="D3365" s="52">
        <f t="shared" si="309"/>
        <v>2200</v>
      </c>
      <c r="E3365" s="52">
        <f t="shared" si="310"/>
        <v>1</v>
      </c>
      <c r="F3365" s="52"/>
      <c r="G3365" s="52"/>
      <c r="H3365" s="52"/>
      <c r="I3365" s="52"/>
      <c r="J3365" s="52"/>
      <c r="K3365" s="52"/>
      <c r="L3365" s="52"/>
      <c r="M3365" s="52"/>
      <c r="N3365" s="52"/>
      <c r="O3365" s="52"/>
      <c r="P3365" s="52"/>
      <c r="Q3365" s="52"/>
      <c r="R3365" s="52"/>
      <c r="S3365" s="52"/>
      <c r="T3365" s="52"/>
      <c r="U3365" s="52"/>
      <c r="V3365" s="52"/>
      <c r="W3365" s="52"/>
      <c r="X3365" s="52"/>
      <c r="Y3365" s="52"/>
      <c r="Z3365" s="52"/>
      <c r="AA3365" s="52"/>
      <c r="AB3365" s="52"/>
      <c r="AC3365" s="52"/>
      <c r="AD3365" s="52"/>
      <c r="AE3365" s="52"/>
      <c r="AF3365" s="52"/>
      <c r="AG3365" s="52"/>
      <c r="AH3365" s="52"/>
      <c r="AI3365" s="52"/>
      <c r="AJ3365" s="52"/>
      <c r="AK3365" s="52"/>
      <c r="AL3365" s="52"/>
      <c r="AM3365" s="52"/>
      <c r="AN3365" s="52"/>
    </row>
    <row r="3366" spans="1:40" x14ac:dyDescent="0.3">
      <c r="A3366" s="52">
        <v>3361</v>
      </c>
      <c r="B3366" s="52">
        <f>-bthan*500+(10+0.5)*bthan*1000/50</f>
        <v>-1595</v>
      </c>
      <c r="C3366" s="52">
        <f t="shared" si="312"/>
        <v>550</v>
      </c>
      <c r="D3366" s="52">
        <f t="shared" si="309"/>
        <v>2200</v>
      </c>
      <c r="E3366" s="52">
        <f t="shared" si="310"/>
        <v>1</v>
      </c>
      <c r="F3366" s="52"/>
      <c r="G3366" s="52"/>
      <c r="H3366" s="52"/>
      <c r="I3366" s="52"/>
      <c r="J3366" s="52"/>
      <c r="K3366" s="52"/>
      <c r="L3366" s="52"/>
      <c r="M3366" s="52"/>
      <c r="N3366" s="52"/>
      <c r="O3366" s="52"/>
      <c r="P3366" s="52"/>
      <c r="Q3366" s="52"/>
      <c r="R3366" s="52"/>
      <c r="S3366" s="52"/>
      <c r="T3366" s="52"/>
      <c r="U3366" s="52"/>
      <c r="V3366" s="52"/>
      <c r="W3366" s="52"/>
      <c r="X3366" s="52"/>
      <c r="Y3366" s="52"/>
      <c r="Z3366" s="52"/>
      <c r="AA3366" s="52"/>
      <c r="AB3366" s="52"/>
      <c r="AC3366" s="52"/>
      <c r="AD3366" s="52"/>
      <c r="AE3366" s="52"/>
      <c r="AF3366" s="52"/>
      <c r="AG3366" s="52"/>
      <c r="AH3366" s="52"/>
      <c r="AI3366" s="52"/>
      <c r="AJ3366" s="52"/>
      <c r="AK3366" s="52"/>
      <c r="AL3366" s="52"/>
      <c r="AM3366" s="52"/>
      <c r="AN3366" s="52"/>
    </row>
    <row r="3367" spans="1:40" x14ac:dyDescent="0.3">
      <c r="A3367" s="52">
        <v>3362</v>
      </c>
      <c r="B3367" s="52">
        <f>-bthan*500+(11+0.5)*bthan*1000/50</f>
        <v>-1485</v>
      </c>
      <c r="C3367" s="52">
        <f t="shared" si="312"/>
        <v>550</v>
      </c>
      <c r="D3367" s="52">
        <f t="shared" si="309"/>
        <v>2200</v>
      </c>
      <c r="E3367" s="52">
        <f t="shared" si="310"/>
        <v>1</v>
      </c>
      <c r="F3367" s="52"/>
      <c r="G3367" s="52"/>
      <c r="H3367" s="52"/>
      <c r="I3367" s="52"/>
      <c r="J3367" s="52"/>
      <c r="K3367" s="52"/>
      <c r="L3367" s="52"/>
      <c r="M3367" s="52"/>
      <c r="N3367" s="52"/>
      <c r="O3367" s="52"/>
      <c r="P3367" s="52"/>
      <c r="Q3367" s="52"/>
      <c r="R3367" s="52"/>
      <c r="S3367" s="52"/>
      <c r="T3367" s="52"/>
      <c r="U3367" s="52"/>
      <c r="V3367" s="52"/>
      <c r="W3367" s="52"/>
      <c r="X3367" s="52"/>
      <c r="Y3367" s="52"/>
      <c r="Z3367" s="52"/>
      <c r="AA3367" s="52"/>
      <c r="AB3367" s="52"/>
      <c r="AC3367" s="52"/>
      <c r="AD3367" s="52"/>
      <c r="AE3367" s="52"/>
      <c r="AF3367" s="52"/>
      <c r="AG3367" s="52"/>
      <c r="AH3367" s="52"/>
      <c r="AI3367" s="52"/>
      <c r="AJ3367" s="52"/>
      <c r="AK3367" s="52"/>
      <c r="AL3367" s="52"/>
      <c r="AM3367" s="52"/>
      <c r="AN3367" s="52"/>
    </row>
    <row r="3368" spans="1:40" x14ac:dyDescent="0.3">
      <c r="A3368" s="52">
        <v>3363</v>
      </c>
      <c r="B3368" s="52">
        <f>-bthan*500+(12+0.5)*bthan*1000/50</f>
        <v>-1375</v>
      </c>
      <c r="C3368" s="52">
        <f t="shared" si="312"/>
        <v>550</v>
      </c>
      <c r="D3368" s="52">
        <f t="shared" si="309"/>
        <v>2200</v>
      </c>
      <c r="E3368" s="52">
        <f t="shared" si="310"/>
        <v>1</v>
      </c>
      <c r="F3368" s="52"/>
      <c r="G3368" s="52"/>
      <c r="H3368" s="52"/>
      <c r="I3368" s="52"/>
      <c r="J3368" s="52"/>
      <c r="K3368" s="52"/>
      <c r="L3368" s="52"/>
      <c r="M3368" s="52"/>
      <c r="N3368" s="52"/>
      <c r="O3368" s="52"/>
      <c r="P3368" s="52"/>
      <c r="Q3368" s="52"/>
      <c r="R3368" s="52"/>
      <c r="S3368" s="52"/>
      <c r="T3368" s="52"/>
      <c r="U3368" s="52"/>
      <c r="V3368" s="52"/>
      <c r="W3368" s="52"/>
      <c r="X3368" s="52"/>
      <c r="Y3368" s="52"/>
      <c r="Z3368" s="52"/>
      <c r="AA3368" s="52"/>
      <c r="AB3368" s="52"/>
      <c r="AC3368" s="52"/>
      <c r="AD3368" s="52"/>
      <c r="AE3368" s="52"/>
      <c r="AF3368" s="52"/>
      <c r="AG3368" s="52"/>
      <c r="AH3368" s="52"/>
      <c r="AI3368" s="52"/>
      <c r="AJ3368" s="52"/>
      <c r="AK3368" s="52"/>
      <c r="AL3368" s="52"/>
      <c r="AM3368" s="52"/>
      <c r="AN3368" s="52"/>
    </row>
    <row r="3369" spans="1:40" x14ac:dyDescent="0.3">
      <c r="A3369" s="52">
        <v>3364</v>
      </c>
      <c r="B3369" s="52">
        <f>-bthan*500+(13+0.5)*bthan*1000/50</f>
        <v>-1265</v>
      </c>
      <c r="C3369" s="52">
        <f t="shared" si="312"/>
        <v>550</v>
      </c>
      <c r="D3369" s="52">
        <f t="shared" si="309"/>
        <v>2200</v>
      </c>
      <c r="E3369" s="52">
        <f t="shared" si="310"/>
        <v>1</v>
      </c>
      <c r="F3369" s="52"/>
      <c r="G3369" s="52"/>
      <c r="H3369" s="52"/>
      <c r="I3369" s="52"/>
      <c r="J3369" s="52"/>
      <c r="K3369" s="52"/>
      <c r="L3369" s="52"/>
      <c r="M3369" s="52"/>
      <c r="N3369" s="52"/>
      <c r="O3369" s="52"/>
      <c r="P3369" s="52"/>
      <c r="Q3369" s="52"/>
      <c r="R3369" s="52"/>
      <c r="S3369" s="52"/>
      <c r="T3369" s="52"/>
      <c r="U3369" s="52"/>
      <c r="V3369" s="52"/>
      <c r="W3369" s="52"/>
      <c r="X3369" s="52"/>
      <c r="Y3369" s="52"/>
      <c r="Z3369" s="52"/>
      <c r="AA3369" s="52"/>
      <c r="AB3369" s="52"/>
      <c r="AC3369" s="52"/>
      <c r="AD3369" s="52"/>
      <c r="AE3369" s="52"/>
      <c r="AF3369" s="52"/>
      <c r="AG3369" s="52"/>
      <c r="AH3369" s="52"/>
      <c r="AI3369" s="52"/>
      <c r="AJ3369" s="52"/>
      <c r="AK3369" s="52"/>
      <c r="AL3369" s="52"/>
      <c r="AM3369" s="52"/>
      <c r="AN3369" s="52"/>
    </row>
    <row r="3370" spans="1:40" x14ac:dyDescent="0.3">
      <c r="A3370" s="52">
        <v>3365</v>
      </c>
      <c r="B3370" s="52">
        <f>-bthan*500+(14+0.5)*bthan*1000/50</f>
        <v>-1155</v>
      </c>
      <c r="C3370" s="52">
        <f t="shared" si="312"/>
        <v>550</v>
      </c>
      <c r="D3370" s="52">
        <f t="shared" si="309"/>
        <v>2200</v>
      </c>
      <c r="E3370" s="52">
        <f t="shared" si="310"/>
        <v>1</v>
      </c>
      <c r="F3370" s="52"/>
      <c r="G3370" s="52"/>
      <c r="H3370" s="52"/>
      <c r="I3370" s="52"/>
      <c r="J3370" s="52"/>
      <c r="K3370" s="52"/>
      <c r="L3370" s="52"/>
      <c r="M3370" s="52"/>
      <c r="N3370" s="52"/>
      <c r="O3370" s="52"/>
      <c r="P3370" s="52"/>
      <c r="Q3370" s="52"/>
      <c r="R3370" s="52"/>
      <c r="S3370" s="52"/>
      <c r="T3370" s="52"/>
      <c r="U3370" s="52"/>
      <c r="V3370" s="52"/>
      <c r="W3370" s="52"/>
      <c r="X3370" s="52"/>
      <c r="Y3370" s="52"/>
      <c r="Z3370" s="52"/>
      <c r="AA3370" s="52"/>
      <c r="AB3370" s="52"/>
      <c r="AC3370" s="52"/>
      <c r="AD3370" s="52"/>
      <c r="AE3370" s="52"/>
      <c r="AF3370" s="52"/>
      <c r="AG3370" s="52"/>
      <c r="AH3370" s="52"/>
      <c r="AI3370" s="52"/>
      <c r="AJ3370" s="52"/>
      <c r="AK3370" s="52"/>
      <c r="AL3370" s="52"/>
      <c r="AM3370" s="52"/>
      <c r="AN3370" s="52"/>
    </row>
    <row r="3371" spans="1:40" x14ac:dyDescent="0.3">
      <c r="A3371" s="52">
        <v>3366</v>
      </c>
      <c r="B3371" s="52">
        <f>-bthan*500+(15+0.5)*bthan*1000/50</f>
        <v>-1045</v>
      </c>
      <c r="C3371" s="52">
        <f t="shared" si="312"/>
        <v>550</v>
      </c>
      <c r="D3371" s="52">
        <f t="shared" si="309"/>
        <v>2200</v>
      </c>
      <c r="E3371" s="52">
        <f t="shared" si="310"/>
        <v>1</v>
      </c>
      <c r="F3371" s="52"/>
      <c r="G3371" s="52"/>
      <c r="H3371" s="52"/>
      <c r="I3371" s="52"/>
      <c r="J3371" s="52"/>
      <c r="K3371" s="52"/>
      <c r="L3371" s="52"/>
      <c r="M3371" s="52"/>
      <c r="N3371" s="52"/>
      <c r="O3371" s="52"/>
      <c r="P3371" s="52"/>
      <c r="Q3371" s="52"/>
      <c r="R3371" s="52"/>
      <c r="S3371" s="52"/>
      <c r="T3371" s="52"/>
      <c r="U3371" s="52"/>
      <c r="V3371" s="52"/>
      <c r="W3371" s="52"/>
      <c r="X3371" s="52"/>
      <c r="Y3371" s="52"/>
      <c r="Z3371" s="52"/>
      <c r="AA3371" s="52"/>
      <c r="AB3371" s="52"/>
      <c r="AC3371" s="52"/>
      <c r="AD3371" s="52"/>
      <c r="AE3371" s="52"/>
      <c r="AF3371" s="52"/>
      <c r="AG3371" s="52"/>
      <c r="AH3371" s="52"/>
      <c r="AI3371" s="52"/>
      <c r="AJ3371" s="52"/>
      <c r="AK3371" s="52"/>
      <c r="AL3371" s="52"/>
      <c r="AM3371" s="52"/>
      <c r="AN3371" s="52"/>
    </row>
    <row r="3372" spans="1:40" x14ac:dyDescent="0.3">
      <c r="A3372" s="52">
        <v>3367</v>
      </c>
      <c r="B3372" s="52">
        <f>-bthan*500+(16+0.5)*bthan*1000/50</f>
        <v>-935</v>
      </c>
      <c r="C3372" s="52">
        <f t="shared" si="312"/>
        <v>550</v>
      </c>
      <c r="D3372" s="52">
        <f t="shared" si="309"/>
        <v>2200</v>
      </c>
      <c r="E3372" s="52">
        <f t="shared" si="310"/>
        <v>1</v>
      </c>
      <c r="F3372" s="52"/>
      <c r="G3372" s="52"/>
      <c r="H3372" s="52"/>
      <c r="I3372" s="52"/>
      <c r="J3372" s="52"/>
      <c r="K3372" s="52"/>
      <c r="L3372" s="52"/>
      <c r="M3372" s="52"/>
      <c r="N3372" s="52"/>
      <c r="O3372" s="52"/>
      <c r="P3372" s="52"/>
      <c r="Q3372" s="52"/>
      <c r="R3372" s="52"/>
      <c r="S3372" s="52"/>
      <c r="T3372" s="52"/>
      <c r="U3372" s="52"/>
      <c r="V3372" s="52"/>
      <c r="W3372" s="52"/>
      <c r="X3372" s="52"/>
      <c r="Y3372" s="52"/>
      <c r="Z3372" s="52"/>
      <c r="AA3372" s="52"/>
      <c r="AB3372" s="52"/>
      <c r="AC3372" s="52"/>
      <c r="AD3372" s="52"/>
      <c r="AE3372" s="52"/>
      <c r="AF3372" s="52"/>
      <c r="AG3372" s="52"/>
      <c r="AH3372" s="52"/>
      <c r="AI3372" s="52"/>
      <c r="AJ3372" s="52"/>
      <c r="AK3372" s="52"/>
      <c r="AL3372" s="52"/>
      <c r="AM3372" s="52"/>
      <c r="AN3372" s="52"/>
    </row>
    <row r="3373" spans="1:40" x14ac:dyDescent="0.3">
      <c r="A3373" s="52">
        <v>3368</v>
      </c>
      <c r="B3373" s="52">
        <f>-bthan*500+(17+0.5)*bthan*1000/50</f>
        <v>-825</v>
      </c>
      <c r="C3373" s="52">
        <f t="shared" si="312"/>
        <v>550</v>
      </c>
      <c r="D3373" s="52">
        <f t="shared" si="309"/>
        <v>2200</v>
      </c>
      <c r="E3373" s="52">
        <f t="shared" si="310"/>
        <v>1</v>
      </c>
      <c r="F3373" s="52"/>
      <c r="G3373" s="52"/>
      <c r="H3373" s="52"/>
      <c r="I3373" s="52"/>
      <c r="J3373" s="52"/>
      <c r="K3373" s="52"/>
      <c r="L3373" s="52"/>
      <c r="M3373" s="52"/>
      <c r="N3373" s="52"/>
      <c r="O3373" s="52"/>
      <c r="P3373" s="52"/>
      <c r="Q3373" s="52"/>
      <c r="R3373" s="52"/>
      <c r="S3373" s="52"/>
      <c r="T3373" s="52"/>
      <c r="U3373" s="52"/>
      <c r="V3373" s="52"/>
      <c r="W3373" s="52"/>
      <c r="X3373" s="52"/>
      <c r="Y3373" s="52"/>
      <c r="Z3373" s="52"/>
      <c r="AA3373" s="52"/>
      <c r="AB3373" s="52"/>
      <c r="AC3373" s="52"/>
      <c r="AD3373" s="52"/>
      <c r="AE3373" s="52"/>
      <c r="AF3373" s="52"/>
      <c r="AG3373" s="52"/>
      <c r="AH3373" s="52"/>
      <c r="AI3373" s="52"/>
      <c r="AJ3373" s="52"/>
      <c r="AK3373" s="52"/>
      <c r="AL3373" s="52"/>
      <c r="AM3373" s="52"/>
      <c r="AN3373" s="52"/>
    </row>
    <row r="3374" spans="1:40" x14ac:dyDescent="0.3">
      <c r="A3374" s="52">
        <v>3369</v>
      </c>
      <c r="B3374" s="52">
        <f>-bthan*500+(18+0.5)*bthan*1000/50</f>
        <v>-715</v>
      </c>
      <c r="C3374" s="52">
        <f t="shared" si="312"/>
        <v>550</v>
      </c>
      <c r="D3374" s="52">
        <f t="shared" si="309"/>
        <v>2200</v>
      </c>
      <c r="E3374" s="52">
        <f t="shared" si="310"/>
        <v>1</v>
      </c>
      <c r="F3374" s="52"/>
      <c r="G3374" s="52"/>
      <c r="H3374" s="52"/>
      <c r="I3374" s="52"/>
      <c r="J3374" s="52"/>
      <c r="K3374" s="52"/>
      <c r="L3374" s="52"/>
      <c r="M3374" s="52"/>
      <c r="N3374" s="52"/>
      <c r="O3374" s="52"/>
      <c r="P3374" s="52"/>
      <c r="Q3374" s="52"/>
      <c r="R3374" s="52"/>
      <c r="S3374" s="52"/>
      <c r="T3374" s="52"/>
      <c r="U3374" s="52"/>
      <c r="V3374" s="52"/>
      <c r="W3374" s="52"/>
      <c r="X3374" s="52"/>
      <c r="Y3374" s="52"/>
      <c r="Z3374" s="52"/>
      <c r="AA3374" s="52"/>
      <c r="AB3374" s="52"/>
      <c r="AC3374" s="52"/>
      <c r="AD3374" s="52"/>
      <c r="AE3374" s="52"/>
      <c r="AF3374" s="52"/>
      <c r="AG3374" s="52"/>
      <c r="AH3374" s="52"/>
      <c r="AI3374" s="52"/>
      <c r="AJ3374" s="52"/>
      <c r="AK3374" s="52"/>
      <c r="AL3374" s="52"/>
      <c r="AM3374" s="52"/>
      <c r="AN3374" s="52"/>
    </row>
    <row r="3375" spans="1:40" x14ac:dyDescent="0.3">
      <c r="A3375" s="52">
        <v>3370</v>
      </c>
      <c r="B3375" s="52">
        <f>-bthan*500+(19+0.5)*bthan*1000/50</f>
        <v>-605</v>
      </c>
      <c r="C3375" s="52">
        <f t="shared" si="312"/>
        <v>550</v>
      </c>
      <c r="D3375" s="52">
        <f t="shared" si="309"/>
        <v>2200</v>
      </c>
      <c r="E3375" s="52">
        <f t="shared" si="310"/>
        <v>1</v>
      </c>
      <c r="F3375" s="52"/>
      <c r="G3375" s="52"/>
      <c r="H3375" s="52"/>
      <c r="I3375" s="52"/>
      <c r="J3375" s="52"/>
      <c r="K3375" s="52"/>
      <c r="L3375" s="52"/>
      <c r="M3375" s="52"/>
      <c r="N3375" s="52"/>
      <c r="O3375" s="52"/>
      <c r="P3375" s="52"/>
      <c r="Q3375" s="52"/>
      <c r="R3375" s="52"/>
      <c r="S3375" s="52"/>
      <c r="T3375" s="52"/>
      <c r="U3375" s="52"/>
      <c r="V3375" s="52"/>
      <c r="W3375" s="52"/>
      <c r="X3375" s="52"/>
      <c r="Y3375" s="52"/>
      <c r="Z3375" s="52"/>
      <c r="AA3375" s="52"/>
      <c r="AB3375" s="52"/>
      <c r="AC3375" s="52"/>
      <c r="AD3375" s="52"/>
      <c r="AE3375" s="52"/>
      <c r="AF3375" s="52"/>
      <c r="AG3375" s="52"/>
      <c r="AH3375" s="52"/>
      <c r="AI3375" s="52"/>
      <c r="AJ3375" s="52"/>
      <c r="AK3375" s="52"/>
      <c r="AL3375" s="52"/>
      <c r="AM3375" s="52"/>
      <c r="AN3375" s="52"/>
    </row>
    <row r="3376" spans="1:40" x14ac:dyDescent="0.3">
      <c r="A3376" s="52">
        <v>3371</v>
      </c>
      <c r="B3376" s="52">
        <f>-bthan*500+(20+0.5)*bthan*1000/50</f>
        <v>-495</v>
      </c>
      <c r="C3376" s="52">
        <f t="shared" si="312"/>
        <v>550</v>
      </c>
      <c r="D3376" s="52">
        <f t="shared" si="309"/>
        <v>2200</v>
      </c>
      <c r="E3376" s="52">
        <f t="shared" si="310"/>
        <v>1</v>
      </c>
      <c r="F3376" s="52"/>
      <c r="G3376" s="52"/>
      <c r="H3376" s="52"/>
      <c r="I3376" s="52"/>
      <c r="J3376" s="52"/>
      <c r="K3376" s="52"/>
      <c r="L3376" s="52"/>
      <c r="M3376" s="52"/>
      <c r="N3376" s="52"/>
      <c r="O3376" s="52"/>
      <c r="P3376" s="52"/>
      <c r="Q3376" s="52"/>
      <c r="R3376" s="52"/>
      <c r="S3376" s="52"/>
      <c r="T3376" s="52"/>
      <c r="U3376" s="52"/>
      <c r="V3376" s="52"/>
      <c r="W3376" s="52"/>
      <c r="X3376" s="52"/>
      <c r="Y3376" s="52"/>
      <c r="Z3376" s="52"/>
      <c r="AA3376" s="52"/>
      <c r="AB3376" s="52"/>
      <c r="AC3376" s="52"/>
      <c r="AD3376" s="52"/>
      <c r="AE3376" s="52"/>
      <c r="AF3376" s="52"/>
      <c r="AG3376" s="52"/>
      <c r="AH3376" s="52"/>
      <c r="AI3376" s="52"/>
      <c r="AJ3376" s="52"/>
      <c r="AK3376" s="52"/>
      <c r="AL3376" s="52"/>
      <c r="AM3376" s="52"/>
      <c r="AN3376" s="52"/>
    </row>
    <row r="3377" spans="1:40" x14ac:dyDescent="0.3">
      <c r="A3377" s="52">
        <v>3372</v>
      </c>
      <c r="B3377" s="52">
        <f>-bthan*500+(21+0.5)*bthan*1000/50</f>
        <v>-385</v>
      </c>
      <c r="C3377" s="52">
        <f t="shared" si="312"/>
        <v>550</v>
      </c>
      <c r="D3377" s="52">
        <f t="shared" si="309"/>
        <v>2200</v>
      </c>
      <c r="E3377" s="52">
        <f t="shared" si="310"/>
        <v>1</v>
      </c>
      <c r="F3377" s="52"/>
      <c r="G3377" s="52"/>
      <c r="H3377" s="52"/>
      <c r="I3377" s="52"/>
      <c r="J3377" s="52"/>
      <c r="K3377" s="52"/>
      <c r="L3377" s="52"/>
      <c r="M3377" s="52"/>
      <c r="N3377" s="52"/>
      <c r="O3377" s="52"/>
      <c r="P3377" s="52"/>
      <c r="Q3377" s="52"/>
      <c r="R3377" s="52"/>
      <c r="S3377" s="52"/>
      <c r="T3377" s="52"/>
      <c r="U3377" s="52"/>
      <c r="V3377" s="52"/>
      <c r="W3377" s="52"/>
      <c r="X3377" s="52"/>
      <c r="Y3377" s="52"/>
      <c r="Z3377" s="52"/>
      <c r="AA3377" s="52"/>
      <c r="AB3377" s="52"/>
      <c r="AC3377" s="52"/>
      <c r="AD3377" s="52"/>
      <c r="AE3377" s="52"/>
      <c r="AF3377" s="52"/>
      <c r="AG3377" s="52"/>
      <c r="AH3377" s="52"/>
      <c r="AI3377" s="52"/>
      <c r="AJ3377" s="52"/>
      <c r="AK3377" s="52"/>
      <c r="AL3377" s="52"/>
      <c r="AM3377" s="52"/>
      <c r="AN3377" s="52"/>
    </row>
    <row r="3378" spans="1:40" x14ac:dyDescent="0.3">
      <c r="A3378" s="52">
        <v>3373</v>
      </c>
      <c r="B3378" s="52">
        <f>-bthan*500+(22+0.5)*bthan*1000/50</f>
        <v>-275</v>
      </c>
      <c r="C3378" s="52">
        <f t="shared" si="312"/>
        <v>550</v>
      </c>
      <c r="D3378" s="52">
        <f t="shared" si="309"/>
        <v>2200</v>
      </c>
      <c r="E3378" s="52">
        <f t="shared" si="310"/>
        <v>1</v>
      </c>
      <c r="F3378" s="52"/>
      <c r="G3378" s="52"/>
      <c r="H3378" s="52"/>
      <c r="I3378" s="52"/>
      <c r="J3378" s="52"/>
      <c r="K3378" s="52"/>
      <c r="L3378" s="52"/>
      <c r="M3378" s="52"/>
      <c r="N3378" s="52"/>
      <c r="O3378" s="52"/>
      <c r="P3378" s="52"/>
      <c r="Q3378" s="52"/>
      <c r="R3378" s="52"/>
      <c r="S3378" s="52"/>
      <c r="T3378" s="52"/>
      <c r="U3378" s="52"/>
      <c r="V3378" s="52"/>
      <c r="W3378" s="52"/>
      <c r="X3378" s="52"/>
      <c r="Y3378" s="52"/>
      <c r="Z3378" s="52"/>
      <c r="AA3378" s="52"/>
      <c r="AB3378" s="52"/>
      <c r="AC3378" s="52"/>
      <c r="AD3378" s="52"/>
      <c r="AE3378" s="52"/>
      <c r="AF3378" s="52"/>
      <c r="AG3378" s="52"/>
      <c r="AH3378" s="52"/>
      <c r="AI3378" s="52"/>
      <c r="AJ3378" s="52"/>
      <c r="AK3378" s="52"/>
      <c r="AL3378" s="52"/>
      <c r="AM3378" s="52"/>
      <c r="AN3378" s="52"/>
    </row>
    <row r="3379" spans="1:40" x14ac:dyDescent="0.3">
      <c r="A3379" s="52">
        <v>3374</v>
      </c>
      <c r="B3379" s="52">
        <f>-bthan*500+(23+0.5)*bthan*1000/50</f>
        <v>-165</v>
      </c>
      <c r="C3379" s="52">
        <f t="shared" si="312"/>
        <v>550</v>
      </c>
      <c r="D3379" s="52">
        <f t="shared" si="309"/>
        <v>2200</v>
      </c>
      <c r="E3379" s="52">
        <f t="shared" si="310"/>
        <v>1</v>
      </c>
      <c r="F3379" s="52"/>
      <c r="G3379" s="52"/>
      <c r="H3379" s="52"/>
      <c r="I3379" s="52"/>
      <c r="J3379" s="52"/>
      <c r="K3379" s="52"/>
      <c r="L3379" s="52"/>
      <c r="M3379" s="52"/>
      <c r="N3379" s="52"/>
      <c r="O3379" s="52"/>
      <c r="P3379" s="52"/>
      <c r="Q3379" s="52"/>
      <c r="R3379" s="52"/>
      <c r="S3379" s="52"/>
      <c r="T3379" s="52"/>
      <c r="U3379" s="52"/>
      <c r="V3379" s="52"/>
      <c r="W3379" s="52"/>
      <c r="X3379" s="52"/>
      <c r="Y3379" s="52"/>
      <c r="Z3379" s="52"/>
      <c r="AA3379" s="52"/>
      <c r="AB3379" s="52"/>
      <c r="AC3379" s="52"/>
      <c r="AD3379" s="52"/>
      <c r="AE3379" s="52"/>
      <c r="AF3379" s="52"/>
      <c r="AG3379" s="52"/>
      <c r="AH3379" s="52"/>
      <c r="AI3379" s="52"/>
      <c r="AJ3379" s="52"/>
      <c r="AK3379" s="52"/>
      <c r="AL3379" s="52"/>
      <c r="AM3379" s="52"/>
      <c r="AN3379" s="52"/>
    </row>
    <row r="3380" spans="1:40" x14ac:dyDescent="0.3">
      <c r="A3380" s="52">
        <v>3375</v>
      </c>
      <c r="B3380" s="52">
        <f>-bthan*500+(24+0.5)*bthan*1000/50</f>
        <v>-55</v>
      </c>
      <c r="C3380" s="52">
        <f t="shared" si="312"/>
        <v>550</v>
      </c>
      <c r="D3380" s="52">
        <f t="shared" si="309"/>
        <v>2200</v>
      </c>
      <c r="E3380" s="52">
        <f t="shared" si="310"/>
        <v>1</v>
      </c>
      <c r="F3380" s="52"/>
      <c r="G3380" s="52"/>
      <c r="H3380" s="52"/>
      <c r="I3380" s="52"/>
      <c r="J3380" s="52"/>
      <c r="K3380" s="52"/>
      <c r="L3380" s="52"/>
      <c r="M3380" s="52"/>
      <c r="N3380" s="52"/>
      <c r="O3380" s="52"/>
      <c r="P3380" s="52"/>
      <c r="Q3380" s="52"/>
      <c r="R3380" s="52"/>
      <c r="S3380" s="52"/>
      <c r="T3380" s="52"/>
      <c r="U3380" s="52"/>
      <c r="V3380" s="52"/>
      <c r="W3380" s="52"/>
      <c r="X3380" s="52"/>
      <c r="Y3380" s="52"/>
      <c r="Z3380" s="52"/>
      <c r="AA3380" s="52"/>
      <c r="AB3380" s="52"/>
      <c r="AC3380" s="52"/>
      <c r="AD3380" s="52"/>
      <c r="AE3380" s="52"/>
      <c r="AF3380" s="52"/>
      <c r="AG3380" s="52"/>
      <c r="AH3380" s="52"/>
      <c r="AI3380" s="52"/>
      <c r="AJ3380" s="52"/>
      <c r="AK3380" s="52"/>
      <c r="AL3380" s="52"/>
      <c r="AM3380" s="52"/>
      <c r="AN3380" s="52"/>
    </row>
    <row r="3381" spans="1:40" x14ac:dyDescent="0.3">
      <c r="A3381" s="52">
        <v>3376</v>
      </c>
      <c r="B3381" s="52">
        <f>-bthan*500+(25+0.5)*bthan*1000/50</f>
        <v>55</v>
      </c>
      <c r="C3381" s="52">
        <f t="shared" si="312"/>
        <v>550</v>
      </c>
      <c r="D3381" s="52">
        <f t="shared" si="309"/>
        <v>2200</v>
      </c>
      <c r="E3381" s="52">
        <f t="shared" si="310"/>
        <v>1</v>
      </c>
      <c r="F3381" s="52"/>
      <c r="G3381" s="52"/>
      <c r="H3381" s="52"/>
      <c r="I3381" s="52"/>
      <c r="J3381" s="52"/>
      <c r="K3381" s="52"/>
      <c r="L3381" s="52"/>
      <c r="M3381" s="52"/>
      <c r="N3381" s="52"/>
      <c r="O3381" s="52"/>
      <c r="P3381" s="52"/>
      <c r="Q3381" s="52"/>
      <c r="R3381" s="52"/>
      <c r="S3381" s="52"/>
      <c r="T3381" s="52"/>
      <c r="U3381" s="52"/>
      <c r="V3381" s="52"/>
      <c r="W3381" s="52"/>
      <c r="X3381" s="52"/>
      <c r="Y3381" s="52"/>
      <c r="Z3381" s="52"/>
      <c r="AA3381" s="52"/>
      <c r="AB3381" s="52"/>
      <c r="AC3381" s="52"/>
      <c r="AD3381" s="52"/>
      <c r="AE3381" s="52"/>
      <c r="AF3381" s="52"/>
      <c r="AG3381" s="52"/>
      <c r="AH3381" s="52"/>
      <c r="AI3381" s="52"/>
      <c r="AJ3381" s="52"/>
      <c r="AK3381" s="52"/>
      <c r="AL3381" s="52"/>
      <c r="AM3381" s="52"/>
      <c r="AN3381" s="52"/>
    </row>
    <row r="3382" spans="1:40" x14ac:dyDescent="0.3">
      <c r="A3382" s="52">
        <v>3377</v>
      </c>
      <c r="B3382" s="52">
        <f>-bthan*500+(26+0.5)*bthan*1000/50</f>
        <v>165</v>
      </c>
      <c r="C3382" s="52">
        <f t="shared" si="312"/>
        <v>550</v>
      </c>
      <c r="D3382" s="52">
        <f t="shared" si="309"/>
        <v>2200</v>
      </c>
      <c r="E3382" s="52">
        <f t="shared" si="310"/>
        <v>1</v>
      </c>
      <c r="F3382" s="52"/>
      <c r="G3382" s="52"/>
      <c r="H3382" s="52"/>
      <c r="I3382" s="52"/>
      <c r="J3382" s="52"/>
      <c r="K3382" s="52"/>
      <c r="L3382" s="52"/>
      <c r="M3382" s="52"/>
      <c r="N3382" s="52"/>
      <c r="O3382" s="52"/>
      <c r="P3382" s="52"/>
      <c r="Q3382" s="52"/>
      <c r="R3382" s="52"/>
      <c r="S3382" s="52"/>
      <c r="T3382" s="52"/>
      <c r="U3382" s="52"/>
      <c r="V3382" s="52"/>
      <c r="W3382" s="52"/>
      <c r="X3382" s="52"/>
      <c r="Y3382" s="52"/>
      <c r="Z3382" s="52"/>
      <c r="AA3382" s="52"/>
      <c r="AB3382" s="52"/>
      <c r="AC3382" s="52"/>
      <c r="AD3382" s="52"/>
      <c r="AE3382" s="52"/>
      <c r="AF3382" s="52"/>
      <c r="AG3382" s="52"/>
      <c r="AH3382" s="52"/>
      <c r="AI3382" s="52"/>
      <c r="AJ3382" s="52"/>
      <c r="AK3382" s="52"/>
      <c r="AL3382" s="52"/>
      <c r="AM3382" s="52"/>
      <c r="AN3382" s="52"/>
    </row>
    <row r="3383" spans="1:40" x14ac:dyDescent="0.3">
      <c r="A3383" s="52">
        <v>3378</v>
      </c>
      <c r="B3383" s="52">
        <f>-bthan*500+(27+0.5)*bthan*1000/50</f>
        <v>275</v>
      </c>
      <c r="C3383" s="52">
        <f t="shared" si="312"/>
        <v>550</v>
      </c>
      <c r="D3383" s="52">
        <f t="shared" si="309"/>
        <v>2200</v>
      </c>
      <c r="E3383" s="52">
        <f t="shared" si="310"/>
        <v>1</v>
      </c>
      <c r="F3383" s="52"/>
      <c r="G3383" s="52"/>
      <c r="H3383" s="52"/>
      <c r="I3383" s="52"/>
      <c r="J3383" s="52"/>
      <c r="K3383" s="52"/>
      <c r="L3383" s="52"/>
      <c r="M3383" s="52"/>
      <c r="N3383" s="52"/>
      <c r="O3383" s="52"/>
      <c r="P3383" s="52"/>
      <c r="Q3383" s="52"/>
      <c r="R3383" s="52"/>
      <c r="S3383" s="52"/>
      <c r="T3383" s="52"/>
      <c r="U3383" s="52"/>
      <c r="V3383" s="52"/>
      <c r="W3383" s="52"/>
      <c r="X3383" s="52"/>
      <c r="Y3383" s="52"/>
      <c r="Z3383" s="52"/>
      <c r="AA3383" s="52"/>
      <c r="AB3383" s="52"/>
      <c r="AC3383" s="52"/>
      <c r="AD3383" s="52"/>
      <c r="AE3383" s="52"/>
      <c r="AF3383" s="52"/>
      <c r="AG3383" s="52"/>
      <c r="AH3383" s="52"/>
      <c r="AI3383" s="52"/>
      <c r="AJ3383" s="52"/>
      <c r="AK3383" s="52"/>
      <c r="AL3383" s="52"/>
      <c r="AM3383" s="52"/>
      <c r="AN3383" s="52"/>
    </row>
    <row r="3384" spans="1:40" x14ac:dyDescent="0.3">
      <c r="A3384" s="52">
        <v>3379</v>
      </c>
      <c r="B3384" s="52">
        <f>-bthan*500+(28+0.5)*bthan*1000/50</f>
        <v>385</v>
      </c>
      <c r="C3384" s="52">
        <f t="shared" si="312"/>
        <v>550</v>
      </c>
      <c r="D3384" s="52">
        <f t="shared" si="309"/>
        <v>2200</v>
      </c>
      <c r="E3384" s="52">
        <f t="shared" si="310"/>
        <v>1</v>
      </c>
      <c r="F3384" s="52"/>
      <c r="G3384" s="52"/>
      <c r="H3384" s="52"/>
      <c r="I3384" s="52"/>
      <c r="J3384" s="52"/>
      <c r="K3384" s="52"/>
      <c r="L3384" s="52"/>
      <c r="M3384" s="52"/>
      <c r="N3384" s="52"/>
      <c r="O3384" s="52"/>
      <c r="P3384" s="52"/>
      <c r="Q3384" s="52"/>
      <c r="R3384" s="52"/>
      <c r="S3384" s="52"/>
      <c r="T3384" s="52"/>
      <c r="U3384" s="52"/>
      <c r="V3384" s="52"/>
      <c r="W3384" s="52"/>
      <c r="X3384" s="52"/>
      <c r="Y3384" s="52"/>
      <c r="Z3384" s="52"/>
      <c r="AA3384" s="52"/>
      <c r="AB3384" s="52"/>
      <c r="AC3384" s="52"/>
      <c r="AD3384" s="52"/>
      <c r="AE3384" s="52"/>
      <c r="AF3384" s="52"/>
      <c r="AG3384" s="52"/>
      <c r="AH3384" s="52"/>
      <c r="AI3384" s="52"/>
      <c r="AJ3384" s="52"/>
      <c r="AK3384" s="52"/>
      <c r="AL3384" s="52"/>
      <c r="AM3384" s="52"/>
      <c r="AN3384" s="52"/>
    </row>
    <row r="3385" spans="1:40" x14ac:dyDescent="0.3">
      <c r="A3385" s="52">
        <v>3380</v>
      </c>
      <c r="B3385" s="52">
        <f>-bthan*500+(29+0.5)*bthan*1000/50</f>
        <v>495</v>
      </c>
      <c r="C3385" s="52">
        <f t="shared" si="312"/>
        <v>550</v>
      </c>
      <c r="D3385" s="52">
        <f t="shared" si="309"/>
        <v>2200</v>
      </c>
      <c r="E3385" s="52">
        <f t="shared" si="310"/>
        <v>1</v>
      </c>
      <c r="F3385" s="52"/>
      <c r="G3385" s="52"/>
      <c r="H3385" s="52"/>
      <c r="I3385" s="52"/>
      <c r="J3385" s="52"/>
      <c r="K3385" s="52"/>
      <c r="L3385" s="52"/>
      <c r="M3385" s="52"/>
      <c r="N3385" s="52"/>
      <c r="O3385" s="52"/>
      <c r="P3385" s="52"/>
      <c r="Q3385" s="52"/>
      <c r="R3385" s="52"/>
      <c r="S3385" s="52"/>
      <c r="T3385" s="52"/>
      <c r="U3385" s="52"/>
      <c r="V3385" s="52"/>
      <c r="W3385" s="52"/>
      <c r="X3385" s="52"/>
      <c r="Y3385" s="52"/>
      <c r="Z3385" s="52"/>
      <c r="AA3385" s="52"/>
      <c r="AB3385" s="52"/>
      <c r="AC3385" s="52"/>
      <c r="AD3385" s="52"/>
      <c r="AE3385" s="52"/>
      <c r="AF3385" s="52"/>
      <c r="AG3385" s="52"/>
      <c r="AH3385" s="52"/>
      <c r="AI3385" s="52"/>
      <c r="AJ3385" s="52"/>
      <c r="AK3385" s="52"/>
      <c r="AL3385" s="52"/>
      <c r="AM3385" s="52"/>
      <c r="AN3385" s="52"/>
    </row>
    <row r="3386" spans="1:40" x14ac:dyDescent="0.3">
      <c r="A3386" s="52">
        <v>3381</v>
      </c>
      <c r="B3386" s="52">
        <f>-bthan*500+(30+0.5)*bthan*1000/50</f>
        <v>605</v>
      </c>
      <c r="C3386" s="52">
        <f t="shared" si="312"/>
        <v>550</v>
      </c>
      <c r="D3386" s="52">
        <f t="shared" si="309"/>
        <v>2200</v>
      </c>
      <c r="E3386" s="52">
        <f t="shared" si="310"/>
        <v>1</v>
      </c>
      <c r="F3386" s="52"/>
      <c r="G3386" s="52"/>
      <c r="H3386" s="52"/>
      <c r="I3386" s="52"/>
      <c r="J3386" s="52"/>
      <c r="K3386" s="52"/>
      <c r="L3386" s="52"/>
      <c r="M3386" s="52"/>
      <c r="N3386" s="52"/>
      <c r="O3386" s="52"/>
      <c r="P3386" s="52"/>
      <c r="Q3386" s="52"/>
      <c r="R3386" s="52"/>
      <c r="S3386" s="52"/>
      <c r="T3386" s="52"/>
      <c r="U3386" s="52"/>
      <c r="V3386" s="52"/>
      <c r="W3386" s="52"/>
      <c r="X3386" s="52"/>
      <c r="Y3386" s="52"/>
      <c r="Z3386" s="52"/>
      <c r="AA3386" s="52"/>
      <c r="AB3386" s="52"/>
      <c r="AC3386" s="52"/>
      <c r="AD3386" s="52"/>
      <c r="AE3386" s="52"/>
      <c r="AF3386" s="52"/>
      <c r="AG3386" s="52"/>
      <c r="AH3386" s="52"/>
      <c r="AI3386" s="52"/>
      <c r="AJ3386" s="52"/>
      <c r="AK3386" s="52"/>
      <c r="AL3386" s="52"/>
      <c r="AM3386" s="52"/>
      <c r="AN3386" s="52"/>
    </row>
    <row r="3387" spans="1:40" x14ac:dyDescent="0.3">
      <c r="A3387" s="52">
        <v>3382</v>
      </c>
      <c r="B3387" s="52">
        <f>-bthan*500+(31+0.5)*bthan*1000/50</f>
        <v>715</v>
      </c>
      <c r="C3387" s="52">
        <f t="shared" si="312"/>
        <v>550</v>
      </c>
      <c r="D3387" s="52">
        <f t="shared" si="309"/>
        <v>2200</v>
      </c>
      <c r="E3387" s="52">
        <f t="shared" si="310"/>
        <v>1</v>
      </c>
      <c r="F3387" s="52"/>
      <c r="G3387" s="52"/>
      <c r="H3387" s="52"/>
      <c r="I3387" s="52"/>
      <c r="J3387" s="52"/>
      <c r="K3387" s="52"/>
      <c r="L3387" s="52"/>
      <c r="M3387" s="52"/>
      <c r="N3387" s="52"/>
      <c r="O3387" s="52"/>
      <c r="P3387" s="52"/>
      <c r="Q3387" s="52"/>
      <c r="R3387" s="52"/>
      <c r="S3387" s="52"/>
      <c r="T3387" s="52"/>
      <c r="U3387" s="52"/>
      <c r="V3387" s="52"/>
      <c r="W3387" s="52"/>
      <c r="X3387" s="52"/>
      <c r="Y3387" s="52"/>
      <c r="Z3387" s="52"/>
      <c r="AA3387" s="52"/>
      <c r="AB3387" s="52"/>
      <c r="AC3387" s="52"/>
      <c r="AD3387" s="52"/>
      <c r="AE3387" s="52"/>
      <c r="AF3387" s="52"/>
      <c r="AG3387" s="52"/>
      <c r="AH3387" s="52"/>
      <c r="AI3387" s="52"/>
      <c r="AJ3387" s="52"/>
      <c r="AK3387" s="52"/>
      <c r="AL3387" s="52"/>
      <c r="AM3387" s="52"/>
      <c r="AN3387" s="52"/>
    </row>
    <row r="3388" spans="1:40" x14ac:dyDescent="0.3">
      <c r="A3388" s="52">
        <v>3383</v>
      </c>
      <c r="B3388" s="52">
        <f>-bthan*500+(32+0.5)*bthan*1000/50</f>
        <v>825</v>
      </c>
      <c r="C3388" s="52">
        <f t="shared" ref="C3388:C3405" si="313">-hthan*500+(67+0.5)*hthan*1000/80</f>
        <v>550</v>
      </c>
      <c r="D3388" s="52">
        <f t="shared" si="309"/>
        <v>2200</v>
      </c>
      <c r="E3388" s="52">
        <f t="shared" si="310"/>
        <v>1</v>
      </c>
      <c r="F3388" s="52"/>
      <c r="G3388" s="52"/>
      <c r="H3388" s="52"/>
      <c r="I3388" s="52"/>
      <c r="J3388" s="52"/>
      <c r="K3388" s="52"/>
      <c r="L3388" s="52"/>
      <c r="M3388" s="52"/>
      <c r="N3388" s="52"/>
      <c r="O3388" s="52"/>
      <c r="P3388" s="52"/>
      <c r="Q3388" s="52"/>
      <c r="R3388" s="52"/>
      <c r="S3388" s="52"/>
      <c r="T3388" s="52"/>
      <c r="U3388" s="52"/>
      <c r="V3388" s="52"/>
      <c r="W3388" s="52"/>
      <c r="X3388" s="52"/>
      <c r="Y3388" s="52"/>
      <c r="Z3388" s="52"/>
      <c r="AA3388" s="52"/>
      <c r="AB3388" s="52"/>
      <c r="AC3388" s="52"/>
      <c r="AD3388" s="52"/>
      <c r="AE3388" s="52"/>
      <c r="AF3388" s="52"/>
      <c r="AG3388" s="52"/>
      <c r="AH3388" s="52"/>
      <c r="AI3388" s="52"/>
      <c r="AJ3388" s="52"/>
      <c r="AK3388" s="52"/>
      <c r="AL3388" s="52"/>
      <c r="AM3388" s="52"/>
      <c r="AN3388" s="52"/>
    </row>
    <row r="3389" spans="1:40" x14ac:dyDescent="0.3">
      <c r="A3389" s="52">
        <v>3384</v>
      </c>
      <c r="B3389" s="52">
        <f>-bthan*500+(33+0.5)*bthan*1000/50</f>
        <v>935</v>
      </c>
      <c r="C3389" s="52">
        <f t="shared" si="313"/>
        <v>550</v>
      </c>
      <c r="D3389" s="52">
        <f t="shared" si="309"/>
        <v>2200</v>
      </c>
      <c r="E3389" s="52">
        <f t="shared" si="310"/>
        <v>1</v>
      </c>
      <c r="F3389" s="52"/>
      <c r="G3389" s="52"/>
      <c r="H3389" s="52"/>
      <c r="I3389" s="52"/>
      <c r="J3389" s="52"/>
      <c r="K3389" s="52"/>
      <c r="L3389" s="52"/>
      <c r="M3389" s="52"/>
      <c r="N3389" s="52"/>
      <c r="O3389" s="52"/>
      <c r="P3389" s="52"/>
      <c r="Q3389" s="52"/>
      <c r="R3389" s="52"/>
      <c r="S3389" s="52"/>
      <c r="T3389" s="52"/>
      <c r="U3389" s="52"/>
      <c r="V3389" s="52"/>
      <c r="W3389" s="52"/>
      <c r="X3389" s="52"/>
      <c r="Y3389" s="52"/>
      <c r="Z3389" s="52"/>
      <c r="AA3389" s="52"/>
      <c r="AB3389" s="52"/>
      <c r="AC3389" s="52"/>
      <c r="AD3389" s="52"/>
      <c r="AE3389" s="52"/>
      <c r="AF3389" s="52"/>
      <c r="AG3389" s="52"/>
      <c r="AH3389" s="52"/>
      <c r="AI3389" s="52"/>
      <c r="AJ3389" s="52"/>
      <c r="AK3389" s="52"/>
      <c r="AL3389" s="52"/>
      <c r="AM3389" s="52"/>
      <c r="AN3389" s="52"/>
    </row>
    <row r="3390" spans="1:40" x14ac:dyDescent="0.3">
      <c r="A3390" s="52">
        <v>3385</v>
      </c>
      <c r="B3390" s="52">
        <f>-bthan*500+(34+0.5)*bthan*1000/50</f>
        <v>1045</v>
      </c>
      <c r="C3390" s="52">
        <f t="shared" si="313"/>
        <v>550</v>
      </c>
      <c r="D3390" s="52">
        <f t="shared" si="309"/>
        <v>2200</v>
      </c>
      <c r="E3390" s="52">
        <f t="shared" si="310"/>
        <v>1</v>
      </c>
      <c r="F3390" s="52"/>
      <c r="G3390" s="52"/>
      <c r="H3390" s="52"/>
      <c r="I3390" s="52"/>
      <c r="J3390" s="52"/>
      <c r="K3390" s="52"/>
      <c r="L3390" s="52"/>
      <c r="M3390" s="52"/>
      <c r="N3390" s="52"/>
      <c r="O3390" s="52"/>
      <c r="P3390" s="52"/>
      <c r="Q3390" s="52"/>
      <c r="R3390" s="52"/>
      <c r="S3390" s="52"/>
      <c r="T3390" s="52"/>
      <c r="U3390" s="52"/>
      <c r="V3390" s="52"/>
      <c r="W3390" s="52"/>
      <c r="X3390" s="52"/>
      <c r="Y3390" s="52"/>
      <c r="Z3390" s="52"/>
      <c r="AA3390" s="52"/>
      <c r="AB3390" s="52"/>
      <c r="AC3390" s="52"/>
      <c r="AD3390" s="52"/>
      <c r="AE3390" s="52"/>
      <c r="AF3390" s="52"/>
      <c r="AG3390" s="52"/>
      <c r="AH3390" s="52"/>
      <c r="AI3390" s="52"/>
      <c r="AJ3390" s="52"/>
      <c r="AK3390" s="52"/>
      <c r="AL3390" s="52"/>
      <c r="AM3390" s="52"/>
      <c r="AN3390" s="52"/>
    </row>
    <row r="3391" spans="1:40" x14ac:dyDescent="0.3">
      <c r="A3391" s="52">
        <v>3386</v>
      </c>
      <c r="B3391" s="52">
        <f>-bthan*500+(35+0.5)*bthan*1000/50</f>
        <v>1155</v>
      </c>
      <c r="C3391" s="52">
        <f t="shared" si="313"/>
        <v>550</v>
      </c>
      <c r="D3391" s="52">
        <f t="shared" si="309"/>
        <v>2200</v>
      </c>
      <c r="E3391" s="52">
        <f t="shared" si="310"/>
        <v>1</v>
      </c>
      <c r="F3391" s="52"/>
      <c r="G3391" s="52"/>
      <c r="H3391" s="52"/>
      <c r="I3391" s="52"/>
      <c r="J3391" s="52"/>
      <c r="K3391" s="52"/>
      <c r="L3391" s="52"/>
      <c r="M3391" s="52"/>
      <c r="N3391" s="52"/>
      <c r="O3391" s="52"/>
      <c r="P3391" s="52"/>
      <c r="Q3391" s="52"/>
      <c r="R3391" s="52"/>
      <c r="S3391" s="52"/>
      <c r="T3391" s="52"/>
      <c r="U3391" s="52"/>
      <c r="V3391" s="52"/>
      <c r="W3391" s="52"/>
      <c r="X3391" s="52"/>
      <c r="Y3391" s="52"/>
      <c r="Z3391" s="52"/>
      <c r="AA3391" s="52"/>
      <c r="AB3391" s="52"/>
      <c r="AC3391" s="52"/>
      <c r="AD3391" s="52"/>
      <c r="AE3391" s="52"/>
      <c r="AF3391" s="52"/>
      <c r="AG3391" s="52"/>
      <c r="AH3391" s="52"/>
      <c r="AI3391" s="52"/>
      <c r="AJ3391" s="52"/>
      <c r="AK3391" s="52"/>
      <c r="AL3391" s="52"/>
      <c r="AM3391" s="52"/>
      <c r="AN3391" s="52"/>
    </row>
    <row r="3392" spans="1:40" x14ac:dyDescent="0.3">
      <c r="A3392" s="52">
        <v>3387</v>
      </c>
      <c r="B3392" s="52">
        <f>-bthan*500+(36+0.5)*bthan*1000/50</f>
        <v>1265</v>
      </c>
      <c r="C3392" s="52">
        <f t="shared" si="313"/>
        <v>550</v>
      </c>
      <c r="D3392" s="52">
        <f t="shared" si="309"/>
        <v>2200</v>
      </c>
      <c r="E3392" s="52">
        <f t="shared" si="310"/>
        <v>1</v>
      </c>
      <c r="F3392" s="52"/>
      <c r="G3392" s="52"/>
      <c r="H3392" s="52"/>
      <c r="I3392" s="52"/>
      <c r="J3392" s="52"/>
      <c r="K3392" s="52"/>
      <c r="L3392" s="52"/>
      <c r="M3392" s="52"/>
      <c r="N3392" s="52"/>
      <c r="O3392" s="52"/>
      <c r="P3392" s="52"/>
      <c r="Q3392" s="52"/>
      <c r="R3392" s="52"/>
      <c r="S3392" s="52"/>
      <c r="T3392" s="52"/>
      <c r="U3392" s="52"/>
      <c r="V3392" s="52"/>
      <c r="W3392" s="52"/>
      <c r="X3392" s="52"/>
      <c r="Y3392" s="52"/>
      <c r="Z3392" s="52"/>
      <c r="AA3392" s="52"/>
      <c r="AB3392" s="52"/>
      <c r="AC3392" s="52"/>
      <c r="AD3392" s="52"/>
      <c r="AE3392" s="52"/>
      <c r="AF3392" s="52"/>
      <c r="AG3392" s="52"/>
      <c r="AH3392" s="52"/>
      <c r="AI3392" s="52"/>
      <c r="AJ3392" s="52"/>
      <c r="AK3392" s="52"/>
      <c r="AL3392" s="52"/>
      <c r="AM3392" s="52"/>
      <c r="AN3392" s="52"/>
    </row>
    <row r="3393" spans="1:40" x14ac:dyDescent="0.3">
      <c r="A3393" s="52">
        <v>3388</v>
      </c>
      <c r="B3393" s="52">
        <f>-bthan*500+(37+0.5)*bthan*1000/50</f>
        <v>1375</v>
      </c>
      <c r="C3393" s="52">
        <f t="shared" si="313"/>
        <v>550</v>
      </c>
      <c r="D3393" s="52">
        <f t="shared" si="309"/>
        <v>2200</v>
      </c>
      <c r="E3393" s="52">
        <f t="shared" si="310"/>
        <v>1</v>
      </c>
      <c r="F3393" s="52"/>
      <c r="G3393" s="52"/>
      <c r="H3393" s="52"/>
      <c r="I3393" s="52"/>
      <c r="J3393" s="52"/>
      <c r="K3393" s="52"/>
      <c r="L3393" s="52"/>
      <c r="M3393" s="52"/>
      <c r="N3393" s="52"/>
      <c r="O3393" s="52"/>
      <c r="P3393" s="52"/>
      <c r="Q3393" s="52"/>
      <c r="R3393" s="52"/>
      <c r="S3393" s="52"/>
      <c r="T3393" s="52"/>
      <c r="U3393" s="52"/>
      <c r="V3393" s="52"/>
      <c r="W3393" s="52"/>
      <c r="X3393" s="52"/>
      <c r="Y3393" s="52"/>
      <c r="Z3393" s="52"/>
      <c r="AA3393" s="52"/>
      <c r="AB3393" s="52"/>
      <c r="AC3393" s="52"/>
      <c r="AD3393" s="52"/>
      <c r="AE3393" s="52"/>
      <c r="AF3393" s="52"/>
      <c r="AG3393" s="52"/>
      <c r="AH3393" s="52"/>
      <c r="AI3393" s="52"/>
      <c r="AJ3393" s="52"/>
      <c r="AK3393" s="52"/>
      <c r="AL3393" s="52"/>
      <c r="AM3393" s="52"/>
      <c r="AN3393" s="52"/>
    </row>
    <row r="3394" spans="1:40" x14ac:dyDescent="0.3">
      <c r="A3394" s="52">
        <v>3389</v>
      </c>
      <c r="B3394" s="52">
        <f>-bthan*500+(38+0.5)*bthan*1000/50</f>
        <v>1485</v>
      </c>
      <c r="C3394" s="52">
        <f t="shared" si="313"/>
        <v>550</v>
      </c>
      <c r="D3394" s="52">
        <f t="shared" si="309"/>
        <v>2200</v>
      </c>
      <c r="E3394" s="52">
        <f t="shared" si="310"/>
        <v>1</v>
      </c>
      <c r="F3394" s="52"/>
      <c r="G3394" s="52"/>
      <c r="H3394" s="52"/>
      <c r="I3394" s="52"/>
      <c r="J3394" s="52"/>
      <c r="K3394" s="52"/>
      <c r="L3394" s="52"/>
      <c r="M3394" s="52"/>
      <c r="N3394" s="52"/>
      <c r="O3394" s="52"/>
      <c r="P3394" s="52"/>
      <c r="Q3394" s="52"/>
      <c r="R3394" s="52"/>
      <c r="S3394" s="52"/>
      <c r="T3394" s="52"/>
      <c r="U3394" s="52"/>
      <c r="V3394" s="52"/>
      <c r="W3394" s="52"/>
      <c r="X3394" s="52"/>
      <c r="Y3394" s="52"/>
      <c r="Z3394" s="52"/>
      <c r="AA3394" s="52"/>
      <c r="AB3394" s="52"/>
      <c r="AC3394" s="52"/>
      <c r="AD3394" s="52"/>
      <c r="AE3394" s="52"/>
      <c r="AF3394" s="52"/>
      <c r="AG3394" s="52"/>
      <c r="AH3394" s="52"/>
      <c r="AI3394" s="52"/>
      <c r="AJ3394" s="52"/>
      <c r="AK3394" s="52"/>
      <c r="AL3394" s="52"/>
      <c r="AM3394" s="52"/>
      <c r="AN3394" s="52"/>
    </row>
    <row r="3395" spans="1:40" x14ac:dyDescent="0.3">
      <c r="A3395" s="52">
        <v>3390</v>
      </c>
      <c r="B3395" s="52">
        <f>-bthan*500+(39+0.5)*bthan*1000/50</f>
        <v>1595</v>
      </c>
      <c r="C3395" s="52">
        <f t="shared" si="313"/>
        <v>550</v>
      </c>
      <c r="D3395" s="52">
        <f t="shared" si="309"/>
        <v>2200</v>
      </c>
      <c r="E3395" s="52">
        <f t="shared" si="310"/>
        <v>1</v>
      </c>
      <c r="F3395" s="52"/>
      <c r="G3395" s="52"/>
      <c r="H3395" s="52"/>
      <c r="I3395" s="52"/>
      <c r="J3395" s="52"/>
      <c r="K3395" s="52"/>
      <c r="L3395" s="52"/>
      <c r="M3395" s="52"/>
      <c r="N3395" s="52"/>
      <c r="O3395" s="52"/>
      <c r="P3395" s="52"/>
      <c r="Q3395" s="52"/>
      <c r="R3395" s="52"/>
      <c r="S3395" s="52"/>
      <c r="T3395" s="52"/>
      <c r="U3395" s="52"/>
      <c r="V3395" s="52"/>
      <c r="W3395" s="52"/>
      <c r="X3395" s="52"/>
      <c r="Y3395" s="52"/>
      <c r="Z3395" s="52"/>
      <c r="AA3395" s="52"/>
      <c r="AB3395" s="52"/>
      <c r="AC3395" s="52"/>
      <c r="AD3395" s="52"/>
      <c r="AE3395" s="52"/>
      <c r="AF3395" s="52"/>
      <c r="AG3395" s="52"/>
      <c r="AH3395" s="52"/>
      <c r="AI3395" s="52"/>
      <c r="AJ3395" s="52"/>
      <c r="AK3395" s="52"/>
      <c r="AL3395" s="52"/>
      <c r="AM3395" s="52"/>
      <c r="AN3395" s="52"/>
    </row>
    <row r="3396" spans="1:40" x14ac:dyDescent="0.3">
      <c r="A3396" s="52">
        <v>3391</v>
      </c>
      <c r="B3396" s="52">
        <f>-bthan*500+(40+0.5)*bthan*1000/50</f>
        <v>1705</v>
      </c>
      <c r="C3396" s="52">
        <f t="shared" si="313"/>
        <v>550</v>
      </c>
      <c r="D3396" s="52">
        <f t="shared" si="309"/>
        <v>2200</v>
      </c>
      <c r="E3396" s="52">
        <f t="shared" si="310"/>
        <v>1</v>
      </c>
      <c r="F3396" s="52"/>
      <c r="G3396" s="52"/>
      <c r="H3396" s="52"/>
      <c r="I3396" s="52"/>
      <c r="J3396" s="52"/>
      <c r="K3396" s="52"/>
      <c r="L3396" s="52"/>
      <c r="M3396" s="52"/>
      <c r="N3396" s="52"/>
      <c r="O3396" s="52"/>
      <c r="P3396" s="52"/>
      <c r="Q3396" s="52"/>
      <c r="R3396" s="52"/>
      <c r="S3396" s="52"/>
      <c r="T3396" s="52"/>
      <c r="U3396" s="52"/>
      <c r="V3396" s="52"/>
      <c r="W3396" s="52"/>
      <c r="X3396" s="52"/>
      <c r="Y3396" s="52"/>
      <c r="Z3396" s="52"/>
      <c r="AA3396" s="52"/>
      <c r="AB3396" s="52"/>
      <c r="AC3396" s="52"/>
      <c r="AD3396" s="52"/>
      <c r="AE3396" s="52"/>
      <c r="AF3396" s="52"/>
      <c r="AG3396" s="52"/>
      <c r="AH3396" s="52"/>
      <c r="AI3396" s="52"/>
      <c r="AJ3396" s="52"/>
      <c r="AK3396" s="52"/>
      <c r="AL3396" s="52"/>
      <c r="AM3396" s="52"/>
      <c r="AN3396" s="52"/>
    </row>
    <row r="3397" spans="1:40" x14ac:dyDescent="0.3">
      <c r="A3397" s="52">
        <v>3392</v>
      </c>
      <c r="B3397" s="52">
        <f>-bthan*500+(41+0.5)*bthan*1000/50</f>
        <v>1815</v>
      </c>
      <c r="C3397" s="52">
        <f t="shared" si="313"/>
        <v>550</v>
      </c>
      <c r="D3397" s="52">
        <f t="shared" si="309"/>
        <v>2200</v>
      </c>
      <c r="E3397" s="52">
        <f t="shared" si="310"/>
        <v>1</v>
      </c>
      <c r="F3397" s="52"/>
      <c r="G3397" s="52"/>
      <c r="H3397" s="52"/>
      <c r="I3397" s="52"/>
      <c r="J3397" s="52"/>
      <c r="K3397" s="52"/>
      <c r="L3397" s="52"/>
      <c r="M3397" s="52"/>
      <c r="N3397" s="52"/>
      <c r="O3397" s="52"/>
      <c r="P3397" s="52"/>
      <c r="Q3397" s="52"/>
      <c r="R3397" s="52"/>
      <c r="S3397" s="52"/>
      <c r="T3397" s="52"/>
      <c r="U3397" s="52"/>
      <c r="V3397" s="52"/>
      <c r="W3397" s="52"/>
      <c r="X3397" s="52"/>
      <c r="Y3397" s="52"/>
      <c r="Z3397" s="52"/>
      <c r="AA3397" s="52"/>
      <c r="AB3397" s="52"/>
      <c r="AC3397" s="52"/>
      <c r="AD3397" s="52"/>
      <c r="AE3397" s="52"/>
      <c r="AF3397" s="52"/>
      <c r="AG3397" s="52"/>
      <c r="AH3397" s="52"/>
      <c r="AI3397" s="52"/>
      <c r="AJ3397" s="52"/>
      <c r="AK3397" s="52"/>
      <c r="AL3397" s="52"/>
      <c r="AM3397" s="52"/>
      <c r="AN3397" s="52"/>
    </row>
    <row r="3398" spans="1:40" x14ac:dyDescent="0.3">
      <c r="A3398" s="52">
        <v>3393</v>
      </c>
      <c r="B3398" s="52">
        <f>-bthan*500+(42+0.5)*bthan*1000/50</f>
        <v>1925</v>
      </c>
      <c r="C3398" s="52">
        <f t="shared" si="313"/>
        <v>550</v>
      </c>
      <c r="D3398" s="52">
        <f t="shared" ref="D3398:D3461" si="314">bthan*1000/50*hthan*1000/80</f>
        <v>2200</v>
      </c>
      <c r="E3398" s="52">
        <f t="shared" ref="E3398:E3461" si="315">IF(shp=1,--(OR(ABS(B3398)&lt;=MAX(0,(bthan-hthan)*500),(ABS(B3398)-MAX(0,(bthan-hthan)*500))^2+C3398^2&lt;=(hthan*500)^2)),--(AND(ABS(B3398)&lt;=bthan*500,ABS(C3398)&lt;=hthan*500,OR(ABS(B3398)&lt;=bthan*500-cch*1000,ABS(C3398)&lt;=hthan*500-cch*1000,(bthan*500-ABS(B3398))+(hthan*500-ABS(C3398))&gt;=cch*1000))))</f>
        <v>1</v>
      </c>
      <c r="F3398" s="52"/>
      <c r="G3398" s="52"/>
      <c r="H3398" s="52"/>
      <c r="I3398" s="52"/>
      <c r="J3398" s="52"/>
      <c r="K3398" s="52"/>
      <c r="L3398" s="52"/>
      <c r="M3398" s="52"/>
      <c r="N3398" s="52"/>
      <c r="O3398" s="52"/>
      <c r="P3398" s="52"/>
      <c r="Q3398" s="52"/>
      <c r="R3398" s="52"/>
      <c r="S3398" s="52"/>
      <c r="T3398" s="52"/>
      <c r="U3398" s="52"/>
      <c r="V3398" s="52"/>
      <c r="W3398" s="52"/>
      <c r="X3398" s="52"/>
      <c r="Y3398" s="52"/>
      <c r="Z3398" s="52"/>
      <c r="AA3398" s="52"/>
      <c r="AB3398" s="52"/>
      <c r="AC3398" s="52"/>
      <c r="AD3398" s="52"/>
      <c r="AE3398" s="52"/>
      <c r="AF3398" s="52"/>
      <c r="AG3398" s="52"/>
      <c r="AH3398" s="52"/>
      <c r="AI3398" s="52"/>
      <c r="AJ3398" s="52"/>
      <c r="AK3398" s="52"/>
      <c r="AL3398" s="52"/>
      <c r="AM3398" s="52"/>
      <c r="AN3398" s="52"/>
    </row>
    <row r="3399" spans="1:40" x14ac:dyDescent="0.3">
      <c r="A3399" s="52">
        <v>3394</v>
      </c>
      <c r="B3399" s="52">
        <f>-bthan*500+(43+0.5)*bthan*1000/50</f>
        <v>2035</v>
      </c>
      <c r="C3399" s="52">
        <f t="shared" si="313"/>
        <v>550</v>
      </c>
      <c r="D3399" s="52">
        <f t="shared" si="314"/>
        <v>2200</v>
      </c>
      <c r="E3399" s="52">
        <f t="shared" si="315"/>
        <v>1</v>
      </c>
      <c r="F3399" s="52"/>
      <c r="G3399" s="52"/>
      <c r="H3399" s="52"/>
      <c r="I3399" s="52"/>
      <c r="J3399" s="52"/>
      <c r="K3399" s="52"/>
      <c r="L3399" s="52"/>
      <c r="M3399" s="52"/>
      <c r="N3399" s="52"/>
      <c r="O3399" s="52"/>
      <c r="P3399" s="52"/>
      <c r="Q3399" s="52"/>
      <c r="R3399" s="52"/>
      <c r="S3399" s="52"/>
      <c r="T3399" s="52"/>
      <c r="U3399" s="52"/>
      <c r="V3399" s="52"/>
      <c r="W3399" s="52"/>
      <c r="X3399" s="52"/>
      <c r="Y3399" s="52"/>
      <c r="Z3399" s="52"/>
      <c r="AA3399" s="52"/>
      <c r="AB3399" s="52"/>
      <c r="AC3399" s="52"/>
      <c r="AD3399" s="52"/>
      <c r="AE3399" s="52"/>
      <c r="AF3399" s="52"/>
      <c r="AG3399" s="52"/>
      <c r="AH3399" s="52"/>
      <c r="AI3399" s="52"/>
      <c r="AJ3399" s="52"/>
      <c r="AK3399" s="52"/>
      <c r="AL3399" s="52"/>
      <c r="AM3399" s="52"/>
      <c r="AN3399" s="52"/>
    </row>
    <row r="3400" spans="1:40" x14ac:dyDescent="0.3">
      <c r="A3400" s="52">
        <v>3395</v>
      </c>
      <c r="B3400" s="52">
        <f>-bthan*500+(44+0.5)*bthan*1000/50</f>
        <v>2145</v>
      </c>
      <c r="C3400" s="52">
        <f t="shared" si="313"/>
        <v>550</v>
      </c>
      <c r="D3400" s="52">
        <f t="shared" si="314"/>
        <v>2200</v>
      </c>
      <c r="E3400" s="52">
        <f t="shared" si="315"/>
        <v>1</v>
      </c>
      <c r="F3400" s="52"/>
      <c r="G3400" s="52"/>
      <c r="H3400" s="52"/>
      <c r="I3400" s="52"/>
      <c r="J3400" s="52"/>
      <c r="K3400" s="52"/>
      <c r="L3400" s="52"/>
      <c r="M3400" s="52"/>
      <c r="N3400" s="52"/>
      <c r="O3400" s="52"/>
      <c r="P3400" s="52"/>
      <c r="Q3400" s="52"/>
      <c r="R3400" s="52"/>
      <c r="S3400" s="52"/>
      <c r="T3400" s="52"/>
      <c r="U3400" s="52"/>
      <c r="V3400" s="52"/>
      <c r="W3400" s="52"/>
      <c r="X3400" s="52"/>
      <c r="Y3400" s="52"/>
      <c r="Z3400" s="52"/>
      <c r="AA3400" s="52"/>
      <c r="AB3400" s="52"/>
      <c r="AC3400" s="52"/>
      <c r="AD3400" s="52"/>
      <c r="AE3400" s="52"/>
      <c r="AF3400" s="52"/>
      <c r="AG3400" s="52"/>
      <c r="AH3400" s="52"/>
      <c r="AI3400" s="52"/>
      <c r="AJ3400" s="52"/>
      <c r="AK3400" s="52"/>
      <c r="AL3400" s="52"/>
      <c r="AM3400" s="52"/>
      <c r="AN3400" s="52"/>
    </row>
    <row r="3401" spans="1:40" x14ac:dyDescent="0.3">
      <c r="A3401" s="52">
        <v>3396</v>
      </c>
      <c r="B3401" s="52">
        <f>-bthan*500+(45+0.5)*bthan*1000/50</f>
        <v>2255</v>
      </c>
      <c r="C3401" s="52">
        <f t="shared" si="313"/>
        <v>550</v>
      </c>
      <c r="D3401" s="52">
        <f t="shared" si="314"/>
        <v>2200</v>
      </c>
      <c r="E3401" s="52">
        <f t="shared" si="315"/>
        <v>1</v>
      </c>
      <c r="F3401" s="52"/>
      <c r="G3401" s="52"/>
      <c r="H3401" s="52"/>
      <c r="I3401" s="52"/>
      <c r="J3401" s="52"/>
      <c r="K3401" s="52"/>
      <c r="L3401" s="52"/>
      <c r="M3401" s="52"/>
      <c r="N3401" s="52"/>
      <c r="O3401" s="52"/>
      <c r="P3401" s="52"/>
      <c r="Q3401" s="52"/>
      <c r="R3401" s="52"/>
      <c r="S3401" s="52"/>
      <c r="T3401" s="52"/>
      <c r="U3401" s="52"/>
      <c r="V3401" s="52"/>
      <c r="W3401" s="52"/>
      <c r="X3401" s="52"/>
      <c r="Y3401" s="52"/>
      <c r="Z3401" s="52"/>
      <c r="AA3401" s="52"/>
      <c r="AB3401" s="52"/>
      <c r="AC3401" s="52"/>
      <c r="AD3401" s="52"/>
      <c r="AE3401" s="52"/>
      <c r="AF3401" s="52"/>
      <c r="AG3401" s="52"/>
      <c r="AH3401" s="52"/>
      <c r="AI3401" s="52"/>
      <c r="AJ3401" s="52"/>
      <c r="AK3401" s="52"/>
      <c r="AL3401" s="52"/>
      <c r="AM3401" s="52"/>
      <c r="AN3401" s="52"/>
    </row>
    <row r="3402" spans="1:40" x14ac:dyDescent="0.3">
      <c r="A3402" s="52">
        <v>3397</v>
      </c>
      <c r="B3402" s="52">
        <f>-bthan*500+(46+0.5)*bthan*1000/50</f>
        <v>2365</v>
      </c>
      <c r="C3402" s="52">
        <f t="shared" si="313"/>
        <v>550</v>
      </c>
      <c r="D3402" s="52">
        <f t="shared" si="314"/>
        <v>2200</v>
      </c>
      <c r="E3402" s="52">
        <f t="shared" si="315"/>
        <v>1</v>
      </c>
      <c r="F3402" s="52"/>
      <c r="G3402" s="52"/>
      <c r="H3402" s="52"/>
      <c r="I3402" s="52"/>
      <c r="J3402" s="52"/>
      <c r="K3402" s="52"/>
      <c r="L3402" s="52"/>
      <c r="M3402" s="52"/>
      <c r="N3402" s="52"/>
      <c r="O3402" s="52"/>
      <c r="P3402" s="52"/>
      <c r="Q3402" s="52"/>
      <c r="R3402" s="52"/>
      <c r="S3402" s="52"/>
      <c r="T3402" s="52"/>
      <c r="U3402" s="52"/>
      <c r="V3402" s="52"/>
      <c r="W3402" s="52"/>
      <c r="X3402" s="52"/>
      <c r="Y3402" s="52"/>
      <c r="Z3402" s="52"/>
      <c r="AA3402" s="52"/>
      <c r="AB3402" s="52"/>
      <c r="AC3402" s="52"/>
      <c r="AD3402" s="52"/>
      <c r="AE3402" s="52"/>
      <c r="AF3402" s="52"/>
      <c r="AG3402" s="52"/>
      <c r="AH3402" s="52"/>
      <c r="AI3402" s="52"/>
      <c r="AJ3402" s="52"/>
      <c r="AK3402" s="52"/>
      <c r="AL3402" s="52"/>
      <c r="AM3402" s="52"/>
      <c r="AN3402" s="52"/>
    </row>
    <row r="3403" spans="1:40" x14ac:dyDescent="0.3">
      <c r="A3403" s="52">
        <v>3398</v>
      </c>
      <c r="B3403" s="52">
        <f>-bthan*500+(47+0.5)*bthan*1000/50</f>
        <v>2475</v>
      </c>
      <c r="C3403" s="52">
        <f t="shared" si="313"/>
        <v>550</v>
      </c>
      <c r="D3403" s="52">
        <f t="shared" si="314"/>
        <v>2200</v>
      </c>
      <c r="E3403" s="52">
        <f t="shared" si="315"/>
        <v>1</v>
      </c>
      <c r="F3403" s="52"/>
      <c r="G3403" s="52"/>
      <c r="H3403" s="52"/>
      <c r="I3403" s="52"/>
      <c r="J3403" s="52"/>
      <c r="K3403" s="52"/>
      <c r="L3403" s="52"/>
      <c r="M3403" s="52"/>
      <c r="N3403" s="52"/>
      <c r="O3403" s="52"/>
      <c r="P3403" s="52"/>
      <c r="Q3403" s="52"/>
      <c r="R3403" s="52"/>
      <c r="S3403" s="52"/>
      <c r="T3403" s="52"/>
      <c r="U3403" s="52"/>
      <c r="V3403" s="52"/>
      <c r="W3403" s="52"/>
      <c r="X3403" s="52"/>
      <c r="Y3403" s="52"/>
      <c r="Z3403" s="52"/>
      <c r="AA3403" s="52"/>
      <c r="AB3403" s="52"/>
      <c r="AC3403" s="52"/>
      <c r="AD3403" s="52"/>
      <c r="AE3403" s="52"/>
      <c r="AF3403" s="52"/>
      <c r="AG3403" s="52"/>
      <c r="AH3403" s="52"/>
      <c r="AI3403" s="52"/>
      <c r="AJ3403" s="52"/>
      <c r="AK3403" s="52"/>
      <c r="AL3403" s="52"/>
      <c r="AM3403" s="52"/>
      <c r="AN3403" s="52"/>
    </row>
    <row r="3404" spans="1:40" x14ac:dyDescent="0.3">
      <c r="A3404" s="52">
        <v>3399</v>
      </c>
      <c r="B3404" s="52">
        <f>-bthan*500+(48+0.5)*bthan*1000/50</f>
        <v>2585</v>
      </c>
      <c r="C3404" s="52">
        <f t="shared" si="313"/>
        <v>550</v>
      </c>
      <c r="D3404" s="52">
        <f t="shared" si="314"/>
        <v>2200</v>
      </c>
      <c r="E3404" s="52">
        <f t="shared" si="315"/>
        <v>0</v>
      </c>
      <c r="F3404" s="52"/>
      <c r="G3404" s="52"/>
      <c r="H3404" s="52"/>
      <c r="I3404" s="52"/>
      <c r="J3404" s="52"/>
      <c r="K3404" s="52"/>
      <c r="L3404" s="52"/>
      <c r="M3404" s="52"/>
      <c r="N3404" s="52"/>
      <c r="O3404" s="52"/>
      <c r="P3404" s="52"/>
      <c r="Q3404" s="52"/>
      <c r="R3404" s="52"/>
      <c r="S3404" s="52"/>
      <c r="T3404" s="52"/>
      <c r="U3404" s="52"/>
      <c r="V3404" s="52"/>
      <c r="W3404" s="52"/>
      <c r="X3404" s="52"/>
      <c r="Y3404" s="52"/>
      <c r="Z3404" s="52"/>
      <c r="AA3404" s="52"/>
      <c r="AB3404" s="52"/>
      <c r="AC3404" s="52"/>
      <c r="AD3404" s="52"/>
      <c r="AE3404" s="52"/>
      <c r="AF3404" s="52"/>
      <c r="AG3404" s="52"/>
      <c r="AH3404" s="52"/>
      <c r="AI3404" s="52"/>
      <c r="AJ3404" s="52"/>
      <c r="AK3404" s="52"/>
      <c r="AL3404" s="52"/>
      <c r="AM3404" s="52"/>
      <c r="AN3404" s="52"/>
    </row>
    <row r="3405" spans="1:40" x14ac:dyDescent="0.3">
      <c r="A3405" s="52">
        <v>3400</v>
      </c>
      <c r="B3405" s="52">
        <f>-bthan*500+(49+0.5)*bthan*1000/50</f>
        <v>2695</v>
      </c>
      <c r="C3405" s="52">
        <f t="shared" si="313"/>
        <v>550</v>
      </c>
      <c r="D3405" s="52">
        <f t="shared" si="314"/>
        <v>2200</v>
      </c>
      <c r="E3405" s="52">
        <f t="shared" si="315"/>
        <v>0</v>
      </c>
      <c r="F3405" s="52"/>
      <c r="G3405" s="52"/>
      <c r="H3405" s="52"/>
      <c r="I3405" s="52"/>
      <c r="J3405" s="52"/>
      <c r="K3405" s="52"/>
      <c r="L3405" s="52"/>
      <c r="M3405" s="52"/>
      <c r="N3405" s="52"/>
      <c r="O3405" s="52"/>
      <c r="P3405" s="52"/>
      <c r="Q3405" s="52"/>
      <c r="R3405" s="52"/>
      <c r="S3405" s="52"/>
      <c r="T3405" s="52"/>
      <c r="U3405" s="52"/>
      <c r="V3405" s="52"/>
      <c r="W3405" s="52"/>
      <c r="X3405" s="52"/>
      <c r="Y3405" s="52"/>
      <c r="Z3405" s="52"/>
      <c r="AA3405" s="52"/>
      <c r="AB3405" s="52"/>
      <c r="AC3405" s="52"/>
      <c r="AD3405" s="52"/>
      <c r="AE3405" s="52"/>
      <c r="AF3405" s="52"/>
      <c r="AG3405" s="52"/>
      <c r="AH3405" s="52"/>
      <c r="AI3405" s="52"/>
      <c r="AJ3405" s="52"/>
      <c r="AK3405" s="52"/>
      <c r="AL3405" s="52"/>
      <c r="AM3405" s="52"/>
      <c r="AN3405" s="52"/>
    </row>
    <row r="3406" spans="1:40" x14ac:dyDescent="0.3">
      <c r="A3406" s="52">
        <v>3401</v>
      </c>
      <c r="B3406" s="52">
        <f>-bthan*500+(0+0.5)*bthan*1000/50</f>
        <v>-2695</v>
      </c>
      <c r="C3406" s="52">
        <f t="shared" ref="C3406:C3437" si="316">-hthan*500+(68+0.5)*hthan*1000/80</f>
        <v>570.00000000000023</v>
      </c>
      <c r="D3406" s="52">
        <f t="shared" si="314"/>
        <v>2200</v>
      </c>
      <c r="E3406" s="52">
        <f t="shared" si="315"/>
        <v>0</v>
      </c>
      <c r="F3406" s="52"/>
      <c r="G3406" s="52"/>
      <c r="H3406" s="52"/>
      <c r="I3406" s="52"/>
      <c r="J3406" s="52"/>
      <c r="K3406" s="52"/>
      <c r="L3406" s="52"/>
      <c r="M3406" s="52"/>
      <c r="N3406" s="52"/>
      <c r="O3406" s="52"/>
      <c r="P3406" s="52"/>
      <c r="Q3406" s="52"/>
      <c r="R3406" s="52"/>
      <c r="S3406" s="52"/>
      <c r="T3406" s="52"/>
      <c r="U3406" s="52"/>
      <c r="V3406" s="52"/>
      <c r="W3406" s="52"/>
      <c r="X3406" s="52"/>
      <c r="Y3406" s="52"/>
      <c r="Z3406" s="52"/>
      <c r="AA3406" s="52"/>
      <c r="AB3406" s="52"/>
      <c r="AC3406" s="52"/>
      <c r="AD3406" s="52"/>
      <c r="AE3406" s="52"/>
      <c r="AF3406" s="52"/>
      <c r="AG3406" s="52"/>
      <c r="AH3406" s="52"/>
      <c r="AI3406" s="52"/>
      <c r="AJ3406" s="52"/>
      <c r="AK3406" s="52"/>
      <c r="AL3406" s="52"/>
      <c r="AM3406" s="52"/>
      <c r="AN3406" s="52"/>
    </row>
    <row r="3407" spans="1:40" x14ac:dyDescent="0.3">
      <c r="A3407" s="52">
        <v>3402</v>
      </c>
      <c r="B3407" s="52">
        <f>-bthan*500+(1+0.5)*bthan*1000/50</f>
        <v>-2585</v>
      </c>
      <c r="C3407" s="52">
        <f t="shared" si="316"/>
        <v>570.00000000000023</v>
      </c>
      <c r="D3407" s="52">
        <f t="shared" si="314"/>
        <v>2200</v>
      </c>
      <c r="E3407" s="52">
        <f t="shared" si="315"/>
        <v>0</v>
      </c>
      <c r="F3407" s="52"/>
      <c r="G3407" s="52"/>
      <c r="H3407" s="52"/>
      <c r="I3407" s="52"/>
      <c r="J3407" s="52"/>
      <c r="K3407" s="52"/>
      <c r="L3407" s="52"/>
      <c r="M3407" s="52"/>
      <c r="N3407" s="52"/>
      <c r="O3407" s="52"/>
      <c r="P3407" s="52"/>
      <c r="Q3407" s="52"/>
      <c r="R3407" s="52"/>
      <c r="S3407" s="52"/>
      <c r="T3407" s="52"/>
      <c r="U3407" s="52"/>
      <c r="V3407" s="52"/>
      <c r="W3407" s="52"/>
      <c r="X3407" s="52"/>
      <c r="Y3407" s="52"/>
      <c r="Z3407" s="52"/>
      <c r="AA3407" s="52"/>
      <c r="AB3407" s="52"/>
      <c r="AC3407" s="52"/>
      <c r="AD3407" s="52"/>
      <c r="AE3407" s="52"/>
      <c r="AF3407" s="52"/>
      <c r="AG3407" s="52"/>
      <c r="AH3407" s="52"/>
      <c r="AI3407" s="52"/>
      <c r="AJ3407" s="52"/>
      <c r="AK3407" s="52"/>
      <c r="AL3407" s="52"/>
      <c r="AM3407" s="52"/>
      <c r="AN3407" s="52"/>
    </row>
    <row r="3408" spans="1:40" x14ac:dyDescent="0.3">
      <c r="A3408" s="52">
        <v>3403</v>
      </c>
      <c r="B3408" s="52">
        <f>-bthan*500+(2+0.5)*bthan*1000/50</f>
        <v>-2475</v>
      </c>
      <c r="C3408" s="52">
        <f t="shared" si="316"/>
        <v>570.00000000000023</v>
      </c>
      <c r="D3408" s="52">
        <f t="shared" si="314"/>
        <v>2200</v>
      </c>
      <c r="E3408" s="52">
        <f t="shared" si="315"/>
        <v>1</v>
      </c>
      <c r="F3408" s="52"/>
      <c r="G3408" s="52"/>
      <c r="H3408" s="52"/>
      <c r="I3408" s="52"/>
      <c r="J3408" s="52"/>
      <c r="K3408" s="52"/>
      <c r="L3408" s="52"/>
      <c r="M3408" s="52"/>
      <c r="N3408" s="52"/>
      <c r="O3408" s="52"/>
      <c r="P3408" s="52"/>
      <c r="Q3408" s="52"/>
      <c r="R3408" s="52"/>
      <c r="S3408" s="52"/>
      <c r="T3408" s="52"/>
      <c r="U3408" s="52"/>
      <c r="V3408" s="52"/>
      <c r="W3408" s="52"/>
      <c r="X3408" s="52"/>
      <c r="Y3408" s="52"/>
      <c r="Z3408" s="52"/>
      <c r="AA3408" s="52"/>
      <c r="AB3408" s="52"/>
      <c r="AC3408" s="52"/>
      <c r="AD3408" s="52"/>
      <c r="AE3408" s="52"/>
      <c r="AF3408" s="52"/>
      <c r="AG3408" s="52"/>
      <c r="AH3408" s="52"/>
      <c r="AI3408" s="52"/>
      <c r="AJ3408" s="52"/>
      <c r="AK3408" s="52"/>
      <c r="AL3408" s="52"/>
      <c r="AM3408" s="52"/>
      <c r="AN3408" s="52"/>
    </row>
    <row r="3409" spans="1:40" x14ac:dyDescent="0.3">
      <c r="A3409" s="52">
        <v>3404</v>
      </c>
      <c r="B3409" s="52">
        <f>-bthan*500+(3+0.5)*bthan*1000/50</f>
        <v>-2365</v>
      </c>
      <c r="C3409" s="52">
        <f t="shared" si="316"/>
        <v>570.00000000000023</v>
      </c>
      <c r="D3409" s="52">
        <f t="shared" si="314"/>
        <v>2200</v>
      </c>
      <c r="E3409" s="52">
        <f t="shared" si="315"/>
        <v>1</v>
      </c>
      <c r="F3409" s="52"/>
      <c r="G3409" s="52"/>
      <c r="H3409" s="52"/>
      <c r="I3409" s="52"/>
      <c r="J3409" s="52"/>
      <c r="K3409" s="52"/>
      <c r="L3409" s="52"/>
      <c r="M3409" s="52"/>
      <c r="N3409" s="52"/>
      <c r="O3409" s="52"/>
      <c r="P3409" s="52"/>
      <c r="Q3409" s="52"/>
      <c r="R3409" s="52"/>
      <c r="S3409" s="52"/>
      <c r="T3409" s="52"/>
      <c r="U3409" s="52"/>
      <c r="V3409" s="52"/>
      <c r="W3409" s="52"/>
      <c r="X3409" s="52"/>
      <c r="Y3409" s="52"/>
      <c r="Z3409" s="52"/>
      <c r="AA3409" s="52"/>
      <c r="AB3409" s="52"/>
      <c r="AC3409" s="52"/>
      <c r="AD3409" s="52"/>
      <c r="AE3409" s="52"/>
      <c r="AF3409" s="52"/>
      <c r="AG3409" s="52"/>
      <c r="AH3409" s="52"/>
      <c r="AI3409" s="52"/>
      <c r="AJ3409" s="52"/>
      <c r="AK3409" s="52"/>
      <c r="AL3409" s="52"/>
      <c r="AM3409" s="52"/>
      <c r="AN3409" s="52"/>
    </row>
    <row r="3410" spans="1:40" x14ac:dyDescent="0.3">
      <c r="A3410" s="52">
        <v>3405</v>
      </c>
      <c r="B3410" s="52">
        <f>-bthan*500+(4+0.5)*bthan*1000/50</f>
        <v>-2255</v>
      </c>
      <c r="C3410" s="52">
        <f t="shared" si="316"/>
        <v>570.00000000000023</v>
      </c>
      <c r="D3410" s="52">
        <f t="shared" si="314"/>
        <v>2200</v>
      </c>
      <c r="E3410" s="52">
        <f t="shared" si="315"/>
        <v>1</v>
      </c>
      <c r="F3410" s="52"/>
      <c r="G3410" s="52"/>
      <c r="H3410" s="52"/>
      <c r="I3410" s="52"/>
      <c r="J3410" s="52"/>
      <c r="K3410" s="52"/>
      <c r="L3410" s="52"/>
      <c r="M3410" s="52"/>
      <c r="N3410" s="52"/>
      <c r="O3410" s="52"/>
      <c r="P3410" s="52"/>
      <c r="Q3410" s="52"/>
      <c r="R3410" s="52"/>
      <c r="S3410" s="52"/>
      <c r="T3410" s="52"/>
      <c r="U3410" s="52"/>
      <c r="V3410" s="52"/>
      <c r="W3410" s="52"/>
      <c r="X3410" s="52"/>
      <c r="Y3410" s="52"/>
      <c r="Z3410" s="52"/>
      <c r="AA3410" s="52"/>
      <c r="AB3410" s="52"/>
      <c r="AC3410" s="52"/>
      <c r="AD3410" s="52"/>
      <c r="AE3410" s="52"/>
      <c r="AF3410" s="52"/>
      <c r="AG3410" s="52"/>
      <c r="AH3410" s="52"/>
      <c r="AI3410" s="52"/>
      <c r="AJ3410" s="52"/>
      <c r="AK3410" s="52"/>
      <c r="AL3410" s="52"/>
      <c r="AM3410" s="52"/>
      <c r="AN3410" s="52"/>
    </row>
    <row r="3411" spans="1:40" x14ac:dyDescent="0.3">
      <c r="A3411" s="52">
        <v>3406</v>
      </c>
      <c r="B3411" s="52">
        <f>-bthan*500+(5+0.5)*bthan*1000/50</f>
        <v>-2145</v>
      </c>
      <c r="C3411" s="52">
        <f t="shared" si="316"/>
        <v>570.00000000000023</v>
      </c>
      <c r="D3411" s="52">
        <f t="shared" si="314"/>
        <v>2200</v>
      </c>
      <c r="E3411" s="52">
        <f t="shared" si="315"/>
        <v>1</v>
      </c>
      <c r="F3411" s="52"/>
      <c r="G3411" s="52"/>
      <c r="H3411" s="52"/>
      <c r="I3411" s="52"/>
      <c r="J3411" s="52"/>
      <c r="K3411" s="52"/>
      <c r="L3411" s="52"/>
      <c r="M3411" s="52"/>
      <c r="N3411" s="52"/>
      <c r="O3411" s="52"/>
      <c r="P3411" s="52"/>
      <c r="Q3411" s="52"/>
      <c r="R3411" s="52"/>
      <c r="S3411" s="52"/>
      <c r="T3411" s="52"/>
      <c r="U3411" s="52"/>
      <c r="V3411" s="52"/>
      <c r="W3411" s="52"/>
      <c r="X3411" s="52"/>
      <c r="Y3411" s="52"/>
      <c r="Z3411" s="52"/>
      <c r="AA3411" s="52"/>
      <c r="AB3411" s="52"/>
      <c r="AC3411" s="52"/>
      <c r="AD3411" s="52"/>
      <c r="AE3411" s="52"/>
      <c r="AF3411" s="52"/>
      <c r="AG3411" s="52"/>
      <c r="AH3411" s="52"/>
      <c r="AI3411" s="52"/>
      <c r="AJ3411" s="52"/>
      <c r="AK3411" s="52"/>
      <c r="AL3411" s="52"/>
      <c r="AM3411" s="52"/>
      <c r="AN3411" s="52"/>
    </row>
    <row r="3412" spans="1:40" x14ac:dyDescent="0.3">
      <c r="A3412" s="52">
        <v>3407</v>
      </c>
      <c r="B3412" s="52">
        <f>-bthan*500+(6+0.5)*bthan*1000/50</f>
        <v>-2035</v>
      </c>
      <c r="C3412" s="52">
        <f t="shared" si="316"/>
        <v>570.00000000000023</v>
      </c>
      <c r="D3412" s="52">
        <f t="shared" si="314"/>
        <v>2200</v>
      </c>
      <c r="E3412" s="52">
        <f t="shared" si="315"/>
        <v>1</v>
      </c>
      <c r="F3412" s="52"/>
      <c r="G3412" s="52"/>
      <c r="H3412" s="52"/>
      <c r="I3412" s="52"/>
      <c r="J3412" s="52"/>
      <c r="K3412" s="52"/>
      <c r="L3412" s="52"/>
      <c r="M3412" s="52"/>
      <c r="N3412" s="52"/>
      <c r="O3412" s="52"/>
      <c r="P3412" s="52"/>
      <c r="Q3412" s="52"/>
      <c r="R3412" s="52"/>
      <c r="S3412" s="52"/>
      <c r="T3412" s="52"/>
      <c r="U3412" s="52"/>
      <c r="V3412" s="52"/>
      <c r="W3412" s="52"/>
      <c r="X3412" s="52"/>
      <c r="Y3412" s="52"/>
      <c r="Z3412" s="52"/>
      <c r="AA3412" s="52"/>
      <c r="AB3412" s="52"/>
      <c r="AC3412" s="52"/>
      <c r="AD3412" s="52"/>
      <c r="AE3412" s="52"/>
      <c r="AF3412" s="52"/>
      <c r="AG3412" s="52"/>
      <c r="AH3412" s="52"/>
      <c r="AI3412" s="52"/>
      <c r="AJ3412" s="52"/>
      <c r="AK3412" s="52"/>
      <c r="AL3412" s="52"/>
      <c r="AM3412" s="52"/>
      <c r="AN3412" s="52"/>
    </row>
    <row r="3413" spans="1:40" x14ac:dyDescent="0.3">
      <c r="A3413" s="52">
        <v>3408</v>
      </c>
      <c r="B3413" s="52">
        <f>-bthan*500+(7+0.5)*bthan*1000/50</f>
        <v>-1925</v>
      </c>
      <c r="C3413" s="52">
        <f t="shared" si="316"/>
        <v>570.00000000000023</v>
      </c>
      <c r="D3413" s="52">
        <f t="shared" si="314"/>
        <v>2200</v>
      </c>
      <c r="E3413" s="52">
        <f t="shared" si="315"/>
        <v>1</v>
      </c>
      <c r="F3413" s="52"/>
      <c r="G3413" s="52"/>
      <c r="H3413" s="52"/>
      <c r="I3413" s="52"/>
      <c r="J3413" s="52"/>
      <c r="K3413" s="52"/>
      <c r="L3413" s="52"/>
      <c r="M3413" s="52"/>
      <c r="N3413" s="52"/>
      <c r="O3413" s="52"/>
      <c r="P3413" s="52"/>
      <c r="Q3413" s="52"/>
      <c r="R3413" s="52"/>
      <c r="S3413" s="52"/>
      <c r="T3413" s="52"/>
      <c r="U3413" s="52"/>
      <c r="V3413" s="52"/>
      <c r="W3413" s="52"/>
      <c r="X3413" s="52"/>
      <c r="Y3413" s="52"/>
      <c r="Z3413" s="52"/>
      <c r="AA3413" s="52"/>
      <c r="AB3413" s="52"/>
      <c r="AC3413" s="52"/>
      <c r="AD3413" s="52"/>
      <c r="AE3413" s="52"/>
      <c r="AF3413" s="52"/>
      <c r="AG3413" s="52"/>
      <c r="AH3413" s="52"/>
      <c r="AI3413" s="52"/>
      <c r="AJ3413" s="52"/>
      <c r="AK3413" s="52"/>
      <c r="AL3413" s="52"/>
      <c r="AM3413" s="52"/>
      <c r="AN3413" s="52"/>
    </row>
    <row r="3414" spans="1:40" x14ac:dyDescent="0.3">
      <c r="A3414" s="52">
        <v>3409</v>
      </c>
      <c r="B3414" s="52">
        <f>-bthan*500+(8+0.5)*bthan*1000/50</f>
        <v>-1815</v>
      </c>
      <c r="C3414" s="52">
        <f t="shared" si="316"/>
        <v>570.00000000000023</v>
      </c>
      <c r="D3414" s="52">
        <f t="shared" si="314"/>
        <v>2200</v>
      </c>
      <c r="E3414" s="52">
        <f t="shared" si="315"/>
        <v>1</v>
      </c>
      <c r="F3414" s="52"/>
      <c r="G3414" s="52"/>
      <c r="H3414" s="52"/>
      <c r="I3414" s="52"/>
      <c r="J3414" s="52"/>
      <c r="K3414" s="52"/>
      <c r="L3414" s="52"/>
      <c r="M3414" s="52"/>
      <c r="N3414" s="52"/>
      <c r="O3414" s="52"/>
      <c r="P3414" s="52"/>
      <c r="Q3414" s="52"/>
      <c r="R3414" s="52"/>
      <c r="S3414" s="52"/>
      <c r="T3414" s="52"/>
      <c r="U3414" s="52"/>
      <c r="V3414" s="52"/>
      <c r="W3414" s="52"/>
      <c r="X3414" s="52"/>
      <c r="Y3414" s="52"/>
      <c r="Z3414" s="52"/>
      <c r="AA3414" s="52"/>
      <c r="AB3414" s="52"/>
      <c r="AC3414" s="52"/>
      <c r="AD3414" s="52"/>
      <c r="AE3414" s="52"/>
      <c r="AF3414" s="52"/>
      <c r="AG3414" s="52"/>
      <c r="AH3414" s="52"/>
      <c r="AI3414" s="52"/>
      <c r="AJ3414" s="52"/>
      <c r="AK3414" s="52"/>
      <c r="AL3414" s="52"/>
      <c r="AM3414" s="52"/>
      <c r="AN3414" s="52"/>
    </row>
    <row r="3415" spans="1:40" x14ac:dyDescent="0.3">
      <c r="A3415" s="52">
        <v>3410</v>
      </c>
      <c r="B3415" s="52">
        <f>-bthan*500+(9+0.5)*bthan*1000/50</f>
        <v>-1705</v>
      </c>
      <c r="C3415" s="52">
        <f t="shared" si="316"/>
        <v>570.00000000000023</v>
      </c>
      <c r="D3415" s="52">
        <f t="shared" si="314"/>
        <v>2200</v>
      </c>
      <c r="E3415" s="52">
        <f t="shared" si="315"/>
        <v>1</v>
      </c>
      <c r="F3415" s="52"/>
      <c r="G3415" s="52"/>
      <c r="H3415" s="52"/>
      <c r="I3415" s="52"/>
      <c r="J3415" s="52"/>
      <c r="K3415" s="52"/>
      <c r="L3415" s="52"/>
      <c r="M3415" s="52"/>
      <c r="N3415" s="52"/>
      <c r="O3415" s="52"/>
      <c r="P3415" s="52"/>
      <c r="Q3415" s="52"/>
      <c r="R3415" s="52"/>
      <c r="S3415" s="52"/>
      <c r="T3415" s="52"/>
      <c r="U3415" s="52"/>
      <c r="V3415" s="52"/>
      <c r="W3415" s="52"/>
      <c r="X3415" s="52"/>
      <c r="Y3415" s="52"/>
      <c r="Z3415" s="52"/>
      <c r="AA3415" s="52"/>
      <c r="AB3415" s="52"/>
      <c r="AC3415" s="52"/>
      <c r="AD3415" s="52"/>
      <c r="AE3415" s="52"/>
      <c r="AF3415" s="52"/>
      <c r="AG3415" s="52"/>
      <c r="AH3415" s="52"/>
      <c r="AI3415" s="52"/>
      <c r="AJ3415" s="52"/>
      <c r="AK3415" s="52"/>
      <c r="AL3415" s="52"/>
      <c r="AM3415" s="52"/>
      <c r="AN3415" s="52"/>
    </row>
    <row r="3416" spans="1:40" x14ac:dyDescent="0.3">
      <c r="A3416" s="52">
        <v>3411</v>
      </c>
      <c r="B3416" s="52">
        <f>-bthan*500+(10+0.5)*bthan*1000/50</f>
        <v>-1595</v>
      </c>
      <c r="C3416" s="52">
        <f t="shared" si="316"/>
        <v>570.00000000000023</v>
      </c>
      <c r="D3416" s="52">
        <f t="shared" si="314"/>
        <v>2200</v>
      </c>
      <c r="E3416" s="52">
        <f t="shared" si="315"/>
        <v>1</v>
      </c>
      <c r="F3416" s="52"/>
      <c r="G3416" s="52"/>
      <c r="H3416" s="52"/>
      <c r="I3416" s="52"/>
      <c r="J3416" s="52"/>
      <c r="K3416" s="52"/>
      <c r="L3416" s="52"/>
      <c r="M3416" s="52"/>
      <c r="N3416" s="52"/>
      <c r="O3416" s="52"/>
      <c r="P3416" s="52"/>
      <c r="Q3416" s="52"/>
      <c r="R3416" s="52"/>
      <c r="S3416" s="52"/>
      <c r="T3416" s="52"/>
      <c r="U3416" s="52"/>
      <c r="V3416" s="52"/>
      <c r="W3416" s="52"/>
      <c r="X3416" s="52"/>
      <c r="Y3416" s="52"/>
      <c r="Z3416" s="52"/>
      <c r="AA3416" s="52"/>
      <c r="AB3416" s="52"/>
      <c r="AC3416" s="52"/>
      <c r="AD3416" s="52"/>
      <c r="AE3416" s="52"/>
      <c r="AF3416" s="52"/>
      <c r="AG3416" s="52"/>
      <c r="AH3416" s="52"/>
      <c r="AI3416" s="52"/>
      <c r="AJ3416" s="52"/>
      <c r="AK3416" s="52"/>
      <c r="AL3416" s="52"/>
      <c r="AM3416" s="52"/>
      <c r="AN3416" s="52"/>
    </row>
    <row r="3417" spans="1:40" x14ac:dyDescent="0.3">
      <c r="A3417" s="52">
        <v>3412</v>
      </c>
      <c r="B3417" s="52">
        <f>-bthan*500+(11+0.5)*bthan*1000/50</f>
        <v>-1485</v>
      </c>
      <c r="C3417" s="52">
        <f t="shared" si="316"/>
        <v>570.00000000000023</v>
      </c>
      <c r="D3417" s="52">
        <f t="shared" si="314"/>
        <v>2200</v>
      </c>
      <c r="E3417" s="52">
        <f t="shared" si="315"/>
        <v>1</v>
      </c>
      <c r="F3417" s="52"/>
      <c r="G3417" s="52"/>
      <c r="H3417" s="52"/>
      <c r="I3417" s="52"/>
      <c r="J3417" s="52"/>
      <c r="K3417" s="52"/>
      <c r="L3417" s="52"/>
      <c r="M3417" s="52"/>
      <c r="N3417" s="52"/>
      <c r="O3417" s="52"/>
      <c r="P3417" s="52"/>
      <c r="Q3417" s="52"/>
      <c r="R3417" s="52"/>
      <c r="S3417" s="52"/>
      <c r="T3417" s="52"/>
      <c r="U3417" s="52"/>
      <c r="V3417" s="52"/>
      <c r="W3417" s="52"/>
      <c r="X3417" s="52"/>
      <c r="Y3417" s="52"/>
      <c r="Z3417" s="52"/>
      <c r="AA3417" s="52"/>
      <c r="AB3417" s="52"/>
      <c r="AC3417" s="52"/>
      <c r="AD3417" s="52"/>
      <c r="AE3417" s="52"/>
      <c r="AF3417" s="52"/>
      <c r="AG3417" s="52"/>
      <c r="AH3417" s="52"/>
      <c r="AI3417" s="52"/>
      <c r="AJ3417" s="52"/>
      <c r="AK3417" s="52"/>
      <c r="AL3417" s="52"/>
      <c r="AM3417" s="52"/>
      <c r="AN3417" s="52"/>
    </row>
    <row r="3418" spans="1:40" x14ac:dyDescent="0.3">
      <c r="A3418" s="52">
        <v>3413</v>
      </c>
      <c r="B3418" s="52">
        <f>-bthan*500+(12+0.5)*bthan*1000/50</f>
        <v>-1375</v>
      </c>
      <c r="C3418" s="52">
        <f t="shared" si="316"/>
        <v>570.00000000000023</v>
      </c>
      <c r="D3418" s="52">
        <f t="shared" si="314"/>
        <v>2200</v>
      </c>
      <c r="E3418" s="52">
        <f t="shared" si="315"/>
        <v>1</v>
      </c>
      <c r="F3418" s="52"/>
      <c r="G3418" s="52"/>
      <c r="H3418" s="52"/>
      <c r="I3418" s="52"/>
      <c r="J3418" s="52"/>
      <c r="K3418" s="52"/>
      <c r="L3418" s="52"/>
      <c r="M3418" s="52"/>
      <c r="N3418" s="52"/>
      <c r="O3418" s="52"/>
      <c r="P3418" s="52"/>
      <c r="Q3418" s="52"/>
      <c r="R3418" s="52"/>
      <c r="S3418" s="52"/>
      <c r="T3418" s="52"/>
      <c r="U3418" s="52"/>
      <c r="V3418" s="52"/>
      <c r="W3418" s="52"/>
      <c r="X3418" s="52"/>
      <c r="Y3418" s="52"/>
      <c r="Z3418" s="52"/>
      <c r="AA3418" s="52"/>
      <c r="AB3418" s="52"/>
      <c r="AC3418" s="52"/>
      <c r="AD3418" s="52"/>
      <c r="AE3418" s="52"/>
      <c r="AF3418" s="52"/>
      <c r="AG3418" s="52"/>
      <c r="AH3418" s="52"/>
      <c r="AI3418" s="52"/>
      <c r="AJ3418" s="52"/>
      <c r="AK3418" s="52"/>
      <c r="AL3418" s="52"/>
      <c r="AM3418" s="52"/>
      <c r="AN3418" s="52"/>
    </row>
    <row r="3419" spans="1:40" x14ac:dyDescent="0.3">
      <c r="A3419" s="52">
        <v>3414</v>
      </c>
      <c r="B3419" s="52">
        <f>-bthan*500+(13+0.5)*bthan*1000/50</f>
        <v>-1265</v>
      </c>
      <c r="C3419" s="52">
        <f t="shared" si="316"/>
        <v>570.00000000000023</v>
      </c>
      <c r="D3419" s="52">
        <f t="shared" si="314"/>
        <v>2200</v>
      </c>
      <c r="E3419" s="52">
        <f t="shared" si="315"/>
        <v>1</v>
      </c>
      <c r="F3419" s="52"/>
      <c r="G3419" s="52"/>
      <c r="H3419" s="52"/>
      <c r="I3419" s="52"/>
      <c r="J3419" s="52"/>
      <c r="K3419" s="52"/>
      <c r="L3419" s="52"/>
      <c r="M3419" s="52"/>
      <c r="N3419" s="52"/>
      <c r="O3419" s="52"/>
      <c r="P3419" s="52"/>
      <c r="Q3419" s="52"/>
      <c r="R3419" s="52"/>
      <c r="S3419" s="52"/>
      <c r="T3419" s="52"/>
      <c r="U3419" s="52"/>
      <c r="V3419" s="52"/>
      <c r="W3419" s="52"/>
      <c r="X3419" s="52"/>
      <c r="Y3419" s="52"/>
      <c r="Z3419" s="52"/>
      <c r="AA3419" s="52"/>
      <c r="AB3419" s="52"/>
      <c r="AC3419" s="52"/>
      <c r="AD3419" s="52"/>
      <c r="AE3419" s="52"/>
      <c r="AF3419" s="52"/>
      <c r="AG3419" s="52"/>
      <c r="AH3419" s="52"/>
      <c r="AI3419" s="52"/>
      <c r="AJ3419" s="52"/>
      <c r="AK3419" s="52"/>
      <c r="AL3419" s="52"/>
      <c r="AM3419" s="52"/>
      <c r="AN3419" s="52"/>
    </row>
    <row r="3420" spans="1:40" x14ac:dyDescent="0.3">
      <c r="A3420" s="52">
        <v>3415</v>
      </c>
      <c r="B3420" s="52">
        <f>-bthan*500+(14+0.5)*bthan*1000/50</f>
        <v>-1155</v>
      </c>
      <c r="C3420" s="52">
        <f t="shared" si="316"/>
        <v>570.00000000000023</v>
      </c>
      <c r="D3420" s="52">
        <f t="shared" si="314"/>
        <v>2200</v>
      </c>
      <c r="E3420" s="52">
        <f t="shared" si="315"/>
        <v>1</v>
      </c>
      <c r="F3420" s="52"/>
      <c r="G3420" s="52"/>
      <c r="H3420" s="52"/>
      <c r="I3420" s="52"/>
      <c r="J3420" s="52"/>
      <c r="K3420" s="52"/>
      <c r="L3420" s="52"/>
      <c r="M3420" s="52"/>
      <c r="N3420" s="52"/>
      <c r="O3420" s="52"/>
      <c r="P3420" s="52"/>
      <c r="Q3420" s="52"/>
      <c r="R3420" s="52"/>
      <c r="S3420" s="52"/>
      <c r="T3420" s="52"/>
      <c r="U3420" s="52"/>
      <c r="V3420" s="52"/>
      <c r="W3420" s="52"/>
      <c r="X3420" s="52"/>
      <c r="Y3420" s="52"/>
      <c r="Z3420" s="52"/>
      <c r="AA3420" s="52"/>
      <c r="AB3420" s="52"/>
      <c r="AC3420" s="52"/>
      <c r="AD3420" s="52"/>
      <c r="AE3420" s="52"/>
      <c r="AF3420" s="52"/>
      <c r="AG3420" s="52"/>
      <c r="AH3420" s="52"/>
      <c r="AI3420" s="52"/>
      <c r="AJ3420" s="52"/>
      <c r="AK3420" s="52"/>
      <c r="AL3420" s="52"/>
      <c r="AM3420" s="52"/>
      <c r="AN3420" s="52"/>
    </row>
    <row r="3421" spans="1:40" x14ac:dyDescent="0.3">
      <c r="A3421" s="52">
        <v>3416</v>
      </c>
      <c r="B3421" s="52">
        <f>-bthan*500+(15+0.5)*bthan*1000/50</f>
        <v>-1045</v>
      </c>
      <c r="C3421" s="52">
        <f t="shared" si="316"/>
        <v>570.00000000000023</v>
      </c>
      <c r="D3421" s="52">
        <f t="shared" si="314"/>
        <v>2200</v>
      </c>
      <c r="E3421" s="52">
        <f t="shared" si="315"/>
        <v>1</v>
      </c>
      <c r="F3421" s="52"/>
      <c r="G3421" s="52"/>
      <c r="H3421" s="52"/>
      <c r="I3421" s="52"/>
      <c r="J3421" s="52"/>
      <c r="K3421" s="52"/>
      <c r="L3421" s="52"/>
      <c r="M3421" s="52"/>
      <c r="N3421" s="52"/>
      <c r="O3421" s="52"/>
      <c r="P3421" s="52"/>
      <c r="Q3421" s="52"/>
      <c r="R3421" s="52"/>
      <c r="S3421" s="52"/>
      <c r="T3421" s="52"/>
      <c r="U3421" s="52"/>
      <c r="V3421" s="52"/>
      <c r="W3421" s="52"/>
      <c r="X3421" s="52"/>
      <c r="Y3421" s="52"/>
      <c r="Z3421" s="52"/>
      <c r="AA3421" s="52"/>
      <c r="AB3421" s="52"/>
      <c r="AC3421" s="52"/>
      <c r="AD3421" s="52"/>
      <c r="AE3421" s="52"/>
      <c r="AF3421" s="52"/>
      <c r="AG3421" s="52"/>
      <c r="AH3421" s="52"/>
      <c r="AI3421" s="52"/>
      <c r="AJ3421" s="52"/>
      <c r="AK3421" s="52"/>
      <c r="AL3421" s="52"/>
      <c r="AM3421" s="52"/>
      <c r="AN3421" s="52"/>
    </row>
    <row r="3422" spans="1:40" x14ac:dyDescent="0.3">
      <c r="A3422" s="52">
        <v>3417</v>
      </c>
      <c r="B3422" s="52">
        <f>-bthan*500+(16+0.5)*bthan*1000/50</f>
        <v>-935</v>
      </c>
      <c r="C3422" s="52">
        <f t="shared" si="316"/>
        <v>570.00000000000023</v>
      </c>
      <c r="D3422" s="52">
        <f t="shared" si="314"/>
        <v>2200</v>
      </c>
      <c r="E3422" s="52">
        <f t="shared" si="315"/>
        <v>1</v>
      </c>
      <c r="F3422" s="52"/>
      <c r="G3422" s="52"/>
      <c r="H3422" s="52"/>
      <c r="I3422" s="52"/>
      <c r="J3422" s="52"/>
      <c r="K3422" s="52"/>
      <c r="L3422" s="52"/>
      <c r="M3422" s="52"/>
      <c r="N3422" s="52"/>
      <c r="O3422" s="52"/>
      <c r="P3422" s="52"/>
      <c r="Q3422" s="52"/>
      <c r="R3422" s="52"/>
      <c r="S3422" s="52"/>
      <c r="T3422" s="52"/>
      <c r="U3422" s="52"/>
      <c r="V3422" s="52"/>
      <c r="W3422" s="52"/>
      <c r="X3422" s="52"/>
      <c r="Y3422" s="52"/>
      <c r="Z3422" s="52"/>
      <c r="AA3422" s="52"/>
      <c r="AB3422" s="52"/>
      <c r="AC3422" s="52"/>
      <c r="AD3422" s="52"/>
      <c r="AE3422" s="52"/>
      <c r="AF3422" s="52"/>
      <c r="AG3422" s="52"/>
      <c r="AH3422" s="52"/>
      <c r="AI3422" s="52"/>
      <c r="AJ3422" s="52"/>
      <c r="AK3422" s="52"/>
      <c r="AL3422" s="52"/>
      <c r="AM3422" s="52"/>
      <c r="AN3422" s="52"/>
    </row>
    <row r="3423" spans="1:40" x14ac:dyDescent="0.3">
      <c r="A3423" s="52">
        <v>3418</v>
      </c>
      <c r="B3423" s="52">
        <f>-bthan*500+(17+0.5)*bthan*1000/50</f>
        <v>-825</v>
      </c>
      <c r="C3423" s="52">
        <f t="shared" si="316"/>
        <v>570.00000000000023</v>
      </c>
      <c r="D3423" s="52">
        <f t="shared" si="314"/>
        <v>2200</v>
      </c>
      <c r="E3423" s="52">
        <f t="shared" si="315"/>
        <v>1</v>
      </c>
      <c r="F3423" s="52"/>
      <c r="G3423" s="52"/>
      <c r="H3423" s="52"/>
      <c r="I3423" s="52"/>
      <c r="J3423" s="52"/>
      <c r="K3423" s="52"/>
      <c r="L3423" s="52"/>
      <c r="M3423" s="52"/>
      <c r="N3423" s="52"/>
      <c r="O3423" s="52"/>
      <c r="P3423" s="52"/>
      <c r="Q3423" s="52"/>
      <c r="R3423" s="52"/>
      <c r="S3423" s="52"/>
      <c r="T3423" s="52"/>
      <c r="U3423" s="52"/>
      <c r="V3423" s="52"/>
      <c r="W3423" s="52"/>
      <c r="X3423" s="52"/>
      <c r="Y3423" s="52"/>
      <c r="Z3423" s="52"/>
      <c r="AA3423" s="52"/>
      <c r="AB3423" s="52"/>
      <c r="AC3423" s="52"/>
      <c r="AD3423" s="52"/>
      <c r="AE3423" s="52"/>
      <c r="AF3423" s="52"/>
      <c r="AG3423" s="52"/>
      <c r="AH3423" s="52"/>
      <c r="AI3423" s="52"/>
      <c r="AJ3423" s="52"/>
      <c r="AK3423" s="52"/>
      <c r="AL3423" s="52"/>
      <c r="AM3423" s="52"/>
      <c r="AN3423" s="52"/>
    </row>
    <row r="3424" spans="1:40" x14ac:dyDescent="0.3">
      <c r="A3424" s="52">
        <v>3419</v>
      </c>
      <c r="B3424" s="52">
        <f>-bthan*500+(18+0.5)*bthan*1000/50</f>
        <v>-715</v>
      </c>
      <c r="C3424" s="52">
        <f t="shared" si="316"/>
        <v>570.00000000000023</v>
      </c>
      <c r="D3424" s="52">
        <f t="shared" si="314"/>
        <v>2200</v>
      </c>
      <c r="E3424" s="52">
        <f t="shared" si="315"/>
        <v>1</v>
      </c>
      <c r="F3424" s="52"/>
      <c r="G3424" s="52"/>
      <c r="H3424" s="52"/>
      <c r="I3424" s="52"/>
      <c r="J3424" s="52"/>
      <c r="K3424" s="52"/>
      <c r="L3424" s="52"/>
      <c r="M3424" s="52"/>
      <c r="N3424" s="52"/>
      <c r="O3424" s="52"/>
      <c r="P3424" s="52"/>
      <c r="Q3424" s="52"/>
      <c r="R3424" s="52"/>
      <c r="S3424" s="52"/>
      <c r="T3424" s="52"/>
      <c r="U3424" s="52"/>
      <c r="V3424" s="52"/>
      <c r="W3424" s="52"/>
      <c r="X3424" s="52"/>
      <c r="Y3424" s="52"/>
      <c r="Z3424" s="52"/>
      <c r="AA3424" s="52"/>
      <c r="AB3424" s="52"/>
      <c r="AC3424" s="52"/>
      <c r="AD3424" s="52"/>
      <c r="AE3424" s="52"/>
      <c r="AF3424" s="52"/>
      <c r="AG3424" s="52"/>
      <c r="AH3424" s="52"/>
      <c r="AI3424" s="52"/>
      <c r="AJ3424" s="52"/>
      <c r="AK3424" s="52"/>
      <c r="AL3424" s="52"/>
      <c r="AM3424" s="52"/>
      <c r="AN3424" s="52"/>
    </row>
    <row r="3425" spans="1:40" x14ac:dyDescent="0.3">
      <c r="A3425" s="52">
        <v>3420</v>
      </c>
      <c r="B3425" s="52">
        <f>-bthan*500+(19+0.5)*bthan*1000/50</f>
        <v>-605</v>
      </c>
      <c r="C3425" s="52">
        <f t="shared" si="316"/>
        <v>570.00000000000023</v>
      </c>
      <c r="D3425" s="52">
        <f t="shared" si="314"/>
        <v>2200</v>
      </c>
      <c r="E3425" s="52">
        <f t="shared" si="315"/>
        <v>1</v>
      </c>
      <c r="F3425" s="52"/>
      <c r="G3425" s="52"/>
      <c r="H3425" s="52"/>
      <c r="I3425" s="52"/>
      <c r="J3425" s="52"/>
      <c r="K3425" s="52"/>
      <c r="L3425" s="52"/>
      <c r="M3425" s="52"/>
      <c r="N3425" s="52"/>
      <c r="O3425" s="52"/>
      <c r="P3425" s="52"/>
      <c r="Q3425" s="52"/>
      <c r="R3425" s="52"/>
      <c r="S3425" s="52"/>
      <c r="T3425" s="52"/>
      <c r="U3425" s="52"/>
      <c r="V3425" s="52"/>
      <c r="W3425" s="52"/>
      <c r="X3425" s="52"/>
      <c r="Y3425" s="52"/>
      <c r="Z3425" s="52"/>
      <c r="AA3425" s="52"/>
      <c r="AB3425" s="52"/>
      <c r="AC3425" s="52"/>
      <c r="AD3425" s="52"/>
      <c r="AE3425" s="52"/>
      <c r="AF3425" s="52"/>
      <c r="AG3425" s="52"/>
      <c r="AH3425" s="52"/>
      <c r="AI3425" s="52"/>
      <c r="AJ3425" s="52"/>
      <c r="AK3425" s="52"/>
      <c r="AL3425" s="52"/>
      <c r="AM3425" s="52"/>
      <c r="AN3425" s="52"/>
    </row>
    <row r="3426" spans="1:40" x14ac:dyDescent="0.3">
      <c r="A3426" s="52">
        <v>3421</v>
      </c>
      <c r="B3426" s="52">
        <f>-bthan*500+(20+0.5)*bthan*1000/50</f>
        <v>-495</v>
      </c>
      <c r="C3426" s="52">
        <f t="shared" si="316"/>
        <v>570.00000000000023</v>
      </c>
      <c r="D3426" s="52">
        <f t="shared" si="314"/>
        <v>2200</v>
      </c>
      <c r="E3426" s="52">
        <f t="shared" si="315"/>
        <v>1</v>
      </c>
      <c r="F3426" s="52"/>
      <c r="G3426" s="52"/>
      <c r="H3426" s="52"/>
      <c r="I3426" s="52"/>
      <c r="J3426" s="52"/>
      <c r="K3426" s="52"/>
      <c r="L3426" s="52"/>
      <c r="M3426" s="52"/>
      <c r="N3426" s="52"/>
      <c r="O3426" s="52"/>
      <c r="P3426" s="52"/>
      <c r="Q3426" s="52"/>
      <c r="R3426" s="52"/>
      <c r="S3426" s="52"/>
      <c r="T3426" s="52"/>
      <c r="U3426" s="52"/>
      <c r="V3426" s="52"/>
      <c r="W3426" s="52"/>
      <c r="X3426" s="52"/>
      <c r="Y3426" s="52"/>
      <c r="Z3426" s="52"/>
      <c r="AA3426" s="52"/>
      <c r="AB3426" s="52"/>
      <c r="AC3426" s="52"/>
      <c r="AD3426" s="52"/>
      <c r="AE3426" s="52"/>
      <c r="AF3426" s="52"/>
      <c r="AG3426" s="52"/>
      <c r="AH3426" s="52"/>
      <c r="AI3426" s="52"/>
      <c r="AJ3426" s="52"/>
      <c r="AK3426" s="52"/>
      <c r="AL3426" s="52"/>
      <c r="AM3426" s="52"/>
      <c r="AN3426" s="52"/>
    </row>
    <row r="3427" spans="1:40" x14ac:dyDescent="0.3">
      <c r="A3427" s="52">
        <v>3422</v>
      </c>
      <c r="B3427" s="52">
        <f>-bthan*500+(21+0.5)*bthan*1000/50</f>
        <v>-385</v>
      </c>
      <c r="C3427" s="52">
        <f t="shared" si="316"/>
        <v>570.00000000000023</v>
      </c>
      <c r="D3427" s="52">
        <f t="shared" si="314"/>
        <v>2200</v>
      </c>
      <c r="E3427" s="52">
        <f t="shared" si="315"/>
        <v>1</v>
      </c>
      <c r="F3427" s="52"/>
      <c r="G3427" s="52"/>
      <c r="H3427" s="52"/>
      <c r="I3427" s="52"/>
      <c r="J3427" s="52"/>
      <c r="K3427" s="52"/>
      <c r="L3427" s="52"/>
      <c r="M3427" s="52"/>
      <c r="N3427" s="52"/>
      <c r="O3427" s="52"/>
      <c r="P3427" s="52"/>
      <c r="Q3427" s="52"/>
      <c r="R3427" s="52"/>
      <c r="S3427" s="52"/>
      <c r="T3427" s="52"/>
      <c r="U3427" s="52"/>
      <c r="V3427" s="52"/>
      <c r="W3427" s="52"/>
      <c r="X3427" s="52"/>
      <c r="Y3427" s="52"/>
      <c r="Z3427" s="52"/>
      <c r="AA3427" s="52"/>
      <c r="AB3427" s="52"/>
      <c r="AC3427" s="52"/>
      <c r="AD3427" s="52"/>
      <c r="AE3427" s="52"/>
      <c r="AF3427" s="52"/>
      <c r="AG3427" s="52"/>
      <c r="AH3427" s="52"/>
      <c r="AI3427" s="52"/>
      <c r="AJ3427" s="52"/>
      <c r="AK3427" s="52"/>
      <c r="AL3427" s="52"/>
      <c r="AM3427" s="52"/>
      <c r="AN3427" s="52"/>
    </row>
    <row r="3428" spans="1:40" x14ac:dyDescent="0.3">
      <c r="A3428" s="52">
        <v>3423</v>
      </c>
      <c r="B3428" s="52">
        <f>-bthan*500+(22+0.5)*bthan*1000/50</f>
        <v>-275</v>
      </c>
      <c r="C3428" s="52">
        <f t="shared" si="316"/>
        <v>570.00000000000023</v>
      </c>
      <c r="D3428" s="52">
        <f t="shared" si="314"/>
        <v>2200</v>
      </c>
      <c r="E3428" s="52">
        <f t="shared" si="315"/>
        <v>1</v>
      </c>
      <c r="F3428" s="52"/>
      <c r="G3428" s="52"/>
      <c r="H3428" s="52"/>
      <c r="I3428" s="52"/>
      <c r="J3428" s="52"/>
      <c r="K3428" s="52"/>
      <c r="L3428" s="52"/>
      <c r="M3428" s="52"/>
      <c r="N3428" s="52"/>
      <c r="O3428" s="52"/>
      <c r="P3428" s="52"/>
      <c r="Q3428" s="52"/>
      <c r="R3428" s="52"/>
      <c r="S3428" s="52"/>
      <c r="T3428" s="52"/>
      <c r="U3428" s="52"/>
      <c r="V3428" s="52"/>
      <c r="W3428" s="52"/>
      <c r="X3428" s="52"/>
      <c r="Y3428" s="52"/>
      <c r="Z3428" s="52"/>
      <c r="AA3428" s="52"/>
      <c r="AB3428" s="52"/>
      <c r="AC3428" s="52"/>
      <c r="AD3428" s="52"/>
      <c r="AE3428" s="52"/>
      <c r="AF3428" s="52"/>
      <c r="AG3428" s="52"/>
      <c r="AH3428" s="52"/>
      <c r="AI3428" s="52"/>
      <c r="AJ3428" s="52"/>
      <c r="AK3428" s="52"/>
      <c r="AL3428" s="52"/>
      <c r="AM3428" s="52"/>
      <c r="AN3428" s="52"/>
    </row>
    <row r="3429" spans="1:40" x14ac:dyDescent="0.3">
      <c r="A3429" s="52">
        <v>3424</v>
      </c>
      <c r="B3429" s="52">
        <f>-bthan*500+(23+0.5)*bthan*1000/50</f>
        <v>-165</v>
      </c>
      <c r="C3429" s="52">
        <f t="shared" si="316"/>
        <v>570.00000000000023</v>
      </c>
      <c r="D3429" s="52">
        <f t="shared" si="314"/>
        <v>2200</v>
      </c>
      <c r="E3429" s="52">
        <f t="shared" si="315"/>
        <v>1</v>
      </c>
      <c r="F3429" s="52"/>
      <c r="G3429" s="52"/>
      <c r="H3429" s="52"/>
      <c r="I3429" s="52"/>
      <c r="J3429" s="52"/>
      <c r="K3429" s="52"/>
      <c r="L3429" s="52"/>
      <c r="M3429" s="52"/>
      <c r="N3429" s="52"/>
      <c r="O3429" s="52"/>
      <c r="P3429" s="52"/>
      <c r="Q3429" s="52"/>
      <c r="R3429" s="52"/>
      <c r="S3429" s="52"/>
      <c r="T3429" s="52"/>
      <c r="U3429" s="52"/>
      <c r="V3429" s="52"/>
      <c r="W3429" s="52"/>
      <c r="X3429" s="52"/>
      <c r="Y3429" s="52"/>
      <c r="Z3429" s="52"/>
      <c r="AA3429" s="52"/>
      <c r="AB3429" s="52"/>
      <c r="AC3429" s="52"/>
      <c r="AD3429" s="52"/>
      <c r="AE3429" s="52"/>
      <c r="AF3429" s="52"/>
      <c r="AG3429" s="52"/>
      <c r="AH3429" s="52"/>
      <c r="AI3429" s="52"/>
      <c r="AJ3429" s="52"/>
      <c r="AK3429" s="52"/>
      <c r="AL3429" s="52"/>
      <c r="AM3429" s="52"/>
      <c r="AN3429" s="52"/>
    </row>
    <row r="3430" spans="1:40" x14ac:dyDescent="0.3">
      <c r="A3430" s="52">
        <v>3425</v>
      </c>
      <c r="B3430" s="52">
        <f>-bthan*500+(24+0.5)*bthan*1000/50</f>
        <v>-55</v>
      </c>
      <c r="C3430" s="52">
        <f t="shared" si="316"/>
        <v>570.00000000000023</v>
      </c>
      <c r="D3430" s="52">
        <f t="shared" si="314"/>
        <v>2200</v>
      </c>
      <c r="E3430" s="52">
        <f t="shared" si="315"/>
        <v>1</v>
      </c>
      <c r="F3430" s="52"/>
      <c r="G3430" s="52"/>
      <c r="H3430" s="52"/>
      <c r="I3430" s="52"/>
      <c r="J3430" s="52"/>
      <c r="K3430" s="52"/>
      <c r="L3430" s="52"/>
      <c r="M3430" s="52"/>
      <c r="N3430" s="52"/>
      <c r="O3430" s="52"/>
      <c r="P3430" s="52"/>
      <c r="Q3430" s="52"/>
      <c r="R3430" s="52"/>
      <c r="S3430" s="52"/>
      <c r="T3430" s="52"/>
      <c r="U3430" s="52"/>
      <c r="V3430" s="52"/>
      <c r="W3430" s="52"/>
      <c r="X3430" s="52"/>
      <c r="Y3430" s="52"/>
      <c r="Z3430" s="52"/>
      <c r="AA3430" s="52"/>
      <c r="AB3430" s="52"/>
      <c r="AC3430" s="52"/>
      <c r="AD3430" s="52"/>
      <c r="AE3430" s="52"/>
      <c r="AF3430" s="52"/>
      <c r="AG3430" s="52"/>
      <c r="AH3430" s="52"/>
      <c r="AI3430" s="52"/>
      <c r="AJ3430" s="52"/>
      <c r="AK3430" s="52"/>
      <c r="AL3430" s="52"/>
      <c r="AM3430" s="52"/>
      <c r="AN3430" s="52"/>
    </row>
    <row r="3431" spans="1:40" x14ac:dyDescent="0.3">
      <c r="A3431" s="52">
        <v>3426</v>
      </c>
      <c r="B3431" s="52">
        <f>-bthan*500+(25+0.5)*bthan*1000/50</f>
        <v>55</v>
      </c>
      <c r="C3431" s="52">
        <f t="shared" si="316"/>
        <v>570.00000000000023</v>
      </c>
      <c r="D3431" s="52">
        <f t="shared" si="314"/>
        <v>2200</v>
      </c>
      <c r="E3431" s="52">
        <f t="shared" si="315"/>
        <v>1</v>
      </c>
      <c r="F3431" s="52"/>
      <c r="G3431" s="52"/>
      <c r="H3431" s="52"/>
      <c r="I3431" s="52"/>
      <c r="J3431" s="52"/>
      <c r="K3431" s="52"/>
      <c r="L3431" s="52"/>
      <c r="M3431" s="52"/>
      <c r="N3431" s="52"/>
      <c r="O3431" s="52"/>
      <c r="P3431" s="52"/>
      <c r="Q3431" s="52"/>
      <c r="R3431" s="52"/>
      <c r="S3431" s="52"/>
      <c r="T3431" s="52"/>
      <c r="U3431" s="52"/>
      <c r="V3431" s="52"/>
      <c r="W3431" s="52"/>
      <c r="X3431" s="52"/>
      <c r="Y3431" s="52"/>
      <c r="Z3431" s="52"/>
      <c r="AA3431" s="52"/>
      <c r="AB3431" s="52"/>
      <c r="AC3431" s="52"/>
      <c r="AD3431" s="52"/>
      <c r="AE3431" s="52"/>
      <c r="AF3431" s="52"/>
      <c r="AG3431" s="52"/>
      <c r="AH3431" s="52"/>
      <c r="AI3431" s="52"/>
      <c r="AJ3431" s="52"/>
      <c r="AK3431" s="52"/>
      <c r="AL3431" s="52"/>
      <c r="AM3431" s="52"/>
      <c r="AN3431" s="52"/>
    </row>
    <row r="3432" spans="1:40" x14ac:dyDescent="0.3">
      <c r="A3432" s="52">
        <v>3427</v>
      </c>
      <c r="B3432" s="52">
        <f>-bthan*500+(26+0.5)*bthan*1000/50</f>
        <v>165</v>
      </c>
      <c r="C3432" s="52">
        <f t="shared" si="316"/>
        <v>570.00000000000023</v>
      </c>
      <c r="D3432" s="52">
        <f t="shared" si="314"/>
        <v>2200</v>
      </c>
      <c r="E3432" s="52">
        <f t="shared" si="315"/>
        <v>1</v>
      </c>
      <c r="F3432" s="52"/>
      <c r="G3432" s="52"/>
      <c r="H3432" s="52"/>
      <c r="I3432" s="52"/>
      <c r="J3432" s="52"/>
      <c r="K3432" s="52"/>
      <c r="L3432" s="52"/>
      <c r="M3432" s="52"/>
      <c r="N3432" s="52"/>
      <c r="O3432" s="52"/>
      <c r="P3432" s="52"/>
      <c r="Q3432" s="52"/>
      <c r="R3432" s="52"/>
      <c r="S3432" s="52"/>
      <c r="T3432" s="52"/>
      <c r="U3432" s="52"/>
      <c r="V3432" s="52"/>
      <c r="W3432" s="52"/>
      <c r="X3432" s="52"/>
      <c r="Y3432" s="52"/>
      <c r="Z3432" s="52"/>
      <c r="AA3432" s="52"/>
      <c r="AB3432" s="52"/>
      <c r="AC3432" s="52"/>
      <c r="AD3432" s="52"/>
      <c r="AE3432" s="52"/>
      <c r="AF3432" s="52"/>
      <c r="AG3432" s="52"/>
      <c r="AH3432" s="52"/>
      <c r="AI3432" s="52"/>
      <c r="AJ3432" s="52"/>
      <c r="AK3432" s="52"/>
      <c r="AL3432" s="52"/>
      <c r="AM3432" s="52"/>
      <c r="AN3432" s="52"/>
    </row>
    <row r="3433" spans="1:40" x14ac:dyDescent="0.3">
      <c r="A3433" s="52">
        <v>3428</v>
      </c>
      <c r="B3433" s="52">
        <f>-bthan*500+(27+0.5)*bthan*1000/50</f>
        <v>275</v>
      </c>
      <c r="C3433" s="52">
        <f t="shared" si="316"/>
        <v>570.00000000000023</v>
      </c>
      <c r="D3433" s="52">
        <f t="shared" si="314"/>
        <v>2200</v>
      </c>
      <c r="E3433" s="52">
        <f t="shared" si="315"/>
        <v>1</v>
      </c>
      <c r="F3433" s="52"/>
      <c r="G3433" s="52"/>
      <c r="H3433" s="52"/>
      <c r="I3433" s="52"/>
      <c r="J3433" s="52"/>
      <c r="K3433" s="52"/>
      <c r="L3433" s="52"/>
      <c r="M3433" s="52"/>
      <c r="N3433" s="52"/>
      <c r="O3433" s="52"/>
      <c r="P3433" s="52"/>
      <c r="Q3433" s="52"/>
      <c r="R3433" s="52"/>
      <c r="S3433" s="52"/>
      <c r="T3433" s="52"/>
      <c r="U3433" s="52"/>
      <c r="V3433" s="52"/>
      <c r="W3433" s="52"/>
      <c r="X3433" s="52"/>
      <c r="Y3433" s="52"/>
      <c r="Z3433" s="52"/>
      <c r="AA3433" s="52"/>
      <c r="AB3433" s="52"/>
      <c r="AC3433" s="52"/>
      <c r="AD3433" s="52"/>
      <c r="AE3433" s="52"/>
      <c r="AF3433" s="52"/>
      <c r="AG3433" s="52"/>
      <c r="AH3433" s="52"/>
      <c r="AI3433" s="52"/>
      <c r="AJ3433" s="52"/>
      <c r="AK3433" s="52"/>
      <c r="AL3433" s="52"/>
      <c r="AM3433" s="52"/>
      <c r="AN3433" s="52"/>
    </row>
    <row r="3434" spans="1:40" x14ac:dyDescent="0.3">
      <c r="A3434" s="52">
        <v>3429</v>
      </c>
      <c r="B3434" s="52">
        <f>-bthan*500+(28+0.5)*bthan*1000/50</f>
        <v>385</v>
      </c>
      <c r="C3434" s="52">
        <f t="shared" si="316"/>
        <v>570.00000000000023</v>
      </c>
      <c r="D3434" s="52">
        <f t="shared" si="314"/>
        <v>2200</v>
      </c>
      <c r="E3434" s="52">
        <f t="shared" si="315"/>
        <v>1</v>
      </c>
      <c r="F3434" s="52"/>
      <c r="G3434" s="52"/>
      <c r="H3434" s="52"/>
      <c r="I3434" s="52"/>
      <c r="J3434" s="52"/>
      <c r="K3434" s="52"/>
      <c r="L3434" s="52"/>
      <c r="M3434" s="52"/>
      <c r="N3434" s="52"/>
      <c r="O3434" s="52"/>
      <c r="P3434" s="52"/>
      <c r="Q3434" s="52"/>
      <c r="R3434" s="52"/>
      <c r="S3434" s="52"/>
      <c r="T3434" s="52"/>
      <c r="U3434" s="52"/>
      <c r="V3434" s="52"/>
      <c r="W3434" s="52"/>
      <c r="X3434" s="52"/>
      <c r="Y3434" s="52"/>
      <c r="Z3434" s="52"/>
      <c r="AA3434" s="52"/>
      <c r="AB3434" s="52"/>
      <c r="AC3434" s="52"/>
      <c r="AD3434" s="52"/>
      <c r="AE3434" s="52"/>
      <c r="AF3434" s="52"/>
      <c r="AG3434" s="52"/>
      <c r="AH3434" s="52"/>
      <c r="AI3434" s="52"/>
      <c r="AJ3434" s="52"/>
      <c r="AK3434" s="52"/>
      <c r="AL3434" s="52"/>
      <c r="AM3434" s="52"/>
      <c r="AN3434" s="52"/>
    </row>
    <row r="3435" spans="1:40" x14ac:dyDescent="0.3">
      <c r="A3435" s="52">
        <v>3430</v>
      </c>
      <c r="B3435" s="52">
        <f>-bthan*500+(29+0.5)*bthan*1000/50</f>
        <v>495</v>
      </c>
      <c r="C3435" s="52">
        <f t="shared" si="316"/>
        <v>570.00000000000023</v>
      </c>
      <c r="D3435" s="52">
        <f t="shared" si="314"/>
        <v>2200</v>
      </c>
      <c r="E3435" s="52">
        <f t="shared" si="315"/>
        <v>1</v>
      </c>
      <c r="F3435" s="52"/>
      <c r="G3435" s="52"/>
      <c r="H3435" s="52"/>
      <c r="I3435" s="52"/>
      <c r="J3435" s="52"/>
      <c r="K3435" s="52"/>
      <c r="L3435" s="52"/>
      <c r="M3435" s="52"/>
      <c r="N3435" s="52"/>
      <c r="O3435" s="52"/>
      <c r="P3435" s="52"/>
      <c r="Q3435" s="52"/>
      <c r="R3435" s="52"/>
      <c r="S3435" s="52"/>
      <c r="T3435" s="52"/>
      <c r="U3435" s="52"/>
      <c r="V3435" s="52"/>
      <c r="W3435" s="52"/>
      <c r="X3435" s="52"/>
      <c r="Y3435" s="52"/>
      <c r="Z3435" s="52"/>
      <c r="AA3435" s="52"/>
      <c r="AB3435" s="52"/>
      <c r="AC3435" s="52"/>
      <c r="AD3435" s="52"/>
      <c r="AE3435" s="52"/>
      <c r="AF3435" s="52"/>
      <c r="AG3435" s="52"/>
      <c r="AH3435" s="52"/>
      <c r="AI3435" s="52"/>
      <c r="AJ3435" s="52"/>
      <c r="AK3435" s="52"/>
      <c r="AL3435" s="52"/>
      <c r="AM3435" s="52"/>
      <c r="AN3435" s="52"/>
    </row>
    <row r="3436" spans="1:40" x14ac:dyDescent="0.3">
      <c r="A3436" s="52">
        <v>3431</v>
      </c>
      <c r="B3436" s="52">
        <f>-bthan*500+(30+0.5)*bthan*1000/50</f>
        <v>605</v>
      </c>
      <c r="C3436" s="52">
        <f t="shared" si="316"/>
        <v>570.00000000000023</v>
      </c>
      <c r="D3436" s="52">
        <f t="shared" si="314"/>
        <v>2200</v>
      </c>
      <c r="E3436" s="52">
        <f t="shared" si="315"/>
        <v>1</v>
      </c>
      <c r="F3436" s="52"/>
      <c r="G3436" s="52"/>
      <c r="H3436" s="52"/>
      <c r="I3436" s="52"/>
      <c r="J3436" s="52"/>
      <c r="K3436" s="52"/>
      <c r="L3436" s="52"/>
      <c r="M3436" s="52"/>
      <c r="N3436" s="52"/>
      <c r="O3436" s="52"/>
      <c r="P3436" s="52"/>
      <c r="Q3436" s="52"/>
      <c r="R3436" s="52"/>
      <c r="S3436" s="52"/>
      <c r="T3436" s="52"/>
      <c r="U3436" s="52"/>
      <c r="V3436" s="52"/>
      <c r="W3436" s="52"/>
      <c r="X3436" s="52"/>
      <c r="Y3436" s="52"/>
      <c r="Z3436" s="52"/>
      <c r="AA3436" s="52"/>
      <c r="AB3436" s="52"/>
      <c r="AC3436" s="52"/>
      <c r="AD3436" s="52"/>
      <c r="AE3436" s="52"/>
      <c r="AF3436" s="52"/>
      <c r="AG3436" s="52"/>
      <c r="AH3436" s="52"/>
      <c r="AI3436" s="52"/>
      <c r="AJ3436" s="52"/>
      <c r="AK3436" s="52"/>
      <c r="AL3436" s="52"/>
      <c r="AM3436" s="52"/>
      <c r="AN3436" s="52"/>
    </row>
    <row r="3437" spans="1:40" x14ac:dyDescent="0.3">
      <c r="A3437" s="52">
        <v>3432</v>
      </c>
      <c r="B3437" s="52">
        <f>-bthan*500+(31+0.5)*bthan*1000/50</f>
        <v>715</v>
      </c>
      <c r="C3437" s="52">
        <f t="shared" si="316"/>
        <v>570.00000000000023</v>
      </c>
      <c r="D3437" s="52">
        <f t="shared" si="314"/>
        <v>2200</v>
      </c>
      <c r="E3437" s="52">
        <f t="shared" si="315"/>
        <v>1</v>
      </c>
      <c r="F3437" s="52"/>
      <c r="G3437" s="52"/>
      <c r="H3437" s="52"/>
      <c r="I3437" s="52"/>
      <c r="J3437" s="52"/>
      <c r="K3437" s="52"/>
      <c r="L3437" s="52"/>
      <c r="M3437" s="52"/>
      <c r="N3437" s="52"/>
      <c r="O3437" s="52"/>
      <c r="P3437" s="52"/>
      <c r="Q3437" s="52"/>
      <c r="R3437" s="52"/>
      <c r="S3437" s="52"/>
      <c r="T3437" s="52"/>
      <c r="U3437" s="52"/>
      <c r="V3437" s="52"/>
      <c r="W3437" s="52"/>
      <c r="X3437" s="52"/>
      <c r="Y3437" s="52"/>
      <c r="Z3437" s="52"/>
      <c r="AA3437" s="52"/>
      <c r="AB3437" s="52"/>
      <c r="AC3437" s="52"/>
      <c r="AD3437" s="52"/>
      <c r="AE3437" s="52"/>
      <c r="AF3437" s="52"/>
      <c r="AG3437" s="52"/>
      <c r="AH3437" s="52"/>
      <c r="AI3437" s="52"/>
      <c r="AJ3437" s="52"/>
      <c r="AK3437" s="52"/>
      <c r="AL3437" s="52"/>
      <c r="AM3437" s="52"/>
      <c r="AN3437" s="52"/>
    </row>
    <row r="3438" spans="1:40" x14ac:dyDescent="0.3">
      <c r="A3438" s="52">
        <v>3433</v>
      </c>
      <c r="B3438" s="52">
        <f>-bthan*500+(32+0.5)*bthan*1000/50</f>
        <v>825</v>
      </c>
      <c r="C3438" s="52">
        <f t="shared" ref="C3438:C3455" si="317">-hthan*500+(68+0.5)*hthan*1000/80</f>
        <v>570.00000000000023</v>
      </c>
      <c r="D3438" s="52">
        <f t="shared" si="314"/>
        <v>2200</v>
      </c>
      <c r="E3438" s="52">
        <f t="shared" si="315"/>
        <v>1</v>
      </c>
      <c r="F3438" s="52"/>
      <c r="G3438" s="52"/>
      <c r="H3438" s="52"/>
      <c r="I3438" s="52"/>
      <c r="J3438" s="52"/>
      <c r="K3438" s="52"/>
      <c r="L3438" s="52"/>
      <c r="M3438" s="52"/>
      <c r="N3438" s="52"/>
      <c r="O3438" s="52"/>
      <c r="P3438" s="52"/>
      <c r="Q3438" s="52"/>
      <c r="R3438" s="52"/>
      <c r="S3438" s="52"/>
      <c r="T3438" s="52"/>
      <c r="U3438" s="52"/>
      <c r="V3438" s="52"/>
      <c r="W3438" s="52"/>
      <c r="X3438" s="52"/>
      <c r="Y3438" s="52"/>
      <c r="Z3438" s="52"/>
      <c r="AA3438" s="52"/>
      <c r="AB3438" s="52"/>
      <c r="AC3438" s="52"/>
      <c r="AD3438" s="52"/>
      <c r="AE3438" s="52"/>
      <c r="AF3438" s="52"/>
      <c r="AG3438" s="52"/>
      <c r="AH3438" s="52"/>
      <c r="AI3438" s="52"/>
      <c r="AJ3438" s="52"/>
      <c r="AK3438" s="52"/>
      <c r="AL3438" s="52"/>
      <c r="AM3438" s="52"/>
      <c r="AN3438" s="52"/>
    </row>
    <row r="3439" spans="1:40" x14ac:dyDescent="0.3">
      <c r="A3439" s="52">
        <v>3434</v>
      </c>
      <c r="B3439" s="52">
        <f>-bthan*500+(33+0.5)*bthan*1000/50</f>
        <v>935</v>
      </c>
      <c r="C3439" s="52">
        <f t="shared" si="317"/>
        <v>570.00000000000023</v>
      </c>
      <c r="D3439" s="52">
        <f t="shared" si="314"/>
        <v>2200</v>
      </c>
      <c r="E3439" s="52">
        <f t="shared" si="315"/>
        <v>1</v>
      </c>
      <c r="F3439" s="52"/>
      <c r="G3439" s="52"/>
      <c r="H3439" s="52"/>
      <c r="I3439" s="52"/>
      <c r="J3439" s="52"/>
      <c r="K3439" s="52"/>
      <c r="L3439" s="52"/>
      <c r="M3439" s="52"/>
      <c r="N3439" s="52"/>
      <c r="O3439" s="52"/>
      <c r="P3439" s="52"/>
      <c r="Q3439" s="52"/>
      <c r="R3439" s="52"/>
      <c r="S3439" s="52"/>
      <c r="T3439" s="52"/>
      <c r="U3439" s="52"/>
      <c r="V3439" s="52"/>
      <c r="W3439" s="52"/>
      <c r="X3439" s="52"/>
      <c r="Y3439" s="52"/>
      <c r="Z3439" s="52"/>
      <c r="AA3439" s="52"/>
      <c r="AB3439" s="52"/>
      <c r="AC3439" s="52"/>
      <c r="AD3439" s="52"/>
      <c r="AE3439" s="52"/>
      <c r="AF3439" s="52"/>
      <c r="AG3439" s="52"/>
      <c r="AH3439" s="52"/>
      <c r="AI3439" s="52"/>
      <c r="AJ3439" s="52"/>
      <c r="AK3439" s="52"/>
      <c r="AL3439" s="52"/>
      <c r="AM3439" s="52"/>
      <c r="AN3439" s="52"/>
    </row>
    <row r="3440" spans="1:40" x14ac:dyDescent="0.3">
      <c r="A3440" s="52">
        <v>3435</v>
      </c>
      <c r="B3440" s="52">
        <f>-bthan*500+(34+0.5)*bthan*1000/50</f>
        <v>1045</v>
      </c>
      <c r="C3440" s="52">
        <f t="shared" si="317"/>
        <v>570.00000000000023</v>
      </c>
      <c r="D3440" s="52">
        <f t="shared" si="314"/>
        <v>2200</v>
      </c>
      <c r="E3440" s="52">
        <f t="shared" si="315"/>
        <v>1</v>
      </c>
      <c r="F3440" s="52"/>
      <c r="G3440" s="52"/>
      <c r="H3440" s="52"/>
      <c r="I3440" s="52"/>
      <c r="J3440" s="52"/>
      <c r="K3440" s="52"/>
      <c r="L3440" s="52"/>
      <c r="M3440" s="52"/>
      <c r="N3440" s="52"/>
      <c r="O3440" s="52"/>
      <c r="P3440" s="52"/>
      <c r="Q3440" s="52"/>
      <c r="R3440" s="52"/>
      <c r="S3440" s="52"/>
      <c r="T3440" s="52"/>
      <c r="U3440" s="52"/>
      <c r="V3440" s="52"/>
      <c r="W3440" s="52"/>
      <c r="X3440" s="52"/>
      <c r="Y3440" s="52"/>
      <c r="Z3440" s="52"/>
      <c r="AA3440" s="52"/>
      <c r="AB3440" s="52"/>
      <c r="AC3440" s="52"/>
      <c r="AD3440" s="52"/>
      <c r="AE3440" s="52"/>
      <c r="AF3440" s="52"/>
      <c r="AG3440" s="52"/>
      <c r="AH3440" s="52"/>
      <c r="AI3440" s="52"/>
      <c r="AJ3440" s="52"/>
      <c r="AK3440" s="52"/>
      <c r="AL3440" s="52"/>
      <c r="AM3440" s="52"/>
      <c r="AN3440" s="52"/>
    </row>
    <row r="3441" spans="1:40" x14ac:dyDescent="0.3">
      <c r="A3441" s="52">
        <v>3436</v>
      </c>
      <c r="B3441" s="52">
        <f>-bthan*500+(35+0.5)*bthan*1000/50</f>
        <v>1155</v>
      </c>
      <c r="C3441" s="52">
        <f t="shared" si="317"/>
        <v>570.00000000000023</v>
      </c>
      <c r="D3441" s="52">
        <f t="shared" si="314"/>
        <v>2200</v>
      </c>
      <c r="E3441" s="52">
        <f t="shared" si="315"/>
        <v>1</v>
      </c>
      <c r="F3441" s="52"/>
      <c r="G3441" s="52"/>
      <c r="H3441" s="52"/>
      <c r="I3441" s="52"/>
      <c r="J3441" s="52"/>
      <c r="K3441" s="52"/>
      <c r="L3441" s="52"/>
      <c r="M3441" s="52"/>
      <c r="N3441" s="52"/>
      <c r="O3441" s="52"/>
      <c r="P3441" s="52"/>
      <c r="Q3441" s="52"/>
      <c r="R3441" s="52"/>
      <c r="S3441" s="52"/>
      <c r="T3441" s="52"/>
      <c r="U3441" s="52"/>
      <c r="V3441" s="52"/>
      <c r="W3441" s="52"/>
      <c r="X3441" s="52"/>
      <c r="Y3441" s="52"/>
      <c r="Z3441" s="52"/>
      <c r="AA3441" s="52"/>
      <c r="AB3441" s="52"/>
      <c r="AC3441" s="52"/>
      <c r="AD3441" s="52"/>
      <c r="AE3441" s="52"/>
      <c r="AF3441" s="52"/>
      <c r="AG3441" s="52"/>
      <c r="AH3441" s="52"/>
      <c r="AI3441" s="52"/>
      <c r="AJ3441" s="52"/>
      <c r="AK3441" s="52"/>
      <c r="AL3441" s="52"/>
      <c r="AM3441" s="52"/>
      <c r="AN3441" s="52"/>
    </row>
    <row r="3442" spans="1:40" x14ac:dyDescent="0.3">
      <c r="A3442" s="52">
        <v>3437</v>
      </c>
      <c r="B3442" s="52">
        <f>-bthan*500+(36+0.5)*bthan*1000/50</f>
        <v>1265</v>
      </c>
      <c r="C3442" s="52">
        <f t="shared" si="317"/>
        <v>570.00000000000023</v>
      </c>
      <c r="D3442" s="52">
        <f t="shared" si="314"/>
        <v>2200</v>
      </c>
      <c r="E3442" s="52">
        <f t="shared" si="315"/>
        <v>1</v>
      </c>
      <c r="F3442" s="52"/>
      <c r="G3442" s="52"/>
      <c r="H3442" s="52"/>
      <c r="I3442" s="52"/>
      <c r="J3442" s="52"/>
      <c r="K3442" s="52"/>
      <c r="L3442" s="52"/>
      <c r="M3442" s="52"/>
      <c r="N3442" s="52"/>
      <c r="O3442" s="52"/>
      <c r="P3442" s="52"/>
      <c r="Q3442" s="52"/>
      <c r="R3442" s="52"/>
      <c r="S3442" s="52"/>
      <c r="T3442" s="52"/>
      <c r="U3442" s="52"/>
      <c r="V3442" s="52"/>
      <c r="W3442" s="52"/>
      <c r="X3442" s="52"/>
      <c r="Y3442" s="52"/>
      <c r="Z3442" s="52"/>
      <c r="AA3442" s="52"/>
      <c r="AB3442" s="52"/>
      <c r="AC3442" s="52"/>
      <c r="AD3442" s="52"/>
      <c r="AE3442" s="52"/>
      <c r="AF3442" s="52"/>
      <c r="AG3442" s="52"/>
      <c r="AH3442" s="52"/>
      <c r="AI3442" s="52"/>
      <c r="AJ3442" s="52"/>
      <c r="AK3442" s="52"/>
      <c r="AL3442" s="52"/>
      <c r="AM3442" s="52"/>
      <c r="AN3442" s="52"/>
    </row>
    <row r="3443" spans="1:40" x14ac:dyDescent="0.3">
      <c r="A3443" s="52">
        <v>3438</v>
      </c>
      <c r="B3443" s="52">
        <f>-bthan*500+(37+0.5)*bthan*1000/50</f>
        <v>1375</v>
      </c>
      <c r="C3443" s="52">
        <f t="shared" si="317"/>
        <v>570.00000000000023</v>
      </c>
      <c r="D3443" s="52">
        <f t="shared" si="314"/>
        <v>2200</v>
      </c>
      <c r="E3443" s="52">
        <f t="shared" si="315"/>
        <v>1</v>
      </c>
      <c r="F3443" s="52"/>
      <c r="G3443" s="52"/>
      <c r="H3443" s="52"/>
      <c r="I3443" s="52"/>
      <c r="J3443" s="52"/>
      <c r="K3443" s="52"/>
      <c r="L3443" s="52"/>
      <c r="M3443" s="52"/>
      <c r="N3443" s="52"/>
      <c r="O3443" s="52"/>
      <c r="P3443" s="52"/>
      <c r="Q3443" s="52"/>
      <c r="R3443" s="52"/>
      <c r="S3443" s="52"/>
      <c r="T3443" s="52"/>
      <c r="U3443" s="52"/>
      <c r="V3443" s="52"/>
      <c r="W3443" s="52"/>
      <c r="X3443" s="52"/>
      <c r="Y3443" s="52"/>
      <c r="Z3443" s="52"/>
      <c r="AA3443" s="52"/>
      <c r="AB3443" s="52"/>
      <c r="AC3443" s="52"/>
      <c r="AD3443" s="52"/>
      <c r="AE3443" s="52"/>
      <c r="AF3443" s="52"/>
      <c r="AG3443" s="52"/>
      <c r="AH3443" s="52"/>
      <c r="AI3443" s="52"/>
      <c r="AJ3443" s="52"/>
      <c r="AK3443" s="52"/>
      <c r="AL3443" s="52"/>
      <c r="AM3443" s="52"/>
      <c r="AN3443" s="52"/>
    </row>
    <row r="3444" spans="1:40" x14ac:dyDescent="0.3">
      <c r="A3444" s="52">
        <v>3439</v>
      </c>
      <c r="B3444" s="52">
        <f>-bthan*500+(38+0.5)*bthan*1000/50</f>
        <v>1485</v>
      </c>
      <c r="C3444" s="52">
        <f t="shared" si="317"/>
        <v>570.00000000000023</v>
      </c>
      <c r="D3444" s="52">
        <f t="shared" si="314"/>
        <v>2200</v>
      </c>
      <c r="E3444" s="52">
        <f t="shared" si="315"/>
        <v>1</v>
      </c>
      <c r="F3444" s="52"/>
      <c r="G3444" s="52"/>
      <c r="H3444" s="52"/>
      <c r="I3444" s="52"/>
      <c r="J3444" s="52"/>
      <c r="K3444" s="52"/>
      <c r="L3444" s="52"/>
      <c r="M3444" s="52"/>
      <c r="N3444" s="52"/>
      <c r="O3444" s="52"/>
      <c r="P3444" s="52"/>
      <c r="Q3444" s="52"/>
      <c r="R3444" s="52"/>
      <c r="S3444" s="52"/>
      <c r="T3444" s="52"/>
      <c r="U3444" s="52"/>
      <c r="V3444" s="52"/>
      <c r="W3444" s="52"/>
      <c r="X3444" s="52"/>
      <c r="Y3444" s="52"/>
      <c r="Z3444" s="52"/>
      <c r="AA3444" s="52"/>
      <c r="AB3444" s="52"/>
      <c r="AC3444" s="52"/>
      <c r="AD3444" s="52"/>
      <c r="AE3444" s="52"/>
      <c r="AF3444" s="52"/>
      <c r="AG3444" s="52"/>
      <c r="AH3444" s="52"/>
      <c r="AI3444" s="52"/>
      <c r="AJ3444" s="52"/>
      <c r="AK3444" s="52"/>
      <c r="AL3444" s="52"/>
      <c r="AM3444" s="52"/>
      <c r="AN3444" s="52"/>
    </row>
    <row r="3445" spans="1:40" x14ac:dyDescent="0.3">
      <c r="A3445" s="52">
        <v>3440</v>
      </c>
      <c r="B3445" s="52">
        <f>-bthan*500+(39+0.5)*bthan*1000/50</f>
        <v>1595</v>
      </c>
      <c r="C3445" s="52">
        <f t="shared" si="317"/>
        <v>570.00000000000023</v>
      </c>
      <c r="D3445" s="52">
        <f t="shared" si="314"/>
        <v>2200</v>
      </c>
      <c r="E3445" s="52">
        <f t="shared" si="315"/>
        <v>1</v>
      </c>
      <c r="F3445" s="52"/>
      <c r="G3445" s="52"/>
      <c r="H3445" s="52"/>
      <c r="I3445" s="52"/>
      <c r="J3445" s="52"/>
      <c r="K3445" s="52"/>
      <c r="L3445" s="52"/>
      <c r="M3445" s="52"/>
      <c r="N3445" s="52"/>
      <c r="O3445" s="52"/>
      <c r="P3445" s="52"/>
      <c r="Q3445" s="52"/>
      <c r="R3445" s="52"/>
      <c r="S3445" s="52"/>
      <c r="T3445" s="52"/>
      <c r="U3445" s="52"/>
      <c r="V3445" s="52"/>
      <c r="W3445" s="52"/>
      <c r="X3445" s="52"/>
      <c r="Y3445" s="52"/>
      <c r="Z3445" s="52"/>
      <c r="AA3445" s="52"/>
      <c r="AB3445" s="52"/>
      <c r="AC3445" s="52"/>
      <c r="AD3445" s="52"/>
      <c r="AE3445" s="52"/>
      <c r="AF3445" s="52"/>
      <c r="AG3445" s="52"/>
      <c r="AH3445" s="52"/>
      <c r="AI3445" s="52"/>
      <c r="AJ3445" s="52"/>
      <c r="AK3445" s="52"/>
      <c r="AL3445" s="52"/>
      <c r="AM3445" s="52"/>
      <c r="AN3445" s="52"/>
    </row>
    <row r="3446" spans="1:40" x14ac:dyDescent="0.3">
      <c r="A3446" s="52">
        <v>3441</v>
      </c>
      <c r="B3446" s="52">
        <f>-bthan*500+(40+0.5)*bthan*1000/50</f>
        <v>1705</v>
      </c>
      <c r="C3446" s="52">
        <f t="shared" si="317"/>
        <v>570.00000000000023</v>
      </c>
      <c r="D3446" s="52">
        <f t="shared" si="314"/>
        <v>2200</v>
      </c>
      <c r="E3446" s="52">
        <f t="shared" si="315"/>
        <v>1</v>
      </c>
      <c r="F3446" s="52"/>
      <c r="G3446" s="52"/>
      <c r="H3446" s="52"/>
      <c r="I3446" s="52"/>
      <c r="J3446" s="52"/>
      <c r="K3446" s="52"/>
      <c r="L3446" s="52"/>
      <c r="M3446" s="52"/>
      <c r="N3446" s="52"/>
      <c r="O3446" s="52"/>
      <c r="P3446" s="52"/>
      <c r="Q3446" s="52"/>
      <c r="R3446" s="52"/>
      <c r="S3446" s="52"/>
      <c r="T3446" s="52"/>
      <c r="U3446" s="52"/>
      <c r="V3446" s="52"/>
      <c r="W3446" s="52"/>
      <c r="X3446" s="52"/>
      <c r="Y3446" s="52"/>
      <c r="Z3446" s="52"/>
      <c r="AA3446" s="52"/>
      <c r="AB3446" s="52"/>
      <c r="AC3446" s="52"/>
      <c r="AD3446" s="52"/>
      <c r="AE3446" s="52"/>
      <c r="AF3446" s="52"/>
      <c r="AG3446" s="52"/>
      <c r="AH3446" s="52"/>
      <c r="AI3446" s="52"/>
      <c r="AJ3446" s="52"/>
      <c r="AK3446" s="52"/>
      <c r="AL3446" s="52"/>
      <c r="AM3446" s="52"/>
      <c r="AN3446" s="52"/>
    </row>
    <row r="3447" spans="1:40" x14ac:dyDescent="0.3">
      <c r="A3447" s="52">
        <v>3442</v>
      </c>
      <c r="B3447" s="52">
        <f>-bthan*500+(41+0.5)*bthan*1000/50</f>
        <v>1815</v>
      </c>
      <c r="C3447" s="52">
        <f t="shared" si="317"/>
        <v>570.00000000000023</v>
      </c>
      <c r="D3447" s="52">
        <f t="shared" si="314"/>
        <v>2200</v>
      </c>
      <c r="E3447" s="52">
        <f t="shared" si="315"/>
        <v>1</v>
      </c>
      <c r="F3447" s="52"/>
      <c r="G3447" s="52"/>
      <c r="H3447" s="52"/>
      <c r="I3447" s="52"/>
      <c r="J3447" s="52"/>
      <c r="K3447" s="52"/>
      <c r="L3447" s="52"/>
      <c r="M3447" s="52"/>
      <c r="N3447" s="52"/>
      <c r="O3447" s="52"/>
      <c r="P3447" s="52"/>
      <c r="Q3447" s="52"/>
      <c r="R3447" s="52"/>
      <c r="S3447" s="52"/>
      <c r="T3447" s="52"/>
      <c r="U3447" s="52"/>
      <c r="V3447" s="52"/>
      <c r="W3447" s="52"/>
      <c r="X3447" s="52"/>
      <c r="Y3447" s="52"/>
      <c r="Z3447" s="52"/>
      <c r="AA3447" s="52"/>
      <c r="AB3447" s="52"/>
      <c r="AC3447" s="52"/>
      <c r="AD3447" s="52"/>
      <c r="AE3447" s="52"/>
      <c r="AF3447" s="52"/>
      <c r="AG3447" s="52"/>
      <c r="AH3447" s="52"/>
      <c r="AI3447" s="52"/>
      <c r="AJ3447" s="52"/>
      <c r="AK3447" s="52"/>
      <c r="AL3447" s="52"/>
      <c r="AM3447" s="52"/>
      <c r="AN3447" s="52"/>
    </row>
    <row r="3448" spans="1:40" x14ac:dyDescent="0.3">
      <c r="A3448" s="52">
        <v>3443</v>
      </c>
      <c r="B3448" s="52">
        <f>-bthan*500+(42+0.5)*bthan*1000/50</f>
        <v>1925</v>
      </c>
      <c r="C3448" s="52">
        <f t="shared" si="317"/>
        <v>570.00000000000023</v>
      </c>
      <c r="D3448" s="52">
        <f t="shared" si="314"/>
        <v>2200</v>
      </c>
      <c r="E3448" s="52">
        <f t="shared" si="315"/>
        <v>1</v>
      </c>
      <c r="F3448" s="52"/>
      <c r="G3448" s="52"/>
      <c r="H3448" s="52"/>
      <c r="I3448" s="52"/>
      <c r="J3448" s="52"/>
      <c r="K3448" s="52"/>
      <c r="L3448" s="52"/>
      <c r="M3448" s="52"/>
      <c r="N3448" s="52"/>
      <c r="O3448" s="52"/>
      <c r="P3448" s="52"/>
      <c r="Q3448" s="52"/>
      <c r="R3448" s="52"/>
      <c r="S3448" s="52"/>
      <c r="T3448" s="52"/>
      <c r="U3448" s="52"/>
      <c r="V3448" s="52"/>
      <c r="W3448" s="52"/>
      <c r="X3448" s="52"/>
      <c r="Y3448" s="52"/>
      <c r="Z3448" s="52"/>
      <c r="AA3448" s="52"/>
      <c r="AB3448" s="52"/>
      <c r="AC3448" s="52"/>
      <c r="AD3448" s="52"/>
      <c r="AE3448" s="52"/>
      <c r="AF3448" s="52"/>
      <c r="AG3448" s="52"/>
      <c r="AH3448" s="52"/>
      <c r="AI3448" s="52"/>
      <c r="AJ3448" s="52"/>
      <c r="AK3448" s="52"/>
      <c r="AL3448" s="52"/>
      <c r="AM3448" s="52"/>
      <c r="AN3448" s="52"/>
    </row>
    <row r="3449" spans="1:40" x14ac:dyDescent="0.3">
      <c r="A3449" s="52">
        <v>3444</v>
      </c>
      <c r="B3449" s="52">
        <f>-bthan*500+(43+0.5)*bthan*1000/50</f>
        <v>2035</v>
      </c>
      <c r="C3449" s="52">
        <f t="shared" si="317"/>
        <v>570.00000000000023</v>
      </c>
      <c r="D3449" s="52">
        <f t="shared" si="314"/>
        <v>2200</v>
      </c>
      <c r="E3449" s="52">
        <f t="shared" si="315"/>
        <v>1</v>
      </c>
      <c r="F3449" s="52"/>
      <c r="G3449" s="52"/>
      <c r="H3449" s="52"/>
      <c r="I3449" s="52"/>
      <c r="J3449" s="52"/>
      <c r="K3449" s="52"/>
      <c r="L3449" s="52"/>
      <c r="M3449" s="52"/>
      <c r="N3449" s="52"/>
      <c r="O3449" s="52"/>
      <c r="P3449" s="52"/>
      <c r="Q3449" s="52"/>
      <c r="R3449" s="52"/>
      <c r="S3449" s="52"/>
      <c r="T3449" s="52"/>
      <c r="U3449" s="52"/>
      <c r="V3449" s="52"/>
      <c r="W3449" s="52"/>
      <c r="X3449" s="52"/>
      <c r="Y3449" s="52"/>
      <c r="Z3449" s="52"/>
      <c r="AA3449" s="52"/>
      <c r="AB3449" s="52"/>
      <c r="AC3449" s="52"/>
      <c r="AD3449" s="52"/>
      <c r="AE3449" s="52"/>
      <c r="AF3449" s="52"/>
      <c r="AG3449" s="52"/>
      <c r="AH3449" s="52"/>
      <c r="AI3449" s="52"/>
      <c r="AJ3449" s="52"/>
      <c r="AK3449" s="52"/>
      <c r="AL3449" s="52"/>
      <c r="AM3449" s="52"/>
      <c r="AN3449" s="52"/>
    </row>
    <row r="3450" spans="1:40" x14ac:dyDescent="0.3">
      <c r="A3450" s="52">
        <v>3445</v>
      </c>
      <c r="B3450" s="52">
        <f>-bthan*500+(44+0.5)*bthan*1000/50</f>
        <v>2145</v>
      </c>
      <c r="C3450" s="52">
        <f t="shared" si="317"/>
        <v>570.00000000000023</v>
      </c>
      <c r="D3450" s="52">
        <f t="shared" si="314"/>
        <v>2200</v>
      </c>
      <c r="E3450" s="52">
        <f t="shared" si="315"/>
        <v>1</v>
      </c>
      <c r="F3450" s="52"/>
      <c r="G3450" s="52"/>
      <c r="H3450" s="52"/>
      <c r="I3450" s="52"/>
      <c r="J3450" s="52"/>
      <c r="K3450" s="52"/>
      <c r="L3450" s="52"/>
      <c r="M3450" s="52"/>
      <c r="N3450" s="52"/>
      <c r="O3450" s="52"/>
      <c r="P3450" s="52"/>
      <c r="Q3450" s="52"/>
      <c r="R3450" s="52"/>
      <c r="S3450" s="52"/>
      <c r="T3450" s="52"/>
      <c r="U3450" s="52"/>
      <c r="V3450" s="52"/>
      <c r="W3450" s="52"/>
      <c r="X3450" s="52"/>
      <c r="Y3450" s="52"/>
      <c r="Z3450" s="52"/>
      <c r="AA3450" s="52"/>
      <c r="AB3450" s="52"/>
      <c r="AC3450" s="52"/>
      <c r="AD3450" s="52"/>
      <c r="AE3450" s="52"/>
      <c r="AF3450" s="52"/>
      <c r="AG3450" s="52"/>
      <c r="AH3450" s="52"/>
      <c r="AI3450" s="52"/>
      <c r="AJ3450" s="52"/>
      <c r="AK3450" s="52"/>
      <c r="AL3450" s="52"/>
      <c r="AM3450" s="52"/>
      <c r="AN3450" s="52"/>
    </row>
    <row r="3451" spans="1:40" x14ac:dyDescent="0.3">
      <c r="A3451" s="52">
        <v>3446</v>
      </c>
      <c r="B3451" s="52">
        <f>-bthan*500+(45+0.5)*bthan*1000/50</f>
        <v>2255</v>
      </c>
      <c r="C3451" s="52">
        <f t="shared" si="317"/>
        <v>570.00000000000023</v>
      </c>
      <c r="D3451" s="52">
        <f t="shared" si="314"/>
        <v>2200</v>
      </c>
      <c r="E3451" s="52">
        <f t="shared" si="315"/>
        <v>1</v>
      </c>
      <c r="F3451" s="52"/>
      <c r="G3451" s="52"/>
      <c r="H3451" s="52"/>
      <c r="I3451" s="52"/>
      <c r="J3451" s="52"/>
      <c r="K3451" s="52"/>
      <c r="L3451" s="52"/>
      <c r="M3451" s="52"/>
      <c r="N3451" s="52"/>
      <c r="O3451" s="52"/>
      <c r="P3451" s="52"/>
      <c r="Q3451" s="52"/>
      <c r="R3451" s="52"/>
      <c r="S3451" s="52"/>
      <c r="T3451" s="52"/>
      <c r="U3451" s="52"/>
      <c r="V3451" s="52"/>
      <c r="W3451" s="52"/>
      <c r="X3451" s="52"/>
      <c r="Y3451" s="52"/>
      <c r="Z3451" s="52"/>
      <c r="AA3451" s="52"/>
      <c r="AB3451" s="52"/>
      <c r="AC3451" s="52"/>
      <c r="AD3451" s="52"/>
      <c r="AE3451" s="52"/>
      <c r="AF3451" s="52"/>
      <c r="AG3451" s="52"/>
      <c r="AH3451" s="52"/>
      <c r="AI3451" s="52"/>
      <c r="AJ3451" s="52"/>
      <c r="AK3451" s="52"/>
      <c r="AL3451" s="52"/>
      <c r="AM3451" s="52"/>
      <c r="AN3451" s="52"/>
    </row>
    <row r="3452" spans="1:40" x14ac:dyDescent="0.3">
      <c r="A3452" s="52">
        <v>3447</v>
      </c>
      <c r="B3452" s="52">
        <f>-bthan*500+(46+0.5)*bthan*1000/50</f>
        <v>2365</v>
      </c>
      <c r="C3452" s="52">
        <f t="shared" si="317"/>
        <v>570.00000000000023</v>
      </c>
      <c r="D3452" s="52">
        <f t="shared" si="314"/>
        <v>2200</v>
      </c>
      <c r="E3452" s="52">
        <f t="shared" si="315"/>
        <v>1</v>
      </c>
      <c r="F3452" s="52"/>
      <c r="G3452" s="52"/>
      <c r="H3452" s="52"/>
      <c r="I3452" s="52"/>
      <c r="J3452" s="52"/>
      <c r="K3452" s="52"/>
      <c r="L3452" s="52"/>
      <c r="M3452" s="52"/>
      <c r="N3452" s="52"/>
      <c r="O3452" s="52"/>
      <c r="P3452" s="52"/>
      <c r="Q3452" s="52"/>
      <c r="R3452" s="52"/>
      <c r="S3452" s="52"/>
      <c r="T3452" s="52"/>
      <c r="U3452" s="52"/>
      <c r="V3452" s="52"/>
      <c r="W3452" s="52"/>
      <c r="X3452" s="52"/>
      <c r="Y3452" s="52"/>
      <c r="Z3452" s="52"/>
      <c r="AA3452" s="52"/>
      <c r="AB3452" s="52"/>
      <c r="AC3452" s="52"/>
      <c r="AD3452" s="52"/>
      <c r="AE3452" s="52"/>
      <c r="AF3452" s="52"/>
      <c r="AG3452" s="52"/>
      <c r="AH3452" s="52"/>
      <c r="AI3452" s="52"/>
      <c r="AJ3452" s="52"/>
      <c r="AK3452" s="52"/>
      <c r="AL3452" s="52"/>
      <c r="AM3452" s="52"/>
      <c r="AN3452" s="52"/>
    </row>
    <row r="3453" spans="1:40" x14ac:dyDescent="0.3">
      <c r="A3453" s="52">
        <v>3448</v>
      </c>
      <c r="B3453" s="52">
        <f>-bthan*500+(47+0.5)*bthan*1000/50</f>
        <v>2475</v>
      </c>
      <c r="C3453" s="52">
        <f t="shared" si="317"/>
        <v>570.00000000000023</v>
      </c>
      <c r="D3453" s="52">
        <f t="shared" si="314"/>
        <v>2200</v>
      </c>
      <c r="E3453" s="52">
        <f t="shared" si="315"/>
        <v>1</v>
      </c>
      <c r="F3453" s="52"/>
      <c r="G3453" s="52"/>
      <c r="H3453" s="52"/>
      <c r="I3453" s="52"/>
      <c r="J3453" s="52"/>
      <c r="K3453" s="52"/>
      <c r="L3453" s="52"/>
      <c r="M3453" s="52"/>
      <c r="N3453" s="52"/>
      <c r="O3453" s="52"/>
      <c r="P3453" s="52"/>
      <c r="Q3453" s="52"/>
      <c r="R3453" s="52"/>
      <c r="S3453" s="52"/>
      <c r="T3453" s="52"/>
      <c r="U3453" s="52"/>
      <c r="V3453" s="52"/>
      <c r="W3453" s="52"/>
      <c r="X3453" s="52"/>
      <c r="Y3453" s="52"/>
      <c r="Z3453" s="52"/>
      <c r="AA3453" s="52"/>
      <c r="AB3453" s="52"/>
      <c r="AC3453" s="52"/>
      <c r="AD3453" s="52"/>
      <c r="AE3453" s="52"/>
      <c r="AF3453" s="52"/>
      <c r="AG3453" s="52"/>
      <c r="AH3453" s="52"/>
      <c r="AI3453" s="52"/>
      <c r="AJ3453" s="52"/>
      <c r="AK3453" s="52"/>
      <c r="AL3453" s="52"/>
      <c r="AM3453" s="52"/>
      <c r="AN3453" s="52"/>
    </row>
    <row r="3454" spans="1:40" x14ac:dyDescent="0.3">
      <c r="A3454" s="52">
        <v>3449</v>
      </c>
      <c r="B3454" s="52">
        <f>-bthan*500+(48+0.5)*bthan*1000/50</f>
        <v>2585</v>
      </c>
      <c r="C3454" s="52">
        <f t="shared" si="317"/>
        <v>570.00000000000023</v>
      </c>
      <c r="D3454" s="52">
        <f t="shared" si="314"/>
        <v>2200</v>
      </c>
      <c r="E3454" s="52">
        <f t="shared" si="315"/>
        <v>0</v>
      </c>
      <c r="F3454" s="52"/>
      <c r="G3454" s="52"/>
      <c r="H3454" s="52"/>
      <c r="I3454" s="52"/>
      <c r="J3454" s="52"/>
      <c r="K3454" s="52"/>
      <c r="L3454" s="52"/>
      <c r="M3454" s="52"/>
      <c r="N3454" s="52"/>
      <c r="O3454" s="52"/>
      <c r="P3454" s="52"/>
      <c r="Q3454" s="52"/>
      <c r="R3454" s="52"/>
      <c r="S3454" s="52"/>
      <c r="T3454" s="52"/>
      <c r="U3454" s="52"/>
      <c r="V3454" s="52"/>
      <c r="W3454" s="52"/>
      <c r="X3454" s="52"/>
      <c r="Y3454" s="52"/>
      <c r="Z3454" s="52"/>
      <c r="AA3454" s="52"/>
      <c r="AB3454" s="52"/>
      <c r="AC3454" s="52"/>
      <c r="AD3454" s="52"/>
      <c r="AE3454" s="52"/>
      <c r="AF3454" s="52"/>
      <c r="AG3454" s="52"/>
      <c r="AH3454" s="52"/>
      <c r="AI3454" s="52"/>
      <c r="AJ3454" s="52"/>
      <c r="AK3454" s="52"/>
      <c r="AL3454" s="52"/>
      <c r="AM3454" s="52"/>
      <c r="AN3454" s="52"/>
    </row>
    <row r="3455" spans="1:40" x14ac:dyDescent="0.3">
      <c r="A3455" s="52">
        <v>3450</v>
      </c>
      <c r="B3455" s="52">
        <f>-bthan*500+(49+0.5)*bthan*1000/50</f>
        <v>2695</v>
      </c>
      <c r="C3455" s="52">
        <f t="shared" si="317"/>
        <v>570.00000000000023</v>
      </c>
      <c r="D3455" s="52">
        <f t="shared" si="314"/>
        <v>2200</v>
      </c>
      <c r="E3455" s="52">
        <f t="shared" si="315"/>
        <v>0</v>
      </c>
      <c r="F3455" s="52"/>
      <c r="G3455" s="52"/>
      <c r="H3455" s="52"/>
      <c r="I3455" s="52"/>
      <c r="J3455" s="52"/>
      <c r="K3455" s="52"/>
      <c r="L3455" s="52"/>
      <c r="M3455" s="52"/>
      <c r="N3455" s="52"/>
      <c r="O3455" s="52"/>
      <c r="P3455" s="52"/>
      <c r="Q3455" s="52"/>
      <c r="R3455" s="52"/>
      <c r="S3455" s="52"/>
      <c r="T3455" s="52"/>
      <c r="U3455" s="52"/>
      <c r="V3455" s="52"/>
      <c r="W3455" s="52"/>
      <c r="X3455" s="52"/>
      <c r="Y3455" s="52"/>
      <c r="Z3455" s="52"/>
      <c r="AA3455" s="52"/>
      <c r="AB3455" s="52"/>
      <c r="AC3455" s="52"/>
      <c r="AD3455" s="52"/>
      <c r="AE3455" s="52"/>
      <c r="AF3455" s="52"/>
      <c r="AG3455" s="52"/>
      <c r="AH3455" s="52"/>
      <c r="AI3455" s="52"/>
      <c r="AJ3455" s="52"/>
      <c r="AK3455" s="52"/>
      <c r="AL3455" s="52"/>
      <c r="AM3455" s="52"/>
      <c r="AN3455" s="52"/>
    </row>
    <row r="3456" spans="1:40" x14ac:dyDescent="0.3">
      <c r="A3456" s="52">
        <v>3451</v>
      </c>
      <c r="B3456" s="52">
        <f>-bthan*500+(0+0.5)*bthan*1000/50</f>
        <v>-2695</v>
      </c>
      <c r="C3456" s="52">
        <f t="shared" ref="C3456:C3487" si="318">-hthan*500+(69+0.5)*hthan*1000/80</f>
        <v>590</v>
      </c>
      <c r="D3456" s="52">
        <f t="shared" si="314"/>
        <v>2200</v>
      </c>
      <c r="E3456" s="52">
        <f t="shared" si="315"/>
        <v>0</v>
      </c>
      <c r="F3456" s="52"/>
      <c r="G3456" s="52"/>
      <c r="H3456" s="52"/>
      <c r="I3456" s="52"/>
      <c r="J3456" s="52"/>
      <c r="K3456" s="52"/>
      <c r="L3456" s="52"/>
      <c r="M3456" s="52"/>
      <c r="N3456" s="52"/>
      <c r="O3456" s="52"/>
      <c r="P3456" s="52"/>
      <c r="Q3456" s="52"/>
      <c r="R3456" s="52"/>
      <c r="S3456" s="52"/>
      <c r="T3456" s="52"/>
      <c r="U3456" s="52"/>
      <c r="V3456" s="52"/>
      <c r="W3456" s="52"/>
      <c r="X3456" s="52"/>
      <c r="Y3456" s="52"/>
      <c r="Z3456" s="52"/>
      <c r="AA3456" s="52"/>
      <c r="AB3456" s="52"/>
      <c r="AC3456" s="52"/>
      <c r="AD3456" s="52"/>
      <c r="AE3456" s="52"/>
      <c r="AF3456" s="52"/>
      <c r="AG3456" s="52"/>
      <c r="AH3456" s="52"/>
      <c r="AI3456" s="52"/>
      <c r="AJ3456" s="52"/>
      <c r="AK3456" s="52"/>
      <c r="AL3456" s="52"/>
      <c r="AM3456" s="52"/>
      <c r="AN3456" s="52"/>
    </row>
    <row r="3457" spans="1:40" x14ac:dyDescent="0.3">
      <c r="A3457" s="52">
        <v>3452</v>
      </c>
      <c r="B3457" s="52">
        <f>-bthan*500+(1+0.5)*bthan*1000/50</f>
        <v>-2585</v>
      </c>
      <c r="C3457" s="52">
        <f t="shared" si="318"/>
        <v>590</v>
      </c>
      <c r="D3457" s="52">
        <f t="shared" si="314"/>
        <v>2200</v>
      </c>
      <c r="E3457" s="52">
        <f t="shared" si="315"/>
        <v>0</v>
      </c>
      <c r="F3457" s="52"/>
      <c r="G3457" s="52"/>
      <c r="H3457" s="52"/>
      <c r="I3457" s="52"/>
      <c r="J3457" s="52"/>
      <c r="K3457" s="52"/>
      <c r="L3457" s="52"/>
      <c r="M3457" s="52"/>
      <c r="N3457" s="52"/>
      <c r="O3457" s="52"/>
      <c r="P3457" s="52"/>
      <c r="Q3457" s="52"/>
      <c r="R3457" s="52"/>
      <c r="S3457" s="52"/>
      <c r="T3457" s="52"/>
      <c r="U3457" s="52"/>
      <c r="V3457" s="52"/>
      <c r="W3457" s="52"/>
      <c r="X3457" s="52"/>
      <c r="Y3457" s="52"/>
      <c r="Z3457" s="52"/>
      <c r="AA3457" s="52"/>
      <c r="AB3457" s="52"/>
      <c r="AC3457" s="52"/>
      <c r="AD3457" s="52"/>
      <c r="AE3457" s="52"/>
      <c r="AF3457" s="52"/>
      <c r="AG3457" s="52"/>
      <c r="AH3457" s="52"/>
      <c r="AI3457" s="52"/>
      <c r="AJ3457" s="52"/>
      <c r="AK3457" s="52"/>
      <c r="AL3457" s="52"/>
      <c r="AM3457" s="52"/>
      <c r="AN3457" s="52"/>
    </row>
    <row r="3458" spans="1:40" x14ac:dyDescent="0.3">
      <c r="A3458" s="52">
        <v>3453</v>
      </c>
      <c r="B3458" s="52">
        <f>-bthan*500+(2+0.5)*bthan*1000/50</f>
        <v>-2475</v>
      </c>
      <c r="C3458" s="52">
        <f t="shared" si="318"/>
        <v>590</v>
      </c>
      <c r="D3458" s="52">
        <f t="shared" si="314"/>
        <v>2200</v>
      </c>
      <c r="E3458" s="52">
        <f t="shared" si="315"/>
        <v>1</v>
      </c>
      <c r="F3458" s="52"/>
      <c r="G3458" s="52"/>
      <c r="H3458" s="52"/>
      <c r="I3458" s="52"/>
      <c r="J3458" s="52"/>
      <c r="K3458" s="52"/>
      <c r="L3458" s="52"/>
      <c r="M3458" s="52"/>
      <c r="N3458" s="52"/>
      <c r="O3458" s="52"/>
      <c r="P3458" s="52"/>
      <c r="Q3458" s="52"/>
      <c r="R3458" s="52"/>
      <c r="S3458" s="52"/>
      <c r="T3458" s="52"/>
      <c r="U3458" s="52"/>
      <c r="V3458" s="52"/>
      <c r="W3458" s="52"/>
      <c r="X3458" s="52"/>
      <c r="Y3458" s="52"/>
      <c r="Z3458" s="52"/>
      <c r="AA3458" s="52"/>
      <c r="AB3458" s="52"/>
      <c r="AC3458" s="52"/>
      <c r="AD3458" s="52"/>
      <c r="AE3458" s="52"/>
      <c r="AF3458" s="52"/>
      <c r="AG3458" s="52"/>
      <c r="AH3458" s="52"/>
      <c r="AI3458" s="52"/>
      <c r="AJ3458" s="52"/>
      <c r="AK3458" s="52"/>
      <c r="AL3458" s="52"/>
      <c r="AM3458" s="52"/>
      <c r="AN3458" s="52"/>
    </row>
    <row r="3459" spans="1:40" x14ac:dyDescent="0.3">
      <c r="A3459" s="52">
        <v>3454</v>
      </c>
      <c r="B3459" s="52">
        <f>-bthan*500+(3+0.5)*bthan*1000/50</f>
        <v>-2365</v>
      </c>
      <c r="C3459" s="52">
        <f t="shared" si="318"/>
        <v>590</v>
      </c>
      <c r="D3459" s="52">
        <f t="shared" si="314"/>
        <v>2200</v>
      </c>
      <c r="E3459" s="52">
        <f t="shared" si="315"/>
        <v>1</v>
      </c>
      <c r="F3459" s="52"/>
      <c r="G3459" s="52"/>
      <c r="H3459" s="52"/>
      <c r="I3459" s="52"/>
      <c r="J3459" s="52"/>
      <c r="K3459" s="52"/>
      <c r="L3459" s="52"/>
      <c r="M3459" s="52"/>
      <c r="N3459" s="52"/>
      <c r="O3459" s="52"/>
      <c r="P3459" s="52"/>
      <c r="Q3459" s="52"/>
      <c r="R3459" s="52"/>
      <c r="S3459" s="52"/>
      <c r="T3459" s="52"/>
      <c r="U3459" s="52"/>
      <c r="V3459" s="52"/>
      <c r="W3459" s="52"/>
      <c r="X3459" s="52"/>
      <c r="Y3459" s="52"/>
      <c r="Z3459" s="52"/>
      <c r="AA3459" s="52"/>
      <c r="AB3459" s="52"/>
      <c r="AC3459" s="52"/>
      <c r="AD3459" s="52"/>
      <c r="AE3459" s="52"/>
      <c r="AF3459" s="52"/>
      <c r="AG3459" s="52"/>
      <c r="AH3459" s="52"/>
      <c r="AI3459" s="52"/>
      <c r="AJ3459" s="52"/>
      <c r="AK3459" s="52"/>
      <c r="AL3459" s="52"/>
      <c r="AM3459" s="52"/>
      <c r="AN3459" s="52"/>
    </row>
    <row r="3460" spans="1:40" x14ac:dyDescent="0.3">
      <c r="A3460" s="52">
        <v>3455</v>
      </c>
      <c r="B3460" s="52">
        <f>-bthan*500+(4+0.5)*bthan*1000/50</f>
        <v>-2255</v>
      </c>
      <c r="C3460" s="52">
        <f t="shared" si="318"/>
        <v>590</v>
      </c>
      <c r="D3460" s="52">
        <f t="shared" si="314"/>
        <v>2200</v>
      </c>
      <c r="E3460" s="52">
        <f t="shared" si="315"/>
        <v>1</v>
      </c>
      <c r="F3460" s="52"/>
      <c r="G3460" s="52"/>
      <c r="H3460" s="52"/>
      <c r="I3460" s="52"/>
      <c r="J3460" s="52"/>
      <c r="K3460" s="52"/>
      <c r="L3460" s="52"/>
      <c r="M3460" s="52"/>
      <c r="N3460" s="52"/>
      <c r="O3460" s="52"/>
      <c r="P3460" s="52"/>
      <c r="Q3460" s="52"/>
      <c r="R3460" s="52"/>
      <c r="S3460" s="52"/>
      <c r="T3460" s="52"/>
      <c r="U3460" s="52"/>
      <c r="V3460" s="52"/>
      <c r="W3460" s="52"/>
      <c r="X3460" s="52"/>
      <c r="Y3460" s="52"/>
      <c r="Z3460" s="52"/>
      <c r="AA3460" s="52"/>
      <c r="AB3460" s="52"/>
      <c r="AC3460" s="52"/>
      <c r="AD3460" s="52"/>
      <c r="AE3460" s="52"/>
      <c r="AF3460" s="52"/>
      <c r="AG3460" s="52"/>
      <c r="AH3460" s="52"/>
      <c r="AI3460" s="52"/>
      <c r="AJ3460" s="52"/>
      <c r="AK3460" s="52"/>
      <c r="AL3460" s="52"/>
      <c r="AM3460" s="52"/>
      <c r="AN3460" s="52"/>
    </row>
    <row r="3461" spans="1:40" x14ac:dyDescent="0.3">
      <c r="A3461" s="52">
        <v>3456</v>
      </c>
      <c r="B3461" s="52">
        <f>-bthan*500+(5+0.5)*bthan*1000/50</f>
        <v>-2145</v>
      </c>
      <c r="C3461" s="52">
        <f t="shared" si="318"/>
        <v>590</v>
      </c>
      <c r="D3461" s="52">
        <f t="shared" si="314"/>
        <v>2200</v>
      </c>
      <c r="E3461" s="52">
        <f t="shared" si="315"/>
        <v>1</v>
      </c>
      <c r="F3461" s="52"/>
      <c r="G3461" s="52"/>
      <c r="H3461" s="52"/>
      <c r="I3461" s="52"/>
      <c r="J3461" s="52"/>
      <c r="K3461" s="52"/>
      <c r="L3461" s="52"/>
      <c r="M3461" s="52"/>
      <c r="N3461" s="52"/>
      <c r="O3461" s="52"/>
      <c r="P3461" s="52"/>
      <c r="Q3461" s="52"/>
      <c r="R3461" s="52"/>
      <c r="S3461" s="52"/>
      <c r="T3461" s="52"/>
      <c r="U3461" s="52"/>
      <c r="V3461" s="52"/>
      <c r="W3461" s="52"/>
      <c r="X3461" s="52"/>
      <c r="Y3461" s="52"/>
      <c r="Z3461" s="52"/>
      <c r="AA3461" s="52"/>
      <c r="AB3461" s="52"/>
      <c r="AC3461" s="52"/>
      <c r="AD3461" s="52"/>
      <c r="AE3461" s="52"/>
      <c r="AF3461" s="52"/>
      <c r="AG3461" s="52"/>
      <c r="AH3461" s="52"/>
      <c r="AI3461" s="52"/>
      <c r="AJ3461" s="52"/>
      <c r="AK3461" s="52"/>
      <c r="AL3461" s="52"/>
      <c r="AM3461" s="52"/>
      <c r="AN3461" s="52"/>
    </row>
    <row r="3462" spans="1:40" x14ac:dyDescent="0.3">
      <c r="A3462" s="52">
        <v>3457</v>
      </c>
      <c r="B3462" s="52">
        <f>-bthan*500+(6+0.5)*bthan*1000/50</f>
        <v>-2035</v>
      </c>
      <c r="C3462" s="52">
        <f t="shared" si="318"/>
        <v>590</v>
      </c>
      <c r="D3462" s="52">
        <f t="shared" ref="D3462:D3525" si="319">bthan*1000/50*hthan*1000/80</f>
        <v>2200</v>
      </c>
      <c r="E3462" s="52">
        <f t="shared" ref="E3462:E3525" si="320">IF(shp=1,--(OR(ABS(B3462)&lt;=MAX(0,(bthan-hthan)*500),(ABS(B3462)-MAX(0,(bthan-hthan)*500))^2+C3462^2&lt;=(hthan*500)^2)),--(AND(ABS(B3462)&lt;=bthan*500,ABS(C3462)&lt;=hthan*500,OR(ABS(B3462)&lt;=bthan*500-cch*1000,ABS(C3462)&lt;=hthan*500-cch*1000,(bthan*500-ABS(B3462))+(hthan*500-ABS(C3462))&gt;=cch*1000))))</f>
        <v>1</v>
      </c>
      <c r="F3462" s="52"/>
      <c r="G3462" s="52"/>
      <c r="H3462" s="52"/>
      <c r="I3462" s="52"/>
      <c r="J3462" s="52"/>
      <c r="K3462" s="52"/>
      <c r="L3462" s="52"/>
      <c r="M3462" s="52"/>
      <c r="N3462" s="52"/>
      <c r="O3462" s="52"/>
      <c r="P3462" s="52"/>
      <c r="Q3462" s="52"/>
      <c r="R3462" s="52"/>
      <c r="S3462" s="52"/>
      <c r="T3462" s="52"/>
      <c r="U3462" s="52"/>
      <c r="V3462" s="52"/>
      <c r="W3462" s="52"/>
      <c r="X3462" s="52"/>
      <c r="Y3462" s="52"/>
      <c r="Z3462" s="52"/>
      <c r="AA3462" s="52"/>
      <c r="AB3462" s="52"/>
      <c r="AC3462" s="52"/>
      <c r="AD3462" s="52"/>
      <c r="AE3462" s="52"/>
      <c r="AF3462" s="52"/>
      <c r="AG3462" s="52"/>
      <c r="AH3462" s="52"/>
      <c r="AI3462" s="52"/>
      <c r="AJ3462" s="52"/>
      <c r="AK3462" s="52"/>
      <c r="AL3462" s="52"/>
      <c r="AM3462" s="52"/>
      <c r="AN3462" s="52"/>
    </row>
    <row r="3463" spans="1:40" x14ac:dyDescent="0.3">
      <c r="A3463" s="52">
        <v>3458</v>
      </c>
      <c r="B3463" s="52">
        <f>-bthan*500+(7+0.5)*bthan*1000/50</f>
        <v>-1925</v>
      </c>
      <c r="C3463" s="52">
        <f t="shared" si="318"/>
        <v>590</v>
      </c>
      <c r="D3463" s="52">
        <f t="shared" si="319"/>
        <v>2200</v>
      </c>
      <c r="E3463" s="52">
        <f t="shared" si="320"/>
        <v>1</v>
      </c>
      <c r="F3463" s="52"/>
      <c r="G3463" s="52"/>
      <c r="H3463" s="52"/>
      <c r="I3463" s="52"/>
      <c r="J3463" s="52"/>
      <c r="K3463" s="52"/>
      <c r="L3463" s="52"/>
      <c r="M3463" s="52"/>
      <c r="N3463" s="52"/>
      <c r="O3463" s="52"/>
      <c r="P3463" s="52"/>
      <c r="Q3463" s="52"/>
      <c r="R3463" s="52"/>
      <c r="S3463" s="52"/>
      <c r="T3463" s="52"/>
      <c r="U3463" s="52"/>
      <c r="V3463" s="52"/>
      <c r="W3463" s="52"/>
      <c r="X3463" s="52"/>
      <c r="Y3463" s="52"/>
      <c r="Z3463" s="52"/>
      <c r="AA3463" s="52"/>
      <c r="AB3463" s="52"/>
      <c r="AC3463" s="52"/>
      <c r="AD3463" s="52"/>
      <c r="AE3463" s="52"/>
      <c r="AF3463" s="52"/>
      <c r="AG3463" s="52"/>
      <c r="AH3463" s="52"/>
      <c r="AI3463" s="52"/>
      <c r="AJ3463" s="52"/>
      <c r="AK3463" s="52"/>
      <c r="AL3463" s="52"/>
      <c r="AM3463" s="52"/>
      <c r="AN3463" s="52"/>
    </row>
    <row r="3464" spans="1:40" x14ac:dyDescent="0.3">
      <c r="A3464" s="52">
        <v>3459</v>
      </c>
      <c r="B3464" s="52">
        <f>-bthan*500+(8+0.5)*bthan*1000/50</f>
        <v>-1815</v>
      </c>
      <c r="C3464" s="52">
        <f t="shared" si="318"/>
        <v>590</v>
      </c>
      <c r="D3464" s="52">
        <f t="shared" si="319"/>
        <v>2200</v>
      </c>
      <c r="E3464" s="52">
        <f t="shared" si="320"/>
        <v>1</v>
      </c>
      <c r="F3464" s="52"/>
      <c r="G3464" s="52"/>
      <c r="H3464" s="52"/>
      <c r="I3464" s="52"/>
      <c r="J3464" s="52"/>
      <c r="K3464" s="52"/>
      <c r="L3464" s="52"/>
      <c r="M3464" s="52"/>
      <c r="N3464" s="52"/>
      <c r="O3464" s="52"/>
      <c r="P3464" s="52"/>
      <c r="Q3464" s="52"/>
      <c r="R3464" s="52"/>
      <c r="S3464" s="52"/>
      <c r="T3464" s="52"/>
      <c r="U3464" s="52"/>
      <c r="V3464" s="52"/>
      <c r="W3464" s="52"/>
      <c r="X3464" s="52"/>
      <c r="Y3464" s="52"/>
      <c r="Z3464" s="52"/>
      <c r="AA3464" s="52"/>
      <c r="AB3464" s="52"/>
      <c r="AC3464" s="52"/>
      <c r="AD3464" s="52"/>
      <c r="AE3464" s="52"/>
      <c r="AF3464" s="52"/>
      <c r="AG3464" s="52"/>
      <c r="AH3464" s="52"/>
      <c r="AI3464" s="52"/>
      <c r="AJ3464" s="52"/>
      <c r="AK3464" s="52"/>
      <c r="AL3464" s="52"/>
      <c r="AM3464" s="52"/>
      <c r="AN3464" s="52"/>
    </row>
    <row r="3465" spans="1:40" x14ac:dyDescent="0.3">
      <c r="A3465" s="52">
        <v>3460</v>
      </c>
      <c r="B3465" s="52">
        <f>-bthan*500+(9+0.5)*bthan*1000/50</f>
        <v>-1705</v>
      </c>
      <c r="C3465" s="52">
        <f t="shared" si="318"/>
        <v>590</v>
      </c>
      <c r="D3465" s="52">
        <f t="shared" si="319"/>
        <v>2200</v>
      </c>
      <c r="E3465" s="52">
        <f t="shared" si="320"/>
        <v>1</v>
      </c>
      <c r="F3465" s="52"/>
      <c r="G3465" s="52"/>
      <c r="H3465" s="52"/>
      <c r="I3465" s="52"/>
      <c r="J3465" s="52"/>
      <c r="K3465" s="52"/>
      <c r="L3465" s="52"/>
      <c r="M3465" s="52"/>
      <c r="N3465" s="52"/>
      <c r="O3465" s="52"/>
      <c r="P3465" s="52"/>
      <c r="Q3465" s="52"/>
      <c r="R3465" s="52"/>
      <c r="S3465" s="52"/>
      <c r="T3465" s="52"/>
      <c r="U3465" s="52"/>
      <c r="V3465" s="52"/>
      <c r="W3465" s="52"/>
      <c r="X3465" s="52"/>
      <c r="Y3465" s="52"/>
      <c r="Z3465" s="52"/>
      <c r="AA3465" s="52"/>
      <c r="AB3465" s="52"/>
      <c r="AC3465" s="52"/>
      <c r="AD3465" s="52"/>
      <c r="AE3465" s="52"/>
      <c r="AF3465" s="52"/>
      <c r="AG3465" s="52"/>
      <c r="AH3465" s="52"/>
      <c r="AI3465" s="52"/>
      <c r="AJ3465" s="52"/>
      <c r="AK3465" s="52"/>
      <c r="AL3465" s="52"/>
      <c r="AM3465" s="52"/>
      <c r="AN3465" s="52"/>
    </row>
    <row r="3466" spans="1:40" x14ac:dyDescent="0.3">
      <c r="A3466" s="52">
        <v>3461</v>
      </c>
      <c r="B3466" s="52">
        <f>-bthan*500+(10+0.5)*bthan*1000/50</f>
        <v>-1595</v>
      </c>
      <c r="C3466" s="52">
        <f t="shared" si="318"/>
        <v>590</v>
      </c>
      <c r="D3466" s="52">
        <f t="shared" si="319"/>
        <v>2200</v>
      </c>
      <c r="E3466" s="52">
        <f t="shared" si="320"/>
        <v>1</v>
      </c>
      <c r="F3466" s="52"/>
      <c r="G3466" s="52"/>
      <c r="H3466" s="52"/>
      <c r="I3466" s="52"/>
      <c r="J3466" s="52"/>
      <c r="K3466" s="52"/>
      <c r="L3466" s="52"/>
      <c r="M3466" s="52"/>
      <c r="N3466" s="52"/>
      <c r="O3466" s="52"/>
      <c r="P3466" s="52"/>
      <c r="Q3466" s="52"/>
      <c r="R3466" s="52"/>
      <c r="S3466" s="52"/>
      <c r="T3466" s="52"/>
      <c r="U3466" s="52"/>
      <c r="V3466" s="52"/>
      <c r="W3466" s="52"/>
      <c r="X3466" s="52"/>
      <c r="Y3466" s="52"/>
      <c r="Z3466" s="52"/>
      <c r="AA3466" s="52"/>
      <c r="AB3466" s="52"/>
      <c r="AC3466" s="52"/>
      <c r="AD3466" s="52"/>
      <c r="AE3466" s="52"/>
      <c r="AF3466" s="52"/>
      <c r="AG3466" s="52"/>
      <c r="AH3466" s="52"/>
      <c r="AI3466" s="52"/>
      <c r="AJ3466" s="52"/>
      <c r="AK3466" s="52"/>
      <c r="AL3466" s="52"/>
      <c r="AM3466" s="52"/>
      <c r="AN3466" s="52"/>
    </row>
    <row r="3467" spans="1:40" x14ac:dyDescent="0.3">
      <c r="A3467" s="52">
        <v>3462</v>
      </c>
      <c r="B3467" s="52">
        <f>-bthan*500+(11+0.5)*bthan*1000/50</f>
        <v>-1485</v>
      </c>
      <c r="C3467" s="52">
        <f t="shared" si="318"/>
        <v>590</v>
      </c>
      <c r="D3467" s="52">
        <f t="shared" si="319"/>
        <v>2200</v>
      </c>
      <c r="E3467" s="52">
        <f t="shared" si="320"/>
        <v>1</v>
      </c>
      <c r="F3467" s="52"/>
      <c r="G3467" s="52"/>
      <c r="H3467" s="52"/>
      <c r="I3467" s="52"/>
      <c r="J3467" s="52"/>
      <c r="K3467" s="52"/>
      <c r="L3467" s="52"/>
      <c r="M3467" s="52"/>
      <c r="N3467" s="52"/>
      <c r="O3467" s="52"/>
      <c r="P3467" s="52"/>
      <c r="Q3467" s="52"/>
      <c r="R3467" s="52"/>
      <c r="S3467" s="52"/>
      <c r="T3467" s="52"/>
      <c r="U3467" s="52"/>
      <c r="V3467" s="52"/>
      <c r="W3467" s="52"/>
      <c r="X3467" s="52"/>
      <c r="Y3467" s="52"/>
      <c r="Z3467" s="52"/>
      <c r="AA3467" s="52"/>
      <c r="AB3467" s="52"/>
      <c r="AC3467" s="52"/>
      <c r="AD3467" s="52"/>
      <c r="AE3467" s="52"/>
      <c r="AF3467" s="52"/>
      <c r="AG3467" s="52"/>
      <c r="AH3467" s="52"/>
      <c r="AI3467" s="52"/>
      <c r="AJ3467" s="52"/>
      <c r="AK3467" s="52"/>
      <c r="AL3467" s="52"/>
      <c r="AM3467" s="52"/>
      <c r="AN3467" s="52"/>
    </row>
    <row r="3468" spans="1:40" x14ac:dyDescent="0.3">
      <c r="A3468" s="52">
        <v>3463</v>
      </c>
      <c r="B3468" s="52">
        <f>-bthan*500+(12+0.5)*bthan*1000/50</f>
        <v>-1375</v>
      </c>
      <c r="C3468" s="52">
        <f t="shared" si="318"/>
        <v>590</v>
      </c>
      <c r="D3468" s="52">
        <f t="shared" si="319"/>
        <v>2200</v>
      </c>
      <c r="E3468" s="52">
        <f t="shared" si="320"/>
        <v>1</v>
      </c>
      <c r="F3468" s="52"/>
      <c r="G3468" s="52"/>
      <c r="H3468" s="52"/>
      <c r="I3468" s="52"/>
      <c r="J3468" s="52"/>
      <c r="K3468" s="52"/>
      <c r="L3468" s="52"/>
      <c r="M3468" s="52"/>
      <c r="N3468" s="52"/>
      <c r="O3468" s="52"/>
      <c r="P3468" s="52"/>
      <c r="Q3468" s="52"/>
      <c r="R3468" s="52"/>
      <c r="S3468" s="52"/>
      <c r="T3468" s="52"/>
      <c r="U3468" s="52"/>
      <c r="V3468" s="52"/>
      <c r="W3468" s="52"/>
      <c r="X3468" s="52"/>
      <c r="Y3468" s="52"/>
      <c r="Z3468" s="52"/>
      <c r="AA3468" s="52"/>
      <c r="AB3468" s="52"/>
      <c r="AC3468" s="52"/>
      <c r="AD3468" s="52"/>
      <c r="AE3468" s="52"/>
      <c r="AF3468" s="52"/>
      <c r="AG3468" s="52"/>
      <c r="AH3468" s="52"/>
      <c r="AI3468" s="52"/>
      <c r="AJ3468" s="52"/>
      <c r="AK3468" s="52"/>
      <c r="AL3468" s="52"/>
      <c r="AM3468" s="52"/>
      <c r="AN3468" s="52"/>
    </row>
    <row r="3469" spans="1:40" x14ac:dyDescent="0.3">
      <c r="A3469" s="52">
        <v>3464</v>
      </c>
      <c r="B3469" s="52">
        <f>-bthan*500+(13+0.5)*bthan*1000/50</f>
        <v>-1265</v>
      </c>
      <c r="C3469" s="52">
        <f t="shared" si="318"/>
        <v>590</v>
      </c>
      <c r="D3469" s="52">
        <f t="shared" si="319"/>
        <v>2200</v>
      </c>
      <c r="E3469" s="52">
        <f t="shared" si="320"/>
        <v>1</v>
      </c>
      <c r="F3469" s="52"/>
      <c r="G3469" s="52"/>
      <c r="H3469" s="52"/>
      <c r="I3469" s="52"/>
      <c r="J3469" s="52"/>
      <c r="K3469" s="52"/>
      <c r="L3469" s="52"/>
      <c r="M3469" s="52"/>
      <c r="N3469" s="52"/>
      <c r="O3469" s="52"/>
      <c r="P3469" s="52"/>
      <c r="Q3469" s="52"/>
      <c r="R3469" s="52"/>
      <c r="S3469" s="52"/>
      <c r="T3469" s="52"/>
      <c r="U3469" s="52"/>
      <c r="V3469" s="52"/>
      <c r="W3469" s="52"/>
      <c r="X3469" s="52"/>
      <c r="Y3469" s="52"/>
      <c r="Z3469" s="52"/>
      <c r="AA3469" s="52"/>
      <c r="AB3469" s="52"/>
      <c r="AC3469" s="52"/>
      <c r="AD3469" s="52"/>
      <c r="AE3469" s="52"/>
      <c r="AF3469" s="52"/>
      <c r="AG3469" s="52"/>
      <c r="AH3469" s="52"/>
      <c r="AI3469" s="52"/>
      <c r="AJ3469" s="52"/>
      <c r="AK3469" s="52"/>
      <c r="AL3469" s="52"/>
      <c r="AM3469" s="52"/>
      <c r="AN3469" s="52"/>
    </row>
    <row r="3470" spans="1:40" x14ac:dyDescent="0.3">
      <c r="A3470" s="52">
        <v>3465</v>
      </c>
      <c r="B3470" s="52">
        <f>-bthan*500+(14+0.5)*bthan*1000/50</f>
        <v>-1155</v>
      </c>
      <c r="C3470" s="52">
        <f t="shared" si="318"/>
        <v>590</v>
      </c>
      <c r="D3470" s="52">
        <f t="shared" si="319"/>
        <v>2200</v>
      </c>
      <c r="E3470" s="52">
        <f t="shared" si="320"/>
        <v>1</v>
      </c>
      <c r="F3470" s="52"/>
      <c r="G3470" s="52"/>
      <c r="H3470" s="52"/>
      <c r="I3470" s="52"/>
      <c r="J3470" s="52"/>
      <c r="K3470" s="52"/>
      <c r="L3470" s="52"/>
      <c r="M3470" s="52"/>
      <c r="N3470" s="52"/>
      <c r="O3470" s="52"/>
      <c r="P3470" s="52"/>
      <c r="Q3470" s="52"/>
      <c r="R3470" s="52"/>
      <c r="S3470" s="52"/>
      <c r="T3470" s="52"/>
      <c r="U3470" s="52"/>
      <c r="V3470" s="52"/>
      <c r="W3470" s="52"/>
      <c r="X3470" s="52"/>
      <c r="Y3470" s="52"/>
      <c r="Z3470" s="52"/>
      <c r="AA3470" s="52"/>
      <c r="AB3470" s="52"/>
      <c r="AC3470" s="52"/>
      <c r="AD3470" s="52"/>
      <c r="AE3470" s="52"/>
      <c r="AF3470" s="52"/>
      <c r="AG3470" s="52"/>
      <c r="AH3470" s="52"/>
      <c r="AI3470" s="52"/>
      <c r="AJ3470" s="52"/>
      <c r="AK3470" s="52"/>
      <c r="AL3470" s="52"/>
      <c r="AM3470" s="52"/>
      <c r="AN3470" s="52"/>
    </row>
    <row r="3471" spans="1:40" x14ac:dyDescent="0.3">
      <c r="A3471" s="52">
        <v>3466</v>
      </c>
      <c r="B3471" s="52">
        <f>-bthan*500+(15+0.5)*bthan*1000/50</f>
        <v>-1045</v>
      </c>
      <c r="C3471" s="52">
        <f t="shared" si="318"/>
        <v>590</v>
      </c>
      <c r="D3471" s="52">
        <f t="shared" si="319"/>
        <v>2200</v>
      </c>
      <c r="E3471" s="52">
        <f t="shared" si="320"/>
        <v>1</v>
      </c>
      <c r="F3471" s="52"/>
      <c r="G3471" s="52"/>
      <c r="H3471" s="52"/>
      <c r="I3471" s="52"/>
      <c r="J3471" s="52"/>
      <c r="K3471" s="52"/>
      <c r="L3471" s="52"/>
      <c r="M3471" s="52"/>
      <c r="N3471" s="52"/>
      <c r="O3471" s="52"/>
      <c r="P3471" s="52"/>
      <c r="Q3471" s="52"/>
      <c r="R3471" s="52"/>
      <c r="S3471" s="52"/>
      <c r="T3471" s="52"/>
      <c r="U3471" s="52"/>
      <c r="V3471" s="52"/>
      <c r="W3471" s="52"/>
      <c r="X3471" s="52"/>
      <c r="Y3471" s="52"/>
      <c r="Z3471" s="52"/>
      <c r="AA3471" s="52"/>
      <c r="AB3471" s="52"/>
      <c r="AC3471" s="52"/>
      <c r="AD3471" s="52"/>
      <c r="AE3471" s="52"/>
      <c r="AF3471" s="52"/>
      <c r="AG3471" s="52"/>
      <c r="AH3471" s="52"/>
      <c r="AI3471" s="52"/>
      <c r="AJ3471" s="52"/>
      <c r="AK3471" s="52"/>
      <c r="AL3471" s="52"/>
      <c r="AM3471" s="52"/>
      <c r="AN3471" s="52"/>
    </row>
    <row r="3472" spans="1:40" x14ac:dyDescent="0.3">
      <c r="A3472" s="52">
        <v>3467</v>
      </c>
      <c r="B3472" s="52">
        <f>-bthan*500+(16+0.5)*bthan*1000/50</f>
        <v>-935</v>
      </c>
      <c r="C3472" s="52">
        <f t="shared" si="318"/>
        <v>590</v>
      </c>
      <c r="D3472" s="52">
        <f t="shared" si="319"/>
        <v>2200</v>
      </c>
      <c r="E3472" s="52">
        <f t="shared" si="320"/>
        <v>1</v>
      </c>
      <c r="F3472" s="52"/>
      <c r="G3472" s="52"/>
      <c r="H3472" s="52"/>
      <c r="I3472" s="52"/>
      <c r="J3472" s="52"/>
      <c r="K3472" s="52"/>
      <c r="L3472" s="52"/>
      <c r="M3472" s="52"/>
      <c r="N3472" s="52"/>
      <c r="O3472" s="52"/>
      <c r="P3472" s="52"/>
      <c r="Q3472" s="52"/>
      <c r="R3472" s="52"/>
      <c r="S3472" s="52"/>
      <c r="T3472" s="52"/>
      <c r="U3472" s="52"/>
      <c r="V3472" s="52"/>
      <c r="W3472" s="52"/>
      <c r="X3472" s="52"/>
      <c r="Y3472" s="52"/>
      <c r="Z3472" s="52"/>
      <c r="AA3472" s="52"/>
      <c r="AB3472" s="52"/>
      <c r="AC3472" s="52"/>
      <c r="AD3472" s="52"/>
      <c r="AE3472" s="52"/>
      <c r="AF3472" s="52"/>
      <c r="AG3472" s="52"/>
      <c r="AH3472" s="52"/>
      <c r="AI3472" s="52"/>
      <c r="AJ3472" s="52"/>
      <c r="AK3472" s="52"/>
      <c r="AL3472" s="52"/>
      <c r="AM3472" s="52"/>
      <c r="AN3472" s="52"/>
    </row>
    <row r="3473" spans="1:40" x14ac:dyDescent="0.3">
      <c r="A3473" s="52">
        <v>3468</v>
      </c>
      <c r="B3473" s="52">
        <f>-bthan*500+(17+0.5)*bthan*1000/50</f>
        <v>-825</v>
      </c>
      <c r="C3473" s="52">
        <f t="shared" si="318"/>
        <v>590</v>
      </c>
      <c r="D3473" s="52">
        <f t="shared" si="319"/>
        <v>2200</v>
      </c>
      <c r="E3473" s="52">
        <f t="shared" si="320"/>
        <v>1</v>
      </c>
      <c r="F3473" s="52"/>
      <c r="G3473" s="52"/>
      <c r="H3473" s="52"/>
      <c r="I3473" s="52"/>
      <c r="J3473" s="52"/>
      <c r="K3473" s="52"/>
      <c r="L3473" s="52"/>
      <c r="M3473" s="52"/>
      <c r="N3473" s="52"/>
      <c r="O3473" s="52"/>
      <c r="P3473" s="52"/>
      <c r="Q3473" s="52"/>
      <c r="R3473" s="52"/>
      <c r="S3473" s="52"/>
      <c r="T3473" s="52"/>
      <c r="U3473" s="52"/>
      <c r="V3473" s="52"/>
      <c r="W3473" s="52"/>
      <c r="X3473" s="52"/>
      <c r="Y3473" s="52"/>
      <c r="Z3473" s="52"/>
      <c r="AA3473" s="52"/>
      <c r="AB3473" s="52"/>
      <c r="AC3473" s="52"/>
      <c r="AD3473" s="52"/>
      <c r="AE3473" s="52"/>
      <c r="AF3473" s="52"/>
      <c r="AG3473" s="52"/>
      <c r="AH3473" s="52"/>
      <c r="AI3473" s="52"/>
      <c r="AJ3473" s="52"/>
      <c r="AK3473" s="52"/>
      <c r="AL3473" s="52"/>
      <c r="AM3473" s="52"/>
      <c r="AN3473" s="52"/>
    </row>
    <row r="3474" spans="1:40" x14ac:dyDescent="0.3">
      <c r="A3474" s="52">
        <v>3469</v>
      </c>
      <c r="B3474" s="52">
        <f>-bthan*500+(18+0.5)*bthan*1000/50</f>
        <v>-715</v>
      </c>
      <c r="C3474" s="52">
        <f t="shared" si="318"/>
        <v>590</v>
      </c>
      <c r="D3474" s="52">
        <f t="shared" si="319"/>
        <v>2200</v>
      </c>
      <c r="E3474" s="52">
        <f t="shared" si="320"/>
        <v>1</v>
      </c>
      <c r="F3474" s="52"/>
      <c r="G3474" s="52"/>
      <c r="H3474" s="52"/>
      <c r="I3474" s="52"/>
      <c r="J3474" s="52"/>
      <c r="K3474" s="52"/>
      <c r="L3474" s="52"/>
      <c r="M3474" s="52"/>
      <c r="N3474" s="52"/>
      <c r="O3474" s="52"/>
      <c r="P3474" s="52"/>
      <c r="Q3474" s="52"/>
      <c r="R3474" s="52"/>
      <c r="S3474" s="52"/>
      <c r="T3474" s="52"/>
      <c r="U3474" s="52"/>
      <c r="V3474" s="52"/>
      <c r="W3474" s="52"/>
      <c r="X3474" s="52"/>
      <c r="Y3474" s="52"/>
      <c r="Z3474" s="52"/>
      <c r="AA3474" s="52"/>
      <c r="AB3474" s="52"/>
      <c r="AC3474" s="52"/>
      <c r="AD3474" s="52"/>
      <c r="AE3474" s="52"/>
      <c r="AF3474" s="52"/>
      <c r="AG3474" s="52"/>
      <c r="AH3474" s="52"/>
      <c r="AI3474" s="52"/>
      <c r="AJ3474" s="52"/>
      <c r="AK3474" s="52"/>
      <c r="AL3474" s="52"/>
      <c r="AM3474" s="52"/>
      <c r="AN3474" s="52"/>
    </row>
    <row r="3475" spans="1:40" x14ac:dyDescent="0.3">
      <c r="A3475" s="52">
        <v>3470</v>
      </c>
      <c r="B3475" s="52">
        <f>-bthan*500+(19+0.5)*bthan*1000/50</f>
        <v>-605</v>
      </c>
      <c r="C3475" s="52">
        <f t="shared" si="318"/>
        <v>590</v>
      </c>
      <c r="D3475" s="52">
        <f t="shared" si="319"/>
        <v>2200</v>
      </c>
      <c r="E3475" s="52">
        <f t="shared" si="320"/>
        <v>1</v>
      </c>
      <c r="F3475" s="52"/>
      <c r="G3475" s="52"/>
      <c r="H3475" s="52"/>
      <c r="I3475" s="52"/>
      <c r="J3475" s="52"/>
      <c r="K3475" s="52"/>
      <c r="L3475" s="52"/>
      <c r="M3475" s="52"/>
      <c r="N3475" s="52"/>
      <c r="O3475" s="52"/>
      <c r="P3475" s="52"/>
      <c r="Q3475" s="52"/>
      <c r="R3475" s="52"/>
      <c r="S3475" s="52"/>
      <c r="T3475" s="52"/>
      <c r="U3475" s="52"/>
      <c r="V3475" s="52"/>
      <c r="W3475" s="52"/>
      <c r="X3475" s="52"/>
      <c r="Y3475" s="52"/>
      <c r="Z3475" s="52"/>
      <c r="AA3475" s="52"/>
      <c r="AB3475" s="52"/>
      <c r="AC3475" s="52"/>
      <c r="AD3475" s="52"/>
      <c r="AE3475" s="52"/>
      <c r="AF3475" s="52"/>
      <c r="AG3475" s="52"/>
      <c r="AH3475" s="52"/>
      <c r="AI3475" s="52"/>
      <c r="AJ3475" s="52"/>
      <c r="AK3475" s="52"/>
      <c r="AL3475" s="52"/>
      <c r="AM3475" s="52"/>
      <c r="AN3475" s="52"/>
    </row>
    <row r="3476" spans="1:40" x14ac:dyDescent="0.3">
      <c r="A3476" s="52">
        <v>3471</v>
      </c>
      <c r="B3476" s="52">
        <f>-bthan*500+(20+0.5)*bthan*1000/50</f>
        <v>-495</v>
      </c>
      <c r="C3476" s="52">
        <f t="shared" si="318"/>
        <v>590</v>
      </c>
      <c r="D3476" s="52">
        <f t="shared" si="319"/>
        <v>2200</v>
      </c>
      <c r="E3476" s="52">
        <f t="shared" si="320"/>
        <v>1</v>
      </c>
      <c r="F3476" s="52"/>
      <c r="G3476" s="52"/>
      <c r="H3476" s="52"/>
      <c r="I3476" s="52"/>
      <c r="J3476" s="52"/>
      <c r="K3476" s="52"/>
      <c r="L3476" s="52"/>
      <c r="M3476" s="52"/>
      <c r="N3476" s="52"/>
      <c r="O3476" s="52"/>
      <c r="P3476" s="52"/>
      <c r="Q3476" s="52"/>
      <c r="R3476" s="52"/>
      <c r="S3476" s="52"/>
      <c r="T3476" s="52"/>
      <c r="U3476" s="52"/>
      <c r="V3476" s="52"/>
      <c r="W3476" s="52"/>
      <c r="X3476" s="52"/>
      <c r="Y3476" s="52"/>
      <c r="Z3476" s="52"/>
      <c r="AA3476" s="52"/>
      <c r="AB3476" s="52"/>
      <c r="AC3476" s="52"/>
      <c r="AD3476" s="52"/>
      <c r="AE3476" s="52"/>
      <c r="AF3476" s="52"/>
      <c r="AG3476" s="52"/>
      <c r="AH3476" s="52"/>
      <c r="AI3476" s="52"/>
      <c r="AJ3476" s="52"/>
      <c r="AK3476" s="52"/>
      <c r="AL3476" s="52"/>
      <c r="AM3476" s="52"/>
      <c r="AN3476" s="52"/>
    </row>
    <row r="3477" spans="1:40" x14ac:dyDescent="0.3">
      <c r="A3477" s="52">
        <v>3472</v>
      </c>
      <c r="B3477" s="52">
        <f>-bthan*500+(21+0.5)*bthan*1000/50</f>
        <v>-385</v>
      </c>
      <c r="C3477" s="52">
        <f t="shared" si="318"/>
        <v>590</v>
      </c>
      <c r="D3477" s="52">
        <f t="shared" si="319"/>
        <v>2200</v>
      </c>
      <c r="E3477" s="52">
        <f t="shared" si="320"/>
        <v>1</v>
      </c>
      <c r="F3477" s="52"/>
      <c r="G3477" s="52"/>
      <c r="H3477" s="52"/>
      <c r="I3477" s="52"/>
      <c r="J3477" s="52"/>
      <c r="K3477" s="52"/>
      <c r="L3477" s="52"/>
      <c r="M3477" s="52"/>
      <c r="N3477" s="52"/>
      <c r="O3477" s="52"/>
      <c r="P3477" s="52"/>
      <c r="Q3477" s="52"/>
      <c r="R3477" s="52"/>
      <c r="S3477" s="52"/>
      <c r="T3477" s="52"/>
      <c r="U3477" s="52"/>
      <c r="V3477" s="52"/>
      <c r="W3477" s="52"/>
      <c r="X3477" s="52"/>
      <c r="Y3477" s="52"/>
      <c r="Z3477" s="52"/>
      <c r="AA3477" s="52"/>
      <c r="AB3477" s="52"/>
      <c r="AC3477" s="52"/>
      <c r="AD3477" s="52"/>
      <c r="AE3477" s="52"/>
      <c r="AF3477" s="52"/>
      <c r="AG3477" s="52"/>
      <c r="AH3477" s="52"/>
      <c r="AI3477" s="52"/>
      <c r="AJ3477" s="52"/>
      <c r="AK3477" s="52"/>
      <c r="AL3477" s="52"/>
      <c r="AM3477" s="52"/>
      <c r="AN3477" s="52"/>
    </row>
    <row r="3478" spans="1:40" x14ac:dyDescent="0.3">
      <c r="A3478" s="52">
        <v>3473</v>
      </c>
      <c r="B3478" s="52">
        <f>-bthan*500+(22+0.5)*bthan*1000/50</f>
        <v>-275</v>
      </c>
      <c r="C3478" s="52">
        <f t="shared" si="318"/>
        <v>590</v>
      </c>
      <c r="D3478" s="52">
        <f t="shared" si="319"/>
        <v>2200</v>
      </c>
      <c r="E3478" s="52">
        <f t="shared" si="320"/>
        <v>1</v>
      </c>
      <c r="F3478" s="52"/>
      <c r="G3478" s="52"/>
      <c r="H3478" s="52"/>
      <c r="I3478" s="52"/>
      <c r="J3478" s="52"/>
      <c r="K3478" s="52"/>
      <c r="L3478" s="52"/>
      <c r="M3478" s="52"/>
      <c r="N3478" s="52"/>
      <c r="O3478" s="52"/>
      <c r="P3478" s="52"/>
      <c r="Q3478" s="52"/>
      <c r="R3478" s="52"/>
      <c r="S3478" s="52"/>
      <c r="T3478" s="52"/>
      <c r="U3478" s="52"/>
      <c r="V3478" s="52"/>
      <c r="W3478" s="52"/>
      <c r="X3478" s="52"/>
      <c r="Y3478" s="52"/>
      <c r="Z3478" s="52"/>
      <c r="AA3478" s="52"/>
      <c r="AB3478" s="52"/>
      <c r="AC3478" s="52"/>
      <c r="AD3478" s="52"/>
      <c r="AE3478" s="52"/>
      <c r="AF3478" s="52"/>
      <c r="AG3478" s="52"/>
      <c r="AH3478" s="52"/>
      <c r="AI3478" s="52"/>
      <c r="AJ3478" s="52"/>
      <c r="AK3478" s="52"/>
      <c r="AL3478" s="52"/>
      <c r="AM3478" s="52"/>
      <c r="AN3478" s="52"/>
    </row>
    <row r="3479" spans="1:40" x14ac:dyDescent="0.3">
      <c r="A3479" s="52">
        <v>3474</v>
      </c>
      <c r="B3479" s="52">
        <f>-bthan*500+(23+0.5)*bthan*1000/50</f>
        <v>-165</v>
      </c>
      <c r="C3479" s="52">
        <f t="shared" si="318"/>
        <v>590</v>
      </c>
      <c r="D3479" s="52">
        <f t="shared" si="319"/>
        <v>2200</v>
      </c>
      <c r="E3479" s="52">
        <f t="shared" si="320"/>
        <v>1</v>
      </c>
      <c r="F3479" s="52"/>
      <c r="G3479" s="52"/>
      <c r="H3479" s="52"/>
      <c r="I3479" s="52"/>
      <c r="J3479" s="52"/>
      <c r="K3479" s="52"/>
      <c r="L3479" s="52"/>
      <c r="M3479" s="52"/>
      <c r="N3479" s="52"/>
      <c r="O3479" s="52"/>
      <c r="P3479" s="52"/>
      <c r="Q3479" s="52"/>
      <c r="R3479" s="52"/>
      <c r="S3479" s="52"/>
      <c r="T3479" s="52"/>
      <c r="U3479" s="52"/>
      <c r="V3479" s="52"/>
      <c r="W3479" s="52"/>
      <c r="X3479" s="52"/>
      <c r="Y3479" s="52"/>
      <c r="Z3479" s="52"/>
      <c r="AA3479" s="52"/>
      <c r="AB3479" s="52"/>
      <c r="AC3479" s="52"/>
      <c r="AD3479" s="52"/>
      <c r="AE3479" s="52"/>
      <c r="AF3479" s="52"/>
      <c r="AG3479" s="52"/>
      <c r="AH3479" s="52"/>
      <c r="AI3479" s="52"/>
      <c r="AJ3479" s="52"/>
      <c r="AK3479" s="52"/>
      <c r="AL3479" s="52"/>
      <c r="AM3479" s="52"/>
      <c r="AN3479" s="52"/>
    </row>
    <row r="3480" spans="1:40" x14ac:dyDescent="0.3">
      <c r="A3480" s="52">
        <v>3475</v>
      </c>
      <c r="B3480" s="52">
        <f>-bthan*500+(24+0.5)*bthan*1000/50</f>
        <v>-55</v>
      </c>
      <c r="C3480" s="52">
        <f t="shared" si="318"/>
        <v>590</v>
      </c>
      <c r="D3480" s="52">
        <f t="shared" si="319"/>
        <v>2200</v>
      </c>
      <c r="E3480" s="52">
        <f t="shared" si="320"/>
        <v>1</v>
      </c>
      <c r="F3480" s="52"/>
      <c r="G3480" s="52"/>
      <c r="H3480" s="52"/>
      <c r="I3480" s="52"/>
      <c r="J3480" s="52"/>
      <c r="K3480" s="52"/>
      <c r="L3480" s="52"/>
      <c r="M3480" s="52"/>
      <c r="N3480" s="52"/>
      <c r="O3480" s="52"/>
      <c r="P3480" s="52"/>
      <c r="Q3480" s="52"/>
      <c r="R3480" s="52"/>
      <c r="S3480" s="52"/>
      <c r="T3480" s="52"/>
      <c r="U3480" s="52"/>
      <c r="V3480" s="52"/>
      <c r="W3480" s="52"/>
      <c r="X3480" s="52"/>
      <c r="Y3480" s="52"/>
      <c r="Z3480" s="52"/>
      <c r="AA3480" s="52"/>
      <c r="AB3480" s="52"/>
      <c r="AC3480" s="52"/>
      <c r="AD3480" s="52"/>
      <c r="AE3480" s="52"/>
      <c r="AF3480" s="52"/>
      <c r="AG3480" s="52"/>
      <c r="AH3480" s="52"/>
      <c r="AI3480" s="52"/>
      <c r="AJ3480" s="52"/>
      <c r="AK3480" s="52"/>
      <c r="AL3480" s="52"/>
      <c r="AM3480" s="52"/>
      <c r="AN3480" s="52"/>
    </row>
    <row r="3481" spans="1:40" x14ac:dyDescent="0.3">
      <c r="A3481" s="52">
        <v>3476</v>
      </c>
      <c r="B3481" s="52">
        <f>-bthan*500+(25+0.5)*bthan*1000/50</f>
        <v>55</v>
      </c>
      <c r="C3481" s="52">
        <f t="shared" si="318"/>
        <v>590</v>
      </c>
      <c r="D3481" s="52">
        <f t="shared" si="319"/>
        <v>2200</v>
      </c>
      <c r="E3481" s="52">
        <f t="shared" si="320"/>
        <v>1</v>
      </c>
      <c r="F3481" s="52"/>
      <c r="G3481" s="52"/>
      <c r="H3481" s="52"/>
      <c r="I3481" s="52"/>
      <c r="J3481" s="52"/>
      <c r="K3481" s="52"/>
      <c r="L3481" s="52"/>
      <c r="M3481" s="52"/>
      <c r="N3481" s="52"/>
      <c r="O3481" s="52"/>
      <c r="P3481" s="52"/>
      <c r="Q3481" s="52"/>
      <c r="R3481" s="52"/>
      <c r="S3481" s="52"/>
      <c r="T3481" s="52"/>
      <c r="U3481" s="52"/>
      <c r="V3481" s="52"/>
      <c r="W3481" s="52"/>
      <c r="X3481" s="52"/>
      <c r="Y3481" s="52"/>
      <c r="Z3481" s="52"/>
      <c r="AA3481" s="52"/>
      <c r="AB3481" s="52"/>
      <c r="AC3481" s="52"/>
      <c r="AD3481" s="52"/>
      <c r="AE3481" s="52"/>
      <c r="AF3481" s="52"/>
      <c r="AG3481" s="52"/>
      <c r="AH3481" s="52"/>
      <c r="AI3481" s="52"/>
      <c r="AJ3481" s="52"/>
      <c r="AK3481" s="52"/>
      <c r="AL3481" s="52"/>
      <c r="AM3481" s="52"/>
      <c r="AN3481" s="52"/>
    </row>
    <row r="3482" spans="1:40" x14ac:dyDescent="0.3">
      <c r="A3482" s="52">
        <v>3477</v>
      </c>
      <c r="B3482" s="52">
        <f>-bthan*500+(26+0.5)*bthan*1000/50</f>
        <v>165</v>
      </c>
      <c r="C3482" s="52">
        <f t="shared" si="318"/>
        <v>590</v>
      </c>
      <c r="D3482" s="52">
        <f t="shared" si="319"/>
        <v>2200</v>
      </c>
      <c r="E3482" s="52">
        <f t="shared" si="320"/>
        <v>1</v>
      </c>
      <c r="F3482" s="52"/>
      <c r="G3482" s="52"/>
      <c r="H3482" s="52"/>
      <c r="I3482" s="52"/>
      <c r="J3482" s="52"/>
      <c r="K3482" s="52"/>
      <c r="L3482" s="52"/>
      <c r="M3482" s="52"/>
      <c r="N3482" s="52"/>
      <c r="O3482" s="52"/>
      <c r="P3482" s="52"/>
      <c r="Q3482" s="52"/>
      <c r="R3482" s="52"/>
      <c r="S3482" s="52"/>
      <c r="T3482" s="52"/>
      <c r="U3482" s="52"/>
      <c r="V3482" s="52"/>
      <c r="W3482" s="52"/>
      <c r="X3482" s="52"/>
      <c r="Y3482" s="52"/>
      <c r="Z3482" s="52"/>
      <c r="AA3482" s="52"/>
      <c r="AB3482" s="52"/>
      <c r="AC3482" s="52"/>
      <c r="AD3482" s="52"/>
      <c r="AE3482" s="52"/>
      <c r="AF3482" s="52"/>
      <c r="AG3482" s="52"/>
      <c r="AH3482" s="52"/>
      <c r="AI3482" s="52"/>
      <c r="AJ3482" s="52"/>
      <c r="AK3482" s="52"/>
      <c r="AL3482" s="52"/>
      <c r="AM3482" s="52"/>
      <c r="AN3482" s="52"/>
    </row>
    <row r="3483" spans="1:40" x14ac:dyDescent="0.3">
      <c r="A3483" s="52">
        <v>3478</v>
      </c>
      <c r="B3483" s="52">
        <f>-bthan*500+(27+0.5)*bthan*1000/50</f>
        <v>275</v>
      </c>
      <c r="C3483" s="52">
        <f t="shared" si="318"/>
        <v>590</v>
      </c>
      <c r="D3483" s="52">
        <f t="shared" si="319"/>
        <v>2200</v>
      </c>
      <c r="E3483" s="52">
        <f t="shared" si="320"/>
        <v>1</v>
      </c>
      <c r="F3483" s="52"/>
      <c r="G3483" s="52"/>
      <c r="H3483" s="52"/>
      <c r="I3483" s="52"/>
      <c r="J3483" s="52"/>
      <c r="K3483" s="52"/>
      <c r="L3483" s="52"/>
      <c r="M3483" s="52"/>
      <c r="N3483" s="52"/>
      <c r="O3483" s="52"/>
      <c r="P3483" s="52"/>
      <c r="Q3483" s="52"/>
      <c r="R3483" s="52"/>
      <c r="S3483" s="52"/>
      <c r="T3483" s="52"/>
      <c r="U3483" s="52"/>
      <c r="V3483" s="52"/>
      <c r="W3483" s="52"/>
      <c r="X3483" s="52"/>
      <c r="Y3483" s="52"/>
      <c r="Z3483" s="52"/>
      <c r="AA3483" s="52"/>
      <c r="AB3483" s="52"/>
      <c r="AC3483" s="52"/>
      <c r="AD3483" s="52"/>
      <c r="AE3483" s="52"/>
      <c r="AF3483" s="52"/>
      <c r="AG3483" s="52"/>
      <c r="AH3483" s="52"/>
      <c r="AI3483" s="52"/>
      <c r="AJ3483" s="52"/>
      <c r="AK3483" s="52"/>
      <c r="AL3483" s="52"/>
      <c r="AM3483" s="52"/>
      <c r="AN3483" s="52"/>
    </row>
    <row r="3484" spans="1:40" x14ac:dyDescent="0.3">
      <c r="A3484" s="52">
        <v>3479</v>
      </c>
      <c r="B3484" s="52">
        <f>-bthan*500+(28+0.5)*bthan*1000/50</f>
        <v>385</v>
      </c>
      <c r="C3484" s="52">
        <f t="shared" si="318"/>
        <v>590</v>
      </c>
      <c r="D3484" s="52">
        <f t="shared" si="319"/>
        <v>2200</v>
      </c>
      <c r="E3484" s="52">
        <f t="shared" si="320"/>
        <v>1</v>
      </c>
      <c r="F3484" s="52"/>
      <c r="G3484" s="52"/>
      <c r="H3484" s="52"/>
      <c r="I3484" s="52"/>
      <c r="J3484" s="52"/>
      <c r="K3484" s="52"/>
      <c r="L3484" s="52"/>
      <c r="M3484" s="52"/>
      <c r="N3484" s="52"/>
      <c r="O3484" s="52"/>
      <c r="P3484" s="52"/>
      <c r="Q3484" s="52"/>
      <c r="R3484" s="52"/>
      <c r="S3484" s="52"/>
      <c r="T3484" s="52"/>
      <c r="U3484" s="52"/>
      <c r="V3484" s="52"/>
      <c r="W3484" s="52"/>
      <c r="X3484" s="52"/>
      <c r="Y3484" s="52"/>
      <c r="Z3484" s="52"/>
      <c r="AA3484" s="52"/>
      <c r="AB3484" s="52"/>
      <c r="AC3484" s="52"/>
      <c r="AD3484" s="52"/>
      <c r="AE3484" s="52"/>
      <c r="AF3484" s="52"/>
      <c r="AG3484" s="52"/>
      <c r="AH3484" s="52"/>
      <c r="AI3484" s="52"/>
      <c r="AJ3484" s="52"/>
      <c r="AK3484" s="52"/>
      <c r="AL3484" s="52"/>
      <c r="AM3484" s="52"/>
      <c r="AN3484" s="52"/>
    </row>
    <row r="3485" spans="1:40" x14ac:dyDescent="0.3">
      <c r="A3485" s="52">
        <v>3480</v>
      </c>
      <c r="B3485" s="52">
        <f>-bthan*500+(29+0.5)*bthan*1000/50</f>
        <v>495</v>
      </c>
      <c r="C3485" s="52">
        <f t="shared" si="318"/>
        <v>590</v>
      </c>
      <c r="D3485" s="52">
        <f t="shared" si="319"/>
        <v>2200</v>
      </c>
      <c r="E3485" s="52">
        <f t="shared" si="320"/>
        <v>1</v>
      </c>
      <c r="F3485" s="52"/>
      <c r="G3485" s="52"/>
      <c r="H3485" s="52"/>
      <c r="I3485" s="52"/>
      <c r="J3485" s="52"/>
      <c r="K3485" s="52"/>
      <c r="L3485" s="52"/>
      <c r="M3485" s="52"/>
      <c r="N3485" s="52"/>
      <c r="O3485" s="52"/>
      <c r="P3485" s="52"/>
      <c r="Q3485" s="52"/>
      <c r="R3485" s="52"/>
      <c r="S3485" s="52"/>
      <c r="T3485" s="52"/>
      <c r="U3485" s="52"/>
      <c r="V3485" s="52"/>
      <c r="W3485" s="52"/>
      <c r="X3485" s="52"/>
      <c r="Y3485" s="52"/>
      <c r="Z3485" s="52"/>
      <c r="AA3485" s="52"/>
      <c r="AB3485" s="52"/>
      <c r="AC3485" s="52"/>
      <c r="AD3485" s="52"/>
      <c r="AE3485" s="52"/>
      <c r="AF3485" s="52"/>
      <c r="AG3485" s="52"/>
      <c r="AH3485" s="52"/>
      <c r="AI3485" s="52"/>
      <c r="AJ3485" s="52"/>
      <c r="AK3485" s="52"/>
      <c r="AL3485" s="52"/>
      <c r="AM3485" s="52"/>
      <c r="AN3485" s="52"/>
    </row>
    <row r="3486" spans="1:40" x14ac:dyDescent="0.3">
      <c r="A3486" s="52">
        <v>3481</v>
      </c>
      <c r="B3486" s="52">
        <f>-bthan*500+(30+0.5)*bthan*1000/50</f>
        <v>605</v>
      </c>
      <c r="C3486" s="52">
        <f t="shared" si="318"/>
        <v>590</v>
      </c>
      <c r="D3486" s="52">
        <f t="shared" si="319"/>
        <v>2200</v>
      </c>
      <c r="E3486" s="52">
        <f t="shared" si="320"/>
        <v>1</v>
      </c>
      <c r="F3486" s="52"/>
      <c r="G3486" s="52"/>
      <c r="H3486" s="52"/>
      <c r="I3486" s="52"/>
      <c r="J3486" s="52"/>
      <c r="K3486" s="52"/>
      <c r="L3486" s="52"/>
      <c r="M3486" s="52"/>
      <c r="N3486" s="52"/>
      <c r="O3486" s="52"/>
      <c r="P3486" s="52"/>
      <c r="Q3486" s="52"/>
      <c r="R3486" s="52"/>
      <c r="S3486" s="52"/>
      <c r="T3486" s="52"/>
      <c r="U3486" s="52"/>
      <c r="V3486" s="52"/>
      <c r="W3486" s="52"/>
      <c r="X3486" s="52"/>
      <c r="Y3486" s="52"/>
      <c r="Z3486" s="52"/>
      <c r="AA3486" s="52"/>
      <c r="AB3486" s="52"/>
      <c r="AC3486" s="52"/>
      <c r="AD3486" s="52"/>
      <c r="AE3486" s="52"/>
      <c r="AF3486" s="52"/>
      <c r="AG3486" s="52"/>
      <c r="AH3486" s="52"/>
      <c r="AI3486" s="52"/>
      <c r="AJ3486" s="52"/>
      <c r="AK3486" s="52"/>
      <c r="AL3486" s="52"/>
      <c r="AM3486" s="52"/>
      <c r="AN3486" s="52"/>
    </row>
    <row r="3487" spans="1:40" x14ac:dyDescent="0.3">
      <c r="A3487" s="52">
        <v>3482</v>
      </c>
      <c r="B3487" s="52">
        <f>-bthan*500+(31+0.5)*bthan*1000/50</f>
        <v>715</v>
      </c>
      <c r="C3487" s="52">
        <f t="shared" si="318"/>
        <v>590</v>
      </c>
      <c r="D3487" s="52">
        <f t="shared" si="319"/>
        <v>2200</v>
      </c>
      <c r="E3487" s="52">
        <f t="shared" si="320"/>
        <v>1</v>
      </c>
      <c r="F3487" s="52"/>
      <c r="G3487" s="52"/>
      <c r="H3487" s="52"/>
      <c r="I3487" s="52"/>
      <c r="J3487" s="52"/>
      <c r="K3487" s="52"/>
      <c r="L3487" s="52"/>
      <c r="M3487" s="52"/>
      <c r="N3487" s="52"/>
      <c r="O3487" s="52"/>
      <c r="P3487" s="52"/>
      <c r="Q3487" s="52"/>
      <c r="R3487" s="52"/>
      <c r="S3487" s="52"/>
      <c r="T3487" s="52"/>
      <c r="U3487" s="52"/>
      <c r="V3487" s="52"/>
      <c r="W3487" s="52"/>
      <c r="X3487" s="52"/>
      <c r="Y3487" s="52"/>
      <c r="Z3487" s="52"/>
      <c r="AA3487" s="52"/>
      <c r="AB3487" s="52"/>
      <c r="AC3487" s="52"/>
      <c r="AD3487" s="52"/>
      <c r="AE3487" s="52"/>
      <c r="AF3487" s="52"/>
      <c r="AG3487" s="52"/>
      <c r="AH3487" s="52"/>
      <c r="AI3487" s="52"/>
      <c r="AJ3487" s="52"/>
      <c r="AK3487" s="52"/>
      <c r="AL3487" s="52"/>
      <c r="AM3487" s="52"/>
      <c r="AN3487" s="52"/>
    </row>
    <row r="3488" spans="1:40" x14ac:dyDescent="0.3">
      <c r="A3488" s="52">
        <v>3483</v>
      </c>
      <c r="B3488" s="52">
        <f>-bthan*500+(32+0.5)*bthan*1000/50</f>
        <v>825</v>
      </c>
      <c r="C3488" s="52">
        <f t="shared" ref="C3488:C3505" si="321">-hthan*500+(69+0.5)*hthan*1000/80</f>
        <v>590</v>
      </c>
      <c r="D3488" s="52">
        <f t="shared" si="319"/>
        <v>2200</v>
      </c>
      <c r="E3488" s="52">
        <f t="shared" si="320"/>
        <v>1</v>
      </c>
      <c r="F3488" s="52"/>
      <c r="G3488" s="52"/>
      <c r="H3488" s="52"/>
      <c r="I3488" s="52"/>
      <c r="J3488" s="52"/>
      <c r="K3488" s="52"/>
      <c r="L3488" s="52"/>
      <c r="M3488" s="52"/>
      <c r="N3488" s="52"/>
      <c r="O3488" s="52"/>
      <c r="P3488" s="52"/>
      <c r="Q3488" s="52"/>
      <c r="R3488" s="52"/>
      <c r="S3488" s="52"/>
      <c r="T3488" s="52"/>
      <c r="U3488" s="52"/>
      <c r="V3488" s="52"/>
      <c r="W3488" s="52"/>
      <c r="X3488" s="52"/>
      <c r="Y3488" s="52"/>
      <c r="Z3488" s="52"/>
      <c r="AA3488" s="52"/>
      <c r="AB3488" s="52"/>
      <c r="AC3488" s="52"/>
      <c r="AD3488" s="52"/>
      <c r="AE3488" s="52"/>
      <c r="AF3488" s="52"/>
      <c r="AG3488" s="52"/>
      <c r="AH3488" s="52"/>
      <c r="AI3488" s="52"/>
      <c r="AJ3488" s="52"/>
      <c r="AK3488" s="52"/>
      <c r="AL3488" s="52"/>
      <c r="AM3488" s="52"/>
      <c r="AN3488" s="52"/>
    </row>
    <row r="3489" spans="1:40" x14ac:dyDescent="0.3">
      <c r="A3489" s="52">
        <v>3484</v>
      </c>
      <c r="B3489" s="52">
        <f>-bthan*500+(33+0.5)*bthan*1000/50</f>
        <v>935</v>
      </c>
      <c r="C3489" s="52">
        <f t="shared" si="321"/>
        <v>590</v>
      </c>
      <c r="D3489" s="52">
        <f t="shared" si="319"/>
        <v>2200</v>
      </c>
      <c r="E3489" s="52">
        <f t="shared" si="320"/>
        <v>1</v>
      </c>
      <c r="F3489" s="52"/>
      <c r="G3489" s="52"/>
      <c r="H3489" s="52"/>
      <c r="I3489" s="52"/>
      <c r="J3489" s="52"/>
      <c r="K3489" s="52"/>
      <c r="L3489" s="52"/>
      <c r="M3489" s="52"/>
      <c r="N3489" s="52"/>
      <c r="O3489" s="52"/>
      <c r="P3489" s="52"/>
      <c r="Q3489" s="52"/>
      <c r="R3489" s="52"/>
      <c r="S3489" s="52"/>
      <c r="T3489" s="52"/>
      <c r="U3489" s="52"/>
      <c r="V3489" s="52"/>
      <c r="W3489" s="52"/>
      <c r="X3489" s="52"/>
      <c r="Y3489" s="52"/>
      <c r="Z3489" s="52"/>
      <c r="AA3489" s="52"/>
      <c r="AB3489" s="52"/>
      <c r="AC3489" s="52"/>
      <c r="AD3489" s="52"/>
      <c r="AE3489" s="52"/>
      <c r="AF3489" s="52"/>
      <c r="AG3489" s="52"/>
      <c r="AH3489" s="52"/>
      <c r="AI3489" s="52"/>
      <c r="AJ3489" s="52"/>
      <c r="AK3489" s="52"/>
      <c r="AL3489" s="52"/>
      <c r="AM3489" s="52"/>
      <c r="AN3489" s="52"/>
    </row>
    <row r="3490" spans="1:40" x14ac:dyDescent="0.3">
      <c r="A3490" s="52">
        <v>3485</v>
      </c>
      <c r="B3490" s="52">
        <f>-bthan*500+(34+0.5)*bthan*1000/50</f>
        <v>1045</v>
      </c>
      <c r="C3490" s="52">
        <f t="shared" si="321"/>
        <v>590</v>
      </c>
      <c r="D3490" s="52">
        <f t="shared" si="319"/>
        <v>2200</v>
      </c>
      <c r="E3490" s="52">
        <f t="shared" si="320"/>
        <v>1</v>
      </c>
      <c r="F3490" s="52"/>
      <c r="G3490" s="52"/>
      <c r="H3490" s="52"/>
      <c r="I3490" s="52"/>
      <c r="J3490" s="52"/>
      <c r="K3490" s="52"/>
      <c r="L3490" s="52"/>
      <c r="M3490" s="52"/>
      <c r="N3490" s="52"/>
      <c r="O3490" s="52"/>
      <c r="P3490" s="52"/>
      <c r="Q3490" s="52"/>
      <c r="R3490" s="52"/>
      <c r="S3490" s="52"/>
      <c r="T3490" s="52"/>
      <c r="U3490" s="52"/>
      <c r="V3490" s="52"/>
      <c r="W3490" s="52"/>
      <c r="X3490" s="52"/>
      <c r="Y3490" s="52"/>
      <c r="Z3490" s="52"/>
      <c r="AA3490" s="52"/>
      <c r="AB3490" s="52"/>
      <c r="AC3490" s="52"/>
      <c r="AD3490" s="52"/>
      <c r="AE3490" s="52"/>
      <c r="AF3490" s="52"/>
      <c r="AG3490" s="52"/>
      <c r="AH3490" s="52"/>
      <c r="AI3490" s="52"/>
      <c r="AJ3490" s="52"/>
      <c r="AK3490" s="52"/>
      <c r="AL3490" s="52"/>
      <c r="AM3490" s="52"/>
      <c r="AN3490" s="52"/>
    </row>
    <row r="3491" spans="1:40" x14ac:dyDescent="0.3">
      <c r="A3491" s="52">
        <v>3486</v>
      </c>
      <c r="B3491" s="52">
        <f>-bthan*500+(35+0.5)*bthan*1000/50</f>
        <v>1155</v>
      </c>
      <c r="C3491" s="52">
        <f t="shared" si="321"/>
        <v>590</v>
      </c>
      <c r="D3491" s="52">
        <f t="shared" si="319"/>
        <v>2200</v>
      </c>
      <c r="E3491" s="52">
        <f t="shared" si="320"/>
        <v>1</v>
      </c>
      <c r="F3491" s="52"/>
      <c r="G3491" s="52"/>
      <c r="H3491" s="52"/>
      <c r="I3491" s="52"/>
      <c r="J3491" s="52"/>
      <c r="K3491" s="52"/>
      <c r="L3491" s="52"/>
      <c r="M3491" s="52"/>
      <c r="N3491" s="52"/>
      <c r="O3491" s="52"/>
      <c r="P3491" s="52"/>
      <c r="Q3491" s="52"/>
      <c r="R3491" s="52"/>
      <c r="S3491" s="52"/>
      <c r="T3491" s="52"/>
      <c r="U3491" s="52"/>
      <c r="V3491" s="52"/>
      <c r="W3491" s="52"/>
      <c r="X3491" s="52"/>
      <c r="Y3491" s="52"/>
      <c r="Z3491" s="52"/>
      <c r="AA3491" s="52"/>
      <c r="AB3491" s="52"/>
      <c r="AC3491" s="52"/>
      <c r="AD3491" s="52"/>
      <c r="AE3491" s="52"/>
      <c r="AF3491" s="52"/>
      <c r="AG3491" s="52"/>
      <c r="AH3491" s="52"/>
      <c r="AI3491" s="52"/>
      <c r="AJ3491" s="52"/>
      <c r="AK3491" s="52"/>
      <c r="AL3491" s="52"/>
      <c r="AM3491" s="52"/>
      <c r="AN3491" s="52"/>
    </row>
    <row r="3492" spans="1:40" x14ac:dyDescent="0.3">
      <c r="A3492" s="52">
        <v>3487</v>
      </c>
      <c r="B3492" s="52">
        <f>-bthan*500+(36+0.5)*bthan*1000/50</f>
        <v>1265</v>
      </c>
      <c r="C3492" s="52">
        <f t="shared" si="321"/>
        <v>590</v>
      </c>
      <c r="D3492" s="52">
        <f t="shared" si="319"/>
        <v>2200</v>
      </c>
      <c r="E3492" s="52">
        <f t="shared" si="320"/>
        <v>1</v>
      </c>
      <c r="F3492" s="52"/>
      <c r="G3492" s="52"/>
      <c r="H3492" s="52"/>
      <c r="I3492" s="52"/>
      <c r="J3492" s="52"/>
      <c r="K3492" s="52"/>
      <c r="L3492" s="52"/>
      <c r="M3492" s="52"/>
      <c r="N3492" s="52"/>
      <c r="O3492" s="52"/>
      <c r="P3492" s="52"/>
      <c r="Q3492" s="52"/>
      <c r="R3492" s="52"/>
      <c r="S3492" s="52"/>
      <c r="T3492" s="52"/>
      <c r="U3492" s="52"/>
      <c r="V3492" s="52"/>
      <c r="W3492" s="52"/>
      <c r="X3492" s="52"/>
      <c r="Y3492" s="52"/>
      <c r="Z3492" s="52"/>
      <c r="AA3492" s="52"/>
      <c r="AB3492" s="52"/>
      <c r="AC3492" s="52"/>
      <c r="AD3492" s="52"/>
      <c r="AE3492" s="52"/>
      <c r="AF3492" s="52"/>
      <c r="AG3492" s="52"/>
      <c r="AH3492" s="52"/>
      <c r="AI3492" s="52"/>
      <c r="AJ3492" s="52"/>
      <c r="AK3492" s="52"/>
      <c r="AL3492" s="52"/>
      <c r="AM3492" s="52"/>
      <c r="AN3492" s="52"/>
    </row>
    <row r="3493" spans="1:40" x14ac:dyDescent="0.3">
      <c r="A3493" s="52">
        <v>3488</v>
      </c>
      <c r="B3493" s="52">
        <f>-bthan*500+(37+0.5)*bthan*1000/50</f>
        <v>1375</v>
      </c>
      <c r="C3493" s="52">
        <f t="shared" si="321"/>
        <v>590</v>
      </c>
      <c r="D3493" s="52">
        <f t="shared" si="319"/>
        <v>2200</v>
      </c>
      <c r="E3493" s="52">
        <f t="shared" si="320"/>
        <v>1</v>
      </c>
      <c r="F3493" s="52"/>
      <c r="G3493" s="52"/>
      <c r="H3493" s="52"/>
      <c r="I3493" s="52"/>
      <c r="J3493" s="52"/>
      <c r="K3493" s="52"/>
      <c r="L3493" s="52"/>
      <c r="M3493" s="52"/>
      <c r="N3493" s="52"/>
      <c r="O3493" s="52"/>
      <c r="P3493" s="52"/>
      <c r="Q3493" s="52"/>
      <c r="R3493" s="52"/>
      <c r="S3493" s="52"/>
      <c r="T3493" s="52"/>
      <c r="U3493" s="52"/>
      <c r="V3493" s="52"/>
      <c r="W3493" s="52"/>
      <c r="X3493" s="52"/>
      <c r="Y3493" s="52"/>
      <c r="Z3493" s="52"/>
      <c r="AA3493" s="52"/>
      <c r="AB3493" s="52"/>
      <c r="AC3493" s="52"/>
      <c r="AD3493" s="52"/>
      <c r="AE3493" s="52"/>
      <c r="AF3493" s="52"/>
      <c r="AG3493" s="52"/>
      <c r="AH3493" s="52"/>
      <c r="AI3493" s="52"/>
      <c r="AJ3493" s="52"/>
      <c r="AK3493" s="52"/>
      <c r="AL3493" s="52"/>
      <c r="AM3493" s="52"/>
      <c r="AN3493" s="52"/>
    </row>
    <row r="3494" spans="1:40" x14ac:dyDescent="0.3">
      <c r="A3494" s="52">
        <v>3489</v>
      </c>
      <c r="B3494" s="52">
        <f>-bthan*500+(38+0.5)*bthan*1000/50</f>
        <v>1485</v>
      </c>
      <c r="C3494" s="52">
        <f t="shared" si="321"/>
        <v>590</v>
      </c>
      <c r="D3494" s="52">
        <f t="shared" si="319"/>
        <v>2200</v>
      </c>
      <c r="E3494" s="52">
        <f t="shared" si="320"/>
        <v>1</v>
      </c>
      <c r="F3494" s="52"/>
      <c r="G3494" s="52"/>
      <c r="H3494" s="52"/>
      <c r="I3494" s="52"/>
      <c r="J3494" s="52"/>
      <c r="K3494" s="52"/>
      <c r="L3494" s="52"/>
      <c r="M3494" s="52"/>
      <c r="N3494" s="52"/>
      <c r="O3494" s="52"/>
      <c r="P3494" s="52"/>
      <c r="Q3494" s="52"/>
      <c r="R3494" s="52"/>
      <c r="S3494" s="52"/>
      <c r="T3494" s="52"/>
      <c r="U3494" s="52"/>
      <c r="V3494" s="52"/>
      <c r="W3494" s="52"/>
      <c r="X3494" s="52"/>
      <c r="Y3494" s="52"/>
      <c r="Z3494" s="52"/>
      <c r="AA3494" s="52"/>
      <c r="AB3494" s="52"/>
      <c r="AC3494" s="52"/>
      <c r="AD3494" s="52"/>
      <c r="AE3494" s="52"/>
      <c r="AF3494" s="52"/>
      <c r="AG3494" s="52"/>
      <c r="AH3494" s="52"/>
      <c r="AI3494" s="52"/>
      <c r="AJ3494" s="52"/>
      <c r="AK3494" s="52"/>
      <c r="AL3494" s="52"/>
      <c r="AM3494" s="52"/>
      <c r="AN3494" s="52"/>
    </row>
    <row r="3495" spans="1:40" x14ac:dyDescent="0.3">
      <c r="A3495" s="52">
        <v>3490</v>
      </c>
      <c r="B3495" s="52">
        <f>-bthan*500+(39+0.5)*bthan*1000/50</f>
        <v>1595</v>
      </c>
      <c r="C3495" s="52">
        <f t="shared" si="321"/>
        <v>590</v>
      </c>
      <c r="D3495" s="52">
        <f t="shared" si="319"/>
        <v>2200</v>
      </c>
      <c r="E3495" s="52">
        <f t="shared" si="320"/>
        <v>1</v>
      </c>
      <c r="F3495" s="52"/>
      <c r="G3495" s="52"/>
      <c r="H3495" s="52"/>
      <c r="I3495" s="52"/>
      <c r="J3495" s="52"/>
      <c r="K3495" s="52"/>
      <c r="L3495" s="52"/>
      <c r="M3495" s="52"/>
      <c r="N3495" s="52"/>
      <c r="O3495" s="52"/>
      <c r="P3495" s="52"/>
      <c r="Q3495" s="52"/>
      <c r="R3495" s="52"/>
      <c r="S3495" s="52"/>
      <c r="T3495" s="52"/>
      <c r="U3495" s="52"/>
      <c r="V3495" s="52"/>
      <c r="W3495" s="52"/>
      <c r="X3495" s="52"/>
      <c r="Y3495" s="52"/>
      <c r="Z3495" s="52"/>
      <c r="AA3495" s="52"/>
      <c r="AB3495" s="52"/>
      <c r="AC3495" s="52"/>
      <c r="AD3495" s="52"/>
      <c r="AE3495" s="52"/>
      <c r="AF3495" s="52"/>
      <c r="AG3495" s="52"/>
      <c r="AH3495" s="52"/>
      <c r="AI3495" s="52"/>
      <c r="AJ3495" s="52"/>
      <c r="AK3495" s="52"/>
      <c r="AL3495" s="52"/>
      <c r="AM3495" s="52"/>
      <c r="AN3495" s="52"/>
    </row>
    <row r="3496" spans="1:40" x14ac:dyDescent="0.3">
      <c r="A3496" s="52">
        <v>3491</v>
      </c>
      <c r="B3496" s="52">
        <f>-bthan*500+(40+0.5)*bthan*1000/50</f>
        <v>1705</v>
      </c>
      <c r="C3496" s="52">
        <f t="shared" si="321"/>
        <v>590</v>
      </c>
      <c r="D3496" s="52">
        <f t="shared" si="319"/>
        <v>2200</v>
      </c>
      <c r="E3496" s="52">
        <f t="shared" si="320"/>
        <v>1</v>
      </c>
      <c r="F3496" s="52"/>
      <c r="G3496" s="52"/>
      <c r="H3496" s="52"/>
      <c r="I3496" s="52"/>
      <c r="J3496" s="52"/>
      <c r="K3496" s="52"/>
      <c r="L3496" s="52"/>
      <c r="M3496" s="52"/>
      <c r="N3496" s="52"/>
      <c r="O3496" s="52"/>
      <c r="P3496" s="52"/>
      <c r="Q3496" s="52"/>
      <c r="R3496" s="52"/>
      <c r="S3496" s="52"/>
      <c r="T3496" s="52"/>
      <c r="U3496" s="52"/>
      <c r="V3496" s="52"/>
      <c r="W3496" s="52"/>
      <c r="X3496" s="52"/>
      <c r="Y3496" s="52"/>
      <c r="Z3496" s="52"/>
      <c r="AA3496" s="52"/>
      <c r="AB3496" s="52"/>
      <c r="AC3496" s="52"/>
      <c r="AD3496" s="52"/>
      <c r="AE3496" s="52"/>
      <c r="AF3496" s="52"/>
      <c r="AG3496" s="52"/>
      <c r="AH3496" s="52"/>
      <c r="AI3496" s="52"/>
      <c r="AJ3496" s="52"/>
      <c r="AK3496" s="52"/>
      <c r="AL3496" s="52"/>
      <c r="AM3496" s="52"/>
      <c r="AN3496" s="52"/>
    </row>
    <row r="3497" spans="1:40" x14ac:dyDescent="0.3">
      <c r="A3497" s="52">
        <v>3492</v>
      </c>
      <c r="B3497" s="52">
        <f>-bthan*500+(41+0.5)*bthan*1000/50</f>
        <v>1815</v>
      </c>
      <c r="C3497" s="52">
        <f t="shared" si="321"/>
        <v>590</v>
      </c>
      <c r="D3497" s="52">
        <f t="shared" si="319"/>
        <v>2200</v>
      </c>
      <c r="E3497" s="52">
        <f t="shared" si="320"/>
        <v>1</v>
      </c>
      <c r="F3497" s="52"/>
      <c r="G3497" s="52"/>
      <c r="H3497" s="52"/>
      <c r="I3497" s="52"/>
      <c r="J3497" s="52"/>
      <c r="K3497" s="52"/>
      <c r="L3497" s="52"/>
      <c r="M3497" s="52"/>
      <c r="N3497" s="52"/>
      <c r="O3497" s="52"/>
      <c r="P3497" s="52"/>
      <c r="Q3497" s="52"/>
      <c r="R3497" s="52"/>
      <c r="S3497" s="52"/>
      <c r="T3497" s="52"/>
      <c r="U3497" s="52"/>
      <c r="V3497" s="52"/>
      <c r="W3497" s="52"/>
      <c r="X3497" s="52"/>
      <c r="Y3497" s="52"/>
      <c r="Z3497" s="52"/>
      <c r="AA3497" s="52"/>
      <c r="AB3497" s="52"/>
      <c r="AC3497" s="52"/>
      <c r="AD3497" s="52"/>
      <c r="AE3497" s="52"/>
      <c r="AF3497" s="52"/>
      <c r="AG3497" s="52"/>
      <c r="AH3497" s="52"/>
      <c r="AI3497" s="52"/>
      <c r="AJ3497" s="52"/>
      <c r="AK3497" s="52"/>
      <c r="AL3497" s="52"/>
      <c r="AM3497" s="52"/>
      <c r="AN3497" s="52"/>
    </row>
    <row r="3498" spans="1:40" x14ac:dyDescent="0.3">
      <c r="A3498" s="52">
        <v>3493</v>
      </c>
      <c r="B3498" s="52">
        <f>-bthan*500+(42+0.5)*bthan*1000/50</f>
        <v>1925</v>
      </c>
      <c r="C3498" s="52">
        <f t="shared" si="321"/>
        <v>590</v>
      </c>
      <c r="D3498" s="52">
        <f t="shared" si="319"/>
        <v>2200</v>
      </c>
      <c r="E3498" s="52">
        <f t="shared" si="320"/>
        <v>1</v>
      </c>
      <c r="F3498" s="52"/>
      <c r="G3498" s="52"/>
      <c r="H3498" s="52"/>
      <c r="I3498" s="52"/>
      <c r="J3498" s="52"/>
      <c r="K3498" s="52"/>
      <c r="L3498" s="52"/>
      <c r="M3498" s="52"/>
      <c r="N3498" s="52"/>
      <c r="O3498" s="52"/>
      <c r="P3498" s="52"/>
      <c r="Q3498" s="52"/>
      <c r="R3498" s="52"/>
      <c r="S3498" s="52"/>
      <c r="T3498" s="52"/>
      <c r="U3498" s="52"/>
      <c r="V3498" s="52"/>
      <c r="W3498" s="52"/>
      <c r="X3498" s="52"/>
      <c r="Y3498" s="52"/>
      <c r="Z3498" s="52"/>
      <c r="AA3498" s="52"/>
      <c r="AB3498" s="52"/>
      <c r="AC3498" s="52"/>
      <c r="AD3498" s="52"/>
      <c r="AE3498" s="52"/>
      <c r="AF3498" s="52"/>
      <c r="AG3498" s="52"/>
      <c r="AH3498" s="52"/>
      <c r="AI3498" s="52"/>
      <c r="AJ3498" s="52"/>
      <c r="AK3498" s="52"/>
      <c r="AL3498" s="52"/>
      <c r="AM3498" s="52"/>
      <c r="AN3498" s="52"/>
    </row>
    <row r="3499" spans="1:40" x14ac:dyDescent="0.3">
      <c r="A3499" s="52">
        <v>3494</v>
      </c>
      <c r="B3499" s="52">
        <f>-bthan*500+(43+0.5)*bthan*1000/50</f>
        <v>2035</v>
      </c>
      <c r="C3499" s="52">
        <f t="shared" si="321"/>
        <v>590</v>
      </c>
      <c r="D3499" s="52">
        <f t="shared" si="319"/>
        <v>2200</v>
      </c>
      <c r="E3499" s="52">
        <f t="shared" si="320"/>
        <v>1</v>
      </c>
      <c r="F3499" s="52"/>
      <c r="G3499" s="52"/>
      <c r="H3499" s="52"/>
      <c r="I3499" s="52"/>
      <c r="J3499" s="52"/>
      <c r="K3499" s="52"/>
      <c r="L3499" s="52"/>
      <c r="M3499" s="52"/>
      <c r="N3499" s="52"/>
      <c r="O3499" s="52"/>
      <c r="P3499" s="52"/>
      <c r="Q3499" s="52"/>
      <c r="R3499" s="52"/>
      <c r="S3499" s="52"/>
      <c r="T3499" s="52"/>
      <c r="U3499" s="52"/>
      <c r="V3499" s="52"/>
      <c r="W3499" s="52"/>
      <c r="X3499" s="52"/>
      <c r="Y3499" s="52"/>
      <c r="Z3499" s="52"/>
      <c r="AA3499" s="52"/>
      <c r="AB3499" s="52"/>
      <c r="AC3499" s="52"/>
      <c r="AD3499" s="52"/>
      <c r="AE3499" s="52"/>
      <c r="AF3499" s="52"/>
      <c r="AG3499" s="52"/>
      <c r="AH3499" s="52"/>
      <c r="AI3499" s="52"/>
      <c r="AJ3499" s="52"/>
      <c r="AK3499" s="52"/>
      <c r="AL3499" s="52"/>
      <c r="AM3499" s="52"/>
      <c r="AN3499" s="52"/>
    </row>
    <row r="3500" spans="1:40" x14ac:dyDescent="0.3">
      <c r="A3500" s="52">
        <v>3495</v>
      </c>
      <c r="B3500" s="52">
        <f>-bthan*500+(44+0.5)*bthan*1000/50</f>
        <v>2145</v>
      </c>
      <c r="C3500" s="52">
        <f t="shared" si="321"/>
        <v>590</v>
      </c>
      <c r="D3500" s="52">
        <f t="shared" si="319"/>
        <v>2200</v>
      </c>
      <c r="E3500" s="52">
        <f t="shared" si="320"/>
        <v>1</v>
      </c>
      <c r="F3500" s="52"/>
      <c r="G3500" s="52"/>
      <c r="H3500" s="52"/>
      <c r="I3500" s="52"/>
      <c r="J3500" s="52"/>
      <c r="K3500" s="52"/>
      <c r="L3500" s="52"/>
      <c r="M3500" s="52"/>
      <c r="N3500" s="52"/>
      <c r="O3500" s="52"/>
      <c r="P3500" s="52"/>
      <c r="Q3500" s="52"/>
      <c r="R3500" s="52"/>
      <c r="S3500" s="52"/>
      <c r="T3500" s="52"/>
      <c r="U3500" s="52"/>
      <c r="V3500" s="52"/>
      <c r="W3500" s="52"/>
      <c r="X3500" s="52"/>
      <c r="Y3500" s="52"/>
      <c r="Z3500" s="52"/>
      <c r="AA3500" s="52"/>
      <c r="AB3500" s="52"/>
      <c r="AC3500" s="52"/>
      <c r="AD3500" s="52"/>
      <c r="AE3500" s="52"/>
      <c r="AF3500" s="52"/>
      <c r="AG3500" s="52"/>
      <c r="AH3500" s="52"/>
      <c r="AI3500" s="52"/>
      <c r="AJ3500" s="52"/>
      <c r="AK3500" s="52"/>
      <c r="AL3500" s="52"/>
      <c r="AM3500" s="52"/>
      <c r="AN3500" s="52"/>
    </row>
    <row r="3501" spans="1:40" x14ac:dyDescent="0.3">
      <c r="A3501" s="52">
        <v>3496</v>
      </c>
      <c r="B3501" s="52">
        <f>-bthan*500+(45+0.5)*bthan*1000/50</f>
        <v>2255</v>
      </c>
      <c r="C3501" s="52">
        <f t="shared" si="321"/>
        <v>590</v>
      </c>
      <c r="D3501" s="52">
        <f t="shared" si="319"/>
        <v>2200</v>
      </c>
      <c r="E3501" s="52">
        <f t="shared" si="320"/>
        <v>1</v>
      </c>
      <c r="F3501" s="52"/>
      <c r="G3501" s="52"/>
      <c r="H3501" s="52"/>
      <c r="I3501" s="52"/>
      <c r="J3501" s="52"/>
      <c r="K3501" s="52"/>
      <c r="L3501" s="52"/>
      <c r="M3501" s="52"/>
      <c r="N3501" s="52"/>
      <c r="O3501" s="52"/>
      <c r="P3501" s="52"/>
      <c r="Q3501" s="52"/>
      <c r="R3501" s="52"/>
      <c r="S3501" s="52"/>
      <c r="T3501" s="52"/>
      <c r="U3501" s="52"/>
      <c r="V3501" s="52"/>
      <c r="W3501" s="52"/>
      <c r="X3501" s="52"/>
      <c r="Y3501" s="52"/>
      <c r="Z3501" s="52"/>
      <c r="AA3501" s="52"/>
      <c r="AB3501" s="52"/>
      <c r="AC3501" s="52"/>
      <c r="AD3501" s="52"/>
      <c r="AE3501" s="52"/>
      <c r="AF3501" s="52"/>
      <c r="AG3501" s="52"/>
      <c r="AH3501" s="52"/>
      <c r="AI3501" s="52"/>
      <c r="AJ3501" s="52"/>
      <c r="AK3501" s="52"/>
      <c r="AL3501" s="52"/>
      <c r="AM3501" s="52"/>
      <c r="AN3501" s="52"/>
    </row>
    <row r="3502" spans="1:40" x14ac:dyDescent="0.3">
      <c r="A3502" s="52">
        <v>3497</v>
      </c>
      <c r="B3502" s="52">
        <f>-bthan*500+(46+0.5)*bthan*1000/50</f>
        <v>2365</v>
      </c>
      <c r="C3502" s="52">
        <f t="shared" si="321"/>
        <v>590</v>
      </c>
      <c r="D3502" s="52">
        <f t="shared" si="319"/>
        <v>2200</v>
      </c>
      <c r="E3502" s="52">
        <f t="shared" si="320"/>
        <v>1</v>
      </c>
      <c r="F3502" s="52"/>
      <c r="G3502" s="52"/>
      <c r="H3502" s="52"/>
      <c r="I3502" s="52"/>
      <c r="J3502" s="52"/>
      <c r="K3502" s="52"/>
      <c r="L3502" s="52"/>
      <c r="M3502" s="52"/>
      <c r="N3502" s="52"/>
      <c r="O3502" s="52"/>
      <c r="P3502" s="52"/>
      <c r="Q3502" s="52"/>
      <c r="R3502" s="52"/>
      <c r="S3502" s="52"/>
      <c r="T3502" s="52"/>
      <c r="U3502" s="52"/>
      <c r="V3502" s="52"/>
      <c r="W3502" s="52"/>
      <c r="X3502" s="52"/>
      <c r="Y3502" s="52"/>
      <c r="Z3502" s="52"/>
      <c r="AA3502" s="52"/>
      <c r="AB3502" s="52"/>
      <c r="AC3502" s="52"/>
      <c r="AD3502" s="52"/>
      <c r="AE3502" s="52"/>
      <c r="AF3502" s="52"/>
      <c r="AG3502" s="52"/>
      <c r="AH3502" s="52"/>
      <c r="AI3502" s="52"/>
      <c r="AJ3502" s="52"/>
      <c r="AK3502" s="52"/>
      <c r="AL3502" s="52"/>
      <c r="AM3502" s="52"/>
      <c r="AN3502" s="52"/>
    </row>
    <row r="3503" spans="1:40" x14ac:dyDescent="0.3">
      <c r="A3503" s="52">
        <v>3498</v>
      </c>
      <c r="B3503" s="52">
        <f>-bthan*500+(47+0.5)*bthan*1000/50</f>
        <v>2475</v>
      </c>
      <c r="C3503" s="52">
        <f t="shared" si="321"/>
        <v>590</v>
      </c>
      <c r="D3503" s="52">
        <f t="shared" si="319"/>
        <v>2200</v>
      </c>
      <c r="E3503" s="52">
        <f t="shared" si="320"/>
        <v>1</v>
      </c>
      <c r="F3503" s="52"/>
      <c r="G3503" s="52"/>
      <c r="H3503" s="52"/>
      <c r="I3503" s="52"/>
      <c r="J3503" s="52"/>
      <c r="K3503" s="52"/>
      <c r="L3503" s="52"/>
      <c r="M3503" s="52"/>
      <c r="N3503" s="52"/>
      <c r="O3503" s="52"/>
      <c r="P3503" s="52"/>
      <c r="Q3503" s="52"/>
      <c r="R3503" s="52"/>
      <c r="S3503" s="52"/>
      <c r="T3503" s="52"/>
      <c r="U3503" s="52"/>
      <c r="V3503" s="52"/>
      <c r="W3503" s="52"/>
      <c r="X3503" s="52"/>
      <c r="Y3503" s="52"/>
      <c r="Z3503" s="52"/>
      <c r="AA3503" s="52"/>
      <c r="AB3503" s="52"/>
      <c r="AC3503" s="52"/>
      <c r="AD3503" s="52"/>
      <c r="AE3503" s="52"/>
      <c r="AF3503" s="52"/>
      <c r="AG3503" s="52"/>
      <c r="AH3503" s="52"/>
      <c r="AI3503" s="52"/>
      <c r="AJ3503" s="52"/>
      <c r="AK3503" s="52"/>
      <c r="AL3503" s="52"/>
      <c r="AM3503" s="52"/>
      <c r="AN3503" s="52"/>
    </row>
    <row r="3504" spans="1:40" x14ac:dyDescent="0.3">
      <c r="A3504" s="52">
        <v>3499</v>
      </c>
      <c r="B3504" s="52">
        <f>-bthan*500+(48+0.5)*bthan*1000/50</f>
        <v>2585</v>
      </c>
      <c r="C3504" s="52">
        <f t="shared" si="321"/>
        <v>590</v>
      </c>
      <c r="D3504" s="52">
        <f t="shared" si="319"/>
        <v>2200</v>
      </c>
      <c r="E3504" s="52">
        <f t="shared" si="320"/>
        <v>0</v>
      </c>
      <c r="F3504" s="52"/>
      <c r="G3504" s="52"/>
      <c r="H3504" s="52"/>
      <c r="I3504" s="52"/>
      <c r="J3504" s="52"/>
      <c r="K3504" s="52"/>
      <c r="L3504" s="52"/>
      <c r="M3504" s="52"/>
      <c r="N3504" s="52"/>
      <c r="O3504" s="52"/>
      <c r="P3504" s="52"/>
      <c r="Q3504" s="52"/>
      <c r="R3504" s="52"/>
      <c r="S3504" s="52"/>
      <c r="T3504" s="52"/>
      <c r="U3504" s="52"/>
      <c r="V3504" s="52"/>
      <c r="W3504" s="52"/>
      <c r="X3504" s="52"/>
      <c r="Y3504" s="52"/>
      <c r="Z3504" s="52"/>
      <c r="AA3504" s="52"/>
      <c r="AB3504" s="52"/>
      <c r="AC3504" s="52"/>
      <c r="AD3504" s="52"/>
      <c r="AE3504" s="52"/>
      <c r="AF3504" s="52"/>
      <c r="AG3504" s="52"/>
      <c r="AH3504" s="52"/>
      <c r="AI3504" s="52"/>
      <c r="AJ3504" s="52"/>
      <c r="AK3504" s="52"/>
      <c r="AL3504" s="52"/>
      <c r="AM3504" s="52"/>
      <c r="AN3504" s="52"/>
    </row>
    <row r="3505" spans="1:40" x14ac:dyDescent="0.3">
      <c r="A3505" s="52">
        <v>3500</v>
      </c>
      <c r="B3505" s="52">
        <f>-bthan*500+(49+0.5)*bthan*1000/50</f>
        <v>2695</v>
      </c>
      <c r="C3505" s="52">
        <f t="shared" si="321"/>
        <v>590</v>
      </c>
      <c r="D3505" s="52">
        <f t="shared" si="319"/>
        <v>2200</v>
      </c>
      <c r="E3505" s="52">
        <f t="shared" si="320"/>
        <v>0</v>
      </c>
      <c r="F3505" s="52"/>
      <c r="G3505" s="52"/>
      <c r="H3505" s="52"/>
      <c r="I3505" s="52"/>
      <c r="J3505" s="52"/>
      <c r="K3505" s="52"/>
      <c r="L3505" s="52"/>
      <c r="M3505" s="52"/>
      <c r="N3505" s="52"/>
      <c r="O3505" s="52"/>
      <c r="P3505" s="52"/>
      <c r="Q3505" s="52"/>
      <c r="R3505" s="52"/>
      <c r="S3505" s="52"/>
      <c r="T3505" s="52"/>
      <c r="U3505" s="52"/>
      <c r="V3505" s="52"/>
      <c r="W3505" s="52"/>
      <c r="X3505" s="52"/>
      <c r="Y3505" s="52"/>
      <c r="Z3505" s="52"/>
      <c r="AA3505" s="52"/>
      <c r="AB3505" s="52"/>
      <c r="AC3505" s="52"/>
      <c r="AD3505" s="52"/>
      <c r="AE3505" s="52"/>
      <c r="AF3505" s="52"/>
      <c r="AG3505" s="52"/>
      <c r="AH3505" s="52"/>
      <c r="AI3505" s="52"/>
      <c r="AJ3505" s="52"/>
      <c r="AK3505" s="52"/>
      <c r="AL3505" s="52"/>
      <c r="AM3505" s="52"/>
      <c r="AN3505" s="52"/>
    </row>
    <row r="3506" spans="1:40" x14ac:dyDescent="0.3">
      <c r="A3506" s="52">
        <v>3501</v>
      </c>
      <c r="B3506" s="52">
        <f>-bthan*500+(0+0.5)*bthan*1000/50</f>
        <v>-2695</v>
      </c>
      <c r="C3506" s="52">
        <f t="shared" ref="C3506:C3537" si="322">-hthan*500+(70+0.5)*hthan*1000/80</f>
        <v>610.00000000000023</v>
      </c>
      <c r="D3506" s="52">
        <f t="shared" si="319"/>
        <v>2200</v>
      </c>
      <c r="E3506" s="52">
        <f t="shared" si="320"/>
        <v>0</v>
      </c>
      <c r="F3506" s="52"/>
      <c r="G3506" s="52"/>
      <c r="H3506" s="52"/>
      <c r="I3506" s="52"/>
      <c r="J3506" s="52"/>
      <c r="K3506" s="52"/>
      <c r="L3506" s="52"/>
      <c r="M3506" s="52"/>
      <c r="N3506" s="52"/>
      <c r="O3506" s="52"/>
      <c r="P3506" s="52"/>
      <c r="Q3506" s="52"/>
      <c r="R3506" s="52"/>
      <c r="S3506" s="52"/>
      <c r="T3506" s="52"/>
      <c r="U3506" s="52"/>
      <c r="V3506" s="52"/>
      <c r="W3506" s="52"/>
      <c r="X3506" s="52"/>
      <c r="Y3506" s="52"/>
      <c r="Z3506" s="52"/>
      <c r="AA3506" s="52"/>
      <c r="AB3506" s="52"/>
      <c r="AC3506" s="52"/>
      <c r="AD3506" s="52"/>
      <c r="AE3506" s="52"/>
      <c r="AF3506" s="52"/>
      <c r="AG3506" s="52"/>
      <c r="AH3506" s="52"/>
      <c r="AI3506" s="52"/>
      <c r="AJ3506" s="52"/>
      <c r="AK3506" s="52"/>
      <c r="AL3506" s="52"/>
      <c r="AM3506" s="52"/>
      <c r="AN3506" s="52"/>
    </row>
    <row r="3507" spans="1:40" x14ac:dyDescent="0.3">
      <c r="A3507" s="52">
        <v>3502</v>
      </c>
      <c r="B3507" s="52">
        <f>-bthan*500+(1+0.5)*bthan*1000/50</f>
        <v>-2585</v>
      </c>
      <c r="C3507" s="52">
        <f t="shared" si="322"/>
        <v>610.00000000000023</v>
      </c>
      <c r="D3507" s="52">
        <f t="shared" si="319"/>
        <v>2200</v>
      </c>
      <c r="E3507" s="52">
        <f t="shared" si="320"/>
        <v>0</v>
      </c>
      <c r="F3507" s="52"/>
      <c r="G3507" s="52"/>
      <c r="H3507" s="52"/>
      <c r="I3507" s="52"/>
      <c r="J3507" s="52"/>
      <c r="K3507" s="52"/>
      <c r="L3507" s="52"/>
      <c r="M3507" s="52"/>
      <c r="N3507" s="52"/>
      <c r="O3507" s="52"/>
      <c r="P3507" s="52"/>
      <c r="Q3507" s="52"/>
      <c r="R3507" s="52"/>
      <c r="S3507" s="52"/>
      <c r="T3507" s="52"/>
      <c r="U3507" s="52"/>
      <c r="V3507" s="52"/>
      <c r="W3507" s="52"/>
      <c r="X3507" s="52"/>
      <c r="Y3507" s="52"/>
      <c r="Z3507" s="52"/>
      <c r="AA3507" s="52"/>
      <c r="AB3507" s="52"/>
      <c r="AC3507" s="52"/>
      <c r="AD3507" s="52"/>
      <c r="AE3507" s="52"/>
      <c r="AF3507" s="52"/>
      <c r="AG3507" s="52"/>
      <c r="AH3507" s="52"/>
      <c r="AI3507" s="52"/>
      <c r="AJ3507" s="52"/>
      <c r="AK3507" s="52"/>
      <c r="AL3507" s="52"/>
      <c r="AM3507" s="52"/>
      <c r="AN3507" s="52"/>
    </row>
    <row r="3508" spans="1:40" x14ac:dyDescent="0.3">
      <c r="A3508" s="52">
        <v>3503</v>
      </c>
      <c r="B3508" s="52">
        <f>-bthan*500+(2+0.5)*bthan*1000/50</f>
        <v>-2475</v>
      </c>
      <c r="C3508" s="52">
        <f t="shared" si="322"/>
        <v>610.00000000000023</v>
      </c>
      <c r="D3508" s="52">
        <f t="shared" si="319"/>
        <v>2200</v>
      </c>
      <c r="E3508" s="52">
        <f t="shared" si="320"/>
        <v>0</v>
      </c>
      <c r="F3508" s="52"/>
      <c r="G3508" s="52"/>
      <c r="H3508" s="52"/>
      <c r="I3508" s="52"/>
      <c r="J3508" s="52"/>
      <c r="K3508" s="52"/>
      <c r="L3508" s="52"/>
      <c r="M3508" s="52"/>
      <c r="N3508" s="52"/>
      <c r="O3508" s="52"/>
      <c r="P3508" s="52"/>
      <c r="Q3508" s="52"/>
      <c r="R3508" s="52"/>
      <c r="S3508" s="52"/>
      <c r="T3508" s="52"/>
      <c r="U3508" s="52"/>
      <c r="V3508" s="52"/>
      <c r="W3508" s="52"/>
      <c r="X3508" s="52"/>
      <c r="Y3508" s="52"/>
      <c r="Z3508" s="52"/>
      <c r="AA3508" s="52"/>
      <c r="AB3508" s="52"/>
      <c r="AC3508" s="52"/>
      <c r="AD3508" s="52"/>
      <c r="AE3508" s="52"/>
      <c r="AF3508" s="52"/>
      <c r="AG3508" s="52"/>
      <c r="AH3508" s="52"/>
      <c r="AI3508" s="52"/>
      <c r="AJ3508" s="52"/>
      <c r="AK3508" s="52"/>
      <c r="AL3508" s="52"/>
      <c r="AM3508" s="52"/>
      <c r="AN3508" s="52"/>
    </row>
    <row r="3509" spans="1:40" x14ac:dyDescent="0.3">
      <c r="A3509" s="52">
        <v>3504</v>
      </c>
      <c r="B3509" s="52">
        <f>-bthan*500+(3+0.5)*bthan*1000/50</f>
        <v>-2365</v>
      </c>
      <c r="C3509" s="52">
        <f t="shared" si="322"/>
        <v>610.00000000000023</v>
      </c>
      <c r="D3509" s="52">
        <f t="shared" si="319"/>
        <v>2200</v>
      </c>
      <c r="E3509" s="52">
        <f t="shared" si="320"/>
        <v>1</v>
      </c>
      <c r="F3509" s="52"/>
      <c r="G3509" s="52"/>
      <c r="H3509" s="52"/>
      <c r="I3509" s="52"/>
      <c r="J3509" s="52"/>
      <c r="K3509" s="52"/>
      <c r="L3509" s="52"/>
      <c r="M3509" s="52"/>
      <c r="N3509" s="52"/>
      <c r="O3509" s="52"/>
      <c r="P3509" s="52"/>
      <c r="Q3509" s="52"/>
      <c r="R3509" s="52"/>
      <c r="S3509" s="52"/>
      <c r="T3509" s="52"/>
      <c r="U3509" s="52"/>
      <c r="V3509" s="52"/>
      <c r="W3509" s="52"/>
      <c r="X3509" s="52"/>
      <c r="Y3509" s="52"/>
      <c r="Z3509" s="52"/>
      <c r="AA3509" s="52"/>
      <c r="AB3509" s="52"/>
      <c r="AC3509" s="52"/>
      <c r="AD3509" s="52"/>
      <c r="AE3509" s="52"/>
      <c r="AF3509" s="52"/>
      <c r="AG3509" s="52"/>
      <c r="AH3509" s="52"/>
      <c r="AI3509" s="52"/>
      <c r="AJ3509" s="52"/>
      <c r="AK3509" s="52"/>
      <c r="AL3509" s="52"/>
      <c r="AM3509" s="52"/>
      <c r="AN3509" s="52"/>
    </row>
    <row r="3510" spans="1:40" x14ac:dyDescent="0.3">
      <c r="A3510" s="52">
        <v>3505</v>
      </c>
      <c r="B3510" s="52">
        <f>-bthan*500+(4+0.5)*bthan*1000/50</f>
        <v>-2255</v>
      </c>
      <c r="C3510" s="52">
        <f t="shared" si="322"/>
        <v>610.00000000000023</v>
      </c>
      <c r="D3510" s="52">
        <f t="shared" si="319"/>
        <v>2200</v>
      </c>
      <c r="E3510" s="52">
        <f t="shared" si="320"/>
        <v>1</v>
      </c>
      <c r="F3510" s="52"/>
      <c r="G3510" s="52"/>
      <c r="H3510" s="52"/>
      <c r="I3510" s="52"/>
      <c r="J3510" s="52"/>
      <c r="K3510" s="52"/>
      <c r="L3510" s="52"/>
      <c r="M3510" s="52"/>
      <c r="N3510" s="52"/>
      <c r="O3510" s="52"/>
      <c r="P3510" s="52"/>
      <c r="Q3510" s="52"/>
      <c r="R3510" s="52"/>
      <c r="S3510" s="52"/>
      <c r="T3510" s="52"/>
      <c r="U3510" s="52"/>
      <c r="V3510" s="52"/>
      <c r="W3510" s="52"/>
      <c r="X3510" s="52"/>
      <c r="Y3510" s="52"/>
      <c r="Z3510" s="52"/>
      <c r="AA3510" s="52"/>
      <c r="AB3510" s="52"/>
      <c r="AC3510" s="52"/>
      <c r="AD3510" s="52"/>
      <c r="AE3510" s="52"/>
      <c r="AF3510" s="52"/>
      <c r="AG3510" s="52"/>
      <c r="AH3510" s="52"/>
      <c r="AI3510" s="52"/>
      <c r="AJ3510" s="52"/>
      <c r="AK3510" s="52"/>
      <c r="AL3510" s="52"/>
      <c r="AM3510" s="52"/>
      <c r="AN3510" s="52"/>
    </row>
    <row r="3511" spans="1:40" x14ac:dyDescent="0.3">
      <c r="A3511" s="52">
        <v>3506</v>
      </c>
      <c r="B3511" s="52">
        <f>-bthan*500+(5+0.5)*bthan*1000/50</f>
        <v>-2145</v>
      </c>
      <c r="C3511" s="52">
        <f t="shared" si="322"/>
        <v>610.00000000000023</v>
      </c>
      <c r="D3511" s="52">
        <f t="shared" si="319"/>
        <v>2200</v>
      </c>
      <c r="E3511" s="52">
        <f t="shared" si="320"/>
        <v>1</v>
      </c>
      <c r="F3511" s="52"/>
      <c r="G3511" s="52"/>
      <c r="H3511" s="52"/>
      <c r="I3511" s="52"/>
      <c r="J3511" s="52"/>
      <c r="K3511" s="52"/>
      <c r="L3511" s="52"/>
      <c r="M3511" s="52"/>
      <c r="N3511" s="52"/>
      <c r="O3511" s="52"/>
      <c r="P3511" s="52"/>
      <c r="Q3511" s="52"/>
      <c r="R3511" s="52"/>
      <c r="S3511" s="52"/>
      <c r="T3511" s="52"/>
      <c r="U3511" s="52"/>
      <c r="V3511" s="52"/>
      <c r="W3511" s="52"/>
      <c r="X3511" s="52"/>
      <c r="Y3511" s="52"/>
      <c r="Z3511" s="52"/>
      <c r="AA3511" s="52"/>
      <c r="AB3511" s="52"/>
      <c r="AC3511" s="52"/>
      <c r="AD3511" s="52"/>
      <c r="AE3511" s="52"/>
      <c r="AF3511" s="52"/>
      <c r="AG3511" s="52"/>
      <c r="AH3511" s="52"/>
      <c r="AI3511" s="52"/>
      <c r="AJ3511" s="52"/>
      <c r="AK3511" s="52"/>
      <c r="AL3511" s="52"/>
      <c r="AM3511" s="52"/>
      <c r="AN3511" s="52"/>
    </row>
    <row r="3512" spans="1:40" x14ac:dyDescent="0.3">
      <c r="A3512" s="52">
        <v>3507</v>
      </c>
      <c r="B3512" s="52">
        <f>-bthan*500+(6+0.5)*bthan*1000/50</f>
        <v>-2035</v>
      </c>
      <c r="C3512" s="52">
        <f t="shared" si="322"/>
        <v>610.00000000000023</v>
      </c>
      <c r="D3512" s="52">
        <f t="shared" si="319"/>
        <v>2200</v>
      </c>
      <c r="E3512" s="52">
        <f t="shared" si="320"/>
        <v>1</v>
      </c>
      <c r="F3512" s="52"/>
      <c r="G3512" s="52"/>
      <c r="H3512" s="52"/>
      <c r="I3512" s="52"/>
      <c r="J3512" s="52"/>
      <c r="K3512" s="52"/>
      <c r="L3512" s="52"/>
      <c r="M3512" s="52"/>
      <c r="N3512" s="52"/>
      <c r="O3512" s="52"/>
      <c r="P3512" s="52"/>
      <c r="Q3512" s="52"/>
      <c r="R3512" s="52"/>
      <c r="S3512" s="52"/>
      <c r="T3512" s="52"/>
      <c r="U3512" s="52"/>
      <c r="V3512" s="52"/>
      <c r="W3512" s="52"/>
      <c r="X3512" s="52"/>
      <c r="Y3512" s="52"/>
      <c r="Z3512" s="52"/>
      <c r="AA3512" s="52"/>
      <c r="AB3512" s="52"/>
      <c r="AC3512" s="52"/>
      <c r="AD3512" s="52"/>
      <c r="AE3512" s="52"/>
      <c r="AF3512" s="52"/>
      <c r="AG3512" s="52"/>
      <c r="AH3512" s="52"/>
      <c r="AI3512" s="52"/>
      <c r="AJ3512" s="52"/>
      <c r="AK3512" s="52"/>
      <c r="AL3512" s="52"/>
      <c r="AM3512" s="52"/>
      <c r="AN3512" s="52"/>
    </row>
    <row r="3513" spans="1:40" x14ac:dyDescent="0.3">
      <c r="A3513" s="52">
        <v>3508</v>
      </c>
      <c r="B3513" s="52">
        <f>-bthan*500+(7+0.5)*bthan*1000/50</f>
        <v>-1925</v>
      </c>
      <c r="C3513" s="52">
        <f t="shared" si="322"/>
        <v>610.00000000000023</v>
      </c>
      <c r="D3513" s="52">
        <f t="shared" si="319"/>
        <v>2200</v>
      </c>
      <c r="E3513" s="52">
        <f t="shared" si="320"/>
        <v>1</v>
      </c>
      <c r="F3513" s="52"/>
      <c r="G3513" s="52"/>
      <c r="H3513" s="52"/>
      <c r="I3513" s="52"/>
      <c r="J3513" s="52"/>
      <c r="K3513" s="52"/>
      <c r="L3513" s="52"/>
      <c r="M3513" s="52"/>
      <c r="N3513" s="52"/>
      <c r="O3513" s="52"/>
      <c r="P3513" s="52"/>
      <c r="Q3513" s="52"/>
      <c r="R3513" s="52"/>
      <c r="S3513" s="52"/>
      <c r="T3513" s="52"/>
      <c r="U3513" s="52"/>
      <c r="V3513" s="52"/>
      <c r="W3513" s="52"/>
      <c r="X3513" s="52"/>
      <c r="Y3513" s="52"/>
      <c r="Z3513" s="52"/>
      <c r="AA3513" s="52"/>
      <c r="AB3513" s="52"/>
      <c r="AC3513" s="52"/>
      <c r="AD3513" s="52"/>
      <c r="AE3513" s="52"/>
      <c r="AF3513" s="52"/>
      <c r="AG3513" s="52"/>
      <c r="AH3513" s="52"/>
      <c r="AI3513" s="52"/>
      <c r="AJ3513" s="52"/>
      <c r="AK3513" s="52"/>
      <c r="AL3513" s="52"/>
      <c r="AM3513" s="52"/>
      <c r="AN3513" s="52"/>
    </row>
    <row r="3514" spans="1:40" x14ac:dyDescent="0.3">
      <c r="A3514" s="52">
        <v>3509</v>
      </c>
      <c r="B3514" s="52">
        <f>-bthan*500+(8+0.5)*bthan*1000/50</f>
        <v>-1815</v>
      </c>
      <c r="C3514" s="52">
        <f t="shared" si="322"/>
        <v>610.00000000000023</v>
      </c>
      <c r="D3514" s="52">
        <f t="shared" si="319"/>
        <v>2200</v>
      </c>
      <c r="E3514" s="52">
        <f t="shared" si="320"/>
        <v>1</v>
      </c>
      <c r="F3514" s="52"/>
      <c r="G3514" s="52"/>
      <c r="H3514" s="52"/>
      <c r="I3514" s="52"/>
      <c r="J3514" s="52"/>
      <c r="K3514" s="52"/>
      <c r="L3514" s="52"/>
      <c r="M3514" s="52"/>
      <c r="N3514" s="52"/>
      <c r="O3514" s="52"/>
      <c r="P3514" s="52"/>
      <c r="Q3514" s="52"/>
      <c r="R3514" s="52"/>
      <c r="S3514" s="52"/>
      <c r="T3514" s="52"/>
      <c r="U3514" s="52"/>
      <c r="V3514" s="52"/>
      <c r="W3514" s="52"/>
      <c r="X3514" s="52"/>
      <c r="Y3514" s="52"/>
      <c r="Z3514" s="52"/>
      <c r="AA3514" s="52"/>
      <c r="AB3514" s="52"/>
      <c r="AC3514" s="52"/>
      <c r="AD3514" s="52"/>
      <c r="AE3514" s="52"/>
      <c r="AF3514" s="52"/>
      <c r="AG3514" s="52"/>
      <c r="AH3514" s="52"/>
      <c r="AI3514" s="52"/>
      <c r="AJ3514" s="52"/>
      <c r="AK3514" s="52"/>
      <c r="AL3514" s="52"/>
      <c r="AM3514" s="52"/>
      <c r="AN3514" s="52"/>
    </row>
    <row r="3515" spans="1:40" x14ac:dyDescent="0.3">
      <c r="A3515" s="52">
        <v>3510</v>
      </c>
      <c r="B3515" s="52">
        <f>-bthan*500+(9+0.5)*bthan*1000/50</f>
        <v>-1705</v>
      </c>
      <c r="C3515" s="52">
        <f t="shared" si="322"/>
        <v>610.00000000000023</v>
      </c>
      <c r="D3515" s="52">
        <f t="shared" si="319"/>
        <v>2200</v>
      </c>
      <c r="E3515" s="52">
        <f t="shared" si="320"/>
        <v>1</v>
      </c>
      <c r="F3515" s="52"/>
      <c r="G3515" s="52"/>
      <c r="H3515" s="52"/>
      <c r="I3515" s="52"/>
      <c r="J3515" s="52"/>
      <c r="K3515" s="52"/>
      <c r="L3515" s="52"/>
      <c r="M3515" s="52"/>
      <c r="N3515" s="52"/>
      <c r="O3515" s="52"/>
      <c r="P3515" s="52"/>
      <c r="Q3515" s="52"/>
      <c r="R3515" s="52"/>
      <c r="S3515" s="52"/>
      <c r="T3515" s="52"/>
      <c r="U3515" s="52"/>
      <c r="V3515" s="52"/>
      <c r="W3515" s="52"/>
      <c r="X3515" s="52"/>
      <c r="Y3515" s="52"/>
      <c r="Z3515" s="52"/>
      <c r="AA3515" s="52"/>
      <c r="AB3515" s="52"/>
      <c r="AC3515" s="52"/>
      <c r="AD3515" s="52"/>
      <c r="AE3515" s="52"/>
      <c r="AF3515" s="52"/>
      <c r="AG3515" s="52"/>
      <c r="AH3515" s="52"/>
      <c r="AI3515" s="52"/>
      <c r="AJ3515" s="52"/>
      <c r="AK3515" s="52"/>
      <c r="AL3515" s="52"/>
      <c r="AM3515" s="52"/>
      <c r="AN3515" s="52"/>
    </row>
    <row r="3516" spans="1:40" x14ac:dyDescent="0.3">
      <c r="A3516" s="52">
        <v>3511</v>
      </c>
      <c r="B3516" s="52">
        <f>-bthan*500+(10+0.5)*bthan*1000/50</f>
        <v>-1595</v>
      </c>
      <c r="C3516" s="52">
        <f t="shared" si="322"/>
        <v>610.00000000000023</v>
      </c>
      <c r="D3516" s="52">
        <f t="shared" si="319"/>
        <v>2200</v>
      </c>
      <c r="E3516" s="52">
        <f t="shared" si="320"/>
        <v>1</v>
      </c>
      <c r="F3516" s="52"/>
      <c r="G3516" s="52"/>
      <c r="H3516" s="52"/>
      <c r="I3516" s="52"/>
      <c r="J3516" s="52"/>
      <c r="K3516" s="52"/>
      <c r="L3516" s="52"/>
      <c r="M3516" s="52"/>
      <c r="N3516" s="52"/>
      <c r="O3516" s="52"/>
      <c r="P3516" s="52"/>
      <c r="Q3516" s="52"/>
      <c r="R3516" s="52"/>
      <c r="S3516" s="52"/>
      <c r="T3516" s="52"/>
      <c r="U3516" s="52"/>
      <c r="V3516" s="52"/>
      <c r="W3516" s="52"/>
      <c r="X3516" s="52"/>
      <c r="Y3516" s="52"/>
      <c r="Z3516" s="52"/>
      <c r="AA3516" s="52"/>
      <c r="AB3516" s="52"/>
      <c r="AC3516" s="52"/>
      <c r="AD3516" s="52"/>
      <c r="AE3516" s="52"/>
      <c r="AF3516" s="52"/>
      <c r="AG3516" s="52"/>
      <c r="AH3516" s="52"/>
      <c r="AI3516" s="52"/>
      <c r="AJ3516" s="52"/>
      <c r="AK3516" s="52"/>
      <c r="AL3516" s="52"/>
      <c r="AM3516" s="52"/>
      <c r="AN3516" s="52"/>
    </row>
    <row r="3517" spans="1:40" x14ac:dyDescent="0.3">
      <c r="A3517" s="52">
        <v>3512</v>
      </c>
      <c r="B3517" s="52">
        <f>-bthan*500+(11+0.5)*bthan*1000/50</f>
        <v>-1485</v>
      </c>
      <c r="C3517" s="52">
        <f t="shared" si="322"/>
        <v>610.00000000000023</v>
      </c>
      <c r="D3517" s="52">
        <f t="shared" si="319"/>
        <v>2200</v>
      </c>
      <c r="E3517" s="52">
        <f t="shared" si="320"/>
        <v>1</v>
      </c>
      <c r="F3517" s="52"/>
      <c r="G3517" s="52"/>
      <c r="H3517" s="52"/>
      <c r="I3517" s="52"/>
      <c r="J3517" s="52"/>
      <c r="K3517" s="52"/>
      <c r="L3517" s="52"/>
      <c r="M3517" s="52"/>
      <c r="N3517" s="52"/>
      <c r="O3517" s="52"/>
      <c r="P3517" s="52"/>
      <c r="Q3517" s="52"/>
      <c r="R3517" s="52"/>
      <c r="S3517" s="52"/>
      <c r="T3517" s="52"/>
      <c r="U3517" s="52"/>
      <c r="V3517" s="52"/>
      <c r="W3517" s="52"/>
      <c r="X3517" s="52"/>
      <c r="Y3517" s="52"/>
      <c r="Z3517" s="52"/>
      <c r="AA3517" s="52"/>
      <c r="AB3517" s="52"/>
      <c r="AC3517" s="52"/>
      <c r="AD3517" s="52"/>
      <c r="AE3517" s="52"/>
      <c r="AF3517" s="52"/>
      <c r="AG3517" s="52"/>
      <c r="AH3517" s="52"/>
      <c r="AI3517" s="52"/>
      <c r="AJ3517" s="52"/>
      <c r="AK3517" s="52"/>
      <c r="AL3517" s="52"/>
      <c r="AM3517" s="52"/>
      <c r="AN3517" s="52"/>
    </row>
    <row r="3518" spans="1:40" x14ac:dyDescent="0.3">
      <c r="A3518" s="52">
        <v>3513</v>
      </c>
      <c r="B3518" s="52">
        <f>-bthan*500+(12+0.5)*bthan*1000/50</f>
        <v>-1375</v>
      </c>
      <c r="C3518" s="52">
        <f t="shared" si="322"/>
        <v>610.00000000000023</v>
      </c>
      <c r="D3518" s="52">
        <f t="shared" si="319"/>
        <v>2200</v>
      </c>
      <c r="E3518" s="52">
        <f t="shared" si="320"/>
        <v>1</v>
      </c>
      <c r="F3518" s="52"/>
      <c r="G3518" s="52"/>
      <c r="H3518" s="52"/>
      <c r="I3518" s="52"/>
      <c r="J3518" s="52"/>
      <c r="K3518" s="52"/>
      <c r="L3518" s="52"/>
      <c r="M3518" s="52"/>
      <c r="N3518" s="52"/>
      <c r="O3518" s="52"/>
      <c r="P3518" s="52"/>
      <c r="Q3518" s="52"/>
      <c r="R3518" s="52"/>
      <c r="S3518" s="52"/>
      <c r="T3518" s="52"/>
      <c r="U3518" s="52"/>
      <c r="V3518" s="52"/>
      <c r="W3518" s="52"/>
      <c r="X3518" s="52"/>
      <c r="Y3518" s="52"/>
      <c r="Z3518" s="52"/>
      <c r="AA3518" s="52"/>
      <c r="AB3518" s="52"/>
      <c r="AC3518" s="52"/>
      <c r="AD3518" s="52"/>
      <c r="AE3518" s="52"/>
      <c r="AF3518" s="52"/>
      <c r="AG3518" s="52"/>
      <c r="AH3518" s="52"/>
      <c r="AI3518" s="52"/>
      <c r="AJ3518" s="52"/>
      <c r="AK3518" s="52"/>
      <c r="AL3518" s="52"/>
      <c r="AM3518" s="52"/>
      <c r="AN3518" s="52"/>
    </row>
    <row r="3519" spans="1:40" x14ac:dyDescent="0.3">
      <c r="A3519" s="52">
        <v>3514</v>
      </c>
      <c r="B3519" s="52">
        <f>-bthan*500+(13+0.5)*bthan*1000/50</f>
        <v>-1265</v>
      </c>
      <c r="C3519" s="52">
        <f t="shared" si="322"/>
        <v>610.00000000000023</v>
      </c>
      <c r="D3519" s="52">
        <f t="shared" si="319"/>
        <v>2200</v>
      </c>
      <c r="E3519" s="52">
        <f t="shared" si="320"/>
        <v>1</v>
      </c>
      <c r="F3519" s="52"/>
      <c r="G3519" s="52"/>
      <c r="H3519" s="52"/>
      <c r="I3519" s="52"/>
      <c r="J3519" s="52"/>
      <c r="K3519" s="52"/>
      <c r="L3519" s="52"/>
      <c r="M3519" s="52"/>
      <c r="N3519" s="52"/>
      <c r="O3519" s="52"/>
      <c r="P3519" s="52"/>
      <c r="Q3519" s="52"/>
      <c r="R3519" s="52"/>
      <c r="S3519" s="52"/>
      <c r="T3519" s="52"/>
      <c r="U3519" s="52"/>
      <c r="V3519" s="52"/>
      <c r="W3519" s="52"/>
      <c r="X3519" s="52"/>
      <c r="Y3519" s="52"/>
      <c r="Z3519" s="52"/>
      <c r="AA3519" s="52"/>
      <c r="AB3519" s="52"/>
      <c r="AC3519" s="52"/>
      <c r="AD3519" s="52"/>
      <c r="AE3519" s="52"/>
      <c r="AF3519" s="52"/>
      <c r="AG3519" s="52"/>
      <c r="AH3519" s="52"/>
      <c r="AI3519" s="52"/>
      <c r="AJ3519" s="52"/>
      <c r="AK3519" s="52"/>
      <c r="AL3519" s="52"/>
      <c r="AM3519" s="52"/>
      <c r="AN3519" s="52"/>
    </row>
    <row r="3520" spans="1:40" x14ac:dyDescent="0.3">
      <c r="A3520" s="52">
        <v>3515</v>
      </c>
      <c r="B3520" s="52">
        <f>-bthan*500+(14+0.5)*bthan*1000/50</f>
        <v>-1155</v>
      </c>
      <c r="C3520" s="52">
        <f t="shared" si="322"/>
        <v>610.00000000000023</v>
      </c>
      <c r="D3520" s="52">
        <f t="shared" si="319"/>
        <v>2200</v>
      </c>
      <c r="E3520" s="52">
        <f t="shared" si="320"/>
        <v>1</v>
      </c>
      <c r="F3520" s="52"/>
      <c r="G3520" s="52"/>
      <c r="H3520" s="52"/>
      <c r="I3520" s="52"/>
      <c r="J3520" s="52"/>
      <c r="K3520" s="52"/>
      <c r="L3520" s="52"/>
      <c r="M3520" s="52"/>
      <c r="N3520" s="52"/>
      <c r="O3520" s="52"/>
      <c r="P3520" s="52"/>
      <c r="Q3520" s="52"/>
      <c r="R3520" s="52"/>
      <c r="S3520" s="52"/>
      <c r="T3520" s="52"/>
      <c r="U3520" s="52"/>
      <c r="V3520" s="52"/>
      <c r="W3520" s="52"/>
      <c r="X3520" s="52"/>
      <c r="Y3520" s="52"/>
      <c r="Z3520" s="52"/>
      <c r="AA3520" s="52"/>
      <c r="AB3520" s="52"/>
      <c r="AC3520" s="52"/>
      <c r="AD3520" s="52"/>
      <c r="AE3520" s="52"/>
      <c r="AF3520" s="52"/>
      <c r="AG3520" s="52"/>
      <c r="AH3520" s="52"/>
      <c r="AI3520" s="52"/>
      <c r="AJ3520" s="52"/>
      <c r="AK3520" s="52"/>
      <c r="AL3520" s="52"/>
      <c r="AM3520" s="52"/>
      <c r="AN3520" s="52"/>
    </row>
    <row r="3521" spans="1:40" x14ac:dyDescent="0.3">
      <c r="A3521" s="52">
        <v>3516</v>
      </c>
      <c r="B3521" s="52">
        <f>-bthan*500+(15+0.5)*bthan*1000/50</f>
        <v>-1045</v>
      </c>
      <c r="C3521" s="52">
        <f t="shared" si="322"/>
        <v>610.00000000000023</v>
      </c>
      <c r="D3521" s="52">
        <f t="shared" si="319"/>
        <v>2200</v>
      </c>
      <c r="E3521" s="52">
        <f t="shared" si="320"/>
        <v>1</v>
      </c>
      <c r="F3521" s="52"/>
      <c r="G3521" s="52"/>
      <c r="H3521" s="52"/>
      <c r="I3521" s="52"/>
      <c r="J3521" s="52"/>
      <c r="K3521" s="52"/>
      <c r="L3521" s="52"/>
      <c r="M3521" s="52"/>
      <c r="N3521" s="52"/>
      <c r="O3521" s="52"/>
      <c r="P3521" s="52"/>
      <c r="Q3521" s="52"/>
      <c r="R3521" s="52"/>
      <c r="S3521" s="52"/>
      <c r="T3521" s="52"/>
      <c r="U3521" s="52"/>
      <c r="V3521" s="52"/>
      <c r="W3521" s="52"/>
      <c r="X3521" s="52"/>
      <c r="Y3521" s="52"/>
      <c r="Z3521" s="52"/>
      <c r="AA3521" s="52"/>
      <c r="AB3521" s="52"/>
      <c r="AC3521" s="52"/>
      <c r="AD3521" s="52"/>
      <c r="AE3521" s="52"/>
      <c r="AF3521" s="52"/>
      <c r="AG3521" s="52"/>
      <c r="AH3521" s="52"/>
      <c r="AI3521" s="52"/>
      <c r="AJ3521" s="52"/>
      <c r="AK3521" s="52"/>
      <c r="AL3521" s="52"/>
      <c r="AM3521" s="52"/>
      <c r="AN3521" s="52"/>
    </row>
    <row r="3522" spans="1:40" x14ac:dyDescent="0.3">
      <c r="A3522" s="52">
        <v>3517</v>
      </c>
      <c r="B3522" s="52">
        <f>-bthan*500+(16+0.5)*bthan*1000/50</f>
        <v>-935</v>
      </c>
      <c r="C3522" s="52">
        <f t="shared" si="322"/>
        <v>610.00000000000023</v>
      </c>
      <c r="D3522" s="52">
        <f t="shared" si="319"/>
        <v>2200</v>
      </c>
      <c r="E3522" s="52">
        <f t="shared" si="320"/>
        <v>1</v>
      </c>
      <c r="F3522" s="52"/>
      <c r="G3522" s="52"/>
      <c r="H3522" s="52"/>
      <c r="I3522" s="52"/>
      <c r="J3522" s="52"/>
      <c r="K3522" s="52"/>
      <c r="L3522" s="52"/>
      <c r="M3522" s="52"/>
      <c r="N3522" s="52"/>
      <c r="O3522" s="52"/>
      <c r="P3522" s="52"/>
      <c r="Q3522" s="52"/>
      <c r="R3522" s="52"/>
      <c r="S3522" s="52"/>
      <c r="T3522" s="52"/>
      <c r="U3522" s="52"/>
      <c r="V3522" s="52"/>
      <c r="W3522" s="52"/>
      <c r="X3522" s="52"/>
      <c r="Y3522" s="52"/>
      <c r="Z3522" s="52"/>
      <c r="AA3522" s="52"/>
      <c r="AB3522" s="52"/>
      <c r="AC3522" s="52"/>
      <c r="AD3522" s="52"/>
      <c r="AE3522" s="52"/>
      <c r="AF3522" s="52"/>
      <c r="AG3522" s="52"/>
      <c r="AH3522" s="52"/>
      <c r="AI3522" s="52"/>
      <c r="AJ3522" s="52"/>
      <c r="AK3522" s="52"/>
      <c r="AL3522" s="52"/>
      <c r="AM3522" s="52"/>
      <c r="AN3522" s="52"/>
    </row>
    <row r="3523" spans="1:40" x14ac:dyDescent="0.3">
      <c r="A3523" s="52">
        <v>3518</v>
      </c>
      <c r="B3523" s="52">
        <f>-bthan*500+(17+0.5)*bthan*1000/50</f>
        <v>-825</v>
      </c>
      <c r="C3523" s="52">
        <f t="shared" si="322"/>
        <v>610.00000000000023</v>
      </c>
      <c r="D3523" s="52">
        <f t="shared" si="319"/>
        <v>2200</v>
      </c>
      <c r="E3523" s="52">
        <f t="shared" si="320"/>
        <v>1</v>
      </c>
      <c r="F3523" s="52"/>
      <c r="G3523" s="52"/>
      <c r="H3523" s="52"/>
      <c r="I3523" s="52"/>
      <c r="J3523" s="52"/>
      <c r="K3523" s="52"/>
      <c r="L3523" s="52"/>
      <c r="M3523" s="52"/>
      <c r="N3523" s="52"/>
      <c r="O3523" s="52"/>
      <c r="P3523" s="52"/>
      <c r="Q3523" s="52"/>
      <c r="R3523" s="52"/>
      <c r="S3523" s="52"/>
      <c r="T3523" s="52"/>
      <c r="U3523" s="52"/>
      <c r="V3523" s="52"/>
      <c r="W3523" s="52"/>
      <c r="X3523" s="52"/>
      <c r="Y3523" s="52"/>
      <c r="Z3523" s="52"/>
      <c r="AA3523" s="52"/>
      <c r="AB3523" s="52"/>
      <c r="AC3523" s="52"/>
      <c r="AD3523" s="52"/>
      <c r="AE3523" s="52"/>
      <c r="AF3523" s="52"/>
      <c r="AG3523" s="52"/>
      <c r="AH3523" s="52"/>
      <c r="AI3523" s="52"/>
      <c r="AJ3523" s="52"/>
      <c r="AK3523" s="52"/>
      <c r="AL3523" s="52"/>
      <c r="AM3523" s="52"/>
      <c r="AN3523" s="52"/>
    </row>
    <row r="3524" spans="1:40" x14ac:dyDescent="0.3">
      <c r="A3524" s="52">
        <v>3519</v>
      </c>
      <c r="B3524" s="52">
        <f>-bthan*500+(18+0.5)*bthan*1000/50</f>
        <v>-715</v>
      </c>
      <c r="C3524" s="52">
        <f t="shared" si="322"/>
        <v>610.00000000000023</v>
      </c>
      <c r="D3524" s="52">
        <f t="shared" si="319"/>
        <v>2200</v>
      </c>
      <c r="E3524" s="52">
        <f t="shared" si="320"/>
        <v>1</v>
      </c>
      <c r="F3524" s="52"/>
      <c r="G3524" s="52"/>
      <c r="H3524" s="52"/>
      <c r="I3524" s="52"/>
      <c r="J3524" s="52"/>
      <c r="K3524" s="52"/>
      <c r="L3524" s="52"/>
      <c r="M3524" s="52"/>
      <c r="N3524" s="52"/>
      <c r="O3524" s="52"/>
      <c r="P3524" s="52"/>
      <c r="Q3524" s="52"/>
      <c r="R3524" s="52"/>
      <c r="S3524" s="52"/>
      <c r="T3524" s="52"/>
      <c r="U3524" s="52"/>
      <c r="V3524" s="52"/>
      <c r="W3524" s="52"/>
      <c r="X3524" s="52"/>
      <c r="Y3524" s="52"/>
      <c r="Z3524" s="52"/>
      <c r="AA3524" s="52"/>
      <c r="AB3524" s="52"/>
      <c r="AC3524" s="52"/>
      <c r="AD3524" s="52"/>
      <c r="AE3524" s="52"/>
      <c r="AF3524" s="52"/>
      <c r="AG3524" s="52"/>
      <c r="AH3524" s="52"/>
      <c r="AI3524" s="52"/>
      <c r="AJ3524" s="52"/>
      <c r="AK3524" s="52"/>
      <c r="AL3524" s="52"/>
      <c r="AM3524" s="52"/>
      <c r="AN3524" s="52"/>
    </row>
    <row r="3525" spans="1:40" x14ac:dyDescent="0.3">
      <c r="A3525" s="52">
        <v>3520</v>
      </c>
      <c r="B3525" s="52">
        <f>-bthan*500+(19+0.5)*bthan*1000/50</f>
        <v>-605</v>
      </c>
      <c r="C3525" s="52">
        <f t="shared" si="322"/>
        <v>610.00000000000023</v>
      </c>
      <c r="D3525" s="52">
        <f t="shared" si="319"/>
        <v>2200</v>
      </c>
      <c r="E3525" s="52">
        <f t="shared" si="320"/>
        <v>1</v>
      </c>
      <c r="F3525" s="52"/>
      <c r="G3525" s="52"/>
      <c r="H3525" s="52"/>
      <c r="I3525" s="52"/>
      <c r="J3525" s="52"/>
      <c r="K3525" s="52"/>
      <c r="L3525" s="52"/>
      <c r="M3525" s="52"/>
      <c r="N3525" s="52"/>
      <c r="O3525" s="52"/>
      <c r="P3525" s="52"/>
      <c r="Q3525" s="52"/>
      <c r="R3525" s="52"/>
      <c r="S3525" s="52"/>
      <c r="T3525" s="52"/>
      <c r="U3525" s="52"/>
      <c r="V3525" s="52"/>
      <c r="W3525" s="52"/>
      <c r="X3525" s="52"/>
      <c r="Y3525" s="52"/>
      <c r="Z3525" s="52"/>
      <c r="AA3525" s="52"/>
      <c r="AB3525" s="52"/>
      <c r="AC3525" s="52"/>
      <c r="AD3525" s="52"/>
      <c r="AE3525" s="52"/>
      <c r="AF3525" s="52"/>
      <c r="AG3525" s="52"/>
      <c r="AH3525" s="52"/>
      <c r="AI3525" s="52"/>
      <c r="AJ3525" s="52"/>
      <c r="AK3525" s="52"/>
      <c r="AL3525" s="52"/>
      <c r="AM3525" s="52"/>
      <c r="AN3525" s="52"/>
    </row>
    <row r="3526" spans="1:40" x14ac:dyDescent="0.3">
      <c r="A3526" s="52">
        <v>3521</v>
      </c>
      <c r="B3526" s="52">
        <f>-bthan*500+(20+0.5)*bthan*1000/50</f>
        <v>-495</v>
      </c>
      <c r="C3526" s="52">
        <f t="shared" si="322"/>
        <v>610.00000000000023</v>
      </c>
      <c r="D3526" s="52">
        <f t="shared" ref="D3526:D3589" si="323">bthan*1000/50*hthan*1000/80</f>
        <v>2200</v>
      </c>
      <c r="E3526" s="52">
        <f t="shared" ref="E3526:E3589" si="324">IF(shp=1,--(OR(ABS(B3526)&lt;=MAX(0,(bthan-hthan)*500),(ABS(B3526)-MAX(0,(bthan-hthan)*500))^2+C3526^2&lt;=(hthan*500)^2)),--(AND(ABS(B3526)&lt;=bthan*500,ABS(C3526)&lt;=hthan*500,OR(ABS(B3526)&lt;=bthan*500-cch*1000,ABS(C3526)&lt;=hthan*500-cch*1000,(bthan*500-ABS(B3526))+(hthan*500-ABS(C3526))&gt;=cch*1000))))</f>
        <v>1</v>
      </c>
      <c r="F3526" s="52"/>
      <c r="G3526" s="52"/>
      <c r="H3526" s="52"/>
      <c r="I3526" s="52"/>
      <c r="J3526" s="52"/>
      <c r="K3526" s="52"/>
      <c r="L3526" s="52"/>
      <c r="M3526" s="52"/>
      <c r="N3526" s="52"/>
      <c r="O3526" s="52"/>
      <c r="P3526" s="52"/>
      <c r="Q3526" s="52"/>
      <c r="R3526" s="52"/>
      <c r="S3526" s="52"/>
      <c r="T3526" s="52"/>
      <c r="U3526" s="52"/>
      <c r="V3526" s="52"/>
      <c r="W3526" s="52"/>
      <c r="X3526" s="52"/>
      <c r="Y3526" s="52"/>
      <c r="Z3526" s="52"/>
      <c r="AA3526" s="52"/>
      <c r="AB3526" s="52"/>
      <c r="AC3526" s="52"/>
      <c r="AD3526" s="52"/>
      <c r="AE3526" s="52"/>
      <c r="AF3526" s="52"/>
      <c r="AG3526" s="52"/>
      <c r="AH3526" s="52"/>
      <c r="AI3526" s="52"/>
      <c r="AJ3526" s="52"/>
      <c r="AK3526" s="52"/>
      <c r="AL3526" s="52"/>
      <c r="AM3526" s="52"/>
      <c r="AN3526" s="52"/>
    </row>
    <row r="3527" spans="1:40" x14ac:dyDescent="0.3">
      <c r="A3527" s="52">
        <v>3522</v>
      </c>
      <c r="B3527" s="52">
        <f>-bthan*500+(21+0.5)*bthan*1000/50</f>
        <v>-385</v>
      </c>
      <c r="C3527" s="52">
        <f t="shared" si="322"/>
        <v>610.00000000000023</v>
      </c>
      <c r="D3527" s="52">
        <f t="shared" si="323"/>
        <v>2200</v>
      </c>
      <c r="E3527" s="52">
        <f t="shared" si="324"/>
        <v>1</v>
      </c>
      <c r="F3527" s="52"/>
      <c r="G3527" s="52"/>
      <c r="H3527" s="52"/>
      <c r="I3527" s="52"/>
      <c r="J3527" s="52"/>
      <c r="K3527" s="52"/>
      <c r="L3527" s="52"/>
      <c r="M3527" s="52"/>
      <c r="N3527" s="52"/>
      <c r="O3527" s="52"/>
      <c r="P3527" s="52"/>
      <c r="Q3527" s="52"/>
      <c r="R3527" s="52"/>
      <c r="S3527" s="52"/>
      <c r="T3527" s="52"/>
      <c r="U3527" s="52"/>
      <c r="V3527" s="52"/>
      <c r="W3527" s="52"/>
      <c r="X3527" s="52"/>
      <c r="Y3527" s="52"/>
      <c r="Z3527" s="52"/>
      <c r="AA3527" s="52"/>
      <c r="AB3527" s="52"/>
      <c r="AC3527" s="52"/>
      <c r="AD3527" s="52"/>
      <c r="AE3527" s="52"/>
      <c r="AF3527" s="52"/>
      <c r="AG3527" s="52"/>
      <c r="AH3527" s="52"/>
      <c r="AI3527" s="52"/>
      <c r="AJ3527" s="52"/>
      <c r="AK3527" s="52"/>
      <c r="AL3527" s="52"/>
      <c r="AM3527" s="52"/>
      <c r="AN3527" s="52"/>
    </row>
    <row r="3528" spans="1:40" x14ac:dyDescent="0.3">
      <c r="A3528" s="52">
        <v>3523</v>
      </c>
      <c r="B3528" s="52">
        <f>-bthan*500+(22+0.5)*bthan*1000/50</f>
        <v>-275</v>
      </c>
      <c r="C3528" s="52">
        <f t="shared" si="322"/>
        <v>610.00000000000023</v>
      </c>
      <c r="D3528" s="52">
        <f t="shared" si="323"/>
        <v>2200</v>
      </c>
      <c r="E3528" s="52">
        <f t="shared" si="324"/>
        <v>1</v>
      </c>
      <c r="F3528" s="52"/>
      <c r="G3528" s="52"/>
      <c r="H3528" s="52"/>
      <c r="I3528" s="52"/>
      <c r="J3528" s="52"/>
      <c r="K3528" s="52"/>
      <c r="L3528" s="52"/>
      <c r="M3528" s="52"/>
      <c r="N3528" s="52"/>
      <c r="O3528" s="52"/>
      <c r="P3528" s="52"/>
      <c r="Q3528" s="52"/>
      <c r="R3528" s="52"/>
      <c r="S3528" s="52"/>
      <c r="T3528" s="52"/>
      <c r="U3528" s="52"/>
      <c r="V3528" s="52"/>
      <c r="W3528" s="52"/>
      <c r="X3528" s="52"/>
      <c r="Y3528" s="52"/>
      <c r="Z3528" s="52"/>
      <c r="AA3528" s="52"/>
      <c r="AB3528" s="52"/>
      <c r="AC3528" s="52"/>
      <c r="AD3528" s="52"/>
      <c r="AE3528" s="52"/>
      <c r="AF3528" s="52"/>
      <c r="AG3528" s="52"/>
      <c r="AH3528" s="52"/>
      <c r="AI3528" s="52"/>
      <c r="AJ3528" s="52"/>
      <c r="AK3528" s="52"/>
      <c r="AL3528" s="52"/>
      <c r="AM3528" s="52"/>
      <c r="AN3528" s="52"/>
    </row>
    <row r="3529" spans="1:40" x14ac:dyDescent="0.3">
      <c r="A3529" s="52">
        <v>3524</v>
      </c>
      <c r="B3529" s="52">
        <f>-bthan*500+(23+0.5)*bthan*1000/50</f>
        <v>-165</v>
      </c>
      <c r="C3529" s="52">
        <f t="shared" si="322"/>
        <v>610.00000000000023</v>
      </c>
      <c r="D3529" s="52">
        <f t="shared" si="323"/>
        <v>2200</v>
      </c>
      <c r="E3529" s="52">
        <f t="shared" si="324"/>
        <v>1</v>
      </c>
      <c r="F3529" s="52"/>
      <c r="G3529" s="52"/>
      <c r="H3529" s="52"/>
      <c r="I3529" s="52"/>
      <c r="J3529" s="52"/>
      <c r="K3529" s="52"/>
      <c r="L3529" s="52"/>
      <c r="M3529" s="52"/>
      <c r="N3529" s="52"/>
      <c r="O3529" s="52"/>
      <c r="P3529" s="52"/>
      <c r="Q3529" s="52"/>
      <c r="R3529" s="52"/>
      <c r="S3529" s="52"/>
      <c r="T3529" s="52"/>
      <c r="U3529" s="52"/>
      <c r="V3529" s="52"/>
      <c r="W3529" s="52"/>
      <c r="X3529" s="52"/>
      <c r="Y3529" s="52"/>
      <c r="Z3529" s="52"/>
      <c r="AA3529" s="52"/>
      <c r="AB3529" s="52"/>
      <c r="AC3529" s="52"/>
      <c r="AD3529" s="52"/>
      <c r="AE3529" s="52"/>
      <c r="AF3529" s="52"/>
      <c r="AG3529" s="52"/>
      <c r="AH3529" s="52"/>
      <c r="AI3529" s="52"/>
      <c r="AJ3529" s="52"/>
      <c r="AK3529" s="52"/>
      <c r="AL3529" s="52"/>
      <c r="AM3529" s="52"/>
      <c r="AN3529" s="52"/>
    </row>
    <row r="3530" spans="1:40" x14ac:dyDescent="0.3">
      <c r="A3530" s="52">
        <v>3525</v>
      </c>
      <c r="B3530" s="52">
        <f>-bthan*500+(24+0.5)*bthan*1000/50</f>
        <v>-55</v>
      </c>
      <c r="C3530" s="52">
        <f t="shared" si="322"/>
        <v>610.00000000000023</v>
      </c>
      <c r="D3530" s="52">
        <f t="shared" si="323"/>
        <v>2200</v>
      </c>
      <c r="E3530" s="52">
        <f t="shared" si="324"/>
        <v>1</v>
      </c>
      <c r="F3530" s="52"/>
      <c r="G3530" s="52"/>
      <c r="H3530" s="52"/>
      <c r="I3530" s="52"/>
      <c r="J3530" s="52"/>
      <c r="K3530" s="52"/>
      <c r="L3530" s="52"/>
      <c r="M3530" s="52"/>
      <c r="N3530" s="52"/>
      <c r="O3530" s="52"/>
      <c r="P3530" s="52"/>
      <c r="Q3530" s="52"/>
      <c r="R3530" s="52"/>
      <c r="S3530" s="52"/>
      <c r="T3530" s="52"/>
      <c r="U3530" s="52"/>
      <c r="V3530" s="52"/>
      <c r="W3530" s="52"/>
      <c r="X3530" s="52"/>
      <c r="Y3530" s="52"/>
      <c r="Z3530" s="52"/>
      <c r="AA3530" s="52"/>
      <c r="AB3530" s="52"/>
      <c r="AC3530" s="52"/>
      <c r="AD3530" s="52"/>
      <c r="AE3530" s="52"/>
      <c r="AF3530" s="52"/>
      <c r="AG3530" s="52"/>
      <c r="AH3530" s="52"/>
      <c r="AI3530" s="52"/>
      <c r="AJ3530" s="52"/>
      <c r="AK3530" s="52"/>
      <c r="AL3530" s="52"/>
      <c r="AM3530" s="52"/>
      <c r="AN3530" s="52"/>
    </row>
    <row r="3531" spans="1:40" x14ac:dyDescent="0.3">
      <c r="A3531" s="52">
        <v>3526</v>
      </c>
      <c r="B3531" s="52">
        <f>-bthan*500+(25+0.5)*bthan*1000/50</f>
        <v>55</v>
      </c>
      <c r="C3531" s="52">
        <f t="shared" si="322"/>
        <v>610.00000000000023</v>
      </c>
      <c r="D3531" s="52">
        <f t="shared" si="323"/>
        <v>2200</v>
      </c>
      <c r="E3531" s="52">
        <f t="shared" si="324"/>
        <v>1</v>
      </c>
      <c r="F3531" s="52"/>
      <c r="G3531" s="52"/>
      <c r="H3531" s="52"/>
      <c r="I3531" s="52"/>
      <c r="J3531" s="52"/>
      <c r="K3531" s="52"/>
      <c r="L3531" s="52"/>
      <c r="M3531" s="52"/>
      <c r="N3531" s="52"/>
      <c r="O3531" s="52"/>
      <c r="P3531" s="52"/>
      <c r="Q3531" s="52"/>
      <c r="R3531" s="52"/>
      <c r="S3531" s="52"/>
      <c r="T3531" s="52"/>
      <c r="U3531" s="52"/>
      <c r="V3531" s="52"/>
      <c r="W3531" s="52"/>
      <c r="X3531" s="52"/>
      <c r="Y3531" s="52"/>
      <c r="Z3531" s="52"/>
      <c r="AA3531" s="52"/>
      <c r="AB3531" s="52"/>
      <c r="AC3531" s="52"/>
      <c r="AD3531" s="52"/>
      <c r="AE3531" s="52"/>
      <c r="AF3531" s="52"/>
      <c r="AG3531" s="52"/>
      <c r="AH3531" s="52"/>
      <c r="AI3531" s="52"/>
      <c r="AJ3531" s="52"/>
      <c r="AK3531" s="52"/>
      <c r="AL3531" s="52"/>
      <c r="AM3531" s="52"/>
      <c r="AN3531" s="52"/>
    </row>
    <row r="3532" spans="1:40" x14ac:dyDescent="0.3">
      <c r="A3532" s="52">
        <v>3527</v>
      </c>
      <c r="B3532" s="52">
        <f>-bthan*500+(26+0.5)*bthan*1000/50</f>
        <v>165</v>
      </c>
      <c r="C3532" s="52">
        <f t="shared" si="322"/>
        <v>610.00000000000023</v>
      </c>
      <c r="D3532" s="52">
        <f t="shared" si="323"/>
        <v>2200</v>
      </c>
      <c r="E3532" s="52">
        <f t="shared" si="324"/>
        <v>1</v>
      </c>
      <c r="F3532" s="52"/>
      <c r="G3532" s="52"/>
      <c r="H3532" s="52"/>
      <c r="I3532" s="52"/>
      <c r="J3532" s="52"/>
      <c r="K3532" s="52"/>
      <c r="L3532" s="52"/>
      <c r="M3532" s="52"/>
      <c r="N3532" s="52"/>
      <c r="O3532" s="52"/>
      <c r="P3532" s="52"/>
      <c r="Q3532" s="52"/>
      <c r="R3532" s="52"/>
      <c r="S3532" s="52"/>
      <c r="T3532" s="52"/>
      <c r="U3532" s="52"/>
      <c r="V3532" s="52"/>
      <c r="W3532" s="52"/>
      <c r="X3532" s="52"/>
      <c r="Y3532" s="52"/>
      <c r="Z3532" s="52"/>
      <c r="AA3532" s="52"/>
      <c r="AB3532" s="52"/>
      <c r="AC3532" s="52"/>
      <c r="AD3532" s="52"/>
      <c r="AE3532" s="52"/>
      <c r="AF3532" s="52"/>
      <c r="AG3532" s="52"/>
      <c r="AH3532" s="52"/>
      <c r="AI3532" s="52"/>
      <c r="AJ3532" s="52"/>
      <c r="AK3532" s="52"/>
      <c r="AL3532" s="52"/>
      <c r="AM3532" s="52"/>
      <c r="AN3532" s="52"/>
    </row>
    <row r="3533" spans="1:40" x14ac:dyDescent="0.3">
      <c r="A3533" s="52">
        <v>3528</v>
      </c>
      <c r="B3533" s="52">
        <f>-bthan*500+(27+0.5)*bthan*1000/50</f>
        <v>275</v>
      </c>
      <c r="C3533" s="52">
        <f t="shared" si="322"/>
        <v>610.00000000000023</v>
      </c>
      <c r="D3533" s="52">
        <f t="shared" si="323"/>
        <v>2200</v>
      </c>
      <c r="E3533" s="52">
        <f t="shared" si="324"/>
        <v>1</v>
      </c>
      <c r="F3533" s="52"/>
      <c r="G3533" s="52"/>
      <c r="H3533" s="52"/>
      <c r="I3533" s="52"/>
      <c r="J3533" s="52"/>
      <c r="K3533" s="52"/>
      <c r="L3533" s="52"/>
      <c r="M3533" s="52"/>
      <c r="N3533" s="52"/>
      <c r="O3533" s="52"/>
      <c r="P3533" s="52"/>
      <c r="Q3533" s="52"/>
      <c r="R3533" s="52"/>
      <c r="S3533" s="52"/>
      <c r="T3533" s="52"/>
      <c r="U3533" s="52"/>
      <c r="V3533" s="52"/>
      <c r="W3533" s="52"/>
      <c r="X3533" s="52"/>
      <c r="Y3533" s="52"/>
      <c r="Z3533" s="52"/>
      <c r="AA3533" s="52"/>
      <c r="AB3533" s="52"/>
      <c r="AC3533" s="52"/>
      <c r="AD3533" s="52"/>
      <c r="AE3533" s="52"/>
      <c r="AF3533" s="52"/>
      <c r="AG3533" s="52"/>
      <c r="AH3533" s="52"/>
      <c r="AI3533" s="52"/>
      <c r="AJ3533" s="52"/>
      <c r="AK3533" s="52"/>
      <c r="AL3533" s="52"/>
      <c r="AM3533" s="52"/>
      <c r="AN3533" s="52"/>
    </row>
    <row r="3534" spans="1:40" x14ac:dyDescent="0.3">
      <c r="A3534" s="52">
        <v>3529</v>
      </c>
      <c r="B3534" s="52">
        <f>-bthan*500+(28+0.5)*bthan*1000/50</f>
        <v>385</v>
      </c>
      <c r="C3534" s="52">
        <f t="shared" si="322"/>
        <v>610.00000000000023</v>
      </c>
      <c r="D3534" s="52">
        <f t="shared" si="323"/>
        <v>2200</v>
      </c>
      <c r="E3534" s="52">
        <f t="shared" si="324"/>
        <v>1</v>
      </c>
      <c r="F3534" s="52"/>
      <c r="G3534" s="52"/>
      <c r="H3534" s="52"/>
      <c r="I3534" s="52"/>
      <c r="J3534" s="52"/>
      <c r="K3534" s="52"/>
      <c r="L3534" s="52"/>
      <c r="M3534" s="52"/>
      <c r="N3534" s="52"/>
      <c r="O3534" s="52"/>
      <c r="P3534" s="52"/>
      <c r="Q3534" s="52"/>
      <c r="R3534" s="52"/>
      <c r="S3534" s="52"/>
      <c r="T3534" s="52"/>
      <c r="U3534" s="52"/>
      <c r="V3534" s="52"/>
      <c r="W3534" s="52"/>
      <c r="X3534" s="52"/>
      <c r="Y3534" s="52"/>
      <c r="Z3534" s="52"/>
      <c r="AA3534" s="52"/>
      <c r="AB3534" s="52"/>
      <c r="AC3534" s="52"/>
      <c r="AD3534" s="52"/>
      <c r="AE3534" s="52"/>
      <c r="AF3534" s="52"/>
      <c r="AG3534" s="52"/>
      <c r="AH3534" s="52"/>
      <c r="AI3534" s="52"/>
      <c r="AJ3534" s="52"/>
      <c r="AK3534" s="52"/>
      <c r="AL3534" s="52"/>
      <c r="AM3534" s="52"/>
      <c r="AN3534" s="52"/>
    </row>
    <row r="3535" spans="1:40" x14ac:dyDescent="0.3">
      <c r="A3535" s="52">
        <v>3530</v>
      </c>
      <c r="B3535" s="52">
        <f>-bthan*500+(29+0.5)*bthan*1000/50</f>
        <v>495</v>
      </c>
      <c r="C3535" s="52">
        <f t="shared" si="322"/>
        <v>610.00000000000023</v>
      </c>
      <c r="D3535" s="52">
        <f t="shared" si="323"/>
        <v>2200</v>
      </c>
      <c r="E3535" s="52">
        <f t="shared" si="324"/>
        <v>1</v>
      </c>
      <c r="F3535" s="52"/>
      <c r="G3535" s="52"/>
      <c r="H3535" s="52"/>
      <c r="I3535" s="52"/>
      <c r="J3535" s="52"/>
      <c r="K3535" s="52"/>
      <c r="L3535" s="52"/>
      <c r="M3535" s="52"/>
      <c r="N3535" s="52"/>
      <c r="O3535" s="52"/>
      <c r="P3535" s="52"/>
      <c r="Q3535" s="52"/>
      <c r="R3535" s="52"/>
      <c r="S3535" s="52"/>
      <c r="T3535" s="52"/>
      <c r="U3535" s="52"/>
      <c r="V3535" s="52"/>
      <c r="W3535" s="52"/>
      <c r="X3535" s="52"/>
      <c r="Y3535" s="52"/>
      <c r="Z3535" s="52"/>
      <c r="AA3535" s="52"/>
      <c r="AB3535" s="52"/>
      <c r="AC3535" s="52"/>
      <c r="AD3535" s="52"/>
      <c r="AE3535" s="52"/>
      <c r="AF3535" s="52"/>
      <c r="AG3535" s="52"/>
      <c r="AH3535" s="52"/>
      <c r="AI3535" s="52"/>
      <c r="AJ3535" s="52"/>
      <c r="AK3535" s="52"/>
      <c r="AL3535" s="52"/>
      <c r="AM3535" s="52"/>
      <c r="AN3535" s="52"/>
    </row>
    <row r="3536" spans="1:40" x14ac:dyDescent="0.3">
      <c r="A3536" s="52">
        <v>3531</v>
      </c>
      <c r="B3536" s="52">
        <f>-bthan*500+(30+0.5)*bthan*1000/50</f>
        <v>605</v>
      </c>
      <c r="C3536" s="52">
        <f t="shared" si="322"/>
        <v>610.00000000000023</v>
      </c>
      <c r="D3536" s="52">
        <f t="shared" si="323"/>
        <v>2200</v>
      </c>
      <c r="E3536" s="52">
        <f t="shared" si="324"/>
        <v>1</v>
      </c>
      <c r="F3536" s="52"/>
      <c r="G3536" s="52"/>
      <c r="H3536" s="52"/>
      <c r="I3536" s="52"/>
      <c r="J3536" s="52"/>
      <c r="K3536" s="52"/>
      <c r="L3536" s="52"/>
      <c r="M3536" s="52"/>
      <c r="N3536" s="52"/>
      <c r="O3536" s="52"/>
      <c r="P3536" s="52"/>
      <c r="Q3536" s="52"/>
      <c r="R3536" s="52"/>
      <c r="S3536" s="52"/>
      <c r="T3536" s="52"/>
      <c r="U3536" s="52"/>
      <c r="V3536" s="52"/>
      <c r="W3536" s="52"/>
      <c r="X3536" s="52"/>
      <c r="Y3536" s="52"/>
      <c r="Z3536" s="52"/>
      <c r="AA3536" s="52"/>
      <c r="AB3536" s="52"/>
      <c r="AC3536" s="52"/>
      <c r="AD3536" s="52"/>
      <c r="AE3536" s="52"/>
      <c r="AF3536" s="52"/>
      <c r="AG3536" s="52"/>
      <c r="AH3536" s="52"/>
      <c r="AI3536" s="52"/>
      <c r="AJ3536" s="52"/>
      <c r="AK3536" s="52"/>
      <c r="AL3536" s="52"/>
      <c r="AM3536" s="52"/>
      <c r="AN3536" s="52"/>
    </row>
    <row r="3537" spans="1:40" x14ac:dyDescent="0.3">
      <c r="A3537" s="52">
        <v>3532</v>
      </c>
      <c r="B3537" s="52">
        <f>-bthan*500+(31+0.5)*bthan*1000/50</f>
        <v>715</v>
      </c>
      <c r="C3537" s="52">
        <f t="shared" si="322"/>
        <v>610.00000000000023</v>
      </c>
      <c r="D3537" s="52">
        <f t="shared" si="323"/>
        <v>2200</v>
      </c>
      <c r="E3537" s="52">
        <f t="shared" si="324"/>
        <v>1</v>
      </c>
      <c r="F3537" s="52"/>
      <c r="G3537" s="52"/>
      <c r="H3537" s="52"/>
      <c r="I3537" s="52"/>
      <c r="J3537" s="52"/>
      <c r="K3537" s="52"/>
      <c r="L3537" s="52"/>
      <c r="M3537" s="52"/>
      <c r="N3537" s="52"/>
      <c r="O3537" s="52"/>
      <c r="P3537" s="52"/>
      <c r="Q3537" s="52"/>
      <c r="R3537" s="52"/>
      <c r="S3537" s="52"/>
      <c r="T3537" s="52"/>
      <c r="U3537" s="52"/>
      <c r="V3537" s="52"/>
      <c r="W3537" s="52"/>
      <c r="X3537" s="52"/>
      <c r="Y3537" s="52"/>
      <c r="Z3537" s="52"/>
      <c r="AA3537" s="52"/>
      <c r="AB3537" s="52"/>
      <c r="AC3537" s="52"/>
      <c r="AD3537" s="52"/>
      <c r="AE3537" s="52"/>
      <c r="AF3537" s="52"/>
      <c r="AG3537" s="52"/>
      <c r="AH3537" s="52"/>
      <c r="AI3537" s="52"/>
      <c r="AJ3537" s="52"/>
      <c r="AK3537" s="52"/>
      <c r="AL3537" s="52"/>
      <c r="AM3537" s="52"/>
      <c r="AN3537" s="52"/>
    </row>
    <row r="3538" spans="1:40" x14ac:dyDescent="0.3">
      <c r="A3538" s="52">
        <v>3533</v>
      </c>
      <c r="B3538" s="52">
        <f>-bthan*500+(32+0.5)*bthan*1000/50</f>
        <v>825</v>
      </c>
      <c r="C3538" s="52">
        <f t="shared" ref="C3538:C3555" si="325">-hthan*500+(70+0.5)*hthan*1000/80</f>
        <v>610.00000000000023</v>
      </c>
      <c r="D3538" s="52">
        <f t="shared" si="323"/>
        <v>2200</v>
      </c>
      <c r="E3538" s="52">
        <f t="shared" si="324"/>
        <v>1</v>
      </c>
      <c r="F3538" s="52"/>
      <c r="G3538" s="52"/>
      <c r="H3538" s="52"/>
      <c r="I3538" s="52"/>
      <c r="J3538" s="52"/>
      <c r="K3538" s="52"/>
      <c r="L3538" s="52"/>
      <c r="M3538" s="52"/>
      <c r="N3538" s="52"/>
      <c r="O3538" s="52"/>
      <c r="P3538" s="52"/>
      <c r="Q3538" s="52"/>
      <c r="R3538" s="52"/>
      <c r="S3538" s="52"/>
      <c r="T3538" s="52"/>
      <c r="U3538" s="52"/>
      <c r="V3538" s="52"/>
      <c r="W3538" s="52"/>
      <c r="X3538" s="52"/>
      <c r="Y3538" s="52"/>
      <c r="Z3538" s="52"/>
      <c r="AA3538" s="52"/>
      <c r="AB3538" s="52"/>
      <c r="AC3538" s="52"/>
      <c r="AD3538" s="52"/>
      <c r="AE3538" s="52"/>
      <c r="AF3538" s="52"/>
      <c r="AG3538" s="52"/>
      <c r="AH3538" s="52"/>
      <c r="AI3538" s="52"/>
      <c r="AJ3538" s="52"/>
      <c r="AK3538" s="52"/>
      <c r="AL3538" s="52"/>
      <c r="AM3538" s="52"/>
      <c r="AN3538" s="52"/>
    </row>
    <row r="3539" spans="1:40" x14ac:dyDescent="0.3">
      <c r="A3539" s="52">
        <v>3534</v>
      </c>
      <c r="B3539" s="52">
        <f>-bthan*500+(33+0.5)*bthan*1000/50</f>
        <v>935</v>
      </c>
      <c r="C3539" s="52">
        <f t="shared" si="325"/>
        <v>610.00000000000023</v>
      </c>
      <c r="D3539" s="52">
        <f t="shared" si="323"/>
        <v>2200</v>
      </c>
      <c r="E3539" s="52">
        <f t="shared" si="324"/>
        <v>1</v>
      </c>
      <c r="F3539" s="52"/>
      <c r="G3539" s="52"/>
      <c r="H3539" s="52"/>
      <c r="I3539" s="52"/>
      <c r="J3539" s="52"/>
      <c r="K3539" s="52"/>
      <c r="L3539" s="52"/>
      <c r="M3539" s="52"/>
      <c r="N3539" s="52"/>
      <c r="O3539" s="52"/>
      <c r="P3539" s="52"/>
      <c r="Q3539" s="52"/>
      <c r="R3539" s="52"/>
      <c r="S3539" s="52"/>
      <c r="T3539" s="52"/>
      <c r="U3539" s="52"/>
      <c r="V3539" s="52"/>
      <c r="W3539" s="52"/>
      <c r="X3539" s="52"/>
      <c r="Y3539" s="52"/>
      <c r="Z3539" s="52"/>
      <c r="AA3539" s="52"/>
      <c r="AB3539" s="52"/>
      <c r="AC3539" s="52"/>
      <c r="AD3539" s="52"/>
      <c r="AE3539" s="52"/>
      <c r="AF3539" s="52"/>
      <c r="AG3539" s="52"/>
      <c r="AH3539" s="52"/>
      <c r="AI3539" s="52"/>
      <c r="AJ3539" s="52"/>
      <c r="AK3539" s="52"/>
      <c r="AL3539" s="52"/>
      <c r="AM3539" s="52"/>
      <c r="AN3539" s="52"/>
    </row>
    <row r="3540" spans="1:40" x14ac:dyDescent="0.3">
      <c r="A3540" s="52">
        <v>3535</v>
      </c>
      <c r="B3540" s="52">
        <f>-bthan*500+(34+0.5)*bthan*1000/50</f>
        <v>1045</v>
      </c>
      <c r="C3540" s="52">
        <f t="shared" si="325"/>
        <v>610.00000000000023</v>
      </c>
      <c r="D3540" s="52">
        <f t="shared" si="323"/>
        <v>2200</v>
      </c>
      <c r="E3540" s="52">
        <f t="shared" si="324"/>
        <v>1</v>
      </c>
      <c r="F3540" s="52"/>
      <c r="G3540" s="52"/>
      <c r="H3540" s="52"/>
      <c r="I3540" s="52"/>
      <c r="J3540" s="52"/>
      <c r="K3540" s="52"/>
      <c r="L3540" s="52"/>
      <c r="M3540" s="52"/>
      <c r="N3540" s="52"/>
      <c r="O3540" s="52"/>
      <c r="P3540" s="52"/>
      <c r="Q3540" s="52"/>
      <c r="R3540" s="52"/>
      <c r="S3540" s="52"/>
      <c r="T3540" s="52"/>
      <c r="U3540" s="52"/>
      <c r="V3540" s="52"/>
      <c r="W3540" s="52"/>
      <c r="X3540" s="52"/>
      <c r="Y3540" s="52"/>
      <c r="Z3540" s="52"/>
      <c r="AA3540" s="52"/>
      <c r="AB3540" s="52"/>
      <c r="AC3540" s="52"/>
      <c r="AD3540" s="52"/>
      <c r="AE3540" s="52"/>
      <c r="AF3540" s="52"/>
      <c r="AG3540" s="52"/>
      <c r="AH3540" s="52"/>
      <c r="AI3540" s="52"/>
      <c r="AJ3540" s="52"/>
      <c r="AK3540" s="52"/>
      <c r="AL3540" s="52"/>
      <c r="AM3540" s="52"/>
      <c r="AN3540" s="52"/>
    </row>
    <row r="3541" spans="1:40" x14ac:dyDescent="0.3">
      <c r="A3541" s="52">
        <v>3536</v>
      </c>
      <c r="B3541" s="52">
        <f>-bthan*500+(35+0.5)*bthan*1000/50</f>
        <v>1155</v>
      </c>
      <c r="C3541" s="52">
        <f t="shared" si="325"/>
        <v>610.00000000000023</v>
      </c>
      <c r="D3541" s="52">
        <f t="shared" si="323"/>
        <v>2200</v>
      </c>
      <c r="E3541" s="52">
        <f t="shared" si="324"/>
        <v>1</v>
      </c>
      <c r="F3541" s="52"/>
      <c r="G3541" s="52"/>
      <c r="H3541" s="52"/>
      <c r="I3541" s="52"/>
      <c r="J3541" s="52"/>
      <c r="K3541" s="52"/>
      <c r="L3541" s="52"/>
      <c r="M3541" s="52"/>
      <c r="N3541" s="52"/>
      <c r="O3541" s="52"/>
      <c r="P3541" s="52"/>
      <c r="Q3541" s="52"/>
      <c r="R3541" s="52"/>
      <c r="S3541" s="52"/>
      <c r="T3541" s="52"/>
      <c r="U3541" s="52"/>
      <c r="V3541" s="52"/>
      <c r="W3541" s="52"/>
      <c r="X3541" s="52"/>
      <c r="Y3541" s="52"/>
      <c r="Z3541" s="52"/>
      <c r="AA3541" s="52"/>
      <c r="AB3541" s="52"/>
      <c r="AC3541" s="52"/>
      <c r="AD3541" s="52"/>
      <c r="AE3541" s="52"/>
      <c r="AF3541" s="52"/>
      <c r="AG3541" s="52"/>
      <c r="AH3541" s="52"/>
      <c r="AI3541" s="52"/>
      <c r="AJ3541" s="52"/>
      <c r="AK3541" s="52"/>
      <c r="AL3541" s="52"/>
      <c r="AM3541" s="52"/>
      <c r="AN3541" s="52"/>
    </row>
    <row r="3542" spans="1:40" x14ac:dyDescent="0.3">
      <c r="A3542" s="52">
        <v>3537</v>
      </c>
      <c r="B3542" s="52">
        <f>-bthan*500+(36+0.5)*bthan*1000/50</f>
        <v>1265</v>
      </c>
      <c r="C3542" s="52">
        <f t="shared" si="325"/>
        <v>610.00000000000023</v>
      </c>
      <c r="D3542" s="52">
        <f t="shared" si="323"/>
        <v>2200</v>
      </c>
      <c r="E3542" s="52">
        <f t="shared" si="324"/>
        <v>1</v>
      </c>
      <c r="F3542" s="52"/>
      <c r="G3542" s="52"/>
      <c r="H3542" s="52"/>
      <c r="I3542" s="52"/>
      <c r="J3542" s="52"/>
      <c r="K3542" s="52"/>
      <c r="L3542" s="52"/>
      <c r="M3542" s="52"/>
      <c r="N3542" s="52"/>
      <c r="O3542" s="52"/>
      <c r="P3542" s="52"/>
      <c r="Q3542" s="52"/>
      <c r="R3542" s="52"/>
      <c r="S3542" s="52"/>
      <c r="T3542" s="52"/>
      <c r="U3542" s="52"/>
      <c r="V3542" s="52"/>
      <c r="W3542" s="52"/>
      <c r="X3542" s="52"/>
      <c r="Y3542" s="52"/>
      <c r="Z3542" s="52"/>
      <c r="AA3542" s="52"/>
      <c r="AB3542" s="52"/>
      <c r="AC3542" s="52"/>
      <c r="AD3542" s="52"/>
      <c r="AE3542" s="52"/>
      <c r="AF3542" s="52"/>
      <c r="AG3542" s="52"/>
      <c r="AH3542" s="52"/>
      <c r="AI3542" s="52"/>
      <c r="AJ3542" s="52"/>
      <c r="AK3542" s="52"/>
      <c r="AL3542" s="52"/>
      <c r="AM3542" s="52"/>
      <c r="AN3542" s="52"/>
    </row>
    <row r="3543" spans="1:40" x14ac:dyDescent="0.3">
      <c r="A3543" s="52">
        <v>3538</v>
      </c>
      <c r="B3543" s="52">
        <f>-bthan*500+(37+0.5)*bthan*1000/50</f>
        <v>1375</v>
      </c>
      <c r="C3543" s="52">
        <f t="shared" si="325"/>
        <v>610.00000000000023</v>
      </c>
      <c r="D3543" s="52">
        <f t="shared" si="323"/>
        <v>2200</v>
      </c>
      <c r="E3543" s="52">
        <f t="shared" si="324"/>
        <v>1</v>
      </c>
      <c r="F3543" s="52"/>
      <c r="G3543" s="52"/>
      <c r="H3543" s="52"/>
      <c r="I3543" s="52"/>
      <c r="J3543" s="52"/>
      <c r="K3543" s="52"/>
      <c r="L3543" s="52"/>
      <c r="M3543" s="52"/>
      <c r="N3543" s="52"/>
      <c r="O3543" s="52"/>
      <c r="P3543" s="52"/>
      <c r="Q3543" s="52"/>
      <c r="R3543" s="52"/>
      <c r="S3543" s="52"/>
      <c r="T3543" s="52"/>
      <c r="U3543" s="52"/>
      <c r="V3543" s="52"/>
      <c r="W3543" s="52"/>
      <c r="X3543" s="52"/>
      <c r="Y3543" s="52"/>
      <c r="Z3543" s="52"/>
      <c r="AA3543" s="52"/>
      <c r="AB3543" s="52"/>
      <c r="AC3543" s="52"/>
      <c r="AD3543" s="52"/>
      <c r="AE3543" s="52"/>
      <c r="AF3543" s="52"/>
      <c r="AG3543" s="52"/>
      <c r="AH3543" s="52"/>
      <c r="AI3543" s="52"/>
      <c r="AJ3543" s="52"/>
      <c r="AK3543" s="52"/>
      <c r="AL3543" s="52"/>
      <c r="AM3543" s="52"/>
      <c r="AN3543" s="52"/>
    </row>
    <row r="3544" spans="1:40" x14ac:dyDescent="0.3">
      <c r="A3544" s="52">
        <v>3539</v>
      </c>
      <c r="B3544" s="52">
        <f>-bthan*500+(38+0.5)*bthan*1000/50</f>
        <v>1485</v>
      </c>
      <c r="C3544" s="52">
        <f t="shared" si="325"/>
        <v>610.00000000000023</v>
      </c>
      <c r="D3544" s="52">
        <f t="shared" si="323"/>
        <v>2200</v>
      </c>
      <c r="E3544" s="52">
        <f t="shared" si="324"/>
        <v>1</v>
      </c>
      <c r="F3544" s="52"/>
      <c r="G3544" s="52"/>
      <c r="H3544" s="52"/>
      <c r="I3544" s="52"/>
      <c r="J3544" s="52"/>
      <c r="K3544" s="52"/>
      <c r="L3544" s="52"/>
      <c r="M3544" s="52"/>
      <c r="N3544" s="52"/>
      <c r="O3544" s="52"/>
      <c r="P3544" s="52"/>
      <c r="Q3544" s="52"/>
      <c r="R3544" s="52"/>
      <c r="S3544" s="52"/>
      <c r="T3544" s="52"/>
      <c r="U3544" s="52"/>
      <c r="V3544" s="52"/>
      <c r="W3544" s="52"/>
      <c r="X3544" s="52"/>
      <c r="Y3544" s="52"/>
      <c r="Z3544" s="52"/>
      <c r="AA3544" s="52"/>
      <c r="AB3544" s="52"/>
      <c r="AC3544" s="52"/>
      <c r="AD3544" s="52"/>
      <c r="AE3544" s="52"/>
      <c r="AF3544" s="52"/>
      <c r="AG3544" s="52"/>
      <c r="AH3544" s="52"/>
      <c r="AI3544" s="52"/>
      <c r="AJ3544" s="52"/>
      <c r="AK3544" s="52"/>
      <c r="AL3544" s="52"/>
      <c r="AM3544" s="52"/>
      <c r="AN3544" s="52"/>
    </row>
    <row r="3545" spans="1:40" x14ac:dyDescent="0.3">
      <c r="A3545" s="52">
        <v>3540</v>
      </c>
      <c r="B3545" s="52">
        <f>-bthan*500+(39+0.5)*bthan*1000/50</f>
        <v>1595</v>
      </c>
      <c r="C3545" s="52">
        <f t="shared" si="325"/>
        <v>610.00000000000023</v>
      </c>
      <c r="D3545" s="52">
        <f t="shared" si="323"/>
        <v>2200</v>
      </c>
      <c r="E3545" s="52">
        <f t="shared" si="324"/>
        <v>1</v>
      </c>
      <c r="F3545" s="52"/>
      <c r="G3545" s="52"/>
      <c r="H3545" s="52"/>
      <c r="I3545" s="52"/>
      <c r="J3545" s="52"/>
      <c r="K3545" s="52"/>
      <c r="L3545" s="52"/>
      <c r="M3545" s="52"/>
      <c r="N3545" s="52"/>
      <c r="O3545" s="52"/>
      <c r="P3545" s="52"/>
      <c r="Q3545" s="52"/>
      <c r="R3545" s="52"/>
      <c r="S3545" s="52"/>
      <c r="T3545" s="52"/>
      <c r="U3545" s="52"/>
      <c r="V3545" s="52"/>
      <c r="W3545" s="52"/>
      <c r="X3545" s="52"/>
      <c r="Y3545" s="52"/>
      <c r="Z3545" s="52"/>
      <c r="AA3545" s="52"/>
      <c r="AB3545" s="52"/>
      <c r="AC3545" s="52"/>
      <c r="AD3545" s="52"/>
      <c r="AE3545" s="52"/>
      <c r="AF3545" s="52"/>
      <c r="AG3545" s="52"/>
      <c r="AH3545" s="52"/>
      <c r="AI3545" s="52"/>
      <c r="AJ3545" s="52"/>
      <c r="AK3545" s="52"/>
      <c r="AL3545" s="52"/>
      <c r="AM3545" s="52"/>
      <c r="AN3545" s="52"/>
    </row>
    <row r="3546" spans="1:40" x14ac:dyDescent="0.3">
      <c r="A3546" s="52">
        <v>3541</v>
      </c>
      <c r="B3546" s="52">
        <f>-bthan*500+(40+0.5)*bthan*1000/50</f>
        <v>1705</v>
      </c>
      <c r="C3546" s="52">
        <f t="shared" si="325"/>
        <v>610.00000000000023</v>
      </c>
      <c r="D3546" s="52">
        <f t="shared" si="323"/>
        <v>2200</v>
      </c>
      <c r="E3546" s="52">
        <f t="shared" si="324"/>
        <v>1</v>
      </c>
      <c r="F3546" s="52"/>
      <c r="G3546" s="52"/>
      <c r="H3546" s="52"/>
      <c r="I3546" s="52"/>
      <c r="J3546" s="52"/>
      <c r="K3546" s="52"/>
      <c r="L3546" s="52"/>
      <c r="M3546" s="52"/>
      <c r="N3546" s="52"/>
      <c r="O3546" s="52"/>
      <c r="P3546" s="52"/>
      <c r="Q3546" s="52"/>
      <c r="R3546" s="52"/>
      <c r="S3546" s="52"/>
      <c r="T3546" s="52"/>
      <c r="U3546" s="52"/>
      <c r="V3546" s="52"/>
      <c r="W3546" s="52"/>
      <c r="X3546" s="52"/>
      <c r="Y3546" s="52"/>
      <c r="Z3546" s="52"/>
      <c r="AA3546" s="52"/>
      <c r="AB3546" s="52"/>
      <c r="AC3546" s="52"/>
      <c r="AD3546" s="52"/>
      <c r="AE3546" s="52"/>
      <c r="AF3546" s="52"/>
      <c r="AG3546" s="52"/>
      <c r="AH3546" s="52"/>
      <c r="AI3546" s="52"/>
      <c r="AJ3546" s="52"/>
      <c r="AK3546" s="52"/>
      <c r="AL3546" s="52"/>
      <c r="AM3546" s="52"/>
      <c r="AN3546" s="52"/>
    </row>
    <row r="3547" spans="1:40" x14ac:dyDescent="0.3">
      <c r="A3547" s="52">
        <v>3542</v>
      </c>
      <c r="B3547" s="52">
        <f>-bthan*500+(41+0.5)*bthan*1000/50</f>
        <v>1815</v>
      </c>
      <c r="C3547" s="52">
        <f t="shared" si="325"/>
        <v>610.00000000000023</v>
      </c>
      <c r="D3547" s="52">
        <f t="shared" si="323"/>
        <v>2200</v>
      </c>
      <c r="E3547" s="52">
        <f t="shared" si="324"/>
        <v>1</v>
      </c>
      <c r="F3547" s="52"/>
      <c r="G3547" s="52"/>
      <c r="H3547" s="52"/>
      <c r="I3547" s="52"/>
      <c r="J3547" s="52"/>
      <c r="K3547" s="52"/>
      <c r="L3547" s="52"/>
      <c r="M3547" s="52"/>
      <c r="N3547" s="52"/>
      <c r="O3547" s="52"/>
      <c r="P3547" s="52"/>
      <c r="Q3547" s="52"/>
      <c r="R3547" s="52"/>
      <c r="S3547" s="52"/>
      <c r="T3547" s="52"/>
      <c r="U3547" s="52"/>
      <c r="V3547" s="52"/>
      <c r="W3547" s="52"/>
      <c r="X3547" s="52"/>
      <c r="Y3547" s="52"/>
      <c r="Z3547" s="52"/>
      <c r="AA3547" s="52"/>
      <c r="AB3547" s="52"/>
      <c r="AC3547" s="52"/>
      <c r="AD3547" s="52"/>
      <c r="AE3547" s="52"/>
      <c r="AF3547" s="52"/>
      <c r="AG3547" s="52"/>
      <c r="AH3547" s="52"/>
      <c r="AI3547" s="52"/>
      <c r="AJ3547" s="52"/>
      <c r="AK3547" s="52"/>
      <c r="AL3547" s="52"/>
      <c r="AM3547" s="52"/>
      <c r="AN3547" s="52"/>
    </row>
    <row r="3548" spans="1:40" x14ac:dyDescent="0.3">
      <c r="A3548" s="52">
        <v>3543</v>
      </c>
      <c r="B3548" s="52">
        <f>-bthan*500+(42+0.5)*bthan*1000/50</f>
        <v>1925</v>
      </c>
      <c r="C3548" s="52">
        <f t="shared" si="325"/>
        <v>610.00000000000023</v>
      </c>
      <c r="D3548" s="52">
        <f t="shared" si="323"/>
        <v>2200</v>
      </c>
      <c r="E3548" s="52">
        <f t="shared" si="324"/>
        <v>1</v>
      </c>
      <c r="F3548" s="52"/>
      <c r="G3548" s="52"/>
      <c r="H3548" s="52"/>
      <c r="I3548" s="52"/>
      <c r="J3548" s="52"/>
      <c r="K3548" s="52"/>
      <c r="L3548" s="52"/>
      <c r="M3548" s="52"/>
      <c r="N3548" s="52"/>
      <c r="O3548" s="52"/>
      <c r="P3548" s="52"/>
      <c r="Q3548" s="52"/>
      <c r="R3548" s="52"/>
      <c r="S3548" s="52"/>
      <c r="T3548" s="52"/>
      <c r="U3548" s="52"/>
      <c r="V3548" s="52"/>
      <c r="W3548" s="52"/>
      <c r="X3548" s="52"/>
      <c r="Y3548" s="52"/>
      <c r="Z3548" s="52"/>
      <c r="AA3548" s="52"/>
      <c r="AB3548" s="52"/>
      <c r="AC3548" s="52"/>
      <c r="AD3548" s="52"/>
      <c r="AE3548" s="52"/>
      <c r="AF3548" s="52"/>
      <c r="AG3548" s="52"/>
      <c r="AH3548" s="52"/>
      <c r="AI3548" s="52"/>
      <c r="AJ3548" s="52"/>
      <c r="AK3548" s="52"/>
      <c r="AL3548" s="52"/>
      <c r="AM3548" s="52"/>
      <c r="AN3548" s="52"/>
    </row>
    <row r="3549" spans="1:40" x14ac:dyDescent="0.3">
      <c r="A3549" s="52">
        <v>3544</v>
      </c>
      <c r="B3549" s="52">
        <f>-bthan*500+(43+0.5)*bthan*1000/50</f>
        <v>2035</v>
      </c>
      <c r="C3549" s="52">
        <f t="shared" si="325"/>
        <v>610.00000000000023</v>
      </c>
      <c r="D3549" s="52">
        <f t="shared" si="323"/>
        <v>2200</v>
      </c>
      <c r="E3549" s="52">
        <f t="shared" si="324"/>
        <v>1</v>
      </c>
      <c r="F3549" s="52"/>
      <c r="G3549" s="52"/>
      <c r="H3549" s="52"/>
      <c r="I3549" s="52"/>
      <c r="J3549" s="52"/>
      <c r="K3549" s="52"/>
      <c r="L3549" s="52"/>
      <c r="M3549" s="52"/>
      <c r="N3549" s="52"/>
      <c r="O3549" s="52"/>
      <c r="P3549" s="52"/>
      <c r="Q3549" s="52"/>
      <c r="R3549" s="52"/>
      <c r="S3549" s="52"/>
      <c r="T3549" s="52"/>
      <c r="U3549" s="52"/>
      <c r="V3549" s="52"/>
      <c r="W3549" s="52"/>
      <c r="X3549" s="52"/>
      <c r="Y3549" s="52"/>
      <c r="Z3549" s="52"/>
      <c r="AA3549" s="52"/>
      <c r="AB3549" s="52"/>
      <c r="AC3549" s="52"/>
      <c r="AD3549" s="52"/>
      <c r="AE3549" s="52"/>
      <c r="AF3549" s="52"/>
      <c r="AG3549" s="52"/>
      <c r="AH3549" s="52"/>
      <c r="AI3549" s="52"/>
      <c r="AJ3549" s="52"/>
      <c r="AK3549" s="52"/>
      <c r="AL3549" s="52"/>
      <c r="AM3549" s="52"/>
      <c r="AN3549" s="52"/>
    </row>
    <row r="3550" spans="1:40" x14ac:dyDescent="0.3">
      <c r="A3550" s="52">
        <v>3545</v>
      </c>
      <c r="B3550" s="52">
        <f>-bthan*500+(44+0.5)*bthan*1000/50</f>
        <v>2145</v>
      </c>
      <c r="C3550" s="52">
        <f t="shared" si="325"/>
        <v>610.00000000000023</v>
      </c>
      <c r="D3550" s="52">
        <f t="shared" si="323"/>
        <v>2200</v>
      </c>
      <c r="E3550" s="52">
        <f t="shared" si="324"/>
        <v>1</v>
      </c>
      <c r="F3550" s="52"/>
      <c r="G3550" s="52"/>
      <c r="H3550" s="52"/>
      <c r="I3550" s="52"/>
      <c r="J3550" s="52"/>
      <c r="K3550" s="52"/>
      <c r="L3550" s="52"/>
      <c r="M3550" s="52"/>
      <c r="N3550" s="52"/>
      <c r="O3550" s="52"/>
      <c r="P3550" s="52"/>
      <c r="Q3550" s="52"/>
      <c r="R3550" s="52"/>
      <c r="S3550" s="52"/>
      <c r="T3550" s="52"/>
      <c r="U3550" s="52"/>
      <c r="V3550" s="52"/>
      <c r="W3550" s="52"/>
      <c r="X3550" s="52"/>
      <c r="Y3550" s="52"/>
      <c r="Z3550" s="52"/>
      <c r="AA3550" s="52"/>
      <c r="AB3550" s="52"/>
      <c r="AC3550" s="52"/>
      <c r="AD3550" s="52"/>
      <c r="AE3550" s="52"/>
      <c r="AF3550" s="52"/>
      <c r="AG3550" s="52"/>
      <c r="AH3550" s="52"/>
      <c r="AI3550" s="52"/>
      <c r="AJ3550" s="52"/>
      <c r="AK3550" s="52"/>
      <c r="AL3550" s="52"/>
      <c r="AM3550" s="52"/>
      <c r="AN3550" s="52"/>
    </row>
    <row r="3551" spans="1:40" x14ac:dyDescent="0.3">
      <c r="A3551" s="52">
        <v>3546</v>
      </c>
      <c r="B3551" s="52">
        <f>-bthan*500+(45+0.5)*bthan*1000/50</f>
        <v>2255</v>
      </c>
      <c r="C3551" s="52">
        <f t="shared" si="325"/>
        <v>610.00000000000023</v>
      </c>
      <c r="D3551" s="52">
        <f t="shared" si="323"/>
        <v>2200</v>
      </c>
      <c r="E3551" s="52">
        <f t="shared" si="324"/>
        <v>1</v>
      </c>
      <c r="F3551" s="52"/>
      <c r="G3551" s="52"/>
      <c r="H3551" s="52"/>
      <c r="I3551" s="52"/>
      <c r="J3551" s="52"/>
      <c r="K3551" s="52"/>
      <c r="L3551" s="52"/>
      <c r="M3551" s="52"/>
      <c r="N3551" s="52"/>
      <c r="O3551" s="52"/>
      <c r="P3551" s="52"/>
      <c r="Q3551" s="52"/>
      <c r="R3551" s="52"/>
      <c r="S3551" s="52"/>
      <c r="T3551" s="52"/>
      <c r="U3551" s="52"/>
      <c r="V3551" s="52"/>
      <c r="W3551" s="52"/>
      <c r="X3551" s="52"/>
      <c r="Y3551" s="52"/>
      <c r="Z3551" s="52"/>
      <c r="AA3551" s="52"/>
      <c r="AB3551" s="52"/>
      <c r="AC3551" s="52"/>
      <c r="AD3551" s="52"/>
      <c r="AE3551" s="52"/>
      <c r="AF3551" s="52"/>
      <c r="AG3551" s="52"/>
      <c r="AH3551" s="52"/>
      <c r="AI3551" s="52"/>
      <c r="AJ3551" s="52"/>
      <c r="AK3551" s="52"/>
      <c r="AL3551" s="52"/>
      <c r="AM3551" s="52"/>
      <c r="AN3551" s="52"/>
    </row>
    <row r="3552" spans="1:40" x14ac:dyDescent="0.3">
      <c r="A3552" s="52">
        <v>3547</v>
      </c>
      <c r="B3552" s="52">
        <f>-bthan*500+(46+0.5)*bthan*1000/50</f>
        <v>2365</v>
      </c>
      <c r="C3552" s="52">
        <f t="shared" si="325"/>
        <v>610.00000000000023</v>
      </c>
      <c r="D3552" s="52">
        <f t="shared" si="323"/>
        <v>2200</v>
      </c>
      <c r="E3552" s="52">
        <f t="shared" si="324"/>
        <v>1</v>
      </c>
      <c r="F3552" s="52"/>
      <c r="G3552" s="52"/>
      <c r="H3552" s="52"/>
      <c r="I3552" s="52"/>
      <c r="J3552" s="52"/>
      <c r="K3552" s="52"/>
      <c r="L3552" s="52"/>
      <c r="M3552" s="52"/>
      <c r="N3552" s="52"/>
      <c r="O3552" s="52"/>
      <c r="P3552" s="52"/>
      <c r="Q3552" s="52"/>
      <c r="R3552" s="52"/>
      <c r="S3552" s="52"/>
      <c r="T3552" s="52"/>
      <c r="U3552" s="52"/>
      <c r="V3552" s="52"/>
      <c r="W3552" s="52"/>
      <c r="X3552" s="52"/>
      <c r="Y3552" s="52"/>
      <c r="Z3552" s="52"/>
      <c r="AA3552" s="52"/>
      <c r="AB3552" s="52"/>
      <c r="AC3552" s="52"/>
      <c r="AD3552" s="52"/>
      <c r="AE3552" s="52"/>
      <c r="AF3552" s="52"/>
      <c r="AG3552" s="52"/>
      <c r="AH3552" s="52"/>
      <c r="AI3552" s="52"/>
      <c r="AJ3552" s="52"/>
      <c r="AK3552" s="52"/>
      <c r="AL3552" s="52"/>
      <c r="AM3552" s="52"/>
      <c r="AN3552" s="52"/>
    </row>
    <row r="3553" spans="1:40" x14ac:dyDescent="0.3">
      <c r="A3553" s="52">
        <v>3548</v>
      </c>
      <c r="B3553" s="52">
        <f>-bthan*500+(47+0.5)*bthan*1000/50</f>
        <v>2475</v>
      </c>
      <c r="C3553" s="52">
        <f t="shared" si="325"/>
        <v>610.00000000000023</v>
      </c>
      <c r="D3553" s="52">
        <f t="shared" si="323"/>
        <v>2200</v>
      </c>
      <c r="E3553" s="52">
        <f t="shared" si="324"/>
        <v>0</v>
      </c>
      <c r="F3553" s="52"/>
      <c r="G3553" s="52"/>
      <c r="H3553" s="52"/>
      <c r="I3553" s="52"/>
      <c r="J3553" s="52"/>
      <c r="K3553" s="52"/>
      <c r="L3553" s="52"/>
      <c r="M3553" s="52"/>
      <c r="N3553" s="52"/>
      <c r="O3553" s="52"/>
      <c r="P3553" s="52"/>
      <c r="Q3553" s="52"/>
      <c r="R3553" s="52"/>
      <c r="S3553" s="52"/>
      <c r="T3553" s="52"/>
      <c r="U3553" s="52"/>
      <c r="V3553" s="52"/>
      <c r="W3553" s="52"/>
      <c r="X3553" s="52"/>
      <c r="Y3553" s="52"/>
      <c r="Z3553" s="52"/>
      <c r="AA3553" s="52"/>
      <c r="AB3553" s="52"/>
      <c r="AC3553" s="52"/>
      <c r="AD3553" s="52"/>
      <c r="AE3553" s="52"/>
      <c r="AF3553" s="52"/>
      <c r="AG3553" s="52"/>
      <c r="AH3553" s="52"/>
      <c r="AI3553" s="52"/>
      <c r="AJ3553" s="52"/>
      <c r="AK3553" s="52"/>
      <c r="AL3553" s="52"/>
      <c r="AM3553" s="52"/>
      <c r="AN3553" s="52"/>
    </row>
    <row r="3554" spans="1:40" x14ac:dyDescent="0.3">
      <c r="A3554" s="52">
        <v>3549</v>
      </c>
      <c r="B3554" s="52">
        <f>-bthan*500+(48+0.5)*bthan*1000/50</f>
        <v>2585</v>
      </c>
      <c r="C3554" s="52">
        <f t="shared" si="325"/>
        <v>610.00000000000023</v>
      </c>
      <c r="D3554" s="52">
        <f t="shared" si="323"/>
        <v>2200</v>
      </c>
      <c r="E3554" s="52">
        <f t="shared" si="324"/>
        <v>0</v>
      </c>
      <c r="F3554" s="52"/>
      <c r="G3554" s="52"/>
      <c r="H3554" s="52"/>
      <c r="I3554" s="52"/>
      <c r="J3554" s="52"/>
      <c r="K3554" s="52"/>
      <c r="L3554" s="52"/>
      <c r="M3554" s="52"/>
      <c r="N3554" s="52"/>
      <c r="O3554" s="52"/>
      <c r="P3554" s="52"/>
      <c r="Q3554" s="52"/>
      <c r="R3554" s="52"/>
      <c r="S3554" s="52"/>
      <c r="T3554" s="52"/>
      <c r="U3554" s="52"/>
      <c r="V3554" s="52"/>
      <c r="W3554" s="52"/>
      <c r="X3554" s="52"/>
      <c r="Y3554" s="52"/>
      <c r="Z3554" s="52"/>
      <c r="AA3554" s="52"/>
      <c r="AB3554" s="52"/>
      <c r="AC3554" s="52"/>
      <c r="AD3554" s="52"/>
      <c r="AE3554" s="52"/>
      <c r="AF3554" s="52"/>
      <c r="AG3554" s="52"/>
      <c r="AH3554" s="52"/>
      <c r="AI3554" s="52"/>
      <c r="AJ3554" s="52"/>
      <c r="AK3554" s="52"/>
      <c r="AL3554" s="52"/>
      <c r="AM3554" s="52"/>
      <c r="AN3554" s="52"/>
    </row>
    <row r="3555" spans="1:40" x14ac:dyDescent="0.3">
      <c r="A3555" s="52">
        <v>3550</v>
      </c>
      <c r="B3555" s="52">
        <f>-bthan*500+(49+0.5)*bthan*1000/50</f>
        <v>2695</v>
      </c>
      <c r="C3555" s="52">
        <f t="shared" si="325"/>
        <v>610.00000000000023</v>
      </c>
      <c r="D3555" s="52">
        <f t="shared" si="323"/>
        <v>2200</v>
      </c>
      <c r="E3555" s="52">
        <f t="shared" si="324"/>
        <v>0</v>
      </c>
      <c r="F3555" s="52"/>
      <c r="G3555" s="52"/>
      <c r="H3555" s="52"/>
      <c r="I3555" s="52"/>
      <c r="J3555" s="52"/>
      <c r="K3555" s="52"/>
      <c r="L3555" s="52"/>
      <c r="M3555" s="52"/>
      <c r="N3555" s="52"/>
      <c r="O3555" s="52"/>
      <c r="P3555" s="52"/>
      <c r="Q3555" s="52"/>
      <c r="R3555" s="52"/>
      <c r="S3555" s="52"/>
      <c r="T3555" s="52"/>
      <c r="U3555" s="52"/>
      <c r="V3555" s="52"/>
      <c r="W3555" s="52"/>
      <c r="X3555" s="52"/>
      <c r="Y3555" s="52"/>
      <c r="Z3555" s="52"/>
      <c r="AA3555" s="52"/>
      <c r="AB3555" s="52"/>
      <c r="AC3555" s="52"/>
      <c r="AD3555" s="52"/>
      <c r="AE3555" s="52"/>
      <c r="AF3555" s="52"/>
      <c r="AG3555" s="52"/>
      <c r="AH3555" s="52"/>
      <c r="AI3555" s="52"/>
      <c r="AJ3555" s="52"/>
      <c r="AK3555" s="52"/>
      <c r="AL3555" s="52"/>
      <c r="AM3555" s="52"/>
      <c r="AN3555" s="52"/>
    </row>
    <row r="3556" spans="1:40" x14ac:dyDescent="0.3">
      <c r="A3556" s="52">
        <v>3551</v>
      </c>
      <c r="B3556" s="52">
        <f>-bthan*500+(0+0.5)*bthan*1000/50</f>
        <v>-2695</v>
      </c>
      <c r="C3556" s="52">
        <f t="shared" ref="C3556:C3587" si="326">-hthan*500+(71+0.5)*hthan*1000/80</f>
        <v>630</v>
      </c>
      <c r="D3556" s="52">
        <f t="shared" si="323"/>
        <v>2200</v>
      </c>
      <c r="E3556" s="52">
        <f t="shared" si="324"/>
        <v>0</v>
      </c>
      <c r="F3556" s="52"/>
      <c r="G3556" s="52"/>
      <c r="H3556" s="52"/>
      <c r="I3556" s="52"/>
      <c r="J3556" s="52"/>
      <c r="K3556" s="52"/>
      <c r="L3556" s="52"/>
      <c r="M3556" s="52"/>
      <c r="N3556" s="52"/>
      <c r="O3556" s="52"/>
      <c r="P3556" s="52"/>
      <c r="Q3556" s="52"/>
      <c r="R3556" s="52"/>
      <c r="S3556" s="52"/>
      <c r="T3556" s="52"/>
      <c r="U3556" s="52"/>
      <c r="V3556" s="52"/>
      <c r="W3556" s="52"/>
      <c r="X3556" s="52"/>
      <c r="Y3556" s="52"/>
      <c r="Z3556" s="52"/>
      <c r="AA3556" s="52"/>
      <c r="AB3556" s="52"/>
      <c r="AC3556" s="52"/>
      <c r="AD3556" s="52"/>
      <c r="AE3556" s="52"/>
      <c r="AF3556" s="52"/>
      <c r="AG3556" s="52"/>
      <c r="AH3556" s="52"/>
      <c r="AI3556" s="52"/>
      <c r="AJ3556" s="52"/>
      <c r="AK3556" s="52"/>
      <c r="AL3556" s="52"/>
      <c r="AM3556" s="52"/>
      <c r="AN3556" s="52"/>
    </row>
    <row r="3557" spans="1:40" x14ac:dyDescent="0.3">
      <c r="A3557" s="52">
        <v>3552</v>
      </c>
      <c r="B3557" s="52">
        <f>-bthan*500+(1+0.5)*bthan*1000/50</f>
        <v>-2585</v>
      </c>
      <c r="C3557" s="52">
        <f t="shared" si="326"/>
        <v>630</v>
      </c>
      <c r="D3557" s="52">
        <f t="shared" si="323"/>
        <v>2200</v>
      </c>
      <c r="E3557" s="52">
        <f t="shared" si="324"/>
        <v>0</v>
      </c>
      <c r="F3557" s="52"/>
      <c r="G3557" s="52"/>
      <c r="H3557" s="52"/>
      <c r="I3557" s="52"/>
      <c r="J3557" s="52"/>
      <c r="K3557" s="52"/>
      <c r="L3557" s="52"/>
      <c r="M3557" s="52"/>
      <c r="N3557" s="52"/>
      <c r="O3557" s="52"/>
      <c r="P3557" s="52"/>
      <c r="Q3557" s="52"/>
      <c r="R3557" s="52"/>
      <c r="S3557" s="52"/>
      <c r="T3557" s="52"/>
      <c r="U3557" s="52"/>
      <c r="V3557" s="52"/>
      <c r="W3557" s="52"/>
      <c r="X3557" s="52"/>
      <c r="Y3557" s="52"/>
      <c r="Z3557" s="52"/>
      <c r="AA3557" s="52"/>
      <c r="AB3557" s="52"/>
      <c r="AC3557" s="52"/>
      <c r="AD3557" s="52"/>
      <c r="AE3557" s="52"/>
      <c r="AF3557" s="52"/>
      <c r="AG3557" s="52"/>
      <c r="AH3557" s="52"/>
      <c r="AI3557" s="52"/>
      <c r="AJ3557" s="52"/>
      <c r="AK3557" s="52"/>
      <c r="AL3557" s="52"/>
      <c r="AM3557" s="52"/>
      <c r="AN3557" s="52"/>
    </row>
    <row r="3558" spans="1:40" x14ac:dyDescent="0.3">
      <c r="A3558" s="52">
        <v>3553</v>
      </c>
      <c r="B3558" s="52">
        <f>-bthan*500+(2+0.5)*bthan*1000/50</f>
        <v>-2475</v>
      </c>
      <c r="C3558" s="52">
        <f t="shared" si="326"/>
        <v>630</v>
      </c>
      <c r="D3558" s="52">
        <f t="shared" si="323"/>
        <v>2200</v>
      </c>
      <c r="E3558" s="52">
        <f t="shared" si="324"/>
        <v>0</v>
      </c>
      <c r="F3558" s="52"/>
      <c r="G3558" s="52"/>
      <c r="H3558" s="52"/>
      <c r="I3558" s="52"/>
      <c r="J3558" s="52"/>
      <c r="K3558" s="52"/>
      <c r="L3558" s="52"/>
      <c r="M3558" s="52"/>
      <c r="N3558" s="52"/>
      <c r="O3558" s="52"/>
      <c r="P3558" s="52"/>
      <c r="Q3558" s="52"/>
      <c r="R3558" s="52"/>
      <c r="S3558" s="52"/>
      <c r="T3558" s="52"/>
      <c r="U3558" s="52"/>
      <c r="V3558" s="52"/>
      <c r="W3558" s="52"/>
      <c r="X3558" s="52"/>
      <c r="Y3558" s="52"/>
      <c r="Z3558" s="52"/>
      <c r="AA3558" s="52"/>
      <c r="AB3558" s="52"/>
      <c r="AC3558" s="52"/>
      <c r="AD3558" s="52"/>
      <c r="AE3558" s="52"/>
      <c r="AF3558" s="52"/>
      <c r="AG3558" s="52"/>
      <c r="AH3558" s="52"/>
      <c r="AI3558" s="52"/>
      <c r="AJ3558" s="52"/>
      <c r="AK3558" s="52"/>
      <c r="AL3558" s="52"/>
      <c r="AM3558" s="52"/>
      <c r="AN3558" s="52"/>
    </row>
    <row r="3559" spans="1:40" x14ac:dyDescent="0.3">
      <c r="A3559" s="52">
        <v>3554</v>
      </c>
      <c r="B3559" s="52">
        <f>-bthan*500+(3+0.5)*bthan*1000/50</f>
        <v>-2365</v>
      </c>
      <c r="C3559" s="52">
        <f t="shared" si="326"/>
        <v>630</v>
      </c>
      <c r="D3559" s="52">
        <f t="shared" si="323"/>
        <v>2200</v>
      </c>
      <c r="E3559" s="52">
        <f t="shared" si="324"/>
        <v>1</v>
      </c>
      <c r="F3559" s="52"/>
      <c r="G3559" s="52"/>
      <c r="H3559" s="52"/>
      <c r="I3559" s="52"/>
      <c r="J3559" s="52"/>
      <c r="K3559" s="52"/>
      <c r="L3559" s="52"/>
      <c r="M3559" s="52"/>
      <c r="N3559" s="52"/>
      <c r="O3559" s="52"/>
      <c r="P3559" s="52"/>
      <c r="Q3559" s="52"/>
      <c r="R3559" s="52"/>
      <c r="S3559" s="52"/>
      <c r="T3559" s="52"/>
      <c r="U3559" s="52"/>
      <c r="V3559" s="52"/>
      <c r="W3559" s="52"/>
      <c r="X3559" s="52"/>
      <c r="Y3559" s="52"/>
      <c r="Z3559" s="52"/>
      <c r="AA3559" s="52"/>
      <c r="AB3559" s="52"/>
      <c r="AC3559" s="52"/>
      <c r="AD3559" s="52"/>
      <c r="AE3559" s="52"/>
      <c r="AF3559" s="52"/>
      <c r="AG3559" s="52"/>
      <c r="AH3559" s="52"/>
      <c r="AI3559" s="52"/>
      <c r="AJ3559" s="52"/>
      <c r="AK3559" s="52"/>
      <c r="AL3559" s="52"/>
      <c r="AM3559" s="52"/>
      <c r="AN3559" s="52"/>
    </row>
    <row r="3560" spans="1:40" x14ac:dyDescent="0.3">
      <c r="A3560" s="52">
        <v>3555</v>
      </c>
      <c r="B3560" s="52">
        <f>-bthan*500+(4+0.5)*bthan*1000/50</f>
        <v>-2255</v>
      </c>
      <c r="C3560" s="52">
        <f t="shared" si="326"/>
        <v>630</v>
      </c>
      <c r="D3560" s="52">
        <f t="shared" si="323"/>
        <v>2200</v>
      </c>
      <c r="E3560" s="52">
        <f t="shared" si="324"/>
        <v>1</v>
      </c>
      <c r="F3560" s="52"/>
      <c r="G3560" s="52"/>
      <c r="H3560" s="52"/>
      <c r="I3560" s="52"/>
      <c r="J3560" s="52"/>
      <c r="K3560" s="52"/>
      <c r="L3560" s="52"/>
      <c r="M3560" s="52"/>
      <c r="N3560" s="52"/>
      <c r="O3560" s="52"/>
      <c r="P3560" s="52"/>
      <c r="Q3560" s="52"/>
      <c r="R3560" s="52"/>
      <c r="S3560" s="52"/>
      <c r="T3560" s="52"/>
      <c r="U3560" s="52"/>
      <c r="V3560" s="52"/>
      <c r="W3560" s="52"/>
      <c r="X3560" s="52"/>
      <c r="Y3560" s="52"/>
      <c r="Z3560" s="52"/>
      <c r="AA3560" s="52"/>
      <c r="AB3560" s="52"/>
      <c r="AC3560" s="52"/>
      <c r="AD3560" s="52"/>
      <c r="AE3560" s="52"/>
      <c r="AF3560" s="52"/>
      <c r="AG3560" s="52"/>
      <c r="AH3560" s="52"/>
      <c r="AI3560" s="52"/>
      <c r="AJ3560" s="52"/>
      <c r="AK3560" s="52"/>
      <c r="AL3560" s="52"/>
      <c r="AM3560" s="52"/>
      <c r="AN3560" s="52"/>
    </row>
    <row r="3561" spans="1:40" x14ac:dyDescent="0.3">
      <c r="A3561" s="52">
        <v>3556</v>
      </c>
      <c r="B3561" s="52">
        <f>-bthan*500+(5+0.5)*bthan*1000/50</f>
        <v>-2145</v>
      </c>
      <c r="C3561" s="52">
        <f t="shared" si="326"/>
        <v>630</v>
      </c>
      <c r="D3561" s="52">
        <f t="shared" si="323"/>
        <v>2200</v>
      </c>
      <c r="E3561" s="52">
        <f t="shared" si="324"/>
        <v>1</v>
      </c>
      <c r="F3561" s="52"/>
      <c r="G3561" s="52"/>
      <c r="H3561" s="52"/>
      <c r="I3561" s="52"/>
      <c r="J3561" s="52"/>
      <c r="K3561" s="52"/>
      <c r="L3561" s="52"/>
      <c r="M3561" s="52"/>
      <c r="N3561" s="52"/>
      <c r="O3561" s="52"/>
      <c r="P3561" s="52"/>
      <c r="Q3561" s="52"/>
      <c r="R3561" s="52"/>
      <c r="S3561" s="52"/>
      <c r="T3561" s="52"/>
      <c r="U3561" s="52"/>
      <c r="V3561" s="52"/>
      <c r="W3561" s="52"/>
      <c r="X3561" s="52"/>
      <c r="Y3561" s="52"/>
      <c r="Z3561" s="52"/>
      <c r="AA3561" s="52"/>
      <c r="AB3561" s="52"/>
      <c r="AC3561" s="52"/>
      <c r="AD3561" s="52"/>
      <c r="AE3561" s="52"/>
      <c r="AF3561" s="52"/>
      <c r="AG3561" s="52"/>
      <c r="AH3561" s="52"/>
      <c r="AI3561" s="52"/>
      <c r="AJ3561" s="52"/>
      <c r="AK3561" s="52"/>
      <c r="AL3561" s="52"/>
      <c r="AM3561" s="52"/>
      <c r="AN3561" s="52"/>
    </row>
    <row r="3562" spans="1:40" x14ac:dyDescent="0.3">
      <c r="A3562" s="52">
        <v>3557</v>
      </c>
      <c r="B3562" s="52">
        <f>-bthan*500+(6+0.5)*bthan*1000/50</f>
        <v>-2035</v>
      </c>
      <c r="C3562" s="52">
        <f t="shared" si="326"/>
        <v>630</v>
      </c>
      <c r="D3562" s="52">
        <f t="shared" si="323"/>
        <v>2200</v>
      </c>
      <c r="E3562" s="52">
        <f t="shared" si="324"/>
        <v>1</v>
      </c>
      <c r="F3562" s="52"/>
      <c r="G3562" s="52"/>
      <c r="H3562" s="52"/>
      <c r="I3562" s="52"/>
      <c r="J3562" s="52"/>
      <c r="K3562" s="52"/>
      <c r="L3562" s="52"/>
      <c r="M3562" s="52"/>
      <c r="N3562" s="52"/>
      <c r="O3562" s="52"/>
      <c r="P3562" s="52"/>
      <c r="Q3562" s="52"/>
      <c r="R3562" s="52"/>
      <c r="S3562" s="52"/>
      <c r="T3562" s="52"/>
      <c r="U3562" s="52"/>
      <c r="V3562" s="52"/>
      <c r="W3562" s="52"/>
      <c r="X3562" s="52"/>
      <c r="Y3562" s="52"/>
      <c r="Z3562" s="52"/>
      <c r="AA3562" s="52"/>
      <c r="AB3562" s="52"/>
      <c r="AC3562" s="52"/>
      <c r="AD3562" s="52"/>
      <c r="AE3562" s="52"/>
      <c r="AF3562" s="52"/>
      <c r="AG3562" s="52"/>
      <c r="AH3562" s="52"/>
      <c r="AI3562" s="52"/>
      <c r="AJ3562" s="52"/>
      <c r="AK3562" s="52"/>
      <c r="AL3562" s="52"/>
      <c r="AM3562" s="52"/>
      <c r="AN3562" s="52"/>
    </row>
    <row r="3563" spans="1:40" x14ac:dyDescent="0.3">
      <c r="A3563" s="52">
        <v>3558</v>
      </c>
      <c r="B3563" s="52">
        <f>-bthan*500+(7+0.5)*bthan*1000/50</f>
        <v>-1925</v>
      </c>
      <c r="C3563" s="52">
        <f t="shared" si="326"/>
        <v>630</v>
      </c>
      <c r="D3563" s="52">
        <f t="shared" si="323"/>
        <v>2200</v>
      </c>
      <c r="E3563" s="52">
        <f t="shared" si="324"/>
        <v>1</v>
      </c>
      <c r="F3563" s="52"/>
      <c r="G3563" s="52"/>
      <c r="H3563" s="52"/>
      <c r="I3563" s="52"/>
      <c r="J3563" s="52"/>
      <c r="K3563" s="52"/>
      <c r="L3563" s="52"/>
      <c r="M3563" s="52"/>
      <c r="N3563" s="52"/>
      <c r="O3563" s="52"/>
      <c r="P3563" s="52"/>
      <c r="Q3563" s="52"/>
      <c r="R3563" s="52"/>
      <c r="S3563" s="52"/>
      <c r="T3563" s="52"/>
      <c r="U3563" s="52"/>
      <c r="V3563" s="52"/>
      <c r="W3563" s="52"/>
      <c r="X3563" s="52"/>
      <c r="Y3563" s="52"/>
      <c r="Z3563" s="52"/>
      <c r="AA3563" s="52"/>
      <c r="AB3563" s="52"/>
      <c r="AC3563" s="52"/>
      <c r="AD3563" s="52"/>
      <c r="AE3563" s="52"/>
      <c r="AF3563" s="52"/>
      <c r="AG3563" s="52"/>
      <c r="AH3563" s="52"/>
      <c r="AI3563" s="52"/>
      <c r="AJ3563" s="52"/>
      <c r="AK3563" s="52"/>
      <c r="AL3563" s="52"/>
      <c r="AM3563" s="52"/>
      <c r="AN3563" s="52"/>
    </row>
    <row r="3564" spans="1:40" x14ac:dyDescent="0.3">
      <c r="A3564" s="52">
        <v>3559</v>
      </c>
      <c r="B3564" s="52">
        <f>-bthan*500+(8+0.5)*bthan*1000/50</f>
        <v>-1815</v>
      </c>
      <c r="C3564" s="52">
        <f t="shared" si="326"/>
        <v>630</v>
      </c>
      <c r="D3564" s="52">
        <f t="shared" si="323"/>
        <v>2200</v>
      </c>
      <c r="E3564" s="52">
        <f t="shared" si="324"/>
        <v>1</v>
      </c>
      <c r="F3564" s="52"/>
      <c r="G3564" s="52"/>
      <c r="H3564" s="52"/>
      <c r="I3564" s="52"/>
      <c r="J3564" s="52"/>
      <c r="K3564" s="52"/>
      <c r="L3564" s="52"/>
      <c r="M3564" s="52"/>
      <c r="N3564" s="52"/>
      <c r="O3564" s="52"/>
      <c r="P3564" s="52"/>
      <c r="Q3564" s="52"/>
      <c r="R3564" s="52"/>
      <c r="S3564" s="52"/>
      <c r="T3564" s="52"/>
      <c r="U3564" s="52"/>
      <c r="V3564" s="52"/>
      <c r="W3564" s="52"/>
      <c r="X3564" s="52"/>
      <c r="Y3564" s="52"/>
      <c r="Z3564" s="52"/>
      <c r="AA3564" s="52"/>
      <c r="AB3564" s="52"/>
      <c r="AC3564" s="52"/>
      <c r="AD3564" s="52"/>
      <c r="AE3564" s="52"/>
      <c r="AF3564" s="52"/>
      <c r="AG3564" s="52"/>
      <c r="AH3564" s="52"/>
      <c r="AI3564" s="52"/>
      <c r="AJ3564" s="52"/>
      <c r="AK3564" s="52"/>
      <c r="AL3564" s="52"/>
      <c r="AM3564" s="52"/>
      <c r="AN3564" s="52"/>
    </row>
    <row r="3565" spans="1:40" x14ac:dyDescent="0.3">
      <c r="A3565" s="52">
        <v>3560</v>
      </c>
      <c r="B3565" s="52">
        <f>-bthan*500+(9+0.5)*bthan*1000/50</f>
        <v>-1705</v>
      </c>
      <c r="C3565" s="52">
        <f t="shared" si="326"/>
        <v>630</v>
      </c>
      <c r="D3565" s="52">
        <f t="shared" si="323"/>
        <v>2200</v>
      </c>
      <c r="E3565" s="52">
        <f t="shared" si="324"/>
        <v>1</v>
      </c>
      <c r="F3565" s="52"/>
      <c r="G3565" s="52"/>
      <c r="H3565" s="52"/>
      <c r="I3565" s="52"/>
      <c r="J3565" s="52"/>
      <c r="K3565" s="52"/>
      <c r="L3565" s="52"/>
      <c r="M3565" s="52"/>
      <c r="N3565" s="52"/>
      <c r="O3565" s="52"/>
      <c r="P3565" s="52"/>
      <c r="Q3565" s="52"/>
      <c r="R3565" s="52"/>
      <c r="S3565" s="52"/>
      <c r="T3565" s="52"/>
      <c r="U3565" s="52"/>
      <c r="V3565" s="52"/>
      <c r="W3565" s="52"/>
      <c r="X3565" s="52"/>
      <c r="Y3565" s="52"/>
      <c r="Z3565" s="52"/>
      <c r="AA3565" s="52"/>
      <c r="AB3565" s="52"/>
      <c r="AC3565" s="52"/>
      <c r="AD3565" s="52"/>
      <c r="AE3565" s="52"/>
      <c r="AF3565" s="52"/>
      <c r="AG3565" s="52"/>
      <c r="AH3565" s="52"/>
      <c r="AI3565" s="52"/>
      <c r="AJ3565" s="52"/>
      <c r="AK3565" s="52"/>
      <c r="AL3565" s="52"/>
      <c r="AM3565" s="52"/>
      <c r="AN3565" s="52"/>
    </row>
    <row r="3566" spans="1:40" x14ac:dyDescent="0.3">
      <c r="A3566" s="52">
        <v>3561</v>
      </c>
      <c r="B3566" s="52">
        <f>-bthan*500+(10+0.5)*bthan*1000/50</f>
        <v>-1595</v>
      </c>
      <c r="C3566" s="52">
        <f t="shared" si="326"/>
        <v>630</v>
      </c>
      <c r="D3566" s="52">
        <f t="shared" si="323"/>
        <v>2200</v>
      </c>
      <c r="E3566" s="52">
        <f t="shared" si="324"/>
        <v>1</v>
      </c>
      <c r="F3566" s="52"/>
      <c r="G3566" s="52"/>
      <c r="H3566" s="52"/>
      <c r="I3566" s="52"/>
      <c r="J3566" s="52"/>
      <c r="K3566" s="52"/>
      <c r="L3566" s="52"/>
      <c r="M3566" s="52"/>
      <c r="N3566" s="52"/>
      <c r="O3566" s="52"/>
      <c r="P3566" s="52"/>
      <c r="Q3566" s="52"/>
      <c r="R3566" s="52"/>
      <c r="S3566" s="52"/>
      <c r="T3566" s="52"/>
      <c r="U3566" s="52"/>
      <c r="V3566" s="52"/>
      <c r="W3566" s="52"/>
      <c r="X3566" s="52"/>
      <c r="Y3566" s="52"/>
      <c r="Z3566" s="52"/>
      <c r="AA3566" s="52"/>
      <c r="AB3566" s="52"/>
      <c r="AC3566" s="52"/>
      <c r="AD3566" s="52"/>
      <c r="AE3566" s="52"/>
      <c r="AF3566" s="52"/>
      <c r="AG3566" s="52"/>
      <c r="AH3566" s="52"/>
      <c r="AI3566" s="52"/>
      <c r="AJ3566" s="52"/>
      <c r="AK3566" s="52"/>
      <c r="AL3566" s="52"/>
      <c r="AM3566" s="52"/>
      <c r="AN3566" s="52"/>
    </row>
    <row r="3567" spans="1:40" x14ac:dyDescent="0.3">
      <c r="A3567" s="52">
        <v>3562</v>
      </c>
      <c r="B3567" s="52">
        <f>-bthan*500+(11+0.5)*bthan*1000/50</f>
        <v>-1485</v>
      </c>
      <c r="C3567" s="52">
        <f t="shared" si="326"/>
        <v>630</v>
      </c>
      <c r="D3567" s="52">
        <f t="shared" si="323"/>
        <v>2200</v>
      </c>
      <c r="E3567" s="52">
        <f t="shared" si="324"/>
        <v>1</v>
      </c>
      <c r="F3567" s="52"/>
      <c r="G3567" s="52"/>
      <c r="H3567" s="52"/>
      <c r="I3567" s="52"/>
      <c r="J3567" s="52"/>
      <c r="K3567" s="52"/>
      <c r="L3567" s="52"/>
      <c r="M3567" s="52"/>
      <c r="N3567" s="52"/>
      <c r="O3567" s="52"/>
      <c r="P3567" s="52"/>
      <c r="Q3567" s="52"/>
      <c r="R3567" s="52"/>
      <c r="S3567" s="52"/>
      <c r="T3567" s="52"/>
      <c r="U3567" s="52"/>
      <c r="V3567" s="52"/>
      <c r="W3567" s="52"/>
      <c r="X3567" s="52"/>
      <c r="Y3567" s="52"/>
      <c r="Z3567" s="52"/>
      <c r="AA3567" s="52"/>
      <c r="AB3567" s="52"/>
      <c r="AC3567" s="52"/>
      <c r="AD3567" s="52"/>
      <c r="AE3567" s="52"/>
      <c r="AF3567" s="52"/>
      <c r="AG3567" s="52"/>
      <c r="AH3567" s="52"/>
      <c r="AI3567" s="52"/>
      <c r="AJ3567" s="52"/>
      <c r="AK3567" s="52"/>
      <c r="AL3567" s="52"/>
      <c r="AM3567" s="52"/>
      <c r="AN3567" s="52"/>
    </row>
    <row r="3568" spans="1:40" x14ac:dyDescent="0.3">
      <c r="A3568" s="52">
        <v>3563</v>
      </c>
      <c r="B3568" s="52">
        <f>-bthan*500+(12+0.5)*bthan*1000/50</f>
        <v>-1375</v>
      </c>
      <c r="C3568" s="52">
        <f t="shared" si="326"/>
        <v>630</v>
      </c>
      <c r="D3568" s="52">
        <f t="shared" si="323"/>
        <v>2200</v>
      </c>
      <c r="E3568" s="52">
        <f t="shared" si="324"/>
        <v>1</v>
      </c>
      <c r="F3568" s="52"/>
      <c r="G3568" s="52"/>
      <c r="H3568" s="52"/>
      <c r="I3568" s="52"/>
      <c r="J3568" s="52"/>
      <c r="K3568" s="52"/>
      <c r="L3568" s="52"/>
      <c r="M3568" s="52"/>
      <c r="N3568" s="52"/>
      <c r="O3568" s="52"/>
      <c r="P3568" s="52"/>
      <c r="Q3568" s="52"/>
      <c r="R3568" s="52"/>
      <c r="S3568" s="52"/>
      <c r="T3568" s="52"/>
      <c r="U3568" s="52"/>
      <c r="V3568" s="52"/>
      <c r="W3568" s="52"/>
      <c r="X3568" s="52"/>
      <c r="Y3568" s="52"/>
      <c r="Z3568" s="52"/>
      <c r="AA3568" s="52"/>
      <c r="AB3568" s="52"/>
      <c r="AC3568" s="52"/>
      <c r="AD3568" s="52"/>
      <c r="AE3568" s="52"/>
      <c r="AF3568" s="52"/>
      <c r="AG3568" s="52"/>
      <c r="AH3568" s="52"/>
      <c r="AI3568" s="52"/>
      <c r="AJ3568" s="52"/>
      <c r="AK3568" s="52"/>
      <c r="AL3568" s="52"/>
      <c r="AM3568" s="52"/>
      <c r="AN3568" s="52"/>
    </row>
    <row r="3569" spans="1:40" x14ac:dyDescent="0.3">
      <c r="A3569" s="52">
        <v>3564</v>
      </c>
      <c r="B3569" s="52">
        <f>-bthan*500+(13+0.5)*bthan*1000/50</f>
        <v>-1265</v>
      </c>
      <c r="C3569" s="52">
        <f t="shared" si="326"/>
        <v>630</v>
      </c>
      <c r="D3569" s="52">
        <f t="shared" si="323"/>
        <v>2200</v>
      </c>
      <c r="E3569" s="52">
        <f t="shared" si="324"/>
        <v>1</v>
      </c>
      <c r="F3569" s="52"/>
      <c r="G3569" s="52"/>
      <c r="H3569" s="52"/>
      <c r="I3569" s="52"/>
      <c r="J3569" s="52"/>
      <c r="K3569" s="52"/>
      <c r="L3569" s="52"/>
      <c r="M3569" s="52"/>
      <c r="N3569" s="52"/>
      <c r="O3569" s="52"/>
      <c r="P3569" s="52"/>
      <c r="Q3569" s="52"/>
      <c r="R3569" s="52"/>
      <c r="S3569" s="52"/>
      <c r="T3569" s="52"/>
      <c r="U3569" s="52"/>
      <c r="V3569" s="52"/>
      <c r="W3569" s="52"/>
      <c r="X3569" s="52"/>
      <c r="Y3569" s="52"/>
      <c r="Z3569" s="52"/>
      <c r="AA3569" s="52"/>
      <c r="AB3569" s="52"/>
      <c r="AC3569" s="52"/>
      <c r="AD3569" s="52"/>
      <c r="AE3569" s="52"/>
      <c r="AF3569" s="52"/>
      <c r="AG3569" s="52"/>
      <c r="AH3569" s="52"/>
      <c r="AI3569" s="52"/>
      <c r="AJ3569" s="52"/>
      <c r="AK3569" s="52"/>
      <c r="AL3569" s="52"/>
      <c r="AM3569" s="52"/>
      <c r="AN3569" s="52"/>
    </row>
    <row r="3570" spans="1:40" x14ac:dyDescent="0.3">
      <c r="A3570" s="52">
        <v>3565</v>
      </c>
      <c r="B3570" s="52">
        <f>-bthan*500+(14+0.5)*bthan*1000/50</f>
        <v>-1155</v>
      </c>
      <c r="C3570" s="52">
        <f t="shared" si="326"/>
        <v>630</v>
      </c>
      <c r="D3570" s="52">
        <f t="shared" si="323"/>
        <v>2200</v>
      </c>
      <c r="E3570" s="52">
        <f t="shared" si="324"/>
        <v>1</v>
      </c>
      <c r="F3570" s="52"/>
      <c r="G3570" s="52"/>
      <c r="H3570" s="52"/>
      <c r="I3570" s="52"/>
      <c r="J3570" s="52"/>
      <c r="K3570" s="52"/>
      <c r="L3570" s="52"/>
      <c r="M3570" s="52"/>
      <c r="N3570" s="52"/>
      <c r="O3570" s="52"/>
      <c r="P3570" s="52"/>
      <c r="Q3570" s="52"/>
      <c r="R3570" s="52"/>
      <c r="S3570" s="52"/>
      <c r="T3570" s="52"/>
      <c r="U3570" s="52"/>
      <c r="V3570" s="52"/>
      <c r="W3570" s="52"/>
      <c r="X3570" s="52"/>
      <c r="Y3570" s="52"/>
      <c r="Z3570" s="52"/>
      <c r="AA3570" s="52"/>
      <c r="AB3570" s="52"/>
      <c r="AC3570" s="52"/>
      <c r="AD3570" s="52"/>
      <c r="AE3570" s="52"/>
      <c r="AF3570" s="52"/>
      <c r="AG3570" s="52"/>
      <c r="AH3570" s="52"/>
      <c r="AI3570" s="52"/>
      <c r="AJ3570" s="52"/>
      <c r="AK3570" s="52"/>
      <c r="AL3570" s="52"/>
      <c r="AM3570" s="52"/>
      <c r="AN3570" s="52"/>
    </row>
    <row r="3571" spans="1:40" x14ac:dyDescent="0.3">
      <c r="A3571" s="52">
        <v>3566</v>
      </c>
      <c r="B3571" s="52">
        <f>-bthan*500+(15+0.5)*bthan*1000/50</f>
        <v>-1045</v>
      </c>
      <c r="C3571" s="52">
        <f t="shared" si="326"/>
        <v>630</v>
      </c>
      <c r="D3571" s="52">
        <f t="shared" si="323"/>
        <v>2200</v>
      </c>
      <c r="E3571" s="52">
        <f t="shared" si="324"/>
        <v>1</v>
      </c>
      <c r="F3571" s="52"/>
      <c r="G3571" s="52"/>
      <c r="H3571" s="52"/>
      <c r="I3571" s="52"/>
      <c r="J3571" s="52"/>
      <c r="K3571" s="52"/>
      <c r="L3571" s="52"/>
      <c r="M3571" s="52"/>
      <c r="N3571" s="52"/>
      <c r="O3571" s="52"/>
      <c r="P3571" s="52"/>
      <c r="Q3571" s="52"/>
      <c r="R3571" s="52"/>
      <c r="S3571" s="52"/>
      <c r="T3571" s="52"/>
      <c r="U3571" s="52"/>
      <c r="V3571" s="52"/>
      <c r="W3571" s="52"/>
      <c r="X3571" s="52"/>
      <c r="Y3571" s="52"/>
      <c r="Z3571" s="52"/>
      <c r="AA3571" s="52"/>
      <c r="AB3571" s="52"/>
      <c r="AC3571" s="52"/>
      <c r="AD3571" s="52"/>
      <c r="AE3571" s="52"/>
      <c r="AF3571" s="52"/>
      <c r="AG3571" s="52"/>
      <c r="AH3571" s="52"/>
      <c r="AI3571" s="52"/>
      <c r="AJ3571" s="52"/>
      <c r="AK3571" s="52"/>
      <c r="AL3571" s="52"/>
      <c r="AM3571" s="52"/>
      <c r="AN3571" s="52"/>
    </row>
    <row r="3572" spans="1:40" x14ac:dyDescent="0.3">
      <c r="A3572" s="52">
        <v>3567</v>
      </c>
      <c r="B3572" s="52">
        <f>-bthan*500+(16+0.5)*bthan*1000/50</f>
        <v>-935</v>
      </c>
      <c r="C3572" s="52">
        <f t="shared" si="326"/>
        <v>630</v>
      </c>
      <c r="D3572" s="52">
        <f t="shared" si="323"/>
        <v>2200</v>
      </c>
      <c r="E3572" s="52">
        <f t="shared" si="324"/>
        <v>1</v>
      </c>
      <c r="F3572" s="52"/>
      <c r="G3572" s="52"/>
      <c r="H3572" s="52"/>
      <c r="I3572" s="52"/>
      <c r="J3572" s="52"/>
      <c r="K3572" s="52"/>
      <c r="L3572" s="52"/>
      <c r="M3572" s="52"/>
      <c r="N3572" s="52"/>
      <c r="O3572" s="52"/>
      <c r="P3572" s="52"/>
      <c r="Q3572" s="52"/>
      <c r="R3572" s="52"/>
      <c r="S3572" s="52"/>
      <c r="T3572" s="52"/>
      <c r="U3572" s="52"/>
      <c r="V3572" s="52"/>
      <c r="W3572" s="52"/>
      <c r="X3572" s="52"/>
      <c r="Y3572" s="52"/>
      <c r="Z3572" s="52"/>
      <c r="AA3572" s="52"/>
      <c r="AB3572" s="52"/>
      <c r="AC3572" s="52"/>
      <c r="AD3572" s="52"/>
      <c r="AE3572" s="52"/>
      <c r="AF3572" s="52"/>
      <c r="AG3572" s="52"/>
      <c r="AH3572" s="52"/>
      <c r="AI3572" s="52"/>
      <c r="AJ3572" s="52"/>
      <c r="AK3572" s="52"/>
      <c r="AL3572" s="52"/>
      <c r="AM3572" s="52"/>
      <c r="AN3572" s="52"/>
    </row>
    <row r="3573" spans="1:40" x14ac:dyDescent="0.3">
      <c r="A3573" s="52">
        <v>3568</v>
      </c>
      <c r="B3573" s="52">
        <f>-bthan*500+(17+0.5)*bthan*1000/50</f>
        <v>-825</v>
      </c>
      <c r="C3573" s="52">
        <f t="shared" si="326"/>
        <v>630</v>
      </c>
      <c r="D3573" s="52">
        <f t="shared" si="323"/>
        <v>2200</v>
      </c>
      <c r="E3573" s="52">
        <f t="shared" si="324"/>
        <v>1</v>
      </c>
      <c r="F3573" s="52"/>
      <c r="G3573" s="52"/>
      <c r="H3573" s="52"/>
      <c r="I3573" s="52"/>
      <c r="J3573" s="52"/>
      <c r="K3573" s="52"/>
      <c r="L3573" s="52"/>
      <c r="M3573" s="52"/>
      <c r="N3573" s="52"/>
      <c r="O3573" s="52"/>
      <c r="P3573" s="52"/>
      <c r="Q3573" s="52"/>
      <c r="R3573" s="52"/>
      <c r="S3573" s="52"/>
      <c r="T3573" s="52"/>
      <c r="U3573" s="52"/>
      <c r="V3573" s="52"/>
      <c r="W3573" s="52"/>
      <c r="X3573" s="52"/>
      <c r="Y3573" s="52"/>
      <c r="Z3573" s="52"/>
      <c r="AA3573" s="52"/>
      <c r="AB3573" s="52"/>
      <c r="AC3573" s="52"/>
      <c r="AD3573" s="52"/>
      <c r="AE3573" s="52"/>
      <c r="AF3573" s="52"/>
      <c r="AG3573" s="52"/>
      <c r="AH3573" s="52"/>
      <c r="AI3573" s="52"/>
      <c r="AJ3573" s="52"/>
      <c r="AK3573" s="52"/>
      <c r="AL3573" s="52"/>
      <c r="AM3573" s="52"/>
      <c r="AN3573" s="52"/>
    </row>
    <row r="3574" spans="1:40" x14ac:dyDescent="0.3">
      <c r="A3574" s="52">
        <v>3569</v>
      </c>
      <c r="B3574" s="52">
        <f>-bthan*500+(18+0.5)*bthan*1000/50</f>
        <v>-715</v>
      </c>
      <c r="C3574" s="52">
        <f t="shared" si="326"/>
        <v>630</v>
      </c>
      <c r="D3574" s="52">
        <f t="shared" si="323"/>
        <v>2200</v>
      </c>
      <c r="E3574" s="52">
        <f t="shared" si="324"/>
        <v>1</v>
      </c>
      <c r="F3574" s="52"/>
      <c r="G3574" s="52"/>
      <c r="H3574" s="52"/>
      <c r="I3574" s="52"/>
      <c r="J3574" s="52"/>
      <c r="K3574" s="52"/>
      <c r="L3574" s="52"/>
      <c r="M3574" s="52"/>
      <c r="N3574" s="52"/>
      <c r="O3574" s="52"/>
      <c r="P3574" s="52"/>
      <c r="Q3574" s="52"/>
      <c r="R3574" s="52"/>
      <c r="S3574" s="52"/>
      <c r="T3574" s="52"/>
      <c r="U3574" s="52"/>
      <c r="V3574" s="52"/>
      <c r="W3574" s="52"/>
      <c r="X3574" s="52"/>
      <c r="Y3574" s="52"/>
      <c r="Z3574" s="52"/>
      <c r="AA3574" s="52"/>
      <c r="AB3574" s="52"/>
      <c r="AC3574" s="52"/>
      <c r="AD3574" s="52"/>
      <c r="AE3574" s="52"/>
      <c r="AF3574" s="52"/>
      <c r="AG3574" s="52"/>
      <c r="AH3574" s="52"/>
      <c r="AI3574" s="52"/>
      <c r="AJ3574" s="52"/>
      <c r="AK3574" s="52"/>
      <c r="AL3574" s="52"/>
      <c r="AM3574" s="52"/>
      <c r="AN3574" s="52"/>
    </row>
    <row r="3575" spans="1:40" x14ac:dyDescent="0.3">
      <c r="A3575" s="52">
        <v>3570</v>
      </c>
      <c r="B3575" s="52">
        <f>-bthan*500+(19+0.5)*bthan*1000/50</f>
        <v>-605</v>
      </c>
      <c r="C3575" s="52">
        <f t="shared" si="326"/>
        <v>630</v>
      </c>
      <c r="D3575" s="52">
        <f t="shared" si="323"/>
        <v>2200</v>
      </c>
      <c r="E3575" s="52">
        <f t="shared" si="324"/>
        <v>1</v>
      </c>
      <c r="F3575" s="52"/>
      <c r="G3575" s="52"/>
      <c r="H3575" s="52"/>
      <c r="I3575" s="52"/>
      <c r="J3575" s="52"/>
      <c r="K3575" s="52"/>
      <c r="L3575" s="52"/>
      <c r="M3575" s="52"/>
      <c r="N3575" s="52"/>
      <c r="O3575" s="52"/>
      <c r="P3575" s="52"/>
      <c r="Q3575" s="52"/>
      <c r="R3575" s="52"/>
      <c r="S3575" s="52"/>
      <c r="T3575" s="52"/>
      <c r="U3575" s="52"/>
      <c r="V3575" s="52"/>
      <c r="W3575" s="52"/>
      <c r="X3575" s="52"/>
      <c r="Y3575" s="52"/>
      <c r="Z3575" s="52"/>
      <c r="AA3575" s="52"/>
      <c r="AB3575" s="52"/>
      <c r="AC3575" s="52"/>
      <c r="AD3575" s="52"/>
      <c r="AE3575" s="52"/>
      <c r="AF3575" s="52"/>
      <c r="AG3575" s="52"/>
      <c r="AH3575" s="52"/>
      <c r="AI3575" s="52"/>
      <c r="AJ3575" s="52"/>
      <c r="AK3575" s="52"/>
      <c r="AL3575" s="52"/>
      <c r="AM3575" s="52"/>
      <c r="AN3575" s="52"/>
    </row>
    <row r="3576" spans="1:40" x14ac:dyDescent="0.3">
      <c r="A3576" s="52">
        <v>3571</v>
      </c>
      <c r="B3576" s="52">
        <f>-bthan*500+(20+0.5)*bthan*1000/50</f>
        <v>-495</v>
      </c>
      <c r="C3576" s="52">
        <f t="shared" si="326"/>
        <v>630</v>
      </c>
      <c r="D3576" s="52">
        <f t="shared" si="323"/>
        <v>2200</v>
      </c>
      <c r="E3576" s="52">
        <f t="shared" si="324"/>
        <v>1</v>
      </c>
      <c r="F3576" s="52"/>
      <c r="G3576" s="52"/>
      <c r="H3576" s="52"/>
      <c r="I3576" s="52"/>
      <c r="J3576" s="52"/>
      <c r="K3576" s="52"/>
      <c r="L3576" s="52"/>
      <c r="M3576" s="52"/>
      <c r="N3576" s="52"/>
      <c r="O3576" s="52"/>
      <c r="P3576" s="52"/>
      <c r="Q3576" s="52"/>
      <c r="R3576" s="52"/>
      <c r="S3576" s="52"/>
      <c r="T3576" s="52"/>
      <c r="U3576" s="52"/>
      <c r="V3576" s="52"/>
      <c r="W3576" s="52"/>
      <c r="X3576" s="52"/>
      <c r="Y3576" s="52"/>
      <c r="Z3576" s="52"/>
      <c r="AA3576" s="52"/>
      <c r="AB3576" s="52"/>
      <c r="AC3576" s="52"/>
      <c r="AD3576" s="52"/>
      <c r="AE3576" s="52"/>
      <c r="AF3576" s="52"/>
      <c r="AG3576" s="52"/>
      <c r="AH3576" s="52"/>
      <c r="AI3576" s="52"/>
      <c r="AJ3576" s="52"/>
      <c r="AK3576" s="52"/>
      <c r="AL3576" s="52"/>
      <c r="AM3576" s="52"/>
      <c r="AN3576" s="52"/>
    </row>
    <row r="3577" spans="1:40" x14ac:dyDescent="0.3">
      <c r="A3577" s="52">
        <v>3572</v>
      </c>
      <c r="B3577" s="52">
        <f>-bthan*500+(21+0.5)*bthan*1000/50</f>
        <v>-385</v>
      </c>
      <c r="C3577" s="52">
        <f t="shared" si="326"/>
        <v>630</v>
      </c>
      <c r="D3577" s="52">
        <f t="shared" si="323"/>
        <v>2200</v>
      </c>
      <c r="E3577" s="52">
        <f t="shared" si="324"/>
        <v>1</v>
      </c>
      <c r="F3577" s="52"/>
      <c r="G3577" s="52"/>
      <c r="H3577" s="52"/>
      <c r="I3577" s="52"/>
      <c r="J3577" s="52"/>
      <c r="K3577" s="52"/>
      <c r="L3577" s="52"/>
      <c r="M3577" s="52"/>
      <c r="N3577" s="52"/>
      <c r="O3577" s="52"/>
      <c r="P3577" s="52"/>
      <c r="Q3577" s="52"/>
      <c r="R3577" s="52"/>
      <c r="S3577" s="52"/>
      <c r="T3577" s="52"/>
      <c r="U3577" s="52"/>
      <c r="V3577" s="52"/>
      <c r="W3577" s="52"/>
      <c r="X3577" s="52"/>
      <c r="Y3577" s="52"/>
      <c r="Z3577" s="52"/>
      <c r="AA3577" s="52"/>
      <c r="AB3577" s="52"/>
      <c r="AC3577" s="52"/>
      <c r="AD3577" s="52"/>
      <c r="AE3577" s="52"/>
      <c r="AF3577" s="52"/>
      <c r="AG3577" s="52"/>
      <c r="AH3577" s="52"/>
      <c r="AI3577" s="52"/>
      <c r="AJ3577" s="52"/>
      <c r="AK3577" s="52"/>
      <c r="AL3577" s="52"/>
      <c r="AM3577" s="52"/>
      <c r="AN3577" s="52"/>
    </row>
    <row r="3578" spans="1:40" x14ac:dyDescent="0.3">
      <c r="A3578" s="52">
        <v>3573</v>
      </c>
      <c r="B3578" s="52">
        <f>-bthan*500+(22+0.5)*bthan*1000/50</f>
        <v>-275</v>
      </c>
      <c r="C3578" s="52">
        <f t="shared" si="326"/>
        <v>630</v>
      </c>
      <c r="D3578" s="52">
        <f t="shared" si="323"/>
        <v>2200</v>
      </c>
      <c r="E3578" s="52">
        <f t="shared" si="324"/>
        <v>1</v>
      </c>
      <c r="F3578" s="52"/>
      <c r="G3578" s="52"/>
      <c r="H3578" s="52"/>
      <c r="I3578" s="52"/>
      <c r="J3578" s="52"/>
      <c r="K3578" s="52"/>
      <c r="L3578" s="52"/>
      <c r="M3578" s="52"/>
      <c r="N3578" s="52"/>
      <c r="O3578" s="52"/>
      <c r="P3578" s="52"/>
      <c r="Q3578" s="52"/>
      <c r="R3578" s="52"/>
      <c r="S3578" s="52"/>
      <c r="T3578" s="52"/>
      <c r="U3578" s="52"/>
      <c r="V3578" s="52"/>
      <c r="W3578" s="52"/>
      <c r="X3578" s="52"/>
      <c r="Y3578" s="52"/>
      <c r="Z3578" s="52"/>
      <c r="AA3578" s="52"/>
      <c r="AB3578" s="52"/>
      <c r="AC3578" s="52"/>
      <c r="AD3578" s="52"/>
      <c r="AE3578" s="52"/>
      <c r="AF3578" s="52"/>
      <c r="AG3578" s="52"/>
      <c r="AH3578" s="52"/>
      <c r="AI3578" s="52"/>
      <c r="AJ3578" s="52"/>
      <c r="AK3578" s="52"/>
      <c r="AL3578" s="52"/>
      <c r="AM3578" s="52"/>
      <c r="AN3578" s="52"/>
    </row>
    <row r="3579" spans="1:40" x14ac:dyDescent="0.3">
      <c r="A3579" s="52">
        <v>3574</v>
      </c>
      <c r="B3579" s="52">
        <f>-bthan*500+(23+0.5)*bthan*1000/50</f>
        <v>-165</v>
      </c>
      <c r="C3579" s="52">
        <f t="shared" si="326"/>
        <v>630</v>
      </c>
      <c r="D3579" s="52">
        <f t="shared" si="323"/>
        <v>2200</v>
      </c>
      <c r="E3579" s="52">
        <f t="shared" si="324"/>
        <v>1</v>
      </c>
      <c r="F3579" s="52"/>
      <c r="G3579" s="52"/>
      <c r="H3579" s="52"/>
      <c r="I3579" s="52"/>
      <c r="J3579" s="52"/>
      <c r="K3579" s="52"/>
      <c r="L3579" s="52"/>
      <c r="M3579" s="52"/>
      <c r="N3579" s="52"/>
      <c r="O3579" s="52"/>
      <c r="P3579" s="52"/>
      <c r="Q3579" s="52"/>
      <c r="R3579" s="52"/>
      <c r="S3579" s="52"/>
      <c r="T3579" s="52"/>
      <c r="U3579" s="52"/>
      <c r="V3579" s="52"/>
      <c r="W3579" s="52"/>
      <c r="X3579" s="52"/>
      <c r="Y3579" s="52"/>
      <c r="Z3579" s="52"/>
      <c r="AA3579" s="52"/>
      <c r="AB3579" s="52"/>
      <c r="AC3579" s="52"/>
      <c r="AD3579" s="52"/>
      <c r="AE3579" s="52"/>
      <c r="AF3579" s="52"/>
      <c r="AG3579" s="52"/>
      <c r="AH3579" s="52"/>
      <c r="AI3579" s="52"/>
      <c r="AJ3579" s="52"/>
      <c r="AK3579" s="52"/>
      <c r="AL3579" s="52"/>
      <c r="AM3579" s="52"/>
      <c r="AN3579" s="52"/>
    </row>
    <row r="3580" spans="1:40" x14ac:dyDescent="0.3">
      <c r="A3580" s="52">
        <v>3575</v>
      </c>
      <c r="B3580" s="52">
        <f>-bthan*500+(24+0.5)*bthan*1000/50</f>
        <v>-55</v>
      </c>
      <c r="C3580" s="52">
        <f t="shared" si="326"/>
        <v>630</v>
      </c>
      <c r="D3580" s="52">
        <f t="shared" si="323"/>
        <v>2200</v>
      </c>
      <c r="E3580" s="52">
        <f t="shared" si="324"/>
        <v>1</v>
      </c>
      <c r="F3580" s="52"/>
      <c r="G3580" s="52"/>
      <c r="H3580" s="52"/>
      <c r="I3580" s="52"/>
      <c r="J3580" s="52"/>
      <c r="K3580" s="52"/>
      <c r="L3580" s="52"/>
      <c r="M3580" s="52"/>
      <c r="N3580" s="52"/>
      <c r="O3580" s="52"/>
      <c r="P3580" s="52"/>
      <c r="Q3580" s="52"/>
      <c r="R3580" s="52"/>
      <c r="S3580" s="52"/>
      <c r="T3580" s="52"/>
      <c r="U3580" s="52"/>
      <c r="V3580" s="52"/>
      <c r="W3580" s="52"/>
      <c r="X3580" s="52"/>
      <c r="Y3580" s="52"/>
      <c r="Z3580" s="52"/>
      <c r="AA3580" s="52"/>
      <c r="AB3580" s="52"/>
      <c r="AC3580" s="52"/>
      <c r="AD3580" s="52"/>
      <c r="AE3580" s="52"/>
      <c r="AF3580" s="52"/>
      <c r="AG3580" s="52"/>
      <c r="AH3580" s="52"/>
      <c r="AI3580" s="52"/>
      <c r="AJ3580" s="52"/>
      <c r="AK3580" s="52"/>
      <c r="AL3580" s="52"/>
      <c r="AM3580" s="52"/>
      <c r="AN3580" s="52"/>
    </row>
    <row r="3581" spans="1:40" x14ac:dyDescent="0.3">
      <c r="A3581" s="52">
        <v>3576</v>
      </c>
      <c r="B3581" s="52">
        <f>-bthan*500+(25+0.5)*bthan*1000/50</f>
        <v>55</v>
      </c>
      <c r="C3581" s="52">
        <f t="shared" si="326"/>
        <v>630</v>
      </c>
      <c r="D3581" s="52">
        <f t="shared" si="323"/>
        <v>2200</v>
      </c>
      <c r="E3581" s="52">
        <f t="shared" si="324"/>
        <v>1</v>
      </c>
      <c r="F3581" s="52"/>
      <c r="G3581" s="52"/>
      <c r="H3581" s="52"/>
      <c r="I3581" s="52"/>
      <c r="J3581" s="52"/>
      <c r="K3581" s="52"/>
      <c r="L3581" s="52"/>
      <c r="M3581" s="52"/>
      <c r="N3581" s="52"/>
      <c r="O3581" s="52"/>
      <c r="P3581" s="52"/>
      <c r="Q3581" s="52"/>
      <c r="R3581" s="52"/>
      <c r="S3581" s="52"/>
      <c r="T3581" s="52"/>
      <c r="U3581" s="52"/>
      <c r="V3581" s="52"/>
      <c r="W3581" s="52"/>
      <c r="X3581" s="52"/>
      <c r="Y3581" s="52"/>
      <c r="Z3581" s="52"/>
      <c r="AA3581" s="52"/>
      <c r="AB3581" s="52"/>
      <c r="AC3581" s="52"/>
      <c r="AD3581" s="52"/>
      <c r="AE3581" s="52"/>
      <c r="AF3581" s="52"/>
      <c r="AG3581" s="52"/>
      <c r="AH3581" s="52"/>
      <c r="AI3581" s="52"/>
      <c r="AJ3581" s="52"/>
      <c r="AK3581" s="52"/>
      <c r="AL3581" s="52"/>
      <c r="AM3581" s="52"/>
      <c r="AN3581" s="52"/>
    </row>
    <row r="3582" spans="1:40" x14ac:dyDescent="0.3">
      <c r="A3582" s="52">
        <v>3577</v>
      </c>
      <c r="B3582" s="52">
        <f>-bthan*500+(26+0.5)*bthan*1000/50</f>
        <v>165</v>
      </c>
      <c r="C3582" s="52">
        <f t="shared" si="326"/>
        <v>630</v>
      </c>
      <c r="D3582" s="52">
        <f t="shared" si="323"/>
        <v>2200</v>
      </c>
      <c r="E3582" s="52">
        <f t="shared" si="324"/>
        <v>1</v>
      </c>
      <c r="F3582" s="52"/>
      <c r="G3582" s="52"/>
      <c r="H3582" s="52"/>
      <c r="I3582" s="52"/>
      <c r="J3582" s="52"/>
      <c r="K3582" s="52"/>
      <c r="L3582" s="52"/>
      <c r="M3582" s="52"/>
      <c r="N3582" s="52"/>
      <c r="O3582" s="52"/>
      <c r="P3582" s="52"/>
      <c r="Q3582" s="52"/>
      <c r="R3582" s="52"/>
      <c r="S3582" s="52"/>
      <c r="T3582" s="52"/>
      <c r="U3582" s="52"/>
      <c r="V3582" s="52"/>
      <c r="W3582" s="52"/>
      <c r="X3582" s="52"/>
      <c r="Y3582" s="52"/>
      <c r="Z3582" s="52"/>
      <c r="AA3582" s="52"/>
      <c r="AB3582" s="52"/>
      <c r="AC3582" s="52"/>
      <c r="AD3582" s="52"/>
      <c r="AE3582" s="52"/>
      <c r="AF3582" s="52"/>
      <c r="AG3582" s="52"/>
      <c r="AH3582" s="52"/>
      <c r="AI3582" s="52"/>
      <c r="AJ3582" s="52"/>
      <c r="AK3582" s="52"/>
      <c r="AL3582" s="52"/>
      <c r="AM3582" s="52"/>
      <c r="AN3582" s="52"/>
    </row>
    <row r="3583" spans="1:40" x14ac:dyDescent="0.3">
      <c r="A3583" s="52">
        <v>3578</v>
      </c>
      <c r="B3583" s="52">
        <f>-bthan*500+(27+0.5)*bthan*1000/50</f>
        <v>275</v>
      </c>
      <c r="C3583" s="52">
        <f t="shared" si="326"/>
        <v>630</v>
      </c>
      <c r="D3583" s="52">
        <f t="shared" si="323"/>
        <v>2200</v>
      </c>
      <c r="E3583" s="52">
        <f t="shared" si="324"/>
        <v>1</v>
      </c>
      <c r="F3583" s="52"/>
      <c r="G3583" s="52"/>
      <c r="H3583" s="52"/>
      <c r="I3583" s="52"/>
      <c r="J3583" s="52"/>
      <c r="K3583" s="52"/>
      <c r="L3583" s="52"/>
      <c r="M3583" s="52"/>
      <c r="N3583" s="52"/>
      <c r="O3583" s="52"/>
      <c r="P3583" s="52"/>
      <c r="Q3583" s="52"/>
      <c r="R3583" s="52"/>
      <c r="S3583" s="52"/>
      <c r="T3583" s="52"/>
      <c r="U3583" s="52"/>
      <c r="V3583" s="52"/>
      <c r="W3583" s="52"/>
      <c r="X3583" s="52"/>
      <c r="Y3583" s="52"/>
      <c r="Z3583" s="52"/>
      <c r="AA3583" s="52"/>
      <c r="AB3583" s="52"/>
      <c r="AC3583" s="52"/>
      <c r="AD3583" s="52"/>
      <c r="AE3583" s="52"/>
      <c r="AF3583" s="52"/>
      <c r="AG3583" s="52"/>
      <c r="AH3583" s="52"/>
      <c r="AI3583" s="52"/>
      <c r="AJ3583" s="52"/>
      <c r="AK3583" s="52"/>
      <c r="AL3583" s="52"/>
      <c r="AM3583" s="52"/>
      <c r="AN3583" s="52"/>
    </row>
    <row r="3584" spans="1:40" x14ac:dyDescent="0.3">
      <c r="A3584" s="52">
        <v>3579</v>
      </c>
      <c r="B3584" s="52">
        <f>-bthan*500+(28+0.5)*bthan*1000/50</f>
        <v>385</v>
      </c>
      <c r="C3584" s="52">
        <f t="shared" si="326"/>
        <v>630</v>
      </c>
      <c r="D3584" s="52">
        <f t="shared" si="323"/>
        <v>2200</v>
      </c>
      <c r="E3584" s="52">
        <f t="shared" si="324"/>
        <v>1</v>
      </c>
      <c r="F3584" s="52"/>
      <c r="G3584" s="52"/>
      <c r="H3584" s="52"/>
      <c r="I3584" s="52"/>
      <c r="J3584" s="52"/>
      <c r="K3584" s="52"/>
      <c r="L3584" s="52"/>
      <c r="M3584" s="52"/>
      <c r="N3584" s="52"/>
      <c r="O3584" s="52"/>
      <c r="P3584" s="52"/>
      <c r="Q3584" s="52"/>
      <c r="R3584" s="52"/>
      <c r="S3584" s="52"/>
      <c r="T3584" s="52"/>
      <c r="U3584" s="52"/>
      <c r="V3584" s="52"/>
      <c r="W3584" s="52"/>
      <c r="X3584" s="52"/>
      <c r="Y3584" s="52"/>
      <c r="Z3584" s="52"/>
      <c r="AA3584" s="52"/>
      <c r="AB3584" s="52"/>
      <c r="AC3584" s="52"/>
      <c r="AD3584" s="52"/>
      <c r="AE3584" s="52"/>
      <c r="AF3584" s="52"/>
      <c r="AG3584" s="52"/>
      <c r="AH3584" s="52"/>
      <c r="AI3584" s="52"/>
      <c r="AJ3584" s="52"/>
      <c r="AK3584" s="52"/>
      <c r="AL3584" s="52"/>
      <c r="AM3584" s="52"/>
      <c r="AN3584" s="52"/>
    </row>
    <row r="3585" spans="1:40" x14ac:dyDescent="0.3">
      <c r="A3585" s="52">
        <v>3580</v>
      </c>
      <c r="B3585" s="52">
        <f>-bthan*500+(29+0.5)*bthan*1000/50</f>
        <v>495</v>
      </c>
      <c r="C3585" s="52">
        <f t="shared" si="326"/>
        <v>630</v>
      </c>
      <c r="D3585" s="52">
        <f t="shared" si="323"/>
        <v>2200</v>
      </c>
      <c r="E3585" s="52">
        <f t="shared" si="324"/>
        <v>1</v>
      </c>
      <c r="F3585" s="52"/>
      <c r="G3585" s="52"/>
      <c r="H3585" s="52"/>
      <c r="I3585" s="52"/>
      <c r="J3585" s="52"/>
      <c r="K3585" s="52"/>
      <c r="L3585" s="52"/>
      <c r="M3585" s="52"/>
      <c r="N3585" s="52"/>
      <c r="O3585" s="52"/>
      <c r="P3585" s="52"/>
      <c r="Q3585" s="52"/>
      <c r="R3585" s="52"/>
      <c r="S3585" s="52"/>
      <c r="T3585" s="52"/>
      <c r="U3585" s="52"/>
      <c r="V3585" s="52"/>
      <c r="W3585" s="52"/>
      <c r="X3585" s="52"/>
      <c r="Y3585" s="52"/>
      <c r="Z3585" s="52"/>
      <c r="AA3585" s="52"/>
      <c r="AB3585" s="52"/>
      <c r="AC3585" s="52"/>
      <c r="AD3585" s="52"/>
      <c r="AE3585" s="52"/>
      <c r="AF3585" s="52"/>
      <c r="AG3585" s="52"/>
      <c r="AH3585" s="52"/>
      <c r="AI3585" s="52"/>
      <c r="AJ3585" s="52"/>
      <c r="AK3585" s="52"/>
      <c r="AL3585" s="52"/>
      <c r="AM3585" s="52"/>
      <c r="AN3585" s="52"/>
    </row>
    <row r="3586" spans="1:40" x14ac:dyDescent="0.3">
      <c r="A3586" s="52">
        <v>3581</v>
      </c>
      <c r="B3586" s="52">
        <f>-bthan*500+(30+0.5)*bthan*1000/50</f>
        <v>605</v>
      </c>
      <c r="C3586" s="52">
        <f t="shared" si="326"/>
        <v>630</v>
      </c>
      <c r="D3586" s="52">
        <f t="shared" si="323"/>
        <v>2200</v>
      </c>
      <c r="E3586" s="52">
        <f t="shared" si="324"/>
        <v>1</v>
      </c>
      <c r="F3586" s="52"/>
      <c r="G3586" s="52"/>
      <c r="H3586" s="52"/>
      <c r="I3586" s="52"/>
      <c r="J3586" s="52"/>
      <c r="K3586" s="52"/>
      <c r="L3586" s="52"/>
      <c r="M3586" s="52"/>
      <c r="N3586" s="52"/>
      <c r="O3586" s="52"/>
      <c r="P3586" s="52"/>
      <c r="Q3586" s="52"/>
      <c r="R3586" s="52"/>
      <c r="S3586" s="52"/>
      <c r="T3586" s="52"/>
      <c r="U3586" s="52"/>
      <c r="V3586" s="52"/>
      <c r="W3586" s="52"/>
      <c r="X3586" s="52"/>
      <c r="Y3586" s="52"/>
      <c r="Z3586" s="52"/>
      <c r="AA3586" s="52"/>
      <c r="AB3586" s="52"/>
      <c r="AC3586" s="52"/>
      <c r="AD3586" s="52"/>
      <c r="AE3586" s="52"/>
      <c r="AF3586" s="52"/>
      <c r="AG3586" s="52"/>
      <c r="AH3586" s="52"/>
      <c r="AI3586" s="52"/>
      <c r="AJ3586" s="52"/>
      <c r="AK3586" s="52"/>
      <c r="AL3586" s="52"/>
      <c r="AM3586" s="52"/>
      <c r="AN3586" s="52"/>
    </row>
    <row r="3587" spans="1:40" x14ac:dyDescent="0.3">
      <c r="A3587" s="52">
        <v>3582</v>
      </c>
      <c r="B3587" s="52">
        <f>-bthan*500+(31+0.5)*bthan*1000/50</f>
        <v>715</v>
      </c>
      <c r="C3587" s="52">
        <f t="shared" si="326"/>
        <v>630</v>
      </c>
      <c r="D3587" s="52">
        <f t="shared" si="323"/>
        <v>2200</v>
      </c>
      <c r="E3587" s="52">
        <f t="shared" si="324"/>
        <v>1</v>
      </c>
      <c r="F3587" s="52"/>
      <c r="G3587" s="52"/>
      <c r="H3587" s="52"/>
      <c r="I3587" s="52"/>
      <c r="J3587" s="52"/>
      <c r="K3587" s="52"/>
      <c r="L3587" s="52"/>
      <c r="M3587" s="52"/>
      <c r="N3587" s="52"/>
      <c r="O3587" s="52"/>
      <c r="P3587" s="52"/>
      <c r="Q3587" s="52"/>
      <c r="R3587" s="52"/>
      <c r="S3587" s="52"/>
      <c r="T3587" s="52"/>
      <c r="U3587" s="52"/>
      <c r="V3587" s="52"/>
      <c r="W3587" s="52"/>
      <c r="X3587" s="52"/>
      <c r="Y3587" s="52"/>
      <c r="Z3587" s="52"/>
      <c r="AA3587" s="52"/>
      <c r="AB3587" s="52"/>
      <c r="AC3587" s="52"/>
      <c r="AD3587" s="52"/>
      <c r="AE3587" s="52"/>
      <c r="AF3587" s="52"/>
      <c r="AG3587" s="52"/>
      <c r="AH3587" s="52"/>
      <c r="AI3587" s="52"/>
      <c r="AJ3587" s="52"/>
      <c r="AK3587" s="52"/>
      <c r="AL3587" s="52"/>
      <c r="AM3587" s="52"/>
      <c r="AN3587" s="52"/>
    </row>
    <row r="3588" spans="1:40" x14ac:dyDescent="0.3">
      <c r="A3588" s="52">
        <v>3583</v>
      </c>
      <c r="B3588" s="52">
        <f>-bthan*500+(32+0.5)*bthan*1000/50</f>
        <v>825</v>
      </c>
      <c r="C3588" s="52">
        <f t="shared" ref="C3588:C3605" si="327">-hthan*500+(71+0.5)*hthan*1000/80</f>
        <v>630</v>
      </c>
      <c r="D3588" s="52">
        <f t="shared" si="323"/>
        <v>2200</v>
      </c>
      <c r="E3588" s="52">
        <f t="shared" si="324"/>
        <v>1</v>
      </c>
      <c r="F3588" s="52"/>
      <c r="G3588" s="52"/>
      <c r="H3588" s="52"/>
      <c r="I3588" s="52"/>
      <c r="J3588" s="52"/>
      <c r="K3588" s="52"/>
      <c r="L3588" s="52"/>
      <c r="M3588" s="52"/>
      <c r="N3588" s="52"/>
      <c r="O3588" s="52"/>
      <c r="P3588" s="52"/>
      <c r="Q3588" s="52"/>
      <c r="R3588" s="52"/>
      <c r="S3588" s="52"/>
      <c r="T3588" s="52"/>
      <c r="U3588" s="52"/>
      <c r="V3588" s="52"/>
      <c r="W3588" s="52"/>
      <c r="X3588" s="52"/>
      <c r="Y3588" s="52"/>
      <c r="Z3588" s="52"/>
      <c r="AA3588" s="52"/>
      <c r="AB3588" s="52"/>
      <c r="AC3588" s="52"/>
      <c r="AD3588" s="52"/>
      <c r="AE3588" s="52"/>
      <c r="AF3588" s="52"/>
      <c r="AG3588" s="52"/>
      <c r="AH3588" s="52"/>
      <c r="AI3588" s="52"/>
      <c r="AJ3588" s="52"/>
      <c r="AK3588" s="52"/>
      <c r="AL3588" s="52"/>
      <c r="AM3588" s="52"/>
      <c r="AN3588" s="52"/>
    </row>
    <row r="3589" spans="1:40" x14ac:dyDescent="0.3">
      <c r="A3589" s="52">
        <v>3584</v>
      </c>
      <c r="B3589" s="52">
        <f>-bthan*500+(33+0.5)*bthan*1000/50</f>
        <v>935</v>
      </c>
      <c r="C3589" s="52">
        <f t="shared" si="327"/>
        <v>630</v>
      </c>
      <c r="D3589" s="52">
        <f t="shared" si="323"/>
        <v>2200</v>
      </c>
      <c r="E3589" s="52">
        <f t="shared" si="324"/>
        <v>1</v>
      </c>
      <c r="F3589" s="52"/>
      <c r="G3589" s="52"/>
      <c r="H3589" s="52"/>
      <c r="I3589" s="52"/>
      <c r="J3589" s="52"/>
      <c r="K3589" s="52"/>
      <c r="L3589" s="52"/>
      <c r="M3589" s="52"/>
      <c r="N3589" s="52"/>
      <c r="O3589" s="52"/>
      <c r="P3589" s="52"/>
      <c r="Q3589" s="52"/>
      <c r="R3589" s="52"/>
      <c r="S3589" s="52"/>
      <c r="T3589" s="52"/>
      <c r="U3589" s="52"/>
      <c r="V3589" s="52"/>
      <c r="W3589" s="52"/>
      <c r="X3589" s="52"/>
      <c r="Y3589" s="52"/>
      <c r="Z3589" s="52"/>
      <c r="AA3589" s="52"/>
      <c r="AB3589" s="52"/>
      <c r="AC3589" s="52"/>
      <c r="AD3589" s="52"/>
      <c r="AE3589" s="52"/>
      <c r="AF3589" s="52"/>
      <c r="AG3589" s="52"/>
      <c r="AH3589" s="52"/>
      <c r="AI3589" s="52"/>
      <c r="AJ3589" s="52"/>
      <c r="AK3589" s="52"/>
      <c r="AL3589" s="52"/>
      <c r="AM3589" s="52"/>
      <c r="AN3589" s="52"/>
    </row>
    <row r="3590" spans="1:40" x14ac:dyDescent="0.3">
      <c r="A3590" s="52">
        <v>3585</v>
      </c>
      <c r="B3590" s="52">
        <f>-bthan*500+(34+0.5)*bthan*1000/50</f>
        <v>1045</v>
      </c>
      <c r="C3590" s="52">
        <f t="shared" si="327"/>
        <v>630</v>
      </c>
      <c r="D3590" s="52">
        <f t="shared" ref="D3590:D3653" si="328">bthan*1000/50*hthan*1000/80</f>
        <v>2200</v>
      </c>
      <c r="E3590" s="52">
        <f t="shared" ref="E3590:E3653" si="329">IF(shp=1,--(OR(ABS(B3590)&lt;=MAX(0,(bthan-hthan)*500),(ABS(B3590)-MAX(0,(bthan-hthan)*500))^2+C3590^2&lt;=(hthan*500)^2)),--(AND(ABS(B3590)&lt;=bthan*500,ABS(C3590)&lt;=hthan*500,OR(ABS(B3590)&lt;=bthan*500-cch*1000,ABS(C3590)&lt;=hthan*500-cch*1000,(bthan*500-ABS(B3590))+(hthan*500-ABS(C3590))&gt;=cch*1000))))</f>
        <v>1</v>
      </c>
      <c r="F3590" s="52"/>
      <c r="G3590" s="52"/>
      <c r="H3590" s="52"/>
      <c r="I3590" s="52"/>
      <c r="J3590" s="52"/>
      <c r="K3590" s="52"/>
      <c r="L3590" s="52"/>
      <c r="M3590" s="52"/>
      <c r="N3590" s="52"/>
      <c r="O3590" s="52"/>
      <c r="P3590" s="52"/>
      <c r="Q3590" s="52"/>
      <c r="R3590" s="52"/>
      <c r="S3590" s="52"/>
      <c r="T3590" s="52"/>
      <c r="U3590" s="52"/>
      <c r="V3590" s="52"/>
      <c r="W3590" s="52"/>
      <c r="X3590" s="52"/>
      <c r="Y3590" s="52"/>
      <c r="Z3590" s="52"/>
      <c r="AA3590" s="52"/>
      <c r="AB3590" s="52"/>
      <c r="AC3590" s="52"/>
      <c r="AD3590" s="52"/>
      <c r="AE3590" s="52"/>
      <c r="AF3590" s="52"/>
      <c r="AG3590" s="52"/>
      <c r="AH3590" s="52"/>
      <c r="AI3590" s="52"/>
      <c r="AJ3590" s="52"/>
      <c r="AK3590" s="52"/>
      <c r="AL3590" s="52"/>
      <c r="AM3590" s="52"/>
      <c r="AN3590" s="52"/>
    </row>
    <row r="3591" spans="1:40" x14ac:dyDescent="0.3">
      <c r="A3591" s="52">
        <v>3586</v>
      </c>
      <c r="B3591" s="52">
        <f>-bthan*500+(35+0.5)*bthan*1000/50</f>
        <v>1155</v>
      </c>
      <c r="C3591" s="52">
        <f t="shared" si="327"/>
        <v>630</v>
      </c>
      <c r="D3591" s="52">
        <f t="shared" si="328"/>
        <v>2200</v>
      </c>
      <c r="E3591" s="52">
        <f t="shared" si="329"/>
        <v>1</v>
      </c>
      <c r="F3591" s="52"/>
      <c r="G3591" s="52"/>
      <c r="H3591" s="52"/>
      <c r="I3591" s="52"/>
      <c r="J3591" s="52"/>
      <c r="K3591" s="52"/>
      <c r="L3591" s="52"/>
      <c r="M3591" s="52"/>
      <c r="N3591" s="52"/>
      <c r="O3591" s="52"/>
      <c r="P3591" s="52"/>
      <c r="Q3591" s="52"/>
      <c r="R3591" s="52"/>
      <c r="S3591" s="52"/>
      <c r="T3591" s="52"/>
      <c r="U3591" s="52"/>
      <c r="V3591" s="52"/>
      <c r="W3591" s="52"/>
      <c r="X3591" s="52"/>
      <c r="Y3591" s="52"/>
      <c r="Z3591" s="52"/>
      <c r="AA3591" s="52"/>
      <c r="AB3591" s="52"/>
      <c r="AC3591" s="52"/>
      <c r="AD3591" s="52"/>
      <c r="AE3591" s="52"/>
      <c r="AF3591" s="52"/>
      <c r="AG3591" s="52"/>
      <c r="AH3591" s="52"/>
      <c r="AI3591" s="52"/>
      <c r="AJ3591" s="52"/>
      <c r="AK3591" s="52"/>
      <c r="AL3591" s="52"/>
      <c r="AM3591" s="52"/>
      <c r="AN3591" s="52"/>
    </row>
    <row r="3592" spans="1:40" x14ac:dyDescent="0.3">
      <c r="A3592" s="52">
        <v>3587</v>
      </c>
      <c r="B3592" s="52">
        <f>-bthan*500+(36+0.5)*bthan*1000/50</f>
        <v>1265</v>
      </c>
      <c r="C3592" s="52">
        <f t="shared" si="327"/>
        <v>630</v>
      </c>
      <c r="D3592" s="52">
        <f t="shared" si="328"/>
        <v>2200</v>
      </c>
      <c r="E3592" s="52">
        <f t="shared" si="329"/>
        <v>1</v>
      </c>
      <c r="F3592" s="52"/>
      <c r="G3592" s="52"/>
      <c r="H3592" s="52"/>
      <c r="I3592" s="52"/>
      <c r="J3592" s="52"/>
      <c r="K3592" s="52"/>
      <c r="L3592" s="52"/>
      <c r="M3592" s="52"/>
      <c r="N3592" s="52"/>
      <c r="O3592" s="52"/>
      <c r="P3592" s="52"/>
      <c r="Q3592" s="52"/>
      <c r="R3592" s="52"/>
      <c r="S3592" s="52"/>
      <c r="T3592" s="52"/>
      <c r="U3592" s="52"/>
      <c r="V3592" s="52"/>
      <c r="W3592" s="52"/>
      <c r="X3592" s="52"/>
      <c r="Y3592" s="52"/>
      <c r="Z3592" s="52"/>
      <c r="AA3592" s="52"/>
      <c r="AB3592" s="52"/>
      <c r="AC3592" s="52"/>
      <c r="AD3592" s="52"/>
      <c r="AE3592" s="52"/>
      <c r="AF3592" s="52"/>
      <c r="AG3592" s="52"/>
      <c r="AH3592" s="52"/>
      <c r="AI3592" s="52"/>
      <c r="AJ3592" s="52"/>
      <c r="AK3592" s="52"/>
      <c r="AL3592" s="52"/>
      <c r="AM3592" s="52"/>
      <c r="AN3592" s="52"/>
    </row>
    <row r="3593" spans="1:40" x14ac:dyDescent="0.3">
      <c r="A3593" s="52">
        <v>3588</v>
      </c>
      <c r="B3593" s="52">
        <f>-bthan*500+(37+0.5)*bthan*1000/50</f>
        <v>1375</v>
      </c>
      <c r="C3593" s="52">
        <f t="shared" si="327"/>
        <v>630</v>
      </c>
      <c r="D3593" s="52">
        <f t="shared" si="328"/>
        <v>2200</v>
      </c>
      <c r="E3593" s="52">
        <f t="shared" si="329"/>
        <v>1</v>
      </c>
      <c r="F3593" s="52"/>
      <c r="G3593" s="52"/>
      <c r="H3593" s="52"/>
      <c r="I3593" s="52"/>
      <c r="J3593" s="52"/>
      <c r="K3593" s="52"/>
      <c r="L3593" s="52"/>
      <c r="M3593" s="52"/>
      <c r="N3593" s="52"/>
      <c r="O3593" s="52"/>
      <c r="P3593" s="52"/>
      <c r="Q3593" s="52"/>
      <c r="R3593" s="52"/>
      <c r="S3593" s="52"/>
      <c r="T3593" s="52"/>
      <c r="U3593" s="52"/>
      <c r="V3593" s="52"/>
      <c r="W3593" s="52"/>
      <c r="X3593" s="52"/>
      <c r="Y3593" s="52"/>
      <c r="Z3593" s="52"/>
      <c r="AA3593" s="52"/>
      <c r="AB3593" s="52"/>
      <c r="AC3593" s="52"/>
      <c r="AD3593" s="52"/>
      <c r="AE3593" s="52"/>
      <c r="AF3593" s="52"/>
      <c r="AG3593" s="52"/>
      <c r="AH3593" s="52"/>
      <c r="AI3593" s="52"/>
      <c r="AJ3593" s="52"/>
      <c r="AK3593" s="52"/>
      <c r="AL3593" s="52"/>
      <c r="AM3593" s="52"/>
      <c r="AN3593" s="52"/>
    </row>
    <row r="3594" spans="1:40" x14ac:dyDescent="0.3">
      <c r="A3594" s="52">
        <v>3589</v>
      </c>
      <c r="B3594" s="52">
        <f>-bthan*500+(38+0.5)*bthan*1000/50</f>
        <v>1485</v>
      </c>
      <c r="C3594" s="52">
        <f t="shared" si="327"/>
        <v>630</v>
      </c>
      <c r="D3594" s="52">
        <f t="shared" si="328"/>
        <v>2200</v>
      </c>
      <c r="E3594" s="52">
        <f t="shared" si="329"/>
        <v>1</v>
      </c>
      <c r="F3594" s="52"/>
      <c r="G3594" s="52"/>
      <c r="H3594" s="52"/>
      <c r="I3594" s="52"/>
      <c r="J3594" s="52"/>
      <c r="K3594" s="52"/>
      <c r="L3594" s="52"/>
      <c r="M3594" s="52"/>
      <c r="N3594" s="52"/>
      <c r="O3594" s="52"/>
      <c r="P3594" s="52"/>
      <c r="Q3594" s="52"/>
      <c r="R3594" s="52"/>
      <c r="S3594" s="52"/>
      <c r="T3594" s="52"/>
      <c r="U3594" s="52"/>
      <c r="V3594" s="52"/>
      <c r="W3594" s="52"/>
      <c r="X3594" s="52"/>
      <c r="Y3594" s="52"/>
      <c r="Z3594" s="52"/>
      <c r="AA3594" s="52"/>
      <c r="AB3594" s="52"/>
      <c r="AC3594" s="52"/>
      <c r="AD3594" s="52"/>
      <c r="AE3594" s="52"/>
      <c r="AF3594" s="52"/>
      <c r="AG3594" s="52"/>
      <c r="AH3594" s="52"/>
      <c r="AI3594" s="52"/>
      <c r="AJ3594" s="52"/>
      <c r="AK3594" s="52"/>
      <c r="AL3594" s="52"/>
      <c r="AM3594" s="52"/>
      <c r="AN3594" s="52"/>
    </row>
    <row r="3595" spans="1:40" x14ac:dyDescent="0.3">
      <c r="A3595" s="52">
        <v>3590</v>
      </c>
      <c r="B3595" s="52">
        <f>-bthan*500+(39+0.5)*bthan*1000/50</f>
        <v>1595</v>
      </c>
      <c r="C3595" s="52">
        <f t="shared" si="327"/>
        <v>630</v>
      </c>
      <c r="D3595" s="52">
        <f t="shared" si="328"/>
        <v>2200</v>
      </c>
      <c r="E3595" s="52">
        <f t="shared" si="329"/>
        <v>1</v>
      </c>
      <c r="F3595" s="52"/>
      <c r="G3595" s="52"/>
      <c r="H3595" s="52"/>
      <c r="I3595" s="52"/>
      <c r="J3595" s="52"/>
      <c r="K3595" s="52"/>
      <c r="L3595" s="52"/>
      <c r="M3595" s="52"/>
      <c r="N3595" s="52"/>
      <c r="O3595" s="52"/>
      <c r="P3595" s="52"/>
      <c r="Q3595" s="52"/>
      <c r="R3595" s="52"/>
      <c r="S3595" s="52"/>
      <c r="T3595" s="52"/>
      <c r="U3595" s="52"/>
      <c r="V3595" s="52"/>
      <c r="W3595" s="52"/>
      <c r="X3595" s="52"/>
      <c r="Y3595" s="52"/>
      <c r="Z3595" s="52"/>
      <c r="AA3595" s="52"/>
      <c r="AB3595" s="52"/>
      <c r="AC3595" s="52"/>
      <c r="AD3595" s="52"/>
      <c r="AE3595" s="52"/>
      <c r="AF3595" s="52"/>
      <c r="AG3595" s="52"/>
      <c r="AH3595" s="52"/>
      <c r="AI3595" s="52"/>
      <c r="AJ3595" s="52"/>
      <c r="AK3595" s="52"/>
      <c r="AL3595" s="52"/>
      <c r="AM3595" s="52"/>
      <c r="AN3595" s="52"/>
    </row>
    <row r="3596" spans="1:40" x14ac:dyDescent="0.3">
      <c r="A3596" s="52">
        <v>3591</v>
      </c>
      <c r="B3596" s="52">
        <f>-bthan*500+(40+0.5)*bthan*1000/50</f>
        <v>1705</v>
      </c>
      <c r="C3596" s="52">
        <f t="shared" si="327"/>
        <v>630</v>
      </c>
      <c r="D3596" s="52">
        <f t="shared" si="328"/>
        <v>2200</v>
      </c>
      <c r="E3596" s="52">
        <f t="shared" si="329"/>
        <v>1</v>
      </c>
      <c r="F3596" s="52"/>
      <c r="G3596" s="52"/>
      <c r="H3596" s="52"/>
      <c r="I3596" s="52"/>
      <c r="J3596" s="52"/>
      <c r="K3596" s="52"/>
      <c r="L3596" s="52"/>
      <c r="M3596" s="52"/>
      <c r="N3596" s="52"/>
      <c r="O3596" s="52"/>
      <c r="P3596" s="52"/>
      <c r="Q3596" s="52"/>
      <c r="R3596" s="52"/>
      <c r="S3596" s="52"/>
      <c r="T3596" s="52"/>
      <c r="U3596" s="52"/>
      <c r="V3596" s="52"/>
      <c r="W3596" s="52"/>
      <c r="X3596" s="52"/>
      <c r="Y3596" s="52"/>
      <c r="Z3596" s="52"/>
      <c r="AA3596" s="52"/>
      <c r="AB3596" s="52"/>
      <c r="AC3596" s="52"/>
      <c r="AD3596" s="52"/>
      <c r="AE3596" s="52"/>
      <c r="AF3596" s="52"/>
      <c r="AG3596" s="52"/>
      <c r="AH3596" s="52"/>
      <c r="AI3596" s="52"/>
      <c r="AJ3596" s="52"/>
      <c r="AK3596" s="52"/>
      <c r="AL3596" s="52"/>
      <c r="AM3596" s="52"/>
      <c r="AN3596" s="52"/>
    </row>
    <row r="3597" spans="1:40" x14ac:dyDescent="0.3">
      <c r="A3597" s="52">
        <v>3592</v>
      </c>
      <c r="B3597" s="52">
        <f>-bthan*500+(41+0.5)*bthan*1000/50</f>
        <v>1815</v>
      </c>
      <c r="C3597" s="52">
        <f t="shared" si="327"/>
        <v>630</v>
      </c>
      <c r="D3597" s="52">
        <f t="shared" si="328"/>
        <v>2200</v>
      </c>
      <c r="E3597" s="52">
        <f t="shared" si="329"/>
        <v>1</v>
      </c>
      <c r="F3597" s="52"/>
      <c r="G3597" s="52"/>
      <c r="H3597" s="52"/>
      <c r="I3597" s="52"/>
      <c r="J3597" s="52"/>
      <c r="K3597" s="52"/>
      <c r="L3597" s="52"/>
      <c r="M3597" s="52"/>
      <c r="N3597" s="52"/>
      <c r="O3597" s="52"/>
      <c r="P3597" s="52"/>
      <c r="Q3597" s="52"/>
      <c r="R3597" s="52"/>
      <c r="S3597" s="52"/>
      <c r="T3597" s="52"/>
      <c r="U3597" s="52"/>
      <c r="V3597" s="52"/>
      <c r="W3597" s="52"/>
      <c r="X3597" s="52"/>
      <c r="Y3597" s="52"/>
      <c r="Z3597" s="52"/>
      <c r="AA3597" s="52"/>
      <c r="AB3597" s="52"/>
      <c r="AC3597" s="52"/>
      <c r="AD3597" s="52"/>
      <c r="AE3597" s="52"/>
      <c r="AF3597" s="52"/>
      <c r="AG3597" s="52"/>
      <c r="AH3597" s="52"/>
      <c r="AI3597" s="52"/>
      <c r="AJ3597" s="52"/>
      <c r="AK3597" s="52"/>
      <c r="AL3597" s="52"/>
      <c r="AM3597" s="52"/>
      <c r="AN3597" s="52"/>
    </row>
    <row r="3598" spans="1:40" x14ac:dyDescent="0.3">
      <c r="A3598" s="52">
        <v>3593</v>
      </c>
      <c r="B3598" s="52">
        <f>-bthan*500+(42+0.5)*bthan*1000/50</f>
        <v>1925</v>
      </c>
      <c r="C3598" s="52">
        <f t="shared" si="327"/>
        <v>630</v>
      </c>
      <c r="D3598" s="52">
        <f t="shared" si="328"/>
        <v>2200</v>
      </c>
      <c r="E3598" s="52">
        <f t="shared" si="329"/>
        <v>1</v>
      </c>
      <c r="F3598" s="52"/>
      <c r="G3598" s="52"/>
      <c r="H3598" s="52"/>
      <c r="I3598" s="52"/>
      <c r="J3598" s="52"/>
      <c r="K3598" s="52"/>
      <c r="L3598" s="52"/>
      <c r="M3598" s="52"/>
      <c r="N3598" s="52"/>
      <c r="O3598" s="52"/>
      <c r="P3598" s="52"/>
      <c r="Q3598" s="52"/>
      <c r="R3598" s="52"/>
      <c r="S3598" s="52"/>
      <c r="T3598" s="52"/>
      <c r="U3598" s="52"/>
      <c r="V3598" s="52"/>
      <c r="W3598" s="52"/>
      <c r="X3598" s="52"/>
      <c r="Y3598" s="52"/>
      <c r="Z3598" s="52"/>
      <c r="AA3598" s="52"/>
      <c r="AB3598" s="52"/>
      <c r="AC3598" s="52"/>
      <c r="AD3598" s="52"/>
      <c r="AE3598" s="52"/>
      <c r="AF3598" s="52"/>
      <c r="AG3598" s="52"/>
      <c r="AH3598" s="52"/>
      <c r="AI3598" s="52"/>
      <c r="AJ3598" s="52"/>
      <c r="AK3598" s="52"/>
      <c r="AL3598" s="52"/>
      <c r="AM3598" s="52"/>
      <c r="AN3598" s="52"/>
    </row>
    <row r="3599" spans="1:40" x14ac:dyDescent="0.3">
      <c r="A3599" s="52">
        <v>3594</v>
      </c>
      <c r="B3599" s="52">
        <f>-bthan*500+(43+0.5)*bthan*1000/50</f>
        <v>2035</v>
      </c>
      <c r="C3599" s="52">
        <f t="shared" si="327"/>
        <v>630</v>
      </c>
      <c r="D3599" s="52">
        <f t="shared" si="328"/>
        <v>2200</v>
      </c>
      <c r="E3599" s="52">
        <f t="shared" si="329"/>
        <v>1</v>
      </c>
      <c r="F3599" s="52"/>
      <c r="G3599" s="52"/>
      <c r="H3599" s="52"/>
      <c r="I3599" s="52"/>
      <c r="J3599" s="52"/>
      <c r="K3599" s="52"/>
      <c r="L3599" s="52"/>
      <c r="M3599" s="52"/>
      <c r="N3599" s="52"/>
      <c r="O3599" s="52"/>
      <c r="P3599" s="52"/>
      <c r="Q3599" s="52"/>
      <c r="R3599" s="52"/>
      <c r="S3599" s="52"/>
      <c r="T3599" s="52"/>
      <c r="U3599" s="52"/>
      <c r="V3599" s="52"/>
      <c r="W3599" s="52"/>
      <c r="X3599" s="52"/>
      <c r="Y3599" s="52"/>
      <c r="Z3599" s="52"/>
      <c r="AA3599" s="52"/>
      <c r="AB3599" s="52"/>
      <c r="AC3599" s="52"/>
      <c r="AD3599" s="52"/>
      <c r="AE3599" s="52"/>
      <c r="AF3599" s="52"/>
      <c r="AG3599" s="52"/>
      <c r="AH3599" s="52"/>
      <c r="AI3599" s="52"/>
      <c r="AJ3599" s="52"/>
      <c r="AK3599" s="52"/>
      <c r="AL3599" s="52"/>
      <c r="AM3599" s="52"/>
      <c r="AN3599" s="52"/>
    </row>
    <row r="3600" spans="1:40" x14ac:dyDescent="0.3">
      <c r="A3600" s="52">
        <v>3595</v>
      </c>
      <c r="B3600" s="52">
        <f>-bthan*500+(44+0.5)*bthan*1000/50</f>
        <v>2145</v>
      </c>
      <c r="C3600" s="52">
        <f t="shared" si="327"/>
        <v>630</v>
      </c>
      <c r="D3600" s="52">
        <f t="shared" si="328"/>
        <v>2200</v>
      </c>
      <c r="E3600" s="52">
        <f t="shared" si="329"/>
        <v>1</v>
      </c>
      <c r="F3600" s="52"/>
      <c r="G3600" s="52"/>
      <c r="H3600" s="52"/>
      <c r="I3600" s="52"/>
      <c r="J3600" s="52"/>
      <c r="K3600" s="52"/>
      <c r="L3600" s="52"/>
      <c r="M3600" s="52"/>
      <c r="N3600" s="52"/>
      <c r="O3600" s="52"/>
      <c r="P3600" s="52"/>
      <c r="Q3600" s="52"/>
      <c r="R3600" s="52"/>
      <c r="S3600" s="52"/>
      <c r="T3600" s="52"/>
      <c r="U3600" s="52"/>
      <c r="V3600" s="52"/>
      <c r="W3600" s="52"/>
      <c r="X3600" s="52"/>
      <c r="Y3600" s="52"/>
      <c r="Z3600" s="52"/>
      <c r="AA3600" s="52"/>
      <c r="AB3600" s="52"/>
      <c r="AC3600" s="52"/>
      <c r="AD3600" s="52"/>
      <c r="AE3600" s="52"/>
      <c r="AF3600" s="52"/>
      <c r="AG3600" s="52"/>
      <c r="AH3600" s="52"/>
      <c r="AI3600" s="52"/>
      <c r="AJ3600" s="52"/>
      <c r="AK3600" s="52"/>
      <c r="AL3600" s="52"/>
      <c r="AM3600" s="52"/>
      <c r="AN3600" s="52"/>
    </row>
    <row r="3601" spans="1:40" x14ac:dyDescent="0.3">
      <c r="A3601" s="52">
        <v>3596</v>
      </c>
      <c r="B3601" s="52">
        <f>-bthan*500+(45+0.5)*bthan*1000/50</f>
        <v>2255</v>
      </c>
      <c r="C3601" s="52">
        <f t="shared" si="327"/>
        <v>630</v>
      </c>
      <c r="D3601" s="52">
        <f t="shared" si="328"/>
        <v>2200</v>
      </c>
      <c r="E3601" s="52">
        <f t="shared" si="329"/>
        <v>1</v>
      </c>
      <c r="F3601" s="52"/>
      <c r="G3601" s="52"/>
      <c r="H3601" s="52"/>
      <c r="I3601" s="52"/>
      <c r="J3601" s="52"/>
      <c r="K3601" s="52"/>
      <c r="L3601" s="52"/>
      <c r="M3601" s="52"/>
      <c r="N3601" s="52"/>
      <c r="O3601" s="52"/>
      <c r="P3601" s="52"/>
      <c r="Q3601" s="52"/>
      <c r="R3601" s="52"/>
      <c r="S3601" s="52"/>
      <c r="T3601" s="52"/>
      <c r="U3601" s="52"/>
      <c r="V3601" s="52"/>
      <c r="W3601" s="52"/>
      <c r="X3601" s="52"/>
      <c r="Y3601" s="52"/>
      <c r="Z3601" s="52"/>
      <c r="AA3601" s="52"/>
      <c r="AB3601" s="52"/>
      <c r="AC3601" s="52"/>
      <c r="AD3601" s="52"/>
      <c r="AE3601" s="52"/>
      <c r="AF3601" s="52"/>
      <c r="AG3601" s="52"/>
      <c r="AH3601" s="52"/>
      <c r="AI3601" s="52"/>
      <c r="AJ3601" s="52"/>
      <c r="AK3601" s="52"/>
      <c r="AL3601" s="52"/>
      <c r="AM3601" s="52"/>
      <c r="AN3601" s="52"/>
    </row>
    <row r="3602" spans="1:40" x14ac:dyDescent="0.3">
      <c r="A3602" s="52">
        <v>3597</v>
      </c>
      <c r="B3602" s="52">
        <f>-bthan*500+(46+0.5)*bthan*1000/50</f>
        <v>2365</v>
      </c>
      <c r="C3602" s="52">
        <f t="shared" si="327"/>
        <v>630</v>
      </c>
      <c r="D3602" s="52">
        <f t="shared" si="328"/>
        <v>2200</v>
      </c>
      <c r="E3602" s="52">
        <f t="shared" si="329"/>
        <v>1</v>
      </c>
      <c r="F3602" s="52"/>
      <c r="G3602" s="52"/>
      <c r="H3602" s="52"/>
      <c r="I3602" s="52"/>
      <c r="J3602" s="52"/>
      <c r="K3602" s="52"/>
      <c r="L3602" s="52"/>
      <c r="M3602" s="52"/>
      <c r="N3602" s="52"/>
      <c r="O3602" s="52"/>
      <c r="P3602" s="52"/>
      <c r="Q3602" s="52"/>
      <c r="R3602" s="52"/>
      <c r="S3602" s="52"/>
      <c r="T3602" s="52"/>
      <c r="U3602" s="52"/>
      <c r="V3602" s="52"/>
      <c r="W3602" s="52"/>
      <c r="X3602" s="52"/>
      <c r="Y3602" s="52"/>
      <c r="Z3602" s="52"/>
      <c r="AA3602" s="52"/>
      <c r="AB3602" s="52"/>
      <c r="AC3602" s="52"/>
      <c r="AD3602" s="52"/>
      <c r="AE3602" s="52"/>
      <c r="AF3602" s="52"/>
      <c r="AG3602" s="52"/>
      <c r="AH3602" s="52"/>
      <c r="AI3602" s="52"/>
      <c r="AJ3602" s="52"/>
      <c r="AK3602" s="52"/>
      <c r="AL3602" s="52"/>
      <c r="AM3602" s="52"/>
      <c r="AN3602" s="52"/>
    </row>
    <row r="3603" spans="1:40" x14ac:dyDescent="0.3">
      <c r="A3603" s="52">
        <v>3598</v>
      </c>
      <c r="B3603" s="52">
        <f>-bthan*500+(47+0.5)*bthan*1000/50</f>
        <v>2475</v>
      </c>
      <c r="C3603" s="52">
        <f t="shared" si="327"/>
        <v>630</v>
      </c>
      <c r="D3603" s="52">
        <f t="shared" si="328"/>
        <v>2200</v>
      </c>
      <c r="E3603" s="52">
        <f t="shared" si="329"/>
        <v>0</v>
      </c>
      <c r="F3603" s="52"/>
      <c r="G3603" s="52"/>
      <c r="H3603" s="52"/>
      <c r="I3603" s="52"/>
      <c r="J3603" s="52"/>
      <c r="K3603" s="52"/>
      <c r="L3603" s="52"/>
      <c r="M3603" s="52"/>
      <c r="N3603" s="52"/>
      <c r="O3603" s="52"/>
      <c r="P3603" s="52"/>
      <c r="Q3603" s="52"/>
      <c r="R3603" s="52"/>
      <c r="S3603" s="52"/>
      <c r="T3603" s="52"/>
      <c r="U3603" s="52"/>
      <c r="V3603" s="52"/>
      <c r="W3603" s="52"/>
      <c r="X3603" s="52"/>
      <c r="Y3603" s="52"/>
      <c r="Z3603" s="52"/>
      <c r="AA3603" s="52"/>
      <c r="AB3603" s="52"/>
      <c r="AC3603" s="52"/>
      <c r="AD3603" s="52"/>
      <c r="AE3603" s="52"/>
      <c r="AF3603" s="52"/>
      <c r="AG3603" s="52"/>
      <c r="AH3603" s="52"/>
      <c r="AI3603" s="52"/>
      <c r="AJ3603" s="52"/>
      <c r="AK3603" s="52"/>
      <c r="AL3603" s="52"/>
      <c r="AM3603" s="52"/>
      <c r="AN3603" s="52"/>
    </row>
    <row r="3604" spans="1:40" x14ac:dyDescent="0.3">
      <c r="A3604" s="52">
        <v>3599</v>
      </c>
      <c r="B3604" s="52">
        <f>-bthan*500+(48+0.5)*bthan*1000/50</f>
        <v>2585</v>
      </c>
      <c r="C3604" s="52">
        <f t="shared" si="327"/>
        <v>630</v>
      </c>
      <c r="D3604" s="52">
        <f t="shared" si="328"/>
        <v>2200</v>
      </c>
      <c r="E3604" s="52">
        <f t="shared" si="329"/>
        <v>0</v>
      </c>
      <c r="F3604" s="52"/>
      <c r="G3604" s="52"/>
      <c r="H3604" s="52"/>
      <c r="I3604" s="52"/>
      <c r="J3604" s="52"/>
      <c r="K3604" s="52"/>
      <c r="L3604" s="52"/>
      <c r="M3604" s="52"/>
      <c r="N3604" s="52"/>
      <c r="O3604" s="52"/>
      <c r="P3604" s="52"/>
      <c r="Q3604" s="52"/>
      <c r="R3604" s="52"/>
      <c r="S3604" s="52"/>
      <c r="T3604" s="52"/>
      <c r="U3604" s="52"/>
      <c r="V3604" s="52"/>
      <c r="W3604" s="52"/>
      <c r="X3604" s="52"/>
      <c r="Y3604" s="52"/>
      <c r="Z3604" s="52"/>
      <c r="AA3604" s="52"/>
      <c r="AB3604" s="52"/>
      <c r="AC3604" s="52"/>
      <c r="AD3604" s="52"/>
      <c r="AE3604" s="52"/>
      <c r="AF3604" s="52"/>
      <c r="AG3604" s="52"/>
      <c r="AH3604" s="52"/>
      <c r="AI3604" s="52"/>
      <c r="AJ3604" s="52"/>
      <c r="AK3604" s="52"/>
      <c r="AL3604" s="52"/>
      <c r="AM3604" s="52"/>
      <c r="AN3604" s="52"/>
    </row>
    <row r="3605" spans="1:40" x14ac:dyDescent="0.3">
      <c r="A3605" s="52">
        <v>3600</v>
      </c>
      <c r="B3605" s="52">
        <f>-bthan*500+(49+0.5)*bthan*1000/50</f>
        <v>2695</v>
      </c>
      <c r="C3605" s="52">
        <f t="shared" si="327"/>
        <v>630</v>
      </c>
      <c r="D3605" s="52">
        <f t="shared" si="328"/>
        <v>2200</v>
      </c>
      <c r="E3605" s="52">
        <f t="shared" si="329"/>
        <v>0</v>
      </c>
      <c r="F3605" s="52"/>
      <c r="G3605" s="52"/>
      <c r="H3605" s="52"/>
      <c r="I3605" s="52"/>
      <c r="J3605" s="52"/>
      <c r="K3605" s="52"/>
      <c r="L3605" s="52"/>
      <c r="M3605" s="52"/>
      <c r="N3605" s="52"/>
      <c r="O3605" s="52"/>
      <c r="P3605" s="52"/>
      <c r="Q3605" s="52"/>
      <c r="R3605" s="52"/>
      <c r="S3605" s="52"/>
      <c r="T3605" s="52"/>
      <c r="U3605" s="52"/>
      <c r="V3605" s="52"/>
      <c r="W3605" s="52"/>
      <c r="X3605" s="52"/>
      <c r="Y3605" s="52"/>
      <c r="Z3605" s="52"/>
      <c r="AA3605" s="52"/>
      <c r="AB3605" s="52"/>
      <c r="AC3605" s="52"/>
      <c r="AD3605" s="52"/>
      <c r="AE3605" s="52"/>
      <c r="AF3605" s="52"/>
      <c r="AG3605" s="52"/>
      <c r="AH3605" s="52"/>
      <c r="AI3605" s="52"/>
      <c r="AJ3605" s="52"/>
      <c r="AK3605" s="52"/>
      <c r="AL3605" s="52"/>
      <c r="AM3605" s="52"/>
      <c r="AN3605" s="52"/>
    </row>
    <row r="3606" spans="1:40" x14ac:dyDescent="0.3">
      <c r="A3606" s="52">
        <v>3601</v>
      </c>
      <c r="B3606" s="52">
        <f>-bthan*500+(0+0.5)*bthan*1000/50</f>
        <v>-2695</v>
      </c>
      <c r="C3606" s="52">
        <f t="shared" ref="C3606:C3637" si="330">-hthan*500+(72+0.5)*hthan*1000/80</f>
        <v>650</v>
      </c>
      <c r="D3606" s="52">
        <f t="shared" si="328"/>
        <v>2200</v>
      </c>
      <c r="E3606" s="52">
        <f t="shared" si="329"/>
        <v>0</v>
      </c>
      <c r="F3606" s="52"/>
      <c r="G3606" s="52"/>
      <c r="H3606" s="52"/>
      <c r="I3606" s="52"/>
      <c r="J3606" s="52"/>
      <c r="K3606" s="52"/>
      <c r="L3606" s="52"/>
      <c r="M3606" s="52"/>
      <c r="N3606" s="52"/>
      <c r="O3606" s="52"/>
      <c r="P3606" s="52"/>
      <c r="Q3606" s="52"/>
      <c r="R3606" s="52"/>
      <c r="S3606" s="52"/>
      <c r="T3606" s="52"/>
      <c r="U3606" s="52"/>
      <c r="V3606" s="52"/>
      <c r="W3606" s="52"/>
      <c r="X3606" s="52"/>
      <c r="Y3606" s="52"/>
      <c r="Z3606" s="52"/>
      <c r="AA3606" s="52"/>
      <c r="AB3606" s="52"/>
      <c r="AC3606" s="52"/>
      <c r="AD3606" s="52"/>
      <c r="AE3606" s="52"/>
      <c r="AF3606" s="52"/>
      <c r="AG3606" s="52"/>
      <c r="AH3606" s="52"/>
      <c r="AI3606" s="52"/>
      <c r="AJ3606" s="52"/>
      <c r="AK3606" s="52"/>
      <c r="AL3606" s="52"/>
      <c r="AM3606" s="52"/>
      <c r="AN3606" s="52"/>
    </row>
    <row r="3607" spans="1:40" x14ac:dyDescent="0.3">
      <c r="A3607" s="52">
        <v>3602</v>
      </c>
      <c r="B3607" s="52">
        <f>-bthan*500+(1+0.5)*bthan*1000/50</f>
        <v>-2585</v>
      </c>
      <c r="C3607" s="52">
        <f t="shared" si="330"/>
        <v>650</v>
      </c>
      <c r="D3607" s="52">
        <f t="shared" si="328"/>
        <v>2200</v>
      </c>
      <c r="E3607" s="52">
        <f t="shared" si="329"/>
        <v>0</v>
      </c>
      <c r="F3607" s="52"/>
      <c r="G3607" s="52"/>
      <c r="H3607" s="52"/>
      <c r="I3607" s="52"/>
      <c r="J3607" s="52"/>
      <c r="K3607" s="52"/>
      <c r="L3607" s="52"/>
      <c r="M3607" s="52"/>
      <c r="N3607" s="52"/>
      <c r="O3607" s="52"/>
      <c r="P3607" s="52"/>
      <c r="Q3607" s="52"/>
      <c r="R3607" s="52"/>
      <c r="S3607" s="52"/>
      <c r="T3607" s="52"/>
      <c r="U3607" s="52"/>
      <c r="V3607" s="52"/>
      <c r="W3607" s="52"/>
      <c r="X3607" s="52"/>
      <c r="Y3607" s="52"/>
      <c r="Z3607" s="52"/>
      <c r="AA3607" s="52"/>
      <c r="AB3607" s="52"/>
      <c r="AC3607" s="52"/>
      <c r="AD3607" s="52"/>
      <c r="AE3607" s="52"/>
      <c r="AF3607" s="52"/>
      <c r="AG3607" s="52"/>
      <c r="AH3607" s="52"/>
      <c r="AI3607" s="52"/>
      <c r="AJ3607" s="52"/>
      <c r="AK3607" s="52"/>
      <c r="AL3607" s="52"/>
      <c r="AM3607" s="52"/>
      <c r="AN3607" s="52"/>
    </row>
    <row r="3608" spans="1:40" x14ac:dyDescent="0.3">
      <c r="A3608" s="52">
        <v>3603</v>
      </c>
      <c r="B3608" s="52">
        <f>-bthan*500+(2+0.5)*bthan*1000/50</f>
        <v>-2475</v>
      </c>
      <c r="C3608" s="52">
        <f t="shared" si="330"/>
        <v>650</v>
      </c>
      <c r="D3608" s="52">
        <f t="shared" si="328"/>
        <v>2200</v>
      </c>
      <c r="E3608" s="52">
        <f t="shared" si="329"/>
        <v>0</v>
      </c>
      <c r="F3608" s="52"/>
      <c r="G3608" s="52"/>
      <c r="H3608" s="52"/>
      <c r="I3608" s="52"/>
      <c r="J3608" s="52"/>
      <c r="K3608" s="52"/>
      <c r="L3608" s="52"/>
      <c r="M3608" s="52"/>
      <c r="N3608" s="52"/>
      <c r="O3608" s="52"/>
      <c r="P3608" s="52"/>
      <c r="Q3608" s="52"/>
      <c r="R3608" s="52"/>
      <c r="S3608" s="52"/>
      <c r="T3608" s="52"/>
      <c r="U3608" s="52"/>
      <c r="V3608" s="52"/>
      <c r="W3608" s="52"/>
      <c r="X3608" s="52"/>
      <c r="Y3608" s="52"/>
      <c r="Z3608" s="52"/>
      <c r="AA3608" s="52"/>
      <c r="AB3608" s="52"/>
      <c r="AC3608" s="52"/>
      <c r="AD3608" s="52"/>
      <c r="AE3608" s="52"/>
      <c r="AF3608" s="52"/>
      <c r="AG3608" s="52"/>
      <c r="AH3608" s="52"/>
      <c r="AI3608" s="52"/>
      <c r="AJ3608" s="52"/>
      <c r="AK3608" s="52"/>
      <c r="AL3608" s="52"/>
      <c r="AM3608" s="52"/>
      <c r="AN3608" s="52"/>
    </row>
    <row r="3609" spans="1:40" x14ac:dyDescent="0.3">
      <c r="A3609" s="52">
        <v>3604</v>
      </c>
      <c r="B3609" s="52">
        <f>-bthan*500+(3+0.5)*bthan*1000/50</f>
        <v>-2365</v>
      </c>
      <c r="C3609" s="52">
        <f t="shared" si="330"/>
        <v>650</v>
      </c>
      <c r="D3609" s="52">
        <f t="shared" si="328"/>
        <v>2200</v>
      </c>
      <c r="E3609" s="52">
        <f t="shared" si="329"/>
        <v>1</v>
      </c>
      <c r="F3609" s="52"/>
      <c r="G3609" s="52"/>
      <c r="H3609" s="52"/>
      <c r="I3609" s="52"/>
      <c r="J3609" s="52"/>
      <c r="K3609" s="52"/>
      <c r="L3609" s="52"/>
      <c r="M3609" s="52"/>
      <c r="N3609" s="52"/>
      <c r="O3609" s="52"/>
      <c r="P3609" s="52"/>
      <c r="Q3609" s="52"/>
      <c r="R3609" s="52"/>
      <c r="S3609" s="52"/>
      <c r="T3609" s="52"/>
      <c r="U3609" s="52"/>
      <c r="V3609" s="52"/>
      <c r="W3609" s="52"/>
      <c r="X3609" s="52"/>
      <c r="Y3609" s="52"/>
      <c r="Z3609" s="52"/>
      <c r="AA3609" s="52"/>
      <c r="AB3609" s="52"/>
      <c r="AC3609" s="52"/>
      <c r="AD3609" s="52"/>
      <c r="AE3609" s="52"/>
      <c r="AF3609" s="52"/>
      <c r="AG3609" s="52"/>
      <c r="AH3609" s="52"/>
      <c r="AI3609" s="52"/>
      <c r="AJ3609" s="52"/>
      <c r="AK3609" s="52"/>
      <c r="AL3609" s="52"/>
      <c r="AM3609" s="52"/>
      <c r="AN3609" s="52"/>
    </row>
    <row r="3610" spans="1:40" x14ac:dyDescent="0.3">
      <c r="A3610" s="52">
        <v>3605</v>
      </c>
      <c r="B3610" s="52">
        <f>-bthan*500+(4+0.5)*bthan*1000/50</f>
        <v>-2255</v>
      </c>
      <c r="C3610" s="52">
        <f t="shared" si="330"/>
        <v>650</v>
      </c>
      <c r="D3610" s="52">
        <f t="shared" si="328"/>
        <v>2200</v>
      </c>
      <c r="E3610" s="52">
        <f t="shared" si="329"/>
        <v>1</v>
      </c>
      <c r="F3610" s="52"/>
      <c r="G3610" s="52"/>
      <c r="H3610" s="52"/>
      <c r="I3610" s="52"/>
      <c r="J3610" s="52"/>
      <c r="K3610" s="52"/>
      <c r="L3610" s="52"/>
      <c r="M3610" s="52"/>
      <c r="N3610" s="52"/>
      <c r="O3610" s="52"/>
      <c r="P3610" s="52"/>
      <c r="Q3610" s="52"/>
      <c r="R3610" s="52"/>
      <c r="S3610" s="52"/>
      <c r="T3610" s="52"/>
      <c r="U3610" s="52"/>
      <c r="V3610" s="52"/>
      <c r="W3610" s="52"/>
      <c r="X3610" s="52"/>
      <c r="Y3610" s="52"/>
      <c r="Z3610" s="52"/>
      <c r="AA3610" s="52"/>
      <c r="AB3610" s="52"/>
      <c r="AC3610" s="52"/>
      <c r="AD3610" s="52"/>
      <c r="AE3610" s="52"/>
      <c r="AF3610" s="52"/>
      <c r="AG3610" s="52"/>
      <c r="AH3610" s="52"/>
      <c r="AI3610" s="52"/>
      <c r="AJ3610" s="52"/>
      <c r="AK3610" s="52"/>
      <c r="AL3610" s="52"/>
      <c r="AM3610" s="52"/>
      <c r="AN3610" s="52"/>
    </row>
    <row r="3611" spans="1:40" x14ac:dyDescent="0.3">
      <c r="A3611" s="52">
        <v>3606</v>
      </c>
      <c r="B3611" s="52">
        <f>-bthan*500+(5+0.5)*bthan*1000/50</f>
        <v>-2145</v>
      </c>
      <c r="C3611" s="52">
        <f t="shared" si="330"/>
        <v>650</v>
      </c>
      <c r="D3611" s="52">
        <f t="shared" si="328"/>
        <v>2200</v>
      </c>
      <c r="E3611" s="52">
        <f t="shared" si="329"/>
        <v>1</v>
      </c>
      <c r="F3611" s="52"/>
      <c r="G3611" s="52"/>
      <c r="H3611" s="52"/>
      <c r="I3611" s="52"/>
      <c r="J3611" s="52"/>
      <c r="K3611" s="52"/>
      <c r="L3611" s="52"/>
      <c r="M3611" s="52"/>
      <c r="N3611" s="52"/>
      <c r="O3611" s="52"/>
      <c r="P3611" s="52"/>
      <c r="Q3611" s="52"/>
      <c r="R3611" s="52"/>
      <c r="S3611" s="52"/>
      <c r="T3611" s="52"/>
      <c r="U3611" s="52"/>
      <c r="V3611" s="52"/>
      <c r="W3611" s="52"/>
      <c r="X3611" s="52"/>
      <c r="Y3611" s="52"/>
      <c r="Z3611" s="52"/>
      <c r="AA3611" s="52"/>
      <c r="AB3611" s="52"/>
      <c r="AC3611" s="52"/>
      <c r="AD3611" s="52"/>
      <c r="AE3611" s="52"/>
      <c r="AF3611" s="52"/>
      <c r="AG3611" s="52"/>
      <c r="AH3611" s="52"/>
      <c r="AI3611" s="52"/>
      <c r="AJ3611" s="52"/>
      <c r="AK3611" s="52"/>
      <c r="AL3611" s="52"/>
      <c r="AM3611" s="52"/>
      <c r="AN3611" s="52"/>
    </row>
    <row r="3612" spans="1:40" x14ac:dyDescent="0.3">
      <c r="A3612" s="52">
        <v>3607</v>
      </c>
      <c r="B3612" s="52">
        <f>-bthan*500+(6+0.5)*bthan*1000/50</f>
        <v>-2035</v>
      </c>
      <c r="C3612" s="52">
        <f t="shared" si="330"/>
        <v>650</v>
      </c>
      <c r="D3612" s="52">
        <f t="shared" si="328"/>
        <v>2200</v>
      </c>
      <c r="E3612" s="52">
        <f t="shared" si="329"/>
        <v>1</v>
      </c>
      <c r="F3612" s="52"/>
      <c r="G3612" s="52"/>
      <c r="H3612" s="52"/>
      <c r="I3612" s="52"/>
      <c r="J3612" s="52"/>
      <c r="K3612" s="52"/>
      <c r="L3612" s="52"/>
      <c r="M3612" s="52"/>
      <c r="N3612" s="52"/>
      <c r="O3612" s="52"/>
      <c r="P3612" s="52"/>
      <c r="Q3612" s="52"/>
      <c r="R3612" s="52"/>
      <c r="S3612" s="52"/>
      <c r="T3612" s="52"/>
      <c r="U3612" s="52"/>
      <c r="V3612" s="52"/>
      <c r="W3612" s="52"/>
      <c r="X3612" s="52"/>
      <c r="Y3612" s="52"/>
      <c r="Z3612" s="52"/>
      <c r="AA3612" s="52"/>
      <c r="AB3612" s="52"/>
      <c r="AC3612" s="52"/>
      <c r="AD3612" s="52"/>
      <c r="AE3612" s="52"/>
      <c r="AF3612" s="52"/>
      <c r="AG3612" s="52"/>
      <c r="AH3612" s="52"/>
      <c r="AI3612" s="52"/>
      <c r="AJ3612" s="52"/>
      <c r="AK3612" s="52"/>
      <c r="AL3612" s="52"/>
      <c r="AM3612" s="52"/>
      <c r="AN3612" s="52"/>
    </row>
    <row r="3613" spans="1:40" x14ac:dyDescent="0.3">
      <c r="A3613" s="52">
        <v>3608</v>
      </c>
      <c r="B3613" s="52">
        <f>-bthan*500+(7+0.5)*bthan*1000/50</f>
        <v>-1925</v>
      </c>
      <c r="C3613" s="52">
        <f t="shared" si="330"/>
        <v>650</v>
      </c>
      <c r="D3613" s="52">
        <f t="shared" si="328"/>
        <v>2200</v>
      </c>
      <c r="E3613" s="52">
        <f t="shared" si="329"/>
        <v>1</v>
      </c>
      <c r="F3613" s="52"/>
      <c r="G3613" s="52"/>
      <c r="H3613" s="52"/>
      <c r="I3613" s="52"/>
      <c r="J3613" s="52"/>
      <c r="K3613" s="52"/>
      <c r="L3613" s="52"/>
      <c r="M3613" s="52"/>
      <c r="N3613" s="52"/>
      <c r="O3613" s="52"/>
      <c r="P3613" s="52"/>
      <c r="Q3613" s="52"/>
      <c r="R3613" s="52"/>
      <c r="S3613" s="52"/>
      <c r="T3613" s="52"/>
      <c r="U3613" s="52"/>
      <c r="V3613" s="52"/>
      <c r="W3613" s="52"/>
      <c r="X3613" s="52"/>
      <c r="Y3613" s="52"/>
      <c r="Z3613" s="52"/>
      <c r="AA3613" s="52"/>
      <c r="AB3613" s="52"/>
      <c r="AC3613" s="52"/>
      <c r="AD3613" s="52"/>
      <c r="AE3613" s="52"/>
      <c r="AF3613" s="52"/>
      <c r="AG3613" s="52"/>
      <c r="AH3613" s="52"/>
      <c r="AI3613" s="52"/>
      <c r="AJ3613" s="52"/>
      <c r="AK3613" s="52"/>
      <c r="AL3613" s="52"/>
      <c r="AM3613" s="52"/>
      <c r="AN3613" s="52"/>
    </row>
    <row r="3614" spans="1:40" x14ac:dyDescent="0.3">
      <c r="A3614" s="52">
        <v>3609</v>
      </c>
      <c r="B3614" s="52">
        <f>-bthan*500+(8+0.5)*bthan*1000/50</f>
        <v>-1815</v>
      </c>
      <c r="C3614" s="52">
        <f t="shared" si="330"/>
        <v>650</v>
      </c>
      <c r="D3614" s="52">
        <f t="shared" si="328"/>
        <v>2200</v>
      </c>
      <c r="E3614" s="52">
        <f t="shared" si="329"/>
        <v>1</v>
      </c>
      <c r="F3614" s="52"/>
      <c r="G3614" s="52"/>
      <c r="H3614" s="52"/>
      <c r="I3614" s="52"/>
      <c r="J3614" s="52"/>
      <c r="K3614" s="52"/>
      <c r="L3614" s="52"/>
      <c r="M3614" s="52"/>
      <c r="N3614" s="52"/>
      <c r="O3614" s="52"/>
      <c r="P3614" s="52"/>
      <c r="Q3614" s="52"/>
      <c r="R3614" s="52"/>
      <c r="S3614" s="52"/>
      <c r="T3614" s="52"/>
      <c r="U3614" s="52"/>
      <c r="V3614" s="52"/>
      <c r="W3614" s="52"/>
      <c r="X3614" s="52"/>
      <c r="Y3614" s="52"/>
      <c r="Z3614" s="52"/>
      <c r="AA3614" s="52"/>
      <c r="AB3614" s="52"/>
      <c r="AC3614" s="52"/>
      <c r="AD3614" s="52"/>
      <c r="AE3614" s="52"/>
      <c r="AF3614" s="52"/>
      <c r="AG3614" s="52"/>
      <c r="AH3614" s="52"/>
      <c r="AI3614" s="52"/>
      <c r="AJ3614" s="52"/>
      <c r="AK3614" s="52"/>
      <c r="AL3614" s="52"/>
      <c r="AM3614" s="52"/>
      <c r="AN3614" s="52"/>
    </row>
    <row r="3615" spans="1:40" x14ac:dyDescent="0.3">
      <c r="A3615" s="52">
        <v>3610</v>
      </c>
      <c r="B3615" s="52">
        <f>-bthan*500+(9+0.5)*bthan*1000/50</f>
        <v>-1705</v>
      </c>
      <c r="C3615" s="52">
        <f t="shared" si="330"/>
        <v>650</v>
      </c>
      <c r="D3615" s="52">
        <f t="shared" si="328"/>
        <v>2200</v>
      </c>
      <c r="E3615" s="52">
        <f t="shared" si="329"/>
        <v>1</v>
      </c>
      <c r="F3615" s="52"/>
      <c r="G3615" s="52"/>
      <c r="H3615" s="52"/>
      <c r="I3615" s="52"/>
      <c r="J3615" s="52"/>
      <c r="K3615" s="52"/>
      <c r="L3615" s="52"/>
      <c r="M3615" s="52"/>
      <c r="N3615" s="52"/>
      <c r="O3615" s="52"/>
      <c r="P3615" s="52"/>
      <c r="Q3615" s="52"/>
      <c r="R3615" s="52"/>
      <c r="S3615" s="52"/>
      <c r="T3615" s="52"/>
      <c r="U3615" s="52"/>
      <c r="V3615" s="52"/>
      <c r="W3615" s="52"/>
      <c r="X3615" s="52"/>
      <c r="Y3615" s="52"/>
      <c r="Z3615" s="52"/>
      <c r="AA3615" s="52"/>
      <c r="AB3615" s="52"/>
      <c r="AC3615" s="52"/>
      <c r="AD3615" s="52"/>
      <c r="AE3615" s="52"/>
      <c r="AF3615" s="52"/>
      <c r="AG3615" s="52"/>
      <c r="AH3615" s="52"/>
      <c r="AI3615" s="52"/>
      <c r="AJ3615" s="52"/>
      <c r="AK3615" s="52"/>
      <c r="AL3615" s="52"/>
      <c r="AM3615" s="52"/>
      <c r="AN3615" s="52"/>
    </row>
    <row r="3616" spans="1:40" x14ac:dyDescent="0.3">
      <c r="A3616" s="52">
        <v>3611</v>
      </c>
      <c r="B3616" s="52">
        <f>-bthan*500+(10+0.5)*bthan*1000/50</f>
        <v>-1595</v>
      </c>
      <c r="C3616" s="52">
        <f t="shared" si="330"/>
        <v>650</v>
      </c>
      <c r="D3616" s="52">
        <f t="shared" si="328"/>
        <v>2200</v>
      </c>
      <c r="E3616" s="52">
        <f t="shared" si="329"/>
        <v>1</v>
      </c>
      <c r="F3616" s="52"/>
      <c r="G3616" s="52"/>
      <c r="H3616" s="52"/>
      <c r="I3616" s="52"/>
      <c r="J3616" s="52"/>
      <c r="K3616" s="52"/>
      <c r="L3616" s="52"/>
      <c r="M3616" s="52"/>
      <c r="N3616" s="52"/>
      <c r="O3616" s="52"/>
      <c r="P3616" s="52"/>
      <c r="Q3616" s="52"/>
      <c r="R3616" s="52"/>
      <c r="S3616" s="52"/>
      <c r="T3616" s="52"/>
      <c r="U3616" s="52"/>
      <c r="V3616" s="52"/>
      <c r="W3616" s="52"/>
      <c r="X3616" s="52"/>
      <c r="Y3616" s="52"/>
      <c r="Z3616" s="52"/>
      <c r="AA3616" s="52"/>
      <c r="AB3616" s="52"/>
      <c r="AC3616" s="52"/>
      <c r="AD3616" s="52"/>
      <c r="AE3616" s="52"/>
      <c r="AF3616" s="52"/>
      <c r="AG3616" s="52"/>
      <c r="AH3616" s="52"/>
      <c r="AI3616" s="52"/>
      <c r="AJ3616" s="52"/>
      <c r="AK3616" s="52"/>
      <c r="AL3616" s="52"/>
      <c r="AM3616" s="52"/>
      <c r="AN3616" s="52"/>
    </row>
    <row r="3617" spans="1:40" x14ac:dyDescent="0.3">
      <c r="A3617" s="52">
        <v>3612</v>
      </c>
      <c r="B3617" s="52">
        <f>-bthan*500+(11+0.5)*bthan*1000/50</f>
        <v>-1485</v>
      </c>
      <c r="C3617" s="52">
        <f t="shared" si="330"/>
        <v>650</v>
      </c>
      <c r="D3617" s="52">
        <f t="shared" si="328"/>
        <v>2200</v>
      </c>
      <c r="E3617" s="52">
        <f t="shared" si="329"/>
        <v>1</v>
      </c>
      <c r="F3617" s="52"/>
      <c r="G3617" s="52"/>
      <c r="H3617" s="52"/>
      <c r="I3617" s="52"/>
      <c r="J3617" s="52"/>
      <c r="K3617" s="52"/>
      <c r="L3617" s="52"/>
      <c r="M3617" s="52"/>
      <c r="N3617" s="52"/>
      <c r="O3617" s="52"/>
      <c r="P3617" s="52"/>
      <c r="Q3617" s="52"/>
      <c r="R3617" s="52"/>
      <c r="S3617" s="52"/>
      <c r="T3617" s="52"/>
      <c r="U3617" s="52"/>
      <c r="V3617" s="52"/>
      <c r="W3617" s="52"/>
      <c r="X3617" s="52"/>
      <c r="Y3617" s="52"/>
      <c r="Z3617" s="52"/>
      <c r="AA3617" s="52"/>
      <c r="AB3617" s="52"/>
      <c r="AC3617" s="52"/>
      <c r="AD3617" s="52"/>
      <c r="AE3617" s="52"/>
      <c r="AF3617" s="52"/>
      <c r="AG3617" s="52"/>
      <c r="AH3617" s="52"/>
      <c r="AI3617" s="52"/>
      <c r="AJ3617" s="52"/>
      <c r="AK3617" s="52"/>
      <c r="AL3617" s="52"/>
      <c r="AM3617" s="52"/>
      <c r="AN3617" s="52"/>
    </row>
    <row r="3618" spans="1:40" x14ac:dyDescent="0.3">
      <c r="A3618" s="52">
        <v>3613</v>
      </c>
      <c r="B3618" s="52">
        <f>-bthan*500+(12+0.5)*bthan*1000/50</f>
        <v>-1375</v>
      </c>
      <c r="C3618" s="52">
        <f t="shared" si="330"/>
        <v>650</v>
      </c>
      <c r="D3618" s="52">
        <f t="shared" si="328"/>
        <v>2200</v>
      </c>
      <c r="E3618" s="52">
        <f t="shared" si="329"/>
        <v>1</v>
      </c>
      <c r="F3618" s="52"/>
      <c r="G3618" s="52"/>
      <c r="H3618" s="52"/>
      <c r="I3618" s="52"/>
      <c r="J3618" s="52"/>
      <c r="K3618" s="52"/>
      <c r="L3618" s="52"/>
      <c r="M3618" s="52"/>
      <c r="N3618" s="52"/>
      <c r="O3618" s="52"/>
      <c r="P3618" s="52"/>
      <c r="Q3618" s="52"/>
      <c r="R3618" s="52"/>
      <c r="S3618" s="52"/>
      <c r="T3618" s="52"/>
      <c r="U3618" s="52"/>
      <c r="V3618" s="52"/>
      <c r="W3618" s="52"/>
      <c r="X3618" s="52"/>
      <c r="Y3618" s="52"/>
      <c r="Z3618" s="52"/>
      <c r="AA3618" s="52"/>
      <c r="AB3618" s="52"/>
      <c r="AC3618" s="52"/>
      <c r="AD3618" s="52"/>
      <c r="AE3618" s="52"/>
      <c r="AF3618" s="52"/>
      <c r="AG3618" s="52"/>
      <c r="AH3618" s="52"/>
      <c r="AI3618" s="52"/>
      <c r="AJ3618" s="52"/>
      <c r="AK3618" s="52"/>
      <c r="AL3618" s="52"/>
      <c r="AM3618" s="52"/>
      <c r="AN3618" s="52"/>
    </row>
    <row r="3619" spans="1:40" x14ac:dyDescent="0.3">
      <c r="A3619" s="52">
        <v>3614</v>
      </c>
      <c r="B3619" s="52">
        <f>-bthan*500+(13+0.5)*bthan*1000/50</f>
        <v>-1265</v>
      </c>
      <c r="C3619" s="52">
        <f t="shared" si="330"/>
        <v>650</v>
      </c>
      <c r="D3619" s="52">
        <f t="shared" si="328"/>
        <v>2200</v>
      </c>
      <c r="E3619" s="52">
        <f t="shared" si="329"/>
        <v>1</v>
      </c>
      <c r="F3619" s="52"/>
      <c r="G3619" s="52"/>
      <c r="H3619" s="52"/>
      <c r="I3619" s="52"/>
      <c r="J3619" s="52"/>
      <c r="K3619" s="52"/>
      <c r="L3619" s="52"/>
      <c r="M3619" s="52"/>
      <c r="N3619" s="52"/>
      <c r="O3619" s="52"/>
      <c r="P3619" s="52"/>
      <c r="Q3619" s="52"/>
      <c r="R3619" s="52"/>
      <c r="S3619" s="52"/>
      <c r="T3619" s="52"/>
      <c r="U3619" s="52"/>
      <c r="V3619" s="52"/>
      <c r="W3619" s="52"/>
      <c r="X3619" s="52"/>
      <c r="Y3619" s="52"/>
      <c r="Z3619" s="52"/>
      <c r="AA3619" s="52"/>
      <c r="AB3619" s="52"/>
      <c r="AC3619" s="52"/>
      <c r="AD3619" s="52"/>
      <c r="AE3619" s="52"/>
      <c r="AF3619" s="52"/>
      <c r="AG3619" s="52"/>
      <c r="AH3619" s="52"/>
      <c r="AI3619" s="52"/>
      <c r="AJ3619" s="52"/>
      <c r="AK3619" s="52"/>
      <c r="AL3619" s="52"/>
      <c r="AM3619" s="52"/>
      <c r="AN3619" s="52"/>
    </row>
    <row r="3620" spans="1:40" x14ac:dyDescent="0.3">
      <c r="A3620" s="52">
        <v>3615</v>
      </c>
      <c r="B3620" s="52">
        <f>-bthan*500+(14+0.5)*bthan*1000/50</f>
        <v>-1155</v>
      </c>
      <c r="C3620" s="52">
        <f t="shared" si="330"/>
        <v>650</v>
      </c>
      <c r="D3620" s="52">
        <f t="shared" si="328"/>
        <v>2200</v>
      </c>
      <c r="E3620" s="52">
        <f t="shared" si="329"/>
        <v>1</v>
      </c>
      <c r="F3620" s="52"/>
      <c r="G3620" s="52"/>
      <c r="H3620" s="52"/>
      <c r="I3620" s="52"/>
      <c r="J3620" s="52"/>
      <c r="K3620" s="52"/>
      <c r="L3620" s="52"/>
      <c r="M3620" s="52"/>
      <c r="N3620" s="52"/>
      <c r="O3620" s="52"/>
      <c r="P3620" s="52"/>
      <c r="Q3620" s="52"/>
      <c r="R3620" s="52"/>
      <c r="S3620" s="52"/>
      <c r="T3620" s="52"/>
      <c r="U3620" s="52"/>
      <c r="V3620" s="52"/>
      <c r="W3620" s="52"/>
      <c r="X3620" s="52"/>
      <c r="Y3620" s="52"/>
      <c r="Z3620" s="52"/>
      <c r="AA3620" s="52"/>
      <c r="AB3620" s="52"/>
      <c r="AC3620" s="52"/>
      <c r="AD3620" s="52"/>
      <c r="AE3620" s="52"/>
      <c r="AF3620" s="52"/>
      <c r="AG3620" s="52"/>
      <c r="AH3620" s="52"/>
      <c r="AI3620" s="52"/>
      <c r="AJ3620" s="52"/>
      <c r="AK3620" s="52"/>
      <c r="AL3620" s="52"/>
      <c r="AM3620" s="52"/>
      <c r="AN3620" s="52"/>
    </row>
    <row r="3621" spans="1:40" x14ac:dyDescent="0.3">
      <c r="A3621" s="52">
        <v>3616</v>
      </c>
      <c r="B3621" s="52">
        <f>-bthan*500+(15+0.5)*bthan*1000/50</f>
        <v>-1045</v>
      </c>
      <c r="C3621" s="52">
        <f t="shared" si="330"/>
        <v>650</v>
      </c>
      <c r="D3621" s="52">
        <f t="shared" si="328"/>
        <v>2200</v>
      </c>
      <c r="E3621" s="52">
        <f t="shared" si="329"/>
        <v>1</v>
      </c>
      <c r="F3621" s="52"/>
      <c r="G3621" s="52"/>
      <c r="H3621" s="52"/>
      <c r="I3621" s="52"/>
      <c r="J3621" s="52"/>
      <c r="K3621" s="52"/>
      <c r="L3621" s="52"/>
      <c r="M3621" s="52"/>
      <c r="N3621" s="52"/>
      <c r="O3621" s="52"/>
      <c r="P3621" s="52"/>
      <c r="Q3621" s="52"/>
      <c r="R3621" s="52"/>
      <c r="S3621" s="52"/>
      <c r="T3621" s="52"/>
      <c r="U3621" s="52"/>
      <c r="V3621" s="52"/>
      <c r="W3621" s="52"/>
      <c r="X3621" s="52"/>
      <c r="Y3621" s="52"/>
      <c r="Z3621" s="52"/>
      <c r="AA3621" s="52"/>
      <c r="AB3621" s="52"/>
      <c r="AC3621" s="52"/>
      <c r="AD3621" s="52"/>
      <c r="AE3621" s="52"/>
      <c r="AF3621" s="52"/>
      <c r="AG3621" s="52"/>
      <c r="AH3621" s="52"/>
      <c r="AI3621" s="52"/>
      <c r="AJ3621" s="52"/>
      <c r="AK3621" s="52"/>
      <c r="AL3621" s="52"/>
      <c r="AM3621" s="52"/>
      <c r="AN3621" s="52"/>
    </row>
    <row r="3622" spans="1:40" x14ac:dyDescent="0.3">
      <c r="A3622" s="52">
        <v>3617</v>
      </c>
      <c r="B3622" s="52">
        <f>-bthan*500+(16+0.5)*bthan*1000/50</f>
        <v>-935</v>
      </c>
      <c r="C3622" s="52">
        <f t="shared" si="330"/>
        <v>650</v>
      </c>
      <c r="D3622" s="52">
        <f t="shared" si="328"/>
        <v>2200</v>
      </c>
      <c r="E3622" s="52">
        <f t="shared" si="329"/>
        <v>1</v>
      </c>
      <c r="F3622" s="52"/>
      <c r="G3622" s="52"/>
      <c r="H3622" s="52"/>
      <c r="I3622" s="52"/>
      <c r="J3622" s="52"/>
      <c r="K3622" s="52"/>
      <c r="L3622" s="52"/>
      <c r="M3622" s="52"/>
      <c r="N3622" s="52"/>
      <c r="O3622" s="52"/>
      <c r="P3622" s="52"/>
      <c r="Q3622" s="52"/>
      <c r="R3622" s="52"/>
      <c r="S3622" s="52"/>
      <c r="T3622" s="52"/>
      <c r="U3622" s="52"/>
      <c r="V3622" s="52"/>
      <c r="W3622" s="52"/>
      <c r="X3622" s="52"/>
      <c r="Y3622" s="52"/>
      <c r="Z3622" s="52"/>
      <c r="AA3622" s="52"/>
      <c r="AB3622" s="52"/>
      <c r="AC3622" s="52"/>
      <c r="AD3622" s="52"/>
      <c r="AE3622" s="52"/>
      <c r="AF3622" s="52"/>
      <c r="AG3622" s="52"/>
      <c r="AH3622" s="52"/>
      <c r="AI3622" s="52"/>
      <c r="AJ3622" s="52"/>
      <c r="AK3622" s="52"/>
      <c r="AL3622" s="52"/>
      <c r="AM3622" s="52"/>
      <c r="AN3622" s="52"/>
    </row>
    <row r="3623" spans="1:40" x14ac:dyDescent="0.3">
      <c r="A3623" s="52">
        <v>3618</v>
      </c>
      <c r="B3623" s="52">
        <f>-bthan*500+(17+0.5)*bthan*1000/50</f>
        <v>-825</v>
      </c>
      <c r="C3623" s="52">
        <f t="shared" si="330"/>
        <v>650</v>
      </c>
      <c r="D3623" s="52">
        <f t="shared" si="328"/>
        <v>2200</v>
      </c>
      <c r="E3623" s="52">
        <f t="shared" si="329"/>
        <v>1</v>
      </c>
      <c r="F3623" s="52"/>
      <c r="G3623" s="52"/>
      <c r="H3623" s="52"/>
      <c r="I3623" s="52"/>
      <c r="J3623" s="52"/>
      <c r="K3623" s="52"/>
      <c r="L3623" s="52"/>
      <c r="M3623" s="52"/>
      <c r="N3623" s="52"/>
      <c r="O3623" s="52"/>
      <c r="P3623" s="52"/>
      <c r="Q3623" s="52"/>
      <c r="R3623" s="52"/>
      <c r="S3623" s="52"/>
      <c r="T3623" s="52"/>
      <c r="U3623" s="52"/>
      <c r="V3623" s="52"/>
      <c r="W3623" s="52"/>
      <c r="X3623" s="52"/>
      <c r="Y3623" s="52"/>
      <c r="Z3623" s="52"/>
      <c r="AA3623" s="52"/>
      <c r="AB3623" s="52"/>
      <c r="AC3623" s="52"/>
      <c r="AD3623" s="52"/>
      <c r="AE3623" s="52"/>
      <c r="AF3623" s="52"/>
      <c r="AG3623" s="52"/>
      <c r="AH3623" s="52"/>
      <c r="AI3623" s="52"/>
      <c r="AJ3623" s="52"/>
      <c r="AK3623" s="52"/>
      <c r="AL3623" s="52"/>
      <c r="AM3623" s="52"/>
      <c r="AN3623" s="52"/>
    </row>
    <row r="3624" spans="1:40" x14ac:dyDescent="0.3">
      <c r="A3624" s="52">
        <v>3619</v>
      </c>
      <c r="B3624" s="52">
        <f>-bthan*500+(18+0.5)*bthan*1000/50</f>
        <v>-715</v>
      </c>
      <c r="C3624" s="52">
        <f t="shared" si="330"/>
        <v>650</v>
      </c>
      <c r="D3624" s="52">
        <f t="shared" si="328"/>
        <v>2200</v>
      </c>
      <c r="E3624" s="52">
        <f t="shared" si="329"/>
        <v>1</v>
      </c>
      <c r="F3624" s="52"/>
      <c r="G3624" s="52"/>
      <c r="H3624" s="52"/>
      <c r="I3624" s="52"/>
      <c r="J3624" s="52"/>
      <c r="K3624" s="52"/>
      <c r="L3624" s="52"/>
      <c r="M3624" s="52"/>
      <c r="N3624" s="52"/>
      <c r="O3624" s="52"/>
      <c r="P3624" s="52"/>
      <c r="Q3624" s="52"/>
      <c r="R3624" s="52"/>
      <c r="S3624" s="52"/>
      <c r="T3624" s="52"/>
      <c r="U3624" s="52"/>
      <c r="V3624" s="52"/>
      <c r="W3624" s="52"/>
      <c r="X3624" s="52"/>
      <c r="Y3624" s="52"/>
      <c r="Z3624" s="52"/>
      <c r="AA3624" s="52"/>
      <c r="AB3624" s="52"/>
      <c r="AC3624" s="52"/>
      <c r="AD3624" s="52"/>
      <c r="AE3624" s="52"/>
      <c r="AF3624" s="52"/>
      <c r="AG3624" s="52"/>
      <c r="AH3624" s="52"/>
      <c r="AI3624" s="52"/>
      <c r="AJ3624" s="52"/>
      <c r="AK3624" s="52"/>
      <c r="AL3624" s="52"/>
      <c r="AM3624" s="52"/>
      <c r="AN3624" s="52"/>
    </row>
    <row r="3625" spans="1:40" x14ac:dyDescent="0.3">
      <c r="A3625" s="52">
        <v>3620</v>
      </c>
      <c r="B3625" s="52">
        <f>-bthan*500+(19+0.5)*bthan*1000/50</f>
        <v>-605</v>
      </c>
      <c r="C3625" s="52">
        <f t="shared" si="330"/>
        <v>650</v>
      </c>
      <c r="D3625" s="52">
        <f t="shared" si="328"/>
        <v>2200</v>
      </c>
      <c r="E3625" s="52">
        <f t="shared" si="329"/>
        <v>1</v>
      </c>
      <c r="F3625" s="52"/>
      <c r="G3625" s="52"/>
      <c r="H3625" s="52"/>
      <c r="I3625" s="52"/>
      <c r="J3625" s="52"/>
      <c r="K3625" s="52"/>
      <c r="L3625" s="52"/>
      <c r="M3625" s="52"/>
      <c r="N3625" s="52"/>
      <c r="O3625" s="52"/>
      <c r="P3625" s="52"/>
      <c r="Q3625" s="52"/>
      <c r="R3625" s="52"/>
      <c r="S3625" s="52"/>
      <c r="T3625" s="52"/>
      <c r="U3625" s="52"/>
      <c r="V3625" s="52"/>
      <c r="W3625" s="52"/>
      <c r="X3625" s="52"/>
      <c r="Y3625" s="52"/>
      <c r="Z3625" s="52"/>
      <c r="AA3625" s="52"/>
      <c r="AB3625" s="52"/>
      <c r="AC3625" s="52"/>
      <c r="AD3625" s="52"/>
      <c r="AE3625" s="52"/>
      <c r="AF3625" s="52"/>
      <c r="AG3625" s="52"/>
      <c r="AH3625" s="52"/>
      <c r="AI3625" s="52"/>
      <c r="AJ3625" s="52"/>
      <c r="AK3625" s="52"/>
      <c r="AL3625" s="52"/>
      <c r="AM3625" s="52"/>
      <c r="AN3625" s="52"/>
    </row>
    <row r="3626" spans="1:40" x14ac:dyDescent="0.3">
      <c r="A3626" s="52">
        <v>3621</v>
      </c>
      <c r="B3626" s="52">
        <f>-bthan*500+(20+0.5)*bthan*1000/50</f>
        <v>-495</v>
      </c>
      <c r="C3626" s="52">
        <f t="shared" si="330"/>
        <v>650</v>
      </c>
      <c r="D3626" s="52">
        <f t="shared" si="328"/>
        <v>2200</v>
      </c>
      <c r="E3626" s="52">
        <f t="shared" si="329"/>
        <v>1</v>
      </c>
      <c r="F3626" s="52"/>
      <c r="G3626" s="52"/>
      <c r="H3626" s="52"/>
      <c r="I3626" s="52"/>
      <c r="J3626" s="52"/>
      <c r="K3626" s="52"/>
      <c r="L3626" s="52"/>
      <c r="M3626" s="52"/>
      <c r="N3626" s="52"/>
      <c r="O3626" s="52"/>
      <c r="P3626" s="52"/>
      <c r="Q3626" s="52"/>
      <c r="R3626" s="52"/>
      <c r="S3626" s="52"/>
      <c r="T3626" s="52"/>
      <c r="U3626" s="52"/>
      <c r="V3626" s="52"/>
      <c r="W3626" s="52"/>
      <c r="X3626" s="52"/>
      <c r="Y3626" s="52"/>
      <c r="Z3626" s="52"/>
      <c r="AA3626" s="52"/>
      <c r="AB3626" s="52"/>
      <c r="AC3626" s="52"/>
      <c r="AD3626" s="52"/>
      <c r="AE3626" s="52"/>
      <c r="AF3626" s="52"/>
      <c r="AG3626" s="52"/>
      <c r="AH3626" s="52"/>
      <c r="AI3626" s="52"/>
      <c r="AJ3626" s="52"/>
      <c r="AK3626" s="52"/>
      <c r="AL3626" s="52"/>
      <c r="AM3626" s="52"/>
      <c r="AN3626" s="52"/>
    </row>
    <row r="3627" spans="1:40" x14ac:dyDescent="0.3">
      <c r="A3627" s="52">
        <v>3622</v>
      </c>
      <c r="B3627" s="52">
        <f>-bthan*500+(21+0.5)*bthan*1000/50</f>
        <v>-385</v>
      </c>
      <c r="C3627" s="52">
        <f t="shared" si="330"/>
        <v>650</v>
      </c>
      <c r="D3627" s="52">
        <f t="shared" si="328"/>
        <v>2200</v>
      </c>
      <c r="E3627" s="52">
        <f t="shared" si="329"/>
        <v>1</v>
      </c>
      <c r="F3627" s="52"/>
      <c r="G3627" s="52"/>
      <c r="H3627" s="52"/>
      <c r="I3627" s="52"/>
      <c r="J3627" s="52"/>
      <c r="K3627" s="52"/>
      <c r="L3627" s="52"/>
      <c r="M3627" s="52"/>
      <c r="N3627" s="52"/>
      <c r="O3627" s="52"/>
      <c r="P3627" s="52"/>
      <c r="Q3627" s="52"/>
      <c r="R3627" s="52"/>
      <c r="S3627" s="52"/>
      <c r="T3627" s="52"/>
      <c r="U3627" s="52"/>
      <c r="V3627" s="52"/>
      <c r="W3627" s="52"/>
      <c r="X3627" s="52"/>
      <c r="Y3627" s="52"/>
      <c r="Z3627" s="52"/>
      <c r="AA3627" s="52"/>
      <c r="AB3627" s="52"/>
      <c r="AC3627" s="52"/>
      <c r="AD3627" s="52"/>
      <c r="AE3627" s="52"/>
      <c r="AF3627" s="52"/>
      <c r="AG3627" s="52"/>
      <c r="AH3627" s="52"/>
      <c r="AI3627" s="52"/>
      <c r="AJ3627" s="52"/>
      <c r="AK3627" s="52"/>
      <c r="AL3627" s="52"/>
      <c r="AM3627" s="52"/>
      <c r="AN3627" s="52"/>
    </row>
    <row r="3628" spans="1:40" x14ac:dyDescent="0.3">
      <c r="A3628" s="52">
        <v>3623</v>
      </c>
      <c r="B3628" s="52">
        <f>-bthan*500+(22+0.5)*bthan*1000/50</f>
        <v>-275</v>
      </c>
      <c r="C3628" s="52">
        <f t="shared" si="330"/>
        <v>650</v>
      </c>
      <c r="D3628" s="52">
        <f t="shared" si="328"/>
        <v>2200</v>
      </c>
      <c r="E3628" s="52">
        <f t="shared" si="329"/>
        <v>1</v>
      </c>
      <c r="F3628" s="52"/>
      <c r="G3628" s="52"/>
      <c r="H3628" s="52"/>
      <c r="I3628" s="52"/>
      <c r="J3628" s="52"/>
      <c r="K3628" s="52"/>
      <c r="L3628" s="52"/>
      <c r="M3628" s="52"/>
      <c r="N3628" s="52"/>
      <c r="O3628" s="52"/>
      <c r="P3628" s="52"/>
      <c r="Q3628" s="52"/>
      <c r="R3628" s="52"/>
      <c r="S3628" s="52"/>
      <c r="T3628" s="52"/>
      <c r="U3628" s="52"/>
      <c r="V3628" s="52"/>
      <c r="W3628" s="52"/>
      <c r="X3628" s="52"/>
      <c r="Y3628" s="52"/>
      <c r="Z3628" s="52"/>
      <c r="AA3628" s="52"/>
      <c r="AB3628" s="52"/>
      <c r="AC3628" s="52"/>
      <c r="AD3628" s="52"/>
      <c r="AE3628" s="52"/>
      <c r="AF3628" s="52"/>
      <c r="AG3628" s="52"/>
      <c r="AH3628" s="52"/>
      <c r="AI3628" s="52"/>
      <c r="AJ3628" s="52"/>
      <c r="AK3628" s="52"/>
      <c r="AL3628" s="52"/>
      <c r="AM3628" s="52"/>
      <c r="AN3628" s="52"/>
    </row>
    <row r="3629" spans="1:40" x14ac:dyDescent="0.3">
      <c r="A3629" s="52">
        <v>3624</v>
      </c>
      <c r="B3629" s="52">
        <f>-bthan*500+(23+0.5)*bthan*1000/50</f>
        <v>-165</v>
      </c>
      <c r="C3629" s="52">
        <f t="shared" si="330"/>
        <v>650</v>
      </c>
      <c r="D3629" s="52">
        <f t="shared" si="328"/>
        <v>2200</v>
      </c>
      <c r="E3629" s="52">
        <f t="shared" si="329"/>
        <v>1</v>
      </c>
      <c r="F3629" s="52"/>
      <c r="G3629" s="52"/>
      <c r="H3629" s="52"/>
      <c r="I3629" s="52"/>
      <c r="J3629" s="52"/>
      <c r="K3629" s="52"/>
      <c r="L3629" s="52"/>
      <c r="M3629" s="52"/>
      <c r="N3629" s="52"/>
      <c r="O3629" s="52"/>
      <c r="P3629" s="52"/>
      <c r="Q3629" s="52"/>
      <c r="R3629" s="52"/>
      <c r="S3629" s="52"/>
      <c r="T3629" s="52"/>
      <c r="U3629" s="52"/>
      <c r="V3629" s="52"/>
      <c r="W3629" s="52"/>
      <c r="X3629" s="52"/>
      <c r="Y3629" s="52"/>
      <c r="Z3629" s="52"/>
      <c r="AA3629" s="52"/>
      <c r="AB3629" s="52"/>
      <c r="AC3629" s="52"/>
      <c r="AD3629" s="52"/>
      <c r="AE3629" s="52"/>
      <c r="AF3629" s="52"/>
      <c r="AG3629" s="52"/>
      <c r="AH3629" s="52"/>
      <c r="AI3629" s="52"/>
      <c r="AJ3629" s="52"/>
      <c r="AK3629" s="52"/>
      <c r="AL3629" s="52"/>
      <c r="AM3629" s="52"/>
      <c r="AN3629" s="52"/>
    </row>
    <row r="3630" spans="1:40" x14ac:dyDescent="0.3">
      <c r="A3630" s="52">
        <v>3625</v>
      </c>
      <c r="B3630" s="52">
        <f>-bthan*500+(24+0.5)*bthan*1000/50</f>
        <v>-55</v>
      </c>
      <c r="C3630" s="52">
        <f t="shared" si="330"/>
        <v>650</v>
      </c>
      <c r="D3630" s="52">
        <f t="shared" si="328"/>
        <v>2200</v>
      </c>
      <c r="E3630" s="52">
        <f t="shared" si="329"/>
        <v>1</v>
      </c>
      <c r="F3630" s="52"/>
      <c r="G3630" s="52"/>
      <c r="H3630" s="52"/>
      <c r="I3630" s="52"/>
      <c r="J3630" s="52"/>
      <c r="K3630" s="52"/>
      <c r="L3630" s="52"/>
      <c r="M3630" s="52"/>
      <c r="N3630" s="52"/>
      <c r="O3630" s="52"/>
      <c r="P3630" s="52"/>
      <c r="Q3630" s="52"/>
      <c r="R3630" s="52"/>
      <c r="S3630" s="52"/>
      <c r="T3630" s="52"/>
      <c r="U3630" s="52"/>
      <c r="V3630" s="52"/>
      <c r="W3630" s="52"/>
      <c r="X3630" s="52"/>
      <c r="Y3630" s="52"/>
      <c r="Z3630" s="52"/>
      <c r="AA3630" s="52"/>
      <c r="AB3630" s="52"/>
      <c r="AC3630" s="52"/>
      <c r="AD3630" s="52"/>
      <c r="AE3630" s="52"/>
      <c r="AF3630" s="52"/>
      <c r="AG3630" s="52"/>
      <c r="AH3630" s="52"/>
      <c r="AI3630" s="52"/>
      <c r="AJ3630" s="52"/>
      <c r="AK3630" s="52"/>
      <c r="AL3630" s="52"/>
      <c r="AM3630" s="52"/>
      <c r="AN3630" s="52"/>
    </row>
    <row r="3631" spans="1:40" x14ac:dyDescent="0.3">
      <c r="A3631" s="52">
        <v>3626</v>
      </c>
      <c r="B3631" s="52">
        <f>-bthan*500+(25+0.5)*bthan*1000/50</f>
        <v>55</v>
      </c>
      <c r="C3631" s="52">
        <f t="shared" si="330"/>
        <v>650</v>
      </c>
      <c r="D3631" s="52">
        <f t="shared" si="328"/>
        <v>2200</v>
      </c>
      <c r="E3631" s="52">
        <f t="shared" si="329"/>
        <v>1</v>
      </c>
      <c r="F3631" s="52"/>
      <c r="G3631" s="52"/>
      <c r="H3631" s="52"/>
      <c r="I3631" s="52"/>
      <c r="J3631" s="52"/>
      <c r="K3631" s="52"/>
      <c r="L3631" s="52"/>
      <c r="M3631" s="52"/>
      <c r="N3631" s="52"/>
      <c r="O3631" s="52"/>
      <c r="P3631" s="52"/>
      <c r="Q3631" s="52"/>
      <c r="R3631" s="52"/>
      <c r="S3631" s="52"/>
      <c r="T3631" s="52"/>
      <c r="U3631" s="52"/>
      <c r="V3631" s="52"/>
      <c r="W3631" s="52"/>
      <c r="X3631" s="52"/>
      <c r="Y3631" s="52"/>
      <c r="Z3631" s="52"/>
      <c r="AA3631" s="52"/>
      <c r="AB3631" s="52"/>
      <c r="AC3631" s="52"/>
      <c r="AD3631" s="52"/>
      <c r="AE3631" s="52"/>
      <c r="AF3631" s="52"/>
      <c r="AG3631" s="52"/>
      <c r="AH3631" s="52"/>
      <c r="AI3631" s="52"/>
      <c r="AJ3631" s="52"/>
      <c r="AK3631" s="52"/>
      <c r="AL3631" s="52"/>
      <c r="AM3631" s="52"/>
      <c r="AN3631" s="52"/>
    </row>
    <row r="3632" spans="1:40" x14ac:dyDescent="0.3">
      <c r="A3632" s="52">
        <v>3627</v>
      </c>
      <c r="B3632" s="52">
        <f>-bthan*500+(26+0.5)*bthan*1000/50</f>
        <v>165</v>
      </c>
      <c r="C3632" s="52">
        <f t="shared" si="330"/>
        <v>650</v>
      </c>
      <c r="D3632" s="52">
        <f t="shared" si="328"/>
        <v>2200</v>
      </c>
      <c r="E3632" s="52">
        <f t="shared" si="329"/>
        <v>1</v>
      </c>
      <c r="F3632" s="52"/>
      <c r="G3632" s="52"/>
      <c r="H3632" s="52"/>
      <c r="I3632" s="52"/>
      <c r="J3632" s="52"/>
      <c r="K3632" s="52"/>
      <c r="L3632" s="52"/>
      <c r="M3632" s="52"/>
      <c r="N3632" s="52"/>
      <c r="O3632" s="52"/>
      <c r="P3632" s="52"/>
      <c r="Q3632" s="52"/>
      <c r="R3632" s="52"/>
      <c r="S3632" s="52"/>
      <c r="T3632" s="52"/>
      <c r="U3632" s="52"/>
      <c r="V3632" s="52"/>
      <c r="W3632" s="52"/>
      <c r="X3632" s="52"/>
      <c r="Y3632" s="52"/>
      <c r="Z3632" s="52"/>
      <c r="AA3632" s="52"/>
      <c r="AB3632" s="52"/>
      <c r="AC3632" s="52"/>
      <c r="AD3632" s="52"/>
      <c r="AE3632" s="52"/>
      <c r="AF3632" s="52"/>
      <c r="AG3632" s="52"/>
      <c r="AH3632" s="52"/>
      <c r="AI3632" s="52"/>
      <c r="AJ3632" s="52"/>
      <c r="AK3632" s="52"/>
      <c r="AL3632" s="52"/>
      <c r="AM3632" s="52"/>
      <c r="AN3632" s="52"/>
    </row>
    <row r="3633" spans="1:40" x14ac:dyDescent="0.3">
      <c r="A3633" s="52">
        <v>3628</v>
      </c>
      <c r="B3633" s="52">
        <f>-bthan*500+(27+0.5)*bthan*1000/50</f>
        <v>275</v>
      </c>
      <c r="C3633" s="52">
        <f t="shared" si="330"/>
        <v>650</v>
      </c>
      <c r="D3633" s="52">
        <f t="shared" si="328"/>
        <v>2200</v>
      </c>
      <c r="E3633" s="52">
        <f t="shared" si="329"/>
        <v>1</v>
      </c>
      <c r="F3633" s="52"/>
      <c r="G3633" s="52"/>
      <c r="H3633" s="52"/>
      <c r="I3633" s="52"/>
      <c r="J3633" s="52"/>
      <c r="K3633" s="52"/>
      <c r="L3633" s="52"/>
      <c r="M3633" s="52"/>
      <c r="N3633" s="52"/>
      <c r="O3633" s="52"/>
      <c r="P3633" s="52"/>
      <c r="Q3633" s="52"/>
      <c r="R3633" s="52"/>
      <c r="S3633" s="52"/>
      <c r="T3633" s="52"/>
      <c r="U3633" s="52"/>
      <c r="V3633" s="52"/>
      <c r="W3633" s="52"/>
      <c r="X3633" s="52"/>
      <c r="Y3633" s="52"/>
      <c r="Z3633" s="52"/>
      <c r="AA3633" s="52"/>
      <c r="AB3633" s="52"/>
      <c r="AC3633" s="52"/>
      <c r="AD3633" s="52"/>
      <c r="AE3633" s="52"/>
      <c r="AF3633" s="52"/>
      <c r="AG3633" s="52"/>
      <c r="AH3633" s="52"/>
      <c r="AI3633" s="52"/>
      <c r="AJ3633" s="52"/>
      <c r="AK3633" s="52"/>
      <c r="AL3633" s="52"/>
      <c r="AM3633" s="52"/>
      <c r="AN3633" s="52"/>
    </row>
    <row r="3634" spans="1:40" x14ac:dyDescent="0.3">
      <c r="A3634" s="52">
        <v>3629</v>
      </c>
      <c r="B3634" s="52">
        <f>-bthan*500+(28+0.5)*bthan*1000/50</f>
        <v>385</v>
      </c>
      <c r="C3634" s="52">
        <f t="shared" si="330"/>
        <v>650</v>
      </c>
      <c r="D3634" s="52">
        <f t="shared" si="328"/>
        <v>2200</v>
      </c>
      <c r="E3634" s="52">
        <f t="shared" si="329"/>
        <v>1</v>
      </c>
      <c r="F3634" s="52"/>
      <c r="G3634" s="52"/>
      <c r="H3634" s="52"/>
      <c r="I3634" s="52"/>
      <c r="J3634" s="52"/>
      <c r="K3634" s="52"/>
      <c r="L3634" s="52"/>
      <c r="M3634" s="52"/>
      <c r="N3634" s="52"/>
      <c r="O3634" s="52"/>
      <c r="P3634" s="52"/>
      <c r="Q3634" s="52"/>
      <c r="R3634" s="52"/>
      <c r="S3634" s="52"/>
      <c r="T3634" s="52"/>
      <c r="U3634" s="52"/>
      <c r="V3634" s="52"/>
      <c r="W3634" s="52"/>
      <c r="X3634" s="52"/>
      <c r="Y3634" s="52"/>
      <c r="Z3634" s="52"/>
      <c r="AA3634" s="52"/>
      <c r="AB3634" s="52"/>
      <c r="AC3634" s="52"/>
      <c r="AD3634" s="52"/>
      <c r="AE3634" s="52"/>
      <c r="AF3634" s="52"/>
      <c r="AG3634" s="52"/>
      <c r="AH3634" s="52"/>
      <c r="AI3634" s="52"/>
      <c r="AJ3634" s="52"/>
      <c r="AK3634" s="52"/>
      <c r="AL3634" s="52"/>
      <c r="AM3634" s="52"/>
      <c r="AN3634" s="52"/>
    </row>
    <row r="3635" spans="1:40" x14ac:dyDescent="0.3">
      <c r="A3635" s="52">
        <v>3630</v>
      </c>
      <c r="B3635" s="52">
        <f>-bthan*500+(29+0.5)*bthan*1000/50</f>
        <v>495</v>
      </c>
      <c r="C3635" s="52">
        <f t="shared" si="330"/>
        <v>650</v>
      </c>
      <c r="D3635" s="52">
        <f t="shared" si="328"/>
        <v>2200</v>
      </c>
      <c r="E3635" s="52">
        <f t="shared" si="329"/>
        <v>1</v>
      </c>
      <c r="F3635" s="52"/>
      <c r="G3635" s="52"/>
      <c r="H3635" s="52"/>
      <c r="I3635" s="52"/>
      <c r="J3635" s="52"/>
      <c r="K3635" s="52"/>
      <c r="L3635" s="52"/>
      <c r="M3635" s="52"/>
      <c r="N3635" s="52"/>
      <c r="O3635" s="52"/>
      <c r="P3635" s="52"/>
      <c r="Q3635" s="52"/>
      <c r="R3635" s="52"/>
      <c r="S3635" s="52"/>
      <c r="T3635" s="52"/>
      <c r="U3635" s="52"/>
      <c r="V3635" s="52"/>
      <c r="W3635" s="52"/>
      <c r="X3635" s="52"/>
      <c r="Y3635" s="52"/>
      <c r="Z3635" s="52"/>
      <c r="AA3635" s="52"/>
      <c r="AB3635" s="52"/>
      <c r="AC3635" s="52"/>
      <c r="AD3635" s="52"/>
      <c r="AE3635" s="52"/>
      <c r="AF3635" s="52"/>
      <c r="AG3635" s="52"/>
      <c r="AH3635" s="52"/>
      <c r="AI3635" s="52"/>
      <c r="AJ3635" s="52"/>
      <c r="AK3635" s="52"/>
      <c r="AL3635" s="52"/>
      <c r="AM3635" s="52"/>
      <c r="AN3635" s="52"/>
    </row>
    <row r="3636" spans="1:40" x14ac:dyDescent="0.3">
      <c r="A3636" s="52">
        <v>3631</v>
      </c>
      <c r="B3636" s="52">
        <f>-bthan*500+(30+0.5)*bthan*1000/50</f>
        <v>605</v>
      </c>
      <c r="C3636" s="52">
        <f t="shared" si="330"/>
        <v>650</v>
      </c>
      <c r="D3636" s="52">
        <f t="shared" si="328"/>
        <v>2200</v>
      </c>
      <c r="E3636" s="52">
        <f t="shared" si="329"/>
        <v>1</v>
      </c>
      <c r="F3636" s="52"/>
      <c r="G3636" s="52"/>
      <c r="H3636" s="52"/>
      <c r="I3636" s="52"/>
      <c r="J3636" s="52"/>
      <c r="K3636" s="52"/>
      <c r="L3636" s="52"/>
      <c r="M3636" s="52"/>
      <c r="N3636" s="52"/>
      <c r="O3636" s="52"/>
      <c r="P3636" s="52"/>
      <c r="Q3636" s="52"/>
      <c r="R3636" s="52"/>
      <c r="S3636" s="52"/>
      <c r="T3636" s="52"/>
      <c r="U3636" s="52"/>
      <c r="V3636" s="52"/>
      <c r="W3636" s="52"/>
      <c r="X3636" s="52"/>
      <c r="Y3636" s="52"/>
      <c r="Z3636" s="52"/>
      <c r="AA3636" s="52"/>
      <c r="AB3636" s="52"/>
      <c r="AC3636" s="52"/>
      <c r="AD3636" s="52"/>
      <c r="AE3636" s="52"/>
      <c r="AF3636" s="52"/>
      <c r="AG3636" s="52"/>
      <c r="AH3636" s="52"/>
      <c r="AI3636" s="52"/>
      <c r="AJ3636" s="52"/>
      <c r="AK3636" s="52"/>
      <c r="AL3636" s="52"/>
      <c r="AM3636" s="52"/>
      <c r="AN3636" s="52"/>
    </row>
    <row r="3637" spans="1:40" x14ac:dyDescent="0.3">
      <c r="A3637" s="52">
        <v>3632</v>
      </c>
      <c r="B3637" s="52">
        <f>-bthan*500+(31+0.5)*bthan*1000/50</f>
        <v>715</v>
      </c>
      <c r="C3637" s="52">
        <f t="shared" si="330"/>
        <v>650</v>
      </c>
      <c r="D3637" s="52">
        <f t="shared" si="328"/>
        <v>2200</v>
      </c>
      <c r="E3637" s="52">
        <f t="shared" si="329"/>
        <v>1</v>
      </c>
      <c r="F3637" s="52"/>
      <c r="G3637" s="52"/>
      <c r="H3637" s="52"/>
      <c r="I3637" s="52"/>
      <c r="J3637" s="52"/>
      <c r="K3637" s="52"/>
      <c r="L3637" s="52"/>
      <c r="M3637" s="52"/>
      <c r="N3637" s="52"/>
      <c r="O3637" s="52"/>
      <c r="P3637" s="52"/>
      <c r="Q3637" s="52"/>
      <c r="R3637" s="52"/>
      <c r="S3637" s="52"/>
      <c r="T3637" s="52"/>
      <c r="U3637" s="52"/>
      <c r="V3637" s="52"/>
      <c r="W3637" s="52"/>
      <c r="X3637" s="52"/>
      <c r="Y3637" s="52"/>
      <c r="Z3637" s="52"/>
      <c r="AA3637" s="52"/>
      <c r="AB3637" s="52"/>
      <c r="AC3637" s="52"/>
      <c r="AD3637" s="52"/>
      <c r="AE3637" s="52"/>
      <c r="AF3637" s="52"/>
      <c r="AG3637" s="52"/>
      <c r="AH3637" s="52"/>
      <c r="AI3637" s="52"/>
      <c r="AJ3637" s="52"/>
      <c r="AK3637" s="52"/>
      <c r="AL3637" s="52"/>
      <c r="AM3637" s="52"/>
      <c r="AN3637" s="52"/>
    </row>
    <row r="3638" spans="1:40" x14ac:dyDescent="0.3">
      <c r="A3638" s="52">
        <v>3633</v>
      </c>
      <c r="B3638" s="52">
        <f>-bthan*500+(32+0.5)*bthan*1000/50</f>
        <v>825</v>
      </c>
      <c r="C3638" s="52">
        <f t="shared" ref="C3638:C3655" si="331">-hthan*500+(72+0.5)*hthan*1000/80</f>
        <v>650</v>
      </c>
      <c r="D3638" s="52">
        <f t="shared" si="328"/>
        <v>2200</v>
      </c>
      <c r="E3638" s="52">
        <f t="shared" si="329"/>
        <v>1</v>
      </c>
      <c r="F3638" s="52"/>
      <c r="G3638" s="52"/>
      <c r="H3638" s="52"/>
      <c r="I3638" s="52"/>
      <c r="J3638" s="52"/>
      <c r="K3638" s="52"/>
      <c r="L3638" s="52"/>
      <c r="M3638" s="52"/>
      <c r="N3638" s="52"/>
      <c r="O3638" s="52"/>
      <c r="P3638" s="52"/>
      <c r="Q3638" s="52"/>
      <c r="R3638" s="52"/>
      <c r="S3638" s="52"/>
      <c r="T3638" s="52"/>
      <c r="U3638" s="52"/>
      <c r="V3638" s="52"/>
      <c r="W3638" s="52"/>
      <c r="X3638" s="52"/>
      <c r="Y3638" s="52"/>
      <c r="Z3638" s="52"/>
      <c r="AA3638" s="52"/>
      <c r="AB3638" s="52"/>
      <c r="AC3638" s="52"/>
      <c r="AD3638" s="52"/>
      <c r="AE3638" s="52"/>
      <c r="AF3638" s="52"/>
      <c r="AG3638" s="52"/>
      <c r="AH3638" s="52"/>
      <c r="AI3638" s="52"/>
      <c r="AJ3638" s="52"/>
      <c r="AK3638" s="52"/>
      <c r="AL3638" s="52"/>
      <c r="AM3638" s="52"/>
      <c r="AN3638" s="52"/>
    </row>
    <row r="3639" spans="1:40" x14ac:dyDescent="0.3">
      <c r="A3639" s="52">
        <v>3634</v>
      </c>
      <c r="B3639" s="52">
        <f>-bthan*500+(33+0.5)*bthan*1000/50</f>
        <v>935</v>
      </c>
      <c r="C3639" s="52">
        <f t="shared" si="331"/>
        <v>650</v>
      </c>
      <c r="D3639" s="52">
        <f t="shared" si="328"/>
        <v>2200</v>
      </c>
      <c r="E3639" s="52">
        <f t="shared" si="329"/>
        <v>1</v>
      </c>
      <c r="F3639" s="52"/>
      <c r="G3639" s="52"/>
      <c r="H3639" s="52"/>
      <c r="I3639" s="52"/>
      <c r="J3639" s="52"/>
      <c r="K3639" s="52"/>
      <c r="L3639" s="52"/>
      <c r="M3639" s="52"/>
      <c r="N3639" s="52"/>
      <c r="O3639" s="52"/>
      <c r="P3639" s="52"/>
      <c r="Q3639" s="52"/>
      <c r="R3639" s="52"/>
      <c r="S3639" s="52"/>
      <c r="T3639" s="52"/>
      <c r="U3639" s="52"/>
      <c r="V3639" s="52"/>
      <c r="W3639" s="52"/>
      <c r="X3639" s="52"/>
      <c r="Y3639" s="52"/>
      <c r="Z3639" s="52"/>
      <c r="AA3639" s="52"/>
      <c r="AB3639" s="52"/>
      <c r="AC3639" s="52"/>
      <c r="AD3639" s="52"/>
      <c r="AE3639" s="52"/>
      <c r="AF3639" s="52"/>
      <c r="AG3639" s="52"/>
      <c r="AH3639" s="52"/>
      <c r="AI3639" s="52"/>
      <c r="AJ3639" s="52"/>
      <c r="AK3639" s="52"/>
      <c r="AL3639" s="52"/>
      <c r="AM3639" s="52"/>
      <c r="AN3639" s="52"/>
    </row>
    <row r="3640" spans="1:40" x14ac:dyDescent="0.3">
      <c r="A3640" s="52">
        <v>3635</v>
      </c>
      <c r="B3640" s="52">
        <f>-bthan*500+(34+0.5)*bthan*1000/50</f>
        <v>1045</v>
      </c>
      <c r="C3640" s="52">
        <f t="shared" si="331"/>
        <v>650</v>
      </c>
      <c r="D3640" s="52">
        <f t="shared" si="328"/>
        <v>2200</v>
      </c>
      <c r="E3640" s="52">
        <f t="shared" si="329"/>
        <v>1</v>
      </c>
      <c r="F3640" s="52"/>
      <c r="G3640" s="52"/>
      <c r="H3640" s="52"/>
      <c r="I3640" s="52"/>
      <c r="J3640" s="52"/>
      <c r="K3640" s="52"/>
      <c r="L3640" s="52"/>
      <c r="M3640" s="52"/>
      <c r="N3640" s="52"/>
      <c r="O3640" s="52"/>
      <c r="P3640" s="52"/>
      <c r="Q3640" s="52"/>
      <c r="R3640" s="52"/>
      <c r="S3640" s="52"/>
      <c r="T3640" s="52"/>
      <c r="U3640" s="52"/>
      <c r="V3640" s="52"/>
      <c r="W3640" s="52"/>
      <c r="X3640" s="52"/>
      <c r="Y3640" s="52"/>
      <c r="Z3640" s="52"/>
      <c r="AA3640" s="52"/>
      <c r="AB3640" s="52"/>
      <c r="AC3640" s="52"/>
      <c r="AD3640" s="52"/>
      <c r="AE3640" s="52"/>
      <c r="AF3640" s="52"/>
      <c r="AG3640" s="52"/>
      <c r="AH3640" s="52"/>
      <c r="AI3640" s="52"/>
      <c r="AJ3640" s="52"/>
      <c r="AK3640" s="52"/>
      <c r="AL3640" s="52"/>
      <c r="AM3640" s="52"/>
      <c r="AN3640" s="52"/>
    </row>
    <row r="3641" spans="1:40" x14ac:dyDescent="0.3">
      <c r="A3641" s="52">
        <v>3636</v>
      </c>
      <c r="B3641" s="52">
        <f>-bthan*500+(35+0.5)*bthan*1000/50</f>
        <v>1155</v>
      </c>
      <c r="C3641" s="52">
        <f t="shared" si="331"/>
        <v>650</v>
      </c>
      <c r="D3641" s="52">
        <f t="shared" si="328"/>
        <v>2200</v>
      </c>
      <c r="E3641" s="52">
        <f t="shared" si="329"/>
        <v>1</v>
      </c>
      <c r="F3641" s="52"/>
      <c r="G3641" s="52"/>
      <c r="H3641" s="52"/>
      <c r="I3641" s="52"/>
      <c r="J3641" s="52"/>
      <c r="K3641" s="52"/>
      <c r="L3641" s="52"/>
      <c r="M3641" s="52"/>
      <c r="N3641" s="52"/>
      <c r="O3641" s="52"/>
      <c r="P3641" s="52"/>
      <c r="Q3641" s="52"/>
      <c r="R3641" s="52"/>
      <c r="S3641" s="52"/>
      <c r="T3641" s="52"/>
      <c r="U3641" s="52"/>
      <c r="V3641" s="52"/>
      <c r="W3641" s="52"/>
      <c r="X3641" s="52"/>
      <c r="Y3641" s="52"/>
      <c r="Z3641" s="52"/>
      <c r="AA3641" s="52"/>
      <c r="AB3641" s="52"/>
      <c r="AC3641" s="52"/>
      <c r="AD3641" s="52"/>
      <c r="AE3641" s="52"/>
      <c r="AF3641" s="52"/>
      <c r="AG3641" s="52"/>
      <c r="AH3641" s="52"/>
      <c r="AI3641" s="52"/>
      <c r="AJ3641" s="52"/>
      <c r="AK3641" s="52"/>
      <c r="AL3641" s="52"/>
      <c r="AM3641" s="52"/>
      <c r="AN3641" s="52"/>
    </row>
    <row r="3642" spans="1:40" x14ac:dyDescent="0.3">
      <c r="A3642" s="52">
        <v>3637</v>
      </c>
      <c r="B3642" s="52">
        <f>-bthan*500+(36+0.5)*bthan*1000/50</f>
        <v>1265</v>
      </c>
      <c r="C3642" s="52">
        <f t="shared" si="331"/>
        <v>650</v>
      </c>
      <c r="D3642" s="52">
        <f t="shared" si="328"/>
        <v>2200</v>
      </c>
      <c r="E3642" s="52">
        <f t="shared" si="329"/>
        <v>1</v>
      </c>
      <c r="F3642" s="52"/>
      <c r="G3642" s="52"/>
      <c r="H3642" s="52"/>
      <c r="I3642" s="52"/>
      <c r="J3642" s="52"/>
      <c r="K3642" s="52"/>
      <c r="L3642" s="52"/>
      <c r="M3642" s="52"/>
      <c r="N3642" s="52"/>
      <c r="O3642" s="52"/>
      <c r="P3642" s="52"/>
      <c r="Q3642" s="52"/>
      <c r="R3642" s="52"/>
      <c r="S3642" s="52"/>
      <c r="T3642" s="52"/>
      <c r="U3642" s="52"/>
      <c r="V3642" s="52"/>
      <c r="W3642" s="52"/>
      <c r="X3642" s="52"/>
      <c r="Y3642" s="52"/>
      <c r="Z3642" s="52"/>
      <c r="AA3642" s="52"/>
      <c r="AB3642" s="52"/>
      <c r="AC3642" s="52"/>
      <c r="AD3642" s="52"/>
      <c r="AE3642" s="52"/>
      <c r="AF3642" s="52"/>
      <c r="AG3642" s="52"/>
      <c r="AH3642" s="52"/>
      <c r="AI3642" s="52"/>
      <c r="AJ3642" s="52"/>
      <c r="AK3642" s="52"/>
      <c r="AL3642" s="52"/>
      <c r="AM3642" s="52"/>
      <c r="AN3642" s="52"/>
    </row>
    <row r="3643" spans="1:40" x14ac:dyDescent="0.3">
      <c r="A3643" s="52">
        <v>3638</v>
      </c>
      <c r="B3643" s="52">
        <f>-bthan*500+(37+0.5)*bthan*1000/50</f>
        <v>1375</v>
      </c>
      <c r="C3643" s="52">
        <f t="shared" si="331"/>
        <v>650</v>
      </c>
      <c r="D3643" s="52">
        <f t="shared" si="328"/>
        <v>2200</v>
      </c>
      <c r="E3643" s="52">
        <f t="shared" si="329"/>
        <v>1</v>
      </c>
      <c r="F3643" s="52"/>
      <c r="G3643" s="52"/>
      <c r="H3643" s="52"/>
      <c r="I3643" s="52"/>
      <c r="J3643" s="52"/>
      <c r="K3643" s="52"/>
      <c r="L3643" s="52"/>
      <c r="M3643" s="52"/>
      <c r="N3643" s="52"/>
      <c r="O3643" s="52"/>
      <c r="P3643" s="52"/>
      <c r="Q3643" s="52"/>
      <c r="R3643" s="52"/>
      <c r="S3643" s="52"/>
      <c r="T3643" s="52"/>
      <c r="U3643" s="52"/>
      <c r="V3643" s="52"/>
      <c r="W3643" s="52"/>
      <c r="X3643" s="52"/>
      <c r="Y3643" s="52"/>
      <c r="Z3643" s="52"/>
      <c r="AA3643" s="52"/>
      <c r="AB3643" s="52"/>
      <c r="AC3643" s="52"/>
      <c r="AD3643" s="52"/>
      <c r="AE3643" s="52"/>
      <c r="AF3643" s="52"/>
      <c r="AG3643" s="52"/>
      <c r="AH3643" s="52"/>
      <c r="AI3643" s="52"/>
      <c r="AJ3643" s="52"/>
      <c r="AK3643" s="52"/>
      <c r="AL3643" s="52"/>
      <c r="AM3643" s="52"/>
      <c r="AN3643" s="52"/>
    </row>
    <row r="3644" spans="1:40" x14ac:dyDescent="0.3">
      <c r="A3644" s="52">
        <v>3639</v>
      </c>
      <c r="B3644" s="52">
        <f>-bthan*500+(38+0.5)*bthan*1000/50</f>
        <v>1485</v>
      </c>
      <c r="C3644" s="52">
        <f t="shared" si="331"/>
        <v>650</v>
      </c>
      <c r="D3644" s="52">
        <f t="shared" si="328"/>
        <v>2200</v>
      </c>
      <c r="E3644" s="52">
        <f t="shared" si="329"/>
        <v>1</v>
      </c>
      <c r="F3644" s="52"/>
      <c r="G3644" s="52"/>
      <c r="H3644" s="52"/>
      <c r="I3644" s="52"/>
      <c r="J3644" s="52"/>
      <c r="K3644" s="52"/>
      <c r="L3644" s="52"/>
      <c r="M3644" s="52"/>
      <c r="N3644" s="52"/>
      <c r="O3644" s="52"/>
      <c r="P3644" s="52"/>
      <c r="Q3644" s="52"/>
      <c r="R3644" s="52"/>
      <c r="S3644" s="52"/>
      <c r="T3644" s="52"/>
      <c r="U3644" s="52"/>
      <c r="V3644" s="52"/>
      <c r="W3644" s="52"/>
      <c r="X3644" s="52"/>
      <c r="Y3644" s="52"/>
      <c r="Z3644" s="52"/>
      <c r="AA3644" s="52"/>
      <c r="AB3644" s="52"/>
      <c r="AC3644" s="52"/>
      <c r="AD3644" s="52"/>
      <c r="AE3644" s="52"/>
      <c r="AF3644" s="52"/>
      <c r="AG3644" s="52"/>
      <c r="AH3644" s="52"/>
      <c r="AI3644" s="52"/>
      <c r="AJ3644" s="52"/>
      <c r="AK3644" s="52"/>
      <c r="AL3644" s="52"/>
      <c r="AM3644" s="52"/>
      <c r="AN3644" s="52"/>
    </row>
    <row r="3645" spans="1:40" x14ac:dyDescent="0.3">
      <c r="A3645" s="52">
        <v>3640</v>
      </c>
      <c r="B3645" s="52">
        <f>-bthan*500+(39+0.5)*bthan*1000/50</f>
        <v>1595</v>
      </c>
      <c r="C3645" s="52">
        <f t="shared" si="331"/>
        <v>650</v>
      </c>
      <c r="D3645" s="52">
        <f t="shared" si="328"/>
        <v>2200</v>
      </c>
      <c r="E3645" s="52">
        <f t="shared" si="329"/>
        <v>1</v>
      </c>
      <c r="F3645" s="52"/>
      <c r="G3645" s="52"/>
      <c r="H3645" s="52"/>
      <c r="I3645" s="52"/>
      <c r="J3645" s="52"/>
      <c r="K3645" s="52"/>
      <c r="L3645" s="52"/>
      <c r="M3645" s="52"/>
      <c r="N3645" s="52"/>
      <c r="O3645" s="52"/>
      <c r="P3645" s="52"/>
      <c r="Q3645" s="52"/>
      <c r="R3645" s="52"/>
      <c r="S3645" s="52"/>
      <c r="T3645" s="52"/>
      <c r="U3645" s="52"/>
      <c r="V3645" s="52"/>
      <c r="W3645" s="52"/>
      <c r="X3645" s="52"/>
      <c r="Y3645" s="52"/>
      <c r="Z3645" s="52"/>
      <c r="AA3645" s="52"/>
      <c r="AB3645" s="52"/>
      <c r="AC3645" s="52"/>
      <c r="AD3645" s="52"/>
      <c r="AE3645" s="52"/>
      <c r="AF3645" s="52"/>
      <c r="AG3645" s="52"/>
      <c r="AH3645" s="52"/>
      <c r="AI3645" s="52"/>
      <c r="AJ3645" s="52"/>
      <c r="AK3645" s="52"/>
      <c r="AL3645" s="52"/>
      <c r="AM3645" s="52"/>
      <c r="AN3645" s="52"/>
    </row>
    <row r="3646" spans="1:40" x14ac:dyDescent="0.3">
      <c r="A3646" s="52">
        <v>3641</v>
      </c>
      <c r="B3646" s="52">
        <f>-bthan*500+(40+0.5)*bthan*1000/50</f>
        <v>1705</v>
      </c>
      <c r="C3646" s="52">
        <f t="shared" si="331"/>
        <v>650</v>
      </c>
      <c r="D3646" s="52">
        <f t="shared" si="328"/>
        <v>2200</v>
      </c>
      <c r="E3646" s="52">
        <f t="shared" si="329"/>
        <v>1</v>
      </c>
      <c r="F3646" s="52"/>
      <c r="G3646" s="52"/>
      <c r="H3646" s="52"/>
      <c r="I3646" s="52"/>
      <c r="J3646" s="52"/>
      <c r="K3646" s="52"/>
      <c r="L3646" s="52"/>
      <c r="M3646" s="52"/>
      <c r="N3646" s="52"/>
      <c r="O3646" s="52"/>
      <c r="P3646" s="52"/>
      <c r="Q3646" s="52"/>
      <c r="R3646" s="52"/>
      <c r="S3646" s="52"/>
      <c r="T3646" s="52"/>
      <c r="U3646" s="52"/>
      <c r="V3646" s="52"/>
      <c r="W3646" s="52"/>
      <c r="X3646" s="52"/>
      <c r="Y3646" s="52"/>
      <c r="Z3646" s="52"/>
      <c r="AA3646" s="52"/>
      <c r="AB3646" s="52"/>
      <c r="AC3646" s="52"/>
      <c r="AD3646" s="52"/>
      <c r="AE3646" s="52"/>
      <c r="AF3646" s="52"/>
      <c r="AG3646" s="52"/>
      <c r="AH3646" s="52"/>
      <c r="AI3646" s="52"/>
      <c r="AJ3646" s="52"/>
      <c r="AK3646" s="52"/>
      <c r="AL3646" s="52"/>
      <c r="AM3646" s="52"/>
      <c r="AN3646" s="52"/>
    </row>
    <row r="3647" spans="1:40" x14ac:dyDescent="0.3">
      <c r="A3647" s="52">
        <v>3642</v>
      </c>
      <c r="B3647" s="52">
        <f>-bthan*500+(41+0.5)*bthan*1000/50</f>
        <v>1815</v>
      </c>
      <c r="C3647" s="52">
        <f t="shared" si="331"/>
        <v>650</v>
      </c>
      <c r="D3647" s="52">
        <f t="shared" si="328"/>
        <v>2200</v>
      </c>
      <c r="E3647" s="52">
        <f t="shared" si="329"/>
        <v>1</v>
      </c>
      <c r="F3647" s="52"/>
      <c r="G3647" s="52"/>
      <c r="H3647" s="52"/>
      <c r="I3647" s="52"/>
      <c r="J3647" s="52"/>
      <c r="K3647" s="52"/>
      <c r="L3647" s="52"/>
      <c r="M3647" s="52"/>
      <c r="N3647" s="52"/>
      <c r="O3647" s="52"/>
      <c r="P3647" s="52"/>
      <c r="Q3647" s="52"/>
      <c r="R3647" s="52"/>
      <c r="S3647" s="52"/>
      <c r="T3647" s="52"/>
      <c r="U3647" s="52"/>
      <c r="V3647" s="52"/>
      <c r="W3647" s="52"/>
      <c r="X3647" s="52"/>
      <c r="Y3647" s="52"/>
      <c r="Z3647" s="52"/>
      <c r="AA3647" s="52"/>
      <c r="AB3647" s="52"/>
      <c r="AC3647" s="52"/>
      <c r="AD3647" s="52"/>
      <c r="AE3647" s="52"/>
      <c r="AF3647" s="52"/>
      <c r="AG3647" s="52"/>
      <c r="AH3647" s="52"/>
      <c r="AI3647" s="52"/>
      <c r="AJ3647" s="52"/>
      <c r="AK3647" s="52"/>
      <c r="AL3647" s="52"/>
      <c r="AM3647" s="52"/>
      <c r="AN3647" s="52"/>
    </row>
    <row r="3648" spans="1:40" x14ac:dyDescent="0.3">
      <c r="A3648" s="52">
        <v>3643</v>
      </c>
      <c r="B3648" s="52">
        <f>-bthan*500+(42+0.5)*bthan*1000/50</f>
        <v>1925</v>
      </c>
      <c r="C3648" s="52">
        <f t="shared" si="331"/>
        <v>650</v>
      </c>
      <c r="D3648" s="52">
        <f t="shared" si="328"/>
        <v>2200</v>
      </c>
      <c r="E3648" s="52">
        <f t="shared" si="329"/>
        <v>1</v>
      </c>
      <c r="F3648" s="52"/>
      <c r="G3648" s="52"/>
      <c r="H3648" s="52"/>
      <c r="I3648" s="52"/>
      <c r="J3648" s="52"/>
      <c r="K3648" s="52"/>
      <c r="L3648" s="52"/>
      <c r="M3648" s="52"/>
      <c r="N3648" s="52"/>
      <c r="O3648" s="52"/>
      <c r="P3648" s="52"/>
      <c r="Q3648" s="52"/>
      <c r="R3648" s="52"/>
      <c r="S3648" s="52"/>
      <c r="T3648" s="52"/>
      <c r="U3648" s="52"/>
      <c r="V3648" s="52"/>
      <c r="W3648" s="52"/>
      <c r="X3648" s="52"/>
      <c r="Y3648" s="52"/>
      <c r="Z3648" s="52"/>
      <c r="AA3648" s="52"/>
      <c r="AB3648" s="52"/>
      <c r="AC3648" s="52"/>
      <c r="AD3648" s="52"/>
      <c r="AE3648" s="52"/>
      <c r="AF3648" s="52"/>
      <c r="AG3648" s="52"/>
      <c r="AH3648" s="52"/>
      <c r="AI3648" s="52"/>
      <c r="AJ3648" s="52"/>
      <c r="AK3648" s="52"/>
      <c r="AL3648" s="52"/>
      <c r="AM3648" s="52"/>
      <c r="AN3648" s="52"/>
    </row>
    <row r="3649" spans="1:40" x14ac:dyDescent="0.3">
      <c r="A3649" s="52">
        <v>3644</v>
      </c>
      <c r="B3649" s="52">
        <f>-bthan*500+(43+0.5)*bthan*1000/50</f>
        <v>2035</v>
      </c>
      <c r="C3649" s="52">
        <f t="shared" si="331"/>
        <v>650</v>
      </c>
      <c r="D3649" s="52">
        <f t="shared" si="328"/>
        <v>2200</v>
      </c>
      <c r="E3649" s="52">
        <f t="shared" si="329"/>
        <v>1</v>
      </c>
      <c r="F3649" s="52"/>
      <c r="G3649" s="52"/>
      <c r="H3649" s="52"/>
      <c r="I3649" s="52"/>
      <c r="J3649" s="52"/>
      <c r="K3649" s="52"/>
      <c r="L3649" s="52"/>
      <c r="M3649" s="52"/>
      <c r="N3649" s="52"/>
      <c r="O3649" s="52"/>
      <c r="P3649" s="52"/>
      <c r="Q3649" s="52"/>
      <c r="R3649" s="52"/>
      <c r="S3649" s="52"/>
      <c r="T3649" s="52"/>
      <c r="U3649" s="52"/>
      <c r="V3649" s="52"/>
      <c r="W3649" s="52"/>
      <c r="X3649" s="52"/>
      <c r="Y3649" s="52"/>
      <c r="Z3649" s="52"/>
      <c r="AA3649" s="52"/>
      <c r="AB3649" s="52"/>
      <c r="AC3649" s="52"/>
      <c r="AD3649" s="52"/>
      <c r="AE3649" s="52"/>
      <c r="AF3649" s="52"/>
      <c r="AG3649" s="52"/>
      <c r="AH3649" s="52"/>
      <c r="AI3649" s="52"/>
      <c r="AJ3649" s="52"/>
      <c r="AK3649" s="52"/>
      <c r="AL3649" s="52"/>
      <c r="AM3649" s="52"/>
      <c r="AN3649" s="52"/>
    </row>
    <row r="3650" spans="1:40" x14ac:dyDescent="0.3">
      <c r="A3650" s="52">
        <v>3645</v>
      </c>
      <c r="B3650" s="52">
        <f>-bthan*500+(44+0.5)*bthan*1000/50</f>
        <v>2145</v>
      </c>
      <c r="C3650" s="52">
        <f t="shared" si="331"/>
        <v>650</v>
      </c>
      <c r="D3650" s="52">
        <f t="shared" si="328"/>
        <v>2200</v>
      </c>
      <c r="E3650" s="52">
        <f t="shared" si="329"/>
        <v>1</v>
      </c>
      <c r="F3650" s="52"/>
      <c r="G3650" s="52"/>
      <c r="H3650" s="52"/>
      <c r="I3650" s="52"/>
      <c r="J3650" s="52"/>
      <c r="K3650" s="52"/>
      <c r="L3650" s="52"/>
      <c r="M3650" s="52"/>
      <c r="N3650" s="52"/>
      <c r="O3650" s="52"/>
      <c r="P3650" s="52"/>
      <c r="Q3650" s="52"/>
      <c r="R3650" s="52"/>
      <c r="S3650" s="52"/>
      <c r="T3650" s="52"/>
      <c r="U3650" s="52"/>
      <c r="V3650" s="52"/>
      <c r="W3650" s="52"/>
      <c r="X3650" s="52"/>
      <c r="Y3650" s="52"/>
      <c r="Z3650" s="52"/>
      <c r="AA3650" s="52"/>
      <c r="AB3650" s="52"/>
      <c r="AC3650" s="52"/>
      <c r="AD3650" s="52"/>
      <c r="AE3650" s="52"/>
      <c r="AF3650" s="52"/>
      <c r="AG3650" s="52"/>
      <c r="AH3650" s="52"/>
      <c r="AI3650" s="52"/>
      <c r="AJ3650" s="52"/>
      <c r="AK3650" s="52"/>
      <c r="AL3650" s="52"/>
      <c r="AM3650" s="52"/>
      <c r="AN3650" s="52"/>
    </row>
    <row r="3651" spans="1:40" x14ac:dyDescent="0.3">
      <c r="A3651" s="52">
        <v>3646</v>
      </c>
      <c r="B3651" s="52">
        <f>-bthan*500+(45+0.5)*bthan*1000/50</f>
        <v>2255</v>
      </c>
      <c r="C3651" s="52">
        <f t="shared" si="331"/>
        <v>650</v>
      </c>
      <c r="D3651" s="52">
        <f t="shared" si="328"/>
        <v>2200</v>
      </c>
      <c r="E3651" s="52">
        <f t="shared" si="329"/>
        <v>1</v>
      </c>
      <c r="F3651" s="52"/>
      <c r="G3651" s="52"/>
      <c r="H3651" s="52"/>
      <c r="I3651" s="52"/>
      <c r="J3651" s="52"/>
      <c r="K3651" s="52"/>
      <c r="L3651" s="52"/>
      <c r="M3651" s="52"/>
      <c r="N3651" s="52"/>
      <c r="O3651" s="52"/>
      <c r="P3651" s="52"/>
      <c r="Q3651" s="52"/>
      <c r="R3651" s="52"/>
      <c r="S3651" s="52"/>
      <c r="T3651" s="52"/>
      <c r="U3651" s="52"/>
      <c r="V3651" s="52"/>
      <c r="W3651" s="52"/>
      <c r="X3651" s="52"/>
      <c r="Y3651" s="52"/>
      <c r="Z3651" s="52"/>
      <c r="AA3651" s="52"/>
      <c r="AB3651" s="52"/>
      <c r="AC3651" s="52"/>
      <c r="AD3651" s="52"/>
      <c r="AE3651" s="52"/>
      <c r="AF3651" s="52"/>
      <c r="AG3651" s="52"/>
      <c r="AH3651" s="52"/>
      <c r="AI3651" s="52"/>
      <c r="AJ3651" s="52"/>
      <c r="AK3651" s="52"/>
      <c r="AL3651" s="52"/>
      <c r="AM3651" s="52"/>
      <c r="AN3651" s="52"/>
    </row>
    <row r="3652" spans="1:40" x14ac:dyDescent="0.3">
      <c r="A3652" s="52">
        <v>3647</v>
      </c>
      <c r="B3652" s="52">
        <f>-bthan*500+(46+0.5)*bthan*1000/50</f>
        <v>2365</v>
      </c>
      <c r="C3652" s="52">
        <f t="shared" si="331"/>
        <v>650</v>
      </c>
      <c r="D3652" s="52">
        <f t="shared" si="328"/>
        <v>2200</v>
      </c>
      <c r="E3652" s="52">
        <f t="shared" si="329"/>
        <v>1</v>
      </c>
      <c r="F3652" s="52"/>
      <c r="G3652" s="52"/>
      <c r="H3652" s="52"/>
      <c r="I3652" s="52"/>
      <c r="J3652" s="52"/>
      <c r="K3652" s="52"/>
      <c r="L3652" s="52"/>
      <c r="M3652" s="52"/>
      <c r="N3652" s="52"/>
      <c r="O3652" s="52"/>
      <c r="P3652" s="52"/>
      <c r="Q3652" s="52"/>
      <c r="R3652" s="52"/>
      <c r="S3652" s="52"/>
      <c r="T3652" s="52"/>
      <c r="U3652" s="52"/>
      <c r="V3652" s="52"/>
      <c r="W3652" s="52"/>
      <c r="X3652" s="52"/>
      <c r="Y3652" s="52"/>
      <c r="Z3652" s="52"/>
      <c r="AA3652" s="52"/>
      <c r="AB3652" s="52"/>
      <c r="AC3652" s="52"/>
      <c r="AD3652" s="52"/>
      <c r="AE3652" s="52"/>
      <c r="AF3652" s="52"/>
      <c r="AG3652" s="52"/>
      <c r="AH3652" s="52"/>
      <c r="AI3652" s="52"/>
      <c r="AJ3652" s="52"/>
      <c r="AK3652" s="52"/>
      <c r="AL3652" s="52"/>
      <c r="AM3652" s="52"/>
      <c r="AN3652" s="52"/>
    </row>
    <row r="3653" spans="1:40" x14ac:dyDescent="0.3">
      <c r="A3653" s="52">
        <v>3648</v>
      </c>
      <c r="B3653" s="52">
        <f>-bthan*500+(47+0.5)*bthan*1000/50</f>
        <v>2475</v>
      </c>
      <c r="C3653" s="52">
        <f t="shared" si="331"/>
        <v>650</v>
      </c>
      <c r="D3653" s="52">
        <f t="shared" si="328"/>
        <v>2200</v>
      </c>
      <c r="E3653" s="52">
        <f t="shared" si="329"/>
        <v>0</v>
      </c>
      <c r="F3653" s="52"/>
      <c r="G3653" s="52"/>
      <c r="H3653" s="52"/>
      <c r="I3653" s="52"/>
      <c r="J3653" s="52"/>
      <c r="K3653" s="52"/>
      <c r="L3653" s="52"/>
      <c r="M3653" s="52"/>
      <c r="N3653" s="52"/>
      <c r="O3653" s="52"/>
      <c r="P3653" s="52"/>
      <c r="Q3653" s="52"/>
      <c r="R3653" s="52"/>
      <c r="S3653" s="52"/>
      <c r="T3653" s="52"/>
      <c r="U3653" s="52"/>
      <c r="V3653" s="52"/>
      <c r="W3653" s="52"/>
      <c r="X3653" s="52"/>
      <c r="Y3653" s="52"/>
      <c r="Z3653" s="52"/>
      <c r="AA3653" s="52"/>
      <c r="AB3653" s="52"/>
      <c r="AC3653" s="52"/>
      <c r="AD3653" s="52"/>
      <c r="AE3653" s="52"/>
      <c r="AF3653" s="52"/>
      <c r="AG3653" s="52"/>
      <c r="AH3653" s="52"/>
      <c r="AI3653" s="52"/>
      <c r="AJ3653" s="52"/>
      <c r="AK3653" s="52"/>
      <c r="AL3653" s="52"/>
      <c r="AM3653" s="52"/>
      <c r="AN3653" s="52"/>
    </row>
    <row r="3654" spans="1:40" x14ac:dyDescent="0.3">
      <c r="A3654" s="52">
        <v>3649</v>
      </c>
      <c r="B3654" s="52">
        <f>-bthan*500+(48+0.5)*bthan*1000/50</f>
        <v>2585</v>
      </c>
      <c r="C3654" s="52">
        <f t="shared" si="331"/>
        <v>650</v>
      </c>
      <c r="D3654" s="52">
        <f t="shared" ref="D3654:D3717" si="332">bthan*1000/50*hthan*1000/80</f>
        <v>2200</v>
      </c>
      <c r="E3654" s="52">
        <f t="shared" ref="E3654:E3717" si="333">IF(shp=1,--(OR(ABS(B3654)&lt;=MAX(0,(bthan-hthan)*500),(ABS(B3654)-MAX(0,(bthan-hthan)*500))^2+C3654^2&lt;=(hthan*500)^2)),--(AND(ABS(B3654)&lt;=bthan*500,ABS(C3654)&lt;=hthan*500,OR(ABS(B3654)&lt;=bthan*500-cch*1000,ABS(C3654)&lt;=hthan*500-cch*1000,(bthan*500-ABS(B3654))+(hthan*500-ABS(C3654))&gt;=cch*1000))))</f>
        <v>0</v>
      </c>
      <c r="F3654" s="52"/>
      <c r="G3654" s="52"/>
      <c r="H3654" s="52"/>
      <c r="I3654" s="52"/>
      <c r="J3654" s="52"/>
      <c r="K3654" s="52"/>
      <c r="L3654" s="52"/>
      <c r="M3654" s="52"/>
      <c r="N3654" s="52"/>
      <c r="O3654" s="52"/>
      <c r="P3654" s="52"/>
      <c r="Q3654" s="52"/>
      <c r="R3654" s="52"/>
      <c r="S3654" s="52"/>
      <c r="T3654" s="52"/>
      <c r="U3654" s="52"/>
      <c r="V3654" s="52"/>
      <c r="W3654" s="52"/>
      <c r="X3654" s="52"/>
      <c r="Y3654" s="52"/>
      <c r="Z3654" s="52"/>
      <c r="AA3654" s="52"/>
      <c r="AB3654" s="52"/>
      <c r="AC3654" s="52"/>
      <c r="AD3654" s="52"/>
      <c r="AE3654" s="52"/>
      <c r="AF3654" s="52"/>
      <c r="AG3654" s="52"/>
      <c r="AH3654" s="52"/>
      <c r="AI3654" s="52"/>
      <c r="AJ3654" s="52"/>
      <c r="AK3654" s="52"/>
      <c r="AL3654" s="52"/>
      <c r="AM3654" s="52"/>
      <c r="AN3654" s="52"/>
    </row>
    <row r="3655" spans="1:40" x14ac:dyDescent="0.3">
      <c r="A3655" s="52">
        <v>3650</v>
      </c>
      <c r="B3655" s="52">
        <f>-bthan*500+(49+0.5)*bthan*1000/50</f>
        <v>2695</v>
      </c>
      <c r="C3655" s="52">
        <f t="shared" si="331"/>
        <v>650</v>
      </c>
      <c r="D3655" s="52">
        <f t="shared" si="332"/>
        <v>2200</v>
      </c>
      <c r="E3655" s="52">
        <f t="shared" si="333"/>
        <v>0</v>
      </c>
      <c r="F3655" s="52"/>
      <c r="G3655" s="52"/>
      <c r="H3655" s="52"/>
      <c r="I3655" s="52"/>
      <c r="J3655" s="52"/>
      <c r="K3655" s="52"/>
      <c r="L3655" s="52"/>
      <c r="M3655" s="52"/>
      <c r="N3655" s="52"/>
      <c r="O3655" s="52"/>
      <c r="P3655" s="52"/>
      <c r="Q3655" s="52"/>
      <c r="R3655" s="52"/>
      <c r="S3655" s="52"/>
      <c r="T3655" s="52"/>
      <c r="U3655" s="52"/>
      <c r="V3655" s="52"/>
      <c r="W3655" s="52"/>
      <c r="X3655" s="52"/>
      <c r="Y3655" s="52"/>
      <c r="Z3655" s="52"/>
      <c r="AA3655" s="52"/>
      <c r="AB3655" s="52"/>
      <c r="AC3655" s="52"/>
      <c r="AD3655" s="52"/>
      <c r="AE3655" s="52"/>
      <c r="AF3655" s="52"/>
      <c r="AG3655" s="52"/>
      <c r="AH3655" s="52"/>
      <c r="AI3655" s="52"/>
      <c r="AJ3655" s="52"/>
      <c r="AK3655" s="52"/>
      <c r="AL3655" s="52"/>
      <c r="AM3655" s="52"/>
      <c r="AN3655" s="52"/>
    </row>
    <row r="3656" spans="1:40" x14ac:dyDescent="0.3">
      <c r="A3656" s="52">
        <v>3651</v>
      </c>
      <c r="B3656" s="52">
        <f>-bthan*500+(0+0.5)*bthan*1000/50</f>
        <v>-2695</v>
      </c>
      <c r="C3656" s="52">
        <f t="shared" ref="C3656:C3687" si="334">-hthan*500+(73+0.5)*hthan*1000/80</f>
        <v>670.00000000000023</v>
      </c>
      <c r="D3656" s="52">
        <f t="shared" si="332"/>
        <v>2200</v>
      </c>
      <c r="E3656" s="52">
        <f t="shared" si="333"/>
        <v>0</v>
      </c>
      <c r="F3656" s="52"/>
      <c r="G3656" s="52"/>
      <c r="H3656" s="52"/>
      <c r="I3656" s="52"/>
      <c r="J3656" s="52"/>
      <c r="K3656" s="52"/>
      <c r="L3656" s="52"/>
      <c r="M3656" s="52"/>
      <c r="N3656" s="52"/>
      <c r="O3656" s="52"/>
      <c r="P3656" s="52"/>
      <c r="Q3656" s="52"/>
      <c r="R3656" s="52"/>
      <c r="S3656" s="52"/>
      <c r="T3656" s="52"/>
      <c r="U3656" s="52"/>
      <c r="V3656" s="52"/>
      <c r="W3656" s="52"/>
      <c r="X3656" s="52"/>
      <c r="Y3656" s="52"/>
      <c r="Z3656" s="52"/>
      <c r="AA3656" s="52"/>
      <c r="AB3656" s="52"/>
      <c r="AC3656" s="52"/>
      <c r="AD3656" s="52"/>
      <c r="AE3656" s="52"/>
      <c r="AF3656" s="52"/>
      <c r="AG3656" s="52"/>
      <c r="AH3656" s="52"/>
      <c r="AI3656" s="52"/>
      <c r="AJ3656" s="52"/>
      <c r="AK3656" s="52"/>
      <c r="AL3656" s="52"/>
      <c r="AM3656" s="52"/>
      <c r="AN3656" s="52"/>
    </row>
    <row r="3657" spans="1:40" x14ac:dyDescent="0.3">
      <c r="A3657" s="52">
        <v>3652</v>
      </c>
      <c r="B3657" s="52">
        <f>-bthan*500+(1+0.5)*bthan*1000/50</f>
        <v>-2585</v>
      </c>
      <c r="C3657" s="52">
        <f t="shared" si="334"/>
        <v>670.00000000000023</v>
      </c>
      <c r="D3657" s="52">
        <f t="shared" si="332"/>
        <v>2200</v>
      </c>
      <c r="E3657" s="52">
        <f t="shared" si="333"/>
        <v>0</v>
      </c>
      <c r="F3657" s="52"/>
      <c r="G3657" s="52"/>
      <c r="H3657" s="52"/>
      <c r="I3657" s="52"/>
      <c r="J3657" s="52"/>
      <c r="K3657" s="52"/>
      <c r="L3657" s="52"/>
      <c r="M3657" s="52"/>
      <c r="N3657" s="52"/>
      <c r="O3657" s="52"/>
      <c r="P3657" s="52"/>
      <c r="Q3657" s="52"/>
      <c r="R3657" s="52"/>
      <c r="S3657" s="52"/>
      <c r="T3657" s="52"/>
      <c r="U3657" s="52"/>
      <c r="V3657" s="52"/>
      <c r="W3657" s="52"/>
      <c r="X3657" s="52"/>
      <c r="Y3657" s="52"/>
      <c r="Z3657" s="52"/>
      <c r="AA3657" s="52"/>
      <c r="AB3657" s="52"/>
      <c r="AC3657" s="52"/>
      <c r="AD3657" s="52"/>
      <c r="AE3657" s="52"/>
      <c r="AF3657" s="52"/>
      <c r="AG3657" s="52"/>
      <c r="AH3657" s="52"/>
      <c r="AI3657" s="52"/>
      <c r="AJ3657" s="52"/>
      <c r="AK3657" s="52"/>
      <c r="AL3657" s="52"/>
      <c r="AM3657" s="52"/>
      <c r="AN3657" s="52"/>
    </row>
    <row r="3658" spans="1:40" x14ac:dyDescent="0.3">
      <c r="A3658" s="52">
        <v>3653</v>
      </c>
      <c r="B3658" s="52">
        <f>-bthan*500+(2+0.5)*bthan*1000/50</f>
        <v>-2475</v>
      </c>
      <c r="C3658" s="52">
        <f t="shared" si="334"/>
        <v>670.00000000000023</v>
      </c>
      <c r="D3658" s="52">
        <f t="shared" si="332"/>
        <v>2200</v>
      </c>
      <c r="E3658" s="52">
        <f t="shared" si="333"/>
        <v>0</v>
      </c>
      <c r="F3658" s="52"/>
      <c r="G3658" s="52"/>
      <c r="H3658" s="52"/>
      <c r="I3658" s="52"/>
      <c r="J3658" s="52"/>
      <c r="K3658" s="52"/>
      <c r="L3658" s="52"/>
      <c r="M3658" s="52"/>
      <c r="N3658" s="52"/>
      <c r="O3658" s="52"/>
      <c r="P3658" s="52"/>
      <c r="Q3658" s="52"/>
      <c r="R3658" s="52"/>
      <c r="S3658" s="52"/>
      <c r="T3658" s="52"/>
      <c r="U3658" s="52"/>
      <c r="V3658" s="52"/>
      <c r="W3658" s="52"/>
      <c r="X3658" s="52"/>
      <c r="Y3658" s="52"/>
      <c r="Z3658" s="52"/>
      <c r="AA3658" s="52"/>
      <c r="AB3658" s="52"/>
      <c r="AC3658" s="52"/>
      <c r="AD3658" s="52"/>
      <c r="AE3658" s="52"/>
      <c r="AF3658" s="52"/>
      <c r="AG3658" s="52"/>
      <c r="AH3658" s="52"/>
      <c r="AI3658" s="52"/>
      <c r="AJ3658" s="52"/>
      <c r="AK3658" s="52"/>
      <c r="AL3658" s="52"/>
      <c r="AM3658" s="52"/>
      <c r="AN3658" s="52"/>
    </row>
    <row r="3659" spans="1:40" x14ac:dyDescent="0.3">
      <c r="A3659" s="52">
        <v>3654</v>
      </c>
      <c r="B3659" s="52">
        <f>-bthan*500+(3+0.5)*bthan*1000/50</f>
        <v>-2365</v>
      </c>
      <c r="C3659" s="52">
        <f t="shared" si="334"/>
        <v>670.00000000000023</v>
      </c>
      <c r="D3659" s="52">
        <f t="shared" si="332"/>
        <v>2200</v>
      </c>
      <c r="E3659" s="52">
        <f t="shared" si="333"/>
        <v>1</v>
      </c>
      <c r="F3659" s="52"/>
      <c r="G3659" s="52"/>
      <c r="H3659" s="52"/>
      <c r="I3659" s="52"/>
      <c r="J3659" s="52"/>
      <c r="K3659" s="52"/>
      <c r="L3659" s="52"/>
      <c r="M3659" s="52"/>
      <c r="N3659" s="52"/>
      <c r="O3659" s="52"/>
      <c r="P3659" s="52"/>
      <c r="Q3659" s="52"/>
      <c r="R3659" s="52"/>
      <c r="S3659" s="52"/>
      <c r="T3659" s="52"/>
      <c r="U3659" s="52"/>
      <c r="V3659" s="52"/>
      <c r="W3659" s="52"/>
      <c r="X3659" s="52"/>
      <c r="Y3659" s="52"/>
      <c r="Z3659" s="52"/>
      <c r="AA3659" s="52"/>
      <c r="AB3659" s="52"/>
      <c r="AC3659" s="52"/>
      <c r="AD3659" s="52"/>
      <c r="AE3659" s="52"/>
      <c r="AF3659" s="52"/>
      <c r="AG3659" s="52"/>
      <c r="AH3659" s="52"/>
      <c r="AI3659" s="52"/>
      <c r="AJ3659" s="52"/>
      <c r="AK3659" s="52"/>
      <c r="AL3659" s="52"/>
      <c r="AM3659" s="52"/>
      <c r="AN3659" s="52"/>
    </row>
    <row r="3660" spans="1:40" x14ac:dyDescent="0.3">
      <c r="A3660" s="52">
        <v>3655</v>
      </c>
      <c r="B3660" s="52">
        <f>-bthan*500+(4+0.5)*bthan*1000/50</f>
        <v>-2255</v>
      </c>
      <c r="C3660" s="52">
        <f t="shared" si="334"/>
        <v>670.00000000000023</v>
      </c>
      <c r="D3660" s="52">
        <f t="shared" si="332"/>
        <v>2200</v>
      </c>
      <c r="E3660" s="52">
        <f t="shared" si="333"/>
        <v>1</v>
      </c>
      <c r="F3660" s="52"/>
      <c r="G3660" s="52"/>
      <c r="H3660" s="52"/>
      <c r="I3660" s="52"/>
      <c r="J3660" s="52"/>
      <c r="K3660" s="52"/>
      <c r="L3660" s="52"/>
      <c r="M3660" s="52"/>
      <c r="N3660" s="52"/>
      <c r="O3660" s="52"/>
      <c r="P3660" s="52"/>
      <c r="Q3660" s="52"/>
      <c r="R3660" s="52"/>
      <c r="S3660" s="52"/>
      <c r="T3660" s="52"/>
      <c r="U3660" s="52"/>
      <c r="V3660" s="52"/>
      <c r="W3660" s="52"/>
      <c r="X3660" s="52"/>
      <c r="Y3660" s="52"/>
      <c r="Z3660" s="52"/>
      <c r="AA3660" s="52"/>
      <c r="AB3660" s="52"/>
      <c r="AC3660" s="52"/>
      <c r="AD3660" s="52"/>
      <c r="AE3660" s="52"/>
      <c r="AF3660" s="52"/>
      <c r="AG3660" s="52"/>
      <c r="AH3660" s="52"/>
      <c r="AI3660" s="52"/>
      <c r="AJ3660" s="52"/>
      <c r="AK3660" s="52"/>
      <c r="AL3660" s="52"/>
      <c r="AM3660" s="52"/>
      <c r="AN3660" s="52"/>
    </row>
    <row r="3661" spans="1:40" x14ac:dyDescent="0.3">
      <c r="A3661" s="52">
        <v>3656</v>
      </c>
      <c r="B3661" s="52">
        <f>-bthan*500+(5+0.5)*bthan*1000/50</f>
        <v>-2145</v>
      </c>
      <c r="C3661" s="52">
        <f t="shared" si="334"/>
        <v>670.00000000000023</v>
      </c>
      <c r="D3661" s="52">
        <f t="shared" si="332"/>
        <v>2200</v>
      </c>
      <c r="E3661" s="52">
        <f t="shared" si="333"/>
        <v>1</v>
      </c>
      <c r="F3661" s="52"/>
      <c r="G3661" s="52"/>
      <c r="H3661" s="52"/>
      <c r="I3661" s="52"/>
      <c r="J3661" s="52"/>
      <c r="K3661" s="52"/>
      <c r="L3661" s="52"/>
      <c r="M3661" s="52"/>
      <c r="N3661" s="52"/>
      <c r="O3661" s="52"/>
      <c r="P3661" s="52"/>
      <c r="Q3661" s="52"/>
      <c r="R3661" s="52"/>
      <c r="S3661" s="52"/>
      <c r="T3661" s="52"/>
      <c r="U3661" s="52"/>
      <c r="V3661" s="52"/>
      <c r="W3661" s="52"/>
      <c r="X3661" s="52"/>
      <c r="Y3661" s="52"/>
      <c r="Z3661" s="52"/>
      <c r="AA3661" s="52"/>
      <c r="AB3661" s="52"/>
      <c r="AC3661" s="52"/>
      <c r="AD3661" s="52"/>
      <c r="AE3661" s="52"/>
      <c r="AF3661" s="52"/>
      <c r="AG3661" s="52"/>
      <c r="AH3661" s="52"/>
      <c r="AI3661" s="52"/>
      <c r="AJ3661" s="52"/>
      <c r="AK3661" s="52"/>
      <c r="AL3661" s="52"/>
      <c r="AM3661" s="52"/>
      <c r="AN3661" s="52"/>
    </row>
    <row r="3662" spans="1:40" x14ac:dyDescent="0.3">
      <c r="A3662" s="52">
        <v>3657</v>
      </c>
      <c r="B3662" s="52">
        <f>-bthan*500+(6+0.5)*bthan*1000/50</f>
        <v>-2035</v>
      </c>
      <c r="C3662" s="52">
        <f t="shared" si="334"/>
        <v>670.00000000000023</v>
      </c>
      <c r="D3662" s="52">
        <f t="shared" si="332"/>
        <v>2200</v>
      </c>
      <c r="E3662" s="52">
        <f t="shared" si="333"/>
        <v>1</v>
      </c>
      <c r="F3662" s="52"/>
      <c r="G3662" s="52"/>
      <c r="H3662" s="52"/>
      <c r="I3662" s="52"/>
      <c r="J3662" s="52"/>
      <c r="K3662" s="52"/>
      <c r="L3662" s="52"/>
      <c r="M3662" s="52"/>
      <c r="N3662" s="52"/>
      <c r="O3662" s="52"/>
      <c r="P3662" s="52"/>
      <c r="Q3662" s="52"/>
      <c r="R3662" s="52"/>
      <c r="S3662" s="52"/>
      <c r="T3662" s="52"/>
      <c r="U3662" s="52"/>
      <c r="V3662" s="52"/>
      <c r="W3662" s="52"/>
      <c r="X3662" s="52"/>
      <c r="Y3662" s="52"/>
      <c r="Z3662" s="52"/>
      <c r="AA3662" s="52"/>
      <c r="AB3662" s="52"/>
      <c r="AC3662" s="52"/>
      <c r="AD3662" s="52"/>
      <c r="AE3662" s="52"/>
      <c r="AF3662" s="52"/>
      <c r="AG3662" s="52"/>
      <c r="AH3662" s="52"/>
      <c r="AI3662" s="52"/>
      <c r="AJ3662" s="52"/>
      <c r="AK3662" s="52"/>
      <c r="AL3662" s="52"/>
      <c r="AM3662" s="52"/>
      <c r="AN3662" s="52"/>
    </row>
    <row r="3663" spans="1:40" x14ac:dyDescent="0.3">
      <c r="A3663" s="52">
        <v>3658</v>
      </c>
      <c r="B3663" s="52">
        <f>-bthan*500+(7+0.5)*bthan*1000/50</f>
        <v>-1925</v>
      </c>
      <c r="C3663" s="52">
        <f t="shared" si="334"/>
        <v>670.00000000000023</v>
      </c>
      <c r="D3663" s="52">
        <f t="shared" si="332"/>
        <v>2200</v>
      </c>
      <c r="E3663" s="52">
        <f t="shared" si="333"/>
        <v>1</v>
      </c>
      <c r="F3663" s="52"/>
      <c r="G3663" s="52"/>
      <c r="H3663" s="52"/>
      <c r="I3663" s="52"/>
      <c r="J3663" s="52"/>
      <c r="K3663" s="52"/>
      <c r="L3663" s="52"/>
      <c r="M3663" s="52"/>
      <c r="N3663" s="52"/>
      <c r="O3663" s="52"/>
      <c r="P3663" s="52"/>
      <c r="Q3663" s="52"/>
      <c r="R3663" s="52"/>
      <c r="S3663" s="52"/>
      <c r="T3663" s="52"/>
      <c r="U3663" s="52"/>
      <c r="V3663" s="52"/>
      <c r="W3663" s="52"/>
      <c r="X3663" s="52"/>
      <c r="Y3663" s="52"/>
      <c r="Z3663" s="52"/>
      <c r="AA3663" s="52"/>
      <c r="AB3663" s="52"/>
      <c r="AC3663" s="52"/>
      <c r="AD3663" s="52"/>
      <c r="AE3663" s="52"/>
      <c r="AF3663" s="52"/>
      <c r="AG3663" s="52"/>
      <c r="AH3663" s="52"/>
      <c r="AI3663" s="52"/>
      <c r="AJ3663" s="52"/>
      <c r="AK3663" s="52"/>
      <c r="AL3663" s="52"/>
      <c r="AM3663" s="52"/>
      <c r="AN3663" s="52"/>
    </row>
    <row r="3664" spans="1:40" x14ac:dyDescent="0.3">
      <c r="A3664" s="52">
        <v>3659</v>
      </c>
      <c r="B3664" s="52">
        <f>-bthan*500+(8+0.5)*bthan*1000/50</f>
        <v>-1815</v>
      </c>
      <c r="C3664" s="52">
        <f t="shared" si="334"/>
        <v>670.00000000000023</v>
      </c>
      <c r="D3664" s="52">
        <f t="shared" si="332"/>
        <v>2200</v>
      </c>
      <c r="E3664" s="52">
        <f t="shared" si="333"/>
        <v>1</v>
      </c>
      <c r="F3664" s="52"/>
      <c r="G3664" s="52"/>
      <c r="H3664" s="52"/>
      <c r="I3664" s="52"/>
      <c r="J3664" s="52"/>
      <c r="K3664" s="52"/>
      <c r="L3664" s="52"/>
      <c r="M3664" s="52"/>
      <c r="N3664" s="52"/>
      <c r="O3664" s="52"/>
      <c r="P3664" s="52"/>
      <c r="Q3664" s="52"/>
      <c r="R3664" s="52"/>
      <c r="S3664" s="52"/>
      <c r="T3664" s="52"/>
      <c r="U3664" s="52"/>
      <c r="V3664" s="52"/>
      <c r="W3664" s="52"/>
      <c r="X3664" s="52"/>
      <c r="Y3664" s="52"/>
      <c r="Z3664" s="52"/>
      <c r="AA3664" s="52"/>
      <c r="AB3664" s="52"/>
      <c r="AC3664" s="52"/>
      <c r="AD3664" s="52"/>
      <c r="AE3664" s="52"/>
      <c r="AF3664" s="52"/>
      <c r="AG3664" s="52"/>
      <c r="AH3664" s="52"/>
      <c r="AI3664" s="52"/>
      <c r="AJ3664" s="52"/>
      <c r="AK3664" s="52"/>
      <c r="AL3664" s="52"/>
      <c r="AM3664" s="52"/>
      <c r="AN3664" s="52"/>
    </row>
    <row r="3665" spans="1:40" x14ac:dyDescent="0.3">
      <c r="A3665" s="52">
        <v>3660</v>
      </c>
      <c r="B3665" s="52">
        <f>-bthan*500+(9+0.5)*bthan*1000/50</f>
        <v>-1705</v>
      </c>
      <c r="C3665" s="52">
        <f t="shared" si="334"/>
        <v>670.00000000000023</v>
      </c>
      <c r="D3665" s="52">
        <f t="shared" si="332"/>
        <v>2200</v>
      </c>
      <c r="E3665" s="52">
        <f t="shared" si="333"/>
        <v>1</v>
      </c>
      <c r="F3665" s="52"/>
      <c r="G3665" s="52"/>
      <c r="H3665" s="52"/>
      <c r="I3665" s="52"/>
      <c r="J3665" s="52"/>
      <c r="K3665" s="52"/>
      <c r="L3665" s="52"/>
      <c r="M3665" s="52"/>
      <c r="N3665" s="52"/>
      <c r="O3665" s="52"/>
      <c r="P3665" s="52"/>
      <c r="Q3665" s="52"/>
      <c r="R3665" s="52"/>
      <c r="S3665" s="52"/>
      <c r="T3665" s="52"/>
      <c r="U3665" s="52"/>
      <c r="V3665" s="52"/>
      <c r="W3665" s="52"/>
      <c r="X3665" s="52"/>
      <c r="Y3665" s="52"/>
      <c r="Z3665" s="52"/>
      <c r="AA3665" s="52"/>
      <c r="AB3665" s="52"/>
      <c r="AC3665" s="52"/>
      <c r="AD3665" s="52"/>
      <c r="AE3665" s="52"/>
      <c r="AF3665" s="52"/>
      <c r="AG3665" s="52"/>
      <c r="AH3665" s="52"/>
      <c r="AI3665" s="52"/>
      <c r="AJ3665" s="52"/>
      <c r="AK3665" s="52"/>
      <c r="AL3665" s="52"/>
      <c r="AM3665" s="52"/>
      <c r="AN3665" s="52"/>
    </row>
    <row r="3666" spans="1:40" x14ac:dyDescent="0.3">
      <c r="A3666" s="52">
        <v>3661</v>
      </c>
      <c r="B3666" s="52">
        <f>-bthan*500+(10+0.5)*bthan*1000/50</f>
        <v>-1595</v>
      </c>
      <c r="C3666" s="52">
        <f t="shared" si="334"/>
        <v>670.00000000000023</v>
      </c>
      <c r="D3666" s="52">
        <f t="shared" si="332"/>
        <v>2200</v>
      </c>
      <c r="E3666" s="52">
        <f t="shared" si="333"/>
        <v>1</v>
      </c>
      <c r="F3666" s="52"/>
      <c r="G3666" s="52"/>
      <c r="H3666" s="52"/>
      <c r="I3666" s="52"/>
      <c r="J3666" s="52"/>
      <c r="K3666" s="52"/>
      <c r="L3666" s="52"/>
      <c r="M3666" s="52"/>
      <c r="N3666" s="52"/>
      <c r="O3666" s="52"/>
      <c r="P3666" s="52"/>
      <c r="Q3666" s="52"/>
      <c r="R3666" s="52"/>
      <c r="S3666" s="52"/>
      <c r="T3666" s="52"/>
      <c r="U3666" s="52"/>
      <c r="V3666" s="52"/>
      <c r="W3666" s="52"/>
      <c r="X3666" s="52"/>
      <c r="Y3666" s="52"/>
      <c r="Z3666" s="52"/>
      <c r="AA3666" s="52"/>
      <c r="AB3666" s="52"/>
      <c r="AC3666" s="52"/>
      <c r="AD3666" s="52"/>
      <c r="AE3666" s="52"/>
      <c r="AF3666" s="52"/>
      <c r="AG3666" s="52"/>
      <c r="AH3666" s="52"/>
      <c r="AI3666" s="52"/>
      <c r="AJ3666" s="52"/>
      <c r="AK3666" s="52"/>
      <c r="AL3666" s="52"/>
      <c r="AM3666" s="52"/>
      <c r="AN3666" s="52"/>
    </row>
    <row r="3667" spans="1:40" x14ac:dyDescent="0.3">
      <c r="A3667" s="52">
        <v>3662</v>
      </c>
      <c r="B3667" s="52">
        <f>-bthan*500+(11+0.5)*bthan*1000/50</f>
        <v>-1485</v>
      </c>
      <c r="C3667" s="52">
        <f t="shared" si="334"/>
        <v>670.00000000000023</v>
      </c>
      <c r="D3667" s="52">
        <f t="shared" si="332"/>
        <v>2200</v>
      </c>
      <c r="E3667" s="52">
        <f t="shared" si="333"/>
        <v>1</v>
      </c>
      <c r="F3667" s="52"/>
      <c r="G3667" s="52"/>
      <c r="H3667" s="52"/>
      <c r="I3667" s="52"/>
      <c r="J3667" s="52"/>
      <c r="K3667" s="52"/>
      <c r="L3667" s="52"/>
      <c r="M3667" s="52"/>
      <c r="N3667" s="52"/>
      <c r="O3667" s="52"/>
      <c r="P3667" s="52"/>
      <c r="Q3667" s="52"/>
      <c r="R3667" s="52"/>
      <c r="S3667" s="52"/>
      <c r="T3667" s="52"/>
      <c r="U3667" s="52"/>
      <c r="V3667" s="52"/>
      <c r="W3667" s="52"/>
      <c r="X3667" s="52"/>
      <c r="Y3667" s="52"/>
      <c r="Z3667" s="52"/>
      <c r="AA3667" s="52"/>
      <c r="AB3667" s="52"/>
      <c r="AC3667" s="52"/>
      <c r="AD3667" s="52"/>
      <c r="AE3667" s="52"/>
      <c r="AF3667" s="52"/>
      <c r="AG3667" s="52"/>
      <c r="AH3667" s="52"/>
      <c r="AI3667" s="52"/>
      <c r="AJ3667" s="52"/>
      <c r="AK3667" s="52"/>
      <c r="AL3667" s="52"/>
      <c r="AM3667" s="52"/>
      <c r="AN3667" s="52"/>
    </row>
    <row r="3668" spans="1:40" x14ac:dyDescent="0.3">
      <c r="A3668" s="52">
        <v>3663</v>
      </c>
      <c r="B3668" s="52">
        <f>-bthan*500+(12+0.5)*bthan*1000/50</f>
        <v>-1375</v>
      </c>
      <c r="C3668" s="52">
        <f t="shared" si="334"/>
        <v>670.00000000000023</v>
      </c>
      <c r="D3668" s="52">
        <f t="shared" si="332"/>
        <v>2200</v>
      </c>
      <c r="E3668" s="52">
        <f t="shared" si="333"/>
        <v>1</v>
      </c>
      <c r="F3668" s="52"/>
      <c r="G3668" s="52"/>
      <c r="H3668" s="52"/>
      <c r="I3668" s="52"/>
      <c r="J3668" s="52"/>
      <c r="K3668" s="52"/>
      <c r="L3668" s="52"/>
      <c r="M3668" s="52"/>
      <c r="N3668" s="52"/>
      <c r="O3668" s="52"/>
      <c r="P3668" s="52"/>
      <c r="Q3668" s="52"/>
      <c r="R3668" s="52"/>
      <c r="S3668" s="52"/>
      <c r="T3668" s="52"/>
      <c r="U3668" s="52"/>
      <c r="V3668" s="52"/>
      <c r="W3668" s="52"/>
      <c r="X3668" s="52"/>
      <c r="Y3668" s="52"/>
      <c r="Z3668" s="52"/>
      <c r="AA3668" s="52"/>
      <c r="AB3668" s="52"/>
      <c r="AC3668" s="52"/>
      <c r="AD3668" s="52"/>
      <c r="AE3668" s="52"/>
      <c r="AF3668" s="52"/>
      <c r="AG3668" s="52"/>
      <c r="AH3668" s="52"/>
      <c r="AI3668" s="52"/>
      <c r="AJ3668" s="52"/>
      <c r="AK3668" s="52"/>
      <c r="AL3668" s="52"/>
      <c r="AM3668" s="52"/>
      <c r="AN3668" s="52"/>
    </row>
    <row r="3669" spans="1:40" x14ac:dyDescent="0.3">
      <c r="A3669" s="52">
        <v>3664</v>
      </c>
      <c r="B3669" s="52">
        <f>-bthan*500+(13+0.5)*bthan*1000/50</f>
        <v>-1265</v>
      </c>
      <c r="C3669" s="52">
        <f t="shared" si="334"/>
        <v>670.00000000000023</v>
      </c>
      <c r="D3669" s="52">
        <f t="shared" si="332"/>
        <v>2200</v>
      </c>
      <c r="E3669" s="52">
        <f t="shared" si="333"/>
        <v>1</v>
      </c>
      <c r="F3669" s="52"/>
      <c r="G3669" s="52"/>
      <c r="H3669" s="52"/>
      <c r="I3669" s="52"/>
      <c r="J3669" s="52"/>
      <c r="K3669" s="52"/>
      <c r="L3669" s="52"/>
      <c r="M3669" s="52"/>
      <c r="N3669" s="52"/>
      <c r="O3669" s="52"/>
      <c r="P3669" s="52"/>
      <c r="Q3669" s="52"/>
      <c r="R3669" s="52"/>
      <c r="S3669" s="52"/>
      <c r="T3669" s="52"/>
      <c r="U3669" s="52"/>
      <c r="V3669" s="52"/>
      <c r="W3669" s="52"/>
      <c r="X3669" s="52"/>
      <c r="Y3669" s="52"/>
      <c r="Z3669" s="52"/>
      <c r="AA3669" s="52"/>
      <c r="AB3669" s="52"/>
      <c r="AC3669" s="52"/>
      <c r="AD3669" s="52"/>
      <c r="AE3669" s="52"/>
      <c r="AF3669" s="52"/>
      <c r="AG3669" s="52"/>
      <c r="AH3669" s="52"/>
      <c r="AI3669" s="52"/>
      <c r="AJ3669" s="52"/>
      <c r="AK3669" s="52"/>
      <c r="AL3669" s="52"/>
      <c r="AM3669" s="52"/>
      <c r="AN3669" s="52"/>
    </row>
    <row r="3670" spans="1:40" x14ac:dyDescent="0.3">
      <c r="A3670" s="52">
        <v>3665</v>
      </c>
      <c r="B3670" s="52">
        <f>-bthan*500+(14+0.5)*bthan*1000/50</f>
        <v>-1155</v>
      </c>
      <c r="C3670" s="52">
        <f t="shared" si="334"/>
        <v>670.00000000000023</v>
      </c>
      <c r="D3670" s="52">
        <f t="shared" si="332"/>
        <v>2200</v>
      </c>
      <c r="E3670" s="52">
        <f t="shared" si="333"/>
        <v>1</v>
      </c>
      <c r="F3670" s="52"/>
      <c r="G3670" s="52"/>
      <c r="H3670" s="52"/>
      <c r="I3670" s="52"/>
      <c r="J3670" s="52"/>
      <c r="K3670" s="52"/>
      <c r="L3670" s="52"/>
      <c r="M3670" s="52"/>
      <c r="N3670" s="52"/>
      <c r="O3670" s="52"/>
      <c r="P3670" s="52"/>
      <c r="Q3670" s="52"/>
      <c r="R3670" s="52"/>
      <c r="S3670" s="52"/>
      <c r="T3670" s="52"/>
      <c r="U3670" s="52"/>
      <c r="V3670" s="52"/>
      <c r="W3670" s="52"/>
      <c r="X3670" s="52"/>
      <c r="Y3670" s="52"/>
      <c r="Z3670" s="52"/>
      <c r="AA3670" s="52"/>
      <c r="AB3670" s="52"/>
      <c r="AC3670" s="52"/>
      <c r="AD3670" s="52"/>
      <c r="AE3670" s="52"/>
      <c r="AF3670" s="52"/>
      <c r="AG3670" s="52"/>
      <c r="AH3670" s="52"/>
      <c r="AI3670" s="52"/>
      <c r="AJ3670" s="52"/>
      <c r="AK3670" s="52"/>
      <c r="AL3670" s="52"/>
      <c r="AM3670" s="52"/>
      <c r="AN3670" s="52"/>
    </row>
    <row r="3671" spans="1:40" x14ac:dyDescent="0.3">
      <c r="A3671" s="52">
        <v>3666</v>
      </c>
      <c r="B3671" s="52">
        <f>-bthan*500+(15+0.5)*bthan*1000/50</f>
        <v>-1045</v>
      </c>
      <c r="C3671" s="52">
        <f t="shared" si="334"/>
        <v>670.00000000000023</v>
      </c>
      <c r="D3671" s="52">
        <f t="shared" si="332"/>
        <v>2200</v>
      </c>
      <c r="E3671" s="52">
        <f t="shared" si="333"/>
        <v>1</v>
      </c>
      <c r="F3671" s="52"/>
      <c r="G3671" s="52"/>
      <c r="H3671" s="52"/>
      <c r="I3671" s="52"/>
      <c r="J3671" s="52"/>
      <c r="K3671" s="52"/>
      <c r="L3671" s="52"/>
      <c r="M3671" s="52"/>
      <c r="N3671" s="52"/>
      <c r="O3671" s="52"/>
      <c r="P3671" s="52"/>
      <c r="Q3671" s="52"/>
      <c r="R3671" s="52"/>
      <c r="S3671" s="52"/>
      <c r="T3671" s="52"/>
      <c r="U3671" s="52"/>
      <c r="V3671" s="52"/>
      <c r="W3671" s="52"/>
      <c r="X3671" s="52"/>
      <c r="Y3671" s="52"/>
      <c r="Z3671" s="52"/>
      <c r="AA3671" s="52"/>
      <c r="AB3671" s="52"/>
      <c r="AC3671" s="52"/>
      <c r="AD3671" s="52"/>
      <c r="AE3671" s="52"/>
      <c r="AF3671" s="52"/>
      <c r="AG3671" s="52"/>
      <c r="AH3671" s="52"/>
      <c r="AI3671" s="52"/>
      <c r="AJ3671" s="52"/>
      <c r="AK3671" s="52"/>
      <c r="AL3671" s="52"/>
      <c r="AM3671" s="52"/>
      <c r="AN3671" s="52"/>
    </row>
    <row r="3672" spans="1:40" x14ac:dyDescent="0.3">
      <c r="A3672" s="52">
        <v>3667</v>
      </c>
      <c r="B3672" s="52">
        <f>-bthan*500+(16+0.5)*bthan*1000/50</f>
        <v>-935</v>
      </c>
      <c r="C3672" s="52">
        <f t="shared" si="334"/>
        <v>670.00000000000023</v>
      </c>
      <c r="D3672" s="52">
        <f t="shared" si="332"/>
        <v>2200</v>
      </c>
      <c r="E3672" s="52">
        <f t="shared" si="333"/>
        <v>1</v>
      </c>
      <c r="F3672" s="52"/>
      <c r="G3672" s="52"/>
      <c r="H3672" s="52"/>
      <c r="I3672" s="52"/>
      <c r="J3672" s="52"/>
      <c r="K3672" s="52"/>
      <c r="L3672" s="52"/>
      <c r="M3672" s="52"/>
      <c r="N3672" s="52"/>
      <c r="O3672" s="52"/>
      <c r="P3672" s="52"/>
      <c r="Q3672" s="52"/>
      <c r="R3672" s="52"/>
      <c r="S3672" s="52"/>
      <c r="T3672" s="52"/>
      <c r="U3672" s="52"/>
      <c r="V3672" s="52"/>
      <c r="W3672" s="52"/>
      <c r="X3672" s="52"/>
      <c r="Y3672" s="52"/>
      <c r="Z3672" s="52"/>
      <c r="AA3672" s="52"/>
      <c r="AB3672" s="52"/>
      <c r="AC3672" s="52"/>
      <c r="AD3672" s="52"/>
      <c r="AE3672" s="52"/>
      <c r="AF3672" s="52"/>
      <c r="AG3672" s="52"/>
      <c r="AH3672" s="52"/>
      <c r="AI3672" s="52"/>
      <c r="AJ3672" s="52"/>
      <c r="AK3672" s="52"/>
      <c r="AL3672" s="52"/>
      <c r="AM3672" s="52"/>
      <c r="AN3672" s="52"/>
    </row>
    <row r="3673" spans="1:40" x14ac:dyDescent="0.3">
      <c r="A3673" s="52">
        <v>3668</v>
      </c>
      <c r="B3673" s="52">
        <f>-bthan*500+(17+0.5)*bthan*1000/50</f>
        <v>-825</v>
      </c>
      <c r="C3673" s="52">
        <f t="shared" si="334"/>
        <v>670.00000000000023</v>
      </c>
      <c r="D3673" s="52">
        <f t="shared" si="332"/>
        <v>2200</v>
      </c>
      <c r="E3673" s="52">
        <f t="shared" si="333"/>
        <v>1</v>
      </c>
      <c r="F3673" s="52"/>
      <c r="G3673" s="52"/>
      <c r="H3673" s="52"/>
      <c r="I3673" s="52"/>
      <c r="J3673" s="52"/>
      <c r="K3673" s="52"/>
      <c r="L3673" s="52"/>
      <c r="M3673" s="52"/>
      <c r="N3673" s="52"/>
      <c r="O3673" s="52"/>
      <c r="P3673" s="52"/>
      <c r="Q3673" s="52"/>
      <c r="R3673" s="52"/>
      <c r="S3673" s="52"/>
      <c r="T3673" s="52"/>
      <c r="U3673" s="52"/>
      <c r="V3673" s="52"/>
      <c r="W3673" s="52"/>
      <c r="X3673" s="52"/>
      <c r="Y3673" s="52"/>
      <c r="Z3673" s="52"/>
      <c r="AA3673" s="52"/>
      <c r="AB3673" s="52"/>
      <c r="AC3673" s="52"/>
      <c r="AD3673" s="52"/>
      <c r="AE3673" s="52"/>
      <c r="AF3673" s="52"/>
      <c r="AG3673" s="52"/>
      <c r="AH3673" s="52"/>
      <c r="AI3673" s="52"/>
      <c r="AJ3673" s="52"/>
      <c r="AK3673" s="52"/>
      <c r="AL3673" s="52"/>
      <c r="AM3673" s="52"/>
      <c r="AN3673" s="52"/>
    </row>
    <row r="3674" spans="1:40" x14ac:dyDescent="0.3">
      <c r="A3674" s="52">
        <v>3669</v>
      </c>
      <c r="B3674" s="52">
        <f>-bthan*500+(18+0.5)*bthan*1000/50</f>
        <v>-715</v>
      </c>
      <c r="C3674" s="52">
        <f t="shared" si="334"/>
        <v>670.00000000000023</v>
      </c>
      <c r="D3674" s="52">
        <f t="shared" si="332"/>
        <v>2200</v>
      </c>
      <c r="E3674" s="52">
        <f t="shared" si="333"/>
        <v>1</v>
      </c>
      <c r="F3674" s="52"/>
      <c r="G3674" s="52"/>
      <c r="H3674" s="52"/>
      <c r="I3674" s="52"/>
      <c r="J3674" s="52"/>
      <c r="K3674" s="52"/>
      <c r="L3674" s="52"/>
      <c r="M3674" s="52"/>
      <c r="N3674" s="52"/>
      <c r="O3674" s="52"/>
      <c r="P3674" s="52"/>
      <c r="Q3674" s="52"/>
      <c r="R3674" s="52"/>
      <c r="S3674" s="52"/>
      <c r="T3674" s="52"/>
      <c r="U3674" s="52"/>
      <c r="V3674" s="52"/>
      <c r="W3674" s="52"/>
      <c r="X3674" s="52"/>
      <c r="Y3674" s="52"/>
      <c r="Z3674" s="52"/>
      <c r="AA3674" s="52"/>
      <c r="AB3674" s="52"/>
      <c r="AC3674" s="52"/>
      <c r="AD3674" s="52"/>
      <c r="AE3674" s="52"/>
      <c r="AF3674" s="52"/>
      <c r="AG3674" s="52"/>
      <c r="AH3674" s="52"/>
      <c r="AI3674" s="52"/>
      <c r="AJ3674" s="52"/>
      <c r="AK3674" s="52"/>
      <c r="AL3674" s="52"/>
      <c r="AM3674" s="52"/>
      <c r="AN3674" s="52"/>
    </row>
    <row r="3675" spans="1:40" x14ac:dyDescent="0.3">
      <c r="A3675" s="52">
        <v>3670</v>
      </c>
      <c r="B3675" s="52">
        <f>-bthan*500+(19+0.5)*bthan*1000/50</f>
        <v>-605</v>
      </c>
      <c r="C3675" s="52">
        <f t="shared" si="334"/>
        <v>670.00000000000023</v>
      </c>
      <c r="D3675" s="52">
        <f t="shared" si="332"/>
        <v>2200</v>
      </c>
      <c r="E3675" s="52">
        <f t="shared" si="333"/>
        <v>1</v>
      </c>
      <c r="F3675" s="52"/>
      <c r="G3675" s="52"/>
      <c r="H3675" s="52"/>
      <c r="I3675" s="52"/>
      <c r="J3675" s="52"/>
      <c r="K3675" s="52"/>
      <c r="L3675" s="52"/>
      <c r="M3675" s="52"/>
      <c r="N3675" s="52"/>
      <c r="O3675" s="52"/>
      <c r="P3675" s="52"/>
      <c r="Q3675" s="52"/>
      <c r="R3675" s="52"/>
      <c r="S3675" s="52"/>
      <c r="T3675" s="52"/>
      <c r="U3675" s="52"/>
      <c r="V3675" s="52"/>
      <c r="W3675" s="52"/>
      <c r="X3675" s="52"/>
      <c r="Y3675" s="52"/>
      <c r="Z3675" s="52"/>
      <c r="AA3675" s="52"/>
      <c r="AB3675" s="52"/>
      <c r="AC3675" s="52"/>
      <c r="AD3675" s="52"/>
      <c r="AE3675" s="52"/>
      <c r="AF3675" s="52"/>
      <c r="AG3675" s="52"/>
      <c r="AH3675" s="52"/>
      <c r="AI3675" s="52"/>
      <c r="AJ3675" s="52"/>
      <c r="AK3675" s="52"/>
      <c r="AL3675" s="52"/>
      <c r="AM3675" s="52"/>
      <c r="AN3675" s="52"/>
    </row>
    <row r="3676" spans="1:40" x14ac:dyDescent="0.3">
      <c r="A3676" s="52">
        <v>3671</v>
      </c>
      <c r="B3676" s="52">
        <f>-bthan*500+(20+0.5)*bthan*1000/50</f>
        <v>-495</v>
      </c>
      <c r="C3676" s="52">
        <f t="shared" si="334"/>
        <v>670.00000000000023</v>
      </c>
      <c r="D3676" s="52">
        <f t="shared" si="332"/>
        <v>2200</v>
      </c>
      <c r="E3676" s="52">
        <f t="shared" si="333"/>
        <v>1</v>
      </c>
      <c r="F3676" s="52"/>
      <c r="G3676" s="52"/>
      <c r="H3676" s="52"/>
      <c r="I3676" s="52"/>
      <c r="J3676" s="52"/>
      <c r="K3676" s="52"/>
      <c r="L3676" s="52"/>
      <c r="M3676" s="52"/>
      <c r="N3676" s="52"/>
      <c r="O3676" s="52"/>
      <c r="P3676" s="52"/>
      <c r="Q3676" s="52"/>
      <c r="R3676" s="52"/>
      <c r="S3676" s="52"/>
      <c r="T3676" s="52"/>
      <c r="U3676" s="52"/>
      <c r="V3676" s="52"/>
      <c r="W3676" s="52"/>
      <c r="X3676" s="52"/>
      <c r="Y3676" s="52"/>
      <c r="Z3676" s="52"/>
      <c r="AA3676" s="52"/>
      <c r="AB3676" s="52"/>
      <c r="AC3676" s="52"/>
      <c r="AD3676" s="52"/>
      <c r="AE3676" s="52"/>
      <c r="AF3676" s="52"/>
      <c r="AG3676" s="52"/>
      <c r="AH3676" s="52"/>
      <c r="AI3676" s="52"/>
      <c r="AJ3676" s="52"/>
      <c r="AK3676" s="52"/>
      <c r="AL3676" s="52"/>
      <c r="AM3676" s="52"/>
      <c r="AN3676" s="52"/>
    </row>
    <row r="3677" spans="1:40" x14ac:dyDescent="0.3">
      <c r="A3677" s="52">
        <v>3672</v>
      </c>
      <c r="B3677" s="52">
        <f>-bthan*500+(21+0.5)*bthan*1000/50</f>
        <v>-385</v>
      </c>
      <c r="C3677" s="52">
        <f t="shared" si="334"/>
        <v>670.00000000000023</v>
      </c>
      <c r="D3677" s="52">
        <f t="shared" si="332"/>
        <v>2200</v>
      </c>
      <c r="E3677" s="52">
        <f t="shared" si="333"/>
        <v>1</v>
      </c>
      <c r="F3677" s="52"/>
      <c r="G3677" s="52"/>
      <c r="H3677" s="52"/>
      <c r="I3677" s="52"/>
      <c r="J3677" s="52"/>
      <c r="K3677" s="52"/>
      <c r="L3677" s="52"/>
      <c r="M3677" s="52"/>
      <c r="N3677" s="52"/>
      <c r="O3677" s="52"/>
      <c r="P3677" s="52"/>
      <c r="Q3677" s="52"/>
      <c r="R3677" s="52"/>
      <c r="S3677" s="52"/>
      <c r="T3677" s="52"/>
      <c r="U3677" s="52"/>
      <c r="V3677" s="52"/>
      <c r="W3677" s="52"/>
      <c r="X3677" s="52"/>
      <c r="Y3677" s="52"/>
      <c r="Z3677" s="52"/>
      <c r="AA3677" s="52"/>
      <c r="AB3677" s="52"/>
      <c r="AC3677" s="52"/>
      <c r="AD3677" s="52"/>
      <c r="AE3677" s="52"/>
      <c r="AF3677" s="52"/>
      <c r="AG3677" s="52"/>
      <c r="AH3677" s="52"/>
      <c r="AI3677" s="52"/>
      <c r="AJ3677" s="52"/>
      <c r="AK3677" s="52"/>
      <c r="AL3677" s="52"/>
      <c r="AM3677" s="52"/>
      <c r="AN3677" s="52"/>
    </row>
    <row r="3678" spans="1:40" x14ac:dyDescent="0.3">
      <c r="A3678" s="52">
        <v>3673</v>
      </c>
      <c r="B3678" s="52">
        <f>-bthan*500+(22+0.5)*bthan*1000/50</f>
        <v>-275</v>
      </c>
      <c r="C3678" s="52">
        <f t="shared" si="334"/>
        <v>670.00000000000023</v>
      </c>
      <c r="D3678" s="52">
        <f t="shared" si="332"/>
        <v>2200</v>
      </c>
      <c r="E3678" s="52">
        <f t="shared" si="333"/>
        <v>1</v>
      </c>
      <c r="F3678" s="52"/>
      <c r="G3678" s="52"/>
      <c r="H3678" s="52"/>
      <c r="I3678" s="52"/>
      <c r="J3678" s="52"/>
      <c r="K3678" s="52"/>
      <c r="L3678" s="52"/>
      <c r="M3678" s="52"/>
      <c r="N3678" s="52"/>
      <c r="O3678" s="52"/>
      <c r="P3678" s="52"/>
      <c r="Q3678" s="52"/>
      <c r="R3678" s="52"/>
      <c r="S3678" s="52"/>
      <c r="T3678" s="52"/>
      <c r="U3678" s="52"/>
      <c r="V3678" s="52"/>
      <c r="W3678" s="52"/>
      <c r="X3678" s="52"/>
      <c r="Y3678" s="52"/>
      <c r="Z3678" s="52"/>
      <c r="AA3678" s="52"/>
      <c r="AB3678" s="52"/>
      <c r="AC3678" s="52"/>
      <c r="AD3678" s="52"/>
      <c r="AE3678" s="52"/>
      <c r="AF3678" s="52"/>
      <c r="AG3678" s="52"/>
      <c r="AH3678" s="52"/>
      <c r="AI3678" s="52"/>
      <c r="AJ3678" s="52"/>
      <c r="AK3678" s="52"/>
      <c r="AL3678" s="52"/>
      <c r="AM3678" s="52"/>
      <c r="AN3678" s="52"/>
    </row>
    <row r="3679" spans="1:40" x14ac:dyDescent="0.3">
      <c r="A3679" s="52">
        <v>3674</v>
      </c>
      <c r="B3679" s="52">
        <f>-bthan*500+(23+0.5)*bthan*1000/50</f>
        <v>-165</v>
      </c>
      <c r="C3679" s="52">
        <f t="shared" si="334"/>
        <v>670.00000000000023</v>
      </c>
      <c r="D3679" s="52">
        <f t="shared" si="332"/>
        <v>2200</v>
      </c>
      <c r="E3679" s="52">
        <f t="shared" si="333"/>
        <v>1</v>
      </c>
      <c r="F3679" s="52"/>
      <c r="G3679" s="52"/>
      <c r="H3679" s="52"/>
      <c r="I3679" s="52"/>
      <c r="J3679" s="52"/>
      <c r="K3679" s="52"/>
      <c r="L3679" s="52"/>
      <c r="M3679" s="52"/>
      <c r="N3679" s="52"/>
      <c r="O3679" s="52"/>
      <c r="P3679" s="52"/>
      <c r="Q3679" s="52"/>
      <c r="R3679" s="52"/>
      <c r="S3679" s="52"/>
      <c r="T3679" s="52"/>
      <c r="U3679" s="52"/>
      <c r="V3679" s="52"/>
      <c r="W3679" s="52"/>
      <c r="X3679" s="52"/>
      <c r="Y3679" s="52"/>
      <c r="Z3679" s="52"/>
      <c r="AA3679" s="52"/>
      <c r="AB3679" s="52"/>
      <c r="AC3679" s="52"/>
      <c r="AD3679" s="52"/>
      <c r="AE3679" s="52"/>
      <c r="AF3679" s="52"/>
      <c r="AG3679" s="52"/>
      <c r="AH3679" s="52"/>
      <c r="AI3679" s="52"/>
      <c r="AJ3679" s="52"/>
      <c r="AK3679" s="52"/>
      <c r="AL3679" s="52"/>
      <c r="AM3679" s="52"/>
      <c r="AN3679" s="52"/>
    </row>
    <row r="3680" spans="1:40" x14ac:dyDescent="0.3">
      <c r="A3680" s="52">
        <v>3675</v>
      </c>
      <c r="B3680" s="52">
        <f>-bthan*500+(24+0.5)*bthan*1000/50</f>
        <v>-55</v>
      </c>
      <c r="C3680" s="52">
        <f t="shared" si="334"/>
        <v>670.00000000000023</v>
      </c>
      <c r="D3680" s="52">
        <f t="shared" si="332"/>
        <v>2200</v>
      </c>
      <c r="E3680" s="52">
        <f t="shared" si="333"/>
        <v>1</v>
      </c>
      <c r="F3680" s="52"/>
      <c r="G3680" s="52"/>
      <c r="H3680" s="52"/>
      <c r="I3680" s="52"/>
      <c r="J3680" s="52"/>
      <c r="K3680" s="52"/>
      <c r="L3680" s="52"/>
      <c r="M3680" s="52"/>
      <c r="N3680" s="52"/>
      <c r="O3680" s="52"/>
      <c r="P3680" s="52"/>
      <c r="Q3680" s="52"/>
      <c r="R3680" s="52"/>
      <c r="S3680" s="52"/>
      <c r="T3680" s="52"/>
      <c r="U3680" s="52"/>
      <c r="V3680" s="52"/>
      <c r="W3680" s="52"/>
      <c r="X3680" s="52"/>
      <c r="Y3680" s="52"/>
      <c r="Z3680" s="52"/>
      <c r="AA3680" s="52"/>
      <c r="AB3680" s="52"/>
      <c r="AC3680" s="52"/>
      <c r="AD3680" s="52"/>
      <c r="AE3680" s="52"/>
      <c r="AF3680" s="52"/>
      <c r="AG3680" s="52"/>
      <c r="AH3680" s="52"/>
      <c r="AI3680" s="52"/>
      <c r="AJ3680" s="52"/>
      <c r="AK3680" s="52"/>
      <c r="AL3680" s="52"/>
      <c r="AM3680" s="52"/>
      <c r="AN3680" s="52"/>
    </row>
    <row r="3681" spans="1:40" x14ac:dyDescent="0.3">
      <c r="A3681" s="52">
        <v>3676</v>
      </c>
      <c r="B3681" s="52">
        <f>-bthan*500+(25+0.5)*bthan*1000/50</f>
        <v>55</v>
      </c>
      <c r="C3681" s="52">
        <f t="shared" si="334"/>
        <v>670.00000000000023</v>
      </c>
      <c r="D3681" s="52">
        <f t="shared" si="332"/>
        <v>2200</v>
      </c>
      <c r="E3681" s="52">
        <f t="shared" si="333"/>
        <v>1</v>
      </c>
      <c r="F3681" s="52"/>
      <c r="G3681" s="52"/>
      <c r="H3681" s="52"/>
      <c r="I3681" s="52"/>
      <c r="J3681" s="52"/>
      <c r="K3681" s="52"/>
      <c r="L3681" s="52"/>
      <c r="M3681" s="52"/>
      <c r="N3681" s="52"/>
      <c r="O3681" s="52"/>
      <c r="P3681" s="52"/>
      <c r="Q3681" s="52"/>
      <c r="R3681" s="52"/>
      <c r="S3681" s="52"/>
      <c r="T3681" s="52"/>
      <c r="U3681" s="52"/>
      <c r="V3681" s="52"/>
      <c r="W3681" s="52"/>
      <c r="X3681" s="52"/>
      <c r="Y3681" s="52"/>
      <c r="Z3681" s="52"/>
      <c r="AA3681" s="52"/>
      <c r="AB3681" s="52"/>
      <c r="AC3681" s="52"/>
      <c r="AD3681" s="52"/>
      <c r="AE3681" s="52"/>
      <c r="AF3681" s="52"/>
      <c r="AG3681" s="52"/>
      <c r="AH3681" s="52"/>
      <c r="AI3681" s="52"/>
      <c r="AJ3681" s="52"/>
      <c r="AK3681" s="52"/>
      <c r="AL3681" s="52"/>
      <c r="AM3681" s="52"/>
      <c r="AN3681" s="52"/>
    </row>
    <row r="3682" spans="1:40" x14ac:dyDescent="0.3">
      <c r="A3682" s="52">
        <v>3677</v>
      </c>
      <c r="B3682" s="52">
        <f>-bthan*500+(26+0.5)*bthan*1000/50</f>
        <v>165</v>
      </c>
      <c r="C3682" s="52">
        <f t="shared" si="334"/>
        <v>670.00000000000023</v>
      </c>
      <c r="D3682" s="52">
        <f t="shared" si="332"/>
        <v>2200</v>
      </c>
      <c r="E3682" s="52">
        <f t="shared" si="333"/>
        <v>1</v>
      </c>
      <c r="F3682" s="52"/>
      <c r="G3682" s="52"/>
      <c r="H3682" s="52"/>
      <c r="I3682" s="52"/>
      <c r="J3682" s="52"/>
      <c r="K3682" s="52"/>
      <c r="L3682" s="52"/>
      <c r="M3682" s="52"/>
      <c r="N3682" s="52"/>
      <c r="O3682" s="52"/>
      <c r="P3682" s="52"/>
      <c r="Q3682" s="52"/>
      <c r="R3682" s="52"/>
      <c r="S3682" s="52"/>
      <c r="T3682" s="52"/>
      <c r="U3682" s="52"/>
      <c r="V3682" s="52"/>
      <c r="W3682" s="52"/>
      <c r="X3682" s="52"/>
      <c r="Y3682" s="52"/>
      <c r="Z3682" s="52"/>
      <c r="AA3682" s="52"/>
      <c r="AB3682" s="52"/>
      <c r="AC3682" s="52"/>
      <c r="AD3682" s="52"/>
      <c r="AE3682" s="52"/>
      <c r="AF3682" s="52"/>
      <c r="AG3682" s="52"/>
      <c r="AH3682" s="52"/>
      <c r="AI3682" s="52"/>
      <c r="AJ3682" s="52"/>
      <c r="AK3682" s="52"/>
      <c r="AL3682" s="52"/>
      <c r="AM3682" s="52"/>
      <c r="AN3682" s="52"/>
    </row>
    <row r="3683" spans="1:40" x14ac:dyDescent="0.3">
      <c r="A3683" s="52">
        <v>3678</v>
      </c>
      <c r="B3683" s="52">
        <f>-bthan*500+(27+0.5)*bthan*1000/50</f>
        <v>275</v>
      </c>
      <c r="C3683" s="52">
        <f t="shared" si="334"/>
        <v>670.00000000000023</v>
      </c>
      <c r="D3683" s="52">
        <f t="shared" si="332"/>
        <v>2200</v>
      </c>
      <c r="E3683" s="52">
        <f t="shared" si="333"/>
        <v>1</v>
      </c>
      <c r="F3683" s="52"/>
      <c r="G3683" s="52"/>
      <c r="H3683" s="52"/>
      <c r="I3683" s="52"/>
      <c r="J3683" s="52"/>
      <c r="K3683" s="52"/>
      <c r="L3683" s="52"/>
      <c r="M3683" s="52"/>
      <c r="N3683" s="52"/>
      <c r="O3683" s="52"/>
      <c r="P3683" s="52"/>
      <c r="Q3683" s="52"/>
      <c r="R3683" s="52"/>
      <c r="S3683" s="52"/>
      <c r="T3683" s="52"/>
      <c r="U3683" s="52"/>
      <c r="V3683" s="52"/>
      <c r="W3683" s="52"/>
      <c r="X3683" s="52"/>
      <c r="Y3683" s="52"/>
      <c r="Z3683" s="52"/>
      <c r="AA3683" s="52"/>
      <c r="AB3683" s="52"/>
      <c r="AC3683" s="52"/>
      <c r="AD3683" s="52"/>
      <c r="AE3683" s="52"/>
      <c r="AF3683" s="52"/>
      <c r="AG3683" s="52"/>
      <c r="AH3683" s="52"/>
      <c r="AI3683" s="52"/>
      <c r="AJ3683" s="52"/>
      <c r="AK3683" s="52"/>
      <c r="AL3683" s="52"/>
      <c r="AM3683" s="52"/>
      <c r="AN3683" s="52"/>
    </row>
    <row r="3684" spans="1:40" x14ac:dyDescent="0.3">
      <c r="A3684" s="52">
        <v>3679</v>
      </c>
      <c r="B3684" s="52">
        <f>-bthan*500+(28+0.5)*bthan*1000/50</f>
        <v>385</v>
      </c>
      <c r="C3684" s="52">
        <f t="shared" si="334"/>
        <v>670.00000000000023</v>
      </c>
      <c r="D3684" s="52">
        <f t="shared" si="332"/>
        <v>2200</v>
      </c>
      <c r="E3684" s="52">
        <f t="shared" si="333"/>
        <v>1</v>
      </c>
      <c r="F3684" s="52"/>
      <c r="G3684" s="52"/>
      <c r="H3684" s="52"/>
      <c r="I3684" s="52"/>
      <c r="J3684" s="52"/>
      <c r="K3684" s="52"/>
      <c r="L3684" s="52"/>
      <c r="M3684" s="52"/>
      <c r="N3684" s="52"/>
      <c r="O3684" s="52"/>
      <c r="P3684" s="52"/>
      <c r="Q3684" s="52"/>
      <c r="R3684" s="52"/>
      <c r="S3684" s="52"/>
      <c r="T3684" s="52"/>
      <c r="U3684" s="52"/>
      <c r="V3684" s="52"/>
      <c r="W3684" s="52"/>
      <c r="X3684" s="52"/>
      <c r="Y3684" s="52"/>
      <c r="Z3684" s="52"/>
      <c r="AA3684" s="52"/>
      <c r="AB3684" s="52"/>
      <c r="AC3684" s="52"/>
      <c r="AD3684" s="52"/>
      <c r="AE3684" s="52"/>
      <c r="AF3684" s="52"/>
      <c r="AG3684" s="52"/>
      <c r="AH3684" s="52"/>
      <c r="AI3684" s="52"/>
      <c r="AJ3684" s="52"/>
      <c r="AK3684" s="52"/>
      <c r="AL3684" s="52"/>
      <c r="AM3684" s="52"/>
      <c r="AN3684" s="52"/>
    </row>
    <row r="3685" spans="1:40" x14ac:dyDescent="0.3">
      <c r="A3685" s="52">
        <v>3680</v>
      </c>
      <c r="B3685" s="52">
        <f>-bthan*500+(29+0.5)*bthan*1000/50</f>
        <v>495</v>
      </c>
      <c r="C3685" s="52">
        <f t="shared" si="334"/>
        <v>670.00000000000023</v>
      </c>
      <c r="D3685" s="52">
        <f t="shared" si="332"/>
        <v>2200</v>
      </c>
      <c r="E3685" s="52">
        <f t="shared" si="333"/>
        <v>1</v>
      </c>
      <c r="F3685" s="52"/>
      <c r="G3685" s="52"/>
      <c r="H3685" s="52"/>
      <c r="I3685" s="52"/>
      <c r="J3685" s="52"/>
      <c r="K3685" s="52"/>
      <c r="L3685" s="52"/>
      <c r="M3685" s="52"/>
      <c r="N3685" s="52"/>
      <c r="O3685" s="52"/>
      <c r="P3685" s="52"/>
      <c r="Q3685" s="52"/>
      <c r="R3685" s="52"/>
      <c r="S3685" s="52"/>
      <c r="T3685" s="52"/>
      <c r="U3685" s="52"/>
      <c r="V3685" s="52"/>
      <c r="W3685" s="52"/>
      <c r="X3685" s="52"/>
      <c r="Y3685" s="52"/>
      <c r="Z3685" s="52"/>
      <c r="AA3685" s="52"/>
      <c r="AB3685" s="52"/>
      <c r="AC3685" s="52"/>
      <c r="AD3685" s="52"/>
      <c r="AE3685" s="52"/>
      <c r="AF3685" s="52"/>
      <c r="AG3685" s="52"/>
      <c r="AH3685" s="52"/>
      <c r="AI3685" s="52"/>
      <c r="AJ3685" s="52"/>
      <c r="AK3685" s="52"/>
      <c r="AL3685" s="52"/>
      <c r="AM3685" s="52"/>
      <c r="AN3685" s="52"/>
    </row>
    <row r="3686" spans="1:40" x14ac:dyDescent="0.3">
      <c r="A3686" s="52">
        <v>3681</v>
      </c>
      <c r="B3686" s="52">
        <f>-bthan*500+(30+0.5)*bthan*1000/50</f>
        <v>605</v>
      </c>
      <c r="C3686" s="52">
        <f t="shared" si="334"/>
        <v>670.00000000000023</v>
      </c>
      <c r="D3686" s="52">
        <f t="shared" si="332"/>
        <v>2200</v>
      </c>
      <c r="E3686" s="52">
        <f t="shared" si="333"/>
        <v>1</v>
      </c>
      <c r="F3686" s="52"/>
      <c r="G3686" s="52"/>
      <c r="H3686" s="52"/>
      <c r="I3686" s="52"/>
      <c r="J3686" s="52"/>
      <c r="K3686" s="52"/>
      <c r="L3686" s="52"/>
      <c r="M3686" s="52"/>
      <c r="N3686" s="52"/>
      <c r="O3686" s="52"/>
      <c r="P3686" s="52"/>
      <c r="Q3686" s="52"/>
      <c r="R3686" s="52"/>
      <c r="S3686" s="52"/>
      <c r="T3686" s="52"/>
      <c r="U3686" s="52"/>
      <c r="V3686" s="52"/>
      <c r="W3686" s="52"/>
      <c r="X3686" s="52"/>
      <c r="Y3686" s="52"/>
      <c r="Z3686" s="52"/>
      <c r="AA3686" s="52"/>
      <c r="AB3686" s="52"/>
      <c r="AC3686" s="52"/>
      <c r="AD3686" s="52"/>
      <c r="AE3686" s="52"/>
      <c r="AF3686" s="52"/>
      <c r="AG3686" s="52"/>
      <c r="AH3686" s="52"/>
      <c r="AI3686" s="52"/>
      <c r="AJ3686" s="52"/>
      <c r="AK3686" s="52"/>
      <c r="AL3686" s="52"/>
      <c r="AM3686" s="52"/>
      <c r="AN3686" s="52"/>
    </row>
    <row r="3687" spans="1:40" x14ac:dyDescent="0.3">
      <c r="A3687" s="52">
        <v>3682</v>
      </c>
      <c r="B3687" s="52">
        <f>-bthan*500+(31+0.5)*bthan*1000/50</f>
        <v>715</v>
      </c>
      <c r="C3687" s="52">
        <f t="shared" si="334"/>
        <v>670.00000000000023</v>
      </c>
      <c r="D3687" s="52">
        <f t="shared" si="332"/>
        <v>2200</v>
      </c>
      <c r="E3687" s="52">
        <f t="shared" si="333"/>
        <v>1</v>
      </c>
      <c r="F3687" s="52"/>
      <c r="G3687" s="52"/>
      <c r="H3687" s="52"/>
      <c r="I3687" s="52"/>
      <c r="J3687" s="52"/>
      <c r="K3687" s="52"/>
      <c r="L3687" s="52"/>
      <c r="M3687" s="52"/>
      <c r="N3687" s="52"/>
      <c r="O3687" s="52"/>
      <c r="P3687" s="52"/>
      <c r="Q3687" s="52"/>
      <c r="R3687" s="52"/>
      <c r="S3687" s="52"/>
      <c r="T3687" s="52"/>
      <c r="U3687" s="52"/>
      <c r="V3687" s="52"/>
      <c r="W3687" s="52"/>
      <c r="X3687" s="52"/>
      <c r="Y3687" s="52"/>
      <c r="Z3687" s="52"/>
      <c r="AA3687" s="52"/>
      <c r="AB3687" s="52"/>
      <c r="AC3687" s="52"/>
      <c r="AD3687" s="52"/>
      <c r="AE3687" s="52"/>
      <c r="AF3687" s="52"/>
      <c r="AG3687" s="52"/>
      <c r="AH3687" s="52"/>
      <c r="AI3687" s="52"/>
      <c r="AJ3687" s="52"/>
      <c r="AK3687" s="52"/>
      <c r="AL3687" s="52"/>
      <c r="AM3687" s="52"/>
      <c r="AN3687" s="52"/>
    </row>
    <row r="3688" spans="1:40" x14ac:dyDescent="0.3">
      <c r="A3688" s="52">
        <v>3683</v>
      </c>
      <c r="B3688" s="52">
        <f>-bthan*500+(32+0.5)*bthan*1000/50</f>
        <v>825</v>
      </c>
      <c r="C3688" s="52">
        <f t="shared" ref="C3688:C3705" si="335">-hthan*500+(73+0.5)*hthan*1000/80</f>
        <v>670.00000000000023</v>
      </c>
      <c r="D3688" s="52">
        <f t="shared" si="332"/>
        <v>2200</v>
      </c>
      <c r="E3688" s="52">
        <f t="shared" si="333"/>
        <v>1</v>
      </c>
      <c r="F3688" s="52"/>
      <c r="G3688" s="52"/>
      <c r="H3688" s="52"/>
      <c r="I3688" s="52"/>
      <c r="J3688" s="52"/>
      <c r="K3688" s="52"/>
      <c r="L3688" s="52"/>
      <c r="M3688" s="52"/>
      <c r="N3688" s="52"/>
      <c r="O3688" s="52"/>
      <c r="P3688" s="52"/>
      <c r="Q3688" s="52"/>
      <c r="R3688" s="52"/>
      <c r="S3688" s="52"/>
      <c r="T3688" s="52"/>
      <c r="U3688" s="52"/>
      <c r="V3688" s="52"/>
      <c r="W3688" s="52"/>
      <c r="X3688" s="52"/>
      <c r="Y3688" s="52"/>
      <c r="Z3688" s="52"/>
      <c r="AA3688" s="52"/>
      <c r="AB3688" s="52"/>
      <c r="AC3688" s="52"/>
      <c r="AD3688" s="52"/>
      <c r="AE3688" s="52"/>
      <c r="AF3688" s="52"/>
      <c r="AG3688" s="52"/>
      <c r="AH3688" s="52"/>
      <c r="AI3688" s="52"/>
      <c r="AJ3688" s="52"/>
      <c r="AK3688" s="52"/>
      <c r="AL3688" s="52"/>
      <c r="AM3688" s="52"/>
      <c r="AN3688" s="52"/>
    </row>
    <row r="3689" spans="1:40" x14ac:dyDescent="0.3">
      <c r="A3689" s="52">
        <v>3684</v>
      </c>
      <c r="B3689" s="52">
        <f>-bthan*500+(33+0.5)*bthan*1000/50</f>
        <v>935</v>
      </c>
      <c r="C3689" s="52">
        <f t="shared" si="335"/>
        <v>670.00000000000023</v>
      </c>
      <c r="D3689" s="52">
        <f t="shared" si="332"/>
        <v>2200</v>
      </c>
      <c r="E3689" s="52">
        <f t="shared" si="333"/>
        <v>1</v>
      </c>
      <c r="F3689" s="52"/>
      <c r="G3689" s="52"/>
      <c r="H3689" s="52"/>
      <c r="I3689" s="52"/>
      <c r="J3689" s="52"/>
      <c r="K3689" s="52"/>
      <c r="L3689" s="52"/>
      <c r="M3689" s="52"/>
      <c r="N3689" s="52"/>
      <c r="O3689" s="52"/>
      <c r="P3689" s="52"/>
      <c r="Q3689" s="52"/>
      <c r="R3689" s="52"/>
      <c r="S3689" s="52"/>
      <c r="T3689" s="52"/>
      <c r="U3689" s="52"/>
      <c r="V3689" s="52"/>
      <c r="W3689" s="52"/>
      <c r="X3689" s="52"/>
      <c r="Y3689" s="52"/>
      <c r="Z3689" s="52"/>
      <c r="AA3689" s="52"/>
      <c r="AB3689" s="52"/>
      <c r="AC3689" s="52"/>
      <c r="AD3689" s="52"/>
      <c r="AE3689" s="52"/>
      <c r="AF3689" s="52"/>
      <c r="AG3689" s="52"/>
      <c r="AH3689" s="52"/>
      <c r="AI3689" s="52"/>
      <c r="AJ3689" s="52"/>
      <c r="AK3689" s="52"/>
      <c r="AL3689" s="52"/>
      <c r="AM3689" s="52"/>
      <c r="AN3689" s="52"/>
    </row>
    <row r="3690" spans="1:40" x14ac:dyDescent="0.3">
      <c r="A3690" s="52">
        <v>3685</v>
      </c>
      <c r="B3690" s="52">
        <f>-bthan*500+(34+0.5)*bthan*1000/50</f>
        <v>1045</v>
      </c>
      <c r="C3690" s="52">
        <f t="shared" si="335"/>
        <v>670.00000000000023</v>
      </c>
      <c r="D3690" s="52">
        <f t="shared" si="332"/>
        <v>2200</v>
      </c>
      <c r="E3690" s="52">
        <f t="shared" si="333"/>
        <v>1</v>
      </c>
      <c r="F3690" s="52"/>
      <c r="G3690" s="52"/>
      <c r="H3690" s="52"/>
      <c r="I3690" s="52"/>
      <c r="J3690" s="52"/>
      <c r="K3690" s="52"/>
      <c r="L3690" s="52"/>
      <c r="M3690" s="52"/>
      <c r="N3690" s="52"/>
      <c r="O3690" s="52"/>
      <c r="P3690" s="52"/>
      <c r="Q3690" s="52"/>
      <c r="R3690" s="52"/>
      <c r="S3690" s="52"/>
      <c r="T3690" s="52"/>
      <c r="U3690" s="52"/>
      <c r="V3690" s="52"/>
      <c r="W3690" s="52"/>
      <c r="X3690" s="52"/>
      <c r="Y3690" s="52"/>
      <c r="Z3690" s="52"/>
      <c r="AA3690" s="52"/>
      <c r="AB3690" s="52"/>
      <c r="AC3690" s="52"/>
      <c r="AD3690" s="52"/>
      <c r="AE3690" s="52"/>
      <c r="AF3690" s="52"/>
      <c r="AG3690" s="52"/>
      <c r="AH3690" s="52"/>
      <c r="AI3690" s="52"/>
      <c r="AJ3690" s="52"/>
      <c r="AK3690" s="52"/>
      <c r="AL3690" s="52"/>
      <c r="AM3690" s="52"/>
      <c r="AN3690" s="52"/>
    </row>
    <row r="3691" spans="1:40" x14ac:dyDescent="0.3">
      <c r="A3691" s="52">
        <v>3686</v>
      </c>
      <c r="B3691" s="52">
        <f>-bthan*500+(35+0.5)*bthan*1000/50</f>
        <v>1155</v>
      </c>
      <c r="C3691" s="52">
        <f t="shared" si="335"/>
        <v>670.00000000000023</v>
      </c>
      <c r="D3691" s="52">
        <f t="shared" si="332"/>
        <v>2200</v>
      </c>
      <c r="E3691" s="52">
        <f t="shared" si="333"/>
        <v>1</v>
      </c>
      <c r="F3691" s="52"/>
      <c r="G3691" s="52"/>
      <c r="H3691" s="52"/>
      <c r="I3691" s="52"/>
      <c r="J3691" s="52"/>
      <c r="K3691" s="52"/>
      <c r="L3691" s="52"/>
      <c r="M3691" s="52"/>
      <c r="N3691" s="52"/>
      <c r="O3691" s="52"/>
      <c r="P3691" s="52"/>
      <c r="Q3691" s="52"/>
      <c r="R3691" s="52"/>
      <c r="S3691" s="52"/>
      <c r="T3691" s="52"/>
      <c r="U3691" s="52"/>
      <c r="V3691" s="52"/>
      <c r="W3691" s="52"/>
      <c r="X3691" s="52"/>
      <c r="Y3691" s="52"/>
      <c r="Z3691" s="52"/>
      <c r="AA3691" s="52"/>
      <c r="AB3691" s="52"/>
      <c r="AC3691" s="52"/>
      <c r="AD3691" s="52"/>
      <c r="AE3691" s="52"/>
      <c r="AF3691" s="52"/>
      <c r="AG3691" s="52"/>
      <c r="AH3691" s="52"/>
      <c r="AI3691" s="52"/>
      <c r="AJ3691" s="52"/>
      <c r="AK3691" s="52"/>
      <c r="AL3691" s="52"/>
      <c r="AM3691" s="52"/>
      <c r="AN3691" s="52"/>
    </row>
    <row r="3692" spans="1:40" x14ac:dyDescent="0.3">
      <c r="A3692" s="52">
        <v>3687</v>
      </c>
      <c r="B3692" s="52">
        <f>-bthan*500+(36+0.5)*bthan*1000/50</f>
        <v>1265</v>
      </c>
      <c r="C3692" s="52">
        <f t="shared" si="335"/>
        <v>670.00000000000023</v>
      </c>
      <c r="D3692" s="52">
        <f t="shared" si="332"/>
        <v>2200</v>
      </c>
      <c r="E3692" s="52">
        <f t="shared" si="333"/>
        <v>1</v>
      </c>
      <c r="F3692" s="52"/>
      <c r="G3692" s="52"/>
      <c r="H3692" s="52"/>
      <c r="I3692" s="52"/>
      <c r="J3692" s="52"/>
      <c r="K3692" s="52"/>
      <c r="L3692" s="52"/>
      <c r="M3692" s="52"/>
      <c r="N3692" s="52"/>
      <c r="O3692" s="52"/>
      <c r="P3692" s="52"/>
      <c r="Q3692" s="52"/>
      <c r="R3692" s="52"/>
      <c r="S3692" s="52"/>
      <c r="T3692" s="52"/>
      <c r="U3692" s="52"/>
      <c r="V3692" s="52"/>
      <c r="W3692" s="52"/>
      <c r="X3692" s="52"/>
      <c r="Y3692" s="52"/>
      <c r="Z3692" s="52"/>
      <c r="AA3692" s="52"/>
      <c r="AB3692" s="52"/>
      <c r="AC3692" s="52"/>
      <c r="AD3692" s="52"/>
      <c r="AE3692" s="52"/>
      <c r="AF3692" s="52"/>
      <c r="AG3692" s="52"/>
      <c r="AH3692" s="52"/>
      <c r="AI3692" s="52"/>
      <c r="AJ3692" s="52"/>
      <c r="AK3692" s="52"/>
      <c r="AL3692" s="52"/>
      <c r="AM3692" s="52"/>
      <c r="AN3692" s="52"/>
    </row>
    <row r="3693" spans="1:40" x14ac:dyDescent="0.3">
      <c r="A3693" s="52">
        <v>3688</v>
      </c>
      <c r="B3693" s="52">
        <f>-bthan*500+(37+0.5)*bthan*1000/50</f>
        <v>1375</v>
      </c>
      <c r="C3693" s="52">
        <f t="shared" si="335"/>
        <v>670.00000000000023</v>
      </c>
      <c r="D3693" s="52">
        <f t="shared" si="332"/>
        <v>2200</v>
      </c>
      <c r="E3693" s="52">
        <f t="shared" si="333"/>
        <v>1</v>
      </c>
      <c r="F3693" s="52"/>
      <c r="G3693" s="52"/>
      <c r="H3693" s="52"/>
      <c r="I3693" s="52"/>
      <c r="J3693" s="52"/>
      <c r="K3693" s="52"/>
      <c r="L3693" s="52"/>
      <c r="M3693" s="52"/>
      <c r="N3693" s="52"/>
      <c r="O3693" s="52"/>
      <c r="P3693" s="52"/>
      <c r="Q3693" s="52"/>
      <c r="R3693" s="52"/>
      <c r="S3693" s="52"/>
      <c r="T3693" s="52"/>
      <c r="U3693" s="52"/>
      <c r="V3693" s="52"/>
      <c r="W3693" s="52"/>
      <c r="X3693" s="52"/>
      <c r="Y3693" s="52"/>
      <c r="Z3693" s="52"/>
      <c r="AA3693" s="52"/>
      <c r="AB3693" s="52"/>
      <c r="AC3693" s="52"/>
      <c r="AD3693" s="52"/>
      <c r="AE3693" s="52"/>
      <c r="AF3693" s="52"/>
      <c r="AG3693" s="52"/>
      <c r="AH3693" s="52"/>
      <c r="AI3693" s="52"/>
      <c r="AJ3693" s="52"/>
      <c r="AK3693" s="52"/>
      <c r="AL3693" s="52"/>
      <c r="AM3693" s="52"/>
      <c r="AN3693" s="52"/>
    </row>
    <row r="3694" spans="1:40" x14ac:dyDescent="0.3">
      <c r="A3694" s="52">
        <v>3689</v>
      </c>
      <c r="B3694" s="52">
        <f>-bthan*500+(38+0.5)*bthan*1000/50</f>
        <v>1485</v>
      </c>
      <c r="C3694" s="52">
        <f t="shared" si="335"/>
        <v>670.00000000000023</v>
      </c>
      <c r="D3694" s="52">
        <f t="shared" si="332"/>
        <v>2200</v>
      </c>
      <c r="E3694" s="52">
        <f t="shared" si="333"/>
        <v>1</v>
      </c>
      <c r="F3694" s="52"/>
      <c r="G3694" s="52"/>
      <c r="H3694" s="52"/>
      <c r="I3694" s="52"/>
      <c r="J3694" s="52"/>
      <c r="K3694" s="52"/>
      <c r="L3694" s="52"/>
      <c r="M3694" s="52"/>
      <c r="N3694" s="52"/>
      <c r="O3694" s="52"/>
      <c r="P3694" s="52"/>
      <c r="Q3694" s="52"/>
      <c r="R3694" s="52"/>
      <c r="S3694" s="52"/>
      <c r="T3694" s="52"/>
      <c r="U3694" s="52"/>
      <c r="V3694" s="52"/>
      <c r="W3694" s="52"/>
      <c r="X3694" s="52"/>
      <c r="Y3694" s="52"/>
      <c r="Z3694" s="52"/>
      <c r="AA3694" s="52"/>
      <c r="AB3694" s="52"/>
      <c r="AC3694" s="52"/>
      <c r="AD3694" s="52"/>
      <c r="AE3694" s="52"/>
      <c r="AF3694" s="52"/>
      <c r="AG3694" s="52"/>
      <c r="AH3694" s="52"/>
      <c r="AI3694" s="52"/>
      <c r="AJ3694" s="52"/>
      <c r="AK3694" s="52"/>
      <c r="AL3694" s="52"/>
      <c r="AM3694" s="52"/>
      <c r="AN3694" s="52"/>
    </row>
    <row r="3695" spans="1:40" x14ac:dyDescent="0.3">
      <c r="A3695" s="52">
        <v>3690</v>
      </c>
      <c r="B3695" s="52">
        <f>-bthan*500+(39+0.5)*bthan*1000/50</f>
        <v>1595</v>
      </c>
      <c r="C3695" s="52">
        <f t="shared" si="335"/>
        <v>670.00000000000023</v>
      </c>
      <c r="D3695" s="52">
        <f t="shared" si="332"/>
        <v>2200</v>
      </c>
      <c r="E3695" s="52">
        <f t="shared" si="333"/>
        <v>1</v>
      </c>
      <c r="F3695" s="52"/>
      <c r="G3695" s="52"/>
      <c r="H3695" s="52"/>
      <c r="I3695" s="52"/>
      <c r="J3695" s="52"/>
      <c r="K3695" s="52"/>
      <c r="L3695" s="52"/>
      <c r="M3695" s="52"/>
      <c r="N3695" s="52"/>
      <c r="O3695" s="52"/>
      <c r="P3695" s="52"/>
      <c r="Q3695" s="52"/>
      <c r="R3695" s="52"/>
      <c r="S3695" s="52"/>
      <c r="T3695" s="52"/>
      <c r="U3695" s="52"/>
      <c r="V3695" s="52"/>
      <c r="W3695" s="52"/>
      <c r="X3695" s="52"/>
      <c r="Y3695" s="52"/>
      <c r="Z3695" s="52"/>
      <c r="AA3695" s="52"/>
      <c r="AB3695" s="52"/>
      <c r="AC3695" s="52"/>
      <c r="AD3695" s="52"/>
      <c r="AE3695" s="52"/>
      <c r="AF3695" s="52"/>
      <c r="AG3695" s="52"/>
      <c r="AH3695" s="52"/>
      <c r="AI3695" s="52"/>
      <c r="AJ3695" s="52"/>
      <c r="AK3695" s="52"/>
      <c r="AL3695" s="52"/>
      <c r="AM3695" s="52"/>
      <c r="AN3695" s="52"/>
    </row>
    <row r="3696" spans="1:40" x14ac:dyDescent="0.3">
      <c r="A3696" s="52">
        <v>3691</v>
      </c>
      <c r="B3696" s="52">
        <f>-bthan*500+(40+0.5)*bthan*1000/50</f>
        <v>1705</v>
      </c>
      <c r="C3696" s="52">
        <f t="shared" si="335"/>
        <v>670.00000000000023</v>
      </c>
      <c r="D3696" s="52">
        <f t="shared" si="332"/>
        <v>2200</v>
      </c>
      <c r="E3696" s="52">
        <f t="shared" si="333"/>
        <v>1</v>
      </c>
      <c r="F3696" s="52"/>
      <c r="G3696" s="52"/>
      <c r="H3696" s="52"/>
      <c r="I3696" s="52"/>
      <c r="J3696" s="52"/>
      <c r="K3696" s="52"/>
      <c r="L3696" s="52"/>
      <c r="M3696" s="52"/>
      <c r="N3696" s="52"/>
      <c r="O3696" s="52"/>
      <c r="P3696" s="52"/>
      <c r="Q3696" s="52"/>
      <c r="R3696" s="52"/>
      <c r="S3696" s="52"/>
      <c r="T3696" s="52"/>
      <c r="U3696" s="52"/>
      <c r="V3696" s="52"/>
      <c r="W3696" s="52"/>
      <c r="X3696" s="52"/>
      <c r="Y3696" s="52"/>
      <c r="Z3696" s="52"/>
      <c r="AA3696" s="52"/>
      <c r="AB3696" s="52"/>
      <c r="AC3696" s="52"/>
      <c r="AD3696" s="52"/>
      <c r="AE3696" s="52"/>
      <c r="AF3696" s="52"/>
      <c r="AG3696" s="52"/>
      <c r="AH3696" s="52"/>
      <c r="AI3696" s="52"/>
      <c r="AJ3696" s="52"/>
      <c r="AK3696" s="52"/>
      <c r="AL3696" s="52"/>
      <c r="AM3696" s="52"/>
      <c r="AN3696" s="52"/>
    </row>
    <row r="3697" spans="1:40" x14ac:dyDescent="0.3">
      <c r="A3697" s="52">
        <v>3692</v>
      </c>
      <c r="B3697" s="52">
        <f>-bthan*500+(41+0.5)*bthan*1000/50</f>
        <v>1815</v>
      </c>
      <c r="C3697" s="52">
        <f t="shared" si="335"/>
        <v>670.00000000000023</v>
      </c>
      <c r="D3697" s="52">
        <f t="shared" si="332"/>
        <v>2200</v>
      </c>
      <c r="E3697" s="52">
        <f t="shared" si="333"/>
        <v>1</v>
      </c>
      <c r="F3697" s="52"/>
      <c r="G3697" s="52"/>
      <c r="H3697" s="52"/>
      <c r="I3697" s="52"/>
      <c r="J3697" s="52"/>
      <c r="K3697" s="52"/>
      <c r="L3697" s="52"/>
      <c r="M3697" s="52"/>
      <c r="N3697" s="52"/>
      <c r="O3697" s="52"/>
      <c r="P3697" s="52"/>
      <c r="Q3697" s="52"/>
      <c r="R3697" s="52"/>
      <c r="S3697" s="52"/>
      <c r="T3697" s="52"/>
      <c r="U3697" s="52"/>
      <c r="V3697" s="52"/>
      <c r="W3697" s="52"/>
      <c r="X3697" s="52"/>
      <c r="Y3697" s="52"/>
      <c r="Z3697" s="52"/>
      <c r="AA3697" s="52"/>
      <c r="AB3697" s="52"/>
      <c r="AC3697" s="52"/>
      <c r="AD3697" s="52"/>
      <c r="AE3697" s="52"/>
      <c r="AF3697" s="52"/>
      <c r="AG3697" s="52"/>
      <c r="AH3697" s="52"/>
      <c r="AI3697" s="52"/>
      <c r="AJ3697" s="52"/>
      <c r="AK3697" s="52"/>
      <c r="AL3697" s="52"/>
      <c r="AM3697" s="52"/>
      <c r="AN3697" s="52"/>
    </row>
    <row r="3698" spans="1:40" x14ac:dyDescent="0.3">
      <c r="A3698" s="52">
        <v>3693</v>
      </c>
      <c r="B3698" s="52">
        <f>-bthan*500+(42+0.5)*bthan*1000/50</f>
        <v>1925</v>
      </c>
      <c r="C3698" s="52">
        <f t="shared" si="335"/>
        <v>670.00000000000023</v>
      </c>
      <c r="D3698" s="52">
        <f t="shared" si="332"/>
        <v>2200</v>
      </c>
      <c r="E3698" s="52">
        <f t="shared" si="333"/>
        <v>1</v>
      </c>
      <c r="F3698" s="52"/>
      <c r="G3698" s="52"/>
      <c r="H3698" s="52"/>
      <c r="I3698" s="52"/>
      <c r="J3698" s="52"/>
      <c r="K3698" s="52"/>
      <c r="L3698" s="52"/>
      <c r="M3698" s="52"/>
      <c r="N3698" s="52"/>
      <c r="O3698" s="52"/>
      <c r="P3698" s="52"/>
      <c r="Q3698" s="52"/>
      <c r="R3698" s="52"/>
      <c r="S3698" s="52"/>
      <c r="T3698" s="52"/>
      <c r="U3698" s="52"/>
      <c r="V3698" s="52"/>
      <c r="W3698" s="52"/>
      <c r="X3698" s="52"/>
      <c r="Y3698" s="52"/>
      <c r="Z3698" s="52"/>
      <c r="AA3698" s="52"/>
      <c r="AB3698" s="52"/>
      <c r="AC3698" s="52"/>
      <c r="AD3698" s="52"/>
      <c r="AE3698" s="52"/>
      <c r="AF3698" s="52"/>
      <c r="AG3698" s="52"/>
      <c r="AH3698" s="52"/>
      <c r="AI3698" s="52"/>
      <c r="AJ3698" s="52"/>
      <c r="AK3698" s="52"/>
      <c r="AL3698" s="52"/>
      <c r="AM3698" s="52"/>
      <c r="AN3698" s="52"/>
    </row>
    <row r="3699" spans="1:40" x14ac:dyDescent="0.3">
      <c r="A3699" s="52">
        <v>3694</v>
      </c>
      <c r="B3699" s="52">
        <f>-bthan*500+(43+0.5)*bthan*1000/50</f>
        <v>2035</v>
      </c>
      <c r="C3699" s="52">
        <f t="shared" si="335"/>
        <v>670.00000000000023</v>
      </c>
      <c r="D3699" s="52">
        <f t="shared" si="332"/>
        <v>2200</v>
      </c>
      <c r="E3699" s="52">
        <f t="shared" si="333"/>
        <v>1</v>
      </c>
      <c r="F3699" s="52"/>
      <c r="G3699" s="52"/>
      <c r="H3699" s="52"/>
      <c r="I3699" s="52"/>
      <c r="J3699" s="52"/>
      <c r="K3699" s="52"/>
      <c r="L3699" s="52"/>
      <c r="M3699" s="52"/>
      <c r="N3699" s="52"/>
      <c r="O3699" s="52"/>
      <c r="P3699" s="52"/>
      <c r="Q3699" s="52"/>
      <c r="R3699" s="52"/>
      <c r="S3699" s="52"/>
      <c r="T3699" s="52"/>
      <c r="U3699" s="52"/>
      <c r="V3699" s="52"/>
      <c r="W3699" s="52"/>
      <c r="X3699" s="52"/>
      <c r="Y3699" s="52"/>
      <c r="Z3699" s="52"/>
      <c r="AA3699" s="52"/>
      <c r="AB3699" s="52"/>
      <c r="AC3699" s="52"/>
      <c r="AD3699" s="52"/>
      <c r="AE3699" s="52"/>
      <c r="AF3699" s="52"/>
      <c r="AG3699" s="52"/>
      <c r="AH3699" s="52"/>
      <c r="AI3699" s="52"/>
      <c r="AJ3699" s="52"/>
      <c r="AK3699" s="52"/>
      <c r="AL3699" s="52"/>
      <c r="AM3699" s="52"/>
      <c r="AN3699" s="52"/>
    </row>
    <row r="3700" spans="1:40" x14ac:dyDescent="0.3">
      <c r="A3700" s="52">
        <v>3695</v>
      </c>
      <c r="B3700" s="52">
        <f>-bthan*500+(44+0.5)*bthan*1000/50</f>
        <v>2145</v>
      </c>
      <c r="C3700" s="52">
        <f t="shared" si="335"/>
        <v>670.00000000000023</v>
      </c>
      <c r="D3700" s="52">
        <f t="shared" si="332"/>
        <v>2200</v>
      </c>
      <c r="E3700" s="52">
        <f t="shared" si="333"/>
        <v>1</v>
      </c>
      <c r="F3700" s="52"/>
      <c r="G3700" s="52"/>
      <c r="H3700" s="52"/>
      <c r="I3700" s="52"/>
      <c r="J3700" s="52"/>
      <c r="K3700" s="52"/>
      <c r="L3700" s="52"/>
      <c r="M3700" s="52"/>
      <c r="N3700" s="52"/>
      <c r="O3700" s="52"/>
      <c r="P3700" s="52"/>
      <c r="Q3700" s="52"/>
      <c r="R3700" s="52"/>
      <c r="S3700" s="52"/>
      <c r="T3700" s="52"/>
      <c r="U3700" s="52"/>
      <c r="V3700" s="52"/>
      <c r="W3700" s="52"/>
      <c r="X3700" s="52"/>
      <c r="Y3700" s="52"/>
      <c r="Z3700" s="52"/>
      <c r="AA3700" s="52"/>
      <c r="AB3700" s="52"/>
      <c r="AC3700" s="52"/>
      <c r="AD3700" s="52"/>
      <c r="AE3700" s="52"/>
      <c r="AF3700" s="52"/>
      <c r="AG3700" s="52"/>
      <c r="AH3700" s="52"/>
      <c r="AI3700" s="52"/>
      <c r="AJ3700" s="52"/>
      <c r="AK3700" s="52"/>
      <c r="AL3700" s="52"/>
      <c r="AM3700" s="52"/>
      <c r="AN3700" s="52"/>
    </row>
    <row r="3701" spans="1:40" x14ac:dyDescent="0.3">
      <c r="A3701" s="52">
        <v>3696</v>
      </c>
      <c r="B3701" s="52">
        <f>-bthan*500+(45+0.5)*bthan*1000/50</f>
        <v>2255</v>
      </c>
      <c r="C3701" s="52">
        <f t="shared" si="335"/>
        <v>670.00000000000023</v>
      </c>
      <c r="D3701" s="52">
        <f t="shared" si="332"/>
        <v>2200</v>
      </c>
      <c r="E3701" s="52">
        <f t="shared" si="333"/>
        <v>1</v>
      </c>
      <c r="F3701" s="52"/>
      <c r="G3701" s="52"/>
      <c r="H3701" s="52"/>
      <c r="I3701" s="52"/>
      <c r="J3701" s="52"/>
      <c r="K3701" s="52"/>
      <c r="L3701" s="52"/>
      <c r="M3701" s="52"/>
      <c r="N3701" s="52"/>
      <c r="O3701" s="52"/>
      <c r="P3701" s="52"/>
      <c r="Q3701" s="52"/>
      <c r="R3701" s="52"/>
      <c r="S3701" s="52"/>
      <c r="T3701" s="52"/>
      <c r="U3701" s="52"/>
      <c r="V3701" s="52"/>
      <c r="W3701" s="52"/>
      <c r="X3701" s="52"/>
      <c r="Y3701" s="52"/>
      <c r="Z3701" s="52"/>
      <c r="AA3701" s="52"/>
      <c r="AB3701" s="52"/>
      <c r="AC3701" s="52"/>
      <c r="AD3701" s="52"/>
      <c r="AE3701" s="52"/>
      <c r="AF3701" s="52"/>
      <c r="AG3701" s="52"/>
      <c r="AH3701" s="52"/>
      <c r="AI3701" s="52"/>
      <c r="AJ3701" s="52"/>
      <c r="AK3701" s="52"/>
      <c r="AL3701" s="52"/>
      <c r="AM3701" s="52"/>
      <c r="AN3701" s="52"/>
    </row>
    <row r="3702" spans="1:40" x14ac:dyDescent="0.3">
      <c r="A3702" s="52">
        <v>3697</v>
      </c>
      <c r="B3702" s="52">
        <f>-bthan*500+(46+0.5)*bthan*1000/50</f>
        <v>2365</v>
      </c>
      <c r="C3702" s="52">
        <f t="shared" si="335"/>
        <v>670.00000000000023</v>
      </c>
      <c r="D3702" s="52">
        <f t="shared" si="332"/>
        <v>2200</v>
      </c>
      <c r="E3702" s="52">
        <f t="shared" si="333"/>
        <v>1</v>
      </c>
      <c r="F3702" s="52"/>
      <c r="G3702" s="52"/>
      <c r="H3702" s="52"/>
      <c r="I3702" s="52"/>
      <c r="J3702" s="52"/>
      <c r="K3702" s="52"/>
      <c r="L3702" s="52"/>
      <c r="M3702" s="52"/>
      <c r="N3702" s="52"/>
      <c r="O3702" s="52"/>
      <c r="P3702" s="52"/>
      <c r="Q3702" s="52"/>
      <c r="R3702" s="52"/>
      <c r="S3702" s="52"/>
      <c r="T3702" s="52"/>
      <c r="U3702" s="52"/>
      <c r="V3702" s="52"/>
      <c r="W3702" s="52"/>
      <c r="X3702" s="52"/>
      <c r="Y3702" s="52"/>
      <c r="Z3702" s="52"/>
      <c r="AA3702" s="52"/>
      <c r="AB3702" s="52"/>
      <c r="AC3702" s="52"/>
      <c r="AD3702" s="52"/>
      <c r="AE3702" s="52"/>
      <c r="AF3702" s="52"/>
      <c r="AG3702" s="52"/>
      <c r="AH3702" s="52"/>
      <c r="AI3702" s="52"/>
      <c r="AJ3702" s="52"/>
      <c r="AK3702" s="52"/>
      <c r="AL3702" s="52"/>
      <c r="AM3702" s="52"/>
      <c r="AN3702" s="52"/>
    </row>
    <row r="3703" spans="1:40" x14ac:dyDescent="0.3">
      <c r="A3703" s="52">
        <v>3698</v>
      </c>
      <c r="B3703" s="52">
        <f>-bthan*500+(47+0.5)*bthan*1000/50</f>
        <v>2475</v>
      </c>
      <c r="C3703" s="52">
        <f t="shared" si="335"/>
        <v>670.00000000000023</v>
      </c>
      <c r="D3703" s="52">
        <f t="shared" si="332"/>
        <v>2200</v>
      </c>
      <c r="E3703" s="52">
        <f t="shared" si="333"/>
        <v>0</v>
      </c>
      <c r="F3703" s="52"/>
      <c r="G3703" s="52"/>
      <c r="H3703" s="52"/>
      <c r="I3703" s="52"/>
      <c r="J3703" s="52"/>
      <c r="K3703" s="52"/>
      <c r="L3703" s="52"/>
      <c r="M3703" s="52"/>
      <c r="N3703" s="52"/>
      <c r="O3703" s="52"/>
      <c r="P3703" s="52"/>
      <c r="Q3703" s="52"/>
      <c r="R3703" s="52"/>
      <c r="S3703" s="52"/>
      <c r="T3703" s="52"/>
      <c r="U3703" s="52"/>
      <c r="V3703" s="52"/>
      <c r="W3703" s="52"/>
      <c r="X3703" s="52"/>
      <c r="Y3703" s="52"/>
      <c r="Z3703" s="52"/>
      <c r="AA3703" s="52"/>
      <c r="AB3703" s="52"/>
      <c r="AC3703" s="52"/>
      <c r="AD3703" s="52"/>
      <c r="AE3703" s="52"/>
      <c r="AF3703" s="52"/>
      <c r="AG3703" s="52"/>
      <c r="AH3703" s="52"/>
      <c r="AI3703" s="52"/>
      <c r="AJ3703" s="52"/>
      <c r="AK3703" s="52"/>
      <c r="AL3703" s="52"/>
      <c r="AM3703" s="52"/>
      <c r="AN3703" s="52"/>
    </row>
    <row r="3704" spans="1:40" x14ac:dyDescent="0.3">
      <c r="A3704" s="52">
        <v>3699</v>
      </c>
      <c r="B3704" s="52">
        <f>-bthan*500+(48+0.5)*bthan*1000/50</f>
        <v>2585</v>
      </c>
      <c r="C3704" s="52">
        <f t="shared" si="335"/>
        <v>670.00000000000023</v>
      </c>
      <c r="D3704" s="52">
        <f t="shared" si="332"/>
        <v>2200</v>
      </c>
      <c r="E3704" s="52">
        <f t="shared" si="333"/>
        <v>0</v>
      </c>
      <c r="F3704" s="52"/>
      <c r="G3704" s="52"/>
      <c r="H3704" s="52"/>
      <c r="I3704" s="52"/>
      <c r="J3704" s="52"/>
      <c r="K3704" s="52"/>
      <c r="L3704" s="52"/>
      <c r="M3704" s="52"/>
      <c r="N3704" s="52"/>
      <c r="O3704" s="52"/>
      <c r="P3704" s="52"/>
      <c r="Q3704" s="52"/>
      <c r="R3704" s="52"/>
      <c r="S3704" s="52"/>
      <c r="T3704" s="52"/>
      <c r="U3704" s="52"/>
      <c r="V3704" s="52"/>
      <c r="W3704" s="52"/>
      <c r="X3704" s="52"/>
      <c r="Y3704" s="52"/>
      <c r="Z3704" s="52"/>
      <c r="AA3704" s="52"/>
      <c r="AB3704" s="52"/>
      <c r="AC3704" s="52"/>
      <c r="AD3704" s="52"/>
      <c r="AE3704" s="52"/>
      <c r="AF3704" s="52"/>
      <c r="AG3704" s="52"/>
      <c r="AH3704" s="52"/>
      <c r="AI3704" s="52"/>
      <c r="AJ3704" s="52"/>
      <c r="AK3704" s="52"/>
      <c r="AL3704" s="52"/>
      <c r="AM3704" s="52"/>
      <c r="AN3704" s="52"/>
    </row>
    <row r="3705" spans="1:40" x14ac:dyDescent="0.3">
      <c r="A3705" s="52">
        <v>3700</v>
      </c>
      <c r="B3705" s="52">
        <f>-bthan*500+(49+0.5)*bthan*1000/50</f>
        <v>2695</v>
      </c>
      <c r="C3705" s="52">
        <f t="shared" si="335"/>
        <v>670.00000000000023</v>
      </c>
      <c r="D3705" s="52">
        <f t="shared" si="332"/>
        <v>2200</v>
      </c>
      <c r="E3705" s="52">
        <f t="shared" si="333"/>
        <v>0</v>
      </c>
      <c r="F3705" s="52"/>
      <c r="G3705" s="52"/>
      <c r="H3705" s="52"/>
      <c r="I3705" s="52"/>
      <c r="J3705" s="52"/>
      <c r="K3705" s="52"/>
      <c r="L3705" s="52"/>
      <c r="M3705" s="52"/>
      <c r="N3705" s="52"/>
      <c r="O3705" s="52"/>
      <c r="P3705" s="52"/>
      <c r="Q3705" s="52"/>
      <c r="R3705" s="52"/>
      <c r="S3705" s="52"/>
      <c r="T3705" s="52"/>
      <c r="U3705" s="52"/>
      <c r="V3705" s="52"/>
      <c r="W3705" s="52"/>
      <c r="X3705" s="52"/>
      <c r="Y3705" s="52"/>
      <c r="Z3705" s="52"/>
      <c r="AA3705" s="52"/>
      <c r="AB3705" s="52"/>
      <c r="AC3705" s="52"/>
      <c r="AD3705" s="52"/>
      <c r="AE3705" s="52"/>
      <c r="AF3705" s="52"/>
      <c r="AG3705" s="52"/>
      <c r="AH3705" s="52"/>
      <c r="AI3705" s="52"/>
      <c r="AJ3705" s="52"/>
      <c r="AK3705" s="52"/>
      <c r="AL3705" s="52"/>
      <c r="AM3705" s="52"/>
      <c r="AN3705" s="52"/>
    </row>
    <row r="3706" spans="1:40" x14ac:dyDescent="0.3">
      <c r="A3706" s="52">
        <v>3701</v>
      </c>
      <c r="B3706" s="52">
        <f>-bthan*500+(0+0.5)*bthan*1000/50</f>
        <v>-2695</v>
      </c>
      <c r="C3706" s="52">
        <f t="shared" ref="C3706:C3737" si="336">-hthan*500+(74+0.5)*hthan*1000/80</f>
        <v>690</v>
      </c>
      <c r="D3706" s="52">
        <f t="shared" si="332"/>
        <v>2200</v>
      </c>
      <c r="E3706" s="52">
        <f t="shared" si="333"/>
        <v>0</v>
      </c>
      <c r="F3706" s="52"/>
      <c r="G3706" s="52"/>
      <c r="H3706" s="52"/>
      <c r="I3706" s="52"/>
      <c r="J3706" s="52"/>
      <c r="K3706" s="52"/>
      <c r="L3706" s="52"/>
      <c r="M3706" s="52"/>
      <c r="N3706" s="52"/>
      <c r="O3706" s="52"/>
      <c r="P3706" s="52"/>
      <c r="Q3706" s="52"/>
      <c r="R3706" s="52"/>
      <c r="S3706" s="52"/>
      <c r="T3706" s="52"/>
      <c r="U3706" s="52"/>
      <c r="V3706" s="52"/>
      <c r="W3706" s="52"/>
      <c r="X3706" s="52"/>
      <c r="Y3706" s="52"/>
      <c r="Z3706" s="52"/>
      <c r="AA3706" s="52"/>
      <c r="AB3706" s="52"/>
      <c r="AC3706" s="52"/>
      <c r="AD3706" s="52"/>
      <c r="AE3706" s="52"/>
      <c r="AF3706" s="52"/>
      <c r="AG3706" s="52"/>
      <c r="AH3706" s="52"/>
      <c r="AI3706" s="52"/>
      <c r="AJ3706" s="52"/>
      <c r="AK3706" s="52"/>
      <c r="AL3706" s="52"/>
      <c r="AM3706" s="52"/>
      <c r="AN3706" s="52"/>
    </row>
    <row r="3707" spans="1:40" x14ac:dyDescent="0.3">
      <c r="A3707" s="52">
        <v>3702</v>
      </c>
      <c r="B3707" s="52">
        <f>-bthan*500+(1+0.5)*bthan*1000/50</f>
        <v>-2585</v>
      </c>
      <c r="C3707" s="52">
        <f t="shared" si="336"/>
        <v>690</v>
      </c>
      <c r="D3707" s="52">
        <f t="shared" si="332"/>
        <v>2200</v>
      </c>
      <c r="E3707" s="52">
        <f t="shared" si="333"/>
        <v>0</v>
      </c>
      <c r="F3707" s="52"/>
      <c r="G3707" s="52"/>
      <c r="H3707" s="52"/>
      <c r="I3707" s="52"/>
      <c r="J3707" s="52"/>
      <c r="K3707" s="52"/>
      <c r="L3707" s="52"/>
      <c r="M3707" s="52"/>
      <c r="N3707" s="52"/>
      <c r="O3707" s="52"/>
      <c r="P3707" s="52"/>
      <c r="Q3707" s="52"/>
      <c r="R3707" s="52"/>
      <c r="S3707" s="52"/>
      <c r="T3707" s="52"/>
      <c r="U3707" s="52"/>
      <c r="V3707" s="52"/>
      <c r="W3707" s="52"/>
      <c r="X3707" s="52"/>
      <c r="Y3707" s="52"/>
      <c r="Z3707" s="52"/>
      <c r="AA3707" s="52"/>
      <c r="AB3707" s="52"/>
      <c r="AC3707" s="52"/>
      <c r="AD3707" s="52"/>
      <c r="AE3707" s="52"/>
      <c r="AF3707" s="52"/>
      <c r="AG3707" s="52"/>
      <c r="AH3707" s="52"/>
      <c r="AI3707" s="52"/>
      <c r="AJ3707" s="52"/>
      <c r="AK3707" s="52"/>
      <c r="AL3707" s="52"/>
      <c r="AM3707" s="52"/>
      <c r="AN3707" s="52"/>
    </row>
    <row r="3708" spans="1:40" x14ac:dyDescent="0.3">
      <c r="A3708" s="52">
        <v>3703</v>
      </c>
      <c r="B3708" s="52">
        <f>-bthan*500+(2+0.5)*bthan*1000/50</f>
        <v>-2475</v>
      </c>
      <c r="C3708" s="52">
        <f t="shared" si="336"/>
        <v>690</v>
      </c>
      <c r="D3708" s="52">
        <f t="shared" si="332"/>
        <v>2200</v>
      </c>
      <c r="E3708" s="52">
        <f t="shared" si="333"/>
        <v>0</v>
      </c>
      <c r="F3708" s="52"/>
      <c r="G3708" s="52"/>
      <c r="H3708" s="52"/>
      <c r="I3708" s="52"/>
      <c r="J3708" s="52"/>
      <c r="K3708" s="52"/>
      <c r="L3708" s="52"/>
      <c r="M3708" s="52"/>
      <c r="N3708" s="52"/>
      <c r="O3708" s="52"/>
      <c r="P3708" s="52"/>
      <c r="Q3708" s="52"/>
      <c r="R3708" s="52"/>
      <c r="S3708" s="52"/>
      <c r="T3708" s="52"/>
      <c r="U3708" s="52"/>
      <c r="V3708" s="52"/>
      <c r="W3708" s="52"/>
      <c r="X3708" s="52"/>
      <c r="Y3708" s="52"/>
      <c r="Z3708" s="52"/>
      <c r="AA3708" s="52"/>
      <c r="AB3708" s="52"/>
      <c r="AC3708" s="52"/>
      <c r="AD3708" s="52"/>
      <c r="AE3708" s="52"/>
      <c r="AF3708" s="52"/>
      <c r="AG3708" s="52"/>
      <c r="AH3708" s="52"/>
      <c r="AI3708" s="52"/>
      <c r="AJ3708" s="52"/>
      <c r="AK3708" s="52"/>
      <c r="AL3708" s="52"/>
      <c r="AM3708" s="52"/>
      <c r="AN3708" s="52"/>
    </row>
    <row r="3709" spans="1:40" x14ac:dyDescent="0.3">
      <c r="A3709" s="52">
        <v>3704</v>
      </c>
      <c r="B3709" s="52">
        <f>-bthan*500+(3+0.5)*bthan*1000/50</f>
        <v>-2365</v>
      </c>
      <c r="C3709" s="52">
        <f t="shared" si="336"/>
        <v>690</v>
      </c>
      <c r="D3709" s="52">
        <f t="shared" si="332"/>
        <v>2200</v>
      </c>
      <c r="E3709" s="52">
        <f t="shared" si="333"/>
        <v>0</v>
      </c>
      <c r="F3709" s="52"/>
      <c r="G3709" s="52"/>
      <c r="H3709" s="52"/>
      <c r="I3709" s="52"/>
      <c r="J3709" s="52"/>
      <c r="K3709" s="52"/>
      <c r="L3709" s="52"/>
      <c r="M3709" s="52"/>
      <c r="N3709" s="52"/>
      <c r="O3709" s="52"/>
      <c r="P3709" s="52"/>
      <c r="Q3709" s="52"/>
      <c r="R3709" s="52"/>
      <c r="S3709" s="52"/>
      <c r="T3709" s="52"/>
      <c r="U3709" s="52"/>
      <c r="V3709" s="52"/>
      <c r="W3709" s="52"/>
      <c r="X3709" s="52"/>
      <c r="Y3709" s="52"/>
      <c r="Z3709" s="52"/>
      <c r="AA3709" s="52"/>
      <c r="AB3709" s="52"/>
      <c r="AC3709" s="52"/>
      <c r="AD3709" s="52"/>
      <c r="AE3709" s="52"/>
      <c r="AF3709" s="52"/>
      <c r="AG3709" s="52"/>
      <c r="AH3709" s="52"/>
      <c r="AI3709" s="52"/>
      <c r="AJ3709" s="52"/>
      <c r="AK3709" s="52"/>
      <c r="AL3709" s="52"/>
      <c r="AM3709" s="52"/>
      <c r="AN3709" s="52"/>
    </row>
    <row r="3710" spans="1:40" x14ac:dyDescent="0.3">
      <c r="A3710" s="52">
        <v>3705</v>
      </c>
      <c r="B3710" s="52">
        <f>-bthan*500+(4+0.5)*bthan*1000/50</f>
        <v>-2255</v>
      </c>
      <c r="C3710" s="52">
        <f t="shared" si="336"/>
        <v>690</v>
      </c>
      <c r="D3710" s="52">
        <f t="shared" si="332"/>
        <v>2200</v>
      </c>
      <c r="E3710" s="52">
        <f t="shared" si="333"/>
        <v>1</v>
      </c>
      <c r="F3710" s="52"/>
      <c r="G3710" s="52"/>
      <c r="H3710" s="52"/>
      <c r="I3710" s="52"/>
      <c r="J3710" s="52"/>
      <c r="K3710" s="52"/>
      <c r="L3710" s="52"/>
      <c r="M3710" s="52"/>
      <c r="N3710" s="52"/>
      <c r="O3710" s="52"/>
      <c r="P3710" s="52"/>
      <c r="Q3710" s="52"/>
      <c r="R3710" s="52"/>
      <c r="S3710" s="52"/>
      <c r="T3710" s="52"/>
      <c r="U3710" s="52"/>
      <c r="V3710" s="52"/>
      <c r="W3710" s="52"/>
      <c r="X3710" s="52"/>
      <c r="Y3710" s="52"/>
      <c r="Z3710" s="52"/>
      <c r="AA3710" s="52"/>
      <c r="AB3710" s="52"/>
      <c r="AC3710" s="52"/>
      <c r="AD3710" s="52"/>
      <c r="AE3710" s="52"/>
      <c r="AF3710" s="52"/>
      <c r="AG3710" s="52"/>
      <c r="AH3710" s="52"/>
      <c r="AI3710" s="52"/>
      <c r="AJ3710" s="52"/>
      <c r="AK3710" s="52"/>
      <c r="AL3710" s="52"/>
      <c r="AM3710" s="52"/>
      <c r="AN3710" s="52"/>
    </row>
    <row r="3711" spans="1:40" x14ac:dyDescent="0.3">
      <c r="A3711" s="52">
        <v>3706</v>
      </c>
      <c r="B3711" s="52">
        <f>-bthan*500+(5+0.5)*bthan*1000/50</f>
        <v>-2145</v>
      </c>
      <c r="C3711" s="52">
        <f t="shared" si="336"/>
        <v>690</v>
      </c>
      <c r="D3711" s="52">
        <f t="shared" si="332"/>
        <v>2200</v>
      </c>
      <c r="E3711" s="52">
        <f t="shared" si="333"/>
        <v>1</v>
      </c>
      <c r="F3711" s="52"/>
      <c r="G3711" s="52"/>
      <c r="H3711" s="52"/>
      <c r="I3711" s="52"/>
      <c r="J3711" s="52"/>
      <c r="K3711" s="52"/>
      <c r="L3711" s="52"/>
      <c r="M3711" s="52"/>
      <c r="N3711" s="52"/>
      <c r="O3711" s="52"/>
      <c r="P3711" s="52"/>
      <c r="Q3711" s="52"/>
      <c r="R3711" s="52"/>
      <c r="S3711" s="52"/>
      <c r="T3711" s="52"/>
      <c r="U3711" s="52"/>
      <c r="V3711" s="52"/>
      <c r="W3711" s="52"/>
      <c r="X3711" s="52"/>
      <c r="Y3711" s="52"/>
      <c r="Z3711" s="52"/>
      <c r="AA3711" s="52"/>
      <c r="AB3711" s="52"/>
      <c r="AC3711" s="52"/>
      <c r="AD3711" s="52"/>
      <c r="AE3711" s="52"/>
      <c r="AF3711" s="52"/>
      <c r="AG3711" s="52"/>
      <c r="AH3711" s="52"/>
      <c r="AI3711" s="52"/>
      <c r="AJ3711" s="52"/>
      <c r="AK3711" s="52"/>
      <c r="AL3711" s="52"/>
      <c r="AM3711" s="52"/>
      <c r="AN3711" s="52"/>
    </row>
    <row r="3712" spans="1:40" x14ac:dyDescent="0.3">
      <c r="A3712" s="52">
        <v>3707</v>
      </c>
      <c r="B3712" s="52">
        <f>-bthan*500+(6+0.5)*bthan*1000/50</f>
        <v>-2035</v>
      </c>
      <c r="C3712" s="52">
        <f t="shared" si="336"/>
        <v>690</v>
      </c>
      <c r="D3712" s="52">
        <f t="shared" si="332"/>
        <v>2200</v>
      </c>
      <c r="E3712" s="52">
        <f t="shared" si="333"/>
        <v>1</v>
      </c>
      <c r="F3712" s="52"/>
      <c r="G3712" s="52"/>
      <c r="H3712" s="52"/>
      <c r="I3712" s="52"/>
      <c r="J3712" s="52"/>
      <c r="K3712" s="52"/>
      <c r="L3712" s="52"/>
      <c r="M3712" s="52"/>
      <c r="N3712" s="52"/>
      <c r="O3712" s="52"/>
      <c r="P3712" s="52"/>
      <c r="Q3712" s="52"/>
      <c r="R3712" s="52"/>
      <c r="S3712" s="52"/>
      <c r="T3712" s="52"/>
      <c r="U3712" s="52"/>
      <c r="V3712" s="52"/>
      <c r="W3712" s="52"/>
      <c r="X3712" s="52"/>
      <c r="Y3712" s="52"/>
      <c r="Z3712" s="52"/>
      <c r="AA3712" s="52"/>
      <c r="AB3712" s="52"/>
      <c r="AC3712" s="52"/>
      <c r="AD3712" s="52"/>
      <c r="AE3712" s="52"/>
      <c r="AF3712" s="52"/>
      <c r="AG3712" s="52"/>
      <c r="AH3712" s="52"/>
      <c r="AI3712" s="52"/>
      <c r="AJ3712" s="52"/>
      <c r="AK3712" s="52"/>
      <c r="AL3712" s="52"/>
      <c r="AM3712" s="52"/>
      <c r="AN3712" s="52"/>
    </row>
    <row r="3713" spans="1:40" x14ac:dyDescent="0.3">
      <c r="A3713" s="52">
        <v>3708</v>
      </c>
      <c r="B3713" s="52">
        <f>-bthan*500+(7+0.5)*bthan*1000/50</f>
        <v>-1925</v>
      </c>
      <c r="C3713" s="52">
        <f t="shared" si="336"/>
        <v>690</v>
      </c>
      <c r="D3713" s="52">
        <f t="shared" si="332"/>
        <v>2200</v>
      </c>
      <c r="E3713" s="52">
        <f t="shared" si="333"/>
        <v>1</v>
      </c>
      <c r="F3713" s="52"/>
      <c r="G3713" s="52"/>
      <c r="H3713" s="52"/>
      <c r="I3713" s="52"/>
      <c r="J3713" s="52"/>
      <c r="K3713" s="52"/>
      <c r="L3713" s="52"/>
      <c r="M3713" s="52"/>
      <c r="N3713" s="52"/>
      <c r="O3713" s="52"/>
      <c r="P3713" s="52"/>
      <c r="Q3713" s="52"/>
      <c r="R3713" s="52"/>
      <c r="S3713" s="52"/>
      <c r="T3713" s="52"/>
      <c r="U3713" s="52"/>
      <c r="V3713" s="52"/>
      <c r="W3713" s="52"/>
      <c r="X3713" s="52"/>
      <c r="Y3713" s="52"/>
      <c r="Z3713" s="52"/>
      <c r="AA3713" s="52"/>
      <c r="AB3713" s="52"/>
      <c r="AC3713" s="52"/>
      <c r="AD3713" s="52"/>
      <c r="AE3713" s="52"/>
      <c r="AF3713" s="52"/>
      <c r="AG3713" s="52"/>
      <c r="AH3713" s="52"/>
      <c r="AI3713" s="52"/>
      <c r="AJ3713" s="52"/>
      <c r="AK3713" s="52"/>
      <c r="AL3713" s="52"/>
      <c r="AM3713" s="52"/>
      <c r="AN3713" s="52"/>
    </row>
    <row r="3714" spans="1:40" x14ac:dyDescent="0.3">
      <c r="A3714" s="52">
        <v>3709</v>
      </c>
      <c r="B3714" s="52">
        <f>-bthan*500+(8+0.5)*bthan*1000/50</f>
        <v>-1815</v>
      </c>
      <c r="C3714" s="52">
        <f t="shared" si="336"/>
        <v>690</v>
      </c>
      <c r="D3714" s="52">
        <f t="shared" si="332"/>
        <v>2200</v>
      </c>
      <c r="E3714" s="52">
        <f t="shared" si="333"/>
        <v>1</v>
      </c>
      <c r="F3714" s="52"/>
      <c r="G3714" s="52"/>
      <c r="H3714" s="52"/>
      <c r="I3714" s="52"/>
      <c r="J3714" s="52"/>
      <c r="K3714" s="52"/>
      <c r="L3714" s="52"/>
      <c r="M3714" s="52"/>
      <c r="N3714" s="52"/>
      <c r="O3714" s="52"/>
      <c r="P3714" s="52"/>
      <c r="Q3714" s="52"/>
      <c r="R3714" s="52"/>
      <c r="S3714" s="52"/>
      <c r="T3714" s="52"/>
      <c r="U3714" s="52"/>
      <c r="V3714" s="52"/>
      <c r="W3714" s="52"/>
      <c r="X3714" s="52"/>
      <c r="Y3714" s="52"/>
      <c r="Z3714" s="52"/>
      <c r="AA3714" s="52"/>
      <c r="AB3714" s="52"/>
      <c r="AC3714" s="52"/>
      <c r="AD3714" s="52"/>
      <c r="AE3714" s="52"/>
      <c r="AF3714" s="52"/>
      <c r="AG3714" s="52"/>
      <c r="AH3714" s="52"/>
      <c r="AI3714" s="52"/>
      <c r="AJ3714" s="52"/>
      <c r="AK3714" s="52"/>
      <c r="AL3714" s="52"/>
      <c r="AM3714" s="52"/>
      <c r="AN3714" s="52"/>
    </row>
    <row r="3715" spans="1:40" x14ac:dyDescent="0.3">
      <c r="A3715" s="52">
        <v>3710</v>
      </c>
      <c r="B3715" s="52">
        <f>-bthan*500+(9+0.5)*bthan*1000/50</f>
        <v>-1705</v>
      </c>
      <c r="C3715" s="52">
        <f t="shared" si="336"/>
        <v>690</v>
      </c>
      <c r="D3715" s="52">
        <f t="shared" si="332"/>
        <v>2200</v>
      </c>
      <c r="E3715" s="52">
        <f t="shared" si="333"/>
        <v>1</v>
      </c>
      <c r="F3715" s="52"/>
      <c r="G3715" s="52"/>
      <c r="H3715" s="52"/>
      <c r="I3715" s="52"/>
      <c r="J3715" s="52"/>
      <c r="K3715" s="52"/>
      <c r="L3715" s="52"/>
      <c r="M3715" s="52"/>
      <c r="N3715" s="52"/>
      <c r="O3715" s="52"/>
      <c r="P3715" s="52"/>
      <c r="Q3715" s="52"/>
      <c r="R3715" s="52"/>
      <c r="S3715" s="52"/>
      <c r="T3715" s="52"/>
      <c r="U3715" s="52"/>
      <c r="V3715" s="52"/>
      <c r="W3715" s="52"/>
      <c r="X3715" s="52"/>
      <c r="Y3715" s="52"/>
      <c r="Z3715" s="52"/>
      <c r="AA3715" s="52"/>
      <c r="AB3715" s="52"/>
      <c r="AC3715" s="52"/>
      <c r="AD3715" s="52"/>
      <c r="AE3715" s="52"/>
      <c r="AF3715" s="52"/>
      <c r="AG3715" s="52"/>
      <c r="AH3715" s="52"/>
      <c r="AI3715" s="52"/>
      <c r="AJ3715" s="52"/>
      <c r="AK3715" s="52"/>
      <c r="AL3715" s="52"/>
      <c r="AM3715" s="52"/>
      <c r="AN3715" s="52"/>
    </row>
    <row r="3716" spans="1:40" x14ac:dyDescent="0.3">
      <c r="A3716" s="52">
        <v>3711</v>
      </c>
      <c r="B3716" s="52">
        <f>-bthan*500+(10+0.5)*bthan*1000/50</f>
        <v>-1595</v>
      </c>
      <c r="C3716" s="52">
        <f t="shared" si="336"/>
        <v>690</v>
      </c>
      <c r="D3716" s="52">
        <f t="shared" si="332"/>
        <v>2200</v>
      </c>
      <c r="E3716" s="52">
        <f t="shared" si="333"/>
        <v>1</v>
      </c>
      <c r="F3716" s="52"/>
      <c r="G3716" s="52"/>
      <c r="H3716" s="52"/>
      <c r="I3716" s="52"/>
      <c r="J3716" s="52"/>
      <c r="K3716" s="52"/>
      <c r="L3716" s="52"/>
      <c r="M3716" s="52"/>
      <c r="N3716" s="52"/>
      <c r="O3716" s="52"/>
      <c r="P3716" s="52"/>
      <c r="Q3716" s="52"/>
      <c r="R3716" s="52"/>
      <c r="S3716" s="52"/>
      <c r="T3716" s="52"/>
      <c r="U3716" s="52"/>
      <c r="V3716" s="52"/>
      <c r="W3716" s="52"/>
      <c r="X3716" s="52"/>
      <c r="Y3716" s="52"/>
      <c r="Z3716" s="52"/>
      <c r="AA3716" s="52"/>
      <c r="AB3716" s="52"/>
      <c r="AC3716" s="52"/>
      <c r="AD3716" s="52"/>
      <c r="AE3716" s="52"/>
      <c r="AF3716" s="52"/>
      <c r="AG3716" s="52"/>
      <c r="AH3716" s="52"/>
      <c r="AI3716" s="52"/>
      <c r="AJ3716" s="52"/>
      <c r="AK3716" s="52"/>
      <c r="AL3716" s="52"/>
      <c r="AM3716" s="52"/>
      <c r="AN3716" s="52"/>
    </row>
    <row r="3717" spans="1:40" x14ac:dyDescent="0.3">
      <c r="A3717" s="52">
        <v>3712</v>
      </c>
      <c r="B3717" s="52">
        <f>-bthan*500+(11+0.5)*bthan*1000/50</f>
        <v>-1485</v>
      </c>
      <c r="C3717" s="52">
        <f t="shared" si="336"/>
        <v>690</v>
      </c>
      <c r="D3717" s="52">
        <f t="shared" si="332"/>
        <v>2200</v>
      </c>
      <c r="E3717" s="52">
        <f t="shared" si="333"/>
        <v>1</v>
      </c>
      <c r="F3717" s="52"/>
      <c r="G3717" s="52"/>
      <c r="H3717" s="52"/>
      <c r="I3717" s="52"/>
      <c r="J3717" s="52"/>
      <c r="K3717" s="52"/>
      <c r="L3717" s="52"/>
      <c r="M3717" s="52"/>
      <c r="N3717" s="52"/>
      <c r="O3717" s="52"/>
      <c r="P3717" s="52"/>
      <c r="Q3717" s="52"/>
      <c r="R3717" s="52"/>
      <c r="S3717" s="52"/>
      <c r="T3717" s="52"/>
      <c r="U3717" s="52"/>
      <c r="V3717" s="52"/>
      <c r="W3717" s="52"/>
      <c r="X3717" s="52"/>
      <c r="Y3717" s="52"/>
      <c r="Z3717" s="52"/>
      <c r="AA3717" s="52"/>
      <c r="AB3717" s="52"/>
      <c r="AC3717" s="52"/>
      <c r="AD3717" s="52"/>
      <c r="AE3717" s="52"/>
      <c r="AF3717" s="52"/>
      <c r="AG3717" s="52"/>
      <c r="AH3717" s="52"/>
      <c r="AI3717" s="52"/>
      <c r="AJ3717" s="52"/>
      <c r="AK3717" s="52"/>
      <c r="AL3717" s="52"/>
      <c r="AM3717" s="52"/>
      <c r="AN3717" s="52"/>
    </row>
    <row r="3718" spans="1:40" x14ac:dyDescent="0.3">
      <c r="A3718" s="52">
        <v>3713</v>
      </c>
      <c r="B3718" s="52">
        <f>-bthan*500+(12+0.5)*bthan*1000/50</f>
        <v>-1375</v>
      </c>
      <c r="C3718" s="52">
        <f t="shared" si="336"/>
        <v>690</v>
      </c>
      <c r="D3718" s="52">
        <f t="shared" ref="D3718:D3781" si="337">bthan*1000/50*hthan*1000/80</f>
        <v>2200</v>
      </c>
      <c r="E3718" s="52">
        <f t="shared" ref="E3718:E3781" si="338">IF(shp=1,--(OR(ABS(B3718)&lt;=MAX(0,(bthan-hthan)*500),(ABS(B3718)-MAX(0,(bthan-hthan)*500))^2+C3718^2&lt;=(hthan*500)^2)),--(AND(ABS(B3718)&lt;=bthan*500,ABS(C3718)&lt;=hthan*500,OR(ABS(B3718)&lt;=bthan*500-cch*1000,ABS(C3718)&lt;=hthan*500-cch*1000,(bthan*500-ABS(B3718))+(hthan*500-ABS(C3718))&gt;=cch*1000))))</f>
        <v>1</v>
      </c>
      <c r="F3718" s="52"/>
      <c r="G3718" s="52"/>
      <c r="H3718" s="52"/>
      <c r="I3718" s="52"/>
      <c r="J3718" s="52"/>
      <c r="K3718" s="52"/>
      <c r="L3718" s="52"/>
      <c r="M3718" s="52"/>
      <c r="N3718" s="52"/>
      <c r="O3718" s="52"/>
      <c r="P3718" s="52"/>
      <c r="Q3718" s="52"/>
      <c r="R3718" s="52"/>
      <c r="S3718" s="52"/>
      <c r="T3718" s="52"/>
      <c r="U3718" s="52"/>
      <c r="V3718" s="52"/>
      <c r="W3718" s="52"/>
      <c r="X3718" s="52"/>
      <c r="Y3718" s="52"/>
      <c r="Z3718" s="52"/>
      <c r="AA3718" s="52"/>
      <c r="AB3718" s="52"/>
      <c r="AC3718" s="52"/>
      <c r="AD3718" s="52"/>
      <c r="AE3718" s="52"/>
      <c r="AF3718" s="52"/>
      <c r="AG3718" s="52"/>
      <c r="AH3718" s="52"/>
      <c r="AI3718" s="52"/>
      <c r="AJ3718" s="52"/>
      <c r="AK3718" s="52"/>
      <c r="AL3718" s="52"/>
      <c r="AM3718" s="52"/>
      <c r="AN3718" s="52"/>
    </row>
    <row r="3719" spans="1:40" x14ac:dyDescent="0.3">
      <c r="A3719" s="52">
        <v>3714</v>
      </c>
      <c r="B3719" s="52">
        <f>-bthan*500+(13+0.5)*bthan*1000/50</f>
        <v>-1265</v>
      </c>
      <c r="C3719" s="52">
        <f t="shared" si="336"/>
        <v>690</v>
      </c>
      <c r="D3719" s="52">
        <f t="shared" si="337"/>
        <v>2200</v>
      </c>
      <c r="E3719" s="52">
        <f t="shared" si="338"/>
        <v>1</v>
      </c>
      <c r="F3719" s="52"/>
      <c r="G3719" s="52"/>
      <c r="H3719" s="52"/>
      <c r="I3719" s="52"/>
      <c r="J3719" s="52"/>
      <c r="K3719" s="52"/>
      <c r="L3719" s="52"/>
      <c r="M3719" s="52"/>
      <c r="N3719" s="52"/>
      <c r="O3719" s="52"/>
      <c r="P3719" s="52"/>
      <c r="Q3719" s="52"/>
      <c r="R3719" s="52"/>
      <c r="S3719" s="52"/>
      <c r="T3719" s="52"/>
      <c r="U3719" s="52"/>
      <c r="V3719" s="52"/>
      <c r="W3719" s="52"/>
      <c r="X3719" s="52"/>
      <c r="Y3719" s="52"/>
      <c r="Z3719" s="52"/>
      <c r="AA3719" s="52"/>
      <c r="AB3719" s="52"/>
      <c r="AC3719" s="52"/>
      <c r="AD3719" s="52"/>
      <c r="AE3719" s="52"/>
      <c r="AF3719" s="52"/>
      <c r="AG3719" s="52"/>
      <c r="AH3719" s="52"/>
      <c r="AI3719" s="52"/>
      <c r="AJ3719" s="52"/>
      <c r="AK3719" s="52"/>
      <c r="AL3719" s="52"/>
      <c r="AM3719" s="52"/>
      <c r="AN3719" s="52"/>
    </row>
    <row r="3720" spans="1:40" x14ac:dyDescent="0.3">
      <c r="A3720" s="52">
        <v>3715</v>
      </c>
      <c r="B3720" s="52">
        <f>-bthan*500+(14+0.5)*bthan*1000/50</f>
        <v>-1155</v>
      </c>
      <c r="C3720" s="52">
        <f t="shared" si="336"/>
        <v>690</v>
      </c>
      <c r="D3720" s="52">
        <f t="shared" si="337"/>
        <v>2200</v>
      </c>
      <c r="E3720" s="52">
        <f t="shared" si="338"/>
        <v>1</v>
      </c>
      <c r="F3720" s="52"/>
      <c r="G3720" s="52"/>
      <c r="H3720" s="52"/>
      <c r="I3720" s="52"/>
      <c r="J3720" s="52"/>
      <c r="K3720" s="52"/>
      <c r="L3720" s="52"/>
      <c r="M3720" s="52"/>
      <c r="N3720" s="52"/>
      <c r="O3720" s="52"/>
      <c r="P3720" s="52"/>
      <c r="Q3720" s="52"/>
      <c r="R3720" s="52"/>
      <c r="S3720" s="52"/>
      <c r="T3720" s="52"/>
      <c r="U3720" s="52"/>
      <c r="V3720" s="52"/>
      <c r="W3720" s="52"/>
      <c r="X3720" s="52"/>
      <c r="Y3720" s="52"/>
      <c r="Z3720" s="52"/>
      <c r="AA3720" s="52"/>
      <c r="AB3720" s="52"/>
      <c r="AC3720" s="52"/>
      <c r="AD3720" s="52"/>
      <c r="AE3720" s="52"/>
      <c r="AF3720" s="52"/>
      <c r="AG3720" s="52"/>
      <c r="AH3720" s="52"/>
      <c r="AI3720" s="52"/>
      <c r="AJ3720" s="52"/>
      <c r="AK3720" s="52"/>
      <c r="AL3720" s="52"/>
      <c r="AM3720" s="52"/>
      <c r="AN3720" s="52"/>
    </row>
    <row r="3721" spans="1:40" x14ac:dyDescent="0.3">
      <c r="A3721" s="52">
        <v>3716</v>
      </c>
      <c r="B3721" s="52">
        <f>-bthan*500+(15+0.5)*bthan*1000/50</f>
        <v>-1045</v>
      </c>
      <c r="C3721" s="52">
        <f t="shared" si="336"/>
        <v>690</v>
      </c>
      <c r="D3721" s="52">
        <f t="shared" si="337"/>
        <v>2200</v>
      </c>
      <c r="E3721" s="52">
        <f t="shared" si="338"/>
        <v>1</v>
      </c>
      <c r="F3721" s="52"/>
      <c r="G3721" s="52"/>
      <c r="H3721" s="52"/>
      <c r="I3721" s="52"/>
      <c r="J3721" s="52"/>
      <c r="K3721" s="52"/>
      <c r="L3721" s="52"/>
      <c r="M3721" s="52"/>
      <c r="N3721" s="52"/>
      <c r="O3721" s="52"/>
      <c r="P3721" s="52"/>
      <c r="Q3721" s="52"/>
      <c r="R3721" s="52"/>
      <c r="S3721" s="52"/>
      <c r="T3721" s="52"/>
      <c r="U3721" s="52"/>
      <c r="V3721" s="52"/>
      <c r="W3721" s="52"/>
      <c r="X3721" s="52"/>
      <c r="Y3721" s="52"/>
      <c r="Z3721" s="52"/>
      <c r="AA3721" s="52"/>
      <c r="AB3721" s="52"/>
      <c r="AC3721" s="52"/>
      <c r="AD3721" s="52"/>
      <c r="AE3721" s="52"/>
      <c r="AF3721" s="52"/>
      <c r="AG3721" s="52"/>
      <c r="AH3721" s="52"/>
      <c r="AI3721" s="52"/>
      <c r="AJ3721" s="52"/>
      <c r="AK3721" s="52"/>
      <c r="AL3721" s="52"/>
      <c r="AM3721" s="52"/>
      <c r="AN3721" s="52"/>
    </row>
    <row r="3722" spans="1:40" x14ac:dyDescent="0.3">
      <c r="A3722" s="52">
        <v>3717</v>
      </c>
      <c r="B3722" s="52">
        <f>-bthan*500+(16+0.5)*bthan*1000/50</f>
        <v>-935</v>
      </c>
      <c r="C3722" s="52">
        <f t="shared" si="336"/>
        <v>690</v>
      </c>
      <c r="D3722" s="52">
        <f t="shared" si="337"/>
        <v>2200</v>
      </c>
      <c r="E3722" s="52">
        <f t="shared" si="338"/>
        <v>1</v>
      </c>
      <c r="F3722" s="52"/>
      <c r="G3722" s="52"/>
      <c r="H3722" s="52"/>
      <c r="I3722" s="52"/>
      <c r="J3722" s="52"/>
      <c r="K3722" s="52"/>
      <c r="L3722" s="52"/>
      <c r="M3722" s="52"/>
      <c r="N3722" s="52"/>
      <c r="O3722" s="52"/>
      <c r="P3722" s="52"/>
      <c r="Q3722" s="52"/>
      <c r="R3722" s="52"/>
      <c r="S3722" s="52"/>
      <c r="T3722" s="52"/>
      <c r="U3722" s="52"/>
      <c r="V3722" s="52"/>
      <c r="W3722" s="52"/>
      <c r="X3722" s="52"/>
      <c r="Y3722" s="52"/>
      <c r="Z3722" s="52"/>
      <c r="AA3722" s="52"/>
      <c r="AB3722" s="52"/>
      <c r="AC3722" s="52"/>
      <c r="AD3722" s="52"/>
      <c r="AE3722" s="52"/>
      <c r="AF3722" s="52"/>
      <c r="AG3722" s="52"/>
      <c r="AH3722" s="52"/>
      <c r="AI3722" s="52"/>
      <c r="AJ3722" s="52"/>
      <c r="AK3722" s="52"/>
      <c r="AL3722" s="52"/>
      <c r="AM3722" s="52"/>
      <c r="AN3722" s="52"/>
    </row>
    <row r="3723" spans="1:40" x14ac:dyDescent="0.3">
      <c r="A3723" s="52">
        <v>3718</v>
      </c>
      <c r="B3723" s="52">
        <f>-bthan*500+(17+0.5)*bthan*1000/50</f>
        <v>-825</v>
      </c>
      <c r="C3723" s="52">
        <f t="shared" si="336"/>
        <v>690</v>
      </c>
      <c r="D3723" s="52">
        <f t="shared" si="337"/>
        <v>2200</v>
      </c>
      <c r="E3723" s="52">
        <f t="shared" si="338"/>
        <v>1</v>
      </c>
      <c r="F3723" s="52"/>
      <c r="G3723" s="52"/>
      <c r="H3723" s="52"/>
      <c r="I3723" s="52"/>
      <c r="J3723" s="52"/>
      <c r="K3723" s="52"/>
      <c r="L3723" s="52"/>
      <c r="M3723" s="52"/>
      <c r="N3723" s="52"/>
      <c r="O3723" s="52"/>
      <c r="P3723" s="52"/>
      <c r="Q3723" s="52"/>
      <c r="R3723" s="52"/>
      <c r="S3723" s="52"/>
      <c r="T3723" s="52"/>
      <c r="U3723" s="52"/>
      <c r="V3723" s="52"/>
      <c r="W3723" s="52"/>
      <c r="X3723" s="52"/>
      <c r="Y3723" s="52"/>
      <c r="Z3723" s="52"/>
      <c r="AA3723" s="52"/>
      <c r="AB3723" s="52"/>
      <c r="AC3723" s="52"/>
      <c r="AD3723" s="52"/>
      <c r="AE3723" s="52"/>
      <c r="AF3723" s="52"/>
      <c r="AG3723" s="52"/>
      <c r="AH3723" s="52"/>
      <c r="AI3723" s="52"/>
      <c r="AJ3723" s="52"/>
      <c r="AK3723" s="52"/>
      <c r="AL3723" s="52"/>
      <c r="AM3723" s="52"/>
      <c r="AN3723" s="52"/>
    </row>
    <row r="3724" spans="1:40" x14ac:dyDescent="0.3">
      <c r="A3724" s="52">
        <v>3719</v>
      </c>
      <c r="B3724" s="52">
        <f>-bthan*500+(18+0.5)*bthan*1000/50</f>
        <v>-715</v>
      </c>
      <c r="C3724" s="52">
        <f t="shared" si="336"/>
        <v>690</v>
      </c>
      <c r="D3724" s="52">
        <f t="shared" si="337"/>
        <v>2200</v>
      </c>
      <c r="E3724" s="52">
        <f t="shared" si="338"/>
        <v>1</v>
      </c>
      <c r="F3724" s="52"/>
      <c r="G3724" s="52"/>
      <c r="H3724" s="52"/>
      <c r="I3724" s="52"/>
      <c r="J3724" s="52"/>
      <c r="K3724" s="52"/>
      <c r="L3724" s="52"/>
      <c r="M3724" s="52"/>
      <c r="N3724" s="52"/>
      <c r="O3724" s="52"/>
      <c r="P3724" s="52"/>
      <c r="Q3724" s="52"/>
      <c r="R3724" s="52"/>
      <c r="S3724" s="52"/>
      <c r="T3724" s="52"/>
      <c r="U3724" s="52"/>
      <c r="V3724" s="52"/>
      <c r="W3724" s="52"/>
      <c r="X3724" s="52"/>
      <c r="Y3724" s="52"/>
      <c r="Z3724" s="52"/>
      <c r="AA3724" s="52"/>
      <c r="AB3724" s="52"/>
      <c r="AC3724" s="52"/>
      <c r="AD3724" s="52"/>
      <c r="AE3724" s="52"/>
      <c r="AF3724" s="52"/>
      <c r="AG3724" s="52"/>
      <c r="AH3724" s="52"/>
      <c r="AI3724" s="52"/>
      <c r="AJ3724" s="52"/>
      <c r="AK3724" s="52"/>
      <c r="AL3724" s="52"/>
      <c r="AM3724" s="52"/>
      <c r="AN3724" s="52"/>
    </row>
    <row r="3725" spans="1:40" x14ac:dyDescent="0.3">
      <c r="A3725" s="52">
        <v>3720</v>
      </c>
      <c r="B3725" s="52">
        <f>-bthan*500+(19+0.5)*bthan*1000/50</f>
        <v>-605</v>
      </c>
      <c r="C3725" s="52">
        <f t="shared" si="336"/>
        <v>690</v>
      </c>
      <c r="D3725" s="52">
        <f t="shared" si="337"/>
        <v>2200</v>
      </c>
      <c r="E3725" s="52">
        <f t="shared" si="338"/>
        <v>1</v>
      </c>
      <c r="F3725" s="52"/>
      <c r="G3725" s="52"/>
      <c r="H3725" s="52"/>
      <c r="I3725" s="52"/>
      <c r="J3725" s="52"/>
      <c r="K3725" s="52"/>
      <c r="L3725" s="52"/>
      <c r="M3725" s="52"/>
      <c r="N3725" s="52"/>
      <c r="O3725" s="52"/>
      <c r="P3725" s="52"/>
      <c r="Q3725" s="52"/>
      <c r="R3725" s="52"/>
      <c r="S3725" s="52"/>
      <c r="T3725" s="52"/>
      <c r="U3725" s="52"/>
      <c r="V3725" s="52"/>
      <c r="W3725" s="52"/>
      <c r="X3725" s="52"/>
      <c r="Y3725" s="52"/>
      <c r="Z3725" s="52"/>
      <c r="AA3725" s="52"/>
      <c r="AB3725" s="52"/>
      <c r="AC3725" s="52"/>
      <c r="AD3725" s="52"/>
      <c r="AE3725" s="52"/>
      <c r="AF3725" s="52"/>
      <c r="AG3725" s="52"/>
      <c r="AH3725" s="52"/>
      <c r="AI3725" s="52"/>
      <c r="AJ3725" s="52"/>
      <c r="AK3725" s="52"/>
      <c r="AL3725" s="52"/>
      <c r="AM3725" s="52"/>
      <c r="AN3725" s="52"/>
    </row>
    <row r="3726" spans="1:40" x14ac:dyDescent="0.3">
      <c r="A3726" s="52">
        <v>3721</v>
      </c>
      <c r="B3726" s="52">
        <f>-bthan*500+(20+0.5)*bthan*1000/50</f>
        <v>-495</v>
      </c>
      <c r="C3726" s="52">
        <f t="shared" si="336"/>
        <v>690</v>
      </c>
      <c r="D3726" s="52">
        <f t="shared" si="337"/>
        <v>2200</v>
      </c>
      <c r="E3726" s="52">
        <f t="shared" si="338"/>
        <v>1</v>
      </c>
      <c r="F3726" s="52"/>
      <c r="G3726" s="52"/>
      <c r="H3726" s="52"/>
      <c r="I3726" s="52"/>
      <c r="J3726" s="52"/>
      <c r="K3726" s="52"/>
      <c r="L3726" s="52"/>
      <c r="M3726" s="52"/>
      <c r="N3726" s="52"/>
      <c r="O3726" s="52"/>
      <c r="P3726" s="52"/>
      <c r="Q3726" s="52"/>
      <c r="R3726" s="52"/>
      <c r="S3726" s="52"/>
      <c r="T3726" s="52"/>
      <c r="U3726" s="52"/>
      <c r="V3726" s="52"/>
      <c r="W3726" s="52"/>
      <c r="X3726" s="52"/>
      <c r="Y3726" s="52"/>
      <c r="Z3726" s="52"/>
      <c r="AA3726" s="52"/>
      <c r="AB3726" s="52"/>
      <c r="AC3726" s="52"/>
      <c r="AD3726" s="52"/>
      <c r="AE3726" s="52"/>
      <c r="AF3726" s="52"/>
      <c r="AG3726" s="52"/>
      <c r="AH3726" s="52"/>
      <c r="AI3726" s="52"/>
      <c r="AJ3726" s="52"/>
      <c r="AK3726" s="52"/>
      <c r="AL3726" s="52"/>
      <c r="AM3726" s="52"/>
      <c r="AN3726" s="52"/>
    </row>
    <row r="3727" spans="1:40" x14ac:dyDescent="0.3">
      <c r="A3727" s="52">
        <v>3722</v>
      </c>
      <c r="B3727" s="52">
        <f>-bthan*500+(21+0.5)*bthan*1000/50</f>
        <v>-385</v>
      </c>
      <c r="C3727" s="52">
        <f t="shared" si="336"/>
        <v>690</v>
      </c>
      <c r="D3727" s="52">
        <f t="shared" si="337"/>
        <v>2200</v>
      </c>
      <c r="E3727" s="52">
        <f t="shared" si="338"/>
        <v>1</v>
      </c>
      <c r="F3727" s="52"/>
      <c r="G3727" s="52"/>
      <c r="H3727" s="52"/>
      <c r="I3727" s="52"/>
      <c r="J3727" s="52"/>
      <c r="K3727" s="52"/>
      <c r="L3727" s="52"/>
      <c r="M3727" s="52"/>
      <c r="N3727" s="52"/>
      <c r="O3727" s="52"/>
      <c r="P3727" s="52"/>
      <c r="Q3727" s="52"/>
      <c r="R3727" s="52"/>
      <c r="S3727" s="52"/>
      <c r="T3727" s="52"/>
      <c r="U3727" s="52"/>
      <c r="V3727" s="52"/>
      <c r="W3727" s="52"/>
      <c r="X3727" s="52"/>
      <c r="Y3727" s="52"/>
      <c r="Z3727" s="52"/>
      <c r="AA3727" s="52"/>
      <c r="AB3727" s="52"/>
      <c r="AC3727" s="52"/>
      <c r="AD3727" s="52"/>
      <c r="AE3727" s="52"/>
      <c r="AF3727" s="52"/>
      <c r="AG3727" s="52"/>
      <c r="AH3727" s="52"/>
      <c r="AI3727" s="52"/>
      <c r="AJ3727" s="52"/>
      <c r="AK3727" s="52"/>
      <c r="AL3727" s="52"/>
      <c r="AM3727" s="52"/>
      <c r="AN3727" s="52"/>
    </row>
    <row r="3728" spans="1:40" x14ac:dyDescent="0.3">
      <c r="A3728" s="52">
        <v>3723</v>
      </c>
      <c r="B3728" s="52">
        <f>-bthan*500+(22+0.5)*bthan*1000/50</f>
        <v>-275</v>
      </c>
      <c r="C3728" s="52">
        <f t="shared" si="336"/>
        <v>690</v>
      </c>
      <c r="D3728" s="52">
        <f t="shared" si="337"/>
        <v>2200</v>
      </c>
      <c r="E3728" s="52">
        <f t="shared" si="338"/>
        <v>1</v>
      </c>
      <c r="F3728" s="52"/>
      <c r="G3728" s="52"/>
      <c r="H3728" s="52"/>
      <c r="I3728" s="52"/>
      <c r="J3728" s="52"/>
      <c r="K3728" s="52"/>
      <c r="L3728" s="52"/>
      <c r="M3728" s="52"/>
      <c r="N3728" s="52"/>
      <c r="O3728" s="52"/>
      <c r="P3728" s="52"/>
      <c r="Q3728" s="52"/>
      <c r="R3728" s="52"/>
      <c r="S3728" s="52"/>
      <c r="T3728" s="52"/>
      <c r="U3728" s="52"/>
      <c r="V3728" s="52"/>
      <c r="W3728" s="52"/>
      <c r="X3728" s="52"/>
      <c r="Y3728" s="52"/>
      <c r="Z3728" s="52"/>
      <c r="AA3728" s="52"/>
      <c r="AB3728" s="52"/>
      <c r="AC3728" s="52"/>
      <c r="AD3728" s="52"/>
      <c r="AE3728" s="52"/>
      <c r="AF3728" s="52"/>
      <c r="AG3728" s="52"/>
      <c r="AH3728" s="52"/>
      <c r="AI3728" s="52"/>
      <c r="AJ3728" s="52"/>
      <c r="AK3728" s="52"/>
      <c r="AL3728" s="52"/>
      <c r="AM3728" s="52"/>
      <c r="AN3728" s="52"/>
    </row>
    <row r="3729" spans="1:40" x14ac:dyDescent="0.3">
      <c r="A3729" s="52">
        <v>3724</v>
      </c>
      <c r="B3729" s="52">
        <f>-bthan*500+(23+0.5)*bthan*1000/50</f>
        <v>-165</v>
      </c>
      <c r="C3729" s="52">
        <f t="shared" si="336"/>
        <v>690</v>
      </c>
      <c r="D3729" s="52">
        <f t="shared" si="337"/>
        <v>2200</v>
      </c>
      <c r="E3729" s="52">
        <f t="shared" si="338"/>
        <v>1</v>
      </c>
      <c r="F3729" s="52"/>
      <c r="G3729" s="52"/>
      <c r="H3729" s="52"/>
      <c r="I3729" s="52"/>
      <c r="J3729" s="52"/>
      <c r="K3729" s="52"/>
      <c r="L3729" s="52"/>
      <c r="M3729" s="52"/>
      <c r="N3729" s="52"/>
      <c r="O3729" s="52"/>
      <c r="P3729" s="52"/>
      <c r="Q3729" s="52"/>
      <c r="R3729" s="52"/>
      <c r="S3729" s="52"/>
      <c r="T3729" s="52"/>
      <c r="U3729" s="52"/>
      <c r="V3729" s="52"/>
      <c r="W3729" s="52"/>
      <c r="X3729" s="52"/>
      <c r="Y3729" s="52"/>
      <c r="Z3729" s="52"/>
      <c r="AA3729" s="52"/>
      <c r="AB3729" s="52"/>
      <c r="AC3729" s="52"/>
      <c r="AD3729" s="52"/>
      <c r="AE3729" s="52"/>
      <c r="AF3729" s="52"/>
      <c r="AG3729" s="52"/>
      <c r="AH3729" s="52"/>
      <c r="AI3729" s="52"/>
      <c r="AJ3729" s="52"/>
      <c r="AK3729" s="52"/>
      <c r="AL3729" s="52"/>
      <c r="AM3729" s="52"/>
      <c r="AN3729" s="52"/>
    </row>
    <row r="3730" spans="1:40" x14ac:dyDescent="0.3">
      <c r="A3730" s="52">
        <v>3725</v>
      </c>
      <c r="B3730" s="52">
        <f>-bthan*500+(24+0.5)*bthan*1000/50</f>
        <v>-55</v>
      </c>
      <c r="C3730" s="52">
        <f t="shared" si="336"/>
        <v>690</v>
      </c>
      <c r="D3730" s="52">
        <f t="shared" si="337"/>
        <v>2200</v>
      </c>
      <c r="E3730" s="52">
        <f t="shared" si="338"/>
        <v>1</v>
      </c>
      <c r="F3730" s="52"/>
      <c r="G3730" s="52"/>
      <c r="H3730" s="52"/>
      <c r="I3730" s="52"/>
      <c r="J3730" s="52"/>
      <c r="K3730" s="52"/>
      <c r="L3730" s="52"/>
      <c r="M3730" s="52"/>
      <c r="N3730" s="52"/>
      <c r="O3730" s="52"/>
      <c r="P3730" s="52"/>
      <c r="Q3730" s="52"/>
      <c r="R3730" s="52"/>
      <c r="S3730" s="52"/>
      <c r="T3730" s="52"/>
      <c r="U3730" s="52"/>
      <c r="V3730" s="52"/>
      <c r="W3730" s="52"/>
      <c r="X3730" s="52"/>
      <c r="Y3730" s="52"/>
      <c r="Z3730" s="52"/>
      <c r="AA3730" s="52"/>
      <c r="AB3730" s="52"/>
      <c r="AC3730" s="52"/>
      <c r="AD3730" s="52"/>
      <c r="AE3730" s="52"/>
      <c r="AF3730" s="52"/>
      <c r="AG3730" s="52"/>
      <c r="AH3730" s="52"/>
      <c r="AI3730" s="52"/>
      <c r="AJ3730" s="52"/>
      <c r="AK3730" s="52"/>
      <c r="AL3730" s="52"/>
      <c r="AM3730" s="52"/>
      <c r="AN3730" s="52"/>
    </row>
    <row r="3731" spans="1:40" x14ac:dyDescent="0.3">
      <c r="A3731" s="52">
        <v>3726</v>
      </c>
      <c r="B3731" s="52">
        <f>-bthan*500+(25+0.5)*bthan*1000/50</f>
        <v>55</v>
      </c>
      <c r="C3731" s="52">
        <f t="shared" si="336"/>
        <v>690</v>
      </c>
      <c r="D3731" s="52">
        <f t="shared" si="337"/>
        <v>2200</v>
      </c>
      <c r="E3731" s="52">
        <f t="shared" si="338"/>
        <v>1</v>
      </c>
      <c r="F3731" s="52"/>
      <c r="G3731" s="52"/>
      <c r="H3731" s="52"/>
      <c r="I3731" s="52"/>
      <c r="J3731" s="52"/>
      <c r="K3731" s="52"/>
      <c r="L3731" s="52"/>
      <c r="M3731" s="52"/>
      <c r="N3731" s="52"/>
      <c r="O3731" s="52"/>
      <c r="P3731" s="52"/>
      <c r="Q3731" s="52"/>
      <c r="R3731" s="52"/>
      <c r="S3731" s="52"/>
      <c r="T3731" s="52"/>
      <c r="U3731" s="52"/>
      <c r="V3731" s="52"/>
      <c r="W3731" s="52"/>
      <c r="X3731" s="52"/>
      <c r="Y3731" s="52"/>
      <c r="Z3731" s="52"/>
      <c r="AA3731" s="52"/>
      <c r="AB3731" s="52"/>
      <c r="AC3731" s="52"/>
      <c r="AD3731" s="52"/>
      <c r="AE3731" s="52"/>
      <c r="AF3731" s="52"/>
      <c r="AG3731" s="52"/>
      <c r="AH3731" s="52"/>
      <c r="AI3731" s="52"/>
      <c r="AJ3731" s="52"/>
      <c r="AK3731" s="52"/>
      <c r="AL3731" s="52"/>
      <c r="AM3731" s="52"/>
      <c r="AN3731" s="52"/>
    </row>
    <row r="3732" spans="1:40" x14ac:dyDescent="0.3">
      <c r="A3732" s="52">
        <v>3727</v>
      </c>
      <c r="B3732" s="52">
        <f>-bthan*500+(26+0.5)*bthan*1000/50</f>
        <v>165</v>
      </c>
      <c r="C3732" s="52">
        <f t="shared" si="336"/>
        <v>690</v>
      </c>
      <c r="D3732" s="52">
        <f t="shared" si="337"/>
        <v>2200</v>
      </c>
      <c r="E3732" s="52">
        <f t="shared" si="338"/>
        <v>1</v>
      </c>
      <c r="F3732" s="52"/>
      <c r="G3732" s="52"/>
      <c r="H3732" s="52"/>
      <c r="I3732" s="52"/>
      <c r="J3732" s="52"/>
      <c r="K3732" s="52"/>
      <c r="L3732" s="52"/>
      <c r="M3732" s="52"/>
      <c r="N3732" s="52"/>
      <c r="O3732" s="52"/>
      <c r="P3732" s="52"/>
      <c r="Q3732" s="52"/>
      <c r="R3732" s="52"/>
      <c r="S3732" s="52"/>
      <c r="T3732" s="52"/>
      <c r="U3732" s="52"/>
      <c r="V3732" s="52"/>
      <c r="W3732" s="52"/>
      <c r="X3732" s="52"/>
      <c r="Y3732" s="52"/>
      <c r="Z3732" s="52"/>
      <c r="AA3732" s="52"/>
      <c r="AB3732" s="52"/>
      <c r="AC3732" s="52"/>
      <c r="AD3732" s="52"/>
      <c r="AE3732" s="52"/>
      <c r="AF3732" s="52"/>
      <c r="AG3732" s="52"/>
      <c r="AH3732" s="52"/>
      <c r="AI3732" s="52"/>
      <c r="AJ3732" s="52"/>
      <c r="AK3732" s="52"/>
      <c r="AL3732" s="52"/>
      <c r="AM3732" s="52"/>
      <c r="AN3732" s="52"/>
    </row>
    <row r="3733" spans="1:40" x14ac:dyDescent="0.3">
      <c r="A3733" s="52">
        <v>3728</v>
      </c>
      <c r="B3733" s="52">
        <f>-bthan*500+(27+0.5)*bthan*1000/50</f>
        <v>275</v>
      </c>
      <c r="C3733" s="52">
        <f t="shared" si="336"/>
        <v>690</v>
      </c>
      <c r="D3733" s="52">
        <f t="shared" si="337"/>
        <v>2200</v>
      </c>
      <c r="E3733" s="52">
        <f t="shared" si="338"/>
        <v>1</v>
      </c>
      <c r="F3733" s="52"/>
      <c r="G3733" s="52"/>
      <c r="H3733" s="52"/>
      <c r="I3733" s="52"/>
      <c r="J3733" s="52"/>
      <c r="K3733" s="52"/>
      <c r="L3733" s="52"/>
      <c r="M3733" s="52"/>
      <c r="N3733" s="52"/>
      <c r="O3733" s="52"/>
      <c r="P3733" s="52"/>
      <c r="Q3733" s="52"/>
      <c r="R3733" s="52"/>
      <c r="S3733" s="52"/>
      <c r="T3733" s="52"/>
      <c r="U3733" s="52"/>
      <c r="V3733" s="52"/>
      <c r="W3733" s="52"/>
      <c r="X3733" s="52"/>
      <c r="Y3733" s="52"/>
      <c r="Z3733" s="52"/>
      <c r="AA3733" s="52"/>
      <c r="AB3733" s="52"/>
      <c r="AC3733" s="52"/>
      <c r="AD3733" s="52"/>
      <c r="AE3733" s="52"/>
      <c r="AF3733" s="52"/>
      <c r="AG3733" s="52"/>
      <c r="AH3733" s="52"/>
      <c r="AI3733" s="52"/>
      <c r="AJ3733" s="52"/>
      <c r="AK3733" s="52"/>
      <c r="AL3733" s="52"/>
      <c r="AM3733" s="52"/>
      <c r="AN3733" s="52"/>
    </row>
    <row r="3734" spans="1:40" x14ac:dyDescent="0.3">
      <c r="A3734" s="52">
        <v>3729</v>
      </c>
      <c r="B3734" s="52">
        <f>-bthan*500+(28+0.5)*bthan*1000/50</f>
        <v>385</v>
      </c>
      <c r="C3734" s="52">
        <f t="shared" si="336"/>
        <v>690</v>
      </c>
      <c r="D3734" s="52">
        <f t="shared" si="337"/>
        <v>2200</v>
      </c>
      <c r="E3734" s="52">
        <f t="shared" si="338"/>
        <v>1</v>
      </c>
      <c r="F3734" s="52"/>
      <c r="G3734" s="52"/>
      <c r="H3734" s="52"/>
      <c r="I3734" s="52"/>
      <c r="J3734" s="52"/>
      <c r="K3734" s="52"/>
      <c r="L3734" s="52"/>
      <c r="M3734" s="52"/>
      <c r="N3734" s="52"/>
      <c r="O3734" s="52"/>
      <c r="P3734" s="52"/>
      <c r="Q3734" s="52"/>
      <c r="R3734" s="52"/>
      <c r="S3734" s="52"/>
      <c r="T3734" s="52"/>
      <c r="U3734" s="52"/>
      <c r="V3734" s="52"/>
      <c r="W3734" s="52"/>
      <c r="X3734" s="52"/>
      <c r="Y3734" s="52"/>
      <c r="Z3734" s="52"/>
      <c r="AA3734" s="52"/>
      <c r="AB3734" s="52"/>
      <c r="AC3734" s="52"/>
      <c r="AD3734" s="52"/>
      <c r="AE3734" s="52"/>
      <c r="AF3734" s="52"/>
      <c r="AG3734" s="52"/>
      <c r="AH3734" s="52"/>
      <c r="AI3734" s="52"/>
      <c r="AJ3734" s="52"/>
      <c r="AK3734" s="52"/>
      <c r="AL3734" s="52"/>
      <c r="AM3734" s="52"/>
      <c r="AN3734" s="52"/>
    </row>
    <row r="3735" spans="1:40" x14ac:dyDescent="0.3">
      <c r="A3735" s="52">
        <v>3730</v>
      </c>
      <c r="B3735" s="52">
        <f>-bthan*500+(29+0.5)*bthan*1000/50</f>
        <v>495</v>
      </c>
      <c r="C3735" s="52">
        <f t="shared" si="336"/>
        <v>690</v>
      </c>
      <c r="D3735" s="52">
        <f t="shared" si="337"/>
        <v>2200</v>
      </c>
      <c r="E3735" s="52">
        <f t="shared" si="338"/>
        <v>1</v>
      </c>
      <c r="F3735" s="52"/>
      <c r="G3735" s="52"/>
      <c r="H3735" s="52"/>
      <c r="I3735" s="52"/>
      <c r="J3735" s="52"/>
      <c r="K3735" s="52"/>
      <c r="L3735" s="52"/>
      <c r="M3735" s="52"/>
      <c r="N3735" s="52"/>
      <c r="O3735" s="52"/>
      <c r="P3735" s="52"/>
      <c r="Q3735" s="52"/>
      <c r="R3735" s="52"/>
      <c r="S3735" s="52"/>
      <c r="T3735" s="52"/>
      <c r="U3735" s="52"/>
      <c r="V3735" s="52"/>
      <c r="W3735" s="52"/>
      <c r="X3735" s="52"/>
      <c r="Y3735" s="52"/>
      <c r="Z3735" s="52"/>
      <c r="AA3735" s="52"/>
      <c r="AB3735" s="52"/>
      <c r="AC3735" s="52"/>
      <c r="AD3735" s="52"/>
      <c r="AE3735" s="52"/>
      <c r="AF3735" s="52"/>
      <c r="AG3735" s="52"/>
      <c r="AH3735" s="52"/>
      <c r="AI3735" s="52"/>
      <c r="AJ3735" s="52"/>
      <c r="AK3735" s="52"/>
      <c r="AL3735" s="52"/>
      <c r="AM3735" s="52"/>
      <c r="AN3735" s="52"/>
    </row>
    <row r="3736" spans="1:40" x14ac:dyDescent="0.3">
      <c r="A3736" s="52">
        <v>3731</v>
      </c>
      <c r="B3736" s="52">
        <f>-bthan*500+(30+0.5)*bthan*1000/50</f>
        <v>605</v>
      </c>
      <c r="C3736" s="52">
        <f t="shared" si="336"/>
        <v>690</v>
      </c>
      <c r="D3736" s="52">
        <f t="shared" si="337"/>
        <v>2200</v>
      </c>
      <c r="E3736" s="52">
        <f t="shared" si="338"/>
        <v>1</v>
      </c>
      <c r="F3736" s="52"/>
      <c r="G3736" s="52"/>
      <c r="H3736" s="52"/>
      <c r="I3736" s="52"/>
      <c r="J3736" s="52"/>
      <c r="K3736" s="52"/>
      <c r="L3736" s="52"/>
      <c r="M3736" s="52"/>
      <c r="N3736" s="52"/>
      <c r="O3736" s="52"/>
      <c r="P3736" s="52"/>
      <c r="Q3736" s="52"/>
      <c r="R3736" s="52"/>
      <c r="S3736" s="52"/>
      <c r="T3736" s="52"/>
      <c r="U3736" s="52"/>
      <c r="V3736" s="52"/>
      <c r="W3736" s="52"/>
      <c r="X3736" s="52"/>
      <c r="Y3736" s="52"/>
      <c r="Z3736" s="52"/>
      <c r="AA3736" s="52"/>
      <c r="AB3736" s="52"/>
      <c r="AC3736" s="52"/>
      <c r="AD3736" s="52"/>
      <c r="AE3736" s="52"/>
      <c r="AF3736" s="52"/>
      <c r="AG3736" s="52"/>
      <c r="AH3736" s="52"/>
      <c r="AI3736" s="52"/>
      <c r="AJ3736" s="52"/>
      <c r="AK3736" s="52"/>
      <c r="AL3736" s="52"/>
      <c r="AM3736" s="52"/>
      <c r="AN3736" s="52"/>
    </row>
    <row r="3737" spans="1:40" x14ac:dyDescent="0.3">
      <c r="A3737" s="52">
        <v>3732</v>
      </c>
      <c r="B3737" s="52">
        <f>-bthan*500+(31+0.5)*bthan*1000/50</f>
        <v>715</v>
      </c>
      <c r="C3737" s="52">
        <f t="shared" si="336"/>
        <v>690</v>
      </c>
      <c r="D3737" s="52">
        <f t="shared" si="337"/>
        <v>2200</v>
      </c>
      <c r="E3737" s="52">
        <f t="shared" si="338"/>
        <v>1</v>
      </c>
      <c r="F3737" s="52"/>
      <c r="G3737" s="52"/>
      <c r="H3737" s="52"/>
      <c r="I3737" s="52"/>
      <c r="J3737" s="52"/>
      <c r="K3737" s="52"/>
      <c r="L3737" s="52"/>
      <c r="M3737" s="52"/>
      <c r="N3737" s="52"/>
      <c r="O3737" s="52"/>
      <c r="P3737" s="52"/>
      <c r="Q3737" s="52"/>
      <c r="R3737" s="52"/>
      <c r="S3737" s="52"/>
      <c r="T3737" s="52"/>
      <c r="U3737" s="52"/>
      <c r="V3737" s="52"/>
      <c r="W3737" s="52"/>
      <c r="X3737" s="52"/>
      <c r="Y3737" s="52"/>
      <c r="Z3737" s="52"/>
      <c r="AA3737" s="52"/>
      <c r="AB3737" s="52"/>
      <c r="AC3737" s="52"/>
      <c r="AD3737" s="52"/>
      <c r="AE3737" s="52"/>
      <c r="AF3737" s="52"/>
      <c r="AG3737" s="52"/>
      <c r="AH3737" s="52"/>
      <c r="AI3737" s="52"/>
      <c r="AJ3737" s="52"/>
      <c r="AK3737" s="52"/>
      <c r="AL3737" s="52"/>
      <c r="AM3737" s="52"/>
      <c r="AN3737" s="52"/>
    </row>
    <row r="3738" spans="1:40" x14ac:dyDescent="0.3">
      <c r="A3738" s="52">
        <v>3733</v>
      </c>
      <c r="B3738" s="52">
        <f>-bthan*500+(32+0.5)*bthan*1000/50</f>
        <v>825</v>
      </c>
      <c r="C3738" s="52">
        <f t="shared" ref="C3738:C3755" si="339">-hthan*500+(74+0.5)*hthan*1000/80</f>
        <v>690</v>
      </c>
      <c r="D3738" s="52">
        <f t="shared" si="337"/>
        <v>2200</v>
      </c>
      <c r="E3738" s="52">
        <f t="shared" si="338"/>
        <v>1</v>
      </c>
      <c r="F3738" s="52"/>
      <c r="G3738" s="52"/>
      <c r="H3738" s="52"/>
      <c r="I3738" s="52"/>
      <c r="J3738" s="52"/>
      <c r="K3738" s="52"/>
      <c r="L3738" s="52"/>
      <c r="M3738" s="52"/>
      <c r="N3738" s="52"/>
      <c r="O3738" s="52"/>
      <c r="P3738" s="52"/>
      <c r="Q3738" s="52"/>
      <c r="R3738" s="52"/>
      <c r="S3738" s="52"/>
      <c r="T3738" s="52"/>
      <c r="U3738" s="52"/>
      <c r="V3738" s="52"/>
      <c r="W3738" s="52"/>
      <c r="X3738" s="52"/>
      <c r="Y3738" s="52"/>
      <c r="Z3738" s="52"/>
      <c r="AA3738" s="52"/>
      <c r="AB3738" s="52"/>
      <c r="AC3738" s="52"/>
      <c r="AD3738" s="52"/>
      <c r="AE3738" s="52"/>
      <c r="AF3738" s="52"/>
      <c r="AG3738" s="52"/>
      <c r="AH3738" s="52"/>
      <c r="AI3738" s="52"/>
      <c r="AJ3738" s="52"/>
      <c r="AK3738" s="52"/>
      <c r="AL3738" s="52"/>
      <c r="AM3738" s="52"/>
      <c r="AN3738" s="52"/>
    </row>
    <row r="3739" spans="1:40" x14ac:dyDescent="0.3">
      <c r="A3739" s="52">
        <v>3734</v>
      </c>
      <c r="B3739" s="52">
        <f>-bthan*500+(33+0.5)*bthan*1000/50</f>
        <v>935</v>
      </c>
      <c r="C3739" s="52">
        <f t="shared" si="339"/>
        <v>690</v>
      </c>
      <c r="D3739" s="52">
        <f t="shared" si="337"/>
        <v>2200</v>
      </c>
      <c r="E3739" s="52">
        <f t="shared" si="338"/>
        <v>1</v>
      </c>
      <c r="F3739" s="52"/>
      <c r="G3739" s="52"/>
      <c r="H3739" s="52"/>
      <c r="I3739" s="52"/>
      <c r="J3739" s="52"/>
      <c r="K3739" s="52"/>
      <c r="L3739" s="52"/>
      <c r="M3739" s="52"/>
      <c r="N3739" s="52"/>
      <c r="O3739" s="52"/>
      <c r="P3739" s="52"/>
      <c r="Q3739" s="52"/>
      <c r="R3739" s="52"/>
      <c r="S3739" s="52"/>
      <c r="T3739" s="52"/>
      <c r="U3739" s="52"/>
      <c r="V3739" s="52"/>
      <c r="W3739" s="52"/>
      <c r="X3739" s="52"/>
      <c r="Y3739" s="52"/>
      <c r="Z3739" s="52"/>
      <c r="AA3739" s="52"/>
      <c r="AB3739" s="52"/>
      <c r="AC3739" s="52"/>
      <c r="AD3739" s="52"/>
      <c r="AE3739" s="52"/>
      <c r="AF3739" s="52"/>
      <c r="AG3739" s="52"/>
      <c r="AH3739" s="52"/>
      <c r="AI3739" s="52"/>
      <c r="AJ3739" s="52"/>
      <c r="AK3739" s="52"/>
      <c r="AL3739" s="52"/>
      <c r="AM3739" s="52"/>
      <c r="AN3739" s="52"/>
    </row>
    <row r="3740" spans="1:40" x14ac:dyDescent="0.3">
      <c r="A3740" s="52">
        <v>3735</v>
      </c>
      <c r="B3740" s="52">
        <f>-bthan*500+(34+0.5)*bthan*1000/50</f>
        <v>1045</v>
      </c>
      <c r="C3740" s="52">
        <f t="shared" si="339"/>
        <v>690</v>
      </c>
      <c r="D3740" s="52">
        <f t="shared" si="337"/>
        <v>2200</v>
      </c>
      <c r="E3740" s="52">
        <f t="shared" si="338"/>
        <v>1</v>
      </c>
      <c r="F3740" s="52"/>
      <c r="G3740" s="52"/>
      <c r="H3740" s="52"/>
      <c r="I3740" s="52"/>
      <c r="J3740" s="52"/>
      <c r="K3740" s="52"/>
      <c r="L3740" s="52"/>
      <c r="M3740" s="52"/>
      <c r="N3740" s="52"/>
      <c r="O3740" s="52"/>
      <c r="P3740" s="52"/>
      <c r="Q3740" s="52"/>
      <c r="R3740" s="52"/>
      <c r="S3740" s="52"/>
      <c r="T3740" s="52"/>
      <c r="U3740" s="52"/>
      <c r="V3740" s="52"/>
      <c r="W3740" s="52"/>
      <c r="X3740" s="52"/>
      <c r="Y3740" s="52"/>
      <c r="Z3740" s="52"/>
      <c r="AA3740" s="52"/>
      <c r="AB3740" s="52"/>
      <c r="AC3740" s="52"/>
      <c r="AD3740" s="52"/>
      <c r="AE3740" s="52"/>
      <c r="AF3740" s="52"/>
      <c r="AG3740" s="52"/>
      <c r="AH3740" s="52"/>
      <c r="AI3740" s="52"/>
      <c r="AJ3740" s="52"/>
      <c r="AK3740" s="52"/>
      <c r="AL3740" s="52"/>
      <c r="AM3740" s="52"/>
      <c r="AN3740" s="52"/>
    </row>
    <row r="3741" spans="1:40" x14ac:dyDescent="0.3">
      <c r="A3741" s="52">
        <v>3736</v>
      </c>
      <c r="B3741" s="52">
        <f>-bthan*500+(35+0.5)*bthan*1000/50</f>
        <v>1155</v>
      </c>
      <c r="C3741" s="52">
        <f t="shared" si="339"/>
        <v>690</v>
      </c>
      <c r="D3741" s="52">
        <f t="shared" si="337"/>
        <v>2200</v>
      </c>
      <c r="E3741" s="52">
        <f t="shared" si="338"/>
        <v>1</v>
      </c>
      <c r="F3741" s="52"/>
      <c r="G3741" s="52"/>
      <c r="H3741" s="52"/>
      <c r="I3741" s="52"/>
      <c r="J3741" s="52"/>
      <c r="K3741" s="52"/>
      <c r="L3741" s="52"/>
      <c r="M3741" s="52"/>
      <c r="N3741" s="52"/>
      <c r="O3741" s="52"/>
      <c r="P3741" s="52"/>
      <c r="Q3741" s="52"/>
      <c r="R3741" s="52"/>
      <c r="S3741" s="52"/>
      <c r="T3741" s="52"/>
      <c r="U3741" s="52"/>
      <c r="V3741" s="52"/>
      <c r="W3741" s="52"/>
      <c r="X3741" s="52"/>
      <c r="Y3741" s="52"/>
      <c r="Z3741" s="52"/>
      <c r="AA3741" s="52"/>
      <c r="AB3741" s="52"/>
      <c r="AC3741" s="52"/>
      <c r="AD3741" s="52"/>
      <c r="AE3741" s="52"/>
      <c r="AF3741" s="52"/>
      <c r="AG3741" s="52"/>
      <c r="AH3741" s="52"/>
      <c r="AI3741" s="52"/>
      <c r="AJ3741" s="52"/>
      <c r="AK3741" s="52"/>
      <c r="AL3741" s="52"/>
      <c r="AM3741" s="52"/>
      <c r="AN3741" s="52"/>
    </row>
    <row r="3742" spans="1:40" x14ac:dyDescent="0.3">
      <c r="A3742" s="52">
        <v>3737</v>
      </c>
      <c r="B3742" s="52">
        <f>-bthan*500+(36+0.5)*bthan*1000/50</f>
        <v>1265</v>
      </c>
      <c r="C3742" s="52">
        <f t="shared" si="339"/>
        <v>690</v>
      </c>
      <c r="D3742" s="52">
        <f t="shared" si="337"/>
        <v>2200</v>
      </c>
      <c r="E3742" s="52">
        <f t="shared" si="338"/>
        <v>1</v>
      </c>
      <c r="F3742" s="52"/>
      <c r="G3742" s="52"/>
      <c r="H3742" s="52"/>
      <c r="I3742" s="52"/>
      <c r="J3742" s="52"/>
      <c r="K3742" s="52"/>
      <c r="L3742" s="52"/>
      <c r="M3742" s="52"/>
      <c r="N3742" s="52"/>
      <c r="O3742" s="52"/>
      <c r="P3742" s="52"/>
      <c r="Q3742" s="52"/>
      <c r="R3742" s="52"/>
      <c r="S3742" s="52"/>
      <c r="T3742" s="52"/>
      <c r="U3742" s="52"/>
      <c r="V3742" s="52"/>
      <c r="W3742" s="52"/>
      <c r="X3742" s="52"/>
      <c r="Y3742" s="52"/>
      <c r="Z3742" s="52"/>
      <c r="AA3742" s="52"/>
      <c r="AB3742" s="52"/>
      <c r="AC3742" s="52"/>
      <c r="AD3742" s="52"/>
      <c r="AE3742" s="52"/>
      <c r="AF3742" s="52"/>
      <c r="AG3742" s="52"/>
      <c r="AH3742" s="52"/>
      <c r="AI3742" s="52"/>
      <c r="AJ3742" s="52"/>
      <c r="AK3742" s="52"/>
      <c r="AL3742" s="52"/>
      <c r="AM3742" s="52"/>
      <c r="AN3742" s="52"/>
    </row>
    <row r="3743" spans="1:40" x14ac:dyDescent="0.3">
      <c r="A3743" s="52">
        <v>3738</v>
      </c>
      <c r="B3743" s="52">
        <f>-bthan*500+(37+0.5)*bthan*1000/50</f>
        <v>1375</v>
      </c>
      <c r="C3743" s="52">
        <f t="shared" si="339"/>
        <v>690</v>
      </c>
      <c r="D3743" s="52">
        <f t="shared" si="337"/>
        <v>2200</v>
      </c>
      <c r="E3743" s="52">
        <f t="shared" si="338"/>
        <v>1</v>
      </c>
      <c r="F3743" s="52"/>
      <c r="G3743" s="52"/>
      <c r="H3743" s="52"/>
      <c r="I3743" s="52"/>
      <c r="J3743" s="52"/>
      <c r="K3743" s="52"/>
      <c r="L3743" s="52"/>
      <c r="M3743" s="52"/>
      <c r="N3743" s="52"/>
      <c r="O3743" s="52"/>
      <c r="P3743" s="52"/>
      <c r="Q3743" s="52"/>
      <c r="R3743" s="52"/>
      <c r="S3743" s="52"/>
      <c r="T3743" s="52"/>
      <c r="U3743" s="52"/>
      <c r="V3743" s="52"/>
      <c r="W3743" s="52"/>
      <c r="X3743" s="52"/>
      <c r="Y3743" s="52"/>
      <c r="Z3743" s="52"/>
      <c r="AA3743" s="52"/>
      <c r="AB3743" s="52"/>
      <c r="AC3743" s="52"/>
      <c r="AD3743" s="52"/>
      <c r="AE3743" s="52"/>
      <c r="AF3743" s="52"/>
      <c r="AG3743" s="52"/>
      <c r="AH3743" s="52"/>
      <c r="AI3743" s="52"/>
      <c r="AJ3743" s="52"/>
      <c r="AK3743" s="52"/>
      <c r="AL3743" s="52"/>
      <c r="AM3743" s="52"/>
      <c r="AN3743" s="52"/>
    </row>
    <row r="3744" spans="1:40" x14ac:dyDescent="0.3">
      <c r="A3744" s="52">
        <v>3739</v>
      </c>
      <c r="B3744" s="52">
        <f>-bthan*500+(38+0.5)*bthan*1000/50</f>
        <v>1485</v>
      </c>
      <c r="C3744" s="52">
        <f t="shared" si="339"/>
        <v>690</v>
      </c>
      <c r="D3744" s="52">
        <f t="shared" si="337"/>
        <v>2200</v>
      </c>
      <c r="E3744" s="52">
        <f t="shared" si="338"/>
        <v>1</v>
      </c>
      <c r="F3744" s="52"/>
      <c r="G3744" s="52"/>
      <c r="H3744" s="52"/>
      <c r="I3744" s="52"/>
      <c r="J3744" s="52"/>
      <c r="K3744" s="52"/>
      <c r="L3744" s="52"/>
      <c r="M3744" s="52"/>
      <c r="N3744" s="52"/>
      <c r="O3744" s="52"/>
      <c r="P3744" s="52"/>
      <c r="Q3744" s="52"/>
      <c r="R3744" s="52"/>
      <c r="S3744" s="52"/>
      <c r="T3744" s="52"/>
      <c r="U3744" s="52"/>
      <c r="V3744" s="52"/>
      <c r="W3744" s="52"/>
      <c r="X3744" s="52"/>
      <c r="Y3744" s="52"/>
      <c r="Z3744" s="52"/>
      <c r="AA3744" s="52"/>
      <c r="AB3744" s="52"/>
      <c r="AC3744" s="52"/>
      <c r="AD3744" s="52"/>
      <c r="AE3744" s="52"/>
      <c r="AF3744" s="52"/>
      <c r="AG3744" s="52"/>
      <c r="AH3744" s="52"/>
      <c r="AI3744" s="52"/>
      <c r="AJ3744" s="52"/>
      <c r="AK3744" s="52"/>
      <c r="AL3744" s="52"/>
      <c r="AM3744" s="52"/>
      <c r="AN3744" s="52"/>
    </row>
    <row r="3745" spans="1:40" x14ac:dyDescent="0.3">
      <c r="A3745" s="52">
        <v>3740</v>
      </c>
      <c r="B3745" s="52">
        <f>-bthan*500+(39+0.5)*bthan*1000/50</f>
        <v>1595</v>
      </c>
      <c r="C3745" s="52">
        <f t="shared" si="339"/>
        <v>690</v>
      </c>
      <c r="D3745" s="52">
        <f t="shared" si="337"/>
        <v>2200</v>
      </c>
      <c r="E3745" s="52">
        <f t="shared" si="338"/>
        <v>1</v>
      </c>
      <c r="F3745" s="52"/>
      <c r="G3745" s="52"/>
      <c r="H3745" s="52"/>
      <c r="I3745" s="52"/>
      <c r="J3745" s="52"/>
      <c r="K3745" s="52"/>
      <c r="L3745" s="52"/>
      <c r="M3745" s="52"/>
      <c r="N3745" s="52"/>
      <c r="O3745" s="52"/>
      <c r="P3745" s="52"/>
      <c r="Q3745" s="52"/>
      <c r="R3745" s="52"/>
      <c r="S3745" s="52"/>
      <c r="T3745" s="52"/>
      <c r="U3745" s="52"/>
      <c r="V3745" s="52"/>
      <c r="W3745" s="52"/>
      <c r="X3745" s="52"/>
      <c r="Y3745" s="52"/>
      <c r="Z3745" s="52"/>
      <c r="AA3745" s="52"/>
      <c r="AB3745" s="52"/>
      <c r="AC3745" s="52"/>
      <c r="AD3745" s="52"/>
      <c r="AE3745" s="52"/>
      <c r="AF3745" s="52"/>
      <c r="AG3745" s="52"/>
      <c r="AH3745" s="52"/>
      <c r="AI3745" s="52"/>
      <c r="AJ3745" s="52"/>
      <c r="AK3745" s="52"/>
      <c r="AL3745" s="52"/>
      <c r="AM3745" s="52"/>
      <c r="AN3745" s="52"/>
    </row>
    <row r="3746" spans="1:40" x14ac:dyDescent="0.3">
      <c r="A3746" s="52">
        <v>3741</v>
      </c>
      <c r="B3746" s="52">
        <f>-bthan*500+(40+0.5)*bthan*1000/50</f>
        <v>1705</v>
      </c>
      <c r="C3746" s="52">
        <f t="shared" si="339"/>
        <v>690</v>
      </c>
      <c r="D3746" s="52">
        <f t="shared" si="337"/>
        <v>2200</v>
      </c>
      <c r="E3746" s="52">
        <f t="shared" si="338"/>
        <v>1</v>
      </c>
      <c r="F3746" s="52"/>
      <c r="G3746" s="52"/>
      <c r="H3746" s="52"/>
      <c r="I3746" s="52"/>
      <c r="J3746" s="52"/>
      <c r="K3746" s="52"/>
      <c r="L3746" s="52"/>
      <c r="M3746" s="52"/>
      <c r="N3746" s="52"/>
      <c r="O3746" s="52"/>
      <c r="P3746" s="52"/>
      <c r="Q3746" s="52"/>
      <c r="R3746" s="52"/>
      <c r="S3746" s="52"/>
      <c r="T3746" s="52"/>
      <c r="U3746" s="52"/>
      <c r="V3746" s="52"/>
      <c r="W3746" s="52"/>
      <c r="X3746" s="52"/>
      <c r="Y3746" s="52"/>
      <c r="Z3746" s="52"/>
      <c r="AA3746" s="52"/>
      <c r="AB3746" s="52"/>
      <c r="AC3746" s="52"/>
      <c r="AD3746" s="52"/>
      <c r="AE3746" s="52"/>
      <c r="AF3746" s="52"/>
      <c r="AG3746" s="52"/>
      <c r="AH3746" s="52"/>
      <c r="AI3746" s="52"/>
      <c r="AJ3746" s="52"/>
      <c r="AK3746" s="52"/>
      <c r="AL3746" s="52"/>
      <c r="AM3746" s="52"/>
      <c r="AN3746" s="52"/>
    </row>
    <row r="3747" spans="1:40" x14ac:dyDescent="0.3">
      <c r="A3747" s="52">
        <v>3742</v>
      </c>
      <c r="B3747" s="52">
        <f>-bthan*500+(41+0.5)*bthan*1000/50</f>
        <v>1815</v>
      </c>
      <c r="C3747" s="52">
        <f t="shared" si="339"/>
        <v>690</v>
      </c>
      <c r="D3747" s="52">
        <f t="shared" si="337"/>
        <v>2200</v>
      </c>
      <c r="E3747" s="52">
        <f t="shared" si="338"/>
        <v>1</v>
      </c>
      <c r="F3747" s="52"/>
      <c r="G3747" s="52"/>
      <c r="H3747" s="52"/>
      <c r="I3747" s="52"/>
      <c r="J3747" s="52"/>
      <c r="K3747" s="52"/>
      <c r="L3747" s="52"/>
      <c r="M3747" s="52"/>
      <c r="N3747" s="52"/>
      <c r="O3747" s="52"/>
      <c r="P3747" s="52"/>
      <c r="Q3747" s="52"/>
      <c r="R3747" s="52"/>
      <c r="S3747" s="52"/>
      <c r="T3747" s="52"/>
      <c r="U3747" s="52"/>
      <c r="V3747" s="52"/>
      <c r="W3747" s="52"/>
      <c r="X3747" s="52"/>
      <c r="Y3747" s="52"/>
      <c r="Z3747" s="52"/>
      <c r="AA3747" s="52"/>
      <c r="AB3747" s="52"/>
      <c r="AC3747" s="52"/>
      <c r="AD3747" s="52"/>
      <c r="AE3747" s="52"/>
      <c r="AF3747" s="52"/>
      <c r="AG3747" s="52"/>
      <c r="AH3747" s="52"/>
      <c r="AI3747" s="52"/>
      <c r="AJ3747" s="52"/>
      <c r="AK3747" s="52"/>
      <c r="AL3747" s="52"/>
      <c r="AM3747" s="52"/>
      <c r="AN3747" s="52"/>
    </row>
    <row r="3748" spans="1:40" x14ac:dyDescent="0.3">
      <c r="A3748" s="52">
        <v>3743</v>
      </c>
      <c r="B3748" s="52">
        <f>-bthan*500+(42+0.5)*bthan*1000/50</f>
        <v>1925</v>
      </c>
      <c r="C3748" s="52">
        <f t="shared" si="339"/>
        <v>690</v>
      </c>
      <c r="D3748" s="52">
        <f t="shared" si="337"/>
        <v>2200</v>
      </c>
      <c r="E3748" s="52">
        <f t="shared" si="338"/>
        <v>1</v>
      </c>
      <c r="F3748" s="52"/>
      <c r="G3748" s="52"/>
      <c r="H3748" s="52"/>
      <c r="I3748" s="52"/>
      <c r="J3748" s="52"/>
      <c r="K3748" s="52"/>
      <c r="L3748" s="52"/>
      <c r="M3748" s="52"/>
      <c r="N3748" s="52"/>
      <c r="O3748" s="52"/>
      <c r="P3748" s="52"/>
      <c r="Q3748" s="52"/>
      <c r="R3748" s="52"/>
      <c r="S3748" s="52"/>
      <c r="T3748" s="52"/>
      <c r="U3748" s="52"/>
      <c r="V3748" s="52"/>
      <c r="W3748" s="52"/>
      <c r="X3748" s="52"/>
      <c r="Y3748" s="52"/>
      <c r="Z3748" s="52"/>
      <c r="AA3748" s="52"/>
      <c r="AB3748" s="52"/>
      <c r="AC3748" s="52"/>
      <c r="AD3748" s="52"/>
      <c r="AE3748" s="52"/>
      <c r="AF3748" s="52"/>
      <c r="AG3748" s="52"/>
      <c r="AH3748" s="52"/>
      <c r="AI3748" s="52"/>
      <c r="AJ3748" s="52"/>
      <c r="AK3748" s="52"/>
      <c r="AL3748" s="52"/>
      <c r="AM3748" s="52"/>
      <c r="AN3748" s="52"/>
    </row>
    <row r="3749" spans="1:40" x14ac:dyDescent="0.3">
      <c r="A3749" s="52">
        <v>3744</v>
      </c>
      <c r="B3749" s="52">
        <f>-bthan*500+(43+0.5)*bthan*1000/50</f>
        <v>2035</v>
      </c>
      <c r="C3749" s="52">
        <f t="shared" si="339"/>
        <v>690</v>
      </c>
      <c r="D3749" s="52">
        <f t="shared" si="337"/>
        <v>2200</v>
      </c>
      <c r="E3749" s="52">
        <f t="shared" si="338"/>
        <v>1</v>
      </c>
      <c r="F3749" s="52"/>
      <c r="G3749" s="52"/>
      <c r="H3749" s="52"/>
      <c r="I3749" s="52"/>
      <c r="J3749" s="52"/>
      <c r="K3749" s="52"/>
      <c r="L3749" s="52"/>
      <c r="M3749" s="52"/>
      <c r="N3749" s="52"/>
      <c r="O3749" s="52"/>
      <c r="P3749" s="52"/>
      <c r="Q3749" s="52"/>
      <c r="R3749" s="52"/>
      <c r="S3749" s="52"/>
      <c r="T3749" s="52"/>
      <c r="U3749" s="52"/>
      <c r="V3749" s="52"/>
      <c r="W3749" s="52"/>
      <c r="X3749" s="52"/>
      <c r="Y3749" s="52"/>
      <c r="Z3749" s="52"/>
      <c r="AA3749" s="52"/>
      <c r="AB3749" s="52"/>
      <c r="AC3749" s="52"/>
      <c r="AD3749" s="52"/>
      <c r="AE3749" s="52"/>
      <c r="AF3749" s="52"/>
      <c r="AG3749" s="52"/>
      <c r="AH3749" s="52"/>
      <c r="AI3749" s="52"/>
      <c r="AJ3749" s="52"/>
      <c r="AK3749" s="52"/>
      <c r="AL3749" s="52"/>
      <c r="AM3749" s="52"/>
      <c r="AN3749" s="52"/>
    </row>
    <row r="3750" spans="1:40" x14ac:dyDescent="0.3">
      <c r="A3750" s="52">
        <v>3745</v>
      </c>
      <c r="B3750" s="52">
        <f>-bthan*500+(44+0.5)*bthan*1000/50</f>
        <v>2145</v>
      </c>
      <c r="C3750" s="52">
        <f t="shared" si="339"/>
        <v>690</v>
      </c>
      <c r="D3750" s="52">
        <f t="shared" si="337"/>
        <v>2200</v>
      </c>
      <c r="E3750" s="52">
        <f t="shared" si="338"/>
        <v>1</v>
      </c>
      <c r="F3750" s="52"/>
      <c r="G3750" s="52"/>
      <c r="H3750" s="52"/>
      <c r="I3750" s="52"/>
      <c r="J3750" s="52"/>
      <c r="K3750" s="52"/>
      <c r="L3750" s="52"/>
      <c r="M3750" s="52"/>
      <c r="N3750" s="52"/>
      <c r="O3750" s="52"/>
      <c r="P3750" s="52"/>
      <c r="Q3750" s="52"/>
      <c r="R3750" s="52"/>
      <c r="S3750" s="52"/>
      <c r="T3750" s="52"/>
      <c r="U3750" s="52"/>
      <c r="V3750" s="52"/>
      <c r="W3750" s="52"/>
      <c r="X3750" s="52"/>
      <c r="Y3750" s="52"/>
      <c r="Z3750" s="52"/>
      <c r="AA3750" s="52"/>
      <c r="AB3750" s="52"/>
      <c r="AC3750" s="52"/>
      <c r="AD3750" s="52"/>
      <c r="AE3750" s="52"/>
      <c r="AF3750" s="52"/>
      <c r="AG3750" s="52"/>
      <c r="AH3750" s="52"/>
      <c r="AI3750" s="52"/>
      <c r="AJ3750" s="52"/>
      <c r="AK3750" s="52"/>
      <c r="AL3750" s="52"/>
      <c r="AM3750" s="52"/>
      <c r="AN3750" s="52"/>
    </row>
    <row r="3751" spans="1:40" x14ac:dyDescent="0.3">
      <c r="A3751" s="52">
        <v>3746</v>
      </c>
      <c r="B3751" s="52">
        <f>-bthan*500+(45+0.5)*bthan*1000/50</f>
        <v>2255</v>
      </c>
      <c r="C3751" s="52">
        <f t="shared" si="339"/>
        <v>690</v>
      </c>
      <c r="D3751" s="52">
        <f t="shared" si="337"/>
        <v>2200</v>
      </c>
      <c r="E3751" s="52">
        <f t="shared" si="338"/>
        <v>1</v>
      </c>
      <c r="F3751" s="52"/>
      <c r="G3751" s="52"/>
      <c r="H3751" s="52"/>
      <c r="I3751" s="52"/>
      <c r="J3751" s="52"/>
      <c r="K3751" s="52"/>
      <c r="L3751" s="52"/>
      <c r="M3751" s="52"/>
      <c r="N3751" s="52"/>
      <c r="O3751" s="52"/>
      <c r="P3751" s="52"/>
      <c r="Q3751" s="52"/>
      <c r="R3751" s="52"/>
      <c r="S3751" s="52"/>
      <c r="T3751" s="52"/>
      <c r="U3751" s="52"/>
      <c r="V3751" s="52"/>
      <c r="W3751" s="52"/>
      <c r="X3751" s="52"/>
      <c r="Y3751" s="52"/>
      <c r="Z3751" s="52"/>
      <c r="AA3751" s="52"/>
      <c r="AB3751" s="52"/>
      <c r="AC3751" s="52"/>
      <c r="AD3751" s="52"/>
      <c r="AE3751" s="52"/>
      <c r="AF3751" s="52"/>
      <c r="AG3751" s="52"/>
      <c r="AH3751" s="52"/>
      <c r="AI3751" s="52"/>
      <c r="AJ3751" s="52"/>
      <c r="AK3751" s="52"/>
      <c r="AL3751" s="52"/>
      <c r="AM3751" s="52"/>
      <c r="AN3751" s="52"/>
    </row>
    <row r="3752" spans="1:40" x14ac:dyDescent="0.3">
      <c r="A3752" s="52">
        <v>3747</v>
      </c>
      <c r="B3752" s="52">
        <f>-bthan*500+(46+0.5)*bthan*1000/50</f>
        <v>2365</v>
      </c>
      <c r="C3752" s="52">
        <f t="shared" si="339"/>
        <v>690</v>
      </c>
      <c r="D3752" s="52">
        <f t="shared" si="337"/>
        <v>2200</v>
      </c>
      <c r="E3752" s="52">
        <f t="shared" si="338"/>
        <v>0</v>
      </c>
      <c r="F3752" s="52"/>
      <c r="G3752" s="52"/>
      <c r="H3752" s="52"/>
      <c r="I3752" s="52"/>
      <c r="J3752" s="52"/>
      <c r="K3752" s="52"/>
      <c r="L3752" s="52"/>
      <c r="M3752" s="52"/>
      <c r="N3752" s="52"/>
      <c r="O3752" s="52"/>
      <c r="P3752" s="52"/>
      <c r="Q3752" s="52"/>
      <c r="R3752" s="52"/>
      <c r="S3752" s="52"/>
      <c r="T3752" s="52"/>
      <c r="U3752" s="52"/>
      <c r="V3752" s="52"/>
      <c r="W3752" s="52"/>
      <c r="X3752" s="52"/>
      <c r="Y3752" s="52"/>
      <c r="Z3752" s="52"/>
      <c r="AA3752" s="52"/>
      <c r="AB3752" s="52"/>
      <c r="AC3752" s="52"/>
      <c r="AD3752" s="52"/>
      <c r="AE3752" s="52"/>
      <c r="AF3752" s="52"/>
      <c r="AG3752" s="52"/>
      <c r="AH3752" s="52"/>
      <c r="AI3752" s="52"/>
      <c r="AJ3752" s="52"/>
      <c r="AK3752" s="52"/>
      <c r="AL3752" s="52"/>
      <c r="AM3752" s="52"/>
      <c r="AN3752" s="52"/>
    </row>
    <row r="3753" spans="1:40" x14ac:dyDescent="0.3">
      <c r="A3753" s="52">
        <v>3748</v>
      </c>
      <c r="B3753" s="52">
        <f>-bthan*500+(47+0.5)*bthan*1000/50</f>
        <v>2475</v>
      </c>
      <c r="C3753" s="52">
        <f t="shared" si="339"/>
        <v>690</v>
      </c>
      <c r="D3753" s="52">
        <f t="shared" si="337"/>
        <v>2200</v>
      </c>
      <c r="E3753" s="52">
        <f t="shared" si="338"/>
        <v>0</v>
      </c>
      <c r="F3753" s="52"/>
      <c r="G3753" s="52"/>
      <c r="H3753" s="52"/>
      <c r="I3753" s="52"/>
      <c r="J3753" s="52"/>
      <c r="K3753" s="52"/>
      <c r="L3753" s="52"/>
      <c r="M3753" s="52"/>
      <c r="N3753" s="52"/>
      <c r="O3753" s="52"/>
      <c r="P3753" s="52"/>
      <c r="Q3753" s="52"/>
      <c r="R3753" s="52"/>
      <c r="S3753" s="52"/>
      <c r="T3753" s="52"/>
      <c r="U3753" s="52"/>
      <c r="V3753" s="52"/>
      <c r="W3753" s="52"/>
      <c r="X3753" s="52"/>
      <c r="Y3753" s="52"/>
      <c r="Z3753" s="52"/>
      <c r="AA3753" s="52"/>
      <c r="AB3753" s="52"/>
      <c r="AC3753" s="52"/>
      <c r="AD3753" s="52"/>
      <c r="AE3753" s="52"/>
      <c r="AF3753" s="52"/>
      <c r="AG3753" s="52"/>
      <c r="AH3753" s="52"/>
      <c r="AI3753" s="52"/>
      <c r="AJ3753" s="52"/>
      <c r="AK3753" s="52"/>
      <c r="AL3753" s="52"/>
      <c r="AM3753" s="52"/>
      <c r="AN3753" s="52"/>
    </row>
    <row r="3754" spans="1:40" x14ac:dyDescent="0.3">
      <c r="A3754" s="52">
        <v>3749</v>
      </c>
      <c r="B3754" s="52">
        <f>-bthan*500+(48+0.5)*bthan*1000/50</f>
        <v>2585</v>
      </c>
      <c r="C3754" s="52">
        <f t="shared" si="339"/>
        <v>690</v>
      </c>
      <c r="D3754" s="52">
        <f t="shared" si="337"/>
        <v>2200</v>
      </c>
      <c r="E3754" s="52">
        <f t="shared" si="338"/>
        <v>0</v>
      </c>
      <c r="F3754" s="52"/>
      <c r="G3754" s="52"/>
      <c r="H3754" s="52"/>
      <c r="I3754" s="52"/>
      <c r="J3754" s="52"/>
      <c r="K3754" s="52"/>
      <c r="L3754" s="52"/>
      <c r="M3754" s="52"/>
      <c r="N3754" s="52"/>
      <c r="O3754" s="52"/>
      <c r="P3754" s="52"/>
      <c r="Q3754" s="52"/>
      <c r="R3754" s="52"/>
      <c r="S3754" s="52"/>
      <c r="T3754" s="52"/>
      <c r="U3754" s="52"/>
      <c r="V3754" s="52"/>
      <c r="W3754" s="52"/>
      <c r="X3754" s="52"/>
      <c r="Y3754" s="52"/>
      <c r="Z3754" s="52"/>
      <c r="AA3754" s="52"/>
      <c r="AB3754" s="52"/>
      <c r="AC3754" s="52"/>
      <c r="AD3754" s="52"/>
      <c r="AE3754" s="52"/>
      <c r="AF3754" s="52"/>
      <c r="AG3754" s="52"/>
      <c r="AH3754" s="52"/>
      <c r="AI3754" s="52"/>
      <c r="AJ3754" s="52"/>
      <c r="AK3754" s="52"/>
      <c r="AL3754" s="52"/>
      <c r="AM3754" s="52"/>
      <c r="AN3754" s="52"/>
    </row>
    <row r="3755" spans="1:40" x14ac:dyDescent="0.3">
      <c r="A3755" s="52">
        <v>3750</v>
      </c>
      <c r="B3755" s="52">
        <f>-bthan*500+(49+0.5)*bthan*1000/50</f>
        <v>2695</v>
      </c>
      <c r="C3755" s="52">
        <f t="shared" si="339"/>
        <v>690</v>
      </c>
      <c r="D3755" s="52">
        <f t="shared" si="337"/>
        <v>2200</v>
      </c>
      <c r="E3755" s="52">
        <f t="shared" si="338"/>
        <v>0</v>
      </c>
      <c r="F3755" s="52"/>
      <c r="G3755" s="52"/>
      <c r="H3755" s="52"/>
      <c r="I3755" s="52"/>
      <c r="J3755" s="52"/>
      <c r="K3755" s="52"/>
      <c r="L3755" s="52"/>
      <c r="M3755" s="52"/>
      <c r="N3755" s="52"/>
      <c r="O3755" s="52"/>
      <c r="P3755" s="52"/>
      <c r="Q3755" s="52"/>
      <c r="R3755" s="52"/>
      <c r="S3755" s="52"/>
      <c r="T3755" s="52"/>
      <c r="U3755" s="52"/>
      <c r="V3755" s="52"/>
      <c r="W3755" s="52"/>
      <c r="X3755" s="52"/>
      <c r="Y3755" s="52"/>
      <c r="Z3755" s="52"/>
      <c r="AA3755" s="52"/>
      <c r="AB3755" s="52"/>
      <c r="AC3755" s="52"/>
      <c r="AD3755" s="52"/>
      <c r="AE3755" s="52"/>
      <c r="AF3755" s="52"/>
      <c r="AG3755" s="52"/>
      <c r="AH3755" s="52"/>
      <c r="AI3755" s="52"/>
      <c r="AJ3755" s="52"/>
      <c r="AK3755" s="52"/>
      <c r="AL3755" s="52"/>
      <c r="AM3755" s="52"/>
      <c r="AN3755" s="52"/>
    </row>
    <row r="3756" spans="1:40" x14ac:dyDescent="0.3">
      <c r="A3756" s="52">
        <v>3751</v>
      </c>
      <c r="B3756" s="52">
        <f>-bthan*500+(0+0.5)*bthan*1000/50</f>
        <v>-2695</v>
      </c>
      <c r="C3756" s="52">
        <f t="shared" ref="C3756:C3787" si="340">-hthan*500+(75+0.5)*hthan*1000/80</f>
        <v>710.00000000000023</v>
      </c>
      <c r="D3756" s="52">
        <f t="shared" si="337"/>
        <v>2200</v>
      </c>
      <c r="E3756" s="52">
        <f t="shared" si="338"/>
        <v>0</v>
      </c>
      <c r="F3756" s="52"/>
      <c r="G3756" s="52"/>
      <c r="H3756" s="52"/>
      <c r="I3756" s="52"/>
      <c r="J3756" s="52"/>
      <c r="K3756" s="52"/>
      <c r="L3756" s="52"/>
      <c r="M3756" s="52"/>
      <c r="N3756" s="52"/>
      <c r="O3756" s="52"/>
      <c r="P3756" s="52"/>
      <c r="Q3756" s="52"/>
      <c r="R3756" s="52"/>
      <c r="S3756" s="52"/>
      <c r="T3756" s="52"/>
      <c r="U3756" s="52"/>
      <c r="V3756" s="52"/>
      <c r="W3756" s="52"/>
      <c r="X3756" s="52"/>
      <c r="Y3756" s="52"/>
      <c r="Z3756" s="52"/>
      <c r="AA3756" s="52"/>
      <c r="AB3756" s="52"/>
      <c r="AC3756" s="52"/>
      <c r="AD3756" s="52"/>
      <c r="AE3756" s="52"/>
      <c r="AF3756" s="52"/>
      <c r="AG3756" s="52"/>
      <c r="AH3756" s="52"/>
      <c r="AI3756" s="52"/>
      <c r="AJ3756" s="52"/>
      <c r="AK3756" s="52"/>
      <c r="AL3756" s="52"/>
      <c r="AM3756" s="52"/>
      <c r="AN3756" s="52"/>
    </row>
    <row r="3757" spans="1:40" x14ac:dyDescent="0.3">
      <c r="A3757" s="52">
        <v>3752</v>
      </c>
      <c r="B3757" s="52">
        <f>-bthan*500+(1+0.5)*bthan*1000/50</f>
        <v>-2585</v>
      </c>
      <c r="C3757" s="52">
        <f t="shared" si="340"/>
        <v>710.00000000000023</v>
      </c>
      <c r="D3757" s="52">
        <f t="shared" si="337"/>
        <v>2200</v>
      </c>
      <c r="E3757" s="52">
        <f t="shared" si="338"/>
        <v>0</v>
      </c>
      <c r="F3757" s="52"/>
      <c r="G3757" s="52"/>
      <c r="H3757" s="52"/>
      <c r="I3757" s="52"/>
      <c r="J3757" s="52"/>
      <c r="K3757" s="52"/>
      <c r="L3757" s="52"/>
      <c r="M3757" s="52"/>
      <c r="N3757" s="52"/>
      <c r="O3757" s="52"/>
      <c r="P3757" s="52"/>
      <c r="Q3757" s="52"/>
      <c r="R3757" s="52"/>
      <c r="S3757" s="52"/>
      <c r="T3757" s="52"/>
      <c r="U3757" s="52"/>
      <c r="V3757" s="52"/>
      <c r="W3757" s="52"/>
      <c r="X3757" s="52"/>
      <c r="Y3757" s="52"/>
      <c r="Z3757" s="52"/>
      <c r="AA3757" s="52"/>
      <c r="AB3757" s="52"/>
      <c r="AC3757" s="52"/>
      <c r="AD3757" s="52"/>
      <c r="AE3757" s="52"/>
      <c r="AF3757" s="52"/>
      <c r="AG3757" s="52"/>
      <c r="AH3757" s="52"/>
      <c r="AI3757" s="52"/>
      <c r="AJ3757" s="52"/>
      <c r="AK3757" s="52"/>
      <c r="AL3757" s="52"/>
      <c r="AM3757" s="52"/>
      <c r="AN3757" s="52"/>
    </row>
    <row r="3758" spans="1:40" x14ac:dyDescent="0.3">
      <c r="A3758" s="52">
        <v>3753</v>
      </c>
      <c r="B3758" s="52">
        <f>-bthan*500+(2+0.5)*bthan*1000/50</f>
        <v>-2475</v>
      </c>
      <c r="C3758" s="52">
        <f t="shared" si="340"/>
        <v>710.00000000000023</v>
      </c>
      <c r="D3758" s="52">
        <f t="shared" si="337"/>
        <v>2200</v>
      </c>
      <c r="E3758" s="52">
        <f t="shared" si="338"/>
        <v>0</v>
      </c>
      <c r="F3758" s="52"/>
      <c r="G3758" s="52"/>
      <c r="H3758" s="52"/>
      <c r="I3758" s="52"/>
      <c r="J3758" s="52"/>
      <c r="K3758" s="52"/>
      <c r="L3758" s="52"/>
      <c r="M3758" s="52"/>
      <c r="N3758" s="52"/>
      <c r="O3758" s="52"/>
      <c r="P3758" s="52"/>
      <c r="Q3758" s="52"/>
      <c r="R3758" s="52"/>
      <c r="S3758" s="52"/>
      <c r="T3758" s="52"/>
      <c r="U3758" s="52"/>
      <c r="V3758" s="52"/>
      <c r="W3758" s="52"/>
      <c r="X3758" s="52"/>
      <c r="Y3758" s="52"/>
      <c r="Z3758" s="52"/>
      <c r="AA3758" s="52"/>
      <c r="AB3758" s="52"/>
      <c r="AC3758" s="52"/>
      <c r="AD3758" s="52"/>
      <c r="AE3758" s="52"/>
      <c r="AF3758" s="52"/>
      <c r="AG3758" s="52"/>
      <c r="AH3758" s="52"/>
      <c r="AI3758" s="52"/>
      <c r="AJ3758" s="52"/>
      <c r="AK3758" s="52"/>
      <c r="AL3758" s="52"/>
      <c r="AM3758" s="52"/>
      <c r="AN3758" s="52"/>
    </row>
    <row r="3759" spans="1:40" x14ac:dyDescent="0.3">
      <c r="A3759" s="52">
        <v>3754</v>
      </c>
      <c r="B3759" s="52">
        <f>-bthan*500+(3+0.5)*bthan*1000/50</f>
        <v>-2365</v>
      </c>
      <c r="C3759" s="52">
        <f t="shared" si="340"/>
        <v>710.00000000000023</v>
      </c>
      <c r="D3759" s="52">
        <f t="shared" si="337"/>
        <v>2200</v>
      </c>
      <c r="E3759" s="52">
        <f t="shared" si="338"/>
        <v>0</v>
      </c>
      <c r="F3759" s="52"/>
      <c r="G3759" s="52"/>
      <c r="H3759" s="52"/>
      <c r="I3759" s="52"/>
      <c r="J3759" s="52"/>
      <c r="K3759" s="52"/>
      <c r="L3759" s="52"/>
      <c r="M3759" s="52"/>
      <c r="N3759" s="52"/>
      <c r="O3759" s="52"/>
      <c r="P3759" s="52"/>
      <c r="Q3759" s="52"/>
      <c r="R3759" s="52"/>
      <c r="S3759" s="52"/>
      <c r="T3759" s="52"/>
      <c r="U3759" s="52"/>
      <c r="V3759" s="52"/>
      <c r="W3759" s="52"/>
      <c r="X3759" s="52"/>
      <c r="Y3759" s="52"/>
      <c r="Z3759" s="52"/>
      <c r="AA3759" s="52"/>
      <c r="AB3759" s="52"/>
      <c r="AC3759" s="52"/>
      <c r="AD3759" s="52"/>
      <c r="AE3759" s="52"/>
      <c r="AF3759" s="52"/>
      <c r="AG3759" s="52"/>
      <c r="AH3759" s="52"/>
      <c r="AI3759" s="52"/>
      <c r="AJ3759" s="52"/>
      <c r="AK3759" s="52"/>
      <c r="AL3759" s="52"/>
      <c r="AM3759" s="52"/>
      <c r="AN3759" s="52"/>
    </row>
    <row r="3760" spans="1:40" x14ac:dyDescent="0.3">
      <c r="A3760" s="52">
        <v>3755</v>
      </c>
      <c r="B3760" s="52">
        <f>-bthan*500+(4+0.5)*bthan*1000/50</f>
        <v>-2255</v>
      </c>
      <c r="C3760" s="52">
        <f t="shared" si="340"/>
        <v>710.00000000000023</v>
      </c>
      <c r="D3760" s="52">
        <f t="shared" si="337"/>
        <v>2200</v>
      </c>
      <c r="E3760" s="52">
        <f t="shared" si="338"/>
        <v>1</v>
      </c>
      <c r="F3760" s="52"/>
      <c r="G3760" s="52"/>
      <c r="H3760" s="52"/>
      <c r="I3760" s="52"/>
      <c r="J3760" s="52"/>
      <c r="K3760" s="52"/>
      <c r="L3760" s="52"/>
      <c r="M3760" s="52"/>
      <c r="N3760" s="52"/>
      <c r="O3760" s="52"/>
      <c r="P3760" s="52"/>
      <c r="Q3760" s="52"/>
      <c r="R3760" s="52"/>
      <c r="S3760" s="52"/>
      <c r="T3760" s="52"/>
      <c r="U3760" s="52"/>
      <c r="V3760" s="52"/>
      <c r="W3760" s="52"/>
      <c r="X3760" s="52"/>
      <c r="Y3760" s="52"/>
      <c r="Z3760" s="52"/>
      <c r="AA3760" s="52"/>
      <c r="AB3760" s="52"/>
      <c r="AC3760" s="52"/>
      <c r="AD3760" s="52"/>
      <c r="AE3760" s="52"/>
      <c r="AF3760" s="52"/>
      <c r="AG3760" s="52"/>
      <c r="AH3760" s="52"/>
      <c r="AI3760" s="52"/>
      <c r="AJ3760" s="52"/>
      <c r="AK3760" s="52"/>
      <c r="AL3760" s="52"/>
      <c r="AM3760" s="52"/>
      <c r="AN3760" s="52"/>
    </row>
    <row r="3761" spans="1:40" x14ac:dyDescent="0.3">
      <c r="A3761" s="52">
        <v>3756</v>
      </c>
      <c r="B3761" s="52">
        <f>-bthan*500+(5+0.5)*bthan*1000/50</f>
        <v>-2145</v>
      </c>
      <c r="C3761" s="52">
        <f t="shared" si="340"/>
        <v>710.00000000000023</v>
      </c>
      <c r="D3761" s="52">
        <f t="shared" si="337"/>
        <v>2200</v>
      </c>
      <c r="E3761" s="52">
        <f t="shared" si="338"/>
        <v>1</v>
      </c>
      <c r="F3761" s="52"/>
      <c r="G3761" s="52"/>
      <c r="H3761" s="52"/>
      <c r="I3761" s="52"/>
      <c r="J3761" s="52"/>
      <c r="K3761" s="52"/>
      <c r="L3761" s="52"/>
      <c r="M3761" s="52"/>
      <c r="N3761" s="52"/>
      <c r="O3761" s="52"/>
      <c r="P3761" s="52"/>
      <c r="Q3761" s="52"/>
      <c r="R3761" s="52"/>
      <c r="S3761" s="52"/>
      <c r="T3761" s="52"/>
      <c r="U3761" s="52"/>
      <c r="V3761" s="52"/>
      <c r="W3761" s="52"/>
      <c r="X3761" s="52"/>
      <c r="Y3761" s="52"/>
      <c r="Z3761" s="52"/>
      <c r="AA3761" s="52"/>
      <c r="AB3761" s="52"/>
      <c r="AC3761" s="52"/>
      <c r="AD3761" s="52"/>
      <c r="AE3761" s="52"/>
      <c r="AF3761" s="52"/>
      <c r="AG3761" s="52"/>
      <c r="AH3761" s="52"/>
      <c r="AI3761" s="52"/>
      <c r="AJ3761" s="52"/>
      <c r="AK3761" s="52"/>
      <c r="AL3761" s="52"/>
      <c r="AM3761" s="52"/>
      <c r="AN3761" s="52"/>
    </row>
    <row r="3762" spans="1:40" x14ac:dyDescent="0.3">
      <c r="A3762" s="52">
        <v>3757</v>
      </c>
      <c r="B3762" s="52">
        <f>-bthan*500+(6+0.5)*bthan*1000/50</f>
        <v>-2035</v>
      </c>
      <c r="C3762" s="52">
        <f t="shared" si="340"/>
        <v>710.00000000000023</v>
      </c>
      <c r="D3762" s="52">
        <f t="shared" si="337"/>
        <v>2200</v>
      </c>
      <c r="E3762" s="52">
        <f t="shared" si="338"/>
        <v>1</v>
      </c>
      <c r="F3762" s="52"/>
      <c r="G3762" s="52"/>
      <c r="H3762" s="52"/>
      <c r="I3762" s="52"/>
      <c r="J3762" s="52"/>
      <c r="K3762" s="52"/>
      <c r="L3762" s="52"/>
      <c r="M3762" s="52"/>
      <c r="N3762" s="52"/>
      <c r="O3762" s="52"/>
      <c r="P3762" s="52"/>
      <c r="Q3762" s="52"/>
      <c r="R3762" s="52"/>
      <c r="S3762" s="52"/>
      <c r="T3762" s="52"/>
      <c r="U3762" s="52"/>
      <c r="V3762" s="52"/>
      <c r="W3762" s="52"/>
      <c r="X3762" s="52"/>
      <c r="Y3762" s="52"/>
      <c r="Z3762" s="52"/>
      <c r="AA3762" s="52"/>
      <c r="AB3762" s="52"/>
      <c r="AC3762" s="52"/>
      <c r="AD3762" s="52"/>
      <c r="AE3762" s="52"/>
      <c r="AF3762" s="52"/>
      <c r="AG3762" s="52"/>
      <c r="AH3762" s="52"/>
      <c r="AI3762" s="52"/>
      <c r="AJ3762" s="52"/>
      <c r="AK3762" s="52"/>
      <c r="AL3762" s="52"/>
      <c r="AM3762" s="52"/>
      <c r="AN3762" s="52"/>
    </row>
    <row r="3763" spans="1:40" x14ac:dyDescent="0.3">
      <c r="A3763" s="52">
        <v>3758</v>
      </c>
      <c r="B3763" s="52">
        <f>-bthan*500+(7+0.5)*bthan*1000/50</f>
        <v>-1925</v>
      </c>
      <c r="C3763" s="52">
        <f t="shared" si="340"/>
        <v>710.00000000000023</v>
      </c>
      <c r="D3763" s="52">
        <f t="shared" si="337"/>
        <v>2200</v>
      </c>
      <c r="E3763" s="52">
        <f t="shared" si="338"/>
        <v>1</v>
      </c>
      <c r="F3763" s="52"/>
      <c r="G3763" s="52"/>
      <c r="H3763" s="52"/>
      <c r="I3763" s="52"/>
      <c r="J3763" s="52"/>
      <c r="K3763" s="52"/>
      <c r="L3763" s="52"/>
      <c r="M3763" s="52"/>
      <c r="N3763" s="52"/>
      <c r="O3763" s="52"/>
      <c r="P3763" s="52"/>
      <c r="Q3763" s="52"/>
      <c r="R3763" s="52"/>
      <c r="S3763" s="52"/>
      <c r="T3763" s="52"/>
      <c r="U3763" s="52"/>
      <c r="V3763" s="52"/>
      <c r="W3763" s="52"/>
      <c r="X3763" s="52"/>
      <c r="Y3763" s="52"/>
      <c r="Z3763" s="52"/>
      <c r="AA3763" s="52"/>
      <c r="AB3763" s="52"/>
      <c r="AC3763" s="52"/>
      <c r="AD3763" s="52"/>
      <c r="AE3763" s="52"/>
      <c r="AF3763" s="52"/>
      <c r="AG3763" s="52"/>
      <c r="AH3763" s="52"/>
      <c r="AI3763" s="52"/>
      <c r="AJ3763" s="52"/>
      <c r="AK3763" s="52"/>
      <c r="AL3763" s="52"/>
      <c r="AM3763" s="52"/>
      <c r="AN3763" s="52"/>
    </row>
    <row r="3764" spans="1:40" x14ac:dyDescent="0.3">
      <c r="A3764" s="52">
        <v>3759</v>
      </c>
      <c r="B3764" s="52">
        <f>-bthan*500+(8+0.5)*bthan*1000/50</f>
        <v>-1815</v>
      </c>
      <c r="C3764" s="52">
        <f t="shared" si="340"/>
        <v>710.00000000000023</v>
      </c>
      <c r="D3764" s="52">
        <f t="shared" si="337"/>
        <v>2200</v>
      </c>
      <c r="E3764" s="52">
        <f t="shared" si="338"/>
        <v>1</v>
      </c>
      <c r="F3764" s="52"/>
      <c r="G3764" s="52"/>
      <c r="H3764" s="52"/>
      <c r="I3764" s="52"/>
      <c r="J3764" s="52"/>
      <c r="K3764" s="52"/>
      <c r="L3764" s="52"/>
      <c r="M3764" s="52"/>
      <c r="N3764" s="52"/>
      <c r="O3764" s="52"/>
      <c r="P3764" s="52"/>
      <c r="Q3764" s="52"/>
      <c r="R3764" s="52"/>
      <c r="S3764" s="52"/>
      <c r="T3764" s="52"/>
      <c r="U3764" s="52"/>
      <c r="V3764" s="52"/>
      <c r="W3764" s="52"/>
      <c r="X3764" s="52"/>
      <c r="Y3764" s="52"/>
      <c r="Z3764" s="52"/>
      <c r="AA3764" s="52"/>
      <c r="AB3764" s="52"/>
      <c r="AC3764" s="52"/>
      <c r="AD3764" s="52"/>
      <c r="AE3764" s="52"/>
      <c r="AF3764" s="52"/>
      <c r="AG3764" s="52"/>
      <c r="AH3764" s="52"/>
      <c r="AI3764" s="52"/>
      <c r="AJ3764" s="52"/>
      <c r="AK3764" s="52"/>
      <c r="AL3764" s="52"/>
      <c r="AM3764" s="52"/>
      <c r="AN3764" s="52"/>
    </row>
    <row r="3765" spans="1:40" x14ac:dyDescent="0.3">
      <c r="A3765" s="52">
        <v>3760</v>
      </c>
      <c r="B3765" s="52">
        <f>-bthan*500+(9+0.5)*bthan*1000/50</f>
        <v>-1705</v>
      </c>
      <c r="C3765" s="52">
        <f t="shared" si="340"/>
        <v>710.00000000000023</v>
      </c>
      <c r="D3765" s="52">
        <f t="shared" si="337"/>
        <v>2200</v>
      </c>
      <c r="E3765" s="52">
        <f t="shared" si="338"/>
        <v>1</v>
      </c>
      <c r="F3765" s="52"/>
      <c r="G3765" s="52"/>
      <c r="H3765" s="52"/>
      <c r="I3765" s="52"/>
      <c r="J3765" s="52"/>
      <c r="K3765" s="52"/>
      <c r="L3765" s="52"/>
      <c r="M3765" s="52"/>
      <c r="N3765" s="52"/>
      <c r="O3765" s="52"/>
      <c r="P3765" s="52"/>
      <c r="Q3765" s="52"/>
      <c r="R3765" s="52"/>
      <c r="S3765" s="52"/>
      <c r="T3765" s="52"/>
      <c r="U3765" s="52"/>
      <c r="V3765" s="52"/>
      <c r="W3765" s="52"/>
      <c r="X3765" s="52"/>
      <c r="Y3765" s="52"/>
      <c r="Z3765" s="52"/>
      <c r="AA3765" s="52"/>
      <c r="AB3765" s="52"/>
      <c r="AC3765" s="52"/>
      <c r="AD3765" s="52"/>
      <c r="AE3765" s="52"/>
      <c r="AF3765" s="52"/>
      <c r="AG3765" s="52"/>
      <c r="AH3765" s="52"/>
      <c r="AI3765" s="52"/>
      <c r="AJ3765" s="52"/>
      <c r="AK3765" s="52"/>
      <c r="AL3765" s="52"/>
      <c r="AM3765" s="52"/>
      <c r="AN3765" s="52"/>
    </row>
    <row r="3766" spans="1:40" x14ac:dyDescent="0.3">
      <c r="A3766" s="52">
        <v>3761</v>
      </c>
      <c r="B3766" s="52">
        <f>-bthan*500+(10+0.5)*bthan*1000/50</f>
        <v>-1595</v>
      </c>
      <c r="C3766" s="52">
        <f t="shared" si="340"/>
        <v>710.00000000000023</v>
      </c>
      <c r="D3766" s="52">
        <f t="shared" si="337"/>
        <v>2200</v>
      </c>
      <c r="E3766" s="52">
        <f t="shared" si="338"/>
        <v>1</v>
      </c>
      <c r="F3766" s="52"/>
      <c r="G3766" s="52"/>
      <c r="H3766" s="52"/>
      <c r="I3766" s="52"/>
      <c r="J3766" s="52"/>
      <c r="K3766" s="52"/>
      <c r="L3766" s="52"/>
      <c r="M3766" s="52"/>
      <c r="N3766" s="52"/>
      <c r="O3766" s="52"/>
      <c r="P3766" s="52"/>
      <c r="Q3766" s="52"/>
      <c r="R3766" s="52"/>
      <c r="S3766" s="52"/>
      <c r="T3766" s="52"/>
      <c r="U3766" s="52"/>
      <c r="V3766" s="52"/>
      <c r="W3766" s="52"/>
      <c r="X3766" s="52"/>
      <c r="Y3766" s="52"/>
      <c r="Z3766" s="52"/>
      <c r="AA3766" s="52"/>
      <c r="AB3766" s="52"/>
      <c r="AC3766" s="52"/>
      <c r="AD3766" s="52"/>
      <c r="AE3766" s="52"/>
      <c r="AF3766" s="52"/>
      <c r="AG3766" s="52"/>
      <c r="AH3766" s="52"/>
      <c r="AI3766" s="52"/>
      <c r="AJ3766" s="52"/>
      <c r="AK3766" s="52"/>
      <c r="AL3766" s="52"/>
      <c r="AM3766" s="52"/>
      <c r="AN3766" s="52"/>
    </row>
    <row r="3767" spans="1:40" x14ac:dyDescent="0.3">
      <c r="A3767" s="52">
        <v>3762</v>
      </c>
      <c r="B3767" s="52">
        <f>-bthan*500+(11+0.5)*bthan*1000/50</f>
        <v>-1485</v>
      </c>
      <c r="C3767" s="52">
        <f t="shared" si="340"/>
        <v>710.00000000000023</v>
      </c>
      <c r="D3767" s="52">
        <f t="shared" si="337"/>
        <v>2200</v>
      </c>
      <c r="E3767" s="52">
        <f t="shared" si="338"/>
        <v>1</v>
      </c>
      <c r="F3767" s="52"/>
      <c r="G3767" s="52"/>
      <c r="H3767" s="52"/>
      <c r="I3767" s="52"/>
      <c r="J3767" s="52"/>
      <c r="K3767" s="52"/>
      <c r="L3767" s="52"/>
      <c r="M3767" s="52"/>
      <c r="N3767" s="52"/>
      <c r="O3767" s="52"/>
      <c r="P3767" s="52"/>
      <c r="Q3767" s="52"/>
      <c r="R3767" s="52"/>
      <c r="S3767" s="52"/>
      <c r="T3767" s="52"/>
      <c r="U3767" s="52"/>
      <c r="V3767" s="52"/>
      <c r="W3767" s="52"/>
      <c r="X3767" s="52"/>
      <c r="Y3767" s="52"/>
      <c r="Z3767" s="52"/>
      <c r="AA3767" s="52"/>
      <c r="AB3767" s="52"/>
      <c r="AC3767" s="52"/>
      <c r="AD3767" s="52"/>
      <c r="AE3767" s="52"/>
      <c r="AF3767" s="52"/>
      <c r="AG3767" s="52"/>
      <c r="AH3767" s="52"/>
      <c r="AI3767" s="52"/>
      <c r="AJ3767" s="52"/>
      <c r="AK3767" s="52"/>
      <c r="AL3767" s="52"/>
      <c r="AM3767" s="52"/>
      <c r="AN3767" s="52"/>
    </row>
    <row r="3768" spans="1:40" x14ac:dyDescent="0.3">
      <c r="A3768" s="52">
        <v>3763</v>
      </c>
      <c r="B3768" s="52">
        <f>-bthan*500+(12+0.5)*bthan*1000/50</f>
        <v>-1375</v>
      </c>
      <c r="C3768" s="52">
        <f t="shared" si="340"/>
        <v>710.00000000000023</v>
      </c>
      <c r="D3768" s="52">
        <f t="shared" si="337"/>
        <v>2200</v>
      </c>
      <c r="E3768" s="52">
        <f t="shared" si="338"/>
        <v>1</v>
      </c>
      <c r="F3768" s="52"/>
      <c r="G3768" s="52"/>
      <c r="H3768" s="52"/>
      <c r="I3768" s="52"/>
      <c r="J3768" s="52"/>
      <c r="K3768" s="52"/>
      <c r="L3768" s="52"/>
      <c r="M3768" s="52"/>
      <c r="N3768" s="52"/>
      <c r="O3768" s="52"/>
      <c r="P3768" s="52"/>
      <c r="Q3768" s="52"/>
      <c r="R3768" s="52"/>
      <c r="S3768" s="52"/>
      <c r="T3768" s="52"/>
      <c r="U3768" s="52"/>
      <c r="V3768" s="52"/>
      <c r="W3768" s="52"/>
      <c r="X3768" s="52"/>
      <c r="Y3768" s="52"/>
      <c r="Z3768" s="52"/>
      <c r="AA3768" s="52"/>
      <c r="AB3768" s="52"/>
      <c r="AC3768" s="52"/>
      <c r="AD3768" s="52"/>
      <c r="AE3768" s="52"/>
      <c r="AF3768" s="52"/>
      <c r="AG3768" s="52"/>
      <c r="AH3768" s="52"/>
      <c r="AI3768" s="52"/>
      <c r="AJ3768" s="52"/>
      <c r="AK3768" s="52"/>
      <c r="AL3768" s="52"/>
      <c r="AM3768" s="52"/>
      <c r="AN3768" s="52"/>
    </row>
    <row r="3769" spans="1:40" x14ac:dyDescent="0.3">
      <c r="A3769" s="52">
        <v>3764</v>
      </c>
      <c r="B3769" s="52">
        <f>-bthan*500+(13+0.5)*bthan*1000/50</f>
        <v>-1265</v>
      </c>
      <c r="C3769" s="52">
        <f t="shared" si="340"/>
        <v>710.00000000000023</v>
      </c>
      <c r="D3769" s="52">
        <f t="shared" si="337"/>
        <v>2200</v>
      </c>
      <c r="E3769" s="52">
        <f t="shared" si="338"/>
        <v>1</v>
      </c>
      <c r="F3769" s="52"/>
      <c r="G3769" s="52"/>
      <c r="H3769" s="52"/>
      <c r="I3769" s="52"/>
      <c r="J3769" s="52"/>
      <c r="K3769" s="52"/>
      <c r="L3769" s="52"/>
      <c r="M3769" s="52"/>
      <c r="N3769" s="52"/>
      <c r="O3769" s="52"/>
      <c r="P3769" s="52"/>
      <c r="Q3769" s="52"/>
      <c r="R3769" s="52"/>
      <c r="S3769" s="52"/>
      <c r="T3769" s="52"/>
      <c r="U3769" s="52"/>
      <c r="V3769" s="52"/>
      <c r="W3769" s="52"/>
      <c r="X3769" s="52"/>
      <c r="Y3769" s="52"/>
      <c r="Z3769" s="52"/>
      <c r="AA3769" s="52"/>
      <c r="AB3769" s="52"/>
      <c r="AC3769" s="52"/>
      <c r="AD3769" s="52"/>
      <c r="AE3769" s="52"/>
      <c r="AF3769" s="52"/>
      <c r="AG3769" s="52"/>
      <c r="AH3769" s="52"/>
      <c r="AI3769" s="52"/>
      <c r="AJ3769" s="52"/>
      <c r="AK3769" s="52"/>
      <c r="AL3769" s="52"/>
      <c r="AM3769" s="52"/>
      <c r="AN3769" s="52"/>
    </row>
    <row r="3770" spans="1:40" x14ac:dyDescent="0.3">
      <c r="A3770" s="52">
        <v>3765</v>
      </c>
      <c r="B3770" s="52">
        <f>-bthan*500+(14+0.5)*bthan*1000/50</f>
        <v>-1155</v>
      </c>
      <c r="C3770" s="52">
        <f t="shared" si="340"/>
        <v>710.00000000000023</v>
      </c>
      <c r="D3770" s="52">
        <f t="shared" si="337"/>
        <v>2200</v>
      </c>
      <c r="E3770" s="52">
        <f t="shared" si="338"/>
        <v>1</v>
      </c>
      <c r="F3770" s="52"/>
      <c r="G3770" s="52"/>
      <c r="H3770" s="52"/>
      <c r="I3770" s="52"/>
      <c r="J3770" s="52"/>
      <c r="K3770" s="52"/>
      <c r="L3770" s="52"/>
      <c r="M3770" s="52"/>
      <c r="N3770" s="52"/>
      <c r="O3770" s="52"/>
      <c r="P3770" s="52"/>
      <c r="Q3770" s="52"/>
      <c r="R3770" s="52"/>
      <c r="S3770" s="52"/>
      <c r="T3770" s="52"/>
      <c r="U3770" s="52"/>
      <c r="V3770" s="52"/>
      <c r="W3770" s="52"/>
      <c r="X3770" s="52"/>
      <c r="Y3770" s="52"/>
      <c r="Z3770" s="52"/>
      <c r="AA3770" s="52"/>
      <c r="AB3770" s="52"/>
      <c r="AC3770" s="52"/>
      <c r="AD3770" s="52"/>
      <c r="AE3770" s="52"/>
      <c r="AF3770" s="52"/>
      <c r="AG3770" s="52"/>
      <c r="AH3770" s="52"/>
      <c r="AI3770" s="52"/>
      <c r="AJ3770" s="52"/>
      <c r="AK3770" s="52"/>
      <c r="AL3770" s="52"/>
      <c r="AM3770" s="52"/>
      <c r="AN3770" s="52"/>
    </row>
    <row r="3771" spans="1:40" x14ac:dyDescent="0.3">
      <c r="A3771" s="52">
        <v>3766</v>
      </c>
      <c r="B3771" s="52">
        <f>-bthan*500+(15+0.5)*bthan*1000/50</f>
        <v>-1045</v>
      </c>
      <c r="C3771" s="52">
        <f t="shared" si="340"/>
        <v>710.00000000000023</v>
      </c>
      <c r="D3771" s="52">
        <f t="shared" si="337"/>
        <v>2200</v>
      </c>
      <c r="E3771" s="52">
        <f t="shared" si="338"/>
        <v>1</v>
      </c>
      <c r="F3771" s="52"/>
      <c r="G3771" s="52"/>
      <c r="H3771" s="52"/>
      <c r="I3771" s="52"/>
      <c r="J3771" s="52"/>
      <c r="K3771" s="52"/>
      <c r="L3771" s="52"/>
      <c r="M3771" s="52"/>
      <c r="N3771" s="52"/>
      <c r="O3771" s="52"/>
      <c r="P3771" s="52"/>
      <c r="Q3771" s="52"/>
      <c r="R3771" s="52"/>
      <c r="S3771" s="52"/>
      <c r="T3771" s="52"/>
      <c r="U3771" s="52"/>
      <c r="V3771" s="52"/>
      <c r="W3771" s="52"/>
      <c r="X3771" s="52"/>
      <c r="Y3771" s="52"/>
      <c r="Z3771" s="52"/>
      <c r="AA3771" s="52"/>
      <c r="AB3771" s="52"/>
      <c r="AC3771" s="52"/>
      <c r="AD3771" s="52"/>
      <c r="AE3771" s="52"/>
      <c r="AF3771" s="52"/>
      <c r="AG3771" s="52"/>
      <c r="AH3771" s="52"/>
      <c r="AI3771" s="52"/>
      <c r="AJ3771" s="52"/>
      <c r="AK3771" s="52"/>
      <c r="AL3771" s="52"/>
      <c r="AM3771" s="52"/>
      <c r="AN3771" s="52"/>
    </row>
    <row r="3772" spans="1:40" x14ac:dyDescent="0.3">
      <c r="A3772" s="52">
        <v>3767</v>
      </c>
      <c r="B3772" s="52">
        <f>-bthan*500+(16+0.5)*bthan*1000/50</f>
        <v>-935</v>
      </c>
      <c r="C3772" s="52">
        <f t="shared" si="340"/>
        <v>710.00000000000023</v>
      </c>
      <c r="D3772" s="52">
        <f t="shared" si="337"/>
        <v>2200</v>
      </c>
      <c r="E3772" s="52">
        <f t="shared" si="338"/>
        <v>1</v>
      </c>
      <c r="F3772" s="52"/>
      <c r="G3772" s="52"/>
      <c r="H3772" s="52"/>
      <c r="I3772" s="52"/>
      <c r="J3772" s="52"/>
      <c r="K3772" s="52"/>
      <c r="L3772" s="52"/>
      <c r="M3772" s="52"/>
      <c r="N3772" s="52"/>
      <c r="O3772" s="52"/>
      <c r="P3772" s="52"/>
      <c r="Q3772" s="52"/>
      <c r="R3772" s="52"/>
      <c r="S3772" s="52"/>
      <c r="T3772" s="52"/>
      <c r="U3772" s="52"/>
      <c r="V3772" s="52"/>
      <c r="W3772" s="52"/>
      <c r="X3772" s="52"/>
      <c r="Y3772" s="52"/>
      <c r="Z3772" s="52"/>
      <c r="AA3772" s="52"/>
      <c r="AB3772" s="52"/>
      <c r="AC3772" s="52"/>
      <c r="AD3772" s="52"/>
      <c r="AE3772" s="52"/>
      <c r="AF3772" s="52"/>
      <c r="AG3772" s="52"/>
      <c r="AH3772" s="52"/>
      <c r="AI3772" s="52"/>
      <c r="AJ3772" s="52"/>
      <c r="AK3772" s="52"/>
      <c r="AL3772" s="52"/>
      <c r="AM3772" s="52"/>
      <c r="AN3772" s="52"/>
    </row>
    <row r="3773" spans="1:40" x14ac:dyDescent="0.3">
      <c r="A3773" s="52">
        <v>3768</v>
      </c>
      <c r="B3773" s="52">
        <f>-bthan*500+(17+0.5)*bthan*1000/50</f>
        <v>-825</v>
      </c>
      <c r="C3773" s="52">
        <f t="shared" si="340"/>
        <v>710.00000000000023</v>
      </c>
      <c r="D3773" s="52">
        <f t="shared" si="337"/>
        <v>2200</v>
      </c>
      <c r="E3773" s="52">
        <f t="shared" si="338"/>
        <v>1</v>
      </c>
      <c r="F3773" s="52"/>
      <c r="G3773" s="52"/>
      <c r="H3773" s="52"/>
      <c r="I3773" s="52"/>
      <c r="J3773" s="52"/>
      <c r="K3773" s="52"/>
      <c r="L3773" s="52"/>
      <c r="M3773" s="52"/>
      <c r="N3773" s="52"/>
      <c r="O3773" s="52"/>
      <c r="P3773" s="52"/>
      <c r="Q3773" s="52"/>
      <c r="R3773" s="52"/>
      <c r="S3773" s="52"/>
      <c r="T3773" s="52"/>
      <c r="U3773" s="52"/>
      <c r="V3773" s="52"/>
      <c r="W3773" s="52"/>
      <c r="X3773" s="52"/>
      <c r="Y3773" s="52"/>
      <c r="Z3773" s="52"/>
      <c r="AA3773" s="52"/>
      <c r="AB3773" s="52"/>
      <c r="AC3773" s="52"/>
      <c r="AD3773" s="52"/>
      <c r="AE3773" s="52"/>
      <c r="AF3773" s="52"/>
      <c r="AG3773" s="52"/>
      <c r="AH3773" s="52"/>
      <c r="AI3773" s="52"/>
      <c r="AJ3773" s="52"/>
      <c r="AK3773" s="52"/>
      <c r="AL3773" s="52"/>
      <c r="AM3773" s="52"/>
      <c r="AN3773" s="52"/>
    </row>
    <row r="3774" spans="1:40" x14ac:dyDescent="0.3">
      <c r="A3774" s="52">
        <v>3769</v>
      </c>
      <c r="B3774" s="52">
        <f>-bthan*500+(18+0.5)*bthan*1000/50</f>
        <v>-715</v>
      </c>
      <c r="C3774" s="52">
        <f t="shared" si="340"/>
        <v>710.00000000000023</v>
      </c>
      <c r="D3774" s="52">
        <f t="shared" si="337"/>
        <v>2200</v>
      </c>
      <c r="E3774" s="52">
        <f t="shared" si="338"/>
        <v>1</v>
      </c>
      <c r="F3774" s="52"/>
      <c r="G3774" s="52"/>
      <c r="H3774" s="52"/>
      <c r="I3774" s="52"/>
      <c r="J3774" s="52"/>
      <c r="K3774" s="52"/>
      <c r="L3774" s="52"/>
      <c r="M3774" s="52"/>
      <c r="N3774" s="52"/>
      <c r="O3774" s="52"/>
      <c r="P3774" s="52"/>
      <c r="Q3774" s="52"/>
      <c r="R3774" s="52"/>
      <c r="S3774" s="52"/>
      <c r="T3774" s="52"/>
      <c r="U3774" s="52"/>
      <c r="V3774" s="52"/>
      <c r="W3774" s="52"/>
      <c r="X3774" s="52"/>
      <c r="Y3774" s="52"/>
      <c r="Z3774" s="52"/>
      <c r="AA3774" s="52"/>
      <c r="AB3774" s="52"/>
      <c r="AC3774" s="52"/>
      <c r="AD3774" s="52"/>
      <c r="AE3774" s="52"/>
      <c r="AF3774" s="52"/>
      <c r="AG3774" s="52"/>
      <c r="AH3774" s="52"/>
      <c r="AI3774" s="52"/>
      <c r="AJ3774" s="52"/>
      <c r="AK3774" s="52"/>
      <c r="AL3774" s="52"/>
      <c r="AM3774" s="52"/>
      <c r="AN3774" s="52"/>
    </row>
    <row r="3775" spans="1:40" x14ac:dyDescent="0.3">
      <c r="A3775" s="52">
        <v>3770</v>
      </c>
      <c r="B3775" s="52">
        <f>-bthan*500+(19+0.5)*bthan*1000/50</f>
        <v>-605</v>
      </c>
      <c r="C3775" s="52">
        <f t="shared" si="340"/>
        <v>710.00000000000023</v>
      </c>
      <c r="D3775" s="52">
        <f t="shared" si="337"/>
        <v>2200</v>
      </c>
      <c r="E3775" s="52">
        <f t="shared" si="338"/>
        <v>1</v>
      </c>
      <c r="F3775" s="52"/>
      <c r="G3775" s="52"/>
      <c r="H3775" s="52"/>
      <c r="I3775" s="52"/>
      <c r="J3775" s="52"/>
      <c r="K3775" s="52"/>
      <c r="L3775" s="52"/>
      <c r="M3775" s="52"/>
      <c r="N3775" s="52"/>
      <c r="O3775" s="52"/>
      <c r="P3775" s="52"/>
      <c r="Q3775" s="52"/>
      <c r="R3775" s="52"/>
      <c r="S3775" s="52"/>
      <c r="T3775" s="52"/>
      <c r="U3775" s="52"/>
      <c r="V3775" s="52"/>
      <c r="W3775" s="52"/>
      <c r="X3775" s="52"/>
      <c r="Y3775" s="52"/>
      <c r="Z3775" s="52"/>
      <c r="AA3775" s="52"/>
      <c r="AB3775" s="52"/>
      <c r="AC3775" s="52"/>
      <c r="AD3775" s="52"/>
      <c r="AE3775" s="52"/>
      <c r="AF3775" s="52"/>
      <c r="AG3775" s="52"/>
      <c r="AH3775" s="52"/>
      <c r="AI3775" s="52"/>
      <c r="AJ3775" s="52"/>
      <c r="AK3775" s="52"/>
      <c r="AL3775" s="52"/>
      <c r="AM3775" s="52"/>
      <c r="AN3775" s="52"/>
    </row>
    <row r="3776" spans="1:40" x14ac:dyDescent="0.3">
      <c r="A3776" s="52">
        <v>3771</v>
      </c>
      <c r="B3776" s="52">
        <f>-bthan*500+(20+0.5)*bthan*1000/50</f>
        <v>-495</v>
      </c>
      <c r="C3776" s="52">
        <f t="shared" si="340"/>
        <v>710.00000000000023</v>
      </c>
      <c r="D3776" s="52">
        <f t="shared" si="337"/>
        <v>2200</v>
      </c>
      <c r="E3776" s="52">
        <f t="shared" si="338"/>
        <v>1</v>
      </c>
      <c r="F3776" s="52"/>
      <c r="G3776" s="52"/>
      <c r="H3776" s="52"/>
      <c r="I3776" s="52"/>
      <c r="J3776" s="52"/>
      <c r="K3776" s="52"/>
      <c r="L3776" s="52"/>
      <c r="M3776" s="52"/>
      <c r="N3776" s="52"/>
      <c r="O3776" s="52"/>
      <c r="P3776" s="52"/>
      <c r="Q3776" s="52"/>
      <c r="R3776" s="52"/>
      <c r="S3776" s="52"/>
      <c r="T3776" s="52"/>
      <c r="U3776" s="52"/>
      <c r="V3776" s="52"/>
      <c r="W3776" s="52"/>
      <c r="X3776" s="52"/>
      <c r="Y3776" s="52"/>
      <c r="Z3776" s="52"/>
      <c r="AA3776" s="52"/>
      <c r="AB3776" s="52"/>
      <c r="AC3776" s="52"/>
      <c r="AD3776" s="52"/>
      <c r="AE3776" s="52"/>
      <c r="AF3776" s="52"/>
      <c r="AG3776" s="52"/>
      <c r="AH3776" s="52"/>
      <c r="AI3776" s="52"/>
      <c r="AJ3776" s="52"/>
      <c r="AK3776" s="52"/>
      <c r="AL3776" s="52"/>
      <c r="AM3776" s="52"/>
      <c r="AN3776" s="52"/>
    </row>
    <row r="3777" spans="1:40" x14ac:dyDescent="0.3">
      <c r="A3777" s="52">
        <v>3772</v>
      </c>
      <c r="B3777" s="52">
        <f>-bthan*500+(21+0.5)*bthan*1000/50</f>
        <v>-385</v>
      </c>
      <c r="C3777" s="52">
        <f t="shared" si="340"/>
        <v>710.00000000000023</v>
      </c>
      <c r="D3777" s="52">
        <f t="shared" si="337"/>
        <v>2200</v>
      </c>
      <c r="E3777" s="52">
        <f t="shared" si="338"/>
        <v>1</v>
      </c>
      <c r="F3777" s="52"/>
      <c r="G3777" s="52"/>
      <c r="H3777" s="52"/>
      <c r="I3777" s="52"/>
      <c r="J3777" s="52"/>
      <c r="K3777" s="52"/>
      <c r="L3777" s="52"/>
      <c r="M3777" s="52"/>
      <c r="N3777" s="52"/>
      <c r="O3777" s="52"/>
      <c r="P3777" s="52"/>
      <c r="Q3777" s="52"/>
      <c r="R3777" s="52"/>
      <c r="S3777" s="52"/>
      <c r="T3777" s="52"/>
      <c r="U3777" s="52"/>
      <c r="V3777" s="52"/>
      <c r="W3777" s="52"/>
      <c r="X3777" s="52"/>
      <c r="Y3777" s="52"/>
      <c r="Z3777" s="52"/>
      <c r="AA3777" s="52"/>
      <c r="AB3777" s="52"/>
      <c r="AC3777" s="52"/>
      <c r="AD3777" s="52"/>
      <c r="AE3777" s="52"/>
      <c r="AF3777" s="52"/>
      <c r="AG3777" s="52"/>
      <c r="AH3777" s="52"/>
      <c r="AI3777" s="52"/>
      <c r="AJ3777" s="52"/>
      <c r="AK3777" s="52"/>
      <c r="AL3777" s="52"/>
      <c r="AM3777" s="52"/>
      <c r="AN3777" s="52"/>
    </row>
    <row r="3778" spans="1:40" x14ac:dyDescent="0.3">
      <c r="A3778" s="52">
        <v>3773</v>
      </c>
      <c r="B3778" s="52">
        <f>-bthan*500+(22+0.5)*bthan*1000/50</f>
        <v>-275</v>
      </c>
      <c r="C3778" s="52">
        <f t="shared" si="340"/>
        <v>710.00000000000023</v>
      </c>
      <c r="D3778" s="52">
        <f t="shared" si="337"/>
        <v>2200</v>
      </c>
      <c r="E3778" s="52">
        <f t="shared" si="338"/>
        <v>1</v>
      </c>
      <c r="F3778" s="52"/>
      <c r="G3778" s="52"/>
      <c r="H3778" s="52"/>
      <c r="I3778" s="52"/>
      <c r="J3778" s="52"/>
      <c r="K3778" s="52"/>
      <c r="L3778" s="52"/>
      <c r="M3778" s="52"/>
      <c r="N3778" s="52"/>
      <c r="O3778" s="52"/>
      <c r="P3778" s="52"/>
      <c r="Q3778" s="52"/>
      <c r="R3778" s="52"/>
      <c r="S3778" s="52"/>
      <c r="T3778" s="52"/>
      <c r="U3778" s="52"/>
      <c r="V3778" s="52"/>
      <c r="W3778" s="52"/>
      <c r="X3778" s="52"/>
      <c r="Y3778" s="52"/>
      <c r="Z3778" s="52"/>
      <c r="AA3778" s="52"/>
      <c r="AB3778" s="52"/>
      <c r="AC3778" s="52"/>
      <c r="AD3778" s="52"/>
      <c r="AE3778" s="52"/>
      <c r="AF3778" s="52"/>
      <c r="AG3778" s="52"/>
      <c r="AH3778" s="52"/>
      <c r="AI3778" s="52"/>
      <c r="AJ3778" s="52"/>
      <c r="AK3778" s="52"/>
      <c r="AL3778" s="52"/>
      <c r="AM3778" s="52"/>
      <c r="AN3778" s="52"/>
    </row>
    <row r="3779" spans="1:40" x14ac:dyDescent="0.3">
      <c r="A3779" s="52">
        <v>3774</v>
      </c>
      <c r="B3779" s="52">
        <f>-bthan*500+(23+0.5)*bthan*1000/50</f>
        <v>-165</v>
      </c>
      <c r="C3779" s="52">
        <f t="shared" si="340"/>
        <v>710.00000000000023</v>
      </c>
      <c r="D3779" s="52">
        <f t="shared" si="337"/>
        <v>2200</v>
      </c>
      <c r="E3779" s="52">
        <f t="shared" si="338"/>
        <v>1</v>
      </c>
      <c r="F3779" s="52"/>
      <c r="G3779" s="52"/>
      <c r="H3779" s="52"/>
      <c r="I3779" s="52"/>
      <c r="J3779" s="52"/>
      <c r="K3779" s="52"/>
      <c r="L3779" s="52"/>
      <c r="M3779" s="52"/>
      <c r="N3779" s="52"/>
      <c r="O3779" s="52"/>
      <c r="P3779" s="52"/>
      <c r="Q3779" s="52"/>
      <c r="R3779" s="52"/>
      <c r="S3779" s="52"/>
      <c r="T3779" s="52"/>
      <c r="U3779" s="52"/>
      <c r="V3779" s="52"/>
      <c r="W3779" s="52"/>
      <c r="X3779" s="52"/>
      <c r="Y3779" s="52"/>
      <c r="Z3779" s="52"/>
      <c r="AA3779" s="52"/>
      <c r="AB3779" s="52"/>
      <c r="AC3779" s="52"/>
      <c r="AD3779" s="52"/>
      <c r="AE3779" s="52"/>
      <c r="AF3779" s="52"/>
      <c r="AG3779" s="52"/>
      <c r="AH3779" s="52"/>
      <c r="AI3779" s="52"/>
      <c r="AJ3779" s="52"/>
      <c r="AK3779" s="52"/>
      <c r="AL3779" s="52"/>
      <c r="AM3779" s="52"/>
      <c r="AN3779" s="52"/>
    </row>
    <row r="3780" spans="1:40" x14ac:dyDescent="0.3">
      <c r="A3780" s="52">
        <v>3775</v>
      </c>
      <c r="B3780" s="52">
        <f>-bthan*500+(24+0.5)*bthan*1000/50</f>
        <v>-55</v>
      </c>
      <c r="C3780" s="52">
        <f t="shared" si="340"/>
        <v>710.00000000000023</v>
      </c>
      <c r="D3780" s="52">
        <f t="shared" si="337"/>
        <v>2200</v>
      </c>
      <c r="E3780" s="52">
        <f t="shared" si="338"/>
        <v>1</v>
      </c>
      <c r="F3780" s="52"/>
      <c r="G3780" s="52"/>
      <c r="H3780" s="52"/>
      <c r="I3780" s="52"/>
      <c r="J3780" s="52"/>
      <c r="K3780" s="52"/>
      <c r="L3780" s="52"/>
      <c r="M3780" s="52"/>
      <c r="N3780" s="52"/>
      <c r="O3780" s="52"/>
      <c r="P3780" s="52"/>
      <c r="Q3780" s="52"/>
      <c r="R3780" s="52"/>
      <c r="S3780" s="52"/>
      <c r="T3780" s="52"/>
      <c r="U3780" s="52"/>
      <c r="V3780" s="52"/>
      <c r="W3780" s="52"/>
      <c r="X3780" s="52"/>
      <c r="Y3780" s="52"/>
      <c r="Z3780" s="52"/>
      <c r="AA3780" s="52"/>
      <c r="AB3780" s="52"/>
      <c r="AC3780" s="52"/>
      <c r="AD3780" s="52"/>
      <c r="AE3780" s="52"/>
      <c r="AF3780" s="52"/>
      <c r="AG3780" s="52"/>
      <c r="AH3780" s="52"/>
      <c r="AI3780" s="52"/>
      <c r="AJ3780" s="52"/>
      <c r="AK3780" s="52"/>
      <c r="AL3780" s="52"/>
      <c r="AM3780" s="52"/>
      <c r="AN3780" s="52"/>
    </row>
    <row r="3781" spans="1:40" x14ac:dyDescent="0.3">
      <c r="A3781" s="52">
        <v>3776</v>
      </c>
      <c r="B3781" s="52">
        <f>-bthan*500+(25+0.5)*bthan*1000/50</f>
        <v>55</v>
      </c>
      <c r="C3781" s="52">
        <f t="shared" si="340"/>
        <v>710.00000000000023</v>
      </c>
      <c r="D3781" s="52">
        <f t="shared" si="337"/>
        <v>2200</v>
      </c>
      <c r="E3781" s="52">
        <f t="shared" si="338"/>
        <v>1</v>
      </c>
      <c r="F3781" s="52"/>
      <c r="G3781" s="52"/>
      <c r="H3781" s="52"/>
      <c r="I3781" s="52"/>
      <c r="J3781" s="52"/>
      <c r="K3781" s="52"/>
      <c r="L3781" s="52"/>
      <c r="M3781" s="52"/>
      <c r="N3781" s="52"/>
      <c r="O3781" s="52"/>
      <c r="P3781" s="52"/>
      <c r="Q3781" s="52"/>
      <c r="R3781" s="52"/>
      <c r="S3781" s="52"/>
      <c r="T3781" s="52"/>
      <c r="U3781" s="52"/>
      <c r="V3781" s="52"/>
      <c r="W3781" s="52"/>
      <c r="X3781" s="52"/>
      <c r="Y3781" s="52"/>
      <c r="Z3781" s="52"/>
      <c r="AA3781" s="52"/>
      <c r="AB3781" s="52"/>
      <c r="AC3781" s="52"/>
      <c r="AD3781" s="52"/>
      <c r="AE3781" s="52"/>
      <c r="AF3781" s="52"/>
      <c r="AG3781" s="52"/>
      <c r="AH3781" s="52"/>
      <c r="AI3781" s="52"/>
      <c r="AJ3781" s="52"/>
      <c r="AK3781" s="52"/>
      <c r="AL3781" s="52"/>
      <c r="AM3781" s="52"/>
      <c r="AN3781" s="52"/>
    </row>
    <row r="3782" spans="1:40" x14ac:dyDescent="0.3">
      <c r="A3782" s="52">
        <v>3777</v>
      </c>
      <c r="B3782" s="52">
        <f>-bthan*500+(26+0.5)*bthan*1000/50</f>
        <v>165</v>
      </c>
      <c r="C3782" s="52">
        <f t="shared" si="340"/>
        <v>710.00000000000023</v>
      </c>
      <c r="D3782" s="52">
        <f t="shared" ref="D3782:D3845" si="341">bthan*1000/50*hthan*1000/80</f>
        <v>2200</v>
      </c>
      <c r="E3782" s="52">
        <f t="shared" ref="E3782:E3845" si="342">IF(shp=1,--(OR(ABS(B3782)&lt;=MAX(0,(bthan-hthan)*500),(ABS(B3782)-MAX(0,(bthan-hthan)*500))^2+C3782^2&lt;=(hthan*500)^2)),--(AND(ABS(B3782)&lt;=bthan*500,ABS(C3782)&lt;=hthan*500,OR(ABS(B3782)&lt;=bthan*500-cch*1000,ABS(C3782)&lt;=hthan*500-cch*1000,(bthan*500-ABS(B3782))+(hthan*500-ABS(C3782))&gt;=cch*1000))))</f>
        <v>1</v>
      </c>
      <c r="F3782" s="52"/>
      <c r="G3782" s="52"/>
      <c r="H3782" s="52"/>
      <c r="I3782" s="52"/>
      <c r="J3782" s="52"/>
      <c r="K3782" s="52"/>
      <c r="L3782" s="52"/>
      <c r="M3782" s="52"/>
      <c r="N3782" s="52"/>
      <c r="O3782" s="52"/>
      <c r="P3782" s="52"/>
      <c r="Q3782" s="52"/>
      <c r="R3782" s="52"/>
      <c r="S3782" s="52"/>
      <c r="T3782" s="52"/>
      <c r="U3782" s="52"/>
      <c r="V3782" s="52"/>
      <c r="W3782" s="52"/>
      <c r="X3782" s="52"/>
      <c r="Y3782" s="52"/>
      <c r="Z3782" s="52"/>
      <c r="AA3782" s="52"/>
      <c r="AB3782" s="52"/>
      <c r="AC3782" s="52"/>
      <c r="AD3782" s="52"/>
      <c r="AE3782" s="52"/>
      <c r="AF3782" s="52"/>
      <c r="AG3782" s="52"/>
      <c r="AH3782" s="52"/>
      <c r="AI3782" s="52"/>
      <c r="AJ3782" s="52"/>
      <c r="AK3782" s="52"/>
      <c r="AL3782" s="52"/>
      <c r="AM3782" s="52"/>
      <c r="AN3782" s="52"/>
    </row>
    <row r="3783" spans="1:40" x14ac:dyDescent="0.3">
      <c r="A3783" s="52">
        <v>3778</v>
      </c>
      <c r="B3783" s="52">
        <f>-bthan*500+(27+0.5)*bthan*1000/50</f>
        <v>275</v>
      </c>
      <c r="C3783" s="52">
        <f t="shared" si="340"/>
        <v>710.00000000000023</v>
      </c>
      <c r="D3783" s="52">
        <f t="shared" si="341"/>
        <v>2200</v>
      </c>
      <c r="E3783" s="52">
        <f t="shared" si="342"/>
        <v>1</v>
      </c>
      <c r="F3783" s="52"/>
      <c r="G3783" s="52"/>
      <c r="H3783" s="52"/>
      <c r="I3783" s="52"/>
      <c r="J3783" s="52"/>
      <c r="K3783" s="52"/>
      <c r="L3783" s="52"/>
      <c r="M3783" s="52"/>
      <c r="N3783" s="52"/>
      <c r="O3783" s="52"/>
      <c r="P3783" s="52"/>
      <c r="Q3783" s="52"/>
      <c r="R3783" s="52"/>
      <c r="S3783" s="52"/>
      <c r="T3783" s="52"/>
      <c r="U3783" s="52"/>
      <c r="V3783" s="52"/>
      <c r="W3783" s="52"/>
      <c r="X3783" s="52"/>
      <c r="Y3783" s="52"/>
      <c r="Z3783" s="52"/>
      <c r="AA3783" s="52"/>
      <c r="AB3783" s="52"/>
      <c r="AC3783" s="52"/>
      <c r="AD3783" s="52"/>
      <c r="AE3783" s="52"/>
      <c r="AF3783" s="52"/>
      <c r="AG3783" s="52"/>
      <c r="AH3783" s="52"/>
      <c r="AI3783" s="52"/>
      <c r="AJ3783" s="52"/>
      <c r="AK3783" s="52"/>
      <c r="AL3783" s="52"/>
      <c r="AM3783" s="52"/>
      <c r="AN3783" s="52"/>
    </row>
    <row r="3784" spans="1:40" x14ac:dyDescent="0.3">
      <c r="A3784" s="52">
        <v>3779</v>
      </c>
      <c r="B3784" s="52">
        <f>-bthan*500+(28+0.5)*bthan*1000/50</f>
        <v>385</v>
      </c>
      <c r="C3784" s="52">
        <f t="shared" si="340"/>
        <v>710.00000000000023</v>
      </c>
      <c r="D3784" s="52">
        <f t="shared" si="341"/>
        <v>2200</v>
      </c>
      <c r="E3784" s="52">
        <f t="shared" si="342"/>
        <v>1</v>
      </c>
      <c r="F3784" s="52"/>
      <c r="G3784" s="52"/>
      <c r="H3784" s="52"/>
      <c r="I3784" s="52"/>
      <c r="J3784" s="52"/>
      <c r="K3784" s="52"/>
      <c r="L3784" s="52"/>
      <c r="M3784" s="52"/>
      <c r="N3784" s="52"/>
      <c r="O3784" s="52"/>
      <c r="P3784" s="52"/>
      <c r="Q3784" s="52"/>
      <c r="R3784" s="52"/>
      <c r="S3784" s="52"/>
      <c r="T3784" s="52"/>
      <c r="U3784" s="52"/>
      <c r="V3784" s="52"/>
      <c r="W3784" s="52"/>
      <c r="X3784" s="52"/>
      <c r="Y3784" s="52"/>
      <c r="Z3784" s="52"/>
      <c r="AA3784" s="52"/>
      <c r="AB3784" s="52"/>
      <c r="AC3784" s="52"/>
      <c r="AD3784" s="52"/>
      <c r="AE3784" s="52"/>
      <c r="AF3784" s="52"/>
      <c r="AG3784" s="52"/>
      <c r="AH3784" s="52"/>
      <c r="AI3784" s="52"/>
      <c r="AJ3784" s="52"/>
      <c r="AK3784" s="52"/>
      <c r="AL3784" s="52"/>
      <c r="AM3784" s="52"/>
      <c r="AN3784" s="52"/>
    </row>
    <row r="3785" spans="1:40" x14ac:dyDescent="0.3">
      <c r="A3785" s="52">
        <v>3780</v>
      </c>
      <c r="B3785" s="52">
        <f>-bthan*500+(29+0.5)*bthan*1000/50</f>
        <v>495</v>
      </c>
      <c r="C3785" s="52">
        <f t="shared" si="340"/>
        <v>710.00000000000023</v>
      </c>
      <c r="D3785" s="52">
        <f t="shared" si="341"/>
        <v>2200</v>
      </c>
      <c r="E3785" s="52">
        <f t="shared" si="342"/>
        <v>1</v>
      </c>
      <c r="F3785" s="52"/>
      <c r="G3785" s="52"/>
      <c r="H3785" s="52"/>
      <c r="I3785" s="52"/>
      <c r="J3785" s="52"/>
      <c r="K3785" s="52"/>
      <c r="L3785" s="52"/>
      <c r="M3785" s="52"/>
      <c r="N3785" s="52"/>
      <c r="O3785" s="52"/>
      <c r="P3785" s="52"/>
      <c r="Q3785" s="52"/>
      <c r="R3785" s="52"/>
      <c r="S3785" s="52"/>
      <c r="T3785" s="52"/>
      <c r="U3785" s="52"/>
      <c r="V3785" s="52"/>
      <c r="W3785" s="52"/>
      <c r="X3785" s="52"/>
      <c r="Y3785" s="52"/>
      <c r="Z3785" s="52"/>
      <c r="AA3785" s="52"/>
      <c r="AB3785" s="52"/>
      <c r="AC3785" s="52"/>
      <c r="AD3785" s="52"/>
      <c r="AE3785" s="52"/>
      <c r="AF3785" s="52"/>
      <c r="AG3785" s="52"/>
      <c r="AH3785" s="52"/>
      <c r="AI3785" s="52"/>
      <c r="AJ3785" s="52"/>
      <c r="AK3785" s="52"/>
      <c r="AL3785" s="52"/>
      <c r="AM3785" s="52"/>
      <c r="AN3785" s="52"/>
    </row>
    <row r="3786" spans="1:40" x14ac:dyDescent="0.3">
      <c r="A3786" s="52">
        <v>3781</v>
      </c>
      <c r="B3786" s="52">
        <f>-bthan*500+(30+0.5)*bthan*1000/50</f>
        <v>605</v>
      </c>
      <c r="C3786" s="52">
        <f t="shared" si="340"/>
        <v>710.00000000000023</v>
      </c>
      <c r="D3786" s="52">
        <f t="shared" si="341"/>
        <v>2200</v>
      </c>
      <c r="E3786" s="52">
        <f t="shared" si="342"/>
        <v>1</v>
      </c>
      <c r="F3786" s="52"/>
      <c r="G3786" s="52"/>
      <c r="H3786" s="52"/>
      <c r="I3786" s="52"/>
      <c r="J3786" s="52"/>
      <c r="K3786" s="52"/>
      <c r="L3786" s="52"/>
      <c r="M3786" s="52"/>
      <c r="N3786" s="52"/>
      <c r="O3786" s="52"/>
      <c r="P3786" s="52"/>
      <c r="Q3786" s="52"/>
      <c r="R3786" s="52"/>
      <c r="S3786" s="52"/>
      <c r="T3786" s="52"/>
      <c r="U3786" s="52"/>
      <c r="V3786" s="52"/>
      <c r="W3786" s="52"/>
      <c r="X3786" s="52"/>
      <c r="Y3786" s="52"/>
      <c r="Z3786" s="52"/>
      <c r="AA3786" s="52"/>
      <c r="AB3786" s="52"/>
      <c r="AC3786" s="52"/>
      <c r="AD3786" s="52"/>
      <c r="AE3786" s="52"/>
      <c r="AF3786" s="52"/>
      <c r="AG3786" s="52"/>
      <c r="AH3786" s="52"/>
      <c r="AI3786" s="52"/>
      <c r="AJ3786" s="52"/>
      <c r="AK3786" s="52"/>
      <c r="AL3786" s="52"/>
      <c r="AM3786" s="52"/>
      <c r="AN3786" s="52"/>
    </row>
    <row r="3787" spans="1:40" x14ac:dyDescent="0.3">
      <c r="A3787" s="52">
        <v>3782</v>
      </c>
      <c r="B3787" s="52">
        <f>-bthan*500+(31+0.5)*bthan*1000/50</f>
        <v>715</v>
      </c>
      <c r="C3787" s="52">
        <f t="shared" si="340"/>
        <v>710.00000000000023</v>
      </c>
      <c r="D3787" s="52">
        <f t="shared" si="341"/>
        <v>2200</v>
      </c>
      <c r="E3787" s="52">
        <f t="shared" si="342"/>
        <v>1</v>
      </c>
      <c r="F3787" s="52"/>
      <c r="G3787" s="52"/>
      <c r="H3787" s="52"/>
      <c r="I3787" s="52"/>
      <c r="J3787" s="52"/>
      <c r="K3787" s="52"/>
      <c r="L3787" s="52"/>
      <c r="M3787" s="52"/>
      <c r="N3787" s="52"/>
      <c r="O3787" s="52"/>
      <c r="P3787" s="52"/>
      <c r="Q3787" s="52"/>
      <c r="R3787" s="52"/>
      <c r="S3787" s="52"/>
      <c r="T3787" s="52"/>
      <c r="U3787" s="52"/>
      <c r="V3787" s="52"/>
      <c r="W3787" s="52"/>
      <c r="X3787" s="52"/>
      <c r="Y3787" s="52"/>
      <c r="Z3787" s="52"/>
      <c r="AA3787" s="52"/>
      <c r="AB3787" s="52"/>
      <c r="AC3787" s="52"/>
      <c r="AD3787" s="52"/>
      <c r="AE3787" s="52"/>
      <c r="AF3787" s="52"/>
      <c r="AG3787" s="52"/>
      <c r="AH3787" s="52"/>
      <c r="AI3787" s="52"/>
      <c r="AJ3787" s="52"/>
      <c r="AK3787" s="52"/>
      <c r="AL3787" s="52"/>
      <c r="AM3787" s="52"/>
      <c r="AN3787" s="52"/>
    </row>
    <row r="3788" spans="1:40" x14ac:dyDescent="0.3">
      <c r="A3788" s="52">
        <v>3783</v>
      </c>
      <c r="B3788" s="52">
        <f>-bthan*500+(32+0.5)*bthan*1000/50</f>
        <v>825</v>
      </c>
      <c r="C3788" s="52">
        <f t="shared" ref="C3788:C3805" si="343">-hthan*500+(75+0.5)*hthan*1000/80</f>
        <v>710.00000000000023</v>
      </c>
      <c r="D3788" s="52">
        <f t="shared" si="341"/>
        <v>2200</v>
      </c>
      <c r="E3788" s="52">
        <f t="shared" si="342"/>
        <v>1</v>
      </c>
      <c r="F3788" s="52"/>
      <c r="G3788" s="52"/>
      <c r="H3788" s="52"/>
      <c r="I3788" s="52"/>
      <c r="J3788" s="52"/>
      <c r="K3788" s="52"/>
      <c r="L3788" s="52"/>
      <c r="M3788" s="52"/>
      <c r="N3788" s="52"/>
      <c r="O3788" s="52"/>
      <c r="P3788" s="52"/>
      <c r="Q3788" s="52"/>
      <c r="R3788" s="52"/>
      <c r="S3788" s="52"/>
      <c r="T3788" s="52"/>
      <c r="U3788" s="52"/>
      <c r="V3788" s="52"/>
      <c r="W3788" s="52"/>
      <c r="X3788" s="52"/>
      <c r="Y3788" s="52"/>
      <c r="Z3788" s="52"/>
      <c r="AA3788" s="52"/>
      <c r="AB3788" s="52"/>
      <c r="AC3788" s="52"/>
      <c r="AD3788" s="52"/>
      <c r="AE3788" s="52"/>
      <c r="AF3788" s="52"/>
      <c r="AG3788" s="52"/>
      <c r="AH3788" s="52"/>
      <c r="AI3788" s="52"/>
      <c r="AJ3788" s="52"/>
      <c r="AK3788" s="52"/>
      <c r="AL3788" s="52"/>
      <c r="AM3788" s="52"/>
      <c r="AN3788" s="52"/>
    </row>
    <row r="3789" spans="1:40" x14ac:dyDescent="0.3">
      <c r="A3789" s="52">
        <v>3784</v>
      </c>
      <c r="B3789" s="52">
        <f>-bthan*500+(33+0.5)*bthan*1000/50</f>
        <v>935</v>
      </c>
      <c r="C3789" s="52">
        <f t="shared" si="343"/>
        <v>710.00000000000023</v>
      </c>
      <c r="D3789" s="52">
        <f t="shared" si="341"/>
        <v>2200</v>
      </c>
      <c r="E3789" s="52">
        <f t="shared" si="342"/>
        <v>1</v>
      </c>
      <c r="F3789" s="52"/>
      <c r="G3789" s="52"/>
      <c r="H3789" s="52"/>
      <c r="I3789" s="52"/>
      <c r="J3789" s="52"/>
      <c r="K3789" s="52"/>
      <c r="L3789" s="52"/>
      <c r="M3789" s="52"/>
      <c r="N3789" s="52"/>
      <c r="O3789" s="52"/>
      <c r="P3789" s="52"/>
      <c r="Q3789" s="52"/>
      <c r="R3789" s="52"/>
      <c r="S3789" s="52"/>
      <c r="T3789" s="52"/>
      <c r="U3789" s="52"/>
      <c r="V3789" s="52"/>
      <c r="W3789" s="52"/>
      <c r="X3789" s="52"/>
      <c r="Y3789" s="52"/>
      <c r="Z3789" s="52"/>
      <c r="AA3789" s="52"/>
      <c r="AB3789" s="52"/>
      <c r="AC3789" s="52"/>
      <c r="AD3789" s="52"/>
      <c r="AE3789" s="52"/>
      <c r="AF3789" s="52"/>
      <c r="AG3789" s="52"/>
      <c r="AH3789" s="52"/>
      <c r="AI3789" s="52"/>
      <c r="AJ3789" s="52"/>
      <c r="AK3789" s="52"/>
      <c r="AL3789" s="52"/>
      <c r="AM3789" s="52"/>
      <c r="AN3789" s="52"/>
    </row>
    <row r="3790" spans="1:40" x14ac:dyDescent="0.3">
      <c r="A3790" s="52">
        <v>3785</v>
      </c>
      <c r="B3790" s="52">
        <f>-bthan*500+(34+0.5)*bthan*1000/50</f>
        <v>1045</v>
      </c>
      <c r="C3790" s="52">
        <f t="shared" si="343"/>
        <v>710.00000000000023</v>
      </c>
      <c r="D3790" s="52">
        <f t="shared" si="341"/>
        <v>2200</v>
      </c>
      <c r="E3790" s="52">
        <f t="shared" si="342"/>
        <v>1</v>
      </c>
      <c r="F3790" s="52"/>
      <c r="G3790" s="52"/>
      <c r="H3790" s="52"/>
      <c r="I3790" s="52"/>
      <c r="J3790" s="52"/>
      <c r="K3790" s="52"/>
      <c r="L3790" s="52"/>
      <c r="M3790" s="52"/>
      <c r="N3790" s="52"/>
      <c r="O3790" s="52"/>
      <c r="P3790" s="52"/>
      <c r="Q3790" s="52"/>
      <c r="R3790" s="52"/>
      <c r="S3790" s="52"/>
      <c r="T3790" s="52"/>
      <c r="U3790" s="52"/>
      <c r="V3790" s="52"/>
      <c r="W3790" s="52"/>
      <c r="X3790" s="52"/>
      <c r="Y3790" s="52"/>
      <c r="Z3790" s="52"/>
      <c r="AA3790" s="52"/>
      <c r="AB3790" s="52"/>
      <c r="AC3790" s="52"/>
      <c r="AD3790" s="52"/>
      <c r="AE3790" s="52"/>
      <c r="AF3790" s="52"/>
      <c r="AG3790" s="52"/>
      <c r="AH3790" s="52"/>
      <c r="AI3790" s="52"/>
      <c r="AJ3790" s="52"/>
      <c r="AK3790" s="52"/>
      <c r="AL3790" s="52"/>
      <c r="AM3790" s="52"/>
      <c r="AN3790" s="52"/>
    </row>
    <row r="3791" spans="1:40" x14ac:dyDescent="0.3">
      <c r="A3791" s="52">
        <v>3786</v>
      </c>
      <c r="B3791" s="52">
        <f>-bthan*500+(35+0.5)*bthan*1000/50</f>
        <v>1155</v>
      </c>
      <c r="C3791" s="52">
        <f t="shared" si="343"/>
        <v>710.00000000000023</v>
      </c>
      <c r="D3791" s="52">
        <f t="shared" si="341"/>
        <v>2200</v>
      </c>
      <c r="E3791" s="52">
        <f t="shared" si="342"/>
        <v>1</v>
      </c>
      <c r="F3791" s="52"/>
      <c r="G3791" s="52"/>
      <c r="H3791" s="52"/>
      <c r="I3791" s="52"/>
      <c r="J3791" s="52"/>
      <c r="K3791" s="52"/>
      <c r="L3791" s="52"/>
      <c r="M3791" s="52"/>
      <c r="N3791" s="52"/>
      <c r="O3791" s="52"/>
      <c r="P3791" s="52"/>
      <c r="Q3791" s="52"/>
      <c r="R3791" s="52"/>
      <c r="S3791" s="52"/>
      <c r="T3791" s="52"/>
      <c r="U3791" s="52"/>
      <c r="V3791" s="52"/>
      <c r="W3791" s="52"/>
      <c r="X3791" s="52"/>
      <c r="Y3791" s="52"/>
      <c r="Z3791" s="52"/>
      <c r="AA3791" s="52"/>
      <c r="AB3791" s="52"/>
      <c r="AC3791" s="52"/>
      <c r="AD3791" s="52"/>
      <c r="AE3791" s="52"/>
      <c r="AF3791" s="52"/>
      <c r="AG3791" s="52"/>
      <c r="AH3791" s="52"/>
      <c r="AI3791" s="52"/>
      <c r="AJ3791" s="52"/>
      <c r="AK3791" s="52"/>
      <c r="AL3791" s="52"/>
      <c r="AM3791" s="52"/>
      <c r="AN3791" s="52"/>
    </row>
    <row r="3792" spans="1:40" x14ac:dyDescent="0.3">
      <c r="A3792" s="52">
        <v>3787</v>
      </c>
      <c r="B3792" s="52">
        <f>-bthan*500+(36+0.5)*bthan*1000/50</f>
        <v>1265</v>
      </c>
      <c r="C3792" s="52">
        <f t="shared" si="343"/>
        <v>710.00000000000023</v>
      </c>
      <c r="D3792" s="52">
        <f t="shared" si="341"/>
        <v>2200</v>
      </c>
      <c r="E3792" s="52">
        <f t="shared" si="342"/>
        <v>1</v>
      </c>
      <c r="F3792" s="52"/>
      <c r="G3792" s="52"/>
      <c r="H3792" s="52"/>
      <c r="I3792" s="52"/>
      <c r="J3792" s="52"/>
      <c r="K3792" s="52"/>
      <c r="L3792" s="52"/>
      <c r="M3792" s="52"/>
      <c r="N3792" s="52"/>
      <c r="O3792" s="52"/>
      <c r="P3792" s="52"/>
      <c r="Q3792" s="52"/>
      <c r="R3792" s="52"/>
      <c r="S3792" s="52"/>
      <c r="T3792" s="52"/>
      <c r="U3792" s="52"/>
      <c r="V3792" s="52"/>
      <c r="W3792" s="52"/>
      <c r="X3792" s="52"/>
      <c r="Y3792" s="52"/>
      <c r="Z3792" s="52"/>
      <c r="AA3792" s="52"/>
      <c r="AB3792" s="52"/>
      <c r="AC3792" s="52"/>
      <c r="AD3792" s="52"/>
      <c r="AE3792" s="52"/>
      <c r="AF3792" s="52"/>
      <c r="AG3792" s="52"/>
      <c r="AH3792" s="52"/>
      <c r="AI3792" s="52"/>
      <c r="AJ3792" s="52"/>
      <c r="AK3792" s="52"/>
      <c r="AL3792" s="52"/>
      <c r="AM3792" s="52"/>
      <c r="AN3792" s="52"/>
    </row>
    <row r="3793" spans="1:40" x14ac:dyDescent="0.3">
      <c r="A3793" s="52">
        <v>3788</v>
      </c>
      <c r="B3793" s="52">
        <f>-bthan*500+(37+0.5)*bthan*1000/50</f>
        <v>1375</v>
      </c>
      <c r="C3793" s="52">
        <f t="shared" si="343"/>
        <v>710.00000000000023</v>
      </c>
      <c r="D3793" s="52">
        <f t="shared" si="341"/>
        <v>2200</v>
      </c>
      <c r="E3793" s="52">
        <f t="shared" si="342"/>
        <v>1</v>
      </c>
      <c r="F3793" s="52"/>
      <c r="G3793" s="52"/>
      <c r="H3793" s="52"/>
      <c r="I3793" s="52"/>
      <c r="J3793" s="52"/>
      <c r="K3793" s="52"/>
      <c r="L3793" s="52"/>
      <c r="M3793" s="52"/>
      <c r="N3793" s="52"/>
      <c r="O3793" s="52"/>
      <c r="P3793" s="52"/>
      <c r="Q3793" s="52"/>
      <c r="R3793" s="52"/>
      <c r="S3793" s="52"/>
      <c r="T3793" s="52"/>
      <c r="U3793" s="52"/>
      <c r="V3793" s="52"/>
      <c r="W3793" s="52"/>
      <c r="X3793" s="52"/>
      <c r="Y3793" s="52"/>
      <c r="Z3793" s="52"/>
      <c r="AA3793" s="52"/>
      <c r="AB3793" s="52"/>
      <c r="AC3793" s="52"/>
      <c r="AD3793" s="52"/>
      <c r="AE3793" s="52"/>
      <c r="AF3793" s="52"/>
      <c r="AG3793" s="52"/>
      <c r="AH3793" s="52"/>
      <c r="AI3793" s="52"/>
      <c r="AJ3793" s="52"/>
      <c r="AK3793" s="52"/>
      <c r="AL3793" s="52"/>
      <c r="AM3793" s="52"/>
      <c r="AN3793" s="52"/>
    </row>
    <row r="3794" spans="1:40" x14ac:dyDescent="0.3">
      <c r="A3794" s="52">
        <v>3789</v>
      </c>
      <c r="B3794" s="52">
        <f>-bthan*500+(38+0.5)*bthan*1000/50</f>
        <v>1485</v>
      </c>
      <c r="C3794" s="52">
        <f t="shared" si="343"/>
        <v>710.00000000000023</v>
      </c>
      <c r="D3794" s="52">
        <f t="shared" si="341"/>
        <v>2200</v>
      </c>
      <c r="E3794" s="52">
        <f t="shared" si="342"/>
        <v>1</v>
      </c>
      <c r="F3794" s="52"/>
      <c r="G3794" s="52"/>
      <c r="H3794" s="52"/>
      <c r="I3794" s="52"/>
      <c r="J3794" s="52"/>
      <c r="K3794" s="52"/>
      <c r="L3794" s="52"/>
      <c r="M3794" s="52"/>
      <c r="N3794" s="52"/>
      <c r="O3794" s="52"/>
      <c r="P3794" s="52"/>
      <c r="Q3794" s="52"/>
      <c r="R3794" s="52"/>
      <c r="S3794" s="52"/>
      <c r="T3794" s="52"/>
      <c r="U3794" s="52"/>
      <c r="V3794" s="52"/>
      <c r="W3794" s="52"/>
      <c r="X3794" s="52"/>
      <c r="Y3794" s="52"/>
      <c r="Z3794" s="52"/>
      <c r="AA3794" s="52"/>
      <c r="AB3794" s="52"/>
      <c r="AC3794" s="52"/>
      <c r="AD3794" s="52"/>
      <c r="AE3794" s="52"/>
      <c r="AF3794" s="52"/>
      <c r="AG3794" s="52"/>
      <c r="AH3794" s="52"/>
      <c r="AI3794" s="52"/>
      <c r="AJ3794" s="52"/>
      <c r="AK3794" s="52"/>
      <c r="AL3794" s="52"/>
      <c r="AM3794" s="52"/>
      <c r="AN3794" s="52"/>
    </row>
    <row r="3795" spans="1:40" x14ac:dyDescent="0.3">
      <c r="A3795" s="52">
        <v>3790</v>
      </c>
      <c r="B3795" s="52">
        <f>-bthan*500+(39+0.5)*bthan*1000/50</f>
        <v>1595</v>
      </c>
      <c r="C3795" s="52">
        <f t="shared" si="343"/>
        <v>710.00000000000023</v>
      </c>
      <c r="D3795" s="52">
        <f t="shared" si="341"/>
        <v>2200</v>
      </c>
      <c r="E3795" s="52">
        <f t="shared" si="342"/>
        <v>1</v>
      </c>
      <c r="F3795" s="52"/>
      <c r="G3795" s="52"/>
      <c r="H3795" s="52"/>
      <c r="I3795" s="52"/>
      <c r="J3795" s="52"/>
      <c r="K3795" s="52"/>
      <c r="L3795" s="52"/>
      <c r="M3795" s="52"/>
      <c r="N3795" s="52"/>
      <c r="O3795" s="52"/>
      <c r="P3795" s="52"/>
      <c r="Q3795" s="52"/>
      <c r="R3795" s="52"/>
      <c r="S3795" s="52"/>
      <c r="T3795" s="52"/>
      <c r="U3795" s="52"/>
      <c r="V3795" s="52"/>
      <c r="W3795" s="52"/>
      <c r="X3795" s="52"/>
      <c r="Y3795" s="52"/>
      <c r="Z3795" s="52"/>
      <c r="AA3795" s="52"/>
      <c r="AB3795" s="52"/>
      <c r="AC3795" s="52"/>
      <c r="AD3795" s="52"/>
      <c r="AE3795" s="52"/>
      <c r="AF3795" s="52"/>
      <c r="AG3795" s="52"/>
      <c r="AH3795" s="52"/>
      <c r="AI3795" s="52"/>
      <c r="AJ3795" s="52"/>
      <c r="AK3795" s="52"/>
      <c r="AL3795" s="52"/>
      <c r="AM3795" s="52"/>
      <c r="AN3795" s="52"/>
    </row>
    <row r="3796" spans="1:40" x14ac:dyDescent="0.3">
      <c r="A3796" s="52">
        <v>3791</v>
      </c>
      <c r="B3796" s="52">
        <f>-bthan*500+(40+0.5)*bthan*1000/50</f>
        <v>1705</v>
      </c>
      <c r="C3796" s="52">
        <f t="shared" si="343"/>
        <v>710.00000000000023</v>
      </c>
      <c r="D3796" s="52">
        <f t="shared" si="341"/>
        <v>2200</v>
      </c>
      <c r="E3796" s="52">
        <f t="shared" si="342"/>
        <v>1</v>
      </c>
      <c r="F3796" s="52"/>
      <c r="G3796" s="52"/>
      <c r="H3796" s="52"/>
      <c r="I3796" s="52"/>
      <c r="J3796" s="52"/>
      <c r="K3796" s="52"/>
      <c r="L3796" s="52"/>
      <c r="M3796" s="52"/>
      <c r="N3796" s="52"/>
      <c r="O3796" s="52"/>
      <c r="P3796" s="52"/>
      <c r="Q3796" s="52"/>
      <c r="R3796" s="52"/>
      <c r="S3796" s="52"/>
      <c r="T3796" s="52"/>
      <c r="U3796" s="52"/>
      <c r="V3796" s="52"/>
      <c r="W3796" s="52"/>
      <c r="X3796" s="52"/>
      <c r="Y3796" s="52"/>
      <c r="Z3796" s="52"/>
      <c r="AA3796" s="52"/>
      <c r="AB3796" s="52"/>
      <c r="AC3796" s="52"/>
      <c r="AD3796" s="52"/>
      <c r="AE3796" s="52"/>
      <c r="AF3796" s="52"/>
      <c r="AG3796" s="52"/>
      <c r="AH3796" s="52"/>
      <c r="AI3796" s="52"/>
      <c r="AJ3796" s="52"/>
      <c r="AK3796" s="52"/>
      <c r="AL3796" s="52"/>
      <c r="AM3796" s="52"/>
      <c r="AN3796" s="52"/>
    </row>
    <row r="3797" spans="1:40" x14ac:dyDescent="0.3">
      <c r="A3797" s="52">
        <v>3792</v>
      </c>
      <c r="B3797" s="52">
        <f>-bthan*500+(41+0.5)*bthan*1000/50</f>
        <v>1815</v>
      </c>
      <c r="C3797" s="52">
        <f t="shared" si="343"/>
        <v>710.00000000000023</v>
      </c>
      <c r="D3797" s="52">
        <f t="shared" si="341"/>
        <v>2200</v>
      </c>
      <c r="E3797" s="52">
        <f t="shared" si="342"/>
        <v>1</v>
      </c>
      <c r="F3797" s="52"/>
      <c r="G3797" s="52"/>
      <c r="H3797" s="52"/>
      <c r="I3797" s="52"/>
      <c r="J3797" s="52"/>
      <c r="K3797" s="52"/>
      <c r="L3797" s="52"/>
      <c r="M3797" s="52"/>
      <c r="N3797" s="52"/>
      <c r="O3797" s="52"/>
      <c r="P3797" s="52"/>
      <c r="Q3797" s="52"/>
      <c r="R3797" s="52"/>
      <c r="S3797" s="52"/>
      <c r="T3797" s="52"/>
      <c r="U3797" s="52"/>
      <c r="V3797" s="52"/>
      <c r="W3797" s="52"/>
      <c r="X3797" s="52"/>
      <c r="Y3797" s="52"/>
      <c r="Z3797" s="52"/>
      <c r="AA3797" s="52"/>
      <c r="AB3797" s="52"/>
      <c r="AC3797" s="52"/>
      <c r="AD3797" s="52"/>
      <c r="AE3797" s="52"/>
      <c r="AF3797" s="52"/>
      <c r="AG3797" s="52"/>
      <c r="AH3797" s="52"/>
      <c r="AI3797" s="52"/>
      <c r="AJ3797" s="52"/>
      <c r="AK3797" s="52"/>
      <c r="AL3797" s="52"/>
      <c r="AM3797" s="52"/>
      <c r="AN3797" s="52"/>
    </row>
    <row r="3798" spans="1:40" x14ac:dyDescent="0.3">
      <c r="A3798" s="52">
        <v>3793</v>
      </c>
      <c r="B3798" s="52">
        <f>-bthan*500+(42+0.5)*bthan*1000/50</f>
        <v>1925</v>
      </c>
      <c r="C3798" s="52">
        <f t="shared" si="343"/>
        <v>710.00000000000023</v>
      </c>
      <c r="D3798" s="52">
        <f t="shared" si="341"/>
        <v>2200</v>
      </c>
      <c r="E3798" s="52">
        <f t="shared" si="342"/>
        <v>1</v>
      </c>
      <c r="F3798" s="52"/>
      <c r="G3798" s="52"/>
      <c r="H3798" s="52"/>
      <c r="I3798" s="52"/>
      <c r="J3798" s="52"/>
      <c r="K3798" s="52"/>
      <c r="L3798" s="52"/>
      <c r="M3798" s="52"/>
      <c r="N3798" s="52"/>
      <c r="O3798" s="52"/>
      <c r="P3798" s="52"/>
      <c r="Q3798" s="52"/>
      <c r="R3798" s="52"/>
      <c r="S3798" s="52"/>
      <c r="T3798" s="52"/>
      <c r="U3798" s="52"/>
      <c r="V3798" s="52"/>
      <c r="W3798" s="52"/>
      <c r="X3798" s="52"/>
      <c r="Y3798" s="52"/>
      <c r="Z3798" s="52"/>
      <c r="AA3798" s="52"/>
      <c r="AB3798" s="52"/>
      <c r="AC3798" s="52"/>
      <c r="AD3798" s="52"/>
      <c r="AE3798" s="52"/>
      <c r="AF3798" s="52"/>
      <c r="AG3798" s="52"/>
      <c r="AH3798" s="52"/>
      <c r="AI3798" s="52"/>
      <c r="AJ3798" s="52"/>
      <c r="AK3798" s="52"/>
      <c r="AL3798" s="52"/>
      <c r="AM3798" s="52"/>
      <c r="AN3798" s="52"/>
    </row>
    <row r="3799" spans="1:40" x14ac:dyDescent="0.3">
      <c r="A3799" s="52">
        <v>3794</v>
      </c>
      <c r="B3799" s="52">
        <f>-bthan*500+(43+0.5)*bthan*1000/50</f>
        <v>2035</v>
      </c>
      <c r="C3799" s="52">
        <f t="shared" si="343"/>
        <v>710.00000000000023</v>
      </c>
      <c r="D3799" s="52">
        <f t="shared" si="341"/>
        <v>2200</v>
      </c>
      <c r="E3799" s="52">
        <f t="shared" si="342"/>
        <v>1</v>
      </c>
      <c r="F3799" s="52"/>
      <c r="G3799" s="52"/>
      <c r="H3799" s="52"/>
      <c r="I3799" s="52"/>
      <c r="J3799" s="52"/>
      <c r="K3799" s="52"/>
      <c r="L3799" s="52"/>
      <c r="M3799" s="52"/>
      <c r="N3799" s="52"/>
      <c r="O3799" s="52"/>
      <c r="P3799" s="52"/>
      <c r="Q3799" s="52"/>
      <c r="R3799" s="52"/>
      <c r="S3799" s="52"/>
      <c r="T3799" s="52"/>
      <c r="U3799" s="52"/>
      <c r="V3799" s="52"/>
      <c r="W3799" s="52"/>
      <c r="X3799" s="52"/>
      <c r="Y3799" s="52"/>
      <c r="Z3799" s="52"/>
      <c r="AA3799" s="52"/>
      <c r="AB3799" s="52"/>
      <c r="AC3799" s="52"/>
      <c r="AD3799" s="52"/>
      <c r="AE3799" s="52"/>
      <c r="AF3799" s="52"/>
      <c r="AG3799" s="52"/>
      <c r="AH3799" s="52"/>
      <c r="AI3799" s="52"/>
      <c r="AJ3799" s="52"/>
      <c r="AK3799" s="52"/>
      <c r="AL3799" s="52"/>
      <c r="AM3799" s="52"/>
      <c r="AN3799" s="52"/>
    </row>
    <row r="3800" spans="1:40" x14ac:dyDescent="0.3">
      <c r="A3800" s="52">
        <v>3795</v>
      </c>
      <c r="B3800" s="52">
        <f>-bthan*500+(44+0.5)*bthan*1000/50</f>
        <v>2145</v>
      </c>
      <c r="C3800" s="52">
        <f t="shared" si="343"/>
        <v>710.00000000000023</v>
      </c>
      <c r="D3800" s="52">
        <f t="shared" si="341"/>
        <v>2200</v>
      </c>
      <c r="E3800" s="52">
        <f t="shared" si="342"/>
        <v>1</v>
      </c>
      <c r="F3800" s="52"/>
      <c r="G3800" s="52"/>
      <c r="H3800" s="52"/>
      <c r="I3800" s="52"/>
      <c r="J3800" s="52"/>
      <c r="K3800" s="52"/>
      <c r="L3800" s="52"/>
      <c r="M3800" s="52"/>
      <c r="N3800" s="52"/>
      <c r="O3800" s="52"/>
      <c r="P3800" s="52"/>
      <c r="Q3800" s="52"/>
      <c r="R3800" s="52"/>
      <c r="S3800" s="52"/>
      <c r="T3800" s="52"/>
      <c r="U3800" s="52"/>
      <c r="V3800" s="52"/>
      <c r="W3800" s="52"/>
      <c r="X3800" s="52"/>
      <c r="Y3800" s="52"/>
      <c r="Z3800" s="52"/>
      <c r="AA3800" s="52"/>
      <c r="AB3800" s="52"/>
      <c r="AC3800" s="52"/>
      <c r="AD3800" s="52"/>
      <c r="AE3800" s="52"/>
      <c r="AF3800" s="52"/>
      <c r="AG3800" s="52"/>
      <c r="AH3800" s="52"/>
      <c r="AI3800" s="52"/>
      <c r="AJ3800" s="52"/>
      <c r="AK3800" s="52"/>
      <c r="AL3800" s="52"/>
      <c r="AM3800" s="52"/>
      <c r="AN3800" s="52"/>
    </row>
    <row r="3801" spans="1:40" x14ac:dyDescent="0.3">
      <c r="A3801" s="52">
        <v>3796</v>
      </c>
      <c r="B3801" s="52">
        <f>-bthan*500+(45+0.5)*bthan*1000/50</f>
        <v>2255</v>
      </c>
      <c r="C3801" s="52">
        <f t="shared" si="343"/>
        <v>710.00000000000023</v>
      </c>
      <c r="D3801" s="52">
        <f t="shared" si="341"/>
        <v>2200</v>
      </c>
      <c r="E3801" s="52">
        <f t="shared" si="342"/>
        <v>1</v>
      </c>
      <c r="F3801" s="52"/>
      <c r="G3801" s="52"/>
      <c r="H3801" s="52"/>
      <c r="I3801" s="52"/>
      <c r="J3801" s="52"/>
      <c r="K3801" s="52"/>
      <c r="L3801" s="52"/>
      <c r="M3801" s="52"/>
      <c r="N3801" s="52"/>
      <c r="O3801" s="52"/>
      <c r="P3801" s="52"/>
      <c r="Q3801" s="52"/>
      <c r="R3801" s="52"/>
      <c r="S3801" s="52"/>
      <c r="T3801" s="52"/>
      <c r="U3801" s="52"/>
      <c r="V3801" s="52"/>
      <c r="W3801" s="52"/>
      <c r="X3801" s="52"/>
      <c r="Y3801" s="52"/>
      <c r="Z3801" s="52"/>
      <c r="AA3801" s="52"/>
      <c r="AB3801" s="52"/>
      <c r="AC3801" s="52"/>
      <c r="AD3801" s="52"/>
      <c r="AE3801" s="52"/>
      <c r="AF3801" s="52"/>
      <c r="AG3801" s="52"/>
      <c r="AH3801" s="52"/>
      <c r="AI3801" s="52"/>
      <c r="AJ3801" s="52"/>
      <c r="AK3801" s="52"/>
      <c r="AL3801" s="52"/>
      <c r="AM3801" s="52"/>
      <c r="AN3801" s="52"/>
    </row>
    <row r="3802" spans="1:40" x14ac:dyDescent="0.3">
      <c r="A3802" s="52">
        <v>3797</v>
      </c>
      <c r="B3802" s="52">
        <f>-bthan*500+(46+0.5)*bthan*1000/50</f>
        <v>2365</v>
      </c>
      <c r="C3802" s="52">
        <f t="shared" si="343"/>
        <v>710.00000000000023</v>
      </c>
      <c r="D3802" s="52">
        <f t="shared" si="341"/>
        <v>2200</v>
      </c>
      <c r="E3802" s="52">
        <f t="shared" si="342"/>
        <v>0</v>
      </c>
      <c r="F3802" s="52"/>
      <c r="G3802" s="52"/>
      <c r="H3802" s="52"/>
      <c r="I3802" s="52"/>
      <c r="J3802" s="52"/>
      <c r="K3802" s="52"/>
      <c r="L3802" s="52"/>
      <c r="M3802" s="52"/>
      <c r="N3802" s="52"/>
      <c r="O3802" s="52"/>
      <c r="P3802" s="52"/>
      <c r="Q3802" s="52"/>
      <c r="R3802" s="52"/>
      <c r="S3802" s="52"/>
      <c r="T3802" s="52"/>
      <c r="U3802" s="52"/>
      <c r="V3802" s="52"/>
      <c r="W3802" s="52"/>
      <c r="X3802" s="52"/>
      <c r="Y3802" s="52"/>
      <c r="Z3802" s="52"/>
      <c r="AA3802" s="52"/>
      <c r="AB3802" s="52"/>
      <c r="AC3802" s="52"/>
      <c r="AD3802" s="52"/>
      <c r="AE3802" s="52"/>
      <c r="AF3802" s="52"/>
      <c r="AG3802" s="52"/>
      <c r="AH3802" s="52"/>
      <c r="AI3802" s="52"/>
      <c r="AJ3802" s="52"/>
      <c r="AK3802" s="52"/>
      <c r="AL3802" s="52"/>
      <c r="AM3802" s="52"/>
      <c r="AN3802" s="52"/>
    </row>
    <row r="3803" spans="1:40" x14ac:dyDescent="0.3">
      <c r="A3803" s="52">
        <v>3798</v>
      </c>
      <c r="B3803" s="52">
        <f>-bthan*500+(47+0.5)*bthan*1000/50</f>
        <v>2475</v>
      </c>
      <c r="C3803" s="52">
        <f t="shared" si="343"/>
        <v>710.00000000000023</v>
      </c>
      <c r="D3803" s="52">
        <f t="shared" si="341"/>
        <v>2200</v>
      </c>
      <c r="E3803" s="52">
        <f t="shared" si="342"/>
        <v>0</v>
      </c>
      <c r="F3803" s="52"/>
      <c r="G3803" s="52"/>
      <c r="H3803" s="52"/>
      <c r="I3803" s="52"/>
      <c r="J3803" s="52"/>
      <c r="K3803" s="52"/>
      <c r="L3803" s="52"/>
      <c r="M3803" s="52"/>
      <c r="N3803" s="52"/>
      <c r="O3803" s="52"/>
      <c r="P3803" s="52"/>
      <c r="Q3803" s="52"/>
      <c r="R3803" s="52"/>
      <c r="S3803" s="52"/>
      <c r="T3803" s="52"/>
      <c r="U3803" s="52"/>
      <c r="V3803" s="52"/>
      <c r="W3803" s="52"/>
      <c r="X3803" s="52"/>
      <c r="Y3803" s="52"/>
      <c r="Z3803" s="52"/>
      <c r="AA3803" s="52"/>
      <c r="AB3803" s="52"/>
      <c r="AC3803" s="52"/>
      <c r="AD3803" s="52"/>
      <c r="AE3803" s="52"/>
      <c r="AF3803" s="52"/>
      <c r="AG3803" s="52"/>
      <c r="AH3803" s="52"/>
      <c r="AI3803" s="52"/>
      <c r="AJ3803" s="52"/>
      <c r="AK3803" s="52"/>
      <c r="AL3803" s="52"/>
      <c r="AM3803" s="52"/>
      <c r="AN3803" s="52"/>
    </row>
    <row r="3804" spans="1:40" x14ac:dyDescent="0.3">
      <c r="A3804" s="52">
        <v>3799</v>
      </c>
      <c r="B3804" s="52">
        <f>-bthan*500+(48+0.5)*bthan*1000/50</f>
        <v>2585</v>
      </c>
      <c r="C3804" s="52">
        <f t="shared" si="343"/>
        <v>710.00000000000023</v>
      </c>
      <c r="D3804" s="52">
        <f t="shared" si="341"/>
        <v>2200</v>
      </c>
      <c r="E3804" s="52">
        <f t="shared" si="342"/>
        <v>0</v>
      </c>
      <c r="F3804" s="52"/>
      <c r="G3804" s="52"/>
      <c r="H3804" s="52"/>
      <c r="I3804" s="52"/>
      <c r="J3804" s="52"/>
      <c r="K3804" s="52"/>
      <c r="L3804" s="52"/>
      <c r="M3804" s="52"/>
      <c r="N3804" s="52"/>
      <c r="O3804" s="52"/>
      <c r="P3804" s="52"/>
      <c r="Q3804" s="52"/>
      <c r="R3804" s="52"/>
      <c r="S3804" s="52"/>
      <c r="T3804" s="52"/>
      <c r="U3804" s="52"/>
      <c r="V3804" s="52"/>
      <c r="W3804" s="52"/>
      <c r="X3804" s="52"/>
      <c r="Y3804" s="52"/>
      <c r="Z3804" s="52"/>
      <c r="AA3804" s="52"/>
      <c r="AB3804" s="52"/>
      <c r="AC3804" s="52"/>
      <c r="AD3804" s="52"/>
      <c r="AE3804" s="52"/>
      <c r="AF3804" s="52"/>
      <c r="AG3804" s="52"/>
      <c r="AH3804" s="52"/>
      <c r="AI3804" s="52"/>
      <c r="AJ3804" s="52"/>
      <c r="AK3804" s="52"/>
      <c r="AL3804" s="52"/>
      <c r="AM3804" s="52"/>
      <c r="AN3804" s="52"/>
    </row>
    <row r="3805" spans="1:40" x14ac:dyDescent="0.3">
      <c r="A3805" s="52">
        <v>3800</v>
      </c>
      <c r="B3805" s="52">
        <f>-bthan*500+(49+0.5)*bthan*1000/50</f>
        <v>2695</v>
      </c>
      <c r="C3805" s="52">
        <f t="shared" si="343"/>
        <v>710.00000000000023</v>
      </c>
      <c r="D3805" s="52">
        <f t="shared" si="341"/>
        <v>2200</v>
      </c>
      <c r="E3805" s="52">
        <f t="shared" si="342"/>
        <v>0</v>
      </c>
      <c r="F3805" s="52"/>
      <c r="G3805" s="52"/>
      <c r="H3805" s="52"/>
      <c r="I3805" s="52"/>
      <c r="J3805" s="52"/>
      <c r="K3805" s="52"/>
      <c r="L3805" s="52"/>
      <c r="M3805" s="52"/>
      <c r="N3805" s="52"/>
      <c r="O3805" s="52"/>
      <c r="P3805" s="52"/>
      <c r="Q3805" s="52"/>
      <c r="R3805" s="52"/>
      <c r="S3805" s="52"/>
      <c r="T3805" s="52"/>
      <c r="U3805" s="52"/>
      <c r="V3805" s="52"/>
      <c r="W3805" s="52"/>
      <c r="X3805" s="52"/>
      <c r="Y3805" s="52"/>
      <c r="Z3805" s="52"/>
      <c r="AA3805" s="52"/>
      <c r="AB3805" s="52"/>
      <c r="AC3805" s="52"/>
      <c r="AD3805" s="52"/>
      <c r="AE3805" s="52"/>
      <c r="AF3805" s="52"/>
      <c r="AG3805" s="52"/>
      <c r="AH3805" s="52"/>
      <c r="AI3805" s="52"/>
      <c r="AJ3805" s="52"/>
      <c r="AK3805" s="52"/>
      <c r="AL3805" s="52"/>
      <c r="AM3805" s="52"/>
      <c r="AN3805" s="52"/>
    </row>
    <row r="3806" spans="1:40" x14ac:dyDescent="0.3">
      <c r="A3806" s="52">
        <v>3801</v>
      </c>
      <c r="B3806" s="52">
        <f>-bthan*500+(0+0.5)*bthan*1000/50</f>
        <v>-2695</v>
      </c>
      <c r="C3806" s="52">
        <f t="shared" ref="C3806:C3837" si="344">-hthan*500+(76+0.5)*hthan*1000/80</f>
        <v>730</v>
      </c>
      <c r="D3806" s="52">
        <f t="shared" si="341"/>
        <v>2200</v>
      </c>
      <c r="E3806" s="52">
        <f t="shared" si="342"/>
        <v>0</v>
      </c>
      <c r="F3806" s="52"/>
      <c r="G3806" s="52"/>
      <c r="H3806" s="52"/>
      <c r="I3806" s="52"/>
      <c r="J3806" s="52"/>
      <c r="K3806" s="52"/>
      <c r="L3806" s="52"/>
      <c r="M3806" s="52"/>
      <c r="N3806" s="52"/>
      <c r="O3806" s="52"/>
      <c r="P3806" s="52"/>
      <c r="Q3806" s="52"/>
      <c r="R3806" s="52"/>
      <c r="S3806" s="52"/>
      <c r="T3806" s="52"/>
      <c r="U3806" s="52"/>
      <c r="V3806" s="52"/>
      <c r="W3806" s="52"/>
      <c r="X3806" s="52"/>
      <c r="Y3806" s="52"/>
      <c r="Z3806" s="52"/>
      <c r="AA3806" s="52"/>
      <c r="AB3806" s="52"/>
      <c r="AC3806" s="52"/>
      <c r="AD3806" s="52"/>
      <c r="AE3806" s="52"/>
      <c r="AF3806" s="52"/>
      <c r="AG3806" s="52"/>
      <c r="AH3806" s="52"/>
      <c r="AI3806" s="52"/>
      <c r="AJ3806" s="52"/>
      <c r="AK3806" s="52"/>
      <c r="AL3806" s="52"/>
      <c r="AM3806" s="52"/>
      <c r="AN3806" s="52"/>
    </row>
    <row r="3807" spans="1:40" x14ac:dyDescent="0.3">
      <c r="A3807" s="52">
        <v>3802</v>
      </c>
      <c r="B3807" s="52">
        <f>-bthan*500+(1+0.5)*bthan*1000/50</f>
        <v>-2585</v>
      </c>
      <c r="C3807" s="52">
        <f t="shared" si="344"/>
        <v>730</v>
      </c>
      <c r="D3807" s="52">
        <f t="shared" si="341"/>
        <v>2200</v>
      </c>
      <c r="E3807" s="52">
        <f t="shared" si="342"/>
        <v>0</v>
      </c>
      <c r="F3807" s="52"/>
      <c r="G3807" s="52"/>
      <c r="H3807" s="52"/>
      <c r="I3807" s="52"/>
      <c r="J3807" s="52"/>
      <c r="K3807" s="52"/>
      <c r="L3807" s="52"/>
      <c r="M3807" s="52"/>
      <c r="N3807" s="52"/>
      <c r="O3807" s="52"/>
      <c r="P3807" s="52"/>
      <c r="Q3807" s="52"/>
      <c r="R3807" s="52"/>
      <c r="S3807" s="52"/>
      <c r="T3807" s="52"/>
      <c r="U3807" s="52"/>
      <c r="V3807" s="52"/>
      <c r="W3807" s="52"/>
      <c r="X3807" s="52"/>
      <c r="Y3807" s="52"/>
      <c r="Z3807" s="52"/>
      <c r="AA3807" s="52"/>
      <c r="AB3807" s="52"/>
      <c r="AC3807" s="52"/>
      <c r="AD3807" s="52"/>
      <c r="AE3807" s="52"/>
      <c r="AF3807" s="52"/>
      <c r="AG3807" s="52"/>
      <c r="AH3807" s="52"/>
      <c r="AI3807" s="52"/>
      <c r="AJ3807" s="52"/>
      <c r="AK3807" s="52"/>
      <c r="AL3807" s="52"/>
      <c r="AM3807" s="52"/>
      <c r="AN3807" s="52"/>
    </row>
    <row r="3808" spans="1:40" x14ac:dyDescent="0.3">
      <c r="A3808" s="52">
        <v>3803</v>
      </c>
      <c r="B3808" s="52">
        <f>-bthan*500+(2+0.5)*bthan*1000/50</f>
        <v>-2475</v>
      </c>
      <c r="C3808" s="52">
        <f t="shared" si="344"/>
        <v>730</v>
      </c>
      <c r="D3808" s="52">
        <f t="shared" si="341"/>
        <v>2200</v>
      </c>
      <c r="E3808" s="52">
        <f t="shared" si="342"/>
        <v>0</v>
      </c>
      <c r="F3808" s="52"/>
      <c r="G3808" s="52"/>
      <c r="H3808" s="52"/>
      <c r="I3808" s="52"/>
      <c r="J3808" s="52"/>
      <c r="K3808" s="52"/>
      <c r="L3808" s="52"/>
      <c r="M3808" s="52"/>
      <c r="N3808" s="52"/>
      <c r="O3808" s="52"/>
      <c r="P3808" s="52"/>
      <c r="Q3808" s="52"/>
      <c r="R3808" s="52"/>
      <c r="S3808" s="52"/>
      <c r="T3808" s="52"/>
      <c r="U3808" s="52"/>
      <c r="V3808" s="52"/>
      <c r="W3808" s="52"/>
      <c r="X3808" s="52"/>
      <c r="Y3808" s="52"/>
      <c r="Z3808" s="52"/>
      <c r="AA3808" s="52"/>
      <c r="AB3808" s="52"/>
      <c r="AC3808" s="52"/>
      <c r="AD3808" s="52"/>
      <c r="AE3808" s="52"/>
      <c r="AF3808" s="52"/>
      <c r="AG3808" s="52"/>
      <c r="AH3808" s="52"/>
      <c r="AI3808" s="52"/>
      <c r="AJ3808" s="52"/>
      <c r="AK3808" s="52"/>
      <c r="AL3808" s="52"/>
      <c r="AM3808" s="52"/>
      <c r="AN3808" s="52"/>
    </row>
    <row r="3809" spans="1:40" x14ac:dyDescent="0.3">
      <c r="A3809" s="52">
        <v>3804</v>
      </c>
      <c r="B3809" s="52">
        <f>-bthan*500+(3+0.5)*bthan*1000/50</f>
        <v>-2365</v>
      </c>
      <c r="C3809" s="52">
        <f t="shared" si="344"/>
        <v>730</v>
      </c>
      <c r="D3809" s="52">
        <f t="shared" si="341"/>
        <v>2200</v>
      </c>
      <c r="E3809" s="52">
        <f t="shared" si="342"/>
        <v>0</v>
      </c>
      <c r="F3809" s="52"/>
      <c r="G3809" s="52"/>
      <c r="H3809" s="52"/>
      <c r="I3809" s="52"/>
      <c r="J3809" s="52"/>
      <c r="K3809" s="52"/>
      <c r="L3809" s="52"/>
      <c r="M3809" s="52"/>
      <c r="N3809" s="52"/>
      <c r="O3809" s="52"/>
      <c r="P3809" s="52"/>
      <c r="Q3809" s="52"/>
      <c r="R3809" s="52"/>
      <c r="S3809" s="52"/>
      <c r="T3809" s="52"/>
      <c r="U3809" s="52"/>
      <c r="V3809" s="52"/>
      <c r="W3809" s="52"/>
      <c r="X3809" s="52"/>
      <c r="Y3809" s="52"/>
      <c r="Z3809" s="52"/>
      <c r="AA3809" s="52"/>
      <c r="AB3809" s="52"/>
      <c r="AC3809" s="52"/>
      <c r="AD3809" s="52"/>
      <c r="AE3809" s="52"/>
      <c r="AF3809" s="52"/>
      <c r="AG3809" s="52"/>
      <c r="AH3809" s="52"/>
      <c r="AI3809" s="52"/>
      <c r="AJ3809" s="52"/>
      <c r="AK3809" s="52"/>
      <c r="AL3809" s="52"/>
      <c r="AM3809" s="52"/>
      <c r="AN3809" s="52"/>
    </row>
    <row r="3810" spans="1:40" x14ac:dyDescent="0.3">
      <c r="A3810" s="52">
        <v>3805</v>
      </c>
      <c r="B3810" s="52">
        <f>-bthan*500+(4+0.5)*bthan*1000/50</f>
        <v>-2255</v>
      </c>
      <c r="C3810" s="52">
        <f t="shared" si="344"/>
        <v>730</v>
      </c>
      <c r="D3810" s="52">
        <f t="shared" si="341"/>
        <v>2200</v>
      </c>
      <c r="E3810" s="52">
        <f t="shared" si="342"/>
        <v>1</v>
      </c>
      <c r="F3810" s="52"/>
      <c r="G3810" s="52"/>
      <c r="H3810" s="52"/>
      <c r="I3810" s="52"/>
      <c r="J3810" s="52"/>
      <c r="K3810" s="52"/>
      <c r="L3810" s="52"/>
      <c r="M3810" s="52"/>
      <c r="N3810" s="52"/>
      <c r="O3810" s="52"/>
      <c r="P3810" s="52"/>
      <c r="Q3810" s="52"/>
      <c r="R3810" s="52"/>
      <c r="S3810" s="52"/>
      <c r="T3810" s="52"/>
      <c r="U3810" s="52"/>
      <c r="V3810" s="52"/>
      <c r="W3810" s="52"/>
      <c r="X3810" s="52"/>
      <c r="Y3810" s="52"/>
      <c r="Z3810" s="52"/>
      <c r="AA3810" s="52"/>
      <c r="AB3810" s="52"/>
      <c r="AC3810" s="52"/>
      <c r="AD3810" s="52"/>
      <c r="AE3810" s="52"/>
      <c r="AF3810" s="52"/>
      <c r="AG3810" s="52"/>
      <c r="AH3810" s="52"/>
      <c r="AI3810" s="52"/>
      <c r="AJ3810" s="52"/>
      <c r="AK3810" s="52"/>
      <c r="AL3810" s="52"/>
      <c r="AM3810" s="52"/>
      <c r="AN3810" s="52"/>
    </row>
    <row r="3811" spans="1:40" x14ac:dyDescent="0.3">
      <c r="A3811" s="52">
        <v>3806</v>
      </c>
      <c r="B3811" s="52">
        <f>-bthan*500+(5+0.5)*bthan*1000/50</f>
        <v>-2145</v>
      </c>
      <c r="C3811" s="52">
        <f t="shared" si="344"/>
        <v>730</v>
      </c>
      <c r="D3811" s="52">
        <f t="shared" si="341"/>
        <v>2200</v>
      </c>
      <c r="E3811" s="52">
        <f t="shared" si="342"/>
        <v>1</v>
      </c>
      <c r="F3811" s="52"/>
      <c r="G3811" s="52"/>
      <c r="H3811" s="52"/>
      <c r="I3811" s="52"/>
      <c r="J3811" s="52"/>
      <c r="K3811" s="52"/>
      <c r="L3811" s="52"/>
      <c r="M3811" s="52"/>
      <c r="N3811" s="52"/>
      <c r="O3811" s="52"/>
      <c r="P3811" s="52"/>
      <c r="Q3811" s="52"/>
      <c r="R3811" s="52"/>
      <c r="S3811" s="52"/>
      <c r="T3811" s="52"/>
      <c r="U3811" s="52"/>
      <c r="V3811" s="52"/>
      <c r="W3811" s="52"/>
      <c r="X3811" s="52"/>
      <c r="Y3811" s="52"/>
      <c r="Z3811" s="52"/>
      <c r="AA3811" s="52"/>
      <c r="AB3811" s="52"/>
      <c r="AC3811" s="52"/>
      <c r="AD3811" s="52"/>
      <c r="AE3811" s="52"/>
      <c r="AF3811" s="52"/>
      <c r="AG3811" s="52"/>
      <c r="AH3811" s="52"/>
      <c r="AI3811" s="52"/>
      <c r="AJ3811" s="52"/>
      <c r="AK3811" s="52"/>
      <c r="AL3811" s="52"/>
      <c r="AM3811" s="52"/>
      <c r="AN3811" s="52"/>
    </row>
    <row r="3812" spans="1:40" x14ac:dyDescent="0.3">
      <c r="A3812" s="52">
        <v>3807</v>
      </c>
      <c r="B3812" s="52">
        <f>-bthan*500+(6+0.5)*bthan*1000/50</f>
        <v>-2035</v>
      </c>
      <c r="C3812" s="52">
        <f t="shared" si="344"/>
        <v>730</v>
      </c>
      <c r="D3812" s="52">
        <f t="shared" si="341"/>
        <v>2200</v>
      </c>
      <c r="E3812" s="52">
        <f t="shared" si="342"/>
        <v>1</v>
      </c>
      <c r="F3812" s="52"/>
      <c r="G3812" s="52"/>
      <c r="H3812" s="52"/>
      <c r="I3812" s="52"/>
      <c r="J3812" s="52"/>
      <c r="K3812" s="52"/>
      <c r="L3812" s="52"/>
      <c r="M3812" s="52"/>
      <c r="N3812" s="52"/>
      <c r="O3812" s="52"/>
      <c r="P3812" s="52"/>
      <c r="Q3812" s="52"/>
      <c r="R3812" s="52"/>
      <c r="S3812" s="52"/>
      <c r="T3812" s="52"/>
      <c r="U3812" s="52"/>
      <c r="V3812" s="52"/>
      <c r="W3812" s="52"/>
      <c r="X3812" s="52"/>
      <c r="Y3812" s="52"/>
      <c r="Z3812" s="52"/>
      <c r="AA3812" s="52"/>
      <c r="AB3812" s="52"/>
      <c r="AC3812" s="52"/>
      <c r="AD3812" s="52"/>
      <c r="AE3812" s="52"/>
      <c r="AF3812" s="52"/>
      <c r="AG3812" s="52"/>
      <c r="AH3812" s="52"/>
      <c r="AI3812" s="52"/>
      <c r="AJ3812" s="52"/>
      <c r="AK3812" s="52"/>
      <c r="AL3812" s="52"/>
      <c r="AM3812" s="52"/>
      <c r="AN3812" s="52"/>
    </row>
    <row r="3813" spans="1:40" x14ac:dyDescent="0.3">
      <c r="A3813" s="52">
        <v>3808</v>
      </c>
      <c r="B3813" s="52">
        <f>-bthan*500+(7+0.5)*bthan*1000/50</f>
        <v>-1925</v>
      </c>
      <c r="C3813" s="52">
        <f t="shared" si="344"/>
        <v>730</v>
      </c>
      <c r="D3813" s="52">
        <f t="shared" si="341"/>
        <v>2200</v>
      </c>
      <c r="E3813" s="52">
        <f t="shared" si="342"/>
        <v>1</v>
      </c>
      <c r="F3813" s="52"/>
      <c r="G3813" s="52"/>
      <c r="H3813" s="52"/>
      <c r="I3813" s="52"/>
      <c r="J3813" s="52"/>
      <c r="K3813" s="52"/>
      <c r="L3813" s="52"/>
      <c r="M3813" s="52"/>
      <c r="N3813" s="52"/>
      <c r="O3813" s="52"/>
      <c r="P3813" s="52"/>
      <c r="Q3813" s="52"/>
      <c r="R3813" s="52"/>
      <c r="S3813" s="52"/>
      <c r="T3813" s="52"/>
      <c r="U3813" s="52"/>
      <c r="V3813" s="52"/>
      <c r="W3813" s="52"/>
      <c r="X3813" s="52"/>
      <c r="Y3813" s="52"/>
      <c r="Z3813" s="52"/>
      <c r="AA3813" s="52"/>
      <c r="AB3813" s="52"/>
      <c r="AC3813" s="52"/>
      <c r="AD3813" s="52"/>
      <c r="AE3813" s="52"/>
      <c r="AF3813" s="52"/>
      <c r="AG3813" s="52"/>
      <c r="AH3813" s="52"/>
      <c r="AI3813" s="52"/>
      <c r="AJ3813" s="52"/>
      <c r="AK3813" s="52"/>
      <c r="AL3813" s="52"/>
      <c r="AM3813" s="52"/>
      <c r="AN3813" s="52"/>
    </row>
    <row r="3814" spans="1:40" x14ac:dyDescent="0.3">
      <c r="A3814" s="52">
        <v>3809</v>
      </c>
      <c r="B3814" s="52">
        <f>-bthan*500+(8+0.5)*bthan*1000/50</f>
        <v>-1815</v>
      </c>
      <c r="C3814" s="52">
        <f t="shared" si="344"/>
        <v>730</v>
      </c>
      <c r="D3814" s="52">
        <f t="shared" si="341"/>
        <v>2200</v>
      </c>
      <c r="E3814" s="52">
        <f t="shared" si="342"/>
        <v>1</v>
      </c>
      <c r="F3814" s="52"/>
      <c r="G3814" s="52"/>
      <c r="H3814" s="52"/>
      <c r="I3814" s="52"/>
      <c r="J3814" s="52"/>
      <c r="K3814" s="52"/>
      <c r="L3814" s="52"/>
      <c r="M3814" s="52"/>
      <c r="N3814" s="52"/>
      <c r="O3814" s="52"/>
      <c r="P3814" s="52"/>
      <c r="Q3814" s="52"/>
      <c r="R3814" s="52"/>
      <c r="S3814" s="52"/>
      <c r="T3814" s="52"/>
      <c r="U3814" s="52"/>
      <c r="V3814" s="52"/>
      <c r="W3814" s="52"/>
      <c r="X3814" s="52"/>
      <c r="Y3814" s="52"/>
      <c r="Z3814" s="52"/>
      <c r="AA3814" s="52"/>
      <c r="AB3814" s="52"/>
      <c r="AC3814" s="52"/>
      <c r="AD3814" s="52"/>
      <c r="AE3814" s="52"/>
      <c r="AF3814" s="52"/>
      <c r="AG3814" s="52"/>
      <c r="AH3814" s="52"/>
      <c r="AI3814" s="52"/>
      <c r="AJ3814" s="52"/>
      <c r="AK3814" s="52"/>
      <c r="AL3814" s="52"/>
      <c r="AM3814" s="52"/>
      <c r="AN3814" s="52"/>
    </row>
    <row r="3815" spans="1:40" x14ac:dyDescent="0.3">
      <c r="A3815" s="52">
        <v>3810</v>
      </c>
      <c r="B3815" s="52">
        <f>-bthan*500+(9+0.5)*bthan*1000/50</f>
        <v>-1705</v>
      </c>
      <c r="C3815" s="52">
        <f t="shared" si="344"/>
        <v>730</v>
      </c>
      <c r="D3815" s="52">
        <f t="shared" si="341"/>
        <v>2200</v>
      </c>
      <c r="E3815" s="52">
        <f t="shared" si="342"/>
        <v>1</v>
      </c>
      <c r="F3815" s="52"/>
      <c r="G3815" s="52"/>
      <c r="H3815" s="52"/>
      <c r="I3815" s="52"/>
      <c r="J3815" s="52"/>
      <c r="K3815" s="52"/>
      <c r="L3815" s="52"/>
      <c r="M3815" s="52"/>
      <c r="N3815" s="52"/>
      <c r="O3815" s="52"/>
      <c r="P3815" s="52"/>
      <c r="Q3815" s="52"/>
      <c r="R3815" s="52"/>
      <c r="S3815" s="52"/>
      <c r="T3815" s="52"/>
      <c r="U3815" s="52"/>
      <c r="V3815" s="52"/>
      <c r="W3815" s="52"/>
      <c r="X3815" s="52"/>
      <c r="Y3815" s="52"/>
      <c r="Z3815" s="52"/>
      <c r="AA3815" s="52"/>
      <c r="AB3815" s="52"/>
      <c r="AC3815" s="52"/>
      <c r="AD3815" s="52"/>
      <c r="AE3815" s="52"/>
      <c r="AF3815" s="52"/>
      <c r="AG3815" s="52"/>
      <c r="AH3815" s="52"/>
      <c r="AI3815" s="52"/>
      <c r="AJ3815" s="52"/>
      <c r="AK3815" s="52"/>
      <c r="AL3815" s="52"/>
      <c r="AM3815" s="52"/>
      <c r="AN3815" s="52"/>
    </row>
    <row r="3816" spans="1:40" x14ac:dyDescent="0.3">
      <c r="A3816" s="52">
        <v>3811</v>
      </c>
      <c r="B3816" s="52">
        <f>-bthan*500+(10+0.5)*bthan*1000/50</f>
        <v>-1595</v>
      </c>
      <c r="C3816" s="52">
        <f t="shared" si="344"/>
        <v>730</v>
      </c>
      <c r="D3816" s="52">
        <f t="shared" si="341"/>
        <v>2200</v>
      </c>
      <c r="E3816" s="52">
        <f t="shared" si="342"/>
        <v>1</v>
      </c>
      <c r="F3816" s="52"/>
      <c r="G3816" s="52"/>
      <c r="H3816" s="52"/>
      <c r="I3816" s="52"/>
      <c r="J3816" s="52"/>
      <c r="K3816" s="52"/>
      <c r="L3816" s="52"/>
      <c r="M3816" s="52"/>
      <c r="N3816" s="52"/>
      <c r="O3816" s="52"/>
      <c r="P3816" s="52"/>
      <c r="Q3816" s="52"/>
      <c r="R3816" s="52"/>
      <c r="S3816" s="52"/>
      <c r="T3816" s="52"/>
      <c r="U3816" s="52"/>
      <c r="V3816" s="52"/>
      <c r="W3816" s="52"/>
      <c r="X3816" s="52"/>
      <c r="Y3816" s="52"/>
      <c r="Z3816" s="52"/>
      <c r="AA3816" s="52"/>
      <c r="AB3816" s="52"/>
      <c r="AC3816" s="52"/>
      <c r="AD3816" s="52"/>
      <c r="AE3816" s="52"/>
      <c r="AF3816" s="52"/>
      <c r="AG3816" s="52"/>
      <c r="AH3816" s="52"/>
      <c r="AI3816" s="52"/>
      <c r="AJ3816" s="52"/>
      <c r="AK3816" s="52"/>
      <c r="AL3816" s="52"/>
      <c r="AM3816" s="52"/>
      <c r="AN3816" s="52"/>
    </row>
    <row r="3817" spans="1:40" x14ac:dyDescent="0.3">
      <c r="A3817" s="52">
        <v>3812</v>
      </c>
      <c r="B3817" s="52">
        <f>-bthan*500+(11+0.5)*bthan*1000/50</f>
        <v>-1485</v>
      </c>
      <c r="C3817" s="52">
        <f t="shared" si="344"/>
        <v>730</v>
      </c>
      <c r="D3817" s="52">
        <f t="shared" si="341"/>
        <v>2200</v>
      </c>
      <c r="E3817" s="52">
        <f t="shared" si="342"/>
        <v>1</v>
      </c>
      <c r="F3817" s="52"/>
      <c r="G3817" s="52"/>
      <c r="H3817" s="52"/>
      <c r="I3817" s="52"/>
      <c r="J3817" s="52"/>
      <c r="K3817" s="52"/>
      <c r="L3817" s="52"/>
      <c r="M3817" s="52"/>
      <c r="N3817" s="52"/>
      <c r="O3817" s="52"/>
      <c r="P3817" s="52"/>
      <c r="Q3817" s="52"/>
      <c r="R3817" s="52"/>
      <c r="S3817" s="52"/>
      <c r="T3817" s="52"/>
      <c r="U3817" s="52"/>
      <c r="V3817" s="52"/>
      <c r="W3817" s="52"/>
      <c r="X3817" s="52"/>
      <c r="Y3817" s="52"/>
      <c r="Z3817" s="52"/>
      <c r="AA3817" s="52"/>
      <c r="AB3817" s="52"/>
      <c r="AC3817" s="52"/>
      <c r="AD3817" s="52"/>
      <c r="AE3817" s="52"/>
      <c r="AF3817" s="52"/>
      <c r="AG3817" s="52"/>
      <c r="AH3817" s="52"/>
      <c r="AI3817" s="52"/>
      <c r="AJ3817" s="52"/>
      <c r="AK3817" s="52"/>
      <c r="AL3817" s="52"/>
      <c r="AM3817" s="52"/>
      <c r="AN3817" s="52"/>
    </row>
    <row r="3818" spans="1:40" x14ac:dyDescent="0.3">
      <c r="A3818" s="52">
        <v>3813</v>
      </c>
      <c r="B3818" s="52">
        <f>-bthan*500+(12+0.5)*bthan*1000/50</f>
        <v>-1375</v>
      </c>
      <c r="C3818" s="52">
        <f t="shared" si="344"/>
        <v>730</v>
      </c>
      <c r="D3818" s="52">
        <f t="shared" si="341"/>
        <v>2200</v>
      </c>
      <c r="E3818" s="52">
        <f t="shared" si="342"/>
        <v>1</v>
      </c>
      <c r="F3818" s="52"/>
      <c r="G3818" s="52"/>
      <c r="H3818" s="52"/>
      <c r="I3818" s="52"/>
      <c r="J3818" s="52"/>
      <c r="K3818" s="52"/>
      <c r="L3818" s="52"/>
      <c r="M3818" s="52"/>
      <c r="N3818" s="52"/>
      <c r="O3818" s="52"/>
      <c r="P3818" s="52"/>
      <c r="Q3818" s="52"/>
      <c r="R3818" s="52"/>
      <c r="S3818" s="52"/>
      <c r="T3818" s="52"/>
      <c r="U3818" s="52"/>
      <c r="V3818" s="52"/>
      <c r="W3818" s="52"/>
      <c r="X3818" s="52"/>
      <c r="Y3818" s="52"/>
      <c r="Z3818" s="52"/>
      <c r="AA3818" s="52"/>
      <c r="AB3818" s="52"/>
      <c r="AC3818" s="52"/>
      <c r="AD3818" s="52"/>
      <c r="AE3818" s="52"/>
      <c r="AF3818" s="52"/>
      <c r="AG3818" s="52"/>
      <c r="AH3818" s="52"/>
      <c r="AI3818" s="52"/>
      <c r="AJ3818" s="52"/>
      <c r="AK3818" s="52"/>
      <c r="AL3818" s="52"/>
      <c r="AM3818" s="52"/>
      <c r="AN3818" s="52"/>
    </row>
    <row r="3819" spans="1:40" x14ac:dyDescent="0.3">
      <c r="A3819" s="52">
        <v>3814</v>
      </c>
      <c r="B3819" s="52">
        <f>-bthan*500+(13+0.5)*bthan*1000/50</f>
        <v>-1265</v>
      </c>
      <c r="C3819" s="52">
        <f t="shared" si="344"/>
        <v>730</v>
      </c>
      <c r="D3819" s="52">
        <f t="shared" si="341"/>
        <v>2200</v>
      </c>
      <c r="E3819" s="52">
        <f t="shared" si="342"/>
        <v>1</v>
      </c>
      <c r="F3819" s="52"/>
      <c r="G3819" s="52"/>
      <c r="H3819" s="52"/>
      <c r="I3819" s="52"/>
      <c r="J3819" s="52"/>
      <c r="K3819" s="52"/>
      <c r="L3819" s="52"/>
      <c r="M3819" s="52"/>
      <c r="N3819" s="52"/>
      <c r="O3819" s="52"/>
      <c r="P3819" s="52"/>
      <c r="Q3819" s="52"/>
      <c r="R3819" s="52"/>
      <c r="S3819" s="52"/>
      <c r="T3819" s="52"/>
      <c r="U3819" s="52"/>
      <c r="V3819" s="52"/>
      <c r="W3819" s="52"/>
      <c r="X3819" s="52"/>
      <c r="Y3819" s="52"/>
      <c r="Z3819" s="52"/>
      <c r="AA3819" s="52"/>
      <c r="AB3819" s="52"/>
      <c r="AC3819" s="52"/>
      <c r="AD3819" s="52"/>
      <c r="AE3819" s="52"/>
      <c r="AF3819" s="52"/>
      <c r="AG3819" s="52"/>
      <c r="AH3819" s="52"/>
      <c r="AI3819" s="52"/>
      <c r="AJ3819" s="52"/>
      <c r="AK3819" s="52"/>
      <c r="AL3819" s="52"/>
      <c r="AM3819" s="52"/>
      <c r="AN3819" s="52"/>
    </row>
    <row r="3820" spans="1:40" x14ac:dyDescent="0.3">
      <c r="A3820" s="52">
        <v>3815</v>
      </c>
      <c r="B3820" s="52">
        <f>-bthan*500+(14+0.5)*bthan*1000/50</f>
        <v>-1155</v>
      </c>
      <c r="C3820" s="52">
        <f t="shared" si="344"/>
        <v>730</v>
      </c>
      <c r="D3820" s="52">
        <f t="shared" si="341"/>
        <v>2200</v>
      </c>
      <c r="E3820" s="52">
        <f t="shared" si="342"/>
        <v>1</v>
      </c>
      <c r="F3820" s="52"/>
      <c r="G3820" s="52"/>
      <c r="H3820" s="52"/>
      <c r="I3820" s="52"/>
      <c r="J3820" s="52"/>
      <c r="K3820" s="52"/>
      <c r="L3820" s="52"/>
      <c r="M3820" s="52"/>
      <c r="N3820" s="52"/>
      <c r="O3820" s="52"/>
      <c r="P3820" s="52"/>
      <c r="Q3820" s="52"/>
      <c r="R3820" s="52"/>
      <c r="S3820" s="52"/>
      <c r="T3820" s="52"/>
      <c r="U3820" s="52"/>
      <c r="V3820" s="52"/>
      <c r="W3820" s="52"/>
      <c r="X3820" s="52"/>
      <c r="Y3820" s="52"/>
      <c r="Z3820" s="52"/>
      <c r="AA3820" s="52"/>
      <c r="AB3820" s="52"/>
      <c r="AC3820" s="52"/>
      <c r="AD3820" s="52"/>
      <c r="AE3820" s="52"/>
      <c r="AF3820" s="52"/>
      <c r="AG3820" s="52"/>
      <c r="AH3820" s="52"/>
      <c r="AI3820" s="52"/>
      <c r="AJ3820" s="52"/>
      <c r="AK3820" s="52"/>
      <c r="AL3820" s="52"/>
      <c r="AM3820" s="52"/>
      <c r="AN3820" s="52"/>
    </row>
    <row r="3821" spans="1:40" x14ac:dyDescent="0.3">
      <c r="A3821" s="52">
        <v>3816</v>
      </c>
      <c r="B3821" s="52">
        <f>-bthan*500+(15+0.5)*bthan*1000/50</f>
        <v>-1045</v>
      </c>
      <c r="C3821" s="52">
        <f t="shared" si="344"/>
        <v>730</v>
      </c>
      <c r="D3821" s="52">
        <f t="shared" si="341"/>
        <v>2200</v>
      </c>
      <c r="E3821" s="52">
        <f t="shared" si="342"/>
        <v>1</v>
      </c>
      <c r="F3821" s="52"/>
      <c r="G3821" s="52"/>
      <c r="H3821" s="52"/>
      <c r="I3821" s="52"/>
      <c r="J3821" s="52"/>
      <c r="K3821" s="52"/>
      <c r="L3821" s="52"/>
      <c r="M3821" s="52"/>
      <c r="N3821" s="52"/>
      <c r="O3821" s="52"/>
      <c r="P3821" s="52"/>
      <c r="Q3821" s="52"/>
      <c r="R3821" s="52"/>
      <c r="S3821" s="52"/>
      <c r="T3821" s="52"/>
      <c r="U3821" s="52"/>
      <c r="V3821" s="52"/>
      <c r="W3821" s="52"/>
      <c r="X3821" s="52"/>
      <c r="Y3821" s="52"/>
      <c r="Z3821" s="52"/>
      <c r="AA3821" s="52"/>
      <c r="AB3821" s="52"/>
      <c r="AC3821" s="52"/>
      <c r="AD3821" s="52"/>
      <c r="AE3821" s="52"/>
      <c r="AF3821" s="52"/>
      <c r="AG3821" s="52"/>
      <c r="AH3821" s="52"/>
      <c r="AI3821" s="52"/>
      <c r="AJ3821" s="52"/>
      <c r="AK3821" s="52"/>
      <c r="AL3821" s="52"/>
      <c r="AM3821" s="52"/>
      <c r="AN3821" s="52"/>
    </row>
    <row r="3822" spans="1:40" x14ac:dyDescent="0.3">
      <c r="A3822" s="52">
        <v>3817</v>
      </c>
      <c r="B3822" s="52">
        <f>-bthan*500+(16+0.5)*bthan*1000/50</f>
        <v>-935</v>
      </c>
      <c r="C3822" s="52">
        <f t="shared" si="344"/>
        <v>730</v>
      </c>
      <c r="D3822" s="52">
        <f t="shared" si="341"/>
        <v>2200</v>
      </c>
      <c r="E3822" s="52">
        <f t="shared" si="342"/>
        <v>1</v>
      </c>
      <c r="F3822" s="52"/>
      <c r="G3822" s="52"/>
      <c r="H3822" s="52"/>
      <c r="I3822" s="52"/>
      <c r="J3822" s="52"/>
      <c r="K3822" s="52"/>
      <c r="L3822" s="52"/>
      <c r="M3822" s="52"/>
      <c r="N3822" s="52"/>
      <c r="O3822" s="52"/>
      <c r="P3822" s="52"/>
      <c r="Q3822" s="52"/>
      <c r="R3822" s="52"/>
      <c r="S3822" s="52"/>
      <c r="T3822" s="52"/>
      <c r="U3822" s="52"/>
      <c r="V3822" s="52"/>
      <c r="W3822" s="52"/>
      <c r="X3822" s="52"/>
      <c r="Y3822" s="52"/>
      <c r="Z3822" s="52"/>
      <c r="AA3822" s="52"/>
      <c r="AB3822" s="52"/>
      <c r="AC3822" s="52"/>
      <c r="AD3822" s="52"/>
      <c r="AE3822" s="52"/>
      <c r="AF3822" s="52"/>
      <c r="AG3822" s="52"/>
      <c r="AH3822" s="52"/>
      <c r="AI3822" s="52"/>
      <c r="AJ3822" s="52"/>
      <c r="AK3822" s="52"/>
      <c r="AL3822" s="52"/>
      <c r="AM3822" s="52"/>
      <c r="AN3822" s="52"/>
    </row>
    <row r="3823" spans="1:40" x14ac:dyDescent="0.3">
      <c r="A3823" s="52">
        <v>3818</v>
      </c>
      <c r="B3823" s="52">
        <f>-bthan*500+(17+0.5)*bthan*1000/50</f>
        <v>-825</v>
      </c>
      <c r="C3823" s="52">
        <f t="shared" si="344"/>
        <v>730</v>
      </c>
      <c r="D3823" s="52">
        <f t="shared" si="341"/>
        <v>2200</v>
      </c>
      <c r="E3823" s="52">
        <f t="shared" si="342"/>
        <v>1</v>
      </c>
      <c r="F3823" s="52"/>
      <c r="G3823" s="52"/>
      <c r="H3823" s="52"/>
      <c r="I3823" s="52"/>
      <c r="J3823" s="52"/>
      <c r="K3823" s="52"/>
      <c r="L3823" s="52"/>
      <c r="M3823" s="52"/>
      <c r="N3823" s="52"/>
      <c r="O3823" s="52"/>
      <c r="P3823" s="52"/>
      <c r="Q3823" s="52"/>
      <c r="R3823" s="52"/>
      <c r="S3823" s="52"/>
      <c r="T3823" s="52"/>
      <c r="U3823" s="52"/>
      <c r="V3823" s="52"/>
      <c r="W3823" s="52"/>
      <c r="X3823" s="52"/>
      <c r="Y3823" s="52"/>
      <c r="Z3823" s="52"/>
      <c r="AA3823" s="52"/>
      <c r="AB3823" s="52"/>
      <c r="AC3823" s="52"/>
      <c r="AD3823" s="52"/>
      <c r="AE3823" s="52"/>
      <c r="AF3823" s="52"/>
      <c r="AG3823" s="52"/>
      <c r="AH3823" s="52"/>
      <c r="AI3823" s="52"/>
      <c r="AJ3823" s="52"/>
      <c r="AK3823" s="52"/>
      <c r="AL3823" s="52"/>
      <c r="AM3823" s="52"/>
      <c r="AN3823" s="52"/>
    </row>
    <row r="3824" spans="1:40" x14ac:dyDescent="0.3">
      <c r="A3824" s="52">
        <v>3819</v>
      </c>
      <c r="B3824" s="52">
        <f>-bthan*500+(18+0.5)*bthan*1000/50</f>
        <v>-715</v>
      </c>
      <c r="C3824" s="52">
        <f t="shared" si="344"/>
        <v>730</v>
      </c>
      <c r="D3824" s="52">
        <f t="shared" si="341"/>
        <v>2200</v>
      </c>
      <c r="E3824" s="52">
        <f t="shared" si="342"/>
        <v>1</v>
      </c>
      <c r="F3824" s="52"/>
      <c r="G3824" s="52"/>
      <c r="H3824" s="52"/>
      <c r="I3824" s="52"/>
      <c r="J3824" s="52"/>
      <c r="K3824" s="52"/>
      <c r="L3824" s="52"/>
      <c r="M3824" s="52"/>
      <c r="N3824" s="52"/>
      <c r="O3824" s="52"/>
      <c r="P3824" s="52"/>
      <c r="Q3824" s="52"/>
      <c r="R3824" s="52"/>
      <c r="S3824" s="52"/>
      <c r="T3824" s="52"/>
      <c r="U3824" s="52"/>
      <c r="V3824" s="52"/>
      <c r="W3824" s="52"/>
      <c r="X3824" s="52"/>
      <c r="Y3824" s="52"/>
      <c r="Z3824" s="52"/>
      <c r="AA3824" s="52"/>
      <c r="AB3824" s="52"/>
      <c r="AC3824" s="52"/>
      <c r="AD3824" s="52"/>
      <c r="AE3824" s="52"/>
      <c r="AF3824" s="52"/>
      <c r="AG3824" s="52"/>
      <c r="AH3824" s="52"/>
      <c r="AI3824" s="52"/>
      <c r="AJ3824" s="52"/>
      <c r="AK3824" s="52"/>
      <c r="AL3824" s="52"/>
      <c r="AM3824" s="52"/>
      <c r="AN3824" s="52"/>
    </row>
    <row r="3825" spans="1:40" x14ac:dyDescent="0.3">
      <c r="A3825" s="52">
        <v>3820</v>
      </c>
      <c r="B3825" s="52">
        <f>-bthan*500+(19+0.5)*bthan*1000/50</f>
        <v>-605</v>
      </c>
      <c r="C3825" s="52">
        <f t="shared" si="344"/>
        <v>730</v>
      </c>
      <c r="D3825" s="52">
        <f t="shared" si="341"/>
        <v>2200</v>
      </c>
      <c r="E3825" s="52">
        <f t="shared" si="342"/>
        <v>1</v>
      </c>
      <c r="F3825" s="52"/>
      <c r="G3825" s="52"/>
      <c r="H3825" s="52"/>
      <c r="I3825" s="52"/>
      <c r="J3825" s="52"/>
      <c r="K3825" s="52"/>
      <c r="L3825" s="52"/>
      <c r="M3825" s="52"/>
      <c r="N3825" s="52"/>
      <c r="O3825" s="52"/>
      <c r="P3825" s="52"/>
      <c r="Q3825" s="52"/>
      <c r="R3825" s="52"/>
      <c r="S3825" s="52"/>
      <c r="T3825" s="52"/>
      <c r="U3825" s="52"/>
      <c r="V3825" s="52"/>
      <c r="W3825" s="52"/>
      <c r="X3825" s="52"/>
      <c r="Y3825" s="52"/>
      <c r="Z3825" s="52"/>
      <c r="AA3825" s="52"/>
      <c r="AB3825" s="52"/>
      <c r="AC3825" s="52"/>
      <c r="AD3825" s="52"/>
      <c r="AE3825" s="52"/>
      <c r="AF3825" s="52"/>
      <c r="AG3825" s="52"/>
      <c r="AH3825" s="52"/>
      <c r="AI3825" s="52"/>
      <c r="AJ3825" s="52"/>
      <c r="AK3825" s="52"/>
      <c r="AL3825" s="52"/>
      <c r="AM3825" s="52"/>
      <c r="AN3825" s="52"/>
    </row>
    <row r="3826" spans="1:40" x14ac:dyDescent="0.3">
      <c r="A3826" s="52">
        <v>3821</v>
      </c>
      <c r="B3826" s="52">
        <f>-bthan*500+(20+0.5)*bthan*1000/50</f>
        <v>-495</v>
      </c>
      <c r="C3826" s="52">
        <f t="shared" si="344"/>
        <v>730</v>
      </c>
      <c r="D3826" s="52">
        <f t="shared" si="341"/>
        <v>2200</v>
      </c>
      <c r="E3826" s="52">
        <f t="shared" si="342"/>
        <v>1</v>
      </c>
      <c r="F3826" s="52"/>
      <c r="G3826" s="52"/>
      <c r="H3826" s="52"/>
      <c r="I3826" s="52"/>
      <c r="J3826" s="52"/>
      <c r="K3826" s="52"/>
      <c r="L3826" s="52"/>
      <c r="M3826" s="52"/>
      <c r="N3826" s="52"/>
      <c r="O3826" s="52"/>
      <c r="P3826" s="52"/>
      <c r="Q3826" s="52"/>
      <c r="R3826" s="52"/>
      <c r="S3826" s="52"/>
      <c r="T3826" s="52"/>
      <c r="U3826" s="52"/>
      <c r="V3826" s="52"/>
      <c r="W3826" s="52"/>
      <c r="X3826" s="52"/>
      <c r="Y3826" s="52"/>
      <c r="Z3826" s="52"/>
      <c r="AA3826" s="52"/>
      <c r="AB3826" s="52"/>
      <c r="AC3826" s="52"/>
      <c r="AD3826" s="52"/>
      <c r="AE3826" s="52"/>
      <c r="AF3826" s="52"/>
      <c r="AG3826" s="52"/>
      <c r="AH3826" s="52"/>
      <c r="AI3826" s="52"/>
      <c r="AJ3826" s="52"/>
      <c r="AK3826" s="52"/>
      <c r="AL3826" s="52"/>
      <c r="AM3826" s="52"/>
      <c r="AN3826" s="52"/>
    </row>
    <row r="3827" spans="1:40" x14ac:dyDescent="0.3">
      <c r="A3827" s="52">
        <v>3822</v>
      </c>
      <c r="B3827" s="52">
        <f>-bthan*500+(21+0.5)*bthan*1000/50</f>
        <v>-385</v>
      </c>
      <c r="C3827" s="52">
        <f t="shared" si="344"/>
        <v>730</v>
      </c>
      <c r="D3827" s="52">
        <f t="shared" si="341"/>
        <v>2200</v>
      </c>
      <c r="E3827" s="52">
        <f t="shared" si="342"/>
        <v>1</v>
      </c>
      <c r="F3827" s="52"/>
      <c r="G3827" s="52"/>
      <c r="H3827" s="52"/>
      <c r="I3827" s="52"/>
      <c r="J3827" s="52"/>
      <c r="K3827" s="52"/>
      <c r="L3827" s="52"/>
      <c r="M3827" s="52"/>
      <c r="N3827" s="52"/>
      <c r="O3827" s="52"/>
      <c r="P3827" s="52"/>
      <c r="Q3827" s="52"/>
      <c r="R3827" s="52"/>
      <c r="S3827" s="52"/>
      <c r="T3827" s="52"/>
      <c r="U3827" s="52"/>
      <c r="V3827" s="52"/>
      <c r="W3827" s="52"/>
      <c r="X3827" s="52"/>
      <c r="Y3827" s="52"/>
      <c r="Z3827" s="52"/>
      <c r="AA3827" s="52"/>
      <c r="AB3827" s="52"/>
      <c r="AC3827" s="52"/>
      <c r="AD3827" s="52"/>
      <c r="AE3827" s="52"/>
      <c r="AF3827" s="52"/>
      <c r="AG3827" s="52"/>
      <c r="AH3827" s="52"/>
      <c r="AI3827" s="52"/>
      <c r="AJ3827" s="52"/>
      <c r="AK3827" s="52"/>
      <c r="AL3827" s="52"/>
      <c r="AM3827" s="52"/>
      <c r="AN3827" s="52"/>
    </row>
    <row r="3828" spans="1:40" x14ac:dyDescent="0.3">
      <c r="A3828" s="52">
        <v>3823</v>
      </c>
      <c r="B3828" s="52">
        <f>-bthan*500+(22+0.5)*bthan*1000/50</f>
        <v>-275</v>
      </c>
      <c r="C3828" s="52">
        <f t="shared" si="344"/>
        <v>730</v>
      </c>
      <c r="D3828" s="52">
        <f t="shared" si="341"/>
        <v>2200</v>
      </c>
      <c r="E3828" s="52">
        <f t="shared" si="342"/>
        <v>1</v>
      </c>
      <c r="F3828" s="52"/>
      <c r="G3828" s="52"/>
      <c r="H3828" s="52"/>
      <c r="I3828" s="52"/>
      <c r="J3828" s="52"/>
      <c r="K3828" s="52"/>
      <c r="L3828" s="52"/>
      <c r="M3828" s="52"/>
      <c r="N3828" s="52"/>
      <c r="O3828" s="52"/>
      <c r="P3828" s="52"/>
      <c r="Q3828" s="52"/>
      <c r="R3828" s="52"/>
      <c r="S3828" s="52"/>
      <c r="T3828" s="52"/>
      <c r="U3828" s="52"/>
      <c r="V3828" s="52"/>
      <c r="W3828" s="52"/>
      <c r="X3828" s="52"/>
      <c r="Y3828" s="52"/>
      <c r="Z3828" s="52"/>
      <c r="AA3828" s="52"/>
      <c r="AB3828" s="52"/>
      <c r="AC3828" s="52"/>
      <c r="AD3828" s="52"/>
      <c r="AE3828" s="52"/>
      <c r="AF3828" s="52"/>
      <c r="AG3828" s="52"/>
      <c r="AH3828" s="52"/>
      <c r="AI3828" s="52"/>
      <c r="AJ3828" s="52"/>
      <c r="AK3828" s="52"/>
      <c r="AL3828" s="52"/>
      <c r="AM3828" s="52"/>
      <c r="AN3828" s="52"/>
    </row>
    <row r="3829" spans="1:40" x14ac:dyDescent="0.3">
      <c r="A3829" s="52">
        <v>3824</v>
      </c>
      <c r="B3829" s="52">
        <f>-bthan*500+(23+0.5)*bthan*1000/50</f>
        <v>-165</v>
      </c>
      <c r="C3829" s="52">
        <f t="shared" si="344"/>
        <v>730</v>
      </c>
      <c r="D3829" s="52">
        <f t="shared" si="341"/>
        <v>2200</v>
      </c>
      <c r="E3829" s="52">
        <f t="shared" si="342"/>
        <v>1</v>
      </c>
      <c r="F3829" s="52"/>
      <c r="G3829" s="52"/>
      <c r="H3829" s="52"/>
      <c r="I3829" s="52"/>
      <c r="J3829" s="52"/>
      <c r="K3829" s="52"/>
      <c r="L3829" s="52"/>
      <c r="M3829" s="52"/>
      <c r="N3829" s="52"/>
      <c r="O3829" s="52"/>
      <c r="P3829" s="52"/>
      <c r="Q3829" s="52"/>
      <c r="R3829" s="52"/>
      <c r="S3829" s="52"/>
      <c r="T3829" s="52"/>
      <c r="U3829" s="52"/>
      <c r="V3829" s="52"/>
      <c r="W3829" s="52"/>
      <c r="X3829" s="52"/>
      <c r="Y3829" s="52"/>
      <c r="Z3829" s="52"/>
      <c r="AA3829" s="52"/>
      <c r="AB3829" s="52"/>
      <c r="AC3829" s="52"/>
      <c r="AD3829" s="52"/>
      <c r="AE3829" s="52"/>
      <c r="AF3829" s="52"/>
      <c r="AG3829" s="52"/>
      <c r="AH3829" s="52"/>
      <c r="AI3829" s="52"/>
      <c r="AJ3829" s="52"/>
      <c r="AK3829" s="52"/>
      <c r="AL3829" s="52"/>
      <c r="AM3829" s="52"/>
      <c r="AN3829" s="52"/>
    </row>
    <row r="3830" spans="1:40" x14ac:dyDescent="0.3">
      <c r="A3830" s="52">
        <v>3825</v>
      </c>
      <c r="B3830" s="52">
        <f>-bthan*500+(24+0.5)*bthan*1000/50</f>
        <v>-55</v>
      </c>
      <c r="C3830" s="52">
        <f t="shared" si="344"/>
        <v>730</v>
      </c>
      <c r="D3830" s="52">
        <f t="shared" si="341"/>
        <v>2200</v>
      </c>
      <c r="E3830" s="52">
        <f t="shared" si="342"/>
        <v>1</v>
      </c>
      <c r="F3830" s="52"/>
      <c r="G3830" s="52"/>
      <c r="H3830" s="52"/>
      <c r="I3830" s="52"/>
      <c r="J3830" s="52"/>
      <c r="K3830" s="52"/>
      <c r="L3830" s="52"/>
      <c r="M3830" s="52"/>
      <c r="N3830" s="52"/>
      <c r="O3830" s="52"/>
      <c r="P3830" s="52"/>
      <c r="Q3830" s="52"/>
      <c r="R3830" s="52"/>
      <c r="S3830" s="52"/>
      <c r="T3830" s="52"/>
      <c r="U3830" s="52"/>
      <c r="V3830" s="52"/>
      <c r="W3830" s="52"/>
      <c r="X3830" s="52"/>
      <c r="Y3830" s="52"/>
      <c r="Z3830" s="52"/>
      <c r="AA3830" s="52"/>
      <c r="AB3830" s="52"/>
      <c r="AC3830" s="52"/>
      <c r="AD3830" s="52"/>
      <c r="AE3830" s="52"/>
      <c r="AF3830" s="52"/>
      <c r="AG3830" s="52"/>
      <c r="AH3830" s="52"/>
      <c r="AI3830" s="52"/>
      <c r="AJ3830" s="52"/>
      <c r="AK3830" s="52"/>
      <c r="AL3830" s="52"/>
      <c r="AM3830" s="52"/>
      <c r="AN3830" s="52"/>
    </row>
    <row r="3831" spans="1:40" x14ac:dyDescent="0.3">
      <c r="A3831" s="52">
        <v>3826</v>
      </c>
      <c r="B3831" s="52">
        <f>-bthan*500+(25+0.5)*bthan*1000/50</f>
        <v>55</v>
      </c>
      <c r="C3831" s="52">
        <f t="shared" si="344"/>
        <v>730</v>
      </c>
      <c r="D3831" s="52">
        <f t="shared" si="341"/>
        <v>2200</v>
      </c>
      <c r="E3831" s="52">
        <f t="shared" si="342"/>
        <v>1</v>
      </c>
      <c r="F3831" s="52"/>
      <c r="G3831" s="52"/>
      <c r="H3831" s="52"/>
      <c r="I3831" s="52"/>
      <c r="J3831" s="52"/>
      <c r="K3831" s="52"/>
      <c r="L3831" s="52"/>
      <c r="M3831" s="52"/>
      <c r="N3831" s="52"/>
      <c r="O3831" s="52"/>
      <c r="P3831" s="52"/>
      <c r="Q3831" s="52"/>
      <c r="R3831" s="52"/>
      <c r="S3831" s="52"/>
      <c r="T3831" s="52"/>
      <c r="U3831" s="52"/>
      <c r="V3831" s="52"/>
      <c r="W3831" s="52"/>
      <c r="X3831" s="52"/>
      <c r="Y3831" s="52"/>
      <c r="Z3831" s="52"/>
      <c r="AA3831" s="52"/>
      <c r="AB3831" s="52"/>
      <c r="AC3831" s="52"/>
      <c r="AD3831" s="52"/>
      <c r="AE3831" s="52"/>
      <c r="AF3831" s="52"/>
      <c r="AG3831" s="52"/>
      <c r="AH3831" s="52"/>
      <c r="AI3831" s="52"/>
      <c r="AJ3831" s="52"/>
      <c r="AK3831" s="52"/>
      <c r="AL3831" s="52"/>
      <c r="AM3831" s="52"/>
      <c r="AN3831" s="52"/>
    </row>
    <row r="3832" spans="1:40" x14ac:dyDescent="0.3">
      <c r="A3832" s="52">
        <v>3827</v>
      </c>
      <c r="B3832" s="52">
        <f>-bthan*500+(26+0.5)*bthan*1000/50</f>
        <v>165</v>
      </c>
      <c r="C3832" s="52">
        <f t="shared" si="344"/>
        <v>730</v>
      </c>
      <c r="D3832" s="52">
        <f t="shared" si="341"/>
        <v>2200</v>
      </c>
      <c r="E3832" s="52">
        <f t="shared" si="342"/>
        <v>1</v>
      </c>
      <c r="F3832" s="52"/>
      <c r="G3832" s="52"/>
      <c r="H3832" s="52"/>
      <c r="I3832" s="52"/>
      <c r="J3832" s="52"/>
      <c r="K3832" s="52"/>
      <c r="L3832" s="52"/>
      <c r="M3832" s="52"/>
      <c r="N3832" s="52"/>
      <c r="O3832" s="52"/>
      <c r="P3832" s="52"/>
      <c r="Q3832" s="52"/>
      <c r="R3832" s="52"/>
      <c r="S3832" s="52"/>
      <c r="T3832" s="52"/>
      <c r="U3832" s="52"/>
      <c r="V3832" s="52"/>
      <c r="W3832" s="52"/>
      <c r="X3832" s="52"/>
      <c r="Y3832" s="52"/>
      <c r="Z3832" s="52"/>
      <c r="AA3832" s="52"/>
      <c r="AB3832" s="52"/>
      <c r="AC3832" s="52"/>
      <c r="AD3832" s="52"/>
      <c r="AE3832" s="52"/>
      <c r="AF3832" s="52"/>
      <c r="AG3832" s="52"/>
      <c r="AH3832" s="52"/>
      <c r="AI3832" s="52"/>
      <c r="AJ3832" s="52"/>
      <c r="AK3832" s="52"/>
      <c r="AL3832" s="52"/>
      <c r="AM3832" s="52"/>
      <c r="AN3832" s="52"/>
    </row>
    <row r="3833" spans="1:40" x14ac:dyDescent="0.3">
      <c r="A3833" s="52">
        <v>3828</v>
      </c>
      <c r="B3833" s="52">
        <f>-bthan*500+(27+0.5)*bthan*1000/50</f>
        <v>275</v>
      </c>
      <c r="C3833" s="52">
        <f t="shared" si="344"/>
        <v>730</v>
      </c>
      <c r="D3833" s="52">
        <f t="shared" si="341"/>
        <v>2200</v>
      </c>
      <c r="E3833" s="52">
        <f t="shared" si="342"/>
        <v>1</v>
      </c>
      <c r="F3833" s="52"/>
      <c r="G3833" s="52"/>
      <c r="H3833" s="52"/>
      <c r="I3833" s="52"/>
      <c r="J3833" s="52"/>
      <c r="K3833" s="52"/>
      <c r="L3833" s="52"/>
      <c r="M3833" s="52"/>
      <c r="N3833" s="52"/>
      <c r="O3833" s="52"/>
      <c r="P3833" s="52"/>
      <c r="Q3833" s="52"/>
      <c r="R3833" s="52"/>
      <c r="S3833" s="52"/>
      <c r="T3833" s="52"/>
      <c r="U3833" s="52"/>
      <c r="V3833" s="52"/>
      <c r="W3833" s="52"/>
      <c r="X3833" s="52"/>
      <c r="Y3833" s="52"/>
      <c r="Z3833" s="52"/>
      <c r="AA3833" s="52"/>
      <c r="AB3833" s="52"/>
      <c r="AC3833" s="52"/>
      <c r="AD3833" s="52"/>
      <c r="AE3833" s="52"/>
      <c r="AF3833" s="52"/>
      <c r="AG3833" s="52"/>
      <c r="AH3833" s="52"/>
      <c r="AI3833" s="52"/>
      <c r="AJ3833" s="52"/>
      <c r="AK3833" s="52"/>
      <c r="AL3833" s="52"/>
      <c r="AM3833" s="52"/>
      <c r="AN3833" s="52"/>
    </row>
    <row r="3834" spans="1:40" x14ac:dyDescent="0.3">
      <c r="A3834" s="52">
        <v>3829</v>
      </c>
      <c r="B3834" s="52">
        <f>-bthan*500+(28+0.5)*bthan*1000/50</f>
        <v>385</v>
      </c>
      <c r="C3834" s="52">
        <f t="shared" si="344"/>
        <v>730</v>
      </c>
      <c r="D3834" s="52">
        <f t="shared" si="341"/>
        <v>2200</v>
      </c>
      <c r="E3834" s="52">
        <f t="shared" si="342"/>
        <v>1</v>
      </c>
      <c r="F3834" s="52"/>
      <c r="G3834" s="52"/>
      <c r="H3834" s="52"/>
      <c r="I3834" s="52"/>
      <c r="J3834" s="52"/>
      <c r="K3834" s="52"/>
      <c r="L3834" s="52"/>
      <c r="M3834" s="52"/>
      <c r="N3834" s="52"/>
      <c r="O3834" s="52"/>
      <c r="P3834" s="52"/>
      <c r="Q3834" s="52"/>
      <c r="R3834" s="52"/>
      <c r="S3834" s="52"/>
      <c r="T3834" s="52"/>
      <c r="U3834" s="52"/>
      <c r="V3834" s="52"/>
      <c r="W3834" s="52"/>
      <c r="X3834" s="52"/>
      <c r="Y3834" s="52"/>
      <c r="Z3834" s="52"/>
      <c r="AA3834" s="52"/>
      <c r="AB3834" s="52"/>
      <c r="AC3834" s="52"/>
      <c r="AD3834" s="52"/>
      <c r="AE3834" s="52"/>
      <c r="AF3834" s="52"/>
      <c r="AG3834" s="52"/>
      <c r="AH3834" s="52"/>
      <c r="AI3834" s="52"/>
      <c r="AJ3834" s="52"/>
      <c r="AK3834" s="52"/>
      <c r="AL3834" s="52"/>
      <c r="AM3834" s="52"/>
      <c r="AN3834" s="52"/>
    </row>
    <row r="3835" spans="1:40" x14ac:dyDescent="0.3">
      <c r="A3835" s="52">
        <v>3830</v>
      </c>
      <c r="B3835" s="52">
        <f>-bthan*500+(29+0.5)*bthan*1000/50</f>
        <v>495</v>
      </c>
      <c r="C3835" s="52">
        <f t="shared" si="344"/>
        <v>730</v>
      </c>
      <c r="D3835" s="52">
        <f t="shared" si="341"/>
        <v>2200</v>
      </c>
      <c r="E3835" s="52">
        <f t="shared" si="342"/>
        <v>1</v>
      </c>
      <c r="F3835" s="52"/>
      <c r="G3835" s="52"/>
      <c r="H3835" s="52"/>
      <c r="I3835" s="52"/>
      <c r="J3835" s="52"/>
      <c r="K3835" s="52"/>
      <c r="L3835" s="52"/>
      <c r="M3835" s="52"/>
      <c r="N3835" s="52"/>
      <c r="O3835" s="52"/>
      <c r="P3835" s="52"/>
      <c r="Q3835" s="52"/>
      <c r="R3835" s="52"/>
      <c r="S3835" s="52"/>
      <c r="T3835" s="52"/>
      <c r="U3835" s="52"/>
      <c r="V3835" s="52"/>
      <c r="W3835" s="52"/>
      <c r="X3835" s="52"/>
      <c r="Y3835" s="52"/>
      <c r="Z3835" s="52"/>
      <c r="AA3835" s="52"/>
      <c r="AB3835" s="52"/>
      <c r="AC3835" s="52"/>
      <c r="AD3835" s="52"/>
      <c r="AE3835" s="52"/>
      <c r="AF3835" s="52"/>
      <c r="AG3835" s="52"/>
      <c r="AH3835" s="52"/>
      <c r="AI3835" s="52"/>
      <c r="AJ3835" s="52"/>
      <c r="AK3835" s="52"/>
      <c r="AL3835" s="52"/>
      <c r="AM3835" s="52"/>
      <c r="AN3835" s="52"/>
    </row>
    <row r="3836" spans="1:40" x14ac:dyDescent="0.3">
      <c r="A3836" s="52">
        <v>3831</v>
      </c>
      <c r="B3836" s="52">
        <f>-bthan*500+(30+0.5)*bthan*1000/50</f>
        <v>605</v>
      </c>
      <c r="C3836" s="52">
        <f t="shared" si="344"/>
        <v>730</v>
      </c>
      <c r="D3836" s="52">
        <f t="shared" si="341"/>
        <v>2200</v>
      </c>
      <c r="E3836" s="52">
        <f t="shared" si="342"/>
        <v>1</v>
      </c>
      <c r="F3836" s="52"/>
      <c r="G3836" s="52"/>
      <c r="H3836" s="52"/>
      <c r="I3836" s="52"/>
      <c r="J3836" s="52"/>
      <c r="K3836" s="52"/>
      <c r="L3836" s="52"/>
      <c r="M3836" s="52"/>
      <c r="N3836" s="52"/>
      <c r="O3836" s="52"/>
      <c r="P3836" s="52"/>
      <c r="Q3836" s="52"/>
      <c r="R3836" s="52"/>
      <c r="S3836" s="52"/>
      <c r="T3836" s="52"/>
      <c r="U3836" s="52"/>
      <c r="V3836" s="52"/>
      <c r="W3836" s="52"/>
      <c r="X3836" s="52"/>
      <c r="Y3836" s="52"/>
      <c r="Z3836" s="52"/>
      <c r="AA3836" s="52"/>
      <c r="AB3836" s="52"/>
      <c r="AC3836" s="52"/>
      <c r="AD3836" s="52"/>
      <c r="AE3836" s="52"/>
      <c r="AF3836" s="52"/>
      <c r="AG3836" s="52"/>
      <c r="AH3836" s="52"/>
      <c r="AI3836" s="52"/>
      <c r="AJ3836" s="52"/>
      <c r="AK3836" s="52"/>
      <c r="AL3836" s="52"/>
      <c r="AM3836" s="52"/>
      <c r="AN3836" s="52"/>
    </row>
    <row r="3837" spans="1:40" x14ac:dyDescent="0.3">
      <c r="A3837" s="52">
        <v>3832</v>
      </c>
      <c r="B3837" s="52">
        <f>-bthan*500+(31+0.5)*bthan*1000/50</f>
        <v>715</v>
      </c>
      <c r="C3837" s="52">
        <f t="shared" si="344"/>
        <v>730</v>
      </c>
      <c r="D3837" s="52">
        <f t="shared" si="341"/>
        <v>2200</v>
      </c>
      <c r="E3837" s="52">
        <f t="shared" si="342"/>
        <v>1</v>
      </c>
      <c r="F3837" s="52"/>
      <c r="G3837" s="52"/>
      <c r="H3837" s="52"/>
      <c r="I3837" s="52"/>
      <c r="J3837" s="52"/>
      <c r="K3837" s="52"/>
      <c r="L3837" s="52"/>
      <c r="M3837" s="52"/>
      <c r="N3837" s="52"/>
      <c r="O3837" s="52"/>
      <c r="P3837" s="52"/>
      <c r="Q3837" s="52"/>
      <c r="R3837" s="52"/>
      <c r="S3837" s="52"/>
      <c r="T3837" s="52"/>
      <c r="U3837" s="52"/>
      <c r="V3837" s="52"/>
      <c r="W3837" s="52"/>
      <c r="X3837" s="52"/>
      <c r="Y3837" s="52"/>
      <c r="Z3837" s="52"/>
      <c r="AA3837" s="52"/>
      <c r="AB3837" s="52"/>
      <c r="AC3837" s="52"/>
      <c r="AD3837" s="52"/>
      <c r="AE3837" s="52"/>
      <c r="AF3837" s="52"/>
      <c r="AG3837" s="52"/>
      <c r="AH3837" s="52"/>
      <c r="AI3837" s="52"/>
      <c r="AJ3837" s="52"/>
      <c r="AK3837" s="52"/>
      <c r="AL3837" s="52"/>
      <c r="AM3837" s="52"/>
      <c r="AN3837" s="52"/>
    </row>
    <row r="3838" spans="1:40" x14ac:dyDescent="0.3">
      <c r="A3838" s="52">
        <v>3833</v>
      </c>
      <c r="B3838" s="52">
        <f>-bthan*500+(32+0.5)*bthan*1000/50</f>
        <v>825</v>
      </c>
      <c r="C3838" s="52">
        <f t="shared" ref="C3838:C3855" si="345">-hthan*500+(76+0.5)*hthan*1000/80</f>
        <v>730</v>
      </c>
      <c r="D3838" s="52">
        <f t="shared" si="341"/>
        <v>2200</v>
      </c>
      <c r="E3838" s="52">
        <f t="shared" si="342"/>
        <v>1</v>
      </c>
      <c r="F3838" s="52"/>
      <c r="G3838" s="52"/>
      <c r="H3838" s="52"/>
      <c r="I3838" s="52"/>
      <c r="J3838" s="52"/>
      <c r="K3838" s="52"/>
      <c r="L3838" s="52"/>
      <c r="M3838" s="52"/>
      <c r="N3838" s="52"/>
      <c r="O3838" s="52"/>
      <c r="P3838" s="52"/>
      <c r="Q3838" s="52"/>
      <c r="R3838" s="52"/>
      <c r="S3838" s="52"/>
      <c r="T3838" s="52"/>
      <c r="U3838" s="52"/>
      <c r="V3838" s="52"/>
      <c r="W3838" s="52"/>
      <c r="X3838" s="52"/>
      <c r="Y3838" s="52"/>
      <c r="Z3838" s="52"/>
      <c r="AA3838" s="52"/>
      <c r="AB3838" s="52"/>
      <c r="AC3838" s="52"/>
      <c r="AD3838" s="52"/>
      <c r="AE3838" s="52"/>
      <c r="AF3838" s="52"/>
      <c r="AG3838" s="52"/>
      <c r="AH3838" s="52"/>
      <c r="AI3838" s="52"/>
      <c r="AJ3838" s="52"/>
      <c r="AK3838" s="52"/>
      <c r="AL3838" s="52"/>
      <c r="AM3838" s="52"/>
      <c r="AN3838" s="52"/>
    </row>
    <row r="3839" spans="1:40" x14ac:dyDescent="0.3">
      <c r="A3839" s="52">
        <v>3834</v>
      </c>
      <c r="B3839" s="52">
        <f>-bthan*500+(33+0.5)*bthan*1000/50</f>
        <v>935</v>
      </c>
      <c r="C3839" s="52">
        <f t="shared" si="345"/>
        <v>730</v>
      </c>
      <c r="D3839" s="52">
        <f t="shared" si="341"/>
        <v>2200</v>
      </c>
      <c r="E3839" s="52">
        <f t="shared" si="342"/>
        <v>1</v>
      </c>
      <c r="F3839" s="52"/>
      <c r="G3839" s="52"/>
      <c r="H3839" s="52"/>
      <c r="I3839" s="52"/>
      <c r="J3839" s="52"/>
      <c r="K3839" s="52"/>
      <c r="L3839" s="52"/>
      <c r="M3839" s="52"/>
      <c r="N3839" s="52"/>
      <c r="O3839" s="52"/>
      <c r="P3839" s="52"/>
      <c r="Q3839" s="52"/>
      <c r="R3839" s="52"/>
      <c r="S3839" s="52"/>
      <c r="T3839" s="52"/>
      <c r="U3839" s="52"/>
      <c r="V3839" s="52"/>
      <c r="W3839" s="52"/>
      <c r="X3839" s="52"/>
      <c r="Y3839" s="52"/>
      <c r="Z3839" s="52"/>
      <c r="AA3839" s="52"/>
      <c r="AB3839" s="52"/>
      <c r="AC3839" s="52"/>
      <c r="AD3839" s="52"/>
      <c r="AE3839" s="52"/>
      <c r="AF3839" s="52"/>
      <c r="AG3839" s="52"/>
      <c r="AH3839" s="52"/>
      <c r="AI3839" s="52"/>
      <c r="AJ3839" s="52"/>
      <c r="AK3839" s="52"/>
      <c r="AL3839" s="52"/>
      <c r="AM3839" s="52"/>
      <c r="AN3839" s="52"/>
    </row>
    <row r="3840" spans="1:40" x14ac:dyDescent="0.3">
      <c r="A3840" s="52">
        <v>3835</v>
      </c>
      <c r="B3840" s="52">
        <f>-bthan*500+(34+0.5)*bthan*1000/50</f>
        <v>1045</v>
      </c>
      <c r="C3840" s="52">
        <f t="shared" si="345"/>
        <v>730</v>
      </c>
      <c r="D3840" s="52">
        <f t="shared" si="341"/>
        <v>2200</v>
      </c>
      <c r="E3840" s="52">
        <f t="shared" si="342"/>
        <v>1</v>
      </c>
      <c r="F3840" s="52"/>
      <c r="G3840" s="52"/>
      <c r="H3840" s="52"/>
      <c r="I3840" s="52"/>
      <c r="J3840" s="52"/>
      <c r="K3840" s="52"/>
      <c r="L3840" s="52"/>
      <c r="M3840" s="52"/>
      <c r="N3840" s="52"/>
      <c r="O3840" s="52"/>
      <c r="P3840" s="52"/>
      <c r="Q3840" s="52"/>
      <c r="R3840" s="52"/>
      <c r="S3840" s="52"/>
      <c r="T3840" s="52"/>
      <c r="U3840" s="52"/>
      <c r="V3840" s="52"/>
      <c r="W3840" s="52"/>
      <c r="X3840" s="52"/>
      <c r="Y3840" s="52"/>
      <c r="Z3840" s="52"/>
      <c r="AA3840" s="52"/>
      <c r="AB3840" s="52"/>
      <c r="AC3840" s="52"/>
      <c r="AD3840" s="52"/>
      <c r="AE3840" s="52"/>
      <c r="AF3840" s="52"/>
      <c r="AG3840" s="52"/>
      <c r="AH3840" s="52"/>
      <c r="AI3840" s="52"/>
      <c r="AJ3840" s="52"/>
      <c r="AK3840" s="52"/>
      <c r="AL3840" s="52"/>
      <c r="AM3840" s="52"/>
      <c r="AN3840" s="52"/>
    </row>
    <row r="3841" spans="1:40" x14ac:dyDescent="0.3">
      <c r="A3841" s="52">
        <v>3836</v>
      </c>
      <c r="B3841" s="52">
        <f>-bthan*500+(35+0.5)*bthan*1000/50</f>
        <v>1155</v>
      </c>
      <c r="C3841" s="52">
        <f t="shared" si="345"/>
        <v>730</v>
      </c>
      <c r="D3841" s="52">
        <f t="shared" si="341"/>
        <v>2200</v>
      </c>
      <c r="E3841" s="52">
        <f t="shared" si="342"/>
        <v>1</v>
      </c>
      <c r="F3841" s="52"/>
      <c r="G3841" s="52"/>
      <c r="H3841" s="52"/>
      <c r="I3841" s="52"/>
      <c r="J3841" s="52"/>
      <c r="K3841" s="52"/>
      <c r="L3841" s="52"/>
      <c r="M3841" s="52"/>
      <c r="N3841" s="52"/>
      <c r="O3841" s="52"/>
      <c r="P3841" s="52"/>
      <c r="Q3841" s="52"/>
      <c r="R3841" s="52"/>
      <c r="S3841" s="52"/>
      <c r="T3841" s="52"/>
      <c r="U3841" s="52"/>
      <c r="V3841" s="52"/>
      <c r="W3841" s="52"/>
      <c r="X3841" s="52"/>
      <c r="Y3841" s="52"/>
      <c r="Z3841" s="52"/>
      <c r="AA3841" s="52"/>
      <c r="AB3841" s="52"/>
      <c r="AC3841" s="52"/>
      <c r="AD3841" s="52"/>
      <c r="AE3841" s="52"/>
      <c r="AF3841" s="52"/>
      <c r="AG3841" s="52"/>
      <c r="AH3841" s="52"/>
      <c r="AI3841" s="52"/>
      <c r="AJ3841" s="52"/>
      <c r="AK3841" s="52"/>
      <c r="AL3841" s="52"/>
      <c r="AM3841" s="52"/>
      <c r="AN3841" s="52"/>
    </row>
    <row r="3842" spans="1:40" x14ac:dyDescent="0.3">
      <c r="A3842" s="52">
        <v>3837</v>
      </c>
      <c r="B3842" s="52">
        <f>-bthan*500+(36+0.5)*bthan*1000/50</f>
        <v>1265</v>
      </c>
      <c r="C3842" s="52">
        <f t="shared" si="345"/>
        <v>730</v>
      </c>
      <c r="D3842" s="52">
        <f t="shared" si="341"/>
        <v>2200</v>
      </c>
      <c r="E3842" s="52">
        <f t="shared" si="342"/>
        <v>1</v>
      </c>
      <c r="F3842" s="52"/>
      <c r="G3842" s="52"/>
      <c r="H3842" s="52"/>
      <c r="I3842" s="52"/>
      <c r="J3842" s="52"/>
      <c r="K3842" s="52"/>
      <c r="L3842" s="52"/>
      <c r="M3842" s="52"/>
      <c r="N3842" s="52"/>
      <c r="O3842" s="52"/>
      <c r="P3842" s="52"/>
      <c r="Q3842" s="52"/>
      <c r="R3842" s="52"/>
      <c r="S3842" s="52"/>
      <c r="T3842" s="52"/>
      <c r="U3842" s="52"/>
      <c r="V3842" s="52"/>
      <c r="W3842" s="52"/>
      <c r="X3842" s="52"/>
      <c r="Y3842" s="52"/>
      <c r="Z3842" s="52"/>
      <c r="AA3842" s="52"/>
      <c r="AB3842" s="52"/>
      <c r="AC3842" s="52"/>
      <c r="AD3842" s="52"/>
      <c r="AE3842" s="52"/>
      <c r="AF3842" s="52"/>
      <c r="AG3842" s="52"/>
      <c r="AH3842" s="52"/>
      <c r="AI3842" s="52"/>
      <c r="AJ3842" s="52"/>
      <c r="AK3842" s="52"/>
      <c r="AL3842" s="52"/>
      <c r="AM3842" s="52"/>
      <c r="AN3842" s="52"/>
    </row>
    <row r="3843" spans="1:40" x14ac:dyDescent="0.3">
      <c r="A3843" s="52">
        <v>3838</v>
      </c>
      <c r="B3843" s="52">
        <f>-bthan*500+(37+0.5)*bthan*1000/50</f>
        <v>1375</v>
      </c>
      <c r="C3843" s="52">
        <f t="shared" si="345"/>
        <v>730</v>
      </c>
      <c r="D3843" s="52">
        <f t="shared" si="341"/>
        <v>2200</v>
      </c>
      <c r="E3843" s="52">
        <f t="shared" si="342"/>
        <v>1</v>
      </c>
      <c r="F3843" s="52"/>
      <c r="G3843" s="52"/>
      <c r="H3843" s="52"/>
      <c r="I3843" s="52"/>
      <c r="J3843" s="52"/>
      <c r="K3843" s="52"/>
      <c r="L3843" s="52"/>
      <c r="M3843" s="52"/>
      <c r="N3843" s="52"/>
      <c r="O3843" s="52"/>
      <c r="P3843" s="52"/>
      <c r="Q3843" s="52"/>
      <c r="R3843" s="52"/>
      <c r="S3843" s="52"/>
      <c r="T3843" s="52"/>
      <c r="U3843" s="52"/>
      <c r="V3843" s="52"/>
      <c r="W3843" s="52"/>
      <c r="X3843" s="52"/>
      <c r="Y3843" s="52"/>
      <c r="Z3843" s="52"/>
      <c r="AA3843" s="52"/>
      <c r="AB3843" s="52"/>
      <c r="AC3843" s="52"/>
      <c r="AD3843" s="52"/>
      <c r="AE3843" s="52"/>
      <c r="AF3843" s="52"/>
      <c r="AG3843" s="52"/>
      <c r="AH3843" s="52"/>
      <c r="AI3843" s="52"/>
      <c r="AJ3843" s="52"/>
      <c r="AK3843" s="52"/>
      <c r="AL3843" s="52"/>
      <c r="AM3843" s="52"/>
      <c r="AN3843" s="52"/>
    </row>
    <row r="3844" spans="1:40" x14ac:dyDescent="0.3">
      <c r="A3844" s="52">
        <v>3839</v>
      </c>
      <c r="B3844" s="52">
        <f>-bthan*500+(38+0.5)*bthan*1000/50</f>
        <v>1485</v>
      </c>
      <c r="C3844" s="52">
        <f t="shared" si="345"/>
        <v>730</v>
      </c>
      <c r="D3844" s="52">
        <f t="shared" si="341"/>
        <v>2200</v>
      </c>
      <c r="E3844" s="52">
        <f t="shared" si="342"/>
        <v>1</v>
      </c>
      <c r="F3844" s="52"/>
      <c r="G3844" s="52"/>
      <c r="H3844" s="52"/>
      <c r="I3844" s="52"/>
      <c r="J3844" s="52"/>
      <c r="K3844" s="52"/>
      <c r="L3844" s="52"/>
      <c r="M3844" s="52"/>
      <c r="N3844" s="52"/>
      <c r="O3844" s="52"/>
      <c r="P3844" s="52"/>
      <c r="Q3844" s="52"/>
      <c r="R3844" s="52"/>
      <c r="S3844" s="52"/>
      <c r="T3844" s="52"/>
      <c r="U3844" s="52"/>
      <c r="V3844" s="52"/>
      <c r="W3844" s="52"/>
      <c r="X3844" s="52"/>
      <c r="Y3844" s="52"/>
      <c r="Z3844" s="52"/>
      <c r="AA3844" s="52"/>
      <c r="AB3844" s="52"/>
      <c r="AC3844" s="52"/>
      <c r="AD3844" s="52"/>
      <c r="AE3844" s="52"/>
      <c r="AF3844" s="52"/>
      <c r="AG3844" s="52"/>
      <c r="AH3844" s="52"/>
      <c r="AI3844" s="52"/>
      <c r="AJ3844" s="52"/>
      <c r="AK3844" s="52"/>
      <c r="AL3844" s="52"/>
      <c r="AM3844" s="52"/>
      <c r="AN3844" s="52"/>
    </row>
    <row r="3845" spans="1:40" x14ac:dyDescent="0.3">
      <c r="A3845" s="52">
        <v>3840</v>
      </c>
      <c r="B3845" s="52">
        <f>-bthan*500+(39+0.5)*bthan*1000/50</f>
        <v>1595</v>
      </c>
      <c r="C3845" s="52">
        <f t="shared" si="345"/>
        <v>730</v>
      </c>
      <c r="D3845" s="52">
        <f t="shared" si="341"/>
        <v>2200</v>
      </c>
      <c r="E3845" s="52">
        <f t="shared" si="342"/>
        <v>1</v>
      </c>
      <c r="F3845" s="52"/>
      <c r="G3845" s="52"/>
      <c r="H3845" s="52"/>
      <c r="I3845" s="52"/>
      <c r="J3845" s="52"/>
      <c r="K3845" s="52"/>
      <c r="L3845" s="52"/>
      <c r="M3845" s="52"/>
      <c r="N3845" s="52"/>
      <c r="O3845" s="52"/>
      <c r="P3845" s="52"/>
      <c r="Q3845" s="52"/>
      <c r="R3845" s="52"/>
      <c r="S3845" s="52"/>
      <c r="T3845" s="52"/>
      <c r="U3845" s="52"/>
      <c r="V3845" s="52"/>
      <c r="W3845" s="52"/>
      <c r="X3845" s="52"/>
      <c r="Y3845" s="52"/>
      <c r="Z3845" s="52"/>
      <c r="AA3845" s="52"/>
      <c r="AB3845" s="52"/>
      <c r="AC3845" s="52"/>
      <c r="AD3845" s="52"/>
      <c r="AE3845" s="52"/>
      <c r="AF3845" s="52"/>
      <c r="AG3845" s="52"/>
      <c r="AH3845" s="52"/>
      <c r="AI3845" s="52"/>
      <c r="AJ3845" s="52"/>
      <c r="AK3845" s="52"/>
      <c r="AL3845" s="52"/>
      <c r="AM3845" s="52"/>
      <c r="AN3845" s="52"/>
    </row>
    <row r="3846" spans="1:40" x14ac:dyDescent="0.3">
      <c r="A3846" s="52">
        <v>3841</v>
      </c>
      <c r="B3846" s="52">
        <f>-bthan*500+(40+0.5)*bthan*1000/50</f>
        <v>1705</v>
      </c>
      <c r="C3846" s="52">
        <f t="shared" si="345"/>
        <v>730</v>
      </c>
      <c r="D3846" s="52">
        <f t="shared" ref="D3846:D3909" si="346">bthan*1000/50*hthan*1000/80</f>
        <v>2200</v>
      </c>
      <c r="E3846" s="52">
        <f t="shared" ref="E3846:E3909" si="347">IF(shp=1,--(OR(ABS(B3846)&lt;=MAX(0,(bthan-hthan)*500),(ABS(B3846)-MAX(0,(bthan-hthan)*500))^2+C3846^2&lt;=(hthan*500)^2)),--(AND(ABS(B3846)&lt;=bthan*500,ABS(C3846)&lt;=hthan*500,OR(ABS(B3846)&lt;=bthan*500-cch*1000,ABS(C3846)&lt;=hthan*500-cch*1000,(bthan*500-ABS(B3846))+(hthan*500-ABS(C3846))&gt;=cch*1000))))</f>
        <v>1</v>
      </c>
      <c r="F3846" s="52"/>
      <c r="G3846" s="52"/>
      <c r="H3846" s="52"/>
      <c r="I3846" s="52"/>
      <c r="J3846" s="52"/>
      <c r="K3846" s="52"/>
      <c r="L3846" s="52"/>
      <c r="M3846" s="52"/>
      <c r="N3846" s="52"/>
      <c r="O3846" s="52"/>
      <c r="P3846" s="52"/>
      <c r="Q3846" s="52"/>
      <c r="R3846" s="52"/>
      <c r="S3846" s="52"/>
      <c r="T3846" s="52"/>
      <c r="U3846" s="52"/>
      <c r="V3846" s="52"/>
      <c r="W3846" s="52"/>
      <c r="X3846" s="52"/>
      <c r="Y3846" s="52"/>
      <c r="Z3846" s="52"/>
      <c r="AA3846" s="52"/>
      <c r="AB3846" s="52"/>
      <c r="AC3846" s="52"/>
      <c r="AD3846" s="52"/>
      <c r="AE3846" s="52"/>
      <c r="AF3846" s="52"/>
      <c r="AG3846" s="52"/>
      <c r="AH3846" s="52"/>
      <c r="AI3846" s="52"/>
      <c r="AJ3846" s="52"/>
      <c r="AK3846" s="52"/>
      <c r="AL3846" s="52"/>
      <c r="AM3846" s="52"/>
      <c r="AN3846" s="52"/>
    </row>
    <row r="3847" spans="1:40" x14ac:dyDescent="0.3">
      <c r="A3847" s="52">
        <v>3842</v>
      </c>
      <c r="B3847" s="52">
        <f>-bthan*500+(41+0.5)*bthan*1000/50</f>
        <v>1815</v>
      </c>
      <c r="C3847" s="52">
        <f t="shared" si="345"/>
        <v>730</v>
      </c>
      <c r="D3847" s="52">
        <f t="shared" si="346"/>
        <v>2200</v>
      </c>
      <c r="E3847" s="52">
        <f t="shared" si="347"/>
        <v>1</v>
      </c>
      <c r="F3847" s="52"/>
      <c r="G3847" s="52"/>
      <c r="H3847" s="52"/>
      <c r="I3847" s="52"/>
      <c r="J3847" s="52"/>
      <c r="K3847" s="52"/>
      <c r="L3847" s="52"/>
      <c r="M3847" s="52"/>
      <c r="N3847" s="52"/>
      <c r="O3847" s="52"/>
      <c r="P3847" s="52"/>
      <c r="Q3847" s="52"/>
      <c r="R3847" s="52"/>
      <c r="S3847" s="52"/>
      <c r="T3847" s="52"/>
      <c r="U3847" s="52"/>
      <c r="V3847" s="52"/>
      <c r="W3847" s="52"/>
      <c r="X3847" s="52"/>
      <c r="Y3847" s="52"/>
      <c r="Z3847" s="52"/>
      <c r="AA3847" s="52"/>
      <c r="AB3847" s="52"/>
      <c r="AC3847" s="52"/>
      <c r="AD3847" s="52"/>
      <c r="AE3847" s="52"/>
      <c r="AF3847" s="52"/>
      <c r="AG3847" s="52"/>
      <c r="AH3847" s="52"/>
      <c r="AI3847" s="52"/>
      <c r="AJ3847" s="52"/>
      <c r="AK3847" s="52"/>
      <c r="AL3847" s="52"/>
      <c r="AM3847" s="52"/>
      <c r="AN3847" s="52"/>
    </row>
    <row r="3848" spans="1:40" x14ac:dyDescent="0.3">
      <c r="A3848" s="52">
        <v>3843</v>
      </c>
      <c r="B3848" s="52">
        <f>-bthan*500+(42+0.5)*bthan*1000/50</f>
        <v>1925</v>
      </c>
      <c r="C3848" s="52">
        <f t="shared" si="345"/>
        <v>730</v>
      </c>
      <c r="D3848" s="52">
        <f t="shared" si="346"/>
        <v>2200</v>
      </c>
      <c r="E3848" s="52">
        <f t="shared" si="347"/>
        <v>1</v>
      </c>
      <c r="F3848" s="52"/>
      <c r="G3848" s="52"/>
      <c r="H3848" s="52"/>
      <c r="I3848" s="52"/>
      <c r="J3848" s="52"/>
      <c r="K3848" s="52"/>
      <c r="L3848" s="52"/>
      <c r="M3848" s="52"/>
      <c r="N3848" s="52"/>
      <c r="O3848" s="52"/>
      <c r="P3848" s="52"/>
      <c r="Q3848" s="52"/>
      <c r="R3848" s="52"/>
      <c r="S3848" s="52"/>
      <c r="T3848" s="52"/>
      <c r="U3848" s="52"/>
      <c r="V3848" s="52"/>
      <c r="W3848" s="52"/>
      <c r="X3848" s="52"/>
      <c r="Y3848" s="52"/>
      <c r="Z3848" s="52"/>
      <c r="AA3848" s="52"/>
      <c r="AB3848" s="52"/>
      <c r="AC3848" s="52"/>
      <c r="AD3848" s="52"/>
      <c r="AE3848" s="52"/>
      <c r="AF3848" s="52"/>
      <c r="AG3848" s="52"/>
      <c r="AH3848" s="52"/>
      <c r="AI3848" s="52"/>
      <c r="AJ3848" s="52"/>
      <c r="AK3848" s="52"/>
      <c r="AL3848" s="52"/>
      <c r="AM3848" s="52"/>
      <c r="AN3848" s="52"/>
    </row>
    <row r="3849" spans="1:40" x14ac:dyDescent="0.3">
      <c r="A3849" s="52">
        <v>3844</v>
      </c>
      <c r="B3849" s="52">
        <f>-bthan*500+(43+0.5)*bthan*1000/50</f>
        <v>2035</v>
      </c>
      <c r="C3849" s="52">
        <f t="shared" si="345"/>
        <v>730</v>
      </c>
      <c r="D3849" s="52">
        <f t="shared" si="346"/>
        <v>2200</v>
      </c>
      <c r="E3849" s="52">
        <f t="shared" si="347"/>
        <v>1</v>
      </c>
      <c r="F3849" s="52"/>
      <c r="G3849" s="52"/>
      <c r="H3849" s="52"/>
      <c r="I3849" s="52"/>
      <c r="J3849" s="52"/>
      <c r="K3849" s="52"/>
      <c r="L3849" s="52"/>
      <c r="M3849" s="52"/>
      <c r="N3849" s="52"/>
      <c r="O3849" s="52"/>
      <c r="P3849" s="52"/>
      <c r="Q3849" s="52"/>
      <c r="R3849" s="52"/>
      <c r="S3849" s="52"/>
      <c r="T3849" s="52"/>
      <c r="U3849" s="52"/>
      <c r="V3849" s="52"/>
      <c r="W3849" s="52"/>
      <c r="X3849" s="52"/>
      <c r="Y3849" s="52"/>
      <c r="Z3849" s="52"/>
      <c r="AA3849" s="52"/>
      <c r="AB3849" s="52"/>
      <c r="AC3849" s="52"/>
      <c r="AD3849" s="52"/>
      <c r="AE3849" s="52"/>
      <c r="AF3849" s="52"/>
      <c r="AG3849" s="52"/>
      <c r="AH3849" s="52"/>
      <c r="AI3849" s="52"/>
      <c r="AJ3849" s="52"/>
      <c r="AK3849" s="52"/>
      <c r="AL3849" s="52"/>
      <c r="AM3849" s="52"/>
      <c r="AN3849" s="52"/>
    </row>
    <row r="3850" spans="1:40" x14ac:dyDescent="0.3">
      <c r="A3850" s="52">
        <v>3845</v>
      </c>
      <c r="B3850" s="52">
        <f>-bthan*500+(44+0.5)*bthan*1000/50</f>
        <v>2145</v>
      </c>
      <c r="C3850" s="52">
        <f t="shared" si="345"/>
        <v>730</v>
      </c>
      <c r="D3850" s="52">
        <f t="shared" si="346"/>
        <v>2200</v>
      </c>
      <c r="E3850" s="52">
        <f t="shared" si="347"/>
        <v>1</v>
      </c>
      <c r="F3850" s="52"/>
      <c r="G3850" s="52"/>
      <c r="H3850" s="52"/>
      <c r="I3850" s="52"/>
      <c r="J3850" s="52"/>
      <c r="K3850" s="52"/>
      <c r="L3850" s="52"/>
      <c r="M3850" s="52"/>
      <c r="N3850" s="52"/>
      <c r="O3850" s="52"/>
      <c r="P3850" s="52"/>
      <c r="Q3850" s="52"/>
      <c r="R3850" s="52"/>
      <c r="S3850" s="52"/>
      <c r="T3850" s="52"/>
      <c r="U3850" s="52"/>
      <c r="V3850" s="52"/>
      <c r="W3850" s="52"/>
      <c r="X3850" s="52"/>
      <c r="Y3850" s="52"/>
      <c r="Z3850" s="52"/>
      <c r="AA3850" s="52"/>
      <c r="AB3850" s="52"/>
      <c r="AC3850" s="52"/>
      <c r="AD3850" s="52"/>
      <c r="AE3850" s="52"/>
      <c r="AF3850" s="52"/>
      <c r="AG3850" s="52"/>
      <c r="AH3850" s="52"/>
      <c r="AI3850" s="52"/>
      <c r="AJ3850" s="52"/>
      <c r="AK3850" s="52"/>
      <c r="AL3850" s="52"/>
      <c r="AM3850" s="52"/>
      <c r="AN3850" s="52"/>
    </row>
    <row r="3851" spans="1:40" x14ac:dyDescent="0.3">
      <c r="A3851" s="52">
        <v>3846</v>
      </c>
      <c r="B3851" s="52">
        <f>-bthan*500+(45+0.5)*bthan*1000/50</f>
        <v>2255</v>
      </c>
      <c r="C3851" s="52">
        <f t="shared" si="345"/>
        <v>730</v>
      </c>
      <c r="D3851" s="52">
        <f t="shared" si="346"/>
        <v>2200</v>
      </c>
      <c r="E3851" s="52">
        <f t="shared" si="347"/>
        <v>1</v>
      </c>
      <c r="F3851" s="52"/>
      <c r="G3851" s="52"/>
      <c r="H3851" s="52"/>
      <c r="I3851" s="52"/>
      <c r="J3851" s="52"/>
      <c r="K3851" s="52"/>
      <c r="L3851" s="52"/>
      <c r="M3851" s="52"/>
      <c r="N3851" s="52"/>
      <c r="O3851" s="52"/>
      <c r="P3851" s="52"/>
      <c r="Q3851" s="52"/>
      <c r="R3851" s="52"/>
      <c r="S3851" s="52"/>
      <c r="T3851" s="52"/>
      <c r="U3851" s="52"/>
      <c r="V3851" s="52"/>
      <c r="W3851" s="52"/>
      <c r="X3851" s="52"/>
      <c r="Y3851" s="52"/>
      <c r="Z3851" s="52"/>
      <c r="AA3851" s="52"/>
      <c r="AB3851" s="52"/>
      <c r="AC3851" s="52"/>
      <c r="AD3851" s="52"/>
      <c r="AE3851" s="52"/>
      <c r="AF3851" s="52"/>
      <c r="AG3851" s="52"/>
      <c r="AH3851" s="52"/>
      <c r="AI3851" s="52"/>
      <c r="AJ3851" s="52"/>
      <c r="AK3851" s="52"/>
      <c r="AL3851" s="52"/>
      <c r="AM3851" s="52"/>
      <c r="AN3851" s="52"/>
    </row>
    <row r="3852" spans="1:40" x14ac:dyDescent="0.3">
      <c r="A3852" s="52">
        <v>3847</v>
      </c>
      <c r="B3852" s="52">
        <f>-bthan*500+(46+0.5)*bthan*1000/50</f>
        <v>2365</v>
      </c>
      <c r="C3852" s="52">
        <f t="shared" si="345"/>
        <v>730</v>
      </c>
      <c r="D3852" s="52">
        <f t="shared" si="346"/>
        <v>2200</v>
      </c>
      <c r="E3852" s="52">
        <f t="shared" si="347"/>
        <v>0</v>
      </c>
      <c r="F3852" s="52"/>
      <c r="G3852" s="52"/>
      <c r="H3852" s="52"/>
      <c r="I3852" s="52"/>
      <c r="J3852" s="52"/>
      <c r="K3852" s="52"/>
      <c r="L3852" s="52"/>
      <c r="M3852" s="52"/>
      <c r="N3852" s="52"/>
      <c r="O3852" s="52"/>
      <c r="P3852" s="52"/>
      <c r="Q3852" s="52"/>
      <c r="R3852" s="52"/>
      <c r="S3852" s="52"/>
      <c r="T3852" s="52"/>
      <c r="U3852" s="52"/>
      <c r="V3852" s="52"/>
      <c r="W3852" s="52"/>
      <c r="X3852" s="52"/>
      <c r="Y3852" s="52"/>
      <c r="Z3852" s="52"/>
      <c r="AA3852" s="52"/>
      <c r="AB3852" s="52"/>
      <c r="AC3852" s="52"/>
      <c r="AD3852" s="52"/>
      <c r="AE3852" s="52"/>
      <c r="AF3852" s="52"/>
      <c r="AG3852" s="52"/>
      <c r="AH3852" s="52"/>
      <c r="AI3852" s="52"/>
      <c r="AJ3852" s="52"/>
      <c r="AK3852" s="52"/>
      <c r="AL3852" s="52"/>
      <c r="AM3852" s="52"/>
      <c r="AN3852" s="52"/>
    </row>
    <row r="3853" spans="1:40" x14ac:dyDescent="0.3">
      <c r="A3853" s="52">
        <v>3848</v>
      </c>
      <c r="B3853" s="52">
        <f>-bthan*500+(47+0.5)*bthan*1000/50</f>
        <v>2475</v>
      </c>
      <c r="C3853" s="52">
        <f t="shared" si="345"/>
        <v>730</v>
      </c>
      <c r="D3853" s="52">
        <f t="shared" si="346"/>
        <v>2200</v>
      </c>
      <c r="E3853" s="52">
        <f t="shared" si="347"/>
        <v>0</v>
      </c>
      <c r="F3853" s="52"/>
      <c r="G3853" s="52"/>
      <c r="H3853" s="52"/>
      <c r="I3853" s="52"/>
      <c r="J3853" s="52"/>
      <c r="K3853" s="52"/>
      <c r="L3853" s="52"/>
      <c r="M3853" s="52"/>
      <c r="N3853" s="52"/>
      <c r="O3853" s="52"/>
      <c r="P3853" s="52"/>
      <c r="Q3853" s="52"/>
      <c r="R3853" s="52"/>
      <c r="S3853" s="52"/>
      <c r="T3853" s="52"/>
      <c r="U3853" s="52"/>
      <c r="V3853" s="52"/>
      <c r="W3853" s="52"/>
      <c r="X3853" s="52"/>
      <c r="Y3853" s="52"/>
      <c r="Z3853" s="52"/>
      <c r="AA3853" s="52"/>
      <c r="AB3853" s="52"/>
      <c r="AC3853" s="52"/>
      <c r="AD3853" s="52"/>
      <c r="AE3853" s="52"/>
      <c r="AF3853" s="52"/>
      <c r="AG3853" s="52"/>
      <c r="AH3853" s="52"/>
      <c r="AI3853" s="52"/>
      <c r="AJ3853" s="52"/>
      <c r="AK3853" s="52"/>
      <c r="AL3853" s="52"/>
      <c r="AM3853" s="52"/>
      <c r="AN3853" s="52"/>
    </row>
    <row r="3854" spans="1:40" x14ac:dyDescent="0.3">
      <c r="A3854" s="52">
        <v>3849</v>
      </c>
      <c r="B3854" s="52">
        <f>-bthan*500+(48+0.5)*bthan*1000/50</f>
        <v>2585</v>
      </c>
      <c r="C3854" s="52">
        <f t="shared" si="345"/>
        <v>730</v>
      </c>
      <c r="D3854" s="52">
        <f t="shared" si="346"/>
        <v>2200</v>
      </c>
      <c r="E3854" s="52">
        <f t="shared" si="347"/>
        <v>0</v>
      </c>
      <c r="F3854" s="52"/>
      <c r="G3854" s="52"/>
      <c r="H3854" s="52"/>
      <c r="I3854" s="52"/>
      <c r="J3854" s="52"/>
      <c r="K3854" s="52"/>
      <c r="L3854" s="52"/>
      <c r="M3854" s="52"/>
      <c r="N3854" s="52"/>
      <c r="O3854" s="52"/>
      <c r="P3854" s="52"/>
      <c r="Q3854" s="52"/>
      <c r="R3854" s="52"/>
      <c r="S3854" s="52"/>
      <c r="T3854" s="52"/>
      <c r="U3854" s="52"/>
      <c r="V3854" s="52"/>
      <c r="W3854" s="52"/>
      <c r="X3854" s="52"/>
      <c r="Y3854" s="52"/>
      <c r="Z3854" s="52"/>
      <c r="AA3854" s="52"/>
      <c r="AB3854" s="52"/>
      <c r="AC3854" s="52"/>
      <c r="AD3854" s="52"/>
      <c r="AE3854" s="52"/>
      <c r="AF3854" s="52"/>
      <c r="AG3854" s="52"/>
      <c r="AH3854" s="52"/>
      <c r="AI3854" s="52"/>
      <c r="AJ3854" s="52"/>
      <c r="AK3854" s="52"/>
      <c r="AL3854" s="52"/>
      <c r="AM3854" s="52"/>
      <c r="AN3854" s="52"/>
    </row>
    <row r="3855" spans="1:40" x14ac:dyDescent="0.3">
      <c r="A3855" s="52">
        <v>3850</v>
      </c>
      <c r="B3855" s="52">
        <f>-bthan*500+(49+0.5)*bthan*1000/50</f>
        <v>2695</v>
      </c>
      <c r="C3855" s="52">
        <f t="shared" si="345"/>
        <v>730</v>
      </c>
      <c r="D3855" s="52">
        <f t="shared" si="346"/>
        <v>2200</v>
      </c>
      <c r="E3855" s="52">
        <f t="shared" si="347"/>
        <v>0</v>
      </c>
      <c r="F3855" s="52"/>
      <c r="G3855" s="52"/>
      <c r="H3855" s="52"/>
      <c r="I3855" s="52"/>
      <c r="J3855" s="52"/>
      <c r="K3855" s="52"/>
      <c r="L3855" s="52"/>
      <c r="M3855" s="52"/>
      <c r="N3855" s="52"/>
      <c r="O3855" s="52"/>
      <c r="P3855" s="52"/>
      <c r="Q3855" s="52"/>
      <c r="R3855" s="52"/>
      <c r="S3855" s="52"/>
      <c r="T3855" s="52"/>
      <c r="U3855" s="52"/>
      <c r="V3855" s="52"/>
      <c r="W3855" s="52"/>
      <c r="X3855" s="52"/>
      <c r="Y3855" s="52"/>
      <c r="Z3855" s="52"/>
      <c r="AA3855" s="52"/>
      <c r="AB3855" s="52"/>
      <c r="AC3855" s="52"/>
      <c r="AD3855" s="52"/>
      <c r="AE3855" s="52"/>
      <c r="AF3855" s="52"/>
      <c r="AG3855" s="52"/>
      <c r="AH3855" s="52"/>
      <c r="AI3855" s="52"/>
      <c r="AJ3855" s="52"/>
      <c r="AK3855" s="52"/>
      <c r="AL3855" s="52"/>
      <c r="AM3855" s="52"/>
      <c r="AN3855" s="52"/>
    </row>
    <row r="3856" spans="1:40" x14ac:dyDescent="0.3">
      <c r="A3856" s="52">
        <v>3851</v>
      </c>
      <c r="B3856" s="52">
        <f>-bthan*500+(0+0.5)*bthan*1000/50</f>
        <v>-2695</v>
      </c>
      <c r="C3856" s="52">
        <f t="shared" ref="C3856:C3887" si="348">-hthan*500+(77+0.5)*hthan*1000/80</f>
        <v>750</v>
      </c>
      <c r="D3856" s="52">
        <f t="shared" si="346"/>
        <v>2200</v>
      </c>
      <c r="E3856" s="52">
        <f t="shared" si="347"/>
        <v>0</v>
      </c>
      <c r="F3856" s="52"/>
      <c r="G3856" s="52"/>
      <c r="H3856" s="52"/>
      <c r="I3856" s="52"/>
      <c r="J3856" s="52"/>
      <c r="K3856" s="52"/>
      <c r="L3856" s="52"/>
      <c r="M3856" s="52"/>
      <c r="N3856" s="52"/>
      <c r="O3856" s="52"/>
      <c r="P3856" s="52"/>
      <c r="Q3856" s="52"/>
      <c r="R3856" s="52"/>
      <c r="S3856" s="52"/>
      <c r="T3856" s="52"/>
      <c r="U3856" s="52"/>
      <c r="V3856" s="52"/>
      <c r="W3856" s="52"/>
      <c r="X3856" s="52"/>
      <c r="Y3856" s="52"/>
      <c r="Z3856" s="52"/>
      <c r="AA3856" s="52"/>
      <c r="AB3856" s="52"/>
      <c r="AC3856" s="52"/>
      <c r="AD3856" s="52"/>
      <c r="AE3856" s="52"/>
      <c r="AF3856" s="52"/>
      <c r="AG3856" s="52"/>
      <c r="AH3856" s="52"/>
      <c r="AI3856" s="52"/>
      <c r="AJ3856" s="52"/>
      <c r="AK3856" s="52"/>
      <c r="AL3856" s="52"/>
      <c r="AM3856" s="52"/>
      <c r="AN3856" s="52"/>
    </row>
    <row r="3857" spans="1:40" x14ac:dyDescent="0.3">
      <c r="A3857" s="52">
        <v>3852</v>
      </c>
      <c r="B3857" s="52">
        <f>-bthan*500+(1+0.5)*bthan*1000/50</f>
        <v>-2585</v>
      </c>
      <c r="C3857" s="52">
        <f t="shared" si="348"/>
        <v>750</v>
      </c>
      <c r="D3857" s="52">
        <f t="shared" si="346"/>
        <v>2200</v>
      </c>
      <c r="E3857" s="52">
        <f t="shared" si="347"/>
        <v>0</v>
      </c>
      <c r="F3857" s="52"/>
      <c r="G3857" s="52"/>
      <c r="H3857" s="52"/>
      <c r="I3857" s="52"/>
      <c r="J3857" s="52"/>
      <c r="K3857" s="52"/>
      <c r="L3857" s="52"/>
      <c r="M3857" s="52"/>
      <c r="N3857" s="52"/>
      <c r="O3857" s="52"/>
      <c r="P3857" s="52"/>
      <c r="Q3857" s="52"/>
      <c r="R3857" s="52"/>
      <c r="S3857" s="52"/>
      <c r="T3857" s="52"/>
      <c r="U3857" s="52"/>
      <c r="V3857" s="52"/>
      <c r="W3857" s="52"/>
      <c r="X3857" s="52"/>
      <c r="Y3857" s="52"/>
      <c r="Z3857" s="52"/>
      <c r="AA3857" s="52"/>
      <c r="AB3857" s="52"/>
      <c r="AC3857" s="52"/>
      <c r="AD3857" s="52"/>
      <c r="AE3857" s="52"/>
      <c r="AF3857" s="52"/>
      <c r="AG3857" s="52"/>
      <c r="AH3857" s="52"/>
      <c r="AI3857" s="52"/>
      <c r="AJ3857" s="52"/>
      <c r="AK3857" s="52"/>
      <c r="AL3857" s="52"/>
      <c r="AM3857" s="52"/>
      <c r="AN3857" s="52"/>
    </row>
    <row r="3858" spans="1:40" x14ac:dyDescent="0.3">
      <c r="A3858" s="52">
        <v>3853</v>
      </c>
      <c r="B3858" s="52">
        <f>-bthan*500+(2+0.5)*bthan*1000/50</f>
        <v>-2475</v>
      </c>
      <c r="C3858" s="52">
        <f t="shared" si="348"/>
        <v>750</v>
      </c>
      <c r="D3858" s="52">
        <f t="shared" si="346"/>
        <v>2200</v>
      </c>
      <c r="E3858" s="52">
        <f t="shared" si="347"/>
        <v>0</v>
      </c>
      <c r="F3858" s="52"/>
      <c r="G3858" s="52"/>
      <c r="H3858" s="52"/>
      <c r="I3858" s="52"/>
      <c r="J3858" s="52"/>
      <c r="K3858" s="52"/>
      <c r="L3858" s="52"/>
      <c r="M3858" s="52"/>
      <c r="N3858" s="52"/>
      <c r="O3858" s="52"/>
      <c r="P3858" s="52"/>
      <c r="Q3858" s="52"/>
      <c r="R3858" s="52"/>
      <c r="S3858" s="52"/>
      <c r="T3858" s="52"/>
      <c r="U3858" s="52"/>
      <c r="V3858" s="52"/>
      <c r="W3858" s="52"/>
      <c r="X3858" s="52"/>
      <c r="Y3858" s="52"/>
      <c r="Z3858" s="52"/>
      <c r="AA3858" s="52"/>
      <c r="AB3858" s="52"/>
      <c r="AC3858" s="52"/>
      <c r="AD3858" s="52"/>
      <c r="AE3858" s="52"/>
      <c r="AF3858" s="52"/>
      <c r="AG3858" s="52"/>
      <c r="AH3858" s="52"/>
      <c r="AI3858" s="52"/>
      <c r="AJ3858" s="52"/>
      <c r="AK3858" s="52"/>
      <c r="AL3858" s="52"/>
      <c r="AM3858" s="52"/>
      <c r="AN3858" s="52"/>
    </row>
    <row r="3859" spans="1:40" x14ac:dyDescent="0.3">
      <c r="A3859" s="52">
        <v>3854</v>
      </c>
      <c r="B3859" s="52">
        <f>-bthan*500+(3+0.5)*bthan*1000/50</f>
        <v>-2365</v>
      </c>
      <c r="C3859" s="52">
        <f t="shared" si="348"/>
        <v>750</v>
      </c>
      <c r="D3859" s="52">
        <f t="shared" si="346"/>
        <v>2200</v>
      </c>
      <c r="E3859" s="52">
        <f t="shared" si="347"/>
        <v>0</v>
      </c>
      <c r="F3859" s="52"/>
      <c r="G3859" s="52"/>
      <c r="H3859" s="52"/>
      <c r="I3859" s="52"/>
      <c r="J3859" s="52"/>
      <c r="K3859" s="52"/>
      <c r="L3859" s="52"/>
      <c r="M3859" s="52"/>
      <c r="N3859" s="52"/>
      <c r="O3859" s="52"/>
      <c r="P3859" s="52"/>
      <c r="Q3859" s="52"/>
      <c r="R3859" s="52"/>
      <c r="S3859" s="52"/>
      <c r="T3859" s="52"/>
      <c r="U3859" s="52"/>
      <c r="V3859" s="52"/>
      <c r="W3859" s="52"/>
      <c r="X3859" s="52"/>
      <c r="Y3859" s="52"/>
      <c r="Z3859" s="52"/>
      <c r="AA3859" s="52"/>
      <c r="AB3859" s="52"/>
      <c r="AC3859" s="52"/>
      <c r="AD3859" s="52"/>
      <c r="AE3859" s="52"/>
      <c r="AF3859" s="52"/>
      <c r="AG3859" s="52"/>
      <c r="AH3859" s="52"/>
      <c r="AI3859" s="52"/>
      <c r="AJ3859" s="52"/>
      <c r="AK3859" s="52"/>
      <c r="AL3859" s="52"/>
      <c r="AM3859" s="52"/>
      <c r="AN3859" s="52"/>
    </row>
    <row r="3860" spans="1:40" x14ac:dyDescent="0.3">
      <c r="A3860" s="52">
        <v>3855</v>
      </c>
      <c r="B3860" s="52">
        <f>-bthan*500+(4+0.5)*bthan*1000/50</f>
        <v>-2255</v>
      </c>
      <c r="C3860" s="52">
        <f t="shared" si="348"/>
        <v>750</v>
      </c>
      <c r="D3860" s="52">
        <f t="shared" si="346"/>
        <v>2200</v>
      </c>
      <c r="E3860" s="52">
        <f t="shared" si="347"/>
        <v>0</v>
      </c>
      <c r="F3860" s="52"/>
      <c r="G3860" s="52"/>
      <c r="H3860" s="52"/>
      <c r="I3860" s="52"/>
      <c r="J3860" s="52"/>
      <c r="K3860" s="52"/>
      <c r="L3860" s="52"/>
      <c r="M3860" s="52"/>
      <c r="N3860" s="52"/>
      <c r="O3860" s="52"/>
      <c r="P3860" s="52"/>
      <c r="Q3860" s="52"/>
      <c r="R3860" s="52"/>
      <c r="S3860" s="52"/>
      <c r="T3860" s="52"/>
      <c r="U3860" s="52"/>
      <c r="V3860" s="52"/>
      <c r="W3860" s="52"/>
      <c r="X3860" s="52"/>
      <c r="Y3860" s="52"/>
      <c r="Z3860" s="52"/>
      <c r="AA3860" s="52"/>
      <c r="AB3860" s="52"/>
      <c r="AC3860" s="52"/>
      <c r="AD3860" s="52"/>
      <c r="AE3860" s="52"/>
      <c r="AF3860" s="52"/>
      <c r="AG3860" s="52"/>
      <c r="AH3860" s="52"/>
      <c r="AI3860" s="52"/>
      <c r="AJ3860" s="52"/>
      <c r="AK3860" s="52"/>
      <c r="AL3860" s="52"/>
      <c r="AM3860" s="52"/>
      <c r="AN3860" s="52"/>
    </row>
    <row r="3861" spans="1:40" x14ac:dyDescent="0.3">
      <c r="A3861" s="52">
        <v>3856</v>
      </c>
      <c r="B3861" s="52">
        <f>-bthan*500+(5+0.5)*bthan*1000/50</f>
        <v>-2145</v>
      </c>
      <c r="C3861" s="52">
        <f t="shared" si="348"/>
        <v>750</v>
      </c>
      <c r="D3861" s="52">
        <f t="shared" si="346"/>
        <v>2200</v>
      </c>
      <c r="E3861" s="52">
        <f t="shared" si="347"/>
        <v>1</v>
      </c>
      <c r="F3861" s="52"/>
      <c r="G3861" s="52"/>
      <c r="H3861" s="52"/>
      <c r="I3861" s="52"/>
      <c r="J3861" s="52"/>
      <c r="K3861" s="52"/>
      <c r="L3861" s="52"/>
      <c r="M3861" s="52"/>
      <c r="N3861" s="52"/>
      <c r="O3861" s="52"/>
      <c r="P3861" s="52"/>
      <c r="Q3861" s="52"/>
      <c r="R3861" s="52"/>
      <c r="S3861" s="52"/>
      <c r="T3861" s="52"/>
      <c r="U3861" s="52"/>
      <c r="V3861" s="52"/>
      <c r="W3861" s="52"/>
      <c r="X3861" s="52"/>
      <c r="Y3861" s="52"/>
      <c r="Z3861" s="52"/>
      <c r="AA3861" s="52"/>
      <c r="AB3861" s="52"/>
      <c r="AC3861" s="52"/>
      <c r="AD3861" s="52"/>
      <c r="AE3861" s="52"/>
      <c r="AF3861" s="52"/>
      <c r="AG3861" s="52"/>
      <c r="AH3861" s="52"/>
      <c r="AI3861" s="52"/>
      <c r="AJ3861" s="52"/>
      <c r="AK3861" s="52"/>
      <c r="AL3861" s="52"/>
      <c r="AM3861" s="52"/>
      <c r="AN3861" s="52"/>
    </row>
    <row r="3862" spans="1:40" x14ac:dyDescent="0.3">
      <c r="A3862" s="52">
        <v>3857</v>
      </c>
      <c r="B3862" s="52">
        <f>-bthan*500+(6+0.5)*bthan*1000/50</f>
        <v>-2035</v>
      </c>
      <c r="C3862" s="52">
        <f t="shared" si="348"/>
        <v>750</v>
      </c>
      <c r="D3862" s="52">
        <f t="shared" si="346"/>
        <v>2200</v>
      </c>
      <c r="E3862" s="52">
        <f t="shared" si="347"/>
        <v>1</v>
      </c>
      <c r="F3862" s="52"/>
      <c r="G3862" s="52"/>
      <c r="H3862" s="52"/>
      <c r="I3862" s="52"/>
      <c r="J3862" s="52"/>
      <c r="K3862" s="52"/>
      <c r="L3862" s="52"/>
      <c r="M3862" s="52"/>
      <c r="N3862" s="52"/>
      <c r="O3862" s="52"/>
      <c r="P3862" s="52"/>
      <c r="Q3862" s="52"/>
      <c r="R3862" s="52"/>
      <c r="S3862" s="52"/>
      <c r="T3862" s="52"/>
      <c r="U3862" s="52"/>
      <c r="V3862" s="52"/>
      <c r="W3862" s="52"/>
      <c r="X3862" s="52"/>
      <c r="Y3862" s="52"/>
      <c r="Z3862" s="52"/>
      <c r="AA3862" s="52"/>
      <c r="AB3862" s="52"/>
      <c r="AC3862" s="52"/>
      <c r="AD3862" s="52"/>
      <c r="AE3862" s="52"/>
      <c r="AF3862" s="52"/>
      <c r="AG3862" s="52"/>
      <c r="AH3862" s="52"/>
      <c r="AI3862" s="52"/>
      <c r="AJ3862" s="52"/>
      <c r="AK3862" s="52"/>
      <c r="AL3862" s="52"/>
      <c r="AM3862" s="52"/>
      <c r="AN3862" s="52"/>
    </row>
    <row r="3863" spans="1:40" x14ac:dyDescent="0.3">
      <c r="A3863" s="52">
        <v>3858</v>
      </c>
      <c r="B3863" s="52">
        <f>-bthan*500+(7+0.5)*bthan*1000/50</f>
        <v>-1925</v>
      </c>
      <c r="C3863" s="52">
        <f t="shared" si="348"/>
        <v>750</v>
      </c>
      <c r="D3863" s="52">
        <f t="shared" si="346"/>
        <v>2200</v>
      </c>
      <c r="E3863" s="52">
        <f t="shared" si="347"/>
        <v>1</v>
      </c>
      <c r="F3863" s="52"/>
      <c r="G3863" s="52"/>
      <c r="H3863" s="52"/>
      <c r="I3863" s="52"/>
      <c r="J3863" s="52"/>
      <c r="K3863" s="52"/>
      <c r="L3863" s="52"/>
      <c r="M3863" s="52"/>
      <c r="N3863" s="52"/>
      <c r="O3863" s="52"/>
      <c r="P3863" s="52"/>
      <c r="Q3863" s="52"/>
      <c r="R3863" s="52"/>
      <c r="S3863" s="52"/>
      <c r="T3863" s="52"/>
      <c r="U3863" s="52"/>
      <c r="V3863" s="52"/>
      <c r="W3863" s="52"/>
      <c r="X3863" s="52"/>
      <c r="Y3863" s="52"/>
      <c r="Z3863" s="52"/>
      <c r="AA3863" s="52"/>
      <c r="AB3863" s="52"/>
      <c r="AC3863" s="52"/>
      <c r="AD3863" s="52"/>
      <c r="AE3863" s="52"/>
      <c r="AF3863" s="52"/>
      <c r="AG3863" s="52"/>
      <c r="AH3863" s="52"/>
      <c r="AI3863" s="52"/>
      <c r="AJ3863" s="52"/>
      <c r="AK3863" s="52"/>
      <c r="AL3863" s="52"/>
      <c r="AM3863" s="52"/>
      <c r="AN3863" s="52"/>
    </row>
    <row r="3864" spans="1:40" x14ac:dyDescent="0.3">
      <c r="A3864" s="52">
        <v>3859</v>
      </c>
      <c r="B3864" s="52">
        <f>-bthan*500+(8+0.5)*bthan*1000/50</f>
        <v>-1815</v>
      </c>
      <c r="C3864" s="52">
        <f t="shared" si="348"/>
        <v>750</v>
      </c>
      <c r="D3864" s="52">
        <f t="shared" si="346"/>
        <v>2200</v>
      </c>
      <c r="E3864" s="52">
        <f t="shared" si="347"/>
        <v>1</v>
      </c>
      <c r="F3864" s="52"/>
      <c r="G3864" s="52"/>
      <c r="H3864" s="52"/>
      <c r="I3864" s="52"/>
      <c r="J3864" s="52"/>
      <c r="K3864" s="52"/>
      <c r="L3864" s="52"/>
      <c r="M3864" s="52"/>
      <c r="N3864" s="52"/>
      <c r="O3864" s="52"/>
      <c r="P3864" s="52"/>
      <c r="Q3864" s="52"/>
      <c r="R3864" s="52"/>
      <c r="S3864" s="52"/>
      <c r="T3864" s="52"/>
      <c r="U3864" s="52"/>
      <c r="V3864" s="52"/>
      <c r="W3864" s="52"/>
      <c r="X3864" s="52"/>
      <c r="Y3864" s="52"/>
      <c r="Z3864" s="52"/>
      <c r="AA3864" s="52"/>
      <c r="AB3864" s="52"/>
      <c r="AC3864" s="52"/>
      <c r="AD3864" s="52"/>
      <c r="AE3864" s="52"/>
      <c r="AF3864" s="52"/>
      <c r="AG3864" s="52"/>
      <c r="AH3864" s="52"/>
      <c r="AI3864" s="52"/>
      <c r="AJ3864" s="52"/>
      <c r="AK3864" s="52"/>
      <c r="AL3864" s="52"/>
      <c r="AM3864" s="52"/>
      <c r="AN3864" s="52"/>
    </row>
    <row r="3865" spans="1:40" x14ac:dyDescent="0.3">
      <c r="A3865" s="52">
        <v>3860</v>
      </c>
      <c r="B3865" s="52">
        <f>-bthan*500+(9+0.5)*bthan*1000/50</f>
        <v>-1705</v>
      </c>
      <c r="C3865" s="52">
        <f t="shared" si="348"/>
        <v>750</v>
      </c>
      <c r="D3865" s="52">
        <f t="shared" si="346"/>
        <v>2200</v>
      </c>
      <c r="E3865" s="52">
        <f t="shared" si="347"/>
        <v>1</v>
      </c>
      <c r="F3865" s="52"/>
      <c r="G3865" s="52"/>
      <c r="H3865" s="52"/>
      <c r="I3865" s="52"/>
      <c r="J3865" s="52"/>
      <c r="K3865" s="52"/>
      <c r="L3865" s="52"/>
      <c r="M3865" s="52"/>
      <c r="N3865" s="52"/>
      <c r="O3865" s="52"/>
      <c r="P3865" s="52"/>
      <c r="Q3865" s="52"/>
      <c r="R3865" s="52"/>
      <c r="S3865" s="52"/>
      <c r="T3865" s="52"/>
      <c r="U3865" s="52"/>
      <c r="V3865" s="52"/>
      <c r="W3865" s="52"/>
      <c r="X3865" s="52"/>
      <c r="Y3865" s="52"/>
      <c r="Z3865" s="52"/>
      <c r="AA3865" s="52"/>
      <c r="AB3865" s="52"/>
      <c r="AC3865" s="52"/>
      <c r="AD3865" s="52"/>
      <c r="AE3865" s="52"/>
      <c r="AF3865" s="52"/>
      <c r="AG3865" s="52"/>
      <c r="AH3865" s="52"/>
      <c r="AI3865" s="52"/>
      <c r="AJ3865" s="52"/>
      <c r="AK3865" s="52"/>
      <c r="AL3865" s="52"/>
      <c r="AM3865" s="52"/>
      <c r="AN3865" s="52"/>
    </row>
    <row r="3866" spans="1:40" x14ac:dyDescent="0.3">
      <c r="A3866" s="52">
        <v>3861</v>
      </c>
      <c r="B3866" s="52">
        <f>-bthan*500+(10+0.5)*bthan*1000/50</f>
        <v>-1595</v>
      </c>
      <c r="C3866" s="52">
        <f t="shared" si="348"/>
        <v>750</v>
      </c>
      <c r="D3866" s="52">
        <f t="shared" si="346"/>
        <v>2200</v>
      </c>
      <c r="E3866" s="52">
        <f t="shared" si="347"/>
        <v>1</v>
      </c>
      <c r="F3866" s="52"/>
      <c r="G3866" s="52"/>
      <c r="H3866" s="52"/>
      <c r="I3866" s="52"/>
      <c r="J3866" s="52"/>
      <c r="K3866" s="52"/>
      <c r="L3866" s="52"/>
      <c r="M3866" s="52"/>
      <c r="N3866" s="52"/>
      <c r="O3866" s="52"/>
      <c r="P3866" s="52"/>
      <c r="Q3866" s="52"/>
      <c r="R3866" s="52"/>
      <c r="S3866" s="52"/>
      <c r="T3866" s="52"/>
      <c r="U3866" s="52"/>
      <c r="V3866" s="52"/>
      <c r="W3866" s="52"/>
      <c r="X3866" s="52"/>
      <c r="Y3866" s="52"/>
      <c r="Z3866" s="52"/>
      <c r="AA3866" s="52"/>
      <c r="AB3866" s="52"/>
      <c r="AC3866" s="52"/>
      <c r="AD3866" s="52"/>
      <c r="AE3866" s="52"/>
      <c r="AF3866" s="52"/>
      <c r="AG3866" s="52"/>
      <c r="AH3866" s="52"/>
      <c r="AI3866" s="52"/>
      <c r="AJ3866" s="52"/>
      <c r="AK3866" s="52"/>
      <c r="AL3866" s="52"/>
      <c r="AM3866" s="52"/>
      <c r="AN3866" s="52"/>
    </row>
    <row r="3867" spans="1:40" x14ac:dyDescent="0.3">
      <c r="A3867" s="52">
        <v>3862</v>
      </c>
      <c r="B3867" s="52">
        <f>-bthan*500+(11+0.5)*bthan*1000/50</f>
        <v>-1485</v>
      </c>
      <c r="C3867" s="52">
        <f t="shared" si="348"/>
        <v>750</v>
      </c>
      <c r="D3867" s="52">
        <f t="shared" si="346"/>
        <v>2200</v>
      </c>
      <c r="E3867" s="52">
        <f t="shared" si="347"/>
        <v>1</v>
      </c>
      <c r="F3867" s="52"/>
      <c r="G3867" s="52"/>
      <c r="H3867" s="52"/>
      <c r="I3867" s="52"/>
      <c r="J3867" s="52"/>
      <c r="K3867" s="52"/>
      <c r="L3867" s="52"/>
      <c r="M3867" s="52"/>
      <c r="N3867" s="52"/>
      <c r="O3867" s="52"/>
      <c r="P3867" s="52"/>
      <c r="Q3867" s="52"/>
      <c r="R3867" s="52"/>
      <c r="S3867" s="52"/>
      <c r="T3867" s="52"/>
      <c r="U3867" s="52"/>
      <c r="V3867" s="52"/>
      <c r="W3867" s="52"/>
      <c r="X3867" s="52"/>
      <c r="Y3867" s="52"/>
      <c r="Z3867" s="52"/>
      <c r="AA3867" s="52"/>
      <c r="AB3867" s="52"/>
      <c r="AC3867" s="52"/>
      <c r="AD3867" s="52"/>
      <c r="AE3867" s="52"/>
      <c r="AF3867" s="52"/>
      <c r="AG3867" s="52"/>
      <c r="AH3867" s="52"/>
      <c r="AI3867" s="52"/>
      <c r="AJ3867" s="52"/>
      <c r="AK3867" s="52"/>
      <c r="AL3867" s="52"/>
      <c r="AM3867" s="52"/>
      <c r="AN3867" s="52"/>
    </row>
    <row r="3868" spans="1:40" x14ac:dyDescent="0.3">
      <c r="A3868" s="52">
        <v>3863</v>
      </c>
      <c r="B3868" s="52">
        <f>-bthan*500+(12+0.5)*bthan*1000/50</f>
        <v>-1375</v>
      </c>
      <c r="C3868" s="52">
        <f t="shared" si="348"/>
        <v>750</v>
      </c>
      <c r="D3868" s="52">
        <f t="shared" si="346"/>
        <v>2200</v>
      </c>
      <c r="E3868" s="52">
        <f t="shared" si="347"/>
        <v>1</v>
      </c>
      <c r="F3868" s="52"/>
      <c r="G3868" s="52"/>
      <c r="H3868" s="52"/>
      <c r="I3868" s="52"/>
      <c r="J3868" s="52"/>
      <c r="K3868" s="52"/>
      <c r="L3868" s="52"/>
      <c r="M3868" s="52"/>
      <c r="N3868" s="52"/>
      <c r="O3868" s="52"/>
      <c r="P3868" s="52"/>
      <c r="Q3868" s="52"/>
      <c r="R3868" s="52"/>
      <c r="S3868" s="52"/>
      <c r="T3868" s="52"/>
      <c r="U3868" s="52"/>
      <c r="V3868" s="52"/>
      <c r="W3868" s="52"/>
      <c r="X3868" s="52"/>
      <c r="Y3868" s="52"/>
      <c r="Z3868" s="52"/>
      <c r="AA3868" s="52"/>
      <c r="AB3868" s="52"/>
      <c r="AC3868" s="52"/>
      <c r="AD3868" s="52"/>
      <c r="AE3868" s="52"/>
      <c r="AF3868" s="52"/>
      <c r="AG3868" s="52"/>
      <c r="AH3868" s="52"/>
      <c r="AI3868" s="52"/>
      <c r="AJ3868" s="52"/>
      <c r="AK3868" s="52"/>
      <c r="AL3868" s="52"/>
      <c r="AM3868" s="52"/>
      <c r="AN3868" s="52"/>
    </row>
    <row r="3869" spans="1:40" x14ac:dyDescent="0.3">
      <c r="A3869" s="52">
        <v>3864</v>
      </c>
      <c r="B3869" s="52">
        <f>-bthan*500+(13+0.5)*bthan*1000/50</f>
        <v>-1265</v>
      </c>
      <c r="C3869" s="52">
        <f t="shared" si="348"/>
        <v>750</v>
      </c>
      <c r="D3869" s="52">
        <f t="shared" si="346"/>
        <v>2200</v>
      </c>
      <c r="E3869" s="52">
        <f t="shared" si="347"/>
        <v>1</v>
      </c>
      <c r="F3869" s="52"/>
      <c r="G3869" s="52"/>
      <c r="H3869" s="52"/>
      <c r="I3869" s="52"/>
      <c r="J3869" s="52"/>
      <c r="K3869" s="52"/>
      <c r="L3869" s="52"/>
      <c r="M3869" s="52"/>
      <c r="N3869" s="52"/>
      <c r="O3869" s="52"/>
      <c r="P3869" s="52"/>
      <c r="Q3869" s="52"/>
      <c r="R3869" s="52"/>
      <c r="S3869" s="52"/>
      <c r="T3869" s="52"/>
      <c r="U3869" s="52"/>
      <c r="V3869" s="52"/>
      <c r="W3869" s="52"/>
      <c r="X3869" s="52"/>
      <c r="Y3869" s="52"/>
      <c r="Z3869" s="52"/>
      <c r="AA3869" s="52"/>
      <c r="AB3869" s="52"/>
      <c r="AC3869" s="52"/>
      <c r="AD3869" s="52"/>
      <c r="AE3869" s="52"/>
      <c r="AF3869" s="52"/>
      <c r="AG3869" s="52"/>
      <c r="AH3869" s="52"/>
      <c r="AI3869" s="52"/>
      <c r="AJ3869" s="52"/>
      <c r="AK3869" s="52"/>
      <c r="AL3869" s="52"/>
      <c r="AM3869" s="52"/>
      <c r="AN3869" s="52"/>
    </row>
    <row r="3870" spans="1:40" x14ac:dyDescent="0.3">
      <c r="A3870" s="52">
        <v>3865</v>
      </c>
      <c r="B3870" s="52">
        <f>-bthan*500+(14+0.5)*bthan*1000/50</f>
        <v>-1155</v>
      </c>
      <c r="C3870" s="52">
        <f t="shared" si="348"/>
        <v>750</v>
      </c>
      <c r="D3870" s="52">
        <f t="shared" si="346"/>
        <v>2200</v>
      </c>
      <c r="E3870" s="52">
        <f t="shared" si="347"/>
        <v>1</v>
      </c>
      <c r="F3870" s="52"/>
      <c r="G3870" s="52"/>
      <c r="H3870" s="52"/>
      <c r="I3870" s="52"/>
      <c r="J3870" s="52"/>
      <c r="K3870" s="52"/>
      <c r="L3870" s="52"/>
      <c r="M3870" s="52"/>
      <c r="N3870" s="52"/>
      <c r="O3870" s="52"/>
      <c r="P3870" s="52"/>
      <c r="Q3870" s="52"/>
      <c r="R3870" s="52"/>
      <c r="S3870" s="52"/>
      <c r="T3870" s="52"/>
      <c r="U3870" s="52"/>
      <c r="V3870" s="52"/>
      <c r="W3870" s="52"/>
      <c r="X3870" s="52"/>
      <c r="Y3870" s="52"/>
      <c r="Z3870" s="52"/>
      <c r="AA3870" s="52"/>
      <c r="AB3870" s="52"/>
      <c r="AC3870" s="52"/>
      <c r="AD3870" s="52"/>
      <c r="AE3870" s="52"/>
      <c r="AF3870" s="52"/>
      <c r="AG3870" s="52"/>
      <c r="AH3870" s="52"/>
      <c r="AI3870" s="52"/>
      <c r="AJ3870" s="52"/>
      <c r="AK3870" s="52"/>
      <c r="AL3870" s="52"/>
      <c r="AM3870" s="52"/>
      <c r="AN3870" s="52"/>
    </row>
    <row r="3871" spans="1:40" x14ac:dyDescent="0.3">
      <c r="A3871" s="52">
        <v>3866</v>
      </c>
      <c r="B3871" s="52">
        <f>-bthan*500+(15+0.5)*bthan*1000/50</f>
        <v>-1045</v>
      </c>
      <c r="C3871" s="52">
        <f t="shared" si="348"/>
        <v>750</v>
      </c>
      <c r="D3871" s="52">
        <f t="shared" si="346"/>
        <v>2200</v>
      </c>
      <c r="E3871" s="52">
        <f t="shared" si="347"/>
        <v>1</v>
      </c>
      <c r="F3871" s="52"/>
      <c r="G3871" s="52"/>
      <c r="H3871" s="52"/>
      <c r="I3871" s="52"/>
      <c r="J3871" s="52"/>
      <c r="K3871" s="52"/>
      <c r="L3871" s="52"/>
      <c r="M3871" s="52"/>
      <c r="N3871" s="52"/>
      <c r="O3871" s="52"/>
      <c r="P3871" s="52"/>
      <c r="Q3871" s="52"/>
      <c r="R3871" s="52"/>
      <c r="S3871" s="52"/>
      <c r="T3871" s="52"/>
      <c r="U3871" s="52"/>
      <c r="V3871" s="52"/>
      <c r="W3871" s="52"/>
      <c r="X3871" s="52"/>
      <c r="Y3871" s="52"/>
      <c r="Z3871" s="52"/>
      <c r="AA3871" s="52"/>
      <c r="AB3871" s="52"/>
      <c r="AC3871" s="52"/>
      <c r="AD3871" s="52"/>
      <c r="AE3871" s="52"/>
      <c r="AF3871" s="52"/>
      <c r="AG3871" s="52"/>
      <c r="AH3871" s="52"/>
      <c r="AI3871" s="52"/>
      <c r="AJ3871" s="52"/>
      <c r="AK3871" s="52"/>
      <c r="AL3871" s="52"/>
      <c r="AM3871" s="52"/>
      <c r="AN3871" s="52"/>
    </row>
    <row r="3872" spans="1:40" x14ac:dyDescent="0.3">
      <c r="A3872" s="52">
        <v>3867</v>
      </c>
      <c r="B3872" s="52">
        <f>-bthan*500+(16+0.5)*bthan*1000/50</f>
        <v>-935</v>
      </c>
      <c r="C3872" s="52">
        <f t="shared" si="348"/>
        <v>750</v>
      </c>
      <c r="D3872" s="52">
        <f t="shared" si="346"/>
        <v>2200</v>
      </c>
      <c r="E3872" s="52">
        <f t="shared" si="347"/>
        <v>1</v>
      </c>
      <c r="F3872" s="52"/>
      <c r="G3872" s="52"/>
      <c r="H3872" s="52"/>
      <c r="I3872" s="52"/>
      <c r="J3872" s="52"/>
      <c r="K3872" s="52"/>
      <c r="L3872" s="52"/>
      <c r="M3872" s="52"/>
      <c r="N3872" s="52"/>
      <c r="O3872" s="52"/>
      <c r="P3872" s="52"/>
      <c r="Q3872" s="52"/>
      <c r="R3872" s="52"/>
      <c r="S3872" s="52"/>
      <c r="T3872" s="52"/>
      <c r="U3872" s="52"/>
      <c r="V3872" s="52"/>
      <c r="W3872" s="52"/>
      <c r="X3872" s="52"/>
      <c r="Y3872" s="52"/>
      <c r="Z3872" s="52"/>
      <c r="AA3872" s="52"/>
      <c r="AB3872" s="52"/>
      <c r="AC3872" s="52"/>
      <c r="AD3872" s="52"/>
      <c r="AE3872" s="52"/>
      <c r="AF3872" s="52"/>
      <c r="AG3872" s="52"/>
      <c r="AH3872" s="52"/>
      <c r="AI3872" s="52"/>
      <c r="AJ3872" s="52"/>
      <c r="AK3872" s="52"/>
      <c r="AL3872" s="52"/>
      <c r="AM3872" s="52"/>
      <c r="AN3872" s="52"/>
    </row>
    <row r="3873" spans="1:40" x14ac:dyDescent="0.3">
      <c r="A3873" s="52">
        <v>3868</v>
      </c>
      <c r="B3873" s="52">
        <f>-bthan*500+(17+0.5)*bthan*1000/50</f>
        <v>-825</v>
      </c>
      <c r="C3873" s="52">
        <f t="shared" si="348"/>
        <v>750</v>
      </c>
      <c r="D3873" s="52">
        <f t="shared" si="346"/>
        <v>2200</v>
      </c>
      <c r="E3873" s="52">
        <f t="shared" si="347"/>
        <v>1</v>
      </c>
      <c r="F3873" s="52"/>
      <c r="G3873" s="52"/>
      <c r="H3873" s="52"/>
      <c r="I3873" s="52"/>
      <c r="J3873" s="52"/>
      <c r="K3873" s="52"/>
      <c r="L3873" s="52"/>
      <c r="M3873" s="52"/>
      <c r="N3873" s="52"/>
      <c r="O3873" s="52"/>
      <c r="P3873" s="52"/>
      <c r="Q3873" s="52"/>
      <c r="R3873" s="52"/>
      <c r="S3873" s="52"/>
      <c r="T3873" s="52"/>
      <c r="U3873" s="52"/>
      <c r="V3873" s="52"/>
      <c r="W3873" s="52"/>
      <c r="X3873" s="52"/>
      <c r="Y3873" s="52"/>
      <c r="Z3873" s="52"/>
      <c r="AA3873" s="52"/>
      <c r="AB3873" s="52"/>
      <c r="AC3873" s="52"/>
      <c r="AD3873" s="52"/>
      <c r="AE3873" s="52"/>
      <c r="AF3873" s="52"/>
      <c r="AG3873" s="52"/>
      <c r="AH3873" s="52"/>
      <c r="AI3873" s="52"/>
      <c r="AJ3873" s="52"/>
      <c r="AK3873" s="52"/>
      <c r="AL3873" s="52"/>
      <c r="AM3873" s="52"/>
      <c r="AN3873" s="52"/>
    </row>
    <row r="3874" spans="1:40" x14ac:dyDescent="0.3">
      <c r="A3874" s="52">
        <v>3869</v>
      </c>
      <c r="B3874" s="52">
        <f>-bthan*500+(18+0.5)*bthan*1000/50</f>
        <v>-715</v>
      </c>
      <c r="C3874" s="52">
        <f t="shared" si="348"/>
        <v>750</v>
      </c>
      <c r="D3874" s="52">
        <f t="shared" si="346"/>
        <v>2200</v>
      </c>
      <c r="E3874" s="52">
        <f t="shared" si="347"/>
        <v>1</v>
      </c>
      <c r="F3874" s="52"/>
      <c r="G3874" s="52"/>
      <c r="H3874" s="52"/>
      <c r="I3874" s="52"/>
      <c r="J3874" s="52"/>
      <c r="K3874" s="52"/>
      <c r="L3874" s="52"/>
      <c r="M3874" s="52"/>
      <c r="N3874" s="52"/>
      <c r="O3874" s="52"/>
      <c r="P3874" s="52"/>
      <c r="Q3874" s="52"/>
      <c r="R3874" s="52"/>
      <c r="S3874" s="52"/>
      <c r="T3874" s="52"/>
      <c r="U3874" s="52"/>
      <c r="V3874" s="52"/>
      <c r="W3874" s="52"/>
      <c r="X3874" s="52"/>
      <c r="Y3874" s="52"/>
      <c r="Z3874" s="52"/>
      <c r="AA3874" s="52"/>
      <c r="AB3874" s="52"/>
      <c r="AC3874" s="52"/>
      <c r="AD3874" s="52"/>
      <c r="AE3874" s="52"/>
      <c r="AF3874" s="52"/>
      <c r="AG3874" s="52"/>
      <c r="AH3874" s="52"/>
      <c r="AI3874" s="52"/>
      <c r="AJ3874" s="52"/>
      <c r="AK3874" s="52"/>
      <c r="AL3874" s="52"/>
      <c r="AM3874" s="52"/>
      <c r="AN3874" s="52"/>
    </row>
    <row r="3875" spans="1:40" x14ac:dyDescent="0.3">
      <c r="A3875" s="52">
        <v>3870</v>
      </c>
      <c r="B3875" s="52">
        <f>-bthan*500+(19+0.5)*bthan*1000/50</f>
        <v>-605</v>
      </c>
      <c r="C3875" s="52">
        <f t="shared" si="348"/>
        <v>750</v>
      </c>
      <c r="D3875" s="52">
        <f t="shared" si="346"/>
        <v>2200</v>
      </c>
      <c r="E3875" s="52">
        <f t="shared" si="347"/>
        <v>1</v>
      </c>
      <c r="F3875" s="52"/>
      <c r="G3875" s="52"/>
      <c r="H3875" s="52"/>
      <c r="I3875" s="52"/>
      <c r="J3875" s="52"/>
      <c r="K3875" s="52"/>
      <c r="L3875" s="52"/>
      <c r="M3875" s="52"/>
      <c r="N3875" s="52"/>
      <c r="O3875" s="52"/>
      <c r="P3875" s="52"/>
      <c r="Q3875" s="52"/>
      <c r="R3875" s="52"/>
      <c r="S3875" s="52"/>
      <c r="T3875" s="52"/>
      <c r="U3875" s="52"/>
      <c r="V3875" s="52"/>
      <c r="W3875" s="52"/>
      <c r="X3875" s="52"/>
      <c r="Y3875" s="52"/>
      <c r="Z3875" s="52"/>
      <c r="AA3875" s="52"/>
      <c r="AB3875" s="52"/>
      <c r="AC3875" s="52"/>
      <c r="AD3875" s="52"/>
      <c r="AE3875" s="52"/>
      <c r="AF3875" s="52"/>
      <c r="AG3875" s="52"/>
      <c r="AH3875" s="52"/>
      <c r="AI3875" s="52"/>
      <c r="AJ3875" s="52"/>
      <c r="AK3875" s="52"/>
      <c r="AL3875" s="52"/>
      <c r="AM3875" s="52"/>
      <c r="AN3875" s="52"/>
    </row>
    <row r="3876" spans="1:40" x14ac:dyDescent="0.3">
      <c r="A3876" s="52">
        <v>3871</v>
      </c>
      <c r="B3876" s="52">
        <f>-bthan*500+(20+0.5)*bthan*1000/50</f>
        <v>-495</v>
      </c>
      <c r="C3876" s="52">
        <f t="shared" si="348"/>
        <v>750</v>
      </c>
      <c r="D3876" s="52">
        <f t="shared" si="346"/>
        <v>2200</v>
      </c>
      <c r="E3876" s="52">
        <f t="shared" si="347"/>
        <v>1</v>
      </c>
      <c r="F3876" s="52"/>
      <c r="G3876" s="52"/>
      <c r="H3876" s="52"/>
      <c r="I3876" s="52"/>
      <c r="J3876" s="52"/>
      <c r="K3876" s="52"/>
      <c r="L3876" s="52"/>
      <c r="M3876" s="52"/>
      <c r="N3876" s="52"/>
      <c r="O3876" s="52"/>
      <c r="P3876" s="52"/>
      <c r="Q3876" s="52"/>
      <c r="R3876" s="52"/>
      <c r="S3876" s="52"/>
      <c r="T3876" s="52"/>
      <c r="U3876" s="52"/>
      <c r="V3876" s="52"/>
      <c r="W3876" s="52"/>
      <c r="X3876" s="52"/>
      <c r="Y3876" s="52"/>
      <c r="Z3876" s="52"/>
      <c r="AA3876" s="52"/>
      <c r="AB3876" s="52"/>
      <c r="AC3876" s="52"/>
      <c r="AD3876" s="52"/>
      <c r="AE3876" s="52"/>
      <c r="AF3876" s="52"/>
      <c r="AG3876" s="52"/>
      <c r="AH3876" s="52"/>
      <c r="AI3876" s="52"/>
      <c r="AJ3876" s="52"/>
      <c r="AK3876" s="52"/>
      <c r="AL3876" s="52"/>
      <c r="AM3876" s="52"/>
      <c r="AN3876" s="52"/>
    </row>
    <row r="3877" spans="1:40" x14ac:dyDescent="0.3">
      <c r="A3877" s="52">
        <v>3872</v>
      </c>
      <c r="B3877" s="52">
        <f>-bthan*500+(21+0.5)*bthan*1000/50</f>
        <v>-385</v>
      </c>
      <c r="C3877" s="52">
        <f t="shared" si="348"/>
        <v>750</v>
      </c>
      <c r="D3877" s="52">
        <f t="shared" si="346"/>
        <v>2200</v>
      </c>
      <c r="E3877" s="52">
        <f t="shared" si="347"/>
        <v>1</v>
      </c>
      <c r="F3877" s="52"/>
      <c r="G3877" s="52"/>
      <c r="H3877" s="52"/>
      <c r="I3877" s="52"/>
      <c r="J3877" s="52"/>
      <c r="K3877" s="52"/>
      <c r="L3877" s="52"/>
      <c r="M3877" s="52"/>
      <c r="N3877" s="52"/>
      <c r="O3877" s="52"/>
      <c r="P3877" s="52"/>
      <c r="Q3877" s="52"/>
      <c r="R3877" s="52"/>
      <c r="S3877" s="52"/>
      <c r="T3877" s="52"/>
      <c r="U3877" s="52"/>
      <c r="V3877" s="52"/>
      <c r="W3877" s="52"/>
      <c r="X3877" s="52"/>
      <c r="Y3877" s="52"/>
      <c r="Z3877" s="52"/>
      <c r="AA3877" s="52"/>
      <c r="AB3877" s="52"/>
      <c r="AC3877" s="52"/>
      <c r="AD3877" s="52"/>
      <c r="AE3877" s="52"/>
      <c r="AF3877" s="52"/>
      <c r="AG3877" s="52"/>
      <c r="AH3877" s="52"/>
      <c r="AI3877" s="52"/>
      <c r="AJ3877" s="52"/>
      <c r="AK3877" s="52"/>
      <c r="AL3877" s="52"/>
      <c r="AM3877" s="52"/>
      <c r="AN3877" s="52"/>
    </row>
    <row r="3878" spans="1:40" x14ac:dyDescent="0.3">
      <c r="A3878" s="52">
        <v>3873</v>
      </c>
      <c r="B3878" s="52">
        <f>-bthan*500+(22+0.5)*bthan*1000/50</f>
        <v>-275</v>
      </c>
      <c r="C3878" s="52">
        <f t="shared" si="348"/>
        <v>750</v>
      </c>
      <c r="D3878" s="52">
        <f t="shared" si="346"/>
        <v>2200</v>
      </c>
      <c r="E3878" s="52">
        <f t="shared" si="347"/>
        <v>1</v>
      </c>
      <c r="F3878" s="52"/>
      <c r="G3878" s="52"/>
      <c r="H3878" s="52"/>
      <c r="I3878" s="52"/>
      <c r="J3878" s="52"/>
      <c r="K3878" s="52"/>
      <c r="L3878" s="52"/>
      <c r="M3878" s="52"/>
      <c r="N3878" s="52"/>
      <c r="O3878" s="52"/>
      <c r="P3878" s="52"/>
      <c r="Q3878" s="52"/>
      <c r="R3878" s="52"/>
      <c r="S3878" s="52"/>
      <c r="T3878" s="52"/>
      <c r="U3878" s="52"/>
      <c r="V3878" s="52"/>
      <c r="W3878" s="52"/>
      <c r="X3878" s="52"/>
      <c r="Y3878" s="52"/>
      <c r="Z3878" s="52"/>
      <c r="AA3878" s="52"/>
      <c r="AB3878" s="52"/>
      <c r="AC3878" s="52"/>
      <c r="AD3878" s="52"/>
      <c r="AE3878" s="52"/>
      <c r="AF3878" s="52"/>
      <c r="AG3878" s="52"/>
      <c r="AH3878" s="52"/>
      <c r="AI3878" s="52"/>
      <c r="AJ3878" s="52"/>
      <c r="AK3878" s="52"/>
      <c r="AL3878" s="52"/>
      <c r="AM3878" s="52"/>
      <c r="AN3878" s="52"/>
    </row>
    <row r="3879" spans="1:40" x14ac:dyDescent="0.3">
      <c r="A3879" s="52">
        <v>3874</v>
      </c>
      <c r="B3879" s="52">
        <f>-bthan*500+(23+0.5)*bthan*1000/50</f>
        <v>-165</v>
      </c>
      <c r="C3879" s="52">
        <f t="shared" si="348"/>
        <v>750</v>
      </c>
      <c r="D3879" s="52">
        <f t="shared" si="346"/>
        <v>2200</v>
      </c>
      <c r="E3879" s="52">
        <f t="shared" si="347"/>
        <v>1</v>
      </c>
      <c r="F3879" s="52"/>
      <c r="G3879" s="52"/>
      <c r="H3879" s="52"/>
      <c r="I3879" s="52"/>
      <c r="J3879" s="52"/>
      <c r="K3879" s="52"/>
      <c r="L3879" s="52"/>
      <c r="M3879" s="52"/>
      <c r="N3879" s="52"/>
      <c r="O3879" s="52"/>
      <c r="P3879" s="52"/>
      <c r="Q3879" s="52"/>
      <c r="R3879" s="52"/>
      <c r="S3879" s="52"/>
      <c r="T3879" s="52"/>
      <c r="U3879" s="52"/>
      <c r="V3879" s="52"/>
      <c r="W3879" s="52"/>
      <c r="X3879" s="52"/>
      <c r="Y3879" s="52"/>
      <c r="Z3879" s="52"/>
      <c r="AA3879" s="52"/>
      <c r="AB3879" s="52"/>
      <c r="AC3879" s="52"/>
      <c r="AD3879" s="52"/>
      <c r="AE3879" s="52"/>
      <c r="AF3879" s="52"/>
      <c r="AG3879" s="52"/>
      <c r="AH3879" s="52"/>
      <c r="AI3879" s="52"/>
      <c r="AJ3879" s="52"/>
      <c r="AK3879" s="52"/>
      <c r="AL3879" s="52"/>
      <c r="AM3879" s="52"/>
      <c r="AN3879" s="52"/>
    </row>
    <row r="3880" spans="1:40" x14ac:dyDescent="0.3">
      <c r="A3880" s="52">
        <v>3875</v>
      </c>
      <c r="B3880" s="52">
        <f>-bthan*500+(24+0.5)*bthan*1000/50</f>
        <v>-55</v>
      </c>
      <c r="C3880" s="52">
        <f t="shared" si="348"/>
        <v>750</v>
      </c>
      <c r="D3880" s="52">
        <f t="shared" si="346"/>
        <v>2200</v>
      </c>
      <c r="E3880" s="52">
        <f t="shared" si="347"/>
        <v>1</v>
      </c>
      <c r="F3880" s="52"/>
      <c r="G3880" s="52"/>
      <c r="H3880" s="52"/>
      <c r="I3880" s="52"/>
      <c r="J3880" s="52"/>
      <c r="K3880" s="52"/>
      <c r="L3880" s="52"/>
      <c r="M3880" s="52"/>
      <c r="N3880" s="52"/>
      <c r="O3880" s="52"/>
      <c r="P3880" s="52"/>
      <c r="Q3880" s="52"/>
      <c r="R3880" s="52"/>
      <c r="S3880" s="52"/>
      <c r="T3880" s="52"/>
      <c r="U3880" s="52"/>
      <c r="V3880" s="52"/>
      <c r="W3880" s="52"/>
      <c r="X3880" s="52"/>
      <c r="Y3880" s="52"/>
      <c r="Z3880" s="52"/>
      <c r="AA3880" s="52"/>
      <c r="AB3880" s="52"/>
      <c r="AC3880" s="52"/>
      <c r="AD3880" s="52"/>
      <c r="AE3880" s="52"/>
      <c r="AF3880" s="52"/>
      <c r="AG3880" s="52"/>
      <c r="AH3880" s="52"/>
      <c r="AI3880" s="52"/>
      <c r="AJ3880" s="52"/>
      <c r="AK3880" s="52"/>
      <c r="AL3880" s="52"/>
      <c r="AM3880" s="52"/>
      <c r="AN3880" s="52"/>
    </row>
    <row r="3881" spans="1:40" x14ac:dyDescent="0.3">
      <c r="A3881" s="52">
        <v>3876</v>
      </c>
      <c r="B3881" s="52">
        <f>-bthan*500+(25+0.5)*bthan*1000/50</f>
        <v>55</v>
      </c>
      <c r="C3881" s="52">
        <f t="shared" si="348"/>
        <v>750</v>
      </c>
      <c r="D3881" s="52">
        <f t="shared" si="346"/>
        <v>2200</v>
      </c>
      <c r="E3881" s="52">
        <f t="shared" si="347"/>
        <v>1</v>
      </c>
      <c r="F3881" s="52"/>
      <c r="G3881" s="52"/>
      <c r="H3881" s="52"/>
      <c r="I3881" s="52"/>
      <c r="J3881" s="52"/>
      <c r="K3881" s="52"/>
      <c r="L3881" s="52"/>
      <c r="M3881" s="52"/>
      <c r="N3881" s="52"/>
      <c r="O3881" s="52"/>
      <c r="P3881" s="52"/>
      <c r="Q3881" s="52"/>
      <c r="R3881" s="52"/>
      <c r="S3881" s="52"/>
      <c r="T3881" s="52"/>
      <c r="U3881" s="52"/>
      <c r="V3881" s="52"/>
      <c r="W3881" s="52"/>
      <c r="X3881" s="52"/>
      <c r="Y3881" s="52"/>
      <c r="Z3881" s="52"/>
      <c r="AA3881" s="52"/>
      <c r="AB3881" s="52"/>
      <c r="AC3881" s="52"/>
      <c r="AD3881" s="52"/>
      <c r="AE3881" s="52"/>
      <c r="AF3881" s="52"/>
      <c r="AG3881" s="52"/>
      <c r="AH3881" s="52"/>
      <c r="AI3881" s="52"/>
      <c r="AJ3881" s="52"/>
      <c r="AK3881" s="52"/>
      <c r="AL3881" s="52"/>
      <c r="AM3881" s="52"/>
      <c r="AN3881" s="52"/>
    </row>
    <row r="3882" spans="1:40" x14ac:dyDescent="0.3">
      <c r="A3882" s="52">
        <v>3877</v>
      </c>
      <c r="B3882" s="52">
        <f>-bthan*500+(26+0.5)*bthan*1000/50</f>
        <v>165</v>
      </c>
      <c r="C3882" s="52">
        <f t="shared" si="348"/>
        <v>750</v>
      </c>
      <c r="D3882" s="52">
        <f t="shared" si="346"/>
        <v>2200</v>
      </c>
      <c r="E3882" s="52">
        <f t="shared" si="347"/>
        <v>1</v>
      </c>
      <c r="F3882" s="52"/>
      <c r="G3882" s="52"/>
      <c r="H3882" s="52"/>
      <c r="I3882" s="52"/>
      <c r="J3882" s="52"/>
      <c r="K3882" s="52"/>
      <c r="L3882" s="52"/>
      <c r="M3882" s="52"/>
      <c r="N3882" s="52"/>
      <c r="O3882" s="52"/>
      <c r="P3882" s="52"/>
      <c r="Q3882" s="52"/>
      <c r="R3882" s="52"/>
      <c r="S3882" s="52"/>
      <c r="T3882" s="52"/>
      <c r="U3882" s="52"/>
      <c r="V3882" s="52"/>
      <c r="W3882" s="52"/>
      <c r="X3882" s="52"/>
      <c r="Y3882" s="52"/>
      <c r="Z3882" s="52"/>
      <c r="AA3882" s="52"/>
      <c r="AB3882" s="52"/>
      <c r="AC3882" s="52"/>
      <c r="AD3882" s="52"/>
      <c r="AE3882" s="52"/>
      <c r="AF3882" s="52"/>
      <c r="AG3882" s="52"/>
      <c r="AH3882" s="52"/>
      <c r="AI3882" s="52"/>
      <c r="AJ3882" s="52"/>
      <c r="AK3882" s="52"/>
      <c r="AL3882" s="52"/>
      <c r="AM3882" s="52"/>
      <c r="AN3882" s="52"/>
    </row>
    <row r="3883" spans="1:40" x14ac:dyDescent="0.3">
      <c r="A3883" s="52">
        <v>3878</v>
      </c>
      <c r="B3883" s="52">
        <f>-bthan*500+(27+0.5)*bthan*1000/50</f>
        <v>275</v>
      </c>
      <c r="C3883" s="52">
        <f t="shared" si="348"/>
        <v>750</v>
      </c>
      <c r="D3883" s="52">
        <f t="shared" si="346"/>
        <v>2200</v>
      </c>
      <c r="E3883" s="52">
        <f t="shared" si="347"/>
        <v>1</v>
      </c>
      <c r="F3883" s="52"/>
      <c r="G3883" s="52"/>
      <c r="H3883" s="52"/>
      <c r="I3883" s="52"/>
      <c r="J3883" s="52"/>
      <c r="K3883" s="52"/>
      <c r="L3883" s="52"/>
      <c r="M3883" s="52"/>
      <c r="N3883" s="52"/>
      <c r="O3883" s="52"/>
      <c r="P3883" s="52"/>
      <c r="Q3883" s="52"/>
      <c r="R3883" s="52"/>
      <c r="S3883" s="52"/>
      <c r="T3883" s="52"/>
      <c r="U3883" s="52"/>
      <c r="V3883" s="52"/>
      <c r="W3883" s="52"/>
      <c r="X3883" s="52"/>
      <c r="Y3883" s="52"/>
      <c r="Z3883" s="52"/>
      <c r="AA3883" s="52"/>
      <c r="AB3883" s="52"/>
      <c r="AC3883" s="52"/>
      <c r="AD3883" s="52"/>
      <c r="AE3883" s="52"/>
      <c r="AF3883" s="52"/>
      <c r="AG3883" s="52"/>
      <c r="AH3883" s="52"/>
      <c r="AI3883" s="52"/>
      <c r="AJ3883" s="52"/>
      <c r="AK3883" s="52"/>
      <c r="AL3883" s="52"/>
      <c r="AM3883" s="52"/>
      <c r="AN3883" s="52"/>
    </row>
    <row r="3884" spans="1:40" x14ac:dyDescent="0.3">
      <c r="A3884" s="52">
        <v>3879</v>
      </c>
      <c r="B3884" s="52">
        <f>-bthan*500+(28+0.5)*bthan*1000/50</f>
        <v>385</v>
      </c>
      <c r="C3884" s="52">
        <f t="shared" si="348"/>
        <v>750</v>
      </c>
      <c r="D3884" s="52">
        <f t="shared" si="346"/>
        <v>2200</v>
      </c>
      <c r="E3884" s="52">
        <f t="shared" si="347"/>
        <v>1</v>
      </c>
      <c r="F3884" s="52"/>
      <c r="G3884" s="52"/>
      <c r="H3884" s="52"/>
      <c r="I3884" s="52"/>
      <c r="J3884" s="52"/>
      <c r="K3884" s="52"/>
      <c r="L3884" s="52"/>
      <c r="M3884" s="52"/>
      <c r="N3884" s="52"/>
      <c r="O3884" s="52"/>
      <c r="P3884" s="52"/>
      <c r="Q3884" s="52"/>
      <c r="R3884" s="52"/>
      <c r="S3884" s="52"/>
      <c r="T3884" s="52"/>
      <c r="U3884" s="52"/>
      <c r="V3884" s="52"/>
      <c r="W3884" s="52"/>
      <c r="X3884" s="52"/>
      <c r="Y3884" s="52"/>
      <c r="Z3884" s="52"/>
      <c r="AA3884" s="52"/>
      <c r="AB3884" s="52"/>
      <c r="AC3884" s="52"/>
      <c r="AD3884" s="52"/>
      <c r="AE3884" s="52"/>
      <c r="AF3884" s="52"/>
      <c r="AG3884" s="52"/>
      <c r="AH3884" s="52"/>
      <c r="AI3884" s="52"/>
      <c r="AJ3884" s="52"/>
      <c r="AK3884" s="52"/>
      <c r="AL3884" s="52"/>
      <c r="AM3884" s="52"/>
      <c r="AN3884" s="52"/>
    </row>
    <row r="3885" spans="1:40" x14ac:dyDescent="0.3">
      <c r="A3885" s="52">
        <v>3880</v>
      </c>
      <c r="B3885" s="52">
        <f>-bthan*500+(29+0.5)*bthan*1000/50</f>
        <v>495</v>
      </c>
      <c r="C3885" s="52">
        <f t="shared" si="348"/>
        <v>750</v>
      </c>
      <c r="D3885" s="52">
        <f t="shared" si="346"/>
        <v>2200</v>
      </c>
      <c r="E3885" s="52">
        <f t="shared" si="347"/>
        <v>1</v>
      </c>
      <c r="F3885" s="52"/>
      <c r="G3885" s="52"/>
      <c r="H3885" s="52"/>
      <c r="I3885" s="52"/>
      <c r="J3885" s="52"/>
      <c r="K3885" s="52"/>
      <c r="L3885" s="52"/>
      <c r="M3885" s="52"/>
      <c r="N3885" s="52"/>
      <c r="O3885" s="52"/>
      <c r="P3885" s="52"/>
      <c r="Q3885" s="52"/>
      <c r="R3885" s="52"/>
      <c r="S3885" s="52"/>
      <c r="T3885" s="52"/>
      <c r="U3885" s="52"/>
      <c r="V3885" s="52"/>
      <c r="W3885" s="52"/>
      <c r="X3885" s="52"/>
      <c r="Y3885" s="52"/>
      <c r="Z3885" s="52"/>
      <c r="AA3885" s="52"/>
      <c r="AB3885" s="52"/>
      <c r="AC3885" s="52"/>
      <c r="AD3885" s="52"/>
      <c r="AE3885" s="52"/>
      <c r="AF3885" s="52"/>
      <c r="AG3885" s="52"/>
      <c r="AH3885" s="52"/>
      <c r="AI3885" s="52"/>
      <c r="AJ3885" s="52"/>
      <c r="AK3885" s="52"/>
      <c r="AL3885" s="52"/>
      <c r="AM3885" s="52"/>
      <c r="AN3885" s="52"/>
    </row>
    <row r="3886" spans="1:40" x14ac:dyDescent="0.3">
      <c r="A3886" s="52">
        <v>3881</v>
      </c>
      <c r="B3886" s="52">
        <f>-bthan*500+(30+0.5)*bthan*1000/50</f>
        <v>605</v>
      </c>
      <c r="C3886" s="52">
        <f t="shared" si="348"/>
        <v>750</v>
      </c>
      <c r="D3886" s="52">
        <f t="shared" si="346"/>
        <v>2200</v>
      </c>
      <c r="E3886" s="52">
        <f t="shared" si="347"/>
        <v>1</v>
      </c>
      <c r="F3886" s="52"/>
      <c r="G3886" s="52"/>
      <c r="H3886" s="52"/>
      <c r="I3886" s="52"/>
      <c r="J3886" s="52"/>
      <c r="K3886" s="52"/>
      <c r="L3886" s="52"/>
      <c r="M3886" s="52"/>
      <c r="N3886" s="52"/>
      <c r="O3886" s="52"/>
      <c r="P3886" s="52"/>
      <c r="Q3886" s="52"/>
      <c r="R3886" s="52"/>
      <c r="S3886" s="52"/>
      <c r="T3886" s="52"/>
      <c r="U3886" s="52"/>
      <c r="V3886" s="52"/>
      <c r="W3886" s="52"/>
      <c r="X3886" s="52"/>
      <c r="Y3886" s="52"/>
      <c r="Z3886" s="52"/>
      <c r="AA3886" s="52"/>
      <c r="AB3886" s="52"/>
      <c r="AC3886" s="52"/>
      <c r="AD3886" s="52"/>
      <c r="AE3886" s="52"/>
      <c r="AF3886" s="52"/>
      <c r="AG3886" s="52"/>
      <c r="AH3886" s="52"/>
      <c r="AI3886" s="52"/>
      <c r="AJ3886" s="52"/>
      <c r="AK3886" s="52"/>
      <c r="AL3886" s="52"/>
      <c r="AM3886" s="52"/>
      <c r="AN3886" s="52"/>
    </row>
    <row r="3887" spans="1:40" x14ac:dyDescent="0.3">
      <c r="A3887" s="52">
        <v>3882</v>
      </c>
      <c r="B3887" s="52">
        <f>-bthan*500+(31+0.5)*bthan*1000/50</f>
        <v>715</v>
      </c>
      <c r="C3887" s="52">
        <f t="shared" si="348"/>
        <v>750</v>
      </c>
      <c r="D3887" s="52">
        <f t="shared" si="346"/>
        <v>2200</v>
      </c>
      <c r="E3887" s="52">
        <f t="shared" si="347"/>
        <v>1</v>
      </c>
      <c r="F3887" s="52"/>
      <c r="G3887" s="52"/>
      <c r="H3887" s="52"/>
      <c r="I3887" s="52"/>
      <c r="J3887" s="52"/>
      <c r="K3887" s="52"/>
      <c r="L3887" s="52"/>
      <c r="M3887" s="52"/>
      <c r="N3887" s="52"/>
      <c r="O3887" s="52"/>
      <c r="P3887" s="52"/>
      <c r="Q3887" s="52"/>
      <c r="R3887" s="52"/>
      <c r="S3887" s="52"/>
      <c r="T3887" s="52"/>
      <c r="U3887" s="52"/>
      <c r="V3887" s="52"/>
      <c r="W3887" s="52"/>
      <c r="X3887" s="52"/>
      <c r="Y3887" s="52"/>
      <c r="Z3887" s="52"/>
      <c r="AA3887" s="52"/>
      <c r="AB3887" s="52"/>
      <c r="AC3887" s="52"/>
      <c r="AD3887" s="52"/>
      <c r="AE3887" s="52"/>
      <c r="AF3887" s="52"/>
      <c r="AG3887" s="52"/>
      <c r="AH3887" s="52"/>
      <c r="AI3887" s="52"/>
      <c r="AJ3887" s="52"/>
      <c r="AK3887" s="52"/>
      <c r="AL3887" s="52"/>
      <c r="AM3887" s="52"/>
      <c r="AN3887" s="52"/>
    </row>
    <row r="3888" spans="1:40" x14ac:dyDescent="0.3">
      <c r="A3888" s="52">
        <v>3883</v>
      </c>
      <c r="B3888" s="52">
        <f>-bthan*500+(32+0.5)*bthan*1000/50</f>
        <v>825</v>
      </c>
      <c r="C3888" s="52">
        <f t="shared" ref="C3888:C3905" si="349">-hthan*500+(77+0.5)*hthan*1000/80</f>
        <v>750</v>
      </c>
      <c r="D3888" s="52">
        <f t="shared" si="346"/>
        <v>2200</v>
      </c>
      <c r="E3888" s="52">
        <f t="shared" si="347"/>
        <v>1</v>
      </c>
      <c r="F3888" s="52"/>
      <c r="G3888" s="52"/>
      <c r="H3888" s="52"/>
      <c r="I3888" s="52"/>
      <c r="J3888" s="52"/>
      <c r="K3888" s="52"/>
      <c r="L3888" s="52"/>
      <c r="M3888" s="52"/>
      <c r="N3888" s="52"/>
      <c r="O3888" s="52"/>
      <c r="P3888" s="52"/>
      <c r="Q3888" s="52"/>
      <c r="R3888" s="52"/>
      <c r="S3888" s="52"/>
      <c r="T3888" s="52"/>
      <c r="U3888" s="52"/>
      <c r="V3888" s="52"/>
      <c r="W3888" s="52"/>
      <c r="X3888" s="52"/>
      <c r="Y3888" s="52"/>
      <c r="Z3888" s="52"/>
      <c r="AA3888" s="52"/>
      <c r="AB3888" s="52"/>
      <c r="AC3888" s="52"/>
      <c r="AD3888" s="52"/>
      <c r="AE3888" s="52"/>
      <c r="AF3888" s="52"/>
      <c r="AG3888" s="52"/>
      <c r="AH3888" s="52"/>
      <c r="AI3888" s="52"/>
      <c r="AJ3888" s="52"/>
      <c r="AK3888" s="52"/>
      <c r="AL3888" s="52"/>
      <c r="AM3888" s="52"/>
      <c r="AN3888" s="52"/>
    </row>
    <row r="3889" spans="1:40" x14ac:dyDescent="0.3">
      <c r="A3889" s="52">
        <v>3884</v>
      </c>
      <c r="B3889" s="52">
        <f>-bthan*500+(33+0.5)*bthan*1000/50</f>
        <v>935</v>
      </c>
      <c r="C3889" s="52">
        <f t="shared" si="349"/>
        <v>750</v>
      </c>
      <c r="D3889" s="52">
        <f t="shared" si="346"/>
        <v>2200</v>
      </c>
      <c r="E3889" s="52">
        <f t="shared" si="347"/>
        <v>1</v>
      </c>
      <c r="F3889" s="52"/>
      <c r="G3889" s="52"/>
      <c r="H3889" s="52"/>
      <c r="I3889" s="52"/>
      <c r="J3889" s="52"/>
      <c r="K3889" s="52"/>
      <c r="L3889" s="52"/>
      <c r="M3889" s="52"/>
      <c r="N3889" s="52"/>
      <c r="O3889" s="52"/>
      <c r="P3889" s="52"/>
      <c r="Q3889" s="52"/>
      <c r="R3889" s="52"/>
      <c r="S3889" s="52"/>
      <c r="T3889" s="52"/>
      <c r="U3889" s="52"/>
      <c r="V3889" s="52"/>
      <c r="W3889" s="52"/>
      <c r="X3889" s="52"/>
      <c r="Y3889" s="52"/>
      <c r="Z3889" s="52"/>
      <c r="AA3889" s="52"/>
      <c r="AB3889" s="52"/>
      <c r="AC3889" s="52"/>
      <c r="AD3889" s="52"/>
      <c r="AE3889" s="52"/>
      <c r="AF3889" s="52"/>
      <c r="AG3889" s="52"/>
      <c r="AH3889" s="52"/>
      <c r="AI3889" s="52"/>
      <c r="AJ3889" s="52"/>
      <c r="AK3889" s="52"/>
      <c r="AL3889" s="52"/>
      <c r="AM3889" s="52"/>
      <c r="AN3889" s="52"/>
    </row>
    <row r="3890" spans="1:40" x14ac:dyDescent="0.3">
      <c r="A3890" s="52">
        <v>3885</v>
      </c>
      <c r="B3890" s="52">
        <f>-bthan*500+(34+0.5)*bthan*1000/50</f>
        <v>1045</v>
      </c>
      <c r="C3890" s="52">
        <f t="shared" si="349"/>
        <v>750</v>
      </c>
      <c r="D3890" s="52">
        <f t="shared" si="346"/>
        <v>2200</v>
      </c>
      <c r="E3890" s="52">
        <f t="shared" si="347"/>
        <v>1</v>
      </c>
      <c r="F3890" s="52"/>
      <c r="G3890" s="52"/>
      <c r="H3890" s="52"/>
      <c r="I3890" s="52"/>
      <c r="J3890" s="52"/>
      <c r="K3890" s="52"/>
      <c r="L3890" s="52"/>
      <c r="M3890" s="52"/>
      <c r="N3890" s="52"/>
      <c r="O3890" s="52"/>
      <c r="P3890" s="52"/>
      <c r="Q3890" s="52"/>
      <c r="R3890" s="52"/>
      <c r="S3890" s="52"/>
      <c r="T3890" s="52"/>
      <c r="U3890" s="52"/>
      <c r="V3890" s="52"/>
      <c r="W3890" s="52"/>
      <c r="X3890" s="52"/>
      <c r="Y3890" s="52"/>
      <c r="Z3890" s="52"/>
      <c r="AA3890" s="52"/>
      <c r="AB3890" s="52"/>
      <c r="AC3890" s="52"/>
      <c r="AD3890" s="52"/>
      <c r="AE3890" s="52"/>
      <c r="AF3890" s="52"/>
      <c r="AG3890" s="52"/>
      <c r="AH3890" s="52"/>
      <c r="AI3890" s="52"/>
      <c r="AJ3890" s="52"/>
      <c r="AK3890" s="52"/>
      <c r="AL3890" s="52"/>
      <c r="AM3890" s="52"/>
      <c r="AN3890" s="52"/>
    </row>
    <row r="3891" spans="1:40" x14ac:dyDescent="0.3">
      <c r="A3891" s="52">
        <v>3886</v>
      </c>
      <c r="B3891" s="52">
        <f>-bthan*500+(35+0.5)*bthan*1000/50</f>
        <v>1155</v>
      </c>
      <c r="C3891" s="52">
        <f t="shared" si="349"/>
        <v>750</v>
      </c>
      <c r="D3891" s="52">
        <f t="shared" si="346"/>
        <v>2200</v>
      </c>
      <c r="E3891" s="52">
        <f t="shared" si="347"/>
        <v>1</v>
      </c>
      <c r="F3891" s="52"/>
      <c r="G3891" s="52"/>
      <c r="H3891" s="52"/>
      <c r="I3891" s="52"/>
      <c r="J3891" s="52"/>
      <c r="K3891" s="52"/>
      <c r="L3891" s="52"/>
      <c r="M3891" s="52"/>
      <c r="N3891" s="52"/>
      <c r="O3891" s="52"/>
      <c r="P3891" s="52"/>
      <c r="Q3891" s="52"/>
      <c r="R3891" s="52"/>
      <c r="S3891" s="52"/>
      <c r="T3891" s="52"/>
      <c r="U3891" s="52"/>
      <c r="V3891" s="52"/>
      <c r="W3891" s="52"/>
      <c r="X3891" s="52"/>
      <c r="Y3891" s="52"/>
      <c r="Z3891" s="52"/>
      <c r="AA3891" s="52"/>
      <c r="AB3891" s="52"/>
      <c r="AC3891" s="52"/>
      <c r="AD3891" s="52"/>
      <c r="AE3891" s="52"/>
      <c r="AF3891" s="52"/>
      <c r="AG3891" s="52"/>
      <c r="AH3891" s="52"/>
      <c r="AI3891" s="52"/>
      <c r="AJ3891" s="52"/>
      <c r="AK3891" s="52"/>
      <c r="AL3891" s="52"/>
      <c r="AM3891" s="52"/>
      <c r="AN3891" s="52"/>
    </row>
    <row r="3892" spans="1:40" x14ac:dyDescent="0.3">
      <c r="A3892" s="52">
        <v>3887</v>
      </c>
      <c r="B3892" s="52">
        <f>-bthan*500+(36+0.5)*bthan*1000/50</f>
        <v>1265</v>
      </c>
      <c r="C3892" s="52">
        <f t="shared" si="349"/>
        <v>750</v>
      </c>
      <c r="D3892" s="52">
        <f t="shared" si="346"/>
        <v>2200</v>
      </c>
      <c r="E3892" s="52">
        <f t="shared" si="347"/>
        <v>1</v>
      </c>
      <c r="F3892" s="52"/>
      <c r="G3892" s="52"/>
      <c r="H3892" s="52"/>
      <c r="I3892" s="52"/>
      <c r="J3892" s="52"/>
      <c r="K3892" s="52"/>
      <c r="L3892" s="52"/>
      <c r="M3892" s="52"/>
      <c r="N3892" s="52"/>
      <c r="O3892" s="52"/>
      <c r="P3892" s="52"/>
      <c r="Q3892" s="52"/>
      <c r="R3892" s="52"/>
      <c r="S3892" s="52"/>
      <c r="T3892" s="52"/>
      <c r="U3892" s="52"/>
      <c r="V3892" s="52"/>
      <c r="W3892" s="52"/>
      <c r="X3892" s="52"/>
      <c r="Y3892" s="52"/>
      <c r="Z3892" s="52"/>
      <c r="AA3892" s="52"/>
      <c r="AB3892" s="52"/>
      <c r="AC3892" s="52"/>
      <c r="AD3892" s="52"/>
      <c r="AE3892" s="52"/>
      <c r="AF3892" s="52"/>
      <c r="AG3892" s="52"/>
      <c r="AH3892" s="52"/>
      <c r="AI3892" s="52"/>
      <c r="AJ3892" s="52"/>
      <c r="AK3892" s="52"/>
      <c r="AL3892" s="52"/>
      <c r="AM3892" s="52"/>
      <c r="AN3892" s="52"/>
    </row>
    <row r="3893" spans="1:40" x14ac:dyDescent="0.3">
      <c r="A3893" s="52">
        <v>3888</v>
      </c>
      <c r="B3893" s="52">
        <f>-bthan*500+(37+0.5)*bthan*1000/50</f>
        <v>1375</v>
      </c>
      <c r="C3893" s="52">
        <f t="shared" si="349"/>
        <v>750</v>
      </c>
      <c r="D3893" s="52">
        <f t="shared" si="346"/>
        <v>2200</v>
      </c>
      <c r="E3893" s="52">
        <f t="shared" si="347"/>
        <v>1</v>
      </c>
      <c r="F3893" s="52"/>
      <c r="G3893" s="52"/>
      <c r="H3893" s="52"/>
      <c r="I3893" s="52"/>
      <c r="J3893" s="52"/>
      <c r="K3893" s="52"/>
      <c r="L3893" s="52"/>
      <c r="M3893" s="52"/>
      <c r="N3893" s="52"/>
      <c r="O3893" s="52"/>
      <c r="P3893" s="52"/>
      <c r="Q3893" s="52"/>
      <c r="R3893" s="52"/>
      <c r="S3893" s="52"/>
      <c r="T3893" s="52"/>
      <c r="U3893" s="52"/>
      <c r="V3893" s="52"/>
      <c r="W3893" s="52"/>
      <c r="X3893" s="52"/>
      <c r="Y3893" s="52"/>
      <c r="Z3893" s="52"/>
      <c r="AA3893" s="52"/>
      <c r="AB3893" s="52"/>
      <c r="AC3893" s="52"/>
      <c r="AD3893" s="52"/>
      <c r="AE3893" s="52"/>
      <c r="AF3893" s="52"/>
      <c r="AG3893" s="52"/>
      <c r="AH3893" s="52"/>
      <c r="AI3893" s="52"/>
      <c r="AJ3893" s="52"/>
      <c r="AK3893" s="52"/>
      <c r="AL3893" s="52"/>
      <c r="AM3893" s="52"/>
      <c r="AN3893" s="52"/>
    </row>
    <row r="3894" spans="1:40" x14ac:dyDescent="0.3">
      <c r="A3894" s="52">
        <v>3889</v>
      </c>
      <c r="B3894" s="52">
        <f>-bthan*500+(38+0.5)*bthan*1000/50</f>
        <v>1485</v>
      </c>
      <c r="C3894" s="52">
        <f t="shared" si="349"/>
        <v>750</v>
      </c>
      <c r="D3894" s="52">
        <f t="shared" si="346"/>
        <v>2200</v>
      </c>
      <c r="E3894" s="52">
        <f t="shared" si="347"/>
        <v>1</v>
      </c>
      <c r="F3894" s="52"/>
      <c r="G3894" s="52"/>
      <c r="H3894" s="52"/>
      <c r="I3894" s="52"/>
      <c r="J3894" s="52"/>
      <c r="K3894" s="52"/>
      <c r="L3894" s="52"/>
      <c r="M3894" s="52"/>
      <c r="N3894" s="52"/>
      <c r="O3894" s="52"/>
      <c r="P3894" s="52"/>
      <c r="Q3894" s="52"/>
      <c r="R3894" s="52"/>
      <c r="S3894" s="52"/>
      <c r="T3894" s="52"/>
      <c r="U3894" s="52"/>
      <c r="V3894" s="52"/>
      <c r="W3894" s="52"/>
      <c r="X3894" s="52"/>
      <c r="Y3894" s="52"/>
      <c r="Z3894" s="52"/>
      <c r="AA3894" s="52"/>
      <c r="AB3894" s="52"/>
      <c r="AC3894" s="52"/>
      <c r="AD3894" s="52"/>
      <c r="AE3894" s="52"/>
      <c r="AF3894" s="52"/>
      <c r="AG3894" s="52"/>
      <c r="AH3894" s="52"/>
      <c r="AI3894" s="52"/>
      <c r="AJ3894" s="52"/>
      <c r="AK3894" s="52"/>
      <c r="AL3894" s="52"/>
      <c r="AM3894" s="52"/>
      <c r="AN3894" s="52"/>
    </row>
    <row r="3895" spans="1:40" x14ac:dyDescent="0.3">
      <c r="A3895" s="52">
        <v>3890</v>
      </c>
      <c r="B3895" s="52">
        <f>-bthan*500+(39+0.5)*bthan*1000/50</f>
        <v>1595</v>
      </c>
      <c r="C3895" s="52">
        <f t="shared" si="349"/>
        <v>750</v>
      </c>
      <c r="D3895" s="52">
        <f t="shared" si="346"/>
        <v>2200</v>
      </c>
      <c r="E3895" s="52">
        <f t="shared" si="347"/>
        <v>1</v>
      </c>
      <c r="F3895" s="52"/>
      <c r="G3895" s="52"/>
      <c r="H3895" s="52"/>
      <c r="I3895" s="52"/>
      <c r="J3895" s="52"/>
      <c r="K3895" s="52"/>
      <c r="L3895" s="52"/>
      <c r="M3895" s="52"/>
      <c r="N3895" s="52"/>
      <c r="O3895" s="52"/>
      <c r="P3895" s="52"/>
      <c r="Q3895" s="52"/>
      <c r="R3895" s="52"/>
      <c r="S3895" s="52"/>
      <c r="T3895" s="52"/>
      <c r="U3895" s="52"/>
      <c r="V3895" s="52"/>
      <c r="W3895" s="52"/>
      <c r="X3895" s="52"/>
      <c r="Y3895" s="52"/>
      <c r="Z3895" s="52"/>
      <c r="AA3895" s="52"/>
      <c r="AB3895" s="52"/>
      <c r="AC3895" s="52"/>
      <c r="AD3895" s="52"/>
      <c r="AE3895" s="52"/>
      <c r="AF3895" s="52"/>
      <c r="AG3895" s="52"/>
      <c r="AH3895" s="52"/>
      <c r="AI3895" s="52"/>
      <c r="AJ3895" s="52"/>
      <c r="AK3895" s="52"/>
      <c r="AL3895" s="52"/>
      <c r="AM3895" s="52"/>
      <c r="AN3895" s="52"/>
    </row>
    <row r="3896" spans="1:40" x14ac:dyDescent="0.3">
      <c r="A3896" s="52">
        <v>3891</v>
      </c>
      <c r="B3896" s="52">
        <f>-bthan*500+(40+0.5)*bthan*1000/50</f>
        <v>1705</v>
      </c>
      <c r="C3896" s="52">
        <f t="shared" si="349"/>
        <v>750</v>
      </c>
      <c r="D3896" s="52">
        <f t="shared" si="346"/>
        <v>2200</v>
      </c>
      <c r="E3896" s="52">
        <f t="shared" si="347"/>
        <v>1</v>
      </c>
      <c r="F3896" s="52"/>
      <c r="G3896" s="52"/>
      <c r="H3896" s="52"/>
      <c r="I3896" s="52"/>
      <c r="J3896" s="52"/>
      <c r="K3896" s="52"/>
      <c r="L3896" s="52"/>
      <c r="M3896" s="52"/>
      <c r="N3896" s="52"/>
      <c r="O3896" s="52"/>
      <c r="P3896" s="52"/>
      <c r="Q3896" s="52"/>
      <c r="R3896" s="52"/>
      <c r="S3896" s="52"/>
      <c r="T3896" s="52"/>
      <c r="U3896" s="52"/>
      <c r="V3896" s="52"/>
      <c r="W3896" s="52"/>
      <c r="X3896" s="52"/>
      <c r="Y3896" s="52"/>
      <c r="Z3896" s="52"/>
      <c r="AA3896" s="52"/>
      <c r="AB3896" s="52"/>
      <c r="AC3896" s="52"/>
      <c r="AD3896" s="52"/>
      <c r="AE3896" s="52"/>
      <c r="AF3896" s="52"/>
      <c r="AG3896" s="52"/>
      <c r="AH3896" s="52"/>
      <c r="AI3896" s="52"/>
      <c r="AJ3896" s="52"/>
      <c r="AK3896" s="52"/>
      <c r="AL3896" s="52"/>
      <c r="AM3896" s="52"/>
      <c r="AN3896" s="52"/>
    </row>
    <row r="3897" spans="1:40" x14ac:dyDescent="0.3">
      <c r="A3897" s="52">
        <v>3892</v>
      </c>
      <c r="B3897" s="52">
        <f>-bthan*500+(41+0.5)*bthan*1000/50</f>
        <v>1815</v>
      </c>
      <c r="C3897" s="52">
        <f t="shared" si="349"/>
        <v>750</v>
      </c>
      <c r="D3897" s="52">
        <f t="shared" si="346"/>
        <v>2200</v>
      </c>
      <c r="E3897" s="52">
        <f t="shared" si="347"/>
        <v>1</v>
      </c>
      <c r="F3897" s="52"/>
      <c r="G3897" s="52"/>
      <c r="H3897" s="52"/>
      <c r="I3897" s="52"/>
      <c r="J3897" s="52"/>
      <c r="K3897" s="52"/>
      <c r="L3897" s="52"/>
      <c r="M3897" s="52"/>
      <c r="N3897" s="52"/>
      <c r="O3897" s="52"/>
      <c r="P3897" s="52"/>
      <c r="Q3897" s="52"/>
      <c r="R3897" s="52"/>
      <c r="S3897" s="52"/>
      <c r="T3897" s="52"/>
      <c r="U3897" s="52"/>
      <c r="V3897" s="52"/>
      <c r="W3897" s="52"/>
      <c r="X3897" s="52"/>
      <c r="Y3897" s="52"/>
      <c r="Z3897" s="52"/>
      <c r="AA3897" s="52"/>
      <c r="AB3897" s="52"/>
      <c r="AC3897" s="52"/>
      <c r="AD3897" s="52"/>
      <c r="AE3897" s="52"/>
      <c r="AF3897" s="52"/>
      <c r="AG3897" s="52"/>
      <c r="AH3897" s="52"/>
      <c r="AI3897" s="52"/>
      <c r="AJ3897" s="52"/>
      <c r="AK3897" s="52"/>
      <c r="AL3897" s="52"/>
      <c r="AM3897" s="52"/>
      <c r="AN3897" s="52"/>
    </row>
    <row r="3898" spans="1:40" x14ac:dyDescent="0.3">
      <c r="A3898" s="52">
        <v>3893</v>
      </c>
      <c r="B3898" s="52">
        <f>-bthan*500+(42+0.5)*bthan*1000/50</f>
        <v>1925</v>
      </c>
      <c r="C3898" s="52">
        <f t="shared" si="349"/>
        <v>750</v>
      </c>
      <c r="D3898" s="52">
        <f t="shared" si="346"/>
        <v>2200</v>
      </c>
      <c r="E3898" s="52">
        <f t="shared" si="347"/>
        <v>1</v>
      </c>
      <c r="F3898" s="52"/>
      <c r="G3898" s="52"/>
      <c r="H3898" s="52"/>
      <c r="I3898" s="52"/>
      <c r="J3898" s="52"/>
      <c r="K3898" s="52"/>
      <c r="L3898" s="52"/>
      <c r="M3898" s="52"/>
      <c r="N3898" s="52"/>
      <c r="O3898" s="52"/>
      <c r="P3898" s="52"/>
      <c r="Q3898" s="52"/>
      <c r="R3898" s="52"/>
      <c r="S3898" s="52"/>
      <c r="T3898" s="52"/>
      <c r="U3898" s="52"/>
      <c r="V3898" s="52"/>
      <c r="W3898" s="52"/>
      <c r="X3898" s="52"/>
      <c r="Y3898" s="52"/>
      <c r="Z3898" s="52"/>
      <c r="AA3898" s="52"/>
      <c r="AB3898" s="52"/>
      <c r="AC3898" s="52"/>
      <c r="AD3898" s="52"/>
      <c r="AE3898" s="52"/>
      <c r="AF3898" s="52"/>
      <c r="AG3898" s="52"/>
      <c r="AH3898" s="52"/>
      <c r="AI3898" s="52"/>
      <c r="AJ3898" s="52"/>
      <c r="AK3898" s="52"/>
      <c r="AL3898" s="52"/>
      <c r="AM3898" s="52"/>
      <c r="AN3898" s="52"/>
    </row>
    <row r="3899" spans="1:40" x14ac:dyDescent="0.3">
      <c r="A3899" s="52">
        <v>3894</v>
      </c>
      <c r="B3899" s="52">
        <f>-bthan*500+(43+0.5)*bthan*1000/50</f>
        <v>2035</v>
      </c>
      <c r="C3899" s="52">
        <f t="shared" si="349"/>
        <v>750</v>
      </c>
      <c r="D3899" s="52">
        <f t="shared" si="346"/>
        <v>2200</v>
      </c>
      <c r="E3899" s="52">
        <f t="shared" si="347"/>
        <v>1</v>
      </c>
      <c r="F3899" s="52"/>
      <c r="G3899" s="52"/>
      <c r="H3899" s="52"/>
      <c r="I3899" s="52"/>
      <c r="J3899" s="52"/>
      <c r="K3899" s="52"/>
      <c r="L3899" s="52"/>
      <c r="M3899" s="52"/>
      <c r="N3899" s="52"/>
      <c r="O3899" s="52"/>
      <c r="P3899" s="52"/>
      <c r="Q3899" s="52"/>
      <c r="R3899" s="52"/>
      <c r="S3899" s="52"/>
      <c r="T3899" s="52"/>
      <c r="U3899" s="52"/>
      <c r="V3899" s="52"/>
      <c r="W3899" s="52"/>
      <c r="X3899" s="52"/>
      <c r="Y3899" s="52"/>
      <c r="Z3899" s="52"/>
      <c r="AA3899" s="52"/>
      <c r="AB3899" s="52"/>
      <c r="AC3899" s="52"/>
      <c r="AD3899" s="52"/>
      <c r="AE3899" s="52"/>
      <c r="AF3899" s="52"/>
      <c r="AG3899" s="52"/>
      <c r="AH3899" s="52"/>
      <c r="AI3899" s="52"/>
      <c r="AJ3899" s="52"/>
      <c r="AK3899" s="52"/>
      <c r="AL3899" s="52"/>
      <c r="AM3899" s="52"/>
      <c r="AN3899" s="52"/>
    </row>
    <row r="3900" spans="1:40" x14ac:dyDescent="0.3">
      <c r="A3900" s="52">
        <v>3895</v>
      </c>
      <c r="B3900" s="52">
        <f>-bthan*500+(44+0.5)*bthan*1000/50</f>
        <v>2145</v>
      </c>
      <c r="C3900" s="52">
        <f t="shared" si="349"/>
        <v>750</v>
      </c>
      <c r="D3900" s="52">
        <f t="shared" si="346"/>
        <v>2200</v>
      </c>
      <c r="E3900" s="52">
        <f t="shared" si="347"/>
        <v>1</v>
      </c>
      <c r="F3900" s="52"/>
      <c r="G3900" s="52"/>
      <c r="H3900" s="52"/>
      <c r="I3900" s="52"/>
      <c r="J3900" s="52"/>
      <c r="K3900" s="52"/>
      <c r="L3900" s="52"/>
      <c r="M3900" s="52"/>
      <c r="N3900" s="52"/>
      <c r="O3900" s="52"/>
      <c r="P3900" s="52"/>
      <c r="Q3900" s="52"/>
      <c r="R3900" s="52"/>
      <c r="S3900" s="52"/>
      <c r="T3900" s="52"/>
      <c r="U3900" s="52"/>
      <c r="V3900" s="52"/>
      <c r="W3900" s="52"/>
      <c r="X3900" s="52"/>
      <c r="Y3900" s="52"/>
      <c r="Z3900" s="52"/>
      <c r="AA3900" s="52"/>
      <c r="AB3900" s="52"/>
      <c r="AC3900" s="52"/>
      <c r="AD3900" s="52"/>
      <c r="AE3900" s="52"/>
      <c r="AF3900" s="52"/>
      <c r="AG3900" s="52"/>
      <c r="AH3900" s="52"/>
      <c r="AI3900" s="52"/>
      <c r="AJ3900" s="52"/>
      <c r="AK3900" s="52"/>
      <c r="AL3900" s="52"/>
      <c r="AM3900" s="52"/>
      <c r="AN3900" s="52"/>
    </row>
    <row r="3901" spans="1:40" x14ac:dyDescent="0.3">
      <c r="A3901" s="52">
        <v>3896</v>
      </c>
      <c r="B3901" s="52">
        <f>-bthan*500+(45+0.5)*bthan*1000/50</f>
        <v>2255</v>
      </c>
      <c r="C3901" s="52">
        <f t="shared" si="349"/>
        <v>750</v>
      </c>
      <c r="D3901" s="52">
        <f t="shared" si="346"/>
        <v>2200</v>
      </c>
      <c r="E3901" s="52">
        <f t="shared" si="347"/>
        <v>0</v>
      </c>
      <c r="F3901" s="52"/>
      <c r="G3901" s="52"/>
      <c r="H3901" s="52"/>
      <c r="I3901" s="52"/>
      <c r="J3901" s="52"/>
      <c r="K3901" s="52"/>
      <c r="L3901" s="52"/>
      <c r="M3901" s="52"/>
      <c r="N3901" s="52"/>
      <c r="O3901" s="52"/>
      <c r="P3901" s="52"/>
      <c r="Q3901" s="52"/>
      <c r="R3901" s="52"/>
      <c r="S3901" s="52"/>
      <c r="T3901" s="52"/>
      <c r="U3901" s="52"/>
      <c r="V3901" s="52"/>
      <c r="W3901" s="52"/>
      <c r="X3901" s="52"/>
      <c r="Y3901" s="52"/>
      <c r="Z3901" s="52"/>
      <c r="AA3901" s="52"/>
      <c r="AB3901" s="52"/>
      <c r="AC3901" s="52"/>
      <c r="AD3901" s="52"/>
      <c r="AE3901" s="52"/>
      <c r="AF3901" s="52"/>
      <c r="AG3901" s="52"/>
      <c r="AH3901" s="52"/>
      <c r="AI3901" s="52"/>
      <c r="AJ3901" s="52"/>
      <c r="AK3901" s="52"/>
      <c r="AL3901" s="52"/>
      <c r="AM3901" s="52"/>
      <c r="AN3901" s="52"/>
    </row>
    <row r="3902" spans="1:40" x14ac:dyDescent="0.3">
      <c r="A3902" s="52">
        <v>3897</v>
      </c>
      <c r="B3902" s="52">
        <f>-bthan*500+(46+0.5)*bthan*1000/50</f>
        <v>2365</v>
      </c>
      <c r="C3902" s="52">
        <f t="shared" si="349"/>
        <v>750</v>
      </c>
      <c r="D3902" s="52">
        <f t="shared" si="346"/>
        <v>2200</v>
      </c>
      <c r="E3902" s="52">
        <f t="shared" si="347"/>
        <v>0</v>
      </c>
      <c r="F3902" s="52"/>
      <c r="G3902" s="52"/>
      <c r="H3902" s="52"/>
      <c r="I3902" s="52"/>
      <c r="J3902" s="52"/>
      <c r="K3902" s="52"/>
      <c r="L3902" s="52"/>
      <c r="M3902" s="52"/>
      <c r="N3902" s="52"/>
      <c r="O3902" s="52"/>
      <c r="P3902" s="52"/>
      <c r="Q3902" s="52"/>
      <c r="R3902" s="52"/>
      <c r="S3902" s="52"/>
      <c r="T3902" s="52"/>
      <c r="U3902" s="52"/>
      <c r="V3902" s="52"/>
      <c r="W3902" s="52"/>
      <c r="X3902" s="52"/>
      <c r="Y3902" s="52"/>
      <c r="Z3902" s="52"/>
      <c r="AA3902" s="52"/>
      <c r="AB3902" s="52"/>
      <c r="AC3902" s="52"/>
      <c r="AD3902" s="52"/>
      <c r="AE3902" s="52"/>
      <c r="AF3902" s="52"/>
      <c r="AG3902" s="52"/>
      <c r="AH3902" s="52"/>
      <c r="AI3902" s="52"/>
      <c r="AJ3902" s="52"/>
      <c r="AK3902" s="52"/>
      <c r="AL3902" s="52"/>
      <c r="AM3902" s="52"/>
      <c r="AN3902" s="52"/>
    </row>
    <row r="3903" spans="1:40" x14ac:dyDescent="0.3">
      <c r="A3903" s="52">
        <v>3898</v>
      </c>
      <c r="B3903" s="52">
        <f>-bthan*500+(47+0.5)*bthan*1000/50</f>
        <v>2475</v>
      </c>
      <c r="C3903" s="52">
        <f t="shared" si="349"/>
        <v>750</v>
      </c>
      <c r="D3903" s="52">
        <f t="shared" si="346"/>
        <v>2200</v>
      </c>
      <c r="E3903" s="52">
        <f t="shared" si="347"/>
        <v>0</v>
      </c>
      <c r="F3903" s="52"/>
      <c r="G3903" s="52"/>
      <c r="H3903" s="52"/>
      <c r="I3903" s="52"/>
      <c r="J3903" s="52"/>
      <c r="K3903" s="52"/>
      <c r="L3903" s="52"/>
      <c r="M3903" s="52"/>
      <c r="N3903" s="52"/>
      <c r="O3903" s="52"/>
      <c r="P3903" s="52"/>
      <c r="Q3903" s="52"/>
      <c r="R3903" s="52"/>
      <c r="S3903" s="52"/>
      <c r="T3903" s="52"/>
      <c r="U3903" s="52"/>
      <c r="V3903" s="52"/>
      <c r="W3903" s="52"/>
      <c r="X3903" s="52"/>
      <c r="Y3903" s="52"/>
      <c r="Z3903" s="52"/>
      <c r="AA3903" s="52"/>
      <c r="AB3903" s="52"/>
      <c r="AC3903" s="52"/>
      <c r="AD3903" s="52"/>
      <c r="AE3903" s="52"/>
      <c r="AF3903" s="52"/>
      <c r="AG3903" s="52"/>
      <c r="AH3903" s="52"/>
      <c r="AI3903" s="52"/>
      <c r="AJ3903" s="52"/>
      <c r="AK3903" s="52"/>
      <c r="AL3903" s="52"/>
      <c r="AM3903" s="52"/>
      <c r="AN3903" s="52"/>
    </row>
    <row r="3904" spans="1:40" x14ac:dyDescent="0.3">
      <c r="A3904" s="52">
        <v>3899</v>
      </c>
      <c r="B3904" s="52">
        <f>-bthan*500+(48+0.5)*bthan*1000/50</f>
        <v>2585</v>
      </c>
      <c r="C3904" s="52">
        <f t="shared" si="349"/>
        <v>750</v>
      </c>
      <c r="D3904" s="52">
        <f t="shared" si="346"/>
        <v>2200</v>
      </c>
      <c r="E3904" s="52">
        <f t="shared" si="347"/>
        <v>0</v>
      </c>
      <c r="F3904" s="52"/>
      <c r="G3904" s="52"/>
      <c r="H3904" s="52"/>
      <c r="I3904" s="52"/>
      <c r="J3904" s="52"/>
      <c r="K3904" s="52"/>
      <c r="L3904" s="52"/>
      <c r="M3904" s="52"/>
      <c r="N3904" s="52"/>
      <c r="O3904" s="52"/>
      <c r="P3904" s="52"/>
      <c r="Q3904" s="52"/>
      <c r="R3904" s="52"/>
      <c r="S3904" s="52"/>
      <c r="T3904" s="52"/>
      <c r="U3904" s="52"/>
      <c r="V3904" s="52"/>
      <c r="W3904" s="52"/>
      <c r="X3904" s="52"/>
      <c r="Y3904" s="52"/>
      <c r="Z3904" s="52"/>
      <c r="AA3904" s="52"/>
      <c r="AB3904" s="52"/>
      <c r="AC3904" s="52"/>
      <c r="AD3904" s="52"/>
      <c r="AE3904" s="52"/>
      <c r="AF3904" s="52"/>
      <c r="AG3904" s="52"/>
      <c r="AH3904" s="52"/>
      <c r="AI3904" s="52"/>
      <c r="AJ3904" s="52"/>
      <c r="AK3904" s="52"/>
      <c r="AL3904" s="52"/>
      <c r="AM3904" s="52"/>
      <c r="AN3904" s="52"/>
    </row>
    <row r="3905" spans="1:40" x14ac:dyDescent="0.3">
      <c r="A3905" s="52">
        <v>3900</v>
      </c>
      <c r="B3905" s="52">
        <f>-bthan*500+(49+0.5)*bthan*1000/50</f>
        <v>2695</v>
      </c>
      <c r="C3905" s="52">
        <f t="shared" si="349"/>
        <v>750</v>
      </c>
      <c r="D3905" s="52">
        <f t="shared" si="346"/>
        <v>2200</v>
      </c>
      <c r="E3905" s="52">
        <f t="shared" si="347"/>
        <v>0</v>
      </c>
      <c r="F3905" s="52"/>
      <c r="G3905" s="52"/>
      <c r="H3905" s="52"/>
      <c r="I3905" s="52"/>
      <c r="J3905" s="52"/>
      <c r="K3905" s="52"/>
      <c r="L3905" s="52"/>
      <c r="M3905" s="52"/>
      <c r="N3905" s="52"/>
      <c r="O3905" s="52"/>
      <c r="P3905" s="52"/>
      <c r="Q3905" s="52"/>
      <c r="R3905" s="52"/>
      <c r="S3905" s="52"/>
      <c r="T3905" s="52"/>
      <c r="U3905" s="52"/>
      <c r="V3905" s="52"/>
      <c r="W3905" s="52"/>
      <c r="X3905" s="52"/>
      <c r="Y3905" s="52"/>
      <c r="Z3905" s="52"/>
      <c r="AA3905" s="52"/>
      <c r="AB3905" s="52"/>
      <c r="AC3905" s="52"/>
      <c r="AD3905" s="52"/>
      <c r="AE3905" s="52"/>
      <c r="AF3905" s="52"/>
      <c r="AG3905" s="52"/>
      <c r="AH3905" s="52"/>
      <c r="AI3905" s="52"/>
      <c r="AJ3905" s="52"/>
      <c r="AK3905" s="52"/>
      <c r="AL3905" s="52"/>
      <c r="AM3905" s="52"/>
      <c r="AN3905" s="52"/>
    </row>
    <row r="3906" spans="1:40" x14ac:dyDescent="0.3">
      <c r="A3906" s="52">
        <v>3901</v>
      </c>
      <c r="B3906" s="52">
        <f>-bthan*500+(0+0.5)*bthan*1000/50</f>
        <v>-2695</v>
      </c>
      <c r="C3906" s="52">
        <f t="shared" ref="C3906:C3937" si="350">-hthan*500+(78+0.5)*hthan*1000/80</f>
        <v>770.00000000000023</v>
      </c>
      <c r="D3906" s="52">
        <f t="shared" si="346"/>
        <v>2200</v>
      </c>
      <c r="E3906" s="52">
        <f t="shared" si="347"/>
        <v>0</v>
      </c>
      <c r="F3906" s="52"/>
      <c r="G3906" s="52"/>
      <c r="H3906" s="52"/>
      <c r="I3906" s="52"/>
      <c r="J3906" s="52"/>
      <c r="K3906" s="52"/>
      <c r="L3906" s="52"/>
      <c r="M3906" s="52"/>
      <c r="N3906" s="52"/>
      <c r="O3906" s="52"/>
      <c r="P3906" s="52"/>
      <c r="Q3906" s="52"/>
      <c r="R3906" s="52"/>
      <c r="S3906" s="52"/>
      <c r="T3906" s="52"/>
      <c r="U3906" s="52"/>
      <c r="V3906" s="52"/>
      <c r="W3906" s="52"/>
      <c r="X3906" s="52"/>
      <c r="Y3906" s="52"/>
      <c r="Z3906" s="52"/>
      <c r="AA3906" s="52"/>
      <c r="AB3906" s="52"/>
      <c r="AC3906" s="52"/>
      <c r="AD3906" s="52"/>
      <c r="AE3906" s="52"/>
      <c r="AF3906" s="52"/>
      <c r="AG3906" s="52"/>
      <c r="AH3906" s="52"/>
      <c r="AI3906" s="52"/>
      <c r="AJ3906" s="52"/>
      <c r="AK3906" s="52"/>
      <c r="AL3906" s="52"/>
      <c r="AM3906" s="52"/>
      <c r="AN3906" s="52"/>
    </row>
    <row r="3907" spans="1:40" x14ac:dyDescent="0.3">
      <c r="A3907" s="52">
        <v>3902</v>
      </c>
      <c r="B3907" s="52">
        <f>-bthan*500+(1+0.5)*bthan*1000/50</f>
        <v>-2585</v>
      </c>
      <c r="C3907" s="52">
        <f t="shared" si="350"/>
        <v>770.00000000000023</v>
      </c>
      <c r="D3907" s="52">
        <f t="shared" si="346"/>
        <v>2200</v>
      </c>
      <c r="E3907" s="52">
        <f t="shared" si="347"/>
        <v>0</v>
      </c>
      <c r="F3907" s="52"/>
      <c r="G3907" s="52"/>
      <c r="H3907" s="52"/>
      <c r="I3907" s="52"/>
      <c r="J3907" s="52"/>
      <c r="K3907" s="52"/>
      <c r="L3907" s="52"/>
      <c r="M3907" s="52"/>
      <c r="N3907" s="52"/>
      <c r="O3907" s="52"/>
      <c r="P3907" s="52"/>
      <c r="Q3907" s="52"/>
      <c r="R3907" s="52"/>
      <c r="S3907" s="52"/>
      <c r="T3907" s="52"/>
      <c r="U3907" s="52"/>
      <c r="V3907" s="52"/>
      <c r="W3907" s="52"/>
      <c r="X3907" s="52"/>
      <c r="Y3907" s="52"/>
      <c r="Z3907" s="52"/>
      <c r="AA3907" s="52"/>
      <c r="AB3907" s="52"/>
      <c r="AC3907" s="52"/>
      <c r="AD3907" s="52"/>
      <c r="AE3907" s="52"/>
      <c r="AF3907" s="52"/>
      <c r="AG3907" s="52"/>
      <c r="AH3907" s="52"/>
      <c r="AI3907" s="52"/>
      <c r="AJ3907" s="52"/>
      <c r="AK3907" s="52"/>
      <c r="AL3907" s="52"/>
      <c r="AM3907" s="52"/>
      <c r="AN3907" s="52"/>
    </row>
    <row r="3908" spans="1:40" x14ac:dyDescent="0.3">
      <c r="A3908" s="52">
        <v>3903</v>
      </c>
      <c r="B3908" s="52">
        <f>-bthan*500+(2+0.5)*bthan*1000/50</f>
        <v>-2475</v>
      </c>
      <c r="C3908" s="52">
        <f t="shared" si="350"/>
        <v>770.00000000000023</v>
      </c>
      <c r="D3908" s="52">
        <f t="shared" si="346"/>
        <v>2200</v>
      </c>
      <c r="E3908" s="52">
        <f t="shared" si="347"/>
        <v>0</v>
      </c>
      <c r="F3908" s="52"/>
      <c r="G3908" s="52"/>
      <c r="H3908" s="52"/>
      <c r="I3908" s="52"/>
      <c r="J3908" s="52"/>
      <c r="K3908" s="52"/>
      <c r="L3908" s="52"/>
      <c r="M3908" s="52"/>
      <c r="N3908" s="52"/>
      <c r="O3908" s="52"/>
      <c r="P3908" s="52"/>
      <c r="Q3908" s="52"/>
      <c r="R3908" s="52"/>
      <c r="S3908" s="52"/>
      <c r="T3908" s="52"/>
      <c r="U3908" s="52"/>
      <c r="V3908" s="52"/>
      <c r="W3908" s="52"/>
      <c r="X3908" s="52"/>
      <c r="Y3908" s="52"/>
      <c r="Z3908" s="52"/>
      <c r="AA3908" s="52"/>
      <c r="AB3908" s="52"/>
      <c r="AC3908" s="52"/>
      <c r="AD3908" s="52"/>
      <c r="AE3908" s="52"/>
      <c r="AF3908" s="52"/>
      <c r="AG3908" s="52"/>
      <c r="AH3908" s="52"/>
      <c r="AI3908" s="52"/>
      <c r="AJ3908" s="52"/>
      <c r="AK3908" s="52"/>
      <c r="AL3908" s="52"/>
      <c r="AM3908" s="52"/>
      <c r="AN3908" s="52"/>
    </row>
    <row r="3909" spans="1:40" x14ac:dyDescent="0.3">
      <c r="A3909" s="52">
        <v>3904</v>
      </c>
      <c r="B3909" s="52">
        <f>-bthan*500+(3+0.5)*bthan*1000/50</f>
        <v>-2365</v>
      </c>
      <c r="C3909" s="52">
        <f t="shared" si="350"/>
        <v>770.00000000000023</v>
      </c>
      <c r="D3909" s="52">
        <f t="shared" si="346"/>
        <v>2200</v>
      </c>
      <c r="E3909" s="52">
        <f t="shared" si="347"/>
        <v>0</v>
      </c>
      <c r="F3909" s="52"/>
      <c r="G3909" s="52"/>
      <c r="H3909" s="52"/>
      <c r="I3909" s="52"/>
      <c r="J3909" s="52"/>
      <c r="K3909" s="52"/>
      <c r="L3909" s="52"/>
      <c r="M3909" s="52"/>
      <c r="N3909" s="52"/>
      <c r="O3909" s="52"/>
      <c r="P3909" s="52"/>
      <c r="Q3909" s="52"/>
      <c r="R3909" s="52"/>
      <c r="S3909" s="52"/>
      <c r="T3909" s="52"/>
      <c r="U3909" s="52"/>
      <c r="V3909" s="52"/>
      <c r="W3909" s="52"/>
      <c r="X3909" s="52"/>
      <c r="Y3909" s="52"/>
      <c r="Z3909" s="52"/>
      <c r="AA3909" s="52"/>
      <c r="AB3909" s="52"/>
      <c r="AC3909" s="52"/>
      <c r="AD3909" s="52"/>
      <c r="AE3909" s="52"/>
      <c r="AF3909" s="52"/>
      <c r="AG3909" s="52"/>
      <c r="AH3909" s="52"/>
      <c r="AI3909" s="52"/>
      <c r="AJ3909" s="52"/>
      <c r="AK3909" s="52"/>
      <c r="AL3909" s="52"/>
      <c r="AM3909" s="52"/>
      <c r="AN3909" s="52"/>
    </row>
    <row r="3910" spans="1:40" x14ac:dyDescent="0.3">
      <c r="A3910" s="52">
        <v>3905</v>
      </c>
      <c r="B3910" s="52">
        <f>-bthan*500+(4+0.5)*bthan*1000/50</f>
        <v>-2255</v>
      </c>
      <c r="C3910" s="52">
        <f t="shared" si="350"/>
        <v>770.00000000000023</v>
      </c>
      <c r="D3910" s="52">
        <f t="shared" ref="D3910:D3973" si="351">bthan*1000/50*hthan*1000/80</f>
        <v>2200</v>
      </c>
      <c r="E3910" s="52">
        <f t="shared" ref="E3910:E3973" si="352">IF(shp=1,--(OR(ABS(B3910)&lt;=MAX(0,(bthan-hthan)*500),(ABS(B3910)-MAX(0,(bthan-hthan)*500))^2+C3910^2&lt;=(hthan*500)^2)),--(AND(ABS(B3910)&lt;=bthan*500,ABS(C3910)&lt;=hthan*500,OR(ABS(B3910)&lt;=bthan*500-cch*1000,ABS(C3910)&lt;=hthan*500-cch*1000,(bthan*500-ABS(B3910))+(hthan*500-ABS(C3910))&gt;=cch*1000))))</f>
        <v>0</v>
      </c>
      <c r="F3910" s="52"/>
      <c r="G3910" s="52"/>
      <c r="H3910" s="52"/>
      <c r="I3910" s="52"/>
      <c r="J3910" s="52"/>
      <c r="K3910" s="52"/>
      <c r="L3910" s="52"/>
      <c r="M3910" s="52"/>
      <c r="N3910" s="52"/>
      <c r="O3910" s="52"/>
      <c r="P3910" s="52"/>
      <c r="Q3910" s="52"/>
      <c r="R3910" s="52"/>
      <c r="S3910" s="52"/>
      <c r="T3910" s="52"/>
      <c r="U3910" s="52"/>
      <c r="V3910" s="52"/>
      <c r="W3910" s="52"/>
      <c r="X3910" s="52"/>
      <c r="Y3910" s="52"/>
      <c r="Z3910" s="52"/>
      <c r="AA3910" s="52"/>
      <c r="AB3910" s="52"/>
      <c r="AC3910" s="52"/>
      <c r="AD3910" s="52"/>
      <c r="AE3910" s="52"/>
      <c r="AF3910" s="52"/>
      <c r="AG3910" s="52"/>
      <c r="AH3910" s="52"/>
      <c r="AI3910" s="52"/>
      <c r="AJ3910" s="52"/>
      <c r="AK3910" s="52"/>
      <c r="AL3910" s="52"/>
      <c r="AM3910" s="52"/>
      <c r="AN3910" s="52"/>
    </row>
    <row r="3911" spans="1:40" x14ac:dyDescent="0.3">
      <c r="A3911" s="52">
        <v>3906</v>
      </c>
      <c r="B3911" s="52">
        <f>-bthan*500+(5+0.5)*bthan*1000/50</f>
        <v>-2145</v>
      </c>
      <c r="C3911" s="52">
        <f t="shared" si="350"/>
        <v>770.00000000000023</v>
      </c>
      <c r="D3911" s="52">
        <f t="shared" si="351"/>
        <v>2200</v>
      </c>
      <c r="E3911" s="52">
        <f t="shared" si="352"/>
        <v>1</v>
      </c>
      <c r="F3911" s="52"/>
      <c r="G3911" s="52"/>
      <c r="H3911" s="52"/>
      <c r="I3911" s="52"/>
      <c r="J3911" s="52"/>
      <c r="K3911" s="52"/>
      <c r="L3911" s="52"/>
      <c r="M3911" s="52"/>
      <c r="N3911" s="52"/>
      <c r="O3911" s="52"/>
      <c r="P3911" s="52"/>
      <c r="Q3911" s="52"/>
      <c r="R3911" s="52"/>
      <c r="S3911" s="52"/>
      <c r="T3911" s="52"/>
      <c r="U3911" s="52"/>
      <c r="V3911" s="52"/>
      <c r="W3911" s="52"/>
      <c r="X3911" s="52"/>
      <c r="Y3911" s="52"/>
      <c r="Z3911" s="52"/>
      <c r="AA3911" s="52"/>
      <c r="AB3911" s="52"/>
      <c r="AC3911" s="52"/>
      <c r="AD3911" s="52"/>
      <c r="AE3911" s="52"/>
      <c r="AF3911" s="52"/>
      <c r="AG3911" s="52"/>
      <c r="AH3911" s="52"/>
      <c r="AI3911" s="52"/>
      <c r="AJ3911" s="52"/>
      <c r="AK3911" s="52"/>
      <c r="AL3911" s="52"/>
      <c r="AM3911" s="52"/>
      <c r="AN3911" s="52"/>
    </row>
    <row r="3912" spans="1:40" x14ac:dyDescent="0.3">
      <c r="A3912" s="52">
        <v>3907</v>
      </c>
      <c r="B3912" s="52">
        <f>-bthan*500+(6+0.5)*bthan*1000/50</f>
        <v>-2035</v>
      </c>
      <c r="C3912" s="52">
        <f t="shared" si="350"/>
        <v>770.00000000000023</v>
      </c>
      <c r="D3912" s="52">
        <f t="shared" si="351"/>
        <v>2200</v>
      </c>
      <c r="E3912" s="52">
        <f t="shared" si="352"/>
        <v>1</v>
      </c>
      <c r="F3912" s="52"/>
      <c r="G3912" s="52"/>
      <c r="H3912" s="52"/>
      <c r="I3912" s="52"/>
      <c r="J3912" s="52"/>
      <c r="K3912" s="52"/>
      <c r="L3912" s="52"/>
      <c r="M3912" s="52"/>
      <c r="N3912" s="52"/>
      <c r="O3912" s="52"/>
      <c r="P3912" s="52"/>
      <c r="Q3912" s="52"/>
      <c r="R3912" s="52"/>
      <c r="S3912" s="52"/>
      <c r="T3912" s="52"/>
      <c r="U3912" s="52"/>
      <c r="V3912" s="52"/>
      <c r="W3912" s="52"/>
      <c r="X3912" s="52"/>
      <c r="Y3912" s="52"/>
      <c r="Z3912" s="52"/>
      <c r="AA3912" s="52"/>
      <c r="AB3912" s="52"/>
      <c r="AC3912" s="52"/>
      <c r="AD3912" s="52"/>
      <c r="AE3912" s="52"/>
      <c r="AF3912" s="52"/>
      <c r="AG3912" s="52"/>
      <c r="AH3912" s="52"/>
      <c r="AI3912" s="52"/>
      <c r="AJ3912" s="52"/>
      <c r="AK3912" s="52"/>
      <c r="AL3912" s="52"/>
      <c r="AM3912" s="52"/>
      <c r="AN3912" s="52"/>
    </row>
    <row r="3913" spans="1:40" x14ac:dyDescent="0.3">
      <c r="A3913" s="52">
        <v>3908</v>
      </c>
      <c r="B3913" s="52">
        <f>-bthan*500+(7+0.5)*bthan*1000/50</f>
        <v>-1925</v>
      </c>
      <c r="C3913" s="52">
        <f t="shared" si="350"/>
        <v>770.00000000000023</v>
      </c>
      <c r="D3913" s="52">
        <f t="shared" si="351"/>
        <v>2200</v>
      </c>
      <c r="E3913" s="52">
        <f t="shared" si="352"/>
        <v>1</v>
      </c>
      <c r="F3913" s="52"/>
      <c r="G3913" s="52"/>
      <c r="H3913" s="52"/>
      <c r="I3913" s="52"/>
      <c r="J3913" s="52"/>
      <c r="K3913" s="52"/>
      <c r="L3913" s="52"/>
      <c r="M3913" s="52"/>
      <c r="N3913" s="52"/>
      <c r="O3913" s="52"/>
      <c r="P3913" s="52"/>
      <c r="Q3913" s="52"/>
      <c r="R3913" s="52"/>
      <c r="S3913" s="52"/>
      <c r="T3913" s="52"/>
      <c r="U3913" s="52"/>
      <c r="V3913" s="52"/>
      <c r="W3913" s="52"/>
      <c r="X3913" s="52"/>
      <c r="Y3913" s="52"/>
      <c r="Z3913" s="52"/>
      <c r="AA3913" s="52"/>
      <c r="AB3913" s="52"/>
      <c r="AC3913" s="52"/>
      <c r="AD3913" s="52"/>
      <c r="AE3913" s="52"/>
      <c r="AF3913" s="52"/>
      <c r="AG3913" s="52"/>
      <c r="AH3913" s="52"/>
      <c r="AI3913" s="52"/>
      <c r="AJ3913" s="52"/>
      <c r="AK3913" s="52"/>
      <c r="AL3913" s="52"/>
      <c r="AM3913" s="52"/>
      <c r="AN3913" s="52"/>
    </row>
    <row r="3914" spans="1:40" x14ac:dyDescent="0.3">
      <c r="A3914" s="52">
        <v>3909</v>
      </c>
      <c r="B3914" s="52">
        <f>-bthan*500+(8+0.5)*bthan*1000/50</f>
        <v>-1815</v>
      </c>
      <c r="C3914" s="52">
        <f t="shared" si="350"/>
        <v>770.00000000000023</v>
      </c>
      <c r="D3914" s="52">
        <f t="shared" si="351"/>
        <v>2200</v>
      </c>
      <c r="E3914" s="52">
        <f t="shared" si="352"/>
        <v>1</v>
      </c>
      <c r="F3914" s="52"/>
      <c r="G3914" s="52"/>
      <c r="H3914" s="52"/>
      <c r="I3914" s="52"/>
      <c r="J3914" s="52"/>
      <c r="K3914" s="52"/>
      <c r="L3914" s="52"/>
      <c r="M3914" s="52"/>
      <c r="N3914" s="52"/>
      <c r="O3914" s="52"/>
      <c r="P3914" s="52"/>
      <c r="Q3914" s="52"/>
      <c r="R3914" s="52"/>
      <c r="S3914" s="52"/>
      <c r="T3914" s="52"/>
      <c r="U3914" s="52"/>
      <c r="V3914" s="52"/>
      <c r="W3914" s="52"/>
      <c r="X3914" s="52"/>
      <c r="Y3914" s="52"/>
      <c r="Z3914" s="52"/>
      <c r="AA3914" s="52"/>
      <c r="AB3914" s="52"/>
      <c r="AC3914" s="52"/>
      <c r="AD3914" s="52"/>
      <c r="AE3914" s="52"/>
      <c r="AF3914" s="52"/>
      <c r="AG3914" s="52"/>
      <c r="AH3914" s="52"/>
      <c r="AI3914" s="52"/>
      <c r="AJ3914" s="52"/>
      <c r="AK3914" s="52"/>
      <c r="AL3914" s="52"/>
      <c r="AM3914" s="52"/>
      <c r="AN3914" s="52"/>
    </row>
    <row r="3915" spans="1:40" x14ac:dyDescent="0.3">
      <c r="A3915" s="52">
        <v>3910</v>
      </c>
      <c r="B3915" s="52">
        <f>-bthan*500+(9+0.5)*bthan*1000/50</f>
        <v>-1705</v>
      </c>
      <c r="C3915" s="52">
        <f t="shared" si="350"/>
        <v>770.00000000000023</v>
      </c>
      <c r="D3915" s="52">
        <f t="shared" si="351"/>
        <v>2200</v>
      </c>
      <c r="E3915" s="52">
        <f t="shared" si="352"/>
        <v>1</v>
      </c>
      <c r="F3915" s="52"/>
      <c r="G3915" s="52"/>
      <c r="H3915" s="52"/>
      <c r="I3915" s="52"/>
      <c r="J3915" s="52"/>
      <c r="K3915" s="52"/>
      <c r="L3915" s="52"/>
      <c r="M3915" s="52"/>
      <c r="N3915" s="52"/>
      <c r="O3915" s="52"/>
      <c r="P3915" s="52"/>
      <c r="Q3915" s="52"/>
      <c r="R3915" s="52"/>
      <c r="S3915" s="52"/>
      <c r="T3915" s="52"/>
      <c r="U3915" s="52"/>
      <c r="V3915" s="52"/>
      <c r="W3915" s="52"/>
      <c r="X3915" s="52"/>
      <c r="Y3915" s="52"/>
      <c r="Z3915" s="52"/>
      <c r="AA3915" s="52"/>
      <c r="AB3915" s="52"/>
      <c r="AC3915" s="52"/>
      <c r="AD3915" s="52"/>
      <c r="AE3915" s="52"/>
      <c r="AF3915" s="52"/>
      <c r="AG3915" s="52"/>
      <c r="AH3915" s="52"/>
      <c r="AI3915" s="52"/>
      <c r="AJ3915" s="52"/>
      <c r="AK3915" s="52"/>
      <c r="AL3915" s="52"/>
      <c r="AM3915" s="52"/>
      <c r="AN3915" s="52"/>
    </row>
    <row r="3916" spans="1:40" x14ac:dyDescent="0.3">
      <c r="A3916" s="52">
        <v>3911</v>
      </c>
      <c r="B3916" s="52">
        <f>-bthan*500+(10+0.5)*bthan*1000/50</f>
        <v>-1595</v>
      </c>
      <c r="C3916" s="52">
        <f t="shared" si="350"/>
        <v>770.00000000000023</v>
      </c>
      <c r="D3916" s="52">
        <f t="shared" si="351"/>
        <v>2200</v>
      </c>
      <c r="E3916" s="52">
        <f t="shared" si="352"/>
        <v>1</v>
      </c>
      <c r="F3916" s="52"/>
      <c r="G3916" s="52"/>
      <c r="H3916" s="52"/>
      <c r="I3916" s="52"/>
      <c r="J3916" s="52"/>
      <c r="K3916" s="52"/>
      <c r="L3916" s="52"/>
      <c r="M3916" s="52"/>
      <c r="N3916" s="52"/>
      <c r="O3916" s="52"/>
      <c r="P3916" s="52"/>
      <c r="Q3916" s="52"/>
      <c r="R3916" s="52"/>
      <c r="S3916" s="52"/>
      <c r="T3916" s="52"/>
      <c r="U3916" s="52"/>
      <c r="V3916" s="52"/>
      <c r="W3916" s="52"/>
      <c r="X3916" s="52"/>
      <c r="Y3916" s="52"/>
      <c r="Z3916" s="52"/>
      <c r="AA3916" s="52"/>
      <c r="AB3916" s="52"/>
      <c r="AC3916" s="52"/>
      <c r="AD3916" s="52"/>
      <c r="AE3916" s="52"/>
      <c r="AF3916" s="52"/>
      <c r="AG3916" s="52"/>
      <c r="AH3916" s="52"/>
      <c r="AI3916" s="52"/>
      <c r="AJ3916" s="52"/>
      <c r="AK3916" s="52"/>
      <c r="AL3916" s="52"/>
      <c r="AM3916" s="52"/>
      <c r="AN3916" s="52"/>
    </row>
    <row r="3917" spans="1:40" x14ac:dyDescent="0.3">
      <c r="A3917" s="52">
        <v>3912</v>
      </c>
      <c r="B3917" s="52">
        <f>-bthan*500+(11+0.5)*bthan*1000/50</f>
        <v>-1485</v>
      </c>
      <c r="C3917" s="52">
        <f t="shared" si="350"/>
        <v>770.00000000000023</v>
      </c>
      <c r="D3917" s="52">
        <f t="shared" si="351"/>
        <v>2200</v>
      </c>
      <c r="E3917" s="52">
        <f t="shared" si="352"/>
        <v>1</v>
      </c>
      <c r="F3917" s="52"/>
      <c r="G3917" s="52"/>
      <c r="H3917" s="52"/>
      <c r="I3917" s="52"/>
      <c r="J3917" s="52"/>
      <c r="K3917" s="52"/>
      <c r="L3917" s="52"/>
      <c r="M3917" s="52"/>
      <c r="N3917" s="52"/>
      <c r="O3917" s="52"/>
      <c r="P3917" s="52"/>
      <c r="Q3917" s="52"/>
      <c r="R3917" s="52"/>
      <c r="S3917" s="52"/>
      <c r="T3917" s="52"/>
      <c r="U3917" s="52"/>
      <c r="V3917" s="52"/>
      <c r="W3917" s="52"/>
      <c r="X3917" s="52"/>
      <c r="Y3917" s="52"/>
      <c r="Z3917" s="52"/>
      <c r="AA3917" s="52"/>
      <c r="AB3917" s="52"/>
      <c r="AC3917" s="52"/>
      <c r="AD3917" s="52"/>
      <c r="AE3917" s="52"/>
      <c r="AF3917" s="52"/>
      <c r="AG3917" s="52"/>
      <c r="AH3917" s="52"/>
      <c r="AI3917" s="52"/>
      <c r="AJ3917" s="52"/>
      <c r="AK3917" s="52"/>
      <c r="AL3917" s="52"/>
      <c r="AM3917" s="52"/>
      <c r="AN3917" s="52"/>
    </row>
    <row r="3918" spans="1:40" x14ac:dyDescent="0.3">
      <c r="A3918" s="52">
        <v>3913</v>
      </c>
      <c r="B3918" s="52">
        <f>-bthan*500+(12+0.5)*bthan*1000/50</f>
        <v>-1375</v>
      </c>
      <c r="C3918" s="52">
        <f t="shared" si="350"/>
        <v>770.00000000000023</v>
      </c>
      <c r="D3918" s="52">
        <f t="shared" si="351"/>
        <v>2200</v>
      </c>
      <c r="E3918" s="52">
        <f t="shared" si="352"/>
        <v>1</v>
      </c>
      <c r="F3918" s="52"/>
      <c r="G3918" s="52"/>
      <c r="H3918" s="52"/>
      <c r="I3918" s="52"/>
      <c r="J3918" s="52"/>
      <c r="K3918" s="52"/>
      <c r="L3918" s="52"/>
      <c r="M3918" s="52"/>
      <c r="N3918" s="52"/>
      <c r="O3918" s="52"/>
      <c r="P3918" s="52"/>
      <c r="Q3918" s="52"/>
      <c r="R3918" s="52"/>
      <c r="S3918" s="52"/>
      <c r="T3918" s="52"/>
      <c r="U3918" s="52"/>
      <c r="V3918" s="52"/>
      <c r="W3918" s="52"/>
      <c r="X3918" s="52"/>
      <c r="Y3918" s="52"/>
      <c r="Z3918" s="52"/>
      <c r="AA3918" s="52"/>
      <c r="AB3918" s="52"/>
      <c r="AC3918" s="52"/>
      <c r="AD3918" s="52"/>
      <c r="AE3918" s="52"/>
      <c r="AF3918" s="52"/>
      <c r="AG3918" s="52"/>
      <c r="AH3918" s="52"/>
      <c r="AI3918" s="52"/>
      <c r="AJ3918" s="52"/>
      <c r="AK3918" s="52"/>
      <c r="AL3918" s="52"/>
      <c r="AM3918" s="52"/>
      <c r="AN3918" s="52"/>
    </row>
    <row r="3919" spans="1:40" x14ac:dyDescent="0.3">
      <c r="A3919" s="52">
        <v>3914</v>
      </c>
      <c r="B3919" s="52">
        <f>-bthan*500+(13+0.5)*bthan*1000/50</f>
        <v>-1265</v>
      </c>
      <c r="C3919" s="52">
        <f t="shared" si="350"/>
        <v>770.00000000000023</v>
      </c>
      <c r="D3919" s="52">
        <f t="shared" si="351"/>
        <v>2200</v>
      </c>
      <c r="E3919" s="52">
        <f t="shared" si="352"/>
        <v>1</v>
      </c>
      <c r="F3919" s="52"/>
      <c r="G3919" s="52"/>
      <c r="H3919" s="52"/>
      <c r="I3919" s="52"/>
      <c r="J3919" s="52"/>
      <c r="K3919" s="52"/>
      <c r="L3919" s="52"/>
      <c r="M3919" s="52"/>
      <c r="N3919" s="52"/>
      <c r="O3919" s="52"/>
      <c r="P3919" s="52"/>
      <c r="Q3919" s="52"/>
      <c r="R3919" s="52"/>
      <c r="S3919" s="52"/>
      <c r="T3919" s="52"/>
      <c r="U3919" s="52"/>
      <c r="V3919" s="52"/>
      <c r="W3919" s="52"/>
      <c r="X3919" s="52"/>
      <c r="Y3919" s="52"/>
      <c r="Z3919" s="52"/>
      <c r="AA3919" s="52"/>
      <c r="AB3919" s="52"/>
      <c r="AC3919" s="52"/>
      <c r="AD3919" s="52"/>
      <c r="AE3919" s="52"/>
      <c r="AF3919" s="52"/>
      <c r="AG3919" s="52"/>
      <c r="AH3919" s="52"/>
      <c r="AI3919" s="52"/>
      <c r="AJ3919" s="52"/>
      <c r="AK3919" s="52"/>
      <c r="AL3919" s="52"/>
      <c r="AM3919" s="52"/>
      <c r="AN3919" s="52"/>
    </row>
    <row r="3920" spans="1:40" x14ac:dyDescent="0.3">
      <c r="A3920" s="52">
        <v>3915</v>
      </c>
      <c r="B3920" s="52">
        <f>-bthan*500+(14+0.5)*bthan*1000/50</f>
        <v>-1155</v>
      </c>
      <c r="C3920" s="52">
        <f t="shared" si="350"/>
        <v>770.00000000000023</v>
      </c>
      <c r="D3920" s="52">
        <f t="shared" si="351"/>
        <v>2200</v>
      </c>
      <c r="E3920" s="52">
        <f t="shared" si="352"/>
        <v>1</v>
      </c>
      <c r="F3920" s="52"/>
      <c r="G3920" s="52"/>
      <c r="H3920" s="52"/>
      <c r="I3920" s="52"/>
      <c r="J3920" s="52"/>
      <c r="K3920" s="52"/>
      <c r="L3920" s="52"/>
      <c r="M3920" s="52"/>
      <c r="N3920" s="52"/>
      <c r="O3920" s="52"/>
      <c r="P3920" s="52"/>
      <c r="Q3920" s="52"/>
      <c r="R3920" s="52"/>
      <c r="S3920" s="52"/>
      <c r="T3920" s="52"/>
      <c r="U3920" s="52"/>
      <c r="V3920" s="52"/>
      <c r="W3920" s="52"/>
      <c r="X3920" s="52"/>
      <c r="Y3920" s="52"/>
      <c r="Z3920" s="52"/>
      <c r="AA3920" s="52"/>
      <c r="AB3920" s="52"/>
      <c r="AC3920" s="52"/>
      <c r="AD3920" s="52"/>
      <c r="AE3920" s="52"/>
      <c r="AF3920" s="52"/>
      <c r="AG3920" s="52"/>
      <c r="AH3920" s="52"/>
      <c r="AI3920" s="52"/>
      <c r="AJ3920" s="52"/>
      <c r="AK3920" s="52"/>
      <c r="AL3920" s="52"/>
      <c r="AM3920" s="52"/>
      <c r="AN3920" s="52"/>
    </row>
    <row r="3921" spans="1:40" x14ac:dyDescent="0.3">
      <c r="A3921" s="52">
        <v>3916</v>
      </c>
      <c r="B3921" s="52">
        <f>-bthan*500+(15+0.5)*bthan*1000/50</f>
        <v>-1045</v>
      </c>
      <c r="C3921" s="52">
        <f t="shared" si="350"/>
        <v>770.00000000000023</v>
      </c>
      <c r="D3921" s="52">
        <f t="shared" si="351"/>
        <v>2200</v>
      </c>
      <c r="E3921" s="52">
        <f t="shared" si="352"/>
        <v>1</v>
      </c>
      <c r="F3921" s="52"/>
      <c r="G3921" s="52"/>
      <c r="H3921" s="52"/>
      <c r="I3921" s="52"/>
      <c r="J3921" s="52"/>
      <c r="K3921" s="52"/>
      <c r="L3921" s="52"/>
      <c r="M3921" s="52"/>
      <c r="N3921" s="52"/>
      <c r="O3921" s="52"/>
      <c r="P3921" s="52"/>
      <c r="Q3921" s="52"/>
      <c r="R3921" s="52"/>
      <c r="S3921" s="52"/>
      <c r="T3921" s="52"/>
      <c r="U3921" s="52"/>
      <c r="V3921" s="52"/>
      <c r="W3921" s="52"/>
      <c r="X3921" s="52"/>
      <c r="Y3921" s="52"/>
      <c r="Z3921" s="52"/>
      <c r="AA3921" s="52"/>
      <c r="AB3921" s="52"/>
      <c r="AC3921" s="52"/>
      <c r="AD3921" s="52"/>
      <c r="AE3921" s="52"/>
      <c r="AF3921" s="52"/>
      <c r="AG3921" s="52"/>
      <c r="AH3921" s="52"/>
      <c r="AI3921" s="52"/>
      <c r="AJ3921" s="52"/>
      <c r="AK3921" s="52"/>
      <c r="AL3921" s="52"/>
      <c r="AM3921" s="52"/>
      <c r="AN3921" s="52"/>
    </row>
    <row r="3922" spans="1:40" x14ac:dyDescent="0.3">
      <c r="A3922" s="52">
        <v>3917</v>
      </c>
      <c r="B3922" s="52">
        <f>-bthan*500+(16+0.5)*bthan*1000/50</f>
        <v>-935</v>
      </c>
      <c r="C3922" s="52">
        <f t="shared" si="350"/>
        <v>770.00000000000023</v>
      </c>
      <c r="D3922" s="52">
        <f t="shared" si="351"/>
        <v>2200</v>
      </c>
      <c r="E3922" s="52">
        <f t="shared" si="352"/>
        <v>1</v>
      </c>
      <c r="F3922" s="52"/>
      <c r="G3922" s="52"/>
      <c r="H3922" s="52"/>
      <c r="I3922" s="52"/>
      <c r="J3922" s="52"/>
      <c r="K3922" s="52"/>
      <c r="L3922" s="52"/>
      <c r="M3922" s="52"/>
      <c r="N3922" s="52"/>
      <c r="O3922" s="52"/>
      <c r="P3922" s="52"/>
      <c r="Q3922" s="52"/>
      <c r="R3922" s="52"/>
      <c r="S3922" s="52"/>
      <c r="T3922" s="52"/>
      <c r="U3922" s="52"/>
      <c r="V3922" s="52"/>
      <c r="W3922" s="52"/>
      <c r="X3922" s="52"/>
      <c r="Y3922" s="52"/>
      <c r="Z3922" s="52"/>
      <c r="AA3922" s="52"/>
      <c r="AB3922" s="52"/>
      <c r="AC3922" s="52"/>
      <c r="AD3922" s="52"/>
      <c r="AE3922" s="52"/>
      <c r="AF3922" s="52"/>
      <c r="AG3922" s="52"/>
      <c r="AH3922" s="52"/>
      <c r="AI3922" s="52"/>
      <c r="AJ3922" s="52"/>
      <c r="AK3922" s="52"/>
      <c r="AL3922" s="52"/>
      <c r="AM3922" s="52"/>
      <c r="AN3922" s="52"/>
    </row>
    <row r="3923" spans="1:40" x14ac:dyDescent="0.3">
      <c r="A3923" s="52">
        <v>3918</v>
      </c>
      <c r="B3923" s="52">
        <f>-bthan*500+(17+0.5)*bthan*1000/50</f>
        <v>-825</v>
      </c>
      <c r="C3923" s="52">
        <f t="shared" si="350"/>
        <v>770.00000000000023</v>
      </c>
      <c r="D3923" s="52">
        <f t="shared" si="351"/>
        <v>2200</v>
      </c>
      <c r="E3923" s="52">
        <f t="shared" si="352"/>
        <v>1</v>
      </c>
      <c r="F3923" s="52"/>
      <c r="G3923" s="52"/>
      <c r="H3923" s="52"/>
      <c r="I3923" s="52"/>
      <c r="J3923" s="52"/>
      <c r="K3923" s="52"/>
      <c r="L3923" s="52"/>
      <c r="M3923" s="52"/>
      <c r="N3923" s="52"/>
      <c r="O3923" s="52"/>
      <c r="P3923" s="52"/>
      <c r="Q3923" s="52"/>
      <c r="R3923" s="52"/>
      <c r="S3923" s="52"/>
      <c r="T3923" s="52"/>
      <c r="U3923" s="52"/>
      <c r="V3923" s="52"/>
      <c r="W3923" s="52"/>
      <c r="X3923" s="52"/>
      <c r="Y3923" s="52"/>
      <c r="Z3923" s="52"/>
      <c r="AA3923" s="52"/>
      <c r="AB3923" s="52"/>
      <c r="AC3923" s="52"/>
      <c r="AD3923" s="52"/>
      <c r="AE3923" s="52"/>
      <c r="AF3923" s="52"/>
      <c r="AG3923" s="52"/>
      <c r="AH3923" s="52"/>
      <c r="AI3923" s="52"/>
      <c r="AJ3923" s="52"/>
      <c r="AK3923" s="52"/>
      <c r="AL3923" s="52"/>
      <c r="AM3923" s="52"/>
      <c r="AN3923" s="52"/>
    </row>
    <row r="3924" spans="1:40" x14ac:dyDescent="0.3">
      <c r="A3924" s="52">
        <v>3919</v>
      </c>
      <c r="B3924" s="52">
        <f>-bthan*500+(18+0.5)*bthan*1000/50</f>
        <v>-715</v>
      </c>
      <c r="C3924" s="52">
        <f t="shared" si="350"/>
        <v>770.00000000000023</v>
      </c>
      <c r="D3924" s="52">
        <f t="shared" si="351"/>
        <v>2200</v>
      </c>
      <c r="E3924" s="52">
        <f t="shared" si="352"/>
        <v>1</v>
      </c>
      <c r="F3924" s="52"/>
      <c r="G3924" s="52"/>
      <c r="H3924" s="52"/>
      <c r="I3924" s="52"/>
      <c r="J3924" s="52"/>
      <c r="K3924" s="52"/>
      <c r="L3924" s="52"/>
      <c r="M3924" s="52"/>
      <c r="N3924" s="52"/>
      <c r="O3924" s="52"/>
      <c r="P3924" s="52"/>
      <c r="Q3924" s="52"/>
      <c r="R3924" s="52"/>
      <c r="S3924" s="52"/>
      <c r="T3924" s="52"/>
      <c r="U3924" s="52"/>
      <c r="V3924" s="52"/>
      <c r="W3924" s="52"/>
      <c r="X3924" s="52"/>
      <c r="Y3924" s="52"/>
      <c r="Z3924" s="52"/>
      <c r="AA3924" s="52"/>
      <c r="AB3924" s="52"/>
      <c r="AC3924" s="52"/>
      <c r="AD3924" s="52"/>
      <c r="AE3924" s="52"/>
      <c r="AF3924" s="52"/>
      <c r="AG3924" s="52"/>
      <c r="AH3924" s="52"/>
      <c r="AI3924" s="52"/>
      <c r="AJ3924" s="52"/>
      <c r="AK3924" s="52"/>
      <c r="AL3924" s="52"/>
      <c r="AM3924" s="52"/>
      <c r="AN3924" s="52"/>
    </row>
    <row r="3925" spans="1:40" x14ac:dyDescent="0.3">
      <c r="A3925" s="52">
        <v>3920</v>
      </c>
      <c r="B3925" s="52">
        <f>-bthan*500+(19+0.5)*bthan*1000/50</f>
        <v>-605</v>
      </c>
      <c r="C3925" s="52">
        <f t="shared" si="350"/>
        <v>770.00000000000023</v>
      </c>
      <c r="D3925" s="52">
        <f t="shared" si="351"/>
        <v>2200</v>
      </c>
      <c r="E3925" s="52">
        <f t="shared" si="352"/>
        <v>1</v>
      </c>
      <c r="F3925" s="52"/>
      <c r="G3925" s="52"/>
      <c r="H3925" s="52"/>
      <c r="I3925" s="52"/>
      <c r="J3925" s="52"/>
      <c r="K3925" s="52"/>
      <c r="L3925" s="52"/>
      <c r="M3925" s="52"/>
      <c r="N3925" s="52"/>
      <c r="O3925" s="52"/>
      <c r="P3925" s="52"/>
      <c r="Q3925" s="52"/>
      <c r="R3925" s="52"/>
      <c r="S3925" s="52"/>
      <c r="T3925" s="52"/>
      <c r="U3925" s="52"/>
      <c r="V3925" s="52"/>
      <c r="W3925" s="52"/>
      <c r="X3925" s="52"/>
      <c r="Y3925" s="52"/>
      <c r="Z3925" s="52"/>
      <c r="AA3925" s="52"/>
      <c r="AB3925" s="52"/>
      <c r="AC3925" s="52"/>
      <c r="AD3925" s="52"/>
      <c r="AE3925" s="52"/>
      <c r="AF3925" s="52"/>
      <c r="AG3925" s="52"/>
      <c r="AH3925" s="52"/>
      <c r="AI3925" s="52"/>
      <c r="AJ3925" s="52"/>
      <c r="AK3925" s="52"/>
      <c r="AL3925" s="52"/>
      <c r="AM3925" s="52"/>
      <c r="AN3925" s="52"/>
    </row>
    <row r="3926" spans="1:40" x14ac:dyDescent="0.3">
      <c r="A3926" s="52">
        <v>3921</v>
      </c>
      <c r="B3926" s="52">
        <f>-bthan*500+(20+0.5)*bthan*1000/50</f>
        <v>-495</v>
      </c>
      <c r="C3926" s="52">
        <f t="shared" si="350"/>
        <v>770.00000000000023</v>
      </c>
      <c r="D3926" s="52">
        <f t="shared" si="351"/>
        <v>2200</v>
      </c>
      <c r="E3926" s="52">
        <f t="shared" si="352"/>
        <v>1</v>
      </c>
      <c r="F3926" s="52"/>
      <c r="G3926" s="52"/>
      <c r="H3926" s="52"/>
      <c r="I3926" s="52"/>
      <c r="J3926" s="52"/>
      <c r="K3926" s="52"/>
      <c r="L3926" s="52"/>
      <c r="M3926" s="52"/>
      <c r="N3926" s="52"/>
      <c r="O3926" s="52"/>
      <c r="P3926" s="52"/>
      <c r="Q3926" s="52"/>
      <c r="R3926" s="52"/>
      <c r="S3926" s="52"/>
      <c r="T3926" s="52"/>
      <c r="U3926" s="52"/>
      <c r="V3926" s="52"/>
      <c r="W3926" s="52"/>
      <c r="X3926" s="52"/>
      <c r="Y3926" s="52"/>
      <c r="Z3926" s="52"/>
      <c r="AA3926" s="52"/>
      <c r="AB3926" s="52"/>
      <c r="AC3926" s="52"/>
      <c r="AD3926" s="52"/>
      <c r="AE3926" s="52"/>
      <c r="AF3926" s="52"/>
      <c r="AG3926" s="52"/>
      <c r="AH3926" s="52"/>
      <c r="AI3926" s="52"/>
      <c r="AJ3926" s="52"/>
      <c r="AK3926" s="52"/>
      <c r="AL3926" s="52"/>
      <c r="AM3926" s="52"/>
      <c r="AN3926" s="52"/>
    </row>
    <row r="3927" spans="1:40" x14ac:dyDescent="0.3">
      <c r="A3927" s="52">
        <v>3922</v>
      </c>
      <c r="B3927" s="52">
        <f>-bthan*500+(21+0.5)*bthan*1000/50</f>
        <v>-385</v>
      </c>
      <c r="C3927" s="52">
        <f t="shared" si="350"/>
        <v>770.00000000000023</v>
      </c>
      <c r="D3927" s="52">
        <f t="shared" si="351"/>
        <v>2200</v>
      </c>
      <c r="E3927" s="52">
        <f t="shared" si="352"/>
        <v>1</v>
      </c>
      <c r="F3927" s="52"/>
      <c r="G3927" s="52"/>
      <c r="H3927" s="52"/>
      <c r="I3927" s="52"/>
      <c r="J3927" s="52"/>
      <c r="K3927" s="52"/>
      <c r="L3927" s="52"/>
      <c r="M3927" s="52"/>
      <c r="N3927" s="52"/>
      <c r="O3927" s="52"/>
      <c r="P3927" s="52"/>
      <c r="Q3927" s="52"/>
      <c r="R3927" s="52"/>
      <c r="S3927" s="52"/>
      <c r="T3927" s="52"/>
      <c r="U3927" s="52"/>
      <c r="V3927" s="52"/>
      <c r="W3927" s="52"/>
      <c r="X3927" s="52"/>
      <c r="Y3927" s="52"/>
      <c r="Z3927" s="52"/>
      <c r="AA3927" s="52"/>
      <c r="AB3927" s="52"/>
      <c r="AC3927" s="52"/>
      <c r="AD3927" s="52"/>
      <c r="AE3927" s="52"/>
      <c r="AF3927" s="52"/>
      <c r="AG3927" s="52"/>
      <c r="AH3927" s="52"/>
      <c r="AI3927" s="52"/>
      <c r="AJ3927" s="52"/>
      <c r="AK3927" s="52"/>
      <c r="AL3927" s="52"/>
      <c r="AM3927" s="52"/>
      <c r="AN3927" s="52"/>
    </row>
    <row r="3928" spans="1:40" x14ac:dyDescent="0.3">
      <c r="A3928" s="52">
        <v>3923</v>
      </c>
      <c r="B3928" s="52">
        <f>-bthan*500+(22+0.5)*bthan*1000/50</f>
        <v>-275</v>
      </c>
      <c r="C3928" s="52">
        <f t="shared" si="350"/>
        <v>770.00000000000023</v>
      </c>
      <c r="D3928" s="52">
        <f t="shared" si="351"/>
        <v>2200</v>
      </c>
      <c r="E3928" s="52">
        <f t="shared" si="352"/>
        <v>1</v>
      </c>
      <c r="F3928" s="52"/>
      <c r="G3928" s="52"/>
      <c r="H3928" s="52"/>
      <c r="I3928" s="52"/>
      <c r="J3928" s="52"/>
      <c r="K3928" s="52"/>
      <c r="L3928" s="52"/>
      <c r="M3928" s="52"/>
      <c r="N3928" s="52"/>
      <c r="O3928" s="52"/>
      <c r="P3928" s="52"/>
      <c r="Q3928" s="52"/>
      <c r="R3928" s="52"/>
      <c r="S3928" s="52"/>
      <c r="T3928" s="52"/>
      <c r="U3928" s="52"/>
      <c r="V3928" s="52"/>
      <c r="W3928" s="52"/>
      <c r="X3928" s="52"/>
      <c r="Y3928" s="52"/>
      <c r="Z3928" s="52"/>
      <c r="AA3928" s="52"/>
      <c r="AB3928" s="52"/>
      <c r="AC3928" s="52"/>
      <c r="AD3928" s="52"/>
      <c r="AE3928" s="52"/>
      <c r="AF3928" s="52"/>
      <c r="AG3928" s="52"/>
      <c r="AH3928" s="52"/>
      <c r="AI3928" s="52"/>
      <c r="AJ3928" s="52"/>
      <c r="AK3928" s="52"/>
      <c r="AL3928" s="52"/>
      <c r="AM3928" s="52"/>
      <c r="AN3928" s="52"/>
    </row>
    <row r="3929" spans="1:40" x14ac:dyDescent="0.3">
      <c r="A3929" s="52">
        <v>3924</v>
      </c>
      <c r="B3929" s="52">
        <f>-bthan*500+(23+0.5)*bthan*1000/50</f>
        <v>-165</v>
      </c>
      <c r="C3929" s="52">
        <f t="shared" si="350"/>
        <v>770.00000000000023</v>
      </c>
      <c r="D3929" s="52">
        <f t="shared" si="351"/>
        <v>2200</v>
      </c>
      <c r="E3929" s="52">
        <f t="shared" si="352"/>
        <v>1</v>
      </c>
      <c r="F3929" s="52"/>
      <c r="G3929" s="52"/>
      <c r="H3929" s="52"/>
      <c r="I3929" s="52"/>
      <c r="J3929" s="52"/>
      <c r="K3929" s="52"/>
      <c r="L3929" s="52"/>
      <c r="M3929" s="52"/>
      <c r="N3929" s="52"/>
      <c r="O3929" s="52"/>
      <c r="P3929" s="52"/>
      <c r="Q3929" s="52"/>
      <c r="R3929" s="52"/>
      <c r="S3929" s="52"/>
      <c r="T3929" s="52"/>
      <c r="U3929" s="52"/>
      <c r="V3929" s="52"/>
      <c r="W3929" s="52"/>
      <c r="X3929" s="52"/>
      <c r="Y3929" s="52"/>
      <c r="Z3929" s="52"/>
      <c r="AA3929" s="52"/>
      <c r="AB3929" s="52"/>
      <c r="AC3929" s="52"/>
      <c r="AD3929" s="52"/>
      <c r="AE3929" s="52"/>
      <c r="AF3929" s="52"/>
      <c r="AG3929" s="52"/>
      <c r="AH3929" s="52"/>
      <c r="AI3929" s="52"/>
      <c r="AJ3929" s="52"/>
      <c r="AK3929" s="52"/>
      <c r="AL3929" s="52"/>
      <c r="AM3929" s="52"/>
      <c r="AN3929" s="52"/>
    </row>
    <row r="3930" spans="1:40" x14ac:dyDescent="0.3">
      <c r="A3930" s="52">
        <v>3925</v>
      </c>
      <c r="B3930" s="52">
        <f>-bthan*500+(24+0.5)*bthan*1000/50</f>
        <v>-55</v>
      </c>
      <c r="C3930" s="52">
        <f t="shared" si="350"/>
        <v>770.00000000000023</v>
      </c>
      <c r="D3930" s="52">
        <f t="shared" si="351"/>
        <v>2200</v>
      </c>
      <c r="E3930" s="52">
        <f t="shared" si="352"/>
        <v>1</v>
      </c>
      <c r="F3930" s="52"/>
      <c r="G3930" s="52"/>
      <c r="H3930" s="52"/>
      <c r="I3930" s="52"/>
      <c r="J3930" s="52"/>
      <c r="K3930" s="52"/>
      <c r="L3930" s="52"/>
      <c r="M3930" s="52"/>
      <c r="N3930" s="52"/>
      <c r="O3930" s="52"/>
      <c r="P3930" s="52"/>
      <c r="Q3930" s="52"/>
      <c r="R3930" s="52"/>
      <c r="S3930" s="52"/>
      <c r="T3930" s="52"/>
      <c r="U3930" s="52"/>
      <c r="V3930" s="52"/>
      <c r="W3930" s="52"/>
      <c r="X3930" s="52"/>
      <c r="Y3930" s="52"/>
      <c r="Z3930" s="52"/>
      <c r="AA3930" s="52"/>
      <c r="AB3930" s="52"/>
      <c r="AC3930" s="52"/>
      <c r="AD3930" s="52"/>
      <c r="AE3930" s="52"/>
      <c r="AF3930" s="52"/>
      <c r="AG3930" s="52"/>
      <c r="AH3930" s="52"/>
      <c r="AI3930" s="52"/>
      <c r="AJ3930" s="52"/>
      <c r="AK3930" s="52"/>
      <c r="AL3930" s="52"/>
      <c r="AM3930" s="52"/>
      <c r="AN3930" s="52"/>
    </row>
    <row r="3931" spans="1:40" x14ac:dyDescent="0.3">
      <c r="A3931" s="52">
        <v>3926</v>
      </c>
      <c r="B3931" s="52">
        <f>-bthan*500+(25+0.5)*bthan*1000/50</f>
        <v>55</v>
      </c>
      <c r="C3931" s="52">
        <f t="shared" si="350"/>
        <v>770.00000000000023</v>
      </c>
      <c r="D3931" s="52">
        <f t="shared" si="351"/>
        <v>2200</v>
      </c>
      <c r="E3931" s="52">
        <f t="shared" si="352"/>
        <v>1</v>
      </c>
      <c r="F3931" s="52"/>
      <c r="G3931" s="52"/>
      <c r="H3931" s="52"/>
      <c r="I3931" s="52"/>
      <c r="J3931" s="52"/>
      <c r="K3931" s="52"/>
      <c r="L3931" s="52"/>
      <c r="M3931" s="52"/>
      <c r="N3931" s="52"/>
      <c r="O3931" s="52"/>
      <c r="P3931" s="52"/>
      <c r="Q3931" s="52"/>
      <c r="R3931" s="52"/>
      <c r="S3931" s="52"/>
      <c r="T3931" s="52"/>
      <c r="U3931" s="52"/>
      <c r="V3931" s="52"/>
      <c r="W3931" s="52"/>
      <c r="X3931" s="52"/>
      <c r="Y3931" s="52"/>
      <c r="Z3931" s="52"/>
      <c r="AA3931" s="52"/>
      <c r="AB3931" s="52"/>
      <c r="AC3931" s="52"/>
      <c r="AD3931" s="52"/>
      <c r="AE3931" s="52"/>
      <c r="AF3931" s="52"/>
      <c r="AG3931" s="52"/>
      <c r="AH3931" s="52"/>
      <c r="AI3931" s="52"/>
      <c r="AJ3931" s="52"/>
      <c r="AK3931" s="52"/>
      <c r="AL3931" s="52"/>
      <c r="AM3931" s="52"/>
      <c r="AN3931" s="52"/>
    </row>
    <row r="3932" spans="1:40" x14ac:dyDescent="0.3">
      <c r="A3932" s="52">
        <v>3927</v>
      </c>
      <c r="B3932" s="52">
        <f>-bthan*500+(26+0.5)*bthan*1000/50</f>
        <v>165</v>
      </c>
      <c r="C3932" s="52">
        <f t="shared" si="350"/>
        <v>770.00000000000023</v>
      </c>
      <c r="D3932" s="52">
        <f t="shared" si="351"/>
        <v>2200</v>
      </c>
      <c r="E3932" s="52">
        <f t="shared" si="352"/>
        <v>1</v>
      </c>
      <c r="F3932" s="52"/>
      <c r="G3932" s="52"/>
      <c r="H3932" s="52"/>
      <c r="I3932" s="52"/>
      <c r="J3932" s="52"/>
      <c r="K3932" s="52"/>
      <c r="L3932" s="52"/>
      <c r="M3932" s="52"/>
      <c r="N3932" s="52"/>
      <c r="O3932" s="52"/>
      <c r="P3932" s="52"/>
      <c r="Q3932" s="52"/>
      <c r="R3932" s="52"/>
      <c r="S3932" s="52"/>
      <c r="T3932" s="52"/>
      <c r="U3932" s="52"/>
      <c r="V3932" s="52"/>
      <c r="W3932" s="52"/>
      <c r="X3932" s="52"/>
      <c r="Y3932" s="52"/>
      <c r="Z3932" s="52"/>
      <c r="AA3932" s="52"/>
      <c r="AB3932" s="52"/>
      <c r="AC3932" s="52"/>
      <c r="AD3932" s="52"/>
      <c r="AE3932" s="52"/>
      <c r="AF3932" s="52"/>
      <c r="AG3932" s="52"/>
      <c r="AH3932" s="52"/>
      <c r="AI3932" s="52"/>
      <c r="AJ3932" s="52"/>
      <c r="AK3932" s="52"/>
      <c r="AL3932" s="52"/>
      <c r="AM3932" s="52"/>
      <c r="AN3932" s="52"/>
    </row>
    <row r="3933" spans="1:40" x14ac:dyDescent="0.3">
      <c r="A3933" s="52">
        <v>3928</v>
      </c>
      <c r="B3933" s="52">
        <f>-bthan*500+(27+0.5)*bthan*1000/50</f>
        <v>275</v>
      </c>
      <c r="C3933" s="52">
        <f t="shared" si="350"/>
        <v>770.00000000000023</v>
      </c>
      <c r="D3933" s="52">
        <f t="shared" si="351"/>
        <v>2200</v>
      </c>
      <c r="E3933" s="52">
        <f t="shared" si="352"/>
        <v>1</v>
      </c>
      <c r="F3933" s="52"/>
      <c r="G3933" s="52"/>
      <c r="H3933" s="52"/>
      <c r="I3933" s="52"/>
      <c r="J3933" s="52"/>
      <c r="K3933" s="52"/>
      <c r="L3933" s="52"/>
      <c r="M3933" s="52"/>
      <c r="N3933" s="52"/>
      <c r="O3933" s="52"/>
      <c r="P3933" s="52"/>
      <c r="Q3933" s="52"/>
      <c r="R3933" s="52"/>
      <c r="S3933" s="52"/>
      <c r="T3933" s="52"/>
      <c r="U3933" s="52"/>
      <c r="V3933" s="52"/>
      <c r="W3933" s="52"/>
      <c r="X3933" s="52"/>
      <c r="Y3933" s="52"/>
      <c r="Z3933" s="52"/>
      <c r="AA3933" s="52"/>
      <c r="AB3933" s="52"/>
      <c r="AC3933" s="52"/>
      <c r="AD3933" s="52"/>
      <c r="AE3933" s="52"/>
      <c r="AF3933" s="52"/>
      <c r="AG3933" s="52"/>
      <c r="AH3933" s="52"/>
      <c r="AI3933" s="52"/>
      <c r="AJ3933" s="52"/>
      <c r="AK3933" s="52"/>
      <c r="AL3933" s="52"/>
      <c r="AM3933" s="52"/>
      <c r="AN3933" s="52"/>
    </row>
    <row r="3934" spans="1:40" x14ac:dyDescent="0.3">
      <c r="A3934" s="52">
        <v>3929</v>
      </c>
      <c r="B3934" s="52">
        <f>-bthan*500+(28+0.5)*bthan*1000/50</f>
        <v>385</v>
      </c>
      <c r="C3934" s="52">
        <f t="shared" si="350"/>
        <v>770.00000000000023</v>
      </c>
      <c r="D3934" s="52">
        <f t="shared" si="351"/>
        <v>2200</v>
      </c>
      <c r="E3934" s="52">
        <f t="shared" si="352"/>
        <v>1</v>
      </c>
      <c r="F3934" s="52"/>
      <c r="G3934" s="52"/>
      <c r="H3934" s="52"/>
      <c r="I3934" s="52"/>
      <c r="J3934" s="52"/>
      <c r="K3934" s="52"/>
      <c r="L3934" s="52"/>
      <c r="M3934" s="52"/>
      <c r="N3934" s="52"/>
      <c r="O3934" s="52"/>
      <c r="P3934" s="52"/>
      <c r="Q3934" s="52"/>
      <c r="R3934" s="52"/>
      <c r="S3934" s="52"/>
      <c r="T3934" s="52"/>
      <c r="U3934" s="52"/>
      <c r="V3934" s="52"/>
      <c r="W3934" s="52"/>
      <c r="X3934" s="52"/>
      <c r="Y3934" s="52"/>
      <c r="Z3934" s="52"/>
      <c r="AA3934" s="52"/>
      <c r="AB3934" s="52"/>
      <c r="AC3934" s="52"/>
      <c r="AD3934" s="52"/>
      <c r="AE3934" s="52"/>
      <c r="AF3934" s="52"/>
      <c r="AG3934" s="52"/>
      <c r="AH3934" s="52"/>
      <c r="AI3934" s="52"/>
      <c r="AJ3934" s="52"/>
      <c r="AK3934" s="52"/>
      <c r="AL3934" s="52"/>
      <c r="AM3934" s="52"/>
      <c r="AN3934" s="52"/>
    </row>
    <row r="3935" spans="1:40" x14ac:dyDescent="0.3">
      <c r="A3935" s="52">
        <v>3930</v>
      </c>
      <c r="B3935" s="52">
        <f>-bthan*500+(29+0.5)*bthan*1000/50</f>
        <v>495</v>
      </c>
      <c r="C3935" s="52">
        <f t="shared" si="350"/>
        <v>770.00000000000023</v>
      </c>
      <c r="D3935" s="52">
        <f t="shared" si="351"/>
        <v>2200</v>
      </c>
      <c r="E3935" s="52">
        <f t="shared" si="352"/>
        <v>1</v>
      </c>
      <c r="F3935" s="52"/>
      <c r="G3935" s="52"/>
      <c r="H3935" s="52"/>
      <c r="I3935" s="52"/>
      <c r="J3935" s="52"/>
      <c r="K3935" s="52"/>
      <c r="L3935" s="52"/>
      <c r="M3935" s="52"/>
      <c r="N3935" s="52"/>
      <c r="O3935" s="52"/>
      <c r="P3935" s="52"/>
      <c r="Q3935" s="52"/>
      <c r="R3935" s="52"/>
      <c r="S3935" s="52"/>
      <c r="T3935" s="52"/>
      <c r="U3935" s="52"/>
      <c r="V3935" s="52"/>
      <c r="W3935" s="52"/>
      <c r="X3935" s="52"/>
      <c r="Y3935" s="52"/>
      <c r="Z3935" s="52"/>
      <c r="AA3935" s="52"/>
      <c r="AB3935" s="52"/>
      <c r="AC3935" s="52"/>
      <c r="AD3935" s="52"/>
      <c r="AE3935" s="52"/>
      <c r="AF3935" s="52"/>
      <c r="AG3935" s="52"/>
      <c r="AH3935" s="52"/>
      <c r="AI3935" s="52"/>
      <c r="AJ3935" s="52"/>
      <c r="AK3935" s="52"/>
      <c r="AL3935" s="52"/>
      <c r="AM3935" s="52"/>
      <c r="AN3935" s="52"/>
    </row>
    <row r="3936" spans="1:40" x14ac:dyDescent="0.3">
      <c r="A3936" s="52">
        <v>3931</v>
      </c>
      <c r="B3936" s="52">
        <f>-bthan*500+(30+0.5)*bthan*1000/50</f>
        <v>605</v>
      </c>
      <c r="C3936" s="52">
        <f t="shared" si="350"/>
        <v>770.00000000000023</v>
      </c>
      <c r="D3936" s="52">
        <f t="shared" si="351"/>
        <v>2200</v>
      </c>
      <c r="E3936" s="52">
        <f t="shared" si="352"/>
        <v>1</v>
      </c>
      <c r="F3936" s="52"/>
      <c r="G3936" s="52"/>
      <c r="H3936" s="52"/>
      <c r="I3936" s="52"/>
      <c r="J3936" s="52"/>
      <c r="K3936" s="52"/>
      <c r="L3936" s="52"/>
      <c r="M3936" s="52"/>
      <c r="N3936" s="52"/>
      <c r="O3936" s="52"/>
      <c r="P3936" s="52"/>
      <c r="Q3936" s="52"/>
      <c r="R3936" s="52"/>
      <c r="S3936" s="52"/>
      <c r="T3936" s="52"/>
      <c r="U3936" s="52"/>
      <c r="V3936" s="52"/>
      <c r="W3936" s="52"/>
      <c r="X3936" s="52"/>
      <c r="Y3936" s="52"/>
      <c r="Z3936" s="52"/>
      <c r="AA3936" s="52"/>
      <c r="AB3936" s="52"/>
      <c r="AC3936" s="52"/>
      <c r="AD3936" s="52"/>
      <c r="AE3936" s="52"/>
      <c r="AF3936" s="52"/>
      <c r="AG3936" s="52"/>
      <c r="AH3936" s="52"/>
      <c r="AI3936" s="52"/>
      <c r="AJ3936" s="52"/>
      <c r="AK3936" s="52"/>
      <c r="AL3936" s="52"/>
      <c r="AM3936" s="52"/>
      <c r="AN3936" s="52"/>
    </row>
    <row r="3937" spans="1:40" x14ac:dyDescent="0.3">
      <c r="A3937" s="52">
        <v>3932</v>
      </c>
      <c r="B3937" s="52">
        <f>-bthan*500+(31+0.5)*bthan*1000/50</f>
        <v>715</v>
      </c>
      <c r="C3937" s="52">
        <f t="shared" si="350"/>
        <v>770.00000000000023</v>
      </c>
      <c r="D3937" s="52">
        <f t="shared" si="351"/>
        <v>2200</v>
      </c>
      <c r="E3937" s="52">
        <f t="shared" si="352"/>
        <v>1</v>
      </c>
      <c r="F3937" s="52"/>
      <c r="G3937" s="52"/>
      <c r="H3937" s="52"/>
      <c r="I3937" s="52"/>
      <c r="J3937" s="52"/>
      <c r="K3937" s="52"/>
      <c r="L3937" s="52"/>
      <c r="M3937" s="52"/>
      <c r="N3937" s="52"/>
      <c r="O3937" s="52"/>
      <c r="P3937" s="52"/>
      <c r="Q3937" s="52"/>
      <c r="R3937" s="52"/>
      <c r="S3937" s="52"/>
      <c r="T3937" s="52"/>
      <c r="U3937" s="52"/>
      <c r="V3937" s="52"/>
      <c r="W3937" s="52"/>
      <c r="X3937" s="52"/>
      <c r="Y3937" s="52"/>
      <c r="Z3937" s="52"/>
      <c r="AA3937" s="52"/>
      <c r="AB3937" s="52"/>
      <c r="AC3937" s="52"/>
      <c r="AD3937" s="52"/>
      <c r="AE3937" s="52"/>
      <c r="AF3937" s="52"/>
      <c r="AG3937" s="52"/>
      <c r="AH3937" s="52"/>
      <c r="AI3937" s="52"/>
      <c r="AJ3937" s="52"/>
      <c r="AK3937" s="52"/>
      <c r="AL3937" s="52"/>
      <c r="AM3937" s="52"/>
      <c r="AN3937" s="52"/>
    </row>
    <row r="3938" spans="1:40" x14ac:dyDescent="0.3">
      <c r="A3938" s="52">
        <v>3933</v>
      </c>
      <c r="B3938" s="52">
        <f>-bthan*500+(32+0.5)*bthan*1000/50</f>
        <v>825</v>
      </c>
      <c r="C3938" s="52">
        <f t="shared" ref="C3938:C3955" si="353">-hthan*500+(78+0.5)*hthan*1000/80</f>
        <v>770.00000000000023</v>
      </c>
      <c r="D3938" s="52">
        <f t="shared" si="351"/>
        <v>2200</v>
      </c>
      <c r="E3938" s="52">
        <f t="shared" si="352"/>
        <v>1</v>
      </c>
      <c r="F3938" s="52"/>
      <c r="G3938" s="52"/>
      <c r="H3938" s="52"/>
      <c r="I3938" s="52"/>
      <c r="J3938" s="52"/>
      <c r="K3938" s="52"/>
      <c r="L3938" s="52"/>
      <c r="M3938" s="52"/>
      <c r="N3938" s="52"/>
      <c r="O3938" s="52"/>
      <c r="P3938" s="52"/>
      <c r="Q3938" s="52"/>
      <c r="R3938" s="52"/>
      <c r="S3938" s="52"/>
      <c r="T3938" s="52"/>
      <c r="U3938" s="52"/>
      <c r="V3938" s="52"/>
      <c r="W3938" s="52"/>
      <c r="X3938" s="52"/>
      <c r="Y3938" s="52"/>
      <c r="Z3938" s="52"/>
      <c r="AA3938" s="52"/>
      <c r="AB3938" s="52"/>
      <c r="AC3938" s="52"/>
      <c r="AD3938" s="52"/>
      <c r="AE3938" s="52"/>
      <c r="AF3938" s="52"/>
      <c r="AG3938" s="52"/>
      <c r="AH3938" s="52"/>
      <c r="AI3938" s="52"/>
      <c r="AJ3938" s="52"/>
      <c r="AK3938" s="52"/>
      <c r="AL3938" s="52"/>
      <c r="AM3938" s="52"/>
      <c r="AN3938" s="52"/>
    </row>
    <row r="3939" spans="1:40" x14ac:dyDescent="0.3">
      <c r="A3939" s="52">
        <v>3934</v>
      </c>
      <c r="B3939" s="52">
        <f>-bthan*500+(33+0.5)*bthan*1000/50</f>
        <v>935</v>
      </c>
      <c r="C3939" s="52">
        <f t="shared" si="353"/>
        <v>770.00000000000023</v>
      </c>
      <c r="D3939" s="52">
        <f t="shared" si="351"/>
        <v>2200</v>
      </c>
      <c r="E3939" s="52">
        <f t="shared" si="352"/>
        <v>1</v>
      </c>
      <c r="F3939" s="52"/>
      <c r="G3939" s="52"/>
      <c r="H3939" s="52"/>
      <c r="I3939" s="52"/>
      <c r="J3939" s="52"/>
      <c r="K3939" s="52"/>
      <c r="L3939" s="52"/>
      <c r="M3939" s="52"/>
      <c r="N3939" s="52"/>
      <c r="O3939" s="52"/>
      <c r="P3939" s="52"/>
      <c r="Q3939" s="52"/>
      <c r="R3939" s="52"/>
      <c r="S3939" s="52"/>
      <c r="T3939" s="52"/>
      <c r="U3939" s="52"/>
      <c r="V3939" s="52"/>
      <c r="W3939" s="52"/>
      <c r="X3939" s="52"/>
      <c r="Y3939" s="52"/>
      <c r="Z3939" s="52"/>
      <c r="AA3939" s="52"/>
      <c r="AB3939" s="52"/>
      <c r="AC3939" s="52"/>
      <c r="AD3939" s="52"/>
      <c r="AE3939" s="52"/>
      <c r="AF3939" s="52"/>
      <c r="AG3939" s="52"/>
      <c r="AH3939" s="52"/>
      <c r="AI3939" s="52"/>
      <c r="AJ3939" s="52"/>
      <c r="AK3939" s="52"/>
      <c r="AL3939" s="52"/>
      <c r="AM3939" s="52"/>
      <c r="AN3939" s="52"/>
    </row>
    <row r="3940" spans="1:40" x14ac:dyDescent="0.3">
      <c r="A3940" s="52">
        <v>3935</v>
      </c>
      <c r="B3940" s="52">
        <f>-bthan*500+(34+0.5)*bthan*1000/50</f>
        <v>1045</v>
      </c>
      <c r="C3940" s="52">
        <f t="shared" si="353"/>
        <v>770.00000000000023</v>
      </c>
      <c r="D3940" s="52">
        <f t="shared" si="351"/>
        <v>2200</v>
      </c>
      <c r="E3940" s="52">
        <f t="shared" si="352"/>
        <v>1</v>
      </c>
      <c r="F3940" s="52"/>
      <c r="G3940" s="52"/>
      <c r="H3940" s="52"/>
      <c r="I3940" s="52"/>
      <c r="J3940" s="52"/>
      <c r="K3940" s="52"/>
      <c r="L3940" s="52"/>
      <c r="M3940" s="52"/>
      <c r="N3940" s="52"/>
      <c r="O3940" s="52"/>
      <c r="P3940" s="52"/>
      <c r="Q3940" s="52"/>
      <c r="R3940" s="52"/>
      <c r="S3940" s="52"/>
      <c r="T3940" s="52"/>
      <c r="U3940" s="52"/>
      <c r="V3940" s="52"/>
      <c r="W3940" s="52"/>
      <c r="X3940" s="52"/>
      <c r="Y3940" s="52"/>
      <c r="Z3940" s="52"/>
      <c r="AA3940" s="52"/>
      <c r="AB3940" s="52"/>
      <c r="AC3940" s="52"/>
      <c r="AD3940" s="52"/>
      <c r="AE3940" s="52"/>
      <c r="AF3940" s="52"/>
      <c r="AG3940" s="52"/>
      <c r="AH3940" s="52"/>
      <c r="AI3940" s="52"/>
      <c r="AJ3940" s="52"/>
      <c r="AK3940" s="52"/>
      <c r="AL3940" s="52"/>
      <c r="AM3940" s="52"/>
      <c r="AN3940" s="52"/>
    </row>
    <row r="3941" spans="1:40" x14ac:dyDescent="0.3">
      <c r="A3941" s="52">
        <v>3936</v>
      </c>
      <c r="B3941" s="52">
        <f>-bthan*500+(35+0.5)*bthan*1000/50</f>
        <v>1155</v>
      </c>
      <c r="C3941" s="52">
        <f t="shared" si="353"/>
        <v>770.00000000000023</v>
      </c>
      <c r="D3941" s="52">
        <f t="shared" si="351"/>
        <v>2200</v>
      </c>
      <c r="E3941" s="52">
        <f t="shared" si="352"/>
        <v>1</v>
      </c>
      <c r="F3941" s="52"/>
      <c r="G3941" s="52"/>
      <c r="H3941" s="52"/>
      <c r="I3941" s="52"/>
      <c r="J3941" s="52"/>
      <c r="K3941" s="52"/>
      <c r="L3941" s="52"/>
      <c r="M3941" s="52"/>
      <c r="N3941" s="52"/>
      <c r="O3941" s="52"/>
      <c r="P3941" s="52"/>
      <c r="Q3941" s="52"/>
      <c r="R3941" s="52"/>
      <c r="S3941" s="52"/>
      <c r="T3941" s="52"/>
      <c r="U3941" s="52"/>
      <c r="V3941" s="52"/>
      <c r="W3941" s="52"/>
      <c r="X3941" s="52"/>
      <c r="Y3941" s="52"/>
      <c r="Z3941" s="52"/>
      <c r="AA3941" s="52"/>
      <c r="AB3941" s="52"/>
      <c r="AC3941" s="52"/>
      <c r="AD3941" s="52"/>
      <c r="AE3941" s="52"/>
      <c r="AF3941" s="52"/>
      <c r="AG3941" s="52"/>
      <c r="AH3941" s="52"/>
      <c r="AI3941" s="52"/>
      <c r="AJ3941" s="52"/>
      <c r="AK3941" s="52"/>
      <c r="AL3941" s="52"/>
      <c r="AM3941" s="52"/>
      <c r="AN3941" s="52"/>
    </row>
    <row r="3942" spans="1:40" x14ac:dyDescent="0.3">
      <c r="A3942" s="52">
        <v>3937</v>
      </c>
      <c r="B3942" s="52">
        <f>-bthan*500+(36+0.5)*bthan*1000/50</f>
        <v>1265</v>
      </c>
      <c r="C3942" s="52">
        <f t="shared" si="353"/>
        <v>770.00000000000023</v>
      </c>
      <c r="D3942" s="52">
        <f t="shared" si="351"/>
        <v>2200</v>
      </c>
      <c r="E3942" s="52">
        <f t="shared" si="352"/>
        <v>1</v>
      </c>
      <c r="F3942" s="52"/>
      <c r="G3942" s="52"/>
      <c r="H3942" s="52"/>
      <c r="I3942" s="52"/>
      <c r="J3942" s="52"/>
      <c r="K3942" s="52"/>
      <c r="L3942" s="52"/>
      <c r="M3942" s="52"/>
      <c r="N3942" s="52"/>
      <c r="O3942" s="52"/>
      <c r="P3942" s="52"/>
      <c r="Q3942" s="52"/>
      <c r="R3942" s="52"/>
      <c r="S3942" s="52"/>
      <c r="T3942" s="52"/>
      <c r="U3942" s="52"/>
      <c r="V3942" s="52"/>
      <c r="W3942" s="52"/>
      <c r="X3942" s="52"/>
      <c r="Y3942" s="52"/>
      <c r="Z3942" s="52"/>
      <c r="AA3942" s="52"/>
      <c r="AB3942" s="52"/>
      <c r="AC3942" s="52"/>
      <c r="AD3942" s="52"/>
      <c r="AE3942" s="52"/>
      <c r="AF3942" s="52"/>
      <c r="AG3942" s="52"/>
      <c r="AH3942" s="52"/>
      <c r="AI3942" s="52"/>
      <c r="AJ3942" s="52"/>
      <c r="AK3942" s="52"/>
      <c r="AL3942" s="52"/>
      <c r="AM3942" s="52"/>
      <c r="AN3942" s="52"/>
    </row>
    <row r="3943" spans="1:40" x14ac:dyDescent="0.3">
      <c r="A3943" s="52">
        <v>3938</v>
      </c>
      <c r="B3943" s="52">
        <f>-bthan*500+(37+0.5)*bthan*1000/50</f>
        <v>1375</v>
      </c>
      <c r="C3943" s="52">
        <f t="shared" si="353"/>
        <v>770.00000000000023</v>
      </c>
      <c r="D3943" s="52">
        <f t="shared" si="351"/>
        <v>2200</v>
      </c>
      <c r="E3943" s="52">
        <f t="shared" si="352"/>
        <v>1</v>
      </c>
      <c r="F3943" s="52"/>
      <c r="G3943" s="52"/>
      <c r="H3943" s="52"/>
      <c r="I3943" s="52"/>
      <c r="J3943" s="52"/>
      <c r="K3943" s="52"/>
      <c r="L3943" s="52"/>
      <c r="M3943" s="52"/>
      <c r="N3943" s="52"/>
      <c r="O3943" s="52"/>
      <c r="P3943" s="52"/>
      <c r="Q3943" s="52"/>
      <c r="R3943" s="52"/>
      <c r="S3943" s="52"/>
      <c r="T3943" s="52"/>
      <c r="U3943" s="52"/>
      <c r="V3943" s="52"/>
      <c r="W3943" s="52"/>
      <c r="X3943" s="52"/>
      <c r="Y3943" s="52"/>
      <c r="Z3943" s="52"/>
      <c r="AA3943" s="52"/>
      <c r="AB3943" s="52"/>
      <c r="AC3943" s="52"/>
      <c r="AD3943" s="52"/>
      <c r="AE3943" s="52"/>
      <c r="AF3943" s="52"/>
      <c r="AG3943" s="52"/>
      <c r="AH3943" s="52"/>
      <c r="AI3943" s="52"/>
      <c r="AJ3943" s="52"/>
      <c r="AK3943" s="52"/>
      <c r="AL3943" s="52"/>
      <c r="AM3943" s="52"/>
      <c r="AN3943" s="52"/>
    </row>
    <row r="3944" spans="1:40" x14ac:dyDescent="0.3">
      <c r="A3944" s="52">
        <v>3939</v>
      </c>
      <c r="B3944" s="52">
        <f>-bthan*500+(38+0.5)*bthan*1000/50</f>
        <v>1485</v>
      </c>
      <c r="C3944" s="52">
        <f t="shared" si="353"/>
        <v>770.00000000000023</v>
      </c>
      <c r="D3944" s="52">
        <f t="shared" si="351"/>
        <v>2200</v>
      </c>
      <c r="E3944" s="52">
        <f t="shared" si="352"/>
        <v>1</v>
      </c>
      <c r="F3944" s="52"/>
      <c r="G3944" s="52"/>
      <c r="H3944" s="52"/>
      <c r="I3944" s="52"/>
      <c r="J3944" s="52"/>
      <c r="K3944" s="52"/>
      <c r="L3944" s="52"/>
      <c r="M3944" s="52"/>
      <c r="N3944" s="52"/>
      <c r="O3944" s="52"/>
      <c r="P3944" s="52"/>
      <c r="Q3944" s="52"/>
      <c r="R3944" s="52"/>
      <c r="S3944" s="52"/>
      <c r="T3944" s="52"/>
      <c r="U3944" s="52"/>
      <c r="V3944" s="52"/>
      <c r="W3944" s="52"/>
      <c r="X3944" s="52"/>
      <c r="Y3944" s="52"/>
      <c r="Z3944" s="52"/>
      <c r="AA3944" s="52"/>
      <c r="AB3944" s="52"/>
      <c r="AC3944" s="52"/>
      <c r="AD3944" s="52"/>
      <c r="AE3944" s="52"/>
      <c r="AF3944" s="52"/>
      <c r="AG3944" s="52"/>
      <c r="AH3944" s="52"/>
      <c r="AI3944" s="52"/>
      <c r="AJ3944" s="52"/>
      <c r="AK3944" s="52"/>
      <c r="AL3944" s="52"/>
      <c r="AM3944" s="52"/>
      <c r="AN3944" s="52"/>
    </row>
    <row r="3945" spans="1:40" x14ac:dyDescent="0.3">
      <c r="A3945" s="52">
        <v>3940</v>
      </c>
      <c r="B3945" s="52">
        <f>-bthan*500+(39+0.5)*bthan*1000/50</f>
        <v>1595</v>
      </c>
      <c r="C3945" s="52">
        <f t="shared" si="353"/>
        <v>770.00000000000023</v>
      </c>
      <c r="D3945" s="52">
        <f t="shared" si="351"/>
        <v>2200</v>
      </c>
      <c r="E3945" s="52">
        <f t="shared" si="352"/>
        <v>1</v>
      </c>
      <c r="F3945" s="52"/>
      <c r="G3945" s="52"/>
      <c r="H3945" s="52"/>
      <c r="I3945" s="52"/>
      <c r="J3945" s="52"/>
      <c r="K3945" s="52"/>
      <c r="L3945" s="52"/>
      <c r="M3945" s="52"/>
      <c r="N3945" s="52"/>
      <c r="O3945" s="52"/>
      <c r="P3945" s="52"/>
      <c r="Q3945" s="52"/>
      <c r="R3945" s="52"/>
      <c r="S3945" s="52"/>
      <c r="T3945" s="52"/>
      <c r="U3945" s="52"/>
      <c r="V3945" s="52"/>
      <c r="W3945" s="52"/>
      <c r="X3945" s="52"/>
      <c r="Y3945" s="52"/>
      <c r="Z3945" s="52"/>
      <c r="AA3945" s="52"/>
      <c r="AB3945" s="52"/>
      <c r="AC3945" s="52"/>
      <c r="AD3945" s="52"/>
      <c r="AE3945" s="52"/>
      <c r="AF3945" s="52"/>
      <c r="AG3945" s="52"/>
      <c r="AH3945" s="52"/>
      <c r="AI3945" s="52"/>
      <c r="AJ3945" s="52"/>
      <c r="AK3945" s="52"/>
      <c r="AL3945" s="52"/>
      <c r="AM3945" s="52"/>
      <c r="AN3945" s="52"/>
    </row>
    <row r="3946" spans="1:40" x14ac:dyDescent="0.3">
      <c r="A3946" s="52">
        <v>3941</v>
      </c>
      <c r="B3946" s="52">
        <f>-bthan*500+(40+0.5)*bthan*1000/50</f>
        <v>1705</v>
      </c>
      <c r="C3946" s="52">
        <f t="shared" si="353"/>
        <v>770.00000000000023</v>
      </c>
      <c r="D3946" s="52">
        <f t="shared" si="351"/>
        <v>2200</v>
      </c>
      <c r="E3946" s="52">
        <f t="shared" si="352"/>
        <v>1</v>
      </c>
      <c r="F3946" s="52"/>
      <c r="G3946" s="52"/>
      <c r="H3946" s="52"/>
      <c r="I3946" s="52"/>
      <c r="J3946" s="52"/>
      <c r="K3946" s="52"/>
      <c r="L3946" s="52"/>
      <c r="M3946" s="52"/>
      <c r="N3946" s="52"/>
      <c r="O3946" s="52"/>
      <c r="P3946" s="52"/>
      <c r="Q3946" s="52"/>
      <c r="R3946" s="52"/>
      <c r="S3946" s="52"/>
      <c r="T3946" s="52"/>
      <c r="U3946" s="52"/>
      <c r="V3946" s="52"/>
      <c r="W3946" s="52"/>
      <c r="X3946" s="52"/>
      <c r="Y3946" s="52"/>
      <c r="Z3946" s="52"/>
      <c r="AA3946" s="52"/>
      <c r="AB3946" s="52"/>
      <c r="AC3946" s="52"/>
      <c r="AD3946" s="52"/>
      <c r="AE3946" s="52"/>
      <c r="AF3946" s="52"/>
      <c r="AG3946" s="52"/>
      <c r="AH3946" s="52"/>
      <c r="AI3946" s="52"/>
      <c r="AJ3946" s="52"/>
      <c r="AK3946" s="52"/>
      <c r="AL3946" s="52"/>
      <c r="AM3946" s="52"/>
      <c r="AN3946" s="52"/>
    </row>
    <row r="3947" spans="1:40" x14ac:dyDescent="0.3">
      <c r="A3947" s="52">
        <v>3942</v>
      </c>
      <c r="B3947" s="52">
        <f>-bthan*500+(41+0.5)*bthan*1000/50</f>
        <v>1815</v>
      </c>
      <c r="C3947" s="52">
        <f t="shared" si="353"/>
        <v>770.00000000000023</v>
      </c>
      <c r="D3947" s="52">
        <f t="shared" si="351"/>
        <v>2200</v>
      </c>
      <c r="E3947" s="52">
        <f t="shared" si="352"/>
        <v>1</v>
      </c>
      <c r="F3947" s="52"/>
      <c r="G3947" s="52"/>
      <c r="H3947" s="52"/>
      <c r="I3947" s="52"/>
      <c r="J3947" s="52"/>
      <c r="K3947" s="52"/>
      <c r="L3947" s="52"/>
      <c r="M3947" s="52"/>
      <c r="N3947" s="52"/>
      <c r="O3947" s="52"/>
      <c r="P3947" s="52"/>
      <c r="Q3947" s="52"/>
      <c r="R3947" s="52"/>
      <c r="S3947" s="52"/>
      <c r="T3947" s="52"/>
      <c r="U3947" s="52"/>
      <c r="V3947" s="52"/>
      <c r="W3947" s="52"/>
      <c r="X3947" s="52"/>
      <c r="Y3947" s="52"/>
      <c r="Z3947" s="52"/>
      <c r="AA3947" s="52"/>
      <c r="AB3947" s="52"/>
      <c r="AC3947" s="52"/>
      <c r="AD3947" s="52"/>
      <c r="AE3947" s="52"/>
      <c r="AF3947" s="52"/>
      <c r="AG3947" s="52"/>
      <c r="AH3947" s="52"/>
      <c r="AI3947" s="52"/>
      <c r="AJ3947" s="52"/>
      <c r="AK3947" s="52"/>
      <c r="AL3947" s="52"/>
      <c r="AM3947" s="52"/>
      <c r="AN3947" s="52"/>
    </row>
    <row r="3948" spans="1:40" x14ac:dyDescent="0.3">
      <c r="A3948" s="52">
        <v>3943</v>
      </c>
      <c r="B3948" s="52">
        <f>-bthan*500+(42+0.5)*bthan*1000/50</f>
        <v>1925</v>
      </c>
      <c r="C3948" s="52">
        <f t="shared" si="353"/>
        <v>770.00000000000023</v>
      </c>
      <c r="D3948" s="52">
        <f t="shared" si="351"/>
        <v>2200</v>
      </c>
      <c r="E3948" s="52">
        <f t="shared" si="352"/>
        <v>1</v>
      </c>
      <c r="F3948" s="52"/>
      <c r="G3948" s="52"/>
      <c r="H3948" s="52"/>
      <c r="I3948" s="52"/>
      <c r="J3948" s="52"/>
      <c r="K3948" s="52"/>
      <c r="L3948" s="52"/>
      <c r="M3948" s="52"/>
      <c r="N3948" s="52"/>
      <c r="O3948" s="52"/>
      <c r="P3948" s="52"/>
      <c r="Q3948" s="52"/>
      <c r="R3948" s="52"/>
      <c r="S3948" s="52"/>
      <c r="T3948" s="52"/>
      <c r="U3948" s="52"/>
      <c r="V3948" s="52"/>
      <c r="W3948" s="52"/>
      <c r="X3948" s="52"/>
      <c r="Y3948" s="52"/>
      <c r="Z3948" s="52"/>
      <c r="AA3948" s="52"/>
      <c r="AB3948" s="52"/>
      <c r="AC3948" s="52"/>
      <c r="AD3948" s="52"/>
      <c r="AE3948" s="52"/>
      <c r="AF3948" s="52"/>
      <c r="AG3948" s="52"/>
      <c r="AH3948" s="52"/>
      <c r="AI3948" s="52"/>
      <c r="AJ3948" s="52"/>
      <c r="AK3948" s="52"/>
      <c r="AL3948" s="52"/>
      <c r="AM3948" s="52"/>
      <c r="AN3948" s="52"/>
    </row>
    <row r="3949" spans="1:40" x14ac:dyDescent="0.3">
      <c r="A3949" s="52">
        <v>3944</v>
      </c>
      <c r="B3949" s="52">
        <f>-bthan*500+(43+0.5)*bthan*1000/50</f>
        <v>2035</v>
      </c>
      <c r="C3949" s="52">
        <f t="shared" si="353"/>
        <v>770.00000000000023</v>
      </c>
      <c r="D3949" s="52">
        <f t="shared" si="351"/>
        <v>2200</v>
      </c>
      <c r="E3949" s="52">
        <f t="shared" si="352"/>
        <v>1</v>
      </c>
      <c r="F3949" s="52"/>
      <c r="G3949" s="52"/>
      <c r="H3949" s="52"/>
      <c r="I3949" s="52"/>
      <c r="J3949" s="52"/>
      <c r="K3949" s="52"/>
      <c r="L3949" s="52"/>
      <c r="M3949" s="52"/>
      <c r="N3949" s="52"/>
      <c r="O3949" s="52"/>
      <c r="P3949" s="52"/>
      <c r="Q3949" s="52"/>
      <c r="R3949" s="52"/>
      <c r="S3949" s="52"/>
      <c r="T3949" s="52"/>
      <c r="U3949" s="52"/>
      <c r="V3949" s="52"/>
      <c r="W3949" s="52"/>
      <c r="X3949" s="52"/>
      <c r="Y3949" s="52"/>
      <c r="Z3949" s="52"/>
      <c r="AA3949" s="52"/>
      <c r="AB3949" s="52"/>
      <c r="AC3949" s="52"/>
      <c r="AD3949" s="52"/>
      <c r="AE3949" s="52"/>
      <c r="AF3949" s="52"/>
      <c r="AG3949" s="52"/>
      <c r="AH3949" s="52"/>
      <c r="AI3949" s="52"/>
      <c r="AJ3949" s="52"/>
      <c r="AK3949" s="52"/>
      <c r="AL3949" s="52"/>
      <c r="AM3949" s="52"/>
      <c r="AN3949" s="52"/>
    </row>
    <row r="3950" spans="1:40" x14ac:dyDescent="0.3">
      <c r="A3950" s="52">
        <v>3945</v>
      </c>
      <c r="B3950" s="52">
        <f>-bthan*500+(44+0.5)*bthan*1000/50</f>
        <v>2145</v>
      </c>
      <c r="C3950" s="52">
        <f t="shared" si="353"/>
        <v>770.00000000000023</v>
      </c>
      <c r="D3950" s="52">
        <f t="shared" si="351"/>
        <v>2200</v>
      </c>
      <c r="E3950" s="52">
        <f t="shared" si="352"/>
        <v>1</v>
      </c>
      <c r="F3950" s="52"/>
      <c r="G3950" s="52"/>
      <c r="H3950" s="52"/>
      <c r="I3950" s="52"/>
      <c r="J3950" s="52"/>
      <c r="K3950" s="52"/>
      <c r="L3950" s="52"/>
      <c r="M3950" s="52"/>
      <c r="N3950" s="52"/>
      <c r="O3950" s="52"/>
      <c r="P3950" s="52"/>
      <c r="Q3950" s="52"/>
      <c r="R3950" s="52"/>
      <c r="S3950" s="52"/>
      <c r="T3950" s="52"/>
      <c r="U3950" s="52"/>
      <c r="V3950" s="52"/>
      <c r="W3950" s="52"/>
      <c r="X3950" s="52"/>
      <c r="Y3950" s="52"/>
      <c r="Z3950" s="52"/>
      <c r="AA3950" s="52"/>
      <c r="AB3950" s="52"/>
      <c r="AC3950" s="52"/>
      <c r="AD3950" s="52"/>
      <c r="AE3950" s="52"/>
      <c r="AF3950" s="52"/>
      <c r="AG3950" s="52"/>
      <c r="AH3950" s="52"/>
      <c r="AI3950" s="52"/>
      <c r="AJ3950" s="52"/>
      <c r="AK3950" s="52"/>
      <c r="AL3950" s="52"/>
      <c r="AM3950" s="52"/>
      <c r="AN3950" s="52"/>
    </row>
    <row r="3951" spans="1:40" x14ac:dyDescent="0.3">
      <c r="A3951" s="52">
        <v>3946</v>
      </c>
      <c r="B3951" s="52">
        <f>-bthan*500+(45+0.5)*bthan*1000/50</f>
        <v>2255</v>
      </c>
      <c r="C3951" s="52">
        <f t="shared" si="353"/>
        <v>770.00000000000023</v>
      </c>
      <c r="D3951" s="52">
        <f t="shared" si="351"/>
        <v>2200</v>
      </c>
      <c r="E3951" s="52">
        <f t="shared" si="352"/>
        <v>0</v>
      </c>
      <c r="F3951" s="52"/>
      <c r="G3951" s="52"/>
      <c r="H3951" s="52"/>
      <c r="I3951" s="52"/>
      <c r="J3951" s="52"/>
      <c r="K3951" s="52"/>
      <c r="L3951" s="52"/>
      <c r="M3951" s="52"/>
      <c r="N3951" s="52"/>
      <c r="O3951" s="52"/>
      <c r="P3951" s="52"/>
      <c r="Q3951" s="52"/>
      <c r="R3951" s="52"/>
      <c r="S3951" s="52"/>
      <c r="T3951" s="52"/>
      <c r="U3951" s="52"/>
      <c r="V3951" s="52"/>
      <c r="W3951" s="52"/>
      <c r="X3951" s="52"/>
      <c r="Y3951" s="52"/>
      <c r="Z3951" s="52"/>
      <c r="AA3951" s="52"/>
      <c r="AB3951" s="52"/>
      <c r="AC3951" s="52"/>
      <c r="AD3951" s="52"/>
      <c r="AE3951" s="52"/>
      <c r="AF3951" s="52"/>
      <c r="AG3951" s="52"/>
      <c r="AH3951" s="52"/>
      <c r="AI3951" s="52"/>
      <c r="AJ3951" s="52"/>
      <c r="AK3951" s="52"/>
      <c r="AL3951" s="52"/>
      <c r="AM3951" s="52"/>
      <c r="AN3951" s="52"/>
    </row>
    <row r="3952" spans="1:40" x14ac:dyDescent="0.3">
      <c r="A3952" s="52">
        <v>3947</v>
      </c>
      <c r="B3952" s="52">
        <f>-bthan*500+(46+0.5)*bthan*1000/50</f>
        <v>2365</v>
      </c>
      <c r="C3952" s="52">
        <f t="shared" si="353"/>
        <v>770.00000000000023</v>
      </c>
      <c r="D3952" s="52">
        <f t="shared" si="351"/>
        <v>2200</v>
      </c>
      <c r="E3952" s="52">
        <f t="shared" si="352"/>
        <v>0</v>
      </c>
      <c r="F3952" s="52"/>
      <c r="G3952" s="52"/>
      <c r="H3952" s="52"/>
      <c r="I3952" s="52"/>
      <c r="J3952" s="52"/>
      <c r="K3952" s="52"/>
      <c r="L3952" s="52"/>
      <c r="M3952" s="52"/>
      <c r="N3952" s="52"/>
      <c r="O3952" s="52"/>
      <c r="P3952" s="52"/>
      <c r="Q3952" s="52"/>
      <c r="R3952" s="52"/>
      <c r="S3952" s="52"/>
      <c r="T3952" s="52"/>
      <c r="U3952" s="52"/>
      <c r="V3952" s="52"/>
      <c r="W3952" s="52"/>
      <c r="X3952" s="52"/>
      <c r="Y3952" s="52"/>
      <c r="Z3952" s="52"/>
      <c r="AA3952" s="52"/>
      <c r="AB3952" s="52"/>
      <c r="AC3952" s="52"/>
      <c r="AD3952" s="52"/>
      <c r="AE3952" s="52"/>
      <c r="AF3952" s="52"/>
      <c r="AG3952" s="52"/>
      <c r="AH3952" s="52"/>
      <c r="AI3952" s="52"/>
      <c r="AJ3952" s="52"/>
      <c r="AK3952" s="52"/>
      <c r="AL3952" s="52"/>
      <c r="AM3952" s="52"/>
      <c r="AN3952" s="52"/>
    </row>
    <row r="3953" spans="1:40" x14ac:dyDescent="0.3">
      <c r="A3953" s="52">
        <v>3948</v>
      </c>
      <c r="B3953" s="52">
        <f>-bthan*500+(47+0.5)*bthan*1000/50</f>
        <v>2475</v>
      </c>
      <c r="C3953" s="52">
        <f t="shared" si="353"/>
        <v>770.00000000000023</v>
      </c>
      <c r="D3953" s="52">
        <f t="shared" si="351"/>
        <v>2200</v>
      </c>
      <c r="E3953" s="52">
        <f t="shared" si="352"/>
        <v>0</v>
      </c>
      <c r="F3953" s="52"/>
      <c r="G3953" s="52"/>
      <c r="H3953" s="52"/>
      <c r="I3953" s="52"/>
      <c r="J3953" s="52"/>
      <c r="K3953" s="52"/>
      <c r="L3953" s="52"/>
      <c r="M3953" s="52"/>
      <c r="N3953" s="52"/>
      <c r="O3953" s="52"/>
      <c r="P3953" s="52"/>
      <c r="Q3953" s="52"/>
      <c r="R3953" s="52"/>
      <c r="S3953" s="52"/>
      <c r="T3953" s="52"/>
      <c r="U3953" s="52"/>
      <c r="V3953" s="52"/>
      <c r="W3953" s="52"/>
      <c r="X3953" s="52"/>
      <c r="Y3953" s="52"/>
      <c r="Z3953" s="52"/>
      <c r="AA3953" s="52"/>
      <c r="AB3953" s="52"/>
      <c r="AC3953" s="52"/>
      <c r="AD3953" s="52"/>
      <c r="AE3953" s="52"/>
      <c r="AF3953" s="52"/>
      <c r="AG3953" s="52"/>
      <c r="AH3953" s="52"/>
      <c r="AI3953" s="52"/>
      <c r="AJ3953" s="52"/>
      <c r="AK3953" s="52"/>
      <c r="AL3953" s="52"/>
      <c r="AM3953" s="52"/>
      <c r="AN3953" s="52"/>
    </row>
    <row r="3954" spans="1:40" x14ac:dyDescent="0.3">
      <c r="A3954" s="52">
        <v>3949</v>
      </c>
      <c r="B3954" s="52">
        <f>-bthan*500+(48+0.5)*bthan*1000/50</f>
        <v>2585</v>
      </c>
      <c r="C3954" s="52">
        <f t="shared" si="353"/>
        <v>770.00000000000023</v>
      </c>
      <c r="D3954" s="52">
        <f t="shared" si="351"/>
        <v>2200</v>
      </c>
      <c r="E3954" s="52">
        <f t="shared" si="352"/>
        <v>0</v>
      </c>
      <c r="F3954" s="52"/>
      <c r="G3954" s="52"/>
      <c r="H3954" s="52"/>
      <c r="I3954" s="52"/>
      <c r="J3954" s="52"/>
      <c r="K3954" s="52"/>
      <c r="L3954" s="52"/>
      <c r="M3954" s="52"/>
      <c r="N3954" s="52"/>
      <c r="O3954" s="52"/>
      <c r="P3954" s="52"/>
      <c r="Q3954" s="52"/>
      <c r="R3954" s="52"/>
      <c r="S3954" s="52"/>
      <c r="T3954" s="52"/>
      <c r="U3954" s="52"/>
      <c r="V3954" s="52"/>
      <c r="W3954" s="52"/>
      <c r="X3954" s="52"/>
      <c r="Y3954" s="52"/>
      <c r="Z3954" s="52"/>
      <c r="AA3954" s="52"/>
      <c r="AB3954" s="52"/>
      <c r="AC3954" s="52"/>
      <c r="AD3954" s="52"/>
      <c r="AE3954" s="52"/>
      <c r="AF3954" s="52"/>
      <c r="AG3954" s="52"/>
      <c r="AH3954" s="52"/>
      <c r="AI3954" s="52"/>
      <c r="AJ3954" s="52"/>
      <c r="AK3954" s="52"/>
      <c r="AL3954" s="52"/>
      <c r="AM3954" s="52"/>
      <c r="AN3954" s="52"/>
    </row>
    <row r="3955" spans="1:40" x14ac:dyDescent="0.3">
      <c r="A3955" s="52">
        <v>3950</v>
      </c>
      <c r="B3955" s="52">
        <f>-bthan*500+(49+0.5)*bthan*1000/50</f>
        <v>2695</v>
      </c>
      <c r="C3955" s="52">
        <f t="shared" si="353"/>
        <v>770.00000000000023</v>
      </c>
      <c r="D3955" s="52">
        <f t="shared" si="351"/>
        <v>2200</v>
      </c>
      <c r="E3955" s="52">
        <f t="shared" si="352"/>
        <v>0</v>
      </c>
      <c r="F3955" s="52"/>
      <c r="G3955" s="52"/>
      <c r="H3955" s="52"/>
      <c r="I3955" s="52"/>
      <c r="J3955" s="52"/>
      <c r="K3955" s="52"/>
      <c r="L3955" s="52"/>
      <c r="M3955" s="52"/>
      <c r="N3955" s="52"/>
      <c r="O3955" s="52"/>
      <c r="P3955" s="52"/>
      <c r="Q3955" s="52"/>
      <c r="R3955" s="52"/>
      <c r="S3955" s="52"/>
      <c r="T3955" s="52"/>
      <c r="U3955" s="52"/>
      <c r="V3955" s="52"/>
      <c r="W3955" s="52"/>
      <c r="X3955" s="52"/>
      <c r="Y3955" s="52"/>
      <c r="Z3955" s="52"/>
      <c r="AA3955" s="52"/>
      <c r="AB3955" s="52"/>
      <c r="AC3955" s="52"/>
      <c r="AD3955" s="52"/>
      <c r="AE3955" s="52"/>
      <c r="AF3955" s="52"/>
      <c r="AG3955" s="52"/>
      <c r="AH3955" s="52"/>
      <c r="AI3955" s="52"/>
      <c r="AJ3955" s="52"/>
      <c r="AK3955" s="52"/>
      <c r="AL3955" s="52"/>
      <c r="AM3955" s="52"/>
      <c r="AN3955" s="52"/>
    </row>
    <row r="3956" spans="1:40" x14ac:dyDescent="0.3">
      <c r="A3956" s="52">
        <v>3951</v>
      </c>
      <c r="B3956" s="52">
        <f>-bthan*500+(0+0.5)*bthan*1000/50</f>
        <v>-2695</v>
      </c>
      <c r="C3956" s="52">
        <f t="shared" ref="C3956:C3987" si="354">-hthan*500+(79+0.5)*hthan*1000/80</f>
        <v>790</v>
      </c>
      <c r="D3956" s="52">
        <f t="shared" si="351"/>
        <v>2200</v>
      </c>
      <c r="E3956" s="52">
        <f t="shared" si="352"/>
        <v>0</v>
      </c>
      <c r="F3956" s="52"/>
      <c r="G3956" s="52"/>
      <c r="H3956" s="52"/>
      <c r="I3956" s="52"/>
      <c r="J3956" s="52"/>
      <c r="K3956" s="52"/>
      <c r="L3956" s="52"/>
      <c r="M3956" s="52"/>
      <c r="N3956" s="52"/>
      <c r="O3956" s="52"/>
      <c r="P3956" s="52"/>
      <c r="Q3956" s="52"/>
      <c r="R3956" s="52"/>
      <c r="S3956" s="52"/>
      <c r="T3956" s="52"/>
      <c r="U3956" s="52"/>
      <c r="V3956" s="52"/>
      <c r="W3956" s="52"/>
      <c r="X3956" s="52"/>
      <c r="Y3956" s="52"/>
      <c r="Z3956" s="52"/>
      <c r="AA3956" s="52"/>
      <c r="AB3956" s="52"/>
      <c r="AC3956" s="52"/>
      <c r="AD3956" s="52"/>
      <c r="AE3956" s="52"/>
      <c r="AF3956" s="52"/>
      <c r="AG3956" s="52"/>
      <c r="AH3956" s="52"/>
      <c r="AI3956" s="52"/>
      <c r="AJ3956" s="52"/>
      <c r="AK3956" s="52"/>
      <c r="AL3956" s="52"/>
      <c r="AM3956" s="52"/>
      <c r="AN3956" s="52"/>
    </row>
    <row r="3957" spans="1:40" x14ac:dyDescent="0.3">
      <c r="A3957" s="52">
        <v>3952</v>
      </c>
      <c r="B3957" s="52">
        <f>-bthan*500+(1+0.5)*bthan*1000/50</f>
        <v>-2585</v>
      </c>
      <c r="C3957" s="52">
        <f t="shared" si="354"/>
        <v>790</v>
      </c>
      <c r="D3957" s="52">
        <f t="shared" si="351"/>
        <v>2200</v>
      </c>
      <c r="E3957" s="52">
        <f t="shared" si="352"/>
        <v>0</v>
      </c>
      <c r="F3957" s="52"/>
      <c r="G3957" s="52"/>
      <c r="H3957" s="52"/>
      <c r="I3957" s="52"/>
      <c r="J3957" s="52"/>
      <c r="K3957" s="52"/>
      <c r="L3957" s="52"/>
      <c r="M3957" s="52"/>
      <c r="N3957" s="52"/>
      <c r="O3957" s="52"/>
      <c r="P3957" s="52"/>
      <c r="Q3957" s="52"/>
      <c r="R3957" s="52"/>
      <c r="S3957" s="52"/>
      <c r="T3957" s="52"/>
      <c r="U3957" s="52"/>
      <c r="V3957" s="52"/>
      <c r="W3957" s="52"/>
      <c r="X3957" s="52"/>
      <c r="Y3957" s="52"/>
      <c r="Z3957" s="52"/>
      <c r="AA3957" s="52"/>
      <c r="AB3957" s="52"/>
      <c r="AC3957" s="52"/>
      <c r="AD3957" s="52"/>
      <c r="AE3957" s="52"/>
      <c r="AF3957" s="52"/>
      <c r="AG3957" s="52"/>
      <c r="AH3957" s="52"/>
      <c r="AI3957" s="52"/>
      <c r="AJ3957" s="52"/>
      <c r="AK3957" s="52"/>
      <c r="AL3957" s="52"/>
      <c r="AM3957" s="52"/>
      <c r="AN3957" s="52"/>
    </row>
    <row r="3958" spans="1:40" x14ac:dyDescent="0.3">
      <c r="A3958" s="52">
        <v>3953</v>
      </c>
      <c r="B3958" s="52">
        <f>-bthan*500+(2+0.5)*bthan*1000/50</f>
        <v>-2475</v>
      </c>
      <c r="C3958" s="52">
        <f t="shared" si="354"/>
        <v>790</v>
      </c>
      <c r="D3958" s="52">
        <f t="shared" si="351"/>
        <v>2200</v>
      </c>
      <c r="E3958" s="52">
        <f t="shared" si="352"/>
        <v>0</v>
      </c>
      <c r="F3958" s="52"/>
      <c r="G3958" s="52"/>
      <c r="H3958" s="52"/>
      <c r="I3958" s="52"/>
      <c r="J3958" s="52"/>
      <c r="K3958" s="52"/>
      <c r="L3958" s="52"/>
      <c r="M3958" s="52"/>
      <c r="N3958" s="52"/>
      <c r="O3958" s="52"/>
      <c r="P3958" s="52"/>
      <c r="Q3958" s="52"/>
      <c r="R3958" s="52"/>
      <c r="S3958" s="52"/>
      <c r="T3958" s="52"/>
      <c r="U3958" s="52"/>
      <c r="V3958" s="52"/>
      <c r="W3958" s="52"/>
      <c r="X3958" s="52"/>
      <c r="Y3958" s="52"/>
      <c r="Z3958" s="52"/>
      <c r="AA3958" s="52"/>
      <c r="AB3958" s="52"/>
      <c r="AC3958" s="52"/>
      <c r="AD3958" s="52"/>
      <c r="AE3958" s="52"/>
      <c r="AF3958" s="52"/>
      <c r="AG3958" s="52"/>
      <c r="AH3958" s="52"/>
      <c r="AI3958" s="52"/>
      <c r="AJ3958" s="52"/>
      <c r="AK3958" s="52"/>
      <c r="AL3958" s="52"/>
      <c r="AM3958" s="52"/>
      <c r="AN3958" s="52"/>
    </row>
    <row r="3959" spans="1:40" x14ac:dyDescent="0.3">
      <c r="A3959" s="52">
        <v>3954</v>
      </c>
      <c r="B3959" s="52">
        <f>-bthan*500+(3+0.5)*bthan*1000/50</f>
        <v>-2365</v>
      </c>
      <c r="C3959" s="52">
        <f t="shared" si="354"/>
        <v>790</v>
      </c>
      <c r="D3959" s="52">
        <f t="shared" si="351"/>
        <v>2200</v>
      </c>
      <c r="E3959" s="52">
        <f t="shared" si="352"/>
        <v>0</v>
      </c>
      <c r="F3959" s="52"/>
      <c r="G3959" s="52"/>
      <c r="H3959" s="52"/>
      <c r="I3959" s="52"/>
      <c r="J3959" s="52"/>
      <c r="K3959" s="52"/>
      <c r="L3959" s="52"/>
      <c r="M3959" s="52"/>
      <c r="N3959" s="52"/>
      <c r="O3959" s="52"/>
      <c r="P3959" s="52"/>
      <c r="Q3959" s="52"/>
      <c r="R3959" s="52"/>
      <c r="S3959" s="52"/>
      <c r="T3959" s="52"/>
      <c r="U3959" s="52"/>
      <c r="V3959" s="52"/>
      <c r="W3959" s="52"/>
      <c r="X3959" s="52"/>
      <c r="Y3959" s="52"/>
      <c r="Z3959" s="52"/>
      <c r="AA3959" s="52"/>
      <c r="AB3959" s="52"/>
      <c r="AC3959" s="52"/>
      <c r="AD3959" s="52"/>
      <c r="AE3959" s="52"/>
      <c r="AF3959" s="52"/>
      <c r="AG3959" s="52"/>
      <c r="AH3959" s="52"/>
      <c r="AI3959" s="52"/>
      <c r="AJ3959" s="52"/>
      <c r="AK3959" s="52"/>
      <c r="AL3959" s="52"/>
      <c r="AM3959" s="52"/>
      <c r="AN3959" s="52"/>
    </row>
    <row r="3960" spans="1:40" x14ac:dyDescent="0.3">
      <c r="A3960" s="52">
        <v>3955</v>
      </c>
      <c r="B3960" s="52">
        <f>-bthan*500+(4+0.5)*bthan*1000/50</f>
        <v>-2255</v>
      </c>
      <c r="C3960" s="52">
        <f t="shared" si="354"/>
        <v>790</v>
      </c>
      <c r="D3960" s="52">
        <f t="shared" si="351"/>
        <v>2200</v>
      </c>
      <c r="E3960" s="52">
        <f t="shared" si="352"/>
        <v>0</v>
      </c>
      <c r="F3960" s="52"/>
      <c r="G3960" s="52"/>
      <c r="H3960" s="52"/>
      <c r="I3960" s="52"/>
      <c r="J3960" s="52"/>
      <c r="K3960" s="52"/>
      <c r="L3960" s="52"/>
      <c r="M3960" s="52"/>
      <c r="N3960" s="52"/>
      <c r="O3960" s="52"/>
      <c r="P3960" s="52"/>
      <c r="Q3960" s="52"/>
      <c r="R3960" s="52"/>
      <c r="S3960" s="52"/>
      <c r="T3960" s="52"/>
      <c r="U3960" s="52"/>
      <c r="V3960" s="52"/>
      <c r="W3960" s="52"/>
      <c r="X3960" s="52"/>
      <c r="Y3960" s="52"/>
      <c r="Z3960" s="52"/>
      <c r="AA3960" s="52"/>
      <c r="AB3960" s="52"/>
      <c r="AC3960" s="52"/>
      <c r="AD3960" s="52"/>
      <c r="AE3960" s="52"/>
      <c r="AF3960" s="52"/>
      <c r="AG3960" s="52"/>
      <c r="AH3960" s="52"/>
      <c r="AI3960" s="52"/>
      <c r="AJ3960" s="52"/>
      <c r="AK3960" s="52"/>
      <c r="AL3960" s="52"/>
      <c r="AM3960" s="52"/>
      <c r="AN3960" s="52"/>
    </row>
    <row r="3961" spans="1:40" x14ac:dyDescent="0.3">
      <c r="A3961" s="52">
        <v>3956</v>
      </c>
      <c r="B3961" s="52">
        <f>-bthan*500+(5+0.5)*bthan*1000/50</f>
        <v>-2145</v>
      </c>
      <c r="C3961" s="52">
        <f t="shared" si="354"/>
        <v>790</v>
      </c>
      <c r="D3961" s="52">
        <f t="shared" si="351"/>
        <v>2200</v>
      </c>
      <c r="E3961" s="52">
        <f t="shared" si="352"/>
        <v>0</v>
      </c>
      <c r="F3961" s="52"/>
      <c r="G3961" s="52"/>
      <c r="H3961" s="52"/>
      <c r="I3961" s="52"/>
      <c r="J3961" s="52"/>
      <c r="K3961" s="52"/>
      <c r="L3961" s="52"/>
      <c r="M3961" s="52"/>
      <c r="N3961" s="52"/>
      <c r="O3961" s="52"/>
      <c r="P3961" s="52"/>
      <c r="Q3961" s="52"/>
      <c r="R3961" s="52"/>
      <c r="S3961" s="52"/>
      <c r="T3961" s="52"/>
      <c r="U3961" s="52"/>
      <c r="V3961" s="52"/>
      <c r="W3961" s="52"/>
      <c r="X3961" s="52"/>
      <c r="Y3961" s="52"/>
      <c r="Z3961" s="52"/>
      <c r="AA3961" s="52"/>
      <c r="AB3961" s="52"/>
      <c r="AC3961" s="52"/>
      <c r="AD3961" s="52"/>
      <c r="AE3961" s="52"/>
      <c r="AF3961" s="52"/>
      <c r="AG3961" s="52"/>
      <c r="AH3961" s="52"/>
      <c r="AI3961" s="52"/>
      <c r="AJ3961" s="52"/>
      <c r="AK3961" s="52"/>
      <c r="AL3961" s="52"/>
      <c r="AM3961" s="52"/>
      <c r="AN3961" s="52"/>
    </row>
    <row r="3962" spans="1:40" x14ac:dyDescent="0.3">
      <c r="A3962" s="52">
        <v>3957</v>
      </c>
      <c r="B3962" s="52">
        <f>-bthan*500+(6+0.5)*bthan*1000/50</f>
        <v>-2035</v>
      </c>
      <c r="C3962" s="52">
        <f t="shared" si="354"/>
        <v>790</v>
      </c>
      <c r="D3962" s="52">
        <f t="shared" si="351"/>
        <v>2200</v>
      </c>
      <c r="E3962" s="52">
        <f t="shared" si="352"/>
        <v>1</v>
      </c>
      <c r="F3962" s="52"/>
      <c r="G3962" s="52"/>
      <c r="H3962" s="52"/>
      <c r="I3962" s="52"/>
      <c r="J3962" s="52"/>
      <c r="K3962" s="52"/>
      <c r="L3962" s="52"/>
      <c r="M3962" s="52"/>
      <c r="N3962" s="52"/>
      <c r="O3962" s="52"/>
      <c r="P3962" s="52"/>
      <c r="Q3962" s="52"/>
      <c r="R3962" s="52"/>
      <c r="S3962" s="52"/>
      <c r="T3962" s="52"/>
      <c r="U3962" s="52"/>
      <c r="V3962" s="52"/>
      <c r="W3962" s="52"/>
      <c r="X3962" s="52"/>
      <c r="Y3962" s="52"/>
      <c r="Z3962" s="52"/>
      <c r="AA3962" s="52"/>
      <c r="AB3962" s="52"/>
      <c r="AC3962" s="52"/>
      <c r="AD3962" s="52"/>
      <c r="AE3962" s="52"/>
      <c r="AF3962" s="52"/>
      <c r="AG3962" s="52"/>
      <c r="AH3962" s="52"/>
      <c r="AI3962" s="52"/>
      <c r="AJ3962" s="52"/>
      <c r="AK3962" s="52"/>
      <c r="AL3962" s="52"/>
      <c r="AM3962" s="52"/>
      <c r="AN3962" s="52"/>
    </row>
    <row r="3963" spans="1:40" x14ac:dyDescent="0.3">
      <c r="A3963" s="52">
        <v>3958</v>
      </c>
      <c r="B3963" s="52">
        <f>-bthan*500+(7+0.5)*bthan*1000/50</f>
        <v>-1925</v>
      </c>
      <c r="C3963" s="52">
        <f t="shared" si="354"/>
        <v>790</v>
      </c>
      <c r="D3963" s="52">
        <f t="shared" si="351"/>
        <v>2200</v>
      </c>
      <c r="E3963" s="52">
        <f t="shared" si="352"/>
        <v>1</v>
      </c>
      <c r="F3963" s="52"/>
      <c r="G3963" s="52"/>
      <c r="H3963" s="52"/>
      <c r="I3963" s="52"/>
      <c r="J3963" s="52"/>
      <c r="K3963" s="52"/>
      <c r="L3963" s="52"/>
      <c r="M3963" s="52"/>
      <c r="N3963" s="52"/>
      <c r="O3963" s="52"/>
      <c r="P3963" s="52"/>
      <c r="Q3963" s="52"/>
      <c r="R3963" s="52"/>
      <c r="S3963" s="52"/>
      <c r="T3963" s="52"/>
      <c r="U3963" s="52"/>
      <c r="V3963" s="52"/>
      <c r="W3963" s="52"/>
      <c r="X3963" s="52"/>
      <c r="Y3963" s="52"/>
      <c r="Z3963" s="52"/>
      <c r="AA3963" s="52"/>
      <c r="AB3963" s="52"/>
      <c r="AC3963" s="52"/>
      <c r="AD3963" s="52"/>
      <c r="AE3963" s="52"/>
      <c r="AF3963" s="52"/>
      <c r="AG3963" s="52"/>
      <c r="AH3963" s="52"/>
      <c r="AI3963" s="52"/>
      <c r="AJ3963" s="52"/>
      <c r="AK3963" s="52"/>
      <c r="AL3963" s="52"/>
      <c r="AM3963" s="52"/>
      <c r="AN3963" s="52"/>
    </row>
    <row r="3964" spans="1:40" x14ac:dyDescent="0.3">
      <c r="A3964" s="52">
        <v>3959</v>
      </c>
      <c r="B3964" s="52">
        <f>-bthan*500+(8+0.5)*bthan*1000/50</f>
        <v>-1815</v>
      </c>
      <c r="C3964" s="52">
        <f t="shared" si="354"/>
        <v>790</v>
      </c>
      <c r="D3964" s="52">
        <f t="shared" si="351"/>
        <v>2200</v>
      </c>
      <c r="E3964" s="52">
        <f t="shared" si="352"/>
        <v>1</v>
      </c>
      <c r="F3964" s="52"/>
      <c r="G3964" s="52"/>
      <c r="H3964" s="52"/>
      <c r="I3964" s="52"/>
      <c r="J3964" s="52"/>
      <c r="K3964" s="52"/>
      <c r="L3964" s="52"/>
      <c r="M3964" s="52"/>
      <c r="N3964" s="52"/>
      <c r="O3964" s="52"/>
      <c r="P3964" s="52"/>
      <c r="Q3964" s="52"/>
      <c r="R3964" s="52"/>
      <c r="S3964" s="52"/>
      <c r="T3964" s="52"/>
      <c r="U3964" s="52"/>
      <c r="V3964" s="52"/>
      <c r="W3964" s="52"/>
      <c r="X3964" s="52"/>
      <c r="Y3964" s="52"/>
      <c r="Z3964" s="52"/>
      <c r="AA3964" s="52"/>
      <c r="AB3964" s="52"/>
      <c r="AC3964" s="52"/>
      <c r="AD3964" s="52"/>
      <c r="AE3964" s="52"/>
      <c r="AF3964" s="52"/>
      <c r="AG3964" s="52"/>
      <c r="AH3964" s="52"/>
      <c r="AI3964" s="52"/>
      <c r="AJ3964" s="52"/>
      <c r="AK3964" s="52"/>
      <c r="AL3964" s="52"/>
      <c r="AM3964" s="52"/>
      <c r="AN3964" s="52"/>
    </row>
    <row r="3965" spans="1:40" x14ac:dyDescent="0.3">
      <c r="A3965" s="52">
        <v>3960</v>
      </c>
      <c r="B3965" s="52">
        <f>-bthan*500+(9+0.5)*bthan*1000/50</f>
        <v>-1705</v>
      </c>
      <c r="C3965" s="52">
        <f t="shared" si="354"/>
        <v>790</v>
      </c>
      <c r="D3965" s="52">
        <f t="shared" si="351"/>
        <v>2200</v>
      </c>
      <c r="E3965" s="52">
        <f t="shared" si="352"/>
        <v>1</v>
      </c>
      <c r="F3965" s="52"/>
      <c r="G3965" s="52"/>
      <c r="H3965" s="52"/>
      <c r="I3965" s="52"/>
      <c r="J3965" s="52"/>
      <c r="K3965" s="52"/>
      <c r="L3965" s="52"/>
      <c r="M3965" s="52"/>
      <c r="N3965" s="52"/>
      <c r="O3965" s="52"/>
      <c r="P3965" s="52"/>
      <c r="Q3965" s="52"/>
      <c r="R3965" s="52"/>
      <c r="S3965" s="52"/>
      <c r="T3965" s="52"/>
      <c r="U3965" s="52"/>
      <c r="V3965" s="52"/>
      <c r="W3965" s="52"/>
      <c r="X3965" s="52"/>
      <c r="Y3965" s="52"/>
      <c r="Z3965" s="52"/>
      <c r="AA3965" s="52"/>
      <c r="AB3965" s="52"/>
      <c r="AC3965" s="52"/>
      <c r="AD3965" s="52"/>
      <c r="AE3965" s="52"/>
      <c r="AF3965" s="52"/>
      <c r="AG3965" s="52"/>
      <c r="AH3965" s="52"/>
      <c r="AI3965" s="52"/>
      <c r="AJ3965" s="52"/>
      <c r="AK3965" s="52"/>
      <c r="AL3965" s="52"/>
      <c r="AM3965" s="52"/>
      <c r="AN3965" s="52"/>
    </row>
    <row r="3966" spans="1:40" x14ac:dyDescent="0.3">
      <c r="A3966" s="52">
        <v>3961</v>
      </c>
      <c r="B3966" s="52">
        <f>-bthan*500+(10+0.5)*bthan*1000/50</f>
        <v>-1595</v>
      </c>
      <c r="C3966" s="52">
        <f t="shared" si="354"/>
        <v>790</v>
      </c>
      <c r="D3966" s="52">
        <f t="shared" si="351"/>
        <v>2200</v>
      </c>
      <c r="E3966" s="52">
        <f t="shared" si="352"/>
        <v>1</v>
      </c>
      <c r="F3966" s="52"/>
      <c r="G3966" s="52"/>
      <c r="H3966" s="52"/>
      <c r="I3966" s="52"/>
      <c r="J3966" s="52"/>
      <c r="K3966" s="52"/>
      <c r="L3966" s="52"/>
      <c r="M3966" s="52"/>
      <c r="N3966" s="52"/>
      <c r="O3966" s="52"/>
      <c r="P3966" s="52"/>
      <c r="Q3966" s="52"/>
      <c r="R3966" s="52"/>
      <c r="S3966" s="52"/>
      <c r="T3966" s="52"/>
      <c r="U3966" s="52"/>
      <c r="V3966" s="52"/>
      <c r="W3966" s="52"/>
      <c r="X3966" s="52"/>
      <c r="Y3966" s="52"/>
      <c r="Z3966" s="52"/>
      <c r="AA3966" s="52"/>
      <c r="AB3966" s="52"/>
      <c r="AC3966" s="52"/>
      <c r="AD3966" s="52"/>
      <c r="AE3966" s="52"/>
      <c r="AF3966" s="52"/>
      <c r="AG3966" s="52"/>
      <c r="AH3966" s="52"/>
      <c r="AI3966" s="52"/>
      <c r="AJ3966" s="52"/>
      <c r="AK3966" s="52"/>
      <c r="AL3966" s="52"/>
      <c r="AM3966" s="52"/>
      <c r="AN3966" s="52"/>
    </row>
    <row r="3967" spans="1:40" x14ac:dyDescent="0.3">
      <c r="A3967" s="52">
        <v>3962</v>
      </c>
      <c r="B3967" s="52">
        <f>-bthan*500+(11+0.5)*bthan*1000/50</f>
        <v>-1485</v>
      </c>
      <c r="C3967" s="52">
        <f t="shared" si="354"/>
        <v>790</v>
      </c>
      <c r="D3967" s="52">
        <f t="shared" si="351"/>
        <v>2200</v>
      </c>
      <c r="E3967" s="52">
        <f t="shared" si="352"/>
        <v>1</v>
      </c>
      <c r="F3967" s="52"/>
      <c r="G3967" s="52"/>
      <c r="H3967" s="52"/>
      <c r="I3967" s="52"/>
      <c r="J3967" s="52"/>
      <c r="K3967" s="52"/>
      <c r="L3967" s="52"/>
      <c r="M3967" s="52"/>
      <c r="N3967" s="52"/>
      <c r="O3967" s="52"/>
      <c r="P3967" s="52"/>
      <c r="Q3967" s="52"/>
      <c r="R3967" s="52"/>
      <c r="S3967" s="52"/>
      <c r="T3967" s="52"/>
      <c r="U3967" s="52"/>
      <c r="V3967" s="52"/>
      <c r="W3967" s="52"/>
      <c r="X3967" s="52"/>
      <c r="Y3967" s="52"/>
      <c r="Z3967" s="52"/>
      <c r="AA3967" s="52"/>
      <c r="AB3967" s="52"/>
      <c r="AC3967" s="52"/>
      <c r="AD3967" s="52"/>
      <c r="AE3967" s="52"/>
      <c r="AF3967" s="52"/>
      <c r="AG3967" s="52"/>
      <c r="AH3967" s="52"/>
      <c r="AI3967" s="52"/>
      <c r="AJ3967" s="52"/>
      <c r="AK3967" s="52"/>
      <c r="AL3967" s="52"/>
      <c r="AM3967" s="52"/>
      <c r="AN3967" s="52"/>
    </row>
    <row r="3968" spans="1:40" x14ac:dyDescent="0.3">
      <c r="A3968" s="52">
        <v>3963</v>
      </c>
      <c r="B3968" s="52">
        <f>-bthan*500+(12+0.5)*bthan*1000/50</f>
        <v>-1375</v>
      </c>
      <c r="C3968" s="52">
        <f t="shared" si="354"/>
        <v>790</v>
      </c>
      <c r="D3968" s="52">
        <f t="shared" si="351"/>
        <v>2200</v>
      </c>
      <c r="E3968" s="52">
        <f t="shared" si="352"/>
        <v>1</v>
      </c>
      <c r="F3968" s="52"/>
      <c r="G3968" s="52"/>
      <c r="H3968" s="52"/>
      <c r="I3968" s="52"/>
      <c r="J3968" s="52"/>
      <c r="K3968" s="52"/>
      <c r="L3968" s="52"/>
      <c r="M3968" s="52"/>
      <c r="N3968" s="52"/>
      <c r="O3968" s="52"/>
      <c r="P3968" s="52"/>
      <c r="Q3968" s="52"/>
      <c r="R3968" s="52"/>
      <c r="S3968" s="52"/>
      <c r="T3968" s="52"/>
      <c r="U3968" s="52"/>
      <c r="V3968" s="52"/>
      <c r="W3968" s="52"/>
      <c r="X3968" s="52"/>
      <c r="Y3968" s="52"/>
      <c r="Z3968" s="52"/>
      <c r="AA3968" s="52"/>
      <c r="AB3968" s="52"/>
      <c r="AC3968" s="52"/>
      <c r="AD3968" s="52"/>
      <c r="AE3968" s="52"/>
      <c r="AF3968" s="52"/>
      <c r="AG3968" s="52"/>
      <c r="AH3968" s="52"/>
      <c r="AI3968" s="52"/>
      <c r="AJ3968" s="52"/>
      <c r="AK3968" s="52"/>
      <c r="AL3968" s="52"/>
      <c r="AM3968" s="52"/>
      <c r="AN3968" s="52"/>
    </row>
    <row r="3969" spans="1:40" x14ac:dyDescent="0.3">
      <c r="A3969" s="52">
        <v>3964</v>
      </c>
      <c r="B3969" s="52">
        <f>-bthan*500+(13+0.5)*bthan*1000/50</f>
        <v>-1265</v>
      </c>
      <c r="C3969" s="52">
        <f t="shared" si="354"/>
        <v>790</v>
      </c>
      <c r="D3969" s="52">
        <f t="shared" si="351"/>
        <v>2200</v>
      </c>
      <c r="E3969" s="52">
        <f t="shared" si="352"/>
        <v>1</v>
      </c>
      <c r="F3969" s="52"/>
      <c r="G3969" s="52"/>
      <c r="H3969" s="52"/>
      <c r="I3969" s="52"/>
      <c r="J3969" s="52"/>
      <c r="K3969" s="52"/>
      <c r="L3969" s="52"/>
      <c r="M3969" s="52"/>
      <c r="N3969" s="52"/>
      <c r="O3969" s="52"/>
      <c r="P3969" s="52"/>
      <c r="Q3969" s="52"/>
      <c r="R3969" s="52"/>
      <c r="S3969" s="52"/>
      <c r="T3969" s="52"/>
      <c r="U3969" s="52"/>
      <c r="V3969" s="52"/>
      <c r="W3969" s="52"/>
      <c r="X3969" s="52"/>
      <c r="Y3969" s="52"/>
      <c r="Z3969" s="52"/>
      <c r="AA3969" s="52"/>
      <c r="AB3969" s="52"/>
      <c r="AC3969" s="52"/>
      <c r="AD3969" s="52"/>
      <c r="AE3969" s="52"/>
      <c r="AF3969" s="52"/>
      <c r="AG3969" s="52"/>
      <c r="AH3969" s="52"/>
      <c r="AI3969" s="52"/>
      <c r="AJ3969" s="52"/>
      <c r="AK3969" s="52"/>
      <c r="AL3969" s="52"/>
      <c r="AM3969" s="52"/>
      <c r="AN3969" s="52"/>
    </row>
    <row r="3970" spans="1:40" x14ac:dyDescent="0.3">
      <c r="A3970" s="52">
        <v>3965</v>
      </c>
      <c r="B3970" s="52">
        <f>-bthan*500+(14+0.5)*bthan*1000/50</f>
        <v>-1155</v>
      </c>
      <c r="C3970" s="52">
        <f t="shared" si="354"/>
        <v>790</v>
      </c>
      <c r="D3970" s="52">
        <f t="shared" si="351"/>
        <v>2200</v>
      </c>
      <c r="E3970" s="52">
        <f t="shared" si="352"/>
        <v>1</v>
      </c>
      <c r="F3970" s="52"/>
      <c r="G3970" s="52"/>
      <c r="H3970" s="52"/>
      <c r="I3970" s="52"/>
      <c r="J3970" s="52"/>
      <c r="K3970" s="52"/>
      <c r="L3970" s="52"/>
      <c r="M3970" s="52"/>
      <c r="N3970" s="52"/>
      <c r="O3970" s="52"/>
      <c r="P3970" s="52"/>
      <c r="Q3970" s="52"/>
      <c r="R3970" s="52"/>
      <c r="S3970" s="52"/>
      <c r="T3970" s="52"/>
      <c r="U3970" s="52"/>
      <c r="V3970" s="52"/>
      <c r="W3970" s="52"/>
      <c r="X3970" s="52"/>
      <c r="Y3970" s="52"/>
      <c r="Z3970" s="52"/>
      <c r="AA3970" s="52"/>
      <c r="AB3970" s="52"/>
      <c r="AC3970" s="52"/>
      <c r="AD3970" s="52"/>
      <c r="AE3970" s="52"/>
      <c r="AF3970" s="52"/>
      <c r="AG3970" s="52"/>
      <c r="AH3970" s="52"/>
      <c r="AI3970" s="52"/>
      <c r="AJ3970" s="52"/>
      <c r="AK3970" s="52"/>
      <c r="AL3970" s="52"/>
      <c r="AM3970" s="52"/>
      <c r="AN3970" s="52"/>
    </row>
    <row r="3971" spans="1:40" x14ac:dyDescent="0.3">
      <c r="A3971" s="52">
        <v>3966</v>
      </c>
      <c r="B3971" s="52">
        <f>-bthan*500+(15+0.5)*bthan*1000/50</f>
        <v>-1045</v>
      </c>
      <c r="C3971" s="52">
        <f t="shared" si="354"/>
        <v>790</v>
      </c>
      <c r="D3971" s="52">
        <f t="shared" si="351"/>
        <v>2200</v>
      </c>
      <c r="E3971" s="52">
        <f t="shared" si="352"/>
        <v>1</v>
      </c>
      <c r="F3971" s="52"/>
      <c r="G3971" s="52"/>
      <c r="H3971" s="52"/>
      <c r="I3971" s="52"/>
      <c r="J3971" s="52"/>
      <c r="K3971" s="52"/>
      <c r="L3971" s="52"/>
      <c r="M3971" s="52"/>
      <c r="N3971" s="52"/>
      <c r="O3971" s="52"/>
      <c r="P3971" s="52"/>
      <c r="Q3971" s="52"/>
      <c r="R3971" s="52"/>
      <c r="S3971" s="52"/>
      <c r="T3971" s="52"/>
      <c r="U3971" s="52"/>
      <c r="V3971" s="52"/>
      <c r="W3971" s="52"/>
      <c r="X3971" s="52"/>
      <c r="Y3971" s="52"/>
      <c r="Z3971" s="52"/>
      <c r="AA3971" s="52"/>
      <c r="AB3971" s="52"/>
      <c r="AC3971" s="52"/>
      <c r="AD3971" s="52"/>
      <c r="AE3971" s="52"/>
      <c r="AF3971" s="52"/>
      <c r="AG3971" s="52"/>
      <c r="AH3971" s="52"/>
      <c r="AI3971" s="52"/>
      <c r="AJ3971" s="52"/>
      <c r="AK3971" s="52"/>
      <c r="AL3971" s="52"/>
      <c r="AM3971" s="52"/>
      <c r="AN3971" s="52"/>
    </row>
    <row r="3972" spans="1:40" x14ac:dyDescent="0.3">
      <c r="A3972" s="52">
        <v>3967</v>
      </c>
      <c r="B3972" s="52">
        <f>-bthan*500+(16+0.5)*bthan*1000/50</f>
        <v>-935</v>
      </c>
      <c r="C3972" s="52">
        <f t="shared" si="354"/>
        <v>790</v>
      </c>
      <c r="D3972" s="52">
        <f t="shared" si="351"/>
        <v>2200</v>
      </c>
      <c r="E3972" s="52">
        <f t="shared" si="352"/>
        <v>1</v>
      </c>
      <c r="F3972" s="52"/>
      <c r="G3972" s="52"/>
      <c r="H3972" s="52"/>
      <c r="I3972" s="52"/>
      <c r="J3972" s="52"/>
      <c r="K3972" s="52"/>
      <c r="L3972" s="52"/>
      <c r="M3972" s="52"/>
      <c r="N3972" s="52"/>
      <c r="O3972" s="52"/>
      <c r="P3972" s="52"/>
      <c r="Q3972" s="52"/>
      <c r="R3972" s="52"/>
      <c r="S3972" s="52"/>
      <c r="T3972" s="52"/>
      <c r="U3972" s="52"/>
      <c r="V3972" s="52"/>
      <c r="W3972" s="52"/>
      <c r="X3972" s="52"/>
      <c r="Y3972" s="52"/>
      <c r="Z3972" s="52"/>
      <c r="AA3972" s="52"/>
      <c r="AB3972" s="52"/>
      <c r="AC3972" s="52"/>
      <c r="AD3972" s="52"/>
      <c r="AE3972" s="52"/>
      <c r="AF3972" s="52"/>
      <c r="AG3972" s="52"/>
      <c r="AH3972" s="52"/>
      <c r="AI3972" s="52"/>
      <c r="AJ3972" s="52"/>
      <c r="AK3972" s="52"/>
      <c r="AL3972" s="52"/>
      <c r="AM3972" s="52"/>
      <c r="AN3972" s="52"/>
    </row>
    <row r="3973" spans="1:40" x14ac:dyDescent="0.3">
      <c r="A3973" s="52">
        <v>3968</v>
      </c>
      <c r="B3973" s="52">
        <f>-bthan*500+(17+0.5)*bthan*1000/50</f>
        <v>-825</v>
      </c>
      <c r="C3973" s="52">
        <f t="shared" si="354"/>
        <v>790</v>
      </c>
      <c r="D3973" s="52">
        <f t="shared" si="351"/>
        <v>2200</v>
      </c>
      <c r="E3973" s="52">
        <f t="shared" si="352"/>
        <v>1</v>
      </c>
      <c r="F3973" s="52"/>
      <c r="G3973" s="52"/>
      <c r="H3973" s="52"/>
      <c r="I3973" s="52"/>
      <c r="J3973" s="52"/>
      <c r="K3973" s="52"/>
      <c r="L3973" s="52"/>
      <c r="M3973" s="52"/>
      <c r="N3973" s="52"/>
      <c r="O3973" s="52"/>
      <c r="P3973" s="52"/>
      <c r="Q3973" s="52"/>
      <c r="R3973" s="52"/>
      <c r="S3973" s="52"/>
      <c r="T3973" s="52"/>
      <c r="U3973" s="52"/>
      <c r="V3973" s="52"/>
      <c r="W3973" s="52"/>
      <c r="X3973" s="52"/>
      <c r="Y3973" s="52"/>
      <c r="Z3973" s="52"/>
      <c r="AA3973" s="52"/>
      <c r="AB3973" s="52"/>
      <c r="AC3973" s="52"/>
      <c r="AD3973" s="52"/>
      <c r="AE3973" s="52"/>
      <c r="AF3973" s="52"/>
      <c r="AG3973" s="52"/>
      <c r="AH3973" s="52"/>
      <c r="AI3973" s="52"/>
      <c r="AJ3973" s="52"/>
      <c r="AK3973" s="52"/>
      <c r="AL3973" s="52"/>
      <c r="AM3973" s="52"/>
      <c r="AN3973" s="52"/>
    </row>
    <row r="3974" spans="1:40" x14ac:dyDescent="0.3">
      <c r="A3974" s="52">
        <v>3969</v>
      </c>
      <c r="B3974" s="52">
        <f>-bthan*500+(18+0.5)*bthan*1000/50</f>
        <v>-715</v>
      </c>
      <c r="C3974" s="52">
        <f t="shared" si="354"/>
        <v>790</v>
      </c>
      <c r="D3974" s="52">
        <f t="shared" ref="D3974:D4005" si="355">bthan*1000/50*hthan*1000/80</f>
        <v>2200</v>
      </c>
      <c r="E3974" s="52">
        <f t="shared" ref="E3974:E4005" si="356">IF(shp=1,--(OR(ABS(B3974)&lt;=MAX(0,(bthan-hthan)*500),(ABS(B3974)-MAX(0,(bthan-hthan)*500))^2+C3974^2&lt;=(hthan*500)^2)),--(AND(ABS(B3974)&lt;=bthan*500,ABS(C3974)&lt;=hthan*500,OR(ABS(B3974)&lt;=bthan*500-cch*1000,ABS(C3974)&lt;=hthan*500-cch*1000,(bthan*500-ABS(B3974))+(hthan*500-ABS(C3974))&gt;=cch*1000))))</f>
        <v>1</v>
      </c>
      <c r="F3974" s="52"/>
      <c r="G3974" s="52"/>
      <c r="H3974" s="52"/>
      <c r="I3974" s="52"/>
      <c r="J3974" s="52"/>
      <c r="K3974" s="52"/>
      <c r="L3974" s="52"/>
      <c r="M3974" s="52"/>
      <c r="N3974" s="52"/>
      <c r="O3974" s="52"/>
      <c r="P3974" s="52"/>
      <c r="Q3974" s="52"/>
      <c r="R3974" s="52"/>
      <c r="S3974" s="52"/>
      <c r="T3974" s="52"/>
      <c r="U3974" s="52"/>
      <c r="V3974" s="52"/>
      <c r="W3974" s="52"/>
      <c r="X3974" s="52"/>
      <c r="Y3974" s="52"/>
      <c r="Z3974" s="52"/>
      <c r="AA3974" s="52"/>
      <c r="AB3974" s="52"/>
      <c r="AC3974" s="52"/>
      <c r="AD3974" s="52"/>
      <c r="AE3974" s="52"/>
      <c r="AF3974" s="52"/>
      <c r="AG3974" s="52"/>
      <c r="AH3974" s="52"/>
      <c r="AI3974" s="52"/>
      <c r="AJ3974" s="52"/>
      <c r="AK3974" s="52"/>
      <c r="AL3974" s="52"/>
      <c r="AM3974" s="52"/>
      <c r="AN3974" s="52"/>
    </row>
    <row r="3975" spans="1:40" x14ac:dyDescent="0.3">
      <c r="A3975" s="52">
        <v>3970</v>
      </c>
      <c r="B3975" s="52">
        <f>-bthan*500+(19+0.5)*bthan*1000/50</f>
        <v>-605</v>
      </c>
      <c r="C3975" s="52">
        <f t="shared" si="354"/>
        <v>790</v>
      </c>
      <c r="D3975" s="52">
        <f t="shared" si="355"/>
        <v>2200</v>
      </c>
      <c r="E3975" s="52">
        <f t="shared" si="356"/>
        <v>1</v>
      </c>
      <c r="F3975" s="52"/>
      <c r="G3975" s="52"/>
      <c r="H3975" s="52"/>
      <c r="I3975" s="52"/>
      <c r="J3975" s="52"/>
      <c r="K3975" s="52"/>
      <c r="L3975" s="52"/>
      <c r="M3975" s="52"/>
      <c r="N3975" s="52"/>
      <c r="O3975" s="52"/>
      <c r="P3975" s="52"/>
      <c r="Q3975" s="52"/>
      <c r="R3975" s="52"/>
      <c r="S3975" s="52"/>
      <c r="T3975" s="52"/>
      <c r="U3975" s="52"/>
      <c r="V3975" s="52"/>
      <c r="W3975" s="52"/>
      <c r="X3975" s="52"/>
      <c r="Y3975" s="52"/>
      <c r="Z3975" s="52"/>
      <c r="AA3975" s="52"/>
      <c r="AB3975" s="52"/>
      <c r="AC3975" s="52"/>
      <c r="AD3975" s="52"/>
      <c r="AE3975" s="52"/>
      <c r="AF3975" s="52"/>
      <c r="AG3975" s="52"/>
      <c r="AH3975" s="52"/>
      <c r="AI3975" s="52"/>
      <c r="AJ3975" s="52"/>
      <c r="AK3975" s="52"/>
      <c r="AL3975" s="52"/>
      <c r="AM3975" s="52"/>
      <c r="AN3975" s="52"/>
    </row>
    <row r="3976" spans="1:40" x14ac:dyDescent="0.3">
      <c r="A3976" s="52">
        <v>3971</v>
      </c>
      <c r="B3976" s="52">
        <f>-bthan*500+(20+0.5)*bthan*1000/50</f>
        <v>-495</v>
      </c>
      <c r="C3976" s="52">
        <f t="shared" si="354"/>
        <v>790</v>
      </c>
      <c r="D3976" s="52">
        <f t="shared" si="355"/>
        <v>2200</v>
      </c>
      <c r="E3976" s="52">
        <f t="shared" si="356"/>
        <v>1</v>
      </c>
      <c r="F3976" s="52"/>
      <c r="G3976" s="52"/>
      <c r="H3976" s="52"/>
      <c r="I3976" s="52"/>
      <c r="J3976" s="52"/>
      <c r="K3976" s="52"/>
      <c r="L3976" s="52"/>
      <c r="M3976" s="52"/>
      <c r="N3976" s="52"/>
      <c r="O3976" s="52"/>
      <c r="P3976" s="52"/>
      <c r="Q3976" s="52"/>
      <c r="R3976" s="52"/>
      <c r="S3976" s="52"/>
      <c r="T3976" s="52"/>
      <c r="U3976" s="52"/>
      <c r="V3976" s="52"/>
      <c r="W3976" s="52"/>
      <c r="X3976" s="52"/>
      <c r="Y3976" s="52"/>
      <c r="Z3976" s="52"/>
      <c r="AA3976" s="52"/>
      <c r="AB3976" s="52"/>
      <c r="AC3976" s="52"/>
      <c r="AD3976" s="52"/>
      <c r="AE3976" s="52"/>
      <c r="AF3976" s="52"/>
      <c r="AG3976" s="52"/>
      <c r="AH3976" s="52"/>
      <c r="AI3976" s="52"/>
      <c r="AJ3976" s="52"/>
      <c r="AK3976" s="52"/>
      <c r="AL3976" s="52"/>
      <c r="AM3976" s="52"/>
      <c r="AN3976" s="52"/>
    </row>
    <row r="3977" spans="1:40" x14ac:dyDescent="0.3">
      <c r="A3977" s="52">
        <v>3972</v>
      </c>
      <c r="B3977" s="52">
        <f>-bthan*500+(21+0.5)*bthan*1000/50</f>
        <v>-385</v>
      </c>
      <c r="C3977" s="52">
        <f t="shared" si="354"/>
        <v>790</v>
      </c>
      <c r="D3977" s="52">
        <f t="shared" si="355"/>
        <v>2200</v>
      </c>
      <c r="E3977" s="52">
        <f t="shared" si="356"/>
        <v>1</v>
      </c>
      <c r="F3977" s="52"/>
      <c r="G3977" s="52"/>
      <c r="H3977" s="52"/>
      <c r="I3977" s="52"/>
      <c r="J3977" s="52"/>
      <c r="K3977" s="52"/>
      <c r="L3977" s="52"/>
      <c r="M3977" s="52"/>
      <c r="N3977" s="52"/>
      <c r="O3977" s="52"/>
      <c r="P3977" s="52"/>
      <c r="Q3977" s="52"/>
      <c r="R3977" s="52"/>
      <c r="S3977" s="52"/>
      <c r="T3977" s="52"/>
      <c r="U3977" s="52"/>
      <c r="V3977" s="52"/>
      <c r="W3977" s="52"/>
      <c r="X3977" s="52"/>
      <c r="Y3977" s="52"/>
      <c r="Z3977" s="52"/>
      <c r="AA3977" s="52"/>
      <c r="AB3977" s="52"/>
      <c r="AC3977" s="52"/>
      <c r="AD3977" s="52"/>
      <c r="AE3977" s="52"/>
      <c r="AF3977" s="52"/>
      <c r="AG3977" s="52"/>
      <c r="AH3977" s="52"/>
      <c r="AI3977" s="52"/>
      <c r="AJ3977" s="52"/>
      <c r="AK3977" s="52"/>
      <c r="AL3977" s="52"/>
      <c r="AM3977" s="52"/>
      <c r="AN3977" s="52"/>
    </row>
    <row r="3978" spans="1:40" x14ac:dyDescent="0.3">
      <c r="A3978" s="52">
        <v>3973</v>
      </c>
      <c r="B3978" s="52">
        <f>-bthan*500+(22+0.5)*bthan*1000/50</f>
        <v>-275</v>
      </c>
      <c r="C3978" s="52">
        <f t="shared" si="354"/>
        <v>790</v>
      </c>
      <c r="D3978" s="52">
        <f t="shared" si="355"/>
        <v>2200</v>
      </c>
      <c r="E3978" s="52">
        <f t="shared" si="356"/>
        <v>1</v>
      </c>
      <c r="F3978" s="52"/>
      <c r="G3978" s="52"/>
      <c r="H3978" s="52"/>
      <c r="I3978" s="52"/>
      <c r="J3978" s="52"/>
      <c r="K3978" s="52"/>
      <c r="L3978" s="52"/>
      <c r="M3978" s="52"/>
      <c r="N3978" s="52"/>
      <c r="O3978" s="52"/>
      <c r="P3978" s="52"/>
      <c r="Q3978" s="52"/>
      <c r="R3978" s="52"/>
      <c r="S3978" s="52"/>
      <c r="T3978" s="52"/>
      <c r="U3978" s="52"/>
      <c r="V3978" s="52"/>
      <c r="W3978" s="52"/>
      <c r="X3978" s="52"/>
      <c r="Y3978" s="52"/>
      <c r="Z3978" s="52"/>
      <c r="AA3978" s="52"/>
      <c r="AB3978" s="52"/>
      <c r="AC3978" s="52"/>
      <c r="AD3978" s="52"/>
      <c r="AE3978" s="52"/>
      <c r="AF3978" s="52"/>
      <c r="AG3978" s="52"/>
      <c r="AH3978" s="52"/>
      <c r="AI3978" s="52"/>
      <c r="AJ3978" s="52"/>
      <c r="AK3978" s="52"/>
      <c r="AL3978" s="52"/>
      <c r="AM3978" s="52"/>
      <c r="AN3978" s="52"/>
    </row>
    <row r="3979" spans="1:40" x14ac:dyDescent="0.3">
      <c r="A3979" s="52">
        <v>3974</v>
      </c>
      <c r="B3979" s="52">
        <f>-bthan*500+(23+0.5)*bthan*1000/50</f>
        <v>-165</v>
      </c>
      <c r="C3979" s="52">
        <f t="shared" si="354"/>
        <v>790</v>
      </c>
      <c r="D3979" s="52">
        <f t="shared" si="355"/>
        <v>2200</v>
      </c>
      <c r="E3979" s="52">
        <f t="shared" si="356"/>
        <v>1</v>
      </c>
      <c r="F3979" s="52"/>
      <c r="G3979" s="52"/>
      <c r="H3979" s="52"/>
      <c r="I3979" s="52"/>
      <c r="J3979" s="52"/>
      <c r="K3979" s="52"/>
      <c r="L3979" s="52"/>
      <c r="M3979" s="52"/>
      <c r="N3979" s="52"/>
      <c r="O3979" s="52"/>
      <c r="P3979" s="52"/>
      <c r="Q3979" s="52"/>
      <c r="R3979" s="52"/>
      <c r="S3979" s="52"/>
      <c r="T3979" s="52"/>
      <c r="U3979" s="52"/>
      <c r="V3979" s="52"/>
      <c r="W3979" s="52"/>
      <c r="X3979" s="52"/>
      <c r="Y3979" s="52"/>
      <c r="Z3979" s="52"/>
      <c r="AA3979" s="52"/>
      <c r="AB3979" s="52"/>
      <c r="AC3979" s="52"/>
      <c r="AD3979" s="52"/>
      <c r="AE3979" s="52"/>
      <c r="AF3979" s="52"/>
      <c r="AG3979" s="52"/>
      <c r="AH3979" s="52"/>
      <c r="AI3979" s="52"/>
      <c r="AJ3979" s="52"/>
      <c r="AK3979" s="52"/>
      <c r="AL3979" s="52"/>
      <c r="AM3979" s="52"/>
      <c r="AN3979" s="52"/>
    </row>
    <row r="3980" spans="1:40" x14ac:dyDescent="0.3">
      <c r="A3980" s="52">
        <v>3975</v>
      </c>
      <c r="B3980" s="52">
        <f>-bthan*500+(24+0.5)*bthan*1000/50</f>
        <v>-55</v>
      </c>
      <c r="C3980" s="52">
        <f t="shared" si="354"/>
        <v>790</v>
      </c>
      <c r="D3980" s="52">
        <f t="shared" si="355"/>
        <v>2200</v>
      </c>
      <c r="E3980" s="52">
        <f t="shared" si="356"/>
        <v>1</v>
      </c>
      <c r="F3980" s="52"/>
      <c r="G3980" s="52"/>
      <c r="H3980" s="52"/>
      <c r="I3980" s="52"/>
      <c r="J3980" s="52"/>
      <c r="K3980" s="52"/>
      <c r="L3980" s="52"/>
      <c r="M3980" s="52"/>
      <c r="N3980" s="52"/>
      <c r="O3980" s="52"/>
      <c r="P3980" s="52"/>
      <c r="Q3980" s="52"/>
      <c r="R3980" s="52"/>
      <c r="S3980" s="52"/>
      <c r="T3980" s="52"/>
      <c r="U3980" s="52"/>
      <c r="V3980" s="52"/>
      <c r="W3980" s="52"/>
      <c r="X3980" s="52"/>
      <c r="Y3980" s="52"/>
      <c r="Z3980" s="52"/>
      <c r="AA3980" s="52"/>
      <c r="AB3980" s="52"/>
      <c r="AC3980" s="52"/>
      <c r="AD3980" s="52"/>
      <c r="AE3980" s="52"/>
      <c r="AF3980" s="52"/>
      <c r="AG3980" s="52"/>
      <c r="AH3980" s="52"/>
      <c r="AI3980" s="52"/>
      <c r="AJ3980" s="52"/>
      <c r="AK3980" s="52"/>
      <c r="AL3980" s="52"/>
      <c r="AM3980" s="52"/>
      <c r="AN3980" s="52"/>
    </row>
    <row r="3981" spans="1:40" x14ac:dyDescent="0.3">
      <c r="A3981" s="52">
        <v>3976</v>
      </c>
      <c r="B3981" s="52">
        <f>-bthan*500+(25+0.5)*bthan*1000/50</f>
        <v>55</v>
      </c>
      <c r="C3981" s="52">
        <f t="shared" si="354"/>
        <v>790</v>
      </c>
      <c r="D3981" s="52">
        <f t="shared" si="355"/>
        <v>2200</v>
      </c>
      <c r="E3981" s="52">
        <f t="shared" si="356"/>
        <v>1</v>
      </c>
      <c r="F3981" s="52"/>
      <c r="G3981" s="52"/>
      <c r="H3981" s="52"/>
      <c r="I3981" s="52"/>
      <c r="J3981" s="52"/>
      <c r="K3981" s="52"/>
      <c r="L3981" s="52"/>
      <c r="M3981" s="52"/>
      <c r="N3981" s="52"/>
      <c r="O3981" s="52"/>
      <c r="P3981" s="52"/>
      <c r="Q3981" s="52"/>
      <c r="R3981" s="52"/>
      <c r="S3981" s="52"/>
      <c r="T3981" s="52"/>
      <c r="U3981" s="52"/>
      <c r="V3981" s="52"/>
      <c r="W3981" s="52"/>
      <c r="X3981" s="52"/>
      <c r="Y3981" s="52"/>
      <c r="Z3981" s="52"/>
      <c r="AA3981" s="52"/>
      <c r="AB3981" s="52"/>
      <c r="AC3981" s="52"/>
      <c r="AD3981" s="52"/>
      <c r="AE3981" s="52"/>
      <c r="AF3981" s="52"/>
      <c r="AG3981" s="52"/>
      <c r="AH3981" s="52"/>
      <c r="AI3981" s="52"/>
      <c r="AJ3981" s="52"/>
      <c r="AK3981" s="52"/>
      <c r="AL3981" s="52"/>
      <c r="AM3981" s="52"/>
      <c r="AN3981" s="52"/>
    </row>
    <row r="3982" spans="1:40" x14ac:dyDescent="0.3">
      <c r="A3982" s="52">
        <v>3977</v>
      </c>
      <c r="B3982" s="52">
        <f>-bthan*500+(26+0.5)*bthan*1000/50</f>
        <v>165</v>
      </c>
      <c r="C3982" s="52">
        <f t="shared" si="354"/>
        <v>790</v>
      </c>
      <c r="D3982" s="52">
        <f t="shared" si="355"/>
        <v>2200</v>
      </c>
      <c r="E3982" s="52">
        <f t="shared" si="356"/>
        <v>1</v>
      </c>
      <c r="F3982" s="52"/>
      <c r="G3982" s="52"/>
      <c r="H3982" s="52"/>
      <c r="I3982" s="52"/>
      <c r="J3982" s="52"/>
      <c r="K3982" s="52"/>
      <c r="L3982" s="52"/>
      <c r="M3982" s="52"/>
      <c r="N3982" s="52"/>
      <c r="O3982" s="52"/>
      <c r="P3982" s="52"/>
      <c r="Q3982" s="52"/>
      <c r="R3982" s="52"/>
      <c r="S3982" s="52"/>
      <c r="T3982" s="52"/>
      <c r="U3982" s="52"/>
      <c r="V3982" s="52"/>
      <c r="W3982" s="52"/>
      <c r="X3982" s="52"/>
      <c r="Y3982" s="52"/>
      <c r="Z3982" s="52"/>
      <c r="AA3982" s="52"/>
      <c r="AB3982" s="52"/>
      <c r="AC3982" s="52"/>
      <c r="AD3982" s="52"/>
      <c r="AE3982" s="52"/>
      <c r="AF3982" s="52"/>
      <c r="AG3982" s="52"/>
      <c r="AH3982" s="52"/>
      <c r="AI3982" s="52"/>
      <c r="AJ3982" s="52"/>
      <c r="AK3982" s="52"/>
      <c r="AL3982" s="52"/>
      <c r="AM3982" s="52"/>
      <c r="AN3982" s="52"/>
    </row>
    <row r="3983" spans="1:40" x14ac:dyDescent="0.3">
      <c r="A3983" s="52">
        <v>3978</v>
      </c>
      <c r="B3983" s="52">
        <f>-bthan*500+(27+0.5)*bthan*1000/50</f>
        <v>275</v>
      </c>
      <c r="C3983" s="52">
        <f t="shared" si="354"/>
        <v>790</v>
      </c>
      <c r="D3983" s="52">
        <f t="shared" si="355"/>
        <v>2200</v>
      </c>
      <c r="E3983" s="52">
        <f t="shared" si="356"/>
        <v>1</v>
      </c>
      <c r="F3983" s="52"/>
      <c r="G3983" s="52"/>
      <c r="H3983" s="52"/>
      <c r="I3983" s="52"/>
      <c r="J3983" s="52"/>
      <c r="K3983" s="52"/>
      <c r="L3983" s="52"/>
      <c r="M3983" s="52"/>
      <c r="N3983" s="52"/>
      <c r="O3983" s="52"/>
      <c r="P3983" s="52"/>
      <c r="Q3983" s="52"/>
      <c r="R3983" s="52"/>
      <c r="S3983" s="52"/>
      <c r="T3983" s="52"/>
      <c r="U3983" s="52"/>
      <c r="V3983" s="52"/>
      <c r="W3983" s="52"/>
      <c r="X3983" s="52"/>
      <c r="Y3983" s="52"/>
      <c r="Z3983" s="52"/>
      <c r="AA3983" s="52"/>
      <c r="AB3983" s="52"/>
      <c r="AC3983" s="52"/>
      <c r="AD3983" s="52"/>
      <c r="AE3983" s="52"/>
      <c r="AF3983" s="52"/>
      <c r="AG3983" s="52"/>
      <c r="AH3983" s="52"/>
      <c r="AI3983" s="52"/>
      <c r="AJ3983" s="52"/>
      <c r="AK3983" s="52"/>
      <c r="AL3983" s="52"/>
      <c r="AM3983" s="52"/>
      <c r="AN3983" s="52"/>
    </row>
    <row r="3984" spans="1:40" x14ac:dyDescent="0.3">
      <c r="A3984" s="52">
        <v>3979</v>
      </c>
      <c r="B3984" s="52">
        <f>-bthan*500+(28+0.5)*bthan*1000/50</f>
        <v>385</v>
      </c>
      <c r="C3984" s="52">
        <f t="shared" si="354"/>
        <v>790</v>
      </c>
      <c r="D3984" s="52">
        <f t="shared" si="355"/>
        <v>2200</v>
      </c>
      <c r="E3984" s="52">
        <f t="shared" si="356"/>
        <v>1</v>
      </c>
      <c r="F3984" s="52"/>
      <c r="G3984" s="52"/>
      <c r="H3984" s="52"/>
      <c r="I3984" s="52"/>
      <c r="J3984" s="52"/>
      <c r="K3984" s="52"/>
      <c r="L3984" s="52"/>
      <c r="M3984" s="52"/>
      <c r="N3984" s="52"/>
      <c r="O3984" s="52"/>
      <c r="P3984" s="52"/>
      <c r="Q3984" s="52"/>
      <c r="R3984" s="52"/>
      <c r="S3984" s="52"/>
      <c r="T3984" s="52"/>
      <c r="U3984" s="52"/>
      <c r="V3984" s="52"/>
      <c r="W3984" s="52"/>
      <c r="X3984" s="52"/>
      <c r="Y3984" s="52"/>
      <c r="Z3984" s="52"/>
      <c r="AA3984" s="52"/>
      <c r="AB3984" s="52"/>
      <c r="AC3984" s="52"/>
      <c r="AD3984" s="52"/>
      <c r="AE3984" s="52"/>
      <c r="AF3984" s="52"/>
      <c r="AG3984" s="52"/>
      <c r="AH3984" s="52"/>
      <c r="AI3984" s="52"/>
      <c r="AJ3984" s="52"/>
      <c r="AK3984" s="52"/>
      <c r="AL3984" s="52"/>
      <c r="AM3984" s="52"/>
      <c r="AN3984" s="52"/>
    </row>
    <row r="3985" spans="1:40" x14ac:dyDescent="0.3">
      <c r="A3985" s="52">
        <v>3980</v>
      </c>
      <c r="B3985" s="52">
        <f>-bthan*500+(29+0.5)*bthan*1000/50</f>
        <v>495</v>
      </c>
      <c r="C3985" s="52">
        <f t="shared" si="354"/>
        <v>790</v>
      </c>
      <c r="D3985" s="52">
        <f t="shared" si="355"/>
        <v>2200</v>
      </c>
      <c r="E3985" s="52">
        <f t="shared" si="356"/>
        <v>1</v>
      </c>
      <c r="F3985" s="52"/>
      <c r="G3985" s="52"/>
      <c r="H3985" s="52"/>
      <c r="I3985" s="52"/>
      <c r="J3985" s="52"/>
      <c r="K3985" s="52"/>
      <c r="L3985" s="52"/>
      <c r="M3985" s="52"/>
      <c r="N3985" s="52"/>
      <c r="O3985" s="52"/>
      <c r="P3985" s="52"/>
      <c r="Q3985" s="52"/>
      <c r="R3985" s="52"/>
      <c r="S3985" s="52"/>
      <c r="T3985" s="52"/>
      <c r="U3985" s="52"/>
      <c r="V3985" s="52"/>
      <c r="W3985" s="52"/>
      <c r="X3985" s="52"/>
      <c r="Y3985" s="52"/>
      <c r="Z3985" s="52"/>
      <c r="AA3985" s="52"/>
      <c r="AB3985" s="52"/>
      <c r="AC3985" s="52"/>
      <c r="AD3985" s="52"/>
      <c r="AE3985" s="52"/>
      <c r="AF3985" s="52"/>
      <c r="AG3985" s="52"/>
      <c r="AH3985" s="52"/>
      <c r="AI3985" s="52"/>
      <c r="AJ3985" s="52"/>
      <c r="AK3985" s="52"/>
      <c r="AL3985" s="52"/>
      <c r="AM3985" s="52"/>
      <c r="AN3985" s="52"/>
    </row>
    <row r="3986" spans="1:40" x14ac:dyDescent="0.3">
      <c r="A3986" s="52">
        <v>3981</v>
      </c>
      <c r="B3986" s="52">
        <f>-bthan*500+(30+0.5)*bthan*1000/50</f>
        <v>605</v>
      </c>
      <c r="C3986" s="52">
        <f t="shared" si="354"/>
        <v>790</v>
      </c>
      <c r="D3986" s="52">
        <f t="shared" si="355"/>
        <v>2200</v>
      </c>
      <c r="E3986" s="52">
        <f t="shared" si="356"/>
        <v>1</v>
      </c>
      <c r="F3986" s="52"/>
      <c r="G3986" s="52"/>
      <c r="H3986" s="52"/>
      <c r="I3986" s="52"/>
      <c r="J3986" s="52"/>
      <c r="K3986" s="52"/>
      <c r="L3986" s="52"/>
      <c r="M3986" s="52"/>
      <c r="N3986" s="52"/>
      <c r="O3986" s="52"/>
      <c r="P3986" s="52"/>
      <c r="Q3986" s="52"/>
      <c r="R3986" s="52"/>
      <c r="S3986" s="52"/>
      <c r="T3986" s="52"/>
      <c r="U3986" s="52"/>
      <c r="V3986" s="52"/>
      <c r="W3986" s="52"/>
      <c r="X3986" s="52"/>
      <c r="Y3986" s="52"/>
      <c r="Z3986" s="52"/>
      <c r="AA3986" s="52"/>
      <c r="AB3986" s="52"/>
      <c r="AC3986" s="52"/>
      <c r="AD3986" s="52"/>
      <c r="AE3986" s="52"/>
      <c r="AF3986" s="52"/>
      <c r="AG3986" s="52"/>
      <c r="AH3986" s="52"/>
      <c r="AI3986" s="52"/>
      <c r="AJ3986" s="52"/>
      <c r="AK3986" s="52"/>
      <c r="AL3986" s="52"/>
      <c r="AM3986" s="52"/>
      <c r="AN3986" s="52"/>
    </row>
    <row r="3987" spans="1:40" x14ac:dyDescent="0.3">
      <c r="A3987" s="52">
        <v>3982</v>
      </c>
      <c r="B3987" s="52">
        <f>-bthan*500+(31+0.5)*bthan*1000/50</f>
        <v>715</v>
      </c>
      <c r="C3987" s="52">
        <f t="shared" si="354"/>
        <v>790</v>
      </c>
      <c r="D3987" s="52">
        <f t="shared" si="355"/>
        <v>2200</v>
      </c>
      <c r="E3987" s="52">
        <f t="shared" si="356"/>
        <v>1</v>
      </c>
      <c r="F3987" s="52"/>
      <c r="G3987" s="52"/>
      <c r="H3987" s="52"/>
      <c r="I3987" s="52"/>
      <c r="J3987" s="52"/>
      <c r="K3987" s="52"/>
      <c r="L3987" s="52"/>
      <c r="M3987" s="52"/>
      <c r="N3987" s="52"/>
      <c r="O3987" s="52"/>
      <c r="P3987" s="52"/>
      <c r="Q3987" s="52"/>
      <c r="R3987" s="52"/>
      <c r="S3987" s="52"/>
      <c r="T3987" s="52"/>
      <c r="U3987" s="52"/>
      <c r="V3987" s="52"/>
      <c r="W3987" s="52"/>
      <c r="X3987" s="52"/>
      <c r="Y3987" s="52"/>
      <c r="Z3987" s="52"/>
      <c r="AA3987" s="52"/>
      <c r="AB3987" s="52"/>
      <c r="AC3987" s="52"/>
      <c r="AD3987" s="52"/>
      <c r="AE3987" s="52"/>
      <c r="AF3987" s="52"/>
      <c r="AG3987" s="52"/>
      <c r="AH3987" s="52"/>
      <c r="AI3987" s="52"/>
      <c r="AJ3987" s="52"/>
      <c r="AK3987" s="52"/>
      <c r="AL3987" s="52"/>
      <c r="AM3987" s="52"/>
      <c r="AN3987" s="52"/>
    </row>
    <row r="3988" spans="1:40" x14ac:dyDescent="0.3">
      <c r="A3988" s="52">
        <v>3983</v>
      </c>
      <c r="B3988" s="52">
        <f>-bthan*500+(32+0.5)*bthan*1000/50</f>
        <v>825</v>
      </c>
      <c r="C3988" s="52">
        <f t="shared" ref="C3988:C4005" si="357">-hthan*500+(79+0.5)*hthan*1000/80</f>
        <v>790</v>
      </c>
      <c r="D3988" s="52">
        <f t="shared" si="355"/>
        <v>2200</v>
      </c>
      <c r="E3988" s="52">
        <f t="shared" si="356"/>
        <v>1</v>
      </c>
      <c r="F3988" s="52"/>
      <c r="G3988" s="52"/>
      <c r="H3988" s="52"/>
      <c r="I3988" s="52"/>
      <c r="J3988" s="52"/>
      <c r="K3988" s="52"/>
      <c r="L3988" s="52"/>
      <c r="M3988" s="52"/>
      <c r="N3988" s="52"/>
      <c r="O3988" s="52"/>
      <c r="P3988" s="52"/>
      <c r="Q3988" s="52"/>
      <c r="R3988" s="52"/>
      <c r="S3988" s="52"/>
      <c r="T3988" s="52"/>
      <c r="U3988" s="52"/>
      <c r="V3988" s="52"/>
      <c r="W3988" s="52"/>
      <c r="X3988" s="52"/>
      <c r="Y3988" s="52"/>
      <c r="Z3988" s="52"/>
      <c r="AA3988" s="52"/>
      <c r="AB3988" s="52"/>
      <c r="AC3988" s="52"/>
      <c r="AD3988" s="52"/>
      <c r="AE3988" s="52"/>
      <c r="AF3988" s="52"/>
      <c r="AG3988" s="52"/>
      <c r="AH3988" s="52"/>
      <c r="AI3988" s="52"/>
      <c r="AJ3988" s="52"/>
      <c r="AK3988" s="52"/>
      <c r="AL3988" s="52"/>
      <c r="AM3988" s="52"/>
      <c r="AN3988" s="52"/>
    </row>
    <row r="3989" spans="1:40" x14ac:dyDescent="0.3">
      <c r="A3989" s="52">
        <v>3984</v>
      </c>
      <c r="B3989" s="52">
        <f>-bthan*500+(33+0.5)*bthan*1000/50</f>
        <v>935</v>
      </c>
      <c r="C3989" s="52">
        <f t="shared" si="357"/>
        <v>790</v>
      </c>
      <c r="D3989" s="52">
        <f t="shared" si="355"/>
        <v>2200</v>
      </c>
      <c r="E3989" s="52">
        <f t="shared" si="356"/>
        <v>1</v>
      </c>
      <c r="F3989" s="52"/>
      <c r="G3989" s="52"/>
      <c r="H3989" s="52"/>
      <c r="I3989" s="52"/>
      <c r="J3989" s="52"/>
      <c r="K3989" s="52"/>
      <c r="L3989" s="52"/>
      <c r="M3989" s="52"/>
      <c r="N3989" s="52"/>
      <c r="O3989" s="52"/>
      <c r="P3989" s="52"/>
      <c r="Q3989" s="52"/>
      <c r="R3989" s="52"/>
      <c r="S3989" s="52"/>
      <c r="T3989" s="52"/>
      <c r="U3989" s="52"/>
      <c r="V3989" s="52"/>
      <c r="W3989" s="52"/>
      <c r="X3989" s="52"/>
      <c r="Y3989" s="52"/>
      <c r="Z3989" s="52"/>
      <c r="AA3989" s="52"/>
      <c r="AB3989" s="52"/>
      <c r="AC3989" s="52"/>
      <c r="AD3989" s="52"/>
      <c r="AE3989" s="52"/>
      <c r="AF3989" s="52"/>
      <c r="AG3989" s="52"/>
      <c r="AH3989" s="52"/>
      <c r="AI3989" s="52"/>
      <c r="AJ3989" s="52"/>
      <c r="AK3989" s="52"/>
      <c r="AL3989" s="52"/>
      <c r="AM3989" s="52"/>
      <c r="AN3989" s="52"/>
    </row>
    <row r="3990" spans="1:40" x14ac:dyDescent="0.3">
      <c r="A3990" s="52">
        <v>3985</v>
      </c>
      <c r="B3990" s="52">
        <f>-bthan*500+(34+0.5)*bthan*1000/50</f>
        <v>1045</v>
      </c>
      <c r="C3990" s="52">
        <f t="shared" si="357"/>
        <v>790</v>
      </c>
      <c r="D3990" s="52">
        <f t="shared" si="355"/>
        <v>2200</v>
      </c>
      <c r="E3990" s="52">
        <f t="shared" si="356"/>
        <v>1</v>
      </c>
      <c r="F3990" s="52"/>
      <c r="G3990" s="52"/>
      <c r="H3990" s="52"/>
      <c r="I3990" s="52"/>
      <c r="J3990" s="52"/>
      <c r="K3990" s="52"/>
      <c r="L3990" s="52"/>
      <c r="M3990" s="52"/>
      <c r="N3990" s="52"/>
      <c r="O3990" s="52"/>
      <c r="P3990" s="52"/>
      <c r="Q3990" s="52"/>
      <c r="R3990" s="52"/>
      <c r="S3990" s="52"/>
      <c r="T3990" s="52"/>
      <c r="U3990" s="52"/>
      <c r="V3990" s="52"/>
      <c r="W3990" s="52"/>
      <c r="X3990" s="52"/>
      <c r="Y3990" s="52"/>
      <c r="Z3990" s="52"/>
      <c r="AA3990" s="52"/>
      <c r="AB3990" s="52"/>
      <c r="AC3990" s="52"/>
      <c r="AD3990" s="52"/>
      <c r="AE3990" s="52"/>
      <c r="AF3990" s="52"/>
      <c r="AG3990" s="52"/>
      <c r="AH3990" s="52"/>
      <c r="AI3990" s="52"/>
      <c r="AJ3990" s="52"/>
      <c r="AK3990" s="52"/>
      <c r="AL3990" s="52"/>
      <c r="AM3990" s="52"/>
      <c r="AN3990" s="52"/>
    </row>
    <row r="3991" spans="1:40" x14ac:dyDescent="0.3">
      <c r="A3991" s="52">
        <v>3986</v>
      </c>
      <c r="B3991" s="52">
        <f>-bthan*500+(35+0.5)*bthan*1000/50</f>
        <v>1155</v>
      </c>
      <c r="C3991" s="52">
        <f t="shared" si="357"/>
        <v>790</v>
      </c>
      <c r="D3991" s="52">
        <f t="shared" si="355"/>
        <v>2200</v>
      </c>
      <c r="E3991" s="52">
        <f t="shared" si="356"/>
        <v>1</v>
      </c>
      <c r="F3991" s="52"/>
      <c r="G3991" s="52"/>
      <c r="H3991" s="52"/>
      <c r="I3991" s="52"/>
      <c r="J3991" s="52"/>
      <c r="K3991" s="52"/>
      <c r="L3991" s="52"/>
      <c r="M3991" s="52"/>
      <c r="N3991" s="52"/>
      <c r="O3991" s="52"/>
      <c r="P3991" s="52"/>
      <c r="Q3991" s="52"/>
      <c r="R3991" s="52"/>
      <c r="S3991" s="52"/>
      <c r="T3991" s="52"/>
      <c r="U3991" s="52"/>
      <c r="V3991" s="52"/>
      <c r="W3991" s="52"/>
      <c r="X3991" s="52"/>
      <c r="Y3991" s="52"/>
      <c r="Z3991" s="52"/>
      <c r="AA3991" s="52"/>
      <c r="AB3991" s="52"/>
      <c r="AC3991" s="52"/>
      <c r="AD3991" s="52"/>
      <c r="AE3991" s="52"/>
      <c r="AF3991" s="52"/>
      <c r="AG3991" s="52"/>
      <c r="AH3991" s="52"/>
      <c r="AI3991" s="52"/>
      <c r="AJ3991" s="52"/>
      <c r="AK3991" s="52"/>
      <c r="AL3991" s="52"/>
      <c r="AM3991" s="52"/>
      <c r="AN3991" s="52"/>
    </row>
    <row r="3992" spans="1:40" x14ac:dyDescent="0.3">
      <c r="A3992" s="52">
        <v>3987</v>
      </c>
      <c r="B3992" s="52">
        <f>-bthan*500+(36+0.5)*bthan*1000/50</f>
        <v>1265</v>
      </c>
      <c r="C3992" s="52">
        <f t="shared" si="357"/>
        <v>790</v>
      </c>
      <c r="D3992" s="52">
        <f t="shared" si="355"/>
        <v>2200</v>
      </c>
      <c r="E3992" s="52">
        <f t="shared" si="356"/>
        <v>1</v>
      </c>
      <c r="F3992" s="52"/>
      <c r="G3992" s="52"/>
      <c r="H3992" s="52"/>
      <c r="I3992" s="52"/>
      <c r="J3992" s="52"/>
      <c r="K3992" s="52"/>
      <c r="L3992" s="52"/>
      <c r="M3992" s="52"/>
      <c r="N3992" s="52"/>
      <c r="O3992" s="52"/>
      <c r="P3992" s="52"/>
      <c r="Q3992" s="52"/>
      <c r="R3992" s="52"/>
      <c r="S3992" s="52"/>
      <c r="T3992" s="52"/>
      <c r="U3992" s="52"/>
      <c r="V3992" s="52"/>
      <c r="W3992" s="52"/>
      <c r="X3992" s="52"/>
      <c r="Y3992" s="52"/>
      <c r="Z3992" s="52"/>
      <c r="AA3992" s="52"/>
      <c r="AB3992" s="52"/>
      <c r="AC3992" s="52"/>
      <c r="AD3992" s="52"/>
      <c r="AE3992" s="52"/>
      <c r="AF3992" s="52"/>
      <c r="AG3992" s="52"/>
      <c r="AH3992" s="52"/>
      <c r="AI3992" s="52"/>
      <c r="AJ3992" s="52"/>
      <c r="AK3992" s="52"/>
      <c r="AL3992" s="52"/>
      <c r="AM3992" s="52"/>
      <c r="AN3992" s="52"/>
    </row>
    <row r="3993" spans="1:40" x14ac:dyDescent="0.3">
      <c r="A3993" s="52">
        <v>3988</v>
      </c>
      <c r="B3993" s="52">
        <f>-bthan*500+(37+0.5)*bthan*1000/50</f>
        <v>1375</v>
      </c>
      <c r="C3993" s="52">
        <f t="shared" si="357"/>
        <v>790</v>
      </c>
      <c r="D3993" s="52">
        <f t="shared" si="355"/>
        <v>2200</v>
      </c>
      <c r="E3993" s="52">
        <f t="shared" si="356"/>
        <v>1</v>
      </c>
      <c r="F3993" s="52"/>
      <c r="G3993" s="52"/>
      <c r="H3993" s="52"/>
      <c r="I3993" s="52"/>
      <c r="J3993" s="52"/>
      <c r="K3993" s="52"/>
      <c r="L3993" s="52"/>
      <c r="M3993" s="52"/>
      <c r="N3993" s="52"/>
      <c r="O3993" s="52"/>
      <c r="P3993" s="52"/>
      <c r="Q3993" s="52"/>
      <c r="R3993" s="52"/>
      <c r="S3993" s="52"/>
      <c r="T3993" s="52"/>
      <c r="U3993" s="52"/>
      <c r="V3993" s="52"/>
      <c r="W3993" s="52"/>
      <c r="X3993" s="52"/>
      <c r="Y3993" s="52"/>
      <c r="Z3993" s="52"/>
      <c r="AA3993" s="52"/>
      <c r="AB3993" s="52"/>
      <c r="AC3993" s="52"/>
      <c r="AD3993" s="52"/>
      <c r="AE3993" s="52"/>
      <c r="AF3993" s="52"/>
      <c r="AG3993" s="52"/>
      <c r="AH3993" s="52"/>
      <c r="AI3993" s="52"/>
      <c r="AJ3993" s="52"/>
      <c r="AK3993" s="52"/>
      <c r="AL3993" s="52"/>
      <c r="AM3993" s="52"/>
      <c r="AN3993" s="52"/>
    </row>
    <row r="3994" spans="1:40" x14ac:dyDescent="0.3">
      <c r="A3994" s="52">
        <v>3989</v>
      </c>
      <c r="B3994" s="52">
        <f>-bthan*500+(38+0.5)*bthan*1000/50</f>
        <v>1485</v>
      </c>
      <c r="C3994" s="52">
        <f t="shared" si="357"/>
        <v>790</v>
      </c>
      <c r="D3994" s="52">
        <f t="shared" si="355"/>
        <v>2200</v>
      </c>
      <c r="E3994" s="52">
        <f t="shared" si="356"/>
        <v>1</v>
      </c>
      <c r="F3994" s="52"/>
      <c r="G3994" s="52"/>
      <c r="H3994" s="52"/>
      <c r="I3994" s="52"/>
      <c r="J3994" s="52"/>
      <c r="K3994" s="52"/>
      <c r="L3994" s="52"/>
      <c r="M3994" s="52"/>
      <c r="N3994" s="52"/>
      <c r="O3994" s="52"/>
      <c r="P3994" s="52"/>
      <c r="Q3994" s="52"/>
      <c r="R3994" s="52"/>
      <c r="S3994" s="52"/>
      <c r="T3994" s="52"/>
      <c r="U3994" s="52"/>
      <c r="V3994" s="52"/>
      <c r="W3994" s="52"/>
      <c r="X3994" s="52"/>
      <c r="Y3994" s="52"/>
      <c r="Z3994" s="52"/>
      <c r="AA3994" s="52"/>
      <c r="AB3994" s="52"/>
      <c r="AC3994" s="52"/>
      <c r="AD3994" s="52"/>
      <c r="AE3994" s="52"/>
      <c r="AF3994" s="52"/>
      <c r="AG3994" s="52"/>
      <c r="AH3994" s="52"/>
      <c r="AI3994" s="52"/>
      <c r="AJ3994" s="52"/>
      <c r="AK3994" s="52"/>
      <c r="AL3994" s="52"/>
      <c r="AM3994" s="52"/>
      <c r="AN3994" s="52"/>
    </row>
    <row r="3995" spans="1:40" x14ac:dyDescent="0.3">
      <c r="A3995" s="52">
        <v>3990</v>
      </c>
      <c r="B3995" s="52">
        <f>-bthan*500+(39+0.5)*bthan*1000/50</f>
        <v>1595</v>
      </c>
      <c r="C3995" s="52">
        <f t="shared" si="357"/>
        <v>790</v>
      </c>
      <c r="D3995" s="52">
        <f t="shared" si="355"/>
        <v>2200</v>
      </c>
      <c r="E3995" s="52">
        <f t="shared" si="356"/>
        <v>1</v>
      </c>
      <c r="F3995" s="52"/>
      <c r="G3995" s="52"/>
      <c r="H3995" s="52"/>
      <c r="I3995" s="52"/>
      <c r="J3995" s="52"/>
      <c r="K3995" s="52"/>
      <c r="L3995" s="52"/>
      <c r="M3995" s="52"/>
      <c r="N3995" s="52"/>
      <c r="O3995" s="52"/>
      <c r="P3995" s="52"/>
      <c r="Q3995" s="52"/>
      <c r="R3995" s="52"/>
      <c r="S3995" s="52"/>
      <c r="T3995" s="52"/>
      <c r="U3995" s="52"/>
      <c r="V3995" s="52"/>
      <c r="W3995" s="52"/>
      <c r="X3995" s="52"/>
      <c r="Y3995" s="52"/>
      <c r="Z3995" s="52"/>
      <c r="AA3995" s="52"/>
      <c r="AB3995" s="52"/>
      <c r="AC3995" s="52"/>
      <c r="AD3995" s="52"/>
      <c r="AE3995" s="52"/>
      <c r="AF3995" s="52"/>
      <c r="AG3995" s="52"/>
      <c r="AH3995" s="52"/>
      <c r="AI3995" s="52"/>
      <c r="AJ3995" s="52"/>
      <c r="AK3995" s="52"/>
      <c r="AL3995" s="52"/>
      <c r="AM3995" s="52"/>
      <c r="AN3995" s="52"/>
    </row>
    <row r="3996" spans="1:40" x14ac:dyDescent="0.3">
      <c r="A3996" s="52">
        <v>3991</v>
      </c>
      <c r="B3996" s="52">
        <f>-bthan*500+(40+0.5)*bthan*1000/50</f>
        <v>1705</v>
      </c>
      <c r="C3996" s="52">
        <f t="shared" si="357"/>
        <v>790</v>
      </c>
      <c r="D3996" s="52">
        <f t="shared" si="355"/>
        <v>2200</v>
      </c>
      <c r="E3996" s="52">
        <f t="shared" si="356"/>
        <v>1</v>
      </c>
      <c r="F3996" s="52"/>
      <c r="G3996" s="52"/>
      <c r="H3996" s="52"/>
      <c r="I3996" s="52"/>
      <c r="J3996" s="52"/>
      <c r="K3996" s="52"/>
      <c r="L3996" s="52"/>
      <c r="M3996" s="52"/>
      <c r="N3996" s="52"/>
      <c r="O3996" s="52"/>
      <c r="P3996" s="52"/>
      <c r="Q3996" s="52"/>
      <c r="R3996" s="52"/>
      <c r="S3996" s="52"/>
      <c r="T3996" s="52"/>
      <c r="U3996" s="52"/>
      <c r="V3996" s="52"/>
      <c r="W3996" s="52"/>
      <c r="X3996" s="52"/>
      <c r="Y3996" s="52"/>
      <c r="Z3996" s="52"/>
      <c r="AA3996" s="52"/>
      <c r="AB3996" s="52"/>
      <c r="AC3996" s="52"/>
      <c r="AD3996" s="52"/>
      <c r="AE3996" s="52"/>
      <c r="AF3996" s="52"/>
      <c r="AG3996" s="52"/>
      <c r="AH3996" s="52"/>
      <c r="AI3996" s="52"/>
      <c r="AJ3996" s="52"/>
      <c r="AK3996" s="52"/>
      <c r="AL3996" s="52"/>
      <c r="AM3996" s="52"/>
      <c r="AN3996" s="52"/>
    </row>
    <row r="3997" spans="1:40" x14ac:dyDescent="0.3">
      <c r="A3997" s="52">
        <v>3992</v>
      </c>
      <c r="B3997" s="52">
        <f>-bthan*500+(41+0.5)*bthan*1000/50</f>
        <v>1815</v>
      </c>
      <c r="C3997" s="52">
        <f t="shared" si="357"/>
        <v>790</v>
      </c>
      <c r="D3997" s="52">
        <f t="shared" si="355"/>
        <v>2200</v>
      </c>
      <c r="E3997" s="52">
        <f t="shared" si="356"/>
        <v>1</v>
      </c>
      <c r="F3997" s="52"/>
      <c r="G3997" s="52"/>
      <c r="H3997" s="52"/>
      <c r="I3997" s="52"/>
      <c r="J3997" s="52"/>
      <c r="K3997" s="52"/>
      <c r="L3997" s="52"/>
      <c r="M3997" s="52"/>
      <c r="N3997" s="52"/>
      <c r="O3997" s="52"/>
      <c r="P3997" s="52"/>
      <c r="Q3997" s="52"/>
      <c r="R3997" s="52"/>
      <c r="S3997" s="52"/>
      <c r="T3997" s="52"/>
      <c r="U3997" s="52"/>
      <c r="V3997" s="52"/>
      <c r="W3997" s="52"/>
      <c r="X3997" s="52"/>
      <c r="Y3997" s="52"/>
      <c r="Z3997" s="52"/>
      <c r="AA3997" s="52"/>
      <c r="AB3997" s="52"/>
      <c r="AC3997" s="52"/>
      <c r="AD3997" s="52"/>
      <c r="AE3997" s="52"/>
      <c r="AF3997" s="52"/>
      <c r="AG3997" s="52"/>
      <c r="AH3997" s="52"/>
      <c r="AI3997" s="52"/>
      <c r="AJ3997" s="52"/>
      <c r="AK3997" s="52"/>
      <c r="AL3997" s="52"/>
      <c r="AM3997" s="52"/>
      <c r="AN3997" s="52"/>
    </row>
    <row r="3998" spans="1:40" x14ac:dyDescent="0.3">
      <c r="A3998" s="52">
        <v>3993</v>
      </c>
      <c r="B3998" s="52">
        <f>-bthan*500+(42+0.5)*bthan*1000/50</f>
        <v>1925</v>
      </c>
      <c r="C3998" s="52">
        <f t="shared" si="357"/>
        <v>790</v>
      </c>
      <c r="D3998" s="52">
        <f t="shared" si="355"/>
        <v>2200</v>
      </c>
      <c r="E3998" s="52">
        <f t="shared" si="356"/>
        <v>1</v>
      </c>
      <c r="F3998" s="52"/>
      <c r="G3998" s="52"/>
      <c r="H3998" s="52"/>
      <c r="I3998" s="52"/>
      <c r="J3998" s="52"/>
      <c r="K3998" s="52"/>
      <c r="L3998" s="52"/>
      <c r="M3998" s="52"/>
      <c r="N3998" s="52"/>
      <c r="O3998" s="52"/>
      <c r="P3998" s="52"/>
      <c r="Q3998" s="52"/>
      <c r="R3998" s="52"/>
      <c r="S3998" s="52"/>
      <c r="T3998" s="52"/>
      <c r="U3998" s="52"/>
      <c r="V3998" s="52"/>
      <c r="W3998" s="52"/>
      <c r="X3998" s="52"/>
      <c r="Y3998" s="52"/>
      <c r="Z3998" s="52"/>
      <c r="AA3998" s="52"/>
      <c r="AB3998" s="52"/>
      <c r="AC3998" s="52"/>
      <c r="AD3998" s="52"/>
      <c r="AE3998" s="52"/>
      <c r="AF3998" s="52"/>
      <c r="AG3998" s="52"/>
      <c r="AH3998" s="52"/>
      <c r="AI3998" s="52"/>
      <c r="AJ3998" s="52"/>
      <c r="AK3998" s="52"/>
      <c r="AL3998" s="52"/>
      <c r="AM3998" s="52"/>
      <c r="AN3998" s="52"/>
    </row>
    <row r="3999" spans="1:40" x14ac:dyDescent="0.3">
      <c r="A3999" s="52">
        <v>3994</v>
      </c>
      <c r="B3999" s="52">
        <f>-bthan*500+(43+0.5)*bthan*1000/50</f>
        <v>2035</v>
      </c>
      <c r="C3999" s="52">
        <f t="shared" si="357"/>
        <v>790</v>
      </c>
      <c r="D3999" s="52">
        <f t="shared" si="355"/>
        <v>2200</v>
      </c>
      <c r="E3999" s="52">
        <f t="shared" si="356"/>
        <v>1</v>
      </c>
      <c r="F3999" s="52"/>
      <c r="G3999" s="52"/>
      <c r="H3999" s="52"/>
      <c r="I3999" s="52"/>
      <c r="J3999" s="52"/>
      <c r="K3999" s="52"/>
      <c r="L3999" s="52"/>
      <c r="M3999" s="52"/>
      <c r="N3999" s="52"/>
      <c r="O3999" s="52"/>
      <c r="P3999" s="52"/>
      <c r="Q3999" s="52"/>
      <c r="R3999" s="52"/>
      <c r="S3999" s="52"/>
      <c r="T3999" s="52"/>
      <c r="U3999" s="52"/>
      <c r="V3999" s="52"/>
      <c r="W3999" s="52"/>
      <c r="X3999" s="52"/>
      <c r="Y3999" s="52"/>
      <c r="Z3999" s="52"/>
      <c r="AA3999" s="52"/>
      <c r="AB3999" s="52"/>
      <c r="AC3999" s="52"/>
      <c r="AD3999" s="52"/>
      <c r="AE3999" s="52"/>
      <c r="AF3999" s="52"/>
      <c r="AG3999" s="52"/>
      <c r="AH3999" s="52"/>
      <c r="AI3999" s="52"/>
      <c r="AJ3999" s="52"/>
      <c r="AK3999" s="52"/>
      <c r="AL3999" s="52"/>
      <c r="AM3999" s="52"/>
      <c r="AN3999" s="52"/>
    </row>
    <row r="4000" spans="1:40" x14ac:dyDescent="0.3">
      <c r="A4000" s="52">
        <v>3995</v>
      </c>
      <c r="B4000" s="52">
        <f>-bthan*500+(44+0.5)*bthan*1000/50</f>
        <v>2145</v>
      </c>
      <c r="C4000" s="52">
        <f t="shared" si="357"/>
        <v>790</v>
      </c>
      <c r="D4000" s="52">
        <f t="shared" si="355"/>
        <v>2200</v>
      </c>
      <c r="E4000" s="52">
        <f t="shared" si="356"/>
        <v>0</v>
      </c>
      <c r="F4000" s="52"/>
      <c r="G4000" s="52"/>
      <c r="H4000" s="52"/>
      <c r="I4000" s="52"/>
      <c r="J4000" s="52"/>
      <c r="K4000" s="52"/>
      <c r="L4000" s="52"/>
      <c r="M4000" s="52"/>
      <c r="N4000" s="52"/>
      <c r="O4000" s="52"/>
      <c r="P4000" s="52"/>
      <c r="Q4000" s="52"/>
      <c r="R4000" s="52"/>
      <c r="S4000" s="52"/>
      <c r="T4000" s="52"/>
      <c r="U4000" s="52"/>
      <c r="V4000" s="52"/>
      <c r="W4000" s="52"/>
      <c r="X4000" s="52"/>
      <c r="Y4000" s="52"/>
      <c r="Z4000" s="52"/>
      <c r="AA4000" s="52"/>
      <c r="AB4000" s="52"/>
      <c r="AC4000" s="52"/>
      <c r="AD4000" s="52"/>
      <c r="AE4000" s="52"/>
      <c r="AF4000" s="52"/>
      <c r="AG4000" s="52"/>
      <c r="AH4000" s="52"/>
      <c r="AI4000" s="52"/>
      <c r="AJ4000" s="52"/>
      <c r="AK4000" s="52"/>
      <c r="AL4000" s="52"/>
      <c r="AM4000" s="52"/>
      <c r="AN4000" s="52"/>
    </row>
    <row r="4001" spans="1:40" x14ac:dyDescent="0.3">
      <c r="A4001" s="52">
        <v>3996</v>
      </c>
      <c r="B4001" s="52">
        <f>-bthan*500+(45+0.5)*bthan*1000/50</f>
        <v>2255</v>
      </c>
      <c r="C4001" s="52">
        <f t="shared" si="357"/>
        <v>790</v>
      </c>
      <c r="D4001" s="52">
        <f t="shared" si="355"/>
        <v>2200</v>
      </c>
      <c r="E4001" s="52">
        <f t="shared" si="356"/>
        <v>0</v>
      </c>
      <c r="F4001" s="52"/>
      <c r="G4001" s="52"/>
      <c r="H4001" s="52"/>
      <c r="I4001" s="52"/>
      <c r="J4001" s="52"/>
      <c r="K4001" s="52"/>
      <c r="L4001" s="52"/>
      <c r="M4001" s="52"/>
      <c r="N4001" s="52"/>
      <c r="O4001" s="52"/>
      <c r="P4001" s="52"/>
      <c r="Q4001" s="52"/>
      <c r="R4001" s="52"/>
      <c r="S4001" s="52"/>
      <c r="T4001" s="52"/>
      <c r="U4001" s="52"/>
      <c r="V4001" s="52"/>
      <c r="W4001" s="52"/>
      <c r="X4001" s="52"/>
      <c r="Y4001" s="52"/>
      <c r="Z4001" s="52"/>
      <c r="AA4001" s="52"/>
      <c r="AB4001" s="52"/>
      <c r="AC4001" s="52"/>
      <c r="AD4001" s="52"/>
      <c r="AE4001" s="52"/>
      <c r="AF4001" s="52"/>
      <c r="AG4001" s="52"/>
      <c r="AH4001" s="52"/>
      <c r="AI4001" s="52"/>
      <c r="AJ4001" s="52"/>
      <c r="AK4001" s="52"/>
      <c r="AL4001" s="52"/>
      <c r="AM4001" s="52"/>
      <c r="AN4001" s="52"/>
    </row>
    <row r="4002" spans="1:40" x14ac:dyDescent="0.3">
      <c r="A4002" s="52">
        <v>3997</v>
      </c>
      <c r="B4002" s="52">
        <f>-bthan*500+(46+0.5)*bthan*1000/50</f>
        <v>2365</v>
      </c>
      <c r="C4002" s="52">
        <f t="shared" si="357"/>
        <v>790</v>
      </c>
      <c r="D4002" s="52">
        <f t="shared" si="355"/>
        <v>2200</v>
      </c>
      <c r="E4002" s="52">
        <f t="shared" si="356"/>
        <v>0</v>
      </c>
      <c r="F4002" s="52"/>
      <c r="G4002" s="52"/>
      <c r="H4002" s="52"/>
      <c r="I4002" s="52"/>
      <c r="J4002" s="52"/>
      <c r="K4002" s="52"/>
      <c r="L4002" s="52"/>
      <c r="M4002" s="52"/>
      <c r="N4002" s="52"/>
      <c r="O4002" s="52"/>
      <c r="P4002" s="52"/>
      <c r="Q4002" s="52"/>
      <c r="R4002" s="52"/>
      <c r="S4002" s="52"/>
      <c r="T4002" s="52"/>
      <c r="U4002" s="52"/>
      <c r="V4002" s="52"/>
      <c r="W4002" s="52"/>
      <c r="X4002" s="52"/>
      <c r="Y4002" s="52"/>
      <c r="Z4002" s="52"/>
      <c r="AA4002" s="52"/>
      <c r="AB4002" s="52"/>
      <c r="AC4002" s="52"/>
      <c r="AD4002" s="52"/>
      <c r="AE4002" s="52"/>
      <c r="AF4002" s="52"/>
      <c r="AG4002" s="52"/>
      <c r="AH4002" s="52"/>
      <c r="AI4002" s="52"/>
      <c r="AJ4002" s="52"/>
      <c r="AK4002" s="52"/>
      <c r="AL4002" s="52"/>
      <c r="AM4002" s="52"/>
      <c r="AN4002" s="52"/>
    </row>
    <row r="4003" spans="1:40" x14ac:dyDescent="0.3">
      <c r="A4003" s="52">
        <v>3998</v>
      </c>
      <c r="B4003" s="52">
        <f>-bthan*500+(47+0.5)*bthan*1000/50</f>
        <v>2475</v>
      </c>
      <c r="C4003" s="52">
        <f t="shared" si="357"/>
        <v>790</v>
      </c>
      <c r="D4003" s="52">
        <f t="shared" si="355"/>
        <v>2200</v>
      </c>
      <c r="E4003" s="52">
        <f t="shared" si="356"/>
        <v>0</v>
      </c>
      <c r="F4003" s="52"/>
      <c r="G4003" s="52"/>
      <c r="H4003" s="52"/>
      <c r="I4003" s="52"/>
      <c r="J4003" s="52"/>
      <c r="K4003" s="52"/>
      <c r="L4003" s="52"/>
      <c r="M4003" s="52"/>
      <c r="N4003" s="52"/>
      <c r="O4003" s="52"/>
      <c r="P4003" s="52"/>
      <c r="Q4003" s="52"/>
      <c r="R4003" s="52"/>
      <c r="S4003" s="52"/>
      <c r="T4003" s="52"/>
      <c r="U4003" s="52"/>
      <c r="V4003" s="52"/>
      <c r="W4003" s="52"/>
      <c r="X4003" s="52"/>
      <c r="Y4003" s="52"/>
      <c r="Z4003" s="52"/>
      <c r="AA4003" s="52"/>
      <c r="AB4003" s="52"/>
      <c r="AC4003" s="52"/>
      <c r="AD4003" s="52"/>
      <c r="AE4003" s="52"/>
      <c r="AF4003" s="52"/>
      <c r="AG4003" s="52"/>
      <c r="AH4003" s="52"/>
      <c r="AI4003" s="52"/>
      <c r="AJ4003" s="52"/>
      <c r="AK4003" s="52"/>
      <c r="AL4003" s="52"/>
      <c r="AM4003" s="52"/>
      <c r="AN4003" s="52"/>
    </row>
    <row r="4004" spans="1:40" x14ac:dyDescent="0.3">
      <c r="A4004" s="52">
        <v>3999</v>
      </c>
      <c r="B4004" s="52">
        <f>-bthan*500+(48+0.5)*bthan*1000/50</f>
        <v>2585</v>
      </c>
      <c r="C4004" s="52">
        <f t="shared" si="357"/>
        <v>790</v>
      </c>
      <c r="D4004" s="52">
        <f t="shared" si="355"/>
        <v>2200</v>
      </c>
      <c r="E4004" s="52">
        <f t="shared" si="356"/>
        <v>0</v>
      </c>
      <c r="F4004" s="52"/>
      <c r="G4004" s="52"/>
      <c r="H4004" s="52"/>
      <c r="I4004" s="52"/>
      <c r="J4004" s="52"/>
      <c r="K4004" s="52"/>
      <c r="L4004" s="52"/>
      <c r="M4004" s="52"/>
      <c r="N4004" s="52"/>
      <c r="O4004" s="52"/>
      <c r="P4004" s="52"/>
      <c r="Q4004" s="52"/>
      <c r="R4004" s="52"/>
      <c r="S4004" s="52"/>
      <c r="T4004" s="52"/>
      <c r="U4004" s="52"/>
      <c r="V4004" s="52"/>
      <c r="W4004" s="52"/>
      <c r="X4004" s="52"/>
      <c r="Y4004" s="52"/>
      <c r="Z4004" s="52"/>
      <c r="AA4004" s="52"/>
      <c r="AB4004" s="52"/>
      <c r="AC4004" s="52"/>
      <c r="AD4004" s="52"/>
      <c r="AE4004" s="52"/>
      <c r="AF4004" s="52"/>
      <c r="AG4004" s="52"/>
      <c r="AH4004" s="52"/>
      <c r="AI4004" s="52"/>
      <c r="AJ4004" s="52"/>
      <c r="AK4004" s="52"/>
      <c r="AL4004" s="52"/>
      <c r="AM4004" s="52"/>
      <c r="AN4004" s="52"/>
    </row>
    <row r="4005" spans="1:40" x14ac:dyDescent="0.3">
      <c r="A4005" s="52">
        <v>4000</v>
      </c>
      <c r="B4005" s="52">
        <f>-bthan*500+(49+0.5)*bthan*1000/50</f>
        <v>2695</v>
      </c>
      <c r="C4005" s="52">
        <f t="shared" si="357"/>
        <v>790</v>
      </c>
      <c r="D4005" s="52">
        <f t="shared" si="355"/>
        <v>2200</v>
      </c>
      <c r="E4005" s="52">
        <f t="shared" si="356"/>
        <v>0</v>
      </c>
      <c r="F4005" s="52"/>
      <c r="G4005" s="52"/>
      <c r="H4005" s="52"/>
      <c r="I4005" s="52"/>
      <c r="J4005" s="52"/>
      <c r="K4005" s="52"/>
      <c r="L4005" s="52"/>
      <c r="M4005" s="52"/>
      <c r="N4005" s="52"/>
      <c r="O4005" s="52"/>
      <c r="P4005" s="52"/>
      <c r="Q4005" s="52"/>
      <c r="R4005" s="52"/>
      <c r="S4005" s="52"/>
      <c r="T4005" s="52"/>
      <c r="U4005" s="52"/>
      <c r="V4005" s="52"/>
      <c r="W4005" s="52"/>
      <c r="X4005" s="52"/>
      <c r="Y4005" s="52"/>
      <c r="Z4005" s="52"/>
      <c r="AA4005" s="52"/>
      <c r="AB4005" s="52"/>
      <c r="AC4005" s="52"/>
      <c r="AD4005" s="52"/>
      <c r="AE4005" s="52"/>
      <c r="AF4005" s="52"/>
      <c r="AG4005" s="52"/>
      <c r="AH4005" s="52"/>
      <c r="AI4005" s="52"/>
      <c r="AJ4005" s="52"/>
      <c r="AK4005" s="52"/>
      <c r="AL4005" s="52"/>
      <c r="AM4005" s="52"/>
      <c r="AN4005" s="52"/>
    </row>
  </sheetData>
  <mergeCells count="2">
    <mergeCell ref="A1:AN1"/>
    <mergeCell ref="A2:AN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J73"/>
  <sheetViews>
    <sheetView showGridLines="0" topLeftCell="A2" workbookViewId="0">
      <selection activeCell="G12" sqref="G12"/>
    </sheetView>
  </sheetViews>
  <sheetFormatPr defaultRowHeight="14.4" x14ac:dyDescent="0.3"/>
  <cols>
    <col min="1" max="1" width="42" customWidth="1"/>
    <col min="2" max="7" width="16" customWidth="1"/>
    <col min="8" max="8" width="18" customWidth="1"/>
    <col min="9" max="10" width="13" customWidth="1"/>
  </cols>
  <sheetData>
    <row r="1" spans="1:10" ht="28.05" customHeight="1" x14ac:dyDescent="0.3">
      <c r="A1" s="150" t="s">
        <v>1805</v>
      </c>
      <c r="B1" s="150"/>
      <c r="C1" s="150"/>
      <c r="D1" s="150"/>
      <c r="E1" s="150"/>
      <c r="F1" s="150"/>
      <c r="G1" s="150"/>
      <c r="H1" s="150"/>
      <c r="I1" s="150"/>
      <c r="J1" s="150"/>
    </row>
    <row r="2" spans="1:10" ht="34.049999999999997" customHeight="1" x14ac:dyDescent="0.3">
      <c r="A2" s="147" t="s">
        <v>1341</v>
      </c>
      <c r="B2" s="147"/>
      <c r="C2" s="147"/>
      <c r="D2" s="147"/>
      <c r="E2" s="147"/>
      <c r="F2" s="147"/>
      <c r="G2" s="147"/>
      <c r="H2" s="147"/>
      <c r="I2" s="147"/>
      <c r="J2" s="147"/>
    </row>
    <row r="4" spans="1:10" ht="22.05" customHeight="1" x14ac:dyDescent="0.3">
      <c r="A4" s="151" t="s">
        <v>1342</v>
      </c>
      <c r="B4" s="151"/>
      <c r="C4" s="151"/>
      <c r="D4" s="151"/>
      <c r="E4" s="151"/>
      <c r="F4" s="151"/>
      <c r="G4" s="151"/>
      <c r="H4" s="151"/>
      <c r="I4" s="151"/>
      <c r="J4" s="151"/>
    </row>
    <row r="5" spans="1:10" x14ac:dyDescent="0.3">
      <c r="A5" s="37" t="s">
        <v>1343</v>
      </c>
      <c r="B5" s="38" t="s">
        <v>1806</v>
      </c>
      <c r="C5" s="37"/>
      <c r="D5" s="37"/>
    </row>
    <row r="6" spans="1:10" x14ac:dyDescent="0.3">
      <c r="A6" s="37" t="s">
        <v>1344</v>
      </c>
      <c r="B6" s="38">
        <f>MAX(G12:G73)</f>
        <v>4.5566961862756079</v>
      </c>
      <c r="C6" s="37" t="s">
        <v>1345</v>
      </c>
      <c r="D6" s="37">
        <f>IFERROR(IF(OR(0&lt;MIN('FIBER ENGINE'!$AC$6:$AC$125),0&gt;MAX('FIBER ENGINE'!$AC$6:$AC$125)),0,IF(INDEX('FIBER ENGINE'!$AC$6:$AC$125,MAX(1,MIN(119,MATCH(0,'FIBER ENGINE'!$AC$6:$AC$125,1)))+1)=INDEX('FIBER ENGINE'!$AC$6:$AC$125,MAX(1,MIN(119,MATCH(0,'FIBER ENGINE'!$AC$6:$AC$125,1)))),MIN(INDEX('FIBER ENGINE'!$AD$6:$AD$125,MAX(1,MIN(119,MATCH(0,'FIBER ENGINE'!$AC$6:$AC$125,1)))),INDEX('FIBER ENGINE'!$AD$6:$AD$125,MAX(1,MIN(119,MATCH(0,'FIBER ENGINE'!$AC$6:$AC$125,1)))+1)),INDEX('FIBER ENGINE'!$AD$6:$AD$125,MAX(1,MIN(119,MATCH(0,'FIBER ENGINE'!$AC$6:$AC$125,1))))+(0-INDEX('FIBER ENGINE'!$AC$6:$AC$125,MAX(1,MIN(119,MATCH(0,'FIBER ENGINE'!$AC$6:$AC$125,1)))))*(INDEX('FIBER ENGINE'!$AD$6:$AD$125,MAX(1,MIN(119,MATCH(0,'FIBER ENGINE'!$AC$6:$AC$125,1)))+1)-INDEX('FIBER ENGINE'!$AD$6:$AD$125,MAX(1,MIN(119,MATCH(0,'FIBER ENGINE'!$AC$6:$AC$125,1)))))/(INDEX('FIBER ENGINE'!$AC$6:$AC$125,MAX(1,MIN(119,MATCH(0,'FIBER ENGINE'!$AC$6:$AC$125,1)))+1)-INDEX('FIBER ENGINE'!$AC$6:$AC$125,MAX(1,MIN(119,MATCH(0,'FIBER ENGINE'!$AC$6:$AC$125,1))))))),0)</f>
        <v>6133.5252</v>
      </c>
    </row>
    <row r="7" spans="1:10" x14ac:dyDescent="0.3">
      <c r="A7" s="37" t="s">
        <v>1346</v>
      </c>
      <c r="B7" s="38" t="str">
        <f>INDEX(A12:A73,MATCH(B6,G12:G73,0))</f>
        <v>CĐ III(b) min</v>
      </c>
      <c r="C7" s="37" t="s">
        <v>1347</v>
      </c>
      <c r="D7" s="37">
        <f>IFERROR(IF(OR(0&lt;MIN('FIBER ENGINE'!$AE$6:$AE$125),0&gt;MAX('FIBER ENGINE'!$AE$6:$AE$125)),0,IF(INDEX('FIBER ENGINE'!$AE$6:$AE$125,MAX(1,MIN(119,MATCH(0,'FIBER ENGINE'!$AE$6:$AE$125,1)))+1)=INDEX('FIBER ENGINE'!$AE$6:$AE$125,MAX(1,MIN(119,MATCH(0,'FIBER ENGINE'!$AE$6:$AE$125,1)))),MIN(INDEX('FIBER ENGINE'!$AF$6:$AF$125,MAX(1,MIN(119,MATCH(0,'FIBER ENGINE'!$AE$6:$AE$125,1)))),INDEX('FIBER ENGINE'!$AF$6:$AF$125,MAX(1,MIN(119,MATCH(0,'FIBER ENGINE'!$AE$6:$AE$125,1)))+1)),INDEX('FIBER ENGINE'!$AF$6:$AF$125,MAX(1,MIN(119,MATCH(0,'FIBER ENGINE'!$AE$6:$AE$125,1))))+(0-INDEX('FIBER ENGINE'!$AE$6:$AE$125,MAX(1,MIN(119,MATCH(0,'FIBER ENGINE'!$AE$6:$AE$125,1)))))*(INDEX('FIBER ENGINE'!$AF$6:$AF$125,MAX(1,MIN(119,MATCH(0,'FIBER ENGINE'!$AE$6:$AE$125,1)))+1)-INDEX('FIBER ENGINE'!$AF$6:$AF$125,MAX(1,MIN(119,MATCH(0,'FIBER ENGINE'!$AE$6:$AE$125,1)))))/(INDEX('FIBER ENGINE'!$AE$6:$AE$125,MAX(1,MIN(119,MATCH(0,'FIBER ENGINE'!$AE$6:$AE$125,1)))+1)-INDEX('FIBER ENGINE'!$AE$6:$AE$125,MAX(1,MIN(119,MATCH(0,'FIBER ENGINE'!$AE$6:$AE$125,1))))))),0)</f>
        <v>97589.977911291906</v>
      </c>
    </row>
    <row r="8" spans="1:10" x14ac:dyDescent="0.3">
      <c r="A8" s="37" t="s">
        <v>1348</v>
      </c>
      <c r="B8" s="38" t="str">
        <f>IF(AND('FIBER ENGINE'!B3&lt;=0.02,'FIBER ENGINE'!D3&lt;=0.000001),"ĐẠT","KHÔNG ĐẠT")</f>
        <v>ĐẠT</v>
      </c>
      <c r="C8" s="37"/>
      <c r="D8" s="37"/>
    </row>
    <row r="9" spans="1:10" x14ac:dyDescent="0.3">
      <c r="A9" s="37" t="s">
        <v>1349</v>
      </c>
      <c r="B9" s="37" t="s">
        <v>1350</v>
      </c>
      <c r="C9" s="37"/>
      <c r="D9" s="37"/>
    </row>
    <row r="10" spans="1:10" x14ac:dyDescent="0.3">
      <c r="A10" s="99" t="s">
        <v>1807</v>
      </c>
    </row>
    <row r="11" spans="1:10" ht="28.8" x14ac:dyDescent="0.3">
      <c r="A11" s="36" t="s">
        <v>560</v>
      </c>
      <c r="B11" s="36" t="s">
        <v>1351</v>
      </c>
      <c r="C11" s="36" t="s">
        <v>638</v>
      </c>
      <c r="D11" s="36" t="s">
        <v>639</v>
      </c>
      <c r="E11" s="36" t="s">
        <v>1352</v>
      </c>
      <c r="F11" s="36" t="s">
        <v>1353</v>
      </c>
      <c r="G11" s="36" t="s">
        <v>1354</v>
      </c>
      <c r="H11" s="36" t="s">
        <v>1343</v>
      </c>
      <c r="I11" s="36" t="s">
        <v>1355</v>
      </c>
      <c r="J11" s="36" t="s">
        <v>1356</v>
      </c>
    </row>
    <row r="12" spans="1:10" x14ac:dyDescent="0.3">
      <c r="A12" s="37" t="str">
        <f>'TO HOP'!B131</f>
        <v>SD I - 2 nhịp lệch tâm 1 làn</v>
      </c>
      <c r="B12" s="39">
        <f>'TO HOP'!E131</f>
        <v>23463.377945589622</v>
      </c>
      <c r="C12" s="39">
        <f>'TO HOP'!F131</f>
        <v>13320.539495650002</v>
      </c>
      <c r="D12" s="39">
        <f>'TO HOP'!G131</f>
        <v>44919.487419648496</v>
      </c>
      <c r="E12" s="39">
        <f t="shared" ref="E12:E43" si="0">IF(I12&lt;=0.000000001,MAX(fibPX),MAX(IF(INDEX(fibPX,1)&gt;0,MIN(INDEX(fibPX,1),INDEX(fibMX,1)/I12),0),IF(INDEX(fibPX,2)&gt;0,MIN(INDEX(fibPX,2),INDEX(fibMX,2)/I12),0),IF(INDEX(fibPX,3)&gt;0,MIN(INDEX(fibPX,3),INDEX(fibMX,3)/I12),0),IF(INDEX(fibPX,4)&gt;0,MIN(INDEX(fibPX,4),INDEX(fibMX,4)/I12),0),IF(INDEX(fibPX,5)&gt;0,MIN(INDEX(fibPX,5),INDEX(fibMX,5)/I12),0),IF(INDEX(fibPX,6)&gt;0,MIN(INDEX(fibPX,6),INDEX(fibMX,6)/I12),0),IF(INDEX(fibPX,7)&gt;0,MIN(INDEX(fibPX,7),INDEX(fibMX,7)/I12),0),IF(INDEX(fibPX,8)&gt;0,MIN(INDEX(fibPX,8),INDEX(fibMX,8)/I12),0),IF(INDEX(fibPX,9)&gt;0,MIN(INDEX(fibPX,9),INDEX(fibMX,9)/I12),0),IF(INDEX(fibPX,10)&gt;0,MIN(INDEX(fibPX,10),INDEX(fibMX,10)/I12),0),IF(INDEX(fibPX,11)&gt;0,MIN(INDEX(fibPX,11),INDEX(fibMX,11)/I12),0),IF(INDEX(fibPX,12)&gt;0,MIN(INDEX(fibPX,12),INDEX(fibMX,12)/I12),0),IF(INDEX(fibPX,13)&gt;0,MIN(INDEX(fibPX,13),INDEX(fibMX,13)/I12),0),IF(INDEX(fibPX,14)&gt;0,MIN(INDEX(fibPX,14),INDEX(fibMX,14)/I12),0),IF(INDEX(fibPX,15)&gt;0,MIN(INDEX(fibPX,15),INDEX(fibMX,15)/I12),0),IF(INDEX(fibPX,16)&gt;0,MIN(INDEX(fibPX,16),INDEX(fibMX,16)/I12),0),IF(INDEX(fibPX,17)&gt;0,MIN(INDEX(fibPX,17),INDEX(fibMX,17)/I12),0),IF(INDEX(fibPX,18)&gt;0,MIN(INDEX(fibPX,18),INDEX(fibMX,18)/I12),0),IF(INDEX(fibPX,19)&gt;0,MIN(INDEX(fibPX,19),INDEX(fibMX,19)/I12),0),IF(INDEX(fibPX,20)&gt;0,MIN(INDEX(fibPX,20),INDEX(fibMX,20)/I12),0),IF(INDEX(fibPX,21)&gt;0,MIN(INDEX(fibPX,21),INDEX(fibMX,21)/I12),0),IF(INDEX(fibPX,22)&gt;0,MIN(INDEX(fibPX,22),INDEX(fibMX,22)/I12),0),IF(INDEX(fibPX,23)&gt;0,MIN(INDEX(fibPX,23),INDEX(fibMX,23)/I12),0),IF(INDEX(fibPX,24)&gt;0,MIN(INDEX(fibPX,24),INDEX(fibMX,24)/I12),0),IF(INDEX(fibPX,25)&gt;0,MIN(INDEX(fibPX,25),INDEX(fibMX,25)/I12),0),IF(INDEX(fibPX,26)&gt;0,MIN(INDEX(fibPX,26),INDEX(fibMX,26)/I12),0),IF(INDEX(fibPX,27)&gt;0,MIN(INDEX(fibPX,27),INDEX(fibMX,27)/I12),0),IF(INDEX(fibPX,28)&gt;0,MIN(INDEX(fibPX,28),INDEX(fibMX,28)/I12),0),IF(INDEX(fibPX,29)&gt;0,MIN(INDEX(fibPX,29),INDEX(fibMX,29)/I12),0),IF(INDEX(fibPX,30)&gt;0,MIN(INDEX(fibPX,30),INDEX(fibMX,30)/I12),0),IF(INDEX(fibPX,31)&gt;0,MIN(INDEX(fibPX,31),INDEX(fibMX,31)/I12),0),IF(INDEX(fibPX,32)&gt;0,MIN(INDEX(fibPX,32),INDEX(fibMX,32)/I12),0),IF(INDEX(fibPX,33)&gt;0,MIN(INDEX(fibPX,33),INDEX(fibMX,33)/I12),0),IF(INDEX(fibPX,34)&gt;0,MIN(INDEX(fibPX,34),INDEX(fibMX,34)/I12),0),IF(INDEX(fibPX,35)&gt;0,MIN(INDEX(fibPX,35),INDEX(fibMX,35)/I12),0),IF(INDEX(fibPX,36)&gt;0,MIN(INDEX(fibPX,36),INDEX(fibMX,36)/I12),0),IF(INDEX(fibPX,37)&gt;0,MIN(INDEX(fibPX,37),INDEX(fibMX,37)/I12),0),IF(INDEX(fibPX,38)&gt;0,MIN(INDEX(fibPX,38),INDEX(fibMX,38)/I12),0),IF(INDEX(fibPX,39)&gt;0,MIN(INDEX(fibPX,39),INDEX(fibMX,39)/I12),0),IF(INDEX(fibPX,40)&gt;0,MIN(INDEX(fibPX,40),INDEX(fibMX,40)/I12),0),IF(INDEX(fibPX,41)&gt;0,MIN(INDEX(fibPX,41),INDEX(fibMX,41)/I12),0),IF(INDEX(fibPX,42)&gt;0,MIN(INDEX(fibPX,42),INDEX(fibMX,42)/I12),0),IF(INDEX(fibPX,43)&gt;0,MIN(INDEX(fibPX,43),INDEX(fibMX,43)/I12),0),IF(INDEX(fibPX,44)&gt;0,MIN(INDEX(fibPX,44),INDEX(fibMX,44)/I12),0),IF(INDEX(fibPX,45)&gt;0,MIN(INDEX(fibPX,45),INDEX(fibMX,45)/I12),0),IF(INDEX(fibPX,46)&gt;0,MIN(INDEX(fibPX,46),INDEX(fibMX,46)/I12),0),IF(INDEX(fibPX,47)&gt;0,MIN(INDEX(fibPX,47),INDEX(fibMX,47)/I12),0),IF(INDEX(fibPX,48)&gt;0,MIN(INDEX(fibPX,48),INDEX(fibMX,48)/I12),0),IF(INDEX(fibPX,49)&gt;0,MIN(INDEX(fibPX,49),INDEX(fibMX,49)/I12),0),IF(INDEX(fibPX,50)&gt;0,MIN(INDEX(fibPX,50),INDEX(fibMX,50)/I12),0),IF(INDEX(fibPX,51)&gt;0,MIN(INDEX(fibPX,51),INDEX(fibMX,51)/I12),0),IF(INDEX(fibPX,52)&gt;0,MIN(INDEX(fibPX,52),INDEX(fibMX,52)/I12),0),IF(INDEX(fibPX,53)&gt;0,MIN(INDEX(fibPX,53),INDEX(fibMX,53)/I12),0),IF(INDEX(fibPX,54)&gt;0,MIN(INDEX(fibPX,54),INDEX(fibMX,54)/I12),0),IF(INDEX(fibPX,55)&gt;0,MIN(INDEX(fibPX,55),INDEX(fibMX,55)/I12),0),IF(INDEX(fibPX,56)&gt;0,MIN(INDEX(fibPX,56),INDEX(fibMX,56)/I12),0),IF(INDEX(fibPX,57)&gt;0,MIN(INDEX(fibPX,57),INDEX(fibMX,57)/I12),0),IF(INDEX(fibPX,58)&gt;0,MIN(INDEX(fibPX,58),INDEX(fibMX,58)/I12),0),IF(INDEX(fibPX,59)&gt;0,MIN(INDEX(fibPX,59),INDEX(fibMX,59)/I12),0),IF(INDEX(fibPX,60)&gt;0,MIN(INDEX(fibPX,60),INDEX(fibMX,60)/I12),0),IF(INDEX(fibPX,61)&gt;0,MIN(INDEX(fibPX,61),INDEX(fibMX,61)/I12),0),IF(INDEX(fibPX,62)&gt;0,MIN(INDEX(fibPX,62),INDEX(fibMX,62)/I12),0),IF(INDEX(fibPX,63)&gt;0,MIN(INDEX(fibPX,63),INDEX(fibMX,63)/I12),0),IF(INDEX(fibPX,64)&gt;0,MIN(INDEX(fibPX,64),INDEX(fibMX,64)/I12),0),IF(INDEX(fibPX,65)&gt;0,MIN(INDEX(fibPX,65),INDEX(fibMX,65)/I12),0),IF(INDEX(fibPX,66)&gt;0,MIN(INDEX(fibPX,66),INDEX(fibMX,66)/I12),0),IF(INDEX(fibPX,67)&gt;0,MIN(INDEX(fibPX,67),INDEX(fibMX,67)/I12),0),IF(INDEX(fibPX,68)&gt;0,MIN(INDEX(fibPX,68),INDEX(fibMX,68)/I12),0),IF(INDEX(fibPX,69)&gt;0,MIN(INDEX(fibPX,69),INDEX(fibMX,69)/I12),0),IF(INDEX(fibPX,70)&gt;0,MIN(INDEX(fibPX,70),INDEX(fibMX,70)/I12),0),IF(INDEX(fibPX,71)&gt;0,MIN(INDEX(fibPX,71),INDEX(fibMX,71)/I12),0),IF(INDEX(fibPX,72)&gt;0,MIN(INDEX(fibPX,72),INDEX(fibMX,72)/I12),0),IF(INDEX(fibPX,73)&gt;0,MIN(INDEX(fibPX,73),INDEX(fibMX,73)/I12),0),IF(INDEX(fibPX,74)&gt;0,MIN(INDEX(fibPX,74),INDEX(fibMX,74)/I12),0),IF(INDEX(fibPX,75)&gt;0,MIN(INDEX(fibPX,75),INDEX(fibMX,75)/I12),0),IF(INDEX(fibPX,76)&gt;0,MIN(INDEX(fibPX,76),INDEX(fibMX,76)/I12),0),IF(INDEX(fibPX,77)&gt;0,MIN(INDEX(fibPX,77),INDEX(fibMX,77)/I12),0),IF(INDEX(fibPX,78)&gt;0,MIN(INDEX(fibPX,78),INDEX(fibMX,78)/I12),0),IF(INDEX(fibPX,79)&gt;0,MIN(INDEX(fibPX,79),INDEX(fibMX,79)/I12),0),IF(INDEX(fibPX,80)&gt;0,MIN(INDEX(fibPX,80),INDEX(fibMX,80)/I12),0),IF(INDEX(fibPX,81)&gt;0,MIN(INDEX(fibPX,81),INDEX(fibMX,81)/I12),0),IF(INDEX(fibPX,82)&gt;0,MIN(INDEX(fibPX,82),INDEX(fibMX,82)/I12),0),IF(INDEX(fibPX,83)&gt;0,MIN(INDEX(fibPX,83),INDEX(fibMX,83)/I12),0),IF(INDEX(fibPX,84)&gt;0,MIN(INDEX(fibPX,84),INDEX(fibMX,84)/I12),0),IF(INDEX(fibPX,85)&gt;0,MIN(INDEX(fibPX,85),INDEX(fibMX,85)/I12),0),IF(INDEX(fibPX,86)&gt;0,MIN(INDEX(fibPX,86),INDEX(fibMX,86)/I12),0),IF(INDEX(fibPX,87)&gt;0,MIN(INDEX(fibPX,87),INDEX(fibMX,87)/I12),0),IF(INDEX(fibPX,88)&gt;0,MIN(INDEX(fibPX,88),INDEX(fibMX,88)/I12),0),IF(INDEX(fibPX,89)&gt;0,MIN(INDEX(fibPX,89),INDEX(fibMX,89)/I12),0),IF(INDEX(fibPX,90)&gt;0,MIN(INDEX(fibPX,90),INDEX(fibMX,90)/I12),0),IF(INDEX(fibPX,91)&gt;0,MIN(INDEX(fibPX,91),INDEX(fibMX,91)/I12),0),IF(INDEX(fibPX,92)&gt;0,MIN(INDEX(fibPX,92),INDEX(fibMX,92)/I12),0),IF(INDEX(fibPX,93)&gt;0,MIN(INDEX(fibPX,93),INDEX(fibMX,93)/I12),0),IF(INDEX(fibPX,94)&gt;0,MIN(INDEX(fibPX,94),INDEX(fibMX,94)/I12),0),IF(INDEX(fibPX,95)&gt;0,MIN(INDEX(fibPX,95),INDEX(fibMX,95)/I12),0),IF(INDEX(fibPX,96)&gt;0,MIN(INDEX(fibPX,96),INDEX(fibMX,96)/I12),0),IF(INDEX(fibPX,97)&gt;0,MIN(INDEX(fibPX,97),INDEX(fibMX,97)/I12),0),IF(INDEX(fibPX,98)&gt;0,MIN(INDEX(fibPX,98),INDEX(fibMX,98)/I12),0),IF(INDEX(fibPX,99)&gt;0,MIN(INDEX(fibPX,99),INDEX(fibMX,99)/I12),0),IF(INDEX(fibPX,100)&gt;0,MIN(INDEX(fibPX,100),INDEX(fibMX,100)/I12),0),IF(INDEX(fibPX,101)&gt;0,MIN(INDEX(fibPX,101),INDEX(fibMX,101)/I12),0),IF(INDEX(fibPX,102)&gt;0,MIN(INDEX(fibPX,102),INDEX(fibMX,102)/I12),0),IF(INDEX(fibPX,103)&gt;0,MIN(INDEX(fibPX,103),INDEX(fibMX,103)/I12),0),IF(INDEX(fibPX,104)&gt;0,MIN(INDEX(fibPX,104),INDEX(fibMX,104)/I12),0),IF(INDEX(fibPX,105)&gt;0,MIN(INDEX(fibPX,105),INDEX(fibMX,105)/I12),0),IF(INDEX(fibPX,106)&gt;0,MIN(INDEX(fibPX,106),INDEX(fibMX,106)/I12),0),IF(INDEX(fibPX,107)&gt;0,MIN(INDEX(fibPX,107),INDEX(fibMX,107)/I12),0),IF(INDEX(fibPX,108)&gt;0,MIN(INDEX(fibPX,108),INDEX(fibMX,108)/I12),0),IF(INDEX(fibPX,109)&gt;0,MIN(INDEX(fibPX,109),INDEX(fibMX,109)/I12),0),IF(INDEX(fibPX,110)&gt;0,MIN(INDEX(fibPX,110),INDEX(fibMX,110)/I12),0),IF(INDEX(fibPX,111)&gt;0,MIN(INDEX(fibPX,111),INDEX(fibMX,111)/I12),0),IF(INDEX(fibPX,112)&gt;0,MIN(INDEX(fibPX,112),INDEX(fibMX,112)/I12),0),IF(INDEX(fibPX,113)&gt;0,MIN(INDEX(fibPX,113),INDEX(fibMX,113)/I12),0),IF(INDEX(fibPX,114)&gt;0,MIN(INDEX(fibPX,114),INDEX(fibMX,114)/I12),0),IF(INDEX(fibPX,115)&gt;0,MIN(INDEX(fibPX,115),INDEX(fibMX,115)/I12),0),IF(INDEX(fibPX,116)&gt;0,MIN(INDEX(fibPX,116),INDEX(fibMX,116)/I12),0),IF(INDEX(fibPX,117)&gt;0,MIN(INDEX(fibPX,117),INDEX(fibMX,117)/I12),0),IF(INDEX(fibPX,118)&gt;0,MIN(INDEX(fibPX,118),INDEX(fibMX,118)/I12),0),IF(INDEX(fibPX,119)&gt;0,MIN(INDEX(fibPX,119),INDEX(fibMX,119)/I12),0),IF(INDEX(fibPX,120)&gt;0,MIN(INDEX(fibPX,120),INDEX(fibMX,120)/I12),0)))</f>
        <v>15642.544935003536</v>
      </c>
      <c r="F12" s="39">
        <f t="shared" ref="F12:F43" si="1">IF(J12&lt;=0.000000001,MAX(fibPY),MAX(IF(INDEX(fibPY,1)&gt;0,MIN(INDEX(fibPY,1),INDEX(fibMY,1)/J12),0),IF(INDEX(fibPY,2)&gt;0,MIN(INDEX(fibPY,2),INDEX(fibMY,2)/J12),0),IF(INDEX(fibPY,3)&gt;0,MIN(INDEX(fibPY,3),INDEX(fibMY,3)/J12),0),IF(INDEX(fibPY,4)&gt;0,MIN(INDEX(fibPY,4),INDEX(fibMY,4)/J12),0),IF(INDEX(fibPY,5)&gt;0,MIN(INDEX(fibPY,5),INDEX(fibMY,5)/J12),0),IF(INDEX(fibPY,6)&gt;0,MIN(INDEX(fibPY,6),INDEX(fibMY,6)/J12),0),IF(INDEX(fibPY,7)&gt;0,MIN(INDEX(fibPY,7),INDEX(fibMY,7)/J12),0),IF(INDEX(fibPY,8)&gt;0,MIN(INDEX(fibPY,8),INDEX(fibMY,8)/J12),0),IF(INDEX(fibPY,9)&gt;0,MIN(INDEX(fibPY,9),INDEX(fibMY,9)/J12),0),IF(INDEX(fibPY,10)&gt;0,MIN(INDEX(fibPY,10),INDEX(fibMY,10)/J12),0),IF(INDEX(fibPY,11)&gt;0,MIN(INDEX(fibPY,11),INDEX(fibMY,11)/J12),0),IF(INDEX(fibPY,12)&gt;0,MIN(INDEX(fibPY,12),INDEX(fibMY,12)/J12),0),IF(INDEX(fibPY,13)&gt;0,MIN(INDEX(fibPY,13),INDEX(fibMY,13)/J12),0),IF(INDEX(fibPY,14)&gt;0,MIN(INDEX(fibPY,14),INDEX(fibMY,14)/J12),0),IF(INDEX(fibPY,15)&gt;0,MIN(INDEX(fibPY,15),INDEX(fibMY,15)/J12),0),IF(INDEX(fibPY,16)&gt;0,MIN(INDEX(fibPY,16),INDEX(fibMY,16)/J12),0),IF(INDEX(fibPY,17)&gt;0,MIN(INDEX(fibPY,17),INDEX(fibMY,17)/J12),0),IF(INDEX(fibPY,18)&gt;0,MIN(INDEX(fibPY,18),INDEX(fibMY,18)/J12),0),IF(INDEX(fibPY,19)&gt;0,MIN(INDEX(fibPY,19),INDEX(fibMY,19)/J12),0),IF(INDEX(fibPY,20)&gt;0,MIN(INDEX(fibPY,20),INDEX(fibMY,20)/J12),0),IF(INDEX(fibPY,21)&gt;0,MIN(INDEX(fibPY,21),INDEX(fibMY,21)/J12),0),IF(INDEX(fibPY,22)&gt;0,MIN(INDEX(fibPY,22),INDEX(fibMY,22)/J12),0),IF(INDEX(fibPY,23)&gt;0,MIN(INDEX(fibPY,23),INDEX(fibMY,23)/J12),0),IF(INDEX(fibPY,24)&gt;0,MIN(INDEX(fibPY,24),INDEX(fibMY,24)/J12),0),IF(INDEX(fibPY,25)&gt;0,MIN(INDEX(fibPY,25),INDEX(fibMY,25)/J12),0),IF(INDEX(fibPY,26)&gt;0,MIN(INDEX(fibPY,26),INDEX(fibMY,26)/J12),0),IF(INDEX(fibPY,27)&gt;0,MIN(INDEX(fibPY,27),INDEX(fibMY,27)/J12),0),IF(INDEX(fibPY,28)&gt;0,MIN(INDEX(fibPY,28),INDEX(fibMY,28)/J12),0),IF(INDEX(fibPY,29)&gt;0,MIN(INDEX(fibPY,29),INDEX(fibMY,29)/J12),0),IF(INDEX(fibPY,30)&gt;0,MIN(INDEX(fibPY,30),INDEX(fibMY,30)/J12),0),IF(INDEX(fibPY,31)&gt;0,MIN(INDEX(fibPY,31),INDEX(fibMY,31)/J12),0),IF(INDEX(fibPY,32)&gt;0,MIN(INDEX(fibPY,32),INDEX(fibMY,32)/J12),0),IF(INDEX(fibPY,33)&gt;0,MIN(INDEX(fibPY,33),INDEX(fibMY,33)/J12),0),IF(INDEX(fibPY,34)&gt;0,MIN(INDEX(fibPY,34),INDEX(fibMY,34)/J12),0),IF(INDEX(fibPY,35)&gt;0,MIN(INDEX(fibPY,35),INDEX(fibMY,35)/J12),0),IF(INDEX(fibPY,36)&gt;0,MIN(INDEX(fibPY,36),INDEX(fibMY,36)/J12),0),IF(INDEX(fibPY,37)&gt;0,MIN(INDEX(fibPY,37),INDEX(fibMY,37)/J12),0),IF(INDEX(fibPY,38)&gt;0,MIN(INDEX(fibPY,38),INDEX(fibMY,38)/J12),0),IF(INDEX(fibPY,39)&gt;0,MIN(INDEX(fibPY,39),INDEX(fibMY,39)/J12),0),IF(INDEX(fibPY,40)&gt;0,MIN(INDEX(fibPY,40),INDEX(fibMY,40)/J12),0),IF(INDEX(fibPY,41)&gt;0,MIN(INDEX(fibPY,41),INDEX(fibMY,41)/J12),0),IF(INDEX(fibPY,42)&gt;0,MIN(INDEX(fibPY,42),INDEX(fibMY,42)/J12),0),IF(INDEX(fibPY,43)&gt;0,MIN(INDEX(fibPY,43),INDEX(fibMY,43)/J12),0),IF(INDEX(fibPY,44)&gt;0,MIN(INDEX(fibPY,44),INDEX(fibMY,44)/J12),0),IF(INDEX(fibPY,45)&gt;0,MIN(INDEX(fibPY,45),INDEX(fibMY,45)/J12),0),IF(INDEX(fibPY,46)&gt;0,MIN(INDEX(fibPY,46),INDEX(fibMY,46)/J12),0),IF(INDEX(fibPY,47)&gt;0,MIN(INDEX(fibPY,47),INDEX(fibMY,47)/J12),0),IF(INDEX(fibPY,48)&gt;0,MIN(INDEX(fibPY,48),INDEX(fibMY,48)/J12),0),IF(INDEX(fibPY,49)&gt;0,MIN(INDEX(fibPY,49),INDEX(fibMY,49)/J12),0),IF(INDEX(fibPY,50)&gt;0,MIN(INDEX(fibPY,50),INDEX(fibMY,50)/J12),0),IF(INDEX(fibPY,51)&gt;0,MIN(INDEX(fibPY,51),INDEX(fibMY,51)/J12),0),IF(INDEX(fibPY,52)&gt;0,MIN(INDEX(fibPY,52),INDEX(fibMY,52)/J12),0),IF(INDEX(fibPY,53)&gt;0,MIN(INDEX(fibPY,53),INDEX(fibMY,53)/J12),0),IF(INDEX(fibPY,54)&gt;0,MIN(INDEX(fibPY,54),INDEX(fibMY,54)/J12),0),IF(INDEX(fibPY,55)&gt;0,MIN(INDEX(fibPY,55),INDEX(fibMY,55)/J12),0),IF(INDEX(fibPY,56)&gt;0,MIN(INDEX(fibPY,56),INDEX(fibMY,56)/J12),0),IF(INDEX(fibPY,57)&gt;0,MIN(INDEX(fibPY,57),INDEX(fibMY,57)/J12),0),IF(INDEX(fibPY,58)&gt;0,MIN(INDEX(fibPY,58),INDEX(fibMY,58)/J12),0),IF(INDEX(fibPY,59)&gt;0,MIN(INDEX(fibPY,59),INDEX(fibMY,59)/J12),0),IF(INDEX(fibPY,60)&gt;0,MIN(INDEX(fibPY,60),INDEX(fibMY,60)/J12),0),IF(INDEX(fibPY,61)&gt;0,MIN(INDEX(fibPY,61),INDEX(fibMY,61)/J12),0),IF(INDEX(fibPY,62)&gt;0,MIN(INDEX(fibPY,62),INDEX(fibMY,62)/J12),0),IF(INDEX(fibPY,63)&gt;0,MIN(INDEX(fibPY,63),INDEX(fibMY,63)/J12),0),IF(INDEX(fibPY,64)&gt;0,MIN(INDEX(fibPY,64),INDEX(fibMY,64)/J12),0),IF(INDEX(fibPY,65)&gt;0,MIN(INDEX(fibPY,65),INDEX(fibMY,65)/J12),0),IF(INDEX(fibPY,66)&gt;0,MIN(INDEX(fibPY,66),INDEX(fibMY,66)/J12),0),IF(INDEX(fibPY,67)&gt;0,MIN(INDEX(fibPY,67),INDEX(fibMY,67)/J12),0),IF(INDEX(fibPY,68)&gt;0,MIN(INDEX(fibPY,68),INDEX(fibMY,68)/J12),0),IF(INDEX(fibPY,69)&gt;0,MIN(INDEX(fibPY,69),INDEX(fibMY,69)/J12),0),IF(INDEX(fibPY,70)&gt;0,MIN(INDEX(fibPY,70),INDEX(fibMY,70)/J12),0),IF(INDEX(fibPY,71)&gt;0,MIN(INDEX(fibPY,71),INDEX(fibMY,71)/J12),0),IF(INDEX(fibPY,72)&gt;0,MIN(INDEX(fibPY,72),INDEX(fibMY,72)/J12),0),IF(INDEX(fibPY,73)&gt;0,MIN(INDEX(fibPY,73),INDEX(fibMY,73)/J12),0),IF(INDEX(fibPY,74)&gt;0,MIN(INDEX(fibPY,74),INDEX(fibMY,74)/J12),0),IF(INDEX(fibPY,75)&gt;0,MIN(INDEX(fibPY,75),INDEX(fibMY,75)/J12),0),IF(INDEX(fibPY,76)&gt;0,MIN(INDEX(fibPY,76),INDEX(fibMY,76)/J12),0),IF(INDEX(fibPY,77)&gt;0,MIN(INDEX(fibPY,77),INDEX(fibMY,77)/J12),0),IF(INDEX(fibPY,78)&gt;0,MIN(INDEX(fibPY,78),INDEX(fibMY,78)/J12),0),IF(INDEX(fibPY,79)&gt;0,MIN(INDEX(fibPY,79),INDEX(fibMY,79)/J12),0),IF(INDEX(fibPY,80)&gt;0,MIN(INDEX(fibPY,80),INDEX(fibMY,80)/J12),0),IF(INDEX(fibPY,81)&gt;0,MIN(INDEX(fibPY,81),INDEX(fibMY,81)/J12),0),IF(INDEX(fibPY,82)&gt;0,MIN(INDEX(fibPY,82),INDEX(fibMY,82)/J12),0),IF(INDEX(fibPY,83)&gt;0,MIN(INDEX(fibPY,83),INDEX(fibMY,83)/J12),0),IF(INDEX(fibPY,84)&gt;0,MIN(INDEX(fibPY,84),INDEX(fibMY,84)/J12),0),IF(INDEX(fibPY,85)&gt;0,MIN(INDEX(fibPY,85),INDEX(fibMY,85)/J12),0),IF(INDEX(fibPY,86)&gt;0,MIN(INDEX(fibPY,86),INDEX(fibMY,86)/J12),0),IF(INDEX(fibPY,87)&gt;0,MIN(INDEX(fibPY,87),INDEX(fibMY,87)/J12),0),IF(INDEX(fibPY,88)&gt;0,MIN(INDEX(fibPY,88),INDEX(fibMY,88)/J12),0),IF(INDEX(fibPY,89)&gt;0,MIN(INDEX(fibPY,89),INDEX(fibMY,89)/J12),0),IF(INDEX(fibPY,90)&gt;0,MIN(INDEX(fibPY,90),INDEX(fibMY,90)/J12),0),IF(INDEX(fibPY,91)&gt;0,MIN(INDEX(fibPY,91),INDEX(fibMY,91)/J12),0),IF(INDEX(fibPY,92)&gt;0,MIN(INDEX(fibPY,92),INDEX(fibMY,92)/J12),0),IF(INDEX(fibPY,93)&gt;0,MIN(INDEX(fibPY,93),INDEX(fibMY,93)/J12),0),IF(INDEX(fibPY,94)&gt;0,MIN(INDEX(fibPY,94),INDEX(fibMY,94)/J12),0),IF(INDEX(fibPY,95)&gt;0,MIN(INDEX(fibPY,95),INDEX(fibMY,95)/J12),0),IF(INDEX(fibPY,96)&gt;0,MIN(INDEX(fibPY,96),INDEX(fibMY,96)/J12),0),IF(INDEX(fibPY,97)&gt;0,MIN(INDEX(fibPY,97),INDEX(fibMY,97)/J12),0),IF(INDEX(fibPY,98)&gt;0,MIN(INDEX(fibPY,98),INDEX(fibMY,98)/J12),0),IF(INDEX(fibPY,99)&gt;0,MIN(INDEX(fibPY,99),INDEX(fibMY,99)/J12),0),IF(INDEX(fibPY,100)&gt;0,MIN(INDEX(fibPY,100),INDEX(fibMY,100)/J12),0),IF(INDEX(fibPY,101)&gt;0,MIN(INDEX(fibPY,101),INDEX(fibMY,101)/J12),0),IF(INDEX(fibPY,102)&gt;0,MIN(INDEX(fibPY,102),INDEX(fibMY,102)/J12),0),IF(INDEX(fibPY,103)&gt;0,MIN(INDEX(fibPY,103),INDEX(fibMY,103)/J12),0),IF(INDEX(fibPY,104)&gt;0,MIN(INDEX(fibPY,104),INDEX(fibMY,104)/J12),0),IF(INDEX(fibPY,105)&gt;0,MIN(INDEX(fibPY,105),INDEX(fibMY,105)/J12),0),IF(INDEX(fibPY,106)&gt;0,MIN(INDEX(fibPY,106),INDEX(fibMY,106)/J12),0),IF(INDEX(fibPY,107)&gt;0,MIN(INDEX(fibPY,107),INDEX(fibMY,107)/J12),0),IF(INDEX(fibPY,108)&gt;0,MIN(INDEX(fibPY,108),INDEX(fibMY,108)/J12),0),IF(INDEX(fibPY,109)&gt;0,MIN(INDEX(fibPY,109),INDEX(fibMY,109)/J12),0),IF(INDEX(fibPY,110)&gt;0,MIN(INDEX(fibPY,110),INDEX(fibMY,110)/J12),0),IF(INDEX(fibPY,111)&gt;0,MIN(INDEX(fibPY,111),INDEX(fibMY,111)/J12),0),IF(INDEX(fibPY,112)&gt;0,MIN(INDEX(fibPY,112),INDEX(fibMY,112)/J12),0),IF(INDEX(fibPY,113)&gt;0,MIN(INDEX(fibPY,113),INDEX(fibMY,113)/J12),0),IF(INDEX(fibPY,114)&gt;0,MIN(INDEX(fibPY,114),INDEX(fibMY,114)/J12),0),IF(INDEX(fibPY,115)&gt;0,MIN(INDEX(fibPY,115),INDEX(fibMY,115)/J12),0),IF(INDEX(fibPY,116)&gt;0,MIN(INDEX(fibPY,116),INDEX(fibMY,116)/J12),0),IF(INDEX(fibPY,117)&gt;0,MIN(INDEX(fibPY,117),INDEX(fibMY,117)/J12),0),IF(INDEX(fibPY,118)&gt;0,MIN(INDEX(fibPY,118),INDEX(fibMY,118)/J12),0),IF(INDEX(fibPY,119)&gt;0,MIN(INDEX(fibPY,119),INDEX(fibMY,119)/J12),0),IF(INDEX(fibPY,120)&gt;0,MIN(INDEX(fibPY,120),INDEX(fibMY,120)/J12),0)))</f>
        <v>125530.05654476941</v>
      </c>
      <c r="G12" s="39">
        <f>IF(OR(E12&lt;=0,F12&lt;=0),999,IF(B12&gt;=0.1*0.75*fc_*Agth*1000,B12/(1/(1/E12+1/F12-1/MAX('FIBER ENGINE'!$R$6:$R$125))),ABS(C12)/$D$7+ABS(D12)/$D$6))</f>
        <v>1.5390976976843616</v>
      </c>
      <c r="H12" s="39" t="str">
        <f t="shared" ref="H12:H43" si="2">IF(G12&lt;=1,"ĐẠT","KHÔNG ĐẠT")</f>
        <v>KHÔNG ĐẠT</v>
      </c>
      <c r="I12" s="39">
        <f t="shared" ref="I12:I43" si="3">IF(B12=0,1E+99,ABS(D12)/B12)</f>
        <v>1.9144510020600827</v>
      </c>
      <c r="J12" s="39">
        <f t="shared" ref="J12:J43" si="4">IF(B12=0,1E+99,ABS(C12)/B12)</f>
        <v>0.56771618845929406</v>
      </c>
    </row>
    <row r="13" spans="1:10" x14ac:dyDescent="0.3">
      <c r="A13" s="37" t="str">
        <f>'TO HOP'!B132</f>
        <v>SD I - 2 nhịp lệch tâm 2 làn</v>
      </c>
      <c r="B13" s="39">
        <f>'TO HOP'!E132</f>
        <v>24228.800441589625</v>
      </c>
      <c r="C13" s="39">
        <f>'TO HOP'!F132</f>
        <v>18008.752283649999</v>
      </c>
      <c r="D13" s="39">
        <f>'TO HOP'!G132</f>
        <v>44919.487419648496</v>
      </c>
      <c r="E13" s="39">
        <f t="shared" si="0"/>
        <v>16152.836156314796</v>
      </c>
      <c r="F13" s="39">
        <f t="shared" si="1"/>
        <v>111665.36176782979</v>
      </c>
      <c r="G13" s="39">
        <f>IF(OR(E13&lt;=0,F13&lt;=0),999,IF(B13&gt;=0.1*0.75*fc_*Agth*1000,B13/(1/(1/E13+1/F13-1/MAX('FIBER ENGINE'!$R$6:$R$125))),ABS(C13)/$D$7+ABS(D13)/$D$6))</f>
        <v>1.5643389818100084</v>
      </c>
      <c r="H13" s="39" t="str">
        <f t="shared" si="2"/>
        <v>KHÔNG ĐẠT</v>
      </c>
      <c r="I13" s="39">
        <f t="shared" si="3"/>
        <v>1.8539707538530281</v>
      </c>
      <c r="J13" s="39">
        <f t="shared" si="4"/>
        <v>0.74327874081365231</v>
      </c>
    </row>
    <row r="14" spans="1:10" x14ac:dyDescent="0.3">
      <c r="A14" s="37" t="str">
        <f>'TO HOP'!B133</f>
        <v>SD I - 2 nhịp lệch tâm 3 làn</v>
      </c>
      <c r="B14" s="39">
        <f>'TO HOP'!E133</f>
        <v>24755.028407589623</v>
      </c>
      <c r="C14" s="39">
        <f>'TO HOP'!F133</f>
        <v>18756.235189899999</v>
      </c>
      <c r="D14" s="39">
        <f>'TO HOP'!G133</f>
        <v>44919.487419648496</v>
      </c>
      <c r="E14" s="39">
        <f t="shared" si="0"/>
        <v>16503.661370966285</v>
      </c>
      <c r="F14" s="39">
        <f t="shared" si="1"/>
        <v>109543.83671576968</v>
      </c>
      <c r="G14" s="39">
        <f>IF(OR(E14&lt;=0,F14&lt;=0),999,IF(B14&gt;=0.1*0.75*fc_*Agth*1000,B14/(1/(1/E14+1/F14-1/MAX('FIBER ENGINE'!$R$6:$R$125))),ABS(C14)/$D$7+ABS(D14)/$D$6))</f>
        <v>1.5700304150909579</v>
      </c>
      <c r="H14" s="39" t="str">
        <f t="shared" si="2"/>
        <v>KHÔNG ĐẠT</v>
      </c>
      <c r="I14" s="39">
        <f t="shared" si="3"/>
        <v>1.8145601241110541</v>
      </c>
      <c r="J14" s="39">
        <f t="shared" si="4"/>
        <v>0.75767374939265031</v>
      </c>
    </row>
    <row r="15" spans="1:10" x14ac:dyDescent="0.3">
      <c r="A15" s="37" t="str">
        <f>'TO HOP'!B134</f>
        <v>SD I - 2 nhịp lệch tâm 4 làn</v>
      </c>
      <c r="B15" s="39">
        <f>'TO HOP'!E134</f>
        <v>24802.867313589624</v>
      </c>
      <c r="C15" s="39">
        <f>'TO HOP'!F134</f>
        <v>15353.693000650001</v>
      </c>
      <c r="D15" s="39">
        <f>'TO HOP'!G134</f>
        <v>44919.487419648496</v>
      </c>
      <c r="E15" s="39">
        <f t="shared" si="0"/>
        <v>16535.554572298239</v>
      </c>
      <c r="F15" s="39">
        <f t="shared" si="1"/>
        <v>121040.30849785023</v>
      </c>
      <c r="G15" s="39">
        <f>IF(OR(E15&lt;=0,F15&lt;=0),999,IF(B15&gt;=0.1*0.75*fc_*Agth*1000,B15/(1/(1/E15+1/F15-1/MAX('FIBER ENGINE'!$R$6:$R$125))),ABS(C15)/$D$7+ABS(D15)/$D$6))</f>
        <v>1.5486603544455002</v>
      </c>
      <c r="H15" s="39" t="str">
        <f t="shared" si="2"/>
        <v>KHÔNG ĐẠT</v>
      </c>
      <c r="I15" s="39">
        <f t="shared" si="3"/>
        <v>1.8110602637880044</v>
      </c>
      <c r="J15" s="39">
        <f t="shared" si="4"/>
        <v>0.61902895364995281</v>
      </c>
    </row>
    <row r="16" spans="1:10" x14ac:dyDescent="0.3">
      <c r="A16" s="37" t="str">
        <f>'TO HOP'!B135</f>
        <v>SD I - 2 nhịp lệch tâm 5 làn</v>
      </c>
      <c r="B16" s="39">
        <f>'TO HOP'!E135</f>
        <v>25424.773091589625</v>
      </c>
      <c r="C16" s="39">
        <f>'TO HOP'!F135</f>
        <v>14032.143222400002</v>
      </c>
      <c r="D16" s="39">
        <f>'TO HOP'!G135</f>
        <v>44919.487419648496</v>
      </c>
      <c r="E16" s="39">
        <f t="shared" si="0"/>
        <v>16950.166189613636</v>
      </c>
      <c r="F16" s="39">
        <f t="shared" si="1"/>
        <v>125530.05654476941</v>
      </c>
      <c r="G16" s="39">
        <f>IF(OR(E16&lt;=0,F16&lt;=0),999,IF(B16&gt;=0.1*0.75*fc_*Agth*1000,B16/(1/(1/E16+1/F16-1/MAX('FIBER ENGINE'!$R$6:$R$125))),ABS(C16)/$D$7+ABS(D16)/$D$6))</f>
        <v>1.5423683749703228</v>
      </c>
      <c r="H16" s="39" t="str">
        <f t="shared" si="2"/>
        <v>KHÔNG ĐẠT</v>
      </c>
      <c r="I16" s="39">
        <f t="shared" si="3"/>
        <v>1.7667606022610922</v>
      </c>
      <c r="J16" s="39">
        <f t="shared" si="4"/>
        <v>0.55190829714982814</v>
      </c>
    </row>
    <row r="17" spans="1:10" x14ac:dyDescent="0.3">
      <c r="A17" s="37" t="str">
        <f>'TO HOP'!B136</f>
        <v>SD I - 2 nhịp lệch tâm 6 làn</v>
      </c>
      <c r="B17" s="39">
        <f>'TO HOP'!E136</f>
        <v>26046.678869589625</v>
      </c>
      <c r="C17" s="39">
        <f>'TO HOP'!F136</f>
        <v>10844.876110150002</v>
      </c>
      <c r="D17" s="39">
        <f>'TO HOP'!G136</f>
        <v>44919.487419648496</v>
      </c>
      <c r="E17" s="39">
        <f t="shared" si="0"/>
        <v>17364.777806929033</v>
      </c>
      <c r="F17" s="39">
        <f t="shared" si="1"/>
        <v>133548.11471142637</v>
      </c>
      <c r="G17" s="39">
        <f>IF(OR(E17&lt;=0,F17&lt;=0),999,IF(B17&gt;=0.1*0.75*fc_*Agth*1000,B17/(1/(1/E17+1/F17-1/MAX('FIBER ENGINE'!$R$6:$R$125))),ABS(C17)/$D$7+ABS(D17)/$D$6))</f>
        <v>1.530947770506454</v>
      </c>
      <c r="H17" s="39" t="str">
        <f t="shared" si="2"/>
        <v>KHÔNG ĐẠT</v>
      </c>
      <c r="I17" s="39">
        <f t="shared" si="3"/>
        <v>1.7245763901244819</v>
      </c>
      <c r="J17" s="39">
        <f t="shared" si="4"/>
        <v>0.41636310580892372</v>
      </c>
    </row>
    <row r="18" spans="1:10" x14ac:dyDescent="0.3">
      <c r="A18" s="37" t="str">
        <f>'TO HOP'!B137</f>
        <v>SD I - 2 nhịp đúng tâm 1 làn</v>
      </c>
      <c r="B18" s="39">
        <f>'TO HOP'!E137</f>
        <v>23463.377945589622</v>
      </c>
      <c r="C18" s="39">
        <f>'TO HOP'!F137</f>
        <v>1982.7187736500002</v>
      </c>
      <c r="D18" s="39">
        <f>'TO HOP'!G137</f>
        <v>44919.487419648496</v>
      </c>
      <c r="E18" s="39">
        <f t="shared" si="0"/>
        <v>15642.544935003536</v>
      </c>
      <c r="F18" s="39">
        <f t="shared" si="1"/>
        <v>158763.07851952704</v>
      </c>
      <c r="G18" s="39">
        <f>IF(OR(E18&lt;=0,F18&lt;=0),999,IF(B18&gt;=0.1*0.75*fc_*Agth*1000,B18/(1/(1/E18+1/F18-1/MAX('FIBER ENGINE'!$R$6:$R$125))),ABS(C18)/$D$7+ABS(D18)/$D$6))</f>
        <v>1.4999719063031296</v>
      </c>
      <c r="H18" s="39" t="str">
        <f t="shared" si="2"/>
        <v>KHÔNG ĐẠT</v>
      </c>
      <c r="I18" s="39">
        <f t="shared" si="3"/>
        <v>1.9144510020600827</v>
      </c>
      <c r="J18" s="39">
        <f t="shared" si="4"/>
        <v>8.4502699408747717E-2</v>
      </c>
    </row>
    <row r="19" spans="1:10" x14ac:dyDescent="0.3">
      <c r="A19" s="37" t="str">
        <f>'TO HOP'!B138</f>
        <v>SD I - 2 nhịp đúng tâm 2 làn</v>
      </c>
      <c r="B19" s="39">
        <f>'TO HOP'!E138</f>
        <v>24228.800441589625</v>
      </c>
      <c r="C19" s="39">
        <f>'TO HOP'!F138</f>
        <v>1982.7187736500002</v>
      </c>
      <c r="D19" s="39">
        <f>'TO HOP'!G138</f>
        <v>44919.487419648496</v>
      </c>
      <c r="E19" s="39">
        <f t="shared" si="0"/>
        <v>16152.836156314796</v>
      </c>
      <c r="F19" s="39">
        <f t="shared" si="1"/>
        <v>158763.07851952704</v>
      </c>
      <c r="G19" s="39">
        <f>IF(OR(E19&lt;=0,F19&lt;=0),999,IF(B19&gt;=0.1*0.75*fc_*Agth*1000,B19/(1/(1/E19+1/F19-1/MAX('FIBER ENGINE'!$R$6:$R$125))),ABS(C19)/$D$7+ABS(D19)/$D$6))</f>
        <v>1.49997190630313</v>
      </c>
      <c r="H19" s="39" t="str">
        <f t="shared" si="2"/>
        <v>KHÔNG ĐẠT</v>
      </c>
      <c r="I19" s="39">
        <f t="shared" si="3"/>
        <v>1.8539707538530281</v>
      </c>
      <c r="J19" s="39">
        <f t="shared" si="4"/>
        <v>8.1833138146063175E-2</v>
      </c>
    </row>
    <row r="20" spans="1:10" x14ac:dyDescent="0.3">
      <c r="A20" s="37" t="str">
        <f>'TO HOP'!B139</f>
        <v>SD I - 2 nhịp đúng tâm 3 làn</v>
      </c>
      <c r="B20" s="39">
        <f>'TO HOP'!E139</f>
        <v>24755.028407589623</v>
      </c>
      <c r="C20" s="39">
        <f>'TO HOP'!F139</f>
        <v>1982.7187736500002</v>
      </c>
      <c r="D20" s="39">
        <f>'TO HOP'!G139</f>
        <v>44919.487419648496</v>
      </c>
      <c r="E20" s="39">
        <f t="shared" si="0"/>
        <v>16503.661370966285</v>
      </c>
      <c r="F20" s="39">
        <f t="shared" si="1"/>
        <v>158763.07851952704</v>
      </c>
      <c r="G20" s="39">
        <f>IF(OR(E20&lt;=0,F20&lt;=0),999,IF(B20&gt;=0.1*0.75*fc_*Agth*1000,B20/(1/(1/E20+1/F20-1/MAX('FIBER ENGINE'!$R$6:$R$125))),ABS(C20)/$D$7+ABS(D20)/$D$6))</f>
        <v>1.49997190630313</v>
      </c>
      <c r="H20" s="39" t="str">
        <f t="shared" si="2"/>
        <v>KHÔNG ĐẠT</v>
      </c>
      <c r="I20" s="39">
        <f t="shared" si="3"/>
        <v>1.8145601241110541</v>
      </c>
      <c r="J20" s="39">
        <f t="shared" si="4"/>
        <v>8.009357698988219E-2</v>
      </c>
    </row>
    <row r="21" spans="1:10" x14ac:dyDescent="0.3">
      <c r="A21" s="37" t="str">
        <f>'TO HOP'!B140</f>
        <v>SD I - 2 nhịp đúng tâm 4 làn</v>
      </c>
      <c r="B21" s="39">
        <f>'TO HOP'!E140</f>
        <v>24802.867313589624</v>
      </c>
      <c r="C21" s="39">
        <f>'TO HOP'!F140</f>
        <v>1982.7187736500002</v>
      </c>
      <c r="D21" s="39">
        <f>'TO HOP'!G140</f>
        <v>44919.487419648496</v>
      </c>
      <c r="E21" s="39">
        <f t="shared" si="0"/>
        <v>16535.554572298239</v>
      </c>
      <c r="F21" s="39">
        <f t="shared" si="1"/>
        <v>158763.07851952704</v>
      </c>
      <c r="G21" s="39">
        <f>IF(OR(E21&lt;=0,F21&lt;=0),999,IF(B21&gt;=0.1*0.75*fc_*Agth*1000,B21/(1/(1/E21+1/F21-1/MAX('FIBER ENGINE'!$R$6:$R$125))),ABS(C21)/$D$7+ABS(D21)/$D$6))</f>
        <v>1.4999719063031298</v>
      </c>
      <c r="H21" s="39" t="str">
        <f t="shared" si="2"/>
        <v>KHÔNG ĐẠT</v>
      </c>
      <c r="I21" s="39">
        <f t="shared" si="3"/>
        <v>1.8110602637880044</v>
      </c>
      <c r="J21" s="39">
        <f t="shared" si="4"/>
        <v>7.9939095290150503E-2</v>
      </c>
    </row>
    <row r="22" spans="1:10" x14ac:dyDescent="0.3">
      <c r="A22" s="37" t="str">
        <f>'TO HOP'!B141</f>
        <v>SD I - 2 nhịp đúng tâm 5 làn</v>
      </c>
      <c r="B22" s="39">
        <f>'TO HOP'!E141</f>
        <v>25424.773091589625</v>
      </c>
      <c r="C22" s="39">
        <f>'TO HOP'!F141</f>
        <v>1982.7187736500002</v>
      </c>
      <c r="D22" s="39">
        <f>'TO HOP'!G141</f>
        <v>44919.487419648496</v>
      </c>
      <c r="E22" s="39">
        <f t="shared" si="0"/>
        <v>16950.166189613636</v>
      </c>
      <c r="F22" s="39">
        <f t="shared" si="1"/>
        <v>158763.07851952704</v>
      </c>
      <c r="G22" s="39">
        <f>IF(OR(E22&lt;=0,F22&lt;=0),999,IF(B22&gt;=0.1*0.75*fc_*Agth*1000,B22/(1/(1/E22+1/F22-1/MAX('FIBER ENGINE'!$R$6:$R$125))),ABS(C22)/$D$7+ABS(D22)/$D$6))</f>
        <v>1.4999719063031298</v>
      </c>
      <c r="H22" s="39" t="str">
        <f t="shared" si="2"/>
        <v>KHÔNG ĐẠT</v>
      </c>
      <c r="I22" s="39">
        <f t="shared" si="3"/>
        <v>1.7667606022610922</v>
      </c>
      <c r="J22" s="39">
        <f t="shared" si="4"/>
        <v>7.7983735253309802E-2</v>
      </c>
    </row>
    <row r="23" spans="1:10" x14ac:dyDescent="0.3">
      <c r="A23" s="37" t="str">
        <f>'TO HOP'!B142</f>
        <v>SD I - 2 nhịp đúng tâm 6 làn</v>
      </c>
      <c r="B23" s="39">
        <f>'TO HOP'!E142</f>
        <v>26046.678869589625</v>
      </c>
      <c r="C23" s="39">
        <f>'TO HOP'!F142</f>
        <v>1982.7187736500002</v>
      </c>
      <c r="D23" s="39">
        <f>'TO HOP'!G142</f>
        <v>44919.487419648496</v>
      </c>
      <c r="E23" s="39">
        <f t="shared" si="0"/>
        <v>17364.777806929033</v>
      </c>
      <c r="F23" s="39">
        <f t="shared" si="1"/>
        <v>158763.07851952704</v>
      </c>
      <c r="G23" s="39">
        <f>IF(OR(E23&lt;=0,F23&lt;=0),999,IF(B23&gt;=0.1*0.75*fc_*Agth*1000,B23/(1/(1/E23+1/F23-1/MAX('FIBER ENGINE'!$R$6:$R$125))),ABS(C23)/$D$7+ABS(D23)/$D$6))</f>
        <v>1.4999719063031298</v>
      </c>
      <c r="H23" s="39" t="str">
        <f t="shared" si="2"/>
        <v>KHÔNG ĐẠT</v>
      </c>
      <c r="I23" s="39">
        <f t="shared" si="3"/>
        <v>1.7245763901244819</v>
      </c>
      <c r="J23" s="39">
        <f t="shared" si="4"/>
        <v>7.6121749862125082E-2</v>
      </c>
    </row>
    <row r="24" spans="1:10" x14ac:dyDescent="0.3">
      <c r="A24" s="37" t="str">
        <f>'TO HOP'!B143</f>
        <v>SD I - 1 nhịp 1 làn</v>
      </c>
      <c r="B24" s="39">
        <f>'TO HOP'!E143</f>
        <v>23003.847481589622</v>
      </c>
      <c r="C24" s="39">
        <f>'TO HOP'!F143</f>
        <v>8782.6761636500014</v>
      </c>
      <c r="D24" s="39">
        <f>'TO HOP'!G143</f>
        <v>45539.230371648497</v>
      </c>
      <c r="E24" s="39">
        <f t="shared" si="0"/>
        <v>15127.475551481368</v>
      </c>
      <c r="F24" s="39">
        <f t="shared" si="1"/>
        <v>133548.11471142637</v>
      </c>
      <c r="G24" s="39">
        <f>IF(OR(E24&lt;=0,F24&lt;=0),999,IF(B24&gt;=0.1*0.75*fc_*Agth*1000,B24/(1/(1/E24+1/F24-1/MAX('FIBER ENGINE'!$R$6:$R$125))),ABS(C24)/$D$7+ABS(D24)/$D$6))</f>
        <v>1.5480238385068832</v>
      </c>
      <c r="H24" s="39" t="str">
        <f t="shared" si="2"/>
        <v>KHÔNG ĐẠT</v>
      </c>
      <c r="I24" s="39">
        <f t="shared" si="3"/>
        <v>1.9796353809115772</v>
      </c>
      <c r="J24" s="39">
        <f t="shared" si="4"/>
        <v>0.38179161858375776</v>
      </c>
    </row>
    <row r="25" spans="1:10" x14ac:dyDescent="0.3">
      <c r="A25" s="37" t="str">
        <f>'TO HOP'!B144</f>
        <v>SD I - 1 nhịp 2 làn</v>
      </c>
      <c r="B25" s="39">
        <f>'TO HOP'!E144</f>
        <v>23462.916334922957</v>
      </c>
      <c r="C25" s="39">
        <f>'TO HOP'!F144</f>
        <v>11594.472890316669</v>
      </c>
      <c r="D25" s="39">
        <f>'TO HOP'!G144</f>
        <v>45952.392339648497</v>
      </c>
      <c r="E25" s="39">
        <f t="shared" si="0"/>
        <v>15290.635391163223</v>
      </c>
      <c r="F25" s="39">
        <f t="shared" si="1"/>
        <v>132323.38090864269</v>
      </c>
      <c r="G25" s="39">
        <f>IF(OR(E25&lt;=0,F25&lt;=0),999,IF(B25&gt;=0.1*0.75*fc_*Agth*1000,B25/(1/(1/E25+1/F25-1/MAX('FIBER ENGINE'!$R$6:$R$125))),ABS(C25)/$D$7+ABS(D25)/$D$6))</f>
        <v>1.5639923832800702</v>
      </c>
      <c r="H25" s="39" t="str">
        <f t="shared" si="2"/>
        <v>KHÔNG ĐẠT</v>
      </c>
      <c r="I25" s="39">
        <f t="shared" si="3"/>
        <v>1.9585115372572626</v>
      </c>
      <c r="J25" s="39">
        <f t="shared" si="4"/>
        <v>0.49416162615126763</v>
      </c>
    </row>
    <row r="26" spans="1:10" x14ac:dyDescent="0.3">
      <c r="A26" s="37" t="str">
        <f>'TO HOP'!B145</f>
        <v>SD I - 1 nhịp 3 làn</v>
      </c>
      <c r="B26" s="39">
        <f>'TO HOP'!E145</f>
        <v>23778.526171589623</v>
      </c>
      <c r="C26" s="39">
        <f>'TO HOP'!F145</f>
        <v>12042.782317400004</v>
      </c>
      <c r="D26" s="39">
        <f>'TO HOP'!G145</f>
        <v>46236.441192648497</v>
      </c>
      <c r="E26" s="39">
        <f t="shared" si="0"/>
        <v>15401.116305520447</v>
      </c>
      <c r="F26" s="39">
        <f t="shared" si="1"/>
        <v>129111.13616408865</v>
      </c>
      <c r="G26" s="39">
        <f>IF(OR(E26&lt;=0,F26&lt;=0),999,IF(B26&gt;=0.1*0.75*fc_*Agth*1000,B26/(1/(1/E26+1/F26-1/MAX('FIBER ENGINE'!$R$6:$R$125))),ABS(C26)/$D$7+ABS(D26)/$D$6))</f>
        <v>1.5783455647713949</v>
      </c>
      <c r="H26" s="39" t="str">
        <f t="shared" si="2"/>
        <v>KHÔNG ĐẠT</v>
      </c>
      <c r="I26" s="39">
        <f t="shared" si="3"/>
        <v>1.9444620267462749</v>
      </c>
      <c r="J26" s="39">
        <f t="shared" si="4"/>
        <v>0.50645621307634348</v>
      </c>
    </row>
    <row r="27" spans="1:10" x14ac:dyDescent="0.3">
      <c r="A27" s="37" t="str">
        <f>'TO HOP'!B146</f>
        <v>SD I - 1 nhịp 4 làn</v>
      </c>
      <c r="B27" s="39">
        <f>'TO HOP'!E146</f>
        <v>23807.217974922958</v>
      </c>
      <c r="C27" s="39">
        <f>'TO HOP'!F146</f>
        <v>10002.077805316669</v>
      </c>
      <c r="D27" s="39">
        <f>'TO HOP'!G146</f>
        <v>46262.263815648497</v>
      </c>
      <c r="E27" s="39">
        <f t="shared" si="0"/>
        <v>15411.092750690883</v>
      </c>
      <c r="F27" s="39">
        <f t="shared" si="1"/>
        <v>133548.11471142637</v>
      </c>
      <c r="G27" s="39">
        <f>IF(OR(E27&lt;=0,F27&lt;=0),999,IF(B27&gt;=0.1*0.75*fc_*Agth*1000,B27/(1/(1/E27+1/F27-1/MAX('FIBER ENGINE'!$R$6:$R$125))),ABS(C27)/$D$7+ABS(D27)/$D$6))</f>
        <v>1.5731231031226216</v>
      </c>
      <c r="H27" s="39" t="str">
        <f t="shared" si="2"/>
        <v>KHÔNG ĐẠT</v>
      </c>
      <c r="I27" s="39">
        <f t="shared" si="3"/>
        <v>1.9432032698813564</v>
      </c>
      <c r="J27" s="39">
        <f t="shared" si="4"/>
        <v>0.42012795513748119</v>
      </c>
    </row>
    <row r="28" spans="1:10" x14ac:dyDescent="0.3">
      <c r="A28" s="37" t="str">
        <f>'TO HOP'!B147</f>
        <v>SD I - 1 nhịp 5 làn</v>
      </c>
      <c r="B28" s="39">
        <f>'TO HOP'!E147</f>
        <v>24180.211418256291</v>
      </c>
      <c r="C28" s="39">
        <f>'TO HOP'!F147</f>
        <v>9209.4667382333355</v>
      </c>
      <c r="D28" s="39">
        <f>'TO HOP'!G147</f>
        <v>46597.957914648498</v>
      </c>
      <c r="E28" s="39">
        <f t="shared" si="0"/>
        <v>15539.780346328251</v>
      </c>
      <c r="F28" s="39">
        <f t="shared" si="1"/>
        <v>133548.11471142637</v>
      </c>
      <c r="G28" s="39">
        <f>IF(OR(E28&lt;=0,F28&lt;=0),999,IF(B28&gt;=0.1*0.75*fc_*Agth*1000,B28/(1/(1/E28+1/F28-1/MAX('FIBER ENGINE'!$R$6:$R$125))),ABS(C28)/$D$7+ABS(D28)/$D$6))</f>
        <v>1.584776333122786</v>
      </c>
      <c r="H28" s="39" t="str">
        <f t="shared" si="2"/>
        <v>KHÔNG ĐẠT</v>
      </c>
      <c r="I28" s="39">
        <f t="shared" si="3"/>
        <v>1.9271112691540238</v>
      </c>
      <c r="J28" s="39">
        <f t="shared" si="4"/>
        <v>0.38086791628629435</v>
      </c>
    </row>
    <row r="29" spans="1:10" x14ac:dyDescent="0.3">
      <c r="A29" s="37" t="str">
        <f>'TO HOP'!B148</f>
        <v>SD I - 1 nhịp 6 làn</v>
      </c>
      <c r="B29" s="39">
        <f>'TO HOP'!E148</f>
        <v>24553.204861589624</v>
      </c>
      <c r="C29" s="39">
        <f>'TO HOP'!F148</f>
        <v>7297.8753411500002</v>
      </c>
      <c r="D29" s="39">
        <f>'TO HOP'!G148</f>
        <v>46933.652013648498</v>
      </c>
      <c r="E29" s="39">
        <f t="shared" si="0"/>
        <v>15666.627059587347</v>
      </c>
      <c r="F29" s="39">
        <f t="shared" si="1"/>
        <v>144646.46946844854</v>
      </c>
      <c r="G29" s="39">
        <f>IF(OR(E29&lt;=0,F29&lt;=0),999,IF(B29&gt;=0.1*0.75*fc_*Agth*1000,B29/(1/(1/E29+1/F29-1/MAX('FIBER ENGINE'!$R$6:$R$125))),ABS(C29)/$D$7+ABS(D29)/$D$6))</f>
        <v>1.5823230008328555</v>
      </c>
      <c r="H29" s="39" t="str">
        <f t="shared" si="2"/>
        <v>KHÔNG ĐẠT</v>
      </c>
      <c r="I29" s="39">
        <f t="shared" si="3"/>
        <v>1.9115081830751246</v>
      </c>
      <c r="J29" s="39">
        <f t="shared" si="4"/>
        <v>0.29722699673176273</v>
      </c>
    </row>
    <row r="30" spans="1:10" x14ac:dyDescent="0.3">
      <c r="A30" s="37" t="str">
        <f>'TO HOP'!B149</f>
        <v>CĐ I(a) max - 2 nhịp lệch tâm 1 làn</v>
      </c>
      <c r="B30" s="39">
        <f>'TO HOP'!E149</f>
        <v>30245.477741487026</v>
      </c>
      <c r="C30" s="39">
        <f>'TO HOP'!F149</f>
        <v>19841.1862635</v>
      </c>
      <c r="D30" s="39">
        <f>'TO HOP'!G149</f>
        <v>34091.265631949253</v>
      </c>
      <c r="E30" s="39">
        <f t="shared" si="0"/>
        <v>26568.619611933947</v>
      </c>
      <c r="F30" s="39">
        <f t="shared" si="1"/>
        <v>117258.13908114245</v>
      </c>
      <c r="G30" s="39">
        <f>IF(OR(E30&lt;=0,F30&lt;=0),999,IF(B30&gt;=0.1*0.75*fc_*Agth*1000,B30/(1/(1/E30+1/F30-1/MAX('FIBER ENGINE'!$R$6:$R$125))),ABS(C30)/$D$7+ABS(D30)/$D$6))</f>
        <v>1.2058232723931215</v>
      </c>
      <c r="H30" s="39" t="str">
        <f t="shared" si="2"/>
        <v>KHÔNG ĐẠT</v>
      </c>
      <c r="I30" s="39">
        <f t="shared" si="3"/>
        <v>1.1271524927902543</v>
      </c>
      <c r="J30" s="39">
        <f t="shared" si="4"/>
        <v>0.65600505414679899</v>
      </c>
    </row>
    <row r="31" spans="1:10" x14ac:dyDescent="0.3">
      <c r="A31" s="37" t="str">
        <f>'TO HOP'!B150</f>
        <v>CĐ I(a) max - 2 nhịp lệch tâm 2 làn</v>
      </c>
      <c r="B31" s="39">
        <f>'TO HOP'!E150</f>
        <v>31584.967109487028</v>
      </c>
      <c r="C31" s="39">
        <f>'TO HOP'!F150</f>
        <v>28045.5586425</v>
      </c>
      <c r="D31" s="39">
        <f>'TO HOP'!G150</f>
        <v>34091.265631949253</v>
      </c>
      <c r="E31" s="39">
        <f t="shared" si="0"/>
        <v>27745.271004145423</v>
      </c>
      <c r="F31" s="39">
        <f t="shared" si="1"/>
        <v>100874.68910958664</v>
      </c>
      <c r="G31" s="39">
        <f>IF(OR(E31&lt;=0,F31&lt;=0),999,IF(B31&gt;=0.1*0.75*fc_*Agth*1000,B31/(1/(1/E31+1/F31-1/MAX('FIBER ENGINE'!$R$6:$R$125))),ABS(C31)/$D$7+ABS(D31)/$D$6))</f>
        <v>1.2525579021070443</v>
      </c>
      <c r="H31" s="39" t="str">
        <f t="shared" si="2"/>
        <v>KHÔNG ĐẠT</v>
      </c>
      <c r="I31" s="39">
        <f t="shared" si="3"/>
        <v>1.0793509935842047</v>
      </c>
      <c r="J31" s="39">
        <f t="shared" si="4"/>
        <v>0.88794009331344492</v>
      </c>
    </row>
    <row r="32" spans="1:10" x14ac:dyDescent="0.3">
      <c r="A32" s="37" t="str">
        <f>'TO HOP'!B151</f>
        <v>CĐ I(a) max - 2 nhịp lệch tâm 3 làn</v>
      </c>
      <c r="B32" s="39">
        <f>'TO HOP'!E151</f>
        <v>32505.866049987028</v>
      </c>
      <c r="C32" s="39">
        <f>'TO HOP'!F151</f>
        <v>29353.653728437501</v>
      </c>
      <c r="D32" s="39">
        <f>'TO HOP'!G151</f>
        <v>34091.265631949253</v>
      </c>
      <c r="E32" s="39">
        <f t="shared" si="0"/>
        <v>28554.218836290809</v>
      </c>
      <c r="F32" s="39">
        <f t="shared" si="1"/>
        <v>100121.74189074829</v>
      </c>
      <c r="G32" s="39">
        <f>IF(OR(E32&lt;=0,F32&lt;=0),999,IF(B32&gt;=0.1*0.75*fc_*Agth*1000,B32/(1/(1/E32+1/F32-1/MAX('FIBER ENGINE'!$R$6:$R$125))),ABS(C32)/$D$7+ABS(D32)/$D$6))</f>
        <v>1.2583099269512796</v>
      </c>
      <c r="H32" s="39" t="str">
        <f t="shared" si="2"/>
        <v>KHÔNG ĐẠT</v>
      </c>
      <c r="I32" s="39">
        <f t="shared" si="3"/>
        <v>1.0487727224225998</v>
      </c>
      <c r="J32" s="39">
        <f t="shared" si="4"/>
        <v>0.90302635479079063</v>
      </c>
    </row>
    <row r="33" spans="1:10" x14ac:dyDescent="0.3">
      <c r="A33" s="37" t="str">
        <f>'TO HOP'!B152</f>
        <v>CĐ I(a) max - 2 nhịp lệch tâm 4 làn</v>
      </c>
      <c r="B33" s="39">
        <f>'TO HOP'!E152</f>
        <v>32589.584135487028</v>
      </c>
      <c r="C33" s="39">
        <f>'TO HOP'!F152</f>
        <v>23399.204897250002</v>
      </c>
      <c r="D33" s="39">
        <f>'TO HOP'!G152</f>
        <v>34091.265631949253</v>
      </c>
      <c r="E33" s="39">
        <f t="shared" si="0"/>
        <v>28627.759548304028</v>
      </c>
      <c r="F33" s="39">
        <f t="shared" si="1"/>
        <v>115597.35760860742</v>
      </c>
      <c r="G33" s="39">
        <f>IF(OR(E33&lt;=0,F33&lt;=0),999,IF(B33&gt;=0.1*0.75*fc_*Agth*1000,B33/(1/(1/E33+1/F33-1/MAX('FIBER ENGINE'!$R$6:$R$125))),ABS(C33)/$D$7+ABS(D33)/$D$6))</f>
        <v>1.2150424652468628</v>
      </c>
      <c r="H33" s="39" t="str">
        <f t="shared" si="2"/>
        <v>KHÔNG ĐẠT</v>
      </c>
      <c r="I33" s="39">
        <f t="shared" si="3"/>
        <v>1.0460785719209909</v>
      </c>
      <c r="J33" s="39">
        <f t="shared" si="4"/>
        <v>0.71799642486908699</v>
      </c>
    </row>
    <row r="34" spans="1:10" x14ac:dyDescent="0.3">
      <c r="A34" s="37" t="str">
        <f>'TO HOP'!B153</f>
        <v>CĐ I(a) max - 2 nhịp lệch tâm 5 làn</v>
      </c>
      <c r="B34" s="39">
        <f>'TO HOP'!E153</f>
        <v>33677.919246987025</v>
      </c>
      <c r="C34" s="39">
        <f>'TO HOP'!F153</f>
        <v>21086.492785312505</v>
      </c>
      <c r="D34" s="39">
        <f>'TO HOP'!G153</f>
        <v>34091.265631949253</v>
      </c>
      <c r="E34" s="39">
        <f t="shared" si="0"/>
        <v>29583.788804475844</v>
      </c>
      <c r="F34" s="39">
        <f t="shared" si="1"/>
        <v>119669.06123454944</v>
      </c>
      <c r="G34" s="39">
        <f>IF(OR(E34&lt;=0,F34&lt;=0),999,IF(B34&gt;=0.1*0.75*fc_*Agth*1000,B34/(1/(1/E34+1/F34-1/MAX('FIBER ENGINE'!$R$6:$R$125))),ABS(C34)/$D$7+ABS(D34)/$D$6))</f>
        <v>1.2076895624004962</v>
      </c>
      <c r="H34" s="39" t="str">
        <f t="shared" si="2"/>
        <v>KHÔNG ĐẠT</v>
      </c>
      <c r="I34" s="39">
        <f t="shared" si="3"/>
        <v>1.0122735131565235</v>
      </c>
      <c r="J34" s="39">
        <f t="shared" si="4"/>
        <v>0.62612219688123982</v>
      </c>
    </row>
    <row r="35" spans="1:10" x14ac:dyDescent="0.3">
      <c r="A35" s="37" t="str">
        <f>'TO HOP'!B154</f>
        <v>CĐ I(a) max - 2 nhịp lệch tâm 6 làn</v>
      </c>
      <c r="B35" s="39">
        <f>'TO HOP'!E154</f>
        <v>34766.254358487029</v>
      </c>
      <c r="C35" s="39">
        <f>'TO HOP'!F154</f>
        <v>15508.775338875001</v>
      </c>
      <c r="D35" s="39">
        <f>'TO HOP'!G154</f>
        <v>34091.265631949253</v>
      </c>
      <c r="E35" s="39">
        <f t="shared" si="0"/>
        <v>30539.818060647671</v>
      </c>
      <c r="F35" s="39">
        <f t="shared" si="1"/>
        <v>133548.11471142637</v>
      </c>
      <c r="G35" s="39">
        <f>IF(OR(E35&lt;=0,F35&lt;=0),999,IF(B35&gt;=0.1*0.75*fc_*Agth*1000,B35/(1/(1/E35+1/F35-1/MAX('FIBER ENGINE'!$R$6:$R$125))),ABS(C35)/$D$7+ABS(D35)/$D$6))</f>
        <v>1.1797365806148541</v>
      </c>
      <c r="H35" s="39" t="str">
        <f t="shared" si="2"/>
        <v>KHÔNG ĐẠT</v>
      </c>
      <c r="I35" s="39">
        <f t="shared" si="3"/>
        <v>0.98058494540200591</v>
      </c>
      <c r="J35" s="39">
        <f t="shared" si="4"/>
        <v>0.44608703540388861</v>
      </c>
    </row>
    <row r="36" spans="1:10" x14ac:dyDescent="0.3">
      <c r="A36" s="37" t="str">
        <f>'TO HOP'!B155</f>
        <v>CĐ I(a) max - 2 nhịp đúng tâm 1 làn</v>
      </c>
      <c r="B36" s="39">
        <f>'TO HOP'!E155</f>
        <v>30245.477741487026</v>
      </c>
      <c r="C36" s="39">
        <f>'TO HOP'!F155</f>
        <v>0</v>
      </c>
      <c r="D36" s="39">
        <f>'TO HOP'!G155</f>
        <v>34091.265631949253</v>
      </c>
      <c r="E36" s="39">
        <f t="shared" si="0"/>
        <v>26568.619611933947</v>
      </c>
      <c r="F36" s="39">
        <f t="shared" si="1"/>
        <v>158763.07851952704</v>
      </c>
      <c r="G36" s="39">
        <f>IF(OR(E36&lt;=0,F36&lt;=0),999,IF(B36&gt;=0.1*0.75*fc_*Agth*1000,B36/(1/(1/E36+1/F36-1/MAX('FIBER ENGINE'!$R$6:$R$125))),ABS(C36)/$D$7+ABS(D36)/$D$6))</f>
        <v>1.1383910110219473</v>
      </c>
      <c r="H36" s="39" t="str">
        <f t="shared" si="2"/>
        <v>KHÔNG ĐẠT</v>
      </c>
      <c r="I36" s="39">
        <f t="shared" si="3"/>
        <v>1.1271524927902543</v>
      </c>
      <c r="J36" s="39">
        <f t="shared" si="4"/>
        <v>0</v>
      </c>
    </row>
    <row r="37" spans="1:10" x14ac:dyDescent="0.3">
      <c r="A37" s="37" t="str">
        <f>'TO HOP'!B156</f>
        <v>CĐ I(a) max - 2 nhịp đúng tâm 2 làn</v>
      </c>
      <c r="B37" s="39">
        <f>'TO HOP'!E156</f>
        <v>31584.967109487028</v>
      </c>
      <c r="C37" s="39">
        <f>'TO HOP'!F156</f>
        <v>0</v>
      </c>
      <c r="D37" s="39">
        <f>'TO HOP'!G156</f>
        <v>34091.265631949253</v>
      </c>
      <c r="E37" s="39">
        <f t="shared" si="0"/>
        <v>27745.271004145423</v>
      </c>
      <c r="F37" s="39">
        <f t="shared" si="1"/>
        <v>158763.07851952704</v>
      </c>
      <c r="G37" s="39">
        <f>IF(OR(E37&lt;=0,F37&lt;=0),999,IF(B37&gt;=0.1*0.75*fc_*Agth*1000,B37/(1/(1/E37+1/F37-1/MAX('FIBER ENGINE'!$R$6:$R$125))),ABS(C37)/$D$7+ABS(D37)/$D$6))</f>
        <v>1.1383910110219473</v>
      </c>
      <c r="H37" s="39" t="str">
        <f t="shared" si="2"/>
        <v>KHÔNG ĐẠT</v>
      </c>
      <c r="I37" s="39">
        <f t="shared" si="3"/>
        <v>1.0793509935842047</v>
      </c>
      <c r="J37" s="39">
        <f t="shared" si="4"/>
        <v>0</v>
      </c>
    </row>
    <row r="38" spans="1:10" x14ac:dyDescent="0.3">
      <c r="A38" s="37" t="str">
        <f>'TO HOP'!B157</f>
        <v>CĐ I(a) max - 2 nhịp đúng tâm 3 làn</v>
      </c>
      <c r="B38" s="39">
        <f>'TO HOP'!E157</f>
        <v>32505.866049987028</v>
      </c>
      <c r="C38" s="39">
        <f>'TO HOP'!F157</f>
        <v>0</v>
      </c>
      <c r="D38" s="39">
        <f>'TO HOP'!G157</f>
        <v>34091.265631949253</v>
      </c>
      <c r="E38" s="39">
        <f t="shared" si="0"/>
        <v>28554.218836290809</v>
      </c>
      <c r="F38" s="39">
        <f t="shared" si="1"/>
        <v>158763.07851952704</v>
      </c>
      <c r="G38" s="39">
        <f>IF(OR(E38&lt;=0,F38&lt;=0),999,IF(B38&gt;=0.1*0.75*fc_*Agth*1000,B38/(1/(1/E38+1/F38-1/MAX('FIBER ENGINE'!$R$6:$R$125))),ABS(C38)/$D$7+ABS(D38)/$D$6))</f>
        <v>1.1383910110219473</v>
      </c>
      <c r="H38" s="39" t="str">
        <f t="shared" si="2"/>
        <v>KHÔNG ĐẠT</v>
      </c>
      <c r="I38" s="39">
        <f t="shared" si="3"/>
        <v>1.0487727224225998</v>
      </c>
      <c r="J38" s="39">
        <f t="shared" si="4"/>
        <v>0</v>
      </c>
    </row>
    <row r="39" spans="1:10" x14ac:dyDescent="0.3">
      <c r="A39" s="37" t="str">
        <f>'TO HOP'!B158</f>
        <v>CĐ I(a) max - 2 nhịp đúng tâm 4 làn</v>
      </c>
      <c r="B39" s="39">
        <f>'TO HOP'!E158</f>
        <v>32589.584135487028</v>
      </c>
      <c r="C39" s="39">
        <f>'TO HOP'!F158</f>
        <v>0</v>
      </c>
      <c r="D39" s="39">
        <f>'TO HOP'!G158</f>
        <v>34091.265631949253</v>
      </c>
      <c r="E39" s="39">
        <f t="shared" si="0"/>
        <v>28627.759548304028</v>
      </c>
      <c r="F39" s="39">
        <f t="shared" si="1"/>
        <v>158763.07851952704</v>
      </c>
      <c r="G39" s="39">
        <f>IF(OR(E39&lt;=0,F39&lt;=0),999,IF(B39&gt;=0.1*0.75*fc_*Agth*1000,B39/(1/(1/E39+1/F39-1/MAX('FIBER ENGINE'!$R$6:$R$125))),ABS(C39)/$D$7+ABS(D39)/$D$6))</f>
        <v>1.1383910110219475</v>
      </c>
      <c r="H39" s="39" t="str">
        <f t="shared" si="2"/>
        <v>KHÔNG ĐẠT</v>
      </c>
      <c r="I39" s="39">
        <f t="shared" si="3"/>
        <v>1.0460785719209909</v>
      </c>
      <c r="J39" s="39">
        <f t="shared" si="4"/>
        <v>0</v>
      </c>
    </row>
    <row r="40" spans="1:10" x14ac:dyDescent="0.3">
      <c r="A40" s="37" t="str">
        <f>'TO HOP'!B159</f>
        <v>CĐ I(a) max - 2 nhịp đúng tâm 5 làn</v>
      </c>
      <c r="B40" s="39">
        <f>'TO HOP'!E159</f>
        <v>33677.919246987025</v>
      </c>
      <c r="C40" s="39">
        <f>'TO HOP'!F159</f>
        <v>0</v>
      </c>
      <c r="D40" s="39">
        <f>'TO HOP'!G159</f>
        <v>34091.265631949253</v>
      </c>
      <c r="E40" s="39">
        <f t="shared" si="0"/>
        <v>29583.788804475844</v>
      </c>
      <c r="F40" s="39">
        <f t="shared" si="1"/>
        <v>158763.07851952704</v>
      </c>
      <c r="G40" s="39">
        <f>IF(OR(E40&lt;=0,F40&lt;=0),999,IF(B40&gt;=0.1*0.75*fc_*Agth*1000,B40/(1/(1/E40+1/F40-1/MAX('FIBER ENGINE'!$R$6:$R$125))),ABS(C40)/$D$7+ABS(D40)/$D$6))</f>
        <v>1.1383910110219475</v>
      </c>
      <c r="H40" s="39" t="str">
        <f t="shared" si="2"/>
        <v>KHÔNG ĐẠT</v>
      </c>
      <c r="I40" s="39">
        <f t="shared" si="3"/>
        <v>1.0122735131565235</v>
      </c>
      <c r="J40" s="39">
        <f t="shared" si="4"/>
        <v>0</v>
      </c>
    </row>
    <row r="41" spans="1:10" x14ac:dyDescent="0.3">
      <c r="A41" s="37" t="str">
        <f>'TO HOP'!B160</f>
        <v>CĐ I(a) max - 2 nhịp đúng tâm 6 làn</v>
      </c>
      <c r="B41" s="39">
        <f>'TO HOP'!E160</f>
        <v>34766.254358487029</v>
      </c>
      <c r="C41" s="39">
        <f>'TO HOP'!F160</f>
        <v>0</v>
      </c>
      <c r="D41" s="39">
        <f>'TO HOP'!G160</f>
        <v>34091.265631949253</v>
      </c>
      <c r="E41" s="39">
        <f t="shared" si="0"/>
        <v>30539.818060647671</v>
      </c>
      <c r="F41" s="39">
        <f t="shared" si="1"/>
        <v>158763.07851952704</v>
      </c>
      <c r="G41" s="39">
        <f>IF(OR(E41&lt;=0,F41&lt;=0),999,IF(B41&gt;=0.1*0.75*fc_*Agth*1000,B41/(1/(1/E41+1/F41-1/MAX('FIBER ENGINE'!$R$6:$R$125))),ABS(C41)/$D$7+ABS(D41)/$D$6))</f>
        <v>1.1383910110219473</v>
      </c>
      <c r="H41" s="39" t="str">
        <f t="shared" si="2"/>
        <v>KHÔNG ĐẠT</v>
      </c>
      <c r="I41" s="39">
        <f t="shared" si="3"/>
        <v>0.98058494540200591</v>
      </c>
      <c r="J41" s="39">
        <f t="shared" si="4"/>
        <v>0</v>
      </c>
    </row>
    <row r="42" spans="1:10" x14ac:dyDescent="0.3">
      <c r="A42" s="37" t="str">
        <f>'TO HOP'!B161</f>
        <v>CĐ I(a) max - 1 nhịp 1 làn</v>
      </c>
      <c r="B42" s="39">
        <f>'TO HOP'!E161</f>
        <v>29441.299429487026</v>
      </c>
      <c r="C42" s="39">
        <f>'TO HOP'!F161</f>
        <v>11899.9254325</v>
      </c>
      <c r="D42" s="39">
        <f>'TO HOP'!G161</f>
        <v>35175.815797949253</v>
      </c>
      <c r="E42" s="39">
        <f t="shared" si="0"/>
        <v>25064.812643895548</v>
      </c>
      <c r="F42" s="39">
        <f t="shared" si="1"/>
        <v>133548.11471142637</v>
      </c>
      <c r="G42" s="39">
        <f>IF(OR(E42&lt;=0,F42&lt;=0),999,IF(B42&gt;=0.1*0.75*fc_*Agth*1000,B42/(1/(1/E42+1/F42-1/MAX('FIBER ENGINE'!$R$6:$R$125))),ABS(C42)/$D$7+ABS(D42)/$D$6))</f>
        <v>1.2096196996156048</v>
      </c>
      <c r="H42" s="39" t="str">
        <f t="shared" si="2"/>
        <v>KHÔNG ĐẠT</v>
      </c>
      <c r="I42" s="39">
        <f t="shared" si="3"/>
        <v>1.1947779642741856</v>
      </c>
      <c r="J42" s="39">
        <f t="shared" si="4"/>
        <v>0.40419158335727506</v>
      </c>
    </row>
    <row r="43" spans="1:10" x14ac:dyDescent="0.3">
      <c r="A43" s="37" t="str">
        <f>'TO HOP'!B162</f>
        <v>CĐ I(a) max - 1 nhịp 2 làn</v>
      </c>
      <c r="B43" s="39">
        <f>'TO HOP'!E162</f>
        <v>30244.669922820358</v>
      </c>
      <c r="C43" s="39">
        <f>'TO HOP'!F162</f>
        <v>16820.569704166668</v>
      </c>
      <c r="D43" s="39">
        <f>'TO HOP'!G162</f>
        <v>35898.849241949254</v>
      </c>
      <c r="E43" s="39">
        <f t="shared" si="0"/>
        <v>25230.159075764797</v>
      </c>
      <c r="F43" s="39">
        <f t="shared" si="1"/>
        <v>125530.05654476941</v>
      </c>
      <c r="G43" s="39">
        <f>IF(OR(E43&lt;=0,F43&lt;=0),999,IF(B43&gt;=0.1*0.75*fc_*Agth*1000,B43/(1/(1/E43+1/F43-1/MAX('FIBER ENGINE'!$R$6:$R$125))),ABS(C43)/$D$7+ABS(D43)/$D$6))</f>
        <v>1.2491844347897969</v>
      </c>
      <c r="H43" s="39" t="str">
        <f t="shared" si="2"/>
        <v>KHÔNG ĐẠT</v>
      </c>
      <c r="I43" s="39">
        <f t="shared" si="3"/>
        <v>1.1869479592125645</v>
      </c>
      <c r="J43" s="39">
        <f t="shared" si="4"/>
        <v>0.55614988515629749</v>
      </c>
    </row>
    <row r="44" spans="1:10" x14ac:dyDescent="0.3">
      <c r="A44" s="37" t="str">
        <f>'TO HOP'!B163</f>
        <v>CĐ I(a) max - 1 nhịp 3 làn</v>
      </c>
      <c r="B44" s="39">
        <f>'TO HOP'!E163</f>
        <v>30796.987136987027</v>
      </c>
      <c r="C44" s="39">
        <f>'TO HOP'!F163</f>
        <v>17605.111201562504</v>
      </c>
      <c r="D44" s="39">
        <f>'TO HOP'!G163</f>
        <v>36395.934734699251</v>
      </c>
      <c r="E44" s="39">
        <f t="shared" ref="E44:E73" si="5">IF(I44&lt;=0.000000001,MAX(fibPX),MAX(IF(INDEX(fibPX,1)&gt;0,MIN(INDEX(fibPX,1),INDEX(fibMX,1)/I44),0),IF(INDEX(fibPX,2)&gt;0,MIN(INDEX(fibPX,2),INDEX(fibMX,2)/I44),0),IF(INDEX(fibPX,3)&gt;0,MIN(INDEX(fibPX,3),INDEX(fibMX,3)/I44),0),IF(INDEX(fibPX,4)&gt;0,MIN(INDEX(fibPX,4),INDEX(fibMX,4)/I44),0),IF(INDEX(fibPX,5)&gt;0,MIN(INDEX(fibPX,5),INDEX(fibMX,5)/I44),0),IF(INDEX(fibPX,6)&gt;0,MIN(INDEX(fibPX,6),INDEX(fibMX,6)/I44),0),IF(INDEX(fibPX,7)&gt;0,MIN(INDEX(fibPX,7),INDEX(fibMX,7)/I44),0),IF(INDEX(fibPX,8)&gt;0,MIN(INDEX(fibPX,8),INDEX(fibMX,8)/I44),0),IF(INDEX(fibPX,9)&gt;0,MIN(INDEX(fibPX,9),INDEX(fibMX,9)/I44),0),IF(INDEX(fibPX,10)&gt;0,MIN(INDEX(fibPX,10),INDEX(fibMX,10)/I44),0),IF(INDEX(fibPX,11)&gt;0,MIN(INDEX(fibPX,11),INDEX(fibMX,11)/I44),0),IF(INDEX(fibPX,12)&gt;0,MIN(INDEX(fibPX,12),INDEX(fibMX,12)/I44),0),IF(INDEX(fibPX,13)&gt;0,MIN(INDEX(fibPX,13),INDEX(fibMX,13)/I44),0),IF(INDEX(fibPX,14)&gt;0,MIN(INDEX(fibPX,14),INDEX(fibMX,14)/I44),0),IF(INDEX(fibPX,15)&gt;0,MIN(INDEX(fibPX,15),INDEX(fibMX,15)/I44),0),IF(INDEX(fibPX,16)&gt;0,MIN(INDEX(fibPX,16),INDEX(fibMX,16)/I44),0),IF(INDEX(fibPX,17)&gt;0,MIN(INDEX(fibPX,17),INDEX(fibMX,17)/I44),0),IF(INDEX(fibPX,18)&gt;0,MIN(INDEX(fibPX,18),INDEX(fibMX,18)/I44),0),IF(INDEX(fibPX,19)&gt;0,MIN(INDEX(fibPX,19),INDEX(fibMX,19)/I44),0),IF(INDEX(fibPX,20)&gt;0,MIN(INDEX(fibPX,20),INDEX(fibMX,20)/I44),0),IF(INDEX(fibPX,21)&gt;0,MIN(INDEX(fibPX,21),INDEX(fibMX,21)/I44),0),IF(INDEX(fibPX,22)&gt;0,MIN(INDEX(fibPX,22),INDEX(fibMX,22)/I44),0),IF(INDEX(fibPX,23)&gt;0,MIN(INDEX(fibPX,23),INDEX(fibMX,23)/I44),0),IF(INDEX(fibPX,24)&gt;0,MIN(INDEX(fibPX,24),INDEX(fibMX,24)/I44),0),IF(INDEX(fibPX,25)&gt;0,MIN(INDEX(fibPX,25),INDEX(fibMX,25)/I44),0),IF(INDEX(fibPX,26)&gt;0,MIN(INDEX(fibPX,26),INDEX(fibMX,26)/I44),0),IF(INDEX(fibPX,27)&gt;0,MIN(INDEX(fibPX,27),INDEX(fibMX,27)/I44),0),IF(INDEX(fibPX,28)&gt;0,MIN(INDEX(fibPX,28),INDEX(fibMX,28)/I44),0),IF(INDEX(fibPX,29)&gt;0,MIN(INDEX(fibPX,29),INDEX(fibMX,29)/I44),0),IF(INDEX(fibPX,30)&gt;0,MIN(INDEX(fibPX,30),INDEX(fibMX,30)/I44),0),IF(INDEX(fibPX,31)&gt;0,MIN(INDEX(fibPX,31),INDEX(fibMX,31)/I44),0),IF(INDEX(fibPX,32)&gt;0,MIN(INDEX(fibPX,32),INDEX(fibMX,32)/I44),0),IF(INDEX(fibPX,33)&gt;0,MIN(INDEX(fibPX,33),INDEX(fibMX,33)/I44),0),IF(INDEX(fibPX,34)&gt;0,MIN(INDEX(fibPX,34),INDEX(fibMX,34)/I44),0),IF(INDEX(fibPX,35)&gt;0,MIN(INDEX(fibPX,35),INDEX(fibMX,35)/I44),0),IF(INDEX(fibPX,36)&gt;0,MIN(INDEX(fibPX,36),INDEX(fibMX,36)/I44),0),IF(INDEX(fibPX,37)&gt;0,MIN(INDEX(fibPX,37),INDEX(fibMX,37)/I44),0),IF(INDEX(fibPX,38)&gt;0,MIN(INDEX(fibPX,38),INDEX(fibMX,38)/I44),0),IF(INDEX(fibPX,39)&gt;0,MIN(INDEX(fibPX,39),INDEX(fibMX,39)/I44),0),IF(INDEX(fibPX,40)&gt;0,MIN(INDEX(fibPX,40),INDEX(fibMX,40)/I44),0),IF(INDEX(fibPX,41)&gt;0,MIN(INDEX(fibPX,41),INDEX(fibMX,41)/I44),0),IF(INDEX(fibPX,42)&gt;0,MIN(INDEX(fibPX,42),INDEX(fibMX,42)/I44),0),IF(INDEX(fibPX,43)&gt;0,MIN(INDEX(fibPX,43),INDEX(fibMX,43)/I44),0),IF(INDEX(fibPX,44)&gt;0,MIN(INDEX(fibPX,44),INDEX(fibMX,44)/I44),0),IF(INDEX(fibPX,45)&gt;0,MIN(INDEX(fibPX,45),INDEX(fibMX,45)/I44),0),IF(INDEX(fibPX,46)&gt;0,MIN(INDEX(fibPX,46),INDEX(fibMX,46)/I44),0),IF(INDEX(fibPX,47)&gt;0,MIN(INDEX(fibPX,47),INDEX(fibMX,47)/I44),0),IF(INDEX(fibPX,48)&gt;0,MIN(INDEX(fibPX,48),INDEX(fibMX,48)/I44),0),IF(INDEX(fibPX,49)&gt;0,MIN(INDEX(fibPX,49),INDEX(fibMX,49)/I44),0),IF(INDEX(fibPX,50)&gt;0,MIN(INDEX(fibPX,50),INDEX(fibMX,50)/I44),0),IF(INDEX(fibPX,51)&gt;0,MIN(INDEX(fibPX,51),INDEX(fibMX,51)/I44),0),IF(INDEX(fibPX,52)&gt;0,MIN(INDEX(fibPX,52),INDEX(fibMX,52)/I44),0),IF(INDEX(fibPX,53)&gt;0,MIN(INDEX(fibPX,53),INDEX(fibMX,53)/I44),0),IF(INDEX(fibPX,54)&gt;0,MIN(INDEX(fibPX,54),INDEX(fibMX,54)/I44),0),IF(INDEX(fibPX,55)&gt;0,MIN(INDEX(fibPX,55),INDEX(fibMX,55)/I44),0),IF(INDEX(fibPX,56)&gt;0,MIN(INDEX(fibPX,56),INDEX(fibMX,56)/I44),0),IF(INDEX(fibPX,57)&gt;0,MIN(INDEX(fibPX,57),INDEX(fibMX,57)/I44),0),IF(INDEX(fibPX,58)&gt;0,MIN(INDEX(fibPX,58),INDEX(fibMX,58)/I44),0),IF(INDEX(fibPX,59)&gt;0,MIN(INDEX(fibPX,59),INDEX(fibMX,59)/I44),0),IF(INDEX(fibPX,60)&gt;0,MIN(INDEX(fibPX,60),INDEX(fibMX,60)/I44),0),IF(INDEX(fibPX,61)&gt;0,MIN(INDEX(fibPX,61),INDEX(fibMX,61)/I44),0),IF(INDEX(fibPX,62)&gt;0,MIN(INDEX(fibPX,62),INDEX(fibMX,62)/I44),0),IF(INDEX(fibPX,63)&gt;0,MIN(INDEX(fibPX,63),INDEX(fibMX,63)/I44),0),IF(INDEX(fibPX,64)&gt;0,MIN(INDEX(fibPX,64),INDEX(fibMX,64)/I44),0),IF(INDEX(fibPX,65)&gt;0,MIN(INDEX(fibPX,65),INDEX(fibMX,65)/I44),0),IF(INDEX(fibPX,66)&gt;0,MIN(INDEX(fibPX,66),INDEX(fibMX,66)/I44),0),IF(INDEX(fibPX,67)&gt;0,MIN(INDEX(fibPX,67),INDEX(fibMX,67)/I44),0),IF(INDEX(fibPX,68)&gt;0,MIN(INDEX(fibPX,68),INDEX(fibMX,68)/I44),0),IF(INDEX(fibPX,69)&gt;0,MIN(INDEX(fibPX,69),INDEX(fibMX,69)/I44),0),IF(INDEX(fibPX,70)&gt;0,MIN(INDEX(fibPX,70),INDEX(fibMX,70)/I44),0),IF(INDEX(fibPX,71)&gt;0,MIN(INDEX(fibPX,71),INDEX(fibMX,71)/I44),0),IF(INDEX(fibPX,72)&gt;0,MIN(INDEX(fibPX,72),INDEX(fibMX,72)/I44),0),IF(INDEX(fibPX,73)&gt;0,MIN(INDEX(fibPX,73),INDEX(fibMX,73)/I44),0),IF(INDEX(fibPX,74)&gt;0,MIN(INDEX(fibPX,74),INDEX(fibMX,74)/I44),0),IF(INDEX(fibPX,75)&gt;0,MIN(INDEX(fibPX,75),INDEX(fibMX,75)/I44),0),IF(INDEX(fibPX,76)&gt;0,MIN(INDEX(fibPX,76),INDEX(fibMX,76)/I44),0),IF(INDEX(fibPX,77)&gt;0,MIN(INDEX(fibPX,77),INDEX(fibMX,77)/I44),0),IF(INDEX(fibPX,78)&gt;0,MIN(INDEX(fibPX,78),INDEX(fibMX,78)/I44),0),IF(INDEX(fibPX,79)&gt;0,MIN(INDEX(fibPX,79),INDEX(fibMX,79)/I44),0),IF(INDEX(fibPX,80)&gt;0,MIN(INDEX(fibPX,80),INDEX(fibMX,80)/I44),0),IF(INDEX(fibPX,81)&gt;0,MIN(INDEX(fibPX,81),INDEX(fibMX,81)/I44),0),IF(INDEX(fibPX,82)&gt;0,MIN(INDEX(fibPX,82),INDEX(fibMX,82)/I44),0),IF(INDEX(fibPX,83)&gt;0,MIN(INDEX(fibPX,83),INDEX(fibMX,83)/I44),0),IF(INDEX(fibPX,84)&gt;0,MIN(INDEX(fibPX,84),INDEX(fibMX,84)/I44),0),IF(INDEX(fibPX,85)&gt;0,MIN(INDEX(fibPX,85),INDEX(fibMX,85)/I44),0),IF(INDEX(fibPX,86)&gt;0,MIN(INDEX(fibPX,86),INDEX(fibMX,86)/I44),0),IF(INDEX(fibPX,87)&gt;0,MIN(INDEX(fibPX,87),INDEX(fibMX,87)/I44),0),IF(INDEX(fibPX,88)&gt;0,MIN(INDEX(fibPX,88),INDEX(fibMX,88)/I44),0),IF(INDEX(fibPX,89)&gt;0,MIN(INDEX(fibPX,89),INDEX(fibMX,89)/I44),0),IF(INDEX(fibPX,90)&gt;0,MIN(INDEX(fibPX,90),INDEX(fibMX,90)/I44),0),IF(INDEX(fibPX,91)&gt;0,MIN(INDEX(fibPX,91),INDEX(fibMX,91)/I44),0),IF(INDEX(fibPX,92)&gt;0,MIN(INDEX(fibPX,92),INDEX(fibMX,92)/I44),0),IF(INDEX(fibPX,93)&gt;0,MIN(INDEX(fibPX,93),INDEX(fibMX,93)/I44),0),IF(INDEX(fibPX,94)&gt;0,MIN(INDEX(fibPX,94),INDEX(fibMX,94)/I44),0),IF(INDEX(fibPX,95)&gt;0,MIN(INDEX(fibPX,95),INDEX(fibMX,95)/I44),0),IF(INDEX(fibPX,96)&gt;0,MIN(INDEX(fibPX,96),INDEX(fibMX,96)/I44),0),IF(INDEX(fibPX,97)&gt;0,MIN(INDEX(fibPX,97),INDEX(fibMX,97)/I44),0),IF(INDEX(fibPX,98)&gt;0,MIN(INDEX(fibPX,98),INDEX(fibMX,98)/I44),0),IF(INDEX(fibPX,99)&gt;0,MIN(INDEX(fibPX,99),INDEX(fibMX,99)/I44),0),IF(INDEX(fibPX,100)&gt;0,MIN(INDEX(fibPX,100),INDEX(fibMX,100)/I44),0),IF(INDEX(fibPX,101)&gt;0,MIN(INDEX(fibPX,101),INDEX(fibMX,101)/I44),0),IF(INDEX(fibPX,102)&gt;0,MIN(INDEX(fibPX,102),INDEX(fibMX,102)/I44),0),IF(INDEX(fibPX,103)&gt;0,MIN(INDEX(fibPX,103),INDEX(fibMX,103)/I44),0),IF(INDEX(fibPX,104)&gt;0,MIN(INDEX(fibPX,104),INDEX(fibMX,104)/I44),0),IF(INDEX(fibPX,105)&gt;0,MIN(INDEX(fibPX,105),INDEX(fibMX,105)/I44),0),IF(INDEX(fibPX,106)&gt;0,MIN(INDEX(fibPX,106),INDEX(fibMX,106)/I44),0),IF(INDEX(fibPX,107)&gt;0,MIN(INDEX(fibPX,107),INDEX(fibMX,107)/I44),0),IF(INDEX(fibPX,108)&gt;0,MIN(INDEX(fibPX,108),INDEX(fibMX,108)/I44),0),IF(INDEX(fibPX,109)&gt;0,MIN(INDEX(fibPX,109),INDEX(fibMX,109)/I44),0),IF(INDEX(fibPX,110)&gt;0,MIN(INDEX(fibPX,110),INDEX(fibMX,110)/I44),0),IF(INDEX(fibPX,111)&gt;0,MIN(INDEX(fibPX,111),INDEX(fibMX,111)/I44),0),IF(INDEX(fibPX,112)&gt;0,MIN(INDEX(fibPX,112),INDEX(fibMX,112)/I44),0),IF(INDEX(fibPX,113)&gt;0,MIN(INDEX(fibPX,113),INDEX(fibMX,113)/I44),0),IF(INDEX(fibPX,114)&gt;0,MIN(INDEX(fibPX,114),INDEX(fibMX,114)/I44),0),IF(INDEX(fibPX,115)&gt;0,MIN(INDEX(fibPX,115),INDEX(fibMX,115)/I44),0),IF(INDEX(fibPX,116)&gt;0,MIN(INDEX(fibPX,116),INDEX(fibMX,116)/I44),0),IF(INDEX(fibPX,117)&gt;0,MIN(INDEX(fibPX,117),INDEX(fibMX,117)/I44),0),IF(INDEX(fibPX,118)&gt;0,MIN(INDEX(fibPX,118),INDEX(fibMX,118)/I44),0),IF(INDEX(fibPX,119)&gt;0,MIN(INDEX(fibPX,119),INDEX(fibMX,119)/I44),0),IF(INDEX(fibPX,120)&gt;0,MIN(INDEX(fibPX,120),INDEX(fibMX,120)/I44),0)))</f>
        <v>25340.023941853982</v>
      </c>
      <c r="F44" s="39">
        <f t="shared" ref="F44:F73" si="6">IF(J44&lt;=0.000000001,MAX(fibPY),MAX(IF(INDEX(fibPY,1)&gt;0,MIN(INDEX(fibPY,1),INDEX(fibMY,1)/J44),0),IF(INDEX(fibPY,2)&gt;0,MIN(INDEX(fibPY,2),INDEX(fibMY,2)/J44),0),IF(INDEX(fibPY,3)&gt;0,MIN(INDEX(fibPY,3),INDEX(fibMY,3)/J44),0),IF(INDEX(fibPY,4)&gt;0,MIN(INDEX(fibPY,4),INDEX(fibMY,4)/J44),0),IF(INDEX(fibPY,5)&gt;0,MIN(INDEX(fibPY,5),INDEX(fibMY,5)/J44),0),IF(INDEX(fibPY,6)&gt;0,MIN(INDEX(fibPY,6),INDEX(fibMY,6)/J44),0),IF(INDEX(fibPY,7)&gt;0,MIN(INDEX(fibPY,7),INDEX(fibMY,7)/J44),0),IF(INDEX(fibPY,8)&gt;0,MIN(INDEX(fibPY,8),INDEX(fibMY,8)/J44),0),IF(INDEX(fibPY,9)&gt;0,MIN(INDEX(fibPY,9),INDEX(fibMY,9)/J44),0),IF(INDEX(fibPY,10)&gt;0,MIN(INDEX(fibPY,10),INDEX(fibMY,10)/J44),0),IF(INDEX(fibPY,11)&gt;0,MIN(INDEX(fibPY,11),INDEX(fibMY,11)/J44),0),IF(INDEX(fibPY,12)&gt;0,MIN(INDEX(fibPY,12),INDEX(fibMY,12)/J44),0),IF(INDEX(fibPY,13)&gt;0,MIN(INDEX(fibPY,13),INDEX(fibMY,13)/J44),0),IF(INDEX(fibPY,14)&gt;0,MIN(INDEX(fibPY,14),INDEX(fibMY,14)/J44),0),IF(INDEX(fibPY,15)&gt;0,MIN(INDEX(fibPY,15),INDEX(fibMY,15)/J44),0),IF(INDEX(fibPY,16)&gt;0,MIN(INDEX(fibPY,16),INDEX(fibMY,16)/J44),0),IF(INDEX(fibPY,17)&gt;0,MIN(INDEX(fibPY,17),INDEX(fibMY,17)/J44),0),IF(INDEX(fibPY,18)&gt;0,MIN(INDEX(fibPY,18),INDEX(fibMY,18)/J44),0),IF(INDEX(fibPY,19)&gt;0,MIN(INDEX(fibPY,19),INDEX(fibMY,19)/J44),0),IF(INDEX(fibPY,20)&gt;0,MIN(INDEX(fibPY,20),INDEX(fibMY,20)/J44),0),IF(INDEX(fibPY,21)&gt;0,MIN(INDEX(fibPY,21),INDEX(fibMY,21)/J44),0),IF(INDEX(fibPY,22)&gt;0,MIN(INDEX(fibPY,22),INDEX(fibMY,22)/J44),0),IF(INDEX(fibPY,23)&gt;0,MIN(INDEX(fibPY,23),INDEX(fibMY,23)/J44),0),IF(INDEX(fibPY,24)&gt;0,MIN(INDEX(fibPY,24),INDEX(fibMY,24)/J44),0),IF(INDEX(fibPY,25)&gt;0,MIN(INDEX(fibPY,25),INDEX(fibMY,25)/J44),0),IF(INDEX(fibPY,26)&gt;0,MIN(INDEX(fibPY,26),INDEX(fibMY,26)/J44),0),IF(INDEX(fibPY,27)&gt;0,MIN(INDEX(fibPY,27),INDEX(fibMY,27)/J44),0),IF(INDEX(fibPY,28)&gt;0,MIN(INDEX(fibPY,28),INDEX(fibMY,28)/J44),0),IF(INDEX(fibPY,29)&gt;0,MIN(INDEX(fibPY,29),INDEX(fibMY,29)/J44),0),IF(INDEX(fibPY,30)&gt;0,MIN(INDEX(fibPY,30),INDEX(fibMY,30)/J44),0),IF(INDEX(fibPY,31)&gt;0,MIN(INDEX(fibPY,31),INDEX(fibMY,31)/J44),0),IF(INDEX(fibPY,32)&gt;0,MIN(INDEX(fibPY,32),INDEX(fibMY,32)/J44),0),IF(INDEX(fibPY,33)&gt;0,MIN(INDEX(fibPY,33),INDEX(fibMY,33)/J44),0),IF(INDEX(fibPY,34)&gt;0,MIN(INDEX(fibPY,34),INDEX(fibMY,34)/J44),0),IF(INDEX(fibPY,35)&gt;0,MIN(INDEX(fibPY,35),INDEX(fibMY,35)/J44),0),IF(INDEX(fibPY,36)&gt;0,MIN(INDEX(fibPY,36),INDEX(fibMY,36)/J44),0),IF(INDEX(fibPY,37)&gt;0,MIN(INDEX(fibPY,37),INDEX(fibMY,37)/J44),0),IF(INDEX(fibPY,38)&gt;0,MIN(INDEX(fibPY,38),INDEX(fibMY,38)/J44),0),IF(INDEX(fibPY,39)&gt;0,MIN(INDEX(fibPY,39),INDEX(fibMY,39)/J44),0),IF(INDEX(fibPY,40)&gt;0,MIN(INDEX(fibPY,40),INDEX(fibMY,40)/J44),0),IF(INDEX(fibPY,41)&gt;0,MIN(INDEX(fibPY,41),INDEX(fibMY,41)/J44),0),IF(INDEX(fibPY,42)&gt;0,MIN(INDEX(fibPY,42),INDEX(fibMY,42)/J44),0),IF(INDEX(fibPY,43)&gt;0,MIN(INDEX(fibPY,43),INDEX(fibMY,43)/J44),0),IF(INDEX(fibPY,44)&gt;0,MIN(INDEX(fibPY,44),INDEX(fibMY,44)/J44),0),IF(INDEX(fibPY,45)&gt;0,MIN(INDEX(fibPY,45),INDEX(fibMY,45)/J44),0),IF(INDEX(fibPY,46)&gt;0,MIN(INDEX(fibPY,46),INDEX(fibMY,46)/J44),0),IF(INDEX(fibPY,47)&gt;0,MIN(INDEX(fibPY,47),INDEX(fibMY,47)/J44),0),IF(INDEX(fibPY,48)&gt;0,MIN(INDEX(fibPY,48),INDEX(fibMY,48)/J44),0),IF(INDEX(fibPY,49)&gt;0,MIN(INDEX(fibPY,49),INDEX(fibMY,49)/J44),0),IF(INDEX(fibPY,50)&gt;0,MIN(INDEX(fibPY,50),INDEX(fibMY,50)/J44),0),IF(INDEX(fibPY,51)&gt;0,MIN(INDEX(fibPY,51),INDEX(fibMY,51)/J44),0),IF(INDEX(fibPY,52)&gt;0,MIN(INDEX(fibPY,52),INDEX(fibMY,52)/J44),0),IF(INDEX(fibPY,53)&gt;0,MIN(INDEX(fibPY,53),INDEX(fibMY,53)/J44),0),IF(INDEX(fibPY,54)&gt;0,MIN(INDEX(fibPY,54),INDEX(fibMY,54)/J44),0),IF(INDEX(fibPY,55)&gt;0,MIN(INDEX(fibPY,55),INDEX(fibMY,55)/J44),0),IF(INDEX(fibPY,56)&gt;0,MIN(INDEX(fibPY,56),INDEX(fibMY,56)/J44),0),IF(INDEX(fibPY,57)&gt;0,MIN(INDEX(fibPY,57),INDEX(fibMY,57)/J44),0),IF(INDEX(fibPY,58)&gt;0,MIN(INDEX(fibPY,58),INDEX(fibMY,58)/J44),0),IF(INDEX(fibPY,59)&gt;0,MIN(INDEX(fibPY,59),INDEX(fibMY,59)/J44),0),IF(INDEX(fibPY,60)&gt;0,MIN(INDEX(fibPY,60),INDEX(fibMY,60)/J44),0),IF(INDEX(fibPY,61)&gt;0,MIN(INDEX(fibPY,61),INDEX(fibMY,61)/J44),0),IF(INDEX(fibPY,62)&gt;0,MIN(INDEX(fibPY,62),INDEX(fibMY,62)/J44),0),IF(INDEX(fibPY,63)&gt;0,MIN(INDEX(fibPY,63),INDEX(fibMY,63)/J44),0),IF(INDEX(fibPY,64)&gt;0,MIN(INDEX(fibPY,64),INDEX(fibMY,64)/J44),0),IF(INDEX(fibPY,65)&gt;0,MIN(INDEX(fibPY,65),INDEX(fibMY,65)/J44),0),IF(INDEX(fibPY,66)&gt;0,MIN(INDEX(fibPY,66),INDEX(fibMY,66)/J44),0),IF(INDEX(fibPY,67)&gt;0,MIN(INDEX(fibPY,67),INDEX(fibMY,67)/J44),0),IF(INDEX(fibPY,68)&gt;0,MIN(INDEX(fibPY,68),INDEX(fibMY,68)/J44),0),IF(INDEX(fibPY,69)&gt;0,MIN(INDEX(fibPY,69),INDEX(fibMY,69)/J44),0),IF(INDEX(fibPY,70)&gt;0,MIN(INDEX(fibPY,70),INDEX(fibMY,70)/J44),0),IF(INDEX(fibPY,71)&gt;0,MIN(INDEX(fibPY,71),INDEX(fibMY,71)/J44),0),IF(INDEX(fibPY,72)&gt;0,MIN(INDEX(fibPY,72),INDEX(fibMY,72)/J44),0),IF(INDEX(fibPY,73)&gt;0,MIN(INDEX(fibPY,73),INDEX(fibMY,73)/J44),0),IF(INDEX(fibPY,74)&gt;0,MIN(INDEX(fibPY,74),INDEX(fibMY,74)/J44),0),IF(INDEX(fibPY,75)&gt;0,MIN(INDEX(fibPY,75),INDEX(fibMY,75)/J44),0),IF(INDEX(fibPY,76)&gt;0,MIN(INDEX(fibPY,76),INDEX(fibMY,76)/J44),0),IF(INDEX(fibPY,77)&gt;0,MIN(INDEX(fibPY,77),INDEX(fibMY,77)/J44),0),IF(INDEX(fibPY,78)&gt;0,MIN(INDEX(fibPY,78),INDEX(fibMY,78)/J44),0),IF(INDEX(fibPY,79)&gt;0,MIN(INDEX(fibPY,79),INDEX(fibMY,79)/J44),0),IF(INDEX(fibPY,80)&gt;0,MIN(INDEX(fibPY,80),INDEX(fibMY,80)/J44),0),IF(INDEX(fibPY,81)&gt;0,MIN(INDEX(fibPY,81),INDEX(fibMY,81)/J44),0),IF(INDEX(fibPY,82)&gt;0,MIN(INDEX(fibPY,82),INDEX(fibMY,82)/J44),0),IF(INDEX(fibPY,83)&gt;0,MIN(INDEX(fibPY,83),INDEX(fibMY,83)/J44),0),IF(INDEX(fibPY,84)&gt;0,MIN(INDEX(fibPY,84),INDEX(fibMY,84)/J44),0),IF(INDEX(fibPY,85)&gt;0,MIN(INDEX(fibPY,85),INDEX(fibMY,85)/J44),0),IF(INDEX(fibPY,86)&gt;0,MIN(INDEX(fibPY,86),INDEX(fibMY,86)/J44),0),IF(INDEX(fibPY,87)&gt;0,MIN(INDEX(fibPY,87),INDEX(fibMY,87)/J44),0),IF(INDEX(fibPY,88)&gt;0,MIN(INDEX(fibPY,88),INDEX(fibMY,88)/J44),0),IF(INDEX(fibPY,89)&gt;0,MIN(INDEX(fibPY,89),INDEX(fibMY,89)/J44),0),IF(INDEX(fibPY,90)&gt;0,MIN(INDEX(fibPY,90),INDEX(fibMY,90)/J44),0),IF(INDEX(fibPY,91)&gt;0,MIN(INDEX(fibPY,91),INDEX(fibMY,91)/J44),0),IF(INDEX(fibPY,92)&gt;0,MIN(INDEX(fibPY,92),INDEX(fibMY,92)/J44),0),IF(INDEX(fibPY,93)&gt;0,MIN(INDEX(fibPY,93),INDEX(fibMY,93)/J44),0),IF(INDEX(fibPY,94)&gt;0,MIN(INDEX(fibPY,94),INDEX(fibMY,94)/J44),0),IF(INDEX(fibPY,95)&gt;0,MIN(INDEX(fibPY,95),INDEX(fibMY,95)/J44),0),IF(INDEX(fibPY,96)&gt;0,MIN(INDEX(fibPY,96),INDEX(fibMY,96)/J44),0),IF(INDEX(fibPY,97)&gt;0,MIN(INDEX(fibPY,97),INDEX(fibMY,97)/J44),0),IF(INDEX(fibPY,98)&gt;0,MIN(INDEX(fibPY,98),INDEX(fibMY,98)/J44),0),IF(INDEX(fibPY,99)&gt;0,MIN(INDEX(fibPY,99),INDEX(fibMY,99)/J44),0),IF(INDEX(fibPY,100)&gt;0,MIN(INDEX(fibPY,100),INDEX(fibMY,100)/J44),0),IF(INDEX(fibPY,101)&gt;0,MIN(INDEX(fibPY,101),INDEX(fibMY,101)/J44),0),IF(INDEX(fibPY,102)&gt;0,MIN(INDEX(fibPY,102),INDEX(fibMY,102)/J44),0),IF(INDEX(fibPY,103)&gt;0,MIN(INDEX(fibPY,103),INDEX(fibMY,103)/J44),0),IF(INDEX(fibPY,104)&gt;0,MIN(INDEX(fibPY,104),INDEX(fibMY,104)/J44),0),IF(INDEX(fibPY,105)&gt;0,MIN(INDEX(fibPY,105),INDEX(fibMY,105)/J44),0),IF(INDEX(fibPY,106)&gt;0,MIN(INDEX(fibPY,106),INDEX(fibMY,106)/J44),0),IF(INDEX(fibPY,107)&gt;0,MIN(INDEX(fibPY,107),INDEX(fibMY,107)/J44),0),IF(INDEX(fibPY,108)&gt;0,MIN(INDEX(fibPY,108),INDEX(fibMY,108)/J44),0),IF(INDEX(fibPY,109)&gt;0,MIN(INDEX(fibPY,109),INDEX(fibMY,109)/J44),0),IF(INDEX(fibPY,110)&gt;0,MIN(INDEX(fibPY,110),INDEX(fibMY,110)/J44),0),IF(INDEX(fibPY,111)&gt;0,MIN(INDEX(fibPY,111),INDEX(fibMY,111)/J44),0),IF(INDEX(fibPY,112)&gt;0,MIN(INDEX(fibPY,112),INDEX(fibMY,112)/J44),0),IF(INDEX(fibPY,113)&gt;0,MIN(INDEX(fibPY,113),INDEX(fibMY,113)/J44),0),IF(INDEX(fibPY,114)&gt;0,MIN(INDEX(fibPY,114),INDEX(fibMY,114)/J44),0),IF(INDEX(fibPY,115)&gt;0,MIN(INDEX(fibPY,115),INDEX(fibMY,115)/J44),0),IF(INDEX(fibPY,116)&gt;0,MIN(INDEX(fibPY,116),INDEX(fibMY,116)/J44),0),IF(INDEX(fibPY,117)&gt;0,MIN(INDEX(fibPY,117),INDEX(fibMY,117)/J44),0),IF(INDEX(fibPY,118)&gt;0,MIN(INDEX(fibPY,118),INDEX(fibMY,118)/J44),0),IF(INDEX(fibPY,119)&gt;0,MIN(INDEX(fibPY,119),INDEX(fibMY,119)/J44),0),IF(INDEX(fibPY,120)&gt;0,MIN(INDEX(fibPY,120),INDEX(fibMY,120)/J44),0)))</f>
        <v>125530.05654476941</v>
      </c>
      <c r="G44" s="39">
        <f>IF(OR(E44&lt;=0,F44&lt;=0),999,IF(B44&gt;=0.1*0.75*fc_*Agth*1000,B44/(1/(1/E44+1/F44-1/MAX('FIBER ENGINE'!$R$6:$R$125))),ABS(C44)/$D$7+ABS(D44)/$D$6))</f>
        <v>1.2667043424002453</v>
      </c>
      <c r="H44" s="39" t="str">
        <f t="shared" ref="H44:H73" si="7">IF(G44&lt;=1,"ĐẠT","KHÔNG ĐẠT")</f>
        <v>KHÔNG ĐẠT</v>
      </c>
      <c r="I44" s="39">
        <f t="shared" ref="I44:I73" si="8">IF(B44=0,1E+99,ABS(D44)/B44)</f>
        <v>1.1818017968058931</v>
      </c>
      <c r="J44" s="39">
        <f t="shared" ref="J44:J73" si="9">IF(B44=0,1E+99,ABS(C44)/B44)</f>
        <v>0.57165043850730624</v>
      </c>
    </row>
    <row r="45" spans="1:10" x14ac:dyDescent="0.3">
      <c r="A45" s="37" t="str">
        <f>'TO HOP'!B164</f>
        <v>CĐ I(a) max - 1 nhịp 4 làn</v>
      </c>
      <c r="B45" s="39">
        <f>'TO HOP'!E164</f>
        <v>30847.19779282036</v>
      </c>
      <c r="C45" s="39">
        <f>'TO HOP'!F164</f>
        <v>14033.878305416669</v>
      </c>
      <c r="D45" s="39">
        <f>'TO HOP'!G164</f>
        <v>36441.124324949247</v>
      </c>
      <c r="E45" s="39">
        <f t="shared" si="5"/>
        <v>25349.863031213958</v>
      </c>
      <c r="F45" s="39">
        <f t="shared" si="6"/>
        <v>133548.11471142637</v>
      </c>
      <c r="G45" s="39">
        <f>IF(OR(E45&lt;=0,F45&lt;=0),999,IF(B45&gt;=0.1*0.75*fc_*Agth*1000,B45/(1/(1/E45+1/F45-1/MAX('FIBER ENGINE'!$R$6:$R$125))),ABS(C45)/$D$7+ABS(D45)/$D$6))</f>
        <v>1.2535434126931477</v>
      </c>
      <c r="H45" s="39" t="str">
        <f t="shared" si="7"/>
        <v>KHÔNG ĐẠT</v>
      </c>
      <c r="I45" s="39">
        <f t="shared" si="8"/>
        <v>1.181343101882365</v>
      </c>
      <c r="J45" s="39">
        <f t="shared" si="9"/>
        <v>0.45494823872407086</v>
      </c>
    </row>
    <row r="46" spans="1:10" x14ac:dyDescent="0.3">
      <c r="A46" s="37" t="str">
        <f>'TO HOP'!B165</f>
        <v>CĐ I(a) max - 1 nhịp 5 làn</v>
      </c>
      <c r="B46" s="39">
        <f>'TO HOP'!E165</f>
        <v>31499.936318653694</v>
      </c>
      <c r="C46" s="39">
        <f>'TO HOP'!F165</f>
        <v>12646.808938020835</v>
      </c>
      <c r="D46" s="39">
        <f>'TO HOP'!G165</f>
        <v>37028.588998199251</v>
      </c>
      <c r="E46" s="39">
        <f t="shared" si="5"/>
        <v>25475.585810031025</v>
      </c>
      <c r="F46" s="39">
        <f t="shared" si="6"/>
        <v>133548.11471142637</v>
      </c>
      <c r="G46" s="39">
        <f>IF(OR(E46&lt;=0,F46&lt;=0),999,IF(B46&gt;=0.1*0.75*fc_*Agth*1000,B46/(1/(1/E46+1/F46-1/MAX('FIBER ENGINE'!$R$6:$R$125))),ABS(C46)/$D$7+ABS(D46)/$D$6))</f>
        <v>1.2739365651934351</v>
      </c>
      <c r="H46" s="39" t="str">
        <f t="shared" si="7"/>
        <v>KHÔNG ĐẠT</v>
      </c>
      <c r="I46" s="39">
        <f t="shared" si="8"/>
        <v>1.1755131383002697</v>
      </c>
      <c r="J46" s="39">
        <f t="shared" si="9"/>
        <v>0.40148680969020317</v>
      </c>
    </row>
    <row r="47" spans="1:10" x14ac:dyDescent="0.3">
      <c r="A47" s="37" t="str">
        <f>'TO HOP'!B166</f>
        <v>CĐ I(a) max - 1 nhịp 6 làn</v>
      </c>
      <c r="B47" s="39">
        <f>'TO HOP'!E166</f>
        <v>32152.674844487025</v>
      </c>
      <c r="C47" s="39">
        <f>'TO HOP'!F166</f>
        <v>9301.5239931249998</v>
      </c>
      <c r="D47" s="39">
        <f>'TO HOP'!G166</f>
        <v>37616.053671449248</v>
      </c>
      <c r="E47" s="39">
        <f t="shared" si="5"/>
        <v>25597.381664890414</v>
      </c>
      <c r="F47" s="39">
        <f t="shared" si="6"/>
        <v>144646.46946844854</v>
      </c>
      <c r="G47" s="39">
        <f>IF(OR(E47&lt;=0,F47&lt;=0),999,IF(B47&gt;=0.1*0.75*fc_*Agth*1000,B47/(1/(1/E47+1/F47-1/MAX('FIBER ENGINE'!$R$6:$R$125))),ABS(C47)/$D$7+ABS(D47)/$D$6))</f>
        <v>1.275857028973707</v>
      </c>
      <c r="H47" s="39" t="str">
        <f t="shared" si="7"/>
        <v>KHÔNG ĐẠT</v>
      </c>
      <c r="I47" s="39">
        <f t="shared" si="8"/>
        <v>1.169919885464801</v>
      </c>
      <c r="J47" s="39">
        <f t="shared" si="9"/>
        <v>0.28929238510057775</v>
      </c>
    </row>
    <row r="48" spans="1:10" x14ac:dyDescent="0.3">
      <c r="A48" s="37" t="str">
        <f>'TO HOP'!B167</f>
        <v>CĐ I(b) min - 2 nhịp 1 làn</v>
      </c>
      <c r="B48" s="39">
        <f>'TO HOP'!E167</f>
        <v>21750.765395930655</v>
      </c>
      <c r="C48" s="39">
        <f>'TO HOP'!F167</f>
        <v>19841.1862635</v>
      </c>
      <c r="D48" s="39">
        <f>'TO HOP'!G167</f>
        <v>34091.265631949253</v>
      </c>
      <c r="E48" s="39">
        <f t="shared" si="5"/>
        <v>19106.585685708051</v>
      </c>
      <c r="F48" s="39">
        <f t="shared" si="6"/>
        <v>100121.74189074829</v>
      </c>
      <c r="G48" s="39">
        <f>IF(OR(E48&lt;=0,F48&lt;=0),999,IF(B48&gt;=0.1*0.75*fc_*Agth*1000,B48/(1/(1/E48+1/F48-1/MAX('FIBER ENGINE'!$R$6:$R$125))),ABS(C48)/$D$7+ABS(D48)/$D$6))</f>
        <v>1.21863278039681</v>
      </c>
      <c r="H48" s="39" t="str">
        <f t="shared" si="7"/>
        <v>KHÔNG ĐẠT</v>
      </c>
      <c r="I48" s="39">
        <f t="shared" si="8"/>
        <v>1.5673593554701932</v>
      </c>
      <c r="J48" s="39">
        <f t="shared" si="9"/>
        <v>0.91220634779188425</v>
      </c>
    </row>
    <row r="49" spans="1:10" x14ac:dyDescent="0.3">
      <c r="A49" s="37" t="str">
        <f>'TO HOP'!B168</f>
        <v>CĐ I(b) min - 2 nhịp 2 làn</v>
      </c>
      <c r="B49" s="39">
        <f>'TO HOP'!E168</f>
        <v>23090.254763930658</v>
      </c>
      <c r="C49" s="39">
        <f>'TO HOP'!F168</f>
        <v>28045.5586425</v>
      </c>
      <c r="D49" s="39">
        <f>'TO HOP'!G168</f>
        <v>34091.265631949253</v>
      </c>
      <c r="E49" s="39">
        <f t="shared" si="5"/>
        <v>20283.237077919526</v>
      </c>
      <c r="F49" s="39">
        <f t="shared" si="6"/>
        <v>81927.339788632496</v>
      </c>
      <c r="G49" s="39">
        <f>IF(OR(E49&lt;=0,F49&lt;=0),999,IF(B49&gt;=0.1*0.75*fc_*Agth*1000,B49/(1/(1/E49+1/F49-1/MAX('FIBER ENGINE'!$R$6:$R$125))),ABS(C49)/$D$7+ABS(D49)/$D$6))</f>
        <v>1.274790778774743</v>
      </c>
      <c r="H49" s="39" t="str">
        <f t="shared" si="7"/>
        <v>KHÔNG ĐẠT</v>
      </c>
      <c r="I49" s="39">
        <f t="shared" si="8"/>
        <v>1.4764352312475695</v>
      </c>
      <c r="J49" s="39">
        <f t="shared" si="9"/>
        <v>1.2146058555538346</v>
      </c>
    </row>
    <row r="50" spans="1:10" x14ac:dyDescent="0.3">
      <c r="A50" s="37" t="str">
        <f>'TO HOP'!B169</f>
        <v>CĐ I(b) min - 2 nhịp 3 làn</v>
      </c>
      <c r="B50" s="39">
        <f>'TO HOP'!E169</f>
        <v>24011.153704430657</v>
      </c>
      <c r="C50" s="39">
        <f>'TO HOP'!F169</f>
        <v>29353.653728437501</v>
      </c>
      <c r="D50" s="39">
        <f>'TO HOP'!G169</f>
        <v>34091.265631949253</v>
      </c>
      <c r="E50" s="39">
        <f t="shared" si="5"/>
        <v>21092.184910064909</v>
      </c>
      <c r="F50" s="39">
        <f t="shared" si="6"/>
        <v>81398.253182748871</v>
      </c>
      <c r="G50" s="39">
        <f>IF(OR(E50&lt;=0,F50&lt;=0),999,IF(B50&gt;=0.1*0.75*fc_*Agth*1000,B50/(1/(1/E50+1/F50-1/MAX('FIBER ENGINE'!$R$6:$R$125))),ABS(C50)/$D$7+ABS(D50)/$D$6))</f>
        <v>1.282135757315114</v>
      </c>
      <c r="H50" s="39" t="str">
        <f t="shared" si="7"/>
        <v>KHÔNG ĐẠT</v>
      </c>
      <c r="I50" s="39">
        <f t="shared" si="8"/>
        <v>1.419809562322637</v>
      </c>
      <c r="J50" s="39">
        <f t="shared" si="9"/>
        <v>1.2225007631774487</v>
      </c>
    </row>
    <row r="51" spans="1:10" x14ac:dyDescent="0.3">
      <c r="A51" s="37" t="str">
        <f>'TO HOP'!B170</f>
        <v>CĐ I(b) min - 2 nhịp 4 làn</v>
      </c>
      <c r="B51" s="39">
        <f>'TO HOP'!E170</f>
        <v>24094.871789930658</v>
      </c>
      <c r="C51" s="39">
        <f>'TO HOP'!F170</f>
        <v>23399.204897250002</v>
      </c>
      <c r="D51" s="39">
        <f>'TO HOP'!G170</f>
        <v>34091.265631949253</v>
      </c>
      <c r="E51" s="39">
        <f t="shared" si="5"/>
        <v>21165.725622078131</v>
      </c>
      <c r="F51" s="39">
        <f t="shared" si="6"/>
        <v>97472.558058645955</v>
      </c>
      <c r="G51" s="39">
        <f>IF(OR(E51&lt;=0,F51&lt;=0),999,IF(B51&gt;=0.1*0.75*fc_*Agth*1000,B51/(1/(1/E51+1/F51-1/MAX('FIBER ENGINE'!$R$6:$R$125))),ABS(C51)/$D$7+ABS(D51)/$D$6))</f>
        <v>1.2338212592844109</v>
      </c>
      <c r="H51" s="39" t="str">
        <f t="shared" si="7"/>
        <v>KHÔNG ĐẠT</v>
      </c>
      <c r="I51" s="39">
        <f t="shared" si="8"/>
        <v>1.4148764072775073</v>
      </c>
      <c r="J51" s="39">
        <f t="shared" si="9"/>
        <v>0.97112801019462669</v>
      </c>
    </row>
    <row r="52" spans="1:10" x14ac:dyDescent="0.3">
      <c r="A52" s="37" t="str">
        <f>'TO HOP'!B171</f>
        <v>CĐ I(b) min - 2 nhịp 5 làn</v>
      </c>
      <c r="B52" s="39">
        <f>'TO HOP'!E171</f>
        <v>25183.206901430654</v>
      </c>
      <c r="C52" s="39">
        <f>'TO HOP'!F171</f>
        <v>21086.492785312505</v>
      </c>
      <c r="D52" s="39">
        <f>'TO HOP'!G171</f>
        <v>34091.265631949253</v>
      </c>
      <c r="E52" s="39">
        <f t="shared" si="5"/>
        <v>22121.754878249947</v>
      </c>
      <c r="F52" s="39">
        <f t="shared" si="6"/>
        <v>106972.60143678338</v>
      </c>
      <c r="G52" s="39">
        <f>IF(OR(E52&lt;=0,F52&lt;=0),999,IF(B52&gt;=0.1*0.75*fc_*Agth*1000,B52/(1/(1/E52+1/F52-1/MAX('FIBER ENGINE'!$R$6:$R$125))),ABS(C52)/$D$7+ABS(D52)/$D$6))</f>
        <v>1.2151870598850814</v>
      </c>
      <c r="H52" s="39" t="str">
        <f t="shared" si="7"/>
        <v>KHÔNG ĐẠT</v>
      </c>
      <c r="I52" s="39">
        <f t="shared" si="8"/>
        <v>1.3537301172716225</v>
      </c>
      <c r="J52" s="39">
        <f t="shared" si="9"/>
        <v>0.83732357311945782</v>
      </c>
    </row>
    <row r="53" spans="1:10" x14ac:dyDescent="0.3">
      <c r="A53" s="37" t="str">
        <f>'TO HOP'!B172</f>
        <v>CĐ I(b) min - 2 nhịp 6 làn</v>
      </c>
      <c r="B53" s="39">
        <f>'TO HOP'!E172</f>
        <v>26271.542012930655</v>
      </c>
      <c r="C53" s="39">
        <f>'TO HOP'!F172</f>
        <v>15508.775338875001</v>
      </c>
      <c r="D53" s="39">
        <f>'TO HOP'!G172</f>
        <v>34091.265631949253</v>
      </c>
      <c r="E53" s="39">
        <f t="shared" si="5"/>
        <v>23077.78413442177</v>
      </c>
      <c r="F53" s="39">
        <f t="shared" si="6"/>
        <v>125530.05654476941</v>
      </c>
      <c r="G53" s="39">
        <f>IF(OR(E53&lt;=0,F53&lt;=0),999,IF(B53&gt;=0.1*0.75*fc_*Agth*1000,B53/(1/(1/E53+1/F53-1/MAX('FIBER ENGINE'!$R$6:$R$125))),ABS(C53)/$D$7+ABS(D53)/$D$6))</f>
        <v>1.1821994888312737</v>
      </c>
      <c r="H53" s="39" t="str">
        <f t="shared" si="7"/>
        <v>KHÔNG ĐẠT</v>
      </c>
      <c r="I53" s="39">
        <f t="shared" si="8"/>
        <v>1.2976499672219388</v>
      </c>
      <c r="J53" s="39">
        <f t="shared" si="9"/>
        <v>0.59032603915071669</v>
      </c>
    </row>
    <row r="54" spans="1:10" x14ac:dyDescent="0.3">
      <c r="A54" s="37" t="str">
        <f>'TO HOP'!B173</f>
        <v>CĐ I(b) min - 1 nhịp 1 làn</v>
      </c>
      <c r="B54" s="39">
        <f>'TO HOP'!E173</f>
        <v>20946.587083930655</v>
      </c>
      <c r="C54" s="39">
        <f>'TO HOP'!F173</f>
        <v>11899.9254325</v>
      </c>
      <c r="D54" s="39">
        <f>'TO HOP'!G173</f>
        <v>35175.815797949253</v>
      </c>
      <c r="E54" s="39">
        <f t="shared" si="5"/>
        <v>17832.850144580458</v>
      </c>
      <c r="F54" s="39">
        <f t="shared" si="6"/>
        <v>125530.05654476941</v>
      </c>
      <c r="G54" s="39">
        <f>IF(OR(E54&lt;=0,F54&lt;=0),999,IF(B54&gt;=0.1*0.75*fc_*Agth*1000,B54/(1/(1/E54+1/F54-1/MAX('FIBER ENGINE'!$R$6:$R$125))),ABS(C54)/$D$7+ABS(D54)/$D$6))</f>
        <v>1.2095357796157769</v>
      </c>
      <c r="H54" s="39" t="str">
        <f t="shared" si="7"/>
        <v>KHÔNG ĐẠT</v>
      </c>
      <c r="I54" s="39">
        <f t="shared" si="8"/>
        <v>1.6793101261319399</v>
      </c>
      <c r="J54" s="39">
        <f t="shared" si="9"/>
        <v>0.56810808294536563</v>
      </c>
    </row>
    <row r="55" spans="1:10" x14ac:dyDescent="0.3">
      <c r="A55" s="37" t="str">
        <f>'TO HOP'!B174</f>
        <v>CĐ I(b) min - 1 nhịp 2 làn</v>
      </c>
      <c r="B55" s="39">
        <f>'TO HOP'!E174</f>
        <v>21749.957577263987</v>
      </c>
      <c r="C55" s="39">
        <f>'TO HOP'!F174</f>
        <v>16820.569704166668</v>
      </c>
      <c r="D55" s="39">
        <f>'TO HOP'!G174</f>
        <v>35898.849241949254</v>
      </c>
      <c r="E55" s="39">
        <f t="shared" si="5"/>
        <v>18143.854469757567</v>
      </c>
      <c r="F55" s="39">
        <f t="shared" si="6"/>
        <v>108784.16580804318</v>
      </c>
      <c r="G55" s="39">
        <f>IF(OR(E55&lt;=0,F55&lt;=0),999,IF(B55&gt;=0.1*0.75*fc_*Agth*1000,B55/(1/(1/E55+1/F55-1/MAX('FIBER ENGINE'!$R$6:$R$125))),ABS(C55)/$D$7+ABS(D55)/$D$6))</f>
        <v>1.2616911387878194</v>
      </c>
      <c r="H55" s="39" t="str">
        <f t="shared" si="7"/>
        <v>KHÔNG ĐẠT</v>
      </c>
      <c r="I55" s="39">
        <f t="shared" si="8"/>
        <v>1.6505250235281199</v>
      </c>
      <c r="J55" s="39">
        <f t="shared" si="9"/>
        <v>0.77336103504633102</v>
      </c>
    </row>
    <row r="56" spans="1:10" x14ac:dyDescent="0.3">
      <c r="A56" s="37" t="str">
        <f>'TO HOP'!B175</f>
        <v>CĐ I(b) min - 1 nhịp 3 làn</v>
      </c>
      <c r="B56" s="39">
        <f>'TO HOP'!E175</f>
        <v>22302.274791430656</v>
      </c>
      <c r="C56" s="39">
        <f>'TO HOP'!F175</f>
        <v>17605.111201562504</v>
      </c>
      <c r="D56" s="39">
        <f>'TO HOP'!G175</f>
        <v>36395.934734699251</v>
      </c>
      <c r="E56" s="39">
        <f t="shared" si="5"/>
        <v>18350.502101354221</v>
      </c>
      <c r="F56" s="39">
        <f t="shared" si="6"/>
        <v>108784.16580804318</v>
      </c>
      <c r="G56" s="39">
        <f>IF(OR(E56&lt;=0,F56&lt;=0),999,IF(B56&gt;=0.1*0.75*fc_*Agth*1000,B56/(1/(1/E56+1/F56-1/MAX('FIBER ENGINE'!$R$6:$R$125))),ABS(C56)/$D$7+ABS(D56)/$D$6))</f>
        <v>1.2798883500577933</v>
      </c>
      <c r="H56" s="39" t="str">
        <f t="shared" si="7"/>
        <v>KHÔNG ĐẠT</v>
      </c>
      <c r="I56" s="39">
        <f t="shared" si="8"/>
        <v>1.6319382249152401</v>
      </c>
      <c r="J56" s="39">
        <f t="shared" si="9"/>
        <v>0.78938634584159217</v>
      </c>
    </row>
    <row r="57" spans="1:10" x14ac:dyDescent="0.3">
      <c r="A57" s="37" t="str">
        <f>'TO HOP'!B176</f>
        <v>CĐ I(b) min - 1 nhịp 4 làn</v>
      </c>
      <c r="B57" s="39">
        <f>'TO HOP'!E176</f>
        <v>22352.485447263989</v>
      </c>
      <c r="C57" s="39">
        <f>'TO HOP'!F176</f>
        <v>14033.878305416669</v>
      </c>
      <c r="D57" s="39">
        <f>'TO HOP'!G176</f>
        <v>36441.124324949247</v>
      </c>
      <c r="E57" s="39">
        <f t="shared" si="5"/>
        <v>18369.00869573405</v>
      </c>
      <c r="F57" s="39">
        <f t="shared" si="6"/>
        <v>119340.84239850627</v>
      </c>
      <c r="G57" s="39">
        <f>IF(OR(E57&lt;=0,F57&lt;=0),999,IF(B57&gt;=0.1*0.75*fc_*Agth*1000,B57/(1/(1/E57+1/F57-1/MAX('FIBER ENGINE'!$R$6:$R$125))),ABS(C57)/$D$7+ABS(D57)/$D$6))</f>
        <v>1.2633666445526384</v>
      </c>
      <c r="H57" s="39" t="str">
        <f t="shared" si="7"/>
        <v>KHÔNG ĐẠT</v>
      </c>
      <c r="I57" s="39">
        <f t="shared" si="8"/>
        <v>1.6302940633123082</v>
      </c>
      <c r="J57" s="39">
        <f t="shared" si="9"/>
        <v>0.62784419828956683</v>
      </c>
    </row>
    <row r="58" spans="1:10" x14ac:dyDescent="0.3">
      <c r="A58" s="37" t="str">
        <f>'TO HOP'!B177</f>
        <v>CĐ I(b) min - 1 nhịp 5 làn</v>
      </c>
      <c r="B58" s="39">
        <f>'TO HOP'!E177</f>
        <v>23005.223973097323</v>
      </c>
      <c r="C58" s="39">
        <f>'TO HOP'!F177</f>
        <v>12646.808938020835</v>
      </c>
      <c r="D58" s="39">
        <f>'TO HOP'!G177</f>
        <v>37028.588998199251</v>
      </c>
      <c r="E58" s="39">
        <f t="shared" si="5"/>
        <v>18605.483880250344</v>
      </c>
      <c r="F58" s="39">
        <f t="shared" si="6"/>
        <v>125530.05654476941</v>
      </c>
      <c r="G58" s="39">
        <f>IF(OR(E58&lt;=0,F58&lt;=0),999,IF(B58&gt;=0.1*0.75*fc_*Agth*1000,B58/(1/(1/E58+1/F58-1/MAX('FIBER ENGINE'!$R$6:$R$125))),ABS(C58)/$D$7+ABS(D58)/$D$6))</f>
        <v>1.27483725343654</v>
      </c>
      <c r="H58" s="39" t="str">
        <f t="shared" si="7"/>
        <v>KHÔNG ĐẠT</v>
      </c>
      <c r="I58" s="39">
        <f t="shared" si="8"/>
        <v>1.6095730709468892</v>
      </c>
      <c r="J58" s="39">
        <f t="shared" si="9"/>
        <v>0.5497363969509802</v>
      </c>
    </row>
    <row r="59" spans="1:10" x14ac:dyDescent="0.3">
      <c r="A59" s="37" t="str">
        <f>'TO HOP'!B178</f>
        <v>CĐ I(b) min - 1 nhịp 6 làn</v>
      </c>
      <c r="B59" s="39">
        <f>'TO HOP'!E178</f>
        <v>23657.962498930654</v>
      </c>
      <c r="C59" s="39">
        <f>'TO HOP'!F178</f>
        <v>9301.5239931249998</v>
      </c>
      <c r="D59" s="39">
        <f>'TO HOP'!G178</f>
        <v>37616.053671449248</v>
      </c>
      <c r="E59" s="39">
        <f t="shared" si="5"/>
        <v>18834.572813236005</v>
      </c>
      <c r="F59" s="39">
        <f t="shared" si="6"/>
        <v>133548.11471142637</v>
      </c>
      <c r="G59" s="39">
        <f>IF(OR(E59&lt;=0,F59&lt;=0),999,IF(B59&gt;=0.1*0.75*fc_*Agth*1000,B59/(1/(1/E59+1/F59-1/MAX('FIBER ENGINE'!$R$6:$R$125))),ABS(C59)/$D$7+ABS(D59)/$D$6))</f>
        <v>1.2842274295141169</v>
      </c>
      <c r="H59" s="39" t="str">
        <f t="shared" si="7"/>
        <v>KHÔNG ĐẠT</v>
      </c>
      <c r="I59" s="39">
        <f t="shared" si="8"/>
        <v>1.5899954898123414</v>
      </c>
      <c r="J59" s="39">
        <f t="shared" si="9"/>
        <v>0.39316674010052349</v>
      </c>
    </row>
    <row r="60" spans="1:10" x14ac:dyDescent="0.3">
      <c r="A60" s="37" t="str">
        <f>'TO HOP'!B179</f>
        <v>CĐ III(a) max</v>
      </c>
      <c r="B60" s="39">
        <f>'TO HOP'!E179</f>
        <v>26797.305003982339</v>
      </c>
      <c r="C60" s="39">
        <f>'TO HOP'!F179</f>
        <v>5799.5994698295608</v>
      </c>
      <c r="D60" s="39">
        <f>'TO HOP'!G179</f>
        <v>27584.106352481642</v>
      </c>
      <c r="E60" s="39">
        <f t="shared" si="5"/>
        <v>29092.689215052393</v>
      </c>
      <c r="F60" s="39">
        <f t="shared" si="6"/>
        <v>152196.87463554079</v>
      </c>
      <c r="G60" s="39">
        <f>IF(OR(E60&lt;=0,F60&lt;=0),999,IF(B60&gt;=0.1*0.75*fc_*Agth*1000,B60/(1/(1/E60+1/F60-1/MAX('FIBER ENGINE'!$R$6:$R$125))),ABS(C60)/$D$7+ABS(D60)/$D$6))</f>
        <v>0.9283829883797563</v>
      </c>
      <c r="H60" s="39" t="str">
        <f t="shared" si="7"/>
        <v>ĐẠT</v>
      </c>
      <c r="I60" s="39">
        <f t="shared" si="8"/>
        <v>1.0293612118226954</v>
      </c>
      <c r="J60" s="39">
        <f t="shared" si="9"/>
        <v>0.2164247288661186</v>
      </c>
    </row>
    <row r="61" spans="1:10" x14ac:dyDescent="0.3">
      <c r="A61" s="37" t="str">
        <f>'TO HOP'!B180</f>
        <v>CĐ III(b) min</v>
      </c>
      <c r="B61" s="39">
        <f>'TO HOP'!E180</f>
        <v>18302.592658425969</v>
      </c>
      <c r="C61" s="39">
        <f>'TO HOP'!F180</f>
        <v>5799.5994698295608</v>
      </c>
      <c r="D61" s="39">
        <f>'TO HOP'!G180</f>
        <v>27584.106352481642</v>
      </c>
      <c r="E61" s="39">
        <f t="shared" si="5"/>
        <v>19870.342930460945</v>
      </c>
      <c r="F61" s="39">
        <f t="shared" si="6"/>
        <v>144646.46946844854</v>
      </c>
      <c r="G61" s="39">
        <f>IF(OR(E61&lt;=0,F61&lt;=0),999,IF(B61&gt;=0.1*0.75*fc_*Agth*1000,B61/(1/(1/E61+1/F61-1/MAX('FIBER ENGINE'!$R$6:$R$125))),ABS(C61)/$D$7+ABS(D61)/$D$6))</f>
        <v>4.5566961862756079</v>
      </c>
      <c r="H61" s="39" t="str">
        <f t="shared" si="7"/>
        <v>KHÔNG ĐẠT</v>
      </c>
      <c r="I61" s="39">
        <f t="shared" si="8"/>
        <v>1.5071146950201473</v>
      </c>
      <c r="J61" s="39">
        <f t="shared" si="9"/>
        <v>0.31687311071525148</v>
      </c>
    </row>
    <row r="62" spans="1:10" x14ac:dyDescent="0.3">
      <c r="A62" s="37" t="str">
        <f>'TO HOP'!B181</f>
        <v>CĐ V(a) max - 2 nhịp 1 làn</v>
      </c>
      <c r="B62" s="39">
        <f>'TO HOP'!E181</f>
        <v>29786.224243887027</v>
      </c>
      <c r="C62" s="39">
        <f>'TO HOP'!F181</f>
        <v>17688.855952900001</v>
      </c>
      <c r="D62" s="39">
        <f>'TO HOP'!G181</f>
        <v>32957.245290949249</v>
      </c>
      <c r="E62" s="39">
        <f t="shared" si="5"/>
        <v>27065.510139950653</v>
      </c>
      <c r="F62" s="39">
        <f t="shared" si="6"/>
        <v>125530.05654476941</v>
      </c>
      <c r="G62" s="39">
        <f>IF(OR(E62&lt;=0,F62&lt;=0),999,IF(B62&gt;=0.1*0.75*fc_*Agth*1000,B62/(1/(1/E62+1/F62-1/MAX('FIBER ENGINE'!$R$6:$R$125))),ABS(C62)/$D$7+ABS(D62)/$D$6))</f>
        <v>1.150192590832124</v>
      </c>
      <c r="H62" s="39" t="str">
        <f t="shared" si="7"/>
        <v>KHÔNG ĐẠT</v>
      </c>
      <c r="I62" s="39">
        <f t="shared" si="8"/>
        <v>1.1064593155916029</v>
      </c>
      <c r="J62" s="39">
        <f t="shared" si="9"/>
        <v>0.59386029622503267</v>
      </c>
    </row>
    <row r="63" spans="1:10" x14ac:dyDescent="0.3">
      <c r="A63" s="37" t="str">
        <f>'TO HOP'!B182</f>
        <v>CĐ V(a) max - 2 nhịp 2 làn</v>
      </c>
      <c r="B63" s="39">
        <f>'TO HOP'!E182</f>
        <v>30819.544613487025</v>
      </c>
      <c r="C63" s="39">
        <f>'TO HOP'!F182</f>
        <v>24017.943216700001</v>
      </c>
      <c r="D63" s="39">
        <f>'TO HOP'!G182</f>
        <v>32957.245290949249</v>
      </c>
      <c r="E63" s="39">
        <f t="shared" si="5"/>
        <v>28004.445626108019</v>
      </c>
      <c r="F63" s="39">
        <f t="shared" si="6"/>
        <v>108784.16580804318</v>
      </c>
      <c r="G63" s="39">
        <f>IF(OR(E63&lt;=0,F63&lt;=0),999,IF(B63&gt;=0.1*0.75*fc_*Agth*1000,B63/(1/(1/E63+1/F63-1/MAX('FIBER ENGINE'!$R$6:$R$125))),ABS(C63)/$D$7+ABS(D63)/$D$6))</f>
        <v>1.1897095228481696</v>
      </c>
      <c r="H63" s="39" t="str">
        <f t="shared" si="7"/>
        <v>KHÔNG ĐẠT</v>
      </c>
      <c r="I63" s="39">
        <f t="shared" si="8"/>
        <v>1.0693618515221908</v>
      </c>
      <c r="J63" s="39">
        <f t="shared" si="9"/>
        <v>0.77930882879396746</v>
      </c>
    </row>
    <row r="64" spans="1:10" x14ac:dyDescent="0.3">
      <c r="A64" s="37" t="str">
        <f>'TO HOP'!B183</f>
        <v>CĐ V(a) max - 2 nhịp 3 làn</v>
      </c>
      <c r="B64" s="39">
        <f>'TO HOP'!E183</f>
        <v>31529.952367587026</v>
      </c>
      <c r="C64" s="39">
        <f>'TO HOP'!F183</f>
        <v>25027.045140137503</v>
      </c>
      <c r="D64" s="39">
        <f>'TO HOP'!G183</f>
        <v>32957.245290949249</v>
      </c>
      <c r="E64" s="39">
        <f t="shared" si="5"/>
        <v>28649.963772841209</v>
      </c>
      <c r="F64" s="39">
        <f t="shared" si="6"/>
        <v>108784.16580804318</v>
      </c>
      <c r="G64" s="39">
        <f>IF(OR(E64&lt;=0,F64&lt;=0),999,IF(B64&gt;=0.1*0.75*fc_*Agth*1000,B64/(1/(1/E64+1/F64-1/MAX('FIBER ENGINE'!$R$6:$R$125))),ABS(C64)/$D$7+ABS(D64)/$D$6))</f>
        <v>1.1917653154536871</v>
      </c>
      <c r="H64" s="39" t="str">
        <f t="shared" si="7"/>
        <v>KHÔNG ĐẠT</v>
      </c>
      <c r="I64" s="39">
        <f t="shared" si="8"/>
        <v>1.0452678426761433</v>
      </c>
      <c r="J64" s="39">
        <f t="shared" si="9"/>
        <v>0.79375461302204342</v>
      </c>
    </row>
    <row r="65" spans="1:10" x14ac:dyDescent="0.3">
      <c r="A65" s="37" t="str">
        <f>'TO HOP'!B184</f>
        <v>CĐ V(a) max - 2 nhịp 4 làn</v>
      </c>
      <c r="B65" s="39">
        <f>'TO HOP'!E184</f>
        <v>31594.534890687028</v>
      </c>
      <c r="C65" s="39">
        <f>'TO HOP'!F184</f>
        <v>20433.613184650003</v>
      </c>
      <c r="D65" s="39">
        <f>'TO HOP'!G184</f>
        <v>32957.245290949249</v>
      </c>
      <c r="E65" s="39">
        <f t="shared" si="5"/>
        <v>28708.647240726044</v>
      </c>
      <c r="F65" s="39">
        <f t="shared" si="6"/>
        <v>117258.13908114245</v>
      </c>
      <c r="G65" s="39">
        <f>IF(OR(E65&lt;=0,F65&lt;=0),999,IF(B65&gt;=0.1*0.75*fc_*Agth*1000,B65/(1/(1/E65+1/F65-1/MAX('FIBER ENGINE'!$R$6:$R$125))),ABS(C65)/$D$7+ABS(D65)/$D$6))</f>
        <v>1.1709632721205818</v>
      </c>
      <c r="H65" s="39" t="str">
        <f t="shared" si="7"/>
        <v>KHÔNG ĐẠT</v>
      </c>
      <c r="I65" s="39">
        <f t="shared" si="8"/>
        <v>1.0431312062347815</v>
      </c>
      <c r="J65" s="39">
        <f t="shared" si="9"/>
        <v>0.64674518094181921</v>
      </c>
    </row>
    <row r="66" spans="1:10" x14ac:dyDescent="0.3">
      <c r="A66" s="37" t="str">
        <f>'TO HOP'!B185</f>
        <v>CĐ V(a) max - 2 nhịp 5 làn</v>
      </c>
      <c r="B66" s="39">
        <f>'TO HOP'!E185</f>
        <v>32434.107690987028</v>
      </c>
      <c r="C66" s="39">
        <f>'TO HOP'!F185</f>
        <v>18649.520984012503</v>
      </c>
      <c r="D66" s="39">
        <f>'TO HOP'!G185</f>
        <v>32957.245290949249</v>
      </c>
      <c r="E66" s="39">
        <f t="shared" si="5"/>
        <v>29471.532323228905</v>
      </c>
      <c r="F66" s="39">
        <f t="shared" si="6"/>
        <v>125530.05654476941</v>
      </c>
      <c r="G66" s="39">
        <f>IF(OR(E66&lt;=0,F66&lt;=0),999,IF(B66&gt;=0.1*0.75*fc_*Agth*1000,B66/(1/(1/E66+1/F66-1/MAX('FIBER ENGINE'!$R$6:$R$125))),ABS(C66)/$D$7+ABS(D66)/$D$6))</f>
        <v>1.1546080051681713</v>
      </c>
      <c r="H66" s="39" t="str">
        <f t="shared" si="7"/>
        <v>KHÔNG ĐẠT</v>
      </c>
      <c r="I66" s="39">
        <f t="shared" si="8"/>
        <v>1.0161292428620625</v>
      </c>
      <c r="J66" s="39">
        <f t="shared" si="9"/>
        <v>0.57499719621375422</v>
      </c>
    </row>
    <row r="67" spans="1:10" x14ac:dyDescent="0.3">
      <c r="A67" s="37" t="str">
        <f>'TO HOP'!B186</f>
        <v>CĐ V(a) max - 2 nhịp 6 làn</v>
      </c>
      <c r="B67" s="39">
        <f>'TO HOP'!E186</f>
        <v>33273.680491287028</v>
      </c>
      <c r="C67" s="39">
        <f>'TO HOP'!F186</f>
        <v>14346.710382475001</v>
      </c>
      <c r="D67" s="39">
        <f>'TO HOP'!G186</f>
        <v>32957.245290949249</v>
      </c>
      <c r="E67" s="39">
        <f t="shared" si="5"/>
        <v>30234.417405731765</v>
      </c>
      <c r="F67" s="39">
        <f t="shared" si="6"/>
        <v>133548.11471142637</v>
      </c>
      <c r="G67" s="39">
        <f>IF(OR(E67&lt;=0,F67&lt;=0),999,IF(B67&gt;=0.1*0.75*fc_*Agth*1000,B67/(1/(1/E67+1/F67-1/MAX('FIBER ENGINE'!$R$6:$R$125))),ABS(C67)/$D$7+ABS(D67)/$D$6))</f>
        <v>1.1400938238683946</v>
      </c>
      <c r="H67" s="39" t="str">
        <f t="shared" si="7"/>
        <v>KHÔNG ĐẠT</v>
      </c>
      <c r="I67" s="39">
        <f t="shared" si="8"/>
        <v>0.99048992489963228</v>
      </c>
      <c r="J67" s="39">
        <f t="shared" si="9"/>
        <v>0.43117293219882297</v>
      </c>
    </row>
    <row r="68" spans="1:10" x14ac:dyDescent="0.3">
      <c r="A68" s="37" t="str">
        <f>'TO HOP'!B187</f>
        <v>ĐB I - dọc chủ đạo</v>
      </c>
      <c r="B68" s="39">
        <f>'TO HOP'!E187</f>
        <v>24180.961535589624</v>
      </c>
      <c r="C68" s="39">
        <f>'TO HOP'!F187</f>
        <v>10696.347874891002</v>
      </c>
      <c r="D68" s="39">
        <f>'TO HOP'!G187</f>
        <v>32489.978043587224</v>
      </c>
      <c r="E68" s="39">
        <f t="shared" si="5"/>
        <v>22288.242032288854</v>
      </c>
      <c r="F68" s="39">
        <f t="shared" si="6"/>
        <v>133548.11471142637</v>
      </c>
      <c r="G68" s="39">
        <f>IF(OR(E68&lt;=0,F68&lt;=0),999,IF(B68&gt;=0.1*0.75*fc_*Agth*1000,B68/(1/(1/E68+1/F68-1/MAX('FIBER ENGINE'!$R$6:$R$125))),ABS(C68)/$D$7+ABS(D68)/$D$6))</f>
        <v>1.1136771597921806</v>
      </c>
      <c r="H68" s="39" t="str">
        <f t="shared" si="7"/>
        <v>KHÔNG ĐẠT</v>
      </c>
      <c r="I68" s="39">
        <f t="shared" si="8"/>
        <v>1.3436181185668883</v>
      </c>
      <c r="J68" s="39">
        <f t="shared" si="9"/>
        <v>0.44234584547632977</v>
      </c>
    </row>
    <row r="69" spans="1:10" x14ac:dyDescent="0.3">
      <c r="A69" s="37" t="str">
        <f>'TO HOP'!B188</f>
        <v>ĐB I - ngang chủ đạo</v>
      </c>
      <c r="B69" s="39">
        <f>'TO HOP'!E188</f>
        <v>24180.961535589624</v>
      </c>
      <c r="C69" s="39">
        <f>'TO HOP'!F188</f>
        <v>25315.309357053342</v>
      </c>
      <c r="D69" s="39">
        <f>'TO HOP'!G188</f>
        <v>20196.898290026169</v>
      </c>
      <c r="E69" s="39">
        <f t="shared" si="5"/>
        <v>35854.242758494605</v>
      </c>
      <c r="F69" s="39">
        <f t="shared" si="6"/>
        <v>91279.173611963226</v>
      </c>
      <c r="G69" s="39">
        <f>IF(OR(E69&lt;=0,F69&lt;=0),999,IF(B69&gt;=0.1*0.75*fc_*Agth*1000,B69/(1/(1/E69+1/F69-1/MAX('FIBER ENGINE'!$R$6:$R$125))),ABS(C69)/$D$7+ABS(D69)/$D$6))</f>
        <v>0.78702766587873463</v>
      </c>
      <c r="H69" s="39" t="str">
        <f t="shared" si="7"/>
        <v>ĐẠT</v>
      </c>
      <c r="I69" s="39">
        <f t="shared" si="8"/>
        <v>0.83523966821171702</v>
      </c>
      <c r="J69" s="39">
        <f t="shared" si="9"/>
        <v>1.0469107822612504</v>
      </c>
    </row>
    <row r="70" spans="1:10" x14ac:dyDescent="0.3">
      <c r="A70" s="37" t="str">
        <f>'TO HOP'!B189</f>
        <v>ĐB II - va xe dọc</v>
      </c>
      <c r="B70" s="39">
        <f>'TO HOP'!E189</f>
        <v>30101.961023487027</v>
      </c>
      <c r="C70" s="39">
        <f>'TO HOP'!F189</f>
        <v>4431.0786682500002</v>
      </c>
      <c r="D70" s="39">
        <f>'TO HOP'!G189</f>
        <v>18465.557413500006</v>
      </c>
      <c r="E70" s="39">
        <f t="shared" si="5"/>
        <v>48818.455338781067</v>
      </c>
      <c r="F70" s="39">
        <f t="shared" si="6"/>
        <v>152196.87463554079</v>
      </c>
      <c r="G70" s="39">
        <f>IF(OR(E70&lt;=0,F70&lt;=0),999,IF(B70&gt;=0.1*0.75*fc_*Agth*1000,B70/(1/(1/E70+1/F70-1/MAX('FIBER ENGINE'!$R$6:$R$125))),ABS(C70)/$D$7+ABS(D70)/$D$6))</f>
        <v>0.62479028332946718</v>
      </c>
      <c r="H70" s="39" t="str">
        <f t="shared" si="7"/>
        <v>ĐẠT</v>
      </c>
      <c r="I70" s="39">
        <f t="shared" si="8"/>
        <v>0.61343370284388687</v>
      </c>
      <c r="J70" s="39">
        <f t="shared" si="9"/>
        <v>0.14720232561568514</v>
      </c>
    </row>
    <row r="71" spans="1:10" x14ac:dyDescent="0.3">
      <c r="A71" s="37" t="str">
        <f>'TO HOP'!B190</f>
        <v>ĐB II - va xe ngang</v>
      </c>
      <c r="B71" s="39">
        <f>'TO HOP'!E190</f>
        <v>30101.961023487027</v>
      </c>
      <c r="C71" s="39">
        <f>'TO HOP'!F190</f>
        <v>10191.07866825</v>
      </c>
      <c r="D71" s="39">
        <f>'TO HOP'!G190</f>
        <v>12705.557413500004</v>
      </c>
      <c r="E71" s="39">
        <f t="shared" si="5"/>
        <v>70950.054417826774</v>
      </c>
      <c r="F71" s="39">
        <f t="shared" si="6"/>
        <v>142604.02171466002</v>
      </c>
      <c r="G71" s="39">
        <f>IF(OR(E71&lt;=0,F71&lt;=0),999,IF(B71&gt;=0.1*0.75*fc_*Agth*1000,B71/(1/(1/E71+1/F71-1/MAX('FIBER ENGINE'!$R$6:$R$125))),ABS(C71)/$D$7+ABS(D71)/$D$6))</f>
        <v>0.44575444911516282</v>
      </c>
      <c r="H71" s="39" t="str">
        <f t="shared" si="7"/>
        <v>ĐẠT</v>
      </c>
      <c r="I71" s="39">
        <f t="shared" si="8"/>
        <v>0.42208404308232628</v>
      </c>
      <c r="J71" s="39">
        <f t="shared" si="9"/>
        <v>0.33855198537724573</v>
      </c>
    </row>
    <row r="72" spans="1:10" x14ac:dyDescent="0.3">
      <c r="A72" s="37" t="str">
        <f>'TO HOP'!B191</f>
        <v>ĐB II - va tàu ngang</v>
      </c>
      <c r="B72" s="39">
        <f>'TO HOP'!E191</f>
        <v>30101.961023487027</v>
      </c>
      <c r="C72" s="39">
        <f>'TO HOP'!F191</f>
        <v>4431.0786682500002</v>
      </c>
      <c r="D72" s="39">
        <f>'TO HOP'!G191</f>
        <v>12705.557413500004</v>
      </c>
      <c r="E72" s="39">
        <f t="shared" si="5"/>
        <v>70950.054417826774</v>
      </c>
      <c r="F72" s="39">
        <f t="shared" si="6"/>
        <v>152196.87463554079</v>
      </c>
      <c r="G72" s="39">
        <f>IF(OR(E72&lt;=0,F72&lt;=0),999,IF(B72&gt;=0.1*0.75*fc_*Agth*1000,B72/(1/(1/E72+1/F72-1/MAX('FIBER ENGINE'!$R$6:$R$125))),ABS(C72)/$D$7+ABS(D72)/$D$6))</f>
        <v>0.43244974970782052</v>
      </c>
      <c r="H72" s="39" t="str">
        <f t="shared" si="7"/>
        <v>ĐẠT</v>
      </c>
      <c r="I72" s="39">
        <f t="shared" si="8"/>
        <v>0.42208404308232628</v>
      </c>
      <c r="J72" s="39">
        <f t="shared" si="9"/>
        <v>0.14720232561568514</v>
      </c>
    </row>
    <row r="73" spans="1:10" x14ac:dyDescent="0.3">
      <c r="A73" s="37" t="str">
        <f>'TO HOP'!B192</f>
        <v>ĐB II - va tàu dọc</v>
      </c>
      <c r="B73" s="39">
        <f>'TO HOP'!E192</f>
        <v>30101.961023487027</v>
      </c>
      <c r="C73" s="39">
        <f>'TO HOP'!F192</f>
        <v>4431.0786682500002</v>
      </c>
      <c r="D73" s="39">
        <f>'TO HOP'!G192</f>
        <v>12705.557413500004</v>
      </c>
      <c r="E73" s="39">
        <f t="shared" si="5"/>
        <v>70950.054417826774</v>
      </c>
      <c r="F73" s="39">
        <f t="shared" si="6"/>
        <v>152196.87463554079</v>
      </c>
      <c r="G73" s="39">
        <f>IF(OR(E73&lt;=0,F73&lt;=0),999,IF(B73&gt;=0.1*0.75*fc_*Agth*1000,B73/(1/(1/E73+1/F73-1/MAX('FIBER ENGINE'!$R$6:$R$125))),ABS(C73)/$D$7+ABS(D73)/$D$6))</f>
        <v>0.43244974970782052</v>
      </c>
      <c r="H73" s="39" t="str">
        <f t="shared" si="7"/>
        <v>ĐẠT</v>
      </c>
      <c r="I73" s="39">
        <f t="shared" si="8"/>
        <v>0.42208404308232628</v>
      </c>
      <c r="J73" s="39">
        <f t="shared" si="9"/>
        <v>0.14720232561568514</v>
      </c>
    </row>
  </sheetData>
  <mergeCells count="3">
    <mergeCell ref="A1:J1"/>
    <mergeCell ref="A2:J2"/>
    <mergeCell ref="A4:J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T756"/>
  <sheetViews>
    <sheetView showGridLines="0" topLeftCell="A54" workbookViewId="0">
      <selection activeCell="A10" sqref="A10"/>
    </sheetView>
  </sheetViews>
  <sheetFormatPr defaultRowHeight="14.4" outlineLevelRow="1" outlineLevelCol="1" x14ac:dyDescent="0.3"/>
  <cols>
    <col min="1" max="1" width="42" customWidth="1"/>
    <col min="2" max="18" width="14" customWidth="1"/>
    <col min="19" max="19" width="0" hidden="1" customWidth="1" outlineLevel="1"/>
    <col min="20" max="20" width="8.88671875" collapsed="1"/>
  </cols>
  <sheetData>
    <row r="1" spans="1:19" ht="28.05" customHeight="1" x14ac:dyDescent="0.3">
      <c r="A1" s="150" t="s">
        <v>1357</v>
      </c>
      <c r="B1" s="150"/>
      <c r="C1" s="150"/>
      <c r="D1" s="150"/>
      <c r="E1" s="150"/>
      <c r="F1" s="150"/>
      <c r="G1" s="150"/>
      <c r="H1" s="150"/>
      <c r="I1" s="150"/>
      <c r="J1" s="150"/>
      <c r="K1" s="150"/>
      <c r="L1" s="150"/>
      <c r="M1" s="150"/>
      <c r="N1" s="150"/>
      <c r="O1" s="150"/>
      <c r="P1" s="150"/>
      <c r="Q1" s="150"/>
      <c r="R1" s="150"/>
    </row>
    <row r="2" spans="1:19" ht="34.049999999999997" customHeight="1" x14ac:dyDescent="0.3">
      <c r="A2" s="147" t="s">
        <v>1809</v>
      </c>
      <c r="B2" s="147"/>
      <c r="C2" s="147"/>
      <c r="D2" s="147"/>
      <c r="E2" s="147"/>
      <c r="F2" s="147"/>
      <c r="G2" s="147"/>
      <c r="H2" s="147"/>
      <c r="I2" s="147"/>
      <c r="J2" s="147"/>
      <c r="K2" s="147"/>
      <c r="L2" s="147"/>
      <c r="M2" s="147"/>
      <c r="N2" s="147"/>
      <c r="O2" s="147"/>
      <c r="P2" s="147"/>
      <c r="Q2" s="147"/>
      <c r="R2" s="147"/>
    </row>
    <row r="4" spans="1:19" ht="22.05" customHeight="1" x14ac:dyDescent="0.3">
      <c r="A4" s="151" t="s">
        <v>1358</v>
      </c>
      <c r="B4" s="151"/>
      <c r="C4" s="151"/>
      <c r="D4" s="151"/>
      <c r="E4" s="151"/>
      <c r="F4" s="151"/>
      <c r="G4" s="151"/>
      <c r="H4" s="151"/>
      <c r="I4" s="151"/>
      <c r="J4" s="151"/>
      <c r="K4" s="151"/>
      <c r="L4" s="151"/>
      <c r="M4" s="151"/>
      <c r="N4" s="151"/>
      <c r="O4" s="151"/>
      <c r="P4" s="151"/>
      <c r="Q4" s="151"/>
      <c r="R4" s="151"/>
    </row>
    <row r="5" spans="1:19" x14ac:dyDescent="0.3">
      <c r="A5" s="37" t="s">
        <v>1343</v>
      </c>
      <c r="B5" s="38" t="str">
        <f>IF(nThan=1,"KHÔNG ÁP DỤNG — SƠ ĐỒ 1 THÂN",IF(sThan&lt;=0,"BLOCKED — sThan ≤ 0",IF(MAX(O12:O135,O140:O445,O450:O755)&gt;1,"KHÔNG ĐẠT — thân 2 cột (nén-uốn &amp;/hoặc kéo-uốn) vượt",IF(MIN(H12:H135,H140:H445,H450:H755)&lt;0,"ĐẠT — có KÉO DỌC ≥1 tổ hợp, đã kiểm kéo-uốn tuyến tính (thiên an toàn)","ĐẠT — thân 2 cột nén-uốn 2 phương"))))</f>
        <v>KHÔNG ÁP DỤNG — SƠ ĐỒ 1 THÂN</v>
      </c>
      <c r="C5" s="37"/>
      <c r="D5" s="37"/>
    </row>
    <row r="6" spans="1:19" x14ac:dyDescent="0.3">
      <c r="A6" s="37" t="s">
        <v>1816</v>
      </c>
      <c r="B6" s="38">
        <f>sThan</f>
        <v>4</v>
      </c>
      <c r="C6" s="37" t="s">
        <v>44</v>
      </c>
      <c r="D6" s="37" t="s">
        <v>1214</v>
      </c>
    </row>
    <row r="7" spans="1:19" x14ac:dyDescent="0.3">
      <c r="A7" s="37" t="s">
        <v>1359</v>
      </c>
      <c r="B7" s="38">
        <f>IF(nThan=2,(Agth*sThan^2/2)/(Agth*sThan^2/2+4*Ithan),0)</f>
        <v>0</v>
      </c>
      <c r="C7" s="37" t="s">
        <v>395</v>
      </c>
      <c r="D7" s="37" t="s">
        <v>1360</v>
      </c>
    </row>
    <row r="8" spans="1:19" x14ac:dyDescent="0.3">
      <c r="A8" s="37" t="s">
        <v>1845</v>
      </c>
      <c r="B8" s="38">
        <f>IF(nThan=2,MAX(O12:O135,O140:O445,O450:O755),0)</f>
        <v>0</v>
      </c>
      <c r="C8" s="37" t="s">
        <v>395</v>
      </c>
      <c r="D8" s="37" t="s">
        <v>1846</v>
      </c>
    </row>
    <row r="9" spans="1:19" x14ac:dyDescent="0.3">
      <c r="A9" s="37" t="s">
        <v>1361</v>
      </c>
      <c r="B9" s="38" t="str">
        <f>IF(nThan=2,IFERROR(INDEX(A12:A135,MATCH(B8,O12:O135,0))&amp;" / thân "&amp;INDEX(G12:G135,MATCH(B8,O12:O135,0)),IFERROR(INDEX(A140:A445,MATCH(B8,O140:O445,0))&amp;" / thân "&amp;INDEX(G140:G445,MATCH(B8,O140:O445,0)),INDEX(A450:A755,MATCH(B8,O450:O755,0))&amp;" / thân "&amp;INDEX(G450:G755,MATCH(B8,O450:O755,0)))),"—")</f>
        <v>—</v>
      </c>
      <c r="C9" s="37"/>
      <c r="D9" s="37"/>
    </row>
    <row r="10" spans="1:19" x14ac:dyDescent="0.3">
      <c r="A10" t="s">
        <v>1905</v>
      </c>
      <c r="B10">
        <f>IF(nThan=2,MAX(S12:S135,S140:S445,S450:S755),0)</f>
        <v>0</v>
      </c>
      <c r="C10">
        <f>IF(nThan=2,SUMPRODUCT((H12:H135&lt;0)*(A12:A135&lt;&gt;""))+SUMPRODUCT((H140:H445&lt;0)*(A140:A445&lt;&gt;""))+SUMPRODUCT((H450:H755&lt;0)*(A450:A755&lt;&gt;"")),0)</f>
        <v>0</v>
      </c>
    </row>
    <row r="11" spans="1:19" ht="28.8" x14ac:dyDescent="0.3">
      <c r="A11" s="36" t="s">
        <v>560</v>
      </c>
      <c r="B11" s="36" t="s">
        <v>1362</v>
      </c>
      <c r="C11" s="36" t="s">
        <v>1363</v>
      </c>
      <c r="D11" s="36" t="s">
        <v>1364</v>
      </c>
      <c r="E11" s="36" t="s">
        <v>635</v>
      </c>
      <c r="F11" s="36" t="s">
        <v>636</v>
      </c>
      <c r="G11" s="36" t="s">
        <v>1365</v>
      </c>
      <c r="H11" s="36" t="s">
        <v>1366</v>
      </c>
      <c r="I11" s="36" t="s">
        <v>1367</v>
      </c>
      <c r="J11" s="36" t="s">
        <v>1368</v>
      </c>
      <c r="K11" s="36" t="s">
        <v>1369</v>
      </c>
      <c r="L11" s="36" t="s">
        <v>1370</v>
      </c>
      <c r="M11" s="36" t="s">
        <v>1810</v>
      </c>
      <c r="N11" s="36" t="s">
        <v>1811</v>
      </c>
      <c r="O11" s="36" t="s">
        <v>776</v>
      </c>
      <c r="P11" s="36" t="s">
        <v>1343</v>
      </c>
      <c r="Q11" s="36" t="s">
        <v>1812</v>
      </c>
      <c r="R11" s="36" t="s">
        <v>1813</v>
      </c>
      <c r="S11" t="s">
        <v>1904</v>
      </c>
    </row>
    <row r="12" spans="1:19" x14ac:dyDescent="0.3">
      <c r="A12" s="37" t="str">
        <f>IF(AND(nThan=1,1=2),"",'TO HOP'!B131)</f>
        <v>SD I - 2 nhịp lệch tâm 1 làn</v>
      </c>
      <c r="B12" s="39">
        <f>IF(A12="","",'TO HOP'!E131)</f>
        <v>23463.377945589622</v>
      </c>
      <c r="C12" s="39">
        <f>IF(A12="","",'TO HOP'!F131)</f>
        <v>13320.539495650002</v>
      </c>
      <c r="D12" s="39">
        <f>IF(A12="","",'TO HOP'!G131)</f>
        <v>44919.487419648496</v>
      </c>
      <c r="E12" s="39">
        <f>IF(A12="","",'TO HOP'!C131)</f>
        <v>3611.4273926220267</v>
      </c>
      <c r="F12" s="39">
        <f>IF(A12="","",'TO HOP'!D131)</f>
        <v>165.63581000000002</v>
      </c>
      <c r="G12" s="39">
        <f>IF(A12="","",1)</f>
        <v>1</v>
      </c>
      <c r="H12" s="39">
        <f>IF(A12="","",IF(nThan=1,B12,B12/2+(1)*$B$7*C12/sThan))</f>
        <v>23463.377945589622</v>
      </c>
      <c r="I12" s="39">
        <f t="shared" ref="I12:I43" si="0">IF(A12="","",IF(nThan=1,C12,(1-$B$7)*C12/2))</f>
        <v>13320.539495650002</v>
      </c>
      <c r="J12" s="39">
        <f t="shared" ref="J12:J43" si="1">IF(A12="","",IF(nThan=1,D12,D12/2))</f>
        <v>44919.487419648496</v>
      </c>
      <c r="K12" s="39">
        <f t="shared" ref="K12:K43" si="2">IF(A12="","",IF(nThan=1,E12,E12/2))</f>
        <v>3611.4273926220267</v>
      </c>
      <c r="L12" s="39">
        <f t="shared" ref="L12:L43" si="3">IF(A12="","",IF(nThan=1,F12,F12/2))</f>
        <v>165.63581000000002</v>
      </c>
      <c r="M12" s="39">
        <f>IF($A12="","",IF(H12=0,"",IF(Q12&lt;=0.000000001,MIN(0.8*0.75*'KT THAN'!$C$62,MAX('KT THAN'!$J$38:$J$58)),IFERROR(MIN(0.8*0.75*'KT THAN'!$C$62,INDEX('KT THAN'!$J$38:$J$58,MATCH(Q12,'KT THAN'!$L$38:$L$58,-1))+(INDEX('KT THAN'!$J$38:$J$58,MIN(21,MATCH(Q12,'KT THAN'!$L$38:$L$58,-1)+1))-INDEX('KT THAN'!$J$38:$J$58,MATCH(Q12,'KT THAN'!$L$38:$L$58,-1)))*(Q12-INDEX('KT THAN'!$L$38:$L$58,MATCH(Q12,'KT THAN'!$L$38:$L$58,-1)))/(INDEX('KT THAN'!$L$38:$L$58,MIN(21,MATCH(Q12,'KT THAN'!$L$38:$L$58,-1)+1))-INDEX('KT THAN'!$L$38:$L$58,MATCH(Q12,'KT THAN'!$L$38:$L$58,-1)))),MIN(0.8*0.75*'KT THAN'!$C$62,'KT THAN'!$C$68/Q12)))))</f>
        <v>23471.971256040313</v>
      </c>
      <c r="N12" s="39">
        <f>IF($A12="","",IF(H12=0,"",IF(R12&lt;=0.000000001,MIN(0.8*0.75*'KT THAN'!$C$62,MAX('KT THAN'!$W$38:$W$58)),IFERROR(MIN(0.8*0.75*'KT THAN'!$C$62,INDEX('KT THAN'!$W$38:$W$58,MATCH(R12,'KT THAN'!$Y$38:$Y$58,-1))+(INDEX('KT THAN'!$W$38:$W$58,MIN(21,MATCH(R12,'KT THAN'!$Y$38:$Y$58,-1)+1))-INDEX('KT THAN'!$W$38:$W$58,MATCH(R12,'KT THAN'!$Y$38:$Y$58,-1)))*(R12-INDEX('KT THAN'!$Y$38:$Y$58,MATCH(R12,'KT THAN'!$Y$38:$Y$58,-1)))/(INDEX('KT THAN'!$Y$38:$Y$58,MIN(21,MATCH(R12,'KT THAN'!$Y$38:$Y$58,-1)+1))-INDEX('KT THAN'!$Y$38:$Y$58,MATCH(R12,'KT THAN'!$Y$38:$Y$58,-1)))),MIN(0.8*0.75*'KT THAN'!$C$62,'KT THAN'!$D$68/R12)))))</f>
        <v>153583.38586865496</v>
      </c>
      <c r="O12" s="39">
        <f>IF($A12="","",IF(H12&lt;0,ABS(H12)/MAX('KT THAN'!$C$69,0.001)+'KT THAN'!$C$32*ABS(J12)/MAX('KT THAN'!$C$68,0.001)+'KT THAN'!$D$32*ABS(I12)/MAX('KT THAN'!$D$68,0.001),IF(OR(M12&lt;=0,N12&lt;=0),999,IF(H12&gt;=0.1*0.75*fc_*Agth*1000,H12/MAX(0.001,1/(1/M12+1/N12-1/(0.75*'KT THAN'!$C$62))),'KT THAN'!$C$32*ABS(J12)/MAX('KT THAN'!$C$68,0.001)+'KT THAN'!$D$32*ABS(I12)/MAX('KT THAN'!$D$68,0.001)))))</f>
        <v>1.0341758776660179</v>
      </c>
      <c r="P12" s="37" t="str">
        <f t="shared" ref="P12:P43" si="4">IF(A12="","",IF(O12&lt;=1,"ĐẠT","KHÔNG ĐẠT"))</f>
        <v>KHÔNG ĐẠT</v>
      </c>
      <c r="Q12" s="39">
        <f>IF($A12="","",MAX(0.001,'KT THAN'!$C$32*ABS(J12)/MAX(1,H12)))</f>
        <v>2.1408113067549306</v>
      </c>
      <c r="R12" s="39">
        <f>IF($A12="","",MAX(0.001,'KT THAN'!$D$32*ABS(I12)/MAX(1,H12)))</f>
        <v>0.56771618845929406</v>
      </c>
      <c r="S12" t="str">
        <f t="shared" ref="S12:S43" si="5">IF($A12="","",IF(H12&lt;0,O12,""))</f>
        <v/>
      </c>
    </row>
    <row r="13" spans="1:19" x14ac:dyDescent="0.3">
      <c r="A13" s="37" t="str">
        <f>IF(AND(nThan=1,2=2),"",'TO HOP'!B131)</f>
        <v/>
      </c>
      <c r="B13" s="39" t="str">
        <f>IF(A13="","",'TO HOP'!E131)</f>
        <v/>
      </c>
      <c r="C13" s="39" t="str">
        <f>IF(A13="","",'TO HOP'!F131)</f>
        <v/>
      </c>
      <c r="D13" s="39" t="str">
        <f>IF(A13="","",'TO HOP'!G131)</f>
        <v/>
      </c>
      <c r="E13" s="39" t="str">
        <f>IF(A13="","",'TO HOP'!C131)</f>
        <v/>
      </c>
      <c r="F13" s="39" t="str">
        <f>IF(A13="","",'TO HOP'!D131)</f>
        <v/>
      </c>
      <c r="G13" s="39" t="str">
        <f>IF(A13="","",2)</f>
        <v/>
      </c>
      <c r="H13" s="39" t="str">
        <f>IF(A13="","",IF(nThan=1,B13,B13/2+(-1)*$B$7*C13/sThan))</f>
        <v/>
      </c>
      <c r="I13" s="39" t="str">
        <f t="shared" si="0"/>
        <v/>
      </c>
      <c r="J13" s="39" t="str">
        <f t="shared" si="1"/>
        <v/>
      </c>
      <c r="K13" s="39" t="str">
        <f t="shared" si="2"/>
        <v/>
      </c>
      <c r="L13" s="39" t="str">
        <f t="shared" si="3"/>
        <v/>
      </c>
      <c r="M13" s="39" t="str">
        <f>IF($A13="","",IF(H13=0,"",IF(Q13&lt;=0.000000001,MIN(0.8*0.75*'KT THAN'!$C$62,MAX('KT THAN'!$J$38:$J$58)),IFERROR(MIN(0.8*0.75*'KT THAN'!$C$62,INDEX('KT THAN'!$J$38:$J$58,MATCH(Q13,'KT THAN'!$L$38:$L$58,-1))+(INDEX('KT THAN'!$J$38:$J$58,MIN(21,MATCH(Q13,'KT THAN'!$L$38:$L$58,-1)+1))-INDEX('KT THAN'!$J$38:$J$58,MATCH(Q13,'KT THAN'!$L$38:$L$58,-1)))*(Q13-INDEX('KT THAN'!$L$38:$L$58,MATCH(Q13,'KT THAN'!$L$38:$L$58,-1)))/(INDEX('KT THAN'!$L$38:$L$58,MIN(21,MATCH(Q13,'KT THAN'!$L$38:$L$58,-1)+1))-INDEX('KT THAN'!$L$38:$L$58,MATCH(Q13,'KT THAN'!$L$38:$L$58,-1)))),MIN(0.8*0.75*'KT THAN'!$C$62,'KT THAN'!$C$68/Q13)))))</f>
        <v/>
      </c>
      <c r="N13" s="39" t="str">
        <f>IF($A13="","",IF(H13=0,"",IF(R13&lt;=0.000000001,MIN(0.8*0.75*'KT THAN'!$C$62,MAX('KT THAN'!$W$38:$W$58)),IFERROR(MIN(0.8*0.75*'KT THAN'!$C$62,INDEX('KT THAN'!$W$38:$W$58,MATCH(R13,'KT THAN'!$Y$38:$Y$58,-1))+(INDEX('KT THAN'!$W$38:$W$58,MIN(21,MATCH(R13,'KT THAN'!$Y$38:$Y$58,-1)+1))-INDEX('KT THAN'!$W$38:$W$58,MATCH(R13,'KT THAN'!$Y$38:$Y$58,-1)))*(R13-INDEX('KT THAN'!$Y$38:$Y$58,MATCH(R13,'KT THAN'!$Y$38:$Y$58,-1)))/(INDEX('KT THAN'!$Y$38:$Y$58,MIN(21,MATCH(R13,'KT THAN'!$Y$38:$Y$58,-1)+1))-INDEX('KT THAN'!$Y$38:$Y$58,MATCH(R13,'KT THAN'!$Y$38:$Y$58,-1)))),MIN(0.8*0.75*'KT THAN'!$C$62,'KT THAN'!$D$68/R13)))))</f>
        <v/>
      </c>
      <c r="O13" s="39" t="str">
        <f>IF($A13="","",IF(H13&lt;0,ABS(H13)/MAX('KT THAN'!$C$69,0.001)+'KT THAN'!$C$32*ABS(J13)/MAX('KT THAN'!$C$68,0.001)+'KT THAN'!$D$32*ABS(I13)/MAX('KT THAN'!$D$68,0.001),IF(OR(M13&lt;=0,N13&lt;=0),999,IF(H13&gt;=0.1*0.75*fc_*Agth*1000,H13/MAX(0.001,1/(1/M13+1/N13-1/(0.75*'KT THAN'!$C$62))),'KT THAN'!$C$32*ABS(J13)/MAX('KT THAN'!$C$68,0.001)+'KT THAN'!$D$32*ABS(I13)/MAX('KT THAN'!$D$68,0.001)))))</f>
        <v/>
      </c>
      <c r="P13" s="37" t="str">
        <f t="shared" si="4"/>
        <v/>
      </c>
      <c r="Q13" s="39" t="str">
        <f>IF($A13="","",MAX(0.001,'KT THAN'!$C$32*ABS(J13)/MAX(1,H13)))</f>
        <v/>
      </c>
      <c r="R13" s="39" t="str">
        <f>IF($A13="","",MAX(0.001,'KT THAN'!$D$32*ABS(I13)/MAX(1,H13)))</f>
        <v/>
      </c>
      <c r="S13" t="str">
        <f t="shared" si="5"/>
        <v/>
      </c>
    </row>
    <row r="14" spans="1:19" x14ac:dyDescent="0.3">
      <c r="A14" s="37" t="str">
        <f>IF(AND(nThan=1,1=2),"",'TO HOP'!B132)</f>
        <v>SD I - 2 nhịp lệch tâm 2 làn</v>
      </c>
      <c r="B14" s="39">
        <f>IF(A14="","",'TO HOP'!E132)</f>
        <v>24228.800441589625</v>
      </c>
      <c r="C14" s="39">
        <f>IF(A14="","",'TO HOP'!F132)</f>
        <v>18008.752283649999</v>
      </c>
      <c r="D14" s="39">
        <f>IF(A14="","",'TO HOP'!G132)</f>
        <v>44919.487419648496</v>
      </c>
      <c r="E14" s="39">
        <f>IF(A14="","",'TO HOP'!C132)</f>
        <v>3611.4273926220267</v>
      </c>
      <c r="F14" s="39">
        <f>IF(A14="","",'TO HOP'!D132)</f>
        <v>165.63581000000002</v>
      </c>
      <c r="G14" s="39">
        <f>IF(A14="","",1)</f>
        <v>1</v>
      </c>
      <c r="H14" s="39">
        <f>IF(A14="","",IF(nThan=1,B14,B14/2+(1)*$B$7*C14/sThan))</f>
        <v>24228.800441589625</v>
      </c>
      <c r="I14" s="39">
        <f t="shared" si="0"/>
        <v>18008.752283649999</v>
      </c>
      <c r="J14" s="39">
        <f t="shared" si="1"/>
        <v>44919.487419648496</v>
      </c>
      <c r="K14" s="39">
        <f t="shared" si="2"/>
        <v>3611.4273926220267</v>
      </c>
      <c r="L14" s="39">
        <f t="shared" si="3"/>
        <v>165.63581000000002</v>
      </c>
      <c r="M14" s="39">
        <f>IF($A14="","",IF(H14=0,"",IF(Q14&lt;=0.000000001,MIN(0.8*0.75*'KT THAN'!$C$62,MAX('KT THAN'!$J$38:$J$58)),IFERROR(MIN(0.8*0.75*'KT THAN'!$C$62,INDEX('KT THAN'!$J$38:$J$58,MATCH(Q14,'KT THAN'!$L$38:$L$58,-1))+(INDEX('KT THAN'!$J$38:$J$58,MIN(21,MATCH(Q14,'KT THAN'!$L$38:$L$58,-1)+1))-INDEX('KT THAN'!$J$38:$J$58,MATCH(Q14,'KT THAN'!$L$38:$L$58,-1)))*(Q14-INDEX('KT THAN'!$L$38:$L$58,MATCH(Q14,'KT THAN'!$L$38:$L$58,-1)))/(INDEX('KT THAN'!$L$38:$L$58,MIN(21,MATCH(Q14,'KT THAN'!$L$38:$L$58,-1)+1))-INDEX('KT THAN'!$L$38:$L$58,MATCH(Q14,'KT THAN'!$L$38:$L$58,-1)))),MIN(0.8*0.75*'KT THAN'!$C$62,'KT THAN'!$C$68/Q14)))))</f>
        <v>24927.403393074383</v>
      </c>
      <c r="N14" s="39">
        <f>IF($A14="","",IF(H14=0,"",IF(R14&lt;=0.000000001,MIN(0.8*0.75*'KT THAN'!$C$62,MAX('KT THAN'!$W$38:$W$58)),IFERROR(MIN(0.8*0.75*'KT THAN'!$C$62,INDEX('KT THAN'!$W$38:$W$58,MATCH(R14,'KT THAN'!$Y$38:$Y$58,-1))+(INDEX('KT THAN'!$W$38:$W$58,MIN(21,MATCH(R14,'KT THAN'!$Y$38:$Y$58,-1)+1))-INDEX('KT THAN'!$W$38:$W$58,MATCH(R14,'KT THAN'!$Y$38:$Y$58,-1)))*(R14-INDEX('KT THAN'!$Y$38:$Y$58,MATCH(R14,'KT THAN'!$Y$38:$Y$58,-1)))/(INDEX('KT THAN'!$Y$38:$Y$58,MIN(21,MATCH(R14,'KT THAN'!$Y$38:$Y$58,-1)+1))-INDEX('KT THAN'!$Y$38:$Y$58,MATCH(R14,'KT THAN'!$Y$38:$Y$58,-1)))),MIN(0.8*0.75*'KT THAN'!$C$62,'KT THAN'!$D$68/R14)))))</f>
        <v>141220.65914254799</v>
      </c>
      <c r="O14" s="39">
        <f>IF($A14="","",IF(H14&lt;0,ABS(H14)/MAX('KT THAN'!$C$69,0.001)+'KT THAN'!$C$32*ABS(J14)/MAX('KT THAN'!$C$68,0.001)+'KT THAN'!$D$32*ABS(I14)/MAX('KT THAN'!$D$68,0.001),IF(OR(M14&lt;=0,N14&lt;=0),999,IF(H14&gt;=0.1*0.75*fc_*Agth*1000,H14/MAX(0.001,1/(1/M14+1/N14-1/(0.75*'KT THAN'!$C$62))),'KT THAN'!$C$32*ABS(J14)/MAX('KT THAN'!$C$68,0.001)+'KT THAN'!$D$32*ABS(I14)/MAX('KT THAN'!$D$68,0.001)))))</f>
        <v>1.0214536347778098</v>
      </c>
      <c r="P14" s="37" t="str">
        <f t="shared" si="4"/>
        <v>KHÔNG ĐẠT</v>
      </c>
      <c r="Q14" s="39">
        <f>IF($A14="","",MAX(0.001,'KT THAN'!$C$32*ABS(J14)/MAX(1,H14)))</f>
        <v>2.0731800124268536</v>
      </c>
      <c r="R14" s="39">
        <f>IF($A14="","",MAX(0.001,'KT THAN'!$D$32*ABS(I14)/MAX(1,H14)))</f>
        <v>0.74327874081365231</v>
      </c>
      <c r="S14" t="str">
        <f t="shared" si="5"/>
        <v/>
      </c>
    </row>
    <row r="15" spans="1:19" x14ac:dyDescent="0.3">
      <c r="A15" s="37" t="str">
        <f>IF(AND(nThan=1,2=2),"",'TO HOP'!B132)</f>
        <v/>
      </c>
      <c r="B15" s="39" t="str">
        <f>IF(A15="","",'TO HOP'!E132)</f>
        <v/>
      </c>
      <c r="C15" s="39" t="str">
        <f>IF(A15="","",'TO HOP'!F132)</f>
        <v/>
      </c>
      <c r="D15" s="39" t="str">
        <f>IF(A15="","",'TO HOP'!G132)</f>
        <v/>
      </c>
      <c r="E15" s="39" t="str">
        <f>IF(A15="","",'TO HOP'!C132)</f>
        <v/>
      </c>
      <c r="F15" s="39" t="str">
        <f>IF(A15="","",'TO HOP'!D132)</f>
        <v/>
      </c>
      <c r="G15" s="39" t="str">
        <f>IF(A15="","",2)</f>
        <v/>
      </c>
      <c r="H15" s="39" t="str">
        <f>IF(A15="","",IF(nThan=1,B15,B15/2+(-1)*$B$7*C15/sThan))</f>
        <v/>
      </c>
      <c r="I15" s="39" t="str">
        <f t="shared" si="0"/>
        <v/>
      </c>
      <c r="J15" s="39" t="str">
        <f t="shared" si="1"/>
        <v/>
      </c>
      <c r="K15" s="39" t="str">
        <f t="shared" si="2"/>
        <v/>
      </c>
      <c r="L15" s="39" t="str">
        <f t="shared" si="3"/>
        <v/>
      </c>
      <c r="M15" s="39" t="str">
        <f>IF($A15="","",IF(H15=0,"",IF(Q15&lt;=0.000000001,MIN(0.8*0.75*'KT THAN'!$C$62,MAX('KT THAN'!$J$38:$J$58)),IFERROR(MIN(0.8*0.75*'KT THAN'!$C$62,INDEX('KT THAN'!$J$38:$J$58,MATCH(Q15,'KT THAN'!$L$38:$L$58,-1))+(INDEX('KT THAN'!$J$38:$J$58,MIN(21,MATCH(Q15,'KT THAN'!$L$38:$L$58,-1)+1))-INDEX('KT THAN'!$J$38:$J$58,MATCH(Q15,'KT THAN'!$L$38:$L$58,-1)))*(Q15-INDEX('KT THAN'!$L$38:$L$58,MATCH(Q15,'KT THAN'!$L$38:$L$58,-1)))/(INDEX('KT THAN'!$L$38:$L$58,MIN(21,MATCH(Q15,'KT THAN'!$L$38:$L$58,-1)+1))-INDEX('KT THAN'!$L$38:$L$58,MATCH(Q15,'KT THAN'!$L$38:$L$58,-1)))),MIN(0.8*0.75*'KT THAN'!$C$62,'KT THAN'!$C$68/Q15)))))</f>
        <v/>
      </c>
      <c r="N15" s="39" t="str">
        <f>IF($A15="","",IF(H15=0,"",IF(R15&lt;=0.000000001,MIN(0.8*0.75*'KT THAN'!$C$62,MAX('KT THAN'!$W$38:$W$58)),IFERROR(MIN(0.8*0.75*'KT THAN'!$C$62,INDEX('KT THAN'!$W$38:$W$58,MATCH(R15,'KT THAN'!$Y$38:$Y$58,-1))+(INDEX('KT THAN'!$W$38:$W$58,MIN(21,MATCH(R15,'KT THAN'!$Y$38:$Y$58,-1)+1))-INDEX('KT THAN'!$W$38:$W$58,MATCH(R15,'KT THAN'!$Y$38:$Y$58,-1)))*(R15-INDEX('KT THAN'!$Y$38:$Y$58,MATCH(R15,'KT THAN'!$Y$38:$Y$58,-1)))/(INDEX('KT THAN'!$Y$38:$Y$58,MIN(21,MATCH(R15,'KT THAN'!$Y$38:$Y$58,-1)+1))-INDEX('KT THAN'!$Y$38:$Y$58,MATCH(R15,'KT THAN'!$Y$38:$Y$58,-1)))),MIN(0.8*0.75*'KT THAN'!$C$62,'KT THAN'!$D$68/R15)))))</f>
        <v/>
      </c>
      <c r="O15" s="39" t="str">
        <f>IF($A15="","",IF(H15&lt;0,ABS(H15)/MAX('KT THAN'!$C$69,0.001)+'KT THAN'!$C$32*ABS(J15)/MAX('KT THAN'!$C$68,0.001)+'KT THAN'!$D$32*ABS(I15)/MAX('KT THAN'!$D$68,0.001),IF(OR(M15&lt;=0,N15&lt;=0),999,IF(H15&gt;=0.1*0.75*fc_*Agth*1000,H15/MAX(0.001,1/(1/M15+1/N15-1/(0.75*'KT THAN'!$C$62))),'KT THAN'!$C$32*ABS(J15)/MAX('KT THAN'!$C$68,0.001)+'KT THAN'!$D$32*ABS(I15)/MAX('KT THAN'!$D$68,0.001)))))</f>
        <v/>
      </c>
      <c r="P15" s="37" t="str">
        <f t="shared" si="4"/>
        <v/>
      </c>
      <c r="Q15" s="39" t="str">
        <f>IF($A15="","",MAX(0.001,'KT THAN'!$C$32*ABS(J15)/MAX(1,H15)))</f>
        <v/>
      </c>
      <c r="R15" s="39" t="str">
        <f>IF($A15="","",MAX(0.001,'KT THAN'!$D$32*ABS(I15)/MAX(1,H15)))</f>
        <v/>
      </c>
      <c r="S15" t="str">
        <f t="shared" si="5"/>
        <v/>
      </c>
    </row>
    <row r="16" spans="1:19" x14ac:dyDescent="0.3">
      <c r="A16" s="37" t="str">
        <f>IF(AND(nThan=1,1=2),"",'TO HOP'!B133)</f>
        <v>SD I - 2 nhịp lệch tâm 3 làn</v>
      </c>
      <c r="B16" s="39">
        <f>IF(A16="","",'TO HOP'!E133)</f>
        <v>24755.028407589623</v>
      </c>
      <c r="C16" s="39">
        <f>IF(A16="","",'TO HOP'!F133)</f>
        <v>18756.235189899999</v>
      </c>
      <c r="D16" s="39">
        <f>IF(A16="","",'TO HOP'!G133)</f>
        <v>44919.487419648496</v>
      </c>
      <c r="E16" s="39">
        <f>IF(A16="","",'TO HOP'!C133)</f>
        <v>3611.4273926220267</v>
      </c>
      <c r="F16" s="39">
        <f>IF(A16="","",'TO HOP'!D133)</f>
        <v>165.63581000000002</v>
      </c>
      <c r="G16" s="39">
        <f>IF(A16="","",1)</f>
        <v>1</v>
      </c>
      <c r="H16" s="39">
        <f>IF(A16="","",IF(nThan=1,B16,B16/2+(1)*$B$7*C16/sThan))</f>
        <v>24755.028407589623</v>
      </c>
      <c r="I16" s="39">
        <f t="shared" si="0"/>
        <v>18756.235189899999</v>
      </c>
      <c r="J16" s="39">
        <f t="shared" si="1"/>
        <v>44919.487419648496</v>
      </c>
      <c r="K16" s="39">
        <f t="shared" si="2"/>
        <v>3611.4273926220267</v>
      </c>
      <c r="L16" s="39">
        <f t="shared" si="3"/>
        <v>165.63581000000002</v>
      </c>
      <c r="M16" s="39">
        <f>IF($A16="","",IF(H16=0,"",IF(Q16&lt;=0.000000001,MIN(0.8*0.75*'KT THAN'!$C$62,MAX('KT THAN'!$J$38:$J$58)),IFERROR(MIN(0.8*0.75*'KT THAN'!$C$62,INDEX('KT THAN'!$J$38:$J$58,MATCH(Q16,'KT THAN'!$L$38:$L$58,-1))+(INDEX('KT THAN'!$J$38:$J$58,MIN(21,MATCH(Q16,'KT THAN'!$L$38:$L$58,-1)+1))-INDEX('KT THAN'!$J$38:$J$58,MATCH(Q16,'KT THAN'!$L$38:$L$58,-1)))*(Q16-INDEX('KT THAN'!$L$38:$L$58,MATCH(Q16,'KT THAN'!$L$38:$L$58,-1)))/(INDEX('KT THAN'!$L$38:$L$58,MIN(21,MATCH(Q16,'KT THAN'!$L$38:$L$58,-1)+1))-INDEX('KT THAN'!$L$38:$L$58,MATCH(Q16,'KT THAN'!$L$38:$L$58,-1)))),MIN(0.8*0.75*'KT THAN'!$C$62,'KT THAN'!$C$68/Q16)))))</f>
        <v>25875.803883608889</v>
      </c>
      <c r="N16" s="39">
        <f>IF($A16="","",IF(H16=0,"",IF(R16&lt;=0.000000001,MIN(0.8*0.75*'KT THAN'!$C$62,MAX('KT THAN'!$W$38:$W$58)),IFERROR(MIN(0.8*0.75*'KT THAN'!$C$62,INDEX('KT THAN'!$W$38:$W$58,MATCH(R16,'KT THAN'!$Y$38:$Y$58,-1))+(INDEX('KT THAN'!$W$38:$W$58,MIN(21,MATCH(R16,'KT THAN'!$Y$38:$Y$58,-1)+1))-INDEX('KT THAN'!$W$38:$W$58,MATCH(R16,'KT THAN'!$Y$38:$Y$58,-1)))*(R16-INDEX('KT THAN'!$Y$38:$Y$58,MATCH(R16,'KT THAN'!$Y$38:$Y$58,-1)))/(INDEX('KT THAN'!$Y$38:$Y$58,MIN(21,MATCH(R16,'KT THAN'!$Y$38:$Y$58,-1)+1))-INDEX('KT THAN'!$Y$38:$Y$58,MATCH(R16,'KT THAN'!$Y$38:$Y$58,-1)))),MIN(0.8*0.75*'KT THAN'!$C$62,'KT THAN'!$D$68/R16)))))</f>
        <v>140210.79264768225</v>
      </c>
      <c r="O16" s="39">
        <f>IF($A16="","",IF(H16&lt;0,ABS(H16)/MAX('KT THAN'!$C$69,0.001)+'KT THAN'!$C$32*ABS(J16)/MAX('KT THAN'!$C$68,0.001)+'KT THAN'!$D$32*ABS(I16)/MAX('KT THAN'!$D$68,0.001),IF(OR(M16&lt;=0,N16&lt;=0),999,IF(H16&gt;=0.1*0.75*fc_*Agth*1000,H16/MAX(0.001,1/(1/M16+1/N16-1/(0.75*'KT THAN'!$C$62))),'KT THAN'!$C$32*ABS(J16)/MAX('KT THAN'!$C$68,0.001)+'KT THAN'!$D$32*ABS(I16)/MAX('KT THAN'!$D$68,0.001)))))</f>
        <v>1.0085026767199483</v>
      </c>
      <c r="P16" s="37" t="str">
        <f t="shared" si="4"/>
        <v>KHÔNG ĐẠT</v>
      </c>
      <c r="Q16" s="39">
        <f>IF($A16="","",MAX(0.001,'KT THAN'!$C$32*ABS(J16)/MAX(1,H16)))</f>
        <v>2.0291095600270999</v>
      </c>
      <c r="R16" s="39">
        <f>IF($A16="","",MAX(0.001,'KT THAN'!$D$32*ABS(I16)/MAX(1,H16)))</f>
        <v>0.75767374939265031</v>
      </c>
      <c r="S16" t="str">
        <f t="shared" si="5"/>
        <v/>
      </c>
    </row>
    <row r="17" spans="1:19" x14ac:dyDescent="0.3">
      <c r="A17" s="37" t="str">
        <f>IF(AND(nThan=1,2=2),"",'TO HOP'!B133)</f>
        <v/>
      </c>
      <c r="B17" s="39" t="str">
        <f>IF(A17="","",'TO HOP'!E133)</f>
        <v/>
      </c>
      <c r="C17" s="39" t="str">
        <f>IF(A17="","",'TO HOP'!F133)</f>
        <v/>
      </c>
      <c r="D17" s="39" t="str">
        <f>IF(A17="","",'TO HOP'!G133)</f>
        <v/>
      </c>
      <c r="E17" s="39" t="str">
        <f>IF(A17="","",'TO HOP'!C133)</f>
        <v/>
      </c>
      <c r="F17" s="39" t="str">
        <f>IF(A17="","",'TO HOP'!D133)</f>
        <v/>
      </c>
      <c r="G17" s="39" t="str">
        <f>IF(A17="","",2)</f>
        <v/>
      </c>
      <c r="H17" s="39" t="str">
        <f>IF(A17="","",IF(nThan=1,B17,B17/2+(-1)*$B$7*C17/sThan))</f>
        <v/>
      </c>
      <c r="I17" s="39" t="str">
        <f t="shared" si="0"/>
        <v/>
      </c>
      <c r="J17" s="39" t="str">
        <f t="shared" si="1"/>
        <v/>
      </c>
      <c r="K17" s="39" t="str">
        <f t="shared" si="2"/>
        <v/>
      </c>
      <c r="L17" s="39" t="str">
        <f t="shared" si="3"/>
        <v/>
      </c>
      <c r="M17" s="39" t="str">
        <f>IF($A17="","",IF(H17=0,"",IF(Q17&lt;=0.000000001,MIN(0.8*0.75*'KT THAN'!$C$62,MAX('KT THAN'!$J$38:$J$58)),IFERROR(MIN(0.8*0.75*'KT THAN'!$C$62,INDEX('KT THAN'!$J$38:$J$58,MATCH(Q17,'KT THAN'!$L$38:$L$58,-1))+(INDEX('KT THAN'!$J$38:$J$58,MIN(21,MATCH(Q17,'KT THAN'!$L$38:$L$58,-1)+1))-INDEX('KT THAN'!$J$38:$J$58,MATCH(Q17,'KT THAN'!$L$38:$L$58,-1)))*(Q17-INDEX('KT THAN'!$L$38:$L$58,MATCH(Q17,'KT THAN'!$L$38:$L$58,-1)))/(INDEX('KT THAN'!$L$38:$L$58,MIN(21,MATCH(Q17,'KT THAN'!$L$38:$L$58,-1)+1))-INDEX('KT THAN'!$L$38:$L$58,MATCH(Q17,'KT THAN'!$L$38:$L$58,-1)))),MIN(0.8*0.75*'KT THAN'!$C$62,'KT THAN'!$C$68/Q17)))))</f>
        <v/>
      </c>
      <c r="N17" s="39" t="str">
        <f>IF($A17="","",IF(H17=0,"",IF(R17&lt;=0.000000001,MIN(0.8*0.75*'KT THAN'!$C$62,MAX('KT THAN'!$W$38:$W$58)),IFERROR(MIN(0.8*0.75*'KT THAN'!$C$62,INDEX('KT THAN'!$W$38:$W$58,MATCH(R17,'KT THAN'!$Y$38:$Y$58,-1))+(INDEX('KT THAN'!$W$38:$W$58,MIN(21,MATCH(R17,'KT THAN'!$Y$38:$Y$58,-1)+1))-INDEX('KT THAN'!$W$38:$W$58,MATCH(R17,'KT THAN'!$Y$38:$Y$58,-1)))*(R17-INDEX('KT THAN'!$Y$38:$Y$58,MATCH(R17,'KT THAN'!$Y$38:$Y$58,-1)))/(INDEX('KT THAN'!$Y$38:$Y$58,MIN(21,MATCH(R17,'KT THAN'!$Y$38:$Y$58,-1)+1))-INDEX('KT THAN'!$Y$38:$Y$58,MATCH(R17,'KT THAN'!$Y$38:$Y$58,-1)))),MIN(0.8*0.75*'KT THAN'!$C$62,'KT THAN'!$D$68/R17)))))</f>
        <v/>
      </c>
      <c r="O17" s="39" t="str">
        <f>IF($A17="","",IF(H17&lt;0,ABS(H17)/MAX('KT THAN'!$C$69,0.001)+'KT THAN'!$C$32*ABS(J17)/MAX('KT THAN'!$C$68,0.001)+'KT THAN'!$D$32*ABS(I17)/MAX('KT THAN'!$D$68,0.001),IF(OR(M17&lt;=0,N17&lt;=0),999,IF(H17&gt;=0.1*0.75*fc_*Agth*1000,H17/MAX(0.001,1/(1/M17+1/N17-1/(0.75*'KT THAN'!$C$62))),'KT THAN'!$C$32*ABS(J17)/MAX('KT THAN'!$C$68,0.001)+'KT THAN'!$D$32*ABS(I17)/MAX('KT THAN'!$D$68,0.001)))))</f>
        <v/>
      </c>
      <c r="P17" s="37" t="str">
        <f t="shared" si="4"/>
        <v/>
      </c>
      <c r="Q17" s="39" t="str">
        <f>IF($A17="","",MAX(0.001,'KT THAN'!$C$32*ABS(J17)/MAX(1,H17)))</f>
        <v/>
      </c>
      <c r="R17" s="39" t="str">
        <f>IF($A17="","",MAX(0.001,'KT THAN'!$D$32*ABS(I17)/MAX(1,H17)))</f>
        <v/>
      </c>
      <c r="S17" t="str">
        <f t="shared" si="5"/>
        <v/>
      </c>
    </row>
    <row r="18" spans="1:19" x14ac:dyDescent="0.3">
      <c r="A18" s="37" t="str">
        <f>IF(AND(nThan=1,1=2),"",'TO HOP'!B134)</f>
        <v>SD I - 2 nhịp lệch tâm 4 làn</v>
      </c>
      <c r="B18" s="39">
        <f>IF(A18="","",'TO HOP'!E134)</f>
        <v>24802.867313589624</v>
      </c>
      <c r="C18" s="39">
        <f>IF(A18="","",'TO HOP'!F134)</f>
        <v>15353.693000650001</v>
      </c>
      <c r="D18" s="39">
        <f>IF(A18="","",'TO HOP'!G134)</f>
        <v>44919.487419648496</v>
      </c>
      <c r="E18" s="39">
        <f>IF(A18="","",'TO HOP'!C134)</f>
        <v>3611.4273926220267</v>
      </c>
      <c r="F18" s="39">
        <f>IF(A18="","",'TO HOP'!D134)</f>
        <v>165.63581000000002</v>
      </c>
      <c r="G18" s="39">
        <f>IF(A18="","",1)</f>
        <v>1</v>
      </c>
      <c r="H18" s="39">
        <f>IF(A18="","",IF(nThan=1,B18,B18/2+(1)*$B$7*C18/sThan))</f>
        <v>24802.867313589624</v>
      </c>
      <c r="I18" s="39">
        <f t="shared" si="0"/>
        <v>15353.693000650001</v>
      </c>
      <c r="J18" s="39">
        <f t="shared" si="1"/>
        <v>44919.487419648496</v>
      </c>
      <c r="K18" s="39">
        <f t="shared" si="2"/>
        <v>3611.4273926220267</v>
      </c>
      <c r="L18" s="39">
        <f t="shared" si="3"/>
        <v>165.63581000000002</v>
      </c>
      <c r="M18" s="39">
        <f>IF($A18="","",IF(H18=0,"",IF(Q18&lt;=0.000000001,MIN(0.8*0.75*'KT THAN'!$C$62,MAX('KT THAN'!$J$38:$J$58)),IFERROR(MIN(0.8*0.75*'KT THAN'!$C$62,INDEX('KT THAN'!$J$38:$J$58,MATCH(Q18,'KT THAN'!$L$38:$L$58,-1))+(INDEX('KT THAN'!$J$38:$J$58,MIN(21,MATCH(Q18,'KT THAN'!$L$38:$L$58,-1)+1))-INDEX('KT THAN'!$J$38:$J$58,MATCH(Q18,'KT THAN'!$L$38:$L$58,-1)))*(Q18-INDEX('KT THAN'!$L$38:$L$58,MATCH(Q18,'KT THAN'!$L$38:$L$58,-1)))/(INDEX('KT THAN'!$L$38:$L$58,MIN(21,MATCH(Q18,'KT THAN'!$L$38:$L$58,-1)+1))-INDEX('KT THAN'!$L$38:$L$58,MATCH(Q18,'KT THAN'!$L$38:$L$58,-1)))),MIN(0.8*0.75*'KT THAN'!$C$62,'KT THAN'!$C$68/Q18)))))</f>
        <v>25960.026573500283</v>
      </c>
      <c r="N18" s="39">
        <f>IF($A18="","",IF(H18=0,"",IF(R18&lt;=0.000000001,MIN(0.8*0.75*'KT THAN'!$C$62,MAX('KT THAN'!$W$38:$W$58)),IFERROR(MIN(0.8*0.75*'KT THAN'!$C$62,INDEX('KT THAN'!$W$38:$W$58,MATCH(R18,'KT THAN'!$Y$38:$Y$58,-1))+(INDEX('KT THAN'!$W$38:$W$58,MIN(21,MATCH(R18,'KT THAN'!$Y$38:$Y$58,-1)+1))-INDEX('KT THAN'!$W$38:$W$58,MATCH(R18,'KT THAN'!$Y$38:$Y$58,-1)))*(R18-INDEX('KT THAN'!$Y$38:$Y$58,MATCH(R18,'KT THAN'!$Y$38:$Y$58,-1)))/(INDEX('KT THAN'!$Y$38:$Y$58,MIN(21,MATCH(R18,'KT THAN'!$Y$38:$Y$58,-1)+1))-INDEX('KT THAN'!$Y$38:$Y$58,MATCH(R18,'KT THAN'!$Y$38:$Y$58,-1)))),MIN(0.8*0.75*'KT THAN'!$C$62,'KT THAN'!$D$68/R18)))))</f>
        <v>149937.27062368934</v>
      </c>
      <c r="O18" s="39">
        <f>IF($A18="","",IF(H18&lt;0,ABS(H18)/MAX('KT THAN'!$C$69,0.001)+'KT THAN'!$C$32*ABS(J18)/MAX('KT THAN'!$C$68,0.001)+'KT THAN'!$D$32*ABS(I18)/MAX('KT THAN'!$D$68,0.001),IF(OR(M18&lt;=0,N18&lt;=0),999,IF(H18&gt;=0.1*0.75*fc_*Agth*1000,H18/MAX(0.001,1/(1/M18+1/N18-1/(0.75*'KT THAN'!$C$62))),'KT THAN'!$C$32*ABS(J18)/MAX('KT THAN'!$C$68,0.001)+'KT THAN'!$D$32*ABS(I18)/MAX('KT THAN'!$D$68,0.001)))))</f>
        <v>0.99586644021240134</v>
      </c>
      <c r="P18" s="37" t="str">
        <f t="shared" si="4"/>
        <v>ĐẠT</v>
      </c>
      <c r="Q18" s="39">
        <f>IF($A18="","",MAX(0.001,'KT THAN'!$C$32*ABS(J18)/MAX(1,H18)))</f>
        <v>2.0251958842299205</v>
      </c>
      <c r="R18" s="39">
        <f>IF($A18="","",MAX(0.001,'KT THAN'!$D$32*ABS(I18)/MAX(1,H18)))</f>
        <v>0.61902895364995281</v>
      </c>
      <c r="S18" t="str">
        <f t="shared" si="5"/>
        <v/>
      </c>
    </row>
    <row r="19" spans="1:19" x14ac:dyDescent="0.3">
      <c r="A19" s="37" t="str">
        <f>IF(AND(nThan=1,2=2),"",'TO HOP'!B134)</f>
        <v/>
      </c>
      <c r="B19" s="39" t="str">
        <f>IF(A19="","",'TO HOP'!E134)</f>
        <v/>
      </c>
      <c r="C19" s="39" t="str">
        <f>IF(A19="","",'TO HOP'!F134)</f>
        <v/>
      </c>
      <c r="D19" s="39" t="str">
        <f>IF(A19="","",'TO HOP'!G134)</f>
        <v/>
      </c>
      <c r="E19" s="39" t="str">
        <f>IF(A19="","",'TO HOP'!C134)</f>
        <v/>
      </c>
      <c r="F19" s="39" t="str">
        <f>IF(A19="","",'TO HOP'!D134)</f>
        <v/>
      </c>
      <c r="G19" s="39" t="str">
        <f>IF(A19="","",2)</f>
        <v/>
      </c>
      <c r="H19" s="39" t="str">
        <f>IF(A19="","",IF(nThan=1,B19,B19/2+(-1)*$B$7*C19/sThan))</f>
        <v/>
      </c>
      <c r="I19" s="39" t="str">
        <f t="shared" si="0"/>
        <v/>
      </c>
      <c r="J19" s="39" t="str">
        <f t="shared" si="1"/>
        <v/>
      </c>
      <c r="K19" s="39" t="str">
        <f t="shared" si="2"/>
        <v/>
      </c>
      <c r="L19" s="39" t="str">
        <f t="shared" si="3"/>
        <v/>
      </c>
      <c r="M19" s="39" t="str">
        <f>IF($A19="","",IF(H19=0,"",IF(Q19&lt;=0.000000001,MIN(0.8*0.75*'KT THAN'!$C$62,MAX('KT THAN'!$J$38:$J$58)),IFERROR(MIN(0.8*0.75*'KT THAN'!$C$62,INDEX('KT THAN'!$J$38:$J$58,MATCH(Q19,'KT THAN'!$L$38:$L$58,-1))+(INDEX('KT THAN'!$J$38:$J$58,MIN(21,MATCH(Q19,'KT THAN'!$L$38:$L$58,-1)+1))-INDEX('KT THAN'!$J$38:$J$58,MATCH(Q19,'KT THAN'!$L$38:$L$58,-1)))*(Q19-INDEX('KT THAN'!$L$38:$L$58,MATCH(Q19,'KT THAN'!$L$38:$L$58,-1)))/(INDEX('KT THAN'!$L$38:$L$58,MIN(21,MATCH(Q19,'KT THAN'!$L$38:$L$58,-1)+1))-INDEX('KT THAN'!$L$38:$L$58,MATCH(Q19,'KT THAN'!$L$38:$L$58,-1)))),MIN(0.8*0.75*'KT THAN'!$C$62,'KT THAN'!$C$68/Q19)))))</f>
        <v/>
      </c>
      <c r="N19" s="39" t="str">
        <f>IF($A19="","",IF(H19=0,"",IF(R19&lt;=0.000000001,MIN(0.8*0.75*'KT THAN'!$C$62,MAX('KT THAN'!$W$38:$W$58)),IFERROR(MIN(0.8*0.75*'KT THAN'!$C$62,INDEX('KT THAN'!$W$38:$W$58,MATCH(R19,'KT THAN'!$Y$38:$Y$58,-1))+(INDEX('KT THAN'!$W$38:$W$58,MIN(21,MATCH(R19,'KT THAN'!$Y$38:$Y$58,-1)+1))-INDEX('KT THAN'!$W$38:$W$58,MATCH(R19,'KT THAN'!$Y$38:$Y$58,-1)))*(R19-INDEX('KT THAN'!$Y$38:$Y$58,MATCH(R19,'KT THAN'!$Y$38:$Y$58,-1)))/(INDEX('KT THAN'!$Y$38:$Y$58,MIN(21,MATCH(R19,'KT THAN'!$Y$38:$Y$58,-1)+1))-INDEX('KT THAN'!$Y$38:$Y$58,MATCH(R19,'KT THAN'!$Y$38:$Y$58,-1)))),MIN(0.8*0.75*'KT THAN'!$C$62,'KT THAN'!$D$68/R19)))))</f>
        <v/>
      </c>
      <c r="O19" s="39" t="str">
        <f>IF($A19="","",IF(H19&lt;0,ABS(H19)/MAX('KT THAN'!$C$69,0.001)+'KT THAN'!$C$32*ABS(J19)/MAX('KT THAN'!$C$68,0.001)+'KT THAN'!$D$32*ABS(I19)/MAX('KT THAN'!$D$68,0.001),IF(OR(M19&lt;=0,N19&lt;=0),999,IF(H19&gt;=0.1*0.75*fc_*Agth*1000,H19/MAX(0.001,1/(1/M19+1/N19-1/(0.75*'KT THAN'!$C$62))),'KT THAN'!$C$32*ABS(J19)/MAX('KT THAN'!$C$68,0.001)+'KT THAN'!$D$32*ABS(I19)/MAX('KT THAN'!$D$68,0.001)))))</f>
        <v/>
      </c>
      <c r="P19" s="37" t="str">
        <f t="shared" si="4"/>
        <v/>
      </c>
      <c r="Q19" s="39" t="str">
        <f>IF($A19="","",MAX(0.001,'KT THAN'!$C$32*ABS(J19)/MAX(1,H19)))</f>
        <v/>
      </c>
      <c r="R19" s="39" t="str">
        <f>IF($A19="","",MAX(0.001,'KT THAN'!$D$32*ABS(I19)/MAX(1,H19)))</f>
        <v/>
      </c>
      <c r="S19" t="str">
        <f t="shared" si="5"/>
        <v/>
      </c>
    </row>
    <row r="20" spans="1:19" x14ac:dyDescent="0.3">
      <c r="A20" s="37" t="str">
        <f>IF(AND(nThan=1,1=2),"",'TO HOP'!B135)</f>
        <v>SD I - 2 nhịp lệch tâm 5 làn</v>
      </c>
      <c r="B20" s="39">
        <f>IF(A20="","",'TO HOP'!E135)</f>
        <v>25424.773091589625</v>
      </c>
      <c r="C20" s="39">
        <f>IF(A20="","",'TO HOP'!F135)</f>
        <v>14032.143222400002</v>
      </c>
      <c r="D20" s="39">
        <f>IF(A20="","",'TO HOP'!G135)</f>
        <v>44919.487419648496</v>
      </c>
      <c r="E20" s="39">
        <f>IF(A20="","",'TO HOP'!C135)</f>
        <v>3611.4273926220267</v>
      </c>
      <c r="F20" s="39">
        <f>IF(A20="","",'TO HOP'!D135)</f>
        <v>165.63581000000002</v>
      </c>
      <c r="G20" s="39">
        <f>IF(A20="","",1)</f>
        <v>1</v>
      </c>
      <c r="H20" s="39">
        <f>IF(A20="","",IF(nThan=1,B20,B20/2+(1)*$B$7*C20/sThan))</f>
        <v>25424.773091589625</v>
      </c>
      <c r="I20" s="39">
        <f t="shared" si="0"/>
        <v>14032.143222400002</v>
      </c>
      <c r="J20" s="39">
        <f t="shared" si="1"/>
        <v>44919.487419648496</v>
      </c>
      <c r="K20" s="39">
        <f t="shared" si="2"/>
        <v>3611.4273926220267</v>
      </c>
      <c r="L20" s="39">
        <f t="shared" si="3"/>
        <v>165.63581000000002</v>
      </c>
      <c r="M20" s="39">
        <f>IF($A20="","",IF(H20=0,"",IF(Q20&lt;=0.000000001,MIN(0.8*0.75*'KT THAN'!$C$62,MAX('KT THAN'!$J$38:$J$58)),IFERROR(MIN(0.8*0.75*'KT THAN'!$C$62,INDEX('KT THAN'!$J$38:$J$58,MATCH(Q20,'KT THAN'!$L$38:$L$58,-1))+(INDEX('KT THAN'!$J$38:$J$58,MIN(21,MATCH(Q20,'KT THAN'!$L$38:$L$58,-1)+1))-INDEX('KT THAN'!$J$38:$J$58,MATCH(Q20,'KT THAN'!$L$38:$L$58,-1)))*(Q20-INDEX('KT THAN'!$L$38:$L$58,MATCH(Q20,'KT THAN'!$L$38:$L$58,-1)))/(INDEX('KT THAN'!$L$38:$L$58,MIN(21,MATCH(Q20,'KT THAN'!$L$38:$L$58,-1)+1))-INDEX('KT THAN'!$L$38:$L$58,MATCH(Q20,'KT THAN'!$L$38:$L$58,-1)))),MIN(0.8*0.75*'KT THAN'!$C$62,'KT THAN'!$C$68/Q20)))))</f>
        <v>27026.079590102796</v>
      </c>
      <c r="N20" s="39">
        <f>IF($A20="","",IF(H20=0,"",IF(R20&lt;=0.000000001,MIN(0.8*0.75*'KT THAN'!$C$62,MAX('KT THAN'!$W$38:$W$58)),IFERROR(MIN(0.8*0.75*'KT THAN'!$C$62,INDEX('KT THAN'!$W$38:$W$58,MATCH(R20,'KT THAN'!$Y$38:$Y$58,-1))+(INDEX('KT THAN'!$W$38:$W$58,MIN(21,MATCH(R20,'KT THAN'!$Y$38:$Y$58,-1)+1))-INDEX('KT THAN'!$W$38:$W$58,MATCH(R20,'KT THAN'!$Y$38:$Y$58,-1)))*(R20-INDEX('KT THAN'!$Y$38:$Y$58,MATCH(R20,'KT THAN'!$Y$38:$Y$58,-1)))/(INDEX('KT THAN'!$Y$38:$Y$58,MIN(21,MATCH(R20,'KT THAN'!$Y$38:$Y$58,-1)+1))-INDEX('KT THAN'!$Y$38:$Y$58,MATCH(R20,'KT THAN'!$Y$38:$Y$58,-1)))),MIN(0.8*0.75*'KT THAN'!$C$62,'KT THAN'!$D$68/R20)))))</f>
        <v>154726.99710946649</v>
      </c>
      <c r="O20" s="39">
        <f>IF($A20="","",IF(H20&lt;0,ABS(H20)/MAX('KT THAN'!$C$69,0.001)+'KT THAN'!$C$32*ABS(J20)/MAX('KT THAN'!$C$68,0.001)+'KT THAN'!$D$32*ABS(I20)/MAX('KT THAN'!$D$68,0.001),IF(OR(M20&lt;=0,N20&lt;=0),999,IF(H20&gt;=0.1*0.75*fc_*Agth*1000,H20/MAX(0.001,1/(1/M20+1/N20-1/(0.75*'KT THAN'!$C$62))),'KT THAN'!$C$32*ABS(J20)/MAX('KT THAN'!$C$68,0.001)+'KT THAN'!$D$32*ABS(I20)/MAX('KT THAN'!$D$68,0.001)))))</f>
        <v>0.97695550916490359</v>
      </c>
      <c r="P20" s="37" t="str">
        <f t="shared" si="4"/>
        <v>ĐẠT</v>
      </c>
      <c r="Q20" s="39">
        <f>IF($A20="","",MAX(0.001,'KT THAN'!$C$32*ABS(J20)/MAX(1,H20)))</f>
        <v>1.9756583321169763</v>
      </c>
      <c r="R20" s="39">
        <f>IF($A20="","",MAX(0.001,'KT THAN'!$D$32*ABS(I20)/MAX(1,H20)))</f>
        <v>0.55190829714982814</v>
      </c>
      <c r="S20" t="str">
        <f t="shared" si="5"/>
        <v/>
      </c>
    </row>
    <row r="21" spans="1:19" x14ac:dyDescent="0.3">
      <c r="A21" s="37" t="str">
        <f>IF(AND(nThan=1,2=2),"",'TO HOP'!B135)</f>
        <v/>
      </c>
      <c r="B21" s="39" t="str">
        <f>IF(A21="","",'TO HOP'!E135)</f>
        <v/>
      </c>
      <c r="C21" s="39" t="str">
        <f>IF(A21="","",'TO HOP'!F135)</f>
        <v/>
      </c>
      <c r="D21" s="39" t="str">
        <f>IF(A21="","",'TO HOP'!G135)</f>
        <v/>
      </c>
      <c r="E21" s="39" t="str">
        <f>IF(A21="","",'TO HOP'!C135)</f>
        <v/>
      </c>
      <c r="F21" s="39" t="str">
        <f>IF(A21="","",'TO HOP'!D135)</f>
        <v/>
      </c>
      <c r="G21" s="39" t="str">
        <f>IF(A21="","",2)</f>
        <v/>
      </c>
      <c r="H21" s="39" t="str">
        <f>IF(A21="","",IF(nThan=1,B21,B21/2+(-1)*$B$7*C21/sThan))</f>
        <v/>
      </c>
      <c r="I21" s="39" t="str">
        <f t="shared" si="0"/>
        <v/>
      </c>
      <c r="J21" s="39" t="str">
        <f t="shared" si="1"/>
        <v/>
      </c>
      <c r="K21" s="39" t="str">
        <f t="shared" si="2"/>
        <v/>
      </c>
      <c r="L21" s="39" t="str">
        <f t="shared" si="3"/>
        <v/>
      </c>
      <c r="M21" s="39" t="str">
        <f>IF($A21="","",IF(H21=0,"",IF(Q21&lt;=0.000000001,MIN(0.8*0.75*'KT THAN'!$C$62,MAX('KT THAN'!$J$38:$J$58)),IFERROR(MIN(0.8*0.75*'KT THAN'!$C$62,INDEX('KT THAN'!$J$38:$J$58,MATCH(Q21,'KT THAN'!$L$38:$L$58,-1))+(INDEX('KT THAN'!$J$38:$J$58,MIN(21,MATCH(Q21,'KT THAN'!$L$38:$L$58,-1)+1))-INDEX('KT THAN'!$J$38:$J$58,MATCH(Q21,'KT THAN'!$L$38:$L$58,-1)))*(Q21-INDEX('KT THAN'!$L$38:$L$58,MATCH(Q21,'KT THAN'!$L$38:$L$58,-1)))/(INDEX('KT THAN'!$L$38:$L$58,MIN(21,MATCH(Q21,'KT THAN'!$L$38:$L$58,-1)+1))-INDEX('KT THAN'!$L$38:$L$58,MATCH(Q21,'KT THAN'!$L$38:$L$58,-1)))),MIN(0.8*0.75*'KT THAN'!$C$62,'KT THAN'!$C$68/Q21)))))</f>
        <v/>
      </c>
      <c r="N21" s="39" t="str">
        <f>IF($A21="","",IF(H21=0,"",IF(R21&lt;=0.000000001,MIN(0.8*0.75*'KT THAN'!$C$62,MAX('KT THAN'!$W$38:$W$58)),IFERROR(MIN(0.8*0.75*'KT THAN'!$C$62,INDEX('KT THAN'!$W$38:$W$58,MATCH(R21,'KT THAN'!$Y$38:$Y$58,-1))+(INDEX('KT THAN'!$W$38:$W$58,MIN(21,MATCH(R21,'KT THAN'!$Y$38:$Y$58,-1)+1))-INDEX('KT THAN'!$W$38:$W$58,MATCH(R21,'KT THAN'!$Y$38:$Y$58,-1)))*(R21-INDEX('KT THAN'!$Y$38:$Y$58,MATCH(R21,'KT THAN'!$Y$38:$Y$58,-1)))/(INDEX('KT THAN'!$Y$38:$Y$58,MIN(21,MATCH(R21,'KT THAN'!$Y$38:$Y$58,-1)+1))-INDEX('KT THAN'!$Y$38:$Y$58,MATCH(R21,'KT THAN'!$Y$38:$Y$58,-1)))),MIN(0.8*0.75*'KT THAN'!$C$62,'KT THAN'!$D$68/R21)))))</f>
        <v/>
      </c>
      <c r="O21" s="39" t="str">
        <f>IF($A21="","",IF(H21&lt;0,ABS(H21)/MAX('KT THAN'!$C$69,0.001)+'KT THAN'!$C$32*ABS(J21)/MAX('KT THAN'!$C$68,0.001)+'KT THAN'!$D$32*ABS(I21)/MAX('KT THAN'!$D$68,0.001),IF(OR(M21&lt;=0,N21&lt;=0),999,IF(H21&gt;=0.1*0.75*fc_*Agth*1000,H21/MAX(0.001,1/(1/M21+1/N21-1/(0.75*'KT THAN'!$C$62))),'KT THAN'!$C$32*ABS(J21)/MAX('KT THAN'!$C$68,0.001)+'KT THAN'!$D$32*ABS(I21)/MAX('KT THAN'!$D$68,0.001)))))</f>
        <v/>
      </c>
      <c r="P21" s="37" t="str">
        <f t="shared" si="4"/>
        <v/>
      </c>
      <c r="Q21" s="39" t="str">
        <f>IF($A21="","",MAX(0.001,'KT THAN'!$C$32*ABS(J21)/MAX(1,H21)))</f>
        <v/>
      </c>
      <c r="R21" s="39" t="str">
        <f>IF($A21="","",MAX(0.001,'KT THAN'!$D$32*ABS(I21)/MAX(1,H21)))</f>
        <v/>
      </c>
      <c r="S21" t="str">
        <f t="shared" si="5"/>
        <v/>
      </c>
    </row>
    <row r="22" spans="1:19" x14ac:dyDescent="0.3">
      <c r="A22" s="37" t="str">
        <f>IF(AND(nThan=1,1=2),"",'TO HOP'!B136)</f>
        <v>SD I - 2 nhịp lệch tâm 6 làn</v>
      </c>
      <c r="B22" s="39">
        <f>IF(A22="","",'TO HOP'!E136)</f>
        <v>26046.678869589625</v>
      </c>
      <c r="C22" s="39">
        <f>IF(A22="","",'TO HOP'!F136)</f>
        <v>10844.876110150002</v>
      </c>
      <c r="D22" s="39">
        <f>IF(A22="","",'TO HOP'!G136)</f>
        <v>44919.487419648496</v>
      </c>
      <c r="E22" s="39">
        <f>IF(A22="","",'TO HOP'!C136)</f>
        <v>3611.4273926220267</v>
      </c>
      <c r="F22" s="39">
        <f>IF(A22="","",'TO HOP'!D136)</f>
        <v>165.63581000000002</v>
      </c>
      <c r="G22" s="39">
        <f>IF(A22="","",1)</f>
        <v>1</v>
      </c>
      <c r="H22" s="39">
        <f>IF(A22="","",IF(nThan=1,B22,B22/2+(1)*$B$7*C22/sThan))</f>
        <v>26046.678869589625</v>
      </c>
      <c r="I22" s="39">
        <f t="shared" si="0"/>
        <v>10844.876110150002</v>
      </c>
      <c r="J22" s="39">
        <f t="shared" si="1"/>
        <v>44919.487419648496</v>
      </c>
      <c r="K22" s="39">
        <f t="shared" si="2"/>
        <v>3611.4273926220267</v>
      </c>
      <c r="L22" s="39">
        <f t="shared" si="3"/>
        <v>165.63581000000002</v>
      </c>
      <c r="M22" s="39">
        <f>IF($A22="","",IF(H22=0,"",IF(Q22&lt;=0.000000001,MIN(0.8*0.75*'KT THAN'!$C$62,MAX('KT THAN'!$J$38:$J$58)),IFERROR(MIN(0.8*0.75*'KT THAN'!$C$62,INDEX('KT THAN'!$J$38:$J$58,MATCH(Q22,'KT THAN'!$L$38:$L$58,-1))+(INDEX('KT THAN'!$J$38:$J$58,MIN(21,MATCH(Q22,'KT THAN'!$L$38:$L$58,-1)+1))-INDEX('KT THAN'!$J$38:$J$58,MATCH(Q22,'KT THAN'!$L$38:$L$58,-1)))*(Q22-INDEX('KT THAN'!$L$38:$L$58,MATCH(Q22,'KT THAN'!$L$38:$L$58,-1)))/(INDEX('KT THAN'!$L$38:$L$58,MIN(21,MATCH(Q22,'KT THAN'!$L$38:$L$58,-1)+1))-INDEX('KT THAN'!$L$38:$L$58,MATCH(Q22,'KT THAN'!$L$38:$L$58,-1)))),MIN(0.8*0.75*'KT THAN'!$C$62,'KT THAN'!$C$68/Q22)))))</f>
        <v>28041.22519282742</v>
      </c>
      <c r="N22" s="39">
        <f>IF($A22="","",IF(H22=0,"",IF(R22&lt;=0.000000001,MIN(0.8*0.75*'KT THAN'!$C$62,MAX('KT THAN'!$W$38:$W$58)),IFERROR(MIN(0.8*0.75*'KT THAN'!$C$62,INDEX('KT THAN'!$W$38:$W$58,MATCH(R22,'KT THAN'!$Y$38:$Y$58,-1))+(INDEX('KT THAN'!$W$38:$W$58,MIN(21,MATCH(R22,'KT THAN'!$Y$38:$Y$58,-1)+1))-INDEX('KT THAN'!$W$38:$W$58,MATCH(R22,'KT THAN'!$Y$38:$Y$58,-1)))*(R22-INDEX('KT THAN'!$Y$38:$Y$58,MATCH(R22,'KT THAN'!$Y$38:$Y$58,-1)))/(INDEX('KT THAN'!$Y$38:$Y$58,MIN(21,MATCH(R22,'KT THAN'!$Y$38:$Y$58,-1)+1))-INDEX('KT THAN'!$Y$38:$Y$58,MATCH(R22,'KT THAN'!$Y$38:$Y$58,-1)))),MIN(0.8*0.75*'KT THAN'!$C$62,'KT THAN'!$D$68/R22)))))</f>
        <v>158763.07851952704</v>
      </c>
      <c r="O22" s="39">
        <f>IF($A22="","",IF(H22&lt;0,ABS(H22)/MAX('KT THAN'!$C$69,0.001)+'KT THAN'!$C$32*ABS(J22)/MAX('KT THAN'!$C$68,0.001)+'KT THAN'!$D$32*ABS(I22)/MAX('KT THAN'!$D$68,0.001),IF(OR(M22&lt;=0,N22&lt;=0),999,IF(H22&gt;=0.1*0.75*fc_*Agth*1000,H22/MAX(0.001,1/(1/M22+1/N22-1/(0.75*'KT THAN'!$C$62))),'KT THAN'!$C$32*ABS(J22)/MAX('KT THAN'!$C$68,0.001)+'KT THAN'!$D$32*ABS(I22)/MAX('KT THAN'!$D$68,0.001)))))</f>
        <v>0.96168293842764907</v>
      </c>
      <c r="P22" s="37" t="str">
        <f t="shared" si="4"/>
        <v>ĐẠT</v>
      </c>
      <c r="Q22" s="39">
        <f>IF($A22="","",MAX(0.001,'KT THAN'!$C$32*ABS(J22)/MAX(1,H22)))</f>
        <v>1.9284863552884097</v>
      </c>
      <c r="R22" s="39">
        <f>IF($A22="","",MAX(0.001,'KT THAN'!$D$32*ABS(I22)/MAX(1,H22)))</f>
        <v>0.41636310580892372</v>
      </c>
      <c r="S22" t="str">
        <f t="shared" si="5"/>
        <v/>
      </c>
    </row>
    <row r="23" spans="1:19" x14ac:dyDescent="0.3">
      <c r="A23" s="37" t="str">
        <f>IF(AND(nThan=1,2=2),"",'TO HOP'!B136)</f>
        <v/>
      </c>
      <c r="B23" s="39" t="str">
        <f>IF(A23="","",'TO HOP'!E136)</f>
        <v/>
      </c>
      <c r="C23" s="39" t="str">
        <f>IF(A23="","",'TO HOP'!F136)</f>
        <v/>
      </c>
      <c r="D23" s="39" t="str">
        <f>IF(A23="","",'TO HOP'!G136)</f>
        <v/>
      </c>
      <c r="E23" s="39" t="str">
        <f>IF(A23="","",'TO HOP'!C136)</f>
        <v/>
      </c>
      <c r="F23" s="39" t="str">
        <f>IF(A23="","",'TO HOP'!D136)</f>
        <v/>
      </c>
      <c r="G23" s="39" t="str">
        <f>IF(A23="","",2)</f>
        <v/>
      </c>
      <c r="H23" s="39" t="str">
        <f>IF(A23="","",IF(nThan=1,B23,B23/2+(-1)*$B$7*C23/sThan))</f>
        <v/>
      </c>
      <c r="I23" s="39" t="str">
        <f t="shared" si="0"/>
        <v/>
      </c>
      <c r="J23" s="39" t="str">
        <f t="shared" si="1"/>
        <v/>
      </c>
      <c r="K23" s="39" t="str">
        <f t="shared" si="2"/>
        <v/>
      </c>
      <c r="L23" s="39" t="str">
        <f t="shared" si="3"/>
        <v/>
      </c>
      <c r="M23" s="39" t="str">
        <f>IF($A23="","",IF(H23=0,"",IF(Q23&lt;=0.000000001,MIN(0.8*0.75*'KT THAN'!$C$62,MAX('KT THAN'!$J$38:$J$58)),IFERROR(MIN(0.8*0.75*'KT THAN'!$C$62,INDEX('KT THAN'!$J$38:$J$58,MATCH(Q23,'KT THAN'!$L$38:$L$58,-1))+(INDEX('KT THAN'!$J$38:$J$58,MIN(21,MATCH(Q23,'KT THAN'!$L$38:$L$58,-1)+1))-INDEX('KT THAN'!$J$38:$J$58,MATCH(Q23,'KT THAN'!$L$38:$L$58,-1)))*(Q23-INDEX('KT THAN'!$L$38:$L$58,MATCH(Q23,'KT THAN'!$L$38:$L$58,-1)))/(INDEX('KT THAN'!$L$38:$L$58,MIN(21,MATCH(Q23,'KT THAN'!$L$38:$L$58,-1)+1))-INDEX('KT THAN'!$L$38:$L$58,MATCH(Q23,'KT THAN'!$L$38:$L$58,-1)))),MIN(0.8*0.75*'KT THAN'!$C$62,'KT THAN'!$C$68/Q23)))))</f>
        <v/>
      </c>
      <c r="N23" s="39" t="str">
        <f>IF($A23="","",IF(H23=0,"",IF(R23&lt;=0.000000001,MIN(0.8*0.75*'KT THAN'!$C$62,MAX('KT THAN'!$W$38:$W$58)),IFERROR(MIN(0.8*0.75*'KT THAN'!$C$62,INDEX('KT THAN'!$W$38:$W$58,MATCH(R23,'KT THAN'!$Y$38:$Y$58,-1))+(INDEX('KT THAN'!$W$38:$W$58,MIN(21,MATCH(R23,'KT THAN'!$Y$38:$Y$58,-1)+1))-INDEX('KT THAN'!$W$38:$W$58,MATCH(R23,'KT THAN'!$Y$38:$Y$58,-1)))*(R23-INDEX('KT THAN'!$Y$38:$Y$58,MATCH(R23,'KT THAN'!$Y$38:$Y$58,-1)))/(INDEX('KT THAN'!$Y$38:$Y$58,MIN(21,MATCH(R23,'KT THAN'!$Y$38:$Y$58,-1)+1))-INDEX('KT THAN'!$Y$38:$Y$58,MATCH(R23,'KT THAN'!$Y$38:$Y$58,-1)))),MIN(0.8*0.75*'KT THAN'!$C$62,'KT THAN'!$D$68/R23)))))</f>
        <v/>
      </c>
      <c r="O23" s="39" t="str">
        <f>IF($A23="","",IF(H23&lt;0,ABS(H23)/MAX('KT THAN'!$C$69,0.001)+'KT THAN'!$C$32*ABS(J23)/MAX('KT THAN'!$C$68,0.001)+'KT THAN'!$D$32*ABS(I23)/MAX('KT THAN'!$D$68,0.001),IF(OR(M23&lt;=0,N23&lt;=0),999,IF(H23&gt;=0.1*0.75*fc_*Agth*1000,H23/MAX(0.001,1/(1/M23+1/N23-1/(0.75*'KT THAN'!$C$62))),'KT THAN'!$C$32*ABS(J23)/MAX('KT THAN'!$C$68,0.001)+'KT THAN'!$D$32*ABS(I23)/MAX('KT THAN'!$D$68,0.001)))))</f>
        <v/>
      </c>
      <c r="P23" s="37" t="str">
        <f t="shared" si="4"/>
        <v/>
      </c>
      <c r="Q23" s="39" t="str">
        <f>IF($A23="","",MAX(0.001,'KT THAN'!$C$32*ABS(J23)/MAX(1,H23)))</f>
        <v/>
      </c>
      <c r="R23" s="39" t="str">
        <f>IF($A23="","",MAX(0.001,'KT THAN'!$D$32*ABS(I23)/MAX(1,H23)))</f>
        <v/>
      </c>
      <c r="S23" t="str">
        <f t="shared" si="5"/>
        <v/>
      </c>
    </row>
    <row r="24" spans="1:19" x14ac:dyDescent="0.3">
      <c r="A24" s="37" t="str">
        <f>IF(AND(nThan=1,1=2),"",'TO HOP'!B137)</f>
        <v>SD I - 2 nhịp đúng tâm 1 làn</v>
      </c>
      <c r="B24" s="39">
        <f>IF(A24="","",'TO HOP'!E137)</f>
        <v>23463.377945589622</v>
      </c>
      <c r="C24" s="39">
        <f>IF(A24="","",'TO HOP'!F137)</f>
        <v>1982.7187736500002</v>
      </c>
      <c r="D24" s="39">
        <f>IF(A24="","",'TO HOP'!G137)</f>
        <v>44919.487419648496</v>
      </c>
      <c r="E24" s="39">
        <f>IF(A24="","",'TO HOP'!C137)</f>
        <v>3611.4273926220267</v>
      </c>
      <c r="F24" s="39">
        <f>IF(A24="","",'TO HOP'!D137)</f>
        <v>165.63581000000002</v>
      </c>
      <c r="G24" s="39">
        <f>IF(A24="","",1)</f>
        <v>1</v>
      </c>
      <c r="H24" s="39">
        <f>IF(A24="","",IF(nThan=1,B24,B24/2+(1)*$B$7*C24/sThan))</f>
        <v>23463.377945589622</v>
      </c>
      <c r="I24" s="39">
        <f t="shared" si="0"/>
        <v>1982.7187736500002</v>
      </c>
      <c r="J24" s="39">
        <f t="shared" si="1"/>
        <v>44919.487419648496</v>
      </c>
      <c r="K24" s="39">
        <f t="shared" si="2"/>
        <v>3611.4273926220267</v>
      </c>
      <c r="L24" s="39">
        <f t="shared" si="3"/>
        <v>165.63581000000002</v>
      </c>
      <c r="M24" s="39">
        <f>IF($A24="","",IF(H24=0,"",IF(Q24&lt;=0.000000001,MIN(0.8*0.75*'KT THAN'!$C$62,MAX('KT THAN'!$J$38:$J$58)),IFERROR(MIN(0.8*0.75*'KT THAN'!$C$62,INDEX('KT THAN'!$J$38:$J$58,MATCH(Q24,'KT THAN'!$L$38:$L$58,-1))+(INDEX('KT THAN'!$J$38:$J$58,MIN(21,MATCH(Q24,'KT THAN'!$L$38:$L$58,-1)+1))-INDEX('KT THAN'!$J$38:$J$58,MATCH(Q24,'KT THAN'!$L$38:$L$58,-1)))*(Q24-INDEX('KT THAN'!$L$38:$L$58,MATCH(Q24,'KT THAN'!$L$38:$L$58,-1)))/(INDEX('KT THAN'!$L$38:$L$58,MIN(21,MATCH(Q24,'KT THAN'!$L$38:$L$58,-1)+1))-INDEX('KT THAN'!$L$38:$L$58,MATCH(Q24,'KT THAN'!$L$38:$L$58,-1)))),MIN(0.8*0.75*'KT THAN'!$C$62,'KT THAN'!$C$68/Q24)))))</f>
        <v>23471.971256040313</v>
      </c>
      <c r="N24" s="39">
        <f>IF($A24="","",IF(H24=0,"",IF(R24&lt;=0.000000001,MIN(0.8*0.75*'KT THAN'!$C$62,MAX('KT THAN'!$W$38:$W$58)),IFERROR(MIN(0.8*0.75*'KT THAN'!$C$62,INDEX('KT THAN'!$W$38:$W$58,MATCH(R24,'KT THAN'!$Y$38:$Y$58,-1))+(INDEX('KT THAN'!$W$38:$W$58,MIN(21,MATCH(R24,'KT THAN'!$Y$38:$Y$58,-1)+1))-INDEX('KT THAN'!$W$38:$W$58,MATCH(R24,'KT THAN'!$Y$38:$Y$58,-1)))*(R24-INDEX('KT THAN'!$Y$38:$Y$58,MATCH(R24,'KT THAN'!$Y$38:$Y$58,-1)))/(INDEX('KT THAN'!$Y$38:$Y$58,MIN(21,MATCH(R24,'KT THAN'!$Y$38:$Y$58,-1)+1))-INDEX('KT THAN'!$Y$38:$Y$58,MATCH(R24,'KT THAN'!$Y$38:$Y$58,-1)))),MIN(0.8*0.75*'KT THAN'!$C$62,'KT THAN'!$D$68/R24)))))</f>
        <v>158763.07851952704</v>
      </c>
      <c r="O24" s="39">
        <f>IF($A24="","",IF(H24&lt;0,ABS(H24)/MAX('KT THAN'!$C$69,0.001)+'KT THAN'!$C$32*ABS(J24)/MAX('KT THAN'!$C$68,0.001)+'KT THAN'!$D$32*ABS(I24)/MAX('KT THAN'!$D$68,0.001),IF(OR(M24&lt;=0,N24&lt;=0),999,IF(H24&gt;=0.1*0.75*fc_*Agth*1000,H24/MAX(0.001,1/(1/M24+1/N24-1/(0.75*'KT THAN'!$C$62))),'KT THAN'!$C$32*ABS(J24)/MAX('KT THAN'!$C$68,0.001)+'KT THAN'!$D$32*ABS(I24)/MAX('KT THAN'!$D$68,0.001)))))</f>
        <v>1.0291916166480493</v>
      </c>
      <c r="P24" s="37" t="str">
        <f t="shared" si="4"/>
        <v>KHÔNG ĐẠT</v>
      </c>
      <c r="Q24" s="39">
        <f>IF($A24="","",MAX(0.001,'KT THAN'!$C$32*ABS(J24)/MAX(1,H24)))</f>
        <v>2.1408113067549306</v>
      </c>
      <c r="R24" s="39">
        <f>IF($A24="","",MAX(0.001,'KT THAN'!$D$32*ABS(I24)/MAX(1,H24)))</f>
        <v>8.4502699408747717E-2</v>
      </c>
      <c r="S24" t="str">
        <f t="shared" si="5"/>
        <v/>
      </c>
    </row>
    <row r="25" spans="1:19" x14ac:dyDescent="0.3">
      <c r="A25" s="37" t="str">
        <f>IF(AND(nThan=1,2=2),"",'TO HOP'!B137)</f>
        <v/>
      </c>
      <c r="B25" s="39" t="str">
        <f>IF(A25="","",'TO HOP'!E137)</f>
        <v/>
      </c>
      <c r="C25" s="39" t="str">
        <f>IF(A25="","",'TO HOP'!F137)</f>
        <v/>
      </c>
      <c r="D25" s="39" t="str">
        <f>IF(A25="","",'TO HOP'!G137)</f>
        <v/>
      </c>
      <c r="E25" s="39" t="str">
        <f>IF(A25="","",'TO HOP'!C137)</f>
        <v/>
      </c>
      <c r="F25" s="39" t="str">
        <f>IF(A25="","",'TO HOP'!D137)</f>
        <v/>
      </c>
      <c r="G25" s="39" t="str">
        <f>IF(A25="","",2)</f>
        <v/>
      </c>
      <c r="H25" s="39" t="str">
        <f>IF(A25="","",IF(nThan=1,B25,B25/2+(-1)*$B$7*C25/sThan))</f>
        <v/>
      </c>
      <c r="I25" s="39" t="str">
        <f t="shared" si="0"/>
        <v/>
      </c>
      <c r="J25" s="39" t="str">
        <f t="shared" si="1"/>
        <v/>
      </c>
      <c r="K25" s="39" t="str">
        <f t="shared" si="2"/>
        <v/>
      </c>
      <c r="L25" s="39" t="str">
        <f t="shared" si="3"/>
        <v/>
      </c>
      <c r="M25" s="39" t="str">
        <f>IF($A25="","",IF(H25=0,"",IF(Q25&lt;=0.000000001,MIN(0.8*0.75*'KT THAN'!$C$62,MAX('KT THAN'!$J$38:$J$58)),IFERROR(MIN(0.8*0.75*'KT THAN'!$C$62,INDEX('KT THAN'!$J$38:$J$58,MATCH(Q25,'KT THAN'!$L$38:$L$58,-1))+(INDEX('KT THAN'!$J$38:$J$58,MIN(21,MATCH(Q25,'KT THAN'!$L$38:$L$58,-1)+1))-INDEX('KT THAN'!$J$38:$J$58,MATCH(Q25,'KT THAN'!$L$38:$L$58,-1)))*(Q25-INDEX('KT THAN'!$L$38:$L$58,MATCH(Q25,'KT THAN'!$L$38:$L$58,-1)))/(INDEX('KT THAN'!$L$38:$L$58,MIN(21,MATCH(Q25,'KT THAN'!$L$38:$L$58,-1)+1))-INDEX('KT THAN'!$L$38:$L$58,MATCH(Q25,'KT THAN'!$L$38:$L$58,-1)))),MIN(0.8*0.75*'KT THAN'!$C$62,'KT THAN'!$C$68/Q25)))))</f>
        <v/>
      </c>
      <c r="N25" s="39" t="str">
        <f>IF($A25="","",IF(H25=0,"",IF(R25&lt;=0.000000001,MIN(0.8*0.75*'KT THAN'!$C$62,MAX('KT THAN'!$W$38:$W$58)),IFERROR(MIN(0.8*0.75*'KT THAN'!$C$62,INDEX('KT THAN'!$W$38:$W$58,MATCH(R25,'KT THAN'!$Y$38:$Y$58,-1))+(INDEX('KT THAN'!$W$38:$W$58,MIN(21,MATCH(R25,'KT THAN'!$Y$38:$Y$58,-1)+1))-INDEX('KT THAN'!$W$38:$W$58,MATCH(R25,'KT THAN'!$Y$38:$Y$58,-1)))*(R25-INDEX('KT THAN'!$Y$38:$Y$58,MATCH(R25,'KT THAN'!$Y$38:$Y$58,-1)))/(INDEX('KT THAN'!$Y$38:$Y$58,MIN(21,MATCH(R25,'KT THAN'!$Y$38:$Y$58,-1)+1))-INDEX('KT THAN'!$Y$38:$Y$58,MATCH(R25,'KT THAN'!$Y$38:$Y$58,-1)))),MIN(0.8*0.75*'KT THAN'!$C$62,'KT THAN'!$D$68/R25)))))</f>
        <v/>
      </c>
      <c r="O25" s="39" t="str">
        <f>IF($A25="","",IF(H25&lt;0,ABS(H25)/MAX('KT THAN'!$C$69,0.001)+'KT THAN'!$C$32*ABS(J25)/MAX('KT THAN'!$C$68,0.001)+'KT THAN'!$D$32*ABS(I25)/MAX('KT THAN'!$D$68,0.001),IF(OR(M25&lt;=0,N25&lt;=0),999,IF(H25&gt;=0.1*0.75*fc_*Agth*1000,H25/MAX(0.001,1/(1/M25+1/N25-1/(0.75*'KT THAN'!$C$62))),'KT THAN'!$C$32*ABS(J25)/MAX('KT THAN'!$C$68,0.001)+'KT THAN'!$D$32*ABS(I25)/MAX('KT THAN'!$D$68,0.001)))))</f>
        <v/>
      </c>
      <c r="P25" s="37" t="str">
        <f t="shared" si="4"/>
        <v/>
      </c>
      <c r="Q25" s="39" t="str">
        <f>IF($A25="","",MAX(0.001,'KT THAN'!$C$32*ABS(J25)/MAX(1,H25)))</f>
        <v/>
      </c>
      <c r="R25" s="39" t="str">
        <f>IF($A25="","",MAX(0.001,'KT THAN'!$D$32*ABS(I25)/MAX(1,H25)))</f>
        <v/>
      </c>
      <c r="S25" t="str">
        <f t="shared" si="5"/>
        <v/>
      </c>
    </row>
    <row r="26" spans="1:19" x14ac:dyDescent="0.3">
      <c r="A26" s="37" t="str">
        <f>IF(AND(nThan=1,1=2),"",'TO HOP'!B138)</f>
        <v>SD I - 2 nhịp đúng tâm 2 làn</v>
      </c>
      <c r="B26" s="39">
        <f>IF(A26="","",'TO HOP'!E138)</f>
        <v>24228.800441589625</v>
      </c>
      <c r="C26" s="39">
        <f>IF(A26="","",'TO HOP'!F138)</f>
        <v>1982.7187736500002</v>
      </c>
      <c r="D26" s="39">
        <f>IF(A26="","",'TO HOP'!G138)</f>
        <v>44919.487419648496</v>
      </c>
      <c r="E26" s="39">
        <f>IF(A26="","",'TO HOP'!C138)</f>
        <v>3611.4273926220267</v>
      </c>
      <c r="F26" s="39">
        <f>IF(A26="","",'TO HOP'!D138)</f>
        <v>165.63581000000002</v>
      </c>
      <c r="G26" s="39">
        <f>IF(A26="","",1)</f>
        <v>1</v>
      </c>
      <c r="H26" s="39">
        <f>IF(A26="","",IF(nThan=1,B26,B26/2+(1)*$B$7*C26/sThan))</f>
        <v>24228.800441589625</v>
      </c>
      <c r="I26" s="39">
        <f t="shared" si="0"/>
        <v>1982.7187736500002</v>
      </c>
      <c r="J26" s="39">
        <f t="shared" si="1"/>
        <v>44919.487419648496</v>
      </c>
      <c r="K26" s="39">
        <f t="shared" si="2"/>
        <v>3611.4273926220267</v>
      </c>
      <c r="L26" s="39">
        <f t="shared" si="3"/>
        <v>165.63581000000002</v>
      </c>
      <c r="M26" s="39">
        <f>IF($A26="","",IF(H26=0,"",IF(Q26&lt;=0.000000001,MIN(0.8*0.75*'KT THAN'!$C$62,MAX('KT THAN'!$J$38:$J$58)),IFERROR(MIN(0.8*0.75*'KT THAN'!$C$62,INDEX('KT THAN'!$J$38:$J$58,MATCH(Q26,'KT THAN'!$L$38:$L$58,-1))+(INDEX('KT THAN'!$J$38:$J$58,MIN(21,MATCH(Q26,'KT THAN'!$L$38:$L$58,-1)+1))-INDEX('KT THAN'!$J$38:$J$58,MATCH(Q26,'KT THAN'!$L$38:$L$58,-1)))*(Q26-INDEX('KT THAN'!$L$38:$L$58,MATCH(Q26,'KT THAN'!$L$38:$L$58,-1)))/(INDEX('KT THAN'!$L$38:$L$58,MIN(21,MATCH(Q26,'KT THAN'!$L$38:$L$58,-1)+1))-INDEX('KT THAN'!$L$38:$L$58,MATCH(Q26,'KT THAN'!$L$38:$L$58,-1)))),MIN(0.8*0.75*'KT THAN'!$C$62,'KT THAN'!$C$68/Q26)))))</f>
        <v>24927.403393074383</v>
      </c>
      <c r="N26" s="39">
        <f>IF($A26="","",IF(H26=0,"",IF(R26&lt;=0.000000001,MIN(0.8*0.75*'KT THAN'!$C$62,MAX('KT THAN'!$W$38:$W$58)),IFERROR(MIN(0.8*0.75*'KT THAN'!$C$62,INDEX('KT THAN'!$W$38:$W$58,MATCH(R26,'KT THAN'!$Y$38:$Y$58,-1))+(INDEX('KT THAN'!$W$38:$W$58,MIN(21,MATCH(R26,'KT THAN'!$Y$38:$Y$58,-1)+1))-INDEX('KT THAN'!$W$38:$W$58,MATCH(R26,'KT THAN'!$Y$38:$Y$58,-1)))*(R26-INDEX('KT THAN'!$Y$38:$Y$58,MATCH(R26,'KT THAN'!$Y$38:$Y$58,-1)))/(INDEX('KT THAN'!$Y$38:$Y$58,MIN(21,MATCH(R26,'KT THAN'!$Y$38:$Y$58,-1)+1))-INDEX('KT THAN'!$Y$38:$Y$58,MATCH(R26,'KT THAN'!$Y$38:$Y$58,-1)))),MIN(0.8*0.75*'KT THAN'!$C$62,'KT THAN'!$D$68/R26)))))</f>
        <v>158763.07851952704</v>
      </c>
      <c r="O26" s="39">
        <f>IF($A26="","",IF(H26&lt;0,ABS(H26)/MAX('KT THAN'!$C$69,0.001)+'KT THAN'!$C$32*ABS(J26)/MAX('KT THAN'!$C$68,0.001)+'KT THAN'!$D$32*ABS(I26)/MAX('KT THAN'!$D$68,0.001),IF(OR(M26&lt;=0,N26&lt;=0),999,IF(H26&gt;=0.1*0.75*fc_*Agth*1000,H26/MAX(0.001,1/(1/M26+1/N26-1/(0.75*'KT THAN'!$C$62))),'KT THAN'!$C$32*ABS(J26)/MAX('KT THAN'!$C$68,0.001)+'KT THAN'!$D$32*ABS(I26)/MAX('KT THAN'!$D$68,0.001)))))</f>
        <v>1.002496458156225</v>
      </c>
      <c r="P26" s="37" t="str">
        <f t="shared" si="4"/>
        <v>KHÔNG ĐẠT</v>
      </c>
      <c r="Q26" s="39">
        <f>IF($A26="","",MAX(0.001,'KT THAN'!$C$32*ABS(J26)/MAX(1,H26)))</f>
        <v>2.0731800124268536</v>
      </c>
      <c r="R26" s="39">
        <f>IF($A26="","",MAX(0.001,'KT THAN'!$D$32*ABS(I26)/MAX(1,H26)))</f>
        <v>8.1833138146063175E-2</v>
      </c>
      <c r="S26" t="str">
        <f t="shared" si="5"/>
        <v/>
      </c>
    </row>
    <row r="27" spans="1:19" x14ac:dyDescent="0.3">
      <c r="A27" s="37" t="str">
        <f>IF(AND(nThan=1,2=2),"",'TO HOP'!B138)</f>
        <v/>
      </c>
      <c r="B27" s="39" t="str">
        <f>IF(A27="","",'TO HOP'!E138)</f>
        <v/>
      </c>
      <c r="C27" s="39" t="str">
        <f>IF(A27="","",'TO HOP'!F138)</f>
        <v/>
      </c>
      <c r="D27" s="39" t="str">
        <f>IF(A27="","",'TO HOP'!G138)</f>
        <v/>
      </c>
      <c r="E27" s="39" t="str">
        <f>IF(A27="","",'TO HOP'!C138)</f>
        <v/>
      </c>
      <c r="F27" s="39" t="str">
        <f>IF(A27="","",'TO HOP'!D138)</f>
        <v/>
      </c>
      <c r="G27" s="39" t="str">
        <f>IF(A27="","",2)</f>
        <v/>
      </c>
      <c r="H27" s="39" t="str">
        <f>IF(A27="","",IF(nThan=1,B27,B27/2+(-1)*$B$7*C27/sThan))</f>
        <v/>
      </c>
      <c r="I27" s="39" t="str">
        <f t="shared" si="0"/>
        <v/>
      </c>
      <c r="J27" s="39" t="str">
        <f t="shared" si="1"/>
        <v/>
      </c>
      <c r="K27" s="39" t="str">
        <f t="shared" si="2"/>
        <v/>
      </c>
      <c r="L27" s="39" t="str">
        <f t="shared" si="3"/>
        <v/>
      </c>
      <c r="M27" s="39" t="str">
        <f>IF($A27="","",IF(H27=0,"",IF(Q27&lt;=0.000000001,MIN(0.8*0.75*'KT THAN'!$C$62,MAX('KT THAN'!$J$38:$J$58)),IFERROR(MIN(0.8*0.75*'KT THAN'!$C$62,INDEX('KT THAN'!$J$38:$J$58,MATCH(Q27,'KT THAN'!$L$38:$L$58,-1))+(INDEX('KT THAN'!$J$38:$J$58,MIN(21,MATCH(Q27,'KT THAN'!$L$38:$L$58,-1)+1))-INDEX('KT THAN'!$J$38:$J$58,MATCH(Q27,'KT THAN'!$L$38:$L$58,-1)))*(Q27-INDEX('KT THAN'!$L$38:$L$58,MATCH(Q27,'KT THAN'!$L$38:$L$58,-1)))/(INDEX('KT THAN'!$L$38:$L$58,MIN(21,MATCH(Q27,'KT THAN'!$L$38:$L$58,-1)+1))-INDEX('KT THAN'!$L$38:$L$58,MATCH(Q27,'KT THAN'!$L$38:$L$58,-1)))),MIN(0.8*0.75*'KT THAN'!$C$62,'KT THAN'!$C$68/Q27)))))</f>
        <v/>
      </c>
      <c r="N27" s="39" t="str">
        <f>IF($A27="","",IF(H27=0,"",IF(R27&lt;=0.000000001,MIN(0.8*0.75*'KT THAN'!$C$62,MAX('KT THAN'!$W$38:$W$58)),IFERROR(MIN(0.8*0.75*'KT THAN'!$C$62,INDEX('KT THAN'!$W$38:$W$58,MATCH(R27,'KT THAN'!$Y$38:$Y$58,-1))+(INDEX('KT THAN'!$W$38:$W$58,MIN(21,MATCH(R27,'KT THAN'!$Y$38:$Y$58,-1)+1))-INDEX('KT THAN'!$W$38:$W$58,MATCH(R27,'KT THAN'!$Y$38:$Y$58,-1)))*(R27-INDEX('KT THAN'!$Y$38:$Y$58,MATCH(R27,'KT THAN'!$Y$38:$Y$58,-1)))/(INDEX('KT THAN'!$Y$38:$Y$58,MIN(21,MATCH(R27,'KT THAN'!$Y$38:$Y$58,-1)+1))-INDEX('KT THAN'!$Y$38:$Y$58,MATCH(R27,'KT THAN'!$Y$38:$Y$58,-1)))),MIN(0.8*0.75*'KT THAN'!$C$62,'KT THAN'!$D$68/R27)))))</f>
        <v/>
      </c>
      <c r="O27" s="39" t="str">
        <f>IF($A27="","",IF(H27&lt;0,ABS(H27)/MAX('KT THAN'!$C$69,0.001)+'KT THAN'!$C$32*ABS(J27)/MAX('KT THAN'!$C$68,0.001)+'KT THAN'!$D$32*ABS(I27)/MAX('KT THAN'!$D$68,0.001),IF(OR(M27&lt;=0,N27&lt;=0),999,IF(H27&gt;=0.1*0.75*fc_*Agth*1000,H27/MAX(0.001,1/(1/M27+1/N27-1/(0.75*'KT THAN'!$C$62))),'KT THAN'!$C$32*ABS(J27)/MAX('KT THAN'!$C$68,0.001)+'KT THAN'!$D$32*ABS(I27)/MAX('KT THAN'!$D$68,0.001)))))</f>
        <v/>
      </c>
      <c r="P27" s="37" t="str">
        <f t="shared" si="4"/>
        <v/>
      </c>
      <c r="Q27" s="39" t="str">
        <f>IF($A27="","",MAX(0.001,'KT THAN'!$C$32*ABS(J27)/MAX(1,H27)))</f>
        <v/>
      </c>
      <c r="R27" s="39" t="str">
        <f>IF($A27="","",MAX(0.001,'KT THAN'!$D$32*ABS(I27)/MAX(1,H27)))</f>
        <v/>
      </c>
      <c r="S27" t="str">
        <f t="shared" si="5"/>
        <v/>
      </c>
    </row>
    <row r="28" spans="1:19" x14ac:dyDescent="0.3">
      <c r="A28" s="37" t="str">
        <f>IF(AND(nThan=1,1=2),"",'TO HOP'!B139)</f>
        <v>SD I - 2 nhịp đúng tâm 3 làn</v>
      </c>
      <c r="B28" s="39">
        <f>IF(A28="","",'TO HOP'!E139)</f>
        <v>24755.028407589623</v>
      </c>
      <c r="C28" s="39">
        <f>IF(A28="","",'TO HOP'!F139)</f>
        <v>1982.7187736500002</v>
      </c>
      <c r="D28" s="39">
        <f>IF(A28="","",'TO HOP'!G139)</f>
        <v>44919.487419648496</v>
      </c>
      <c r="E28" s="39">
        <f>IF(A28="","",'TO HOP'!C139)</f>
        <v>3611.4273926220267</v>
      </c>
      <c r="F28" s="39">
        <f>IF(A28="","",'TO HOP'!D139)</f>
        <v>165.63581000000002</v>
      </c>
      <c r="G28" s="39">
        <f>IF(A28="","",1)</f>
        <v>1</v>
      </c>
      <c r="H28" s="39">
        <f>IF(A28="","",IF(nThan=1,B28,B28/2+(1)*$B$7*C28/sThan))</f>
        <v>24755.028407589623</v>
      </c>
      <c r="I28" s="39">
        <f t="shared" si="0"/>
        <v>1982.7187736500002</v>
      </c>
      <c r="J28" s="39">
        <f t="shared" si="1"/>
        <v>44919.487419648496</v>
      </c>
      <c r="K28" s="39">
        <f t="shared" si="2"/>
        <v>3611.4273926220267</v>
      </c>
      <c r="L28" s="39">
        <f t="shared" si="3"/>
        <v>165.63581000000002</v>
      </c>
      <c r="M28" s="39">
        <f>IF($A28="","",IF(H28=0,"",IF(Q28&lt;=0.000000001,MIN(0.8*0.75*'KT THAN'!$C$62,MAX('KT THAN'!$J$38:$J$58)),IFERROR(MIN(0.8*0.75*'KT THAN'!$C$62,INDEX('KT THAN'!$J$38:$J$58,MATCH(Q28,'KT THAN'!$L$38:$L$58,-1))+(INDEX('KT THAN'!$J$38:$J$58,MIN(21,MATCH(Q28,'KT THAN'!$L$38:$L$58,-1)+1))-INDEX('KT THAN'!$J$38:$J$58,MATCH(Q28,'KT THAN'!$L$38:$L$58,-1)))*(Q28-INDEX('KT THAN'!$L$38:$L$58,MATCH(Q28,'KT THAN'!$L$38:$L$58,-1)))/(INDEX('KT THAN'!$L$38:$L$58,MIN(21,MATCH(Q28,'KT THAN'!$L$38:$L$58,-1)+1))-INDEX('KT THAN'!$L$38:$L$58,MATCH(Q28,'KT THAN'!$L$38:$L$58,-1)))),MIN(0.8*0.75*'KT THAN'!$C$62,'KT THAN'!$C$68/Q28)))))</f>
        <v>25875.803883608889</v>
      </c>
      <c r="N28" s="39">
        <f>IF($A28="","",IF(H28=0,"",IF(R28&lt;=0.000000001,MIN(0.8*0.75*'KT THAN'!$C$62,MAX('KT THAN'!$W$38:$W$58)),IFERROR(MIN(0.8*0.75*'KT THAN'!$C$62,INDEX('KT THAN'!$W$38:$W$58,MATCH(R28,'KT THAN'!$Y$38:$Y$58,-1))+(INDEX('KT THAN'!$W$38:$W$58,MIN(21,MATCH(R28,'KT THAN'!$Y$38:$Y$58,-1)+1))-INDEX('KT THAN'!$W$38:$W$58,MATCH(R28,'KT THAN'!$Y$38:$Y$58,-1)))*(R28-INDEX('KT THAN'!$Y$38:$Y$58,MATCH(R28,'KT THAN'!$Y$38:$Y$58,-1)))/(INDEX('KT THAN'!$Y$38:$Y$58,MIN(21,MATCH(R28,'KT THAN'!$Y$38:$Y$58,-1)+1))-INDEX('KT THAN'!$Y$38:$Y$58,MATCH(R28,'KT THAN'!$Y$38:$Y$58,-1)))),MIN(0.8*0.75*'KT THAN'!$C$62,'KT THAN'!$D$68/R28)))))</f>
        <v>158763.07851952704</v>
      </c>
      <c r="O28" s="39">
        <f>IF($A28="","",IF(H28&lt;0,ABS(H28)/MAX('KT THAN'!$C$69,0.001)+'KT THAN'!$C$32*ABS(J28)/MAX('KT THAN'!$C$68,0.001)+'KT THAN'!$D$32*ABS(I28)/MAX('KT THAN'!$D$68,0.001),IF(OR(M28&lt;=0,N28&lt;=0),999,IF(H28&gt;=0.1*0.75*fc_*Agth*1000,H28/MAX(0.001,1/(1/M28+1/N28-1/(0.75*'KT THAN'!$C$62))),'KT THAN'!$C$32*ABS(J28)/MAX('KT THAN'!$C$68,0.001)+'KT THAN'!$D$32*ABS(I28)/MAX('KT THAN'!$D$68,0.001)))))</f>
        <v>0.98787121964266744</v>
      </c>
      <c r="P28" s="37" t="str">
        <f t="shared" si="4"/>
        <v>ĐẠT</v>
      </c>
      <c r="Q28" s="39">
        <f>IF($A28="","",MAX(0.001,'KT THAN'!$C$32*ABS(J28)/MAX(1,H28)))</f>
        <v>2.0291095600270999</v>
      </c>
      <c r="R28" s="39">
        <f>IF($A28="","",MAX(0.001,'KT THAN'!$D$32*ABS(I28)/MAX(1,H28)))</f>
        <v>8.009357698988219E-2</v>
      </c>
      <c r="S28" t="str">
        <f t="shared" si="5"/>
        <v/>
      </c>
    </row>
    <row r="29" spans="1:19" x14ac:dyDescent="0.3">
      <c r="A29" s="37" t="str">
        <f>IF(AND(nThan=1,2=2),"",'TO HOP'!B139)</f>
        <v/>
      </c>
      <c r="B29" s="39" t="str">
        <f>IF(A29="","",'TO HOP'!E139)</f>
        <v/>
      </c>
      <c r="C29" s="39" t="str">
        <f>IF(A29="","",'TO HOP'!F139)</f>
        <v/>
      </c>
      <c r="D29" s="39" t="str">
        <f>IF(A29="","",'TO HOP'!G139)</f>
        <v/>
      </c>
      <c r="E29" s="39" t="str">
        <f>IF(A29="","",'TO HOP'!C139)</f>
        <v/>
      </c>
      <c r="F29" s="39" t="str">
        <f>IF(A29="","",'TO HOP'!D139)</f>
        <v/>
      </c>
      <c r="G29" s="39" t="str">
        <f>IF(A29="","",2)</f>
        <v/>
      </c>
      <c r="H29" s="39" t="str">
        <f>IF(A29="","",IF(nThan=1,B29,B29/2+(-1)*$B$7*C29/sThan))</f>
        <v/>
      </c>
      <c r="I29" s="39" t="str">
        <f t="shared" si="0"/>
        <v/>
      </c>
      <c r="J29" s="39" t="str">
        <f t="shared" si="1"/>
        <v/>
      </c>
      <c r="K29" s="39" t="str">
        <f t="shared" si="2"/>
        <v/>
      </c>
      <c r="L29" s="39" t="str">
        <f t="shared" si="3"/>
        <v/>
      </c>
      <c r="M29" s="39" t="str">
        <f>IF($A29="","",IF(H29=0,"",IF(Q29&lt;=0.000000001,MIN(0.8*0.75*'KT THAN'!$C$62,MAX('KT THAN'!$J$38:$J$58)),IFERROR(MIN(0.8*0.75*'KT THAN'!$C$62,INDEX('KT THAN'!$J$38:$J$58,MATCH(Q29,'KT THAN'!$L$38:$L$58,-1))+(INDEX('KT THAN'!$J$38:$J$58,MIN(21,MATCH(Q29,'KT THAN'!$L$38:$L$58,-1)+1))-INDEX('KT THAN'!$J$38:$J$58,MATCH(Q29,'KT THAN'!$L$38:$L$58,-1)))*(Q29-INDEX('KT THAN'!$L$38:$L$58,MATCH(Q29,'KT THAN'!$L$38:$L$58,-1)))/(INDEX('KT THAN'!$L$38:$L$58,MIN(21,MATCH(Q29,'KT THAN'!$L$38:$L$58,-1)+1))-INDEX('KT THAN'!$L$38:$L$58,MATCH(Q29,'KT THAN'!$L$38:$L$58,-1)))),MIN(0.8*0.75*'KT THAN'!$C$62,'KT THAN'!$C$68/Q29)))))</f>
        <v/>
      </c>
      <c r="N29" s="39" t="str">
        <f>IF($A29="","",IF(H29=0,"",IF(R29&lt;=0.000000001,MIN(0.8*0.75*'KT THAN'!$C$62,MAX('KT THAN'!$W$38:$W$58)),IFERROR(MIN(0.8*0.75*'KT THAN'!$C$62,INDEX('KT THAN'!$W$38:$W$58,MATCH(R29,'KT THAN'!$Y$38:$Y$58,-1))+(INDEX('KT THAN'!$W$38:$W$58,MIN(21,MATCH(R29,'KT THAN'!$Y$38:$Y$58,-1)+1))-INDEX('KT THAN'!$W$38:$W$58,MATCH(R29,'KT THAN'!$Y$38:$Y$58,-1)))*(R29-INDEX('KT THAN'!$Y$38:$Y$58,MATCH(R29,'KT THAN'!$Y$38:$Y$58,-1)))/(INDEX('KT THAN'!$Y$38:$Y$58,MIN(21,MATCH(R29,'KT THAN'!$Y$38:$Y$58,-1)+1))-INDEX('KT THAN'!$Y$38:$Y$58,MATCH(R29,'KT THAN'!$Y$38:$Y$58,-1)))),MIN(0.8*0.75*'KT THAN'!$C$62,'KT THAN'!$D$68/R29)))))</f>
        <v/>
      </c>
      <c r="O29" s="39" t="str">
        <f>IF($A29="","",IF(H29&lt;0,ABS(H29)/MAX('KT THAN'!$C$69,0.001)+'KT THAN'!$C$32*ABS(J29)/MAX('KT THAN'!$C$68,0.001)+'KT THAN'!$D$32*ABS(I29)/MAX('KT THAN'!$D$68,0.001),IF(OR(M29&lt;=0,N29&lt;=0),999,IF(H29&gt;=0.1*0.75*fc_*Agth*1000,H29/MAX(0.001,1/(1/M29+1/N29-1/(0.75*'KT THAN'!$C$62))),'KT THAN'!$C$32*ABS(J29)/MAX('KT THAN'!$C$68,0.001)+'KT THAN'!$D$32*ABS(I29)/MAX('KT THAN'!$D$68,0.001)))))</f>
        <v/>
      </c>
      <c r="P29" s="37" t="str">
        <f t="shared" si="4"/>
        <v/>
      </c>
      <c r="Q29" s="39" t="str">
        <f>IF($A29="","",MAX(0.001,'KT THAN'!$C$32*ABS(J29)/MAX(1,H29)))</f>
        <v/>
      </c>
      <c r="R29" s="39" t="str">
        <f>IF($A29="","",MAX(0.001,'KT THAN'!$D$32*ABS(I29)/MAX(1,H29)))</f>
        <v/>
      </c>
      <c r="S29" t="str">
        <f t="shared" si="5"/>
        <v/>
      </c>
    </row>
    <row r="30" spans="1:19" x14ac:dyDescent="0.3">
      <c r="A30" s="37" t="str">
        <f>IF(AND(nThan=1,1=2),"",'TO HOP'!B140)</f>
        <v>SD I - 2 nhịp đúng tâm 4 làn</v>
      </c>
      <c r="B30" s="39">
        <f>IF(A30="","",'TO HOP'!E140)</f>
        <v>24802.867313589624</v>
      </c>
      <c r="C30" s="39">
        <f>IF(A30="","",'TO HOP'!F140)</f>
        <v>1982.7187736500002</v>
      </c>
      <c r="D30" s="39">
        <f>IF(A30="","",'TO HOP'!G140)</f>
        <v>44919.487419648496</v>
      </c>
      <c r="E30" s="39">
        <f>IF(A30="","",'TO HOP'!C140)</f>
        <v>3611.4273926220267</v>
      </c>
      <c r="F30" s="39">
        <f>IF(A30="","",'TO HOP'!D140)</f>
        <v>165.63581000000002</v>
      </c>
      <c r="G30" s="39">
        <f>IF(A30="","",1)</f>
        <v>1</v>
      </c>
      <c r="H30" s="39">
        <f>IF(A30="","",IF(nThan=1,B30,B30/2+(1)*$B$7*C30/sThan))</f>
        <v>24802.867313589624</v>
      </c>
      <c r="I30" s="39">
        <f t="shared" si="0"/>
        <v>1982.7187736500002</v>
      </c>
      <c r="J30" s="39">
        <f t="shared" si="1"/>
        <v>44919.487419648496</v>
      </c>
      <c r="K30" s="39">
        <f t="shared" si="2"/>
        <v>3611.4273926220267</v>
      </c>
      <c r="L30" s="39">
        <f t="shared" si="3"/>
        <v>165.63581000000002</v>
      </c>
      <c r="M30" s="39">
        <f>IF($A30="","",IF(H30=0,"",IF(Q30&lt;=0.000000001,MIN(0.8*0.75*'KT THAN'!$C$62,MAX('KT THAN'!$J$38:$J$58)),IFERROR(MIN(0.8*0.75*'KT THAN'!$C$62,INDEX('KT THAN'!$J$38:$J$58,MATCH(Q30,'KT THAN'!$L$38:$L$58,-1))+(INDEX('KT THAN'!$J$38:$J$58,MIN(21,MATCH(Q30,'KT THAN'!$L$38:$L$58,-1)+1))-INDEX('KT THAN'!$J$38:$J$58,MATCH(Q30,'KT THAN'!$L$38:$L$58,-1)))*(Q30-INDEX('KT THAN'!$L$38:$L$58,MATCH(Q30,'KT THAN'!$L$38:$L$58,-1)))/(INDEX('KT THAN'!$L$38:$L$58,MIN(21,MATCH(Q30,'KT THAN'!$L$38:$L$58,-1)+1))-INDEX('KT THAN'!$L$38:$L$58,MATCH(Q30,'KT THAN'!$L$38:$L$58,-1)))),MIN(0.8*0.75*'KT THAN'!$C$62,'KT THAN'!$C$68/Q30)))))</f>
        <v>25960.026573500283</v>
      </c>
      <c r="N30" s="39">
        <f>IF($A30="","",IF(H30=0,"",IF(R30&lt;=0.000000001,MIN(0.8*0.75*'KT THAN'!$C$62,MAX('KT THAN'!$W$38:$W$58)),IFERROR(MIN(0.8*0.75*'KT THAN'!$C$62,INDEX('KT THAN'!$W$38:$W$58,MATCH(R30,'KT THAN'!$Y$38:$Y$58,-1))+(INDEX('KT THAN'!$W$38:$W$58,MIN(21,MATCH(R30,'KT THAN'!$Y$38:$Y$58,-1)+1))-INDEX('KT THAN'!$W$38:$W$58,MATCH(R30,'KT THAN'!$Y$38:$Y$58,-1)))*(R30-INDEX('KT THAN'!$Y$38:$Y$58,MATCH(R30,'KT THAN'!$Y$38:$Y$58,-1)))/(INDEX('KT THAN'!$Y$38:$Y$58,MIN(21,MATCH(R30,'KT THAN'!$Y$38:$Y$58,-1)+1))-INDEX('KT THAN'!$Y$38:$Y$58,MATCH(R30,'KT THAN'!$Y$38:$Y$58,-1)))),MIN(0.8*0.75*'KT THAN'!$C$62,'KT THAN'!$D$68/R30)))))</f>
        <v>158763.07851952704</v>
      </c>
      <c r="O30" s="39">
        <f>IF($A30="","",IF(H30&lt;0,ABS(H30)/MAX('KT THAN'!$C$69,0.001)+'KT THAN'!$C$32*ABS(J30)/MAX('KT THAN'!$C$68,0.001)+'KT THAN'!$D$32*ABS(I30)/MAX('KT THAN'!$D$68,0.001),IF(OR(M30&lt;=0,N30&lt;=0),999,IF(H30&gt;=0.1*0.75*fc_*Agth*1000,H30/MAX(0.001,1/(1/M30+1/N30-1/(0.75*'KT THAN'!$C$62))),'KT THAN'!$C$32*ABS(J30)/MAX('KT THAN'!$C$68,0.001)+'KT THAN'!$D$32*ABS(I30)/MAX('KT THAN'!$D$68,0.001)))))</f>
        <v>0.98667047652354545</v>
      </c>
      <c r="P30" s="37" t="str">
        <f t="shared" si="4"/>
        <v>ĐẠT</v>
      </c>
      <c r="Q30" s="39">
        <f>IF($A30="","",MAX(0.001,'KT THAN'!$C$32*ABS(J30)/MAX(1,H30)))</f>
        <v>2.0251958842299205</v>
      </c>
      <c r="R30" s="39">
        <f>IF($A30="","",MAX(0.001,'KT THAN'!$D$32*ABS(I30)/MAX(1,H30)))</f>
        <v>7.9939095290150503E-2</v>
      </c>
      <c r="S30" t="str">
        <f t="shared" si="5"/>
        <v/>
      </c>
    </row>
    <row r="31" spans="1:19" x14ac:dyDescent="0.3">
      <c r="A31" s="37" t="str">
        <f>IF(AND(nThan=1,2=2),"",'TO HOP'!B140)</f>
        <v/>
      </c>
      <c r="B31" s="39" t="str">
        <f>IF(A31="","",'TO HOP'!E140)</f>
        <v/>
      </c>
      <c r="C31" s="39" t="str">
        <f>IF(A31="","",'TO HOP'!F140)</f>
        <v/>
      </c>
      <c r="D31" s="39" t="str">
        <f>IF(A31="","",'TO HOP'!G140)</f>
        <v/>
      </c>
      <c r="E31" s="39" t="str">
        <f>IF(A31="","",'TO HOP'!C140)</f>
        <v/>
      </c>
      <c r="F31" s="39" t="str">
        <f>IF(A31="","",'TO HOP'!D140)</f>
        <v/>
      </c>
      <c r="G31" s="39" t="str">
        <f>IF(A31="","",2)</f>
        <v/>
      </c>
      <c r="H31" s="39" t="str">
        <f>IF(A31="","",IF(nThan=1,B31,B31/2+(-1)*$B$7*C31/sThan))</f>
        <v/>
      </c>
      <c r="I31" s="39" t="str">
        <f t="shared" si="0"/>
        <v/>
      </c>
      <c r="J31" s="39" t="str">
        <f t="shared" si="1"/>
        <v/>
      </c>
      <c r="K31" s="39" t="str">
        <f t="shared" si="2"/>
        <v/>
      </c>
      <c r="L31" s="39" t="str">
        <f t="shared" si="3"/>
        <v/>
      </c>
      <c r="M31" s="39" t="str">
        <f>IF($A31="","",IF(H31=0,"",IF(Q31&lt;=0.000000001,MIN(0.8*0.75*'KT THAN'!$C$62,MAX('KT THAN'!$J$38:$J$58)),IFERROR(MIN(0.8*0.75*'KT THAN'!$C$62,INDEX('KT THAN'!$J$38:$J$58,MATCH(Q31,'KT THAN'!$L$38:$L$58,-1))+(INDEX('KT THAN'!$J$38:$J$58,MIN(21,MATCH(Q31,'KT THAN'!$L$38:$L$58,-1)+1))-INDEX('KT THAN'!$J$38:$J$58,MATCH(Q31,'KT THAN'!$L$38:$L$58,-1)))*(Q31-INDEX('KT THAN'!$L$38:$L$58,MATCH(Q31,'KT THAN'!$L$38:$L$58,-1)))/(INDEX('KT THAN'!$L$38:$L$58,MIN(21,MATCH(Q31,'KT THAN'!$L$38:$L$58,-1)+1))-INDEX('KT THAN'!$L$38:$L$58,MATCH(Q31,'KT THAN'!$L$38:$L$58,-1)))),MIN(0.8*0.75*'KT THAN'!$C$62,'KT THAN'!$C$68/Q31)))))</f>
        <v/>
      </c>
      <c r="N31" s="39" t="str">
        <f>IF($A31="","",IF(H31=0,"",IF(R31&lt;=0.000000001,MIN(0.8*0.75*'KT THAN'!$C$62,MAX('KT THAN'!$W$38:$W$58)),IFERROR(MIN(0.8*0.75*'KT THAN'!$C$62,INDEX('KT THAN'!$W$38:$W$58,MATCH(R31,'KT THAN'!$Y$38:$Y$58,-1))+(INDEX('KT THAN'!$W$38:$W$58,MIN(21,MATCH(R31,'KT THAN'!$Y$38:$Y$58,-1)+1))-INDEX('KT THAN'!$W$38:$W$58,MATCH(R31,'KT THAN'!$Y$38:$Y$58,-1)))*(R31-INDEX('KT THAN'!$Y$38:$Y$58,MATCH(R31,'KT THAN'!$Y$38:$Y$58,-1)))/(INDEX('KT THAN'!$Y$38:$Y$58,MIN(21,MATCH(R31,'KT THAN'!$Y$38:$Y$58,-1)+1))-INDEX('KT THAN'!$Y$38:$Y$58,MATCH(R31,'KT THAN'!$Y$38:$Y$58,-1)))),MIN(0.8*0.75*'KT THAN'!$C$62,'KT THAN'!$D$68/R31)))))</f>
        <v/>
      </c>
      <c r="O31" s="39" t="str">
        <f>IF($A31="","",IF(H31&lt;0,ABS(H31)/MAX('KT THAN'!$C$69,0.001)+'KT THAN'!$C$32*ABS(J31)/MAX('KT THAN'!$C$68,0.001)+'KT THAN'!$D$32*ABS(I31)/MAX('KT THAN'!$D$68,0.001),IF(OR(M31&lt;=0,N31&lt;=0),999,IF(H31&gt;=0.1*0.75*fc_*Agth*1000,H31/MAX(0.001,1/(1/M31+1/N31-1/(0.75*'KT THAN'!$C$62))),'KT THAN'!$C$32*ABS(J31)/MAX('KT THAN'!$C$68,0.001)+'KT THAN'!$D$32*ABS(I31)/MAX('KT THAN'!$D$68,0.001)))))</f>
        <v/>
      </c>
      <c r="P31" s="37" t="str">
        <f t="shared" si="4"/>
        <v/>
      </c>
      <c r="Q31" s="39" t="str">
        <f>IF($A31="","",MAX(0.001,'KT THAN'!$C$32*ABS(J31)/MAX(1,H31)))</f>
        <v/>
      </c>
      <c r="R31" s="39" t="str">
        <f>IF($A31="","",MAX(0.001,'KT THAN'!$D$32*ABS(I31)/MAX(1,H31)))</f>
        <v/>
      </c>
      <c r="S31" t="str">
        <f t="shared" si="5"/>
        <v/>
      </c>
    </row>
    <row r="32" spans="1:19" x14ac:dyDescent="0.3">
      <c r="A32" s="37" t="str">
        <f>IF(AND(nThan=1,1=2),"",'TO HOP'!B141)</f>
        <v>SD I - 2 nhịp đúng tâm 5 làn</v>
      </c>
      <c r="B32" s="39">
        <f>IF(A32="","",'TO HOP'!E141)</f>
        <v>25424.773091589625</v>
      </c>
      <c r="C32" s="39">
        <f>IF(A32="","",'TO HOP'!F141)</f>
        <v>1982.7187736500002</v>
      </c>
      <c r="D32" s="39">
        <f>IF(A32="","",'TO HOP'!G141)</f>
        <v>44919.487419648496</v>
      </c>
      <c r="E32" s="39">
        <f>IF(A32="","",'TO HOP'!C141)</f>
        <v>3611.4273926220267</v>
      </c>
      <c r="F32" s="39">
        <f>IF(A32="","",'TO HOP'!D141)</f>
        <v>165.63581000000002</v>
      </c>
      <c r="G32" s="39">
        <f>IF(A32="","",1)</f>
        <v>1</v>
      </c>
      <c r="H32" s="39">
        <f>IF(A32="","",IF(nThan=1,B32,B32/2+(1)*$B$7*C32/sThan))</f>
        <v>25424.773091589625</v>
      </c>
      <c r="I32" s="39">
        <f t="shared" si="0"/>
        <v>1982.7187736500002</v>
      </c>
      <c r="J32" s="39">
        <f t="shared" si="1"/>
        <v>44919.487419648496</v>
      </c>
      <c r="K32" s="39">
        <f t="shared" si="2"/>
        <v>3611.4273926220267</v>
      </c>
      <c r="L32" s="39">
        <f t="shared" si="3"/>
        <v>165.63581000000002</v>
      </c>
      <c r="M32" s="39">
        <f>IF($A32="","",IF(H32=0,"",IF(Q32&lt;=0.000000001,MIN(0.8*0.75*'KT THAN'!$C$62,MAX('KT THAN'!$J$38:$J$58)),IFERROR(MIN(0.8*0.75*'KT THAN'!$C$62,INDEX('KT THAN'!$J$38:$J$58,MATCH(Q32,'KT THAN'!$L$38:$L$58,-1))+(INDEX('KT THAN'!$J$38:$J$58,MIN(21,MATCH(Q32,'KT THAN'!$L$38:$L$58,-1)+1))-INDEX('KT THAN'!$J$38:$J$58,MATCH(Q32,'KT THAN'!$L$38:$L$58,-1)))*(Q32-INDEX('KT THAN'!$L$38:$L$58,MATCH(Q32,'KT THAN'!$L$38:$L$58,-1)))/(INDEX('KT THAN'!$L$38:$L$58,MIN(21,MATCH(Q32,'KT THAN'!$L$38:$L$58,-1)+1))-INDEX('KT THAN'!$L$38:$L$58,MATCH(Q32,'KT THAN'!$L$38:$L$58,-1)))),MIN(0.8*0.75*'KT THAN'!$C$62,'KT THAN'!$C$68/Q32)))))</f>
        <v>27026.079590102796</v>
      </c>
      <c r="N32" s="39">
        <f>IF($A32="","",IF(H32=0,"",IF(R32&lt;=0.000000001,MIN(0.8*0.75*'KT THAN'!$C$62,MAX('KT THAN'!$W$38:$W$58)),IFERROR(MIN(0.8*0.75*'KT THAN'!$C$62,INDEX('KT THAN'!$W$38:$W$58,MATCH(R32,'KT THAN'!$Y$38:$Y$58,-1))+(INDEX('KT THAN'!$W$38:$W$58,MIN(21,MATCH(R32,'KT THAN'!$Y$38:$Y$58,-1)+1))-INDEX('KT THAN'!$W$38:$W$58,MATCH(R32,'KT THAN'!$Y$38:$Y$58,-1)))*(R32-INDEX('KT THAN'!$Y$38:$Y$58,MATCH(R32,'KT THAN'!$Y$38:$Y$58,-1)))/(INDEX('KT THAN'!$Y$38:$Y$58,MIN(21,MATCH(R32,'KT THAN'!$Y$38:$Y$58,-1)+1))-INDEX('KT THAN'!$Y$38:$Y$58,MATCH(R32,'KT THAN'!$Y$38:$Y$58,-1)))),MIN(0.8*0.75*'KT THAN'!$C$62,'KT THAN'!$D$68/R32)))))</f>
        <v>158763.07851952704</v>
      </c>
      <c r="O32" s="39">
        <f>IF($A32="","",IF(H32&lt;0,ABS(H32)/MAX('KT THAN'!$C$69,0.001)+'KT THAN'!$C$32*ABS(J32)/MAX('KT THAN'!$C$68,0.001)+'KT THAN'!$D$32*ABS(I32)/MAX('KT THAN'!$D$68,0.001),IF(OR(M32&lt;=0,N32&lt;=0),999,IF(H32&gt;=0.1*0.75*fc_*Agth*1000,H32/MAX(0.001,1/(1/M32+1/N32-1/(0.75*'KT THAN'!$C$62))),'KT THAN'!$C$32*ABS(J32)/MAX('KT THAN'!$C$68,0.001)+'KT THAN'!$D$32*ABS(I32)/MAX('KT THAN'!$D$68,0.001)))))</f>
        <v>0.97277815406206181</v>
      </c>
      <c r="P32" s="37" t="str">
        <f t="shared" si="4"/>
        <v>ĐẠT</v>
      </c>
      <c r="Q32" s="39">
        <f>IF($A32="","",MAX(0.001,'KT THAN'!$C$32*ABS(J32)/MAX(1,H32)))</f>
        <v>1.9756583321169763</v>
      </c>
      <c r="R32" s="39">
        <f>IF($A32="","",MAX(0.001,'KT THAN'!$D$32*ABS(I32)/MAX(1,H32)))</f>
        <v>7.7983735253309802E-2</v>
      </c>
      <c r="S32" t="str">
        <f t="shared" si="5"/>
        <v/>
      </c>
    </row>
    <row r="33" spans="1:19" x14ac:dyDescent="0.3">
      <c r="A33" s="37" t="str">
        <f>IF(AND(nThan=1,2=2),"",'TO HOP'!B141)</f>
        <v/>
      </c>
      <c r="B33" s="39" t="str">
        <f>IF(A33="","",'TO HOP'!E141)</f>
        <v/>
      </c>
      <c r="C33" s="39" t="str">
        <f>IF(A33="","",'TO HOP'!F141)</f>
        <v/>
      </c>
      <c r="D33" s="39" t="str">
        <f>IF(A33="","",'TO HOP'!G141)</f>
        <v/>
      </c>
      <c r="E33" s="39" t="str">
        <f>IF(A33="","",'TO HOP'!C141)</f>
        <v/>
      </c>
      <c r="F33" s="39" t="str">
        <f>IF(A33="","",'TO HOP'!D141)</f>
        <v/>
      </c>
      <c r="G33" s="39" t="str">
        <f>IF(A33="","",2)</f>
        <v/>
      </c>
      <c r="H33" s="39" t="str">
        <f>IF(A33="","",IF(nThan=1,B33,B33/2+(-1)*$B$7*C33/sThan))</f>
        <v/>
      </c>
      <c r="I33" s="39" t="str">
        <f t="shared" si="0"/>
        <v/>
      </c>
      <c r="J33" s="39" t="str">
        <f t="shared" si="1"/>
        <v/>
      </c>
      <c r="K33" s="39" t="str">
        <f t="shared" si="2"/>
        <v/>
      </c>
      <c r="L33" s="39" t="str">
        <f t="shared" si="3"/>
        <v/>
      </c>
      <c r="M33" s="39" t="str">
        <f>IF($A33="","",IF(H33=0,"",IF(Q33&lt;=0.000000001,MIN(0.8*0.75*'KT THAN'!$C$62,MAX('KT THAN'!$J$38:$J$58)),IFERROR(MIN(0.8*0.75*'KT THAN'!$C$62,INDEX('KT THAN'!$J$38:$J$58,MATCH(Q33,'KT THAN'!$L$38:$L$58,-1))+(INDEX('KT THAN'!$J$38:$J$58,MIN(21,MATCH(Q33,'KT THAN'!$L$38:$L$58,-1)+1))-INDEX('KT THAN'!$J$38:$J$58,MATCH(Q33,'KT THAN'!$L$38:$L$58,-1)))*(Q33-INDEX('KT THAN'!$L$38:$L$58,MATCH(Q33,'KT THAN'!$L$38:$L$58,-1)))/(INDEX('KT THAN'!$L$38:$L$58,MIN(21,MATCH(Q33,'KT THAN'!$L$38:$L$58,-1)+1))-INDEX('KT THAN'!$L$38:$L$58,MATCH(Q33,'KT THAN'!$L$38:$L$58,-1)))),MIN(0.8*0.75*'KT THAN'!$C$62,'KT THAN'!$C$68/Q33)))))</f>
        <v/>
      </c>
      <c r="N33" s="39" t="str">
        <f>IF($A33="","",IF(H33=0,"",IF(R33&lt;=0.000000001,MIN(0.8*0.75*'KT THAN'!$C$62,MAX('KT THAN'!$W$38:$W$58)),IFERROR(MIN(0.8*0.75*'KT THAN'!$C$62,INDEX('KT THAN'!$W$38:$W$58,MATCH(R33,'KT THAN'!$Y$38:$Y$58,-1))+(INDEX('KT THAN'!$W$38:$W$58,MIN(21,MATCH(R33,'KT THAN'!$Y$38:$Y$58,-1)+1))-INDEX('KT THAN'!$W$38:$W$58,MATCH(R33,'KT THAN'!$Y$38:$Y$58,-1)))*(R33-INDEX('KT THAN'!$Y$38:$Y$58,MATCH(R33,'KT THAN'!$Y$38:$Y$58,-1)))/(INDEX('KT THAN'!$Y$38:$Y$58,MIN(21,MATCH(R33,'KT THAN'!$Y$38:$Y$58,-1)+1))-INDEX('KT THAN'!$Y$38:$Y$58,MATCH(R33,'KT THAN'!$Y$38:$Y$58,-1)))),MIN(0.8*0.75*'KT THAN'!$C$62,'KT THAN'!$D$68/R33)))))</f>
        <v/>
      </c>
      <c r="O33" s="39" t="str">
        <f>IF($A33="","",IF(H33&lt;0,ABS(H33)/MAX('KT THAN'!$C$69,0.001)+'KT THAN'!$C$32*ABS(J33)/MAX('KT THAN'!$C$68,0.001)+'KT THAN'!$D$32*ABS(I33)/MAX('KT THAN'!$D$68,0.001),IF(OR(M33&lt;=0,N33&lt;=0),999,IF(H33&gt;=0.1*0.75*fc_*Agth*1000,H33/MAX(0.001,1/(1/M33+1/N33-1/(0.75*'KT THAN'!$C$62))),'KT THAN'!$C$32*ABS(J33)/MAX('KT THAN'!$C$68,0.001)+'KT THAN'!$D$32*ABS(I33)/MAX('KT THAN'!$D$68,0.001)))))</f>
        <v/>
      </c>
      <c r="P33" s="37" t="str">
        <f t="shared" si="4"/>
        <v/>
      </c>
      <c r="Q33" s="39" t="str">
        <f>IF($A33="","",MAX(0.001,'KT THAN'!$C$32*ABS(J33)/MAX(1,H33)))</f>
        <v/>
      </c>
      <c r="R33" s="39" t="str">
        <f>IF($A33="","",MAX(0.001,'KT THAN'!$D$32*ABS(I33)/MAX(1,H33)))</f>
        <v/>
      </c>
      <c r="S33" t="str">
        <f t="shared" si="5"/>
        <v/>
      </c>
    </row>
    <row r="34" spans="1:19" x14ac:dyDescent="0.3">
      <c r="A34" s="37" t="str">
        <f>IF(AND(nThan=1,1=2),"",'TO HOP'!B142)</f>
        <v>SD I - 2 nhịp đúng tâm 6 làn</v>
      </c>
      <c r="B34" s="39">
        <f>IF(A34="","",'TO HOP'!E142)</f>
        <v>26046.678869589625</v>
      </c>
      <c r="C34" s="39">
        <f>IF(A34="","",'TO HOP'!F142)</f>
        <v>1982.7187736500002</v>
      </c>
      <c r="D34" s="39">
        <f>IF(A34="","",'TO HOP'!G142)</f>
        <v>44919.487419648496</v>
      </c>
      <c r="E34" s="39">
        <f>IF(A34="","",'TO HOP'!C142)</f>
        <v>3611.4273926220267</v>
      </c>
      <c r="F34" s="39">
        <f>IF(A34="","",'TO HOP'!D142)</f>
        <v>165.63581000000002</v>
      </c>
      <c r="G34" s="39">
        <f>IF(A34="","",1)</f>
        <v>1</v>
      </c>
      <c r="H34" s="39">
        <f>IF(A34="","",IF(nThan=1,B34,B34/2+(1)*$B$7*C34/sThan))</f>
        <v>26046.678869589625</v>
      </c>
      <c r="I34" s="39">
        <f t="shared" si="0"/>
        <v>1982.7187736500002</v>
      </c>
      <c r="J34" s="39">
        <f t="shared" si="1"/>
        <v>44919.487419648496</v>
      </c>
      <c r="K34" s="39">
        <f t="shared" si="2"/>
        <v>3611.4273926220267</v>
      </c>
      <c r="L34" s="39">
        <f t="shared" si="3"/>
        <v>165.63581000000002</v>
      </c>
      <c r="M34" s="39">
        <f>IF($A34="","",IF(H34=0,"",IF(Q34&lt;=0.000000001,MIN(0.8*0.75*'KT THAN'!$C$62,MAX('KT THAN'!$J$38:$J$58)),IFERROR(MIN(0.8*0.75*'KT THAN'!$C$62,INDEX('KT THAN'!$J$38:$J$58,MATCH(Q34,'KT THAN'!$L$38:$L$58,-1))+(INDEX('KT THAN'!$J$38:$J$58,MIN(21,MATCH(Q34,'KT THAN'!$L$38:$L$58,-1)+1))-INDEX('KT THAN'!$J$38:$J$58,MATCH(Q34,'KT THAN'!$L$38:$L$58,-1)))*(Q34-INDEX('KT THAN'!$L$38:$L$58,MATCH(Q34,'KT THAN'!$L$38:$L$58,-1)))/(INDEX('KT THAN'!$L$38:$L$58,MIN(21,MATCH(Q34,'KT THAN'!$L$38:$L$58,-1)+1))-INDEX('KT THAN'!$L$38:$L$58,MATCH(Q34,'KT THAN'!$L$38:$L$58,-1)))),MIN(0.8*0.75*'KT THAN'!$C$62,'KT THAN'!$C$68/Q34)))))</f>
        <v>28041.22519282742</v>
      </c>
      <c r="N34" s="39">
        <f>IF($A34="","",IF(H34=0,"",IF(R34&lt;=0.000000001,MIN(0.8*0.75*'KT THAN'!$C$62,MAX('KT THAN'!$W$38:$W$58)),IFERROR(MIN(0.8*0.75*'KT THAN'!$C$62,INDEX('KT THAN'!$W$38:$W$58,MATCH(R34,'KT THAN'!$Y$38:$Y$58,-1))+(INDEX('KT THAN'!$W$38:$W$58,MIN(21,MATCH(R34,'KT THAN'!$Y$38:$Y$58,-1)+1))-INDEX('KT THAN'!$W$38:$W$58,MATCH(R34,'KT THAN'!$Y$38:$Y$58,-1)))*(R34-INDEX('KT THAN'!$Y$38:$Y$58,MATCH(R34,'KT THAN'!$Y$38:$Y$58,-1)))/(INDEX('KT THAN'!$Y$38:$Y$58,MIN(21,MATCH(R34,'KT THAN'!$Y$38:$Y$58,-1)+1))-INDEX('KT THAN'!$Y$38:$Y$58,MATCH(R34,'KT THAN'!$Y$38:$Y$58,-1)))),MIN(0.8*0.75*'KT THAN'!$C$62,'KT THAN'!$D$68/R34)))))</f>
        <v>158763.07851952704</v>
      </c>
      <c r="O34" s="39">
        <f>IF($A34="","",IF(H34&lt;0,ABS(H34)/MAX('KT THAN'!$C$69,0.001)+'KT THAN'!$C$32*ABS(J34)/MAX('KT THAN'!$C$68,0.001)+'KT THAN'!$D$32*ABS(I34)/MAX('KT THAN'!$D$68,0.001),IF(OR(M34&lt;=0,N34&lt;=0),999,IF(H34&gt;=0.1*0.75*fc_*Agth*1000,H34/MAX(0.001,1/(1/M34+1/N34-1/(0.75*'KT THAN'!$C$62))),'KT THAN'!$C$32*ABS(J34)/MAX('KT THAN'!$C$68,0.001)+'KT THAN'!$D$32*ABS(I34)/MAX('KT THAN'!$D$68,0.001)))))</f>
        <v>0.96168293842764907</v>
      </c>
      <c r="P34" s="37" t="str">
        <f t="shared" si="4"/>
        <v>ĐẠT</v>
      </c>
      <c r="Q34" s="39">
        <f>IF($A34="","",MAX(0.001,'KT THAN'!$C$32*ABS(J34)/MAX(1,H34)))</f>
        <v>1.9284863552884097</v>
      </c>
      <c r="R34" s="39">
        <f>IF($A34="","",MAX(0.001,'KT THAN'!$D$32*ABS(I34)/MAX(1,H34)))</f>
        <v>7.6121749862125082E-2</v>
      </c>
      <c r="S34" t="str">
        <f t="shared" si="5"/>
        <v/>
      </c>
    </row>
    <row r="35" spans="1:19" x14ac:dyDescent="0.3">
      <c r="A35" s="37" t="str">
        <f>IF(AND(nThan=1,2=2),"",'TO HOP'!B142)</f>
        <v/>
      </c>
      <c r="B35" s="39" t="str">
        <f>IF(A35="","",'TO HOP'!E142)</f>
        <v/>
      </c>
      <c r="C35" s="39" t="str">
        <f>IF(A35="","",'TO HOP'!F142)</f>
        <v/>
      </c>
      <c r="D35" s="39" t="str">
        <f>IF(A35="","",'TO HOP'!G142)</f>
        <v/>
      </c>
      <c r="E35" s="39" t="str">
        <f>IF(A35="","",'TO HOP'!C142)</f>
        <v/>
      </c>
      <c r="F35" s="39" t="str">
        <f>IF(A35="","",'TO HOP'!D142)</f>
        <v/>
      </c>
      <c r="G35" s="39" t="str">
        <f>IF(A35="","",2)</f>
        <v/>
      </c>
      <c r="H35" s="39" t="str">
        <f>IF(A35="","",IF(nThan=1,B35,B35/2+(-1)*$B$7*C35/sThan))</f>
        <v/>
      </c>
      <c r="I35" s="39" t="str">
        <f t="shared" si="0"/>
        <v/>
      </c>
      <c r="J35" s="39" t="str">
        <f t="shared" si="1"/>
        <v/>
      </c>
      <c r="K35" s="39" t="str">
        <f t="shared" si="2"/>
        <v/>
      </c>
      <c r="L35" s="39" t="str">
        <f t="shared" si="3"/>
        <v/>
      </c>
      <c r="M35" s="39" t="str">
        <f>IF($A35="","",IF(H35=0,"",IF(Q35&lt;=0.000000001,MIN(0.8*0.75*'KT THAN'!$C$62,MAX('KT THAN'!$J$38:$J$58)),IFERROR(MIN(0.8*0.75*'KT THAN'!$C$62,INDEX('KT THAN'!$J$38:$J$58,MATCH(Q35,'KT THAN'!$L$38:$L$58,-1))+(INDEX('KT THAN'!$J$38:$J$58,MIN(21,MATCH(Q35,'KT THAN'!$L$38:$L$58,-1)+1))-INDEX('KT THAN'!$J$38:$J$58,MATCH(Q35,'KT THAN'!$L$38:$L$58,-1)))*(Q35-INDEX('KT THAN'!$L$38:$L$58,MATCH(Q35,'KT THAN'!$L$38:$L$58,-1)))/(INDEX('KT THAN'!$L$38:$L$58,MIN(21,MATCH(Q35,'KT THAN'!$L$38:$L$58,-1)+1))-INDEX('KT THAN'!$L$38:$L$58,MATCH(Q35,'KT THAN'!$L$38:$L$58,-1)))),MIN(0.8*0.75*'KT THAN'!$C$62,'KT THAN'!$C$68/Q35)))))</f>
        <v/>
      </c>
      <c r="N35" s="39" t="str">
        <f>IF($A35="","",IF(H35=0,"",IF(R35&lt;=0.000000001,MIN(0.8*0.75*'KT THAN'!$C$62,MAX('KT THAN'!$W$38:$W$58)),IFERROR(MIN(0.8*0.75*'KT THAN'!$C$62,INDEX('KT THAN'!$W$38:$W$58,MATCH(R35,'KT THAN'!$Y$38:$Y$58,-1))+(INDEX('KT THAN'!$W$38:$W$58,MIN(21,MATCH(R35,'KT THAN'!$Y$38:$Y$58,-1)+1))-INDEX('KT THAN'!$W$38:$W$58,MATCH(R35,'KT THAN'!$Y$38:$Y$58,-1)))*(R35-INDEX('KT THAN'!$Y$38:$Y$58,MATCH(R35,'KT THAN'!$Y$38:$Y$58,-1)))/(INDEX('KT THAN'!$Y$38:$Y$58,MIN(21,MATCH(R35,'KT THAN'!$Y$38:$Y$58,-1)+1))-INDEX('KT THAN'!$Y$38:$Y$58,MATCH(R35,'KT THAN'!$Y$38:$Y$58,-1)))),MIN(0.8*0.75*'KT THAN'!$C$62,'KT THAN'!$D$68/R35)))))</f>
        <v/>
      </c>
      <c r="O35" s="39" t="str">
        <f>IF($A35="","",IF(H35&lt;0,ABS(H35)/MAX('KT THAN'!$C$69,0.001)+'KT THAN'!$C$32*ABS(J35)/MAX('KT THAN'!$C$68,0.001)+'KT THAN'!$D$32*ABS(I35)/MAX('KT THAN'!$D$68,0.001),IF(OR(M35&lt;=0,N35&lt;=0),999,IF(H35&gt;=0.1*0.75*fc_*Agth*1000,H35/MAX(0.001,1/(1/M35+1/N35-1/(0.75*'KT THAN'!$C$62))),'KT THAN'!$C$32*ABS(J35)/MAX('KT THAN'!$C$68,0.001)+'KT THAN'!$D$32*ABS(I35)/MAX('KT THAN'!$D$68,0.001)))))</f>
        <v/>
      </c>
      <c r="P35" s="37" t="str">
        <f t="shared" si="4"/>
        <v/>
      </c>
      <c r="Q35" s="39" t="str">
        <f>IF($A35="","",MAX(0.001,'KT THAN'!$C$32*ABS(J35)/MAX(1,H35)))</f>
        <v/>
      </c>
      <c r="R35" s="39" t="str">
        <f>IF($A35="","",MAX(0.001,'KT THAN'!$D$32*ABS(I35)/MAX(1,H35)))</f>
        <v/>
      </c>
      <c r="S35" t="str">
        <f t="shared" si="5"/>
        <v/>
      </c>
    </row>
    <row r="36" spans="1:19" x14ac:dyDescent="0.3">
      <c r="A36" s="37" t="str">
        <f>IF(AND(nThan=1,1=2),"",'TO HOP'!B143)</f>
        <v>SD I - 1 nhịp 1 làn</v>
      </c>
      <c r="B36" s="39">
        <f>IF(A36="","",'TO HOP'!E143)</f>
        <v>23003.847481589622</v>
      </c>
      <c r="C36" s="39">
        <f>IF(A36="","",'TO HOP'!F143)</f>
        <v>8782.6761636500014</v>
      </c>
      <c r="D36" s="39">
        <f>IF(A36="","",'TO HOP'!G143)</f>
        <v>45539.230371648497</v>
      </c>
      <c r="E36" s="39">
        <f>IF(A36="","",'TO HOP'!C143)</f>
        <v>3611.4273926220267</v>
      </c>
      <c r="F36" s="39">
        <f>IF(A36="","",'TO HOP'!D143)</f>
        <v>165.63581000000002</v>
      </c>
      <c r="G36" s="39">
        <f>IF(A36="","",1)</f>
        <v>1</v>
      </c>
      <c r="H36" s="39">
        <f>IF(A36="","",IF(nThan=1,B36,B36/2+(1)*$B$7*C36/sThan))</f>
        <v>23003.847481589622</v>
      </c>
      <c r="I36" s="39">
        <f t="shared" si="0"/>
        <v>8782.6761636500014</v>
      </c>
      <c r="J36" s="39">
        <f t="shared" si="1"/>
        <v>45539.230371648497</v>
      </c>
      <c r="K36" s="39">
        <f t="shared" si="2"/>
        <v>3611.4273926220267</v>
      </c>
      <c r="L36" s="39">
        <f t="shared" si="3"/>
        <v>165.63581000000002</v>
      </c>
      <c r="M36" s="39">
        <f>IF($A36="","",IF(H36=0,"",IF(Q36&lt;=0.000000001,MIN(0.8*0.75*'KT THAN'!$C$62,MAX('KT THAN'!$J$38:$J$58)),IFERROR(MIN(0.8*0.75*'KT THAN'!$C$62,INDEX('KT THAN'!$J$38:$J$58,MATCH(Q36,'KT THAN'!$L$38:$L$58,-1))+(INDEX('KT THAN'!$J$38:$J$58,MIN(21,MATCH(Q36,'KT THAN'!$L$38:$L$58,-1)+1))-INDEX('KT THAN'!$J$38:$J$58,MATCH(Q36,'KT THAN'!$L$38:$L$58,-1)))*(Q36-INDEX('KT THAN'!$L$38:$L$58,MATCH(Q36,'KT THAN'!$L$38:$L$58,-1)))/(INDEX('KT THAN'!$L$38:$L$58,MIN(21,MATCH(Q36,'KT THAN'!$L$38:$L$58,-1)+1))-INDEX('KT THAN'!$L$38:$L$58,MATCH(Q36,'KT THAN'!$L$38:$L$58,-1)))),MIN(0.8*0.75*'KT THAN'!$C$62,'KT THAN'!$C$68/Q36)))))</f>
        <v>22742.927855899557</v>
      </c>
      <c r="N36" s="39">
        <f>IF($A36="","",IF(H36=0,"",IF(R36&lt;=0.000000001,MIN(0.8*0.75*'KT THAN'!$C$62,MAX('KT THAN'!$W$38:$W$58)),IFERROR(MIN(0.8*0.75*'KT THAN'!$C$62,INDEX('KT THAN'!$W$38:$W$58,MATCH(R36,'KT THAN'!$Y$38:$Y$58,-1))+(INDEX('KT THAN'!$W$38:$W$58,MIN(21,MATCH(R36,'KT THAN'!$Y$38:$Y$58,-1)+1))-INDEX('KT THAN'!$W$38:$W$58,MATCH(R36,'KT THAN'!$Y$38:$Y$58,-1)))*(R36-INDEX('KT THAN'!$Y$38:$Y$58,MATCH(R36,'KT THAN'!$Y$38:$Y$58,-1)))/(INDEX('KT THAN'!$Y$38:$Y$58,MIN(21,MATCH(R36,'KT THAN'!$Y$38:$Y$58,-1)+1))-INDEX('KT THAN'!$Y$38:$Y$58,MATCH(R36,'KT THAN'!$Y$38:$Y$58,-1)))),MIN(0.8*0.75*'KT THAN'!$C$62,'KT THAN'!$D$68/R36)))))</f>
        <v>158763.07851952704</v>
      </c>
      <c r="O36" s="39">
        <f>IF($A36="","",IF(H36&lt;0,ABS(H36)/MAX('KT THAN'!$C$69,0.001)+'KT THAN'!$C$32*ABS(J36)/MAX('KT THAN'!$C$68,0.001)+'KT THAN'!$D$32*ABS(I36)/MAX('KT THAN'!$D$68,0.001),IF(OR(M36&lt;=0,N36&lt;=0),999,IF(H36&gt;=0.1*0.75*fc_*Agth*1000,H36/MAX(0.001,1/(1/M36+1/N36-1/(0.75*'KT THAN'!$C$62))),'KT THAN'!$C$32*ABS(J36)/MAX('KT THAN'!$C$68,0.001)+'KT THAN'!$D$32*ABS(I36)/MAX('KT THAN'!$D$68,0.001)))))</f>
        <v>1.040451398706228</v>
      </c>
      <c r="P36" s="37" t="str">
        <f t="shared" si="4"/>
        <v>KHÔNG ĐẠT</v>
      </c>
      <c r="Q36" s="39">
        <f>IF($A36="","",MAX(0.001,'KT THAN'!$C$32*ABS(J36)/MAX(1,H36)))</f>
        <v>2.2137029373680481</v>
      </c>
      <c r="R36" s="39">
        <f>IF($A36="","",MAX(0.001,'KT THAN'!$D$32*ABS(I36)/MAX(1,H36)))</f>
        <v>0.38179161858375776</v>
      </c>
      <c r="S36" t="str">
        <f t="shared" si="5"/>
        <v/>
      </c>
    </row>
    <row r="37" spans="1:19" x14ac:dyDescent="0.3">
      <c r="A37" s="37" t="str">
        <f>IF(AND(nThan=1,2=2),"",'TO HOP'!B143)</f>
        <v/>
      </c>
      <c r="B37" s="39" t="str">
        <f>IF(A37="","",'TO HOP'!E143)</f>
        <v/>
      </c>
      <c r="C37" s="39" t="str">
        <f>IF(A37="","",'TO HOP'!F143)</f>
        <v/>
      </c>
      <c r="D37" s="39" t="str">
        <f>IF(A37="","",'TO HOP'!G143)</f>
        <v/>
      </c>
      <c r="E37" s="39" t="str">
        <f>IF(A37="","",'TO HOP'!C143)</f>
        <v/>
      </c>
      <c r="F37" s="39" t="str">
        <f>IF(A37="","",'TO HOP'!D143)</f>
        <v/>
      </c>
      <c r="G37" s="39" t="str">
        <f>IF(A37="","",2)</f>
        <v/>
      </c>
      <c r="H37" s="39" t="str">
        <f>IF(A37="","",IF(nThan=1,B37,B37/2+(-1)*$B$7*C37/sThan))</f>
        <v/>
      </c>
      <c r="I37" s="39" t="str">
        <f t="shared" si="0"/>
        <v/>
      </c>
      <c r="J37" s="39" t="str">
        <f t="shared" si="1"/>
        <v/>
      </c>
      <c r="K37" s="39" t="str">
        <f t="shared" si="2"/>
        <v/>
      </c>
      <c r="L37" s="39" t="str">
        <f t="shared" si="3"/>
        <v/>
      </c>
      <c r="M37" s="39" t="str">
        <f>IF($A37="","",IF(H37=0,"",IF(Q37&lt;=0.000000001,MIN(0.8*0.75*'KT THAN'!$C$62,MAX('KT THAN'!$J$38:$J$58)),IFERROR(MIN(0.8*0.75*'KT THAN'!$C$62,INDEX('KT THAN'!$J$38:$J$58,MATCH(Q37,'KT THAN'!$L$38:$L$58,-1))+(INDEX('KT THAN'!$J$38:$J$58,MIN(21,MATCH(Q37,'KT THAN'!$L$38:$L$58,-1)+1))-INDEX('KT THAN'!$J$38:$J$58,MATCH(Q37,'KT THAN'!$L$38:$L$58,-1)))*(Q37-INDEX('KT THAN'!$L$38:$L$58,MATCH(Q37,'KT THAN'!$L$38:$L$58,-1)))/(INDEX('KT THAN'!$L$38:$L$58,MIN(21,MATCH(Q37,'KT THAN'!$L$38:$L$58,-1)+1))-INDEX('KT THAN'!$L$38:$L$58,MATCH(Q37,'KT THAN'!$L$38:$L$58,-1)))),MIN(0.8*0.75*'KT THAN'!$C$62,'KT THAN'!$C$68/Q37)))))</f>
        <v/>
      </c>
      <c r="N37" s="39" t="str">
        <f>IF($A37="","",IF(H37=0,"",IF(R37&lt;=0.000000001,MIN(0.8*0.75*'KT THAN'!$C$62,MAX('KT THAN'!$W$38:$W$58)),IFERROR(MIN(0.8*0.75*'KT THAN'!$C$62,INDEX('KT THAN'!$W$38:$W$58,MATCH(R37,'KT THAN'!$Y$38:$Y$58,-1))+(INDEX('KT THAN'!$W$38:$W$58,MIN(21,MATCH(R37,'KT THAN'!$Y$38:$Y$58,-1)+1))-INDEX('KT THAN'!$W$38:$W$58,MATCH(R37,'KT THAN'!$Y$38:$Y$58,-1)))*(R37-INDEX('KT THAN'!$Y$38:$Y$58,MATCH(R37,'KT THAN'!$Y$38:$Y$58,-1)))/(INDEX('KT THAN'!$Y$38:$Y$58,MIN(21,MATCH(R37,'KT THAN'!$Y$38:$Y$58,-1)+1))-INDEX('KT THAN'!$Y$38:$Y$58,MATCH(R37,'KT THAN'!$Y$38:$Y$58,-1)))),MIN(0.8*0.75*'KT THAN'!$C$62,'KT THAN'!$D$68/R37)))))</f>
        <v/>
      </c>
      <c r="O37" s="39" t="str">
        <f>IF($A37="","",IF(H37&lt;0,ABS(H37)/MAX('KT THAN'!$C$69,0.001)+'KT THAN'!$C$32*ABS(J37)/MAX('KT THAN'!$C$68,0.001)+'KT THAN'!$D$32*ABS(I37)/MAX('KT THAN'!$D$68,0.001),IF(OR(M37&lt;=0,N37&lt;=0),999,IF(H37&gt;=0.1*0.75*fc_*Agth*1000,H37/MAX(0.001,1/(1/M37+1/N37-1/(0.75*'KT THAN'!$C$62))),'KT THAN'!$C$32*ABS(J37)/MAX('KT THAN'!$C$68,0.001)+'KT THAN'!$D$32*ABS(I37)/MAX('KT THAN'!$D$68,0.001)))))</f>
        <v/>
      </c>
      <c r="P37" s="37" t="str">
        <f t="shared" si="4"/>
        <v/>
      </c>
      <c r="Q37" s="39" t="str">
        <f>IF($A37="","",MAX(0.001,'KT THAN'!$C$32*ABS(J37)/MAX(1,H37)))</f>
        <v/>
      </c>
      <c r="R37" s="39" t="str">
        <f>IF($A37="","",MAX(0.001,'KT THAN'!$D$32*ABS(I37)/MAX(1,H37)))</f>
        <v/>
      </c>
      <c r="S37" t="str">
        <f t="shared" si="5"/>
        <v/>
      </c>
    </row>
    <row r="38" spans="1:19" x14ac:dyDescent="0.3">
      <c r="A38" s="37" t="str">
        <f>IF(AND(nThan=1,1=2),"",'TO HOP'!B144)</f>
        <v>SD I - 1 nhịp 2 làn</v>
      </c>
      <c r="B38" s="39">
        <f>IF(A38="","",'TO HOP'!E144)</f>
        <v>23462.916334922957</v>
      </c>
      <c r="C38" s="39">
        <f>IF(A38="","",'TO HOP'!F144)</f>
        <v>11594.472890316669</v>
      </c>
      <c r="D38" s="39">
        <f>IF(A38="","",'TO HOP'!G144)</f>
        <v>45952.392339648497</v>
      </c>
      <c r="E38" s="39">
        <f>IF(A38="","",'TO HOP'!C144)</f>
        <v>3611.4273926220267</v>
      </c>
      <c r="F38" s="39">
        <f>IF(A38="","",'TO HOP'!D144)</f>
        <v>165.63581000000002</v>
      </c>
      <c r="G38" s="39">
        <f>IF(A38="","",1)</f>
        <v>1</v>
      </c>
      <c r="H38" s="39">
        <f>IF(A38="","",IF(nThan=1,B38,B38/2+(1)*$B$7*C38/sThan))</f>
        <v>23462.916334922957</v>
      </c>
      <c r="I38" s="39">
        <f t="shared" si="0"/>
        <v>11594.472890316669</v>
      </c>
      <c r="J38" s="39">
        <f t="shared" si="1"/>
        <v>45952.392339648497</v>
      </c>
      <c r="K38" s="39">
        <f t="shared" si="2"/>
        <v>3611.4273926220267</v>
      </c>
      <c r="L38" s="39">
        <f t="shared" si="3"/>
        <v>165.63581000000002</v>
      </c>
      <c r="M38" s="39">
        <f>IF($A38="","",IF(H38=0,"",IF(Q38&lt;=0.000000001,MIN(0.8*0.75*'KT THAN'!$C$62,MAX('KT THAN'!$J$38:$J$58)),IFERROR(MIN(0.8*0.75*'KT THAN'!$C$62,INDEX('KT THAN'!$J$38:$J$58,MATCH(Q38,'KT THAN'!$L$38:$L$58,-1))+(INDEX('KT THAN'!$J$38:$J$58,MIN(21,MATCH(Q38,'KT THAN'!$L$38:$L$58,-1)+1))-INDEX('KT THAN'!$J$38:$J$58,MATCH(Q38,'KT THAN'!$L$38:$L$58,-1)))*(Q38-INDEX('KT THAN'!$L$38:$L$58,MATCH(Q38,'KT THAN'!$L$38:$L$58,-1)))/(INDEX('KT THAN'!$L$38:$L$58,MIN(21,MATCH(Q38,'KT THAN'!$L$38:$L$58,-1)+1))-INDEX('KT THAN'!$L$38:$L$58,MATCH(Q38,'KT THAN'!$L$38:$L$58,-1)))),MIN(0.8*0.75*'KT THAN'!$C$62,'KT THAN'!$C$68/Q38)))))</f>
        <v>22837.533027113757</v>
      </c>
      <c r="N38" s="39">
        <f>IF($A38="","",IF(H38=0,"",IF(R38&lt;=0.000000001,MIN(0.8*0.75*'KT THAN'!$C$62,MAX('KT THAN'!$W$38:$W$58)),IFERROR(MIN(0.8*0.75*'KT THAN'!$C$62,INDEX('KT THAN'!$W$38:$W$58,MATCH(R38,'KT THAN'!$Y$38:$Y$58,-1))+(INDEX('KT THAN'!$W$38:$W$58,MIN(21,MATCH(R38,'KT THAN'!$Y$38:$Y$58,-1)+1))-INDEX('KT THAN'!$W$38:$W$58,MATCH(R38,'KT THAN'!$Y$38:$Y$58,-1)))*(R38-INDEX('KT THAN'!$Y$38:$Y$58,MATCH(R38,'KT THAN'!$Y$38:$Y$58,-1)))/(INDEX('KT THAN'!$Y$38:$Y$58,MIN(21,MATCH(R38,'KT THAN'!$Y$38:$Y$58,-1)+1))-INDEX('KT THAN'!$Y$38:$Y$58,MATCH(R38,'KT THAN'!$Y$38:$Y$58,-1)))),MIN(0.8*0.75*'KT THAN'!$C$62,'KT THAN'!$D$68/R38)))))</f>
        <v>158763.07851952704</v>
      </c>
      <c r="O38" s="39">
        <f>IF($A38="","",IF(H38&lt;0,ABS(H38)/MAX('KT THAN'!$C$69,0.001)+'KT THAN'!$C$32*ABS(J38)/MAX('KT THAN'!$C$68,0.001)+'KT THAN'!$D$32*ABS(I38)/MAX('KT THAN'!$D$68,0.001),IF(OR(M38&lt;=0,N38&lt;=0),999,IF(H38&gt;=0.1*0.75*fc_*Agth*1000,H38/MAX(0.001,1/(1/M38+1/N38-1/(0.75*'KT THAN'!$C$62))),'KT THAN'!$C$32*ABS(J38)/MAX('KT THAN'!$C$68,0.001)+'KT THAN'!$D$32*ABS(I38)/MAX('KT THAN'!$D$68,0.001)))))</f>
        <v>1.0569411578725822</v>
      </c>
      <c r="P38" s="37" t="str">
        <f t="shared" si="4"/>
        <v>KHÔNG ĐẠT</v>
      </c>
      <c r="Q38" s="39">
        <f>IF($A38="","",MAX(0.001,'KT THAN'!$C$32*ABS(J38)/MAX(1,H38)))</f>
        <v>2.1900814587882267</v>
      </c>
      <c r="R38" s="39">
        <f>IF($A38="","",MAX(0.001,'KT THAN'!$D$32*ABS(I38)/MAX(1,H38)))</f>
        <v>0.49416162615126763</v>
      </c>
      <c r="S38" t="str">
        <f t="shared" si="5"/>
        <v/>
      </c>
    </row>
    <row r="39" spans="1:19" x14ac:dyDescent="0.3">
      <c r="A39" s="37" t="str">
        <f>IF(AND(nThan=1,2=2),"",'TO HOP'!B144)</f>
        <v/>
      </c>
      <c r="B39" s="39" t="str">
        <f>IF(A39="","",'TO HOP'!E144)</f>
        <v/>
      </c>
      <c r="C39" s="39" t="str">
        <f>IF(A39="","",'TO HOP'!F144)</f>
        <v/>
      </c>
      <c r="D39" s="39" t="str">
        <f>IF(A39="","",'TO HOP'!G144)</f>
        <v/>
      </c>
      <c r="E39" s="39" t="str">
        <f>IF(A39="","",'TO HOP'!C144)</f>
        <v/>
      </c>
      <c r="F39" s="39" t="str">
        <f>IF(A39="","",'TO HOP'!D144)</f>
        <v/>
      </c>
      <c r="G39" s="39" t="str">
        <f>IF(A39="","",2)</f>
        <v/>
      </c>
      <c r="H39" s="39" t="str">
        <f>IF(A39="","",IF(nThan=1,B39,B39/2+(-1)*$B$7*C39/sThan))</f>
        <v/>
      </c>
      <c r="I39" s="39" t="str">
        <f t="shared" si="0"/>
        <v/>
      </c>
      <c r="J39" s="39" t="str">
        <f t="shared" si="1"/>
        <v/>
      </c>
      <c r="K39" s="39" t="str">
        <f t="shared" si="2"/>
        <v/>
      </c>
      <c r="L39" s="39" t="str">
        <f t="shared" si="3"/>
        <v/>
      </c>
      <c r="M39" s="39" t="str">
        <f>IF($A39="","",IF(H39=0,"",IF(Q39&lt;=0.000000001,MIN(0.8*0.75*'KT THAN'!$C$62,MAX('KT THAN'!$J$38:$J$58)),IFERROR(MIN(0.8*0.75*'KT THAN'!$C$62,INDEX('KT THAN'!$J$38:$J$58,MATCH(Q39,'KT THAN'!$L$38:$L$58,-1))+(INDEX('KT THAN'!$J$38:$J$58,MIN(21,MATCH(Q39,'KT THAN'!$L$38:$L$58,-1)+1))-INDEX('KT THAN'!$J$38:$J$58,MATCH(Q39,'KT THAN'!$L$38:$L$58,-1)))*(Q39-INDEX('KT THAN'!$L$38:$L$58,MATCH(Q39,'KT THAN'!$L$38:$L$58,-1)))/(INDEX('KT THAN'!$L$38:$L$58,MIN(21,MATCH(Q39,'KT THAN'!$L$38:$L$58,-1)+1))-INDEX('KT THAN'!$L$38:$L$58,MATCH(Q39,'KT THAN'!$L$38:$L$58,-1)))),MIN(0.8*0.75*'KT THAN'!$C$62,'KT THAN'!$C$68/Q39)))))</f>
        <v/>
      </c>
      <c r="N39" s="39" t="str">
        <f>IF($A39="","",IF(H39=0,"",IF(R39&lt;=0.000000001,MIN(0.8*0.75*'KT THAN'!$C$62,MAX('KT THAN'!$W$38:$W$58)),IFERROR(MIN(0.8*0.75*'KT THAN'!$C$62,INDEX('KT THAN'!$W$38:$W$58,MATCH(R39,'KT THAN'!$Y$38:$Y$58,-1))+(INDEX('KT THAN'!$W$38:$W$58,MIN(21,MATCH(R39,'KT THAN'!$Y$38:$Y$58,-1)+1))-INDEX('KT THAN'!$W$38:$W$58,MATCH(R39,'KT THAN'!$Y$38:$Y$58,-1)))*(R39-INDEX('KT THAN'!$Y$38:$Y$58,MATCH(R39,'KT THAN'!$Y$38:$Y$58,-1)))/(INDEX('KT THAN'!$Y$38:$Y$58,MIN(21,MATCH(R39,'KT THAN'!$Y$38:$Y$58,-1)+1))-INDEX('KT THAN'!$Y$38:$Y$58,MATCH(R39,'KT THAN'!$Y$38:$Y$58,-1)))),MIN(0.8*0.75*'KT THAN'!$C$62,'KT THAN'!$D$68/R39)))))</f>
        <v/>
      </c>
      <c r="O39" s="39" t="str">
        <f>IF($A39="","",IF(H39&lt;0,ABS(H39)/MAX('KT THAN'!$C$69,0.001)+'KT THAN'!$C$32*ABS(J39)/MAX('KT THAN'!$C$68,0.001)+'KT THAN'!$D$32*ABS(I39)/MAX('KT THAN'!$D$68,0.001),IF(OR(M39&lt;=0,N39&lt;=0),999,IF(H39&gt;=0.1*0.75*fc_*Agth*1000,H39/MAX(0.001,1/(1/M39+1/N39-1/(0.75*'KT THAN'!$C$62))),'KT THAN'!$C$32*ABS(J39)/MAX('KT THAN'!$C$68,0.001)+'KT THAN'!$D$32*ABS(I39)/MAX('KT THAN'!$D$68,0.001)))))</f>
        <v/>
      </c>
      <c r="P39" s="37" t="str">
        <f t="shared" si="4"/>
        <v/>
      </c>
      <c r="Q39" s="39" t="str">
        <f>IF($A39="","",MAX(0.001,'KT THAN'!$C$32*ABS(J39)/MAX(1,H39)))</f>
        <v/>
      </c>
      <c r="R39" s="39" t="str">
        <f>IF($A39="","",MAX(0.001,'KT THAN'!$D$32*ABS(I39)/MAX(1,H39)))</f>
        <v/>
      </c>
      <c r="S39" t="str">
        <f t="shared" si="5"/>
        <v/>
      </c>
    </row>
    <row r="40" spans="1:19" x14ac:dyDescent="0.3">
      <c r="A40" s="37" t="str">
        <f>IF(AND(nThan=1,1=2),"",'TO HOP'!B145)</f>
        <v>SD I - 1 nhịp 3 làn</v>
      </c>
      <c r="B40" s="39">
        <f>IF(A40="","",'TO HOP'!E145)</f>
        <v>23778.526171589623</v>
      </c>
      <c r="C40" s="39">
        <f>IF(A40="","",'TO HOP'!F145)</f>
        <v>12042.782317400004</v>
      </c>
      <c r="D40" s="39">
        <f>IF(A40="","",'TO HOP'!G145)</f>
        <v>46236.441192648497</v>
      </c>
      <c r="E40" s="39">
        <f>IF(A40="","",'TO HOP'!C145)</f>
        <v>3611.4273926220267</v>
      </c>
      <c r="F40" s="39">
        <f>IF(A40="","",'TO HOP'!D145)</f>
        <v>165.63581000000002</v>
      </c>
      <c r="G40" s="39">
        <f>IF(A40="","",1)</f>
        <v>1</v>
      </c>
      <c r="H40" s="39">
        <f>IF(A40="","",IF(nThan=1,B40,B40/2+(1)*$B$7*C40/sThan))</f>
        <v>23778.526171589623</v>
      </c>
      <c r="I40" s="39">
        <f t="shared" si="0"/>
        <v>12042.782317400004</v>
      </c>
      <c r="J40" s="39">
        <f t="shared" si="1"/>
        <v>46236.441192648497</v>
      </c>
      <c r="K40" s="39">
        <f t="shared" si="2"/>
        <v>3611.4273926220267</v>
      </c>
      <c r="L40" s="39">
        <f t="shared" si="3"/>
        <v>165.63581000000002</v>
      </c>
      <c r="M40" s="39">
        <f>IF($A40="","",IF(H40=0,"",IF(Q40&lt;=0.000000001,MIN(0.8*0.75*'KT THAN'!$C$62,MAX('KT THAN'!$J$38:$J$58)),IFERROR(MIN(0.8*0.75*'KT THAN'!$C$62,INDEX('KT THAN'!$J$38:$J$58,MATCH(Q40,'KT THAN'!$L$38:$L$58,-1))+(INDEX('KT THAN'!$J$38:$J$58,MIN(21,MATCH(Q40,'KT THAN'!$L$38:$L$58,-1)+1))-INDEX('KT THAN'!$J$38:$J$58,MATCH(Q40,'KT THAN'!$L$38:$L$58,-1)))*(Q40-INDEX('KT THAN'!$L$38:$L$58,MATCH(Q40,'KT THAN'!$L$38:$L$58,-1)))/(INDEX('KT THAN'!$L$38:$L$58,MIN(21,MATCH(Q40,'KT THAN'!$L$38:$L$58,-1)+1))-INDEX('KT THAN'!$L$38:$L$58,MATCH(Q40,'KT THAN'!$L$38:$L$58,-1)))),MIN(0.8*0.75*'KT THAN'!$C$62,'KT THAN'!$C$68/Q40)))))</f>
        <v>22900.455115021563</v>
      </c>
      <c r="N40" s="39">
        <f>IF($A40="","",IF(H40=0,"",IF(R40&lt;=0.000000001,MIN(0.8*0.75*'KT THAN'!$C$62,MAX('KT THAN'!$W$38:$W$58)),IFERROR(MIN(0.8*0.75*'KT THAN'!$C$62,INDEX('KT THAN'!$W$38:$W$58,MATCH(R40,'KT THAN'!$Y$38:$Y$58,-1))+(INDEX('KT THAN'!$W$38:$W$58,MIN(21,MATCH(R40,'KT THAN'!$Y$38:$Y$58,-1)+1))-INDEX('KT THAN'!$W$38:$W$58,MATCH(R40,'KT THAN'!$Y$38:$Y$58,-1)))*(R40-INDEX('KT THAN'!$Y$38:$Y$58,MATCH(R40,'KT THAN'!$Y$38:$Y$58,-1)))/(INDEX('KT THAN'!$Y$38:$Y$58,MIN(21,MATCH(R40,'KT THAN'!$Y$38:$Y$58,-1)+1))-INDEX('KT THAN'!$Y$38:$Y$58,MATCH(R40,'KT THAN'!$Y$38:$Y$58,-1)))),MIN(0.8*0.75*'KT THAN'!$C$62,'KT THAN'!$D$68/R40)))))</f>
        <v>158015.19749288016</v>
      </c>
      <c r="O40" s="39">
        <f>IF($A40="","",IF(H40&lt;0,ABS(H40)/MAX('KT THAN'!$C$69,0.001)+'KT THAN'!$C$32*ABS(J40)/MAX('KT THAN'!$C$68,0.001)+'KT THAN'!$D$32*ABS(I40)/MAX('KT THAN'!$D$68,0.001),IF(OR(M40&lt;=0,N40&lt;=0),999,IF(H40&gt;=0.1*0.75*fc_*Agth*1000,H40/MAX(0.001,1/(1/M40+1/N40-1/(0.75*'KT THAN'!$C$62))),'KT THAN'!$C$32*ABS(J40)/MAX('KT THAN'!$C$68,0.001)+'KT THAN'!$D$32*ABS(I40)/MAX('KT THAN'!$D$68,0.001)))))</f>
        <v>1.0690065568072435</v>
      </c>
      <c r="P40" s="37" t="str">
        <f t="shared" si="4"/>
        <v>KHÔNG ĐẠT</v>
      </c>
      <c r="Q40" s="39">
        <f>IF($A40="","",MAX(0.001,'KT THAN'!$C$32*ABS(J40)/MAX(1,H40)))</f>
        <v>2.17437076631089</v>
      </c>
      <c r="R40" s="39">
        <f>IF($A40="","",MAX(0.001,'KT THAN'!$D$32*ABS(I40)/MAX(1,H40)))</f>
        <v>0.50645621307634348</v>
      </c>
      <c r="S40" t="str">
        <f t="shared" si="5"/>
        <v/>
      </c>
    </row>
    <row r="41" spans="1:19" x14ac:dyDescent="0.3">
      <c r="A41" s="37" t="str">
        <f>IF(AND(nThan=1,2=2),"",'TO HOP'!B145)</f>
        <v/>
      </c>
      <c r="B41" s="39" t="str">
        <f>IF(A41="","",'TO HOP'!E145)</f>
        <v/>
      </c>
      <c r="C41" s="39" t="str">
        <f>IF(A41="","",'TO HOP'!F145)</f>
        <v/>
      </c>
      <c r="D41" s="39" t="str">
        <f>IF(A41="","",'TO HOP'!G145)</f>
        <v/>
      </c>
      <c r="E41" s="39" t="str">
        <f>IF(A41="","",'TO HOP'!C145)</f>
        <v/>
      </c>
      <c r="F41" s="39" t="str">
        <f>IF(A41="","",'TO HOP'!D145)</f>
        <v/>
      </c>
      <c r="G41" s="39" t="str">
        <f>IF(A41="","",2)</f>
        <v/>
      </c>
      <c r="H41" s="39" t="str">
        <f>IF(A41="","",IF(nThan=1,B41,B41/2+(-1)*$B$7*C41/sThan))</f>
        <v/>
      </c>
      <c r="I41" s="39" t="str">
        <f t="shared" si="0"/>
        <v/>
      </c>
      <c r="J41" s="39" t="str">
        <f t="shared" si="1"/>
        <v/>
      </c>
      <c r="K41" s="39" t="str">
        <f t="shared" si="2"/>
        <v/>
      </c>
      <c r="L41" s="39" t="str">
        <f t="shared" si="3"/>
        <v/>
      </c>
      <c r="M41" s="39" t="str">
        <f>IF($A41="","",IF(H41=0,"",IF(Q41&lt;=0.000000001,MIN(0.8*0.75*'KT THAN'!$C$62,MAX('KT THAN'!$J$38:$J$58)),IFERROR(MIN(0.8*0.75*'KT THAN'!$C$62,INDEX('KT THAN'!$J$38:$J$58,MATCH(Q41,'KT THAN'!$L$38:$L$58,-1))+(INDEX('KT THAN'!$J$38:$J$58,MIN(21,MATCH(Q41,'KT THAN'!$L$38:$L$58,-1)+1))-INDEX('KT THAN'!$J$38:$J$58,MATCH(Q41,'KT THAN'!$L$38:$L$58,-1)))*(Q41-INDEX('KT THAN'!$L$38:$L$58,MATCH(Q41,'KT THAN'!$L$38:$L$58,-1)))/(INDEX('KT THAN'!$L$38:$L$58,MIN(21,MATCH(Q41,'KT THAN'!$L$38:$L$58,-1)+1))-INDEX('KT THAN'!$L$38:$L$58,MATCH(Q41,'KT THAN'!$L$38:$L$58,-1)))),MIN(0.8*0.75*'KT THAN'!$C$62,'KT THAN'!$C$68/Q41)))))</f>
        <v/>
      </c>
      <c r="N41" s="39" t="str">
        <f>IF($A41="","",IF(H41=0,"",IF(R41&lt;=0.000000001,MIN(0.8*0.75*'KT THAN'!$C$62,MAX('KT THAN'!$W$38:$W$58)),IFERROR(MIN(0.8*0.75*'KT THAN'!$C$62,INDEX('KT THAN'!$W$38:$W$58,MATCH(R41,'KT THAN'!$Y$38:$Y$58,-1))+(INDEX('KT THAN'!$W$38:$W$58,MIN(21,MATCH(R41,'KT THAN'!$Y$38:$Y$58,-1)+1))-INDEX('KT THAN'!$W$38:$W$58,MATCH(R41,'KT THAN'!$Y$38:$Y$58,-1)))*(R41-INDEX('KT THAN'!$Y$38:$Y$58,MATCH(R41,'KT THAN'!$Y$38:$Y$58,-1)))/(INDEX('KT THAN'!$Y$38:$Y$58,MIN(21,MATCH(R41,'KT THAN'!$Y$38:$Y$58,-1)+1))-INDEX('KT THAN'!$Y$38:$Y$58,MATCH(R41,'KT THAN'!$Y$38:$Y$58,-1)))),MIN(0.8*0.75*'KT THAN'!$C$62,'KT THAN'!$D$68/R41)))))</f>
        <v/>
      </c>
      <c r="O41" s="39" t="str">
        <f>IF($A41="","",IF(H41&lt;0,ABS(H41)/MAX('KT THAN'!$C$69,0.001)+'KT THAN'!$C$32*ABS(J41)/MAX('KT THAN'!$C$68,0.001)+'KT THAN'!$D$32*ABS(I41)/MAX('KT THAN'!$D$68,0.001),IF(OR(M41&lt;=0,N41&lt;=0),999,IF(H41&gt;=0.1*0.75*fc_*Agth*1000,H41/MAX(0.001,1/(1/M41+1/N41-1/(0.75*'KT THAN'!$C$62))),'KT THAN'!$C$32*ABS(J41)/MAX('KT THAN'!$C$68,0.001)+'KT THAN'!$D$32*ABS(I41)/MAX('KT THAN'!$D$68,0.001)))))</f>
        <v/>
      </c>
      <c r="P41" s="37" t="str">
        <f t="shared" si="4"/>
        <v/>
      </c>
      <c r="Q41" s="39" t="str">
        <f>IF($A41="","",MAX(0.001,'KT THAN'!$C$32*ABS(J41)/MAX(1,H41)))</f>
        <v/>
      </c>
      <c r="R41" s="39" t="str">
        <f>IF($A41="","",MAX(0.001,'KT THAN'!$D$32*ABS(I41)/MAX(1,H41)))</f>
        <v/>
      </c>
      <c r="S41" t="str">
        <f t="shared" si="5"/>
        <v/>
      </c>
    </row>
    <row r="42" spans="1:19" x14ac:dyDescent="0.3">
      <c r="A42" s="37" t="str">
        <f>IF(AND(nThan=1,1=2),"",'TO HOP'!B146)</f>
        <v>SD I - 1 nhịp 4 làn</v>
      </c>
      <c r="B42" s="39">
        <f>IF(A42="","",'TO HOP'!E146)</f>
        <v>23807.217974922958</v>
      </c>
      <c r="C42" s="39">
        <f>IF(A42="","",'TO HOP'!F146)</f>
        <v>10002.077805316669</v>
      </c>
      <c r="D42" s="39">
        <f>IF(A42="","",'TO HOP'!G146)</f>
        <v>46262.263815648497</v>
      </c>
      <c r="E42" s="39">
        <f>IF(A42="","",'TO HOP'!C146)</f>
        <v>3611.4273926220267</v>
      </c>
      <c r="F42" s="39">
        <f>IF(A42="","",'TO HOP'!D146)</f>
        <v>165.63581000000002</v>
      </c>
      <c r="G42" s="39">
        <f>IF(A42="","",1)</f>
        <v>1</v>
      </c>
      <c r="H42" s="39">
        <f>IF(A42="","",IF(nThan=1,B42,B42/2+(1)*$B$7*C42/sThan))</f>
        <v>23807.217974922958</v>
      </c>
      <c r="I42" s="39">
        <f t="shared" si="0"/>
        <v>10002.077805316669</v>
      </c>
      <c r="J42" s="39">
        <f t="shared" si="1"/>
        <v>46262.263815648497</v>
      </c>
      <c r="K42" s="39">
        <f t="shared" si="2"/>
        <v>3611.4273926220267</v>
      </c>
      <c r="L42" s="39">
        <f t="shared" si="3"/>
        <v>165.63581000000002</v>
      </c>
      <c r="M42" s="39">
        <f>IF($A42="","",IF(H42=0,"",IF(Q42&lt;=0.000000001,MIN(0.8*0.75*'KT THAN'!$C$62,MAX('KT THAN'!$J$38:$J$58)),IFERROR(MIN(0.8*0.75*'KT THAN'!$C$62,INDEX('KT THAN'!$J$38:$J$58,MATCH(Q42,'KT THAN'!$L$38:$L$58,-1))+(INDEX('KT THAN'!$J$38:$J$58,MIN(21,MATCH(Q42,'KT THAN'!$L$38:$L$58,-1)+1))-INDEX('KT THAN'!$J$38:$J$58,MATCH(Q42,'KT THAN'!$L$38:$L$58,-1)))*(Q42-INDEX('KT THAN'!$L$38:$L$58,MATCH(Q42,'KT THAN'!$L$38:$L$58,-1)))/(INDEX('KT THAN'!$L$38:$L$58,MIN(21,MATCH(Q42,'KT THAN'!$L$38:$L$58,-1)+1))-INDEX('KT THAN'!$L$38:$L$58,MATCH(Q42,'KT THAN'!$L$38:$L$58,-1)))),MIN(0.8*0.75*'KT THAN'!$C$62,'KT THAN'!$C$68/Q42)))))</f>
        <v>22906.092579049015</v>
      </c>
      <c r="N42" s="39">
        <f>IF($A42="","",IF(H42=0,"",IF(R42&lt;=0.000000001,MIN(0.8*0.75*'KT THAN'!$C$62,MAX('KT THAN'!$W$38:$W$58)),IFERROR(MIN(0.8*0.75*'KT THAN'!$C$62,INDEX('KT THAN'!$W$38:$W$58,MATCH(R42,'KT THAN'!$Y$38:$Y$58,-1))+(INDEX('KT THAN'!$W$38:$W$58,MIN(21,MATCH(R42,'KT THAN'!$Y$38:$Y$58,-1)+1))-INDEX('KT THAN'!$W$38:$W$58,MATCH(R42,'KT THAN'!$Y$38:$Y$58,-1)))*(R42-INDEX('KT THAN'!$Y$38:$Y$58,MATCH(R42,'KT THAN'!$Y$38:$Y$58,-1)))/(INDEX('KT THAN'!$Y$38:$Y$58,MIN(21,MATCH(R42,'KT THAN'!$Y$38:$Y$58,-1)+1))-INDEX('KT THAN'!$Y$38:$Y$58,MATCH(R42,'KT THAN'!$Y$38:$Y$58,-1)))),MIN(0.8*0.75*'KT THAN'!$C$62,'KT THAN'!$D$68/R42)))))</f>
        <v>158763.07851952704</v>
      </c>
      <c r="O42" s="39">
        <f>IF($A42="","",IF(H42&lt;0,ABS(H42)/MAX('KT THAN'!$C$69,0.001)+'KT THAN'!$C$32*ABS(J42)/MAX('KT THAN'!$C$68,0.001)+'KT THAN'!$D$32*ABS(I42)/MAX('KT THAN'!$D$68,0.001),IF(OR(M42&lt;=0,N42&lt;=0),999,IF(H42&gt;=0.1*0.75*fc_*Agth*1000,H42/MAX(0.001,1/(1/M42+1/N42-1/(0.75*'KT THAN'!$C$62))),'KT THAN'!$C$32*ABS(J42)/MAX('KT THAN'!$C$68,0.001)+'KT THAN'!$D$32*ABS(I42)/MAX('KT THAN'!$D$68,0.001)))))</f>
        <v>1.0693308622068765</v>
      </c>
      <c r="P42" s="37" t="str">
        <f t="shared" si="4"/>
        <v>KHÔNG ĐẠT</v>
      </c>
      <c r="Q42" s="39">
        <f>IF($A42="","",MAX(0.001,'KT THAN'!$C$32*ABS(J42)/MAX(1,H42)))</f>
        <v>2.1729631769153022</v>
      </c>
      <c r="R42" s="39">
        <f>IF($A42="","",MAX(0.001,'KT THAN'!$D$32*ABS(I42)/MAX(1,H42)))</f>
        <v>0.42012795513748119</v>
      </c>
      <c r="S42" t="str">
        <f t="shared" si="5"/>
        <v/>
      </c>
    </row>
    <row r="43" spans="1:19" x14ac:dyDescent="0.3">
      <c r="A43" s="37" t="str">
        <f>IF(AND(nThan=1,2=2),"",'TO HOP'!B146)</f>
        <v/>
      </c>
      <c r="B43" s="39" t="str">
        <f>IF(A43="","",'TO HOP'!E146)</f>
        <v/>
      </c>
      <c r="C43" s="39" t="str">
        <f>IF(A43="","",'TO HOP'!F146)</f>
        <v/>
      </c>
      <c r="D43" s="39" t="str">
        <f>IF(A43="","",'TO HOP'!G146)</f>
        <v/>
      </c>
      <c r="E43" s="39" t="str">
        <f>IF(A43="","",'TO HOP'!C146)</f>
        <v/>
      </c>
      <c r="F43" s="39" t="str">
        <f>IF(A43="","",'TO HOP'!D146)</f>
        <v/>
      </c>
      <c r="G43" s="39" t="str">
        <f>IF(A43="","",2)</f>
        <v/>
      </c>
      <c r="H43" s="39" t="str">
        <f>IF(A43="","",IF(nThan=1,B43,B43/2+(-1)*$B$7*C43/sThan))</f>
        <v/>
      </c>
      <c r="I43" s="39" t="str">
        <f t="shared" si="0"/>
        <v/>
      </c>
      <c r="J43" s="39" t="str">
        <f t="shared" si="1"/>
        <v/>
      </c>
      <c r="K43" s="39" t="str">
        <f t="shared" si="2"/>
        <v/>
      </c>
      <c r="L43" s="39" t="str">
        <f t="shared" si="3"/>
        <v/>
      </c>
      <c r="M43" s="39" t="str">
        <f>IF($A43="","",IF(H43=0,"",IF(Q43&lt;=0.000000001,MIN(0.8*0.75*'KT THAN'!$C$62,MAX('KT THAN'!$J$38:$J$58)),IFERROR(MIN(0.8*0.75*'KT THAN'!$C$62,INDEX('KT THAN'!$J$38:$J$58,MATCH(Q43,'KT THAN'!$L$38:$L$58,-1))+(INDEX('KT THAN'!$J$38:$J$58,MIN(21,MATCH(Q43,'KT THAN'!$L$38:$L$58,-1)+1))-INDEX('KT THAN'!$J$38:$J$58,MATCH(Q43,'KT THAN'!$L$38:$L$58,-1)))*(Q43-INDEX('KT THAN'!$L$38:$L$58,MATCH(Q43,'KT THAN'!$L$38:$L$58,-1)))/(INDEX('KT THAN'!$L$38:$L$58,MIN(21,MATCH(Q43,'KT THAN'!$L$38:$L$58,-1)+1))-INDEX('KT THAN'!$L$38:$L$58,MATCH(Q43,'KT THAN'!$L$38:$L$58,-1)))),MIN(0.8*0.75*'KT THAN'!$C$62,'KT THAN'!$C$68/Q43)))))</f>
        <v/>
      </c>
      <c r="N43" s="39" t="str">
        <f>IF($A43="","",IF(H43=0,"",IF(R43&lt;=0.000000001,MIN(0.8*0.75*'KT THAN'!$C$62,MAX('KT THAN'!$W$38:$W$58)),IFERROR(MIN(0.8*0.75*'KT THAN'!$C$62,INDEX('KT THAN'!$W$38:$W$58,MATCH(R43,'KT THAN'!$Y$38:$Y$58,-1))+(INDEX('KT THAN'!$W$38:$W$58,MIN(21,MATCH(R43,'KT THAN'!$Y$38:$Y$58,-1)+1))-INDEX('KT THAN'!$W$38:$W$58,MATCH(R43,'KT THAN'!$Y$38:$Y$58,-1)))*(R43-INDEX('KT THAN'!$Y$38:$Y$58,MATCH(R43,'KT THAN'!$Y$38:$Y$58,-1)))/(INDEX('KT THAN'!$Y$38:$Y$58,MIN(21,MATCH(R43,'KT THAN'!$Y$38:$Y$58,-1)+1))-INDEX('KT THAN'!$Y$38:$Y$58,MATCH(R43,'KT THAN'!$Y$38:$Y$58,-1)))),MIN(0.8*0.75*'KT THAN'!$C$62,'KT THAN'!$D$68/R43)))))</f>
        <v/>
      </c>
      <c r="O43" s="39" t="str">
        <f>IF($A43="","",IF(H43&lt;0,ABS(H43)/MAX('KT THAN'!$C$69,0.001)+'KT THAN'!$C$32*ABS(J43)/MAX('KT THAN'!$C$68,0.001)+'KT THAN'!$D$32*ABS(I43)/MAX('KT THAN'!$D$68,0.001),IF(OR(M43&lt;=0,N43&lt;=0),999,IF(H43&gt;=0.1*0.75*fc_*Agth*1000,H43/MAX(0.001,1/(1/M43+1/N43-1/(0.75*'KT THAN'!$C$62))),'KT THAN'!$C$32*ABS(J43)/MAX('KT THAN'!$C$68,0.001)+'KT THAN'!$D$32*ABS(I43)/MAX('KT THAN'!$D$68,0.001)))))</f>
        <v/>
      </c>
      <c r="P43" s="37" t="str">
        <f t="shared" si="4"/>
        <v/>
      </c>
      <c r="Q43" s="39" t="str">
        <f>IF($A43="","",MAX(0.001,'KT THAN'!$C$32*ABS(J43)/MAX(1,H43)))</f>
        <v/>
      </c>
      <c r="R43" s="39" t="str">
        <f>IF($A43="","",MAX(0.001,'KT THAN'!$D$32*ABS(I43)/MAX(1,H43)))</f>
        <v/>
      </c>
      <c r="S43" t="str">
        <f t="shared" si="5"/>
        <v/>
      </c>
    </row>
    <row r="44" spans="1:19" x14ac:dyDescent="0.3">
      <c r="A44" s="37" t="str">
        <f>IF(AND(nThan=1,1=2),"",'TO HOP'!B147)</f>
        <v>SD I - 1 nhịp 5 làn</v>
      </c>
      <c r="B44" s="39">
        <f>IF(A44="","",'TO HOP'!E147)</f>
        <v>24180.211418256291</v>
      </c>
      <c r="C44" s="39">
        <f>IF(A44="","",'TO HOP'!F147)</f>
        <v>9209.4667382333355</v>
      </c>
      <c r="D44" s="39">
        <f>IF(A44="","",'TO HOP'!G147)</f>
        <v>46597.957914648498</v>
      </c>
      <c r="E44" s="39">
        <f>IF(A44="","",'TO HOP'!C147)</f>
        <v>3611.4273926220267</v>
      </c>
      <c r="F44" s="39">
        <f>IF(A44="","",'TO HOP'!D147)</f>
        <v>165.63581000000002</v>
      </c>
      <c r="G44" s="39">
        <f>IF(A44="","",1)</f>
        <v>1</v>
      </c>
      <c r="H44" s="39">
        <f>IF(A44="","",IF(nThan=1,B44,B44/2+(1)*$B$7*C44/sThan))</f>
        <v>24180.211418256291</v>
      </c>
      <c r="I44" s="39">
        <f t="shared" ref="I44:I75" si="6">IF(A44="","",IF(nThan=1,C44,(1-$B$7)*C44/2))</f>
        <v>9209.4667382333355</v>
      </c>
      <c r="J44" s="39">
        <f t="shared" ref="J44:J75" si="7">IF(A44="","",IF(nThan=1,D44,D44/2))</f>
        <v>46597.957914648498</v>
      </c>
      <c r="K44" s="39">
        <f t="shared" ref="K44:K75" si="8">IF(A44="","",IF(nThan=1,E44,E44/2))</f>
        <v>3611.4273926220267</v>
      </c>
      <c r="L44" s="39">
        <f t="shared" ref="L44:L75" si="9">IF(A44="","",IF(nThan=1,F44,F44/2))</f>
        <v>165.63581000000002</v>
      </c>
      <c r="M44" s="39">
        <f>IF($A44="","",IF(H44=0,"",IF(Q44&lt;=0.000000001,MIN(0.8*0.75*'KT THAN'!$C$62,MAX('KT THAN'!$J$38:$J$58)),IFERROR(MIN(0.8*0.75*'KT THAN'!$C$62,INDEX('KT THAN'!$J$38:$J$58,MATCH(Q44,'KT THAN'!$L$38:$L$58,-1))+(INDEX('KT THAN'!$J$38:$J$58,MIN(21,MATCH(Q44,'KT THAN'!$L$38:$L$58,-1)+1))-INDEX('KT THAN'!$J$38:$J$58,MATCH(Q44,'KT THAN'!$L$38:$L$58,-1)))*(Q44-INDEX('KT THAN'!$L$38:$L$58,MATCH(Q44,'KT THAN'!$L$38:$L$58,-1)))/(INDEX('KT THAN'!$L$38:$L$58,MIN(21,MATCH(Q44,'KT THAN'!$L$38:$L$58,-1)+1))-INDEX('KT THAN'!$L$38:$L$58,MATCH(Q44,'KT THAN'!$L$38:$L$58,-1)))),MIN(0.8*0.75*'KT THAN'!$C$62,'KT THAN'!$C$68/Q44)))))</f>
        <v>23167.307169198699</v>
      </c>
      <c r="N44" s="39">
        <f>IF($A44="","",IF(H44=0,"",IF(R44&lt;=0.000000001,MIN(0.8*0.75*'KT THAN'!$C$62,MAX('KT THAN'!$W$38:$W$58)),IFERROR(MIN(0.8*0.75*'KT THAN'!$C$62,INDEX('KT THAN'!$W$38:$W$58,MATCH(R44,'KT THAN'!$Y$38:$Y$58,-1))+(INDEX('KT THAN'!$W$38:$W$58,MIN(21,MATCH(R44,'KT THAN'!$Y$38:$Y$58,-1)+1))-INDEX('KT THAN'!$W$38:$W$58,MATCH(R44,'KT THAN'!$Y$38:$Y$58,-1)))*(R44-INDEX('KT THAN'!$Y$38:$Y$58,MATCH(R44,'KT THAN'!$Y$38:$Y$58,-1)))/(INDEX('KT THAN'!$Y$38:$Y$58,MIN(21,MATCH(R44,'KT THAN'!$Y$38:$Y$58,-1)+1))-INDEX('KT THAN'!$Y$38:$Y$58,MATCH(R44,'KT THAN'!$Y$38:$Y$58,-1)))),MIN(0.8*0.75*'KT THAN'!$C$62,'KT THAN'!$D$68/R44)))))</f>
        <v>158763.07851952704</v>
      </c>
      <c r="O44" s="39">
        <f>IF($A44="","",IF(H44&lt;0,ABS(H44)/MAX('KT THAN'!$C$69,0.001)+'KT THAN'!$C$32*ABS(J44)/MAX('KT THAN'!$C$68,0.001)+'KT THAN'!$D$32*ABS(I44)/MAX('KT THAN'!$D$68,0.001),IF(OR(M44&lt;=0,N44&lt;=0),999,IF(H44&gt;=0.1*0.75*fc_*Agth*1000,H44/MAX(0.001,1/(1/M44+1/N44-1/(0.75*'KT THAN'!$C$62))),'KT THAN'!$C$32*ABS(J44)/MAX('KT THAN'!$C$68,0.001)+'KT THAN'!$D$32*ABS(I44)/MAX('KT THAN'!$D$68,0.001)))))</f>
        <v>1.0741820257727654</v>
      </c>
      <c r="P44" s="37" t="str">
        <f t="shared" ref="P44:P75" si="10">IF(A44="","",IF(O44&lt;=1,"ĐẠT","KHÔNG ĐẠT"))</f>
        <v>KHÔNG ĐẠT</v>
      </c>
      <c r="Q44" s="39">
        <f>IF($A44="","",MAX(0.001,'KT THAN'!$C$32*ABS(J44)/MAX(1,H44)))</f>
        <v>2.1549684948532843</v>
      </c>
      <c r="R44" s="39">
        <f>IF($A44="","",MAX(0.001,'KT THAN'!$D$32*ABS(I44)/MAX(1,H44)))</f>
        <v>0.38086791628629435</v>
      </c>
      <c r="S44" t="str">
        <f t="shared" ref="S44:S75" si="11">IF($A44="","",IF(H44&lt;0,O44,""))</f>
        <v/>
      </c>
    </row>
    <row r="45" spans="1:19" x14ac:dyDescent="0.3">
      <c r="A45" s="37" t="str">
        <f>IF(AND(nThan=1,2=2),"",'TO HOP'!B147)</f>
        <v/>
      </c>
      <c r="B45" s="39" t="str">
        <f>IF(A45="","",'TO HOP'!E147)</f>
        <v/>
      </c>
      <c r="C45" s="39" t="str">
        <f>IF(A45="","",'TO HOP'!F147)</f>
        <v/>
      </c>
      <c r="D45" s="39" t="str">
        <f>IF(A45="","",'TO HOP'!G147)</f>
        <v/>
      </c>
      <c r="E45" s="39" t="str">
        <f>IF(A45="","",'TO HOP'!C147)</f>
        <v/>
      </c>
      <c r="F45" s="39" t="str">
        <f>IF(A45="","",'TO HOP'!D147)</f>
        <v/>
      </c>
      <c r="G45" s="39" t="str">
        <f>IF(A45="","",2)</f>
        <v/>
      </c>
      <c r="H45" s="39" t="str">
        <f>IF(A45="","",IF(nThan=1,B45,B45/2+(-1)*$B$7*C45/sThan))</f>
        <v/>
      </c>
      <c r="I45" s="39" t="str">
        <f t="shared" si="6"/>
        <v/>
      </c>
      <c r="J45" s="39" t="str">
        <f t="shared" si="7"/>
        <v/>
      </c>
      <c r="K45" s="39" t="str">
        <f t="shared" si="8"/>
        <v/>
      </c>
      <c r="L45" s="39" t="str">
        <f t="shared" si="9"/>
        <v/>
      </c>
      <c r="M45" s="39" t="str">
        <f>IF($A45="","",IF(H45=0,"",IF(Q45&lt;=0.000000001,MIN(0.8*0.75*'KT THAN'!$C$62,MAX('KT THAN'!$J$38:$J$58)),IFERROR(MIN(0.8*0.75*'KT THAN'!$C$62,INDEX('KT THAN'!$J$38:$J$58,MATCH(Q45,'KT THAN'!$L$38:$L$58,-1))+(INDEX('KT THAN'!$J$38:$J$58,MIN(21,MATCH(Q45,'KT THAN'!$L$38:$L$58,-1)+1))-INDEX('KT THAN'!$J$38:$J$58,MATCH(Q45,'KT THAN'!$L$38:$L$58,-1)))*(Q45-INDEX('KT THAN'!$L$38:$L$58,MATCH(Q45,'KT THAN'!$L$38:$L$58,-1)))/(INDEX('KT THAN'!$L$38:$L$58,MIN(21,MATCH(Q45,'KT THAN'!$L$38:$L$58,-1)+1))-INDEX('KT THAN'!$L$38:$L$58,MATCH(Q45,'KT THAN'!$L$38:$L$58,-1)))),MIN(0.8*0.75*'KT THAN'!$C$62,'KT THAN'!$C$68/Q45)))))</f>
        <v/>
      </c>
      <c r="N45" s="39" t="str">
        <f>IF($A45="","",IF(H45=0,"",IF(R45&lt;=0.000000001,MIN(0.8*0.75*'KT THAN'!$C$62,MAX('KT THAN'!$W$38:$W$58)),IFERROR(MIN(0.8*0.75*'KT THAN'!$C$62,INDEX('KT THAN'!$W$38:$W$58,MATCH(R45,'KT THAN'!$Y$38:$Y$58,-1))+(INDEX('KT THAN'!$W$38:$W$58,MIN(21,MATCH(R45,'KT THAN'!$Y$38:$Y$58,-1)+1))-INDEX('KT THAN'!$W$38:$W$58,MATCH(R45,'KT THAN'!$Y$38:$Y$58,-1)))*(R45-INDEX('KT THAN'!$Y$38:$Y$58,MATCH(R45,'KT THAN'!$Y$38:$Y$58,-1)))/(INDEX('KT THAN'!$Y$38:$Y$58,MIN(21,MATCH(R45,'KT THAN'!$Y$38:$Y$58,-1)+1))-INDEX('KT THAN'!$Y$38:$Y$58,MATCH(R45,'KT THAN'!$Y$38:$Y$58,-1)))),MIN(0.8*0.75*'KT THAN'!$C$62,'KT THAN'!$D$68/R45)))))</f>
        <v/>
      </c>
      <c r="O45" s="39" t="str">
        <f>IF($A45="","",IF(H45&lt;0,ABS(H45)/MAX('KT THAN'!$C$69,0.001)+'KT THAN'!$C$32*ABS(J45)/MAX('KT THAN'!$C$68,0.001)+'KT THAN'!$D$32*ABS(I45)/MAX('KT THAN'!$D$68,0.001),IF(OR(M45&lt;=0,N45&lt;=0),999,IF(H45&gt;=0.1*0.75*fc_*Agth*1000,H45/MAX(0.001,1/(1/M45+1/N45-1/(0.75*'KT THAN'!$C$62))),'KT THAN'!$C$32*ABS(J45)/MAX('KT THAN'!$C$68,0.001)+'KT THAN'!$D$32*ABS(I45)/MAX('KT THAN'!$D$68,0.001)))))</f>
        <v/>
      </c>
      <c r="P45" s="37" t="str">
        <f t="shared" si="10"/>
        <v/>
      </c>
      <c r="Q45" s="39" t="str">
        <f>IF($A45="","",MAX(0.001,'KT THAN'!$C$32*ABS(J45)/MAX(1,H45)))</f>
        <v/>
      </c>
      <c r="R45" s="39" t="str">
        <f>IF($A45="","",MAX(0.001,'KT THAN'!$D$32*ABS(I45)/MAX(1,H45)))</f>
        <v/>
      </c>
      <c r="S45" t="str">
        <f t="shared" si="11"/>
        <v/>
      </c>
    </row>
    <row r="46" spans="1:19" x14ac:dyDescent="0.3">
      <c r="A46" s="37" t="str">
        <f>IF(AND(nThan=1,1=2),"",'TO HOP'!B148)</f>
        <v>SD I - 1 nhịp 6 làn</v>
      </c>
      <c r="B46" s="39">
        <f>IF(A46="","",'TO HOP'!E148)</f>
        <v>24553.204861589624</v>
      </c>
      <c r="C46" s="39">
        <f>IF(A46="","",'TO HOP'!F148)</f>
        <v>7297.8753411500002</v>
      </c>
      <c r="D46" s="39">
        <f>IF(A46="","",'TO HOP'!G148)</f>
        <v>46933.652013648498</v>
      </c>
      <c r="E46" s="39">
        <f>IF(A46="","",'TO HOP'!C148)</f>
        <v>3611.4273926220267</v>
      </c>
      <c r="F46" s="39">
        <f>IF(A46="","",'TO HOP'!D148)</f>
        <v>165.63581000000002</v>
      </c>
      <c r="G46" s="39">
        <f>IF(A46="","",1)</f>
        <v>1</v>
      </c>
      <c r="H46" s="39">
        <f>IF(A46="","",IF(nThan=1,B46,B46/2+(1)*$B$7*C46/sThan))</f>
        <v>24553.204861589624</v>
      </c>
      <c r="I46" s="39">
        <f t="shared" si="6"/>
        <v>7297.8753411500002</v>
      </c>
      <c r="J46" s="39">
        <f t="shared" si="7"/>
        <v>46933.652013648498</v>
      </c>
      <c r="K46" s="39">
        <f t="shared" si="8"/>
        <v>3611.4273926220267</v>
      </c>
      <c r="L46" s="39">
        <f t="shared" si="9"/>
        <v>165.63581000000002</v>
      </c>
      <c r="M46" s="39">
        <f>IF($A46="","",IF(H46=0,"",IF(Q46&lt;=0.000000001,MIN(0.8*0.75*'KT THAN'!$C$62,MAX('KT THAN'!$J$38:$J$58)),IFERROR(MIN(0.8*0.75*'KT THAN'!$C$62,INDEX('KT THAN'!$J$38:$J$58,MATCH(Q46,'KT THAN'!$L$38:$L$58,-1))+(INDEX('KT THAN'!$J$38:$J$58,MIN(21,MATCH(Q46,'KT THAN'!$L$38:$L$58,-1)+1))-INDEX('KT THAN'!$J$38:$J$58,MATCH(Q46,'KT THAN'!$L$38:$L$58,-1)))*(Q46-INDEX('KT THAN'!$L$38:$L$58,MATCH(Q46,'KT THAN'!$L$38:$L$58,-1)))/(INDEX('KT THAN'!$L$38:$L$58,MIN(21,MATCH(Q46,'KT THAN'!$L$38:$L$58,-1)+1))-INDEX('KT THAN'!$L$38:$L$58,MATCH(Q46,'KT THAN'!$L$38:$L$58,-1)))),MIN(0.8*0.75*'KT THAN'!$C$62,'KT THAN'!$C$68/Q46)))))</f>
        <v>23542.788976720276</v>
      </c>
      <c r="N46" s="39">
        <f>IF($A46="","",IF(H46=0,"",IF(R46&lt;=0.000000001,MIN(0.8*0.75*'KT THAN'!$C$62,MAX('KT THAN'!$W$38:$W$58)),IFERROR(MIN(0.8*0.75*'KT THAN'!$C$62,INDEX('KT THAN'!$W$38:$W$58,MATCH(R46,'KT THAN'!$Y$38:$Y$58,-1))+(INDEX('KT THAN'!$W$38:$W$58,MIN(21,MATCH(R46,'KT THAN'!$Y$38:$Y$58,-1)+1))-INDEX('KT THAN'!$W$38:$W$58,MATCH(R46,'KT THAN'!$Y$38:$Y$58,-1)))*(R46-INDEX('KT THAN'!$Y$38:$Y$58,MATCH(R46,'KT THAN'!$Y$38:$Y$58,-1)))/(INDEX('KT THAN'!$Y$38:$Y$58,MIN(21,MATCH(R46,'KT THAN'!$Y$38:$Y$58,-1)+1))-INDEX('KT THAN'!$Y$38:$Y$58,MATCH(R46,'KT THAN'!$Y$38:$Y$58,-1)))),MIN(0.8*0.75*'KT THAN'!$C$62,'KT THAN'!$D$68/R46)))))</f>
        <v>158763.07851952704</v>
      </c>
      <c r="O46" s="39">
        <f>IF($A46="","",IF(H46&lt;0,ABS(H46)/MAX('KT THAN'!$C$69,0.001)+'KT THAN'!$C$32*ABS(J46)/MAX('KT THAN'!$C$68,0.001)+'KT THAN'!$D$32*ABS(I46)/MAX('KT THAN'!$D$68,0.001),IF(OR(M46&lt;=0,N46&lt;=0),999,IF(H46&gt;=0.1*0.75*fc_*Agth*1000,H46/MAX(0.001,1/(1/M46+1/N46-1/(0.75*'KT THAN'!$C$62))),'KT THAN'!$C$32*ABS(J46)/MAX('KT THAN'!$C$68,0.001)+'KT THAN'!$D$32*ABS(I46)/MAX('KT THAN'!$D$68,0.001)))))</f>
        <v>1.073848897994492</v>
      </c>
      <c r="P46" s="37" t="str">
        <f t="shared" si="10"/>
        <v>KHÔNG ĐẠT</v>
      </c>
      <c r="Q46" s="39">
        <f>IF($A46="","",MAX(0.001,'KT THAN'!$C$32*ABS(J46)/MAX(1,H46)))</f>
        <v>2.1375205355887048</v>
      </c>
      <c r="R46" s="39">
        <f>IF($A46="","",MAX(0.001,'KT THAN'!$D$32*ABS(I46)/MAX(1,H46)))</f>
        <v>0.29722699673176273</v>
      </c>
      <c r="S46" t="str">
        <f t="shared" si="11"/>
        <v/>
      </c>
    </row>
    <row r="47" spans="1:19" x14ac:dyDescent="0.3">
      <c r="A47" s="37" t="str">
        <f>IF(AND(nThan=1,2=2),"",'TO HOP'!B148)</f>
        <v/>
      </c>
      <c r="B47" s="39" t="str">
        <f>IF(A47="","",'TO HOP'!E148)</f>
        <v/>
      </c>
      <c r="C47" s="39" t="str">
        <f>IF(A47="","",'TO HOP'!F148)</f>
        <v/>
      </c>
      <c r="D47" s="39" t="str">
        <f>IF(A47="","",'TO HOP'!G148)</f>
        <v/>
      </c>
      <c r="E47" s="39" t="str">
        <f>IF(A47="","",'TO HOP'!C148)</f>
        <v/>
      </c>
      <c r="F47" s="39" t="str">
        <f>IF(A47="","",'TO HOP'!D148)</f>
        <v/>
      </c>
      <c r="G47" s="39" t="str">
        <f>IF(A47="","",2)</f>
        <v/>
      </c>
      <c r="H47" s="39" t="str">
        <f>IF(A47="","",IF(nThan=1,B47,B47/2+(-1)*$B$7*C47/sThan))</f>
        <v/>
      </c>
      <c r="I47" s="39" t="str">
        <f t="shared" si="6"/>
        <v/>
      </c>
      <c r="J47" s="39" t="str">
        <f t="shared" si="7"/>
        <v/>
      </c>
      <c r="K47" s="39" t="str">
        <f t="shared" si="8"/>
        <v/>
      </c>
      <c r="L47" s="39" t="str">
        <f t="shared" si="9"/>
        <v/>
      </c>
      <c r="M47" s="39" t="str">
        <f>IF($A47="","",IF(H47=0,"",IF(Q47&lt;=0.000000001,MIN(0.8*0.75*'KT THAN'!$C$62,MAX('KT THAN'!$J$38:$J$58)),IFERROR(MIN(0.8*0.75*'KT THAN'!$C$62,INDEX('KT THAN'!$J$38:$J$58,MATCH(Q47,'KT THAN'!$L$38:$L$58,-1))+(INDEX('KT THAN'!$J$38:$J$58,MIN(21,MATCH(Q47,'KT THAN'!$L$38:$L$58,-1)+1))-INDEX('KT THAN'!$J$38:$J$58,MATCH(Q47,'KT THAN'!$L$38:$L$58,-1)))*(Q47-INDEX('KT THAN'!$L$38:$L$58,MATCH(Q47,'KT THAN'!$L$38:$L$58,-1)))/(INDEX('KT THAN'!$L$38:$L$58,MIN(21,MATCH(Q47,'KT THAN'!$L$38:$L$58,-1)+1))-INDEX('KT THAN'!$L$38:$L$58,MATCH(Q47,'KT THAN'!$L$38:$L$58,-1)))),MIN(0.8*0.75*'KT THAN'!$C$62,'KT THAN'!$C$68/Q47)))))</f>
        <v/>
      </c>
      <c r="N47" s="39" t="str">
        <f>IF($A47="","",IF(H47=0,"",IF(R47&lt;=0.000000001,MIN(0.8*0.75*'KT THAN'!$C$62,MAX('KT THAN'!$W$38:$W$58)),IFERROR(MIN(0.8*0.75*'KT THAN'!$C$62,INDEX('KT THAN'!$W$38:$W$58,MATCH(R47,'KT THAN'!$Y$38:$Y$58,-1))+(INDEX('KT THAN'!$W$38:$W$58,MIN(21,MATCH(R47,'KT THAN'!$Y$38:$Y$58,-1)+1))-INDEX('KT THAN'!$W$38:$W$58,MATCH(R47,'KT THAN'!$Y$38:$Y$58,-1)))*(R47-INDEX('KT THAN'!$Y$38:$Y$58,MATCH(R47,'KT THAN'!$Y$38:$Y$58,-1)))/(INDEX('KT THAN'!$Y$38:$Y$58,MIN(21,MATCH(R47,'KT THAN'!$Y$38:$Y$58,-1)+1))-INDEX('KT THAN'!$Y$38:$Y$58,MATCH(R47,'KT THAN'!$Y$38:$Y$58,-1)))),MIN(0.8*0.75*'KT THAN'!$C$62,'KT THAN'!$D$68/R47)))))</f>
        <v/>
      </c>
      <c r="O47" s="39" t="str">
        <f>IF($A47="","",IF(H47&lt;0,ABS(H47)/MAX('KT THAN'!$C$69,0.001)+'KT THAN'!$C$32*ABS(J47)/MAX('KT THAN'!$C$68,0.001)+'KT THAN'!$D$32*ABS(I47)/MAX('KT THAN'!$D$68,0.001),IF(OR(M47&lt;=0,N47&lt;=0),999,IF(H47&gt;=0.1*0.75*fc_*Agth*1000,H47/MAX(0.001,1/(1/M47+1/N47-1/(0.75*'KT THAN'!$C$62))),'KT THAN'!$C$32*ABS(J47)/MAX('KT THAN'!$C$68,0.001)+'KT THAN'!$D$32*ABS(I47)/MAX('KT THAN'!$D$68,0.001)))))</f>
        <v/>
      </c>
      <c r="P47" s="37" t="str">
        <f t="shared" si="10"/>
        <v/>
      </c>
      <c r="Q47" s="39" t="str">
        <f>IF($A47="","",MAX(0.001,'KT THAN'!$C$32*ABS(J47)/MAX(1,H47)))</f>
        <v/>
      </c>
      <c r="R47" s="39" t="str">
        <f>IF($A47="","",MAX(0.001,'KT THAN'!$D$32*ABS(I47)/MAX(1,H47)))</f>
        <v/>
      </c>
      <c r="S47" t="str">
        <f t="shared" si="11"/>
        <v/>
      </c>
    </row>
    <row r="48" spans="1:19" x14ac:dyDescent="0.3">
      <c r="A48" s="37" t="str">
        <f>IF(AND(nThan=1,1=2),"",'TO HOP'!B149)</f>
        <v>CĐ I(a) max - 2 nhịp lệch tâm 1 làn</v>
      </c>
      <c r="B48" s="39">
        <f>IF(A48="","",'TO HOP'!E149)</f>
        <v>30245.477741487026</v>
      </c>
      <c r="C48" s="39">
        <f>IF(A48="","",'TO HOP'!F149)</f>
        <v>19841.1862635</v>
      </c>
      <c r="D48" s="39">
        <f>IF(A48="","",'TO HOP'!G149)</f>
        <v>34091.265631949253</v>
      </c>
      <c r="E48" s="39">
        <f>IF(A48="","",'TO HOP'!C149)</f>
        <v>2697.1364775610136</v>
      </c>
      <c r="F48" s="39">
        <f>IF(A48="","",'TO HOP'!D149)</f>
        <v>0</v>
      </c>
      <c r="G48" s="39">
        <f>IF(A48="","",1)</f>
        <v>1</v>
      </c>
      <c r="H48" s="39">
        <f>IF(A48="","",IF(nThan=1,B48,B48/2+(1)*$B$7*C48/sThan))</f>
        <v>30245.477741487026</v>
      </c>
      <c r="I48" s="39">
        <f t="shared" si="6"/>
        <v>19841.1862635</v>
      </c>
      <c r="J48" s="39">
        <f t="shared" si="7"/>
        <v>34091.265631949253</v>
      </c>
      <c r="K48" s="39">
        <f t="shared" si="8"/>
        <v>2697.1364775610136</v>
      </c>
      <c r="L48" s="39">
        <f t="shared" si="9"/>
        <v>0</v>
      </c>
      <c r="M48" s="39">
        <f>IF($A48="","",IF(H48=0,"",IF(Q48&lt;=0.000000001,MIN(0.8*0.75*'KT THAN'!$C$62,MAX('KT THAN'!$J$38:$J$58)),IFERROR(MIN(0.8*0.75*'KT THAN'!$C$62,INDEX('KT THAN'!$J$38:$J$58,MATCH(Q48,'KT THAN'!$L$38:$L$58,-1))+(INDEX('KT THAN'!$J$38:$J$58,MIN(21,MATCH(Q48,'KT THAN'!$L$38:$L$58,-1)+1))-INDEX('KT THAN'!$J$38:$J$58,MATCH(Q48,'KT THAN'!$L$38:$L$58,-1)))*(Q48-INDEX('KT THAN'!$L$38:$L$58,MATCH(Q48,'KT THAN'!$L$38:$L$58,-1)))/(INDEX('KT THAN'!$L$38:$L$58,MIN(21,MATCH(Q48,'KT THAN'!$L$38:$L$58,-1)+1))-INDEX('KT THAN'!$L$38:$L$58,MATCH(Q48,'KT THAN'!$L$38:$L$58,-1)))),MIN(0.8*0.75*'KT THAN'!$C$62,'KT THAN'!$C$68/Q48)))))</f>
        <v>46753.802964349838</v>
      </c>
      <c r="N48" s="39">
        <f>IF($A48="","",IF(H48=0,"",IF(R48&lt;=0.000000001,MIN(0.8*0.75*'KT THAN'!$C$62,MAX('KT THAN'!$W$38:$W$58)),IFERROR(MIN(0.8*0.75*'KT THAN'!$C$62,INDEX('KT THAN'!$W$38:$W$58,MATCH(R48,'KT THAN'!$Y$38:$Y$58,-1))+(INDEX('KT THAN'!$W$38:$W$58,MIN(21,MATCH(R48,'KT THAN'!$Y$38:$Y$58,-1)+1))-INDEX('KT THAN'!$W$38:$W$58,MATCH(R48,'KT THAN'!$Y$38:$Y$58,-1)))*(R48-INDEX('KT THAN'!$Y$38:$Y$58,MATCH(R48,'KT THAN'!$Y$38:$Y$58,-1)))/(INDEX('KT THAN'!$Y$38:$Y$58,MIN(21,MATCH(R48,'KT THAN'!$Y$38:$Y$58,-1)+1))-INDEX('KT THAN'!$Y$38:$Y$58,MATCH(R48,'KT THAN'!$Y$38:$Y$58,-1)))),MIN(0.8*0.75*'KT THAN'!$C$62,'KT THAN'!$D$68/R48)))))</f>
        <v>147343.25167624434</v>
      </c>
      <c r="O48" s="39">
        <f>IF($A48="","",IF(H48&lt;0,ABS(H48)/MAX('KT THAN'!$C$69,0.001)+'KT THAN'!$C$32*ABS(J48)/MAX('KT THAN'!$C$68,0.001)+'KT THAN'!$D$32*ABS(I48)/MAX('KT THAN'!$D$68,0.001),IF(OR(M48&lt;=0,N48&lt;=0),999,IF(H48&gt;=0.1*0.75*fc_*Agth*1000,H48/MAX(0.001,1/(1/M48+1/N48-1/(0.75*'KT THAN'!$C$62))),'KT THAN'!$C$32*ABS(J48)/MAX('KT THAN'!$C$68,0.001)+'KT THAN'!$D$32*ABS(I48)/MAX('KT THAN'!$D$68,0.001)))))</f>
        <v>0.69977609626801751</v>
      </c>
      <c r="P48" s="37" t="str">
        <f t="shared" si="10"/>
        <v>ĐẠT</v>
      </c>
      <c r="Q48" s="39">
        <f>IF($A48="","",MAX(0.001,'KT THAN'!$C$32*ABS(J48)/MAX(1,H48)))</f>
        <v>1.2604244237151032</v>
      </c>
      <c r="R48" s="39">
        <f>IF($A48="","",MAX(0.001,'KT THAN'!$D$32*ABS(I48)/MAX(1,H48)))</f>
        <v>0.65600505414679899</v>
      </c>
      <c r="S48" t="str">
        <f t="shared" si="11"/>
        <v/>
      </c>
    </row>
    <row r="49" spans="1:19" x14ac:dyDescent="0.3">
      <c r="A49" s="37" t="str">
        <f>IF(AND(nThan=1,2=2),"",'TO HOP'!B149)</f>
        <v/>
      </c>
      <c r="B49" s="39" t="str">
        <f>IF(A49="","",'TO HOP'!E149)</f>
        <v/>
      </c>
      <c r="C49" s="39" t="str">
        <f>IF(A49="","",'TO HOP'!F149)</f>
        <v/>
      </c>
      <c r="D49" s="39" t="str">
        <f>IF(A49="","",'TO HOP'!G149)</f>
        <v/>
      </c>
      <c r="E49" s="39" t="str">
        <f>IF(A49="","",'TO HOP'!C149)</f>
        <v/>
      </c>
      <c r="F49" s="39" t="str">
        <f>IF(A49="","",'TO HOP'!D149)</f>
        <v/>
      </c>
      <c r="G49" s="39" t="str">
        <f>IF(A49="","",2)</f>
        <v/>
      </c>
      <c r="H49" s="39" t="str">
        <f>IF(A49="","",IF(nThan=1,B49,B49/2+(-1)*$B$7*C49/sThan))</f>
        <v/>
      </c>
      <c r="I49" s="39" t="str">
        <f t="shared" si="6"/>
        <v/>
      </c>
      <c r="J49" s="39" t="str">
        <f t="shared" si="7"/>
        <v/>
      </c>
      <c r="K49" s="39" t="str">
        <f t="shared" si="8"/>
        <v/>
      </c>
      <c r="L49" s="39" t="str">
        <f t="shared" si="9"/>
        <v/>
      </c>
      <c r="M49" s="39" t="str">
        <f>IF($A49="","",IF(H49=0,"",IF(Q49&lt;=0.000000001,MIN(0.8*0.75*'KT THAN'!$C$62,MAX('KT THAN'!$J$38:$J$58)),IFERROR(MIN(0.8*0.75*'KT THAN'!$C$62,INDEX('KT THAN'!$J$38:$J$58,MATCH(Q49,'KT THAN'!$L$38:$L$58,-1))+(INDEX('KT THAN'!$J$38:$J$58,MIN(21,MATCH(Q49,'KT THAN'!$L$38:$L$58,-1)+1))-INDEX('KT THAN'!$J$38:$J$58,MATCH(Q49,'KT THAN'!$L$38:$L$58,-1)))*(Q49-INDEX('KT THAN'!$L$38:$L$58,MATCH(Q49,'KT THAN'!$L$38:$L$58,-1)))/(INDEX('KT THAN'!$L$38:$L$58,MIN(21,MATCH(Q49,'KT THAN'!$L$38:$L$58,-1)+1))-INDEX('KT THAN'!$L$38:$L$58,MATCH(Q49,'KT THAN'!$L$38:$L$58,-1)))),MIN(0.8*0.75*'KT THAN'!$C$62,'KT THAN'!$C$68/Q49)))))</f>
        <v/>
      </c>
      <c r="N49" s="39" t="str">
        <f>IF($A49="","",IF(H49=0,"",IF(R49&lt;=0.000000001,MIN(0.8*0.75*'KT THAN'!$C$62,MAX('KT THAN'!$W$38:$W$58)),IFERROR(MIN(0.8*0.75*'KT THAN'!$C$62,INDEX('KT THAN'!$W$38:$W$58,MATCH(R49,'KT THAN'!$Y$38:$Y$58,-1))+(INDEX('KT THAN'!$W$38:$W$58,MIN(21,MATCH(R49,'KT THAN'!$Y$38:$Y$58,-1)+1))-INDEX('KT THAN'!$W$38:$W$58,MATCH(R49,'KT THAN'!$Y$38:$Y$58,-1)))*(R49-INDEX('KT THAN'!$Y$38:$Y$58,MATCH(R49,'KT THAN'!$Y$38:$Y$58,-1)))/(INDEX('KT THAN'!$Y$38:$Y$58,MIN(21,MATCH(R49,'KT THAN'!$Y$38:$Y$58,-1)+1))-INDEX('KT THAN'!$Y$38:$Y$58,MATCH(R49,'KT THAN'!$Y$38:$Y$58,-1)))),MIN(0.8*0.75*'KT THAN'!$C$62,'KT THAN'!$D$68/R49)))))</f>
        <v/>
      </c>
      <c r="O49" s="39" t="str">
        <f>IF($A49="","",IF(H49&lt;0,ABS(H49)/MAX('KT THAN'!$C$69,0.001)+'KT THAN'!$C$32*ABS(J49)/MAX('KT THAN'!$C$68,0.001)+'KT THAN'!$D$32*ABS(I49)/MAX('KT THAN'!$D$68,0.001),IF(OR(M49&lt;=0,N49&lt;=0),999,IF(H49&gt;=0.1*0.75*fc_*Agth*1000,H49/MAX(0.001,1/(1/M49+1/N49-1/(0.75*'KT THAN'!$C$62))),'KT THAN'!$C$32*ABS(J49)/MAX('KT THAN'!$C$68,0.001)+'KT THAN'!$D$32*ABS(I49)/MAX('KT THAN'!$D$68,0.001)))))</f>
        <v/>
      </c>
      <c r="P49" s="37" t="str">
        <f t="shared" si="10"/>
        <v/>
      </c>
      <c r="Q49" s="39" t="str">
        <f>IF($A49="","",MAX(0.001,'KT THAN'!$C$32*ABS(J49)/MAX(1,H49)))</f>
        <v/>
      </c>
      <c r="R49" s="39" t="str">
        <f>IF($A49="","",MAX(0.001,'KT THAN'!$D$32*ABS(I49)/MAX(1,H49)))</f>
        <v/>
      </c>
      <c r="S49" t="str">
        <f t="shared" si="11"/>
        <v/>
      </c>
    </row>
    <row r="50" spans="1:19" x14ac:dyDescent="0.3">
      <c r="A50" s="37" t="str">
        <f>IF(AND(nThan=1,1=2),"",'TO HOP'!B150)</f>
        <v>CĐ I(a) max - 2 nhịp lệch tâm 2 làn</v>
      </c>
      <c r="B50" s="39">
        <f>IF(A50="","",'TO HOP'!E150)</f>
        <v>31584.967109487028</v>
      </c>
      <c r="C50" s="39">
        <f>IF(A50="","",'TO HOP'!F150)</f>
        <v>28045.5586425</v>
      </c>
      <c r="D50" s="39">
        <f>IF(A50="","",'TO HOP'!G150)</f>
        <v>34091.265631949253</v>
      </c>
      <c r="E50" s="39">
        <f>IF(A50="","",'TO HOP'!C150)</f>
        <v>2697.1364775610136</v>
      </c>
      <c r="F50" s="39">
        <f>IF(A50="","",'TO HOP'!D150)</f>
        <v>0</v>
      </c>
      <c r="G50" s="39">
        <f>IF(A50="","",1)</f>
        <v>1</v>
      </c>
      <c r="H50" s="39">
        <f>IF(A50="","",IF(nThan=1,B50,B50/2+(1)*$B$7*C50/sThan))</f>
        <v>31584.967109487028</v>
      </c>
      <c r="I50" s="39">
        <f t="shared" si="6"/>
        <v>28045.5586425</v>
      </c>
      <c r="J50" s="39">
        <f t="shared" si="7"/>
        <v>34091.265631949253</v>
      </c>
      <c r="K50" s="39">
        <f t="shared" si="8"/>
        <v>2697.1364775610136</v>
      </c>
      <c r="L50" s="39">
        <f t="shared" si="9"/>
        <v>0</v>
      </c>
      <c r="M50" s="39">
        <f>IF($A50="","",IF(H50=0,"",IF(Q50&lt;=0.000000001,MIN(0.8*0.75*'KT THAN'!$C$62,MAX('KT THAN'!$J$38:$J$58)),IFERROR(MIN(0.8*0.75*'KT THAN'!$C$62,INDEX('KT THAN'!$J$38:$J$58,MATCH(Q50,'KT THAN'!$L$38:$L$58,-1))+(INDEX('KT THAN'!$J$38:$J$58,MIN(21,MATCH(Q50,'KT THAN'!$L$38:$L$58,-1)+1))-INDEX('KT THAN'!$J$38:$J$58,MATCH(Q50,'KT THAN'!$L$38:$L$58,-1)))*(Q50-INDEX('KT THAN'!$L$38:$L$58,MATCH(Q50,'KT THAN'!$L$38:$L$58,-1)))/(INDEX('KT THAN'!$L$38:$L$58,MIN(21,MATCH(Q50,'KT THAN'!$L$38:$L$58,-1)+1))-INDEX('KT THAN'!$L$38:$L$58,MATCH(Q50,'KT THAN'!$L$38:$L$58,-1)))),MIN(0.8*0.75*'KT THAN'!$C$62,'KT THAN'!$C$68/Q50)))))</f>
        <v>48873.085975324699</v>
      </c>
      <c r="N50" s="39">
        <f>IF($A50="","",IF(H50=0,"",IF(R50&lt;=0.000000001,MIN(0.8*0.75*'KT THAN'!$C$62,MAX('KT THAN'!$W$38:$W$58)),IFERROR(MIN(0.8*0.75*'KT THAN'!$C$62,INDEX('KT THAN'!$W$38:$W$58,MATCH(R50,'KT THAN'!$Y$38:$Y$58,-1))+(INDEX('KT THAN'!$W$38:$W$58,MIN(21,MATCH(R50,'KT THAN'!$Y$38:$Y$58,-1)+1))-INDEX('KT THAN'!$W$38:$W$58,MATCH(R50,'KT THAN'!$Y$38:$Y$58,-1)))*(R50-INDEX('KT THAN'!$Y$38:$Y$58,MATCH(R50,'KT THAN'!$Y$38:$Y$58,-1)))/(INDEX('KT THAN'!$Y$38:$Y$58,MIN(21,MATCH(R50,'KT THAN'!$Y$38:$Y$58,-1)+1))-INDEX('KT THAN'!$Y$38:$Y$58,MATCH(R50,'KT THAN'!$Y$38:$Y$58,-1)))),MIN(0.8*0.75*'KT THAN'!$C$62,'KT THAN'!$D$68/R50)))))</f>
        <v>131530.41094798286</v>
      </c>
      <c r="O50" s="39">
        <f>IF($A50="","",IF(H50&lt;0,ABS(H50)/MAX('KT THAN'!$C$69,0.001)+'KT THAN'!$C$32*ABS(J50)/MAX('KT THAN'!$C$68,0.001)+'KT THAN'!$D$32*ABS(I50)/MAX('KT THAN'!$D$68,0.001),IF(OR(M50&lt;=0,N50&lt;=0),999,IF(H50&gt;=0.1*0.75*fc_*Agth*1000,H50/MAX(0.001,1/(1/M50+1/N50-1/(0.75*'KT THAN'!$C$62))),'KT THAN'!$C$32*ABS(J50)/MAX('KT THAN'!$C$68,0.001)+'KT THAN'!$D$32*ABS(I50)/MAX('KT THAN'!$D$68,0.001)))))</f>
        <v>0.72724414877669108</v>
      </c>
      <c r="P50" s="37" t="str">
        <f t="shared" si="10"/>
        <v>ĐẠT</v>
      </c>
      <c r="Q50" s="39">
        <f>IF($A50="","",MAX(0.001,'KT THAN'!$C$32*ABS(J50)/MAX(1,H50)))</f>
        <v>1.2069709846508341</v>
      </c>
      <c r="R50" s="39">
        <f>IF($A50="","",MAX(0.001,'KT THAN'!$D$32*ABS(I50)/MAX(1,H50)))</f>
        <v>0.88794009331344492</v>
      </c>
      <c r="S50" t="str">
        <f t="shared" si="11"/>
        <v/>
      </c>
    </row>
    <row r="51" spans="1:19" x14ac:dyDescent="0.3">
      <c r="A51" s="37" t="str">
        <f>IF(AND(nThan=1,2=2),"",'TO HOP'!B150)</f>
        <v/>
      </c>
      <c r="B51" s="39" t="str">
        <f>IF(A51="","",'TO HOP'!E150)</f>
        <v/>
      </c>
      <c r="C51" s="39" t="str">
        <f>IF(A51="","",'TO HOP'!F150)</f>
        <v/>
      </c>
      <c r="D51" s="39" t="str">
        <f>IF(A51="","",'TO HOP'!G150)</f>
        <v/>
      </c>
      <c r="E51" s="39" t="str">
        <f>IF(A51="","",'TO HOP'!C150)</f>
        <v/>
      </c>
      <c r="F51" s="39" t="str">
        <f>IF(A51="","",'TO HOP'!D150)</f>
        <v/>
      </c>
      <c r="G51" s="39" t="str">
        <f>IF(A51="","",2)</f>
        <v/>
      </c>
      <c r="H51" s="39" t="str">
        <f>IF(A51="","",IF(nThan=1,B51,B51/2+(-1)*$B$7*C51/sThan))</f>
        <v/>
      </c>
      <c r="I51" s="39" t="str">
        <f t="shared" si="6"/>
        <v/>
      </c>
      <c r="J51" s="39" t="str">
        <f t="shared" si="7"/>
        <v/>
      </c>
      <c r="K51" s="39" t="str">
        <f t="shared" si="8"/>
        <v/>
      </c>
      <c r="L51" s="39" t="str">
        <f t="shared" si="9"/>
        <v/>
      </c>
      <c r="M51" s="39" t="str">
        <f>IF($A51="","",IF(H51=0,"",IF(Q51&lt;=0.000000001,MIN(0.8*0.75*'KT THAN'!$C$62,MAX('KT THAN'!$J$38:$J$58)),IFERROR(MIN(0.8*0.75*'KT THAN'!$C$62,INDEX('KT THAN'!$J$38:$J$58,MATCH(Q51,'KT THAN'!$L$38:$L$58,-1))+(INDEX('KT THAN'!$J$38:$J$58,MIN(21,MATCH(Q51,'KT THAN'!$L$38:$L$58,-1)+1))-INDEX('KT THAN'!$J$38:$J$58,MATCH(Q51,'KT THAN'!$L$38:$L$58,-1)))*(Q51-INDEX('KT THAN'!$L$38:$L$58,MATCH(Q51,'KT THAN'!$L$38:$L$58,-1)))/(INDEX('KT THAN'!$L$38:$L$58,MIN(21,MATCH(Q51,'KT THAN'!$L$38:$L$58,-1)+1))-INDEX('KT THAN'!$L$38:$L$58,MATCH(Q51,'KT THAN'!$L$38:$L$58,-1)))),MIN(0.8*0.75*'KT THAN'!$C$62,'KT THAN'!$C$68/Q51)))))</f>
        <v/>
      </c>
      <c r="N51" s="39" t="str">
        <f>IF($A51="","",IF(H51=0,"",IF(R51&lt;=0.000000001,MIN(0.8*0.75*'KT THAN'!$C$62,MAX('KT THAN'!$W$38:$W$58)),IFERROR(MIN(0.8*0.75*'KT THAN'!$C$62,INDEX('KT THAN'!$W$38:$W$58,MATCH(R51,'KT THAN'!$Y$38:$Y$58,-1))+(INDEX('KT THAN'!$W$38:$W$58,MIN(21,MATCH(R51,'KT THAN'!$Y$38:$Y$58,-1)+1))-INDEX('KT THAN'!$W$38:$W$58,MATCH(R51,'KT THAN'!$Y$38:$Y$58,-1)))*(R51-INDEX('KT THAN'!$Y$38:$Y$58,MATCH(R51,'KT THAN'!$Y$38:$Y$58,-1)))/(INDEX('KT THAN'!$Y$38:$Y$58,MIN(21,MATCH(R51,'KT THAN'!$Y$38:$Y$58,-1)+1))-INDEX('KT THAN'!$Y$38:$Y$58,MATCH(R51,'KT THAN'!$Y$38:$Y$58,-1)))),MIN(0.8*0.75*'KT THAN'!$C$62,'KT THAN'!$D$68/R51)))))</f>
        <v/>
      </c>
      <c r="O51" s="39" t="str">
        <f>IF($A51="","",IF(H51&lt;0,ABS(H51)/MAX('KT THAN'!$C$69,0.001)+'KT THAN'!$C$32*ABS(J51)/MAX('KT THAN'!$C$68,0.001)+'KT THAN'!$D$32*ABS(I51)/MAX('KT THAN'!$D$68,0.001),IF(OR(M51&lt;=0,N51&lt;=0),999,IF(H51&gt;=0.1*0.75*fc_*Agth*1000,H51/MAX(0.001,1/(1/M51+1/N51-1/(0.75*'KT THAN'!$C$62))),'KT THAN'!$C$32*ABS(J51)/MAX('KT THAN'!$C$68,0.001)+'KT THAN'!$D$32*ABS(I51)/MAX('KT THAN'!$D$68,0.001)))))</f>
        <v/>
      </c>
      <c r="P51" s="37" t="str">
        <f t="shared" si="10"/>
        <v/>
      </c>
      <c r="Q51" s="39" t="str">
        <f>IF($A51="","",MAX(0.001,'KT THAN'!$C$32*ABS(J51)/MAX(1,H51)))</f>
        <v/>
      </c>
      <c r="R51" s="39" t="str">
        <f>IF($A51="","",MAX(0.001,'KT THAN'!$D$32*ABS(I51)/MAX(1,H51)))</f>
        <v/>
      </c>
      <c r="S51" t="str">
        <f t="shared" si="11"/>
        <v/>
      </c>
    </row>
    <row r="52" spans="1:19" x14ac:dyDescent="0.3">
      <c r="A52" s="37" t="str">
        <f>IF(AND(nThan=1,1=2),"",'TO HOP'!B151)</f>
        <v>CĐ I(a) max - 2 nhịp lệch tâm 3 làn</v>
      </c>
      <c r="B52" s="39">
        <f>IF(A52="","",'TO HOP'!E151)</f>
        <v>32505.866049987028</v>
      </c>
      <c r="C52" s="39">
        <f>IF(A52="","",'TO HOP'!F151)</f>
        <v>29353.653728437501</v>
      </c>
      <c r="D52" s="39">
        <f>IF(A52="","",'TO HOP'!G151)</f>
        <v>34091.265631949253</v>
      </c>
      <c r="E52" s="39">
        <f>IF(A52="","",'TO HOP'!C151)</f>
        <v>2697.1364775610136</v>
      </c>
      <c r="F52" s="39">
        <f>IF(A52="","",'TO HOP'!D151)</f>
        <v>0</v>
      </c>
      <c r="G52" s="39">
        <f>IF(A52="","",1)</f>
        <v>1</v>
      </c>
      <c r="H52" s="39">
        <f>IF(A52="","",IF(nThan=1,B52,B52/2+(1)*$B$7*C52/sThan))</f>
        <v>32505.866049987028</v>
      </c>
      <c r="I52" s="39">
        <f t="shared" si="6"/>
        <v>29353.653728437501</v>
      </c>
      <c r="J52" s="39">
        <f t="shared" si="7"/>
        <v>34091.265631949253</v>
      </c>
      <c r="K52" s="39">
        <f t="shared" si="8"/>
        <v>2697.1364775610136</v>
      </c>
      <c r="L52" s="39">
        <f t="shared" si="9"/>
        <v>0</v>
      </c>
      <c r="M52" s="39">
        <f>IF($A52="","",IF(H52=0,"",IF(Q52&lt;=0.000000001,MIN(0.8*0.75*'KT THAN'!$C$62,MAX('KT THAN'!$J$38:$J$58)),IFERROR(MIN(0.8*0.75*'KT THAN'!$C$62,INDEX('KT THAN'!$J$38:$J$58,MATCH(Q52,'KT THAN'!$L$38:$L$58,-1))+(INDEX('KT THAN'!$J$38:$J$58,MIN(21,MATCH(Q52,'KT THAN'!$L$38:$L$58,-1)+1))-INDEX('KT THAN'!$J$38:$J$58,MATCH(Q52,'KT THAN'!$L$38:$L$58,-1)))*(Q52-INDEX('KT THAN'!$L$38:$L$58,MATCH(Q52,'KT THAN'!$L$38:$L$58,-1)))/(INDEX('KT THAN'!$L$38:$L$58,MIN(21,MATCH(Q52,'KT THAN'!$L$38:$L$58,-1)+1))-INDEX('KT THAN'!$L$38:$L$58,MATCH(Q52,'KT THAN'!$L$38:$L$58,-1)))),MIN(0.8*0.75*'KT THAN'!$C$62,'KT THAN'!$C$68/Q52)))))</f>
        <v>50371.15906522228</v>
      </c>
      <c r="N52" s="39">
        <f>IF($A52="","",IF(H52=0,"",IF(R52&lt;=0.000000001,MIN(0.8*0.75*'KT THAN'!$C$62,MAX('KT THAN'!$W$38:$W$58)),IFERROR(MIN(0.8*0.75*'KT THAN'!$C$62,INDEX('KT THAN'!$W$38:$W$58,MATCH(R52,'KT THAN'!$Y$38:$Y$58,-1))+(INDEX('KT THAN'!$W$38:$W$58,MIN(21,MATCH(R52,'KT THAN'!$Y$38:$Y$58,-1)+1))-INDEX('KT THAN'!$W$38:$W$58,MATCH(R52,'KT THAN'!$Y$38:$Y$58,-1)))*(R52-INDEX('KT THAN'!$Y$38:$Y$58,MATCH(R52,'KT THAN'!$Y$38:$Y$58,-1)))/(INDEX('KT THAN'!$Y$38:$Y$58,MIN(21,MATCH(R52,'KT THAN'!$Y$38:$Y$58,-1)+1))-INDEX('KT THAN'!$Y$38:$Y$58,MATCH(R52,'KT THAN'!$Y$38:$Y$58,-1)))),MIN(0.8*0.75*'KT THAN'!$C$62,'KT THAN'!$D$68/R52)))))</f>
        <v>130528.735191838</v>
      </c>
      <c r="O52" s="39">
        <f>IF($A52="","",IF(H52&lt;0,ABS(H52)/MAX('KT THAN'!$C$69,0.001)+'KT THAN'!$C$32*ABS(J52)/MAX('KT THAN'!$C$68,0.001)+'KT THAN'!$D$32*ABS(I52)/MAX('KT THAN'!$D$68,0.001),IF(OR(M52&lt;=0,N52&lt;=0),999,IF(H52&gt;=0.1*0.75*fc_*Agth*1000,H52/MAX(0.001,1/(1/M52+1/N52-1/(0.75*'KT THAN'!$C$62))),'KT THAN'!$C$32*ABS(J52)/MAX('KT THAN'!$C$68,0.001)+'KT THAN'!$D$32*ABS(I52)/MAX('KT THAN'!$D$68,0.001)))))</f>
        <v>0.73056360854732216</v>
      </c>
      <c r="P52" s="37" t="str">
        <f t="shared" si="10"/>
        <v>ĐẠT</v>
      </c>
      <c r="Q52" s="39">
        <f>IF($A52="","",MAX(0.001,'KT THAN'!$C$32*ABS(J52)/MAX(1,H52)))</f>
        <v>1.1727772086945205</v>
      </c>
      <c r="R52" s="39">
        <f>IF($A52="","",MAX(0.001,'KT THAN'!$D$32*ABS(I52)/MAX(1,H52)))</f>
        <v>0.90302635479079063</v>
      </c>
      <c r="S52" t="str">
        <f t="shared" si="11"/>
        <v/>
      </c>
    </row>
    <row r="53" spans="1:19" x14ac:dyDescent="0.3">
      <c r="A53" s="37" t="str">
        <f>IF(AND(nThan=1,2=2),"",'TO HOP'!B151)</f>
        <v/>
      </c>
      <c r="B53" s="39" t="str">
        <f>IF(A53="","",'TO HOP'!E151)</f>
        <v/>
      </c>
      <c r="C53" s="39" t="str">
        <f>IF(A53="","",'TO HOP'!F151)</f>
        <v/>
      </c>
      <c r="D53" s="39" t="str">
        <f>IF(A53="","",'TO HOP'!G151)</f>
        <v/>
      </c>
      <c r="E53" s="39" t="str">
        <f>IF(A53="","",'TO HOP'!C151)</f>
        <v/>
      </c>
      <c r="F53" s="39" t="str">
        <f>IF(A53="","",'TO HOP'!D151)</f>
        <v/>
      </c>
      <c r="G53" s="39" t="str">
        <f>IF(A53="","",2)</f>
        <v/>
      </c>
      <c r="H53" s="39" t="str">
        <f>IF(A53="","",IF(nThan=1,B53,B53/2+(-1)*$B$7*C53/sThan))</f>
        <v/>
      </c>
      <c r="I53" s="39" t="str">
        <f t="shared" si="6"/>
        <v/>
      </c>
      <c r="J53" s="39" t="str">
        <f t="shared" si="7"/>
        <v/>
      </c>
      <c r="K53" s="39" t="str">
        <f t="shared" si="8"/>
        <v/>
      </c>
      <c r="L53" s="39" t="str">
        <f t="shared" si="9"/>
        <v/>
      </c>
      <c r="M53" s="39" t="str">
        <f>IF($A53="","",IF(H53=0,"",IF(Q53&lt;=0.000000001,MIN(0.8*0.75*'KT THAN'!$C$62,MAX('KT THAN'!$J$38:$J$58)),IFERROR(MIN(0.8*0.75*'KT THAN'!$C$62,INDEX('KT THAN'!$J$38:$J$58,MATCH(Q53,'KT THAN'!$L$38:$L$58,-1))+(INDEX('KT THAN'!$J$38:$J$58,MIN(21,MATCH(Q53,'KT THAN'!$L$38:$L$58,-1)+1))-INDEX('KT THAN'!$J$38:$J$58,MATCH(Q53,'KT THAN'!$L$38:$L$58,-1)))*(Q53-INDEX('KT THAN'!$L$38:$L$58,MATCH(Q53,'KT THAN'!$L$38:$L$58,-1)))/(INDEX('KT THAN'!$L$38:$L$58,MIN(21,MATCH(Q53,'KT THAN'!$L$38:$L$58,-1)+1))-INDEX('KT THAN'!$L$38:$L$58,MATCH(Q53,'KT THAN'!$L$38:$L$58,-1)))),MIN(0.8*0.75*'KT THAN'!$C$62,'KT THAN'!$C$68/Q53)))))</f>
        <v/>
      </c>
      <c r="N53" s="39" t="str">
        <f>IF($A53="","",IF(H53=0,"",IF(R53&lt;=0.000000001,MIN(0.8*0.75*'KT THAN'!$C$62,MAX('KT THAN'!$W$38:$W$58)),IFERROR(MIN(0.8*0.75*'KT THAN'!$C$62,INDEX('KT THAN'!$W$38:$W$58,MATCH(R53,'KT THAN'!$Y$38:$Y$58,-1))+(INDEX('KT THAN'!$W$38:$W$58,MIN(21,MATCH(R53,'KT THAN'!$Y$38:$Y$58,-1)+1))-INDEX('KT THAN'!$W$38:$W$58,MATCH(R53,'KT THAN'!$Y$38:$Y$58,-1)))*(R53-INDEX('KT THAN'!$Y$38:$Y$58,MATCH(R53,'KT THAN'!$Y$38:$Y$58,-1)))/(INDEX('KT THAN'!$Y$38:$Y$58,MIN(21,MATCH(R53,'KT THAN'!$Y$38:$Y$58,-1)+1))-INDEX('KT THAN'!$Y$38:$Y$58,MATCH(R53,'KT THAN'!$Y$38:$Y$58,-1)))),MIN(0.8*0.75*'KT THAN'!$C$62,'KT THAN'!$D$68/R53)))))</f>
        <v/>
      </c>
      <c r="O53" s="39" t="str">
        <f>IF($A53="","",IF(H53&lt;0,ABS(H53)/MAX('KT THAN'!$C$69,0.001)+'KT THAN'!$C$32*ABS(J53)/MAX('KT THAN'!$C$68,0.001)+'KT THAN'!$D$32*ABS(I53)/MAX('KT THAN'!$D$68,0.001),IF(OR(M53&lt;=0,N53&lt;=0),999,IF(H53&gt;=0.1*0.75*fc_*Agth*1000,H53/MAX(0.001,1/(1/M53+1/N53-1/(0.75*'KT THAN'!$C$62))),'KT THAN'!$C$32*ABS(J53)/MAX('KT THAN'!$C$68,0.001)+'KT THAN'!$D$32*ABS(I53)/MAX('KT THAN'!$D$68,0.001)))))</f>
        <v/>
      </c>
      <c r="P53" s="37" t="str">
        <f t="shared" si="10"/>
        <v/>
      </c>
      <c r="Q53" s="39" t="str">
        <f>IF($A53="","",MAX(0.001,'KT THAN'!$C$32*ABS(J53)/MAX(1,H53)))</f>
        <v/>
      </c>
      <c r="R53" s="39" t="str">
        <f>IF($A53="","",MAX(0.001,'KT THAN'!$D$32*ABS(I53)/MAX(1,H53)))</f>
        <v/>
      </c>
      <c r="S53" t="str">
        <f t="shared" si="11"/>
        <v/>
      </c>
    </row>
    <row r="54" spans="1:19" x14ac:dyDescent="0.3">
      <c r="A54" s="37" t="str">
        <f>IF(AND(nThan=1,1=2),"",'TO HOP'!B152)</f>
        <v>CĐ I(a) max - 2 nhịp lệch tâm 4 làn</v>
      </c>
      <c r="B54" s="39">
        <f>IF(A54="","",'TO HOP'!E152)</f>
        <v>32589.584135487028</v>
      </c>
      <c r="C54" s="39">
        <f>IF(A54="","",'TO HOP'!F152)</f>
        <v>23399.204897250002</v>
      </c>
      <c r="D54" s="39">
        <f>IF(A54="","",'TO HOP'!G152)</f>
        <v>34091.265631949253</v>
      </c>
      <c r="E54" s="39">
        <f>IF(A54="","",'TO HOP'!C152)</f>
        <v>2697.1364775610136</v>
      </c>
      <c r="F54" s="39">
        <f>IF(A54="","",'TO HOP'!D152)</f>
        <v>0</v>
      </c>
      <c r="G54" s="39">
        <f>IF(A54="","",1)</f>
        <v>1</v>
      </c>
      <c r="H54" s="39">
        <f>IF(A54="","",IF(nThan=1,B54,B54/2+(1)*$B$7*C54/sThan))</f>
        <v>32589.584135487028</v>
      </c>
      <c r="I54" s="39">
        <f t="shared" si="6"/>
        <v>23399.204897250002</v>
      </c>
      <c r="J54" s="39">
        <f t="shared" si="7"/>
        <v>34091.265631949253</v>
      </c>
      <c r="K54" s="39">
        <f t="shared" si="8"/>
        <v>2697.1364775610136</v>
      </c>
      <c r="L54" s="39">
        <f t="shared" si="9"/>
        <v>0</v>
      </c>
      <c r="M54" s="39">
        <f>IF($A54="","",IF(H54=0,"",IF(Q54&lt;=0.000000001,MIN(0.8*0.75*'KT THAN'!$C$62,MAX('KT THAN'!$J$38:$J$58)),IFERROR(MIN(0.8*0.75*'KT THAN'!$C$62,INDEX('KT THAN'!$J$38:$J$58,MATCH(Q54,'KT THAN'!$L$38:$L$58,-1))+(INDEX('KT THAN'!$J$38:$J$58,MIN(21,MATCH(Q54,'KT THAN'!$L$38:$L$58,-1)+1))-INDEX('KT THAN'!$J$38:$J$58,MATCH(Q54,'KT THAN'!$L$38:$L$58,-1)))*(Q54-INDEX('KT THAN'!$L$38:$L$58,MATCH(Q54,'KT THAN'!$L$38:$L$58,-1)))/(INDEX('KT THAN'!$L$38:$L$58,MIN(21,MATCH(Q54,'KT THAN'!$L$38:$L$58,-1)+1))-INDEX('KT THAN'!$L$38:$L$58,MATCH(Q54,'KT THAN'!$L$38:$L$58,-1)))),MIN(0.8*0.75*'KT THAN'!$C$62,'KT THAN'!$C$68/Q54)))))</f>
        <v>50506.329223255299</v>
      </c>
      <c r="N54" s="39">
        <f>IF($A54="","",IF(H54=0,"",IF(R54&lt;=0.000000001,MIN(0.8*0.75*'KT THAN'!$C$62,MAX('KT THAN'!$W$38:$W$58)),IFERROR(MIN(0.8*0.75*'KT THAN'!$C$62,INDEX('KT THAN'!$W$38:$W$58,MATCH(R54,'KT THAN'!$Y$38:$Y$58,-1))+(INDEX('KT THAN'!$W$38:$W$58,MIN(21,MATCH(R54,'KT THAN'!$Y$38:$Y$58,-1)+1))-INDEX('KT THAN'!$W$38:$W$58,MATCH(R54,'KT THAN'!$Y$38:$Y$58,-1)))*(R54-INDEX('KT THAN'!$Y$38:$Y$58,MATCH(R54,'KT THAN'!$Y$38:$Y$58,-1)))/(INDEX('KT THAN'!$Y$38:$Y$58,MIN(21,MATCH(R54,'KT THAN'!$Y$38:$Y$58,-1)+1))-INDEX('KT THAN'!$Y$38:$Y$58,MATCH(R54,'KT THAN'!$Y$38:$Y$58,-1)))),MIN(0.8*0.75*'KT THAN'!$C$62,'KT THAN'!$D$68/R54)))))</f>
        <v>142994.31308967221</v>
      </c>
      <c r="O54" s="39">
        <f>IF($A54="","",IF(H54&lt;0,ABS(H54)/MAX('KT THAN'!$C$69,0.001)+'KT THAN'!$C$32*ABS(J54)/MAX('KT THAN'!$C$68,0.001)+'KT THAN'!$D$32*ABS(I54)/MAX('KT THAN'!$D$68,0.001),IF(OR(M54&lt;=0,N54&lt;=0),999,IF(H54&gt;=0.1*0.75*fc_*Agth*1000,H54/MAX(0.001,1/(1/M54+1/N54-1/(0.75*'KT THAN'!$C$62))),'KT THAN'!$C$32*ABS(J54)/MAX('KT THAN'!$C$68,0.001)+'KT THAN'!$D$32*ABS(I54)/MAX('KT THAN'!$D$68,0.001)))))</f>
        <v>0.70894823598707035</v>
      </c>
      <c r="P54" s="37" t="str">
        <f t="shared" si="10"/>
        <v>ĐẠT</v>
      </c>
      <c r="Q54" s="39">
        <f>IF($A54="","",MAX(0.001,'KT THAN'!$C$32*ABS(J54)/MAX(1,H54)))</f>
        <v>1.1697645080039638</v>
      </c>
      <c r="R54" s="39">
        <f>IF($A54="","",MAX(0.001,'KT THAN'!$D$32*ABS(I54)/MAX(1,H54)))</f>
        <v>0.71799642486908699</v>
      </c>
      <c r="S54" t="str">
        <f t="shared" si="11"/>
        <v/>
      </c>
    </row>
    <row r="55" spans="1:19" x14ac:dyDescent="0.3">
      <c r="A55" s="37" t="str">
        <f>IF(AND(nThan=1,2=2),"",'TO HOP'!B152)</f>
        <v/>
      </c>
      <c r="B55" s="39" t="str">
        <f>IF(A55="","",'TO HOP'!E152)</f>
        <v/>
      </c>
      <c r="C55" s="39" t="str">
        <f>IF(A55="","",'TO HOP'!F152)</f>
        <v/>
      </c>
      <c r="D55" s="39" t="str">
        <f>IF(A55="","",'TO HOP'!G152)</f>
        <v/>
      </c>
      <c r="E55" s="39" t="str">
        <f>IF(A55="","",'TO HOP'!C152)</f>
        <v/>
      </c>
      <c r="F55" s="39" t="str">
        <f>IF(A55="","",'TO HOP'!D152)</f>
        <v/>
      </c>
      <c r="G55" s="39" t="str">
        <f>IF(A55="","",2)</f>
        <v/>
      </c>
      <c r="H55" s="39" t="str">
        <f>IF(A55="","",IF(nThan=1,B55,B55/2+(-1)*$B$7*C55/sThan))</f>
        <v/>
      </c>
      <c r="I55" s="39" t="str">
        <f t="shared" si="6"/>
        <v/>
      </c>
      <c r="J55" s="39" t="str">
        <f t="shared" si="7"/>
        <v/>
      </c>
      <c r="K55" s="39" t="str">
        <f t="shared" si="8"/>
        <v/>
      </c>
      <c r="L55" s="39" t="str">
        <f t="shared" si="9"/>
        <v/>
      </c>
      <c r="M55" s="39" t="str">
        <f>IF($A55="","",IF(H55=0,"",IF(Q55&lt;=0.000000001,MIN(0.8*0.75*'KT THAN'!$C$62,MAX('KT THAN'!$J$38:$J$58)),IFERROR(MIN(0.8*0.75*'KT THAN'!$C$62,INDEX('KT THAN'!$J$38:$J$58,MATCH(Q55,'KT THAN'!$L$38:$L$58,-1))+(INDEX('KT THAN'!$J$38:$J$58,MIN(21,MATCH(Q55,'KT THAN'!$L$38:$L$58,-1)+1))-INDEX('KT THAN'!$J$38:$J$58,MATCH(Q55,'KT THAN'!$L$38:$L$58,-1)))*(Q55-INDEX('KT THAN'!$L$38:$L$58,MATCH(Q55,'KT THAN'!$L$38:$L$58,-1)))/(INDEX('KT THAN'!$L$38:$L$58,MIN(21,MATCH(Q55,'KT THAN'!$L$38:$L$58,-1)+1))-INDEX('KT THAN'!$L$38:$L$58,MATCH(Q55,'KT THAN'!$L$38:$L$58,-1)))),MIN(0.8*0.75*'KT THAN'!$C$62,'KT THAN'!$C$68/Q55)))))</f>
        <v/>
      </c>
      <c r="N55" s="39" t="str">
        <f>IF($A55="","",IF(H55=0,"",IF(R55&lt;=0.000000001,MIN(0.8*0.75*'KT THAN'!$C$62,MAX('KT THAN'!$W$38:$W$58)),IFERROR(MIN(0.8*0.75*'KT THAN'!$C$62,INDEX('KT THAN'!$W$38:$W$58,MATCH(R55,'KT THAN'!$Y$38:$Y$58,-1))+(INDEX('KT THAN'!$W$38:$W$58,MIN(21,MATCH(R55,'KT THAN'!$Y$38:$Y$58,-1)+1))-INDEX('KT THAN'!$W$38:$W$58,MATCH(R55,'KT THAN'!$Y$38:$Y$58,-1)))*(R55-INDEX('KT THAN'!$Y$38:$Y$58,MATCH(R55,'KT THAN'!$Y$38:$Y$58,-1)))/(INDEX('KT THAN'!$Y$38:$Y$58,MIN(21,MATCH(R55,'KT THAN'!$Y$38:$Y$58,-1)+1))-INDEX('KT THAN'!$Y$38:$Y$58,MATCH(R55,'KT THAN'!$Y$38:$Y$58,-1)))),MIN(0.8*0.75*'KT THAN'!$C$62,'KT THAN'!$D$68/R55)))))</f>
        <v/>
      </c>
      <c r="O55" s="39" t="str">
        <f>IF($A55="","",IF(H55&lt;0,ABS(H55)/MAX('KT THAN'!$C$69,0.001)+'KT THAN'!$C$32*ABS(J55)/MAX('KT THAN'!$C$68,0.001)+'KT THAN'!$D$32*ABS(I55)/MAX('KT THAN'!$D$68,0.001),IF(OR(M55&lt;=0,N55&lt;=0),999,IF(H55&gt;=0.1*0.75*fc_*Agth*1000,H55/MAX(0.001,1/(1/M55+1/N55-1/(0.75*'KT THAN'!$C$62))),'KT THAN'!$C$32*ABS(J55)/MAX('KT THAN'!$C$68,0.001)+'KT THAN'!$D$32*ABS(I55)/MAX('KT THAN'!$D$68,0.001)))))</f>
        <v/>
      </c>
      <c r="P55" s="37" t="str">
        <f t="shared" si="10"/>
        <v/>
      </c>
      <c r="Q55" s="39" t="str">
        <f>IF($A55="","",MAX(0.001,'KT THAN'!$C$32*ABS(J55)/MAX(1,H55)))</f>
        <v/>
      </c>
      <c r="R55" s="39" t="str">
        <f>IF($A55="","",MAX(0.001,'KT THAN'!$D$32*ABS(I55)/MAX(1,H55)))</f>
        <v/>
      </c>
      <c r="S55" t="str">
        <f t="shared" si="11"/>
        <v/>
      </c>
    </row>
    <row r="56" spans="1:19" x14ac:dyDescent="0.3">
      <c r="A56" s="37" t="str">
        <f>IF(AND(nThan=1,1=2),"",'TO HOP'!B153)</f>
        <v>CĐ I(a) max - 2 nhịp lệch tâm 5 làn</v>
      </c>
      <c r="B56" s="39">
        <f>IF(A56="","",'TO HOP'!E153)</f>
        <v>33677.919246987025</v>
      </c>
      <c r="C56" s="39">
        <f>IF(A56="","",'TO HOP'!F153)</f>
        <v>21086.492785312505</v>
      </c>
      <c r="D56" s="39">
        <f>IF(A56="","",'TO HOP'!G153)</f>
        <v>34091.265631949253</v>
      </c>
      <c r="E56" s="39">
        <f>IF(A56="","",'TO HOP'!C153)</f>
        <v>2697.1364775610136</v>
      </c>
      <c r="F56" s="39">
        <f>IF(A56="","",'TO HOP'!D153)</f>
        <v>0</v>
      </c>
      <c r="G56" s="39">
        <f>IF(A56="","",1)</f>
        <v>1</v>
      </c>
      <c r="H56" s="39">
        <f>IF(A56="","",IF(nThan=1,B56,B56/2+(1)*$B$7*C56/sThan))</f>
        <v>33677.919246987025</v>
      </c>
      <c r="I56" s="39">
        <f t="shared" si="6"/>
        <v>21086.492785312505</v>
      </c>
      <c r="J56" s="39">
        <f t="shared" si="7"/>
        <v>34091.265631949253</v>
      </c>
      <c r="K56" s="39">
        <f t="shared" si="8"/>
        <v>2697.1364775610136</v>
      </c>
      <c r="L56" s="39">
        <f t="shared" si="9"/>
        <v>0</v>
      </c>
      <c r="M56" s="39">
        <f>IF($A56="","",IF(H56=0,"",IF(Q56&lt;=0.000000001,MIN(0.8*0.75*'KT THAN'!$C$62,MAX('KT THAN'!$J$38:$J$58)),IFERROR(MIN(0.8*0.75*'KT THAN'!$C$62,INDEX('KT THAN'!$J$38:$J$58,MATCH(Q56,'KT THAN'!$L$38:$L$58,-1))+(INDEX('KT THAN'!$J$38:$J$58,MIN(21,MATCH(Q56,'KT THAN'!$L$38:$L$58,-1)+1))-INDEX('KT THAN'!$J$38:$J$58,MATCH(Q56,'KT THAN'!$L$38:$L$58,-1)))*(Q56-INDEX('KT THAN'!$L$38:$L$58,MATCH(Q56,'KT THAN'!$L$38:$L$58,-1)))/(INDEX('KT THAN'!$L$38:$L$58,MIN(21,MATCH(Q56,'KT THAN'!$L$38:$L$58,-1)+1))-INDEX('KT THAN'!$L$38:$L$58,MATCH(Q56,'KT THAN'!$L$38:$L$58,-1)))),MIN(0.8*0.75*'KT THAN'!$C$62,'KT THAN'!$C$68/Q56)))))</f>
        <v>52202.387083712674</v>
      </c>
      <c r="N56" s="39">
        <f>IF($A56="","",IF(H56=0,"",IF(R56&lt;=0.000000001,MIN(0.8*0.75*'KT THAN'!$C$62,MAX('KT THAN'!$W$38:$W$58)),IFERROR(MIN(0.8*0.75*'KT THAN'!$C$62,INDEX('KT THAN'!$W$38:$W$58,MATCH(R56,'KT THAN'!$Y$38:$Y$58,-1))+(INDEX('KT THAN'!$W$38:$W$58,MIN(21,MATCH(R56,'KT THAN'!$Y$38:$Y$58,-1)+1))-INDEX('KT THAN'!$W$38:$W$58,MATCH(R56,'KT THAN'!$Y$38:$Y$58,-1)))*(R56-INDEX('KT THAN'!$Y$38:$Y$58,MATCH(R56,'KT THAN'!$Y$38:$Y$58,-1)))/(INDEX('KT THAN'!$Y$38:$Y$58,MIN(21,MATCH(R56,'KT THAN'!$Y$38:$Y$58,-1)+1))-INDEX('KT THAN'!$Y$38:$Y$58,MATCH(R56,'KT THAN'!$Y$38:$Y$58,-1)))),MIN(0.8*0.75*'KT THAN'!$C$62,'KT THAN'!$D$68/R56)))))</f>
        <v>149439.6516997478</v>
      </c>
      <c r="O56" s="39">
        <f>IF($A56="","",IF(H56&lt;0,ABS(H56)/MAX('KT THAN'!$C$69,0.001)+'KT THAN'!$C$32*ABS(J56)/MAX('KT THAN'!$C$68,0.001)+'KT THAN'!$D$32*ABS(I56)/MAX('KT THAN'!$D$68,0.001),IF(OR(M56&lt;=0,N56&lt;=0),999,IF(H56&gt;=0.1*0.75*fc_*Agth*1000,H56/MAX(0.001,1/(1/M56+1/N56-1/(0.75*'KT THAN'!$C$62))),'KT THAN'!$C$32*ABS(J56)/MAX('KT THAN'!$C$68,0.001)+'KT THAN'!$D$32*ABS(I56)/MAX('KT THAN'!$D$68,0.001)))))</f>
        <v>0.7008011808632697</v>
      </c>
      <c r="P56" s="37" t="str">
        <f t="shared" si="10"/>
        <v>ĐẠT</v>
      </c>
      <c r="Q56" s="39">
        <f>IF($A56="","",MAX(0.001,'KT THAN'!$C$32*ABS(J56)/MAX(1,H56)))</f>
        <v>1.1319624164640856</v>
      </c>
      <c r="R56" s="39">
        <f>IF($A56="","",MAX(0.001,'KT THAN'!$D$32*ABS(I56)/MAX(1,H56)))</f>
        <v>0.62612219688123982</v>
      </c>
      <c r="S56" t="str">
        <f t="shared" si="11"/>
        <v/>
      </c>
    </row>
    <row r="57" spans="1:19" x14ac:dyDescent="0.3">
      <c r="A57" s="37" t="str">
        <f>IF(AND(nThan=1,2=2),"",'TO HOP'!B153)</f>
        <v/>
      </c>
      <c r="B57" s="39" t="str">
        <f>IF(A57="","",'TO HOP'!E153)</f>
        <v/>
      </c>
      <c r="C57" s="39" t="str">
        <f>IF(A57="","",'TO HOP'!F153)</f>
        <v/>
      </c>
      <c r="D57" s="39" t="str">
        <f>IF(A57="","",'TO HOP'!G153)</f>
        <v/>
      </c>
      <c r="E57" s="39" t="str">
        <f>IF(A57="","",'TO HOP'!C153)</f>
        <v/>
      </c>
      <c r="F57" s="39" t="str">
        <f>IF(A57="","",'TO HOP'!D153)</f>
        <v/>
      </c>
      <c r="G57" s="39" t="str">
        <f>IF(A57="","",2)</f>
        <v/>
      </c>
      <c r="H57" s="39" t="str">
        <f>IF(A57="","",IF(nThan=1,B57,B57/2+(-1)*$B$7*C57/sThan))</f>
        <v/>
      </c>
      <c r="I57" s="39" t="str">
        <f t="shared" si="6"/>
        <v/>
      </c>
      <c r="J57" s="39" t="str">
        <f t="shared" si="7"/>
        <v/>
      </c>
      <c r="K57" s="39" t="str">
        <f t="shared" si="8"/>
        <v/>
      </c>
      <c r="L57" s="39" t="str">
        <f t="shared" si="9"/>
        <v/>
      </c>
      <c r="M57" s="39" t="str">
        <f>IF($A57="","",IF(H57=0,"",IF(Q57&lt;=0.000000001,MIN(0.8*0.75*'KT THAN'!$C$62,MAX('KT THAN'!$J$38:$J$58)),IFERROR(MIN(0.8*0.75*'KT THAN'!$C$62,INDEX('KT THAN'!$J$38:$J$58,MATCH(Q57,'KT THAN'!$L$38:$L$58,-1))+(INDEX('KT THAN'!$J$38:$J$58,MIN(21,MATCH(Q57,'KT THAN'!$L$38:$L$58,-1)+1))-INDEX('KT THAN'!$J$38:$J$58,MATCH(Q57,'KT THAN'!$L$38:$L$58,-1)))*(Q57-INDEX('KT THAN'!$L$38:$L$58,MATCH(Q57,'KT THAN'!$L$38:$L$58,-1)))/(INDEX('KT THAN'!$L$38:$L$58,MIN(21,MATCH(Q57,'KT THAN'!$L$38:$L$58,-1)+1))-INDEX('KT THAN'!$L$38:$L$58,MATCH(Q57,'KT THAN'!$L$38:$L$58,-1)))),MIN(0.8*0.75*'KT THAN'!$C$62,'KT THAN'!$C$68/Q57)))))</f>
        <v/>
      </c>
      <c r="N57" s="39" t="str">
        <f>IF($A57="","",IF(H57=0,"",IF(R57&lt;=0.000000001,MIN(0.8*0.75*'KT THAN'!$C$62,MAX('KT THAN'!$W$38:$W$58)),IFERROR(MIN(0.8*0.75*'KT THAN'!$C$62,INDEX('KT THAN'!$W$38:$W$58,MATCH(R57,'KT THAN'!$Y$38:$Y$58,-1))+(INDEX('KT THAN'!$W$38:$W$58,MIN(21,MATCH(R57,'KT THAN'!$Y$38:$Y$58,-1)+1))-INDEX('KT THAN'!$W$38:$W$58,MATCH(R57,'KT THAN'!$Y$38:$Y$58,-1)))*(R57-INDEX('KT THAN'!$Y$38:$Y$58,MATCH(R57,'KT THAN'!$Y$38:$Y$58,-1)))/(INDEX('KT THAN'!$Y$38:$Y$58,MIN(21,MATCH(R57,'KT THAN'!$Y$38:$Y$58,-1)+1))-INDEX('KT THAN'!$Y$38:$Y$58,MATCH(R57,'KT THAN'!$Y$38:$Y$58,-1)))),MIN(0.8*0.75*'KT THAN'!$C$62,'KT THAN'!$D$68/R57)))))</f>
        <v/>
      </c>
      <c r="O57" s="39" t="str">
        <f>IF($A57="","",IF(H57&lt;0,ABS(H57)/MAX('KT THAN'!$C$69,0.001)+'KT THAN'!$C$32*ABS(J57)/MAX('KT THAN'!$C$68,0.001)+'KT THAN'!$D$32*ABS(I57)/MAX('KT THAN'!$D$68,0.001),IF(OR(M57&lt;=0,N57&lt;=0),999,IF(H57&gt;=0.1*0.75*fc_*Agth*1000,H57/MAX(0.001,1/(1/M57+1/N57-1/(0.75*'KT THAN'!$C$62))),'KT THAN'!$C$32*ABS(J57)/MAX('KT THAN'!$C$68,0.001)+'KT THAN'!$D$32*ABS(I57)/MAX('KT THAN'!$D$68,0.001)))))</f>
        <v/>
      </c>
      <c r="P57" s="37" t="str">
        <f t="shared" si="10"/>
        <v/>
      </c>
      <c r="Q57" s="39" t="str">
        <f>IF($A57="","",MAX(0.001,'KT THAN'!$C$32*ABS(J57)/MAX(1,H57)))</f>
        <v/>
      </c>
      <c r="R57" s="39" t="str">
        <f>IF($A57="","",MAX(0.001,'KT THAN'!$D$32*ABS(I57)/MAX(1,H57)))</f>
        <v/>
      </c>
      <c r="S57" t="str">
        <f t="shared" si="11"/>
        <v/>
      </c>
    </row>
    <row r="58" spans="1:19" x14ac:dyDescent="0.3">
      <c r="A58" s="37" t="str">
        <f>IF(AND(nThan=1,1=2),"",'TO HOP'!B154)</f>
        <v>CĐ I(a) max - 2 nhịp lệch tâm 6 làn</v>
      </c>
      <c r="B58" s="39">
        <f>IF(A58="","",'TO HOP'!E154)</f>
        <v>34766.254358487029</v>
      </c>
      <c r="C58" s="39">
        <f>IF(A58="","",'TO HOP'!F154)</f>
        <v>15508.775338875001</v>
      </c>
      <c r="D58" s="39">
        <f>IF(A58="","",'TO HOP'!G154)</f>
        <v>34091.265631949253</v>
      </c>
      <c r="E58" s="39">
        <f>IF(A58="","",'TO HOP'!C154)</f>
        <v>2697.1364775610136</v>
      </c>
      <c r="F58" s="39">
        <f>IF(A58="","",'TO HOP'!D154)</f>
        <v>0</v>
      </c>
      <c r="G58" s="39">
        <f>IF(A58="","",1)</f>
        <v>1</v>
      </c>
      <c r="H58" s="39">
        <f>IF(A58="","",IF(nThan=1,B58,B58/2+(1)*$B$7*C58/sThan))</f>
        <v>34766.254358487029</v>
      </c>
      <c r="I58" s="39">
        <f t="shared" si="6"/>
        <v>15508.775338875001</v>
      </c>
      <c r="J58" s="39">
        <f t="shared" si="7"/>
        <v>34091.265631949253</v>
      </c>
      <c r="K58" s="39">
        <f t="shared" si="8"/>
        <v>2697.1364775610136</v>
      </c>
      <c r="L58" s="39">
        <f t="shared" si="9"/>
        <v>0</v>
      </c>
      <c r="M58" s="39">
        <f>IF($A58="","",IF(H58=0,"",IF(Q58&lt;=0.000000001,MIN(0.8*0.75*'KT THAN'!$C$62,MAX('KT THAN'!$J$38:$J$58)),IFERROR(MIN(0.8*0.75*'KT THAN'!$C$62,INDEX('KT THAN'!$J$38:$J$58,MATCH(Q58,'KT THAN'!$L$38:$L$58,-1))+(INDEX('KT THAN'!$J$38:$J$58,MIN(21,MATCH(Q58,'KT THAN'!$L$38:$L$58,-1)+1))-INDEX('KT THAN'!$J$38:$J$58,MATCH(Q58,'KT THAN'!$L$38:$L$58,-1)))*(Q58-INDEX('KT THAN'!$L$38:$L$58,MATCH(Q58,'KT THAN'!$L$38:$L$58,-1)))/(INDEX('KT THAN'!$L$38:$L$58,MIN(21,MATCH(Q58,'KT THAN'!$L$38:$L$58,-1)+1))-INDEX('KT THAN'!$L$38:$L$58,MATCH(Q58,'KT THAN'!$L$38:$L$58,-1)))),MIN(0.8*0.75*'KT THAN'!$C$62,'KT THAN'!$C$68/Q58)))))</f>
        <v>53792.256954998855</v>
      </c>
      <c r="N58" s="39">
        <f>IF($A58="","",IF(H58=0,"",IF(R58&lt;=0.000000001,MIN(0.8*0.75*'KT THAN'!$C$62,MAX('KT THAN'!$W$38:$W$58)),IFERROR(MIN(0.8*0.75*'KT THAN'!$C$62,INDEX('KT THAN'!$W$38:$W$58,MATCH(R58,'KT THAN'!$Y$38:$Y$58,-1))+(INDEX('KT THAN'!$W$38:$W$58,MIN(21,MATCH(R58,'KT THAN'!$Y$38:$Y$58,-1)+1))-INDEX('KT THAN'!$W$38:$W$58,MATCH(R58,'KT THAN'!$Y$38:$Y$58,-1)))*(R58-INDEX('KT THAN'!$Y$38:$Y$58,MATCH(R58,'KT THAN'!$Y$38:$Y$58,-1)))/(INDEX('KT THAN'!$Y$38:$Y$58,MIN(21,MATCH(R58,'KT THAN'!$Y$38:$Y$58,-1)+1))-INDEX('KT THAN'!$Y$38:$Y$58,MATCH(R58,'KT THAN'!$Y$38:$Y$58,-1)))),MIN(0.8*0.75*'KT THAN'!$C$62,'KT THAN'!$D$68/R58)))))</f>
        <v>158763.07851952704</v>
      </c>
      <c r="O58" s="39">
        <f>IF($A58="","",IF(H58&lt;0,ABS(H58)/MAX('KT THAN'!$C$69,0.001)+'KT THAN'!$C$32*ABS(J58)/MAX('KT THAN'!$C$68,0.001)+'KT THAN'!$D$32*ABS(I58)/MAX('KT THAN'!$D$68,0.001),IF(OR(M58&lt;=0,N58&lt;=0),999,IF(H58&gt;=0.1*0.75*fc_*Agth*1000,H58/MAX(0.001,1/(1/M58+1/N58-1/(0.75*'KT THAN'!$C$62))),'KT THAN'!$C$32*ABS(J58)/MAX('KT THAN'!$C$68,0.001)+'KT THAN'!$D$32*ABS(I58)/MAX('KT THAN'!$D$68,0.001)))))</f>
        <v>0.69010232178237851</v>
      </c>
      <c r="P58" s="37" t="str">
        <f t="shared" si="10"/>
        <v>ĐẠT</v>
      </c>
      <c r="Q58" s="39">
        <f>IF($A58="","",MAX(0.001,'KT THAN'!$C$32*ABS(J58)/MAX(1,H58)))</f>
        <v>1.0965270649869565</v>
      </c>
      <c r="R58" s="39">
        <f>IF($A58="","",MAX(0.001,'KT THAN'!$D$32*ABS(I58)/MAX(1,H58)))</f>
        <v>0.44608703540388861</v>
      </c>
      <c r="S58" t="str">
        <f t="shared" si="11"/>
        <v/>
      </c>
    </row>
    <row r="59" spans="1:19" x14ac:dyDescent="0.3">
      <c r="A59" s="37" t="str">
        <f>IF(AND(nThan=1,2=2),"",'TO HOP'!B154)</f>
        <v/>
      </c>
      <c r="B59" s="39" t="str">
        <f>IF(A59="","",'TO HOP'!E154)</f>
        <v/>
      </c>
      <c r="C59" s="39" t="str">
        <f>IF(A59="","",'TO HOP'!F154)</f>
        <v/>
      </c>
      <c r="D59" s="39" t="str">
        <f>IF(A59="","",'TO HOP'!G154)</f>
        <v/>
      </c>
      <c r="E59" s="39" t="str">
        <f>IF(A59="","",'TO HOP'!C154)</f>
        <v/>
      </c>
      <c r="F59" s="39" t="str">
        <f>IF(A59="","",'TO HOP'!D154)</f>
        <v/>
      </c>
      <c r="G59" s="39" t="str">
        <f>IF(A59="","",2)</f>
        <v/>
      </c>
      <c r="H59" s="39" t="str">
        <f>IF(A59="","",IF(nThan=1,B59,B59/2+(-1)*$B$7*C59/sThan))</f>
        <v/>
      </c>
      <c r="I59" s="39" t="str">
        <f t="shared" si="6"/>
        <v/>
      </c>
      <c r="J59" s="39" t="str">
        <f t="shared" si="7"/>
        <v/>
      </c>
      <c r="K59" s="39" t="str">
        <f t="shared" si="8"/>
        <v/>
      </c>
      <c r="L59" s="39" t="str">
        <f t="shared" si="9"/>
        <v/>
      </c>
      <c r="M59" s="39" t="str">
        <f>IF($A59="","",IF(H59=0,"",IF(Q59&lt;=0.000000001,MIN(0.8*0.75*'KT THAN'!$C$62,MAX('KT THAN'!$J$38:$J$58)),IFERROR(MIN(0.8*0.75*'KT THAN'!$C$62,INDEX('KT THAN'!$J$38:$J$58,MATCH(Q59,'KT THAN'!$L$38:$L$58,-1))+(INDEX('KT THAN'!$J$38:$J$58,MIN(21,MATCH(Q59,'KT THAN'!$L$38:$L$58,-1)+1))-INDEX('KT THAN'!$J$38:$J$58,MATCH(Q59,'KT THAN'!$L$38:$L$58,-1)))*(Q59-INDEX('KT THAN'!$L$38:$L$58,MATCH(Q59,'KT THAN'!$L$38:$L$58,-1)))/(INDEX('KT THAN'!$L$38:$L$58,MIN(21,MATCH(Q59,'KT THAN'!$L$38:$L$58,-1)+1))-INDEX('KT THAN'!$L$38:$L$58,MATCH(Q59,'KT THAN'!$L$38:$L$58,-1)))),MIN(0.8*0.75*'KT THAN'!$C$62,'KT THAN'!$C$68/Q59)))))</f>
        <v/>
      </c>
      <c r="N59" s="39" t="str">
        <f>IF($A59="","",IF(H59=0,"",IF(R59&lt;=0.000000001,MIN(0.8*0.75*'KT THAN'!$C$62,MAX('KT THAN'!$W$38:$W$58)),IFERROR(MIN(0.8*0.75*'KT THAN'!$C$62,INDEX('KT THAN'!$W$38:$W$58,MATCH(R59,'KT THAN'!$Y$38:$Y$58,-1))+(INDEX('KT THAN'!$W$38:$W$58,MIN(21,MATCH(R59,'KT THAN'!$Y$38:$Y$58,-1)+1))-INDEX('KT THAN'!$W$38:$W$58,MATCH(R59,'KT THAN'!$Y$38:$Y$58,-1)))*(R59-INDEX('KT THAN'!$Y$38:$Y$58,MATCH(R59,'KT THAN'!$Y$38:$Y$58,-1)))/(INDEX('KT THAN'!$Y$38:$Y$58,MIN(21,MATCH(R59,'KT THAN'!$Y$38:$Y$58,-1)+1))-INDEX('KT THAN'!$Y$38:$Y$58,MATCH(R59,'KT THAN'!$Y$38:$Y$58,-1)))),MIN(0.8*0.75*'KT THAN'!$C$62,'KT THAN'!$D$68/R59)))))</f>
        <v/>
      </c>
      <c r="O59" s="39" t="str">
        <f>IF($A59="","",IF(H59&lt;0,ABS(H59)/MAX('KT THAN'!$C$69,0.001)+'KT THAN'!$C$32*ABS(J59)/MAX('KT THAN'!$C$68,0.001)+'KT THAN'!$D$32*ABS(I59)/MAX('KT THAN'!$D$68,0.001),IF(OR(M59&lt;=0,N59&lt;=0),999,IF(H59&gt;=0.1*0.75*fc_*Agth*1000,H59/MAX(0.001,1/(1/M59+1/N59-1/(0.75*'KT THAN'!$C$62))),'KT THAN'!$C$32*ABS(J59)/MAX('KT THAN'!$C$68,0.001)+'KT THAN'!$D$32*ABS(I59)/MAX('KT THAN'!$D$68,0.001)))))</f>
        <v/>
      </c>
      <c r="P59" s="37" t="str">
        <f t="shared" si="10"/>
        <v/>
      </c>
      <c r="Q59" s="39" t="str">
        <f>IF($A59="","",MAX(0.001,'KT THAN'!$C$32*ABS(J59)/MAX(1,H59)))</f>
        <v/>
      </c>
      <c r="R59" s="39" t="str">
        <f>IF($A59="","",MAX(0.001,'KT THAN'!$D$32*ABS(I59)/MAX(1,H59)))</f>
        <v/>
      </c>
      <c r="S59" t="str">
        <f t="shared" si="11"/>
        <v/>
      </c>
    </row>
    <row r="60" spans="1:19" x14ac:dyDescent="0.3">
      <c r="A60" s="37" t="str">
        <f>IF(AND(nThan=1,1=2),"",'TO HOP'!B155)</f>
        <v>CĐ I(a) max - 2 nhịp đúng tâm 1 làn</v>
      </c>
      <c r="B60" s="39">
        <f>IF(A60="","",'TO HOP'!E155)</f>
        <v>30245.477741487026</v>
      </c>
      <c r="C60" s="39">
        <f>IF(A60="","",'TO HOP'!F155)</f>
        <v>0</v>
      </c>
      <c r="D60" s="39">
        <f>IF(A60="","",'TO HOP'!G155)</f>
        <v>34091.265631949253</v>
      </c>
      <c r="E60" s="39">
        <f>IF(A60="","",'TO HOP'!C155)</f>
        <v>2697.1364775610136</v>
      </c>
      <c r="F60" s="39">
        <f>IF(A60="","",'TO HOP'!D155)</f>
        <v>0</v>
      </c>
      <c r="G60" s="39">
        <f>IF(A60="","",1)</f>
        <v>1</v>
      </c>
      <c r="H60" s="39">
        <f>IF(A60="","",IF(nThan=1,B60,B60/2+(1)*$B$7*C60/sThan))</f>
        <v>30245.477741487026</v>
      </c>
      <c r="I60" s="39">
        <f t="shared" si="6"/>
        <v>0</v>
      </c>
      <c r="J60" s="39">
        <f t="shared" si="7"/>
        <v>34091.265631949253</v>
      </c>
      <c r="K60" s="39">
        <f t="shared" si="8"/>
        <v>2697.1364775610136</v>
      </c>
      <c r="L60" s="39">
        <f t="shared" si="9"/>
        <v>0</v>
      </c>
      <c r="M60" s="39">
        <f>IF($A60="","",IF(H60=0,"",IF(Q60&lt;=0.000000001,MIN(0.8*0.75*'KT THAN'!$C$62,MAX('KT THAN'!$J$38:$J$58)),IFERROR(MIN(0.8*0.75*'KT THAN'!$C$62,INDEX('KT THAN'!$J$38:$J$58,MATCH(Q60,'KT THAN'!$L$38:$L$58,-1))+(INDEX('KT THAN'!$J$38:$J$58,MIN(21,MATCH(Q60,'KT THAN'!$L$38:$L$58,-1)+1))-INDEX('KT THAN'!$J$38:$J$58,MATCH(Q60,'KT THAN'!$L$38:$L$58,-1)))*(Q60-INDEX('KT THAN'!$L$38:$L$58,MATCH(Q60,'KT THAN'!$L$38:$L$58,-1)))/(INDEX('KT THAN'!$L$38:$L$58,MIN(21,MATCH(Q60,'KT THAN'!$L$38:$L$58,-1)+1))-INDEX('KT THAN'!$L$38:$L$58,MATCH(Q60,'KT THAN'!$L$38:$L$58,-1)))),MIN(0.8*0.75*'KT THAN'!$C$62,'KT THAN'!$C$68/Q60)))))</f>
        <v>46753.802964349838</v>
      </c>
      <c r="N60" s="39">
        <f>IF($A60="","",IF(H60=0,"",IF(R60&lt;=0.000000001,MIN(0.8*0.75*'KT THAN'!$C$62,MAX('KT THAN'!$W$38:$W$58)),IFERROR(MIN(0.8*0.75*'KT THAN'!$C$62,INDEX('KT THAN'!$W$38:$W$58,MATCH(R60,'KT THAN'!$Y$38:$Y$58,-1))+(INDEX('KT THAN'!$W$38:$W$58,MIN(21,MATCH(R60,'KT THAN'!$Y$38:$Y$58,-1)+1))-INDEX('KT THAN'!$W$38:$W$58,MATCH(R60,'KT THAN'!$Y$38:$Y$58,-1)))*(R60-INDEX('KT THAN'!$Y$38:$Y$58,MATCH(R60,'KT THAN'!$Y$38:$Y$58,-1)))/(INDEX('KT THAN'!$Y$38:$Y$58,MIN(21,MATCH(R60,'KT THAN'!$Y$38:$Y$58,-1)+1))-INDEX('KT THAN'!$Y$38:$Y$58,MATCH(R60,'KT THAN'!$Y$38:$Y$58,-1)))),MIN(0.8*0.75*'KT THAN'!$C$62,'KT THAN'!$D$68/R60)))))</f>
        <v>158763.07851952704</v>
      </c>
      <c r="O60" s="39">
        <f>IF($A60="","",IF(H60&lt;0,ABS(H60)/MAX('KT THAN'!$C$69,0.001)+'KT THAN'!$C$32*ABS(J60)/MAX('KT THAN'!$C$68,0.001)+'KT THAN'!$D$32*ABS(I60)/MAX('KT THAN'!$D$68,0.001),IF(OR(M60&lt;=0,N60&lt;=0),999,IF(H60&gt;=0.1*0.75*fc_*Agth*1000,H60/MAX(0.001,1/(1/M60+1/N60-1/(0.75*'KT THAN'!$C$62))),'KT THAN'!$C$32*ABS(J60)/MAX('KT THAN'!$C$68,0.001)+'KT THAN'!$D$32*ABS(I60)/MAX('KT THAN'!$D$68,0.001)))))</f>
        <v>0.68501086661882182</v>
      </c>
      <c r="P60" s="37" t="str">
        <f t="shared" si="10"/>
        <v>ĐẠT</v>
      </c>
      <c r="Q60" s="39">
        <f>IF($A60="","",MAX(0.001,'KT THAN'!$C$32*ABS(J60)/MAX(1,H60)))</f>
        <v>1.2604244237151032</v>
      </c>
      <c r="R60" s="39">
        <f>IF($A60="","",MAX(0.001,'KT THAN'!$D$32*ABS(I60)/MAX(1,H60)))</f>
        <v>1E-3</v>
      </c>
      <c r="S60" t="str">
        <f t="shared" si="11"/>
        <v/>
      </c>
    </row>
    <row r="61" spans="1:19" x14ac:dyDescent="0.3">
      <c r="A61" s="37" t="str">
        <f>IF(AND(nThan=1,2=2),"",'TO HOP'!B155)</f>
        <v/>
      </c>
      <c r="B61" s="39" t="str">
        <f>IF(A61="","",'TO HOP'!E155)</f>
        <v/>
      </c>
      <c r="C61" s="39" t="str">
        <f>IF(A61="","",'TO HOP'!F155)</f>
        <v/>
      </c>
      <c r="D61" s="39" t="str">
        <f>IF(A61="","",'TO HOP'!G155)</f>
        <v/>
      </c>
      <c r="E61" s="39" t="str">
        <f>IF(A61="","",'TO HOP'!C155)</f>
        <v/>
      </c>
      <c r="F61" s="39" t="str">
        <f>IF(A61="","",'TO HOP'!D155)</f>
        <v/>
      </c>
      <c r="G61" s="39" t="str">
        <f>IF(A61="","",2)</f>
        <v/>
      </c>
      <c r="H61" s="39" t="str">
        <f>IF(A61="","",IF(nThan=1,B61,B61/2+(-1)*$B$7*C61/sThan))</f>
        <v/>
      </c>
      <c r="I61" s="39" t="str">
        <f t="shared" si="6"/>
        <v/>
      </c>
      <c r="J61" s="39" t="str">
        <f t="shared" si="7"/>
        <v/>
      </c>
      <c r="K61" s="39" t="str">
        <f t="shared" si="8"/>
        <v/>
      </c>
      <c r="L61" s="39" t="str">
        <f t="shared" si="9"/>
        <v/>
      </c>
      <c r="M61" s="39" t="str">
        <f>IF($A61="","",IF(H61=0,"",IF(Q61&lt;=0.000000001,MIN(0.8*0.75*'KT THAN'!$C$62,MAX('KT THAN'!$J$38:$J$58)),IFERROR(MIN(0.8*0.75*'KT THAN'!$C$62,INDEX('KT THAN'!$J$38:$J$58,MATCH(Q61,'KT THAN'!$L$38:$L$58,-1))+(INDEX('KT THAN'!$J$38:$J$58,MIN(21,MATCH(Q61,'KT THAN'!$L$38:$L$58,-1)+1))-INDEX('KT THAN'!$J$38:$J$58,MATCH(Q61,'KT THAN'!$L$38:$L$58,-1)))*(Q61-INDEX('KT THAN'!$L$38:$L$58,MATCH(Q61,'KT THAN'!$L$38:$L$58,-1)))/(INDEX('KT THAN'!$L$38:$L$58,MIN(21,MATCH(Q61,'KT THAN'!$L$38:$L$58,-1)+1))-INDEX('KT THAN'!$L$38:$L$58,MATCH(Q61,'KT THAN'!$L$38:$L$58,-1)))),MIN(0.8*0.75*'KT THAN'!$C$62,'KT THAN'!$C$68/Q61)))))</f>
        <v/>
      </c>
      <c r="N61" s="39" t="str">
        <f>IF($A61="","",IF(H61=0,"",IF(R61&lt;=0.000000001,MIN(0.8*0.75*'KT THAN'!$C$62,MAX('KT THAN'!$W$38:$W$58)),IFERROR(MIN(0.8*0.75*'KT THAN'!$C$62,INDEX('KT THAN'!$W$38:$W$58,MATCH(R61,'KT THAN'!$Y$38:$Y$58,-1))+(INDEX('KT THAN'!$W$38:$W$58,MIN(21,MATCH(R61,'KT THAN'!$Y$38:$Y$58,-1)+1))-INDEX('KT THAN'!$W$38:$W$58,MATCH(R61,'KT THAN'!$Y$38:$Y$58,-1)))*(R61-INDEX('KT THAN'!$Y$38:$Y$58,MATCH(R61,'KT THAN'!$Y$38:$Y$58,-1)))/(INDEX('KT THAN'!$Y$38:$Y$58,MIN(21,MATCH(R61,'KT THAN'!$Y$38:$Y$58,-1)+1))-INDEX('KT THAN'!$Y$38:$Y$58,MATCH(R61,'KT THAN'!$Y$38:$Y$58,-1)))),MIN(0.8*0.75*'KT THAN'!$C$62,'KT THAN'!$D$68/R61)))))</f>
        <v/>
      </c>
      <c r="O61" s="39" t="str">
        <f>IF($A61="","",IF(H61&lt;0,ABS(H61)/MAX('KT THAN'!$C$69,0.001)+'KT THAN'!$C$32*ABS(J61)/MAX('KT THAN'!$C$68,0.001)+'KT THAN'!$D$32*ABS(I61)/MAX('KT THAN'!$D$68,0.001),IF(OR(M61&lt;=0,N61&lt;=0),999,IF(H61&gt;=0.1*0.75*fc_*Agth*1000,H61/MAX(0.001,1/(1/M61+1/N61-1/(0.75*'KT THAN'!$C$62))),'KT THAN'!$C$32*ABS(J61)/MAX('KT THAN'!$C$68,0.001)+'KT THAN'!$D$32*ABS(I61)/MAX('KT THAN'!$D$68,0.001)))))</f>
        <v/>
      </c>
      <c r="P61" s="37" t="str">
        <f t="shared" si="10"/>
        <v/>
      </c>
      <c r="Q61" s="39" t="str">
        <f>IF($A61="","",MAX(0.001,'KT THAN'!$C$32*ABS(J61)/MAX(1,H61)))</f>
        <v/>
      </c>
      <c r="R61" s="39" t="str">
        <f>IF($A61="","",MAX(0.001,'KT THAN'!$D$32*ABS(I61)/MAX(1,H61)))</f>
        <v/>
      </c>
      <c r="S61" t="str">
        <f t="shared" si="11"/>
        <v/>
      </c>
    </row>
    <row r="62" spans="1:19" x14ac:dyDescent="0.3">
      <c r="A62" s="37" t="str">
        <f>IF(AND(nThan=1,1=2),"",'TO HOP'!B156)</f>
        <v>CĐ I(a) max - 2 nhịp đúng tâm 2 làn</v>
      </c>
      <c r="B62" s="39">
        <f>IF(A62="","",'TO HOP'!E156)</f>
        <v>31584.967109487028</v>
      </c>
      <c r="C62" s="39">
        <f>IF(A62="","",'TO HOP'!F156)</f>
        <v>0</v>
      </c>
      <c r="D62" s="39">
        <f>IF(A62="","",'TO HOP'!G156)</f>
        <v>34091.265631949253</v>
      </c>
      <c r="E62" s="39">
        <f>IF(A62="","",'TO HOP'!C156)</f>
        <v>2697.1364775610136</v>
      </c>
      <c r="F62" s="39">
        <f>IF(A62="","",'TO HOP'!D156)</f>
        <v>0</v>
      </c>
      <c r="G62" s="39">
        <f>IF(A62="","",1)</f>
        <v>1</v>
      </c>
      <c r="H62" s="39">
        <f>IF(A62="","",IF(nThan=1,B62,B62/2+(1)*$B$7*C62/sThan))</f>
        <v>31584.967109487028</v>
      </c>
      <c r="I62" s="39">
        <f t="shared" si="6"/>
        <v>0</v>
      </c>
      <c r="J62" s="39">
        <f t="shared" si="7"/>
        <v>34091.265631949253</v>
      </c>
      <c r="K62" s="39">
        <f t="shared" si="8"/>
        <v>2697.1364775610136</v>
      </c>
      <c r="L62" s="39">
        <f t="shared" si="9"/>
        <v>0</v>
      </c>
      <c r="M62" s="39">
        <f>IF($A62="","",IF(H62=0,"",IF(Q62&lt;=0.000000001,MIN(0.8*0.75*'KT THAN'!$C$62,MAX('KT THAN'!$J$38:$J$58)),IFERROR(MIN(0.8*0.75*'KT THAN'!$C$62,INDEX('KT THAN'!$J$38:$J$58,MATCH(Q62,'KT THAN'!$L$38:$L$58,-1))+(INDEX('KT THAN'!$J$38:$J$58,MIN(21,MATCH(Q62,'KT THAN'!$L$38:$L$58,-1)+1))-INDEX('KT THAN'!$J$38:$J$58,MATCH(Q62,'KT THAN'!$L$38:$L$58,-1)))*(Q62-INDEX('KT THAN'!$L$38:$L$58,MATCH(Q62,'KT THAN'!$L$38:$L$58,-1)))/(INDEX('KT THAN'!$L$38:$L$58,MIN(21,MATCH(Q62,'KT THAN'!$L$38:$L$58,-1)+1))-INDEX('KT THAN'!$L$38:$L$58,MATCH(Q62,'KT THAN'!$L$38:$L$58,-1)))),MIN(0.8*0.75*'KT THAN'!$C$62,'KT THAN'!$C$68/Q62)))))</f>
        <v>48873.085975324699</v>
      </c>
      <c r="N62" s="39">
        <f>IF($A62="","",IF(H62=0,"",IF(R62&lt;=0.000000001,MIN(0.8*0.75*'KT THAN'!$C$62,MAX('KT THAN'!$W$38:$W$58)),IFERROR(MIN(0.8*0.75*'KT THAN'!$C$62,INDEX('KT THAN'!$W$38:$W$58,MATCH(R62,'KT THAN'!$Y$38:$Y$58,-1))+(INDEX('KT THAN'!$W$38:$W$58,MIN(21,MATCH(R62,'KT THAN'!$Y$38:$Y$58,-1)+1))-INDEX('KT THAN'!$W$38:$W$58,MATCH(R62,'KT THAN'!$Y$38:$Y$58,-1)))*(R62-INDEX('KT THAN'!$Y$38:$Y$58,MATCH(R62,'KT THAN'!$Y$38:$Y$58,-1)))/(INDEX('KT THAN'!$Y$38:$Y$58,MIN(21,MATCH(R62,'KT THAN'!$Y$38:$Y$58,-1)+1))-INDEX('KT THAN'!$Y$38:$Y$58,MATCH(R62,'KT THAN'!$Y$38:$Y$58,-1)))),MIN(0.8*0.75*'KT THAN'!$C$62,'KT THAN'!$D$68/R62)))))</f>
        <v>158763.07851952704</v>
      </c>
      <c r="O62" s="39">
        <f>IF($A62="","",IF(H62&lt;0,ABS(H62)/MAX('KT THAN'!$C$69,0.001)+'KT THAN'!$C$32*ABS(J62)/MAX('KT THAN'!$C$68,0.001)+'KT THAN'!$D$32*ABS(I62)/MAX('KT THAN'!$D$68,0.001),IF(OR(M62&lt;=0,N62&lt;=0),999,IF(H62&gt;=0.1*0.75*fc_*Agth*1000,H62/MAX(0.001,1/(1/M62+1/N62-1/(0.75*'KT THAN'!$C$62))),'KT THAN'!$C$32*ABS(J62)/MAX('KT THAN'!$C$68,0.001)+'KT THAN'!$D$32*ABS(I62)/MAX('KT THAN'!$D$68,0.001)))))</f>
        <v>0.68605385161960974</v>
      </c>
      <c r="P62" s="37" t="str">
        <f t="shared" si="10"/>
        <v>ĐẠT</v>
      </c>
      <c r="Q62" s="39">
        <f>IF($A62="","",MAX(0.001,'KT THAN'!$C$32*ABS(J62)/MAX(1,H62)))</f>
        <v>1.2069709846508341</v>
      </c>
      <c r="R62" s="39">
        <f>IF($A62="","",MAX(0.001,'KT THAN'!$D$32*ABS(I62)/MAX(1,H62)))</f>
        <v>1E-3</v>
      </c>
      <c r="S62" t="str">
        <f t="shared" si="11"/>
        <v/>
      </c>
    </row>
    <row r="63" spans="1:19" x14ac:dyDescent="0.3">
      <c r="A63" s="37" t="str">
        <f>IF(AND(nThan=1,2=2),"",'TO HOP'!B156)</f>
        <v/>
      </c>
      <c r="B63" s="39" t="str">
        <f>IF(A63="","",'TO HOP'!E156)</f>
        <v/>
      </c>
      <c r="C63" s="39" t="str">
        <f>IF(A63="","",'TO HOP'!F156)</f>
        <v/>
      </c>
      <c r="D63" s="39" t="str">
        <f>IF(A63="","",'TO HOP'!G156)</f>
        <v/>
      </c>
      <c r="E63" s="39" t="str">
        <f>IF(A63="","",'TO HOP'!C156)</f>
        <v/>
      </c>
      <c r="F63" s="39" t="str">
        <f>IF(A63="","",'TO HOP'!D156)</f>
        <v/>
      </c>
      <c r="G63" s="39" t="str">
        <f>IF(A63="","",2)</f>
        <v/>
      </c>
      <c r="H63" s="39" t="str">
        <f>IF(A63="","",IF(nThan=1,B63,B63/2+(-1)*$B$7*C63/sThan))</f>
        <v/>
      </c>
      <c r="I63" s="39" t="str">
        <f t="shared" si="6"/>
        <v/>
      </c>
      <c r="J63" s="39" t="str">
        <f t="shared" si="7"/>
        <v/>
      </c>
      <c r="K63" s="39" t="str">
        <f t="shared" si="8"/>
        <v/>
      </c>
      <c r="L63" s="39" t="str">
        <f t="shared" si="9"/>
        <v/>
      </c>
      <c r="M63" s="39" t="str">
        <f>IF($A63="","",IF(H63=0,"",IF(Q63&lt;=0.000000001,MIN(0.8*0.75*'KT THAN'!$C$62,MAX('KT THAN'!$J$38:$J$58)),IFERROR(MIN(0.8*0.75*'KT THAN'!$C$62,INDEX('KT THAN'!$J$38:$J$58,MATCH(Q63,'KT THAN'!$L$38:$L$58,-1))+(INDEX('KT THAN'!$J$38:$J$58,MIN(21,MATCH(Q63,'KT THAN'!$L$38:$L$58,-1)+1))-INDEX('KT THAN'!$J$38:$J$58,MATCH(Q63,'KT THAN'!$L$38:$L$58,-1)))*(Q63-INDEX('KT THAN'!$L$38:$L$58,MATCH(Q63,'KT THAN'!$L$38:$L$58,-1)))/(INDEX('KT THAN'!$L$38:$L$58,MIN(21,MATCH(Q63,'KT THAN'!$L$38:$L$58,-1)+1))-INDEX('KT THAN'!$L$38:$L$58,MATCH(Q63,'KT THAN'!$L$38:$L$58,-1)))),MIN(0.8*0.75*'KT THAN'!$C$62,'KT THAN'!$C$68/Q63)))))</f>
        <v/>
      </c>
      <c r="N63" s="39" t="str">
        <f>IF($A63="","",IF(H63=0,"",IF(R63&lt;=0.000000001,MIN(0.8*0.75*'KT THAN'!$C$62,MAX('KT THAN'!$W$38:$W$58)),IFERROR(MIN(0.8*0.75*'KT THAN'!$C$62,INDEX('KT THAN'!$W$38:$W$58,MATCH(R63,'KT THAN'!$Y$38:$Y$58,-1))+(INDEX('KT THAN'!$W$38:$W$58,MIN(21,MATCH(R63,'KT THAN'!$Y$38:$Y$58,-1)+1))-INDEX('KT THAN'!$W$38:$W$58,MATCH(R63,'KT THAN'!$Y$38:$Y$58,-1)))*(R63-INDEX('KT THAN'!$Y$38:$Y$58,MATCH(R63,'KT THAN'!$Y$38:$Y$58,-1)))/(INDEX('KT THAN'!$Y$38:$Y$58,MIN(21,MATCH(R63,'KT THAN'!$Y$38:$Y$58,-1)+1))-INDEX('KT THAN'!$Y$38:$Y$58,MATCH(R63,'KT THAN'!$Y$38:$Y$58,-1)))),MIN(0.8*0.75*'KT THAN'!$C$62,'KT THAN'!$D$68/R63)))))</f>
        <v/>
      </c>
      <c r="O63" s="39" t="str">
        <f>IF($A63="","",IF(H63&lt;0,ABS(H63)/MAX('KT THAN'!$C$69,0.001)+'KT THAN'!$C$32*ABS(J63)/MAX('KT THAN'!$C$68,0.001)+'KT THAN'!$D$32*ABS(I63)/MAX('KT THAN'!$D$68,0.001),IF(OR(M63&lt;=0,N63&lt;=0),999,IF(H63&gt;=0.1*0.75*fc_*Agth*1000,H63/MAX(0.001,1/(1/M63+1/N63-1/(0.75*'KT THAN'!$C$62))),'KT THAN'!$C$32*ABS(J63)/MAX('KT THAN'!$C$68,0.001)+'KT THAN'!$D$32*ABS(I63)/MAX('KT THAN'!$D$68,0.001)))))</f>
        <v/>
      </c>
      <c r="P63" s="37" t="str">
        <f t="shared" si="10"/>
        <v/>
      </c>
      <c r="Q63" s="39" t="str">
        <f>IF($A63="","",MAX(0.001,'KT THAN'!$C$32*ABS(J63)/MAX(1,H63)))</f>
        <v/>
      </c>
      <c r="R63" s="39" t="str">
        <f>IF($A63="","",MAX(0.001,'KT THAN'!$D$32*ABS(I63)/MAX(1,H63)))</f>
        <v/>
      </c>
      <c r="S63" t="str">
        <f t="shared" si="11"/>
        <v/>
      </c>
    </row>
    <row r="64" spans="1:19" x14ac:dyDescent="0.3">
      <c r="A64" s="37" t="str">
        <f>IF(AND(nThan=1,1=2),"",'TO HOP'!B157)</f>
        <v>CĐ I(a) max - 2 nhịp đúng tâm 3 làn</v>
      </c>
      <c r="B64" s="39">
        <f>IF(A64="","",'TO HOP'!E157)</f>
        <v>32505.866049987028</v>
      </c>
      <c r="C64" s="39">
        <f>IF(A64="","",'TO HOP'!F157)</f>
        <v>0</v>
      </c>
      <c r="D64" s="39">
        <f>IF(A64="","",'TO HOP'!G157)</f>
        <v>34091.265631949253</v>
      </c>
      <c r="E64" s="39">
        <f>IF(A64="","",'TO HOP'!C157)</f>
        <v>2697.1364775610136</v>
      </c>
      <c r="F64" s="39">
        <f>IF(A64="","",'TO HOP'!D157)</f>
        <v>0</v>
      </c>
      <c r="G64" s="39">
        <f>IF(A64="","",1)</f>
        <v>1</v>
      </c>
      <c r="H64" s="39">
        <f>IF(A64="","",IF(nThan=1,B64,B64/2+(1)*$B$7*C64/sThan))</f>
        <v>32505.866049987028</v>
      </c>
      <c r="I64" s="39">
        <f t="shared" si="6"/>
        <v>0</v>
      </c>
      <c r="J64" s="39">
        <f t="shared" si="7"/>
        <v>34091.265631949253</v>
      </c>
      <c r="K64" s="39">
        <f t="shared" si="8"/>
        <v>2697.1364775610136</v>
      </c>
      <c r="L64" s="39">
        <f t="shared" si="9"/>
        <v>0</v>
      </c>
      <c r="M64" s="39">
        <f>IF($A64="","",IF(H64=0,"",IF(Q64&lt;=0.000000001,MIN(0.8*0.75*'KT THAN'!$C$62,MAX('KT THAN'!$J$38:$J$58)),IFERROR(MIN(0.8*0.75*'KT THAN'!$C$62,INDEX('KT THAN'!$J$38:$J$58,MATCH(Q64,'KT THAN'!$L$38:$L$58,-1))+(INDEX('KT THAN'!$J$38:$J$58,MIN(21,MATCH(Q64,'KT THAN'!$L$38:$L$58,-1)+1))-INDEX('KT THAN'!$J$38:$J$58,MATCH(Q64,'KT THAN'!$L$38:$L$58,-1)))*(Q64-INDEX('KT THAN'!$L$38:$L$58,MATCH(Q64,'KT THAN'!$L$38:$L$58,-1)))/(INDEX('KT THAN'!$L$38:$L$58,MIN(21,MATCH(Q64,'KT THAN'!$L$38:$L$58,-1)+1))-INDEX('KT THAN'!$L$38:$L$58,MATCH(Q64,'KT THAN'!$L$38:$L$58,-1)))),MIN(0.8*0.75*'KT THAN'!$C$62,'KT THAN'!$C$68/Q64)))))</f>
        <v>50371.15906522228</v>
      </c>
      <c r="N64" s="39">
        <f>IF($A64="","",IF(H64=0,"",IF(R64&lt;=0.000000001,MIN(0.8*0.75*'KT THAN'!$C$62,MAX('KT THAN'!$W$38:$W$58)),IFERROR(MIN(0.8*0.75*'KT THAN'!$C$62,INDEX('KT THAN'!$W$38:$W$58,MATCH(R64,'KT THAN'!$Y$38:$Y$58,-1))+(INDEX('KT THAN'!$W$38:$W$58,MIN(21,MATCH(R64,'KT THAN'!$Y$38:$Y$58,-1)+1))-INDEX('KT THAN'!$W$38:$W$58,MATCH(R64,'KT THAN'!$Y$38:$Y$58,-1)))*(R64-INDEX('KT THAN'!$Y$38:$Y$58,MATCH(R64,'KT THAN'!$Y$38:$Y$58,-1)))/(INDEX('KT THAN'!$Y$38:$Y$58,MIN(21,MATCH(R64,'KT THAN'!$Y$38:$Y$58,-1)+1))-INDEX('KT THAN'!$Y$38:$Y$58,MATCH(R64,'KT THAN'!$Y$38:$Y$58,-1)))),MIN(0.8*0.75*'KT THAN'!$C$62,'KT THAN'!$D$68/R64)))))</f>
        <v>158763.07851952704</v>
      </c>
      <c r="O64" s="39">
        <f>IF($A64="","",IF(H64&lt;0,ABS(H64)/MAX('KT THAN'!$C$69,0.001)+'KT THAN'!$C$32*ABS(J64)/MAX('KT THAN'!$C$68,0.001)+'KT THAN'!$D$32*ABS(I64)/MAX('KT THAN'!$D$68,0.001),IF(OR(M64&lt;=0,N64&lt;=0),999,IF(H64&gt;=0.1*0.75*fc_*Agth*1000,H64/MAX(0.001,1/(1/M64+1/N64-1/(0.75*'KT THAN'!$C$62))),'KT THAN'!$C$32*ABS(J64)/MAX('KT THAN'!$C$68,0.001)+'KT THAN'!$D$32*ABS(I64)/MAX('KT THAN'!$D$68,0.001)))))</f>
        <v>0.68627584074737036</v>
      </c>
      <c r="P64" s="37" t="str">
        <f t="shared" si="10"/>
        <v>ĐẠT</v>
      </c>
      <c r="Q64" s="39">
        <f>IF($A64="","",MAX(0.001,'KT THAN'!$C$32*ABS(J64)/MAX(1,H64)))</f>
        <v>1.1727772086945205</v>
      </c>
      <c r="R64" s="39">
        <f>IF($A64="","",MAX(0.001,'KT THAN'!$D$32*ABS(I64)/MAX(1,H64)))</f>
        <v>1E-3</v>
      </c>
      <c r="S64" t="str">
        <f t="shared" si="11"/>
        <v/>
      </c>
    </row>
    <row r="65" spans="1:19" x14ac:dyDescent="0.3">
      <c r="A65" s="37" t="str">
        <f>IF(AND(nThan=1,2=2),"",'TO HOP'!B157)</f>
        <v/>
      </c>
      <c r="B65" s="39" t="str">
        <f>IF(A65="","",'TO HOP'!E157)</f>
        <v/>
      </c>
      <c r="C65" s="39" t="str">
        <f>IF(A65="","",'TO HOP'!F157)</f>
        <v/>
      </c>
      <c r="D65" s="39" t="str">
        <f>IF(A65="","",'TO HOP'!G157)</f>
        <v/>
      </c>
      <c r="E65" s="39" t="str">
        <f>IF(A65="","",'TO HOP'!C157)</f>
        <v/>
      </c>
      <c r="F65" s="39" t="str">
        <f>IF(A65="","",'TO HOP'!D157)</f>
        <v/>
      </c>
      <c r="G65" s="39" t="str">
        <f>IF(A65="","",2)</f>
        <v/>
      </c>
      <c r="H65" s="39" t="str">
        <f>IF(A65="","",IF(nThan=1,B65,B65/2+(-1)*$B$7*C65/sThan))</f>
        <v/>
      </c>
      <c r="I65" s="39" t="str">
        <f t="shared" si="6"/>
        <v/>
      </c>
      <c r="J65" s="39" t="str">
        <f t="shared" si="7"/>
        <v/>
      </c>
      <c r="K65" s="39" t="str">
        <f t="shared" si="8"/>
        <v/>
      </c>
      <c r="L65" s="39" t="str">
        <f t="shared" si="9"/>
        <v/>
      </c>
      <c r="M65" s="39" t="str">
        <f>IF($A65="","",IF(H65=0,"",IF(Q65&lt;=0.000000001,MIN(0.8*0.75*'KT THAN'!$C$62,MAX('KT THAN'!$J$38:$J$58)),IFERROR(MIN(0.8*0.75*'KT THAN'!$C$62,INDEX('KT THAN'!$J$38:$J$58,MATCH(Q65,'KT THAN'!$L$38:$L$58,-1))+(INDEX('KT THAN'!$J$38:$J$58,MIN(21,MATCH(Q65,'KT THAN'!$L$38:$L$58,-1)+1))-INDEX('KT THAN'!$J$38:$J$58,MATCH(Q65,'KT THAN'!$L$38:$L$58,-1)))*(Q65-INDEX('KT THAN'!$L$38:$L$58,MATCH(Q65,'KT THAN'!$L$38:$L$58,-1)))/(INDEX('KT THAN'!$L$38:$L$58,MIN(21,MATCH(Q65,'KT THAN'!$L$38:$L$58,-1)+1))-INDEX('KT THAN'!$L$38:$L$58,MATCH(Q65,'KT THAN'!$L$38:$L$58,-1)))),MIN(0.8*0.75*'KT THAN'!$C$62,'KT THAN'!$C$68/Q65)))))</f>
        <v/>
      </c>
      <c r="N65" s="39" t="str">
        <f>IF($A65="","",IF(H65=0,"",IF(R65&lt;=0.000000001,MIN(0.8*0.75*'KT THAN'!$C$62,MAX('KT THAN'!$W$38:$W$58)),IFERROR(MIN(0.8*0.75*'KT THAN'!$C$62,INDEX('KT THAN'!$W$38:$W$58,MATCH(R65,'KT THAN'!$Y$38:$Y$58,-1))+(INDEX('KT THAN'!$W$38:$W$58,MIN(21,MATCH(R65,'KT THAN'!$Y$38:$Y$58,-1)+1))-INDEX('KT THAN'!$W$38:$W$58,MATCH(R65,'KT THAN'!$Y$38:$Y$58,-1)))*(R65-INDEX('KT THAN'!$Y$38:$Y$58,MATCH(R65,'KT THAN'!$Y$38:$Y$58,-1)))/(INDEX('KT THAN'!$Y$38:$Y$58,MIN(21,MATCH(R65,'KT THAN'!$Y$38:$Y$58,-1)+1))-INDEX('KT THAN'!$Y$38:$Y$58,MATCH(R65,'KT THAN'!$Y$38:$Y$58,-1)))),MIN(0.8*0.75*'KT THAN'!$C$62,'KT THAN'!$D$68/R65)))))</f>
        <v/>
      </c>
      <c r="O65" s="39" t="str">
        <f>IF($A65="","",IF(H65&lt;0,ABS(H65)/MAX('KT THAN'!$C$69,0.001)+'KT THAN'!$C$32*ABS(J65)/MAX('KT THAN'!$C$68,0.001)+'KT THAN'!$D$32*ABS(I65)/MAX('KT THAN'!$D$68,0.001),IF(OR(M65&lt;=0,N65&lt;=0),999,IF(H65&gt;=0.1*0.75*fc_*Agth*1000,H65/MAX(0.001,1/(1/M65+1/N65-1/(0.75*'KT THAN'!$C$62))),'KT THAN'!$C$32*ABS(J65)/MAX('KT THAN'!$C$68,0.001)+'KT THAN'!$D$32*ABS(I65)/MAX('KT THAN'!$D$68,0.001)))))</f>
        <v/>
      </c>
      <c r="P65" s="37" t="str">
        <f t="shared" si="10"/>
        <v/>
      </c>
      <c r="Q65" s="39" t="str">
        <f>IF($A65="","",MAX(0.001,'KT THAN'!$C$32*ABS(J65)/MAX(1,H65)))</f>
        <v/>
      </c>
      <c r="R65" s="39" t="str">
        <f>IF($A65="","",MAX(0.001,'KT THAN'!$D$32*ABS(I65)/MAX(1,H65)))</f>
        <v/>
      </c>
      <c r="S65" t="str">
        <f t="shared" si="11"/>
        <v/>
      </c>
    </row>
    <row r="66" spans="1:19" x14ac:dyDescent="0.3">
      <c r="A66" s="37" t="str">
        <f>IF(AND(nThan=1,1=2),"",'TO HOP'!B158)</f>
        <v>CĐ I(a) max - 2 nhịp đúng tâm 4 làn</v>
      </c>
      <c r="B66" s="39">
        <f>IF(A66="","",'TO HOP'!E158)</f>
        <v>32589.584135487028</v>
      </c>
      <c r="C66" s="39">
        <f>IF(A66="","",'TO HOP'!F158)</f>
        <v>0</v>
      </c>
      <c r="D66" s="39">
        <f>IF(A66="","",'TO HOP'!G158)</f>
        <v>34091.265631949253</v>
      </c>
      <c r="E66" s="39">
        <f>IF(A66="","",'TO HOP'!C158)</f>
        <v>2697.1364775610136</v>
      </c>
      <c r="F66" s="39">
        <f>IF(A66="","",'TO HOP'!D158)</f>
        <v>0</v>
      </c>
      <c r="G66" s="39">
        <f>IF(A66="","",1)</f>
        <v>1</v>
      </c>
      <c r="H66" s="39">
        <f>IF(A66="","",IF(nThan=1,B66,B66/2+(1)*$B$7*C66/sThan))</f>
        <v>32589.584135487028</v>
      </c>
      <c r="I66" s="39">
        <f t="shared" si="6"/>
        <v>0</v>
      </c>
      <c r="J66" s="39">
        <f t="shared" si="7"/>
        <v>34091.265631949253</v>
      </c>
      <c r="K66" s="39">
        <f t="shared" si="8"/>
        <v>2697.1364775610136</v>
      </c>
      <c r="L66" s="39">
        <f t="shared" si="9"/>
        <v>0</v>
      </c>
      <c r="M66" s="39">
        <f>IF($A66="","",IF(H66=0,"",IF(Q66&lt;=0.000000001,MIN(0.8*0.75*'KT THAN'!$C$62,MAX('KT THAN'!$J$38:$J$58)),IFERROR(MIN(0.8*0.75*'KT THAN'!$C$62,INDEX('KT THAN'!$J$38:$J$58,MATCH(Q66,'KT THAN'!$L$38:$L$58,-1))+(INDEX('KT THAN'!$J$38:$J$58,MIN(21,MATCH(Q66,'KT THAN'!$L$38:$L$58,-1)+1))-INDEX('KT THAN'!$J$38:$J$58,MATCH(Q66,'KT THAN'!$L$38:$L$58,-1)))*(Q66-INDEX('KT THAN'!$L$38:$L$58,MATCH(Q66,'KT THAN'!$L$38:$L$58,-1)))/(INDEX('KT THAN'!$L$38:$L$58,MIN(21,MATCH(Q66,'KT THAN'!$L$38:$L$58,-1)+1))-INDEX('KT THAN'!$L$38:$L$58,MATCH(Q66,'KT THAN'!$L$38:$L$58,-1)))),MIN(0.8*0.75*'KT THAN'!$C$62,'KT THAN'!$C$68/Q66)))))</f>
        <v>50506.329223255299</v>
      </c>
      <c r="N66" s="39">
        <f>IF($A66="","",IF(H66=0,"",IF(R66&lt;=0.000000001,MIN(0.8*0.75*'KT THAN'!$C$62,MAX('KT THAN'!$W$38:$W$58)),IFERROR(MIN(0.8*0.75*'KT THAN'!$C$62,INDEX('KT THAN'!$W$38:$W$58,MATCH(R66,'KT THAN'!$Y$38:$Y$58,-1))+(INDEX('KT THAN'!$W$38:$W$58,MIN(21,MATCH(R66,'KT THAN'!$Y$38:$Y$58,-1)+1))-INDEX('KT THAN'!$W$38:$W$58,MATCH(R66,'KT THAN'!$Y$38:$Y$58,-1)))*(R66-INDEX('KT THAN'!$Y$38:$Y$58,MATCH(R66,'KT THAN'!$Y$38:$Y$58,-1)))/(INDEX('KT THAN'!$Y$38:$Y$58,MIN(21,MATCH(R66,'KT THAN'!$Y$38:$Y$58,-1)+1))-INDEX('KT THAN'!$Y$38:$Y$58,MATCH(R66,'KT THAN'!$Y$38:$Y$58,-1)))),MIN(0.8*0.75*'KT THAN'!$C$62,'KT THAN'!$D$68/R66)))))</f>
        <v>158763.07851952704</v>
      </c>
      <c r="O66" s="39">
        <f>IF($A66="","",IF(H66&lt;0,ABS(H66)/MAX('KT THAN'!$C$69,0.001)+'KT THAN'!$C$32*ABS(J66)/MAX('KT THAN'!$C$68,0.001)+'KT THAN'!$D$32*ABS(I66)/MAX('KT THAN'!$D$68,0.001),IF(OR(M66&lt;=0,N66&lt;=0),999,IF(H66&gt;=0.1*0.75*fc_*Agth*1000,H66/MAX(0.001,1/(1/M66+1/N66-1/(0.75*'KT THAN'!$C$62))),'KT THAN'!$C$32*ABS(J66)/MAX('KT THAN'!$C$68,0.001)+'KT THAN'!$D$32*ABS(I66)/MAX('KT THAN'!$D$68,0.001)))))</f>
        <v>0.68631179040952917</v>
      </c>
      <c r="P66" s="37" t="str">
        <f t="shared" si="10"/>
        <v>ĐẠT</v>
      </c>
      <c r="Q66" s="39">
        <f>IF($A66="","",MAX(0.001,'KT THAN'!$C$32*ABS(J66)/MAX(1,H66)))</f>
        <v>1.1697645080039638</v>
      </c>
      <c r="R66" s="39">
        <f>IF($A66="","",MAX(0.001,'KT THAN'!$D$32*ABS(I66)/MAX(1,H66)))</f>
        <v>1E-3</v>
      </c>
      <c r="S66" t="str">
        <f t="shared" si="11"/>
        <v/>
      </c>
    </row>
    <row r="67" spans="1:19" x14ac:dyDescent="0.3">
      <c r="A67" s="37" t="str">
        <f>IF(AND(nThan=1,2=2),"",'TO HOP'!B158)</f>
        <v/>
      </c>
      <c r="B67" s="39" t="str">
        <f>IF(A67="","",'TO HOP'!E158)</f>
        <v/>
      </c>
      <c r="C67" s="39" t="str">
        <f>IF(A67="","",'TO HOP'!F158)</f>
        <v/>
      </c>
      <c r="D67" s="39" t="str">
        <f>IF(A67="","",'TO HOP'!G158)</f>
        <v/>
      </c>
      <c r="E67" s="39" t="str">
        <f>IF(A67="","",'TO HOP'!C158)</f>
        <v/>
      </c>
      <c r="F67" s="39" t="str">
        <f>IF(A67="","",'TO HOP'!D158)</f>
        <v/>
      </c>
      <c r="G67" s="39" t="str">
        <f>IF(A67="","",2)</f>
        <v/>
      </c>
      <c r="H67" s="39" t="str">
        <f>IF(A67="","",IF(nThan=1,B67,B67/2+(-1)*$B$7*C67/sThan))</f>
        <v/>
      </c>
      <c r="I67" s="39" t="str">
        <f t="shared" si="6"/>
        <v/>
      </c>
      <c r="J67" s="39" t="str">
        <f t="shared" si="7"/>
        <v/>
      </c>
      <c r="K67" s="39" t="str">
        <f t="shared" si="8"/>
        <v/>
      </c>
      <c r="L67" s="39" t="str">
        <f t="shared" si="9"/>
        <v/>
      </c>
      <c r="M67" s="39" t="str">
        <f>IF($A67="","",IF(H67=0,"",IF(Q67&lt;=0.000000001,MIN(0.8*0.75*'KT THAN'!$C$62,MAX('KT THAN'!$J$38:$J$58)),IFERROR(MIN(0.8*0.75*'KT THAN'!$C$62,INDEX('KT THAN'!$J$38:$J$58,MATCH(Q67,'KT THAN'!$L$38:$L$58,-1))+(INDEX('KT THAN'!$J$38:$J$58,MIN(21,MATCH(Q67,'KT THAN'!$L$38:$L$58,-1)+1))-INDEX('KT THAN'!$J$38:$J$58,MATCH(Q67,'KT THAN'!$L$38:$L$58,-1)))*(Q67-INDEX('KT THAN'!$L$38:$L$58,MATCH(Q67,'KT THAN'!$L$38:$L$58,-1)))/(INDEX('KT THAN'!$L$38:$L$58,MIN(21,MATCH(Q67,'KT THAN'!$L$38:$L$58,-1)+1))-INDEX('KT THAN'!$L$38:$L$58,MATCH(Q67,'KT THAN'!$L$38:$L$58,-1)))),MIN(0.8*0.75*'KT THAN'!$C$62,'KT THAN'!$C$68/Q67)))))</f>
        <v/>
      </c>
      <c r="N67" s="39" t="str">
        <f>IF($A67="","",IF(H67=0,"",IF(R67&lt;=0.000000001,MIN(0.8*0.75*'KT THAN'!$C$62,MAX('KT THAN'!$W$38:$W$58)),IFERROR(MIN(0.8*0.75*'KT THAN'!$C$62,INDEX('KT THAN'!$W$38:$W$58,MATCH(R67,'KT THAN'!$Y$38:$Y$58,-1))+(INDEX('KT THAN'!$W$38:$W$58,MIN(21,MATCH(R67,'KT THAN'!$Y$38:$Y$58,-1)+1))-INDEX('KT THAN'!$W$38:$W$58,MATCH(R67,'KT THAN'!$Y$38:$Y$58,-1)))*(R67-INDEX('KT THAN'!$Y$38:$Y$58,MATCH(R67,'KT THAN'!$Y$38:$Y$58,-1)))/(INDEX('KT THAN'!$Y$38:$Y$58,MIN(21,MATCH(R67,'KT THAN'!$Y$38:$Y$58,-1)+1))-INDEX('KT THAN'!$Y$38:$Y$58,MATCH(R67,'KT THAN'!$Y$38:$Y$58,-1)))),MIN(0.8*0.75*'KT THAN'!$C$62,'KT THAN'!$D$68/R67)))))</f>
        <v/>
      </c>
      <c r="O67" s="39" t="str">
        <f>IF($A67="","",IF(H67&lt;0,ABS(H67)/MAX('KT THAN'!$C$69,0.001)+'KT THAN'!$C$32*ABS(J67)/MAX('KT THAN'!$C$68,0.001)+'KT THAN'!$D$32*ABS(I67)/MAX('KT THAN'!$D$68,0.001),IF(OR(M67&lt;=0,N67&lt;=0),999,IF(H67&gt;=0.1*0.75*fc_*Agth*1000,H67/MAX(0.001,1/(1/M67+1/N67-1/(0.75*'KT THAN'!$C$62))),'KT THAN'!$C$32*ABS(J67)/MAX('KT THAN'!$C$68,0.001)+'KT THAN'!$D$32*ABS(I67)/MAX('KT THAN'!$D$68,0.001)))))</f>
        <v/>
      </c>
      <c r="P67" s="37" t="str">
        <f t="shared" si="10"/>
        <v/>
      </c>
      <c r="Q67" s="39" t="str">
        <f>IF($A67="","",MAX(0.001,'KT THAN'!$C$32*ABS(J67)/MAX(1,H67)))</f>
        <v/>
      </c>
      <c r="R67" s="39" t="str">
        <f>IF($A67="","",MAX(0.001,'KT THAN'!$D$32*ABS(I67)/MAX(1,H67)))</f>
        <v/>
      </c>
      <c r="S67" t="str">
        <f t="shared" si="11"/>
        <v/>
      </c>
    </row>
    <row r="68" spans="1:19" x14ac:dyDescent="0.3">
      <c r="A68" s="37" t="str">
        <f>IF(AND(nThan=1,1=2),"",'TO HOP'!B159)</f>
        <v>CĐ I(a) max - 2 nhịp đúng tâm 5 làn</v>
      </c>
      <c r="B68" s="39">
        <f>IF(A68="","",'TO HOP'!E159)</f>
        <v>33677.919246987025</v>
      </c>
      <c r="C68" s="39">
        <f>IF(A68="","",'TO HOP'!F159)</f>
        <v>0</v>
      </c>
      <c r="D68" s="39">
        <f>IF(A68="","",'TO HOP'!G159)</f>
        <v>34091.265631949253</v>
      </c>
      <c r="E68" s="39">
        <f>IF(A68="","",'TO HOP'!C159)</f>
        <v>2697.1364775610136</v>
      </c>
      <c r="F68" s="39">
        <f>IF(A68="","",'TO HOP'!D159)</f>
        <v>0</v>
      </c>
      <c r="G68" s="39">
        <f>IF(A68="","",1)</f>
        <v>1</v>
      </c>
      <c r="H68" s="39">
        <f>IF(A68="","",IF(nThan=1,B68,B68/2+(1)*$B$7*C68/sThan))</f>
        <v>33677.919246987025</v>
      </c>
      <c r="I68" s="39">
        <f t="shared" si="6"/>
        <v>0</v>
      </c>
      <c r="J68" s="39">
        <f t="shared" si="7"/>
        <v>34091.265631949253</v>
      </c>
      <c r="K68" s="39">
        <f t="shared" si="8"/>
        <v>2697.1364775610136</v>
      </c>
      <c r="L68" s="39">
        <f t="shared" si="9"/>
        <v>0</v>
      </c>
      <c r="M68" s="39">
        <f>IF($A68="","",IF(H68=0,"",IF(Q68&lt;=0.000000001,MIN(0.8*0.75*'KT THAN'!$C$62,MAX('KT THAN'!$J$38:$J$58)),IFERROR(MIN(0.8*0.75*'KT THAN'!$C$62,INDEX('KT THAN'!$J$38:$J$58,MATCH(Q68,'KT THAN'!$L$38:$L$58,-1))+(INDEX('KT THAN'!$J$38:$J$58,MIN(21,MATCH(Q68,'KT THAN'!$L$38:$L$58,-1)+1))-INDEX('KT THAN'!$J$38:$J$58,MATCH(Q68,'KT THAN'!$L$38:$L$58,-1)))*(Q68-INDEX('KT THAN'!$L$38:$L$58,MATCH(Q68,'KT THAN'!$L$38:$L$58,-1)))/(INDEX('KT THAN'!$L$38:$L$58,MIN(21,MATCH(Q68,'KT THAN'!$L$38:$L$58,-1)+1))-INDEX('KT THAN'!$L$38:$L$58,MATCH(Q68,'KT THAN'!$L$38:$L$58,-1)))),MIN(0.8*0.75*'KT THAN'!$C$62,'KT THAN'!$C$68/Q68)))))</f>
        <v>52202.387083712674</v>
      </c>
      <c r="N68" s="39">
        <f>IF($A68="","",IF(H68=0,"",IF(R68&lt;=0.000000001,MIN(0.8*0.75*'KT THAN'!$C$62,MAX('KT THAN'!$W$38:$W$58)),IFERROR(MIN(0.8*0.75*'KT THAN'!$C$62,INDEX('KT THAN'!$W$38:$W$58,MATCH(R68,'KT THAN'!$Y$38:$Y$58,-1))+(INDEX('KT THAN'!$W$38:$W$58,MIN(21,MATCH(R68,'KT THAN'!$Y$38:$Y$58,-1)+1))-INDEX('KT THAN'!$W$38:$W$58,MATCH(R68,'KT THAN'!$Y$38:$Y$58,-1)))*(R68-INDEX('KT THAN'!$Y$38:$Y$58,MATCH(R68,'KT THAN'!$Y$38:$Y$58,-1)))/(INDEX('KT THAN'!$Y$38:$Y$58,MIN(21,MATCH(R68,'KT THAN'!$Y$38:$Y$58,-1)+1))-INDEX('KT THAN'!$Y$38:$Y$58,MATCH(R68,'KT THAN'!$Y$38:$Y$58,-1)))),MIN(0.8*0.75*'KT THAN'!$C$62,'KT THAN'!$D$68/R68)))))</f>
        <v>158763.07851952704</v>
      </c>
      <c r="O68" s="39">
        <f>IF($A68="","",IF(H68&lt;0,ABS(H68)/MAX('KT THAN'!$C$69,0.001)+'KT THAN'!$C$32*ABS(J68)/MAX('KT THAN'!$C$68,0.001)+'KT THAN'!$D$32*ABS(I68)/MAX('KT THAN'!$D$68,0.001),IF(OR(M68&lt;=0,N68&lt;=0),999,IF(H68&gt;=0.1*0.75*fc_*Agth*1000,H68/MAX(0.001,1/(1/M68+1/N68-1/(0.75*'KT THAN'!$C$62))),'KT THAN'!$C$32*ABS(J68)/MAX('KT THAN'!$C$68,0.001)+'KT THAN'!$D$32*ABS(I68)/MAX('KT THAN'!$D$68,0.001)))))</f>
        <v>0.68756674421486108</v>
      </c>
      <c r="P68" s="37" t="str">
        <f t="shared" si="10"/>
        <v>ĐẠT</v>
      </c>
      <c r="Q68" s="39">
        <f>IF($A68="","",MAX(0.001,'KT THAN'!$C$32*ABS(J68)/MAX(1,H68)))</f>
        <v>1.1319624164640856</v>
      </c>
      <c r="R68" s="39">
        <f>IF($A68="","",MAX(0.001,'KT THAN'!$D$32*ABS(I68)/MAX(1,H68)))</f>
        <v>1E-3</v>
      </c>
      <c r="S68" t="str">
        <f t="shared" si="11"/>
        <v/>
      </c>
    </row>
    <row r="69" spans="1:19" x14ac:dyDescent="0.3">
      <c r="A69" s="37" t="str">
        <f>IF(AND(nThan=1,2=2),"",'TO HOP'!B159)</f>
        <v/>
      </c>
      <c r="B69" s="39" t="str">
        <f>IF(A69="","",'TO HOP'!E159)</f>
        <v/>
      </c>
      <c r="C69" s="39" t="str">
        <f>IF(A69="","",'TO HOP'!F159)</f>
        <v/>
      </c>
      <c r="D69" s="39" t="str">
        <f>IF(A69="","",'TO HOP'!G159)</f>
        <v/>
      </c>
      <c r="E69" s="39" t="str">
        <f>IF(A69="","",'TO HOP'!C159)</f>
        <v/>
      </c>
      <c r="F69" s="39" t="str">
        <f>IF(A69="","",'TO HOP'!D159)</f>
        <v/>
      </c>
      <c r="G69" s="39" t="str">
        <f>IF(A69="","",2)</f>
        <v/>
      </c>
      <c r="H69" s="39" t="str">
        <f>IF(A69="","",IF(nThan=1,B69,B69/2+(-1)*$B$7*C69/sThan))</f>
        <v/>
      </c>
      <c r="I69" s="39" t="str">
        <f t="shared" si="6"/>
        <v/>
      </c>
      <c r="J69" s="39" t="str">
        <f t="shared" si="7"/>
        <v/>
      </c>
      <c r="K69" s="39" t="str">
        <f t="shared" si="8"/>
        <v/>
      </c>
      <c r="L69" s="39" t="str">
        <f t="shared" si="9"/>
        <v/>
      </c>
      <c r="M69" s="39" t="str">
        <f>IF($A69="","",IF(H69=0,"",IF(Q69&lt;=0.000000001,MIN(0.8*0.75*'KT THAN'!$C$62,MAX('KT THAN'!$J$38:$J$58)),IFERROR(MIN(0.8*0.75*'KT THAN'!$C$62,INDEX('KT THAN'!$J$38:$J$58,MATCH(Q69,'KT THAN'!$L$38:$L$58,-1))+(INDEX('KT THAN'!$J$38:$J$58,MIN(21,MATCH(Q69,'KT THAN'!$L$38:$L$58,-1)+1))-INDEX('KT THAN'!$J$38:$J$58,MATCH(Q69,'KT THAN'!$L$38:$L$58,-1)))*(Q69-INDEX('KT THAN'!$L$38:$L$58,MATCH(Q69,'KT THAN'!$L$38:$L$58,-1)))/(INDEX('KT THAN'!$L$38:$L$58,MIN(21,MATCH(Q69,'KT THAN'!$L$38:$L$58,-1)+1))-INDEX('KT THAN'!$L$38:$L$58,MATCH(Q69,'KT THAN'!$L$38:$L$58,-1)))),MIN(0.8*0.75*'KT THAN'!$C$62,'KT THAN'!$C$68/Q69)))))</f>
        <v/>
      </c>
      <c r="N69" s="39" t="str">
        <f>IF($A69="","",IF(H69=0,"",IF(R69&lt;=0.000000001,MIN(0.8*0.75*'KT THAN'!$C$62,MAX('KT THAN'!$W$38:$W$58)),IFERROR(MIN(0.8*0.75*'KT THAN'!$C$62,INDEX('KT THAN'!$W$38:$W$58,MATCH(R69,'KT THAN'!$Y$38:$Y$58,-1))+(INDEX('KT THAN'!$W$38:$W$58,MIN(21,MATCH(R69,'KT THAN'!$Y$38:$Y$58,-1)+1))-INDEX('KT THAN'!$W$38:$W$58,MATCH(R69,'KT THAN'!$Y$38:$Y$58,-1)))*(R69-INDEX('KT THAN'!$Y$38:$Y$58,MATCH(R69,'KT THAN'!$Y$38:$Y$58,-1)))/(INDEX('KT THAN'!$Y$38:$Y$58,MIN(21,MATCH(R69,'KT THAN'!$Y$38:$Y$58,-1)+1))-INDEX('KT THAN'!$Y$38:$Y$58,MATCH(R69,'KT THAN'!$Y$38:$Y$58,-1)))),MIN(0.8*0.75*'KT THAN'!$C$62,'KT THAN'!$D$68/R69)))))</f>
        <v/>
      </c>
      <c r="O69" s="39" t="str">
        <f>IF($A69="","",IF(H69&lt;0,ABS(H69)/MAX('KT THAN'!$C$69,0.001)+'KT THAN'!$C$32*ABS(J69)/MAX('KT THAN'!$C$68,0.001)+'KT THAN'!$D$32*ABS(I69)/MAX('KT THAN'!$D$68,0.001),IF(OR(M69&lt;=0,N69&lt;=0),999,IF(H69&gt;=0.1*0.75*fc_*Agth*1000,H69/MAX(0.001,1/(1/M69+1/N69-1/(0.75*'KT THAN'!$C$62))),'KT THAN'!$C$32*ABS(J69)/MAX('KT THAN'!$C$68,0.001)+'KT THAN'!$D$32*ABS(I69)/MAX('KT THAN'!$D$68,0.001)))))</f>
        <v/>
      </c>
      <c r="P69" s="37" t="str">
        <f t="shared" si="10"/>
        <v/>
      </c>
      <c r="Q69" s="39" t="str">
        <f>IF($A69="","",MAX(0.001,'KT THAN'!$C$32*ABS(J69)/MAX(1,H69)))</f>
        <v/>
      </c>
      <c r="R69" s="39" t="str">
        <f>IF($A69="","",MAX(0.001,'KT THAN'!$D$32*ABS(I69)/MAX(1,H69)))</f>
        <v/>
      </c>
      <c r="S69" t="str">
        <f t="shared" si="11"/>
        <v/>
      </c>
    </row>
    <row r="70" spans="1:19" x14ac:dyDescent="0.3">
      <c r="A70" s="37" t="str">
        <f>IF(AND(nThan=1,1=2),"",'TO HOP'!B160)</f>
        <v>CĐ I(a) max - 2 nhịp đúng tâm 6 làn</v>
      </c>
      <c r="B70" s="39">
        <f>IF(A70="","",'TO HOP'!E160)</f>
        <v>34766.254358487029</v>
      </c>
      <c r="C70" s="39">
        <f>IF(A70="","",'TO HOP'!F160)</f>
        <v>0</v>
      </c>
      <c r="D70" s="39">
        <f>IF(A70="","",'TO HOP'!G160)</f>
        <v>34091.265631949253</v>
      </c>
      <c r="E70" s="39">
        <f>IF(A70="","",'TO HOP'!C160)</f>
        <v>2697.1364775610136</v>
      </c>
      <c r="F70" s="39">
        <f>IF(A70="","",'TO HOP'!D160)</f>
        <v>0</v>
      </c>
      <c r="G70" s="39">
        <f>IF(A70="","",1)</f>
        <v>1</v>
      </c>
      <c r="H70" s="39">
        <f>IF(A70="","",IF(nThan=1,B70,B70/2+(1)*$B$7*C70/sThan))</f>
        <v>34766.254358487029</v>
      </c>
      <c r="I70" s="39">
        <f t="shared" si="6"/>
        <v>0</v>
      </c>
      <c r="J70" s="39">
        <f t="shared" si="7"/>
        <v>34091.265631949253</v>
      </c>
      <c r="K70" s="39">
        <f t="shared" si="8"/>
        <v>2697.1364775610136</v>
      </c>
      <c r="L70" s="39">
        <f t="shared" si="9"/>
        <v>0</v>
      </c>
      <c r="M70" s="39">
        <f>IF($A70="","",IF(H70=0,"",IF(Q70&lt;=0.000000001,MIN(0.8*0.75*'KT THAN'!$C$62,MAX('KT THAN'!$J$38:$J$58)),IFERROR(MIN(0.8*0.75*'KT THAN'!$C$62,INDEX('KT THAN'!$J$38:$J$58,MATCH(Q70,'KT THAN'!$L$38:$L$58,-1))+(INDEX('KT THAN'!$J$38:$J$58,MIN(21,MATCH(Q70,'KT THAN'!$L$38:$L$58,-1)+1))-INDEX('KT THAN'!$J$38:$J$58,MATCH(Q70,'KT THAN'!$L$38:$L$58,-1)))*(Q70-INDEX('KT THAN'!$L$38:$L$58,MATCH(Q70,'KT THAN'!$L$38:$L$58,-1)))/(INDEX('KT THAN'!$L$38:$L$58,MIN(21,MATCH(Q70,'KT THAN'!$L$38:$L$58,-1)+1))-INDEX('KT THAN'!$L$38:$L$58,MATCH(Q70,'KT THAN'!$L$38:$L$58,-1)))),MIN(0.8*0.75*'KT THAN'!$C$62,'KT THAN'!$C$68/Q70)))))</f>
        <v>53792.256954998855</v>
      </c>
      <c r="N70" s="39">
        <f>IF($A70="","",IF(H70=0,"",IF(R70&lt;=0.000000001,MIN(0.8*0.75*'KT THAN'!$C$62,MAX('KT THAN'!$W$38:$W$58)),IFERROR(MIN(0.8*0.75*'KT THAN'!$C$62,INDEX('KT THAN'!$W$38:$W$58,MATCH(R70,'KT THAN'!$Y$38:$Y$58,-1))+(INDEX('KT THAN'!$W$38:$W$58,MIN(21,MATCH(R70,'KT THAN'!$Y$38:$Y$58,-1)+1))-INDEX('KT THAN'!$W$38:$W$58,MATCH(R70,'KT THAN'!$Y$38:$Y$58,-1)))*(R70-INDEX('KT THAN'!$Y$38:$Y$58,MATCH(R70,'KT THAN'!$Y$38:$Y$58,-1)))/(INDEX('KT THAN'!$Y$38:$Y$58,MIN(21,MATCH(R70,'KT THAN'!$Y$38:$Y$58,-1)+1))-INDEX('KT THAN'!$Y$38:$Y$58,MATCH(R70,'KT THAN'!$Y$38:$Y$58,-1)))),MIN(0.8*0.75*'KT THAN'!$C$62,'KT THAN'!$D$68/R70)))))</f>
        <v>158763.07851952704</v>
      </c>
      <c r="O70" s="39">
        <f>IF($A70="","",IF(H70&lt;0,ABS(H70)/MAX('KT THAN'!$C$69,0.001)+'KT THAN'!$C$32*ABS(J70)/MAX('KT THAN'!$C$68,0.001)+'KT THAN'!$D$32*ABS(I70)/MAX('KT THAN'!$D$68,0.001),IF(OR(M70&lt;=0,N70&lt;=0),999,IF(H70&gt;=0.1*0.75*fc_*Agth*1000,H70/MAX(0.001,1/(1/M70+1/N70-1/(0.75*'KT THAN'!$C$62))),'KT THAN'!$C$32*ABS(J70)/MAX('KT THAN'!$C$68,0.001)+'KT THAN'!$D$32*ABS(I70)/MAX('KT THAN'!$D$68,0.001)))))</f>
        <v>0.69010232178237851</v>
      </c>
      <c r="P70" s="37" t="str">
        <f t="shared" si="10"/>
        <v>ĐẠT</v>
      </c>
      <c r="Q70" s="39">
        <f>IF($A70="","",MAX(0.001,'KT THAN'!$C$32*ABS(J70)/MAX(1,H70)))</f>
        <v>1.0965270649869565</v>
      </c>
      <c r="R70" s="39">
        <f>IF($A70="","",MAX(0.001,'KT THAN'!$D$32*ABS(I70)/MAX(1,H70)))</f>
        <v>1E-3</v>
      </c>
      <c r="S70" t="str">
        <f t="shared" si="11"/>
        <v/>
      </c>
    </row>
    <row r="71" spans="1:19" x14ac:dyDescent="0.3">
      <c r="A71" s="37" t="str">
        <f>IF(AND(nThan=1,2=2),"",'TO HOP'!B160)</f>
        <v/>
      </c>
      <c r="B71" s="39" t="str">
        <f>IF(A71="","",'TO HOP'!E160)</f>
        <v/>
      </c>
      <c r="C71" s="39" t="str">
        <f>IF(A71="","",'TO HOP'!F160)</f>
        <v/>
      </c>
      <c r="D71" s="39" t="str">
        <f>IF(A71="","",'TO HOP'!G160)</f>
        <v/>
      </c>
      <c r="E71" s="39" t="str">
        <f>IF(A71="","",'TO HOP'!C160)</f>
        <v/>
      </c>
      <c r="F71" s="39" t="str">
        <f>IF(A71="","",'TO HOP'!D160)</f>
        <v/>
      </c>
      <c r="G71" s="39" t="str">
        <f>IF(A71="","",2)</f>
        <v/>
      </c>
      <c r="H71" s="39" t="str">
        <f>IF(A71="","",IF(nThan=1,B71,B71/2+(-1)*$B$7*C71/sThan))</f>
        <v/>
      </c>
      <c r="I71" s="39" t="str">
        <f t="shared" si="6"/>
        <v/>
      </c>
      <c r="J71" s="39" t="str">
        <f t="shared" si="7"/>
        <v/>
      </c>
      <c r="K71" s="39" t="str">
        <f t="shared" si="8"/>
        <v/>
      </c>
      <c r="L71" s="39" t="str">
        <f t="shared" si="9"/>
        <v/>
      </c>
      <c r="M71" s="39" t="str">
        <f>IF($A71="","",IF(H71=0,"",IF(Q71&lt;=0.000000001,MIN(0.8*0.75*'KT THAN'!$C$62,MAX('KT THAN'!$J$38:$J$58)),IFERROR(MIN(0.8*0.75*'KT THAN'!$C$62,INDEX('KT THAN'!$J$38:$J$58,MATCH(Q71,'KT THAN'!$L$38:$L$58,-1))+(INDEX('KT THAN'!$J$38:$J$58,MIN(21,MATCH(Q71,'KT THAN'!$L$38:$L$58,-1)+1))-INDEX('KT THAN'!$J$38:$J$58,MATCH(Q71,'KT THAN'!$L$38:$L$58,-1)))*(Q71-INDEX('KT THAN'!$L$38:$L$58,MATCH(Q71,'KT THAN'!$L$38:$L$58,-1)))/(INDEX('KT THAN'!$L$38:$L$58,MIN(21,MATCH(Q71,'KT THAN'!$L$38:$L$58,-1)+1))-INDEX('KT THAN'!$L$38:$L$58,MATCH(Q71,'KT THAN'!$L$38:$L$58,-1)))),MIN(0.8*0.75*'KT THAN'!$C$62,'KT THAN'!$C$68/Q71)))))</f>
        <v/>
      </c>
      <c r="N71" s="39" t="str">
        <f>IF($A71="","",IF(H71=0,"",IF(R71&lt;=0.000000001,MIN(0.8*0.75*'KT THAN'!$C$62,MAX('KT THAN'!$W$38:$W$58)),IFERROR(MIN(0.8*0.75*'KT THAN'!$C$62,INDEX('KT THAN'!$W$38:$W$58,MATCH(R71,'KT THAN'!$Y$38:$Y$58,-1))+(INDEX('KT THAN'!$W$38:$W$58,MIN(21,MATCH(R71,'KT THAN'!$Y$38:$Y$58,-1)+1))-INDEX('KT THAN'!$W$38:$W$58,MATCH(R71,'KT THAN'!$Y$38:$Y$58,-1)))*(R71-INDEX('KT THAN'!$Y$38:$Y$58,MATCH(R71,'KT THAN'!$Y$38:$Y$58,-1)))/(INDEX('KT THAN'!$Y$38:$Y$58,MIN(21,MATCH(R71,'KT THAN'!$Y$38:$Y$58,-1)+1))-INDEX('KT THAN'!$Y$38:$Y$58,MATCH(R71,'KT THAN'!$Y$38:$Y$58,-1)))),MIN(0.8*0.75*'KT THAN'!$C$62,'KT THAN'!$D$68/R71)))))</f>
        <v/>
      </c>
      <c r="O71" s="39" t="str">
        <f>IF($A71="","",IF(H71&lt;0,ABS(H71)/MAX('KT THAN'!$C$69,0.001)+'KT THAN'!$C$32*ABS(J71)/MAX('KT THAN'!$C$68,0.001)+'KT THAN'!$D$32*ABS(I71)/MAX('KT THAN'!$D$68,0.001),IF(OR(M71&lt;=0,N71&lt;=0),999,IF(H71&gt;=0.1*0.75*fc_*Agth*1000,H71/MAX(0.001,1/(1/M71+1/N71-1/(0.75*'KT THAN'!$C$62))),'KT THAN'!$C$32*ABS(J71)/MAX('KT THAN'!$C$68,0.001)+'KT THAN'!$D$32*ABS(I71)/MAX('KT THAN'!$D$68,0.001)))))</f>
        <v/>
      </c>
      <c r="P71" s="37" t="str">
        <f t="shared" si="10"/>
        <v/>
      </c>
      <c r="Q71" s="39" t="str">
        <f>IF($A71="","",MAX(0.001,'KT THAN'!$C$32*ABS(J71)/MAX(1,H71)))</f>
        <v/>
      </c>
      <c r="R71" s="39" t="str">
        <f>IF($A71="","",MAX(0.001,'KT THAN'!$D$32*ABS(I71)/MAX(1,H71)))</f>
        <v/>
      </c>
      <c r="S71" t="str">
        <f t="shared" si="11"/>
        <v/>
      </c>
    </row>
    <row r="72" spans="1:19" x14ac:dyDescent="0.3">
      <c r="A72" s="37" t="str">
        <f>IF(AND(nThan=1,1=2),"",'TO HOP'!B161)</f>
        <v>CĐ I(a) max - 1 nhịp 1 làn</v>
      </c>
      <c r="B72" s="39">
        <f>IF(A72="","",'TO HOP'!E161)</f>
        <v>29441.299429487026</v>
      </c>
      <c r="C72" s="39">
        <f>IF(A72="","",'TO HOP'!F161)</f>
        <v>11899.9254325</v>
      </c>
      <c r="D72" s="39">
        <f>IF(A72="","",'TO HOP'!G161)</f>
        <v>35175.815797949253</v>
      </c>
      <c r="E72" s="39">
        <f>IF(A72="","",'TO HOP'!C161)</f>
        <v>2697.1364775610136</v>
      </c>
      <c r="F72" s="39">
        <f>IF(A72="","",'TO HOP'!D161)</f>
        <v>0</v>
      </c>
      <c r="G72" s="39">
        <f>IF(A72="","",1)</f>
        <v>1</v>
      </c>
      <c r="H72" s="39">
        <f>IF(A72="","",IF(nThan=1,B72,B72/2+(1)*$B$7*C72/sThan))</f>
        <v>29441.299429487026</v>
      </c>
      <c r="I72" s="39">
        <f t="shared" si="6"/>
        <v>11899.9254325</v>
      </c>
      <c r="J72" s="39">
        <f t="shared" si="7"/>
        <v>35175.815797949253</v>
      </c>
      <c r="K72" s="39">
        <f t="shared" si="8"/>
        <v>2697.1364775610136</v>
      </c>
      <c r="L72" s="39">
        <f t="shared" si="9"/>
        <v>0</v>
      </c>
      <c r="M72" s="39">
        <f>IF($A72="","",IF(H72=0,"",IF(Q72&lt;=0.000000001,MIN(0.8*0.75*'KT THAN'!$C$62,MAX('KT THAN'!$J$38:$J$58)),IFERROR(MIN(0.8*0.75*'KT THAN'!$C$62,INDEX('KT THAN'!$J$38:$J$58,MATCH(Q72,'KT THAN'!$L$38:$L$58,-1))+(INDEX('KT THAN'!$J$38:$J$58,MIN(21,MATCH(Q72,'KT THAN'!$L$38:$L$58,-1)+1))-INDEX('KT THAN'!$J$38:$J$58,MATCH(Q72,'KT THAN'!$L$38:$L$58,-1)))*(Q72-INDEX('KT THAN'!$L$38:$L$58,MATCH(Q72,'KT THAN'!$L$38:$L$58,-1)))/(INDEX('KT THAN'!$L$38:$L$58,MIN(21,MATCH(Q72,'KT THAN'!$L$38:$L$58,-1)+1))-INDEX('KT THAN'!$L$38:$L$58,MATCH(Q72,'KT THAN'!$L$38:$L$58,-1)))),MIN(0.8*0.75*'KT THAN'!$C$62,'KT THAN'!$C$68/Q72)))))</f>
        <v>43755.622672822006</v>
      </c>
      <c r="N72" s="39">
        <f>IF($A72="","",IF(H72=0,"",IF(R72&lt;=0.000000001,MIN(0.8*0.75*'KT THAN'!$C$62,MAX('KT THAN'!$W$38:$W$58)),IFERROR(MIN(0.8*0.75*'KT THAN'!$C$62,INDEX('KT THAN'!$W$38:$W$58,MATCH(R72,'KT THAN'!$Y$38:$Y$58,-1))+(INDEX('KT THAN'!$W$38:$W$58,MIN(21,MATCH(R72,'KT THAN'!$Y$38:$Y$58,-1)+1))-INDEX('KT THAN'!$W$38:$W$58,MATCH(R72,'KT THAN'!$Y$38:$Y$58,-1)))*(R72-INDEX('KT THAN'!$Y$38:$Y$58,MATCH(R72,'KT THAN'!$Y$38:$Y$58,-1)))/(INDEX('KT THAN'!$Y$38:$Y$58,MIN(21,MATCH(R72,'KT THAN'!$Y$38:$Y$58,-1)+1))-INDEX('KT THAN'!$Y$38:$Y$58,MATCH(R72,'KT THAN'!$Y$38:$Y$58,-1)))),MIN(0.8*0.75*'KT THAN'!$C$62,'KT THAN'!$D$68/R72)))))</f>
        <v>158763.07851952704</v>
      </c>
      <c r="O72" s="39">
        <f>IF($A72="","",IF(H72&lt;0,ABS(H72)/MAX('KT THAN'!$C$69,0.001)+'KT THAN'!$C$32*ABS(J72)/MAX('KT THAN'!$C$68,0.001)+'KT THAN'!$D$32*ABS(I72)/MAX('KT THAN'!$D$68,0.001),IF(OR(M72&lt;=0,N72&lt;=0),999,IF(H72&gt;=0.1*0.75*fc_*Agth*1000,H72/MAX(0.001,1/(1/M72+1/N72-1/(0.75*'KT THAN'!$C$62))),'KT THAN'!$C$32*ABS(J72)/MAX('KT THAN'!$C$68,0.001)+'KT THAN'!$D$32*ABS(I72)/MAX('KT THAN'!$D$68,0.001)))))</f>
        <v>0.70994585785505926</v>
      </c>
      <c r="P72" s="37" t="str">
        <f t="shared" si="10"/>
        <v>ĐẠT</v>
      </c>
      <c r="Q72" s="39">
        <f>IF($A72="","",MAX(0.001,'KT THAN'!$C$32*ABS(J72)/MAX(1,H72)))</f>
        <v>1.3360457761663529</v>
      </c>
      <c r="R72" s="39">
        <f>IF($A72="","",MAX(0.001,'KT THAN'!$D$32*ABS(I72)/MAX(1,H72)))</f>
        <v>0.40419158335727506</v>
      </c>
      <c r="S72" t="str">
        <f t="shared" si="11"/>
        <v/>
      </c>
    </row>
    <row r="73" spans="1:19" x14ac:dyDescent="0.3">
      <c r="A73" s="37" t="str">
        <f>IF(AND(nThan=1,2=2),"",'TO HOP'!B161)</f>
        <v/>
      </c>
      <c r="B73" s="39" t="str">
        <f>IF(A73="","",'TO HOP'!E161)</f>
        <v/>
      </c>
      <c r="C73" s="39" t="str">
        <f>IF(A73="","",'TO HOP'!F161)</f>
        <v/>
      </c>
      <c r="D73" s="39" t="str">
        <f>IF(A73="","",'TO HOP'!G161)</f>
        <v/>
      </c>
      <c r="E73" s="39" t="str">
        <f>IF(A73="","",'TO HOP'!C161)</f>
        <v/>
      </c>
      <c r="F73" s="39" t="str">
        <f>IF(A73="","",'TO HOP'!D161)</f>
        <v/>
      </c>
      <c r="G73" s="39" t="str">
        <f>IF(A73="","",2)</f>
        <v/>
      </c>
      <c r="H73" s="39" t="str">
        <f>IF(A73="","",IF(nThan=1,B73,B73/2+(-1)*$B$7*C73/sThan))</f>
        <v/>
      </c>
      <c r="I73" s="39" t="str">
        <f t="shared" si="6"/>
        <v/>
      </c>
      <c r="J73" s="39" t="str">
        <f t="shared" si="7"/>
        <v/>
      </c>
      <c r="K73" s="39" t="str">
        <f t="shared" si="8"/>
        <v/>
      </c>
      <c r="L73" s="39" t="str">
        <f t="shared" si="9"/>
        <v/>
      </c>
      <c r="M73" s="39" t="str">
        <f>IF($A73="","",IF(H73=0,"",IF(Q73&lt;=0.000000001,MIN(0.8*0.75*'KT THAN'!$C$62,MAX('KT THAN'!$J$38:$J$58)),IFERROR(MIN(0.8*0.75*'KT THAN'!$C$62,INDEX('KT THAN'!$J$38:$J$58,MATCH(Q73,'KT THAN'!$L$38:$L$58,-1))+(INDEX('KT THAN'!$J$38:$J$58,MIN(21,MATCH(Q73,'KT THAN'!$L$38:$L$58,-1)+1))-INDEX('KT THAN'!$J$38:$J$58,MATCH(Q73,'KT THAN'!$L$38:$L$58,-1)))*(Q73-INDEX('KT THAN'!$L$38:$L$58,MATCH(Q73,'KT THAN'!$L$38:$L$58,-1)))/(INDEX('KT THAN'!$L$38:$L$58,MIN(21,MATCH(Q73,'KT THAN'!$L$38:$L$58,-1)+1))-INDEX('KT THAN'!$L$38:$L$58,MATCH(Q73,'KT THAN'!$L$38:$L$58,-1)))),MIN(0.8*0.75*'KT THAN'!$C$62,'KT THAN'!$C$68/Q73)))))</f>
        <v/>
      </c>
      <c r="N73" s="39" t="str">
        <f>IF($A73="","",IF(H73=0,"",IF(R73&lt;=0.000000001,MIN(0.8*0.75*'KT THAN'!$C$62,MAX('KT THAN'!$W$38:$W$58)),IFERROR(MIN(0.8*0.75*'KT THAN'!$C$62,INDEX('KT THAN'!$W$38:$W$58,MATCH(R73,'KT THAN'!$Y$38:$Y$58,-1))+(INDEX('KT THAN'!$W$38:$W$58,MIN(21,MATCH(R73,'KT THAN'!$Y$38:$Y$58,-1)+1))-INDEX('KT THAN'!$W$38:$W$58,MATCH(R73,'KT THAN'!$Y$38:$Y$58,-1)))*(R73-INDEX('KT THAN'!$Y$38:$Y$58,MATCH(R73,'KT THAN'!$Y$38:$Y$58,-1)))/(INDEX('KT THAN'!$Y$38:$Y$58,MIN(21,MATCH(R73,'KT THAN'!$Y$38:$Y$58,-1)+1))-INDEX('KT THAN'!$Y$38:$Y$58,MATCH(R73,'KT THAN'!$Y$38:$Y$58,-1)))),MIN(0.8*0.75*'KT THAN'!$C$62,'KT THAN'!$D$68/R73)))))</f>
        <v/>
      </c>
      <c r="O73" s="39" t="str">
        <f>IF($A73="","",IF(H73&lt;0,ABS(H73)/MAX('KT THAN'!$C$69,0.001)+'KT THAN'!$C$32*ABS(J73)/MAX('KT THAN'!$C$68,0.001)+'KT THAN'!$D$32*ABS(I73)/MAX('KT THAN'!$D$68,0.001),IF(OR(M73&lt;=0,N73&lt;=0),999,IF(H73&gt;=0.1*0.75*fc_*Agth*1000,H73/MAX(0.001,1/(1/M73+1/N73-1/(0.75*'KT THAN'!$C$62))),'KT THAN'!$C$32*ABS(J73)/MAX('KT THAN'!$C$68,0.001)+'KT THAN'!$D$32*ABS(I73)/MAX('KT THAN'!$D$68,0.001)))))</f>
        <v/>
      </c>
      <c r="P73" s="37" t="str">
        <f t="shared" si="10"/>
        <v/>
      </c>
      <c r="Q73" s="39" t="str">
        <f>IF($A73="","",MAX(0.001,'KT THAN'!$C$32*ABS(J73)/MAX(1,H73)))</f>
        <v/>
      </c>
      <c r="R73" s="39" t="str">
        <f>IF($A73="","",MAX(0.001,'KT THAN'!$D$32*ABS(I73)/MAX(1,H73)))</f>
        <v/>
      </c>
      <c r="S73" t="str">
        <f t="shared" si="11"/>
        <v/>
      </c>
    </row>
    <row r="74" spans="1:19" x14ac:dyDescent="0.3">
      <c r="A74" s="37" t="str">
        <f>IF(AND(nThan=1,1=2),"",'TO HOP'!B162)</f>
        <v>CĐ I(a) max - 1 nhịp 2 làn</v>
      </c>
      <c r="B74" s="39">
        <f>IF(A74="","",'TO HOP'!E162)</f>
        <v>30244.669922820358</v>
      </c>
      <c r="C74" s="39">
        <f>IF(A74="","",'TO HOP'!F162)</f>
        <v>16820.569704166668</v>
      </c>
      <c r="D74" s="39">
        <f>IF(A74="","",'TO HOP'!G162)</f>
        <v>35898.849241949254</v>
      </c>
      <c r="E74" s="39">
        <f>IF(A74="","",'TO HOP'!C162)</f>
        <v>2697.1364775610136</v>
      </c>
      <c r="F74" s="39">
        <f>IF(A74="","",'TO HOP'!D162)</f>
        <v>0</v>
      </c>
      <c r="G74" s="39">
        <f>IF(A74="","",1)</f>
        <v>1</v>
      </c>
      <c r="H74" s="39">
        <f>IF(A74="","",IF(nThan=1,B74,B74/2+(1)*$B$7*C74/sThan))</f>
        <v>30244.669922820358</v>
      </c>
      <c r="I74" s="39">
        <f t="shared" si="6"/>
        <v>16820.569704166668</v>
      </c>
      <c r="J74" s="39">
        <f t="shared" si="7"/>
        <v>35898.849241949254</v>
      </c>
      <c r="K74" s="39">
        <f t="shared" si="8"/>
        <v>2697.1364775610136</v>
      </c>
      <c r="L74" s="39">
        <f t="shared" si="9"/>
        <v>0</v>
      </c>
      <c r="M74" s="39">
        <f>IF($A74="","",IF(H74=0,"",IF(Q74&lt;=0.000000001,MIN(0.8*0.75*'KT THAN'!$C$62,MAX('KT THAN'!$J$38:$J$58)),IFERROR(MIN(0.8*0.75*'KT THAN'!$C$62,INDEX('KT THAN'!$J$38:$J$58,MATCH(Q74,'KT THAN'!$L$38:$L$58,-1))+(INDEX('KT THAN'!$J$38:$J$58,MIN(21,MATCH(Q74,'KT THAN'!$L$38:$L$58,-1)+1))-INDEX('KT THAN'!$J$38:$J$58,MATCH(Q74,'KT THAN'!$L$38:$L$58,-1)))*(Q74-INDEX('KT THAN'!$L$38:$L$58,MATCH(Q74,'KT THAN'!$L$38:$L$58,-1)))/(INDEX('KT THAN'!$L$38:$L$58,MIN(21,MATCH(Q74,'KT THAN'!$L$38:$L$58,-1)+1))-INDEX('KT THAN'!$L$38:$L$58,MATCH(Q74,'KT THAN'!$L$38:$L$58,-1)))),MIN(0.8*0.75*'KT THAN'!$C$62,'KT THAN'!$C$68/Q74)))))</f>
        <v>44102.766527691747</v>
      </c>
      <c r="N74" s="39">
        <f>IF($A74="","",IF(H74=0,"",IF(R74&lt;=0.000000001,MIN(0.8*0.75*'KT THAN'!$C$62,MAX('KT THAN'!$W$38:$W$58)),IFERROR(MIN(0.8*0.75*'KT THAN'!$C$62,INDEX('KT THAN'!$W$38:$W$58,MATCH(R74,'KT THAN'!$Y$38:$Y$58,-1))+(INDEX('KT THAN'!$W$38:$W$58,MIN(21,MATCH(R74,'KT THAN'!$Y$38:$Y$58,-1)+1))-INDEX('KT THAN'!$W$38:$W$58,MATCH(R74,'KT THAN'!$Y$38:$Y$58,-1)))*(R74-INDEX('KT THAN'!$Y$38:$Y$58,MATCH(R74,'KT THAN'!$Y$38:$Y$58,-1)))/(INDEX('KT THAN'!$Y$38:$Y$58,MIN(21,MATCH(R74,'KT THAN'!$Y$38:$Y$58,-1)+1))-INDEX('KT THAN'!$Y$38:$Y$58,MATCH(R74,'KT THAN'!$Y$38:$Y$58,-1)))),MIN(0.8*0.75*'KT THAN'!$C$62,'KT THAN'!$D$68/R74)))))</f>
        <v>154420.14228435868</v>
      </c>
      <c r="O74" s="39">
        <f>IF($A74="","",IF(H74&lt;0,ABS(H74)/MAX('KT THAN'!$C$69,0.001)+'KT THAN'!$C$32*ABS(J74)/MAX('KT THAN'!$C$68,0.001)+'KT THAN'!$D$32*ABS(I74)/MAX('KT THAN'!$D$68,0.001),IF(OR(M74&lt;=0,N74&lt;=0),999,IF(H74&gt;=0.1*0.75*fc_*Agth*1000,H74/MAX(0.001,1/(1/M74+1/N74-1/(0.75*'KT THAN'!$C$62))),'KT THAN'!$C$32*ABS(J74)/MAX('KT THAN'!$C$68,0.001)+'KT THAN'!$D$32*ABS(I74)/MAX('KT THAN'!$D$68,0.001)))))</f>
        <v>0.72923524660091998</v>
      </c>
      <c r="P74" s="37" t="str">
        <f t="shared" si="10"/>
        <v>ĐẠT</v>
      </c>
      <c r="Q74" s="39">
        <f>IF($A74="","",MAX(0.001,'KT THAN'!$C$32*ABS(J74)/MAX(1,H74)))</f>
        <v>1.3272899692275337</v>
      </c>
      <c r="R74" s="39">
        <f>IF($A74="","",MAX(0.001,'KT THAN'!$D$32*ABS(I74)/MAX(1,H74)))</f>
        <v>0.55614988515629749</v>
      </c>
      <c r="S74" t="str">
        <f t="shared" si="11"/>
        <v/>
      </c>
    </row>
    <row r="75" spans="1:19" x14ac:dyDescent="0.3">
      <c r="A75" s="37" t="str">
        <f>IF(AND(nThan=1,2=2),"",'TO HOP'!B162)</f>
        <v/>
      </c>
      <c r="B75" s="39" t="str">
        <f>IF(A75="","",'TO HOP'!E162)</f>
        <v/>
      </c>
      <c r="C75" s="39" t="str">
        <f>IF(A75="","",'TO HOP'!F162)</f>
        <v/>
      </c>
      <c r="D75" s="39" t="str">
        <f>IF(A75="","",'TO HOP'!G162)</f>
        <v/>
      </c>
      <c r="E75" s="39" t="str">
        <f>IF(A75="","",'TO HOP'!C162)</f>
        <v/>
      </c>
      <c r="F75" s="39" t="str">
        <f>IF(A75="","",'TO HOP'!D162)</f>
        <v/>
      </c>
      <c r="G75" s="39" t="str">
        <f>IF(A75="","",2)</f>
        <v/>
      </c>
      <c r="H75" s="39" t="str">
        <f>IF(A75="","",IF(nThan=1,B75,B75/2+(-1)*$B$7*C75/sThan))</f>
        <v/>
      </c>
      <c r="I75" s="39" t="str">
        <f t="shared" si="6"/>
        <v/>
      </c>
      <c r="J75" s="39" t="str">
        <f t="shared" si="7"/>
        <v/>
      </c>
      <c r="K75" s="39" t="str">
        <f t="shared" si="8"/>
        <v/>
      </c>
      <c r="L75" s="39" t="str">
        <f t="shared" si="9"/>
        <v/>
      </c>
      <c r="M75" s="39" t="str">
        <f>IF($A75="","",IF(H75=0,"",IF(Q75&lt;=0.000000001,MIN(0.8*0.75*'KT THAN'!$C$62,MAX('KT THAN'!$J$38:$J$58)),IFERROR(MIN(0.8*0.75*'KT THAN'!$C$62,INDEX('KT THAN'!$J$38:$J$58,MATCH(Q75,'KT THAN'!$L$38:$L$58,-1))+(INDEX('KT THAN'!$J$38:$J$58,MIN(21,MATCH(Q75,'KT THAN'!$L$38:$L$58,-1)+1))-INDEX('KT THAN'!$J$38:$J$58,MATCH(Q75,'KT THAN'!$L$38:$L$58,-1)))*(Q75-INDEX('KT THAN'!$L$38:$L$58,MATCH(Q75,'KT THAN'!$L$38:$L$58,-1)))/(INDEX('KT THAN'!$L$38:$L$58,MIN(21,MATCH(Q75,'KT THAN'!$L$38:$L$58,-1)+1))-INDEX('KT THAN'!$L$38:$L$58,MATCH(Q75,'KT THAN'!$L$38:$L$58,-1)))),MIN(0.8*0.75*'KT THAN'!$C$62,'KT THAN'!$C$68/Q75)))))</f>
        <v/>
      </c>
      <c r="N75" s="39" t="str">
        <f>IF($A75="","",IF(H75=0,"",IF(R75&lt;=0.000000001,MIN(0.8*0.75*'KT THAN'!$C$62,MAX('KT THAN'!$W$38:$W$58)),IFERROR(MIN(0.8*0.75*'KT THAN'!$C$62,INDEX('KT THAN'!$W$38:$W$58,MATCH(R75,'KT THAN'!$Y$38:$Y$58,-1))+(INDEX('KT THAN'!$W$38:$W$58,MIN(21,MATCH(R75,'KT THAN'!$Y$38:$Y$58,-1)+1))-INDEX('KT THAN'!$W$38:$W$58,MATCH(R75,'KT THAN'!$Y$38:$Y$58,-1)))*(R75-INDEX('KT THAN'!$Y$38:$Y$58,MATCH(R75,'KT THAN'!$Y$38:$Y$58,-1)))/(INDEX('KT THAN'!$Y$38:$Y$58,MIN(21,MATCH(R75,'KT THAN'!$Y$38:$Y$58,-1)+1))-INDEX('KT THAN'!$Y$38:$Y$58,MATCH(R75,'KT THAN'!$Y$38:$Y$58,-1)))),MIN(0.8*0.75*'KT THAN'!$C$62,'KT THAN'!$D$68/R75)))))</f>
        <v/>
      </c>
      <c r="O75" s="39" t="str">
        <f>IF($A75="","",IF(H75&lt;0,ABS(H75)/MAX('KT THAN'!$C$69,0.001)+'KT THAN'!$C$32*ABS(J75)/MAX('KT THAN'!$C$68,0.001)+'KT THAN'!$D$32*ABS(I75)/MAX('KT THAN'!$D$68,0.001),IF(OR(M75&lt;=0,N75&lt;=0),999,IF(H75&gt;=0.1*0.75*fc_*Agth*1000,H75/MAX(0.001,1/(1/M75+1/N75-1/(0.75*'KT THAN'!$C$62))),'KT THAN'!$C$32*ABS(J75)/MAX('KT THAN'!$C$68,0.001)+'KT THAN'!$D$32*ABS(I75)/MAX('KT THAN'!$D$68,0.001)))))</f>
        <v/>
      </c>
      <c r="P75" s="37" t="str">
        <f t="shared" si="10"/>
        <v/>
      </c>
      <c r="Q75" s="39" t="str">
        <f>IF($A75="","",MAX(0.001,'KT THAN'!$C$32*ABS(J75)/MAX(1,H75)))</f>
        <v/>
      </c>
      <c r="R75" s="39" t="str">
        <f>IF($A75="","",MAX(0.001,'KT THAN'!$D$32*ABS(I75)/MAX(1,H75)))</f>
        <v/>
      </c>
      <c r="S75" t="str">
        <f t="shared" si="11"/>
        <v/>
      </c>
    </row>
    <row r="76" spans="1:19" x14ac:dyDescent="0.3">
      <c r="A76" s="37" t="str">
        <f>IF(AND(nThan=1,1=2),"",'TO HOP'!B163)</f>
        <v>CĐ I(a) max - 1 nhịp 3 làn</v>
      </c>
      <c r="B76" s="39">
        <f>IF(A76="","",'TO HOP'!E163)</f>
        <v>30796.987136987027</v>
      </c>
      <c r="C76" s="39">
        <f>IF(A76="","",'TO HOP'!F163)</f>
        <v>17605.111201562504</v>
      </c>
      <c r="D76" s="39">
        <f>IF(A76="","",'TO HOP'!G163)</f>
        <v>36395.934734699251</v>
      </c>
      <c r="E76" s="39">
        <f>IF(A76="","",'TO HOP'!C163)</f>
        <v>2697.1364775610136</v>
      </c>
      <c r="F76" s="39">
        <f>IF(A76="","",'TO HOP'!D163)</f>
        <v>0</v>
      </c>
      <c r="G76" s="39">
        <f>IF(A76="","",1)</f>
        <v>1</v>
      </c>
      <c r="H76" s="39">
        <f>IF(A76="","",IF(nThan=1,B76,B76/2+(1)*$B$7*C76/sThan))</f>
        <v>30796.987136987027</v>
      </c>
      <c r="I76" s="39">
        <f t="shared" ref="I76:I107" si="12">IF(A76="","",IF(nThan=1,C76,(1-$B$7)*C76/2))</f>
        <v>17605.111201562504</v>
      </c>
      <c r="J76" s="39">
        <f t="shared" ref="J76:J107" si="13">IF(A76="","",IF(nThan=1,D76,D76/2))</f>
        <v>36395.934734699251</v>
      </c>
      <c r="K76" s="39">
        <f t="shared" ref="K76:K107" si="14">IF(A76="","",IF(nThan=1,E76,E76/2))</f>
        <v>2697.1364775610136</v>
      </c>
      <c r="L76" s="39">
        <f t="shared" ref="L76:L107" si="15">IF(A76="","",IF(nThan=1,F76,F76/2))</f>
        <v>0</v>
      </c>
      <c r="M76" s="39">
        <f>IF($A76="","",IF(H76=0,"",IF(Q76&lt;=0.000000001,MIN(0.8*0.75*'KT THAN'!$C$62,MAX('KT THAN'!$J$38:$J$58)),IFERROR(MIN(0.8*0.75*'KT THAN'!$C$62,INDEX('KT THAN'!$J$38:$J$58,MATCH(Q76,'KT THAN'!$L$38:$L$58,-1))+(INDEX('KT THAN'!$J$38:$J$58,MIN(21,MATCH(Q76,'KT THAN'!$L$38:$L$58,-1)+1))-INDEX('KT THAN'!$J$38:$J$58,MATCH(Q76,'KT THAN'!$L$38:$L$58,-1)))*(Q76-INDEX('KT THAN'!$L$38:$L$58,MATCH(Q76,'KT THAN'!$L$38:$L$58,-1)))/(INDEX('KT THAN'!$L$38:$L$58,MIN(21,MATCH(Q76,'KT THAN'!$L$38:$L$58,-1)+1))-INDEX('KT THAN'!$L$38:$L$58,MATCH(Q76,'KT THAN'!$L$38:$L$58,-1)))),MIN(0.8*0.75*'KT THAN'!$C$62,'KT THAN'!$C$68/Q76)))))</f>
        <v>44330.922019492631</v>
      </c>
      <c r="N76" s="39">
        <f>IF($A76="","",IF(H76=0,"",IF(R76&lt;=0.000000001,MIN(0.8*0.75*'KT THAN'!$C$62,MAX('KT THAN'!$W$38:$W$58)),IFERROR(MIN(0.8*0.75*'KT THAN'!$C$62,INDEX('KT THAN'!$W$38:$W$58,MATCH(R76,'KT THAN'!$Y$38:$Y$58,-1))+(INDEX('KT THAN'!$W$38:$W$58,MIN(21,MATCH(R76,'KT THAN'!$Y$38:$Y$58,-1)+1))-INDEX('KT THAN'!$W$38:$W$58,MATCH(R76,'KT THAN'!$Y$38:$Y$58,-1)))*(R76-INDEX('KT THAN'!$Y$38:$Y$58,MATCH(R76,'KT THAN'!$Y$38:$Y$58,-1)))/(INDEX('KT THAN'!$Y$38:$Y$58,MIN(21,MATCH(R76,'KT THAN'!$Y$38:$Y$58,-1)+1))-INDEX('KT THAN'!$Y$38:$Y$58,MATCH(R76,'KT THAN'!$Y$38:$Y$58,-1)))),MIN(0.8*0.75*'KT THAN'!$C$62,'KT THAN'!$D$68/R76)))))</f>
        <v>153298.76520097768</v>
      </c>
      <c r="O76" s="39">
        <f>IF($A76="","",IF(H76&lt;0,ABS(H76)/MAX('KT THAN'!$C$69,0.001)+'KT THAN'!$C$32*ABS(J76)/MAX('KT THAN'!$C$68,0.001)+'KT THAN'!$D$32*ABS(I76)/MAX('KT THAN'!$D$68,0.001),IF(OR(M76&lt;=0,N76&lt;=0),999,IF(H76&gt;=0.1*0.75*fc_*Agth*1000,H76/MAX(0.001,1/(1/M76+1/N76-1/(0.75*'KT THAN'!$C$62))),'KT THAN'!$C$32*ABS(J76)/MAX('KT THAN'!$C$68,0.001)+'KT THAN'!$D$32*ABS(I76)/MAX('KT THAN'!$D$68,0.001)))))</f>
        <v>0.74041724435216338</v>
      </c>
      <c r="P76" s="37" t="str">
        <f t="shared" ref="P76:P107" si="16">IF(A76="","",IF(O76&lt;=1,"ĐẠT","KHÔNG ĐẠT"))</f>
        <v>ĐẠT</v>
      </c>
      <c r="Q76" s="39">
        <f>IF($A76="","",MAX(0.001,'KT THAN'!$C$32*ABS(J76)/MAX(1,H76)))</f>
        <v>1.3215353363564162</v>
      </c>
      <c r="R76" s="39">
        <f>IF($A76="","",MAX(0.001,'KT THAN'!$D$32*ABS(I76)/MAX(1,H76)))</f>
        <v>0.57165043850730624</v>
      </c>
      <c r="S76" t="str">
        <f t="shared" ref="S76:S107" si="17">IF($A76="","",IF(H76&lt;0,O76,""))</f>
        <v/>
      </c>
    </row>
    <row r="77" spans="1:19" x14ac:dyDescent="0.3">
      <c r="A77" s="37" t="str">
        <f>IF(AND(nThan=1,2=2),"",'TO HOP'!B163)</f>
        <v/>
      </c>
      <c r="B77" s="39" t="str">
        <f>IF(A77="","",'TO HOP'!E163)</f>
        <v/>
      </c>
      <c r="C77" s="39" t="str">
        <f>IF(A77="","",'TO HOP'!F163)</f>
        <v/>
      </c>
      <c r="D77" s="39" t="str">
        <f>IF(A77="","",'TO HOP'!G163)</f>
        <v/>
      </c>
      <c r="E77" s="39" t="str">
        <f>IF(A77="","",'TO HOP'!C163)</f>
        <v/>
      </c>
      <c r="F77" s="39" t="str">
        <f>IF(A77="","",'TO HOP'!D163)</f>
        <v/>
      </c>
      <c r="G77" s="39" t="str">
        <f>IF(A77="","",2)</f>
        <v/>
      </c>
      <c r="H77" s="39" t="str">
        <f>IF(A77="","",IF(nThan=1,B77,B77/2+(-1)*$B$7*C77/sThan))</f>
        <v/>
      </c>
      <c r="I77" s="39" t="str">
        <f t="shared" si="12"/>
        <v/>
      </c>
      <c r="J77" s="39" t="str">
        <f t="shared" si="13"/>
        <v/>
      </c>
      <c r="K77" s="39" t="str">
        <f t="shared" si="14"/>
        <v/>
      </c>
      <c r="L77" s="39" t="str">
        <f t="shared" si="15"/>
        <v/>
      </c>
      <c r="M77" s="39" t="str">
        <f>IF($A77="","",IF(H77=0,"",IF(Q77&lt;=0.000000001,MIN(0.8*0.75*'KT THAN'!$C$62,MAX('KT THAN'!$J$38:$J$58)),IFERROR(MIN(0.8*0.75*'KT THAN'!$C$62,INDEX('KT THAN'!$J$38:$J$58,MATCH(Q77,'KT THAN'!$L$38:$L$58,-1))+(INDEX('KT THAN'!$J$38:$J$58,MIN(21,MATCH(Q77,'KT THAN'!$L$38:$L$58,-1)+1))-INDEX('KT THAN'!$J$38:$J$58,MATCH(Q77,'KT THAN'!$L$38:$L$58,-1)))*(Q77-INDEX('KT THAN'!$L$38:$L$58,MATCH(Q77,'KT THAN'!$L$38:$L$58,-1)))/(INDEX('KT THAN'!$L$38:$L$58,MIN(21,MATCH(Q77,'KT THAN'!$L$38:$L$58,-1)+1))-INDEX('KT THAN'!$L$38:$L$58,MATCH(Q77,'KT THAN'!$L$38:$L$58,-1)))),MIN(0.8*0.75*'KT THAN'!$C$62,'KT THAN'!$C$68/Q77)))))</f>
        <v/>
      </c>
      <c r="N77" s="39" t="str">
        <f>IF($A77="","",IF(H77=0,"",IF(R77&lt;=0.000000001,MIN(0.8*0.75*'KT THAN'!$C$62,MAX('KT THAN'!$W$38:$W$58)),IFERROR(MIN(0.8*0.75*'KT THAN'!$C$62,INDEX('KT THAN'!$W$38:$W$58,MATCH(R77,'KT THAN'!$Y$38:$Y$58,-1))+(INDEX('KT THAN'!$W$38:$W$58,MIN(21,MATCH(R77,'KT THAN'!$Y$38:$Y$58,-1)+1))-INDEX('KT THAN'!$W$38:$W$58,MATCH(R77,'KT THAN'!$Y$38:$Y$58,-1)))*(R77-INDEX('KT THAN'!$Y$38:$Y$58,MATCH(R77,'KT THAN'!$Y$38:$Y$58,-1)))/(INDEX('KT THAN'!$Y$38:$Y$58,MIN(21,MATCH(R77,'KT THAN'!$Y$38:$Y$58,-1)+1))-INDEX('KT THAN'!$Y$38:$Y$58,MATCH(R77,'KT THAN'!$Y$38:$Y$58,-1)))),MIN(0.8*0.75*'KT THAN'!$C$62,'KT THAN'!$D$68/R77)))))</f>
        <v/>
      </c>
      <c r="O77" s="39" t="str">
        <f>IF($A77="","",IF(H77&lt;0,ABS(H77)/MAX('KT THAN'!$C$69,0.001)+'KT THAN'!$C$32*ABS(J77)/MAX('KT THAN'!$C$68,0.001)+'KT THAN'!$D$32*ABS(I77)/MAX('KT THAN'!$D$68,0.001),IF(OR(M77&lt;=0,N77&lt;=0),999,IF(H77&gt;=0.1*0.75*fc_*Agth*1000,H77/MAX(0.001,1/(1/M77+1/N77-1/(0.75*'KT THAN'!$C$62))),'KT THAN'!$C$32*ABS(J77)/MAX('KT THAN'!$C$68,0.001)+'KT THAN'!$D$32*ABS(I77)/MAX('KT THAN'!$D$68,0.001)))))</f>
        <v/>
      </c>
      <c r="P77" s="37" t="str">
        <f t="shared" si="16"/>
        <v/>
      </c>
      <c r="Q77" s="39" t="str">
        <f>IF($A77="","",MAX(0.001,'KT THAN'!$C$32*ABS(J77)/MAX(1,H77)))</f>
        <v/>
      </c>
      <c r="R77" s="39" t="str">
        <f>IF($A77="","",MAX(0.001,'KT THAN'!$D$32*ABS(I77)/MAX(1,H77)))</f>
        <v/>
      </c>
      <c r="S77" t="str">
        <f t="shared" si="17"/>
        <v/>
      </c>
    </row>
    <row r="78" spans="1:19" x14ac:dyDescent="0.3">
      <c r="A78" s="37" t="str">
        <f>IF(AND(nThan=1,1=2),"",'TO HOP'!B164)</f>
        <v>CĐ I(a) max - 1 nhịp 4 làn</v>
      </c>
      <c r="B78" s="39">
        <f>IF(A78="","",'TO HOP'!E164)</f>
        <v>30847.19779282036</v>
      </c>
      <c r="C78" s="39">
        <f>IF(A78="","",'TO HOP'!F164)</f>
        <v>14033.878305416669</v>
      </c>
      <c r="D78" s="39">
        <f>IF(A78="","",'TO HOP'!G164)</f>
        <v>36441.124324949247</v>
      </c>
      <c r="E78" s="39">
        <f>IF(A78="","",'TO HOP'!C164)</f>
        <v>2697.1364775610136</v>
      </c>
      <c r="F78" s="39">
        <f>IF(A78="","",'TO HOP'!D164)</f>
        <v>0</v>
      </c>
      <c r="G78" s="39">
        <f>IF(A78="","",1)</f>
        <v>1</v>
      </c>
      <c r="H78" s="39">
        <f>IF(A78="","",IF(nThan=1,B78,B78/2+(1)*$B$7*C78/sThan))</f>
        <v>30847.19779282036</v>
      </c>
      <c r="I78" s="39">
        <f t="shared" si="12"/>
        <v>14033.878305416669</v>
      </c>
      <c r="J78" s="39">
        <f t="shared" si="13"/>
        <v>36441.124324949247</v>
      </c>
      <c r="K78" s="39">
        <f t="shared" si="14"/>
        <v>2697.1364775610136</v>
      </c>
      <c r="L78" s="39">
        <f t="shared" si="15"/>
        <v>0</v>
      </c>
      <c r="M78" s="39">
        <f>IF($A78="","",IF(H78=0,"",IF(Q78&lt;=0.000000001,MIN(0.8*0.75*'KT THAN'!$C$62,MAX('KT THAN'!$J$38:$J$58)),IFERROR(MIN(0.8*0.75*'KT THAN'!$C$62,INDEX('KT THAN'!$J$38:$J$58,MATCH(Q78,'KT THAN'!$L$38:$L$58,-1))+(INDEX('KT THAN'!$J$38:$J$58,MIN(21,MATCH(Q78,'KT THAN'!$L$38:$L$58,-1)+1))-INDEX('KT THAN'!$J$38:$J$58,MATCH(Q78,'KT THAN'!$L$38:$L$58,-1)))*(Q78-INDEX('KT THAN'!$L$38:$L$58,MATCH(Q78,'KT THAN'!$L$38:$L$58,-1)))/(INDEX('KT THAN'!$L$38:$L$58,MIN(21,MATCH(Q78,'KT THAN'!$L$38:$L$58,-1)+1))-INDEX('KT THAN'!$L$38:$L$58,MATCH(Q78,'KT THAN'!$L$38:$L$58,-1)))),MIN(0.8*0.75*'KT THAN'!$C$62,'KT THAN'!$C$68/Q78)))))</f>
        <v>44351.258292931743</v>
      </c>
      <c r="N78" s="39">
        <f>IF($A78="","",IF(H78=0,"",IF(R78&lt;=0.000000001,MIN(0.8*0.75*'KT THAN'!$C$62,MAX('KT THAN'!$W$38:$W$58)),IFERROR(MIN(0.8*0.75*'KT THAN'!$C$62,INDEX('KT THAN'!$W$38:$W$58,MATCH(R78,'KT THAN'!$Y$38:$Y$58,-1))+(INDEX('KT THAN'!$W$38:$W$58,MIN(21,MATCH(R78,'KT THAN'!$Y$38:$Y$58,-1)+1))-INDEX('KT THAN'!$W$38:$W$58,MATCH(R78,'KT THAN'!$Y$38:$Y$58,-1)))*(R78-INDEX('KT THAN'!$Y$38:$Y$58,MATCH(R78,'KT THAN'!$Y$38:$Y$58,-1)))/(INDEX('KT THAN'!$Y$38:$Y$58,MIN(21,MATCH(R78,'KT THAN'!$Y$38:$Y$58,-1)+1))-INDEX('KT THAN'!$Y$38:$Y$58,MATCH(R78,'KT THAN'!$Y$38:$Y$58,-1)))),MIN(0.8*0.75*'KT THAN'!$C$62,'KT THAN'!$D$68/R78)))))</f>
        <v>158763.07851952704</v>
      </c>
      <c r="O78" s="39">
        <f>IF($A78="","",IF(H78&lt;0,ABS(H78)/MAX('KT THAN'!$C$69,0.001)+'KT THAN'!$C$32*ABS(J78)/MAX('KT THAN'!$C$68,0.001)+'KT THAN'!$D$32*ABS(I78)/MAX('KT THAN'!$D$68,0.001),IF(OR(M78&lt;=0,N78&lt;=0),999,IF(H78&gt;=0.1*0.75*fc_*Agth*1000,H78/MAX(0.001,1/(1/M78+1/N78-1/(0.75*'KT THAN'!$C$62))),'KT THAN'!$C$32*ABS(J78)/MAX('KT THAN'!$C$68,0.001)+'KT THAN'!$D$32*ABS(I78)/MAX('KT THAN'!$D$68,0.001)))))</f>
        <v>0.73437964954732571</v>
      </c>
      <c r="P78" s="37" t="str">
        <f t="shared" si="16"/>
        <v>ĐẠT</v>
      </c>
      <c r="Q78" s="39">
        <f>IF($A78="","",MAX(0.001,'KT THAN'!$C$32*ABS(J78)/MAX(1,H78)))</f>
        <v>1.3210224063949894</v>
      </c>
      <c r="R78" s="39">
        <f>IF($A78="","",MAX(0.001,'KT THAN'!$D$32*ABS(I78)/MAX(1,H78)))</f>
        <v>0.45494823872407086</v>
      </c>
      <c r="S78" t="str">
        <f t="shared" si="17"/>
        <v/>
      </c>
    </row>
    <row r="79" spans="1:19" x14ac:dyDescent="0.3">
      <c r="A79" s="37" t="str">
        <f>IF(AND(nThan=1,2=2),"",'TO HOP'!B164)</f>
        <v/>
      </c>
      <c r="B79" s="39" t="str">
        <f>IF(A79="","",'TO HOP'!E164)</f>
        <v/>
      </c>
      <c r="C79" s="39" t="str">
        <f>IF(A79="","",'TO HOP'!F164)</f>
        <v/>
      </c>
      <c r="D79" s="39" t="str">
        <f>IF(A79="","",'TO HOP'!G164)</f>
        <v/>
      </c>
      <c r="E79" s="39" t="str">
        <f>IF(A79="","",'TO HOP'!C164)</f>
        <v/>
      </c>
      <c r="F79" s="39" t="str">
        <f>IF(A79="","",'TO HOP'!D164)</f>
        <v/>
      </c>
      <c r="G79" s="39" t="str">
        <f>IF(A79="","",2)</f>
        <v/>
      </c>
      <c r="H79" s="39" t="str">
        <f>IF(A79="","",IF(nThan=1,B79,B79/2+(-1)*$B$7*C79/sThan))</f>
        <v/>
      </c>
      <c r="I79" s="39" t="str">
        <f t="shared" si="12"/>
        <v/>
      </c>
      <c r="J79" s="39" t="str">
        <f t="shared" si="13"/>
        <v/>
      </c>
      <c r="K79" s="39" t="str">
        <f t="shared" si="14"/>
        <v/>
      </c>
      <c r="L79" s="39" t="str">
        <f t="shared" si="15"/>
        <v/>
      </c>
      <c r="M79" s="39" t="str">
        <f>IF($A79="","",IF(H79=0,"",IF(Q79&lt;=0.000000001,MIN(0.8*0.75*'KT THAN'!$C$62,MAX('KT THAN'!$J$38:$J$58)),IFERROR(MIN(0.8*0.75*'KT THAN'!$C$62,INDEX('KT THAN'!$J$38:$J$58,MATCH(Q79,'KT THAN'!$L$38:$L$58,-1))+(INDEX('KT THAN'!$J$38:$J$58,MIN(21,MATCH(Q79,'KT THAN'!$L$38:$L$58,-1)+1))-INDEX('KT THAN'!$J$38:$J$58,MATCH(Q79,'KT THAN'!$L$38:$L$58,-1)))*(Q79-INDEX('KT THAN'!$L$38:$L$58,MATCH(Q79,'KT THAN'!$L$38:$L$58,-1)))/(INDEX('KT THAN'!$L$38:$L$58,MIN(21,MATCH(Q79,'KT THAN'!$L$38:$L$58,-1)+1))-INDEX('KT THAN'!$L$38:$L$58,MATCH(Q79,'KT THAN'!$L$38:$L$58,-1)))),MIN(0.8*0.75*'KT THAN'!$C$62,'KT THAN'!$C$68/Q79)))))</f>
        <v/>
      </c>
      <c r="N79" s="39" t="str">
        <f>IF($A79="","",IF(H79=0,"",IF(R79&lt;=0.000000001,MIN(0.8*0.75*'KT THAN'!$C$62,MAX('KT THAN'!$W$38:$W$58)),IFERROR(MIN(0.8*0.75*'KT THAN'!$C$62,INDEX('KT THAN'!$W$38:$W$58,MATCH(R79,'KT THAN'!$Y$38:$Y$58,-1))+(INDEX('KT THAN'!$W$38:$W$58,MIN(21,MATCH(R79,'KT THAN'!$Y$38:$Y$58,-1)+1))-INDEX('KT THAN'!$W$38:$W$58,MATCH(R79,'KT THAN'!$Y$38:$Y$58,-1)))*(R79-INDEX('KT THAN'!$Y$38:$Y$58,MATCH(R79,'KT THAN'!$Y$38:$Y$58,-1)))/(INDEX('KT THAN'!$Y$38:$Y$58,MIN(21,MATCH(R79,'KT THAN'!$Y$38:$Y$58,-1)+1))-INDEX('KT THAN'!$Y$38:$Y$58,MATCH(R79,'KT THAN'!$Y$38:$Y$58,-1)))),MIN(0.8*0.75*'KT THAN'!$C$62,'KT THAN'!$D$68/R79)))))</f>
        <v/>
      </c>
      <c r="O79" s="39" t="str">
        <f>IF($A79="","",IF(H79&lt;0,ABS(H79)/MAX('KT THAN'!$C$69,0.001)+'KT THAN'!$C$32*ABS(J79)/MAX('KT THAN'!$C$68,0.001)+'KT THAN'!$D$32*ABS(I79)/MAX('KT THAN'!$D$68,0.001),IF(OR(M79&lt;=0,N79&lt;=0),999,IF(H79&gt;=0.1*0.75*fc_*Agth*1000,H79/MAX(0.001,1/(1/M79+1/N79-1/(0.75*'KT THAN'!$C$62))),'KT THAN'!$C$32*ABS(J79)/MAX('KT THAN'!$C$68,0.001)+'KT THAN'!$D$32*ABS(I79)/MAX('KT THAN'!$D$68,0.001)))))</f>
        <v/>
      </c>
      <c r="P79" s="37" t="str">
        <f t="shared" si="16"/>
        <v/>
      </c>
      <c r="Q79" s="39" t="str">
        <f>IF($A79="","",MAX(0.001,'KT THAN'!$C$32*ABS(J79)/MAX(1,H79)))</f>
        <v/>
      </c>
      <c r="R79" s="39" t="str">
        <f>IF($A79="","",MAX(0.001,'KT THAN'!$D$32*ABS(I79)/MAX(1,H79)))</f>
        <v/>
      </c>
      <c r="S79" t="str">
        <f t="shared" si="17"/>
        <v/>
      </c>
    </row>
    <row r="80" spans="1:19" x14ac:dyDescent="0.3">
      <c r="A80" s="37" t="str">
        <f>IF(AND(nThan=1,1=2),"",'TO HOP'!B165)</f>
        <v>CĐ I(a) max - 1 nhịp 5 làn</v>
      </c>
      <c r="B80" s="39">
        <f>IF(A80="","",'TO HOP'!E165)</f>
        <v>31499.936318653694</v>
      </c>
      <c r="C80" s="39">
        <f>IF(A80="","",'TO HOP'!F165)</f>
        <v>12646.808938020835</v>
      </c>
      <c r="D80" s="39">
        <f>IF(A80="","",'TO HOP'!G165)</f>
        <v>37028.588998199251</v>
      </c>
      <c r="E80" s="39">
        <f>IF(A80="","",'TO HOP'!C165)</f>
        <v>2697.1364775610136</v>
      </c>
      <c r="F80" s="39">
        <f>IF(A80="","",'TO HOP'!D165)</f>
        <v>0</v>
      </c>
      <c r="G80" s="39">
        <f>IF(A80="","",1)</f>
        <v>1</v>
      </c>
      <c r="H80" s="39">
        <f>IF(A80="","",IF(nThan=1,B80,B80/2+(1)*$B$7*C80/sThan))</f>
        <v>31499.936318653694</v>
      </c>
      <c r="I80" s="39">
        <f t="shared" si="12"/>
        <v>12646.808938020835</v>
      </c>
      <c r="J80" s="39">
        <f t="shared" si="13"/>
        <v>37028.588998199251</v>
      </c>
      <c r="K80" s="39">
        <f t="shared" si="14"/>
        <v>2697.1364775610136</v>
      </c>
      <c r="L80" s="39">
        <f t="shared" si="15"/>
        <v>0</v>
      </c>
      <c r="M80" s="39">
        <f>IF($A80="","",IF(H80=0,"",IF(Q80&lt;=0.000000001,MIN(0.8*0.75*'KT THAN'!$C$62,MAX('KT THAN'!$J$38:$J$58)),IFERROR(MIN(0.8*0.75*'KT THAN'!$C$62,INDEX('KT THAN'!$J$38:$J$58,MATCH(Q80,'KT THAN'!$L$38:$L$58,-1))+(INDEX('KT THAN'!$J$38:$J$58,MIN(21,MATCH(Q80,'KT THAN'!$L$38:$L$58,-1)+1))-INDEX('KT THAN'!$J$38:$J$58,MATCH(Q80,'KT THAN'!$L$38:$L$58,-1)))*(Q80-INDEX('KT THAN'!$L$38:$L$58,MATCH(Q80,'KT THAN'!$L$38:$L$58,-1)))/(INDEX('KT THAN'!$L$38:$L$58,MIN(21,MATCH(Q80,'KT THAN'!$L$38:$L$58,-1)+1))-INDEX('KT THAN'!$L$38:$L$58,MATCH(Q80,'KT THAN'!$L$38:$L$58,-1)))),MIN(0.8*0.75*'KT THAN'!$C$62,'KT THAN'!$C$68/Q80)))))</f>
        <v>44609.73016053738</v>
      </c>
      <c r="N80" s="39">
        <f>IF($A80="","",IF(H80=0,"",IF(R80&lt;=0.000000001,MIN(0.8*0.75*'KT THAN'!$C$62,MAX('KT THAN'!$W$38:$W$58)),IFERROR(MIN(0.8*0.75*'KT THAN'!$C$62,INDEX('KT THAN'!$W$38:$W$58,MATCH(R80,'KT THAN'!$Y$38:$Y$58,-1))+(INDEX('KT THAN'!$W$38:$W$58,MIN(21,MATCH(R80,'KT THAN'!$Y$38:$Y$58,-1)+1))-INDEX('KT THAN'!$W$38:$W$58,MATCH(R80,'KT THAN'!$Y$38:$Y$58,-1)))*(R80-INDEX('KT THAN'!$Y$38:$Y$58,MATCH(R80,'KT THAN'!$Y$38:$Y$58,-1)))/(INDEX('KT THAN'!$Y$38:$Y$58,MIN(21,MATCH(R80,'KT THAN'!$Y$38:$Y$58,-1)+1))-INDEX('KT THAN'!$Y$38:$Y$58,MATCH(R80,'KT THAN'!$Y$38:$Y$58,-1)))),MIN(0.8*0.75*'KT THAN'!$C$62,'KT THAN'!$D$68/R80)))))</f>
        <v>158763.07851952704</v>
      </c>
      <c r="O80" s="39">
        <f>IF($A80="","",IF(H80&lt;0,ABS(H80)/MAX('KT THAN'!$C$69,0.001)+'KT THAN'!$C$32*ABS(J80)/MAX('KT THAN'!$C$68,0.001)+'KT THAN'!$D$32*ABS(I80)/MAX('KT THAN'!$D$68,0.001),IF(OR(M80&lt;=0,N80&lt;=0),999,IF(H80&gt;=0.1*0.75*fc_*Agth*1000,H80/MAX(0.001,1/(1/M80+1/N80-1/(0.75*'KT THAN'!$C$62))),'KT THAN'!$C$32*ABS(J80)/MAX('KT THAN'!$C$68,0.001)+'KT THAN'!$D$32*ABS(I80)/MAX('KT THAN'!$D$68,0.001)))))</f>
        <v>0.74580423781334981</v>
      </c>
      <c r="P80" s="37" t="str">
        <f t="shared" si="16"/>
        <v>ĐẠT</v>
      </c>
      <c r="Q80" s="39">
        <f>IF($A80="","",MAX(0.001,'KT THAN'!$C$32*ABS(J80)/MAX(1,H80)))</f>
        <v>1.3145031212625471</v>
      </c>
      <c r="R80" s="39">
        <f>IF($A80="","",MAX(0.001,'KT THAN'!$D$32*ABS(I80)/MAX(1,H80)))</f>
        <v>0.40148680969020317</v>
      </c>
      <c r="S80" t="str">
        <f t="shared" si="17"/>
        <v/>
      </c>
    </row>
    <row r="81" spans="1:19" x14ac:dyDescent="0.3">
      <c r="A81" s="37" t="str">
        <f>IF(AND(nThan=1,2=2),"",'TO HOP'!B165)</f>
        <v/>
      </c>
      <c r="B81" s="39" t="str">
        <f>IF(A81="","",'TO HOP'!E165)</f>
        <v/>
      </c>
      <c r="C81" s="39" t="str">
        <f>IF(A81="","",'TO HOP'!F165)</f>
        <v/>
      </c>
      <c r="D81" s="39" t="str">
        <f>IF(A81="","",'TO HOP'!G165)</f>
        <v/>
      </c>
      <c r="E81" s="39" t="str">
        <f>IF(A81="","",'TO HOP'!C165)</f>
        <v/>
      </c>
      <c r="F81" s="39" t="str">
        <f>IF(A81="","",'TO HOP'!D165)</f>
        <v/>
      </c>
      <c r="G81" s="39" t="str">
        <f>IF(A81="","",2)</f>
        <v/>
      </c>
      <c r="H81" s="39" t="str">
        <f>IF(A81="","",IF(nThan=1,B81,B81/2+(-1)*$B$7*C81/sThan))</f>
        <v/>
      </c>
      <c r="I81" s="39" t="str">
        <f t="shared" si="12"/>
        <v/>
      </c>
      <c r="J81" s="39" t="str">
        <f t="shared" si="13"/>
        <v/>
      </c>
      <c r="K81" s="39" t="str">
        <f t="shared" si="14"/>
        <v/>
      </c>
      <c r="L81" s="39" t="str">
        <f t="shared" si="15"/>
        <v/>
      </c>
      <c r="M81" s="39" t="str">
        <f>IF($A81="","",IF(H81=0,"",IF(Q81&lt;=0.000000001,MIN(0.8*0.75*'KT THAN'!$C$62,MAX('KT THAN'!$J$38:$J$58)),IFERROR(MIN(0.8*0.75*'KT THAN'!$C$62,INDEX('KT THAN'!$J$38:$J$58,MATCH(Q81,'KT THAN'!$L$38:$L$58,-1))+(INDEX('KT THAN'!$J$38:$J$58,MIN(21,MATCH(Q81,'KT THAN'!$L$38:$L$58,-1)+1))-INDEX('KT THAN'!$J$38:$J$58,MATCH(Q81,'KT THAN'!$L$38:$L$58,-1)))*(Q81-INDEX('KT THAN'!$L$38:$L$58,MATCH(Q81,'KT THAN'!$L$38:$L$58,-1)))/(INDEX('KT THAN'!$L$38:$L$58,MIN(21,MATCH(Q81,'KT THAN'!$L$38:$L$58,-1)+1))-INDEX('KT THAN'!$L$38:$L$58,MATCH(Q81,'KT THAN'!$L$38:$L$58,-1)))),MIN(0.8*0.75*'KT THAN'!$C$62,'KT THAN'!$C$68/Q81)))))</f>
        <v/>
      </c>
      <c r="N81" s="39" t="str">
        <f>IF($A81="","",IF(H81=0,"",IF(R81&lt;=0.000000001,MIN(0.8*0.75*'KT THAN'!$C$62,MAX('KT THAN'!$W$38:$W$58)),IFERROR(MIN(0.8*0.75*'KT THAN'!$C$62,INDEX('KT THAN'!$W$38:$W$58,MATCH(R81,'KT THAN'!$Y$38:$Y$58,-1))+(INDEX('KT THAN'!$W$38:$W$58,MIN(21,MATCH(R81,'KT THAN'!$Y$38:$Y$58,-1)+1))-INDEX('KT THAN'!$W$38:$W$58,MATCH(R81,'KT THAN'!$Y$38:$Y$58,-1)))*(R81-INDEX('KT THAN'!$Y$38:$Y$58,MATCH(R81,'KT THAN'!$Y$38:$Y$58,-1)))/(INDEX('KT THAN'!$Y$38:$Y$58,MIN(21,MATCH(R81,'KT THAN'!$Y$38:$Y$58,-1)+1))-INDEX('KT THAN'!$Y$38:$Y$58,MATCH(R81,'KT THAN'!$Y$38:$Y$58,-1)))),MIN(0.8*0.75*'KT THAN'!$C$62,'KT THAN'!$D$68/R81)))))</f>
        <v/>
      </c>
      <c r="O81" s="39" t="str">
        <f>IF($A81="","",IF(H81&lt;0,ABS(H81)/MAX('KT THAN'!$C$69,0.001)+'KT THAN'!$C$32*ABS(J81)/MAX('KT THAN'!$C$68,0.001)+'KT THAN'!$D$32*ABS(I81)/MAX('KT THAN'!$D$68,0.001),IF(OR(M81&lt;=0,N81&lt;=0),999,IF(H81&gt;=0.1*0.75*fc_*Agth*1000,H81/MAX(0.001,1/(1/M81+1/N81-1/(0.75*'KT THAN'!$C$62))),'KT THAN'!$C$32*ABS(J81)/MAX('KT THAN'!$C$68,0.001)+'KT THAN'!$D$32*ABS(I81)/MAX('KT THAN'!$D$68,0.001)))))</f>
        <v/>
      </c>
      <c r="P81" s="37" t="str">
        <f t="shared" si="16"/>
        <v/>
      </c>
      <c r="Q81" s="39" t="str">
        <f>IF($A81="","",MAX(0.001,'KT THAN'!$C$32*ABS(J81)/MAX(1,H81)))</f>
        <v/>
      </c>
      <c r="R81" s="39" t="str">
        <f>IF($A81="","",MAX(0.001,'KT THAN'!$D$32*ABS(I81)/MAX(1,H81)))</f>
        <v/>
      </c>
      <c r="S81" t="str">
        <f t="shared" si="17"/>
        <v/>
      </c>
    </row>
    <row r="82" spans="1:19" x14ac:dyDescent="0.3">
      <c r="A82" s="37" t="str">
        <f>IF(AND(nThan=1,1=2),"",'TO HOP'!B166)</f>
        <v>CĐ I(a) max - 1 nhịp 6 làn</v>
      </c>
      <c r="B82" s="39">
        <f>IF(A82="","",'TO HOP'!E166)</f>
        <v>32152.674844487025</v>
      </c>
      <c r="C82" s="39">
        <f>IF(A82="","",'TO HOP'!F166)</f>
        <v>9301.5239931249998</v>
      </c>
      <c r="D82" s="39">
        <f>IF(A82="","",'TO HOP'!G166)</f>
        <v>37616.053671449248</v>
      </c>
      <c r="E82" s="39">
        <f>IF(A82="","",'TO HOP'!C166)</f>
        <v>2697.1364775610136</v>
      </c>
      <c r="F82" s="39">
        <f>IF(A82="","",'TO HOP'!D166)</f>
        <v>0</v>
      </c>
      <c r="G82" s="39">
        <f>IF(A82="","",1)</f>
        <v>1</v>
      </c>
      <c r="H82" s="39">
        <f>IF(A82="","",IF(nThan=1,B82,B82/2+(1)*$B$7*C82/sThan))</f>
        <v>32152.674844487025</v>
      </c>
      <c r="I82" s="39">
        <f t="shared" si="12"/>
        <v>9301.5239931249998</v>
      </c>
      <c r="J82" s="39">
        <f t="shared" si="13"/>
        <v>37616.053671449248</v>
      </c>
      <c r="K82" s="39">
        <f t="shared" si="14"/>
        <v>2697.1364775610136</v>
      </c>
      <c r="L82" s="39">
        <f t="shared" si="15"/>
        <v>0</v>
      </c>
      <c r="M82" s="39">
        <f>IF($A82="","",IF(H82=0,"",IF(Q82&lt;=0.000000001,MIN(0.8*0.75*'KT THAN'!$C$62,MAX('KT THAN'!$J$38:$J$58)),IFERROR(MIN(0.8*0.75*'KT THAN'!$C$62,INDEX('KT THAN'!$J$38:$J$58,MATCH(Q82,'KT THAN'!$L$38:$L$58,-1))+(INDEX('KT THAN'!$J$38:$J$58,MIN(21,MATCH(Q82,'KT THAN'!$L$38:$L$58,-1)+1))-INDEX('KT THAN'!$J$38:$J$58,MATCH(Q82,'KT THAN'!$L$38:$L$58,-1)))*(Q82-INDEX('KT THAN'!$L$38:$L$58,MATCH(Q82,'KT THAN'!$L$38:$L$58,-1)))/(INDEX('KT THAN'!$L$38:$L$58,MIN(21,MATCH(Q82,'KT THAN'!$L$38:$L$58,-1)+1))-INDEX('KT THAN'!$L$38:$L$58,MATCH(Q82,'KT THAN'!$L$38:$L$58,-1)))),MIN(0.8*0.75*'KT THAN'!$C$62,'KT THAN'!$C$68/Q82)))))</f>
        <v>44857.707439643207</v>
      </c>
      <c r="N82" s="39">
        <f>IF($A82="","",IF(H82=0,"",IF(R82&lt;=0.000000001,MIN(0.8*0.75*'KT THAN'!$C$62,MAX('KT THAN'!$W$38:$W$58)),IFERROR(MIN(0.8*0.75*'KT THAN'!$C$62,INDEX('KT THAN'!$W$38:$W$58,MATCH(R82,'KT THAN'!$Y$38:$Y$58,-1))+(INDEX('KT THAN'!$W$38:$W$58,MIN(21,MATCH(R82,'KT THAN'!$Y$38:$Y$58,-1)+1))-INDEX('KT THAN'!$W$38:$W$58,MATCH(R82,'KT THAN'!$Y$38:$Y$58,-1)))*(R82-INDEX('KT THAN'!$Y$38:$Y$58,MATCH(R82,'KT THAN'!$Y$38:$Y$58,-1)))/(INDEX('KT THAN'!$Y$38:$Y$58,MIN(21,MATCH(R82,'KT THAN'!$Y$38:$Y$58,-1)+1))-INDEX('KT THAN'!$Y$38:$Y$58,MATCH(R82,'KT THAN'!$Y$38:$Y$58,-1)))),MIN(0.8*0.75*'KT THAN'!$C$62,'KT THAN'!$D$68/R82)))))</f>
        <v>158763.07851952704</v>
      </c>
      <c r="O82" s="39">
        <f>IF($A82="","",IF(H82&lt;0,ABS(H82)/MAX('KT THAN'!$C$69,0.001)+'KT THAN'!$C$32*ABS(J82)/MAX('KT THAN'!$C$68,0.001)+'KT THAN'!$D$32*ABS(I82)/MAX('KT THAN'!$D$68,0.001),IF(OR(M82&lt;=0,N82&lt;=0),999,IF(H82&gt;=0.1*0.75*fc_*Agth*1000,H82/MAX(0.001,1/(1/M82+1/N82-1/(0.75*'KT THAN'!$C$62))),'KT THAN'!$C$32*ABS(J82)/MAX('KT THAN'!$C$68,0.001)+'KT THAN'!$D$32*ABS(I82)/MAX('KT THAN'!$D$68,0.001)))))</f>
        <v>0.75727432407102102</v>
      </c>
      <c r="P82" s="37" t="str">
        <f t="shared" si="16"/>
        <v>ĐẠT</v>
      </c>
      <c r="Q82" s="39">
        <f>IF($A82="","",MAX(0.001,'KT THAN'!$C$32*ABS(J82)/MAX(1,H82)))</f>
        <v>1.3082485350136301</v>
      </c>
      <c r="R82" s="39">
        <f>IF($A82="","",MAX(0.001,'KT THAN'!$D$32*ABS(I82)/MAX(1,H82)))</f>
        <v>0.28929238510057775</v>
      </c>
      <c r="S82" t="str">
        <f t="shared" si="17"/>
        <v/>
      </c>
    </row>
    <row r="83" spans="1:19" x14ac:dyDescent="0.3">
      <c r="A83" s="37" t="str">
        <f>IF(AND(nThan=1,2=2),"",'TO HOP'!B166)</f>
        <v/>
      </c>
      <c r="B83" s="39" t="str">
        <f>IF(A83="","",'TO HOP'!E166)</f>
        <v/>
      </c>
      <c r="C83" s="39" t="str">
        <f>IF(A83="","",'TO HOP'!F166)</f>
        <v/>
      </c>
      <c r="D83" s="39" t="str">
        <f>IF(A83="","",'TO HOP'!G166)</f>
        <v/>
      </c>
      <c r="E83" s="39" t="str">
        <f>IF(A83="","",'TO HOP'!C166)</f>
        <v/>
      </c>
      <c r="F83" s="39" t="str">
        <f>IF(A83="","",'TO HOP'!D166)</f>
        <v/>
      </c>
      <c r="G83" s="39" t="str">
        <f>IF(A83="","",2)</f>
        <v/>
      </c>
      <c r="H83" s="39" t="str">
        <f>IF(A83="","",IF(nThan=1,B83,B83/2+(-1)*$B$7*C83/sThan))</f>
        <v/>
      </c>
      <c r="I83" s="39" t="str">
        <f t="shared" si="12"/>
        <v/>
      </c>
      <c r="J83" s="39" t="str">
        <f t="shared" si="13"/>
        <v/>
      </c>
      <c r="K83" s="39" t="str">
        <f t="shared" si="14"/>
        <v/>
      </c>
      <c r="L83" s="39" t="str">
        <f t="shared" si="15"/>
        <v/>
      </c>
      <c r="M83" s="39" t="str">
        <f>IF($A83="","",IF(H83=0,"",IF(Q83&lt;=0.000000001,MIN(0.8*0.75*'KT THAN'!$C$62,MAX('KT THAN'!$J$38:$J$58)),IFERROR(MIN(0.8*0.75*'KT THAN'!$C$62,INDEX('KT THAN'!$J$38:$J$58,MATCH(Q83,'KT THAN'!$L$38:$L$58,-1))+(INDEX('KT THAN'!$J$38:$J$58,MIN(21,MATCH(Q83,'KT THAN'!$L$38:$L$58,-1)+1))-INDEX('KT THAN'!$J$38:$J$58,MATCH(Q83,'KT THAN'!$L$38:$L$58,-1)))*(Q83-INDEX('KT THAN'!$L$38:$L$58,MATCH(Q83,'KT THAN'!$L$38:$L$58,-1)))/(INDEX('KT THAN'!$L$38:$L$58,MIN(21,MATCH(Q83,'KT THAN'!$L$38:$L$58,-1)+1))-INDEX('KT THAN'!$L$38:$L$58,MATCH(Q83,'KT THAN'!$L$38:$L$58,-1)))),MIN(0.8*0.75*'KT THAN'!$C$62,'KT THAN'!$C$68/Q83)))))</f>
        <v/>
      </c>
      <c r="N83" s="39" t="str">
        <f>IF($A83="","",IF(H83=0,"",IF(R83&lt;=0.000000001,MIN(0.8*0.75*'KT THAN'!$C$62,MAX('KT THAN'!$W$38:$W$58)),IFERROR(MIN(0.8*0.75*'KT THAN'!$C$62,INDEX('KT THAN'!$W$38:$W$58,MATCH(R83,'KT THAN'!$Y$38:$Y$58,-1))+(INDEX('KT THAN'!$W$38:$W$58,MIN(21,MATCH(R83,'KT THAN'!$Y$38:$Y$58,-1)+1))-INDEX('KT THAN'!$W$38:$W$58,MATCH(R83,'KT THAN'!$Y$38:$Y$58,-1)))*(R83-INDEX('KT THAN'!$Y$38:$Y$58,MATCH(R83,'KT THAN'!$Y$38:$Y$58,-1)))/(INDEX('KT THAN'!$Y$38:$Y$58,MIN(21,MATCH(R83,'KT THAN'!$Y$38:$Y$58,-1)+1))-INDEX('KT THAN'!$Y$38:$Y$58,MATCH(R83,'KT THAN'!$Y$38:$Y$58,-1)))),MIN(0.8*0.75*'KT THAN'!$C$62,'KT THAN'!$D$68/R83)))))</f>
        <v/>
      </c>
      <c r="O83" s="39" t="str">
        <f>IF($A83="","",IF(H83&lt;0,ABS(H83)/MAX('KT THAN'!$C$69,0.001)+'KT THAN'!$C$32*ABS(J83)/MAX('KT THAN'!$C$68,0.001)+'KT THAN'!$D$32*ABS(I83)/MAX('KT THAN'!$D$68,0.001),IF(OR(M83&lt;=0,N83&lt;=0),999,IF(H83&gt;=0.1*0.75*fc_*Agth*1000,H83/MAX(0.001,1/(1/M83+1/N83-1/(0.75*'KT THAN'!$C$62))),'KT THAN'!$C$32*ABS(J83)/MAX('KT THAN'!$C$68,0.001)+'KT THAN'!$D$32*ABS(I83)/MAX('KT THAN'!$D$68,0.001)))))</f>
        <v/>
      </c>
      <c r="P83" s="37" t="str">
        <f t="shared" si="16"/>
        <v/>
      </c>
      <c r="Q83" s="39" t="str">
        <f>IF($A83="","",MAX(0.001,'KT THAN'!$C$32*ABS(J83)/MAX(1,H83)))</f>
        <v/>
      </c>
      <c r="R83" s="39" t="str">
        <f>IF($A83="","",MAX(0.001,'KT THAN'!$D$32*ABS(I83)/MAX(1,H83)))</f>
        <v/>
      </c>
      <c r="S83" t="str">
        <f t="shared" si="17"/>
        <v/>
      </c>
    </row>
    <row r="84" spans="1:19" x14ac:dyDescent="0.3">
      <c r="A84" s="37" t="str">
        <f>IF(AND(nThan=1,1=2),"",'TO HOP'!B167)</f>
        <v>CĐ I(b) min - 2 nhịp 1 làn</v>
      </c>
      <c r="B84" s="39">
        <f>IF(A84="","",'TO HOP'!E167)</f>
        <v>21750.765395930655</v>
      </c>
      <c r="C84" s="39">
        <f>IF(A84="","",'TO HOP'!F167)</f>
        <v>19841.1862635</v>
      </c>
      <c r="D84" s="39">
        <f>IF(A84="","",'TO HOP'!G167)</f>
        <v>34091.265631949253</v>
      </c>
      <c r="E84" s="39">
        <f>IF(A84="","",'TO HOP'!C167)</f>
        <v>2697.1364775610136</v>
      </c>
      <c r="F84" s="39">
        <f>IF(A84="","",'TO HOP'!D167)</f>
        <v>0</v>
      </c>
      <c r="G84" s="39">
        <f>IF(A84="","",1)</f>
        <v>1</v>
      </c>
      <c r="H84" s="39">
        <f>IF(A84="","",IF(nThan=1,B84,B84/2+(1)*$B$7*C84/sThan))</f>
        <v>21750.765395930655</v>
      </c>
      <c r="I84" s="39">
        <f t="shared" si="12"/>
        <v>19841.1862635</v>
      </c>
      <c r="J84" s="39">
        <f t="shared" si="13"/>
        <v>34091.265631949253</v>
      </c>
      <c r="K84" s="39">
        <f t="shared" si="14"/>
        <v>2697.1364775610136</v>
      </c>
      <c r="L84" s="39">
        <f t="shared" si="15"/>
        <v>0</v>
      </c>
      <c r="M84" s="39">
        <f>IF($A84="","",IF(H84=0,"",IF(Q84&lt;=0.000000001,MIN(0.8*0.75*'KT THAN'!$C$62,MAX('KT THAN'!$J$38:$J$58)),IFERROR(MIN(0.8*0.75*'KT THAN'!$C$62,INDEX('KT THAN'!$J$38:$J$58,MATCH(Q84,'KT THAN'!$L$38:$L$58,-1))+(INDEX('KT THAN'!$J$38:$J$58,MIN(21,MATCH(Q84,'KT THAN'!$L$38:$L$58,-1)+1))-INDEX('KT THAN'!$J$38:$J$58,MATCH(Q84,'KT THAN'!$L$38:$L$58,-1)))*(Q84-INDEX('KT THAN'!$L$38:$L$58,MATCH(Q84,'KT THAN'!$L$38:$L$58,-1)))/(INDEX('KT THAN'!$L$38:$L$58,MIN(21,MATCH(Q84,'KT THAN'!$L$38:$L$58,-1)+1))-INDEX('KT THAN'!$L$38:$L$58,MATCH(Q84,'KT THAN'!$L$38:$L$58,-1)))),MIN(0.8*0.75*'KT THAN'!$C$62,'KT THAN'!$C$68/Q84)))))</f>
        <v>31824.588051089628</v>
      </c>
      <c r="N84" s="39">
        <f>IF($A84="","",IF(H84=0,"",IF(R84&lt;=0.000000001,MIN(0.8*0.75*'KT THAN'!$C$62,MAX('KT THAN'!$W$38:$W$58)),IFERROR(MIN(0.8*0.75*'KT THAN'!$C$62,INDEX('KT THAN'!$W$38:$W$58,MATCH(R84,'KT THAN'!$Y$38:$Y$58,-1))+(INDEX('KT THAN'!$W$38:$W$58,MIN(21,MATCH(R84,'KT THAN'!$Y$38:$Y$58,-1)+1))-INDEX('KT THAN'!$W$38:$W$58,MATCH(R84,'KT THAN'!$Y$38:$Y$58,-1)))*(R84-INDEX('KT THAN'!$Y$38:$Y$58,MATCH(R84,'KT THAN'!$Y$38:$Y$58,-1)))/(INDEX('KT THAN'!$Y$38:$Y$58,MIN(21,MATCH(R84,'KT THAN'!$Y$38:$Y$58,-1)+1))-INDEX('KT THAN'!$Y$38:$Y$58,MATCH(R84,'KT THAN'!$Y$38:$Y$58,-1)))),MIN(0.8*0.75*'KT THAN'!$C$62,'KT THAN'!$D$68/R84)))))</f>
        <v>129919.21530219648</v>
      </c>
      <c r="O84" s="39">
        <f>IF($A84="","",IF(H84&lt;0,ABS(H84)/MAX('KT THAN'!$C$69,0.001)+'KT THAN'!$C$32*ABS(J84)/MAX('KT THAN'!$C$68,0.001)+'KT THAN'!$D$32*ABS(I84)/MAX('KT THAN'!$D$68,0.001),IF(OR(M84&lt;=0,N84&lt;=0),999,IF(H84&gt;=0.1*0.75*fc_*Agth*1000,H84/MAX(0.001,1/(1/M84+1/N84-1/(0.75*'KT THAN'!$C$62))),'KT THAN'!$C$32*ABS(J84)/MAX('KT THAN'!$C$68,0.001)+'KT THAN'!$D$32*ABS(I84)/MAX('KT THAN'!$D$68,0.001)))))</f>
        <v>0.74127436716285222</v>
      </c>
      <c r="P84" s="37" t="str">
        <f t="shared" si="16"/>
        <v>ĐẠT</v>
      </c>
      <c r="Q84" s="39">
        <f>IF($A84="","",MAX(0.001,'KT THAN'!$C$32*ABS(J84)/MAX(1,H84)))</f>
        <v>1.7526803382943952</v>
      </c>
      <c r="R84" s="39">
        <f>IF($A84="","",MAX(0.001,'KT THAN'!$D$32*ABS(I84)/MAX(1,H84)))</f>
        <v>0.91220634779188425</v>
      </c>
      <c r="S84" t="str">
        <f t="shared" si="17"/>
        <v/>
      </c>
    </row>
    <row r="85" spans="1:19" x14ac:dyDescent="0.3">
      <c r="A85" s="37" t="str">
        <f>IF(AND(nThan=1,2=2),"",'TO HOP'!B167)</f>
        <v/>
      </c>
      <c r="B85" s="39" t="str">
        <f>IF(A85="","",'TO HOP'!E167)</f>
        <v/>
      </c>
      <c r="C85" s="39" t="str">
        <f>IF(A85="","",'TO HOP'!F167)</f>
        <v/>
      </c>
      <c r="D85" s="39" t="str">
        <f>IF(A85="","",'TO HOP'!G167)</f>
        <v/>
      </c>
      <c r="E85" s="39" t="str">
        <f>IF(A85="","",'TO HOP'!C167)</f>
        <v/>
      </c>
      <c r="F85" s="39" t="str">
        <f>IF(A85="","",'TO HOP'!D167)</f>
        <v/>
      </c>
      <c r="G85" s="39" t="str">
        <f>IF(A85="","",2)</f>
        <v/>
      </c>
      <c r="H85" s="39" t="str">
        <f>IF(A85="","",IF(nThan=1,B85,B85/2+(-1)*$B$7*C85/sThan))</f>
        <v/>
      </c>
      <c r="I85" s="39" t="str">
        <f t="shared" si="12"/>
        <v/>
      </c>
      <c r="J85" s="39" t="str">
        <f t="shared" si="13"/>
        <v/>
      </c>
      <c r="K85" s="39" t="str">
        <f t="shared" si="14"/>
        <v/>
      </c>
      <c r="L85" s="39" t="str">
        <f t="shared" si="15"/>
        <v/>
      </c>
      <c r="M85" s="39" t="str">
        <f>IF($A85="","",IF(H85=0,"",IF(Q85&lt;=0.000000001,MIN(0.8*0.75*'KT THAN'!$C$62,MAX('KT THAN'!$J$38:$J$58)),IFERROR(MIN(0.8*0.75*'KT THAN'!$C$62,INDEX('KT THAN'!$J$38:$J$58,MATCH(Q85,'KT THAN'!$L$38:$L$58,-1))+(INDEX('KT THAN'!$J$38:$J$58,MIN(21,MATCH(Q85,'KT THAN'!$L$38:$L$58,-1)+1))-INDEX('KT THAN'!$J$38:$J$58,MATCH(Q85,'KT THAN'!$L$38:$L$58,-1)))*(Q85-INDEX('KT THAN'!$L$38:$L$58,MATCH(Q85,'KT THAN'!$L$38:$L$58,-1)))/(INDEX('KT THAN'!$L$38:$L$58,MIN(21,MATCH(Q85,'KT THAN'!$L$38:$L$58,-1)+1))-INDEX('KT THAN'!$L$38:$L$58,MATCH(Q85,'KT THAN'!$L$38:$L$58,-1)))),MIN(0.8*0.75*'KT THAN'!$C$62,'KT THAN'!$C$68/Q85)))))</f>
        <v/>
      </c>
      <c r="N85" s="39" t="str">
        <f>IF($A85="","",IF(H85=0,"",IF(R85&lt;=0.000000001,MIN(0.8*0.75*'KT THAN'!$C$62,MAX('KT THAN'!$W$38:$W$58)),IFERROR(MIN(0.8*0.75*'KT THAN'!$C$62,INDEX('KT THAN'!$W$38:$W$58,MATCH(R85,'KT THAN'!$Y$38:$Y$58,-1))+(INDEX('KT THAN'!$W$38:$W$58,MIN(21,MATCH(R85,'KT THAN'!$Y$38:$Y$58,-1)+1))-INDEX('KT THAN'!$W$38:$W$58,MATCH(R85,'KT THAN'!$Y$38:$Y$58,-1)))*(R85-INDEX('KT THAN'!$Y$38:$Y$58,MATCH(R85,'KT THAN'!$Y$38:$Y$58,-1)))/(INDEX('KT THAN'!$Y$38:$Y$58,MIN(21,MATCH(R85,'KT THAN'!$Y$38:$Y$58,-1)+1))-INDEX('KT THAN'!$Y$38:$Y$58,MATCH(R85,'KT THAN'!$Y$38:$Y$58,-1)))),MIN(0.8*0.75*'KT THAN'!$C$62,'KT THAN'!$D$68/R85)))))</f>
        <v/>
      </c>
      <c r="O85" s="39" t="str">
        <f>IF($A85="","",IF(H85&lt;0,ABS(H85)/MAX('KT THAN'!$C$69,0.001)+'KT THAN'!$C$32*ABS(J85)/MAX('KT THAN'!$C$68,0.001)+'KT THAN'!$D$32*ABS(I85)/MAX('KT THAN'!$D$68,0.001),IF(OR(M85&lt;=0,N85&lt;=0),999,IF(H85&gt;=0.1*0.75*fc_*Agth*1000,H85/MAX(0.001,1/(1/M85+1/N85-1/(0.75*'KT THAN'!$C$62))),'KT THAN'!$C$32*ABS(J85)/MAX('KT THAN'!$C$68,0.001)+'KT THAN'!$D$32*ABS(I85)/MAX('KT THAN'!$D$68,0.001)))))</f>
        <v/>
      </c>
      <c r="P85" s="37" t="str">
        <f t="shared" si="16"/>
        <v/>
      </c>
      <c r="Q85" s="39" t="str">
        <f>IF($A85="","",MAX(0.001,'KT THAN'!$C$32*ABS(J85)/MAX(1,H85)))</f>
        <v/>
      </c>
      <c r="R85" s="39" t="str">
        <f>IF($A85="","",MAX(0.001,'KT THAN'!$D$32*ABS(I85)/MAX(1,H85)))</f>
        <v/>
      </c>
      <c r="S85" t="str">
        <f t="shared" si="17"/>
        <v/>
      </c>
    </row>
    <row r="86" spans="1:19" x14ac:dyDescent="0.3">
      <c r="A86" s="37" t="str">
        <f>IF(AND(nThan=1,1=2),"",'TO HOP'!B168)</f>
        <v>CĐ I(b) min - 2 nhịp 2 làn</v>
      </c>
      <c r="B86" s="39">
        <f>IF(A86="","",'TO HOP'!E168)</f>
        <v>23090.254763930658</v>
      </c>
      <c r="C86" s="39">
        <f>IF(A86="","",'TO HOP'!F168)</f>
        <v>28045.5586425</v>
      </c>
      <c r="D86" s="39">
        <f>IF(A86="","",'TO HOP'!G168)</f>
        <v>34091.265631949253</v>
      </c>
      <c r="E86" s="39">
        <f>IF(A86="","",'TO HOP'!C168)</f>
        <v>2697.1364775610136</v>
      </c>
      <c r="F86" s="39">
        <f>IF(A86="","",'TO HOP'!D168)</f>
        <v>0</v>
      </c>
      <c r="G86" s="39">
        <f>IF(A86="","",1)</f>
        <v>1</v>
      </c>
      <c r="H86" s="39">
        <f>IF(A86="","",IF(nThan=1,B86,B86/2+(1)*$B$7*C86/sThan))</f>
        <v>23090.254763930658</v>
      </c>
      <c r="I86" s="39">
        <f t="shared" si="12"/>
        <v>28045.5586425</v>
      </c>
      <c r="J86" s="39">
        <f t="shared" si="13"/>
        <v>34091.265631949253</v>
      </c>
      <c r="K86" s="39">
        <f t="shared" si="14"/>
        <v>2697.1364775610136</v>
      </c>
      <c r="L86" s="39">
        <f t="shared" si="15"/>
        <v>0</v>
      </c>
      <c r="M86" s="39">
        <f>IF($A86="","",IF(H86=0,"",IF(Q86&lt;=0.000000001,MIN(0.8*0.75*'KT THAN'!$C$62,MAX('KT THAN'!$J$38:$J$58)),IFERROR(MIN(0.8*0.75*'KT THAN'!$C$62,INDEX('KT THAN'!$J$38:$J$58,MATCH(Q86,'KT THAN'!$L$38:$L$58,-1))+(INDEX('KT THAN'!$J$38:$J$58,MIN(21,MATCH(Q86,'KT THAN'!$L$38:$L$58,-1)+1))-INDEX('KT THAN'!$J$38:$J$58,MATCH(Q86,'KT THAN'!$L$38:$L$58,-1)))*(Q86-INDEX('KT THAN'!$L$38:$L$58,MATCH(Q86,'KT THAN'!$L$38:$L$58,-1)))/(INDEX('KT THAN'!$L$38:$L$58,MIN(21,MATCH(Q86,'KT THAN'!$L$38:$L$58,-1)+1))-INDEX('KT THAN'!$L$38:$L$58,MATCH(Q86,'KT THAN'!$L$38:$L$58,-1)))),MIN(0.8*0.75*'KT THAN'!$C$62,'KT THAN'!$C$68/Q86)))))</f>
        <v>34012.639462059989</v>
      </c>
      <c r="N86" s="39">
        <f>IF($A86="","",IF(H86=0,"",IF(R86&lt;=0.000000001,MIN(0.8*0.75*'KT THAN'!$C$62,MAX('KT THAN'!$W$38:$W$58)),IFERROR(MIN(0.8*0.75*'KT THAN'!$C$62,INDEX('KT THAN'!$W$38:$W$58,MATCH(R86,'KT THAN'!$Y$38:$Y$58,-1))+(INDEX('KT THAN'!$W$38:$W$58,MIN(21,MATCH(R86,'KT THAN'!$Y$38:$Y$58,-1)+1))-INDEX('KT THAN'!$W$38:$W$58,MATCH(R86,'KT THAN'!$Y$38:$Y$58,-1)))*(R86-INDEX('KT THAN'!$Y$38:$Y$58,MATCH(R86,'KT THAN'!$Y$38:$Y$58,-1)))/(INDEX('KT THAN'!$Y$38:$Y$58,MIN(21,MATCH(R86,'KT THAN'!$Y$38:$Y$58,-1)+1))-INDEX('KT THAN'!$Y$38:$Y$58,MATCH(R86,'KT THAN'!$Y$38:$Y$58,-1)))),MIN(0.8*0.75*'KT THAN'!$C$62,'KT THAN'!$D$68/R86)))))</f>
        <v>111498.14258928807</v>
      </c>
      <c r="O86" s="39">
        <f>IF($A86="","",IF(H86&lt;0,ABS(H86)/MAX('KT THAN'!$C$69,0.001)+'KT THAN'!$C$32*ABS(J86)/MAX('KT THAN'!$C$68,0.001)+'KT THAN'!$D$32*ABS(I86)/MAX('KT THAN'!$D$68,0.001),IF(OR(M86&lt;=0,N86&lt;=0),999,IF(H86&gt;=0.1*0.75*fc_*Agth*1000,H86/MAX(0.001,1/(1/M86+1/N86-1/(0.75*'KT THAN'!$C$62))),'KT THAN'!$C$32*ABS(J86)/MAX('KT THAN'!$C$68,0.001)+'KT THAN'!$D$32*ABS(I86)/MAX('KT THAN'!$D$68,0.001)))))</f>
        <v>0.76961295291122622</v>
      </c>
      <c r="P86" s="37" t="str">
        <f t="shared" si="16"/>
        <v>ĐẠT</v>
      </c>
      <c r="Q86" s="39">
        <f>IF($A86="","",MAX(0.001,'KT THAN'!$C$32*ABS(J86)/MAX(1,H86)))</f>
        <v>1.6510055537305051</v>
      </c>
      <c r="R86" s="39">
        <f>IF($A86="","",MAX(0.001,'KT THAN'!$D$32*ABS(I86)/MAX(1,H86)))</f>
        <v>1.2146058555538346</v>
      </c>
      <c r="S86" t="str">
        <f t="shared" si="17"/>
        <v/>
      </c>
    </row>
    <row r="87" spans="1:19" x14ac:dyDescent="0.3">
      <c r="A87" s="37" t="str">
        <f>IF(AND(nThan=1,2=2),"",'TO HOP'!B168)</f>
        <v/>
      </c>
      <c r="B87" s="39" t="str">
        <f>IF(A87="","",'TO HOP'!E168)</f>
        <v/>
      </c>
      <c r="C87" s="39" t="str">
        <f>IF(A87="","",'TO HOP'!F168)</f>
        <v/>
      </c>
      <c r="D87" s="39" t="str">
        <f>IF(A87="","",'TO HOP'!G168)</f>
        <v/>
      </c>
      <c r="E87" s="39" t="str">
        <f>IF(A87="","",'TO HOP'!C168)</f>
        <v/>
      </c>
      <c r="F87" s="39" t="str">
        <f>IF(A87="","",'TO HOP'!D168)</f>
        <v/>
      </c>
      <c r="G87" s="39" t="str">
        <f>IF(A87="","",2)</f>
        <v/>
      </c>
      <c r="H87" s="39" t="str">
        <f>IF(A87="","",IF(nThan=1,B87,B87/2+(-1)*$B$7*C87/sThan))</f>
        <v/>
      </c>
      <c r="I87" s="39" t="str">
        <f t="shared" si="12"/>
        <v/>
      </c>
      <c r="J87" s="39" t="str">
        <f t="shared" si="13"/>
        <v/>
      </c>
      <c r="K87" s="39" t="str">
        <f t="shared" si="14"/>
        <v/>
      </c>
      <c r="L87" s="39" t="str">
        <f t="shared" si="15"/>
        <v/>
      </c>
      <c r="M87" s="39" t="str">
        <f>IF($A87="","",IF(H87=0,"",IF(Q87&lt;=0.000000001,MIN(0.8*0.75*'KT THAN'!$C$62,MAX('KT THAN'!$J$38:$J$58)),IFERROR(MIN(0.8*0.75*'KT THAN'!$C$62,INDEX('KT THAN'!$J$38:$J$58,MATCH(Q87,'KT THAN'!$L$38:$L$58,-1))+(INDEX('KT THAN'!$J$38:$J$58,MIN(21,MATCH(Q87,'KT THAN'!$L$38:$L$58,-1)+1))-INDEX('KT THAN'!$J$38:$J$58,MATCH(Q87,'KT THAN'!$L$38:$L$58,-1)))*(Q87-INDEX('KT THAN'!$L$38:$L$58,MATCH(Q87,'KT THAN'!$L$38:$L$58,-1)))/(INDEX('KT THAN'!$L$38:$L$58,MIN(21,MATCH(Q87,'KT THAN'!$L$38:$L$58,-1)+1))-INDEX('KT THAN'!$L$38:$L$58,MATCH(Q87,'KT THAN'!$L$38:$L$58,-1)))),MIN(0.8*0.75*'KT THAN'!$C$62,'KT THAN'!$C$68/Q87)))))</f>
        <v/>
      </c>
      <c r="N87" s="39" t="str">
        <f>IF($A87="","",IF(H87=0,"",IF(R87&lt;=0.000000001,MIN(0.8*0.75*'KT THAN'!$C$62,MAX('KT THAN'!$W$38:$W$58)),IFERROR(MIN(0.8*0.75*'KT THAN'!$C$62,INDEX('KT THAN'!$W$38:$W$58,MATCH(R87,'KT THAN'!$Y$38:$Y$58,-1))+(INDEX('KT THAN'!$W$38:$W$58,MIN(21,MATCH(R87,'KT THAN'!$Y$38:$Y$58,-1)+1))-INDEX('KT THAN'!$W$38:$W$58,MATCH(R87,'KT THAN'!$Y$38:$Y$58,-1)))*(R87-INDEX('KT THAN'!$Y$38:$Y$58,MATCH(R87,'KT THAN'!$Y$38:$Y$58,-1)))/(INDEX('KT THAN'!$Y$38:$Y$58,MIN(21,MATCH(R87,'KT THAN'!$Y$38:$Y$58,-1)+1))-INDEX('KT THAN'!$Y$38:$Y$58,MATCH(R87,'KT THAN'!$Y$38:$Y$58,-1)))),MIN(0.8*0.75*'KT THAN'!$C$62,'KT THAN'!$D$68/R87)))))</f>
        <v/>
      </c>
      <c r="O87" s="39" t="str">
        <f>IF($A87="","",IF(H87&lt;0,ABS(H87)/MAX('KT THAN'!$C$69,0.001)+'KT THAN'!$C$32*ABS(J87)/MAX('KT THAN'!$C$68,0.001)+'KT THAN'!$D$32*ABS(I87)/MAX('KT THAN'!$D$68,0.001),IF(OR(M87&lt;=0,N87&lt;=0),999,IF(H87&gt;=0.1*0.75*fc_*Agth*1000,H87/MAX(0.001,1/(1/M87+1/N87-1/(0.75*'KT THAN'!$C$62))),'KT THAN'!$C$32*ABS(J87)/MAX('KT THAN'!$C$68,0.001)+'KT THAN'!$D$32*ABS(I87)/MAX('KT THAN'!$D$68,0.001)))))</f>
        <v/>
      </c>
      <c r="P87" s="37" t="str">
        <f t="shared" si="16"/>
        <v/>
      </c>
      <c r="Q87" s="39" t="str">
        <f>IF($A87="","",MAX(0.001,'KT THAN'!$C$32*ABS(J87)/MAX(1,H87)))</f>
        <v/>
      </c>
      <c r="R87" s="39" t="str">
        <f>IF($A87="","",MAX(0.001,'KT THAN'!$D$32*ABS(I87)/MAX(1,H87)))</f>
        <v/>
      </c>
      <c r="S87" t="str">
        <f t="shared" si="17"/>
        <v/>
      </c>
    </row>
    <row r="88" spans="1:19" x14ac:dyDescent="0.3">
      <c r="A88" s="37" t="str">
        <f>IF(AND(nThan=1,1=2),"",'TO HOP'!B169)</f>
        <v>CĐ I(b) min - 2 nhịp 3 làn</v>
      </c>
      <c r="B88" s="39">
        <f>IF(A88="","",'TO HOP'!E169)</f>
        <v>24011.153704430657</v>
      </c>
      <c r="C88" s="39">
        <f>IF(A88="","",'TO HOP'!F169)</f>
        <v>29353.653728437501</v>
      </c>
      <c r="D88" s="39">
        <f>IF(A88="","",'TO HOP'!G169)</f>
        <v>34091.265631949253</v>
      </c>
      <c r="E88" s="39">
        <f>IF(A88="","",'TO HOP'!C169)</f>
        <v>2697.1364775610136</v>
      </c>
      <c r="F88" s="39">
        <f>IF(A88="","",'TO HOP'!D169)</f>
        <v>0</v>
      </c>
      <c r="G88" s="39">
        <f>IF(A88="","",1)</f>
        <v>1</v>
      </c>
      <c r="H88" s="39">
        <f>IF(A88="","",IF(nThan=1,B88,B88/2+(1)*$B$7*C88/sThan))</f>
        <v>24011.153704430657</v>
      </c>
      <c r="I88" s="39">
        <f t="shared" si="12"/>
        <v>29353.653728437501</v>
      </c>
      <c r="J88" s="39">
        <f t="shared" si="13"/>
        <v>34091.265631949253</v>
      </c>
      <c r="K88" s="39">
        <f t="shared" si="14"/>
        <v>2697.1364775610136</v>
      </c>
      <c r="L88" s="39">
        <f t="shared" si="15"/>
        <v>0</v>
      </c>
      <c r="M88" s="39">
        <f>IF($A88="","",IF(H88=0,"",IF(Q88&lt;=0.000000001,MIN(0.8*0.75*'KT THAN'!$C$62,MAX('KT THAN'!$J$38:$J$58)),IFERROR(MIN(0.8*0.75*'KT THAN'!$C$62,INDEX('KT THAN'!$J$38:$J$58,MATCH(Q88,'KT THAN'!$L$38:$L$58,-1))+(INDEX('KT THAN'!$J$38:$J$58,MIN(21,MATCH(Q88,'KT THAN'!$L$38:$L$58,-1)+1))-INDEX('KT THAN'!$J$38:$J$58,MATCH(Q88,'KT THAN'!$L$38:$L$58,-1)))*(Q88-INDEX('KT THAN'!$L$38:$L$58,MATCH(Q88,'KT THAN'!$L$38:$L$58,-1)))/(INDEX('KT THAN'!$L$38:$L$58,MIN(21,MATCH(Q88,'KT THAN'!$L$38:$L$58,-1)+1))-INDEX('KT THAN'!$L$38:$L$58,MATCH(Q88,'KT THAN'!$L$38:$L$58,-1)))),MIN(0.8*0.75*'KT THAN'!$C$62,'KT THAN'!$C$68/Q88)))))</f>
        <v>35375.312744290088</v>
      </c>
      <c r="N88" s="39">
        <f>IF($A88="","",IF(H88=0,"",IF(R88&lt;=0.000000001,MIN(0.8*0.75*'KT THAN'!$C$62,MAX('KT THAN'!$W$38:$W$58)),IFERROR(MIN(0.8*0.75*'KT THAN'!$C$62,INDEX('KT THAN'!$W$38:$W$58,MATCH(R88,'KT THAN'!$Y$38:$Y$58,-1))+(INDEX('KT THAN'!$W$38:$W$58,MIN(21,MATCH(R88,'KT THAN'!$Y$38:$Y$58,-1)+1))-INDEX('KT THAN'!$W$38:$W$58,MATCH(R88,'KT THAN'!$Y$38:$Y$58,-1)))*(R88-INDEX('KT THAN'!$Y$38:$Y$58,MATCH(R88,'KT THAN'!$Y$38:$Y$58,-1)))/(INDEX('KT THAN'!$Y$38:$Y$58,MIN(21,MATCH(R88,'KT THAN'!$Y$38:$Y$58,-1)+1))-INDEX('KT THAN'!$Y$38:$Y$58,MATCH(R88,'KT THAN'!$Y$38:$Y$58,-1)))),MIN(0.8*0.75*'KT THAN'!$C$62,'KT THAN'!$D$68/R88)))))</f>
        <v>111084.26267396708</v>
      </c>
      <c r="O88" s="39">
        <f>IF($A88="","",IF(H88&lt;0,ABS(H88)/MAX('KT THAN'!$C$69,0.001)+'KT THAN'!$C$32*ABS(J88)/MAX('KT THAN'!$C$68,0.001)+'KT THAN'!$D$32*ABS(I88)/MAX('KT THAN'!$D$68,0.001),IF(OR(M88&lt;=0,N88&lt;=0),999,IF(H88&gt;=0.1*0.75*fc_*Agth*1000,H88/MAX(0.001,1/(1/M88+1/N88-1/(0.75*'KT THAN'!$C$62))),'KT THAN'!$C$32*ABS(J88)/MAX('KT THAN'!$C$68,0.001)+'KT THAN'!$D$32*ABS(I88)/MAX('KT THAN'!$D$68,0.001)))))</f>
        <v>0.77391601981754121</v>
      </c>
      <c r="P88" s="37" t="str">
        <f t="shared" si="16"/>
        <v>ĐẠT</v>
      </c>
      <c r="Q88" s="39">
        <f>IF($A88="","",MAX(0.001,'KT THAN'!$C$32*ABS(J88)/MAX(1,H88)))</f>
        <v>1.5876845953165208</v>
      </c>
      <c r="R88" s="39">
        <f>IF($A88="","",MAX(0.001,'KT THAN'!$D$32*ABS(I88)/MAX(1,H88)))</f>
        <v>1.2225007631774487</v>
      </c>
      <c r="S88" t="str">
        <f t="shared" si="17"/>
        <v/>
      </c>
    </row>
    <row r="89" spans="1:19" x14ac:dyDescent="0.3">
      <c r="A89" s="37" t="str">
        <f>IF(AND(nThan=1,2=2),"",'TO HOP'!B169)</f>
        <v/>
      </c>
      <c r="B89" s="39" t="str">
        <f>IF(A89="","",'TO HOP'!E169)</f>
        <v/>
      </c>
      <c r="C89" s="39" t="str">
        <f>IF(A89="","",'TO HOP'!F169)</f>
        <v/>
      </c>
      <c r="D89" s="39" t="str">
        <f>IF(A89="","",'TO HOP'!G169)</f>
        <v/>
      </c>
      <c r="E89" s="39" t="str">
        <f>IF(A89="","",'TO HOP'!C169)</f>
        <v/>
      </c>
      <c r="F89" s="39" t="str">
        <f>IF(A89="","",'TO HOP'!D169)</f>
        <v/>
      </c>
      <c r="G89" s="39" t="str">
        <f>IF(A89="","",2)</f>
        <v/>
      </c>
      <c r="H89" s="39" t="str">
        <f>IF(A89="","",IF(nThan=1,B89,B89/2+(-1)*$B$7*C89/sThan))</f>
        <v/>
      </c>
      <c r="I89" s="39" t="str">
        <f t="shared" si="12"/>
        <v/>
      </c>
      <c r="J89" s="39" t="str">
        <f t="shared" si="13"/>
        <v/>
      </c>
      <c r="K89" s="39" t="str">
        <f t="shared" si="14"/>
        <v/>
      </c>
      <c r="L89" s="39" t="str">
        <f t="shared" si="15"/>
        <v/>
      </c>
      <c r="M89" s="39" t="str">
        <f>IF($A89="","",IF(H89=0,"",IF(Q89&lt;=0.000000001,MIN(0.8*0.75*'KT THAN'!$C$62,MAX('KT THAN'!$J$38:$J$58)),IFERROR(MIN(0.8*0.75*'KT THAN'!$C$62,INDEX('KT THAN'!$J$38:$J$58,MATCH(Q89,'KT THAN'!$L$38:$L$58,-1))+(INDEX('KT THAN'!$J$38:$J$58,MIN(21,MATCH(Q89,'KT THAN'!$L$38:$L$58,-1)+1))-INDEX('KT THAN'!$J$38:$J$58,MATCH(Q89,'KT THAN'!$L$38:$L$58,-1)))*(Q89-INDEX('KT THAN'!$L$38:$L$58,MATCH(Q89,'KT THAN'!$L$38:$L$58,-1)))/(INDEX('KT THAN'!$L$38:$L$58,MIN(21,MATCH(Q89,'KT THAN'!$L$38:$L$58,-1)+1))-INDEX('KT THAN'!$L$38:$L$58,MATCH(Q89,'KT THAN'!$L$38:$L$58,-1)))),MIN(0.8*0.75*'KT THAN'!$C$62,'KT THAN'!$C$68/Q89)))))</f>
        <v/>
      </c>
      <c r="N89" s="39" t="str">
        <f>IF($A89="","",IF(H89=0,"",IF(R89&lt;=0.000000001,MIN(0.8*0.75*'KT THAN'!$C$62,MAX('KT THAN'!$W$38:$W$58)),IFERROR(MIN(0.8*0.75*'KT THAN'!$C$62,INDEX('KT THAN'!$W$38:$W$58,MATCH(R89,'KT THAN'!$Y$38:$Y$58,-1))+(INDEX('KT THAN'!$W$38:$W$58,MIN(21,MATCH(R89,'KT THAN'!$Y$38:$Y$58,-1)+1))-INDEX('KT THAN'!$W$38:$W$58,MATCH(R89,'KT THAN'!$Y$38:$Y$58,-1)))*(R89-INDEX('KT THAN'!$Y$38:$Y$58,MATCH(R89,'KT THAN'!$Y$38:$Y$58,-1)))/(INDEX('KT THAN'!$Y$38:$Y$58,MIN(21,MATCH(R89,'KT THAN'!$Y$38:$Y$58,-1)+1))-INDEX('KT THAN'!$Y$38:$Y$58,MATCH(R89,'KT THAN'!$Y$38:$Y$58,-1)))),MIN(0.8*0.75*'KT THAN'!$C$62,'KT THAN'!$D$68/R89)))))</f>
        <v/>
      </c>
      <c r="O89" s="39" t="str">
        <f>IF($A89="","",IF(H89&lt;0,ABS(H89)/MAX('KT THAN'!$C$69,0.001)+'KT THAN'!$C$32*ABS(J89)/MAX('KT THAN'!$C$68,0.001)+'KT THAN'!$D$32*ABS(I89)/MAX('KT THAN'!$D$68,0.001),IF(OR(M89&lt;=0,N89&lt;=0),999,IF(H89&gt;=0.1*0.75*fc_*Agth*1000,H89/MAX(0.001,1/(1/M89+1/N89-1/(0.75*'KT THAN'!$C$62))),'KT THAN'!$C$32*ABS(J89)/MAX('KT THAN'!$C$68,0.001)+'KT THAN'!$D$32*ABS(I89)/MAX('KT THAN'!$D$68,0.001)))))</f>
        <v/>
      </c>
      <c r="P89" s="37" t="str">
        <f t="shared" si="16"/>
        <v/>
      </c>
      <c r="Q89" s="39" t="str">
        <f>IF($A89="","",MAX(0.001,'KT THAN'!$C$32*ABS(J89)/MAX(1,H89)))</f>
        <v/>
      </c>
      <c r="R89" s="39" t="str">
        <f>IF($A89="","",MAX(0.001,'KT THAN'!$D$32*ABS(I89)/MAX(1,H89)))</f>
        <v/>
      </c>
      <c r="S89" t="str">
        <f t="shared" si="17"/>
        <v/>
      </c>
    </row>
    <row r="90" spans="1:19" x14ac:dyDescent="0.3">
      <c r="A90" s="37" t="str">
        <f>IF(AND(nThan=1,1=2),"",'TO HOP'!B170)</f>
        <v>CĐ I(b) min - 2 nhịp 4 làn</v>
      </c>
      <c r="B90" s="39">
        <f>IF(A90="","",'TO HOP'!E170)</f>
        <v>24094.871789930658</v>
      </c>
      <c r="C90" s="39">
        <f>IF(A90="","",'TO HOP'!F170)</f>
        <v>23399.204897250002</v>
      </c>
      <c r="D90" s="39">
        <f>IF(A90="","",'TO HOP'!G170)</f>
        <v>34091.265631949253</v>
      </c>
      <c r="E90" s="39">
        <f>IF(A90="","",'TO HOP'!C170)</f>
        <v>2697.1364775610136</v>
      </c>
      <c r="F90" s="39">
        <f>IF(A90="","",'TO HOP'!D170)</f>
        <v>0</v>
      </c>
      <c r="G90" s="39">
        <f>IF(A90="","",1)</f>
        <v>1</v>
      </c>
      <c r="H90" s="39">
        <f>IF(A90="","",IF(nThan=1,B90,B90/2+(1)*$B$7*C90/sThan))</f>
        <v>24094.871789930658</v>
      </c>
      <c r="I90" s="39">
        <f t="shared" si="12"/>
        <v>23399.204897250002</v>
      </c>
      <c r="J90" s="39">
        <f t="shared" si="13"/>
        <v>34091.265631949253</v>
      </c>
      <c r="K90" s="39">
        <f t="shared" si="14"/>
        <v>2697.1364775610136</v>
      </c>
      <c r="L90" s="39">
        <f t="shared" si="15"/>
        <v>0</v>
      </c>
      <c r="M90" s="39">
        <f>IF($A90="","",IF(H90=0,"",IF(Q90&lt;=0.000000001,MIN(0.8*0.75*'KT THAN'!$C$62,MAX('KT THAN'!$J$38:$J$58)),IFERROR(MIN(0.8*0.75*'KT THAN'!$C$62,INDEX('KT THAN'!$J$38:$J$58,MATCH(Q90,'KT THAN'!$L$38:$L$58,-1))+(INDEX('KT THAN'!$J$38:$J$58,MIN(21,MATCH(Q90,'KT THAN'!$L$38:$L$58,-1)+1))-INDEX('KT THAN'!$J$38:$J$58,MATCH(Q90,'KT THAN'!$L$38:$L$58,-1)))*(Q90-INDEX('KT THAN'!$L$38:$L$58,MATCH(Q90,'KT THAN'!$L$38:$L$58,-1)))/(INDEX('KT THAN'!$L$38:$L$58,MIN(21,MATCH(Q90,'KT THAN'!$L$38:$L$58,-1)+1))-INDEX('KT THAN'!$L$38:$L$58,MATCH(Q90,'KT THAN'!$L$38:$L$58,-1)))),MIN(0.8*0.75*'KT THAN'!$C$62,'KT THAN'!$C$68/Q90)))))</f>
        <v>35494.02707834958</v>
      </c>
      <c r="N90" s="39">
        <f>IF($A90="","",IF(H90=0,"",IF(R90&lt;=0.000000001,MIN(0.8*0.75*'KT THAN'!$C$62,MAX('KT THAN'!$W$38:$W$58)),IFERROR(MIN(0.8*0.75*'KT THAN'!$C$62,INDEX('KT THAN'!$W$38:$W$58,MATCH(R90,'KT THAN'!$Y$38:$Y$58,-1))+(INDEX('KT THAN'!$W$38:$W$58,MIN(21,MATCH(R90,'KT THAN'!$Y$38:$Y$58,-1)+1))-INDEX('KT THAN'!$W$38:$W$58,MATCH(R90,'KT THAN'!$Y$38:$Y$58,-1)))*(R90-INDEX('KT THAN'!$Y$38:$Y$58,MATCH(R90,'KT THAN'!$Y$38:$Y$58,-1)))/(INDEX('KT THAN'!$Y$38:$Y$58,MIN(21,MATCH(R90,'KT THAN'!$Y$38:$Y$58,-1)+1))-INDEX('KT THAN'!$Y$38:$Y$58,MATCH(R90,'KT THAN'!$Y$38:$Y$58,-1)))),MIN(0.8*0.75*'KT THAN'!$C$62,'KT THAN'!$D$68/R90)))))</f>
        <v>126036.71500589042</v>
      </c>
      <c r="O90" s="39">
        <f>IF($A90="","",IF(H90&lt;0,ABS(H90)/MAX('KT THAN'!$C$69,0.001)+'KT THAN'!$C$32*ABS(J90)/MAX('KT THAN'!$C$68,0.001)+'KT THAN'!$D$32*ABS(I90)/MAX('KT THAN'!$D$68,0.001),IF(OR(M90&lt;=0,N90&lt;=0),999,IF(H90&gt;=0.1*0.75*fc_*Agth*1000,H90/MAX(0.001,1/(1/M90+1/N90-1/(0.75*'KT THAN'!$C$62))),'KT THAN'!$C$32*ABS(J90)/MAX('KT THAN'!$C$68,0.001)+'KT THAN'!$D$32*ABS(I90)/MAX('KT THAN'!$D$68,0.001)))))</f>
        <v>0.74860346099034614</v>
      </c>
      <c r="P90" s="37" t="str">
        <f t="shared" si="16"/>
        <v>ĐẠT</v>
      </c>
      <c r="Q90" s="39">
        <f>IF($A90="","",MAX(0.001,'KT THAN'!$C$32*ABS(J90)/MAX(1,H90)))</f>
        <v>1.5821681553098432</v>
      </c>
      <c r="R90" s="39">
        <f>IF($A90="","",MAX(0.001,'KT THAN'!$D$32*ABS(I90)/MAX(1,H90)))</f>
        <v>0.97112801019462669</v>
      </c>
      <c r="S90" t="str">
        <f t="shared" si="17"/>
        <v/>
      </c>
    </row>
    <row r="91" spans="1:19" x14ac:dyDescent="0.3">
      <c r="A91" s="37" t="str">
        <f>IF(AND(nThan=1,2=2),"",'TO HOP'!B170)</f>
        <v/>
      </c>
      <c r="B91" s="39" t="str">
        <f>IF(A91="","",'TO HOP'!E170)</f>
        <v/>
      </c>
      <c r="C91" s="39" t="str">
        <f>IF(A91="","",'TO HOP'!F170)</f>
        <v/>
      </c>
      <c r="D91" s="39" t="str">
        <f>IF(A91="","",'TO HOP'!G170)</f>
        <v/>
      </c>
      <c r="E91" s="39" t="str">
        <f>IF(A91="","",'TO HOP'!C170)</f>
        <v/>
      </c>
      <c r="F91" s="39" t="str">
        <f>IF(A91="","",'TO HOP'!D170)</f>
        <v/>
      </c>
      <c r="G91" s="39" t="str">
        <f>IF(A91="","",2)</f>
        <v/>
      </c>
      <c r="H91" s="39" t="str">
        <f>IF(A91="","",IF(nThan=1,B91,B91/2+(-1)*$B$7*C91/sThan))</f>
        <v/>
      </c>
      <c r="I91" s="39" t="str">
        <f t="shared" si="12"/>
        <v/>
      </c>
      <c r="J91" s="39" t="str">
        <f t="shared" si="13"/>
        <v/>
      </c>
      <c r="K91" s="39" t="str">
        <f t="shared" si="14"/>
        <v/>
      </c>
      <c r="L91" s="39" t="str">
        <f t="shared" si="15"/>
        <v/>
      </c>
      <c r="M91" s="39" t="str">
        <f>IF($A91="","",IF(H91=0,"",IF(Q91&lt;=0.000000001,MIN(0.8*0.75*'KT THAN'!$C$62,MAX('KT THAN'!$J$38:$J$58)),IFERROR(MIN(0.8*0.75*'KT THAN'!$C$62,INDEX('KT THAN'!$J$38:$J$58,MATCH(Q91,'KT THAN'!$L$38:$L$58,-1))+(INDEX('KT THAN'!$J$38:$J$58,MIN(21,MATCH(Q91,'KT THAN'!$L$38:$L$58,-1)+1))-INDEX('KT THAN'!$J$38:$J$58,MATCH(Q91,'KT THAN'!$L$38:$L$58,-1)))*(Q91-INDEX('KT THAN'!$L$38:$L$58,MATCH(Q91,'KT THAN'!$L$38:$L$58,-1)))/(INDEX('KT THAN'!$L$38:$L$58,MIN(21,MATCH(Q91,'KT THAN'!$L$38:$L$58,-1)+1))-INDEX('KT THAN'!$L$38:$L$58,MATCH(Q91,'KT THAN'!$L$38:$L$58,-1)))),MIN(0.8*0.75*'KT THAN'!$C$62,'KT THAN'!$C$68/Q91)))))</f>
        <v/>
      </c>
      <c r="N91" s="39" t="str">
        <f>IF($A91="","",IF(H91=0,"",IF(R91&lt;=0.000000001,MIN(0.8*0.75*'KT THAN'!$C$62,MAX('KT THAN'!$W$38:$W$58)),IFERROR(MIN(0.8*0.75*'KT THAN'!$C$62,INDEX('KT THAN'!$W$38:$W$58,MATCH(R91,'KT THAN'!$Y$38:$Y$58,-1))+(INDEX('KT THAN'!$W$38:$W$58,MIN(21,MATCH(R91,'KT THAN'!$Y$38:$Y$58,-1)+1))-INDEX('KT THAN'!$W$38:$W$58,MATCH(R91,'KT THAN'!$Y$38:$Y$58,-1)))*(R91-INDEX('KT THAN'!$Y$38:$Y$58,MATCH(R91,'KT THAN'!$Y$38:$Y$58,-1)))/(INDEX('KT THAN'!$Y$38:$Y$58,MIN(21,MATCH(R91,'KT THAN'!$Y$38:$Y$58,-1)+1))-INDEX('KT THAN'!$Y$38:$Y$58,MATCH(R91,'KT THAN'!$Y$38:$Y$58,-1)))),MIN(0.8*0.75*'KT THAN'!$C$62,'KT THAN'!$D$68/R91)))))</f>
        <v/>
      </c>
      <c r="O91" s="39" t="str">
        <f>IF($A91="","",IF(H91&lt;0,ABS(H91)/MAX('KT THAN'!$C$69,0.001)+'KT THAN'!$C$32*ABS(J91)/MAX('KT THAN'!$C$68,0.001)+'KT THAN'!$D$32*ABS(I91)/MAX('KT THAN'!$D$68,0.001),IF(OR(M91&lt;=0,N91&lt;=0),999,IF(H91&gt;=0.1*0.75*fc_*Agth*1000,H91/MAX(0.001,1/(1/M91+1/N91-1/(0.75*'KT THAN'!$C$62))),'KT THAN'!$C$32*ABS(J91)/MAX('KT THAN'!$C$68,0.001)+'KT THAN'!$D$32*ABS(I91)/MAX('KT THAN'!$D$68,0.001)))))</f>
        <v/>
      </c>
      <c r="P91" s="37" t="str">
        <f t="shared" si="16"/>
        <v/>
      </c>
      <c r="Q91" s="39" t="str">
        <f>IF($A91="","",MAX(0.001,'KT THAN'!$C$32*ABS(J91)/MAX(1,H91)))</f>
        <v/>
      </c>
      <c r="R91" s="39" t="str">
        <f>IF($A91="","",MAX(0.001,'KT THAN'!$D$32*ABS(I91)/MAX(1,H91)))</f>
        <v/>
      </c>
      <c r="S91" t="str">
        <f t="shared" si="17"/>
        <v/>
      </c>
    </row>
    <row r="92" spans="1:19" x14ac:dyDescent="0.3">
      <c r="A92" s="37" t="str">
        <f>IF(AND(nThan=1,1=2),"",'TO HOP'!B171)</f>
        <v>CĐ I(b) min - 2 nhịp 5 làn</v>
      </c>
      <c r="B92" s="39">
        <f>IF(A92="","",'TO HOP'!E171)</f>
        <v>25183.206901430654</v>
      </c>
      <c r="C92" s="39">
        <f>IF(A92="","",'TO HOP'!F171)</f>
        <v>21086.492785312505</v>
      </c>
      <c r="D92" s="39">
        <f>IF(A92="","",'TO HOP'!G171)</f>
        <v>34091.265631949253</v>
      </c>
      <c r="E92" s="39">
        <f>IF(A92="","",'TO HOP'!C171)</f>
        <v>2697.1364775610136</v>
      </c>
      <c r="F92" s="39">
        <f>IF(A92="","",'TO HOP'!D171)</f>
        <v>0</v>
      </c>
      <c r="G92" s="39">
        <f>IF(A92="","",1)</f>
        <v>1</v>
      </c>
      <c r="H92" s="39">
        <f>IF(A92="","",IF(nThan=1,B92,B92/2+(1)*$B$7*C92/sThan))</f>
        <v>25183.206901430654</v>
      </c>
      <c r="I92" s="39">
        <f t="shared" si="12"/>
        <v>21086.492785312505</v>
      </c>
      <c r="J92" s="39">
        <f t="shared" si="13"/>
        <v>34091.265631949253</v>
      </c>
      <c r="K92" s="39">
        <f t="shared" si="14"/>
        <v>2697.1364775610136</v>
      </c>
      <c r="L92" s="39">
        <f t="shared" si="15"/>
        <v>0</v>
      </c>
      <c r="M92" s="39">
        <f>IF($A92="","",IF(H92=0,"",IF(Q92&lt;=0.000000001,MIN(0.8*0.75*'KT THAN'!$C$62,MAX('KT THAN'!$J$38:$J$58)),IFERROR(MIN(0.8*0.75*'KT THAN'!$C$62,INDEX('KT THAN'!$J$38:$J$58,MATCH(Q92,'KT THAN'!$L$38:$L$58,-1))+(INDEX('KT THAN'!$J$38:$J$58,MIN(21,MATCH(Q92,'KT THAN'!$L$38:$L$58,-1)+1))-INDEX('KT THAN'!$J$38:$J$58,MATCH(Q92,'KT THAN'!$L$38:$L$58,-1)))*(Q92-INDEX('KT THAN'!$L$38:$L$58,MATCH(Q92,'KT THAN'!$L$38:$L$58,-1)))/(INDEX('KT THAN'!$L$38:$L$58,MIN(21,MATCH(Q92,'KT THAN'!$L$38:$L$58,-1)+1))-INDEX('KT THAN'!$L$38:$L$58,MATCH(Q92,'KT THAN'!$L$38:$L$58,-1)))),MIN(0.8*0.75*'KT THAN'!$C$62,'KT THAN'!$C$68/Q92)))))</f>
        <v>36965.487235561523</v>
      </c>
      <c r="N92" s="39">
        <f>IF($A92="","",IF(H92=0,"",IF(R92&lt;=0.000000001,MIN(0.8*0.75*'KT THAN'!$C$62,MAX('KT THAN'!$W$38:$W$58)),IFERROR(MIN(0.8*0.75*'KT THAN'!$C$62,INDEX('KT THAN'!$W$38:$W$58,MATCH(R92,'KT THAN'!$Y$38:$Y$58,-1))+(INDEX('KT THAN'!$W$38:$W$58,MIN(21,MATCH(R92,'KT THAN'!$Y$38:$Y$58,-1)+1))-INDEX('KT THAN'!$W$38:$W$58,MATCH(R92,'KT THAN'!$Y$38:$Y$58,-1)))*(R92-INDEX('KT THAN'!$Y$38:$Y$58,MATCH(R92,'KT THAN'!$Y$38:$Y$58,-1)))/(INDEX('KT THAN'!$Y$38:$Y$58,MIN(21,MATCH(R92,'KT THAN'!$Y$38:$Y$58,-1)+1))-INDEX('KT THAN'!$Y$38:$Y$58,MATCH(R92,'KT THAN'!$Y$38:$Y$58,-1)))),MIN(0.8*0.75*'KT THAN'!$C$62,'KT THAN'!$D$68/R92)))))</f>
        <v>134891.17340161453</v>
      </c>
      <c r="O92" s="39">
        <f>IF($A92="","",IF(H92&lt;0,ABS(H92)/MAX('KT THAN'!$C$69,0.001)+'KT THAN'!$C$32*ABS(J92)/MAX('KT THAN'!$C$68,0.001)+'KT THAN'!$D$32*ABS(I92)/MAX('KT THAN'!$D$68,0.001),IF(OR(M92&lt;=0,N92&lt;=0),999,IF(H92&gt;=0.1*0.75*fc_*Agth*1000,H92/MAX(0.001,1/(1/M92+1/N92-1/(0.75*'KT THAN'!$C$62))),'KT THAN'!$C$32*ABS(J92)/MAX('KT THAN'!$C$68,0.001)+'KT THAN'!$D$32*ABS(I92)/MAX('KT THAN'!$D$68,0.001)))))</f>
        <v>0.74105840565440106</v>
      </c>
      <c r="P92" s="37" t="str">
        <f t="shared" si="16"/>
        <v>ĐẠT</v>
      </c>
      <c r="Q92" s="39">
        <f>IF($A92="","",MAX(0.001,'KT THAN'!$C$32*ABS(J92)/MAX(1,H92)))</f>
        <v>1.5137920679250765</v>
      </c>
      <c r="R92" s="39">
        <f>IF($A92="","",MAX(0.001,'KT THAN'!$D$32*ABS(I92)/MAX(1,H92)))</f>
        <v>0.83732357311945782</v>
      </c>
      <c r="S92" t="str">
        <f t="shared" si="17"/>
        <v/>
      </c>
    </row>
    <row r="93" spans="1:19" x14ac:dyDescent="0.3">
      <c r="A93" s="37" t="str">
        <f>IF(AND(nThan=1,2=2),"",'TO HOP'!B171)</f>
        <v/>
      </c>
      <c r="B93" s="39" t="str">
        <f>IF(A93="","",'TO HOP'!E171)</f>
        <v/>
      </c>
      <c r="C93" s="39" t="str">
        <f>IF(A93="","",'TO HOP'!F171)</f>
        <v/>
      </c>
      <c r="D93" s="39" t="str">
        <f>IF(A93="","",'TO HOP'!G171)</f>
        <v/>
      </c>
      <c r="E93" s="39" t="str">
        <f>IF(A93="","",'TO HOP'!C171)</f>
        <v/>
      </c>
      <c r="F93" s="39" t="str">
        <f>IF(A93="","",'TO HOP'!D171)</f>
        <v/>
      </c>
      <c r="G93" s="39" t="str">
        <f>IF(A93="","",2)</f>
        <v/>
      </c>
      <c r="H93" s="39" t="str">
        <f>IF(A93="","",IF(nThan=1,B93,B93/2+(-1)*$B$7*C93/sThan))</f>
        <v/>
      </c>
      <c r="I93" s="39" t="str">
        <f t="shared" si="12"/>
        <v/>
      </c>
      <c r="J93" s="39" t="str">
        <f t="shared" si="13"/>
        <v/>
      </c>
      <c r="K93" s="39" t="str">
        <f t="shared" si="14"/>
        <v/>
      </c>
      <c r="L93" s="39" t="str">
        <f t="shared" si="15"/>
        <v/>
      </c>
      <c r="M93" s="39" t="str">
        <f>IF($A93="","",IF(H93=0,"",IF(Q93&lt;=0.000000001,MIN(0.8*0.75*'KT THAN'!$C$62,MAX('KT THAN'!$J$38:$J$58)),IFERROR(MIN(0.8*0.75*'KT THAN'!$C$62,INDEX('KT THAN'!$J$38:$J$58,MATCH(Q93,'KT THAN'!$L$38:$L$58,-1))+(INDEX('KT THAN'!$J$38:$J$58,MIN(21,MATCH(Q93,'KT THAN'!$L$38:$L$58,-1)+1))-INDEX('KT THAN'!$J$38:$J$58,MATCH(Q93,'KT THAN'!$L$38:$L$58,-1)))*(Q93-INDEX('KT THAN'!$L$38:$L$58,MATCH(Q93,'KT THAN'!$L$38:$L$58,-1)))/(INDEX('KT THAN'!$L$38:$L$58,MIN(21,MATCH(Q93,'KT THAN'!$L$38:$L$58,-1)+1))-INDEX('KT THAN'!$L$38:$L$58,MATCH(Q93,'KT THAN'!$L$38:$L$58,-1)))),MIN(0.8*0.75*'KT THAN'!$C$62,'KT THAN'!$C$68/Q93)))))</f>
        <v/>
      </c>
      <c r="N93" s="39" t="str">
        <f>IF($A93="","",IF(H93=0,"",IF(R93&lt;=0.000000001,MIN(0.8*0.75*'KT THAN'!$C$62,MAX('KT THAN'!$W$38:$W$58)),IFERROR(MIN(0.8*0.75*'KT THAN'!$C$62,INDEX('KT THAN'!$W$38:$W$58,MATCH(R93,'KT THAN'!$Y$38:$Y$58,-1))+(INDEX('KT THAN'!$W$38:$W$58,MIN(21,MATCH(R93,'KT THAN'!$Y$38:$Y$58,-1)+1))-INDEX('KT THAN'!$W$38:$W$58,MATCH(R93,'KT THAN'!$Y$38:$Y$58,-1)))*(R93-INDEX('KT THAN'!$Y$38:$Y$58,MATCH(R93,'KT THAN'!$Y$38:$Y$58,-1)))/(INDEX('KT THAN'!$Y$38:$Y$58,MIN(21,MATCH(R93,'KT THAN'!$Y$38:$Y$58,-1)+1))-INDEX('KT THAN'!$Y$38:$Y$58,MATCH(R93,'KT THAN'!$Y$38:$Y$58,-1)))),MIN(0.8*0.75*'KT THAN'!$C$62,'KT THAN'!$D$68/R93)))))</f>
        <v/>
      </c>
      <c r="O93" s="39" t="str">
        <f>IF($A93="","",IF(H93&lt;0,ABS(H93)/MAX('KT THAN'!$C$69,0.001)+'KT THAN'!$C$32*ABS(J93)/MAX('KT THAN'!$C$68,0.001)+'KT THAN'!$D$32*ABS(I93)/MAX('KT THAN'!$D$68,0.001),IF(OR(M93&lt;=0,N93&lt;=0),999,IF(H93&gt;=0.1*0.75*fc_*Agth*1000,H93/MAX(0.001,1/(1/M93+1/N93-1/(0.75*'KT THAN'!$C$62))),'KT THAN'!$C$32*ABS(J93)/MAX('KT THAN'!$C$68,0.001)+'KT THAN'!$D$32*ABS(I93)/MAX('KT THAN'!$D$68,0.001)))))</f>
        <v/>
      </c>
      <c r="P93" s="37" t="str">
        <f t="shared" si="16"/>
        <v/>
      </c>
      <c r="Q93" s="39" t="str">
        <f>IF($A93="","",MAX(0.001,'KT THAN'!$C$32*ABS(J93)/MAX(1,H93)))</f>
        <v/>
      </c>
      <c r="R93" s="39" t="str">
        <f>IF($A93="","",MAX(0.001,'KT THAN'!$D$32*ABS(I93)/MAX(1,H93)))</f>
        <v/>
      </c>
      <c r="S93" t="str">
        <f t="shared" si="17"/>
        <v/>
      </c>
    </row>
    <row r="94" spans="1:19" x14ac:dyDescent="0.3">
      <c r="A94" s="37" t="str">
        <f>IF(AND(nThan=1,1=2),"",'TO HOP'!B172)</f>
        <v>CĐ I(b) min - 2 nhịp 6 làn</v>
      </c>
      <c r="B94" s="39">
        <f>IF(A94="","",'TO HOP'!E172)</f>
        <v>26271.542012930655</v>
      </c>
      <c r="C94" s="39">
        <f>IF(A94="","",'TO HOP'!F172)</f>
        <v>15508.775338875001</v>
      </c>
      <c r="D94" s="39">
        <f>IF(A94="","",'TO HOP'!G172)</f>
        <v>34091.265631949253</v>
      </c>
      <c r="E94" s="39">
        <f>IF(A94="","",'TO HOP'!C172)</f>
        <v>2697.1364775610136</v>
      </c>
      <c r="F94" s="39">
        <f>IF(A94="","",'TO HOP'!D172)</f>
        <v>0</v>
      </c>
      <c r="G94" s="39">
        <f>IF(A94="","",1)</f>
        <v>1</v>
      </c>
      <c r="H94" s="39">
        <f>IF(A94="","",IF(nThan=1,B94,B94/2+(1)*$B$7*C94/sThan))</f>
        <v>26271.542012930655</v>
      </c>
      <c r="I94" s="39">
        <f t="shared" si="12"/>
        <v>15508.775338875001</v>
      </c>
      <c r="J94" s="39">
        <f t="shared" si="13"/>
        <v>34091.265631949253</v>
      </c>
      <c r="K94" s="39">
        <f t="shared" si="14"/>
        <v>2697.1364775610136</v>
      </c>
      <c r="L94" s="39">
        <f t="shared" si="15"/>
        <v>0</v>
      </c>
      <c r="M94" s="39">
        <f>IF($A94="","",IF(H94=0,"",IF(Q94&lt;=0.000000001,MIN(0.8*0.75*'KT THAN'!$C$62,MAX('KT THAN'!$J$38:$J$58)),IFERROR(MIN(0.8*0.75*'KT THAN'!$C$62,INDEX('KT THAN'!$J$38:$J$58,MATCH(Q94,'KT THAN'!$L$38:$L$58,-1))+(INDEX('KT THAN'!$J$38:$J$58,MIN(21,MATCH(Q94,'KT THAN'!$L$38:$L$58,-1)+1))-INDEX('KT THAN'!$J$38:$J$58,MATCH(Q94,'KT THAN'!$L$38:$L$58,-1)))*(Q94-INDEX('KT THAN'!$L$38:$L$58,MATCH(Q94,'KT THAN'!$L$38:$L$58,-1)))/(INDEX('KT THAN'!$L$38:$L$58,MIN(21,MATCH(Q94,'KT THAN'!$L$38:$L$58,-1)+1))-INDEX('KT THAN'!$L$38:$L$58,MATCH(Q94,'KT THAN'!$L$38:$L$58,-1)))),MIN(0.8*0.75*'KT THAN'!$C$62,'KT THAN'!$C$68/Q94)))))</f>
        <v>39194.784795910011</v>
      </c>
      <c r="N94" s="39">
        <f>IF($A94="","",IF(H94=0,"",IF(R94&lt;=0.000000001,MIN(0.8*0.75*'KT THAN'!$C$62,MAX('KT THAN'!$W$38:$W$58)),IFERROR(MIN(0.8*0.75*'KT THAN'!$C$62,INDEX('KT THAN'!$W$38:$W$58,MATCH(R94,'KT THAN'!$Y$38:$Y$58,-1))+(INDEX('KT THAN'!$W$38:$W$58,MIN(21,MATCH(R94,'KT THAN'!$Y$38:$Y$58,-1)+1))-INDEX('KT THAN'!$W$38:$W$58,MATCH(R94,'KT THAN'!$Y$38:$Y$58,-1)))*(R94-INDEX('KT THAN'!$Y$38:$Y$58,MATCH(R94,'KT THAN'!$Y$38:$Y$58,-1)))/(INDEX('KT THAN'!$Y$38:$Y$58,MIN(21,MATCH(R94,'KT THAN'!$Y$38:$Y$58,-1)+1))-INDEX('KT THAN'!$Y$38:$Y$58,MATCH(R94,'KT THAN'!$Y$38:$Y$58,-1)))),MIN(0.8*0.75*'KT THAN'!$C$62,'KT THAN'!$D$68/R94)))))</f>
        <v>151950.89301916779</v>
      </c>
      <c r="O94" s="39">
        <f>IF($A94="","",IF(H94&lt;0,ABS(H94)/MAX('KT THAN'!$C$69,0.001)+'KT THAN'!$C$32*ABS(J94)/MAX('KT THAN'!$C$68,0.001)+'KT THAN'!$D$32*ABS(I94)/MAX('KT THAN'!$D$68,0.001),IF(OR(M94&lt;=0,N94&lt;=0),999,IF(H94&gt;=0.1*0.75*fc_*Agth*1000,H94/MAX(0.001,1/(1/M94+1/N94-1/(0.75*'KT THAN'!$C$62))),'KT THAN'!$C$32*ABS(J94)/MAX('KT THAN'!$C$68,0.001)+'KT THAN'!$D$32*ABS(I94)/MAX('KT THAN'!$D$68,0.001)))))</f>
        <v>0.71079540630930116</v>
      </c>
      <c r="P94" s="37" t="str">
        <f t="shared" si="16"/>
        <v>ĐẠT</v>
      </c>
      <c r="Q94" s="39">
        <f>IF($A94="","",MAX(0.001,'KT THAN'!$C$32*ABS(J94)/MAX(1,H94)))</f>
        <v>1.4510811292895689</v>
      </c>
      <c r="R94" s="39">
        <f>IF($A94="","",MAX(0.001,'KT THAN'!$D$32*ABS(I94)/MAX(1,H94)))</f>
        <v>0.59032603915071669</v>
      </c>
      <c r="S94" t="str">
        <f t="shared" si="17"/>
        <v/>
      </c>
    </row>
    <row r="95" spans="1:19" x14ac:dyDescent="0.3">
      <c r="A95" s="37" t="str">
        <f>IF(AND(nThan=1,2=2),"",'TO HOP'!B172)</f>
        <v/>
      </c>
      <c r="B95" s="39" t="str">
        <f>IF(A95="","",'TO HOP'!E172)</f>
        <v/>
      </c>
      <c r="C95" s="39" t="str">
        <f>IF(A95="","",'TO HOP'!F172)</f>
        <v/>
      </c>
      <c r="D95" s="39" t="str">
        <f>IF(A95="","",'TO HOP'!G172)</f>
        <v/>
      </c>
      <c r="E95" s="39" t="str">
        <f>IF(A95="","",'TO HOP'!C172)</f>
        <v/>
      </c>
      <c r="F95" s="39" t="str">
        <f>IF(A95="","",'TO HOP'!D172)</f>
        <v/>
      </c>
      <c r="G95" s="39" t="str">
        <f>IF(A95="","",2)</f>
        <v/>
      </c>
      <c r="H95" s="39" t="str">
        <f>IF(A95="","",IF(nThan=1,B95,B95/2+(-1)*$B$7*C95/sThan))</f>
        <v/>
      </c>
      <c r="I95" s="39" t="str">
        <f t="shared" si="12"/>
        <v/>
      </c>
      <c r="J95" s="39" t="str">
        <f t="shared" si="13"/>
        <v/>
      </c>
      <c r="K95" s="39" t="str">
        <f t="shared" si="14"/>
        <v/>
      </c>
      <c r="L95" s="39" t="str">
        <f t="shared" si="15"/>
        <v/>
      </c>
      <c r="M95" s="39" t="str">
        <f>IF($A95="","",IF(H95=0,"",IF(Q95&lt;=0.000000001,MIN(0.8*0.75*'KT THAN'!$C$62,MAX('KT THAN'!$J$38:$J$58)),IFERROR(MIN(0.8*0.75*'KT THAN'!$C$62,INDEX('KT THAN'!$J$38:$J$58,MATCH(Q95,'KT THAN'!$L$38:$L$58,-1))+(INDEX('KT THAN'!$J$38:$J$58,MIN(21,MATCH(Q95,'KT THAN'!$L$38:$L$58,-1)+1))-INDEX('KT THAN'!$J$38:$J$58,MATCH(Q95,'KT THAN'!$L$38:$L$58,-1)))*(Q95-INDEX('KT THAN'!$L$38:$L$58,MATCH(Q95,'KT THAN'!$L$38:$L$58,-1)))/(INDEX('KT THAN'!$L$38:$L$58,MIN(21,MATCH(Q95,'KT THAN'!$L$38:$L$58,-1)+1))-INDEX('KT THAN'!$L$38:$L$58,MATCH(Q95,'KT THAN'!$L$38:$L$58,-1)))),MIN(0.8*0.75*'KT THAN'!$C$62,'KT THAN'!$C$68/Q95)))))</f>
        <v/>
      </c>
      <c r="N95" s="39" t="str">
        <f>IF($A95="","",IF(H95=0,"",IF(R95&lt;=0.000000001,MIN(0.8*0.75*'KT THAN'!$C$62,MAX('KT THAN'!$W$38:$W$58)),IFERROR(MIN(0.8*0.75*'KT THAN'!$C$62,INDEX('KT THAN'!$W$38:$W$58,MATCH(R95,'KT THAN'!$Y$38:$Y$58,-1))+(INDEX('KT THAN'!$W$38:$W$58,MIN(21,MATCH(R95,'KT THAN'!$Y$38:$Y$58,-1)+1))-INDEX('KT THAN'!$W$38:$W$58,MATCH(R95,'KT THAN'!$Y$38:$Y$58,-1)))*(R95-INDEX('KT THAN'!$Y$38:$Y$58,MATCH(R95,'KT THAN'!$Y$38:$Y$58,-1)))/(INDEX('KT THAN'!$Y$38:$Y$58,MIN(21,MATCH(R95,'KT THAN'!$Y$38:$Y$58,-1)+1))-INDEX('KT THAN'!$Y$38:$Y$58,MATCH(R95,'KT THAN'!$Y$38:$Y$58,-1)))),MIN(0.8*0.75*'KT THAN'!$C$62,'KT THAN'!$D$68/R95)))))</f>
        <v/>
      </c>
      <c r="O95" s="39" t="str">
        <f>IF($A95="","",IF(H95&lt;0,ABS(H95)/MAX('KT THAN'!$C$69,0.001)+'KT THAN'!$C$32*ABS(J95)/MAX('KT THAN'!$C$68,0.001)+'KT THAN'!$D$32*ABS(I95)/MAX('KT THAN'!$D$68,0.001),IF(OR(M95&lt;=0,N95&lt;=0),999,IF(H95&gt;=0.1*0.75*fc_*Agth*1000,H95/MAX(0.001,1/(1/M95+1/N95-1/(0.75*'KT THAN'!$C$62))),'KT THAN'!$C$32*ABS(J95)/MAX('KT THAN'!$C$68,0.001)+'KT THAN'!$D$32*ABS(I95)/MAX('KT THAN'!$D$68,0.001)))))</f>
        <v/>
      </c>
      <c r="P95" s="37" t="str">
        <f t="shared" si="16"/>
        <v/>
      </c>
      <c r="Q95" s="39" t="str">
        <f>IF($A95="","",MAX(0.001,'KT THAN'!$C$32*ABS(J95)/MAX(1,H95)))</f>
        <v/>
      </c>
      <c r="R95" s="39" t="str">
        <f>IF($A95="","",MAX(0.001,'KT THAN'!$D$32*ABS(I95)/MAX(1,H95)))</f>
        <v/>
      </c>
      <c r="S95" t="str">
        <f t="shared" si="17"/>
        <v/>
      </c>
    </row>
    <row r="96" spans="1:19" x14ac:dyDescent="0.3">
      <c r="A96" s="37" t="str">
        <f>IF(AND(nThan=1,1=2),"",'TO HOP'!B173)</f>
        <v>CĐ I(b) min - 1 nhịp 1 làn</v>
      </c>
      <c r="B96" s="39">
        <f>IF(A96="","",'TO HOP'!E173)</f>
        <v>20946.587083930655</v>
      </c>
      <c r="C96" s="39">
        <f>IF(A96="","",'TO HOP'!F173)</f>
        <v>11899.9254325</v>
      </c>
      <c r="D96" s="39">
        <f>IF(A96="","",'TO HOP'!G173)</f>
        <v>35175.815797949253</v>
      </c>
      <c r="E96" s="39">
        <f>IF(A96="","",'TO HOP'!C173)</f>
        <v>2697.1364775610136</v>
      </c>
      <c r="F96" s="39">
        <f>IF(A96="","",'TO HOP'!D173)</f>
        <v>0</v>
      </c>
      <c r="G96" s="39">
        <f>IF(A96="","",1)</f>
        <v>1</v>
      </c>
      <c r="H96" s="39">
        <f>IF(A96="","",IF(nThan=1,B96,B96/2+(1)*$B$7*C96/sThan))</f>
        <v>20946.587083930655</v>
      </c>
      <c r="I96" s="39">
        <f t="shared" si="12"/>
        <v>11899.9254325</v>
      </c>
      <c r="J96" s="39">
        <f t="shared" si="13"/>
        <v>35175.815797949253</v>
      </c>
      <c r="K96" s="39">
        <f t="shared" si="14"/>
        <v>2697.1364775610136</v>
      </c>
      <c r="L96" s="39">
        <f t="shared" si="15"/>
        <v>0</v>
      </c>
      <c r="M96" s="39">
        <f>IF($A96="","",IF(H96=0,"",IF(Q96&lt;=0.000000001,MIN(0.8*0.75*'KT THAN'!$C$62,MAX('KT THAN'!$J$38:$J$58)),IFERROR(MIN(0.8*0.75*'KT THAN'!$C$62,INDEX('KT THAN'!$J$38:$J$58,MATCH(Q96,'KT THAN'!$L$38:$L$58,-1))+(INDEX('KT THAN'!$J$38:$J$58,MIN(21,MATCH(Q96,'KT THAN'!$L$38:$L$58,-1)+1))-INDEX('KT THAN'!$J$38:$J$58,MATCH(Q96,'KT THAN'!$L$38:$L$58,-1)))*(Q96-INDEX('KT THAN'!$L$38:$L$58,MATCH(Q96,'KT THAN'!$L$38:$L$58,-1)))/(INDEX('KT THAN'!$L$38:$L$58,MIN(21,MATCH(Q96,'KT THAN'!$L$38:$L$58,-1)+1))-INDEX('KT THAN'!$L$38:$L$58,MATCH(Q96,'KT THAN'!$L$38:$L$58,-1)))),MIN(0.8*0.75*'KT THAN'!$C$62,'KT THAN'!$C$68/Q96)))))</f>
        <v>29130.539097635909</v>
      </c>
      <c r="N96" s="39">
        <f>IF($A96="","",IF(H96=0,"",IF(R96&lt;=0.000000001,MIN(0.8*0.75*'KT THAN'!$C$62,MAX('KT THAN'!$W$38:$W$58)),IFERROR(MIN(0.8*0.75*'KT THAN'!$C$62,INDEX('KT THAN'!$W$38:$W$58,MATCH(R96,'KT THAN'!$Y$38:$Y$58,-1))+(INDEX('KT THAN'!$W$38:$W$58,MIN(21,MATCH(R96,'KT THAN'!$Y$38:$Y$58,-1)+1))-INDEX('KT THAN'!$W$38:$W$58,MATCH(R96,'KT THAN'!$Y$38:$Y$58,-1)))*(R96-INDEX('KT THAN'!$Y$38:$Y$58,MATCH(R96,'KT THAN'!$Y$38:$Y$58,-1)))/(INDEX('KT THAN'!$Y$38:$Y$58,MIN(21,MATCH(R96,'KT THAN'!$Y$38:$Y$58,-1)+1))-INDEX('KT THAN'!$Y$38:$Y$58,MATCH(R96,'KT THAN'!$Y$38:$Y$58,-1)))),MIN(0.8*0.75*'KT THAN'!$C$62,'KT THAN'!$D$68/R96)))))</f>
        <v>153555.03452623304</v>
      </c>
      <c r="O96" s="39">
        <f>IF($A96="","",IF(H96&lt;0,ABS(H96)/MAX('KT THAN'!$C$69,0.001)+'KT THAN'!$C$32*ABS(J96)/MAX('KT THAN'!$C$68,0.001)+'KT THAN'!$D$32*ABS(I96)/MAX('KT THAN'!$D$68,0.001),IF(OR(M96&lt;=0,N96&lt;=0),999,IF(H96&gt;=0.1*0.75*fc_*Agth*1000,H96/MAX(0.001,1/(1/M96+1/N96-1/(0.75*'KT THAN'!$C$62))),'KT THAN'!$C$32*ABS(J96)/MAX('KT THAN'!$C$68,0.001)+'KT THAN'!$D$32*ABS(I96)/MAX('KT THAN'!$D$68,0.001)))))</f>
        <v>0.74992140426721443</v>
      </c>
      <c r="P96" s="37" t="str">
        <f t="shared" si="16"/>
        <v>ĐẠT</v>
      </c>
      <c r="Q96" s="39">
        <f>IF($A96="","",MAX(0.001,'KT THAN'!$C$32*ABS(J96)/MAX(1,H96)))</f>
        <v>1.8778679118466559</v>
      </c>
      <c r="R96" s="39">
        <f>IF($A96="","",MAX(0.001,'KT THAN'!$D$32*ABS(I96)/MAX(1,H96)))</f>
        <v>0.56810808294536563</v>
      </c>
      <c r="S96" t="str">
        <f t="shared" si="17"/>
        <v/>
      </c>
    </row>
    <row r="97" spans="1:19" x14ac:dyDescent="0.3">
      <c r="A97" s="37" t="str">
        <f>IF(AND(nThan=1,2=2),"",'TO HOP'!B173)</f>
        <v/>
      </c>
      <c r="B97" s="39" t="str">
        <f>IF(A97="","",'TO HOP'!E173)</f>
        <v/>
      </c>
      <c r="C97" s="39" t="str">
        <f>IF(A97="","",'TO HOP'!F173)</f>
        <v/>
      </c>
      <c r="D97" s="39" t="str">
        <f>IF(A97="","",'TO HOP'!G173)</f>
        <v/>
      </c>
      <c r="E97" s="39" t="str">
        <f>IF(A97="","",'TO HOP'!C173)</f>
        <v/>
      </c>
      <c r="F97" s="39" t="str">
        <f>IF(A97="","",'TO HOP'!D173)</f>
        <v/>
      </c>
      <c r="G97" s="39" t="str">
        <f>IF(A97="","",2)</f>
        <v/>
      </c>
      <c r="H97" s="39" t="str">
        <f>IF(A97="","",IF(nThan=1,B97,B97/2+(-1)*$B$7*C97/sThan))</f>
        <v/>
      </c>
      <c r="I97" s="39" t="str">
        <f t="shared" si="12"/>
        <v/>
      </c>
      <c r="J97" s="39" t="str">
        <f t="shared" si="13"/>
        <v/>
      </c>
      <c r="K97" s="39" t="str">
        <f t="shared" si="14"/>
        <v/>
      </c>
      <c r="L97" s="39" t="str">
        <f t="shared" si="15"/>
        <v/>
      </c>
      <c r="M97" s="39" t="str">
        <f>IF($A97="","",IF(H97=0,"",IF(Q97&lt;=0.000000001,MIN(0.8*0.75*'KT THAN'!$C$62,MAX('KT THAN'!$J$38:$J$58)),IFERROR(MIN(0.8*0.75*'KT THAN'!$C$62,INDEX('KT THAN'!$J$38:$J$58,MATCH(Q97,'KT THAN'!$L$38:$L$58,-1))+(INDEX('KT THAN'!$J$38:$J$58,MIN(21,MATCH(Q97,'KT THAN'!$L$38:$L$58,-1)+1))-INDEX('KT THAN'!$J$38:$J$58,MATCH(Q97,'KT THAN'!$L$38:$L$58,-1)))*(Q97-INDEX('KT THAN'!$L$38:$L$58,MATCH(Q97,'KT THAN'!$L$38:$L$58,-1)))/(INDEX('KT THAN'!$L$38:$L$58,MIN(21,MATCH(Q97,'KT THAN'!$L$38:$L$58,-1)+1))-INDEX('KT THAN'!$L$38:$L$58,MATCH(Q97,'KT THAN'!$L$38:$L$58,-1)))),MIN(0.8*0.75*'KT THAN'!$C$62,'KT THAN'!$C$68/Q97)))))</f>
        <v/>
      </c>
      <c r="N97" s="39" t="str">
        <f>IF($A97="","",IF(H97=0,"",IF(R97&lt;=0.000000001,MIN(0.8*0.75*'KT THAN'!$C$62,MAX('KT THAN'!$W$38:$W$58)),IFERROR(MIN(0.8*0.75*'KT THAN'!$C$62,INDEX('KT THAN'!$W$38:$W$58,MATCH(R97,'KT THAN'!$Y$38:$Y$58,-1))+(INDEX('KT THAN'!$W$38:$W$58,MIN(21,MATCH(R97,'KT THAN'!$Y$38:$Y$58,-1)+1))-INDEX('KT THAN'!$W$38:$W$58,MATCH(R97,'KT THAN'!$Y$38:$Y$58,-1)))*(R97-INDEX('KT THAN'!$Y$38:$Y$58,MATCH(R97,'KT THAN'!$Y$38:$Y$58,-1)))/(INDEX('KT THAN'!$Y$38:$Y$58,MIN(21,MATCH(R97,'KT THAN'!$Y$38:$Y$58,-1)+1))-INDEX('KT THAN'!$Y$38:$Y$58,MATCH(R97,'KT THAN'!$Y$38:$Y$58,-1)))),MIN(0.8*0.75*'KT THAN'!$C$62,'KT THAN'!$D$68/R97)))))</f>
        <v/>
      </c>
      <c r="O97" s="39" t="str">
        <f>IF($A97="","",IF(H97&lt;0,ABS(H97)/MAX('KT THAN'!$C$69,0.001)+'KT THAN'!$C$32*ABS(J97)/MAX('KT THAN'!$C$68,0.001)+'KT THAN'!$D$32*ABS(I97)/MAX('KT THAN'!$D$68,0.001),IF(OR(M97&lt;=0,N97&lt;=0),999,IF(H97&gt;=0.1*0.75*fc_*Agth*1000,H97/MAX(0.001,1/(1/M97+1/N97-1/(0.75*'KT THAN'!$C$62))),'KT THAN'!$C$32*ABS(J97)/MAX('KT THAN'!$C$68,0.001)+'KT THAN'!$D$32*ABS(I97)/MAX('KT THAN'!$D$68,0.001)))))</f>
        <v/>
      </c>
      <c r="P97" s="37" t="str">
        <f t="shared" si="16"/>
        <v/>
      </c>
      <c r="Q97" s="39" t="str">
        <f>IF($A97="","",MAX(0.001,'KT THAN'!$C$32*ABS(J97)/MAX(1,H97)))</f>
        <v/>
      </c>
      <c r="R97" s="39" t="str">
        <f>IF($A97="","",MAX(0.001,'KT THAN'!$D$32*ABS(I97)/MAX(1,H97)))</f>
        <v/>
      </c>
      <c r="S97" t="str">
        <f t="shared" si="17"/>
        <v/>
      </c>
    </row>
    <row r="98" spans="1:19" x14ac:dyDescent="0.3">
      <c r="A98" s="37" t="str">
        <f>IF(AND(nThan=1,1=2),"",'TO HOP'!B174)</f>
        <v>CĐ I(b) min - 1 nhịp 2 làn</v>
      </c>
      <c r="B98" s="39">
        <f>IF(A98="","",'TO HOP'!E174)</f>
        <v>21749.957577263987</v>
      </c>
      <c r="C98" s="39">
        <f>IF(A98="","",'TO HOP'!F174)</f>
        <v>16820.569704166668</v>
      </c>
      <c r="D98" s="39">
        <f>IF(A98="","",'TO HOP'!G174)</f>
        <v>35898.849241949254</v>
      </c>
      <c r="E98" s="39">
        <f>IF(A98="","",'TO HOP'!C174)</f>
        <v>2697.1364775610136</v>
      </c>
      <c r="F98" s="39">
        <f>IF(A98="","",'TO HOP'!D174)</f>
        <v>0</v>
      </c>
      <c r="G98" s="39">
        <f>IF(A98="","",1)</f>
        <v>1</v>
      </c>
      <c r="H98" s="39">
        <f>IF(A98="","",IF(nThan=1,B98,B98/2+(1)*$B$7*C98/sThan))</f>
        <v>21749.957577263987</v>
      </c>
      <c r="I98" s="39">
        <f t="shared" si="12"/>
        <v>16820.569704166668</v>
      </c>
      <c r="J98" s="39">
        <f t="shared" si="13"/>
        <v>35898.849241949254</v>
      </c>
      <c r="K98" s="39">
        <f t="shared" si="14"/>
        <v>2697.1364775610136</v>
      </c>
      <c r="L98" s="39">
        <f t="shared" si="15"/>
        <v>0</v>
      </c>
      <c r="M98" s="39">
        <f>IF($A98="","",IF(H98=0,"",IF(Q98&lt;=0.000000001,MIN(0.8*0.75*'KT THAN'!$C$62,MAX('KT THAN'!$J$38:$J$58)),IFERROR(MIN(0.8*0.75*'KT THAN'!$C$62,INDEX('KT THAN'!$J$38:$J$58,MATCH(Q98,'KT THAN'!$L$38:$L$58,-1))+(INDEX('KT THAN'!$J$38:$J$58,MIN(21,MATCH(Q98,'KT THAN'!$L$38:$L$58,-1)+1))-INDEX('KT THAN'!$J$38:$J$58,MATCH(Q98,'KT THAN'!$L$38:$L$58,-1)))*(Q98-INDEX('KT THAN'!$L$38:$L$58,MATCH(Q98,'KT THAN'!$L$38:$L$58,-1)))/(INDEX('KT THAN'!$L$38:$L$58,MIN(21,MATCH(Q98,'KT THAN'!$L$38:$L$58,-1)+1))-INDEX('KT THAN'!$L$38:$L$58,MATCH(Q98,'KT THAN'!$L$38:$L$58,-1)))),MIN(0.8*0.75*'KT THAN'!$C$62,'KT THAN'!$C$68/Q98)))))</f>
        <v>29823.240676075126</v>
      </c>
      <c r="N98" s="39">
        <f>IF($A98="","",IF(H98=0,"",IF(R98&lt;=0.000000001,MIN(0.8*0.75*'KT THAN'!$C$62,MAX('KT THAN'!$W$38:$W$58)),IFERROR(MIN(0.8*0.75*'KT THAN'!$C$62,INDEX('KT THAN'!$W$38:$W$58,MATCH(R98,'KT THAN'!$Y$38:$Y$58,-1))+(INDEX('KT THAN'!$W$38:$W$58,MIN(21,MATCH(R98,'KT THAN'!$Y$38:$Y$58,-1)+1))-INDEX('KT THAN'!$W$38:$W$58,MATCH(R98,'KT THAN'!$Y$38:$Y$58,-1)))*(R98-INDEX('KT THAN'!$Y$38:$Y$58,MATCH(R98,'KT THAN'!$Y$38:$Y$58,-1)))/(INDEX('KT THAN'!$Y$38:$Y$58,MIN(21,MATCH(R98,'KT THAN'!$Y$38:$Y$58,-1)+1))-INDEX('KT THAN'!$Y$38:$Y$58,MATCH(R98,'KT THAN'!$Y$38:$Y$58,-1)))),MIN(0.8*0.75*'KT THAN'!$C$62,'KT THAN'!$D$68/R98)))))</f>
        <v>139138.06543550603</v>
      </c>
      <c r="O98" s="39">
        <f>IF($A98="","",IF(H98&lt;0,ABS(H98)/MAX('KT THAN'!$C$69,0.001)+'KT THAN'!$C$32*ABS(J98)/MAX('KT THAN'!$C$68,0.001)+'KT THAN'!$D$32*ABS(I98)/MAX('KT THAN'!$D$68,0.001),IF(OR(M98&lt;=0,N98&lt;=0),999,IF(H98&gt;=0.1*0.75*fc_*Agth*1000,H98/MAX(0.001,1/(1/M98+1/N98-1/(0.75*'KT THAN'!$C$62))),'KT THAN'!$C$32*ABS(J98)/MAX('KT THAN'!$C$68,0.001)+'KT THAN'!$D$32*ABS(I98)/MAX('KT THAN'!$D$68,0.001)))))</f>
        <v>0.77601776938921962</v>
      </c>
      <c r="P98" s="37" t="str">
        <f t="shared" si="16"/>
        <v>ĐẠT</v>
      </c>
      <c r="Q98" s="39">
        <f>IF($A98="","",MAX(0.001,'KT THAN'!$C$32*ABS(J98)/MAX(1,H98)))</f>
        <v>1.8456793245942023</v>
      </c>
      <c r="R98" s="39">
        <f>IF($A98="","",MAX(0.001,'KT THAN'!$D$32*ABS(I98)/MAX(1,H98)))</f>
        <v>0.77336103504633102</v>
      </c>
      <c r="S98" t="str">
        <f t="shared" si="17"/>
        <v/>
      </c>
    </row>
    <row r="99" spans="1:19" x14ac:dyDescent="0.3">
      <c r="A99" s="37" t="str">
        <f>IF(AND(nThan=1,2=2),"",'TO HOP'!B174)</f>
        <v/>
      </c>
      <c r="B99" s="39" t="str">
        <f>IF(A99="","",'TO HOP'!E174)</f>
        <v/>
      </c>
      <c r="C99" s="39" t="str">
        <f>IF(A99="","",'TO HOP'!F174)</f>
        <v/>
      </c>
      <c r="D99" s="39" t="str">
        <f>IF(A99="","",'TO HOP'!G174)</f>
        <v/>
      </c>
      <c r="E99" s="39" t="str">
        <f>IF(A99="","",'TO HOP'!C174)</f>
        <v/>
      </c>
      <c r="F99" s="39" t="str">
        <f>IF(A99="","",'TO HOP'!D174)</f>
        <v/>
      </c>
      <c r="G99" s="39" t="str">
        <f>IF(A99="","",2)</f>
        <v/>
      </c>
      <c r="H99" s="39" t="str">
        <f>IF(A99="","",IF(nThan=1,B99,B99/2+(-1)*$B$7*C99/sThan))</f>
        <v/>
      </c>
      <c r="I99" s="39" t="str">
        <f t="shared" si="12"/>
        <v/>
      </c>
      <c r="J99" s="39" t="str">
        <f t="shared" si="13"/>
        <v/>
      </c>
      <c r="K99" s="39" t="str">
        <f t="shared" si="14"/>
        <v/>
      </c>
      <c r="L99" s="39" t="str">
        <f t="shared" si="15"/>
        <v/>
      </c>
      <c r="M99" s="39" t="str">
        <f>IF($A99="","",IF(H99=0,"",IF(Q99&lt;=0.000000001,MIN(0.8*0.75*'KT THAN'!$C$62,MAX('KT THAN'!$J$38:$J$58)),IFERROR(MIN(0.8*0.75*'KT THAN'!$C$62,INDEX('KT THAN'!$J$38:$J$58,MATCH(Q99,'KT THAN'!$L$38:$L$58,-1))+(INDEX('KT THAN'!$J$38:$J$58,MIN(21,MATCH(Q99,'KT THAN'!$L$38:$L$58,-1)+1))-INDEX('KT THAN'!$J$38:$J$58,MATCH(Q99,'KT THAN'!$L$38:$L$58,-1)))*(Q99-INDEX('KT THAN'!$L$38:$L$58,MATCH(Q99,'KT THAN'!$L$38:$L$58,-1)))/(INDEX('KT THAN'!$L$38:$L$58,MIN(21,MATCH(Q99,'KT THAN'!$L$38:$L$58,-1)+1))-INDEX('KT THAN'!$L$38:$L$58,MATCH(Q99,'KT THAN'!$L$38:$L$58,-1)))),MIN(0.8*0.75*'KT THAN'!$C$62,'KT THAN'!$C$68/Q99)))))</f>
        <v/>
      </c>
      <c r="N99" s="39" t="str">
        <f>IF($A99="","",IF(H99=0,"",IF(R99&lt;=0.000000001,MIN(0.8*0.75*'KT THAN'!$C$62,MAX('KT THAN'!$W$38:$W$58)),IFERROR(MIN(0.8*0.75*'KT THAN'!$C$62,INDEX('KT THAN'!$W$38:$W$58,MATCH(R99,'KT THAN'!$Y$38:$Y$58,-1))+(INDEX('KT THAN'!$W$38:$W$58,MIN(21,MATCH(R99,'KT THAN'!$Y$38:$Y$58,-1)+1))-INDEX('KT THAN'!$W$38:$W$58,MATCH(R99,'KT THAN'!$Y$38:$Y$58,-1)))*(R99-INDEX('KT THAN'!$Y$38:$Y$58,MATCH(R99,'KT THAN'!$Y$38:$Y$58,-1)))/(INDEX('KT THAN'!$Y$38:$Y$58,MIN(21,MATCH(R99,'KT THAN'!$Y$38:$Y$58,-1)+1))-INDEX('KT THAN'!$Y$38:$Y$58,MATCH(R99,'KT THAN'!$Y$38:$Y$58,-1)))),MIN(0.8*0.75*'KT THAN'!$C$62,'KT THAN'!$D$68/R99)))))</f>
        <v/>
      </c>
      <c r="O99" s="39" t="str">
        <f>IF($A99="","",IF(H99&lt;0,ABS(H99)/MAX('KT THAN'!$C$69,0.001)+'KT THAN'!$C$32*ABS(J99)/MAX('KT THAN'!$C$68,0.001)+'KT THAN'!$D$32*ABS(I99)/MAX('KT THAN'!$D$68,0.001),IF(OR(M99&lt;=0,N99&lt;=0),999,IF(H99&gt;=0.1*0.75*fc_*Agth*1000,H99/MAX(0.001,1/(1/M99+1/N99-1/(0.75*'KT THAN'!$C$62))),'KT THAN'!$C$32*ABS(J99)/MAX('KT THAN'!$C$68,0.001)+'KT THAN'!$D$32*ABS(I99)/MAX('KT THAN'!$D$68,0.001)))))</f>
        <v/>
      </c>
      <c r="P99" s="37" t="str">
        <f t="shared" si="16"/>
        <v/>
      </c>
      <c r="Q99" s="39" t="str">
        <f>IF($A99="","",MAX(0.001,'KT THAN'!$C$32*ABS(J99)/MAX(1,H99)))</f>
        <v/>
      </c>
      <c r="R99" s="39" t="str">
        <f>IF($A99="","",MAX(0.001,'KT THAN'!$D$32*ABS(I99)/MAX(1,H99)))</f>
        <v/>
      </c>
      <c r="S99" t="str">
        <f t="shared" si="17"/>
        <v/>
      </c>
    </row>
    <row r="100" spans="1:19" x14ac:dyDescent="0.3">
      <c r="A100" s="37" t="str">
        <f>IF(AND(nThan=1,1=2),"",'TO HOP'!B175)</f>
        <v>CĐ I(b) min - 1 nhịp 3 làn</v>
      </c>
      <c r="B100" s="39">
        <f>IF(A100="","",'TO HOP'!E175)</f>
        <v>22302.274791430656</v>
      </c>
      <c r="C100" s="39">
        <f>IF(A100="","",'TO HOP'!F175)</f>
        <v>17605.111201562504</v>
      </c>
      <c r="D100" s="39">
        <f>IF(A100="","",'TO HOP'!G175)</f>
        <v>36395.934734699251</v>
      </c>
      <c r="E100" s="39">
        <f>IF(A100="","",'TO HOP'!C175)</f>
        <v>2697.1364775610136</v>
      </c>
      <c r="F100" s="39">
        <f>IF(A100="","",'TO HOP'!D175)</f>
        <v>0</v>
      </c>
      <c r="G100" s="39">
        <f>IF(A100="","",1)</f>
        <v>1</v>
      </c>
      <c r="H100" s="39">
        <f>IF(A100="","",IF(nThan=1,B100,B100/2+(1)*$B$7*C100/sThan))</f>
        <v>22302.274791430656</v>
      </c>
      <c r="I100" s="39">
        <f t="shared" si="12"/>
        <v>17605.111201562504</v>
      </c>
      <c r="J100" s="39">
        <f t="shared" si="13"/>
        <v>36395.934734699251</v>
      </c>
      <c r="K100" s="39">
        <f t="shared" si="14"/>
        <v>2697.1364775610136</v>
      </c>
      <c r="L100" s="39">
        <f t="shared" si="15"/>
        <v>0</v>
      </c>
      <c r="M100" s="39">
        <f>IF($A100="","",IF(H100=0,"",IF(Q100&lt;=0.000000001,MIN(0.8*0.75*'KT THAN'!$C$62,MAX('KT THAN'!$J$38:$J$58)),IFERROR(MIN(0.8*0.75*'KT THAN'!$C$62,INDEX('KT THAN'!$J$38:$J$58,MATCH(Q100,'KT THAN'!$L$38:$L$58,-1))+(INDEX('KT THAN'!$J$38:$J$58,MIN(21,MATCH(Q100,'KT THAN'!$L$38:$L$58,-1)+1))-INDEX('KT THAN'!$J$38:$J$58,MATCH(Q100,'KT THAN'!$L$38:$L$58,-1)))*(Q100-INDEX('KT THAN'!$L$38:$L$58,MATCH(Q100,'KT THAN'!$L$38:$L$58,-1)))/(INDEX('KT THAN'!$L$38:$L$58,MIN(21,MATCH(Q100,'KT THAN'!$L$38:$L$58,-1)+1))-INDEX('KT THAN'!$L$38:$L$58,MATCH(Q100,'KT THAN'!$L$38:$L$58,-1)))),MIN(0.8*0.75*'KT THAN'!$C$62,'KT THAN'!$C$68/Q100)))))</f>
        <v>30270.52429060583</v>
      </c>
      <c r="N100" s="39">
        <f>IF($A100="","",IF(H100=0,"",IF(R100&lt;=0.000000001,MIN(0.8*0.75*'KT THAN'!$C$62,MAX('KT THAN'!$W$38:$W$58)),IFERROR(MIN(0.8*0.75*'KT THAN'!$C$62,INDEX('KT THAN'!$W$38:$W$58,MATCH(R100,'KT THAN'!$Y$38:$Y$58,-1))+(INDEX('KT THAN'!$W$38:$W$58,MIN(21,MATCH(R100,'KT THAN'!$Y$38:$Y$58,-1)+1))-INDEX('KT THAN'!$W$38:$W$58,MATCH(R100,'KT THAN'!$Y$38:$Y$58,-1)))*(R100-INDEX('KT THAN'!$Y$38:$Y$58,MATCH(R100,'KT THAN'!$Y$38:$Y$58,-1)))/(INDEX('KT THAN'!$Y$38:$Y$58,MIN(21,MATCH(R100,'KT THAN'!$Y$38:$Y$58,-1)+1))-INDEX('KT THAN'!$Y$38:$Y$58,MATCH(R100,'KT THAN'!$Y$38:$Y$58,-1)))),MIN(0.8*0.75*'KT THAN'!$C$62,'KT THAN'!$D$68/R100)))))</f>
        <v>138074.04004177914</v>
      </c>
      <c r="O100" s="39">
        <f>IF($A100="","",IF(H100&lt;0,ABS(H100)/MAX('KT THAN'!$C$69,0.001)+'KT THAN'!$C$32*ABS(J100)/MAX('KT THAN'!$C$68,0.001)+'KT THAN'!$D$32*ABS(I100)/MAX('KT THAN'!$D$68,0.001),IF(OR(M100&lt;=0,N100&lt;=0),999,IF(H100&gt;=0.1*0.75*fc_*Agth*1000,H100/MAX(0.001,1/(1/M100+1/N100-1/(0.75*'KT THAN'!$C$62))),'KT THAN'!$C$32*ABS(J100)/MAX('KT THAN'!$C$68,0.001)+'KT THAN'!$D$32*ABS(I100)/MAX('KT THAN'!$D$68,0.001)))))</f>
        <v>0.7859092629768144</v>
      </c>
      <c r="P100" s="37" t="str">
        <f t="shared" si="16"/>
        <v>ĐẠT</v>
      </c>
      <c r="Q100" s="39">
        <f>IF($A100="","",MAX(0.001,'KT THAN'!$C$32*ABS(J100)/MAX(1,H100)))</f>
        <v>1.8248948654547348</v>
      </c>
      <c r="R100" s="39">
        <f>IF($A100="","",MAX(0.001,'KT THAN'!$D$32*ABS(I100)/MAX(1,H100)))</f>
        <v>0.78938634584159217</v>
      </c>
      <c r="S100" t="str">
        <f t="shared" si="17"/>
        <v/>
      </c>
    </row>
    <row r="101" spans="1:19" x14ac:dyDescent="0.3">
      <c r="A101" s="37" t="str">
        <f>IF(AND(nThan=1,2=2),"",'TO HOP'!B175)</f>
        <v/>
      </c>
      <c r="B101" s="39" t="str">
        <f>IF(A101="","",'TO HOP'!E175)</f>
        <v/>
      </c>
      <c r="C101" s="39" t="str">
        <f>IF(A101="","",'TO HOP'!F175)</f>
        <v/>
      </c>
      <c r="D101" s="39" t="str">
        <f>IF(A101="","",'TO HOP'!G175)</f>
        <v/>
      </c>
      <c r="E101" s="39" t="str">
        <f>IF(A101="","",'TO HOP'!C175)</f>
        <v/>
      </c>
      <c r="F101" s="39" t="str">
        <f>IF(A101="","",'TO HOP'!D175)</f>
        <v/>
      </c>
      <c r="G101" s="39" t="str">
        <f>IF(A101="","",2)</f>
        <v/>
      </c>
      <c r="H101" s="39" t="str">
        <f>IF(A101="","",IF(nThan=1,B101,B101/2+(-1)*$B$7*C101/sThan))</f>
        <v/>
      </c>
      <c r="I101" s="39" t="str">
        <f t="shared" si="12"/>
        <v/>
      </c>
      <c r="J101" s="39" t="str">
        <f t="shared" si="13"/>
        <v/>
      </c>
      <c r="K101" s="39" t="str">
        <f t="shared" si="14"/>
        <v/>
      </c>
      <c r="L101" s="39" t="str">
        <f t="shared" si="15"/>
        <v/>
      </c>
      <c r="M101" s="39" t="str">
        <f>IF($A101="","",IF(H101=0,"",IF(Q101&lt;=0.000000001,MIN(0.8*0.75*'KT THAN'!$C$62,MAX('KT THAN'!$J$38:$J$58)),IFERROR(MIN(0.8*0.75*'KT THAN'!$C$62,INDEX('KT THAN'!$J$38:$J$58,MATCH(Q101,'KT THAN'!$L$38:$L$58,-1))+(INDEX('KT THAN'!$J$38:$J$58,MIN(21,MATCH(Q101,'KT THAN'!$L$38:$L$58,-1)+1))-INDEX('KT THAN'!$J$38:$J$58,MATCH(Q101,'KT THAN'!$L$38:$L$58,-1)))*(Q101-INDEX('KT THAN'!$L$38:$L$58,MATCH(Q101,'KT THAN'!$L$38:$L$58,-1)))/(INDEX('KT THAN'!$L$38:$L$58,MIN(21,MATCH(Q101,'KT THAN'!$L$38:$L$58,-1)+1))-INDEX('KT THAN'!$L$38:$L$58,MATCH(Q101,'KT THAN'!$L$38:$L$58,-1)))),MIN(0.8*0.75*'KT THAN'!$C$62,'KT THAN'!$C$68/Q101)))))</f>
        <v/>
      </c>
      <c r="N101" s="39" t="str">
        <f>IF($A101="","",IF(H101=0,"",IF(R101&lt;=0.000000001,MIN(0.8*0.75*'KT THAN'!$C$62,MAX('KT THAN'!$W$38:$W$58)),IFERROR(MIN(0.8*0.75*'KT THAN'!$C$62,INDEX('KT THAN'!$W$38:$W$58,MATCH(R101,'KT THAN'!$Y$38:$Y$58,-1))+(INDEX('KT THAN'!$W$38:$W$58,MIN(21,MATCH(R101,'KT THAN'!$Y$38:$Y$58,-1)+1))-INDEX('KT THAN'!$W$38:$W$58,MATCH(R101,'KT THAN'!$Y$38:$Y$58,-1)))*(R101-INDEX('KT THAN'!$Y$38:$Y$58,MATCH(R101,'KT THAN'!$Y$38:$Y$58,-1)))/(INDEX('KT THAN'!$Y$38:$Y$58,MIN(21,MATCH(R101,'KT THAN'!$Y$38:$Y$58,-1)+1))-INDEX('KT THAN'!$Y$38:$Y$58,MATCH(R101,'KT THAN'!$Y$38:$Y$58,-1)))),MIN(0.8*0.75*'KT THAN'!$C$62,'KT THAN'!$D$68/R101)))))</f>
        <v/>
      </c>
      <c r="O101" s="39" t="str">
        <f>IF($A101="","",IF(H101&lt;0,ABS(H101)/MAX('KT THAN'!$C$69,0.001)+'KT THAN'!$C$32*ABS(J101)/MAX('KT THAN'!$C$68,0.001)+'KT THAN'!$D$32*ABS(I101)/MAX('KT THAN'!$D$68,0.001),IF(OR(M101&lt;=0,N101&lt;=0),999,IF(H101&gt;=0.1*0.75*fc_*Agth*1000,H101/MAX(0.001,1/(1/M101+1/N101-1/(0.75*'KT THAN'!$C$62))),'KT THAN'!$C$32*ABS(J101)/MAX('KT THAN'!$C$68,0.001)+'KT THAN'!$D$32*ABS(I101)/MAX('KT THAN'!$D$68,0.001)))))</f>
        <v/>
      </c>
      <c r="P101" s="37" t="str">
        <f t="shared" si="16"/>
        <v/>
      </c>
      <c r="Q101" s="39" t="str">
        <f>IF($A101="","",MAX(0.001,'KT THAN'!$C$32*ABS(J101)/MAX(1,H101)))</f>
        <v/>
      </c>
      <c r="R101" s="39" t="str">
        <f>IF($A101="","",MAX(0.001,'KT THAN'!$D$32*ABS(I101)/MAX(1,H101)))</f>
        <v/>
      </c>
      <c r="S101" t="str">
        <f t="shared" si="17"/>
        <v/>
      </c>
    </row>
    <row r="102" spans="1:19" x14ac:dyDescent="0.3">
      <c r="A102" s="37" t="str">
        <f>IF(AND(nThan=1,1=2),"",'TO HOP'!B176)</f>
        <v>CĐ I(b) min - 1 nhịp 4 làn</v>
      </c>
      <c r="B102" s="39">
        <f>IF(A102="","",'TO HOP'!E176)</f>
        <v>22352.485447263989</v>
      </c>
      <c r="C102" s="39">
        <f>IF(A102="","",'TO HOP'!F176)</f>
        <v>14033.878305416669</v>
      </c>
      <c r="D102" s="39">
        <f>IF(A102="","",'TO HOP'!G176)</f>
        <v>36441.124324949247</v>
      </c>
      <c r="E102" s="39">
        <f>IF(A102="","",'TO HOP'!C176)</f>
        <v>2697.1364775610136</v>
      </c>
      <c r="F102" s="39">
        <f>IF(A102="","",'TO HOP'!D176)</f>
        <v>0</v>
      </c>
      <c r="G102" s="39">
        <f>IF(A102="","",1)</f>
        <v>1</v>
      </c>
      <c r="H102" s="39">
        <f>IF(A102="","",IF(nThan=1,B102,B102/2+(1)*$B$7*C102/sThan))</f>
        <v>22352.485447263989</v>
      </c>
      <c r="I102" s="39">
        <f t="shared" si="12"/>
        <v>14033.878305416669</v>
      </c>
      <c r="J102" s="39">
        <f t="shared" si="13"/>
        <v>36441.124324949247</v>
      </c>
      <c r="K102" s="39">
        <f t="shared" si="14"/>
        <v>2697.1364775610136</v>
      </c>
      <c r="L102" s="39">
        <f t="shared" si="15"/>
        <v>0</v>
      </c>
      <c r="M102" s="39">
        <f>IF($A102="","",IF(H102=0,"",IF(Q102&lt;=0.000000001,MIN(0.8*0.75*'KT THAN'!$C$62,MAX('KT THAN'!$J$38:$J$58)),IFERROR(MIN(0.8*0.75*'KT THAN'!$C$62,INDEX('KT THAN'!$J$38:$J$58,MATCH(Q102,'KT THAN'!$L$38:$L$58,-1))+(INDEX('KT THAN'!$J$38:$J$58,MIN(21,MATCH(Q102,'KT THAN'!$L$38:$L$58,-1)+1))-INDEX('KT THAN'!$J$38:$J$58,MATCH(Q102,'KT THAN'!$L$38:$L$58,-1)))*(Q102-INDEX('KT THAN'!$L$38:$L$58,MATCH(Q102,'KT THAN'!$L$38:$L$58,-1)))/(INDEX('KT THAN'!$L$38:$L$58,MIN(21,MATCH(Q102,'KT THAN'!$L$38:$L$58,-1)+1))-INDEX('KT THAN'!$L$38:$L$58,MATCH(Q102,'KT THAN'!$L$38:$L$58,-1)))),MIN(0.8*0.75*'KT THAN'!$C$62,'KT THAN'!$C$68/Q102)))))</f>
        <v>30310.090358972346</v>
      </c>
      <c r="N102" s="39">
        <f>IF($A102="","",IF(H102=0,"",IF(R102&lt;=0.000000001,MIN(0.8*0.75*'KT THAN'!$C$62,MAX('KT THAN'!$W$38:$W$58)),IFERROR(MIN(0.8*0.75*'KT THAN'!$C$62,INDEX('KT THAN'!$W$38:$W$58,MATCH(R102,'KT THAN'!$Y$38:$Y$58,-1))+(INDEX('KT THAN'!$W$38:$W$58,MIN(21,MATCH(R102,'KT THAN'!$Y$38:$Y$58,-1)+1))-INDEX('KT THAN'!$W$38:$W$58,MATCH(R102,'KT THAN'!$Y$38:$Y$58,-1)))*(R102-INDEX('KT THAN'!$Y$38:$Y$58,MATCH(R102,'KT THAN'!$Y$38:$Y$58,-1)))/(INDEX('KT THAN'!$Y$38:$Y$58,MIN(21,MATCH(R102,'KT THAN'!$Y$38:$Y$58,-1)+1))-INDEX('KT THAN'!$Y$38:$Y$58,MATCH(R102,'KT THAN'!$Y$38:$Y$58,-1)))),MIN(0.8*0.75*'KT THAN'!$C$62,'KT THAN'!$D$68/R102)))))</f>
        <v>149318.84652503478</v>
      </c>
      <c r="O102" s="39">
        <f>IF($A102="","",IF(H102&lt;0,ABS(H102)/MAX('KT THAN'!$C$69,0.001)+'KT THAN'!$C$32*ABS(J102)/MAX('KT THAN'!$C$68,0.001)+'KT THAN'!$D$32*ABS(I102)/MAX('KT THAN'!$D$68,0.001),IF(OR(M102&lt;=0,N102&lt;=0),999,IF(H102&gt;=0.1*0.75*fc_*Agth*1000,H102/MAX(0.001,1/(1/M102+1/N102-1/(0.75*'KT THAN'!$C$62))),'KT THAN'!$C$32*ABS(J102)/MAX('KT THAN'!$C$68,0.001)+'KT THAN'!$D$32*ABS(I102)/MAX('KT THAN'!$D$68,0.001)))))</f>
        <v>0.77452338199985171</v>
      </c>
      <c r="P102" s="37" t="str">
        <f t="shared" si="16"/>
        <v>ĐẠT</v>
      </c>
      <c r="Q102" s="39">
        <f>IF($A102="","",MAX(0.001,'KT THAN'!$C$32*ABS(J102)/MAX(1,H102)))</f>
        <v>1.8230563019470238</v>
      </c>
      <c r="R102" s="39">
        <f>IF($A102="","",MAX(0.001,'KT THAN'!$D$32*ABS(I102)/MAX(1,H102)))</f>
        <v>0.62784419828956683</v>
      </c>
      <c r="S102" t="str">
        <f t="shared" si="17"/>
        <v/>
      </c>
    </row>
    <row r="103" spans="1:19" x14ac:dyDescent="0.3">
      <c r="A103" s="37" t="str">
        <f>IF(AND(nThan=1,2=2),"",'TO HOP'!B176)</f>
        <v/>
      </c>
      <c r="B103" s="39" t="str">
        <f>IF(A103="","",'TO HOP'!E176)</f>
        <v/>
      </c>
      <c r="C103" s="39" t="str">
        <f>IF(A103="","",'TO HOP'!F176)</f>
        <v/>
      </c>
      <c r="D103" s="39" t="str">
        <f>IF(A103="","",'TO HOP'!G176)</f>
        <v/>
      </c>
      <c r="E103" s="39" t="str">
        <f>IF(A103="","",'TO HOP'!C176)</f>
        <v/>
      </c>
      <c r="F103" s="39" t="str">
        <f>IF(A103="","",'TO HOP'!D176)</f>
        <v/>
      </c>
      <c r="G103" s="39" t="str">
        <f>IF(A103="","",2)</f>
        <v/>
      </c>
      <c r="H103" s="39" t="str">
        <f>IF(A103="","",IF(nThan=1,B103,B103/2+(-1)*$B$7*C103/sThan))</f>
        <v/>
      </c>
      <c r="I103" s="39" t="str">
        <f t="shared" si="12"/>
        <v/>
      </c>
      <c r="J103" s="39" t="str">
        <f t="shared" si="13"/>
        <v/>
      </c>
      <c r="K103" s="39" t="str">
        <f t="shared" si="14"/>
        <v/>
      </c>
      <c r="L103" s="39" t="str">
        <f t="shared" si="15"/>
        <v/>
      </c>
      <c r="M103" s="39" t="str">
        <f>IF($A103="","",IF(H103=0,"",IF(Q103&lt;=0.000000001,MIN(0.8*0.75*'KT THAN'!$C$62,MAX('KT THAN'!$J$38:$J$58)),IFERROR(MIN(0.8*0.75*'KT THAN'!$C$62,INDEX('KT THAN'!$J$38:$J$58,MATCH(Q103,'KT THAN'!$L$38:$L$58,-1))+(INDEX('KT THAN'!$J$38:$J$58,MIN(21,MATCH(Q103,'KT THAN'!$L$38:$L$58,-1)+1))-INDEX('KT THAN'!$J$38:$J$58,MATCH(Q103,'KT THAN'!$L$38:$L$58,-1)))*(Q103-INDEX('KT THAN'!$L$38:$L$58,MATCH(Q103,'KT THAN'!$L$38:$L$58,-1)))/(INDEX('KT THAN'!$L$38:$L$58,MIN(21,MATCH(Q103,'KT THAN'!$L$38:$L$58,-1)+1))-INDEX('KT THAN'!$L$38:$L$58,MATCH(Q103,'KT THAN'!$L$38:$L$58,-1)))),MIN(0.8*0.75*'KT THAN'!$C$62,'KT THAN'!$C$68/Q103)))))</f>
        <v/>
      </c>
      <c r="N103" s="39" t="str">
        <f>IF($A103="","",IF(H103=0,"",IF(R103&lt;=0.000000001,MIN(0.8*0.75*'KT THAN'!$C$62,MAX('KT THAN'!$W$38:$W$58)),IFERROR(MIN(0.8*0.75*'KT THAN'!$C$62,INDEX('KT THAN'!$W$38:$W$58,MATCH(R103,'KT THAN'!$Y$38:$Y$58,-1))+(INDEX('KT THAN'!$W$38:$W$58,MIN(21,MATCH(R103,'KT THAN'!$Y$38:$Y$58,-1)+1))-INDEX('KT THAN'!$W$38:$W$58,MATCH(R103,'KT THAN'!$Y$38:$Y$58,-1)))*(R103-INDEX('KT THAN'!$Y$38:$Y$58,MATCH(R103,'KT THAN'!$Y$38:$Y$58,-1)))/(INDEX('KT THAN'!$Y$38:$Y$58,MIN(21,MATCH(R103,'KT THAN'!$Y$38:$Y$58,-1)+1))-INDEX('KT THAN'!$Y$38:$Y$58,MATCH(R103,'KT THAN'!$Y$38:$Y$58,-1)))),MIN(0.8*0.75*'KT THAN'!$C$62,'KT THAN'!$D$68/R103)))))</f>
        <v/>
      </c>
      <c r="O103" s="39" t="str">
        <f>IF($A103="","",IF(H103&lt;0,ABS(H103)/MAX('KT THAN'!$C$69,0.001)+'KT THAN'!$C$32*ABS(J103)/MAX('KT THAN'!$C$68,0.001)+'KT THAN'!$D$32*ABS(I103)/MAX('KT THAN'!$D$68,0.001),IF(OR(M103&lt;=0,N103&lt;=0),999,IF(H103&gt;=0.1*0.75*fc_*Agth*1000,H103/MAX(0.001,1/(1/M103+1/N103-1/(0.75*'KT THAN'!$C$62))),'KT THAN'!$C$32*ABS(J103)/MAX('KT THAN'!$C$68,0.001)+'KT THAN'!$D$32*ABS(I103)/MAX('KT THAN'!$D$68,0.001)))))</f>
        <v/>
      </c>
      <c r="P103" s="37" t="str">
        <f t="shared" si="16"/>
        <v/>
      </c>
      <c r="Q103" s="39" t="str">
        <f>IF($A103="","",MAX(0.001,'KT THAN'!$C$32*ABS(J103)/MAX(1,H103)))</f>
        <v/>
      </c>
      <c r="R103" s="39" t="str">
        <f>IF($A103="","",MAX(0.001,'KT THAN'!$D$32*ABS(I103)/MAX(1,H103)))</f>
        <v/>
      </c>
      <c r="S103" t="str">
        <f t="shared" si="17"/>
        <v/>
      </c>
    </row>
    <row r="104" spans="1:19" x14ac:dyDescent="0.3">
      <c r="A104" s="37" t="str">
        <f>IF(AND(nThan=1,1=2),"",'TO HOP'!B177)</f>
        <v>CĐ I(b) min - 1 nhịp 5 làn</v>
      </c>
      <c r="B104" s="39">
        <f>IF(A104="","",'TO HOP'!E177)</f>
        <v>23005.223973097323</v>
      </c>
      <c r="C104" s="39">
        <f>IF(A104="","",'TO HOP'!F177)</f>
        <v>12646.808938020835</v>
      </c>
      <c r="D104" s="39">
        <f>IF(A104="","",'TO HOP'!G177)</f>
        <v>37028.588998199251</v>
      </c>
      <c r="E104" s="39">
        <f>IF(A104="","",'TO HOP'!C177)</f>
        <v>2697.1364775610136</v>
      </c>
      <c r="F104" s="39">
        <f>IF(A104="","",'TO HOP'!D177)</f>
        <v>0</v>
      </c>
      <c r="G104" s="39">
        <f>IF(A104="","",1)</f>
        <v>1</v>
      </c>
      <c r="H104" s="39">
        <f>IF(A104="","",IF(nThan=1,B104,B104/2+(1)*$B$7*C104/sThan))</f>
        <v>23005.223973097323</v>
      </c>
      <c r="I104" s="39">
        <f t="shared" si="12"/>
        <v>12646.808938020835</v>
      </c>
      <c r="J104" s="39">
        <f t="shared" si="13"/>
        <v>37028.588998199251</v>
      </c>
      <c r="K104" s="39">
        <f t="shared" si="14"/>
        <v>2697.1364775610136</v>
      </c>
      <c r="L104" s="39">
        <f t="shared" si="15"/>
        <v>0</v>
      </c>
      <c r="M104" s="39">
        <f>IF($A104="","",IF(H104=0,"",IF(Q104&lt;=0.000000001,MIN(0.8*0.75*'KT THAN'!$C$62,MAX('KT THAN'!$J$38:$J$58)),IFERROR(MIN(0.8*0.75*'KT THAN'!$C$62,INDEX('KT THAN'!$J$38:$J$58,MATCH(Q104,'KT THAN'!$L$38:$L$58,-1))+(INDEX('KT THAN'!$J$38:$J$58,MIN(21,MATCH(Q104,'KT THAN'!$L$38:$L$58,-1)+1))-INDEX('KT THAN'!$J$38:$J$58,MATCH(Q104,'KT THAN'!$L$38:$L$58,-1)))*(Q104-INDEX('KT THAN'!$L$38:$L$58,MATCH(Q104,'KT THAN'!$L$38:$L$58,-1)))/(INDEX('KT THAN'!$L$38:$L$58,MIN(21,MATCH(Q104,'KT THAN'!$L$38:$L$58,-1)+1))-INDEX('KT THAN'!$L$38:$L$58,MATCH(Q104,'KT THAN'!$L$38:$L$58,-1)))),MIN(0.8*0.75*'KT THAN'!$C$62,'KT THAN'!$C$68/Q104)))))</f>
        <v>30808.732462698885</v>
      </c>
      <c r="N104" s="39">
        <f>IF($A104="","",IF(H104=0,"",IF(R104&lt;=0.000000001,MIN(0.8*0.75*'KT THAN'!$C$62,MAX('KT THAN'!$W$38:$W$58)),IFERROR(MIN(0.8*0.75*'KT THAN'!$C$62,INDEX('KT THAN'!$W$38:$W$58,MATCH(R104,'KT THAN'!$Y$38:$Y$58,-1))+(INDEX('KT THAN'!$W$38:$W$58,MIN(21,MATCH(R104,'KT THAN'!$Y$38:$Y$58,-1)+1))-INDEX('KT THAN'!$W$38:$W$58,MATCH(R104,'KT THAN'!$Y$38:$Y$58,-1)))*(R104-INDEX('KT THAN'!$Y$38:$Y$58,MATCH(R104,'KT THAN'!$Y$38:$Y$58,-1)))/(INDEX('KT THAN'!$Y$38:$Y$58,MIN(21,MATCH(R104,'KT THAN'!$Y$38:$Y$58,-1)+1))-INDEX('KT THAN'!$Y$38:$Y$58,MATCH(R104,'KT THAN'!$Y$38:$Y$58,-1)))),MIN(0.8*0.75*'KT THAN'!$C$62,'KT THAN'!$D$68/R104)))))</f>
        <v>154884.12176529178</v>
      </c>
      <c r="O104" s="39">
        <f>IF($A104="","",IF(H104&lt;0,ABS(H104)/MAX('KT THAN'!$C$69,0.001)+'KT THAN'!$C$32*ABS(J104)/MAX('KT THAN'!$C$68,0.001)+'KT THAN'!$D$32*ABS(I104)/MAX('KT THAN'!$D$68,0.001),IF(OR(M104&lt;=0,N104&lt;=0),999,IF(H104&gt;=0.1*0.75*fc_*Agth*1000,H104/MAX(0.001,1/(1/M104+1/N104-1/(0.75*'KT THAN'!$C$62))),'KT THAN'!$C$32*ABS(J104)/MAX('KT THAN'!$C$68,0.001)+'KT THAN'!$D$32*ABS(I104)/MAX('KT THAN'!$D$68,0.001)))))</f>
        <v>0.77932070288986621</v>
      </c>
      <c r="P104" s="37" t="str">
        <f t="shared" si="16"/>
        <v>ĐẠT</v>
      </c>
      <c r="Q104" s="39">
        <f>IF($A104="","",MAX(0.001,'KT THAN'!$C$32*ABS(J104)/MAX(1,H104)))</f>
        <v>1.7998853068704519</v>
      </c>
      <c r="R104" s="39">
        <f>IF($A104="","",MAX(0.001,'KT THAN'!$D$32*ABS(I104)/MAX(1,H104)))</f>
        <v>0.5497363969509802</v>
      </c>
      <c r="S104" t="str">
        <f t="shared" si="17"/>
        <v/>
      </c>
    </row>
    <row r="105" spans="1:19" x14ac:dyDescent="0.3">
      <c r="A105" s="37" t="str">
        <f>IF(AND(nThan=1,2=2),"",'TO HOP'!B177)</f>
        <v/>
      </c>
      <c r="B105" s="39" t="str">
        <f>IF(A105="","",'TO HOP'!E177)</f>
        <v/>
      </c>
      <c r="C105" s="39" t="str">
        <f>IF(A105="","",'TO HOP'!F177)</f>
        <v/>
      </c>
      <c r="D105" s="39" t="str">
        <f>IF(A105="","",'TO HOP'!G177)</f>
        <v/>
      </c>
      <c r="E105" s="39" t="str">
        <f>IF(A105="","",'TO HOP'!C177)</f>
        <v/>
      </c>
      <c r="F105" s="39" t="str">
        <f>IF(A105="","",'TO HOP'!D177)</f>
        <v/>
      </c>
      <c r="G105" s="39" t="str">
        <f>IF(A105="","",2)</f>
        <v/>
      </c>
      <c r="H105" s="39" t="str">
        <f>IF(A105="","",IF(nThan=1,B105,B105/2+(-1)*$B$7*C105/sThan))</f>
        <v/>
      </c>
      <c r="I105" s="39" t="str">
        <f t="shared" si="12"/>
        <v/>
      </c>
      <c r="J105" s="39" t="str">
        <f t="shared" si="13"/>
        <v/>
      </c>
      <c r="K105" s="39" t="str">
        <f t="shared" si="14"/>
        <v/>
      </c>
      <c r="L105" s="39" t="str">
        <f t="shared" si="15"/>
        <v/>
      </c>
      <c r="M105" s="39" t="str">
        <f>IF($A105="","",IF(H105=0,"",IF(Q105&lt;=0.000000001,MIN(0.8*0.75*'KT THAN'!$C$62,MAX('KT THAN'!$J$38:$J$58)),IFERROR(MIN(0.8*0.75*'KT THAN'!$C$62,INDEX('KT THAN'!$J$38:$J$58,MATCH(Q105,'KT THAN'!$L$38:$L$58,-1))+(INDEX('KT THAN'!$J$38:$J$58,MIN(21,MATCH(Q105,'KT THAN'!$L$38:$L$58,-1)+1))-INDEX('KT THAN'!$J$38:$J$58,MATCH(Q105,'KT THAN'!$L$38:$L$58,-1)))*(Q105-INDEX('KT THAN'!$L$38:$L$58,MATCH(Q105,'KT THAN'!$L$38:$L$58,-1)))/(INDEX('KT THAN'!$L$38:$L$58,MIN(21,MATCH(Q105,'KT THAN'!$L$38:$L$58,-1)+1))-INDEX('KT THAN'!$L$38:$L$58,MATCH(Q105,'KT THAN'!$L$38:$L$58,-1)))),MIN(0.8*0.75*'KT THAN'!$C$62,'KT THAN'!$C$68/Q105)))))</f>
        <v/>
      </c>
      <c r="N105" s="39" t="str">
        <f>IF($A105="","",IF(H105=0,"",IF(R105&lt;=0.000000001,MIN(0.8*0.75*'KT THAN'!$C$62,MAX('KT THAN'!$W$38:$W$58)),IFERROR(MIN(0.8*0.75*'KT THAN'!$C$62,INDEX('KT THAN'!$W$38:$W$58,MATCH(R105,'KT THAN'!$Y$38:$Y$58,-1))+(INDEX('KT THAN'!$W$38:$W$58,MIN(21,MATCH(R105,'KT THAN'!$Y$38:$Y$58,-1)+1))-INDEX('KT THAN'!$W$38:$W$58,MATCH(R105,'KT THAN'!$Y$38:$Y$58,-1)))*(R105-INDEX('KT THAN'!$Y$38:$Y$58,MATCH(R105,'KT THAN'!$Y$38:$Y$58,-1)))/(INDEX('KT THAN'!$Y$38:$Y$58,MIN(21,MATCH(R105,'KT THAN'!$Y$38:$Y$58,-1)+1))-INDEX('KT THAN'!$Y$38:$Y$58,MATCH(R105,'KT THAN'!$Y$38:$Y$58,-1)))),MIN(0.8*0.75*'KT THAN'!$C$62,'KT THAN'!$D$68/R105)))))</f>
        <v/>
      </c>
      <c r="O105" s="39" t="str">
        <f>IF($A105="","",IF(H105&lt;0,ABS(H105)/MAX('KT THAN'!$C$69,0.001)+'KT THAN'!$C$32*ABS(J105)/MAX('KT THAN'!$C$68,0.001)+'KT THAN'!$D$32*ABS(I105)/MAX('KT THAN'!$D$68,0.001),IF(OR(M105&lt;=0,N105&lt;=0),999,IF(H105&gt;=0.1*0.75*fc_*Agth*1000,H105/MAX(0.001,1/(1/M105+1/N105-1/(0.75*'KT THAN'!$C$62))),'KT THAN'!$C$32*ABS(J105)/MAX('KT THAN'!$C$68,0.001)+'KT THAN'!$D$32*ABS(I105)/MAX('KT THAN'!$D$68,0.001)))))</f>
        <v/>
      </c>
      <c r="P105" s="37" t="str">
        <f t="shared" si="16"/>
        <v/>
      </c>
      <c r="Q105" s="39" t="str">
        <f>IF($A105="","",MAX(0.001,'KT THAN'!$C$32*ABS(J105)/MAX(1,H105)))</f>
        <v/>
      </c>
      <c r="R105" s="39" t="str">
        <f>IF($A105="","",MAX(0.001,'KT THAN'!$D$32*ABS(I105)/MAX(1,H105)))</f>
        <v/>
      </c>
      <c r="S105" t="str">
        <f t="shared" si="17"/>
        <v/>
      </c>
    </row>
    <row r="106" spans="1:19" x14ac:dyDescent="0.3">
      <c r="A106" s="37" t="str">
        <f>IF(AND(nThan=1,1=2),"",'TO HOP'!B178)</f>
        <v>CĐ I(b) min - 1 nhịp 6 làn</v>
      </c>
      <c r="B106" s="39">
        <f>IF(A106="","",'TO HOP'!E178)</f>
        <v>23657.962498930654</v>
      </c>
      <c r="C106" s="39">
        <f>IF(A106="","",'TO HOP'!F178)</f>
        <v>9301.5239931249998</v>
      </c>
      <c r="D106" s="39">
        <f>IF(A106="","",'TO HOP'!G178)</f>
        <v>37616.053671449248</v>
      </c>
      <c r="E106" s="39">
        <f>IF(A106="","",'TO HOP'!C178)</f>
        <v>2697.1364775610136</v>
      </c>
      <c r="F106" s="39">
        <f>IF(A106="","",'TO HOP'!D178)</f>
        <v>0</v>
      </c>
      <c r="G106" s="39">
        <f>IF(A106="","",1)</f>
        <v>1</v>
      </c>
      <c r="H106" s="39">
        <f>IF(A106="","",IF(nThan=1,B106,B106/2+(1)*$B$7*C106/sThan))</f>
        <v>23657.962498930654</v>
      </c>
      <c r="I106" s="39">
        <f t="shared" si="12"/>
        <v>9301.5239931249998</v>
      </c>
      <c r="J106" s="39">
        <f t="shared" si="13"/>
        <v>37616.053671449248</v>
      </c>
      <c r="K106" s="39">
        <f t="shared" si="14"/>
        <v>2697.1364775610136</v>
      </c>
      <c r="L106" s="39">
        <f t="shared" si="15"/>
        <v>0</v>
      </c>
      <c r="M106" s="39">
        <f>IF($A106="","",IF(H106=0,"",IF(Q106&lt;=0.000000001,MIN(0.8*0.75*'KT THAN'!$C$62,MAX('KT THAN'!$J$38:$J$58)),IFERROR(MIN(0.8*0.75*'KT THAN'!$C$62,INDEX('KT THAN'!$J$38:$J$58,MATCH(Q106,'KT THAN'!$L$38:$L$58,-1))+(INDEX('KT THAN'!$J$38:$J$58,MIN(21,MATCH(Q106,'KT THAN'!$L$38:$L$58,-1)+1))-INDEX('KT THAN'!$J$38:$J$58,MATCH(Q106,'KT THAN'!$L$38:$L$58,-1)))*(Q106-INDEX('KT THAN'!$L$38:$L$58,MATCH(Q106,'KT THAN'!$L$38:$L$58,-1)))/(INDEX('KT THAN'!$L$38:$L$58,MIN(21,MATCH(Q106,'KT THAN'!$L$38:$L$58,-1)+1))-INDEX('KT THAN'!$L$38:$L$58,MATCH(Q106,'KT THAN'!$L$38:$L$58,-1)))),MIN(0.8*0.75*'KT THAN'!$C$62,'KT THAN'!$C$68/Q106)))))</f>
        <v>31279.858848474672</v>
      </c>
      <c r="N106" s="39">
        <f>IF($A106="","",IF(H106=0,"",IF(R106&lt;=0.000000001,MIN(0.8*0.75*'KT THAN'!$C$62,MAX('KT THAN'!$W$38:$W$58)),IFERROR(MIN(0.8*0.75*'KT THAN'!$C$62,INDEX('KT THAN'!$W$38:$W$58,MATCH(R106,'KT THAN'!$Y$38:$Y$58,-1))+(INDEX('KT THAN'!$W$38:$W$58,MIN(21,MATCH(R106,'KT THAN'!$Y$38:$Y$58,-1)+1))-INDEX('KT THAN'!$W$38:$W$58,MATCH(R106,'KT THAN'!$Y$38:$Y$58,-1)))*(R106-INDEX('KT THAN'!$Y$38:$Y$58,MATCH(R106,'KT THAN'!$Y$38:$Y$58,-1)))/(INDEX('KT THAN'!$Y$38:$Y$58,MIN(21,MATCH(R106,'KT THAN'!$Y$38:$Y$58,-1)+1))-INDEX('KT THAN'!$Y$38:$Y$58,MATCH(R106,'KT THAN'!$Y$38:$Y$58,-1)))),MIN(0.8*0.75*'KT THAN'!$C$62,'KT THAN'!$D$68/R106)))))</f>
        <v>158763.07851952704</v>
      </c>
      <c r="O106" s="39">
        <f>IF($A106="","",IF(H106&lt;0,ABS(H106)/MAX('KT THAN'!$C$69,0.001)+'KT THAN'!$C$32*ABS(J106)/MAX('KT THAN'!$C$68,0.001)+'KT THAN'!$D$32*ABS(I106)/MAX('KT THAN'!$D$68,0.001),IF(OR(M106&lt;=0,N106&lt;=0),999,IF(H106&gt;=0.1*0.75*fc_*Agth*1000,H106/MAX(0.001,1/(1/M106+1/N106-1/(0.75*'KT THAN'!$C$62))),'KT THAN'!$C$32*ABS(J106)/MAX('KT THAN'!$C$68,0.001)+'KT THAN'!$D$32*ABS(I106)/MAX('KT THAN'!$D$68,0.001)))))</f>
        <v>0.78613498914778757</v>
      </c>
      <c r="P106" s="37" t="str">
        <f t="shared" si="16"/>
        <v>ĐẠT</v>
      </c>
      <c r="Q106" s="39">
        <f>IF($A106="","",MAX(0.001,'KT THAN'!$C$32*ABS(J106)/MAX(1,H106)))</f>
        <v>1.7779929173516544</v>
      </c>
      <c r="R106" s="39">
        <f>IF($A106="","",MAX(0.001,'KT THAN'!$D$32*ABS(I106)/MAX(1,H106)))</f>
        <v>0.39316674010052349</v>
      </c>
      <c r="S106" t="str">
        <f t="shared" si="17"/>
        <v/>
      </c>
    </row>
    <row r="107" spans="1:19" x14ac:dyDescent="0.3">
      <c r="A107" s="37" t="str">
        <f>IF(AND(nThan=1,2=2),"",'TO HOP'!B178)</f>
        <v/>
      </c>
      <c r="B107" s="39" t="str">
        <f>IF(A107="","",'TO HOP'!E178)</f>
        <v/>
      </c>
      <c r="C107" s="39" t="str">
        <f>IF(A107="","",'TO HOP'!F178)</f>
        <v/>
      </c>
      <c r="D107" s="39" t="str">
        <f>IF(A107="","",'TO HOP'!G178)</f>
        <v/>
      </c>
      <c r="E107" s="39" t="str">
        <f>IF(A107="","",'TO HOP'!C178)</f>
        <v/>
      </c>
      <c r="F107" s="39" t="str">
        <f>IF(A107="","",'TO HOP'!D178)</f>
        <v/>
      </c>
      <c r="G107" s="39" t="str">
        <f>IF(A107="","",2)</f>
        <v/>
      </c>
      <c r="H107" s="39" t="str">
        <f>IF(A107="","",IF(nThan=1,B107,B107/2+(-1)*$B$7*C107/sThan))</f>
        <v/>
      </c>
      <c r="I107" s="39" t="str">
        <f t="shared" si="12"/>
        <v/>
      </c>
      <c r="J107" s="39" t="str">
        <f t="shared" si="13"/>
        <v/>
      </c>
      <c r="K107" s="39" t="str">
        <f t="shared" si="14"/>
        <v/>
      </c>
      <c r="L107" s="39" t="str">
        <f t="shared" si="15"/>
        <v/>
      </c>
      <c r="M107" s="39" t="str">
        <f>IF($A107="","",IF(H107=0,"",IF(Q107&lt;=0.000000001,MIN(0.8*0.75*'KT THAN'!$C$62,MAX('KT THAN'!$J$38:$J$58)),IFERROR(MIN(0.8*0.75*'KT THAN'!$C$62,INDEX('KT THAN'!$J$38:$J$58,MATCH(Q107,'KT THAN'!$L$38:$L$58,-1))+(INDEX('KT THAN'!$J$38:$J$58,MIN(21,MATCH(Q107,'KT THAN'!$L$38:$L$58,-1)+1))-INDEX('KT THAN'!$J$38:$J$58,MATCH(Q107,'KT THAN'!$L$38:$L$58,-1)))*(Q107-INDEX('KT THAN'!$L$38:$L$58,MATCH(Q107,'KT THAN'!$L$38:$L$58,-1)))/(INDEX('KT THAN'!$L$38:$L$58,MIN(21,MATCH(Q107,'KT THAN'!$L$38:$L$58,-1)+1))-INDEX('KT THAN'!$L$38:$L$58,MATCH(Q107,'KT THAN'!$L$38:$L$58,-1)))),MIN(0.8*0.75*'KT THAN'!$C$62,'KT THAN'!$C$68/Q107)))))</f>
        <v/>
      </c>
      <c r="N107" s="39" t="str">
        <f>IF($A107="","",IF(H107=0,"",IF(R107&lt;=0.000000001,MIN(0.8*0.75*'KT THAN'!$C$62,MAX('KT THAN'!$W$38:$W$58)),IFERROR(MIN(0.8*0.75*'KT THAN'!$C$62,INDEX('KT THAN'!$W$38:$W$58,MATCH(R107,'KT THAN'!$Y$38:$Y$58,-1))+(INDEX('KT THAN'!$W$38:$W$58,MIN(21,MATCH(R107,'KT THAN'!$Y$38:$Y$58,-1)+1))-INDEX('KT THAN'!$W$38:$W$58,MATCH(R107,'KT THAN'!$Y$38:$Y$58,-1)))*(R107-INDEX('KT THAN'!$Y$38:$Y$58,MATCH(R107,'KT THAN'!$Y$38:$Y$58,-1)))/(INDEX('KT THAN'!$Y$38:$Y$58,MIN(21,MATCH(R107,'KT THAN'!$Y$38:$Y$58,-1)+1))-INDEX('KT THAN'!$Y$38:$Y$58,MATCH(R107,'KT THAN'!$Y$38:$Y$58,-1)))),MIN(0.8*0.75*'KT THAN'!$C$62,'KT THAN'!$D$68/R107)))))</f>
        <v/>
      </c>
      <c r="O107" s="39" t="str">
        <f>IF($A107="","",IF(H107&lt;0,ABS(H107)/MAX('KT THAN'!$C$69,0.001)+'KT THAN'!$C$32*ABS(J107)/MAX('KT THAN'!$C$68,0.001)+'KT THAN'!$D$32*ABS(I107)/MAX('KT THAN'!$D$68,0.001),IF(OR(M107&lt;=0,N107&lt;=0),999,IF(H107&gt;=0.1*0.75*fc_*Agth*1000,H107/MAX(0.001,1/(1/M107+1/N107-1/(0.75*'KT THAN'!$C$62))),'KT THAN'!$C$32*ABS(J107)/MAX('KT THAN'!$C$68,0.001)+'KT THAN'!$D$32*ABS(I107)/MAX('KT THAN'!$D$68,0.001)))))</f>
        <v/>
      </c>
      <c r="P107" s="37" t="str">
        <f t="shared" si="16"/>
        <v/>
      </c>
      <c r="Q107" s="39" t="str">
        <f>IF($A107="","",MAX(0.001,'KT THAN'!$C$32*ABS(J107)/MAX(1,H107)))</f>
        <v/>
      </c>
      <c r="R107" s="39" t="str">
        <f>IF($A107="","",MAX(0.001,'KT THAN'!$D$32*ABS(I107)/MAX(1,H107)))</f>
        <v/>
      </c>
      <c r="S107" t="str">
        <f t="shared" si="17"/>
        <v/>
      </c>
    </row>
    <row r="108" spans="1:19" x14ac:dyDescent="0.3">
      <c r="A108" s="37" t="str">
        <f>IF(AND(nThan=1,1=2),"",'TO HOP'!B179)</f>
        <v>CĐ III(a) max</v>
      </c>
      <c r="B108" s="39">
        <f>IF(A108="","",'TO HOP'!E179)</f>
        <v>26797.305003982339</v>
      </c>
      <c r="C108" s="39">
        <f>IF(A108="","",'TO HOP'!F179)</f>
        <v>5799.5994698295608</v>
      </c>
      <c r="D108" s="39">
        <f>IF(A108="","",'TO HOP'!G179)</f>
        <v>27584.106352481642</v>
      </c>
      <c r="E108" s="39">
        <f>IF(A108="","",'TO HOP'!C179)</f>
        <v>2253.4698695046854</v>
      </c>
      <c r="F108" s="39">
        <f>IF(A108="","",'TO HOP'!D179)</f>
        <v>527.07594777468739</v>
      </c>
      <c r="G108" s="39">
        <f>IF(A108="","",1)</f>
        <v>1</v>
      </c>
      <c r="H108" s="39">
        <f>IF(A108="","",IF(nThan=1,B108,B108/2+(1)*$B$7*C108/sThan))</f>
        <v>26797.305003982339</v>
      </c>
      <c r="I108" s="39">
        <f t="shared" ref="I108:I135" si="18">IF(A108="","",IF(nThan=1,C108,(1-$B$7)*C108/2))</f>
        <v>5799.5994698295608</v>
      </c>
      <c r="J108" s="39">
        <f t="shared" ref="J108:J135" si="19">IF(A108="","",IF(nThan=1,D108,D108/2))</f>
        <v>27584.106352481642</v>
      </c>
      <c r="K108" s="39">
        <f t="shared" ref="K108:K135" si="20">IF(A108="","",IF(nThan=1,E108,E108/2))</f>
        <v>2253.4698695046854</v>
      </c>
      <c r="L108" s="39">
        <f t="shared" ref="L108:L135" si="21">IF(A108="","",IF(nThan=1,F108,F108/2))</f>
        <v>527.07594777468739</v>
      </c>
      <c r="M108" s="39">
        <f>IF($A108="","",IF(H108=0,"",IF(Q108&lt;=0.000000001,MIN(0.8*0.75*'KT THAN'!$C$62,MAX('KT THAN'!$J$38:$J$58)),IFERROR(MIN(0.8*0.75*'KT THAN'!$C$62,INDEX('KT THAN'!$J$38:$J$58,MATCH(Q108,'KT THAN'!$L$38:$L$58,-1))+(INDEX('KT THAN'!$J$38:$J$58,MIN(21,MATCH(Q108,'KT THAN'!$L$38:$L$58,-1)+1))-INDEX('KT THAN'!$J$38:$J$58,MATCH(Q108,'KT THAN'!$L$38:$L$58,-1)))*(Q108-INDEX('KT THAN'!$L$38:$L$58,MATCH(Q108,'KT THAN'!$L$38:$L$58,-1)))/(INDEX('KT THAN'!$L$38:$L$58,MIN(21,MATCH(Q108,'KT THAN'!$L$38:$L$58,-1)+1))-INDEX('KT THAN'!$L$38:$L$58,MATCH(Q108,'KT THAN'!$L$38:$L$58,-1)))),MIN(0.8*0.75*'KT THAN'!$C$62,'KT THAN'!$C$68/Q108)))))</f>
        <v>51345.067892469298</v>
      </c>
      <c r="N108" s="39">
        <f>IF($A108="","",IF(H108=0,"",IF(R108&lt;=0.000000001,MIN(0.8*0.75*'KT THAN'!$C$62,MAX('KT THAN'!$W$38:$W$58)),IFERROR(MIN(0.8*0.75*'KT THAN'!$C$62,INDEX('KT THAN'!$W$38:$W$58,MATCH(R108,'KT THAN'!$Y$38:$Y$58,-1))+(INDEX('KT THAN'!$W$38:$W$58,MIN(21,MATCH(R108,'KT THAN'!$Y$38:$Y$58,-1)+1))-INDEX('KT THAN'!$W$38:$W$58,MATCH(R108,'KT THAN'!$Y$38:$Y$58,-1)))*(R108-INDEX('KT THAN'!$Y$38:$Y$58,MATCH(R108,'KT THAN'!$Y$38:$Y$58,-1)))/(INDEX('KT THAN'!$Y$38:$Y$58,MIN(21,MATCH(R108,'KT THAN'!$Y$38:$Y$58,-1)+1))-INDEX('KT THAN'!$Y$38:$Y$58,MATCH(R108,'KT THAN'!$Y$38:$Y$58,-1)))),MIN(0.8*0.75*'KT THAN'!$C$62,'KT THAN'!$D$68/R108)))))</f>
        <v>158763.07851952704</v>
      </c>
      <c r="O108" s="39">
        <f>IF($A108="","",IF(H108&lt;0,ABS(H108)/MAX('KT THAN'!$C$69,0.001)+'KT THAN'!$C$32*ABS(J108)/MAX('KT THAN'!$C$68,0.001)+'KT THAN'!$D$32*ABS(I108)/MAX('KT THAN'!$D$68,0.001),IF(OR(M108&lt;=0,N108&lt;=0),999,IF(H108&gt;=0.1*0.75*fc_*Agth*1000,H108/MAX(0.001,1/(1/M108+1/N108-1/(0.75*'KT THAN'!$C$62))),'KT THAN'!$C$32*ABS(J108)/MAX('KT THAN'!$C$68,0.001)+'KT THAN'!$D$32*ABS(I108)/MAX('KT THAN'!$D$68,0.001)))))</f>
        <v>0.55566372002399855</v>
      </c>
      <c r="P108" s="37" t="str">
        <f t="shared" ref="P108:P135" si="22">IF(A108="","",IF(O108&lt;=1,"ĐẠT","KHÔNG ĐẠT"))</f>
        <v>ĐẠT</v>
      </c>
      <c r="Q108" s="39">
        <f>IF($A108="","",MAX(0.001,'KT THAN'!$C$32*ABS(J108)/MAX(1,H108)))</f>
        <v>1.1510705255102811</v>
      </c>
      <c r="R108" s="39">
        <f>IF($A108="","",MAX(0.001,'KT THAN'!$D$32*ABS(I108)/MAX(1,H108)))</f>
        <v>0.2164247288661186</v>
      </c>
      <c r="S108" t="str">
        <f t="shared" ref="S108:S135" si="23">IF($A108="","",IF(H108&lt;0,O108,""))</f>
        <v/>
      </c>
    </row>
    <row r="109" spans="1:19" x14ac:dyDescent="0.3">
      <c r="A109" s="37" t="str">
        <f>IF(AND(nThan=1,2=2),"",'TO HOP'!B179)</f>
        <v/>
      </c>
      <c r="B109" s="39" t="str">
        <f>IF(A109="","",'TO HOP'!E179)</f>
        <v/>
      </c>
      <c r="C109" s="39" t="str">
        <f>IF(A109="","",'TO HOP'!F179)</f>
        <v/>
      </c>
      <c r="D109" s="39" t="str">
        <f>IF(A109="","",'TO HOP'!G179)</f>
        <v/>
      </c>
      <c r="E109" s="39" t="str">
        <f>IF(A109="","",'TO HOP'!C179)</f>
        <v/>
      </c>
      <c r="F109" s="39" t="str">
        <f>IF(A109="","",'TO HOP'!D179)</f>
        <v/>
      </c>
      <c r="G109" s="39" t="str">
        <f>IF(A109="","",2)</f>
        <v/>
      </c>
      <c r="H109" s="39" t="str">
        <f>IF(A109="","",IF(nThan=1,B109,B109/2+(-1)*$B$7*C109/sThan))</f>
        <v/>
      </c>
      <c r="I109" s="39" t="str">
        <f t="shared" si="18"/>
        <v/>
      </c>
      <c r="J109" s="39" t="str">
        <f t="shared" si="19"/>
        <v/>
      </c>
      <c r="K109" s="39" t="str">
        <f t="shared" si="20"/>
        <v/>
      </c>
      <c r="L109" s="39" t="str">
        <f t="shared" si="21"/>
        <v/>
      </c>
      <c r="M109" s="39" t="str">
        <f>IF($A109="","",IF(H109=0,"",IF(Q109&lt;=0.000000001,MIN(0.8*0.75*'KT THAN'!$C$62,MAX('KT THAN'!$J$38:$J$58)),IFERROR(MIN(0.8*0.75*'KT THAN'!$C$62,INDEX('KT THAN'!$J$38:$J$58,MATCH(Q109,'KT THAN'!$L$38:$L$58,-1))+(INDEX('KT THAN'!$J$38:$J$58,MIN(21,MATCH(Q109,'KT THAN'!$L$38:$L$58,-1)+1))-INDEX('KT THAN'!$J$38:$J$58,MATCH(Q109,'KT THAN'!$L$38:$L$58,-1)))*(Q109-INDEX('KT THAN'!$L$38:$L$58,MATCH(Q109,'KT THAN'!$L$38:$L$58,-1)))/(INDEX('KT THAN'!$L$38:$L$58,MIN(21,MATCH(Q109,'KT THAN'!$L$38:$L$58,-1)+1))-INDEX('KT THAN'!$L$38:$L$58,MATCH(Q109,'KT THAN'!$L$38:$L$58,-1)))),MIN(0.8*0.75*'KT THAN'!$C$62,'KT THAN'!$C$68/Q109)))))</f>
        <v/>
      </c>
      <c r="N109" s="39" t="str">
        <f>IF($A109="","",IF(H109=0,"",IF(R109&lt;=0.000000001,MIN(0.8*0.75*'KT THAN'!$C$62,MAX('KT THAN'!$W$38:$W$58)),IFERROR(MIN(0.8*0.75*'KT THAN'!$C$62,INDEX('KT THAN'!$W$38:$W$58,MATCH(R109,'KT THAN'!$Y$38:$Y$58,-1))+(INDEX('KT THAN'!$W$38:$W$58,MIN(21,MATCH(R109,'KT THAN'!$Y$38:$Y$58,-1)+1))-INDEX('KT THAN'!$W$38:$W$58,MATCH(R109,'KT THAN'!$Y$38:$Y$58,-1)))*(R109-INDEX('KT THAN'!$Y$38:$Y$58,MATCH(R109,'KT THAN'!$Y$38:$Y$58,-1)))/(INDEX('KT THAN'!$Y$38:$Y$58,MIN(21,MATCH(R109,'KT THAN'!$Y$38:$Y$58,-1)+1))-INDEX('KT THAN'!$Y$38:$Y$58,MATCH(R109,'KT THAN'!$Y$38:$Y$58,-1)))),MIN(0.8*0.75*'KT THAN'!$C$62,'KT THAN'!$D$68/R109)))))</f>
        <v/>
      </c>
      <c r="O109" s="39" t="str">
        <f>IF($A109="","",IF(H109&lt;0,ABS(H109)/MAX('KT THAN'!$C$69,0.001)+'KT THAN'!$C$32*ABS(J109)/MAX('KT THAN'!$C$68,0.001)+'KT THAN'!$D$32*ABS(I109)/MAX('KT THAN'!$D$68,0.001),IF(OR(M109&lt;=0,N109&lt;=0),999,IF(H109&gt;=0.1*0.75*fc_*Agth*1000,H109/MAX(0.001,1/(1/M109+1/N109-1/(0.75*'KT THAN'!$C$62))),'KT THAN'!$C$32*ABS(J109)/MAX('KT THAN'!$C$68,0.001)+'KT THAN'!$D$32*ABS(I109)/MAX('KT THAN'!$D$68,0.001)))))</f>
        <v/>
      </c>
      <c r="P109" s="37" t="str">
        <f t="shared" si="22"/>
        <v/>
      </c>
      <c r="Q109" s="39" t="str">
        <f>IF($A109="","",MAX(0.001,'KT THAN'!$C$32*ABS(J109)/MAX(1,H109)))</f>
        <v/>
      </c>
      <c r="R109" s="39" t="str">
        <f>IF($A109="","",MAX(0.001,'KT THAN'!$D$32*ABS(I109)/MAX(1,H109)))</f>
        <v/>
      </c>
      <c r="S109" t="str">
        <f t="shared" si="23"/>
        <v/>
      </c>
    </row>
    <row r="110" spans="1:19" x14ac:dyDescent="0.3">
      <c r="A110" s="37" t="str">
        <f>IF(AND(nThan=1,1=2),"",'TO HOP'!B180)</f>
        <v>CĐ III(b) min</v>
      </c>
      <c r="B110" s="39">
        <f>IF(A110="","",'TO HOP'!E180)</f>
        <v>18302.592658425969</v>
      </c>
      <c r="C110" s="39">
        <f>IF(A110="","",'TO HOP'!F180)</f>
        <v>5799.5994698295608</v>
      </c>
      <c r="D110" s="39">
        <f>IF(A110="","",'TO HOP'!G180)</f>
        <v>27584.106352481642</v>
      </c>
      <c r="E110" s="39">
        <f>IF(A110="","",'TO HOP'!C180)</f>
        <v>2253.4698695046854</v>
      </c>
      <c r="F110" s="39">
        <f>IF(A110="","",'TO HOP'!D180)</f>
        <v>527.07594777468739</v>
      </c>
      <c r="G110" s="39">
        <f>IF(A110="","",1)</f>
        <v>1</v>
      </c>
      <c r="H110" s="39">
        <f>IF(A110="","",IF(nThan=1,B110,B110/2+(1)*$B$7*C110/sThan))</f>
        <v>18302.592658425969</v>
      </c>
      <c r="I110" s="39">
        <f t="shared" si="18"/>
        <v>5799.5994698295608</v>
      </c>
      <c r="J110" s="39">
        <f t="shared" si="19"/>
        <v>27584.106352481642</v>
      </c>
      <c r="K110" s="39">
        <f t="shared" si="20"/>
        <v>2253.4698695046854</v>
      </c>
      <c r="L110" s="39">
        <f t="shared" si="21"/>
        <v>527.07594777468739</v>
      </c>
      <c r="M110" s="39">
        <f>IF($A110="","",IF(H110=0,"",IF(Q110&lt;=0.000000001,MIN(0.8*0.75*'KT THAN'!$C$62,MAX('KT THAN'!$J$38:$J$58)),IFERROR(MIN(0.8*0.75*'KT THAN'!$C$62,INDEX('KT THAN'!$J$38:$J$58,MATCH(Q110,'KT THAN'!$L$38:$L$58,-1))+(INDEX('KT THAN'!$J$38:$J$58,MIN(21,MATCH(Q110,'KT THAN'!$L$38:$L$58,-1)+1))-INDEX('KT THAN'!$J$38:$J$58,MATCH(Q110,'KT THAN'!$L$38:$L$58,-1)))*(Q110-INDEX('KT THAN'!$L$38:$L$58,MATCH(Q110,'KT THAN'!$L$38:$L$58,-1)))/(INDEX('KT THAN'!$L$38:$L$58,MIN(21,MATCH(Q110,'KT THAN'!$L$38:$L$58,-1)+1))-INDEX('KT THAN'!$L$38:$L$58,MATCH(Q110,'KT THAN'!$L$38:$L$58,-1)))),MIN(0.8*0.75*'KT THAN'!$C$62,'KT THAN'!$C$68/Q110)))))</f>
        <v>33274.350866273875</v>
      </c>
      <c r="N110" s="39">
        <f>IF($A110="","",IF(H110=0,"",IF(R110&lt;=0.000000001,MIN(0.8*0.75*'KT THAN'!$C$62,MAX('KT THAN'!$W$38:$W$58)),IFERROR(MIN(0.8*0.75*'KT THAN'!$C$62,INDEX('KT THAN'!$W$38:$W$58,MATCH(R110,'KT THAN'!$Y$38:$Y$58,-1))+(INDEX('KT THAN'!$W$38:$W$58,MIN(21,MATCH(R110,'KT THAN'!$Y$38:$Y$58,-1)+1))-INDEX('KT THAN'!$W$38:$W$58,MATCH(R110,'KT THAN'!$Y$38:$Y$58,-1)))*(R110-INDEX('KT THAN'!$Y$38:$Y$58,MATCH(R110,'KT THAN'!$Y$38:$Y$58,-1)))/(INDEX('KT THAN'!$Y$38:$Y$58,MIN(21,MATCH(R110,'KT THAN'!$Y$38:$Y$58,-1)+1))-INDEX('KT THAN'!$Y$38:$Y$58,MATCH(R110,'KT THAN'!$Y$38:$Y$58,-1)))),MIN(0.8*0.75*'KT THAN'!$C$62,'KT THAN'!$D$68/R110)))))</f>
        <v>158763.07851952704</v>
      </c>
      <c r="O110" s="39">
        <f>IF($A110="","",IF(H110&lt;0,ABS(H110)/MAX('KT THAN'!$C$69,0.001)+'KT THAN'!$C$32*ABS(J110)/MAX('KT THAN'!$C$68,0.001)+'KT THAN'!$D$32*ABS(I110)/MAX('KT THAN'!$D$68,0.001),IF(OR(M110&lt;=0,N110&lt;=0),999,IF(H110&gt;=0.1*0.75*fc_*Agth*1000,H110/MAX(0.001,1/(1/M110+1/N110-1/(0.75*'KT THAN'!$C$62))),'KT THAN'!$C$32*ABS(J110)/MAX('KT THAN'!$C$68,0.001)+'KT THAN'!$D$32*ABS(I110)/MAX('KT THAN'!$D$68,0.001)))))</f>
        <v>0.902227440497542</v>
      </c>
      <c r="P110" s="37" t="str">
        <f t="shared" si="22"/>
        <v>ĐẠT</v>
      </c>
      <c r="Q110" s="39">
        <f>IF($A110="","",MAX(0.001,'KT THAN'!$C$32*ABS(J110)/MAX(1,H110)))</f>
        <v>1.6853124870805036</v>
      </c>
      <c r="R110" s="39">
        <f>IF($A110="","",MAX(0.001,'KT THAN'!$D$32*ABS(I110)/MAX(1,H110)))</f>
        <v>0.31687311071525148</v>
      </c>
      <c r="S110" t="str">
        <f t="shared" si="23"/>
        <v/>
      </c>
    </row>
    <row r="111" spans="1:19" x14ac:dyDescent="0.3">
      <c r="A111" s="37" t="str">
        <f>IF(AND(nThan=1,2=2),"",'TO HOP'!B180)</f>
        <v/>
      </c>
      <c r="B111" s="39" t="str">
        <f>IF(A111="","",'TO HOP'!E180)</f>
        <v/>
      </c>
      <c r="C111" s="39" t="str">
        <f>IF(A111="","",'TO HOP'!F180)</f>
        <v/>
      </c>
      <c r="D111" s="39" t="str">
        <f>IF(A111="","",'TO HOP'!G180)</f>
        <v/>
      </c>
      <c r="E111" s="39" t="str">
        <f>IF(A111="","",'TO HOP'!C180)</f>
        <v/>
      </c>
      <c r="F111" s="39" t="str">
        <f>IF(A111="","",'TO HOP'!D180)</f>
        <v/>
      </c>
      <c r="G111" s="39" t="str">
        <f>IF(A111="","",2)</f>
        <v/>
      </c>
      <c r="H111" s="39" t="str">
        <f>IF(A111="","",IF(nThan=1,B111,B111/2+(-1)*$B$7*C111/sThan))</f>
        <v/>
      </c>
      <c r="I111" s="39" t="str">
        <f t="shared" si="18"/>
        <v/>
      </c>
      <c r="J111" s="39" t="str">
        <f t="shared" si="19"/>
        <v/>
      </c>
      <c r="K111" s="39" t="str">
        <f t="shared" si="20"/>
        <v/>
      </c>
      <c r="L111" s="39" t="str">
        <f t="shared" si="21"/>
        <v/>
      </c>
      <c r="M111" s="39" t="str">
        <f>IF($A111="","",IF(H111=0,"",IF(Q111&lt;=0.000000001,MIN(0.8*0.75*'KT THAN'!$C$62,MAX('KT THAN'!$J$38:$J$58)),IFERROR(MIN(0.8*0.75*'KT THAN'!$C$62,INDEX('KT THAN'!$J$38:$J$58,MATCH(Q111,'KT THAN'!$L$38:$L$58,-1))+(INDEX('KT THAN'!$J$38:$J$58,MIN(21,MATCH(Q111,'KT THAN'!$L$38:$L$58,-1)+1))-INDEX('KT THAN'!$J$38:$J$58,MATCH(Q111,'KT THAN'!$L$38:$L$58,-1)))*(Q111-INDEX('KT THAN'!$L$38:$L$58,MATCH(Q111,'KT THAN'!$L$38:$L$58,-1)))/(INDEX('KT THAN'!$L$38:$L$58,MIN(21,MATCH(Q111,'KT THAN'!$L$38:$L$58,-1)+1))-INDEX('KT THAN'!$L$38:$L$58,MATCH(Q111,'KT THAN'!$L$38:$L$58,-1)))),MIN(0.8*0.75*'KT THAN'!$C$62,'KT THAN'!$C$68/Q111)))))</f>
        <v/>
      </c>
      <c r="N111" s="39" t="str">
        <f>IF($A111="","",IF(H111=0,"",IF(R111&lt;=0.000000001,MIN(0.8*0.75*'KT THAN'!$C$62,MAX('KT THAN'!$W$38:$W$58)),IFERROR(MIN(0.8*0.75*'KT THAN'!$C$62,INDEX('KT THAN'!$W$38:$W$58,MATCH(R111,'KT THAN'!$Y$38:$Y$58,-1))+(INDEX('KT THAN'!$W$38:$W$58,MIN(21,MATCH(R111,'KT THAN'!$Y$38:$Y$58,-1)+1))-INDEX('KT THAN'!$W$38:$W$58,MATCH(R111,'KT THAN'!$Y$38:$Y$58,-1)))*(R111-INDEX('KT THAN'!$Y$38:$Y$58,MATCH(R111,'KT THAN'!$Y$38:$Y$58,-1)))/(INDEX('KT THAN'!$Y$38:$Y$58,MIN(21,MATCH(R111,'KT THAN'!$Y$38:$Y$58,-1)+1))-INDEX('KT THAN'!$Y$38:$Y$58,MATCH(R111,'KT THAN'!$Y$38:$Y$58,-1)))),MIN(0.8*0.75*'KT THAN'!$C$62,'KT THAN'!$D$68/R111)))))</f>
        <v/>
      </c>
      <c r="O111" s="39" t="str">
        <f>IF($A111="","",IF(H111&lt;0,ABS(H111)/MAX('KT THAN'!$C$69,0.001)+'KT THAN'!$C$32*ABS(J111)/MAX('KT THAN'!$C$68,0.001)+'KT THAN'!$D$32*ABS(I111)/MAX('KT THAN'!$D$68,0.001),IF(OR(M111&lt;=0,N111&lt;=0),999,IF(H111&gt;=0.1*0.75*fc_*Agth*1000,H111/MAX(0.001,1/(1/M111+1/N111-1/(0.75*'KT THAN'!$C$62))),'KT THAN'!$C$32*ABS(J111)/MAX('KT THAN'!$C$68,0.001)+'KT THAN'!$D$32*ABS(I111)/MAX('KT THAN'!$D$68,0.001)))))</f>
        <v/>
      </c>
      <c r="P111" s="37" t="str">
        <f t="shared" si="22"/>
        <v/>
      </c>
      <c r="Q111" s="39" t="str">
        <f>IF($A111="","",MAX(0.001,'KT THAN'!$C$32*ABS(J111)/MAX(1,H111)))</f>
        <v/>
      </c>
      <c r="R111" s="39" t="str">
        <f>IF($A111="","",MAX(0.001,'KT THAN'!$D$32*ABS(I111)/MAX(1,H111)))</f>
        <v/>
      </c>
      <c r="S111" t="str">
        <f t="shared" si="23"/>
        <v/>
      </c>
    </row>
    <row r="112" spans="1:19" x14ac:dyDescent="0.3">
      <c r="A112" s="37" t="str">
        <f>IF(AND(nThan=1,1=2),"",'TO HOP'!B181)</f>
        <v>CĐ V(a) max - 2 nhịp 1 làn</v>
      </c>
      <c r="B112" s="39">
        <f>IF(A112="","",'TO HOP'!E181)</f>
        <v>29786.224243887027</v>
      </c>
      <c r="C112" s="39">
        <f>IF(A112="","",'TO HOP'!F181)</f>
        <v>17688.855952900001</v>
      </c>
      <c r="D112" s="39">
        <f>IF(A112="","",'TO HOP'!G181)</f>
        <v>32957.245290949249</v>
      </c>
      <c r="E112" s="39">
        <f>IF(A112="","",'TO HOP'!C181)</f>
        <v>2622.0450775610134</v>
      </c>
      <c r="F112" s="39">
        <f>IF(A112="","",'TO HOP'!D181)</f>
        <v>202.25708000000003</v>
      </c>
      <c r="G112" s="39">
        <f>IF(A112="","",1)</f>
        <v>1</v>
      </c>
      <c r="H112" s="39">
        <f>IF(A112="","",IF(nThan=1,B112,B112/2+(1)*$B$7*C112/sThan))</f>
        <v>29786.224243887027</v>
      </c>
      <c r="I112" s="39">
        <f t="shared" si="18"/>
        <v>17688.855952900001</v>
      </c>
      <c r="J112" s="39">
        <f t="shared" si="19"/>
        <v>32957.245290949249</v>
      </c>
      <c r="K112" s="39">
        <f t="shared" si="20"/>
        <v>2622.0450775610134</v>
      </c>
      <c r="L112" s="39">
        <f t="shared" si="21"/>
        <v>202.25708000000003</v>
      </c>
      <c r="M112" s="39">
        <f>IF($A112="","",IF(H112=0,"",IF(Q112&lt;=0.000000001,MIN(0.8*0.75*'KT THAN'!$C$62,MAX('KT THAN'!$J$38:$J$58)),IFERROR(MIN(0.8*0.75*'KT THAN'!$C$62,INDEX('KT THAN'!$J$38:$J$58,MATCH(Q112,'KT THAN'!$L$38:$L$58,-1))+(INDEX('KT THAN'!$J$38:$J$58,MIN(21,MATCH(Q112,'KT THAN'!$L$38:$L$58,-1)+1))-INDEX('KT THAN'!$J$38:$J$58,MATCH(Q112,'KT THAN'!$L$38:$L$58,-1)))*(Q112-INDEX('KT THAN'!$L$38:$L$58,MATCH(Q112,'KT THAN'!$L$38:$L$58,-1)))/(INDEX('KT THAN'!$L$38:$L$58,MIN(21,MATCH(Q112,'KT THAN'!$L$38:$L$58,-1)+1))-INDEX('KT THAN'!$L$38:$L$58,MATCH(Q112,'KT THAN'!$L$38:$L$58,-1)))),MIN(0.8*0.75*'KT THAN'!$C$62,'KT THAN'!$C$68/Q112)))))</f>
        <v>47671.236509501992</v>
      </c>
      <c r="N112" s="39">
        <f>IF($A112="","",IF(H112=0,"",IF(R112&lt;=0.000000001,MIN(0.8*0.75*'KT THAN'!$C$62,MAX('KT THAN'!$W$38:$W$58)),IFERROR(MIN(0.8*0.75*'KT THAN'!$C$62,INDEX('KT THAN'!$W$38:$W$58,MATCH(R112,'KT THAN'!$Y$38:$Y$58,-1))+(INDEX('KT THAN'!$W$38:$W$58,MIN(21,MATCH(R112,'KT THAN'!$Y$38:$Y$58,-1)+1))-INDEX('KT THAN'!$W$38:$W$58,MATCH(R112,'KT THAN'!$Y$38:$Y$58,-1)))*(R112-INDEX('KT THAN'!$Y$38:$Y$58,MATCH(R112,'KT THAN'!$Y$38:$Y$58,-1)))/(INDEX('KT THAN'!$Y$38:$Y$58,MIN(21,MATCH(R112,'KT THAN'!$Y$38:$Y$58,-1)+1))-INDEX('KT THAN'!$Y$38:$Y$58,MATCH(R112,'KT THAN'!$Y$38:$Y$58,-1)))),MIN(0.8*0.75*'KT THAN'!$C$62,'KT THAN'!$D$68/R112)))))</f>
        <v>151702.95097842452</v>
      </c>
      <c r="O112" s="39">
        <f>IF($A112="","",IF(H112&lt;0,ABS(H112)/MAX('KT THAN'!$C$69,0.001)+'KT THAN'!$C$32*ABS(J112)/MAX('KT THAN'!$C$68,0.001)+'KT THAN'!$D$32*ABS(I112)/MAX('KT THAN'!$D$68,0.001),IF(OR(M112&lt;=0,N112&lt;=0),999,IF(H112&gt;=0.1*0.75*fc_*Agth*1000,H112/MAX(0.001,1/(1/M112+1/N112-1/(0.75*'KT THAN'!$C$62))),'KT THAN'!$C$32*ABS(J112)/MAX('KT THAN'!$C$68,0.001)+'KT THAN'!$D$32*ABS(I112)/MAX('KT THAN'!$D$68,0.001)))))</f>
        <v>0.67108019281531173</v>
      </c>
      <c r="P112" s="37" t="str">
        <f t="shared" si="22"/>
        <v>ĐẠT</v>
      </c>
      <c r="Q112" s="39">
        <f>IF($A112="","",MAX(0.001,'KT THAN'!$C$32*ABS(J112)/MAX(1,H112)))</f>
        <v>1.2372845326069548</v>
      </c>
      <c r="R112" s="39">
        <f>IF($A112="","",MAX(0.001,'KT THAN'!$D$32*ABS(I112)/MAX(1,H112)))</f>
        <v>0.59386029622503267</v>
      </c>
      <c r="S112" t="str">
        <f t="shared" si="23"/>
        <v/>
      </c>
    </row>
    <row r="113" spans="1:19" x14ac:dyDescent="0.3">
      <c r="A113" s="37" t="str">
        <f>IF(AND(nThan=1,2=2),"",'TO HOP'!B181)</f>
        <v/>
      </c>
      <c r="B113" s="39" t="str">
        <f>IF(A113="","",'TO HOP'!E181)</f>
        <v/>
      </c>
      <c r="C113" s="39" t="str">
        <f>IF(A113="","",'TO HOP'!F181)</f>
        <v/>
      </c>
      <c r="D113" s="39" t="str">
        <f>IF(A113="","",'TO HOP'!G181)</f>
        <v/>
      </c>
      <c r="E113" s="39" t="str">
        <f>IF(A113="","",'TO HOP'!C181)</f>
        <v/>
      </c>
      <c r="F113" s="39" t="str">
        <f>IF(A113="","",'TO HOP'!D181)</f>
        <v/>
      </c>
      <c r="G113" s="39" t="str">
        <f>IF(A113="","",2)</f>
        <v/>
      </c>
      <c r="H113" s="39" t="str">
        <f>IF(A113="","",IF(nThan=1,B113,B113/2+(-1)*$B$7*C113/sThan))</f>
        <v/>
      </c>
      <c r="I113" s="39" t="str">
        <f t="shared" si="18"/>
        <v/>
      </c>
      <c r="J113" s="39" t="str">
        <f t="shared" si="19"/>
        <v/>
      </c>
      <c r="K113" s="39" t="str">
        <f t="shared" si="20"/>
        <v/>
      </c>
      <c r="L113" s="39" t="str">
        <f t="shared" si="21"/>
        <v/>
      </c>
      <c r="M113" s="39" t="str">
        <f>IF($A113="","",IF(H113=0,"",IF(Q113&lt;=0.000000001,MIN(0.8*0.75*'KT THAN'!$C$62,MAX('KT THAN'!$J$38:$J$58)),IFERROR(MIN(0.8*0.75*'KT THAN'!$C$62,INDEX('KT THAN'!$J$38:$J$58,MATCH(Q113,'KT THAN'!$L$38:$L$58,-1))+(INDEX('KT THAN'!$J$38:$J$58,MIN(21,MATCH(Q113,'KT THAN'!$L$38:$L$58,-1)+1))-INDEX('KT THAN'!$J$38:$J$58,MATCH(Q113,'KT THAN'!$L$38:$L$58,-1)))*(Q113-INDEX('KT THAN'!$L$38:$L$58,MATCH(Q113,'KT THAN'!$L$38:$L$58,-1)))/(INDEX('KT THAN'!$L$38:$L$58,MIN(21,MATCH(Q113,'KT THAN'!$L$38:$L$58,-1)+1))-INDEX('KT THAN'!$L$38:$L$58,MATCH(Q113,'KT THAN'!$L$38:$L$58,-1)))),MIN(0.8*0.75*'KT THAN'!$C$62,'KT THAN'!$C$68/Q113)))))</f>
        <v/>
      </c>
      <c r="N113" s="39" t="str">
        <f>IF($A113="","",IF(H113=0,"",IF(R113&lt;=0.000000001,MIN(0.8*0.75*'KT THAN'!$C$62,MAX('KT THAN'!$W$38:$W$58)),IFERROR(MIN(0.8*0.75*'KT THAN'!$C$62,INDEX('KT THAN'!$W$38:$W$58,MATCH(R113,'KT THAN'!$Y$38:$Y$58,-1))+(INDEX('KT THAN'!$W$38:$W$58,MIN(21,MATCH(R113,'KT THAN'!$Y$38:$Y$58,-1)+1))-INDEX('KT THAN'!$W$38:$W$58,MATCH(R113,'KT THAN'!$Y$38:$Y$58,-1)))*(R113-INDEX('KT THAN'!$Y$38:$Y$58,MATCH(R113,'KT THAN'!$Y$38:$Y$58,-1)))/(INDEX('KT THAN'!$Y$38:$Y$58,MIN(21,MATCH(R113,'KT THAN'!$Y$38:$Y$58,-1)+1))-INDEX('KT THAN'!$Y$38:$Y$58,MATCH(R113,'KT THAN'!$Y$38:$Y$58,-1)))),MIN(0.8*0.75*'KT THAN'!$C$62,'KT THAN'!$D$68/R113)))))</f>
        <v/>
      </c>
      <c r="O113" s="39" t="str">
        <f>IF($A113="","",IF(H113&lt;0,ABS(H113)/MAX('KT THAN'!$C$69,0.001)+'KT THAN'!$C$32*ABS(J113)/MAX('KT THAN'!$C$68,0.001)+'KT THAN'!$D$32*ABS(I113)/MAX('KT THAN'!$D$68,0.001),IF(OR(M113&lt;=0,N113&lt;=0),999,IF(H113&gt;=0.1*0.75*fc_*Agth*1000,H113/MAX(0.001,1/(1/M113+1/N113-1/(0.75*'KT THAN'!$C$62))),'KT THAN'!$C$32*ABS(J113)/MAX('KT THAN'!$C$68,0.001)+'KT THAN'!$D$32*ABS(I113)/MAX('KT THAN'!$D$68,0.001)))))</f>
        <v/>
      </c>
      <c r="P113" s="37" t="str">
        <f t="shared" si="22"/>
        <v/>
      </c>
      <c r="Q113" s="39" t="str">
        <f>IF($A113="","",MAX(0.001,'KT THAN'!$C$32*ABS(J113)/MAX(1,H113)))</f>
        <v/>
      </c>
      <c r="R113" s="39" t="str">
        <f>IF($A113="","",MAX(0.001,'KT THAN'!$D$32*ABS(I113)/MAX(1,H113)))</f>
        <v/>
      </c>
      <c r="S113" t="str">
        <f t="shared" si="23"/>
        <v/>
      </c>
    </row>
    <row r="114" spans="1:19" x14ac:dyDescent="0.3">
      <c r="A114" s="37" t="str">
        <f>IF(AND(nThan=1,1=2),"",'TO HOP'!B182)</f>
        <v>CĐ V(a) max - 2 nhịp 2 làn</v>
      </c>
      <c r="B114" s="39">
        <f>IF(A114="","",'TO HOP'!E182)</f>
        <v>30819.544613487025</v>
      </c>
      <c r="C114" s="39">
        <f>IF(A114="","",'TO HOP'!F182)</f>
        <v>24017.943216700001</v>
      </c>
      <c r="D114" s="39">
        <f>IF(A114="","",'TO HOP'!G182)</f>
        <v>32957.245290949249</v>
      </c>
      <c r="E114" s="39">
        <f>IF(A114="","",'TO HOP'!C182)</f>
        <v>2622.0450775610134</v>
      </c>
      <c r="F114" s="39">
        <f>IF(A114="","",'TO HOP'!D182)</f>
        <v>202.25708000000003</v>
      </c>
      <c r="G114" s="39">
        <f>IF(A114="","",1)</f>
        <v>1</v>
      </c>
      <c r="H114" s="39">
        <f>IF(A114="","",IF(nThan=1,B114,B114/2+(1)*$B$7*C114/sThan))</f>
        <v>30819.544613487025</v>
      </c>
      <c r="I114" s="39">
        <f t="shared" si="18"/>
        <v>24017.943216700001</v>
      </c>
      <c r="J114" s="39">
        <f t="shared" si="19"/>
        <v>32957.245290949249</v>
      </c>
      <c r="K114" s="39">
        <f t="shared" si="20"/>
        <v>2622.0450775610134</v>
      </c>
      <c r="L114" s="39">
        <f t="shared" si="21"/>
        <v>202.25708000000003</v>
      </c>
      <c r="M114" s="39">
        <f>IF($A114="","",IF(H114=0,"",IF(Q114&lt;=0.000000001,MIN(0.8*0.75*'KT THAN'!$C$62,MAX('KT THAN'!$J$38:$J$58)),IFERROR(MIN(0.8*0.75*'KT THAN'!$C$62,INDEX('KT THAN'!$J$38:$J$58,MATCH(Q114,'KT THAN'!$L$38:$L$58,-1))+(INDEX('KT THAN'!$J$38:$J$58,MIN(21,MATCH(Q114,'KT THAN'!$L$38:$L$58,-1)+1))-INDEX('KT THAN'!$J$38:$J$58,MATCH(Q114,'KT THAN'!$L$38:$L$58,-1)))*(Q114-INDEX('KT THAN'!$L$38:$L$58,MATCH(Q114,'KT THAN'!$L$38:$L$58,-1)))/(INDEX('KT THAN'!$L$38:$L$58,MIN(21,MATCH(Q114,'KT THAN'!$L$38:$L$58,-1)+1))-INDEX('KT THAN'!$L$38:$L$58,MATCH(Q114,'KT THAN'!$L$38:$L$58,-1)))),MIN(0.8*0.75*'KT THAN'!$C$62,'KT THAN'!$C$68/Q114)))))</f>
        <v>49338.167095214572</v>
      </c>
      <c r="N114" s="39">
        <f>IF($A114="","",IF(H114=0,"",IF(R114&lt;=0.000000001,MIN(0.8*0.75*'KT THAN'!$C$62,MAX('KT THAN'!$W$38:$W$58)),IFERROR(MIN(0.8*0.75*'KT THAN'!$C$62,INDEX('KT THAN'!$W$38:$W$58,MATCH(R114,'KT THAN'!$Y$38:$Y$58,-1))+(INDEX('KT THAN'!$W$38:$W$58,MIN(21,MATCH(R114,'KT THAN'!$Y$38:$Y$58,-1)+1))-INDEX('KT THAN'!$W$38:$W$58,MATCH(R114,'KT THAN'!$Y$38:$Y$58,-1)))*(R114-INDEX('KT THAN'!$Y$38:$Y$58,MATCH(R114,'KT THAN'!$Y$38:$Y$58,-1)))/(INDEX('KT THAN'!$Y$38:$Y$58,MIN(21,MATCH(R114,'KT THAN'!$Y$38:$Y$58,-1)+1))-INDEX('KT THAN'!$Y$38:$Y$58,MATCH(R114,'KT THAN'!$Y$38:$Y$58,-1)))),MIN(0.8*0.75*'KT THAN'!$C$62,'KT THAN'!$D$68/R114)))))</f>
        <v>138743.15243413032</v>
      </c>
      <c r="O114" s="39">
        <f>IF($A114="","",IF(H114&lt;0,ABS(H114)/MAX('KT THAN'!$C$69,0.001)+'KT THAN'!$C$32*ABS(J114)/MAX('KT THAN'!$C$68,0.001)+'KT THAN'!$D$32*ABS(I114)/MAX('KT THAN'!$D$68,0.001),IF(OR(M114&lt;=0,N114&lt;=0),999,IF(H114&gt;=0.1*0.75*fc_*Agth*1000,H114/MAX(0.001,1/(1/M114+1/N114-1/(0.75*'KT THAN'!$C$62))),'KT THAN'!$C$32*ABS(J114)/MAX('KT THAN'!$C$68,0.001)+'KT THAN'!$D$32*ABS(I114)/MAX('KT THAN'!$D$68,0.001)))))</f>
        <v>0.69149480372533068</v>
      </c>
      <c r="P114" s="37" t="str">
        <f t="shared" si="22"/>
        <v>ĐẠT</v>
      </c>
      <c r="Q114" s="39">
        <f>IF($A114="","",MAX(0.001,'KT THAN'!$C$32*ABS(J114)/MAX(1,H114)))</f>
        <v>1.1958007492945211</v>
      </c>
      <c r="R114" s="39">
        <f>IF($A114="","",MAX(0.001,'KT THAN'!$D$32*ABS(I114)/MAX(1,H114)))</f>
        <v>0.77930882879396746</v>
      </c>
      <c r="S114" t="str">
        <f t="shared" si="23"/>
        <v/>
      </c>
    </row>
    <row r="115" spans="1:19" x14ac:dyDescent="0.3">
      <c r="A115" s="37" t="str">
        <f>IF(AND(nThan=1,2=2),"",'TO HOP'!B182)</f>
        <v/>
      </c>
      <c r="B115" s="39" t="str">
        <f>IF(A115="","",'TO HOP'!E182)</f>
        <v/>
      </c>
      <c r="C115" s="39" t="str">
        <f>IF(A115="","",'TO HOP'!F182)</f>
        <v/>
      </c>
      <c r="D115" s="39" t="str">
        <f>IF(A115="","",'TO HOP'!G182)</f>
        <v/>
      </c>
      <c r="E115" s="39" t="str">
        <f>IF(A115="","",'TO HOP'!C182)</f>
        <v/>
      </c>
      <c r="F115" s="39" t="str">
        <f>IF(A115="","",'TO HOP'!D182)</f>
        <v/>
      </c>
      <c r="G115" s="39" t="str">
        <f>IF(A115="","",2)</f>
        <v/>
      </c>
      <c r="H115" s="39" t="str">
        <f>IF(A115="","",IF(nThan=1,B115,B115/2+(-1)*$B$7*C115/sThan))</f>
        <v/>
      </c>
      <c r="I115" s="39" t="str">
        <f t="shared" si="18"/>
        <v/>
      </c>
      <c r="J115" s="39" t="str">
        <f t="shared" si="19"/>
        <v/>
      </c>
      <c r="K115" s="39" t="str">
        <f t="shared" si="20"/>
        <v/>
      </c>
      <c r="L115" s="39" t="str">
        <f t="shared" si="21"/>
        <v/>
      </c>
      <c r="M115" s="39" t="str">
        <f>IF($A115="","",IF(H115=0,"",IF(Q115&lt;=0.000000001,MIN(0.8*0.75*'KT THAN'!$C$62,MAX('KT THAN'!$J$38:$J$58)),IFERROR(MIN(0.8*0.75*'KT THAN'!$C$62,INDEX('KT THAN'!$J$38:$J$58,MATCH(Q115,'KT THAN'!$L$38:$L$58,-1))+(INDEX('KT THAN'!$J$38:$J$58,MIN(21,MATCH(Q115,'KT THAN'!$L$38:$L$58,-1)+1))-INDEX('KT THAN'!$J$38:$J$58,MATCH(Q115,'KT THAN'!$L$38:$L$58,-1)))*(Q115-INDEX('KT THAN'!$L$38:$L$58,MATCH(Q115,'KT THAN'!$L$38:$L$58,-1)))/(INDEX('KT THAN'!$L$38:$L$58,MIN(21,MATCH(Q115,'KT THAN'!$L$38:$L$58,-1)+1))-INDEX('KT THAN'!$L$38:$L$58,MATCH(Q115,'KT THAN'!$L$38:$L$58,-1)))),MIN(0.8*0.75*'KT THAN'!$C$62,'KT THAN'!$C$68/Q115)))))</f>
        <v/>
      </c>
      <c r="N115" s="39" t="str">
        <f>IF($A115="","",IF(H115=0,"",IF(R115&lt;=0.000000001,MIN(0.8*0.75*'KT THAN'!$C$62,MAX('KT THAN'!$W$38:$W$58)),IFERROR(MIN(0.8*0.75*'KT THAN'!$C$62,INDEX('KT THAN'!$W$38:$W$58,MATCH(R115,'KT THAN'!$Y$38:$Y$58,-1))+(INDEX('KT THAN'!$W$38:$W$58,MIN(21,MATCH(R115,'KT THAN'!$Y$38:$Y$58,-1)+1))-INDEX('KT THAN'!$W$38:$W$58,MATCH(R115,'KT THAN'!$Y$38:$Y$58,-1)))*(R115-INDEX('KT THAN'!$Y$38:$Y$58,MATCH(R115,'KT THAN'!$Y$38:$Y$58,-1)))/(INDEX('KT THAN'!$Y$38:$Y$58,MIN(21,MATCH(R115,'KT THAN'!$Y$38:$Y$58,-1)+1))-INDEX('KT THAN'!$Y$38:$Y$58,MATCH(R115,'KT THAN'!$Y$38:$Y$58,-1)))),MIN(0.8*0.75*'KT THAN'!$C$62,'KT THAN'!$D$68/R115)))))</f>
        <v/>
      </c>
      <c r="O115" s="39" t="str">
        <f>IF($A115="","",IF(H115&lt;0,ABS(H115)/MAX('KT THAN'!$C$69,0.001)+'KT THAN'!$C$32*ABS(J115)/MAX('KT THAN'!$C$68,0.001)+'KT THAN'!$D$32*ABS(I115)/MAX('KT THAN'!$D$68,0.001),IF(OR(M115&lt;=0,N115&lt;=0),999,IF(H115&gt;=0.1*0.75*fc_*Agth*1000,H115/MAX(0.001,1/(1/M115+1/N115-1/(0.75*'KT THAN'!$C$62))),'KT THAN'!$C$32*ABS(J115)/MAX('KT THAN'!$C$68,0.001)+'KT THAN'!$D$32*ABS(I115)/MAX('KT THAN'!$D$68,0.001)))))</f>
        <v/>
      </c>
      <c r="P115" s="37" t="str">
        <f t="shared" si="22"/>
        <v/>
      </c>
      <c r="Q115" s="39" t="str">
        <f>IF($A115="","",MAX(0.001,'KT THAN'!$C$32*ABS(J115)/MAX(1,H115)))</f>
        <v/>
      </c>
      <c r="R115" s="39" t="str">
        <f>IF($A115="","",MAX(0.001,'KT THAN'!$D$32*ABS(I115)/MAX(1,H115)))</f>
        <v/>
      </c>
      <c r="S115" t="str">
        <f t="shared" si="23"/>
        <v/>
      </c>
    </row>
    <row r="116" spans="1:19" x14ac:dyDescent="0.3">
      <c r="A116" s="37" t="str">
        <f>IF(AND(nThan=1,1=2),"",'TO HOP'!B183)</f>
        <v>CĐ V(a) max - 2 nhịp 3 làn</v>
      </c>
      <c r="B116" s="39">
        <f>IF(A116="","",'TO HOP'!E183)</f>
        <v>31529.952367587026</v>
      </c>
      <c r="C116" s="39">
        <f>IF(A116="","",'TO HOP'!F183)</f>
        <v>25027.045140137503</v>
      </c>
      <c r="D116" s="39">
        <f>IF(A116="","",'TO HOP'!G183)</f>
        <v>32957.245290949249</v>
      </c>
      <c r="E116" s="39">
        <f>IF(A116="","",'TO HOP'!C183)</f>
        <v>2622.0450775610134</v>
      </c>
      <c r="F116" s="39">
        <f>IF(A116="","",'TO HOP'!D183)</f>
        <v>202.25708000000003</v>
      </c>
      <c r="G116" s="39">
        <f>IF(A116="","",1)</f>
        <v>1</v>
      </c>
      <c r="H116" s="39">
        <f>IF(A116="","",IF(nThan=1,B116,B116/2+(1)*$B$7*C116/sThan))</f>
        <v>31529.952367587026</v>
      </c>
      <c r="I116" s="39">
        <f t="shared" si="18"/>
        <v>25027.045140137503</v>
      </c>
      <c r="J116" s="39">
        <f t="shared" si="19"/>
        <v>32957.245290949249</v>
      </c>
      <c r="K116" s="39">
        <f t="shared" si="20"/>
        <v>2622.0450775610134</v>
      </c>
      <c r="L116" s="39">
        <f t="shared" si="21"/>
        <v>202.25708000000003</v>
      </c>
      <c r="M116" s="39">
        <f>IF($A116="","",IF(H116=0,"",IF(Q116&lt;=0.000000001,MIN(0.8*0.75*'KT THAN'!$C$62,MAX('KT THAN'!$J$38:$J$58)),IFERROR(MIN(0.8*0.75*'KT THAN'!$C$62,INDEX('KT THAN'!$J$38:$J$58,MATCH(Q116,'KT THAN'!$L$38:$L$58,-1))+(INDEX('KT THAN'!$J$38:$J$58,MIN(21,MATCH(Q116,'KT THAN'!$L$38:$L$58,-1)+1))-INDEX('KT THAN'!$J$38:$J$58,MATCH(Q116,'KT THAN'!$L$38:$L$58,-1)))*(Q116-INDEX('KT THAN'!$L$38:$L$58,MATCH(Q116,'KT THAN'!$L$38:$L$58,-1)))/(INDEX('KT THAN'!$L$38:$L$58,MIN(21,MATCH(Q116,'KT THAN'!$L$38:$L$58,-1)+1))-INDEX('KT THAN'!$L$38:$L$58,MATCH(Q116,'KT THAN'!$L$38:$L$58,-1)))),MIN(0.8*0.75*'KT THAN'!$C$62,'KT THAN'!$C$68/Q116)))))</f>
        <v>50547.004901946071</v>
      </c>
      <c r="N116" s="39">
        <f>IF($A116="","",IF(H116=0,"",IF(R116&lt;=0.000000001,MIN(0.8*0.75*'KT THAN'!$C$62,MAX('KT THAN'!$W$38:$W$58)),IFERROR(MIN(0.8*0.75*'KT THAN'!$C$62,INDEX('KT THAN'!$W$38:$W$58,MATCH(R116,'KT THAN'!$Y$38:$Y$58,-1))+(INDEX('KT THAN'!$W$38:$W$58,MIN(21,MATCH(R116,'KT THAN'!$Y$38:$Y$58,-1)+1))-INDEX('KT THAN'!$W$38:$W$58,MATCH(R116,'KT THAN'!$Y$38:$Y$58,-1)))*(R116-INDEX('KT THAN'!$Y$38:$Y$58,MATCH(R116,'KT THAN'!$Y$38:$Y$58,-1)))/(INDEX('KT THAN'!$Y$38:$Y$58,MIN(21,MATCH(R116,'KT THAN'!$Y$38:$Y$58,-1)+1))-INDEX('KT THAN'!$Y$38:$Y$58,MATCH(R116,'KT THAN'!$Y$38:$Y$58,-1)))),MIN(0.8*0.75*'KT THAN'!$C$62,'KT THAN'!$D$68/R116)))))</f>
        <v>137784.00215945873</v>
      </c>
      <c r="O116" s="39">
        <f>IF($A116="","",IF(H116&lt;0,ABS(H116)/MAX('KT THAN'!$C$69,0.001)+'KT THAN'!$C$32*ABS(J116)/MAX('KT THAN'!$C$68,0.001)+'KT THAN'!$D$32*ABS(I116)/MAX('KT THAN'!$D$68,0.001),IF(OR(M116&lt;=0,N116&lt;=0),999,IF(H116&gt;=0.1*0.75*fc_*Agth*1000,H116/MAX(0.001,1/(1/M116+1/N116-1/(0.75*'KT THAN'!$C$62))),'KT THAN'!$C$32*ABS(J116)/MAX('KT THAN'!$C$68,0.001)+'KT THAN'!$D$32*ABS(I116)/MAX('KT THAN'!$D$68,0.001)))))</f>
        <v>0.6937329697876532</v>
      </c>
      <c r="P116" s="37" t="str">
        <f t="shared" si="22"/>
        <v>ĐẠT</v>
      </c>
      <c r="Q116" s="39">
        <f>IF($A116="","",MAX(0.001,'KT THAN'!$C$32*ABS(J116)/MAX(1,H116)))</f>
        <v>1.1688579199887998</v>
      </c>
      <c r="R116" s="39">
        <f>IF($A116="","",MAX(0.001,'KT THAN'!$D$32*ABS(I116)/MAX(1,H116)))</f>
        <v>0.79375461302204342</v>
      </c>
      <c r="S116" t="str">
        <f t="shared" si="23"/>
        <v/>
      </c>
    </row>
    <row r="117" spans="1:19" x14ac:dyDescent="0.3">
      <c r="A117" s="37" t="str">
        <f>IF(AND(nThan=1,2=2),"",'TO HOP'!B183)</f>
        <v/>
      </c>
      <c r="B117" s="39" t="str">
        <f>IF(A117="","",'TO HOP'!E183)</f>
        <v/>
      </c>
      <c r="C117" s="39" t="str">
        <f>IF(A117="","",'TO HOP'!F183)</f>
        <v/>
      </c>
      <c r="D117" s="39" t="str">
        <f>IF(A117="","",'TO HOP'!G183)</f>
        <v/>
      </c>
      <c r="E117" s="39" t="str">
        <f>IF(A117="","",'TO HOP'!C183)</f>
        <v/>
      </c>
      <c r="F117" s="39" t="str">
        <f>IF(A117="","",'TO HOP'!D183)</f>
        <v/>
      </c>
      <c r="G117" s="39" t="str">
        <f>IF(A117="","",2)</f>
        <v/>
      </c>
      <c r="H117" s="39" t="str">
        <f>IF(A117="","",IF(nThan=1,B117,B117/2+(-1)*$B$7*C117/sThan))</f>
        <v/>
      </c>
      <c r="I117" s="39" t="str">
        <f t="shared" si="18"/>
        <v/>
      </c>
      <c r="J117" s="39" t="str">
        <f t="shared" si="19"/>
        <v/>
      </c>
      <c r="K117" s="39" t="str">
        <f t="shared" si="20"/>
        <v/>
      </c>
      <c r="L117" s="39" t="str">
        <f t="shared" si="21"/>
        <v/>
      </c>
      <c r="M117" s="39" t="str">
        <f>IF($A117="","",IF(H117=0,"",IF(Q117&lt;=0.000000001,MIN(0.8*0.75*'KT THAN'!$C$62,MAX('KT THAN'!$J$38:$J$58)),IFERROR(MIN(0.8*0.75*'KT THAN'!$C$62,INDEX('KT THAN'!$J$38:$J$58,MATCH(Q117,'KT THAN'!$L$38:$L$58,-1))+(INDEX('KT THAN'!$J$38:$J$58,MIN(21,MATCH(Q117,'KT THAN'!$L$38:$L$58,-1)+1))-INDEX('KT THAN'!$J$38:$J$58,MATCH(Q117,'KT THAN'!$L$38:$L$58,-1)))*(Q117-INDEX('KT THAN'!$L$38:$L$58,MATCH(Q117,'KT THAN'!$L$38:$L$58,-1)))/(INDEX('KT THAN'!$L$38:$L$58,MIN(21,MATCH(Q117,'KT THAN'!$L$38:$L$58,-1)+1))-INDEX('KT THAN'!$L$38:$L$58,MATCH(Q117,'KT THAN'!$L$38:$L$58,-1)))),MIN(0.8*0.75*'KT THAN'!$C$62,'KT THAN'!$C$68/Q117)))))</f>
        <v/>
      </c>
      <c r="N117" s="39" t="str">
        <f>IF($A117="","",IF(H117=0,"",IF(R117&lt;=0.000000001,MIN(0.8*0.75*'KT THAN'!$C$62,MAX('KT THAN'!$W$38:$W$58)),IFERROR(MIN(0.8*0.75*'KT THAN'!$C$62,INDEX('KT THAN'!$W$38:$W$58,MATCH(R117,'KT THAN'!$Y$38:$Y$58,-1))+(INDEX('KT THAN'!$W$38:$W$58,MIN(21,MATCH(R117,'KT THAN'!$Y$38:$Y$58,-1)+1))-INDEX('KT THAN'!$W$38:$W$58,MATCH(R117,'KT THAN'!$Y$38:$Y$58,-1)))*(R117-INDEX('KT THAN'!$Y$38:$Y$58,MATCH(R117,'KT THAN'!$Y$38:$Y$58,-1)))/(INDEX('KT THAN'!$Y$38:$Y$58,MIN(21,MATCH(R117,'KT THAN'!$Y$38:$Y$58,-1)+1))-INDEX('KT THAN'!$Y$38:$Y$58,MATCH(R117,'KT THAN'!$Y$38:$Y$58,-1)))),MIN(0.8*0.75*'KT THAN'!$C$62,'KT THAN'!$D$68/R117)))))</f>
        <v/>
      </c>
      <c r="O117" s="39" t="str">
        <f>IF($A117="","",IF(H117&lt;0,ABS(H117)/MAX('KT THAN'!$C$69,0.001)+'KT THAN'!$C$32*ABS(J117)/MAX('KT THAN'!$C$68,0.001)+'KT THAN'!$D$32*ABS(I117)/MAX('KT THAN'!$D$68,0.001),IF(OR(M117&lt;=0,N117&lt;=0),999,IF(H117&gt;=0.1*0.75*fc_*Agth*1000,H117/MAX(0.001,1/(1/M117+1/N117-1/(0.75*'KT THAN'!$C$62))),'KT THAN'!$C$32*ABS(J117)/MAX('KT THAN'!$C$68,0.001)+'KT THAN'!$D$32*ABS(I117)/MAX('KT THAN'!$D$68,0.001)))))</f>
        <v/>
      </c>
      <c r="P117" s="37" t="str">
        <f t="shared" si="22"/>
        <v/>
      </c>
      <c r="Q117" s="39" t="str">
        <f>IF($A117="","",MAX(0.001,'KT THAN'!$C$32*ABS(J117)/MAX(1,H117)))</f>
        <v/>
      </c>
      <c r="R117" s="39" t="str">
        <f>IF($A117="","",MAX(0.001,'KT THAN'!$D$32*ABS(I117)/MAX(1,H117)))</f>
        <v/>
      </c>
      <c r="S117" t="str">
        <f t="shared" si="23"/>
        <v/>
      </c>
    </row>
    <row r="118" spans="1:19" x14ac:dyDescent="0.3">
      <c r="A118" s="37" t="str">
        <f>IF(AND(nThan=1,1=2),"",'TO HOP'!B184)</f>
        <v>CĐ V(a) max - 2 nhịp 4 làn</v>
      </c>
      <c r="B118" s="39">
        <f>IF(A118="","",'TO HOP'!E184)</f>
        <v>31594.534890687028</v>
      </c>
      <c r="C118" s="39">
        <f>IF(A118="","",'TO HOP'!F184)</f>
        <v>20433.613184650003</v>
      </c>
      <c r="D118" s="39">
        <f>IF(A118="","",'TO HOP'!G184)</f>
        <v>32957.245290949249</v>
      </c>
      <c r="E118" s="39">
        <f>IF(A118="","",'TO HOP'!C184)</f>
        <v>2622.0450775610134</v>
      </c>
      <c r="F118" s="39">
        <f>IF(A118="","",'TO HOP'!D184)</f>
        <v>202.25708000000003</v>
      </c>
      <c r="G118" s="39">
        <f>IF(A118="","",1)</f>
        <v>1</v>
      </c>
      <c r="H118" s="39">
        <f>IF(A118="","",IF(nThan=1,B118,B118/2+(1)*$B$7*C118/sThan))</f>
        <v>31594.534890687028</v>
      </c>
      <c r="I118" s="39">
        <f t="shared" si="18"/>
        <v>20433.613184650003</v>
      </c>
      <c r="J118" s="39">
        <f t="shared" si="19"/>
        <v>32957.245290949249</v>
      </c>
      <c r="K118" s="39">
        <f t="shared" si="20"/>
        <v>2622.0450775610134</v>
      </c>
      <c r="L118" s="39">
        <f t="shared" si="21"/>
        <v>202.25708000000003</v>
      </c>
      <c r="M118" s="39">
        <f>IF($A118="","",IF(H118=0,"",IF(Q118&lt;=0.000000001,MIN(0.8*0.75*'KT THAN'!$C$62,MAX('KT THAN'!$J$38:$J$58)),IFERROR(MIN(0.8*0.75*'KT THAN'!$C$62,INDEX('KT THAN'!$J$38:$J$58,MATCH(Q118,'KT THAN'!$L$38:$L$58,-1))+(INDEX('KT THAN'!$J$38:$J$58,MIN(21,MATCH(Q118,'KT THAN'!$L$38:$L$58,-1)+1))-INDEX('KT THAN'!$J$38:$J$58,MATCH(Q118,'KT THAN'!$L$38:$L$58,-1)))*(Q118-INDEX('KT THAN'!$L$38:$L$58,MATCH(Q118,'KT THAN'!$L$38:$L$58,-1)))/(INDEX('KT THAN'!$L$38:$L$58,MIN(21,MATCH(Q118,'KT THAN'!$L$38:$L$58,-1)+1))-INDEX('KT THAN'!$L$38:$L$58,MATCH(Q118,'KT THAN'!$L$38:$L$58,-1)))),MIN(0.8*0.75*'KT THAN'!$C$62,'KT THAN'!$C$68/Q118)))))</f>
        <v>50654.203622012217</v>
      </c>
      <c r="N118" s="39">
        <f>IF($A118="","",IF(H118=0,"",IF(R118&lt;=0.000000001,MIN(0.8*0.75*'KT THAN'!$C$62,MAX('KT THAN'!$W$38:$W$58)),IFERROR(MIN(0.8*0.75*'KT THAN'!$C$62,INDEX('KT THAN'!$W$38:$W$58,MATCH(R118,'KT THAN'!$Y$38:$Y$58,-1))+(INDEX('KT THAN'!$W$38:$W$58,MIN(21,MATCH(R118,'KT THAN'!$Y$38:$Y$58,-1)+1))-INDEX('KT THAN'!$W$38:$W$58,MATCH(R118,'KT THAN'!$Y$38:$Y$58,-1)))*(R118-INDEX('KT THAN'!$Y$38:$Y$58,MATCH(R118,'KT THAN'!$Y$38:$Y$58,-1)))/(INDEX('KT THAN'!$Y$38:$Y$58,MIN(21,MATCH(R118,'KT THAN'!$Y$38:$Y$58,-1)+1))-INDEX('KT THAN'!$Y$38:$Y$58,MATCH(R118,'KT THAN'!$Y$38:$Y$58,-1)))),MIN(0.8*0.75*'KT THAN'!$C$62,'KT THAN'!$D$68/R118)))))</f>
        <v>147992.86821833224</v>
      </c>
      <c r="O118" s="39">
        <f>IF($A118="","",IF(H118&lt;0,ABS(H118)/MAX('KT THAN'!$C$69,0.001)+'KT THAN'!$C$32*ABS(J118)/MAX('KT THAN'!$C$68,0.001)+'KT THAN'!$D$32*ABS(I118)/MAX('KT THAN'!$D$68,0.001),IF(OR(M118&lt;=0,N118&lt;=0),999,IF(H118&gt;=0.1*0.75*fc_*Agth*1000,H118/MAX(0.001,1/(1/M118+1/N118-1/(0.75*'KT THAN'!$C$62))),'KT THAN'!$C$32*ABS(J118)/MAX('KT THAN'!$C$68,0.001)+'KT THAN'!$D$32*ABS(I118)/MAX('KT THAN'!$D$68,0.001)))))</f>
        <v>0.67801320892953054</v>
      </c>
      <c r="P118" s="37" t="str">
        <f t="shared" si="22"/>
        <v>ĐẠT</v>
      </c>
      <c r="Q118" s="39">
        <f>IF($A118="","",MAX(0.001,'KT THAN'!$C$32*ABS(J118)/MAX(1,H118)))</f>
        <v>1.1664686525449373</v>
      </c>
      <c r="R118" s="39">
        <f>IF($A118="","",MAX(0.001,'KT THAN'!$D$32*ABS(I118)/MAX(1,H118)))</f>
        <v>0.64674518094181921</v>
      </c>
      <c r="S118" t="str">
        <f t="shared" si="23"/>
        <v/>
      </c>
    </row>
    <row r="119" spans="1:19" x14ac:dyDescent="0.3">
      <c r="A119" s="37" t="str">
        <f>IF(AND(nThan=1,2=2),"",'TO HOP'!B184)</f>
        <v/>
      </c>
      <c r="B119" s="39" t="str">
        <f>IF(A119="","",'TO HOP'!E184)</f>
        <v/>
      </c>
      <c r="C119" s="39" t="str">
        <f>IF(A119="","",'TO HOP'!F184)</f>
        <v/>
      </c>
      <c r="D119" s="39" t="str">
        <f>IF(A119="","",'TO HOP'!G184)</f>
        <v/>
      </c>
      <c r="E119" s="39" t="str">
        <f>IF(A119="","",'TO HOP'!C184)</f>
        <v/>
      </c>
      <c r="F119" s="39" t="str">
        <f>IF(A119="","",'TO HOP'!D184)</f>
        <v/>
      </c>
      <c r="G119" s="39" t="str">
        <f>IF(A119="","",2)</f>
        <v/>
      </c>
      <c r="H119" s="39" t="str">
        <f>IF(A119="","",IF(nThan=1,B119,B119/2+(-1)*$B$7*C119/sThan))</f>
        <v/>
      </c>
      <c r="I119" s="39" t="str">
        <f t="shared" si="18"/>
        <v/>
      </c>
      <c r="J119" s="39" t="str">
        <f t="shared" si="19"/>
        <v/>
      </c>
      <c r="K119" s="39" t="str">
        <f t="shared" si="20"/>
        <v/>
      </c>
      <c r="L119" s="39" t="str">
        <f t="shared" si="21"/>
        <v/>
      </c>
      <c r="M119" s="39" t="str">
        <f>IF($A119="","",IF(H119=0,"",IF(Q119&lt;=0.000000001,MIN(0.8*0.75*'KT THAN'!$C$62,MAX('KT THAN'!$J$38:$J$58)),IFERROR(MIN(0.8*0.75*'KT THAN'!$C$62,INDEX('KT THAN'!$J$38:$J$58,MATCH(Q119,'KT THAN'!$L$38:$L$58,-1))+(INDEX('KT THAN'!$J$38:$J$58,MIN(21,MATCH(Q119,'KT THAN'!$L$38:$L$58,-1)+1))-INDEX('KT THAN'!$J$38:$J$58,MATCH(Q119,'KT THAN'!$L$38:$L$58,-1)))*(Q119-INDEX('KT THAN'!$L$38:$L$58,MATCH(Q119,'KT THAN'!$L$38:$L$58,-1)))/(INDEX('KT THAN'!$L$38:$L$58,MIN(21,MATCH(Q119,'KT THAN'!$L$38:$L$58,-1)+1))-INDEX('KT THAN'!$L$38:$L$58,MATCH(Q119,'KT THAN'!$L$38:$L$58,-1)))),MIN(0.8*0.75*'KT THAN'!$C$62,'KT THAN'!$C$68/Q119)))))</f>
        <v/>
      </c>
      <c r="N119" s="39" t="str">
        <f>IF($A119="","",IF(H119=0,"",IF(R119&lt;=0.000000001,MIN(0.8*0.75*'KT THAN'!$C$62,MAX('KT THAN'!$W$38:$W$58)),IFERROR(MIN(0.8*0.75*'KT THAN'!$C$62,INDEX('KT THAN'!$W$38:$W$58,MATCH(R119,'KT THAN'!$Y$38:$Y$58,-1))+(INDEX('KT THAN'!$W$38:$W$58,MIN(21,MATCH(R119,'KT THAN'!$Y$38:$Y$58,-1)+1))-INDEX('KT THAN'!$W$38:$W$58,MATCH(R119,'KT THAN'!$Y$38:$Y$58,-1)))*(R119-INDEX('KT THAN'!$Y$38:$Y$58,MATCH(R119,'KT THAN'!$Y$38:$Y$58,-1)))/(INDEX('KT THAN'!$Y$38:$Y$58,MIN(21,MATCH(R119,'KT THAN'!$Y$38:$Y$58,-1)+1))-INDEX('KT THAN'!$Y$38:$Y$58,MATCH(R119,'KT THAN'!$Y$38:$Y$58,-1)))),MIN(0.8*0.75*'KT THAN'!$C$62,'KT THAN'!$D$68/R119)))))</f>
        <v/>
      </c>
      <c r="O119" s="39" t="str">
        <f>IF($A119="","",IF(H119&lt;0,ABS(H119)/MAX('KT THAN'!$C$69,0.001)+'KT THAN'!$C$32*ABS(J119)/MAX('KT THAN'!$C$68,0.001)+'KT THAN'!$D$32*ABS(I119)/MAX('KT THAN'!$D$68,0.001),IF(OR(M119&lt;=0,N119&lt;=0),999,IF(H119&gt;=0.1*0.75*fc_*Agth*1000,H119/MAX(0.001,1/(1/M119+1/N119-1/(0.75*'KT THAN'!$C$62))),'KT THAN'!$C$32*ABS(J119)/MAX('KT THAN'!$C$68,0.001)+'KT THAN'!$D$32*ABS(I119)/MAX('KT THAN'!$D$68,0.001)))))</f>
        <v/>
      </c>
      <c r="P119" s="37" t="str">
        <f t="shared" si="22"/>
        <v/>
      </c>
      <c r="Q119" s="39" t="str">
        <f>IF($A119="","",MAX(0.001,'KT THAN'!$C$32*ABS(J119)/MAX(1,H119)))</f>
        <v/>
      </c>
      <c r="R119" s="39" t="str">
        <f>IF($A119="","",MAX(0.001,'KT THAN'!$D$32*ABS(I119)/MAX(1,H119)))</f>
        <v/>
      </c>
      <c r="S119" t="str">
        <f t="shared" si="23"/>
        <v/>
      </c>
    </row>
    <row r="120" spans="1:19" x14ac:dyDescent="0.3">
      <c r="A120" s="37" t="str">
        <f>IF(AND(nThan=1,1=2),"",'TO HOP'!B185)</f>
        <v>CĐ V(a) max - 2 nhịp 5 làn</v>
      </c>
      <c r="B120" s="39">
        <f>IF(A120="","",'TO HOP'!E185)</f>
        <v>32434.107690987028</v>
      </c>
      <c r="C120" s="39">
        <f>IF(A120="","",'TO HOP'!F185)</f>
        <v>18649.520984012503</v>
      </c>
      <c r="D120" s="39">
        <f>IF(A120="","",'TO HOP'!G185)</f>
        <v>32957.245290949249</v>
      </c>
      <c r="E120" s="39">
        <f>IF(A120="","",'TO HOP'!C185)</f>
        <v>2622.0450775610134</v>
      </c>
      <c r="F120" s="39">
        <f>IF(A120="","",'TO HOP'!D185)</f>
        <v>202.25708000000003</v>
      </c>
      <c r="G120" s="39">
        <f>IF(A120="","",1)</f>
        <v>1</v>
      </c>
      <c r="H120" s="39">
        <f>IF(A120="","",IF(nThan=1,B120,B120/2+(1)*$B$7*C120/sThan))</f>
        <v>32434.107690987028</v>
      </c>
      <c r="I120" s="39">
        <f t="shared" si="18"/>
        <v>18649.520984012503</v>
      </c>
      <c r="J120" s="39">
        <f t="shared" si="19"/>
        <v>32957.245290949249</v>
      </c>
      <c r="K120" s="39">
        <f t="shared" si="20"/>
        <v>2622.0450775610134</v>
      </c>
      <c r="L120" s="39">
        <f t="shared" si="21"/>
        <v>202.25708000000003</v>
      </c>
      <c r="M120" s="39">
        <f>IF($A120="","",IF(H120=0,"",IF(Q120&lt;=0.000000001,MIN(0.8*0.75*'KT THAN'!$C$62,MAX('KT THAN'!$J$38:$J$58)),IFERROR(MIN(0.8*0.75*'KT THAN'!$C$62,INDEX('KT THAN'!$J$38:$J$58,MATCH(Q120,'KT THAN'!$L$38:$L$58,-1))+(INDEX('KT THAN'!$J$38:$J$58,MIN(21,MATCH(Q120,'KT THAN'!$L$38:$L$58,-1)+1))-INDEX('KT THAN'!$J$38:$J$58,MATCH(Q120,'KT THAN'!$L$38:$L$58,-1)))*(Q120-INDEX('KT THAN'!$L$38:$L$58,MATCH(Q120,'KT THAN'!$L$38:$L$58,-1)))/(INDEX('KT THAN'!$L$38:$L$58,MIN(21,MATCH(Q120,'KT THAN'!$L$38:$L$58,-1)+1))-INDEX('KT THAN'!$L$38:$L$58,MATCH(Q120,'KT THAN'!$L$38:$L$58,-1)))),MIN(0.8*0.75*'KT THAN'!$C$62,'KT THAN'!$C$68/Q120)))))</f>
        <v>52008.93850193554</v>
      </c>
      <c r="N120" s="39">
        <f>IF($A120="","",IF(H120=0,"",IF(R120&lt;=0.000000001,MIN(0.8*0.75*'KT THAN'!$C$62,MAX('KT THAN'!$W$38:$W$58)),IFERROR(MIN(0.8*0.75*'KT THAN'!$C$62,INDEX('KT THAN'!$W$38:$W$58,MATCH(R120,'KT THAN'!$Y$38:$Y$58,-1))+(INDEX('KT THAN'!$W$38:$W$58,MIN(21,MATCH(R120,'KT THAN'!$Y$38:$Y$58,-1)+1))-INDEX('KT THAN'!$W$38:$W$58,MATCH(R120,'KT THAN'!$Y$38:$Y$58,-1)))*(R120-INDEX('KT THAN'!$Y$38:$Y$58,MATCH(R120,'KT THAN'!$Y$38:$Y$58,-1)))/(INDEX('KT THAN'!$Y$38:$Y$58,MIN(21,MATCH(R120,'KT THAN'!$Y$38:$Y$58,-1)+1))-INDEX('KT THAN'!$Y$38:$Y$58,MATCH(R120,'KT THAN'!$Y$38:$Y$58,-1)))),MIN(0.8*0.75*'KT THAN'!$C$62,'KT THAN'!$D$68/R120)))))</f>
        <v>153056.64627072704</v>
      </c>
      <c r="O120" s="39">
        <f>IF($A120="","",IF(H120&lt;0,ABS(H120)/MAX('KT THAN'!$C$69,0.001)+'KT THAN'!$C$32*ABS(J120)/MAX('KT THAN'!$C$68,0.001)+'KT THAN'!$D$32*ABS(I120)/MAX('KT THAN'!$D$68,0.001),IF(OR(M120&lt;=0,N120&lt;=0),999,IF(H120&gt;=0.1*0.75*fc_*Agth*1000,H120/MAX(0.001,1/(1/M120+1/N120-1/(0.75*'KT THAN'!$C$62))),'KT THAN'!$C$32*ABS(J120)/MAX('KT THAN'!$C$68,0.001)+'KT THAN'!$D$32*ABS(I120)/MAX('KT THAN'!$D$68,0.001)))))</f>
        <v>0.67210081045433334</v>
      </c>
      <c r="P120" s="37" t="str">
        <f t="shared" si="22"/>
        <v>ĐẠT</v>
      </c>
      <c r="Q120" s="39">
        <f>IF($A120="","",MAX(0.001,'KT THAN'!$C$32*ABS(J120)/MAX(1,H120)))</f>
        <v>1.1362740388250272</v>
      </c>
      <c r="R120" s="39">
        <f>IF($A120="","",MAX(0.001,'KT THAN'!$D$32*ABS(I120)/MAX(1,H120)))</f>
        <v>0.57499719621375422</v>
      </c>
      <c r="S120" t="str">
        <f t="shared" si="23"/>
        <v/>
      </c>
    </row>
    <row r="121" spans="1:19" x14ac:dyDescent="0.3">
      <c r="A121" s="37" t="str">
        <f>IF(AND(nThan=1,2=2),"",'TO HOP'!B185)</f>
        <v/>
      </c>
      <c r="B121" s="39" t="str">
        <f>IF(A121="","",'TO HOP'!E185)</f>
        <v/>
      </c>
      <c r="C121" s="39" t="str">
        <f>IF(A121="","",'TO HOP'!F185)</f>
        <v/>
      </c>
      <c r="D121" s="39" t="str">
        <f>IF(A121="","",'TO HOP'!G185)</f>
        <v/>
      </c>
      <c r="E121" s="39" t="str">
        <f>IF(A121="","",'TO HOP'!C185)</f>
        <v/>
      </c>
      <c r="F121" s="39" t="str">
        <f>IF(A121="","",'TO HOP'!D185)</f>
        <v/>
      </c>
      <c r="G121" s="39" t="str">
        <f>IF(A121="","",2)</f>
        <v/>
      </c>
      <c r="H121" s="39" t="str">
        <f>IF(A121="","",IF(nThan=1,B121,B121/2+(-1)*$B$7*C121/sThan))</f>
        <v/>
      </c>
      <c r="I121" s="39" t="str">
        <f t="shared" si="18"/>
        <v/>
      </c>
      <c r="J121" s="39" t="str">
        <f t="shared" si="19"/>
        <v/>
      </c>
      <c r="K121" s="39" t="str">
        <f t="shared" si="20"/>
        <v/>
      </c>
      <c r="L121" s="39" t="str">
        <f t="shared" si="21"/>
        <v/>
      </c>
      <c r="M121" s="39" t="str">
        <f>IF($A121="","",IF(H121=0,"",IF(Q121&lt;=0.000000001,MIN(0.8*0.75*'KT THAN'!$C$62,MAX('KT THAN'!$J$38:$J$58)),IFERROR(MIN(0.8*0.75*'KT THAN'!$C$62,INDEX('KT THAN'!$J$38:$J$58,MATCH(Q121,'KT THAN'!$L$38:$L$58,-1))+(INDEX('KT THAN'!$J$38:$J$58,MIN(21,MATCH(Q121,'KT THAN'!$L$38:$L$58,-1)+1))-INDEX('KT THAN'!$J$38:$J$58,MATCH(Q121,'KT THAN'!$L$38:$L$58,-1)))*(Q121-INDEX('KT THAN'!$L$38:$L$58,MATCH(Q121,'KT THAN'!$L$38:$L$58,-1)))/(INDEX('KT THAN'!$L$38:$L$58,MIN(21,MATCH(Q121,'KT THAN'!$L$38:$L$58,-1)+1))-INDEX('KT THAN'!$L$38:$L$58,MATCH(Q121,'KT THAN'!$L$38:$L$58,-1)))),MIN(0.8*0.75*'KT THAN'!$C$62,'KT THAN'!$C$68/Q121)))))</f>
        <v/>
      </c>
      <c r="N121" s="39" t="str">
        <f>IF($A121="","",IF(H121=0,"",IF(R121&lt;=0.000000001,MIN(0.8*0.75*'KT THAN'!$C$62,MAX('KT THAN'!$W$38:$W$58)),IFERROR(MIN(0.8*0.75*'KT THAN'!$C$62,INDEX('KT THAN'!$W$38:$W$58,MATCH(R121,'KT THAN'!$Y$38:$Y$58,-1))+(INDEX('KT THAN'!$W$38:$W$58,MIN(21,MATCH(R121,'KT THAN'!$Y$38:$Y$58,-1)+1))-INDEX('KT THAN'!$W$38:$W$58,MATCH(R121,'KT THAN'!$Y$38:$Y$58,-1)))*(R121-INDEX('KT THAN'!$Y$38:$Y$58,MATCH(R121,'KT THAN'!$Y$38:$Y$58,-1)))/(INDEX('KT THAN'!$Y$38:$Y$58,MIN(21,MATCH(R121,'KT THAN'!$Y$38:$Y$58,-1)+1))-INDEX('KT THAN'!$Y$38:$Y$58,MATCH(R121,'KT THAN'!$Y$38:$Y$58,-1)))),MIN(0.8*0.75*'KT THAN'!$C$62,'KT THAN'!$D$68/R121)))))</f>
        <v/>
      </c>
      <c r="O121" s="39" t="str">
        <f>IF($A121="","",IF(H121&lt;0,ABS(H121)/MAX('KT THAN'!$C$69,0.001)+'KT THAN'!$C$32*ABS(J121)/MAX('KT THAN'!$C$68,0.001)+'KT THAN'!$D$32*ABS(I121)/MAX('KT THAN'!$D$68,0.001),IF(OR(M121&lt;=0,N121&lt;=0),999,IF(H121&gt;=0.1*0.75*fc_*Agth*1000,H121/MAX(0.001,1/(1/M121+1/N121-1/(0.75*'KT THAN'!$C$62))),'KT THAN'!$C$32*ABS(J121)/MAX('KT THAN'!$C$68,0.001)+'KT THAN'!$D$32*ABS(I121)/MAX('KT THAN'!$D$68,0.001)))))</f>
        <v/>
      </c>
      <c r="P121" s="37" t="str">
        <f t="shared" si="22"/>
        <v/>
      </c>
      <c r="Q121" s="39" t="str">
        <f>IF($A121="","",MAX(0.001,'KT THAN'!$C$32*ABS(J121)/MAX(1,H121)))</f>
        <v/>
      </c>
      <c r="R121" s="39" t="str">
        <f>IF($A121="","",MAX(0.001,'KT THAN'!$D$32*ABS(I121)/MAX(1,H121)))</f>
        <v/>
      </c>
      <c r="S121" t="str">
        <f t="shared" si="23"/>
        <v/>
      </c>
    </row>
    <row r="122" spans="1:19" x14ac:dyDescent="0.3">
      <c r="A122" s="37" t="str">
        <f>IF(AND(nThan=1,1=2),"",'TO HOP'!B186)</f>
        <v>CĐ V(a) max - 2 nhịp 6 làn</v>
      </c>
      <c r="B122" s="39">
        <f>IF(A122="","",'TO HOP'!E186)</f>
        <v>33273.680491287028</v>
      </c>
      <c r="C122" s="39">
        <f>IF(A122="","",'TO HOP'!F186)</f>
        <v>14346.710382475001</v>
      </c>
      <c r="D122" s="39">
        <f>IF(A122="","",'TO HOP'!G186)</f>
        <v>32957.245290949249</v>
      </c>
      <c r="E122" s="39">
        <f>IF(A122="","",'TO HOP'!C186)</f>
        <v>2622.0450775610134</v>
      </c>
      <c r="F122" s="39">
        <f>IF(A122="","",'TO HOP'!D186)</f>
        <v>202.25708000000003</v>
      </c>
      <c r="G122" s="39">
        <f>IF(A122="","",1)</f>
        <v>1</v>
      </c>
      <c r="H122" s="39">
        <f>IF(A122="","",IF(nThan=1,B122,B122/2+(1)*$B$7*C122/sThan))</f>
        <v>33273.680491287028</v>
      </c>
      <c r="I122" s="39">
        <f t="shared" si="18"/>
        <v>14346.710382475001</v>
      </c>
      <c r="J122" s="39">
        <f t="shared" si="19"/>
        <v>32957.245290949249</v>
      </c>
      <c r="K122" s="39">
        <f t="shared" si="20"/>
        <v>2622.0450775610134</v>
      </c>
      <c r="L122" s="39">
        <f t="shared" si="21"/>
        <v>202.25708000000003</v>
      </c>
      <c r="M122" s="39">
        <f>IF($A122="","",IF(H122=0,"",IF(Q122&lt;=0.000000001,MIN(0.8*0.75*'KT THAN'!$C$62,MAX('KT THAN'!$J$38:$J$58)),IFERROR(MIN(0.8*0.75*'KT THAN'!$C$62,INDEX('KT THAN'!$J$38:$J$58,MATCH(Q122,'KT THAN'!$L$38:$L$58,-1))+(INDEX('KT THAN'!$J$38:$J$58,MIN(21,MATCH(Q122,'KT THAN'!$L$38:$L$58,-1)+1))-INDEX('KT THAN'!$J$38:$J$58,MATCH(Q122,'KT THAN'!$L$38:$L$58,-1)))*(Q122-INDEX('KT THAN'!$L$38:$L$58,MATCH(Q122,'KT THAN'!$L$38:$L$58,-1)))/(INDEX('KT THAN'!$L$38:$L$58,MIN(21,MATCH(Q122,'KT THAN'!$L$38:$L$58,-1)+1))-INDEX('KT THAN'!$L$38:$L$58,MATCH(Q122,'KT THAN'!$L$38:$L$58,-1)))),MIN(0.8*0.75*'KT THAN'!$C$62,'KT THAN'!$C$68/Q122)))))</f>
        <v>53295.307121198348</v>
      </c>
      <c r="N122" s="39">
        <f>IF($A122="","",IF(H122=0,"",IF(R122&lt;=0.000000001,MIN(0.8*0.75*'KT THAN'!$C$62,MAX('KT THAN'!$W$38:$W$58)),IFERROR(MIN(0.8*0.75*'KT THAN'!$C$62,INDEX('KT THAN'!$W$38:$W$58,MATCH(R122,'KT THAN'!$Y$38:$Y$58,-1))+(INDEX('KT THAN'!$W$38:$W$58,MIN(21,MATCH(R122,'KT THAN'!$Y$38:$Y$58,-1)+1))-INDEX('KT THAN'!$W$38:$W$58,MATCH(R122,'KT THAN'!$Y$38:$Y$58,-1)))*(R122-INDEX('KT THAN'!$Y$38:$Y$58,MATCH(R122,'KT THAN'!$Y$38:$Y$58,-1)))/(INDEX('KT THAN'!$Y$38:$Y$58,MIN(21,MATCH(R122,'KT THAN'!$Y$38:$Y$58,-1)+1))-INDEX('KT THAN'!$Y$38:$Y$58,MATCH(R122,'KT THAN'!$Y$38:$Y$58,-1)))),MIN(0.8*0.75*'KT THAN'!$C$62,'KT THAN'!$D$68/R122)))))</f>
        <v>158763.07851952704</v>
      </c>
      <c r="O122" s="39">
        <f>IF($A122="","",IF(H122&lt;0,ABS(H122)/MAX('KT THAN'!$C$69,0.001)+'KT THAN'!$C$32*ABS(J122)/MAX('KT THAN'!$C$68,0.001)+'KT THAN'!$D$32*ABS(I122)/MAX('KT THAN'!$D$68,0.001),IF(OR(M122&lt;=0,N122&lt;=0),999,IF(H122&gt;=0.1*0.75*fc_*Agth*1000,H122/MAX(0.001,1/(1/M122+1/N122-1/(0.75*'KT THAN'!$C$62))),'KT THAN'!$C$32*ABS(J122)/MAX('KT THAN'!$C$68,0.001)+'KT THAN'!$D$32*ABS(I122)/MAX('KT THAN'!$D$68,0.001)))))</f>
        <v>0.66624279302540945</v>
      </c>
      <c r="P122" s="37" t="str">
        <f t="shared" si="22"/>
        <v>ĐẠT</v>
      </c>
      <c r="Q122" s="39">
        <f>IF($A122="","",MAX(0.001,'KT THAN'!$C$32*ABS(J122)/MAX(1,H122)))</f>
        <v>1.1076031865899001</v>
      </c>
      <c r="R122" s="39">
        <f>IF($A122="","",MAX(0.001,'KT THAN'!$D$32*ABS(I122)/MAX(1,H122)))</f>
        <v>0.43117293219882297</v>
      </c>
      <c r="S122" t="str">
        <f t="shared" si="23"/>
        <v/>
      </c>
    </row>
    <row r="123" spans="1:19" x14ac:dyDescent="0.3">
      <c r="A123" s="37" t="str">
        <f>IF(AND(nThan=1,2=2),"",'TO HOP'!B186)</f>
        <v/>
      </c>
      <c r="B123" s="39" t="str">
        <f>IF(A123="","",'TO HOP'!E186)</f>
        <v/>
      </c>
      <c r="C123" s="39" t="str">
        <f>IF(A123="","",'TO HOP'!F186)</f>
        <v/>
      </c>
      <c r="D123" s="39" t="str">
        <f>IF(A123="","",'TO HOP'!G186)</f>
        <v/>
      </c>
      <c r="E123" s="39" t="str">
        <f>IF(A123="","",'TO HOP'!C186)</f>
        <v/>
      </c>
      <c r="F123" s="39" t="str">
        <f>IF(A123="","",'TO HOP'!D186)</f>
        <v/>
      </c>
      <c r="G123" s="39" t="str">
        <f>IF(A123="","",2)</f>
        <v/>
      </c>
      <c r="H123" s="39" t="str">
        <f>IF(A123="","",IF(nThan=1,B123,B123/2+(-1)*$B$7*C123/sThan))</f>
        <v/>
      </c>
      <c r="I123" s="39" t="str">
        <f t="shared" si="18"/>
        <v/>
      </c>
      <c r="J123" s="39" t="str">
        <f t="shared" si="19"/>
        <v/>
      </c>
      <c r="K123" s="39" t="str">
        <f t="shared" si="20"/>
        <v/>
      </c>
      <c r="L123" s="39" t="str">
        <f t="shared" si="21"/>
        <v/>
      </c>
      <c r="M123" s="39" t="str">
        <f>IF($A123="","",IF(H123=0,"",IF(Q123&lt;=0.000000001,MIN(0.8*0.75*'KT THAN'!$C$62,MAX('KT THAN'!$J$38:$J$58)),IFERROR(MIN(0.8*0.75*'KT THAN'!$C$62,INDEX('KT THAN'!$J$38:$J$58,MATCH(Q123,'KT THAN'!$L$38:$L$58,-1))+(INDEX('KT THAN'!$J$38:$J$58,MIN(21,MATCH(Q123,'KT THAN'!$L$38:$L$58,-1)+1))-INDEX('KT THAN'!$J$38:$J$58,MATCH(Q123,'KT THAN'!$L$38:$L$58,-1)))*(Q123-INDEX('KT THAN'!$L$38:$L$58,MATCH(Q123,'KT THAN'!$L$38:$L$58,-1)))/(INDEX('KT THAN'!$L$38:$L$58,MIN(21,MATCH(Q123,'KT THAN'!$L$38:$L$58,-1)+1))-INDEX('KT THAN'!$L$38:$L$58,MATCH(Q123,'KT THAN'!$L$38:$L$58,-1)))),MIN(0.8*0.75*'KT THAN'!$C$62,'KT THAN'!$C$68/Q123)))))</f>
        <v/>
      </c>
      <c r="N123" s="39" t="str">
        <f>IF($A123="","",IF(H123=0,"",IF(R123&lt;=0.000000001,MIN(0.8*0.75*'KT THAN'!$C$62,MAX('KT THAN'!$W$38:$W$58)),IFERROR(MIN(0.8*0.75*'KT THAN'!$C$62,INDEX('KT THAN'!$W$38:$W$58,MATCH(R123,'KT THAN'!$Y$38:$Y$58,-1))+(INDEX('KT THAN'!$W$38:$W$58,MIN(21,MATCH(R123,'KT THAN'!$Y$38:$Y$58,-1)+1))-INDEX('KT THAN'!$W$38:$W$58,MATCH(R123,'KT THAN'!$Y$38:$Y$58,-1)))*(R123-INDEX('KT THAN'!$Y$38:$Y$58,MATCH(R123,'KT THAN'!$Y$38:$Y$58,-1)))/(INDEX('KT THAN'!$Y$38:$Y$58,MIN(21,MATCH(R123,'KT THAN'!$Y$38:$Y$58,-1)+1))-INDEX('KT THAN'!$Y$38:$Y$58,MATCH(R123,'KT THAN'!$Y$38:$Y$58,-1)))),MIN(0.8*0.75*'KT THAN'!$C$62,'KT THAN'!$D$68/R123)))))</f>
        <v/>
      </c>
      <c r="O123" s="39" t="str">
        <f>IF($A123="","",IF(H123&lt;0,ABS(H123)/MAX('KT THAN'!$C$69,0.001)+'KT THAN'!$C$32*ABS(J123)/MAX('KT THAN'!$C$68,0.001)+'KT THAN'!$D$32*ABS(I123)/MAX('KT THAN'!$D$68,0.001),IF(OR(M123&lt;=0,N123&lt;=0),999,IF(H123&gt;=0.1*0.75*fc_*Agth*1000,H123/MAX(0.001,1/(1/M123+1/N123-1/(0.75*'KT THAN'!$C$62))),'KT THAN'!$C$32*ABS(J123)/MAX('KT THAN'!$C$68,0.001)+'KT THAN'!$D$32*ABS(I123)/MAX('KT THAN'!$D$68,0.001)))))</f>
        <v/>
      </c>
      <c r="P123" s="37" t="str">
        <f t="shared" si="22"/>
        <v/>
      </c>
      <c r="Q123" s="39" t="str">
        <f>IF($A123="","",MAX(0.001,'KT THAN'!$C$32*ABS(J123)/MAX(1,H123)))</f>
        <v/>
      </c>
      <c r="R123" s="39" t="str">
        <f>IF($A123="","",MAX(0.001,'KT THAN'!$D$32*ABS(I123)/MAX(1,H123)))</f>
        <v/>
      </c>
      <c r="S123" t="str">
        <f t="shared" si="23"/>
        <v/>
      </c>
    </row>
    <row r="124" spans="1:19" x14ac:dyDescent="0.3">
      <c r="A124" s="37" t="str">
        <f>IF(AND(nThan=1,1=2),"",'TO HOP'!B187)</f>
        <v>ĐB I - dọc chủ đạo</v>
      </c>
      <c r="B124" s="39">
        <f>IF(A124="","",'TO HOP'!E187)</f>
        <v>24180.961535589624</v>
      </c>
      <c r="C124" s="39">
        <f>IF(A124="","",'TO HOP'!F187)</f>
        <v>10696.347874891002</v>
      </c>
      <c r="D124" s="39">
        <f>IF(A124="","",'TO HOP'!G187)</f>
        <v>32489.978043587224</v>
      </c>
      <c r="E124" s="39">
        <f>IF(A124="","",'TO HOP'!C187)</f>
        <v>3446.1730690059308</v>
      </c>
      <c r="F124" s="39">
        <f>IF(A124="","",'TO HOP'!D187)</f>
        <v>803.81090438403237</v>
      </c>
      <c r="G124" s="39">
        <f>IF(A124="","",1)</f>
        <v>1</v>
      </c>
      <c r="H124" s="39">
        <f>IF(A124="","",IF(nThan=1,B124,B124/2+(1)*$B$7*C124/sThan))</f>
        <v>24180.961535589624</v>
      </c>
      <c r="I124" s="39">
        <f t="shared" si="18"/>
        <v>10696.347874891002</v>
      </c>
      <c r="J124" s="39">
        <f t="shared" si="19"/>
        <v>32489.978043587224</v>
      </c>
      <c r="K124" s="39">
        <f t="shared" si="20"/>
        <v>3446.1730690059308</v>
      </c>
      <c r="L124" s="39">
        <f t="shared" si="21"/>
        <v>803.81090438403237</v>
      </c>
      <c r="M124" s="39">
        <f>IF($A124="","",IF(H124=0,"",IF(Q124&lt;=0.000000001,MIN(0.8*0.75*'KT THAN'!$C$62,MAX('KT THAN'!$J$38:$J$58)),IFERROR(MIN(0.8*0.75*'KT THAN'!$C$62,INDEX('KT THAN'!$J$38:$J$58,MATCH(Q124,'KT THAN'!$L$38:$L$58,-1))+(INDEX('KT THAN'!$J$38:$J$58,MIN(21,MATCH(Q124,'KT THAN'!$L$38:$L$58,-1)+1))-INDEX('KT THAN'!$J$38:$J$58,MATCH(Q124,'KT THAN'!$L$38:$L$58,-1)))*(Q124-INDEX('KT THAN'!$L$38:$L$58,MATCH(Q124,'KT THAN'!$L$38:$L$58,-1)))/(INDEX('KT THAN'!$L$38:$L$58,MIN(21,MATCH(Q124,'KT THAN'!$L$38:$L$58,-1)+1))-INDEX('KT THAN'!$L$38:$L$58,MATCH(Q124,'KT THAN'!$L$38:$L$58,-1)))),MIN(0.8*0.75*'KT THAN'!$C$62,'KT THAN'!$C$68/Q124)))))</f>
        <v>37208.828298483946</v>
      </c>
      <c r="N124" s="39">
        <f>IF($A124="","",IF(H124=0,"",IF(R124&lt;=0.000000001,MIN(0.8*0.75*'KT THAN'!$C$62,MAX('KT THAN'!$W$38:$W$58)),IFERROR(MIN(0.8*0.75*'KT THAN'!$C$62,INDEX('KT THAN'!$W$38:$W$58,MATCH(R124,'KT THAN'!$Y$38:$Y$58,-1))+(INDEX('KT THAN'!$W$38:$W$58,MIN(21,MATCH(R124,'KT THAN'!$Y$38:$Y$58,-1)+1))-INDEX('KT THAN'!$W$38:$W$58,MATCH(R124,'KT THAN'!$Y$38:$Y$58,-1)))*(R124-INDEX('KT THAN'!$Y$38:$Y$58,MATCH(R124,'KT THAN'!$Y$38:$Y$58,-1)))/(INDEX('KT THAN'!$Y$38:$Y$58,MIN(21,MATCH(R124,'KT THAN'!$Y$38:$Y$58,-1)+1))-INDEX('KT THAN'!$Y$38:$Y$58,MATCH(R124,'KT THAN'!$Y$38:$Y$58,-1)))),MIN(0.8*0.75*'KT THAN'!$C$62,'KT THAN'!$D$68/R124)))))</f>
        <v>158763.07851952704</v>
      </c>
      <c r="O124" s="39">
        <f>IF($A124="","",IF(H124&lt;0,ABS(H124)/MAX('KT THAN'!$C$69,0.001)+'KT THAN'!$C$32*ABS(J124)/MAX('KT THAN'!$C$68,0.001)+'KT THAN'!$D$32*ABS(I124)/MAX('KT THAN'!$D$68,0.001),IF(OR(M124&lt;=0,N124&lt;=0),999,IF(H124&gt;=0.1*0.75*fc_*Agth*1000,H124/MAX(0.001,1/(1/M124+1/N124-1/(0.75*'KT THAN'!$C$62))),'KT THAN'!$C$32*ABS(J124)/MAX('KT THAN'!$C$68,0.001)+'KT THAN'!$D$32*ABS(I124)/MAX('KT THAN'!$D$68,0.001)))))</f>
        <v>0.68033331423612753</v>
      </c>
      <c r="P124" s="37" t="str">
        <f t="shared" si="22"/>
        <v>ĐẠT</v>
      </c>
      <c r="Q124" s="39">
        <f>IF($A124="","",MAX(0.001,'KT THAN'!$C$32*ABS(J124)/MAX(1,H124)))</f>
        <v>1.5024844496378016</v>
      </c>
      <c r="R124" s="39">
        <f>IF($A124="","",MAX(0.001,'KT THAN'!$D$32*ABS(I124)/MAX(1,H124)))</f>
        <v>0.44234584547632977</v>
      </c>
      <c r="S124" t="str">
        <f t="shared" si="23"/>
        <v/>
      </c>
    </row>
    <row r="125" spans="1:19" x14ac:dyDescent="0.3">
      <c r="A125" s="37" t="str">
        <f>IF(AND(nThan=1,2=2),"",'TO HOP'!B187)</f>
        <v/>
      </c>
      <c r="B125" s="39" t="str">
        <f>IF(A125="","",'TO HOP'!E187)</f>
        <v/>
      </c>
      <c r="C125" s="39" t="str">
        <f>IF(A125="","",'TO HOP'!F187)</f>
        <v/>
      </c>
      <c r="D125" s="39" t="str">
        <f>IF(A125="","",'TO HOP'!G187)</f>
        <v/>
      </c>
      <c r="E125" s="39" t="str">
        <f>IF(A125="","",'TO HOP'!C187)</f>
        <v/>
      </c>
      <c r="F125" s="39" t="str">
        <f>IF(A125="","",'TO HOP'!D187)</f>
        <v/>
      </c>
      <c r="G125" s="39" t="str">
        <f>IF(A125="","",2)</f>
        <v/>
      </c>
      <c r="H125" s="39" t="str">
        <f>IF(A125="","",IF(nThan=1,B125,B125/2+(-1)*$B$7*C125/sThan))</f>
        <v/>
      </c>
      <c r="I125" s="39" t="str">
        <f t="shared" si="18"/>
        <v/>
      </c>
      <c r="J125" s="39" t="str">
        <f t="shared" si="19"/>
        <v/>
      </c>
      <c r="K125" s="39" t="str">
        <f t="shared" si="20"/>
        <v/>
      </c>
      <c r="L125" s="39" t="str">
        <f t="shared" si="21"/>
        <v/>
      </c>
      <c r="M125" s="39" t="str">
        <f>IF($A125="","",IF(H125=0,"",IF(Q125&lt;=0.000000001,MIN(0.8*0.75*'KT THAN'!$C$62,MAX('KT THAN'!$J$38:$J$58)),IFERROR(MIN(0.8*0.75*'KT THAN'!$C$62,INDEX('KT THAN'!$J$38:$J$58,MATCH(Q125,'KT THAN'!$L$38:$L$58,-1))+(INDEX('KT THAN'!$J$38:$J$58,MIN(21,MATCH(Q125,'KT THAN'!$L$38:$L$58,-1)+1))-INDEX('KT THAN'!$J$38:$J$58,MATCH(Q125,'KT THAN'!$L$38:$L$58,-1)))*(Q125-INDEX('KT THAN'!$L$38:$L$58,MATCH(Q125,'KT THAN'!$L$38:$L$58,-1)))/(INDEX('KT THAN'!$L$38:$L$58,MIN(21,MATCH(Q125,'KT THAN'!$L$38:$L$58,-1)+1))-INDEX('KT THAN'!$L$38:$L$58,MATCH(Q125,'KT THAN'!$L$38:$L$58,-1)))),MIN(0.8*0.75*'KT THAN'!$C$62,'KT THAN'!$C$68/Q125)))))</f>
        <v/>
      </c>
      <c r="N125" s="39" t="str">
        <f>IF($A125="","",IF(H125=0,"",IF(R125&lt;=0.000000001,MIN(0.8*0.75*'KT THAN'!$C$62,MAX('KT THAN'!$W$38:$W$58)),IFERROR(MIN(0.8*0.75*'KT THAN'!$C$62,INDEX('KT THAN'!$W$38:$W$58,MATCH(R125,'KT THAN'!$Y$38:$Y$58,-1))+(INDEX('KT THAN'!$W$38:$W$58,MIN(21,MATCH(R125,'KT THAN'!$Y$38:$Y$58,-1)+1))-INDEX('KT THAN'!$W$38:$W$58,MATCH(R125,'KT THAN'!$Y$38:$Y$58,-1)))*(R125-INDEX('KT THAN'!$Y$38:$Y$58,MATCH(R125,'KT THAN'!$Y$38:$Y$58,-1)))/(INDEX('KT THAN'!$Y$38:$Y$58,MIN(21,MATCH(R125,'KT THAN'!$Y$38:$Y$58,-1)+1))-INDEX('KT THAN'!$Y$38:$Y$58,MATCH(R125,'KT THAN'!$Y$38:$Y$58,-1)))),MIN(0.8*0.75*'KT THAN'!$C$62,'KT THAN'!$D$68/R125)))))</f>
        <v/>
      </c>
      <c r="O125" s="39" t="str">
        <f>IF($A125="","",IF(H125&lt;0,ABS(H125)/MAX('KT THAN'!$C$69,0.001)+'KT THAN'!$C$32*ABS(J125)/MAX('KT THAN'!$C$68,0.001)+'KT THAN'!$D$32*ABS(I125)/MAX('KT THAN'!$D$68,0.001),IF(OR(M125&lt;=0,N125&lt;=0),999,IF(H125&gt;=0.1*0.75*fc_*Agth*1000,H125/MAX(0.001,1/(1/M125+1/N125-1/(0.75*'KT THAN'!$C$62))),'KT THAN'!$C$32*ABS(J125)/MAX('KT THAN'!$C$68,0.001)+'KT THAN'!$D$32*ABS(I125)/MAX('KT THAN'!$D$68,0.001)))))</f>
        <v/>
      </c>
      <c r="P125" s="37" t="str">
        <f t="shared" si="22"/>
        <v/>
      </c>
      <c r="Q125" s="39" t="str">
        <f>IF($A125="","",MAX(0.001,'KT THAN'!$C$32*ABS(J125)/MAX(1,H125)))</f>
        <v/>
      </c>
      <c r="R125" s="39" t="str">
        <f>IF($A125="","",MAX(0.001,'KT THAN'!$D$32*ABS(I125)/MAX(1,H125)))</f>
        <v/>
      </c>
      <c r="S125" t="str">
        <f t="shared" si="23"/>
        <v/>
      </c>
    </row>
    <row r="126" spans="1:19" x14ac:dyDescent="0.3">
      <c r="A126" s="37" t="str">
        <f>IF(AND(nThan=1,1=2),"",'TO HOP'!B188)</f>
        <v>ĐB I - ngang chủ đạo</v>
      </c>
      <c r="B126" s="39">
        <f>IF(A126="","",'TO HOP'!E188)</f>
        <v>24180.961535589624</v>
      </c>
      <c r="C126" s="39">
        <f>IF(A126="","",'TO HOP'!F188)</f>
        <v>25315.309357053342</v>
      </c>
      <c r="D126" s="39">
        <f>IF(A126="","",'TO HOP'!G188)</f>
        <v>20196.898290026169</v>
      </c>
      <c r="E126" s="39">
        <f>IF(A126="","",'TO HOP'!C188)</f>
        <v>1869.0163294517793</v>
      </c>
      <c r="F126" s="39">
        <f>IF(A126="","",'TO HOP'!D188)</f>
        <v>2679.3696812801081</v>
      </c>
      <c r="G126" s="39">
        <f>IF(A126="","",1)</f>
        <v>1</v>
      </c>
      <c r="H126" s="39">
        <f>IF(A126="","",IF(nThan=1,B126,B126/2+(1)*$B$7*C126/sThan))</f>
        <v>24180.961535589624</v>
      </c>
      <c r="I126" s="39">
        <f t="shared" si="18"/>
        <v>25315.309357053342</v>
      </c>
      <c r="J126" s="39">
        <f t="shared" si="19"/>
        <v>20196.898290026169</v>
      </c>
      <c r="K126" s="39">
        <f t="shared" si="20"/>
        <v>1869.0163294517793</v>
      </c>
      <c r="L126" s="39">
        <f t="shared" si="21"/>
        <v>2679.3696812801081</v>
      </c>
      <c r="M126" s="39">
        <f>IF($A126="","",IF(H126=0,"",IF(Q126&lt;=0.000000001,MIN(0.8*0.75*'KT THAN'!$C$62,MAX('KT THAN'!$J$38:$J$58)),IFERROR(MIN(0.8*0.75*'KT THAN'!$C$62,INDEX('KT THAN'!$J$38:$J$58,MATCH(Q126,'KT THAN'!$L$38:$L$58,-1))+(INDEX('KT THAN'!$J$38:$J$58,MIN(21,MATCH(Q126,'KT THAN'!$L$38:$L$58,-1)+1))-INDEX('KT THAN'!$J$38:$J$58,MATCH(Q126,'KT THAN'!$L$38:$L$58,-1)))*(Q126-INDEX('KT THAN'!$L$38:$L$58,MATCH(Q126,'KT THAN'!$L$38:$L$58,-1)))/(INDEX('KT THAN'!$L$38:$L$58,MIN(21,MATCH(Q126,'KT THAN'!$L$38:$L$58,-1)+1))-INDEX('KT THAN'!$L$38:$L$58,MATCH(Q126,'KT THAN'!$L$38:$L$58,-1)))),MIN(0.8*0.75*'KT THAN'!$C$62,'KT THAN'!$C$68/Q126)))))</f>
        <v>61804.498797194457</v>
      </c>
      <c r="N126" s="39">
        <f>IF($A126="","",IF(H126=0,"",IF(R126&lt;=0.000000001,MIN(0.8*0.75*'KT THAN'!$C$62,MAX('KT THAN'!$W$38:$W$58)),IFERROR(MIN(0.8*0.75*'KT THAN'!$C$62,INDEX('KT THAN'!$W$38:$W$58,MATCH(R126,'KT THAN'!$Y$38:$Y$58,-1))+(INDEX('KT THAN'!$W$38:$W$58,MIN(21,MATCH(R126,'KT THAN'!$Y$38:$Y$58,-1)+1))-INDEX('KT THAN'!$W$38:$W$58,MATCH(R126,'KT THAN'!$Y$38:$Y$58,-1)))*(R126-INDEX('KT THAN'!$Y$38:$Y$58,MATCH(R126,'KT THAN'!$Y$38:$Y$58,-1)))/(INDEX('KT THAN'!$Y$38:$Y$58,MIN(21,MATCH(R126,'KT THAN'!$Y$38:$Y$58,-1)+1))-INDEX('KT THAN'!$Y$38:$Y$58,MATCH(R126,'KT THAN'!$Y$38:$Y$58,-1)))),MIN(0.8*0.75*'KT THAN'!$C$62,'KT THAN'!$D$68/R126)))))</f>
        <v>121450.09231909052</v>
      </c>
      <c r="O126" s="39">
        <f>IF($A126="","",IF(H126&lt;0,ABS(H126)/MAX('KT THAN'!$C$69,0.001)+'KT THAN'!$C$32*ABS(J126)/MAX('KT THAN'!$C$68,0.001)+'KT THAN'!$D$32*ABS(I126)/MAX('KT THAN'!$D$68,0.001),IF(OR(M126&lt;=0,N126&lt;=0),999,IF(H126&gt;=0.1*0.75*fc_*Agth*1000,H126/MAX(0.001,1/(1/M126+1/N126-1/(0.75*'KT THAN'!$C$62))),'KT THAN'!$C$32*ABS(J126)/MAX('KT THAN'!$C$68,0.001)+'KT THAN'!$D$32*ABS(I126)/MAX('KT THAN'!$D$68,0.001)))))</f>
        <v>0.468504480844051</v>
      </c>
      <c r="P126" s="37" t="str">
        <f t="shared" si="22"/>
        <v>ĐẠT</v>
      </c>
      <c r="Q126" s="39">
        <f>IF($A126="","",MAX(0.001,'KT THAN'!$C$32*ABS(J126)/MAX(1,H126)))</f>
        <v>0.9339964948874484</v>
      </c>
      <c r="R126" s="39">
        <f>IF($A126="","",MAX(0.001,'KT THAN'!$D$32*ABS(I126)/MAX(1,H126)))</f>
        <v>1.0469107822612504</v>
      </c>
      <c r="S126" t="str">
        <f t="shared" si="23"/>
        <v/>
      </c>
    </row>
    <row r="127" spans="1:19" x14ac:dyDescent="0.3">
      <c r="A127" s="37" t="str">
        <f>IF(AND(nThan=1,2=2),"",'TO HOP'!B188)</f>
        <v/>
      </c>
      <c r="B127" s="39" t="str">
        <f>IF(A127="","",'TO HOP'!E188)</f>
        <v/>
      </c>
      <c r="C127" s="39" t="str">
        <f>IF(A127="","",'TO HOP'!F188)</f>
        <v/>
      </c>
      <c r="D127" s="39" t="str">
        <f>IF(A127="","",'TO HOP'!G188)</f>
        <v/>
      </c>
      <c r="E127" s="39" t="str">
        <f>IF(A127="","",'TO HOP'!C188)</f>
        <v/>
      </c>
      <c r="F127" s="39" t="str">
        <f>IF(A127="","",'TO HOP'!D188)</f>
        <v/>
      </c>
      <c r="G127" s="39" t="str">
        <f>IF(A127="","",2)</f>
        <v/>
      </c>
      <c r="H127" s="39" t="str">
        <f>IF(A127="","",IF(nThan=1,B127,B127/2+(-1)*$B$7*C127/sThan))</f>
        <v/>
      </c>
      <c r="I127" s="39" t="str">
        <f t="shared" si="18"/>
        <v/>
      </c>
      <c r="J127" s="39" t="str">
        <f t="shared" si="19"/>
        <v/>
      </c>
      <c r="K127" s="39" t="str">
        <f t="shared" si="20"/>
        <v/>
      </c>
      <c r="L127" s="39" t="str">
        <f t="shared" si="21"/>
        <v/>
      </c>
      <c r="M127" s="39" t="str">
        <f>IF($A127="","",IF(H127=0,"",IF(Q127&lt;=0.000000001,MIN(0.8*0.75*'KT THAN'!$C$62,MAX('KT THAN'!$J$38:$J$58)),IFERROR(MIN(0.8*0.75*'KT THAN'!$C$62,INDEX('KT THAN'!$J$38:$J$58,MATCH(Q127,'KT THAN'!$L$38:$L$58,-1))+(INDEX('KT THAN'!$J$38:$J$58,MIN(21,MATCH(Q127,'KT THAN'!$L$38:$L$58,-1)+1))-INDEX('KT THAN'!$J$38:$J$58,MATCH(Q127,'KT THAN'!$L$38:$L$58,-1)))*(Q127-INDEX('KT THAN'!$L$38:$L$58,MATCH(Q127,'KT THAN'!$L$38:$L$58,-1)))/(INDEX('KT THAN'!$L$38:$L$58,MIN(21,MATCH(Q127,'KT THAN'!$L$38:$L$58,-1)+1))-INDEX('KT THAN'!$L$38:$L$58,MATCH(Q127,'KT THAN'!$L$38:$L$58,-1)))),MIN(0.8*0.75*'KT THAN'!$C$62,'KT THAN'!$C$68/Q127)))))</f>
        <v/>
      </c>
      <c r="N127" s="39" t="str">
        <f>IF($A127="","",IF(H127=0,"",IF(R127&lt;=0.000000001,MIN(0.8*0.75*'KT THAN'!$C$62,MAX('KT THAN'!$W$38:$W$58)),IFERROR(MIN(0.8*0.75*'KT THAN'!$C$62,INDEX('KT THAN'!$W$38:$W$58,MATCH(R127,'KT THAN'!$Y$38:$Y$58,-1))+(INDEX('KT THAN'!$W$38:$W$58,MIN(21,MATCH(R127,'KT THAN'!$Y$38:$Y$58,-1)+1))-INDEX('KT THAN'!$W$38:$W$58,MATCH(R127,'KT THAN'!$Y$38:$Y$58,-1)))*(R127-INDEX('KT THAN'!$Y$38:$Y$58,MATCH(R127,'KT THAN'!$Y$38:$Y$58,-1)))/(INDEX('KT THAN'!$Y$38:$Y$58,MIN(21,MATCH(R127,'KT THAN'!$Y$38:$Y$58,-1)+1))-INDEX('KT THAN'!$Y$38:$Y$58,MATCH(R127,'KT THAN'!$Y$38:$Y$58,-1)))),MIN(0.8*0.75*'KT THAN'!$C$62,'KT THAN'!$D$68/R127)))))</f>
        <v/>
      </c>
      <c r="O127" s="39" t="str">
        <f>IF($A127="","",IF(H127&lt;0,ABS(H127)/MAX('KT THAN'!$C$69,0.001)+'KT THAN'!$C$32*ABS(J127)/MAX('KT THAN'!$C$68,0.001)+'KT THAN'!$D$32*ABS(I127)/MAX('KT THAN'!$D$68,0.001),IF(OR(M127&lt;=0,N127&lt;=0),999,IF(H127&gt;=0.1*0.75*fc_*Agth*1000,H127/MAX(0.001,1/(1/M127+1/N127-1/(0.75*'KT THAN'!$C$62))),'KT THAN'!$C$32*ABS(J127)/MAX('KT THAN'!$C$68,0.001)+'KT THAN'!$D$32*ABS(I127)/MAX('KT THAN'!$D$68,0.001)))))</f>
        <v/>
      </c>
      <c r="P127" s="37" t="str">
        <f t="shared" si="22"/>
        <v/>
      </c>
      <c r="Q127" s="39" t="str">
        <f>IF($A127="","",MAX(0.001,'KT THAN'!$C$32*ABS(J127)/MAX(1,H127)))</f>
        <v/>
      </c>
      <c r="R127" s="39" t="str">
        <f>IF($A127="","",MAX(0.001,'KT THAN'!$D$32*ABS(I127)/MAX(1,H127)))</f>
        <v/>
      </c>
      <c r="S127" t="str">
        <f t="shared" si="23"/>
        <v/>
      </c>
    </row>
    <row r="128" spans="1:19" x14ac:dyDescent="0.3">
      <c r="A128" s="37" t="str">
        <f>IF(AND(nThan=1,1=2),"",'TO HOP'!B189)</f>
        <v>ĐB II - va xe dọc</v>
      </c>
      <c r="B128" s="39">
        <f>IF(A128="","",'TO HOP'!E189)</f>
        <v>30101.961023487027</v>
      </c>
      <c r="C128" s="39">
        <f>IF(A128="","",'TO HOP'!F189)</f>
        <v>4431.0786682500002</v>
      </c>
      <c r="D128" s="39">
        <f>IF(A128="","",'TO HOP'!G189)</f>
        <v>18465.557413500006</v>
      </c>
      <c r="E128" s="39">
        <f>IF(A128="","",'TO HOP'!C189)</f>
        <v>2834.6545125000002</v>
      </c>
      <c r="F128" s="39">
        <f>IF(A128="","",'TO HOP'!D189)</f>
        <v>0</v>
      </c>
      <c r="G128" s="39">
        <f>IF(A128="","",1)</f>
        <v>1</v>
      </c>
      <c r="H128" s="39">
        <f>IF(A128="","",IF(nThan=1,B128,B128/2+(1)*$B$7*C128/sThan))</f>
        <v>30101.961023487027</v>
      </c>
      <c r="I128" s="39">
        <f t="shared" si="18"/>
        <v>4431.0786682500002</v>
      </c>
      <c r="J128" s="39">
        <f t="shared" si="19"/>
        <v>18465.557413500006</v>
      </c>
      <c r="K128" s="39">
        <f t="shared" si="20"/>
        <v>2834.6545125000002</v>
      </c>
      <c r="L128" s="39">
        <f t="shared" si="21"/>
        <v>0</v>
      </c>
      <c r="M128" s="39">
        <f>IF($A128="","",IF(H128=0,"",IF(Q128&lt;=0.000000001,MIN(0.8*0.75*'KT THAN'!$C$62,MAX('KT THAN'!$J$38:$J$58)),IFERROR(MIN(0.8*0.75*'KT THAN'!$C$62,INDEX('KT THAN'!$J$38:$J$58,MATCH(Q128,'KT THAN'!$L$38:$L$58,-1))+(INDEX('KT THAN'!$J$38:$J$58,MIN(21,MATCH(Q128,'KT THAN'!$L$38:$L$58,-1)+1))-INDEX('KT THAN'!$J$38:$J$58,MATCH(Q128,'KT THAN'!$L$38:$L$58,-1)))*(Q128-INDEX('KT THAN'!$L$38:$L$58,MATCH(Q128,'KT THAN'!$L$38:$L$58,-1)))/(INDEX('KT THAN'!$L$38:$L$58,MIN(21,MATCH(Q128,'KT THAN'!$L$38:$L$58,-1)+1))-INDEX('KT THAN'!$L$38:$L$58,MATCH(Q128,'KT THAN'!$L$38:$L$58,-1)))),MIN(0.8*0.75*'KT THAN'!$C$62,'KT THAN'!$C$68/Q128)))))</f>
        <v>78389.647718243243</v>
      </c>
      <c r="N128" s="39">
        <f>IF($A128="","",IF(H128=0,"",IF(R128&lt;=0.000000001,MIN(0.8*0.75*'KT THAN'!$C$62,MAX('KT THAN'!$W$38:$W$58)),IFERROR(MIN(0.8*0.75*'KT THAN'!$C$62,INDEX('KT THAN'!$W$38:$W$58,MATCH(R128,'KT THAN'!$Y$38:$Y$58,-1))+(INDEX('KT THAN'!$W$38:$W$58,MIN(21,MATCH(R128,'KT THAN'!$Y$38:$Y$58,-1)+1))-INDEX('KT THAN'!$W$38:$W$58,MATCH(R128,'KT THAN'!$Y$38:$Y$58,-1)))*(R128-INDEX('KT THAN'!$Y$38:$Y$58,MATCH(R128,'KT THAN'!$Y$38:$Y$58,-1)))/(INDEX('KT THAN'!$Y$38:$Y$58,MIN(21,MATCH(R128,'KT THAN'!$Y$38:$Y$58,-1)+1))-INDEX('KT THAN'!$Y$38:$Y$58,MATCH(R128,'KT THAN'!$Y$38:$Y$58,-1)))),MIN(0.8*0.75*'KT THAN'!$C$62,'KT THAN'!$D$68/R128)))))</f>
        <v>158763.07851952704</v>
      </c>
      <c r="O128" s="39">
        <f>IF($A128="","",IF(H128&lt;0,ABS(H128)/MAX('KT THAN'!$C$69,0.001)+'KT THAN'!$C$32*ABS(J128)/MAX('KT THAN'!$C$68,0.001)+'KT THAN'!$D$32*ABS(I128)/MAX('KT THAN'!$D$68,0.001),IF(OR(M128&lt;=0,N128&lt;=0),999,IF(H128&gt;=0.1*0.75*fc_*Agth*1000,H128/MAX(0.001,1/(1/M128+1/N128-1/(0.75*'KT THAN'!$C$62))),'KT THAN'!$C$32*ABS(J128)/MAX('KT THAN'!$C$68,0.001)+'KT THAN'!$D$32*ABS(I128)/MAX('KT THAN'!$D$68,0.001)))))</f>
        <v>0.42192489646107684</v>
      </c>
      <c r="P128" s="37" t="str">
        <f t="shared" si="22"/>
        <v>ĐẠT</v>
      </c>
      <c r="Q128" s="39">
        <f>IF($A128="","",MAX(0.001,'KT THAN'!$C$32*ABS(J128)/MAX(1,H128)))</f>
        <v>0.68596469984324138</v>
      </c>
      <c r="R128" s="39">
        <f>IF($A128="","",MAX(0.001,'KT THAN'!$D$32*ABS(I128)/MAX(1,H128)))</f>
        <v>0.14720232561568514</v>
      </c>
      <c r="S128" t="str">
        <f t="shared" si="23"/>
        <v/>
      </c>
    </row>
    <row r="129" spans="1:19" x14ac:dyDescent="0.3">
      <c r="A129" s="37" t="str">
        <f>IF(AND(nThan=1,2=2),"",'TO HOP'!B189)</f>
        <v/>
      </c>
      <c r="B129" s="39" t="str">
        <f>IF(A129="","",'TO HOP'!E189)</f>
        <v/>
      </c>
      <c r="C129" s="39" t="str">
        <f>IF(A129="","",'TO HOP'!F189)</f>
        <v/>
      </c>
      <c r="D129" s="39" t="str">
        <f>IF(A129="","",'TO HOP'!G189)</f>
        <v/>
      </c>
      <c r="E129" s="39" t="str">
        <f>IF(A129="","",'TO HOP'!C189)</f>
        <v/>
      </c>
      <c r="F129" s="39" t="str">
        <f>IF(A129="","",'TO HOP'!D189)</f>
        <v/>
      </c>
      <c r="G129" s="39" t="str">
        <f>IF(A129="","",2)</f>
        <v/>
      </c>
      <c r="H129" s="39" t="str">
        <f>IF(A129="","",IF(nThan=1,B129,B129/2+(-1)*$B$7*C129/sThan))</f>
        <v/>
      </c>
      <c r="I129" s="39" t="str">
        <f t="shared" si="18"/>
        <v/>
      </c>
      <c r="J129" s="39" t="str">
        <f t="shared" si="19"/>
        <v/>
      </c>
      <c r="K129" s="39" t="str">
        <f t="shared" si="20"/>
        <v/>
      </c>
      <c r="L129" s="39" t="str">
        <f t="shared" si="21"/>
        <v/>
      </c>
      <c r="M129" s="39" t="str">
        <f>IF($A129="","",IF(H129=0,"",IF(Q129&lt;=0.000000001,MIN(0.8*0.75*'KT THAN'!$C$62,MAX('KT THAN'!$J$38:$J$58)),IFERROR(MIN(0.8*0.75*'KT THAN'!$C$62,INDEX('KT THAN'!$J$38:$J$58,MATCH(Q129,'KT THAN'!$L$38:$L$58,-1))+(INDEX('KT THAN'!$J$38:$J$58,MIN(21,MATCH(Q129,'KT THAN'!$L$38:$L$58,-1)+1))-INDEX('KT THAN'!$J$38:$J$58,MATCH(Q129,'KT THAN'!$L$38:$L$58,-1)))*(Q129-INDEX('KT THAN'!$L$38:$L$58,MATCH(Q129,'KT THAN'!$L$38:$L$58,-1)))/(INDEX('KT THAN'!$L$38:$L$58,MIN(21,MATCH(Q129,'KT THAN'!$L$38:$L$58,-1)+1))-INDEX('KT THAN'!$L$38:$L$58,MATCH(Q129,'KT THAN'!$L$38:$L$58,-1)))),MIN(0.8*0.75*'KT THAN'!$C$62,'KT THAN'!$C$68/Q129)))))</f>
        <v/>
      </c>
      <c r="N129" s="39" t="str">
        <f>IF($A129="","",IF(H129=0,"",IF(R129&lt;=0.000000001,MIN(0.8*0.75*'KT THAN'!$C$62,MAX('KT THAN'!$W$38:$W$58)),IFERROR(MIN(0.8*0.75*'KT THAN'!$C$62,INDEX('KT THAN'!$W$38:$W$58,MATCH(R129,'KT THAN'!$Y$38:$Y$58,-1))+(INDEX('KT THAN'!$W$38:$W$58,MIN(21,MATCH(R129,'KT THAN'!$Y$38:$Y$58,-1)+1))-INDEX('KT THAN'!$W$38:$W$58,MATCH(R129,'KT THAN'!$Y$38:$Y$58,-1)))*(R129-INDEX('KT THAN'!$Y$38:$Y$58,MATCH(R129,'KT THAN'!$Y$38:$Y$58,-1)))/(INDEX('KT THAN'!$Y$38:$Y$58,MIN(21,MATCH(R129,'KT THAN'!$Y$38:$Y$58,-1)+1))-INDEX('KT THAN'!$Y$38:$Y$58,MATCH(R129,'KT THAN'!$Y$38:$Y$58,-1)))),MIN(0.8*0.75*'KT THAN'!$C$62,'KT THAN'!$D$68/R129)))))</f>
        <v/>
      </c>
      <c r="O129" s="39" t="str">
        <f>IF($A129="","",IF(H129&lt;0,ABS(H129)/MAX('KT THAN'!$C$69,0.001)+'KT THAN'!$C$32*ABS(J129)/MAX('KT THAN'!$C$68,0.001)+'KT THAN'!$D$32*ABS(I129)/MAX('KT THAN'!$D$68,0.001),IF(OR(M129&lt;=0,N129&lt;=0),999,IF(H129&gt;=0.1*0.75*fc_*Agth*1000,H129/MAX(0.001,1/(1/M129+1/N129-1/(0.75*'KT THAN'!$C$62))),'KT THAN'!$C$32*ABS(J129)/MAX('KT THAN'!$C$68,0.001)+'KT THAN'!$D$32*ABS(I129)/MAX('KT THAN'!$D$68,0.001)))))</f>
        <v/>
      </c>
      <c r="P129" s="37" t="str">
        <f t="shared" si="22"/>
        <v/>
      </c>
      <c r="Q129" s="39" t="str">
        <f>IF($A129="","",MAX(0.001,'KT THAN'!$C$32*ABS(J129)/MAX(1,H129)))</f>
        <v/>
      </c>
      <c r="R129" s="39" t="str">
        <f>IF($A129="","",MAX(0.001,'KT THAN'!$D$32*ABS(I129)/MAX(1,H129)))</f>
        <v/>
      </c>
      <c r="S129" t="str">
        <f t="shared" si="23"/>
        <v/>
      </c>
    </row>
    <row r="130" spans="1:19" x14ac:dyDescent="0.3">
      <c r="A130" s="37" t="str">
        <f>IF(AND(nThan=1,1=2),"",'TO HOP'!B190)</f>
        <v>ĐB II - va xe ngang</v>
      </c>
      <c r="B130" s="39">
        <f>IF(A130="","",'TO HOP'!E190)</f>
        <v>30101.961023487027</v>
      </c>
      <c r="C130" s="39">
        <f>IF(A130="","",'TO HOP'!F190)</f>
        <v>10191.07866825</v>
      </c>
      <c r="D130" s="39">
        <f>IF(A130="","",'TO HOP'!G190)</f>
        <v>12705.557413500004</v>
      </c>
      <c r="E130" s="39">
        <f>IF(A130="","",'TO HOP'!C190)</f>
        <v>1034.6545125000002</v>
      </c>
      <c r="F130" s="39">
        <f>IF(A130="","",'TO HOP'!D190)</f>
        <v>1800</v>
      </c>
      <c r="G130" s="39">
        <f>IF(A130="","",1)</f>
        <v>1</v>
      </c>
      <c r="H130" s="39">
        <f>IF(A130="","",IF(nThan=1,B130,B130/2+(1)*$B$7*C130/sThan))</f>
        <v>30101.961023487027</v>
      </c>
      <c r="I130" s="39">
        <f t="shared" si="18"/>
        <v>10191.07866825</v>
      </c>
      <c r="J130" s="39">
        <f t="shared" si="19"/>
        <v>12705.557413500004</v>
      </c>
      <c r="K130" s="39">
        <f t="shared" si="20"/>
        <v>1034.6545125000002</v>
      </c>
      <c r="L130" s="39">
        <f t="shared" si="21"/>
        <v>1800</v>
      </c>
      <c r="M130" s="39">
        <f>IF($A130="","",IF(H130=0,"",IF(Q130&lt;=0.000000001,MIN(0.8*0.75*'KT THAN'!$C$62,MAX('KT THAN'!$J$38:$J$58)),IFERROR(MIN(0.8*0.75*'KT THAN'!$C$62,INDEX('KT THAN'!$J$38:$J$58,MATCH(Q130,'KT THAN'!$L$38:$L$58,-1))+(INDEX('KT THAN'!$J$38:$J$58,MIN(21,MATCH(Q130,'KT THAN'!$L$38:$L$58,-1)+1))-INDEX('KT THAN'!$J$38:$J$58,MATCH(Q130,'KT THAN'!$L$38:$L$58,-1)))*(Q130-INDEX('KT THAN'!$L$38:$L$58,MATCH(Q130,'KT THAN'!$L$38:$L$58,-1)))/(INDEX('KT THAN'!$L$38:$L$58,MIN(21,MATCH(Q130,'KT THAN'!$L$38:$L$58,-1)+1))-INDEX('KT THAN'!$L$38:$L$58,MATCH(Q130,'KT THAN'!$L$38:$L$58,-1)))),MIN(0.8*0.75*'KT THAN'!$C$62,'KT THAN'!$C$68/Q130)))))</f>
        <v>102626.73788333504</v>
      </c>
      <c r="N130" s="39">
        <f>IF($A130="","",IF(H130=0,"",IF(R130&lt;=0.000000001,MIN(0.8*0.75*'KT THAN'!$C$62,MAX('KT THAN'!$W$38:$W$58)),IFERROR(MIN(0.8*0.75*'KT THAN'!$C$62,INDEX('KT THAN'!$W$38:$W$58,MATCH(R130,'KT THAN'!$Y$38:$Y$58,-1))+(INDEX('KT THAN'!$W$38:$W$58,MIN(21,MATCH(R130,'KT THAN'!$Y$38:$Y$58,-1)+1))-INDEX('KT THAN'!$W$38:$W$58,MATCH(R130,'KT THAN'!$Y$38:$Y$58,-1)))*(R130-INDEX('KT THAN'!$Y$38:$Y$58,MATCH(R130,'KT THAN'!$Y$38:$Y$58,-1)))/(INDEX('KT THAN'!$Y$38:$Y$58,MIN(21,MATCH(R130,'KT THAN'!$Y$38:$Y$58,-1)+1))-INDEX('KT THAN'!$Y$38:$Y$58,MATCH(R130,'KT THAN'!$Y$38:$Y$58,-1)))),MIN(0.8*0.75*'KT THAN'!$C$62,'KT THAN'!$D$68/R130)))))</f>
        <v>158763.07851952704</v>
      </c>
      <c r="O130" s="39">
        <f>IF($A130="","",IF(H130&lt;0,ABS(H130)/MAX('KT THAN'!$C$69,0.001)+'KT THAN'!$C$32*ABS(J130)/MAX('KT THAN'!$C$68,0.001)+'KT THAN'!$D$32*ABS(I130)/MAX('KT THAN'!$D$68,0.001),IF(OR(M130&lt;=0,N130&lt;=0),999,IF(H130&gt;=0.1*0.75*fc_*Agth*1000,H130/MAX(0.001,1/(1/M130+1/N130-1/(0.75*'KT THAN'!$C$62))),'KT THAN'!$C$32*ABS(J130)/MAX('KT THAN'!$C$68,0.001)+'KT THAN'!$D$32*ABS(I130)/MAX('KT THAN'!$D$68,0.001)))))</f>
        <v>0.33123560052345724</v>
      </c>
      <c r="P130" s="37" t="str">
        <f t="shared" si="22"/>
        <v>ĐẠT</v>
      </c>
      <c r="Q130" s="39">
        <f>IF($A130="","",MAX(0.001,'KT THAN'!$C$32*ABS(J130)/MAX(1,H130)))</f>
        <v>0.47199029427190364</v>
      </c>
      <c r="R130" s="39">
        <f>IF($A130="","",MAX(0.001,'KT THAN'!$D$32*ABS(I130)/MAX(1,H130)))</f>
        <v>0.33855198537724573</v>
      </c>
      <c r="S130" t="str">
        <f t="shared" si="23"/>
        <v/>
      </c>
    </row>
    <row r="131" spans="1:19" x14ac:dyDescent="0.3">
      <c r="A131" s="37" t="str">
        <f>IF(AND(nThan=1,2=2),"",'TO HOP'!B190)</f>
        <v/>
      </c>
      <c r="B131" s="39" t="str">
        <f>IF(A131="","",'TO HOP'!E190)</f>
        <v/>
      </c>
      <c r="C131" s="39" t="str">
        <f>IF(A131="","",'TO HOP'!F190)</f>
        <v/>
      </c>
      <c r="D131" s="39" t="str">
        <f>IF(A131="","",'TO HOP'!G190)</f>
        <v/>
      </c>
      <c r="E131" s="39" t="str">
        <f>IF(A131="","",'TO HOP'!C190)</f>
        <v/>
      </c>
      <c r="F131" s="39" t="str">
        <f>IF(A131="","",'TO HOP'!D190)</f>
        <v/>
      </c>
      <c r="G131" s="39" t="str">
        <f>IF(A131="","",2)</f>
        <v/>
      </c>
      <c r="H131" s="39" t="str">
        <f>IF(A131="","",IF(nThan=1,B131,B131/2+(-1)*$B$7*C131/sThan))</f>
        <v/>
      </c>
      <c r="I131" s="39" t="str">
        <f t="shared" si="18"/>
        <v/>
      </c>
      <c r="J131" s="39" t="str">
        <f t="shared" si="19"/>
        <v/>
      </c>
      <c r="K131" s="39" t="str">
        <f t="shared" si="20"/>
        <v/>
      </c>
      <c r="L131" s="39" t="str">
        <f t="shared" si="21"/>
        <v/>
      </c>
      <c r="M131" s="39" t="str">
        <f>IF($A131="","",IF(H131=0,"",IF(Q131&lt;=0.000000001,MIN(0.8*0.75*'KT THAN'!$C$62,MAX('KT THAN'!$J$38:$J$58)),IFERROR(MIN(0.8*0.75*'KT THAN'!$C$62,INDEX('KT THAN'!$J$38:$J$58,MATCH(Q131,'KT THAN'!$L$38:$L$58,-1))+(INDEX('KT THAN'!$J$38:$J$58,MIN(21,MATCH(Q131,'KT THAN'!$L$38:$L$58,-1)+1))-INDEX('KT THAN'!$J$38:$J$58,MATCH(Q131,'KT THAN'!$L$38:$L$58,-1)))*(Q131-INDEX('KT THAN'!$L$38:$L$58,MATCH(Q131,'KT THAN'!$L$38:$L$58,-1)))/(INDEX('KT THAN'!$L$38:$L$58,MIN(21,MATCH(Q131,'KT THAN'!$L$38:$L$58,-1)+1))-INDEX('KT THAN'!$L$38:$L$58,MATCH(Q131,'KT THAN'!$L$38:$L$58,-1)))),MIN(0.8*0.75*'KT THAN'!$C$62,'KT THAN'!$C$68/Q131)))))</f>
        <v/>
      </c>
      <c r="N131" s="39" t="str">
        <f>IF($A131="","",IF(H131=0,"",IF(R131&lt;=0.000000001,MIN(0.8*0.75*'KT THAN'!$C$62,MAX('KT THAN'!$W$38:$W$58)),IFERROR(MIN(0.8*0.75*'KT THAN'!$C$62,INDEX('KT THAN'!$W$38:$W$58,MATCH(R131,'KT THAN'!$Y$38:$Y$58,-1))+(INDEX('KT THAN'!$W$38:$W$58,MIN(21,MATCH(R131,'KT THAN'!$Y$38:$Y$58,-1)+1))-INDEX('KT THAN'!$W$38:$W$58,MATCH(R131,'KT THAN'!$Y$38:$Y$58,-1)))*(R131-INDEX('KT THAN'!$Y$38:$Y$58,MATCH(R131,'KT THAN'!$Y$38:$Y$58,-1)))/(INDEX('KT THAN'!$Y$38:$Y$58,MIN(21,MATCH(R131,'KT THAN'!$Y$38:$Y$58,-1)+1))-INDEX('KT THAN'!$Y$38:$Y$58,MATCH(R131,'KT THAN'!$Y$38:$Y$58,-1)))),MIN(0.8*0.75*'KT THAN'!$C$62,'KT THAN'!$D$68/R131)))))</f>
        <v/>
      </c>
      <c r="O131" s="39" t="str">
        <f>IF($A131="","",IF(H131&lt;0,ABS(H131)/MAX('KT THAN'!$C$69,0.001)+'KT THAN'!$C$32*ABS(J131)/MAX('KT THAN'!$C$68,0.001)+'KT THAN'!$D$32*ABS(I131)/MAX('KT THAN'!$D$68,0.001),IF(OR(M131&lt;=0,N131&lt;=0),999,IF(H131&gt;=0.1*0.75*fc_*Agth*1000,H131/MAX(0.001,1/(1/M131+1/N131-1/(0.75*'KT THAN'!$C$62))),'KT THAN'!$C$32*ABS(J131)/MAX('KT THAN'!$C$68,0.001)+'KT THAN'!$D$32*ABS(I131)/MAX('KT THAN'!$D$68,0.001)))))</f>
        <v/>
      </c>
      <c r="P131" s="37" t="str">
        <f t="shared" si="22"/>
        <v/>
      </c>
      <c r="Q131" s="39" t="str">
        <f>IF($A131="","",MAX(0.001,'KT THAN'!$C$32*ABS(J131)/MAX(1,H131)))</f>
        <v/>
      </c>
      <c r="R131" s="39" t="str">
        <f>IF($A131="","",MAX(0.001,'KT THAN'!$D$32*ABS(I131)/MAX(1,H131)))</f>
        <v/>
      </c>
      <c r="S131" t="str">
        <f t="shared" si="23"/>
        <v/>
      </c>
    </row>
    <row r="132" spans="1:19" x14ac:dyDescent="0.3">
      <c r="A132" s="37" t="str">
        <f>IF(AND(nThan=1,1=2),"",'TO HOP'!B191)</f>
        <v>ĐB II - va tàu ngang</v>
      </c>
      <c r="B132" s="39">
        <f>IF(A132="","",'TO HOP'!E191)</f>
        <v>30101.961023487027</v>
      </c>
      <c r="C132" s="39">
        <f>IF(A132="","",'TO HOP'!F191)</f>
        <v>4431.0786682500002</v>
      </c>
      <c r="D132" s="39">
        <f>IF(A132="","",'TO HOP'!G191)</f>
        <v>12705.557413500004</v>
      </c>
      <c r="E132" s="39">
        <f>IF(A132="","",'TO HOP'!C191)</f>
        <v>1034.6545125000002</v>
      </c>
      <c r="F132" s="39">
        <f>IF(A132="","",'TO HOP'!D191)</f>
        <v>0</v>
      </c>
      <c r="G132" s="39">
        <f>IF(A132="","",1)</f>
        <v>1</v>
      </c>
      <c r="H132" s="39">
        <f>IF(A132="","",IF(nThan=1,B132,B132/2+(1)*$B$7*C132/sThan))</f>
        <v>30101.961023487027</v>
      </c>
      <c r="I132" s="39">
        <f t="shared" si="18"/>
        <v>4431.0786682500002</v>
      </c>
      <c r="J132" s="39">
        <f t="shared" si="19"/>
        <v>12705.557413500004</v>
      </c>
      <c r="K132" s="39">
        <f t="shared" si="20"/>
        <v>1034.6545125000002</v>
      </c>
      <c r="L132" s="39">
        <f t="shared" si="21"/>
        <v>0</v>
      </c>
      <c r="M132" s="39">
        <f>IF($A132="","",IF(H132=0,"",IF(Q132&lt;=0.000000001,MIN(0.8*0.75*'KT THAN'!$C$62,MAX('KT THAN'!$J$38:$J$58)),IFERROR(MIN(0.8*0.75*'KT THAN'!$C$62,INDEX('KT THAN'!$J$38:$J$58,MATCH(Q132,'KT THAN'!$L$38:$L$58,-1))+(INDEX('KT THAN'!$J$38:$J$58,MIN(21,MATCH(Q132,'KT THAN'!$L$38:$L$58,-1)+1))-INDEX('KT THAN'!$J$38:$J$58,MATCH(Q132,'KT THAN'!$L$38:$L$58,-1)))*(Q132-INDEX('KT THAN'!$L$38:$L$58,MATCH(Q132,'KT THAN'!$L$38:$L$58,-1)))/(INDEX('KT THAN'!$L$38:$L$58,MIN(21,MATCH(Q132,'KT THAN'!$L$38:$L$58,-1)+1))-INDEX('KT THAN'!$L$38:$L$58,MATCH(Q132,'KT THAN'!$L$38:$L$58,-1)))),MIN(0.8*0.75*'KT THAN'!$C$62,'KT THAN'!$C$68/Q132)))))</f>
        <v>102626.73788333504</v>
      </c>
      <c r="N132" s="39">
        <f>IF($A132="","",IF(H132=0,"",IF(R132&lt;=0.000000001,MIN(0.8*0.75*'KT THAN'!$C$62,MAX('KT THAN'!$W$38:$W$58)),IFERROR(MIN(0.8*0.75*'KT THAN'!$C$62,INDEX('KT THAN'!$W$38:$W$58,MATCH(R132,'KT THAN'!$Y$38:$Y$58,-1))+(INDEX('KT THAN'!$W$38:$W$58,MIN(21,MATCH(R132,'KT THAN'!$Y$38:$Y$58,-1)+1))-INDEX('KT THAN'!$W$38:$W$58,MATCH(R132,'KT THAN'!$Y$38:$Y$58,-1)))*(R132-INDEX('KT THAN'!$Y$38:$Y$58,MATCH(R132,'KT THAN'!$Y$38:$Y$58,-1)))/(INDEX('KT THAN'!$Y$38:$Y$58,MIN(21,MATCH(R132,'KT THAN'!$Y$38:$Y$58,-1)+1))-INDEX('KT THAN'!$Y$38:$Y$58,MATCH(R132,'KT THAN'!$Y$38:$Y$58,-1)))),MIN(0.8*0.75*'KT THAN'!$C$62,'KT THAN'!$D$68/R132)))))</f>
        <v>158763.07851952704</v>
      </c>
      <c r="O132" s="39">
        <f>IF($A132="","",IF(H132&lt;0,ABS(H132)/MAX('KT THAN'!$C$69,0.001)+'KT THAN'!$C$32*ABS(J132)/MAX('KT THAN'!$C$68,0.001)+'KT THAN'!$D$32*ABS(I132)/MAX('KT THAN'!$D$68,0.001),IF(OR(M132&lt;=0,N132&lt;=0),999,IF(H132&gt;=0.1*0.75*fc_*Agth*1000,H132/MAX(0.001,1/(1/M132+1/N132-1/(0.75*'KT THAN'!$C$62))),'KT THAN'!$C$32*ABS(J132)/MAX('KT THAN'!$C$68,0.001)+'KT THAN'!$D$32*ABS(I132)/MAX('KT THAN'!$D$68,0.001)))))</f>
        <v>0.33123560052345724</v>
      </c>
      <c r="P132" s="37" t="str">
        <f t="shared" si="22"/>
        <v>ĐẠT</v>
      </c>
      <c r="Q132" s="39">
        <f>IF($A132="","",MAX(0.001,'KT THAN'!$C$32*ABS(J132)/MAX(1,H132)))</f>
        <v>0.47199029427190364</v>
      </c>
      <c r="R132" s="39">
        <f>IF($A132="","",MAX(0.001,'KT THAN'!$D$32*ABS(I132)/MAX(1,H132)))</f>
        <v>0.14720232561568514</v>
      </c>
      <c r="S132" t="str">
        <f t="shared" si="23"/>
        <v/>
      </c>
    </row>
    <row r="133" spans="1:19" x14ac:dyDescent="0.3">
      <c r="A133" s="37" t="str">
        <f>IF(AND(nThan=1,2=2),"",'TO HOP'!B191)</f>
        <v/>
      </c>
      <c r="B133" s="39" t="str">
        <f>IF(A133="","",'TO HOP'!E191)</f>
        <v/>
      </c>
      <c r="C133" s="39" t="str">
        <f>IF(A133="","",'TO HOP'!F191)</f>
        <v/>
      </c>
      <c r="D133" s="39" t="str">
        <f>IF(A133="","",'TO HOP'!G191)</f>
        <v/>
      </c>
      <c r="E133" s="39" t="str">
        <f>IF(A133="","",'TO HOP'!C191)</f>
        <v/>
      </c>
      <c r="F133" s="39" t="str">
        <f>IF(A133="","",'TO HOP'!D191)</f>
        <v/>
      </c>
      <c r="G133" s="39" t="str">
        <f>IF(A133="","",2)</f>
        <v/>
      </c>
      <c r="H133" s="39" t="str">
        <f>IF(A133="","",IF(nThan=1,B133,B133/2+(-1)*$B$7*C133/sThan))</f>
        <v/>
      </c>
      <c r="I133" s="39" t="str">
        <f t="shared" si="18"/>
        <v/>
      </c>
      <c r="J133" s="39" t="str">
        <f t="shared" si="19"/>
        <v/>
      </c>
      <c r="K133" s="39" t="str">
        <f t="shared" si="20"/>
        <v/>
      </c>
      <c r="L133" s="39" t="str">
        <f t="shared" si="21"/>
        <v/>
      </c>
      <c r="M133" s="39" t="str">
        <f>IF($A133="","",IF(H133=0,"",IF(Q133&lt;=0.000000001,MIN(0.8*0.75*'KT THAN'!$C$62,MAX('KT THAN'!$J$38:$J$58)),IFERROR(MIN(0.8*0.75*'KT THAN'!$C$62,INDEX('KT THAN'!$J$38:$J$58,MATCH(Q133,'KT THAN'!$L$38:$L$58,-1))+(INDEX('KT THAN'!$J$38:$J$58,MIN(21,MATCH(Q133,'KT THAN'!$L$38:$L$58,-1)+1))-INDEX('KT THAN'!$J$38:$J$58,MATCH(Q133,'KT THAN'!$L$38:$L$58,-1)))*(Q133-INDEX('KT THAN'!$L$38:$L$58,MATCH(Q133,'KT THAN'!$L$38:$L$58,-1)))/(INDEX('KT THAN'!$L$38:$L$58,MIN(21,MATCH(Q133,'KT THAN'!$L$38:$L$58,-1)+1))-INDEX('KT THAN'!$L$38:$L$58,MATCH(Q133,'KT THAN'!$L$38:$L$58,-1)))),MIN(0.8*0.75*'KT THAN'!$C$62,'KT THAN'!$C$68/Q133)))))</f>
        <v/>
      </c>
      <c r="N133" s="39" t="str">
        <f>IF($A133="","",IF(H133=0,"",IF(R133&lt;=0.000000001,MIN(0.8*0.75*'KT THAN'!$C$62,MAX('KT THAN'!$W$38:$W$58)),IFERROR(MIN(0.8*0.75*'KT THAN'!$C$62,INDEX('KT THAN'!$W$38:$W$58,MATCH(R133,'KT THAN'!$Y$38:$Y$58,-1))+(INDEX('KT THAN'!$W$38:$W$58,MIN(21,MATCH(R133,'KT THAN'!$Y$38:$Y$58,-1)+1))-INDEX('KT THAN'!$W$38:$W$58,MATCH(R133,'KT THAN'!$Y$38:$Y$58,-1)))*(R133-INDEX('KT THAN'!$Y$38:$Y$58,MATCH(R133,'KT THAN'!$Y$38:$Y$58,-1)))/(INDEX('KT THAN'!$Y$38:$Y$58,MIN(21,MATCH(R133,'KT THAN'!$Y$38:$Y$58,-1)+1))-INDEX('KT THAN'!$Y$38:$Y$58,MATCH(R133,'KT THAN'!$Y$38:$Y$58,-1)))),MIN(0.8*0.75*'KT THAN'!$C$62,'KT THAN'!$D$68/R133)))))</f>
        <v/>
      </c>
      <c r="O133" s="39" t="str">
        <f>IF($A133="","",IF(H133&lt;0,ABS(H133)/MAX('KT THAN'!$C$69,0.001)+'KT THAN'!$C$32*ABS(J133)/MAX('KT THAN'!$C$68,0.001)+'KT THAN'!$D$32*ABS(I133)/MAX('KT THAN'!$D$68,0.001),IF(OR(M133&lt;=0,N133&lt;=0),999,IF(H133&gt;=0.1*0.75*fc_*Agth*1000,H133/MAX(0.001,1/(1/M133+1/N133-1/(0.75*'KT THAN'!$C$62))),'KT THAN'!$C$32*ABS(J133)/MAX('KT THAN'!$C$68,0.001)+'KT THAN'!$D$32*ABS(I133)/MAX('KT THAN'!$D$68,0.001)))))</f>
        <v/>
      </c>
      <c r="P133" s="37" t="str">
        <f t="shared" si="22"/>
        <v/>
      </c>
      <c r="Q133" s="39" t="str">
        <f>IF($A133="","",MAX(0.001,'KT THAN'!$C$32*ABS(J133)/MAX(1,H133)))</f>
        <v/>
      </c>
      <c r="R133" s="39" t="str">
        <f>IF($A133="","",MAX(0.001,'KT THAN'!$D$32*ABS(I133)/MAX(1,H133)))</f>
        <v/>
      </c>
      <c r="S133" t="str">
        <f t="shared" si="23"/>
        <v/>
      </c>
    </row>
    <row r="134" spans="1:19" x14ac:dyDescent="0.3">
      <c r="A134" s="37" t="str">
        <f>IF(AND(nThan=1,1=2),"",'TO HOP'!B192)</f>
        <v>ĐB II - va tàu dọc</v>
      </c>
      <c r="B134" s="39">
        <f>IF(A134="","",'TO HOP'!E192)</f>
        <v>30101.961023487027</v>
      </c>
      <c r="C134" s="39">
        <f>IF(A134="","",'TO HOP'!F192)</f>
        <v>4431.0786682500002</v>
      </c>
      <c r="D134" s="39">
        <f>IF(A134="","",'TO HOP'!G192)</f>
        <v>12705.557413500004</v>
      </c>
      <c r="E134" s="39">
        <f>IF(A134="","",'TO HOP'!C192)</f>
        <v>1034.6545125000002</v>
      </c>
      <c r="F134" s="39">
        <f>IF(A134="","",'TO HOP'!D192)</f>
        <v>0</v>
      </c>
      <c r="G134" s="39">
        <f>IF(A134="","",1)</f>
        <v>1</v>
      </c>
      <c r="H134" s="39">
        <f>IF(A134="","",IF(nThan=1,B134,B134/2+(1)*$B$7*C134/sThan))</f>
        <v>30101.961023487027</v>
      </c>
      <c r="I134" s="39">
        <f t="shared" si="18"/>
        <v>4431.0786682500002</v>
      </c>
      <c r="J134" s="39">
        <f t="shared" si="19"/>
        <v>12705.557413500004</v>
      </c>
      <c r="K134" s="39">
        <f t="shared" si="20"/>
        <v>1034.6545125000002</v>
      </c>
      <c r="L134" s="39">
        <f t="shared" si="21"/>
        <v>0</v>
      </c>
      <c r="M134" s="39">
        <f>IF($A134="","",IF(H134=0,"",IF(Q134&lt;=0.000000001,MIN(0.8*0.75*'KT THAN'!$C$62,MAX('KT THAN'!$J$38:$J$58)),IFERROR(MIN(0.8*0.75*'KT THAN'!$C$62,INDEX('KT THAN'!$J$38:$J$58,MATCH(Q134,'KT THAN'!$L$38:$L$58,-1))+(INDEX('KT THAN'!$J$38:$J$58,MIN(21,MATCH(Q134,'KT THAN'!$L$38:$L$58,-1)+1))-INDEX('KT THAN'!$J$38:$J$58,MATCH(Q134,'KT THAN'!$L$38:$L$58,-1)))*(Q134-INDEX('KT THAN'!$L$38:$L$58,MATCH(Q134,'KT THAN'!$L$38:$L$58,-1)))/(INDEX('KT THAN'!$L$38:$L$58,MIN(21,MATCH(Q134,'KT THAN'!$L$38:$L$58,-1)+1))-INDEX('KT THAN'!$L$38:$L$58,MATCH(Q134,'KT THAN'!$L$38:$L$58,-1)))),MIN(0.8*0.75*'KT THAN'!$C$62,'KT THAN'!$C$68/Q134)))))</f>
        <v>102626.73788333504</v>
      </c>
      <c r="N134" s="39">
        <f>IF($A134="","",IF(H134=0,"",IF(R134&lt;=0.000000001,MIN(0.8*0.75*'KT THAN'!$C$62,MAX('KT THAN'!$W$38:$W$58)),IFERROR(MIN(0.8*0.75*'KT THAN'!$C$62,INDEX('KT THAN'!$W$38:$W$58,MATCH(R134,'KT THAN'!$Y$38:$Y$58,-1))+(INDEX('KT THAN'!$W$38:$W$58,MIN(21,MATCH(R134,'KT THAN'!$Y$38:$Y$58,-1)+1))-INDEX('KT THAN'!$W$38:$W$58,MATCH(R134,'KT THAN'!$Y$38:$Y$58,-1)))*(R134-INDEX('KT THAN'!$Y$38:$Y$58,MATCH(R134,'KT THAN'!$Y$38:$Y$58,-1)))/(INDEX('KT THAN'!$Y$38:$Y$58,MIN(21,MATCH(R134,'KT THAN'!$Y$38:$Y$58,-1)+1))-INDEX('KT THAN'!$Y$38:$Y$58,MATCH(R134,'KT THAN'!$Y$38:$Y$58,-1)))),MIN(0.8*0.75*'KT THAN'!$C$62,'KT THAN'!$D$68/R134)))))</f>
        <v>158763.07851952704</v>
      </c>
      <c r="O134" s="39">
        <f>IF($A134="","",IF(H134&lt;0,ABS(H134)/MAX('KT THAN'!$C$69,0.001)+'KT THAN'!$C$32*ABS(J134)/MAX('KT THAN'!$C$68,0.001)+'KT THAN'!$D$32*ABS(I134)/MAX('KT THAN'!$D$68,0.001),IF(OR(M134&lt;=0,N134&lt;=0),999,IF(H134&gt;=0.1*0.75*fc_*Agth*1000,H134/MAX(0.001,1/(1/M134+1/N134-1/(0.75*'KT THAN'!$C$62))),'KT THAN'!$C$32*ABS(J134)/MAX('KT THAN'!$C$68,0.001)+'KT THAN'!$D$32*ABS(I134)/MAX('KT THAN'!$D$68,0.001)))))</f>
        <v>0.33123560052345724</v>
      </c>
      <c r="P134" s="37" t="str">
        <f t="shared" si="22"/>
        <v>ĐẠT</v>
      </c>
      <c r="Q134" s="39">
        <f>IF($A134="","",MAX(0.001,'KT THAN'!$C$32*ABS(J134)/MAX(1,H134)))</f>
        <v>0.47199029427190364</v>
      </c>
      <c r="R134" s="39">
        <f>IF($A134="","",MAX(0.001,'KT THAN'!$D$32*ABS(I134)/MAX(1,H134)))</f>
        <v>0.14720232561568514</v>
      </c>
      <c r="S134" t="str">
        <f t="shared" si="23"/>
        <v/>
      </c>
    </row>
    <row r="135" spans="1:19" x14ac:dyDescent="0.3">
      <c r="A135" s="37" t="str">
        <f>IF(AND(nThan=1,2=2),"",'TO HOP'!B192)</f>
        <v/>
      </c>
      <c r="B135" s="39" t="str">
        <f>IF(A135="","",'TO HOP'!E192)</f>
        <v/>
      </c>
      <c r="C135" s="39" t="str">
        <f>IF(A135="","",'TO HOP'!F192)</f>
        <v/>
      </c>
      <c r="D135" s="39" t="str">
        <f>IF(A135="","",'TO HOP'!G192)</f>
        <v/>
      </c>
      <c r="E135" s="39" t="str">
        <f>IF(A135="","",'TO HOP'!C192)</f>
        <v/>
      </c>
      <c r="F135" s="39" t="str">
        <f>IF(A135="","",'TO HOP'!D192)</f>
        <v/>
      </c>
      <c r="G135" s="39" t="str">
        <f>IF(A135="","",2)</f>
        <v/>
      </c>
      <c r="H135" s="39" t="str">
        <f>IF(A135="","",IF(nThan=1,B135,B135/2+(-1)*$B$7*C135/sThan))</f>
        <v/>
      </c>
      <c r="I135" s="39" t="str">
        <f t="shared" si="18"/>
        <v/>
      </c>
      <c r="J135" s="39" t="str">
        <f t="shared" si="19"/>
        <v/>
      </c>
      <c r="K135" s="39" t="str">
        <f t="shared" si="20"/>
        <v/>
      </c>
      <c r="L135" s="39" t="str">
        <f t="shared" si="21"/>
        <v/>
      </c>
      <c r="M135" s="39" t="str">
        <f>IF($A135="","",IF(H135=0,"",IF(Q135&lt;=0.000000001,MIN(0.8*0.75*'KT THAN'!$C$62,MAX('KT THAN'!$J$38:$J$58)),IFERROR(MIN(0.8*0.75*'KT THAN'!$C$62,INDEX('KT THAN'!$J$38:$J$58,MATCH(Q135,'KT THAN'!$L$38:$L$58,-1))+(INDEX('KT THAN'!$J$38:$J$58,MIN(21,MATCH(Q135,'KT THAN'!$L$38:$L$58,-1)+1))-INDEX('KT THAN'!$J$38:$J$58,MATCH(Q135,'KT THAN'!$L$38:$L$58,-1)))*(Q135-INDEX('KT THAN'!$L$38:$L$58,MATCH(Q135,'KT THAN'!$L$38:$L$58,-1)))/(INDEX('KT THAN'!$L$38:$L$58,MIN(21,MATCH(Q135,'KT THAN'!$L$38:$L$58,-1)+1))-INDEX('KT THAN'!$L$38:$L$58,MATCH(Q135,'KT THAN'!$L$38:$L$58,-1)))),MIN(0.8*0.75*'KT THAN'!$C$62,'KT THAN'!$C$68/Q135)))))</f>
        <v/>
      </c>
      <c r="N135" s="39" t="str">
        <f>IF($A135="","",IF(H135=0,"",IF(R135&lt;=0.000000001,MIN(0.8*0.75*'KT THAN'!$C$62,MAX('KT THAN'!$W$38:$W$58)),IFERROR(MIN(0.8*0.75*'KT THAN'!$C$62,INDEX('KT THAN'!$W$38:$W$58,MATCH(R135,'KT THAN'!$Y$38:$Y$58,-1))+(INDEX('KT THAN'!$W$38:$W$58,MIN(21,MATCH(R135,'KT THAN'!$Y$38:$Y$58,-1)+1))-INDEX('KT THAN'!$W$38:$W$58,MATCH(R135,'KT THAN'!$Y$38:$Y$58,-1)))*(R135-INDEX('KT THAN'!$Y$38:$Y$58,MATCH(R135,'KT THAN'!$Y$38:$Y$58,-1)))/(INDEX('KT THAN'!$Y$38:$Y$58,MIN(21,MATCH(R135,'KT THAN'!$Y$38:$Y$58,-1)+1))-INDEX('KT THAN'!$Y$38:$Y$58,MATCH(R135,'KT THAN'!$Y$38:$Y$58,-1)))),MIN(0.8*0.75*'KT THAN'!$C$62,'KT THAN'!$D$68/R135)))))</f>
        <v/>
      </c>
      <c r="O135" s="39" t="str">
        <f>IF($A135="","",IF(H135&lt;0,ABS(H135)/MAX('KT THAN'!$C$69,0.001)+'KT THAN'!$C$32*ABS(J135)/MAX('KT THAN'!$C$68,0.001)+'KT THAN'!$D$32*ABS(I135)/MAX('KT THAN'!$D$68,0.001),IF(OR(M135&lt;=0,N135&lt;=0),999,IF(H135&gt;=0.1*0.75*fc_*Agth*1000,H135/MAX(0.001,1/(1/M135+1/N135-1/(0.75*'KT THAN'!$C$62))),'KT THAN'!$C$32*ABS(J135)/MAX('KT THAN'!$C$68,0.001)+'KT THAN'!$D$32*ABS(I135)/MAX('KT THAN'!$D$68,0.001)))))</f>
        <v/>
      </c>
      <c r="P135" s="37" t="str">
        <f t="shared" si="22"/>
        <v/>
      </c>
      <c r="Q135" s="39" t="str">
        <f>IF($A135="","",MAX(0.001,'KT THAN'!$C$32*ABS(J135)/MAX(1,H135)))</f>
        <v/>
      </c>
      <c r="R135" s="39" t="str">
        <f>IF($A135="","",MAX(0.001,'KT THAN'!$D$32*ABS(I135)/MAX(1,H135)))</f>
        <v/>
      </c>
      <c r="S135" t="str">
        <f t="shared" si="23"/>
        <v/>
      </c>
    </row>
    <row r="137" spans="1:19" x14ac:dyDescent="0.3">
      <c r="A137" t="s">
        <v>1876</v>
      </c>
    </row>
    <row r="139" spans="1:19" x14ac:dyDescent="0.3">
      <c r="A139" t="s">
        <v>1877</v>
      </c>
    </row>
    <row r="140" spans="1:19" hidden="1" outlineLevel="1" x14ac:dyDescent="0.3">
      <c r="A140" s="37" t="str">
        <f>IF('TO HOP NLAN'!$A6="","",'TO HOP NLAN'!$A6)</f>
        <v/>
      </c>
      <c r="B140" s="38" t="str">
        <f>IF($A140="","",'TO HOP NLAN'!$D6)</f>
        <v/>
      </c>
      <c r="C140" s="38" t="str">
        <f>IF($A140="","",'TO HOP NLAN'!$E6)</f>
        <v/>
      </c>
      <c r="D140" s="38" t="str">
        <f>IF($A140="","",'TO HOP NLAN'!$F6)</f>
        <v/>
      </c>
      <c r="E140" s="38" t="str">
        <f>IF($A140="","",'TO HOP NLAN'!$B6)</f>
        <v/>
      </c>
      <c r="F140" s="38" t="str">
        <f>IF($A140="","",'TO HOP NLAN'!$C6)</f>
        <v/>
      </c>
      <c r="G140" s="38" t="str">
        <f>IF(A140="","",1)</f>
        <v/>
      </c>
      <c r="H140" s="38" t="str">
        <f t="shared" ref="H140:H203" si="24">IF(A140="","",IF(nThan=1,B140,B140/2+(1)*$B$7*C140/sThan))</f>
        <v/>
      </c>
      <c r="I140" s="38" t="str">
        <f t="shared" ref="I140" si="25">IF(A140="","",IF(nThan=1,C140,(1-$B$7)*C140/2))</f>
        <v/>
      </c>
      <c r="J140" s="38" t="str">
        <f t="shared" ref="J140" si="26">IF(A140="","",IF(nThan=1,D140,D140/2))</f>
        <v/>
      </c>
      <c r="K140" s="38" t="str">
        <f t="shared" ref="K140" si="27">IF(A140="","",IF(nThan=1,E140,E140/2))</f>
        <v/>
      </c>
      <c r="L140" s="38" t="str">
        <f t="shared" ref="L140" si="28">IF(A140="","",IF(nThan=1,F140,F140/2))</f>
        <v/>
      </c>
      <c r="M140" s="38" t="str">
        <f>IF($A140="","",IF(H140=0,"",IF(Q140&lt;=0.000000001,MIN(0.8*0.75*'KT THAN'!$C$62,MAX('KT THAN'!$J$38:$J$58)),IFERROR(MIN(0.8*0.75*'KT THAN'!$C$62,INDEX('KT THAN'!$J$38:$J$58,MATCH(Q140,'KT THAN'!$L$38:$L$58,-1))+(INDEX('KT THAN'!$J$38:$J$58,MIN(21,MATCH(Q140,'KT THAN'!$L$38:$L$58,-1)+1))-INDEX('KT THAN'!$J$38:$J$58,MATCH(Q140,'KT THAN'!$L$38:$L$58,-1)))*(Q140-INDEX('KT THAN'!$L$38:$L$58,MATCH(Q140,'KT THAN'!$L$38:$L$58,-1)))/(INDEX('KT THAN'!$L$38:$L$58,MIN(21,MATCH(Q140,'KT THAN'!$L$38:$L$58,-1)+1))-INDEX('KT THAN'!$L$38:$L$58,MATCH(Q140,'KT THAN'!$L$38:$L$58,-1)))),MIN(0.8*0.75*'KT THAN'!$C$62,'KT THAN'!$C$68/Q140)))))</f>
        <v/>
      </c>
      <c r="N140" s="38" t="str">
        <f>IF($A140="","",IF(H140=0,"",IF(R140&lt;=0.000000001,MIN(0.8*0.75*'KT THAN'!$C$62,MAX('KT THAN'!$W$38:$W$58)),IFERROR(MIN(0.8*0.75*'KT THAN'!$C$62,INDEX('KT THAN'!$W$38:$W$58,MATCH(R140,'KT THAN'!$Y$38:$Y$58,-1))+(INDEX('KT THAN'!$W$38:$W$58,MIN(21,MATCH(R140,'KT THAN'!$Y$38:$Y$58,-1)+1))-INDEX('KT THAN'!$W$38:$W$58,MATCH(R140,'KT THAN'!$Y$38:$Y$58,-1)))*(R140-INDEX('KT THAN'!$Y$38:$Y$58,MATCH(R140,'KT THAN'!$Y$38:$Y$58,-1)))/(INDEX('KT THAN'!$Y$38:$Y$58,MIN(21,MATCH(R140,'KT THAN'!$Y$38:$Y$58,-1)+1))-INDEX('KT THAN'!$Y$38:$Y$58,MATCH(R140,'KT THAN'!$Y$38:$Y$58,-1)))),MIN(0.8*0.75*'KT THAN'!$C$62,'KT THAN'!$D$68/R140)))))</f>
        <v/>
      </c>
      <c r="O140" s="38" t="str">
        <f>IF($A140="","",IF(H140&lt;0,ABS(H140)/MAX('KT THAN'!$C$69,0.001)+'KT THAN'!$C$32*ABS(J140)/MAX('KT THAN'!$C$68,0.001)+'KT THAN'!$D$32*ABS(I140)/MAX('KT THAN'!$D$68,0.001),IF(OR(M140&lt;=0,N140&lt;=0),999,IF(H140&gt;=0.1*0.75*fc_*Agth*1000,H140/MAX(0.001,1/(1/M140+1/N140-1/(0.75*'KT THAN'!$C$62))),'KT THAN'!$C$32*ABS(J140)/MAX('KT THAN'!$C$68,0.001)+'KT THAN'!$D$32*ABS(I140)/MAX('KT THAN'!$D$68,0.001)))))</f>
        <v/>
      </c>
      <c r="P140" s="37" t="str">
        <f t="shared" ref="P140" si="29">IF(A140="","",IF(O140&lt;=1,"ĐẠT","KHÔNG ĐẠT"))</f>
        <v/>
      </c>
      <c r="Q140" s="38" t="str">
        <f>IF($A140="","",MAX(0.001,'KT THAN'!$C$32*ABS(J140)/MAX(1,H140)))</f>
        <v/>
      </c>
      <c r="R140" s="38" t="str">
        <f>IF($A140="","",MAX(0.001,'KT THAN'!$D$32*ABS(I140)/MAX(1,H140)))</f>
        <v/>
      </c>
      <c r="S140" t="str">
        <f t="shared" ref="S140:S203" si="30">IF($A140="","",IF(H140&lt;0,O140,""))</f>
        <v/>
      </c>
    </row>
    <row r="141" spans="1:19" hidden="1" outlineLevel="1" x14ac:dyDescent="0.3">
      <c r="A141" s="37" t="str">
        <f>IF('TO HOP NLAN'!$A7="","",'TO HOP NLAN'!$A7)</f>
        <v/>
      </c>
      <c r="B141" s="38" t="str">
        <f>IF($A141="","",'TO HOP NLAN'!$D7)</f>
        <v/>
      </c>
      <c r="C141" s="38" t="str">
        <f>IF($A141="","",'TO HOP NLAN'!$E7)</f>
        <v/>
      </c>
      <c r="D141" s="38" t="str">
        <f>IF($A141="","",'TO HOP NLAN'!$F7)</f>
        <v/>
      </c>
      <c r="E141" s="38" t="str">
        <f>IF($A141="","",'TO HOP NLAN'!$B7)</f>
        <v/>
      </c>
      <c r="F141" s="38" t="str">
        <f>IF($A141="","",'TO HOP NLAN'!$C7)</f>
        <v/>
      </c>
      <c r="G141" s="38" t="str">
        <f t="shared" ref="G141:G204" si="31">IF(A141="","",1)</f>
        <v/>
      </c>
      <c r="H141" s="38" t="str">
        <f t="shared" si="24"/>
        <v/>
      </c>
      <c r="I141" s="38" t="str">
        <f t="shared" ref="I141:I204" si="32">IF(A141="","",IF(nThan=1,C141,(1-$B$7)*C141/2))</f>
        <v/>
      </c>
      <c r="J141" s="38" t="str">
        <f t="shared" ref="J141:J204" si="33">IF(A141="","",IF(nThan=1,D141,D141/2))</f>
        <v/>
      </c>
      <c r="K141" s="38" t="str">
        <f t="shared" ref="K141:K204" si="34">IF(A141="","",IF(nThan=1,E141,E141/2))</f>
        <v/>
      </c>
      <c r="L141" s="38" t="str">
        <f t="shared" ref="L141:L204" si="35">IF(A141="","",IF(nThan=1,F141,F141/2))</f>
        <v/>
      </c>
      <c r="M141" s="38" t="str">
        <f>IF($A141="","",IF(H141=0,"",IF(Q141&lt;=0.000000001,MIN(0.8*0.75*'KT THAN'!$C$62,MAX('KT THAN'!$J$38:$J$58)),IFERROR(MIN(0.8*0.75*'KT THAN'!$C$62,INDEX('KT THAN'!$J$38:$J$58,MATCH(Q141,'KT THAN'!$L$38:$L$58,-1))+(INDEX('KT THAN'!$J$38:$J$58,MIN(21,MATCH(Q141,'KT THAN'!$L$38:$L$58,-1)+1))-INDEX('KT THAN'!$J$38:$J$58,MATCH(Q141,'KT THAN'!$L$38:$L$58,-1)))*(Q141-INDEX('KT THAN'!$L$38:$L$58,MATCH(Q141,'KT THAN'!$L$38:$L$58,-1)))/(INDEX('KT THAN'!$L$38:$L$58,MIN(21,MATCH(Q141,'KT THAN'!$L$38:$L$58,-1)+1))-INDEX('KT THAN'!$L$38:$L$58,MATCH(Q141,'KT THAN'!$L$38:$L$58,-1)))),MIN(0.8*0.75*'KT THAN'!$C$62,'KT THAN'!$C$68/Q141)))))</f>
        <v/>
      </c>
      <c r="N141" s="38" t="str">
        <f>IF($A141="","",IF(H141=0,"",IF(R141&lt;=0.000000001,MIN(0.8*0.75*'KT THAN'!$C$62,MAX('KT THAN'!$W$38:$W$58)),IFERROR(MIN(0.8*0.75*'KT THAN'!$C$62,INDEX('KT THAN'!$W$38:$W$58,MATCH(R141,'KT THAN'!$Y$38:$Y$58,-1))+(INDEX('KT THAN'!$W$38:$W$58,MIN(21,MATCH(R141,'KT THAN'!$Y$38:$Y$58,-1)+1))-INDEX('KT THAN'!$W$38:$W$58,MATCH(R141,'KT THAN'!$Y$38:$Y$58,-1)))*(R141-INDEX('KT THAN'!$Y$38:$Y$58,MATCH(R141,'KT THAN'!$Y$38:$Y$58,-1)))/(INDEX('KT THAN'!$Y$38:$Y$58,MIN(21,MATCH(R141,'KT THAN'!$Y$38:$Y$58,-1)+1))-INDEX('KT THAN'!$Y$38:$Y$58,MATCH(R141,'KT THAN'!$Y$38:$Y$58,-1)))),MIN(0.8*0.75*'KT THAN'!$C$62,'KT THAN'!$D$68/R141)))))</f>
        <v/>
      </c>
      <c r="O141" s="38" t="str">
        <f>IF($A141="","",IF(H141&lt;0,ABS(H141)/MAX('KT THAN'!$C$69,0.001)+'KT THAN'!$C$32*ABS(J141)/MAX('KT THAN'!$C$68,0.001)+'KT THAN'!$D$32*ABS(I141)/MAX('KT THAN'!$D$68,0.001),IF(OR(M141&lt;=0,N141&lt;=0),999,IF(H141&gt;=0.1*0.75*fc_*Agth*1000,H141/MAX(0.001,1/(1/M141+1/N141-1/(0.75*'KT THAN'!$C$62))),'KT THAN'!$C$32*ABS(J141)/MAX('KT THAN'!$C$68,0.001)+'KT THAN'!$D$32*ABS(I141)/MAX('KT THAN'!$D$68,0.001)))))</f>
        <v/>
      </c>
      <c r="P141" s="37" t="str">
        <f t="shared" ref="P141:P204" si="36">IF(A141="","",IF(O141&lt;=1,"ĐẠT","KHÔNG ĐẠT"))</f>
        <v/>
      </c>
      <c r="Q141" s="38" t="str">
        <f>IF($A141="","",MAX(0.001,'KT THAN'!$C$32*ABS(J141)/MAX(1,H141)))</f>
        <v/>
      </c>
      <c r="R141" s="38" t="str">
        <f>IF($A141="","",MAX(0.001,'KT THAN'!$D$32*ABS(I141)/MAX(1,H141)))</f>
        <v/>
      </c>
      <c r="S141" t="str">
        <f t="shared" si="30"/>
        <v/>
      </c>
    </row>
    <row r="142" spans="1:19" hidden="1" outlineLevel="1" x14ac:dyDescent="0.3">
      <c r="A142" s="37" t="str">
        <f>IF('TO HOP NLAN'!$A8="","",'TO HOP NLAN'!$A8)</f>
        <v/>
      </c>
      <c r="B142" s="38" t="str">
        <f>IF($A142="","",'TO HOP NLAN'!$D8)</f>
        <v/>
      </c>
      <c r="C142" s="38" t="str">
        <f>IF($A142="","",'TO HOP NLAN'!$E8)</f>
        <v/>
      </c>
      <c r="D142" s="38" t="str">
        <f>IF($A142="","",'TO HOP NLAN'!$F8)</f>
        <v/>
      </c>
      <c r="E142" s="38" t="str">
        <f>IF($A142="","",'TO HOP NLAN'!$B8)</f>
        <v/>
      </c>
      <c r="F142" s="38" t="str">
        <f>IF($A142="","",'TO HOP NLAN'!$C8)</f>
        <v/>
      </c>
      <c r="G142" s="38" t="str">
        <f t="shared" si="31"/>
        <v/>
      </c>
      <c r="H142" s="38" t="str">
        <f t="shared" si="24"/>
        <v/>
      </c>
      <c r="I142" s="38" t="str">
        <f t="shared" si="32"/>
        <v/>
      </c>
      <c r="J142" s="38" t="str">
        <f t="shared" si="33"/>
        <v/>
      </c>
      <c r="K142" s="38" t="str">
        <f t="shared" si="34"/>
        <v/>
      </c>
      <c r="L142" s="38" t="str">
        <f t="shared" si="35"/>
        <v/>
      </c>
      <c r="M142" s="38" t="str">
        <f>IF($A142="","",IF(H142=0,"",IF(Q142&lt;=0.000000001,MIN(0.8*0.75*'KT THAN'!$C$62,MAX('KT THAN'!$J$38:$J$58)),IFERROR(MIN(0.8*0.75*'KT THAN'!$C$62,INDEX('KT THAN'!$J$38:$J$58,MATCH(Q142,'KT THAN'!$L$38:$L$58,-1))+(INDEX('KT THAN'!$J$38:$J$58,MIN(21,MATCH(Q142,'KT THAN'!$L$38:$L$58,-1)+1))-INDEX('KT THAN'!$J$38:$J$58,MATCH(Q142,'KT THAN'!$L$38:$L$58,-1)))*(Q142-INDEX('KT THAN'!$L$38:$L$58,MATCH(Q142,'KT THAN'!$L$38:$L$58,-1)))/(INDEX('KT THAN'!$L$38:$L$58,MIN(21,MATCH(Q142,'KT THAN'!$L$38:$L$58,-1)+1))-INDEX('KT THAN'!$L$38:$L$58,MATCH(Q142,'KT THAN'!$L$38:$L$58,-1)))),MIN(0.8*0.75*'KT THAN'!$C$62,'KT THAN'!$C$68/Q142)))))</f>
        <v/>
      </c>
      <c r="N142" s="38" t="str">
        <f>IF($A142="","",IF(H142=0,"",IF(R142&lt;=0.000000001,MIN(0.8*0.75*'KT THAN'!$C$62,MAX('KT THAN'!$W$38:$W$58)),IFERROR(MIN(0.8*0.75*'KT THAN'!$C$62,INDEX('KT THAN'!$W$38:$W$58,MATCH(R142,'KT THAN'!$Y$38:$Y$58,-1))+(INDEX('KT THAN'!$W$38:$W$58,MIN(21,MATCH(R142,'KT THAN'!$Y$38:$Y$58,-1)+1))-INDEX('KT THAN'!$W$38:$W$58,MATCH(R142,'KT THAN'!$Y$38:$Y$58,-1)))*(R142-INDEX('KT THAN'!$Y$38:$Y$58,MATCH(R142,'KT THAN'!$Y$38:$Y$58,-1)))/(INDEX('KT THAN'!$Y$38:$Y$58,MIN(21,MATCH(R142,'KT THAN'!$Y$38:$Y$58,-1)+1))-INDEX('KT THAN'!$Y$38:$Y$58,MATCH(R142,'KT THAN'!$Y$38:$Y$58,-1)))),MIN(0.8*0.75*'KT THAN'!$C$62,'KT THAN'!$D$68/R142)))))</f>
        <v/>
      </c>
      <c r="O142" s="38" t="str">
        <f>IF($A142="","",IF(H142&lt;0,ABS(H142)/MAX('KT THAN'!$C$69,0.001)+'KT THAN'!$C$32*ABS(J142)/MAX('KT THAN'!$C$68,0.001)+'KT THAN'!$D$32*ABS(I142)/MAX('KT THAN'!$D$68,0.001),IF(OR(M142&lt;=0,N142&lt;=0),999,IF(H142&gt;=0.1*0.75*fc_*Agth*1000,H142/MAX(0.001,1/(1/M142+1/N142-1/(0.75*'KT THAN'!$C$62))),'KT THAN'!$C$32*ABS(J142)/MAX('KT THAN'!$C$68,0.001)+'KT THAN'!$D$32*ABS(I142)/MAX('KT THAN'!$D$68,0.001)))))</f>
        <v/>
      </c>
      <c r="P142" s="37" t="str">
        <f t="shared" si="36"/>
        <v/>
      </c>
      <c r="Q142" s="38" t="str">
        <f>IF($A142="","",MAX(0.001,'KT THAN'!$C$32*ABS(J142)/MAX(1,H142)))</f>
        <v/>
      </c>
      <c r="R142" s="38" t="str">
        <f>IF($A142="","",MAX(0.001,'KT THAN'!$D$32*ABS(I142)/MAX(1,H142)))</f>
        <v/>
      </c>
      <c r="S142" t="str">
        <f t="shared" si="30"/>
        <v/>
      </c>
    </row>
    <row r="143" spans="1:19" hidden="1" outlineLevel="1" x14ac:dyDescent="0.3">
      <c r="A143" s="37" t="str">
        <f>IF('TO HOP NLAN'!$A9="","",'TO HOP NLAN'!$A9)</f>
        <v/>
      </c>
      <c r="B143" s="38" t="str">
        <f>IF($A143="","",'TO HOP NLAN'!$D9)</f>
        <v/>
      </c>
      <c r="C143" s="38" t="str">
        <f>IF($A143="","",'TO HOP NLAN'!$E9)</f>
        <v/>
      </c>
      <c r="D143" s="38" t="str">
        <f>IF($A143="","",'TO HOP NLAN'!$F9)</f>
        <v/>
      </c>
      <c r="E143" s="38" t="str">
        <f>IF($A143="","",'TO HOP NLAN'!$B9)</f>
        <v/>
      </c>
      <c r="F143" s="38" t="str">
        <f>IF($A143="","",'TO HOP NLAN'!$C9)</f>
        <v/>
      </c>
      <c r="G143" s="38" t="str">
        <f t="shared" si="31"/>
        <v/>
      </c>
      <c r="H143" s="38" t="str">
        <f t="shared" si="24"/>
        <v/>
      </c>
      <c r="I143" s="38" t="str">
        <f t="shared" si="32"/>
        <v/>
      </c>
      <c r="J143" s="38" t="str">
        <f t="shared" si="33"/>
        <v/>
      </c>
      <c r="K143" s="38" t="str">
        <f t="shared" si="34"/>
        <v/>
      </c>
      <c r="L143" s="38" t="str">
        <f t="shared" si="35"/>
        <v/>
      </c>
      <c r="M143" s="38" t="str">
        <f>IF($A143="","",IF(H143=0,"",IF(Q143&lt;=0.000000001,MIN(0.8*0.75*'KT THAN'!$C$62,MAX('KT THAN'!$J$38:$J$58)),IFERROR(MIN(0.8*0.75*'KT THAN'!$C$62,INDEX('KT THAN'!$J$38:$J$58,MATCH(Q143,'KT THAN'!$L$38:$L$58,-1))+(INDEX('KT THAN'!$J$38:$J$58,MIN(21,MATCH(Q143,'KT THAN'!$L$38:$L$58,-1)+1))-INDEX('KT THAN'!$J$38:$J$58,MATCH(Q143,'KT THAN'!$L$38:$L$58,-1)))*(Q143-INDEX('KT THAN'!$L$38:$L$58,MATCH(Q143,'KT THAN'!$L$38:$L$58,-1)))/(INDEX('KT THAN'!$L$38:$L$58,MIN(21,MATCH(Q143,'KT THAN'!$L$38:$L$58,-1)+1))-INDEX('KT THAN'!$L$38:$L$58,MATCH(Q143,'KT THAN'!$L$38:$L$58,-1)))),MIN(0.8*0.75*'KT THAN'!$C$62,'KT THAN'!$C$68/Q143)))))</f>
        <v/>
      </c>
      <c r="N143" s="38" t="str">
        <f>IF($A143="","",IF(H143=0,"",IF(R143&lt;=0.000000001,MIN(0.8*0.75*'KT THAN'!$C$62,MAX('KT THAN'!$W$38:$W$58)),IFERROR(MIN(0.8*0.75*'KT THAN'!$C$62,INDEX('KT THAN'!$W$38:$W$58,MATCH(R143,'KT THAN'!$Y$38:$Y$58,-1))+(INDEX('KT THAN'!$W$38:$W$58,MIN(21,MATCH(R143,'KT THAN'!$Y$38:$Y$58,-1)+1))-INDEX('KT THAN'!$W$38:$W$58,MATCH(R143,'KT THAN'!$Y$38:$Y$58,-1)))*(R143-INDEX('KT THAN'!$Y$38:$Y$58,MATCH(R143,'KT THAN'!$Y$38:$Y$58,-1)))/(INDEX('KT THAN'!$Y$38:$Y$58,MIN(21,MATCH(R143,'KT THAN'!$Y$38:$Y$58,-1)+1))-INDEX('KT THAN'!$Y$38:$Y$58,MATCH(R143,'KT THAN'!$Y$38:$Y$58,-1)))),MIN(0.8*0.75*'KT THAN'!$C$62,'KT THAN'!$D$68/R143)))))</f>
        <v/>
      </c>
      <c r="O143" s="38" t="str">
        <f>IF($A143="","",IF(H143&lt;0,ABS(H143)/MAX('KT THAN'!$C$69,0.001)+'KT THAN'!$C$32*ABS(J143)/MAX('KT THAN'!$C$68,0.001)+'KT THAN'!$D$32*ABS(I143)/MAX('KT THAN'!$D$68,0.001),IF(OR(M143&lt;=0,N143&lt;=0),999,IF(H143&gt;=0.1*0.75*fc_*Agth*1000,H143/MAX(0.001,1/(1/M143+1/N143-1/(0.75*'KT THAN'!$C$62))),'KT THAN'!$C$32*ABS(J143)/MAX('KT THAN'!$C$68,0.001)+'KT THAN'!$D$32*ABS(I143)/MAX('KT THAN'!$D$68,0.001)))))</f>
        <v/>
      </c>
      <c r="P143" s="37" t="str">
        <f t="shared" si="36"/>
        <v/>
      </c>
      <c r="Q143" s="38" t="str">
        <f>IF($A143="","",MAX(0.001,'KT THAN'!$C$32*ABS(J143)/MAX(1,H143)))</f>
        <v/>
      </c>
      <c r="R143" s="38" t="str">
        <f>IF($A143="","",MAX(0.001,'KT THAN'!$D$32*ABS(I143)/MAX(1,H143)))</f>
        <v/>
      </c>
      <c r="S143" t="str">
        <f t="shared" si="30"/>
        <v/>
      </c>
    </row>
    <row r="144" spans="1:19" hidden="1" outlineLevel="1" x14ac:dyDescent="0.3">
      <c r="A144" s="37" t="str">
        <f>IF('TO HOP NLAN'!$A10="","",'TO HOP NLAN'!$A10)</f>
        <v/>
      </c>
      <c r="B144" s="38" t="str">
        <f>IF($A144="","",'TO HOP NLAN'!$D10)</f>
        <v/>
      </c>
      <c r="C144" s="38" t="str">
        <f>IF($A144="","",'TO HOP NLAN'!$E10)</f>
        <v/>
      </c>
      <c r="D144" s="38" t="str">
        <f>IF($A144="","",'TO HOP NLAN'!$F10)</f>
        <v/>
      </c>
      <c r="E144" s="38" t="str">
        <f>IF($A144="","",'TO HOP NLAN'!$B10)</f>
        <v/>
      </c>
      <c r="F144" s="38" t="str">
        <f>IF($A144="","",'TO HOP NLAN'!$C10)</f>
        <v/>
      </c>
      <c r="G144" s="38" t="str">
        <f t="shared" si="31"/>
        <v/>
      </c>
      <c r="H144" s="38" t="str">
        <f t="shared" si="24"/>
        <v/>
      </c>
      <c r="I144" s="38" t="str">
        <f t="shared" si="32"/>
        <v/>
      </c>
      <c r="J144" s="38" t="str">
        <f t="shared" si="33"/>
        <v/>
      </c>
      <c r="K144" s="38" t="str">
        <f t="shared" si="34"/>
        <v/>
      </c>
      <c r="L144" s="38" t="str">
        <f t="shared" si="35"/>
        <v/>
      </c>
      <c r="M144" s="38" t="str">
        <f>IF($A144="","",IF(H144=0,"",IF(Q144&lt;=0.000000001,MIN(0.8*0.75*'KT THAN'!$C$62,MAX('KT THAN'!$J$38:$J$58)),IFERROR(MIN(0.8*0.75*'KT THAN'!$C$62,INDEX('KT THAN'!$J$38:$J$58,MATCH(Q144,'KT THAN'!$L$38:$L$58,-1))+(INDEX('KT THAN'!$J$38:$J$58,MIN(21,MATCH(Q144,'KT THAN'!$L$38:$L$58,-1)+1))-INDEX('KT THAN'!$J$38:$J$58,MATCH(Q144,'KT THAN'!$L$38:$L$58,-1)))*(Q144-INDEX('KT THAN'!$L$38:$L$58,MATCH(Q144,'KT THAN'!$L$38:$L$58,-1)))/(INDEX('KT THAN'!$L$38:$L$58,MIN(21,MATCH(Q144,'KT THAN'!$L$38:$L$58,-1)+1))-INDEX('KT THAN'!$L$38:$L$58,MATCH(Q144,'KT THAN'!$L$38:$L$58,-1)))),MIN(0.8*0.75*'KT THAN'!$C$62,'KT THAN'!$C$68/Q144)))))</f>
        <v/>
      </c>
      <c r="N144" s="38" t="str">
        <f>IF($A144="","",IF(H144=0,"",IF(R144&lt;=0.000000001,MIN(0.8*0.75*'KT THAN'!$C$62,MAX('KT THAN'!$W$38:$W$58)),IFERROR(MIN(0.8*0.75*'KT THAN'!$C$62,INDEX('KT THAN'!$W$38:$W$58,MATCH(R144,'KT THAN'!$Y$38:$Y$58,-1))+(INDEX('KT THAN'!$W$38:$W$58,MIN(21,MATCH(R144,'KT THAN'!$Y$38:$Y$58,-1)+1))-INDEX('KT THAN'!$W$38:$W$58,MATCH(R144,'KT THAN'!$Y$38:$Y$58,-1)))*(R144-INDEX('KT THAN'!$Y$38:$Y$58,MATCH(R144,'KT THAN'!$Y$38:$Y$58,-1)))/(INDEX('KT THAN'!$Y$38:$Y$58,MIN(21,MATCH(R144,'KT THAN'!$Y$38:$Y$58,-1)+1))-INDEX('KT THAN'!$Y$38:$Y$58,MATCH(R144,'KT THAN'!$Y$38:$Y$58,-1)))),MIN(0.8*0.75*'KT THAN'!$C$62,'KT THAN'!$D$68/R144)))))</f>
        <v/>
      </c>
      <c r="O144" s="38" t="str">
        <f>IF($A144="","",IF(H144&lt;0,ABS(H144)/MAX('KT THAN'!$C$69,0.001)+'KT THAN'!$C$32*ABS(J144)/MAX('KT THAN'!$C$68,0.001)+'KT THAN'!$D$32*ABS(I144)/MAX('KT THAN'!$D$68,0.001),IF(OR(M144&lt;=0,N144&lt;=0),999,IF(H144&gt;=0.1*0.75*fc_*Agth*1000,H144/MAX(0.001,1/(1/M144+1/N144-1/(0.75*'KT THAN'!$C$62))),'KT THAN'!$C$32*ABS(J144)/MAX('KT THAN'!$C$68,0.001)+'KT THAN'!$D$32*ABS(I144)/MAX('KT THAN'!$D$68,0.001)))))</f>
        <v/>
      </c>
      <c r="P144" s="37" t="str">
        <f t="shared" si="36"/>
        <v/>
      </c>
      <c r="Q144" s="38" t="str">
        <f>IF($A144="","",MAX(0.001,'KT THAN'!$C$32*ABS(J144)/MAX(1,H144)))</f>
        <v/>
      </c>
      <c r="R144" s="38" t="str">
        <f>IF($A144="","",MAX(0.001,'KT THAN'!$D$32*ABS(I144)/MAX(1,H144)))</f>
        <v/>
      </c>
      <c r="S144" t="str">
        <f t="shared" si="30"/>
        <v/>
      </c>
    </row>
    <row r="145" spans="1:19" hidden="1" outlineLevel="1" x14ac:dyDescent="0.3">
      <c r="A145" s="37" t="str">
        <f>IF('TO HOP NLAN'!$A11="","",'TO HOP NLAN'!$A11)</f>
        <v/>
      </c>
      <c r="B145" s="38" t="str">
        <f>IF($A145="","",'TO HOP NLAN'!$D11)</f>
        <v/>
      </c>
      <c r="C145" s="38" t="str">
        <f>IF($A145="","",'TO HOP NLAN'!$E11)</f>
        <v/>
      </c>
      <c r="D145" s="38" t="str">
        <f>IF($A145="","",'TO HOP NLAN'!$F11)</f>
        <v/>
      </c>
      <c r="E145" s="38" t="str">
        <f>IF($A145="","",'TO HOP NLAN'!$B11)</f>
        <v/>
      </c>
      <c r="F145" s="38" t="str">
        <f>IF($A145="","",'TO HOP NLAN'!$C11)</f>
        <v/>
      </c>
      <c r="G145" s="38" t="str">
        <f t="shared" si="31"/>
        <v/>
      </c>
      <c r="H145" s="38" t="str">
        <f t="shared" si="24"/>
        <v/>
      </c>
      <c r="I145" s="38" t="str">
        <f t="shared" si="32"/>
        <v/>
      </c>
      <c r="J145" s="38" t="str">
        <f t="shared" si="33"/>
        <v/>
      </c>
      <c r="K145" s="38" t="str">
        <f t="shared" si="34"/>
        <v/>
      </c>
      <c r="L145" s="38" t="str">
        <f t="shared" si="35"/>
        <v/>
      </c>
      <c r="M145" s="38" t="str">
        <f>IF($A145="","",IF(H145=0,"",IF(Q145&lt;=0.000000001,MIN(0.8*0.75*'KT THAN'!$C$62,MAX('KT THAN'!$J$38:$J$58)),IFERROR(MIN(0.8*0.75*'KT THAN'!$C$62,INDEX('KT THAN'!$J$38:$J$58,MATCH(Q145,'KT THAN'!$L$38:$L$58,-1))+(INDEX('KT THAN'!$J$38:$J$58,MIN(21,MATCH(Q145,'KT THAN'!$L$38:$L$58,-1)+1))-INDEX('KT THAN'!$J$38:$J$58,MATCH(Q145,'KT THAN'!$L$38:$L$58,-1)))*(Q145-INDEX('KT THAN'!$L$38:$L$58,MATCH(Q145,'KT THAN'!$L$38:$L$58,-1)))/(INDEX('KT THAN'!$L$38:$L$58,MIN(21,MATCH(Q145,'KT THAN'!$L$38:$L$58,-1)+1))-INDEX('KT THAN'!$L$38:$L$58,MATCH(Q145,'KT THAN'!$L$38:$L$58,-1)))),MIN(0.8*0.75*'KT THAN'!$C$62,'KT THAN'!$C$68/Q145)))))</f>
        <v/>
      </c>
      <c r="N145" s="38" t="str">
        <f>IF($A145="","",IF(H145=0,"",IF(R145&lt;=0.000000001,MIN(0.8*0.75*'KT THAN'!$C$62,MAX('KT THAN'!$W$38:$W$58)),IFERROR(MIN(0.8*0.75*'KT THAN'!$C$62,INDEX('KT THAN'!$W$38:$W$58,MATCH(R145,'KT THAN'!$Y$38:$Y$58,-1))+(INDEX('KT THAN'!$W$38:$W$58,MIN(21,MATCH(R145,'KT THAN'!$Y$38:$Y$58,-1)+1))-INDEX('KT THAN'!$W$38:$W$58,MATCH(R145,'KT THAN'!$Y$38:$Y$58,-1)))*(R145-INDEX('KT THAN'!$Y$38:$Y$58,MATCH(R145,'KT THAN'!$Y$38:$Y$58,-1)))/(INDEX('KT THAN'!$Y$38:$Y$58,MIN(21,MATCH(R145,'KT THAN'!$Y$38:$Y$58,-1)+1))-INDEX('KT THAN'!$Y$38:$Y$58,MATCH(R145,'KT THAN'!$Y$38:$Y$58,-1)))),MIN(0.8*0.75*'KT THAN'!$C$62,'KT THAN'!$D$68/R145)))))</f>
        <v/>
      </c>
      <c r="O145" s="38" t="str">
        <f>IF($A145="","",IF(H145&lt;0,ABS(H145)/MAX('KT THAN'!$C$69,0.001)+'KT THAN'!$C$32*ABS(J145)/MAX('KT THAN'!$C$68,0.001)+'KT THAN'!$D$32*ABS(I145)/MAX('KT THAN'!$D$68,0.001),IF(OR(M145&lt;=0,N145&lt;=0),999,IF(H145&gt;=0.1*0.75*fc_*Agth*1000,H145/MAX(0.001,1/(1/M145+1/N145-1/(0.75*'KT THAN'!$C$62))),'KT THAN'!$C$32*ABS(J145)/MAX('KT THAN'!$C$68,0.001)+'KT THAN'!$D$32*ABS(I145)/MAX('KT THAN'!$D$68,0.001)))))</f>
        <v/>
      </c>
      <c r="P145" s="37" t="str">
        <f t="shared" si="36"/>
        <v/>
      </c>
      <c r="Q145" s="38" t="str">
        <f>IF($A145="","",MAX(0.001,'KT THAN'!$C$32*ABS(J145)/MAX(1,H145)))</f>
        <v/>
      </c>
      <c r="R145" s="38" t="str">
        <f>IF($A145="","",MAX(0.001,'KT THAN'!$D$32*ABS(I145)/MAX(1,H145)))</f>
        <v/>
      </c>
      <c r="S145" t="str">
        <f t="shared" si="30"/>
        <v/>
      </c>
    </row>
    <row r="146" spans="1:19" hidden="1" outlineLevel="1" x14ac:dyDescent="0.3">
      <c r="A146" s="37" t="str">
        <f>IF('TO HOP NLAN'!$A12="","",'TO HOP NLAN'!$A12)</f>
        <v/>
      </c>
      <c r="B146" s="38" t="str">
        <f>IF($A146="","",'TO HOP NLAN'!$D12)</f>
        <v/>
      </c>
      <c r="C146" s="38" t="str">
        <f>IF($A146="","",'TO HOP NLAN'!$E12)</f>
        <v/>
      </c>
      <c r="D146" s="38" t="str">
        <f>IF($A146="","",'TO HOP NLAN'!$F12)</f>
        <v/>
      </c>
      <c r="E146" s="38" t="str">
        <f>IF($A146="","",'TO HOP NLAN'!$B12)</f>
        <v/>
      </c>
      <c r="F146" s="38" t="str">
        <f>IF($A146="","",'TO HOP NLAN'!$C12)</f>
        <v/>
      </c>
      <c r="G146" s="38" t="str">
        <f t="shared" si="31"/>
        <v/>
      </c>
      <c r="H146" s="38" t="str">
        <f t="shared" si="24"/>
        <v/>
      </c>
      <c r="I146" s="38" t="str">
        <f t="shared" si="32"/>
        <v/>
      </c>
      <c r="J146" s="38" t="str">
        <f t="shared" si="33"/>
        <v/>
      </c>
      <c r="K146" s="38" t="str">
        <f t="shared" si="34"/>
        <v/>
      </c>
      <c r="L146" s="38" t="str">
        <f t="shared" si="35"/>
        <v/>
      </c>
      <c r="M146" s="38" t="str">
        <f>IF($A146="","",IF(H146=0,"",IF(Q146&lt;=0.000000001,MIN(0.8*0.75*'KT THAN'!$C$62,MAX('KT THAN'!$J$38:$J$58)),IFERROR(MIN(0.8*0.75*'KT THAN'!$C$62,INDEX('KT THAN'!$J$38:$J$58,MATCH(Q146,'KT THAN'!$L$38:$L$58,-1))+(INDEX('KT THAN'!$J$38:$J$58,MIN(21,MATCH(Q146,'KT THAN'!$L$38:$L$58,-1)+1))-INDEX('KT THAN'!$J$38:$J$58,MATCH(Q146,'KT THAN'!$L$38:$L$58,-1)))*(Q146-INDEX('KT THAN'!$L$38:$L$58,MATCH(Q146,'KT THAN'!$L$38:$L$58,-1)))/(INDEX('KT THAN'!$L$38:$L$58,MIN(21,MATCH(Q146,'KT THAN'!$L$38:$L$58,-1)+1))-INDEX('KT THAN'!$L$38:$L$58,MATCH(Q146,'KT THAN'!$L$38:$L$58,-1)))),MIN(0.8*0.75*'KT THAN'!$C$62,'KT THAN'!$C$68/Q146)))))</f>
        <v/>
      </c>
      <c r="N146" s="38" t="str">
        <f>IF($A146="","",IF(H146=0,"",IF(R146&lt;=0.000000001,MIN(0.8*0.75*'KT THAN'!$C$62,MAX('KT THAN'!$W$38:$W$58)),IFERROR(MIN(0.8*0.75*'KT THAN'!$C$62,INDEX('KT THAN'!$W$38:$W$58,MATCH(R146,'KT THAN'!$Y$38:$Y$58,-1))+(INDEX('KT THAN'!$W$38:$W$58,MIN(21,MATCH(R146,'KT THAN'!$Y$38:$Y$58,-1)+1))-INDEX('KT THAN'!$W$38:$W$58,MATCH(R146,'KT THAN'!$Y$38:$Y$58,-1)))*(R146-INDEX('KT THAN'!$Y$38:$Y$58,MATCH(R146,'KT THAN'!$Y$38:$Y$58,-1)))/(INDEX('KT THAN'!$Y$38:$Y$58,MIN(21,MATCH(R146,'KT THAN'!$Y$38:$Y$58,-1)+1))-INDEX('KT THAN'!$Y$38:$Y$58,MATCH(R146,'KT THAN'!$Y$38:$Y$58,-1)))),MIN(0.8*0.75*'KT THAN'!$C$62,'KT THAN'!$D$68/R146)))))</f>
        <v/>
      </c>
      <c r="O146" s="38" t="str">
        <f>IF($A146="","",IF(H146&lt;0,ABS(H146)/MAX('KT THAN'!$C$69,0.001)+'KT THAN'!$C$32*ABS(J146)/MAX('KT THAN'!$C$68,0.001)+'KT THAN'!$D$32*ABS(I146)/MAX('KT THAN'!$D$68,0.001),IF(OR(M146&lt;=0,N146&lt;=0),999,IF(H146&gt;=0.1*0.75*fc_*Agth*1000,H146/MAX(0.001,1/(1/M146+1/N146-1/(0.75*'KT THAN'!$C$62))),'KT THAN'!$C$32*ABS(J146)/MAX('KT THAN'!$C$68,0.001)+'KT THAN'!$D$32*ABS(I146)/MAX('KT THAN'!$D$68,0.001)))))</f>
        <v/>
      </c>
      <c r="P146" s="37" t="str">
        <f t="shared" si="36"/>
        <v/>
      </c>
      <c r="Q146" s="38" t="str">
        <f>IF($A146="","",MAX(0.001,'KT THAN'!$C$32*ABS(J146)/MAX(1,H146)))</f>
        <v/>
      </c>
      <c r="R146" s="38" t="str">
        <f>IF($A146="","",MAX(0.001,'KT THAN'!$D$32*ABS(I146)/MAX(1,H146)))</f>
        <v/>
      </c>
      <c r="S146" t="str">
        <f t="shared" si="30"/>
        <v/>
      </c>
    </row>
    <row r="147" spans="1:19" hidden="1" outlineLevel="1" x14ac:dyDescent="0.3">
      <c r="A147" s="37" t="str">
        <f>IF('TO HOP NLAN'!$A13="","",'TO HOP NLAN'!$A13)</f>
        <v/>
      </c>
      <c r="B147" s="38" t="str">
        <f>IF($A147="","",'TO HOP NLAN'!$D13)</f>
        <v/>
      </c>
      <c r="C147" s="38" t="str">
        <f>IF($A147="","",'TO HOP NLAN'!$E13)</f>
        <v/>
      </c>
      <c r="D147" s="38" t="str">
        <f>IF($A147="","",'TO HOP NLAN'!$F13)</f>
        <v/>
      </c>
      <c r="E147" s="38" t="str">
        <f>IF($A147="","",'TO HOP NLAN'!$B13)</f>
        <v/>
      </c>
      <c r="F147" s="38" t="str">
        <f>IF($A147="","",'TO HOP NLAN'!$C13)</f>
        <v/>
      </c>
      <c r="G147" s="38" t="str">
        <f t="shared" si="31"/>
        <v/>
      </c>
      <c r="H147" s="38" t="str">
        <f t="shared" si="24"/>
        <v/>
      </c>
      <c r="I147" s="38" t="str">
        <f t="shared" si="32"/>
        <v/>
      </c>
      <c r="J147" s="38" t="str">
        <f t="shared" si="33"/>
        <v/>
      </c>
      <c r="K147" s="38" t="str">
        <f t="shared" si="34"/>
        <v/>
      </c>
      <c r="L147" s="38" t="str">
        <f t="shared" si="35"/>
        <v/>
      </c>
      <c r="M147" s="38" t="str">
        <f>IF($A147="","",IF(H147=0,"",IF(Q147&lt;=0.000000001,MIN(0.8*0.75*'KT THAN'!$C$62,MAX('KT THAN'!$J$38:$J$58)),IFERROR(MIN(0.8*0.75*'KT THAN'!$C$62,INDEX('KT THAN'!$J$38:$J$58,MATCH(Q147,'KT THAN'!$L$38:$L$58,-1))+(INDEX('KT THAN'!$J$38:$J$58,MIN(21,MATCH(Q147,'KT THAN'!$L$38:$L$58,-1)+1))-INDEX('KT THAN'!$J$38:$J$58,MATCH(Q147,'KT THAN'!$L$38:$L$58,-1)))*(Q147-INDEX('KT THAN'!$L$38:$L$58,MATCH(Q147,'KT THAN'!$L$38:$L$58,-1)))/(INDEX('KT THAN'!$L$38:$L$58,MIN(21,MATCH(Q147,'KT THAN'!$L$38:$L$58,-1)+1))-INDEX('KT THAN'!$L$38:$L$58,MATCH(Q147,'KT THAN'!$L$38:$L$58,-1)))),MIN(0.8*0.75*'KT THAN'!$C$62,'KT THAN'!$C$68/Q147)))))</f>
        <v/>
      </c>
      <c r="N147" s="38" t="str">
        <f>IF($A147="","",IF(H147=0,"",IF(R147&lt;=0.000000001,MIN(0.8*0.75*'KT THAN'!$C$62,MAX('KT THAN'!$W$38:$W$58)),IFERROR(MIN(0.8*0.75*'KT THAN'!$C$62,INDEX('KT THAN'!$W$38:$W$58,MATCH(R147,'KT THAN'!$Y$38:$Y$58,-1))+(INDEX('KT THAN'!$W$38:$W$58,MIN(21,MATCH(R147,'KT THAN'!$Y$38:$Y$58,-1)+1))-INDEX('KT THAN'!$W$38:$W$58,MATCH(R147,'KT THAN'!$Y$38:$Y$58,-1)))*(R147-INDEX('KT THAN'!$Y$38:$Y$58,MATCH(R147,'KT THAN'!$Y$38:$Y$58,-1)))/(INDEX('KT THAN'!$Y$38:$Y$58,MIN(21,MATCH(R147,'KT THAN'!$Y$38:$Y$58,-1)+1))-INDEX('KT THAN'!$Y$38:$Y$58,MATCH(R147,'KT THAN'!$Y$38:$Y$58,-1)))),MIN(0.8*0.75*'KT THAN'!$C$62,'KT THAN'!$D$68/R147)))))</f>
        <v/>
      </c>
      <c r="O147" s="38" t="str">
        <f>IF($A147="","",IF(H147&lt;0,ABS(H147)/MAX('KT THAN'!$C$69,0.001)+'KT THAN'!$C$32*ABS(J147)/MAX('KT THAN'!$C$68,0.001)+'KT THAN'!$D$32*ABS(I147)/MAX('KT THAN'!$D$68,0.001),IF(OR(M147&lt;=0,N147&lt;=0),999,IF(H147&gt;=0.1*0.75*fc_*Agth*1000,H147/MAX(0.001,1/(1/M147+1/N147-1/(0.75*'KT THAN'!$C$62))),'KT THAN'!$C$32*ABS(J147)/MAX('KT THAN'!$C$68,0.001)+'KT THAN'!$D$32*ABS(I147)/MAX('KT THAN'!$D$68,0.001)))))</f>
        <v/>
      </c>
      <c r="P147" s="37" t="str">
        <f t="shared" si="36"/>
        <v/>
      </c>
      <c r="Q147" s="38" t="str">
        <f>IF($A147="","",MAX(0.001,'KT THAN'!$C$32*ABS(J147)/MAX(1,H147)))</f>
        <v/>
      </c>
      <c r="R147" s="38" t="str">
        <f>IF($A147="","",MAX(0.001,'KT THAN'!$D$32*ABS(I147)/MAX(1,H147)))</f>
        <v/>
      </c>
      <c r="S147" t="str">
        <f t="shared" si="30"/>
        <v/>
      </c>
    </row>
    <row r="148" spans="1:19" hidden="1" outlineLevel="1" x14ac:dyDescent="0.3">
      <c r="A148" s="37" t="str">
        <f>IF('TO HOP NLAN'!$A14="","",'TO HOP NLAN'!$A14)</f>
        <v/>
      </c>
      <c r="B148" s="38" t="str">
        <f>IF($A148="","",'TO HOP NLAN'!$D14)</f>
        <v/>
      </c>
      <c r="C148" s="38" t="str">
        <f>IF($A148="","",'TO HOP NLAN'!$E14)</f>
        <v/>
      </c>
      <c r="D148" s="38" t="str">
        <f>IF($A148="","",'TO HOP NLAN'!$F14)</f>
        <v/>
      </c>
      <c r="E148" s="38" t="str">
        <f>IF($A148="","",'TO HOP NLAN'!$B14)</f>
        <v/>
      </c>
      <c r="F148" s="38" t="str">
        <f>IF($A148="","",'TO HOP NLAN'!$C14)</f>
        <v/>
      </c>
      <c r="G148" s="38" t="str">
        <f t="shared" si="31"/>
        <v/>
      </c>
      <c r="H148" s="38" t="str">
        <f t="shared" si="24"/>
        <v/>
      </c>
      <c r="I148" s="38" t="str">
        <f t="shared" si="32"/>
        <v/>
      </c>
      <c r="J148" s="38" t="str">
        <f t="shared" si="33"/>
        <v/>
      </c>
      <c r="K148" s="38" t="str">
        <f t="shared" si="34"/>
        <v/>
      </c>
      <c r="L148" s="38" t="str">
        <f t="shared" si="35"/>
        <v/>
      </c>
      <c r="M148" s="38" t="str">
        <f>IF($A148="","",IF(H148=0,"",IF(Q148&lt;=0.000000001,MIN(0.8*0.75*'KT THAN'!$C$62,MAX('KT THAN'!$J$38:$J$58)),IFERROR(MIN(0.8*0.75*'KT THAN'!$C$62,INDEX('KT THAN'!$J$38:$J$58,MATCH(Q148,'KT THAN'!$L$38:$L$58,-1))+(INDEX('KT THAN'!$J$38:$J$58,MIN(21,MATCH(Q148,'KT THAN'!$L$38:$L$58,-1)+1))-INDEX('KT THAN'!$J$38:$J$58,MATCH(Q148,'KT THAN'!$L$38:$L$58,-1)))*(Q148-INDEX('KT THAN'!$L$38:$L$58,MATCH(Q148,'KT THAN'!$L$38:$L$58,-1)))/(INDEX('KT THAN'!$L$38:$L$58,MIN(21,MATCH(Q148,'KT THAN'!$L$38:$L$58,-1)+1))-INDEX('KT THAN'!$L$38:$L$58,MATCH(Q148,'KT THAN'!$L$38:$L$58,-1)))),MIN(0.8*0.75*'KT THAN'!$C$62,'KT THAN'!$C$68/Q148)))))</f>
        <v/>
      </c>
      <c r="N148" s="38" t="str">
        <f>IF($A148="","",IF(H148=0,"",IF(R148&lt;=0.000000001,MIN(0.8*0.75*'KT THAN'!$C$62,MAX('KT THAN'!$W$38:$W$58)),IFERROR(MIN(0.8*0.75*'KT THAN'!$C$62,INDEX('KT THAN'!$W$38:$W$58,MATCH(R148,'KT THAN'!$Y$38:$Y$58,-1))+(INDEX('KT THAN'!$W$38:$W$58,MIN(21,MATCH(R148,'KT THAN'!$Y$38:$Y$58,-1)+1))-INDEX('KT THAN'!$W$38:$W$58,MATCH(R148,'KT THAN'!$Y$38:$Y$58,-1)))*(R148-INDEX('KT THAN'!$Y$38:$Y$58,MATCH(R148,'KT THAN'!$Y$38:$Y$58,-1)))/(INDEX('KT THAN'!$Y$38:$Y$58,MIN(21,MATCH(R148,'KT THAN'!$Y$38:$Y$58,-1)+1))-INDEX('KT THAN'!$Y$38:$Y$58,MATCH(R148,'KT THAN'!$Y$38:$Y$58,-1)))),MIN(0.8*0.75*'KT THAN'!$C$62,'KT THAN'!$D$68/R148)))))</f>
        <v/>
      </c>
      <c r="O148" s="38" t="str">
        <f>IF($A148="","",IF(H148&lt;0,ABS(H148)/MAX('KT THAN'!$C$69,0.001)+'KT THAN'!$C$32*ABS(J148)/MAX('KT THAN'!$C$68,0.001)+'KT THAN'!$D$32*ABS(I148)/MAX('KT THAN'!$D$68,0.001),IF(OR(M148&lt;=0,N148&lt;=0),999,IF(H148&gt;=0.1*0.75*fc_*Agth*1000,H148/MAX(0.001,1/(1/M148+1/N148-1/(0.75*'KT THAN'!$C$62))),'KT THAN'!$C$32*ABS(J148)/MAX('KT THAN'!$C$68,0.001)+'KT THAN'!$D$32*ABS(I148)/MAX('KT THAN'!$D$68,0.001)))))</f>
        <v/>
      </c>
      <c r="P148" s="37" t="str">
        <f t="shared" si="36"/>
        <v/>
      </c>
      <c r="Q148" s="38" t="str">
        <f>IF($A148="","",MAX(0.001,'KT THAN'!$C$32*ABS(J148)/MAX(1,H148)))</f>
        <v/>
      </c>
      <c r="R148" s="38" t="str">
        <f>IF($A148="","",MAX(0.001,'KT THAN'!$D$32*ABS(I148)/MAX(1,H148)))</f>
        <v/>
      </c>
      <c r="S148" t="str">
        <f t="shared" si="30"/>
        <v/>
      </c>
    </row>
    <row r="149" spans="1:19" hidden="1" outlineLevel="1" x14ac:dyDescent="0.3">
      <c r="A149" s="37" t="str">
        <f>IF('TO HOP NLAN'!$A15="","",'TO HOP NLAN'!$A15)</f>
        <v/>
      </c>
      <c r="B149" s="38" t="str">
        <f>IF($A149="","",'TO HOP NLAN'!$D15)</f>
        <v/>
      </c>
      <c r="C149" s="38" t="str">
        <f>IF($A149="","",'TO HOP NLAN'!$E15)</f>
        <v/>
      </c>
      <c r="D149" s="38" t="str">
        <f>IF($A149="","",'TO HOP NLAN'!$F15)</f>
        <v/>
      </c>
      <c r="E149" s="38" t="str">
        <f>IF($A149="","",'TO HOP NLAN'!$B15)</f>
        <v/>
      </c>
      <c r="F149" s="38" t="str">
        <f>IF($A149="","",'TO HOP NLAN'!$C15)</f>
        <v/>
      </c>
      <c r="G149" s="38" t="str">
        <f t="shared" si="31"/>
        <v/>
      </c>
      <c r="H149" s="38" t="str">
        <f t="shared" si="24"/>
        <v/>
      </c>
      <c r="I149" s="38" t="str">
        <f t="shared" si="32"/>
        <v/>
      </c>
      <c r="J149" s="38" t="str">
        <f t="shared" si="33"/>
        <v/>
      </c>
      <c r="K149" s="38" t="str">
        <f t="shared" si="34"/>
        <v/>
      </c>
      <c r="L149" s="38" t="str">
        <f t="shared" si="35"/>
        <v/>
      </c>
      <c r="M149" s="38" t="str">
        <f>IF($A149="","",IF(H149=0,"",IF(Q149&lt;=0.000000001,MIN(0.8*0.75*'KT THAN'!$C$62,MAX('KT THAN'!$J$38:$J$58)),IFERROR(MIN(0.8*0.75*'KT THAN'!$C$62,INDEX('KT THAN'!$J$38:$J$58,MATCH(Q149,'KT THAN'!$L$38:$L$58,-1))+(INDEX('KT THAN'!$J$38:$J$58,MIN(21,MATCH(Q149,'KT THAN'!$L$38:$L$58,-1)+1))-INDEX('KT THAN'!$J$38:$J$58,MATCH(Q149,'KT THAN'!$L$38:$L$58,-1)))*(Q149-INDEX('KT THAN'!$L$38:$L$58,MATCH(Q149,'KT THAN'!$L$38:$L$58,-1)))/(INDEX('KT THAN'!$L$38:$L$58,MIN(21,MATCH(Q149,'KT THAN'!$L$38:$L$58,-1)+1))-INDEX('KT THAN'!$L$38:$L$58,MATCH(Q149,'KT THAN'!$L$38:$L$58,-1)))),MIN(0.8*0.75*'KT THAN'!$C$62,'KT THAN'!$C$68/Q149)))))</f>
        <v/>
      </c>
      <c r="N149" s="38" t="str">
        <f>IF($A149="","",IF(H149=0,"",IF(R149&lt;=0.000000001,MIN(0.8*0.75*'KT THAN'!$C$62,MAX('KT THAN'!$W$38:$W$58)),IFERROR(MIN(0.8*0.75*'KT THAN'!$C$62,INDEX('KT THAN'!$W$38:$W$58,MATCH(R149,'KT THAN'!$Y$38:$Y$58,-1))+(INDEX('KT THAN'!$W$38:$W$58,MIN(21,MATCH(R149,'KT THAN'!$Y$38:$Y$58,-1)+1))-INDEX('KT THAN'!$W$38:$W$58,MATCH(R149,'KT THAN'!$Y$38:$Y$58,-1)))*(R149-INDEX('KT THAN'!$Y$38:$Y$58,MATCH(R149,'KT THAN'!$Y$38:$Y$58,-1)))/(INDEX('KT THAN'!$Y$38:$Y$58,MIN(21,MATCH(R149,'KT THAN'!$Y$38:$Y$58,-1)+1))-INDEX('KT THAN'!$Y$38:$Y$58,MATCH(R149,'KT THAN'!$Y$38:$Y$58,-1)))),MIN(0.8*0.75*'KT THAN'!$C$62,'KT THAN'!$D$68/R149)))))</f>
        <v/>
      </c>
      <c r="O149" s="38" t="str">
        <f>IF($A149="","",IF(H149&lt;0,ABS(H149)/MAX('KT THAN'!$C$69,0.001)+'KT THAN'!$C$32*ABS(J149)/MAX('KT THAN'!$C$68,0.001)+'KT THAN'!$D$32*ABS(I149)/MAX('KT THAN'!$D$68,0.001),IF(OR(M149&lt;=0,N149&lt;=0),999,IF(H149&gt;=0.1*0.75*fc_*Agth*1000,H149/MAX(0.001,1/(1/M149+1/N149-1/(0.75*'KT THAN'!$C$62))),'KT THAN'!$C$32*ABS(J149)/MAX('KT THAN'!$C$68,0.001)+'KT THAN'!$D$32*ABS(I149)/MAX('KT THAN'!$D$68,0.001)))))</f>
        <v/>
      </c>
      <c r="P149" s="37" t="str">
        <f t="shared" si="36"/>
        <v/>
      </c>
      <c r="Q149" s="38" t="str">
        <f>IF($A149="","",MAX(0.001,'KT THAN'!$C$32*ABS(J149)/MAX(1,H149)))</f>
        <v/>
      </c>
      <c r="R149" s="38" t="str">
        <f>IF($A149="","",MAX(0.001,'KT THAN'!$D$32*ABS(I149)/MAX(1,H149)))</f>
        <v/>
      </c>
      <c r="S149" t="str">
        <f t="shared" si="30"/>
        <v/>
      </c>
    </row>
    <row r="150" spans="1:19" hidden="1" outlineLevel="1" x14ac:dyDescent="0.3">
      <c r="A150" s="37" t="str">
        <f>IF('TO HOP NLAN'!$A16="","",'TO HOP NLAN'!$A16)</f>
        <v/>
      </c>
      <c r="B150" s="38" t="str">
        <f>IF($A150="","",'TO HOP NLAN'!$D16)</f>
        <v/>
      </c>
      <c r="C150" s="38" t="str">
        <f>IF($A150="","",'TO HOP NLAN'!$E16)</f>
        <v/>
      </c>
      <c r="D150" s="38" t="str">
        <f>IF($A150="","",'TO HOP NLAN'!$F16)</f>
        <v/>
      </c>
      <c r="E150" s="38" t="str">
        <f>IF($A150="","",'TO HOP NLAN'!$B16)</f>
        <v/>
      </c>
      <c r="F150" s="38" t="str">
        <f>IF($A150="","",'TO HOP NLAN'!$C16)</f>
        <v/>
      </c>
      <c r="G150" s="38" t="str">
        <f t="shared" si="31"/>
        <v/>
      </c>
      <c r="H150" s="38" t="str">
        <f t="shared" si="24"/>
        <v/>
      </c>
      <c r="I150" s="38" t="str">
        <f t="shared" si="32"/>
        <v/>
      </c>
      <c r="J150" s="38" t="str">
        <f t="shared" si="33"/>
        <v/>
      </c>
      <c r="K150" s="38" t="str">
        <f t="shared" si="34"/>
        <v/>
      </c>
      <c r="L150" s="38" t="str">
        <f t="shared" si="35"/>
        <v/>
      </c>
      <c r="M150" s="38" t="str">
        <f>IF($A150="","",IF(H150=0,"",IF(Q150&lt;=0.000000001,MIN(0.8*0.75*'KT THAN'!$C$62,MAX('KT THAN'!$J$38:$J$58)),IFERROR(MIN(0.8*0.75*'KT THAN'!$C$62,INDEX('KT THAN'!$J$38:$J$58,MATCH(Q150,'KT THAN'!$L$38:$L$58,-1))+(INDEX('KT THAN'!$J$38:$J$58,MIN(21,MATCH(Q150,'KT THAN'!$L$38:$L$58,-1)+1))-INDEX('KT THAN'!$J$38:$J$58,MATCH(Q150,'KT THAN'!$L$38:$L$58,-1)))*(Q150-INDEX('KT THAN'!$L$38:$L$58,MATCH(Q150,'KT THAN'!$L$38:$L$58,-1)))/(INDEX('KT THAN'!$L$38:$L$58,MIN(21,MATCH(Q150,'KT THAN'!$L$38:$L$58,-1)+1))-INDEX('KT THAN'!$L$38:$L$58,MATCH(Q150,'KT THAN'!$L$38:$L$58,-1)))),MIN(0.8*0.75*'KT THAN'!$C$62,'KT THAN'!$C$68/Q150)))))</f>
        <v/>
      </c>
      <c r="N150" s="38" t="str">
        <f>IF($A150="","",IF(H150=0,"",IF(R150&lt;=0.000000001,MIN(0.8*0.75*'KT THAN'!$C$62,MAX('KT THAN'!$W$38:$W$58)),IFERROR(MIN(0.8*0.75*'KT THAN'!$C$62,INDEX('KT THAN'!$W$38:$W$58,MATCH(R150,'KT THAN'!$Y$38:$Y$58,-1))+(INDEX('KT THAN'!$W$38:$W$58,MIN(21,MATCH(R150,'KT THAN'!$Y$38:$Y$58,-1)+1))-INDEX('KT THAN'!$W$38:$W$58,MATCH(R150,'KT THAN'!$Y$38:$Y$58,-1)))*(R150-INDEX('KT THAN'!$Y$38:$Y$58,MATCH(R150,'KT THAN'!$Y$38:$Y$58,-1)))/(INDEX('KT THAN'!$Y$38:$Y$58,MIN(21,MATCH(R150,'KT THAN'!$Y$38:$Y$58,-1)+1))-INDEX('KT THAN'!$Y$38:$Y$58,MATCH(R150,'KT THAN'!$Y$38:$Y$58,-1)))),MIN(0.8*0.75*'KT THAN'!$C$62,'KT THAN'!$D$68/R150)))))</f>
        <v/>
      </c>
      <c r="O150" s="38" t="str">
        <f>IF($A150="","",IF(H150&lt;0,ABS(H150)/MAX('KT THAN'!$C$69,0.001)+'KT THAN'!$C$32*ABS(J150)/MAX('KT THAN'!$C$68,0.001)+'KT THAN'!$D$32*ABS(I150)/MAX('KT THAN'!$D$68,0.001),IF(OR(M150&lt;=0,N150&lt;=0),999,IF(H150&gt;=0.1*0.75*fc_*Agth*1000,H150/MAX(0.001,1/(1/M150+1/N150-1/(0.75*'KT THAN'!$C$62))),'KT THAN'!$C$32*ABS(J150)/MAX('KT THAN'!$C$68,0.001)+'KT THAN'!$D$32*ABS(I150)/MAX('KT THAN'!$D$68,0.001)))))</f>
        <v/>
      </c>
      <c r="P150" s="37" t="str">
        <f t="shared" si="36"/>
        <v/>
      </c>
      <c r="Q150" s="38" t="str">
        <f>IF($A150="","",MAX(0.001,'KT THAN'!$C$32*ABS(J150)/MAX(1,H150)))</f>
        <v/>
      </c>
      <c r="R150" s="38" t="str">
        <f>IF($A150="","",MAX(0.001,'KT THAN'!$D$32*ABS(I150)/MAX(1,H150)))</f>
        <v/>
      </c>
      <c r="S150" t="str">
        <f t="shared" si="30"/>
        <v/>
      </c>
    </row>
    <row r="151" spans="1:19" hidden="1" outlineLevel="1" x14ac:dyDescent="0.3">
      <c r="A151" s="37" t="str">
        <f>IF('TO HOP NLAN'!$A17="","",'TO HOP NLAN'!$A17)</f>
        <v/>
      </c>
      <c r="B151" s="38" t="str">
        <f>IF($A151="","",'TO HOP NLAN'!$D17)</f>
        <v/>
      </c>
      <c r="C151" s="38" t="str">
        <f>IF($A151="","",'TO HOP NLAN'!$E17)</f>
        <v/>
      </c>
      <c r="D151" s="38" t="str">
        <f>IF($A151="","",'TO HOP NLAN'!$F17)</f>
        <v/>
      </c>
      <c r="E151" s="38" t="str">
        <f>IF($A151="","",'TO HOP NLAN'!$B17)</f>
        <v/>
      </c>
      <c r="F151" s="38" t="str">
        <f>IF($A151="","",'TO HOP NLAN'!$C17)</f>
        <v/>
      </c>
      <c r="G151" s="38" t="str">
        <f t="shared" si="31"/>
        <v/>
      </c>
      <c r="H151" s="38" t="str">
        <f t="shared" si="24"/>
        <v/>
      </c>
      <c r="I151" s="38" t="str">
        <f t="shared" si="32"/>
        <v/>
      </c>
      <c r="J151" s="38" t="str">
        <f t="shared" si="33"/>
        <v/>
      </c>
      <c r="K151" s="38" t="str">
        <f t="shared" si="34"/>
        <v/>
      </c>
      <c r="L151" s="38" t="str">
        <f t="shared" si="35"/>
        <v/>
      </c>
      <c r="M151" s="38" t="str">
        <f>IF($A151="","",IF(H151=0,"",IF(Q151&lt;=0.000000001,MIN(0.8*0.75*'KT THAN'!$C$62,MAX('KT THAN'!$J$38:$J$58)),IFERROR(MIN(0.8*0.75*'KT THAN'!$C$62,INDEX('KT THAN'!$J$38:$J$58,MATCH(Q151,'KT THAN'!$L$38:$L$58,-1))+(INDEX('KT THAN'!$J$38:$J$58,MIN(21,MATCH(Q151,'KT THAN'!$L$38:$L$58,-1)+1))-INDEX('KT THAN'!$J$38:$J$58,MATCH(Q151,'KT THAN'!$L$38:$L$58,-1)))*(Q151-INDEX('KT THAN'!$L$38:$L$58,MATCH(Q151,'KT THAN'!$L$38:$L$58,-1)))/(INDEX('KT THAN'!$L$38:$L$58,MIN(21,MATCH(Q151,'KT THAN'!$L$38:$L$58,-1)+1))-INDEX('KT THAN'!$L$38:$L$58,MATCH(Q151,'KT THAN'!$L$38:$L$58,-1)))),MIN(0.8*0.75*'KT THAN'!$C$62,'KT THAN'!$C$68/Q151)))))</f>
        <v/>
      </c>
      <c r="N151" s="38" t="str">
        <f>IF($A151="","",IF(H151=0,"",IF(R151&lt;=0.000000001,MIN(0.8*0.75*'KT THAN'!$C$62,MAX('KT THAN'!$W$38:$W$58)),IFERROR(MIN(0.8*0.75*'KT THAN'!$C$62,INDEX('KT THAN'!$W$38:$W$58,MATCH(R151,'KT THAN'!$Y$38:$Y$58,-1))+(INDEX('KT THAN'!$W$38:$W$58,MIN(21,MATCH(R151,'KT THAN'!$Y$38:$Y$58,-1)+1))-INDEX('KT THAN'!$W$38:$W$58,MATCH(R151,'KT THAN'!$Y$38:$Y$58,-1)))*(R151-INDEX('KT THAN'!$Y$38:$Y$58,MATCH(R151,'KT THAN'!$Y$38:$Y$58,-1)))/(INDEX('KT THAN'!$Y$38:$Y$58,MIN(21,MATCH(R151,'KT THAN'!$Y$38:$Y$58,-1)+1))-INDEX('KT THAN'!$Y$38:$Y$58,MATCH(R151,'KT THAN'!$Y$38:$Y$58,-1)))),MIN(0.8*0.75*'KT THAN'!$C$62,'KT THAN'!$D$68/R151)))))</f>
        <v/>
      </c>
      <c r="O151" s="38" t="str">
        <f>IF($A151="","",IF(H151&lt;0,ABS(H151)/MAX('KT THAN'!$C$69,0.001)+'KT THAN'!$C$32*ABS(J151)/MAX('KT THAN'!$C$68,0.001)+'KT THAN'!$D$32*ABS(I151)/MAX('KT THAN'!$D$68,0.001),IF(OR(M151&lt;=0,N151&lt;=0),999,IF(H151&gt;=0.1*0.75*fc_*Agth*1000,H151/MAX(0.001,1/(1/M151+1/N151-1/(0.75*'KT THAN'!$C$62))),'KT THAN'!$C$32*ABS(J151)/MAX('KT THAN'!$C$68,0.001)+'KT THAN'!$D$32*ABS(I151)/MAX('KT THAN'!$D$68,0.001)))))</f>
        <v/>
      </c>
      <c r="P151" s="37" t="str">
        <f t="shared" si="36"/>
        <v/>
      </c>
      <c r="Q151" s="38" t="str">
        <f>IF($A151="","",MAX(0.001,'KT THAN'!$C$32*ABS(J151)/MAX(1,H151)))</f>
        <v/>
      </c>
      <c r="R151" s="38" t="str">
        <f>IF($A151="","",MAX(0.001,'KT THAN'!$D$32*ABS(I151)/MAX(1,H151)))</f>
        <v/>
      </c>
      <c r="S151" t="str">
        <f t="shared" si="30"/>
        <v/>
      </c>
    </row>
    <row r="152" spans="1:19" hidden="1" outlineLevel="1" x14ac:dyDescent="0.3">
      <c r="A152" s="37" t="str">
        <f>IF('TO HOP NLAN'!$A18="","",'TO HOP NLAN'!$A18)</f>
        <v/>
      </c>
      <c r="B152" s="38" t="str">
        <f>IF($A152="","",'TO HOP NLAN'!$D18)</f>
        <v/>
      </c>
      <c r="C152" s="38" t="str">
        <f>IF($A152="","",'TO HOP NLAN'!$E18)</f>
        <v/>
      </c>
      <c r="D152" s="38" t="str">
        <f>IF($A152="","",'TO HOP NLAN'!$F18)</f>
        <v/>
      </c>
      <c r="E152" s="38" t="str">
        <f>IF($A152="","",'TO HOP NLAN'!$B18)</f>
        <v/>
      </c>
      <c r="F152" s="38" t="str">
        <f>IF($A152="","",'TO HOP NLAN'!$C18)</f>
        <v/>
      </c>
      <c r="G152" s="38" t="str">
        <f t="shared" si="31"/>
        <v/>
      </c>
      <c r="H152" s="38" t="str">
        <f t="shared" si="24"/>
        <v/>
      </c>
      <c r="I152" s="38" t="str">
        <f t="shared" si="32"/>
        <v/>
      </c>
      <c r="J152" s="38" t="str">
        <f t="shared" si="33"/>
        <v/>
      </c>
      <c r="K152" s="38" t="str">
        <f t="shared" si="34"/>
        <v/>
      </c>
      <c r="L152" s="38" t="str">
        <f t="shared" si="35"/>
        <v/>
      </c>
      <c r="M152" s="38" t="str">
        <f>IF($A152="","",IF(H152=0,"",IF(Q152&lt;=0.000000001,MIN(0.8*0.75*'KT THAN'!$C$62,MAX('KT THAN'!$J$38:$J$58)),IFERROR(MIN(0.8*0.75*'KT THAN'!$C$62,INDEX('KT THAN'!$J$38:$J$58,MATCH(Q152,'KT THAN'!$L$38:$L$58,-1))+(INDEX('KT THAN'!$J$38:$J$58,MIN(21,MATCH(Q152,'KT THAN'!$L$38:$L$58,-1)+1))-INDEX('KT THAN'!$J$38:$J$58,MATCH(Q152,'KT THAN'!$L$38:$L$58,-1)))*(Q152-INDEX('KT THAN'!$L$38:$L$58,MATCH(Q152,'KT THAN'!$L$38:$L$58,-1)))/(INDEX('KT THAN'!$L$38:$L$58,MIN(21,MATCH(Q152,'KT THAN'!$L$38:$L$58,-1)+1))-INDEX('KT THAN'!$L$38:$L$58,MATCH(Q152,'KT THAN'!$L$38:$L$58,-1)))),MIN(0.8*0.75*'KT THAN'!$C$62,'KT THAN'!$C$68/Q152)))))</f>
        <v/>
      </c>
      <c r="N152" s="38" t="str">
        <f>IF($A152="","",IF(H152=0,"",IF(R152&lt;=0.000000001,MIN(0.8*0.75*'KT THAN'!$C$62,MAX('KT THAN'!$W$38:$W$58)),IFERROR(MIN(0.8*0.75*'KT THAN'!$C$62,INDEX('KT THAN'!$W$38:$W$58,MATCH(R152,'KT THAN'!$Y$38:$Y$58,-1))+(INDEX('KT THAN'!$W$38:$W$58,MIN(21,MATCH(R152,'KT THAN'!$Y$38:$Y$58,-1)+1))-INDEX('KT THAN'!$W$38:$W$58,MATCH(R152,'KT THAN'!$Y$38:$Y$58,-1)))*(R152-INDEX('KT THAN'!$Y$38:$Y$58,MATCH(R152,'KT THAN'!$Y$38:$Y$58,-1)))/(INDEX('KT THAN'!$Y$38:$Y$58,MIN(21,MATCH(R152,'KT THAN'!$Y$38:$Y$58,-1)+1))-INDEX('KT THAN'!$Y$38:$Y$58,MATCH(R152,'KT THAN'!$Y$38:$Y$58,-1)))),MIN(0.8*0.75*'KT THAN'!$C$62,'KT THAN'!$D$68/R152)))))</f>
        <v/>
      </c>
      <c r="O152" s="38" t="str">
        <f>IF($A152="","",IF(H152&lt;0,ABS(H152)/MAX('KT THAN'!$C$69,0.001)+'KT THAN'!$C$32*ABS(J152)/MAX('KT THAN'!$C$68,0.001)+'KT THAN'!$D$32*ABS(I152)/MAX('KT THAN'!$D$68,0.001),IF(OR(M152&lt;=0,N152&lt;=0),999,IF(H152&gt;=0.1*0.75*fc_*Agth*1000,H152/MAX(0.001,1/(1/M152+1/N152-1/(0.75*'KT THAN'!$C$62))),'KT THAN'!$C$32*ABS(J152)/MAX('KT THAN'!$C$68,0.001)+'KT THAN'!$D$32*ABS(I152)/MAX('KT THAN'!$D$68,0.001)))))</f>
        <v/>
      </c>
      <c r="P152" s="37" t="str">
        <f t="shared" si="36"/>
        <v/>
      </c>
      <c r="Q152" s="38" t="str">
        <f>IF($A152="","",MAX(0.001,'KT THAN'!$C$32*ABS(J152)/MAX(1,H152)))</f>
        <v/>
      </c>
      <c r="R152" s="38" t="str">
        <f>IF($A152="","",MAX(0.001,'KT THAN'!$D$32*ABS(I152)/MAX(1,H152)))</f>
        <v/>
      </c>
      <c r="S152" t="str">
        <f t="shared" si="30"/>
        <v/>
      </c>
    </row>
    <row r="153" spans="1:19" hidden="1" outlineLevel="1" x14ac:dyDescent="0.3">
      <c r="A153" s="37" t="str">
        <f>IF('TO HOP NLAN'!$A19="","",'TO HOP NLAN'!$A19)</f>
        <v/>
      </c>
      <c r="B153" s="38" t="str">
        <f>IF($A153="","",'TO HOP NLAN'!$D19)</f>
        <v/>
      </c>
      <c r="C153" s="38" t="str">
        <f>IF($A153="","",'TO HOP NLAN'!$E19)</f>
        <v/>
      </c>
      <c r="D153" s="38" t="str">
        <f>IF($A153="","",'TO HOP NLAN'!$F19)</f>
        <v/>
      </c>
      <c r="E153" s="38" t="str">
        <f>IF($A153="","",'TO HOP NLAN'!$B19)</f>
        <v/>
      </c>
      <c r="F153" s="38" t="str">
        <f>IF($A153="","",'TO HOP NLAN'!$C19)</f>
        <v/>
      </c>
      <c r="G153" s="38" t="str">
        <f t="shared" si="31"/>
        <v/>
      </c>
      <c r="H153" s="38" t="str">
        <f t="shared" si="24"/>
        <v/>
      </c>
      <c r="I153" s="38" t="str">
        <f t="shared" si="32"/>
        <v/>
      </c>
      <c r="J153" s="38" t="str">
        <f t="shared" si="33"/>
        <v/>
      </c>
      <c r="K153" s="38" t="str">
        <f t="shared" si="34"/>
        <v/>
      </c>
      <c r="L153" s="38" t="str">
        <f t="shared" si="35"/>
        <v/>
      </c>
      <c r="M153" s="38" t="str">
        <f>IF($A153="","",IF(H153=0,"",IF(Q153&lt;=0.000000001,MIN(0.8*0.75*'KT THAN'!$C$62,MAX('KT THAN'!$J$38:$J$58)),IFERROR(MIN(0.8*0.75*'KT THAN'!$C$62,INDEX('KT THAN'!$J$38:$J$58,MATCH(Q153,'KT THAN'!$L$38:$L$58,-1))+(INDEX('KT THAN'!$J$38:$J$58,MIN(21,MATCH(Q153,'KT THAN'!$L$38:$L$58,-1)+1))-INDEX('KT THAN'!$J$38:$J$58,MATCH(Q153,'KT THAN'!$L$38:$L$58,-1)))*(Q153-INDEX('KT THAN'!$L$38:$L$58,MATCH(Q153,'KT THAN'!$L$38:$L$58,-1)))/(INDEX('KT THAN'!$L$38:$L$58,MIN(21,MATCH(Q153,'KT THAN'!$L$38:$L$58,-1)+1))-INDEX('KT THAN'!$L$38:$L$58,MATCH(Q153,'KT THAN'!$L$38:$L$58,-1)))),MIN(0.8*0.75*'KT THAN'!$C$62,'KT THAN'!$C$68/Q153)))))</f>
        <v/>
      </c>
      <c r="N153" s="38" t="str">
        <f>IF($A153="","",IF(H153=0,"",IF(R153&lt;=0.000000001,MIN(0.8*0.75*'KT THAN'!$C$62,MAX('KT THAN'!$W$38:$W$58)),IFERROR(MIN(0.8*0.75*'KT THAN'!$C$62,INDEX('KT THAN'!$W$38:$W$58,MATCH(R153,'KT THAN'!$Y$38:$Y$58,-1))+(INDEX('KT THAN'!$W$38:$W$58,MIN(21,MATCH(R153,'KT THAN'!$Y$38:$Y$58,-1)+1))-INDEX('KT THAN'!$W$38:$W$58,MATCH(R153,'KT THAN'!$Y$38:$Y$58,-1)))*(R153-INDEX('KT THAN'!$Y$38:$Y$58,MATCH(R153,'KT THAN'!$Y$38:$Y$58,-1)))/(INDEX('KT THAN'!$Y$38:$Y$58,MIN(21,MATCH(R153,'KT THAN'!$Y$38:$Y$58,-1)+1))-INDEX('KT THAN'!$Y$38:$Y$58,MATCH(R153,'KT THAN'!$Y$38:$Y$58,-1)))),MIN(0.8*0.75*'KT THAN'!$C$62,'KT THAN'!$D$68/R153)))))</f>
        <v/>
      </c>
      <c r="O153" s="38" t="str">
        <f>IF($A153="","",IF(H153&lt;0,ABS(H153)/MAX('KT THAN'!$C$69,0.001)+'KT THAN'!$C$32*ABS(J153)/MAX('KT THAN'!$C$68,0.001)+'KT THAN'!$D$32*ABS(I153)/MAX('KT THAN'!$D$68,0.001),IF(OR(M153&lt;=0,N153&lt;=0),999,IF(H153&gt;=0.1*0.75*fc_*Agth*1000,H153/MAX(0.001,1/(1/M153+1/N153-1/(0.75*'KT THAN'!$C$62))),'KT THAN'!$C$32*ABS(J153)/MAX('KT THAN'!$C$68,0.001)+'KT THAN'!$D$32*ABS(I153)/MAX('KT THAN'!$D$68,0.001)))))</f>
        <v/>
      </c>
      <c r="P153" s="37" t="str">
        <f t="shared" si="36"/>
        <v/>
      </c>
      <c r="Q153" s="38" t="str">
        <f>IF($A153="","",MAX(0.001,'KT THAN'!$C$32*ABS(J153)/MAX(1,H153)))</f>
        <v/>
      </c>
      <c r="R153" s="38" t="str">
        <f>IF($A153="","",MAX(0.001,'KT THAN'!$D$32*ABS(I153)/MAX(1,H153)))</f>
        <v/>
      </c>
      <c r="S153" t="str">
        <f t="shared" si="30"/>
        <v/>
      </c>
    </row>
    <row r="154" spans="1:19" hidden="1" outlineLevel="1" x14ac:dyDescent="0.3">
      <c r="A154" s="37" t="str">
        <f>IF('TO HOP NLAN'!$A20="","",'TO HOP NLAN'!$A20)</f>
        <v/>
      </c>
      <c r="B154" s="38" t="str">
        <f>IF($A154="","",'TO HOP NLAN'!$D20)</f>
        <v/>
      </c>
      <c r="C154" s="38" t="str">
        <f>IF($A154="","",'TO HOP NLAN'!$E20)</f>
        <v/>
      </c>
      <c r="D154" s="38" t="str">
        <f>IF($A154="","",'TO HOP NLAN'!$F20)</f>
        <v/>
      </c>
      <c r="E154" s="38" t="str">
        <f>IF($A154="","",'TO HOP NLAN'!$B20)</f>
        <v/>
      </c>
      <c r="F154" s="38" t="str">
        <f>IF($A154="","",'TO HOP NLAN'!$C20)</f>
        <v/>
      </c>
      <c r="G154" s="38" t="str">
        <f t="shared" si="31"/>
        <v/>
      </c>
      <c r="H154" s="38" t="str">
        <f t="shared" si="24"/>
        <v/>
      </c>
      <c r="I154" s="38" t="str">
        <f t="shared" si="32"/>
        <v/>
      </c>
      <c r="J154" s="38" t="str">
        <f t="shared" si="33"/>
        <v/>
      </c>
      <c r="K154" s="38" t="str">
        <f t="shared" si="34"/>
        <v/>
      </c>
      <c r="L154" s="38" t="str">
        <f t="shared" si="35"/>
        <v/>
      </c>
      <c r="M154" s="38" t="str">
        <f>IF($A154="","",IF(H154=0,"",IF(Q154&lt;=0.000000001,MIN(0.8*0.75*'KT THAN'!$C$62,MAX('KT THAN'!$J$38:$J$58)),IFERROR(MIN(0.8*0.75*'KT THAN'!$C$62,INDEX('KT THAN'!$J$38:$J$58,MATCH(Q154,'KT THAN'!$L$38:$L$58,-1))+(INDEX('KT THAN'!$J$38:$J$58,MIN(21,MATCH(Q154,'KT THAN'!$L$38:$L$58,-1)+1))-INDEX('KT THAN'!$J$38:$J$58,MATCH(Q154,'KT THAN'!$L$38:$L$58,-1)))*(Q154-INDEX('KT THAN'!$L$38:$L$58,MATCH(Q154,'KT THAN'!$L$38:$L$58,-1)))/(INDEX('KT THAN'!$L$38:$L$58,MIN(21,MATCH(Q154,'KT THAN'!$L$38:$L$58,-1)+1))-INDEX('KT THAN'!$L$38:$L$58,MATCH(Q154,'KT THAN'!$L$38:$L$58,-1)))),MIN(0.8*0.75*'KT THAN'!$C$62,'KT THAN'!$C$68/Q154)))))</f>
        <v/>
      </c>
      <c r="N154" s="38" t="str">
        <f>IF($A154="","",IF(H154=0,"",IF(R154&lt;=0.000000001,MIN(0.8*0.75*'KT THAN'!$C$62,MAX('KT THAN'!$W$38:$W$58)),IFERROR(MIN(0.8*0.75*'KT THAN'!$C$62,INDEX('KT THAN'!$W$38:$W$58,MATCH(R154,'KT THAN'!$Y$38:$Y$58,-1))+(INDEX('KT THAN'!$W$38:$W$58,MIN(21,MATCH(R154,'KT THAN'!$Y$38:$Y$58,-1)+1))-INDEX('KT THAN'!$W$38:$W$58,MATCH(R154,'KT THAN'!$Y$38:$Y$58,-1)))*(R154-INDEX('KT THAN'!$Y$38:$Y$58,MATCH(R154,'KT THAN'!$Y$38:$Y$58,-1)))/(INDEX('KT THAN'!$Y$38:$Y$58,MIN(21,MATCH(R154,'KT THAN'!$Y$38:$Y$58,-1)+1))-INDEX('KT THAN'!$Y$38:$Y$58,MATCH(R154,'KT THAN'!$Y$38:$Y$58,-1)))),MIN(0.8*0.75*'KT THAN'!$C$62,'KT THAN'!$D$68/R154)))))</f>
        <v/>
      </c>
      <c r="O154" s="38" t="str">
        <f>IF($A154="","",IF(H154&lt;0,ABS(H154)/MAX('KT THAN'!$C$69,0.001)+'KT THAN'!$C$32*ABS(J154)/MAX('KT THAN'!$C$68,0.001)+'KT THAN'!$D$32*ABS(I154)/MAX('KT THAN'!$D$68,0.001),IF(OR(M154&lt;=0,N154&lt;=0),999,IF(H154&gt;=0.1*0.75*fc_*Agth*1000,H154/MAX(0.001,1/(1/M154+1/N154-1/(0.75*'KT THAN'!$C$62))),'KT THAN'!$C$32*ABS(J154)/MAX('KT THAN'!$C$68,0.001)+'KT THAN'!$D$32*ABS(I154)/MAX('KT THAN'!$D$68,0.001)))))</f>
        <v/>
      </c>
      <c r="P154" s="37" t="str">
        <f t="shared" si="36"/>
        <v/>
      </c>
      <c r="Q154" s="38" t="str">
        <f>IF($A154="","",MAX(0.001,'KT THAN'!$C$32*ABS(J154)/MAX(1,H154)))</f>
        <v/>
      </c>
      <c r="R154" s="38" t="str">
        <f>IF($A154="","",MAX(0.001,'KT THAN'!$D$32*ABS(I154)/MAX(1,H154)))</f>
        <v/>
      </c>
      <c r="S154" t="str">
        <f t="shared" si="30"/>
        <v/>
      </c>
    </row>
    <row r="155" spans="1:19" hidden="1" outlineLevel="1" x14ac:dyDescent="0.3">
      <c r="A155" s="37" t="str">
        <f>IF('TO HOP NLAN'!$A21="","",'TO HOP NLAN'!$A21)</f>
        <v/>
      </c>
      <c r="B155" s="38" t="str">
        <f>IF($A155="","",'TO HOP NLAN'!$D21)</f>
        <v/>
      </c>
      <c r="C155" s="38" t="str">
        <f>IF($A155="","",'TO HOP NLAN'!$E21)</f>
        <v/>
      </c>
      <c r="D155" s="38" t="str">
        <f>IF($A155="","",'TO HOP NLAN'!$F21)</f>
        <v/>
      </c>
      <c r="E155" s="38" t="str">
        <f>IF($A155="","",'TO HOP NLAN'!$B21)</f>
        <v/>
      </c>
      <c r="F155" s="38" t="str">
        <f>IF($A155="","",'TO HOP NLAN'!$C21)</f>
        <v/>
      </c>
      <c r="G155" s="38" t="str">
        <f t="shared" si="31"/>
        <v/>
      </c>
      <c r="H155" s="38" t="str">
        <f t="shared" si="24"/>
        <v/>
      </c>
      <c r="I155" s="38" t="str">
        <f t="shared" si="32"/>
        <v/>
      </c>
      <c r="J155" s="38" t="str">
        <f t="shared" si="33"/>
        <v/>
      </c>
      <c r="K155" s="38" t="str">
        <f t="shared" si="34"/>
        <v/>
      </c>
      <c r="L155" s="38" t="str">
        <f t="shared" si="35"/>
        <v/>
      </c>
      <c r="M155" s="38" t="str">
        <f>IF($A155="","",IF(H155=0,"",IF(Q155&lt;=0.000000001,MIN(0.8*0.75*'KT THAN'!$C$62,MAX('KT THAN'!$J$38:$J$58)),IFERROR(MIN(0.8*0.75*'KT THAN'!$C$62,INDEX('KT THAN'!$J$38:$J$58,MATCH(Q155,'KT THAN'!$L$38:$L$58,-1))+(INDEX('KT THAN'!$J$38:$J$58,MIN(21,MATCH(Q155,'KT THAN'!$L$38:$L$58,-1)+1))-INDEX('KT THAN'!$J$38:$J$58,MATCH(Q155,'KT THAN'!$L$38:$L$58,-1)))*(Q155-INDEX('KT THAN'!$L$38:$L$58,MATCH(Q155,'KT THAN'!$L$38:$L$58,-1)))/(INDEX('KT THAN'!$L$38:$L$58,MIN(21,MATCH(Q155,'KT THAN'!$L$38:$L$58,-1)+1))-INDEX('KT THAN'!$L$38:$L$58,MATCH(Q155,'KT THAN'!$L$38:$L$58,-1)))),MIN(0.8*0.75*'KT THAN'!$C$62,'KT THAN'!$C$68/Q155)))))</f>
        <v/>
      </c>
      <c r="N155" s="38" t="str">
        <f>IF($A155="","",IF(H155=0,"",IF(R155&lt;=0.000000001,MIN(0.8*0.75*'KT THAN'!$C$62,MAX('KT THAN'!$W$38:$W$58)),IFERROR(MIN(0.8*0.75*'KT THAN'!$C$62,INDEX('KT THAN'!$W$38:$W$58,MATCH(R155,'KT THAN'!$Y$38:$Y$58,-1))+(INDEX('KT THAN'!$W$38:$W$58,MIN(21,MATCH(R155,'KT THAN'!$Y$38:$Y$58,-1)+1))-INDEX('KT THAN'!$W$38:$W$58,MATCH(R155,'KT THAN'!$Y$38:$Y$58,-1)))*(R155-INDEX('KT THAN'!$Y$38:$Y$58,MATCH(R155,'KT THAN'!$Y$38:$Y$58,-1)))/(INDEX('KT THAN'!$Y$38:$Y$58,MIN(21,MATCH(R155,'KT THAN'!$Y$38:$Y$58,-1)+1))-INDEX('KT THAN'!$Y$38:$Y$58,MATCH(R155,'KT THAN'!$Y$38:$Y$58,-1)))),MIN(0.8*0.75*'KT THAN'!$C$62,'KT THAN'!$D$68/R155)))))</f>
        <v/>
      </c>
      <c r="O155" s="38" t="str">
        <f>IF($A155="","",IF(H155&lt;0,ABS(H155)/MAX('KT THAN'!$C$69,0.001)+'KT THAN'!$C$32*ABS(J155)/MAX('KT THAN'!$C$68,0.001)+'KT THAN'!$D$32*ABS(I155)/MAX('KT THAN'!$D$68,0.001),IF(OR(M155&lt;=0,N155&lt;=0),999,IF(H155&gt;=0.1*0.75*fc_*Agth*1000,H155/MAX(0.001,1/(1/M155+1/N155-1/(0.75*'KT THAN'!$C$62))),'KT THAN'!$C$32*ABS(J155)/MAX('KT THAN'!$C$68,0.001)+'KT THAN'!$D$32*ABS(I155)/MAX('KT THAN'!$D$68,0.001)))))</f>
        <v/>
      </c>
      <c r="P155" s="37" t="str">
        <f t="shared" si="36"/>
        <v/>
      </c>
      <c r="Q155" s="38" t="str">
        <f>IF($A155="","",MAX(0.001,'KT THAN'!$C$32*ABS(J155)/MAX(1,H155)))</f>
        <v/>
      </c>
      <c r="R155" s="38" t="str">
        <f>IF($A155="","",MAX(0.001,'KT THAN'!$D$32*ABS(I155)/MAX(1,H155)))</f>
        <v/>
      </c>
      <c r="S155" t="str">
        <f t="shared" si="30"/>
        <v/>
      </c>
    </row>
    <row r="156" spans="1:19" hidden="1" outlineLevel="1" x14ac:dyDescent="0.3">
      <c r="A156" s="37" t="str">
        <f>IF('TO HOP NLAN'!$A22="","",'TO HOP NLAN'!$A22)</f>
        <v/>
      </c>
      <c r="B156" s="38" t="str">
        <f>IF($A156="","",'TO HOP NLAN'!$D22)</f>
        <v/>
      </c>
      <c r="C156" s="38" t="str">
        <f>IF($A156="","",'TO HOP NLAN'!$E22)</f>
        <v/>
      </c>
      <c r="D156" s="38" t="str">
        <f>IF($A156="","",'TO HOP NLAN'!$F22)</f>
        <v/>
      </c>
      <c r="E156" s="38" t="str">
        <f>IF($A156="","",'TO HOP NLAN'!$B22)</f>
        <v/>
      </c>
      <c r="F156" s="38" t="str">
        <f>IF($A156="","",'TO HOP NLAN'!$C22)</f>
        <v/>
      </c>
      <c r="G156" s="38" t="str">
        <f t="shared" si="31"/>
        <v/>
      </c>
      <c r="H156" s="38" t="str">
        <f t="shared" si="24"/>
        <v/>
      </c>
      <c r="I156" s="38" t="str">
        <f t="shared" si="32"/>
        <v/>
      </c>
      <c r="J156" s="38" t="str">
        <f t="shared" si="33"/>
        <v/>
      </c>
      <c r="K156" s="38" t="str">
        <f t="shared" si="34"/>
        <v/>
      </c>
      <c r="L156" s="38" t="str">
        <f t="shared" si="35"/>
        <v/>
      </c>
      <c r="M156" s="38" t="str">
        <f>IF($A156="","",IF(H156=0,"",IF(Q156&lt;=0.000000001,MIN(0.8*0.75*'KT THAN'!$C$62,MAX('KT THAN'!$J$38:$J$58)),IFERROR(MIN(0.8*0.75*'KT THAN'!$C$62,INDEX('KT THAN'!$J$38:$J$58,MATCH(Q156,'KT THAN'!$L$38:$L$58,-1))+(INDEX('KT THAN'!$J$38:$J$58,MIN(21,MATCH(Q156,'KT THAN'!$L$38:$L$58,-1)+1))-INDEX('KT THAN'!$J$38:$J$58,MATCH(Q156,'KT THAN'!$L$38:$L$58,-1)))*(Q156-INDEX('KT THAN'!$L$38:$L$58,MATCH(Q156,'KT THAN'!$L$38:$L$58,-1)))/(INDEX('KT THAN'!$L$38:$L$58,MIN(21,MATCH(Q156,'KT THAN'!$L$38:$L$58,-1)+1))-INDEX('KT THAN'!$L$38:$L$58,MATCH(Q156,'KT THAN'!$L$38:$L$58,-1)))),MIN(0.8*0.75*'KT THAN'!$C$62,'KT THAN'!$C$68/Q156)))))</f>
        <v/>
      </c>
      <c r="N156" s="38" t="str">
        <f>IF($A156="","",IF(H156=0,"",IF(R156&lt;=0.000000001,MIN(0.8*0.75*'KT THAN'!$C$62,MAX('KT THAN'!$W$38:$W$58)),IFERROR(MIN(0.8*0.75*'KT THAN'!$C$62,INDEX('KT THAN'!$W$38:$W$58,MATCH(R156,'KT THAN'!$Y$38:$Y$58,-1))+(INDEX('KT THAN'!$W$38:$W$58,MIN(21,MATCH(R156,'KT THAN'!$Y$38:$Y$58,-1)+1))-INDEX('KT THAN'!$W$38:$W$58,MATCH(R156,'KT THAN'!$Y$38:$Y$58,-1)))*(R156-INDEX('KT THAN'!$Y$38:$Y$58,MATCH(R156,'KT THAN'!$Y$38:$Y$58,-1)))/(INDEX('KT THAN'!$Y$38:$Y$58,MIN(21,MATCH(R156,'KT THAN'!$Y$38:$Y$58,-1)+1))-INDEX('KT THAN'!$Y$38:$Y$58,MATCH(R156,'KT THAN'!$Y$38:$Y$58,-1)))),MIN(0.8*0.75*'KT THAN'!$C$62,'KT THAN'!$D$68/R156)))))</f>
        <v/>
      </c>
      <c r="O156" s="38" t="str">
        <f>IF($A156="","",IF(H156&lt;0,ABS(H156)/MAX('KT THAN'!$C$69,0.001)+'KT THAN'!$C$32*ABS(J156)/MAX('KT THAN'!$C$68,0.001)+'KT THAN'!$D$32*ABS(I156)/MAX('KT THAN'!$D$68,0.001),IF(OR(M156&lt;=0,N156&lt;=0),999,IF(H156&gt;=0.1*0.75*fc_*Agth*1000,H156/MAX(0.001,1/(1/M156+1/N156-1/(0.75*'KT THAN'!$C$62))),'KT THAN'!$C$32*ABS(J156)/MAX('KT THAN'!$C$68,0.001)+'KT THAN'!$D$32*ABS(I156)/MAX('KT THAN'!$D$68,0.001)))))</f>
        <v/>
      </c>
      <c r="P156" s="37" t="str">
        <f t="shared" si="36"/>
        <v/>
      </c>
      <c r="Q156" s="38" t="str">
        <f>IF($A156="","",MAX(0.001,'KT THAN'!$C$32*ABS(J156)/MAX(1,H156)))</f>
        <v/>
      </c>
      <c r="R156" s="38" t="str">
        <f>IF($A156="","",MAX(0.001,'KT THAN'!$D$32*ABS(I156)/MAX(1,H156)))</f>
        <v/>
      </c>
      <c r="S156" t="str">
        <f t="shared" si="30"/>
        <v/>
      </c>
    </row>
    <row r="157" spans="1:19" hidden="1" outlineLevel="1" x14ac:dyDescent="0.3">
      <c r="A157" s="37" t="str">
        <f>IF('TO HOP NLAN'!$A23="","",'TO HOP NLAN'!$A23)</f>
        <v/>
      </c>
      <c r="B157" s="38" t="str">
        <f>IF($A157="","",'TO HOP NLAN'!$D23)</f>
        <v/>
      </c>
      <c r="C157" s="38" t="str">
        <f>IF($A157="","",'TO HOP NLAN'!$E23)</f>
        <v/>
      </c>
      <c r="D157" s="38" t="str">
        <f>IF($A157="","",'TO HOP NLAN'!$F23)</f>
        <v/>
      </c>
      <c r="E157" s="38" t="str">
        <f>IF($A157="","",'TO HOP NLAN'!$B23)</f>
        <v/>
      </c>
      <c r="F157" s="38" t="str">
        <f>IF($A157="","",'TO HOP NLAN'!$C23)</f>
        <v/>
      </c>
      <c r="G157" s="38" t="str">
        <f t="shared" si="31"/>
        <v/>
      </c>
      <c r="H157" s="38" t="str">
        <f t="shared" si="24"/>
        <v/>
      </c>
      <c r="I157" s="38" t="str">
        <f t="shared" si="32"/>
        <v/>
      </c>
      <c r="J157" s="38" t="str">
        <f t="shared" si="33"/>
        <v/>
      </c>
      <c r="K157" s="38" t="str">
        <f t="shared" si="34"/>
        <v/>
      </c>
      <c r="L157" s="38" t="str">
        <f t="shared" si="35"/>
        <v/>
      </c>
      <c r="M157" s="38" t="str">
        <f>IF($A157="","",IF(H157=0,"",IF(Q157&lt;=0.000000001,MIN(0.8*0.75*'KT THAN'!$C$62,MAX('KT THAN'!$J$38:$J$58)),IFERROR(MIN(0.8*0.75*'KT THAN'!$C$62,INDEX('KT THAN'!$J$38:$J$58,MATCH(Q157,'KT THAN'!$L$38:$L$58,-1))+(INDEX('KT THAN'!$J$38:$J$58,MIN(21,MATCH(Q157,'KT THAN'!$L$38:$L$58,-1)+1))-INDEX('KT THAN'!$J$38:$J$58,MATCH(Q157,'KT THAN'!$L$38:$L$58,-1)))*(Q157-INDEX('KT THAN'!$L$38:$L$58,MATCH(Q157,'KT THAN'!$L$38:$L$58,-1)))/(INDEX('KT THAN'!$L$38:$L$58,MIN(21,MATCH(Q157,'KT THAN'!$L$38:$L$58,-1)+1))-INDEX('KT THAN'!$L$38:$L$58,MATCH(Q157,'KT THAN'!$L$38:$L$58,-1)))),MIN(0.8*0.75*'KT THAN'!$C$62,'KT THAN'!$C$68/Q157)))))</f>
        <v/>
      </c>
      <c r="N157" s="38" t="str">
        <f>IF($A157="","",IF(H157=0,"",IF(R157&lt;=0.000000001,MIN(0.8*0.75*'KT THAN'!$C$62,MAX('KT THAN'!$W$38:$W$58)),IFERROR(MIN(0.8*0.75*'KT THAN'!$C$62,INDEX('KT THAN'!$W$38:$W$58,MATCH(R157,'KT THAN'!$Y$38:$Y$58,-1))+(INDEX('KT THAN'!$W$38:$W$58,MIN(21,MATCH(R157,'KT THAN'!$Y$38:$Y$58,-1)+1))-INDEX('KT THAN'!$W$38:$W$58,MATCH(R157,'KT THAN'!$Y$38:$Y$58,-1)))*(R157-INDEX('KT THAN'!$Y$38:$Y$58,MATCH(R157,'KT THAN'!$Y$38:$Y$58,-1)))/(INDEX('KT THAN'!$Y$38:$Y$58,MIN(21,MATCH(R157,'KT THAN'!$Y$38:$Y$58,-1)+1))-INDEX('KT THAN'!$Y$38:$Y$58,MATCH(R157,'KT THAN'!$Y$38:$Y$58,-1)))),MIN(0.8*0.75*'KT THAN'!$C$62,'KT THAN'!$D$68/R157)))))</f>
        <v/>
      </c>
      <c r="O157" s="38" t="str">
        <f>IF($A157="","",IF(H157&lt;0,ABS(H157)/MAX('KT THAN'!$C$69,0.001)+'KT THAN'!$C$32*ABS(J157)/MAX('KT THAN'!$C$68,0.001)+'KT THAN'!$D$32*ABS(I157)/MAX('KT THAN'!$D$68,0.001),IF(OR(M157&lt;=0,N157&lt;=0),999,IF(H157&gt;=0.1*0.75*fc_*Agth*1000,H157/MAX(0.001,1/(1/M157+1/N157-1/(0.75*'KT THAN'!$C$62))),'KT THAN'!$C$32*ABS(J157)/MAX('KT THAN'!$C$68,0.001)+'KT THAN'!$D$32*ABS(I157)/MAX('KT THAN'!$D$68,0.001)))))</f>
        <v/>
      </c>
      <c r="P157" s="37" t="str">
        <f t="shared" si="36"/>
        <v/>
      </c>
      <c r="Q157" s="38" t="str">
        <f>IF($A157="","",MAX(0.001,'KT THAN'!$C$32*ABS(J157)/MAX(1,H157)))</f>
        <v/>
      </c>
      <c r="R157" s="38" t="str">
        <f>IF($A157="","",MAX(0.001,'KT THAN'!$D$32*ABS(I157)/MAX(1,H157)))</f>
        <v/>
      </c>
      <c r="S157" t="str">
        <f t="shared" si="30"/>
        <v/>
      </c>
    </row>
    <row r="158" spans="1:19" hidden="1" outlineLevel="1" x14ac:dyDescent="0.3">
      <c r="A158" s="37" t="str">
        <f>IF('TO HOP NLAN'!$A24="","",'TO HOP NLAN'!$A24)</f>
        <v/>
      </c>
      <c r="B158" s="38" t="str">
        <f>IF($A158="","",'TO HOP NLAN'!$D24)</f>
        <v/>
      </c>
      <c r="C158" s="38" t="str">
        <f>IF($A158="","",'TO HOP NLAN'!$E24)</f>
        <v/>
      </c>
      <c r="D158" s="38" t="str">
        <f>IF($A158="","",'TO HOP NLAN'!$F24)</f>
        <v/>
      </c>
      <c r="E158" s="38" t="str">
        <f>IF($A158="","",'TO HOP NLAN'!$B24)</f>
        <v/>
      </c>
      <c r="F158" s="38" t="str">
        <f>IF($A158="","",'TO HOP NLAN'!$C24)</f>
        <v/>
      </c>
      <c r="G158" s="38" t="str">
        <f t="shared" si="31"/>
        <v/>
      </c>
      <c r="H158" s="38" t="str">
        <f t="shared" si="24"/>
        <v/>
      </c>
      <c r="I158" s="38" t="str">
        <f t="shared" si="32"/>
        <v/>
      </c>
      <c r="J158" s="38" t="str">
        <f t="shared" si="33"/>
        <v/>
      </c>
      <c r="K158" s="38" t="str">
        <f t="shared" si="34"/>
        <v/>
      </c>
      <c r="L158" s="38" t="str">
        <f t="shared" si="35"/>
        <v/>
      </c>
      <c r="M158" s="38" t="str">
        <f>IF($A158="","",IF(H158=0,"",IF(Q158&lt;=0.000000001,MIN(0.8*0.75*'KT THAN'!$C$62,MAX('KT THAN'!$J$38:$J$58)),IFERROR(MIN(0.8*0.75*'KT THAN'!$C$62,INDEX('KT THAN'!$J$38:$J$58,MATCH(Q158,'KT THAN'!$L$38:$L$58,-1))+(INDEX('KT THAN'!$J$38:$J$58,MIN(21,MATCH(Q158,'KT THAN'!$L$38:$L$58,-1)+1))-INDEX('KT THAN'!$J$38:$J$58,MATCH(Q158,'KT THAN'!$L$38:$L$58,-1)))*(Q158-INDEX('KT THAN'!$L$38:$L$58,MATCH(Q158,'KT THAN'!$L$38:$L$58,-1)))/(INDEX('KT THAN'!$L$38:$L$58,MIN(21,MATCH(Q158,'KT THAN'!$L$38:$L$58,-1)+1))-INDEX('KT THAN'!$L$38:$L$58,MATCH(Q158,'KT THAN'!$L$38:$L$58,-1)))),MIN(0.8*0.75*'KT THAN'!$C$62,'KT THAN'!$C$68/Q158)))))</f>
        <v/>
      </c>
      <c r="N158" s="38" t="str">
        <f>IF($A158="","",IF(H158=0,"",IF(R158&lt;=0.000000001,MIN(0.8*0.75*'KT THAN'!$C$62,MAX('KT THAN'!$W$38:$W$58)),IFERROR(MIN(0.8*0.75*'KT THAN'!$C$62,INDEX('KT THAN'!$W$38:$W$58,MATCH(R158,'KT THAN'!$Y$38:$Y$58,-1))+(INDEX('KT THAN'!$W$38:$W$58,MIN(21,MATCH(R158,'KT THAN'!$Y$38:$Y$58,-1)+1))-INDEX('KT THAN'!$W$38:$W$58,MATCH(R158,'KT THAN'!$Y$38:$Y$58,-1)))*(R158-INDEX('KT THAN'!$Y$38:$Y$58,MATCH(R158,'KT THAN'!$Y$38:$Y$58,-1)))/(INDEX('KT THAN'!$Y$38:$Y$58,MIN(21,MATCH(R158,'KT THAN'!$Y$38:$Y$58,-1)+1))-INDEX('KT THAN'!$Y$38:$Y$58,MATCH(R158,'KT THAN'!$Y$38:$Y$58,-1)))),MIN(0.8*0.75*'KT THAN'!$C$62,'KT THAN'!$D$68/R158)))))</f>
        <v/>
      </c>
      <c r="O158" s="38" t="str">
        <f>IF($A158="","",IF(H158&lt;0,ABS(H158)/MAX('KT THAN'!$C$69,0.001)+'KT THAN'!$C$32*ABS(J158)/MAX('KT THAN'!$C$68,0.001)+'KT THAN'!$D$32*ABS(I158)/MAX('KT THAN'!$D$68,0.001),IF(OR(M158&lt;=0,N158&lt;=0),999,IF(H158&gt;=0.1*0.75*fc_*Agth*1000,H158/MAX(0.001,1/(1/M158+1/N158-1/(0.75*'KT THAN'!$C$62))),'KT THAN'!$C$32*ABS(J158)/MAX('KT THAN'!$C$68,0.001)+'KT THAN'!$D$32*ABS(I158)/MAX('KT THAN'!$D$68,0.001)))))</f>
        <v/>
      </c>
      <c r="P158" s="37" t="str">
        <f t="shared" si="36"/>
        <v/>
      </c>
      <c r="Q158" s="38" t="str">
        <f>IF($A158="","",MAX(0.001,'KT THAN'!$C$32*ABS(J158)/MAX(1,H158)))</f>
        <v/>
      </c>
      <c r="R158" s="38" t="str">
        <f>IF($A158="","",MAX(0.001,'KT THAN'!$D$32*ABS(I158)/MAX(1,H158)))</f>
        <v/>
      </c>
      <c r="S158" t="str">
        <f t="shared" si="30"/>
        <v/>
      </c>
    </row>
    <row r="159" spans="1:19" hidden="1" outlineLevel="1" x14ac:dyDescent="0.3">
      <c r="A159" s="37" t="str">
        <f>IF('TO HOP NLAN'!$A25="","",'TO HOP NLAN'!$A25)</f>
        <v/>
      </c>
      <c r="B159" s="38" t="str">
        <f>IF($A159="","",'TO HOP NLAN'!$D25)</f>
        <v/>
      </c>
      <c r="C159" s="38" t="str">
        <f>IF($A159="","",'TO HOP NLAN'!$E25)</f>
        <v/>
      </c>
      <c r="D159" s="38" t="str">
        <f>IF($A159="","",'TO HOP NLAN'!$F25)</f>
        <v/>
      </c>
      <c r="E159" s="38" t="str">
        <f>IF($A159="","",'TO HOP NLAN'!$B25)</f>
        <v/>
      </c>
      <c r="F159" s="38" t="str">
        <f>IF($A159="","",'TO HOP NLAN'!$C25)</f>
        <v/>
      </c>
      <c r="G159" s="38" t="str">
        <f t="shared" si="31"/>
        <v/>
      </c>
      <c r="H159" s="38" t="str">
        <f t="shared" si="24"/>
        <v/>
      </c>
      <c r="I159" s="38" t="str">
        <f t="shared" si="32"/>
        <v/>
      </c>
      <c r="J159" s="38" t="str">
        <f t="shared" si="33"/>
        <v/>
      </c>
      <c r="K159" s="38" t="str">
        <f t="shared" si="34"/>
        <v/>
      </c>
      <c r="L159" s="38" t="str">
        <f t="shared" si="35"/>
        <v/>
      </c>
      <c r="M159" s="38" t="str">
        <f>IF($A159="","",IF(H159=0,"",IF(Q159&lt;=0.000000001,MIN(0.8*0.75*'KT THAN'!$C$62,MAX('KT THAN'!$J$38:$J$58)),IFERROR(MIN(0.8*0.75*'KT THAN'!$C$62,INDEX('KT THAN'!$J$38:$J$58,MATCH(Q159,'KT THAN'!$L$38:$L$58,-1))+(INDEX('KT THAN'!$J$38:$J$58,MIN(21,MATCH(Q159,'KT THAN'!$L$38:$L$58,-1)+1))-INDEX('KT THAN'!$J$38:$J$58,MATCH(Q159,'KT THAN'!$L$38:$L$58,-1)))*(Q159-INDEX('KT THAN'!$L$38:$L$58,MATCH(Q159,'KT THAN'!$L$38:$L$58,-1)))/(INDEX('KT THAN'!$L$38:$L$58,MIN(21,MATCH(Q159,'KT THAN'!$L$38:$L$58,-1)+1))-INDEX('KT THAN'!$L$38:$L$58,MATCH(Q159,'KT THAN'!$L$38:$L$58,-1)))),MIN(0.8*0.75*'KT THAN'!$C$62,'KT THAN'!$C$68/Q159)))))</f>
        <v/>
      </c>
      <c r="N159" s="38" t="str">
        <f>IF($A159="","",IF(H159=0,"",IF(R159&lt;=0.000000001,MIN(0.8*0.75*'KT THAN'!$C$62,MAX('KT THAN'!$W$38:$W$58)),IFERROR(MIN(0.8*0.75*'KT THAN'!$C$62,INDEX('KT THAN'!$W$38:$W$58,MATCH(R159,'KT THAN'!$Y$38:$Y$58,-1))+(INDEX('KT THAN'!$W$38:$W$58,MIN(21,MATCH(R159,'KT THAN'!$Y$38:$Y$58,-1)+1))-INDEX('KT THAN'!$W$38:$W$58,MATCH(R159,'KT THAN'!$Y$38:$Y$58,-1)))*(R159-INDEX('KT THAN'!$Y$38:$Y$58,MATCH(R159,'KT THAN'!$Y$38:$Y$58,-1)))/(INDEX('KT THAN'!$Y$38:$Y$58,MIN(21,MATCH(R159,'KT THAN'!$Y$38:$Y$58,-1)+1))-INDEX('KT THAN'!$Y$38:$Y$58,MATCH(R159,'KT THAN'!$Y$38:$Y$58,-1)))),MIN(0.8*0.75*'KT THAN'!$C$62,'KT THAN'!$D$68/R159)))))</f>
        <v/>
      </c>
      <c r="O159" s="38" t="str">
        <f>IF($A159="","",IF(H159&lt;0,ABS(H159)/MAX('KT THAN'!$C$69,0.001)+'KT THAN'!$C$32*ABS(J159)/MAX('KT THAN'!$C$68,0.001)+'KT THAN'!$D$32*ABS(I159)/MAX('KT THAN'!$D$68,0.001),IF(OR(M159&lt;=0,N159&lt;=0),999,IF(H159&gt;=0.1*0.75*fc_*Agth*1000,H159/MAX(0.001,1/(1/M159+1/N159-1/(0.75*'KT THAN'!$C$62))),'KT THAN'!$C$32*ABS(J159)/MAX('KT THAN'!$C$68,0.001)+'KT THAN'!$D$32*ABS(I159)/MAX('KT THAN'!$D$68,0.001)))))</f>
        <v/>
      </c>
      <c r="P159" s="37" t="str">
        <f t="shared" si="36"/>
        <v/>
      </c>
      <c r="Q159" s="38" t="str">
        <f>IF($A159="","",MAX(0.001,'KT THAN'!$C$32*ABS(J159)/MAX(1,H159)))</f>
        <v/>
      </c>
      <c r="R159" s="38" t="str">
        <f>IF($A159="","",MAX(0.001,'KT THAN'!$D$32*ABS(I159)/MAX(1,H159)))</f>
        <v/>
      </c>
      <c r="S159" t="str">
        <f t="shared" si="30"/>
        <v/>
      </c>
    </row>
    <row r="160" spans="1:19" hidden="1" outlineLevel="1" x14ac:dyDescent="0.3">
      <c r="A160" s="37" t="str">
        <f>IF('TO HOP NLAN'!$A26="","",'TO HOP NLAN'!$A26)</f>
        <v/>
      </c>
      <c r="B160" s="38" t="str">
        <f>IF($A160="","",'TO HOP NLAN'!$D26)</f>
        <v/>
      </c>
      <c r="C160" s="38" t="str">
        <f>IF($A160="","",'TO HOP NLAN'!$E26)</f>
        <v/>
      </c>
      <c r="D160" s="38" t="str">
        <f>IF($A160="","",'TO HOP NLAN'!$F26)</f>
        <v/>
      </c>
      <c r="E160" s="38" t="str">
        <f>IF($A160="","",'TO HOP NLAN'!$B26)</f>
        <v/>
      </c>
      <c r="F160" s="38" t="str">
        <f>IF($A160="","",'TO HOP NLAN'!$C26)</f>
        <v/>
      </c>
      <c r="G160" s="38" t="str">
        <f t="shared" si="31"/>
        <v/>
      </c>
      <c r="H160" s="38" t="str">
        <f t="shared" si="24"/>
        <v/>
      </c>
      <c r="I160" s="38" t="str">
        <f t="shared" si="32"/>
        <v/>
      </c>
      <c r="J160" s="38" t="str">
        <f t="shared" si="33"/>
        <v/>
      </c>
      <c r="K160" s="38" t="str">
        <f t="shared" si="34"/>
        <v/>
      </c>
      <c r="L160" s="38" t="str">
        <f t="shared" si="35"/>
        <v/>
      </c>
      <c r="M160" s="38" t="str">
        <f>IF($A160="","",IF(H160=0,"",IF(Q160&lt;=0.000000001,MIN(0.8*0.75*'KT THAN'!$C$62,MAX('KT THAN'!$J$38:$J$58)),IFERROR(MIN(0.8*0.75*'KT THAN'!$C$62,INDEX('KT THAN'!$J$38:$J$58,MATCH(Q160,'KT THAN'!$L$38:$L$58,-1))+(INDEX('KT THAN'!$J$38:$J$58,MIN(21,MATCH(Q160,'KT THAN'!$L$38:$L$58,-1)+1))-INDEX('KT THAN'!$J$38:$J$58,MATCH(Q160,'KT THAN'!$L$38:$L$58,-1)))*(Q160-INDEX('KT THAN'!$L$38:$L$58,MATCH(Q160,'KT THAN'!$L$38:$L$58,-1)))/(INDEX('KT THAN'!$L$38:$L$58,MIN(21,MATCH(Q160,'KT THAN'!$L$38:$L$58,-1)+1))-INDEX('KT THAN'!$L$38:$L$58,MATCH(Q160,'KT THAN'!$L$38:$L$58,-1)))),MIN(0.8*0.75*'KT THAN'!$C$62,'KT THAN'!$C$68/Q160)))))</f>
        <v/>
      </c>
      <c r="N160" s="38" t="str">
        <f>IF($A160="","",IF(H160=0,"",IF(R160&lt;=0.000000001,MIN(0.8*0.75*'KT THAN'!$C$62,MAX('KT THAN'!$W$38:$W$58)),IFERROR(MIN(0.8*0.75*'KT THAN'!$C$62,INDEX('KT THAN'!$W$38:$W$58,MATCH(R160,'KT THAN'!$Y$38:$Y$58,-1))+(INDEX('KT THAN'!$W$38:$W$58,MIN(21,MATCH(R160,'KT THAN'!$Y$38:$Y$58,-1)+1))-INDEX('KT THAN'!$W$38:$W$58,MATCH(R160,'KT THAN'!$Y$38:$Y$58,-1)))*(R160-INDEX('KT THAN'!$Y$38:$Y$58,MATCH(R160,'KT THAN'!$Y$38:$Y$58,-1)))/(INDEX('KT THAN'!$Y$38:$Y$58,MIN(21,MATCH(R160,'KT THAN'!$Y$38:$Y$58,-1)+1))-INDEX('KT THAN'!$Y$38:$Y$58,MATCH(R160,'KT THAN'!$Y$38:$Y$58,-1)))),MIN(0.8*0.75*'KT THAN'!$C$62,'KT THAN'!$D$68/R160)))))</f>
        <v/>
      </c>
      <c r="O160" s="38" t="str">
        <f>IF($A160="","",IF(H160&lt;0,ABS(H160)/MAX('KT THAN'!$C$69,0.001)+'KT THAN'!$C$32*ABS(J160)/MAX('KT THAN'!$C$68,0.001)+'KT THAN'!$D$32*ABS(I160)/MAX('KT THAN'!$D$68,0.001),IF(OR(M160&lt;=0,N160&lt;=0),999,IF(H160&gt;=0.1*0.75*fc_*Agth*1000,H160/MAX(0.001,1/(1/M160+1/N160-1/(0.75*'KT THAN'!$C$62))),'KT THAN'!$C$32*ABS(J160)/MAX('KT THAN'!$C$68,0.001)+'KT THAN'!$D$32*ABS(I160)/MAX('KT THAN'!$D$68,0.001)))))</f>
        <v/>
      </c>
      <c r="P160" s="37" t="str">
        <f t="shared" si="36"/>
        <v/>
      </c>
      <c r="Q160" s="38" t="str">
        <f>IF($A160="","",MAX(0.001,'KT THAN'!$C$32*ABS(J160)/MAX(1,H160)))</f>
        <v/>
      </c>
      <c r="R160" s="38" t="str">
        <f>IF($A160="","",MAX(0.001,'KT THAN'!$D$32*ABS(I160)/MAX(1,H160)))</f>
        <v/>
      </c>
      <c r="S160" t="str">
        <f t="shared" si="30"/>
        <v/>
      </c>
    </row>
    <row r="161" spans="1:19" hidden="1" outlineLevel="1" x14ac:dyDescent="0.3">
      <c r="A161" s="37" t="str">
        <f>IF('TO HOP NLAN'!$A27="","",'TO HOP NLAN'!$A27)</f>
        <v/>
      </c>
      <c r="B161" s="38" t="str">
        <f>IF($A161="","",'TO HOP NLAN'!$D27)</f>
        <v/>
      </c>
      <c r="C161" s="38" t="str">
        <f>IF($A161="","",'TO HOP NLAN'!$E27)</f>
        <v/>
      </c>
      <c r="D161" s="38" t="str">
        <f>IF($A161="","",'TO HOP NLAN'!$F27)</f>
        <v/>
      </c>
      <c r="E161" s="38" t="str">
        <f>IF($A161="","",'TO HOP NLAN'!$B27)</f>
        <v/>
      </c>
      <c r="F161" s="38" t="str">
        <f>IF($A161="","",'TO HOP NLAN'!$C27)</f>
        <v/>
      </c>
      <c r="G161" s="38" t="str">
        <f t="shared" si="31"/>
        <v/>
      </c>
      <c r="H161" s="38" t="str">
        <f t="shared" si="24"/>
        <v/>
      </c>
      <c r="I161" s="38" t="str">
        <f t="shared" si="32"/>
        <v/>
      </c>
      <c r="J161" s="38" t="str">
        <f t="shared" si="33"/>
        <v/>
      </c>
      <c r="K161" s="38" t="str">
        <f t="shared" si="34"/>
        <v/>
      </c>
      <c r="L161" s="38" t="str">
        <f t="shared" si="35"/>
        <v/>
      </c>
      <c r="M161" s="38" t="str">
        <f>IF($A161="","",IF(H161=0,"",IF(Q161&lt;=0.000000001,MIN(0.8*0.75*'KT THAN'!$C$62,MAX('KT THAN'!$J$38:$J$58)),IFERROR(MIN(0.8*0.75*'KT THAN'!$C$62,INDEX('KT THAN'!$J$38:$J$58,MATCH(Q161,'KT THAN'!$L$38:$L$58,-1))+(INDEX('KT THAN'!$J$38:$J$58,MIN(21,MATCH(Q161,'KT THAN'!$L$38:$L$58,-1)+1))-INDEX('KT THAN'!$J$38:$J$58,MATCH(Q161,'KT THAN'!$L$38:$L$58,-1)))*(Q161-INDEX('KT THAN'!$L$38:$L$58,MATCH(Q161,'KT THAN'!$L$38:$L$58,-1)))/(INDEX('KT THAN'!$L$38:$L$58,MIN(21,MATCH(Q161,'KT THAN'!$L$38:$L$58,-1)+1))-INDEX('KT THAN'!$L$38:$L$58,MATCH(Q161,'KT THAN'!$L$38:$L$58,-1)))),MIN(0.8*0.75*'KT THAN'!$C$62,'KT THAN'!$C$68/Q161)))))</f>
        <v/>
      </c>
      <c r="N161" s="38" t="str">
        <f>IF($A161="","",IF(H161=0,"",IF(R161&lt;=0.000000001,MIN(0.8*0.75*'KT THAN'!$C$62,MAX('KT THAN'!$W$38:$W$58)),IFERROR(MIN(0.8*0.75*'KT THAN'!$C$62,INDEX('KT THAN'!$W$38:$W$58,MATCH(R161,'KT THAN'!$Y$38:$Y$58,-1))+(INDEX('KT THAN'!$W$38:$W$58,MIN(21,MATCH(R161,'KT THAN'!$Y$38:$Y$58,-1)+1))-INDEX('KT THAN'!$W$38:$W$58,MATCH(R161,'KT THAN'!$Y$38:$Y$58,-1)))*(R161-INDEX('KT THAN'!$Y$38:$Y$58,MATCH(R161,'KT THAN'!$Y$38:$Y$58,-1)))/(INDEX('KT THAN'!$Y$38:$Y$58,MIN(21,MATCH(R161,'KT THAN'!$Y$38:$Y$58,-1)+1))-INDEX('KT THAN'!$Y$38:$Y$58,MATCH(R161,'KT THAN'!$Y$38:$Y$58,-1)))),MIN(0.8*0.75*'KT THAN'!$C$62,'KT THAN'!$D$68/R161)))))</f>
        <v/>
      </c>
      <c r="O161" s="38" t="str">
        <f>IF($A161="","",IF(H161&lt;0,ABS(H161)/MAX('KT THAN'!$C$69,0.001)+'KT THAN'!$C$32*ABS(J161)/MAX('KT THAN'!$C$68,0.001)+'KT THAN'!$D$32*ABS(I161)/MAX('KT THAN'!$D$68,0.001),IF(OR(M161&lt;=0,N161&lt;=0),999,IF(H161&gt;=0.1*0.75*fc_*Agth*1000,H161/MAX(0.001,1/(1/M161+1/N161-1/(0.75*'KT THAN'!$C$62))),'KT THAN'!$C$32*ABS(J161)/MAX('KT THAN'!$C$68,0.001)+'KT THAN'!$D$32*ABS(I161)/MAX('KT THAN'!$D$68,0.001)))))</f>
        <v/>
      </c>
      <c r="P161" s="37" t="str">
        <f t="shared" si="36"/>
        <v/>
      </c>
      <c r="Q161" s="38" t="str">
        <f>IF($A161="","",MAX(0.001,'KT THAN'!$C$32*ABS(J161)/MAX(1,H161)))</f>
        <v/>
      </c>
      <c r="R161" s="38" t="str">
        <f>IF($A161="","",MAX(0.001,'KT THAN'!$D$32*ABS(I161)/MAX(1,H161)))</f>
        <v/>
      </c>
      <c r="S161" t="str">
        <f t="shared" si="30"/>
        <v/>
      </c>
    </row>
    <row r="162" spans="1:19" hidden="1" outlineLevel="1" x14ac:dyDescent="0.3">
      <c r="A162" s="37" t="str">
        <f>IF('TO HOP NLAN'!$A28="","",'TO HOP NLAN'!$A28)</f>
        <v/>
      </c>
      <c r="B162" s="38" t="str">
        <f>IF($A162="","",'TO HOP NLAN'!$D28)</f>
        <v/>
      </c>
      <c r="C162" s="38" t="str">
        <f>IF($A162="","",'TO HOP NLAN'!$E28)</f>
        <v/>
      </c>
      <c r="D162" s="38" t="str">
        <f>IF($A162="","",'TO HOP NLAN'!$F28)</f>
        <v/>
      </c>
      <c r="E162" s="38" t="str">
        <f>IF($A162="","",'TO HOP NLAN'!$B28)</f>
        <v/>
      </c>
      <c r="F162" s="38" t="str">
        <f>IF($A162="","",'TO HOP NLAN'!$C28)</f>
        <v/>
      </c>
      <c r="G162" s="38" t="str">
        <f t="shared" si="31"/>
        <v/>
      </c>
      <c r="H162" s="38" t="str">
        <f t="shared" si="24"/>
        <v/>
      </c>
      <c r="I162" s="38" t="str">
        <f t="shared" si="32"/>
        <v/>
      </c>
      <c r="J162" s="38" t="str">
        <f t="shared" si="33"/>
        <v/>
      </c>
      <c r="K162" s="38" t="str">
        <f t="shared" si="34"/>
        <v/>
      </c>
      <c r="L162" s="38" t="str">
        <f t="shared" si="35"/>
        <v/>
      </c>
      <c r="M162" s="38" t="str">
        <f>IF($A162="","",IF(H162=0,"",IF(Q162&lt;=0.000000001,MIN(0.8*0.75*'KT THAN'!$C$62,MAX('KT THAN'!$J$38:$J$58)),IFERROR(MIN(0.8*0.75*'KT THAN'!$C$62,INDEX('KT THAN'!$J$38:$J$58,MATCH(Q162,'KT THAN'!$L$38:$L$58,-1))+(INDEX('KT THAN'!$J$38:$J$58,MIN(21,MATCH(Q162,'KT THAN'!$L$38:$L$58,-1)+1))-INDEX('KT THAN'!$J$38:$J$58,MATCH(Q162,'KT THAN'!$L$38:$L$58,-1)))*(Q162-INDEX('KT THAN'!$L$38:$L$58,MATCH(Q162,'KT THAN'!$L$38:$L$58,-1)))/(INDEX('KT THAN'!$L$38:$L$58,MIN(21,MATCH(Q162,'KT THAN'!$L$38:$L$58,-1)+1))-INDEX('KT THAN'!$L$38:$L$58,MATCH(Q162,'KT THAN'!$L$38:$L$58,-1)))),MIN(0.8*0.75*'KT THAN'!$C$62,'KT THAN'!$C$68/Q162)))))</f>
        <v/>
      </c>
      <c r="N162" s="38" t="str">
        <f>IF($A162="","",IF(H162=0,"",IF(R162&lt;=0.000000001,MIN(0.8*0.75*'KT THAN'!$C$62,MAX('KT THAN'!$W$38:$W$58)),IFERROR(MIN(0.8*0.75*'KT THAN'!$C$62,INDEX('KT THAN'!$W$38:$W$58,MATCH(R162,'KT THAN'!$Y$38:$Y$58,-1))+(INDEX('KT THAN'!$W$38:$W$58,MIN(21,MATCH(R162,'KT THAN'!$Y$38:$Y$58,-1)+1))-INDEX('KT THAN'!$W$38:$W$58,MATCH(R162,'KT THAN'!$Y$38:$Y$58,-1)))*(R162-INDEX('KT THAN'!$Y$38:$Y$58,MATCH(R162,'KT THAN'!$Y$38:$Y$58,-1)))/(INDEX('KT THAN'!$Y$38:$Y$58,MIN(21,MATCH(R162,'KT THAN'!$Y$38:$Y$58,-1)+1))-INDEX('KT THAN'!$Y$38:$Y$58,MATCH(R162,'KT THAN'!$Y$38:$Y$58,-1)))),MIN(0.8*0.75*'KT THAN'!$C$62,'KT THAN'!$D$68/R162)))))</f>
        <v/>
      </c>
      <c r="O162" s="38" t="str">
        <f>IF($A162="","",IF(H162&lt;0,ABS(H162)/MAX('KT THAN'!$C$69,0.001)+'KT THAN'!$C$32*ABS(J162)/MAX('KT THAN'!$C$68,0.001)+'KT THAN'!$D$32*ABS(I162)/MAX('KT THAN'!$D$68,0.001),IF(OR(M162&lt;=0,N162&lt;=0),999,IF(H162&gt;=0.1*0.75*fc_*Agth*1000,H162/MAX(0.001,1/(1/M162+1/N162-1/(0.75*'KT THAN'!$C$62))),'KT THAN'!$C$32*ABS(J162)/MAX('KT THAN'!$C$68,0.001)+'KT THAN'!$D$32*ABS(I162)/MAX('KT THAN'!$D$68,0.001)))))</f>
        <v/>
      </c>
      <c r="P162" s="37" t="str">
        <f t="shared" si="36"/>
        <v/>
      </c>
      <c r="Q162" s="38" t="str">
        <f>IF($A162="","",MAX(0.001,'KT THAN'!$C$32*ABS(J162)/MAX(1,H162)))</f>
        <v/>
      </c>
      <c r="R162" s="38" t="str">
        <f>IF($A162="","",MAX(0.001,'KT THAN'!$D$32*ABS(I162)/MAX(1,H162)))</f>
        <v/>
      </c>
      <c r="S162" t="str">
        <f t="shared" si="30"/>
        <v/>
      </c>
    </row>
    <row r="163" spans="1:19" hidden="1" outlineLevel="1" x14ac:dyDescent="0.3">
      <c r="A163" s="37" t="str">
        <f>IF('TO HOP NLAN'!$A29="","",'TO HOP NLAN'!$A29)</f>
        <v/>
      </c>
      <c r="B163" s="38" t="str">
        <f>IF($A163="","",'TO HOP NLAN'!$D29)</f>
        <v/>
      </c>
      <c r="C163" s="38" t="str">
        <f>IF($A163="","",'TO HOP NLAN'!$E29)</f>
        <v/>
      </c>
      <c r="D163" s="38" t="str">
        <f>IF($A163="","",'TO HOP NLAN'!$F29)</f>
        <v/>
      </c>
      <c r="E163" s="38" t="str">
        <f>IF($A163="","",'TO HOP NLAN'!$B29)</f>
        <v/>
      </c>
      <c r="F163" s="38" t="str">
        <f>IF($A163="","",'TO HOP NLAN'!$C29)</f>
        <v/>
      </c>
      <c r="G163" s="38" t="str">
        <f t="shared" si="31"/>
        <v/>
      </c>
      <c r="H163" s="38" t="str">
        <f t="shared" si="24"/>
        <v/>
      </c>
      <c r="I163" s="38" t="str">
        <f t="shared" si="32"/>
        <v/>
      </c>
      <c r="J163" s="38" t="str">
        <f t="shared" si="33"/>
        <v/>
      </c>
      <c r="K163" s="38" t="str">
        <f t="shared" si="34"/>
        <v/>
      </c>
      <c r="L163" s="38" t="str">
        <f t="shared" si="35"/>
        <v/>
      </c>
      <c r="M163" s="38" t="str">
        <f>IF($A163="","",IF(H163=0,"",IF(Q163&lt;=0.000000001,MIN(0.8*0.75*'KT THAN'!$C$62,MAX('KT THAN'!$J$38:$J$58)),IFERROR(MIN(0.8*0.75*'KT THAN'!$C$62,INDEX('KT THAN'!$J$38:$J$58,MATCH(Q163,'KT THAN'!$L$38:$L$58,-1))+(INDEX('KT THAN'!$J$38:$J$58,MIN(21,MATCH(Q163,'KT THAN'!$L$38:$L$58,-1)+1))-INDEX('KT THAN'!$J$38:$J$58,MATCH(Q163,'KT THAN'!$L$38:$L$58,-1)))*(Q163-INDEX('KT THAN'!$L$38:$L$58,MATCH(Q163,'KT THAN'!$L$38:$L$58,-1)))/(INDEX('KT THAN'!$L$38:$L$58,MIN(21,MATCH(Q163,'KT THAN'!$L$38:$L$58,-1)+1))-INDEX('KT THAN'!$L$38:$L$58,MATCH(Q163,'KT THAN'!$L$38:$L$58,-1)))),MIN(0.8*0.75*'KT THAN'!$C$62,'KT THAN'!$C$68/Q163)))))</f>
        <v/>
      </c>
      <c r="N163" s="38" t="str">
        <f>IF($A163="","",IF(H163=0,"",IF(R163&lt;=0.000000001,MIN(0.8*0.75*'KT THAN'!$C$62,MAX('KT THAN'!$W$38:$W$58)),IFERROR(MIN(0.8*0.75*'KT THAN'!$C$62,INDEX('KT THAN'!$W$38:$W$58,MATCH(R163,'KT THAN'!$Y$38:$Y$58,-1))+(INDEX('KT THAN'!$W$38:$W$58,MIN(21,MATCH(R163,'KT THAN'!$Y$38:$Y$58,-1)+1))-INDEX('KT THAN'!$W$38:$W$58,MATCH(R163,'KT THAN'!$Y$38:$Y$58,-1)))*(R163-INDEX('KT THAN'!$Y$38:$Y$58,MATCH(R163,'KT THAN'!$Y$38:$Y$58,-1)))/(INDEX('KT THAN'!$Y$38:$Y$58,MIN(21,MATCH(R163,'KT THAN'!$Y$38:$Y$58,-1)+1))-INDEX('KT THAN'!$Y$38:$Y$58,MATCH(R163,'KT THAN'!$Y$38:$Y$58,-1)))),MIN(0.8*0.75*'KT THAN'!$C$62,'KT THAN'!$D$68/R163)))))</f>
        <v/>
      </c>
      <c r="O163" s="38" t="str">
        <f>IF($A163="","",IF(H163&lt;0,ABS(H163)/MAX('KT THAN'!$C$69,0.001)+'KT THAN'!$C$32*ABS(J163)/MAX('KT THAN'!$C$68,0.001)+'KT THAN'!$D$32*ABS(I163)/MAX('KT THAN'!$D$68,0.001),IF(OR(M163&lt;=0,N163&lt;=0),999,IF(H163&gt;=0.1*0.75*fc_*Agth*1000,H163/MAX(0.001,1/(1/M163+1/N163-1/(0.75*'KT THAN'!$C$62))),'KT THAN'!$C$32*ABS(J163)/MAX('KT THAN'!$C$68,0.001)+'KT THAN'!$D$32*ABS(I163)/MAX('KT THAN'!$D$68,0.001)))))</f>
        <v/>
      </c>
      <c r="P163" s="37" t="str">
        <f t="shared" si="36"/>
        <v/>
      </c>
      <c r="Q163" s="38" t="str">
        <f>IF($A163="","",MAX(0.001,'KT THAN'!$C$32*ABS(J163)/MAX(1,H163)))</f>
        <v/>
      </c>
      <c r="R163" s="38" t="str">
        <f>IF($A163="","",MAX(0.001,'KT THAN'!$D$32*ABS(I163)/MAX(1,H163)))</f>
        <v/>
      </c>
      <c r="S163" t="str">
        <f t="shared" si="30"/>
        <v/>
      </c>
    </row>
    <row r="164" spans="1:19" hidden="1" outlineLevel="1" x14ac:dyDescent="0.3">
      <c r="A164" s="37" t="str">
        <f>IF('TO HOP NLAN'!$A30="","",'TO HOP NLAN'!$A30)</f>
        <v/>
      </c>
      <c r="B164" s="38" t="str">
        <f>IF($A164="","",'TO HOP NLAN'!$D30)</f>
        <v/>
      </c>
      <c r="C164" s="38" t="str">
        <f>IF($A164="","",'TO HOP NLAN'!$E30)</f>
        <v/>
      </c>
      <c r="D164" s="38" t="str">
        <f>IF($A164="","",'TO HOP NLAN'!$F30)</f>
        <v/>
      </c>
      <c r="E164" s="38" t="str">
        <f>IF($A164="","",'TO HOP NLAN'!$B30)</f>
        <v/>
      </c>
      <c r="F164" s="38" t="str">
        <f>IF($A164="","",'TO HOP NLAN'!$C30)</f>
        <v/>
      </c>
      <c r="G164" s="38" t="str">
        <f t="shared" si="31"/>
        <v/>
      </c>
      <c r="H164" s="38" t="str">
        <f t="shared" si="24"/>
        <v/>
      </c>
      <c r="I164" s="38" t="str">
        <f t="shared" si="32"/>
        <v/>
      </c>
      <c r="J164" s="38" t="str">
        <f t="shared" si="33"/>
        <v/>
      </c>
      <c r="K164" s="38" t="str">
        <f t="shared" si="34"/>
        <v/>
      </c>
      <c r="L164" s="38" t="str">
        <f t="shared" si="35"/>
        <v/>
      </c>
      <c r="M164" s="38" t="str">
        <f>IF($A164="","",IF(H164=0,"",IF(Q164&lt;=0.000000001,MIN(0.8*0.75*'KT THAN'!$C$62,MAX('KT THAN'!$J$38:$J$58)),IFERROR(MIN(0.8*0.75*'KT THAN'!$C$62,INDEX('KT THAN'!$J$38:$J$58,MATCH(Q164,'KT THAN'!$L$38:$L$58,-1))+(INDEX('KT THAN'!$J$38:$J$58,MIN(21,MATCH(Q164,'KT THAN'!$L$38:$L$58,-1)+1))-INDEX('KT THAN'!$J$38:$J$58,MATCH(Q164,'KT THAN'!$L$38:$L$58,-1)))*(Q164-INDEX('KT THAN'!$L$38:$L$58,MATCH(Q164,'KT THAN'!$L$38:$L$58,-1)))/(INDEX('KT THAN'!$L$38:$L$58,MIN(21,MATCH(Q164,'KT THAN'!$L$38:$L$58,-1)+1))-INDEX('KT THAN'!$L$38:$L$58,MATCH(Q164,'KT THAN'!$L$38:$L$58,-1)))),MIN(0.8*0.75*'KT THAN'!$C$62,'KT THAN'!$C$68/Q164)))))</f>
        <v/>
      </c>
      <c r="N164" s="38" t="str">
        <f>IF($A164="","",IF(H164=0,"",IF(R164&lt;=0.000000001,MIN(0.8*0.75*'KT THAN'!$C$62,MAX('KT THAN'!$W$38:$W$58)),IFERROR(MIN(0.8*0.75*'KT THAN'!$C$62,INDEX('KT THAN'!$W$38:$W$58,MATCH(R164,'KT THAN'!$Y$38:$Y$58,-1))+(INDEX('KT THAN'!$W$38:$W$58,MIN(21,MATCH(R164,'KT THAN'!$Y$38:$Y$58,-1)+1))-INDEX('KT THAN'!$W$38:$W$58,MATCH(R164,'KT THAN'!$Y$38:$Y$58,-1)))*(R164-INDEX('KT THAN'!$Y$38:$Y$58,MATCH(R164,'KT THAN'!$Y$38:$Y$58,-1)))/(INDEX('KT THAN'!$Y$38:$Y$58,MIN(21,MATCH(R164,'KT THAN'!$Y$38:$Y$58,-1)+1))-INDEX('KT THAN'!$Y$38:$Y$58,MATCH(R164,'KT THAN'!$Y$38:$Y$58,-1)))),MIN(0.8*0.75*'KT THAN'!$C$62,'KT THAN'!$D$68/R164)))))</f>
        <v/>
      </c>
      <c r="O164" s="38" t="str">
        <f>IF($A164="","",IF(H164&lt;0,ABS(H164)/MAX('KT THAN'!$C$69,0.001)+'KT THAN'!$C$32*ABS(J164)/MAX('KT THAN'!$C$68,0.001)+'KT THAN'!$D$32*ABS(I164)/MAX('KT THAN'!$D$68,0.001),IF(OR(M164&lt;=0,N164&lt;=0),999,IF(H164&gt;=0.1*0.75*fc_*Agth*1000,H164/MAX(0.001,1/(1/M164+1/N164-1/(0.75*'KT THAN'!$C$62))),'KT THAN'!$C$32*ABS(J164)/MAX('KT THAN'!$C$68,0.001)+'KT THAN'!$D$32*ABS(I164)/MAX('KT THAN'!$D$68,0.001)))))</f>
        <v/>
      </c>
      <c r="P164" s="37" t="str">
        <f t="shared" si="36"/>
        <v/>
      </c>
      <c r="Q164" s="38" t="str">
        <f>IF($A164="","",MAX(0.001,'KT THAN'!$C$32*ABS(J164)/MAX(1,H164)))</f>
        <v/>
      </c>
      <c r="R164" s="38" t="str">
        <f>IF($A164="","",MAX(0.001,'KT THAN'!$D$32*ABS(I164)/MAX(1,H164)))</f>
        <v/>
      </c>
      <c r="S164" t="str">
        <f t="shared" si="30"/>
        <v/>
      </c>
    </row>
    <row r="165" spans="1:19" hidden="1" outlineLevel="1" x14ac:dyDescent="0.3">
      <c r="A165" s="37" t="str">
        <f>IF('TO HOP NLAN'!$A31="","",'TO HOP NLAN'!$A31)</f>
        <v/>
      </c>
      <c r="B165" s="38" t="str">
        <f>IF($A165="","",'TO HOP NLAN'!$D31)</f>
        <v/>
      </c>
      <c r="C165" s="38" t="str">
        <f>IF($A165="","",'TO HOP NLAN'!$E31)</f>
        <v/>
      </c>
      <c r="D165" s="38" t="str">
        <f>IF($A165="","",'TO HOP NLAN'!$F31)</f>
        <v/>
      </c>
      <c r="E165" s="38" t="str">
        <f>IF($A165="","",'TO HOP NLAN'!$B31)</f>
        <v/>
      </c>
      <c r="F165" s="38" t="str">
        <f>IF($A165="","",'TO HOP NLAN'!$C31)</f>
        <v/>
      </c>
      <c r="G165" s="38" t="str">
        <f t="shared" si="31"/>
        <v/>
      </c>
      <c r="H165" s="38" t="str">
        <f t="shared" si="24"/>
        <v/>
      </c>
      <c r="I165" s="38" t="str">
        <f t="shared" si="32"/>
        <v/>
      </c>
      <c r="J165" s="38" t="str">
        <f t="shared" si="33"/>
        <v/>
      </c>
      <c r="K165" s="38" t="str">
        <f t="shared" si="34"/>
        <v/>
      </c>
      <c r="L165" s="38" t="str">
        <f t="shared" si="35"/>
        <v/>
      </c>
      <c r="M165" s="38" t="str">
        <f>IF($A165="","",IF(H165=0,"",IF(Q165&lt;=0.000000001,MIN(0.8*0.75*'KT THAN'!$C$62,MAX('KT THAN'!$J$38:$J$58)),IFERROR(MIN(0.8*0.75*'KT THAN'!$C$62,INDEX('KT THAN'!$J$38:$J$58,MATCH(Q165,'KT THAN'!$L$38:$L$58,-1))+(INDEX('KT THAN'!$J$38:$J$58,MIN(21,MATCH(Q165,'KT THAN'!$L$38:$L$58,-1)+1))-INDEX('KT THAN'!$J$38:$J$58,MATCH(Q165,'KT THAN'!$L$38:$L$58,-1)))*(Q165-INDEX('KT THAN'!$L$38:$L$58,MATCH(Q165,'KT THAN'!$L$38:$L$58,-1)))/(INDEX('KT THAN'!$L$38:$L$58,MIN(21,MATCH(Q165,'KT THAN'!$L$38:$L$58,-1)+1))-INDEX('KT THAN'!$L$38:$L$58,MATCH(Q165,'KT THAN'!$L$38:$L$58,-1)))),MIN(0.8*0.75*'KT THAN'!$C$62,'KT THAN'!$C$68/Q165)))))</f>
        <v/>
      </c>
      <c r="N165" s="38" t="str">
        <f>IF($A165="","",IF(H165=0,"",IF(R165&lt;=0.000000001,MIN(0.8*0.75*'KT THAN'!$C$62,MAX('KT THAN'!$W$38:$W$58)),IFERROR(MIN(0.8*0.75*'KT THAN'!$C$62,INDEX('KT THAN'!$W$38:$W$58,MATCH(R165,'KT THAN'!$Y$38:$Y$58,-1))+(INDEX('KT THAN'!$W$38:$W$58,MIN(21,MATCH(R165,'KT THAN'!$Y$38:$Y$58,-1)+1))-INDEX('KT THAN'!$W$38:$W$58,MATCH(R165,'KT THAN'!$Y$38:$Y$58,-1)))*(R165-INDEX('KT THAN'!$Y$38:$Y$58,MATCH(R165,'KT THAN'!$Y$38:$Y$58,-1)))/(INDEX('KT THAN'!$Y$38:$Y$58,MIN(21,MATCH(R165,'KT THAN'!$Y$38:$Y$58,-1)+1))-INDEX('KT THAN'!$Y$38:$Y$58,MATCH(R165,'KT THAN'!$Y$38:$Y$58,-1)))),MIN(0.8*0.75*'KT THAN'!$C$62,'KT THAN'!$D$68/R165)))))</f>
        <v/>
      </c>
      <c r="O165" s="38" t="str">
        <f>IF($A165="","",IF(H165&lt;0,ABS(H165)/MAX('KT THAN'!$C$69,0.001)+'KT THAN'!$C$32*ABS(J165)/MAX('KT THAN'!$C$68,0.001)+'KT THAN'!$D$32*ABS(I165)/MAX('KT THAN'!$D$68,0.001),IF(OR(M165&lt;=0,N165&lt;=0),999,IF(H165&gt;=0.1*0.75*fc_*Agth*1000,H165/MAX(0.001,1/(1/M165+1/N165-1/(0.75*'KT THAN'!$C$62))),'KT THAN'!$C$32*ABS(J165)/MAX('KT THAN'!$C$68,0.001)+'KT THAN'!$D$32*ABS(I165)/MAX('KT THAN'!$D$68,0.001)))))</f>
        <v/>
      </c>
      <c r="P165" s="37" t="str">
        <f t="shared" si="36"/>
        <v/>
      </c>
      <c r="Q165" s="38" t="str">
        <f>IF($A165="","",MAX(0.001,'KT THAN'!$C$32*ABS(J165)/MAX(1,H165)))</f>
        <v/>
      </c>
      <c r="R165" s="38" t="str">
        <f>IF($A165="","",MAX(0.001,'KT THAN'!$D$32*ABS(I165)/MAX(1,H165)))</f>
        <v/>
      </c>
      <c r="S165" t="str">
        <f t="shared" si="30"/>
        <v/>
      </c>
    </row>
    <row r="166" spans="1:19" hidden="1" outlineLevel="1" x14ac:dyDescent="0.3">
      <c r="A166" s="37" t="str">
        <f>IF('TO HOP NLAN'!$A32="","",'TO HOP NLAN'!$A32)</f>
        <v/>
      </c>
      <c r="B166" s="38" t="str">
        <f>IF($A166="","",'TO HOP NLAN'!$D32)</f>
        <v/>
      </c>
      <c r="C166" s="38" t="str">
        <f>IF($A166="","",'TO HOP NLAN'!$E32)</f>
        <v/>
      </c>
      <c r="D166" s="38" t="str">
        <f>IF($A166="","",'TO HOP NLAN'!$F32)</f>
        <v/>
      </c>
      <c r="E166" s="38" t="str">
        <f>IF($A166="","",'TO HOP NLAN'!$B32)</f>
        <v/>
      </c>
      <c r="F166" s="38" t="str">
        <f>IF($A166="","",'TO HOP NLAN'!$C32)</f>
        <v/>
      </c>
      <c r="G166" s="38" t="str">
        <f t="shared" si="31"/>
        <v/>
      </c>
      <c r="H166" s="38" t="str">
        <f t="shared" si="24"/>
        <v/>
      </c>
      <c r="I166" s="38" t="str">
        <f t="shared" si="32"/>
        <v/>
      </c>
      <c r="J166" s="38" t="str">
        <f t="shared" si="33"/>
        <v/>
      </c>
      <c r="K166" s="38" t="str">
        <f t="shared" si="34"/>
        <v/>
      </c>
      <c r="L166" s="38" t="str">
        <f t="shared" si="35"/>
        <v/>
      </c>
      <c r="M166" s="38" t="str">
        <f>IF($A166="","",IF(H166=0,"",IF(Q166&lt;=0.000000001,MIN(0.8*0.75*'KT THAN'!$C$62,MAX('KT THAN'!$J$38:$J$58)),IFERROR(MIN(0.8*0.75*'KT THAN'!$C$62,INDEX('KT THAN'!$J$38:$J$58,MATCH(Q166,'KT THAN'!$L$38:$L$58,-1))+(INDEX('KT THAN'!$J$38:$J$58,MIN(21,MATCH(Q166,'KT THAN'!$L$38:$L$58,-1)+1))-INDEX('KT THAN'!$J$38:$J$58,MATCH(Q166,'KT THAN'!$L$38:$L$58,-1)))*(Q166-INDEX('KT THAN'!$L$38:$L$58,MATCH(Q166,'KT THAN'!$L$38:$L$58,-1)))/(INDEX('KT THAN'!$L$38:$L$58,MIN(21,MATCH(Q166,'KT THAN'!$L$38:$L$58,-1)+1))-INDEX('KT THAN'!$L$38:$L$58,MATCH(Q166,'KT THAN'!$L$38:$L$58,-1)))),MIN(0.8*0.75*'KT THAN'!$C$62,'KT THAN'!$C$68/Q166)))))</f>
        <v/>
      </c>
      <c r="N166" s="38" t="str">
        <f>IF($A166="","",IF(H166=0,"",IF(R166&lt;=0.000000001,MIN(0.8*0.75*'KT THAN'!$C$62,MAX('KT THAN'!$W$38:$W$58)),IFERROR(MIN(0.8*0.75*'KT THAN'!$C$62,INDEX('KT THAN'!$W$38:$W$58,MATCH(R166,'KT THAN'!$Y$38:$Y$58,-1))+(INDEX('KT THAN'!$W$38:$W$58,MIN(21,MATCH(R166,'KT THAN'!$Y$38:$Y$58,-1)+1))-INDEX('KT THAN'!$W$38:$W$58,MATCH(R166,'KT THAN'!$Y$38:$Y$58,-1)))*(R166-INDEX('KT THAN'!$Y$38:$Y$58,MATCH(R166,'KT THAN'!$Y$38:$Y$58,-1)))/(INDEX('KT THAN'!$Y$38:$Y$58,MIN(21,MATCH(R166,'KT THAN'!$Y$38:$Y$58,-1)+1))-INDEX('KT THAN'!$Y$38:$Y$58,MATCH(R166,'KT THAN'!$Y$38:$Y$58,-1)))),MIN(0.8*0.75*'KT THAN'!$C$62,'KT THAN'!$D$68/R166)))))</f>
        <v/>
      </c>
      <c r="O166" s="38" t="str">
        <f>IF($A166="","",IF(H166&lt;0,ABS(H166)/MAX('KT THAN'!$C$69,0.001)+'KT THAN'!$C$32*ABS(J166)/MAX('KT THAN'!$C$68,0.001)+'KT THAN'!$D$32*ABS(I166)/MAX('KT THAN'!$D$68,0.001),IF(OR(M166&lt;=0,N166&lt;=0),999,IF(H166&gt;=0.1*0.75*fc_*Agth*1000,H166/MAX(0.001,1/(1/M166+1/N166-1/(0.75*'KT THAN'!$C$62))),'KT THAN'!$C$32*ABS(J166)/MAX('KT THAN'!$C$68,0.001)+'KT THAN'!$D$32*ABS(I166)/MAX('KT THAN'!$D$68,0.001)))))</f>
        <v/>
      </c>
      <c r="P166" s="37" t="str">
        <f t="shared" si="36"/>
        <v/>
      </c>
      <c r="Q166" s="38" t="str">
        <f>IF($A166="","",MAX(0.001,'KT THAN'!$C$32*ABS(J166)/MAX(1,H166)))</f>
        <v/>
      </c>
      <c r="R166" s="38" t="str">
        <f>IF($A166="","",MAX(0.001,'KT THAN'!$D$32*ABS(I166)/MAX(1,H166)))</f>
        <v/>
      </c>
      <c r="S166" t="str">
        <f t="shared" si="30"/>
        <v/>
      </c>
    </row>
    <row r="167" spans="1:19" hidden="1" outlineLevel="1" x14ac:dyDescent="0.3">
      <c r="A167" s="37" t="str">
        <f>IF('TO HOP NLAN'!$A33="","",'TO HOP NLAN'!$A33)</f>
        <v/>
      </c>
      <c r="B167" s="38" t="str">
        <f>IF($A167="","",'TO HOP NLAN'!$D33)</f>
        <v/>
      </c>
      <c r="C167" s="38" t="str">
        <f>IF($A167="","",'TO HOP NLAN'!$E33)</f>
        <v/>
      </c>
      <c r="D167" s="38" t="str">
        <f>IF($A167="","",'TO HOP NLAN'!$F33)</f>
        <v/>
      </c>
      <c r="E167" s="38" t="str">
        <f>IF($A167="","",'TO HOP NLAN'!$B33)</f>
        <v/>
      </c>
      <c r="F167" s="38" t="str">
        <f>IF($A167="","",'TO HOP NLAN'!$C33)</f>
        <v/>
      </c>
      <c r="G167" s="38" t="str">
        <f t="shared" si="31"/>
        <v/>
      </c>
      <c r="H167" s="38" t="str">
        <f t="shared" si="24"/>
        <v/>
      </c>
      <c r="I167" s="38" t="str">
        <f t="shared" si="32"/>
        <v/>
      </c>
      <c r="J167" s="38" t="str">
        <f t="shared" si="33"/>
        <v/>
      </c>
      <c r="K167" s="38" t="str">
        <f t="shared" si="34"/>
        <v/>
      </c>
      <c r="L167" s="38" t="str">
        <f t="shared" si="35"/>
        <v/>
      </c>
      <c r="M167" s="38" t="str">
        <f>IF($A167="","",IF(H167=0,"",IF(Q167&lt;=0.000000001,MIN(0.8*0.75*'KT THAN'!$C$62,MAX('KT THAN'!$J$38:$J$58)),IFERROR(MIN(0.8*0.75*'KT THAN'!$C$62,INDEX('KT THAN'!$J$38:$J$58,MATCH(Q167,'KT THAN'!$L$38:$L$58,-1))+(INDEX('KT THAN'!$J$38:$J$58,MIN(21,MATCH(Q167,'KT THAN'!$L$38:$L$58,-1)+1))-INDEX('KT THAN'!$J$38:$J$58,MATCH(Q167,'KT THAN'!$L$38:$L$58,-1)))*(Q167-INDEX('KT THAN'!$L$38:$L$58,MATCH(Q167,'KT THAN'!$L$38:$L$58,-1)))/(INDEX('KT THAN'!$L$38:$L$58,MIN(21,MATCH(Q167,'KT THAN'!$L$38:$L$58,-1)+1))-INDEX('KT THAN'!$L$38:$L$58,MATCH(Q167,'KT THAN'!$L$38:$L$58,-1)))),MIN(0.8*0.75*'KT THAN'!$C$62,'KT THAN'!$C$68/Q167)))))</f>
        <v/>
      </c>
      <c r="N167" s="38" t="str">
        <f>IF($A167="","",IF(H167=0,"",IF(R167&lt;=0.000000001,MIN(0.8*0.75*'KT THAN'!$C$62,MAX('KT THAN'!$W$38:$W$58)),IFERROR(MIN(0.8*0.75*'KT THAN'!$C$62,INDEX('KT THAN'!$W$38:$W$58,MATCH(R167,'KT THAN'!$Y$38:$Y$58,-1))+(INDEX('KT THAN'!$W$38:$W$58,MIN(21,MATCH(R167,'KT THAN'!$Y$38:$Y$58,-1)+1))-INDEX('KT THAN'!$W$38:$W$58,MATCH(R167,'KT THAN'!$Y$38:$Y$58,-1)))*(R167-INDEX('KT THAN'!$Y$38:$Y$58,MATCH(R167,'KT THAN'!$Y$38:$Y$58,-1)))/(INDEX('KT THAN'!$Y$38:$Y$58,MIN(21,MATCH(R167,'KT THAN'!$Y$38:$Y$58,-1)+1))-INDEX('KT THAN'!$Y$38:$Y$58,MATCH(R167,'KT THAN'!$Y$38:$Y$58,-1)))),MIN(0.8*0.75*'KT THAN'!$C$62,'KT THAN'!$D$68/R167)))))</f>
        <v/>
      </c>
      <c r="O167" s="38" t="str">
        <f>IF($A167="","",IF(H167&lt;0,ABS(H167)/MAX('KT THAN'!$C$69,0.001)+'KT THAN'!$C$32*ABS(J167)/MAX('KT THAN'!$C$68,0.001)+'KT THAN'!$D$32*ABS(I167)/MAX('KT THAN'!$D$68,0.001),IF(OR(M167&lt;=0,N167&lt;=0),999,IF(H167&gt;=0.1*0.75*fc_*Agth*1000,H167/MAX(0.001,1/(1/M167+1/N167-1/(0.75*'KT THAN'!$C$62))),'KT THAN'!$C$32*ABS(J167)/MAX('KT THAN'!$C$68,0.001)+'KT THAN'!$D$32*ABS(I167)/MAX('KT THAN'!$D$68,0.001)))))</f>
        <v/>
      </c>
      <c r="P167" s="37" t="str">
        <f t="shared" si="36"/>
        <v/>
      </c>
      <c r="Q167" s="38" t="str">
        <f>IF($A167="","",MAX(0.001,'KT THAN'!$C$32*ABS(J167)/MAX(1,H167)))</f>
        <v/>
      </c>
      <c r="R167" s="38" t="str">
        <f>IF($A167="","",MAX(0.001,'KT THAN'!$D$32*ABS(I167)/MAX(1,H167)))</f>
        <v/>
      </c>
      <c r="S167" t="str">
        <f t="shared" si="30"/>
        <v/>
      </c>
    </row>
    <row r="168" spans="1:19" hidden="1" outlineLevel="1" x14ac:dyDescent="0.3">
      <c r="A168" s="37" t="str">
        <f>IF('TO HOP NLAN'!$A34="","",'TO HOP NLAN'!$A34)</f>
        <v/>
      </c>
      <c r="B168" s="38" t="str">
        <f>IF($A168="","",'TO HOP NLAN'!$D34)</f>
        <v/>
      </c>
      <c r="C168" s="38" t="str">
        <f>IF($A168="","",'TO HOP NLAN'!$E34)</f>
        <v/>
      </c>
      <c r="D168" s="38" t="str">
        <f>IF($A168="","",'TO HOP NLAN'!$F34)</f>
        <v/>
      </c>
      <c r="E168" s="38" t="str">
        <f>IF($A168="","",'TO HOP NLAN'!$B34)</f>
        <v/>
      </c>
      <c r="F168" s="38" t="str">
        <f>IF($A168="","",'TO HOP NLAN'!$C34)</f>
        <v/>
      </c>
      <c r="G168" s="38" t="str">
        <f t="shared" si="31"/>
        <v/>
      </c>
      <c r="H168" s="38" t="str">
        <f t="shared" si="24"/>
        <v/>
      </c>
      <c r="I168" s="38" t="str">
        <f t="shared" si="32"/>
        <v/>
      </c>
      <c r="J168" s="38" t="str">
        <f t="shared" si="33"/>
        <v/>
      </c>
      <c r="K168" s="38" t="str">
        <f t="shared" si="34"/>
        <v/>
      </c>
      <c r="L168" s="38" t="str">
        <f t="shared" si="35"/>
        <v/>
      </c>
      <c r="M168" s="38" t="str">
        <f>IF($A168="","",IF(H168=0,"",IF(Q168&lt;=0.000000001,MIN(0.8*0.75*'KT THAN'!$C$62,MAX('KT THAN'!$J$38:$J$58)),IFERROR(MIN(0.8*0.75*'KT THAN'!$C$62,INDEX('KT THAN'!$J$38:$J$58,MATCH(Q168,'KT THAN'!$L$38:$L$58,-1))+(INDEX('KT THAN'!$J$38:$J$58,MIN(21,MATCH(Q168,'KT THAN'!$L$38:$L$58,-1)+1))-INDEX('KT THAN'!$J$38:$J$58,MATCH(Q168,'KT THAN'!$L$38:$L$58,-1)))*(Q168-INDEX('KT THAN'!$L$38:$L$58,MATCH(Q168,'KT THAN'!$L$38:$L$58,-1)))/(INDEX('KT THAN'!$L$38:$L$58,MIN(21,MATCH(Q168,'KT THAN'!$L$38:$L$58,-1)+1))-INDEX('KT THAN'!$L$38:$L$58,MATCH(Q168,'KT THAN'!$L$38:$L$58,-1)))),MIN(0.8*0.75*'KT THAN'!$C$62,'KT THAN'!$C$68/Q168)))))</f>
        <v/>
      </c>
      <c r="N168" s="38" t="str">
        <f>IF($A168="","",IF(H168=0,"",IF(R168&lt;=0.000000001,MIN(0.8*0.75*'KT THAN'!$C$62,MAX('KT THAN'!$W$38:$W$58)),IFERROR(MIN(0.8*0.75*'KT THAN'!$C$62,INDEX('KT THAN'!$W$38:$W$58,MATCH(R168,'KT THAN'!$Y$38:$Y$58,-1))+(INDEX('KT THAN'!$W$38:$W$58,MIN(21,MATCH(R168,'KT THAN'!$Y$38:$Y$58,-1)+1))-INDEX('KT THAN'!$W$38:$W$58,MATCH(R168,'KT THAN'!$Y$38:$Y$58,-1)))*(R168-INDEX('KT THAN'!$Y$38:$Y$58,MATCH(R168,'KT THAN'!$Y$38:$Y$58,-1)))/(INDEX('KT THAN'!$Y$38:$Y$58,MIN(21,MATCH(R168,'KT THAN'!$Y$38:$Y$58,-1)+1))-INDEX('KT THAN'!$Y$38:$Y$58,MATCH(R168,'KT THAN'!$Y$38:$Y$58,-1)))),MIN(0.8*0.75*'KT THAN'!$C$62,'KT THAN'!$D$68/R168)))))</f>
        <v/>
      </c>
      <c r="O168" s="38" t="str">
        <f>IF($A168="","",IF(H168&lt;0,ABS(H168)/MAX('KT THAN'!$C$69,0.001)+'KT THAN'!$C$32*ABS(J168)/MAX('KT THAN'!$C$68,0.001)+'KT THAN'!$D$32*ABS(I168)/MAX('KT THAN'!$D$68,0.001),IF(OR(M168&lt;=0,N168&lt;=0),999,IF(H168&gt;=0.1*0.75*fc_*Agth*1000,H168/MAX(0.001,1/(1/M168+1/N168-1/(0.75*'KT THAN'!$C$62))),'KT THAN'!$C$32*ABS(J168)/MAX('KT THAN'!$C$68,0.001)+'KT THAN'!$D$32*ABS(I168)/MAX('KT THAN'!$D$68,0.001)))))</f>
        <v/>
      </c>
      <c r="P168" s="37" t="str">
        <f t="shared" si="36"/>
        <v/>
      </c>
      <c r="Q168" s="38" t="str">
        <f>IF($A168="","",MAX(0.001,'KT THAN'!$C$32*ABS(J168)/MAX(1,H168)))</f>
        <v/>
      </c>
      <c r="R168" s="38" t="str">
        <f>IF($A168="","",MAX(0.001,'KT THAN'!$D$32*ABS(I168)/MAX(1,H168)))</f>
        <v/>
      </c>
      <c r="S168" t="str">
        <f t="shared" si="30"/>
        <v/>
      </c>
    </row>
    <row r="169" spans="1:19" hidden="1" outlineLevel="1" x14ac:dyDescent="0.3">
      <c r="A169" s="37" t="str">
        <f>IF('TO HOP NLAN'!$A35="","",'TO HOP NLAN'!$A35)</f>
        <v/>
      </c>
      <c r="B169" s="38" t="str">
        <f>IF($A169="","",'TO HOP NLAN'!$D35)</f>
        <v/>
      </c>
      <c r="C169" s="38" t="str">
        <f>IF($A169="","",'TO HOP NLAN'!$E35)</f>
        <v/>
      </c>
      <c r="D169" s="38" t="str">
        <f>IF($A169="","",'TO HOP NLAN'!$F35)</f>
        <v/>
      </c>
      <c r="E169" s="38" t="str">
        <f>IF($A169="","",'TO HOP NLAN'!$B35)</f>
        <v/>
      </c>
      <c r="F169" s="38" t="str">
        <f>IF($A169="","",'TO HOP NLAN'!$C35)</f>
        <v/>
      </c>
      <c r="G169" s="38" t="str">
        <f t="shared" si="31"/>
        <v/>
      </c>
      <c r="H169" s="38" t="str">
        <f t="shared" si="24"/>
        <v/>
      </c>
      <c r="I169" s="38" t="str">
        <f t="shared" si="32"/>
        <v/>
      </c>
      <c r="J169" s="38" t="str">
        <f t="shared" si="33"/>
        <v/>
      </c>
      <c r="K169" s="38" t="str">
        <f t="shared" si="34"/>
        <v/>
      </c>
      <c r="L169" s="38" t="str">
        <f t="shared" si="35"/>
        <v/>
      </c>
      <c r="M169" s="38" t="str">
        <f>IF($A169="","",IF(H169=0,"",IF(Q169&lt;=0.000000001,MIN(0.8*0.75*'KT THAN'!$C$62,MAX('KT THAN'!$J$38:$J$58)),IFERROR(MIN(0.8*0.75*'KT THAN'!$C$62,INDEX('KT THAN'!$J$38:$J$58,MATCH(Q169,'KT THAN'!$L$38:$L$58,-1))+(INDEX('KT THAN'!$J$38:$J$58,MIN(21,MATCH(Q169,'KT THAN'!$L$38:$L$58,-1)+1))-INDEX('KT THAN'!$J$38:$J$58,MATCH(Q169,'KT THAN'!$L$38:$L$58,-1)))*(Q169-INDEX('KT THAN'!$L$38:$L$58,MATCH(Q169,'KT THAN'!$L$38:$L$58,-1)))/(INDEX('KT THAN'!$L$38:$L$58,MIN(21,MATCH(Q169,'KT THAN'!$L$38:$L$58,-1)+1))-INDEX('KT THAN'!$L$38:$L$58,MATCH(Q169,'KT THAN'!$L$38:$L$58,-1)))),MIN(0.8*0.75*'KT THAN'!$C$62,'KT THAN'!$C$68/Q169)))))</f>
        <v/>
      </c>
      <c r="N169" s="38" t="str">
        <f>IF($A169="","",IF(H169=0,"",IF(R169&lt;=0.000000001,MIN(0.8*0.75*'KT THAN'!$C$62,MAX('KT THAN'!$W$38:$W$58)),IFERROR(MIN(0.8*0.75*'KT THAN'!$C$62,INDEX('KT THAN'!$W$38:$W$58,MATCH(R169,'KT THAN'!$Y$38:$Y$58,-1))+(INDEX('KT THAN'!$W$38:$W$58,MIN(21,MATCH(R169,'KT THAN'!$Y$38:$Y$58,-1)+1))-INDEX('KT THAN'!$W$38:$W$58,MATCH(R169,'KT THAN'!$Y$38:$Y$58,-1)))*(R169-INDEX('KT THAN'!$Y$38:$Y$58,MATCH(R169,'KT THAN'!$Y$38:$Y$58,-1)))/(INDEX('KT THAN'!$Y$38:$Y$58,MIN(21,MATCH(R169,'KT THAN'!$Y$38:$Y$58,-1)+1))-INDEX('KT THAN'!$Y$38:$Y$58,MATCH(R169,'KT THAN'!$Y$38:$Y$58,-1)))),MIN(0.8*0.75*'KT THAN'!$C$62,'KT THAN'!$D$68/R169)))))</f>
        <v/>
      </c>
      <c r="O169" s="38" t="str">
        <f>IF($A169="","",IF(H169&lt;0,ABS(H169)/MAX('KT THAN'!$C$69,0.001)+'KT THAN'!$C$32*ABS(J169)/MAX('KT THAN'!$C$68,0.001)+'KT THAN'!$D$32*ABS(I169)/MAX('KT THAN'!$D$68,0.001),IF(OR(M169&lt;=0,N169&lt;=0),999,IF(H169&gt;=0.1*0.75*fc_*Agth*1000,H169/MAX(0.001,1/(1/M169+1/N169-1/(0.75*'KT THAN'!$C$62))),'KT THAN'!$C$32*ABS(J169)/MAX('KT THAN'!$C$68,0.001)+'KT THAN'!$D$32*ABS(I169)/MAX('KT THAN'!$D$68,0.001)))))</f>
        <v/>
      </c>
      <c r="P169" s="37" t="str">
        <f t="shared" si="36"/>
        <v/>
      </c>
      <c r="Q169" s="38" t="str">
        <f>IF($A169="","",MAX(0.001,'KT THAN'!$C$32*ABS(J169)/MAX(1,H169)))</f>
        <v/>
      </c>
      <c r="R169" s="38" t="str">
        <f>IF($A169="","",MAX(0.001,'KT THAN'!$D$32*ABS(I169)/MAX(1,H169)))</f>
        <v/>
      </c>
      <c r="S169" t="str">
        <f t="shared" si="30"/>
        <v/>
      </c>
    </row>
    <row r="170" spans="1:19" hidden="1" outlineLevel="1" x14ac:dyDescent="0.3">
      <c r="A170" s="37" t="str">
        <f>IF('TO HOP NLAN'!$A36="","",'TO HOP NLAN'!$A36)</f>
        <v/>
      </c>
      <c r="B170" s="38" t="str">
        <f>IF($A170="","",'TO HOP NLAN'!$D36)</f>
        <v/>
      </c>
      <c r="C170" s="38" t="str">
        <f>IF($A170="","",'TO HOP NLAN'!$E36)</f>
        <v/>
      </c>
      <c r="D170" s="38" t="str">
        <f>IF($A170="","",'TO HOP NLAN'!$F36)</f>
        <v/>
      </c>
      <c r="E170" s="38" t="str">
        <f>IF($A170="","",'TO HOP NLAN'!$B36)</f>
        <v/>
      </c>
      <c r="F170" s="38" t="str">
        <f>IF($A170="","",'TO HOP NLAN'!$C36)</f>
        <v/>
      </c>
      <c r="G170" s="38" t="str">
        <f t="shared" si="31"/>
        <v/>
      </c>
      <c r="H170" s="38" t="str">
        <f t="shared" si="24"/>
        <v/>
      </c>
      <c r="I170" s="38" t="str">
        <f t="shared" si="32"/>
        <v/>
      </c>
      <c r="J170" s="38" t="str">
        <f t="shared" si="33"/>
        <v/>
      </c>
      <c r="K170" s="38" t="str">
        <f t="shared" si="34"/>
        <v/>
      </c>
      <c r="L170" s="38" t="str">
        <f t="shared" si="35"/>
        <v/>
      </c>
      <c r="M170" s="38" t="str">
        <f>IF($A170="","",IF(H170=0,"",IF(Q170&lt;=0.000000001,MIN(0.8*0.75*'KT THAN'!$C$62,MAX('KT THAN'!$J$38:$J$58)),IFERROR(MIN(0.8*0.75*'KT THAN'!$C$62,INDEX('KT THAN'!$J$38:$J$58,MATCH(Q170,'KT THAN'!$L$38:$L$58,-1))+(INDEX('KT THAN'!$J$38:$J$58,MIN(21,MATCH(Q170,'KT THAN'!$L$38:$L$58,-1)+1))-INDEX('KT THAN'!$J$38:$J$58,MATCH(Q170,'KT THAN'!$L$38:$L$58,-1)))*(Q170-INDEX('KT THAN'!$L$38:$L$58,MATCH(Q170,'KT THAN'!$L$38:$L$58,-1)))/(INDEX('KT THAN'!$L$38:$L$58,MIN(21,MATCH(Q170,'KT THAN'!$L$38:$L$58,-1)+1))-INDEX('KT THAN'!$L$38:$L$58,MATCH(Q170,'KT THAN'!$L$38:$L$58,-1)))),MIN(0.8*0.75*'KT THAN'!$C$62,'KT THAN'!$C$68/Q170)))))</f>
        <v/>
      </c>
      <c r="N170" s="38" t="str">
        <f>IF($A170="","",IF(H170=0,"",IF(R170&lt;=0.000000001,MIN(0.8*0.75*'KT THAN'!$C$62,MAX('KT THAN'!$W$38:$W$58)),IFERROR(MIN(0.8*0.75*'KT THAN'!$C$62,INDEX('KT THAN'!$W$38:$W$58,MATCH(R170,'KT THAN'!$Y$38:$Y$58,-1))+(INDEX('KT THAN'!$W$38:$W$58,MIN(21,MATCH(R170,'KT THAN'!$Y$38:$Y$58,-1)+1))-INDEX('KT THAN'!$W$38:$W$58,MATCH(R170,'KT THAN'!$Y$38:$Y$58,-1)))*(R170-INDEX('KT THAN'!$Y$38:$Y$58,MATCH(R170,'KT THAN'!$Y$38:$Y$58,-1)))/(INDEX('KT THAN'!$Y$38:$Y$58,MIN(21,MATCH(R170,'KT THAN'!$Y$38:$Y$58,-1)+1))-INDEX('KT THAN'!$Y$38:$Y$58,MATCH(R170,'KT THAN'!$Y$38:$Y$58,-1)))),MIN(0.8*0.75*'KT THAN'!$C$62,'KT THAN'!$D$68/R170)))))</f>
        <v/>
      </c>
      <c r="O170" s="38" t="str">
        <f>IF($A170="","",IF(H170&lt;0,ABS(H170)/MAX('KT THAN'!$C$69,0.001)+'KT THAN'!$C$32*ABS(J170)/MAX('KT THAN'!$C$68,0.001)+'KT THAN'!$D$32*ABS(I170)/MAX('KT THAN'!$D$68,0.001),IF(OR(M170&lt;=0,N170&lt;=0),999,IF(H170&gt;=0.1*0.75*fc_*Agth*1000,H170/MAX(0.001,1/(1/M170+1/N170-1/(0.75*'KT THAN'!$C$62))),'KT THAN'!$C$32*ABS(J170)/MAX('KT THAN'!$C$68,0.001)+'KT THAN'!$D$32*ABS(I170)/MAX('KT THAN'!$D$68,0.001)))))</f>
        <v/>
      </c>
      <c r="P170" s="37" t="str">
        <f t="shared" si="36"/>
        <v/>
      </c>
      <c r="Q170" s="38" t="str">
        <f>IF($A170="","",MAX(0.001,'KT THAN'!$C$32*ABS(J170)/MAX(1,H170)))</f>
        <v/>
      </c>
      <c r="R170" s="38" t="str">
        <f>IF($A170="","",MAX(0.001,'KT THAN'!$D$32*ABS(I170)/MAX(1,H170)))</f>
        <v/>
      </c>
      <c r="S170" t="str">
        <f t="shared" si="30"/>
        <v/>
      </c>
    </row>
    <row r="171" spans="1:19" hidden="1" outlineLevel="1" x14ac:dyDescent="0.3">
      <c r="A171" s="37" t="str">
        <f>IF('TO HOP NLAN'!$A37="","",'TO HOP NLAN'!$A37)</f>
        <v/>
      </c>
      <c r="B171" s="38" t="str">
        <f>IF($A171="","",'TO HOP NLAN'!$D37)</f>
        <v/>
      </c>
      <c r="C171" s="38" t="str">
        <f>IF($A171="","",'TO HOP NLAN'!$E37)</f>
        <v/>
      </c>
      <c r="D171" s="38" t="str">
        <f>IF($A171="","",'TO HOP NLAN'!$F37)</f>
        <v/>
      </c>
      <c r="E171" s="38" t="str">
        <f>IF($A171="","",'TO HOP NLAN'!$B37)</f>
        <v/>
      </c>
      <c r="F171" s="38" t="str">
        <f>IF($A171="","",'TO HOP NLAN'!$C37)</f>
        <v/>
      </c>
      <c r="G171" s="38" t="str">
        <f t="shared" si="31"/>
        <v/>
      </c>
      <c r="H171" s="38" t="str">
        <f t="shared" si="24"/>
        <v/>
      </c>
      <c r="I171" s="38" t="str">
        <f t="shared" si="32"/>
        <v/>
      </c>
      <c r="J171" s="38" t="str">
        <f t="shared" si="33"/>
        <v/>
      </c>
      <c r="K171" s="38" t="str">
        <f t="shared" si="34"/>
        <v/>
      </c>
      <c r="L171" s="38" t="str">
        <f t="shared" si="35"/>
        <v/>
      </c>
      <c r="M171" s="38" t="str">
        <f>IF($A171="","",IF(H171=0,"",IF(Q171&lt;=0.000000001,MIN(0.8*0.75*'KT THAN'!$C$62,MAX('KT THAN'!$J$38:$J$58)),IFERROR(MIN(0.8*0.75*'KT THAN'!$C$62,INDEX('KT THAN'!$J$38:$J$58,MATCH(Q171,'KT THAN'!$L$38:$L$58,-1))+(INDEX('KT THAN'!$J$38:$J$58,MIN(21,MATCH(Q171,'KT THAN'!$L$38:$L$58,-1)+1))-INDEX('KT THAN'!$J$38:$J$58,MATCH(Q171,'KT THAN'!$L$38:$L$58,-1)))*(Q171-INDEX('KT THAN'!$L$38:$L$58,MATCH(Q171,'KT THAN'!$L$38:$L$58,-1)))/(INDEX('KT THAN'!$L$38:$L$58,MIN(21,MATCH(Q171,'KT THAN'!$L$38:$L$58,-1)+1))-INDEX('KT THAN'!$L$38:$L$58,MATCH(Q171,'KT THAN'!$L$38:$L$58,-1)))),MIN(0.8*0.75*'KT THAN'!$C$62,'KT THAN'!$C$68/Q171)))))</f>
        <v/>
      </c>
      <c r="N171" s="38" t="str">
        <f>IF($A171="","",IF(H171=0,"",IF(R171&lt;=0.000000001,MIN(0.8*0.75*'KT THAN'!$C$62,MAX('KT THAN'!$W$38:$W$58)),IFERROR(MIN(0.8*0.75*'KT THAN'!$C$62,INDEX('KT THAN'!$W$38:$W$58,MATCH(R171,'KT THAN'!$Y$38:$Y$58,-1))+(INDEX('KT THAN'!$W$38:$W$58,MIN(21,MATCH(R171,'KT THAN'!$Y$38:$Y$58,-1)+1))-INDEX('KT THAN'!$W$38:$W$58,MATCH(R171,'KT THAN'!$Y$38:$Y$58,-1)))*(R171-INDEX('KT THAN'!$Y$38:$Y$58,MATCH(R171,'KT THAN'!$Y$38:$Y$58,-1)))/(INDEX('KT THAN'!$Y$38:$Y$58,MIN(21,MATCH(R171,'KT THAN'!$Y$38:$Y$58,-1)+1))-INDEX('KT THAN'!$Y$38:$Y$58,MATCH(R171,'KT THAN'!$Y$38:$Y$58,-1)))),MIN(0.8*0.75*'KT THAN'!$C$62,'KT THAN'!$D$68/R171)))))</f>
        <v/>
      </c>
      <c r="O171" s="38" t="str">
        <f>IF($A171="","",IF(H171&lt;0,ABS(H171)/MAX('KT THAN'!$C$69,0.001)+'KT THAN'!$C$32*ABS(J171)/MAX('KT THAN'!$C$68,0.001)+'KT THAN'!$D$32*ABS(I171)/MAX('KT THAN'!$D$68,0.001),IF(OR(M171&lt;=0,N171&lt;=0),999,IF(H171&gt;=0.1*0.75*fc_*Agth*1000,H171/MAX(0.001,1/(1/M171+1/N171-1/(0.75*'KT THAN'!$C$62))),'KT THAN'!$C$32*ABS(J171)/MAX('KT THAN'!$C$68,0.001)+'KT THAN'!$D$32*ABS(I171)/MAX('KT THAN'!$D$68,0.001)))))</f>
        <v/>
      </c>
      <c r="P171" s="37" t="str">
        <f t="shared" si="36"/>
        <v/>
      </c>
      <c r="Q171" s="38" t="str">
        <f>IF($A171="","",MAX(0.001,'KT THAN'!$C$32*ABS(J171)/MAX(1,H171)))</f>
        <v/>
      </c>
      <c r="R171" s="38" t="str">
        <f>IF($A171="","",MAX(0.001,'KT THAN'!$D$32*ABS(I171)/MAX(1,H171)))</f>
        <v/>
      </c>
      <c r="S171" t="str">
        <f t="shared" si="30"/>
        <v/>
      </c>
    </row>
    <row r="172" spans="1:19" hidden="1" outlineLevel="1" x14ac:dyDescent="0.3">
      <c r="A172" s="37" t="str">
        <f>IF('TO HOP NLAN'!$A38="","",'TO HOP NLAN'!$A38)</f>
        <v/>
      </c>
      <c r="B172" s="38" t="str">
        <f>IF($A172="","",'TO HOP NLAN'!$D38)</f>
        <v/>
      </c>
      <c r="C172" s="38" t="str">
        <f>IF($A172="","",'TO HOP NLAN'!$E38)</f>
        <v/>
      </c>
      <c r="D172" s="38" t="str">
        <f>IF($A172="","",'TO HOP NLAN'!$F38)</f>
        <v/>
      </c>
      <c r="E172" s="38" t="str">
        <f>IF($A172="","",'TO HOP NLAN'!$B38)</f>
        <v/>
      </c>
      <c r="F172" s="38" t="str">
        <f>IF($A172="","",'TO HOP NLAN'!$C38)</f>
        <v/>
      </c>
      <c r="G172" s="38" t="str">
        <f t="shared" si="31"/>
        <v/>
      </c>
      <c r="H172" s="38" t="str">
        <f t="shared" si="24"/>
        <v/>
      </c>
      <c r="I172" s="38" t="str">
        <f t="shared" si="32"/>
        <v/>
      </c>
      <c r="J172" s="38" t="str">
        <f t="shared" si="33"/>
        <v/>
      </c>
      <c r="K172" s="38" t="str">
        <f t="shared" si="34"/>
        <v/>
      </c>
      <c r="L172" s="38" t="str">
        <f t="shared" si="35"/>
        <v/>
      </c>
      <c r="M172" s="38" t="str">
        <f>IF($A172="","",IF(H172=0,"",IF(Q172&lt;=0.000000001,MIN(0.8*0.75*'KT THAN'!$C$62,MAX('KT THAN'!$J$38:$J$58)),IFERROR(MIN(0.8*0.75*'KT THAN'!$C$62,INDEX('KT THAN'!$J$38:$J$58,MATCH(Q172,'KT THAN'!$L$38:$L$58,-1))+(INDEX('KT THAN'!$J$38:$J$58,MIN(21,MATCH(Q172,'KT THAN'!$L$38:$L$58,-1)+1))-INDEX('KT THAN'!$J$38:$J$58,MATCH(Q172,'KT THAN'!$L$38:$L$58,-1)))*(Q172-INDEX('KT THAN'!$L$38:$L$58,MATCH(Q172,'KT THAN'!$L$38:$L$58,-1)))/(INDEX('KT THAN'!$L$38:$L$58,MIN(21,MATCH(Q172,'KT THAN'!$L$38:$L$58,-1)+1))-INDEX('KT THAN'!$L$38:$L$58,MATCH(Q172,'KT THAN'!$L$38:$L$58,-1)))),MIN(0.8*0.75*'KT THAN'!$C$62,'KT THAN'!$C$68/Q172)))))</f>
        <v/>
      </c>
      <c r="N172" s="38" t="str">
        <f>IF($A172="","",IF(H172=0,"",IF(R172&lt;=0.000000001,MIN(0.8*0.75*'KT THAN'!$C$62,MAX('KT THAN'!$W$38:$W$58)),IFERROR(MIN(0.8*0.75*'KT THAN'!$C$62,INDEX('KT THAN'!$W$38:$W$58,MATCH(R172,'KT THAN'!$Y$38:$Y$58,-1))+(INDEX('KT THAN'!$W$38:$W$58,MIN(21,MATCH(R172,'KT THAN'!$Y$38:$Y$58,-1)+1))-INDEX('KT THAN'!$W$38:$W$58,MATCH(R172,'KT THAN'!$Y$38:$Y$58,-1)))*(R172-INDEX('KT THAN'!$Y$38:$Y$58,MATCH(R172,'KT THAN'!$Y$38:$Y$58,-1)))/(INDEX('KT THAN'!$Y$38:$Y$58,MIN(21,MATCH(R172,'KT THAN'!$Y$38:$Y$58,-1)+1))-INDEX('KT THAN'!$Y$38:$Y$58,MATCH(R172,'KT THAN'!$Y$38:$Y$58,-1)))),MIN(0.8*0.75*'KT THAN'!$C$62,'KT THAN'!$D$68/R172)))))</f>
        <v/>
      </c>
      <c r="O172" s="38" t="str">
        <f>IF($A172="","",IF(H172&lt;0,ABS(H172)/MAX('KT THAN'!$C$69,0.001)+'KT THAN'!$C$32*ABS(J172)/MAX('KT THAN'!$C$68,0.001)+'KT THAN'!$D$32*ABS(I172)/MAX('KT THAN'!$D$68,0.001),IF(OR(M172&lt;=0,N172&lt;=0),999,IF(H172&gt;=0.1*0.75*fc_*Agth*1000,H172/MAX(0.001,1/(1/M172+1/N172-1/(0.75*'KT THAN'!$C$62))),'KT THAN'!$C$32*ABS(J172)/MAX('KT THAN'!$C$68,0.001)+'KT THAN'!$D$32*ABS(I172)/MAX('KT THAN'!$D$68,0.001)))))</f>
        <v/>
      </c>
      <c r="P172" s="37" t="str">
        <f t="shared" si="36"/>
        <v/>
      </c>
      <c r="Q172" s="38" t="str">
        <f>IF($A172="","",MAX(0.001,'KT THAN'!$C$32*ABS(J172)/MAX(1,H172)))</f>
        <v/>
      </c>
      <c r="R172" s="38" t="str">
        <f>IF($A172="","",MAX(0.001,'KT THAN'!$D$32*ABS(I172)/MAX(1,H172)))</f>
        <v/>
      </c>
      <c r="S172" t="str">
        <f t="shared" si="30"/>
        <v/>
      </c>
    </row>
    <row r="173" spans="1:19" hidden="1" outlineLevel="1" x14ac:dyDescent="0.3">
      <c r="A173" s="37" t="str">
        <f>IF('TO HOP NLAN'!$A39="","",'TO HOP NLAN'!$A39)</f>
        <v/>
      </c>
      <c r="B173" s="38" t="str">
        <f>IF($A173="","",'TO HOP NLAN'!$D39)</f>
        <v/>
      </c>
      <c r="C173" s="38" t="str">
        <f>IF($A173="","",'TO HOP NLAN'!$E39)</f>
        <v/>
      </c>
      <c r="D173" s="38" t="str">
        <f>IF($A173="","",'TO HOP NLAN'!$F39)</f>
        <v/>
      </c>
      <c r="E173" s="38" t="str">
        <f>IF($A173="","",'TO HOP NLAN'!$B39)</f>
        <v/>
      </c>
      <c r="F173" s="38" t="str">
        <f>IF($A173="","",'TO HOP NLAN'!$C39)</f>
        <v/>
      </c>
      <c r="G173" s="38" t="str">
        <f t="shared" si="31"/>
        <v/>
      </c>
      <c r="H173" s="38" t="str">
        <f t="shared" si="24"/>
        <v/>
      </c>
      <c r="I173" s="38" t="str">
        <f t="shared" si="32"/>
        <v/>
      </c>
      <c r="J173" s="38" t="str">
        <f t="shared" si="33"/>
        <v/>
      </c>
      <c r="K173" s="38" t="str">
        <f t="shared" si="34"/>
        <v/>
      </c>
      <c r="L173" s="38" t="str">
        <f t="shared" si="35"/>
        <v/>
      </c>
      <c r="M173" s="38" t="str">
        <f>IF($A173="","",IF(H173=0,"",IF(Q173&lt;=0.000000001,MIN(0.8*0.75*'KT THAN'!$C$62,MAX('KT THAN'!$J$38:$J$58)),IFERROR(MIN(0.8*0.75*'KT THAN'!$C$62,INDEX('KT THAN'!$J$38:$J$58,MATCH(Q173,'KT THAN'!$L$38:$L$58,-1))+(INDEX('KT THAN'!$J$38:$J$58,MIN(21,MATCH(Q173,'KT THAN'!$L$38:$L$58,-1)+1))-INDEX('KT THAN'!$J$38:$J$58,MATCH(Q173,'KT THAN'!$L$38:$L$58,-1)))*(Q173-INDEX('KT THAN'!$L$38:$L$58,MATCH(Q173,'KT THAN'!$L$38:$L$58,-1)))/(INDEX('KT THAN'!$L$38:$L$58,MIN(21,MATCH(Q173,'KT THAN'!$L$38:$L$58,-1)+1))-INDEX('KT THAN'!$L$38:$L$58,MATCH(Q173,'KT THAN'!$L$38:$L$58,-1)))),MIN(0.8*0.75*'KT THAN'!$C$62,'KT THAN'!$C$68/Q173)))))</f>
        <v/>
      </c>
      <c r="N173" s="38" t="str">
        <f>IF($A173="","",IF(H173=0,"",IF(R173&lt;=0.000000001,MIN(0.8*0.75*'KT THAN'!$C$62,MAX('KT THAN'!$W$38:$W$58)),IFERROR(MIN(0.8*0.75*'KT THAN'!$C$62,INDEX('KT THAN'!$W$38:$W$58,MATCH(R173,'KT THAN'!$Y$38:$Y$58,-1))+(INDEX('KT THAN'!$W$38:$W$58,MIN(21,MATCH(R173,'KT THAN'!$Y$38:$Y$58,-1)+1))-INDEX('KT THAN'!$W$38:$W$58,MATCH(R173,'KT THAN'!$Y$38:$Y$58,-1)))*(R173-INDEX('KT THAN'!$Y$38:$Y$58,MATCH(R173,'KT THAN'!$Y$38:$Y$58,-1)))/(INDEX('KT THAN'!$Y$38:$Y$58,MIN(21,MATCH(R173,'KT THAN'!$Y$38:$Y$58,-1)+1))-INDEX('KT THAN'!$Y$38:$Y$58,MATCH(R173,'KT THAN'!$Y$38:$Y$58,-1)))),MIN(0.8*0.75*'KT THAN'!$C$62,'KT THAN'!$D$68/R173)))))</f>
        <v/>
      </c>
      <c r="O173" s="38" t="str">
        <f>IF($A173="","",IF(H173&lt;0,ABS(H173)/MAX('KT THAN'!$C$69,0.001)+'KT THAN'!$C$32*ABS(J173)/MAX('KT THAN'!$C$68,0.001)+'KT THAN'!$D$32*ABS(I173)/MAX('KT THAN'!$D$68,0.001),IF(OR(M173&lt;=0,N173&lt;=0),999,IF(H173&gt;=0.1*0.75*fc_*Agth*1000,H173/MAX(0.001,1/(1/M173+1/N173-1/(0.75*'KT THAN'!$C$62))),'KT THAN'!$C$32*ABS(J173)/MAX('KT THAN'!$C$68,0.001)+'KT THAN'!$D$32*ABS(I173)/MAX('KT THAN'!$D$68,0.001)))))</f>
        <v/>
      </c>
      <c r="P173" s="37" t="str">
        <f t="shared" si="36"/>
        <v/>
      </c>
      <c r="Q173" s="38" t="str">
        <f>IF($A173="","",MAX(0.001,'KT THAN'!$C$32*ABS(J173)/MAX(1,H173)))</f>
        <v/>
      </c>
      <c r="R173" s="38" t="str">
        <f>IF($A173="","",MAX(0.001,'KT THAN'!$D$32*ABS(I173)/MAX(1,H173)))</f>
        <v/>
      </c>
      <c r="S173" t="str">
        <f t="shared" si="30"/>
        <v/>
      </c>
    </row>
    <row r="174" spans="1:19" hidden="1" outlineLevel="1" x14ac:dyDescent="0.3">
      <c r="A174" s="37" t="str">
        <f>IF('TO HOP NLAN'!$A40="","",'TO HOP NLAN'!$A40)</f>
        <v/>
      </c>
      <c r="B174" s="38" t="str">
        <f>IF($A174="","",'TO HOP NLAN'!$D40)</f>
        <v/>
      </c>
      <c r="C174" s="38" t="str">
        <f>IF($A174="","",'TO HOP NLAN'!$E40)</f>
        <v/>
      </c>
      <c r="D174" s="38" t="str">
        <f>IF($A174="","",'TO HOP NLAN'!$F40)</f>
        <v/>
      </c>
      <c r="E174" s="38" t="str">
        <f>IF($A174="","",'TO HOP NLAN'!$B40)</f>
        <v/>
      </c>
      <c r="F174" s="38" t="str">
        <f>IF($A174="","",'TO HOP NLAN'!$C40)</f>
        <v/>
      </c>
      <c r="G174" s="38" t="str">
        <f t="shared" si="31"/>
        <v/>
      </c>
      <c r="H174" s="38" t="str">
        <f t="shared" si="24"/>
        <v/>
      </c>
      <c r="I174" s="38" t="str">
        <f t="shared" si="32"/>
        <v/>
      </c>
      <c r="J174" s="38" t="str">
        <f t="shared" si="33"/>
        <v/>
      </c>
      <c r="K174" s="38" t="str">
        <f t="shared" si="34"/>
        <v/>
      </c>
      <c r="L174" s="38" t="str">
        <f t="shared" si="35"/>
        <v/>
      </c>
      <c r="M174" s="38" t="str">
        <f>IF($A174="","",IF(H174=0,"",IF(Q174&lt;=0.000000001,MIN(0.8*0.75*'KT THAN'!$C$62,MAX('KT THAN'!$J$38:$J$58)),IFERROR(MIN(0.8*0.75*'KT THAN'!$C$62,INDEX('KT THAN'!$J$38:$J$58,MATCH(Q174,'KT THAN'!$L$38:$L$58,-1))+(INDEX('KT THAN'!$J$38:$J$58,MIN(21,MATCH(Q174,'KT THAN'!$L$38:$L$58,-1)+1))-INDEX('KT THAN'!$J$38:$J$58,MATCH(Q174,'KT THAN'!$L$38:$L$58,-1)))*(Q174-INDEX('KT THAN'!$L$38:$L$58,MATCH(Q174,'KT THAN'!$L$38:$L$58,-1)))/(INDEX('KT THAN'!$L$38:$L$58,MIN(21,MATCH(Q174,'KT THAN'!$L$38:$L$58,-1)+1))-INDEX('KT THAN'!$L$38:$L$58,MATCH(Q174,'KT THAN'!$L$38:$L$58,-1)))),MIN(0.8*0.75*'KT THAN'!$C$62,'KT THAN'!$C$68/Q174)))))</f>
        <v/>
      </c>
      <c r="N174" s="38" t="str">
        <f>IF($A174="","",IF(H174=0,"",IF(R174&lt;=0.000000001,MIN(0.8*0.75*'KT THAN'!$C$62,MAX('KT THAN'!$W$38:$W$58)),IFERROR(MIN(0.8*0.75*'KT THAN'!$C$62,INDEX('KT THAN'!$W$38:$W$58,MATCH(R174,'KT THAN'!$Y$38:$Y$58,-1))+(INDEX('KT THAN'!$W$38:$W$58,MIN(21,MATCH(R174,'KT THAN'!$Y$38:$Y$58,-1)+1))-INDEX('KT THAN'!$W$38:$W$58,MATCH(R174,'KT THAN'!$Y$38:$Y$58,-1)))*(R174-INDEX('KT THAN'!$Y$38:$Y$58,MATCH(R174,'KT THAN'!$Y$38:$Y$58,-1)))/(INDEX('KT THAN'!$Y$38:$Y$58,MIN(21,MATCH(R174,'KT THAN'!$Y$38:$Y$58,-1)+1))-INDEX('KT THAN'!$Y$38:$Y$58,MATCH(R174,'KT THAN'!$Y$38:$Y$58,-1)))),MIN(0.8*0.75*'KT THAN'!$C$62,'KT THAN'!$D$68/R174)))))</f>
        <v/>
      </c>
      <c r="O174" s="38" t="str">
        <f>IF($A174="","",IF(H174&lt;0,ABS(H174)/MAX('KT THAN'!$C$69,0.001)+'KT THAN'!$C$32*ABS(J174)/MAX('KT THAN'!$C$68,0.001)+'KT THAN'!$D$32*ABS(I174)/MAX('KT THAN'!$D$68,0.001),IF(OR(M174&lt;=0,N174&lt;=0),999,IF(H174&gt;=0.1*0.75*fc_*Agth*1000,H174/MAX(0.001,1/(1/M174+1/N174-1/(0.75*'KT THAN'!$C$62))),'KT THAN'!$C$32*ABS(J174)/MAX('KT THAN'!$C$68,0.001)+'KT THAN'!$D$32*ABS(I174)/MAX('KT THAN'!$D$68,0.001)))))</f>
        <v/>
      </c>
      <c r="P174" s="37" t="str">
        <f t="shared" si="36"/>
        <v/>
      </c>
      <c r="Q174" s="38" t="str">
        <f>IF($A174="","",MAX(0.001,'KT THAN'!$C$32*ABS(J174)/MAX(1,H174)))</f>
        <v/>
      </c>
      <c r="R174" s="38" t="str">
        <f>IF($A174="","",MAX(0.001,'KT THAN'!$D$32*ABS(I174)/MAX(1,H174)))</f>
        <v/>
      </c>
      <c r="S174" t="str">
        <f t="shared" si="30"/>
        <v/>
      </c>
    </row>
    <row r="175" spans="1:19" hidden="1" outlineLevel="1" x14ac:dyDescent="0.3">
      <c r="A175" s="37" t="str">
        <f>IF('TO HOP NLAN'!$A41="","",'TO HOP NLAN'!$A41)</f>
        <v/>
      </c>
      <c r="B175" s="38" t="str">
        <f>IF($A175="","",'TO HOP NLAN'!$D41)</f>
        <v/>
      </c>
      <c r="C175" s="38" t="str">
        <f>IF($A175="","",'TO HOP NLAN'!$E41)</f>
        <v/>
      </c>
      <c r="D175" s="38" t="str">
        <f>IF($A175="","",'TO HOP NLAN'!$F41)</f>
        <v/>
      </c>
      <c r="E175" s="38" t="str">
        <f>IF($A175="","",'TO HOP NLAN'!$B41)</f>
        <v/>
      </c>
      <c r="F175" s="38" t="str">
        <f>IF($A175="","",'TO HOP NLAN'!$C41)</f>
        <v/>
      </c>
      <c r="G175" s="38" t="str">
        <f t="shared" si="31"/>
        <v/>
      </c>
      <c r="H175" s="38" t="str">
        <f t="shared" si="24"/>
        <v/>
      </c>
      <c r="I175" s="38" t="str">
        <f t="shared" si="32"/>
        <v/>
      </c>
      <c r="J175" s="38" t="str">
        <f t="shared" si="33"/>
        <v/>
      </c>
      <c r="K175" s="38" t="str">
        <f t="shared" si="34"/>
        <v/>
      </c>
      <c r="L175" s="38" t="str">
        <f t="shared" si="35"/>
        <v/>
      </c>
      <c r="M175" s="38" t="str">
        <f>IF($A175="","",IF(H175=0,"",IF(Q175&lt;=0.000000001,MIN(0.8*0.75*'KT THAN'!$C$62,MAX('KT THAN'!$J$38:$J$58)),IFERROR(MIN(0.8*0.75*'KT THAN'!$C$62,INDEX('KT THAN'!$J$38:$J$58,MATCH(Q175,'KT THAN'!$L$38:$L$58,-1))+(INDEX('KT THAN'!$J$38:$J$58,MIN(21,MATCH(Q175,'KT THAN'!$L$38:$L$58,-1)+1))-INDEX('KT THAN'!$J$38:$J$58,MATCH(Q175,'KT THAN'!$L$38:$L$58,-1)))*(Q175-INDEX('KT THAN'!$L$38:$L$58,MATCH(Q175,'KT THAN'!$L$38:$L$58,-1)))/(INDEX('KT THAN'!$L$38:$L$58,MIN(21,MATCH(Q175,'KT THAN'!$L$38:$L$58,-1)+1))-INDEX('KT THAN'!$L$38:$L$58,MATCH(Q175,'KT THAN'!$L$38:$L$58,-1)))),MIN(0.8*0.75*'KT THAN'!$C$62,'KT THAN'!$C$68/Q175)))))</f>
        <v/>
      </c>
      <c r="N175" s="38" t="str">
        <f>IF($A175="","",IF(H175=0,"",IF(R175&lt;=0.000000001,MIN(0.8*0.75*'KT THAN'!$C$62,MAX('KT THAN'!$W$38:$W$58)),IFERROR(MIN(0.8*0.75*'KT THAN'!$C$62,INDEX('KT THAN'!$W$38:$W$58,MATCH(R175,'KT THAN'!$Y$38:$Y$58,-1))+(INDEX('KT THAN'!$W$38:$W$58,MIN(21,MATCH(R175,'KT THAN'!$Y$38:$Y$58,-1)+1))-INDEX('KT THAN'!$W$38:$W$58,MATCH(R175,'KT THAN'!$Y$38:$Y$58,-1)))*(R175-INDEX('KT THAN'!$Y$38:$Y$58,MATCH(R175,'KT THAN'!$Y$38:$Y$58,-1)))/(INDEX('KT THAN'!$Y$38:$Y$58,MIN(21,MATCH(R175,'KT THAN'!$Y$38:$Y$58,-1)+1))-INDEX('KT THAN'!$Y$38:$Y$58,MATCH(R175,'KT THAN'!$Y$38:$Y$58,-1)))),MIN(0.8*0.75*'KT THAN'!$C$62,'KT THAN'!$D$68/R175)))))</f>
        <v/>
      </c>
      <c r="O175" s="38" t="str">
        <f>IF($A175="","",IF(H175&lt;0,ABS(H175)/MAX('KT THAN'!$C$69,0.001)+'KT THAN'!$C$32*ABS(J175)/MAX('KT THAN'!$C$68,0.001)+'KT THAN'!$D$32*ABS(I175)/MAX('KT THAN'!$D$68,0.001),IF(OR(M175&lt;=0,N175&lt;=0),999,IF(H175&gt;=0.1*0.75*fc_*Agth*1000,H175/MAX(0.001,1/(1/M175+1/N175-1/(0.75*'KT THAN'!$C$62))),'KT THAN'!$C$32*ABS(J175)/MAX('KT THAN'!$C$68,0.001)+'KT THAN'!$D$32*ABS(I175)/MAX('KT THAN'!$D$68,0.001)))))</f>
        <v/>
      </c>
      <c r="P175" s="37" t="str">
        <f t="shared" si="36"/>
        <v/>
      </c>
      <c r="Q175" s="38" t="str">
        <f>IF($A175="","",MAX(0.001,'KT THAN'!$C$32*ABS(J175)/MAX(1,H175)))</f>
        <v/>
      </c>
      <c r="R175" s="38" t="str">
        <f>IF($A175="","",MAX(0.001,'KT THAN'!$D$32*ABS(I175)/MAX(1,H175)))</f>
        <v/>
      </c>
      <c r="S175" t="str">
        <f t="shared" si="30"/>
        <v/>
      </c>
    </row>
    <row r="176" spans="1:19" hidden="1" outlineLevel="1" x14ac:dyDescent="0.3">
      <c r="A176" s="37" t="str">
        <f>IF('TO HOP NLAN'!$A42="","",'TO HOP NLAN'!$A42)</f>
        <v/>
      </c>
      <c r="B176" s="38" t="str">
        <f>IF($A176="","",'TO HOP NLAN'!$D42)</f>
        <v/>
      </c>
      <c r="C176" s="38" t="str">
        <f>IF($A176="","",'TO HOP NLAN'!$E42)</f>
        <v/>
      </c>
      <c r="D176" s="38" t="str">
        <f>IF($A176="","",'TO HOP NLAN'!$F42)</f>
        <v/>
      </c>
      <c r="E176" s="38" t="str">
        <f>IF($A176="","",'TO HOP NLAN'!$B42)</f>
        <v/>
      </c>
      <c r="F176" s="38" t="str">
        <f>IF($A176="","",'TO HOP NLAN'!$C42)</f>
        <v/>
      </c>
      <c r="G176" s="38" t="str">
        <f t="shared" si="31"/>
        <v/>
      </c>
      <c r="H176" s="38" t="str">
        <f t="shared" si="24"/>
        <v/>
      </c>
      <c r="I176" s="38" t="str">
        <f t="shared" si="32"/>
        <v/>
      </c>
      <c r="J176" s="38" t="str">
        <f t="shared" si="33"/>
        <v/>
      </c>
      <c r="K176" s="38" t="str">
        <f t="shared" si="34"/>
        <v/>
      </c>
      <c r="L176" s="38" t="str">
        <f t="shared" si="35"/>
        <v/>
      </c>
      <c r="M176" s="38" t="str">
        <f>IF($A176="","",IF(H176=0,"",IF(Q176&lt;=0.000000001,MIN(0.8*0.75*'KT THAN'!$C$62,MAX('KT THAN'!$J$38:$J$58)),IFERROR(MIN(0.8*0.75*'KT THAN'!$C$62,INDEX('KT THAN'!$J$38:$J$58,MATCH(Q176,'KT THAN'!$L$38:$L$58,-1))+(INDEX('KT THAN'!$J$38:$J$58,MIN(21,MATCH(Q176,'KT THAN'!$L$38:$L$58,-1)+1))-INDEX('KT THAN'!$J$38:$J$58,MATCH(Q176,'KT THAN'!$L$38:$L$58,-1)))*(Q176-INDEX('KT THAN'!$L$38:$L$58,MATCH(Q176,'KT THAN'!$L$38:$L$58,-1)))/(INDEX('KT THAN'!$L$38:$L$58,MIN(21,MATCH(Q176,'KT THAN'!$L$38:$L$58,-1)+1))-INDEX('KT THAN'!$L$38:$L$58,MATCH(Q176,'KT THAN'!$L$38:$L$58,-1)))),MIN(0.8*0.75*'KT THAN'!$C$62,'KT THAN'!$C$68/Q176)))))</f>
        <v/>
      </c>
      <c r="N176" s="38" t="str">
        <f>IF($A176="","",IF(H176=0,"",IF(R176&lt;=0.000000001,MIN(0.8*0.75*'KT THAN'!$C$62,MAX('KT THAN'!$W$38:$W$58)),IFERROR(MIN(0.8*0.75*'KT THAN'!$C$62,INDEX('KT THAN'!$W$38:$W$58,MATCH(R176,'KT THAN'!$Y$38:$Y$58,-1))+(INDEX('KT THAN'!$W$38:$W$58,MIN(21,MATCH(R176,'KT THAN'!$Y$38:$Y$58,-1)+1))-INDEX('KT THAN'!$W$38:$W$58,MATCH(R176,'KT THAN'!$Y$38:$Y$58,-1)))*(R176-INDEX('KT THAN'!$Y$38:$Y$58,MATCH(R176,'KT THAN'!$Y$38:$Y$58,-1)))/(INDEX('KT THAN'!$Y$38:$Y$58,MIN(21,MATCH(R176,'KT THAN'!$Y$38:$Y$58,-1)+1))-INDEX('KT THAN'!$Y$38:$Y$58,MATCH(R176,'KT THAN'!$Y$38:$Y$58,-1)))),MIN(0.8*0.75*'KT THAN'!$C$62,'KT THAN'!$D$68/R176)))))</f>
        <v/>
      </c>
      <c r="O176" s="38" t="str">
        <f>IF($A176="","",IF(H176&lt;0,ABS(H176)/MAX('KT THAN'!$C$69,0.001)+'KT THAN'!$C$32*ABS(J176)/MAX('KT THAN'!$C$68,0.001)+'KT THAN'!$D$32*ABS(I176)/MAX('KT THAN'!$D$68,0.001),IF(OR(M176&lt;=0,N176&lt;=0),999,IF(H176&gt;=0.1*0.75*fc_*Agth*1000,H176/MAX(0.001,1/(1/M176+1/N176-1/(0.75*'KT THAN'!$C$62))),'KT THAN'!$C$32*ABS(J176)/MAX('KT THAN'!$C$68,0.001)+'KT THAN'!$D$32*ABS(I176)/MAX('KT THAN'!$D$68,0.001)))))</f>
        <v/>
      </c>
      <c r="P176" s="37" t="str">
        <f t="shared" si="36"/>
        <v/>
      </c>
      <c r="Q176" s="38" t="str">
        <f>IF($A176="","",MAX(0.001,'KT THAN'!$C$32*ABS(J176)/MAX(1,H176)))</f>
        <v/>
      </c>
      <c r="R176" s="38" t="str">
        <f>IF($A176="","",MAX(0.001,'KT THAN'!$D$32*ABS(I176)/MAX(1,H176)))</f>
        <v/>
      </c>
      <c r="S176" t="str">
        <f t="shared" si="30"/>
        <v/>
      </c>
    </row>
    <row r="177" spans="1:19" hidden="1" outlineLevel="1" x14ac:dyDescent="0.3">
      <c r="A177" s="37" t="str">
        <f>IF('TO HOP NLAN'!$A43="","",'TO HOP NLAN'!$A43)</f>
        <v/>
      </c>
      <c r="B177" s="38" t="str">
        <f>IF($A177="","",'TO HOP NLAN'!$D43)</f>
        <v/>
      </c>
      <c r="C177" s="38" t="str">
        <f>IF($A177="","",'TO HOP NLAN'!$E43)</f>
        <v/>
      </c>
      <c r="D177" s="38" t="str">
        <f>IF($A177="","",'TO HOP NLAN'!$F43)</f>
        <v/>
      </c>
      <c r="E177" s="38" t="str">
        <f>IF($A177="","",'TO HOP NLAN'!$B43)</f>
        <v/>
      </c>
      <c r="F177" s="38" t="str">
        <f>IF($A177="","",'TO HOP NLAN'!$C43)</f>
        <v/>
      </c>
      <c r="G177" s="38" t="str">
        <f t="shared" si="31"/>
        <v/>
      </c>
      <c r="H177" s="38" t="str">
        <f t="shared" si="24"/>
        <v/>
      </c>
      <c r="I177" s="38" t="str">
        <f t="shared" si="32"/>
        <v/>
      </c>
      <c r="J177" s="38" t="str">
        <f t="shared" si="33"/>
        <v/>
      </c>
      <c r="K177" s="38" t="str">
        <f t="shared" si="34"/>
        <v/>
      </c>
      <c r="L177" s="38" t="str">
        <f t="shared" si="35"/>
        <v/>
      </c>
      <c r="M177" s="38" t="str">
        <f>IF($A177="","",IF(H177=0,"",IF(Q177&lt;=0.000000001,MIN(0.8*0.75*'KT THAN'!$C$62,MAX('KT THAN'!$J$38:$J$58)),IFERROR(MIN(0.8*0.75*'KT THAN'!$C$62,INDEX('KT THAN'!$J$38:$J$58,MATCH(Q177,'KT THAN'!$L$38:$L$58,-1))+(INDEX('KT THAN'!$J$38:$J$58,MIN(21,MATCH(Q177,'KT THAN'!$L$38:$L$58,-1)+1))-INDEX('KT THAN'!$J$38:$J$58,MATCH(Q177,'KT THAN'!$L$38:$L$58,-1)))*(Q177-INDEX('KT THAN'!$L$38:$L$58,MATCH(Q177,'KT THAN'!$L$38:$L$58,-1)))/(INDEX('KT THAN'!$L$38:$L$58,MIN(21,MATCH(Q177,'KT THAN'!$L$38:$L$58,-1)+1))-INDEX('KT THAN'!$L$38:$L$58,MATCH(Q177,'KT THAN'!$L$38:$L$58,-1)))),MIN(0.8*0.75*'KT THAN'!$C$62,'KT THAN'!$C$68/Q177)))))</f>
        <v/>
      </c>
      <c r="N177" s="38" t="str">
        <f>IF($A177="","",IF(H177=0,"",IF(R177&lt;=0.000000001,MIN(0.8*0.75*'KT THAN'!$C$62,MAX('KT THAN'!$W$38:$W$58)),IFERROR(MIN(0.8*0.75*'KT THAN'!$C$62,INDEX('KT THAN'!$W$38:$W$58,MATCH(R177,'KT THAN'!$Y$38:$Y$58,-1))+(INDEX('KT THAN'!$W$38:$W$58,MIN(21,MATCH(R177,'KT THAN'!$Y$38:$Y$58,-1)+1))-INDEX('KT THAN'!$W$38:$W$58,MATCH(R177,'KT THAN'!$Y$38:$Y$58,-1)))*(R177-INDEX('KT THAN'!$Y$38:$Y$58,MATCH(R177,'KT THAN'!$Y$38:$Y$58,-1)))/(INDEX('KT THAN'!$Y$38:$Y$58,MIN(21,MATCH(R177,'KT THAN'!$Y$38:$Y$58,-1)+1))-INDEX('KT THAN'!$Y$38:$Y$58,MATCH(R177,'KT THAN'!$Y$38:$Y$58,-1)))),MIN(0.8*0.75*'KT THAN'!$C$62,'KT THAN'!$D$68/R177)))))</f>
        <v/>
      </c>
      <c r="O177" s="38" t="str">
        <f>IF($A177="","",IF(H177&lt;0,ABS(H177)/MAX('KT THAN'!$C$69,0.001)+'KT THAN'!$C$32*ABS(J177)/MAX('KT THAN'!$C$68,0.001)+'KT THAN'!$D$32*ABS(I177)/MAX('KT THAN'!$D$68,0.001),IF(OR(M177&lt;=0,N177&lt;=0),999,IF(H177&gt;=0.1*0.75*fc_*Agth*1000,H177/MAX(0.001,1/(1/M177+1/N177-1/(0.75*'KT THAN'!$C$62))),'KT THAN'!$C$32*ABS(J177)/MAX('KT THAN'!$C$68,0.001)+'KT THAN'!$D$32*ABS(I177)/MAX('KT THAN'!$D$68,0.001)))))</f>
        <v/>
      </c>
      <c r="P177" s="37" t="str">
        <f t="shared" si="36"/>
        <v/>
      </c>
      <c r="Q177" s="38" t="str">
        <f>IF($A177="","",MAX(0.001,'KT THAN'!$C$32*ABS(J177)/MAX(1,H177)))</f>
        <v/>
      </c>
      <c r="R177" s="38" t="str">
        <f>IF($A177="","",MAX(0.001,'KT THAN'!$D$32*ABS(I177)/MAX(1,H177)))</f>
        <v/>
      </c>
      <c r="S177" t="str">
        <f t="shared" si="30"/>
        <v/>
      </c>
    </row>
    <row r="178" spans="1:19" hidden="1" outlineLevel="1" x14ac:dyDescent="0.3">
      <c r="A178" s="37" t="str">
        <f>IF('TO HOP NLAN'!$A44="","",'TO HOP NLAN'!$A44)</f>
        <v/>
      </c>
      <c r="B178" s="38" t="str">
        <f>IF($A178="","",'TO HOP NLAN'!$D44)</f>
        <v/>
      </c>
      <c r="C178" s="38" t="str">
        <f>IF($A178="","",'TO HOP NLAN'!$E44)</f>
        <v/>
      </c>
      <c r="D178" s="38" t="str">
        <f>IF($A178="","",'TO HOP NLAN'!$F44)</f>
        <v/>
      </c>
      <c r="E178" s="38" t="str">
        <f>IF($A178="","",'TO HOP NLAN'!$B44)</f>
        <v/>
      </c>
      <c r="F178" s="38" t="str">
        <f>IF($A178="","",'TO HOP NLAN'!$C44)</f>
        <v/>
      </c>
      <c r="G178" s="38" t="str">
        <f t="shared" si="31"/>
        <v/>
      </c>
      <c r="H178" s="38" t="str">
        <f t="shared" si="24"/>
        <v/>
      </c>
      <c r="I178" s="38" t="str">
        <f t="shared" si="32"/>
        <v/>
      </c>
      <c r="J178" s="38" t="str">
        <f t="shared" si="33"/>
        <v/>
      </c>
      <c r="K178" s="38" t="str">
        <f t="shared" si="34"/>
        <v/>
      </c>
      <c r="L178" s="38" t="str">
        <f t="shared" si="35"/>
        <v/>
      </c>
      <c r="M178" s="38" t="str">
        <f>IF($A178="","",IF(H178=0,"",IF(Q178&lt;=0.000000001,MIN(0.8*0.75*'KT THAN'!$C$62,MAX('KT THAN'!$J$38:$J$58)),IFERROR(MIN(0.8*0.75*'KT THAN'!$C$62,INDEX('KT THAN'!$J$38:$J$58,MATCH(Q178,'KT THAN'!$L$38:$L$58,-1))+(INDEX('KT THAN'!$J$38:$J$58,MIN(21,MATCH(Q178,'KT THAN'!$L$38:$L$58,-1)+1))-INDEX('KT THAN'!$J$38:$J$58,MATCH(Q178,'KT THAN'!$L$38:$L$58,-1)))*(Q178-INDEX('KT THAN'!$L$38:$L$58,MATCH(Q178,'KT THAN'!$L$38:$L$58,-1)))/(INDEX('KT THAN'!$L$38:$L$58,MIN(21,MATCH(Q178,'KT THAN'!$L$38:$L$58,-1)+1))-INDEX('KT THAN'!$L$38:$L$58,MATCH(Q178,'KT THAN'!$L$38:$L$58,-1)))),MIN(0.8*0.75*'KT THAN'!$C$62,'KT THAN'!$C$68/Q178)))))</f>
        <v/>
      </c>
      <c r="N178" s="38" t="str">
        <f>IF($A178="","",IF(H178=0,"",IF(R178&lt;=0.000000001,MIN(0.8*0.75*'KT THAN'!$C$62,MAX('KT THAN'!$W$38:$W$58)),IFERROR(MIN(0.8*0.75*'KT THAN'!$C$62,INDEX('KT THAN'!$W$38:$W$58,MATCH(R178,'KT THAN'!$Y$38:$Y$58,-1))+(INDEX('KT THAN'!$W$38:$W$58,MIN(21,MATCH(R178,'KT THAN'!$Y$38:$Y$58,-1)+1))-INDEX('KT THAN'!$W$38:$W$58,MATCH(R178,'KT THAN'!$Y$38:$Y$58,-1)))*(R178-INDEX('KT THAN'!$Y$38:$Y$58,MATCH(R178,'KT THAN'!$Y$38:$Y$58,-1)))/(INDEX('KT THAN'!$Y$38:$Y$58,MIN(21,MATCH(R178,'KT THAN'!$Y$38:$Y$58,-1)+1))-INDEX('KT THAN'!$Y$38:$Y$58,MATCH(R178,'KT THAN'!$Y$38:$Y$58,-1)))),MIN(0.8*0.75*'KT THAN'!$C$62,'KT THAN'!$D$68/R178)))))</f>
        <v/>
      </c>
      <c r="O178" s="38" t="str">
        <f>IF($A178="","",IF(H178&lt;0,ABS(H178)/MAX('KT THAN'!$C$69,0.001)+'KT THAN'!$C$32*ABS(J178)/MAX('KT THAN'!$C$68,0.001)+'KT THAN'!$D$32*ABS(I178)/MAX('KT THAN'!$D$68,0.001),IF(OR(M178&lt;=0,N178&lt;=0),999,IF(H178&gt;=0.1*0.75*fc_*Agth*1000,H178/MAX(0.001,1/(1/M178+1/N178-1/(0.75*'KT THAN'!$C$62))),'KT THAN'!$C$32*ABS(J178)/MAX('KT THAN'!$C$68,0.001)+'KT THAN'!$D$32*ABS(I178)/MAX('KT THAN'!$D$68,0.001)))))</f>
        <v/>
      </c>
      <c r="P178" s="37" t="str">
        <f t="shared" si="36"/>
        <v/>
      </c>
      <c r="Q178" s="38" t="str">
        <f>IF($A178="","",MAX(0.001,'KT THAN'!$C$32*ABS(J178)/MAX(1,H178)))</f>
        <v/>
      </c>
      <c r="R178" s="38" t="str">
        <f>IF($A178="","",MAX(0.001,'KT THAN'!$D$32*ABS(I178)/MAX(1,H178)))</f>
        <v/>
      </c>
      <c r="S178" t="str">
        <f t="shared" si="30"/>
        <v/>
      </c>
    </row>
    <row r="179" spans="1:19" hidden="1" outlineLevel="1" x14ac:dyDescent="0.3">
      <c r="A179" s="37" t="str">
        <f>IF('TO HOP NLAN'!$A45="","",'TO HOP NLAN'!$A45)</f>
        <v/>
      </c>
      <c r="B179" s="38" t="str">
        <f>IF($A179="","",'TO HOP NLAN'!$D45)</f>
        <v/>
      </c>
      <c r="C179" s="38" t="str">
        <f>IF($A179="","",'TO HOP NLAN'!$E45)</f>
        <v/>
      </c>
      <c r="D179" s="38" t="str">
        <f>IF($A179="","",'TO HOP NLAN'!$F45)</f>
        <v/>
      </c>
      <c r="E179" s="38" t="str">
        <f>IF($A179="","",'TO HOP NLAN'!$B45)</f>
        <v/>
      </c>
      <c r="F179" s="38" t="str">
        <f>IF($A179="","",'TO HOP NLAN'!$C45)</f>
        <v/>
      </c>
      <c r="G179" s="38" t="str">
        <f t="shared" si="31"/>
        <v/>
      </c>
      <c r="H179" s="38" t="str">
        <f t="shared" si="24"/>
        <v/>
      </c>
      <c r="I179" s="38" t="str">
        <f t="shared" si="32"/>
        <v/>
      </c>
      <c r="J179" s="38" t="str">
        <f t="shared" si="33"/>
        <v/>
      </c>
      <c r="K179" s="38" t="str">
        <f t="shared" si="34"/>
        <v/>
      </c>
      <c r="L179" s="38" t="str">
        <f t="shared" si="35"/>
        <v/>
      </c>
      <c r="M179" s="38" t="str">
        <f>IF($A179="","",IF(H179=0,"",IF(Q179&lt;=0.000000001,MIN(0.8*0.75*'KT THAN'!$C$62,MAX('KT THAN'!$J$38:$J$58)),IFERROR(MIN(0.8*0.75*'KT THAN'!$C$62,INDEX('KT THAN'!$J$38:$J$58,MATCH(Q179,'KT THAN'!$L$38:$L$58,-1))+(INDEX('KT THAN'!$J$38:$J$58,MIN(21,MATCH(Q179,'KT THAN'!$L$38:$L$58,-1)+1))-INDEX('KT THAN'!$J$38:$J$58,MATCH(Q179,'KT THAN'!$L$38:$L$58,-1)))*(Q179-INDEX('KT THAN'!$L$38:$L$58,MATCH(Q179,'KT THAN'!$L$38:$L$58,-1)))/(INDEX('KT THAN'!$L$38:$L$58,MIN(21,MATCH(Q179,'KT THAN'!$L$38:$L$58,-1)+1))-INDEX('KT THAN'!$L$38:$L$58,MATCH(Q179,'KT THAN'!$L$38:$L$58,-1)))),MIN(0.8*0.75*'KT THAN'!$C$62,'KT THAN'!$C$68/Q179)))))</f>
        <v/>
      </c>
      <c r="N179" s="38" t="str">
        <f>IF($A179="","",IF(H179=0,"",IF(R179&lt;=0.000000001,MIN(0.8*0.75*'KT THAN'!$C$62,MAX('KT THAN'!$W$38:$W$58)),IFERROR(MIN(0.8*0.75*'KT THAN'!$C$62,INDEX('KT THAN'!$W$38:$W$58,MATCH(R179,'KT THAN'!$Y$38:$Y$58,-1))+(INDEX('KT THAN'!$W$38:$W$58,MIN(21,MATCH(R179,'KT THAN'!$Y$38:$Y$58,-1)+1))-INDEX('KT THAN'!$W$38:$W$58,MATCH(R179,'KT THAN'!$Y$38:$Y$58,-1)))*(R179-INDEX('KT THAN'!$Y$38:$Y$58,MATCH(R179,'KT THAN'!$Y$38:$Y$58,-1)))/(INDEX('KT THAN'!$Y$38:$Y$58,MIN(21,MATCH(R179,'KT THAN'!$Y$38:$Y$58,-1)+1))-INDEX('KT THAN'!$Y$38:$Y$58,MATCH(R179,'KT THAN'!$Y$38:$Y$58,-1)))),MIN(0.8*0.75*'KT THAN'!$C$62,'KT THAN'!$D$68/R179)))))</f>
        <v/>
      </c>
      <c r="O179" s="38" t="str">
        <f>IF($A179="","",IF(H179&lt;0,ABS(H179)/MAX('KT THAN'!$C$69,0.001)+'KT THAN'!$C$32*ABS(J179)/MAX('KT THAN'!$C$68,0.001)+'KT THAN'!$D$32*ABS(I179)/MAX('KT THAN'!$D$68,0.001),IF(OR(M179&lt;=0,N179&lt;=0),999,IF(H179&gt;=0.1*0.75*fc_*Agth*1000,H179/MAX(0.001,1/(1/M179+1/N179-1/(0.75*'KT THAN'!$C$62))),'KT THAN'!$C$32*ABS(J179)/MAX('KT THAN'!$C$68,0.001)+'KT THAN'!$D$32*ABS(I179)/MAX('KT THAN'!$D$68,0.001)))))</f>
        <v/>
      </c>
      <c r="P179" s="37" t="str">
        <f t="shared" si="36"/>
        <v/>
      </c>
      <c r="Q179" s="38" t="str">
        <f>IF($A179="","",MAX(0.001,'KT THAN'!$C$32*ABS(J179)/MAX(1,H179)))</f>
        <v/>
      </c>
      <c r="R179" s="38" t="str">
        <f>IF($A179="","",MAX(0.001,'KT THAN'!$D$32*ABS(I179)/MAX(1,H179)))</f>
        <v/>
      </c>
      <c r="S179" t="str">
        <f t="shared" si="30"/>
        <v/>
      </c>
    </row>
    <row r="180" spans="1:19" hidden="1" outlineLevel="1" x14ac:dyDescent="0.3">
      <c r="A180" s="37" t="str">
        <f>IF('TO HOP NLAN'!$A46="","",'TO HOP NLAN'!$A46)</f>
        <v/>
      </c>
      <c r="B180" s="38" t="str">
        <f>IF($A180="","",'TO HOP NLAN'!$D46)</f>
        <v/>
      </c>
      <c r="C180" s="38" t="str">
        <f>IF($A180="","",'TO HOP NLAN'!$E46)</f>
        <v/>
      </c>
      <c r="D180" s="38" t="str">
        <f>IF($A180="","",'TO HOP NLAN'!$F46)</f>
        <v/>
      </c>
      <c r="E180" s="38" t="str">
        <f>IF($A180="","",'TO HOP NLAN'!$B46)</f>
        <v/>
      </c>
      <c r="F180" s="38" t="str">
        <f>IF($A180="","",'TO HOP NLAN'!$C46)</f>
        <v/>
      </c>
      <c r="G180" s="38" t="str">
        <f t="shared" si="31"/>
        <v/>
      </c>
      <c r="H180" s="38" t="str">
        <f t="shared" si="24"/>
        <v/>
      </c>
      <c r="I180" s="38" t="str">
        <f t="shared" si="32"/>
        <v/>
      </c>
      <c r="J180" s="38" t="str">
        <f t="shared" si="33"/>
        <v/>
      </c>
      <c r="K180" s="38" t="str">
        <f t="shared" si="34"/>
        <v/>
      </c>
      <c r="L180" s="38" t="str">
        <f t="shared" si="35"/>
        <v/>
      </c>
      <c r="M180" s="38" t="str">
        <f>IF($A180="","",IF(H180=0,"",IF(Q180&lt;=0.000000001,MIN(0.8*0.75*'KT THAN'!$C$62,MAX('KT THAN'!$J$38:$J$58)),IFERROR(MIN(0.8*0.75*'KT THAN'!$C$62,INDEX('KT THAN'!$J$38:$J$58,MATCH(Q180,'KT THAN'!$L$38:$L$58,-1))+(INDEX('KT THAN'!$J$38:$J$58,MIN(21,MATCH(Q180,'KT THAN'!$L$38:$L$58,-1)+1))-INDEX('KT THAN'!$J$38:$J$58,MATCH(Q180,'KT THAN'!$L$38:$L$58,-1)))*(Q180-INDEX('KT THAN'!$L$38:$L$58,MATCH(Q180,'KT THAN'!$L$38:$L$58,-1)))/(INDEX('KT THAN'!$L$38:$L$58,MIN(21,MATCH(Q180,'KT THAN'!$L$38:$L$58,-1)+1))-INDEX('KT THAN'!$L$38:$L$58,MATCH(Q180,'KT THAN'!$L$38:$L$58,-1)))),MIN(0.8*0.75*'KT THAN'!$C$62,'KT THAN'!$C$68/Q180)))))</f>
        <v/>
      </c>
      <c r="N180" s="38" t="str">
        <f>IF($A180="","",IF(H180=0,"",IF(R180&lt;=0.000000001,MIN(0.8*0.75*'KT THAN'!$C$62,MAX('KT THAN'!$W$38:$W$58)),IFERROR(MIN(0.8*0.75*'KT THAN'!$C$62,INDEX('KT THAN'!$W$38:$W$58,MATCH(R180,'KT THAN'!$Y$38:$Y$58,-1))+(INDEX('KT THAN'!$W$38:$W$58,MIN(21,MATCH(R180,'KT THAN'!$Y$38:$Y$58,-1)+1))-INDEX('KT THAN'!$W$38:$W$58,MATCH(R180,'KT THAN'!$Y$38:$Y$58,-1)))*(R180-INDEX('KT THAN'!$Y$38:$Y$58,MATCH(R180,'KT THAN'!$Y$38:$Y$58,-1)))/(INDEX('KT THAN'!$Y$38:$Y$58,MIN(21,MATCH(R180,'KT THAN'!$Y$38:$Y$58,-1)+1))-INDEX('KT THAN'!$Y$38:$Y$58,MATCH(R180,'KT THAN'!$Y$38:$Y$58,-1)))),MIN(0.8*0.75*'KT THAN'!$C$62,'KT THAN'!$D$68/R180)))))</f>
        <v/>
      </c>
      <c r="O180" s="38" t="str">
        <f>IF($A180="","",IF(H180&lt;0,ABS(H180)/MAX('KT THAN'!$C$69,0.001)+'KT THAN'!$C$32*ABS(J180)/MAX('KT THAN'!$C$68,0.001)+'KT THAN'!$D$32*ABS(I180)/MAX('KT THAN'!$D$68,0.001),IF(OR(M180&lt;=0,N180&lt;=0),999,IF(H180&gt;=0.1*0.75*fc_*Agth*1000,H180/MAX(0.001,1/(1/M180+1/N180-1/(0.75*'KT THAN'!$C$62))),'KT THAN'!$C$32*ABS(J180)/MAX('KT THAN'!$C$68,0.001)+'KT THAN'!$D$32*ABS(I180)/MAX('KT THAN'!$D$68,0.001)))))</f>
        <v/>
      </c>
      <c r="P180" s="37" t="str">
        <f t="shared" si="36"/>
        <v/>
      </c>
      <c r="Q180" s="38" t="str">
        <f>IF($A180="","",MAX(0.001,'KT THAN'!$C$32*ABS(J180)/MAX(1,H180)))</f>
        <v/>
      </c>
      <c r="R180" s="38" t="str">
        <f>IF($A180="","",MAX(0.001,'KT THAN'!$D$32*ABS(I180)/MAX(1,H180)))</f>
        <v/>
      </c>
      <c r="S180" t="str">
        <f t="shared" si="30"/>
        <v/>
      </c>
    </row>
    <row r="181" spans="1:19" hidden="1" outlineLevel="1" x14ac:dyDescent="0.3">
      <c r="A181" s="37" t="str">
        <f>IF('TO HOP NLAN'!$A47="","",'TO HOP NLAN'!$A47)</f>
        <v/>
      </c>
      <c r="B181" s="38" t="str">
        <f>IF($A181="","",'TO HOP NLAN'!$D47)</f>
        <v/>
      </c>
      <c r="C181" s="38" t="str">
        <f>IF($A181="","",'TO HOP NLAN'!$E47)</f>
        <v/>
      </c>
      <c r="D181" s="38" t="str">
        <f>IF($A181="","",'TO HOP NLAN'!$F47)</f>
        <v/>
      </c>
      <c r="E181" s="38" t="str">
        <f>IF($A181="","",'TO HOP NLAN'!$B47)</f>
        <v/>
      </c>
      <c r="F181" s="38" t="str">
        <f>IF($A181="","",'TO HOP NLAN'!$C47)</f>
        <v/>
      </c>
      <c r="G181" s="38" t="str">
        <f t="shared" si="31"/>
        <v/>
      </c>
      <c r="H181" s="38" t="str">
        <f t="shared" si="24"/>
        <v/>
      </c>
      <c r="I181" s="38" t="str">
        <f t="shared" si="32"/>
        <v/>
      </c>
      <c r="J181" s="38" t="str">
        <f t="shared" si="33"/>
        <v/>
      </c>
      <c r="K181" s="38" t="str">
        <f t="shared" si="34"/>
        <v/>
      </c>
      <c r="L181" s="38" t="str">
        <f t="shared" si="35"/>
        <v/>
      </c>
      <c r="M181" s="38" t="str">
        <f>IF($A181="","",IF(H181=0,"",IF(Q181&lt;=0.000000001,MIN(0.8*0.75*'KT THAN'!$C$62,MAX('KT THAN'!$J$38:$J$58)),IFERROR(MIN(0.8*0.75*'KT THAN'!$C$62,INDEX('KT THAN'!$J$38:$J$58,MATCH(Q181,'KT THAN'!$L$38:$L$58,-1))+(INDEX('KT THAN'!$J$38:$J$58,MIN(21,MATCH(Q181,'KT THAN'!$L$38:$L$58,-1)+1))-INDEX('KT THAN'!$J$38:$J$58,MATCH(Q181,'KT THAN'!$L$38:$L$58,-1)))*(Q181-INDEX('KT THAN'!$L$38:$L$58,MATCH(Q181,'KT THAN'!$L$38:$L$58,-1)))/(INDEX('KT THAN'!$L$38:$L$58,MIN(21,MATCH(Q181,'KT THAN'!$L$38:$L$58,-1)+1))-INDEX('KT THAN'!$L$38:$L$58,MATCH(Q181,'KT THAN'!$L$38:$L$58,-1)))),MIN(0.8*0.75*'KT THAN'!$C$62,'KT THAN'!$C$68/Q181)))))</f>
        <v/>
      </c>
      <c r="N181" s="38" t="str">
        <f>IF($A181="","",IF(H181=0,"",IF(R181&lt;=0.000000001,MIN(0.8*0.75*'KT THAN'!$C$62,MAX('KT THAN'!$W$38:$W$58)),IFERROR(MIN(0.8*0.75*'KT THAN'!$C$62,INDEX('KT THAN'!$W$38:$W$58,MATCH(R181,'KT THAN'!$Y$38:$Y$58,-1))+(INDEX('KT THAN'!$W$38:$W$58,MIN(21,MATCH(R181,'KT THAN'!$Y$38:$Y$58,-1)+1))-INDEX('KT THAN'!$W$38:$W$58,MATCH(R181,'KT THAN'!$Y$38:$Y$58,-1)))*(R181-INDEX('KT THAN'!$Y$38:$Y$58,MATCH(R181,'KT THAN'!$Y$38:$Y$58,-1)))/(INDEX('KT THAN'!$Y$38:$Y$58,MIN(21,MATCH(R181,'KT THAN'!$Y$38:$Y$58,-1)+1))-INDEX('KT THAN'!$Y$38:$Y$58,MATCH(R181,'KT THAN'!$Y$38:$Y$58,-1)))),MIN(0.8*0.75*'KT THAN'!$C$62,'KT THAN'!$D$68/R181)))))</f>
        <v/>
      </c>
      <c r="O181" s="38" t="str">
        <f>IF($A181="","",IF(H181&lt;0,ABS(H181)/MAX('KT THAN'!$C$69,0.001)+'KT THAN'!$C$32*ABS(J181)/MAX('KT THAN'!$C$68,0.001)+'KT THAN'!$D$32*ABS(I181)/MAX('KT THAN'!$D$68,0.001),IF(OR(M181&lt;=0,N181&lt;=0),999,IF(H181&gt;=0.1*0.75*fc_*Agth*1000,H181/MAX(0.001,1/(1/M181+1/N181-1/(0.75*'KT THAN'!$C$62))),'KT THAN'!$C$32*ABS(J181)/MAX('KT THAN'!$C$68,0.001)+'KT THAN'!$D$32*ABS(I181)/MAX('KT THAN'!$D$68,0.001)))))</f>
        <v/>
      </c>
      <c r="P181" s="37" t="str">
        <f t="shared" si="36"/>
        <v/>
      </c>
      <c r="Q181" s="38" t="str">
        <f>IF($A181="","",MAX(0.001,'KT THAN'!$C$32*ABS(J181)/MAX(1,H181)))</f>
        <v/>
      </c>
      <c r="R181" s="38" t="str">
        <f>IF($A181="","",MAX(0.001,'KT THAN'!$D$32*ABS(I181)/MAX(1,H181)))</f>
        <v/>
      </c>
      <c r="S181" t="str">
        <f t="shared" si="30"/>
        <v/>
      </c>
    </row>
    <row r="182" spans="1:19" hidden="1" outlineLevel="1" x14ac:dyDescent="0.3">
      <c r="A182" s="37" t="str">
        <f>IF('TO HOP NLAN'!$A48="","",'TO HOP NLAN'!$A48)</f>
        <v/>
      </c>
      <c r="B182" s="38" t="str">
        <f>IF($A182="","",'TO HOP NLAN'!$D48)</f>
        <v/>
      </c>
      <c r="C182" s="38" t="str">
        <f>IF($A182="","",'TO HOP NLAN'!$E48)</f>
        <v/>
      </c>
      <c r="D182" s="38" t="str">
        <f>IF($A182="","",'TO HOP NLAN'!$F48)</f>
        <v/>
      </c>
      <c r="E182" s="38" t="str">
        <f>IF($A182="","",'TO HOP NLAN'!$B48)</f>
        <v/>
      </c>
      <c r="F182" s="38" t="str">
        <f>IF($A182="","",'TO HOP NLAN'!$C48)</f>
        <v/>
      </c>
      <c r="G182" s="38" t="str">
        <f t="shared" si="31"/>
        <v/>
      </c>
      <c r="H182" s="38" t="str">
        <f t="shared" si="24"/>
        <v/>
      </c>
      <c r="I182" s="38" t="str">
        <f t="shared" si="32"/>
        <v/>
      </c>
      <c r="J182" s="38" t="str">
        <f t="shared" si="33"/>
        <v/>
      </c>
      <c r="K182" s="38" t="str">
        <f t="shared" si="34"/>
        <v/>
      </c>
      <c r="L182" s="38" t="str">
        <f t="shared" si="35"/>
        <v/>
      </c>
      <c r="M182" s="38" t="str">
        <f>IF($A182="","",IF(H182=0,"",IF(Q182&lt;=0.000000001,MIN(0.8*0.75*'KT THAN'!$C$62,MAX('KT THAN'!$J$38:$J$58)),IFERROR(MIN(0.8*0.75*'KT THAN'!$C$62,INDEX('KT THAN'!$J$38:$J$58,MATCH(Q182,'KT THAN'!$L$38:$L$58,-1))+(INDEX('KT THAN'!$J$38:$J$58,MIN(21,MATCH(Q182,'KT THAN'!$L$38:$L$58,-1)+1))-INDEX('KT THAN'!$J$38:$J$58,MATCH(Q182,'KT THAN'!$L$38:$L$58,-1)))*(Q182-INDEX('KT THAN'!$L$38:$L$58,MATCH(Q182,'KT THAN'!$L$38:$L$58,-1)))/(INDEX('KT THAN'!$L$38:$L$58,MIN(21,MATCH(Q182,'KT THAN'!$L$38:$L$58,-1)+1))-INDEX('KT THAN'!$L$38:$L$58,MATCH(Q182,'KT THAN'!$L$38:$L$58,-1)))),MIN(0.8*0.75*'KT THAN'!$C$62,'KT THAN'!$C$68/Q182)))))</f>
        <v/>
      </c>
      <c r="N182" s="38" t="str">
        <f>IF($A182="","",IF(H182=0,"",IF(R182&lt;=0.000000001,MIN(0.8*0.75*'KT THAN'!$C$62,MAX('KT THAN'!$W$38:$W$58)),IFERROR(MIN(0.8*0.75*'KT THAN'!$C$62,INDEX('KT THAN'!$W$38:$W$58,MATCH(R182,'KT THAN'!$Y$38:$Y$58,-1))+(INDEX('KT THAN'!$W$38:$W$58,MIN(21,MATCH(R182,'KT THAN'!$Y$38:$Y$58,-1)+1))-INDEX('KT THAN'!$W$38:$W$58,MATCH(R182,'KT THAN'!$Y$38:$Y$58,-1)))*(R182-INDEX('KT THAN'!$Y$38:$Y$58,MATCH(R182,'KT THAN'!$Y$38:$Y$58,-1)))/(INDEX('KT THAN'!$Y$38:$Y$58,MIN(21,MATCH(R182,'KT THAN'!$Y$38:$Y$58,-1)+1))-INDEX('KT THAN'!$Y$38:$Y$58,MATCH(R182,'KT THAN'!$Y$38:$Y$58,-1)))),MIN(0.8*0.75*'KT THAN'!$C$62,'KT THAN'!$D$68/R182)))))</f>
        <v/>
      </c>
      <c r="O182" s="38" t="str">
        <f>IF($A182="","",IF(H182&lt;0,ABS(H182)/MAX('KT THAN'!$C$69,0.001)+'KT THAN'!$C$32*ABS(J182)/MAX('KT THAN'!$C$68,0.001)+'KT THAN'!$D$32*ABS(I182)/MAX('KT THAN'!$D$68,0.001),IF(OR(M182&lt;=0,N182&lt;=0),999,IF(H182&gt;=0.1*0.75*fc_*Agth*1000,H182/MAX(0.001,1/(1/M182+1/N182-1/(0.75*'KT THAN'!$C$62))),'KT THAN'!$C$32*ABS(J182)/MAX('KT THAN'!$C$68,0.001)+'KT THAN'!$D$32*ABS(I182)/MAX('KT THAN'!$D$68,0.001)))))</f>
        <v/>
      </c>
      <c r="P182" s="37" t="str">
        <f t="shared" si="36"/>
        <v/>
      </c>
      <c r="Q182" s="38" t="str">
        <f>IF($A182="","",MAX(0.001,'KT THAN'!$C$32*ABS(J182)/MAX(1,H182)))</f>
        <v/>
      </c>
      <c r="R182" s="38" t="str">
        <f>IF($A182="","",MAX(0.001,'KT THAN'!$D$32*ABS(I182)/MAX(1,H182)))</f>
        <v/>
      </c>
      <c r="S182" t="str">
        <f t="shared" si="30"/>
        <v/>
      </c>
    </row>
    <row r="183" spans="1:19" hidden="1" outlineLevel="1" x14ac:dyDescent="0.3">
      <c r="A183" s="37" t="str">
        <f>IF('TO HOP NLAN'!$A49="","",'TO HOP NLAN'!$A49)</f>
        <v/>
      </c>
      <c r="B183" s="38" t="str">
        <f>IF($A183="","",'TO HOP NLAN'!$D49)</f>
        <v/>
      </c>
      <c r="C183" s="38" t="str">
        <f>IF($A183="","",'TO HOP NLAN'!$E49)</f>
        <v/>
      </c>
      <c r="D183" s="38" t="str">
        <f>IF($A183="","",'TO HOP NLAN'!$F49)</f>
        <v/>
      </c>
      <c r="E183" s="38" t="str">
        <f>IF($A183="","",'TO HOP NLAN'!$B49)</f>
        <v/>
      </c>
      <c r="F183" s="38" t="str">
        <f>IF($A183="","",'TO HOP NLAN'!$C49)</f>
        <v/>
      </c>
      <c r="G183" s="38" t="str">
        <f t="shared" si="31"/>
        <v/>
      </c>
      <c r="H183" s="38" t="str">
        <f t="shared" si="24"/>
        <v/>
      </c>
      <c r="I183" s="38" t="str">
        <f t="shared" si="32"/>
        <v/>
      </c>
      <c r="J183" s="38" t="str">
        <f t="shared" si="33"/>
        <v/>
      </c>
      <c r="K183" s="38" t="str">
        <f t="shared" si="34"/>
        <v/>
      </c>
      <c r="L183" s="38" t="str">
        <f t="shared" si="35"/>
        <v/>
      </c>
      <c r="M183" s="38" t="str">
        <f>IF($A183="","",IF(H183=0,"",IF(Q183&lt;=0.000000001,MIN(0.8*0.75*'KT THAN'!$C$62,MAX('KT THAN'!$J$38:$J$58)),IFERROR(MIN(0.8*0.75*'KT THAN'!$C$62,INDEX('KT THAN'!$J$38:$J$58,MATCH(Q183,'KT THAN'!$L$38:$L$58,-1))+(INDEX('KT THAN'!$J$38:$J$58,MIN(21,MATCH(Q183,'KT THAN'!$L$38:$L$58,-1)+1))-INDEX('KT THAN'!$J$38:$J$58,MATCH(Q183,'KT THAN'!$L$38:$L$58,-1)))*(Q183-INDEX('KT THAN'!$L$38:$L$58,MATCH(Q183,'KT THAN'!$L$38:$L$58,-1)))/(INDEX('KT THAN'!$L$38:$L$58,MIN(21,MATCH(Q183,'KT THAN'!$L$38:$L$58,-1)+1))-INDEX('KT THAN'!$L$38:$L$58,MATCH(Q183,'KT THAN'!$L$38:$L$58,-1)))),MIN(0.8*0.75*'KT THAN'!$C$62,'KT THAN'!$C$68/Q183)))))</f>
        <v/>
      </c>
      <c r="N183" s="38" t="str">
        <f>IF($A183="","",IF(H183=0,"",IF(R183&lt;=0.000000001,MIN(0.8*0.75*'KT THAN'!$C$62,MAX('KT THAN'!$W$38:$W$58)),IFERROR(MIN(0.8*0.75*'KT THAN'!$C$62,INDEX('KT THAN'!$W$38:$W$58,MATCH(R183,'KT THAN'!$Y$38:$Y$58,-1))+(INDEX('KT THAN'!$W$38:$W$58,MIN(21,MATCH(R183,'KT THAN'!$Y$38:$Y$58,-1)+1))-INDEX('KT THAN'!$W$38:$W$58,MATCH(R183,'KT THAN'!$Y$38:$Y$58,-1)))*(R183-INDEX('KT THAN'!$Y$38:$Y$58,MATCH(R183,'KT THAN'!$Y$38:$Y$58,-1)))/(INDEX('KT THAN'!$Y$38:$Y$58,MIN(21,MATCH(R183,'KT THAN'!$Y$38:$Y$58,-1)+1))-INDEX('KT THAN'!$Y$38:$Y$58,MATCH(R183,'KT THAN'!$Y$38:$Y$58,-1)))),MIN(0.8*0.75*'KT THAN'!$C$62,'KT THAN'!$D$68/R183)))))</f>
        <v/>
      </c>
      <c r="O183" s="38" t="str">
        <f>IF($A183="","",IF(H183&lt;0,ABS(H183)/MAX('KT THAN'!$C$69,0.001)+'KT THAN'!$C$32*ABS(J183)/MAX('KT THAN'!$C$68,0.001)+'KT THAN'!$D$32*ABS(I183)/MAX('KT THAN'!$D$68,0.001),IF(OR(M183&lt;=0,N183&lt;=0),999,IF(H183&gt;=0.1*0.75*fc_*Agth*1000,H183/MAX(0.001,1/(1/M183+1/N183-1/(0.75*'KT THAN'!$C$62))),'KT THAN'!$C$32*ABS(J183)/MAX('KT THAN'!$C$68,0.001)+'KT THAN'!$D$32*ABS(I183)/MAX('KT THAN'!$D$68,0.001)))))</f>
        <v/>
      </c>
      <c r="P183" s="37" t="str">
        <f t="shared" si="36"/>
        <v/>
      </c>
      <c r="Q183" s="38" t="str">
        <f>IF($A183="","",MAX(0.001,'KT THAN'!$C$32*ABS(J183)/MAX(1,H183)))</f>
        <v/>
      </c>
      <c r="R183" s="38" t="str">
        <f>IF($A183="","",MAX(0.001,'KT THAN'!$D$32*ABS(I183)/MAX(1,H183)))</f>
        <v/>
      </c>
      <c r="S183" t="str">
        <f t="shared" si="30"/>
        <v/>
      </c>
    </row>
    <row r="184" spans="1:19" hidden="1" outlineLevel="1" x14ac:dyDescent="0.3">
      <c r="A184" s="37" t="str">
        <f>IF('TO HOP NLAN'!$A50="","",'TO HOP NLAN'!$A50)</f>
        <v/>
      </c>
      <c r="B184" s="38" t="str">
        <f>IF($A184="","",'TO HOP NLAN'!$D50)</f>
        <v/>
      </c>
      <c r="C184" s="38" t="str">
        <f>IF($A184="","",'TO HOP NLAN'!$E50)</f>
        <v/>
      </c>
      <c r="D184" s="38" t="str">
        <f>IF($A184="","",'TO HOP NLAN'!$F50)</f>
        <v/>
      </c>
      <c r="E184" s="38" t="str">
        <f>IF($A184="","",'TO HOP NLAN'!$B50)</f>
        <v/>
      </c>
      <c r="F184" s="38" t="str">
        <f>IF($A184="","",'TO HOP NLAN'!$C50)</f>
        <v/>
      </c>
      <c r="G184" s="38" t="str">
        <f t="shared" si="31"/>
        <v/>
      </c>
      <c r="H184" s="38" t="str">
        <f t="shared" si="24"/>
        <v/>
      </c>
      <c r="I184" s="38" t="str">
        <f t="shared" si="32"/>
        <v/>
      </c>
      <c r="J184" s="38" t="str">
        <f t="shared" si="33"/>
        <v/>
      </c>
      <c r="K184" s="38" t="str">
        <f t="shared" si="34"/>
        <v/>
      </c>
      <c r="L184" s="38" t="str">
        <f t="shared" si="35"/>
        <v/>
      </c>
      <c r="M184" s="38" t="str">
        <f>IF($A184="","",IF(H184=0,"",IF(Q184&lt;=0.000000001,MIN(0.8*0.75*'KT THAN'!$C$62,MAX('KT THAN'!$J$38:$J$58)),IFERROR(MIN(0.8*0.75*'KT THAN'!$C$62,INDEX('KT THAN'!$J$38:$J$58,MATCH(Q184,'KT THAN'!$L$38:$L$58,-1))+(INDEX('KT THAN'!$J$38:$J$58,MIN(21,MATCH(Q184,'KT THAN'!$L$38:$L$58,-1)+1))-INDEX('KT THAN'!$J$38:$J$58,MATCH(Q184,'KT THAN'!$L$38:$L$58,-1)))*(Q184-INDEX('KT THAN'!$L$38:$L$58,MATCH(Q184,'KT THAN'!$L$38:$L$58,-1)))/(INDEX('KT THAN'!$L$38:$L$58,MIN(21,MATCH(Q184,'KT THAN'!$L$38:$L$58,-1)+1))-INDEX('KT THAN'!$L$38:$L$58,MATCH(Q184,'KT THAN'!$L$38:$L$58,-1)))),MIN(0.8*0.75*'KT THAN'!$C$62,'KT THAN'!$C$68/Q184)))))</f>
        <v/>
      </c>
      <c r="N184" s="38" t="str">
        <f>IF($A184="","",IF(H184=0,"",IF(R184&lt;=0.000000001,MIN(0.8*0.75*'KT THAN'!$C$62,MAX('KT THAN'!$W$38:$W$58)),IFERROR(MIN(0.8*0.75*'KT THAN'!$C$62,INDEX('KT THAN'!$W$38:$W$58,MATCH(R184,'KT THAN'!$Y$38:$Y$58,-1))+(INDEX('KT THAN'!$W$38:$W$58,MIN(21,MATCH(R184,'KT THAN'!$Y$38:$Y$58,-1)+1))-INDEX('KT THAN'!$W$38:$W$58,MATCH(R184,'KT THAN'!$Y$38:$Y$58,-1)))*(R184-INDEX('KT THAN'!$Y$38:$Y$58,MATCH(R184,'KT THAN'!$Y$38:$Y$58,-1)))/(INDEX('KT THAN'!$Y$38:$Y$58,MIN(21,MATCH(R184,'KT THAN'!$Y$38:$Y$58,-1)+1))-INDEX('KT THAN'!$Y$38:$Y$58,MATCH(R184,'KT THAN'!$Y$38:$Y$58,-1)))),MIN(0.8*0.75*'KT THAN'!$C$62,'KT THAN'!$D$68/R184)))))</f>
        <v/>
      </c>
      <c r="O184" s="38" t="str">
        <f>IF($A184="","",IF(H184&lt;0,ABS(H184)/MAX('KT THAN'!$C$69,0.001)+'KT THAN'!$C$32*ABS(J184)/MAX('KT THAN'!$C$68,0.001)+'KT THAN'!$D$32*ABS(I184)/MAX('KT THAN'!$D$68,0.001),IF(OR(M184&lt;=0,N184&lt;=0),999,IF(H184&gt;=0.1*0.75*fc_*Agth*1000,H184/MAX(0.001,1/(1/M184+1/N184-1/(0.75*'KT THAN'!$C$62))),'KT THAN'!$C$32*ABS(J184)/MAX('KT THAN'!$C$68,0.001)+'KT THAN'!$D$32*ABS(I184)/MAX('KT THAN'!$D$68,0.001)))))</f>
        <v/>
      </c>
      <c r="P184" s="37" t="str">
        <f t="shared" si="36"/>
        <v/>
      </c>
      <c r="Q184" s="38" t="str">
        <f>IF($A184="","",MAX(0.001,'KT THAN'!$C$32*ABS(J184)/MAX(1,H184)))</f>
        <v/>
      </c>
      <c r="R184" s="38" t="str">
        <f>IF($A184="","",MAX(0.001,'KT THAN'!$D$32*ABS(I184)/MAX(1,H184)))</f>
        <v/>
      </c>
      <c r="S184" t="str">
        <f t="shared" si="30"/>
        <v/>
      </c>
    </row>
    <row r="185" spans="1:19" hidden="1" outlineLevel="1" x14ac:dyDescent="0.3">
      <c r="A185" s="37" t="str">
        <f>IF('TO HOP NLAN'!$A51="","",'TO HOP NLAN'!$A51)</f>
        <v/>
      </c>
      <c r="B185" s="38" t="str">
        <f>IF($A185="","",'TO HOP NLAN'!$D51)</f>
        <v/>
      </c>
      <c r="C185" s="38" t="str">
        <f>IF($A185="","",'TO HOP NLAN'!$E51)</f>
        <v/>
      </c>
      <c r="D185" s="38" t="str">
        <f>IF($A185="","",'TO HOP NLAN'!$F51)</f>
        <v/>
      </c>
      <c r="E185" s="38" t="str">
        <f>IF($A185="","",'TO HOP NLAN'!$B51)</f>
        <v/>
      </c>
      <c r="F185" s="38" t="str">
        <f>IF($A185="","",'TO HOP NLAN'!$C51)</f>
        <v/>
      </c>
      <c r="G185" s="38" t="str">
        <f t="shared" si="31"/>
        <v/>
      </c>
      <c r="H185" s="38" t="str">
        <f t="shared" si="24"/>
        <v/>
      </c>
      <c r="I185" s="38" t="str">
        <f t="shared" si="32"/>
        <v/>
      </c>
      <c r="J185" s="38" t="str">
        <f t="shared" si="33"/>
        <v/>
      </c>
      <c r="K185" s="38" t="str">
        <f t="shared" si="34"/>
        <v/>
      </c>
      <c r="L185" s="38" t="str">
        <f t="shared" si="35"/>
        <v/>
      </c>
      <c r="M185" s="38" t="str">
        <f>IF($A185="","",IF(H185=0,"",IF(Q185&lt;=0.000000001,MIN(0.8*0.75*'KT THAN'!$C$62,MAX('KT THAN'!$J$38:$J$58)),IFERROR(MIN(0.8*0.75*'KT THAN'!$C$62,INDEX('KT THAN'!$J$38:$J$58,MATCH(Q185,'KT THAN'!$L$38:$L$58,-1))+(INDEX('KT THAN'!$J$38:$J$58,MIN(21,MATCH(Q185,'KT THAN'!$L$38:$L$58,-1)+1))-INDEX('KT THAN'!$J$38:$J$58,MATCH(Q185,'KT THAN'!$L$38:$L$58,-1)))*(Q185-INDEX('KT THAN'!$L$38:$L$58,MATCH(Q185,'KT THAN'!$L$38:$L$58,-1)))/(INDEX('KT THAN'!$L$38:$L$58,MIN(21,MATCH(Q185,'KT THAN'!$L$38:$L$58,-1)+1))-INDEX('KT THAN'!$L$38:$L$58,MATCH(Q185,'KT THAN'!$L$38:$L$58,-1)))),MIN(0.8*0.75*'KT THAN'!$C$62,'KT THAN'!$C$68/Q185)))))</f>
        <v/>
      </c>
      <c r="N185" s="38" t="str">
        <f>IF($A185="","",IF(H185=0,"",IF(R185&lt;=0.000000001,MIN(0.8*0.75*'KT THAN'!$C$62,MAX('KT THAN'!$W$38:$W$58)),IFERROR(MIN(0.8*0.75*'KT THAN'!$C$62,INDEX('KT THAN'!$W$38:$W$58,MATCH(R185,'KT THAN'!$Y$38:$Y$58,-1))+(INDEX('KT THAN'!$W$38:$W$58,MIN(21,MATCH(R185,'KT THAN'!$Y$38:$Y$58,-1)+1))-INDEX('KT THAN'!$W$38:$W$58,MATCH(R185,'KT THAN'!$Y$38:$Y$58,-1)))*(R185-INDEX('KT THAN'!$Y$38:$Y$58,MATCH(R185,'KT THAN'!$Y$38:$Y$58,-1)))/(INDEX('KT THAN'!$Y$38:$Y$58,MIN(21,MATCH(R185,'KT THAN'!$Y$38:$Y$58,-1)+1))-INDEX('KT THAN'!$Y$38:$Y$58,MATCH(R185,'KT THAN'!$Y$38:$Y$58,-1)))),MIN(0.8*0.75*'KT THAN'!$C$62,'KT THAN'!$D$68/R185)))))</f>
        <v/>
      </c>
      <c r="O185" s="38" t="str">
        <f>IF($A185="","",IF(H185&lt;0,ABS(H185)/MAX('KT THAN'!$C$69,0.001)+'KT THAN'!$C$32*ABS(J185)/MAX('KT THAN'!$C$68,0.001)+'KT THAN'!$D$32*ABS(I185)/MAX('KT THAN'!$D$68,0.001),IF(OR(M185&lt;=0,N185&lt;=0),999,IF(H185&gt;=0.1*0.75*fc_*Agth*1000,H185/MAX(0.001,1/(1/M185+1/N185-1/(0.75*'KT THAN'!$C$62))),'KT THAN'!$C$32*ABS(J185)/MAX('KT THAN'!$C$68,0.001)+'KT THAN'!$D$32*ABS(I185)/MAX('KT THAN'!$D$68,0.001)))))</f>
        <v/>
      </c>
      <c r="P185" s="37" t="str">
        <f t="shared" si="36"/>
        <v/>
      </c>
      <c r="Q185" s="38" t="str">
        <f>IF($A185="","",MAX(0.001,'KT THAN'!$C$32*ABS(J185)/MAX(1,H185)))</f>
        <v/>
      </c>
      <c r="R185" s="38" t="str">
        <f>IF($A185="","",MAX(0.001,'KT THAN'!$D$32*ABS(I185)/MAX(1,H185)))</f>
        <v/>
      </c>
      <c r="S185" t="str">
        <f t="shared" si="30"/>
        <v/>
      </c>
    </row>
    <row r="186" spans="1:19" hidden="1" outlineLevel="1" x14ac:dyDescent="0.3">
      <c r="A186" s="37" t="str">
        <f>IF('TO HOP NLAN'!$A52="","",'TO HOP NLAN'!$A52)</f>
        <v/>
      </c>
      <c r="B186" s="38" t="str">
        <f>IF($A186="","",'TO HOP NLAN'!$D52)</f>
        <v/>
      </c>
      <c r="C186" s="38" t="str">
        <f>IF($A186="","",'TO HOP NLAN'!$E52)</f>
        <v/>
      </c>
      <c r="D186" s="38" t="str">
        <f>IF($A186="","",'TO HOP NLAN'!$F52)</f>
        <v/>
      </c>
      <c r="E186" s="38" t="str">
        <f>IF($A186="","",'TO HOP NLAN'!$B52)</f>
        <v/>
      </c>
      <c r="F186" s="38" t="str">
        <f>IF($A186="","",'TO HOP NLAN'!$C52)</f>
        <v/>
      </c>
      <c r="G186" s="38" t="str">
        <f t="shared" si="31"/>
        <v/>
      </c>
      <c r="H186" s="38" t="str">
        <f t="shared" si="24"/>
        <v/>
      </c>
      <c r="I186" s="38" t="str">
        <f t="shared" si="32"/>
        <v/>
      </c>
      <c r="J186" s="38" t="str">
        <f t="shared" si="33"/>
        <v/>
      </c>
      <c r="K186" s="38" t="str">
        <f t="shared" si="34"/>
        <v/>
      </c>
      <c r="L186" s="38" t="str">
        <f t="shared" si="35"/>
        <v/>
      </c>
      <c r="M186" s="38" t="str">
        <f>IF($A186="","",IF(H186=0,"",IF(Q186&lt;=0.000000001,MIN(0.8*0.75*'KT THAN'!$C$62,MAX('KT THAN'!$J$38:$J$58)),IFERROR(MIN(0.8*0.75*'KT THAN'!$C$62,INDEX('KT THAN'!$J$38:$J$58,MATCH(Q186,'KT THAN'!$L$38:$L$58,-1))+(INDEX('KT THAN'!$J$38:$J$58,MIN(21,MATCH(Q186,'KT THAN'!$L$38:$L$58,-1)+1))-INDEX('KT THAN'!$J$38:$J$58,MATCH(Q186,'KT THAN'!$L$38:$L$58,-1)))*(Q186-INDEX('KT THAN'!$L$38:$L$58,MATCH(Q186,'KT THAN'!$L$38:$L$58,-1)))/(INDEX('KT THAN'!$L$38:$L$58,MIN(21,MATCH(Q186,'KT THAN'!$L$38:$L$58,-1)+1))-INDEX('KT THAN'!$L$38:$L$58,MATCH(Q186,'KT THAN'!$L$38:$L$58,-1)))),MIN(0.8*0.75*'KT THAN'!$C$62,'KT THAN'!$C$68/Q186)))))</f>
        <v/>
      </c>
      <c r="N186" s="38" t="str">
        <f>IF($A186="","",IF(H186=0,"",IF(R186&lt;=0.000000001,MIN(0.8*0.75*'KT THAN'!$C$62,MAX('KT THAN'!$W$38:$W$58)),IFERROR(MIN(0.8*0.75*'KT THAN'!$C$62,INDEX('KT THAN'!$W$38:$W$58,MATCH(R186,'KT THAN'!$Y$38:$Y$58,-1))+(INDEX('KT THAN'!$W$38:$W$58,MIN(21,MATCH(R186,'KT THAN'!$Y$38:$Y$58,-1)+1))-INDEX('KT THAN'!$W$38:$W$58,MATCH(R186,'KT THAN'!$Y$38:$Y$58,-1)))*(R186-INDEX('KT THAN'!$Y$38:$Y$58,MATCH(R186,'KT THAN'!$Y$38:$Y$58,-1)))/(INDEX('KT THAN'!$Y$38:$Y$58,MIN(21,MATCH(R186,'KT THAN'!$Y$38:$Y$58,-1)+1))-INDEX('KT THAN'!$Y$38:$Y$58,MATCH(R186,'KT THAN'!$Y$38:$Y$58,-1)))),MIN(0.8*0.75*'KT THAN'!$C$62,'KT THAN'!$D$68/R186)))))</f>
        <v/>
      </c>
      <c r="O186" s="38" t="str">
        <f>IF($A186="","",IF(H186&lt;0,ABS(H186)/MAX('KT THAN'!$C$69,0.001)+'KT THAN'!$C$32*ABS(J186)/MAX('KT THAN'!$C$68,0.001)+'KT THAN'!$D$32*ABS(I186)/MAX('KT THAN'!$D$68,0.001),IF(OR(M186&lt;=0,N186&lt;=0),999,IF(H186&gt;=0.1*0.75*fc_*Agth*1000,H186/MAX(0.001,1/(1/M186+1/N186-1/(0.75*'KT THAN'!$C$62))),'KT THAN'!$C$32*ABS(J186)/MAX('KT THAN'!$C$68,0.001)+'KT THAN'!$D$32*ABS(I186)/MAX('KT THAN'!$D$68,0.001)))))</f>
        <v/>
      </c>
      <c r="P186" s="37" t="str">
        <f t="shared" si="36"/>
        <v/>
      </c>
      <c r="Q186" s="38" t="str">
        <f>IF($A186="","",MAX(0.001,'KT THAN'!$C$32*ABS(J186)/MAX(1,H186)))</f>
        <v/>
      </c>
      <c r="R186" s="38" t="str">
        <f>IF($A186="","",MAX(0.001,'KT THAN'!$D$32*ABS(I186)/MAX(1,H186)))</f>
        <v/>
      </c>
      <c r="S186" t="str">
        <f t="shared" si="30"/>
        <v/>
      </c>
    </row>
    <row r="187" spans="1:19" hidden="1" outlineLevel="1" x14ac:dyDescent="0.3">
      <c r="A187" s="37" t="str">
        <f>IF('TO HOP NLAN'!$A53="","",'TO HOP NLAN'!$A53)</f>
        <v/>
      </c>
      <c r="B187" s="38" t="str">
        <f>IF($A187="","",'TO HOP NLAN'!$D53)</f>
        <v/>
      </c>
      <c r="C187" s="38" t="str">
        <f>IF($A187="","",'TO HOP NLAN'!$E53)</f>
        <v/>
      </c>
      <c r="D187" s="38" t="str">
        <f>IF($A187="","",'TO HOP NLAN'!$F53)</f>
        <v/>
      </c>
      <c r="E187" s="38" t="str">
        <f>IF($A187="","",'TO HOP NLAN'!$B53)</f>
        <v/>
      </c>
      <c r="F187" s="38" t="str">
        <f>IF($A187="","",'TO HOP NLAN'!$C53)</f>
        <v/>
      </c>
      <c r="G187" s="38" t="str">
        <f t="shared" si="31"/>
        <v/>
      </c>
      <c r="H187" s="38" t="str">
        <f t="shared" si="24"/>
        <v/>
      </c>
      <c r="I187" s="38" t="str">
        <f t="shared" si="32"/>
        <v/>
      </c>
      <c r="J187" s="38" t="str">
        <f t="shared" si="33"/>
        <v/>
      </c>
      <c r="K187" s="38" t="str">
        <f t="shared" si="34"/>
        <v/>
      </c>
      <c r="L187" s="38" t="str">
        <f t="shared" si="35"/>
        <v/>
      </c>
      <c r="M187" s="38" t="str">
        <f>IF($A187="","",IF(H187=0,"",IF(Q187&lt;=0.000000001,MIN(0.8*0.75*'KT THAN'!$C$62,MAX('KT THAN'!$J$38:$J$58)),IFERROR(MIN(0.8*0.75*'KT THAN'!$C$62,INDEX('KT THAN'!$J$38:$J$58,MATCH(Q187,'KT THAN'!$L$38:$L$58,-1))+(INDEX('KT THAN'!$J$38:$J$58,MIN(21,MATCH(Q187,'KT THAN'!$L$38:$L$58,-1)+1))-INDEX('KT THAN'!$J$38:$J$58,MATCH(Q187,'KT THAN'!$L$38:$L$58,-1)))*(Q187-INDEX('KT THAN'!$L$38:$L$58,MATCH(Q187,'KT THAN'!$L$38:$L$58,-1)))/(INDEX('KT THAN'!$L$38:$L$58,MIN(21,MATCH(Q187,'KT THAN'!$L$38:$L$58,-1)+1))-INDEX('KT THAN'!$L$38:$L$58,MATCH(Q187,'KT THAN'!$L$38:$L$58,-1)))),MIN(0.8*0.75*'KT THAN'!$C$62,'KT THAN'!$C$68/Q187)))))</f>
        <v/>
      </c>
      <c r="N187" s="38" t="str">
        <f>IF($A187="","",IF(H187=0,"",IF(R187&lt;=0.000000001,MIN(0.8*0.75*'KT THAN'!$C$62,MAX('KT THAN'!$W$38:$W$58)),IFERROR(MIN(0.8*0.75*'KT THAN'!$C$62,INDEX('KT THAN'!$W$38:$W$58,MATCH(R187,'KT THAN'!$Y$38:$Y$58,-1))+(INDEX('KT THAN'!$W$38:$W$58,MIN(21,MATCH(R187,'KT THAN'!$Y$38:$Y$58,-1)+1))-INDEX('KT THAN'!$W$38:$W$58,MATCH(R187,'KT THAN'!$Y$38:$Y$58,-1)))*(R187-INDEX('KT THAN'!$Y$38:$Y$58,MATCH(R187,'KT THAN'!$Y$38:$Y$58,-1)))/(INDEX('KT THAN'!$Y$38:$Y$58,MIN(21,MATCH(R187,'KT THAN'!$Y$38:$Y$58,-1)+1))-INDEX('KT THAN'!$Y$38:$Y$58,MATCH(R187,'KT THAN'!$Y$38:$Y$58,-1)))),MIN(0.8*0.75*'KT THAN'!$C$62,'KT THAN'!$D$68/R187)))))</f>
        <v/>
      </c>
      <c r="O187" s="38" t="str">
        <f>IF($A187="","",IF(H187&lt;0,ABS(H187)/MAX('KT THAN'!$C$69,0.001)+'KT THAN'!$C$32*ABS(J187)/MAX('KT THAN'!$C$68,0.001)+'KT THAN'!$D$32*ABS(I187)/MAX('KT THAN'!$D$68,0.001),IF(OR(M187&lt;=0,N187&lt;=0),999,IF(H187&gt;=0.1*0.75*fc_*Agth*1000,H187/MAX(0.001,1/(1/M187+1/N187-1/(0.75*'KT THAN'!$C$62))),'KT THAN'!$C$32*ABS(J187)/MAX('KT THAN'!$C$68,0.001)+'KT THAN'!$D$32*ABS(I187)/MAX('KT THAN'!$D$68,0.001)))))</f>
        <v/>
      </c>
      <c r="P187" s="37" t="str">
        <f t="shared" si="36"/>
        <v/>
      </c>
      <c r="Q187" s="38" t="str">
        <f>IF($A187="","",MAX(0.001,'KT THAN'!$C$32*ABS(J187)/MAX(1,H187)))</f>
        <v/>
      </c>
      <c r="R187" s="38" t="str">
        <f>IF($A187="","",MAX(0.001,'KT THAN'!$D$32*ABS(I187)/MAX(1,H187)))</f>
        <v/>
      </c>
      <c r="S187" t="str">
        <f t="shared" si="30"/>
        <v/>
      </c>
    </row>
    <row r="188" spans="1:19" hidden="1" outlineLevel="1" x14ac:dyDescent="0.3">
      <c r="A188" s="37" t="str">
        <f>IF('TO HOP NLAN'!$A54="","",'TO HOP NLAN'!$A54)</f>
        <v/>
      </c>
      <c r="B188" s="38" t="str">
        <f>IF($A188="","",'TO HOP NLAN'!$D54)</f>
        <v/>
      </c>
      <c r="C188" s="38" t="str">
        <f>IF($A188="","",'TO HOP NLAN'!$E54)</f>
        <v/>
      </c>
      <c r="D188" s="38" t="str">
        <f>IF($A188="","",'TO HOP NLAN'!$F54)</f>
        <v/>
      </c>
      <c r="E188" s="38" t="str">
        <f>IF($A188="","",'TO HOP NLAN'!$B54)</f>
        <v/>
      </c>
      <c r="F188" s="38" t="str">
        <f>IF($A188="","",'TO HOP NLAN'!$C54)</f>
        <v/>
      </c>
      <c r="G188" s="38" t="str">
        <f t="shared" si="31"/>
        <v/>
      </c>
      <c r="H188" s="38" t="str">
        <f t="shared" si="24"/>
        <v/>
      </c>
      <c r="I188" s="38" t="str">
        <f t="shared" si="32"/>
        <v/>
      </c>
      <c r="J188" s="38" t="str">
        <f t="shared" si="33"/>
        <v/>
      </c>
      <c r="K188" s="38" t="str">
        <f t="shared" si="34"/>
        <v/>
      </c>
      <c r="L188" s="38" t="str">
        <f t="shared" si="35"/>
        <v/>
      </c>
      <c r="M188" s="38" t="str">
        <f>IF($A188="","",IF(H188=0,"",IF(Q188&lt;=0.000000001,MIN(0.8*0.75*'KT THAN'!$C$62,MAX('KT THAN'!$J$38:$J$58)),IFERROR(MIN(0.8*0.75*'KT THAN'!$C$62,INDEX('KT THAN'!$J$38:$J$58,MATCH(Q188,'KT THAN'!$L$38:$L$58,-1))+(INDEX('KT THAN'!$J$38:$J$58,MIN(21,MATCH(Q188,'KT THAN'!$L$38:$L$58,-1)+1))-INDEX('KT THAN'!$J$38:$J$58,MATCH(Q188,'KT THAN'!$L$38:$L$58,-1)))*(Q188-INDEX('KT THAN'!$L$38:$L$58,MATCH(Q188,'KT THAN'!$L$38:$L$58,-1)))/(INDEX('KT THAN'!$L$38:$L$58,MIN(21,MATCH(Q188,'KT THAN'!$L$38:$L$58,-1)+1))-INDEX('KT THAN'!$L$38:$L$58,MATCH(Q188,'KT THAN'!$L$38:$L$58,-1)))),MIN(0.8*0.75*'KT THAN'!$C$62,'KT THAN'!$C$68/Q188)))))</f>
        <v/>
      </c>
      <c r="N188" s="38" t="str">
        <f>IF($A188="","",IF(H188=0,"",IF(R188&lt;=0.000000001,MIN(0.8*0.75*'KT THAN'!$C$62,MAX('KT THAN'!$W$38:$W$58)),IFERROR(MIN(0.8*0.75*'KT THAN'!$C$62,INDEX('KT THAN'!$W$38:$W$58,MATCH(R188,'KT THAN'!$Y$38:$Y$58,-1))+(INDEX('KT THAN'!$W$38:$W$58,MIN(21,MATCH(R188,'KT THAN'!$Y$38:$Y$58,-1)+1))-INDEX('KT THAN'!$W$38:$W$58,MATCH(R188,'KT THAN'!$Y$38:$Y$58,-1)))*(R188-INDEX('KT THAN'!$Y$38:$Y$58,MATCH(R188,'KT THAN'!$Y$38:$Y$58,-1)))/(INDEX('KT THAN'!$Y$38:$Y$58,MIN(21,MATCH(R188,'KT THAN'!$Y$38:$Y$58,-1)+1))-INDEX('KT THAN'!$Y$38:$Y$58,MATCH(R188,'KT THAN'!$Y$38:$Y$58,-1)))),MIN(0.8*0.75*'KT THAN'!$C$62,'KT THAN'!$D$68/R188)))))</f>
        <v/>
      </c>
      <c r="O188" s="38" t="str">
        <f>IF($A188="","",IF(H188&lt;0,ABS(H188)/MAX('KT THAN'!$C$69,0.001)+'KT THAN'!$C$32*ABS(J188)/MAX('KT THAN'!$C$68,0.001)+'KT THAN'!$D$32*ABS(I188)/MAX('KT THAN'!$D$68,0.001),IF(OR(M188&lt;=0,N188&lt;=0),999,IF(H188&gt;=0.1*0.75*fc_*Agth*1000,H188/MAX(0.001,1/(1/M188+1/N188-1/(0.75*'KT THAN'!$C$62))),'KT THAN'!$C$32*ABS(J188)/MAX('KT THAN'!$C$68,0.001)+'KT THAN'!$D$32*ABS(I188)/MAX('KT THAN'!$D$68,0.001)))))</f>
        <v/>
      </c>
      <c r="P188" s="37" t="str">
        <f t="shared" si="36"/>
        <v/>
      </c>
      <c r="Q188" s="38" t="str">
        <f>IF($A188="","",MAX(0.001,'KT THAN'!$C$32*ABS(J188)/MAX(1,H188)))</f>
        <v/>
      </c>
      <c r="R188" s="38" t="str">
        <f>IF($A188="","",MAX(0.001,'KT THAN'!$D$32*ABS(I188)/MAX(1,H188)))</f>
        <v/>
      </c>
      <c r="S188" t="str">
        <f t="shared" si="30"/>
        <v/>
      </c>
    </row>
    <row r="189" spans="1:19" hidden="1" outlineLevel="1" x14ac:dyDescent="0.3">
      <c r="A189" s="37" t="str">
        <f>IF('TO HOP NLAN'!$A55="","",'TO HOP NLAN'!$A55)</f>
        <v/>
      </c>
      <c r="B189" s="38" t="str">
        <f>IF($A189="","",'TO HOP NLAN'!$D55)</f>
        <v/>
      </c>
      <c r="C189" s="38" t="str">
        <f>IF($A189="","",'TO HOP NLAN'!$E55)</f>
        <v/>
      </c>
      <c r="D189" s="38" t="str">
        <f>IF($A189="","",'TO HOP NLAN'!$F55)</f>
        <v/>
      </c>
      <c r="E189" s="38" t="str">
        <f>IF($A189="","",'TO HOP NLAN'!$B55)</f>
        <v/>
      </c>
      <c r="F189" s="38" t="str">
        <f>IF($A189="","",'TO HOP NLAN'!$C55)</f>
        <v/>
      </c>
      <c r="G189" s="38" t="str">
        <f t="shared" si="31"/>
        <v/>
      </c>
      <c r="H189" s="38" t="str">
        <f t="shared" si="24"/>
        <v/>
      </c>
      <c r="I189" s="38" t="str">
        <f t="shared" si="32"/>
        <v/>
      </c>
      <c r="J189" s="38" t="str">
        <f t="shared" si="33"/>
        <v/>
      </c>
      <c r="K189" s="38" t="str">
        <f t="shared" si="34"/>
        <v/>
      </c>
      <c r="L189" s="38" t="str">
        <f t="shared" si="35"/>
        <v/>
      </c>
      <c r="M189" s="38" t="str">
        <f>IF($A189="","",IF(H189=0,"",IF(Q189&lt;=0.000000001,MIN(0.8*0.75*'KT THAN'!$C$62,MAX('KT THAN'!$J$38:$J$58)),IFERROR(MIN(0.8*0.75*'KT THAN'!$C$62,INDEX('KT THAN'!$J$38:$J$58,MATCH(Q189,'KT THAN'!$L$38:$L$58,-1))+(INDEX('KT THAN'!$J$38:$J$58,MIN(21,MATCH(Q189,'KT THAN'!$L$38:$L$58,-1)+1))-INDEX('KT THAN'!$J$38:$J$58,MATCH(Q189,'KT THAN'!$L$38:$L$58,-1)))*(Q189-INDEX('KT THAN'!$L$38:$L$58,MATCH(Q189,'KT THAN'!$L$38:$L$58,-1)))/(INDEX('KT THAN'!$L$38:$L$58,MIN(21,MATCH(Q189,'KT THAN'!$L$38:$L$58,-1)+1))-INDEX('KT THAN'!$L$38:$L$58,MATCH(Q189,'KT THAN'!$L$38:$L$58,-1)))),MIN(0.8*0.75*'KT THAN'!$C$62,'KT THAN'!$C$68/Q189)))))</f>
        <v/>
      </c>
      <c r="N189" s="38" t="str">
        <f>IF($A189="","",IF(H189=0,"",IF(R189&lt;=0.000000001,MIN(0.8*0.75*'KT THAN'!$C$62,MAX('KT THAN'!$W$38:$W$58)),IFERROR(MIN(0.8*0.75*'KT THAN'!$C$62,INDEX('KT THAN'!$W$38:$W$58,MATCH(R189,'KT THAN'!$Y$38:$Y$58,-1))+(INDEX('KT THAN'!$W$38:$W$58,MIN(21,MATCH(R189,'KT THAN'!$Y$38:$Y$58,-1)+1))-INDEX('KT THAN'!$W$38:$W$58,MATCH(R189,'KT THAN'!$Y$38:$Y$58,-1)))*(R189-INDEX('KT THAN'!$Y$38:$Y$58,MATCH(R189,'KT THAN'!$Y$38:$Y$58,-1)))/(INDEX('KT THAN'!$Y$38:$Y$58,MIN(21,MATCH(R189,'KT THAN'!$Y$38:$Y$58,-1)+1))-INDEX('KT THAN'!$Y$38:$Y$58,MATCH(R189,'KT THAN'!$Y$38:$Y$58,-1)))),MIN(0.8*0.75*'KT THAN'!$C$62,'KT THAN'!$D$68/R189)))))</f>
        <v/>
      </c>
      <c r="O189" s="38" t="str">
        <f>IF($A189="","",IF(H189&lt;0,ABS(H189)/MAX('KT THAN'!$C$69,0.001)+'KT THAN'!$C$32*ABS(J189)/MAX('KT THAN'!$C$68,0.001)+'KT THAN'!$D$32*ABS(I189)/MAX('KT THAN'!$D$68,0.001),IF(OR(M189&lt;=0,N189&lt;=0),999,IF(H189&gt;=0.1*0.75*fc_*Agth*1000,H189/MAX(0.001,1/(1/M189+1/N189-1/(0.75*'KT THAN'!$C$62))),'KT THAN'!$C$32*ABS(J189)/MAX('KT THAN'!$C$68,0.001)+'KT THAN'!$D$32*ABS(I189)/MAX('KT THAN'!$D$68,0.001)))))</f>
        <v/>
      </c>
      <c r="P189" s="37" t="str">
        <f t="shared" si="36"/>
        <v/>
      </c>
      <c r="Q189" s="38" t="str">
        <f>IF($A189="","",MAX(0.001,'KT THAN'!$C$32*ABS(J189)/MAX(1,H189)))</f>
        <v/>
      </c>
      <c r="R189" s="38" t="str">
        <f>IF($A189="","",MAX(0.001,'KT THAN'!$D$32*ABS(I189)/MAX(1,H189)))</f>
        <v/>
      </c>
      <c r="S189" t="str">
        <f t="shared" si="30"/>
        <v/>
      </c>
    </row>
    <row r="190" spans="1:19" hidden="1" outlineLevel="1" x14ac:dyDescent="0.3">
      <c r="A190" s="37" t="str">
        <f>IF('TO HOP NLAN'!$A56="","",'TO HOP NLAN'!$A56)</f>
        <v/>
      </c>
      <c r="B190" s="38" t="str">
        <f>IF($A190="","",'TO HOP NLAN'!$D56)</f>
        <v/>
      </c>
      <c r="C190" s="38" t="str">
        <f>IF($A190="","",'TO HOP NLAN'!$E56)</f>
        <v/>
      </c>
      <c r="D190" s="38" t="str">
        <f>IF($A190="","",'TO HOP NLAN'!$F56)</f>
        <v/>
      </c>
      <c r="E190" s="38" t="str">
        <f>IF($A190="","",'TO HOP NLAN'!$B56)</f>
        <v/>
      </c>
      <c r="F190" s="38" t="str">
        <f>IF($A190="","",'TO HOP NLAN'!$C56)</f>
        <v/>
      </c>
      <c r="G190" s="38" t="str">
        <f t="shared" si="31"/>
        <v/>
      </c>
      <c r="H190" s="38" t="str">
        <f t="shared" si="24"/>
        <v/>
      </c>
      <c r="I190" s="38" t="str">
        <f t="shared" si="32"/>
        <v/>
      </c>
      <c r="J190" s="38" t="str">
        <f t="shared" si="33"/>
        <v/>
      </c>
      <c r="K190" s="38" t="str">
        <f t="shared" si="34"/>
        <v/>
      </c>
      <c r="L190" s="38" t="str">
        <f t="shared" si="35"/>
        <v/>
      </c>
      <c r="M190" s="38" t="str">
        <f>IF($A190="","",IF(H190=0,"",IF(Q190&lt;=0.000000001,MIN(0.8*0.75*'KT THAN'!$C$62,MAX('KT THAN'!$J$38:$J$58)),IFERROR(MIN(0.8*0.75*'KT THAN'!$C$62,INDEX('KT THAN'!$J$38:$J$58,MATCH(Q190,'KT THAN'!$L$38:$L$58,-1))+(INDEX('KT THAN'!$J$38:$J$58,MIN(21,MATCH(Q190,'KT THAN'!$L$38:$L$58,-1)+1))-INDEX('KT THAN'!$J$38:$J$58,MATCH(Q190,'KT THAN'!$L$38:$L$58,-1)))*(Q190-INDEX('KT THAN'!$L$38:$L$58,MATCH(Q190,'KT THAN'!$L$38:$L$58,-1)))/(INDEX('KT THAN'!$L$38:$L$58,MIN(21,MATCH(Q190,'KT THAN'!$L$38:$L$58,-1)+1))-INDEX('KT THAN'!$L$38:$L$58,MATCH(Q190,'KT THAN'!$L$38:$L$58,-1)))),MIN(0.8*0.75*'KT THAN'!$C$62,'KT THAN'!$C$68/Q190)))))</f>
        <v/>
      </c>
      <c r="N190" s="38" t="str">
        <f>IF($A190="","",IF(H190=0,"",IF(R190&lt;=0.000000001,MIN(0.8*0.75*'KT THAN'!$C$62,MAX('KT THAN'!$W$38:$W$58)),IFERROR(MIN(0.8*0.75*'KT THAN'!$C$62,INDEX('KT THAN'!$W$38:$W$58,MATCH(R190,'KT THAN'!$Y$38:$Y$58,-1))+(INDEX('KT THAN'!$W$38:$W$58,MIN(21,MATCH(R190,'KT THAN'!$Y$38:$Y$58,-1)+1))-INDEX('KT THAN'!$W$38:$W$58,MATCH(R190,'KT THAN'!$Y$38:$Y$58,-1)))*(R190-INDEX('KT THAN'!$Y$38:$Y$58,MATCH(R190,'KT THAN'!$Y$38:$Y$58,-1)))/(INDEX('KT THAN'!$Y$38:$Y$58,MIN(21,MATCH(R190,'KT THAN'!$Y$38:$Y$58,-1)+1))-INDEX('KT THAN'!$Y$38:$Y$58,MATCH(R190,'KT THAN'!$Y$38:$Y$58,-1)))),MIN(0.8*0.75*'KT THAN'!$C$62,'KT THAN'!$D$68/R190)))))</f>
        <v/>
      </c>
      <c r="O190" s="38" t="str">
        <f>IF($A190="","",IF(H190&lt;0,ABS(H190)/MAX('KT THAN'!$C$69,0.001)+'KT THAN'!$C$32*ABS(J190)/MAX('KT THAN'!$C$68,0.001)+'KT THAN'!$D$32*ABS(I190)/MAX('KT THAN'!$D$68,0.001),IF(OR(M190&lt;=0,N190&lt;=0),999,IF(H190&gt;=0.1*0.75*fc_*Agth*1000,H190/MAX(0.001,1/(1/M190+1/N190-1/(0.75*'KT THAN'!$C$62))),'KT THAN'!$C$32*ABS(J190)/MAX('KT THAN'!$C$68,0.001)+'KT THAN'!$D$32*ABS(I190)/MAX('KT THAN'!$D$68,0.001)))))</f>
        <v/>
      </c>
      <c r="P190" s="37" t="str">
        <f t="shared" si="36"/>
        <v/>
      </c>
      <c r="Q190" s="38" t="str">
        <f>IF($A190="","",MAX(0.001,'KT THAN'!$C$32*ABS(J190)/MAX(1,H190)))</f>
        <v/>
      </c>
      <c r="R190" s="38" t="str">
        <f>IF($A190="","",MAX(0.001,'KT THAN'!$D$32*ABS(I190)/MAX(1,H190)))</f>
        <v/>
      </c>
      <c r="S190" t="str">
        <f t="shared" si="30"/>
        <v/>
      </c>
    </row>
    <row r="191" spans="1:19" hidden="1" outlineLevel="1" x14ac:dyDescent="0.3">
      <c r="A191" s="37" t="str">
        <f>IF('TO HOP NLAN'!$A57="","",'TO HOP NLAN'!$A57)</f>
        <v/>
      </c>
      <c r="B191" s="38" t="str">
        <f>IF($A191="","",'TO HOP NLAN'!$D57)</f>
        <v/>
      </c>
      <c r="C191" s="38" t="str">
        <f>IF($A191="","",'TO HOP NLAN'!$E57)</f>
        <v/>
      </c>
      <c r="D191" s="38" t="str">
        <f>IF($A191="","",'TO HOP NLAN'!$F57)</f>
        <v/>
      </c>
      <c r="E191" s="38" t="str">
        <f>IF($A191="","",'TO HOP NLAN'!$B57)</f>
        <v/>
      </c>
      <c r="F191" s="38" t="str">
        <f>IF($A191="","",'TO HOP NLAN'!$C57)</f>
        <v/>
      </c>
      <c r="G191" s="38" t="str">
        <f t="shared" si="31"/>
        <v/>
      </c>
      <c r="H191" s="38" t="str">
        <f t="shared" si="24"/>
        <v/>
      </c>
      <c r="I191" s="38" t="str">
        <f t="shared" si="32"/>
        <v/>
      </c>
      <c r="J191" s="38" t="str">
        <f t="shared" si="33"/>
        <v/>
      </c>
      <c r="K191" s="38" t="str">
        <f t="shared" si="34"/>
        <v/>
      </c>
      <c r="L191" s="38" t="str">
        <f t="shared" si="35"/>
        <v/>
      </c>
      <c r="M191" s="38" t="str">
        <f>IF($A191="","",IF(H191=0,"",IF(Q191&lt;=0.000000001,MIN(0.8*0.75*'KT THAN'!$C$62,MAX('KT THAN'!$J$38:$J$58)),IFERROR(MIN(0.8*0.75*'KT THAN'!$C$62,INDEX('KT THAN'!$J$38:$J$58,MATCH(Q191,'KT THAN'!$L$38:$L$58,-1))+(INDEX('KT THAN'!$J$38:$J$58,MIN(21,MATCH(Q191,'KT THAN'!$L$38:$L$58,-1)+1))-INDEX('KT THAN'!$J$38:$J$58,MATCH(Q191,'KT THAN'!$L$38:$L$58,-1)))*(Q191-INDEX('KT THAN'!$L$38:$L$58,MATCH(Q191,'KT THAN'!$L$38:$L$58,-1)))/(INDEX('KT THAN'!$L$38:$L$58,MIN(21,MATCH(Q191,'KT THAN'!$L$38:$L$58,-1)+1))-INDEX('KT THAN'!$L$38:$L$58,MATCH(Q191,'KT THAN'!$L$38:$L$58,-1)))),MIN(0.8*0.75*'KT THAN'!$C$62,'KT THAN'!$C$68/Q191)))))</f>
        <v/>
      </c>
      <c r="N191" s="38" t="str">
        <f>IF($A191="","",IF(H191=0,"",IF(R191&lt;=0.000000001,MIN(0.8*0.75*'KT THAN'!$C$62,MAX('KT THAN'!$W$38:$W$58)),IFERROR(MIN(0.8*0.75*'KT THAN'!$C$62,INDEX('KT THAN'!$W$38:$W$58,MATCH(R191,'KT THAN'!$Y$38:$Y$58,-1))+(INDEX('KT THAN'!$W$38:$W$58,MIN(21,MATCH(R191,'KT THAN'!$Y$38:$Y$58,-1)+1))-INDEX('KT THAN'!$W$38:$W$58,MATCH(R191,'KT THAN'!$Y$38:$Y$58,-1)))*(R191-INDEX('KT THAN'!$Y$38:$Y$58,MATCH(R191,'KT THAN'!$Y$38:$Y$58,-1)))/(INDEX('KT THAN'!$Y$38:$Y$58,MIN(21,MATCH(R191,'KT THAN'!$Y$38:$Y$58,-1)+1))-INDEX('KT THAN'!$Y$38:$Y$58,MATCH(R191,'KT THAN'!$Y$38:$Y$58,-1)))),MIN(0.8*0.75*'KT THAN'!$C$62,'KT THAN'!$D$68/R191)))))</f>
        <v/>
      </c>
      <c r="O191" s="38" t="str">
        <f>IF($A191="","",IF(H191&lt;0,ABS(H191)/MAX('KT THAN'!$C$69,0.001)+'KT THAN'!$C$32*ABS(J191)/MAX('KT THAN'!$C$68,0.001)+'KT THAN'!$D$32*ABS(I191)/MAX('KT THAN'!$D$68,0.001),IF(OR(M191&lt;=0,N191&lt;=0),999,IF(H191&gt;=0.1*0.75*fc_*Agth*1000,H191/MAX(0.001,1/(1/M191+1/N191-1/(0.75*'KT THAN'!$C$62))),'KT THAN'!$C$32*ABS(J191)/MAX('KT THAN'!$C$68,0.001)+'KT THAN'!$D$32*ABS(I191)/MAX('KT THAN'!$D$68,0.001)))))</f>
        <v/>
      </c>
      <c r="P191" s="37" t="str">
        <f t="shared" si="36"/>
        <v/>
      </c>
      <c r="Q191" s="38" t="str">
        <f>IF($A191="","",MAX(0.001,'KT THAN'!$C$32*ABS(J191)/MAX(1,H191)))</f>
        <v/>
      </c>
      <c r="R191" s="38" t="str">
        <f>IF($A191="","",MAX(0.001,'KT THAN'!$D$32*ABS(I191)/MAX(1,H191)))</f>
        <v/>
      </c>
      <c r="S191" t="str">
        <f t="shared" si="30"/>
        <v/>
      </c>
    </row>
    <row r="192" spans="1:19" hidden="1" outlineLevel="1" x14ac:dyDescent="0.3">
      <c r="A192" s="37" t="str">
        <f>IF('TO HOP NLAN'!$A58="","",'TO HOP NLAN'!$A58)</f>
        <v/>
      </c>
      <c r="B192" s="38" t="str">
        <f>IF($A192="","",'TO HOP NLAN'!$D58)</f>
        <v/>
      </c>
      <c r="C192" s="38" t="str">
        <f>IF($A192="","",'TO HOP NLAN'!$E58)</f>
        <v/>
      </c>
      <c r="D192" s="38" t="str">
        <f>IF($A192="","",'TO HOP NLAN'!$F58)</f>
        <v/>
      </c>
      <c r="E192" s="38" t="str">
        <f>IF($A192="","",'TO HOP NLAN'!$B58)</f>
        <v/>
      </c>
      <c r="F192" s="38" t="str">
        <f>IF($A192="","",'TO HOP NLAN'!$C58)</f>
        <v/>
      </c>
      <c r="G192" s="38" t="str">
        <f t="shared" si="31"/>
        <v/>
      </c>
      <c r="H192" s="38" t="str">
        <f t="shared" si="24"/>
        <v/>
      </c>
      <c r="I192" s="38" t="str">
        <f t="shared" si="32"/>
        <v/>
      </c>
      <c r="J192" s="38" t="str">
        <f t="shared" si="33"/>
        <v/>
      </c>
      <c r="K192" s="38" t="str">
        <f t="shared" si="34"/>
        <v/>
      </c>
      <c r="L192" s="38" t="str">
        <f t="shared" si="35"/>
        <v/>
      </c>
      <c r="M192" s="38" t="str">
        <f>IF($A192="","",IF(H192=0,"",IF(Q192&lt;=0.000000001,MIN(0.8*0.75*'KT THAN'!$C$62,MAX('KT THAN'!$J$38:$J$58)),IFERROR(MIN(0.8*0.75*'KT THAN'!$C$62,INDEX('KT THAN'!$J$38:$J$58,MATCH(Q192,'KT THAN'!$L$38:$L$58,-1))+(INDEX('KT THAN'!$J$38:$J$58,MIN(21,MATCH(Q192,'KT THAN'!$L$38:$L$58,-1)+1))-INDEX('KT THAN'!$J$38:$J$58,MATCH(Q192,'KT THAN'!$L$38:$L$58,-1)))*(Q192-INDEX('KT THAN'!$L$38:$L$58,MATCH(Q192,'KT THAN'!$L$38:$L$58,-1)))/(INDEX('KT THAN'!$L$38:$L$58,MIN(21,MATCH(Q192,'KT THAN'!$L$38:$L$58,-1)+1))-INDEX('KT THAN'!$L$38:$L$58,MATCH(Q192,'KT THAN'!$L$38:$L$58,-1)))),MIN(0.8*0.75*'KT THAN'!$C$62,'KT THAN'!$C$68/Q192)))))</f>
        <v/>
      </c>
      <c r="N192" s="38" t="str">
        <f>IF($A192="","",IF(H192=0,"",IF(R192&lt;=0.000000001,MIN(0.8*0.75*'KT THAN'!$C$62,MAX('KT THAN'!$W$38:$W$58)),IFERROR(MIN(0.8*0.75*'KT THAN'!$C$62,INDEX('KT THAN'!$W$38:$W$58,MATCH(R192,'KT THAN'!$Y$38:$Y$58,-1))+(INDEX('KT THAN'!$W$38:$W$58,MIN(21,MATCH(R192,'KT THAN'!$Y$38:$Y$58,-1)+1))-INDEX('KT THAN'!$W$38:$W$58,MATCH(R192,'KT THAN'!$Y$38:$Y$58,-1)))*(R192-INDEX('KT THAN'!$Y$38:$Y$58,MATCH(R192,'KT THAN'!$Y$38:$Y$58,-1)))/(INDEX('KT THAN'!$Y$38:$Y$58,MIN(21,MATCH(R192,'KT THAN'!$Y$38:$Y$58,-1)+1))-INDEX('KT THAN'!$Y$38:$Y$58,MATCH(R192,'KT THAN'!$Y$38:$Y$58,-1)))),MIN(0.8*0.75*'KT THAN'!$C$62,'KT THAN'!$D$68/R192)))))</f>
        <v/>
      </c>
      <c r="O192" s="38" t="str">
        <f>IF($A192="","",IF(H192&lt;0,ABS(H192)/MAX('KT THAN'!$C$69,0.001)+'KT THAN'!$C$32*ABS(J192)/MAX('KT THAN'!$C$68,0.001)+'KT THAN'!$D$32*ABS(I192)/MAX('KT THAN'!$D$68,0.001),IF(OR(M192&lt;=0,N192&lt;=0),999,IF(H192&gt;=0.1*0.75*fc_*Agth*1000,H192/MAX(0.001,1/(1/M192+1/N192-1/(0.75*'KT THAN'!$C$62))),'KT THAN'!$C$32*ABS(J192)/MAX('KT THAN'!$C$68,0.001)+'KT THAN'!$D$32*ABS(I192)/MAX('KT THAN'!$D$68,0.001)))))</f>
        <v/>
      </c>
      <c r="P192" s="37" t="str">
        <f t="shared" si="36"/>
        <v/>
      </c>
      <c r="Q192" s="38" t="str">
        <f>IF($A192="","",MAX(0.001,'KT THAN'!$C$32*ABS(J192)/MAX(1,H192)))</f>
        <v/>
      </c>
      <c r="R192" s="38" t="str">
        <f>IF($A192="","",MAX(0.001,'KT THAN'!$D$32*ABS(I192)/MAX(1,H192)))</f>
        <v/>
      </c>
      <c r="S192" t="str">
        <f t="shared" si="30"/>
        <v/>
      </c>
    </row>
    <row r="193" spans="1:19" hidden="1" outlineLevel="1" x14ac:dyDescent="0.3">
      <c r="A193" s="37" t="str">
        <f>IF('TO HOP NLAN'!$A59="","",'TO HOP NLAN'!$A59)</f>
        <v/>
      </c>
      <c r="B193" s="38" t="str">
        <f>IF($A193="","",'TO HOP NLAN'!$D59)</f>
        <v/>
      </c>
      <c r="C193" s="38" t="str">
        <f>IF($A193="","",'TO HOP NLAN'!$E59)</f>
        <v/>
      </c>
      <c r="D193" s="38" t="str">
        <f>IF($A193="","",'TO HOP NLAN'!$F59)</f>
        <v/>
      </c>
      <c r="E193" s="38" t="str">
        <f>IF($A193="","",'TO HOP NLAN'!$B59)</f>
        <v/>
      </c>
      <c r="F193" s="38" t="str">
        <f>IF($A193="","",'TO HOP NLAN'!$C59)</f>
        <v/>
      </c>
      <c r="G193" s="38" t="str">
        <f t="shared" si="31"/>
        <v/>
      </c>
      <c r="H193" s="38" t="str">
        <f t="shared" si="24"/>
        <v/>
      </c>
      <c r="I193" s="38" t="str">
        <f t="shared" si="32"/>
        <v/>
      </c>
      <c r="J193" s="38" t="str">
        <f t="shared" si="33"/>
        <v/>
      </c>
      <c r="K193" s="38" t="str">
        <f t="shared" si="34"/>
        <v/>
      </c>
      <c r="L193" s="38" t="str">
        <f t="shared" si="35"/>
        <v/>
      </c>
      <c r="M193" s="38" t="str">
        <f>IF($A193="","",IF(H193=0,"",IF(Q193&lt;=0.000000001,MIN(0.8*0.75*'KT THAN'!$C$62,MAX('KT THAN'!$J$38:$J$58)),IFERROR(MIN(0.8*0.75*'KT THAN'!$C$62,INDEX('KT THAN'!$J$38:$J$58,MATCH(Q193,'KT THAN'!$L$38:$L$58,-1))+(INDEX('KT THAN'!$J$38:$J$58,MIN(21,MATCH(Q193,'KT THAN'!$L$38:$L$58,-1)+1))-INDEX('KT THAN'!$J$38:$J$58,MATCH(Q193,'KT THAN'!$L$38:$L$58,-1)))*(Q193-INDEX('KT THAN'!$L$38:$L$58,MATCH(Q193,'KT THAN'!$L$38:$L$58,-1)))/(INDEX('KT THAN'!$L$38:$L$58,MIN(21,MATCH(Q193,'KT THAN'!$L$38:$L$58,-1)+1))-INDEX('KT THAN'!$L$38:$L$58,MATCH(Q193,'KT THAN'!$L$38:$L$58,-1)))),MIN(0.8*0.75*'KT THAN'!$C$62,'KT THAN'!$C$68/Q193)))))</f>
        <v/>
      </c>
      <c r="N193" s="38" t="str">
        <f>IF($A193="","",IF(H193=0,"",IF(R193&lt;=0.000000001,MIN(0.8*0.75*'KT THAN'!$C$62,MAX('KT THAN'!$W$38:$W$58)),IFERROR(MIN(0.8*0.75*'KT THAN'!$C$62,INDEX('KT THAN'!$W$38:$W$58,MATCH(R193,'KT THAN'!$Y$38:$Y$58,-1))+(INDEX('KT THAN'!$W$38:$W$58,MIN(21,MATCH(R193,'KT THAN'!$Y$38:$Y$58,-1)+1))-INDEX('KT THAN'!$W$38:$W$58,MATCH(R193,'KT THAN'!$Y$38:$Y$58,-1)))*(R193-INDEX('KT THAN'!$Y$38:$Y$58,MATCH(R193,'KT THAN'!$Y$38:$Y$58,-1)))/(INDEX('KT THAN'!$Y$38:$Y$58,MIN(21,MATCH(R193,'KT THAN'!$Y$38:$Y$58,-1)+1))-INDEX('KT THAN'!$Y$38:$Y$58,MATCH(R193,'KT THAN'!$Y$38:$Y$58,-1)))),MIN(0.8*0.75*'KT THAN'!$C$62,'KT THAN'!$D$68/R193)))))</f>
        <v/>
      </c>
      <c r="O193" s="38" t="str">
        <f>IF($A193="","",IF(H193&lt;0,ABS(H193)/MAX('KT THAN'!$C$69,0.001)+'KT THAN'!$C$32*ABS(J193)/MAX('KT THAN'!$C$68,0.001)+'KT THAN'!$D$32*ABS(I193)/MAX('KT THAN'!$D$68,0.001),IF(OR(M193&lt;=0,N193&lt;=0),999,IF(H193&gt;=0.1*0.75*fc_*Agth*1000,H193/MAX(0.001,1/(1/M193+1/N193-1/(0.75*'KT THAN'!$C$62))),'KT THAN'!$C$32*ABS(J193)/MAX('KT THAN'!$C$68,0.001)+'KT THAN'!$D$32*ABS(I193)/MAX('KT THAN'!$D$68,0.001)))))</f>
        <v/>
      </c>
      <c r="P193" s="37" t="str">
        <f t="shared" si="36"/>
        <v/>
      </c>
      <c r="Q193" s="38" t="str">
        <f>IF($A193="","",MAX(0.001,'KT THAN'!$C$32*ABS(J193)/MAX(1,H193)))</f>
        <v/>
      </c>
      <c r="R193" s="38" t="str">
        <f>IF($A193="","",MAX(0.001,'KT THAN'!$D$32*ABS(I193)/MAX(1,H193)))</f>
        <v/>
      </c>
      <c r="S193" t="str">
        <f t="shared" si="30"/>
        <v/>
      </c>
    </row>
    <row r="194" spans="1:19" hidden="1" outlineLevel="1" x14ac:dyDescent="0.3">
      <c r="A194" s="37" t="str">
        <f>IF('TO HOP NLAN'!$A60="","",'TO HOP NLAN'!$A60)</f>
        <v/>
      </c>
      <c r="B194" s="38" t="str">
        <f>IF($A194="","",'TO HOP NLAN'!$D60)</f>
        <v/>
      </c>
      <c r="C194" s="38" t="str">
        <f>IF($A194="","",'TO HOP NLAN'!$E60)</f>
        <v/>
      </c>
      <c r="D194" s="38" t="str">
        <f>IF($A194="","",'TO HOP NLAN'!$F60)</f>
        <v/>
      </c>
      <c r="E194" s="38" t="str">
        <f>IF($A194="","",'TO HOP NLAN'!$B60)</f>
        <v/>
      </c>
      <c r="F194" s="38" t="str">
        <f>IF($A194="","",'TO HOP NLAN'!$C60)</f>
        <v/>
      </c>
      <c r="G194" s="38" t="str">
        <f t="shared" si="31"/>
        <v/>
      </c>
      <c r="H194" s="38" t="str">
        <f t="shared" si="24"/>
        <v/>
      </c>
      <c r="I194" s="38" t="str">
        <f t="shared" si="32"/>
        <v/>
      </c>
      <c r="J194" s="38" t="str">
        <f t="shared" si="33"/>
        <v/>
      </c>
      <c r="K194" s="38" t="str">
        <f t="shared" si="34"/>
        <v/>
      </c>
      <c r="L194" s="38" t="str">
        <f t="shared" si="35"/>
        <v/>
      </c>
      <c r="M194" s="38" t="str">
        <f>IF($A194="","",IF(H194=0,"",IF(Q194&lt;=0.000000001,MIN(0.8*0.75*'KT THAN'!$C$62,MAX('KT THAN'!$J$38:$J$58)),IFERROR(MIN(0.8*0.75*'KT THAN'!$C$62,INDEX('KT THAN'!$J$38:$J$58,MATCH(Q194,'KT THAN'!$L$38:$L$58,-1))+(INDEX('KT THAN'!$J$38:$J$58,MIN(21,MATCH(Q194,'KT THAN'!$L$38:$L$58,-1)+1))-INDEX('KT THAN'!$J$38:$J$58,MATCH(Q194,'KT THAN'!$L$38:$L$58,-1)))*(Q194-INDEX('KT THAN'!$L$38:$L$58,MATCH(Q194,'KT THAN'!$L$38:$L$58,-1)))/(INDEX('KT THAN'!$L$38:$L$58,MIN(21,MATCH(Q194,'KT THAN'!$L$38:$L$58,-1)+1))-INDEX('KT THAN'!$L$38:$L$58,MATCH(Q194,'KT THAN'!$L$38:$L$58,-1)))),MIN(0.8*0.75*'KT THAN'!$C$62,'KT THAN'!$C$68/Q194)))))</f>
        <v/>
      </c>
      <c r="N194" s="38" t="str">
        <f>IF($A194="","",IF(H194=0,"",IF(R194&lt;=0.000000001,MIN(0.8*0.75*'KT THAN'!$C$62,MAX('KT THAN'!$W$38:$W$58)),IFERROR(MIN(0.8*0.75*'KT THAN'!$C$62,INDEX('KT THAN'!$W$38:$W$58,MATCH(R194,'KT THAN'!$Y$38:$Y$58,-1))+(INDEX('KT THAN'!$W$38:$W$58,MIN(21,MATCH(R194,'KT THAN'!$Y$38:$Y$58,-1)+1))-INDEX('KT THAN'!$W$38:$W$58,MATCH(R194,'KT THAN'!$Y$38:$Y$58,-1)))*(R194-INDEX('KT THAN'!$Y$38:$Y$58,MATCH(R194,'KT THAN'!$Y$38:$Y$58,-1)))/(INDEX('KT THAN'!$Y$38:$Y$58,MIN(21,MATCH(R194,'KT THAN'!$Y$38:$Y$58,-1)+1))-INDEX('KT THAN'!$Y$38:$Y$58,MATCH(R194,'KT THAN'!$Y$38:$Y$58,-1)))),MIN(0.8*0.75*'KT THAN'!$C$62,'KT THAN'!$D$68/R194)))))</f>
        <v/>
      </c>
      <c r="O194" s="38" t="str">
        <f>IF($A194="","",IF(H194&lt;0,ABS(H194)/MAX('KT THAN'!$C$69,0.001)+'KT THAN'!$C$32*ABS(J194)/MAX('KT THAN'!$C$68,0.001)+'KT THAN'!$D$32*ABS(I194)/MAX('KT THAN'!$D$68,0.001),IF(OR(M194&lt;=0,N194&lt;=0),999,IF(H194&gt;=0.1*0.75*fc_*Agth*1000,H194/MAX(0.001,1/(1/M194+1/N194-1/(0.75*'KT THAN'!$C$62))),'KT THAN'!$C$32*ABS(J194)/MAX('KT THAN'!$C$68,0.001)+'KT THAN'!$D$32*ABS(I194)/MAX('KT THAN'!$D$68,0.001)))))</f>
        <v/>
      </c>
      <c r="P194" s="37" t="str">
        <f t="shared" si="36"/>
        <v/>
      </c>
      <c r="Q194" s="38" t="str">
        <f>IF($A194="","",MAX(0.001,'KT THAN'!$C$32*ABS(J194)/MAX(1,H194)))</f>
        <v/>
      </c>
      <c r="R194" s="38" t="str">
        <f>IF($A194="","",MAX(0.001,'KT THAN'!$D$32*ABS(I194)/MAX(1,H194)))</f>
        <v/>
      </c>
      <c r="S194" t="str">
        <f t="shared" si="30"/>
        <v/>
      </c>
    </row>
    <row r="195" spans="1:19" hidden="1" outlineLevel="1" x14ac:dyDescent="0.3">
      <c r="A195" s="37" t="str">
        <f>IF('TO HOP NLAN'!$A61="","",'TO HOP NLAN'!$A61)</f>
        <v/>
      </c>
      <c r="B195" s="38" t="str">
        <f>IF($A195="","",'TO HOP NLAN'!$D61)</f>
        <v/>
      </c>
      <c r="C195" s="38" t="str">
        <f>IF($A195="","",'TO HOP NLAN'!$E61)</f>
        <v/>
      </c>
      <c r="D195" s="38" t="str">
        <f>IF($A195="","",'TO HOP NLAN'!$F61)</f>
        <v/>
      </c>
      <c r="E195" s="38" t="str">
        <f>IF($A195="","",'TO HOP NLAN'!$B61)</f>
        <v/>
      </c>
      <c r="F195" s="38" t="str">
        <f>IF($A195="","",'TO HOP NLAN'!$C61)</f>
        <v/>
      </c>
      <c r="G195" s="38" t="str">
        <f t="shared" si="31"/>
        <v/>
      </c>
      <c r="H195" s="38" t="str">
        <f t="shared" si="24"/>
        <v/>
      </c>
      <c r="I195" s="38" t="str">
        <f t="shared" si="32"/>
        <v/>
      </c>
      <c r="J195" s="38" t="str">
        <f t="shared" si="33"/>
        <v/>
      </c>
      <c r="K195" s="38" t="str">
        <f t="shared" si="34"/>
        <v/>
      </c>
      <c r="L195" s="38" t="str">
        <f t="shared" si="35"/>
        <v/>
      </c>
      <c r="M195" s="38" t="str">
        <f>IF($A195="","",IF(H195=0,"",IF(Q195&lt;=0.000000001,MIN(0.8*0.75*'KT THAN'!$C$62,MAX('KT THAN'!$J$38:$J$58)),IFERROR(MIN(0.8*0.75*'KT THAN'!$C$62,INDEX('KT THAN'!$J$38:$J$58,MATCH(Q195,'KT THAN'!$L$38:$L$58,-1))+(INDEX('KT THAN'!$J$38:$J$58,MIN(21,MATCH(Q195,'KT THAN'!$L$38:$L$58,-1)+1))-INDEX('KT THAN'!$J$38:$J$58,MATCH(Q195,'KT THAN'!$L$38:$L$58,-1)))*(Q195-INDEX('KT THAN'!$L$38:$L$58,MATCH(Q195,'KT THAN'!$L$38:$L$58,-1)))/(INDEX('KT THAN'!$L$38:$L$58,MIN(21,MATCH(Q195,'KT THAN'!$L$38:$L$58,-1)+1))-INDEX('KT THAN'!$L$38:$L$58,MATCH(Q195,'KT THAN'!$L$38:$L$58,-1)))),MIN(0.8*0.75*'KT THAN'!$C$62,'KT THAN'!$C$68/Q195)))))</f>
        <v/>
      </c>
      <c r="N195" s="38" t="str">
        <f>IF($A195="","",IF(H195=0,"",IF(R195&lt;=0.000000001,MIN(0.8*0.75*'KT THAN'!$C$62,MAX('KT THAN'!$W$38:$W$58)),IFERROR(MIN(0.8*0.75*'KT THAN'!$C$62,INDEX('KT THAN'!$W$38:$W$58,MATCH(R195,'KT THAN'!$Y$38:$Y$58,-1))+(INDEX('KT THAN'!$W$38:$W$58,MIN(21,MATCH(R195,'KT THAN'!$Y$38:$Y$58,-1)+1))-INDEX('KT THAN'!$W$38:$W$58,MATCH(R195,'KT THAN'!$Y$38:$Y$58,-1)))*(R195-INDEX('KT THAN'!$Y$38:$Y$58,MATCH(R195,'KT THAN'!$Y$38:$Y$58,-1)))/(INDEX('KT THAN'!$Y$38:$Y$58,MIN(21,MATCH(R195,'KT THAN'!$Y$38:$Y$58,-1)+1))-INDEX('KT THAN'!$Y$38:$Y$58,MATCH(R195,'KT THAN'!$Y$38:$Y$58,-1)))),MIN(0.8*0.75*'KT THAN'!$C$62,'KT THAN'!$D$68/R195)))))</f>
        <v/>
      </c>
      <c r="O195" s="38" t="str">
        <f>IF($A195="","",IF(H195&lt;0,ABS(H195)/MAX('KT THAN'!$C$69,0.001)+'KT THAN'!$C$32*ABS(J195)/MAX('KT THAN'!$C$68,0.001)+'KT THAN'!$D$32*ABS(I195)/MAX('KT THAN'!$D$68,0.001),IF(OR(M195&lt;=0,N195&lt;=0),999,IF(H195&gt;=0.1*0.75*fc_*Agth*1000,H195/MAX(0.001,1/(1/M195+1/N195-1/(0.75*'KT THAN'!$C$62))),'KT THAN'!$C$32*ABS(J195)/MAX('KT THAN'!$C$68,0.001)+'KT THAN'!$D$32*ABS(I195)/MAX('KT THAN'!$D$68,0.001)))))</f>
        <v/>
      </c>
      <c r="P195" s="37" t="str">
        <f t="shared" si="36"/>
        <v/>
      </c>
      <c r="Q195" s="38" t="str">
        <f>IF($A195="","",MAX(0.001,'KT THAN'!$C$32*ABS(J195)/MAX(1,H195)))</f>
        <v/>
      </c>
      <c r="R195" s="38" t="str">
        <f>IF($A195="","",MAX(0.001,'KT THAN'!$D$32*ABS(I195)/MAX(1,H195)))</f>
        <v/>
      </c>
      <c r="S195" t="str">
        <f t="shared" si="30"/>
        <v/>
      </c>
    </row>
    <row r="196" spans="1:19" hidden="1" outlineLevel="1" x14ac:dyDescent="0.3">
      <c r="A196" s="37" t="str">
        <f>IF('TO HOP NLAN'!$A62="","",'TO HOP NLAN'!$A62)</f>
        <v/>
      </c>
      <c r="B196" s="38" t="str">
        <f>IF($A196="","",'TO HOP NLAN'!$D62)</f>
        <v/>
      </c>
      <c r="C196" s="38" t="str">
        <f>IF($A196="","",'TO HOP NLAN'!$E62)</f>
        <v/>
      </c>
      <c r="D196" s="38" t="str">
        <f>IF($A196="","",'TO HOP NLAN'!$F62)</f>
        <v/>
      </c>
      <c r="E196" s="38" t="str">
        <f>IF($A196="","",'TO HOP NLAN'!$B62)</f>
        <v/>
      </c>
      <c r="F196" s="38" t="str">
        <f>IF($A196="","",'TO HOP NLAN'!$C62)</f>
        <v/>
      </c>
      <c r="G196" s="38" t="str">
        <f t="shared" si="31"/>
        <v/>
      </c>
      <c r="H196" s="38" t="str">
        <f t="shared" si="24"/>
        <v/>
      </c>
      <c r="I196" s="38" t="str">
        <f t="shared" si="32"/>
        <v/>
      </c>
      <c r="J196" s="38" t="str">
        <f t="shared" si="33"/>
        <v/>
      </c>
      <c r="K196" s="38" t="str">
        <f t="shared" si="34"/>
        <v/>
      </c>
      <c r="L196" s="38" t="str">
        <f t="shared" si="35"/>
        <v/>
      </c>
      <c r="M196" s="38" t="str">
        <f>IF($A196="","",IF(H196=0,"",IF(Q196&lt;=0.000000001,MIN(0.8*0.75*'KT THAN'!$C$62,MAX('KT THAN'!$J$38:$J$58)),IFERROR(MIN(0.8*0.75*'KT THAN'!$C$62,INDEX('KT THAN'!$J$38:$J$58,MATCH(Q196,'KT THAN'!$L$38:$L$58,-1))+(INDEX('KT THAN'!$J$38:$J$58,MIN(21,MATCH(Q196,'KT THAN'!$L$38:$L$58,-1)+1))-INDEX('KT THAN'!$J$38:$J$58,MATCH(Q196,'KT THAN'!$L$38:$L$58,-1)))*(Q196-INDEX('KT THAN'!$L$38:$L$58,MATCH(Q196,'KT THAN'!$L$38:$L$58,-1)))/(INDEX('KT THAN'!$L$38:$L$58,MIN(21,MATCH(Q196,'KT THAN'!$L$38:$L$58,-1)+1))-INDEX('KT THAN'!$L$38:$L$58,MATCH(Q196,'KT THAN'!$L$38:$L$58,-1)))),MIN(0.8*0.75*'KT THAN'!$C$62,'KT THAN'!$C$68/Q196)))))</f>
        <v/>
      </c>
      <c r="N196" s="38" t="str">
        <f>IF($A196="","",IF(H196=0,"",IF(R196&lt;=0.000000001,MIN(0.8*0.75*'KT THAN'!$C$62,MAX('KT THAN'!$W$38:$W$58)),IFERROR(MIN(0.8*0.75*'KT THAN'!$C$62,INDEX('KT THAN'!$W$38:$W$58,MATCH(R196,'KT THAN'!$Y$38:$Y$58,-1))+(INDEX('KT THAN'!$W$38:$W$58,MIN(21,MATCH(R196,'KT THAN'!$Y$38:$Y$58,-1)+1))-INDEX('KT THAN'!$W$38:$W$58,MATCH(R196,'KT THAN'!$Y$38:$Y$58,-1)))*(R196-INDEX('KT THAN'!$Y$38:$Y$58,MATCH(R196,'KT THAN'!$Y$38:$Y$58,-1)))/(INDEX('KT THAN'!$Y$38:$Y$58,MIN(21,MATCH(R196,'KT THAN'!$Y$38:$Y$58,-1)+1))-INDEX('KT THAN'!$Y$38:$Y$58,MATCH(R196,'KT THAN'!$Y$38:$Y$58,-1)))),MIN(0.8*0.75*'KT THAN'!$C$62,'KT THAN'!$D$68/R196)))))</f>
        <v/>
      </c>
      <c r="O196" s="38" t="str">
        <f>IF($A196="","",IF(H196&lt;0,ABS(H196)/MAX('KT THAN'!$C$69,0.001)+'KT THAN'!$C$32*ABS(J196)/MAX('KT THAN'!$C$68,0.001)+'KT THAN'!$D$32*ABS(I196)/MAX('KT THAN'!$D$68,0.001),IF(OR(M196&lt;=0,N196&lt;=0),999,IF(H196&gt;=0.1*0.75*fc_*Agth*1000,H196/MAX(0.001,1/(1/M196+1/N196-1/(0.75*'KT THAN'!$C$62))),'KT THAN'!$C$32*ABS(J196)/MAX('KT THAN'!$C$68,0.001)+'KT THAN'!$D$32*ABS(I196)/MAX('KT THAN'!$D$68,0.001)))))</f>
        <v/>
      </c>
      <c r="P196" s="37" t="str">
        <f t="shared" si="36"/>
        <v/>
      </c>
      <c r="Q196" s="38" t="str">
        <f>IF($A196="","",MAX(0.001,'KT THAN'!$C$32*ABS(J196)/MAX(1,H196)))</f>
        <v/>
      </c>
      <c r="R196" s="38" t="str">
        <f>IF($A196="","",MAX(0.001,'KT THAN'!$D$32*ABS(I196)/MAX(1,H196)))</f>
        <v/>
      </c>
      <c r="S196" t="str">
        <f t="shared" si="30"/>
        <v/>
      </c>
    </row>
    <row r="197" spans="1:19" hidden="1" outlineLevel="1" x14ac:dyDescent="0.3">
      <c r="A197" s="37" t="str">
        <f>IF('TO HOP NLAN'!$A63="","",'TO HOP NLAN'!$A63)</f>
        <v/>
      </c>
      <c r="B197" s="38" t="str">
        <f>IF($A197="","",'TO HOP NLAN'!$D63)</f>
        <v/>
      </c>
      <c r="C197" s="38" t="str">
        <f>IF($A197="","",'TO HOP NLAN'!$E63)</f>
        <v/>
      </c>
      <c r="D197" s="38" t="str">
        <f>IF($A197="","",'TO HOP NLAN'!$F63)</f>
        <v/>
      </c>
      <c r="E197" s="38" t="str">
        <f>IF($A197="","",'TO HOP NLAN'!$B63)</f>
        <v/>
      </c>
      <c r="F197" s="38" t="str">
        <f>IF($A197="","",'TO HOP NLAN'!$C63)</f>
        <v/>
      </c>
      <c r="G197" s="38" t="str">
        <f t="shared" si="31"/>
        <v/>
      </c>
      <c r="H197" s="38" t="str">
        <f t="shared" si="24"/>
        <v/>
      </c>
      <c r="I197" s="38" t="str">
        <f t="shared" si="32"/>
        <v/>
      </c>
      <c r="J197" s="38" t="str">
        <f t="shared" si="33"/>
        <v/>
      </c>
      <c r="K197" s="38" t="str">
        <f t="shared" si="34"/>
        <v/>
      </c>
      <c r="L197" s="38" t="str">
        <f t="shared" si="35"/>
        <v/>
      </c>
      <c r="M197" s="38" t="str">
        <f>IF($A197="","",IF(H197=0,"",IF(Q197&lt;=0.000000001,MIN(0.8*0.75*'KT THAN'!$C$62,MAX('KT THAN'!$J$38:$J$58)),IFERROR(MIN(0.8*0.75*'KT THAN'!$C$62,INDEX('KT THAN'!$J$38:$J$58,MATCH(Q197,'KT THAN'!$L$38:$L$58,-1))+(INDEX('KT THAN'!$J$38:$J$58,MIN(21,MATCH(Q197,'KT THAN'!$L$38:$L$58,-1)+1))-INDEX('KT THAN'!$J$38:$J$58,MATCH(Q197,'KT THAN'!$L$38:$L$58,-1)))*(Q197-INDEX('KT THAN'!$L$38:$L$58,MATCH(Q197,'KT THAN'!$L$38:$L$58,-1)))/(INDEX('KT THAN'!$L$38:$L$58,MIN(21,MATCH(Q197,'KT THAN'!$L$38:$L$58,-1)+1))-INDEX('KT THAN'!$L$38:$L$58,MATCH(Q197,'KT THAN'!$L$38:$L$58,-1)))),MIN(0.8*0.75*'KT THAN'!$C$62,'KT THAN'!$C$68/Q197)))))</f>
        <v/>
      </c>
      <c r="N197" s="38" t="str">
        <f>IF($A197="","",IF(H197=0,"",IF(R197&lt;=0.000000001,MIN(0.8*0.75*'KT THAN'!$C$62,MAX('KT THAN'!$W$38:$W$58)),IFERROR(MIN(0.8*0.75*'KT THAN'!$C$62,INDEX('KT THAN'!$W$38:$W$58,MATCH(R197,'KT THAN'!$Y$38:$Y$58,-1))+(INDEX('KT THAN'!$W$38:$W$58,MIN(21,MATCH(R197,'KT THAN'!$Y$38:$Y$58,-1)+1))-INDEX('KT THAN'!$W$38:$W$58,MATCH(R197,'KT THAN'!$Y$38:$Y$58,-1)))*(R197-INDEX('KT THAN'!$Y$38:$Y$58,MATCH(R197,'KT THAN'!$Y$38:$Y$58,-1)))/(INDEX('KT THAN'!$Y$38:$Y$58,MIN(21,MATCH(R197,'KT THAN'!$Y$38:$Y$58,-1)+1))-INDEX('KT THAN'!$Y$38:$Y$58,MATCH(R197,'KT THAN'!$Y$38:$Y$58,-1)))),MIN(0.8*0.75*'KT THAN'!$C$62,'KT THAN'!$D$68/R197)))))</f>
        <v/>
      </c>
      <c r="O197" s="38" t="str">
        <f>IF($A197="","",IF(H197&lt;0,ABS(H197)/MAX('KT THAN'!$C$69,0.001)+'KT THAN'!$C$32*ABS(J197)/MAX('KT THAN'!$C$68,0.001)+'KT THAN'!$D$32*ABS(I197)/MAX('KT THAN'!$D$68,0.001),IF(OR(M197&lt;=0,N197&lt;=0),999,IF(H197&gt;=0.1*0.75*fc_*Agth*1000,H197/MAX(0.001,1/(1/M197+1/N197-1/(0.75*'KT THAN'!$C$62))),'KT THAN'!$C$32*ABS(J197)/MAX('KT THAN'!$C$68,0.001)+'KT THAN'!$D$32*ABS(I197)/MAX('KT THAN'!$D$68,0.001)))))</f>
        <v/>
      </c>
      <c r="P197" s="37" t="str">
        <f t="shared" si="36"/>
        <v/>
      </c>
      <c r="Q197" s="38" t="str">
        <f>IF($A197="","",MAX(0.001,'KT THAN'!$C$32*ABS(J197)/MAX(1,H197)))</f>
        <v/>
      </c>
      <c r="R197" s="38" t="str">
        <f>IF($A197="","",MAX(0.001,'KT THAN'!$D$32*ABS(I197)/MAX(1,H197)))</f>
        <v/>
      </c>
      <c r="S197" t="str">
        <f t="shared" si="30"/>
        <v/>
      </c>
    </row>
    <row r="198" spans="1:19" hidden="1" outlineLevel="1" x14ac:dyDescent="0.3">
      <c r="A198" s="37" t="str">
        <f>IF('TO HOP NLAN'!$A64="","",'TO HOP NLAN'!$A64)</f>
        <v/>
      </c>
      <c r="B198" s="38" t="str">
        <f>IF($A198="","",'TO HOP NLAN'!$D64)</f>
        <v/>
      </c>
      <c r="C198" s="38" t="str">
        <f>IF($A198="","",'TO HOP NLAN'!$E64)</f>
        <v/>
      </c>
      <c r="D198" s="38" t="str">
        <f>IF($A198="","",'TO HOP NLAN'!$F64)</f>
        <v/>
      </c>
      <c r="E198" s="38" t="str">
        <f>IF($A198="","",'TO HOP NLAN'!$B64)</f>
        <v/>
      </c>
      <c r="F198" s="38" t="str">
        <f>IF($A198="","",'TO HOP NLAN'!$C64)</f>
        <v/>
      </c>
      <c r="G198" s="38" t="str">
        <f t="shared" si="31"/>
        <v/>
      </c>
      <c r="H198" s="38" t="str">
        <f t="shared" si="24"/>
        <v/>
      </c>
      <c r="I198" s="38" t="str">
        <f t="shared" si="32"/>
        <v/>
      </c>
      <c r="J198" s="38" t="str">
        <f t="shared" si="33"/>
        <v/>
      </c>
      <c r="K198" s="38" t="str">
        <f t="shared" si="34"/>
        <v/>
      </c>
      <c r="L198" s="38" t="str">
        <f t="shared" si="35"/>
        <v/>
      </c>
      <c r="M198" s="38" t="str">
        <f>IF($A198="","",IF(H198=0,"",IF(Q198&lt;=0.000000001,MIN(0.8*0.75*'KT THAN'!$C$62,MAX('KT THAN'!$J$38:$J$58)),IFERROR(MIN(0.8*0.75*'KT THAN'!$C$62,INDEX('KT THAN'!$J$38:$J$58,MATCH(Q198,'KT THAN'!$L$38:$L$58,-1))+(INDEX('KT THAN'!$J$38:$J$58,MIN(21,MATCH(Q198,'KT THAN'!$L$38:$L$58,-1)+1))-INDEX('KT THAN'!$J$38:$J$58,MATCH(Q198,'KT THAN'!$L$38:$L$58,-1)))*(Q198-INDEX('KT THAN'!$L$38:$L$58,MATCH(Q198,'KT THAN'!$L$38:$L$58,-1)))/(INDEX('KT THAN'!$L$38:$L$58,MIN(21,MATCH(Q198,'KT THAN'!$L$38:$L$58,-1)+1))-INDEX('KT THAN'!$L$38:$L$58,MATCH(Q198,'KT THAN'!$L$38:$L$58,-1)))),MIN(0.8*0.75*'KT THAN'!$C$62,'KT THAN'!$C$68/Q198)))))</f>
        <v/>
      </c>
      <c r="N198" s="38" t="str">
        <f>IF($A198="","",IF(H198=0,"",IF(R198&lt;=0.000000001,MIN(0.8*0.75*'KT THAN'!$C$62,MAX('KT THAN'!$W$38:$W$58)),IFERROR(MIN(0.8*0.75*'KT THAN'!$C$62,INDEX('KT THAN'!$W$38:$W$58,MATCH(R198,'KT THAN'!$Y$38:$Y$58,-1))+(INDEX('KT THAN'!$W$38:$W$58,MIN(21,MATCH(R198,'KT THAN'!$Y$38:$Y$58,-1)+1))-INDEX('KT THAN'!$W$38:$W$58,MATCH(R198,'KT THAN'!$Y$38:$Y$58,-1)))*(R198-INDEX('KT THAN'!$Y$38:$Y$58,MATCH(R198,'KT THAN'!$Y$38:$Y$58,-1)))/(INDEX('KT THAN'!$Y$38:$Y$58,MIN(21,MATCH(R198,'KT THAN'!$Y$38:$Y$58,-1)+1))-INDEX('KT THAN'!$Y$38:$Y$58,MATCH(R198,'KT THAN'!$Y$38:$Y$58,-1)))),MIN(0.8*0.75*'KT THAN'!$C$62,'KT THAN'!$D$68/R198)))))</f>
        <v/>
      </c>
      <c r="O198" s="38" t="str">
        <f>IF($A198="","",IF(H198&lt;0,ABS(H198)/MAX('KT THAN'!$C$69,0.001)+'KT THAN'!$C$32*ABS(J198)/MAX('KT THAN'!$C$68,0.001)+'KT THAN'!$D$32*ABS(I198)/MAX('KT THAN'!$D$68,0.001),IF(OR(M198&lt;=0,N198&lt;=0),999,IF(H198&gt;=0.1*0.75*fc_*Agth*1000,H198/MAX(0.001,1/(1/M198+1/N198-1/(0.75*'KT THAN'!$C$62))),'KT THAN'!$C$32*ABS(J198)/MAX('KT THAN'!$C$68,0.001)+'KT THAN'!$D$32*ABS(I198)/MAX('KT THAN'!$D$68,0.001)))))</f>
        <v/>
      </c>
      <c r="P198" s="37" t="str">
        <f t="shared" si="36"/>
        <v/>
      </c>
      <c r="Q198" s="38" t="str">
        <f>IF($A198="","",MAX(0.001,'KT THAN'!$C$32*ABS(J198)/MAX(1,H198)))</f>
        <v/>
      </c>
      <c r="R198" s="38" t="str">
        <f>IF($A198="","",MAX(0.001,'KT THAN'!$D$32*ABS(I198)/MAX(1,H198)))</f>
        <v/>
      </c>
      <c r="S198" t="str">
        <f t="shared" si="30"/>
        <v/>
      </c>
    </row>
    <row r="199" spans="1:19" hidden="1" outlineLevel="1" x14ac:dyDescent="0.3">
      <c r="A199" s="37" t="str">
        <f>IF('TO HOP NLAN'!$A65="","",'TO HOP NLAN'!$A65)</f>
        <v/>
      </c>
      <c r="B199" s="38" t="str">
        <f>IF($A199="","",'TO HOP NLAN'!$D65)</f>
        <v/>
      </c>
      <c r="C199" s="38" t="str">
        <f>IF($A199="","",'TO HOP NLAN'!$E65)</f>
        <v/>
      </c>
      <c r="D199" s="38" t="str">
        <f>IF($A199="","",'TO HOP NLAN'!$F65)</f>
        <v/>
      </c>
      <c r="E199" s="38" t="str">
        <f>IF($A199="","",'TO HOP NLAN'!$B65)</f>
        <v/>
      </c>
      <c r="F199" s="38" t="str">
        <f>IF($A199="","",'TO HOP NLAN'!$C65)</f>
        <v/>
      </c>
      <c r="G199" s="38" t="str">
        <f t="shared" si="31"/>
        <v/>
      </c>
      <c r="H199" s="38" t="str">
        <f t="shared" si="24"/>
        <v/>
      </c>
      <c r="I199" s="38" t="str">
        <f t="shared" si="32"/>
        <v/>
      </c>
      <c r="J199" s="38" t="str">
        <f t="shared" si="33"/>
        <v/>
      </c>
      <c r="K199" s="38" t="str">
        <f t="shared" si="34"/>
        <v/>
      </c>
      <c r="L199" s="38" t="str">
        <f t="shared" si="35"/>
        <v/>
      </c>
      <c r="M199" s="38" t="str">
        <f>IF($A199="","",IF(H199=0,"",IF(Q199&lt;=0.000000001,MIN(0.8*0.75*'KT THAN'!$C$62,MAX('KT THAN'!$J$38:$J$58)),IFERROR(MIN(0.8*0.75*'KT THAN'!$C$62,INDEX('KT THAN'!$J$38:$J$58,MATCH(Q199,'KT THAN'!$L$38:$L$58,-1))+(INDEX('KT THAN'!$J$38:$J$58,MIN(21,MATCH(Q199,'KT THAN'!$L$38:$L$58,-1)+1))-INDEX('KT THAN'!$J$38:$J$58,MATCH(Q199,'KT THAN'!$L$38:$L$58,-1)))*(Q199-INDEX('KT THAN'!$L$38:$L$58,MATCH(Q199,'KT THAN'!$L$38:$L$58,-1)))/(INDEX('KT THAN'!$L$38:$L$58,MIN(21,MATCH(Q199,'KT THAN'!$L$38:$L$58,-1)+1))-INDEX('KT THAN'!$L$38:$L$58,MATCH(Q199,'KT THAN'!$L$38:$L$58,-1)))),MIN(0.8*0.75*'KT THAN'!$C$62,'KT THAN'!$C$68/Q199)))))</f>
        <v/>
      </c>
      <c r="N199" s="38" t="str">
        <f>IF($A199="","",IF(H199=0,"",IF(R199&lt;=0.000000001,MIN(0.8*0.75*'KT THAN'!$C$62,MAX('KT THAN'!$W$38:$W$58)),IFERROR(MIN(0.8*0.75*'KT THAN'!$C$62,INDEX('KT THAN'!$W$38:$W$58,MATCH(R199,'KT THAN'!$Y$38:$Y$58,-1))+(INDEX('KT THAN'!$W$38:$W$58,MIN(21,MATCH(R199,'KT THAN'!$Y$38:$Y$58,-1)+1))-INDEX('KT THAN'!$W$38:$W$58,MATCH(R199,'KT THAN'!$Y$38:$Y$58,-1)))*(R199-INDEX('KT THAN'!$Y$38:$Y$58,MATCH(R199,'KT THAN'!$Y$38:$Y$58,-1)))/(INDEX('KT THAN'!$Y$38:$Y$58,MIN(21,MATCH(R199,'KT THAN'!$Y$38:$Y$58,-1)+1))-INDEX('KT THAN'!$Y$38:$Y$58,MATCH(R199,'KT THAN'!$Y$38:$Y$58,-1)))),MIN(0.8*0.75*'KT THAN'!$C$62,'KT THAN'!$D$68/R199)))))</f>
        <v/>
      </c>
      <c r="O199" s="38" t="str">
        <f>IF($A199="","",IF(H199&lt;0,ABS(H199)/MAX('KT THAN'!$C$69,0.001)+'KT THAN'!$C$32*ABS(J199)/MAX('KT THAN'!$C$68,0.001)+'KT THAN'!$D$32*ABS(I199)/MAX('KT THAN'!$D$68,0.001),IF(OR(M199&lt;=0,N199&lt;=0),999,IF(H199&gt;=0.1*0.75*fc_*Agth*1000,H199/MAX(0.001,1/(1/M199+1/N199-1/(0.75*'KT THAN'!$C$62))),'KT THAN'!$C$32*ABS(J199)/MAX('KT THAN'!$C$68,0.001)+'KT THAN'!$D$32*ABS(I199)/MAX('KT THAN'!$D$68,0.001)))))</f>
        <v/>
      </c>
      <c r="P199" s="37" t="str">
        <f t="shared" si="36"/>
        <v/>
      </c>
      <c r="Q199" s="38" t="str">
        <f>IF($A199="","",MAX(0.001,'KT THAN'!$C$32*ABS(J199)/MAX(1,H199)))</f>
        <v/>
      </c>
      <c r="R199" s="38" t="str">
        <f>IF($A199="","",MAX(0.001,'KT THAN'!$D$32*ABS(I199)/MAX(1,H199)))</f>
        <v/>
      </c>
      <c r="S199" t="str">
        <f t="shared" si="30"/>
        <v/>
      </c>
    </row>
    <row r="200" spans="1:19" hidden="1" outlineLevel="1" x14ac:dyDescent="0.3">
      <c r="A200" s="37" t="str">
        <f>IF('TO HOP NLAN'!$A66="","",'TO HOP NLAN'!$A66)</f>
        <v/>
      </c>
      <c r="B200" s="38" t="str">
        <f>IF($A200="","",'TO HOP NLAN'!$D66)</f>
        <v/>
      </c>
      <c r="C200" s="38" t="str">
        <f>IF($A200="","",'TO HOP NLAN'!$E66)</f>
        <v/>
      </c>
      <c r="D200" s="38" t="str">
        <f>IF($A200="","",'TO HOP NLAN'!$F66)</f>
        <v/>
      </c>
      <c r="E200" s="38" t="str">
        <f>IF($A200="","",'TO HOP NLAN'!$B66)</f>
        <v/>
      </c>
      <c r="F200" s="38" t="str">
        <f>IF($A200="","",'TO HOP NLAN'!$C66)</f>
        <v/>
      </c>
      <c r="G200" s="38" t="str">
        <f t="shared" si="31"/>
        <v/>
      </c>
      <c r="H200" s="38" t="str">
        <f t="shared" si="24"/>
        <v/>
      </c>
      <c r="I200" s="38" t="str">
        <f t="shared" si="32"/>
        <v/>
      </c>
      <c r="J200" s="38" t="str">
        <f t="shared" si="33"/>
        <v/>
      </c>
      <c r="K200" s="38" t="str">
        <f t="shared" si="34"/>
        <v/>
      </c>
      <c r="L200" s="38" t="str">
        <f t="shared" si="35"/>
        <v/>
      </c>
      <c r="M200" s="38" t="str">
        <f>IF($A200="","",IF(H200=0,"",IF(Q200&lt;=0.000000001,MIN(0.8*0.75*'KT THAN'!$C$62,MAX('KT THAN'!$J$38:$J$58)),IFERROR(MIN(0.8*0.75*'KT THAN'!$C$62,INDEX('KT THAN'!$J$38:$J$58,MATCH(Q200,'KT THAN'!$L$38:$L$58,-1))+(INDEX('KT THAN'!$J$38:$J$58,MIN(21,MATCH(Q200,'KT THAN'!$L$38:$L$58,-1)+1))-INDEX('KT THAN'!$J$38:$J$58,MATCH(Q200,'KT THAN'!$L$38:$L$58,-1)))*(Q200-INDEX('KT THAN'!$L$38:$L$58,MATCH(Q200,'KT THAN'!$L$38:$L$58,-1)))/(INDEX('KT THAN'!$L$38:$L$58,MIN(21,MATCH(Q200,'KT THAN'!$L$38:$L$58,-1)+1))-INDEX('KT THAN'!$L$38:$L$58,MATCH(Q200,'KT THAN'!$L$38:$L$58,-1)))),MIN(0.8*0.75*'KT THAN'!$C$62,'KT THAN'!$C$68/Q200)))))</f>
        <v/>
      </c>
      <c r="N200" s="38" t="str">
        <f>IF($A200="","",IF(H200=0,"",IF(R200&lt;=0.000000001,MIN(0.8*0.75*'KT THAN'!$C$62,MAX('KT THAN'!$W$38:$W$58)),IFERROR(MIN(0.8*0.75*'KT THAN'!$C$62,INDEX('KT THAN'!$W$38:$W$58,MATCH(R200,'KT THAN'!$Y$38:$Y$58,-1))+(INDEX('KT THAN'!$W$38:$W$58,MIN(21,MATCH(R200,'KT THAN'!$Y$38:$Y$58,-1)+1))-INDEX('KT THAN'!$W$38:$W$58,MATCH(R200,'KT THAN'!$Y$38:$Y$58,-1)))*(R200-INDEX('KT THAN'!$Y$38:$Y$58,MATCH(R200,'KT THAN'!$Y$38:$Y$58,-1)))/(INDEX('KT THAN'!$Y$38:$Y$58,MIN(21,MATCH(R200,'KT THAN'!$Y$38:$Y$58,-1)+1))-INDEX('KT THAN'!$Y$38:$Y$58,MATCH(R200,'KT THAN'!$Y$38:$Y$58,-1)))),MIN(0.8*0.75*'KT THAN'!$C$62,'KT THAN'!$D$68/R200)))))</f>
        <v/>
      </c>
      <c r="O200" s="38" t="str">
        <f>IF($A200="","",IF(H200&lt;0,ABS(H200)/MAX('KT THAN'!$C$69,0.001)+'KT THAN'!$C$32*ABS(J200)/MAX('KT THAN'!$C$68,0.001)+'KT THAN'!$D$32*ABS(I200)/MAX('KT THAN'!$D$68,0.001),IF(OR(M200&lt;=0,N200&lt;=0),999,IF(H200&gt;=0.1*0.75*fc_*Agth*1000,H200/MAX(0.001,1/(1/M200+1/N200-1/(0.75*'KT THAN'!$C$62))),'KT THAN'!$C$32*ABS(J200)/MAX('KT THAN'!$C$68,0.001)+'KT THAN'!$D$32*ABS(I200)/MAX('KT THAN'!$D$68,0.001)))))</f>
        <v/>
      </c>
      <c r="P200" s="37" t="str">
        <f t="shared" si="36"/>
        <v/>
      </c>
      <c r="Q200" s="38" t="str">
        <f>IF($A200="","",MAX(0.001,'KT THAN'!$C$32*ABS(J200)/MAX(1,H200)))</f>
        <v/>
      </c>
      <c r="R200" s="38" t="str">
        <f>IF($A200="","",MAX(0.001,'KT THAN'!$D$32*ABS(I200)/MAX(1,H200)))</f>
        <v/>
      </c>
      <c r="S200" t="str">
        <f t="shared" si="30"/>
        <v/>
      </c>
    </row>
    <row r="201" spans="1:19" hidden="1" outlineLevel="1" x14ac:dyDescent="0.3">
      <c r="A201" s="37" t="str">
        <f>IF('TO HOP NLAN'!$A67="","",'TO HOP NLAN'!$A67)</f>
        <v/>
      </c>
      <c r="B201" s="38" t="str">
        <f>IF($A201="","",'TO HOP NLAN'!$D67)</f>
        <v/>
      </c>
      <c r="C201" s="38" t="str">
        <f>IF($A201="","",'TO HOP NLAN'!$E67)</f>
        <v/>
      </c>
      <c r="D201" s="38" t="str">
        <f>IF($A201="","",'TO HOP NLAN'!$F67)</f>
        <v/>
      </c>
      <c r="E201" s="38" t="str">
        <f>IF($A201="","",'TO HOP NLAN'!$B67)</f>
        <v/>
      </c>
      <c r="F201" s="38" t="str">
        <f>IF($A201="","",'TO HOP NLAN'!$C67)</f>
        <v/>
      </c>
      <c r="G201" s="38" t="str">
        <f t="shared" si="31"/>
        <v/>
      </c>
      <c r="H201" s="38" t="str">
        <f t="shared" si="24"/>
        <v/>
      </c>
      <c r="I201" s="38" t="str">
        <f t="shared" si="32"/>
        <v/>
      </c>
      <c r="J201" s="38" t="str">
        <f t="shared" si="33"/>
        <v/>
      </c>
      <c r="K201" s="38" t="str">
        <f t="shared" si="34"/>
        <v/>
      </c>
      <c r="L201" s="38" t="str">
        <f t="shared" si="35"/>
        <v/>
      </c>
      <c r="M201" s="38" t="str">
        <f>IF($A201="","",IF(H201=0,"",IF(Q201&lt;=0.000000001,MIN(0.8*0.75*'KT THAN'!$C$62,MAX('KT THAN'!$J$38:$J$58)),IFERROR(MIN(0.8*0.75*'KT THAN'!$C$62,INDEX('KT THAN'!$J$38:$J$58,MATCH(Q201,'KT THAN'!$L$38:$L$58,-1))+(INDEX('KT THAN'!$J$38:$J$58,MIN(21,MATCH(Q201,'KT THAN'!$L$38:$L$58,-1)+1))-INDEX('KT THAN'!$J$38:$J$58,MATCH(Q201,'KT THAN'!$L$38:$L$58,-1)))*(Q201-INDEX('KT THAN'!$L$38:$L$58,MATCH(Q201,'KT THAN'!$L$38:$L$58,-1)))/(INDEX('KT THAN'!$L$38:$L$58,MIN(21,MATCH(Q201,'KT THAN'!$L$38:$L$58,-1)+1))-INDEX('KT THAN'!$L$38:$L$58,MATCH(Q201,'KT THAN'!$L$38:$L$58,-1)))),MIN(0.8*0.75*'KT THAN'!$C$62,'KT THAN'!$C$68/Q201)))))</f>
        <v/>
      </c>
      <c r="N201" s="38" t="str">
        <f>IF($A201="","",IF(H201=0,"",IF(R201&lt;=0.000000001,MIN(0.8*0.75*'KT THAN'!$C$62,MAX('KT THAN'!$W$38:$W$58)),IFERROR(MIN(0.8*0.75*'KT THAN'!$C$62,INDEX('KT THAN'!$W$38:$W$58,MATCH(R201,'KT THAN'!$Y$38:$Y$58,-1))+(INDEX('KT THAN'!$W$38:$W$58,MIN(21,MATCH(R201,'KT THAN'!$Y$38:$Y$58,-1)+1))-INDEX('KT THAN'!$W$38:$W$58,MATCH(R201,'KT THAN'!$Y$38:$Y$58,-1)))*(R201-INDEX('KT THAN'!$Y$38:$Y$58,MATCH(R201,'KT THAN'!$Y$38:$Y$58,-1)))/(INDEX('KT THAN'!$Y$38:$Y$58,MIN(21,MATCH(R201,'KT THAN'!$Y$38:$Y$58,-1)+1))-INDEX('KT THAN'!$Y$38:$Y$58,MATCH(R201,'KT THAN'!$Y$38:$Y$58,-1)))),MIN(0.8*0.75*'KT THAN'!$C$62,'KT THAN'!$D$68/R201)))))</f>
        <v/>
      </c>
      <c r="O201" s="38" t="str">
        <f>IF($A201="","",IF(H201&lt;0,ABS(H201)/MAX('KT THAN'!$C$69,0.001)+'KT THAN'!$C$32*ABS(J201)/MAX('KT THAN'!$C$68,0.001)+'KT THAN'!$D$32*ABS(I201)/MAX('KT THAN'!$D$68,0.001),IF(OR(M201&lt;=0,N201&lt;=0),999,IF(H201&gt;=0.1*0.75*fc_*Agth*1000,H201/MAX(0.001,1/(1/M201+1/N201-1/(0.75*'KT THAN'!$C$62))),'KT THAN'!$C$32*ABS(J201)/MAX('KT THAN'!$C$68,0.001)+'KT THAN'!$D$32*ABS(I201)/MAX('KT THAN'!$D$68,0.001)))))</f>
        <v/>
      </c>
      <c r="P201" s="37" t="str">
        <f t="shared" si="36"/>
        <v/>
      </c>
      <c r="Q201" s="38" t="str">
        <f>IF($A201="","",MAX(0.001,'KT THAN'!$C$32*ABS(J201)/MAX(1,H201)))</f>
        <v/>
      </c>
      <c r="R201" s="38" t="str">
        <f>IF($A201="","",MAX(0.001,'KT THAN'!$D$32*ABS(I201)/MAX(1,H201)))</f>
        <v/>
      </c>
      <c r="S201" t="str">
        <f t="shared" si="30"/>
        <v/>
      </c>
    </row>
    <row r="202" spans="1:19" hidden="1" outlineLevel="1" x14ac:dyDescent="0.3">
      <c r="A202" s="37" t="str">
        <f>IF('TO HOP NLAN'!$A68="","",'TO HOP NLAN'!$A68)</f>
        <v/>
      </c>
      <c r="B202" s="38" t="str">
        <f>IF($A202="","",'TO HOP NLAN'!$D68)</f>
        <v/>
      </c>
      <c r="C202" s="38" t="str">
        <f>IF($A202="","",'TO HOP NLAN'!$E68)</f>
        <v/>
      </c>
      <c r="D202" s="38" t="str">
        <f>IF($A202="","",'TO HOP NLAN'!$F68)</f>
        <v/>
      </c>
      <c r="E202" s="38" t="str">
        <f>IF($A202="","",'TO HOP NLAN'!$B68)</f>
        <v/>
      </c>
      <c r="F202" s="38" t="str">
        <f>IF($A202="","",'TO HOP NLAN'!$C68)</f>
        <v/>
      </c>
      <c r="G202" s="38" t="str">
        <f t="shared" si="31"/>
        <v/>
      </c>
      <c r="H202" s="38" t="str">
        <f t="shared" si="24"/>
        <v/>
      </c>
      <c r="I202" s="38" t="str">
        <f t="shared" si="32"/>
        <v/>
      </c>
      <c r="J202" s="38" t="str">
        <f t="shared" si="33"/>
        <v/>
      </c>
      <c r="K202" s="38" t="str">
        <f t="shared" si="34"/>
        <v/>
      </c>
      <c r="L202" s="38" t="str">
        <f t="shared" si="35"/>
        <v/>
      </c>
      <c r="M202" s="38" t="str">
        <f>IF($A202="","",IF(H202=0,"",IF(Q202&lt;=0.000000001,MIN(0.8*0.75*'KT THAN'!$C$62,MAX('KT THAN'!$J$38:$J$58)),IFERROR(MIN(0.8*0.75*'KT THAN'!$C$62,INDEX('KT THAN'!$J$38:$J$58,MATCH(Q202,'KT THAN'!$L$38:$L$58,-1))+(INDEX('KT THAN'!$J$38:$J$58,MIN(21,MATCH(Q202,'KT THAN'!$L$38:$L$58,-1)+1))-INDEX('KT THAN'!$J$38:$J$58,MATCH(Q202,'KT THAN'!$L$38:$L$58,-1)))*(Q202-INDEX('KT THAN'!$L$38:$L$58,MATCH(Q202,'KT THAN'!$L$38:$L$58,-1)))/(INDEX('KT THAN'!$L$38:$L$58,MIN(21,MATCH(Q202,'KT THAN'!$L$38:$L$58,-1)+1))-INDEX('KT THAN'!$L$38:$L$58,MATCH(Q202,'KT THAN'!$L$38:$L$58,-1)))),MIN(0.8*0.75*'KT THAN'!$C$62,'KT THAN'!$C$68/Q202)))))</f>
        <v/>
      </c>
      <c r="N202" s="38" t="str">
        <f>IF($A202="","",IF(H202=0,"",IF(R202&lt;=0.000000001,MIN(0.8*0.75*'KT THAN'!$C$62,MAX('KT THAN'!$W$38:$W$58)),IFERROR(MIN(0.8*0.75*'KT THAN'!$C$62,INDEX('KT THAN'!$W$38:$W$58,MATCH(R202,'KT THAN'!$Y$38:$Y$58,-1))+(INDEX('KT THAN'!$W$38:$W$58,MIN(21,MATCH(R202,'KT THAN'!$Y$38:$Y$58,-1)+1))-INDEX('KT THAN'!$W$38:$W$58,MATCH(R202,'KT THAN'!$Y$38:$Y$58,-1)))*(R202-INDEX('KT THAN'!$Y$38:$Y$58,MATCH(R202,'KT THAN'!$Y$38:$Y$58,-1)))/(INDEX('KT THAN'!$Y$38:$Y$58,MIN(21,MATCH(R202,'KT THAN'!$Y$38:$Y$58,-1)+1))-INDEX('KT THAN'!$Y$38:$Y$58,MATCH(R202,'KT THAN'!$Y$38:$Y$58,-1)))),MIN(0.8*0.75*'KT THAN'!$C$62,'KT THAN'!$D$68/R202)))))</f>
        <v/>
      </c>
      <c r="O202" s="38" t="str">
        <f>IF($A202="","",IF(H202&lt;0,ABS(H202)/MAX('KT THAN'!$C$69,0.001)+'KT THAN'!$C$32*ABS(J202)/MAX('KT THAN'!$C$68,0.001)+'KT THAN'!$D$32*ABS(I202)/MAX('KT THAN'!$D$68,0.001),IF(OR(M202&lt;=0,N202&lt;=0),999,IF(H202&gt;=0.1*0.75*fc_*Agth*1000,H202/MAX(0.001,1/(1/M202+1/N202-1/(0.75*'KT THAN'!$C$62))),'KT THAN'!$C$32*ABS(J202)/MAX('KT THAN'!$C$68,0.001)+'KT THAN'!$D$32*ABS(I202)/MAX('KT THAN'!$D$68,0.001)))))</f>
        <v/>
      </c>
      <c r="P202" s="37" t="str">
        <f t="shared" si="36"/>
        <v/>
      </c>
      <c r="Q202" s="38" t="str">
        <f>IF($A202="","",MAX(0.001,'KT THAN'!$C$32*ABS(J202)/MAX(1,H202)))</f>
        <v/>
      </c>
      <c r="R202" s="38" t="str">
        <f>IF($A202="","",MAX(0.001,'KT THAN'!$D$32*ABS(I202)/MAX(1,H202)))</f>
        <v/>
      </c>
      <c r="S202" t="str">
        <f t="shared" si="30"/>
        <v/>
      </c>
    </row>
    <row r="203" spans="1:19" hidden="1" outlineLevel="1" x14ac:dyDescent="0.3">
      <c r="A203" s="37" t="str">
        <f>IF('TO HOP NLAN'!$A69="","",'TO HOP NLAN'!$A69)</f>
        <v/>
      </c>
      <c r="B203" s="38" t="str">
        <f>IF($A203="","",'TO HOP NLAN'!$D69)</f>
        <v/>
      </c>
      <c r="C203" s="38" t="str">
        <f>IF($A203="","",'TO HOP NLAN'!$E69)</f>
        <v/>
      </c>
      <c r="D203" s="38" t="str">
        <f>IF($A203="","",'TO HOP NLAN'!$F69)</f>
        <v/>
      </c>
      <c r="E203" s="38" t="str">
        <f>IF($A203="","",'TO HOP NLAN'!$B69)</f>
        <v/>
      </c>
      <c r="F203" s="38" t="str">
        <f>IF($A203="","",'TO HOP NLAN'!$C69)</f>
        <v/>
      </c>
      <c r="G203" s="38" t="str">
        <f t="shared" si="31"/>
        <v/>
      </c>
      <c r="H203" s="38" t="str">
        <f t="shared" si="24"/>
        <v/>
      </c>
      <c r="I203" s="38" t="str">
        <f t="shared" si="32"/>
        <v/>
      </c>
      <c r="J203" s="38" t="str">
        <f t="shared" si="33"/>
        <v/>
      </c>
      <c r="K203" s="38" t="str">
        <f t="shared" si="34"/>
        <v/>
      </c>
      <c r="L203" s="38" t="str">
        <f t="shared" si="35"/>
        <v/>
      </c>
      <c r="M203" s="38" t="str">
        <f>IF($A203="","",IF(H203=0,"",IF(Q203&lt;=0.000000001,MIN(0.8*0.75*'KT THAN'!$C$62,MAX('KT THAN'!$J$38:$J$58)),IFERROR(MIN(0.8*0.75*'KT THAN'!$C$62,INDEX('KT THAN'!$J$38:$J$58,MATCH(Q203,'KT THAN'!$L$38:$L$58,-1))+(INDEX('KT THAN'!$J$38:$J$58,MIN(21,MATCH(Q203,'KT THAN'!$L$38:$L$58,-1)+1))-INDEX('KT THAN'!$J$38:$J$58,MATCH(Q203,'KT THAN'!$L$38:$L$58,-1)))*(Q203-INDEX('KT THAN'!$L$38:$L$58,MATCH(Q203,'KT THAN'!$L$38:$L$58,-1)))/(INDEX('KT THAN'!$L$38:$L$58,MIN(21,MATCH(Q203,'KT THAN'!$L$38:$L$58,-1)+1))-INDEX('KT THAN'!$L$38:$L$58,MATCH(Q203,'KT THAN'!$L$38:$L$58,-1)))),MIN(0.8*0.75*'KT THAN'!$C$62,'KT THAN'!$C$68/Q203)))))</f>
        <v/>
      </c>
      <c r="N203" s="38" t="str">
        <f>IF($A203="","",IF(H203=0,"",IF(R203&lt;=0.000000001,MIN(0.8*0.75*'KT THAN'!$C$62,MAX('KT THAN'!$W$38:$W$58)),IFERROR(MIN(0.8*0.75*'KT THAN'!$C$62,INDEX('KT THAN'!$W$38:$W$58,MATCH(R203,'KT THAN'!$Y$38:$Y$58,-1))+(INDEX('KT THAN'!$W$38:$W$58,MIN(21,MATCH(R203,'KT THAN'!$Y$38:$Y$58,-1)+1))-INDEX('KT THAN'!$W$38:$W$58,MATCH(R203,'KT THAN'!$Y$38:$Y$58,-1)))*(R203-INDEX('KT THAN'!$Y$38:$Y$58,MATCH(R203,'KT THAN'!$Y$38:$Y$58,-1)))/(INDEX('KT THAN'!$Y$38:$Y$58,MIN(21,MATCH(R203,'KT THAN'!$Y$38:$Y$58,-1)+1))-INDEX('KT THAN'!$Y$38:$Y$58,MATCH(R203,'KT THAN'!$Y$38:$Y$58,-1)))),MIN(0.8*0.75*'KT THAN'!$C$62,'KT THAN'!$D$68/R203)))))</f>
        <v/>
      </c>
      <c r="O203" s="38" t="str">
        <f>IF($A203="","",IF(H203&lt;0,ABS(H203)/MAX('KT THAN'!$C$69,0.001)+'KT THAN'!$C$32*ABS(J203)/MAX('KT THAN'!$C$68,0.001)+'KT THAN'!$D$32*ABS(I203)/MAX('KT THAN'!$D$68,0.001),IF(OR(M203&lt;=0,N203&lt;=0),999,IF(H203&gt;=0.1*0.75*fc_*Agth*1000,H203/MAX(0.001,1/(1/M203+1/N203-1/(0.75*'KT THAN'!$C$62))),'KT THAN'!$C$32*ABS(J203)/MAX('KT THAN'!$C$68,0.001)+'KT THAN'!$D$32*ABS(I203)/MAX('KT THAN'!$D$68,0.001)))))</f>
        <v/>
      </c>
      <c r="P203" s="37" t="str">
        <f t="shared" si="36"/>
        <v/>
      </c>
      <c r="Q203" s="38" t="str">
        <f>IF($A203="","",MAX(0.001,'KT THAN'!$C$32*ABS(J203)/MAX(1,H203)))</f>
        <v/>
      </c>
      <c r="R203" s="38" t="str">
        <f>IF($A203="","",MAX(0.001,'KT THAN'!$D$32*ABS(I203)/MAX(1,H203)))</f>
        <v/>
      </c>
      <c r="S203" t="str">
        <f t="shared" si="30"/>
        <v/>
      </c>
    </row>
    <row r="204" spans="1:19" hidden="1" outlineLevel="1" x14ac:dyDescent="0.3">
      <c r="A204" s="37" t="str">
        <f>IF('TO HOP NLAN'!$A70="","",'TO HOP NLAN'!$A70)</f>
        <v/>
      </c>
      <c r="B204" s="38" t="str">
        <f>IF($A204="","",'TO HOP NLAN'!$D70)</f>
        <v/>
      </c>
      <c r="C204" s="38" t="str">
        <f>IF($A204="","",'TO HOP NLAN'!$E70)</f>
        <v/>
      </c>
      <c r="D204" s="38" t="str">
        <f>IF($A204="","",'TO HOP NLAN'!$F70)</f>
        <v/>
      </c>
      <c r="E204" s="38" t="str">
        <f>IF($A204="","",'TO HOP NLAN'!$B70)</f>
        <v/>
      </c>
      <c r="F204" s="38" t="str">
        <f>IF($A204="","",'TO HOP NLAN'!$C70)</f>
        <v/>
      </c>
      <c r="G204" s="38" t="str">
        <f t="shared" si="31"/>
        <v/>
      </c>
      <c r="H204" s="38" t="str">
        <f t="shared" ref="H204:H267" si="37">IF(A204="","",IF(nThan=1,B204,B204/2+(1)*$B$7*C204/sThan))</f>
        <v/>
      </c>
      <c r="I204" s="38" t="str">
        <f t="shared" si="32"/>
        <v/>
      </c>
      <c r="J204" s="38" t="str">
        <f t="shared" si="33"/>
        <v/>
      </c>
      <c r="K204" s="38" t="str">
        <f t="shared" si="34"/>
        <v/>
      </c>
      <c r="L204" s="38" t="str">
        <f t="shared" si="35"/>
        <v/>
      </c>
      <c r="M204" s="38" t="str">
        <f>IF($A204="","",IF(H204=0,"",IF(Q204&lt;=0.000000001,MIN(0.8*0.75*'KT THAN'!$C$62,MAX('KT THAN'!$J$38:$J$58)),IFERROR(MIN(0.8*0.75*'KT THAN'!$C$62,INDEX('KT THAN'!$J$38:$J$58,MATCH(Q204,'KT THAN'!$L$38:$L$58,-1))+(INDEX('KT THAN'!$J$38:$J$58,MIN(21,MATCH(Q204,'KT THAN'!$L$38:$L$58,-1)+1))-INDEX('KT THAN'!$J$38:$J$58,MATCH(Q204,'KT THAN'!$L$38:$L$58,-1)))*(Q204-INDEX('KT THAN'!$L$38:$L$58,MATCH(Q204,'KT THAN'!$L$38:$L$58,-1)))/(INDEX('KT THAN'!$L$38:$L$58,MIN(21,MATCH(Q204,'KT THAN'!$L$38:$L$58,-1)+1))-INDEX('KT THAN'!$L$38:$L$58,MATCH(Q204,'KT THAN'!$L$38:$L$58,-1)))),MIN(0.8*0.75*'KT THAN'!$C$62,'KT THAN'!$C$68/Q204)))))</f>
        <v/>
      </c>
      <c r="N204" s="38" t="str">
        <f>IF($A204="","",IF(H204=0,"",IF(R204&lt;=0.000000001,MIN(0.8*0.75*'KT THAN'!$C$62,MAX('KT THAN'!$W$38:$W$58)),IFERROR(MIN(0.8*0.75*'KT THAN'!$C$62,INDEX('KT THAN'!$W$38:$W$58,MATCH(R204,'KT THAN'!$Y$38:$Y$58,-1))+(INDEX('KT THAN'!$W$38:$W$58,MIN(21,MATCH(R204,'KT THAN'!$Y$38:$Y$58,-1)+1))-INDEX('KT THAN'!$W$38:$W$58,MATCH(R204,'KT THAN'!$Y$38:$Y$58,-1)))*(R204-INDEX('KT THAN'!$Y$38:$Y$58,MATCH(R204,'KT THAN'!$Y$38:$Y$58,-1)))/(INDEX('KT THAN'!$Y$38:$Y$58,MIN(21,MATCH(R204,'KT THAN'!$Y$38:$Y$58,-1)+1))-INDEX('KT THAN'!$Y$38:$Y$58,MATCH(R204,'KT THAN'!$Y$38:$Y$58,-1)))),MIN(0.8*0.75*'KT THAN'!$C$62,'KT THAN'!$D$68/R204)))))</f>
        <v/>
      </c>
      <c r="O204" s="38" t="str">
        <f>IF($A204="","",IF(H204&lt;0,ABS(H204)/MAX('KT THAN'!$C$69,0.001)+'KT THAN'!$C$32*ABS(J204)/MAX('KT THAN'!$C$68,0.001)+'KT THAN'!$D$32*ABS(I204)/MAX('KT THAN'!$D$68,0.001),IF(OR(M204&lt;=0,N204&lt;=0),999,IF(H204&gt;=0.1*0.75*fc_*Agth*1000,H204/MAX(0.001,1/(1/M204+1/N204-1/(0.75*'KT THAN'!$C$62))),'KT THAN'!$C$32*ABS(J204)/MAX('KT THAN'!$C$68,0.001)+'KT THAN'!$D$32*ABS(I204)/MAX('KT THAN'!$D$68,0.001)))))</f>
        <v/>
      </c>
      <c r="P204" s="37" t="str">
        <f t="shared" si="36"/>
        <v/>
      </c>
      <c r="Q204" s="38" t="str">
        <f>IF($A204="","",MAX(0.001,'KT THAN'!$C$32*ABS(J204)/MAX(1,H204)))</f>
        <v/>
      </c>
      <c r="R204" s="38" t="str">
        <f>IF($A204="","",MAX(0.001,'KT THAN'!$D$32*ABS(I204)/MAX(1,H204)))</f>
        <v/>
      </c>
      <c r="S204" t="str">
        <f t="shared" ref="S204:S267" si="38">IF($A204="","",IF(H204&lt;0,O204,""))</f>
        <v/>
      </c>
    </row>
    <row r="205" spans="1:19" hidden="1" outlineLevel="1" x14ac:dyDescent="0.3">
      <c r="A205" s="37" t="str">
        <f>IF('TO HOP NLAN'!$A71="","",'TO HOP NLAN'!$A71)</f>
        <v/>
      </c>
      <c r="B205" s="38" t="str">
        <f>IF($A205="","",'TO HOP NLAN'!$D71)</f>
        <v/>
      </c>
      <c r="C205" s="38" t="str">
        <f>IF($A205="","",'TO HOP NLAN'!$E71)</f>
        <v/>
      </c>
      <c r="D205" s="38" t="str">
        <f>IF($A205="","",'TO HOP NLAN'!$F71)</f>
        <v/>
      </c>
      <c r="E205" s="38" t="str">
        <f>IF($A205="","",'TO HOP NLAN'!$B71)</f>
        <v/>
      </c>
      <c r="F205" s="38" t="str">
        <f>IF($A205="","",'TO HOP NLAN'!$C71)</f>
        <v/>
      </c>
      <c r="G205" s="38" t="str">
        <f t="shared" ref="G205:G268" si="39">IF(A205="","",1)</f>
        <v/>
      </c>
      <c r="H205" s="38" t="str">
        <f t="shared" si="37"/>
        <v/>
      </c>
      <c r="I205" s="38" t="str">
        <f t="shared" ref="I205:I268" si="40">IF(A205="","",IF(nThan=1,C205,(1-$B$7)*C205/2))</f>
        <v/>
      </c>
      <c r="J205" s="38" t="str">
        <f t="shared" ref="J205:J268" si="41">IF(A205="","",IF(nThan=1,D205,D205/2))</f>
        <v/>
      </c>
      <c r="K205" s="38" t="str">
        <f t="shared" ref="K205:K268" si="42">IF(A205="","",IF(nThan=1,E205,E205/2))</f>
        <v/>
      </c>
      <c r="L205" s="38" t="str">
        <f t="shared" ref="L205:L268" si="43">IF(A205="","",IF(nThan=1,F205,F205/2))</f>
        <v/>
      </c>
      <c r="M205" s="38" t="str">
        <f>IF($A205="","",IF(H205=0,"",IF(Q205&lt;=0.000000001,MIN(0.8*0.75*'KT THAN'!$C$62,MAX('KT THAN'!$J$38:$J$58)),IFERROR(MIN(0.8*0.75*'KT THAN'!$C$62,INDEX('KT THAN'!$J$38:$J$58,MATCH(Q205,'KT THAN'!$L$38:$L$58,-1))+(INDEX('KT THAN'!$J$38:$J$58,MIN(21,MATCH(Q205,'KT THAN'!$L$38:$L$58,-1)+1))-INDEX('KT THAN'!$J$38:$J$58,MATCH(Q205,'KT THAN'!$L$38:$L$58,-1)))*(Q205-INDEX('KT THAN'!$L$38:$L$58,MATCH(Q205,'KT THAN'!$L$38:$L$58,-1)))/(INDEX('KT THAN'!$L$38:$L$58,MIN(21,MATCH(Q205,'KT THAN'!$L$38:$L$58,-1)+1))-INDEX('KT THAN'!$L$38:$L$58,MATCH(Q205,'KT THAN'!$L$38:$L$58,-1)))),MIN(0.8*0.75*'KT THAN'!$C$62,'KT THAN'!$C$68/Q205)))))</f>
        <v/>
      </c>
      <c r="N205" s="38" t="str">
        <f>IF($A205="","",IF(H205=0,"",IF(R205&lt;=0.000000001,MIN(0.8*0.75*'KT THAN'!$C$62,MAX('KT THAN'!$W$38:$W$58)),IFERROR(MIN(0.8*0.75*'KT THAN'!$C$62,INDEX('KT THAN'!$W$38:$W$58,MATCH(R205,'KT THAN'!$Y$38:$Y$58,-1))+(INDEX('KT THAN'!$W$38:$W$58,MIN(21,MATCH(R205,'KT THAN'!$Y$38:$Y$58,-1)+1))-INDEX('KT THAN'!$W$38:$W$58,MATCH(R205,'KT THAN'!$Y$38:$Y$58,-1)))*(R205-INDEX('KT THAN'!$Y$38:$Y$58,MATCH(R205,'KT THAN'!$Y$38:$Y$58,-1)))/(INDEX('KT THAN'!$Y$38:$Y$58,MIN(21,MATCH(R205,'KT THAN'!$Y$38:$Y$58,-1)+1))-INDEX('KT THAN'!$Y$38:$Y$58,MATCH(R205,'KT THAN'!$Y$38:$Y$58,-1)))),MIN(0.8*0.75*'KT THAN'!$C$62,'KT THAN'!$D$68/R205)))))</f>
        <v/>
      </c>
      <c r="O205" s="38" t="str">
        <f>IF($A205="","",IF(H205&lt;0,ABS(H205)/MAX('KT THAN'!$C$69,0.001)+'KT THAN'!$C$32*ABS(J205)/MAX('KT THAN'!$C$68,0.001)+'KT THAN'!$D$32*ABS(I205)/MAX('KT THAN'!$D$68,0.001),IF(OR(M205&lt;=0,N205&lt;=0),999,IF(H205&gt;=0.1*0.75*fc_*Agth*1000,H205/MAX(0.001,1/(1/M205+1/N205-1/(0.75*'KT THAN'!$C$62))),'KT THAN'!$C$32*ABS(J205)/MAX('KT THAN'!$C$68,0.001)+'KT THAN'!$D$32*ABS(I205)/MAX('KT THAN'!$D$68,0.001)))))</f>
        <v/>
      </c>
      <c r="P205" s="37" t="str">
        <f t="shared" ref="P205:P268" si="44">IF(A205="","",IF(O205&lt;=1,"ĐẠT","KHÔNG ĐẠT"))</f>
        <v/>
      </c>
      <c r="Q205" s="38" t="str">
        <f>IF($A205="","",MAX(0.001,'KT THAN'!$C$32*ABS(J205)/MAX(1,H205)))</f>
        <v/>
      </c>
      <c r="R205" s="38" t="str">
        <f>IF($A205="","",MAX(0.001,'KT THAN'!$D$32*ABS(I205)/MAX(1,H205)))</f>
        <v/>
      </c>
      <c r="S205" t="str">
        <f t="shared" si="38"/>
        <v/>
      </c>
    </row>
    <row r="206" spans="1:19" hidden="1" outlineLevel="1" x14ac:dyDescent="0.3">
      <c r="A206" s="37" t="str">
        <f>IF('TO HOP NLAN'!$A72="","",'TO HOP NLAN'!$A72)</f>
        <v/>
      </c>
      <c r="B206" s="38" t="str">
        <f>IF($A206="","",'TO HOP NLAN'!$D72)</f>
        <v/>
      </c>
      <c r="C206" s="38" t="str">
        <f>IF($A206="","",'TO HOP NLAN'!$E72)</f>
        <v/>
      </c>
      <c r="D206" s="38" t="str">
        <f>IF($A206="","",'TO HOP NLAN'!$F72)</f>
        <v/>
      </c>
      <c r="E206" s="38" t="str">
        <f>IF($A206="","",'TO HOP NLAN'!$B72)</f>
        <v/>
      </c>
      <c r="F206" s="38" t="str">
        <f>IF($A206="","",'TO HOP NLAN'!$C72)</f>
        <v/>
      </c>
      <c r="G206" s="38" t="str">
        <f t="shared" si="39"/>
        <v/>
      </c>
      <c r="H206" s="38" t="str">
        <f t="shared" si="37"/>
        <v/>
      </c>
      <c r="I206" s="38" t="str">
        <f t="shared" si="40"/>
        <v/>
      </c>
      <c r="J206" s="38" t="str">
        <f t="shared" si="41"/>
        <v/>
      </c>
      <c r="K206" s="38" t="str">
        <f t="shared" si="42"/>
        <v/>
      </c>
      <c r="L206" s="38" t="str">
        <f t="shared" si="43"/>
        <v/>
      </c>
      <c r="M206" s="38" t="str">
        <f>IF($A206="","",IF(H206=0,"",IF(Q206&lt;=0.000000001,MIN(0.8*0.75*'KT THAN'!$C$62,MAX('KT THAN'!$J$38:$J$58)),IFERROR(MIN(0.8*0.75*'KT THAN'!$C$62,INDEX('KT THAN'!$J$38:$J$58,MATCH(Q206,'KT THAN'!$L$38:$L$58,-1))+(INDEX('KT THAN'!$J$38:$J$58,MIN(21,MATCH(Q206,'KT THAN'!$L$38:$L$58,-1)+1))-INDEX('KT THAN'!$J$38:$J$58,MATCH(Q206,'KT THAN'!$L$38:$L$58,-1)))*(Q206-INDEX('KT THAN'!$L$38:$L$58,MATCH(Q206,'KT THAN'!$L$38:$L$58,-1)))/(INDEX('KT THAN'!$L$38:$L$58,MIN(21,MATCH(Q206,'KT THAN'!$L$38:$L$58,-1)+1))-INDEX('KT THAN'!$L$38:$L$58,MATCH(Q206,'KT THAN'!$L$38:$L$58,-1)))),MIN(0.8*0.75*'KT THAN'!$C$62,'KT THAN'!$C$68/Q206)))))</f>
        <v/>
      </c>
      <c r="N206" s="38" t="str">
        <f>IF($A206="","",IF(H206=0,"",IF(R206&lt;=0.000000001,MIN(0.8*0.75*'KT THAN'!$C$62,MAX('KT THAN'!$W$38:$W$58)),IFERROR(MIN(0.8*0.75*'KT THAN'!$C$62,INDEX('KT THAN'!$W$38:$W$58,MATCH(R206,'KT THAN'!$Y$38:$Y$58,-1))+(INDEX('KT THAN'!$W$38:$W$58,MIN(21,MATCH(R206,'KT THAN'!$Y$38:$Y$58,-1)+1))-INDEX('KT THAN'!$W$38:$W$58,MATCH(R206,'KT THAN'!$Y$38:$Y$58,-1)))*(R206-INDEX('KT THAN'!$Y$38:$Y$58,MATCH(R206,'KT THAN'!$Y$38:$Y$58,-1)))/(INDEX('KT THAN'!$Y$38:$Y$58,MIN(21,MATCH(R206,'KT THAN'!$Y$38:$Y$58,-1)+1))-INDEX('KT THAN'!$Y$38:$Y$58,MATCH(R206,'KT THAN'!$Y$38:$Y$58,-1)))),MIN(0.8*0.75*'KT THAN'!$C$62,'KT THAN'!$D$68/R206)))))</f>
        <v/>
      </c>
      <c r="O206" s="38" t="str">
        <f>IF($A206="","",IF(H206&lt;0,ABS(H206)/MAX('KT THAN'!$C$69,0.001)+'KT THAN'!$C$32*ABS(J206)/MAX('KT THAN'!$C$68,0.001)+'KT THAN'!$D$32*ABS(I206)/MAX('KT THAN'!$D$68,0.001),IF(OR(M206&lt;=0,N206&lt;=0),999,IF(H206&gt;=0.1*0.75*fc_*Agth*1000,H206/MAX(0.001,1/(1/M206+1/N206-1/(0.75*'KT THAN'!$C$62))),'KT THAN'!$C$32*ABS(J206)/MAX('KT THAN'!$C$68,0.001)+'KT THAN'!$D$32*ABS(I206)/MAX('KT THAN'!$D$68,0.001)))))</f>
        <v/>
      </c>
      <c r="P206" s="37" t="str">
        <f t="shared" si="44"/>
        <v/>
      </c>
      <c r="Q206" s="38" t="str">
        <f>IF($A206="","",MAX(0.001,'KT THAN'!$C$32*ABS(J206)/MAX(1,H206)))</f>
        <v/>
      </c>
      <c r="R206" s="38" t="str">
        <f>IF($A206="","",MAX(0.001,'KT THAN'!$D$32*ABS(I206)/MAX(1,H206)))</f>
        <v/>
      </c>
      <c r="S206" t="str">
        <f t="shared" si="38"/>
        <v/>
      </c>
    </row>
    <row r="207" spans="1:19" hidden="1" outlineLevel="1" x14ac:dyDescent="0.3">
      <c r="A207" s="37" t="str">
        <f>IF('TO HOP NLAN'!$A73="","",'TO HOP NLAN'!$A73)</f>
        <v/>
      </c>
      <c r="B207" s="38" t="str">
        <f>IF($A207="","",'TO HOP NLAN'!$D73)</f>
        <v/>
      </c>
      <c r="C207" s="38" t="str">
        <f>IF($A207="","",'TO HOP NLAN'!$E73)</f>
        <v/>
      </c>
      <c r="D207" s="38" t="str">
        <f>IF($A207="","",'TO HOP NLAN'!$F73)</f>
        <v/>
      </c>
      <c r="E207" s="38" t="str">
        <f>IF($A207="","",'TO HOP NLAN'!$B73)</f>
        <v/>
      </c>
      <c r="F207" s="38" t="str">
        <f>IF($A207="","",'TO HOP NLAN'!$C73)</f>
        <v/>
      </c>
      <c r="G207" s="38" t="str">
        <f t="shared" si="39"/>
        <v/>
      </c>
      <c r="H207" s="38" t="str">
        <f t="shared" si="37"/>
        <v/>
      </c>
      <c r="I207" s="38" t="str">
        <f t="shared" si="40"/>
        <v/>
      </c>
      <c r="J207" s="38" t="str">
        <f t="shared" si="41"/>
        <v/>
      </c>
      <c r="K207" s="38" t="str">
        <f t="shared" si="42"/>
        <v/>
      </c>
      <c r="L207" s="38" t="str">
        <f t="shared" si="43"/>
        <v/>
      </c>
      <c r="M207" s="38" t="str">
        <f>IF($A207="","",IF(H207=0,"",IF(Q207&lt;=0.000000001,MIN(0.8*0.75*'KT THAN'!$C$62,MAX('KT THAN'!$J$38:$J$58)),IFERROR(MIN(0.8*0.75*'KT THAN'!$C$62,INDEX('KT THAN'!$J$38:$J$58,MATCH(Q207,'KT THAN'!$L$38:$L$58,-1))+(INDEX('KT THAN'!$J$38:$J$58,MIN(21,MATCH(Q207,'KT THAN'!$L$38:$L$58,-1)+1))-INDEX('KT THAN'!$J$38:$J$58,MATCH(Q207,'KT THAN'!$L$38:$L$58,-1)))*(Q207-INDEX('KT THAN'!$L$38:$L$58,MATCH(Q207,'KT THAN'!$L$38:$L$58,-1)))/(INDEX('KT THAN'!$L$38:$L$58,MIN(21,MATCH(Q207,'KT THAN'!$L$38:$L$58,-1)+1))-INDEX('KT THAN'!$L$38:$L$58,MATCH(Q207,'KT THAN'!$L$38:$L$58,-1)))),MIN(0.8*0.75*'KT THAN'!$C$62,'KT THAN'!$C$68/Q207)))))</f>
        <v/>
      </c>
      <c r="N207" s="38" t="str">
        <f>IF($A207="","",IF(H207=0,"",IF(R207&lt;=0.000000001,MIN(0.8*0.75*'KT THAN'!$C$62,MAX('KT THAN'!$W$38:$W$58)),IFERROR(MIN(0.8*0.75*'KT THAN'!$C$62,INDEX('KT THAN'!$W$38:$W$58,MATCH(R207,'KT THAN'!$Y$38:$Y$58,-1))+(INDEX('KT THAN'!$W$38:$W$58,MIN(21,MATCH(R207,'KT THAN'!$Y$38:$Y$58,-1)+1))-INDEX('KT THAN'!$W$38:$W$58,MATCH(R207,'KT THAN'!$Y$38:$Y$58,-1)))*(R207-INDEX('KT THAN'!$Y$38:$Y$58,MATCH(R207,'KT THAN'!$Y$38:$Y$58,-1)))/(INDEX('KT THAN'!$Y$38:$Y$58,MIN(21,MATCH(R207,'KT THAN'!$Y$38:$Y$58,-1)+1))-INDEX('KT THAN'!$Y$38:$Y$58,MATCH(R207,'KT THAN'!$Y$38:$Y$58,-1)))),MIN(0.8*0.75*'KT THAN'!$C$62,'KT THAN'!$D$68/R207)))))</f>
        <v/>
      </c>
      <c r="O207" s="38" t="str">
        <f>IF($A207="","",IF(H207&lt;0,ABS(H207)/MAX('KT THAN'!$C$69,0.001)+'KT THAN'!$C$32*ABS(J207)/MAX('KT THAN'!$C$68,0.001)+'KT THAN'!$D$32*ABS(I207)/MAX('KT THAN'!$D$68,0.001),IF(OR(M207&lt;=0,N207&lt;=0),999,IF(H207&gt;=0.1*0.75*fc_*Agth*1000,H207/MAX(0.001,1/(1/M207+1/N207-1/(0.75*'KT THAN'!$C$62))),'KT THAN'!$C$32*ABS(J207)/MAX('KT THAN'!$C$68,0.001)+'KT THAN'!$D$32*ABS(I207)/MAX('KT THAN'!$D$68,0.001)))))</f>
        <v/>
      </c>
      <c r="P207" s="37" t="str">
        <f t="shared" si="44"/>
        <v/>
      </c>
      <c r="Q207" s="38" t="str">
        <f>IF($A207="","",MAX(0.001,'KT THAN'!$C$32*ABS(J207)/MAX(1,H207)))</f>
        <v/>
      </c>
      <c r="R207" s="38" t="str">
        <f>IF($A207="","",MAX(0.001,'KT THAN'!$D$32*ABS(I207)/MAX(1,H207)))</f>
        <v/>
      </c>
      <c r="S207" t="str">
        <f t="shared" si="38"/>
        <v/>
      </c>
    </row>
    <row r="208" spans="1:19" hidden="1" outlineLevel="1" x14ac:dyDescent="0.3">
      <c r="A208" s="37" t="str">
        <f>IF('TO HOP NLAN'!$A74="","",'TO HOP NLAN'!$A74)</f>
        <v/>
      </c>
      <c r="B208" s="38" t="str">
        <f>IF($A208="","",'TO HOP NLAN'!$D74)</f>
        <v/>
      </c>
      <c r="C208" s="38" t="str">
        <f>IF($A208="","",'TO HOP NLAN'!$E74)</f>
        <v/>
      </c>
      <c r="D208" s="38" t="str">
        <f>IF($A208="","",'TO HOP NLAN'!$F74)</f>
        <v/>
      </c>
      <c r="E208" s="38" t="str">
        <f>IF($A208="","",'TO HOP NLAN'!$B74)</f>
        <v/>
      </c>
      <c r="F208" s="38" t="str">
        <f>IF($A208="","",'TO HOP NLAN'!$C74)</f>
        <v/>
      </c>
      <c r="G208" s="38" t="str">
        <f t="shared" si="39"/>
        <v/>
      </c>
      <c r="H208" s="38" t="str">
        <f t="shared" si="37"/>
        <v/>
      </c>
      <c r="I208" s="38" t="str">
        <f t="shared" si="40"/>
        <v/>
      </c>
      <c r="J208" s="38" t="str">
        <f t="shared" si="41"/>
        <v/>
      </c>
      <c r="K208" s="38" t="str">
        <f t="shared" si="42"/>
        <v/>
      </c>
      <c r="L208" s="38" t="str">
        <f t="shared" si="43"/>
        <v/>
      </c>
      <c r="M208" s="38" t="str">
        <f>IF($A208="","",IF(H208=0,"",IF(Q208&lt;=0.000000001,MIN(0.8*0.75*'KT THAN'!$C$62,MAX('KT THAN'!$J$38:$J$58)),IFERROR(MIN(0.8*0.75*'KT THAN'!$C$62,INDEX('KT THAN'!$J$38:$J$58,MATCH(Q208,'KT THAN'!$L$38:$L$58,-1))+(INDEX('KT THAN'!$J$38:$J$58,MIN(21,MATCH(Q208,'KT THAN'!$L$38:$L$58,-1)+1))-INDEX('KT THAN'!$J$38:$J$58,MATCH(Q208,'KT THAN'!$L$38:$L$58,-1)))*(Q208-INDEX('KT THAN'!$L$38:$L$58,MATCH(Q208,'KT THAN'!$L$38:$L$58,-1)))/(INDEX('KT THAN'!$L$38:$L$58,MIN(21,MATCH(Q208,'KT THAN'!$L$38:$L$58,-1)+1))-INDEX('KT THAN'!$L$38:$L$58,MATCH(Q208,'KT THAN'!$L$38:$L$58,-1)))),MIN(0.8*0.75*'KT THAN'!$C$62,'KT THAN'!$C$68/Q208)))))</f>
        <v/>
      </c>
      <c r="N208" s="38" t="str">
        <f>IF($A208="","",IF(H208=0,"",IF(R208&lt;=0.000000001,MIN(0.8*0.75*'KT THAN'!$C$62,MAX('KT THAN'!$W$38:$W$58)),IFERROR(MIN(0.8*0.75*'KT THAN'!$C$62,INDEX('KT THAN'!$W$38:$W$58,MATCH(R208,'KT THAN'!$Y$38:$Y$58,-1))+(INDEX('KT THAN'!$W$38:$W$58,MIN(21,MATCH(R208,'KT THAN'!$Y$38:$Y$58,-1)+1))-INDEX('KT THAN'!$W$38:$W$58,MATCH(R208,'KT THAN'!$Y$38:$Y$58,-1)))*(R208-INDEX('KT THAN'!$Y$38:$Y$58,MATCH(R208,'KT THAN'!$Y$38:$Y$58,-1)))/(INDEX('KT THAN'!$Y$38:$Y$58,MIN(21,MATCH(R208,'KT THAN'!$Y$38:$Y$58,-1)+1))-INDEX('KT THAN'!$Y$38:$Y$58,MATCH(R208,'KT THAN'!$Y$38:$Y$58,-1)))),MIN(0.8*0.75*'KT THAN'!$C$62,'KT THAN'!$D$68/R208)))))</f>
        <v/>
      </c>
      <c r="O208" s="38" t="str">
        <f>IF($A208="","",IF(H208&lt;0,ABS(H208)/MAX('KT THAN'!$C$69,0.001)+'KT THAN'!$C$32*ABS(J208)/MAX('KT THAN'!$C$68,0.001)+'KT THAN'!$D$32*ABS(I208)/MAX('KT THAN'!$D$68,0.001),IF(OR(M208&lt;=0,N208&lt;=0),999,IF(H208&gt;=0.1*0.75*fc_*Agth*1000,H208/MAX(0.001,1/(1/M208+1/N208-1/(0.75*'KT THAN'!$C$62))),'KT THAN'!$C$32*ABS(J208)/MAX('KT THAN'!$C$68,0.001)+'KT THAN'!$D$32*ABS(I208)/MAX('KT THAN'!$D$68,0.001)))))</f>
        <v/>
      </c>
      <c r="P208" s="37" t="str">
        <f t="shared" si="44"/>
        <v/>
      </c>
      <c r="Q208" s="38" t="str">
        <f>IF($A208="","",MAX(0.001,'KT THAN'!$C$32*ABS(J208)/MAX(1,H208)))</f>
        <v/>
      </c>
      <c r="R208" s="38" t="str">
        <f>IF($A208="","",MAX(0.001,'KT THAN'!$D$32*ABS(I208)/MAX(1,H208)))</f>
        <v/>
      </c>
      <c r="S208" t="str">
        <f t="shared" si="38"/>
        <v/>
      </c>
    </row>
    <row r="209" spans="1:19" hidden="1" outlineLevel="1" x14ac:dyDescent="0.3">
      <c r="A209" s="37" t="str">
        <f>IF('TO HOP NLAN'!$A75="","",'TO HOP NLAN'!$A75)</f>
        <v/>
      </c>
      <c r="B209" s="38" t="str">
        <f>IF($A209="","",'TO HOP NLAN'!$D75)</f>
        <v/>
      </c>
      <c r="C209" s="38" t="str">
        <f>IF($A209="","",'TO HOP NLAN'!$E75)</f>
        <v/>
      </c>
      <c r="D209" s="38" t="str">
        <f>IF($A209="","",'TO HOP NLAN'!$F75)</f>
        <v/>
      </c>
      <c r="E209" s="38" t="str">
        <f>IF($A209="","",'TO HOP NLAN'!$B75)</f>
        <v/>
      </c>
      <c r="F209" s="38" t="str">
        <f>IF($A209="","",'TO HOP NLAN'!$C75)</f>
        <v/>
      </c>
      <c r="G209" s="38" t="str">
        <f t="shared" si="39"/>
        <v/>
      </c>
      <c r="H209" s="38" t="str">
        <f t="shared" si="37"/>
        <v/>
      </c>
      <c r="I209" s="38" t="str">
        <f t="shared" si="40"/>
        <v/>
      </c>
      <c r="J209" s="38" t="str">
        <f t="shared" si="41"/>
        <v/>
      </c>
      <c r="K209" s="38" t="str">
        <f t="shared" si="42"/>
        <v/>
      </c>
      <c r="L209" s="38" t="str">
        <f t="shared" si="43"/>
        <v/>
      </c>
      <c r="M209" s="38" t="str">
        <f>IF($A209="","",IF(H209=0,"",IF(Q209&lt;=0.000000001,MIN(0.8*0.75*'KT THAN'!$C$62,MAX('KT THAN'!$J$38:$J$58)),IFERROR(MIN(0.8*0.75*'KT THAN'!$C$62,INDEX('KT THAN'!$J$38:$J$58,MATCH(Q209,'KT THAN'!$L$38:$L$58,-1))+(INDEX('KT THAN'!$J$38:$J$58,MIN(21,MATCH(Q209,'KT THAN'!$L$38:$L$58,-1)+1))-INDEX('KT THAN'!$J$38:$J$58,MATCH(Q209,'KT THAN'!$L$38:$L$58,-1)))*(Q209-INDEX('KT THAN'!$L$38:$L$58,MATCH(Q209,'KT THAN'!$L$38:$L$58,-1)))/(INDEX('KT THAN'!$L$38:$L$58,MIN(21,MATCH(Q209,'KT THAN'!$L$38:$L$58,-1)+1))-INDEX('KT THAN'!$L$38:$L$58,MATCH(Q209,'KT THAN'!$L$38:$L$58,-1)))),MIN(0.8*0.75*'KT THAN'!$C$62,'KT THAN'!$C$68/Q209)))))</f>
        <v/>
      </c>
      <c r="N209" s="38" t="str">
        <f>IF($A209="","",IF(H209=0,"",IF(R209&lt;=0.000000001,MIN(0.8*0.75*'KT THAN'!$C$62,MAX('KT THAN'!$W$38:$W$58)),IFERROR(MIN(0.8*0.75*'KT THAN'!$C$62,INDEX('KT THAN'!$W$38:$W$58,MATCH(R209,'KT THAN'!$Y$38:$Y$58,-1))+(INDEX('KT THAN'!$W$38:$W$58,MIN(21,MATCH(R209,'KT THAN'!$Y$38:$Y$58,-1)+1))-INDEX('KT THAN'!$W$38:$W$58,MATCH(R209,'KT THAN'!$Y$38:$Y$58,-1)))*(R209-INDEX('KT THAN'!$Y$38:$Y$58,MATCH(R209,'KT THAN'!$Y$38:$Y$58,-1)))/(INDEX('KT THAN'!$Y$38:$Y$58,MIN(21,MATCH(R209,'KT THAN'!$Y$38:$Y$58,-1)+1))-INDEX('KT THAN'!$Y$38:$Y$58,MATCH(R209,'KT THAN'!$Y$38:$Y$58,-1)))),MIN(0.8*0.75*'KT THAN'!$C$62,'KT THAN'!$D$68/R209)))))</f>
        <v/>
      </c>
      <c r="O209" s="38" t="str">
        <f>IF($A209="","",IF(H209&lt;0,ABS(H209)/MAX('KT THAN'!$C$69,0.001)+'KT THAN'!$C$32*ABS(J209)/MAX('KT THAN'!$C$68,0.001)+'KT THAN'!$D$32*ABS(I209)/MAX('KT THAN'!$D$68,0.001),IF(OR(M209&lt;=0,N209&lt;=0),999,IF(H209&gt;=0.1*0.75*fc_*Agth*1000,H209/MAX(0.001,1/(1/M209+1/N209-1/(0.75*'KT THAN'!$C$62))),'KT THAN'!$C$32*ABS(J209)/MAX('KT THAN'!$C$68,0.001)+'KT THAN'!$D$32*ABS(I209)/MAX('KT THAN'!$D$68,0.001)))))</f>
        <v/>
      </c>
      <c r="P209" s="37" t="str">
        <f t="shared" si="44"/>
        <v/>
      </c>
      <c r="Q209" s="38" t="str">
        <f>IF($A209="","",MAX(0.001,'KT THAN'!$C$32*ABS(J209)/MAX(1,H209)))</f>
        <v/>
      </c>
      <c r="R209" s="38" t="str">
        <f>IF($A209="","",MAX(0.001,'KT THAN'!$D$32*ABS(I209)/MAX(1,H209)))</f>
        <v/>
      </c>
      <c r="S209" t="str">
        <f t="shared" si="38"/>
        <v/>
      </c>
    </row>
    <row r="210" spans="1:19" hidden="1" outlineLevel="1" x14ac:dyDescent="0.3">
      <c r="A210" s="37" t="str">
        <f>IF('TO HOP NLAN'!$A76="","",'TO HOP NLAN'!$A76)</f>
        <v/>
      </c>
      <c r="B210" s="38" t="str">
        <f>IF($A210="","",'TO HOP NLAN'!$D76)</f>
        <v/>
      </c>
      <c r="C210" s="38" t="str">
        <f>IF($A210="","",'TO HOP NLAN'!$E76)</f>
        <v/>
      </c>
      <c r="D210" s="38" t="str">
        <f>IF($A210="","",'TO HOP NLAN'!$F76)</f>
        <v/>
      </c>
      <c r="E210" s="38" t="str">
        <f>IF($A210="","",'TO HOP NLAN'!$B76)</f>
        <v/>
      </c>
      <c r="F210" s="38" t="str">
        <f>IF($A210="","",'TO HOP NLAN'!$C76)</f>
        <v/>
      </c>
      <c r="G210" s="38" t="str">
        <f t="shared" si="39"/>
        <v/>
      </c>
      <c r="H210" s="38" t="str">
        <f t="shared" si="37"/>
        <v/>
      </c>
      <c r="I210" s="38" t="str">
        <f t="shared" si="40"/>
        <v/>
      </c>
      <c r="J210" s="38" t="str">
        <f t="shared" si="41"/>
        <v/>
      </c>
      <c r="K210" s="38" t="str">
        <f t="shared" si="42"/>
        <v/>
      </c>
      <c r="L210" s="38" t="str">
        <f t="shared" si="43"/>
        <v/>
      </c>
      <c r="M210" s="38" t="str">
        <f>IF($A210="","",IF(H210=0,"",IF(Q210&lt;=0.000000001,MIN(0.8*0.75*'KT THAN'!$C$62,MAX('KT THAN'!$J$38:$J$58)),IFERROR(MIN(0.8*0.75*'KT THAN'!$C$62,INDEX('KT THAN'!$J$38:$J$58,MATCH(Q210,'KT THAN'!$L$38:$L$58,-1))+(INDEX('KT THAN'!$J$38:$J$58,MIN(21,MATCH(Q210,'KT THAN'!$L$38:$L$58,-1)+1))-INDEX('KT THAN'!$J$38:$J$58,MATCH(Q210,'KT THAN'!$L$38:$L$58,-1)))*(Q210-INDEX('KT THAN'!$L$38:$L$58,MATCH(Q210,'KT THAN'!$L$38:$L$58,-1)))/(INDEX('KT THAN'!$L$38:$L$58,MIN(21,MATCH(Q210,'KT THAN'!$L$38:$L$58,-1)+1))-INDEX('KT THAN'!$L$38:$L$58,MATCH(Q210,'KT THAN'!$L$38:$L$58,-1)))),MIN(0.8*0.75*'KT THAN'!$C$62,'KT THAN'!$C$68/Q210)))))</f>
        <v/>
      </c>
      <c r="N210" s="38" t="str">
        <f>IF($A210="","",IF(H210=0,"",IF(R210&lt;=0.000000001,MIN(0.8*0.75*'KT THAN'!$C$62,MAX('KT THAN'!$W$38:$W$58)),IFERROR(MIN(0.8*0.75*'KT THAN'!$C$62,INDEX('KT THAN'!$W$38:$W$58,MATCH(R210,'KT THAN'!$Y$38:$Y$58,-1))+(INDEX('KT THAN'!$W$38:$W$58,MIN(21,MATCH(R210,'KT THAN'!$Y$38:$Y$58,-1)+1))-INDEX('KT THAN'!$W$38:$W$58,MATCH(R210,'KT THAN'!$Y$38:$Y$58,-1)))*(R210-INDEX('KT THAN'!$Y$38:$Y$58,MATCH(R210,'KT THAN'!$Y$38:$Y$58,-1)))/(INDEX('KT THAN'!$Y$38:$Y$58,MIN(21,MATCH(R210,'KT THAN'!$Y$38:$Y$58,-1)+1))-INDEX('KT THAN'!$Y$38:$Y$58,MATCH(R210,'KT THAN'!$Y$38:$Y$58,-1)))),MIN(0.8*0.75*'KT THAN'!$C$62,'KT THAN'!$D$68/R210)))))</f>
        <v/>
      </c>
      <c r="O210" s="38" t="str">
        <f>IF($A210="","",IF(H210&lt;0,ABS(H210)/MAX('KT THAN'!$C$69,0.001)+'KT THAN'!$C$32*ABS(J210)/MAX('KT THAN'!$C$68,0.001)+'KT THAN'!$D$32*ABS(I210)/MAX('KT THAN'!$D$68,0.001),IF(OR(M210&lt;=0,N210&lt;=0),999,IF(H210&gt;=0.1*0.75*fc_*Agth*1000,H210/MAX(0.001,1/(1/M210+1/N210-1/(0.75*'KT THAN'!$C$62))),'KT THAN'!$C$32*ABS(J210)/MAX('KT THAN'!$C$68,0.001)+'KT THAN'!$D$32*ABS(I210)/MAX('KT THAN'!$D$68,0.001)))))</f>
        <v/>
      </c>
      <c r="P210" s="37" t="str">
        <f t="shared" si="44"/>
        <v/>
      </c>
      <c r="Q210" s="38" t="str">
        <f>IF($A210="","",MAX(0.001,'KT THAN'!$C$32*ABS(J210)/MAX(1,H210)))</f>
        <v/>
      </c>
      <c r="R210" s="38" t="str">
        <f>IF($A210="","",MAX(0.001,'KT THAN'!$D$32*ABS(I210)/MAX(1,H210)))</f>
        <v/>
      </c>
      <c r="S210" t="str">
        <f t="shared" si="38"/>
        <v/>
      </c>
    </row>
    <row r="211" spans="1:19" hidden="1" outlineLevel="1" x14ac:dyDescent="0.3">
      <c r="A211" s="37" t="str">
        <f>IF('TO HOP NLAN'!$A77="","",'TO HOP NLAN'!$A77)</f>
        <v/>
      </c>
      <c r="B211" s="38" t="str">
        <f>IF($A211="","",'TO HOP NLAN'!$D77)</f>
        <v/>
      </c>
      <c r="C211" s="38" t="str">
        <f>IF($A211="","",'TO HOP NLAN'!$E77)</f>
        <v/>
      </c>
      <c r="D211" s="38" t="str">
        <f>IF($A211="","",'TO HOP NLAN'!$F77)</f>
        <v/>
      </c>
      <c r="E211" s="38" t="str">
        <f>IF($A211="","",'TO HOP NLAN'!$B77)</f>
        <v/>
      </c>
      <c r="F211" s="38" t="str">
        <f>IF($A211="","",'TO HOP NLAN'!$C77)</f>
        <v/>
      </c>
      <c r="G211" s="38" t="str">
        <f t="shared" si="39"/>
        <v/>
      </c>
      <c r="H211" s="38" t="str">
        <f t="shared" si="37"/>
        <v/>
      </c>
      <c r="I211" s="38" t="str">
        <f t="shared" si="40"/>
        <v/>
      </c>
      <c r="J211" s="38" t="str">
        <f t="shared" si="41"/>
        <v/>
      </c>
      <c r="K211" s="38" t="str">
        <f t="shared" si="42"/>
        <v/>
      </c>
      <c r="L211" s="38" t="str">
        <f t="shared" si="43"/>
        <v/>
      </c>
      <c r="M211" s="38" t="str">
        <f>IF($A211="","",IF(H211=0,"",IF(Q211&lt;=0.000000001,MIN(0.8*0.75*'KT THAN'!$C$62,MAX('KT THAN'!$J$38:$J$58)),IFERROR(MIN(0.8*0.75*'KT THAN'!$C$62,INDEX('KT THAN'!$J$38:$J$58,MATCH(Q211,'KT THAN'!$L$38:$L$58,-1))+(INDEX('KT THAN'!$J$38:$J$58,MIN(21,MATCH(Q211,'KT THAN'!$L$38:$L$58,-1)+1))-INDEX('KT THAN'!$J$38:$J$58,MATCH(Q211,'KT THAN'!$L$38:$L$58,-1)))*(Q211-INDEX('KT THAN'!$L$38:$L$58,MATCH(Q211,'KT THAN'!$L$38:$L$58,-1)))/(INDEX('KT THAN'!$L$38:$L$58,MIN(21,MATCH(Q211,'KT THAN'!$L$38:$L$58,-1)+1))-INDEX('KT THAN'!$L$38:$L$58,MATCH(Q211,'KT THAN'!$L$38:$L$58,-1)))),MIN(0.8*0.75*'KT THAN'!$C$62,'KT THAN'!$C$68/Q211)))))</f>
        <v/>
      </c>
      <c r="N211" s="38" t="str">
        <f>IF($A211="","",IF(H211=0,"",IF(R211&lt;=0.000000001,MIN(0.8*0.75*'KT THAN'!$C$62,MAX('KT THAN'!$W$38:$W$58)),IFERROR(MIN(0.8*0.75*'KT THAN'!$C$62,INDEX('KT THAN'!$W$38:$W$58,MATCH(R211,'KT THAN'!$Y$38:$Y$58,-1))+(INDEX('KT THAN'!$W$38:$W$58,MIN(21,MATCH(R211,'KT THAN'!$Y$38:$Y$58,-1)+1))-INDEX('KT THAN'!$W$38:$W$58,MATCH(R211,'KT THAN'!$Y$38:$Y$58,-1)))*(R211-INDEX('KT THAN'!$Y$38:$Y$58,MATCH(R211,'KT THAN'!$Y$38:$Y$58,-1)))/(INDEX('KT THAN'!$Y$38:$Y$58,MIN(21,MATCH(R211,'KT THAN'!$Y$38:$Y$58,-1)+1))-INDEX('KT THAN'!$Y$38:$Y$58,MATCH(R211,'KT THAN'!$Y$38:$Y$58,-1)))),MIN(0.8*0.75*'KT THAN'!$C$62,'KT THAN'!$D$68/R211)))))</f>
        <v/>
      </c>
      <c r="O211" s="38" t="str">
        <f>IF($A211="","",IF(H211&lt;0,ABS(H211)/MAX('KT THAN'!$C$69,0.001)+'KT THAN'!$C$32*ABS(J211)/MAX('KT THAN'!$C$68,0.001)+'KT THAN'!$D$32*ABS(I211)/MAX('KT THAN'!$D$68,0.001),IF(OR(M211&lt;=0,N211&lt;=0),999,IF(H211&gt;=0.1*0.75*fc_*Agth*1000,H211/MAX(0.001,1/(1/M211+1/N211-1/(0.75*'KT THAN'!$C$62))),'KT THAN'!$C$32*ABS(J211)/MAX('KT THAN'!$C$68,0.001)+'KT THAN'!$D$32*ABS(I211)/MAX('KT THAN'!$D$68,0.001)))))</f>
        <v/>
      </c>
      <c r="P211" s="37" t="str">
        <f t="shared" si="44"/>
        <v/>
      </c>
      <c r="Q211" s="38" t="str">
        <f>IF($A211="","",MAX(0.001,'KT THAN'!$C$32*ABS(J211)/MAX(1,H211)))</f>
        <v/>
      </c>
      <c r="R211" s="38" t="str">
        <f>IF($A211="","",MAX(0.001,'KT THAN'!$D$32*ABS(I211)/MAX(1,H211)))</f>
        <v/>
      </c>
      <c r="S211" t="str">
        <f t="shared" si="38"/>
        <v/>
      </c>
    </row>
    <row r="212" spans="1:19" hidden="1" outlineLevel="1" x14ac:dyDescent="0.3">
      <c r="A212" s="37" t="str">
        <f>IF('TO HOP NLAN'!$A78="","",'TO HOP NLAN'!$A78)</f>
        <v/>
      </c>
      <c r="B212" s="38" t="str">
        <f>IF($A212="","",'TO HOP NLAN'!$D78)</f>
        <v/>
      </c>
      <c r="C212" s="38" t="str">
        <f>IF($A212="","",'TO HOP NLAN'!$E78)</f>
        <v/>
      </c>
      <c r="D212" s="38" t="str">
        <f>IF($A212="","",'TO HOP NLAN'!$F78)</f>
        <v/>
      </c>
      <c r="E212" s="38" t="str">
        <f>IF($A212="","",'TO HOP NLAN'!$B78)</f>
        <v/>
      </c>
      <c r="F212" s="38" t="str">
        <f>IF($A212="","",'TO HOP NLAN'!$C78)</f>
        <v/>
      </c>
      <c r="G212" s="38" t="str">
        <f t="shared" si="39"/>
        <v/>
      </c>
      <c r="H212" s="38" t="str">
        <f t="shared" si="37"/>
        <v/>
      </c>
      <c r="I212" s="38" t="str">
        <f t="shared" si="40"/>
        <v/>
      </c>
      <c r="J212" s="38" t="str">
        <f t="shared" si="41"/>
        <v/>
      </c>
      <c r="K212" s="38" t="str">
        <f t="shared" si="42"/>
        <v/>
      </c>
      <c r="L212" s="38" t="str">
        <f t="shared" si="43"/>
        <v/>
      </c>
      <c r="M212" s="38" t="str">
        <f>IF($A212="","",IF(H212=0,"",IF(Q212&lt;=0.000000001,MIN(0.8*0.75*'KT THAN'!$C$62,MAX('KT THAN'!$J$38:$J$58)),IFERROR(MIN(0.8*0.75*'KT THAN'!$C$62,INDEX('KT THAN'!$J$38:$J$58,MATCH(Q212,'KT THAN'!$L$38:$L$58,-1))+(INDEX('KT THAN'!$J$38:$J$58,MIN(21,MATCH(Q212,'KT THAN'!$L$38:$L$58,-1)+1))-INDEX('KT THAN'!$J$38:$J$58,MATCH(Q212,'KT THAN'!$L$38:$L$58,-1)))*(Q212-INDEX('KT THAN'!$L$38:$L$58,MATCH(Q212,'KT THAN'!$L$38:$L$58,-1)))/(INDEX('KT THAN'!$L$38:$L$58,MIN(21,MATCH(Q212,'KT THAN'!$L$38:$L$58,-1)+1))-INDEX('KT THAN'!$L$38:$L$58,MATCH(Q212,'KT THAN'!$L$38:$L$58,-1)))),MIN(0.8*0.75*'KT THAN'!$C$62,'KT THAN'!$C$68/Q212)))))</f>
        <v/>
      </c>
      <c r="N212" s="38" t="str">
        <f>IF($A212="","",IF(H212=0,"",IF(R212&lt;=0.000000001,MIN(0.8*0.75*'KT THAN'!$C$62,MAX('KT THAN'!$W$38:$W$58)),IFERROR(MIN(0.8*0.75*'KT THAN'!$C$62,INDEX('KT THAN'!$W$38:$W$58,MATCH(R212,'KT THAN'!$Y$38:$Y$58,-1))+(INDEX('KT THAN'!$W$38:$W$58,MIN(21,MATCH(R212,'KT THAN'!$Y$38:$Y$58,-1)+1))-INDEX('KT THAN'!$W$38:$W$58,MATCH(R212,'KT THAN'!$Y$38:$Y$58,-1)))*(R212-INDEX('KT THAN'!$Y$38:$Y$58,MATCH(R212,'KT THAN'!$Y$38:$Y$58,-1)))/(INDEX('KT THAN'!$Y$38:$Y$58,MIN(21,MATCH(R212,'KT THAN'!$Y$38:$Y$58,-1)+1))-INDEX('KT THAN'!$Y$38:$Y$58,MATCH(R212,'KT THAN'!$Y$38:$Y$58,-1)))),MIN(0.8*0.75*'KT THAN'!$C$62,'KT THAN'!$D$68/R212)))))</f>
        <v/>
      </c>
      <c r="O212" s="38" t="str">
        <f>IF($A212="","",IF(H212&lt;0,ABS(H212)/MAX('KT THAN'!$C$69,0.001)+'KT THAN'!$C$32*ABS(J212)/MAX('KT THAN'!$C$68,0.001)+'KT THAN'!$D$32*ABS(I212)/MAX('KT THAN'!$D$68,0.001),IF(OR(M212&lt;=0,N212&lt;=0),999,IF(H212&gt;=0.1*0.75*fc_*Agth*1000,H212/MAX(0.001,1/(1/M212+1/N212-1/(0.75*'KT THAN'!$C$62))),'KT THAN'!$C$32*ABS(J212)/MAX('KT THAN'!$C$68,0.001)+'KT THAN'!$D$32*ABS(I212)/MAX('KT THAN'!$D$68,0.001)))))</f>
        <v/>
      </c>
      <c r="P212" s="37" t="str">
        <f t="shared" si="44"/>
        <v/>
      </c>
      <c r="Q212" s="38" t="str">
        <f>IF($A212="","",MAX(0.001,'KT THAN'!$C$32*ABS(J212)/MAX(1,H212)))</f>
        <v/>
      </c>
      <c r="R212" s="38" t="str">
        <f>IF($A212="","",MAX(0.001,'KT THAN'!$D$32*ABS(I212)/MAX(1,H212)))</f>
        <v/>
      </c>
      <c r="S212" t="str">
        <f t="shared" si="38"/>
        <v/>
      </c>
    </row>
    <row r="213" spans="1:19" hidden="1" outlineLevel="1" x14ac:dyDescent="0.3">
      <c r="A213" s="37" t="str">
        <f>IF('TO HOP NLAN'!$A79="","",'TO HOP NLAN'!$A79)</f>
        <v/>
      </c>
      <c r="B213" s="38" t="str">
        <f>IF($A213="","",'TO HOP NLAN'!$D79)</f>
        <v/>
      </c>
      <c r="C213" s="38" t="str">
        <f>IF($A213="","",'TO HOP NLAN'!$E79)</f>
        <v/>
      </c>
      <c r="D213" s="38" t="str">
        <f>IF($A213="","",'TO HOP NLAN'!$F79)</f>
        <v/>
      </c>
      <c r="E213" s="38" t="str">
        <f>IF($A213="","",'TO HOP NLAN'!$B79)</f>
        <v/>
      </c>
      <c r="F213" s="38" t="str">
        <f>IF($A213="","",'TO HOP NLAN'!$C79)</f>
        <v/>
      </c>
      <c r="G213" s="38" t="str">
        <f t="shared" si="39"/>
        <v/>
      </c>
      <c r="H213" s="38" t="str">
        <f t="shared" si="37"/>
        <v/>
      </c>
      <c r="I213" s="38" t="str">
        <f t="shared" si="40"/>
        <v/>
      </c>
      <c r="J213" s="38" t="str">
        <f t="shared" si="41"/>
        <v/>
      </c>
      <c r="K213" s="38" t="str">
        <f t="shared" si="42"/>
        <v/>
      </c>
      <c r="L213" s="38" t="str">
        <f t="shared" si="43"/>
        <v/>
      </c>
      <c r="M213" s="38" t="str">
        <f>IF($A213="","",IF(H213=0,"",IF(Q213&lt;=0.000000001,MIN(0.8*0.75*'KT THAN'!$C$62,MAX('KT THAN'!$J$38:$J$58)),IFERROR(MIN(0.8*0.75*'KT THAN'!$C$62,INDEX('KT THAN'!$J$38:$J$58,MATCH(Q213,'KT THAN'!$L$38:$L$58,-1))+(INDEX('KT THAN'!$J$38:$J$58,MIN(21,MATCH(Q213,'KT THAN'!$L$38:$L$58,-1)+1))-INDEX('KT THAN'!$J$38:$J$58,MATCH(Q213,'KT THAN'!$L$38:$L$58,-1)))*(Q213-INDEX('KT THAN'!$L$38:$L$58,MATCH(Q213,'KT THAN'!$L$38:$L$58,-1)))/(INDEX('KT THAN'!$L$38:$L$58,MIN(21,MATCH(Q213,'KT THAN'!$L$38:$L$58,-1)+1))-INDEX('KT THAN'!$L$38:$L$58,MATCH(Q213,'KT THAN'!$L$38:$L$58,-1)))),MIN(0.8*0.75*'KT THAN'!$C$62,'KT THAN'!$C$68/Q213)))))</f>
        <v/>
      </c>
      <c r="N213" s="38" t="str">
        <f>IF($A213="","",IF(H213=0,"",IF(R213&lt;=0.000000001,MIN(0.8*0.75*'KT THAN'!$C$62,MAX('KT THAN'!$W$38:$W$58)),IFERROR(MIN(0.8*0.75*'KT THAN'!$C$62,INDEX('KT THAN'!$W$38:$W$58,MATCH(R213,'KT THAN'!$Y$38:$Y$58,-1))+(INDEX('KT THAN'!$W$38:$W$58,MIN(21,MATCH(R213,'KT THAN'!$Y$38:$Y$58,-1)+1))-INDEX('KT THAN'!$W$38:$W$58,MATCH(R213,'KT THAN'!$Y$38:$Y$58,-1)))*(R213-INDEX('KT THAN'!$Y$38:$Y$58,MATCH(R213,'KT THAN'!$Y$38:$Y$58,-1)))/(INDEX('KT THAN'!$Y$38:$Y$58,MIN(21,MATCH(R213,'KT THAN'!$Y$38:$Y$58,-1)+1))-INDEX('KT THAN'!$Y$38:$Y$58,MATCH(R213,'KT THAN'!$Y$38:$Y$58,-1)))),MIN(0.8*0.75*'KT THAN'!$C$62,'KT THAN'!$D$68/R213)))))</f>
        <v/>
      </c>
      <c r="O213" s="38" t="str">
        <f>IF($A213="","",IF(H213&lt;0,ABS(H213)/MAX('KT THAN'!$C$69,0.001)+'KT THAN'!$C$32*ABS(J213)/MAX('KT THAN'!$C$68,0.001)+'KT THAN'!$D$32*ABS(I213)/MAX('KT THAN'!$D$68,0.001),IF(OR(M213&lt;=0,N213&lt;=0),999,IF(H213&gt;=0.1*0.75*fc_*Agth*1000,H213/MAX(0.001,1/(1/M213+1/N213-1/(0.75*'KT THAN'!$C$62))),'KT THAN'!$C$32*ABS(J213)/MAX('KT THAN'!$C$68,0.001)+'KT THAN'!$D$32*ABS(I213)/MAX('KT THAN'!$D$68,0.001)))))</f>
        <v/>
      </c>
      <c r="P213" s="37" t="str">
        <f t="shared" si="44"/>
        <v/>
      </c>
      <c r="Q213" s="38" t="str">
        <f>IF($A213="","",MAX(0.001,'KT THAN'!$C$32*ABS(J213)/MAX(1,H213)))</f>
        <v/>
      </c>
      <c r="R213" s="38" t="str">
        <f>IF($A213="","",MAX(0.001,'KT THAN'!$D$32*ABS(I213)/MAX(1,H213)))</f>
        <v/>
      </c>
      <c r="S213" t="str">
        <f t="shared" si="38"/>
        <v/>
      </c>
    </row>
    <row r="214" spans="1:19" hidden="1" outlineLevel="1" x14ac:dyDescent="0.3">
      <c r="A214" s="37" t="str">
        <f>IF('TO HOP NLAN'!$A80="","",'TO HOP NLAN'!$A80)</f>
        <v/>
      </c>
      <c r="B214" s="38" t="str">
        <f>IF($A214="","",'TO HOP NLAN'!$D80)</f>
        <v/>
      </c>
      <c r="C214" s="38" t="str">
        <f>IF($A214="","",'TO HOP NLAN'!$E80)</f>
        <v/>
      </c>
      <c r="D214" s="38" t="str">
        <f>IF($A214="","",'TO HOP NLAN'!$F80)</f>
        <v/>
      </c>
      <c r="E214" s="38" t="str">
        <f>IF($A214="","",'TO HOP NLAN'!$B80)</f>
        <v/>
      </c>
      <c r="F214" s="38" t="str">
        <f>IF($A214="","",'TO HOP NLAN'!$C80)</f>
        <v/>
      </c>
      <c r="G214" s="38" t="str">
        <f t="shared" si="39"/>
        <v/>
      </c>
      <c r="H214" s="38" t="str">
        <f t="shared" si="37"/>
        <v/>
      </c>
      <c r="I214" s="38" t="str">
        <f t="shared" si="40"/>
        <v/>
      </c>
      <c r="J214" s="38" t="str">
        <f t="shared" si="41"/>
        <v/>
      </c>
      <c r="K214" s="38" t="str">
        <f t="shared" si="42"/>
        <v/>
      </c>
      <c r="L214" s="38" t="str">
        <f t="shared" si="43"/>
        <v/>
      </c>
      <c r="M214" s="38" t="str">
        <f>IF($A214="","",IF(H214=0,"",IF(Q214&lt;=0.000000001,MIN(0.8*0.75*'KT THAN'!$C$62,MAX('KT THAN'!$J$38:$J$58)),IFERROR(MIN(0.8*0.75*'KT THAN'!$C$62,INDEX('KT THAN'!$J$38:$J$58,MATCH(Q214,'KT THAN'!$L$38:$L$58,-1))+(INDEX('KT THAN'!$J$38:$J$58,MIN(21,MATCH(Q214,'KT THAN'!$L$38:$L$58,-1)+1))-INDEX('KT THAN'!$J$38:$J$58,MATCH(Q214,'KT THAN'!$L$38:$L$58,-1)))*(Q214-INDEX('KT THAN'!$L$38:$L$58,MATCH(Q214,'KT THAN'!$L$38:$L$58,-1)))/(INDEX('KT THAN'!$L$38:$L$58,MIN(21,MATCH(Q214,'KT THAN'!$L$38:$L$58,-1)+1))-INDEX('KT THAN'!$L$38:$L$58,MATCH(Q214,'KT THAN'!$L$38:$L$58,-1)))),MIN(0.8*0.75*'KT THAN'!$C$62,'KT THAN'!$C$68/Q214)))))</f>
        <v/>
      </c>
      <c r="N214" s="38" t="str">
        <f>IF($A214="","",IF(H214=0,"",IF(R214&lt;=0.000000001,MIN(0.8*0.75*'KT THAN'!$C$62,MAX('KT THAN'!$W$38:$W$58)),IFERROR(MIN(0.8*0.75*'KT THAN'!$C$62,INDEX('KT THAN'!$W$38:$W$58,MATCH(R214,'KT THAN'!$Y$38:$Y$58,-1))+(INDEX('KT THAN'!$W$38:$W$58,MIN(21,MATCH(R214,'KT THAN'!$Y$38:$Y$58,-1)+1))-INDEX('KT THAN'!$W$38:$W$58,MATCH(R214,'KT THAN'!$Y$38:$Y$58,-1)))*(R214-INDEX('KT THAN'!$Y$38:$Y$58,MATCH(R214,'KT THAN'!$Y$38:$Y$58,-1)))/(INDEX('KT THAN'!$Y$38:$Y$58,MIN(21,MATCH(R214,'KT THAN'!$Y$38:$Y$58,-1)+1))-INDEX('KT THAN'!$Y$38:$Y$58,MATCH(R214,'KT THAN'!$Y$38:$Y$58,-1)))),MIN(0.8*0.75*'KT THAN'!$C$62,'KT THAN'!$D$68/R214)))))</f>
        <v/>
      </c>
      <c r="O214" s="38" t="str">
        <f>IF($A214="","",IF(H214&lt;0,ABS(H214)/MAX('KT THAN'!$C$69,0.001)+'KT THAN'!$C$32*ABS(J214)/MAX('KT THAN'!$C$68,0.001)+'KT THAN'!$D$32*ABS(I214)/MAX('KT THAN'!$D$68,0.001),IF(OR(M214&lt;=0,N214&lt;=0),999,IF(H214&gt;=0.1*0.75*fc_*Agth*1000,H214/MAX(0.001,1/(1/M214+1/N214-1/(0.75*'KT THAN'!$C$62))),'KT THAN'!$C$32*ABS(J214)/MAX('KT THAN'!$C$68,0.001)+'KT THAN'!$D$32*ABS(I214)/MAX('KT THAN'!$D$68,0.001)))))</f>
        <v/>
      </c>
      <c r="P214" s="37" t="str">
        <f t="shared" si="44"/>
        <v/>
      </c>
      <c r="Q214" s="38" t="str">
        <f>IF($A214="","",MAX(0.001,'KT THAN'!$C$32*ABS(J214)/MAX(1,H214)))</f>
        <v/>
      </c>
      <c r="R214" s="38" t="str">
        <f>IF($A214="","",MAX(0.001,'KT THAN'!$D$32*ABS(I214)/MAX(1,H214)))</f>
        <v/>
      </c>
      <c r="S214" t="str">
        <f t="shared" si="38"/>
        <v/>
      </c>
    </row>
    <row r="215" spans="1:19" hidden="1" outlineLevel="1" x14ac:dyDescent="0.3">
      <c r="A215" s="37" t="str">
        <f>IF('TO HOP NLAN'!$A81="","",'TO HOP NLAN'!$A81)</f>
        <v/>
      </c>
      <c r="B215" s="38" t="str">
        <f>IF($A215="","",'TO HOP NLAN'!$D81)</f>
        <v/>
      </c>
      <c r="C215" s="38" t="str">
        <f>IF($A215="","",'TO HOP NLAN'!$E81)</f>
        <v/>
      </c>
      <c r="D215" s="38" t="str">
        <f>IF($A215="","",'TO HOP NLAN'!$F81)</f>
        <v/>
      </c>
      <c r="E215" s="38" t="str">
        <f>IF($A215="","",'TO HOP NLAN'!$B81)</f>
        <v/>
      </c>
      <c r="F215" s="38" t="str">
        <f>IF($A215="","",'TO HOP NLAN'!$C81)</f>
        <v/>
      </c>
      <c r="G215" s="38" t="str">
        <f t="shared" si="39"/>
        <v/>
      </c>
      <c r="H215" s="38" t="str">
        <f t="shared" si="37"/>
        <v/>
      </c>
      <c r="I215" s="38" t="str">
        <f t="shared" si="40"/>
        <v/>
      </c>
      <c r="J215" s="38" t="str">
        <f t="shared" si="41"/>
        <v/>
      </c>
      <c r="K215" s="38" t="str">
        <f t="shared" si="42"/>
        <v/>
      </c>
      <c r="L215" s="38" t="str">
        <f t="shared" si="43"/>
        <v/>
      </c>
      <c r="M215" s="38" t="str">
        <f>IF($A215="","",IF(H215=0,"",IF(Q215&lt;=0.000000001,MIN(0.8*0.75*'KT THAN'!$C$62,MAX('KT THAN'!$J$38:$J$58)),IFERROR(MIN(0.8*0.75*'KT THAN'!$C$62,INDEX('KT THAN'!$J$38:$J$58,MATCH(Q215,'KT THAN'!$L$38:$L$58,-1))+(INDEX('KT THAN'!$J$38:$J$58,MIN(21,MATCH(Q215,'KT THAN'!$L$38:$L$58,-1)+1))-INDEX('KT THAN'!$J$38:$J$58,MATCH(Q215,'KT THAN'!$L$38:$L$58,-1)))*(Q215-INDEX('KT THAN'!$L$38:$L$58,MATCH(Q215,'KT THAN'!$L$38:$L$58,-1)))/(INDEX('KT THAN'!$L$38:$L$58,MIN(21,MATCH(Q215,'KT THAN'!$L$38:$L$58,-1)+1))-INDEX('KT THAN'!$L$38:$L$58,MATCH(Q215,'KT THAN'!$L$38:$L$58,-1)))),MIN(0.8*0.75*'KT THAN'!$C$62,'KT THAN'!$C$68/Q215)))))</f>
        <v/>
      </c>
      <c r="N215" s="38" t="str">
        <f>IF($A215="","",IF(H215=0,"",IF(R215&lt;=0.000000001,MIN(0.8*0.75*'KT THAN'!$C$62,MAX('KT THAN'!$W$38:$W$58)),IFERROR(MIN(0.8*0.75*'KT THAN'!$C$62,INDEX('KT THAN'!$W$38:$W$58,MATCH(R215,'KT THAN'!$Y$38:$Y$58,-1))+(INDEX('KT THAN'!$W$38:$W$58,MIN(21,MATCH(R215,'KT THAN'!$Y$38:$Y$58,-1)+1))-INDEX('KT THAN'!$W$38:$W$58,MATCH(R215,'KT THAN'!$Y$38:$Y$58,-1)))*(R215-INDEX('KT THAN'!$Y$38:$Y$58,MATCH(R215,'KT THAN'!$Y$38:$Y$58,-1)))/(INDEX('KT THAN'!$Y$38:$Y$58,MIN(21,MATCH(R215,'KT THAN'!$Y$38:$Y$58,-1)+1))-INDEX('KT THAN'!$Y$38:$Y$58,MATCH(R215,'KT THAN'!$Y$38:$Y$58,-1)))),MIN(0.8*0.75*'KT THAN'!$C$62,'KT THAN'!$D$68/R215)))))</f>
        <v/>
      </c>
      <c r="O215" s="38" t="str">
        <f>IF($A215="","",IF(H215&lt;0,ABS(H215)/MAX('KT THAN'!$C$69,0.001)+'KT THAN'!$C$32*ABS(J215)/MAX('KT THAN'!$C$68,0.001)+'KT THAN'!$D$32*ABS(I215)/MAX('KT THAN'!$D$68,0.001),IF(OR(M215&lt;=0,N215&lt;=0),999,IF(H215&gt;=0.1*0.75*fc_*Agth*1000,H215/MAX(0.001,1/(1/M215+1/N215-1/(0.75*'KT THAN'!$C$62))),'KT THAN'!$C$32*ABS(J215)/MAX('KT THAN'!$C$68,0.001)+'KT THAN'!$D$32*ABS(I215)/MAX('KT THAN'!$D$68,0.001)))))</f>
        <v/>
      </c>
      <c r="P215" s="37" t="str">
        <f t="shared" si="44"/>
        <v/>
      </c>
      <c r="Q215" s="38" t="str">
        <f>IF($A215="","",MAX(0.001,'KT THAN'!$C$32*ABS(J215)/MAX(1,H215)))</f>
        <v/>
      </c>
      <c r="R215" s="38" t="str">
        <f>IF($A215="","",MAX(0.001,'KT THAN'!$D$32*ABS(I215)/MAX(1,H215)))</f>
        <v/>
      </c>
      <c r="S215" t="str">
        <f t="shared" si="38"/>
        <v/>
      </c>
    </row>
    <row r="216" spans="1:19" hidden="1" outlineLevel="1" x14ac:dyDescent="0.3">
      <c r="A216" s="37" t="str">
        <f>IF('TO HOP NLAN'!$A82="","",'TO HOP NLAN'!$A82)</f>
        <v/>
      </c>
      <c r="B216" s="38" t="str">
        <f>IF($A216="","",'TO HOP NLAN'!$D82)</f>
        <v/>
      </c>
      <c r="C216" s="38" t="str">
        <f>IF($A216="","",'TO HOP NLAN'!$E82)</f>
        <v/>
      </c>
      <c r="D216" s="38" t="str">
        <f>IF($A216="","",'TO HOP NLAN'!$F82)</f>
        <v/>
      </c>
      <c r="E216" s="38" t="str">
        <f>IF($A216="","",'TO HOP NLAN'!$B82)</f>
        <v/>
      </c>
      <c r="F216" s="38" t="str">
        <f>IF($A216="","",'TO HOP NLAN'!$C82)</f>
        <v/>
      </c>
      <c r="G216" s="38" t="str">
        <f t="shared" si="39"/>
        <v/>
      </c>
      <c r="H216" s="38" t="str">
        <f t="shared" si="37"/>
        <v/>
      </c>
      <c r="I216" s="38" t="str">
        <f t="shared" si="40"/>
        <v/>
      </c>
      <c r="J216" s="38" t="str">
        <f t="shared" si="41"/>
        <v/>
      </c>
      <c r="K216" s="38" t="str">
        <f t="shared" si="42"/>
        <v/>
      </c>
      <c r="L216" s="38" t="str">
        <f t="shared" si="43"/>
        <v/>
      </c>
      <c r="M216" s="38" t="str">
        <f>IF($A216="","",IF(H216=0,"",IF(Q216&lt;=0.000000001,MIN(0.8*0.75*'KT THAN'!$C$62,MAX('KT THAN'!$J$38:$J$58)),IFERROR(MIN(0.8*0.75*'KT THAN'!$C$62,INDEX('KT THAN'!$J$38:$J$58,MATCH(Q216,'KT THAN'!$L$38:$L$58,-1))+(INDEX('KT THAN'!$J$38:$J$58,MIN(21,MATCH(Q216,'KT THAN'!$L$38:$L$58,-1)+1))-INDEX('KT THAN'!$J$38:$J$58,MATCH(Q216,'KT THAN'!$L$38:$L$58,-1)))*(Q216-INDEX('KT THAN'!$L$38:$L$58,MATCH(Q216,'KT THAN'!$L$38:$L$58,-1)))/(INDEX('KT THAN'!$L$38:$L$58,MIN(21,MATCH(Q216,'KT THAN'!$L$38:$L$58,-1)+1))-INDEX('KT THAN'!$L$38:$L$58,MATCH(Q216,'KT THAN'!$L$38:$L$58,-1)))),MIN(0.8*0.75*'KT THAN'!$C$62,'KT THAN'!$C$68/Q216)))))</f>
        <v/>
      </c>
      <c r="N216" s="38" t="str">
        <f>IF($A216="","",IF(H216=0,"",IF(R216&lt;=0.000000001,MIN(0.8*0.75*'KT THAN'!$C$62,MAX('KT THAN'!$W$38:$W$58)),IFERROR(MIN(0.8*0.75*'KT THAN'!$C$62,INDEX('KT THAN'!$W$38:$W$58,MATCH(R216,'KT THAN'!$Y$38:$Y$58,-1))+(INDEX('KT THAN'!$W$38:$W$58,MIN(21,MATCH(R216,'KT THAN'!$Y$38:$Y$58,-1)+1))-INDEX('KT THAN'!$W$38:$W$58,MATCH(R216,'KT THAN'!$Y$38:$Y$58,-1)))*(R216-INDEX('KT THAN'!$Y$38:$Y$58,MATCH(R216,'KT THAN'!$Y$38:$Y$58,-1)))/(INDEX('KT THAN'!$Y$38:$Y$58,MIN(21,MATCH(R216,'KT THAN'!$Y$38:$Y$58,-1)+1))-INDEX('KT THAN'!$Y$38:$Y$58,MATCH(R216,'KT THAN'!$Y$38:$Y$58,-1)))),MIN(0.8*0.75*'KT THAN'!$C$62,'KT THAN'!$D$68/R216)))))</f>
        <v/>
      </c>
      <c r="O216" s="38" t="str">
        <f>IF($A216="","",IF(H216&lt;0,ABS(H216)/MAX('KT THAN'!$C$69,0.001)+'KT THAN'!$C$32*ABS(J216)/MAX('KT THAN'!$C$68,0.001)+'KT THAN'!$D$32*ABS(I216)/MAX('KT THAN'!$D$68,0.001),IF(OR(M216&lt;=0,N216&lt;=0),999,IF(H216&gt;=0.1*0.75*fc_*Agth*1000,H216/MAX(0.001,1/(1/M216+1/N216-1/(0.75*'KT THAN'!$C$62))),'KT THAN'!$C$32*ABS(J216)/MAX('KT THAN'!$C$68,0.001)+'KT THAN'!$D$32*ABS(I216)/MAX('KT THAN'!$D$68,0.001)))))</f>
        <v/>
      </c>
      <c r="P216" s="37" t="str">
        <f t="shared" si="44"/>
        <v/>
      </c>
      <c r="Q216" s="38" t="str">
        <f>IF($A216="","",MAX(0.001,'KT THAN'!$C$32*ABS(J216)/MAX(1,H216)))</f>
        <v/>
      </c>
      <c r="R216" s="38" t="str">
        <f>IF($A216="","",MAX(0.001,'KT THAN'!$D$32*ABS(I216)/MAX(1,H216)))</f>
        <v/>
      </c>
      <c r="S216" t="str">
        <f t="shared" si="38"/>
        <v/>
      </c>
    </row>
    <row r="217" spans="1:19" hidden="1" outlineLevel="1" x14ac:dyDescent="0.3">
      <c r="A217" s="37" t="str">
        <f>IF('TO HOP NLAN'!$A83="","",'TO HOP NLAN'!$A83)</f>
        <v/>
      </c>
      <c r="B217" s="38" t="str">
        <f>IF($A217="","",'TO HOP NLAN'!$D83)</f>
        <v/>
      </c>
      <c r="C217" s="38" t="str">
        <f>IF($A217="","",'TO HOP NLAN'!$E83)</f>
        <v/>
      </c>
      <c r="D217" s="38" t="str">
        <f>IF($A217="","",'TO HOP NLAN'!$F83)</f>
        <v/>
      </c>
      <c r="E217" s="38" t="str">
        <f>IF($A217="","",'TO HOP NLAN'!$B83)</f>
        <v/>
      </c>
      <c r="F217" s="38" t="str">
        <f>IF($A217="","",'TO HOP NLAN'!$C83)</f>
        <v/>
      </c>
      <c r="G217" s="38" t="str">
        <f t="shared" si="39"/>
        <v/>
      </c>
      <c r="H217" s="38" t="str">
        <f t="shared" si="37"/>
        <v/>
      </c>
      <c r="I217" s="38" t="str">
        <f t="shared" si="40"/>
        <v/>
      </c>
      <c r="J217" s="38" t="str">
        <f t="shared" si="41"/>
        <v/>
      </c>
      <c r="K217" s="38" t="str">
        <f t="shared" si="42"/>
        <v/>
      </c>
      <c r="L217" s="38" t="str">
        <f t="shared" si="43"/>
        <v/>
      </c>
      <c r="M217" s="38" t="str">
        <f>IF($A217="","",IF(H217=0,"",IF(Q217&lt;=0.000000001,MIN(0.8*0.75*'KT THAN'!$C$62,MAX('KT THAN'!$J$38:$J$58)),IFERROR(MIN(0.8*0.75*'KT THAN'!$C$62,INDEX('KT THAN'!$J$38:$J$58,MATCH(Q217,'KT THAN'!$L$38:$L$58,-1))+(INDEX('KT THAN'!$J$38:$J$58,MIN(21,MATCH(Q217,'KT THAN'!$L$38:$L$58,-1)+1))-INDEX('KT THAN'!$J$38:$J$58,MATCH(Q217,'KT THAN'!$L$38:$L$58,-1)))*(Q217-INDEX('KT THAN'!$L$38:$L$58,MATCH(Q217,'KT THAN'!$L$38:$L$58,-1)))/(INDEX('KT THAN'!$L$38:$L$58,MIN(21,MATCH(Q217,'KT THAN'!$L$38:$L$58,-1)+1))-INDEX('KT THAN'!$L$38:$L$58,MATCH(Q217,'KT THAN'!$L$38:$L$58,-1)))),MIN(0.8*0.75*'KT THAN'!$C$62,'KT THAN'!$C$68/Q217)))))</f>
        <v/>
      </c>
      <c r="N217" s="38" t="str">
        <f>IF($A217="","",IF(H217=0,"",IF(R217&lt;=0.000000001,MIN(0.8*0.75*'KT THAN'!$C$62,MAX('KT THAN'!$W$38:$W$58)),IFERROR(MIN(0.8*0.75*'KT THAN'!$C$62,INDEX('KT THAN'!$W$38:$W$58,MATCH(R217,'KT THAN'!$Y$38:$Y$58,-1))+(INDEX('KT THAN'!$W$38:$W$58,MIN(21,MATCH(R217,'KT THAN'!$Y$38:$Y$58,-1)+1))-INDEX('KT THAN'!$W$38:$W$58,MATCH(R217,'KT THAN'!$Y$38:$Y$58,-1)))*(R217-INDEX('KT THAN'!$Y$38:$Y$58,MATCH(R217,'KT THAN'!$Y$38:$Y$58,-1)))/(INDEX('KT THAN'!$Y$38:$Y$58,MIN(21,MATCH(R217,'KT THAN'!$Y$38:$Y$58,-1)+1))-INDEX('KT THAN'!$Y$38:$Y$58,MATCH(R217,'KT THAN'!$Y$38:$Y$58,-1)))),MIN(0.8*0.75*'KT THAN'!$C$62,'KT THAN'!$D$68/R217)))))</f>
        <v/>
      </c>
      <c r="O217" s="38" t="str">
        <f>IF($A217="","",IF(H217&lt;0,ABS(H217)/MAX('KT THAN'!$C$69,0.001)+'KT THAN'!$C$32*ABS(J217)/MAX('KT THAN'!$C$68,0.001)+'KT THAN'!$D$32*ABS(I217)/MAX('KT THAN'!$D$68,0.001),IF(OR(M217&lt;=0,N217&lt;=0),999,IF(H217&gt;=0.1*0.75*fc_*Agth*1000,H217/MAX(0.001,1/(1/M217+1/N217-1/(0.75*'KT THAN'!$C$62))),'KT THAN'!$C$32*ABS(J217)/MAX('KT THAN'!$C$68,0.001)+'KT THAN'!$D$32*ABS(I217)/MAX('KT THAN'!$D$68,0.001)))))</f>
        <v/>
      </c>
      <c r="P217" s="37" t="str">
        <f t="shared" si="44"/>
        <v/>
      </c>
      <c r="Q217" s="38" t="str">
        <f>IF($A217="","",MAX(0.001,'KT THAN'!$C$32*ABS(J217)/MAX(1,H217)))</f>
        <v/>
      </c>
      <c r="R217" s="38" t="str">
        <f>IF($A217="","",MAX(0.001,'KT THAN'!$D$32*ABS(I217)/MAX(1,H217)))</f>
        <v/>
      </c>
      <c r="S217" t="str">
        <f t="shared" si="38"/>
        <v/>
      </c>
    </row>
    <row r="218" spans="1:19" hidden="1" outlineLevel="1" x14ac:dyDescent="0.3">
      <c r="A218" s="37" t="str">
        <f>IF('TO HOP NLAN'!$A84="","",'TO HOP NLAN'!$A84)</f>
        <v/>
      </c>
      <c r="B218" s="38" t="str">
        <f>IF($A218="","",'TO HOP NLAN'!$D84)</f>
        <v/>
      </c>
      <c r="C218" s="38" t="str">
        <f>IF($A218="","",'TO HOP NLAN'!$E84)</f>
        <v/>
      </c>
      <c r="D218" s="38" t="str">
        <f>IF($A218="","",'TO HOP NLAN'!$F84)</f>
        <v/>
      </c>
      <c r="E218" s="38" t="str">
        <f>IF($A218="","",'TO HOP NLAN'!$B84)</f>
        <v/>
      </c>
      <c r="F218" s="38" t="str">
        <f>IF($A218="","",'TO HOP NLAN'!$C84)</f>
        <v/>
      </c>
      <c r="G218" s="38" t="str">
        <f t="shared" si="39"/>
        <v/>
      </c>
      <c r="H218" s="38" t="str">
        <f t="shared" si="37"/>
        <v/>
      </c>
      <c r="I218" s="38" t="str">
        <f t="shared" si="40"/>
        <v/>
      </c>
      <c r="J218" s="38" t="str">
        <f t="shared" si="41"/>
        <v/>
      </c>
      <c r="K218" s="38" t="str">
        <f t="shared" si="42"/>
        <v/>
      </c>
      <c r="L218" s="38" t="str">
        <f t="shared" si="43"/>
        <v/>
      </c>
      <c r="M218" s="38" t="str">
        <f>IF($A218="","",IF(H218=0,"",IF(Q218&lt;=0.000000001,MIN(0.8*0.75*'KT THAN'!$C$62,MAX('KT THAN'!$J$38:$J$58)),IFERROR(MIN(0.8*0.75*'KT THAN'!$C$62,INDEX('KT THAN'!$J$38:$J$58,MATCH(Q218,'KT THAN'!$L$38:$L$58,-1))+(INDEX('KT THAN'!$J$38:$J$58,MIN(21,MATCH(Q218,'KT THAN'!$L$38:$L$58,-1)+1))-INDEX('KT THAN'!$J$38:$J$58,MATCH(Q218,'KT THAN'!$L$38:$L$58,-1)))*(Q218-INDEX('KT THAN'!$L$38:$L$58,MATCH(Q218,'KT THAN'!$L$38:$L$58,-1)))/(INDEX('KT THAN'!$L$38:$L$58,MIN(21,MATCH(Q218,'KT THAN'!$L$38:$L$58,-1)+1))-INDEX('KT THAN'!$L$38:$L$58,MATCH(Q218,'KT THAN'!$L$38:$L$58,-1)))),MIN(0.8*0.75*'KT THAN'!$C$62,'KT THAN'!$C$68/Q218)))))</f>
        <v/>
      </c>
      <c r="N218" s="38" t="str">
        <f>IF($A218="","",IF(H218=0,"",IF(R218&lt;=0.000000001,MIN(0.8*0.75*'KT THAN'!$C$62,MAX('KT THAN'!$W$38:$W$58)),IFERROR(MIN(0.8*0.75*'KT THAN'!$C$62,INDEX('KT THAN'!$W$38:$W$58,MATCH(R218,'KT THAN'!$Y$38:$Y$58,-1))+(INDEX('KT THAN'!$W$38:$W$58,MIN(21,MATCH(R218,'KT THAN'!$Y$38:$Y$58,-1)+1))-INDEX('KT THAN'!$W$38:$W$58,MATCH(R218,'KT THAN'!$Y$38:$Y$58,-1)))*(R218-INDEX('KT THAN'!$Y$38:$Y$58,MATCH(R218,'KT THAN'!$Y$38:$Y$58,-1)))/(INDEX('KT THAN'!$Y$38:$Y$58,MIN(21,MATCH(R218,'KT THAN'!$Y$38:$Y$58,-1)+1))-INDEX('KT THAN'!$Y$38:$Y$58,MATCH(R218,'KT THAN'!$Y$38:$Y$58,-1)))),MIN(0.8*0.75*'KT THAN'!$C$62,'KT THAN'!$D$68/R218)))))</f>
        <v/>
      </c>
      <c r="O218" s="38" t="str">
        <f>IF($A218="","",IF(H218&lt;0,ABS(H218)/MAX('KT THAN'!$C$69,0.001)+'KT THAN'!$C$32*ABS(J218)/MAX('KT THAN'!$C$68,0.001)+'KT THAN'!$D$32*ABS(I218)/MAX('KT THAN'!$D$68,0.001),IF(OR(M218&lt;=0,N218&lt;=0),999,IF(H218&gt;=0.1*0.75*fc_*Agth*1000,H218/MAX(0.001,1/(1/M218+1/N218-1/(0.75*'KT THAN'!$C$62))),'KT THAN'!$C$32*ABS(J218)/MAX('KT THAN'!$C$68,0.001)+'KT THAN'!$D$32*ABS(I218)/MAX('KT THAN'!$D$68,0.001)))))</f>
        <v/>
      </c>
      <c r="P218" s="37" t="str">
        <f t="shared" si="44"/>
        <v/>
      </c>
      <c r="Q218" s="38" t="str">
        <f>IF($A218="","",MAX(0.001,'KT THAN'!$C$32*ABS(J218)/MAX(1,H218)))</f>
        <v/>
      </c>
      <c r="R218" s="38" t="str">
        <f>IF($A218="","",MAX(0.001,'KT THAN'!$D$32*ABS(I218)/MAX(1,H218)))</f>
        <v/>
      </c>
      <c r="S218" t="str">
        <f t="shared" si="38"/>
        <v/>
      </c>
    </row>
    <row r="219" spans="1:19" hidden="1" outlineLevel="1" x14ac:dyDescent="0.3">
      <c r="A219" s="37" t="str">
        <f>IF('TO HOP NLAN'!$A85="","",'TO HOP NLAN'!$A85)</f>
        <v/>
      </c>
      <c r="B219" s="38" t="str">
        <f>IF($A219="","",'TO HOP NLAN'!$D85)</f>
        <v/>
      </c>
      <c r="C219" s="38" t="str">
        <f>IF($A219="","",'TO HOP NLAN'!$E85)</f>
        <v/>
      </c>
      <c r="D219" s="38" t="str">
        <f>IF($A219="","",'TO HOP NLAN'!$F85)</f>
        <v/>
      </c>
      <c r="E219" s="38" t="str">
        <f>IF($A219="","",'TO HOP NLAN'!$B85)</f>
        <v/>
      </c>
      <c r="F219" s="38" t="str">
        <f>IF($A219="","",'TO HOP NLAN'!$C85)</f>
        <v/>
      </c>
      <c r="G219" s="38" t="str">
        <f t="shared" si="39"/>
        <v/>
      </c>
      <c r="H219" s="38" t="str">
        <f t="shared" si="37"/>
        <v/>
      </c>
      <c r="I219" s="38" t="str">
        <f t="shared" si="40"/>
        <v/>
      </c>
      <c r="J219" s="38" t="str">
        <f t="shared" si="41"/>
        <v/>
      </c>
      <c r="K219" s="38" t="str">
        <f t="shared" si="42"/>
        <v/>
      </c>
      <c r="L219" s="38" t="str">
        <f t="shared" si="43"/>
        <v/>
      </c>
      <c r="M219" s="38" t="str">
        <f>IF($A219="","",IF(H219=0,"",IF(Q219&lt;=0.000000001,MIN(0.8*0.75*'KT THAN'!$C$62,MAX('KT THAN'!$J$38:$J$58)),IFERROR(MIN(0.8*0.75*'KT THAN'!$C$62,INDEX('KT THAN'!$J$38:$J$58,MATCH(Q219,'KT THAN'!$L$38:$L$58,-1))+(INDEX('KT THAN'!$J$38:$J$58,MIN(21,MATCH(Q219,'KT THAN'!$L$38:$L$58,-1)+1))-INDEX('KT THAN'!$J$38:$J$58,MATCH(Q219,'KT THAN'!$L$38:$L$58,-1)))*(Q219-INDEX('KT THAN'!$L$38:$L$58,MATCH(Q219,'KT THAN'!$L$38:$L$58,-1)))/(INDEX('KT THAN'!$L$38:$L$58,MIN(21,MATCH(Q219,'KT THAN'!$L$38:$L$58,-1)+1))-INDEX('KT THAN'!$L$38:$L$58,MATCH(Q219,'KT THAN'!$L$38:$L$58,-1)))),MIN(0.8*0.75*'KT THAN'!$C$62,'KT THAN'!$C$68/Q219)))))</f>
        <v/>
      </c>
      <c r="N219" s="38" t="str">
        <f>IF($A219="","",IF(H219=0,"",IF(R219&lt;=0.000000001,MIN(0.8*0.75*'KT THAN'!$C$62,MAX('KT THAN'!$W$38:$W$58)),IFERROR(MIN(0.8*0.75*'KT THAN'!$C$62,INDEX('KT THAN'!$W$38:$W$58,MATCH(R219,'KT THAN'!$Y$38:$Y$58,-1))+(INDEX('KT THAN'!$W$38:$W$58,MIN(21,MATCH(R219,'KT THAN'!$Y$38:$Y$58,-1)+1))-INDEX('KT THAN'!$W$38:$W$58,MATCH(R219,'KT THAN'!$Y$38:$Y$58,-1)))*(R219-INDEX('KT THAN'!$Y$38:$Y$58,MATCH(R219,'KT THAN'!$Y$38:$Y$58,-1)))/(INDEX('KT THAN'!$Y$38:$Y$58,MIN(21,MATCH(R219,'KT THAN'!$Y$38:$Y$58,-1)+1))-INDEX('KT THAN'!$Y$38:$Y$58,MATCH(R219,'KT THAN'!$Y$38:$Y$58,-1)))),MIN(0.8*0.75*'KT THAN'!$C$62,'KT THAN'!$D$68/R219)))))</f>
        <v/>
      </c>
      <c r="O219" s="38" t="str">
        <f>IF($A219="","",IF(H219&lt;0,ABS(H219)/MAX('KT THAN'!$C$69,0.001)+'KT THAN'!$C$32*ABS(J219)/MAX('KT THAN'!$C$68,0.001)+'KT THAN'!$D$32*ABS(I219)/MAX('KT THAN'!$D$68,0.001),IF(OR(M219&lt;=0,N219&lt;=0),999,IF(H219&gt;=0.1*0.75*fc_*Agth*1000,H219/MAX(0.001,1/(1/M219+1/N219-1/(0.75*'KT THAN'!$C$62))),'KT THAN'!$C$32*ABS(J219)/MAX('KT THAN'!$C$68,0.001)+'KT THAN'!$D$32*ABS(I219)/MAX('KT THAN'!$D$68,0.001)))))</f>
        <v/>
      </c>
      <c r="P219" s="37" t="str">
        <f t="shared" si="44"/>
        <v/>
      </c>
      <c r="Q219" s="38" t="str">
        <f>IF($A219="","",MAX(0.001,'KT THAN'!$C$32*ABS(J219)/MAX(1,H219)))</f>
        <v/>
      </c>
      <c r="R219" s="38" t="str">
        <f>IF($A219="","",MAX(0.001,'KT THAN'!$D$32*ABS(I219)/MAX(1,H219)))</f>
        <v/>
      </c>
      <c r="S219" t="str">
        <f t="shared" si="38"/>
        <v/>
      </c>
    </row>
    <row r="220" spans="1:19" hidden="1" outlineLevel="1" x14ac:dyDescent="0.3">
      <c r="A220" s="37" t="str">
        <f>IF('TO HOP NLAN'!$A86="","",'TO HOP NLAN'!$A86)</f>
        <v/>
      </c>
      <c r="B220" s="38" t="str">
        <f>IF($A220="","",'TO HOP NLAN'!$D86)</f>
        <v/>
      </c>
      <c r="C220" s="38" t="str">
        <f>IF($A220="","",'TO HOP NLAN'!$E86)</f>
        <v/>
      </c>
      <c r="D220" s="38" t="str">
        <f>IF($A220="","",'TO HOP NLAN'!$F86)</f>
        <v/>
      </c>
      <c r="E220" s="38" t="str">
        <f>IF($A220="","",'TO HOP NLAN'!$B86)</f>
        <v/>
      </c>
      <c r="F220" s="38" t="str">
        <f>IF($A220="","",'TO HOP NLAN'!$C86)</f>
        <v/>
      </c>
      <c r="G220" s="38" t="str">
        <f t="shared" si="39"/>
        <v/>
      </c>
      <c r="H220" s="38" t="str">
        <f t="shared" si="37"/>
        <v/>
      </c>
      <c r="I220" s="38" t="str">
        <f t="shared" si="40"/>
        <v/>
      </c>
      <c r="J220" s="38" t="str">
        <f t="shared" si="41"/>
        <v/>
      </c>
      <c r="K220" s="38" t="str">
        <f t="shared" si="42"/>
        <v/>
      </c>
      <c r="L220" s="38" t="str">
        <f t="shared" si="43"/>
        <v/>
      </c>
      <c r="M220" s="38" t="str">
        <f>IF($A220="","",IF(H220=0,"",IF(Q220&lt;=0.000000001,MIN(0.8*0.75*'KT THAN'!$C$62,MAX('KT THAN'!$J$38:$J$58)),IFERROR(MIN(0.8*0.75*'KT THAN'!$C$62,INDEX('KT THAN'!$J$38:$J$58,MATCH(Q220,'KT THAN'!$L$38:$L$58,-1))+(INDEX('KT THAN'!$J$38:$J$58,MIN(21,MATCH(Q220,'KT THAN'!$L$38:$L$58,-1)+1))-INDEX('KT THAN'!$J$38:$J$58,MATCH(Q220,'KT THAN'!$L$38:$L$58,-1)))*(Q220-INDEX('KT THAN'!$L$38:$L$58,MATCH(Q220,'KT THAN'!$L$38:$L$58,-1)))/(INDEX('KT THAN'!$L$38:$L$58,MIN(21,MATCH(Q220,'KT THAN'!$L$38:$L$58,-1)+1))-INDEX('KT THAN'!$L$38:$L$58,MATCH(Q220,'KT THAN'!$L$38:$L$58,-1)))),MIN(0.8*0.75*'KT THAN'!$C$62,'KT THAN'!$C$68/Q220)))))</f>
        <v/>
      </c>
      <c r="N220" s="38" t="str">
        <f>IF($A220="","",IF(H220=0,"",IF(R220&lt;=0.000000001,MIN(0.8*0.75*'KT THAN'!$C$62,MAX('KT THAN'!$W$38:$W$58)),IFERROR(MIN(0.8*0.75*'KT THAN'!$C$62,INDEX('KT THAN'!$W$38:$W$58,MATCH(R220,'KT THAN'!$Y$38:$Y$58,-1))+(INDEX('KT THAN'!$W$38:$W$58,MIN(21,MATCH(R220,'KT THAN'!$Y$38:$Y$58,-1)+1))-INDEX('KT THAN'!$W$38:$W$58,MATCH(R220,'KT THAN'!$Y$38:$Y$58,-1)))*(R220-INDEX('KT THAN'!$Y$38:$Y$58,MATCH(R220,'KT THAN'!$Y$38:$Y$58,-1)))/(INDEX('KT THAN'!$Y$38:$Y$58,MIN(21,MATCH(R220,'KT THAN'!$Y$38:$Y$58,-1)+1))-INDEX('KT THAN'!$Y$38:$Y$58,MATCH(R220,'KT THAN'!$Y$38:$Y$58,-1)))),MIN(0.8*0.75*'KT THAN'!$C$62,'KT THAN'!$D$68/R220)))))</f>
        <v/>
      </c>
      <c r="O220" s="38" t="str">
        <f>IF($A220="","",IF(H220&lt;0,ABS(H220)/MAX('KT THAN'!$C$69,0.001)+'KT THAN'!$C$32*ABS(J220)/MAX('KT THAN'!$C$68,0.001)+'KT THAN'!$D$32*ABS(I220)/MAX('KT THAN'!$D$68,0.001),IF(OR(M220&lt;=0,N220&lt;=0),999,IF(H220&gt;=0.1*0.75*fc_*Agth*1000,H220/MAX(0.001,1/(1/M220+1/N220-1/(0.75*'KT THAN'!$C$62))),'KT THAN'!$C$32*ABS(J220)/MAX('KT THAN'!$C$68,0.001)+'KT THAN'!$D$32*ABS(I220)/MAX('KT THAN'!$D$68,0.001)))))</f>
        <v/>
      </c>
      <c r="P220" s="37" t="str">
        <f t="shared" si="44"/>
        <v/>
      </c>
      <c r="Q220" s="38" t="str">
        <f>IF($A220="","",MAX(0.001,'KT THAN'!$C$32*ABS(J220)/MAX(1,H220)))</f>
        <v/>
      </c>
      <c r="R220" s="38" t="str">
        <f>IF($A220="","",MAX(0.001,'KT THAN'!$D$32*ABS(I220)/MAX(1,H220)))</f>
        <v/>
      </c>
      <c r="S220" t="str">
        <f t="shared" si="38"/>
        <v/>
      </c>
    </row>
    <row r="221" spans="1:19" hidden="1" outlineLevel="1" x14ac:dyDescent="0.3">
      <c r="A221" s="37" t="str">
        <f>IF('TO HOP NLAN'!$A87="","",'TO HOP NLAN'!$A87)</f>
        <v/>
      </c>
      <c r="B221" s="38" t="str">
        <f>IF($A221="","",'TO HOP NLAN'!$D87)</f>
        <v/>
      </c>
      <c r="C221" s="38" t="str">
        <f>IF($A221="","",'TO HOP NLAN'!$E87)</f>
        <v/>
      </c>
      <c r="D221" s="38" t="str">
        <f>IF($A221="","",'TO HOP NLAN'!$F87)</f>
        <v/>
      </c>
      <c r="E221" s="38" t="str">
        <f>IF($A221="","",'TO HOP NLAN'!$B87)</f>
        <v/>
      </c>
      <c r="F221" s="38" t="str">
        <f>IF($A221="","",'TO HOP NLAN'!$C87)</f>
        <v/>
      </c>
      <c r="G221" s="38" t="str">
        <f t="shared" si="39"/>
        <v/>
      </c>
      <c r="H221" s="38" t="str">
        <f t="shared" si="37"/>
        <v/>
      </c>
      <c r="I221" s="38" t="str">
        <f t="shared" si="40"/>
        <v/>
      </c>
      <c r="J221" s="38" t="str">
        <f t="shared" si="41"/>
        <v/>
      </c>
      <c r="K221" s="38" t="str">
        <f t="shared" si="42"/>
        <v/>
      </c>
      <c r="L221" s="38" t="str">
        <f t="shared" si="43"/>
        <v/>
      </c>
      <c r="M221" s="38" t="str">
        <f>IF($A221="","",IF(H221=0,"",IF(Q221&lt;=0.000000001,MIN(0.8*0.75*'KT THAN'!$C$62,MAX('KT THAN'!$J$38:$J$58)),IFERROR(MIN(0.8*0.75*'KT THAN'!$C$62,INDEX('KT THAN'!$J$38:$J$58,MATCH(Q221,'KT THAN'!$L$38:$L$58,-1))+(INDEX('KT THAN'!$J$38:$J$58,MIN(21,MATCH(Q221,'KT THAN'!$L$38:$L$58,-1)+1))-INDEX('KT THAN'!$J$38:$J$58,MATCH(Q221,'KT THAN'!$L$38:$L$58,-1)))*(Q221-INDEX('KT THAN'!$L$38:$L$58,MATCH(Q221,'KT THAN'!$L$38:$L$58,-1)))/(INDEX('KT THAN'!$L$38:$L$58,MIN(21,MATCH(Q221,'KT THAN'!$L$38:$L$58,-1)+1))-INDEX('KT THAN'!$L$38:$L$58,MATCH(Q221,'KT THAN'!$L$38:$L$58,-1)))),MIN(0.8*0.75*'KT THAN'!$C$62,'KT THAN'!$C$68/Q221)))))</f>
        <v/>
      </c>
      <c r="N221" s="38" t="str">
        <f>IF($A221="","",IF(H221=0,"",IF(R221&lt;=0.000000001,MIN(0.8*0.75*'KT THAN'!$C$62,MAX('KT THAN'!$W$38:$W$58)),IFERROR(MIN(0.8*0.75*'KT THAN'!$C$62,INDEX('KT THAN'!$W$38:$W$58,MATCH(R221,'KT THAN'!$Y$38:$Y$58,-1))+(INDEX('KT THAN'!$W$38:$W$58,MIN(21,MATCH(R221,'KT THAN'!$Y$38:$Y$58,-1)+1))-INDEX('KT THAN'!$W$38:$W$58,MATCH(R221,'KT THAN'!$Y$38:$Y$58,-1)))*(R221-INDEX('KT THAN'!$Y$38:$Y$58,MATCH(R221,'KT THAN'!$Y$38:$Y$58,-1)))/(INDEX('KT THAN'!$Y$38:$Y$58,MIN(21,MATCH(R221,'KT THAN'!$Y$38:$Y$58,-1)+1))-INDEX('KT THAN'!$Y$38:$Y$58,MATCH(R221,'KT THAN'!$Y$38:$Y$58,-1)))),MIN(0.8*0.75*'KT THAN'!$C$62,'KT THAN'!$D$68/R221)))))</f>
        <v/>
      </c>
      <c r="O221" s="38" t="str">
        <f>IF($A221="","",IF(H221&lt;0,ABS(H221)/MAX('KT THAN'!$C$69,0.001)+'KT THAN'!$C$32*ABS(J221)/MAX('KT THAN'!$C$68,0.001)+'KT THAN'!$D$32*ABS(I221)/MAX('KT THAN'!$D$68,0.001),IF(OR(M221&lt;=0,N221&lt;=0),999,IF(H221&gt;=0.1*0.75*fc_*Agth*1000,H221/MAX(0.001,1/(1/M221+1/N221-1/(0.75*'KT THAN'!$C$62))),'KT THAN'!$C$32*ABS(J221)/MAX('KT THAN'!$C$68,0.001)+'KT THAN'!$D$32*ABS(I221)/MAX('KT THAN'!$D$68,0.001)))))</f>
        <v/>
      </c>
      <c r="P221" s="37" t="str">
        <f t="shared" si="44"/>
        <v/>
      </c>
      <c r="Q221" s="38" t="str">
        <f>IF($A221="","",MAX(0.001,'KT THAN'!$C$32*ABS(J221)/MAX(1,H221)))</f>
        <v/>
      </c>
      <c r="R221" s="38" t="str">
        <f>IF($A221="","",MAX(0.001,'KT THAN'!$D$32*ABS(I221)/MAX(1,H221)))</f>
        <v/>
      </c>
      <c r="S221" t="str">
        <f t="shared" si="38"/>
        <v/>
      </c>
    </row>
    <row r="222" spans="1:19" hidden="1" outlineLevel="1" x14ac:dyDescent="0.3">
      <c r="A222" s="37" t="str">
        <f>IF('TO HOP NLAN'!$A88="","",'TO HOP NLAN'!$A88)</f>
        <v/>
      </c>
      <c r="B222" s="38" t="str">
        <f>IF($A222="","",'TO HOP NLAN'!$D88)</f>
        <v/>
      </c>
      <c r="C222" s="38" t="str">
        <f>IF($A222="","",'TO HOP NLAN'!$E88)</f>
        <v/>
      </c>
      <c r="D222" s="38" t="str">
        <f>IF($A222="","",'TO HOP NLAN'!$F88)</f>
        <v/>
      </c>
      <c r="E222" s="38" t="str">
        <f>IF($A222="","",'TO HOP NLAN'!$B88)</f>
        <v/>
      </c>
      <c r="F222" s="38" t="str">
        <f>IF($A222="","",'TO HOP NLAN'!$C88)</f>
        <v/>
      </c>
      <c r="G222" s="38" t="str">
        <f t="shared" si="39"/>
        <v/>
      </c>
      <c r="H222" s="38" t="str">
        <f t="shared" si="37"/>
        <v/>
      </c>
      <c r="I222" s="38" t="str">
        <f t="shared" si="40"/>
        <v/>
      </c>
      <c r="J222" s="38" t="str">
        <f t="shared" si="41"/>
        <v/>
      </c>
      <c r="K222" s="38" t="str">
        <f t="shared" si="42"/>
        <v/>
      </c>
      <c r="L222" s="38" t="str">
        <f t="shared" si="43"/>
        <v/>
      </c>
      <c r="M222" s="38" t="str">
        <f>IF($A222="","",IF(H222=0,"",IF(Q222&lt;=0.000000001,MIN(0.8*0.75*'KT THAN'!$C$62,MAX('KT THAN'!$J$38:$J$58)),IFERROR(MIN(0.8*0.75*'KT THAN'!$C$62,INDEX('KT THAN'!$J$38:$J$58,MATCH(Q222,'KT THAN'!$L$38:$L$58,-1))+(INDEX('KT THAN'!$J$38:$J$58,MIN(21,MATCH(Q222,'KT THAN'!$L$38:$L$58,-1)+1))-INDEX('KT THAN'!$J$38:$J$58,MATCH(Q222,'KT THAN'!$L$38:$L$58,-1)))*(Q222-INDEX('KT THAN'!$L$38:$L$58,MATCH(Q222,'KT THAN'!$L$38:$L$58,-1)))/(INDEX('KT THAN'!$L$38:$L$58,MIN(21,MATCH(Q222,'KT THAN'!$L$38:$L$58,-1)+1))-INDEX('KT THAN'!$L$38:$L$58,MATCH(Q222,'KT THAN'!$L$38:$L$58,-1)))),MIN(0.8*0.75*'KT THAN'!$C$62,'KT THAN'!$C$68/Q222)))))</f>
        <v/>
      </c>
      <c r="N222" s="38" t="str">
        <f>IF($A222="","",IF(H222=0,"",IF(R222&lt;=0.000000001,MIN(0.8*0.75*'KT THAN'!$C$62,MAX('KT THAN'!$W$38:$W$58)),IFERROR(MIN(0.8*0.75*'KT THAN'!$C$62,INDEX('KT THAN'!$W$38:$W$58,MATCH(R222,'KT THAN'!$Y$38:$Y$58,-1))+(INDEX('KT THAN'!$W$38:$W$58,MIN(21,MATCH(R222,'KT THAN'!$Y$38:$Y$58,-1)+1))-INDEX('KT THAN'!$W$38:$W$58,MATCH(R222,'KT THAN'!$Y$38:$Y$58,-1)))*(R222-INDEX('KT THAN'!$Y$38:$Y$58,MATCH(R222,'KT THAN'!$Y$38:$Y$58,-1)))/(INDEX('KT THAN'!$Y$38:$Y$58,MIN(21,MATCH(R222,'KT THAN'!$Y$38:$Y$58,-1)+1))-INDEX('KT THAN'!$Y$38:$Y$58,MATCH(R222,'KT THAN'!$Y$38:$Y$58,-1)))),MIN(0.8*0.75*'KT THAN'!$C$62,'KT THAN'!$D$68/R222)))))</f>
        <v/>
      </c>
      <c r="O222" s="38" t="str">
        <f>IF($A222="","",IF(H222&lt;0,ABS(H222)/MAX('KT THAN'!$C$69,0.001)+'KT THAN'!$C$32*ABS(J222)/MAX('KT THAN'!$C$68,0.001)+'KT THAN'!$D$32*ABS(I222)/MAX('KT THAN'!$D$68,0.001),IF(OR(M222&lt;=0,N222&lt;=0),999,IF(H222&gt;=0.1*0.75*fc_*Agth*1000,H222/MAX(0.001,1/(1/M222+1/N222-1/(0.75*'KT THAN'!$C$62))),'KT THAN'!$C$32*ABS(J222)/MAX('KT THAN'!$C$68,0.001)+'KT THAN'!$D$32*ABS(I222)/MAX('KT THAN'!$D$68,0.001)))))</f>
        <v/>
      </c>
      <c r="P222" s="37" t="str">
        <f t="shared" si="44"/>
        <v/>
      </c>
      <c r="Q222" s="38" t="str">
        <f>IF($A222="","",MAX(0.001,'KT THAN'!$C$32*ABS(J222)/MAX(1,H222)))</f>
        <v/>
      </c>
      <c r="R222" s="38" t="str">
        <f>IF($A222="","",MAX(0.001,'KT THAN'!$D$32*ABS(I222)/MAX(1,H222)))</f>
        <v/>
      </c>
      <c r="S222" t="str">
        <f t="shared" si="38"/>
        <v/>
      </c>
    </row>
    <row r="223" spans="1:19" hidden="1" outlineLevel="1" x14ac:dyDescent="0.3">
      <c r="A223" s="37" t="str">
        <f>IF('TO HOP NLAN'!$A89="","",'TO HOP NLAN'!$A89)</f>
        <v/>
      </c>
      <c r="B223" s="38" t="str">
        <f>IF($A223="","",'TO HOP NLAN'!$D89)</f>
        <v/>
      </c>
      <c r="C223" s="38" t="str">
        <f>IF($A223="","",'TO HOP NLAN'!$E89)</f>
        <v/>
      </c>
      <c r="D223" s="38" t="str">
        <f>IF($A223="","",'TO HOP NLAN'!$F89)</f>
        <v/>
      </c>
      <c r="E223" s="38" t="str">
        <f>IF($A223="","",'TO HOP NLAN'!$B89)</f>
        <v/>
      </c>
      <c r="F223" s="38" t="str">
        <f>IF($A223="","",'TO HOP NLAN'!$C89)</f>
        <v/>
      </c>
      <c r="G223" s="38" t="str">
        <f t="shared" si="39"/>
        <v/>
      </c>
      <c r="H223" s="38" t="str">
        <f t="shared" si="37"/>
        <v/>
      </c>
      <c r="I223" s="38" t="str">
        <f t="shared" si="40"/>
        <v/>
      </c>
      <c r="J223" s="38" t="str">
        <f t="shared" si="41"/>
        <v/>
      </c>
      <c r="K223" s="38" t="str">
        <f t="shared" si="42"/>
        <v/>
      </c>
      <c r="L223" s="38" t="str">
        <f t="shared" si="43"/>
        <v/>
      </c>
      <c r="M223" s="38" t="str">
        <f>IF($A223="","",IF(H223=0,"",IF(Q223&lt;=0.000000001,MIN(0.8*0.75*'KT THAN'!$C$62,MAX('KT THAN'!$J$38:$J$58)),IFERROR(MIN(0.8*0.75*'KT THAN'!$C$62,INDEX('KT THAN'!$J$38:$J$58,MATCH(Q223,'KT THAN'!$L$38:$L$58,-1))+(INDEX('KT THAN'!$J$38:$J$58,MIN(21,MATCH(Q223,'KT THAN'!$L$38:$L$58,-1)+1))-INDEX('KT THAN'!$J$38:$J$58,MATCH(Q223,'KT THAN'!$L$38:$L$58,-1)))*(Q223-INDEX('KT THAN'!$L$38:$L$58,MATCH(Q223,'KT THAN'!$L$38:$L$58,-1)))/(INDEX('KT THAN'!$L$38:$L$58,MIN(21,MATCH(Q223,'KT THAN'!$L$38:$L$58,-1)+1))-INDEX('KT THAN'!$L$38:$L$58,MATCH(Q223,'KT THAN'!$L$38:$L$58,-1)))),MIN(0.8*0.75*'KT THAN'!$C$62,'KT THAN'!$C$68/Q223)))))</f>
        <v/>
      </c>
      <c r="N223" s="38" t="str">
        <f>IF($A223="","",IF(H223=0,"",IF(R223&lt;=0.000000001,MIN(0.8*0.75*'KT THAN'!$C$62,MAX('KT THAN'!$W$38:$W$58)),IFERROR(MIN(0.8*0.75*'KT THAN'!$C$62,INDEX('KT THAN'!$W$38:$W$58,MATCH(R223,'KT THAN'!$Y$38:$Y$58,-1))+(INDEX('KT THAN'!$W$38:$W$58,MIN(21,MATCH(R223,'KT THAN'!$Y$38:$Y$58,-1)+1))-INDEX('KT THAN'!$W$38:$W$58,MATCH(R223,'KT THAN'!$Y$38:$Y$58,-1)))*(R223-INDEX('KT THAN'!$Y$38:$Y$58,MATCH(R223,'KT THAN'!$Y$38:$Y$58,-1)))/(INDEX('KT THAN'!$Y$38:$Y$58,MIN(21,MATCH(R223,'KT THAN'!$Y$38:$Y$58,-1)+1))-INDEX('KT THAN'!$Y$38:$Y$58,MATCH(R223,'KT THAN'!$Y$38:$Y$58,-1)))),MIN(0.8*0.75*'KT THAN'!$C$62,'KT THAN'!$D$68/R223)))))</f>
        <v/>
      </c>
      <c r="O223" s="38" t="str">
        <f>IF($A223="","",IF(H223&lt;0,ABS(H223)/MAX('KT THAN'!$C$69,0.001)+'KT THAN'!$C$32*ABS(J223)/MAX('KT THAN'!$C$68,0.001)+'KT THAN'!$D$32*ABS(I223)/MAX('KT THAN'!$D$68,0.001),IF(OR(M223&lt;=0,N223&lt;=0),999,IF(H223&gt;=0.1*0.75*fc_*Agth*1000,H223/MAX(0.001,1/(1/M223+1/N223-1/(0.75*'KT THAN'!$C$62))),'KT THAN'!$C$32*ABS(J223)/MAX('KT THAN'!$C$68,0.001)+'KT THAN'!$D$32*ABS(I223)/MAX('KT THAN'!$D$68,0.001)))))</f>
        <v/>
      </c>
      <c r="P223" s="37" t="str">
        <f t="shared" si="44"/>
        <v/>
      </c>
      <c r="Q223" s="38" t="str">
        <f>IF($A223="","",MAX(0.001,'KT THAN'!$C$32*ABS(J223)/MAX(1,H223)))</f>
        <v/>
      </c>
      <c r="R223" s="38" t="str">
        <f>IF($A223="","",MAX(0.001,'KT THAN'!$D$32*ABS(I223)/MAX(1,H223)))</f>
        <v/>
      </c>
      <c r="S223" t="str">
        <f t="shared" si="38"/>
        <v/>
      </c>
    </row>
    <row r="224" spans="1:19" hidden="1" outlineLevel="1" x14ac:dyDescent="0.3">
      <c r="A224" s="37" t="str">
        <f>IF('TO HOP NLAN'!$A90="","",'TO HOP NLAN'!$A90)</f>
        <v/>
      </c>
      <c r="B224" s="38" t="str">
        <f>IF($A224="","",'TO HOP NLAN'!$D90)</f>
        <v/>
      </c>
      <c r="C224" s="38" t="str">
        <f>IF($A224="","",'TO HOP NLAN'!$E90)</f>
        <v/>
      </c>
      <c r="D224" s="38" t="str">
        <f>IF($A224="","",'TO HOP NLAN'!$F90)</f>
        <v/>
      </c>
      <c r="E224" s="38" t="str">
        <f>IF($A224="","",'TO HOP NLAN'!$B90)</f>
        <v/>
      </c>
      <c r="F224" s="38" t="str">
        <f>IF($A224="","",'TO HOP NLAN'!$C90)</f>
        <v/>
      </c>
      <c r="G224" s="38" t="str">
        <f t="shared" si="39"/>
        <v/>
      </c>
      <c r="H224" s="38" t="str">
        <f t="shared" si="37"/>
        <v/>
      </c>
      <c r="I224" s="38" t="str">
        <f t="shared" si="40"/>
        <v/>
      </c>
      <c r="J224" s="38" t="str">
        <f t="shared" si="41"/>
        <v/>
      </c>
      <c r="K224" s="38" t="str">
        <f t="shared" si="42"/>
        <v/>
      </c>
      <c r="L224" s="38" t="str">
        <f t="shared" si="43"/>
        <v/>
      </c>
      <c r="M224" s="38" t="str">
        <f>IF($A224="","",IF(H224=0,"",IF(Q224&lt;=0.000000001,MIN(0.8*0.75*'KT THAN'!$C$62,MAX('KT THAN'!$J$38:$J$58)),IFERROR(MIN(0.8*0.75*'KT THAN'!$C$62,INDEX('KT THAN'!$J$38:$J$58,MATCH(Q224,'KT THAN'!$L$38:$L$58,-1))+(INDEX('KT THAN'!$J$38:$J$58,MIN(21,MATCH(Q224,'KT THAN'!$L$38:$L$58,-1)+1))-INDEX('KT THAN'!$J$38:$J$58,MATCH(Q224,'KT THAN'!$L$38:$L$58,-1)))*(Q224-INDEX('KT THAN'!$L$38:$L$58,MATCH(Q224,'KT THAN'!$L$38:$L$58,-1)))/(INDEX('KT THAN'!$L$38:$L$58,MIN(21,MATCH(Q224,'KT THAN'!$L$38:$L$58,-1)+1))-INDEX('KT THAN'!$L$38:$L$58,MATCH(Q224,'KT THAN'!$L$38:$L$58,-1)))),MIN(0.8*0.75*'KT THAN'!$C$62,'KT THAN'!$C$68/Q224)))))</f>
        <v/>
      </c>
      <c r="N224" s="38" t="str">
        <f>IF($A224="","",IF(H224=0,"",IF(R224&lt;=0.000000001,MIN(0.8*0.75*'KT THAN'!$C$62,MAX('KT THAN'!$W$38:$W$58)),IFERROR(MIN(0.8*0.75*'KT THAN'!$C$62,INDEX('KT THAN'!$W$38:$W$58,MATCH(R224,'KT THAN'!$Y$38:$Y$58,-1))+(INDEX('KT THAN'!$W$38:$W$58,MIN(21,MATCH(R224,'KT THAN'!$Y$38:$Y$58,-1)+1))-INDEX('KT THAN'!$W$38:$W$58,MATCH(R224,'KT THAN'!$Y$38:$Y$58,-1)))*(R224-INDEX('KT THAN'!$Y$38:$Y$58,MATCH(R224,'KT THAN'!$Y$38:$Y$58,-1)))/(INDEX('KT THAN'!$Y$38:$Y$58,MIN(21,MATCH(R224,'KT THAN'!$Y$38:$Y$58,-1)+1))-INDEX('KT THAN'!$Y$38:$Y$58,MATCH(R224,'KT THAN'!$Y$38:$Y$58,-1)))),MIN(0.8*0.75*'KT THAN'!$C$62,'KT THAN'!$D$68/R224)))))</f>
        <v/>
      </c>
      <c r="O224" s="38" t="str">
        <f>IF($A224="","",IF(H224&lt;0,ABS(H224)/MAX('KT THAN'!$C$69,0.001)+'KT THAN'!$C$32*ABS(J224)/MAX('KT THAN'!$C$68,0.001)+'KT THAN'!$D$32*ABS(I224)/MAX('KT THAN'!$D$68,0.001),IF(OR(M224&lt;=0,N224&lt;=0),999,IF(H224&gt;=0.1*0.75*fc_*Agth*1000,H224/MAX(0.001,1/(1/M224+1/N224-1/(0.75*'KT THAN'!$C$62))),'KT THAN'!$C$32*ABS(J224)/MAX('KT THAN'!$C$68,0.001)+'KT THAN'!$D$32*ABS(I224)/MAX('KT THAN'!$D$68,0.001)))))</f>
        <v/>
      </c>
      <c r="P224" s="37" t="str">
        <f t="shared" si="44"/>
        <v/>
      </c>
      <c r="Q224" s="38" t="str">
        <f>IF($A224="","",MAX(0.001,'KT THAN'!$C$32*ABS(J224)/MAX(1,H224)))</f>
        <v/>
      </c>
      <c r="R224" s="38" t="str">
        <f>IF($A224="","",MAX(0.001,'KT THAN'!$D$32*ABS(I224)/MAX(1,H224)))</f>
        <v/>
      </c>
      <c r="S224" t="str">
        <f t="shared" si="38"/>
        <v/>
      </c>
    </row>
    <row r="225" spans="1:19" hidden="1" outlineLevel="1" x14ac:dyDescent="0.3">
      <c r="A225" s="37" t="str">
        <f>IF('TO HOP NLAN'!$A91="","",'TO HOP NLAN'!$A91)</f>
        <v/>
      </c>
      <c r="B225" s="38" t="str">
        <f>IF($A225="","",'TO HOP NLAN'!$D91)</f>
        <v/>
      </c>
      <c r="C225" s="38" t="str">
        <f>IF($A225="","",'TO HOP NLAN'!$E91)</f>
        <v/>
      </c>
      <c r="D225" s="38" t="str">
        <f>IF($A225="","",'TO HOP NLAN'!$F91)</f>
        <v/>
      </c>
      <c r="E225" s="38" t="str">
        <f>IF($A225="","",'TO HOP NLAN'!$B91)</f>
        <v/>
      </c>
      <c r="F225" s="38" t="str">
        <f>IF($A225="","",'TO HOP NLAN'!$C91)</f>
        <v/>
      </c>
      <c r="G225" s="38" t="str">
        <f t="shared" si="39"/>
        <v/>
      </c>
      <c r="H225" s="38" t="str">
        <f t="shared" si="37"/>
        <v/>
      </c>
      <c r="I225" s="38" t="str">
        <f t="shared" si="40"/>
        <v/>
      </c>
      <c r="J225" s="38" t="str">
        <f t="shared" si="41"/>
        <v/>
      </c>
      <c r="K225" s="38" t="str">
        <f t="shared" si="42"/>
        <v/>
      </c>
      <c r="L225" s="38" t="str">
        <f t="shared" si="43"/>
        <v/>
      </c>
      <c r="M225" s="38" t="str">
        <f>IF($A225="","",IF(H225=0,"",IF(Q225&lt;=0.000000001,MIN(0.8*0.75*'KT THAN'!$C$62,MAX('KT THAN'!$J$38:$J$58)),IFERROR(MIN(0.8*0.75*'KT THAN'!$C$62,INDEX('KT THAN'!$J$38:$J$58,MATCH(Q225,'KT THAN'!$L$38:$L$58,-1))+(INDEX('KT THAN'!$J$38:$J$58,MIN(21,MATCH(Q225,'KT THAN'!$L$38:$L$58,-1)+1))-INDEX('KT THAN'!$J$38:$J$58,MATCH(Q225,'KT THAN'!$L$38:$L$58,-1)))*(Q225-INDEX('KT THAN'!$L$38:$L$58,MATCH(Q225,'KT THAN'!$L$38:$L$58,-1)))/(INDEX('KT THAN'!$L$38:$L$58,MIN(21,MATCH(Q225,'KT THAN'!$L$38:$L$58,-1)+1))-INDEX('KT THAN'!$L$38:$L$58,MATCH(Q225,'KT THAN'!$L$38:$L$58,-1)))),MIN(0.8*0.75*'KT THAN'!$C$62,'KT THAN'!$C$68/Q225)))))</f>
        <v/>
      </c>
      <c r="N225" s="38" t="str">
        <f>IF($A225="","",IF(H225=0,"",IF(R225&lt;=0.000000001,MIN(0.8*0.75*'KT THAN'!$C$62,MAX('KT THAN'!$W$38:$W$58)),IFERROR(MIN(0.8*0.75*'KT THAN'!$C$62,INDEX('KT THAN'!$W$38:$W$58,MATCH(R225,'KT THAN'!$Y$38:$Y$58,-1))+(INDEX('KT THAN'!$W$38:$W$58,MIN(21,MATCH(R225,'KT THAN'!$Y$38:$Y$58,-1)+1))-INDEX('KT THAN'!$W$38:$W$58,MATCH(R225,'KT THAN'!$Y$38:$Y$58,-1)))*(R225-INDEX('KT THAN'!$Y$38:$Y$58,MATCH(R225,'KT THAN'!$Y$38:$Y$58,-1)))/(INDEX('KT THAN'!$Y$38:$Y$58,MIN(21,MATCH(R225,'KT THAN'!$Y$38:$Y$58,-1)+1))-INDEX('KT THAN'!$Y$38:$Y$58,MATCH(R225,'KT THAN'!$Y$38:$Y$58,-1)))),MIN(0.8*0.75*'KT THAN'!$C$62,'KT THAN'!$D$68/R225)))))</f>
        <v/>
      </c>
      <c r="O225" s="38" t="str">
        <f>IF($A225="","",IF(H225&lt;0,ABS(H225)/MAX('KT THAN'!$C$69,0.001)+'KT THAN'!$C$32*ABS(J225)/MAX('KT THAN'!$C$68,0.001)+'KT THAN'!$D$32*ABS(I225)/MAX('KT THAN'!$D$68,0.001),IF(OR(M225&lt;=0,N225&lt;=0),999,IF(H225&gt;=0.1*0.75*fc_*Agth*1000,H225/MAX(0.001,1/(1/M225+1/N225-1/(0.75*'KT THAN'!$C$62))),'KT THAN'!$C$32*ABS(J225)/MAX('KT THAN'!$C$68,0.001)+'KT THAN'!$D$32*ABS(I225)/MAX('KT THAN'!$D$68,0.001)))))</f>
        <v/>
      </c>
      <c r="P225" s="37" t="str">
        <f t="shared" si="44"/>
        <v/>
      </c>
      <c r="Q225" s="38" t="str">
        <f>IF($A225="","",MAX(0.001,'KT THAN'!$C$32*ABS(J225)/MAX(1,H225)))</f>
        <v/>
      </c>
      <c r="R225" s="38" t="str">
        <f>IF($A225="","",MAX(0.001,'KT THAN'!$D$32*ABS(I225)/MAX(1,H225)))</f>
        <v/>
      </c>
      <c r="S225" t="str">
        <f t="shared" si="38"/>
        <v/>
      </c>
    </row>
    <row r="226" spans="1:19" hidden="1" outlineLevel="1" x14ac:dyDescent="0.3">
      <c r="A226" s="37" t="str">
        <f>IF('TO HOP NLAN'!$A92="","",'TO HOP NLAN'!$A92)</f>
        <v/>
      </c>
      <c r="B226" s="38" t="str">
        <f>IF($A226="","",'TO HOP NLAN'!$D92)</f>
        <v/>
      </c>
      <c r="C226" s="38" t="str">
        <f>IF($A226="","",'TO HOP NLAN'!$E92)</f>
        <v/>
      </c>
      <c r="D226" s="38" t="str">
        <f>IF($A226="","",'TO HOP NLAN'!$F92)</f>
        <v/>
      </c>
      <c r="E226" s="38" t="str">
        <f>IF($A226="","",'TO HOP NLAN'!$B92)</f>
        <v/>
      </c>
      <c r="F226" s="38" t="str">
        <f>IF($A226="","",'TO HOP NLAN'!$C92)</f>
        <v/>
      </c>
      <c r="G226" s="38" t="str">
        <f t="shared" si="39"/>
        <v/>
      </c>
      <c r="H226" s="38" t="str">
        <f t="shared" si="37"/>
        <v/>
      </c>
      <c r="I226" s="38" t="str">
        <f t="shared" si="40"/>
        <v/>
      </c>
      <c r="J226" s="38" t="str">
        <f t="shared" si="41"/>
        <v/>
      </c>
      <c r="K226" s="38" t="str">
        <f t="shared" si="42"/>
        <v/>
      </c>
      <c r="L226" s="38" t="str">
        <f t="shared" si="43"/>
        <v/>
      </c>
      <c r="M226" s="38" t="str">
        <f>IF($A226="","",IF(H226=0,"",IF(Q226&lt;=0.000000001,MIN(0.8*0.75*'KT THAN'!$C$62,MAX('KT THAN'!$J$38:$J$58)),IFERROR(MIN(0.8*0.75*'KT THAN'!$C$62,INDEX('KT THAN'!$J$38:$J$58,MATCH(Q226,'KT THAN'!$L$38:$L$58,-1))+(INDEX('KT THAN'!$J$38:$J$58,MIN(21,MATCH(Q226,'KT THAN'!$L$38:$L$58,-1)+1))-INDEX('KT THAN'!$J$38:$J$58,MATCH(Q226,'KT THAN'!$L$38:$L$58,-1)))*(Q226-INDEX('KT THAN'!$L$38:$L$58,MATCH(Q226,'KT THAN'!$L$38:$L$58,-1)))/(INDEX('KT THAN'!$L$38:$L$58,MIN(21,MATCH(Q226,'KT THAN'!$L$38:$L$58,-1)+1))-INDEX('KT THAN'!$L$38:$L$58,MATCH(Q226,'KT THAN'!$L$38:$L$58,-1)))),MIN(0.8*0.75*'KT THAN'!$C$62,'KT THAN'!$C$68/Q226)))))</f>
        <v/>
      </c>
      <c r="N226" s="38" t="str">
        <f>IF($A226="","",IF(H226=0,"",IF(R226&lt;=0.000000001,MIN(0.8*0.75*'KT THAN'!$C$62,MAX('KT THAN'!$W$38:$W$58)),IFERROR(MIN(0.8*0.75*'KT THAN'!$C$62,INDEX('KT THAN'!$W$38:$W$58,MATCH(R226,'KT THAN'!$Y$38:$Y$58,-1))+(INDEX('KT THAN'!$W$38:$W$58,MIN(21,MATCH(R226,'KT THAN'!$Y$38:$Y$58,-1)+1))-INDEX('KT THAN'!$W$38:$W$58,MATCH(R226,'KT THAN'!$Y$38:$Y$58,-1)))*(R226-INDEX('KT THAN'!$Y$38:$Y$58,MATCH(R226,'KT THAN'!$Y$38:$Y$58,-1)))/(INDEX('KT THAN'!$Y$38:$Y$58,MIN(21,MATCH(R226,'KT THAN'!$Y$38:$Y$58,-1)+1))-INDEX('KT THAN'!$Y$38:$Y$58,MATCH(R226,'KT THAN'!$Y$38:$Y$58,-1)))),MIN(0.8*0.75*'KT THAN'!$C$62,'KT THAN'!$D$68/R226)))))</f>
        <v/>
      </c>
      <c r="O226" s="38" t="str">
        <f>IF($A226="","",IF(H226&lt;0,ABS(H226)/MAX('KT THAN'!$C$69,0.001)+'KT THAN'!$C$32*ABS(J226)/MAX('KT THAN'!$C$68,0.001)+'KT THAN'!$D$32*ABS(I226)/MAX('KT THAN'!$D$68,0.001),IF(OR(M226&lt;=0,N226&lt;=0),999,IF(H226&gt;=0.1*0.75*fc_*Agth*1000,H226/MAX(0.001,1/(1/M226+1/N226-1/(0.75*'KT THAN'!$C$62))),'KT THAN'!$C$32*ABS(J226)/MAX('KT THAN'!$C$68,0.001)+'KT THAN'!$D$32*ABS(I226)/MAX('KT THAN'!$D$68,0.001)))))</f>
        <v/>
      </c>
      <c r="P226" s="37" t="str">
        <f t="shared" si="44"/>
        <v/>
      </c>
      <c r="Q226" s="38" t="str">
        <f>IF($A226="","",MAX(0.001,'KT THAN'!$C$32*ABS(J226)/MAX(1,H226)))</f>
        <v/>
      </c>
      <c r="R226" s="38" t="str">
        <f>IF($A226="","",MAX(0.001,'KT THAN'!$D$32*ABS(I226)/MAX(1,H226)))</f>
        <v/>
      </c>
      <c r="S226" t="str">
        <f t="shared" si="38"/>
        <v/>
      </c>
    </row>
    <row r="227" spans="1:19" hidden="1" outlineLevel="1" x14ac:dyDescent="0.3">
      <c r="A227" s="37" t="str">
        <f>IF('TO HOP NLAN'!$A93="","",'TO HOP NLAN'!$A93)</f>
        <v/>
      </c>
      <c r="B227" s="38" t="str">
        <f>IF($A227="","",'TO HOP NLAN'!$D93)</f>
        <v/>
      </c>
      <c r="C227" s="38" t="str">
        <f>IF($A227="","",'TO HOP NLAN'!$E93)</f>
        <v/>
      </c>
      <c r="D227" s="38" t="str">
        <f>IF($A227="","",'TO HOP NLAN'!$F93)</f>
        <v/>
      </c>
      <c r="E227" s="38" t="str">
        <f>IF($A227="","",'TO HOP NLAN'!$B93)</f>
        <v/>
      </c>
      <c r="F227" s="38" t="str">
        <f>IF($A227="","",'TO HOP NLAN'!$C93)</f>
        <v/>
      </c>
      <c r="G227" s="38" t="str">
        <f t="shared" si="39"/>
        <v/>
      </c>
      <c r="H227" s="38" t="str">
        <f t="shared" si="37"/>
        <v/>
      </c>
      <c r="I227" s="38" t="str">
        <f t="shared" si="40"/>
        <v/>
      </c>
      <c r="J227" s="38" t="str">
        <f t="shared" si="41"/>
        <v/>
      </c>
      <c r="K227" s="38" t="str">
        <f t="shared" si="42"/>
        <v/>
      </c>
      <c r="L227" s="38" t="str">
        <f t="shared" si="43"/>
        <v/>
      </c>
      <c r="M227" s="38" t="str">
        <f>IF($A227="","",IF(H227=0,"",IF(Q227&lt;=0.000000001,MIN(0.8*0.75*'KT THAN'!$C$62,MAX('KT THAN'!$J$38:$J$58)),IFERROR(MIN(0.8*0.75*'KT THAN'!$C$62,INDEX('KT THAN'!$J$38:$J$58,MATCH(Q227,'KT THAN'!$L$38:$L$58,-1))+(INDEX('KT THAN'!$J$38:$J$58,MIN(21,MATCH(Q227,'KT THAN'!$L$38:$L$58,-1)+1))-INDEX('KT THAN'!$J$38:$J$58,MATCH(Q227,'KT THAN'!$L$38:$L$58,-1)))*(Q227-INDEX('KT THAN'!$L$38:$L$58,MATCH(Q227,'KT THAN'!$L$38:$L$58,-1)))/(INDEX('KT THAN'!$L$38:$L$58,MIN(21,MATCH(Q227,'KT THAN'!$L$38:$L$58,-1)+1))-INDEX('KT THAN'!$L$38:$L$58,MATCH(Q227,'KT THAN'!$L$38:$L$58,-1)))),MIN(0.8*0.75*'KT THAN'!$C$62,'KT THAN'!$C$68/Q227)))))</f>
        <v/>
      </c>
      <c r="N227" s="38" t="str">
        <f>IF($A227="","",IF(H227=0,"",IF(R227&lt;=0.000000001,MIN(0.8*0.75*'KT THAN'!$C$62,MAX('KT THAN'!$W$38:$W$58)),IFERROR(MIN(0.8*0.75*'KT THAN'!$C$62,INDEX('KT THAN'!$W$38:$W$58,MATCH(R227,'KT THAN'!$Y$38:$Y$58,-1))+(INDEX('KT THAN'!$W$38:$W$58,MIN(21,MATCH(R227,'KT THAN'!$Y$38:$Y$58,-1)+1))-INDEX('KT THAN'!$W$38:$W$58,MATCH(R227,'KT THAN'!$Y$38:$Y$58,-1)))*(R227-INDEX('KT THAN'!$Y$38:$Y$58,MATCH(R227,'KT THAN'!$Y$38:$Y$58,-1)))/(INDEX('KT THAN'!$Y$38:$Y$58,MIN(21,MATCH(R227,'KT THAN'!$Y$38:$Y$58,-1)+1))-INDEX('KT THAN'!$Y$38:$Y$58,MATCH(R227,'KT THAN'!$Y$38:$Y$58,-1)))),MIN(0.8*0.75*'KT THAN'!$C$62,'KT THAN'!$D$68/R227)))))</f>
        <v/>
      </c>
      <c r="O227" s="38" t="str">
        <f>IF($A227="","",IF(H227&lt;0,ABS(H227)/MAX('KT THAN'!$C$69,0.001)+'KT THAN'!$C$32*ABS(J227)/MAX('KT THAN'!$C$68,0.001)+'KT THAN'!$D$32*ABS(I227)/MAX('KT THAN'!$D$68,0.001),IF(OR(M227&lt;=0,N227&lt;=0),999,IF(H227&gt;=0.1*0.75*fc_*Agth*1000,H227/MAX(0.001,1/(1/M227+1/N227-1/(0.75*'KT THAN'!$C$62))),'KT THAN'!$C$32*ABS(J227)/MAX('KT THAN'!$C$68,0.001)+'KT THAN'!$D$32*ABS(I227)/MAX('KT THAN'!$D$68,0.001)))))</f>
        <v/>
      </c>
      <c r="P227" s="37" t="str">
        <f t="shared" si="44"/>
        <v/>
      </c>
      <c r="Q227" s="38" t="str">
        <f>IF($A227="","",MAX(0.001,'KT THAN'!$C$32*ABS(J227)/MAX(1,H227)))</f>
        <v/>
      </c>
      <c r="R227" s="38" t="str">
        <f>IF($A227="","",MAX(0.001,'KT THAN'!$D$32*ABS(I227)/MAX(1,H227)))</f>
        <v/>
      </c>
      <c r="S227" t="str">
        <f t="shared" si="38"/>
        <v/>
      </c>
    </row>
    <row r="228" spans="1:19" hidden="1" outlineLevel="1" x14ac:dyDescent="0.3">
      <c r="A228" s="37" t="str">
        <f>IF('TO HOP NLAN'!$A94="","",'TO HOP NLAN'!$A94)</f>
        <v/>
      </c>
      <c r="B228" s="38" t="str">
        <f>IF($A228="","",'TO HOP NLAN'!$D94)</f>
        <v/>
      </c>
      <c r="C228" s="38" t="str">
        <f>IF($A228="","",'TO HOP NLAN'!$E94)</f>
        <v/>
      </c>
      <c r="D228" s="38" t="str">
        <f>IF($A228="","",'TO HOP NLAN'!$F94)</f>
        <v/>
      </c>
      <c r="E228" s="38" t="str">
        <f>IF($A228="","",'TO HOP NLAN'!$B94)</f>
        <v/>
      </c>
      <c r="F228" s="38" t="str">
        <f>IF($A228="","",'TO HOP NLAN'!$C94)</f>
        <v/>
      </c>
      <c r="G228" s="38" t="str">
        <f t="shared" si="39"/>
        <v/>
      </c>
      <c r="H228" s="38" t="str">
        <f t="shared" si="37"/>
        <v/>
      </c>
      <c r="I228" s="38" t="str">
        <f t="shared" si="40"/>
        <v/>
      </c>
      <c r="J228" s="38" t="str">
        <f t="shared" si="41"/>
        <v/>
      </c>
      <c r="K228" s="38" t="str">
        <f t="shared" si="42"/>
        <v/>
      </c>
      <c r="L228" s="38" t="str">
        <f t="shared" si="43"/>
        <v/>
      </c>
      <c r="M228" s="38" t="str">
        <f>IF($A228="","",IF(H228=0,"",IF(Q228&lt;=0.000000001,MIN(0.8*0.75*'KT THAN'!$C$62,MAX('KT THAN'!$J$38:$J$58)),IFERROR(MIN(0.8*0.75*'KT THAN'!$C$62,INDEX('KT THAN'!$J$38:$J$58,MATCH(Q228,'KT THAN'!$L$38:$L$58,-1))+(INDEX('KT THAN'!$J$38:$J$58,MIN(21,MATCH(Q228,'KT THAN'!$L$38:$L$58,-1)+1))-INDEX('KT THAN'!$J$38:$J$58,MATCH(Q228,'KT THAN'!$L$38:$L$58,-1)))*(Q228-INDEX('KT THAN'!$L$38:$L$58,MATCH(Q228,'KT THAN'!$L$38:$L$58,-1)))/(INDEX('KT THAN'!$L$38:$L$58,MIN(21,MATCH(Q228,'KT THAN'!$L$38:$L$58,-1)+1))-INDEX('KT THAN'!$L$38:$L$58,MATCH(Q228,'KT THAN'!$L$38:$L$58,-1)))),MIN(0.8*0.75*'KT THAN'!$C$62,'KT THAN'!$C$68/Q228)))))</f>
        <v/>
      </c>
      <c r="N228" s="38" t="str">
        <f>IF($A228="","",IF(H228=0,"",IF(R228&lt;=0.000000001,MIN(0.8*0.75*'KT THAN'!$C$62,MAX('KT THAN'!$W$38:$W$58)),IFERROR(MIN(0.8*0.75*'KT THAN'!$C$62,INDEX('KT THAN'!$W$38:$W$58,MATCH(R228,'KT THAN'!$Y$38:$Y$58,-1))+(INDEX('KT THAN'!$W$38:$W$58,MIN(21,MATCH(R228,'KT THAN'!$Y$38:$Y$58,-1)+1))-INDEX('KT THAN'!$W$38:$W$58,MATCH(R228,'KT THAN'!$Y$38:$Y$58,-1)))*(R228-INDEX('KT THAN'!$Y$38:$Y$58,MATCH(R228,'KT THAN'!$Y$38:$Y$58,-1)))/(INDEX('KT THAN'!$Y$38:$Y$58,MIN(21,MATCH(R228,'KT THAN'!$Y$38:$Y$58,-1)+1))-INDEX('KT THAN'!$Y$38:$Y$58,MATCH(R228,'KT THAN'!$Y$38:$Y$58,-1)))),MIN(0.8*0.75*'KT THAN'!$C$62,'KT THAN'!$D$68/R228)))))</f>
        <v/>
      </c>
      <c r="O228" s="38" t="str">
        <f>IF($A228="","",IF(H228&lt;0,ABS(H228)/MAX('KT THAN'!$C$69,0.001)+'KT THAN'!$C$32*ABS(J228)/MAX('KT THAN'!$C$68,0.001)+'KT THAN'!$D$32*ABS(I228)/MAX('KT THAN'!$D$68,0.001),IF(OR(M228&lt;=0,N228&lt;=0),999,IF(H228&gt;=0.1*0.75*fc_*Agth*1000,H228/MAX(0.001,1/(1/M228+1/N228-1/(0.75*'KT THAN'!$C$62))),'KT THAN'!$C$32*ABS(J228)/MAX('KT THAN'!$C$68,0.001)+'KT THAN'!$D$32*ABS(I228)/MAX('KT THAN'!$D$68,0.001)))))</f>
        <v/>
      </c>
      <c r="P228" s="37" t="str">
        <f t="shared" si="44"/>
        <v/>
      </c>
      <c r="Q228" s="38" t="str">
        <f>IF($A228="","",MAX(0.001,'KT THAN'!$C$32*ABS(J228)/MAX(1,H228)))</f>
        <v/>
      </c>
      <c r="R228" s="38" t="str">
        <f>IF($A228="","",MAX(0.001,'KT THAN'!$D$32*ABS(I228)/MAX(1,H228)))</f>
        <v/>
      </c>
      <c r="S228" t="str">
        <f t="shared" si="38"/>
        <v/>
      </c>
    </row>
    <row r="229" spans="1:19" hidden="1" outlineLevel="1" x14ac:dyDescent="0.3">
      <c r="A229" s="37" t="str">
        <f>IF('TO HOP NLAN'!$A95="","",'TO HOP NLAN'!$A95)</f>
        <v/>
      </c>
      <c r="B229" s="38" t="str">
        <f>IF($A229="","",'TO HOP NLAN'!$D95)</f>
        <v/>
      </c>
      <c r="C229" s="38" t="str">
        <f>IF($A229="","",'TO HOP NLAN'!$E95)</f>
        <v/>
      </c>
      <c r="D229" s="38" t="str">
        <f>IF($A229="","",'TO HOP NLAN'!$F95)</f>
        <v/>
      </c>
      <c r="E229" s="38" t="str">
        <f>IF($A229="","",'TO HOP NLAN'!$B95)</f>
        <v/>
      </c>
      <c r="F229" s="38" t="str">
        <f>IF($A229="","",'TO HOP NLAN'!$C95)</f>
        <v/>
      </c>
      <c r="G229" s="38" t="str">
        <f t="shared" si="39"/>
        <v/>
      </c>
      <c r="H229" s="38" t="str">
        <f t="shared" si="37"/>
        <v/>
      </c>
      <c r="I229" s="38" t="str">
        <f t="shared" si="40"/>
        <v/>
      </c>
      <c r="J229" s="38" t="str">
        <f t="shared" si="41"/>
        <v/>
      </c>
      <c r="K229" s="38" t="str">
        <f t="shared" si="42"/>
        <v/>
      </c>
      <c r="L229" s="38" t="str">
        <f t="shared" si="43"/>
        <v/>
      </c>
      <c r="M229" s="38" t="str">
        <f>IF($A229="","",IF(H229=0,"",IF(Q229&lt;=0.000000001,MIN(0.8*0.75*'KT THAN'!$C$62,MAX('KT THAN'!$J$38:$J$58)),IFERROR(MIN(0.8*0.75*'KT THAN'!$C$62,INDEX('KT THAN'!$J$38:$J$58,MATCH(Q229,'KT THAN'!$L$38:$L$58,-1))+(INDEX('KT THAN'!$J$38:$J$58,MIN(21,MATCH(Q229,'KT THAN'!$L$38:$L$58,-1)+1))-INDEX('KT THAN'!$J$38:$J$58,MATCH(Q229,'KT THAN'!$L$38:$L$58,-1)))*(Q229-INDEX('KT THAN'!$L$38:$L$58,MATCH(Q229,'KT THAN'!$L$38:$L$58,-1)))/(INDEX('KT THAN'!$L$38:$L$58,MIN(21,MATCH(Q229,'KT THAN'!$L$38:$L$58,-1)+1))-INDEX('KT THAN'!$L$38:$L$58,MATCH(Q229,'KT THAN'!$L$38:$L$58,-1)))),MIN(0.8*0.75*'KT THAN'!$C$62,'KT THAN'!$C$68/Q229)))))</f>
        <v/>
      </c>
      <c r="N229" s="38" t="str">
        <f>IF($A229="","",IF(H229=0,"",IF(R229&lt;=0.000000001,MIN(0.8*0.75*'KT THAN'!$C$62,MAX('KT THAN'!$W$38:$W$58)),IFERROR(MIN(0.8*0.75*'KT THAN'!$C$62,INDEX('KT THAN'!$W$38:$W$58,MATCH(R229,'KT THAN'!$Y$38:$Y$58,-1))+(INDEX('KT THAN'!$W$38:$W$58,MIN(21,MATCH(R229,'KT THAN'!$Y$38:$Y$58,-1)+1))-INDEX('KT THAN'!$W$38:$W$58,MATCH(R229,'KT THAN'!$Y$38:$Y$58,-1)))*(R229-INDEX('KT THAN'!$Y$38:$Y$58,MATCH(R229,'KT THAN'!$Y$38:$Y$58,-1)))/(INDEX('KT THAN'!$Y$38:$Y$58,MIN(21,MATCH(R229,'KT THAN'!$Y$38:$Y$58,-1)+1))-INDEX('KT THAN'!$Y$38:$Y$58,MATCH(R229,'KT THAN'!$Y$38:$Y$58,-1)))),MIN(0.8*0.75*'KT THAN'!$C$62,'KT THAN'!$D$68/R229)))))</f>
        <v/>
      </c>
      <c r="O229" s="38" t="str">
        <f>IF($A229="","",IF(H229&lt;0,ABS(H229)/MAX('KT THAN'!$C$69,0.001)+'KT THAN'!$C$32*ABS(J229)/MAX('KT THAN'!$C$68,0.001)+'KT THAN'!$D$32*ABS(I229)/MAX('KT THAN'!$D$68,0.001),IF(OR(M229&lt;=0,N229&lt;=0),999,IF(H229&gt;=0.1*0.75*fc_*Agth*1000,H229/MAX(0.001,1/(1/M229+1/N229-1/(0.75*'KT THAN'!$C$62))),'KT THAN'!$C$32*ABS(J229)/MAX('KT THAN'!$C$68,0.001)+'KT THAN'!$D$32*ABS(I229)/MAX('KT THAN'!$D$68,0.001)))))</f>
        <v/>
      </c>
      <c r="P229" s="37" t="str">
        <f t="shared" si="44"/>
        <v/>
      </c>
      <c r="Q229" s="38" t="str">
        <f>IF($A229="","",MAX(0.001,'KT THAN'!$C$32*ABS(J229)/MAX(1,H229)))</f>
        <v/>
      </c>
      <c r="R229" s="38" t="str">
        <f>IF($A229="","",MAX(0.001,'KT THAN'!$D$32*ABS(I229)/MAX(1,H229)))</f>
        <v/>
      </c>
      <c r="S229" t="str">
        <f t="shared" si="38"/>
        <v/>
      </c>
    </row>
    <row r="230" spans="1:19" hidden="1" outlineLevel="1" x14ac:dyDescent="0.3">
      <c r="A230" s="37" t="str">
        <f>IF('TO HOP NLAN'!$A96="","",'TO HOP NLAN'!$A96)</f>
        <v/>
      </c>
      <c r="B230" s="38" t="str">
        <f>IF($A230="","",'TO HOP NLAN'!$D96)</f>
        <v/>
      </c>
      <c r="C230" s="38" t="str">
        <f>IF($A230="","",'TO HOP NLAN'!$E96)</f>
        <v/>
      </c>
      <c r="D230" s="38" t="str">
        <f>IF($A230="","",'TO HOP NLAN'!$F96)</f>
        <v/>
      </c>
      <c r="E230" s="38" t="str">
        <f>IF($A230="","",'TO HOP NLAN'!$B96)</f>
        <v/>
      </c>
      <c r="F230" s="38" t="str">
        <f>IF($A230="","",'TO HOP NLAN'!$C96)</f>
        <v/>
      </c>
      <c r="G230" s="38" t="str">
        <f t="shared" si="39"/>
        <v/>
      </c>
      <c r="H230" s="38" t="str">
        <f t="shared" si="37"/>
        <v/>
      </c>
      <c r="I230" s="38" t="str">
        <f t="shared" si="40"/>
        <v/>
      </c>
      <c r="J230" s="38" t="str">
        <f t="shared" si="41"/>
        <v/>
      </c>
      <c r="K230" s="38" t="str">
        <f t="shared" si="42"/>
        <v/>
      </c>
      <c r="L230" s="38" t="str">
        <f t="shared" si="43"/>
        <v/>
      </c>
      <c r="M230" s="38" t="str">
        <f>IF($A230="","",IF(H230=0,"",IF(Q230&lt;=0.000000001,MIN(0.8*0.75*'KT THAN'!$C$62,MAX('KT THAN'!$J$38:$J$58)),IFERROR(MIN(0.8*0.75*'KT THAN'!$C$62,INDEX('KT THAN'!$J$38:$J$58,MATCH(Q230,'KT THAN'!$L$38:$L$58,-1))+(INDEX('KT THAN'!$J$38:$J$58,MIN(21,MATCH(Q230,'KT THAN'!$L$38:$L$58,-1)+1))-INDEX('KT THAN'!$J$38:$J$58,MATCH(Q230,'KT THAN'!$L$38:$L$58,-1)))*(Q230-INDEX('KT THAN'!$L$38:$L$58,MATCH(Q230,'KT THAN'!$L$38:$L$58,-1)))/(INDEX('KT THAN'!$L$38:$L$58,MIN(21,MATCH(Q230,'KT THAN'!$L$38:$L$58,-1)+1))-INDEX('KT THAN'!$L$38:$L$58,MATCH(Q230,'KT THAN'!$L$38:$L$58,-1)))),MIN(0.8*0.75*'KT THAN'!$C$62,'KT THAN'!$C$68/Q230)))))</f>
        <v/>
      </c>
      <c r="N230" s="38" t="str">
        <f>IF($A230="","",IF(H230=0,"",IF(R230&lt;=0.000000001,MIN(0.8*0.75*'KT THAN'!$C$62,MAX('KT THAN'!$W$38:$W$58)),IFERROR(MIN(0.8*0.75*'KT THAN'!$C$62,INDEX('KT THAN'!$W$38:$W$58,MATCH(R230,'KT THAN'!$Y$38:$Y$58,-1))+(INDEX('KT THAN'!$W$38:$W$58,MIN(21,MATCH(R230,'KT THAN'!$Y$38:$Y$58,-1)+1))-INDEX('KT THAN'!$W$38:$W$58,MATCH(R230,'KT THAN'!$Y$38:$Y$58,-1)))*(R230-INDEX('KT THAN'!$Y$38:$Y$58,MATCH(R230,'KT THAN'!$Y$38:$Y$58,-1)))/(INDEX('KT THAN'!$Y$38:$Y$58,MIN(21,MATCH(R230,'KT THAN'!$Y$38:$Y$58,-1)+1))-INDEX('KT THAN'!$Y$38:$Y$58,MATCH(R230,'KT THAN'!$Y$38:$Y$58,-1)))),MIN(0.8*0.75*'KT THAN'!$C$62,'KT THAN'!$D$68/R230)))))</f>
        <v/>
      </c>
      <c r="O230" s="38" t="str">
        <f>IF($A230="","",IF(H230&lt;0,ABS(H230)/MAX('KT THAN'!$C$69,0.001)+'KT THAN'!$C$32*ABS(J230)/MAX('KT THAN'!$C$68,0.001)+'KT THAN'!$D$32*ABS(I230)/MAX('KT THAN'!$D$68,0.001),IF(OR(M230&lt;=0,N230&lt;=0),999,IF(H230&gt;=0.1*0.75*fc_*Agth*1000,H230/MAX(0.001,1/(1/M230+1/N230-1/(0.75*'KT THAN'!$C$62))),'KT THAN'!$C$32*ABS(J230)/MAX('KT THAN'!$C$68,0.001)+'KT THAN'!$D$32*ABS(I230)/MAX('KT THAN'!$D$68,0.001)))))</f>
        <v/>
      </c>
      <c r="P230" s="37" t="str">
        <f t="shared" si="44"/>
        <v/>
      </c>
      <c r="Q230" s="38" t="str">
        <f>IF($A230="","",MAX(0.001,'KT THAN'!$C$32*ABS(J230)/MAX(1,H230)))</f>
        <v/>
      </c>
      <c r="R230" s="38" t="str">
        <f>IF($A230="","",MAX(0.001,'KT THAN'!$D$32*ABS(I230)/MAX(1,H230)))</f>
        <v/>
      </c>
      <c r="S230" t="str">
        <f t="shared" si="38"/>
        <v/>
      </c>
    </row>
    <row r="231" spans="1:19" hidden="1" outlineLevel="1" x14ac:dyDescent="0.3">
      <c r="A231" s="37" t="str">
        <f>IF('TO HOP NLAN'!$A97="","",'TO HOP NLAN'!$A97)</f>
        <v/>
      </c>
      <c r="B231" s="38" t="str">
        <f>IF($A231="","",'TO HOP NLAN'!$D97)</f>
        <v/>
      </c>
      <c r="C231" s="38" t="str">
        <f>IF($A231="","",'TO HOP NLAN'!$E97)</f>
        <v/>
      </c>
      <c r="D231" s="38" t="str">
        <f>IF($A231="","",'TO HOP NLAN'!$F97)</f>
        <v/>
      </c>
      <c r="E231" s="38" t="str">
        <f>IF($A231="","",'TO HOP NLAN'!$B97)</f>
        <v/>
      </c>
      <c r="F231" s="38" t="str">
        <f>IF($A231="","",'TO HOP NLAN'!$C97)</f>
        <v/>
      </c>
      <c r="G231" s="38" t="str">
        <f t="shared" si="39"/>
        <v/>
      </c>
      <c r="H231" s="38" t="str">
        <f t="shared" si="37"/>
        <v/>
      </c>
      <c r="I231" s="38" t="str">
        <f t="shared" si="40"/>
        <v/>
      </c>
      <c r="J231" s="38" t="str">
        <f t="shared" si="41"/>
        <v/>
      </c>
      <c r="K231" s="38" t="str">
        <f t="shared" si="42"/>
        <v/>
      </c>
      <c r="L231" s="38" t="str">
        <f t="shared" si="43"/>
        <v/>
      </c>
      <c r="M231" s="38" t="str">
        <f>IF($A231="","",IF(H231=0,"",IF(Q231&lt;=0.000000001,MIN(0.8*0.75*'KT THAN'!$C$62,MAX('KT THAN'!$J$38:$J$58)),IFERROR(MIN(0.8*0.75*'KT THAN'!$C$62,INDEX('KT THAN'!$J$38:$J$58,MATCH(Q231,'KT THAN'!$L$38:$L$58,-1))+(INDEX('KT THAN'!$J$38:$J$58,MIN(21,MATCH(Q231,'KT THAN'!$L$38:$L$58,-1)+1))-INDEX('KT THAN'!$J$38:$J$58,MATCH(Q231,'KT THAN'!$L$38:$L$58,-1)))*(Q231-INDEX('KT THAN'!$L$38:$L$58,MATCH(Q231,'KT THAN'!$L$38:$L$58,-1)))/(INDEX('KT THAN'!$L$38:$L$58,MIN(21,MATCH(Q231,'KT THAN'!$L$38:$L$58,-1)+1))-INDEX('KT THAN'!$L$38:$L$58,MATCH(Q231,'KT THAN'!$L$38:$L$58,-1)))),MIN(0.8*0.75*'KT THAN'!$C$62,'KT THAN'!$C$68/Q231)))))</f>
        <v/>
      </c>
      <c r="N231" s="38" t="str">
        <f>IF($A231="","",IF(H231=0,"",IF(R231&lt;=0.000000001,MIN(0.8*0.75*'KT THAN'!$C$62,MAX('KT THAN'!$W$38:$W$58)),IFERROR(MIN(0.8*0.75*'KT THAN'!$C$62,INDEX('KT THAN'!$W$38:$W$58,MATCH(R231,'KT THAN'!$Y$38:$Y$58,-1))+(INDEX('KT THAN'!$W$38:$W$58,MIN(21,MATCH(R231,'KT THAN'!$Y$38:$Y$58,-1)+1))-INDEX('KT THAN'!$W$38:$W$58,MATCH(R231,'KT THAN'!$Y$38:$Y$58,-1)))*(R231-INDEX('KT THAN'!$Y$38:$Y$58,MATCH(R231,'KT THAN'!$Y$38:$Y$58,-1)))/(INDEX('KT THAN'!$Y$38:$Y$58,MIN(21,MATCH(R231,'KT THAN'!$Y$38:$Y$58,-1)+1))-INDEX('KT THAN'!$Y$38:$Y$58,MATCH(R231,'KT THAN'!$Y$38:$Y$58,-1)))),MIN(0.8*0.75*'KT THAN'!$C$62,'KT THAN'!$D$68/R231)))))</f>
        <v/>
      </c>
      <c r="O231" s="38" t="str">
        <f>IF($A231="","",IF(H231&lt;0,ABS(H231)/MAX('KT THAN'!$C$69,0.001)+'KT THAN'!$C$32*ABS(J231)/MAX('KT THAN'!$C$68,0.001)+'KT THAN'!$D$32*ABS(I231)/MAX('KT THAN'!$D$68,0.001),IF(OR(M231&lt;=0,N231&lt;=0),999,IF(H231&gt;=0.1*0.75*fc_*Agth*1000,H231/MAX(0.001,1/(1/M231+1/N231-1/(0.75*'KT THAN'!$C$62))),'KT THAN'!$C$32*ABS(J231)/MAX('KT THAN'!$C$68,0.001)+'KT THAN'!$D$32*ABS(I231)/MAX('KT THAN'!$D$68,0.001)))))</f>
        <v/>
      </c>
      <c r="P231" s="37" t="str">
        <f t="shared" si="44"/>
        <v/>
      </c>
      <c r="Q231" s="38" t="str">
        <f>IF($A231="","",MAX(0.001,'KT THAN'!$C$32*ABS(J231)/MAX(1,H231)))</f>
        <v/>
      </c>
      <c r="R231" s="38" t="str">
        <f>IF($A231="","",MAX(0.001,'KT THAN'!$D$32*ABS(I231)/MAX(1,H231)))</f>
        <v/>
      </c>
      <c r="S231" t="str">
        <f t="shared" si="38"/>
        <v/>
      </c>
    </row>
    <row r="232" spans="1:19" hidden="1" outlineLevel="1" x14ac:dyDescent="0.3">
      <c r="A232" s="37" t="str">
        <f>IF('TO HOP NLAN'!$A98="","",'TO HOP NLAN'!$A98)</f>
        <v/>
      </c>
      <c r="B232" s="38" t="str">
        <f>IF($A232="","",'TO HOP NLAN'!$D98)</f>
        <v/>
      </c>
      <c r="C232" s="38" t="str">
        <f>IF($A232="","",'TO HOP NLAN'!$E98)</f>
        <v/>
      </c>
      <c r="D232" s="38" t="str">
        <f>IF($A232="","",'TO HOP NLAN'!$F98)</f>
        <v/>
      </c>
      <c r="E232" s="38" t="str">
        <f>IF($A232="","",'TO HOP NLAN'!$B98)</f>
        <v/>
      </c>
      <c r="F232" s="38" t="str">
        <f>IF($A232="","",'TO HOP NLAN'!$C98)</f>
        <v/>
      </c>
      <c r="G232" s="38" t="str">
        <f t="shared" si="39"/>
        <v/>
      </c>
      <c r="H232" s="38" t="str">
        <f t="shared" si="37"/>
        <v/>
      </c>
      <c r="I232" s="38" t="str">
        <f t="shared" si="40"/>
        <v/>
      </c>
      <c r="J232" s="38" t="str">
        <f t="shared" si="41"/>
        <v/>
      </c>
      <c r="K232" s="38" t="str">
        <f t="shared" si="42"/>
        <v/>
      </c>
      <c r="L232" s="38" t="str">
        <f t="shared" si="43"/>
        <v/>
      </c>
      <c r="M232" s="38" t="str">
        <f>IF($A232="","",IF(H232=0,"",IF(Q232&lt;=0.000000001,MIN(0.8*0.75*'KT THAN'!$C$62,MAX('KT THAN'!$J$38:$J$58)),IFERROR(MIN(0.8*0.75*'KT THAN'!$C$62,INDEX('KT THAN'!$J$38:$J$58,MATCH(Q232,'KT THAN'!$L$38:$L$58,-1))+(INDEX('KT THAN'!$J$38:$J$58,MIN(21,MATCH(Q232,'KT THAN'!$L$38:$L$58,-1)+1))-INDEX('KT THAN'!$J$38:$J$58,MATCH(Q232,'KT THAN'!$L$38:$L$58,-1)))*(Q232-INDEX('KT THAN'!$L$38:$L$58,MATCH(Q232,'KT THAN'!$L$38:$L$58,-1)))/(INDEX('KT THAN'!$L$38:$L$58,MIN(21,MATCH(Q232,'KT THAN'!$L$38:$L$58,-1)+1))-INDEX('KT THAN'!$L$38:$L$58,MATCH(Q232,'KT THAN'!$L$38:$L$58,-1)))),MIN(0.8*0.75*'KT THAN'!$C$62,'KT THAN'!$C$68/Q232)))))</f>
        <v/>
      </c>
      <c r="N232" s="38" t="str">
        <f>IF($A232="","",IF(H232=0,"",IF(R232&lt;=0.000000001,MIN(0.8*0.75*'KT THAN'!$C$62,MAX('KT THAN'!$W$38:$W$58)),IFERROR(MIN(0.8*0.75*'KT THAN'!$C$62,INDEX('KT THAN'!$W$38:$W$58,MATCH(R232,'KT THAN'!$Y$38:$Y$58,-1))+(INDEX('KT THAN'!$W$38:$W$58,MIN(21,MATCH(R232,'KT THAN'!$Y$38:$Y$58,-1)+1))-INDEX('KT THAN'!$W$38:$W$58,MATCH(R232,'KT THAN'!$Y$38:$Y$58,-1)))*(R232-INDEX('KT THAN'!$Y$38:$Y$58,MATCH(R232,'KT THAN'!$Y$38:$Y$58,-1)))/(INDEX('KT THAN'!$Y$38:$Y$58,MIN(21,MATCH(R232,'KT THAN'!$Y$38:$Y$58,-1)+1))-INDEX('KT THAN'!$Y$38:$Y$58,MATCH(R232,'KT THAN'!$Y$38:$Y$58,-1)))),MIN(0.8*0.75*'KT THAN'!$C$62,'KT THAN'!$D$68/R232)))))</f>
        <v/>
      </c>
      <c r="O232" s="38" t="str">
        <f>IF($A232="","",IF(H232&lt;0,ABS(H232)/MAX('KT THAN'!$C$69,0.001)+'KT THAN'!$C$32*ABS(J232)/MAX('KT THAN'!$C$68,0.001)+'KT THAN'!$D$32*ABS(I232)/MAX('KT THAN'!$D$68,0.001),IF(OR(M232&lt;=0,N232&lt;=0),999,IF(H232&gt;=0.1*0.75*fc_*Agth*1000,H232/MAX(0.001,1/(1/M232+1/N232-1/(0.75*'KT THAN'!$C$62))),'KT THAN'!$C$32*ABS(J232)/MAX('KT THAN'!$C$68,0.001)+'KT THAN'!$D$32*ABS(I232)/MAX('KT THAN'!$D$68,0.001)))))</f>
        <v/>
      </c>
      <c r="P232" s="37" t="str">
        <f t="shared" si="44"/>
        <v/>
      </c>
      <c r="Q232" s="38" t="str">
        <f>IF($A232="","",MAX(0.001,'KT THAN'!$C$32*ABS(J232)/MAX(1,H232)))</f>
        <v/>
      </c>
      <c r="R232" s="38" t="str">
        <f>IF($A232="","",MAX(0.001,'KT THAN'!$D$32*ABS(I232)/MAX(1,H232)))</f>
        <v/>
      </c>
      <c r="S232" t="str">
        <f t="shared" si="38"/>
        <v/>
      </c>
    </row>
    <row r="233" spans="1:19" hidden="1" outlineLevel="1" x14ac:dyDescent="0.3">
      <c r="A233" s="37" t="str">
        <f>IF('TO HOP NLAN'!$A99="","",'TO HOP NLAN'!$A99)</f>
        <v/>
      </c>
      <c r="B233" s="38" t="str">
        <f>IF($A233="","",'TO HOP NLAN'!$D99)</f>
        <v/>
      </c>
      <c r="C233" s="38" t="str">
        <f>IF($A233="","",'TO HOP NLAN'!$E99)</f>
        <v/>
      </c>
      <c r="D233" s="38" t="str">
        <f>IF($A233="","",'TO HOP NLAN'!$F99)</f>
        <v/>
      </c>
      <c r="E233" s="38" t="str">
        <f>IF($A233="","",'TO HOP NLAN'!$B99)</f>
        <v/>
      </c>
      <c r="F233" s="38" t="str">
        <f>IF($A233="","",'TO HOP NLAN'!$C99)</f>
        <v/>
      </c>
      <c r="G233" s="38" t="str">
        <f t="shared" si="39"/>
        <v/>
      </c>
      <c r="H233" s="38" t="str">
        <f t="shared" si="37"/>
        <v/>
      </c>
      <c r="I233" s="38" t="str">
        <f t="shared" si="40"/>
        <v/>
      </c>
      <c r="J233" s="38" t="str">
        <f t="shared" si="41"/>
        <v/>
      </c>
      <c r="K233" s="38" t="str">
        <f t="shared" si="42"/>
        <v/>
      </c>
      <c r="L233" s="38" t="str">
        <f t="shared" si="43"/>
        <v/>
      </c>
      <c r="M233" s="38" t="str">
        <f>IF($A233="","",IF(H233=0,"",IF(Q233&lt;=0.000000001,MIN(0.8*0.75*'KT THAN'!$C$62,MAX('KT THAN'!$J$38:$J$58)),IFERROR(MIN(0.8*0.75*'KT THAN'!$C$62,INDEX('KT THAN'!$J$38:$J$58,MATCH(Q233,'KT THAN'!$L$38:$L$58,-1))+(INDEX('KT THAN'!$J$38:$J$58,MIN(21,MATCH(Q233,'KT THAN'!$L$38:$L$58,-1)+1))-INDEX('KT THAN'!$J$38:$J$58,MATCH(Q233,'KT THAN'!$L$38:$L$58,-1)))*(Q233-INDEX('KT THAN'!$L$38:$L$58,MATCH(Q233,'KT THAN'!$L$38:$L$58,-1)))/(INDEX('KT THAN'!$L$38:$L$58,MIN(21,MATCH(Q233,'KT THAN'!$L$38:$L$58,-1)+1))-INDEX('KT THAN'!$L$38:$L$58,MATCH(Q233,'KT THAN'!$L$38:$L$58,-1)))),MIN(0.8*0.75*'KT THAN'!$C$62,'KT THAN'!$C$68/Q233)))))</f>
        <v/>
      </c>
      <c r="N233" s="38" t="str">
        <f>IF($A233="","",IF(H233=0,"",IF(R233&lt;=0.000000001,MIN(0.8*0.75*'KT THAN'!$C$62,MAX('KT THAN'!$W$38:$W$58)),IFERROR(MIN(0.8*0.75*'KT THAN'!$C$62,INDEX('KT THAN'!$W$38:$W$58,MATCH(R233,'KT THAN'!$Y$38:$Y$58,-1))+(INDEX('KT THAN'!$W$38:$W$58,MIN(21,MATCH(R233,'KT THAN'!$Y$38:$Y$58,-1)+1))-INDEX('KT THAN'!$W$38:$W$58,MATCH(R233,'KT THAN'!$Y$38:$Y$58,-1)))*(R233-INDEX('KT THAN'!$Y$38:$Y$58,MATCH(R233,'KT THAN'!$Y$38:$Y$58,-1)))/(INDEX('KT THAN'!$Y$38:$Y$58,MIN(21,MATCH(R233,'KT THAN'!$Y$38:$Y$58,-1)+1))-INDEX('KT THAN'!$Y$38:$Y$58,MATCH(R233,'KT THAN'!$Y$38:$Y$58,-1)))),MIN(0.8*0.75*'KT THAN'!$C$62,'KT THAN'!$D$68/R233)))))</f>
        <v/>
      </c>
      <c r="O233" s="38" t="str">
        <f>IF($A233="","",IF(H233&lt;0,ABS(H233)/MAX('KT THAN'!$C$69,0.001)+'KT THAN'!$C$32*ABS(J233)/MAX('KT THAN'!$C$68,0.001)+'KT THAN'!$D$32*ABS(I233)/MAX('KT THAN'!$D$68,0.001),IF(OR(M233&lt;=0,N233&lt;=0),999,IF(H233&gt;=0.1*0.75*fc_*Agth*1000,H233/MAX(0.001,1/(1/M233+1/N233-1/(0.75*'KT THAN'!$C$62))),'KT THAN'!$C$32*ABS(J233)/MAX('KT THAN'!$C$68,0.001)+'KT THAN'!$D$32*ABS(I233)/MAX('KT THAN'!$D$68,0.001)))))</f>
        <v/>
      </c>
      <c r="P233" s="37" t="str">
        <f t="shared" si="44"/>
        <v/>
      </c>
      <c r="Q233" s="38" t="str">
        <f>IF($A233="","",MAX(0.001,'KT THAN'!$C$32*ABS(J233)/MAX(1,H233)))</f>
        <v/>
      </c>
      <c r="R233" s="38" t="str">
        <f>IF($A233="","",MAX(0.001,'KT THAN'!$D$32*ABS(I233)/MAX(1,H233)))</f>
        <v/>
      </c>
      <c r="S233" t="str">
        <f t="shared" si="38"/>
        <v/>
      </c>
    </row>
    <row r="234" spans="1:19" hidden="1" outlineLevel="1" x14ac:dyDescent="0.3">
      <c r="A234" s="37" t="str">
        <f>IF('TO HOP NLAN'!$A100="","",'TO HOP NLAN'!$A100)</f>
        <v/>
      </c>
      <c r="B234" s="38" t="str">
        <f>IF($A234="","",'TO HOP NLAN'!$D100)</f>
        <v/>
      </c>
      <c r="C234" s="38" t="str">
        <f>IF($A234="","",'TO HOP NLAN'!$E100)</f>
        <v/>
      </c>
      <c r="D234" s="38" t="str">
        <f>IF($A234="","",'TO HOP NLAN'!$F100)</f>
        <v/>
      </c>
      <c r="E234" s="38" t="str">
        <f>IF($A234="","",'TO HOP NLAN'!$B100)</f>
        <v/>
      </c>
      <c r="F234" s="38" t="str">
        <f>IF($A234="","",'TO HOP NLAN'!$C100)</f>
        <v/>
      </c>
      <c r="G234" s="38" t="str">
        <f t="shared" si="39"/>
        <v/>
      </c>
      <c r="H234" s="38" t="str">
        <f t="shared" si="37"/>
        <v/>
      </c>
      <c r="I234" s="38" t="str">
        <f t="shared" si="40"/>
        <v/>
      </c>
      <c r="J234" s="38" t="str">
        <f t="shared" si="41"/>
        <v/>
      </c>
      <c r="K234" s="38" t="str">
        <f t="shared" si="42"/>
        <v/>
      </c>
      <c r="L234" s="38" t="str">
        <f t="shared" si="43"/>
        <v/>
      </c>
      <c r="M234" s="38" t="str">
        <f>IF($A234="","",IF(H234=0,"",IF(Q234&lt;=0.000000001,MIN(0.8*0.75*'KT THAN'!$C$62,MAX('KT THAN'!$J$38:$J$58)),IFERROR(MIN(0.8*0.75*'KT THAN'!$C$62,INDEX('KT THAN'!$J$38:$J$58,MATCH(Q234,'KT THAN'!$L$38:$L$58,-1))+(INDEX('KT THAN'!$J$38:$J$58,MIN(21,MATCH(Q234,'KT THAN'!$L$38:$L$58,-1)+1))-INDEX('KT THAN'!$J$38:$J$58,MATCH(Q234,'KT THAN'!$L$38:$L$58,-1)))*(Q234-INDEX('KT THAN'!$L$38:$L$58,MATCH(Q234,'KT THAN'!$L$38:$L$58,-1)))/(INDEX('KT THAN'!$L$38:$L$58,MIN(21,MATCH(Q234,'KT THAN'!$L$38:$L$58,-1)+1))-INDEX('KT THAN'!$L$38:$L$58,MATCH(Q234,'KT THAN'!$L$38:$L$58,-1)))),MIN(0.8*0.75*'KT THAN'!$C$62,'KT THAN'!$C$68/Q234)))))</f>
        <v/>
      </c>
      <c r="N234" s="38" t="str">
        <f>IF($A234="","",IF(H234=0,"",IF(R234&lt;=0.000000001,MIN(0.8*0.75*'KT THAN'!$C$62,MAX('KT THAN'!$W$38:$W$58)),IFERROR(MIN(0.8*0.75*'KT THAN'!$C$62,INDEX('KT THAN'!$W$38:$W$58,MATCH(R234,'KT THAN'!$Y$38:$Y$58,-1))+(INDEX('KT THAN'!$W$38:$W$58,MIN(21,MATCH(R234,'KT THAN'!$Y$38:$Y$58,-1)+1))-INDEX('KT THAN'!$W$38:$W$58,MATCH(R234,'KT THAN'!$Y$38:$Y$58,-1)))*(R234-INDEX('KT THAN'!$Y$38:$Y$58,MATCH(R234,'KT THAN'!$Y$38:$Y$58,-1)))/(INDEX('KT THAN'!$Y$38:$Y$58,MIN(21,MATCH(R234,'KT THAN'!$Y$38:$Y$58,-1)+1))-INDEX('KT THAN'!$Y$38:$Y$58,MATCH(R234,'KT THAN'!$Y$38:$Y$58,-1)))),MIN(0.8*0.75*'KT THAN'!$C$62,'KT THAN'!$D$68/R234)))))</f>
        <v/>
      </c>
      <c r="O234" s="38" t="str">
        <f>IF($A234="","",IF(H234&lt;0,ABS(H234)/MAX('KT THAN'!$C$69,0.001)+'KT THAN'!$C$32*ABS(J234)/MAX('KT THAN'!$C$68,0.001)+'KT THAN'!$D$32*ABS(I234)/MAX('KT THAN'!$D$68,0.001),IF(OR(M234&lt;=0,N234&lt;=0),999,IF(H234&gt;=0.1*0.75*fc_*Agth*1000,H234/MAX(0.001,1/(1/M234+1/N234-1/(0.75*'KT THAN'!$C$62))),'KT THAN'!$C$32*ABS(J234)/MAX('KT THAN'!$C$68,0.001)+'KT THAN'!$D$32*ABS(I234)/MAX('KT THAN'!$D$68,0.001)))))</f>
        <v/>
      </c>
      <c r="P234" s="37" t="str">
        <f t="shared" si="44"/>
        <v/>
      </c>
      <c r="Q234" s="38" t="str">
        <f>IF($A234="","",MAX(0.001,'KT THAN'!$C$32*ABS(J234)/MAX(1,H234)))</f>
        <v/>
      </c>
      <c r="R234" s="38" t="str">
        <f>IF($A234="","",MAX(0.001,'KT THAN'!$D$32*ABS(I234)/MAX(1,H234)))</f>
        <v/>
      </c>
      <c r="S234" t="str">
        <f t="shared" si="38"/>
        <v/>
      </c>
    </row>
    <row r="235" spans="1:19" hidden="1" outlineLevel="1" x14ac:dyDescent="0.3">
      <c r="A235" s="37" t="str">
        <f>IF('TO HOP NLAN'!$A101="","",'TO HOP NLAN'!$A101)</f>
        <v/>
      </c>
      <c r="B235" s="38" t="str">
        <f>IF($A235="","",'TO HOP NLAN'!$D101)</f>
        <v/>
      </c>
      <c r="C235" s="38" t="str">
        <f>IF($A235="","",'TO HOP NLAN'!$E101)</f>
        <v/>
      </c>
      <c r="D235" s="38" t="str">
        <f>IF($A235="","",'TO HOP NLAN'!$F101)</f>
        <v/>
      </c>
      <c r="E235" s="38" t="str">
        <f>IF($A235="","",'TO HOP NLAN'!$B101)</f>
        <v/>
      </c>
      <c r="F235" s="38" t="str">
        <f>IF($A235="","",'TO HOP NLAN'!$C101)</f>
        <v/>
      </c>
      <c r="G235" s="38" t="str">
        <f t="shared" si="39"/>
        <v/>
      </c>
      <c r="H235" s="38" t="str">
        <f t="shared" si="37"/>
        <v/>
      </c>
      <c r="I235" s="38" t="str">
        <f t="shared" si="40"/>
        <v/>
      </c>
      <c r="J235" s="38" t="str">
        <f t="shared" si="41"/>
        <v/>
      </c>
      <c r="K235" s="38" t="str">
        <f t="shared" si="42"/>
        <v/>
      </c>
      <c r="L235" s="38" t="str">
        <f t="shared" si="43"/>
        <v/>
      </c>
      <c r="M235" s="38" t="str">
        <f>IF($A235="","",IF(H235=0,"",IF(Q235&lt;=0.000000001,MIN(0.8*0.75*'KT THAN'!$C$62,MAX('KT THAN'!$J$38:$J$58)),IFERROR(MIN(0.8*0.75*'KT THAN'!$C$62,INDEX('KT THAN'!$J$38:$J$58,MATCH(Q235,'KT THAN'!$L$38:$L$58,-1))+(INDEX('KT THAN'!$J$38:$J$58,MIN(21,MATCH(Q235,'KT THAN'!$L$38:$L$58,-1)+1))-INDEX('KT THAN'!$J$38:$J$58,MATCH(Q235,'KT THAN'!$L$38:$L$58,-1)))*(Q235-INDEX('KT THAN'!$L$38:$L$58,MATCH(Q235,'KT THAN'!$L$38:$L$58,-1)))/(INDEX('KT THAN'!$L$38:$L$58,MIN(21,MATCH(Q235,'KT THAN'!$L$38:$L$58,-1)+1))-INDEX('KT THAN'!$L$38:$L$58,MATCH(Q235,'KT THAN'!$L$38:$L$58,-1)))),MIN(0.8*0.75*'KT THAN'!$C$62,'KT THAN'!$C$68/Q235)))))</f>
        <v/>
      </c>
      <c r="N235" s="38" t="str">
        <f>IF($A235="","",IF(H235=0,"",IF(R235&lt;=0.000000001,MIN(0.8*0.75*'KT THAN'!$C$62,MAX('KT THAN'!$W$38:$W$58)),IFERROR(MIN(0.8*0.75*'KT THAN'!$C$62,INDEX('KT THAN'!$W$38:$W$58,MATCH(R235,'KT THAN'!$Y$38:$Y$58,-1))+(INDEX('KT THAN'!$W$38:$W$58,MIN(21,MATCH(R235,'KT THAN'!$Y$38:$Y$58,-1)+1))-INDEX('KT THAN'!$W$38:$W$58,MATCH(R235,'KT THAN'!$Y$38:$Y$58,-1)))*(R235-INDEX('KT THAN'!$Y$38:$Y$58,MATCH(R235,'KT THAN'!$Y$38:$Y$58,-1)))/(INDEX('KT THAN'!$Y$38:$Y$58,MIN(21,MATCH(R235,'KT THAN'!$Y$38:$Y$58,-1)+1))-INDEX('KT THAN'!$Y$38:$Y$58,MATCH(R235,'KT THAN'!$Y$38:$Y$58,-1)))),MIN(0.8*0.75*'KT THAN'!$C$62,'KT THAN'!$D$68/R235)))))</f>
        <v/>
      </c>
      <c r="O235" s="38" t="str">
        <f>IF($A235="","",IF(H235&lt;0,ABS(H235)/MAX('KT THAN'!$C$69,0.001)+'KT THAN'!$C$32*ABS(J235)/MAX('KT THAN'!$C$68,0.001)+'KT THAN'!$D$32*ABS(I235)/MAX('KT THAN'!$D$68,0.001),IF(OR(M235&lt;=0,N235&lt;=0),999,IF(H235&gt;=0.1*0.75*fc_*Agth*1000,H235/MAX(0.001,1/(1/M235+1/N235-1/(0.75*'KT THAN'!$C$62))),'KT THAN'!$C$32*ABS(J235)/MAX('KT THAN'!$C$68,0.001)+'KT THAN'!$D$32*ABS(I235)/MAX('KT THAN'!$D$68,0.001)))))</f>
        <v/>
      </c>
      <c r="P235" s="37" t="str">
        <f t="shared" si="44"/>
        <v/>
      </c>
      <c r="Q235" s="38" t="str">
        <f>IF($A235="","",MAX(0.001,'KT THAN'!$C$32*ABS(J235)/MAX(1,H235)))</f>
        <v/>
      </c>
      <c r="R235" s="38" t="str">
        <f>IF($A235="","",MAX(0.001,'KT THAN'!$D$32*ABS(I235)/MAX(1,H235)))</f>
        <v/>
      </c>
      <c r="S235" t="str">
        <f t="shared" si="38"/>
        <v/>
      </c>
    </row>
    <row r="236" spans="1:19" hidden="1" outlineLevel="1" x14ac:dyDescent="0.3">
      <c r="A236" s="37" t="str">
        <f>IF('TO HOP NLAN'!$A102="","",'TO HOP NLAN'!$A102)</f>
        <v/>
      </c>
      <c r="B236" s="38" t="str">
        <f>IF($A236="","",'TO HOP NLAN'!$D102)</f>
        <v/>
      </c>
      <c r="C236" s="38" t="str">
        <f>IF($A236="","",'TO HOP NLAN'!$E102)</f>
        <v/>
      </c>
      <c r="D236" s="38" t="str">
        <f>IF($A236="","",'TO HOP NLAN'!$F102)</f>
        <v/>
      </c>
      <c r="E236" s="38" t="str">
        <f>IF($A236="","",'TO HOP NLAN'!$B102)</f>
        <v/>
      </c>
      <c r="F236" s="38" t="str">
        <f>IF($A236="","",'TO HOP NLAN'!$C102)</f>
        <v/>
      </c>
      <c r="G236" s="38" t="str">
        <f t="shared" si="39"/>
        <v/>
      </c>
      <c r="H236" s="38" t="str">
        <f t="shared" si="37"/>
        <v/>
      </c>
      <c r="I236" s="38" t="str">
        <f t="shared" si="40"/>
        <v/>
      </c>
      <c r="J236" s="38" t="str">
        <f t="shared" si="41"/>
        <v/>
      </c>
      <c r="K236" s="38" t="str">
        <f t="shared" si="42"/>
        <v/>
      </c>
      <c r="L236" s="38" t="str">
        <f t="shared" si="43"/>
        <v/>
      </c>
      <c r="M236" s="38" t="str">
        <f>IF($A236="","",IF(H236=0,"",IF(Q236&lt;=0.000000001,MIN(0.8*0.75*'KT THAN'!$C$62,MAX('KT THAN'!$J$38:$J$58)),IFERROR(MIN(0.8*0.75*'KT THAN'!$C$62,INDEX('KT THAN'!$J$38:$J$58,MATCH(Q236,'KT THAN'!$L$38:$L$58,-1))+(INDEX('KT THAN'!$J$38:$J$58,MIN(21,MATCH(Q236,'KT THAN'!$L$38:$L$58,-1)+1))-INDEX('KT THAN'!$J$38:$J$58,MATCH(Q236,'KT THAN'!$L$38:$L$58,-1)))*(Q236-INDEX('KT THAN'!$L$38:$L$58,MATCH(Q236,'KT THAN'!$L$38:$L$58,-1)))/(INDEX('KT THAN'!$L$38:$L$58,MIN(21,MATCH(Q236,'KT THAN'!$L$38:$L$58,-1)+1))-INDEX('KT THAN'!$L$38:$L$58,MATCH(Q236,'KT THAN'!$L$38:$L$58,-1)))),MIN(0.8*0.75*'KT THAN'!$C$62,'KT THAN'!$C$68/Q236)))))</f>
        <v/>
      </c>
      <c r="N236" s="38" t="str">
        <f>IF($A236="","",IF(H236=0,"",IF(R236&lt;=0.000000001,MIN(0.8*0.75*'KT THAN'!$C$62,MAX('KT THAN'!$W$38:$W$58)),IFERROR(MIN(0.8*0.75*'KT THAN'!$C$62,INDEX('KT THAN'!$W$38:$W$58,MATCH(R236,'KT THAN'!$Y$38:$Y$58,-1))+(INDEX('KT THAN'!$W$38:$W$58,MIN(21,MATCH(R236,'KT THAN'!$Y$38:$Y$58,-1)+1))-INDEX('KT THAN'!$W$38:$W$58,MATCH(R236,'KT THAN'!$Y$38:$Y$58,-1)))*(R236-INDEX('KT THAN'!$Y$38:$Y$58,MATCH(R236,'KT THAN'!$Y$38:$Y$58,-1)))/(INDEX('KT THAN'!$Y$38:$Y$58,MIN(21,MATCH(R236,'KT THAN'!$Y$38:$Y$58,-1)+1))-INDEX('KT THAN'!$Y$38:$Y$58,MATCH(R236,'KT THAN'!$Y$38:$Y$58,-1)))),MIN(0.8*0.75*'KT THAN'!$C$62,'KT THAN'!$D$68/R236)))))</f>
        <v/>
      </c>
      <c r="O236" s="38" t="str">
        <f>IF($A236="","",IF(H236&lt;0,ABS(H236)/MAX('KT THAN'!$C$69,0.001)+'KT THAN'!$C$32*ABS(J236)/MAX('KT THAN'!$C$68,0.001)+'KT THAN'!$D$32*ABS(I236)/MAX('KT THAN'!$D$68,0.001),IF(OR(M236&lt;=0,N236&lt;=0),999,IF(H236&gt;=0.1*0.75*fc_*Agth*1000,H236/MAX(0.001,1/(1/M236+1/N236-1/(0.75*'KT THAN'!$C$62))),'KT THAN'!$C$32*ABS(J236)/MAX('KT THAN'!$C$68,0.001)+'KT THAN'!$D$32*ABS(I236)/MAX('KT THAN'!$D$68,0.001)))))</f>
        <v/>
      </c>
      <c r="P236" s="37" t="str">
        <f t="shared" si="44"/>
        <v/>
      </c>
      <c r="Q236" s="38" t="str">
        <f>IF($A236="","",MAX(0.001,'KT THAN'!$C$32*ABS(J236)/MAX(1,H236)))</f>
        <v/>
      </c>
      <c r="R236" s="38" t="str">
        <f>IF($A236="","",MAX(0.001,'KT THAN'!$D$32*ABS(I236)/MAX(1,H236)))</f>
        <v/>
      </c>
      <c r="S236" t="str">
        <f t="shared" si="38"/>
        <v/>
      </c>
    </row>
    <row r="237" spans="1:19" hidden="1" outlineLevel="1" x14ac:dyDescent="0.3">
      <c r="A237" s="37" t="str">
        <f>IF('TO HOP NLAN'!$A103="","",'TO HOP NLAN'!$A103)</f>
        <v/>
      </c>
      <c r="B237" s="38" t="str">
        <f>IF($A237="","",'TO HOP NLAN'!$D103)</f>
        <v/>
      </c>
      <c r="C237" s="38" t="str">
        <f>IF($A237="","",'TO HOP NLAN'!$E103)</f>
        <v/>
      </c>
      <c r="D237" s="38" t="str">
        <f>IF($A237="","",'TO HOP NLAN'!$F103)</f>
        <v/>
      </c>
      <c r="E237" s="38" t="str">
        <f>IF($A237="","",'TO HOP NLAN'!$B103)</f>
        <v/>
      </c>
      <c r="F237" s="38" t="str">
        <f>IF($A237="","",'TO HOP NLAN'!$C103)</f>
        <v/>
      </c>
      <c r="G237" s="38" t="str">
        <f t="shared" si="39"/>
        <v/>
      </c>
      <c r="H237" s="38" t="str">
        <f t="shared" si="37"/>
        <v/>
      </c>
      <c r="I237" s="38" t="str">
        <f t="shared" si="40"/>
        <v/>
      </c>
      <c r="J237" s="38" t="str">
        <f t="shared" si="41"/>
        <v/>
      </c>
      <c r="K237" s="38" t="str">
        <f t="shared" si="42"/>
        <v/>
      </c>
      <c r="L237" s="38" t="str">
        <f t="shared" si="43"/>
        <v/>
      </c>
      <c r="M237" s="38" t="str">
        <f>IF($A237="","",IF(H237=0,"",IF(Q237&lt;=0.000000001,MIN(0.8*0.75*'KT THAN'!$C$62,MAX('KT THAN'!$J$38:$J$58)),IFERROR(MIN(0.8*0.75*'KT THAN'!$C$62,INDEX('KT THAN'!$J$38:$J$58,MATCH(Q237,'KT THAN'!$L$38:$L$58,-1))+(INDEX('KT THAN'!$J$38:$J$58,MIN(21,MATCH(Q237,'KT THAN'!$L$38:$L$58,-1)+1))-INDEX('KT THAN'!$J$38:$J$58,MATCH(Q237,'KT THAN'!$L$38:$L$58,-1)))*(Q237-INDEX('KT THAN'!$L$38:$L$58,MATCH(Q237,'KT THAN'!$L$38:$L$58,-1)))/(INDEX('KT THAN'!$L$38:$L$58,MIN(21,MATCH(Q237,'KT THAN'!$L$38:$L$58,-1)+1))-INDEX('KT THAN'!$L$38:$L$58,MATCH(Q237,'KT THAN'!$L$38:$L$58,-1)))),MIN(0.8*0.75*'KT THAN'!$C$62,'KT THAN'!$C$68/Q237)))))</f>
        <v/>
      </c>
      <c r="N237" s="38" t="str">
        <f>IF($A237="","",IF(H237=0,"",IF(R237&lt;=0.000000001,MIN(0.8*0.75*'KT THAN'!$C$62,MAX('KT THAN'!$W$38:$W$58)),IFERROR(MIN(0.8*0.75*'KT THAN'!$C$62,INDEX('KT THAN'!$W$38:$W$58,MATCH(R237,'KT THAN'!$Y$38:$Y$58,-1))+(INDEX('KT THAN'!$W$38:$W$58,MIN(21,MATCH(R237,'KT THAN'!$Y$38:$Y$58,-1)+1))-INDEX('KT THAN'!$W$38:$W$58,MATCH(R237,'KT THAN'!$Y$38:$Y$58,-1)))*(R237-INDEX('KT THAN'!$Y$38:$Y$58,MATCH(R237,'KT THAN'!$Y$38:$Y$58,-1)))/(INDEX('KT THAN'!$Y$38:$Y$58,MIN(21,MATCH(R237,'KT THAN'!$Y$38:$Y$58,-1)+1))-INDEX('KT THAN'!$Y$38:$Y$58,MATCH(R237,'KT THAN'!$Y$38:$Y$58,-1)))),MIN(0.8*0.75*'KT THAN'!$C$62,'KT THAN'!$D$68/R237)))))</f>
        <v/>
      </c>
      <c r="O237" s="38" t="str">
        <f>IF($A237="","",IF(H237&lt;0,ABS(H237)/MAX('KT THAN'!$C$69,0.001)+'KT THAN'!$C$32*ABS(J237)/MAX('KT THAN'!$C$68,0.001)+'KT THAN'!$D$32*ABS(I237)/MAX('KT THAN'!$D$68,0.001),IF(OR(M237&lt;=0,N237&lt;=0),999,IF(H237&gt;=0.1*0.75*fc_*Agth*1000,H237/MAX(0.001,1/(1/M237+1/N237-1/(0.75*'KT THAN'!$C$62))),'KT THAN'!$C$32*ABS(J237)/MAX('KT THAN'!$C$68,0.001)+'KT THAN'!$D$32*ABS(I237)/MAX('KT THAN'!$D$68,0.001)))))</f>
        <v/>
      </c>
      <c r="P237" s="37" t="str">
        <f t="shared" si="44"/>
        <v/>
      </c>
      <c r="Q237" s="38" t="str">
        <f>IF($A237="","",MAX(0.001,'KT THAN'!$C$32*ABS(J237)/MAX(1,H237)))</f>
        <v/>
      </c>
      <c r="R237" s="38" t="str">
        <f>IF($A237="","",MAX(0.001,'KT THAN'!$D$32*ABS(I237)/MAX(1,H237)))</f>
        <v/>
      </c>
      <c r="S237" t="str">
        <f t="shared" si="38"/>
        <v/>
      </c>
    </row>
    <row r="238" spans="1:19" hidden="1" outlineLevel="1" x14ac:dyDescent="0.3">
      <c r="A238" s="37" t="str">
        <f>IF('TO HOP NLAN'!$A104="","",'TO HOP NLAN'!$A104)</f>
        <v/>
      </c>
      <c r="B238" s="38" t="str">
        <f>IF($A238="","",'TO HOP NLAN'!$D104)</f>
        <v/>
      </c>
      <c r="C238" s="38" t="str">
        <f>IF($A238="","",'TO HOP NLAN'!$E104)</f>
        <v/>
      </c>
      <c r="D238" s="38" t="str">
        <f>IF($A238="","",'TO HOP NLAN'!$F104)</f>
        <v/>
      </c>
      <c r="E238" s="38" t="str">
        <f>IF($A238="","",'TO HOP NLAN'!$B104)</f>
        <v/>
      </c>
      <c r="F238" s="38" t="str">
        <f>IF($A238="","",'TO HOP NLAN'!$C104)</f>
        <v/>
      </c>
      <c r="G238" s="38" t="str">
        <f t="shared" si="39"/>
        <v/>
      </c>
      <c r="H238" s="38" t="str">
        <f t="shared" si="37"/>
        <v/>
      </c>
      <c r="I238" s="38" t="str">
        <f t="shared" si="40"/>
        <v/>
      </c>
      <c r="J238" s="38" t="str">
        <f t="shared" si="41"/>
        <v/>
      </c>
      <c r="K238" s="38" t="str">
        <f t="shared" si="42"/>
        <v/>
      </c>
      <c r="L238" s="38" t="str">
        <f t="shared" si="43"/>
        <v/>
      </c>
      <c r="M238" s="38" t="str">
        <f>IF($A238="","",IF(H238=0,"",IF(Q238&lt;=0.000000001,MIN(0.8*0.75*'KT THAN'!$C$62,MAX('KT THAN'!$J$38:$J$58)),IFERROR(MIN(0.8*0.75*'KT THAN'!$C$62,INDEX('KT THAN'!$J$38:$J$58,MATCH(Q238,'KT THAN'!$L$38:$L$58,-1))+(INDEX('KT THAN'!$J$38:$J$58,MIN(21,MATCH(Q238,'KT THAN'!$L$38:$L$58,-1)+1))-INDEX('KT THAN'!$J$38:$J$58,MATCH(Q238,'KT THAN'!$L$38:$L$58,-1)))*(Q238-INDEX('KT THAN'!$L$38:$L$58,MATCH(Q238,'KT THAN'!$L$38:$L$58,-1)))/(INDEX('KT THAN'!$L$38:$L$58,MIN(21,MATCH(Q238,'KT THAN'!$L$38:$L$58,-1)+1))-INDEX('KT THAN'!$L$38:$L$58,MATCH(Q238,'KT THAN'!$L$38:$L$58,-1)))),MIN(0.8*0.75*'KT THAN'!$C$62,'KT THAN'!$C$68/Q238)))))</f>
        <v/>
      </c>
      <c r="N238" s="38" t="str">
        <f>IF($A238="","",IF(H238=0,"",IF(R238&lt;=0.000000001,MIN(0.8*0.75*'KT THAN'!$C$62,MAX('KT THAN'!$W$38:$W$58)),IFERROR(MIN(0.8*0.75*'KT THAN'!$C$62,INDEX('KT THAN'!$W$38:$W$58,MATCH(R238,'KT THAN'!$Y$38:$Y$58,-1))+(INDEX('KT THAN'!$W$38:$W$58,MIN(21,MATCH(R238,'KT THAN'!$Y$38:$Y$58,-1)+1))-INDEX('KT THAN'!$W$38:$W$58,MATCH(R238,'KT THAN'!$Y$38:$Y$58,-1)))*(R238-INDEX('KT THAN'!$Y$38:$Y$58,MATCH(R238,'KT THAN'!$Y$38:$Y$58,-1)))/(INDEX('KT THAN'!$Y$38:$Y$58,MIN(21,MATCH(R238,'KT THAN'!$Y$38:$Y$58,-1)+1))-INDEX('KT THAN'!$Y$38:$Y$58,MATCH(R238,'KT THAN'!$Y$38:$Y$58,-1)))),MIN(0.8*0.75*'KT THAN'!$C$62,'KT THAN'!$D$68/R238)))))</f>
        <v/>
      </c>
      <c r="O238" s="38" t="str">
        <f>IF($A238="","",IF(H238&lt;0,ABS(H238)/MAX('KT THAN'!$C$69,0.001)+'KT THAN'!$C$32*ABS(J238)/MAX('KT THAN'!$C$68,0.001)+'KT THAN'!$D$32*ABS(I238)/MAX('KT THAN'!$D$68,0.001),IF(OR(M238&lt;=0,N238&lt;=0),999,IF(H238&gt;=0.1*0.75*fc_*Agth*1000,H238/MAX(0.001,1/(1/M238+1/N238-1/(0.75*'KT THAN'!$C$62))),'KT THAN'!$C$32*ABS(J238)/MAX('KT THAN'!$C$68,0.001)+'KT THAN'!$D$32*ABS(I238)/MAX('KT THAN'!$D$68,0.001)))))</f>
        <v/>
      </c>
      <c r="P238" s="37" t="str">
        <f t="shared" si="44"/>
        <v/>
      </c>
      <c r="Q238" s="38" t="str">
        <f>IF($A238="","",MAX(0.001,'KT THAN'!$C$32*ABS(J238)/MAX(1,H238)))</f>
        <v/>
      </c>
      <c r="R238" s="38" t="str">
        <f>IF($A238="","",MAX(0.001,'KT THAN'!$D$32*ABS(I238)/MAX(1,H238)))</f>
        <v/>
      </c>
      <c r="S238" t="str">
        <f t="shared" si="38"/>
        <v/>
      </c>
    </row>
    <row r="239" spans="1:19" hidden="1" outlineLevel="1" x14ac:dyDescent="0.3">
      <c r="A239" s="37" t="str">
        <f>IF('TO HOP NLAN'!$A105="","",'TO HOP NLAN'!$A105)</f>
        <v/>
      </c>
      <c r="B239" s="38" t="str">
        <f>IF($A239="","",'TO HOP NLAN'!$D105)</f>
        <v/>
      </c>
      <c r="C239" s="38" t="str">
        <f>IF($A239="","",'TO HOP NLAN'!$E105)</f>
        <v/>
      </c>
      <c r="D239" s="38" t="str">
        <f>IF($A239="","",'TO HOP NLAN'!$F105)</f>
        <v/>
      </c>
      <c r="E239" s="38" t="str">
        <f>IF($A239="","",'TO HOP NLAN'!$B105)</f>
        <v/>
      </c>
      <c r="F239" s="38" t="str">
        <f>IF($A239="","",'TO HOP NLAN'!$C105)</f>
        <v/>
      </c>
      <c r="G239" s="38" t="str">
        <f t="shared" si="39"/>
        <v/>
      </c>
      <c r="H239" s="38" t="str">
        <f t="shared" si="37"/>
        <v/>
      </c>
      <c r="I239" s="38" t="str">
        <f t="shared" si="40"/>
        <v/>
      </c>
      <c r="J239" s="38" t="str">
        <f t="shared" si="41"/>
        <v/>
      </c>
      <c r="K239" s="38" t="str">
        <f t="shared" si="42"/>
        <v/>
      </c>
      <c r="L239" s="38" t="str">
        <f t="shared" si="43"/>
        <v/>
      </c>
      <c r="M239" s="38" t="str">
        <f>IF($A239="","",IF(H239=0,"",IF(Q239&lt;=0.000000001,MIN(0.8*0.75*'KT THAN'!$C$62,MAX('KT THAN'!$J$38:$J$58)),IFERROR(MIN(0.8*0.75*'KT THAN'!$C$62,INDEX('KT THAN'!$J$38:$J$58,MATCH(Q239,'KT THAN'!$L$38:$L$58,-1))+(INDEX('KT THAN'!$J$38:$J$58,MIN(21,MATCH(Q239,'KT THAN'!$L$38:$L$58,-1)+1))-INDEX('KT THAN'!$J$38:$J$58,MATCH(Q239,'KT THAN'!$L$38:$L$58,-1)))*(Q239-INDEX('KT THAN'!$L$38:$L$58,MATCH(Q239,'KT THAN'!$L$38:$L$58,-1)))/(INDEX('KT THAN'!$L$38:$L$58,MIN(21,MATCH(Q239,'KT THAN'!$L$38:$L$58,-1)+1))-INDEX('KT THAN'!$L$38:$L$58,MATCH(Q239,'KT THAN'!$L$38:$L$58,-1)))),MIN(0.8*0.75*'KT THAN'!$C$62,'KT THAN'!$C$68/Q239)))))</f>
        <v/>
      </c>
      <c r="N239" s="38" t="str">
        <f>IF($A239="","",IF(H239=0,"",IF(R239&lt;=0.000000001,MIN(0.8*0.75*'KT THAN'!$C$62,MAX('KT THAN'!$W$38:$W$58)),IFERROR(MIN(0.8*0.75*'KT THAN'!$C$62,INDEX('KT THAN'!$W$38:$W$58,MATCH(R239,'KT THAN'!$Y$38:$Y$58,-1))+(INDEX('KT THAN'!$W$38:$W$58,MIN(21,MATCH(R239,'KT THAN'!$Y$38:$Y$58,-1)+1))-INDEX('KT THAN'!$W$38:$W$58,MATCH(R239,'KT THAN'!$Y$38:$Y$58,-1)))*(R239-INDEX('KT THAN'!$Y$38:$Y$58,MATCH(R239,'KT THAN'!$Y$38:$Y$58,-1)))/(INDEX('KT THAN'!$Y$38:$Y$58,MIN(21,MATCH(R239,'KT THAN'!$Y$38:$Y$58,-1)+1))-INDEX('KT THAN'!$Y$38:$Y$58,MATCH(R239,'KT THAN'!$Y$38:$Y$58,-1)))),MIN(0.8*0.75*'KT THAN'!$C$62,'KT THAN'!$D$68/R239)))))</f>
        <v/>
      </c>
      <c r="O239" s="38" t="str">
        <f>IF($A239="","",IF(H239&lt;0,ABS(H239)/MAX('KT THAN'!$C$69,0.001)+'KT THAN'!$C$32*ABS(J239)/MAX('KT THAN'!$C$68,0.001)+'KT THAN'!$D$32*ABS(I239)/MAX('KT THAN'!$D$68,0.001),IF(OR(M239&lt;=0,N239&lt;=0),999,IF(H239&gt;=0.1*0.75*fc_*Agth*1000,H239/MAX(0.001,1/(1/M239+1/N239-1/(0.75*'KT THAN'!$C$62))),'KT THAN'!$C$32*ABS(J239)/MAX('KT THAN'!$C$68,0.001)+'KT THAN'!$D$32*ABS(I239)/MAX('KT THAN'!$D$68,0.001)))))</f>
        <v/>
      </c>
      <c r="P239" s="37" t="str">
        <f t="shared" si="44"/>
        <v/>
      </c>
      <c r="Q239" s="38" t="str">
        <f>IF($A239="","",MAX(0.001,'KT THAN'!$C$32*ABS(J239)/MAX(1,H239)))</f>
        <v/>
      </c>
      <c r="R239" s="38" t="str">
        <f>IF($A239="","",MAX(0.001,'KT THAN'!$D$32*ABS(I239)/MAX(1,H239)))</f>
        <v/>
      </c>
      <c r="S239" t="str">
        <f t="shared" si="38"/>
        <v/>
      </c>
    </row>
    <row r="240" spans="1:19" hidden="1" outlineLevel="1" x14ac:dyDescent="0.3">
      <c r="A240" s="37" t="str">
        <f>IF('TO HOP NLAN'!$A106="","",'TO HOP NLAN'!$A106)</f>
        <v/>
      </c>
      <c r="B240" s="38" t="str">
        <f>IF($A240="","",'TO HOP NLAN'!$D106)</f>
        <v/>
      </c>
      <c r="C240" s="38" t="str">
        <f>IF($A240="","",'TO HOP NLAN'!$E106)</f>
        <v/>
      </c>
      <c r="D240" s="38" t="str">
        <f>IF($A240="","",'TO HOP NLAN'!$F106)</f>
        <v/>
      </c>
      <c r="E240" s="38" t="str">
        <f>IF($A240="","",'TO HOP NLAN'!$B106)</f>
        <v/>
      </c>
      <c r="F240" s="38" t="str">
        <f>IF($A240="","",'TO HOP NLAN'!$C106)</f>
        <v/>
      </c>
      <c r="G240" s="38" t="str">
        <f t="shared" si="39"/>
        <v/>
      </c>
      <c r="H240" s="38" t="str">
        <f t="shared" si="37"/>
        <v/>
      </c>
      <c r="I240" s="38" t="str">
        <f t="shared" si="40"/>
        <v/>
      </c>
      <c r="J240" s="38" t="str">
        <f t="shared" si="41"/>
        <v/>
      </c>
      <c r="K240" s="38" t="str">
        <f t="shared" si="42"/>
        <v/>
      </c>
      <c r="L240" s="38" t="str">
        <f t="shared" si="43"/>
        <v/>
      </c>
      <c r="M240" s="38" t="str">
        <f>IF($A240="","",IF(H240=0,"",IF(Q240&lt;=0.000000001,MIN(0.8*0.75*'KT THAN'!$C$62,MAX('KT THAN'!$J$38:$J$58)),IFERROR(MIN(0.8*0.75*'KT THAN'!$C$62,INDEX('KT THAN'!$J$38:$J$58,MATCH(Q240,'KT THAN'!$L$38:$L$58,-1))+(INDEX('KT THAN'!$J$38:$J$58,MIN(21,MATCH(Q240,'KT THAN'!$L$38:$L$58,-1)+1))-INDEX('KT THAN'!$J$38:$J$58,MATCH(Q240,'KT THAN'!$L$38:$L$58,-1)))*(Q240-INDEX('KT THAN'!$L$38:$L$58,MATCH(Q240,'KT THAN'!$L$38:$L$58,-1)))/(INDEX('KT THAN'!$L$38:$L$58,MIN(21,MATCH(Q240,'KT THAN'!$L$38:$L$58,-1)+1))-INDEX('KT THAN'!$L$38:$L$58,MATCH(Q240,'KT THAN'!$L$38:$L$58,-1)))),MIN(0.8*0.75*'KT THAN'!$C$62,'KT THAN'!$C$68/Q240)))))</f>
        <v/>
      </c>
      <c r="N240" s="38" t="str">
        <f>IF($A240="","",IF(H240=0,"",IF(R240&lt;=0.000000001,MIN(0.8*0.75*'KT THAN'!$C$62,MAX('KT THAN'!$W$38:$W$58)),IFERROR(MIN(0.8*0.75*'KT THAN'!$C$62,INDEX('KT THAN'!$W$38:$W$58,MATCH(R240,'KT THAN'!$Y$38:$Y$58,-1))+(INDEX('KT THAN'!$W$38:$W$58,MIN(21,MATCH(R240,'KT THAN'!$Y$38:$Y$58,-1)+1))-INDEX('KT THAN'!$W$38:$W$58,MATCH(R240,'KT THAN'!$Y$38:$Y$58,-1)))*(R240-INDEX('KT THAN'!$Y$38:$Y$58,MATCH(R240,'KT THAN'!$Y$38:$Y$58,-1)))/(INDEX('KT THAN'!$Y$38:$Y$58,MIN(21,MATCH(R240,'KT THAN'!$Y$38:$Y$58,-1)+1))-INDEX('KT THAN'!$Y$38:$Y$58,MATCH(R240,'KT THAN'!$Y$38:$Y$58,-1)))),MIN(0.8*0.75*'KT THAN'!$C$62,'KT THAN'!$D$68/R240)))))</f>
        <v/>
      </c>
      <c r="O240" s="38" t="str">
        <f>IF($A240="","",IF(H240&lt;0,ABS(H240)/MAX('KT THAN'!$C$69,0.001)+'KT THAN'!$C$32*ABS(J240)/MAX('KT THAN'!$C$68,0.001)+'KT THAN'!$D$32*ABS(I240)/MAX('KT THAN'!$D$68,0.001),IF(OR(M240&lt;=0,N240&lt;=0),999,IF(H240&gt;=0.1*0.75*fc_*Agth*1000,H240/MAX(0.001,1/(1/M240+1/N240-1/(0.75*'KT THAN'!$C$62))),'KT THAN'!$C$32*ABS(J240)/MAX('KT THAN'!$C$68,0.001)+'KT THAN'!$D$32*ABS(I240)/MAX('KT THAN'!$D$68,0.001)))))</f>
        <v/>
      </c>
      <c r="P240" s="37" t="str">
        <f t="shared" si="44"/>
        <v/>
      </c>
      <c r="Q240" s="38" t="str">
        <f>IF($A240="","",MAX(0.001,'KT THAN'!$C$32*ABS(J240)/MAX(1,H240)))</f>
        <v/>
      </c>
      <c r="R240" s="38" t="str">
        <f>IF($A240="","",MAX(0.001,'KT THAN'!$D$32*ABS(I240)/MAX(1,H240)))</f>
        <v/>
      </c>
      <c r="S240" t="str">
        <f t="shared" si="38"/>
        <v/>
      </c>
    </row>
    <row r="241" spans="1:19" hidden="1" outlineLevel="1" x14ac:dyDescent="0.3">
      <c r="A241" s="37" t="str">
        <f>IF('TO HOP NLAN'!$A107="","",'TO HOP NLAN'!$A107)</f>
        <v/>
      </c>
      <c r="B241" s="38" t="str">
        <f>IF($A241="","",'TO HOP NLAN'!$D107)</f>
        <v/>
      </c>
      <c r="C241" s="38" t="str">
        <f>IF($A241="","",'TO HOP NLAN'!$E107)</f>
        <v/>
      </c>
      <c r="D241" s="38" t="str">
        <f>IF($A241="","",'TO HOP NLAN'!$F107)</f>
        <v/>
      </c>
      <c r="E241" s="38" t="str">
        <f>IF($A241="","",'TO HOP NLAN'!$B107)</f>
        <v/>
      </c>
      <c r="F241" s="38" t="str">
        <f>IF($A241="","",'TO HOP NLAN'!$C107)</f>
        <v/>
      </c>
      <c r="G241" s="38" t="str">
        <f t="shared" si="39"/>
        <v/>
      </c>
      <c r="H241" s="38" t="str">
        <f t="shared" si="37"/>
        <v/>
      </c>
      <c r="I241" s="38" t="str">
        <f t="shared" si="40"/>
        <v/>
      </c>
      <c r="J241" s="38" t="str">
        <f t="shared" si="41"/>
        <v/>
      </c>
      <c r="K241" s="38" t="str">
        <f t="shared" si="42"/>
        <v/>
      </c>
      <c r="L241" s="38" t="str">
        <f t="shared" si="43"/>
        <v/>
      </c>
      <c r="M241" s="38" t="str">
        <f>IF($A241="","",IF(H241=0,"",IF(Q241&lt;=0.000000001,MIN(0.8*0.75*'KT THAN'!$C$62,MAX('KT THAN'!$J$38:$J$58)),IFERROR(MIN(0.8*0.75*'KT THAN'!$C$62,INDEX('KT THAN'!$J$38:$J$58,MATCH(Q241,'KT THAN'!$L$38:$L$58,-1))+(INDEX('KT THAN'!$J$38:$J$58,MIN(21,MATCH(Q241,'KT THAN'!$L$38:$L$58,-1)+1))-INDEX('KT THAN'!$J$38:$J$58,MATCH(Q241,'KT THAN'!$L$38:$L$58,-1)))*(Q241-INDEX('KT THAN'!$L$38:$L$58,MATCH(Q241,'KT THAN'!$L$38:$L$58,-1)))/(INDEX('KT THAN'!$L$38:$L$58,MIN(21,MATCH(Q241,'KT THAN'!$L$38:$L$58,-1)+1))-INDEX('KT THAN'!$L$38:$L$58,MATCH(Q241,'KT THAN'!$L$38:$L$58,-1)))),MIN(0.8*0.75*'KT THAN'!$C$62,'KT THAN'!$C$68/Q241)))))</f>
        <v/>
      </c>
      <c r="N241" s="38" t="str">
        <f>IF($A241="","",IF(H241=0,"",IF(R241&lt;=0.000000001,MIN(0.8*0.75*'KT THAN'!$C$62,MAX('KT THAN'!$W$38:$W$58)),IFERROR(MIN(0.8*0.75*'KT THAN'!$C$62,INDEX('KT THAN'!$W$38:$W$58,MATCH(R241,'KT THAN'!$Y$38:$Y$58,-1))+(INDEX('KT THAN'!$W$38:$W$58,MIN(21,MATCH(R241,'KT THAN'!$Y$38:$Y$58,-1)+1))-INDEX('KT THAN'!$W$38:$W$58,MATCH(R241,'KT THAN'!$Y$38:$Y$58,-1)))*(R241-INDEX('KT THAN'!$Y$38:$Y$58,MATCH(R241,'KT THAN'!$Y$38:$Y$58,-1)))/(INDEX('KT THAN'!$Y$38:$Y$58,MIN(21,MATCH(R241,'KT THAN'!$Y$38:$Y$58,-1)+1))-INDEX('KT THAN'!$Y$38:$Y$58,MATCH(R241,'KT THAN'!$Y$38:$Y$58,-1)))),MIN(0.8*0.75*'KT THAN'!$C$62,'KT THAN'!$D$68/R241)))))</f>
        <v/>
      </c>
      <c r="O241" s="38" t="str">
        <f>IF($A241="","",IF(H241&lt;0,ABS(H241)/MAX('KT THAN'!$C$69,0.001)+'KT THAN'!$C$32*ABS(J241)/MAX('KT THAN'!$C$68,0.001)+'KT THAN'!$D$32*ABS(I241)/MAX('KT THAN'!$D$68,0.001),IF(OR(M241&lt;=0,N241&lt;=0),999,IF(H241&gt;=0.1*0.75*fc_*Agth*1000,H241/MAX(0.001,1/(1/M241+1/N241-1/(0.75*'KT THAN'!$C$62))),'KT THAN'!$C$32*ABS(J241)/MAX('KT THAN'!$C$68,0.001)+'KT THAN'!$D$32*ABS(I241)/MAX('KT THAN'!$D$68,0.001)))))</f>
        <v/>
      </c>
      <c r="P241" s="37" t="str">
        <f t="shared" si="44"/>
        <v/>
      </c>
      <c r="Q241" s="38" t="str">
        <f>IF($A241="","",MAX(0.001,'KT THAN'!$C$32*ABS(J241)/MAX(1,H241)))</f>
        <v/>
      </c>
      <c r="R241" s="38" t="str">
        <f>IF($A241="","",MAX(0.001,'KT THAN'!$D$32*ABS(I241)/MAX(1,H241)))</f>
        <v/>
      </c>
      <c r="S241" t="str">
        <f t="shared" si="38"/>
        <v/>
      </c>
    </row>
    <row r="242" spans="1:19" hidden="1" outlineLevel="1" x14ac:dyDescent="0.3">
      <c r="A242" s="37" t="str">
        <f>IF('TO HOP NLAN'!$A108="","",'TO HOP NLAN'!$A108)</f>
        <v/>
      </c>
      <c r="B242" s="38" t="str">
        <f>IF($A242="","",'TO HOP NLAN'!$D108)</f>
        <v/>
      </c>
      <c r="C242" s="38" t="str">
        <f>IF($A242="","",'TO HOP NLAN'!$E108)</f>
        <v/>
      </c>
      <c r="D242" s="38" t="str">
        <f>IF($A242="","",'TO HOP NLAN'!$F108)</f>
        <v/>
      </c>
      <c r="E242" s="38" t="str">
        <f>IF($A242="","",'TO HOP NLAN'!$B108)</f>
        <v/>
      </c>
      <c r="F242" s="38" t="str">
        <f>IF($A242="","",'TO HOP NLAN'!$C108)</f>
        <v/>
      </c>
      <c r="G242" s="38" t="str">
        <f t="shared" si="39"/>
        <v/>
      </c>
      <c r="H242" s="38" t="str">
        <f t="shared" si="37"/>
        <v/>
      </c>
      <c r="I242" s="38" t="str">
        <f t="shared" si="40"/>
        <v/>
      </c>
      <c r="J242" s="38" t="str">
        <f t="shared" si="41"/>
        <v/>
      </c>
      <c r="K242" s="38" t="str">
        <f t="shared" si="42"/>
        <v/>
      </c>
      <c r="L242" s="38" t="str">
        <f t="shared" si="43"/>
        <v/>
      </c>
      <c r="M242" s="38" t="str">
        <f>IF($A242="","",IF(H242=0,"",IF(Q242&lt;=0.000000001,MIN(0.8*0.75*'KT THAN'!$C$62,MAX('KT THAN'!$J$38:$J$58)),IFERROR(MIN(0.8*0.75*'KT THAN'!$C$62,INDEX('KT THAN'!$J$38:$J$58,MATCH(Q242,'KT THAN'!$L$38:$L$58,-1))+(INDEX('KT THAN'!$J$38:$J$58,MIN(21,MATCH(Q242,'KT THAN'!$L$38:$L$58,-1)+1))-INDEX('KT THAN'!$J$38:$J$58,MATCH(Q242,'KT THAN'!$L$38:$L$58,-1)))*(Q242-INDEX('KT THAN'!$L$38:$L$58,MATCH(Q242,'KT THAN'!$L$38:$L$58,-1)))/(INDEX('KT THAN'!$L$38:$L$58,MIN(21,MATCH(Q242,'KT THAN'!$L$38:$L$58,-1)+1))-INDEX('KT THAN'!$L$38:$L$58,MATCH(Q242,'KT THAN'!$L$38:$L$58,-1)))),MIN(0.8*0.75*'KT THAN'!$C$62,'KT THAN'!$C$68/Q242)))))</f>
        <v/>
      </c>
      <c r="N242" s="38" t="str">
        <f>IF($A242="","",IF(H242=0,"",IF(R242&lt;=0.000000001,MIN(0.8*0.75*'KT THAN'!$C$62,MAX('KT THAN'!$W$38:$W$58)),IFERROR(MIN(0.8*0.75*'KT THAN'!$C$62,INDEX('KT THAN'!$W$38:$W$58,MATCH(R242,'KT THAN'!$Y$38:$Y$58,-1))+(INDEX('KT THAN'!$W$38:$W$58,MIN(21,MATCH(R242,'KT THAN'!$Y$38:$Y$58,-1)+1))-INDEX('KT THAN'!$W$38:$W$58,MATCH(R242,'KT THAN'!$Y$38:$Y$58,-1)))*(R242-INDEX('KT THAN'!$Y$38:$Y$58,MATCH(R242,'KT THAN'!$Y$38:$Y$58,-1)))/(INDEX('KT THAN'!$Y$38:$Y$58,MIN(21,MATCH(R242,'KT THAN'!$Y$38:$Y$58,-1)+1))-INDEX('KT THAN'!$Y$38:$Y$58,MATCH(R242,'KT THAN'!$Y$38:$Y$58,-1)))),MIN(0.8*0.75*'KT THAN'!$C$62,'KT THAN'!$D$68/R242)))))</f>
        <v/>
      </c>
      <c r="O242" s="38" t="str">
        <f>IF($A242="","",IF(H242&lt;0,ABS(H242)/MAX('KT THAN'!$C$69,0.001)+'KT THAN'!$C$32*ABS(J242)/MAX('KT THAN'!$C$68,0.001)+'KT THAN'!$D$32*ABS(I242)/MAX('KT THAN'!$D$68,0.001),IF(OR(M242&lt;=0,N242&lt;=0),999,IF(H242&gt;=0.1*0.75*fc_*Agth*1000,H242/MAX(0.001,1/(1/M242+1/N242-1/(0.75*'KT THAN'!$C$62))),'KT THAN'!$C$32*ABS(J242)/MAX('KT THAN'!$C$68,0.001)+'KT THAN'!$D$32*ABS(I242)/MAX('KT THAN'!$D$68,0.001)))))</f>
        <v/>
      </c>
      <c r="P242" s="37" t="str">
        <f t="shared" si="44"/>
        <v/>
      </c>
      <c r="Q242" s="38" t="str">
        <f>IF($A242="","",MAX(0.001,'KT THAN'!$C$32*ABS(J242)/MAX(1,H242)))</f>
        <v/>
      </c>
      <c r="R242" s="38" t="str">
        <f>IF($A242="","",MAX(0.001,'KT THAN'!$D$32*ABS(I242)/MAX(1,H242)))</f>
        <v/>
      </c>
      <c r="S242" t="str">
        <f t="shared" si="38"/>
        <v/>
      </c>
    </row>
    <row r="243" spans="1:19" hidden="1" outlineLevel="1" x14ac:dyDescent="0.3">
      <c r="A243" s="37" t="str">
        <f>IF('TO HOP NLAN'!$A109="","",'TO HOP NLAN'!$A109)</f>
        <v/>
      </c>
      <c r="B243" s="38" t="str">
        <f>IF($A243="","",'TO HOP NLAN'!$D109)</f>
        <v/>
      </c>
      <c r="C243" s="38" t="str">
        <f>IF($A243="","",'TO HOP NLAN'!$E109)</f>
        <v/>
      </c>
      <c r="D243" s="38" t="str">
        <f>IF($A243="","",'TO HOP NLAN'!$F109)</f>
        <v/>
      </c>
      <c r="E243" s="38" t="str">
        <f>IF($A243="","",'TO HOP NLAN'!$B109)</f>
        <v/>
      </c>
      <c r="F243" s="38" t="str">
        <f>IF($A243="","",'TO HOP NLAN'!$C109)</f>
        <v/>
      </c>
      <c r="G243" s="38" t="str">
        <f t="shared" si="39"/>
        <v/>
      </c>
      <c r="H243" s="38" t="str">
        <f t="shared" si="37"/>
        <v/>
      </c>
      <c r="I243" s="38" t="str">
        <f t="shared" si="40"/>
        <v/>
      </c>
      <c r="J243" s="38" t="str">
        <f t="shared" si="41"/>
        <v/>
      </c>
      <c r="K243" s="38" t="str">
        <f t="shared" si="42"/>
        <v/>
      </c>
      <c r="L243" s="38" t="str">
        <f t="shared" si="43"/>
        <v/>
      </c>
      <c r="M243" s="38" t="str">
        <f>IF($A243="","",IF(H243=0,"",IF(Q243&lt;=0.000000001,MIN(0.8*0.75*'KT THAN'!$C$62,MAX('KT THAN'!$J$38:$J$58)),IFERROR(MIN(0.8*0.75*'KT THAN'!$C$62,INDEX('KT THAN'!$J$38:$J$58,MATCH(Q243,'KT THAN'!$L$38:$L$58,-1))+(INDEX('KT THAN'!$J$38:$J$58,MIN(21,MATCH(Q243,'KT THAN'!$L$38:$L$58,-1)+1))-INDEX('KT THAN'!$J$38:$J$58,MATCH(Q243,'KT THAN'!$L$38:$L$58,-1)))*(Q243-INDEX('KT THAN'!$L$38:$L$58,MATCH(Q243,'KT THAN'!$L$38:$L$58,-1)))/(INDEX('KT THAN'!$L$38:$L$58,MIN(21,MATCH(Q243,'KT THAN'!$L$38:$L$58,-1)+1))-INDEX('KT THAN'!$L$38:$L$58,MATCH(Q243,'KT THAN'!$L$38:$L$58,-1)))),MIN(0.8*0.75*'KT THAN'!$C$62,'KT THAN'!$C$68/Q243)))))</f>
        <v/>
      </c>
      <c r="N243" s="38" t="str">
        <f>IF($A243="","",IF(H243=0,"",IF(R243&lt;=0.000000001,MIN(0.8*0.75*'KT THAN'!$C$62,MAX('KT THAN'!$W$38:$W$58)),IFERROR(MIN(0.8*0.75*'KT THAN'!$C$62,INDEX('KT THAN'!$W$38:$W$58,MATCH(R243,'KT THAN'!$Y$38:$Y$58,-1))+(INDEX('KT THAN'!$W$38:$W$58,MIN(21,MATCH(R243,'KT THAN'!$Y$38:$Y$58,-1)+1))-INDEX('KT THAN'!$W$38:$W$58,MATCH(R243,'KT THAN'!$Y$38:$Y$58,-1)))*(R243-INDEX('KT THAN'!$Y$38:$Y$58,MATCH(R243,'KT THAN'!$Y$38:$Y$58,-1)))/(INDEX('KT THAN'!$Y$38:$Y$58,MIN(21,MATCH(R243,'KT THAN'!$Y$38:$Y$58,-1)+1))-INDEX('KT THAN'!$Y$38:$Y$58,MATCH(R243,'KT THAN'!$Y$38:$Y$58,-1)))),MIN(0.8*0.75*'KT THAN'!$C$62,'KT THAN'!$D$68/R243)))))</f>
        <v/>
      </c>
      <c r="O243" s="38" t="str">
        <f>IF($A243="","",IF(H243&lt;0,ABS(H243)/MAX('KT THAN'!$C$69,0.001)+'KT THAN'!$C$32*ABS(J243)/MAX('KT THAN'!$C$68,0.001)+'KT THAN'!$D$32*ABS(I243)/MAX('KT THAN'!$D$68,0.001),IF(OR(M243&lt;=0,N243&lt;=0),999,IF(H243&gt;=0.1*0.75*fc_*Agth*1000,H243/MAX(0.001,1/(1/M243+1/N243-1/(0.75*'KT THAN'!$C$62))),'KT THAN'!$C$32*ABS(J243)/MAX('KT THAN'!$C$68,0.001)+'KT THAN'!$D$32*ABS(I243)/MAX('KT THAN'!$D$68,0.001)))))</f>
        <v/>
      </c>
      <c r="P243" s="37" t="str">
        <f t="shared" si="44"/>
        <v/>
      </c>
      <c r="Q243" s="38" t="str">
        <f>IF($A243="","",MAX(0.001,'KT THAN'!$C$32*ABS(J243)/MAX(1,H243)))</f>
        <v/>
      </c>
      <c r="R243" s="38" t="str">
        <f>IF($A243="","",MAX(0.001,'KT THAN'!$D$32*ABS(I243)/MAX(1,H243)))</f>
        <v/>
      </c>
      <c r="S243" t="str">
        <f t="shared" si="38"/>
        <v/>
      </c>
    </row>
    <row r="244" spans="1:19" hidden="1" outlineLevel="1" x14ac:dyDescent="0.3">
      <c r="A244" s="37" t="str">
        <f>IF('TO HOP NLAN'!$A110="","",'TO HOP NLAN'!$A110)</f>
        <v/>
      </c>
      <c r="B244" s="38" t="str">
        <f>IF($A244="","",'TO HOP NLAN'!$D110)</f>
        <v/>
      </c>
      <c r="C244" s="38" t="str">
        <f>IF($A244="","",'TO HOP NLAN'!$E110)</f>
        <v/>
      </c>
      <c r="D244" s="38" t="str">
        <f>IF($A244="","",'TO HOP NLAN'!$F110)</f>
        <v/>
      </c>
      <c r="E244" s="38" t="str">
        <f>IF($A244="","",'TO HOP NLAN'!$B110)</f>
        <v/>
      </c>
      <c r="F244" s="38" t="str">
        <f>IF($A244="","",'TO HOP NLAN'!$C110)</f>
        <v/>
      </c>
      <c r="G244" s="38" t="str">
        <f t="shared" si="39"/>
        <v/>
      </c>
      <c r="H244" s="38" t="str">
        <f t="shared" si="37"/>
        <v/>
      </c>
      <c r="I244" s="38" t="str">
        <f t="shared" si="40"/>
        <v/>
      </c>
      <c r="J244" s="38" t="str">
        <f t="shared" si="41"/>
        <v/>
      </c>
      <c r="K244" s="38" t="str">
        <f t="shared" si="42"/>
        <v/>
      </c>
      <c r="L244" s="38" t="str">
        <f t="shared" si="43"/>
        <v/>
      </c>
      <c r="M244" s="38" t="str">
        <f>IF($A244="","",IF(H244=0,"",IF(Q244&lt;=0.000000001,MIN(0.8*0.75*'KT THAN'!$C$62,MAX('KT THAN'!$J$38:$J$58)),IFERROR(MIN(0.8*0.75*'KT THAN'!$C$62,INDEX('KT THAN'!$J$38:$J$58,MATCH(Q244,'KT THAN'!$L$38:$L$58,-1))+(INDEX('KT THAN'!$J$38:$J$58,MIN(21,MATCH(Q244,'KT THAN'!$L$38:$L$58,-1)+1))-INDEX('KT THAN'!$J$38:$J$58,MATCH(Q244,'KT THAN'!$L$38:$L$58,-1)))*(Q244-INDEX('KT THAN'!$L$38:$L$58,MATCH(Q244,'KT THAN'!$L$38:$L$58,-1)))/(INDEX('KT THAN'!$L$38:$L$58,MIN(21,MATCH(Q244,'KT THAN'!$L$38:$L$58,-1)+1))-INDEX('KT THAN'!$L$38:$L$58,MATCH(Q244,'KT THAN'!$L$38:$L$58,-1)))),MIN(0.8*0.75*'KT THAN'!$C$62,'KT THAN'!$C$68/Q244)))))</f>
        <v/>
      </c>
      <c r="N244" s="38" t="str">
        <f>IF($A244="","",IF(H244=0,"",IF(R244&lt;=0.000000001,MIN(0.8*0.75*'KT THAN'!$C$62,MAX('KT THAN'!$W$38:$W$58)),IFERROR(MIN(0.8*0.75*'KT THAN'!$C$62,INDEX('KT THAN'!$W$38:$W$58,MATCH(R244,'KT THAN'!$Y$38:$Y$58,-1))+(INDEX('KT THAN'!$W$38:$W$58,MIN(21,MATCH(R244,'KT THAN'!$Y$38:$Y$58,-1)+1))-INDEX('KT THAN'!$W$38:$W$58,MATCH(R244,'KT THAN'!$Y$38:$Y$58,-1)))*(R244-INDEX('KT THAN'!$Y$38:$Y$58,MATCH(R244,'KT THAN'!$Y$38:$Y$58,-1)))/(INDEX('KT THAN'!$Y$38:$Y$58,MIN(21,MATCH(R244,'KT THAN'!$Y$38:$Y$58,-1)+1))-INDEX('KT THAN'!$Y$38:$Y$58,MATCH(R244,'KT THAN'!$Y$38:$Y$58,-1)))),MIN(0.8*0.75*'KT THAN'!$C$62,'KT THAN'!$D$68/R244)))))</f>
        <v/>
      </c>
      <c r="O244" s="38" t="str">
        <f>IF($A244="","",IF(H244&lt;0,ABS(H244)/MAX('KT THAN'!$C$69,0.001)+'KT THAN'!$C$32*ABS(J244)/MAX('KT THAN'!$C$68,0.001)+'KT THAN'!$D$32*ABS(I244)/MAX('KT THAN'!$D$68,0.001),IF(OR(M244&lt;=0,N244&lt;=0),999,IF(H244&gt;=0.1*0.75*fc_*Agth*1000,H244/MAX(0.001,1/(1/M244+1/N244-1/(0.75*'KT THAN'!$C$62))),'KT THAN'!$C$32*ABS(J244)/MAX('KT THAN'!$C$68,0.001)+'KT THAN'!$D$32*ABS(I244)/MAX('KT THAN'!$D$68,0.001)))))</f>
        <v/>
      </c>
      <c r="P244" s="37" t="str">
        <f t="shared" si="44"/>
        <v/>
      </c>
      <c r="Q244" s="38" t="str">
        <f>IF($A244="","",MAX(0.001,'KT THAN'!$C$32*ABS(J244)/MAX(1,H244)))</f>
        <v/>
      </c>
      <c r="R244" s="38" t="str">
        <f>IF($A244="","",MAX(0.001,'KT THAN'!$D$32*ABS(I244)/MAX(1,H244)))</f>
        <v/>
      </c>
      <c r="S244" t="str">
        <f t="shared" si="38"/>
        <v/>
      </c>
    </row>
    <row r="245" spans="1:19" hidden="1" outlineLevel="1" x14ac:dyDescent="0.3">
      <c r="A245" s="37" t="str">
        <f>IF('TO HOP NLAN'!$A111="","",'TO HOP NLAN'!$A111)</f>
        <v/>
      </c>
      <c r="B245" s="38" t="str">
        <f>IF($A245="","",'TO HOP NLAN'!$D111)</f>
        <v/>
      </c>
      <c r="C245" s="38" t="str">
        <f>IF($A245="","",'TO HOP NLAN'!$E111)</f>
        <v/>
      </c>
      <c r="D245" s="38" t="str">
        <f>IF($A245="","",'TO HOP NLAN'!$F111)</f>
        <v/>
      </c>
      <c r="E245" s="38" t="str">
        <f>IF($A245="","",'TO HOP NLAN'!$B111)</f>
        <v/>
      </c>
      <c r="F245" s="38" t="str">
        <f>IF($A245="","",'TO HOP NLAN'!$C111)</f>
        <v/>
      </c>
      <c r="G245" s="38" t="str">
        <f t="shared" si="39"/>
        <v/>
      </c>
      <c r="H245" s="38" t="str">
        <f t="shared" si="37"/>
        <v/>
      </c>
      <c r="I245" s="38" t="str">
        <f t="shared" si="40"/>
        <v/>
      </c>
      <c r="J245" s="38" t="str">
        <f t="shared" si="41"/>
        <v/>
      </c>
      <c r="K245" s="38" t="str">
        <f t="shared" si="42"/>
        <v/>
      </c>
      <c r="L245" s="38" t="str">
        <f t="shared" si="43"/>
        <v/>
      </c>
      <c r="M245" s="38" t="str">
        <f>IF($A245="","",IF(H245=0,"",IF(Q245&lt;=0.000000001,MIN(0.8*0.75*'KT THAN'!$C$62,MAX('KT THAN'!$J$38:$J$58)),IFERROR(MIN(0.8*0.75*'KT THAN'!$C$62,INDEX('KT THAN'!$J$38:$J$58,MATCH(Q245,'KT THAN'!$L$38:$L$58,-1))+(INDEX('KT THAN'!$J$38:$J$58,MIN(21,MATCH(Q245,'KT THAN'!$L$38:$L$58,-1)+1))-INDEX('KT THAN'!$J$38:$J$58,MATCH(Q245,'KT THAN'!$L$38:$L$58,-1)))*(Q245-INDEX('KT THAN'!$L$38:$L$58,MATCH(Q245,'KT THAN'!$L$38:$L$58,-1)))/(INDEX('KT THAN'!$L$38:$L$58,MIN(21,MATCH(Q245,'KT THAN'!$L$38:$L$58,-1)+1))-INDEX('KT THAN'!$L$38:$L$58,MATCH(Q245,'KT THAN'!$L$38:$L$58,-1)))),MIN(0.8*0.75*'KT THAN'!$C$62,'KT THAN'!$C$68/Q245)))))</f>
        <v/>
      </c>
      <c r="N245" s="38" t="str">
        <f>IF($A245="","",IF(H245=0,"",IF(R245&lt;=0.000000001,MIN(0.8*0.75*'KT THAN'!$C$62,MAX('KT THAN'!$W$38:$W$58)),IFERROR(MIN(0.8*0.75*'KT THAN'!$C$62,INDEX('KT THAN'!$W$38:$W$58,MATCH(R245,'KT THAN'!$Y$38:$Y$58,-1))+(INDEX('KT THAN'!$W$38:$W$58,MIN(21,MATCH(R245,'KT THAN'!$Y$38:$Y$58,-1)+1))-INDEX('KT THAN'!$W$38:$W$58,MATCH(R245,'KT THAN'!$Y$38:$Y$58,-1)))*(R245-INDEX('KT THAN'!$Y$38:$Y$58,MATCH(R245,'KT THAN'!$Y$38:$Y$58,-1)))/(INDEX('KT THAN'!$Y$38:$Y$58,MIN(21,MATCH(R245,'KT THAN'!$Y$38:$Y$58,-1)+1))-INDEX('KT THAN'!$Y$38:$Y$58,MATCH(R245,'KT THAN'!$Y$38:$Y$58,-1)))),MIN(0.8*0.75*'KT THAN'!$C$62,'KT THAN'!$D$68/R245)))))</f>
        <v/>
      </c>
      <c r="O245" s="38" t="str">
        <f>IF($A245="","",IF(H245&lt;0,ABS(H245)/MAX('KT THAN'!$C$69,0.001)+'KT THAN'!$C$32*ABS(J245)/MAX('KT THAN'!$C$68,0.001)+'KT THAN'!$D$32*ABS(I245)/MAX('KT THAN'!$D$68,0.001),IF(OR(M245&lt;=0,N245&lt;=0),999,IF(H245&gt;=0.1*0.75*fc_*Agth*1000,H245/MAX(0.001,1/(1/M245+1/N245-1/(0.75*'KT THAN'!$C$62))),'KT THAN'!$C$32*ABS(J245)/MAX('KT THAN'!$C$68,0.001)+'KT THAN'!$D$32*ABS(I245)/MAX('KT THAN'!$D$68,0.001)))))</f>
        <v/>
      </c>
      <c r="P245" s="37" t="str">
        <f t="shared" si="44"/>
        <v/>
      </c>
      <c r="Q245" s="38" t="str">
        <f>IF($A245="","",MAX(0.001,'KT THAN'!$C$32*ABS(J245)/MAX(1,H245)))</f>
        <v/>
      </c>
      <c r="R245" s="38" t="str">
        <f>IF($A245="","",MAX(0.001,'KT THAN'!$D$32*ABS(I245)/MAX(1,H245)))</f>
        <v/>
      </c>
      <c r="S245" t="str">
        <f t="shared" si="38"/>
        <v/>
      </c>
    </row>
    <row r="246" spans="1:19" hidden="1" outlineLevel="1" x14ac:dyDescent="0.3">
      <c r="A246" s="37" t="str">
        <f>IF('TO HOP NLAN'!$A112="","",'TO HOP NLAN'!$A112)</f>
        <v/>
      </c>
      <c r="B246" s="38" t="str">
        <f>IF($A246="","",'TO HOP NLAN'!$D112)</f>
        <v/>
      </c>
      <c r="C246" s="38" t="str">
        <f>IF($A246="","",'TO HOP NLAN'!$E112)</f>
        <v/>
      </c>
      <c r="D246" s="38" t="str">
        <f>IF($A246="","",'TO HOP NLAN'!$F112)</f>
        <v/>
      </c>
      <c r="E246" s="38" t="str">
        <f>IF($A246="","",'TO HOP NLAN'!$B112)</f>
        <v/>
      </c>
      <c r="F246" s="38" t="str">
        <f>IF($A246="","",'TO HOP NLAN'!$C112)</f>
        <v/>
      </c>
      <c r="G246" s="38" t="str">
        <f t="shared" si="39"/>
        <v/>
      </c>
      <c r="H246" s="38" t="str">
        <f t="shared" si="37"/>
        <v/>
      </c>
      <c r="I246" s="38" t="str">
        <f t="shared" si="40"/>
        <v/>
      </c>
      <c r="J246" s="38" t="str">
        <f t="shared" si="41"/>
        <v/>
      </c>
      <c r="K246" s="38" t="str">
        <f t="shared" si="42"/>
        <v/>
      </c>
      <c r="L246" s="38" t="str">
        <f t="shared" si="43"/>
        <v/>
      </c>
      <c r="M246" s="38" t="str">
        <f>IF($A246="","",IF(H246=0,"",IF(Q246&lt;=0.000000001,MIN(0.8*0.75*'KT THAN'!$C$62,MAX('KT THAN'!$J$38:$J$58)),IFERROR(MIN(0.8*0.75*'KT THAN'!$C$62,INDEX('KT THAN'!$J$38:$J$58,MATCH(Q246,'KT THAN'!$L$38:$L$58,-1))+(INDEX('KT THAN'!$J$38:$J$58,MIN(21,MATCH(Q246,'KT THAN'!$L$38:$L$58,-1)+1))-INDEX('KT THAN'!$J$38:$J$58,MATCH(Q246,'KT THAN'!$L$38:$L$58,-1)))*(Q246-INDEX('KT THAN'!$L$38:$L$58,MATCH(Q246,'KT THAN'!$L$38:$L$58,-1)))/(INDEX('KT THAN'!$L$38:$L$58,MIN(21,MATCH(Q246,'KT THAN'!$L$38:$L$58,-1)+1))-INDEX('KT THAN'!$L$38:$L$58,MATCH(Q246,'KT THAN'!$L$38:$L$58,-1)))),MIN(0.8*0.75*'KT THAN'!$C$62,'KT THAN'!$C$68/Q246)))))</f>
        <v/>
      </c>
      <c r="N246" s="38" t="str">
        <f>IF($A246="","",IF(H246=0,"",IF(R246&lt;=0.000000001,MIN(0.8*0.75*'KT THAN'!$C$62,MAX('KT THAN'!$W$38:$W$58)),IFERROR(MIN(0.8*0.75*'KT THAN'!$C$62,INDEX('KT THAN'!$W$38:$W$58,MATCH(R246,'KT THAN'!$Y$38:$Y$58,-1))+(INDEX('KT THAN'!$W$38:$W$58,MIN(21,MATCH(R246,'KT THAN'!$Y$38:$Y$58,-1)+1))-INDEX('KT THAN'!$W$38:$W$58,MATCH(R246,'KT THAN'!$Y$38:$Y$58,-1)))*(R246-INDEX('KT THAN'!$Y$38:$Y$58,MATCH(R246,'KT THAN'!$Y$38:$Y$58,-1)))/(INDEX('KT THAN'!$Y$38:$Y$58,MIN(21,MATCH(R246,'KT THAN'!$Y$38:$Y$58,-1)+1))-INDEX('KT THAN'!$Y$38:$Y$58,MATCH(R246,'KT THAN'!$Y$38:$Y$58,-1)))),MIN(0.8*0.75*'KT THAN'!$C$62,'KT THAN'!$D$68/R246)))))</f>
        <v/>
      </c>
      <c r="O246" s="38" t="str">
        <f>IF($A246="","",IF(H246&lt;0,ABS(H246)/MAX('KT THAN'!$C$69,0.001)+'KT THAN'!$C$32*ABS(J246)/MAX('KT THAN'!$C$68,0.001)+'KT THAN'!$D$32*ABS(I246)/MAX('KT THAN'!$D$68,0.001),IF(OR(M246&lt;=0,N246&lt;=0),999,IF(H246&gt;=0.1*0.75*fc_*Agth*1000,H246/MAX(0.001,1/(1/M246+1/N246-1/(0.75*'KT THAN'!$C$62))),'KT THAN'!$C$32*ABS(J246)/MAX('KT THAN'!$C$68,0.001)+'KT THAN'!$D$32*ABS(I246)/MAX('KT THAN'!$D$68,0.001)))))</f>
        <v/>
      </c>
      <c r="P246" s="37" t="str">
        <f t="shared" si="44"/>
        <v/>
      </c>
      <c r="Q246" s="38" t="str">
        <f>IF($A246="","",MAX(0.001,'KT THAN'!$C$32*ABS(J246)/MAX(1,H246)))</f>
        <v/>
      </c>
      <c r="R246" s="38" t="str">
        <f>IF($A246="","",MAX(0.001,'KT THAN'!$D$32*ABS(I246)/MAX(1,H246)))</f>
        <v/>
      </c>
      <c r="S246" t="str">
        <f t="shared" si="38"/>
        <v/>
      </c>
    </row>
    <row r="247" spans="1:19" hidden="1" outlineLevel="1" x14ac:dyDescent="0.3">
      <c r="A247" s="37" t="str">
        <f>IF('TO HOP NLAN'!$A113="","",'TO HOP NLAN'!$A113)</f>
        <v/>
      </c>
      <c r="B247" s="38" t="str">
        <f>IF($A247="","",'TO HOP NLAN'!$D113)</f>
        <v/>
      </c>
      <c r="C247" s="38" t="str">
        <f>IF($A247="","",'TO HOP NLAN'!$E113)</f>
        <v/>
      </c>
      <c r="D247" s="38" t="str">
        <f>IF($A247="","",'TO HOP NLAN'!$F113)</f>
        <v/>
      </c>
      <c r="E247" s="38" t="str">
        <f>IF($A247="","",'TO HOP NLAN'!$B113)</f>
        <v/>
      </c>
      <c r="F247" s="38" t="str">
        <f>IF($A247="","",'TO HOP NLAN'!$C113)</f>
        <v/>
      </c>
      <c r="G247" s="38" t="str">
        <f t="shared" si="39"/>
        <v/>
      </c>
      <c r="H247" s="38" t="str">
        <f t="shared" si="37"/>
        <v/>
      </c>
      <c r="I247" s="38" t="str">
        <f t="shared" si="40"/>
        <v/>
      </c>
      <c r="J247" s="38" t="str">
        <f t="shared" si="41"/>
        <v/>
      </c>
      <c r="K247" s="38" t="str">
        <f t="shared" si="42"/>
        <v/>
      </c>
      <c r="L247" s="38" t="str">
        <f t="shared" si="43"/>
        <v/>
      </c>
      <c r="M247" s="38" t="str">
        <f>IF($A247="","",IF(H247=0,"",IF(Q247&lt;=0.000000001,MIN(0.8*0.75*'KT THAN'!$C$62,MAX('KT THAN'!$J$38:$J$58)),IFERROR(MIN(0.8*0.75*'KT THAN'!$C$62,INDEX('KT THAN'!$J$38:$J$58,MATCH(Q247,'KT THAN'!$L$38:$L$58,-1))+(INDEX('KT THAN'!$J$38:$J$58,MIN(21,MATCH(Q247,'KT THAN'!$L$38:$L$58,-1)+1))-INDEX('KT THAN'!$J$38:$J$58,MATCH(Q247,'KT THAN'!$L$38:$L$58,-1)))*(Q247-INDEX('KT THAN'!$L$38:$L$58,MATCH(Q247,'KT THAN'!$L$38:$L$58,-1)))/(INDEX('KT THAN'!$L$38:$L$58,MIN(21,MATCH(Q247,'KT THAN'!$L$38:$L$58,-1)+1))-INDEX('KT THAN'!$L$38:$L$58,MATCH(Q247,'KT THAN'!$L$38:$L$58,-1)))),MIN(0.8*0.75*'KT THAN'!$C$62,'KT THAN'!$C$68/Q247)))))</f>
        <v/>
      </c>
      <c r="N247" s="38" t="str">
        <f>IF($A247="","",IF(H247=0,"",IF(R247&lt;=0.000000001,MIN(0.8*0.75*'KT THAN'!$C$62,MAX('KT THAN'!$W$38:$W$58)),IFERROR(MIN(0.8*0.75*'KT THAN'!$C$62,INDEX('KT THAN'!$W$38:$W$58,MATCH(R247,'KT THAN'!$Y$38:$Y$58,-1))+(INDEX('KT THAN'!$W$38:$W$58,MIN(21,MATCH(R247,'KT THAN'!$Y$38:$Y$58,-1)+1))-INDEX('KT THAN'!$W$38:$W$58,MATCH(R247,'KT THAN'!$Y$38:$Y$58,-1)))*(R247-INDEX('KT THAN'!$Y$38:$Y$58,MATCH(R247,'KT THAN'!$Y$38:$Y$58,-1)))/(INDEX('KT THAN'!$Y$38:$Y$58,MIN(21,MATCH(R247,'KT THAN'!$Y$38:$Y$58,-1)+1))-INDEX('KT THAN'!$Y$38:$Y$58,MATCH(R247,'KT THAN'!$Y$38:$Y$58,-1)))),MIN(0.8*0.75*'KT THAN'!$C$62,'KT THAN'!$D$68/R247)))))</f>
        <v/>
      </c>
      <c r="O247" s="38" t="str">
        <f>IF($A247="","",IF(H247&lt;0,ABS(H247)/MAX('KT THAN'!$C$69,0.001)+'KT THAN'!$C$32*ABS(J247)/MAX('KT THAN'!$C$68,0.001)+'KT THAN'!$D$32*ABS(I247)/MAX('KT THAN'!$D$68,0.001),IF(OR(M247&lt;=0,N247&lt;=0),999,IF(H247&gt;=0.1*0.75*fc_*Agth*1000,H247/MAX(0.001,1/(1/M247+1/N247-1/(0.75*'KT THAN'!$C$62))),'KT THAN'!$C$32*ABS(J247)/MAX('KT THAN'!$C$68,0.001)+'KT THAN'!$D$32*ABS(I247)/MAX('KT THAN'!$D$68,0.001)))))</f>
        <v/>
      </c>
      <c r="P247" s="37" t="str">
        <f t="shared" si="44"/>
        <v/>
      </c>
      <c r="Q247" s="38" t="str">
        <f>IF($A247="","",MAX(0.001,'KT THAN'!$C$32*ABS(J247)/MAX(1,H247)))</f>
        <v/>
      </c>
      <c r="R247" s="38" t="str">
        <f>IF($A247="","",MAX(0.001,'KT THAN'!$D$32*ABS(I247)/MAX(1,H247)))</f>
        <v/>
      </c>
      <c r="S247" t="str">
        <f t="shared" si="38"/>
        <v/>
      </c>
    </row>
    <row r="248" spans="1:19" hidden="1" outlineLevel="1" x14ac:dyDescent="0.3">
      <c r="A248" s="37" t="str">
        <f>IF('TO HOP NLAN'!$A114="","",'TO HOP NLAN'!$A114)</f>
        <v/>
      </c>
      <c r="B248" s="38" t="str">
        <f>IF($A248="","",'TO HOP NLAN'!$D114)</f>
        <v/>
      </c>
      <c r="C248" s="38" t="str">
        <f>IF($A248="","",'TO HOP NLAN'!$E114)</f>
        <v/>
      </c>
      <c r="D248" s="38" t="str">
        <f>IF($A248="","",'TO HOP NLAN'!$F114)</f>
        <v/>
      </c>
      <c r="E248" s="38" t="str">
        <f>IF($A248="","",'TO HOP NLAN'!$B114)</f>
        <v/>
      </c>
      <c r="F248" s="38" t="str">
        <f>IF($A248="","",'TO HOP NLAN'!$C114)</f>
        <v/>
      </c>
      <c r="G248" s="38" t="str">
        <f t="shared" si="39"/>
        <v/>
      </c>
      <c r="H248" s="38" t="str">
        <f t="shared" si="37"/>
        <v/>
      </c>
      <c r="I248" s="38" t="str">
        <f t="shared" si="40"/>
        <v/>
      </c>
      <c r="J248" s="38" t="str">
        <f t="shared" si="41"/>
        <v/>
      </c>
      <c r="K248" s="38" t="str">
        <f t="shared" si="42"/>
        <v/>
      </c>
      <c r="L248" s="38" t="str">
        <f t="shared" si="43"/>
        <v/>
      </c>
      <c r="M248" s="38" t="str">
        <f>IF($A248="","",IF(H248=0,"",IF(Q248&lt;=0.000000001,MIN(0.8*0.75*'KT THAN'!$C$62,MAX('KT THAN'!$J$38:$J$58)),IFERROR(MIN(0.8*0.75*'KT THAN'!$C$62,INDEX('KT THAN'!$J$38:$J$58,MATCH(Q248,'KT THAN'!$L$38:$L$58,-1))+(INDEX('KT THAN'!$J$38:$J$58,MIN(21,MATCH(Q248,'KT THAN'!$L$38:$L$58,-1)+1))-INDEX('KT THAN'!$J$38:$J$58,MATCH(Q248,'KT THAN'!$L$38:$L$58,-1)))*(Q248-INDEX('KT THAN'!$L$38:$L$58,MATCH(Q248,'KT THAN'!$L$38:$L$58,-1)))/(INDEX('KT THAN'!$L$38:$L$58,MIN(21,MATCH(Q248,'KT THAN'!$L$38:$L$58,-1)+1))-INDEX('KT THAN'!$L$38:$L$58,MATCH(Q248,'KT THAN'!$L$38:$L$58,-1)))),MIN(0.8*0.75*'KT THAN'!$C$62,'KT THAN'!$C$68/Q248)))))</f>
        <v/>
      </c>
      <c r="N248" s="38" t="str">
        <f>IF($A248="","",IF(H248=0,"",IF(R248&lt;=0.000000001,MIN(0.8*0.75*'KT THAN'!$C$62,MAX('KT THAN'!$W$38:$W$58)),IFERROR(MIN(0.8*0.75*'KT THAN'!$C$62,INDEX('KT THAN'!$W$38:$W$58,MATCH(R248,'KT THAN'!$Y$38:$Y$58,-1))+(INDEX('KT THAN'!$W$38:$W$58,MIN(21,MATCH(R248,'KT THAN'!$Y$38:$Y$58,-1)+1))-INDEX('KT THAN'!$W$38:$W$58,MATCH(R248,'KT THAN'!$Y$38:$Y$58,-1)))*(R248-INDEX('KT THAN'!$Y$38:$Y$58,MATCH(R248,'KT THAN'!$Y$38:$Y$58,-1)))/(INDEX('KT THAN'!$Y$38:$Y$58,MIN(21,MATCH(R248,'KT THAN'!$Y$38:$Y$58,-1)+1))-INDEX('KT THAN'!$Y$38:$Y$58,MATCH(R248,'KT THAN'!$Y$38:$Y$58,-1)))),MIN(0.8*0.75*'KT THAN'!$C$62,'KT THAN'!$D$68/R248)))))</f>
        <v/>
      </c>
      <c r="O248" s="38" t="str">
        <f>IF($A248="","",IF(H248&lt;0,ABS(H248)/MAX('KT THAN'!$C$69,0.001)+'KT THAN'!$C$32*ABS(J248)/MAX('KT THAN'!$C$68,0.001)+'KT THAN'!$D$32*ABS(I248)/MAX('KT THAN'!$D$68,0.001),IF(OR(M248&lt;=0,N248&lt;=0),999,IF(H248&gt;=0.1*0.75*fc_*Agth*1000,H248/MAX(0.001,1/(1/M248+1/N248-1/(0.75*'KT THAN'!$C$62))),'KT THAN'!$C$32*ABS(J248)/MAX('KT THAN'!$C$68,0.001)+'KT THAN'!$D$32*ABS(I248)/MAX('KT THAN'!$D$68,0.001)))))</f>
        <v/>
      </c>
      <c r="P248" s="37" t="str">
        <f t="shared" si="44"/>
        <v/>
      </c>
      <c r="Q248" s="38" t="str">
        <f>IF($A248="","",MAX(0.001,'KT THAN'!$C$32*ABS(J248)/MAX(1,H248)))</f>
        <v/>
      </c>
      <c r="R248" s="38" t="str">
        <f>IF($A248="","",MAX(0.001,'KT THAN'!$D$32*ABS(I248)/MAX(1,H248)))</f>
        <v/>
      </c>
      <c r="S248" t="str">
        <f t="shared" si="38"/>
        <v/>
      </c>
    </row>
    <row r="249" spans="1:19" hidden="1" outlineLevel="1" x14ac:dyDescent="0.3">
      <c r="A249" s="37" t="str">
        <f>IF('TO HOP NLAN'!$A115="","",'TO HOP NLAN'!$A115)</f>
        <v/>
      </c>
      <c r="B249" s="38" t="str">
        <f>IF($A249="","",'TO HOP NLAN'!$D115)</f>
        <v/>
      </c>
      <c r="C249" s="38" t="str">
        <f>IF($A249="","",'TO HOP NLAN'!$E115)</f>
        <v/>
      </c>
      <c r="D249" s="38" t="str">
        <f>IF($A249="","",'TO HOP NLAN'!$F115)</f>
        <v/>
      </c>
      <c r="E249" s="38" t="str">
        <f>IF($A249="","",'TO HOP NLAN'!$B115)</f>
        <v/>
      </c>
      <c r="F249" s="38" t="str">
        <f>IF($A249="","",'TO HOP NLAN'!$C115)</f>
        <v/>
      </c>
      <c r="G249" s="38" t="str">
        <f t="shared" si="39"/>
        <v/>
      </c>
      <c r="H249" s="38" t="str">
        <f t="shared" si="37"/>
        <v/>
      </c>
      <c r="I249" s="38" t="str">
        <f t="shared" si="40"/>
        <v/>
      </c>
      <c r="J249" s="38" t="str">
        <f t="shared" si="41"/>
        <v/>
      </c>
      <c r="K249" s="38" t="str">
        <f t="shared" si="42"/>
        <v/>
      </c>
      <c r="L249" s="38" t="str">
        <f t="shared" si="43"/>
        <v/>
      </c>
      <c r="M249" s="38" t="str">
        <f>IF($A249="","",IF(H249=0,"",IF(Q249&lt;=0.000000001,MIN(0.8*0.75*'KT THAN'!$C$62,MAX('KT THAN'!$J$38:$J$58)),IFERROR(MIN(0.8*0.75*'KT THAN'!$C$62,INDEX('KT THAN'!$J$38:$J$58,MATCH(Q249,'KT THAN'!$L$38:$L$58,-1))+(INDEX('KT THAN'!$J$38:$J$58,MIN(21,MATCH(Q249,'KT THAN'!$L$38:$L$58,-1)+1))-INDEX('KT THAN'!$J$38:$J$58,MATCH(Q249,'KT THAN'!$L$38:$L$58,-1)))*(Q249-INDEX('KT THAN'!$L$38:$L$58,MATCH(Q249,'KT THAN'!$L$38:$L$58,-1)))/(INDEX('KT THAN'!$L$38:$L$58,MIN(21,MATCH(Q249,'KT THAN'!$L$38:$L$58,-1)+1))-INDEX('KT THAN'!$L$38:$L$58,MATCH(Q249,'KT THAN'!$L$38:$L$58,-1)))),MIN(0.8*0.75*'KT THAN'!$C$62,'KT THAN'!$C$68/Q249)))))</f>
        <v/>
      </c>
      <c r="N249" s="38" t="str">
        <f>IF($A249="","",IF(H249=0,"",IF(R249&lt;=0.000000001,MIN(0.8*0.75*'KT THAN'!$C$62,MAX('KT THAN'!$W$38:$W$58)),IFERROR(MIN(0.8*0.75*'KT THAN'!$C$62,INDEX('KT THAN'!$W$38:$W$58,MATCH(R249,'KT THAN'!$Y$38:$Y$58,-1))+(INDEX('KT THAN'!$W$38:$W$58,MIN(21,MATCH(R249,'KT THAN'!$Y$38:$Y$58,-1)+1))-INDEX('KT THAN'!$W$38:$W$58,MATCH(R249,'KT THAN'!$Y$38:$Y$58,-1)))*(R249-INDEX('KT THAN'!$Y$38:$Y$58,MATCH(R249,'KT THAN'!$Y$38:$Y$58,-1)))/(INDEX('KT THAN'!$Y$38:$Y$58,MIN(21,MATCH(R249,'KT THAN'!$Y$38:$Y$58,-1)+1))-INDEX('KT THAN'!$Y$38:$Y$58,MATCH(R249,'KT THAN'!$Y$38:$Y$58,-1)))),MIN(0.8*0.75*'KT THAN'!$C$62,'KT THAN'!$D$68/R249)))))</f>
        <v/>
      </c>
      <c r="O249" s="38" t="str">
        <f>IF($A249="","",IF(H249&lt;0,ABS(H249)/MAX('KT THAN'!$C$69,0.001)+'KT THAN'!$C$32*ABS(J249)/MAX('KT THAN'!$C$68,0.001)+'KT THAN'!$D$32*ABS(I249)/MAX('KT THAN'!$D$68,0.001),IF(OR(M249&lt;=0,N249&lt;=0),999,IF(H249&gt;=0.1*0.75*fc_*Agth*1000,H249/MAX(0.001,1/(1/M249+1/N249-1/(0.75*'KT THAN'!$C$62))),'KT THAN'!$C$32*ABS(J249)/MAX('KT THAN'!$C$68,0.001)+'KT THAN'!$D$32*ABS(I249)/MAX('KT THAN'!$D$68,0.001)))))</f>
        <v/>
      </c>
      <c r="P249" s="37" t="str">
        <f t="shared" si="44"/>
        <v/>
      </c>
      <c r="Q249" s="38" t="str">
        <f>IF($A249="","",MAX(0.001,'KT THAN'!$C$32*ABS(J249)/MAX(1,H249)))</f>
        <v/>
      </c>
      <c r="R249" s="38" t="str">
        <f>IF($A249="","",MAX(0.001,'KT THAN'!$D$32*ABS(I249)/MAX(1,H249)))</f>
        <v/>
      </c>
      <c r="S249" t="str">
        <f t="shared" si="38"/>
        <v/>
      </c>
    </row>
    <row r="250" spans="1:19" hidden="1" outlineLevel="1" x14ac:dyDescent="0.3">
      <c r="A250" s="37" t="str">
        <f>IF('TO HOP NLAN'!$A116="","",'TO HOP NLAN'!$A116)</f>
        <v/>
      </c>
      <c r="B250" s="38" t="str">
        <f>IF($A250="","",'TO HOP NLAN'!$D116)</f>
        <v/>
      </c>
      <c r="C250" s="38" t="str">
        <f>IF($A250="","",'TO HOP NLAN'!$E116)</f>
        <v/>
      </c>
      <c r="D250" s="38" t="str">
        <f>IF($A250="","",'TO HOP NLAN'!$F116)</f>
        <v/>
      </c>
      <c r="E250" s="38" t="str">
        <f>IF($A250="","",'TO HOP NLAN'!$B116)</f>
        <v/>
      </c>
      <c r="F250" s="38" t="str">
        <f>IF($A250="","",'TO HOP NLAN'!$C116)</f>
        <v/>
      </c>
      <c r="G250" s="38" t="str">
        <f t="shared" si="39"/>
        <v/>
      </c>
      <c r="H250" s="38" t="str">
        <f t="shared" si="37"/>
        <v/>
      </c>
      <c r="I250" s="38" t="str">
        <f t="shared" si="40"/>
        <v/>
      </c>
      <c r="J250" s="38" t="str">
        <f t="shared" si="41"/>
        <v/>
      </c>
      <c r="K250" s="38" t="str">
        <f t="shared" si="42"/>
        <v/>
      </c>
      <c r="L250" s="38" t="str">
        <f t="shared" si="43"/>
        <v/>
      </c>
      <c r="M250" s="38" t="str">
        <f>IF($A250="","",IF(H250=0,"",IF(Q250&lt;=0.000000001,MIN(0.8*0.75*'KT THAN'!$C$62,MAX('KT THAN'!$J$38:$J$58)),IFERROR(MIN(0.8*0.75*'KT THAN'!$C$62,INDEX('KT THAN'!$J$38:$J$58,MATCH(Q250,'KT THAN'!$L$38:$L$58,-1))+(INDEX('KT THAN'!$J$38:$J$58,MIN(21,MATCH(Q250,'KT THAN'!$L$38:$L$58,-1)+1))-INDEX('KT THAN'!$J$38:$J$58,MATCH(Q250,'KT THAN'!$L$38:$L$58,-1)))*(Q250-INDEX('KT THAN'!$L$38:$L$58,MATCH(Q250,'KT THAN'!$L$38:$L$58,-1)))/(INDEX('KT THAN'!$L$38:$L$58,MIN(21,MATCH(Q250,'KT THAN'!$L$38:$L$58,-1)+1))-INDEX('KT THAN'!$L$38:$L$58,MATCH(Q250,'KT THAN'!$L$38:$L$58,-1)))),MIN(0.8*0.75*'KT THAN'!$C$62,'KT THAN'!$C$68/Q250)))))</f>
        <v/>
      </c>
      <c r="N250" s="38" t="str">
        <f>IF($A250="","",IF(H250=0,"",IF(R250&lt;=0.000000001,MIN(0.8*0.75*'KT THAN'!$C$62,MAX('KT THAN'!$W$38:$W$58)),IFERROR(MIN(0.8*0.75*'KT THAN'!$C$62,INDEX('KT THAN'!$W$38:$W$58,MATCH(R250,'KT THAN'!$Y$38:$Y$58,-1))+(INDEX('KT THAN'!$W$38:$W$58,MIN(21,MATCH(R250,'KT THAN'!$Y$38:$Y$58,-1)+1))-INDEX('KT THAN'!$W$38:$W$58,MATCH(R250,'KT THAN'!$Y$38:$Y$58,-1)))*(R250-INDEX('KT THAN'!$Y$38:$Y$58,MATCH(R250,'KT THAN'!$Y$38:$Y$58,-1)))/(INDEX('KT THAN'!$Y$38:$Y$58,MIN(21,MATCH(R250,'KT THAN'!$Y$38:$Y$58,-1)+1))-INDEX('KT THAN'!$Y$38:$Y$58,MATCH(R250,'KT THAN'!$Y$38:$Y$58,-1)))),MIN(0.8*0.75*'KT THAN'!$C$62,'KT THAN'!$D$68/R250)))))</f>
        <v/>
      </c>
      <c r="O250" s="38" t="str">
        <f>IF($A250="","",IF(H250&lt;0,ABS(H250)/MAX('KT THAN'!$C$69,0.001)+'KT THAN'!$C$32*ABS(J250)/MAX('KT THAN'!$C$68,0.001)+'KT THAN'!$D$32*ABS(I250)/MAX('KT THAN'!$D$68,0.001),IF(OR(M250&lt;=0,N250&lt;=0),999,IF(H250&gt;=0.1*0.75*fc_*Agth*1000,H250/MAX(0.001,1/(1/M250+1/N250-1/(0.75*'KT THAN'!$C$62))),'KT THAN'!$C$32*ABS(J250)/MAX('KT THAN'!$C$68,0.001)+'KT THAN'!$D$32*ABS(I250)/MAX('KT THAN'!$D$68,0.001)))))</f>
        <v/>
      </c>
      <c r="P250" s="37" t="str">
        <f t="shared" si="44"/>
        <v/>
      </c>
      <c r="Q250" s="38" t="str">
        <f>IF($A250="","",MAX(0.001,'KT THAN'!$C$32*ABS(J250)/MAX(1,H250)))</f>
        <v/>
      </c>
      <c r="R250" s="38" t="str">
        <f>IF($A250="","",MAX(0.001,'KT THAN'!$D$32*ABS(I250)/MAX(1,H250)))</f>
        <v/>
      </c>
      <c r="S250" t="str">
        <f t="shared" si="38"/>
        <v/>
      </c>
    </row>
    <row r="251" spans="1:19" hidden="1" outlineLevel="1" x14ac:dyDescent="0.3">
      <c r="A251" s="37" t="str">
        <f>IF('TO HOP NLAN'!$A117="","",'TO HOP NLAN'!$A117)</f>
        <v/>
      </c>
      <c r="B251" s="38" t="str">
        <f>IF($A251="","",'TO HOP NLAN'!$D117)</f>
        <v/>
      </c>
      <c r="C251" s="38" t="str">
        <f>IF($A251="","",'TO HOP NLAN'!$E117)</f>
        <v/>
      </c>
      <c r="D251" s="38" t="str">
        <f>IF($A251="","",'TO HOP NLAN'!$F117)</f>
        <v/>
      </c>
      <c r="E251" s="38" t="str">
        <f>IF($A251="","",'TO HOP NLAN'!$B117)</f>
        <v/>
      </c>
      <c r="F251" s="38" t="str">
        <f>IF($A251="","",'TO HOP NLAN'!$C117)</f>
        <v/>
      </c>
      <c r="G251" s="38" t="str">
        <f t="shared" si="39"/>
        <v/>
      </c>
      <c r="H251" s="38" t="str">
        <f t="shared" si="37"/>
        <v/>
      </c>
      <c r="I251" s="38" t="str">
        <f t="shared" si="40"/>
        <v/>
      </c>
      <c r="J251" s="38" t="str">
        <f t="shared" si="41"/>
        <v/>
      </c>
      <c r="K251" s="38" t="str">
        <f t="shared" si="42"/>
        <v/>
      </c>
      <c r="L251" s="38" t="str">
        <f t="shared" si="43"/>
        <v/>
      </c>
      <c r="M251" s="38" t="str">
        <f>IF($A251="","",IF(H251=0,"",IF(Q251&lt;=0.000000001,MIN(0.8*0.75*'KT THAN'!$C$62,MAX('KT THAN'!$J$38:$J$58)),IFERROR(MIN(0.8*0.75*'KT THAN'!$C$62,INDEX('KT THAN'!$J$38:$J$58,MATCH(Q251,'KT THAN'!$L$38:$L$58,-1))+(INDEX('KT THAN'!$J$38:$J$58,MIN(21,MATCH(Q251,'KT THAN'!$L$38:$L$58,-1)+1))-INDEX('KT THAN'!$J$38:$J$58,MATCH(Q251,'KT THAN'!$L$38:$L$58,-1)))*(Q251-INDEX('KT THAN'!$L$38:$L$58,MATCH(Q251,'KT THAN'!$L$38:$L$58,-1)))/(INDEX('KT THAN'!$L$38:$L$58,MIN(21,MATCH(Q251,'KT THAN'!$L$38:$L$58,-1)+1))-INDEX('KT THAN'!$L$38:$L$58,MATCH(Q251,'KT THAN'!$L$38:$L$58,-1)))),MIN(0.8*0.75*'KT THAN'!$C$62,'KT THAN'!$C$68/Q251)))))</f>
        <v/>
      </c>
      <c r="N251" s="38" t="str">
        <f>IF($A251="","",IF(H251=0,"",IF(R251&lt;=0.000000001,MIN(0.8*0.75*'KT THAN'!$C$62,MAX('KT THAN'!$W$38:$W$58)),IFERROR(MIN(0.8*0.75*'KT THAN'!$C$62,INDEX('KT THAN'!$W$38:$W$58,MATCH(R251,'KT THAN'!$Y$38:$Y$58,-1))+(INDEX('KT THAN'!$W$38:$W$58,MIN(21,MATCH(R251,'KT THAN'!$Y$38:$Y$58,-1)+1))-INDEX('KT THAN'!$W$38:$W$58,MATCH(R251,'KT THAN'!$Y$38:$Y$58,-1)))*(R251-INDEX('KT THAN'!$Y$38:$Y$58,MATCH(R251,'KT THAN'!$Y$38:$Y$58,-1)))/(INDEX('KT THAN'!$Y$38:$Y$58,MIN(21,MATCH(R251,'KT THAN'!$Y$38:$Y$58,-1)+1))-INDEX('KT THAN'!$Y$38:$Y$58,MATCH(R251,'KT THAN'!$Y$38:$Y$58,-1)))),MIN(0.8*0.75*'KT THAN'!$C$62,'KT THAN'!$D$68/R251)))))</f>
        <v/>
      </c>
      <c r="O251" s="38" t="str">
        <f>IF($A251="","",IF(H251&lt;0,ABS(H251)/MAX('KT THAN'!$C$69,0.001)+'KT THAN'!$C$32*ABS(J251)/MAX('KT THAN'!$C$68,0.001)+'KT THAN'!$D$32*ABS(I251)/MAX('KT THAN'!$D$68,0.001),IF(OR(M251&lt;=0,N251&lt;=0),999,IF(H251&gt;=0.1*0.75*fc_*Agth*1000,H251/MAX(0.001,1/(1/M251+1/N251-1/(0.75*'KT THAN'!$C$62))),'KT THAN'!$C$32*ABS(J251)/MAX('KT THAN'!$C$68,0.001)+'KT THAN'!$D$32*ABS(I251)/MAX('KT THAN'!$D$68,0.001)))))</f>
        <v/>
      </c>
      <c r="P251" s="37" t="str">
        <f t="shared" si="44"/>
        <v/>
      </c>
      <c r="Q251" s="38" t="str">
        <f>IF($A251="","",MAX(0.001,'KT THAN'!$C$32*ABS(J251)/MAX(1,H251)))</f>
        <v/>
      </c>
      <c r="R251" s="38" t="str">
        <f>IF($A251="","",MAX(0.001,'KT THAN'!$D$32*ABS(I251)/MAX(1,H251)))</f>
        <v/>
      </c>
      <c r="S251" t="str">
        <f t="shared" si="38"/>
        <v/>
      </c>
    </row>
    <row r="252" spans="1:19" hidden="1" outlineLevel="1" x14ac:dyDescent="0.3">
      <c r="A252" s="37" t="str">
        <f>IF('TO HOP NLAN'!$A118="","",'TO HOP NLAN'!$A118)</f>
        <v/>
      </c>
      <c r="B252" s="38" t="str">
        <f>IF($A252="","",'TO HOP NLAN'!$D118)</f>
        <v/>
      </c>
      <c r="C252" s="38" t="str">
        <f>IF($A252="","",'TO HOP NLAN'!$E118)</f>
        <v/>
      </c>
      <c r="D252" s="38" t="str">
        <f>IF($A252="","",'TO HOP NLAN'!$F118)</f>
        <v/>
      </c>
      <c r="E252" s="38" t="str">
        <f>IF($A252="","",'TO HOP NLAN'!$B118)</f>
        <v/>
      </c>
      <c r="F252" s="38" t="str">
        <f>IF($A252="","",'TO HOP NLAN'!$C118)</f>
        <v/>
      </c>
      <c r="G252" s="38" t="str">
        <f t="shared" si="39"/>
        <v/>
      </c>
      <c r="H252" s="38" t="str">
        <f t="shared" si="37"/>
        <v/>
      </c>
      <c r="I252" s="38" t="str">
        <f t="shared" si="40"/>
        <v/>
      </c>
      <c r="J252" s="38" t="str">
        <f t="shared" si="41"/>
        <v/>
      </c>
      <c r="K252" s="38" t="str">
        <f t="shared" si="42"/>
        <v/>
      </c>
      <c r="L252" s="38" t="str">
        <f t="shared" si="43"/>
        <v/>
      </c>
      <c r="M252" s="38" t="str">
        <f>IF($A252="","",IF(H252=0,"",IF(Q252&lt;=0.000000001,MIN(0.8*0.75*'KT THAN'!$C$62,MAX('KT THAN'!$J$38:$J$58)),IFERROR(MIN(0.8*0.75*'KT THAN'!$C$62,INDEX('KT THAN'!$J$38:$J$58,MATCH(Q252,'KT THAN'!$L$38:$L$58,-1))+(INDEX('KT THAN'!$J$38:$J$58,MIN(21,MATCH(Q252,'KT THAN'!$L$38:$L$58,-1)+1))-INDEX('KT THAN'!$J$38:$J$58,MATCH(Q252,'KT THAN'!$L$38:$L$58,-1)))*(Q252-INDEX('KT THAN'!$L$38:$L$58,MATCH(Q252,'KT THAN'!$L$38:$L$58,-1)))/(INDEX('KT THAN'!$L$38:$L$58,MIN(21,MATCH(Q252,'KT THAN'!$L$38:$L$58,-1)+1))-INDEX('KT THAN'!$L$38:$L$58,MATCH(Q252,'KT THAN'!$L$38:$L$58,-1)))),MIN(0.8*0.75*'KT THAN'!$C$62,'KT THAN'!$C$68/Q252)))))</f>
        <v/>
      </c>
      <c r="N252" s="38" t="str">
        <f>IF($A252="","",IF(H252=0,"",IF(R252&lt;=0.000000001,MIN(0.8*0.75*'KT THAN'!$C$62,MAX('KT THAN'!$W$38:$W$58)),IFERROR(MIN(0.8*0.75*'KT THAN'!$C$62,INDEX('KT THAN'!$W$38:$W$58,MATCH(R252,'KT THAN'!$Y$38:$Y$58,-1))+(INDEX('KT THAN'!$W$38:$W$58,MIN(21,MATCH(R252,'KT THAN'!$Y$38:$Y$58,-1)+1))-INDEX('KT THAN'!$W$38:$W$58,MATCH(R252,'KT THAN'!$Y$38:$Y$58,-1)))*(R252-INDEX('KT THAN'!$Y$38:$Y$58,MATCH(R252,'KT THAN'!$Y$38:$Y$58,-1)))/(INDEX('KT THAN'!$Y$38:$Y$58,MIN(21,MATCH(R252,'KT THAN'!$Y$38:$Y$58,-1)+1))-INDEX('KT THAN'!$Y$38:$Y$58,MATCH(R252,'KT THAN'!$Y$38:$Y$58,-1)))),MIN(0.8*0.75*'KT THAN'!$C$62,'KT THAN'!$D$68/R252)))))</f>
        <v/>
      </c>
      <c r="O252" s="38" t="str">
        <f>IF($A252="","",IF(H252&lt;0,ABS(H252)/MAX('KT THAN'!$C$69,0.001)+'KT THAN'!$C$32*ABS(J252)/MAX('KT THAN'!$C$68,0.001)+'KT THAN'!$D$32*ABS(I252)/MAX('KT THAN'!$D$68,0.001),IF(OR(M252&lt;=0,N252&lt;=0),999,IF(H252&gt;=0.1*0.75*fc_*Agth*1000,H252/MAX(0.001,1/(1/M252+1/N252-1/(0.75*'KT THAN'!$C$62))),'KT THAN'!$C$32*ABS(J252)/MAX('KT THAN'!$C$68,0.001)+'KT THAN'!$D$32*ABS(I252)/MAX('KT THAN'!$D$68,0.001)))))</f>
        <v/>
      </c>
      <c r="P252" s="37" t="str">
        <f t="shared" si="44"/>
        <v/>
      </c>
      <c r="Q252" s="38" t="str">
        <f>IF($A252="","",MAX(0.001,'KT THAN'!$C$32*ABS(J252)/MAX(1,H252)))</f>
        <v/>
      </c>
      <c r="R252" s="38" t="str">
        <f>IF($A252="","",MAX(0.001,'KT THAN'!$D$32*ABS(I252)/MAX(1,H252)))</f>
        <v/>
      </c>
      <c r="S252" t="str">
        <f t="shared" si="38"/>
        <v/>
      </c>
    </row>
    <row r="253" spans="1:19" hidden="1" outlineLevel="1" x14ac:dyDescent="0.3">
      <c r="A253" s="37" t="str">
        <f>IF('TO HOP NLAN'!$A119="","",'TO HOP NLAN'!$A119)</f>
        <v/>
      </c>
      <c r="B253" s="38" t="str">
        <f>IF($A253="","",'TO HOP NLAN'!$D119)</f>
        <v/>
      </c>
      <c r="C253" s="38" t="str">
        <f>IF($A253="","",'TO HOP NLAN'!$E119)</f>
        <v/>
      </c>
      <c r="D253" s="38" t="str">
        <f>IF($A253="","",'TO HOP NLAN'!$F119)</f>
        <v/>
      </c>
      <c r="E253" s="38" t="str">
        <f>IF($A253="","",'TO HOP NLAN'!$B119)</f>
        <v/>
      </c>
      <c r="F253" s="38" t="str">
        <f>IF($A253="","",'TO HOP NLAN'!$C119)</f>
        <v/>
      </c>
      <c r="G253" s="38" t="str">
        <f t="shared" si="39"/>
        <v/>
      </c>
      <c r="H253" s="38" t="str">
        <f t="shared" si="37"/>
        <v/>
      </c>
      <c r="I253" s="38" t="str">
        <f t="shared" si="40"/>
        <v/>
      </c>
      <c r="J253" s="38" t="str">
        <f t="shared" si="41"/>
        <v/>
      </c>
      <c r="K253" s="38" t="str">
        <f t="shared" si="42"/>
        <v/>
      </c>
      <c r="L253" s="38" t="str">
        <f t="shared" si="43"/>
        <v/>
      </c>
      <c r="M253" s="38" t="str">
        <f>IF($A253="","",IF(H253=0,"",IF(Q253&lt;=0.000000001,MIN(0.8*0.75*'KT THAN'!$C$62,MAX('KT THAN'!$J$38:$J$58)),IFERROR(MIN(0.8*0.75*'KT THAN'!$C$62,INDEX('KT THAN'!$J$38:$J$58,MATCH(Q253,'KT THAN'!$L$38:$L$58,-1))+(INDEX('KT THAN'!$J$38:$J$58,MIN(21,MATCH(Q253,'KT THAN'!$L$38:$L$58,-1)+1))-INDEX('KT THAN'!$J$38:$J$58,MATCH(Q253,'KT THAN'!$L$38:$L$58,-1)))*(Q253-INDEX('KT THAN'!$L$38:$L$58,MATCH(Q253,'KT THAN'!$L$38:$L$58,-1)))/(INDEX('KT THAN'!$L$38:$L$58,MIN(21,MATCH(Q253,'KT THAN'!$L$38:$L$58,-1)+1))-INDEX('KT THAN'!$L$38:$L$58,MATCH(Q253,'KT THAN'!$L$38:$L$58,-1)))),MIN(0.8*0.75*'KT THAN'!$C$62,'KT THAN'!$C$68/Q253)))))</f>
        <v/>
      </c>
      <c r="N253" s="38" t="str">
        <f>IF($A253="","",IF(H253=0,"",IF(R253&lt;=0.000000001,MIN(0.8*0.75*'KT THAN'!$C$62,MAX('KT THAN'!$W$38:$W$58)),IFERROR(MIN(0.8*0.75*'KT THAN'!$C$62,INDEX('KT THAN'!$W$38:$W$58,MATCH(R253,'KT THAN'!$Y$38:$Y$58,-1))+(INDEX('KT THAN'!$W$38:$W$58,MIN(21,MATCH(R253,'KT THAN'!$Y$38:$Y$58,-1)+1))-INDEX('KT THAN'!$W$38:$W$58,MATCH(R253,'KT THAN'!$Y$38:$Y$58,-1)))*(R253-INDEX('KT THAN'!$Y$38:$Y$58,MATCH(R253,'KT THAN'!$Y$38:$Y$58,-1)))/(INDEX('KT THAN'!$Y$38:$Y$58,MIN(21,MATCH(R253,'KT THAN'!$Y$38:$Y$58,-1)+1))-INDEX('KT THAN'!$Y$38:$Y$58,MATCH(R253,'KT THAN'!$Y$38:$Y$58,-1)))),MIN(0.8*0.75*'KT THAN'!$C$62,'KT THAN'!$D$68/R253)))))</f>
        <v/>
      </c>
      <c r="O253" s="38" t="str">
        <f>IF($A253="","",IF(H253&lt;0,ABS(H253)/MAX('KT THAN'!$C$69,0.001)+'KT THAN'!$C$32*ABS(J253)/MAX('KT THAN'!$C$68,0.001)+'KT THAN'!$D$32*ABS(I253)/MAX('KT THAN'!$D$68,0.001),IF(OR(M253&lt;=0,N253&lt;=0),999,IF(H253&gt;=0.1*0.75*fc_*Agth*1000,H253/MAX(0.001,1/(1/M253+1/N253-1/(0.75*'KT THAN'!$C$62))),'KT THAN'!$C$32*ABS(J253)/MAX('KT THAN'!$C$68,0.001)+'KT THAN'!$D$32*ABS(I253)/MAX('KT THAN'!$D$68,0.001)))))</f>
        <v/>
      </c>
      <c r="P253" s="37" t="str">
        <f t="shared" si="44"/>
        <v/>
      </c>
      <c r="Q253" s="38" t="str">
        <f>IF($A253="","",MAX(0.001,'KT THAN'!$C$32*ABS(J253)/MAX(1,H253)))</f>
        <v/>
      </c>
      <c r="R253" s="38" t="str">
        <f>IF($A253="","",MAX(0.001,'KT THAN'!$D$32*ABS(I253)/MAX(1,H253)))</f>
        <v/>
      </c>
      <c r="S253" t="str">
        <f t="shared" si="38"/>
        <v/>
      </c>
    </row>
    <row r="254" spans="1:19" hidden="1" outlineLevel="1" x14ac:dyDescent="0.3">
      <c r="A254" s="37" t="str">
        <f>IF('TO HOP NLAN'!$A120="","",'TO HOP NLAN'!$A120)</f>
        <v/>
      </c>
      <c r="B254" s="38" t="str">
        <f>IF($A254="","",'TO HOP NLAN'!$D120)</f>
        <v/>
      </c>
      <c r="C254" s="38" t="str">
        <f>IF($A254="","",'TO HOP NLAN'!$E120)</f>
        <v/>
      </c>
      <c r="D254" s="38" t="str">
        <f>IF($A254="","",'TO HOP NLAN'!$F120)</f>
        <v/>
      </c>
      <c r="E254" s="38" t="str">
        <f>IF($A254="","",'TO HOP NLAN'!$B120)</f>
        <v/>
      </c>
      <c r="F254" s="38" t="str">
        <f>IF($A254="","",'TO HOP NLAN'!$C120)</f>
        <v/>
      </c>
      <c r="G254" s="38" t="str">
        <f t="shared" si="39"/>
        <v/>
      </c>
      <c r="H254" s="38" t="str">
        <f t="shared" si="37"/>
        <v/>
      </c>
      <c r="I254" s="38" t="str">
        <f t="shared" si="40"/>
        <v/>
      </c>
      <c r="J254" s="38" t="str">
        <f t="shared" si="41"/>
        <v/>
      </c>
      <c r="K254" s="38" t="str">
        <f t="shared" si="42"/>
        <v/>
      </c>
      <c r="L254" s="38" t="str">
        <f t="shared" si="43"/>
        <v/>
      </c>
      <c r="M254" s="38" t="str">
        <f>IF($A254="","",IF(H254=0,"",IF(Q254&lt;=0.000000001,MIN(0.8*0.75*'KT THAN'!$C$62,MAX('KT THAN'!$J$38:$J$58)),IFERROR(MIN(0.8*0.75*'KT THAN'!$C$62,INDEX('KT THAN'!$J$38:$J$58,MATCH(Q254,'KT THAN'!$L$38:$L$58,-1))+(INDEX('KT THAN'!$J$38:$J$58,MIN(21,MATCH(Q254,'KT THAN'!$L$38:$L$58,-1)+1))-INDEX('KT THAN'!$J$38:$J$58,MATCH(Q254,'KT THAN'!$L$38:$L$58,-1)))*(Q254-INDEX('KT THAN'!$L$38:$L$58,MATCH(Q254,'KT THAN'!$L$38:$L$58,-1)))/(INDEX('KT THAN'!$L$38:$L$58,MIN(21,MATCH(Q254,'KT THAN'!$L$38:$L$58,-1)+1))-INDEX('KT THAN'!$L$38:$L$58,MATCH(Q254,'KT THAN'!$L$38:$L$58,-1)))),MIN(0.8*0.75*'KT THAN'!$C$62,'KT THAN'!$C$68/Q254)))))</f>
        <v/>
      </c>
      <c r="N254" s="38" t="str">
        <f>IF($A254="","",IF(H254=0,"",IF(R254&lt;=0.000000001,MIN(0.8*0.75*'KT THAN'!$C$62,MAX('KT THAN'!$W$38:$W$58)),IFERROR(MIN(0.8*0.75*'KT THAN'!$C$62,INDEX('KT THAN'!$W$38:$W$58,MATCH(R254,'KT THAN'!$Y$38:$Y$58,-1))+(INDEX('KT THAN'!$W$38:$W$58,MIN(21,MATCH(R254,'KT THAN'!$Y$38:$Y$58,-1)+1))-INDEX('KT THAN'!$W$38:$W$58,MATCH(R254,'KT THAN'!$Y$38:$Y$58,-1)))*(R254-INDEX('KT THAN'!$Y$38:$Y$58,MATCH(R254,'KT THAN'!$Y$38:$Y$58,-1)))/(INDEX('KT THAN'!$Y$38:$Y$58,MIN(21,MATCH(R254,'KT THAN'!$Y$38:$Y$58,-1)+1))-INDEX('KT THAN'!$Y$38:$Y$58,MATCH(R254,'KT THAN'!$Y$38:$Y$58,-1)))),MIN(0.8*0.75*'KT THAN'!$C$62,'KT THAN'!$D$68/R254)))))</f>
        <v/>
      </c>
      <c r="O254" s="38" t="str">
        <f>IF($A254="","",IF(H254&lt;0,ABS(H254)/MAX('KT THAN'!$C$69,0.001)+'KT THAN'!$C$32*ABS(J254)/MAX('KT THAN'!$C$68,0.001)+'KT THAN'!$D$32*ABS(I254)/MAX('KT THAN'!$D$68,0.001),IF(OR(M254&lt;=0,N254&lt;=0),999,IF(H254&gt;=0.1*0.75*fc_*Agth*1000,H254/MAX(0.001,1/(1/M254+1/N254-1/(0.75*'KT THAN'!$C$62))),'KT THAN'!$C$32*ABS(J254)/MAX('KT THAN'!$C$68,0.001)+'KT THAN'!$D$32*ABS(I254)/MAX('KT THAN'!$D$68,0.001)))))</f>
        <v/>
      </c>
      <c r="P254" s="37" t="str">
        <f t="shared" si="44"/>
        <v/>
      </c>
      <c r="Q254" s="38" t="str">
        <f>IF($A254="","",MAX(0.001,'KT THAN'!$C$32*ABS(J254)/MAX(1,H254)))</f>
        <v/>
      </c>
      <c r="R254" s="38" t="str">
        <f>IF($A254="","",MAX(0.001,'KT THAN'!$D$32*ABS(I254)/MAX(1,H254)))</f>
        <v/>
      </c>
      <c r="S254" t="str">
        <f t="shared" si="38"/>
        <v/>
      </c>
    </row>
    <row r="255" spans="1:19" hidden="1" outlineLevel="1" x14ac:dyDescent="0.3">
      <c r="A255" s="37" t="str">
        <f>IF('TO HOP NLAN'!$A121="","",'TO HOP NLAN'!$A121)</f>
        <v/>
      </c>
      <c r="B255" s="38" t="str">
        <f>IF($A255="","",'TO HOP NLAN'!$D121)</f>
        <v/>
      </c>
      <c r="C255" s="38" t="str">
        <f>IF($A255="","",'TO HOP NLAN'!$E121)</f>
        <v/>
      </c>
      <c r="D255" s="38" t="str">
        <f>IF($A255="","",'TO HOP NLAN'!$F121)</f>
        <v/>
      </c>
      <c r="E255" s="38" t="str">
        <f>IF($A255="","",'TO HOP NLAN'!$B121)</f>
        <v/>
      </c>
      <c r="F255" s="38" t="str">
        <f>IF($A255="","",'TO HOP NLAN'!$C121)</f>
        <v/>
      </c>
      <c r="G255" s="38" t="str">
        <f t="shared" si="39"/>
        <v/>
      </c>
      <c r="H255" s="38" t="str">
        <f t="shared" si="37"/>
        <v/>
      </c>
      <c r="I255" s="38" t="str">
        <f t="shared" si="40"/>
        <v/>
      </c>
      <c r="J255" s="38" t="str">
        <f t="shared" si="41"/>
        <v/>
      </c>
      <c r="K255" s="38" t="str">
        <f t="shared" si="42"/>
        <v/>
      </c>
      <c r="L255" s="38" t="str">
        <f t="shared" si="43"/>
        <v/>
      </c>
      <c r="M255" s="38" t="str">
        <f>IF($A255="","",IF(H255=0,"",IF(Q255&lt;=0.000000001,MIN(0.8*0.75*'KT THAN'!$C$62,MAX('KT THAN'!$J$38:$J$58)),IFERROR(MIN(0.8*0.75*'KT THAN'!$C$62,INDEX('KT THAN'!$J$38:$J$58,MATCH(Q255,'KT THAN'!$L$38:$L$58,-1))+(INDEX('KT THAN'!$J$38:$J$58,MIN(21,MATCH(Q255,'KT THAN'!$L$38:$L$58,-1)+1))-INDEX('KT THAN'!$J$38:$J$58,MATCH(Q255,'KT THAN'!$L$38:$L$58,-1)))*(Q255-INDEX('KT THAN'!$L$38:$L$58,MATCH(Q255,'KT THAN'!$L$38:$L$58,-1)))/(INDEX('KT THAN'!$L$38:$L$58,MIN(21,MATCH(Q255,'KT THAN'!$L$38:$L$58,-1)+1))-INDEX('KT THAN'!$L$38:$L$58,MATCH(Q255,'KT THAN'!$L$38:$L$58,-1)))),MIN(0.8*0.75*'KT THAN'!$C$62,'KT THAN'!$C$68/Q255)))))</f>
        <v/>
      </c>
      <c r="N255" s="38" t="str">
        <f>IF($A255="","",IF(H255=0,"",IF(R255&lt;=0.000000001,MIN(0.8*0.75*'KT THAN'!$C$62,MAX('KT THAN'!$W$38:$W$58)),IFERROR(MIN(0.8*0.75*'KT THAN'!$C$62,INDEX('KT THAN'!$W$38:$W$58,MATCH(R255,'KT THAN'!$Y$38:$Y$58,-1))+(INDEX('KT THAN'!$W$38:$W$58,MIN(21,MATCH(R255,'KT THAN'!$Y$38:$Y$58,-1)+1))-INDEX('KT THAN'!$W$38:$W$58,MATCH(R255,'KT THAN'!$Y$38:$Y$58,-1)))*(R255-INDEX('KT THAN'!$Y$38:$Y$58,MATCH(R255,'KT THAN'!$Y$38:$Y$58,-1)))/(INDEX('KT THAN'!$Y$38:$Y$58,MIN(21,MATCH(R255,'KT THAN'!$Y$38:$Y$58,-1)+1))-INDEX('KT THAN'!$Y$38:$Y$58,MATCH(R255,'KT THAN'!$Y$38:$Y$58,-1)))),MIN(0.8*0.75*'KT THAN'!$C$62,'KT THAN'!$D$68/R255)))))</f>
        <v/>
      </c>
      <c r="O255" s="38" t="str">
        <f>IF($A255="","",IF(H255&lt;0,ABS(H255)/MAX('KT THAN'!$C$69,0.001)+'KT THAN'!$C$32*ABS(J255)/MAX('KT THAN'!$C$68,0.001)+'KT THAN'!$D$32*ABS(I255)/MAX('KT THAN'!$D$68,0.001),IF(OR(M255&lt;=0,N255&lt;=0),999,IF(H255&gt;=0.1*0.75*fc_*Agth*1000,H255/MAX(0.001,1/(1/M255+1/N255-1/(0.75*'KT THAN'!$C$62))),'KT THAN'!$C$32*ABS(J255)/MAX('KT THAN'!$C$68,0.001)+'KT THAN'!$D$32*ABS(I255)/MAX('KT THAN'!$D$68,0.001)))))</f>
        <v/>
      </c>
      <c r="P255" s="37" t="str">
        <f t="shared" si="44"/>
        <v/>
      </c>
      <c r="Q255" s="38" t="str">
        <f>IF($A255="","",MAX(0.001,'KT THAN'!$C$32*ABS(J255)/MAX(1,H255)))</f>
        <v/>
      </c>
      <c r="R255" s="38" t="str">
        <f>IF($A255="","",MAX(0.001,'KT THAN'!$D$32*ABS(I255)/MAX(1,H255)))</f>
        <v/>
      </c>
      <c r="S255" t="str">
        <f t="shared" si="38"/>
        <v/>
      </c>
    </row>
    <row r="256" spans="1:19" hidden="1" outlineLevel="1" x14ac:dyDescent="0.3">
      <c r="A256" s="37" t="str">
        <f>IF('TO HOP NLAN'!$A122="","",'TO HOP NLAN'!$A122)</f>
        <v/>
      </c>
      <c r="B256" s="38" t="str">
        <f>IF($A256="","",'TO HOP NLAN'!$D122)</f>
        <v/>
      </c>
      <c r="C256" s="38" t="str">
        <f>IF($A256="","",'TO HOP NLAN'!$E122)</f>
        <v/>
      </c>
      <c r="D256" s="38" t="str">
        <f>IF($A256="","",'TO HOP NLAN'!$F122)</f>
        <v/>
      </c>
      <c r="E256" s="38" t="str">
        <f>IF($A256="","",'TO HOP NLAN'!$B122)</f>
        <v/>
      </c>
      <c r="F256" s="38" t="str">
        <f>IF($A256="","",'TO HOP NLAN'!$C122)</f>
        <v/>
      </c>
      <c r="G256" s="38" t="str">
        <f t="shared" si="39"/>
        <v/>
      </c>
      <c r="H256" s="38" t="str">
        <f t="shared" si="37"/>
        <v/>
      </c>
      <c r="I256" s="38" t="str">
        <f t="shared" si="40"/>
        <v/>
      </c>
      <c r="J256" s="38" t="str">
        <f t="shared" si="41"/>
        <v/>
      </c>
      <c r="K256" s="38" t="str">
        <f t="shared" si="42"/>
        <v/>
      </c>
      <c r="L256" s="38" t="str">
        <f t="shared" si="43"/>
        <v/>
      </c>
      <c r="M256" s="38" t="str">
        <f>IF($A256="","",IF(H256=0,"",IF(Q256&lt;=0.000000001,MIN(0.8*0.75*'KT THAN'!$C$62,MAX('KT THAN'!$J$38:$J$58)),IFERROR(MIN(0.8*0.75*'KT THAN'!$C$62,INDEX('KT THAN'!$J$38:$J$58,MATCH(Q256,'KT THAN'!$L$38:$L$58,-1))+(INDEX('KT THAN'!$J$38:$J$58,MIN(21,MATCH(Q256,'KT THAN'!$L$38:$L$58,-1)+1))-INDEX('KT THAN'!$J$38:$J$58,MATCH(Q256,'KT THAN'!$L$38:$L$58,-1)))*(Q256-INDEX('KT THAN'!$L$38:$L$58,MATCH(Q256,'KT THAN'!$L$38:$L$58,-1)))/(INDEX('KT THAN'!$L$38:$L$58,MIN(21,MATCH(Q256,'KT THAN'!$L$38:$L$58,-1)+1))-INDEX('KT THAN'!$L$38:$L$58,MATCH(Q256,'KT THAN'!$L$38:$L$58,-1)))),MIN(0.8*0.75*'KT THAN'!$C$62,'KT THAN'!$C$68/Q256)))))</f>
        <v/>
      </c>
      <c r="N256" s="38" t="str">
        <f>IF($A256="","",IF(H256=0,"",IF(R256&lt;=0.000000001,MIN(0.8*0.75*'KT THAN'!$C$62,MAX('KT THAN'!$W$38:$W$58)),IFERROR(MIN(0.8*0.75*'KT THAN'!$C$62,INDEX('KT THAN'!$W$38:$W$58,MATCH(R256,'KT THAN'!$Y$38:$Y$58,-1))+(INDEX('KT THAN'!$W$38:$W$58,MIN(21,MATCH(R256,'KT THAN'!$Y$38:$Y$58,-1)+1))-INDEX('KT THAN'!$W$38:$W$58,MATCH(R256,'KT THAN'!$Y$38:$Y$58,-1)))*(R256-INDEX('KT THAN'!$Y$38:$Y$58,MATCH(R256,'KT THAN'!$Y$38:$Y$58,-1)))/(INDEX('KT THAN'!$Y$38:$Y$58,MIN(21,MATCH(R256,'KT THAN'!$Y$38:$Y$58,-1)+1))-INDEX('KT THAN'!$Y$38:$Y$58,MATCH(R256,'KT THAN'!$Y$38:$Y$58,-1)))),MIN(0.8*0.75*'KT THAN'!$C$62,'KT THAN'!$D$68/R256)))))</f>
        <v/>
      </c>
      <c r="O256" s="38" t="str">
        <f>IF($A256="","",IF(H256&lt;0,ABS(H256)/MAX('KT THAN'!$C$69,0.001)+'KT THAN'!$C$32*ABS(J256)/MAX('KT THAN'!$C$68,0.001)+'KT THAN'!$D$32*ABS(I256)/MAX('KT THAN'!$D$68,0.001),IF(OR(M256&lt;=0,N256&lt;=0),999,IF(H256&gt;=0.1*0.75*fc_*Agth*1000,H256/MAX(0.001,1/(1/M256+1/N256-1/(0.75*'KT THAN'!$C$62))),'KT THAN'!$C$32*ABS(J256)/MAX('KT THAN'!$C$68,0.001)+'KT THAN'!$D$32*ABS(I256)/MAX('KT THAN'!$D$68,0.001)))))</f>
        <v/>
      </c>
      <c r="P256" s="37" t="str">
        <f t="shared" si="44"/>
        <v/>
      </c>
      <c r="Q256" s="38" t="str">
        <f>IF($A256="","",MAX(0.001,'KT THAN'!$C$32*ABS(J256)/MAX(1,H256)))</f>
        <v/>
      </c>
      <c r="R256" s="38" t="str">
        <f>IF($A256="","",MAX(0.001,'KT THAN'!$D$32*ABS(I256)/MAX(1,H256)))</f>
        <v/>
      </c>
      <c r="S256" t="str">
        <f t="shared" si="38"/>
        <v/>
      </c>
    </row>
    <row r="257" spans="1:19" hidden="1" outlineLevel="1" x14ac:dyDescent="0.3">
      <c r="A257" s="37" t="str">
        <f>IF('TO HOP NLAN'!$A123="","",'TO HOP NLAN'!$A123)</f>
        <v/>
      </c>
      <c r="B257" s="38" t="str">
        <f>IF($A257="","",'TO HOP NLAN'!$D123)</f>
        <v/>
      </c>
      <c r="C257" s="38" t="str">
        <f>IF($A257="","",'TO HOP NLAN'!$E123)</f>
        <v/>
      </c>
      <c r="D257" s="38" t="str">
        <f>IF($A257="","",'TO HOP NLAN'!$F123)</f>
        <v/>
      </c>
      <c r="E257" s="38" t="str">
        <f>IF($A257="","",'TO HOP NLAN'!$B123)</f>
        <v/>
      </c>
      <c r="F257" s="38" t="str">
        <f>IF($A257="","",'TO HOP NLAN'!$C123)</f>
        <v/>
      </c>
      <c r="G257" s="38" t="str">
        <f t="shared" si="39"/>
        <v/>
      </c>
      <c r="H257" s="38" t="str">
        <f t="shared" si="37"/>
        <v/>
      </c>
      <c r="I257" s="38" t="str">
        <f t="shared" si="40"/>
        <v/>
      </c>
      <c r="J257" s="38" t="str">
        <f t="shared" si="41"/>
        <v/>
      </c>
      <c r="K257" s="38" t="str">
        <f t="shared" si="42"/>
        <v/>
      </c>
      <c r="L257" s="38" t="str">
        <f t="shared" si="43"/>
        <v/>
      </c>
      <c r="M257" s="38" t="str">
        <f>IF($A257="","",IF(H257=0,"",IF(Q257&lt;=0.000000001,MIN(0.8*0.75*'KT THAN'!$C$62,MAX('KT THAN'!$J$38:$J$58)),IFERROR(MIN(0.8*0.75*'KT THAN'!$C$62,INDEX('KT THAN'!$J$38:$J$58,MATCH(Q257,'KT THAN'!$L$38:$L$58,-1))+(INDEX('KT THAN'!$J$38:$J$58,MIN(21,MATCH(Q257,'KT THAN'!$L$38:$L$58,-1)+1))-INDEX('KT THAN'!$J$38:$J$58,MATCH(Q257,'KT THAN'!$L$38:$L$58,-1)))*(Q257-INDEX('KT THAN'!$L$38:$L$58,MATCH(Q257,'KT THAN'!$L$38:$L$58,-1)))/(INDEX('KT THAN'!$L$38:$L$58,MIN(21,MATCH(Q257,'KT THAN'!$L$38:$L$58,-1)+1))-INDEX('KT THAN'!$L$38:$L$58,MATCH(Q257,'KT THAN'!$L$38:$L$58,-1)))),MIN(0.8*0.75*'KT THAN'!$C$62,'KT THAN'!$C$68/Q257)))))</f>
        <v/>
      </c>
      <c r="N257" s="38" t="str">
        <f>IF($A257="","",IF(H257=0,"",IF(R257&lt;=0.000000001,MIN(0.8*0.75*'KT THAN'!$C$62,MAX('KT THAN'!$W$38:$W$58)),IFERROR(MIN(0.8*0.75*'KT THAN'!$C$62,INDEX('KT THAN'!$W$38:$W$58,MATCH(R257,'KT THAN'!$Y$38:$Y$58,-1))+(INDEX('KT THAN'!$W$38:$W$58,MIN(21,MATCH(R257,'KT THAN'!$Y$38:$Y$58,-1)+1))-INDEX('KT THAN'!$W$38:$W$58,MATCH(R257,'KT THAN'!$Y$38:$Y$58,-1)))*(R257-INDEX('KT THAN'!$Y$38:$Y$58,MATCH(R257,'KT THAN'!$Y$38:$Y$58,-1)))/(INDEX('KT THAN'!$Y$38:$Y$58,MIN(21,MATCH(R257,'KT THAN'!$Y$38:$Y$58,-1)+1))-INDEX('KT THAN'!$Y$38:$Y$58,MATCH(R257,'KT THAN'!$Y$38:$Y$58,-1)))),MIN(0.8*0.75*'KT THAN'!$C$62,'KT THAN'!$D$68/R257)))))</f>
        <v/>
      </c>
      <c r="O257" s="38" t="str">
        <f>IF($A257="","",IF(H257&lt;0,ABS(H257)/MAX('KT THAN'!$C$69,0.001)+'KT THAN'!$C$32*ABS(J257)/MAX('KT THAN'!$C$68,0.001)+'KT THAN'!$D$32*ABS(I257)/MAX('KT THAN'!$D$68,0.001),IF(OR(M257&lt;=0,N257&lt;=0),999,IF(H257&gt;=0.1*0.75*fc_*Agth*1000,H257/MAX(0.001,1/(1/M257+1/N257-1/(0.75*'KT THAN'!$C$62))),'KT THAN'!$C$32*ABS(J257)/MAX('KT THAN'!$C$68,0.001)+'KT THAN'!$D$32*ABS(I257)/MAX('KT THAN'!$D$68,0.001)))))</f>
        <v/>
      </c>
      <c r="P257" s="37" t="str">
        <f t="shared" si="44"/>
        <v/>
      </c>
      <c r="Q257" s="38" t="str">
        <f>IF($A257="","",MAX(0.001,'KT THAN'!$C$32*ABS(J257)/MAX(1,H257)))</f>
        <v/>
      </c>
      <c r="R257" s="38" t="str">
        <f>IF($A257="","",MAX(0.001,'KT THAN'!$D$32*ABS(I257)/MAX(1,H257)))</f>
        <v/>
      </c>
      <c r="S257" t="str">
        <f t="shared" si="38"/>
        <v/>
      </c>
    </row>
    <row r="258" spans="1:19" hidden="1" outlineLevel="1" x14ac:dyDescent="0.3">
      <c r="A258" s="37" t="str">
        <f>IF('TO HOP NLAN'!$A124="","",'TO HOP NLAN'!$A124)</f>
        <v/>
      </c>
      <c r="B258" s="38" t="str">
        <f>IF($A258="","",'TO HOP NLAN'!$D124)</f>
        <v/>
      </c>
      <c r="C258" s="38" t="str">
        <f>IF($A258="","",'TO HOP NLAN'!$E124)</f>
        <v/>
      </c>
      <c r="D258" s="38" t="str">
        <f>IF($A258="","",'TO HOP NLAN'!$F124)</f>
        <v/>
      </c>
      <c r="E258" s="38" t="str">
        <f>IF($A258="","",'TO HOP NLAN'!$B124)</f>
        <v/>
      </c>
      <c r="F258" s="38" t="str">
        <f>IF($A258="","",'TO HOP NLAN'!$C124)</f>
        <v/>
      </c>
      <c r="G258" s="38" t="str">
        <f t="shared" si="39"/>
        <v/>
      </c>
      <c r="H258" s="38" t="str">
        <f t="shared" si="37"/>
        <v/>
      </c>
      <c r="I258" s="38" t="str">
        <f t="shared" si="40"/>
        <v/>
      </c>
      <c r="J258" s="38" t="str">
        <f t="shared" si="41"/>
        <v/>
      </c>
      <c r="K258" s="38" t="str">
        <f t="shared" si="42"/>
        <v/>
      </c>
      <c r="L258" s="38" t="str">
        <f t="shared" si="43"/>
        <v/>
      </c>
      <c r="M258" s="38" t="str">
        <f>IF($A258="","",IF(H258=0,"",IF(Q258&lt;=0.000000001,MIN(0.8*0.75*'KT THAN'!$C$62,MAX('KT THAN'!$J$38:$J$58)),IFERROR(MIN(0.8*0.75*'KT THAN'!$C$62,INDEX('KT THAN'!$J$38:$J$58,MATCH(Q258,'KT THAN'!$L$38:$L$58,-1))+(INDEX('KT THAN'!$J$38:$J$58,MIN(21,MATCH(Q258,'KT THAN'!$L$38:$L$58,-1)+1))-INDEX('KT THAN'!$J$38:$J$58,MATCH(Q258,'KT THAN'!$L$38:$L$58,-1)))*(Q258-INDEX('KT THAN'!$L$38:$L$58,MATCH(Q258,'KT THAN'!$L$38:$L$58,-1)))/(INDEX('KT THAN'!$L$38:$L$58,MIN(21,MATCH(Q258,'KT THAN'!$L$38:$L$58,-1)+1))-INDEX('KT THAN'!$L$38:$L$58,MATCH(Q258,'KT THAN'!$L$38:$L$58,-1)))),MIN(0.8*0.75*'KT THAN'!$C$62,'KT THAN'!$C$68/Q258)))))</f>
        <v/>
      </c>
      <c r="N258" s="38" t="str">
        <f>IF($A258="","",IF(H258=0,"",IF(R258&lt;=0.000000001,MIN(0.8*0.75*'KT THAN'!$C$62,MAX('KT THAN'!$W$38:$W$58)),IFERROR(MIN(0.8*0.75*'KT THAN'!$C$62,INDEX('KT THAN'!$W$38:$W$58,MATCH(R258,'KT THAN'!$Y$38:$Y$58,-1))+(INDEX('KT THAN'!$W$38:$W$58,MIN(21,MATCH(R258,'KT THAN'!$Y$38:$Y$58,-1)+1))-INDEX('KT THAN'!$W$38:$W$58,MATCH(R258,'KT THAN'!$Y$38:$Y$58,-1)))*(R258-INDEX('KT THAN'!$Y$38:$Y$58,MATCH(R258,'KT THAN'!$Y$38:$Y$58,-1)))/(INDEX('KT THAN'!$Y$38:$Y$58,MIN(21,MATCH(R258,'KT THAN'!$Y$38:$Y$58,-1)+1))-INDEX('KT THAN'!$Y$38:$Y$58,MATCH(R258,'KT THAN'!$Y$38:$Y$58,-1)))),MIN(0.8*0.75*'KT THAN'!$C$62,'KT THAN'!$D$68/R258)))))</f>
        <v/>
      </c>
      <c r="O258" s="38" t="str">
        <f>IF($A258="","",IF(H258&lt;0,ABS(H258)/MAX('KT THAN'!$C$69,0.001)+'KT THAN'!$C$32*ABS(J258)/MAX('KT THAN'!$C$68,0.001)+'KT THAN'!$D$32*ABS(I258)/MAX('KT THAN'!$D$68,0.001),IF(OR(M258&lt;=0,N258&lt;=0),999,IF(H258&gt;=0.1*0.75*fc_*Agth*1000,H258/MAX(0.001,1/(1/M258+1/N258-1/(0.75*'KT THAN'!$C$62))),'KT THAN'!$C$32*ABS(J258)/MAX('KT THAN'!$C$68,0.001)+'KT THAN'!$D$32*ABS(I258)/MAX('KT THAN'!$D$68,0.001)))))</f>
        <v/>
      </c>
      <c r="P258" s="37" t="str">
        <f t="shared" si="44"/>
        <v/>
      </c>
      <c r="Q258" s="38" t="str">
        <f>IF($A258="","",MAX(0.001,'KT THAN'!$C$32*ABS(J258)/MAX(1,H258)))</f>
        <v/>
      </c>
      <c r="R258" s="38" t="str">
        <f>IF($A258="","",MAX(0.001,'KT THAN'!$D$32*ABS(I258)/MAX(1,H258)))</f>
        <v/>
      </c>
      <c r="S258" t="str">
        <f t="shared" si="38"/>
        <v/>
      </c>
    </row>
    <row r="259" spans="1:19" hidden="1" outlineLevel="1" x14ac:dyDescent="0.3">
      <c r="A259" s="37" t="str">
        <f>IF('TO HOP NLAN'!$A125="","",'TO HOP NLAN'!$A125)</f>
        <v/>
      </c>
      <c r="B259" s="38" t="str">
        <f>IF($A259="","",'TO HOP NLAN'!$D125)</f>
        <v/>
      </c>
      <c r="C259" s="38" t="str">
        <f>IF($A259="","",'TO HOP NLAN'!$E125)</f>
        <v/>
      </c>
      <c r="D259" s="38" t="str">
        <f>IF($A259="","",'TO HOP NLAN'!$F125)</f>
        <v/>
      </c>
      <c r="E259" s="38" t="str">
        <f>IF($A259="","",'TO HOP NLAN'!$B125)</f>
        <v/>
      </c>
      <c r="F259" s="38" t="str">
        <f>IF($A259="","",'TO HOP NLAN'!$C125)</f>
        <v/>
      </c>
      <c r="G259" s="38" t="str">
        <f t="shared" si="39"/>
        <v/>
      </c>
      <c r="H259" s="38" t="str">
        <f t="shared" si="37"/>
        <v/>
      </c>
      <c r="I259" s="38" t="str">
        <f t="shared" si="40"/>
        <v/>
      </c>
      <c r="J259" s="38" t="str">
        <f t="shared" si="41"/>
        <v/>
      </c>
      <c r="K259" s="38" t="str">
        <f t="shared" si="42"/>
        <v/>
      </c>
      <c r="L259" s="38" t="str">
        <f t="shared" si="43"/>
        <v/>
      </c>
      <c r="M259" s="38" t="str">
        <f>IF($A259="","",IF(H259=0,"",IF(Q259&lt;=0.000000001,MIN(0.8*0.75*'KT THAN'!$C$62,MAX('KT THAN'!$J$38:$J$58)),IFERROR(MIN(0.8*0.75*'KT THAN'!$C$62,INDEX('KT THAN'!$J$38:$J$58,MATCH(Q259,'KT THAN'!$L$38:$L$58,-1))+(INDEX('KT THAN'!$J$38:$J$58,MIN(21,MATCH(Q259,'KT THAN'!$L$38:$L$58,-1)+1))-INDEX('KT THAN'!$J$38:$J$58,MATCH(Q259,'KT THAN'!$L$38:$L$58,-1)))*(Q259-INDEX('KT THAN'!$L$38:$L$58,MATCH(Q259,'KT THAN'!$L$38:$L$58,-1)))/(INDEX('KT THAN'!$L$38:$L$58,MIN(21,MATCH(Q259,'KT THAN'!$L$38:$L$58,-1)+1))-INDEX('KT THAN'!$L$38:$L$58,MATCH(Q259,'KT THAN'!$L$38:$L$58,-1)))),MIN(0.8*0.75*'KT THAN'!$C$62,'KT THAN'!$C$68/Q259)))))</f>
        <v/>
      </c>
      <c r="N259" s="38" t="str">
        <f>IF($A259="","",IF(H259=0,"",IF(R259&lt;=0.000000001,MIN(0.8*0.75*'KT THAN'!$C$62,MAX('KT THAN'!$W$38:$W$58)),IFERROR(MIN(0.8*0.75*'KT THAN'!$C$62,INDEX('KT THAN'!$W$38:$W$58,MATCH(R259,'KT THAN'!$Y$38:$Y$58,-1))+(INDEX('KT THAN'!$W$38:$W$58,MIN(21,MATCH(R259,'KT THAN'!$Y$38:$Y$58,-1)+1))-INDEX('KT THAN'!$W$38:$W$58,MATCH(R259,'KT THAN'!$Y$38:$Y$58,-1)))*(R259-INDEX('KT THAN'!$Y$38:$Y$58,MATCH(R259,'KT THAN'!$Y$38:$Y$58,-1)))/(INDEX('KT THAN'!$Y$38:$Y$58,MIN(21,MATCH(R259,'KT THAN'!$Y$38:$Y$58,-1)+1))-INDEX('KT THAN'!$Y$38:$Y$58,MATCH(R259,'KT THAN'!$Y$38:$Y$58,-1)))),MIN(0.8*0.75*'KT THAN'!$C$62,'KT THAN'!$D$68/R259)))))</f>
        <v/>
      </c>
      <c r="O259" s="38" t="str">
        <f>IF($A259="","",IF(H259&lt;0,ABS(H259)/MAX('KT THAN'!$C$69,0.001)+'KT THAN'!$C$32*ABS(J259)/MAX('KT THAN'!$C$68,0.001)+'KT THAN'!$D$32*ABS(I259)/MAX('KT THAN'!$D$68,0.001),IF(OR(M259&lt;=0,N259&lt;=0),999,IF(H259&gt;=0.1*0.75*fc_*Agth*1000,H259/MAX(0.001,1/(1/M259+1/N259-1/(0.75*'KT THAN'!$C$62))),'KT THAN'!$C$32*ABS(J259)/MAX('KT THAN'!$C$68,0.001)+'KT THAN'!$D$32*ABS(I259)/MAX('KT THAN'!$D$68,0.001)))))</f>
        <v/>
      </c>
      <c r="P259" s="37" t="str">
        <f t="shared" si="44"/>
        <v/>
      </c>
      <c r="Q259" s="38" t="str">
        <f>IF($A259="","",MAX(0.001,'KT THAN'!$C$32*ABS(J259)/MAX(1,H259)))</f>
        <v/>
      </c>
      <c r="R259" s="38" t="str">
        <f>IF($A259="","",MAX(0.001,'KT THAN'!$D$32*ABS(I259)/MAX(1,H259)))</f>
        <v/>
      </c>
      <c r="S259" t="str">
        <f t="shared" si="38"/>
        <v/>
      </c>
    </row>
    <row r="260" spans="1:19" hidden="1" outlineLevel="1" x14ac:dyDescent="0.3">
      <c r="A260" s="37" t="str">
        <f>IF('TO HOP NLAN'!$A126="","",'TO HOP NLAN'!$A126)</f>
        <v/>
      </c>
      <c r="B260" s="38" t="str">
        <f>IF($A260="","",'TO HOP NLAN'!$D126)</f>
        <v/>
      </c>
      <c r="C260" s="38" t="str">
        <f>IF($A260="","",'TO HOP NLAN'!$E126)</f>
        <v/>
      </c>
      <c r="D260" s="38" t="str">
        <f>IF($A260="","",'TO HOP NLAN'!$F126)</f>
        <v/>
      </c>
      <c r="E260" s="38" t="str">
        <f>IF($A260="","",'TO HOP NLAN'!$B126)</f>
        <v/>
      </c>
      <c r="F260" s="38" t="str">
        <f>IF($A260="","",'TO HOP NLAN'!$C126)</f>
        <v/>
      </c>
      <c r="G260" s="38" t="str">
        <f t="shared" si="39"/>
        <v/>
      </c>
      <c r="H260" s="38" t="str">
        <f t="shared" si="37"/>
        <v/>
      </c>
      <c r="I260" s="38" t="str">
        <f t="shared" si="40"/>
        <v/>
      </c>
      <c r="J260" s="38" t="str">
        <f t="shared" si="41"/>
        <v/>
      </c>
      <c r="K260" s="38" t="str">
        <f t="shared" si="42"/>
        <v/>
      </c>
      <c r="L260" s="38" t="str">
        <f t="shared" si="43"/>
        <v/>
      </c>
      <c r="M260" s="38" t="str">
        <f>IF($A260="","",IF(H260=0,"",IF(Q260&lt;=0.000000001,MIN(0.8*0.75*'KT THAN'!$C$62,MAX('KT THAN'!$J$38:$J$58)),IFERROR(MIN(0.8*0.75*'KT THAN'!$C$62,INDEX('KT THAN'!$J$38:$J$58,MATCH(Q260,'KT THAN'!$L$38:$L$58,-1))+(INDEX('KT THAN'!$J$38:$J$58,MIN(21,MATCH(Q260,'KT THAN'!$L$38:$L$58,-1)+1))-INDEX('KT THAN'!$J$38:$J$58,MATCH(Q260,'KT THAN'!$L$38:$L$58,-1)))*(Q260-INDEX('KT THAN'!$L$38:$L$58,MATCH(Q260,'KT THAN'!$L$38:$L$58,-1)))/(INDEX('KT THAN'!$L$38:$L$58,MIN(21,MATCH(Q260,'KT THAN'!$L$38:$L$58,-1)+1))-INDEX('KT THAN'!$L$38:$L$58,MATCH(Q260,'KT THAN'!$L$38:$L$58,-1)))),MIN(0.8*0.75*'KT THAN'!$C$62,'KT THAN'!$C$68/Q260)))))</f>
        <v/>
      </c>
      <c r="N260" s="38" t="str">
        <f>IF($A260="","",IF(H260=0,"",IF(R260&lt;=0.000000001,MIN(0.8*0.75*'KT THAN'!$C$62,MAX('KT THAN'!$W$38:$W$58)),IFERROR(MIN(0.8*0.75*'KT THAN'!$C$62,INDEX('KT THAN'!$W$38:$W$58,MATCH(R260,'KT THAN'!$Y$38:$Y$58,-1))+(INDEX('KT THAN'!$W$38:$W$58,MIN(21,MATCH(R260,'KT THAN'!$Y$38:$Y$58,-1)+1))-INDEX('KT THAN'!$W$38:$W$58,MATCH(R260,'KT THAN'!$Y$38:$Y$58,-1)))*(R260-INDEX('KT THAN'!$Y$38:$Y$58,MATCH(R260,'KT THAN'!$Y$38:$Y$58,-1)))/(INDEX('KT THAN'!$Y$38:$Y$58,MIN(21,MATCH(R260,'KT THAN'!$Y$38:$Y$58,-1)+1))-INDEX('KT THAN'!$Y$38:$Y$58,MATCH(R260,'KT THAN'!$Y$38:$Y$58,-1)))),MIN(0.8*0.75*'KT THAN'!$C$62,'KT THAN'!$D$68/R260)))))</f>
        <v/>
      </c>
      <c r="O260" s="38" t="str">
        <f>IF($A260="","",IF(H260&lt;0,ABS(H260)/MAX('KT THAN'!$C$69,0.001)+'KT THAN'!$C$32*ABS(J260)/MAX('KT THAN'!$C$68,0.001)+'KT THAN'!$D$32*ABS(I260)/MAX('KT THAN'!$D$68,0.001),IF(OR(M260&lt;=0,N260&lt;=0),999,IF(H260&gt;=0.1*0.75*fc_*Agth*1000,H260/MAX(0.001,1/(1/M260+1/N260-1/(0.75*'KT THAN'!$C$62))),'KT THAN'!$C$32*ABS(J260)/MAX('KT THAN'!$C$68,0.001)+'KT THAN'!$D$32*ABS(I260)/MAX('KT THAN'!$D$68,0.001)))))</f>
        <v/>
      </c>
      <c r="P260" s="37" t="str">
        <f t="shared" si="44"/>
        <v/>
      </c>
      <c r="Q260" s="38" t="str">
        <f>IF($A260="","",MAX(0.001,'KT THAN'!$C$32*ABS(J260)/MAX(1,H260)))</f>
        <v/>
      </c>
      <c r="R260" s="38" t="str">
        <f>IF($A260="","",MAX(0.001,'KT THAN'!$D$32*ABS(I260)/MAX(1,H260)))</f>
        <v/>
      </c>
      <c r="S260" t="str">
        <f t="shared" si="38"/>
        <v/>
      </c>
    </row>
    <row r="261" spans="1:19" hidden="1" outlineLevel="1" x14ac:dyDescent="0.3">
      <c r="A261" s="37" t="str">
        <f>IF('TO HOP NLAN'!$A127="","",'TO HOP NLAN'!$A127)</f>
        <v/>
      </c>
      <c r="B261" s="38" t="str">
        <f>IF($A261="","",'TO HOP NLAN'!$D127)</f>
        <v/>
      </c>
      <c r="C261" s="38" t="str">
        <f>IF($A261="","",'TO HOP NLAN'!$E127)</f>
        <v/>
      </c>
      <c r="D261" s="38" t="str">
        <f>IF($A261="","",'TO HOP NLAN'!$F127)</f>
        <v/>
      </c>
      <c r="E261" s="38" t="str">
        <f>IF($A261="","",'TO HOP NLAN'!$B127)</f>
        <v/>
      </c>
      <c r="F261" s="38" t="str">
        <f>IF($A261="","",'TO HOP NLAN'!$C127)</f>
        <v/>
      </c>
      <c r="G261" s="38" t="str">
        <f t="shared" si="39"/>
        <v/>
      </c>
      <c r="H261" s="38" t="str">
        <f t="shared" si="37"/>
        <v/>
      </c>
      <c r="I261" s="38" t="str">
        <f t="shared" si="40"/>
        <v/>
      </c>
      <c r="J261" s="38" t="str">
        <f t="shared" si="41"/>
        <v/>
      </c>
      <c r="K261" s="38" t="str">
        <f t="shared" si="42"/>
        <v/>
      </c>
      <c r="L261" s="38" t="str">
        <f t="shared" si="43"/>
        <v/>
      </c>
      <c r="M261" s="38" t="str">
        <f>IF($A261="","",IF(H261=0,"",IF(Q261&lt;=0.000000001,MIN(0.8*0.75*'KT THAN'!$C$62,MAX('KT THAN'!$J$38:$J$58)),IFERROR(MIN(0.8*0.75*'KT THAN'!$C$62,INDEX('KT THAN'!$J$38:$J$58,MATCH(Q261,'KT THAN'!$L$38:$L$58,-1))+(INDEX('KT THAN'!$J$38:$J$58,MIN(21,MATCH(Q261,'KT THAN'!$L$38:$L$58,-1)+1))-INDEX('KT THAN'!$J$38:$J$58,MATCH(Q261,'KT THAN'!$L$38:$L$58,-1)))*(Q261-INDEX('KT THAN'!$L$38:$L$58,MATCH(Q261,'KT THAN'!$L$38:$L$58,-1)))/(INDEX('KT THAN'!$L$38:$L$58,MIN(21,MATCH(Q261,'KT THAN'!$L$38:$L$58,-1)+1))-INDEX('KT THAN'!$L$38:$L$58,MATCH(Q261,'KT THAN'!$L$38:$L$58,-1)))),MIN(0.8*0.75*'KT THAN'!$C$62,'KT THAN'!$C$68/Q261)))))</f>
        <v/>
      </c>
      <c r="N261" s="38" t="str">
        <f>IF($A261="","",IF(H261=0,"",IF(R261&lt;=0.000000001,MIN(0.8*0.75*'KT THAN'!$C$62,MAX('KT THAN'!$W$38:$W$58)),IFERROR(MIN(0.8*0.75*'KT THAN'!$C$62,INDEX('KT THAN'!$W$38:$W$58,MATCH(R261,'KT THAN'!$Y$38:$Y$58,-1))+(INDEX('KT THAN'!$W$38:$W$58,MIN(21,MATCH(R261,'KT THAN'!$Y$38:$Y$58,-1)+1))-INDEX('KT THAN'!$W$38:$W$58,MATCH(R261,'KT THAN'!$Y$38:$Y$58,-1)))*(R261-INDEX('KT THAN'!$Y$38:$Y$58,MATCH(R261,'KT THAN'!$Y$38:$Y$58,-1)))/(INDEX('KT THAN'!$Y$38:$Y$58,MIN(21,MATCH(R261,'KT THAN'!$Y$38:$Y$58,-1)+1))-INDEX('KT THAN'!$Y$38:$Y$58,MATCH(R261,'KT THAN'!$Y$38:$Y$58,-1)))),MIN(0.8*0.75*'KT THAN'!$C$62,'KT THAN'!$D$68/R261)))))</f>
        <v/>
      </c>
      <c r="O261" s="38" t="str">
        <f>IF($A261="","",IF(H261&lt;0,ABS(H261)/MAX('KT THAN'!$C$69,0.001)+'KT THAN'!$C$32*ABS(J261)/MAX('KT THAN'!$C$68,0.001)+'KT THAN'!$D$32*ABS(I261)/MAX('KT THAN'!$D$68,0.001),IF(OR(M261&lt;=0,N261&lt;=0),999,IF(H261&gt;=0.1*0.75*fc_*Agth*1000,H261/MAX(0.001,1/(1/M261+1/N261-1/(0.75*'KT THAN'!$C$62))),'KT THAN'!$C$32*ABS(J261)/MAX('KT THAN'!$C$68,0.001)+'KT THAN'!$D$32*ABS(I261)/MAX('KT THAN'!$D$68,0.001)))))</f>
        <v/>
      </c>
      <c r="P261" s="37" t="str">
        <f t="shared" si="44"/>
        <v/>
      </c>
      <c r="Q261" s="38" t="str">
        <f>IF($A261="","",MAX(0.001,'KT THAN'!$C$32*ABS(J261)/MAX(1,H261)))</f>
        <v/>
      </c>
      <c r="R261" s="38" t="str">
        <f>IF($A261="","",MAX(0.001,'KT THAN'!$D$32*ABS(I261)/MAX(1,H261)))</f>
        <v/>
      </c>
      <c r="S261" t="str">
        <f t="shared" si="38"/>
        <v/>
      </c>
    </row>
    <row r="262" spans="1:19" hidden="1" outlineLevel="1" x14ac:dyDescent="0.3">
      <c r="A262" s="37" t="str">
        <f>IF('TO HOP NLAN'!$A128="","",'TO HOP NLAN'!$A128)</f>
        <v/>
      </c>
      <c r="B262" s="38" t="str">
        <f>IF($A262="","",'TO HOP NLAN'!$D128)</f>
        <v/>
      </c>
      <c r="C262" s="38" t="str">
        <f>IF($A262="","",'TO HOP NLAN'!$E128)</f>
        <v/>
      </c>
      <c r="D262" s="38" t="str">
        <f>IF($A262="","",'TO HOP NLAN'!$F128)</f>
        <v/>
      </c>
      <c r="E262" s="38" t="str">
        <f>IF($A262="","",'TO HOP NLAN'!$B128)</f>
        <v/>
      </c>
      <c r="F262" s="38" t="str">
        <f>IF($A262="","",'TO HOP NLAN'!$C128)</f>
        <v/>
      </c>
      <c r="G262" s="38" t="str">
        <f t="shared" si="39"/>
        <v/>
      </c>
      <c r="H262" s="38" t="str">
        <f t="shared" si="37"/>
        <v/>
      </c>
      <c r="I262" s="38" t="str">
        <f t="shared" si="40"/>
        <v/>
      </c>
      <c r="J262" s="38" t="str">
        <f t="shared" si="41"/>
        <v/>
      </c>
      <c r="K262" s="38" t="str">
        <f t="shared" si="42"/>
        <v/>
      </c>
      <c r="L262" s="38" t="str">
        <f t="shared" si="43"/>
        <v/>
      </c>
      <c r="M262" s="38" t="str">
        <f>IF($A262="","",IF(H262=0,"",IF(Q262&lt;=0.000000001,MIN(0.8*0.75*'KT THAN'!$C$62,MAX('KT THAN'!$J$38:$J$58)),IFERROR(MIN(0.8*0.75*'KT THAN'!$C$62,INDEX('KT THAN'!$J$38:$J$58,MATCH(Q262,'KT THAN'!$L$38:$L$58,-1))+(INDEX('KT THAN'!$J$38:$J$58,MIN(21,MATCH(Q262,'KT THAN'!$L$38:$L$58,-1)+1))-INDEX('KT THAN'!$J$38:$J$58,MATCH(Q262,'KT THAN'!$L$38:$L$58,-1)))*(Q262-INDEX('KT THAN'!$L$38:$L$58,MATCH(Q262,'KT THAN'!$L$38:$L$58,-1)))/(INDEX('KT THAN'!$L$38:$L$58,MIN(21,MATCH(Q262,'KT THAN'!$L$38:$L$58,-1)+1))-INDEX('KT THAN'!$L$38:$L$58,MATCH(Q262,'KT THAN'!$L$38:$L$58,-1)))),MIN(0.8*0.75*'KT THAN'!$C$62,'KT THAN'!$C$68/Q262)))))</f>
        <v/>
      </c>
      <c r="N262" s="38" t="str">
        <f>IF($A262="","",IF(H262=0,"",IF(R262&lt;=0.000000001,MIN(0.8*0.75*'KT THAN'!$C$62,MAX('KT THAN'!$W$38:$W$58)),IFERROR(MIN(0.8*0.75*'KT THAN'!$C$62,INDEX('KT THAN'!$W$38:$W$58,MATCH(R262,'KT THAN'!$Y$38:$Y$58,-1))+(INDEX('KT THAN'!$W$38:$W$58,MIN(21,MATCH(R262,'KT THAN'!$Y$38:$Y$58,-1)+1))-INDEX('KT THAN'!$W$38:$W$58,MATCH(R262,'KT THAN'!$Y$38:$Y$58,-1)))*(R262-INDEX('KT THAN'!$Y$38:$Y$58,MATCH(R262,'KT THAN'!$Y$38:$Y$58,-1)))/(INDEX('KT THAN'!$Y$38:$Y$58,MIN(21,MATCH(R262,'KT THAN'!$Y$38:$Y$58,-1)+1))-INDEX('KT THAN'!$Y$38:$Y$58,MATCH(R262,'KT THAN'!$Y$38:$Y$58,-1)))),MIN(0.8*0.75*'KT THAN'!$C$62,'KT THAN'!$D$68/R262)))))</f>
        <v/>
      </c>
      <c r="O262" s="38" t="str">
        <f>IF($A262="","",IF(H262&lt;0,ABS(H262)/MAX('KT THAN'!$C$69,0.001)+'KT THAN'!$C$32*ABS(J262)/MAX('KT THAN'!$C$68,0.001)+'KT THAN'!$D$32*ABS(I262)/MAX('KT THAN'!$D$68,0.001),IF(OR(M262&lt;=0,N262&lt;=0),999,IF(H262&gt;=0.1*0.75*fc_*Agth*1000,H262/MAX(0.001,1/(1/M262+1/N262-1/(0.75*'KT THAN'!$C$62))),'KT THAN'!$C$32*ABS(J262)/MAX('KT THAN'!$C$68,0.001)+'KT THAN'!$D$32*ABS(I262)/MAX('KT THAN'!$D$68,0.001)))))</f>
        <v/>
      </c>
      <c r="P262" s="37" t="str">
        <f t="shared" si="44"/>
        <v/>
      </c>
      <c r="Q262" s="38" t="str">
        <f>IF($A262="","",MAX(0.001,'KT THAN'!$C$32*ABS(J262)/MAX(1,H262)))</f>
        <v/>
      </c>
      <c r="R262" s="38" t="str">
        <f>IF($A262="","",MAX(0.001,'KT THAN'!$D$32*ABS(I262)/MAX(1,H262)))</f>
        <v/>
      </c>
      <c r="S262" t="str">
        <f t="shared" si="38"/>
        <v/>
      </c>
    </row>
    <row r="263" spans="1:19" hidden="1" outlineLevel="1" x14ac:dyDescent="0.3">
      <c r="A263" s="37" t="str">
        <f>IF('TO HOP NLAN'!$A129="","",'TO HOP NLAN'!$A129)</f>
        <v/>
      </c>
      <c r="B263" s="38" t="str">
        <f>IF($A263="","",'TO HOP NLAN'!$D129)</f>
        <v/>
      </c>
      <c r="C263" s="38" t="str">
        <f>IF($A263="","",'TO HOP NLAN'!$E129)</f>
        <v/>
      </c>
      <c r="D263" s="38" t="str">
        <f>IF($A263="","",'TO HOP NLAN'!$F129)</f>
        <v/>
      </c>
      <c r="E263" s="38" t="str">
        <f>IF($A263="","",'TO HOP NLAN'!$B129)</f>
        <v/>
      </c>
      <c r="F263" s="38" t="str">
        <f>IF($A263="","",'TO HOP NLAN'!$C129)</f>
        <v/>
      </c>
      <c r="G263" s="38" t="str">
        <f t="shared" si="39"/>
        <v/>
      </c>
      <c r="H263" s="38" t="str">
        <f t="shared" si="37"/>
        <v/>
      </c>
      <c r="I263" s="38" t="str">
        <f t="shared" si="40"/>
        <v/>
      </c>
      <c r="J263" s="38" t="str">
        <f t="shared" si="41"/>
        <v/>
      </c>
      <c r="K263" s="38" t="str">
        <f t="shared" si="42"/>
        <v/>
      </c>
      <c r="L263" s="38" t="str">
        <f t="shared" si="43"/>
        <v/>
      </c>
      <c r="M263" s="38" t="str">
        <f>IF($A263="","",IF(H263=0,"",IF(Q263&lt;=0.000000001,MIN(0.8*0.75*'KT THAN'!$C$62,MAX('KT THAN'!$J$38:$J$58)),IFERROR(MIN(0.8*0.75*'KT THAN'!$C$62,INDEX('KT THAN'!$J$38:$J$58,MATCH(Q263,'KT THAN'!$L$38:$L$58,-1))+(INDEX('KT THAN'!$J$38:$J$58,MIN(21,MATCH(Q263,'KT THAN'!$L$38:$L$58,-1)+1))-INDEX('KT THAN'!$J$38:$J$58,MATCH(Q263,'KT THAN'!$L$38:$L$58,-1)))*(Q263-INDEX('KT THAN'!$L$38:$L$58,MATCH(Q263,'KT THAN'!$L$38:$L$58,-1)))/(INDEX('KT THAN'!$L$38:$L$58,MIN(21,MATCH(Q263,'KT THAN'!$L$38:$L$58,-1)+1))-INDEX('KT THAN'!$L$38:$L$58,MATCH(Q263,'KT THAN'!$L$38:$L$58,-1)))),MIN(0.8*0.75*'KT THAN'!$C$62,'KT THAN'!$C$68/Q263)))))</f>
        <v/>
      </c>
      <c r="N263" s="38" t="str">
        <f>IF($A263="","",IF(H263=0,"",IF(R263&lt;=0.000000001,MIN(0.8*0.75*'KT THAN'!$C$62,MAX('KT THAN'!$W$38:$W$58)),IFERROR(MIN(0.8*0.75*'KT THAN'!$C$62,INDEX('KT THAN'!$W$38:$W$58,MATCH(R263,'KT THAN'!$Y$38:$Y$58,-1))+(INDEX('KT THAN'!$W$38:$W$58,MIN(21,MATCH(R263,'KT THAN'!$Y$38:$Y$58,-1)+1))-INDEX('KT THAN'!$W$38:$W$58,MATCH(R263,'KT THAN'!$Y$38:$Y$58,-1)))*(R263-INDEX('KT THAN'!$Y$38:$Y$58,MATCH(R263,'KT THAN'!$Y$38:$Y$58,-1)))/(INDEX('KT THAN'!$Y$38:$Y$58,MIN(21,MATCH(R263,'KT THAN'!$Y$38:$Y$58,-1)+1))-INDEX('KT THAN'!$Y$38:$Y$58,MATCH(R263,'KT THAN'!$Y$38:$Y$58,-1)))),MIN(0.8*0.75*'KT THAN'!$C$62,'KT THAN'!$D$68/R263)))))</f>
        <v/>
      </c>
      <c r="O263" s="38" t="str">
        <f>IF($A263="","",IF(H263&lt;0,ABS(H263)/MAX('KT THAN'!$C$69,0.001)+'KT THAN'!$C$32*ABS(J263)/MAX('KT THAN'!$C$68,0.001)+'KT THAN'!$D$32*ABS(I263)/MAX('KT THAN'!$D$68,0.001),IF(OR(M263&lt;=0,N263&lt;=0),999,IF(H263&gt;=0.1*0.75*fc_*Agth*1000,H263/MAX(0.001,1/(1/M263+1/N263-1/(0.75*'KT THAN'!$C$62))),'KT THAN'!$C$32*ABS(J263)/MAX('KT THAN'!$C$68,0.001)+'KT THAN'!$D$32*ABS(I263)/MAX('KT THAN'!$D$68,0.001)))))</f>
        <v/>
      </c>
      <c r="P263" s="37" t="str">
        <f t="shared" si="44"/>
        <v/>
      </c>
      <c r="Q263" s="38" t="str">
        <f>IF($A263="","",MAX(0.001,'KT THAN'!$C$32*ABS(J263)/MAX(1,H263)))</f>
        <v/>
      </c>
      <c r="R263" s="38" t="str">
        <f>IF($A263="","",MAX(0.001,'KT THAN'!$D$32*ABS(I263)/MAX(1,H263)))</f>
        <v/>
      </c>
      <c r="S263" t="str">
        <f t="shared" si="38"/>
        <v/>
      </c>
    </row>
    <row r="264" spans="1:19" hidden="1" outlineLevel="1" x14ac:dyDescent="0.3">
      <c r="A264" s="37" t="str">
        <f>IF('TO HOP NLAN'!$A130="","",'TO HOP NLAN'!$A130)</f>
        <v/>
      </c>
      <c r="B264" s="38" t="str">
        <f>IF($A264="","",'TO HOP NLAN'!$D130)</f>
        <v/>
      </c>
      <c r="C264" s="38" t="str">
        <f>IF($A264="","",'TO HOP NLAN'!$E130)</f>
        <v/>
      </c>
      <c r="D264" s="38" t="str">
        <f>IF($A264="","",'TO HOP NLAN'!$F130)</f>
        <v/>
      </c>
      <c r="E264" s="38" t="str">
        <f>IF($A264="","",'TO HOP NLAN'!$B130)</f>
        <v/>
      </c>
      <c r="F264" s="38" t="str">
        <f>IF($A264="","",'TO HOP NLAN'!$C130)</f>
        <v/>
      </c>
      <c r="G264" s="38" t="str">
        <f t="shared" si="39"/>
        <v/>
      </c>
      <c r="H264" s="38" t="str">
        <f t="shared" si="37"/>
        <v/>
      </c>
      <c r="I264" s="38" t="str">
        <f t="shared" si="40"/>
        <v/>
      </c>
      <c r="J264" s="38" t="str">
        <f t="shared" si="41"/>
        <v/>
      </c>
      <c r="K264" s="38" t="str">
        <f t="shared" si="42"/>
        <v/>
      </c>
      <c r="L264" s="38" t="str">
        <f t="shared" si="43"/>
        <v/>
      </c>
      <c r="M264" s="38" t="str">
        <f>IF($A264="","",IF(H264=0,"",IF(Q264&lt;=0.000000001,MIN(0.8*0.75*'KT THAN'!$C$62,MAX('KT THAN'!$J$38:$J$58)),IFERROR(MIN(0.8*0.75*'KT THAN'!$C$62,INDEX('KT THAN'!$J$38:$J$58,MATCH(Q264,'KT THAN'!$L$38:$L$58,-1))+(INDEX('KT THAN'!$J$38:$J$58,MIN(21,MATCH(Q264,'KT THAN'!$L$38:$L$58,-1)+1))-INDEX('KT THAN'!$J$38:$J$58,MATCH(Q264,'KT THAN'!$L$38:$L$58,-1)))*(Q264-INDEX('KT THAN'!$L$38:$L$58,MATCH(Q264,'KT THAN'!$L$38:$L$58,-1)))/(INDEX('KT THAN'!$L$38:$L$58,MIN(21,MATCH(Q264,'KT THAN'!$L$38:$L$58,-1)+1))-INDEX('KT THAN'!$L$38:$L$58,MATCH(Q264,'KT THAN'!$L$38:$L$58,-1)))),MIN(0.8*0.75*'KT THAN'!$C$62,'KT THAN'!$C$68/Q264)))))</f>
        <v/>
      </c>
      <c r="N264" s="38" t="str">
        <f>IF($A264="","",IF(H264=0,"",IF(R264&lt;=0.000000001,MIN(0.8*0.75*'KT THAN'!$C$62,MAX('KT THAN'!$W$38:$W$58)),IFERROR(MIN(0.8*0.75*'KT THAN'!$C$62,INDEX('KT THAN'!$W$38:$W$58,MATCH(R264,'KT THAN'!$Y$38:$Y$58,-1))+(INDEX('KT THAN'!$W$38:$W$58,MIN(21,MATCH(R264,'KT THAN'!$Y$38:$Y$58,-1)+1))-INDEX('KT THAN'!$W$38:$W$58,MATCH(R264,'KT THAN'!$Y$38:$Y$58,-1)))*(R264-INDEX('KT THAN'!$Y$38:$Y$58,MATCH(R264,'KT THAN'!$Y$38:$Y$58,-1)))/(INDEX('KT THAN'!$Y$38:$Y$58,MIN(21,MATCH(R264,'KT THAN'!$Y$38:$Y$58,-1)+1))-INDEX('KT THAN'!$Y$38:$Y$58,MATCH(R264,'KT THAN'!$Y$38:$Y$58,-1)))),MIN(0.8*0.75*'KT THAN'!$C$62,'KT THAN'!$D$68/R264)))))</f>
        <v/>
      </c>
      <c r="O264" s="38" t="str">
        <f>IF($A264="","",IF(H264&lt;0,ABS(H264)/MAX('KT THAN'!$C$69,0.001)+'KT THAN'!$C$32*ABS(J264)/MAX('KT THAN'!$C$68,0.001)+'KT THAN'!$D$32*ABS(I264)/MAX('KT THAN'!$D$68,0.001),IF(OR(M264&lt;=0,N264&lt;=0),999,IF(H264&gt;=0.1*0.75*fc_*Agth*1000,H264/MAX(0.001,1/(1/M264+1/N264-1/(0.75*'KT THAN'!$C$62))),'KT THAN'!$C$32*ABS(J264)/MAX('KT THAN'!$C$68,0.001)+'KT THAN'!$D$32*ABS(I264)/MAX('KT THAN'!$D$68,0.001)))))</f>
        <v/>
      </c>
      <c r="P264" s="37" t="str">
        <f t="shared" si="44"/>
        <v/>
      </c>
      <c r="Q264" s="38" t="str">
        <f>IF($A264="","",MAX(0.001,'KT THAN'!$C$32*ABS(J264)/MAX(1,H264)))</f>
        <v/>
      </c>
      <c r="R264" s="38" t="str">
        <f>IF($A264="","",MAX(0.001,'KT THAN'!$D$32*ABS(I264)/MAX(1,H264)))</f>
        <v/>
      </c>
      <c r="S264" t="str">
        <f t="shared" si="38"/>
        <v/>
      </c>
    </row>
    <row r="265" spans="1:19" hidden="1" outlineLevel="1" x14ac:dyDescent="0.3">
      <c r="A265" s="37" t="str">
        <f>IF('TO HOP NLAN'!$A131="","",'TO HOP NLAN'!$A131)</f>
        <v/>
      </c>
      <c r="B265" s="38" t="str">
        <f>IF($A265="","",'TO HOP NLAN'!$D131)</f>
        <v/>
      </c>
      <c r="C265" s="38" t="str">
        <f>IF($A265="","",'TO HOP NLAN'!$E131)</f>
        <v/>
      </c>
      <c r="D265" s="38" t="str">
        <f>IF($A265="","",'TO HOP NLAN'!$F131)</f>
        <v/>
      </c>
      <c r="E265" s="38" t="str">
        <f>IF($A265="","",'TO HOP NLAN'!$B131)</f>
        <v/>
      </c>
      <c r="F265" s="38" t="str">
        <f>IF($A265="","",'TO HOP NLAN'!$C131)</f>
        <v/>
      </c>
      <c r="G265" s="38" t="str">
        <f t="shared" si="39"/>
        <v/>
      </c>
      <c r="H265" s="38" t="str">
        <f t="shared" si="37"/>
        <v/>
      </c>
      <c r="I265" s="38" t="str">
        <f t="shared" si="40"/>
        <v/>
      </c>
      <c r="J265" s="38" t="str">
        <f t="shared" si="41"/>
        <v/>
      </c>
      <c r="K265" s="38" t="str">
        <f t="shared" si="42"/>
        <v/>
      </c>
      <c r="L265" s="38" t="str">
        <f t="shared" si="43"/>
        <v/>
      </c>
      <c r="M265" s="38" t="str">
        <f>IF($A265="","",IF(H265=0,"",IF(Q265&lt;=0.000000001,MIN(0.8*0.75*'KT THAN'!$C$62,MAX('KT THAN'!$J$38:$J$58)),IFERROR(MIN(0.8*0.75*'KT THAN'!$C$62,INDEX('KT THAN'!$J$38:$J$58,MATCH(Q265,'KT THAN'!$L$38:$L$58,-1))+(INDEX('KT THAN'!$J$38:$J$58,MIN(21,MATCH(Q265,'KT THAN'!$L$38:$L$58,-1)+1))-INDEX('KT THAN'!$J$38:$J$58,MATCH(Q265,'KT THAN'!$L$38:$L$58,-1)))*(Q265-INDEX('KT THAN'!$L$38:$L$58,MATCH(Q265,'KT THAN'!$L$38:$L$58,-1)))/(INDEX('KT THAN'!$L$38:$L$58,MIN(21,MATCH(Q265,'KT THAN'!$L$38:$L$58,-1)+1))-INDEX('KT THAN'!$L$38:$L$58,MATCH(Q265,'KT THAN'!$L$38:$L$58,-1)))),MIN(0.8*0.75*'KT THAN'!$C$62,'KT THAN'!$C$68/Q265)))))</f>
        <v/>
      </c>
      <c r="N265" s="38" t="str">
        <f>IF($A265="","",IF(H265=0,"",IF(R265&lt;=0.000000001,MIN(0.8*0.75*'KT THAN'!$C$62,MAX('KT THAN'!$W$38:$W$58)),IFERROR(MIN(0.8*0.75*'KT THAN'!$C$62,INDEX('KT THAN'!$W$38:$W$58,MATCH(R265,'KT THAN'!$Y$38:$Y$58,-1))+(INDEX('KT THAN'!$W$38:$W$58,MIN(21,MATCH(R265,'KT THAN'!$Y$38:$Y$58,-1)+1))-INDEX('KT THAN'!$W$38:$W$58,MATCH(R265,'KT THAN'!$Y$38:$Y$58,-1)))*(R265-INDEX('KT THAN'!$Y$38:$Y$58,MATCH(R265,'KT THAN'!$Y$38:$Y$58,-1)))/(INDEX('KT THAN'!$Y$38:$Y$58,MIN(21,MATCH(R265,'KT THAN'!$Y$38:$Y$58,-1)+1))-INDEX('KT THAN'!$Y$38:$Y$58,MATCH(R265,'KT THAN'!$Y$38:$Y$58,-1)))),MIN(0.8*0.75*'KT THAN'!$C$62,'KT THAN'!$D$68/R265)))))</f>
        <v/>
      </c>
      <c r="O265" s="38" t="str">
        <f>IF($A265="","",IF(H265&lt;0,ABS(H265)/MAX('KT THAN'!$C$69,0.001)+'KT THAN'!$C$32*ABS(J265)/MAX('KT THAN'!$C$68,0.001)+'KT THAN'!$D$32*ABS(I265)/MAX('KT THAN'!$D$68,0.001),IF(OR(M265&lt;=0,N265&lt;=0),999,IF(H265&gt;=0.1*0.75*fc_*Agth*1000,H265/MAX(0.001,1/(1/M265+1/N265-1/(0.75*'KT THAN'!$C$62))),'KT THAN'!$C$32*ABS(J265)/MAX('KT THAN'!$C$68,0.001)+'KT THAN'!$D$32*ABS(I265)/MAX('KT THAN'!$D$68,0.001)))))</f>
        <v/>
      </c>
      <c r="P265" s="37" t="str">
        <f t="shared" si="44"/>
        <v/>
      </c>
      <c r="Q265" s="38" t="str">
        <f>IF($A265="","",MAX(0.001,'KT THAN'!$C$32*ABS(J265)/MAX(1,H265)))</f>
        <v/>
      </c>
      <c r="R265" s="38" t="str">
        <f>IF($A265="","",MAX(0.001,'KT THAN'!$D$32*ABS(I265)/MAX(1,H265)))</f>
        <v/>
      </c>
      <c r="S265" t="str">
        <f t="shared" si="38"/>
        <v/>
      </c>
    </row>
    <row r="266" spans="1:19" hidden="1" outlineLevel="1" x14ac:dyDescent="0.3">
      <c r="A266" s="37" t="str">
        <f>IF('TO HOP NLAN'!$A132="","",'TO HOP NLAN'!$A132)</f>
        <v/>
      </c>
      <c r="B266" s="38" t="str">
        <f>IF($A266="","",'TO HOP NLAN'!$D132)</f>
        <v/>
      </c>
      <c r="C266" s="38" t="str">
        <f>IF($A266="","",'TO HOP NLAN'!$E132)</f>
        <v/>
      </c>
      <c r="D266" s="38" t="str">
        <f>IF($A266="","",'TO HOP NLAN'!$F132)</f>
        <v/>
      </c>
      <c r="E266" s="38" t="str">
        <f>IF($A266="","",'TO HOP NLAN'!$B132)</f>
        <v/>
      </c>
      <c r="F266" s="38" t="str">
        <f>IF($A266="","",'TO HOP NLAN'!$C132)</f>
        <v/>
      </c>
      <c r="G266" s="38" t="str">
        <f t="shared" si="39"/>
        <v/>
      </c>
      <c r="H266" s="38" t="str">
        <f t="shared" si="37"/>
        <v/>
      </c>
      <c r="I266" s="38" t="str">
        <f t="shared" si="40"/>
        <v/>
      </c>
      <c r="J266" s="38" t="str">
        <f t="shared" si="41"/>
        <v/>
      </c>
      <c r="K266" s="38" t="str">
        <f t="shared" si="42"/>
        <v/>
      </c>
      <c r="L266" s="38" t="str">
        <f t="shared" si="43"/>
        <v/>
      </c>
      <c r="M266" s="38" t="str">
        <f>IF($A266="","",IF(H266=0,"",IF(Q266&lt;=0.000000001,MIN(0.8*0.75*'KT THAN'!$C$62,MAX('KT THAN'!$J$38:$J$58)),IFERROR(MIN(0.8*0.75*'KT THAN'!$C$62,INDEX('KT THAN'!$J$38:$J$58,MATCH(Q266,'KT THAN'!$L$38:$L$58,-1))+(INDEX('KT THAN'!$J$38:$J$58,MIN(21,MATCH(Q266,'KT THAN'!$L$38:$L$58,-1)+1))-INDEX('KT THAN'!$J$38:$J$58,MATCH(Q266,'KT THAN'!$L$38:$L$58,-1)))*(Q266-INDEX('KT THAN'!$L$38:$L$58,MATCH(Q266,'KT THAN'!$L$38:$L$58,-1)))/(INDEX('KT THAN'!$L$38:$L$58,MIN(21,MATCH(Q266,'KT THAN'!$L$38:$L$58,-1)+1))-INDEX('KT THAN'!$L$38:$L$58,MATCH(Q266,'KT THAN'!$L$38:$L$58,-1)))),MIN(0.8*0.75*'KT THAN'!$C$62,'KT THAN'!$C$68/Q266)))))</f>
        <v/>
      </c>
      <c r="N266" s="38" t="str">
        <f>IF($A266="","",IF(H266=0,"",IF(R266&lt;=0.000000001,MIN(0.8*0.75*'KT THAN'!$C$62,MAX('KT THAN'!$W$38:$W$58)),IFERROR(MIN(0.8*0.75*'KT THAN'!$C$62,INDEX('KT THAN'!$W$38:$W$58,MATCH(R266,'KT THAN'!$Y$38:$Y$58,-1))+(INDEX('KT THAN'!$W$38:$W$58,MIN(21,MATCH(R266,'KT THAN'!$Y$38:$Y$58,-1)+1))-INDEX('KT THAN'!$W$38:$W$58,MATCH(R266,'KT THAN'!$Y$38:$Y$58,-1)))*(R266-INDEX('KT THAN'!$Y$38:$Y$58,MATCH(R266,'KT THAN'!$Y$38:$Y$58,-1)))/(INDEX('KT THAN'!$Y$38:$Y$58,MIN(21,MATCH(R266,'KT THAN'!$Y$38:$Y$58,-1)+1))-INDEX('KT THAN'!$Y$38:$Y$58,MATCH(R266,'KT THAN'!$Y$38:$Y$58,-1)))),MIN(0.8*0.75*'KT THAN'!$C$62,'KT THAN'!$D$68/R266)))))</f>
        <v/>
      </c>
      <c r="O266" s="38" t="str">
        <f>IF($A266="","",IF(H266&lt;0,ABS(H266)/MAX('KT THAN'!$C$69,0.001)+'KT THAN'!$C$32*ABS(J266)/MAX('KT THAN'!$C$68,0.001)+'KT THAN'!$D$32*ABS(I266)/MAX('KT THAN'!$D$68,0.001),IF(OR(M266&lt;=0,N266&lt;=0),999,IF(H266&gt;=0.1*0.75*fc_*Agth*1000,H266/MAX(0.001,1/(1/M266+1/N266-1/(0.75*'KT THAN'!$C$62))),'KT THAN'!$C$32*ABS(J266)/MAX('KT THAN'!$C$68,0.001)+'KT THAN'!$D$32*ABS(I266)/MAX('KT THAN'!$D$68,0.001)))))</f>
        <v/>
      </c>
      <c r="P266" s="37" t="str">
        <f t="shared" si="44"/>
        <v/>
      </c>
      <c r="Q266" s="38" t="str">
        <f>IF($A266="","",MAX(0.001,'KT THAN'!$C$32*ABS(J266)/MAX(1,H266)))</f>
        <v/>
      </c>
      <c r="R266" s="38" t="str">
        <f>IF($A266="","",MAX(0.001,'KT THAN'!$D$32*ABS(I266)/MAX(1,H266)))</f>
        <v/>
      </c>
      <c r="S266" t="str">
        <f t="shared" si="38"/>
        <v/>
      </c>
    </row>
    <row r="267" spans="1:19" hidden="1" outlineLevel="1" x14ac:dyDescent="0.3">
      <c r="A267" s="37" t="str">
        <f>IF('TO HOP NLAN'!$A133="","",'TO HOP NLAN'!$A133)</f>
        <v/>
      </c>
      <c r="B267" s="38" t="str">
        <f>IF($A267="","",'TO HOP NLAN'!$D133)</f>
        <v/>
      </c>
      <c r="C267" s="38" t="str">
        <f>IF($A267="","",'TO HOP NLAN'!$E133)</f>
        <v/>
      </c>
      <c r="D267" s="38" t="str">
        <f>IF($A267="","",'TO HOP NLAN'!$F133)</f>
        <v/>
      </c>
      <c r="E267" s="38" t="str">
        <f>IF($A267="","",'TO HOP NLAN'!$B133)</f>
        <v/>
      </c>
      <c r="F267" s="38" t="str">
        <f>IF($A267="","",'TO HOP NLAN'!$C133)</f>
        <v/>
      </c>
      <c r="G267" s="38" t="str">
        <f t="shared" si="39"/>
        <v/>
      </c>
      <c r="H267" s="38" t="str">
        <f t="shared" si="37"/>
        <v/>
      </c>
      <c r="I267" s="38" t="str">
        <f t="shared" si="40"/>
        <v/>
      </c>
      <c r="J267" s="38" t="str">
        <f t="shared" si="41"/>
        <v/>
      </c>
      <c r="K267" s="38" t="str">
        <f t="shared" si="42"/>
        <v/>
      </c>
      <c r="L267" s="38" t="str">
        <f t="shared" si="43"/>
        <v/>
      </c>
      <c r="M267" s="38" t="str">
        <f>IF($A267="","",IF(H267=0,"",IF(Q267&lt;=0.000000001,MIN(0.8*0.75*'KT THAN'!$C$62,MAX('KT THAN'!$J$38:$J$58)),IFERROR(MIN(0.8*0.75*'KT THAN'!$C$62,INDEX('KT THAN'!$J$38:$J$58,MATCH(Q267,'KT THAN'!$L$38:$L$58,-1))+(INDEX('KT THAN'!$J$38:$J$58,MIN(21,MATCH(Q267,'KT THAN'!$L$38:$L$58,-1)+1))-INDEX('KT THAN'!$J$38:$J$58,MATCH(Q267,'KT THAN'!$L$38:$L$58,-1)))*(Q267-INDEX('KT THAN'!$L$38:$L$58,MATCH(Q267,'KT THAN'!$L$38:$L$58,-1)))/(INDEX('KT THAN'!$L$38:$L$58,MIN(21,MATCH(Q267,'KT THAN'!$L$38:$L$58,-1)+1))-INDEX('KT THAN'!$L$38:$L$58,MATCH(Q267,'KT THAN'!$L$38:$L$58,-1)))),MIN(0.8*0.75*'KT THAN'!$C$62,'KT THAN'!$C$68/Q267)))))</f>
        <v/>
      </c>
      <c r="N267" s="38" t="str">
        <f>IF($A267="","",IF(H267=0,"",IF(R267&lt;=0.000000001,MIN(0.8*0.75*'KT THAN'!$C$62,MAX('KT THAN'!$W$38:$W$58)),IFERROR(MIN(0.8*0.75*'KT THAN'!$C$62,INDEX('KT THAN'!$W$38:$W$58,MATCH(R267,'KT THAN'!$Y$38:$Y$58,-1))+(INDEX('KT THAN'!$W$38:$W$58,MIN(21,MATCH(R267,'KT THAN'!$Y$38:$Y$58,-1)+1))-INDEX('KT THAN'!$W$38:$W$58,MATCH(R267,'KT THAN'!$Y$38:$Y$58,-1)))*(R267-INDEX('KT THAN'!$Y$38:$Y$58,MATCH(R267,'KT THAN'!$Y$38:$Y$58,-1)))/(INDEX('KT THAN'!$Y$38:$Y$58,MIN(21,MATCH(R267,'KT THAN'!$Y$38:$Y$58,-1)+1))-INDEX('KT THAN'!$Y$38:$Y$58,MATCH(R267,'KT THAN'!$Y$38:$Y$58,-1)))),MIN(0.8*0.75*'KT THAN'!$C$62,'KT THAN'!$D$68/R267)))))</f>
        <v/>
      </c>
      <c r="O267" s="38" t="str">
        <f>IF($A267="","",IF(H267&lt;0,ABS(H267)/MAX('KT THAN'!$C$69,0.001)+'KT THAN'!$C$32*ABS(J267)/MAX('KT THAN'!$C$68,0.001)+'KT THAN'!$D$32*ABS(I267)/MAX('KT THAN'!$D$68,0.001),IF(OR(M267&lt;=0,N267&lt;=0),999,IF(H267&gt;=0.1*0.75*fc_*Agth*1000,H267/MAX(0.001,1/(1/M267+1/N267-1/(0.75*'KT THAN'!$C$62))),'KT THAN'!$C$32*ABS(J267)/MAX('KT THAN'!$C$68,0.001)+'KT THAN'!$D$32*ABS(I267)/MAX('KT THAN'!$D$68,0.001)))))</f>
        <v/>
      </c>
      <c r="P267" s="37" t="str">
        <f t="shared" si="44"/>
        <v/>
      </c>
      <c r="Q267" s="38" t="str">
        <f>IF($A267="","",MAX(0.001,'KT THAN'!$C$32*ABS(J267)/MAX(1,H267)))</f>
        <v/>
      </c>
      <c r="R267" s="38" t="str">
        <f>IF($A267="","",MAX(0.001,'KT THAN'!$D$32*ABS(I267)/MAX(1,H267)))</f>
        <v/>
      </c>
      <c r="S267" t="str">
        <f t="shared" si="38"/>
        <v/>
      </c>
    </row>
    <row r="268" spans="1:19" hidden="1" outlineLevel="1" x14ac:dyDescent="0.3">
      <c r="A268" s="37" t="str">
        <f>IF('TO HOP NLAN'!$A134="","",'TO HOP NLAN'!$A134)</f>
        <v/>
      </c>
      <c r="B268" s="38" t="str">
        <f>IF($A268="","",'TO HOP NLAN'!$D134)</f>
        <v/>
      </c>
      <c r="C268" s="38" t="str">
        <f>IF($A268="","",'TO HOP NLAN'!$E134)</f>
        <v/>
      </c>
      <c r="D268" s="38" t="str">
        <f>IF($A268="","",'TO HOP NLAN'!$F134)</f>
        <v/>
      </c>
      <c r="E268" s="38" t="str">
        <f>IF($A268="","",'TO HOP NLAN'!$B134)</f>
        <v/>
      </c>
      <c r="F268" s="38" t="str">
        <f>IF($A268="","",'TO HOP NLAN'!$C134)</f>
        <v/>
      </c>
      <c r="G268" s="38" t="str">
        <f t="shared" si="39"/>
        <v/>
      </c>
      <c r="H268" s="38" t="str">
        <f t="shared" ref="H268:H331" si="45">IF(A268="","",IF(nThan=1,B268,B268/2+(1)*$B$7*C268/sThan))</f>
        <v/>
      </c>
      <c r="I268" s="38" t="str">
        <f t="shared" si="40"/>
        <v/>
      </c>
      <c r="J268" s="38" t="str">
        <f t="shared" si="41"/>
        <v/>
      </c>
      <c r="K268" s="38" t="str">
        <f t="shared" si="42"/>
        <v/>
      </c>
      <c r="L268" s="38" t="str">
        <f t="shared" si="43"/>
        <v/>
      </c>
      <c r="M268" s="38" t="str">
        <f>IF($A268="","",IF(H268=0,"",IF(Q268&lt;=0.000000001,MIN(0.8*0.75*'KT THAN'!$C$62,MAX('KT THAN'!$J$38:$J$58)),IFERROR(MIN(0.8*0.75*'KT THAN'!$C$62,INDEX('KT THAN'!$J$38:$J$58,MATCH(Q268,'KT THAN'!$L$38:$L$58,-1))+(INDEX('KT THAN'!$J$38:$J$58,MIN(21,MATCH(Q268,'KT THAN'!$L$38:$L$58,-1)+1))-INDEX('KT THAN'!$J$38:$J$58,MATCH(Q268,'KT THAN'!$L$38:$L$58,-1)))*(Q268-INDEX('KT THAN'!$L$38:$L$58,MATCH(Q268,'KT THAN'!$L$38:$L$58,-1)))/(INDEX('KT THAN'!$L$38:$L$58,MIN(21,MATCH(Q268,'KT THAN'!$L$38:$L$58,-1)+1))-INDEX('KT THAN'!$L$38:$L$58,MATCH(Q268,'KT THAN'!$L$38:$L$58,-1)))),MIN(0.8*0.75*'KT THAN'!$C$62,'KT THAN'!$C$68/Q268)))))</f>
        <v/>
      </c>
      <c r="N268" s="38" t="str">
        <f>IF($A268="","",IF(H268=0,"",IF(R268&lt;=0.000000001,MIN(0.8*0.75*'KT THAN'!$C$62,MAX('KT THAN'!$W$38:$W$58)),IFERROR(MIN(0.8*0.75*'KT THAN'!$C$62,INDEX('KT THAN'!$W$38:$W$58,MATCH(R268,'KT THAN'!$Y$38:$Y$58,-1))+(INDEX('KT THAN'!$W$38:$W$58,MIN(21,MATCH(R268,'KT THAN'!$Y$38:$Y$58,-1)+1))-INDEX('KT THAN'!$W$38:$W$58,MATCH(R268,'KT THAN'!$Y$38:$Y$58,-1)))*(R268-INDEX('KT THAN'!$Y$38:$Y$58,MATCH(R268,'KT THAN'!$Y$38:$Y$58,-1)))/(INDEX('KT THAN'!$Y$38:$Y$58,MIN(21,MATCH(R268,'KT THAN'!$Y$38:$Y$58,-1)+1))-INDEX('KT THAN'!$Y$38:$Y$58,MATCH(R268,'KT THAN'!$Y$38:$Y$58,-1)))),MIN(0.8*0.75*'KT THAN'!$C$62,'KT THAN'!$D$68/R268)))))</f>
        <v/>
      </c>
      <c r="O268" s="38" t="str">
        <f>IF($A268="","",IF(H268&lt;0,ABS(H268)/MAX('KT THAN'!$C$69,0.001)+'KT THAN'!$C$32*ABS(J268)/MAX('KT THAN'!$C$68,0.001)+'KT THAN'!$D$32*ABS(I268)/MAX('KT THAN'!$D$68,0.001),IF(OR(M268&lt;=0,N268&lt;=0),999,IF(H268&gt;=0.1*0.75*fc_*Agth*1000,H268/MAX(0.001,1/(1/M268+1/N268-1/(0.75*'KT THAN'!$C$62))),'KT THAN'!$C$32*ABS(J268)/MAX('KT THAN'!$C$68,0.001)+'KT THAN'!$D$32*ABS(I268)/MAX('KT THAN'!$D$68,0.001)))))</f>
        <v/>
      </c>
      <c r="P268" s="37" t="str">
        <f t="shared" si="44"/>
        <v/>
      </c>
      <c r="Q268" s="38" t="str">
        <f>IF($A268="","",MAX(0.001,'KT THAN'!$C$32*ABS(J268)/MAX(1,H268)))</f>
        <v/>
      </c>
      <c r="R268" s="38" t="str">
        <f>IF($A268="","",MAX(0.001,'KT THAN'!$D$32*ABS(I268)/MAX(1,H268)))</f>
        <v/>
      </c>
      <c r="S268" t="str">
        <f t="shared" ref="S268:S331" si="46">IF($A268="","",IF(H268&lt;0,O268,""))</f>
        <v/>
      </c>
    </row>
    <row r="269" spans="1:19" hidden="1" outlineLevel="1" x14ac:dyDescent="0.3">
      <c r="A269" s="37" t="str">
        <f>IF('TO HOP NLAN'!$A135="","",'TO HOP NLAN'!$A135)</f>
        <v/>
      </c>
      <c r="B269" s="38" t="str">
        <f>IF($A269="","",'TO HOP NLAN'!$D135)</f>
        <v/>
      </c>
      <c r="C269" s="38" t="str">
        <f>IF($A269="","",'TO HOP NLAN'!$E135)</f>
        <v/>
      </c>
      <c r="D269" s="38" t="str">
        <f>IF($A269="","",'TO HOP NLAN'!$F135)</f>
        <v/>
      </c>
      <c r="E269" s="38" t="str">
        <f>IF($A269="","",'TO HOP NLAN'!$B135)</f>
        <v/>
      </c>
      <c r="F269" s="38" t="str">
        <f>IF($A269="","",'TO HOP NLAN'!$C135)</f>
        <v/>
      </c>
      <c r="G269" s="38" t="str">
        <f t="shared" ref="G269:G332" si="47">IF(A269="","",1)</f>
        <v/>
      </c>
      <c r="H269" s="38" t="str">
        <f t="shared" si="45"/>
        <v/>
      </c>
      <c r="I269" s="38" t="str">
        <f t="shared" ref="I269:I332" si="48">IF(A269="","",IF(nThan=1,C269,(1-$B$7)*C269/2))</f>
        <v/>
      </c>
      <c r="J269" s="38" t="str">
        <f t="shared" ref="J269:J332" si="49">IF(A269="","",IF(nThan=1,D269,D269/2))</f>
        <v/>
      </c>
      <c r="K269" s="38" t="str">
        <f t="shared" ref="K269:K332" si="50">IF(A269="","",IF(nThan=1,E269,E269/2))</f>
        <v/>
      </c>
      <c r="L269" s="38" t="str">
        <f t="shared" ref="L269:L332" si="51">IF(A269="","",IF(nThan=1,F269,F269/2))</f>
        <v/>
      </c>
      <c r="M269" s="38" t="str">
        <f>IF($A269="","",IF(H269=0,"",IF(Q269&lt;=0.000000001,MIN(0.8*0.75*'KT THAN'!$C$62,MAX('KT THAN'!$J$38:$J$58)),IFERROR(MIN(0.8*0.75*'KT THAN'!$C$62,INDEX('KT THAN'!$J$38:$J$58,MATCH(Q269,'KT THAN'!$L$38:$L$58,-1))+(INDEX('KT THAN'!$J$38:$J$58,MIN(21,MATCH(Q269,'KT THAN'!$L$38:$L$58,-1)+1))-INDEX('KT THAN'!$J$38:$J$58,MATCH(Q269,'KT THAN'!$L$38:$L$58,-1)))*(Q269-INDEX('KT THAN'!$L$38:$L$58,MATCH(Q269,'KT THAN'!$L$38:$L$58,-1)))/(INDEX('KT THAN'!$L$38:$L$58,MIN(21,MATCH(Q269,'KT THAN'!$L$38:$L$58,-1)+1))-INDEX('KT THAN'!$L$38:$L$58,MATCH(Q269,'KT THAN'!$L$38:$L$58,-1)))),MIN(0.8*0.75*'KT THAN'!$C$62,'KT THAN'!$C$68/Q269)))))</f>
        <v/>
      </c>
      <c r="N269" s="38" t="str">
        <f>IF($A269="","",IF(H269=0,"",IF(R269&lt;=0.000000001,MIN(0.8*0.75*'KT THAN'!$C$62,MAX('KT THAN'!$W$38:$W$58)),IFERROR(MIN(0.8*0.75*'KT THAN'!$C$62,INDEX('KT THAN'!$W$38:$W$58,MATCH(R269,'KT THAN'!$Y$38:$Y$58,-1))+(INDEX('KT THAN'!$W$38:$W$58,MIN(21,MATCH(R269,'KT THAN'!$Y$38:$Y$58,-1)+1))-INDEX('KT THAN'!$W$38:$W$58,MATCH(R269,'KT THAN'!$Y$38:$Y$58,-1)))*(R269-INDEX('KT THAN'!$Y$38:$Y$58,MATCH(R269,'KT THAN'!$Y$38:$Y$58,-1)))/(INDEX('KT THAN'!$Y$38:$Y$58,MIN(21,MATCH(R269,'KT THAN'!$Y$38:$Y$58,-1)+1))-INDEX('KT THAN'!$Y$38:$Y$58,MATCH(R269,'KT THAN'!$Y$38:$Y$58,-1)))),MIN(0.8*0.75*'KT THAN'!$C$62,'KT THAN'!$D$68/R269)))))</f>
        <v/>
      </c>
      <c r="O269" s="38" t="str">
        <f>IF($A269="","",IF(H269&lt;0,ABS(H269)/MAX('KT THAN'!$C$69,0.001)+'KT THAN'!$C$32*ABS(J269)/MAX('KT THAN'!$C$68,0.001)+'KT THAN'!$D$32*ABS(I269)/MAX('KT THAN'!$D$68,0.001),IF(OR(M269&lt;=0,N269&lt;=0),999,IF(H269&gt;=0.1*0.75*fc_*Agth*1000,H269/MAX(0.001,1/(1/M269+1/N269-1/(0.75*'KT THAN'!$C$62))),'KT THAN'!$C$32*ABS(J269)/MAX('KT THAN'!$C$68,0.001)+'KT THAN'!$D$32*ABS(I269)/MAX('KT THAN'!$D$68,0.001)))))</f>
        <v/>
      </c>
      <c r="P269" s="37" t="str">
        <f t="shared" ref="P269:P332" si="52">IF(A269="","",IF(O269&lt;=1,"ĐẠT","KHÔNG ĐẠT"))</f>
        <v/>
      </c>
      <c r="Q269" s="38" t="str">
        <f>IF($A269="","",MAX(0.001,'KT THAN'!$C$32*ABS(J269)/MAX(1,H269)))</f>
        <v/>
      </c>
      <c r="R269" s="38" t="str">
        <f>IF($A269="","",MAX(0.001,'KT THAN'!$D$32*ABS(I269)/MAX(1,H269)))</f>
        <v/>
      </c>
      <c r="S269" t="str">
        <f t="shared" si="46"/>
        <v/>
      </c>
    </row>
    <row r="270" spans="1:19" hidden="1" outlineLevel="1" x14ac:dyDescent="0.3">
      <c r="A270" s="37" t="str">
        <f>IF('TO HOP NLAN'!$A136="","",'TO HOP NLAN'!$A136)</f>
        <v/>
      </c>
      <c r="B270" s="38" t="str">
        <f>IF($A270="","",'TO HOP NLAN'!$D136)</f>
        <v/>
      </c>
      <c r="C270" s="38" t="str">
        <f>IF($A270="","",'TO HOP NLAN'!$E136)</f>
        <v/>
      </c>
      <c r="D270" s="38" t="str">
        <f>IF($A270="","",'TO HOP NLAN'!$F136)</f>
        <v/>
      </c>
      <c r="E270" s="38" t="str">
        <f>IF($A270="","",'TO HOP NLAN'!$B136)</f>
        <v/>
      </c>
      <c r="F270" s="38" t="str">
        <f>IF($A270="","",'TO HOP NLAN'!$C136)</f>
        <v/>
      </c>
      <c r="G270" s="38" t="str">
        <f t="shared" si="47"/>
        <v/>
      </c>
      <c r="H270" s="38" t="str">
        <f t="shared" si="45"/>
        <v/>
      </c>
      <c r="I270" s="38" t="str">
        <f t="shared" si="48"/>
        <v/>
      </c>
      <c r="J270" s="38" t="str">
        <f t="shared" si="49"/>
        <v/>
      </c>
      <c r="K270" s="38" t="str">
        <f t="shared" si="50"/>
        <v/>
      </c>
      <c r="L270" s="38" t="str">
        <f t="shared" si="51"/>
        <v/>
      </c>
      <c r="M270" s="38" t="str">
        <f>IF($A270="","",IF(H270=0,"",IF(Q270&lt;=0.000000001,MIN(0.8*0.75*'KT THAN'!$C$62,MAX('KT THAN'!$J$38:$J$58)),IFERROR(MIN(0.8*0.75*'KT THAN'!$C$62,INDEX('KT THAN'!$J$38:$J$58,MATCH(Q270,'KT THAN'!$L$38:$L$58,-1))+(INDEX('KT THAN'!$J$38:$J$58,MIN(21,MATCH(Q270,'KT THAN'!$L$38:$L$58,-1)+1))-INDEX('KT THAN'!$J$38:$J$58,MATCH(Q270,'KT THAN'!$L$38:$L$58,-1)))*(Q270-INDEX('KT THAN'!$L$38:$L$58,MATCH(Q270,'KT THAN'!$L$38:$L$58,-1)))/(INDEX('KT THAN'!$L$38:$L$58,MIN(21,MATCH(Q270,'KT THAN'!$L$38:$L$58,-1)+1))-INDEX('KT THAN'!$L$38:$L$58,MATCH(Q270,'KT THAN'!$L$38:$L$58,-1)))),MIN(0.8*0.75*'KT THAN'!$C$62,'KT THAN'!$C$68/Q270)))))</f>
        <v/>
      </c>
      <c r="N270" s="38" t="str">
        <f>IF($A270="","",IF(H270=0,"",IF(R270&lt;=0.000000001,MIN(0.8*0.75*'KT THAN'!$C$62,MAX('KT THAN'!$W$38:$W$58)),IFERROR(MIN(0.8*0.75*'KT THAN'!$C$62,INDEX('KT THAN'!$W$38:$W$58,MATCH(R270,'KT THAN'!$Y$38:$Y$58,-1))+(INDEX('KT THAN'!$W$38:$W$58,MIN(21,MATCH(R270,'KT THAN'!$Y$38:$Y$58,-1)+1))-INDEX('KT THAN'!$W$38:$W$58,MATCH(R270,'KT THAN'!$Y$38:$Y$58,-1)))*(R270-INDEX('KT THAN'!$Y$38:$Y$58,MATCH(R270,'KT THAN'!$Y$38:$Y$58,-1)))/(INDEX('KT THAN'!$Y$38:$Y$58,MIN(21,MATCH(R270,'KT THAN'!$Y$38:$Y$58,-1)+1))-INDEX('KT THAN'!$Y$38:$Y$58,MATCH(R270,'KT THAN'!$Y$38:$Y$58,-1)))),MIN(0.8*0.75*'KT THAN'!$C$62,'KT THAN'!$D$68/R270)))))</f>
        <v/>
      </c>
      <c r="O270" s="38" t="str">
        <f>IF($A270="","",IF(H270&lt;0,ABS(H270)/MAX('KT THAN'!$C$69,0.001)+'KT THAN'!$C$32*ABS(J270)/MAX('KT THAN'!$C$68,0.001)+'KT THAN'!$D$32*ABS(I270)/MAX('KT THAN'!$D$68,0.001),IF(OR(M270&lt;=0,N270&lt;=0),999,IF(H270&gt;=0.1*0.75*fc_*Agth*1000,H270/MAX(0.001,1/(1/M270+1/N270-1/(0.75*'KT THAN'!$C$62))),'KT THAN'!$C$32*ABS(J270)/MAX('KT THAN'!$C$68,0.001)+'KT THAN'!$D$32*ABS(I270)/MAX('KT THAN'!$D$68,0.001)))))</f>
        <v/>
      </c>
      <c r="P270" s="37" t="str">
        <f t="shared" si="52"/>
        <v/>
      </c>
      <c r="Q270" s="38" t="str">
        <f>IF($A270="","",MAX(0.001,'KT THAN'!$C$32*ABS(J270)/MAX(1,H270)))</f>
        <v/>
      </c>
      <c r="R270" s="38" t="str">
        <f>IF($A270="","",MAX(0.001,'KT THAN'!$D$32*ABS(I270)/MAX(1,H270)))</f>
        <v/>
      </c>
      <c r="S270" t="str">
        <f t="shared" si="46"/>
        <v/>
      </c>
    </row>
    <row r="271" spans="1:19" hidden="1" outlineLevel="1" x14ac:dyDescent="0.3">
      <c r="A271" s="37" t="str">
        <f>IF('TO HOP NLAN'!$A137="","",'TO HOP NLAN'!$A137)</f>
        <v/>
      </c>
      <c r="B271" s="38" t="str">
        <f>IF($A271="","",'TO HOP NLAN'!$D137)</f>
        <v/>
      </c>
      <c r="C271" s="38" t="str">
        <f>IF($A271="","",'TO HOP NLAN'!$E137)</f>
        <v/>
      </c>
      <c r="D271" s="38" t="str">
        <f>IF($A271="","",'TO HOP NLAN'!$F137)</f>
        <v/>
      </c>
      <c r="E271" s="38" t="str">
        <f>IF($A271="","",'TO HOP NLAN'!$B137)</f>
        <v/>
      </c>
      <c r="F271" s="38" t="str">
        <f>IF($A271="","",'TO HOP NLAN'!$C137)</f>
        <v/>
      </c>
      <c r="G271" s="38" t="str">
        <f t="shared" si="47"/>
        <v/>
      </c>
      <c r="H271" s="38" t="str">
        <f t="shared" si="45"/>
        <v/>
      </c>
      <c r="I271" s="38" t="str">
        <f t="shared" si="48"/>
        <v/>
      </c>
      <c r="J271" s="38" t="str">
        <f t="shared" si="49"/>
        <v/>
      </c>
      <c r="K271" s="38" t="str">
        <f t="shared" si="50"/>
        <v/>
      </c>
      <c r="L271" s="38" t="str">
        <f t="shared" si="51"/>
        <v/>
      </c>
      <c r="M271" s="38" t="str">
        <f>IF($A271="","",IF(H271=0,"",IF(Q271&lt;=0.000000001,MIN(0.8*0.75*'KT THAN'!$C$62,MAX('KT THAN'!$J$38:$J$58)),IFERROR(MIN(0.8*0.75*'KT THAN'!$C$62,INDEX('KT THAN'!$J$38:$J$58,MATCH(Q271,'KT THAN'!$L$38:$L$58,-1))+(INDEX('KT THAN'!$J$38:$J$58,MIN(21,MATCH(Q271,'KT THAN'!$L$38:$L$58,-1)+1))-INDEX('KT THAN'!$J$38:$J$58,MATCH(Q271,'KT THAN'!$L$38:$L$58,-1)))*(Q271-INDEX('KT THAN'!$L$38:$L$58,MATCH(Q271,'KT THAN'!$L$38:$L$58,-1)))/(INDEX('KT THAN'!$L$38:$L$58,MIN(21,MATCH(Q271,'KT THAN'!$L$38:$L$58,-1)+1))-INDEX('KT THAN'!$L$38:$L$58,MATCH(Q271,'KT THAN'!$L$38:$L$58,-1)))),MIN(0.8*0.75*'KT THAN'!$C$62,'KT THAN'!$C$68/Q271)))))</f>
        <v/>
      </c>
      <c r="N271" s="38" t="str">
        <f>IF($A271="","",IF(H271=0,"",IF(R271&lt;=0.000000001,MIN(0.8*0.75*'KT THAN'!$C$62,MAX('KT THAN'!$W$38:$W$58)),IFERROR(MIN(0.8*0.75*'KT THAN'!$C$62,INDEX('KT THAN'!$W$38:$W$58,MATCH(R271,'KT THAN'!$Y$38:$Y$58,-1))+(INDEX('KT THAN'!$W$38:$W$58,MIN(21,MATCH(R271,'KT THAN'!$Y$38:$Y$58,-1)+1))-INDEX('KT THAN'!$W$38:$W$58,MATCH(R271,'KT THAN'!$Y$38:$Y$58,-1)))*(R271-INDEX('KT THAN'!$Y$38:$Y$58,MATCH(R271,'KT THAN'!$Y$38:$Y$58,-1)))/(INDEX('KT THAN'!$Y$38:$Y$58,MIN(21,MATCH(R271,'KT THAN'!$Y$38:$Y$58,-1)+1))-INDEX('KT THAN'!$Y$38:$Y$58,MATCH(R271,'KT THAN'!$Y$38:$Y$58,-1)))),MIN(0.8*0.75*'KT THAN'!$C$62,'KT THAN'!$D$68/R271)))))</f>
        <v/>
      </c>
      <c r="O271" s="38" t="str">
        <f>IF($A271="","",IF(H271&lt;0,ABS(H271)/MAX('KT THAN'!$C$69,0.001)+'KT THAN'!$C$32*ABS(J271)/MAX('KT THAN'!$C$68,0.001)+'KT THAN'!$D$32*ABS(I271)/MAX('KT THAN'!$D$68,0.001),IF(OR(M271&lt;=0,N271&lt;=0),999,IF(H271&gt;=0.1*0.75*fc_*Agth*1000,H271/MAX(0.001,1/(1/M271+1/N271-1/(0.75*'KT THAN'!$C$62))),'KT THAN'!$C$32*ABS(J271)/MAX('KT THAN'!$C$68,0.001)+'KT THAN'!$D$32*ABS(I271)/MAX('KT THAN'!$D$68,0.001)))))</f>
        <v/>
      </c>
      <c r="P271" s="37" t="str">
        <f t="shared" si="52"/>
        <v/>
      </c>
      <c r="Q271" s="38" t="str">
        <f>IF($A271="","",MAX(0.001,'KT THAN'!$C$32*ABS(J271)/MAX(1,H271)))</f>
        <v/>
      </c>
      <c r="R271" s="38" t="str">
        <f>IF($A271="","",MAX(0.001,'KT THAN'!$D$32*ABS(I271)/MAX(1,H271)))</f>
        <v/>
      </c>
      <c r="S271" t="str">
        <f t="shared" si="46"/>
        <v/>
      </c>
    </row>
    <row r="272" spans="1:19" hidden="1" outlineLevel="1" x14ac:dyDescent="0.3">
      <c r="A272" s="37" t="str">
        <f>IF('TO HOP NLAN'!$A138="","",'TO HOP NLAN'!$A138)</f>
        <v/>
      </c>
      <c r="B272" s="38" t="str">
        <f>IF($A272="","",'TO HOP NLAN'!$D138)</f>
        <v/>
      </c>
      <c r="C272" s="38" t="str">
        <f>IF($A272="","",'TO HOP NLAN'!$E138)</f>
        <v/>
      </c>
      <c r="D272" s="38" t="str">
        <f>IF($A272="","",'TO HOP NLAN'!$F138)</f>
        <v/>
      </c>
      <c r="E272" s="38" t="str">
        <f>IF($A272="","",'TO HOP NLAN'!$B138)</f>
        <v/>
      </c>
      <c r="F272" s="38" t="str">
        <f>IF($A272="","",'TO HOP NLAN'!$C138)</f>
        <v/>
      </c>
      <c r="G272" s="38" t="str">
        <f t="shared" si="47"/>
        <v/>
      </c>
      <c r="H272" s="38" t="str">
        <f t="shared" si="45"/>
        <v/>
      </c>
      <c r="I272" s="38" t="str">
        <f t="shared" si="48"/>
        <v/>
      </c>
      <c r="J272" s="38" t="str">
        <f t="shared" si="49"/>
        <v/>
      </c>
      <c r="K272" s="38" t="str">
        <f t="shared" si="50"/>
        <v/>
      </c>
      <c r="L272" s="38" t="str">
        <f t="shared" si="51"/>
        <v/>
      </c>
      <c r="M272" s="38" t="str">
        <f>IF($A272="","",IF(H272=0,"",IF(Q272&lt;=0.000000001,MIN(0.8*0.75*'KT THAN'!$C$62,MAX('KT THAN'!$J$38:$J$58)),IFERROR(MIN(0.8*0.75*'KT THAN'!$C$62,INDEX('KT THAN'!$J$38:$J$58,MATCH(Q272,'KT THAN'!$L$38:$L$58,-1))+(INDEX('KT THAN'!$J$38:$J$58,MIN(21,MATCH(Q272,'KT THAN'!$L$38:$L$58,-1)+1))-INDEX('KT THAN'!$J$38:$J$58,MATCH(Q272,'KT THAN'!$L$38:$L$58,-1)))*(Q272-INDEX('KT THAN'!$L$38:$L$58,MATCH(Q272,'KT THAN'!$L$38:$L$58,-1)))/(INDEX('KT THAN'!$L$38:$L$58,MIN(21,MATCH(Q272,'KT THAN'!$L$38:$L$58,-1)+1))-INDEX('KT THAN'!$L$38:$L$58,MATCH(Q272,'KT THAN'!$L$38:$L$58,-1)))),MIN(0.8*0.75*'KT THAN'!$C$62,'KT THAN'!$C$68/Q272)))))</f>
        <v/>
      </c>
      <c r="N272" s="38" t="str">
        <f>IF($A272="","",IF(H272=0,"",IF(R272&lt;=0.000000001,MIN(0.8*0.75*'KT THAN'!$C$62,MAX('KT THAN'!$W$38:$W$58)),IFERROR(MIN(0.8*0.75*'KT THAN'!$C$62,INDEX('KT THAN'!$W$38:$W$58,MATCH(R272,'KT THAN'!$Y$38:$Y$58,-1))+(INDEX('KT THAN'!$W$38:$W$58,MIN(21,MATCH(R272,'KT THAN'!$Y$38:$Y$58,-1)+1))-INDEX('KT THAN'!$W$38:$W$58,MATCH(R272,'KT THAN'!$Y$38:$Y$58,-1)))*(R272-INDEX('KT THAN'!$Y$38:$Y$58,MATCH(R272,'KT THAN'!$Y$38:$Y$58,-1)))/(INDEX('KT THAN'!$Y$38:$Y$58,MIN(21,MATCH(R272,'KT THAN'!$Y$38:$Y$58,-1)+1))-INDEX('KT THAN'!$Y$38:$Y$58,MATCH(R272,'KT THAN'!$Y$38:$Y$58,-1)))),MIN(0.8*0.75*'KT THAN'!$C$62,'KT THAN'!$D$68/R272)))))</f>
        <v/>
      </c>
      <c r="O272" s="38" t="str">
        <f>IF($A272="","",IF(H272&lt;0,ABS(H272)/MAX('KT THAN'!$C$69,0.001)+'KT THAN'!$C$32*ABS(J272)/MAX('KT THAN'!$C$68,0.001)+'KT THAN'!$D$32*ABS(I272)/MAX('KT THAN'!$D$68,0.001),IF(OR(M272&lt;=0,N272&lt;=0),999,IF(H272&gt;=0.1*0.75*fc_*Agth*1000,H272/MAX(0.001,1/(1/M272+1/N272-1/(0.75*'KT THAN'!$C$62))),'KT THAN'!$C$32*ABS(J272)/MAX('KT THAN'!$C$68,0.001)+'KT THAN'!$D$32*ABS(I272)/MAX('KT THAN'!$D$68,0.001)))))</f>
        <v/>
      </c>
      <c r="P272" s="37" t="str">
        <f t="shared" si="52"/>
        <v/>
      </c>
      <c r="Q272" s="38" t="str">
        <f>IF($A272="","",MAX(0.001,'KT THAN'!$C$32*ABS(J272)/MAX(1,H272)))</f>
        <v/>
      </c>
      <c r="R272" s="38" t="str">
        <f>IF($A272="","",MAX(0.001,'KT THAN'!$D$32*ABS(I272)/MAX(1,H272)))</f>
        <v/>
      </c>
      <c r="S272" t="str">
        <f t="shared" si="46"/>
        <v/>
      </c>
    </row>
    <row r="273" spans="1:19" hidden="1" outlineLevel="1" x14ac:dyDescent="0.3">
      <c r="A273" s="37" t="str">
        <f>IF('TO HOP NLAN'!$A139="","",'TO HOP NLAN'!$A139)</f>
        <v/>
      </c>
      <c r="B273" s="38" t="str">
        <f>IF($A273="","",'TO HOP NLAN'!$D139)</f>
        <v/>
      </c>
      <c r="C273" s="38" t="str">
        <f>IF($A273="","",'TO HOP NLAN'!$E139)</f>
        <v/>
      </c>
      <c r="D273" s="38" t="str">
        <f>IF($A273="","",'TO HOP NLAN'!$F139)</f>
        <v/>
      </c>
      <c r="E273" s="38" t="str">
        <f>IF($A273="","",'TO HOP NLAN'!$B139)</f>
        <v/>
      </c>
      <c r="F273" s="38" t="str">
        <f>IF($A273="","",'TO HOP NLAN'!$C139)</f>
        <v/>
      </c>
      <c r="G273" s="38" t="str">
        <f t="shared" si="47"/>
        <v/>
      </c>
      <c r="H273" s="38" t="str">
        <f t="shared" si="45"/>
        <v/>
      </c>
      <c r="I273" s="38" t="str">
        <f t="shared" si="48"/>
        <v/>
      </c>
      <c r="J273" s="38" t="str">
        <f t="shared" si="49"/>
        <v/>
      </c>
      <c r="K273" s="38" t="str">
        <f t="shared" si="50"/>
        <v/>
      </c>
      <c r="L273" s="38" t="str">
        <f t="shared" si="51"/>
        <v/>
      </c>
      <c r="M273" s="38" t="str">
        <f>IF($A273="","",IF(H273=0,"",IF(Q273&lt;=0.000000001,MIN(0.8*0.75*'KT THAN'!$C$62,MAX('KT THAN'!$J$38:$J$58)),IFERROR(MIN(0.8*0.75*'KT THAN'!$C$62,INDEX('KT THAN'!$J$38:$J$58,MATCH(Q273,'KT THAN'!$L$38:$L$58,-1))+(INDEX('KT THAN'!$J$38:$J$58,MIN(21,MATCH(Q273,'KT THAN'!$L$38:$L$58,-1)+1))-INDEX('KT THAN'!$J$38:$J$58,MATCH(Q273,'KT THAN'!$L$38:$L$58,-1)))*(Q273-INDEX('KT THAN'!$L$38:$L$58,MATCH(Q273,'KT THAN'!$L$38:$L$58,-1)))/(INDEX('KT THAN'!$L$38:$L$58,MIN(21,MATCH(Q273,'KT THAN'!$L$38:$L$58,-1)+1))-INDEX('KT THAN'!$L$38:$L$58,MATCH(Q273,'KT THAN'!$L$38:$L$58,-1)))),MIN(0.8*0.75*'KT THAN'!$C$62,'KT THAN'!$C$68/Q273)))))</f>
        <v/>
      </c>
      <c r="N273" s="38" t="str">
        <f>IF($A273="","",IF(H273=0,"",IF(R273&lt;=0.000000001,MIN(0.8*0.75*'KT THAN'!$C$62,MAX('KT THAN'!$W$38:$W$58)),IFERROR(MIN(0.8*0.75*'KT THAN'!$C$62,INDEX('KT THAN'!$W$38:$W$58,MATCH(R273,'KT THAN'!$Y$38:$Y$58,-1))+(INDEX('KT THAN'!$W$38:$W$58,MIN(21,MATCH(R273,'KT THAN'!$Y$38:$Y$58,-1)+1))-INDEX('KT THAN'!$W$38:$W$58,MATCH(R273,'KT THAN'!$Y$38:$Y$58,-1)))*(R273-INDEX('KT THAN'!$Y$38:$Y$58,MATCH(R273,'KT THAN'!$Y$38:$Y$58,-1)))/(INDEX('KT THAN'!$Y$38:$Y$58,MIN(21,MATCH(R273,'KT THAN'!$Y$38:$Y$58,-1)+1))-INDEX('KT THAN'!$Y$38:$Y$58,MATCH(R273,'KT THAN'!$Y$38:$Y$58,-1)))),MIN(0.8*0.75*'KT THAN'!$C$62,'KT THAN'!$D$68/R273)))))</f>
        <v/>
      </c>
      <c r="O273" s="38" t="str">
        <f>IF($A273="","",IF(H273&lt;0,ABS(H273)/MAX('KT THAN'!$C$69,0.001)+'KT THAN'!$C$32*ABS(J273)/MAX('KT THAN'!$C$68,0.001)+'KT THAN'!$D$32*ABS(I273)/MAX('KT THAN'!$D$68,0.001),IF(OR(M273&lt;=0,N273&lt;=0),999,IF(H273&gt;=0.1*0.75*fc_*Agth*1000,H273/MAX(0.001,1/(1/M273+1/N273-1/(0.75*'KT THAN'!$C$62))),'KT THAN'!$C$32*ABS(J273)/MAX('KT THAN'!$C$68,0.001)+'KT THAN'!$D$32*ABS(I273)/MAX('KT THAN'!$D$68,0.001)))))</f>
        <v/>
      </c>
      <c r="P273" s="37" t="str">
        <f t="shared" si="52"/>
        <v/>
      </c>
      <c r="Q273" s="38" t="str">
        <f>IF($A273="","",MAX(0.001,'KT THAN'!$C$32*ABS(J273)/MAX(1,H273)))</f>
        <v/>
      </c>
      <c r="R273" s="38" t="str">
        <f>IF($A273="","",MAX(0.001,'KT THAN'!$D$32*ABS(I273)/MAX(1,H273)))</f>
        <v/>
      </c>
      <c r="S273" t="str">
        <f t="shared" si="46"/>
        <v/>
      </c>
    </row>
    <row r="274" spans="1:19" hidden="1" outlineLevel="1" x14ac:dyDescent="0.3">
      <c r="A274" s="37" t="str">
        <f>IF('TO HOP NLAN'!$A140="","",'TO HOP NLAN'!$A140)</f>
        <v/>
      </c>
      <c r="B274" s="38" t="str">
        <f>IF($A274="","",'TO HOP NLAN'!$D140)</f>
        <v/>
      </c>
      <c r="C274" s="38" t="str">
        <f>IF($A274="","",'TO HOP NLAN'!$E140)</f>
        <v/>
      </c>
      <c r="D274" s="38" t="str">
        <f>IF($A274="","",'TO HOP NLAN'!$F140)</f>
        <v/>
      </c>
      <c r="E274" s="38" t="str">
        <f>IF($A274="","",'TO HOP NLAN'!$B140)</f>
        <v/>
      </c>
      <c r="F274" s="38" t="str">
        <f>IF($A274="","",'TO HOP NLAN'!$C140)</f>
        <v/>
      </c>
      <c r="G274" s="38" t="str">
        <f t="shared" si="47"/>
        <v/>
      </c>
      <c r="H274" s="38" t="str">
        <f t="shared" si="45"/>
        <v/>
      </c>
      <c r="I274" s="38" t="str">
        <f t="shared" si="48"/>
        <v/>
      </c>
      <c r="J274" s="38" t="str">
        <f t="shared" si="49"/>
        <v/>
      </c>
      <c r="K274" s="38" t="str">
        <f t="shared" si="50"/>
        <v/>
      </c>
      <c r="L274" s="38" t="str">
        <f t="shared" si="51"/>
        <v/>
      </c>
      <c r="M274" s="38" t="str">
        <f>IF($A274="","",IF(H274=0,"",IF(Q274&lt;=0.000000001,MIN(0.8*0.75*'KT THAN'!$C$62,MAX('KT THAN'!$J$38:$J$58)),IFERROR(MIN(0.8*0.75*'KT THAN'!$C$62,INDEX('KT THAN'!$J$38:$J$58,MATCH(Q274,'KT THAN'!$L$38:$L$58,-1))+(INDEX('KT THAN'!$J$38:$J$58,MIN(21,MATCH(Q274,'KT THAN'!$L$38:$L$58,-1)+1))-INDEX('KT THAN'!$J$38:$J$58,MATCH(Q274,'KT THAN'!$L$38:$L$58,-1)))*(Q274-INDEX('KT THAN'!$L$38:$L$58,MATCH(Q274,'KT THAN'!$L$38:$L$58,-1)))/(INDEX('KT THAN'!$L$38:$L$58,MIN(21,MATCH(Q274,'KT THAN'!$L$38:$L$58,-1)+1))-INDEX('KT THAN'!$L$38:$L$58,MATCH(Q274,'KT THAN'!$L$38:$L$58,-1)))),MIN(0.8*0.75*'KT THAN'!$C$62,'KT THAN'!$C$68/Q274)))))</f>
        <v/>
      </c>
      <c r="N274" s="38" t="str">
        <f>IF($A274="","",IF(H274=0,"",IF(R274&lt;=0.000000001,MIN(0.8*0.75*'KT THAN'!$C$62,MAX('KT THAN'!$W$38:$W$58)),IFERROR(MIN(0.8*0.75*'KT THAN'!$C$62,INDEX('KT THAN'!$W$38:$W$58,MATCH(R274,'KT THAN'!$Y$38:$Y$58,-1))+(INDEX('KT THAN'!$W$38:$W$58,MIN(21,MATCH(R274,'KT THAN'!$Y$38:$Y$58,-1)+1))-INDEX('KT THAN'!$W$38:$W$58,MATCH(R274,'KT THAN'!$Y$38:$Y$58,-1)))*(R274-INDEX('KT THAN'!$Y$38:$Y$58,MATCH(R274,'KT THAN'!$Y$38:$Y$58,-1)))/(INDEX('KT THAN'!$Y$38:$Y$58,MIN(21,MATCH(R274,'KT THAN'!$Y$38:$Y$58,-1)+1))-INDEX('KT THAN'!$Y$38:$Y$58,MATCH(R274,'KT THAN'!$Y$38:$Y$58,-1)))),MIN(0.8*0.75*'KT THAN'!$C$62,'KT THAN'!$D$68/R274)))))</f>
        <v/>
      </c>
      <c r="O274" s="38" t="str">
        <f>IF($A274="","",IF(H274&lt;0,ABS(H274)/MAX('KT THAN'!$C$69,0.001)+'KT THAN'!$C$32*ABS(J274)/MAX('KT THAN'!$C$68,0.001)+'KT THAN'!$D$32*ABS(I274)/MAX('KT THAN'!$D$68,0.001),IF(OR(M274&lt;=0,N274&lt;=0),999,IF(H274&gt;=0.1*0.75*fc_*Agth*1000,H274/MAX(0.001,1/(1/M274+1/N274-1/(0.75*'KT THAN'!$C$62))),'KT THAN'!$C$32*ABS(J274)/MAX('KT THAN'!$C$68,0.001)+'KT THAN'!$D$32*ABS(I274)/MAX('KT THAN'!$D$68,0.001)))))</f>
        <v/>
      </c>
      <c r="P274" s="37" t="str">
        <f t="shared" si="52"/>
        <v/>
      </c>
      <c r="Q274" s="38" t="str">
        <f>IF($A274="","",MAX(0.001,'KT THAN'!$C$32*ABS(J274)/MAX(1,H274)))</f>
        <v/>
      </c>
      <c r="R274" s="38" t="str">
        <f>IF($A274="","",MAX(0.001,'KT THAN'!$D$32*ABS(I274)/MAX(1,H274)))</f>
        <v/>
      </c>
      <c r="S274" t="str">
        <f t="shared" si="46"/>
        <v/>
      </c>
    </row>
    <row r="275" spans="1:19" hidden="1" outlineLevel="1" x14ac:dyDescent="0.3">
      <c r="A275" s="37" t="str">
        <f>IF('TO HOP NLAN'!$A141="","",'TO HOP NLAN'!$A141)</f>
        <v/>
      </c>
      <c r="B275" s="38" t="str">
        <f>IF($A275="","",'TO HOP NLAN'!$D141)</f>
        <v/>
      </c>
      <c r="C275" s="38" t="str">
        <f>IF($A275="","",'TO HOP NLAN'!$E141)</f>
        <v/>
      </c>
      <c r="D275" s="38" t="str">
        <f>IF($A275="","",'TO HOP NLAN'!$F141)</f>
        <v/>
      </c>
      <c r="E275" s="38" t="str">
        <f>IF($A275="","",'TO HOP NLAN'!$B141)</f>
        <v/>
      </c>
      <c r="F275" s="38" t="str">
        <f>IF($A275="","",'TO HOP NLAN'!$C141)</f>
        <v/>
      </c>
      <c r="G275" s="38" t="str">
        <f t="shared" si="47"/>
        <v/>
      </c>
      <c r="H275" s="38" t="str">
        <f t="shared" si="45"/>
        <v/>
      </c>
      <c r="I275" s="38" t="str">
        <f t="shared" si="48"/>
        <v/>
      </c>
      <c r="J275" s="38" t="str">
        <f t="shared" si="49"/>
        <v/>
      </c>
      <c r="K275" s="38" t="str">
        <f t="shared" si="50"/>
        <v/>
      </c>
      <c r="L275" s="38" t="str">
        <f t="shared" si="51"/>
        <v/>
      </c>
      <c r="M275" s="38" t="str">
        <f>IF($A275="","",IF(H275=0,"",IF(Q275&lt;=0.000000001,MIN(0.8*0.75*'KT THAN'!$C$62,MAX('KT THAN'!$J$38:$J$58)),IFERROR(MIN(0.8*0.75*'KT THAN'!$C$62,INDEX('KT THAN'!$J$38:$J$58,MATCH(Q275,'KT THAN'!$L$38:$L$58,-1))+(INDEX('KT THAN'!$J$38:$J$58,MIN(21,MATCH(Q275,'KT THAN'!$L$38:$L$58,-1)+1))-INDEX('KT THAN'!$J$38:$J$58,MATCH(Q275,'KT THAN'!$L$38:$L$58,-1)))*(Q275-INDEX('KT THAN'!$L$38:$L$58,MATCH(Q275,'KT THAN'!$L$38:$L$58,-1)))/(INDEX('KT THAN'!$L$38:$L$58,MIN(21,MATCH(Q275,'KT THAN'!$L$38:$L$58,-1)+1))-INDEX('KT THAN'!$L$38:$L$58,MATCH(Q275,'KT THAN'!$L$38:$L$58,-1)))),MIN(0.8*0.75*'KT THAN'!$C$62,'KT THAN'!$C$68/Q275)))))</f>
        <v/>
      </c>
      <c r="N275" s="38" t="str">
        <f>IF($A275="","",IF(H275=0,"",IF(R275&lt;=0.000000001,MIN(0.8*0.75*'KT THAN'!$C$62,MAX('KT THAN'!$W$38:$W$58)),IFERROR(MIN(0.8*0.75*'KT THAN'!$C$62,INDEX('KT THAN'!$W$38:$W$58,MATCH(R275,'KT THAN'!$Y$38:$Y$58,-1))+(INDEX('KT THAN'!$W$38:$W$58,MIN(21,MATCH(R275,'KT THAN'!$Y$38:$Y$58,-1)+1))-INDEX('KT THAN'!$W$38:$W$58,MATCH(R275,'KT THAN'!$Y$38:$Y$58,-1)))*(R275-INDEX('KT THAN'!$Y$38:$Y$58,MATCH(R275,'KT THAN'!$Y$38:$Y$58,-1)))/(INDEX('KT THAN'!$Y$38:$Y$58,MIN(21,MATCH(R275,'KT THAN'!$Y$38:$Y$58,-1)+1))-INDEX('KT THAN'!$Y$38:$Y$58,MATCH(R275,'KT THAN'!$Y$38:$Y$58,-1)))),MIN(0.8*0.75*'KT THAN'!$C$62,'KT THAN'!$D$68/R275)))))</f>
        <v/>
      </c>
      <c r="O275" s="38" t="str">
        <f>IF($A275="","",IF(H275&lt;0,ABS(H275)/MAX('KT THAN'!$C$69,0.001)+'KT THAN'!$C$32*ABS(J275)/MAX('KT THAN'!$C$68,0.001)+'KT THAN'!$D$32*ABS(I275)/MAX('KT THAN'!$D$68,0.001),IF(OR(M275&lt;=0,N275&lt;=0),999,IF(H275&gt;=0.1*0.75*fc_*Agth*1000,H275/MAX(0.001,1/(1/M275+1/N275-1/(0.75*'KT THAN'!$C$62))),'KT THAN'!$C$32*ABS(J275)/MAX('KT THAN'!$C$68,0.001)+'KT THAN'!$D$32*ABS(I275)/MAX('KT THAN'!$D$68,0.001)))))</f>
        <v/>
      </c>
      <c r="P275" s="37" t="str">
        <f t="shared" si="52"/>
        <v/>
      </c>
      <c r="Q275" s="38" t="str">
        <f>IF($A275="","",MAX(0.001,'KT THAN'!$C$32*ABS(J275)/MAX(1,H275)))</f>
        <v/>
      </c>
      <c r="R275" s="38" t="str">
        <f>IF($A275="","",MAX(0.001,'KT THAN'!$D$32*ABS(I275)/MAX(1,H275)))</f>
        <v/>
      </c>
      <c r="S275" t="str">
        <f t="shared" si="46"/>
        <v/>
      </c>
    </row>
    <row r="276" spans="1:19" hidden="1" outlineLevel="1" x14ac:dyDescent="0.3">
      <c r="A276" s="37" t="str">
        <f>IF('TO HOP NLAN'!$A142="","",'TO HOP NLAN'!$A142)</f>
        <v/>
      </c>
      <c r="B276" s="38" t="str">
        <f>IF($A276="","",'TO HOP NLAN'!$D142)</f>
        <v/>
      </c>
      <c r="C276" s="38" t="str">
        <f>IF($A276="","",'TO HOP NLAN'!$E142)</f>
        <v/>
      </c>
      <c r="D276" s="38" t="str">
        <f>IF($A276="","",'TO HOP NLAN'!$F142)</f>
        <v/>
      </c>
      <c r="E276" s="38" t="str">
        <f>IF($A276="","",'TO HOP NLAN'!$B142)</f>
        <v/>
      </c>
      <c r="F276" s="38" t="str">
        <f>IF($A276="","",'TO HOP NLAN'!$C142)</f>
        <v/>
      </c>
      <c r="G276" s="38" t="str">
        <f t="shared" si="47"/>
        <v/>
      </c>
      <c r="H276" s="38" t="str">
        <f t="shared" si="45"/>
        <v/>
      </c>
      <c r="I276" s="38" t="str">
        <f t="shared" si="48"/>
        <v/>
      </c>
      <c r="J276" s="38" t="str">
        <f t="shared" si="49"/>
        <v/>
      </c>
      <c r="K276" s="38" t="str">
        <f t="shared" si="50"/>
        <v/>
      </c>
      <c r="L276" s="38" t="str">
        <f t="shared" si="51"/>
        <v/>
      </c>
      <c r="M276" s="38" t="str">
        <f>IF($A276="","",IF(H276=0,"",IF(Q276&lt;=0.000000001,MIN(0.8*0.75*'KT THAN'!$C$62,MAX('KT THAN'!$J$38:$J$58)),IFERROR(MIN(0.8*0.75*'KT THAN'!$C$62,INDEX('KT THAN'!$J$38:$J$58,MATCH(Q276,'KT THAN'!$L$38:$L$58,-1))+(INDEX('KT THAN'!$J$38:$J$58,MIN(21,MATCH(Q276,'KT THAN'!$L$38:$L$58,-1)+1))-INDEX('KT THAN'!$J$38:$J$58,MATCH(Q276,'KT THAN'!$L$38:$L$58,-1)))*(Q276-INDEX('KT THAN'!$L$38:$L$58,MATCH(Q276,'KT THAN'!$L$38:$L$58,-1)))/(INDEX('KT THAN'!$L$38:$L$58,MIN(21,MATCH(Q276,'KT THAN'!$L$38:$L$58,-1)+1))-INDEX('KT THAN'!$L$38:$L$58,MATCH(Q276,'KT THAN'!$L$38:$L$58,-1)))),MIN(0.8*0.75*'KT THAN'!$C$62,'KT THAN'!$C$68/Q276)))))</f>
        <v/>
      </c>
      <c r="N276" s="38" t="str">
        <f>IF($A276="","",IF(H276=0,"",IF(R276&lt;=0.000000001,MIN(0.8*0.75*'KT THAN'!$C$62,MAX('KT THAN'!$W$38:$W$58)),IFERROR(MIN(0.8*0.75*'KT THAN'!$C$62,INDEX('KT THAN'!$W$38:$W$58,MATCH(R276,'KT THAN'!$Y$38:$Y$58,-1))+(INDEX('KT THAN'!$W$38:$W$58,MIN(21,MATCH(R276,'KT THAN'!$Y$38:$Y$58,-1)+1))-INDEX('KT THAN'!$W$38:$W$58,MATCH(R276,'KT THAN'!$Y$38:$Y$58,-1)))*(R276-INDEX('KT THAN'!$Y$38:$Y$58,MATCH(R276,'KT THAN'!$Y$38:$Y$58,-1)))/(INDEX('KT THAN'!$Y$38:$Y$58,MIN(21,MATCH(R276,'KT THAN'!$Y$38:$Y$58,-1)+1))-INDEX('KT THAN'!$Y$38:$Y$58,MATCH(R276,'KT THAN'!$Y$38:$Y$58,-1)))),MIN(0.8*0.75*'KT THAN'!$C$62,'KT THAN'!$D$68/R276)))))</f>
        <v/>
      </c>
      <c r="O276" s="38" t="str">
        <f>IF($A276="","",IF(H276&lt;0,ABS(H276)/MAX('KT THAN'!$C$69,0.001)+'KT THAN'!$C$32*ABS(J276)/MAX('KT THAN'!$C$68,0.001)+'KT THAN'!$D$32*ABS(I276)/MAX('KT THAN'!$D$68,0.001),IF(OR(M276&lt;=0,N276&lt;=0),999,IF(H276&gt;=0.1*0.75*fc_*Agth*1000,H276/MAX(0.001,1/(1/M276+1/N276-1/(0.75*'KT THAN'!$C$62))),'KT THAN'!$C$32*ABS(J276)/MAX('KT THAN'!$C$68,0.001)+'KT THAN'!$D$32*ABS(I276)/MAX('KT THAN'!$D$68,0.001)))))</f>
        <v/>
      </c>
      <c r="P276" s="37" t="str">
        <f t="shared" si="52"/>
        <v/>
      </c>
      <c r="Q276" s="38" t="str">
        <f>IF($A276="","",MAX(0.001,'KT THAN'!$C$32*ABS(J276)/MAX(1,H276)))</f>
        <v/>
      </c>
      <c r="R276" s="38" t="str">
        <f>IF($A276="","",MAX(0.001,'KT THAN'!$D$32*ABS(I276)/MAX(1,H276)))</f>
        <v/>
      </c>
      <c r="S276" t="str">
        <f t="shared" si="46"/>
        <v/>
      </c>
    </row>
    <row r="277" spans="1:19" hidden="1" outlineLevel="1" x14ac:dyDescent="0.3">
      <c r="A277" s="37" t="str">
        <f>IF('TO HOP NLAN'!$A143="","",'TO HOP NLAN'!$A143)</f>
        <v/>
      </c>
      <c r="B277" s="38" t="str">
        <f>IF($A277="","",'TO HOP NLAN'!$D143)</f>
        <v/>
      </c>
      <c r="C277" s="38" t="str">
        <f>IF($A277="","",'TO HOP NLAN'!$E143)</f>
        <v/>
      </c>
      <c r="D277" s="38" t="str">
        <f>IF($A277="","",'TO HOP NLAN'!$F143)</f>
        <v/>
      </c>
      <c r="E277" s="38" t="str">
        <f>IF($A277="","",'TO HOP NLAN'!$B143)</f>
        <v/>
      </c>
      <c r="F277" s="38" t="str">
        <f>IF($A277="","",'TO HOP NLAN'!$C143)</f>
        <v/>
      </c>
      <c r="G277" s="38" t="str">
        <f t="shared" si="47"/>
        <v/>
      </c>
      <c r="H277" s="38" t="str">
        <f t="shared" si="45"/>
        <v/>
      </c>
      <c r="I277" s="38" t="str">
        <f t="shared" si="48"/>
        <v/>
      </c>
      <c r="J277" s="38" t="str">
        <f t="shared" si="49"/>
        <v/>
      </c>
      <c r="K277" s="38" t="str">
        <f t="shared" si="50"/>
        <v/>
      </c>
      <c r="L277" s="38" t="str">
        <f t="shared" si="51"/>
        <v/>
      </c>
      <c r="M277" s="38" t="str">
        <f>IF($A277="","",IF(H277=0,"",IF(Q277&lt;=0.000000001,MIN(0.8*0.75*'KT THAN'!$C$62,MAX('KT THAN'!$J$38:$J$58)),IFERROR(MIN(0.8*0.75*'KT THAN'!$C$62,INDEX('KT THAN'!$J$38:$J$58,MATCH(Q277,'KT THAN'!$L$38:$L$58,-1))+(INDEX('KT THAN'!$J$38:$J$58,MIN(21,MATCH(Q277,'KT THAN'!$L$38:$L$58,-1)+1))-INDEX('KT THAN'!$J$38:$J$58,MATCH(Q277,'KT THAN'!$L$38:$L$58,-1)))*(Q277-INDEX('KT THAN'!$L$38:$L$58,MATCH(Q277,'KT THAN'!$L$38:$L$58,-1)))/(INDEX('KT THAN'!$L$38:$L$58,MIN(21,MATCH(Q277,'KT THAN'!$L$38:$L$58,-1)+1))-INDEX('KT THAN'!$L$38:$L$58,MATCH(Q277,'KT THAN'!$L$38:$L$58,-1)))),MIN(0.8*0.75*'KT THAN'!$C$62,'KT THAN'!$C$68/Q277)))))</f>
        <v/>
      </c>
      <c r="N277" s="38" t="str">
        <f>IF($A277="","",IF(H277=0,"",IF(R277&lt;=0.000000001,MIN(0.8*0.75*'KT THAN'!$C$62,MAX('KT THAN'!$W$38:$W$58)),IFERROR(MIN(0.8*0.75*'KT THAN'!$C$62,INDEX('KT THAN'!$W$38:$W$58,MATCH(R277,'KT THAN'!$Y$38:$Y$58,-1))+(INDEX('KT THAN'!$W$38:$W$58,MIN(21,MATCH(R277,'KT THAN'!$Y$38:$Y$58,-1)+1))-INDEX('KT THAN'!$W$38:$W$58,MATCH(R277,'KT THAN'!$Y$38:$Y$58,-1)))*(R277-INDEX('KT THAN'!$Y$38:$Y$58,MATCH(R277,'KT THAN'!$Y$38:$Y$58,-1)))/(INDEX('KT THAN'!$Y$38:$Y$58,MIN(21,MATCH(R277,'KT THAN'!$Y$38:$Y$58,-1)+1))-INDEX('KT THAN'!$Y$38:$Y$58,MATCH(R277,'KT THAN'!$Y$38:$Y$58,-1)))),MIN(0.8*0.75*'KT THAN'!$C$62,'KT THAN'!$D$68/R277)))))</f>
        <v/>
      </c>
      <c r="O277" s="38" t="str">
        <f>IF($A277="","",IF(H277&lt;0,ABS(H277)/MAX('KT THAN'!$C$69,0.001)+'KT THAN'!$C$32*ABS(J277)/MAX('KT THAN'!$C$68,0.001)+'KT THAN'!$D$32*ABS(I277)/MAX('KT THAN'!$D$68,0.001),IF(OR(M277&lt;=0,N277&lt;=0),999,IF(H277&gt;=0.1*0.75*fc_*Agth*1000,H277/MAX(0.001,1/(1/M277+1/N277-1/(0.75*'KT THAN'!$C$62))),'KT THAN'!$C$32*ABS(J277)/MAX('KT THAN'!$C$68,0.001)+'KT THAN'!$D$32*ABS(I277)/MAX('KT THAN'!$D$68,0.001)))))</f>
        <v/>
      </c>
      <c r="P277" s="37" t="str">
        <f t="shared" si="52"/>
        <v/>
      </c>
      <c r="Q277" s="38" t="str">
        <f>IF($A277="","",MAX(0.001,'KT THAN'!$C$32*ABS(J277)/MAX(1,H277)))</f>
        <v/>
      </c>
      <c r="R277" s="38" t="str">
        <f>IF($A277="","",MAX(0.001,'KT THAN'!$D$32*ABS(I277)/MAX(1,H277)))</f>
        <v/>
      </c>
      <c r="S277" t="str">
        <f t="shared" si="46"/>
        <v/>
      </c>
    </row>
    <row r="278" spans="1:19" hidden="1" outlineLevel="1" x14ac:dyDescent="0.3">
      <c r="A278" s="37" t="str">
        <f>IF('TO HOP NLAN'!$A144="","",'TO HOP NLAN'!$A144)</f>
        <v/>
      </c>
      <c r="B278" s="38" t="str">
        <f>IF($A278="","",'TO HOP NLAN'!$D144)</f>
        <v/>
      </c>
      <c r="C278" s="38" t="str">
        <f>IF($A278="","",'TO HOP NLAN'!$E144)</f>
        <v/>
      </c>
      <c r="D278" s="38" t="str">
        <f>IF($A278="","",'TO HOP NLAN'!$F144)</f>
        <v/>
      </c>
      <c r="E278" s="38" t="str">
        <f>IF($A278="","",'TO HOP NLAN'!$B144)</f>
        <v/>
      </c>
      <c r="F278" s="38" t="str">
        <f>IF($A278="","",'TO HOP NLAN'!$C144)</f>
        <v/>
      </c>
      <c r="G278" s="38" t="str">
        <f t="shared" si="47"/>
        <v/>
      </c>
      <c r="H278" s="38" t="str">
        <f t="shared" si="45"/>
        <v/>
      </c>
      <c r="I278" s="38" t="str">
        <f t="shared" si="48"/>
        <v/>
      </c>
      <c r="J278" s="38" t="str">
        <f t="shared" si="49"/>
        <v/>
      </c>
      <c r="K278" s="38" t="str">
        <f t="shared" si="50"/>
        <v/>
      </c>
      <c r="L278" s="38" t="str">
        <f t="shared" si="51"/>
        <v/>
      </c>
      <c r="M278" s="38" t="str">
        <f>IF($A278="","",IF(H278=0,"",IF(Q278&lt;=0.000000001,MIN(0.8*0.75*'KT THAN'!$C$62,MAX('KT THAN'!$J$38:$J$58)),IFERROR(MIN(0.8*0.75*'KT THAN'!$C$62,INDEX('KT THAN'!$J$38:$J$58,MATCH(Q278,'KT THAN'!$L$38:$L$58,-1))+(INDEX('KT THAN'!$J$38:$J$58,MIN(21,MATCH(Q278,'KT THAN'!$L$38:$L$58,-1)+1))-INDEX('KT THAN'!$J$38:$J$58,MATCH(Q278,'KT THAN'!$L$38:$L$58,-1)))*(Q278-INDEX('KT THAN'!$L$38:$L$58,MATCH(Q278,'KT THAN'!$L$38:$L$58,-1)))/(INDEX('KT THAN'!$L$38:$L$58,MIN(21,MATCH(Q278,'KT THAN'!$L$38:$L$58,-1)+1))-INDEX('KT THAN'!$L$38:$L$58,MATCH(Q278,'KT THAN'!$L$38:$L$58,-1)))),MIN(0.8*0.75*'KT THAN'!$C$62,'KT THAN'!$C$68/Q278)))))</f>
        <v/>
      </c>
      <c r="N278" s="38" t="str">
        <f>IF($A278="","",IF(H278=0,"",IF(R278&lt;=0.000000001,MIN(0.8*0.75*'KT THAN'!$C$62,MAX('KT THAN'!$W$38:$W$58)),IFERROR(MIN(0.8*0.75*'KT THAN'!$C$62,INDEX('KT THAN'!$W$38:$W$58,MATCH(R278,'KT THAN'!$Y$38:$Y$58,-1))+(INDEX('KT THAN'!$W$38:$W$58,MIN(21,MATCH(R278,'KT THAN'!$Y$38:$Y$58,-1)+1))-INDEX('KT THAN'!$W$38:$W$58,MATCH(R278,'KT THAN'!$Y$38:$Y$58,-1)))*(R278-INDEX('KT THAN'!$Y$38:$Y$58,MATCH(R278,'KT THAN'!$Y$38:$Y$58,-1)))/(INDEX('KT THAN'!$Y$38:$Y$58,MIN(21,MATCH(R278,'KT THAN'!$Y$38:$Y$58,-1)+1))-INDEX('KT THAN'!$Y$38:$Y$58,MATCH(R278,'KT THAN'!$Y$38:$Y$58,-1)))),MIN(0.8*0.75*'KT THAN'!$C$62,'KT THAN'!$D$68/R278)))))</f>
        <v/>
      </c>
      <c r="O278" s="38" t="str">
        <f>IF($A278="","",IF(H278&lt;0,ABS(H278)/MAX('KT THAN'!$C$69,0.001)+'KT THAN'!$C$32*ABS(J278)/MAX('KT THAN'!$C$68,0.001)+'KT THAN'!$D$32*ABS(I278)/MAX('KT THAN'!$D$68,0.001),IF(OR(M278&lt;=0,N278&lt;=0),999,IF(H278&gt;=0.1*0.75*fc_*Agth*1000,H278/MAX(0.001,1/(1/M278+1/N278-1/(0.75*'KT THAN'!$C$62))),'KT THAN'!$C$32*ABS(J278)/MAX('KT THAN'!$C$68,0.001)+'KT THAN'!$D$32*ABS(I278)/MAX('KT THAN'!$D$68,0.001)))))</f>
        <v/>
      </c>
      <c r="P278" s="37" t="str">
        <f t="shared" si="52"/>
        <v/>
      </c>
      <c r="Q278" s="38" t="str">
        <f>IF($A278="","",MAX(0.001,'KT THAN'!$C$32*ABS(J278)/MAX(1,H278)))</f>
        <v/>
      </c>
      <c r="R278" s="38" t="str">
        <f>IF($A278="","",MAX(0.001,'KT THAN'!$D$32*ABS(I278)/MAX(1,H278)))</f>
        <v/>
      </c>
      <c r="S278" t="str">
        <f t="shared" si="46"/>
        <v/>
      </c>
    </row>
    <row r="279" spans="1:19" hidden="1" outlineLevel="1" x14ac:dyDescent="0.3">
      <c r="A279" s="37" t="str">
        <f>IF('TO HOP NLAN'!$A145="","",'TO HOP NLAN'!$A145)</f>
        <v/>
      </c>
      <c r="B279" s="38" t="str">
        <f>IF($A279="","",'TO HOP NLAN'!$D145)</f>
        <v/>
      </c>
      <c r="C279" s="38" t="str">
        <f>IF($A279="","",'TO HOP NLAN'!$E145)</f>
        <v/>
      </c>
      <c r="D279" s="38" t="str">
        <f>IF($A279="","",'TO HOP NLAN'!$F145)</f>
        <v/>
      </c>
      <c r="E279" s="38" t="str">
        <f>IF($A279="","",'TO HOP NLAN'!$B145)</f>
        <v/>
      </c>
      <c r="F279" s="38" t="str">
        <f>IF($A279="","",'TO HOP NLAN'!$C145)</f>
        <v/>
      </c>
      <c r="G279" s="38" t="str">
        <f t="shared" si="47"/>
        <v/>
      </c>
      <c r="H279" s="38" t="str">
        <f t="shared" si="45"/>
        <v/>
      </c>
      <c r="I279" s="38" t="str">
        <f t="shared" si="48"/>
        <v/>
      </c>
      <c r="J279" s="38" t="str">
        <f t="shared" si="49"/>
        <v/>
      </c>
      <c r="K279" s="38" t="str">
        <f t="shared" si="50"/>
        <v/>
      </c>
      <c r="L279" s="38" t="str">
        <f t="shared" si="51"/>
        <v/>
      </c>
      <c r="M279" s="38" t="str">
        <f>IF($A279="","",IF(H279=0,"",IF(Q279&lt;=0.000000001,MIN(0.8*0.75*'KT THAN'!$C$62,MAX('KT THAN'!$J$38:$J$58)),IFERROR(MIN(0.8*0.75*'KT THAN'!$C$62,INDEX('KT THAN'!$J$38:$J$58,MATCH(Q279,'KT THAN'!$L$38:$L$58,-1))+(INDEX('KT THAN'!$J$38:$J$58,MIN(21,MATCH(Q279,'KT THAN'!$L$38:$L$58,-1)+1))-INDEX('KT THAN'!$J$38:$J$58,MATCH(Q279,'KT THAN'!$L$38:$L$58,-1)))*(Q279-INDEX('KT THAN'!$L$38:$L$58,MATCH(Q279,'KT THAN'!$L$38:$L$58,-1)))/(INDEX('KT THAN'!$L$38:$L$58,MIN(21,MATCH(Q279,'KT THAN'!$L$38:$L$58,-1)+1))-INDEX('KT THAN'!$L$38:$L$58,MATCH(Q279,'KT THAN'!$L$38:$L$58,-1)))),MIN(0.8*0.75*'KT THAN'!$C$62,'KT THAN'!$C$68/Q279)))))</f>
        <v/>
      </c>
      <c r="N279" s="38" t="str">
        <f>IF($A279="","",IF(H279=0,"",IF(R279&lt;=0.000000001,MIN(0.8*0.75*'KT THAN'!$C$62,MAX('KT THAN'!$W$38:$W$58)),IFERROR(MIN(0.8*0.75*'KT THAN'!$C$62,INDEX('KT THAN'!$W$38:$W$58,MATCH(R279,'KT THAN'!$Y$38:$Y$58,-1))+(INDEX('KT THAN'!$W$38:$W$58,MIN(21,MATCH(R279,'KT THAN'!$Y$38:$Y$58,-1)+1))-INDEX('KT THAN'!$W$38:$W$58,MATCH(R279,'KT THAN'!$Y$38:$Y$58,-1)))*(R279-INDEX('KT THAN'!$Y$38:$Y$58,MATCH(R279,'KT THAN'!$Y$38:$Y$58,-1)))/(INDEX('KT THAN'!$Y$38:$Y$58,MIN(21,MATCH(R279,'KT THAN'!$Y$38:$Y$58,-1)+1))-INDEX('KT THAN'!$Y$38:$Y$58,MATCH(R279,'KT THAN'!$Y$38:$Y$58,-1)))),MIN(0.8*0.75*'KT THAN'!$C$62,'KT THAN'!$D$68/R279)))))</f>
        <v/>
      </c>
      <c r="O279" s="38" t="str">
        <f>IF($A279="","",IF(H279&lt;0,ABS(H279)/MAX('KT THAN'!$C$69,0.001)+'KT THAN'!$C$32*ABS(J279)/MAX('KT THAN'!$C$68,0.001)+'KT THAN'!$D$32*ABS(I279)/MAX('KT THAN'!$D$68,0.001),IF(OR(M279&lt;=0,N279&lt;=0),999,IF(H279&gt;=0.1*0.75*fc_*Agth*1000,H279/MAX(0.001,1/(1/M279+1/N279-1/(0.75*'KT THAN'!$C$62))),'KT THAN'!$C$32*ABS(J279)/MAX('KT THAN'!$C$68,0.001)+'KT THAN'!$D$32*ABS(I279)/MAX('KT THAN'!$D$68,0.001)))))</f>
        <v/>
      </c>
      <c r="P279" s="37" t="str">
        <f t="shared" si="52"/>
        <v/>
      </c>
      <c r="Q279" s="38" t="str">
        <f>IF($A279="","",MAX(0.001,'KT THAN'!$C$32*ABS(J279)/MAX(1,H279)))</f>
        <v/>
      </c>
      <c r="R279" s="38" t="str">
        <f>IF($A279="","",MAX(0.001,'KT THAN'!$D$32*ABS(I279)/MAX(1,H279)))</f>
        <v/>
      </c>
      <c r="S279" t="str">
        <f t="shared" si="46"/>
        <v/>
      </c>
    </row>
    <row r="280" spans="1:19" hidden="1" outlineLevel="1" x14ac:dyDescent="0.3">
      <c r="A280" s="37" t="str">
        <f>IF('TO HOP NLAN'!$A146="","",'TO HOP NLAN'!$A146)</f>
        <v/>
      </c>
      <c r="B280" s="38" t="str">
        <f>IF($A280="","",'TO HOP NLAN'!$D146)</f>
        <v/>
      </c>
      <c r="C280" s="38" t="str">
        <f>IF($A280="","",'TO HOP NLAN'!$E146)</f>
        <v/>
      </c>
      <c r="D280" s="38" t="str">
        <f>IF($A280="","",'TO HOP NLAN'!$F146)</f>
        <v/>
      </c>
      <c r="E280" s="38" t="str">
        <f>IF($A280="","",'TO HOP NLAN'!$B146)</f>
        <v/>
      </c>
      <c r="F280" s="38" t="str">
        <f>IF($A280="","",'TO HOP NLAN'!$C146)</f>
        <v/>
      </c>
      <c r="G280" s="38" t="str">
        <f t="shared" si="47"/>
        <v/>
      </c>
      <c r="H280" s="38" t="str">
        <f t="shared" si="45"/>
        <v/>
      </c>
      <c r="I280" s="38" t="str">
        <f t="shared" si="48"/>
        <v/>
      </c>
      <c r="J280" s="38" t="str">
        <f t="shared" si="49"/>
        <v/>
      </c>
      <c r="K280" s="38" t="str">
        <f t="shared" si="50"/>
        <v/>
      </c>
      <c r="L280" s="38" t="str">
        <f t="shared" si="51"/>
        <v/>
      </c>
      <c r="M280" s="38" t="str">
        <f>IF($A280="","",IF(H280=0,"",IF(Q280&lt;=0.000000001,MIN(0.8*0.75*'KT THAN'!$C$62,MAX('KT THAN'!$J$38:$J$58)),IFERROR(MIN(0.8*0.75*'KT THAN'!$C$62,INDEX('KT THAN'!$J$38:$J$58,MATCH(Q280,'KT THAN'!$L$38:$L$58,-1))+(INDEX('KT THAN'!$J$38:$J$58,MIN(21,MATCH(Q280,'KT THAN'!$L$38:$L$58,-1)+1))-INDEX('KT THAN'!$J$38:$J$58,MATCH(Q280,'KT THAN'!$L$38:$L$58,-1)))*(Q280-INDEX('KT THAN'!$L$38:$L$58,MATCH(Q280,'KT THAN'!$L$38:$L$58,-1)))/(INDEX('KT THAN'!$L$38:$L$58,MIN(21,MATCH(Q280,'KT THAN'!$L$38:$L$58,-1)+1))-INDEX('KT THAN'!$L$38:$L$58,MATCH(Q280,'KT THAN'!$L$38:$L$58,-1)))),MIN(0.8*0.75*'KT THAN'!$C$62,'KT THAN'!$C$68/Q280)))))</f>
        <v/>
      </c>
      <c r="N280" s="38" t="str">
        <f>IF($A280="","",IF(H280=0,"",IF(R280&lt;=0.000000001,MIN(0.8*0.75*'KT THAN'!$C$62,MAX('KT THAN'!$W$38:$W$58)),IFERROR(MIN(0.8*0.75*'KT THAN'!$C$62,INDEX('KT THAN'!$W$38:$W$58,MATCH(R280,'KT THAN'!$Y$38:$Y$58,-1))+(INDEX('KT THAN'!$W$38:$W$58,MIN(21,MATCH(R280,'KT THAN'!$Y$38:$Y$58,-1)+1))-INDEX('KT THAN'!$W$38:$W$58,MATCH(R280,'KT THAN'!$Y$38:$Y$58,-1)))*(R280-INDEX('KT THAN'!$Y$38:$Y$58,MATCH(R280,'KT THAN'!$Y$38:$Y$58,-1)))/(INDEX('KT THAN'!$Y$38:$Y$58,MIN(21,MATCH(R280,'KT THAN'!$Y$38:$Y$58,-1)+1))-INDEX('KT THAN'!$Y$38:$Y$58,MATCH(R280,'KT THAN'!$Y$38:$Y$58,-1)))),MIN(0.8*0.75*'KT THAN'!$C$62,'KT THAN'!$D$68/R280)))))</f>
        <v/>
      </c>
      <c r="O280" s="38" t="str">
        <f>IF($A280="","",IF(H280&lt;0,ABS(H280)/MAX('KT THAN'!$C$69,0.001)+'KT THAN'!$C$32*ABS(J280)/MAX('KT THAN'!$C$68,0.001)+'KT THAN'!$D$32*ABS(I280)/MAX('KT THAN'!$D$68,0.001),IF(OR(M280&lt;=0,N280&lt;=0),999,IF(H280&gt;=0.1*0.75*fc_*Agth*1000,H280/MAX(0.001,1/(1/M280+1/N280-1/(0.75*'KT THAN'!$C$62))),'KT THAN'!$C$32*ABS(J280)/MAX('KT THAN'!$C$68,0.001)+'KT THAN'!$D$32*ABS(I280)/MAX('KT THAN'!$D$68,0.001)))))</f>
        <v/>
      </c>
      <c r="P280" s="37" t="str">
        <f t="shared" si="52"/>
        <v/>
      </c>
      <c r="Q280" s="38" t="str">
        <f>IF($A280="","",MAX(0.001,'KT THAN'!$C$32*ABS(J280)/MAX(1,H280)))</f>
        <v/>
      </c>
      <c r="R280" s="38" t="str">
        <f>IF($A280="","",MAX(0.001,'KT THAN'!$D$32*ABS(I280)/MAX(1,H280)))</f>
        <v/>
      </c>
      <c r="S280" t="str">
        <f t="shared" si="46"/>
        <v/>
      </c>
    </row>
    <row r="281" spans="1:19" hidden="1" outlineLevel="1" x14ac:dyDescent="0.3">
      <c r="A281" s="37" t="str">
        <f>IF('TO HOP NLAN'!$A147="","",'TO HOP NLAN'!$A147)</f>
        <v/>
      </c>
      <c r="B281" s="38" t="str">
        <f>IF($A281="","",'TO HOP NLAN'!$D147)</f>
        <v/>
      </c>
      <c r="C281" s="38" t="str">
        <f>IF($A281="","",'TO HOP NLAN'!$E147)</f>
        <v/>
      </c>
      <c r="D281" s="38" t="str">
        <f>IF($A281="","",'TO HOP NLAN'!$F147)</f>
        <v/>
      </c>
      <c r="E281" s="38" t="str">
        <f>IF($A281="","",'TO HOP NLAN'!$B147)</f>
        <v/>
      </c>
      <c r="F281" s="38" t="str">
        <f>IF($A281="","",'TO HOP NLAN'!$C147)</f>
        <v/>
      </c>
      <c r="G281" s="38" t="str">
        <f t="shared" si="47"/>
        <v/>
      </c>
      <c r="H281" s="38" t="str">
        <f t="shared" si="45"/>
        <v/>
      </c>
      <c r="I281" s="38" t="str">
        <f t="shared" si="48"/>
        <v/>
      </c>
      <c r="J281" s="38" t="str">
        <f t="shared" si="49"/>
        <v/>
      </c>
      <c r="K281" s="38" t="str">
        <f t="shared" si="50"/>
        <v/>
      </c>
      <c r="L281" s="38" t="str">
        <f t="shared" si="51"/>
        <v/>
      </c>
      <c r="M281" s="38" t="str">
        <f>IF($A281="","",IF(H281=0,"",IF(Q281&lt;=0.000000001,MIN(0.8*0.75*'KT THAN'!$C$62,MAX('KT THAN'!$J$38:$J$58)),IFERROR(MIN(0.8*0.75*'KT THAN'!$C$62,INDEX('KT THAN'!$J$38:$J$58,MATCH(Q281,'KT THAN'!$L$38:$L$58,-1))+(INDEX('KT THAN'!$J$38:$J$58,MIN(21,MATCH(Q281,'KT THAN'!$L$38:$L$58,-1)+1))-INDEX('KT THAN'!$J$38:$J$58,MATCH(Q281,'KT THAN'!$L$38:$L$58,-1)))*(Q281-INDEX('KT THAN'!$L$38:$L$58,MATCH(Q281,'KT THAN'!$L$38:$L$58,-1)))/(INDEX('KT THAN'!$L$38:$L$58,MIN(21,MATCH(Q281,'KT THAN'!$L$38:$L$58,-1)+1))-INDEX('KT THAN'!$L$38:$L$58,MATCH(Q281,'KT THAN'!$L$38:$L$58,-1)))),MIN(0.8*0.75*'KT THAN'!$C$62,'KT THAN'!$C$68/Q281)))))</f>
        <v/>
      </c>
      <c r="N281" s="38" t="str">
        <f>IF($A281="","",IF(H281=0,"",IF(R281&lt;=0.000000001,MIN(0.8*0.75*'KT THAN'!$C$62,MAX('KT THAN'!$W$38:$W$58)),IFERROR(MIN(0.8*0.75*'KT THAN'!$C$62,INDEX('KT THAN'!$W$38:$W$58,MATCH(R281,'KT THAN'!$Y$38:$Y$58,-1))+(INDEX('KT THAN'!$W$38:$W$58,MIN(21,MATCH(R281,'KT THAN'!$Y$38:$Y$58,-1)+1))-INDEX('KT THAN'!$W$38:$W$58,MATCH(R281,'KT THAN'!$Y$38:$Y$58,-1)))*(R281-INDEX('KT THAN'!$Y$38:$Y$58,MATCH(R281,'KT THAN'!$Y$38:$Y$58,-1)))/(INDEX('KT THAN'!$Y$38:$Y$58,MIN(21,MATCH(R281,'KT THAN'!$Y$38:$Y$58,-1)+1))-INDEX('KT THAN'!$Y$38:$Y$58,MATCH(R281,'KT THAN'!$Y$38:$Y$58,-1)))),MIN(0.8*0.75*'KT THAN'!$C$62,'KT THAN'!$D$68/R281)))))</f>
        <v/>
      </c>
      <c r="O281" s="38" t="str">
        <f>IF($A281="","",IF(H281&lt;0,ABS(H281)/MAX('KT THAN'!$C$69,0.001)+'KT THAN'!$C$32*ABS(J281)/MAX('KT THAN'!$C$68,0.001)+'KT THAN'!$D$32*ABS(I281)/MAX('KT THAN'!$D$68,0.001),IF(OR(M281&lt;=0,N281&lt;=0),999,IF(H281&gt;=0.1*0.75*fc_*Agth*1000,H281/MAX(0.001,1/(1/M281+1/N281-1/(0.75*'KT THAN'!$C$62))),'KT THAN'!$C$32*ABS(J281)/MAX('KT THAN'!$C$68,0.001)+'KT THAN'!$D$32*ABS(I281)/MAX('KT THAN'!$D$68,0.001)))))</f>
        <v/>
      </c>
      <c r="P281" s="37" t="str">
        <f t="shared" si="52"/>
        <v/>
      </c>
      <c r="Q281" s="38" t="str">
        <f>IF($A281="","",MAX(0.001,'KT THAN'!$C$32*ABS(J281)/MAX(1,H281)))</f>
        <v/>
      </c>
      <c r="R281" s="38" t="str">
        <f>IF($A281="","",MAX(0.001,'KT THAN'!$D$32*ABS(I281)/MAX(1,H281)))</f>
        <v/>
      </c>
      <c r="S281" t="str">
        <f t="shared" si="46"/>
        <v/>
      </c>
    </row>
    <row r="282" spans="1:19" hidden="1" outlineLevel="1" x14ac:dyDescent="0.3">
      <c r="A282" s="37" t="str">
        <f>IF('TO HOP NLAN'!$A148="","",'TO HOP NLAN'!$A148)</f>
        <v/>
      </c>
      <c r="B282" s="38" t="str">
        <f>IF($A282="","",'TO HOP NLAN'!$D148)</f>
        <v/>
      </c>
      <c r="C282" s="38" t="str">
        <f>IF($A282="","",'TO HOP NLAN'!$E148)</f>
        <v/>
      </c>
      <c r="D282" s="38" t="str">
        <f>IF($A282="","",'TO HOP NLAN'!$F148)</f>
        <v/>
      </c>
      <c r="E282" s="38" t="str">
        <f>IF($A282="","",'TO HOP NLAN'!$B148)</f>
        <v/>
      </c>
      <c r="F282" s="38" t="str">
        <f>IF($A282="","",'TO HOP NLAN'!$C148)</f>
        <v/>
      </c>
      <c r="G282" s="38" t="str">
        <f t="shared" si="47"/>
        <v/>
      </c>
      <c r="H282" s="38" t="str">
        <f t="shared" si="45"/>
        <v/>
      </c>
      <c r="I282" s="38" t="str">
        <f t="shared" si="48"/>
        <v/>
      </c>
      <c r="J282" s="38" t="str">
        <f t="shared" si="49"/>
        <v/>
      </c>
      <c r="K282" s="38" t="str">
        <f t="shared" si="50"/>
        <v/>
      </c>
      <c r="L282" s="38" t="str">
        <f t="shared" si="51"/>
        <v/>
      </c>
      <c r="M282" s="38" t="str">
        <f>IF($A282="","",IF(H282=0,"",IF(Q282&lt;=0.000000001,MIN(0.8*0.75*'KT THAN'!$C$62,MAX('KT THAN'!$J$38:$J$58)),IFERROR(MIN(0.8*0.75*'KT THAN'!$C$62,INDEX('KT THAN'!$J$38:$J$58,MATCH(Q282,'KT THAN'!$L$38:$L$58,-1))+(INDEX('KT THAN'!$J$38:$J$58,MIN(21,MATCH(Q282,'KT THAN'!$L$38:$L$58,-1)+1))-INDEX('KT THAN'!$J$38:$J$58,MATCH(Q282,'KT THAN'!$L$38:$L$58,-1)))*(Q282-INDEX('KT THAN'!$L$38:$L$58,MATCH(Q282,'KT THAN'!$L$38:$L$58,-1)))/(INDEX('KT THAN'!$L$38:$L$58,MIN(21,MATCH(Q282,'KT THAN'!$L$38:$L$58,-1)+1))-INDEX('KT THAN'!$L$38:$L$58,MATCH(Q282,'KT THAN'!$L$38:$L$58,-1)))),MIN(0.8*0.75*'KT THAN'!$C$62,'KT THAN'!$C$68/Q282)))))</f>
        <v/>
      </c>
      <c r="N282" s="38" t="str">
        <f>IF($A282="","",IF(H282=0,"",IF(R282&lt;=0.000000001,MIN(0.8*0.75*'KT THAN'!$C$62,MAX('KT THAN'!$W$38:$W$58)),IFERROR(MIN(0.8*0.75*'KT THAN'!$C$62,INDEX('KT THAN'!$W$38:$W$58,MATCH(R282,'KT THAN'!$Y$38:$Y$58,-1))+(INDEX('KT THAN'!$W$38:$W$58,MIN(21,MATCH(R282,'KT THAN'!$Y$38:$Y$58,-1)+1))-INDEX('KT THAN'!$W$38:$W$58,MATCH(R282,'KT THAN'!$Y$38:$Y$58,-1)))*(R282-INDEX('KT THAN'!$Y$38:$Y$58,MATCH(R282,'KT THAN'!$Y$38:$Y$58,-1)))/(INDEX('KT THAN'!$Y$38:$Y$58,MIN(21,MATCH(R282,'KT THAN'!$Y$38:$Y$58,-1)+1))-INDEX('KT THAN'!$Y$38:$Y$58,MATCH(R282,'KT THAN'!$Y$38:$Y$58,-1)))),MIN(0.8*0.75*'KT THAN'!$C$62,'KT THAN'!$D$68/R282)))))</f>
        <v/>
      </c>
      <c r="O282" s="38" t="str">
        <f>IF($A282="","",IF(H282&lt;0,ABS(H282)/MAX('KT THAN'!$C$69,0.001)+'KT THAN'!$C$32*ABS(J282)/MAX('KT THAN'!$C$68,0.001)+'KT THAN'!$D$32*ABS(I282)/MAX('KT THAN'!$D$68,0.001),IF(OR(M282&lt;=0,N282&lt;=0),999,IF(H282&gt;=0.1*0.75*fc_*Agth*1000,H282/MAX(0.001,1/(1/M282+1/N282-1/(0.75*'KT THAN'!$C$62))),'KT THAN'!$C$32*ABS(J282)/MAX('KT THAN'!$C$68,0.001)+'KT THAN'!$D$32*ABS(I282)/MAX('KT THAN'!$D$68,0.001)))))</f>
        <v/>
      </c>
      <c r="P282" s="37" t="str">
        <f t="shared" si="52"/>
        <v/>
      </c>
      <c r="Q282" s="38" t="str">
        <f>IF($A282="","",MAX(0.001,'KT THAN'!$C$32*ABS(J282)/MAX(1,H282)))</f>
        <v/>
      </c>
      <c r="R282" s="38" t="str">
        <f>IF($A282="","",MAX(0.001,'KT THAN'!$D$32*ABS(I282)/MAX(1,H282)))</f>
        <v/>
      </c>
      <c r="S282" t="str">
        <f t="shared" si="46"/>
        <v/>
      </c>
    </row>
    <row r="283" spans="1:19" hidden="1" outlineLevel="1" x14ac:dyDescent="0.3">
      <c r="A283" s="37" t="str">
        <f>IF('TO HOP NLAN'!$A149="","",'TO HOP NLAN'!$A149)</f>
        <v/>
      </c>
      <c r="B283" s="38" t="str">
        <f>IF($A283="","",'TO HOP NLAN'!$D149)</f>
        <v/>
      </c>
      <c r="C283" s="38" t="str">
        <f>IF($A283="","",'TO HOP NLAN'!$E149)</f>
        <v/>
      </c>
      <c r="D283" s="38" t="str">
        <f>IF($A283="","",'TO HOP NLAN'!$F149)</f>
        <v/>
      </c>
      <c r="E283" s="38" t="str">
        <f>IF($A283="","",'TO HOP NLAN'!$B149)</f>
        <v/>
      </c>
      <c r="F283" s="38" t="str">
        <f>IF($A283="","",'TO HOP NLAN'!$C149)</f>
        <v/>
      </c>
      <c r="G283" s="38" t="str">
        <f t="shared" si="47"/>
        <v/>
      </c>
      <c r="H283" s="38" t="str">
        <f t="shared" si="45"/>
        <v/>
      </c>
      <c r="I283" s="38" t="str">
        <f t="shared" si="48"/>
        <v/>
      </c>
      <c r="J283" s="38" t="str">
        <f t="shared" si="49"/>
        <v/>
      </c>
      <c r="K283" s="38" t="str">
        <f t="shared" si="50"/>
        <v/>
      </c>
      <c r="L283" s="38" t="str">
        <f t="shared" si="51"/>
        <v/>
      </c>
      <c r="M283" s="38" t="str">
        <f>IF($A283="","",IF(H283=0,"",IF(Q283&lt;=0.000000001,MIN(0.8*0.75*'KT THAN'!$C$62,MAX('KT THAN'!$J$38:$J$58)),IFERROR(MIN(0.8*0.75*'KT THAN'!$C$62,INDEX('KT THAN'!$J$38:$J$58,MATCH(Q283,'KT THAN'!$L$38:$L$58,-1))+(INDEX('KT THAN'!$J$38:$J$58,MIN(21,MATCH(Q283,'KT THAN'!$L$38:$L$58,-1)+1))-INDEX('KT THAN'!$J$38:$J$58,MATCH(Q283,'KT THAN'!$L$38:$L$58,-1)))*(Q283-INDEX('KT THAN'!$L$38:$L$58,MATCH(Q283,'KT THAN'!$L$38:$L$58,-1)))/(INDEX('KT THAN'!$L$38:$L$58,MIN(21,MATCH(Q283,'KT THAN'!$L$38:$L$58,-1)+1))-INDEX('KT THAN'!$L$38:$L$58,MATCH(Q283,'KT THAN'!$L$38:$L$58,-1)))),MIN(0.8*0.75*'KT THAN'!$C$62,'KT THAN'!$C$68/Q283)))))</f>
        <v/>
      </c>
      <c r="N283" s="38" t="str">
        <f>IF($A283="","",IF(H283=0,"",IF(R283&lt;=0.000000001,MIN(0.8*0.75*'KT THAN'!$C$62,MAX('KT THAN'!$W$38:$W$58)),IFERROR(MIN(0.8*0.75*'KT THAN'!$C$62,INDEX('KT THAN'!$W$38:$W$58,MATCH(R283,'KT THAN'!$Y$38:$Y$58,-1))+(INDEX('KT THAN'!$W$38:$W$58,MIN(21,MATCH(R283,'KT THAN'!$Y$38:$Y$58,-1)+1))-INDEX('KT THAN'!$W$38:$W$58,MATCH(R283,'KT THAN'!$Y$38:$Y$58,-1)))*(R283-INDEX('KT THAN'!$Y$38:$Y$58,MATCH(R283,'KT THAN'!$Y$38:$Y$58,-1)))/(INDEX('KT THAN'!$Y$38:$Y$58,MIN(21,MATCH(R283,'KT THAN'!$Y$38:$Y$58,-1)+1))-INDEX('KT THAN'!$Y$38:$Y$58,MATCH(R283,'KT THAN'!$Y$38:$Y$58,-1)))),MIN(0.8*0.75*'KT THAN'!$C$62,'KT THAN'!$D$68/R283)))))</f>
        <v/>
      </c>
      <c r="O283" s="38" t="str">
        <f>IF($A283="","",IF(H283&lt;0,ABS(H283)/MAX('KT THAN'!$C$69,0.001)+'KT THAN'!$C$32*ABS(J283)/MAX('KT THAN'!$C$68,0.001)+'KT THAN'!$D$32*ABS(I283)/MAX('KT THAN'!$D$68,0.001),IF(OR(M283&lt;=0,N283&lt;=0),999,IF(H283&gt;=0.1*0.75*fc_*Agth*1000,H283/MAX(0.001,1/(1/M283+1/N283-1/(0.75*'KT THAN'!$C$62))),'KT THAN'!$C$32*ABS(J283)/MAX('KT THAN'!$C$68,0.001)+'KT THAN'!$D$32*ABS(I283)/MAX('KT THAN'!$D$68,0.001)))))</f>
        <v/>
      </c>
      <c r="P283" s="37" t="str">
        <f t="shared" si="52"/>
        <v/>
      </c>
      <c r="Q283" s="38" t="str">
        <f>IF($A283="","",MAX(0.001,'KT THAN'!$C$32*ABS(J283)/MAX(1,H283)))</f>
        <v/>
      </c>
      <c r="R283" s="38" t="str">
        <f>IF($A283="","",MAX(0.001,'KT THAN'!$D$32*ABS(I283)/MAX(1,H283)))</f>
        <v/>
      </c>
      <c r="S283" t="str">
        <f t="shared" si="46"/>
        <v/>
      </c>
    </row>
    <row r="284" spans="1:19" hidden="1" outlineLevel="1" x14ac:dyDescent="0.3">
      <c r="A284" s="37" t="str">
        <f>IF('TO HOP NLAN'!$A150="","",'TO HOP NLAN'!$A150)</f>
        <v/>
      </c>
      <c r="B284" s="38" t="str">
        <f>IF($A284="","",'TO HOP NLAN'!$D150)</f>
        <v/>
      </c>
      <c r="C284" s="38" t="str">
        <f>IF($A284="","",'TO HOP NLAN'!$E150)</f>
        <v/>
      </c>
      <c r="D284" s="38" t="str">
        <f>IF($A284="","",'TO HOP NLAN'!$F150)</f>
        <v/>
      </c>
      <c r="E284" s="38" t="str">
        <f>IF($A284="","",'TO HOP NLAN'!$B150)</f>
        <v/>
      </c>
      <c r="F284" s="38" t="str">
        <f>IF($A284="","",'TO HOP NLAN'!$C150)</f>
        <v/>
      </c>
      <c r="G284" s="38" t="str">
        <f t="shared" si="47"/>
        <v/>
      </c>
      <c r="H284" s="38" t="str">
        <f t="shared" si="45"/>
        <v/>
      </c>
      <c r="I284" s="38" t="str">
        <f t="shared" si="48"/>
        <v/>
      </c>
      <c r="J284" s="38" t="str">
        <f t="shared" si="49"/>
        <v/>
      </c>
      <c r="K284" s="38" t="str">
        <f t="shared" si="50"/>
        <v/>
      </c>
      <c r="L284" s="38" t="str">
        <f t="shared" si="51"/>
        <v/>
      </c>
      <c r="M284" s="38" t="str">
        <f>IF($A284="","",IF(H284=0,"",IF(Q284&lt;=0.000000001,MIN(0.8*0.75*'KT THAN'!$C$62,MAX('KT THAN'!$J$38:$J$58)),IFERROR(MIN(0.8*0.75*'KT THAN'!$C$62,INDEX('KT THAN'!$J$38:$J$58,MATCH(Q284,'KT THAN'!$L$38:$L$58,-1))+(INDEX('KT THAN'!$J$38:$J$58,MIN(21,MATCH(Q284,'KT THAN'!$L$38:$L$58,-1)+1))-INDEX('KT THAN'!$J$38:$J$58,MATCH(Q284,'KT THAN'!$L$38:$L$58,-1)))*(Q284-INDEX('KT THAN'!$L$38:$L$58,MATCH(Q284,'KT THAN'!$L$38:$L$58,-1)))/(INDEX('KT THAN'!$L$38:$L$58,MIN(21,MATCH(Q284,'KT THAN'!$L$38:$L$58,-1)+1))-INDEX('KT THAN'!$L$38:$L$58,MATCH(Q284,'KT THAN'!$L$38:$L$58,-1)))),MIN(0.8*0.75*'KT THAN'!$C$62,'KT THAN'!$C$68/Q284)))))</f>
        <v/>
      </c>
      <c r="N284" s="38" t="str">
        <f>IF($A284="","",IF(H284=0,"",IF(R284&lt;=0.000000001,MIN(0.8*0.75*'KT THAN'!$C$62,MAX('KT THAN'!$W$38:$W$58)),IFERROR(MIN(0.8*0.75*'KT THAN'!$C$62,INDEX('KT THAN'!$W$38:$W$58,MATCH(R284,'KT THAN'!$Y$38:$Y$58,-1))+(INDEX('KT THAN'!$W$38:$W$58,MIN(21,MATCH(R284,'KT THAN'!$Y$38:$Y$58,-1)+1))-INDEX('KT THAN'!$W$38:$W$58,MATCH(R284,'KT THAN'!$Y$38:$Y$58,-1)))*(R284-INDEX('KT THAN'!$Y$38:$Y$58,MATCH(R284,'KT THAN'!$Y$38:$Y$58,-1)))/(INDEX('KT THAN'!$Y$38:$Y$58,MIN(21,MATCH(R284,'KT THAN'!$Y$38:$Y$58,-1)+1))-INDEX('KT THAN'!$Y$38:$Y$58,MATCH(R284,'KT THAN'!$Y$38:$Y$58,-1)))),MIN(0.8*0.75*'KT THAN'!$C$62,'KT THAN'!$D$68/R284)))))</f>
        <v/>
      </c>
      <c r="O284" s="38" t="str">
        <f>IF($A284="","",IF(H284&lt;0,ABS(H284)/MAX('KT THAN'!$C$69,0.001)+'KT THAN'!$C$32*ABS(J284)/MAX('KT THAN'!$C$68,0.001)+'KT THAN'!$D$32*ABS(I284)/MAX('KT THAN'!$D$68,0.001),IF(OR(M284&lt;=0,N284&lt;=0),999,IF(H284&gt;=0.1*0.75*fc_*Agth*1000,H284/MAX(0.001,1/(1/M284+1/N284-1/(0.75*'KT THAN'!$C$62))),'KT THAN'!$C$32*ABS(J284)/MAX('KT THAN'!$C$68,0.001)+'KT THAN'!$D$32*ABS(I284)/MAX('KT THAN'!$D$68,0.001)))))</f>
        <v/>
      </c>
      <c r="P284" s="37" t="str">
        <f t="shared" si="52"/>
        <v/>
      </c>
      <c r="Q284" s="38" t="str">
        <f>IF($A284="","",MAX(0.001,'KT THAN'!$C$32*ABS(J284)/MAX(1,H284)))</f>
        <v/>
      </c>
      <c r="R284" s="38" t="str">
        <f>IF($A284="","",MAX(0.001,'KT THAN'!$D$32*ABS(I284)/MAX(1,H284)))</f>
        <v/>
      </c>
      <c r="S284" t="str">
        <f t="shared" si="46"/>
        <v/>
      </c>
    </row>
    <row r="285" spans="1:19" hidden="1" outlineLevel="1" x14ac:dyDescent="0.3">
      <c r="A285" s="37" t="str">
        <f>IF('TO HOP NLAN'!$A151="","",'TO HOP NLAN'!$A151)</f>
        <v/>
      </c>
      <c r="B285" s="38" t="str">
        <f>IF($A285="","",'TO HOP NLAN'!$D151)</f>
        <v/>
      </c>
      <c r="C285" s="38" t="str">
        <f>IF($A285="","",'TO HOP NLAN'!$E151)</f>
        <v/>
      </c>
      <c r="D285" s="38" t="str">
        <f>IF($A285="","",'TO HOP NLAN'!$F151)</f>
        <v/>
      </c>
      <c r="E285" s="38" t="str">
        <f>IF($A285="","",'TO HOP NLAN'!$B151)</f>
        <v/>
      </c>
      <c r="F285" s="38" t="str">
        <f>IF($A285="","",'TO HOP NLAN'!$C151)</f>
        <v/>
      </c>
      <c r="G285" s="38" t="str">
        <f t="shared" si="47"/>
        <v/>
      </c>
      <c r="H285" s="38" t="str">
        <f t="shared" si="45"/>
        <v/>
      </c>
      <c r="I285" s="38" t="str">
        <f t="shared" si="48"/>
        <v/>
      </c>
      <c r="J285" s="38" t="str">
        <f t="shared" si="49"/>
        <v/>
      </c>
      <c r="K285" s="38" t="str">
        <f t="shared" si="50"/>
        <v/>
      </c>
      <c r="L285" s="38" t="str">
        <f t="shared" si="51"/>
        <v/>
      </c>
      <c r="M285" s="38" t="str">
        <f>IF($A285="","",IF(H285=0,"",IF(Q285&lt;=0.000000001,MIN(0.8*0.75*'KT THAN'!$C$62,MAX('KT THAN'!$J$38:$J$58)),IFERROR(MIN(0.8*0.75*'KT THAN'!$C$62,INDEX('KT THAN'!$J$38:$J$58,MATCH(Q285,'KT THAN'!$L$38:$L$58,-1))+(INDEX('KT THAN'!$J$38:$J$58,MIN(21,MATCH(Q285,'KT THAN'!$L$38:$L$58,-1)+1))-INDEX('KT THAN'!$J$38:$J$58,MATCH(Q285,'KT THAN'!$L$38:$L$58,-1)))*(Q285-INDEX('KT THAN'!$L$38:$L$58,MATCH(Q285,'KT THAN'!$L$38:$L$58,-1)))/(INDEX('KT THAN'!$L$38:$L$58,MIN(21,MATCH(Q285,'KT THAN'!$L$38:$L$58,-1)+1))-INDEX('KT THAN'!$L$38:$L$58,MATCH(Q285,'KT THAN'!$L$38:$L$58,-1)))),MIN(0.8*0.75*'KT THAN'!$C$62,'KT THAN'!$C$68/Q285)))))</f>
        <v/>
      </c>
      <c r="N285" s="38" t="str">
        <f>IF($A285="","",IF(H285=0,"",IF(R285&lt;=0.000000001,MIN(0.8*0.75*'KT THAN'!$C$62,MAX('KT THAN'!$W$38:$W$58)),IFERROR(MIN(0.8*0.75*'KT THAN'!$C$62,INDEX('KT THAN'!$W$38:$W$58,MATCH(R285,'KT THAN'!$Y$38:$Y$58,-1))+(INDEX('KT THAN'!$W$38:$W$58,MIN(21,MATCH(R285,'KT THAN'!$Y$38:$Y$58,-1)+1))-INDEX('KT THAN'!$W$38:$W$58,MATCH(R285,'KT THAN'!$Y$38:$Y$58,-1)))*(R285-INDEX('KT THAN'!$Y$38:$Y$58,MATCH(R285,'KT THAN'!$Y$38:$Y$58,-1)))/(INDEX('KT THAN'!$Y$38:$Y$58,MIN(21,MATCH(R285,'KT THAN'!$Y$38:$Y$58,-1)+1))-INDEX('KT THAN'!$Y$38:$Y$58,MATCH(R285,'KT THAN'!$Y$38:$Y$58,-1)))),MIN(0.8*0.75*'KT THAN'!$C$62,'KT THAN'!$D$68/R285)))))</f>
        <v/>
      </c>
      <c r="O285" s="38" t="str">
        <f>IF($A285="","",IF(H285&lt;0,ABS(H285)/MAX('KT THAN'!$C$69,0.001)+'KT THAN'!$C$32*ABS(J285)/MAX('KT THAN'!$C$68,0.001)+'KT THAN'!$D$32*ABS(I285)/MAX('KT THAN'!$D$68,0.001),IF(OR(M285&lt;=0,N285&lt;=0),999,IF(H285&gt;=0.1*0.75*fc_*Agth*1000,H285/MAX(0.001,1/(1/M285+1/N285-1/(0.75*'KT THAN'!$C$62))),'KT THAN'!$C$32*ABS(J285)/MAX('KT THAN'!$C$68,0.001)+'KT THAN'!$D$32*ABS(I285)/MAX('KT THAN'!$D$68,0.001)))))</f>
        <v/>
      </c>
      <c r="P285" s="37" t="str">
        <f t="shared" si="52"/>
        <v/>
      </c>
      <c r="Q285" s="38" t="str">
        <f>IF($A285="","",MAX(0.001,'KT THAN'!$C$32*ABS(J285)/MAX(1,H285)))</f>
        <v/>
      </c>
      <c r="R285" s="38" t="str">
        <f>IF($A285="","",MAX(0.001,'KT THAN'!$D$32*ABS(I285)/MAX(1,H285)))</f>
        <v/>
      </c>
      <c r="S285" t="str">
        <f t="shared" si="46"/>
        <v/>
      </c>
    </row>
    <row r="286" spans="1:19" hidden="1" outlineLevel="1" x14ac:dyDescent="0.3">
      <c r="A286" s="37" t="str">
        <f>IF('TO HOP NLAN'!$A152="","",'TO HOP NLAN'!$A152)</f>
        <v/>
      </c>
      <c r="B286" s="38" t="str">
        <f>IF($A286="","",'TO HOP NLAN'!$D152)</f>
        <v/>
      </c>
      <c r="C286" s="38" t="str">
        <f>IF($A286="","",'TO HOP NLAN'!$E152)</f>
        <v/>
      </c>
      <c r="D286" s="38" t="str">
        <f>IF($A286="","",'TO HOP NLAN'!$F152)</f>
        <v/>
      </c>
      <c r="E286" s="38" t="str">
        <f>IF($A286="","",'TO HOP NLAN'!$B152)</f>
        <v/>
      </c>
      <c r="F286" s="38" t="str">
        <f>IF($A286="","",'TO HOP NLAN'!$C152)</f>
        <v/>
      </c>
      <c r="G286" s="38" t="str">
        <f t="shared" si="47"/>
        <v/>
      </c>
      <c r="H286" s="38" t="str">
        <f t="shared" si="45"/>
        <v/>
      </c>
      <c r="I286" s="38" t="str">
        <f t="shared" si="48"/>
        <v/>
      </c>
      <c r="J286" s="38" t="str">
        <f t="shared" si="49"/>
        <v/>
      </c>
      <c r="K286" s="38" t="str">
        <f t="shared" si="50"/>
        <v/>
      </c>
      <c r="L286" s="38" t="str">
        <f t="shared" si="51"/>
        <v/>
      </c>
      <c r="M286" s="38" t="str">
        <f>IF($A286="","",IF(H286=0,"",IF(Q286&lt;=0.000000001,MIN(0.8*0.75*'KT THAN'!$C$62,MAX('KT THAN'!$J$38:$J$58)),IFERROR(MIN(0.8*0.75*'KT THAN'!$C$62,INDEX('KT THAN'!$J$38:$J$58,MATCH(Q286,'KT THAN'!$L$38:$L$58,-1))+(INDEX('KT THAN'!$J$38:$J$58,MIN(21,MATCH(Q286,'KT THAN'!$L$38:$L$58,-1)+1))-INDEX('KT THAN'!$J$38:$J$58,MATCH(Q286,'KT THAN'!$L$38:$L$58,-1)))*(Q286-INDEX('KT THAN'!$L$38:$L$58,MATCH(Q286,'KT THAN'!$L$38:$L$58,-1)))/(INDEX('KT THAN'!$L$38:$L$58,MIN(21,MATCH(Q286,'KT THAN'!$L$38:$L$58,-1)+1))-INDEX('KT THAN'!$L$38:$L$58,MATCH(Q286,'KT THAN'!$L$38:$L$58,-1)))),MIN(0.8*0.75*'KT THAN'!$C$62,'KT THAN'!$C$68/Q286)))))</f>
        <v/>
      </c>
      <c r="N286" s="38" t="str">
        <f>IF($A286="","",IF(H286=0,"",IF(R286&lt;=0.000000001,MIN(0.8*0.75*'KT THAN'!$C$62,MAX('KT THAN'!$W$38:$W$58)),IFERROR(MIN(0.8*0.75*'KT THAN'!$C$62,INDEX('KT THAN'!$W$38:$W$58,MATCH(R286,'KT THAN'!$Y$38:$Y$58,-1))+(INDEX('KT THAN'!$W$38:$W$58,MIN(21,MATCH(R286,'KT THAN'!$Y$38:$Y$58,-1)+1))-INDEX('KT THAN'!$W$38:$W$58,MATCH(R286,'KT THAN'!$Y$38:$Y$58,-1)))*(R286-INDEX('KT THAN'!$Y$38:$Y$58,MATCH(R286,'KT THAN'!$Y$38:$Y$58,-1)))/(INDEX('KT THAN'!$Y$38:$Y$58,MIN(21,MATCH(R286,'KT THAN'!$Y$38:$Y$58,-1)+1))-INDEX('KT THAN'!$Y$38:$Y$58,MATCH(R286,'KT THAN'!$Y$38:$Y$58,-1)))),MIN(0.8*0.75*'KT THAN'!$C$62,'KT THAN'!$D$68/R286)))))</f>
        <v/>
      </c>
      <c r="O286" s="38" t="str">
        <f>IF($A286="","",IF(H286&lt;0,ABS(H286)/MAX('KT THAN'!$C$69,0.001)+'KT THAN'!$C$32*ABS(J286)/MAX('KT THAN'!$C$68,0.001)+'KT THAN'!$D$32*ABS(I286)/MAX('KT THAN'!$D$68,0.001),IF(OR(M286&lt;=0,N286&lt;=0),999,IF(H286&gt;=0.1*0.75*fc_*Agth*1000,H286/MAX(0.001,1/(1/M286+1/N286-1/(0.75*'KT THAN'!$C$62))),'KT THAN'!$C$32*ABS(J286)/MAX('KT THAN'!$C$68,0.001)+'KT THAN'!$D$32*ABS(I286)/MAX('KT THAN'!$D$68,0.001)))))</f>
        <v/>
      </c>
      <c r="P286" s="37" t="str">
        <f t="shared" si="52"/>
        <v/>
      </c>
      <c r="Q286" s="38" t="str">
        <f>IF($A286="","",MAX(0.001,'KT THAN'!$C$32*ABS(J286)/MAX(1,H286)))</f>
        <v/>
      </c>
      <c r="R286" s="38" t="str">
        <f>IF($A286="","",MAX(0.001,'KT THAN'!$D$32*ABS(I286)/MAX(1,H286)))</f>
        <v/>
      </c>
      <c r="S286" t="str">
        <f t="shared" si="46"/>
        <v/>
      </c>
    </row>
    <row r="287" spans="1:19" hidden="1" outlineLevel="1" x14ac:dyDescent="0.3">
      <c r="A287" s="37" t="str">
        <f>IF('TO HOP NLAN'!$A153="","",'TO HOP NLAN'!$A153)</f>
        <v/>
      </c>
      <c r="B287" s="38" t="str">
        <f>IF($A287="","",'TO HOP NLAN'!$D153)</f>
        <v/>
      </c>
      <c r="C287" s="38" t="str">
        <f>IF($A287="","",'TO HOP NLAN'!$E153)</f>
        <v/>
      </c>
      <c r="D287" s="38" t="str">
        <f>IF($A287="","",'TO HOP NLAN'!$F153)</f>
        <v/>
      </c>
      <c r="E287" s="38" t="str">
        <f>IF($A287="","",'TO HOP NLAN'!$B153)</f>
        <v/>
      </c>
      <c r="F287" s="38" t="str">
        <f>IF($A287="","",'TO HOP NLAN'!$C153)</f>
        <v/>
      </c>
      <c r="G287" s="38" t="str">
        <f t="shared" si="47"/>
        <v/>
      </c>
      <c r="H287" s="38" t="str">
        <f t="shared" si="45"/>
        <v/>
      </c>
      <c r="I287" s="38" t="str">
        <f t="shared" si="48"/>
        <v/>
      </c>
      <c r="J287" s="38" t="str">
        <f t="shared" si="49"/>
        <v/>
      </c>
      <c r="K287" s="38" t="str">
        <f t="shared" si="50"/>
        <v/>
      </c>
      <c r="L287" s="38" t="str">
        <f t="shared" si="51"/>
        <v/>
      </c>
      <c r="M287" s="38" t="str">
        <f>IF($A287="","",IF(H287=0,"",IF(Q287&lt;=0.000000001,MIN(0.8*0.75*'KT THAN'!$C$62,MAX('KT THAN'!$J$38:$J$58)),IFERROR(MIN(0.8*0.75*'KT THAN'!$C$62,INDEX('KT THAN'!$J$38:$J$58,MATCH(Q287,'KT THAN'!$L$38:$L$58,-1))+(INDEX('KT THAN'!$J$38:$J$58,MIN(21,MATCH(Q287,'KT THAN'!$L$38:$L$58,-1)+1))-INDEX('KT THAN'!$J$38:$J$58,MATCH(Q287,'KT THAN'!$L$38:$L$58,-1)))*(Q287-INDEX('KT THAN'!$L$38:$L$58,MATCH(Q287,'KT THAN'!$L$38:$L$58,-1)))/(INDEX('KT THAN'!$L$38:$L$58,MIN(21,MATCH(Q287,'KT THAN'!$L$38:$L$58,-1)+1))-INDEX('KT THAN'!$L$38:$L$58,MATCH(Q287,'KT THAN'!$L$38:$L$58,-1)))),MIN(0.8*0.75*'KT THAN'!$C$62,'KT THAN'!$C$68/Q287)))))</f>
        <v/>
      </c>
      <c r="N287" s="38" t="str">
        <f>IF($A287="","",IF(H287=0,"",IF(R287&lt;=0.000000001,MIN(0.8*0.75*'KT THAN'!$C$62,MAX('KT THAN'!$W$38:$W$58)),IFERROR(MIN(0.8*0.75*'KT THAN'!$C$62,INDEX('KT THAN'!$W$38:$W$58,MATCH(R287,'KT THAN'!$Y$38:$Y$58,-1))+(INDEX('KT THAN'!$W$38:$W$58,MIN(21,MATCH(R287,'KT THAN'!$Y$38:$Y$58,-1)+1))-INDEX('KT THAN'!$W$38:$W$58,MATCH(R287,'KT THAN'!$Y$38:$Y$58,-1)))*(R287-INDEX('KT THAN'!$Y$38:$Y$58,MATCH(R287,'KT THAN'!$Y$38:$Y$58,-1)))/(INDEX('KT THAN'!$Y$38:$Y$58,MIN(21,MATCH(R287,'KT THAN'!$Y$38:$Y$58,-1)+1))-INDEX('KT THAN'!$Y$38:$Y$58,MATCH(R287,'KT THAN'!$Y$38:$Y$58,-1)))),MIN(0.8*0.75*'KT THAN'!$C$62,'KT THAN'!$D$68/R287)))))</f>
        <v/>
      </c>
      <c r="O287" s="38" t="str">
        <f>IF($A287="","",IF(H287&lt;0,ABS(H287)/MAX('KT THAN'!$C$69,0.001)+'KT THAN'!$C$32*ABS(J287)/MAX('KT THAN'!$C$68,0.001)+'KT THAN'!$D$32*ABS(I287)/MAX('KT THAN'!$D$68,0.001),IF(OR(M287&lt;=0,N287&lt;=0),999,IF(H287&gt;=0.1*0.75*fc_*Agth*1000,H287/MAX(0.001,1/(1/M287+1/N287-1/(0.75*'KT THAN'!$C$62))),'KT THAN'!$C$32*ABS(J287)/MAX('KT THAN'!$C$68,0.001)+'KT THAN'!$D$32*ABS(I287)/MAX('KT THAN'!$D$68,0.001)))))</f>
        <v/>
      </c>
      <c r="P287" s="37" t="str">
        <f t="shared" si="52"/>
        <v/>
      </c>
      <c r="Q287" s="38" t="str">
        <f>IF($A287="","",MAX(0.001,'KT THAN'!$C$32*ABS(J287)/MAX(1,H287)))</f>
        <v/>
      </c>
      <c r="R287" s="38" t="str">
        <f>IF($A287="","",MAX(0.001,'KT THAN'!$D$32*ABS(I287)/MAX(1,H287)))</f>
        <v/>
      </c>
      <c r="S287" t="str">
        <f t="shared" si="46"/>
        <v/>
      </c>
    </row>
    <row r="288" spans="1:19" hidden="1" outlineLevel="1" x14ac:dyDescent="0.3">
      <c r="A288" s="37" t="str">
        <f>IF('TO HOP NLAN'!$A154="","",'TO HOP NLAN'!$A154)</f>
        <v/>
      </c>
      <c r="B288" s="38" t="str">
        <f>IF($A288="","",'TO HOP NLAN'!$D154)</f>
        <v/>
      </c>
      <c r="C288" s="38" t="str">
        <f>IF($A288="","",'TO HOP NLAN'!$E154)</f>
        <v/>
      </c>
      <c r="D288" s="38" t="str">
        <f>IF($A288="","",'TO HOP NLAN'!$F154)</f>
        <v/>
      </c>
      <c r="E288" s="38" t="str">
        <f>IF($A288="","",'TO HOP NLAN'!$B154)</f>
        <v/>
      </c>
      <c r="F288" s="38" t="str">
        <f>IF($A288="","",'TO HOP NLAN'!$C154)</f>
        <v/>
      </c>
      <c r="G288" s="38" t="str">
        <f t="shared" si="47"/>
        <v/>
      </c>
      <c r="H288" s="38" t="str">
        <f t="shared" si="45"/>
        <v/>
      </c>
      <c r="I288" s="38" t="str">
        <f t="shared" si="48"/>
        <v/>
      </c>
      <c r="J288" s="38" t="str">
        <f t="shared" si="49"/>
        <v/>
      </c>
      <c r="K288" s="38" t="str">
        <f t="shared" si="50"/>
        <v/>
      </c>
      <c r="L288" s="38" t="str">
        <f t="shared" si="51"/>
        <v/>
      </c>
      <c r="M288" s="38" t="str">
        <f>IF($A288="","",IF(H288=0,"",IF(Q288&lt;=0.000000001,MIN(0.8*0.75*'KT THAN'!$C$62,MAX('KT THAN'!$J$38:$J$58)),IFERROR(MIN(0.8*0.75*'KT THAN'!$C$62,INDEX('KT THAN'!$J$38:$J$58,MATCH(Q288,'KT THAN'!$L$38:$L$58,-1))+(INDEX('KT THAN'!$J$38:$J$58,MIN(21,MATCH(Q288,'KT THAN'!$L$38:$L$58,-1)+1))-INDEX('KT THAN'!$J$38:$J$58,MATCH(Q288,'KT THAN'!$L$38:$L$58,-1)))*(Q288-INDEX('KT THAN'!$L$38:$L$58,MATCH(Q288,'KT THAN'!$L$38:$L$58,-1)))/(INDEX('KT THAN'!$L$38:$L$58,MIN(21,MATCH(Q288,'KT THAN'!$L$38:$L$58,-1)+1))-INDEX('KT THAN'!$L$38:$L$58,MATCH(Q288,'KT THAN'!$L$38:$L$58,-1)))),MIN(0.8*0.75*'KT THAN'!$C$62,'KT THAN'!$C$68/Q288)))))</f>
        <v/>
      </c>
      <c r="N288" s="38" t="str">
        <f>IF($A288="","",IF(H288=0,"",IF(R288&lt;=0.000000001,MIN(0.8*0.75*'KT THAN'!$C$62,MAX('KT THAN'!$W$38:$W$58)),IFERROR(MIN(0.8*0.75*'KT THAN'!$C$62,INDEX('KT THAN'!$W$38:$W$58,MATCH(R288,'KT THAN'!$Y$38:$Y$58,-1))+(INDEX('KT THAN'!$W$38:$W$58,MIN(21,MATCH(R288,'KT THAN'!$Y$38:$Y$58,-1)+1))-INDEX('KT THAN'!$W$38:$W$58,MATCH(R288,'KT THAN'!$Y$38:$Y$58,-1)))*(R288-INDEX('KT THAN'!$Y$38:$Y$58,MATCH(R288,'KT THAN'!$Y$38:$Y$58,-1)))/(INDEX('KT THAN'!$Y$38:$Y$58,MIN(21,MATCH(R288,'KT THAN'!$Y$38:$Y$58,-1)+1))-INDEX('KT THAN'!$Y$38:$Y$58,MATCH(R288,'KT THAN'!$Y$38:$Y$58,-1)))),MIN(0.8*0.75*'KT THAN'!$C$62,'KT THAN'!$D$68/R288)))))</f>
        <v/>
      </c>
      <c r="O288" s="38" t="str">
        <f>IF($A288="","",IF(H288&lt;0,ABS(H288)/MAX('KT THAN'!$C$69,0.001)+'KT THAN'!$C$32*ABS(J288)/MAX('KT THAN'!$C$68,0.001)+'KT THAN'!$D$32*ABS(I288)/MAX('KT THAN'!$D$68,0.001),IF(OR(M288&lt;=0,N288&lt;=0),999,IF(H288&gt;=0.1*0.75*fc_*Agth*1000,H288/MAX(0.001,1/(1/M288+1/N288-1/(0.75*'KT THAN'!$C$62))),'KT THAN'!$C$32*ABS(J288)/MAX('KT THAN'!$C$68,0.001)+'KT THAN'!$D$32*ABS(I288)/MAX('KT THAN'!$D$68,0.001)))))</f>
        <v/>
      </c>
      <c r="P288" s="37" t="str">
        <f t="shared" si="52"/>
        <v/>
      </c>
      <c r="Q288" s="38" t="str">
        <f>IF($A288="","",MAX(0.001,'KT THAN'!$C$32*ABS(J288)/MAX(1,H288)))</f>
        <v/>
      </c>
      <c r="R288" s="38" t="str">
        <f>IF($A288="","",MAX(0.001,'KT THAN'!$D$32*ABS(I288)/MAX(1,H288)))</f>
        <v/>
      </c>
      <c r="S288" t="str">
        <f t="shared" si="46"/>
        <v/>
      </c>
    </row>
    <row r="289" spans="1:19" hidden="1" outlineLevel="1" x14ac:dyDescent="0.3">
      <c r="A289" s="37" t="str">
        <f>IF('TO HOP NLAN'!$A155="","",'TO HOP NLAN'!$A155)</f>
        <v/>
      </c>
      <c r="B289" s="38" t="str">
        <f>IF($A289="","",'TO HOP NLAN'!$D155)</f>
        <v/>
      </c>
      <c r="C289" s="38" t="str">
        <f>IF($A289="","",'TO HOP NLAN'!$E155)</f>
        <v/>
      </c>
      <c r="D289" s="38" t="str">
        <f>IF($A289="","",'TO HOP NLAN'!$F155)</f>
        <v/>
      </c>
      <c r="E289" s="38" t="str">
        <f>IF($A289="","",'TO HOP NLAN'!$B155)</f>
        <v/>
      </c>
      <c r="F289" s="38" t="str">
        <f>IF($A289="","",'TO HOP NLAN'!$C155)</f>
        <v/>
      </c>
      <c r="G289" s="38" t="str">
        <f t="shared" si="47"/>
        <v/>
      </c>
      <c r="H289" s="38" t="str">
        <f t="shared" si="45"/>
        <v/>
      </c>
      <c r="I289" s="38" t="str">
        <f t="shared" si="48"/>
        <v/>
      </c>
      <c r="J289" s="38" t="str">
        <f t="shared" si="49"/>
        <v/>
      </c>
      <c r="K289" s="38" t="str">
        <f t="shared" si="50"/>
        <v/>
      </c>
      <c r="L289" s="38" t="str">
        <f t="shared" si="51"/>
        <v/>
      </c>
      <c r="M289" s="38" t="str">
        <f>IF($A289="","",IF(H289=0,"",IF(Q289&lt;=0.000000001,MIN(0.8*0.75*'KT THAN'!$C$62,MAX('KT THAN'!$J$38:$J$58)),IFERROR(MIN(0.8*0.75*'KT THAN'!$C$62,INDEX('KT THAN'!$J$38:$J$58,MATCH(Q289,'KT THAN'!$L$38:$L$58,-1))+(INDEX('KT THAN'!$J$38:$J$58,MIN(21,MATCH(Q289,'KT THAN'!$L$38:$L$58,-1)+1))-INDEX('KT THAN'!$J$38:$J$58,MATCH(Q289,'KT THAN'!$L$38:$L$58,-1)))*(Q289-INDEX('KT THAN'!$L$38:$L$58,MATCH(Q289,'KT THAN'!$L$38:$L$58,-1)))/(INDEX('KT THAN'!$L$38:$L$58,MIN(21,MATCH(Q289,'KT THAN'!$L$38:$L$58,-1)+1))-INDEX('KT THAN'!$L$38:$L$58,MATCH(Q289,'KT THAN'!$L$38:$L$58,-1)))),MIN(0.8*0.75*'KT THAN'!$C$62,'KT THAN'!$C$68/Q289)))))</f>
        <v/>
      </c>
      <c r="N289" s="38" t="str">
        <f>IF($A289="","",IF(H289=0,"",IF(R289&lt;=0.000000001,MIN(0.8*0.75*'KT THAN'!$C$62,MAX('KT THAN'!$W$38:$W$58)),IFERROR(MIN(0.8*0.75*'KT THAN'!$C$62,INDEX('KT THAN'!$W$38:$W$58,MATCH(R289,'KT THAN'!$Y$38:$Y$58,-1))+(INDEX('KT THAN'!$W$38:$W$58,MIN(21,MATCH(R289,'KT THAN'!$Y$38:$Y$58,-1)+1))-INDEX('KT THAN'!$W$38:$W$58,MATCH(R289,'KT THAN'!$Y$38:$Y$58,-1)))*(R289-INDEX('KT THAN'!$Y$38:$Y$58,MATCH(R289,'KT THAN'!$Y$38:$Y$58,-1)))/(INDEX('KT THAN'!$Y$38:$Y$58,MIN(21,MATCH(R289,'KT THAN'!$Y$38:$Y$58,-1)+1))-INDEX('KT THAN'!$Y$38:$Y$58,MATCH(R289,'KT THAN'!$Y$38:$Y$58,-1)))),MIN(0.8*0.75*'KT THAN'!$C$62,'KT THAN'!$D$68/R289)))))</f>
        <v/>
      </c>
      <c r="O289" s="38" t="str">
        <f>IF($A289="","",IF(H289&lt;0,ABS(H289)/MAX('KT THAN'!$C$69,0.001)+'KT THAN'!$C$32*ABS(J289)/MAX('KT THAN'!$C$68,0.001)+'KT THAN'!$D$32*ABS(I289)/MAX('KT THAN'!$D$68,0.001),IF(OR(M289&lt;=0,N289&lt;=0),999,IF(H289&gt;=0.1*0.75*fc_*Agth*1000,H289/MAX(0.001,1/(1/M289+1/N289-1/(0.75*'KT THAN'!$C$62))),'KT THAN'!$C$32*ABS(J289)/MAX('KT THAN'!$C$68,0.001)+'KT THAN'!$D$32*ABS(I289)/MAX('KT THAN'!$D$68,0.001)))))</f>
        <v/>
      </c>
      <c r="P289" s="37" t="str">
        <f t="shared" si="52"/>
        <v/>
      </c>
      <c r="Q289" s="38" t="str">
        <f>IF($A289="","",MAX(0.001,'KT THAN'!$C$32*ABS(J289)/MAX(1,H289)))</f>
        <v/>
      </c>
      <c r="R289" s="38" t="str">
        <f>IF($A289="","",MAX(0.001,'KT THAN'!$D$32*ABS(I289)/MAX(1,H289)))</f>
        <v/>
      </c>
      <c r="S289" t="str">
        <f t="shared" si="46"/>
        <v/>
      </c>
    </row>
    <row r="290" spans="1:19" hidden="1" outlineLevel="1" x14ac:dyDescent="0.3">
      <c r="A290" s="37" t="str">
        <f>IF('TO HOP NLAN'!$A156="","",'TO HOP NLAN'!$A156)</f>
        <v/>
      </c>
      <c r="B290" s="38" t="str">
        <f>IF($A290="","",'TO HOP NLAN'!$D156)</f>
        <v/>
      </c>
      <c r="C290" s="38" t="str">
        <f>IF($A290="","",'TO HOP NLAN'!$E156)</f>
        <v/>
      </c>
      <c r="D290" s="38" t="str">
        <f>IF($A290="","",'TO HOP NLAN'!$F156)</f>
        <v/>
      </c>
      <c r="E290" s="38" t="str">
        <f>IF($A290="","",'TO HOP NLAN'!$B156)</f>
        <v/>
      </c>
      <c r="F290" s="38" t="str">
        <f>IF($A290="","",'TO HOP NLAN'!$C156)</f>
        <v/>
      </c>
      <c r="G290" s="38" t="str">
        <f t="shared" si="47"/>
        <v/>
      </c>
      <c r="H290" s="38" t="str">
        <f t="shared" si="45"/>
        <v/>
      </c>
      <c r="I290" s="38" t="str">
        <f t="shared" si="48"/>
        <v/>
      </c>
      <c r="J290" s="38" t="str">
        <f t="shared" si="49"/>
        <v/>
      </c>
      <c r="K290" s="38" t="str">
        <f t="shared" si="50"/>
        <v/>
      </c>
      <c r="L290" s="38" t="str">
        <f t="shared" si="51"/>
        <v/>
      </c>
      <c r="M290" s="38" t="str">
        <f>IF($A290="","",IF(H290=0,"",IF(Q290&lt;=0.000000001,MIN(0.8*0.75*'KT THAN'!$C$62,MAX('KT THAN'!$J$38:$J$58)),IFERROR(MIN(0.8*0.75*'KT THAN'!$C$62,INDEX('KT THAN'!$J$38:$J$58,MATCH(Q290,'KT THAN'!$L$38:$L$58,-1))+(INDEX('KT THAN'!$J$38:$J$58,MIN(21,MATCH(Q290,'KT THAN'!$L$38:$L$58,-1)+1))-INDEX('KT THAN'!$J$38:$J$58,MATCH(Q290,'KT THAN'!$L$38:$L$58,-1)))*(Q290-INDEX('KT THAN'!$L$38:$L$58,MATCH(Q290,'KT THAN'!$L$38:$L$58,-1)))/(INDEX('KT THAN'!$L$38:$L$58,MIN(21,MATCH(Q290,'KT THAN'!$L$38:$L$58,-1)+1))-INDEX('KT THAN'!$L$38:$L$58,MATCH(Q290,'KT THAN'!$L$38:$L$58,-1)))),MIN(0.8*0.75*'KT THAN'!$C$62,'KT THAN'!$C$68/Q290)))))</f>
        <v/>
      </c>
      <c r="N290" s="38" t="str">
        <f>IF($A290="","",IF(H290=0,"",IF(R290&lt;=0.000000001,MIN(0.8*0.75*'KT THAN'!$C$62,MAX('KT THAN'!$W$38:$W$58)),IFERROR(MIN(0.8*0.75*'KT THAN'!$C$62,INDEX('KT THAN'!$W$38:$W$58,MATCH(R290,'KT THAN'!$Y$38:$Y$58,-1))+(INDEX('KT THAN'!$W$38:$W$58,MIN(21,MATCH(R290,'KT THAN'!$Y$38:$Y$58,-1)+1))-INDEX('KT THAN'!$W$38:$W$58,MATCH(R290,'KT THAN'!$Y$38:$Y$58,-1)))*(R290-INDEX('KT THAN'!$Y$38:$Y$58,MATCH(R290,'KT THAN'!$Y$38:$Y$58,-1)))/(INDEX('KT THAN'!$Y$38:$Y$58,MIN(21,MATCH(R290,'KT THAN'!$Y$38:$Y$58,-1)+1))-INDEX('KT THAN'!$Y$38:$Y$58,MATCH(R290,'KT THAN'!$Y$38:$Y$58,-1)))),MIN(0.8*0.75*'KT THAN'!$C$62,'KT THAN'!$D$68/R290)))))</f>
        <v/>
      </c>
      <c r="O290" s="38" t="str">
        <f>IF($A290="","",IF(H290&lt;0,ABS(H290)/MAX('KT THAN'!$C$69,0.001)+'KT THAN'!$C$32*ABS(J290)/MAX('KT THAN'!$C$68,0.001)+'KT THAN'!$D$32*ABS(I290)/MAX('KT THAN'!$D$68,0.001),IF(OR(M290&lt;=0,N290&lt;=0),999,IF(H290&gt;=0.1*0.75*fc_*Agth*1000,H290/MAX(0.001,1/(1/M290+1/N290-1/(0.75*'KT THAN'!$C$62))),'KT THAN'!$C$32*ABS(J290)/MAX('KT THAN'!$C$68,0.001)+'KT THAN'!$D$32*ABS(I290)/MAX('KT THAN'!$D$68,0.001)))))</f>
        <v/>
      </c>
      <c r="P290" s="37" t="str">
        <f t="shared" si="52"/>
        <v/>
      </c>
      <c r="Q290" s="38" t="str">
        <f>IF($A290="","",MAX(0.001,'KT THAN'!$C$32*ABS(J290)/MAX(1,H290)))</f>
        <v/>
      </c>
      <c r="R290" s="38" t="str">
        <f>IF($A290="","",MAX(0.001,'KT THAN'!$D$32*ABS(I290)/MAX(1,H290)))</f>
        <v/>
      </c>
      <c r="S290" t="str">
        <f t="shared" si="46"/>
        <v/>
      </c>
    </row>
    <row r="291" spans="1:19" hidden="1" outlineLevel="1" x14ac:dyDescent="0.3">
      <c r="A291" s="37" t="str">
        <f>IF('TO HOP NLAN'!$A157="","",'TO HOP NLAN'!$A157)</f>
        <v/>
      </c>
      <c r="B291" s="38" t="str">
        <f>IF($A291="","",'TO HOP NLAN'!$D157)</f>
        <v/>
      </c>
      <c r="C291" s="38" t="str">
        <f>IF($A291="","",'TO HOP NLAN'!$E157)</f>
        <v/>
      </c>
      <c r="D291" s="38" t="str">
        <f>IF($A291="","",'TO HOP NLAN'!$F157)</f>
        <v/>
      </c>
      <c r="E291" s="38" t="str">
        <f>IF($A291="","",'TO HOP NLAN'!$B157)</f>
        <v/>
      </c>
      <c r="F291" s="38" t="str">
        <f>IF($A291="","",'TO HOP NLAN'!$C157)</f>
        <v/>
      </c>
      <c r="G291" s="38" t="str">
        <f t="shared" si="47"/>
        <v/>
      </c>
      <c r="H291" s="38" t="str">
        <f t="shared" si="45"/>
        <v/>
      </c>
      <c r="I291" s="38" t="str">
        <f t="shared" si="48"/>
        <v/>
      </c>
      <c r="J291" s="38" t="str">
        <f t="shared" si="49"/>
        <v/>
      </c>
      <c r="K291" s="38" t="str">
        <f t="shared" si="50"/>
        <v/>
      </c>
      <c r="L291" s="38" t="str">
        <f t="shared" si="51"/>
        <v/>
      </c>
      <c r="M291" s="38" t="str">
        <f>IF($A291="","",IF(H291=0,"",IF(Q291&lt;=0.000000001,MIN(0.8*0.75*'KT THAN'!$C$62,MAX('KT THAN'!$J$38:$J$58)),IFERROR(MIN(0.8*0.75*'KT THAN'!$C$62,INDEX('KT THAN'!$J$38:$J$58,MATCH(Q291,'KT THAN'!$L$38:$L$58,-1))+(INDEX('KT THAN'!$J$38:$J$58,MIN(21,MATCH(Q291,'KT THAN'!$L$38:$L$58,-1)+1))-INDEX('KT THAN'!$J$38:$J$58,MATCH(Q291,'KT THAN'!$L$38:$L$58,-1)))*(Q291-INDEX('KT THAN'!$L$38:$L$58,MATCH(Q291,'KT THAN'!$L$38:$L$58,-1)))/(INDEX('KT THAN'!$L$38:$L$58,MIN(21,MATCH(Q291,'KT THAN'!$L$38:$L$58,-1)+1))-INDEX('KT THAN'!$L$38:$L$58,MATCH(Q291,'KT THAN'!$L$38:$L$58,-1)))),MIN(0.8*0.75*'KT THAN'!$C$62,'KT THAN'!$C$68/Q291)))))</f>
        <v/>
      </c>
      <c r="N291" s="38" t="str">
        <f>IF($A291="","",IF(H291=0,"",IF(R291&lt;=0.000000001,MIN(0.8*0.75*'KT THAN'!$C$62,MAX('KT THAN'!$W$38:$W$58)),IFERROR(MIN(0.8*0.75*'KT THAN'!$C$62,INDEX('KT THAN'!$W$38:$W$58,MATCH(R291,'KT THAN'!$Y$38:$Y$58,-1))+(INDEX('KT THAN'!$W$38:$W$58,MIN(21,MATCH(R291,'KT THAN'!$Y$38:$Y$58,-1)+1))-INDEX('KT THAN'!$W$38:$W$58,MATCH(R291,'KT THAN'!$Y$38:$Y$58,-1)))*(R291-INDEX('KT THAN'!$Y$38:$Y$58,MATCH(R291,'KT THAN'!$Y$38:$Y$58,-1)))/(INDEX('KT THAN'!$Y$38:$Y$58,MIN(21,MATCH(R291,'KT THAN'!$Y$38:$Y$58,-1)+1))-INDEX('KT THAN'!$Y$38:$Y$58,MATCH(R291,'KT THAN'!$Y$38:$Y$58,-1)))),MIN(0.8*0.75*'KT THAN'!$C$62,'KT THAN'!$D$68/R291)))))</f>
        <v/>
      </c>
      <c r="O291" s="38" t="str">
        <f>IF($A291="","",IF(H291&lt;0,ABS(H291)/MAX('KT THAN'!$C$69,0.001)+'KT THAN'!$C$32*ABS(J291)/MAX('KT THAN'!$C$68,0.001)+'KT THAN'!$D$32*ABS(I291)/MAX('KT THAN'!$D$68,0.001),IF(OR(M291&lt;=0,N291&lt;=0),999,IF(H291&gt;=0.1*0.75*fc_*Agth*1000,H291/MAX(0.001,1/(1/M291+1/N291-1/(0.75*'KT THAN'!$C$62))),'KT THAN'!$C$32*ABS(J291)/MAX('KT THAN'!$C$68,0.001)+'KT THAN'!$D$32*ABS(I291)/MAX('KT THAN'!$D$68,0.001)))))</f>
        <v/>
      </c>
      <c r="P291" s="37" t="str">
        <f t="shared" si="52"/>
        <v/>
      </c>
      <c r="Q291" s="38" t="str">
        <f>IF($A291="","",MAX(0.001,'KT THAN'!$C$32*ABS(J291)/MAX(1,H291)))</f>
        <v/>
      </c>
      <c r="R291" s="38" t="str">
        <f>IF($A291="","",MAX(0.001,'KT THAN'!$D$32*ABS(I291)/MAX(1,H291)))</f>
        <v/>
      </c>
      <c r="S291" t="str">
        <f t="shared" si="46"/>
        <v/>
      </c>
    </row>
    <row r="292" spans="1:19" hidden="1" outlineLevel="1" x14ac:dyDescent="0.3">
      <c r="A292" s="37" t="str">
        <f>IF('TO HOP NLAN'!$A158="","",'TO HOP NLAN'!$A158)</f>
        <v/>
      </c>
      <c r="B292" s="38" t="str">
        <f>IF($A292="","",'TO HOP NLAN'!$D158)</f>
        <v/>
      </c>
      <c r="C292" s="38" t="str">
        <f>IF($A292="","",'TO HOP NLAN'!$E158)</f>
        <v/>
      </c>
      <c r="D292" s="38" t="str">
        <f>IF($A292="","",'TO HOP NLAN'!$F158)</f>
        <v/>
      </c>
      <c r="E292" s="38" t="str">
        <f>IF($A292="","",'TO HOP NLAN'!$B158)</f>
        <v/>
      </c>
      <c r="F292" s="38" t="str">
        <f>IF($A292="","",'TO HOP NLAN'!$C158)</f>
        <v/>
      </c>
      <c r="G292" s="38" t="str">
        <f t="shared" si="47"/>
        <v/>
      </c>
      <c r="H292" s="38" t="str">
        <f t="shared" si="45"/>
        <v/>
      </c>
      <c r="I292" s="38" t="str">
        <f t="shared" si="48"/>
        <v/>
      </c>
      <c r="J292" s="38" t="str">
        <f t="shared" si="49"/>
        <v/>
      </c>
      <c r="K292" s="38" t="str">
        <f t="shared" si="50"/>
        <v/>
      </c>
      <c r="L292" s="38" t="str">
        <f t="shared" si="51"/>
        <v/>
      </c>
      <c r="M292" s="38" t="str">
        <f>IF($A292="","",IF(H292=0,"",IF(Q292&lt;=0.000000001,MIN(0.8*0.75*'KT THAN'!$C$62,MAX('KT THAN'!$J$38:$J$58)),IFERROR(MIN(0.8*0.75*'KT THAN'!$C$62,INDEX('KT THAN'!$J$38:$J$58,MATCH(Q292,'KT THAN'!$L$38:$L$58,-1))+(INDEX('KT THAN'!$J$38:$J$58,MIN(21,MATCH(Q292,'KT THAN'!$L$38:$L$58,-1)+1))-INDEX('KT THAN'!$J$38:$J$58,MATCH(Q292,'KT THAN'!$L$38:$L$58,-1)))*(Q292-INDEX('KT THAN'!$L$38:$L$58,MATCH(Q292,'KT THAN'!$L$38:$L$58,-1)))/(INDEX('KT THAN'!$L$38:$L$58,MIN(21,MATCH(Q292,'KT THAN'!$L$38:$L$58,-1)+1))-INDEX('KT THAN'!$L$38:$L$58,MATCH(Q292,'KT THAN'!$L$38:$L$58,-1)))),MIN(0.8*0.75*'KT THAN'!$C$62,'KT THAN'!$C$68/Q292)))))</f>
        <v/>
      </c>
      <c r="N292" s="38" t="str">
        <f>IF($A292="","",IF(H292=0,"",IF(R292&lt;=0.000000001,MIN(0.8*0.75*'KT THAN'!$C$62,MAX('KT THAN'!$W$38:$W$58)),IFERROR(MIN(0.8*0.75*'KT THAN'!$C$62,INDEX('KT THAN'!$W$38:$W$58,MATCH(R292,'KT THAN'!$Y$38:$Y$58,-1))+(INDEX('KT THAN'!$W$38:$W$58,MIN(21,MATCH(R292,'KT THAN'!$Y$38:$Y$58,-1)+1))-INDEX('KT THAN'!$W$38:$W$58,MATCH(R292,'KT THAN'!$Y$38:$Y$58,-1)))*(R292-INDEX('KT THAN'!$Y$38:$Y$58,MATCH(R292,'KT THAN'!$Y$38:$Y$58,-1)))/(INDEX('KT THAN'!$Y$38:$Y$58,MIN(21,MATCH(R292,'KT THAN'!$Y$38:$Y$58,-1)+1))-INDEX('KT THAN'!$Y$38:$Y$58,MATCH(R292,'KT THAN'!$Y$38:$Y$58,-1)))),MIN(0.8*0.75*'KT THAN'!$C$62,'KT THAN'!$D$68/R292)))))</f>
        <v/>
      </c>
      <c r="O292" s="38" t="str">
        <f>IF($A292="","",IF(H292&lt;0,ABS(H292)/MAX('KT THAN'!$C$69,0.001)+'KT THAN'!$C$32*ABS(J292)/MAX('KT THAN'!$C$68,0.001)+'KT THAN'!$D$32*ABS(I292)/MAX('KT THAN'!$D$68,0.001),IF(OR(M292&lt;=0,N292&lt;=0),999,IF(H292&gt;=0.1*0.75*fc_*Agth*1000,H292/MAX(0.001,1/(1/M292+1/N292-1/(0.75*'KT THAN'!$C$62))),'KT THAN'!$C$32*ABS(J292)/MAX('KT THAN'!$C$68,0.001)+'KT THAN'!$D$32*ABS(I292)/MAX('KT THAN'!$D$68,0.001)))))</f>
        <v/>
      </c>
      <c r="P292" s="37" t="str">
        <f t="shared" si="52"/>
        <v/>
      </c>
      <c r="Q292" s="38" t="str">
        <f>IF($A292="","",MAX(0.001,'KT THAN'!$C$32*ABS(J292)/MAX(1,H292)))</f>
        <v/>
      </c>
      <c r="R292" s="38" t="str">
        <f>IF($A292="","",MAX(0.001,'KT THAN'!$D$32*ABS(I292)/MAX(1,H292)))</f>
        <v/>
      </c>
      <c r="S292" t="str">
        <f t="shared" si="46"/>
        <v/>
      </c>
    </row>
    <row r="293" spans="1:19" hidden="1" outlineLevel="1" x14ac:dyDescent="0.3">
      <c r="A293" s="37" t="str">
        <f>IF('TO HOP NLAN'!$A159="","",'TO HOP NLAN'!$A159)</f>
        <v/>
      </c>
      <c r="B293" s="38" t="str">
        <f>IF($A293="","",'TO HOP NLAN'!$D159)</f>
        <v/>
      </c>
      <c r="C293" s="38" t="str">
        <f>IF($A293="","",'TO HOP NLAN'!$E159)</f>
        <v/>
      </c>
      <c r="D293" s="38" t="str">
        <f>IF($A293="","",'TO HOP NLAN'!$F159)</f>
        <v/>
      </c>
      <c r="E293" s="38" t="str">
        <f>IF($A293="","",'TO HOP NLAN'!$B159)</f>
        <v/>
      </c>
      <c r="F293" s="38" t="str">
        <f>IF($A293="","",'TO HOP NLAN'!$C159)</f>
        <v/>
      </c>
      <c r="G293" s="38" t="str">
        <f t="shared" si="47"/>
        <v/>
      </c>
      <c r="H293" s="38" t="str">
        <f t="shared" si="45"/>
        <v/>
      </c>
      <c r="I293" s="38" t="str">
        <f t="shared" si="48"/>
        <v/>
      </c>
      <c r="J293" s="38" t="str">
        <f t="shared" si="49"/>
        <v/>
      </c>
      <c r="K293" s="38" t="str">
        <f t="shared" si="50"/>
        <v/>
      </c>
      <c r="L293" s="38" t="str">
        <f t="shared" si="51"/>
        <v/>
      </c>
      <c r="M293" s="38" t="str">
        <f>IF($A293="","",IF(H293=0,"",IF(Q293&lt;=0.000000001,MIN(0.8*0.75*'KT THAN'!$C$62,MAX('KT THAN'!$J$38:$J$58)),IFERROR(MIN(0.8*0.75*'KT THAN'!$C$62,INDEX('KT THAN'!$J$38:$J$58,MATCH(Q293,'KT THAN'!$L$38:$L$58,-1))+(INDEX('KT THAN'!$J$38:$J$58,MIN(21,MATCH(Q293,'KT THAN'!$L$38:$L$58,-1)+1))-INDEX('KT THAN'!$J$38:$J$58,MATCH(Q293,'KT THAN'!$L$38:$L$58,-1)))*(Q293-INDEX('KT THAN'!$L$38:$L$58,MATCH(Q293,'KT THAN'!$L$38:$L$58,-1)))/(INDEX('KT THAN'!$L$38:$L$58,MIN(21,MATCH(Q293,'KT THAN'!$L$38:$L$58,-1)+1))-INDEX('KT THAN'!$L$38:$L$58,MATCH(Q293,'KT THAN'!$L$38:$L$58,-1)))),MIN(0.8*0.75*'KT THAN'!$C$62,'KT THAN'!$C$68/Q293)))))</f>
        <v/>
      </c>
      <c r="N293" s="38" t="str">
        <f>IF($A293="","",IF(H293=0,"",IF(R293&lt;=0.000000001,MIN(0.8*0.75*'KT THAN'!$C$62,MAX('KT THAN'!$W$38:$W$58)),IFERROR(MIN(0.8*0.75*'KT THAN'!$C$62,INDEX('KT THAN'!$W$38:$W$58,MATCH(R293,'KT THAN'!$Y$38:$Y$58,-1))+(INDEX('KT THAN'!$W$38:$W$58,MIN(21,MATCH(R293,'KT THAN'!$Y$38:$Y$58,-1)+1))-INDEX('KT THAN'!$W$38:$W$58,MATCH(R293,'KT THAN'!$Y$38:$Y$58,-1)))*(R293-INDEX('KT THAN'!$Y$38:$Y$58,MATCH(R293,'KT THAN'!$Y$38:$Y$58,-1)))/(INDEX('KT THAN'!$Y$38:$Y$58,MIN(21,MATCH(R293,'KT THAN'!$Y$38:$Y$58,-1)+1))-INDEX('KT THAN'!$Y$38:$Y$58,MATCH(R293,'KT THAN'!$Y$38:$Y$58,-1)))),MIN(0.8*0.75*'KT THAN'!$C$62,'KT THAN'!$D$68/R293)))))</f>
        <v/>
      </c>
      <c r="O293" s="38" t="str">
        <f>IF($A293="","",IF(H293&lt;0,ABS(H293)/MAX('KT THAN'!$C$69,0.001)+'KT THAN'!$C$32*ABS(J293)/MAX('KT THAN'!$C$68,0.001)+'KT THAN'!$D$32*ABS(I293)/MAX('KT THAN'!$D$68,0.001),IF(OR(M293&lt;=0,N293&lt;=0),999,IF(H293&gt;=0.1*0.75*fc_*Agth*1000,H293/MAX(0.001,1/(1/M293+1/N293-1/(0.75*'KT THAN'!$C$62))),'KT THAN'!$C$32*ABS(J293)/MAX('KT THAN'!$C$68,0.001)+'KT THAN'!$D$32*ABS(I293)/MAX('KT THAN'!$D$68,0.001)))))</f>
        <v/>
      </c>
      <c r="P293" s="37" t="str">
        <f t="shared" si="52"/>
        <v/>
      </c>
      <c r="Q293" s="38" t="str">
        <f>IF($A293="","",MAX(0.001,'KT THAN'!$C$32*ABS(J293)/MAX(1,H293)))</f>
        <v/>
      </c>
      <c r="R293" s="38" t="str">
        <f>IF($A293="","",MAX(0.001,'KT THAN'!$D$32*ABS(I293)/MAX(1,H293)))</f>
        <v/>
      </c>
      <c r="S293" t="str">
        <f t="shared" si="46"/>
        <v/>
      </c>
    </row>
    <row r="294" spans="1:19" hidden="1" outlineLevel="1" x14ac:dyDescent="0.3">
      <c r="A294" s="37" t="str">
        <f>IF('TO HOP NLAN'!$A160="","",'TO HOP NLAN'!$A160)</f>
        <v/>
      </c>
      <c r="B294" s="38" t="str">
        <f>IF($A294="","",'TO HOP NLAN'!$D160)</f>
        <v/>
      </c>
      <c r="C294" s="38" t="str">
        <f>IF($A294="","",'TO HOP NLAN'!$E160)</f>
        <v/>
      </c>
      <c r="D294" s="38" t="str">
        <f>IF($A294="","",'TO HOP NLAN'!$F160)</f>
        <v/>
      </c>
      <c r="E294" s="38" t="str">
        <f>IF($A294="","",'TO HOP NLAN'!$B160)</f>
        <v/>
      </c>
      <c r="F294" s="38" t="str">
        <f>IF($A294="","",'TO HOP NLAN'!$C160)</f>
        <v/>
      </c>
      <c r="G294" s="38" t="str">
        <f t="shared" si="47"/>
        <v/>
      </c>
      <c r="H294" s="38" t="str">
        <f t="shared" si="45"/>
        <v/>
      </c>
      <c r="I294" s="38" t="str">
        <f t="shared" si="48"/>
        <v/>
      </c>
      <c r="J294" s="38" t="str">
        <f t="shared" si="49"/>
        <v/>
      </c>
      <c r="K294" s="38" t="str">
        <f t="shared" si="50"/>
        <v/>
      </c>
      <c r="L294" s="38" t="str">
        <f t="shared" si="51"/>
        <v/>
      </c>
      <c r="M294" s="38" t="str">
        <f>IF($A294="","",IF(H294=0,"",IF(Q294&lt;=0.000000001,MIN(0.8*0.75*'KT THAN'!$C$62,MAX('KT THAN'!$J$38:$J$58)),IFERROR(MIN(0.8*0.75*'KT THAN'!$C$62,INDEX('KT THAN'!$J$38:$J$58,MATCH(Q294,'KT THAN'!$L$38:$L$58,-1))+(INDEX('KT THAN'!$J$38:$J$58,MIN(21,MATCH(Q294,'KT THAN'!$L$38:$L$58,-1)+1))-INDEX('KT THAN'!$J$38:$J$58,MATCH(Q294,'KT THAN'!$L$38:$L$58,-1)))*(Q294-INDEX('KT THAN'!$L$38:$L$58,MATCH(Q294,'KT THAN'!$L$38:$L$58,-1)))/(INDEX('KT THAN'!$L$38:$L$58,MIN(21,MATCH(Q294,'KT THAN'!$L$38:$L$58,-1)+1))-INDEX('KT THAN'!$L$38:$L$58,MATCH(Q294,'KT THAN'!$L$38:$L$58,-1)))),MIN(0.8*0.75*'KT THAN'!$C$62,'KT THAN'!$C$68/Q294)))))</f>
        <v/>
      </c>
      <c r="N294" s="38" t="str">
        <f>IF($A294="","",IF(H294=0,"",IF(R294&lt;=0.000000001,MIN(0.8*0.75*'KT THAN'!$C$62,MAX('KT THAN'!$W$38:$W$58)),IFERROR(MIN(0.8*0.75*'KT THAN'!$C$62,INDEX('KT THAN'!$W$38:$W$58,MATCH(R294,'KT THAN'!$Y$38:$Y$58,-1))+(INDEX('KT THAN'!$W$38:$W$58,MIN(21,MATCH(R294,'KT THAN'!$Y$38:$Y$58,-1)+1))-INDEX('KT THAN'!$W$38:$W$58,MATCH(R294,'KT THAN'!$Y$38:$Y$58,-1)))*(R294-INDEX('KT THAN'!$Y$38:$Y$58,MATCH(R294,'KT THAN'!$Y$38:$Y$58,-1)))/(INDEX('KT THAN'!$Y$38:$Y$58,MIN(21,MATCH(R294,'KT THAN'!$Y$38:$Y$58,-1)+1))-INDEX('KT THAN'!$Y$38:$Y$58,MATCH(R294,'KT THAN'!$Y$38:$Y$58,-1)))),MIN(0.8*0.75*'KT THAN'!$C$62,'KT THAN'!$D$68/R294)))))</f>
        <v/>
      </c>
      <c r="O294" s="38" t="str">
        <f>IF($A294="","",IF(H294&lt;0,ABS(H294)/MAX('KT THAN'!$C$69,0.001)+'KT THAN'!$C$32*ABS(J294)/MAX('KT THAN'!$C$68,0.001)+'KT THAN'!$D$32*ABS(I294)/MAX('KT THAN'!$D$68,0.001),IF(OR(M294&lt;=0,N294&lt;=0),999,IF(H294&gt;=0.1*0.75*fc_*Agth*1000,H294/MAX(0.001,1/(1/M294+1/N294-1/(0.75*'KT THAN'!$C$62))),'KT THAN'!$C$32*ABS(J294)/MAX('KT THAN'!$C$68,0.001)+'KT THAN'!$D$32*ABS(I294)/MAX('KT THAN'!$D$68,0.001)))))</f>
        <v/>
      </c>
      <c r="P294" s="37" t="str">
        <f t="shared" si="52"/>
        <v/>
      </c>
      <c r="Q294" s="38" t="str">
        <f>IF($A294="","",MAX(0.001,'KT THAN'!$C$32*ABS(J294)/MAX(1,H294)))</f>
        <v/>
      </c>
      <c r="R294" s="38" t="str">
        <f>IF($A294="","",MAX(0.001,'KT THAN'!$D$32*ABS(I294)/MAX(1,H294)))</f>
        <v/>
      </c>
      <c r="S294" t="str">
        <f t="shared" si="46"/>
        <v/>
      </c>
    </row>
    <row r="295" spans="1:19" hidden="1" outlineLevel="1" x14ac:dyDescent="0.3">
      <c r="A295" s="37" t="str">
        <f>IF('TO HOP NLAN'!$A161="","",'TO HOP NLAN'!$A161)</f>
        <v/>
      </c>
      <c r="B295" s="38" t="str">
        <f>IF($A295="","",'TO HOP NLAN'!$D161)</f>
        <v/>
      </c>
      <c r="C295" s="38" t="str">
        <f>IF($A295="","",'TO HOP NLAN'!$E161)</f>
        <v/>
      </c>
      <c r="D295" s="38" t="str">
        <f>IF($A295="","",'TO HOP NLAN'!$F161)</f>
        <v/>
      </c>
      <c r="E295" s="38" t="str">
        <f>IF($A295="","",'TO HOP NLAN'!$B161)</f>
        <v/>
      </c>
      <c r="F295" s="38" t="str">
        <f>IF($A295="","",'TO HOP NLAN'!$C161)</f>
        <v/>
      </c>
      <c r="G295" s="38" t="str">
        <f t="shared" si="47"/>
        <v/>
      </c>
      <c r="H295" s="38" t="str">
        <f t="shared" si="45"/>
        <v/>
      </c>
      <c r="I295" s="38" t="str">
        <f t="shared" si="48"/>
        <v/>
      </c>
      <c r="J295" s="38" t="str">
        <f t="shared" si="49"/>
        <v/>
      </c>
      <c r="K295" s="38" t="str">
        <f t="shared" si="50"/>
        <v/>
      </c>
      <c r="L295" s="38" t="str">
        <f t="shared" si="51"/>
        <v/>
      </c>
      <c r="M295" s="38" t="str">
        <f>IF($A295="","",IF(H295=0,"",IF(Q295&lt;=0.000000001,MIN(0.8*0.75*'KT THAN'!$C$62,MAX('KT THAN'!$J$38:$J$58)),IFERROR(MIN(0.8*0.75*'KT THAN'!$C$62,INDEX('KT THAN'!$J$38:$J$58,MATCH(Q295,'KT THAN'!$L$38:$L$58,-1))+(INDEX('KT THAN'!$J$38:$J$58,MIN(21,MATCH(Q295,'KT THAN'!$L$38:$L$58,-1)+1))-INDEX('KT THAN'!$J$38:$J$58,MATCH(Q295,'KT THAN'!$L$38:$L$58,-1)))*(Q295-INDEX('KT THAN'!$L$38:$L$58,MATCH(Q295,'KT THAN'!$L$38:$L$58,-1)))/(INDEX('KT THAN'!$L$38:$L$58,MIN(21,MATCH(Q295,'KT THAN'!$L$38:$L$58,-1)+1))-INDEX('KT THAN'!$L$38:$L$58,MATCH(Q295,'KT THAN'!$L$38:$L$58,-1)))),MIN(0.8*0.75*'KT THAN'!$C$62,'KT THAN'!$C$68/Q295)))))</f>
        <v/>
      </c>
      <c r="N295" s="38" t="str">
        <f>IF($A295="","",IF(H295=0,"",IF(R295&lt;=0.000000001,MIN(0.8*0.75*'KT THAN'!$C$62,MAX('KT THAN'!$W$38:$W$58)),IFERROR(MIN(0.8*0.75*'KT THAN'!$C$62,INDEX('KT THAN'!$W$38:$W$58,MATCH(R295,'KT THAN'!$Y$38:$Y$58,-1))+(INDEX('KT THAN'!$W$38:$W$58,MIN(21,MATCH(R295,'KT THAN'!$Y$38:$Y$58,-1)+1))-INDEX('KT THAN'!$W$38:$W$58,MATCH(R295,'KT THAN'!$Y$38:$Y$58,-1)))*(R295-INDEX('KT THAN'!$Y$38:$Y$58,MATCH(R295,'KT THAN'!$Y$38:$Y$58,-1)))/(INDEX('KT THAN'!$Y$38:$Y$58,MIN(21,MATCH(R295,'KT THAN'!$Y$38:$Y$58,-1)+1))-INDEX('KT THAN'!$Y$38:$Y$58,MATCH(R295,'KT THAN'!$Y$38:$Y$58,-1)))),MIN(0.8*0.75*'KT THAN'!$C$62,'KT THAN'!$D$68/R295)))))</f>
        <v/>
      </c>
      <c r="O295" s="38" t="str">
        <f>IF($A295="","",IF(H295&lt;0,ABS(H295)/MAX('KT THAN'!$C$69,0.001)+'KT THAN'!$C$32*ABS(J295)/MAX('KT THAN'!$C$68,0.001)+'KT THAN'!$D$32*ABS(I295)/MAX('KT THAN'!$D$68,0.001),IF(OR(M295&lt;=0,N295&lt;=0),999,IF(H295&gt;=0.1*0.75*fc_*Agth*1000,H295/MAX(0.001,1/(1/M295+1/N295-1/(0.75*'KT THAN'!$C$62))),'KT THAN'!$C$32*ABS(J295)/MAX('KT THAN'!$C$68,0.001)+'KT THAN'!$D$32*ABS(I295)/MAX('KT THAN'!$D$68,0.001)))))</f>
        <v/>
      </c>
      <c r="P295" s="37" t="str">
        <f t="shared" si="52"/>
        <v/>
      </c>
      <c r="Q295" s="38" t="str">
        <f>IF($A295="","",MAX(0.001,'KT THAN'!$C$32*ABS(J295)/MAX(1,H295)))</f>
        <v/>
      </c>
      <c r="R295" s="38" t="str">
        <f>IF($A295="","",MAX(0.001,'KT THAN'!$D$32*ABS(I295)/MAX(1,H295)))</f>
        <v/>
      </c>
      <c r="S295" t="str">
        <f t="shared" si="46"/>
        <v/>
      </c>
    </row>
    <row r="296" spans="1:19" hidden="1" outlineLevel="1" x14ac:dyDescent="0.3">
      <c r="A296" s="37" t="str">
        <f>IF('TO HOP NLAN'!$A162="","",'TO HOP NLAN'!$A162)</f>
        <v/>
      </c>
      <c r="B296" s="38" t="str">
        <f>IF($A296="","",'TO HOP NLAN'!$D162)</f>
        <v/>
      </c>
      <c r="C296" s="38" t="str">
        <f>IF($A296="","",'TO HOP NLAN'!$E162)</f>
        <v/>
      </c>
      <c r="D296" s="38" t="str">
        <f>IF($A296="","",'TO HOP NLAN'!$F162)</f>
        <v/>
      </c>
      <c r="E296" s="38" t="str">
        <f>IF($A296="","",'TO HOP NLAN'!$B162)</f>
        <v/>
      </c>
      <c r="F296" s="38" t="str">
        <f>IF($A296="","",'TO HOP NLAN'!$C162)</f>
        <v/>
      </c>
      <c r="G296" s="38" t="str">
        <f t="shared" si="47"/>
        <v/>
      </c>
      <c r="H296" s="38" t="str">
        <f t="shared" si="45"/>
        <v/>
      </c>
      <c r="I296" s="38" t="str">
        <f t="shared" si="48"/>
        <v/>
      </c>
      <c r="J296" s="38" t="str">
        <f t="shared" si="49"/>
        <v/>
      </c>
      <c r="K296" s="38" t="str">
        <f t="shared" si="50"/>
        <v/>
      </c>
      <c r="L296" s="38" t="str">
        <f t="shared" si="51"/>
        <v/>
      </c>
      <c r="M296" s="38" t="str">
        <f>IF($A296="","",IF(H296=0,"",IF(Q296&lt;=0.000000001,MIN(0.8*0.75*'KT THAN'!$C$62,MAX('KT THAN'!$J$38:$J$58)),IFERROR(MIN(0.8*0.75*'KT THAN'!$C$62,INDEX('KT THAN'!$J$38:$J$58,MATCH(Q296,'KT THAN'!$L$38:$L$58,-1))+(INDEX('KT THAN'!$J$38:$J$58,MIN(21,MATCH(Q296,'KT THAN'!$L$38:$L$58,-1)+1))-INDEX('KT THAN'!$J$38:$J$58,MATCH(Q296,'KT THAN'!$L$38:$L$58,-1)))*(Q296-INDEX('KT THAN'!$L$38:$L$58,MATCH(Q296,'KT THAN'!$L$38:$L$58,-1)))/(INDEX('KT THAN'!$L$38:$L$58,MIN(21,MATCH(Q296,'KT THAN'!$L$38:$L$58,-1)+1))-INDEX('KT THAN'!$L$38:$L$58,MATCH(Q296,'KT THAN'!$L$38:$L$58,-1)))),MIN(0.8*0.75*'KT THAN'!$C$62,'KT THAN'!$C$68/Q296)))))</f>
        <v/>
      </c>
      <c r="N296" s="38" t="str">
        <f>IF($A296="","",IF(H296=0,"",IF(R296&lt;=0.000000001,MIN(0.8*0.75*'KT THAN'!$C$62,MAX('KT THAN'!$W$38:$W$58)),IFERROR(MIN(0.8*0.75*'KT THAN'!$C$62,INDEX('KT THAN'!$W$38:$W$58,MATCH(R296,'KT THAN'!$Y$38:$Y$58,-1))+(INDEX('KT THAN'!$W$38:$W$58,MIN(21,MATCH(R296,'KT THAN'!$Y$38:$Y$58,-1)+1))-INDEX('KT THAN'!$W$38:$W$58,MATCH(R296,'KT THAN'!$Y$38:$Y$58,-1)))*(R296-INDEX('KT THAN'!$Y$38:$Y$58,MATCH(R296,'KT THAN'!$Y$38:$Y$58,-1)))/(INDEX('KT THAN'!$Y$38:$Y$58,MIN(21,MATCH(R296,'KT THAN'!$Y$38:$Y$58,-1)+1))-INDEX('KT THAN'!$Y$38:$Y$58,MATCH(R296,'KT THAN'!$Y$38:$Y$58,-1)))),MIN(0.8*0.75*'KT THAN'!$C$62,'KT THAN'!$D$68/R296)))))</f>
        <v/>
      </c>
      <c r="O296" s="38" t="str">
        <f>IF($A296="","",IF(H296&lt;0,ABS(H296)/MAX('KT THAN'!$C$69,0.001)+'KT THAN'!$C$32*ABS(J296)/MAX('KT THAN'!$C$68,0.001)+'KT THAN'!$D$32*ABS(I296)/MAX('KT THAN'!$D$68,0.001),IF(OR(M296&lt;=0,N296&lt;=0),999,IF(H296&gt;=0.1*0.75*fc_*Agth*1000,H296/MAX(0.001,1/(1/M296+1/N296-1/(0.75*'KT THAN'!$C$62))),'KT THAN'!$C$32*ABS(J296)/MAX('KT THAN'!$C$68,0.001)+'KT THAN'!$D$32*ABS(I296)/MAX('KT THAN'!$D$68,0.001)))))</f>
        <v/>
      </c>
      <c r="P296" s="37" t="str">
        <f t="shared" si="52"/>
        <v/>
      </c>
      <c r="Q296" s="38" t="str">
        <f>IF($A296="","",MAX(0.001,'KT THAN'!$C$32*ABS(J296)/MAX(1,H296)))</f>
        <v/>
      </c>
      <c r="R296" s="38" t="str">
        <f>IF($A296="","",MAX(0.001,'KT THAN'!$D$32*ABS(I296)/MAX(1,H296)))</f>
        <v/>
      </c>
      <c r="S296" t="str">
        <f t="shared" si="46"/>
        <v/>
      </c>
    </row>
    <row r="297" spans="1:19" hidden="1" outlineLevel="1" x14ac:dyDescent="0.3">
      <c r="A297" s="37" t="str">
        <f>IF('TO HOP NLAN'!$A163="","",'TO HOP NLAN'!$A163)</f>
        <v/>
      </c>
      <c r="B297" s="38" t="str">
        <f>IF($A297="","",'TO HOP NLAN'!$D163)</f>
        <v/>
      </c>
      <c r="C297" s="38" t="str">
        <f>IF($A297="","",'TO HOP NLAN'!$E163)</f>
        <v/>
      </c>
      <c r="D297" s="38" t="str">
        <f>IF($A297="","",'TO HOP NLAN'!$F163)</f>
        <v/>
      </c>
      <c r="E297" s="38" t="str">
        <f>IF($A297="","",'TO HOP NLAN'!$B163)</f>
        <v/>
      </c>
      <c r="F297" s="38" t="str">
        <f>IF($A297="","",'TO HOP NLAN'!$C163)</f>
        <v/>
      </c>
      <c r="G297" s="38" t="str">
        <f t="shared" si="47"/>
        <v/>
      </c>
      <c r="H297" s="38" t="str">
        <f t="shared" si="45"/>
        <v/>
      </c>
      <c r="I297" s="38" t="str">
        <f t="shared" si="48"/>
        <v/>
      </c>
      <c r="J297" s="38" t="str">
        <f t="shared" si="49"/>
        <v/>
      </c>
      <c r="K297" s="38" t="str">
        <f t="shared" si="50"/>
        <v/>
      </c>
      <c r="L297" s="38" t="str">
        <f t="shared" si="51"/>
        <v/>
      </c>
      <c r="M297" s="38" t="str">
        <f>IF($A297="","",IF(H297=0,"",IF(Q297&lt;=0.000000001,MIN(0.8*0.75*'KT THAN'!$C$62,MAX('KT THAN'!$J$38:$J$58)),IFERROR(MIN(0.8*0.75*'KT THAN'!$C$62,INDEX('KT THAN'!$J$38:$J$58,MATCH(Q297,'KT THAN'!$L$38:$L$58,-1))+(INDEX('KT THAN'!$J$38:$J$58,MIN(21,MATCH(Q297,'KT THAN'!$L$38:$L$58,-1)+1))-INDEX('KT THAN'!$J$38:$J$58,MATCH(Q297,'KT THAN'!$L$38:$L$58,-1)))*(Q297-INDEX('KT THAN'!$L$38:$L$58,MATCH(Q297,'KT THAN'!$L$38:$L$58,-1)))/(INDEX('KT THAN'!$L$38:$L$58,MIN(21,MATCH(Q297,'KT THAN'!$L$38:$L$58,-1)+1))-INDEX('KT THAN'!$L$38:$L$58,MATCH(Q297,'KT THAN'!$L$38:$L$58,-1)))),MIN(0.8*0.75*'KT THAN'!$C$62,'KT THAN'!$C$68/Q297)))))</f>
        <v/>
      </c>
      <c r="N297" s="38" t="str">
        <f>IF($A297="","",IF(H297=0,"",IF(R297&lt;=0.000000001,MIN(0.8*0.75*'KT THAN'!$C$62,MAX('KT THAN'!$W$38:$W$58)),IFERROR(MIN(0.8*0.75*'KT THAN'!$C$62,INDEX('KT THAN'!$W$38:$W$58,MATCH(R297,'KT THAN'!$Y$38:$Y$58,-1))+(INDEX('KT THAN'!$W$38:$W$58,MIN(21,MATCH(R297,'KT THAN'!$Y$38:$Y$58,-1)+1))-INDEX('KT THAN'!$W$38:$W$58,MATCH(R297,'KT THAN'!$Y$38:$Y$58,-1)))*(R297-INDEX('KT THAN'!$Y$38:$Y$58,MATCH(R297,'KT THAN'!$Y$38:$Y$58,-1)))/(INDEX('KT THAN'!$Y$38:$Y$58,MIN(21,MATCH(R297,'KT THAN'!$Y$38:$Y$58,-1)+1))-INDEX('KT THAN'!$Y$38:$Y$58,MATCH(R297,'KT THAN'!$Y$38:$Y$58,-1)))),MIN(0.8*0.75*'KT THAN'!$C$62,'KT THAN'!$D$68/R297)))))</f>
        <v/>
      </c>
      <c r="O297" s="38" t="str">
        <f>IF($A297="","",IF(H297&lt;0,ABS(H297)/MAX('KT THAN'!$C$69,0.001)+'KT THAN'!$C$32*ABS(J297)/MAX('KT THAN'!$C$68,0.001)+'KT THAN'!$D$32*ABS(I297)/MAX('KT THAN'!$D$68,0.001),IF(OR(M297&lt;=0,N297&lt;=0),999,IF(H297&gt;=0.1*0.75*fc_*Agth*1000,H297/MAX(0.001,1/(1/M297+1/N297-1/(0.75*'KT THAN'!$C$62))),'KT THAN'!$C$32*ABS(J297)/MAX('KT THAN'!$C$68,0.001)+'KT THAN'!$D$32*ABS(I297)/MAX('KT THAN'!$D$68,0.001)))))</f>
        <v/>
      </c>
      <c r="P297" s="37" t="str">
        <f t="shared" si="52"/>
        <v/>
      </c>
      <c r="Q297" s="38" t="str">
        <f>IF($A297="","",MAX(0.001,'KT THAN'!$C$32*ABS(J297)/MAX(1,H297)))</f>
        <v/>
      </c>
      <c r="R297" s="38" t="str">
        <f>IF($A297="","",MAX(0.001,'KT THAN'!$D$32*ABS(I297)/MAX(1,H297)))</f>
        <v/>
      </c>
      <c r="S297" t="str">
        <f t="shared" si="46"/>
        <v/>
      </c>
    </row>
    <row r="298" spans="1:19" hidden="1" outlineLevel="1" x14ac:dyDescent="0.3">
      <c r="A298" s="37" t="str">
        <f>IF('TO HOP NLAN'!$A164="","",'TO HOP NLAN'!$A164)</f>
        <v/>
      </c>
      <c r="B298" s="38" t="str">
        <f>IF($A298="","",'TO HOP NLAN'!$D164)</f>
        <v/>
      </c>
      <c r="C298" s="38" t="str">
        <f>IF($A298="","",'TO HOP NLAN'!$E164)</f>
        <v/>
      </c>
      <c r="D298" s="38" t="str">
        <f>IF($A298="","",'TO HOP NLAN'!$F164)</f>
        <v/>
      </c>
      <c r="E298" s="38" t="str">
        <f>IF($A298="","",'TO HOP NLAN'!$B164)</f>
        <v/>
      </c>
      <c r="F298" s="38" t="str">
        <f>IF($A298="","",'TO HOP NLAN'!$C164)</f>
        <v/>
      </c>
      <c r="G298" s="38" t="str">
        <f t="shared" si="47"/>
        <v/>
      </c>
      <c r="H298" s="38" t="str">
        <f t="shared" si="45"/>
        <v/>
      </c>
      <c r="I298" s="38" t="str">
        <f t="shared" si="48"/>
        <v/>
      </c>
      <c r="J298" s="38" t="str">
        <f t="shared" si="49"/>
        <v/>
      </c>
      <c r="K298" s="38" t="str">
        <f t="shared" si="50"/>
        <v/>
      </c>
      <c r="L298" s="38" t="str">
        <f t="shared" si="51"/>
        <v/>
      </c>
      <c r="M298" s="38" t="str">
        <f>IF($A298="","",IF(H298=0,"",IF(Q298&lt;=0.000000001,MIN(0.8*0.75*'KT THAN'!$C$62,MAX('KT THAN'!$J$38:$J$58)),IFERROR(MIN(0.8*0.75*'KT THAN'!$C$62,INDEX('KT THAN'!$J$38:$J$58,MATCH(Q298,'KT THAN'!$L$38:$L$58,-1))+(INDEX('KT THAN'!$J$38:$J$58,MIN(21,MATCH(Q298,'KT THAN'!$L$38:$L$58,-1)+1))-INDEX('KT THAN'!$J$38:$J$58,MATCH(Q298,'KT THAN'!$L$38:$L$58,-1)))*(Q298-INDEX('KT THAN'!$L$38:$L$58,MATCH(Q298,'KT THAN'!$L$38:$L$58,-1)))/(INDEX('KT THAN'!$L$38:$L$58,MIN(21,MATCH(Q298,'KT THAN'!$L$38:$L$58,-1)+1))-INDEX('KT THAN'!$L$38:$L$58,MATCH(Q298,'KT THAN'!$L$38:$L$58,-1)))),MIN(0.8*0.75*'KT THAN'!$C$62,'KT THAN'!$C$68/Q298)))))</f>
        <v/>
      </c>
      <c r="N298" s="38" t="str">
        <f>IF($A298="","",IF(H298=0,"",IF(R298&lt;=0.000000001,MIN(0.8*0.75*'KT THAN'!$C$62,MAX('KT THAN'!$W$38:$W$58)),IFERROR(MIN(0.8*0.75*'KT THAN'!$C$62,INDEX('KT THAN'!$W$38:$W$58,MATCH(R298,'KT THAN'!$Y$38:$Y$58,-1))+(INDEX('KT THAN'!$W$38:$W$58,MIN(21,MATCH(R298,'KT THAN'!$Y$38:$Y$58,-1)+1))-INDEX('KT THAN'!$W$38:$W$58,MATCH(R298,'KT THAN'!$Y$38:$Y$58,-1)))*(R298-INDEX('KT THAN'!$Y$38:$Y$58,MATCH(R298,'KT THAN'!$Y$38:$Y$58,-1)))/(INDEX('KT THAN'!$Y$38:$Y$58,MIN(21,MATCH(R298,'KT THAN'!$Y$38:$Y$58,-1)+1))-INDEX('KT THAN'!$Y$38:$Y$58,MATCH(R298,'KT THAN'!$Y$38:$Y$58,-1)))),MIN(0.8*0.75*'KT THAN'!$C$62,'KT THAN'!$D$68/R298)))))</f>
        <v/>
      </c>
      <c r="O298" s="38" t="str">
        <f>IF($A298="","",IF(H298&lt;0,ABS(H298)/MAX('KT THAN'!$C$69,0.001)+'KT THAN'!$C$32*ABS(J298)/MAX('KT THAN'!$C$68,0.001)+'KT THAN'!$D$32*ABS(I298)/MAX('KT THAN'!$D$68,0.001),IF(OR(M298&lt;=0,N298&lt;=0),999,IF(H298&gt;=0.1*0.75*fc_*Agth*1000,H298/MAX(0.001,1/(1/M298+1/N298-1/(0.75*'KT THAN'!$C$62))),'KT THAN'!$C$32*ABS(J298)/MAX('KT THAN'!$C$68,0.001)+'KT THAN'!$D$32*ABS(I298)/MAX('KT THAN'!$D$68,0.001)))))</f>
        <v/>
      </c>
      <c r="P298" s="37" t="str">
        <f t="shared" si="52"/>
        <v/>
      </c>
      <c r="Q298" s="38" t="str">
        <f>IF($A298="","",MAX(0.001,'KT THAN'!$C$32*ABS(J298)/MAX(1,H298)))</f>
        <v/>
      </c>
      <c r="R298" s="38" t="str">
        <f>IF($A298="","",MAX(0.001,'KT THAN'!$D$32*ABS(I298)/MAX(1,H298)))</f>
        <v/>
      </c>
      <c r="S298" t="str">
        <f t="shared" si="46"/>
        <v/>
      </c>
    </row>
    <row r="299" spans="1:19" hidden="1" outlineLevel="1" x14ac:dyDescent="0.3">
      <c r="A299" s="37" t="str">
        <f>IF('TO HOP NLAN'!$A165="","",'TO HOP NLAN'!$A165)</f>
        <v/>
      </c>
      <c r="B299" s="38" t="str">
        <f>IF($A299="","",'TO HOP NLAN'!$D165)</f>
        <v/>
      </c>
      <c r="C299" s="38" t="str">
        <f>IF($A299="","",'TO HOP NLAN'!$E165)</f>
        <v/>
      </c>
      <c r="D299" s="38" t="str">
        <f>IF($A299="","",'TO HOP NLAN'!$F165)</f>
        <v/>
      </c>
      <c r="E299" s="38" t="str">
        <f>IF($A299="","",'TO HOP NLAN'!$B165)</f>
        <v/>
      </c>
      <c r="F299" s="38" t="str">
        <f>IF($A299="","",'TO HOP NLAN'!$C165)</f>
        <v/>
      </c>
      <c r="G299" s="38" t="str">
        <f t="shared" si="47"/>
        <v/>
      </c>
      <c r="H299" s="38" t="str">
        <f t="shared" si="45"/>
        <v/>
      </c>
      <c r="I299" s="38" t="str">
        <f t="shared" si="48"/>
        <v/>
      </c>
      <c r="J299" s="38" t="str">
        <f t="shared" si="49"/>
        <v/>
      </c>
      <c r="K299" s="38" t="str">
        <f t="shared" si="50"/>
        <v/>
      </c>
      <c r="L299" s="38" t="str">
        <f t="shared" si="51"/>
        <v/>
      </c>
      <c r="M299" s="38" t="str">
        <f>IF($A299="","",IF(H299=0,"",IF(Q299&lt;=0.000000001,MIN(0.8*0.75*'KT THAN'!$C$62,MAX('KT THAN'!$J$38:$J$58)),IFERROR(MIN(0.8*0.75*'KT THAN'!$C$62,INDEX('KT THAN'!$J$38:$J$58,MATCH(Q299,'KT THAN'!$L$38:$L$58,-1))+(INDEX('KT THAN'!$J$38:$J$58,MIN(21,MATCH(Q299,'KT THAN'!$L$38:$L$58,-1)+1))-INDEX('KT THAN'!$J$38:$J$58,MATCH(Q299,'KT THAN'!$L$38:$L$58,-1)))*(Q299-INDEX('KT THAN'!$L$38:$L$58,MATCH(Q299,'KT THAN'!$L$38:$L$58,-1)))/(INDEX('KT THAN'!$L$38:$L$58,MIN(21,MATCH(Q299,'KT THAN'!$L$38:$L$58,-1)+1))-INDEX('KT THAN'!$L$38:$L$58,MATCH(Q299,'KT THAN'!$L$38:$L$58,-1)))),MIN(0.8*0.75*'KT THAN'!$C$62,'KT THAN'!$C$68/Q299)))))</f>
        <v/>
      </c>
      <c r="N299" s="38" t="str">
        <f>IF($A299="","",IF(H299=0,"",IF(R299&lt;=0.000000001,MIN(0.8*0.75*'KT THAN'!$C$62,MAX('KT THAN'!$W$38:$W$58)),IFERROR(MIN(0.8*0.75*'KT THAN'!$C$62,INDEX('KT THAN'!$W$38:$W$58,MATCH(R299,'KT THAN'!$Y$38:$Y$58,-1))+(INDEX('KT THAN'!$W$38:$W$58,MIN(21,MATCH(R299,'KT THAN'!$Y$38:$Y$58,-1)+1))-INDEX('KT THAN'!$W$38:$W$58,MATCH(R299,'KT THAN'!$Y$38:$Y$58,-1)))*(R299-INDEX('KT THAN'!$Y$38:$Y$58,MATCH(R299,'KT THAN'!$Y$38:$Y$58,-1)))/(INDEX('KT THAN'!$Y$38:$Y$58,MIN(21,MATCH(R299,'KT THAN'!$Y$38:$Y$58,-1)+1))-INDEX('KT THAN'!$Y$38:$Y$58,MATCH(R299,'KT THAN'!$Y$38:$Y$58,-1)))),MIN(0.8*0.75*'KT THAN'!$C$62,'KT THAN'!$D$68/R299)))))</f>
        <v/>
      </c>
      <c r="O299" s="38" t="str">
        <f>IF($A299="","",IF(H299&lt;0,ABS(H299)/MAX('KT THAN'!$C$69,0.001)+'KT THAN'!$C$32*ABS(J299)/MAX('KT THAN'!$C$68,0.001)+'KT THAN'!$D$32*ABS(I299)/MAX('KT THAN'!$D$68,0.001),IF(OR(M299&lt;=0,N299&lt;=0),999,IF(H299&gt;=0.1*0.75*fc_*Agth*1000,H299/MAX(0.001,1/(1/M299+1/N299-1/(0.75*'KT THAN'!$C$62))),'KT THAN'!$C$32*ABS(J299)/MAX('KT THAN'!$C$68,0.001)+'KT THAN'!$D$32*ABS(I299)/MAX('KT THAN'!$D$68,0.001)))))</f>
        <v/>
      </c>
      <c r="P299" s="37" t="str">
        <f t="shared" si="52"/>
        <v/>
      </c>
      <c r="Q299" s="38" t="str">
        <f>IF($A299="","",MAX(0.001,'KT THAN'!$C$32*ABS(J299)/MAX(1,H299)))</f>
        <v/>
      </c>
      <c r="R299" s="38" t="str">
        <f>IF($A299="","",MAX(0.001,'KT THAN'!$D$32*ABS(I299)/MAX(1,H299)))</f>
        <v/>
      </c>
      <c r="S299" t="str">
        <f t="shared" si="46"/>
        <v/>
      </c>
    </row>
    <row r="300" spans="1:19" hidden="1" outlineLevel="1" x14ac:dyDescent="0.3">
      <c r="A300" s="37" t="str">
        <f>IF('TO HOP NLAN'!$A166="","",'TO HOP NLAN'!$A166)</f>
        <v/>
      </c>
      <c r="B300" s="38" t="str">
        <f>IF($A300="","",'TO HOP NLAN'!$D166)</f>
        <v/>
      </c>
      <c r="C300" s="38" t="str">
        <f>IF($A300="","",'TO HOP NLAN'!$E166)</f>
        <v/>
      </c>
      <c r="D300" s="38" t="str">
        <f>IF($A300="","",'TO HOP NLAN'!$F166)</f>
        <v/>
      </c>
      <c r="E300" s="38" t="str">
        <f>IF($A300="","",'TO HOP NLAN'!$B166)</f>
        <v/>
      </c>
      <c r="F300" s="38" t="str">
        <f>IF($A300="","",'TO HOP NLAN'!$C166)</f>
        <v/>
      </c>
      <c r="G300" s="38" t="str">
        <f t="shared" si="47"/>
        <v/>
      </c>
      <c r="H300" s="38" t="str">
        <f t="shared" si="45"/>
        <v/>
      </c>
      <c r="I300" s="38" t="str">
        <f t="shared" si="48"/>
        <v/>
      </c>
      <c r="J300" s="38" t="str">
        <f t="shared" si="49"/>
        <v/>
      </c>
      <c r="K300" s="38" t="str">
        <f t="shared" si="50"/>
        <v/>
      </c>
      <c r="L300" s="38" t="str">
        <f t="shared" si="51"/>
        <v/>
      </c>
      <c r="M300" s="38" t="str">
        <f>IF($A300="","",IF(H300=0,"",IF(Q300&lt;=0.000000001,MIN(0.8*0.75*'KT THAN'!$C$62,MAX('KT THAN'!$J$38:$J$58)),IFERROR(MIN(0.8*0.75*'KT THAN'!$C$62,INDEX('KT THAN'!$J$38:$J$58,MATCH(Q300,'KT THAN'!$L$38:$L$58,-1))+(INDEX('KT THAN'!$J$38:$J$58,MIN(21,MATCH(Q300,'KT THAN'!$L$38:$L$58,-1)+1))-INDEX('KT THAN'!$J$38:$J$58,MATCH(Q300,'KT THAN'!$L$38:$L$58,-1)))*(Q300-INDEX('KT THAN'!$L$38:$L$58,MATCH(Q300,'KT THAN'!$L$38:$L$58,-1)))/(INDEX('KT THAN'!$L$38:$L$58,MIN(21,MATCH(Q300,'KT THAN'!$L$38:$L$58,-1)+1))-INDEX('KT THAN'!$L$38:$L$58,MATCH(Q300,'KT THAN'!$L$38:$L$58,-1)))),MIN(0.8*0.75*'KT THAN'!$C$62,'KT THAN'!$C$68/Q300)))))</f>
        <v/>
      </c>
      <c r="N300" s="38" t="str">
        <f>IF($A300="","",IF(H300=0,"",IF(R300&lt;=0.000000001,MIN(0.8*0.75*'KT THAN'!$C$62,MAX('KT THAN'!$W$38:$W$58)),IFERROR(MIN(0.8*0.75*'KT THAN'!$C$62,INDEX('KT THAN'!$W$38:$W$58,MATCH(R300,'KT THAN'!$Y$38:$Y$58,-1))+(INDEX('KT THAN'!$W$38:$W$58,MIN(21,MATCH(R300,'KT THAN'!$Y$38:$Y$58,-1)+1))-INDEX('KT THAN'!$W$38:$W$58,MATCH(R300,'KT THAN'!$Y$38:$Y$58,-1)))*(R300-INDEX('KT THAN'!$Y$38:$Y$58,MATCH(R300,'KT THAN'!$Y$38:$Y$58,-1)))/(INDEX('KT THAN'!$Y$38:$Y$58,MIN(21,MATCH(R300,'KT THAN'!$Y$38:$Y$58,-1)+1))-INDEX('KT THAN'!$Y$38:$Y$58,MATCH(R300,'KT THAN'!$Y$38:$Y$58,-1)))),MIN(0.8*0.75*'KT THAN'!$C$62,'KT THAN'!$D$68/R300)))))</f>
        <v/>
      </c>
      <c r="O300" s="38" t="str">
        <f>IF($A300="","",IF(H300&lt;0,ABS(H300)/MAX('KT THAN'!$C$69,0.001)+'KT THAN'!$C$32*ABS(J300)/MAX('KT THAN'!$C$68,0.001)+'KT THAN'!$D$32*ABS(I300)/MAX('KT THAN'!$D$68,0.001),IF(OR(M300&lt;=0,N300&lt;=0),999,IF(H300&gt;=0.1*0.75*fc_*Agth*1000,H300/MAX(0.001,1/(1/M300+1/N300-1/(0.75*'KT THAN'!$C$62))),'KT THAN'!$C$32*ABS(J300)/MAX('KT THAN'!$C$68,0.001)+'KT THAN'!$D$32*ABS(I300)/MAX('KT THAN'!$D$68,0.001)))))</f>
        <v/>
      </c>
      <c r="P300" s="37" t="str">
        <f t="shared" si="52"/>
        <v/>
      </c>
      <c r="Q300" s="38" t="str">
        <f>IF($A300="","",MAX(0.001,'KT THAN'!$C$32*ABS(J300)/MAX(1,H300)))</f>
        <v/>
      </c>
      <c r="R300" s="38" t="str">
        <f>IF($A300="","",MAX(0.001,'KT THAN'!$D$32*ABS(I300)/MAX(1,H300)))</f>
        <v/>
      </c>
      <c r="S300" t="str">
        <f t="shared" si="46"/>
        <v/>
      </c>
    </row>
    <row r="301" spans="1:19" hidden="1" outlineLevel="1" x14ac:dyDescent="0.3">
      <c r="A301" s="37" t="str">
        <f>IF('TO HOP NLAN'!$A167="","",'TO HOP NLAN'!$A167)</f>
        <v/>
      </c>
      <c r="B301" s="38" t="str">
        <f>IF($A301="","",'TO HOP NLAN'!$D167)</f>
        <v/>
      </c>
      <c r="C301" s="38" t="str">
        <f>IF($A301="","",'TO HOP NLAN'!$E167)</f>
        <v/>
      </c>
      <c r="D301" s="38" t="str">
        <f>IF($A301="","",'TO HOP NLAN'!$F167)</f>
        <v/>
      </c>
      <c r="E301" s="38" t="str">
        <f>IF($A301="","",'TO HOP NLAN'!$B167)</f>
        <v/>
      </c>
      <c r="F301" s="38" t="str">
        <f>IF($A301="","",'TO HOP NLAN'!$C167)</f>
        <v/>
      </c>
      <c r="G301" s="38" t="str">
        <f t="shared" si="47"/>
        <v/>
      </c>
      <c r="H301" s="38" t="str">
        <f t="shared" si="45"/>
        <v/>
      </c>
      <c r="I301" s="38" t="str">
        <f t="shared" si="48"/>
        <v/>
      </c>
      <c r="J301" s="38" t="str">
        <f t="shared" si="49"/>
        <v/>
      </c>
      <c r="K301" s="38" t="str">
        <f t="shared" si="50"/>
        <v/>
      </c>
      <c r="L301" s="38" t="str">
        <f t="shared" si="51"/>
        <v/>
      </c>
      <c r="M301" s="38" t="str">
        <f>IF($A301="","",IF(H301=0,"",IF(Q301&lt;=0.000000001,MIN(0.8*0.75*'KT THAN'!$C$62,MAX('KT THAN'!$J$38:$J$58)),IFERROR(MIN(0.8*0.75*'KT THAN'!$C$62,INDEX('KT THAN'!$J$38:$J$58,MATCH(Q301,'KT THAN'!$L$38:$L$58,-1))+(INDEX('KT THAN'!$J$38:$J$58,MIN(21,MATCH(Q301,'KT THAN'!$L$38:$L$58,-1)+1))-INDEX('KT THAN'!$J$38:$J$58,MATCH(Q301,'KT THAN'!$L$38:$L$58,-1)))*(Q301-INDEX('KT THAN'!$L$38:$L$58,MATCH(Q301,'KT THAN'!$L$38:$L$58,-1)))/(INDEX('KT THAN'!$L$38:$L$58,MIN(21,MATCH(Q301,'KT THAN'!$L$38:$L$58,-1)+1))-INDEX('KT THAN'!$L$38:$L$58,MATCH(Q301,'KT THAN'!$L$38:$L$58,-1)))),MIN(0.8*0.75*'KT THAN'!$C$62,'KT THAN'!$C$68/Q301)))))</f>
        <v/>
      </c>
      <c r="N301" s="38" t="str">
        <f>IF($A301="","",IF(H301=0,"",IF(R301&lt;=0.000000001,MIN(0.8*0.75*'KT THAN'!$C$62,MAX('KT THAN'!$W$38:$W$58)),IFERROR(MIN(0.8*0.75*'KT THAN'!$C$62,INDEX('KT THAN'!$W$38:$W$58,MATCH(R301,'KT THAN'!$Y$38:$Y$58,-1))+(INDEX('KT THAN'!$W$38:$W$58,MIN(21,MATCH(R301,'KT THAN'!$Y$38:$Y$58,-1)+1))-INDEX('KT THAN'!$W$38:$W$58,MATCH(R301,'KT THAN'!$Y$38:$Y$58,-1)))*(R301-INDEX('KT THAN'!$Y$38:$Y$58,MATCH(R301,'KT THAN'!$Y$38:$Y$58,-1)))/(INDEX('KT THAN'!$Y$38:$Y$58,MIN(21,MATCH(R301,'KT THAN'!$Y$38:$Y$58,-1)+1))-INDEX('KT THAN'!$Y$38:$Y$58,MATCH(R301,'KT THAN'!$Y$38:$Y$58,-1)))),MIN(0.8*0.75*'KT THAN'!$C$62,'KT THAN'!$D$68/R301)))))</f>
        <v/>
      </c>
      <c r="O301" s="38" t="str">
        <f>IF($A301="","",IF(H301&lt;0,ABS(H301)/MAX('KT THAN'!$C$69,0.001)+'KT THAN'!$C$32*ABS(J301)/MAX('KT THAN'!$C$68,0.001)+'KT THAN'!$D$32*ABS(I301)/MAX('KT THAN'!$D$68,0.001),IF(OR(M301&lt;=0,N301&lt;=0),999,IF(H301&gt;=0.1*0.75*fc_*Agth*1000,H301/MAX(0.001,1/(1/M301+1/N301-1/(0.75*'KT THAN'!$C$62))),'KT THAN'!$C$32*ABS(J301)/MAX('KT THAN'!$C$68,0.001)+'KT THAN'!$D$32*ABS(I301)/MAX('KT THAN'!$D$68,0.001)))))</f>
        <v/>
      </c>
      <c r="P301" s="37" t="str">
        <f t="shared" si="52"/>
        <v/>
      </c>
      <c r="Q301" s="38" t="str">
        <f>IF($A301="","",MAX(0.001,'KT THAN'!$C$32*ABS(J301)/MAX(1,H301)))</f>
        <v/>
      </c>
      <c r="R301" s="38" t="str">
        <f>IF($A301="","",MAX(0.001,'KT THAN'!$D$32*ABS(I301)/MAX(1,H301)))</f>
        <v/>
      </c>
      <c r="S301" t="str">
        <f t="shared" si="46"/>
        <v/>
      </c>
    </row>
    <row r="302" spans="1:19" hidden="1" outlineLevel="1" x14ac:dyDescent="0.3">
      <c r="A302" s="37" t="str">
        <f>IF('TO HOP NLAN'!$A168="","",'TO HOP NLAN'!$A168)</f>
        <v/>
      </c>
      <c r="B302" s="38" t="str">
        <f>IF($A302="","",'TO HOP NLAN'!$D168)</f>
        <v/>
      </c>
      <c r="C302" s="38" t="str">
        <f>IF($A302="","",'TO HOP NLAN'!$E168)</f>
        <v/>
      </c>
      <c r="D302" s="38" t="str">
        <f>IF($A302="","",'TO HOP NLAN'!$F168)</f>
        <v/>
      </c>
      <c r="E302" s="38" t="str">
        <f>IF($A302="","",'TO HOP NLAN'!$B168)</f>
        <v/>
      </c>
      <c r="F302" s="38" t="str">
        <f>IF($A302="","",'TO HOP NLAN'!$C168)</f>
        <v/>
      </c>
      <c r="G302" s="38" t="str">
        <f t="shared" si="47"/>
        <v/>
      </c>
      <c r="H302" s="38" t="str">
        <f t="shared" si="45"/>
        <v/>
      </c>
      <c r="I302" s="38" t="str">
        <f t="shared" si="48"/>
        <v/>
      </c>
      <c r="J302" s="38" t="str">
        <f t="shared" si="49"/>
        <v/>
      </c>
      <c r="K302" s="38" t="str">
        <f t="shared" si="50"/>
        <v/>
      </c>
      <c r="L302" s="38" t="str">
        <f t="shared" si="51"/>
        <v/>
      </c>
      <c r="M302" s="38" t="str">
        <f>IF($A302="","",IF(H302=0,"",IF(Q302&lt;=0.000000001,MIN(0.8*0.75*'KT THAN'!$C$62,MAX('KT THAN'!$J$38:$J$58)),IFERROR(MIN(0.8*0.75*'KT THAN'!$C$62,INDEX('KT THAN'!$J$38:$J$58,MATCH(Q302,'KT THAN'!$L$38:$L$58,-1))+(INDEX('KT THAN'!$J$38:$J$58,MIN(21,MATCH(Q302,'KT THAN'!$L$38:$L$58,-1)+1))-INDEX('KT THAN'!$J$38:$J$58,MATCH(Q302,'KT THAN'!$L$38:$L$58,-1)))*(Q302-INDEX('KT THAN'!$L$38:$L$58,MATCH(Q302,'KT THAN'!$L$38:$L$58,-1)))/(INDEX('KT THAN'!$L$38:$L$58,MIN(21,MATCH(Q302,'KT THAN'!$L$38:$L$58,-1)+1))-INDEX('KT THAN'!$L$38:$L$58,MATCH(Q302,'KT THAN'!$L$38:$L$58,-1)))),MIN(0.8*0.75*'KT THAN'!$C$62,'KT THAN'!$C$68/Q302)))))</f>
        <v/>
      </c>
      <c r="N302" s="38" t="str">
        <f>IF($A302="","",IF(H302=0,"",IF(R302&lt;=0.000000001,MIN(0.8*0.75*'KT THAN'!$C$62,MAX('KT THAN'!$W$38:$W$58)),IFERROR(MIN(0.8*0.75*'KT THAN'!$C$62,INDEX('KT THAN'!$W$38:$W$58,MATCH(R302,'KT THAN'!$Y$38:$Y$58,-1))+(INDEX('KT THAN'!$W$38:$W$58,MIN(21,MATCH(R302,'KT THAN'!$Y$38:$Y$58,-1)+1))-INDEX('KT THAN'!$W$38:$W$58,MATCH(R302,'KT THAN'!$Y$38:$Y$58,-1)))*(R302-INDEX('KT THAN'!$Y$38:$Y$58,MATCH(R302,'KT THAN'!$Y$38:$Y$58,-1)))/(INDEX('KT THAN'!$Y$38:$Y$58,MIN(21,MATCH(R302,'KT THAN'!$Y$38:$Y$58,-1)+1))-INDEX('KT THAN'!$Y$38:$Y$58,MATCH(R302,'KT THAN'!$Y$38:$Y$58,-1)))),MIN(0.8*0.75*'KT THAN'!$C$62,'KT THAN'!$D$68/R302)))))</f>
        <v/>
      </c>
      <c r="O302" s="38" t="str">
        <f>IF($A302="","",IF(H302&lt;0,ABS(H302)/MAX('KT THAN'!$C$69,0.001)+'KT THAN'!$C$32*ABS(J302)/MAX('KT THAN'!$C$68,0.001)+'KT THAN'!$D$32*ABS(I302)/MAX('KT THAN'!$D$68,0.001),IF(OR(M302&lt;=0,N302&lt;=0),999,IF(H302&gt;=0.1*0.75*fc_*Agth*1000,H302/MAX(0.001,1/(1/M302+1/N302-1/(0.75*'KT THAN'!$C$62))),'KT THAN'!$C$32*ABS(J302)/MAX('KT THAN'!$C$68,0.001)+'KT THAN'!$D$32*ABS(I302)/MAX('KT THAN'!$D$68,0.001)))))</f>
        <v/>
      </c>
      <c r="P302" s="37" t="str">
        <f t="shared" si="52"/>
        <v/>
      </c>
      <c r="Q302" s="38" t="str">
        <f>IF($A302="","",MAX(0.001,'KT THAN'!$C$32*ABS(J302)/MAX(1,H302)))</f>
        <v/>
      </c>
      <c r="R302" s="38" t="str">
        <f>IF($A302="","",MAX(0.001,'KT THAN'!$D$32*ABS(I302)/MAX(1,H302)))</f>
        <v/>
      </c>
      <c r="S302" t="str">
        <f t="shared" si="46"/>
        <v/>
      </c>
    </row>
    <row r="303" spans="1:19" hidden="1" outlineLevel="1" x14ac:dyDescent="0.3">
      <c r="A303" s="37" t="str">
        <f>IF('TO HOP NLAN'!$A169="","",'TO HOP NLAN'!$A169)</f>
        <v/>
      </c>
      <c r="B303" s="38" t="str">
        <f>IF($A303="","",'TO HOP NLAN'!$D169)</f>
        <v/>
      </c>
      <c r="C303" s="38" t="str">
        <f>IF($A303="","",'TO HOP NLAN'!$E169)</f>
        <v/>
      </c>
      <c r="D303" s="38" t="str">
        <f>IF($A303="","",'TO HOP NLAN'!$F169)</f>
        <v/>
      </c>
      <c r="E303" s="38" t="str">
        <f>IF($A303="","",'TO HOP NLAN'!$B169)</f>
        <v/>
      </c>
      <c r="F303" s="38" t="str">
        <f>IF($A303="","",'TO HOP NLAN'!$C169)</f>
        <v/>
      </c>
      <c r="G303" s="38" t="str">
        <f t="shared" si="47"/>
        <v/>
      </c>
      <c r="H303" s="38" t="str">
        <f t="shared" si="45"/>
        <v/>
      </c>
      <c r="I303" s="38" t="str">
        <f t="shared" si="48"/>
        <v/>
      </c>
      <c r="J303" s="38" t="str">
        <f t="shared" si="49"/>
        <v/>
      </c>
      <c r="K303" s="38" t="str">
        <f t="shared" si="50"/>
        <v/>
      </c>
      <c r="L303" s="38" t="str">
        <f t="shared" si="51"/>
        <v/>
      </c>
      <c r="M303" s="38" t="str">
        <f>IF($A303="","",IF(H303=0,"",IF(Q303&lt;=0.000000001,MIN(0.8*0.75*'KT THAN'!$C$62,MAX('KT THAN'!$J$38:$J$58)),IFERROR(MIN(0.8*0.75*'KT THAN'!$C$62,INDEX('KT THAN'!$J$38:$J$58,MATCH(Q303,'KT THAN'!$L$38:$L$58,-1))+(INDEX('KT THAN'!$J$38:$J$58,MIN(21,MATCH(Q303,'KT THAN'!$L$38:$L$58,-1)+1))-INDEX('KT THAN'!$J$38:$J$58,MATCH(Q303,'KT THAN'!$L$38:$L$58,-1)))*(Q303-INDEX('KT THAN'!$L$38:$L$58,MATCH(Q303,'KT THAN'!$L$38:$L$58,-1)))/(INDEX('KT THAN'!$L$38:$L$58,MIN(21,MATCH(Q303,'KT THAN'!$L$38:$L$58,-1)+1))-INDEX('KT THAN'!$L$38:$L$58,MATCH(Q303,'KT THAN'!$L$38:$L$58,-1)))),MIN(0.8*0.75*'KT THAN'!$C$62,'KT THAN'!$C$68/Q303)))))</f>
        <v/>
      </c>
      <c r="N303" s="38" t="str">
        <f>IF($A303="","",IF(H303=0,"",IF(R303&lt;=0.000000001,MIN(0.8*0.75*'KT THAN'!$C$62,MAX('KT THAN'!$W$38:$W$58)),IFERROR(MIN(0.8*0.75*'KT THAN'!$C$62,INDEX('KT THAN'!$W$38:$W$58,MATCH(R303,'KT THAN'!$Y$38:$Y$58,-1))+(INDEX('KT THAN'!$W$38:$W$58,MIN(21,MATCH(R303,'KT THAN'!$Y$38:$Y$58,-1)+1))-INDEX('KT THAN'!$W$38:$W$58,MATCH(R303,'KT THAN'!$Y$38:$Y$58,-1)))*(R303-INDEX('KT THAN'!$Y$38:$Y$58,MATCH(R303,'KT THAN'!$Y$38:$Y$58,-1)))/(INDEX('KT THAN'!$Y$38:$Y$58,MIN(21,MATCH(R303,'KT THAN'!$Y$38:$Y$58,-1)+1))-INDEX('KT THAN'!$Y$38:$Y$58,MATCH(R303,'KT THAN'!$Y$38:$Y$58,-1)))),MIN(0.8*0.75*'KT THAN'!$C$62,'KT THAN'!$D$68/R303)))))</f>
        <v/>
      </c>
      <c r="O303" s="38" t="str">
        <f>IF($A303="","",IF(H303&lt;0,ABS(H303)/MAX('KT THAN'!$C$69,0.001)+'KT THAN'!$C$32*ABS(J303)/MAX('KT THAN'!$C$68,0.001)+'KT THAN'!$D$32*ABS(I303)/MAX('KT THAN'!$D$68,0.001),IF(OR(M303&lt;=0,N303&lt;=0),999,IF(H303&gt;=0.1*0.75*fc_*Agth*1000,H303/MAX(0.001,1/(1/M303+1/N303-1/(0.75*'KT THAN'!$C$62))),'KT THAN'!$C$32*ABS(J303)/MAX('KT THAN'!$C$68,0.001)+'KT THAN'!$D$32*ABS(I303)/MAX('KT THAN'!$D$68,0.001)))))</f>
        <v/>
      </c>
      <c r="P303" s="37" t="str">
        <f t="shared" si="52"/>
        <v/>
      </c>
      <c r="Q303" s="38" t="str">
        <f>IF($A303="","",MAX(0.001,'KT THAN'!$C$32*ABS(J303)/MAX(1,H303)))</f>
        <v/>
      </c>
      <c r="R303" s="38" t="str">
        <f>IF($A303="","",MAX(0.001,'KT THAN'!$D$32*ABS(I303)/MAX(1,H303)))</f>
        <v/>
      </c>
      <c r="S303" t="str">
        <f t="shared" si="46"/>
        <v/>
      </c>
    </row>
    <row r="304" spans="1:19" hidden="1" outlineLevel="1" x14ac:dyDescent="0.3">
      <c r="A304" s="37" t="str">
        <f>IF('TO HOP NLAN'!$A170="","",'TO HOP NLAN'!$A170)</f>
        <v/>
      </c>
      <c r="B304" s="38" t="str">
        <f>IF($A304="","",'TO HOP NLAN'!$D170)</f>
        <v/>
      </c>
      <c r="C304" s="38" t="str">
        <f>IF($A304="","",'TO HOP NLAN'!$E170)</f>
        <v/>
      </c>
      <c r="D304" s="38" t="str">
        <f>IF($A304="","",'TO HOP NLAN'!$F170)</f>
        <v/>
      </c>
      <c r="E304" s="38" t="str">
        <f>IF($A304="","",'TO HOP NLAN'!$B170)</f>
        <v/>
      </c>
      <c r="F304" s="38" t="str">
        <f>IF($A304="","",'TO HOP NLAN'!$C170)</f>
        <v/>
      </c>
      <c r="G304" s="38" t="str">
        <f t="shared" si="47"/>
        <v/>
      </c>
      <c r="H304" s="38" t="str">
        <f t="shared" si="45"/>
        <v/>
      </c>
      <c r="I304" s="38" t="str">
        <f t="shared" si="48"/>
        <v/>
      </c>
      <c r="J304" s="38" t="str">
        <f t="shared" si="49"/>
        <v/>
      </c>
      <c r="K304" s="38" t="str">
        <f t="shared" si="50"/>
        <v/>
      </c>
      <c r="L304" s="38" t="str">
        <f t="shared" si="51"/>
        <v/>
      </c>
      <c r="M304" s="38" t="str">
        <f>IF($A304="","",IF(H304=0,"",IF(Q304&lt;=0.000000001,MIN(0.8*0.75*'KT THAN'!$C$62,MAX('KT THAN'!$J$38:$J$58)),IFERROR(MIN(0.8*0.75*'KT THAN'!$C$62,INDEX('KT THAN'!$J$38:$J$58,MATCH(Q304,'KT THAN'!$L$38:$L$58,-1))+(INDEX('KT THAN'!$J$38:$J$58,MIN(21,MATCH(Q304,'KT THAN'!$L$38:$L$58,-1)+1))-INDEX('KT THAN'!$J$38:$J$58,MATCH(Q304,'KT THAN'!$L$38:$L$58,-1)))*(Q304-INDEX('KT THAN'!$L$38:$L$58,MATCH(Q304,'KT THAN'!$L$38:$L$58,-1)))/(INDEX('KT THAN'!$L$38:$L$58,MIN(21,MATCH(Q304,'KT THAN'!$L$38:$L$58,-1)+1))-INDEX('KT THAN'!$L$38:$L$58,MATCH(Q304,'KT THAN'!$L$38:$L$58,-1)))),MIN(0.8*0.75*'KT THAN'!$C$62,'KT THAN'!$C$68/Q304)))))</f>
        <v/>
      </c>
      <c r="N304" s="38" t="str">
        <f>IF($A304="","",IF(H304=0,"",IF(R304&lt;=0.000000001,MIN(0.8*0.75*'KT THAN'!$C$62,MAX('KT THAN'!$W$38:$W$58)),IFERROR(MIN(0.8*0.75*'KT THAN'!$C$62,INDEX('KT THAN'!$W$38:$W$58,MATCH(R304,'KT THAN'!$Y$38:$Y$58,-1))+(INDEX('KT THAN'!$W$38:$W$58,MIN(21,MATCH(R304,'KT THAN'!$Y$38:$Y$58,-1)+1))-INDEX('KT THAN'!$W$38:$W$58,MATCH(R304,'KT THAN'!$Y$38:$Y$58,-1)))*(R304-INDEX('KT THAN'!$Y$38:$Y$58,MATCH(R304,'KT THAN'!$Y$38:$Y$58,-1)))/(INDEX('KT THAN'!$Y$38:$Y$58,MIN(21,MATCH(R304,'KT THAN'!$Y$38:$Y$58,-1)+1))-INDEX('KT THAN'!$Y$38:$Y$58,MATCH(R304,'KT THAN'!$Y$38:$Y$58,-1)))),MIN(0.8*0.75*'KT THAN'!$C$62,'KT THAN'!$D$68/R304)))))</f>
        <v/>
      </c>
      <c r="O304" s="38" t="str">
        <f>IF($A304="","",IF(H304&lt;0,ABS(H304)/MAX('KT THAN'!$C$69,0.001)+'KT THAN'!$C$32*ABS(J304)/MAX('KT THAN'!$C$68,0.001)+'KT THAN'!$D$32*ABS(I304)/MAX('KT THAN'!$D$68,0.001),IF(OR(M304&lt;=0,N304&lt;=0),999,IF(H304&gt;=0.1*0.75*fc_*Agth*1000,H304/MAX(0.001,1/(1/M304+1/N304-1/(0.75*'KT THAN'!$C$62))),'KT THAN'!$C$32*ABS(J304)/MAX('KT THAN'!$C$68,0.001)+'KT THAN'!$D$32*ABS(I304)/MAX('KT THAN'!$D$68,0.001)))))</f>
        <v/>
      </c>
      <c r="P304" s="37" t="str">
        <f t="shared" si="52"/>
        <v/>
      </c>
      <c r="Q304" s="38" t="str">
        <f>IF($A304="","",MAX(0.001,'KT THAN'!$C$32*ABS(J304)/MAX(1,H304)))</f>
        <v/>
      </c>
      <c r="R304" s="38" t="str">
        <f>IF($A304="","",MAX(0.001,'KT THAN'!$D$32*ABS(I304)/MAX(1,H304)))</f>
        <v/>
      </c>
      <c r="S304" t="str">
        <f t="shared" si="46"/>
        <v/>
      </c>
    </row>
    <row r="305" spans="1:19" hidden="1" outlineLevel="1" x14ac:dyDescent="0.3">
      <c r="A305" s="37" t="str">
        <f>IF('TO HOP NLAN'!$A171="","",'TO HOP NLAN'!$A171)</f>
        <v/>
      </c>
      <c r="B305" s="38" t="str">
        <f>IF($A305="","",'TO HOP NLAN'!$D171)</f>
        <v/>
      </c>
      <c r="C305" s="38" t="str">
        <f>IF($A305="","",'TO HOP NLAN'!$E171)</f>
        <v/>
      </c>
      <c r="D305" s="38" t="str">
        <f>IF($A305="","",'TO HOP NLAN'!$F171)</f>
        <v/>
      </c>
      <c r="E305" s="38" t="str">
        <f>IF($A305="","",'TO HOP NLAN'!$B171)</f>
        <v/>
      </c>
      <c r="F305" s="38" t="str">
        <f>IF($A305="","",'TO HOP NLAN'!$C171)</f>
        <v/>
      </c>
      <c r="G305" s="38" t="str">
        <f t="shared" si="47"/>
        <v/>
      </c>
      <c r="H305" s="38" t="str">
        <f t="shared" si="45"/>
        <v/>
      </c>
      <c r="I305" s="38" t="str">
        <f t="shared" si="48"/>
        <v/>
      </c>
      <c r="J305" s="38" t="str">
        <f t="shared" si="49"/>
        <v/>
      </c>
      <c r="K305" s="38" t="str">
        <f t="shared" si="50"/>
        <v/>
      </c>
      <c r="L305" s="38" t="str">
        <f t="shared" si="51"/>
        <v/>
      </c>
      <c r="M305" s="38" t="str">
        <f>IF($A305="","",IF(H305=0,"",IF(Q305&lt;=0.000000001,MIN(0.8*0.75*'KT THAN'!$C$62,MAX('KT THAN'!$J$38:$J$58)),IFERROR(MIN(0.8*0.75*'KT THAN'!$C$62,INDEX('KT THAN'!$J$38:$J$58,MATCH(Q305,'KT THAN'!$L$38:$L$58,-1))+(INDEX('KT THAN'!$J$38:$J$58,MIN(21,MATCH(Q305,'KT THAN'!$L$38:$L$58,-1)+1))-INDEX('KT THAN'!$J$38:$J$58,MATCH(Q305,'KT THAN'!$L$38:$L$58,-1)))*(Q305-INDEX('KT THAN'!$L$38:$L$58,MATCH(Q305,'KT THAN'!$L$38:$L$58,-1)))/(INDEX('KT THAN'!$L$38:$L$58,MIN(21,MATCH(Q305,'KT THAN'!$L$38:$L$58,-1)+1))-INDEX('KT THAN'!$L$38:$L$58,MATCH(Q305,'KT THAN'!$L$38:$L$58,-1)))),MIN(0.8*0.75*'KT THAN'!$C$62,'KT THAN'!$C$68/Q305)))))</f>
        <v/>
      </c>
      <c r="N305" s="38" t="str">
        <f>IF($A305="","",IF(H305=0,"",IF(R305&lt;=0.000000001,MIN(0.8*0.75*'KT THAN'!$C$62,MAX('KT THAN'!$W$38:$W$58)),IFERROR(MIN(0.8*0.75*'KT THAN'!$C$62,INDEX('KT THAN'!$W$38:$W$58,MATCH(R305,'KT THAN'!$Y$38:$Y$58,-1))+(INDEX('KT THAN'!$W$38:$W$58,MIN(21,MATCH(R305,'KT THAN'!$Y$38:$Y$58,-1)+1))-INDEX('KT THAN'!$W$38:$W$58,MATCH(R305,'KT THAN'!$Y$38:$Y$58,-1)))*(R305-INDEX('KT THAN'!$Y$38:$Y$58,MATCH(R305,'KT THAN'!$Y$38:$Y$58,-1)))/(INDEX('KT THAN'!$Y$38:$Y$58,MIN(21,MATCH(R305,'KT THAN'!$Y$38:$Y$58,-1)+1))-INDEX('KT THAN'!$Y$38:$Y$58,MATCH(R305,'KT THAN'!$Y$38:$Y$58,-1)))),MIN(0.8*0.75*'KT THAN'!$C$62,'KT THAN'!$D$68/R305)))))</f>
        <v/>
      </c>
      <c r="O305" s="38" t="str">
        <f>IF($A305="","",IF(H305&lt;0,ABS(H305)/MAX('KT THAN'!$C$69,0.001)+'KT THAN'!$C$32*ABS(J305)/MAX('KT THAN'!$C$68,0.001)+'KT THAN'!$D$32*ABS(I305)/MAX('KT THAN'!$D$68,0.001),IF(OR(M305&lt;=0,N305&lt;=0),999,IF(H305&gt;=0.1*0.75*fc_*Agth*1000,H305/MAX(0.001,1/(1/M305+1/N305-1/(0.75*'KT THAN'!$C$62))),'KT THAN'!$C$32*ABS(J305)/MAX('KT THAN'!$C$68,0.001)+'KT THAN'!$D$32*ABS(I305)/MAX('KT THAN'!$D$68,0.001)))))</f>
        <v/>
      </c>
      <c r="P305" s="37" t="str">
        <f t="shared" si="52"/>
        <v/>
      </c>
      <c r="Q305" s="38" t="str">
        <f>IF($A305="","",MAX(0.001,'KT THAN'!$C$32*ABS(J305)/MAX(1,H305)))</f>
        <v/>
      </c>
      <c r="R305" s="38" t="str">
        <f>IF($A305="","",MAX(0.001,'KT THAN'!$D$32*ABS(I305)/MAX(1,H305)))</f>
        <v/>
      </c>
      <c r="S305" t="str">
        <f t="shared" si="46"/>
        <v/>
      </c>
    </row>
    <row r="306" spans="1:19" hidden="1" outlineLevel="1" x14ac:dyDescent="0.3">
      <c r="A306" s="37" t="str">
        <f>IF('TO HOP NLAN'!$A172="","",'TO HOP NLAN'!$A172)</f>
        <v/>
      </c>
      <c r="B306" s="38" t="str">
        <f>IF($A306="","",'TO HOP NLAN'!$D172)</f>
        <v/>
      </c>
      <c r="C306" s="38" t="str">
        <f>IF($A306="","",'TO HOP NLAN'!$E172)</f>
        <v/>
      </c>
      <c r="D306" s="38" t="str">
        <f>IF($A306="","",'TO HOP NLAN'!$F172)</f>
        <v/>
      </c>
      <c r="E306" s="38" t="str">
        <f>IF($A306="","",'TO HOP NLAN'!$B172)</f>
        <v/>
      </c>
      <c r="F306" s="38" t="str">
        <f>IF($A306="","",'TO HOP NLAN'!$C172)</f>
        <v/>
      </c>
      <c r="G306" s="38" t="str">
        <f t="shared" si="47"/>
        <v/>
      </c>
      <c r="H306" s="38" t="str">
        <f t="shared" si="45"/>
        <v/>
      </c>
      <c r="I306" s="38" t="str">
        <f t="shared" si="48"/>
        <v/>
      </c>
      <c r="J306" s="38" t="str">
        <f t="shared" si="49"/>
        <v/>
      </c>
      <c r="K306" s="38" t="str">
        <f t="shared" si="50"/>
        <v/>
      </c>
      <c r="L306" s="38" t="str">
        <f t="shared" si="51"/>
        <v/>
      </c>
      <c r="M306" s="38" t="str">
        <f>IF($A306="","",IF(H306=0,"",IF(Q306&lt;=0.000000001,MIN(0.8*0.75*'KT THAN'!$C$62,MAX('KT THAN'!$J$38:$J$58)),IFERROR(MIN(0.8*0.75*'KT THAN'!$C$62,INDEX('KT THAN'!$J$38:$J$58,MATCH(Q306,'KT THAN'!$L$38:$L$58,-1))+(INDEX('KT THAN'!$J$38:$J$58,MIN(21,MATCH(Q306,'KT THAN'!$L$38:$L$58,-1)+1))-INDEX('KT THAN'!$J$38:$J$58,MATCH(Q306,'KT THAN'!$L$38:$L$58,-1)))*(Q306-INDEX('KT THAN'!$L$38:$L$58,MATCH(Q306,'KT THAN'!$L$38:$L$58,-1)))/(INDEX('KT THAN'!$L$38:$L$58,MIN(21,MATCH(Q306,'KT THAN'!$L$38:$L$58,-1)+1))-INDEX('KT THAN'!$L$38:$L$58,MATCH(Q306,'KT THAN'!$L$38:$L$58,-1)))),MIN(0.8*0.75*'KT THAN'!$C$62,'KT THAN'!$C$68/Q306)))))</f>
        <v/>
      </c>
      <c r="N306" s="38" t="str">
        <f>IF($A306="","",IF(H306=0,"",IF(R306&lt;=0.000000001,MIN(0.8*0.75*'KT THAN'!$C$62,MAX('KT THAN'!$W$38:$W$58)),IFERROR(MIN(0.8*0.75*'KT THAN'!$C$62,INDEX('KT THAN'!$W$38:$W$58,MATCH(R306,'KT THAN'!$Y$38:$Y$58,-1))+(INDEX('KT THAN'!$W$38:$W$58,MIN(21,MATCH(R306,'KT THAN'!$Y$38:$Y$58,-1)+1))-INDEX('KT THAN'!$W$38:$W$58,MATCH(R306,'KT THAN'!$Y$38:$Y$58,-1)))*(R306-INDEX('KT THAN'!$Y$38:$Y$58,MATCH(R306,'KT THAN'!$Y$38:$Y$58,-1)))/(INDEX('KT THAN'!$Y$38:$Y$58,MIN(21,MATCH(R306,'KT THAN'!$Y$38:$Y$58,-1)+1))-INDEX('KT THAN'!$Y$38:$Y$58,MATCH(R306,'KT THAN'!$Y$38:$Y$58,-1)))),MIN(0.8*0.75*'KT THAN'!$C$62,'KT THAN'!$D$68/R306)))))</f>
        <v/>
      </c>
      <c r="O306" s="38" t="str">
        <f>IF($A306="","",IF(H306&lt;0,ABS(H306)/MAX('KT THAN'!$C$69,0.001)+'KT THAN'!$C$32*ABS(J306)/MAX('KT THAN'!$C$68,0.001)+'KT THAN'!$D$32*ABS(I306)/MAX('KT THAN'!$D$68,0.001),IF(OR(M306&lt;=0,N306&lt;=0),999,IF(H306&gt;=0.1*0.75*fc_*Agth*1000,H306/MAX(0.001,1/(1/M306+1/N306-1/(0.75*'KT THAN'!$C$62))),'KT THAN'!$C$32*ABS(J306)/MAX('KT THAN'!$C$68,0.001)+'KT THAN'!$D$32*ABS(I306)/MAX('KT THAN'!$D$68,0.001)))))</f>
        <v/>
      </c>
      <c r="P306" s="37" t="str">
        <f t="shared" si="52"/>
        <v/>
      </c>
      <c r="Q306" s="38" t="str">
        <f>IF($A306="","",MAX(0.001,'KT THAN'!$C$32*ABS(J306)/MAX(1,H306)))</f>
        <v/>
      </c>
      <c r="R306" s="38" t="str">
        <f>IF($A306="","",MAX(0.001,'KT THAN'!$D$32*ABS(I306)/MAX(1,H306)))</f>
        <v/>
      </c>
      <c r="S306" t="str">
        <f t="shared" si="46"/>
        <v/>
      </c>
    </row>
    <row r="307" spans="1:19" hidden="1" outlineLevel="1" x14ac:dyDescent="0.3">
      <c r="A307" s="37" t="str">
        <f>IF('TO HOP NLAN'!$A173="","",'TO HOP NLAN'!$A173)</f>
        <v/>
      </c>
      <c r="B307" s="38" t="str">
        <f>IF($A307="","",'TO HOP NLAN'!$D173)</f>
        <v/>
      </c>
      <c r="C307" s="38" t="str">
        <f>IF($A307="","",'TO HOP NLAN'!$E173)</f>
        <v/>
      </c>
      <c r="D307" s="38" t="str">
        <f>IF($A307="","",'TO HOP NLAN'!$F173)</f>
        <v/>
      </c>
      <c r="E307" s="38" t="str">
        <f>IF($A307="","",'TO HOP NLAN'!$B173)</f>
        <v/>
      </c>
      <c r="F307" s="38" t="str">
        <f>IF($A307="","",'TO HOP NLAN'!$C173)</f>
        <v/>
      </c>
      <c r="G307" s="38" t="str">
        <f t="shared" si="47"/>
        <v/>
      </c>
      <c r="H307" s="38" t="str">
        <f t="shared" si="45"/>
        <v/>
      </c>
      <c r="I307" s="38" t="str">
        <f t="shared" si="48"/>
        <v/>
      </c>
      <c r="J307" s="38" t="str">
        <f t="shared" si="49"/>
        <v/>
      </c>
      <c r="K307" s="38" t="str">
        <f t="shared" si="50"/>
        <v/>
      </c>
      <c r="L307" s="38" t="str">
        <f t="shared" si="51"/>
        <v/>
      </c>
      <c r="M307" s="38" t="str">
        <f>IF($A307="","",IF(H307=0,"",IF(Q307&lt;=0.000000001,MIN(0.8*0.75*'KT THAN'!$C$62,MAX('KT THAN'!$J$38:$J$58)),IFERROR(MIN(0.8*0.75*'KT THAN'!$C$62,INDEX('KT THAN'!$J$38:$J$58,MATCH(Q307,'KT THAN'!$L$38:$L$58,-1))+(INDEX('KT THAN'!$J$38:$J$58,MIN(21,MATCH(Q307,'KT THAN'!$L$38:$L$58,-1)+1))-INDEX('KT THAN'!$J$38:$J$58,MATCH(Q307,'KT THAN'!$L$38:$L$58,-1)))*(Q307-INDEX('KT THAN'!$L$38:$L$58,MATCH(Q307,'KT THAN'!$L$38:$L$58,-1)))/(INDEX('KT THAN'!$L$38:$L$58,MIN(21,MATCH(Q307,'KT THAN'!$L$38:$L$58,-1)+1))-INDEX('KT THAN'!$L$38:$L$58,MATCH(Q307,'KT THAN'!$L$38:$L$58,-1)))),MIN(0.8*0.75*'KT THAN'!$C$62,'KT THAN'!$C$68/Q307)))))</f>
        <v/>
      </c>
      <c r="N307" s="38" t="str">
        <f>IF($A307="","",IF(H307=0,"",IF(R307&lt;=0.000000001,MIN(0.8*0.75*'KT THAN'!$C$62,MAX('KT THAN'!$W$38:$W$58)),IFERROR(MIN(0.8*0.75*'KT THAN'!$C$62,INDEX('KT THAN'!$W$38:$W$58,MATCH(R307,'KT THAN'!$Y$38:$Y$58,-1))+(INDEX('KT THAN'!$W$38:$W$58,MIN(21,MATCH(R307,'KT THAN'!$Y$38:$Y$58,-1)+1))-INDEX('KT THAN'!$W$38:$W$58,MATCH(R307,'KT THAN'!$Y$38:$Y$58,-1)))*(R307-INDEX('KT THAN'!$Y$38:$Y$58,MATCH(R307,'KT THAN'!$Y$38:$Y$58,-1)))/(INDEX('KT THAN'!$Y$38:$Y$58,MIN(21,MATCH(R307,'KT THAN'!$Y$38:$Y$58,-1)+1))-INDEX('KT THAN'!$Y$38:$Y$58,MATCH(R307,'KT THAN'!$Y$38:$Y$58,-1)))),MIN(0.8*0.75*'KT THAN'!$C$62,'KT THAN'!$D$68/R307)))))</f>
        <v/>
      </c>
      <c r="O307" s="38" t="str">
        <f>IF($A307="","",IF(H307&lt;0,ABS(H307)/MAX('KT THAN'!$C$69,0.001)+'KT THAN'!$C$32*ABS(J307)/MAX('KT THAN'!$C$68,0.001)+'KT THAN'!$D$32*ABS(I307)/MAX('KT THAN'!$D$68,0.001),IF(OR(M307&lt;=0,N307&lt;=0),999,IF(H307&gt;=0.1*0.75*fc_*Agth*1000,H307/MAX(0.001,1/(1/M307+1/N307-1/(0.75*'KT THAN'!$C$62))),'KT THAN'!$C$32*ABS(J307)/MAX('KT THAN'!$C$68,0.001)+'KT THAN'!$D$32*ABS(I307)/MAX('KT THAN'!$D$68,0.001)))))</f>
        <v/>
      </c>
      <c r="P307" s="37" t="str">
        <f t="shared" si="52"/>
        <v/>
      </c>
      <c r="Q307" s="38" t="str">
        <f>IF($A307="","",MAX(0.001,'KT THAN'!$C$32*ABS(J307)/MAX(1,H307)))</f>
        <v/>
      </c>
      <c r="R307" s="38" t="str">
        <f>IF($A307="","",MAX(0.001,'KT THAN'!$D$32*ABS(I307)/MAX(1,H307)))</f>
        <v/>
      </c>
      <c r="S307" t="str">
        <f t="shared" si="46"/>
        <v/>
      </c>
    </row>
    <row r="308" spans="1:19" hidden="1" outlineLevel="1" x14ac:dyDescent="0.3">
      <c r="A308" s="37" t="str">
        <f>IF('TO HOP NLAN'!$A174="","",'TO HOP NLAN'!$A174)</f>
        <v/>
      </c>
      <c r="B308" s="38" t="str">
        <f>IF($A308="","",'TO HOP NLAN'!$D174)</f>
        <v/>
      </c>
      <c r="C308" s="38" t="str">
        <f>IF($A308="","",'TO HOP NLAN'!$E174)</f>
        <v/>
      </c>
      <c r="D308" s="38" t="str">
        <f>IF($A308="","",'TO HOP NLAN'!$F174)</f>
        <v/>
      </c>
      <c r="E308" s="38" t="str">
        <f>IF($A308="","",'TO HOP NLAN'!$B174)</f>
        <v/>
      </c>
      <c r="F308" s="38" t="str">
        <f>IF($A308="","",'TO HOP NLAN'!$C174)</f>
        <v/>
      </c>
      <c r="G308" s="38" t="str">
        <f t="shared" si="47"/>
        <v/>
      </c>
      <c r="H308" s="38" t="str">
        <f t="shared" si="45"/>
        <v/>
      </c>
      <c r="I308" s="38" t="str">
        <f t="shared" si="48"/>
        <v/>
      </c>
      <c r="J308" s="38" t="str">
        <f t="shared" si="49"/>
        <v/>
      </c>
      <c r="K308" s="38" t="str">
        <f t="shared" si="50"/>
        <v/>
      </c>
      <c r="L308" s="38" t="str">
        <f t="shared" si="51"/>
        <v/>
      </c>
      <c r="M308" s="38" t="str">
        <f>IF($A308="","",IF(H308=0,"",IF(Q308&lt;=0.000000001,MIN(0.8*0.75*'KT THAN'!$C$62,MAX('KT THAN'!$J$38:$J$58)),IFERROR(MIN(0.8*0.75*'KT THAN'!$C$62,INDEX('KT THAN'!$J$38:$J$58,MATCH(Q308,'KT THAN'!$L$38:$L$58,-1))+(INDEX('KT THAN'!$J$38:$J$58,MIN(21,MATCH(Q308,'KT THAN'!$L$38:$L$58,-1)+1))-INDEX('KT THAN'!$J$38:$J$58,MATCH(Q308,'KT THAN'!$L$38:$L$58,-1)))*(Q308-INDEX('KT THAN'!$L$38:$L$58,MATCH(Q308,'KT THAN'!$L$38:$L$58,-1)))/(INDEX('KT THAN'!$L$38:$L$58,MIN(21,MATCH(Q308,'KT THAN'!$L$38:$L$58,-1)+1))-INDEX('KT THAN'!$L$38:$L$58,MATCH(Q308,'KT THAN'!$L$38:$L$58,-1)))),MIN(0.8*0.75*'KT THAN'!$C$62,'KT THAN'!$C$68/Q308)))))</f>
        <v/>
      </c>
      <c r="N308" s="38" t="str">
        <f>IF($A308="","",IF(H308=0,"",IF(R308&lt;=0.000000001,MIN(0.8*0.75*'KT THAN'!$C$62,MAX('KT THAN'!$W$38:$W$58)),IFERROR(MIN(0.8*0.75*'KT THAN'!$C$62,INDEX('KT THAN'!$W$38:$W$58,MATCH(R308,'KT THAN'!$Y$38:$Y$58,-1))+(INDEX('KT THAN'!$W$38:$W$58,MIN(21,MATCH(R308,'KT THAN'!$Y$38:$Y$58,-1)+1))-INDEX('KT THAN'!$W$38:$W$58,MATCH(R308,'KT THAN'!$Y$38:$Y$58,-1)))*(R308-INDEX('KT THAN'!$Y$38:$Y$58,MATCH(R308,'KT THAN'!$Y$38:$Y$58,-1)))/(INDEX('KT THAN'!$Y$38:$Y$58,MIN(21,MATCH(R308,'KT THAN'!$Y$38:$Y$58,-1)+1))-INDEX('KT THAN'!$Y$38:$Y$58,MATCH(R308,'KT THAN'!$Y$38:$Y$58,-1)))),MIN(0.8*0.75*'KT THAN'!$C$62,'KT THAN'!$D$68/R308)))))</f>
        <v/>
      </c>
      <c r="O308" s="38" t="str">
        <f>IF($A308="","",IF(H308&lt;0,ABS(H308)/MAX('KT THAN'!$C$69,0.001)+'KT THAN'!$C$32*ABS(J308)/MAX('KT THAN'!$C$68,0.001)+'KT THAN'!$D$32*ABS(I308)/MAX('KT THAN'!$D$68,0.001),IF(OR(M308&lt;=0,N308&lt;=0),999,IF(H308&gt;=0.1*0.75*fc_*Agth*1000,H308/MAX(0.001,1/(1/M308+1/N308-1/(0.75*'KT THAN'!$C$62))),'KT THAN'!$C$32*ABS(J308)/MAX('KT THAN'!$C$68,0.001)+'KT THAN'!$D$32*ABS(I308)/MAX('KT THAN'!$D$68,0.001)))))</f>
        <v/>
      </c>
      <c r="P308" s="37" t="str">
        <f t="shared" si="52"/>
        <v/>
      </c>
      <c r="Q308" s="38" t="str">
        <f>IF($A308="","",MAX(0.001,'KT THAN'!$C$32*ABS(J308)/MAX(1,H308)))</f>
        <v/>
      </c>
      <c r="R308" s="38" t="str">
        <f>IF($A308="","",MAX(0.001,'KT THAN'!$D$32*ABS(I308)/MAX(1,H308)))</f>
        <v/>
      </c>
      <c r="S308" t="str">
        <f t="shared" si="46"/>
        <v/>
      </c>
    </row>
    <row r="309" spans="1:19" hidden="1" outlineLevel="1" x14ac:dyDescent="0.3">
      <c r="A309" s="37" t="str">
        <f>IF('TO HOP NLAN'!$A175="","",'TO HOP NLAN'!$A175)</f>
        <v/>
      </c>
      <c r="B309" s="38" t="str">
        <f>IF($A309="","",'TO HOP NLAN'!$D175)</f>
        <v/>
      </c>
      <c r="C309" s="38" t="str">
        <f>IF($A309="","",'TO HOP NLAN'!$E175)</f>
        <v/>
      </c>
      <c r="D309" s="38" t="str">
        <f>IF($A309="","",'TO HOP NLAN'!$F175)</f>
        <v/>
      </c>
      <c r="E309" s="38" t="str">
        <f>IF($A309="","",'TO HOP NLAN'!$B175)</f>
        <v/>
      </c>
      <c r="F309" s="38" t="str">
        <f>IF($A309="","",'TO HOP NLAN'!$C175)</f>
        <v/>
      </c>
      <c r="G309" s="38" t="str">
        <f t="shared" si="47"/>
        <v/>
      </c>
      <c r="H309" s="38" t="str">
        <f t="shared" si="45"/>
        <v/>
      </c>
      <c r="I309" s="38" t="str">
        <f t="shared" si="48"/>
        <v/>
      </c>
      <c r="J309" s="38" t="str">
        <f t="shared" si="49"/>
        <v/>
      </c>
      <c r="K309" s="38" t="str">
        <f t="shared" si="50"/>
        <v/>
      </c>
      <c r="L309" s="38" t="str">
        <f t="shared" si="51"/>
        <v/>
      </c>
      <c r="M309" s="38" t="str">
        <f>IF($A309="","",IF(H309=0,"",IF(Q309&lt;=0.000000001,MIN(0.8*0.75*'KT THAN'!$C$62,MAX('KT THAN'!$J$38:$J$58)),IFERROR(MIN(0.8*0.75*'KT THAN'!$C$62,INDEX('KT THAN'!$J$38:$J$58,MATCH(Q309,'KT THAN'!$L$38:$L$58,-1))+(INDEX('KT THAN'!$J$38:$J$58,MIN(21,MATCH(Q309,'KT THAN'!$L$38:$L$58,-1)+1))-INDEX('KT THAN'!$J$38:$J$58,MATCH(Q309,'KT THAN'!$L$38:$L$58,-1)))*(Q309-INDEX('KT THAN'!$L$38:$L$58,MATCH(Q309,'KT THAN'!$L$38:$L$58,-1)))/(INDEX('KT THAN'!$L$38:$L$58,MIN(21,MATCH(Q309,'KT THAN'!$L$38:$L$58,-1)+1))-INDEX('KT THAN'!$L$38:$L$58,MATCH(Q309,'KT THAN'!$L$38:$L$58,-1)))),MIN(0.8*0.75*'KT THAN'!$C$62,'KT THAN'!$C$68/Q309)))))</f>
        <v/>
      </c>
      <c r="N309" s="38" t="str">
        <f>IF($A309="","",IF(H309=0,"",IF(R309&lt;=0.000000001,MIN(0.8*0.75*'KT THAN'!$C$62,MAX('KT THAN'!$W$38:$W$58)),IFERROR(MIN(0.8*0.75*'KT THAN'!$C$62,INDEX('KT THAN'!$W$38:$W$58,MATCH(R309,'KT THAN'!$Y$38:$Y$58,-1))+(INDEX('KT THAN'!$W$38:$W$58,MIN(21,MATCH(R309,'KT THAN'!$Y$38:$Y$58,-1)+1))-INDEX('KT THAN'!$W$38:$W$58,MATCH(R309,'KT THAN'!$Y$38:$Y$58,-1)))*(R309-INDEX('KT THAN'!$Y$38:$Y$58,MATCH(R309,'KT THAN'!$Y$38:$Y$58,-1)))/(INDEX('KT THAN'!$Y$38:$Y$58,MIN(21,MATCH(R309,'KT THAN'!$Y$38:$Y$58,-1)+1))-INDEX('KT THAN'!$Y$38:$Y$58,MATCH(R309,'KT THAN'!$Y$38:$Y$58,-1)))),MIN(0.8*0.75*'KT THAN'!$C$62,'KT THAN'!$D$68/R309)))))</f>
        <v/>
      </c>
      <c r="O309" s="38" t="str">
        <f>IF($A309="","",IF(H309&lt;0,ABS(H309)/MAX('KT THAN'!$C$69,0.001)+'KT THAN'!$C$32*ABS(J309)/MAX('KT THAN'!$C$68,0.001)+'KT THAN'!$D$32*ABS(I309)/MAX('KT THAN'!$D$68,0.001),IF(OR(M309&lt;=0,N309&lt;=0),999,IF(H309&gt;=0.1*0.75*fc_*Agth*1000,H309/MAX(0.001,1/(1/M309+1/N309-1/(0.75*'KT THAN'!$C$62))),'KT THAN'!$C$32*ABS(J309)/MAX('KT THAN'!$C$68,0.001)+'KT THAN'!$D$32*ABS(I309)/MAX('KT THAN'!$D$68,0.001)))))</f>
        <v/>
      </c>
      <c r="P309" s="37" t="str">
        <f t="shared" si="52"/>
        <v/>
      </c>
      <c r="Q309" s="38" t="str">
        <f>IF($A309="","",MAX(0.001,'KT THAN'!$C$32*ABS(J309)/MAX(1,H309)))</f>
        <v/>
      </c>
      <c r="R309" s="38" t="str">
        <f>IF($A309="","",MAX(0.001,'KT THAN'!$D$32*ABS(I309)/MAX(1,H309)))</f>
        <v/>
      </c>
      <c r="S309" t="str">
        <f t="shared" si="46"/>
        <v/>
      </c>
    </row>
    <row r="310" spans="1:19" hidden="1" outlineLevel="1" x14ac:dyDescent="0.3">
      <c r="A310" s="37" t="str">
        <f>IF('TO HOP NLAN'!$A176="","",'TO HOP NLAN'!$A176)</f>
        <v/>
      </c>
      <c r="B310" s="38" t="str">
        <f>IF($A310="","",'TO HOP NLAN'!$D176)</f>
        <v/>
      </c>
      <c r="C310" s="38" t="str">
        <f>IF($A310="","",'TO HOP NLAN'!$E176)</f>
        <v/>
      </c>
      <c r="D310" s="38" t="str">
        <f>IF($A310="","",'TO HOP NLAN'!$F176)</f>
        <v/>
      </c>
      <c r="E310" s="38" t="str">
        <f>IF($A310="","",'TO HOP NLAN'!$B176)</f>
        <v/>
      </c>
      <c r="F310" s="38" t="str">
        <f>IF($A310="","",'TO HOP NLAN'!$C176)</f>
        <v/>
      </c>
      <c r="G310" s="38" t="str">
        <f t="shared" si="47"/>
        <v/>
      </c>
      <c r="H310" s="38" t="str">
        <f t="shared" si="45"/>
        <v/>
      </c>
      <c r="I310" s="38" t="str">
        <f t="shared" si="48"/>
        <v/>
      </c>
      <c r="J310" s="38" t="str">
        <f t="shared" si="49"/>
        <v/>
      </c>
      <c r="K310" s="38" t="str">
        <f t="shared" si="50"/>
        <v/>
      </c>
      <c r="L310" s="38" t="str">
        <f t="shared" si="51"/>
        <v/>
      </c>
      <c r="M310" s="38" t="str">
        <f>IF($A310="","",IF(H310=0,"",IF(Q310&lt;=0.000000001,MIN(0.8*0.75*'KT THAN'!$C$62,MAX('KT THAN'!$J$38:$J$58)),IFERROR(MIN(0.8*0.75*'KT THAN'!$C$62,INDEX('KT THAN'!$J$38:$J$58,MATCH(Q310,'KT THAN'!$L$38:$L$58,-1))+(INDEX('KT THAN'!$J$38:$J$58,MIN(21,MATCH(Q310,'KT THAN'!$L$38:$L$58,-1)+1))-INDEX('KT THAN'!$J$38:$J$58,MATCH(Q310,'KT THAN'!$L$38:$L$58,-1)))*(Q310-INDEX('KT THAN'!$L$38:$L$58,MATCH(Q310,'KT THAN'!$L$38:$L$58,-1)))/(INDEX('KT THAN'!$L$38:$L$58,MIN(21,MATCH(Q310,'KT THAN'!$L$38:$L$58,-1)+1))-INDEX('KT THAN'!$L$38:$L$58,MATCH(Q310,'KT THAN'!$L$38:$L$58,-1)))),MIN(0.8*0.75*'KT THAN'!$C$62,'KT THAN'!$C$68/Q310)))))</f>
        <v/>
      </c>
      <c r="N310" s="38" t="str">
        <f>IF($A310="","",IF(H310=0,"",IF(R310&lt;=0.000000001,MIN(0.8*0.75*'KT THAN'!$C$62,MAX('KT THAN'!$W$38:$W$58)),IFERROR(MIN(0.8*0.75*'KT THAN'!$C$62,INDEX('KT THAN'!$W$38:$W$58,MATCH(R310,'KT THAN'!$Y$38:$Y$58,-1))+(INDEX('KT THAN'!$W$38:$W$58,MIN(21,MATCH(R310,'KT THAN'!$Y$38:$Y$58,-1)+1))-INDEX('KT THAN'!$W$38:$W$58,MATCH(R310,'KT THAN'!$Y$38:$Y$58,-1)))*(R310-INDEX('KT THAN'!$Y$38:$Y$58,MATCH(R310,'KT THAN'!$Y$38:$Y$58,-1)))/(INDEX('KT THAN'!$Y$38:$Y$58,MIN(21,MATCH(R310,'KT THAN'!$Y$38:$Y$58,-1)+1))-INDEX('KT THAN'!$Y$38:$Y$58,MATCH(R310,'KT THAN'!$Y$38:$Y$58,-1)))),MIN(0.8*0.75*'KT THAN'!$C$62,'KT THAN'!$D$68/R310)))))</f>
        <v/>
      </c>
      <c r="O310" s="38" t="str">
        <f>IF($A310="","",IF(H310&lt;0,ABS(H310)/MAX('KT THAN'!$C$69,0.001)+'KT THAN'!$C$32*ABS(J310)/MAX('KT THAN'!$C$68,0.001)+'KT THAN'!$D$32*ABS(I310)/MAX('KT THAN'!$D$68,0.001),IF(OR(M310&lt;=0,N310&lt;=0),999,IF(H310&gt;=0.1*0.75*fc_*Agth*1000,H310/MAX(0.001,1/(1/M310+1/N310-1/(0.75*'KT THAN'!$C$62))),'KT THAN'!$C$32*ABS(J310)/MAX('KT THAN'!$C$68,0.001)+'KT THAN'!$D$32*ABS(I310)/MAX('KT THAN'!$D$68,0.001)))))</f>
        <v/>
      </c>
      <c r="P310" s="37" t="str">
        <f t="shared" si="52"/>
        <v/>
      </c>
      <c r="Q310" s="38" t="str">
        <f>IF($A310="","",MAX(0.001,'KT THAN'!$C$32*ABS(J310)/MAX(1,H310)))</f>
        <v/>
      </c>
      <c r="R310" s="38" t="str">
        <f>IF($A310="","",MAX(0.001,'KT THAN'!$D$32*ABS(I310)/MAX(1,H310)))</f>
        <v/>
      </c>
      <c r="S310" t="str">
        <f t="shared" si="46"/>
        <v/>
      </c>
    </row>
    <row r="311" spans="1:19" hidden="1" outlineLevel="1" x14ac:dyDescent="0.3">
      <c r="A311" s="37" t="str">
        <f>IF('TO HOP NLAN'!$A177="","",'TO HOP NLAN'!$A177)</f>
        <v/>
      </c>
      <c r="B311" s="38" t="str">
        <f>IF($A311="","",'TO HOP NLAN'!$D177)</f>
        <v/>
      </c>
      <c r="C311" s="38" t="str">
        <f>IF($A311="","",'TO HOP NLAN'!$E177)</f>
        <v/>
      </c>
      <c r="D311" s="38" t="str">
        <f>IF($A311="","",'TO HOP NLAN'!$F177)</f>
        <v/>
      </c>
      <c r="E311" s="38" t="str">
        <f>IF($A311="","",'TO HOP NLAN'!$B177)</f>
        <v/>
      </c>
      <c r="F311" s="38" t="str">
        <f>IF($A311="","",'TO HOP NLAN'!$C177)</f>
        <v/>
      </c>
      <c r="G311" s="38" t="str">
        <f t="shared" si="47"/>
        <v/>
      </c>
      <c r="H311" s="38" t="str">
        <f t="shared" si="45"/>
        <v/>
      </c>
      <c r="I311" s="38" t="str">
        <f t="shared" si="48"/>
        <v/>
      </c>
      <c r="J311" s="38" t="str">
        <f t="shared" si="49"/>
        <v/>
      </c>
      <c r="K311" s="38" t="str">
        <f t="shared" si="50"/>
        <v/>
      </c>
      <c r="L311" s="38" t="str">
        <f t="shared" si="51"/>
        <v/>
      </c>
      <c r="M311" s="38" t="str">
        <f>IF($A311="","",IF(H311=0,"",IF(Q311&lt;=0.000000001,MIN(0.8*0.75*'KT THAN'!$C$62,MAX('KT THAN'!$J$38:$J$58)),IFERROR(MIN(0.8*0.75*'KT THAN'!$C$62,INDEX('KT THAN'!$J$38:$J$58,MATCH(Q311,'KT THAN'!$L$38:$L$58,-1))+(INDEX('KT THAN'!$J$38:$J$58,MIN(21,MATCH(Q311,'KT THAN'!$L$38:$L$58,-1)+1))-INDEX('KT THAN'!$J$38:$J$58,MATCH(Q311,'KT THAN'!$L$38:$L$58,-1)))*(Q311-INDEX('KT THAN'!$L$38:$L$58,MATCH(Q311,'KT THAN'!$L$38:$L$58,-1)))/(INDEX('KT THAN'!$L$38:$L$58,MIN(21,MATCH(Q311,'KT THAN'!$L$38:$L$58,-1)+1))-INDEX('KT THAN'!$L$38:$L$58,MATCH(Q311,'KT THAN'!$L$38:$L$58,-1)))),MIN(0.8*0.75*'KT THAN'!$C$62,'KT THAN'!$C$68/Q311)))))</f>
        <v/>
      </c>
      <c r="N311" s="38" t="str">
        <f>IF($A311="","",IF(H311=0,"",IF(R311&lt;=0.000000001,MIN(0.8*0.75*'KT THAN'!$C$62,MAX('KT THAN'!$W$38:$W$58)),IFERROR(MIN(0.8*0.75*'KT THAN'!$C$62,INDEX('KT THAN'!$W$38:$W$58,MATCH(R311,'KT THAN'!$Y$38:$Y$58,-1))+(INDEX('KT THAN'!$W$38:$W$58,MIN(21,MATCH(R311,'KT THAN'!$Y$38:$Y$58,-1)+1))-INDEX('KT THAN'!$W$38:$W$58,MATCH(R311,'KT THAN'!$Y$38:$Y$58,-1)))*(R311-INDEX('KT THAN'!$Y$38:$Y$58,MATCH(R311,'KT THAN'!$Y$38:$Y$58,-1)))/(INDEX('KT THAN'!$Y$38:$Y$58,MIN(21,MATCH(R311,'KT THAN'!$Y$38:$Y$58,-1)+1))-INDEX('KT THAN'!$Y$38:$Y$58,MATCH(R311,'KT THAN'!$Y$38:$Y$58,-1)))),MIN(0.8*0.75*'KT THAN'!$C$62,'KT THAN'!$D$68/R311)))))</f>
        <v/>
      </c>
      <c r="O311" s="38" t="str">
        <f>IF($A311="","",IF(H311&lt;0,ABS(H311)/MAX('KT THAN'!$C$69,0.001)+'KT THAN'!$C$32*ABS(J311)/MAX('KT THAN'!$C$68,0.001)+'KT THAN'!$D$32*ABS(I311)/MAX('KT THAN'!$D$68,0.001),IF(OR(M311&lt;=0,N311&lt;=0),999,IF(H311&gt;=0.1*0.75*fc_*Agth*1000,H311/MAX(0.001,1/(1/M311+1/N311-1/(0.75*'KT THAN'!$C$62))),'KT THAN'!$C$32*ABS(J311)/MAX('KT THAN'!$C$68,0.001)+'KT THAN'!$D$32*ABS(I311)/MAX('KT THAN'!$D$68,0.001)))))</f>
        <v/>
      </c>
      <c r="P311" s="37" t="str">
        <f t="shared" si="52"/>
        <v/>
      </c>
      <c r="Q311" s="38" t="str">
        <f>IF($A311="","",MAX(0.001,'KT THAN'!$C$32*ABS(J311)/MAX(1,H311)))</f>
        <v/>
      </c>
      <c r="R311" s="38" t="str">
        <f>IF($A311="","",MAX(0.001,'KT THAN'!$D$32*ABS(I311)/MAX(1,H311)))</f>
        <v/>
      </c>
      <c r="S311" t="str">
        <f t="shared" si="46"/>
        <v/>
      </c>
    </row>
    <row r="312" spans="1:19" hidden="1" outlineLevel="1" x14ac:dyDescent="0.3">
      <c r="A312" s="37" t="str">
        <f>IF('TO HOP NLAN'!$A178="","",'TO HOP NLAN'!$A178)</f>
        <v/>
      </c>
      <c r="B312" s="38" t="str">
        <f>IF($A312="","",'TO HOP NLAN'!$D178)</f>
        <v/>
      </c>
      <c r="C312" s="38" t="str">
        <f>IF($A312="","",'TO HOP NLAN'!$E178)</f>
        <v/>
      </c>
      <c r="D312" s="38" t="str">
        <f>IF($A312="","",'TO HOP NLAN'!$F178)</f>
        <v/>
      </c>
      <c r="E312" s="38" t="str">
        <f>IF($A312="","",'TO HOP NLAN'!$B178)</f>
        <v/>
      </c>
      <c r="F312" s="38" t="str">
        <f>IF($A312="","",'TO HOP NLAN'!$C178)</f>
        <v/>
      </c>
      <c r="G312" s="38" t="str">
        <f t="shared" si="47"/>
        <v/>
      </c>
      <c r="H312" s="38" t="str">
        <f t="shared" si="45"/>
        <v/>
      </c>
      <c r="I312" s="38" t="str">
        <f t="shared" si="48"/>
        <v/>
      </c>
      <c r="J312" s="38" t="str">
        <f t="shared" si="49"/>
        <v/>
      </c>
      <c r="K312" s="38" t="str">
        <f t="shared" si="50"/>
        <v/>
      </c>
      <c r="L312" s="38" t="str">
        <f t="shared" si="51"/>
        <v/>
      </c>
      <c r="M312" s="38" t="str">
        <f>IF($A312="","",IF(H312=0,"",IF(Q312&lt;=0.000000001,MIN(0.8*0.75*'KT THAN'!$C$62,MAX('KT THAN'!$J$38:$J$58)),IFERROR(MIN(0.8*0.75*'KT THAN'!$C$62,INDEX('KT THAN'!$J$38:$J$58,MATCH(Q312,'KT THAN'!$L$38:$L$58,-1))+(INDEX('KT THAN'!$J$38:$J$58,MIN(21,MATCH(Q312,'KT THAN'!$L$38:$L$58,-1)+1))-INDEX('KT THAN'!$J$38:$J$58,MATCH(Q312,'KT THAN'!$L$38:$L$58,-1)))*(Q312-INDEX('KT THAN'!$L$38:$L$58,MATCH(Q312,'KT THAN'!$L$38:$L$58,-1)))/(INDEX('KT THAN'!$L$38:$L$58,MIN(21,MATCH(Q312,'KT THAN'!$L$38:$L$58,-1)+1))-INDEX('KT THAN'!$L$38:$L$58,MATCH(Q312,'KT THAN'!$L$38:$L$58,-1)))),MIN(0.8*0.75*'KT THAN'!$C$62,'KT THAN'!$C$68/Q312)))))</f>
        <v/>
      </c>
      <c r="N312" s="38" t="str">
        <f>IF($A312="","",IF(H312=0,"",IF(R312&lt;=0.000000001,MIN(0.8*0.75*'KT THAN'!$C$62,MAX('KT THAN'!$W$38:$W$58)),IFERROR(MIN(0.8*0.75*'KT THAN'!$C$62,INDEX('KT THAN'!$W$38:$W$58,MATCH(R312,'KT THAN'!$Y$38:$Y$58,-1))+(INDEX('KT THAN'!$W$38:$W$58,MIN(21,MATCH(R312,'KT THAN'!$Y$38:$Y$58,-1)+1))-INDEX('KT THAN'!$W$38:$W$58,MATCH(R312,'KT THAN'!$Y$38:$Y$58,-1)))*(R312-INDEX('KT THAN'!$Y$38:$Y$58,MATCH(R312,'KT THAN'!$Y$38:$Y$58,-1)))/(INDEX('KT THAN'!$Y$38:$Y$58,MIN(21,MATCH(R312,'KT THAN'!$Y$38:$Y$58,-1)+1))-INDEX('KT THAN'!$Y$38:$Y$58,MATCH(R312,'KT THAN'!$Y$38:$Y$58,-1)))),MIN(0.8*0.75*'KT THAN'!$C$62,'KT THAN'!$D$68/R312)))))</f>
        <v/>
      </c>
      <c r="O312" s="38" t="str">
        <f>IF($A312="","",IF(H312&lt;0,ABS(H312)/MAX('KT THAN'!$C$69,0.001)+'KT THAN'!$C$32*ABS(J312)/MAX('KT THAN'!$C$68,0.001)+'KT THAN'!$D$32*ABS(I312)/MAX('KT THAN'!$D$68,0.001),IF(OR(M312&lt;=0,N312&lt;=0),999,IF(H312&gt;=0.1*0.75*fc_*Agth*1000,H312/MAX(0.001,1/(1/M312+1/N312-1/(0.75*'KT THAN'!$C$62))),'KT THAN'!$C$32*ABS(J312)/MAX('KT THAN'!$C$68,0.001)+'KT THAN'!$D$32*ABS(I312)/MAX('KT THAN'!$D$68,0.001)))))</f>
        <v/>
      </c>
      <c r="P312" s="37" t="str">
        <f t="shared" si="52"/>
        <v/>
      </c>
      <c r="Q312" s="38" t="str">
        <f>IF($A312="","",MAX(0.001,'KT THAN'!$C$32*ABS(J312)/MAX(1,H312)))</f>
        <v/>
      </c>
      <c r="R312" s="38" t="str">
        <f>IF($A312="","",MAX(0.001,'KT THAN'!$D$32*ABS(I312)/MAX(1,H312)))</f>
        <v/>
      </c>
      <c r="S312" t="str">
        <f t="shared" si="46"/>
        <v/>
      </c>
    </row>
    <row r="313" spans="1:19" hidden="1" outlineLevel="1" x14ac:dyDescent="0.3">
      <c r="A313" s="37" t="str">
        <f>IF('TO HOP NLAN'!$A179="","",'TO HOP NLAN'!$A179)</f>
        <v/>
      </c>
      <c r="B313" s="38" t="str">
        <f>IF($A313="","",'TO HOP NLAN'!$D179)</f>
        <v/>
      </c>
      <c r="C313" s="38" t="str">
        <f>IF($A313="","",'TO HOP NLAN'!$E179)</f>
        <v/>
      </c>
      <c r="D313" s="38" t="str">
        <f>IF($A313="","",'TO HOP NLAN'!$F179)</f>
        <v/>
      </c>
      <c r="E313" s="38" t="str">
        <f>IF($A313="","",'TO HOP NLAN'!$B179)</f>
        <v/>
      </c>
      <c r="F313" s="38" t="str">
        <f>IF($A313="","",'TO HOP NLAN'!$C179)</f>
        <v/>
      </c>
      <c r="G313" s="38" t="str">
        <f t="shared" si="47"/>
        <v/>
      </c>
      <c r="H313" s="38" t="str">
        <f t="shared" si="45"/>
        <v/>
      </c>
      <c r="I313" s="38" t="str">
        <f t="shared" si="48"/>
        <v/>
      </c>
      <c r="J313" s="38" t="str">
        <f t="shared" si="49"/>
        <v/>
      </c>
      <c r="K313" s="38" t="str">
        <f t="shared" si="50"/>
        <v/>
      </c>
      <c r="L313" s="38" t="str">
        <f t="shared" si="51"/>
        <v/>
      </c>
      <c r="M313" s="38" t="str">
        <f>IF($A313="","",IF(H313=0,"",IF(Q313&lt;=0.000000001,MIN(0.8*0.75*'KT THAN'!$C$62,MAX('KT THAN'!$J$38:$J$58)),IFERROR(MIN(0.8*0.75*'KT THAN'!$C$62,INDEX('KT THAN'!$J$38:$J$58,MATCH(Q313,'KT THAN'!$L$38:$L$58,-1))+(INDEX('KT THAN'!$J$38:$J$58,MIN(21,MATCH(Q313,'KT THAN'!$L$38:$L$58,-1)+1))-INDEX('KT THAN'!$J$38:$J$58,MATCH(Q313,'KT THAN'!$L$38:$L$58,-1)))*(Q313-INDEX('KT THAN'!$L$38:$L$58,MATCH(Q313,'KT THAN'!$L$38:$L$58,-1)))/(INDEX('KT THAN'!$L$38:$L$58,MIN(21,MATCH(Q313,'KT THAN'!$L$38:$L$58,-1)+1))-INDEX('KT THAN'!$L$38:$L$58,MATCH(Q313,'KT THAN'!$L$38:$L$58,-1)))),MIN(0.8*0.75*'KT THAN'!$C$62,'KT THAN'!$C$68/Q313)))))</f>
        <v/>
      </c>
      <c r="N313" s="38" t="str">
        <f>IF($A313="","",IF(H313=0,"",IF(R313&lt;=0.000000001,MIN(0.8*0.75*'KT THAN'!$C$62,MAX('KT THAN'!$W$38:$W$58)),IFERROR(MIN(0.8*0.75*'KT THAN'!$C$62,INDEX('KT THAN'!$W$38:$W$58,MATCH(R313,'KT THAN'!$Y$38:$Y$58,-1))+(INDEX('KT THAN'!$W$38:$W$58,MIN(21,MATCH(R313,'KT THAN'!$Y$38:$Y$58,-1)+1))-INDEX('KT THAN'!$W$38:$W$58,MATCH(R313,'KT THAN'!$Y$38:$Y$58,-1)))*(R313-INDEX('KT THAN'!$Y$38:$Y$58,MATCH(R313,'KT THAN'!$Y$38:$Y$58,-1)))/(INDEX('KT THAN'!$Y$38:$Y$58,MIN(21,MATCH(R313,'KT THAN'!$Y$38:$Y$58,-1)+1))-INDEX('KT THAN'!$Y$38:$Y$58,MATCH(R313,'KT THAN'!$Y$38:$Y$58,-1)))),MIN(0.8*0.75*'KT THAN'!$C$62,'KT THAN'!$D$68/R313)))))</f>
        <v/>
      </c>
      <c r="O313" s="38" t="str">
        <f>IF($A313="","",IF(H313&lt;0,ABS(H313)/MAX('KT THAN'!$C$69,0.001)+'KT THAN'!$C$32*ABS(J313)/MAX('KT THAN'!$C$68,0.001)+'KT THAN'!$D$32*ABS(I313)/MAX('KT THAN'!$D$68,0.001),IF(OR(M313&lt;=0,N313&lt;=0),999,IF(H313&gt;=0.1*0.75*fc_*Agth*1000,H313/MAX(0.001,1/(1/M313+1/N313-1/(0.75*'KT THAN'!$C$62))),'KT THAN'!$C$32*ABS(J313)/MAX('KT THAN'!$C$68,0.001)+'KT THAN'!$D$32*ABS(I313)/MAX('KT THAN'!$D$68,0.001)))))</f>
        <v/>
      </c>
      <c r="P313" s="37" t="str">
        <f t="shared" si="52"/>
        <v/>
      </c>
      <c r="Q313" s="38" t="str">
        <f>IF($A313="","",MAX(0.001,'KT THAN'!$C$32*ABS(J313)/MAX(1,H313)))</f>
        <v/>
      </c>
      <c r="R313" s="38" t="str">
        <f>IF($A313="","",MAX(0.001,'KT THAN'!$D$32*ABS(I313)/MAX(1,H313)))</f>
        <v/>
      </c>
      <c r="S313" t="str">
        <f t="shared" si="46"/>
        <v/>
      </c>
    </row>
    <row r="314" spans="1:19" hidden="1" outlineLevel="1" x14ac:dyDescent="0.3">
      <c r="A314" s="37" t="str">
        <f>IF('TO HOP NLAN'!$A180="","",'TO HOP NLAN'!$A180)</f>
        <v/>
      </c>
      <c r="B314" s="38" t="str">
        <f>IF($A314="","",'TO HOP NLAN'!$D180)</f>
        <v/>
      </c>
      <c r="C314" s="38" t="str">
        <f>IF($A314="","",'TO HOP NLAN'!$E180)</f>
        <v/>
      </c>
      <c r="D314" s="38" t="str">
        <f>IF($A314="","",'TO HOP NLAN'!$F180)</f>
        <v/>
      </c>
      <c r="E314" s="38" t="str">
        <f>IF($A314="","",'TO HOP NLAN'!$B180)</f>
        <v/>
      </c>
      <c r="F314" s="38" t="str">
        <f>IF($A314="","",'TO HOP NLAN'!$C180)</f>
        <v/>
      </c>
      <c r="G314" s="38" t="str">
        <f t="shared" si="47"/>
        <v/>
      </c>
      <c r="H314" s="38" t="str">
        <f t="shared" si="45"/>
        <v/>
      </c>
      <c r="I314" s="38" t="str">
        <f t="shared" si="48"/>
        <v/>
      </c>
      <c r="J314" s="38" t="str">
        <f t="shared" si="49"/>
        <v/>
      </c>
      <c r="K314" s="38" t="str">
        <f t="shared" si="50"/>
        <v/>
      </c>
      <c r="L314" s="38" t="str">
        <f t="shared" si="51"/>
        <v/>
      </c>
      <c r="M314" s="38" t="str">
        <f>IF($A314="","",IF(H314=0,"",IF(Q314&lt;=0.000000001,MIN(0.8*0.75*'KT THAN'!$C$62,MAX('KT THAN'!$J$38:$J$58)),IFERROR(MIN(0.8*0.75*'KT THAN'!$C$62,INDEX('KT THAN'!$J$38:$J$58,MATCH(Q314,'KT THAN'!$L$38:$L$58,-1))+(INDEX('KT THAN'!$J$38:$J$58,MIN(21,MATCH(Q314,'KT THAN'!$L$38:$L$58,-1)+1))-INDEX('KT THAN'!$J$38:$J$58,MATCH(Q314,'KT THAN'!$L$38:$L$58,-1)))*(Q314-INDEX('KT THAN'!$L$38:$L$58,MATCH(Q314,'KT THAN'!$L$38:$L$58,-1)))/(INDEX('KT THAN'!$L$38:$L$58,MIN(21,MATCH(Q314,'KT THAN'!$L$38:$L$58,-1)+1))-INDEX('KT THAN'!$L$38:$L$58,MATCH(Q314,'KT THAN'!$L$38:$L$58,-1)))),MIN(0.8*0.75*'KT THAN'!$C$62,'KT THAN'!$C$68/Q314)))))</f>
        <v/>
      </c>
      <c r="N314" s="38" t="str">
        <f>IF($A314="","",IF(H314=0,"",IF(R314&lt;=0.000000001,MIN(0.8*0.75*'KT THAN'!$C$62,MAX('KT THAN'!$W$38:$W$58)),IFERROR(MIN(0.8*0.75*'KT THAN'!$C$62,INDEX('KT THAN'!$W$38:$W$58,MATCH(R314,'KT THAN'!$Y$38:$Y$58,-1))+(INDEX('KT THAN'!$W$38:$W$58,MIN(21,MATCH(R314,'KT THAN'!$Y$38:$Y$58,-1)+1))-INDEX('KT THAN'!$W$38:$W$58,MATCH(R314,'KT THAN'!$Y$38:$Y$58,-1)))*(R314-INDEX('KT THAN'!$Y$38:$Y$58,MATCH(R314,'KT THAN'!$Y$38:$Y$58,-1)))/(INDEX('KT THAN'!$Y$38:$Y$58,MIN(21,MATCH(R314,'KT THAN'!$Y$38:$Y$58,-1)+1))-INDEX('KT THAN'!$Y$38:$Y$58,MATCH(R314,'KT THAN'!$Y$38:$Y$58,-1)))),MIN(0.8*0.75*'KT THAN'!$C$62,'KT THAN'!$D$68/R314)))))</f>
        <v/>
      </c>
      <c r="O314" s="38" t="str">
        <f>IF($A314="","",IF(H314&lt;0,ABS(H314)/MAX('KT THAN'!$C$69,0.001)+'KT THAN'!$C$32*ABS(J314)/MAX('KT THAN'!$C$68,0.001)+'KT THAN'!$D$32*ABS(I314)/MAX('KT THAN'!$D$68,0.001),IF(OR(M314&lt;=0,N314&lt;=0),999,IF(H314&gt;=0.1*0.75*fc_*Agth*1000,H314/MAX(0.001,1/(1/M314+1/N314-1/(0.75*'KT THAN'!$C$62))),'KT THAN'!$C$32*ABS(J314)/MAX('KT THAN'!$C$68,0.001)+'KT THAN'!$D$32*ABS(I314)/MAX('KT THAN'!$D$68,0.001)))))</f>
        <v/>
      </c>
      <c r="P314" s="37" t="str">
        <f t="shared" si="52"/>
        <v/>
      </c>
      <c r="Q314" s="38" t="str">
        <f>IF($A314="","",MAX(0.001,'KT THAN'!$C$32*ABS(J314)/MAX(1,H314)))</f>
        <v/>
      </c>
      <c r="R314" s="38" t="str">
        <f>IF($A314="","",MAX(0.001,'KT THAN'!$D$32*ABS(I314)/MAX(1,H314)))</f>
        <v/>
      </c>
      <c r="S314" t="str">
        <f t="shared" si="46"/>
        <v/>
      </c>
    </row>
    <row r="315" spans="1:19" hidden="1" outlineLevel="1" x14ac:dyDescent="0.3">
      <c r="A315" s="37" t="str">
        <f>IF('TO HOP NLAN'!$A181="","",'TO HOP NLAN'!$A181)</f>
        <v/>
      </c>
      <c r="B315" s="38" t="str">
        <f>IF($A315="","",'TO HOP NLAN'!$D181)</f>
        <v/>
      </c>
      <c r="C315" s="38" t="str">
        <f>IF($A315="","",'TO HOP NLAN'!$E181)</f>
        <v/>
      </c>
      <c r="D315" s="38" t="str">
        <f>IF($A315="","",'TO HOP NLAN'!$F181)</f>
        <v/>
      </c>
      <c r="E315" s="38" t="str">
        <f>IF($A315="","",'TO HOP NLAN'!$B181)</f>
        <v/>
      </c>
      <c r="F315" s="38" t="str">
        <f>IF($A315="","",'TO HOP NLAN'!$C181)</f>
        <v/>
      </c>
      <c r="G315" s="38" t="str">
        <f t="shared" si="47"/>
        <v/>
      </c>
      <c r="H315" s="38" t="str">
        <f t="shared" si="45"/>
        <v/>
      </c>
      <c r="I315" s="38" t="str">
        <f t="shared" si="48"/>
        <v/>
      </c>
      <c r="J315" s="38" t="str">
        <f t="shared" si="49"/>
        <v/>
      </c>
      <c r="K315" s="38" t="str">
        <f t="shared" si="50"/>
        <v/>
      </c>
      <c r="L315" s="38" t="str">
        <f t="shared" si="51"/>
        <v/>
      </c>
      <c r="M315" s="38" t="str">
        <f>IF($A315="","",IF(H315=0,"",IF(Q315&lt;=0.000000001,MIN(0.8*0.75*'KT THAN'!$C$62,MAX('KT THAN'!$J$38:$J$58)),IFERROR(MIN(0.8*0.75*'KT THAN'!$C$62,INDEX('KT THAN'!$J$38:$J$58,MATCH(Q315,'KT THAN'!$L$38:$L$58,-1))+(INDEX('KT THAN'!$J$38:$J$58,MIN(21,MATCH(Q315,'KT THAN'!$L$38:$L$58,-1)+1))-INDEX('KT THAN'!$J$38:$J$58,MATCH(Q315,'KT THAN'!$L$38:$L$58,-1)))*(Q315-INDEX('KT THAN'!$L$38:$L$58,MATCH(Q315,'KT THAN'!$L$38:$L$58,-1)))/(INDEX('KT THAN'!$L$38:$L$58,MIN(21,MATCH(Q315,'KT THAN'!$L$38:$L$58,-1)+1))-INDEX('KT THAN'!$L$38:$L$58,MATCH(Q315,'KT THAN'!$L$38:$L$58,-1)))),MIN(0.8*0.75*'KT THAN'!$C$62,'KT THAN'!$C$68/Q315)))))</f>
        <v/>
      </c>
      <c r="N315" s="38" t="str">
        <f>IF($A315="","",IF(H315=0,"",IF(R315&lt;=0.000000001,MIN(0.8*0.75*'KT THAN'!$C$62,MAX('KT THAN'!$W$38:$W$58)),IFERROR(MIN(0.8*0.75*'KT THAN'!$C$62,INDEX('KT THAN'!$W$38:$W$58,MATCH(R315,'KT THAN'!$Y$38:$Y$58,-1))+(INDEX('KT THAN'!$W$38:$W$58,MIN(21,MATCH(R315,'KT THAN'!$Y$38:$Y$58,-1)+1))-INDEX('KT THAN'!$W$38:$W$58,MATCH(R315,'KT THAN'!$Y$38:$Y$58,-1)))*(R315-INDEX('KT THAN'!$Y$38:$Y$58,MATCH(R315,'KT THAN'!$Y$38:$Y$58,-1)))/(INDEX('KT THAN'!$Y$38:$Y$58,MIN(21,MATCH(R315,'KT THAN'!$Y$38:$Y$58,-1)+1))-INDEX('KT THAN'!$Y$38:$Y$58,MATCH(R315,'KT THAN'!$Y$38:$Y$58,-1)))),MIN(0.8*0.75*'KT THAN'!$C$62,'KT THAN'!$D$68/R315)))))</f>
        <v/>
      </c>
      <c r="O315" s="38" t="str">
        <f>IF($A315="","",IF(H315&lt;0,ABS(H315)/MAX('KT THAN'!$C$69,0.001)+'KT THAN'!$C$32*ABS(J315)/MAX('KT THAN'!$C$68,0.001)+'KT THAN'!$D$32*ABS(I315)/MAX('KT THAN'!$D$68,0.001),IF(OR(M315&lt;=0,N315&lt;=0),999,IF(H315&gt;=0.1*0.75*fc_*Agth*1000,H315/MAX(0.001,1/(1/M315+1/N315-1/(0.75*'KT THAN'!$C$62))),'KT THAN'!$C$32*ABS(J315)/MAX('KT THAN'!$C$68,0.001)+'KT THAN'!$D$32*ABS(I315)/MAX('KT THAN'!$D$68,0.001)))))</f>
        <v/>
      </c>
      <c r="P315" s="37" t="str">
        <f t="shared" si="52"/>
        <v/>
      </c>
      <c r="Q315" s="38" t="str">
        <f>IF($A315="","",MAX(0.001,'KT THAN'!$C$32*ABS(J315)/MAX(1,H315)))</f>
        <v/>
      </c>
      <c r="R315" s="38" t="str">
        <f>IF($A315="","",MAX(0.001,'KT THAN'!$D$32*ABS(I315)/MAX(1,H315)))</f>
        <v/>
      </c>
      <c r="S315" t="str">
        <f t="shared" si="46"/>
        <v/>
      </c>
    </row>
    <row r="316" spans="1:19" hidden="1" outlineLevel="1" x14ac:dyDescent="0.3">
      <c r="A316" s="37" t="str">
        <f>IF('TO HOP NLAN'!$A182="","",'TO HOP NLAN'!$A182)</f>
        <v/>
      </c>
      <c r="B316" s="38" t="str">
        <f>IF($A316="","",'TO HOP NLAN'!$D182)</f>
        <v/>
      </c>
      <c r="C316" s="38" t="str">
        <f>IF($A316="","",'TO HOP NLAN'!$E182)</f>
        <v/>
      </c>
      <c r="D316" s="38" t="str">
        <f>IF($A316="","",'TO HOP NLAN'!$F182)</f>
        <v/>
      </c>
      <c r="E316" s="38" t="str">
        <f>IF($A316="","",'TO HOP NLAN'!$B182)</f>
        <v/>
      </c>
      <c r="F316" s="38" t="str">
        <f>IF($A316="","",'TO HOP NLAN'!$C182)</f>
        <v/>
      </c>
      <c r="G316" s="38" t="str">
        <f t="shared" si="47"/>
        <v/>
      </c>
      <c r="H316" s="38" t="str">
        <f t="shared" si="45"/>
        <v/>
      </c>
      <c r="I316" s="38" t="str">
        <f t="shared" si="48"/>
        <v/>
      </c>
      <c r="J316" s="38" t="str">
        <f t="shared" si="49"/>
        <v/>
      </c>
      <c r="K316" s="38" t="str">
        <f t="shared" si="50"/>
        <v/>
      </c>
      <c r="L316" s="38" t="str">
        <f t="shared" si="51"/>
        <v/>
      </c>
      <c r="M316" s="38" t="str">
        <f>IF($A316="","",IF(H316=0,"",IF(Q316&lt;=0.000000001,MIN(0.8*0.75*'KT THAN'!$C$62,MAX('KT THAN'!$J$38:$J$58)),IFERROR(MIN(0.8*0.75*'KT THAN'!$C$62,INDEX('KT THAN'!$J$38:$J$58,MATCH(Q316,'KT THAN'!$L$38:$L$58,-1))+(INDEX('KT THAN'!$J$38:$J$58,MIN(21,MATCH(Q316,'KT THAN'!$L$38:$L$58,-1)+1))-INDEX('KT THAN'!$J$38:$J$58,MATCH(Q316,'KT THAN'!$L$38:$L$58,-1)))*(Q316-INDEX('KT THAN'!$L$38:$L$58,MATCH(Q316,'KT THAN'!$L$38:$L$58,-1)))/(INDEX('KT THAN'!$L$38:$L$58,MIN(21,MATCH(Q316,'KT THAN'!$L$38:$L$58,-1)+1))-INDEX('KT THAN'!$L$38:$L$58,MATCH(Q316,'KT THAN'!$L$38:$L$58,-1)))),MIN(0.8*0.75*'KT THAN'!$C$62,'KT THAN'!$C$68/Q316)))))</f>
        <v/>
      </c>
      <c r="N316" s="38" t="str">
        <f>IF($A316="","",IF(H316=0,"",IF(R316&lt;=0.000000001,MIN(0.8*0.75*'KT THAN'!$C$62,MAX('KT THAN'!$W$38:$W$58)),IFERROR(MIN(0.8*0.75*'KT THAN'!$C$62,INDEX('KT THAN'!$W$38:$W$58,MATCH(R316,'KT THAN'!$Y$38:$Y$58,-1))+(INDEX('KT THAN'!$W$38:$W$58,MIN(21,MATCH(R316,'KT THAN'!$Y$38:$Y$58,-1)+1))-INDEX('KT THAN'!$W$38:$W$58,MATCH(R316,'KT THAN'!$Y$38:$Y$58,-1)))*(R316-INDEX('KT THAN'!$Y$38:$Y$58,MATCH(R316,'KT THAN'!$Y$38:$Y$58,-1)))/(INDEX('KT THAN'!$Y$38:$Y$58,MIN(21,MATCH(R316,'KT THAN'!$Y$38:$Y$58,-1)+1))-INDEX('KT THAN'!$Y$38:$Y$58,MATCH(R316,'KT THAN'!$Y$38:$Y$58,-1)))),MIN(0.8*0.75*'KT THAN'!$C$62,'KT THAN'!$D$68/R316)))))</f>
        <v/>
      </c>
      <c r="O316" s="38" t="str">
        <f>IF($A316="","",IF(H316&lt;0,ABS(H316)/MAX('KT THAN'!$C$69,0.001)+'KT THAN'!$C$32*ABS(J316)/MAX('KT THAN'!$C$68,0.001)+'KT THAN'!$D$32*ABS(I316)/MAX('KT THAN'!$D$68,0.001),IF(OR(M316&lt;=0,N316&lt;=0),999,IF(H316&gt;=0.1*0.75*fc_*Agth*1000,H316/MAX(0.001,1/(1/M316+1/N316-1/(0.75*'KT THAN'!$C$62))),'KT THAN'!$C$32*ABS(J316)/MAX('KT THAN'!$C$68,0.001)+'KT THAN'!$D$32*ABS(I316)/MAX('KT THAN'!$D$68,0.001)))))</f>
        <v/>
      </c>
      <c r="P316" s="37" t="str">
        <f t="shared" si="52"/>
        <v/>
      </c>
      <c r="Q316" s="38" t="str">
        <f>IF($A316="","",MAX(0.001,'KT THAN'!$C$32*ABS(J316)/MAX(1,H316)))</f>
        <v/>
      </c>
      <c r="R316" s="38" t="str">
        <f>IF($A316="","",MAX(0.001,'KT THAN'!$D$32*ABS(I316)/MAX(1,H316)))</f>
        <v/>
      </c>
      <c r="S316" t="str">
        <f t="shared" si="46"/>
        <v/>
      </c>
    </row>
    <row r="317" spans="1:19" hidden="1" outlineLevel="1" x14ac:dyDescent="0.3">
      <c r="A317" s="37" t="str">
        <f>IF('TO HOP NLAN'!$A183="","",'TO HOP NLAN'!$A183)</f>
        <v/>
      </c>
      <c r="B317" s="38" t="str">
        <f>IF($A317="","",'TO HOP NLAN'!$D183)</f>
        <v/>
      </c>
      <c r="C317" s="38" t="str">
        <f>IF($A317="","",'TO HOP NLAN'!$E183)</f>
        <v/>
      </c>
      <c r="D317" s="38" t="str">
        <f>IF($A317="","",'TO HOP NLAN'!$F183)</f>
        <v/>
      </c>
      <c r="E317" s="38" t="str">
        <f>IF($A317="","",'TO HOP NLAN'!$B183)</f>
        <v/>
      </c>
      <c r="F317" s="38" t="str">
        <f>IF($A317="","",'TO HOP NLAN'!$C183)</f>
        <v/>
      </c>
      <c r="G317" s="38" t="str">
        <f t="shared" si="47"/>
        <v/>
      </c>
      <c r="H317" s="38" t="str">
        <f t="shared" si="45"/>
        <v/>
      </c>
      <c r="I317" s="38" t="str">
        <f t="shared" si="48"/>
        <v/>
      </c>
      <c r="J317" s="38" t="str">
        <f t="shared" si="49"/>
        <v/>
      </c>
      <c r="K317" s="38" t="str">
        <f t="shared" si="50"/>
        <v/>
      </c>
      <c r="L317" s="38" t="str">
        <f t="shared" si="51"/>
        <v/>
      </c>
      <c r="M317" s="38" t="str">
        <f>IF($A317="","",IF(H317=0,"",IF(Q317&lt;=0.000000001,MIN(0.8*0.75*'KT THAN'!$C$62,MAX('KT THAN'!$J$38:$J$58)),IFERROR(MIN(0.8*0.75*'KT THAN'!$C$62,INDEX('KT THAN'!$J$38:$J$58,MATCH(Q317,'KT THAN'!$L$38:$L$58,-1))+(INDEX('KT THAN'!$J$38:$J$58,MIN(21,MATCH(Q317,'KT THAN'!$L$38:$L$58,-1)+1))-INDEX('KT THAN'!$J$38:$J$58,MATCH(Q317,'KT THAN'!$L$38:$L$58,-1)))*(Q317-INDEX('KT THAN'!$L$38:$L$58,MATCH(Q317,'KT THAN'!$L$38:$L$58,-1)))/(INDEX('KT THAN'!$L$38:$L$58,MIN(21,MATCH(Q317,'KT THAN'!$L$38:$L$58,-1)+1))-INDEX('KT THAN'!$L$38:$L$58,MATCH(Q317,'KT THAN'!$L$38:$L$58,-1)))),MIN(0.8*0.75*'KT THAN'!$C$62,'KT THAN'!$C$68/Q317)))))</f>
        <v/>
      </c>
      <c r="N317" s="38" t="str">
        <f>IF($A317="","",IF(H317=0,"",IF(R317&lt;=0.000000001,MIN(0.8*0.75*'KT THAN'!$C$62,MAX('KT THAN'!$W$38:$W$58)),IFERROR(MIN(0.8*0.75*'KT THAN'!$C$62,INDEX('KT THAN'!$W$38:$W$58,MATCH(R317,'KT THAN'!$Y$38:$Y$58,-1))+(INDEX('KT THAN'!$W$38:$W$58,MIN(21,MATCH(R317,'KT THAN'!$Y$38:$Y$58,-1)+1))-INDEX('KT THAN'!$W$38:$W$58,MATCH(R317,'KT THAN'!$Y$38:$Y$58,-1)))*(R317-INDEX('KT THAN'!$Y$38:$Y$58,MATCH(R317,'KT THAN'!$Y$38:$Y$58,-1)))/(INDEX('KT THAN'!$Y$38:$Y$58,MIN(21,MATCH(R317,'KT THAN'!$Y$38:$Y$58,-1)+1))-INDEX('KT THAN'!$Y$38:$Y$58,MATCH(R317,'KT THAN'!$Y$38:$Y$58,-1)))),MIN(0.8*0.75*'KT THAN'!$C$62,'KT THAN'!$D$68/R317)))))</f>
        <v/>
      </c>
      <c r="O317" s="38" t="str">
        <f>IF($A317="","",IF(H317&lt;0,ABS(H317)/MAX('KT THAN'!$C$69,0.001)+'KT THAN'!$C$32*ABS(J317)/MAX('KT THAN'!$C$68,0.001)+'KT THAN'!$D$32*ABS(I317)/MAX('KT THAN'!$D$68,0.001),IF(OR(M317&lt;=0,N317&lt;=0),999,IF(H317&gt;=0.1*0.75*fc_*Agth*1000,H317/MAX(0.001,1/(1/M317+1/N317-1/(0.75*'KT THAN'!$C$62))),'KT THAN'!$C$32*ABS(J317)/MAX('KT THAN'!$C$68,0.001)+'KT THAN'!$D$32*ABS(I317)/MAX('KT THAN'!$D$68,0.001)))))</f>
        <v/>
      </c>
      <c r="P317" s="37" t="str">
        <f t="shared" si="52"/>
        <v/>
      </c>
      <c r="Q317" s="38" t="str">
        <f>IF($A317="","",MAX(0.001,'KT THAN'!$C$32*ABS(J317)/MAX(1,H317)))</f>
        <v/>
      </c>
      <c r="R317" s="38" t="str">
        <f>IF($A317="","",MAX(0.001,'KT THAN'!$D$32*ABS(I317)/MAX(1,H317)))</f>
        <v/>
      </c>
      <c r="S317" t="str">
        <f t="shared" si="46"/>
        <v/>
      </c>
    </row>
    <row r="318" spans="1:19" hidden="1" outlineLevel="1" x14ac:dyDescent="0.3">
      <c r="A318" s="37" t="str">
        <f>IF('TO HOP NLAN'!$A184="","",'TO HOP NLAN'!$A184)</f>
        <v/>
      </c>
      <c r="B318" s="38" t="str">
        <f>IF($A318="","",'TO HOP NLAN'!$D184)</f>
        <v/>
      </c>
      <c r="C318" s="38" t="str">
        <f>IF($A318="","",'TO HOP NLAN'!$E184)</f>
        <v/>
      </c>
      <c r="D318" s="38" t="str">
        <f>IF($A318="","",'TO HOP NLAN'!$F184)</f>
        <v/>
      </c>
      <c r="E318" s="38" t="str">
        <f>IF($A318="","",'TO HOP NLAN'!$B184)</f>
        <v/>
      </c>
      <c r="F318" s="38" t="str">
        <f>IF($A318="","",'TO HOP NLAN'!$C184)</f>
        <v/>
      </c>
      <c r="G318" s="38" t="str">
        <f t="shared" si="47"/>
        <v/>
      </c>
      <c r="H318" s="38" t="str">
        <f t="shared" si="45"/>
        <v/>
      </c>
      <c r="I318" s="38" t="str">
        <f t="shared" si="48"/>
        <v/>
      </c>
      <c r="J318" s="38" t="str">
        <f t="shared" si="49"/>
        <v/>
      </c>
      <c r="K318" s="38" t="str">
        <f t="shared" si="50"/>
        <v/>
      </c>
      <c r="L318" s="38" t="str">
        <f t="shared" si="51"/>
        <v/>
      </c>
      <c r="M318" s="38" t="str">
        <f>IF($A318="","",IF(H318=0,"",IF(Q318&lt;=0.000000001,MIN(0.8*0.75*'KT THAN'!$C$62,MAX('KT THAN'!$J$38:$J$58)),IFERROR(MIN(0.8*0.75*'KT THAN'!$C$62,INDEX('KT THAN'!$J$38:$J$58,MATCH(Q318,'KT THAN'!$L$38:$L$58,-1))+(INDEX('KT THAN'!$J$38:$J$58,MIN(21,MATCH(Q318,'KT THAN'!$L$38:$L$58,-1)+1))-INDEX('KT THAN'!$J$38:$J$58,MATCH(Q318,'KT THAN'!$L$38:$L$58,-1)))*(Q318-INDEX('KT THAN'!$L$38:$L$58,MATCH(Q318,'KT THAN'!$L$38:$L$58,-1)))/(INDEX('KT THAN'!$L$38:$L$58,MIN(21,MATCH(Q318,'KT THAN'!$L$38:$L$58,-1)+1))-INDEX('KT THAN'!$L$38:$L$58,MATCH(Q318,'KT THAN'!$L$38:$L$58,-1)))),MIN(0.8*0.75*'KT THAN'!$C$62,'KT THAN'!$C$68/Q318)))))</f>
        <v/>
      </c>
      <c r="N318" s="38" t="str">
        <f>IF($A318="","",IF(H318=0,"",IF(R318&lt;=0.000000001,MIN(0.8*0.75*'KT THAN'!$C$62,MAX('KT THAN'!$W$38:$W$58)),IFERROR(MIN(0.8*0.75*'KT THAN'!$C$62,INDEX('KT THAN'!$W$38:$W$58,MATCH(R318,'KT THAN'!$Y$38:$Y$58,-1))+(INDEX('KT THAN'!$W$38:$W$58,MIN(21,MATCH(R318,'KT THAN'!$Y$38:$Y$58,-1)+1))-INDEX('KT THAN'!$W$38:$W$58,MATCH(R318,'KT THAN'!$Y$38:$Y$58,-1)))*(R318-INDEX('KT THAN'!$Y$38:$Y$58,MATCH(R318,'KT THAN'!$Y$38:$Y$58,-1)))/(INDEX('KT THAN'!$Y$38:$Y$58,MIN(21,MATCH(R318,'KT THAN'!$Y$38:$Y$58,-1)+1))-INDEX('KT THAN'!$Y$38:$Y$58,MATCH(R318,'KT THAN'!$Y$38:$Y$58,-1)))),MIN(0.8*0.75*'KT THAN'!$C$62,'KT THAN'!$D$68/R318)))))</f>
        <v/>
      </c>
      <c r="O318" s="38" t="str">
        <f>IF($A318="","",IF(H318&lt;0,ABS(H318)/MAX('KT THAN'!$C$69,0.001)+'KT THAN'!$C$32*ABS(J318)/MAX('KT THAN'!$C$68,0.001)+'KT THAN'!$D$32*ABS(I318)/MAX('KT THAN'!$D$68,0.001),IF(OR(M318&lt;=0,N318&lt;=0),999,IF(H318&gt;=0.1*0.75*fc_*Agth*1000,H318/MAX(0.001,1/(1/M318+1/N318-1/(0.75*'KT THAN'!$C$62))),'KT THAN'!$C$32*ABS(J318)/MAX('KT THAN'!$C$68,0.001)+'KT THAN'!$D$32*ABS(I318)/MAX('KT THAN'!$D$68,0.001)))))</f>
        <v/>
      </c>
      <c r="P318" s="37" t="str">
        <f t="shared" si="52"/>
        <v/>
      </c>
      <c r="Q318" s="38" t="str">
        <f>IF($A318="","",MAX(0.001,'KT THAN'!$C$32*ABS(J318)/MAX(1,H318)))</f>
        <v/>
      </c>
      <c r="R318" s="38" t="str">
        <f>IF($A318="","",MAX(0.001,'KT THAN'!$D$32*ABS(I318)/MAX(1,H318)))</f>
        <v/>
      </c>
      <c r="S318" t="str">
        <f t="shared" si="46"/>
        <v/>
      </c>
    </row>
    <row r="319" spans="1:19" hidden="1" outlineLevel="1" x14ac:dyDescent="0.3">
      <c r="A319" s="37" t="str">
        <f>IF('TO HOP NLAN'!$A185="","",'TO HOP NLAN'!$A185)</f>
        <v/>
      </c>
      <c r="B319" s="38" t="str">
        <f>IF($A319="","",'TO HOP NLAN'!$D185)</f>
        <v/>
      </c>
      <c r="C319" s="38" t="str">
        <f>IF($A319="","",'TO HOP NLAN'!$E185)</f>
        <v/>
      </c>
      <c r="D319" s="38" t="str">
        <f>IF($A319="","",'TO HOP NLAN'!$F185)</f>
        <v/>
      </c>
      <c r="E319" s="38" t="str">
        <f>IF($A319="","",'TO HOP NLAN'!$B185)</f>
        <v/>
      </c>
      <c r="F319" s="38" t="str">
        <f>IF($A319="","",'TO HOP NLAN'!$C185)</f>
        <v/>
      </c>
      <c r="G319" s="38" t="str">
        <f t="shared" si="47"/>
        <v/>
      </c>
      <c r="H319" s="38" t="str">
        <f t="shared" si="45"/>
        <v/>
      </c>
      <c r="I319" s="38" t="str">
        <f t="shared" si="48"/>
        <v/>
      </c>
      <c r="J319" s="38" t="str">
        <f t="shared" si="49"/>
        <v/>
      </c>
      <c r="K319" s="38" t="str">
        <f t="shared" si="50"/>
        <v/>
      </c>
      <c r="L319" s="38" t="str">
        <f t="shared" si="51"/>
        <v/>
      </c>
      <c r="M319" s="38" t="str">
        <f>IF($A319="","",IF(H319=0,"",IF(Q319&lt;=0.000000001,MIN(0.8*0.75*'KT THAN'!$C$62,MAX('KT THAN'!$J$38:$J$58)),IFERROR(MIN(0.8*0.75*'KT THAN'!$C$62,INDEX('KT THAN'!$J$38:$J$58,MATCH(Q319,'KT THAN'!$L$38:$L$58,-1))+(INDEX('KT THAN'!$J$38:$J$58,MIN(21,MATCH(Q319,'KT THAN'!$L$38:$L$58,-1)+1))-INDEX('KT THAN'!$J$38:$J$58,MATCH(Q319,'KT THAN'!$L$38:$L$58,-1)))*(Q319-INDEX('KT THAN'!$L$38:$L$58,MATCH(Q319,'KT THAN'!$L$38:$L$58,-1)))/(INDEX('KT THAN'!$L$38:$L$58,MIN(21,MATCH(Q319,'KT THAN'!$L$38:$L$58,-1)+1))-INDEX('KT THAN'!$L$38:$L$58,MATCH(Q319,'KT THAN'!$L$38:$L$58,-1)))),MIN(0.8*0.75*'KT THAN'!$C$62,'KT THAN'!$C$68/Q319)))))</f>
        <v/>
      </c>
      <c r="N319" s="38" t="str">
        <f>IF($A319="","",IF(H319=0,"",IF(R319&lt;=0.000000001,MIN(0.8*0.75*'KT THAN'!$C$62,MAX('KT THAN'!$W$38:$W$58)),IFERROR(MIN(0.8*0.75*'KT THAN'!$C$62,INDEX('KT THAN'!$W$38:$W$58,MATCH(R319,'KT THAN'!$Y$38:$Y$58,-1))+(INDEX('KT THAN'!$W$38:$W$58,MIN(21,MATCH(R319,'KT THAN'!$Y$38:$Y$58,-1)+1))-INDEX('KT THAN'!$W$38:$W$58,MATCH(R319,'KT THAN'!$Y$38:$Y$58,-1)))*(R319-INDEX('KT THAN'!$Y$38:$Y$58,MATCH(R319,'KT THAN'!$Y$38:$Y$58,-1)))/(INDEX('KT THAN'!$Y$38:$Y$58,MIN(21,MATCH(R319,'KT THAN'!$Y$38:$Y$58,-1)+1))-INDEX('KT THAN'!$Y$38:$Y$58,MATCH(R319,'KT THAN'!$Y$38:$Y$58,-1)))),MIN(0.8*0.75*'KT THAN'!$C$62,'KT THAN'!$D$68/R319)))))</f>
        <v/>
      </c>
      <c r="O319" s="38" t="str">
        <f>IF($A319="","",IF(H319&lt;0,ABS(H319)/MAX('KT THAN'!$C$69,0.001)+'KT THAN'!$C$32*ABS(J319)/MAX('KT THAN'!$C$68,0.001)+'KT THAN'!$D$32*ABS(I319)/MAX('KT THAN'!$D$68,0.001),IF(OR(M319&lt;=0,N319&lt;=0),999,IF(H319&gt;=0.1*0.75*fc_*Agth*1000,H319/MAX(0.001,1/(1/M319+1/N319-1/(0.75*'KT THAN'!$C$62))),'KT THAN'!$C$32*ABS(J319)/MAX('KT THAN'!$C$68,0.001)+'KT THAN'!$D$32*ABS(I319)/MAX('KT THAN'!$D$68,0.001)))))</f>
        <v/>
      </c>
      <c r="P319" s="37" t="str">
        <f t="shared" si="52"/>
        <v/>
      </c>
      <c r="Q319" s="38" t="str">
        <f>IF($A319="","",MAX(0.001,'KT THAN'!$C$32*ABS(J319)/MAX(1,H319)))</f>
        <v/>
      </c>
      <c r="R319" s="38" t="str">
        <f>IF($A319="","",MAX(0.001,'KT THAN'!$D$32*ABS(I319)/MAX(1,H319)))</f>
        <v/>
      </c>
      <c r="S319" t="str">
        <f t="shared" si="46"/>
        <v/>
      </c>
    </row>
    <row r="320" spans="1:19" hidden="1" outlineLevel="1" x14ac:dyDescent="0.3">
      <c r="A320" s="37" t="str">
        <f>IF('TO HOP NLAN'!$A186="","",'TO HOP NLAN'!$A186)</f>
        <v/>
      </c>
      <c r="B320" s="38" t="str">
        <f>IF($A320="","",'TO HOP NLAN'!$D186)</f>
        <v/>
      </c>
      <c r="C320" s="38" t="str">
        <f>IF($A320="","",'TO HOP NLAN'!$E186)</f>
        <v/>
      </c>
      <c r="D320" s="38" t="str">
        <f>IF($A320="","",'TO HOP NLAN'!$F186)</f>
        <v/>
      </c>
      <c r="E320" s="38" t="str">
        <f>IF($A320="","",'TO HOP NLAN'!$B186)</f>
        <v/>
      </c>
      <c r="F320" s="38" t="str">
        <f>IF($A320="","",'TO HOP NLAN'!$C186)</f>
        <v/>
      </c>
      <c r="G320" s="38" t="str">
        <f t="shared" si="47"/>
        <v/>
      </c>
      <c r="H320" s="38" t="str">
        <f t="shared" si="45"/>
        <v/>
      </c>
      <c r="I320" s="38" t="str">
        <f t="shared" si="48"/>
        <v/>
      </c>
      <c r="J320" s="38" t="str">
        <f t="shared" si="49"/>
        <v/>
      </c>
      <c r="K320" s="38" t="str">
        <f t="shared" si="50"/>
        <v/>
      </c>
      <c r="L320" s="38" t="str">
        <f t="shared" si="51"/>
        <v/>
      </c>
      <c r="M320" s="38" t="str">
        <f>IF($A320="","",IF(H320=0,"",IF(Q320&lt;=0.000000001,MIN(0.8*0.75*'KT THAN'!$C$62,MAX('KT THAN'!$J$38:$J$58)),IFERROR(MIN(0.8*0.75*'KT THAN'!$C$62,INDEX('KT THAN'!$J$38:$J$58,MATCH(Q320,'KT THAN'!$L$38:$L$58,-1))+(INDEX('KT THAN'!$J$38:$J$58,MIN(21,MATCH(Q320,'KT THAN'!$L$38:$L$58,-1)+1))-INDEX('KT THAN'!$J$38:$J$58,MATCH(Q320,'KT THAN'!$L$38:$L$58,-1)))*(Q320-INDEX('KT THAN'!$L$38:$L$58,MATCH(Q320,'KT THAN'!$L$38:$L$58,-1)))/(INDEX('KT THAN'!$L$38:$L$58,MIN(21,MATCH(Q320,'KT THAN'!$L$38:$L$58,-1)+1))-INDEX('KT THAN'!$L$38:$L$58,MATCH(Q320,'KT THAN'!$L$38:$L$58,-1)))),MIN(0.8*0.75*'KT THAN'!$C$62,'KT THAN'!$C$68/Q320)))))</f>
        <v/>
      </c>
      <c r="N320" s="38" t="str">
        <f>IF($A320="","",IF(H320=0,"",IF(R320&lt;=0.000000001,MIN(0.8*0.75*'KT THAN'!$C$62,MAX('KT THAN'!$W$38:$W$58)),IFERROR(MIN(0.8*0.75*'KT THAN'!$C$62,INDEX('KT THAN'!$W$38:$W$58,MATCH(R320,'KT THAN'!$Y$38:$Y$58,-1))+(INDEX('KT THAN'!$W$38:$W$58,MIN(21,MATCH(R320,'KT THAN'!$Y$38:$Y$58,-1)+1))-INDEX('KT THAN'!$W$38:$W$58,MATCH(R320,'KT THAN'!$Y$38:$Y$58,-1)))*(R320-INDEX('KT THAN'!$Y$38:$Y$58,MATCH(R320,'KT THAN'!$Y$38:$Y$58,-1)))/(INDEX('KT THAN'!$Y$38:$Y$58,MIN(21,MATCH(R320,'KT THAN'!$Y$38:$Y$58,-1)+1))-INDEX('KT THAN'!$Y$38:$Y$58,MATCH(R320,'KT THAN'!$Y$38:$Y$58,-1)))),MIN(0.8*0.75*'KT THAN'!$C$62,'KT THAN'!$D$68/R320)))))</f>
        <v/>
      </c>
      <c r="O320" s="38" t="str">
        <f>IF($A320="","",IF(H320&lt;0,ABS(H320)/MAX('KT THAN'!$C$69,0.001)+'KT THAN'!$C$32*ABS(J320)/MAX('KT THAN'!$C$68,0.001)+'KT THAN'!$D$32*ABS(I320)/MAX('KT THAN'!$D$68,0.001),IF(OR(M320&lt;=0,N320&lt;=0),999,IF(H320&gt;=0.1*0.75*fc_*Agth*1000,H320/MAX(0.001,1/(1/M320+1/N320-1/(0.75*'KT THAN'!$C$62))),'KT THAN'!$C$32*ABS(J320)/MAX('KT THAN'!$C$68,0.001)+'KT THAN'!$D$32*ABS(I320)/MAX('KT THAN'!$D$68,0.001)))))</f>
        <v/>
      </c>
      <c r="P320" s="37" t="str">
        <f t="shared" si="52"/>
        <v/>
      </c>
      <c r="Q320" s="38" t="str">
        <f>IF($A320="","",MAX(0.001,'KT THAN'!$C$32*ABS(J320)/MAX(1,H320)))</f>
        <v/>
      </c>
      <c r="R320" s="38" t="str">
        <f>IF($A320="","",MAX(0.001,'KT THAN'!$D$32*ABS(I320)/MAX(1,H320)))</f>
        <v/>
      </c>
      <c r="S320" t="str">
        <f t="shared" si="46"/>
        <v/>
      </c>
    </row>
    <row r="321" spans="1:19" hidden="1" outlineLevel="1" x14ac:dyDescent="0.3">
      <c r="A321" s="37" t="str">
        <f>IF('TO HOP NLAN'!$A187="","",'TO HOP NLAN'!$A187)</f>
        <v/>
      </c>
      <c r="B321" s="38" t="str">
        <f>IF($A321="","",'TO HOP NLAN'!$D187)</f>
        <v/>
      </c>
      <c r="C321" s="38" t="str">
        <f>IF($A321="","",'TO HOP NLAN'!$E187)</f>
        <v/>
      </c>
      <c r="D321" s="38" t="str">
        <f>IF($A321="","",'TO HOP NLAN'!$F187)</f>
        <v/>
      </c>
      <c r="E321" s="38" t="str">
        <f>IF($A321="","",'TO HOP NLAN'!$B187)</f>
        <v/>
      </c>
      <c r="F321" s="38" t="str">
        <f>IF($A321="","",'TO HOP NLAN'!$C187)</f>
        <v/>
      </c>
      <c r="G321" s="38" t="str">
        <f t="shared" si="47"/>
        <v/>
      </c>
      <c r="H321" s="38" t="str">
        <f t="shared" si="45"/>
        <v/>
      </c>
      <c r="I321" s="38" t="str">
        <f t="shared" si="48"/>
        <v/>
      </c>
      <c r="J321" s="38" t="str">
        <f t="shared" si="49"/>
        <v/>
      </c>
      <c r="K321" s="38" t="str">
        <f t="shared" si="50"/>
        <v/>
      </c>
      <c r="L321" s="38" t="str">
        <f t="shared" si="51"/>
        <v/>
      </c>
      <c r="M321" s="38" t="str">
        <f>IF($A321="","",IF(H321=0,"",IF(Q321&lt;=0.000000001,MIN(0.8*0.75*'KT THAN'!$C$62,MAX('KT THAN'!$J$38:$J$58)),IFERROR(MIN(0.8*0.75*'KT THAN'!$C$62,INDEX('KT THAN'!$J$38:$J$58,MATCH(Q321,'KT THAN'!$L$38:$L$58,-1))+(INDEX('KT THAN'!$J$38:$J$58,MIN(21,MATCH(Q321,'KT THAN'!$L$38:$L$58,-1)+1))-INDEX('KT THAN'!$J$38:$J$58,MATCH(Q321,'KT THAN'!$L$38:$L$58,-1)))*(Q321-INDEX('KT THAN'!$L$38:$L$58,MATCH(Q321,'KT THAN'!$L$38:$L$58,-1)))/(INDEX('KT THAN'!$L$38:$L$58,MIN(21,MATCH(Q321,'KT THAN'!$L$38:$L$58,-1)+1))-INDEX('KT THAN'!$L$38:$L$58,MATCH(Q321,'KT THAN'!$L$38:$L$58,-1)))),MIN(0.8*0.75*'KT THAN'!$C$62,'KT THAN'!$C$68/Q321)))))</f>
        <v/>
      </c>
      <c r="N321" s="38" t="str">
        <f>IF($A321="","",IF(H321=0,"",IF(R321&lt;=0.000000001,MIN(0.8*0.75*'KT THAN'!$C$62,MAX('KT THAN'!$W$38:$W$58)),IFERROR(MIN(0.8*0.75*'KT THAN'!$C$62,INDEX('KT THAN'!$W$38:$W$58,MATCH(R321,'KT THAN'!$Y$38:$Y$58,-1))+(INDEX('KT THAN'!$W$38:$W$58,MIN(21,MATCH(R321,'KT THAN'!$Y$38:$Y$58,-1)+1))-INDEX('KT THAN'!$W$38:$W$58,MATCH(R321,'KT THAN'!$Y$38:$Y$58,-1)))*(R321-INDEX('KT THAN'!$Y$38:$Y$58,MATCH(R321,'KT THAN'!$Y$38:$Y$58,-1)))/(INDEX('KT THAN'!$Y$38:$Y$58,MIN(21,MATCH(R321,'KT THAN'!$Y$38:$Y$58,-1)+1))-INDEX('KT THAN'!$Y$38:$Y$58,MATCH(R321,'KT THAN'!$Y$38:$Y$58,-1)))),MIN(0.8*0.75*'KT THAN'!$C$62,'KT THAN'!$D$68/R321)))))</f>
        <v/>
      </c>
      <c r="O321" s="38" t="str">
        <f>IF($A321="","",IF(H321&lt;0,ABS(H321)/MAX('KT THAN'!$C$69,0.001)+'KT THAN'!$C$32*ABS(J321)/MAX('KT THAN'!$C$68,0.001)+'KT THAN'!$D$32*ABS(I321)/MAX('KT THAN'!$D$68,0.001),IF(OR(M321&lt;=0,N321&lt;=0),999,IF(H321&gt;=0.1*0.75*fc_*Agth*1000,H321/MAX(0.001,1/(1/M321+1/N321-1/(0.75*'KT THAN'!$C$62))),'KT THAN'!$C$32*ABS(J321)/MAX('KT THAN'!$C$68,0.001)+'KT THAN'!$D$32*ABS(I321)/MAX('KT THAN'!$D$68,0.001)))))</f>
        <v/>
      </c>
      <c r="P321" s="37" t="str">
        <f t="shared" si="52"/>
        <v/>
      </c>
      <c r="Q321" s="38" t="str">
        <f>IF($A321="","",MAX(0.001,'KT THAN'!$C$32*ABS(J321)/MAX(1,H321)))</f>
        <v/>
      </c>
      <c r="R321" s="38" t="str">
        <f>IF($A321="","",MAX(0.001,'KT THAN'!$D$32*ABS(I321)/MAX(1,H321)))</f>
        <v/>
      </c>
      <c r="S321" t="str">
        <f t="shared" si="46"/>
        <v/>
      </c>
    </row>
    <row r="322" spans="1:19" hidden="1" outlineLevel="1" x14ac:dyDescent="0.3">
      <c r="A322" s="37" t="str">
        <f>IF('TO HOP NLAN'!$A188="","",'TO HOP NLAN'!$A188)</f>
        <v/>
      </c>
      <c r="B322" s="38" t="str">
        <f>IF($A322="","",'TO HOP NLAN'!$D188)</f>
        <v/>
      </c>
      <c r="C322" s="38" t="str">
        <f>IF($A322="","",'TO HOP NLAN'!$E188)</f>
        <v/>
      </c>
      <c r="D322" s="38" t="str">
        <f>IF($A322="","",'TO HOP NLAN'!$F188)</f>
        <v/>
      </c>
      <c r="E322" s="38" t="str">
        <f>IF($A322="","",'TO HOP NLAN'!$B188)</f>
        <v/>
      </c>
      <c r="F322" s="38" t="str">
        <f>IF($A322="","",'TO HOP NLAN'!$C188)</f>
        <v/>
      </c>
      <c r="G322" s="38" t="str">
        <f t="shared" si="47"/>
        <v/>
      </c>
      <c r="H322" s="38" t="str">
        <f t="shared" si="45"/>
        <v/>
      </c>
      <c r="I322" s="38" t="str">
        <f t="shared" si="48"/>
        <v/>
      </c>
      <c r="J322" s="38" t="str">
        <f t="shared" si="49"/>
        <v/>
      </c>
      <c r="K322" s="38" t="str">
        <f t="shared" si="50"/>
        <v/>
      </c>
      <c r="L322" s="38" t="str">
        <f t="shared" si="51"/>
        <v/>
      </c>
      <c r="M322" s="38" t="str">
        <f>IF($A322="","",IF(H322=0,"",IF(Q322&lt;=0.000000001,MIN(0.8*0.75*'KT THAN'!$C$62,MAX('KT THAN'!$J$38:$J$58)),IFERROR(MIN(0.8*0.75*'KT THAN'!$C$62,INDEX('KT THAN'!$J$38:$J$58,MATCH(Q322,'KT THAN'!$L$38:$L$58,-1))+(INDEX('KT THAN'!$J$38:$J$58,MIN(21,MATCH(Q322,'KT THAN'!$L$38:$L$58,-1)+1))-INDEX('KT THAN'!$J$38:$J$58,MATCH(Q322,'KT THAN'!$L$38:$L$58,-1)))*(Q322-INDEX('KT THAN'!$L$38:$L$58,MATCH(Q322,'KT THAN'!$L$38:$L$58,-1)))/(INDEX('KT THAN'!$L$38:$L$58,MIN(21,MATCH(Q322,'KT THAN'!$L$38:$L$58,-1)+1))-INDEX('KT THAN'!$L$38:$L$58,MATCH(Q322,'KT THAN'!$L$38:$L$58,-1)))),MIN(0.8*0.75*'KT THAN'!$C$62,'KT THAN'!$C$68/Q322)))))</f>
        <v/>
      </c>
      <c r="N322" s="38" t="str">
        <f>IF($A322="","",IF(H322=0,"",IF(R322&lt;=0.000000001,MIN(0.8*0.75*'KT THAN'!$C$62,MAX('KT THAN'!$W$38:$W$58)),IFERROR(MIN(0.8*0.75*'KT THAN'!$C$62,INDEX('KT THAN'!$W$38:$W$58,MATCH(R322,'KT THAN'!$Y$38:$Y$58,-1))+(INDEX('KT THAN'!$W$38:$W$58,MIN(21,MATCH(R322,'KT THAN'!$Y$38:$Y$58,-1)+1))-INDEX('KT THAN'!$W$38:$W$58,MATCH(R322,'KT THAN'!$Y$38:$Y$58,-1)))*(R322-INDEX('KT THAN'!$Y$38:$Y$58,MATCH(R322,'KT THAN'!$Y$38:$Y$58,-1)))/(INDEX('KT THAN'!$Y$38:$Y$58,MIN(21,MATCH(R322,'KT THAN'!$Y$38:$Y$58,-1)+1))-INDEX('KT THAN'!$Y$38:$Y$58,MATCH(R322,'KT THAN'!$Y$38:$Y$58,-1)))),MIN(0.8*0.75*'KT THAN'!$C$62,'KT THAN'!$D$68/R322)))))</f>
        <v/>
      </c>
      <c r="O322" s="38" t="str">
        <f>IF($A322="","",IF(H322&lt;0,ABS(H322)/MAX('KT THAN'!$C$69,0.001)+'KT THAN'!$C$32*ABS(J322)/MAX('KT THAN'!$C$68,0.001)+'KT THAN'!$D$32*ABS(I322)/MAX('KT THAN'!$D$68,0.001),IF(OR(M322&lt;=0,N322&lt;=0),999,IF(H322&gt;=0.1*0.75*fc_*Agth*1000,H322/MAX(0.001,1/(1/M322+1/N322-1/(0.75*'KT THAN'!$C$62))),'KT THAN'!$C$32*ABS(J322)/MAX('KT THAN'!$C$68,0.001)+'KT THAN'!$D$32*ABS(I322)/MAX('KT THAN'!$D$68,0.001)))))</f>
        <v/>
      </c>
      <c r="P322" s="37" t="str">
        <f t="shared" si="52"/>
        <v/>
      </c>
      <c r="Q322" s="38" t="str">
        <f>IF($A322="","",MAX(0.001,'KT THAN'!$C$32*ABS(J322)/MAX(1,H322)))</f>
        <v/>
      </c>
      <c r="R322" s="38" t="str">
        <f>IF($A322="","",MAX(0.001,'KT THAN'!$D$32*ABS(I322)/MAX(1,H322)))</f>
        <v/>
      </c>
      <c r="S322" t="str">
        <f t="shared" si="46"/>
        <v/>
      </c>
    </row>
    <row r="323" spans="1:19" hidden="1" outlineLevel="1" x14ac:dyDescent="0.3">
      <c r="A323" s="37" t="str">
        <f>IF('TO HOP NLAN'!$A189="","",'TO HOP NLAN'!$A189)</f>
        <v/>
      </c>
      <c r="B323" s="38" t="str">
        <f>IF($A323="","",'TO HOP NLAN'!$D189)</f>
        <v/>
      </c>
      <c r="C323" s="38" t="str">
        <f>IF($A323="","",'TO HOP NLAN'!$E189)</f>
        <v/>
      </c>
      <c r="D323" s="38" t="str">
        <f>IF($A323="","",'TO HOP NLAN'!$F189)</f>
        <v/>
      </c>
      <c r="E323" s="38" t="str">
        <f>IF($A323="","",'TO HOP NLAN'!$B189)</f>
        <v/>
      </c>
      <c r="F323" s="38" t="str">
        <f>IF($A323="","",'TO HOP NLAN'!$C189)</f>
        <v/>
      </c>
      <c r="G323" s="38" t="str">
        <f t="shared" si="47"/>
        <v/>
      </c>
      <c r="H323" s="38" t="str">
        <f t="shared" si="45"/>
        <v/>
      </c>
      <c r="I323" s="38" t="str">
        <f t="shared" si="48"/>
        <v/>
      </c>
      <c r="J323" s="38" t="str">
        <f t="shared" si="49"/>
        <v/>
      </c>
      <c r="K323" s="38" t="str">
        <f t="shared" si="50"/>
        <v/>
      </c>
      <c r="L323" s="38" t="str">
        <f t="shared" si="51"/>
        <v/>
      </c>
      <c r="M323" s="38" t="str">
        <f>IF($A323="","",IF(H323=0,"",IF(Q323&lt;=0.000000001,MIN(0.8*0.75*'KT THAN'!$C$62,MAX('KT THAN'!$J$38:$J$58)),IFERROR(MIN(0.8*0.75*'KT THAN'!$C$62,INDEX('KT THAN'!$J$38:$J$58,MATCH(Q323,'KT THAN'!$L$38:$L$58,-1))+(INDEX('KT THAN'!$J$38:$J$58,MIN(21,MATCH(Q323,'KT THAN'!$L$38:$L$58,-1)+1))-INDEX('KT THAN'!$J$38:$J$58,MATCH(Q323,'KT THAN'!$L$38:$L$58,-1)))*(Q323-INDEX('KT THAN'!$L$38:$L$58,MATCH(Q323,'KT THAN'!$L$38:$L$58,-1)))/(INDEX('KT THAN'!$L$38:$L$58,MIN(21,MATCH(Q323,'KT THAN'!$L$38:$L$58,-1)+1))-INDEX('KT THAN'!$L$38:$L$58,MATCH(Q323,'KT THAN'!$L$38:$L$58,-1)))),MIN(0.8*0.75*'KT THAN'!$C$62,'KT THAN'!$C$68/Q323)))))</f>
        <v/>
      </c>
      <c r="N323" s="38" t="str">
        <f>IF($A323="","",IF(H323=0,"",IF(R323&lt;=0.000000001,MIN(0.8*0.75*'KT THAN'!$C$62,MAX('KT THAN'!$W$38:$W$58)),IFERROR(MIN(0.8*0.75*'KT THAN'!$C$62,INDEX('KT THAN'!$W$38:$W$58,MATCH(R323,'KT THAN'!$Y$38:$Y$58,-1))+(INDEX('KT THAN'!$W$38:$W$58,MIN(21,MATCH(R323,'KT THAN'!$Y$38:$Y$58,-1)+1))-INDEX('KT THAN'!$W$38:$W$58,MATCH(R323,'KT THAN'!$Y$38:$Y$58,-1)))*(R323-INDEX('KT THAN'!$Y$38:$Y$58,MATCH(R323,'KT THAN'!$Y$38:$Y$58,-1)))/(INDEX('KT THAN'!$Y$38:$Y$58,MIN(21,MATCH(R323,'KT THAN'!$Y$38:$Y$58,-1)+1))-INDEX('KT THAN'!$Y$38:$Y$58,MATCH(R323,'KT THAN'!$Y$38:$Y$58,-1)))),MIN(0.8*0.75*'KT THAN'!$C$62,'KT THAN'!$D$68/R323)))))</f>
        <v/>
      </c>
      <c r="O323" s="38" t="str">
        <f>IF($A323="","",IF(H323&lt;0,ABS(H323)/MAX('KT THAN'!$C$69,0.001)+'KT THAN'!$C$32*ABS(J323)/MAX('KT THAN'!$C$68,0.001)+'KT THAN'!$D$32*ABS(I323)/MAX('KT THAN'!$D$68,0.001),IF(OR(M323&lt;=0,N323&lt;=0),999,IF(H323&gt;=0.1*0.75*fc_*Agth*1000,H323/MAX(0.001,1/(1/M323+1/N323-1/(0.75*'KT THAN'!$C$62))),'KT THAN'!$C$32*ABS(J323)/MAX('KT THAN'!$C$68,0.001)+'KT THAN'!$D$32*ABS(I323)/MAX('KT THAN'!$D$68,0.001)))))</f>
        <v/>
      </c>
      <c r="P323" s="37" t="str">
        <f t="shared" si="52"/>
        <v/>
      </c>
      <c r="Q323" s="38" t="str">
        <f>IF($A323="","",MAX(0.001,'KT THAN'!$C$32*ABS(J323)/MAX(1,H323)))</f>
        <v/>
      </c>
      <c r="R323" s="38" t="str">
        <f>IF($A323="","",MAX(0.001,'KT THAN'!$D$32*ABS(I323)/MAX(1,H323)))</f>
        <v/>
      </c>
      <c r="S323" t="str">
        <f t="shared" si="46"/>
        <v/>
      </c>
    </row>
    <row r="324" spans="1:19" hidden="1" outlineLevel="1" x14ac:dyDescent="0.3">
      <c r="A324" s="37" t="str">
        <f>IF('TO HOP NLAN'!$A190="","",'TO HOP NLAN'!$A190)</f>
        <v/>
      </c>
      <c r="B324" s="38" t="str">
        <f>IF($A324="","",'TO HOP NLAN'!$D190)</f>
        <v/>
      </c>
      <c r="C324" s="38" t="str">
        <f>IF($A324="","",'TO HOP NLAN'!$E190)</f>
        <v/>
      </c>
      <c r="D324" s="38" t="str">
        <f>IF($A324="","",'TO HOP NLAN'!$F190)</f>
        <v/>
      </c>
      <c r="E324" s="38" t="str">
        <f>IF($A324="","",'TO HOP NLAN'!$B190)</f>
        <v/>
      </c>
      <c r="F324" s="38" t="str">
        <f>IF($A324="","",'TO HOP NLAN'!$C190)</f>
        <v/>
      </c>
      <c r="G324" s="38" t="str">
        <f t="shared" si="47"/>
        <v/>
      </c>
      <c r="H324" s="38" t="str">
        <f t="shared" si="45"/>
        <v/>
      </c>
      <c r="I324" s="38" t="str">
        <f t="shared" si="48"/>
        <v/>
      </c>
      <c r="J324" s="38" t="str">
        <f t="shared" si="49"/>
        <v/>
      </c>
      <c r="K324" s="38" t="str">
        <f t="shared" si="50"/>
        <v/>
      </c>
      <c r="L324" s="38" t="str">
        <f t="shared" si="51"/>
        <v/>
      </c>
      <c r="M324" s="38" t="str">
        <f>IF($A324="","",IF(H324=0,"",IF(Q324&lt;=0.000000001,MIN(0.8*0.75*'KT THAN'!$C$62,MAX('KT THAN'!$J$38:$J$58)),IFERROR(MIN(0.8*0.75*'KT THAN'!$C$62,INDEX('KT THAN'!$J$38:$J$58,MATCH(Q324,'KT THAN'!$L$38:$L$58,-1))+(INDEX('KT THAN'!$J$38:$J$58,MIN(21,MATCH(Q324,'KT THAN'!$L$38:$L$58,-1)+1))-INDEX('KT THAN'!$J$38:$J$58,MATCH(Q324,'KT THAN'!$L$38:$L$58,-1)))*(Q324-INDEX('KT THAN'!$L$38:$L$58,MATCH(Q324,'KT THAN'!$L$38:$L$58,-1)))/(INDEX('KT THAN'!$L$38:$L$58,MIN(21,MATCH(Q324,'KT THAN'!$L$38:$L$58,-1)+1))-INDEX('KT THAN'!$L$38:$L$58,MATCH(Q324,'KT THAN'!$L$38:$L$58,-1)))),MIN(0.8*0.75*'KT THAN'!$C$62,'KT THAN'!$C$68/Q324)))))</f>
        <v/>
      </c>
      <c r="N324" s="38" t="str">
        <f>IF($A324="","",IF(H324=0,"",IF(R324&lt;=0.000000001,MIN(0.8*0.75*'KT THAN'!$C$62,MAX('KT THAN'!$W$38:$W$58)),IFERROR(MIN(0.8*0.75*'KT THAN'!$C$62,INDEX('KT THAN'!$W$38:$W$58,MATCH(R324,'KT THAN'!$Y$38:$Y$58,-1))+(INDEX('KT THAN'!$W$38:$W$58,MIN(21,MATCH(R324,'KT THAN'!$Y$38:$Y$58,-1)+1))-INDEX('KT THAN'!$W$38:$W$58,MATCH(R324,'KT THAN'!$Y$38:$Y$58,-1)))*(R324-INDEX('KT THAN'!$Y$38:$Y$58,MATCH(R324,'KT THAN'!$Y$38:$Y$58,-1)))/(INDEX('KT THAN'!$Y$38:$Y$58,MIN(21,MATCH(R324,'KT THAN'!$Y$38:$Y$58,-1)+1))-INDEX('KT THAN'!$Y$38:$Y$58,MATCH(R324,'KT THAN'!$Y$38:$Y$58,-1)))),MIN(0.8*0.75*'KT THAN'!$C$62,'KT THAN'!$D$68/R324)))))</f>
        <v/>
      </c>
      <c r="O324" s="38" t="str">
        <f>IF($A324="","",IF(H324&lt;0,ABS(H324)/MAX('KT THAN'!$C$69,0.001)+'KT THAN'!$C$32*ABS(J324)/MAX('KT THAN'!$C$68,0.001)+'KT THAN'!$D$32*ABS(I324)/MAX('KT THAN'!$D$68,0.001),IF(OR(M324&lt;=0,N324&lt;=0),999,IF(H324&gt;=0.1*0.75*fc_*Agth*1000,H324/MAX(0.001,1/(1/M324+1/N324-1/(0.75*'KT THAN'!$C$62))),'KT THAN'!$C$32*ABS(J324)/MAX('KT THAN'!$C$68,0.001)+'KT THAN'!$D$32*ABS(I324)/MAX('KT THAN'!$D$68,0.001)))))</f>
        <v/>
      </c>
      <c r="P324" s="37" t="str">
        <f t="shared" si="52"/>
        <v/>
      </c>
      <c r="Q324" s="38" t="str">
        <f>IF($A324="","",MAX(0.001,'KT THAN'!$C$32*ABS(J324)/MAX(1,H324)))</f>
        <v/>
      </c>
      <c r="R324" s="38" t="str">
        <f>IF($A324="","",MAX(0.001,'KT THAN'!$D$32*ABS(I324)/MAX(1,H324)))</f>
        <v/>
      </c>
      <c r="S324" t="str">
        <f t="shared" si="46"/>
        <v/>
      </c>
    </row>
    <row r="325" spans="1:19" hidden="1" outlineLevel="1" x14ac:dyDescent="0.3">
      <c r="A325" s="37" t="str">
        <f>IF('TO HOP NLAN'!$A191="","",'TO HOP NLAN'!$A191)</f>
        <v/>
      </c>
      <c r="B325" s="38" t="str">
        <f>IF($A325="","",'TO HOP NLAN'!$D191)</f>
        <v/>
      </c>
      <c r="C325" s="38" t="str">
        <f>IF($A325="","",'TO HOP NLAN'!$E191)</f>
        <v/>
      </c>
      <c r="D325" s="38" t="str">
        <f>IF($A325="","",'TO HOP NLAN'!$F191)</f>
        <v/>
      </c>
      <c r="E325" s="38" t="str">
        <f>IF($A325="","",'TO HOP NLAN'!$B191)</f>
        <v/>
      </c>
      <c r="F325" s="38" t="str">
        <f>IF($A325="","",'TO HOP NLAN'!$C191)</f>
        <v/>
      </c>
      <c r="G325" s="38" t="str">
        <f t="shared" si="47"/>
        <v/>
      </c>
      <c r="H325" s="38" t="str">
        <f t="shared" si="45"/>
        <v/>
      </c>
      <c r="I325" s="38" t="str">
        <f t="shared" si="48"/>
        <v/>
      </c>
      <c r="J325" s="38" t="str">
        <f t="shared" si="49"/>
        <v/>
      </c>
      <c r="K325" s="38" t="str">
        <f t="shared" si="50"/>
        <v/>
      </c>
      <c r="L325" s="38" t="str">
        <f t="shared" si="51"/>
        <v/>
      </c>
      <c r="M325" s="38" t="str">
        <f>IF($A325="","",IF(H325=0,"",IF(Q325&lt;=0.000000001,MIN(0.8*0.75*'KT THAN'!$C$62,MAX('KT THAN'!$J$38:$J$58)),IFERROR(MIN(0.8*0.75*'KT THAN'!$C$62,INDEX('KT THAN'!$J$38:$J$58,MATCH(Q325,'KT THAN'!$L$38:$L$58,-1))+(INDEX('KT THAN'!$J$38:$J$58,MIN(21,MATCH(Q325,'KT THAN'!$L$38:$L$58,-1)+1))-INDEX('KT THAN'!$J$38:$J$58,MATCH(Q325,'KT THAN'!$L$38:$L$58,-1)))*(Q325-INDEX('KT THAN'!$L$38:$L$58,MATCH(Q325,'KT THAN'!$L$38:$L$58,-1)))/(INDEX('KT THAN'!$L$38:$L$58,MIN(21,MATCH(Q325,'KT THAN'!$L$38:$L$58,-1)+1))-INDEX('KT THAN'!$L$38:$L$58,MATCH(Q325,'KT THAN'!$L$38:$L$58,-1)))),MIN(0.8*0.75*'KT THAN'!$C$62,'KT THAN'!$C$68/Q325)))))</f>
        <v/>
      </c>
      <c r="N325" s="38" t="str">
        <f>IF($A325="","",IF(H325=0,"",IF(R325&lt;=0.000000001,MIN(0.8*0.75*'KT THAN'!$C$62,MAX('KT THAN'!$W$38:$W$58)),IFERROR(MIN(0.8*0.75*'KT THAN'!$C$62,INDEX('KT THAN'!$W$38:$W$58,MATCH(R325,'KT THAN'!$Y$38:$Y$58,-1))+(INDEX('KT THAN'!$W$38:$W$58,MIN(21,MATCH(R325,'KT THAN'!$Y$38:$Y$58,-1)+1))-INDEX('KT THAN'!$W$38:$W$58,MATCH(R325,'KT THAN'!$Y$38:$Y$58,-1)))*(R325-INDEX('KT THAN'!$Y$38:$Y$58,MATCH(R325,'KT THAN'!$Y$38:$Y$58,-1)))/(INDEX('KT THAN'!$Y$38:$Y$58,MIN(21,MATCH(R325,'KT THAN'!$Y$38:$Y$58,-1)+1))-INDEX('KT THAN'!$Y$38:$Y$58,MATCH(R325,'KT THAN'!$Y$38:$Y$58,-1)))),MIN(0.8*0.75*'KT THAN'!$C$62,'KT THAN'!$D$68/R325)))))</f>
        <v/>
      </c>
      <c r="O325" s="38" t="str">
        <f>IF($A325="","",IF(H325&lt;0,ABS(H325)/MAX('KT THAN'!$C$69,0.001)+'KT THAN'!$C$32*ABS(J325)/MAX('KT THAN'!$C$68,0.001)+'KT THAN'!$D$32*ABS(I325)/MAX('KT THAN'!$D$68,0.001),IF(OR(M325&lt;=0,N325&lt;=0),999,IF(H325&gt;=0.1*0.75*fc_*Agth*1000,H325/MAX(0.001,1/(1/M325+1/N325-1/(0.75*'KT THAN'!$C$62))),'KT THAN'!$C$32*ABS(J325)/MAX('KT THAN'!$C$68,0.001)+'KT THAN'!$D$32*ABS(I325)/MAX('KT THAN'!$D$68,0.001)))))</f>
        <v/>
      </c>
      <c r="P325" s="37" t="str">
        <f t="shared" si="52"/>
        <v/>
      </c>
      <c r="Q325" s="38" t="str">
        <f>IF($A325="","",MAX(0.001,'KT THAN'!$C$32*ABS(J325)/MAX(1,H325)))</f>
        <v/>
      </c>
      <c r="R325" s="38" t="str">
        <f>IF($A325="","",MAX(0.001,'KT THAN'!$D$32*ABS(I325)/MAX(1,H325)))</f>
        <v/>
      </c>
      <c r="S325" t="str">
        <f t="shared" si="46"/>
        <v/>
      </c>
    </row>
    <row r="326" spans="1:19" hidden="1" outlineLevel="1" x14ac:dyDescent="0.3">
      <c r="A326" s="37" t="str">
        <f>IF('TO HOP NLAN'!$A192="","",'TO HOP NLAN'!$A192)</f>
        <v/>
      </c>
      <c r="B326" s="38" t="str">
        <f>IF($A326="","",'TO HOP NLAN'!$D192)</f>
        <v/>
      </c>
      <c r="C326" s="38" t="str">
        <f>IF($A326="","",'TO HOP NLAN'!$E192)</f>
        <v/>
      </c>
      <c r="D326" s="38" t="str">
        <f>IF($A326="","",'TO HOP NLAN'!$F192)</f>
        <v/>
      </c>
      <c r="E326" s="38" t="str">
        <f>IF($A326="","",'TO HOP NLAN'!$B192)</f>
        <v/>
      </c>
      <c r="F326" s="38" t="str">
        <f>IF($A326="","",'TO HOP NLAN'!$C192)</f>
        <v/>
      </c>
      <c r="G326" s="38" t="str">
        <f t="shared" si="47"/>
        <v/>
      </c>
      <c r="H326" s="38" t="str">
        <f t="shared" si="45"/>
        <v/>
      </c>
      <c r="I326" s="38" t="str">
        <f t="shared" si="48"/>
        <v/>
      </c>
      <c r="J326" s="38" t="str">
        <f t="shared" si="49"/>
        <v/>
      </c>
      <c r="K326" s="38" t="str">
        <f t="shared" si="50"/>
        <v/>
      </c>
      <c r="L326" s="38" t="str">
        <f t="shared" si="51"/>
        <v/>
      </c>
      <c r="M326" s="38" t="str">
        <f>IF($A326="","",IF(H326=0,"",IF(Q326&lt;=0.000000001,MIN(0.8*0.75*'KT THAN'!$C$62,MAX('KT THAN'!$J$38:$J$58)),IFERROR(MIN(0.8*0.75*'KT THAN'!$C$62,INDEX('KT THAN'!$J$38:$J$58,MATCH(Q326,'KT THAN'!$L$38:$L$58,-1))+(INDEX('KT THAN'!$J$38:$J$58,MIN(21,MATCH(Q326,'KT THAN'!$L$38:$L$58,-1)+1))-INDEX('KT THAN'!$J$38:$J$58,MATCH(Q326,'KT THAN'!$L$38:$L$58,-1)))*(Q326-INDEX('KT THAN'!$L$38:$L$58,MATCH(Q326,'KT THAN'!$L$38:$L$58,-1)))/(INDEX('KT THAN'!$L$38:$L$58,MIN(21,MATCH(Q326,'KT THAN'!$L$38:$L$58,-1)+1))-INDEX('KT THAN'!$L$38:$L$58,MATCH(Q326,'KT THAN'!$L$38:$L$58,-1)))),MIN(0.8*0.75*'KT THAN'!$C$62,'KT THAN'!$C$68/Q326)))))</f>
        <v/>
      </c>
      <c r="N326" s="38" t="str">
        <f>IF($A326="","",IF(H326=0,"",IF(R326&lt;=0.000000001,MIN(0.8*0.75*'KT THAN'!$C$62,MAX('KT THAN'!$W$38:$W$58)),IFERROR(MIN(0.8*0.75*'KT THAN'!$C$62,INDEX('KT THAN'!$W$38:$W$58,MATCH(R326,'KT THAN'!$Y$38:$Y$58,-1))+(INDEX('KT THAN'!$W$38:$W$58,MIN(21,MATCH(R326,'KT THAN'!$Y$38:$Y$58,-1)+1))-INDEX('KT THAN'!$W$38:$W$58,MATCH(R326,'KT THAN'!$Y$38:$Y$58,-1)))*(R326-INDEX('KT THAN'!$Y$38:$Y$58,MATCH(R326,'KT THAN'!$Y$38:$Y$58,-1)))/(INDEX('KT THAN'!$Y$38:$Y$58,MIN(21,MATCH(R326,'KT THAN'!$Y$38:$Y$58,-1)+1))-INDEX('KT THAN'!$Y$38:$Y$58,MATCH(R326,'KT THAN'!$Y$38:$Y$58,-1)))),MIN(0.8*0.75*'KT THAN'!$C$62,'KT THAN'!$D$68/R326)))))</f>
        <v/>
      </c>
      <c r="O326" s="38" t="str">
        <f>IF($A326="","",IF(H326&lt;0,ABS(H326)/MAX('KT THAN'!$C$69,0.001)+'KT THAN'!$C$32*ABS(J326)/MAX('KT THAN'!$C$68,0.001)+'KT THAN'!$D$32*ABS(I326)/MAX('KT THAN'!$D$68,0.001),IF(OR(M326&lt;=0,N326&lt;=0),999,IF(H326&gt;=0.1*0.75*fc_*Agth*1000,H326/MAX(0.001,1/(1/M326+1/N326-1/(0.75*'KT THAN'!$C$62))),'KT THAN'!$C$32*ABS(J326)/MAX('KT THAN'!$C$68,0.001)+'KT THAN'!$D$32*ABS(I326)/MAX('KT THAN'!$D$68,0.001)))))</f>
        <v/>
      </c>
      <c r="P326" s="37" t="str">
        <f t="shared" si="52"/>
        <v/>
      </c>
      <c r="Q326" s="38" t="str">
        <f>IF($A326="","",MAX(0.001,'KT THAN'!$C$32*ABS(J326)/MAX(1,H326)))</f>
        <v/>
      </c>
      <c r="R326" s="38" t="str">
        <f>IF($A326="","",MAX(0.001,'KT THAN'!$D$32*ABS(I326)/MAX(1,H326)))</f>
        <v/>
      </c>
      <c r="S326" t="str">
        <f t="shared" si="46"/>
        <v/>
      </c>
    </row>
    <row r="327" spans="1:19" hidden="1" outlineLevel="1" x14ac:dyDescent="0.3">
      <c r="A327" s="37" t="str">
        <f>IF('TO HOP NLAN'!$A193="","",'TO HOP NLAN'!$A193)</f>
        <v/>
      </c>
      <c r="B327" s="38" t="str">
        <f>IF($A327="","",'TO HOP NLAN'!$D193)</f>
        <v/>
      </c>
      <c r="C327" s="38" t="str">
        <f>IF($A327="","",'TO HOP NLAN'!$E193)</f>
        <v/>
      </c>
      <c r="D327" s="38" t="str">
        <f>IF($A327="","",'TO HOP NLAN'!$F193)</f>
        <v/>
      </c>
      <c r="E327" s="38" t="str">
        <f>IF($A327="","",'TO HOP NLAN'!$B193)</f>
        <v/>
      </c>
      <c r="F327" s="38" t="str">
        <f>IF($A327="","",'TO HOP NLAN'!$C193)</f>
        <v/>
      </c>
      <c r="G327" s="38" t="str">
        <f t="shared" si="47"/>
        <v/>
      </c>
      <c r="H327" s="38" t="str">
        <f t="shared" si="45"/>
        <v/>
      </c>
      <c r="I327" s="38" t="str">
        <f t="shared" si="48"/>
        <v/>
      </c>
      <c r="J327" s="38" t="str">
        <f t="shared" si="49"/>
        <v/>
      </c>
      <c r="K327" s="38" t="str">
        <f t="shared" si="50"/>
        <v/>
      </c>
      <c r="L327" s="38" t="str">
        <f t="shared" si="51"/>
        <v/>
      </c>
      <c r="M327" s="38" t="str">
        <f>IF($A327="","",IF(H327=0,"",IF(Q327&lt;=0.000000001,MIN(0.8*0.75*'KT THAN'!$C$62,MAX('KT THAN'!$J$38:$J$58)),IFERROR(MIN(0.8*0.75*'KT THAN'!$C$62,INDEX('KT THAN'!$J$38:$J$58,MATCH(Q327,'KT THAN'!$L$38:$L$58,-1))+(INDEX('KT THAN'!$J$38:$J$58,MIN(21,MATCH(Q327,'KT THAN'!$L$38:$L$58,-1)+1))-INDEX('KT THAN'!$J$38:$J$58,MATCH(Q327,'KT THAN'!$L$38:$L$58,-1)))*(Q327-INDEX('KT THAN'!$L$38:$L$58,MATCH(Q327,'KT THAN'!$L$38:$L$58,-1)))/(INDEX('KT THAN'!$L$38:$L$58,MIN(21,MATCH(Q327,'KT THAN'!$L$38:$L$58,-1)+1))-INDEX('KT THAN'!$L$38:$L$58,MATCH(Q327,'KT THAN'!$L$38:$L$58,-1)))),MIN(0.8*0.75*'KT THAN'!$C$62,'KT THAN'!$C$68/Q327)))))</f>
        <v/>
      </c>
      <c r="N327" s="38" t="str">
        <f>IF($A327="","",IF(H327=0,"",IF(R327&lt;=0.000000001,MIN(0.8*0.75*'KT THAN'!$C$62,MAX('KT THAN'!$W$38:$W$58)),IFERROR(MIN(0.8*0.75*'KT THAN'!$C$62,INDEX('KT THAN'!$W$38:$W$58,MATCH(R327,'KT THAN'!$Y$38:$Y$58,-1))+(INDEX('KT THAN'!$W$38:$W$58,MIN(21,MATCH(R327,'KT THAN'!$Y$38:$Y$58,-1)+1))-INDEX('KT THAN'!$W$38:$W$58,MATCH(R327,'KT THAN'!$Y$38:$Y$58,-1)))*(R327-INDEX('KT THAN'!$Y$38:$Y$58,MATCH(R327,'KT THAN'!$Y$38:$Y$58,-1)))/(INDEX('KT THAN'!$Y$38:$Y$58,MIN(21,MATCH(R327,'KT THAN'!$Y$38:$Y$58,-1)+1))-INDEX('KT THAN'!$Y$38:$Y$58,MATCH(R327,'KT THAN'!$Y$38:$Y$58,-1)))),MIN(0.8*0.75*'KT THAN'!$C$62,'KT THAN'!$D$68/R327)))))</f>
        <v/>
      </c>
      <c r="O327" s="38" t="str">
        <f>IF($A327="","",IF(H327&lt;0,ABS(H327)/MAX('KT THAN'!$C$69,0.001)+'KT THAN'!$C$32*ABS(J327)/MAX('KT THAN'!$C$68,0.001)+'KT THAN'!$D$32*ABS(I327)/MAX('KT THAN'!$D$68,0.001),IF(OR(M327&lt;=0,N327&lt;=0),999,IF(H327&gt;=0.1*0.75*fc_*Agth*1000,H327/MAX(0.001,1/(1/M327+1/N327-1/(0.75*'KT THAN'!$C$62))),'KT THAN'!$C$32*ABS(J327)/MAX('KT THAN'!$C$68,0.001)+'KT THAN'!$D$32*ABS(I327)/MAX('KT THAN'!$D$68,0.001)))))</f>
        <v/>
      </c>
      <c r="P327" s="37" t="str">
        <f t="shared" si="52"/>
        <v/>
      </c>
      <c r="Q327" s="38" t="str">
        <f>IF($A327="","",MAX(0.001,'KT THAN'!$C$32*ABS(J327)/MAX(1,H327)))</f>
        <v/>
      </c>
      <c r="R327" s="38" t="str">
        <f>IF($A327="","",MAX(0.001,'KT THAN'!$D$32*ABS(I327)/MAX(1,H327)))</f>
        <v/>
      </c>
      <c r="S327" t="str">
        <f t="shared" si="46"/>
        <v/>
      </c>
    </row>
    <row r="328" spans="1:19" hidden="1" outlineLevel="1" x14ac:dyDescent="0.3">
      <c r="A328" s="37" t="str">
        <f>IF('TO HOP NLAN'!$A194="","",'TO HOP NLAN'!$A194)</f>
        <v/>
      </c>
      <c r="B328" s="38" t="str">
        <f>IF($A328="","",'TO HOP NLAN'!$D194)</f>
        <v/>
      </c>
      <c r="C328" s="38" t="str">
        <f>IF($A328="","",'TO HOP NLAN'!$E194)</f>
        <v/>
      </c>
      <c r="D328" s="38" t="str">
        <f>IF($A328="","",'TO HOP NLAN'!$F194)</f>
        <v/>
      </c>
      <c r="E328" s="38" t="str">
        <f>IF($A328="","",'TO HOP NLAN'!$B194)</f>
        <v/>
      </c>
      <c r="F328" s="38" t="str">
        <f>IF($A328="","",'TO HOP NLAN'!$C194)</f>
        <v/>
      </c>
      <c r="G328" s="38" t="str">
        <f t="shared" si="47"/>
        <v/>
      </c>
      <c r="H328" s="38" t="str">
        <f t="shared" si="45"/>
        <v/>
      </c>
      <c r="I328" s="38" t="str">
        <f t="shared" si="48"/>
        <v/>
      </c>
      <c r="J328" s="38" t="str">
        <f t="shared" si="49"/>
        <v/>
      </c>
      <c r="K328" s="38" t="str">
        <f t="shared" si="50"/>
        <v/>
      </c>
      <c r="L328" s="38" t="str">
        <f t="shared" si="51"/>
        <v/>
      </c>
      <c r="M328" s="38" t="str">
        <f>IF($A328="","",IF(H328=0,"",IF(Q328&lt;=0.000000001,MIN(0.8*0.75*'KT THAN'!$C$62,MAX('KT THAN'!$J$38:$J$58)),IFERROR(MIN(0.8*0.75*'KT THAN'!$C$62,INDEX('KT THAN'!$J$38:$J$58,MATCH(Q328,'KT THAN'!$L$38:$L$58,-1))+(INDEX('KT THAN'!$J$38:$J$58,MIN(21,MATCH(Q328,'KT THAN'!$L$38:$L$58,-1)+1))-INDEX('KT THAN'!$J$38:$J$58,MATCH(Q328,'KT THAN'!$L$38:$L$58,-1)))*(Q328-INDEX('KT THAN'!$L$38:$L$58,MATCH(Q328,'KT THAN'!$L$38:$L$58,-1)))/(INDEX('KT THAN'!$L$38:$L$58,MIN(21,MATCH(Q328,'KT THAN'!$L$38:$L$58,-1)+1))-INDEX('KT THAN'!$L$38:$L$58,MATCH(Q328,'KT THAN'!$L$38:$L$58,-1)))),MIN(0.8*0.75*'KT THAN'!$C$62,'KT THAN'!$C$68/Q328)))))</f>
        <v/>
      </c>
      <c r="N328" s="38" t="str">
        <f>IF($A328="","",IF(H328=0,"",IF(R328&lt;=0.000000001,MIN(0.8*0.75*'KT THAN'!$C$62,MAX('KT THAN'!$W$38:$W$58)),IFERROR(MIN(0.8*0.75*'KT THAN'!$C$62,INDEX('KT THAN'!$W$38:$W$58,MATCH(R328,'KT THAN'!$Y$38:$Y$58,-1))+(INDEX('KT THAN'!$W$38:$W$58,MIN(21,MATCH(R328,'KT THAN'!$Y$38:$Y$58,-1)+1))-INDEX('KT THAN'!$W$38:$W$58,MATCH(R328,'KT THAN'!$Y$38:$Y$58,-1)))*(R328-INDEX('KT THAN'!$Y$38:$Y$58,MATCH(R328,'KT THAN'!$Y$38:$Y$58,-1)))/(INDEX('KT THAN'!$Y$38:$Y$58,MIN(21,MATCH(R328,'KT THAN'!$Y$38:$Y$58,-1)+1))-INDEX('KT THAN'!$Y$38:$Y$58,MATCH(R328,'KT THAN'!$Y$38:$Y$58,-1)))),MIN(0.8*0.75*'KT THAN'!$C$62,'KT THAN'!$D$68/R328)))))</f>
        <v/>
      </c>
      <c r="O328" s="38" t="str">
        <f>IF($A328="","",IF(H328&lt;0,ABS(H328)/MAX('KT THAN'!$C$69,0.001)+'KT THAN'!$C$32*ABS(J328)/MAX('KT THAN'!$C$68,0.001)+'KT THAN'!$D$32*ABS(I328)/MAX('KT THAN'!$D$68,0.001),IF(OR(M328&lt;=0,N328&lt;=0),999,IF(H328&gt;=0.1*0.75*fc_*Agth*1000,H328/MAX(0.001,1/(1/M328+1/N328-1/(0.75*'KT THAN'!$C$62))),'KT THAN'!$C$32*ABS(J328)/MAX('KT THAN'!$C$68,0.001)+'KT THAN'!$D$32*ABS(I328)/MAX('KT THAN'!$D$68,0.001)))))</f>
        <v/>
      </c>
      <c r="P328" s="37" t="str">
        <f t="shared" si="52"/>
        <v/>
      </c>
      <c r="Q328" s="38" t="str">
        <f>IF($A328="","",MAX(0.001,'KT THAN'!$C$32*ABS(J328)/MAX(1,H328)))</f>
        <v/>
      </c>
      <c r="R328" s="38" t="str">
        <f>IF($A328="","",MAX(0.001,'KT THAN'!$D$32*ABS(I328)/MAX(1,H328)))</f>
        <v/>
      </c>
      <c r="S328" t="str">
        <f t="shared" si="46"/>
        <v/>
      </c>
    </row>
    <row r="329" spans="1:19" hidden="1" outlineLevel="1" x14ac:dyDescent="0.3">
      <c r="A329" s="37" t="str">
        <f>IF('TO HOP NLAN'!$A195="","",'TO HOP NLAN'!$A195)</f>
        <v/>
      </c>
      <c r="B329" s="38" t="str">
        <f>IF($A329="","",'TO HOP NLAN'!$D195)</f>
        <v/>
      </c>
      <c r="C329" s="38" t="str">
        <f>IF($A329="","",'TO HOP NLAN'!$E195)</f>
        <v/>
      </c>
      <c r="D329" s="38" t="str">
        <f>IF($A329="","",'TO HOP NLAN'!$F195)</f>
        <v/>
      </c>
      <c r="E329" s="38" t="str">
        <f>IF($A329="","",'TO HOP NLAN'!$B195)</f>
        <v/>
      </c>
      <c r="F329" s="38" t="str">
        <f>IF($A329="","",'TO HOP NLAN'!$C195)</f>
        <v/>
      </c>
      <c r="G329" s="38" t="str">
        <f t="shared" si="47"/>
        <v/>
      </c>
      <c r="H329" s="38" t="str">
        <f t="shared" si="45"/>
        <v/>
      </c>
      <c r="I329" s="38" t="str">
        <f t="shared" si="48"/>
        <v/>
      </c>
      <c r="J329" s="38" t="str">
        <f t="shared" si="49"/>
        <v/>
      </c>
      <c r="K329" s="38" t="str">
        <f t="shared" si="50"/>
        <v/>
      </c>
      <c r="L329" s="38" t="str">
        <f t="shared" si="51"/>
        <v/>
      </c>
      <c r="M329" s="38" t="str">
        <f>IF($A329="","",IF(H329=0,"",IF(Q329&lt;=0.000000001,MIN(0.8*0.75*'KT THAN'!$C$62,MAX('KT THAN'!$J$38:$J$58)),IFERROR(MIN(0.8*0.75*'KT THAN'!$C$62,INDEX('KT THAN'!$J$38:$J$58,MATCH(Q329,'KT THAN'!$L$38:$L$58,-1))+(INDEX('KT THAN'!$J$38:$J$58,MIN(21,MATCH(Q329,'KT THAN'!$L$38:$L$58,-1)+1))-INDEX('KT THAN'!$J$38:$J$58,MATCH(Q329,'KT THAN'!$L$38:$L$58,-1)))*(Q329-INDEX('KT THAN'!$L$38:$L$58,MATCH(Q329,'KT THAN'!$L$38:$L$58,-1)))/(INDEX('KT THAN'!$L$38:$L$58,MIN(21,MATCH(Q329,'KT THAN'!$L$38:$L$58,-1)+1))-INDEX('KT THAN'!$L$38:$L$58,MATCH(Q329,'KT THAN'!$L$38:$L$58,-1)))),MIN(0.8*0.75*'KT THAN'!$C$62,'KT THAN'!$C$68/Q329)))))</f>
        <v/>
      </c>
      <c r="N329" s="38" t="str">
        <f>IF($A329="","",IF(H329=0,"",IF(R329&lt;=0.000000001,MIN(0.8*0.75*'KT THAN'!$C$62,MAX('KT THAN'!$W$38:$W$58)),IFERROR(MIN(0.8*0.75*'KT THAN'!$C$62,INDEX('KT THAN'!$W$38:$W$58,MATCH(R329,'KT THAN'!$Y$38:$Y$58,-1))+(INDEX('KT THAN'!$W$38:$W$58,MIN(21,MATCH(R329,'KT THAN'!$Y$38:$Y$58,-1)+1))-INDEX('KT THAN'!$W$38:$W$58,MATCH(R329,'KT THAN'!$Y$38:$Y$58,-1)))*(R329-INDEX('KT THAN'!$Y$38:$Y$58,MATCH(R329,'KT THAN'!$Y$38:$Y$58,-1)))/(INDEX('KT THAN'!$Y$38:$Y$58,MIN(21,MATCH(R329,'KT THAN'!$Y$38:$Y$58,-1)+1))-INDEX('KT THAN'!$Y$38:$Y$58,MATCH(R329,'KT THAN'!$Y$38:$Y$58,-1)))),MIN(0.8*0.75*'KT THAN'!$C$62,'KT THAN'!$D$68/R329)))))</f>
        <v/>
      </c>
      <c r="O329" s="38" t="str">
        <f>IF($A329="","",IF(H329&lt;0,ABS(H329)/MAX('KT THAN'!$C$69,0.001)+'KT THAN'!$C$32*ABS(J329)/MAX('KT THAN'!$C$68,0.001)+'KT THAN'!$D$32*ABS(I329)/MAX('KT THAN'!$D$68,0.001),IF(OR(M329&lt;=0,N329&lt;=0),999,IF(H329&gt;=0.1*0.75*fc_*Agth*1000,H329/MAX(0.001,1/(1/M329+1/N329-1/(0.75*'KT THAN'!$C$62))),'KT THAN'!$C$32*ABS(J329)/MAX('KT THAN'!$C$68,0.001)+'KT THAN'!$D$32*ABS(I329)/MAX('KT THAN'!$D$68,0.001)))))</f>
        <v/>
      </c>
      <c r="P329" s="37" t="str">
        <f t="shared" si="52"/>
        <v/>
      </c>
      <c r="Q329" s="38" t="str">
        <f>IF($A329="","",MAX(0.001,'KT THAN'!$C$32*ABS(J329)/MAX(1,H329)))</f>
        <v/>
      </c>
      <c r="R329" s="38" t="str">
        <f>IF($A329="","",MAX(0.001,'KT THAN'!$D$32*ABS(I329)/MAX(1,H329)))</f>
        <v/>
      </c>
      <c r="S329" t="str">
        <f t="shared" si="46"/>
        <v/>
      </c>
    </row>
    <row r="330" spans="1:19" hidden="1" outlineLevel="1" x14ac:dyDescent="0.3">
      <c r="A330" s="37" t="str">
        <f>IF('TO HOP NLAN'!$A196="","",'TO HOP NLAN'!$A196)</f>
        <v/>
      </c>
      <c r="B330" s="38" t="str">
        <f>IF($A330="","",'TO HOP NLAN'!$D196)</f>
        <v/>
      </c>
      <c r="C330" s="38" t="str">
        <f>IF($A330="","",'TO HOP NLAN'!$E196)</f>
        <v/>
      </c>
      <c r="D330" s="38" t="str">
        <f>IF($A330="","",'TO HOP NLAN'!$F196)</f>
        <v/>
      </c>
      <c r="E330" s="38" t="str">
        <f>IF($A330="","",'TO HOP NLAN'!$B196)</f>
        <v/>
      </c>
      <c r="F330" s="38" t="str">
        <f>IF($A330="","",'TO HOP NLAN'!$C196)</f>
        <v/>
      </c>
      <c r="G330" s="38" t="str">
        <f t="shared" si="47"/>
        <v/>
      </c>
      <c r="H330" s="38" t="str">
        <f t="shared" si="45"/>
        <v/>
      </c>
      <c r="I330" s="38" t="str">
        <f t="shared" si="48"/>
        <v/>
      </c>
      <c r="J330" s="38" t="str">
        <f t="shared" si="49"/>
        <v/>
      </c>
      <c r="K330" s="38" t="str">
        <f t="shared" si="50"/>
        <v/>
      </c>
      <c r="L330" s="38" t="str">
        <f t="shared" si="51"/>
        <v/>
      </c>
      <c r="M330" s="38" t="str">
        <f>IF($A330="","",IF(H330=0,"",IF(Q330&lt;=0.000000001,MIN(0.8*0.75*'KT THAN'!$C$62,MAX('KT THAN'!$J$38:$J$58)),IFERROR(MIN(0.8*0.75*'KT THAN'!$C$62,INDEX('KT THAN'!$J$38:$J$58,MATCH(Q330,'KT THAN'!$L$38:$L$58,-1))+(INDEX('KT THAN'!$J$38:$J$58,MIN(21,MATCH(Q330,'KT THAN'!$L$38:$L$58,-1)+1))-INDEX('KT THAN'!$J$38:$J$58,MATCH(Q330,'KT THAN'!$L$38:$L$58,-1)))*(Q330-INDEX('KT THAN'!$L$38:$L$58,MATCH(Q330,'KT THAN'!$L$38:$L$58,-1)))/(INDEX('KT THAN'!$L$38:$L$58,MIN(21,MATCH(Q330,'KT THAN'!$L$38:$L$58,-1)+1))-INDEX('KT THAN'!$L$38:$L$58,MATCH(Q330,'KT THAN'!$L$38:$L$58,-1)))),MIN(0.8*0.75*'KT THAN'!$C$62,'KT THAN'!$C$68/Q330)))))</f>
        <v/>
      </c>
      <c r="N330" s="38" t="str">
        <f>IF($A330="","",IF(H330=0,"",IF(R330&lt;=0.000000001,MIN(0.8*0.75*'KT THAN'!$C$62,MAX('KT THAN'!$W$38:$W$58)),IFERROR(MIN(0.8*0.75*'KT THAN'!$C$62,INDEX('KT THAN'!$W$38:$W$58,MATCH(R330,'KT THAN'!$Y$38:$Y$58,-1))+(INDEX('KT THAN'!$W$38:$W$58,MIN(21,MATCH(R330,'KT THAN'!$Y$38:$Y$58,-1)+1))-INDEX('KT THAN'!$W$38:$W$58,MATCH(R330,'KT THAN'!$Y$38:$Y$58,-1)))*(R330-INDEX('KT THAN'!$Y$38:$Y$58,MATCH(R330,'KT THAN'!$Y$38:$Y$58,-1)))/(INDEX('KT THAN'!$Y$38:$Y$58,MIN(21,MATCH(R330,'KT THAN'!$Y$38:$Y$58,-1)+1))-INDEX('KT THAN'!$Y$38:$Y$58,MATCH(R330,'KT THAN'!$Y$38:$Y$58,-1)))),MIN(0.8*0.75*'KT THAN'!$C$62,'KT THAN'!$D$68/R330)))))</f>
        <v/>
      </c>
      <c r="O330" s="38" t="str">
        <f>IF($A330="","",IF(H330&lt;0,ABS(H330)/MAX('KT THAN'!$C$69,0.001)+'KT THAN'!$C$32*ABS(J330)/MAX('KT THAN'!$C$68,0.001)+'KT THAN'!$D$32*ABS(I330)/MAX('KT THAN'!$D$68,0.001),IF(OR(M330&lt;=0,N330&lt;=0),999,IF(H330&gt;=0.1*0.75*fc_*Agth*1000,H330/MAX(0.001,1/(1/M330+1/N330-1/(0.75*'KT THAN'!$C$62))),'KT THAN'!$C$32*ABS(J330)/MAX('KT THAN'!$C$68,0.001)+'KT THAN'!$D$32*ABS(I330)/MAX('KT THAN'!$D$68,0.001)))))</f>
        <v/>
      </c>
      <c r="P330" s="37" t="str">
        <f t="shared" si="52"/>
        <v/>
      </c>
      <c r="Q330" s="38" t="str">
        <f>IF($A330="","",MAX(0.001,'KT THAN'!$C$32*ABS(J330)/MAX(1,H330)))</f>
        <v/>
      </c>
      <c r="R330" s="38" t="str">
        <f>IF($A330="","",MAX(0.001,'KT THAN'!$D$32*ABS(I330)/MAX(1,H330)))</f>
        <v/>
      </c>
      <c r="S330" t="str">
        <f t="shared" si="46"/>
        <v/>
      </c>
    </row>
    <row r="331" spans="1:19" hidden="1" outlineLevel="1" x14ac:dyDescent="0.3">
      <c r="A331" s="37" t="str">
        <f>IF('TO HOP NLAN'!$A197="","",'TO HOP NLAN'!$A197)</f>
        <v/>
      </c>
      <c r="B331" s="38" t="str">
        <f>IF($A331="","",'TO HOP NLAN'!$D197)</f>
        <v/>
      </c>
      <c r="C331" s="38" t="str">
        <f>IF($A331="","",'TO HOP NLAN'!$E197)</f>
        <v/>
      </c>
      <c r="D331" s="38" t="str">
        <f>IF($A331="","",'TO HOP NLAN'!$F197)</f>
        <v/>
      </c>
      <c r="E331" s="38" t="str">
        <f>IF($A331="","",'TO HOP NLAN'!$B197)</f>
        <v/>
      </c>
      <c r="F331" s="38" t="str">
        <f>IF($A331="","",'TO HOP NLAN'!$C197)</f>
        <v/>
      </c>
      <c r="G331" s="38" t="str">
        <f t="shared" si="47"/>
        <v/>
      </c>
      <c r="H331" s="38" t="str">
        <f t="shared" si="45"/>
        <v/>
      </c>
      <c r="I331" s="38" t="str">
        <f t="shared" si="48"/>
        <v/>
      </c>
      <c r="J331" s="38" t="str">
        <f t="shared" si="49"/>
        <v/>
      </c>
      <c r="K331" s="38" t="str">
        <f t="shared" si="50"/>
        <v/>
      </c>
      <c r="L331" s="38" t="str">
        <f t="shared" si="51"/>
        <v/>
      </c>
      <c r="M331" s="38" t="str">
        <f>IF($A331="","",IF(H331=0,"",IF(Q331&lt;=0.000000001,MIN(0.8*0.75*'KT THAN'!$C$62,MAX('KT THAN'!$J$38:$J$58)),IFERROR(MIN(0.8*0.75*'KT THAN'!$C$62,INDEX('KT THAN'!$J$38:$J$58,MATCH(Q331,'KT THAN'!$L$38:$L$58,-1))+(INDEX('KT THAN'!$J$38:$J$58,MIN(21,MATCH(Q331,'KT THAN'!$L$38:$L$58,-1)+1))-INDEX('KT THAN'!$J$38:$J$58,MATCH(Q331,'KT THAN'!$L$38:$L$58,-1)))*(Q331-INDEX('KT THAN'!$L$38:$L$58,MATCH(Q331,'KT THAN'!$L$38:$L$58,-1)))/(INDEX('KT THAN'!$L$38:$L$58,MIN(21,MATCH(Q331,'KT THAN'!$L$38:$L$58,-1)+1))-INDEX('KT THAN'!$L$38:$L$58,MATCH(Q331,'KT THAN'!$L$38:$L$58,-1)))),MIN(0.8*0.75*'KT THAN'!$C$62,'KT THAN'!$C$68/Q331)))))</f>
        <v/>
      </c>
      <c r="N331" s="38" t="str">
        <f>IF($A331="","",IF(H331=0,"",IF(R331&lt;=0.000000001,MIN(0.8*0.75*'KT THAN'!$C$62,MAX('KT THAN'!$W$38:$W$58)),IFERROR(MIN(0.8*0.75*'KT THAN'!$C$62,INDEX('KT THAN'!$W$38:$W$58,MATCH(R331,'KT THAN'!$Y$38:$Y$58,-1))+(INDEX('KT THAN'!$W$38:$W$58,MIN(21,MATCH(R331,'KT THAN'!$Y$38:$Y$58,-1)+1))-INDEX('KT THAN'!$W$38:$W$58,MATCH(R331,'KT THAN'!$Y$38:$Y$58,-1)))*(R331-INDEX('KT THAN'!$Y$38:$Y$58,MATCH(R331,'KT THAN'!$Y$38:$Y$58,-1)))/(INDEX('KT THAN'!$Y$38:$Y$58,MIN(21,MATCH(R331,'KT THAN'!$Y$38:$Y$58,-1)+1))-INDEX('KT THAN'!$Y$38:$Y$58,MATCH(R331,'KT THAN'!$Y$38:$Y$58,-1)))),MIN(0.8*0.75*'KT THAN'!$C$62,'KT THAN'!$D$68/R331)))))</f>
        <v/>
      </c>
      <c r="O331" s="38" t="str">
        <f>IF($A331="","",IF(H331&lt;0,ABS(H331)/MAX('KT THAN'!$C$69,0.001)+'KT THAN'!$C$32*ABS(J331)/MAX('KT THAN'!$C$68,0.001)+'KT THAN'!$D$32*ABS(I331)/MAX('KT THAN'!$D$68,0.001),IF(OR(M331&lt;=0,N331&lt;=0),999,IF(H331&gt;=0.1*0.75*fc_*Agth*1000,H331/MAX(0.001,1/(1/M331+1/N331-1/(0.75*'KT THAN'!$C$62))),'KT THAN'!$C$32*ABS(J331)/MAX('KT THAN'!$C$68,0.001)+'KT THAN'!$D$32*ABS(I331)/MAX('KT THAN'!$D$68,0.001)))))</f>
        <v/>
      </c>
      <c r="P331" s="37" t="str">
        <f t="shared" si="52"/>
        <v/>
      </c>
      <c r="Q331" s="38" t="str">
        <f>IF($A331="","",MAX(0.001,'KT THAN'!$C$32*ABS(J331)/MAX(1,H331)))</f>
        <v/>
      </c>
      <c r="R331" s="38" t="str">
        <f>IF($A331="","",MAX(0.001,'KT THAN'!$D$32*ABS(I331)/MAX(1,H331)))</f>
        <v/>
      </c>
      <c r="S331" t="str">
        <f t="shared" si="46"/>
        <v/>
      </c>
    </row>
    <row r="332" spans="1:19" hidden="1" outlineLevel="1" x14ac:dyDescent="0.3">
      <c r="A332" s="37" t="str">
        <f>IF('TO HOP NLAN'!$A198="","",'TO HOP NLAN'!$A198)</f>
        <v/>
      </c>
      <c r="B332" s="38" t="str">
        <f>IF($A332="","",'TO HOP NLAN'!$D198)</f>
        <v/>
      </c>
      <c r="C332" s="38" t="str">
        <f>IF($A332="","",'TO HOP NLAN'!$E198)</f>
        <v/>
      </c>
      <c r="D332" s="38" t="str">
        <f>IF($A332="","",'TO HOP NLAN'!$F198)</f>
        <v/>
      </c>
      <c r="E332" s="38" t="str">
        <f>IF($A332="","",'TO HOP NLAN'!$B198)</f>
        <v/>
      </c>
      <c r="F332" s="38" t="str">
        <f>IF($A332="","",'TO HOP NLAN'!$C198)</f>
        <v/>
      </c>
      <c r="G332" s="38" t="str">
        <f t="shared" si="47"/>
        <v/>
      </c>
      <c r="H332" s="38" t="str">
        <f t="shared" ref="H332:H395" si="53">IF(A332="","",IF(nThan=1,B332,B332/2+(1)*$B$7*C332/sThan))</f>
        <v/>
      </c>
      <c r="I332" s="38" t="str">
        <f t="shared" si="48"/>
        <v/>
      </c>
      <c r="J332" s="38" t="str">
        <f t="shared" si="49"/>
        <v/>
      </c>
      <c r="K332" s="38" t="str">
        <f t="shared" si="50"/>
        <v/>
      </c>
      <c r="L332" s="38" t="str">
        <f t="shared" si="51"/>
        <v/>
      </c>
      <c r="M332" s="38" t="str">
        <f>IF($A332="","",IF(H332=0,"",IF(Q332&lt;=0.000000001,MIN(0.8*0.75*'KT THAN'!$C$62,MAX('KT THAN'!$J$38:$J$58)),IFERROR(MIN(0.8*0.75*'KT THAN'!$C$62,INDEX('KT THAN'!$J$38:$J$58,MATCH(Q332,'KT THAN'!$L$38:$L$58,-1))+(INDEX('KT THAN'!$J$38:$J$58,MIN(21,MATCH(Q332,'KT THAN'!$L$38:$L$58,-1)+1))-INDEX('KT THAN'!$J$38:$J$58,MATCH(Q332,'KT THAN'!$L$38:$L$58,-1)))*(Q332-INDEX('KT THAN'!$L$38:$L$58,MATCH(Q332,'KT THAN'!$L$38:$L$58,-1)))/(INDEX('KT THAN'!$L$38:$L$58,MIN(21,MATCH(Q332,'KT THAN'!$L$38:$L$58,-1)+1))-INDEX('KT THAN'!$L$38:$L$58,MATCH(Q332,'KT THAN'!$L$38:$L$58,-1)))),MIN(0.8*0.75*'KT THAN'!$C$62,'KT THAN'!$C$68/Q332)))))</f>
        <v/>
      </c>
      <c r="N332" s="38" t="str">
        <f>IF($A332="","",IF(H332=0,"",IF(R332&lt;=0.000000001,MIN(0.8*0.75*'KT THAN'!$C$62,MAX('KT THAN'!$W$38:$W$58)),IFERROR(MIN(0.8*0.75*'KT THAN'!$C$62,INDEX('KT THAN'!$W$38:$W$58,MATCH(R332,'KT THAN'!$Y$38:$Y$58,-1))+(INDEX('KT THAN'!$W$38:$W$58,MIN(21,MATCH(R332,'KT THAN'!$Y$38:$Y$58,-1)+1))-INDEX('KT THAN'!$W$38:$W$58,MATCH(R332,'KT THAN'!$Y$38:$Y$58,-1)))*(R332-INDEX('KT THAN'!$Y$38:$Y$58,MATCH(R332,'KT THAN'!$Y$38:$Y$58,-1)))/(INDEX('KT THAN'!$Y$38:$Y$58,MIN(21,MATCH(R332,'KT THAN'!$Y$38:$Y$58,-1)+1))-INDEX('KT THAN'!$Y$38:$Y$58,MATCH(R332,'KT THAN'!$Y$38:$Y$58,-1)))),MIN(0.8*0.75*'KT THAN'!$C$62,'KT THAN'!$D$68/R332)))))</f>
        <v/>
      </c>
      <c r="O332" s="38" t="str">
        <f>IF($A332="","",IF(H332&lt;0,ABS(H332)/MAX('KT THAN'!$C$69,0.001)+'KT THAN'!$C$32*ABS(J332)/MAX('KT THAN'!$C$68,0.001)+'KT THAN'!$D$32*ABS(I332)/MAX('KT THAN'!$D$68,0.001),IF(OR(M332&lt;=0,N332&lt;=0),999,IF(H332&gt;=0.1*0.75*fc_*Agth*1000,H332/MAX(0.001,1/(1/M332+1/N332-1/(0.75*'KT THAN'!$C$62))),'KT THAN'!$C$32*ABS(J332)/MAX('KT THAN'!$C$68,0.001)+'KT THAN'!$D$32*ABS(I332)/MAX('KT THAN'!$D$68,0.001)))))</f>
        <v/>
      </c>
      <c r="P332" s="37" t="str">
        <f t="shared" si="52"/>
        <v/>
      </c>
      <c r="Q332" s="38" t="str">
        <f>IF($A332="","",MAX(0.001,'KT THAN'!$C$32*ABS(J332)/MAX(1,H332)))</f>
        <v/>
      </c>
      <c r="R332" s="38" t="str">
        <f>IF($A332="","",MAX(0.001,'KT THAN'!$D$32*ABS(I332)/MAX(1,H332)))</f>
        <v/>
      </c>
      <c r="S332" t="str">
        <f t="shared" ref="S332:S395" si="54">IF($A332="","",IF(H332&lt;0,O332,""))</f>
        <v/>
      </c>
    </row>
    <row r="333" spans="1:19" hidden="1" outlineLevel="1" x14ac:dyDescent="0.3">
      <c r="A333" s="37" t="str">
        <f>IF('TO HOP NLAN'!$A199="","",'TO HOP NLAN'!$A199)</f>
        <v/>
      </c>
      <c r="B333" s="38" t="str">
        <f>IF($A333="","",'TO HOP NLAN'!$D199)</f>
        <v/>
      </c>
      <c r="C333" s="38" t="str">
        <f>IF($A333="","",'TO HOP NLAN'!$E199)</f>
        <v/>
      </c>
      <c r="D333" s="38" t="str">
        <f>IF($A333="","",'TO HOP NLAN'!$F199)</f>
        <v/>
      </c>
      <c r="E333" s="38" t="str">
        <f>IF($A333="","",'TO HOP NLAN'!$B199)</f>
        <v/>
      </c>
      <c r="F333" s="38" t="str">
        <f>IF($A333="","",'TO HOP NLAN'!$C199)</f>
        <v/>
      </c>
      <c r="G333" s="38" t="str">
        <f t="shared" ref="G333:G396" si="55">IF(A333="","",1)</f>
        <v/>
      </c>
      <c r="H333" s="38" t="str">
        <f t="shared" si="53"/>
        <v/>
      </c>
      <c r="I333" s="38" t="str">
        <f t="shared" ref="I333:I396" si="56">IF(A333="","",IF(nThan=1,C333,(1-$B$7)*C333/2))</f>
        <v/>
      </c>
      <c r="J333" s="38" t="str">
        <f t="shared" ref="J333:J396" si="57">IF(A333="","",IF(nThan=1,D333,D333/2))</f>
        <v/>
      </c>
      <c r="K333" s="38" t="str">
        <f t="shared" ref="K333:K396" si="58">IF(A333="","",IF(nThan=1,E333,E333/2))</f>
        <v/>
      </c>
      <c r="L333" s="38" t="str">
        <f t="shared" ref="L333:L396" si="59">IF(A333="","",IF(nThan=1,F333,F333/2))</f>
        <v/>
      </c>
      <c r="M333" s="38" t="str">
        <f>IF($A333="","",IF(H333=0,"",IF(Q333&lt;=0.000000001,MIN(0.8*0.75*'KT THAN'!$C$62,MAX('KT THAN'!$J$38:$J$58)),IFERROR(MIN(0.8*0.75*'KT THAN'!$C$62,INDEX('KT THAN'!$J$38:$J$58,MATCH(Q333,'KT THAN'!$L$38:$L$58,-1))+(INDEX('KT THAN'!$J$38:$J$58,MIN(21,MATCH(Q333,'KT THAN'!$L$38:$L$58,-1)+1))-INDEX('KT THAN'!$J$38:$J$58,MATCH(Q333,'KT THAN'!$L$38:$L$58,-1)))*(Q333-INDEX('KT THAN'!$L$38:$L$58,MATCH(Q333,'KT THAN'!$L$38:$L$58,-1)))/(INDEX('KT THAN'!$L$38:$L$58,MIN(21,MATCH(Q333,'KT THAN'!$L$38:$L$58,-1)+1))-INDEX('KT THAN'!$L$38:$L$58,MATCH(Q333,'KT THAN'!$L$38:$L$58,-1)))),MIN(0.8*0.75*'KT THAN'!$C$62,'KT THAN'!$C$68/Q333)))))</f>
        <v/>
      </c>
      <c r="N333" s="38" t="str">
        <f>IF($A333="","",IF(H333=0,"",IF(R333&lt;=0.000000001,MIN(0.8*0.75*'KT THAN'!$C$62,MAX('KT THAN'!$W$38:$W$58)),IFERROR(MIN(0.8*0.75*'KT THAN'!$C$62,INDEX('KT THAN'!$W$38:$W$58,MATCH(R333,'KT THAN'!$Y$38:$Y$58,-1))+(INDEX('KT THAN'!$W$38:$W$58,MIN(21,MATCH(R333,'KT THAN'!$Y$38:$Y$58,-1)+1))-INDEX('KT THAN'!$W$38:$W$58,MATCH(R333,'KT THAN'!$Y$38:$Y$58,-1)))*(R333-INDEX('KT THAN'!$Y$38:$Y$58,MATCH(R333,'KT THAN'!$Y$38:$Y$58,-1)))/(INDEX('KT THAN'!$Y$38:$Y$58,MIN(21,MATCH(R333,'KT THAN'!$Y$38:$Y$58,-1)+1))-INDEX('KT THAN'!$Y$38:$Y$58,MATCH(R333,'KT THAN'!$Y$38:$Y$58,-1)))),MIN(0.8*0.75*'KT THAN'!$C$62,'KT THAN'!$D$68/R333)))))</f>
        <v/>
      </c>
      <c r="O333" s="38" t="str">
        <f>IF($A333="","",IF(H333&lt;0,ABS(H333)/MAX('KT THAN'!$C$69,0.001)+'KT THAN'!$C$32*ABS(J333)/MAX('KT THAN'!$C$68,0.001)+'KT THAN'!$D$32*ABS(I333)/MAX('KT THAN'!$D$68,0.001),IF(OR(M333&lt;=0,N333&lt;=0),999,IF(H333&gt;=0.1*0.75*fc_*Agth*1000,H333/MAX(0.001,1/(1/M333+1/N333-1/(0.75*'KT THAN'!$C$62))),'KT THAN'!$C$32*ABS(J333)/MAX('KT THAN'!$C$68,0.001)+'KT THAN'!$D$32*ABS(I333)/MAX('KT THAN'!$D$68,0.001)))))</f>
        <v/>
      </c>
      <c r="P333" s="37" t="str">
        <f t="shared" ref="P333:P396" si="60">IF(A333="","",IF(O333&lt;=1,"ĐẠT","KHÔNG ĐẠT"))</f>
        <v/>
      </c>
      <c r="Q333" s="38" t="str">
        <f>IF($A333="","",MAX(0.001,'KT THAN'!$C$32*ABS(J333)/MAX(1,H333)))</f>
        <v/>
      </c>
      <c r="R333" s="38" t="str">
        <f>IF($A333="","",MAX(0.001,'KT THAN'!$D$32*ABS(I333)/MAX(1,H333)))</f>
        <v/>
      </c>
      <c r="S333" t="str">
        <f t="shared" si="54"/>
        <v/>
      </c>
    </row>
    <row r="334" spans="1:19" hidden="1" outlineLevel="1" x14ac:dyDescent="0.3">
      <c r="A334" s="37" t="str">
        <f>IF('TO HOP NLAN'!$A200="","",'TO HOP NLAN'!$A200)</f>
        <v/>
      </c>
      <c r="B334" s="38" t="str">
        <f>IF($A334="","",'TO HOP NLAN'!$D200)</f>
        <v/>
      </c>
      <c r="C334" s="38" t="str">
        <f>IF($A334="","",'TO HOP NLAN'!$E200)</f>
        <v/>
      </c>
      <c r="D334" s="38" t="str">
        <f>IF($A334="","",'TO HOP NLAN'!$F200)</f>
        <v/>
      </c>
      <c r="E334" s="38" t="str">
        <f>IF($A334="","",'TO HOP NLAN'!$B200)</f>
        <v/>
      </c>
      <c r="F334" s="38" t="str">
        <f>IF($A334="","",'TO HOP NLAN'!$C200)</f>
        <v/>
      </c>
      <c r="G334" s="38" t="str">
        <f t="shared" si="55"/>
        <v/>
      </c>
      <c r="H334" s="38" t="str">
        <f t="shared" si="53"/>
        <v/>
      </c>
      <c r="I334" s="38" t="str">
        <f t="shared" si="56"/>
        <v/>
      </c>
      <c r="J334" s="38" t="str">
        <f t="shared" si="57"/>
        <v/>
      </c>
      <c r="K334" s="38" t="str">
        <f t="shared" si="58"/>
        <v/>
      </c>
      <c r="L334" s="38" t="str">
        <f t="shared" si="59"/>
        <v/>
      </c>
      <c r="M334" s="38" t="str">
        <f>IF($A334="","",IF(H334=0,"",IF(Q334&lt;=0.000000001,MIN(0.8*0.75*'KT THAN'!$C$62,MAX('KT THAN'!$J$38:$J$58)),IFERROR(MIN(0.8*0.75*'KT THAN'!$C$62,INDEX('KT THAN'!$J$38:$J$58,MATCH(Q334,'KT THAN'!$L$38:$L$58,-1))+(INDEX('KT THAN'!$J$38:$J$58,MIN(21,MATCH(Q334,'KT THAN'!$L$38:$L$58,-1)+1))-INDEX('KT THAN'!$J$38:$J$58,MATCH(Q334,'KT THAN'!$L$38:$L$58,-1)))*(Q334-INDEX('KT THAN'!$L$38:$L$58,MATCH(Q334,'KT THAN'!$L$38:$L$58,-1)))/(INDEX('KT THAN'!$L$38:$L$58,MIN(21,MATCH(Q334,'KT THAN'!$L$38:$L$58,-1)+1))-INDEX('KT THAN'!$L$38:$L$58,MATCH(Q334,'KT THAN'!$L$38:$L$58,-1)))),MIN(0.8*0.75*'KT THAN'!$C$62,'KT THAN'!$C$68/Q334)))))</f>
        <v/>
      </c>
      <c r="N334" s="38" t="str">
        <f>IF($A334="","",IF(H334=0,"",IF(R334&lt;=0.000000001,MIN(0.8*0.75*'KT THAN'!$C$62,MAX('KT THAN'!$W$38:$W$58)),IFERROR(MIN(0.8*0.75*'KT THAN'!$C$62,INDEX('KT THAN'!$W$38:$W$58,MATCH(R334,'KT THAN'!$Y$38:$Y$58,-1))+(INDEX('KT THAN'!$W$38:$W$58,MIN(21,MATCH(R334,'KT THAN'!$Y$38:$Y$58,-1)+1))-INDEX('KT THAN'!$W$38:$W$58,MATCH(R334,'KT THAN'!$Y$38:$Y$58,-1)))*(R334-INDEX('KT THAN'!$Y$38:$Y$58,MATCH(R334,'KT THAN'!$Y$38:$Y$58,-1)))/(INDEX('KT THAN'!$Y$38:$Y$58,MIN(21,MATCH(R334,'KT THAN'!$Y$38:$Y$58,-1)+1))-INDEX('KT THAN'!$Y$38:$Y$58,MATCH(R334,'KT THAN'!$Y$38:$Y$58,-1)))),MIN(0.8*0.75*'KT THAN'!$C$62,'KT THAN'!$D$68/R334)))))</f>
        <v/>
      </c>
      <c r="O334" s="38" t="str">
        <f>IF($A334="","",IF(H334&lt;0,ABS(H334)/MAX('KT THAN'!$C$69,0.001)+'KT THAN'!$C$32*ABS(J334)/MAX('KT THAN'!$C$68,0.001)+'KT THAN'!$D$32*ABS(I334)/MAX('KT THAN'!$D$68,0.001),IF(OR(M334&lt;=0,N334&lt;=0),999,IF(H334&gt;=0.1*0.75*fc_*Agth*1000,H334/MAX(0.001,1/(1/M334+1/N334-1/(0.75*'KT THAN'!$C$62))),'KT THAN'!$C$32*ABS(J334)/MAX('KT THAN'!$C$68,0.001)+'KT THAN'!$D$32*ABS(I334)/MAX('KT THAN'!$D$68,0.001)))))</f>
        <v/>
      </c>
      <c r="P334" s="37" t="str">
        <f t="shared" si="60"/>
        <v/>
      </c>
      <c r="Q334" s="38" t="str">
        <f>IF($A334="","",MAX(0.001,'KT THAN'!$C$32*ABS(J334)/MAX(1,H334)))</f>
        <v/>
      </c>
      <c r="R334" s="38" t="str">
        <f>IF($A334="","",MAX(0.001,'KT THAN'!$D$32*ABS(I334)/MAX(1,H334)))</f>
        <v/>
      </c>
      <c r="S334" t="str">
        <f t="shared" si="54"/>
        <v/>
      </c>
    </row>
    <row r="335" spans="1:19" hidden="1" outlineLevel="1" x14ac:dyDescent="0.3">
      <c r="A335" s="37" t="str">
        <f>IF('TO HOP NLAN'!$A201="","",'TO HOP NLAN'!$A201)</f>
        <v/>
      </c>
      <c r="B335" s="38" t="str">
        <f>IF($A335="","",'TO HOP NLAN'!$D201)</f>
        <v/>
      </c>
      <c r="C335" s="38" t="str">
        <f>IF($A335="","",'TO HOP NLAN'!$E201)</f>
        <v/>
      </c>
      <c r="D335" s="38" t="str">
        <f>IF($A335="","",'TO HOP NLAN'!$F201)</f>
        <v/>
      </c>
      <c r="E335" s="38" t="str">
        <f>IF($A335="","",'TO HOP NLAN'!$B201)</f>
        <v/>
      </c>
      <c r="F335" s="38" t="str">
        <f>IF($A335="","",'TO HOP NLAN'!$C201)</f>
        <v/>
      </c>
      <c r="G335" s="38" t="str">
        <f t="shared" si="55"/>
        <v/>
      </c>
      <c r="H335" s="38" t="str">
        <f t="shared" si="53"/>
        <v/>
      </c>
      <c r="I335" s="38" t="str">
        <f t="shared" si="56"/>
        <v/>
      </c>
      <c r="J335" s="38" t="str">
        <f t="shared" si="57"/>
        <v/>
      </c>
      <c r="K335" s="38" t="str">
        <f t="shared" si="58"/>
        <v/>
      </c>
      <c r="L335" s="38" t="str">
        <f t="shared" si="59"/>
        <v/>
      </c>
      <c r="M335" s="38" t="str">
        <f>IF($A335="","",IF(H335=0,"",IF(Q335&lt;=0.000000001,MIN(0.8*0.75*'KT THAN'!$C$62,MAX('KT THAN'!$J$38:$J$58)),IFERROR(MIN(0.8*0.75*'KT THAN'!$C$62,INDEX('KT THAN'!$J$38:$J$58,MATCH(Q335,'KT THAN'!$L$38:$L$58,-1))+(INDEX('KT THAN'!$J$38:$J$58,MIN(21,MATCH(Q335,'KT THAN'!$L$38:$L$58,-1)+1))-INDEX('KT THAN'!$J$38:$J$58,MATCH(Q335,'KT THAN'!$L$38:$L$58,-1)))*(Q335-INDEX('KT THAN'!$L$38:$L$58,MATCH(Q335,'KT THAN'!$L$38:$L$58,-1)))/(INDEX('KT THAN'!$L$38:$L$58,MIN(21,MATCH(Q335,'KT THAN'!$L$38:$L$58,-1)+1))-INDEX('KT THAN'!$L$38:$L$58,MATCH(Q335,'KT THAN'!$L$38:$L$58,-1)))),MIN(0.8*0.75*'KT THAN'!$C$62,'KT THAN'!$C$68/Q335)))))</f>
        <v/>
      </c>
      <c r="N335" s="38" t="str">
        <f>IF($A335="","",IF(H335=0,"",IF(R335&lt;=0.000000001,MIN(0.8*0.75*'KT THAN'!$C$62,MAX('KT THAN'!$W$38:$W$58)),IFERROR(MIN(0.8*0.75*'KT THAN'!$C$62,INDEX('KT THAN'!$W$38:$W$58,MATCH(R335,'KT THAN'!$Y$38:$Y$58,-1))+(INDEX('KT THAN'!$W$38:$W$58,MIN(21,MATCH(R335,'KT THAN'!$Y$38:$Y$58,-1)+1))-INDEX('KT THAN'!$W$38:$W$58,MATCH(R335,'KT THAN'!$Y$38:$Y$58,-1)))*(R335-INDEX('KT THAN'!$Y$38:$Y$58,MATCH(R335,'KT THAN'!$Y$38:$Y$58,-1)))/(INDEX('KT THAN'!$Y$38:$Y$58,MIN(21,MATCH(R335,'KT THAN'!$Y$38:$Y$58,-1)+1))-INDEX('KT THAN'!$Y$38:$Y$58,MATCH(R335,'KT THAN'!$Y$38:$Y$58,-1)))),MIN(0.8*0.75*'KT THAN'!$C$62,'KT THAN'!$D$68/R335)))))</f>
        <v/>
      </c>
      <c r="O335" s="38" t="str">
        <f>IF($A335="","",IF(H335&lt;0,ABS(H335)/MAX('KT THAN'!$C$69,0.001)+'KT THAN'!$C$32*ABS(J335)/MAX('KT THAN'!$C$68,0.001)+'KT THAN'!$D$32*ABS(I335)/MAX('KT THAN'!$D$68,0.001),IF(OR(M335&lt;=0,N335&lt;=0),999,IF(H335&gt;=0.1*0.75*fc_*Agth*1000,H335/MAX(0.001,1/(1/M335+1/N335-1/(0.75*'KT THAN'!$C$62))),'KT THAN'!$C$32*ABS(J335)/MAX('KT THAN'!$C$68,0.001)+'KT THAN'!$D$32*ABS(I335)/MAX('KT THAN'!$D$68,0.001)))))</f>
        <v/>
      </c>
      <c r="P335" s="37" t="str">
        <f t="shared" si="60"/>
        <v/>
      </c>
      <c r="Q335" s="38" t="str">
        <f>IF($A335="","",MAX(0.001,'KT THAN'!$C$32*ABS(J335)/MAX(1,H335)))</f>
        <v/>
      </c>
      <c r="R335" s="38" t="str">
        <f>IF($A335="","",MAX(0.001,'KT THAN'!$D$32*ABS(I335)/MAX(1,H335)))</f>
        <v/>
      </c>
      <c r="S335" t="str">
        <f t="shared" si="54"/>
        <v/>
      </c>
    </row>
    <row r="336" spans="1:19" hidden="1" outlineLevel="1" x14ac:dyDescent="0.3">
      <c r="A336" s="37" t="str">
        <f>IF('TO HOP NLAN'!$A202="","",'TO HOP NLAN'!$A202)</f>
        <v/>
      </c>
      <c r="B336" s="38" t="str">
        <f>IF($A336="","",'TO HOP NLAN'!$D202)</f>
        <v/>
      </c>
      <c r="C336" s="38" t="str">
        <f>IF($A336="","",'TO HOP NLAN'!$E202)</f>
        <v/>
      </c>
      <c r="D336" s="38" t="str">
        <f>IF($A336="","",'TO HOP NLAN'!$F202)</f>
        <v/>
      </c>
      <c r="E336" s="38" t="str">
        <f>IF($A336="","",'TO HOP NLAN'!$B202)</f>
        <v/>
      </c>
      <c r="F336" s="38" t="str">
        <f>IF($A336="","",'TO HOP NLAN'!$C202)</f>
        <v/>
      </c>
      <c r="G336" s="38" t="str">
        <f t="shared" si="55"/>
        <v/>
      </c>
      <c r="H336" s="38" t="str">
        <f t="shared" si="53"/>
        <v/>
      </c>
      <c r="I336" s="38" t="str">
        <f t="shared" si="56"/>
        <v/>
      </c>
      <c r="J336" s="38" t="str">
        <f t="shared" si="57"/>
        <v/>
      </c>
      <c r="K336" s="38" t="str">
        <f t="shared" si="58"/>
        <v/>
      </c>
      <c r="L336" s="38" t="str">
        <f t="shared" si="59"/>
        <v/>
      </c>
      <c r="M336" s="38" t="str">
        <f>IF($A336="","",IF(H336=0,"",IF(Q336&lt;=0.000000001,MIN(0.8*0.75*'KT THAN'!$C$62,MAX('KT THAN'!$J$38:$J$58)),IFERROR(MIN(0.8*0.75*'KT THAN'!$C$62,INDEX('KT THAN'!$J$38:$J$58,MATCH(Q336,'KT THAN'!$L$38:$L$58,-1))+(INDEX('KT THAN'!$J$38:$J$58,MIN(21,MATCH(Q336,'KT THAN'!$L$38:$L$58,-1)+1))-INDEX('KT THAN'!$J$38:$J$58,MATCH(Q336,'KT THAN'!$L$38:$L$58,-1)))*(Q336-INDEX('KT THAN'!$L$38:$L$58,MATCH(Q336,'KT THAN'!$L$38:$L$58,-1)))/(INDEX('KT THAN'!$L$38:$L$58,MIN(21,MATCH(Q336,'KT THAN'!$L$38:$L$58,-1)+1))-INDEX('KT THAN'!$L$38:$L$58,MATCH(Q336,'KT THAN'!$L$38:$L$58,-1)))),MIN(0.8*0.75*'KT THAN'!$C$62,'KT THAN'!$C$68/Q336)))))</f>
        <v/>
      </c>
      <c r="N336" s="38" t="str">
        <f>IF($A336="","",IF(H336=0,"",IF(R336&lt;=0.000000001,MIN(0.8*0.75*'KT THAN'!$C$62,MAX('KT THAN'!$W$38:$W$58)),IFERROR(MIN(0.8*0.75*'KT THAN'!$C$62,INDEX('KT THAN'!$W$38:$W$58,MATCH(R336,'KT THAN'!$Y$38:$Y$58,-1))+(INDEX('KT THAN'!$W$38:$W$58,MIN(21,MATCH(R336,'KT THAN'!$Y$38:$Y$58,-1)+1))-INDEX('KT THAN'!$W$38:$W$58,MATCH(R336,'KT THAN'!$Y$38:$Y$58,-1)))*(R336-INDEX('KT THAN'!$Y$38:$Y$58,MATCH(R336,'KT THAN'!$Y$38:$Y$58,-1)))/(INDEX('KT THAN'!$Y$38:$Y$58,MIN(21,MATCH(R336,'KT THAN'!$Y$38:$Y$58,-1)+1))-INDEX('KT THAN'!$Y$38:$Y$58,MATCH(R336,'KT THAN'!$Y$38:$Y$58,-1)))),MIN(0.8*0.75*'KT THAN'!$C$62,'KT THAN'!$D$68/R336)))))</f>
        <v/>
      </c>
      <c r="O336" s="38" t="str">
        <f>IF($A336="","",IF(H336&lt;0,ABS(H336)/MAX('KT THAN'!$C$69,0.001)+'KT THAN'!$C$32*ABS(J336)/MAX('KT THAN'!$C$68,0.001)+'KT THAN'!$D$32*ABS(I336)/MAX('KT THAN'!$D$68,0.001),IF(OR(M336&lt;=0,N336&lt;=0),999,IF(H336&gt;=0.1*0.75*fc_*Agth*1000,H336/MAX(0.001,1/(1/M336+1/N336-1/(0.75*'KT THAN'!$C$62))),'KT THAN'!$C$32*ABS(J336)/MAX('KT THAN'!$C$68,0.001)+'KT THAN'!$D$32*ABS(I336)/MAX('KT THAN'!$D$68,0.001)))))</f>
        <v/>
      </c>
      <c r="P336" s="37" t="str">
        <f t="shared" si="60"/>
        <v/>
      </c>
      <c r="Q336" s="38" t="str">
        <f>IF($A336="","",MAX(0.001,'KT THAN'!$C$32*ABS(J336)/MAX(1,H336)))</f>
        <v/>
      </c>
      <c r="R336" s="38" t="str">
        <f>IF($A336="","",MAX(0.001,'KT THAN'!$D$32*ABS(I336)/MAX(1,H336)))</f>
        <v/>
      </c>
      <c r="S336" t="str">
        <f t="shared" si="54"/>
        <v/>
      </c>
    </row>
    <row r="337" spans="1:19" hidden="1" outlineLevel="1" x14ac:dyDescent="0.3">
      <c r="A337" s="37" t="str">
        <f>IF('TO HOP NLAN'!$A203="","",'TO HOP NLAN'!$A203)</f>
        <v/>
      </c>
      <c r="B337" s="38" t="str">
        <f>IF($A337="","",'TO HOP NLAN'!$D203)</f>
        <v/>
      </c>
      <c r="C337" s="38" t="str">
        <f>IF($A337="","",'TO HOP NLAN'!$E203)</f>
        <v/>
      </c>
      <c r="D337" s="38" t="str">
        <f>IF($A337="","",'TO HOP NLAN'!$F203)</f>
        <v/>
      </c>
      <c r="E337" s="38" t="str">
        <f>IF($A337="","",'TO HOP NLAN'!$B203)</f>
        <v/>
      </c>
      <c r="F337" s="38" t="str">
        <f>IF($A337="","",'TO HOP NLAN'!$C203)</f>
        <v/>
      </c>
      <c r="G337" s="38" t="str">
        <f t="shared" si="55"/>
        <v/>
      </c>
      <c r="H337" s="38" t="str">
        <f t="shared" si="53"/>
        <v/>
      </c>
      <c r="I337" s="38" t="str">
        <f t="shared" si="56"/>
        <v/>
      </c>
      <c r="J337" s="38" t="str">
        <f t="shared" si="57"/>
        <v/>
      </c>
      <c r="K337" s="38" t="str">
        <f t="shared" si="58"/>
        <v/>
      </c>
      <c r="L337" s="38" t="str">
        <f t="shared" si="59"/>
        <v/>
      </c>
      <c r="M337" s="38" t="str">
        <f>IF($A337="","",IF(H337=0,"",IF(Q337&lt;=0.000000001,MIN(0.8*0.75*'KT THAN'!$C$62,MAX('KT THAN'!$J$38:$J$58)),IFERROR(MIN(0.8*0.75*'KT THAN'!$C$62,INDEX('KT THAN'!$J$38:$J$58,MATCH(Q337,'KT THAN'!$L$38:$L$58,-1))+(INDEX('KT THAN'!$J$38:$J$58,MIN(21,MATCH(Q337,'KT THAN'!$L$38:$L$58,-1)+1))-INDEX('KT THAN'!$J$38:$J$58,MATCH(Q337,'KT THAN'!$L$38:$L$58,-1)))*(Q337-INDEX('KT THAN'!$L$38:$L$58,MATCH(Q337,'KT THAN'!$L$38:$L$58,-1)))/(INDEX('KT THAN'!$L$38:$L$58,MIN(21,MATCH(Q337,'KT THAN'!$L$38:$L$58,-1)+1))-INDEX('KT THAN'!$L$38:$L$58,MATCH(Q337,'KT THAN'!$L$38:$L$58,-1)))),MIN(0.8*0.75*'KT THAN'!$C$62,'KT THAN'!$C$68/Q337)))))</f>
        <v/>
      </c>
      <c r="N337" s="38" t="str">
        <f>IF($A337="","",IF(H337=0,"",IF(R337&lt;=0.000000001,MIN(0.8*0.75*'KT THAN'!$C$62,MAX('KT THAN'!$W$38:$W$58)),IFERROR(MIN(0.8*0.75*'KT THAN'!$C$62,INDEX('KT THAN'!$W$38:$W$58,MATCH(R337,'KT THAN'!$Y$38:$Y$58,-1))+(INDEX('KT THAN'!$W$38:$W$58,MIN(21,MATCH(R337,'KT THAN'!$Y$38:$Y$58,-1)+1))-INDEX('KT THAN'!$W$38:$W$58,MATCH(R337,'KT THAN'!$Y$38:$Y$58,-1)))*(R337-INDEX('KT THAN'!$Y$38:$Y$58,MATCH(R337,'KT THAN'!$Y$38:$Y$58,-1)))/(INDEX('KT THAN'!$Y$38:$Y$58,MIN(21,MATCH(R337,'KT THAN'!$Y$38:$Y$58,-1)+1))-INDEX('KT THAN'!$Y$38:$Y$58,MATCH(R337,'KT THAN'!$Y$38:$Y$58,-1)))),MIN(0.8*0.75*'KT THAN'!$C$62,'KT THAN'!$D$68/R337)))))</f>
        <v/>
      </c>
      <c r="O337" s="38" t="str">
        <f>IF($A337="","",IF(H337&lt;0,ABS(H337)/MAX('KT THAN'!$C$69,0.001)+'KT THAN'!$C$32*ABS(J337)/MAX('KT THAN'!$C$68,0.001)+'KT THAN'!$D$32*ABS(I337)/MAX('KT THAN'!$D$68,0.001),IF(OR(M337&lt;=0,N337&lt;=0),999,IF(H337&gt;=0.1*0.75*fc_*Agth*1000,H337/MAX(0.001,1/(1/M337+1/N337-1/(0.75*'KT THAN'!$C$62))),'KT THAN'!$C$32*ABS(J337)/MAX('KT THAN'!$C$68,0.001)+'KT THAN'!$D$32*ABS(I337)/MAX('KT THAN'!$D$68,0.001)))))</f>
        <v/>
      </c>
      <c r="P337" s="37" t="str">
        <f t="shared" si="60"/>
        <v/>
      </c>
      <c r="Q337" s="38" t="str">
        <f>IF($A337="","",MAX(0.001,'KT THAN'!$C$32*ABS(J337)/MAX(1,H337)))</f>
        <v/>
      </c>
      <c r="R337" s="38" t="str">
        <f>IF($A337="","",MAX(0.001,'KT THAN'!$D$32*ABS(I337)/MAX(1,H337)))</f>
        <v/>
      </c>
      <c r="S337" t="str">
        <f t="shared" si="54"/>
        <v/>
      </c>
    </row>
    <row r="338" spans="1:19" hidden="1" outlineLevel="1" x14ac:dyDescent="0.3">
      <c r="A338" s="37" t="str">
        <f>IF('TO HOP NLAN'!$A204="","",'TO HOP NLAN'!$A204)</f>
        <v/>
      </c>
      <c r="B338" s="38" t="str">
        <f>IF($A338="","",'TO HOP NLAN'!$D204)</f>
        <v/>
      </c>
      <c r="C338" s="38" t="str">
        <f>IF($A338="","",'TO HOP NLAN'!$E204)</f>
        <v/>
      </c>
      <c r="D338" s="38" t="str">
        <f>IF($A338="","",'TO HOP NLAN'!$F204)</f>
        <v/>
      </c>
      <c r="E338" s="38" t="str">
        <f>IF($A338="","",'TO HOP NLAN'!$B204)</f>
        <v/>
      </c>
      <c r="F338" s="38" t="str">
        <f>IF($A338="","",'TO HOP NLAN'!$C204)</f>
        <v/>
      </c>
      <c r="G338" s="38" t="str">
        <f t="shared" si="55"/>
        <v/>
      </c>
      <c r="H338" s="38" t="str">
        <f t="shared" si="53"/>
        <v/>
      </c>
      <c r="I338" s="38" t="str">
        <f t="shared" si="56"/>
        <v/>
      </c>
      <c r="J338" s="38" t="str">
        <f t="shared" si="57"/>
        <v/>
      </c>
      <c r="K338" s="38" t="str">
        <f t="shared" si="58"/>
        <v/>
      </c>
      <c r="L338" s="38" t="str">
        <f t="shared" si="59"/>
        <v/>
      </c>
      <c r="M338" s="38" t="str">
        <f>IF($A338="","",IF(H338=0,"",IF(Q338&lt;=0.000000001,MIN(0.8*0.75*'KT THAN'!$C$62,MAX('KT THAN'!$J$38:$J$58)),IFERROR(MIN(0.8*0.75*'KT THAN'!$C$62,INDEX('KT THAN'!$J$38:$J$58,MATCH(Q338,'KT THAN'!$L$38:$L$58,-1))+(INDEX('KT THAN'!$J$38:$J$58,MIN(21,MATCH(Q338,'KT THAN'!$L$38:$L$58,-1)+1))-INDEX('KT THAN'!$J$38:$J$58,MATCH(Q338,'KT THAN'!$L$38:$L$58,-1)))*(Q338-INDEX('KT THAN'!$L$38:$L$58,MATCH(Q338,'KT THAN'!$L$38:$L$58,-1)))/(INDEX('KT THAN'!$L$38:$L$58,MIN(21,MATCH(Q338,'KT THAN'!$L$38:$L$58,-1)+1))-INDEX('KT THAN'!$L$38:$L$58,MATCH(Q338,'KT THAN'!$L$38:$L$58,-1)))),MIN(0.8*0.75*'KT THAN'!$C$62,'KT THAN'!$C$68/Q338)))))</f>
        <v/>
      </c>
      <c r="N338" s="38" t="str">
        <f>IF($A338="","",IF(H338=0,"",IF(R338&lt;=0.000000001,MIN(0.8*0.75*'KT THAN'!$C$62,MAX('KT THAN'!$W$38:$W$58)),IFERROR(MIN(0.8*0.75*'KT THAN'!$C$62,INDEX('KT THAN'!$W$38:$W$58,MATCH(R338,'KT THAN'!$Y$38:$Y$58,-1))+(INDEX('KT THAN'!$W$38:$W$58,MIN(21,MATCH(R338,'KT THAN'!$Y$38:$Y$58,-1)+1))-INDEX('KT THAN'!$W$38:$W$58,MATCH(R338,'KT THAN'!$Y$38:$Y$58,-1)))*(R338-INDEX('KT THAN'!$Y$38:$Y$58,MATCH(R338,'KT THAN'!$Y$38:$Y$58,-1)))/(INDEX('KT THAN'!$Y$38:$Y$58,MIN(21,MATCH(R338,'KT THAN'!$Y$38:$Y$58,-1)+1))-INDEX('KT THAN'!$Y$38:$Y$58,MATCH(R338,'KT THAN'!$Y$38:$Y$58,-1)))),MIN(0.8*0.75*'KT THAN'!$C$62,'KT THAN'!$D$68/R338)))))</f>
        <v/>
      </c>
      <c r="O338" s="38" t="str">
        <f>IF($A338="","",IF(H338&lt;0,ABS(H338)/MAX('KT THAN'!$C$69,0.001)+'KT THAN'!$C$32*ABS(J338)/MAX('KT THAN'!$C$68,0.001)+'KT THAN'!$D$32*ABS(I338)/MAX('KT THAN'!$D$68,0.001),IF(OR(M338&lt;=0,N338&lt;=0),999,IF(H338&gt;=0.1*0.75*fc_*Agth*1000,H338/MAX(0.001,1/(1/M338+1/N338-1/(0.75*'KT THAN'!$C$62))),'KT THAN'!$C$32*ABS(J338)/MAX('KT THAN'!$C$68,0.001)+'KT THAN'!$D$32*ABS(I338)/MAX('KT THAN'!$D$68,0.001)))))</f>
        <v/>
      </c>
      <c r="P338" s="37" t="str">
        <f t="shared" si="60"/>
        <v/>
      </c>
      <c r="Q338" s="38" t="str">
        <f>IF($A338="","",MAX(0.001,'KT THAN'!$C$32*ABS(J338)/MAX(1,H338)))</f>
        <v/>
      </c>
      <c r="R338" s="38" t="str">
        <f>IF($A338="","",MAX(0.001,'KT THAN'!$D$32*ABS(I338)/MAX(1,H338)))</f>
        <v/>
      </c>
      <c r="S338" t="str">
        <f t="shared" si="54"/>
        <v/>
      </c>
    </row>
    <row r="339" spans="1:19" hidden="1" outlineLevel="1" x14ac:dyDescent="0.3">
      <c r="A339" s="37" t="str">
        <f>IF('TO HOP NLAN'!$A205="","",'TO HOP NLAN'!$A205)</f>
        <v/>
      </c>
      <c r="B339" s="38" t="str">
        <f>IF($A339="","",'TO HOP NLAN'!$D205)</f>
        <v/>
      </c>
      <c r="C339" s="38" t="str">
        <f>IF($A339="","",'TO HOP NLAN'!$E205)</f>
        <v/>
      </c>
      <c r="D339" s="38" t="str">
        <f>IF($A339="","",'TO HOP NLAN'!$F205)</f>
        <v/>
      </c>
      <c r="E339" s="38" t="str">
        <f>IF($A339="","",'TO HOP NLAN'!$B205)</f>
        <v/>
      </c>
      <c r="F339" s="38" t="str">
        <f>IF($A339="","",'TO HOP NLAN'!$C205)</f>
        <v/>
      </c>
      <c r="G339" s="38" t="str">
        <f t="shared" si="55"/>
        <v/>
      </c>
      <c r="H339" s="38" t="str">
        <f t="shared" si="53"/>
        <v/>
      </c>
      <c r="I339" s="38" t="str">
        <f t="shared" si="56"/>
        <v/>
      </c>
      <c r="J339" s="38" t="str">
        <f t="shared" si="57"/>
        <v/>
      </c>
      <c r="K339" s="38" t="str">
        <f t="shared" si="58"/>
        <v/>
      </c>
      <c r="L339" s="38" t="str">
        <f t="shared" si="59"/>
        <v/>
      </c>
      <c r="M339" s="38" t="str">
        <f>IF($A339="","",IF(H339=0,"",IF(Q339&lt;=0.000000001,MIN(0.8*0.75*'KT THAN'!$C$62,MAX('KT THAN'!$J$38:$J$58)),IFERROR(MIN(0.8*0.75*'KT THAN'!$C$62,INDEX('KT THAN'!$J$38:$J$58,MATCH(Q339,'KT THAN'!$L$38:$L$58,-1))+(INDEX('KT THAN'!$J$38:$J$58,MIN(21,MATCH(Q339,'KT THAN'!$L$38:$L$58,-1)+1))-INDEX('KT THAN'!$J$38:$J$58,MATCH(Q339,'KT THAN'!$L$38:$L$58,-1)))*(Q339-INDEX('KT THAN'!$L$38:$L$58,MATCH(Q339,'KT THAN'!$L$38:$L$58,-1)))/(INDEX('KT THAN'!$L$38:$L$58,MIN(21,MATCH(Q339,'KT THAN'!$L$38:$L$58,-1)+1))-INDEX('KT THAN'!$L$38:$L$58,MATCH(Q339,'KT THAN'!$L$38:$L$58,-1)))),MIN(0.8*0.75*'KT THAN'!$C$62,'KT THAN'!$C$68/Q339)))))</f>
        <v/>
      </c>
      <c r="N339" s="38" t="str">
        <f>IF($A339="","",IF(H339=0,"",IF(R339&lt;=0.000000001,MIN(0.8*0.75*'KT THAN'!$C$62,MAX('KT THAN'!$W$38:$W$58)),IFERROR(MIN(0.8*0.75*'KT THAN'!$C$62,INDEX('KT THAN'!$W$38:$W$58,MATCH(R339,'KT THAN'!$Y$38:$Y$58,-1))+(INDEX('KT THAN'!$W$38:$W$58,MIN(21,MATCH(R339,'KT THAN'!$Y$38:$Y$58,-1)+1))-INDEX('KT THAN'!$W$38:$W$58,MATCH(R339,'KT THAN'!$Y$38:$Y$58,-1)))*(R339-INDEX('KT THAN'!$Y$38:$Y$58,MATCH(R339,'KT THAN'!$Y$38:$Y$58,-1)))/(INDEX('KT THAN'!$Y$38:$Y$58,MIN(21,MATCH(R339,'KT THAN'!$Y$38:$Y$58,-1)+1))-INDEX('KT THAN'!$Y$38:$Y$58,MATCH(R339,'KT THAN'!$Y$38:$Y$58,-1)))),MIN(0.8*0.75*'KT THAN'!$C$62,'KT THAN'!$D$68/R339)))))</f>
        <v/>
      </c>
      <c r="O339" s="38" t="str">
        <f>IF($A339="","",IF(H339&lt;0,ABS(H339)/MAX('KT THAN'!$C$69,0.001)+'KT THAN'!$C$32*ABS(J339)/MAX('KT THAN'!$C$68,0.001)+'KT THAN'!$D$32*ABS(I339)/MAX('KT THAN'!$D$68,0.001),IF(OR(M339&lt;=0,N339&lt;=0),999,IF(H339&gt;=0.1*0.75*fc_*Agth*1000,H339/MAX(0.001,1/(1/M339+1/N339-1/(0.75*'KT THAN'!$C$62))),'KT THAN'!$C$32*ABS(J339)/MAX('KT THAN'!$C$68,0.001)+'KT THAN'!$D$32*ABS(I339)/MAX('KT THAN'!$D$68,0.001)))))</f>
        <v/>
      </c>
      <c r="P339" s="37" t="str">
        <f t="shared" si="60"/>
        <v/>
      </c>
      <c r="Q339" s="38" t="str">
        <f>IF($A339="","",MAX(0.001,'KT THAN'!$C$32*ABS(J339)/MAX(1,H339)))</f>
        <v/>
      </c>
      <c r="R339" s="38" t="str">
        <f>IF($A339="","",MAX(0.001,'KT THAN'!$D$32*ABS(I339)/MAX(1,H339)))</f>
        <v/>
      </c>
      <c r="S339" t="str">
        <f t="shared" si="54"/>
        <v/>
      </c>
    </row>
    <row r="340" spans="1:19" hidden="1" outlineLevel="1" x14ac:dyDescent="0.3">
      <c r="A340" s="37" t="str">
        <f>IF('TO HOP NLAN'!$A206="","",'TO HOP NLAN'!$A206)</f>
        <v/>
      </c>
      <c r="B340" s="38" t="str">
        <f>IF($A340="","",'TO HOP NLAN'!$D206)</f>
        <v/>
      </c>
      <c r="C340" s="38" t="str">
        <f>IF($A340="","",'TO HOP NLAN'!$E206)</f>
        <v/>
      </c>
      <c r="D340" s="38" t="str">
        <f>IF($A340="","",'TO HOP NLAN'!$F206)</f>
        <v/>
      </c>
      <c r="E340" s="38" t="str">
        <f>IF($A340="","",'TO HOP NLAN'!$B206)</f>
        <v/>
      </c>
      <c r="F340" s="38" t="str">
        <f>IF($A340="","",'TO HOP NLAN'!$C206)</f>
        <v/>
      </c>
      <c r="G340" s="38" t="str">
        <f t="shared" si="55"/>
        <v/>
      </c>
      <c r="H340" s="38" t="str">
        <f t="shared" si="53"/>
        <v/>
      </c>
      <c r="I340" s="38" t="str">
        <f t="shared" si="56"/>
        <v/>
      </c>
      <c r="J340" s="38" t="str">
        <f t="shared" si="57"/>
        <v/>
      </c>
      <c r="K340" s="38" t="str">
        <f t="shared" si="58"/>
        <v/>
      </c>
      <c r="L340" s="38" t="str">
        <f t="shared" si="59"/>
        <v/>
      </c>
      <c r="M340" s="38" t="str">
        <f>IF($A340="","",IF(H340=0,"",IF(Q340&lt;=0.000000001,MIN(0.8*0.75*'KT THAN'!$C$62,MAX('KT THAN'!$J$38:$J$58)),IFERROR(MIN(0.8*0.75*'KT THAN'!$C$62,INDEX('KT THAN'!$J$38:$J$58,MATCH(Q340,'KT THAN'!$L$38:$L$58,-1))+(INDEX('KT THAN'!$J$38:$J$58,MIN(21,MATCH(Q340,'KT THAN'!$L$38:$L$58,-1)+1))-INDEX('KT THAN'!$J$38:$J$58,MATCH(Q340,'KT THAN'!$L$38:$L$58,-1)))*(Q340-INDEX('KT THAN'!$L$38:$L$58,MATCH(Q340,'KT THAN'!$L$38:$L$58,-1)))/(INDEX('KT THAN'!$L$38:$L$58,MIN(21,MATCH(Q340,'KT THAN'!$L$38:$L$58,-1)+1))-INDEX('KT THAN'!$L$38:$L$58,MATCH(Q340,'KT THAN'!$L$38:$L$58,-1)))),MIN(0.8*0.75*'KT THAN'!$C$62,'KT THAN'!$C$68/Q340)))))</f>
        <v/>
      </c>
      <c r="N340" s="38" t="str">
        <f>IF($A340="","",IF(H340=0,"",IF(R340&lt;=0.000000001,MIN(0.8*0.75*'KT THAN'!$C$62,MAX('KT THAN'!$W$38:$W$58)),IFERROR(MIN(0.8*0.75*'KT THAN'!$C$62,INDEX('KT THAN'!$W$38:$W$58,MATCH(R340,'KT THAN'!$Y$38:$Y$58,-1))+(INDEX('KT THAN'!$W$38:$W$58,MIN(21,MATCH(R340,'KT THAN'!$Y$38:$Y$58,-1)+1))-INDEX('KT THAN'!$W$38:$W$58,MATCH(R340,'KT THAN'!$Y$38:$Y$58,-1)))*(R340-INDEX('KT THAN'!$Y$38:$Y$58,MATCH(R340,'KT THAN'!$Y$38:$Y$58,-1)))/(INDEX('KT THAN'!$Y$38:$Y$58,MIN(21,MATCH(R340,'KT THAN'!$Y$38:$Y$58,-1)+1))-INDEX('KT THAN'!$Y$38:$Y$58,MATCH(R340,'KT THAN'!$Y$38:$Y$58,-1)))),MIN(0.8*0.75*'KT THAN'!$C$62,'KT THAN'!$D$68/R340)))))</f>
        <v/>
      </c>
      <c r="O340" s="38" t="str">
        <f>IF($A340="","",IF(H340&lt;0,ABS(H340)/MAX('KT THAN'!$C$69,0.001)+'KT THAN'!$C$32*ABS(J340)/MAX('KT THAN'!$C$68,0.001)+'KT THAN'!$D$32*ABS(I340)/MAX('KT THAN'!$D$68,0.001),IF(OR(M340&lt;=0,N340&lt;=0),999,IF(H340&gt;=0.1*0.75*fc_*Agth*1000,H340/MAX(0.001,1/(1/M340+1/N340-1/(0.75*'KT THAN'!$C$62))),'KT THAN'!$C$32*ABS(J340)/MAX('KT THAN'!$C$68,0.001)+'KT THAN'!$D$32*ABS(I340)/MAX('KT THAN'!$D$68,0.001)))))</f>
        <v/>
      </c>
      <c r="P340" s="37" t="str">
        <f t="shared" si="60"/>
        <v/>
      </c>
      <c r="Q340" s="38" t="str">
        <f>IF($A340="","",MAX(0.001,'KT THAN'!$C$32*ABS(J340)/MAX(1,H340)))</f>
        <v/>
      </c>
      <c r="R340" s="38" t="str">
        <f>IF($A340="","",MAX(0.001,'KT THAN'!$D$32*ABS(I340)/MAX(1,H340)))</f>
        <v/>
      </c>
      <c r="S340" t="str">
        <f t="shared" si="54"/>
        <v/>
      </c>
    </row>
    <row r="341" spans="1:19" hidden="1" outlineLevel="1" x14ac:dyDescent="0.3">
      <c r="A341" s="37" t="str">
        <f>IF('TO HOP NLAN'!$A207="","",'TO HOP NLAN'!$A207)</f>
        <v/>
      </c>
      <c r="B341" s="38" t="str">
        <f>IF($A341="","",'TO HOP NLAN'!$D207)</f>
        <v/>
      </c>
      <c r="C341" s="38" t="str">
        <f>IF($A341="","",'TO HOP NLAN'!$E207)</f>
        <v/>
      </c>
      <c r="D341" s="38" t="str">
        <f>IF($A341="","",'TO HOP NLAN'!$F207)</f>
        <v/>
      </c>
      <c r="E341" s="38" t="str">
        <f>IF($A341="","",'TO HOP NLAN'!$B207)</f>
        <v/>
      </c>
      <c r="F341" s="38" t="str">
        <f>IF($A341="","",'TO HOP NLAN'!$C207)</f>
        <v/>
      </c>
      <c r="G341" s="38" t="str">
        <f t="shared" si="55"/>
        <v/>
      </c>
      <c r="H341" s="38" t="str">
        <f t="shared" si="53"/>
        <v/>
      </c>
      <c r="I341" s="38" t="str">
        <f t="shared" si="56"/>
        <v/>
      </c>
      <c r="J341" s="38" t="str">
        <f t="shared" si="57"/>
        <v/>
      </c>
      <c r="K341" s="38" t="str">
        <f t="shared" si="58"/>
        <v/>
      </c>
      <c r="L341" s="38" t="str">
        <f t="shared" si="59"/>
        <v/>
      </c>
      <c r="M341" s="38" t="str">
        <f>IF($A341="","",IF(H341=0,"",IF(Q341&lt;=0.000000001,MIN(0.8*0.75*'KT THAN'!$C$62,MAX('KT THAN'!$J$38:$J$58)),IFERROR(MIN(0.8*0.75*'KT THAN'!$C$62,INDEX('KT THAN'!$J$38:$J$58,MATCH(Q341,'KT THAN'!$L$38:$L$58,-1))+(INDEX('KT THAN'!$J$38:$J$58,MIN(21,MATCH(Q341,'KT THAN'!$L$38:$L$58,-1)+1))-INDEX('KT THAN'!$J$38:$J$58,MATCH(Q341,'KT THAN'!$L$38:$L$58,-1)))*(Q341-INDEX('KT THAN'!$L$38:$L$58,MATCH(Q341,'KT THAN'!$L$38:$L$58,-1)))/(INDEX('KT THAN'!$L$38:$L$58,MIN(21,MATCH(Q341,'KT THAN'!$L$38:$L$58,-1)+1))-INDEX('KT THAN'!$L$38:$L$58,MATCH(Q341,'KT THAN'!$L$38:$L$58,-1)))),MIN(0.8*0.75*'KT THAN'!$C$62,'KT THAN'!$C$68/Q341)))))</f>
        <v/>
      </c>
      <c r="N341" s="38" t="str">
        <f>IF($A341="","",IF(H341=0,"",IF(R341&lt;=0.000000001,MIN(0.8*0.75*'KT THAN'!$C$62,MAX('KT THAN'!$W$38:$W$58)),IFERROR(MIN(0.8*0.75*'KT THAN'!$C$62,INDEX('KT THAN'!$W$38:$W$58,MATCH(R341,'KT THAN'!$Y$38:$Y$58,-1))+(INDEX('KT THAN'!$W$38:$W$58,MIN(21,MATCH(R341,'KT THAN'!$Y$38:$Y$58,-1)+1))-INDEX('KT THAN'!$W$38:$W$58,MATCH(R341,'KT THAN'!$Y$38:$Y$58,-1)))*(R341-INDEX('KT THAN'!$Y$38:$Y$58,MATCH(R341,'KT THAN'!$Y$38:$Y$58,-1)))/(INDEX('KT THAN'!$Y$38:$Y$58,MIN(21,MATCH(R341,'KT THAN'!$Y$38:$Y$58,-1)+1))-INDEX('KT THAN'!$Y$38:$Y$58,MATCH(R341,'KT THAN'!$Y$38:$Y$58,-1)))),MIN(0.8*0.75*'KT THAN'!$C$62,'KT THAN'!$D$68/R341)))))</f>
        <v/>
      </c>
      <c r="O341" s="38" t="str">
        <f>IF($A341="","",IF(H341&lt;0,ABS(H341)/MAX('KT THAN'!$C$69,0.001)+'KT THAN'!$C$32*ABS(J341)/MAX('KT THAN'!$C$68,0.001)+'KT THAN'!$D$32*ABS(I341)/MAX('KT THAN'!$D$68,0.001),IF(OR(M341&lt;=0,N341&lt;=0),999,IF(H341&gt;=0.1*0.75*fc_*Agth*1000,H341/MAX(0.001,1/(1/M341+1/N341-1/(0.75*'KT THAN'!$C$62))),'KT THAN'!$C$32*ABS(J341)/MAX('KT THAN'!$C$68,0.001)+'KT THAN'!$D$32*ABS(I341)/MAX('KT THAN'!$D$68,0.001)))))</f>
        <v/>
      </c>
      <c r="P341" s="37" t="str">
        <f t="shared" si="60"/>
        <v/>
      </c>
      <c r="Q341" s="38" t="str">
        <f>IF($A341="","",MAX(0.001,'KT THAN'!$C$32*ABS(J341)/MAX(1,H341)))</f>
        <v/>
      </c>
      <c r="R341" s="38" t="str">
        <f>IF($A341="","",MAX(0.001,'KT THAN'!$D$32*ABS(I341)/MAX(1,H341)))</f>
        <v/>
      </c>
      <c r="S341" t="str">
        <f t="shared" si="54"/>
        <v/>
      </c>
    </row>
    <row r="342" spans="1:19" hidden="1" outlineLevel="1" x14ac:dyDescent="0.3">
      <c r="A342" s="37" t="str">
        <f>IF('TO HOP NLAN'!$A208="","",'TO HOP NLAN'!$A208)</f>
        <v/>
      </c>
      <c r="B342" s="38" t="str">
        <f>IF($A342="","",'TO HOP NLAN'!$D208)</f>
        <v/>
      </c>
      <c r="C342" s="38" t="str">
        <f>IF($A342="","",'TO HOP NLAN'!$E208)</f>
        <v/>
      </c>
      <c r="D342" s="38" t="str">
        <f>IF($A342="","",'TO HOP NLAN'!$F208)</f>
        <v/>
      </c>
      <c r="E342" s="38" t="str">
        <f>IF($A342="","",'TO HOP NLAN'!$B208)</f>
        <v/>
      </c>
      <c r="F342" s="38" t="str">
        <f>IF($A342="","",'TO HOP NLAN'!$C208)</f>
        <v/>
      </c>
      <c r="G342" s="38" t="str">
        <f t="shared" si="55"/>
        <v/>
      </c>
      <c r="H342" s="38" t="str">
        <f t="shared" si="53"/>
        <v/>
      </c>
      <c r="I342" s="38" t="str">
        <f t="shared" si="56"/>
        <v/>
      </c>
      <c r="J342" s="38" t="str">
        <f t="shared" si="57"/>
        <v/>
      </c>
      <c r="K342" s="38" t="str">
        <f t="shared" si="58"/>
        <v/>
      </c>
      <c r="L342" s="38" t="str">
        <f t="shared" si="59"/>
        <v/>
      </c>
      <c r="M342" s="38" t="str">
        <f>IF($A342="","",IF(H342=0,"",IF(Q342&lt;=0.000000001,MIN(0.8*0.75*'KT THAN'!$C$62,MAX('KT THAN'!$J$38:$J$58)),IFERROR(MIN(0.8*0.75*'KT THAN'!$C$62,INDEX('KT THAN'!$J$38:$J$58,MATCH(Q342,'KT THAN'!$L$38:$L$58,-1))+(INDEX('KT THAN'!$J$38:$J$58,MIN(21,MATCH(Q342,'KT THAN'!$L$38:$L$58,-1)+1))-INDEX('KT THAN'!$J$38:$J$58,MATCH(Q342,'KT THAN'!$L$38:$L$58,-1)))*(Q342-INDEX('KT THAN'!$L$38:$L$58,MATCH(Q342,'KT THAN'!$L$38:$L$58,-1)))/(INDEX('KT THAN'!$L$38:$L$58,MIN(21,MATCH(Q342,'KT THAN'!$L$38:$L$58,-1)+1))-INDEX('KT THAN'!$L$38:$L$58,MATCH(Q342,'KT THAN'!$L$38:$L$58,-1)))),MIN(0.8*0.75*'KT THAN'!$C$62,'KT THAN'!$C$68/Q342)))))</f>
        <v/>
      </c>
      <c r="N342" s="38" t="str">
        <f>IF($A342="","",IF(H342=0,"",IF(R342&lt;=0.000000001,MIN(0.8*0.75*'KT THAN'!$C$62,MAX('KT THAN'!$W$38:$W$58)),IFERROR(MIN(0.8*0.75*'KT THAN'!$C$62,INDEX('KT THAN'!$W$38:$W$58,MATCH(R342,'KT THAN'!$Y$38:$Y$58,-1))+(INDEX('KT THAN'!$W$38:$W$58,MIN(21,MATCH(R342,'KT THAN'!$Y$38:$Y$58,-1)+1))-INDEX('KT THAN'!$W$38:$W$58,MATCH(R342,'KT THAN'!$Y$38:$Y$58,-1)))*(R342-INDEX('KT THAN'!$Y$38:$Y$58,MATCH(R342,'KT THAN'!$Y$38:$Y$58,-1)))/(INDEX('KT THAN'!$Y$38:$Y$58,MIN(21,MATCH(R342,'KT THAN'!$Y$38:$Y$58,-1)+1))-INDEX('KT THAN'!$Y$38:$Y$58,MATCH(R342,'KT THAN'!$Y$38:$Y$58,-1)))),MIN(0.8*0.75*'KT THAN'!$C$62,'KT THAN'!$D$68/R342)))))</f>
        <v/>
      </c>
      <c r="O342" s="38" t="str">
        <f>IF($A342="","",IF(H342&lt;0,ABS(H342)/MAX('KT THAN'!$C$69,0.001)+'KT THAN'!$C$32*ABS(J342)/MAX('KT THAN'!$C$68,0.001)+'KT THAN'!$D$32*ABS(I342)/MAX('KT THAN'!$D$68,0.001),IF(OR(M342&lt;=0,N342&lt;=0),999,IF(H342&gt;=0.1*0.75*fc_*Agth*1000,H342/MAX(0.001,1/(1/M342+1/N342-1/(0.75*'KT THAN'!$C$62))),'KT THAN'!$C$32*ABS(J342)/MAX('KT THAN'!$C$68,0.001)+'KT THAN'!$D$32*ABS(I342)/MAX('KT THAN'!$D$68,0.001)))))</f>
        <v/>
      </c>
      <c r="P342" s="37" t="str">
        <f t="shared" si="60"/>
        <v/>
      </c>
      <c r="Q342" s="38" t="str">
        <f>IF($A342="","",MAX(0.001,'KT THAN'!$C$32*ABS(J342)/MAX(1,H342)))</f>
        <v/>
      </c>
      <c r="R342" s="38" t="str">
        <f>IF($A342="","",MAX(0.001,'KT THAN'!$D$32*ABS(I342)/MAX(1,H342)))</f>
        <v/>
      </c>
      <c r="S342" t="str">
        <f t="shared" si="54"/>
        <v/>
      </c>
    </row>
    <row r="343" spans="1:19" hidden="1" outlineLevel="1" x14ac:dyDescent="0.3">
      <c r="A343" s="37" t="str">
        <f>IF('TO HOP NLAN'!$A209="","",'TO HOP NLAN'!$A209)</f>
        <v/>
      </c>
      <c r="B343" s="38" t="str">
        <f>IF($A343="","",'TO HOP NLAN'!$D209)</f>
        <v/>
      </c>
      <c r="C343" s="38" t="str">
        <f>IF($A343="","",'TO HOP NLAN'!$E209)</f>
        <v/>
      </c>
      <c r="D343" s="38" t="str">
        <f>IF($A343="","",'TO HOP NLAN'!$F209)</f>
        <v/>
      </c>
      <c r="E343" s="38" t="str">
        <f>IF($A343="","",'TO HOP NLAN'!$B209)</f>
        <v/>
      </c>
      <c r="F343" s="38" t="str">
        <f>IF($A343="","",'TO HOP NLAN'!$C209)</f>
        <v/>
      </c>
      <c r="G343" s="38" t="str">
        <f t="shared" si="55"/>
        <v/>
      </c>
      <c r="H343" s="38" t="str">
        <f t="shared" si="53"/>
        <v/>
      </c>
      <c r="I343" s="38" t="str">
        <f t="shared" si="56"/>
        <v/>
      </c>
      <c r="J343" s="38" t="str">
        <f t="shared" si="57"/>
        <v/>
      </c>
      <c r="K343" s="38" t="str">
        <f t="shared" si="58"/>
        <v/>
      </c>
      <c r="L343" s="38" t="str">
        <f t="shared" si="59"/>
        <v/>
      </c>
      <c r="M343" s="38" t="str">
        <f>IF($A343="","",IF(H343=0,"",IF(Q343&lt;=0.000000001,MIN(0.8*0.75*'KT THAN'!$C$62,MAX('KT THAN'!$J$38:$J$58)),IFERROR(MIN(0.8*0.75*'KT THAN'!$C$62,INDEX('KT THAN'!$J$38:$J$58,MATCH(Q343,'KT THAN'!$L$38:$L$58,-1))+(INDEX('KT THAN'!$J$38:$J$58,MIN(21,MATCH(Q343,'KT THAN'!$L$38:$L$58,-1)+1))-INDEX('KT THAN'!$J$38:$J$58,MATCH(Q343,'KT THAN'!$L$38:$L$58,-1)))*(Q343-INDEX('KT THAN'!$L$38:$L$58,MATCH(Q343,'KT THAN'!$L$38:$L$58,-1)))/(INDEX('KT THAN'!$L$38:$L$58,MIN(21,MATCH(Q343,'KT THAN'!$L$38:$L$58,-1)+1))-INDEX('KT THAN'!$L$38:$L$58,MATCH(Q343,'KT THAN'!$L$38:$L$58,-1)))),MIN(0.8*0.75*'KT THAN'!$C$62,'KT THAN'!$C$68/Q343)))))</f>
        <v/>
      </c>
      <c r="N343" s="38" t="str">
        <f>IF($A343="","",IF(H343=0,"",IF(R343&lt;=0.000000001,MIN(0.8*0.75*'KT THAN'!$C$62,MAX('KT THAN'!$W$38:$W$58)),IFERROR(MIN(0.8*0.75*'KT THAN'!$C$62,INDEX('KT THAN'!$W$38:$W$58,MATCH(R343,'KT THAN'!$Y$38:$Y$58,-1))+(INDEX('KT THAN'!$W$38:$W$58,MIN(21,MATCH(R343,'KT THAN'!$Y$38:$Y$58,-1)+1))-INDEX('KT THAN'!$W$38:$W$58,MATCH(R343,'KT THAN'!$Y$38:$Y$58,-1)))*(R343-INDEX('KT THAN'!$Y$38:$Y$58,MATCH(R343,'KT THAN'!$Y$38:$Y$58,-1)))/(INDEX('KT THAN'!$Y$38:$Y$58,MIN(21,MATCH(R343,'KT THAN'!$Y$38:$Y$58,-1)+1))-INDEX('KT THAN'!$Y$38:$Y$58,MATCH(R343,'KT THAN'!$Y$38:$Y$58,-1)))),MIN(0.8*0.75*'KT THAN'!$C$62,'KT THAN'!$D$68/R343)))))</f>
        <v/>
      </c>
      <c r="O343" s="38" t="str">
        <f>IF($A343="","",IF(H343&lt;0,ABS(H343)/MAX('KT THAN'!$C$69,0.001)+'KT THAN'!$C$32*ABS(J343)/MAX('KT THAN'!$C$68,0.001)+'KT THAN'!$D$32*ABS(I343)/MAX('KT THAN'!$D$68,0.001),IF(OR(M343&lt;=0,N343&lt;=0),999,IF(H343&gt;=0.1*0.75*fc_*Agth*1000,H343/MAX(0.001,1/(1/M343+1/N343-1/(0.75*'KT THAN'!$C$62))),'KT THAN'!$C$32*ABS(J343)/MAX('KT THAN'!$C$68,0.001)+'KT THAN'!$D$32*ABS(I343)/MAX('KT THAN'!$D$68,0.001)))))</f>
        <v/>
      </c>
      <c r="P343" s="37" t="str">
        <f t="shared" si="60"/>
        <v/>
      </c>
      <c r="Q343" s="38" t="str">
        <f>IF($A343="","",MAX(0.001,'KT THAN'!$C$32*ABS(J343)/MAX(1,H343)))</f>
        <v/>
      </c>
      <c r="R343" s="38" t="str">
        <f>IF($A343="","",MAX(0.001,'KT THAN'!$D$32*ABS(I343)/MAX(1,H343)))</f>
        <v/>
      </c>
      <c r="S343" t="str">
        <f t="shared" si="54"/>
        <v/>
      </c>
    </row>
    <row r="344" spans="1:19" hidden="1" outlineLevel="1" x14ac:dyDescent="0.3">
      <c r="A344" s="37" t="str">
        <f>IF('TO HOP NLAN'!$A210="","",'TO HOP NLAN'!$A210)</f>
        <v/>
      </c>
      <c r="B344" s="38" t="str">
        <f>IF($A344="","",'TO HOP NLAN'!$D210)</f>
        <v/>
      </c>
      <c r="C344" s="38" t="str">
        <f>IF($A344="","",'TO HOP NLAN'!$E210)</f>
        <v/>
      </c>
      <c r="D344" s="38" t="str">
        <f>IF($A344="","",'TO HOP NLAN'!$F210)</f>
        <v/>
      </c>
      <c r="E344" s="38" t="str">
        <f>IF($A344="","",'TO HOP NLAN'!$B210)</f>
        <v/>
      </c>
      <c r="F344" s="38" t="str">
        <f>IF($A344="","",'TO HOP NLAN'!$C210)</f>
        <v/>
      </c>
      <c r="G344" s="38" t="str">
        <f t="shared" si="55"/>
        <v/>
      </c>
      <c r="H344" s="38" t="str">
        <f t="shared" si="53"/>
        <v/>
      </c>
      <c r="I344" s="38" t="str">
        <f t="shared" si="56"/>
        <v/>
      </c>
      <c r="J344" s="38" t="str">
        <f t="shared" si="57"/>
        <v/>
      </c>
      <c r="K344" s="38" t="str">
        <f t="shared" si="58"/>
        <v/>
      </c>
      <c r="L344" s="38" t="str">
        <f t="shared" si="59"/>
        <v/>
      </c>
      <c r="M344" s="38" t="str">
        <f>IF($A344="","",IF(H344=0,"",IF(Q344&lt;=0.000000001,MIN(0.8*0.75*'KT THAN'!$C$62,MAX('KT THAN'!$J$38:$J$58)),IFERROR(MIN(0.8*0.75*'KT THAN'!$C$62,INDEX('KT THAN'!$J$38:$J$58,MATCH(Q344,'KT THAN'!$L$38:$L$58,-1))+(INDEX('KT THAN'!$J$38:$J$58,MIN(21,MATCH(Q344,'KT THAN'!$L$38:$L$58,-1)+1))-INDEX('KT THAN'!$J$38:$J$58,MATCH(Q344,'KT THAN'!$L$38:$L$58,-1)))*(Q344-INDEX('KT THAN'!$L$38:$L$58,MATCH(Q344,'KT THAN'!$L$38:$L$58,-1)))/(INDEX('KT THAN'!$L$38:$L$58,MIN(21,MATCH(Q344,'KT THAN'!$L$38:$L$58,-1)+1))-INDEX('KT THAN'!$L$38:$L$58,MATCH(Q344,'KT THAN'!$L$38:$L$58,-1)))),MIN(0.8*0.75*'KT THAN'!$C$62,'KT THAN'!$C$68/Q344)))))</f>
        <v/>
      </c>
      <c r="N344" s="38" t="str">
        <f>IF($A344="","",IF(H344=0,"",IF(R344&lt;=0.000000001,MIN(0.8*0.75*'KT THAN'!$C$62,MAX('KT THAN'!$W$38:$W$58)),IFERROR(MIN(0.8*0.75*'KT THAN'!$C$62,INDEX('KT THAN'!$W$38:$W$58,MATCH(R344,'KT THAN'!$Y$38:$Y$58,-1))+(INDEX('KT THAN'!$W$38:$W$58,MIN(21,MATCH(R344,'KT THAN'!$Y$38:$Y$58,-1)+1))-INDEX('KT THAN'!$W$38:$W$58,MATCH(R344,'KT THAN'!$Y$38:$Y$58,-1)))*(R344-INDEX('KT THAN'!$Y$38:$Y$58,MATCH(R344,'KT THAN'!$Y$38:$Y$58,-1)))/(INDEX('KT THAN'!$Y$38:$Y$58,MIN(21,MATCH(R344,'KT THAN'!$Y$38:$Y$58,-1)+1))-INDEX('KT THAN'!$Y$38:$Y$58,MATCH(R344,'KT THAN'!$Y$38:$Y$58,-1)))),MIN(0.8*0.75*'KT THAN'!$C$62,'KT THAN'!$D$68/R344)))))</f>
        <v/>
      </c>
      <c r="O344" s="38" t="str">
        <f>IF($A344="","",IF(H344&lt;0,ABS(H344)/MAX('KT THAN'!$C$69,0.001)+'KT THAN'!$C$32*ABS(J344)/MAX('KT THAN'!$C$68,0.001)+'KT THAN'!$D$32*ABS(I344)/MAX('KT THAN'!$D$68,0.001),IF(OR(M344&lt;=0,N344&lt;=0),999,IF(H344&gt;=0.1*0.75*fc_*Agth*1000,H344/MAX(0.001,1/(1/M344+1/N344-1/(0.75*'KT THAN'!$C$62))),'KT THAN'!$C$32*ABS(J344)/MAX('KT THAN'!$C$68,0.001)+'KT THAN'!$D$32*ABS(I344)/MAX('KT THAN'!$D$68,0.001)))))</f>
        <v/>
      </c>
      <c r="P344" s="37" t="str">
        <f t="shared" si="60"/>
        <v/>
      </c>
      <c r="Q344" s="38" t="str">
        <f>IF($A344="","",MAX(0.001,'KT THAN'!$C$32*ABS(J344)/MAX(1,H344)))</f>
        <v/>
      </c>
      <c r="R344" s="38" t="str">
        <f>IF($A344="","",MAX(0.001,'KT THAN'!$D$32*ABS(I344)/MAX(1,H344)))</f>
        <v/>
      </c>
      <c r="S344" t="str">
        <f t="shared" si="54"/>
        <v/>
      </c>
    </row>
    <row r="345" spans="1:19" hidden="1" outlineLevel="1" x14ac:dyDescent="0.3">
      <c r="A345" s="37" t="str">
        <f>IF('TO HOP NLAN'!$A211="","",'TO HOP NLAN'!$A211)</f>
        <v/>
      </c>
      <c r="B345" s="38" t="str">
        <f>IF($A345="","",'TO HOP NLAN'!$D211)</f>
        <v/>
      </c>
      <c r="C345" s="38" t="str">
        <f>IF($A345="","",'TO HOP NLAN'!$E211)</f>
        <v/>
      </c>
      <c r="D345" s="38" t="str">
        <f>IF($A345="","",'TO HOP NLAN'!$F211)</f>
        <v/>
      </c>
      <c r="E345" s="38" t="str">
        <f>IF($A345="","",'TO HOP NLAN'!$B211)</f>
        <v/>
      </c>
      <c r="F345" s="38" t="str">
        <f>IF($A345="","",'TO HOP NLAN'!$C211)</f>
        <v/>
      </c>
      <c r="G345" s="38" t="str">
        <f t="shared" si="55"/>
        <v/>
      </c>
      <c r="H345" s="38" t="str">
        <f t="shared" si="53"/>
        <v/>
      </c>
      <c r="I345" s="38" t="str">
        <f t="shared" si="56"/>
        <v/>
      </c>
      <c r="J345" s="38" t="str">
        <f t="shared" si="57"/>
        <v/>
      </c>
      <c r="K345" s="38" t="str">
        <f t="shared" si="58"/>
        <v/>
      </c>
      <c r="L345" s="38" t="str">
        <f t="shared" si="59"/>
        <v/>
      </c>
      <c r="M345" s="38" t="str">
        <f>IF($A345="","",IF(H345=0,"",IF(Q345&lt;=0.000000001,MIN(0.8*0.75*'KT THAN'!$C$62,MAX('KT THAN'!$J$38:$J$58)),IFERROR(MIN(0.8*0.75*'KT THAN'!$C$62,INDEX('KT THAN'!$J$38:$J$58,MATCH(Q345,'KT THAN'!$L$38:$L$58,-1))+(INDEX('KT THAN'!$J$38:$J$58,MIN(21,MATCH(Q345,'KT THAN'!$L$38:$L$58,-1)+1))-INDEX('KT THAN'!$J$38:$J$58,MATCH(Q345,'KT THAN'!$L$38:$L$58,-1)))*(Q345-INDEX('KT THAN'!$L$38:$L$58,MATCH(Q345,'KT THAN'!$L$38:$L$58,-1)))/(INDEX('KT THAN'!$L$38:$L$58,MIN(21,MATCH(Q345,'KT THAN'!$L$38:$L$58,-1)+1))-INDEX('KT THAN'!$L$38:$L$58,MATCH(Q345,'KT THAN'!$L$38:$L$58,-1)))),MIN(0.8*0.75*'KT THAN'!$C$62,'KT THAN'!$C$68/Q345)))))</f>
        <v/>
      </c>
      <c r="N345" s="38" t="str">
        <f>IF($A345="","",IF(H345=0,"",IF(R345&lt;=0.000000001,MIN(0.8*0.75*'KT THAN'!$C$62,MAX('KT THAN'!$W$38:$W$58)),IFERROR(MIN(0.8*0.75*'KT THAN'!$C$62,INDEX('KT THAN'!$W$38:$W$58,MATCH(R345,'KT THAN'!$Y$38:$Y$58,-1))+(INDEX('KT THAN'!$W$38:$W$58,MIN(21,MATCH(R345,'KT THAN'!$Y$38:$Y$58,-1)+1))-INDEX('KT THAN'!$W$38:$W$58,MATCH(R345,'KT THAN'!$Y$38:$Y$58,-1)))*(R345-INDEX('KT THAN'!$Y$38:$Y$58,MATCH(R345,'KT THAN'!$Y$38:$Y$58,-1)))/(INDEX('KT THAN'!$Y$38:$Y$58,MIN(21,MATCH(R345,'KT THAN'!$Y$38:$Y$58,-1)+1))-INDEX('KT THAN'!$Y$38:$Y$58,MATCH(R345,'KT THAN'!$Y$38:$Y$58,-1)))),MIN(0.8*0.75*'KT THAN'!$C$62,'KT THAN'!$D$68/R345)))))</f>
        <v/>
      </c>
      <c r="O345" s="38" t="str">
        <f>IF($A345="","",IF(H345&lt;0,ABS(H345)/MAX('KT THAN'!$C$69,0.001)+'KT THAN'!$C$32*ABS(J345)/MAX('KT THAN'!$C$68,0.001)+'KT THAN'!$D$32*ABS(I345)/MAX('KT THAN'!$D$68,0.001),IF(OR(M345&lt;=0,N345&lt;=0),999,IF(H345&gt;=0.1*0.75*fc_*Agth*1000,H345/MAX(0.001,1/(1/M345+1/N345-1/(0.75*'KT THAN'!$C$62))),'KT THAN'!$C$32*ABS(J345)/MAX('KT THAN'!$C$68,0.001)+'KT THAN'!$D$32*ABS(I345)/MAX('KT THAN'!$D$68,0.001)))))</f>
        <v/>
      </c>
      <c r="P345" s="37" t="str">
        <f t="shared" si="60"/>
        <v/>
      </c>
      <c r="Q345" s="38" t="str">
        <f>IF($A345="","",MAX(0.001,'KT THAN'!$C$32*ABS(J345)/MAX(1,H345)))</f>
        <v/>
      </c>
      <c r="R345" s="38" t="str">
        <f>IF($A345="","",MAX(0.001,'KT THAN'!$D$32*ABS(I345)/MAX(1,H345)))</f>
        <v/>
      </c>
      <c r="S345" t="str">
        <f t="shared" si="54"/>
        <v/>
      </c>
    </row>
    <row r="346" spans="1:19" hidden="1" outlineLevel="1" x14ac:dyDescent="0.3">
      <c r="A346" s="37" t="str">
        <f>IF('TO HOP NLAN'!$A212="","",'TO HOP NLAN'!$A212)</f>
        <v/>
      </c>
      <c r="B346" s="38" t="str">
        <f>IF($A346="","",'TO HOP NLAN'!$D212)</f>
        <v/>
      </c>
      <c r="C346" s="38" t="str">
        <f>IF($A346="","",'TO HOP NLAN'!$E212)</f>
        <v/>
      </c>
      <c r="D346" s="38" t="str">
        <f>IF($A346="","",'TO HOP NLAN'!$F212)</f>
        <v/>
      </c>
      <c r="E346" s="38" t="str">
        <f>IF($A346="","",'TO HOP NLAN'!$B212)</f>
        <v/>
      </c>
      <c r="F346" s="38" t="str">
        <f>IF($A346="","",'TO HOP NLAN'!$C212)</f>
        <v/>
      </c>
      <c r="G346" s="38" t="str">
        <f t="shared" si="55"/>
        <v/>
      </c>
      <c r="H346" s="38" t="str">
        <f t="shared" si="53"/>
        <v/>
      </c>
      <c r="I346" s="38" t="str">
        <f t="shared" si="56"/>
        <v/>
      </c>
      <c r="J346" s="38" t="str">
        <f t="shared" si="57"/>
        <v/>
      </c>
      <c r="K346" s="38" t="str">
        <f t="shared" si="58"/>
        <v/>
      </c>
      <c r="L346" s="38" t="str">
        <f t="shared" si="59"/>
        <v/>
      </c>
      <c r="M346" s="38" t="str">
        <f>IF($A346="","",IF(H346=0,"",IF(Q346&lt;=0.000000001,MIN(0.8*0.75*'KT THAN'!$C$62,MAX('KT THAN'!$J$38:$J$58)),IFERROR(MIN(0.8*0.75*'KT THAN'!$C$62,INDEX('KT THAN'!$J$38:$J$58,MATCH(Q346,'KT THAN'!$L$38:$L$58,-1))+(INDEX('KT THAN'!$J$38:$J$58,MIN(21,MATCH(Q346,'KT THAN'!$L$38:$L$58,-1)+1))-INDEX('KT THAN'!$J$38:$J$58,MATCH(Q346,'KT THAN'!$L$38:$L$58,-1)))*(Q346-INDEX('KT THAN'!$L$38:$L$58,MATCH(Q346,'KT THAN'!$L$38:$L$58,-1)))/(INDEX('KT THAN'!$L$38:$L$58,MIN(21,MATCH(Q346,'KT THAN'!$L$38:$L$58,-1)+1))-INDEX('KT THAN'!$L$38:$L$58,MATCH(Q346,'KT THAN'!$L$38:$L$58,-1)))),MIN(0.8*0.75*'KT THAN'!$C$62,'KT THAN'!$C$68/Q346)))))</f>
        <v/>
      </c>
      <c r="N346" s="38" t="str">
        <f>IF($A346="","",IF(H346=0,"",IF(R346&lt;=0.000000001,MIN(0.8*0.75*'KT THAN'!$C$62,MAX('KT THAN'!$W$38:$W$58)),IFERROR(MIN(0.8*0.75*'KT THAN'!$C$62,INDEX('KT THAN'!$W$38:$W$58,MATCH(R346,'KT THAN'!$Y$38:$Y$58,-1))+(INDEX('KT THAN'!$W$38:$W$58,MIN(21,MATCH(R346,'KT THAN'!$Y$38:$Y$58,-1)+1))-INDEX('KT THAN'!$W$38:$W$58,MATCH(R346,'KT THAN'!$Y$38:$Y$58,-1)))*(R346-INDEX('KT THAN'!$Y$38:$Y$58,MATCH(R346,'KT THAN'!$Y$38:$Y$58,-1)))/(INDEX('KT THAN'!$Y$38:$Y$58,MIN(21,MATCH(R346,'KT THAN'!$Y$38:$Y$58,-1)+1))-INDEX('KT THAN'!$Y$38:$Y$58,MATCH(R346,'KT THAN'!$Y$38:$Y$58,-1)))),MIN(0.8*0.75*'KT THAN'!$C$62,'KT THAN'!$D$68/R346)))))</f>
        <v/>
      </c>
      <c r="O346" s="38" t="str">
        <f>IF($A346="","",IF(H346&lt;0,ABS(H346)/MAX('KT THAN'!$C$69,0.001)+'KT THAN'!$C$32*ABS(J346)/MAX('KT THAN'!$C$68,0.001)+'KT THAN'!$D$32*ABS(I346)/MAX('KT THAN'!$D$68,0.001),IF(OR(M346&lt;=0,N346&lt;=0),999,IF(H346&gt;=0.1*0.75*fc_*Agth*1000,H346/MAX(0.001,1/(1/M346+1/N346-1/(0.75*'KT THAN'!$C$62))),'KT THAN'!$C$32*ABS(J346)/MAX('KT THAN'!$C$68,0.001)+'KT THAN'!$D$32*ABS(I346)/MAX('KT THAN'!$D$68,0.001)))))</f>
        <v/>
      </c>
      <c r="P346" s="37" t="str">
        <f t="shared" si="60"/>
        <v/>
      </c>
      <c r="Q346" s="38" t="str">
        <f>IF($A346="","",MAX(0.001,'KT THAN'!$C$32*ABS(J346)/MAX(1,H346)))</f>
        <v/>
      </c>
      <c r="R346" s="38" t="str">
        <f>IF($A346="","",MAX(0.001,'KT THAN'!$D$32*ABS(I346)/MAX(1,H346)))</f>
        <v/>
      </c>
      <c r="S346" t="str">
        <f t="shared" si="54"/>
        <v/>
      </c>
    </row>
    <row r="347" spans="1:19" hidden="1" outlineLevel="1" x14ac:dyDescent="0.3">
      <c r="A347" s="37" t="str">
        <f>IF('TO HOP NLAN'!$A213="","",'TO HOP NLAN'!$A213)</f>
        <v/>
      </c>
      <c r="B347" s="38" t="str">
        <f>IF($A347="","",'TO HOP NLAN'!$D213)</f>
        <v/>
      </c>
      <c r="C347" s="38" t="str">
        <f>IF($A347="","",'TO HOP NLAN'!$E213)</f>
        <v/>
      </c>
      <c r="D347" s="38" t="str">
        <f>IF($A347="","",'TO HOP NLAN'!$F213)</f>
        <v/>
      </c>
      <c r="E347" s="38" t="str">
        <f>IF($A347="","",'TO HOP NLAN'!$B213)</f>
        <v/>
      </c>
      <c r="F347" s="38" t="str">
        <f>IF($A347="","",'TO HOP NLAN'!$C213)</f>
        <v/>
      </c>
      <c r="G347" s="38" t="str">
        <f t="shared" si="55"/>
        <v/>
      </c>
      <c r="H347" s="38" t="str">
        <f t="shared" si="53"/>
        <v/>
      </c>
      <c r="I347" s="38" t="str">
        <f t="shared" si="56"/>
        <v/>
      </c>
      <c r="J347" s="38" t="str">
        <f t="shared" si="57"/>
        <v/>
      </c>
      <c r="K347" s="38" t="str">
        <f t="shared" si="58"/>
        <v/>
      </c>
      <c r="L347" s="38" t="str">
        <f t="shared" si="59"/>
        <v/>
      </c>
      <c r="M347" s="38" t="str">
        <f>IF($A347="","",IF(H347=0,"",IF(Q347&lt;=0.000000001,MIN(0.8*0.75*'KT THAN'!$C$62,MAX('KT THAN'!$J$38:$J$58)),IFERROR(MIN(0.8*0.75*'KT THAN'!$C$62,INDEX('KT THAN'!$J$38:$J$58,MATCH(Q347,'KT THAN'!$L$38:$L$58,-1))+(INDEX('KT THAN'!$J$38:$J$58,MIN(21,MATCH(Q347,'KT THAN'!$L$38:$L$58,-1)+1))-INDEX('KT THAN'!$J$38:$J$58,MATCH(Q347,'KT THAN'!$L$38:$L$58,-1)))*(Q347-INDEX('KT THAN'!$L$38:$L$58,MATCH(Q347,'KT THAN'!$L$38:$L$58,-1)))/(INDEX('KT THAN'!$L$38:$L$58,MIN(21,MATCH(Q347,'KT THAN'!$L$38:$L$58,-1)+1))-INDEX('KT THAN'!$L$38:$L$58,MATCH(Q347,'KT THAN'!$L$38:$L$58,-1)))),MIN(0.8*0.75*'KT THAN'!$C$62,'KT THAN'!$C$68/Q347)))))</f>
        <v/>
      </c>
      <c r="N347" s="38" t="str">
        <f>IF($A347="","",IF(H347=0,"",IF(R347&lt;=0.000000001,MIN(0.8*0.75*'KT THAN'!$C$62,MAX('KT THAN'!$W$38:$W$58)),IFERROR(MIN(0.8*0.75*'KT THAN'!$C$62,INDEX('KT THAN'!$W$38:$W$58,MATCH(R347,'KT THAN'!$Y$38:$Y$58,-1))+(INDEX('KT THAN'!$W$38:$W$58,MIN(21,MATCH(R347,'KT THAN'!$Y$38:$Y$58,-1)+1))-INDEX('KT THAN'!$W$38:$W$58,MATCH(R347,'KT THAN'!$Y$38:$Y$58,-1)))*(R347-INDEX('KT THAN'!$Y$38:$Y$58,MATCH(R347,'KT THAN'!$Y$38:$Y$58,-1)))/(INDEX('KT THAN'!$Y$38:$Y$58,MIN(21,MATCH(R347,'KT THAN'!$Y$38:$Y$58,-1)+1))-INDEX('KT THAN'!$Y$38:$Y$58,MATCH(R347,'KT THAN'!$Y$38:$Y$58,-1)))),MIN(0.8*0.75*'KT THAN'!$C$62,'KT THAN'!$D$68/R347)))))</f>
        <v/>
      </c>
      <c r="O347" s="38" t="str">
        <f>IF($A347="","",IF(H347&lt;0,ABS(H347)/MAX('KT THAN'!$C$69,0.001)+'KT THAN'!$C$32*ABS(J347)/MAX('KT THAN'!$C$68,0.001)+'KT THAN'!$D$32*ABS(I347)/MAX('KT THAN'!$D$68,0.001),IF(OR(M347&lt;=0,N347&lt;=0),999,IF(H347&gt;=0.1*0.75*fc_*Agth*1000,H347/MAX(0.001,1/(1/M347+1/N347-1/(0.75*'KT THAN'!$C$62))),'KT THAN'!$C$32*ABS(J347)/MAX('KT THAN'!$C$68,0.001)+'KT THAN'!$D$32*ABS(I347)/MAX('KT THAN'!$D$68,0.001)))))</f>
        <v/>
      </c>
      <c r="P347" s="37" t="str">
        <f t="shared" si="60"/>
        <v/>
      </c>
      <c r="Q347" s="38" t="str">
        <f>IF($A347="","",MAX(0.001,'KT THAN'!$C$32*ABS(J347)/MAX(1,H347)))</f>
        <v/>
      </c>
      <c r="R347" s="38" t="str">
        <f>IF($A347="","",MAX(0.001,'KT THAN'!$D$32*ABS(I347)/MAX(1,H347)))</f>
        <v/>
      </c>
      <c r="S347" t="str">
        <f t="shared" si="54"/>
        <v/>
      </c>
    </row>
    <row r="348" spans="1:19" hidden="1" outlineLevel="1" x14ac:dyDescent="0.3">
      <c r="A348" s="37" t="str">
        <f>IF('TO HOP NLAN'!$A214="","",'TO HOP NLAN'!$A214)</f>
        <v/>
      </c>
      <c r="B348" s="38" t="str">
        <f>IF($A348="","",'TO HOP NLAN'!$D214)</f>
        <v/>
      </c>
      <c r="C348" s="38" t="str">
        <f>IF($A348="","",'TO HOP NLAN'!$E214)</f>
        <v/>
      </c>
      <c r="D348" s="38" t="str">
        <f>IF($A348="","",'TO HOP NLAN'!$F214)</f>
        <v/>
      </c>
      <c r="E348" s="38" t="str">
        <f>IF($A348="","",'TO HOP NLAN'!$B214)</f>
        <v/>
      </c>
      <c r="F348" s="38" t="str">
        <f>IF($A348="","",'TO HOP NLAN'!$C214)</f>
        <v/>
      </c>
      <c r="G348" s="38" t="str">
        <f t="shared" si="55"/>
        <v/>
      </c>
      <c r="H348" s="38" t="str">
        <f t="shared" si="53"/>
        <v/>
      </c>
      <c r="I348" s="38" t="str">
        <f t="shared" si="56"/>
        <v/>
      </c>
      <c r="J348" s="38" t="str">
        <f t="shared" si="57"/>
        <v/>
      </c>
      <c r="K348" s="38" t="str">
        <f t="shared" si="58"/>
        <v/>
      </c>
      <c r="L348" s="38" t="str">
        <f t="shared" si="59"/>
        <v/>
      </c>
      <c r="M348" s="38" t="str">
        <f>IF($A348="","",IF(H348=0,"",IF(Q348&lt;=0.000000001,MIN(0.8*0.75*'KT THAN'!$C$62,MAX('KT THAN'!$J$38:$J$58)),IFERROR(MIN(0.8*0.75*'KT THAN'!$C$62,INDEX('KT THAN'!$J$38:$J$58,MATCH(Q348,'KT THAN'!$L$38:$L$58,-1))+(INDEX('KT THAN'!$J$38:$J$58,MIN(21,MATCH(Q348,'KT THAN'!$L$38:$L$58,-1)+1))-INDEX('KT THAN'!$J$38:$J$58,MATCH(Q348,'KT THAN'!$L$38:$L$58,-1)))*(Q348-INDEX('KT THAN'!$L$38:$L$58,MATCH(Q348,'KT THAN'!$L$38:$L$58,-1)))/(INDEX('KT THAN'!$L$38:$L$58,MIN(21,MATCH(Q348,'KT THAN'!$L$38:$L$58,-1)+1))-INDEX('KT THAN'!$L$38:$L$58,MATCH(Q348,'KT THAN'!$L$38:$L$58,-1)))),MIN(0.8*0.75*'KT THAN'!$C$62,'KT THAN'!$C$68/Q348)))))</f>
        <v/>
      </c>
      <c r="N348" s="38" t="str">
        <f>IF($A348="","",IF(H348=0,"",IF(R348&lt;=0.000000001,MIN(0.8*0.75*'KT THAN'!$C$62,MAX('KT THAN'!$W$38:$W$58)),IFERROR(MIN(0.8*0.75*'KT THAN'!$C$62,INDEX('KT THAN'!$W$38:$W$58,MATCH(R348,'KT THAN'!$Y$38:$Y$58,-1))+(INDEX('KT THAN'!$W$38:$W$58,MIN(21,MATCH(R348,'KT THAN'!$Y$38:$Y$58,-1)+1))-INDEX('KT THAN'!$W$38:$W$58,MATCH(R348,'KT THAN'!$Y$38:$Y$58,-1)))*(R348-INDEX('KT THAN'!$Y$38:$Y$58,MATCH(R348,'KT THAN'!$Y$38:$Y$58,-1)))/(INDEX('KT THAN'!$Y$38:$Y$58,MIN(21,MATCH(R348,'KT THAN'!$Y$38:$Y$58,-1)+1))-INDEX('KT THAN'!$Y$38:$Y$58,MATCH(R348,'KT THAN'!$Y$38:$Y$58,-1)))),MIN(0.8*0.75*'KT THAN'!$C$62,'KT THAN'!$D$68/R348)))))</f>
        <v/>
      </c>
      <c r="O348" s="38" t="str">
        <f>IF($A348="","",IF(H348&lt;0,ABS(H348)/MAX('KT THAN'!$C$69,0.001)+'KT THAN'!$C$32*ABS(J348)/MAX('KT THAN'!$C$68,0.001)+'KT THAN'!$D$32*ABS(I348)/MAX('KT THAN'!$D$68,0.001),IF(OR(M348&lt;=0,N348&lt;=0),999,IF(H348&gt;=0.1*0.75*fc_*Agth*1000,H348/MAX(0.001,1/(1/M348+1/N348-1/(0.75*'KT THAN'!$C$62))),'KT THAN'!$C$32*ABS(J348)/MAX('KT THAN'!$C$68,0.001)+'KT THAN'!$D$32*ABS(I348)/MAX('KT THAN'!$D$68,0.001)))))</f>
        <v/>
      </c>
      <c r="P348" s="37" t="str">
        <f t="shared" si="60"/>
        <v/>
      </c>
      <c r="Q348" s="38" t="str">
        <f>IF($A348="","",MAX(0.001,'KT THAN'!$C$32*ABS(J348)/MAX(1,H348)))</f>
        <v/>
      </c>
      <c r="R348" s="38" t="str">
        <f>IF($A348="","",MAX(0.001,'KT THAN'!$D$32*ABS(I348)/MAX(1,H348)))</f>
        <v/>
      </c>
      <c r="S348" t="str">
        <f t="shared" si="54"/>
        <v/>
      </c>
    </row>
    <row r="349" spans="1:19" hidden="1" outlineLevel="1" x14ac:dyDescent="0.3">
      <c r="A349" s="37" t="str">
        <f>IF('TO HOP NLAN'!$A215="","",'TO HOP NLAN'!$A215)</f>
        <v/>
      </c>
      <c r="B349" s="38" t="str">
        <f>IF($A349="","",'TO HOP NLAN'!$D215)</f>
        <v/>
      </c>
      <c r="C349" s="38" t="str">
        <f>IF($A349="","",'TO HOP NLAN'!$E215)</f>
        <v/>
      </c>
      <c r="D349" s="38" t="str">
        <f>IF($A349="","",'TO HOP NLAN'!$F215)</f>
        <v/>
      </c>
      <c r="E349" s="38" t="str">
        <f>IF($A349="","",'TO HOP NLAN'!$B215)</f>
        <v/>
      </c>
      <c r="F349" s="38" t="str">
        <f>IF($A349="","",'TO HOP NLAN'!$C215)</f>
        <v/>
      </c>
      <c r="G349" s="38" t="str">
        <f t="shared" si="55"/>
        <v/>
      </c>
      <c r="H349" s="38" t="str">
        <f t="shared" si="53"/>
        <v/>
      </c>
      <c r="I349" s="38" t="str">
        <f t="shared" si="56"/>
        <v/>
      </c>
      <c r="J349" s="38" t="str">
        <f t="shared" si="57"/>
        <v/>
      </c>
      <c r="K349" s="38" t="str">
        <f t="shared" si="58"/>
        <v/>
      </c>
      <c r="L349" s="38" t="str">
        <f t="shared" si="59"/>
        <v/>
      </c>
      <c r="M349" s="38" t="str">
        <f>IF($A349="","",IF(H349=0,"",IF(Q349&lt;=0.000000001,MIN(0.8*0.75*'KT THAN'!$C$62,MAX('KT THAN'!$J$38:$J$58)),IFERROR(MIN(0.8*0.75*'KT THAN'!$C$62,INDEX('KT THAN'!$J$38:$J$58,MATCH(Q349,'KT THAN'!$L$38:$L$58,-1))+(INDEX('KT THAN'!$J$38:$J$58,MIN(21,MATCH(Q349,'KT THAN'!$L$38:$L$58,-1)+1))-INDEX('KT THAN'!$J$38:$J$58,MATCH(Q349,'KT THAN'!$L$38:$L$58,-1)))*(Q349-INDEX('KT THAN'!$L$38:$L$58,MATCH(Q349,'KT THAN'!$L$38:$L$58,-1)))/(INDEX('KT THAN'!$L$38:$L$58,MIN(21,MATCH(Q349,'KT THAN'!$L$38:$L$58,-1)+1))-INDEX('KT THAN'!$L$38:$L$58,MATCH(Q349,'KT THAN'!$L$38:$L$58,-1)))),MIN(0.8*0.75*'KT THAN'!$C$62,'KT THAN'!$C$68/Q349)))))</f>
        <v/>
      </c>
      <c r="N349" s="38" t="str">
        <f>IF($A349="","",IF(H349=0,"",IF(R349&lt;=0.000000001,MIN(0.8*0.75*'KT THAN'!$C$62,MAX('KT THAN'!$W$38:$W$58)),IFERROR(MIN(0.8*0.75*'KT THAN'!$C$62,INDEX('KT THAN'!$W$38:$W$58,MATCH(R349,'KT THAN'!$Y$38:$Y$58,-1))+(INDEX('KT THAN'!$W$38:$W$58,MIN(21,MATCH(R349,'KT THAN'!$Y$38:$Y$58,-1)+1))-INDEX('KT THAN'!$W$38:$W$58,MATCH(R349,'KT THAN'!$Y$38:$Y$58,-1)))*(R349-INDEX('KT THAN'!$Y$38:$Y$58,MATCH(R349,'KT THAN'!$Y$38:$Y$58,-1)))/(INDEX('KT THAN'!$Y$38:$Y$58,MIN(21,MATCH(R349,'KT THAN'!$Y$38:$Y$58,-1)+1))-INDEX('KT THAN'!$Y$38:$Y$58,MATCH(R349,'KT THAN'!$Y$38:$Y$58,-1)))),MIN(0.8*0.75*'KT THAN'!$C$62,'KT THAN'!$D$68/R349)))))</f>
        <v/>
      </c>
      <c r="O349" s="38" t="str">
        <f>IF($A349="","",IF(H349&lt;0,ABS(H349)/MAX('KT THAN'!$C$69,0.001)+'KT THAN'!$C$32*ABS(J349)/MAX('KT THAN'!$C$68,0.001)+'KT THAN'!$D$32*ABS(I349)/MAX('KT THAN'!$D$68,0.001),IF(OR(M349&lt;=0,N349&lt;=0),999,IF(H349&gt;=0.1*0.75*fc_*Agth*1000,H349/MAX(0.001,1/(1/M349+1/N349-1/(0.75*'KT THAN'!$C$62))),'KT THAN'!$C$32*ABS(J349)/MAX('KT THAN'!$C$68,0.001)+'KT THAN'!$D$32*ABS(I349)/MAX('KT THAN'!$D$68,0.001)))))</f>
        <v/>
      </c>
      <c r="P349" s="37" t="str">
        <f t="shared" si="60"/>
        <v/>
      </c>
      <c r="Q349" s="38" t="str">
        <f>IF($A349="","",MAX(0.001,'KT THAN'!$C$32*ABS(J349)/MAX(1,H349)))</f>
        <v/>
      </c>
      <c r="R349" s="38" t="str">
        <f>IF($A349="","",MAX(0.001,'KT THAN'!$D$32*ABS(I349)/MAX(1,H349)))</f>
        <v/>
      </c>
      <c r="S349" t="str">
        <f t="shared" si="54"/>
        <v/>
      </c>
    </row>
    <row r="350" spans="1:19" hidden="1" outlineLevel="1" x14ac:dyDescent="0.3">
      <c r="A350" s="37" t="str">
        <f>IF('TO HOP NLAN'!$A216="","",'TO HOP NLAN'!$A216)</f>
        <v/>
      </c>
      <c r="B350" s="38" t="str">
        <f>IF($A350="","",'TO HOP NLAN'!$D216)</f>
        <v/>
      </c>
      <c r="C350" s="38" t="str">
        <f>IF($A350="","",'TO HOP NLAN'!$E216)</f>
        <v/>
      </c>
      <c r="D350" s="38" t="str">
        <f>IF($A350="","",'TO HOP NLAN'!$F216)</f>
        <v/>
      </c>
      <c r="E350" s="38" t="str">
        <f>IF($A350="","",'TO HOP NLAN'!$B216)</f>
        <v/>
      </c>
      <c r="F350" s="38" t="str">
        <f>IF($A350="","",'TO HOP NLAN'!$C216)</f>
        <v/>
      </c>
      <c r="G350" s="38" t="str">
        <f t="shared" si="55"/>
        <v/>
      </c>
      <c r="H350" s="38" t="str">
        <f t="shared" si="53"/>
        <v/>
      </c>
      <c r="I350" s="38" t="str">
        <f t="shared" si="56"/>
        <v/>
      </c>
      <c r="J350" s="38" t="str">
        <f t="shared" si="57"/>
        <v/>
      </c>
      <c r="K350" s="38" t="str">
        <f t="shared" si="58"/>
        <v/>
      </c>
      <c r="L350" s="38" t="str">
        <f t="shared" si="59"/>
        <v/>
      </c>
      <c r="M350" s="38" t="str">
        <f>IF($A350="","",IF(H350=0,"",IF(Q350&lt;=0.000000001,MIN(0.8*0.75*'KT THAN'!$C$62,MAX('KT THAN'!$J$38:$J$58)),IFERROR(MIN(0.8*0.75*'KT THAN'!$C$62,INDEX('KT THAN'!$J$38:$J$58,MATCH(Q350,'KT THAN'!$L$38:$L$58,-1))+(INDEX('KT THAN'!$J$38:$J$58,MIN(21,MATCH(Q350,'KT THAN'!$L$38:$L$58,-1)+1))-INDEX('KT THAN'!$J$38:$J$58,MATCH(Q350,'KT THAN'!$L$38:$L$58,-1)))*(Q350-INDEX('KT THAN'!$L$38:$L$58,MATCH(Q350,'KT THAN'!$L$38:$L$58,-1)))/(INDEX('KT THAN'!$L$38:$L$58,MIN(21,MATCH(Q350,'KT THAN'!$L$38:$L$58,-1)+1))-INDEX('KT THAN'!$L$38:$L$58,MATCH(Q350,'KT THAN'!$L$38:$L$58,-1)))),MIN(0.8*0.75*'KT THAN'!$C$62,'KT THAN'!$C$68/Q350)))))</f>
        <v/>
      </c>
      <c r="N350" s="38" t="str">
        <f>IF($A350="","",IF(H350=0,"",IF(R350&lt;=0.000000001,MIN(0.8*0.75*'KT THAN'!$C$62,MAX('KT THAN'!$W$38:$W$58)),IFERROR(MIN(0.8*0.75*'KT THAN'!$C$62,INDEX('KT THAN'!$W$38:$W$58,MATCH(R350,'KT THAN'!$Y$38:$Y$58,-1))+(INDEX('KT THAN'!$W$38:$W$58,MIN(21,MATCH(R350,'KT THAN'!$Y$38:$Y$58,-1)+1))-INDEX('KT THAN'!$W$38:$W$58,MATCH(R350,'KT THAN'!$Y$38:$Y$58,-1)))*(R350-INDEX('KT THAN'!$Y$38:$Y$58,MATCH(R350,'KT THAN'!$Y$38:$Y$58,-1)))/(INDEX('KT THAN'!$Y$38:$Y$58,MIN(21,MATCH(R350,'KT THAN'!$Y$38:$Y$58,-1)+1))-INDEX('KT THAN'!$Y$38:$Y$58,MATCH(R350,'KT THAN'!$Y$38:$Y$58,-1)))),MIN(0.8*0.75*'KT THAN'!$C$62,'KT THAN'!$D$68/R350)))))</f>
        <v/>
      </c>
      <c r="O350" s="38" t="str">
        <f>IF($A350="","",IF(H350&lt;0,ABS(H350)/MAX('KT THAN'!$C$69,0.001)+'KT THAN'!$C$32*ABS(J350)/MAX('KT THAN'!$C$68,0.001)+'KT THAN'!$D$32*ABS(I350)/MAX('KT THAN'!$D$68,0.001),IF(OR(M350&lt;=0,N350&lt;=0),999,IF(H350&gt;=0.1*0.75*fc_*Agth*1000,H350/MAX(0.001,1/(1/M350+1/N350-1/(0.75*'KT THAN'!$C$62))),'KT THAN'!$C$32*ABS(J350)/MAX('KT THAN'!$C$68,0.001)+'KT THAN'!$D$32*ABS(I350)/MAX('KT THAN'!$D$68,0.001)))))</f>
        <v/>
      </c>
      <c r="P350" s="37" t="str">
        <f t="shared" si="60"/>
        <v/>
      </c>
      <c r="Q350" s="38" t="str">
        <f>IF($A350="","",MAX(0.001,'KT THAN'!$C$32*ABS(J350)/MAX(1,H350)))</f>
        <v/>
      </c>
      <c r="R350" s="38" t="str">
        <f>IF($A350="","",MAX(0.001,'KT THAN'!$D$32*ABS(I350)/MAX(1,H350)))</f>
        <v/>
      </c>
      <c r="S350" t="str">
        <f t="shared" si="54"/>
        <v/>
      </c>
    </row>
    <row r="351" spans="1:19" hidden="1" outlineLevel="1" x14ac:dyDescent="0.3">
      <c r="A351" s="37" t="str">
        <f>IF('TO HOP NLAN'!$A217="","",'TO HOP NLAN'!$A217)</f>
        <v/>
      </c>
      <c r="B351" s="38" t="str">
        <f>IF($A351="","",'TO HOP NLAN'!$D217)</f>
        <v/>
      </c>
      <c r="C351" s="38" t="str">
        <f>IF($A351="","",'TO HOP NLAN'!$E217)</f>
        <v/>
      </c>
      <c r="D351" s="38" t="str">
        <f>IF($A351="","",'TO HOP NLAN'!$F217)</f>
        <v/>
      </c>
      <c r="E351" s="38" t="str">
        <f>IF($A351="","",'TO HOP NLAN'!$B217)</f>
        <v/>
      </c>
      <c r="F351" s="38" t="str">
        <f>IF($A351="","",'TO HOP NLAN'!$C217)</f>
        <v/>
      </c>
      <c r="G351" s="38" t="str">
        <f t="shared" si="55"/>
        <v/>
      </c>
      <c r="H351" s="38" t="str">
        <f t="shared" si="53"/>
        <v/>
      </c>
      <c r="I351" s="38" t="str">
        <f t="shared" si="56"/>
        <v/>
      </c>
      <c r="J351" s="38" t="str">
        <f t="shared" si="57"/>
        <v/>
      </c>
      <c r="K351" s="38" t="str">
        <f t="shared" si="58"/>
        <v/>
      </c>
      <c r="L351" s="38" t="str">
        <f t="shared" si="59"/>
        <v/>
      </c>
      <c r="M351" s="38" t="str">
        <f>IF($A351="","",IF(H351=0,"",IF(Q351&lt;=0.000000001,MIN(0.8*0.75*'KT THAN'!$C$62,MAX('KT THAN'!$J$38:$J$58)),IFERROR(MIN(0.8*0.75*'KT THAN'!$C$62,INDEX('KT THAN'!$J$38:$J$58,MATCH(Q351,'KT THAN'!$L$38:$L$58,-1))+(INDEX('KT THAN'!$J$38:$J$58,MIN(21,MATCH(Q351,'KT THAN'!$L$38:$L$58,-1)+1))-INDEX('KT THAN'!$J$38:$J$58,MATCH(Q351,'KT THAN'!$L$38:$L$58,-1)))*(Q351-INDEX('KT THAN'!$L$38:$L$58,MATCH(Q351,'KT THAN'!$L$38:$L$58,-1)))/(INDEX('KT THAN'!$L$38:$L$58,MIN(21,MATCH(Q351,'KT THAN'!$L$38:$L$58,-1)+1))-INDEX('KT THAN'!$L$38:$L$58,MATCH(Q351,'KT THAN'!$L$38:$L$58,-1)))),MIN(0.8*0.75*'KT THAN'!$C$62,'KT THAN'!$C$68/Q351)))))</f>
        <v/>
      </c>
      <c r="N351" s="38" t="str">
        <f>IF($A351="","",IF(H351=0,"",IF(R351&lt;=0.000000001,MIN(0.8*0.75*'KT THAN'!$C$62,MAX('KT THAN'!$W$38:$W$58)),IFERROR(MIN(0.8*0.75*'KT THAN'!$C$62,INDEX('KT THAN'!$W$38:$W$58,MATCH(R351,'KT THAN'!$Y$38:$Y$58,-1))+(INDEX('KT THAN'!$W$38:$W$58,MIN(21,MATCH(R351,'KT THAN'!$Y$38:$Y$58,-1)+1))-INDEX('KT THAN'!$W$38:$W$58,MATCH(R351,'KT THAN'!$Y$38:$Y$58,-1)))*(R351-INDEX('KT THAN'!$Y$38:$Y$58,MATCH(R351,'KT THAN'!$Y$38:$Y$58,-1)))/(INDEX('KT THAN'!$Y$38:$Y$58,MIN(21,MATCH(R351,'KT THAN'!$Y$38:$Y$58,-1)+1))-INDEX('KT THAN'!$Y$38:$Y$58,MATCH(R351,'KT THAN'!$Y$38:$Y$58,-1)))),MIN(0.8*0.75*'KT THAN'!$C$62,'KT THAN'!$D$68/R351)))))</f>
        <v/>
      </c>
      <c r="O351" s="38" t="str">
        <f>IF($A351="","",IF(H351&lt;0,ABS(H351)/MAX('KT THAN'!$C$69,0.001)+'KT THAN'!$C$32*ABS(J351)/MAX('KT THAN'!$C$68,0.001)+'KT THAN'!$D$32*ABS(I351)/MAX('KT THAN'!$D$68,0.001),IF(OR(M351&lt;=0,N351&lt;=0),999,IF(H351&gt;=0.1*0.75*fc_*Agth*1000,H351/MAX(0.001,1/(1/M351+1/N351-1/(0.75*'KT THAN'!$C$62))),'KT THAN'!$C$32*ABS(J351)/MAX('KT THAN'!$C$68,0.001)+'KT THAN'!$D$32*ABS(I351)/MAX('KT THAN'!$D$68,0.001)))))</f>
        <v/>
      </c>
      <c r="P351" s="37" t="str">
        <f t="shared" si="60"/>
        <v/>
      </c>
      <c r="Q351" s="38" t="str">
        <f>IF($A351="","",MAX(0.001,'KT THAN'!$C$32*ABS(J351)/MAX(1,H351)))</f>
        <v/>
      </c>
      <c r="R351" s="38" t="str">
        <f>IF($A351="","",MAX(0.001,'KT THAN'!$D$32*ABS(I351)/MAX(1,H351)))</f>
        <v/>
      </c>
      <c r="S351" t="str">
        <f t="shared" si="54"/>
        <v/>
      </c>
    </row>
    <row r="352" spans="1:19" hidden="1" outlineLevel="1" x14ac:dyDescent="0.3">
      <c r="A352" s="37" t="str">
        <f>IF('TO HOP NLAN'!$A218="","",'TO HOP NLAN'!$A218)</f>
        <v/>
      </c>
      <c r="B352" s="38" t="str">
        <f>IF($A352="","",'TO HOP NLAN'!$D218)</f>
        <v/>
      </c>
      <c r="C352" s="38" t="str">
        <f>IF($A352="","",'TO HOP NLAN'!$E218)</f>
        <v/>
      </c>
      <c r="D352" s="38" t="str">
        <f>IF($A352="","",'TO HOP NLAN'!$F218)</f>
        <v/>
      </c>
      <c r="E352" s="38" t="str">
        <f>IF($A352="","",'TO HOP NLAN'!$B218)</f>
        <v/>
      </c>
      <c r="F352" s="38" t="str">
        <f>IF($A352="","",'TO HOP NLAN'!$C218)</f>
        <v/>
      </c>
      <c r="G352" s="38" t="str">
        <f t="shared" si="55"/>
        <v/>
      </c>
      <c r="H352" s="38" t="str">
        <f t="shared" si="53"/>
        <v/>
      </c>
      <c r="I352" s="38" t="str">
        <f t="shared" si="56"/>
        <v/>
      </c>
      <c r="J352" s="38" t="str">
        <f t="shared" si="57"/>
        <v/>
      </c>
      <c r="K352" s="38" t="str">
        <f t="shared" si="58"/>
        <v/>
      </c>
      <c r="L352" s="38" t="str">
        <f t="shared" si="59"/>
        <v/>
      </c>
      <c r="M352" s="38" t="str">
        <f>IF($A352="","",IF(H352=0,"",IF(Q352&lt;=0.000000001,MIN(0.8*0.75*'KT THAN'!$C$62,MAX('KT THAN'!$J$38:$J$58)),IFERROR(MIN(0.8*0.75*'KT THAN'!$C$62,INDEX('KT THAN'!$J$38:$J$58,MATCH(Q352,'KT THAN'!$L$38:$L$58,-1))+(INDEX('KT THAN'!$J$38:$J$58,MIN(21,MATCH(Q352,'KT THAN'!$L$38:$L$58,-1)+1))-INDEX('KT THAN'!$J$38:$J$58,MATCH(Q352,'KT THAN'!$L$38:$L$58,-1)))*(Q352-INDEX('KT THAN'!$L$38:$L$58,MATCH(Q352,'KT THAN'!$L$38:$L$58,-1)))/(INDEX('KT THAN'!$L$38:$L$58,MIN(21,MATCH(Q352,'KT THAN'!$L$38:$L$58,-1)+1))-INDEX('KT THAN'!$L$38:$L$58,MATCH(Q352,'KT THAN'!$L$38:$L$58,-1)))),MIN(0.8*0.75*'KT THAN'!$C$62,'KT THAN'!$C$68/Q352)))))</f>
        <v/>
      </c>
      <c r="N352" s="38" t="str">
        <f>IF($A352="","",IF(H352=0,"",IF(R352&lt;=0.000000001,MIN(0.8*0.75*'KT THAN'!$C$62,MAX('KT THAN'!$W$38:$W$58)),IFERROR(MIN(0.8*0.75*'KT THAN'!$C$62,INDEX('KT THAN'!$W$38:$W$58,MATCH(R352,'KT THAN'!$Y$38:$Y$58,-1))+(INDEX('KT THAN'!$W$38:$W$58,MIN(21,MATCH(R352,'KT THAN'!$Y$38:$Y$58,-1)+1))-INDEX('KT THAN'!$W$38:$W$58,MATCH(R352,'KT THAN'!$Y$38:$Y$58,-1)))*(R352-INDEX('KT THAN'!$Y$38:$Y$58,MATCH(R352,'KT THAN'!$Y$38:$Y$58,-1)))/(INDEX('KT THAN'!$Y$38:$Y$58,MIN(21,MATCH(R352,'KT THAN'!$Y$38:$Y$58,-1)+1))-INDEX('KT THAN'!$Y$38:$Y$58,MATCH(R352,'KT THAN'!$Y$38:$Y$58,-1)))),MIN(0.8*0.75*'KT THAN'!$C$62,'KT THAN'!$D$68/R352)))))</f>
        <v/>
      </c>
      <c r="O352" s="38" t="str">
        <f>IF($A352="","",IF(H352&lt;0,ABS(H352)/MAX('KT THAN'!$C$69,0.001)+'KT THAN'!$C$32*ABS(J352)/MAX('KT THAN'!$C$68,0.001)+'KT THAN'!$D$32*ABS(I352)/MAX('KT THAN'!$D$68,0.001),IF(OR(M352&lt;=0,N352&lt;=0),999,IF(H352&gt;=0.1*0.75*fc_*Agth*1000,H352/MAX(0.001,1/(1/M352+1/N352-1/(0.75*'KT THAN'!$C$62))),'KT THAN'!$C$32*ABS(J352)/MAX('KT THAN'!$C$68,0.001)+'KT THAN'!$D$32*ABS(I352)/MAX('KT THAN'!$D$68,0.001)))))</f>
        <v/>
      </c>
      <c r="P352" s="37" t="str">
        <f t="shared" si="60"/>
        <v/>
      </c>
      <c r="Q352" s="38" t="str">
        <f>IF($A352="","",MAX(0.001,'KT THAN'!$C$32*ABS(J352)/MAX(1,H352)))</f>
        <v/>
      </c>
      <c r="R352" s="38" t="str">
        <f>IF($A352="","",MAX(0.001,'KT THAN'!$D$32*ABS(I352)/MAX(1,H352)))</f>
        <v/>
      </c>
      <c r="S352" t="str">
        <f t="shared" si="54"/>
        <v/>
      </c>
    </row>
    <row r="353" spans="1:19" hidden="1" outlineLevel="1" x14ac:dyDescent="0.3">
      <c r="A353" s="37" t="str">
        <f>IF('TO HOP NLAN'!$A219="","",'TO HOP NLAN'!$A219)</f>
        <v/>
      </c>
      <c r="B353" s="38" t="str">
        <f>IF($A353="","",'TO HOP NLAN'!$D219)</f>
        <v/>
      </c>
      <c r="C353" s="38" t="str">
        <f>IF($A353="","",'TO HOP NLAN'!$E219)</f>
        <v/>
      </c>
      <c r="D353" s="38" t="str">
        <f>IF($A353="","",'TO HOP NLAN'!$F219)</f>
        <v/>
      </c>
      <c r="E353" s="38" t="str">
        <f>IF($A353="","",'TO HOP NLAN'!$B219)</f>
        <v/>
      </c>
      <c r="F353" s="38" t="str">
        <f>IF($A353="","",'TO HOP NLAN'!$C219)</f>
        <v/>
      </c>
      <c r="G353" s="38" t="str">
        <f t="shared" si="55"/>
        <v/>
      </c>
      <c r="H353" s="38" t="str">
        <f t="shared" si="53"/>
        <v/>
      </c>
      <c r="I353" s="38" t="str">
        <f t="shared" si="56"/>
        <v/>
      </c>
      <c r="J353" s="38" t="str">
        <f t="shared" si="57"/>
        <v/>
      </c>
      <c r="K353" s="38" t="str">
        <f t="shared" si="58"/>
        <v/>
      </c>
      <c r="L353" s="38" t="str">
        <f t="shared" si="59"/>
        <v/>
      </c>
      <c r="M353" s="38" t="str">
        <f>IF($A353="","",IF(H353=0,"",IF(Q353&lt;=0.000000001,MIN(0.8*0.75*'KT THAN'!$C$62,MAX('KT THAN'!$J$38:$J$58)),IFERROR(MIN(0.8*0.75*'KT THAN'!$C$62,INDEX('KT THAN'!$J$38:$J$58,MATCH(Q353,'KT THAN'!$L$38:$L$58,-1))+(INDEX('KT THAN'!$J$38:$J$58,MIN(21,MATCH(Q353,'KT THAN'!$L$38:$L$58,-1)+1))-INDEX('KT THAN'!$J$38:$J$58,MATCH(Q353,'KT THAN'!$L$38:$L$58,-1)))*(Q353-INDEX('KT THAN'!$L$38:$L$58,MATCH(Q353,'KT THAN'!$L$38:$L$58,-1)))/(INDEX('KT THAN'!$L$38:$L$58,MIN(21,MATCH(Q353,'KT THAN'!$L$38:$L$58,-1)+1))-INDEX('KT THAN'!$L$38:$L$58,MATCH(Q353,'KT THAN'!$L$38:$L$58,-1)))),MIN(0.8*0.75*'KT THAN'!$C$62,'KT THAN'!$C$68/Q353)))))</f>
        <v/>
      </c>
      <c r="N353" s="38" t="str">
        <f>IF($A353="","",IF(H353=0,"",IF(R353&lt;=0.000000001,MIN(0.8*0.75*'KT THAN'!$C$62,MAX('KT THAN'!$W$38:$W$58)),IFERROR(MIN(0.8*0.75*'KT THAN'!$C$62,INDEX('KT THAN'!$W$38:$W$58,MATCH(R353,'KT THAN'!$Y$38:$Y$58,-1))+(INDEX('KT THAN'!$W$38:$W$58,MIN(21,MATCH(R353,'KT THAN'!$Y$38:$Y$58,-1)+1))-INDEX('KT THAN'!$W$38:$W$58,MATCH(R353,'KT THAN'!$Y$38:$Y$58,-1)))*(R353-INDEX('KT THAN'!$Y$38:$Y$58,MATCH(R353,'KT THAN'!$Y$38:$Y$58,-1)))/(INDEX('KT THAN'!$Y$38:$Y$58,MIN(21,MATCH(R353,'KT THAN'!$Y$38:$Y$58,-1)+1))-INDEX('KT THAN'!$Y$38:$Y$58,MATCH(R353,'KT THAN'!$Y$38:$Y$58,-1)))),MIN(0.8*0.75*'KT THAN'!$C$62,'KT THAN'!$D$68/R353)))))</f>
        <v/>
      </c>
      <c r="O353" s="38" t="str">
        <f>IF($A353="","",IF(H353&lt;0,ABS(H353)/MAX('KT THAN'!$C$69,0.001)+'KT THAN'!$C$32*ABS(J353)/MAX('KT THAN'!$C$68,0.001)+'KT THAN'!$D$32*ABS(I353)/MAX('KT THAN'!$D$68,0.001),IF(OR(M353&lt;=0,N353&lt;=0),999,IF(H353&gt;=0.1*0.75*fc_*Agth*1000,H353/MAX(0.001,1/(1/M353+1/N353-1/(0.75*'KT THAN'!$C$62))),'KT THAN'!$C$32*ABS(J353)/MAX('KT THAN'!$C$68,0.001)+'KT THAN'!$D$32*ABS(I353)/MAX('KT THAN'!$D$68,0.001)))))</f>
        <v/>
      </c>
      <c r="P353" s="37" t="str">
        <f t="shared" si="60"/>
        <v/>
      </c>
      <c r="Q353" s="38" t="str">
        <f>IF($A353="","",MAX(0.001,'KT THAN'!$C$32*ABS(J353)/MAX(1,H353)))</f>
        <v/>
      </c>
      <c r="R353" s="38" t="str">
        <f>IF($A353="","",MAX(0.001,'KT THAN'!$D$32*ABS(I353)/MAX(1,H353)))</f>
        <v/>
      </c>
      <c r="S353" t="str">
        <f t="shared" si="54"/>
        <v/>
      </c>
    </row>
    <row r="354" spans="1:19" hidden="1" outlineLevel="1" x14ac:dyDescent="0.3">
      <c r="A354" s="37" t="str">
        <f>IF('TO HOP NLAN'!$A220="","",'TO HOP NLAN'!$A220)</f>
        <v/>
      </c>
      <c r="B354" s="38" t="str">
        <f>IF($A354="","",'TO HOP NLAN'!$D220)</f>
        <v/>
      </c>
      <c r="C354" s="38" t="str">
        <f>IF($A354="","",'TO HOP NLAN'!$E220)</f>
        <v/>
      </c>
      <c r="D354" s="38" t="str">
        <f>IF($A354="","",'TO HOP NLAN'!$F220)</f>
        <v/>
      </c>
      <c r="E354" s="38" t="str">
        <f>IF($A354="","",'TO HOP NLAN'!$B220)</f>
        <v/>
      </c>
      <c r="F354" s="38" t="str">
        <f>IF($A354="","",'TO HOP NLAN'!$C220)</f>
        <v/>
      </c>
      <c r="G354" s="38" t="str">
        <f t="shared" si="55"/>
        <v/>
      </c>
      <c r="H354" s="38" t="str">
        <f t="shared" si="53"/>
        <v/>
      </c>
      <c r="I354" s="38" t="str">
        <f t="shared" si="56"/>
        <v/>
      </c>
      <c r="J354" s="38" t="str">
        <f t="shared" si="57"/>
        <v/>
      </c>
      <c r="K354" s="38" t="str">
        <f t="shared" si="58"/>
        <v/>
      </c>
      <c r="L354" s="38" t="str">
        <f t="shared" si="59"/>
        <v/>
      </c>
      <c r="M354" s="38" t="str">
        <f>IF($A354="","",IF(H354=0,"",IF(Q354&lt;=0.000000001,MIN(0.8*0.75*'KT THAN'!$C$62,MAX('KT THAN'!$J$38:$J$58)),IFERROR(MIN(0.8*0.75*'KT THAN'!$C$62,INDEX('KT THAN'!$J$38:$J$58,MATCH(Q354,'KT THAN'!$L$38:$L$58,-1))+(INDEX('KT THAN'!$J$38:$J$58,MIN(21,MATCH(Q354,'KT THAN'!$L$38:$L$58,-1)+1))-INDEX('KT THAN'!$J$38:$J$58,MATCH(Q354,'KT THAN'!$L$38:$L$58,-1)))*(Q354-INDEX('KT THAN'!$L$38:$L$58,MATCH(Q354,'KT THAN'!$L$38:$L$58,-1)))/(INDEX('KT THAN'!$L$38:$L$58,MIN(21,MATCH(Q354,'KT THAN'!$L$38:$L$58,-1)+1))-INDEX('KT THAN'!$L$38:$L$58,MATCH(Q354,'KT THAN'!$L$38:$L$58,-1)))),MIN(0.8*0.75*'KT THAN'!$C$62,'KT THAN'!$C$68/Q354)))))</f>
        <v/>
      </c>
      <c r="N354" s="38" t="str">
        <f>IF($A354="","",IF(H354=0,"",IF(R354&lt;=0.000000001,MIN(0.8*0.75*'KT THAN'!$C$62,MAX('KT THAN'!$W$38:$W$58)),IFERROR(MIN(0.8*0.75*'KT THAN'!$C$62,INDEX('KT THAN'!$W$38:$W$58,MATCH(R354,'KT THAN'!$Y$38:$Y$58,-1))+(INDEX('KT THAN'!$W$38:$W$58,MIN(21,MATCH(R354,'KT THAN'!$Y$38:$Y$58,-1)+1))-INDEX('KT THAN'!$W$38:$W$58,MATCH(R354,'KT THAN'!$Y$38:$Y$58,-1)))*(R354-INDEX('KT THAN'!$Y$38:$Y$58,MATCH(R354,'KT THAN'!$Y$38:$Y$58,-1)))/(INDEX('KT THAN'!$Y$38:$Y$58,MIN(21,MATCH(R354,'KT THAN'!$Y$38:$Y$58,-1)+1))-INDEX('KT THAN'!$Y$38:$Y$58,MATCH(R354,'KT THAN'!$Y$38:$Y$58,-1)))),MIN(0.8*0.75*'KT THAN'!$C$62,'KT THAN'!$D$68/R354)))))</f>
        <v/>
      </c>
      <c r="O354" s="38" t="str">
        <f>IF($A354="","",IF(H354&lt;0,ABS(H354)/MAX('KT THAN'!$C$69,0.001)+'KT THAN'!$C$32*ABS(J354)/MAX('KT THAN'!$C$68,0.001)+'KT THAN'!$D$32*ABS(I354)/MAX('KT THAN'!$D$68,0.001),IF(OR(M354&lt;=0,N354&lt;=0),999,IF(H354&gt;=0.1*0.75*fc_*Agth*1000,H354/MAX(0.001,1/(1/M354+1/N354-1/(0.75*'KT THAN'!$C$62))),'KT THAN'!$C$32*ABS(J354)/MAX('KT THAN'!$C$68,0.001)+'KT THAN'!$D$32*ABS(I354)/MAX('KT THAN'!$D$68,0.001)))))</f>
        <v/>
      </c>
      <c r="P354" s="37" t="str">
        <f t="shared" si="60"/>
        <v/>
      </c>
      <c r="Q354" s="38" t="str">
        <f>IF($A354="","",MAX(0.001,'KT THAN'!$C$32*ABS(J354)/MAX(1,H354)))</f>
        <v/>
      </c>
      <c r="R354" s="38" t="str">
        <f>IF($A354="","",MAX(0.001,'KT THAN'!$D$32*ABS(I354)/MAX(1,H354)))</f>
        <v/>
      </c>
      <c r="S354" t="str">
        <f t="shared" si="54"/>
        <v/>
      </c>
    </row>
    <row r="355" spans="1:19" hidden="1" outlineLevel="1" x14ac:dyDescent="0.3">
      <c r="A355" s="37" t="str">
        <f>IF('TO HOP NLAN'!$A221="","",'TO HOP NLAN'!$A221)</f>
        <v/>
      </c>
      <c r="B355" s="38" t="str">
        <f>IF($A355="","",'TO HOP NLAN'!$D221)</f>
        <v/>
      </c>
      <c r="C355" s="38" t="str">
        <f>IF($A355="","",'TO HOP NLAN'!$E221)</f>
        <v/>
      </c>
      <c r="D355" s="38" t="str">
        <f>IF($A355="","",'TO HOP NLAN'!$F221)</f>
        <v/>
      </c>
      <c r="E355" s="38" t="str">
        <f>IF($A355="","",'TO HOP NLAN'!$B221)</f>
        <v/>
      </c>
      <c r="F355" s="38" t="str">
        <f>IF($A355="","",'TO HOP NLAN'!$C221)</f>
        <v/>
      </c>
      <c r="G355" s="38" t="str">
        <f t="shared" si="55"/>
        <v/>
      </c>
      <c r="H355" s="38" t="str">
        <f t="shared" si="53"/>
        <v/>
      </c>
      <c r="I355" s="38" t="str">
        <f t="shared" si="56"/>
        <v/>
      </c>
      <c r="J355" s="38" t="str">
        <f t="shared" si="57"/>
        <v/>
      </c>
      <c r="K355" s="38" t="str">
        <f t="shared" si="58"/>
        <v/>
      </c>
      <c r="L355" s="38" t="str">
        <f t="shared" si="59"/>
        <v/>
      </c>
      <c r="M355" s="38" t="str">
        <f>IF($A355="","",IF(H355=0,"",IF(Q355&lt;=0.000000001,MIN(0.8*0.75*'KT THAN'!$C$62,MAX('KT THAN'!$J$38:$J$58)),IFERROR(MIN(0.8*0.75*'KT THAN'!$C$62,INDEX('KT THAN'!$J$38:$J$58,MATCH(Q355,'KT THAN'!$L$38:$L$58,-1))+(INDEX('KT THAN'!$J$38:$J$58,MIN(21,MATCH(Q355,'KT THAN'!$L$38:$L$58,-1)+1))-INDEX('KT THAN'!$J$38:$J$58,MATCH(Q355,'KT THAN'!$L$38:$L$58,-1)))*(Q355-INDEX('KT THAN'!$L$38:$L$58,MATCH(Q355,'KT THAN'!$L$38:$L$58,-1)))/(INDEX('KT THAN'!$L$38:$L$58,MIN(21,MATCH(Q355,'KT THAN'!$L$38:$L$58,-1)+1))-INDEX('KT THAN'!$L$38:$L$58,MATCH(Q355,'KT THAN'!$L$38:$L$58,-1)))),MIN(0.8*0.75*'KT THAN'!$C$62,'KT THAN'!$C$68/Q355)))))</f>
        <v/>
      </c>
      <c r="N355" s="38" t="str">
        <f>IF($A355="","",IF(H355=0,"",IF(R355&lt;=0.000000001,MIN(0.8*0.75*'KT THAN'!$C$62,MAX('KT THAN'!$W$38:$W$58)),IFERROR(MIN(0.8*0.75*'KT THAN'!$C$62,INDEX('KT THAN'!$W$38:$W$58,MATCH(R355,'KT THAN'!$Y$38:$Y$58,-1))+(INDEX('KT THAN'!$W$38:$W$58,MIN(21,MATCH(R355,'KT THAN'!$Y$38:$Y$58,-1)+1))-INDEX('KT THAN'!$W$38:$W$58,MATCH(R355,'KT THAN'!$Y$38:$Y$58,-1)))*(R355-INDEX('KT THAN'!$Y$38:$Y$58,MATCH(R355,'KT THAN'!$Y$38:$Y$58,-1)))/(INDEX('KT THAN'!$Y$38:$Y$58,MIN(21,MATCH(R355,'KT THAN'!$Y$38:$Y$58,-1)+1))-INDEX('KT THAN'!$Y$38:$Y$58,MATCH(R355,'KT THAN'!$Y$38:$Y$58,-1)))),MIN(0.8*0.75*'KT THAN'!$C$62,'KT THAN'!$D$68/R355)))))</f>
        <v/>
      </c>
      <c r="O355" s="38" t="str">
        <f>IF($A355="","",IF(H355&lt;0,ABS(H355)/MAX('KT THAN'!$C$69,0.001)+'KT THAN'!$C$32*ABS(J355)/MAX('KT THAN'!$C$68,0.001)+'KT THAN'!$D$32*ABS(I355)/MAX('KT THAN'!$D$68,0.001),IF(OR(M355&lt;=0,N355&lt;=0),999,IF(H355&gt;=0.1*0.75*fc_*Agth*1000,H355/MAX(0.001,1/(1/M355+1/N355-1/(0.75*'KT THAN'!$C$62))),'KT THAN'!$C$32*ABS(J355)/MAX('KT THAN'!$C$68,0.001)+'KT THAN'!$D$32*ABS(I355)/MAX('KT THAN'!$D$68,0.001)))))</f>
        <v/>
      </c>
      <c r="P355" s="37" t="str">
        <f t="shared" si="60"/>
        <v/>
      </c>
      <c r="Q355" s="38" t="str">
        <f>IF($A355="","",MAX(0.001,'KT THAN'!$C$32*ABS(J355)/MAX(1,H355)))</f>
        <v/>
      </c>
      <c r="R355" s="38" t="str">
        <f>IF($A355="","",MAX(0.001,'KT THAN'!$D$32*ABS(I355)/MAX(1,H355)))</f>
        <v/>
      </c>
      <c r="S355" t="str">
        <f t="shared" si="54"/>
        <v/>
      </c>
    </row>
    <row r="356" spans="1:19" hidden="1" outlineLevel="1" x14ac:dyDescent="0.3">
      <c r="A356" s="37" t="str">
        <f>IF('TO HOP NLAN'!$A222="","",'TO HOP NLAN'!$A222)</f>
        <v/>
      </c>
      <c r="B356" s="38" t="str">
        <f>IF($A356="","",'TO HOP NLAN'!$D222)</f>
        <v/>
      </c>
      <c r="C356" s="38" t="str">
        <f>IF($A356="","",'TO HOP NLAN'!$E222)</f>
        <v/>
      </c>
      <c r="D356" s="38" t="str">
        <f>IF($A356="","",'TO HOP NLAN'!$F222)</f>
        <v/>
      </c>
      <c r="E356" s="38" t="str">
        <f>IF($A356="","",'TO HOP NLAN'!$B222)</f>
        <v/>
      </c>
      <c r="F356" s="38" t="str">
        <f>IF($A356="","",'TO HOP NLAN'!$C222)</f>
        <v/>
      </c>
      <c r="G356" s="38" t="str">
        <f t="shared" si="55"/>
        <v/>
      </c>
      <c r="H356" s="38" t="str">
        <f t="shared" si="53"/>
        <v/>
      </c>
      <c r="I356" s="38" t="str">
        <f t="shared" si="56"/>
        <v/>
      </c>
      <c r="J356" s="38" t="str">
        <f t="shared" si="57"/>
        <v/>
      </c>
      <c r="K356" s="38" t="str">
        <f t="shared" si="58"/>
        <v/>
      </c>
      <c r="L356" s="38" t="str">
        <f t="shared" si="59"/>
        <v/>
      </c>
      <c r="M356" s="38" t="str">
        <f>IF($A356="","",IF(H356=0,"",IF(Q356&lt;=0.000000001,MIN(0.8*0.75*'KT THAN'!$C$62,MAX('KT THAN'!$J$38:$J$58)),IFERROR(MIN(0.8*0.75*'KT THAN'!$C$62,INDEX('KT THAN'!$J$38:$J$58,MATCH(Q356,'KT THAN'!$L$38:$L$58,-1))+(INDEX('KT THAN'!$J$38:$J$58,MIN(21,MATCH(Q356,'KT THAN'!$L$38:$L$58,-1)+1))-INDEX('KT THAN'!$J$38:$J$58,MATCH(Q356,'KT THAN'!$L$38:$L$58,-1)))*(Q356-INDEX('KT THAN'!$L$38:$L$58,MATCH(Q356,'KT THAN'!$L$38:$L$58,-1)))/(INDEX('KT THAN'!$L$38:$L$58,MIN(21,MATCH(Q356,'KT THAN'!$L$38:$L$58,-1)+1))-INDEX('KT THAN'!$L$38:$L$58,MATCH(Q356,'KT THAN'!$L$38:$L$58,-1)))),MIN(0.8*0.75*'KT THAN'!$C$62,'KT THAN'!$C$68/Q356)))))</f>
        <v/>
      </c>
      <c r="N356" s="38" t="str">
        <f>IF($A356="","",IF(H356=0,"",IF(R356&lt;=0.000000001,MIN(0.8*0.75*'KT THAN'!$C$62,MAX('KT THAN'!$W$38:$W$58)),IFERROR(MIN(0.8*0.75*'KT THAN'!$C$62,INDEX('KT THAN'!$W$38:$W$58,MATCH(R356,'KT THAN'!$Y$38:$Y$58,-1))+(INDEX('KT THAN'!$W$38:$W$58,MIN(21,MATCH(R356,'KT THAN'!$Y$38:$Y$58,-1)+1))-INDEX('KT THAN'!$W$38:$W$58,MATCH(R356,'KT THAN'!$Y$38:$Y$58,-1)))*(R356-INDEX('KT THAN'!$Y$38:$Y$58,MATCH(R356,'KT THAN'!$Y$38:$Y$58,-1)))/(INDEX('KT THAN'!$Y$38:$Y$58,MIN(21,MATCH(R356,'KT THAN'!$Y$38:$Y$58,-1)+1))-INDEX('KT THAN'!$Y$38:$Y$58,MATCH(R356,'KT THAN'!$Y$38:$Y$58,-1)))),MIN(0.8*0.75*'KT THAN'!$C$62,'KT THAN'!$D$68/R356)))))</f>
        <v/>
      </c>
      <c r="O356" s="38" t="str">
        <f>IF($A356="","",IF(H356&lt;0,ABS(H356)/MAX('KT THAN'!$C$69,0.001)+'KT THAN'!$C$32*ABS(J356)/MAX('KT THAN'!$C$68,0.001)+'KT THAN'!$D$32*ABS(I356)/MAX('KT THAN'!$D$68,0.001),IF(OR(M356&lt;=0,N356&lt;=0),999,IF(H356&gt;=0.1*0.75*fc_*Agth*1000,H356/MAX(0.001,1/(1/M356+1/N356-1/(0.75*'KT THAN'!$C$62))),'KT THAN'!$C$32*ABS(J356)/MAX('KT THAN'!$C$68,0.001)+'KT THAN'!$D$32*ABS(I356)/MAX('KT THAN'!$D$68,0.001)))))</f>
        <v/>
      </c>
      <c r="P356" s="37" t="str">
        <f t="shared" si="60"/>
        <v/>
      </c>
      <c r="Q356" s="38" t="str">
        <f>IF($A356="","",MAX(0.001,'KT THAN'!$C$32*ABS(J356)/MAX(1,H356)))</f>
        <v/>
      </c>
      <c r="R356" s="38" t="str">
        <f>IF($A356="","",MAX(0.001,'KT THAN'!$D$32*ABS(I356)/MAX(1,H356)))</f>
        <v/>
      </c>
      <c r="S356" t="str">
        <f t="shared" si="54"/>
        <v/>
      </c>
    </row>
    <row r="357" spans="1:19" hidden="1" outlineLevel="1" x14ac:dyDescent="0.3">
      <c r="A357" s="37" t="str">
        <f>IF('TO HOP NLAN'!$A223="","",'TO HOP NLAN'!$A223)</f>
        <v/>
      </c>
      <c r="B357" s="38" t="str">
        <f>IF($A357="","",'TO HOP NLAN'!$D223)</f>
        <v/>
      </c>
      <c r="C357" s="38" t="str">
        <f>IF($A357="","",'TO HOP NLAN'!$E223)</f>
        <v/>
      </c>
      <c r="D357" s="38" t="str">
        <f>IF($A357="","",'TO HOP NLAN'!$F223)</f>
        <v/>
      </c>
      <c r="E357" s="38" t="str">
        <f>IF($A357="","",'TO HOP NLAN'!$B223)</f>
        <v/>
      </c>
      <c r="F357" s="38" t="str">
        <f>IF($A357="","",'TO HOP NLAN'!$C223)</f>
        <v/>
      </c>
      <c r="G357" s="38" t="str">
        <f t="shared" si="55"/>
        <v/>
      </c>
      <c r="H357" s="38" t="str">
        <f t="shared" si="53"/>
        <v/>
      </c>
      <c r="I357" s="38" t="str">
        <f t="shared" si="56"/>
        <v/>
      </c>
      <c r="J357" s="38" t="str">
        <f t="shared" si="57"/>
        <v/>
      </c>
      <c r="K357" s="38" t="str">
        <f t="shared" si="58"/>
        <v/>
      </c>
      <c r="L357" s="38" t="str">
        <f t="shared" si="59"/>
        <v/>
      </c>
      <c r="M357" s="38" t="str">
        <f>IF($A357="","",IF(H357=0,"",IF(Q357&lt;=0.000000001,MIN(0.8*0.75*'KT THAN'!$C$62,MAX('KT THAN'!$J$38:$J$58)),IFERROR(MIN(0.8*0.75*'KT THAN'!$C$62,INDEX('KT THAN'!$J$38:$J$58,MATCH(Q357,'KT THAN'!$L$38:$L$58,-1))+(INDEX('KT THAN'!$J$38:$J$58,MIN(21,MATCH(Q357,'KT THAN'!$L$38:$L$58,-1)+1))-INDEX('KT THAN'!$J$38:$J$58,MATCH(Q357,'KT THAN'!$L$38:$L$58,-1)))*(Q357-INDEX('KT THAN'!$L$38:$L$58,MATCH(Q357,'KT THAN'!$L$38:$L$58,-1)))/(INDEX('KT THAN'!$L$38:$L$58,MIN(21,MATCH(Q357,'KT THAN'!$L$38:$L$58,-1)+1))-INDEX('KT THAN'!$L$38:$L$58,MATCH(Q357,'KT THAN'!$L$38:$L$58,-1)))),MIN(0.8*0.75*'KT THAN'!$C$62,'KT THAN'!$C$68/Q357)))))</f>
        <v/>
      </c>
      <c r="N357" s="38" t="str">
        <f>IF($A357="","",IF(H357=0,"",IF(R357&lt;=0.000000001,MIN(0.8*0.75*'KT THAN'!$C$62,MAX('KT THAN'!$W$38:$W$58)),IFERROR(MIN(0.8*0.75*'KT THAN'!$C$62,INDEX('KT THAN'!$W$38:$W$58,MATCH(R357,'KT THAN'!$Y$38:$Y$58,-1))+(INDEX('KT THAN'!$W$38:$W$58,MIN(21,MATCH(R357,'KT THAN'!$Y$38:$Y$58,-1)+1))-INDEX('KT THAN'!$W$38:$W$58,MATCH(R357,'KT THAN'!$Y$38:$Y$58,-1)))*(R357-INDEX('KT THAN'!$Y$38:$Y$58,MATCH(R357,'KT THAN'!$Y$38:$Y$58,-1)))/(INDEX('KT THAN'!$Y$38:$Y$58,MIN(21,MATCH(R357,'KT THAN'!$Y$38:$Y$58,-1)+1))-INDEX('KT THAN'!$Y$38:$Y$58,MATCH(R357,'KT THAN'!$Y$38:$Y$58,-1)))),MIN(0.8*0.75*'KT THAN'!$C$62,'KT THAN'!$D$68/R357)))))</f>
        <v/>
      </c>
      <c r="O357" s="38" t="str">
        <f>IF($A357="","",IF(H357&lt;0,ABS(H357)/MAX('KT THAN'!$C$69,0.001)+'KT THAN'!$C$32*ABS(J357)/MAX('KT THAN'!$C$68,0.001)+'KT THAN'!$D$32*ABS(I357)/MAX('KT THAN'!$D$68,0.001),IF(OR(M357&lt;=0,N357&lt;=0),999,IF(H357&gt;=0.1*0.75*fc_*Agth*1000,H357/MAX(0.001,1/(1/M357+1/N357-1/(0.75*'KT THAN'!$C$62))),'KT THAN'!$C$32*ABS(J357)/MAX('KT THAN'!$C$68,0.001)+'KT THAN'!$D$32*ABS(I357)/MAX('KT THAN'!$D$68,0.001)))))</f>
        <v/>
      </c>
      <c r="P357" s="37" t="str">
        <f t="shared" si="60"/>
        <v/>
      </c>
      <c r="Q357" s="38" t="str">
        <f>IF($A357="","",MAX(0.001,'KT THAN'!$C$32*ABS(J357)/MAX(1,H357)))</f>
        <v/>
      </c>
      <c r="R357" s="38" t="str">
        <f>IF($A357="","",MAX(0.001,'KT THAN'!$D$32*ABS(I357)/MAX(1,H357)))</f>
        <v/>
      </c>
      <c r="S357" t="str">
        <f t="shared" si="54"/>
        <v/>
      </c>
    </row>
    <row r="358" spans="1:19" hidden="1" outlineLevel="1" x14ac:dyDescent="0.3">
      <c r="A358" s="37" t="str">
        <f>IF('TO HOP NLAN'!$A224="","",'TO HOP NLAN'!$A224)</f>
        <v/>
      </c>
      <c r="B358" s="38" t="str">
        <f>IF($A358="","",'TO HOP NLAN'!$D224)</f>
        <v/>
      </c>
      <c r="C358" s="38" t="str">
        <f>IF($A358="","",'TO HOP NLAN'!$E224)</f>
        <v/>
      </c>
      <c r="D358" s="38" t="str">
        <f>IF($A358="","",'TO HOP NLAN'!$F224)</f>
        <v/>
      </c>
      <c r="E358" s="38" t="str">
        <f>IF($A358="","",'TO HOP NLAN'!$B224)</f>
        <v/>
      </c>
      <c r="F358" s="38" t="str">
        <f>IF($A358="","",'TO HOP NLAN'!$C224)</f>
        <v/>
      </c>
      <c r="G358" s="38" t="str">
        <f t="shared" si="55"/>
        <v/>
      </c>
      <c r="H358" s="38" t="str">
        <f t="shared" si="53"/>
        <v/>
      </c>
      <c r="I358" s="38" t="str">
        <f t="shared" si="56"/>
        <v/>
      </c>
      <c r="J358" s="38" t="str">
        <f t="shared" si="57"/>
        <v/>
      </c>
      <c r="K358" s="38" t="str">
        <f t="shared" si="58"/>
        <v/>
      </c>
      <c r="L358" s="38" t="str">
        <f t="shared" si="59"/>
        <v/>
      </c>
      <c r="M358" s="38" t="str">
        <f>IF($A358="","",IF(H358=0,"",IF(Q358&lt;=0.000000001,MIN(0.8*0.75*'KT THAN'!$C$62,MAX('KT THAN'!$J$38:$J$58)),IFERROR(MIN(0.8*0.75*'KT THAN'!$C$62,INDEX('KT THAN'!$J$38:$J$58,MATCH(Q358,'KT THAN'!$L$38:$L$58,-1))+(INDEX('KT THAN'!$J$38:$J$58,MIN(21,MATCH(Q358,'KT THAN'!$L$38:$L$58,-1)+1))-INDEX('KT THAN'!$J$38:$J$58,MATCH(Q358,'KT THAN'!$L$38:$L$58,-1)))*(Q358-INDEX('KT THAN'!$L$38:$L$58,MATCH(Q358,'KT THAN'!$L$38:$L$58,-1)))/(INDEX('KT THAN'!$L$38:$L$58,MIN(21,MATCH(Q358,'KT THAN'!$L$38:$L$58,-1)+1))-INDEX('KT THAN'!$L$38:$L$58,MATCH(Q358,'KT THAN'!$L$38:$L$58,-1)))),MIN(0.8*0.75*'KT THAN'!$C$62,'KT THAN'!$C$68/Q358)))))</f>
        <v/>
      </c>
      <c r="N358" s="38" t="str">
        <f>IF($A358="","",IF(H358=0,"",IF(R358&lt;=0.000000001,MIN(0.8*0.75*'KT THAN'!$C$62,MAX('KT THAN'!$W$38:$W$58)),IFERROR(MIN(0.8*0.75*'KT THAN'!$C$62,INDEX('KT THAN'!$W$38:$W$58,MATCH(R358,'KT THAN'!$Y$38:$Y$58,-1))+(INDEX('KT THAN'!$W$38:$W$58,MIN(21,MATCH(R358,'KT THAN'!$Y$38:$Y$58,-1)+1))-INDEX('KT THAN'!$W$38:$W$58,MATCH(R358,'KT THAN'!$Y$38:$Y$58,-1)))*(R358-INDEX('KT THAN'!$Y$38:$Y$58,MATCH(R358,'KT THAN'!$Y$38:$Y$58,-1)))/(INDEX('KT THAN'!$Y$38:$Y$58,MIN(21,MATCH(R358,'KT THAN'!$Y$38:$Y$58,-1)+1))-INDEX('KT THAN'!$Y$38:$Y$58,MATCH(R358,'KT THAN'!$Y$38:$Y$58,-1)))),MIN(0.8*0.75*'KT THAN'!$C$62,'KT THAN'!$D$68/R358)))))</f>
        <v/>
      </c>
      <c r="O358" s="38" t="str">
        <f>IF($A358="","",IF(H358&lt;0,ABS(H358)/MAX('KT THAN'!$C$69,0.001)+'KT THAN'!$C$32*ABS(J358)/MAX('KT THAN'!$C$68,0.001)+'KT THAN'!$D$32*ABS(I358)/MAX('KT THAN'!$D$68,0.001),IF(OR(M358&lt;=0,N358&lt;=0),999,IF(H358&gt;=0.1*0.75*fc_*Agth*1000,H358/MAX(0.001,1/(1/M358+1/N358-1/(0.75*'KT THAN'!$C$62))),'KT THAN'!$C$32*ABS(J358)/MAX('KT THAN'!$C$68,0.001)+'KT THAN'!$D$32*ABS(I358)/MAX('KT THAN'!$D$68,0.001)))))</f>
        <v/>
      </c>
      <c r="P358" s="37" t="str">
        <f t="shared" si="60"/>
        <v/>
      </c>
      <c r="Q358" s="38" t="str">
        <f>IF($A358="","",MAX(0.001,'KT THAN'!$C$32*ABS(J358)/MAX(1,H358)))</f>
        <v/>
      </c>
      <c r="R358" s="38" t="str">
        <f>IF($A358="","",MAX(0.001,'KT THAN'!$D$32*ABS(I358)/MAX(1,H358)))</f>
        <v/>
      </c>
      <c r="S358" t="str">
        <f t="shared" si="54"/>
        <v/>
      </c>
    </row>
    <row r="359" spans="1:19" hidden="1" outlineLevel="1" x14ac:dyDescent="0.3">
      <c r="A359" s="37" t="str">
        <f>IF('TO HOP NLAN'!$A225="","",'TO HOP NLAN'!$A225)</f>
        <v/>
      </c>
      <c r="B359" s="38" t="str">
        <f>IF($A359="","",'TO HOP NLAN'!$D225)</f>
        <v/>
      </c>
      <c r="C359" s="38" t="str">
        <f>IF($A359="","",'TO HOP NLAN'!$E225)</f>
        <v/>
      </c>
      <c r="D359" s="38" t="str">
        <f>IF($A359="","",'TO HOP NLAN'!$F225)</f>
        <v/>
      </c>
      <c r="E359" s="38" t="str">
        <f>IF($A359="","",'TO HOP NLAN'!$B225)</f>
        <v/>
      </c>
      <c r="F359" s="38" t="str">
        <f>IF($A359="","",'TO HOP NLAN'!$C225)</f>
        <v/>
      </c>
      <c r="G359" s="38" t="str">
        <f t="shared" si="55"/>
        <v/>
      </c>
      <c r="H359" s="38" t="str">
        <f t="shared" si="53"/>
        <v/>
      </c>
      <c r="I359" s="38" t="str">
        <f t="shared" si="56"/>
        <v/>
      </c>
      <c r="J359" s="38" t="str">
        <f t="shared" si="57"/>
        <v/>
      </c>
      <c r="K359" s="38" t="str">
        <f t="shared" si="58"/>
        <v/>
      </c>
      <c r="L359" s="38" t="str">
        <f t="shared" si="59"/>
        <v/>
      </c>
      <c r="M359" s="38" t="str">
        <f>IF($A359="","",IF(H359=0,"",IF(Q359&lt;=0.000000001,MIN(0.8*0.75*'KT THAN'!$C$62,MAX('KT THAN'!$J$38:$J$58)),IFERROR(MIN(0.8*0.75*'KT THAN'!$C$62,INDEX('KT THAN'!$J$38:$J$58,MATCH(Q359,'KT THAN'!$L$38:$L$58,-1))+(INDEX('KT THAN'!$J$38:$J$58,MIN(21,MATCH(Q359,'KT THAN'!$L$38:$L$58,-1)+1))-INDEX('KT THAN'!$J$38:$J$58,MATCH(Q359,'KT THAN'!$L$38:$L$58,-1)))*(Q359-INDEX('KT THAN'!$L$38:$L$58,MATCH(Q359,'KT THAN'!$L$38:$L$58,-1)))/(INDEX('KT THAN'!$L$38:$L$58,MIN(21,MATCH(Q359,'KT THAN'!$L$38:$L$58,-1)+1))-INDEX('KT THAN'!$L$38:$L$58,MATCH(Q359,'KT THAN'!$L$38:$L$58,-1)))),MIN(0.8*0.75*'KT THAN'!$C$62,'KT THAN'!$C$68/Q359)))))</f>
        <v/>
      </c>
      <c r="N359" s="38" t="str">
        <f>IF($A359="","",IF(H359=0,"",IF(R359&lt;=0.000000001,MIN(0.8*0.75*'KT THAN'!$C$62,MAX('KT THAN'!$W$38:$W$58)),IFERROR(MIN(0.8*0.75*'KT THAN'!$C$62,INDEX('KT THAN'!$W$38:$W$58,MATCH(R359,'KT THAN'!$Y$38:$Y$58,-1))+(INDEX('KT THAN'!$W$38:$W$58,MIN(21,MATCH(R359,'KT THAN'!$Y$38:$Y$58,-1)+1))-INDEX('KT THAN'!$W$38:$W$58,MATCH(R359,'KT THAN'!$Y$38:$Y$58,-1)))*(R359-INDEX('KT THAN'!$Y$38:$Y$58,MATCH(R359,'KT THAN'!$Y$38:$Y$58,-1)))/(INDEX('KT THAN'!$Y$38:$Y$58,MIN(21,MATCH(R359,'KT THAN'!$Y$38:$Y$58,-1)+1))-INDEX('KT THAN'!$Y$38:$Y$58,MATCH(R359,'KT THAN'!$Y$38:$Y$58,-1)))),MIN(0.8*0.75*'KT THAN'!$C$62,'KT THAN'!$D$68/R359)))))</f>
        <v/>
      </c>
      <c r="O359" s="38" t="str">
        <f>IF($A359="","",IF(H359&lt;0,ABS(H359)/MAX('KT THAN'!$C$69,0.001)+'KT THAN'!$C$32*ABS(J359)/MAX('KT THAN'!$C$68,0.001)+'KT THAN'!$D$32*ABS(I359)/MAX('KT THAN'!$D$68,0.001),IF(OR(M359&lt;=0,N359&lt;=0),999,IF(H359&gt;=0.1*0.75*fc_*Agth*1000,H359/MAX(0.001,1/(1/M359+1/N359-1/(0.75*'KT THAN'!$C$62))),'KT THAN'!$C$32*ABS(J359)/MAX('KT THAN'!$C$68,0.001)+'KT THAN'!$D$32*ABS(I359)/MAX('KT THAN'!$D$68,0.001)))))</f>
        <v/>
      </c>
      <c r="P359" s="37" t="str">
        <f t="shared" si="60"/>
        <v/>
      </c>
      <c r="Q359" s="38" t="str">
        <f>IF($A359="","",MAX(0.001,'KT THAN'!$C$32*ABS(J359)/MAX(1,H359)))</f>
        <v/>
      </c>
      <c r="R359" s="38" t="str">
        <f>IF($A359="","",MAX(0.001,'KT THAN'!$D$32*ABS(I359)/MAX(1,H359)))</f>
        <v/>
      </c>
      <c r="S359" t="str">
        <f t="shared" si="54"/>
        <v/>
      </c>
    </row>
    <row r="360" spans="1:19" hidden="1" outlineLevel="1" x14ac:dyDescent="0.3">
      <c r="A360" s="37" t="str">
        <f>IF('TO HOP NLAN'!$A226="","",'TO HOP NLAN'!$A226)</f>
        <v/>
      </c>
      <c r="B360" s="38" t="str">
        <f>IF($A360="","",'TO HOP NLAN'!$D226)</f>
        <v/>
      </c>
      <c r="C360" s="38" t="str">
        <f>IF($A360="","",'TO HOP NLAN'!$E226)</f>
        <v/>
      </c>
      <c r="D360" s="38" t="str">
        <f>IF($A360="","",'TO HOP NLAN'!$F226)</f>
        <v/>
      </c>
      <c r="E360" s="38" t="str">
        <f>IF($A360="","",'TO HOP NLAN'!$B226)</f>
        <v/>
      </c>
      <c r="F360" s="38" t="str">
        <f>IF($A360="","",'TO HOP NLAN'!$C226)</f>
        <v/>
      </c>
      <c r="G360" s="38" t="str">
        <f t="shared" si="55"/>
        <v/>
      </c>
      <c r="H360" s="38" t="str">
        <f t="shared" si="53"/>
        <v/>
      </c>
      <c r="I360" s="38" t="str">
        <f t="shared" si="56"/>
        <v/>
      </c>
      <c r="J360" s="38" t="str">
        <f t="shared" si="57"/>
        <v/>
      </c>
      <c r="K360" s="38" t="str">
        <f t="shared" si="58"/>
        <v/>
      </c>
      <c r="L360" s="38" t="str">
        <f t="shared" si="59"/>
        <v/>
      </c>
      <c r="M360" s="38" t="str">
        <f>IF($A360="","",IF(H360=0,"",IF(Q360&lt;=0.000000001,MIN(0.8*0.75*'KT THAN'!$C$62,MAX('KT THAN'!$J$38:$J$58)),IFERROR(MIN(0.8*0.75*'KT THAN'!$C$62,INDEX('KT THAN'!$J$38:$J$58,MATCH(Q360,'KT THAN'!$L$38:$L$58,-1))+(INDEX('KT THAN'!$J$38:$J$58,MIN(21,MATCH(Q360,'KT THAN'!$L$38:$L$58,-1)+1))-INDEX('KT THAN'!$J$38:$J$58,MATCH(Q360,'KT THAN'!$L$38:$L$58,-1)))*(Q360-INDEX('KT THAN'!$L$38:$L$58,MATCH(Q360,'KT THAN'!$L$38:$L$58,-1)))/(INDEX('KT THAN'!$L$38:$L$58,MIN(21,MATCH(Q360,'KT THAN'!$L$38:$L$58,-1)+1))-INDEX('KT THAN'!$L$38:$L$58,MATCH(Q360,'KT THAN'!$L$38:$L$58,-1)))),MIN(0.8*0.75*'KT THAN'!$C$62,'KT THAN'!$C$68/Q360)))))</f>
        <v/>
      </c>
      <c r="N360" s="38" t="str">
        <f>IF($A360="","",IF(H360=0,"",IF(R360&lt;=0.000000001,MIN(0.8*0.75*'KT THAN'!$C$62,MAX('KT THAN'!$W$38:$W$58)),IFERROR(MIN(0.8*0.75*'KT THAN'!$C$62,INDEX('KT THAN'!$W$38:$W$58,MATCH(R360,'KT THAN'!$Y$38:$Y$58,-1))+(INDEX('KT THAN'!$W$38:$W$58,MIN(21,MATCH(R360,'KT THAN'!$Y$38:$Y$58,-1)+1))-INDEX('KT THAN'!$W$38:$W$58,MATCH(R360,'KT THAN'!$Y$38:$Y$58,-1)))*(R360-INDEX('KT THAN'!$Y$38:$Y$58,MATCH(R360,'KT THAN'!$Y$38:$Y$58,-1)))/(INDEX('KT THAN'!$Y$38:$Y$58,MIN(21,MATCH(R360,'KT THAN'!$Y$38:$Y$58,-1)+1))-INDEX('KT THAN'!$Y$38:$Y$58,MATCH(R360,'KT THAN'!$Y$38:$Y$58,-1)))),MIN(0.8*0.75*'KT THAN'!$C$62,'KT THAN'!$D$68/R360)))))</f>
        <v/>
      </c>
      <c r="O360" s="38" t="str">
        <f>IF($A360="","",IF(H360&lt;0,ABS(H360)/MAX('KT THAN'!$C$69,0.001)+'KT THAN'!$C$32*ABS(J360)/MAX('KT THAN'!$C$68,0.001)+'KT THAN'!$D$32*ABS(I360)/MAX('KT THAN'!$D$68,0.001),IF(OR(M360&lt;=0,N360&lt;=0),999,IF(H360&gt;=0.1*0.75*fc_*Agth*1000,H360/MAX(0.001,1/(1/M360+1/N360-1/(0.75*'KT THAN'!$C$62))),'KT THAN'!$C$32*ABS(J360)/MAX('KT THAN'!$C$68,0.001)+'KT THAN'!$D$32*ABS(I360)/MAX('KT THAN'!$D$68,0.001)))))</f>
        <v/>
      </c>
      <c r="P360" s="37" t="str">
        <f t="shared" si="60"/>
        <v/>
      </c>
      <c r="Q360" s="38" t="str">
        <f>IF($A360="","",MAX(0.001,'KT THAN'!$C$32*ABS(J360)/MAX(1,H360)))</f>
        <v/>
      </c>
      <c r="R360" s="38" t="str">
        <f>IF($A360="","",MAX(0.001,'KT THAN'!$D$32*ABS(I360)/MAX(1,H360)))</f>
        <v/>
      </c>
      <c r="S360" t="str">
        <f t="shared" si="54"/>
        <v/>
      </c>
    </row>
    <row r="361" spans="1:19" hidden="1" outlineLevel="1" x14ac:dyDescent="0.3">
      <c r="A361" s="37" t="str">
        <f>IF('TO HOP NLAN'!$A227="","",'TO HOP NLAN'!$A227)</f>
        <v/>
      </c>
      <c r="B361" s="38" t="str">
        <f>IF($A361="","",'TO HOP NLAN'!$D227)</f>
        <v/>
      </c>
      <c r="C361" s="38" t="str">
        <f>IF($A361="","",'TO HOP NLAN'!$E227)</f>
        <v/>
      </c>
      <c r="D361" s="38" t="str">
        <f>IF($A361="","",'TO HOP NLAN'!$F227)</f>
        <v/>
      </c>
      <c r="E361" s="38" t="str">
        <f>IF($A361="","",'TO HOP NLAN'!$B227)</f>
        <v/>
      </c>
      <c r="F361" s="38" t="str">
        <f>IF($A361="","",'TO HOP NLAN'!$C227)</f>
        <v/>
      </c>
      <c r="G361" s="38" t="str">
        <f t="shared" si="55"/>
        <v/>
      </c>
      <c r="H361" s="38" t="str">
        <f t="shared" si="53"/>
        <v/>
      </c>
      <c r="I361" s="38" t="str">
        <f t="shared" si="56"/>
        <v/>
      </c>
      <c r="J361" s="38" t="str">
        <f t="shared" si="57"/>
        <v/>
      </c>
      <c r="K361" s="38" t="str">
        <f t="shared" si="58"/>
        <v/>
      </c>
      <c r="L361" s="38" t="str">
        <f t="shared" si="59"/>
        <v/>
      </c>
      <c r="M361" s="38" t="str">
        <f>IF($A361="","",IF(H361=0,"",IF(Q361&lt;=0.000000001,MIN(0.8*0.75*'KT THAN'!$C$62,MAX('KT THAN'!$J$38:$J$58)),IFERROR(MIN(0.8*0.75*'KT THAN'!$C$62,INDEX('KT THAN'!$J$38:$J$58,MATCH(Q361,'KT THAN'!$L$38:$L$58,-1))+(INDEX('KT THAN'!$J$38:$J$58,MIN(21,MATCH(Q361,'KT THAN'!$L$38:$L$58,-1)+1))-INDEX('KT THAN'!$J$38:$J$58,MATCH(Q361,'KT THAN'!$L$38:$L$58,-1)))*(Q361-INDEX('KT THAN'!$L$38:$L$58,MATCH(Q361,'KT THAN'!$L$38:$L$58,-1)))/(INDEX('KT THAN'!$L$38:$L$58,MIN(21,MATCH(Q361,'KT THAN'!$L$38:$L$58,-1)+1))-INDEX('KT THAN'!$L$38:$L$58,MATCH(Q361,'KT THAN'!$L$38:$L$58,-1)))),MIN(0.8*0.75*'KT THAN'!$C$62,'KT THAN'!$C$68/Q361)))))</f>
        <v/>
      </c>
      <c r="N361" s="38" t="str">
        <f>IF($A361="","",IF(H361=0,"",IF(R361&lt;=0.000000001,MIN(0.8*0.75*'KT THAN'!$C$62,MAX('KT THAN'!$W$38:$W$58)),IFERROR(MIN(0.8*0.75*'KT THAN'!$C$62,INDEX('KT THAN'!$W$38:$W$58,MATCH(R361,'KT THAN'!$Y$38:$Y$58,-1))+(INDEX('KT THAN'!$W$38:$W$58,MIN(21,MATCH(R361,'KT THAN'!$Y$38:$Y$58,-1)+1))-INDEX('KT THAN'!$W$38:$W$58,MATCH(R361,'KT THAN'!$Y$38:$Y$58,-1)))*(R361-INDEX('KT THAN'!$Y$38:$Y$58,MATCH(R361,'KT THAN'!$Y$38:$Y$58,-1)))/(INDEX('KT THAN'!$Y$38:$Y$58,MIN(21,MATCH(R361,'KT THAN'!$Y$38:$Y$58,-1)+1))-INDEX('KT THAN'!$Y$38:$Y$58,MATCH(R361,'KT THAN'!$Y$38:$Y$58,-1)))),MIN(0.8*0.75*'KT THAN'!$C$62,'KT THAN'!$D$68/R361)))))</f>
        <v/>
      </c>
      <c r="O361" s="38" t="str">
        <f>IF($A361="","",IF(H361&lt;0,ABS(H361)/MAX('KT THAN'!$C$69,0.001)+'KT THAN'!$C$32*ABS(J361)/MAX('KT THAN'!$C$68,0.001)+'KT THAN'!$D$32*ABS(I361)/MAX('KT THAN'!$D$68,0.001),IF(OR(M361&lt;=0,N361&lt;=0),999,IF(H361&gt;=0.1*0.75*fc_*Agth*1000,H361/MAX(0.001,1/(1/M361+1/N361-1/(0.75*'KT THAN'!$C$62))),'KT THAN'!$C$32*ABS(J361)/MAX('KT THAN'!$C$68,0.001)+'KT THAN'!$D$32*ABS(I361)/MAX('KT THAN'!$D$68,0.001)))))</f>
        <v/>
      </c>
      <c r="P361" s="37" t="str">
        <f t="shared" si="60"/>
        <v/>
      </c>
      <c r="Q361" s="38" t="str">
        <f>IF($A361="","",MAX(0.001,'KT THAN'!$C$32*ABS(J361)/MAX(1,H361)))</f>
        <v/>
      </c>
      <c r="R361" s="38" t="str">
        <f>IF($A361="","",MAX(0.001,'KT THAN'!$D$32*ABS(I361)/MAX(1,H361)))</f>
        <v/>
      </c>
      <c r="S361" t="str">
        <f t="shared" si="54"/>
        <v/>
      </c>
    </row>
    <row r="362" spans="1:19" hidden="1" outlineLevel="1" x14ac:dyDescent="0.3">
      <c r="A362" s="37" t="str">
        <f>IF('TO HOP NLAN'!$A228="","",'TO HOP NLAN'!$A228)</f>
        <v/>
      </c>
      <c r="B362" s="38" t="str">
        <f>IF($A362="","",'TO HOP NLAN'!$D228)</f>
        <v/>
      </c>
      <c r="C362" s="38" t="str">
        <f>IF($A362="","",'TO HOP NLAN'!$E228)</f>
        <v/>
      </c>
      <c r="D362" s="38" t="str">
        <f>IF($A362="","",'TO HOP NLAN'!$F228)</f>
        <v/>
      </c>
      <c r="E362" s="38" t="str">
        <f>IF($A362="","",'TO HOP NLAN'!$B228)</f>
        <v/>
      </c>
      <c r="F362" s="38" t="str">
        <f>IF($A362="","",'TO HOP NLAN'!$C228)</f>
        <v/>
      </c>
      <c r="G362" s="38" t="str">
        <f t="shared" si="55"/>
        <v/>
      </c>
      <c r="H362" s="38" t="str">
        <f t="shared" si="53"/>
        <v/>
      </c>
      <c r="I362" s="38" t="str">
        <f t="shared" si="56"/>
        <v/>
      </c>
      <c r="J362" s="38" t="str">
        <f t="shared" si="57"/>
        <v/>
      </c>
      <c r="K362" s="38" t="str">
        <f t="shared" si="58"/>
        <v/>
      </c>
      <c r="L362" s="38" t="str">
        <f t="shared" si="59"/>
        <v/>
      </c>
      <c r="M362" s="38" t="str">
        <f>IF($A362="","",IF(H362=0,"",IF(Q362&lt;=0.000000001,MIN(0.8*0.75*'KT THAN'!$C$62,MAX('KT THAN'!$J$38:$J$58)),IFERROR(MIN(0.8*0.75*'KT THAN'!$C$62,INDEX('KT THAN'!$J$38:$J$58,MATCH(Q362,'KT THAN'!$L$38:$L$58,-1))+(INDEX('KT THAN'!$J$38:$J$58,MIN(21,MATCH(Q362,'KT THAN'!$L$38:$L$58,-1)+1))-INDEX('KT THAN'!$J$38:$J$58,MATCH(Q362,'KT THAN'!$L$38:$L$58,-1)))*(Q362-INDEX('KT THAN'!$L$38:$L$58,MATCH(Q362,'KT THAN'!$L$38:$L$58,-1)))/(INDEX('KT THAN'!$L$38:$L$58,MIN(21,MATCH(Q362,'KT THAN'!$L$38:$L$58,-1)+1))-INDEX('KT THAN'!$L$38:$L$58,MATCH(Q362,'KT THAN'!$L$38:$L$58,-1)))),MIN(0.8*0.75*'KT THAN'!$C$62,'KT THAN'!$C$68/Q362)))))</f>
        <v/>
      </c>
      <c r="N362" s="38" t="str">
        <f>IF($A362="","",IF(H362=0,"",IF(R362&lt;=0.000000001,MIN(0.8*0.75*'KT THAN'!$C$62,MAX('KT THAN'!$W$38:$W$58)),IFERROR(MIN(0.8*0.75*'KT THAN'!$C$62,INDEX('KT THAN'!$W$38:$W$58,MATCH(R362,'KT THAN'!$Y$38:$Y$58,-1))+(INDEX('KT THAN'!$W$38:$W$58,MIN(21,MATCH(R362,'KT THAN'!$Y$38:$Y$58,-1)+1))-INDEX('KT THAN'!$W$38:$W$58,MATCH(R362,'KT THAN'!$Y$38:$Y$58,-1)))*(R362-INDEX('KT THAN'!$Y$38:$Y$58,MATCH(R362,'KT THAN'!$Y$38:$Y$58,-1)))/(INDEX('KT THAN'!$Y$38:$Y$58,MIN(21,MATCH(R362,'KT THAN'!$Y$38:$Y$58,-1)+1))-INDEX('KT THAN'!$Y$38:$Y$58,MATCH(R362,'KT THAN'!$Y$38:$Y$58,-1)))),MIN(0.8*0.75*'KT THAN'!$C$62,'KT THAN'!$D$68/R362)))))</f>
        <v/>
      </c>
      <c r="O362" s="38" t="str">
        <f>IF($A362="","",IF(H362&lt;0,ABS(H362)/MAX('KT THAN'!$C$69,0.001)+'KT THAN'!$C$32*ABS(J362)/MAX('KT THAN'!$C$68,0.001)+'KT THAN'!$D$32*ABS(I362)/MAX('KT THAN'!$D$68,0.001),IF(OR(M362&lt;=0,N362&lt;=0),999,IF(H362&gt;=0.1*0.75*fc_*Agth*1000,H362/MAX(0.001,1/(1/M362+1/N362-1/(0.75*'KT THAN'!$C$62))),'KT THAN'!$C$32*ABS(J362)/MAX('KT THAN'!$C$68,0.001)+'KT THAN'!$D$32*ABS(I362)/MAX('KT THAN'!$D$68,0.001)))))</f>
        <v/>
      </c>
      <c r="P362" s="37" t="str">
        <f t="shared" si="60"/>
        <v/>
      </c>
      <c r="Q362" s="38" t="str">
        <f>IF($A362="","",MAX(0.001,'KT THAN'!$C$32*ABS(J362)/MAX(1,H362)))</f>
        <v/>
      </c>
      <c r="R362" s="38" t="str">
        <f>IF($A362="","",MAX(0.001,'KT THAN'!$D$32*ABS(I362)/MAX(1,H362)))</f>
        <v/>
      </c>
      <c r="S362" t="str">
        <f t="shared" si="54"/>
        <v/>
      </c>
    </row>
    <row r="363" spans="1:19" hidden="1" outlineLevel="1" x14ac:dyDescent="0.3">
      <c r="A363" s="37" t="str">
        <f>IF('TO HOP NLAN'!$A229="","",'TO HOP NLAN'!$A229)</f>
        <v/>
      </c>
      <c r="B363" s="38" t="str">
        <f>IF($A363="","",'TO HOP NLAN'!$D229)</f>
        <v/>
      </c>
      <c r="C363" s="38" t="str">
        <f>IF($A363="","",'TO HOP NLAN'!$E229)</f>
        <v/>
      </c>
      <c r="D363" s="38" t="str">
        <f>IF($A363="","",'TO HOP NLAN'!$F229)</f>
        <v/>
      </c>
      <c r="E363" s="38" t="str">
        <f>IF($A363="","",'TO HOP NLAN'!$B229)</f>
        <v/>
      </c>
      <c r="F363" s="38" t="str">
        <f>IF($A363="","",'TO HOP NLAN'!$C229)</f>
        <v/>
      </c>
      <c r="G363" s="38" t="str">
        <f t="shared" si="55"/>
        <v/>
      </c>
      <c r="H363" s="38" t="str">
        <f t="shared" si="53"/>
        <v/>
      </c>
      <c r="I363" s="38" t="str">
        <f t="shared" si="56"/>
        <v/>
      </c>
      <c r="J363" s="38" t="str">
        <f t="shared" si="57"/>
        <v/>
      </c>
      <c r="K363" s="38" t="str">
        <f t="shared" si="58"/>
        <v/>
      </c>
      <c r="L363" s="38" t="str">
        <f t="shared" si="59"/>
        <v/>
      </c>
      <c r="M363" s="38" t="str">
        <f>IF($A363="","",IF(H363=0,"",IF(Q363&lt;=0.000000001,MIN(0.8*0.75*'KT THAN'!$C$62,MAX('KT THAN'!$J$38:$J$58)),IFERROR(MIN(0.8*0.75*'KT THAN'!$C$62,INDEX('KT THAN'!$J$38:$J$58,MATCH(Q363,'KT THAN'!$L$38:$L$58,-1))+(INDEX('KT THAN'!$J$38:$J$58,MIN(21,MATCH(Q363,'KT THAN'!$L$38:$L$58,-1)+1))-INDEX('KT THAN'!$J$38:$J$58,MATCH(Q363,'KT THAN'!$L$38:$L$58,-1)))*(Q363-INDEX('KT THAN'!$L$38:$L$58,MATCH(Q363,'KT THAN'!$L$38:$L$58,-1)))/(INDEX('KT THAN'!$L$38:$L$58,MIN(21,MATCH(Q363,'KT THAN'!$L$38:$L$58,-1)+1))-INDEX('KT THAN'!$L$38:$L$58,MATCH(Q363,'KT THAN'!$L$38:$L$58,-1)))),MIN(0.8*0.75*'KT THAN'!$C$62,'KT THAN'!$C$68/Q363)))))</f>
        <v/>
      </c>
      <c r="N363" s="38" t="str">
        <f>IF($A363="","",IF(H363=0,"",IF(R363&lt;=0.000000001,MIN(0.8*0.75*'KT THAN'!$C$62,MAX('KT THAN'!$W$38:$W$58)),IFERROR(MIN(0.8*0.75*'KT THAN'!$C$62,INDEX('KT THAN'!$W$38:$W$58,MATCH(R363,'KT THAN'!$Y$38:$Y$58,-1))+(INDEX('KT THAN'!$W$38:$W$58,MIN(21,MATCH(R363,'KT THAN'!$Y$38:$Y$58,-1)+1))-INDEX('KT THAN'!$W$38:$W$58,MATCH(R363,'KT THAN'!$Y$38:$Y$58,-1)))*(R363-INDEX('KT THAN'!$Y$38:$Y$58,MATCH(R363,'KT THAN'!$Y$38:$Y$58,-1)))/(INDEX('KT THAN'!$Y$38:$Y$58,MIN(21,MATCH(R363,'KT THAN'!$Y$38:$Y$58,-1)+1))-INDEX('KT THAN'!$Y$38:$Y$58,MATCH(R363,'KT THAN'!$Y$38:$Y$58,-1)))),MIN(0.8*0.75*'KT THAN'!$C$62,'KT THAN'!$D$68/R363)))))</f>
        <v/>
      </c>
      <c r="O363" s="38" t="str">
        <f>IF($A363="","",IF(H363&lt;0,ABS(H363)/MAX('KT THAN'!$C$69,0.001)+'KT THAN'!$C$32*ABS(J363)/MAX('KT THAN'!$C$68,0.001)+'KT THAN'!$D$32*ABS(I363)/MAX('KT THAN'!$D$68,0.001),IF(OR(M363&lt;=0,N363&lt;=0),999,IF(H363&gt;=0.1*0.75*fc_*Agth*1000,H363/MAX(0.001,1/(1/M363+1/N363-1/(0.75*'KT THAN'!$C$62))),'KT THAN'!$C$32*ABS(J363)/MAX('KT THAN'!$C$68,0.001)+'KT THAN'!$D$32*ABS(I363)/MAX('KT THAN'!$D$68,0.001)))))</f>
        <v/>
      </c>
      <c r="P363" s="37" t="str">
        <f t="shared" si="60"/>
        <v/>
      </c>
      <c r="Q363" s="38" t="str">
        <f>IF($A363="","",MAX(0.001,'KT THAN'!$C$32*ABS(J363)/MAX(1,H363)))</f>
        <v/>
      </c>
      <c r="R363" s="38" t="str">
        <f>IF($A363="","",MAX(0.001,'KT THAN'!$D$32*ABS(I363)/MAX(1,H363)))</f>
        <v/>
      </c>
      <c r="S363" t="str">
        <f t="shared" si="54"/>
        <v/>
      </c>
    </row>
    <row r="364" spans="1:19" hidden="1" outlineLevel="1" x14ac:dyDescent="0.3">
      <c r="A364" s="37" t="str">
        <f>IF('TO HOP NLAN'!$A230="","",'TO HOP NLAN'!$A230)</f>
        <v/>
      </c>
      <c r="B364" s="38" t="str">
        <f>IF($A364="","",'TO HOP NLAN'!$D230)</f>
        <v/>
      </c>
      <c r="C364" s="38" t="str">
        <f>IF($A364="","",'TO HOP NLAN'!$E230)</f>
        <v/>
      </c>
      <c r="D364" s="38" t="str">
        <f>IF($A364="","",'TO HOP NLAN'!$F230)</f>
        <v/>
      </c>
      <c r="E364" s="38" t="str">
        <f>IF($A364="","",'TO HOP NLAN'!$B230)</f>
        <v/>
      </c>
      <c r="F364" s="38" t="str">
        <f>IF($A364="","",'TO HOP NLAN'!$C230)</f>
        <v/>
      </c>
      <c r="G364" s="38" t="str">
        <f t="shared" si="55"/>
        <v/>
      </c>
      <c r="H364" s="38" t="str">
        <f t="shared" si="53"/>
        <v/>
      </c>
      <c r="I364" s="38" t="str">
        <f t="shared" si="56"/>
        <v/>
      </c>
      <c r="J364" s="38" t="str">
        <f t="shared" si="57"/>
        <v/>
      </c>
      <c r="K364" s="38" t="str">
        <f t="shared" si="58"/>
        <v/>
      </c>
      <c r="L364" s="38" t="str">
        <f t="shared" si="59"/>
        <v/>
      </c>
      <c r="M364" s="38" t="str">
        <f>IF($A364="","",IF(H364=0,"",IF(Q364&lt;=0.000000001,MIN(0.8*0.75*'KT THAN'!$C$62,MAX('KT THAN'!$J$38:$J$58)),IFERROR(MIN(0.8*0.75*'KT THAN'!$C$62,INDEX('KT THAN'!$J$38:$J$58,MATCH(Q364,'KT THAN'!$L$38:$L$58,-1))+(INDEX('KT THAN'!$J$38:$J$58,MIN(21,MATCH(Q364,'KT THAN'!$L$38:$L$58,-1)+1))-INDEX('KT THAN'!$J$38:$J$58,MATCH(Q364,'KT THAN'!$L$38:$L$58,-1)))*(Q364-INDEX('KT THAN'!$L$38:$L$58,MATCH(Q364,'KT THAN'!$L$38:$L$58,-1)))/(INDEX('KT THAN'!$L$38:$L$58,MIN(21,MATCH(Q364,'KT THAN'!$L$38:$L$58,-1)+1))-INDEX('KT THAN'!$L$38:$L$58,MATCH(Q364,'KT THAN'!$L$38:$L$58,-1)))),MIN(0.8*0.75*'KT THAN'!$C$62,'KT THAN'!$C$68/Q364)))))</f>
        <v/>
      </c>
      <c r="N364" s="38" t="str">
        <f>IF($A364="","",IF(H364=0,"",IF(R364&lt;=0.000000001,MIN(0.8*0.75*'KT THAN'!$C$62,MAX('KT THAN'!$W$38:$W$58)),IFERROR(MIN(0.8*0.75*'KT THAN'!$C$62,INDEX('KT THAN'!$W$38:$W$58,MATCH(R364,'KT THAN'!$Y$38:$Y$58,-1))+(INDEX('KT THAN'!$W$38:$W$58,MIN(21,MATCH(R364,'KT THAN'!$Y$38:$Y$58,-1)+1))-INDEX('KT THAN'!$W$38:$W$58,MATCH(R364,'KT THAN'!$Y$38:$Y$58,-1)))*(R364-INDEX('KT THAN'!$Y$38:$Y$58,MATCH(R364,'KT THAN'!$Y$38:$Y$58,-1)))/(INDEX('KT THAN'!$Y$38:$Y$58,MIN(21,MATCH(R364,'KT THAN'!$Y$38:$Y$58,-1)+1))-INDEX('KT THAN'!$Y$38:$Y$58,MATCH(R364,'KT THAN'!$Y$38:$Y$58,-1)))),MIN(0.8*0.75*'KT THAN'!$C$62,'KT THAN'!$D$68/R364)))))</f>
        <v/>
      </c>
      <c r="O364" s="38" t="str">
        <f>IF($A364="","",IF(H364&lt;0,ABS(H364)/MAX('KT THAN'!$C$69,0.001)+'KT THAN'!$C$32*ABS(J364)/MAX('KT THAN'!$C$68,0.001)+'KT THAN'!$D$32*ABS(I364)/MAX('KT THAN'!$D$68,0.001),IF(OR(M364&lt;=0,N364&lt;=0),999,IF(H364&gt;=0.1*0.75*fc_*Agth*1000,H364/MAX(0.001,1/(1/M364+1/N364-1/(0.75*'KT THAN'!$C$62))),'KT THAN'!$C$32*ABS(J364)/MAX('KT THAN'!$C$68,0.001)+'KT THAN'!$D$32*ABS(I364)/MAX('KT THAN'!$D$68,0.001)))))</f>
        <v/>
      </c>
      <c r="P364" s="37" t="str">
        <f t="shared" si="60"/>
        <v/>
      </c>
      <c r="Q364" s="38" t="str">
        <f>IF($A364="","",MAX(0.001,'KT THAN'!$C$32*ABS(J364)/MAX(1,H364)))</f>
        <v/>
      </c>
      <c r="R364" s="38" t="str">
        <f>IF($A364="","",MAX(0.001,'KT THAN'!$D$32*ABS(I364)/MAX(1,H364)))</f>
        <v/>
      </c>
      <c r="S364" t="str">
        <f t="shared" si="54"/>
        <v/>
      </c>
    </row>
    <row r="365" spans="1:19" hidden="1" outlineLevel="1" x14ac:dyDescent="0.3">
      <c r="A365" s="37" t="str">
        <f>IF('TO HOP NLAN'!$A231="","",'TO HOP NLAN'!$A231)</f>
        <v/>
      </c>
      <c r="B365" s="38" t="str">
        <f>IF($A365="","",'TO HOP NLAN'!$D231)</f>
        <v/>
      </c>
      <c r="C365" s="38" t="str">
        <f>IF($A365="","",'TO HOP NLAN'!$E231)</f>
        <v/>
      </c>
      <c r="D365" s="38" t="str">
        <f>IF($A365="","",'TO HOP NLAN'!$F231)</f>
        <v/>
      </c>
      <c r="E365" s="38" t="str">
        <f>IF($A365="","",'TO HOP NLAN'!$B231)</f>
        <v/>
      </c>
      <c r="F365" s="38" t="str">
        <f>IF($A365="","",'TO HOP NLAN'!$C231)</f>
        <v/>
      </c>
      <c r="G365" s="38" t="str">
        <f t="shared" si="55"/>
        <v/>
      </c>
      <c r="H365" s="38" t="str">
        <f t="shared" si="53"/>
        <v/>
      </c>
      <c r="I365" s="38" t="str">
        <f t="shared" si="56"/>
        <v/>
      </c>
      <c r="J365" s="38" t="str">
        <f t="shared" si="57"/>
        <v/>
      </c>
      <c r="K365" s="38" t="str">
        <f t="shared" si="58"/>
        <v/>
      </c>
      <c r="L365" s="38" t="str">
        <f t="shared" si="59"/>
        <v/>
      </c>
      <c r="M365" s="38" t="str">
        <f>IF($A365="","",IF(H365=0,"",IF(Q365&lt;=0.000000001,MIN(0.8*0.75*'KT THAN'!$C$62,MAX('KT THAN'!$J$38:$J$58)),IFERROR(MIN(0.8*0.75*'KT THAN'!$C$62,INDEX('KT THAN'!$J$38:$J$58,MATCH(Q365,'KT THAN'!$L$38:$L$58,-1))+(INDEX('KT THAN'!$J$38:$J$58,MIN(21,MATCH(Q365,'KT THAN'!$L$38:$L$58,-1)+1))-INDEX('KT THAN'!$J$38:$J$58,MATCH(Q365,'KT THAN'!$L$38:$L$58,-1)))*(Q365-INDEX('KT THAN'!$L$38:$L$58,MATCH(Q365,'KT THAN'!$L$38:$L$58,-1)))/(INDEX('KT THAN'!$L$38:$L$58,MIN(21,MATCH(Q365,'KT THAN'!$L$38:$L$58,-1)+1))-INDEX('KT THAN'!$L$38:$L$58,MATCH(Q365,'KT THAN'!$L$38:$L$58,-1)))),MIN(0.8*0.75*'KT THAN'!$C$62,'KT THAN'!$C$68/Q365)))))</f>
        <v/>
      </c>
      <c r="N365" s="38" t="str">
        <f>IF($A365="","",IF(H365=0,"",IF(R365&lt;=0.000000001,MIN(0.8*0.75*'KT THAN'!$C$62,MAX('KT THAN'!$W$38:$W$58)),IFERROR(MIN(0.8*0.75*'KT THAN'!$C$62,INDEX('KT THAN'!$W$38:$W$58,MATCH(R365,'KT THAN'!$Y$38:$Y$58,-1))+(INDEX('KT THAN'!$W$38:$W$58,MIN(21,MATCH(R365,'KT THAN'!$Y$38:$Y$58,-1)+1))-INDEX('KT THAN'!$W$38:$W$58,MATCH(R365,'KT THAN'!$Y$38:$Y$58,-1)))*(R365-INDEX('KT THAN'!$Y$38:$Y$58,MATCH(R365,'KT THAN'!$Y$38:$Y$58,-1)))/(INDEX('KT THAN'!$Y$38:$Y$58,MIN(21,MATCH(R365,'KT THAN'!$Y$38:$Y$58,-1)+1))-INDEX('KT THAN'!$Y$38:$Y$58,MATCH(R365,'KT THAN'!$Y$38:$Y$58,-1)))),MIN(0.8*0.75*'KT THAN'!$C$62,'KT THAN'!$D$68/R365)))))</f>
        <v/>
      </c>
      <c r="O365" s="38" t="str">
        <f>IF($A365="","",IF(H365&lt;0,ABS(H365)/MAX('KT THAN'!$C$69,0.001)+'KT THAN'!$C$32*ABS(J365)/MAX('KT THAN'!$C$68,0.001)+'KT THAN'!$D$32*ABS(I365)/MAX('KT THAN'!$D$68,0.001),IF(OR(M365&lt;=0,N365&lt;=0),999,IF(H365&gt;=0.1*0.75*fc_*Agth*1000,H365/MAX(0.001,1/(1/M365+1/N365-1/(0.75*'KT THAN'!$C$62))),'KT THAN'!$C$32*ABS(J365)/MAX('KT THAN'!$C$68,0.001)+'KT THAN'!$D$32*ABS(I365)/MAX('KT THAN'!$D$68,0.001)))))</f>
        <v/>
      </c>
      <c r="P365" s="37" t="str">
        <f t="shared" si="60"/>
        <v/>
      </c>
      <c r="Q365" s="38" t="str">
        <f>IF($A365="","",MAX(0.001,'KT THAN'!$C$32*ABS(J365)/MAX(1,H365)))</f>
        <v/>
      </c>
      <c r="R365" s="38" t="str">
        <f>IF($A365="","",MAX(0.001,'KT THAN'!$D$32*ABS(I365)/MAX(1,H365)))</f>
        <v/>
      </c>
      <c r="S365" t="str">
        <f t="shared" si="54"/>
        <v/>
      </c>
    </row>
    <row r="366" spans="1:19" hidden="1" outlineLevel="1" x14ac:dyDescent="0.3">
      <c r="A366" s="37" t="str">
        <f>IF('TO HOP NLAN'!$A232="","",'TO HOP NLAN'!$A232)</f>
        <v/>
      </c>
      <c r="B366" s="38" t="str">
        <f>IF($A366="","",'TO HOP NLAN'!$D232)</f>
        <v/>
      </c>
      <c r="C366" s="38" t="str">
        <f>IF($A366="","",'TO HOP NLAN'!$E232)</f>
        <v/>
      </c>
      <c r="D366" s="38" t="str">
        <f>IF($A366="","",'TO HOP NLAN'!$F232)</f>
        <v/>
      </c>
      <c r="E366" s="38" t="str">
        <f>IF($A366="","",'TO HOP NLAN'!$B232)</f>
        <v/>
      </c>
      <c r="F366" s="38" t="str">
        <f>IF($A366="","",'TO HOP NLAN'!$C232)</f>
        <v/>
      </c>
      <c r="G366" s="38" t="str">
        <f t="shared" si="55"/>
        <v/>
      </c>
      <c r="H366" s="38" t="str">
        <f t="shared" si="53"/>
        <v/>
      </c>
      <c r="I366" s="38" t="str">
        <f t="shared" si="56"/>
        <v/>
      </c>
      <c r="J366" s="38" t="str">
        <f t="shared" si="57"/>
        <v/>
      </c>
      <c r="K366" s="38" t="str">
        <f t="shared" si="58"/>
        <v/>
      </c>
      <c r="L366" s="38" t="str">
        <f t="shared" si="59"/>
        <v/>
      </c>
      <c r="M366" s="38" t="str">
        <f>IF($A366="","",IF(H366=0,"",IF(Q366&lt;=0.000000001,MIN(0.8*0.75*'KT THAN'!$C$62,MAX('KT THAN'!$J$38:$J$58)),IFERROR(MIN(0.8*0.75*'KT THAN'!$C$62,INDEX('KT THAN'!$J$38:$J$58,MATCH(Q366,'KT THAN'!$L$38:$L$58,-1))+(INDEX('KT THAN'!$J$38:$J$58,MIN(21,MATCH(Q366,'KT THAN'!$L$38:$L$58,-1)+1))-INDEX('KT THAN'!$J$38:$J$58,MATCH(Q366,'KT THAN'!$L$38:$L$58,-1)))*(Q366-INDEX('KT THAN'!$L$38:$L$58,MATCH(Q366,'KT THAN'!$L$38:$L$58,-1)))/(INDEX('KT THAN'!$L$38:$L$58,MIN(21,MATCH(Q366,'KT THAN'!$L$38:$L$58,-1)+1))-INDEX('KT THAN'!$L$38:$L$58,MATCH(Q366,'KT THAN'!$L$38:$L$58,-1)))),MIN(0.8*0.75*'KT THAN'!$C$62,'KT THAN'!$C$68/Q366)))))</f>
        <v/>
      </c>
      <c r="N366" s="38" t="str">
        <f>IF($A366="","",IF(H366=0,"",IF(R366&lt;=0.000000001,MIN(0.8*0.75*'KT THAN'!$C$62,MAX('KT THAN'!$W$38:$W$58)),IFERROR(MIN(0.8*0.75*'KT THAN'!$C$62,INDEX('KT THAN'!$W$38:$W$58,MATCH(R366,'KT THAN'!$Y$38:$Y$58,-1))+(INDEX('KT THAN'!$W$38:$W$58,MIN(21,MATCH(R366,'KT THAN'!$Y$38:$Y$58,-1)+1))-INDEX('KT THAN'!$W$38:$W$58,MATCH(R366,'KT THAN'!$Y$38:$Y$58,-1)))*(R366-INDEX('KT THAN'!$Y$38:$Y$58,MATCH(R366,'KT THAN'!$Y$38:$Y$58,-1)))/(INDEX('KT THAN'!$Y$38:$Y$58,MIN(21,MATCH(R366,'KT THAN'!$Y$38:$Y$58,-1)+1))-INDEX('KT THAN'!$Y$38:$Y$58,MATCH(R366,'KT THAN'!$Y$38:$Y$58,-1)))),MIN(0.8*0.75*'KT THAN'!$C$62,'KT THAN'!$D$68/R366)))))</f>
        <v/>
      </c>
      <c r="O366" s="38" t="str">
        <f>IF($A366="","",IF(H366&lt;0,ABS(H366)/MAX('KT THAN'!$C$69,0.001)+'KT THAN'!$C$32*ABS(J366)/MAX('KT THAN'!$C$68,0.001)+'KT THAN'!$D$32*ABS(I366)/MAX('KT THAN'!$D$68,0.001),IF(OR(M366&lt;=0,N366&lt;=0),999,IF(H366&gt;=0.1*0.75*fc_*Agth*1000,H366/MAX(0.001,1/(1/M366+1/N366-1/(0.75*'KT THAN'!$C$62))),'KT THAN'!$C$32*ABS(J366)/MAX('KT THAN'!$C$68,0.001)+'KT THAN'!$D$32*ABS(I366)/MAX('KT THAN'!$D$68,0.001)))))</f>
        <v/>
      </c>
      <c r="P366" s="37" t="str">
        <f t="shared" si="60"/>
        <v/>
      </c>
      <c r="Q366" s="38" t="str">
        <f>IF($A366="","",MAX(0.001,'KT THAN'!$C$32*ABS(J366)/MAX(1,H366)))</f>
        <v/>
      </c>
      <c r="R366" s="38" t="str">
        <f>IF($A366="","",MAX(0.001,'KT THAN'!$D$32*ABS(I366)/MAX(1,H366)))</f>
        <v/>
      </c>
      <c r="S366" t="str">
        <f t="shared" si="54"/>
        <v/>
      </c>
    </row>
    <row r="367" spans="1:19" hidden="1" outlineLevel="1" x14ac:dyDescent="0.3">
      <c r="A367" s="37" t="str">
        <f>IF('TO HOP NLAN'!$A233="","",'TO HOP NLAN'!$A233)</f>
        <v/>
      </c>
      <c r="B367" s="38" t="str">
        <f>IF($A367="","",'TO HOP NLAN'!$D233)</f>
        <v/>
      </c>
      <c r="C367" s="38" t="str">
        <f>IF($A367="","",'TO HOP NLAN'!$E233)</f>
        <v/>
      </c>
      <c r="D367" s="38" t="str">
        <f>IF($A367="","",'TO HOP NLAN'!$F233)</f>
        <v/>
      </c>
      <c r="E367" s="38" t="str">
        <f>IF($A367="","",'TO HOP NLAN'!$B233)</f>
        <v/>
      </c>
      <c r="F367" s="38" t="str">
        <f>IF($A367="","",'TO HOP NLAN'!$C233)</f>
        <v/>
      </c>
      <c r="G367" s="38" t="str">
        <f t="shared" si="55"/>
        <v/>
      </c>
      <c r="H367" s="38" t="str">
        <f t="shared" si="53"/>
        <v/>
      </c>
      <c r="I367" s="38" t="str">
        <f t="shared" si="56"/>
        <v/>
      </c>
      <c r="J367" s="38" t="str">
        <f t="shared" si="57"/>
        <v/>
      </c>
      <c r="K367" s="38" t="str">
        <f t="shared" si="58"/>
        <v/>
      </c>
      <c r="L367" s="38" t="str">
        <f t="shared" si="59"/>
        <v/>
      </c>
      <c r="M367" s="38" t="str">
        <f>IF($A367="","",IF(H367=0,"",IF(Q367&lt;=0.000000001,MIN(0.8*0.75*'KT THAN'!$C$62,MAX('KT THAN'!$J$38:$J$58)),IFERROR(MIN(0.8*0.75*'KT THAN'!$C$62,INDEX('KT THAN'!$J$38:$J$58,MATCH(Q367,'KT THAN'!$L$38:$L$58,-1))+(INDEX('KT THAN'!$J$38:$J$58,MIN(21,MATCH(Q367,'KT THAN'!$L$38:$L$58,-1)+1))-INDEX('KT THAN'!$J$38:$J$58,MATCH(Q367,'KT THAN'!$L$38:$L$58,-1)))*(Q367-INDEX('KT THAN'!$L$38:$L$58,MATCH(Q367,'KT THAN'!$L$38:$L$58,-1)))/(INDEX('KT THAN'!$L$38:$L$58,MIN(21,MATCH(Q367,'KT THAN'!$L$38:$L$58,-1)+1))-INDEX('KT THAN'!$L$38:$L$58,MATCH(Q367,'KT THAN'!$L$38:$L$58,-1)))),MIN(0.8*0.75*'KT THAN'!$C$62,'KT THAN'!$C$68/Q367)))))</f>
        <v/>
      </c>
      <c r="N367" s="38" t="str">
        <f>IF($A367="","",IF(H367=0,"",IF(R367&lt;=0.000000001,MIN(0.8*0.75*'KT THAN'!$C$62,MAX('KT THAN'!$W$38:$W$58)),IFERROR(MIN(0.8*0.75*'KT THAN'!$C$62,INDEX('KT THAN'!$W$38:$W$58,MATCH(R367,'KT THAN'!$Y$38:$Y$58,-1))+(INDEX('KT THAN'!$W$38:$W$58,MIN(21,MATCH(R367,'KT THAN'!$Y$38:$Y$58,-1)+1))-INDEX('KT THAN'!$W$38:$W$58,MATCH(R367,'KT THAN'!$Y$38:$Y$58,-1)))*(R367-INDEX('KT THAN'!$Y$38:$Y$58,MATCH(R367,'KT THAN'!$Y$38:$Y$58,-1)))/(INDEX('KT THAN'!$Y$38:$Y$58,MIN(21,MATCH(R367,'KT THAN'!$Y$38:$Y$58,-1)+1))-INDEX('KT THAN'!$Y$38:$Y$58,MATCH(R367,'KT THAN'!$Y$38:$Y$58,-1)))),MIN(0.8*0.75*'KT THAN'!$C$62,'KT THAN'!$D$68/R367)))))</f>
        <v/>
      </c>
      <c r="O367" s="38" t="str">
        <f>IF($A367="","",IF(H367&lt;0,ABS(H367)/MAX('KT THAN'!$C$69,0.001)+'KT THAN'!$C$32*ABS(J367)/MAX('KT THAN'!$C$68,0.001)+'KT THAN'!$D$32*ABS(I367)/MAX('KT THAN'!$D$68,0.001),IF(OR(M367&lt;=0,N367&lt;=0),999,IF(H367&gt;=0.1*0.75*fc_*Agth*1000,H367/MAX(0.001,1/(1/M367+1/N367-1/(0.75*'KT THAN'!$C$62))),'KT THAN'!$C$32*ABS(J367)/MAX('KT THAN'!$C$68,0.001)+'KT THAN'!$D$32*ABS(I367)/MAX('KT THAN'!$D$68,0.001)))))</f>
        <v/>
      </c>
      <c r="P367" s="37" t="str">
        <f t="shared" si="60"/>
        <v/>
      </c>
      <c r="Q367" s="38" t="str">
        <f>IF($A367="","",MAX(0.001,'KT THAN'!$C$32*ABS(J367)/MAX(1,H367)))</f>
        <v/>
      </c>
      <c r="R367" s="38" t="str">
        <f>IF($A367="","",MAX(0.001,'KT THAN'!$D$32*ABS(I367)/MAX(1,H367)))</f>
        <v/>
      </c>
      <c r="S367" t="str">
        <f t="shared" si="54"/>
        <v/>
      </c>
    </row>
    <row r="368" spans="1:19" hidden="1" outlineLevel="1" x14ac:dyDescent="0.3">
      <c r="A368" s="37" t="str">
        <f>IF('TO HOP NLAN'!$A234="","",'TO HOP NLAN'!$A234)</f>
        <v/>
      </c>
      <c r="B368" s="38" t="str">
        <f>IF($A368="","",'TO HOP NLAN'!$D234)</f>
        <v/>
      </c>
      <c r="C368" s="38" t="str">
        <f>IF($A368="","",'TO HOP NLAN'!$E234)</f>
        <v/>
      </c>
      <c r="D368" s="38" t="str">
        <f>IF($A368="","",'TO HOP NLAN'!$F234)</f>
        <v/>
      </c>
      <c r="E368" s="38" t="str">
        <f>IF($A368="","",'TO HOP NLAN'!$B234)</f>
        <v/>
      </c>
      <c r="F368" s="38" t="str">
        <f>IF($A368="","",'TO HOP NLAN'!$C234)</f>
        <v/>
      </c>
      <c r="G368" s="38" t="str">
        <f t="shared" si="55"/>
        <v/>
      </c>
      <c r="H368" s="38" t="str">
        <f t="shared" si="53"/>
        <v/>
      </c>
      <c r="I368" s="38" t="str">
        <f t="shared" si="56"/>
        <v/>
      </c>
      <c r="J368" s="38" t="str">
        <f t="shared" si="57"/>
        <v/>
      </c>
      <c r="K368" s="38" t="str">
        <f t="shared" si="58"/>
        <v/>
      </c>
      <c r="L368" s="38" t="str">
        <f t="shared" si="59"/>
        <v/>
      </c>
      <c r="M368" s="38" t="str">
        <f>IF($A368="","",IF(H368=0,"",IF(Q368&lt;=0.000000001,MIN(0.8*0.75*'KT THAN'!$C$62,MAX('KT THAN'!$J$38:$J$58)),IFERROR(MIN(0.8*0.75*'KT THAN'!$C$62,INDEX('KT THAN'!$J$38:$J$58,MATCH(Q368,'KT THAN'!$L$38:$L$58,-1))+(INDEX('KT THAN'!$J$38:$J$58,MIN(21,MATCH(Q368,'KT THAN'!$L$38:$L$58,-1)+1))-INDEX('KT THAN'!$J$38:$J$58,MATCH(Q368,'KT THAN'!$L$38:$L$58,-1)))*(Q368-INDEX('KT THAN'!$L$38:$L$58,MATCH(Q368,'KT THAN'!$L$38:$L$58,-1)))/(INDEX('KT THAN'!$L$38:$L$58,MIN(21,MATCH(Q368,'KT THAN'!$L$38:$L$58,-1)+1))-INDEX('KT THAN'!$L$38:$L$58,MATCH(Q368,'KT THAN'!$L$38:$L$58,-1)))),MIN(0.8*0.75*'KT THAN'!$C$62,'KT THAN'!$C$68/Q368)))))</f>
        <v/>
      </c>
      <c r="N368" s="38" t="str">
        <f>IF($A368="","",IF(H368=0,"",IF(R368&lt;=0.000000001,MIN(0.8*0.75*'KT THAN'!$C$62,MAX('KT THAN'!$W$38:$W$58)),IFERROR(MIN(0.8*0.75*'KT THAN'!$C$62,INDEX('KT THAN'!$W$38:$W$58,MATCH(R368,'KT THAN'!$Y$38:$Y$58,-1))+(INDEX('KT THAN'!$W$38:$W$58,MIN(21,MATCH(R368,'KT THAN'!$Y$38:$Y$58,-1)+1))-INDEX('KT THAN'!$W$38:$W$58,MATCH(R368,'KT THAN'!$Y$38:$Y$58,-1)))*(R368-INDEX('KT THAN'!$Y$38:$Y$58,MATCH(R368,'KT THAN'!$Y$38:$Y$58,-1)))/(INDEX('KT THAN'!$Y$38:$Y$58,MIN(21,MATCH(R368,'KT THAN'!$Y$38:$Y$58,-1)+1))-INDEX('KT THAN'!$Y$38:$Y$58,MATCH(R368,'KT THAN'!$Y$38:$Y$58,-1)))),MIN(0.8*0.75*'KT THAN'!$C$62,'KT THAN'!$D$68/R368)))))</f>
        <v/>
      </c>
      <c r="O368" s="38" t="str">
        <f>IF($A368="","",IF(H368&lt;0,ABS(H368)/MAX('KT THAN'!$C$69,0.001)+'KT THAN'!$C$32*ABS(J368)/MAX('KT THAN'!$C$68,0.001)+'KT THAN'!$D$32*ABS(I368)/MAX('KT THAN'!$D$68,0.001),IF(OR(M368&lt;=0,N368&lt;=0),999,IF(H368&gt;=0.1*0.75*fc_*Agth*1000,H368/MAX(0.001,1/(1/M368+1/N368-1/(0.75*'KT THAN'!$C$62))),'KT THAN'!$C$32*ABS(J368)/MAX('KT THAN'!$C$68,0.001)+'KT THAN'!$D$32*ABS(I368)/MAX('KT THAN'!$D$68,0.001)))))</f>
        <v/>
      </c>
      <c r="P368" s="37" t="str">
        <f t="shared" si="60"/>
        <v/>
      </c>
      <c r="Q368" s="38" t="str">
        <f>IF($A368="","",MAX(0.001,'KT THAN'!$C$32*ABS(J368)/MAX(1,H368)))</f>
        <v/>
      </c>
      <c r="R368" s="38" t="str">
        <f>IF($A368="","",MAX(0.001,'KT THAN'!$D$32*ABS(I368)/MAX(1,H368)))</f>
        <v/>
      </c>
      <c r="S368" t="str">
        <f t="shared" si="54"/>
        <v/>
      </c>
    </row>
    <row r="369" spans="1:19" hidden="1" outlineLevel="1" x14ac:dyDescent="0.3">
      <c r="A369" s="37" t="str">
        <f>IF('TO HOP NLAN'!$A235="","",'TO HOP NLAN'!$A235)</f>
        <v/>
      </c>
      <c r="B369" s="38" t="str">
        <f>IF($A369="","",'TO HOP NLAN'!$D235)</f>
        <v/>
      </c>
      <c r="C369" s="38" t="str">
        <f>IF($A369="","",'TO HOP NLAN'!$E235)</f>
        <v/>
      </c>
      <c r="D369" s="38" t="str">
        <f>IF($A369="","",'TO HOP NLAN'!$F235)</f>
        <v/>
      </c>
      <c r="E369" s="38" t="str">
        <f>IF($A369="","",'TO HOP NLAN'!$B235)</f>
        <v/>
      </c>
      <c r="F369" s="38" t="str">
        <f>IF($A369="","",'TO HOP NLAN'!$C235)</f>
        <v/>
      </c>
      <c r="G369" s="38" t="str">
        <f t="shared" si="55"/>
        <v/>
      </c>
      <c r="H369" s="38" t="str">
        <f t="shared" si="53"/>
        <v/>
      </c>
      <c r="I369" s="38" t="str">
        <f t="shared" si="56"/>
        <v/>
      </c>
      <c r="J369" s="38" t="str">
        <f t="shared" si="57"/>
        <v/>
      </c>
      <c r="K369" s="38" t="str">
        <f t="shared" si="58"/>
        <v/>
      </c>
      <c r="L369" s="38" t="str">
        <f t="shared" si="59"/>
        <v/>
      </c>
      <c r="M369" s="38" t="str">
        <f>IF($A369="","",IF(H369=0,"",IF(Q369&lt;=0.000000001,MIN(0.8*0.75*'KT THAN'!$C$62,MAX('KT THAN'!$J$38:$J$58)),IFERROR(MIN(0.8*0.75*'KT THAN'!$C$62,INDEX('KT THAN'!$J$38:$J$58,MATCH(Q369,'KT THAN'!$L$38:$L$58,-1))+(INDEX('KT THAN'!$J$38:$J$58,MIN(21,MATCH(Q369,'KT THAN'!$L$38:$L$58,-1)+1))-INDEX('KT THAN'!$J$38:$J$58,MATCH(Q369,'KT THAN'!$L$38:$L$58,-1)))*(Q369-INDEX('KT THAN'!$L$38:$L$58,MATCH(Q369,'KT THAN'!$L$38:$L$58,-1)))/(INDEX('KT THAN'!$L$38:$L$58,MIN(21,MATCH(Q369,'KT THAN'!$L$38:$L$58,-1)+1))-INDEX('KT THAN'!$L$38:$L$58,MATCH(Q369,'KT THAN'!$L$38:$L$58,-1)))),MIN(0.8*0.75*'KT THAN'!$C$62,'KT THAN'!$C$68/Q369)))))</f>
        <v/>
      </c>
      <c r="N369" s="38" t="str">
        <f>IF($A369="","",IF(H369=0,"",IF(R369&lt;=0.000000001,MIN(0.8*0.75*'KT THAN'!$C$62,MAX('KT THAN'!$W$38:$W$58)),IFERROR(MIN(0.8*0.75*'KT THAN'!$C$62,INDEX('KT THAN'!$W$38:$W$58,MATCH(R369,'KT THAN'!$Y$38:$Y$58,-1))+(INDEX('KT THAN'!$W$38:$W$58,MIN(21,MATCH(R369,'KT THAN'!$Y$38:$Y$58,-1)+1))-INDEX('KT THAN'!$W$38:$W$58,MATCH(R369,'KT THAN'!$Y$38:$Y$58,-1)))*(R369-INDEX('KT THAN'!$Y$38:$Y$58,MATCH(R369,'KT THAN'!$Y$38:$Y$58,-1)))/(INDEX('KT THAN'!$Y$38:$Y$58,MIN(21,MATCH(R369,'KT THAN'!$Y$38:$Y$58,-1)+1))-INDEX('KT THAN'!$Y$38:$Y$58,MATCH(R369,'KT THAN'!$Y$38:$Y$58,-1)))),MIN(0.8*0.75*'KT THAN'!$C$62,'KT THAN'!$D$68/R369)))))</f>
        <v/>
      </c>
      <c r="O369" s="38" t="str">
        <f>IF($A369="","",IF(H369&lt;0,ABS(H369)/MAX('KT THAN'!$C$69,0.001)+'KT THAN'!$C$32*ABS(J369)/MAX('KT THAN'!$C$68,0.001)+'KT THAN'!$D$32*ABS(I369)/MAX('KT THAN'!$D$68,0.001),IF(OR(M369&lt;=0,N369&lt;=0),999,IF(H369&gt;=0.1*0.75*fc_*Agth*1000,H369/MAX(0.001,1/(1/M369+1/N369-1/(0.75*'KT THAN'!$C$62))),'KT THAN'!$C$32*ABS(J369)/MAX('KT THAN'!$C$68,0.001)+'KT THAN'!$D$32*ABS(I369)/MAX('KT THAN'!$D$68,0.001)))))</f>
        <v/>
      </c>
      <c r="P369" s="37" t="str">
        <f t="shared" si="60"/>
        <v/>
      </c>
      <c r="Q369" s="38" t="str">
        <f>IF($A369="","",MAX(0.001,'KT THAN'!$C$32*ABS(J369)/MAX(1,H369)))</f>
        <v/>
      </c>
      <c r="R369" s="38" t="str">
        <f>IF($A369="","",MAX(0.001,'KT THAN'!$D$32*ABS(I369)/MAX(1,H369)))</f>
        <v/>
      </c>
      <c r="S369" t="str">
        <f t="shared" si="54"/>
        <v/>
      </c>
    </row>
    <row r="370" spans="1:19" hidden="1" outlineLevel="1" x14ac:dyDescent="0.3">
      <c r="A370" s="37" t="str">
        <f>IF('TO HOP NLAN'!$A236="","",'TO HOP NLAN'!$A236)</f>
        <v/>
      </c>
      <c r="B370" s="38" t="str">
        <f>IF($A370="","",'TO HOP NLAN'!$D236)</f>
        <v/>
      </c>
      <c r="C370" s="38" t="str">
        <f>IF($A370="","",'TO HOP NLAN'!$E236)</f>
        <v/>
      </c>
      <c r="D370" s="38" t="str">
        <f>IF($A370="","",'TO HOP NLAN'!$F236)</f>
        <v/>
      </c>
      <c r="E370" s="38" t="str">
        <f>IF($A370="","",'TO HOP NLAN'!$B236)</f>
        <v/>
      </c>
      <c r="F370" s="38" t="str">
        <f>IF($A370="","",'TO HOP NLAN'!$C236)</f>
        <v/>
      </c>
      <c r="G370" s="38" t="str">
        <f t="shared" si="55"/>
        <v/>
      </c>
      <c r="H370" s="38" t="str">
        <f t="shared" si="53"/>
        <v/>
      </c>
      <c r="I370" s="38" t="str">
        <f t="shared" si="56"/>
        <v/>
      </c>
      <c r="J370" s="38" t="str">
        <f t="shared" si="57"/>
        <v/>
      </c>
      <c r="K370" s="38" t="str">
        <f t="shared" si="58"/>
        <v/>
      </c>
      <c r="L370" s="38" t="str">
        <f t="shared" si="59"/>
        <v/>
      </c>
      <c r="M370" s="38" t="str">
        <f>IF($A370="","",IF(H370=0,"",IF(Q370&lt;=0.000000001,MIN(0.8*0.75*'KT THAN'!$C$62,MAX('KT THAN'!$J$38:$J$58)),IFERROR(MIN(0.8*0.75*'KT THAN'!$C$62,INDEX('KT THAN'!$J$38:$J$58,MATCH(Q370,'KT THAN'!$L$38:$L$58,-1))+(INDEX('KT THAN'!$J$38:$J$58,MIN(21,MATCH(Q370,'KT THAN'!$L$38:$L$58,-1)+1))-INDEX('KT THAN'!$J$38:$J$58,MATCH(Q370,'KT THAN'!$L$38:$L$58,-1)))*(Q370-INDEX('KT THAN'!$L$38:$L$58,MATCH(Q370,'KT THAN'!$L$38:$L$58,-1)))/(INDEX('KT THAN'!$L$38:$L$58,MIN(21,MATCH(Q370,'KT THAN'!$L$38:$L$58,-1)+1))-INDEX('KT THAN'!$L$38:$L$58,MATCH(Q370,'KT THAN'!$L$38:$L$58,-1)))),MIN(0.8*0.75*'KT THAN'!$C$62,'KT THAN'!$C$68/Q370)))))</f>
        <v/>
      </c>
      <c r="N370" s="38" t="str">
        <f>IF($A370="","",IF(H370=0,"",IF(R370&lt;=0.000000001,MIN(0.8*0.75*'KT THAN'!$C$62,MAX('KT THAN'!$W$38:$W$58)),IFERROR(MIN(0.8*0.75*'KT THAN'!$C$62,INDEX('KT THAN'!$W$38:$W$58,MATCH(R370,'KT THAN'!$Y$38:$Y$58,-1))+(INDEX('KT THAN'!$W$38:$W$58,MIN(21,MATCH(R370,'KT THAN'!$Y$38:$Y$58,-1)+1))-INDEX('KT THAN'!$W$38:$W$58,MATCH(R370,'KT THAN'!$Y$38:$Y$58,-1)))*(R370-INDEX('KT THAN'!$Y$38:$Y$58,MATCH(R370,'KT THAN'!$Y$38:$Y$58,-1)))/(INDEX('KT THAN'!$Y$38:$Y$58,MIN(21,MATCH(R370,'KT THAN'!$Y$38:$Y$58,-1)+1))-INDEX('KT THAN'!$Y$38:$Y$58,MATCH(R370,'KT THAN'!$Y$38:$Y$58,-1)))),MIN(0.8*0.75*'KT THAN'!$C$62,'KT THAN'!$D$68/R370)))))</f>
        <v/>
      </c>
      <c r="O370" s="38" t="str">
        <f>IF($A370="","",IF(H370&lt;0,ABS(H370)/MAX('KT THAN'!$C$69,0.001)+'KT THAN'!$C$32*ABS(J370)/MAX('KT THAN'!$C$68,0.001)+'KT THAN'!$D$32*ABS(I370)/MAX('KT THAN'!$D$68,0.001),IF(OR(M370&lt;=0,N370&lt;=0),999,IF(H370&gt;=0.1*0.75*fc_*Agth*1000,H370/MAX(0.001,1/(1/M370+1/N370-1/(0.75*'KT THAN'!$C$62))),'KT THAN'!$C$32*ABS(J370)/MAX('KT THAN'!$C$68,0.001)+'KT THAN'!$D$32*ABS(I370)/MAX('KT THAN'!$D$68,0.001)))))</f>
        <v/>
      </c>
      <c r="P370" s="37" t="str">
        <f t="shared" si="60"/>
        <v/>
      </c>
      <c r="Q370" s="38" t="str">
        <f>IF($A370="","",MAX(0.001,'KT THAN'!$C$32*ABS(J370)/MAX(1,H370)))</f>
        <v/>
      </c>
      <c r="R370" s="38" t="str">
        <f>IF($A370="","",MAX(0.001,'KT THAN'!$D$32*ABS(I370)/MAX(1,H370)))</f>
        <v/>
      </c>
      <c r="S370" t="str">
        <f t="shared" si="54"/>
        <v/>
      </c>
    </row>
    <row r="371" spans="1:19" hidden="1" outlineLevel="1" x14ac:dyDescent="0.3">
      <c r="A371" s="37" t="str">
        <f>IF('TO HOP NLAN'!$A237="","",'TO HOP NLAN'!$A237)</f>
        <v/>
      </c>
      <c r="B371" s="38" t="str">
        <f>IF($A371="","",'TO HOP NLAN'!$D237)</f>
        <v/>
      </c>
      <c r="C371" s="38" t="str">
        <f>IF($A371="","",'TO HOP NLAN'!$E237)</f>
        <v/>
      </c>
      <c r="D371" s="38" t="str">
        <f>IF($A371="","",'TO HOP NLAN'!$F237)</f>
        <v/>
      </c>
      <c r="E371" s="38" t="str">
        <f>IF($A371="","",'TO HOP NLAN'!$B237)</f>
        <v/>
      </c>
      <c r="F371" s="38" t="str">
        <f>IF($A371="","",'TO HOP NLAN'!$C237)</f>
        <v/>
      </c>
      <c r="G371" s="38" t="str">
        <f t="shared" si="55"/>
        <v/>
      </c>
      <c r="H371" s="38" t="str">
        <f t="shared" si="53"/>
        <v/>
      </c>
      <c r="I371" s="38" t="str">
        <f t="shared" si="56"/>
        <v/>
      </c>
      <c r="J371" s="38" t="str">
        <f t="shared" si="57"/>
        <v/>
      </c>
      <c r="K371" s="38" t="str">
        <f t="shared" si="58"/>
        <v/>
      </c>
      <c r="L371" s="38" t="str">
        <f t="shared" si="59"/>
        <v/>
      </c>
      <c r="M371" s="38" t="str">
        <f>IF($A371="","",IF(H371=0,"",IF(Q371&lt;=0.000000001,MIN(0.8*0.75*'KT THAN'!$C$62,MAX('KT THAN'!$J$38:$J$58)),IFERROR(MIN(0.8*0.75*'KT THAN'!$C$62,INDEX('KT THAN'!$J$38:$J$58,MATCH(Q371,'KT THAN'!$L$38:$L$58,-1))+(INDEX('KT THAN'!$J$38:$J$58,MIN(21,MATCH(Q371,'KT THAN'!$L$38:$L$58,-1)+1))-INDEX('KT THAN'!$J$38:$J$58,MATCH(Q371,'KT THAN'!$L$38:$L$58,-1)))*(Q371-INDEX('KT THAN'!$L$38:$L$58,MATCH(Q371,'KT THAN'!$L$38:$L$58,-1)))/(INDEX('KT THAN'!$L$38:$L$58,MIN(21,MATCH(Q371,'KT THAN'!$L$38:$L$58,-1)+1))-INDEX('KT THAN'!$L$38:$L$58,MATCH(Q371,'KT THAN'!$L$38:$L$58,-1)))),MIN(0.8*0.75*'KT THAN'!$C$62,'KT THAN'!$C$68/Q371)))))</f>
        <v/>
      </c>
      <c r="N371" s="38" t="str">
        <f>IF($A371="","",IF(H371=0,"",IF(R371&lt;=0.000000001,MIN(0.8*0.75*'KT THAN'!$C$62,MAX('KT THAN'!$W$38:$W$58)),IFERROR(MIN(0.8*0.75*'KT THAN'!$C$62,INDEX('KT THAN'!$W$38:$W$58,MATCH(R371,'KT THAN'!$Y$38:$Y$58,-1))+(INDEX('KT THAN'!$W$38:$W$58,MIN(21,MATCH(R371,'KT THAN'!$Y$38:$Y$58,-1)+1))-INDEX('KT THAN'!$W$38:$W$58,MATCH(R371,'KT THAN'!$Y$38:$Y$58,-1)))*(R371-INDEX('KT THAN'!$Y$38:$Y$58,MATCH(R371,'KT THAN'!$Y$38:$Y$58,-1)))/(INDEX('KT THAN'!$Y$38:$Y$58,MIN(21,MATCH(R371,'KT THAN'!$Y$38:$Y$58,-1)+1))-INDEX('KT THAN'!$Y$38:$Y$58,MATCH(R371,'KT THAN'!$Y$38:$Y$58,-1)))),MIN(0.8*0.75*'KT THAN'!$C$62,'KT THAN'!$D$68/R371)))))</f>
        <v/>
      </c>
      <c r="O371" s="38" t="str">
        <f>IF($A371="","",IF(H371&lt;0,ABS(H371)/MAX('KT THAN'!$C$69,0.001)+'KT THAN'!$C$32*ABS(J371)/MAX('KT THAN'!$C$68,0.001)+'KT THAN'!$D$32*ABS(I371)/MAX('KT THAN'!$D$68,0.001),IF(OR(M371&lt;=0,N371&lt;=0),999,IF(H371&gt;=0.1*0.75*fc_*Agth*1000,H371/MAX(0.001,1/(1/M371+1/N371-1/(0.75*'KT THAN'!$C$62))),'KT THAN'!$C$32*ABS(J371)/MAX('KT THAN'!$C$68,0.001)+'KT THAN'!$D$32*ABS(I371)/MAX('KT THAN'!$D$68,0.001)))))</f>
        <v/>
      </c>
      <c r="P371" s="37" t="str">
        <f t="shared" si="60"/>
        <v/>
      </c>
      <c r="Q371" s="38" t="str">
        <f>IF($A371="","",MAX(0.001,'KT THAN'!$C$32*ABS(J371)/MAX(1,H371)))</f>
        <v/>
      </c>
      <c r="R371" s="38" t="str">
        <f>IF($A371="","",MAX(0.001,'KT THAN'!$D$32*ABS(I371)/MAX(1,H371)))</f>
        <v/>
      </c>
      <c r="S371" t="str">
        <f t="shared" si="54"/>
        <v/>
      </c>
    </row>
    <row r="372" spans="1:19" hidden="1" outlineLevel="1" x14ac:dyDescent="0.3">
      <c r="A372" s="37" t="str">
        <f>IF('TO HOP NLAN'!$A238="","",'TO HOP NLAN'!$A238)</f>
        <v/>
      </c>
      <c r="B372" s="38" t="str">
        <f>IF($A372="","",'TO HOP NLAN'!$D238)</f>
        <v/>
      </c>
      <c r="C372" s="38" t="str">
        <f>IF($A372="","",'TO HOP NLAN'!$E238)</f>
        <v/>
      </c>
      <c r="D372" s="38" t="str">
        <f>IF($A372="","",'TO HOP NLAN'!$F238)</f>
        <v/>
      </c>
      <c r="E372" s="38" t="str">
        <f>IF($A372="","",'TO HOP NLAN'!$B238)</f>
        <v/>
      </c>
      <c r="F372" s="38" t="str">
        <f>IF($A372="","",'TO HOP NLAN'!$C238)</f>
        <v/>
      </c>
      <c r="G372" s="38" t="str">
        <f t="shared" si="55"/>
        <v/>
      </c>
      <c r="H372" s="38" t="str">
        <f t="shared" si="53"/>
        <v/>
      </c>
      <c r="I372" s="38" t="str">
        <f t="shared" si="56"/>
        <v/>
      </c>
      <c r="J372" s="38" t="str">
        <f t="shared" si="57"/>
        <v/>
      </c>
      <c r="K372" s="38" t="str">
        <f t="shared" si="58"/>
        <v/>
      </c>
      <c r="L372" s="38" t="str">
        <f t="shared" si="59"/>
        <v/>
      </c>
      <c r="M372" s="38" t="str">
        <f>IF($A372="","",IF(H372=0,"",IF(Q372&lt;=0.000000001,MIN(0.8*0.75*'KT THAN'!$C$62,MAX('KT THAN'!$J$38:$J$58)),IFERROR(MIN(0.8*0.75*'KT THAN'!$C$62,INDEX('KT THAN'!$J$38:$J$58,MATCH(Q372,'KT THAN'!$L$38:$L$58,-1))+(INDEX('KT THAN'!$J$38:$J$58,MIN(21,MATCH(Q372,'KT THAN'!$L$38:$L$58,-1)+1))-INDEX('KT THAN'!$J$38:$J$58,MATCH(Q372,'KT THAN'!$L$38:$L$58,-1)))*(Q372-INDEX('KT THAN'!$L$38:$L$58,MATCH(Q372,'KT THAN'!$L$38:$L$58,-1)))/(INDEX('KT THAN'!$L$38:$L$58,MIN(21,MATCH(Q372,'KT THAN'!$L$38:$L$58,-1)+1))-INDEX('KT THAN'!$L$38:$L$58,MATCH(Q372,'KT THAN'!$L$38:$L$58,-1)))),MIN(0.8*0.75*'KT THAN'!$C$62,'KT THAN'!$C$68/Q372)))))</f>
        <v/>
      </c>
      <c r="N372" s="38" t="str">
        <f>IF($A372="","",IF(H372=0,"",IF(R372&lt;=0.000000001,MIN(0.8*0.75*'KT THAN'!$C$62,MAX('KT THAN'!$W$38:$W$58)),IFERROR(MIN(0.8*0.75*'KT THAN'!$C$62,INDEX('KT THAN'!$W$38:$W$58,MATCH(R372,'KT THAN'!$Y$38:$Y$58,-1))+(INDEX('KT THAN'!$W$38:$W$58,MIN(21,MATCH(R372,'KT THAN'!$Y$38:$Y$58,-1)+1))-INDEX('KT THAN'!$W$38:$W$58,MATCH(R372,'KT THAN'!$Y$38:$Y$58,-1)))*(R372-INDEX('KT THAN'!$Y$38:$Y$58,MATCH(R372,'KT THAN'!$Y$38:$Y$58,-1)))/(INDEX('KT THAN'!$Y$38:$Y$58,MIN(21,MATCH(R372,'KT THAN'!$Y$38:$Y$58,-1)+1))-INDEX('KT THAN'!$Y$38:$Y$58,MATCH(R372,'KT THAN'!$Y$38:$Y$58,-1)))),MIN(0.8*0.75*'KT THAN'!$C$62,'KT THAN'!$D$68/R372)))))</f>
        <v/>
      </c>
      <c r="O372" s="38" t="str">
        <f>IF($A372="","",IF(H372&lt;0,ABS(H372)/MAX('KT THAN'!$C$69,0.001)+'KT THAN'!$C$32*ABS(J372)/MAX('KT THAN'!$C$68,0.001)+'KT THAN'!$D$32*ABS(I372)/MAX('KT THAN'!$D$68,0.001),IF(OR(M372&lt;=0,N372&lt;=0),999,IF(H372&gt;=0.1*0.75*fc_*Agth*1000,H372/MAX(0.001,1/(1/M372+1/N372-1/(0.75*'KT THAN'!$C$62))),'KT THAN'!$C$32*ABS(J372)/MAX('KT THAN'!$C$68,0.001)+'KT THAN'!$D$32*ABS(I372)/MAX('KT THAN'!$D$68,0.001)))))</f>
        <v/>
      </c>
      <c r="P372" s="37" t="str">
        <f t="shared" si="60"/>
        <v/>
      </c>
      <c r="Q372" s="38" t="str">
        <f>IF($A372="","",MAX(0.001,'KT THAN'!$C$32*ABS(J372)/MAX(1,H372)))</f>
        <v/>
      </c>
      <c r="R372" s="38" t="str">
        <f>IF($A372="","",MAX(0.001,'KT THAN'!$D$32*ABS(I372)/MAX(1,H372)))</f>
        <v/>
      </c>
      <c r="S372" t="str">
        <f t="shared" si="54"/>
        <v/>
      </c>
    </row>
    <row r="373" spans="1:19" hidden="1" outlineLevel="1" x14ac:dyDescent="0.3">
      <c r="A373" s="37" t="str">
        <f>IF('TO HOP NLAN'!$A239="","",'TO HOP NLAN'!$A239)</f>
        <v/>
      </c>
      <c r="B373" s="38" t="str">
        <f>IF($A373="","",'TO HOP NLAN'!$D239)</f>
        <v/>
      </c>
      <c r="C373" s="38" t="str">
        <f>IF($A373="","",'TO HOP NLAN'!$E239)</f>
        <v/>
      </c>
      <c r="D373" s="38" t="str">
        <f>IF($A373="","",'TO HOP NLAN'!$F239)</f>
        <v/>
      </c>
      <c r="E373" s="38" t="str">
        <f>IF($A373="","",'TO HOP NLAN'!$B239)</f>
        <v/>
      </c>
      <c r="F373" s="38" t="str">
        <f>IF($A373="","",'TO HOP NLAN'!$C239)</f>
        <v/>
      </c>
      <c r="G373" s="38" t="str">
        <f t="shared" si="55"/>
        <v/>
      </c>
      <c r="H373" s="38" t="str">
        <f t="shared" si="53"/>
        <v/>
      </c>
      <c r="I373" s="38" t="str">
        <f t="shared" si="56"/>
        <v/>
      </c>
      <c r="J373" s="38" t="str">
        <f t="shared" si="57"/>
        <v/>
      </c>
      <c r="K373" s="38" t="str">
        <f t="shared" si="58"/>
        <v/>
      </c>
      <c r="L373" s="38" t="str">
        <f t="shared" si="59"/>
        <v/>
      </c>
      <c r="M373" s="38" t="str">
        <f>IF($A373="","",IF(H373=0,"",IF(Q373&lt;=0.000000001,MIN(0.8*0.75*'KT THAN'!$C$62,MAX('KT THAN'!$J$38:$J$58)),IFERROR(MIN(0.8*0.75*'KT THAN'!$C$62,INDEX('KT THAN'!$J$38:$J$58,MATCH(Q373,'KT THAN'!$L$38:$L$58,-1))+(INDEX('KT THAN'!$J$38:$J$58,MIN(21,MATCH(Q373,'KT THAN'!$L$38:$L$58,-1)+1))-INDEX('KT THAN'!$J$38:$J$58,MATCH(Q373,'KT THAN'!$L$38:$L$58,-1)))*(Q373-INDEX('KT THAN'!$L$38:$L$58,MATCH(Q373,'KT THAN'!$L$38:$L$58,-1)))/(INDEX('KT THAN'!$L$38:$L$58,MIN(21,MATCH(Q373,'KT THAN'!$L$38:$L$58,-1)+1))-INDEX('KT THAN'!$L$38:$L$58,MATCH(Q373,'KT THAN'!$L$38:$L$58,-1)))),MIN(0.8*0.75*'KT THAN'!$C$62,'KT THAN'!$C$68/Q373)))))</f>
        <v/>
      </c>
      <c r="N373" s="38" t="str">
        <f>IF($A373="","",IF(H373=0,"",IF(R373&lt;=0.000000001,MIN(0.8*0.75*'KT THAN'!$C$62,MAX('KT THAN'!$W$38:$W$58)),IFERROR(MIN(0.8*0.75*'KT THAN'!$C$62,INDEX('KT THAN'!$W$38:$W$58,MATCH(R373,'KT THAN'!$Y$38:$Y$58,-1))+(INDEX('KT THAN'!$W$38:$W$58,MIN(21,MATCH(R373,'KT THAN'!$Y$38:$Y$58,-1)+1))-INDEX('KT THAN'!$W$38:$W$58,MATCH(R373,'KT THAN'!$Y$38:$Y$58,-1)))*(R373-INDEX('KT THAN'!$Y$38:$Y$58,MATCH(R373,'KT THAN'!$Y$38:$Y$58,-1)))/(INDEX('KT THAN'!$Y$38:$Y$58,MIN(21,MATCH(R373,'KT THAN'!$Y$38:$Y$58,-1)+1))-INDEX('KT THAN'!$Y$38:$Y$58,MATCH(R373,'KT THAN'!$Y$38:$Y$58,-1)))),MIN(0.8*0.75*'KT THAN'!$C$62,'KT THAN'!$D$68/R373)))))</f>
        <v/>
      </c>
      <c r="O373" s="38" t="str">
        <f>IF($A373="","",IF(H373&lt;0,ABS(H373)/MAX('KT THAN'!$C$69,0.001)+'KT THAN'!$C$32*ABS(J373)/MAX('KT THAN'!$C$68,0.001)+'KT THAN'!$D$32*ABS(I373)/MAX('KT THAN'!$D$68,0.001),IF(OR(M373&lt;=0,N373&lt;=0),999,IF(H373&gt;=0.1*0.75*fc_*Agth*1000,H373/MAX(0.001,1/(1/M373+1/N373-1/(0.75*'KT THAN'!$C$62))),'KT THAN'!$C$32*ABS(J373)/MAX('KT THAN'!$C$68,0.001)+'KT THAN'!$D$32*ABS(I373)/MAX('KT THAN'!$D$68,0.001)))))</f>
        <v/>
      </c>
      <c r="P373" s="37" t="str">
        <f t="shared" si="60"/>
        <v/>
      </c>
      <c r="Q373" s="38" t="str">
        <f>IF($A373="","",MAX(0.001,'KT THAN'!$C$32*ABS(J373)/MAX(1,H373)))</f>
        <v/>
      </c>
      <c r="R373" s="38" t="str">
        <f>IF($A373="","",MAX(0.001,'KT THAN'!$D$32*ABS(I373)/MAX(1,H373)))</f>
        <v/>
      </c>
      <c r="S373" t="str">
        <f t="shared" si="54"/>
        <v/>
      </c>
    </row>
    <row r="374" spans="1:19" hidden="1" outlineLevel="1" x14ac:dyDescent="0.3">
      <c r="A374" s="37" t="str">
        <f>IF('TO HOP NLAN'!$A240="","",'TO HOP NLAN'!$A240)</f>
        <v/>
      </c>
      <c r="B374" s="38" t="str">
        <f>IF($A374="","",'TO HOP NLAN'!$D240)</f>
        <v/>
      </c>
      <c r="C374" s="38" t="str">
        <f>IF($A374="","",'TO HOP NLAN'!$E240)</f>
        <v/>
      </c>
      <c r="D374" s="38" t="str">
        <f>IF($A374="","",'TO HOP NLAN'!$F240)</f>
        <v/>
      </c>
      <c r="E374" s="38" t="str">
        <f>IF($A374="","",'TO HOP NLAN'!$B240)</f>
        <v/>
      </c>
      <c r="F374" s="38" t="str">
        <f>IF($A374="","",'TO HOP NLAN'!$C240)</f>
        <v/>
      </c>
      <c r="G374" s="38" t="str">
        <f t="shared" si="55"/>
        <v/>
      </c>
      <c r="H374" s="38" t="str">
        <f t="shared" si="53"/>
        <v/>
      </c>
      <c r="I374" s="38" t="str">
        <f t="shared" si="56"/>
        <v/>
      </c>
      <c r="J374" s="38" t="str">
        <f t="shared" si="57"/>
        <v/>
      </c>
      <c r="K374" s="38" t="str">
        <f t="shared" si="58"/>
        <v/>
      </c>
      <c r="L374" s="38" t="str">
        <f t="shared" si="59"/>
        <v/>
      </c>
      <c r="M374" s="38" t="str">
        <f>IF($A374="","",IF(H374=0,"",IF(Q374&lt;=0.000000001,MIN(0.8*0.75*'KT THAN'!$C$62,MAX('KT THAN'!$J$38:$J$58)),IFERROR(MIN(0.8*0.75*'KT THAN'!$C$62,INDEX('KT THAN'!$J$38:$J$58,MATCH(Q374,'KT THAN'!$L$38:$L$58,-1))+(INDEX('KT THAN'!$J$38:$J$58,MIN(21,MATCH(Q374,'KT THAN'!$L$38:$L$58,-1)+1))-INDEX('KT THAN'!$J$38:$J$58,MATCH(Q374,'KT THAN'!$L$38:$L$58,-1)))*(Q374-INDEX('KT THAN'!$L$38:$L$58,MATCH(Q374,'KT THAN'!$L$38:$L$58,-1)))/(INDEX('KT THAN'!$L$38:$L$58,MIN(21,MATCH(Q374,'KT THAN'!$L$38:$L$58,-1)+1))-INDEX('KT THAN'!$L$38:$L$58,MATCH(Q374,'KT THAN'!$L$38:$L$58,-1)))),MIN(0.8*0.75*'KT THAN'!$C$62,'KT THAN'!$C$68/Q374)))))</f>
        <v/>
      </c>
      <c r="N374" s="38" t="str">
        <f>IF($A374="","",IF(H374=0,"",IF(R374&lt;=0.000000001,MIN(0.8*0.75*'KT THAN'!$C$62,MAX('KT THAN'!$W$38:$W$58)),IFERROR(MIN(0.8*0.75*'KT THAN'!$C$62,INDEX('KT THAN'!$W$38:$W$58,MATCH(R374,'KT THAN'!$Y$38:$Y$58,-1))+(INDEX('KT THAN'!$W$38:$W$58,MIN(21,MATCH(R374,'KT THAN'!$Y$38:$Y$58,-1)+1))-INDEX('KT THAN'!$W$38:$W$58,MATCH(R374,'KT THAN'!$Y$38:$Y$58,-1)))*(R374-INDEX('KT THAN'!$Y$38:$Y$58,MATCH(R374,'KT THAN'!$Y$38:$Y$58,-1)))/(INDEX('KT THAN'!$Y$38:$Y$58,MIN(21,MATCH(R374,'KT THAN'!$Y$38:$Y$58,-1)+1))-INDEX('KT THAN'!$Y$38:$Y$58,MATCH(R374,'KT THAN'!$Y$38:$Y$58,-1)))),MIN(0.8*0.75*'KT THAN'!$C$62,'KT THAN'!$D$68/R374)))))</f>
        <v/>
      </c>
      <c r="O374" s="38" t="str">
        <f>IF($A374="","",IF(H374&lt;0,ABS(H374)/MAX('KT THAN'!$C$69,0.001)+'KT THAN'!$C$32*ABS(J374)/MAX('KT THAN'!$C$68,0.001)+'KT THAN'!$D$32*ABS(I374)/MAX('KT THAN'!$D$68,0.001),IF(OR(M374&lt;=0,N374&lt;=0),999,IF(H374&gt;=0.1*0.75*fc_*Agth*1000,H374/MAX(0.001,1/(1/M374+1/N374-1/(0.75*'KT THAN'!$C$62))),'KT THAN'!$C$32*ABS(J374)/MAX('KT THAN'!$C$68,0.001)+'KT THAN'!$D$32*ABS(I374)/MAX('KT THAN'!$D$68,0.001)))))</f>
        <v/>
      </c>
      <c r="P374" s="37" t="str">
        <f t="shared" si="60"/>
        <v/>
      </c>
      <c r="Q374" s="38" t="str">
        <f>IF($A374="","",MAX(0.001,'KT THAN'!$C$32*ABS(J374)/MAX(1,H374)))</f>
        <v/>
      </c>
      <c r="R374" s="38" t="str">
        <f>IF($A374="","",MAX(0.001,'KT THAN'!$D$32*ABS(I374)/MAX(1,H374)))</f>
        <v/>
      </c>
      <c r="S374" t="str">
        <f t="shared" si="54"/>
        <v/>
      </c>
    </row>
    <row r="375" spans="1:19" hidden="1" outlineLevel="1" x14ac:dyDescent="0.3">
      <c r="A375" s="37" t="str">
        <f>IF('TO HOP NLAN'!$A241="","",'TO HOP NLAN'!$A241)</f>
        <v/>
      </c>
      <c r="B375" s="38" t="str">
        <f>IF($A375="","",'TO HOP NLAN'!$D241)</f>
        <v/>
      </c>
      <c r="C375" s="38" t="str">
        <f>IF($A375="","",'TO HOP NLAN'!$E241)</f>
        <v/>
      </c>
      <c r="D375" s="38" t="str">
        <f>IF($A375="","",'TO HOP NLAN'!$F241)</f>
        <v/>
      </c>
      <c r="E375" s="38" t="str">
        <f>IF($A375="","",'TO HOP NLAN'!$B241)</f>
        <v/>
      </c>
      <c r="F375" s="38" t="str">
        <f>IF($A375="","",'TO HOP NLAN'!$C241)</f>
        <v/>
      </c>
      <c r="G375" s="38" t="str">
        <f t="shared" si="55"/>
        <v/>
      </c>
      <c r="H375" s="38" t="str">
        <f t="shared" si="53"/>
        <v/>
      </c>
      <c r="I375" s="38" t="str">
        <f t="shared" si="56"/>
        <v/>
      </c>
      <c r="J375" s="38" t="str">
        <f t="shared" si="57"/>
        <v/>
      </c>
      <c r="K375" s="38" t="str">
        <f t="shared" si="58"/>
        <v/>
      </c>
      <c r="L375" s="38" t="str">
        <f t="shared" si="59"/>
        <v/>
      </c>
      <c r="M375" s="38" t="str">
        <f>IF($A375="","",IF(H375=0,"",IF(Q375&lt;=0.000000001,MIN(0.8*0.75*'KT THAN'!$C$62,MAX('KT THAN'!$J$38:$J$58)),IFERROR(MIN(0.8*0.75*'KT THAN'!$C$62,INDEX('KT THAN'!$J$38:$J$58,MATCH(Q375,'KT THAN'!$L$38:$L$58,-1))+(INDEX('KT THAN'!$J$38:$J$58,MIN(21,MATCH(Q375,'KT THAN'!$L$38:$L$58,-1)+1))-INDEX('KT THAN'!$J$38:$J$58,MATCH(Q375,'KT THAN'!$L$38:$L$58,-1)))*(Q375-INDEX('KT THAN'!$L$38:$L$58,MATCH(Q375,'KT THAN'!$L$38:$L$58,-1)))/(INDEX('KT THAN'!$L$38:$L$58,MIN(21,MATCH(Q375,'KT THAN'!$L$38:$L$58,-1)+1))-INDEX('KT THAN'!$L$38:$L$58,MATCH(Q375,'KT THAN'!$L$38:$L$58,-1)))),MIN(0.8*0.75*'KT THAN'!$C$62,'KT THAN'!$C$68/Q375)))))</f>
        <v/>
      </c>
      <c r="N375" s="38" t="str">
        <f>IF($A375="","",IF(H375=0,"",IF(R375&lt;=0.000000001,MIN(0.8*0.75*'KT THAN'!$C$62,MAX('KT THAN'!$W$38:$W$58)),IFERROR(MIN(0.8*0.75*'KT THAN'!$C$62,INDEX('KT THAN'!$W$38:$W$58,MATCH(R375,'KT THAN'!$Y$38:$Y$58,-1))+(INDEX('KT THAN'!$W$38:$W$58,MIN(21,MATCH(R375,'KT THAN'!$Y$38:$Y$58,-1)+1))-INDEX('KT THAN'!$W$38:$W$58,MATCH(R375,'KT THAN'!$Y$38:$Y$58,-1)))*(R375-INDEX('KT THAN'!$Y$38:$Y$58,MATCH(R375,'KT THAN'!$Y$38:$Y$58,-1)))/(INDEX('KT THAN'!$Y$38:$Y$58,MIN(21,MATCH(R375,'KT THAN'!$Y$38:$Y$58,-1)+1))-INDEX('KT THAN'!$Y$38:$Y$58,MATCH(R375,'KT THAN'!$Y$38:$Y$58,-1)))),MIN(0.8*0.75*'KT THAN'!$C$62,'KT THAN'!$D$68/R375)))))</f>
        <v/>
      </c>
      <c r="O375" s="38" t="str">
        <f>IF($A375="","",IF(H375&lt;0,ABS(H375)/MAX('KT THAN'!$C$69,0.001)+'KT THAN'!$C$32*ABS(J375)/MAX('KT THAN'!$C$68,0.001)+'KT THAN'!$D$32*ABS(I375)/MAX('KT THAN'!$D$68,0.001),IF(OR(M375&lt;=0,N375&lt;=0),999,IF(H375&gt;=0.1*0.75*fc_*Agth*1000,H375/MAX(0.001,1/(1/M375+1/N375-1/(0.75*'KT THAN'!$C$62))),'KT THAN'!$C$32*ABS(J375)/MAX('KT THAN'!$C$68,0.001)+'KT THAN'!$D$32*ABS(I375)/MAX('KT THAN'!$D$68,0.001)))))</f>
        <v/>
      </c>
      <c r="P375" s="37" t="str">
        <f t="shared" si="60"/>
        <v/>
      </c>
      <c r="Q375" s="38" t="str">
        <f>IF($A375="","",MAX(0.001,'KT THAN'!$C$32*ABS(J375)/MAX(1,H375)))</f>
        <v/>
      </c>
      <c r="R375" s="38" t="str">
        <f>IF($A375="","",MAX(0.001,'KT THAN'!$D$32*ABS(I375)/MAX(1,H375)))</f>
        <v/>
      </c>
      <c r="S375" t="str">
        <f t="shared" si="54"/>
        <v/>
      </c>
    </row>
    <row r="376" spans="1:19" hidden="1" outlineLevel="1" x14ac:dyDescent="0.3">
      <c r="A376" s="37" t="str">
        <f>IF('TO HOP NLAN'!$A242="","",'TO HOP NLAN'!$A242)</f>
        <v/>
      </c>
      <c r="B376" s="38" t="str">
        <f>IF($A376="","",'TO HOP NLAN'!$D242)</f>
        <v/>
      </c>
      <c r="C376" s="38" t="str">
        <f>IF($A376="","",'TO HOP NLAN'!$E242)</f>
        <v/>
      </c>
      <c r="D376" s="38" t="str">
        <f>IF($A376="","",'TO HOP NLAN'!$F242)</f>
        <v/>
      </c>
      <c r="E376" s="38" t="str">
        <f>IF($A376="","",'TO HOP NLAN'!$B242)</f>
        <v/>
      </c>
      <c r="F376" s="38" t="str">
        <f>IF($A376="","",'TO HOP NLAN'!$C242)</f>
        <v/>
      </c>
      <c r="G376" s="38" t="str">
        <f t="shared" si="55"/>
        <v/>
      </c>
      <c r="H376" s="38" t="str">
        <f t="shared" si="53"/>
        <v/>
      </c>
      <c r="I376" s="38" t="str">
        <f t="shared" si="56"/>
        <v/>
      </c>
      <c r="J376" s="38" t="str">
        <f t="shared" si="57"/>
        <v/>
      </c>
      <c r="K376" s="38" t="str">
        <f t="shared" si="58"/>
        <v/>
      </c>
      <c r="L376" s="38" t="str">
        <f t="shared" si="59"/>
        <v/>
      </c>
      <c r="M376" s="38" t="str">
        <f>IF($A376="","",IF(H376=0,"",IF(Q376&lt;=0.000000001,MIN(0.8*0.75*'KT THAN'!$C$62,MAX('KT THAN'!$J$38:$J$58)),IFERROR(MIN(0.8*0.75*'KT THAN'!$C$62,INDEX('KT THAN'!$J$38:$J$58,MATCH(Q376,'KT THAN'!$L$38:$L$58,-1))+(INDEX('KT THAN'!$J$38:$J$58,MIN(21,MATCH(Q376,'KT THAN'!$L$38:$L$58,-1)+1))-INDEX('KT THAN'!$J$38:$J$58,MATCH(Q376,'KT THAN'!$L$38:$L$58,-1)))*(Q376-INDEX('KT THAN'!$L$38:$L$58,MATCH(Q376,'KT THAN'!$L$38:$L$58,-1)))/(INDEX('KT THAN'!$L$38:$L$58,MIN(21,MATCH(Q376,'KT THAN'!$L$38:$L$58,-1)+1))-INDEX('KT THAN'!$L$38:$L$58,MATCH(Q376,'KT THAN'!$L$38:$L$58,-1)))),MIN(0.8*0.75*'KT THAN'!$C$62,'KT THAN'!$C$68/Q376)))))</f>
        <v/>
      </c>
      <c r="N376" s="38" t="str">
        <f>IF($A376="","",IF(H376=0,"",IF(R376&lt;=0.000000001,MIN(0.8*0.75*'KT THAN'!$C$62,MAX('KT THAN'!$W$38:$W$58)),IFERROR(MIN(0.8*0.75*'KT THAN'!$C$62,INDEX('KT THAN'!$W$38:$W$58,MATCH(R376,'KT THAN'!$Y$38:$Y$58,-1))+(INDEX('KT THAN'!$W$38:$W$58,MIN(21,MATCH(R376,'KT THAN'!$Y$38:$Y$58,-1)+1))-INDEX('KT THAN'!$W$38:$W$58,MATCH(R376,'KT THAN'!$Y$38:$Y$58,-1)))*(R376-INDEX('KT THAN'!$Y$38:$Y$58,MATCH(R376,'KT THAN'!$Y$38:$Y$58,-1)))/(INDEX('KT THAN'!$Y$38:$Y$58,MIN(21,MATCH(R376,'KT THAN'!$Y$38:$Y$58,-1)+1))-INDEX('KT THAN'!$Y$38:$Y$58,MATCH(R376,'KT THAN'!$Y$38:$Y$58,-1)))),MIN(0.8*0.75*'KT THAN'!$C$62,'KT THAN'!$D$68/R376)))))</f>
        <v/>
      </c>
      <c r="O376" s="38" t="str">
        <f>IF($A376="","",IF(H376&lt;0,ABS(H376)/MAX('KT THAN'!$C$69,0.001)+'KT THAN'!$C$32*ABS(J376)/MAX('KT THAN'!$C$68,0.001)+'KT THAN'!$D$32*ABS(I376)/MAX('KT THAN'!$D$68,0.001),IF(OR(M376&lt;=0,N376&lt;=0),999,IF(H376&gt;=0.1*0.75*fc_*Agth*1000,H376/MAX(0.001,1/(1/M376+1/N376-1/(0.75*'KT THAN'!$C$62))),'KT THAN'!$C$32*ABS(J376)/MAX('KT THAN'!$C$68,0.001)+'KT THAN'!$D$32*ABS(I376)/MAX('KT THAN'!$D$68,0.001)))))</f>
        <v/>
      </c>
      <c r="P376" s="37" t="str">
        <f t="shared" si="60"/>
        <v/>
      </c>
      <c r="Q376" s="38" t="str">
        <f>IF($A376="","",MAX(0.001,'KT THAN'!$C$32*ABS(J376)/MAX(1,H376)))</f>
        <v/>
      </c>
      <c r="R376" s="38" t="str">
        <f>IF($A376="","",MAX(0.001,'KT THAN'!$D$32*ABS(I376)/MAX(1,H376)))</f>
        <v/>
      </c>
      <c r="S376" t="str">
        <f t="shared" si="54"/>
        <v/>
      </c>
    </row>
    <row r="377" spans="1:19" hidden="1" outlineLevel="1" x14ac:dyDescent="0.3">
      <c r="A377" s="37" t="str">
        <f>IF('TO HOP NLAN'!$A243="","",'TO HOP NLAN'!$A243)</f>
        <v/>
      </c>
      <c r="B377" s="38" t="str">
        <f>IF($A377="","",'TO HOP NLAN'!$D243)</f>
        <v/>
      </c>
      <c r="C377" s="38" t="str">
        <f>IF($A377="","",'TO HOP NLAN'!$E243)</f>
        <v/>
      </c>
      <c r="D377" s="38" t="str">
        <f>IF($A377="","",'TO HOP NLAN'!$F243)</f>
        <v/>
      </c>
      <c r="E377" s="38" t="str">
        <f>IF($A377="","",'TO HOP NLAN'!$B243)</f>
        <v/>
      </c>
      <c r="F377" s="38" t="str">
        <f>IF($A377="","",'TO HOP NLAN'!$C243)</f>
        <v/>
      </c>
      <c r="G377" s="38" t="str">
        <f t="shared" si="55"/>
        <v/>
      </c>
      <c r="H377" s="38" t="str">
        <f t="shared" si="53"/>
        <v/>
      </c>
      <c r="I377" s="38" t="str">
        <f t="shared" si="56"/>
        <v/>
      </c>
      <c r="J377" s="38" t="str">
        <f t="shared" si="57"/>
        <v/>
      </c>
      <c r="K377" s="38" t="str">
        <f t="shared" si="58"/>
        <v/>
      </c>
      <c r="L377" s="38" t="str">
        <f t="shared" si="59"/>
        <v/>
      </c>
      <c r="M377" s="38" t="str">
        <f>IF($A377="","",IF(H377=0,"",IF(Q377&lt;=0.000000001,MIN(0.8*0.75*'KT THAN'!$C$62,MAX('KT THAN'!$J$38:$J$58)),IFERROR(MIN(0.8*0.75*'KT THAN'!$C$62,INDEX('KT THAN'!$J$38:$J$58,MATCH(Q377,'KT THAN'!$L$38:$L$58,-1))+(INDEX('KT THAN'!$J$38:$J$58,MIN(21,MATCH(Q377,'KT THAN'!$L$38:$L$58,-1)+1))-INDEX('KT THAN'!$J$38:$J$58,MATCH(Q377,'KT THAN'!$L$38:$L$58,-1)))*(Q377-INDEX('KT THAN'!$L$38:$L$58,MATCH(Q377,'KT THAN'!$L$38:$L$58,-1)))/(INDEX('KT THAN'!$L$38:$L$58,MIN(21,MATCH(Q377,'KT THAN'!$L$38:$L$58,-1)+1))-INDEX('KT THAN'!$L$38:$L$58,MATCH(Q377,'KT THAN'!$L$38:$L$58,-1)))),MIN(0.8*0.75*'KT THAN'!$C$62,'KT THAN'!$C$68/Q377)))))</f>
        <v/>
      </c>
      <c r="N377" s="38" t="str">
        <f>IF($A377="","",IF(H377=0,"",IF(R377&lt;=0.000000001,MIN(0.8*0.75*'KT THAN'!$C$62,MAX('KT THAN'!$W$38:$W$58)),IFERROR(MIN(0.8*0.75*'KT THAN'!$C$62,INDEX('KT THAN'!$W$38:$W$58,MATCH(R377,'KT THAN'!$Y$38:$Y$58,-1))+(INDEX('KT THAN'!$W$38:$W$58,MIN(21,MATCH(R377,'KT THAN'!$Y$38:$Y$58,-1)+1))-INDEX('KT THAN'!$W$38:$W$58,MATCH(R377,'KT THAN'!$Y$38:$Y$58,-1)))*(R377-INDEX('KT THAN'!$Y$38:$Y$58,MATCH(R377,'KT THAN'!$Y$38:$Y$58,-1)))/(INDEX('KT THAN'!$Y$38:$Y$58,MIN(21,MATCH(R377,'KT THAN'!$Y$38:$Y$58,-1)+1))-INDEX('KT THAN'!$Y$38:$Y$58,MATCH(R377,'KT THAN'!$Y$38:$Y$58,-1)))),MIN(0.8*0.75*'KT THAN'!$C$62,'KT THAN'!$D$68/R377)))))</f>
        <v/>
      </c>
      <c r="O377" s="38" t="str">
        <f>IF($A377="","",IF(H377&lt;0,ABS(H377)/MAX('KT THAN'!$C$69,0.001)+'KT THAN'!$C$32*ABS(J377)/MAX('KT THAN'!$C$68,0.001)+'KT THAN'!$D$32*ABS(I377)/MAX('KT THAN'!$D$68,0.001),IF(OR(M377&lt;=0,N377&lt;=0),999,IF(H377&gt;=0.1*0.75*fc_*Agth*1000,H377/MAX(0.001,1/(1/M377+1/N377-1/(0.75*'KT THAN'!$C$62))),'KT THAN'!$C$32*ABS(J377)/MAX('KT THAN'!$C$68,0.001)+'KT THAN'!$D$32*ABS(I377)/MAX('KT THAN'!$D$68,0.001)))))</f>
        <v/>
      </c>
      <c r="P377" s="37" t="str">
        <f t="shared" si="60"/>
        <v/>
      </c>
      <c r="Q377" s="38" t="str">
        <f>IF($A377="","",MAX(0.001,'KT THAN'!$C$32*ABS(J377)/MAX(1,H377)))</f>
        <v/>
      </c>
      <c r="R377" s="38" t="str">
        <f>IF($A377="","",MAX(0.001,'KT THAN'!$D$32*ABS(I377)/MAX(1,H377)))</f>
        <v/>
      </c>
      <c r="S377" t="str">
        <f t="shared" si="54"/>
        <v/>
      </c>
    </row>
    <row r="378" spans="1:19" hidden="1" outlineLevel="1" x14ac:dyDescent="0.3">
      <c r="A378" s="37" t="str">
        <f>IF('TO HOP NLAN'!$A244="","",'TO HOP NLAN'!$A244)</f>
        <v/>
      </c>
      <c r="B378" s="38" t="str">
        <f>IF($A378="","",'TO HOP NLAN'!$D244)</f>
        <v/>
      </c>
      <c r="C378" s="38" t="str">
        <f>IF($A378="","",'TO HOP NLAN'!$E244)</f>
        <v/>
      </c>
      <c r="D378" s="38" t="str">
        <f>IF($A378="","",'TO HOP NLAN'!$F244)</f>
        <v/>
      </c>
      <c r="E378" s="38" t="str">
        <f>IF($A378="","",'TO HOP NLAN'!$B244)</f>
        <v/>
      </c>
      <c r="F378" s="38" t="str">
        <f>IF($A378="","",'TO HOP NLAN'!$C244)</f>
        <v/>
      </c>
      <c r="G378" s="38" t="str">
        <f t="shared" si="55"/>
        <v/>
      </c>
      <c r="H378" s="38" t="str">
        <f t="shared" si="53"/>
        <v/>
      </c>
      <c r="I378" s="38" t="str">
        <f t="shared" si="56"/>
        <v/>
      </c>
      <c r="J378" s="38" t="str">
        <f t="shared" si="57"/>
        <v/>
      </c>
      <c r="K378" s="38" t="str">
        <f t="shared" si="58"/>
        <v/>
      </c>
      <c r="L378" s="38" t="str">
        <f t="shared" si="59"/>
        <v/>
      </c>
      <c r="M378" s="38" t="str">
        <f>IF($A378="","",IF(H378=0,"",IF(Q378&lt;=0.000000001,MIN(0.8*0.75*'KT THAN'!$C$62,MAX('KT THAN'!$J$38:$J$58)),IFERROR(MIN(0.8*0.75*'KT THAN'!$C$62,INDEX('KT THAN'!$J$38:$J$58,MATCH(Q378,'KT THAN'!$L$38:$L$58,-1))+(INDEX('KT THAN'!$J$38:$J$58,MIN(21,MATCH(Q378,'KT THAN'!$L$38:$L$58,-1)+1))-INDEX('KT THAN'!$J$38:$J$58,MATCH(Q378,'KT THAN'!$L$38:$L$58,-1)))*(Q378-INDEX('KT THAN'!$L$38:$L$58,MATCH(Q378,'KT THAN'!$L$38:$L$58,-1)))/(INDEX('KT THAN'!$L$38:$L$58,MIN(21,MATCH(Q378,'KT THAN'!$L$38:$L$58,-1)+1))-INDEX('KT THAN'!$L$38:$L$58,MATCH(Q378,'KT THAN'!$L$38:$L$58,-1)))),MIN(0.8*0.75*'KT THAN'!$C$62,'KT THAN'!$C$68/Q378)))))</f>
        <v/>
      </c>
      <c r="N378" s="38" t="str">
        <f>IF($A378="","",IF(H378=0,"",IF(R378&lt;=0.000000001,MIN(0.8*0.75*'KT THAN'!$C$62,MAX('KT THAN'!$W$38:$W$58)),IFERROR(MIN(0.8*0.75*'KT THAN'!$C$62,INDEX('KT THAN'!$W$38:$W$58,MATCH(R378,'KT THAN'!$Y$38:$Y$58,-1))+(INDEX('KT THAN'!$W$38:$W$58,MIN(21,MATCH(R378,'KT THAN'!$Y$38:$Y$58,-1)+1))-INDEX('KT THAN'!$W$38:$W$58,MATCH(R378,'KT THAN'!$Y$38:$Y$58,-1)))*(R378-INDEX('KT THAN'!$Y$38:$Y$58,MATCH(R378,'KT THAN'!$Y$38:$Y$58,-1)))/(INDEX('KT THAN'!$Y$38:$Y$58,MIN(21,MATCH(R378,'KT THAN'!$Y$38:$Y$58,-1)+1))-INDEX('KT THAN'!$Y$38:$Y$58,MATCH(R378,'KT THAN'!$Y$38:$Y$58,-1)))),MIN(0.8*0.75*'KT THAN'!$C$62,'KT THAN'!$D$68/R378)))))</f>
        <v/>
      </c>
      <c r="O378" s="38" t="str">
        <f>IF($A378="","",IF(H378&lt;0,ABS(H378)/MAX('KT THAN'!$C$69,0.001)+'KT THAN'!$C$32*ABS(J378)/MAX('KT THAN'!$C$68,0.001)+'KT THAN'!$D$32*ABS(I378)/MAX('KT THAN'!$D$68,0.001),IF(OR(M378&lt;=0,N378&lt;=0),999,IF(H378&gt;=0.1*0.75*fc_*Agth*1000,H378/MAX(0.001,1/(1/M378+1/N378-1/(0.75*'KT THAN'!$C$62))),'KT THAN'!$C$32*ABS(J378)/MAX('KT THAN'!$C$68,0.001)+'KT THAN'!$D$32*ABS(I378)/MAX('KT THAN'!$D$68,0.001)))))</f>
        <v/>
      </c>
      <c r="P378" s="37" t="str">
        <f t="shared" si="60"/>
        <v/>
      </c>
      <c r="Q378" s="38" t="str">
        <f>IF($A378="","",MAX(0.001,'KT THAN'!$C$32*ABS(J378)/MAX(1,H378)))</f>
        <v/>
      </c>
      <c r="R378" s="38" t="str">
        <f>IF($A378="","",MAX(0.001,'KT THAN'!$D$32*ABS(I378)/MAX(1,H378)))</f>
        <v/>
      </c>
      <c r="S378" t="str">
        <f t="shared" si="54"/>
        <v/>
      </c>
    </row>
    <row r="379" spans="1:19" hidden="1" outlineLevel="1" x14ac:dyDescent="0.3">
      <c r="A379" s="37" t="str">
        <f>IF('TO HOP NLAN'!$A245="","",'TO HOP NLAN'!$A245)</f>
        <v/>
      </c>
      <c r="B379" s="38" t="str">
        <f>IF($A379="","",'TO HOP NLAN'!$D245)</f>
        <v/>
      </c>
      <c r="C379" s="38" t="str">
        <f>IF($A379="","",'TO HOP NLAN'!$E245)</f>
        <v/>
      </c>
      <c r="D379" s="38" t="str">
        <f>IF($A379="","",'TO HOP NLAN'!$F245)</f>
        <v/>
      </c>
      <c r="E379" s="38" t="str">
        <f>IF($A379="","",'TO HOP NLAN'!$B245)</f>
        <v/>
      </c>
      <c r="F379" s="38" t="str">
        <f>IF($A379="","",'TO HOP NLAN'!$C245)</f>
        <v/>
      </c>
      <c r="G379" s="38" t="str">
        <f t="shared" si="55"/>
        <v/>
      </c>
      <c r="H379" s="38" t="str">
        <f t="shared" si="53"/>
        <v/>
      </c>
      <c r="I379" s="38" t="str">
        <f t="shared" si="56"/>
        <v/>
      </c>
      <c r="J379" s="38" t="str">
        <f t="shared" si="57"/>
        <v/>
      </c>
      <c r="K379" s="38" t="str">
        <f t="shared" si="58"/>
        <v/>
      </c>
      <c r="L379" s="38" t="str">
        <f t="shared" si="59"/>
        <v/>
      </c>
      <c r="M379" s="38" t="str">
        <f>IF($A379="","",IF(H379=0,"",IF(Q379&lt;=0.000000001,MIN(0.8*0.75*'KT THAN'!$C$62,MAX('KT THAN'!$J$38:$J$58)),IFERROR(MIN(0.8*0.75*'KT THAN'!$C$62,INDEX('KT THAN'!$J$38:$J$58,MATCH(Q379,'KT THAN'!$L$38:$L$58,-1))+(INDEX('KT THAN'!$J$38:$J$58,MIN(21,MATCH(Q379,'KT THAN'!$L$38:$L$58,-1)+1))-INDEX('KT THAN'!$J$38:$J$58,MATCH(Q379,'KT THAN'!$L$38:$L$58,-1)))*(Q379-INDEX('KT THAN'!$L$38:$L$58,MATCH(Q379,'KT THAN'!$L$38:$L$58,-1)))/(INDEX('KT THAN'!$L$38:$L$58,MIN(21,MATCH(Q379,'KT THAN'!$L$38:$L$58,-1)+1))-INDEX('KT THAN'!$L$38:$L$58,MATCH(Q379,'KT THAN'!$L$38:$L$58,-1)))),MIN(0.8*0.75*'KT THAN'!$C$62,'KT THAN'!$C$68/Q379)))))</f>
        <v/>
      </c>
      <c r="N379" s="38" t="str">
        <f>IF($A379="","",IF(H379=0,"",IF(R379&lt;=0.000000001,MIN(0.8*0.75*'KT THAN'!$C$62,MAX('KT THAN'!$W$38:$W$58)),IFERROR(MIN(0.8*0.75*'KT THAN'!$C$62,INDEX('KT THAN'!$W$38:$W$58,MATCH(R379,'KT THAN'!$Y$38:$Y$58,-1))+(INDEX('KT THAN'!$W$38:$W$58,MIN(21,MATCH(R379,'KT THAN'!$Y$38:$Y$58,-1)+1))-INDEX('KT THAN'!$W$38:$W$58,MATCH(R379,'KT THAN'!$Y$38:$Y$58,-1)))*(R379-INDEX('KT THAN'!$Y$38:$Y$58,MATCH(R379,'KT THAN'!$Y$38:$Y$58,-1)))/(INDEX('KT THAN'!$Y$38:$Y$58,MIN(21,MATCH(R379,'KT THAN'!$Y$38:$Y$58,-1)+1))-INDEX('KT THAN'!$Y$38:$Y$58,MATCH(R379,'KT THAN'!$Y$38:$Y$58,-1)))),MIN(0.8*0.75*'KT THAN'!$C$62,'KT THAN'!$D$68/R379)))))</f>
        <v/>
      </c>
      <c r="O379" s="38" t="str">
        <f>IF($A379="","",IF(H379&lt;0,ABS(H379)/MAX('KT THAN'!$C$69,0.001)+'KT THAN'!$C$32*ABS(J379)/MAX('KT THAN'!$C$68,0.001)+'KT THAN'!$D$32*ABS(I379)/MAX('KT THAN'!$D$68,0.001),IF(OR(M379&lt;=0,N379&lt;=0),999,IF(H379&gt;=0.1*0.75*fc_*Agth*1000,H379/MAX(0.001,1/(1/M379+1/N379-1/(0.75*'KT THAN'!$C$62))),'KT THAN'!$C$32*ABS(J379)/MAX('KT THAN'!$C$68,0.001)+'KT THAN'!$D$32*ABS(I379)/MAX('KT THAN'!$D$68,0.001)))))</f>
        <v/>
      </c>
      <c r="P379" s="37" t="str">
        <f t="shared" si="60"/>
        <v/>
      </c>
      <c r="Q379" s="38" t="str">
        <f>IF($A379="","",MAX(0.001,'KT THAN'!$C$32*ABS(J379)/MAX(1,H379)))</f>
        <v/>
      </c>
      <c r="R379" s="38" t="str">
        <f>IF($A379="","",MAX(0.001,'KT THAN'!$D$32*ABS(I379)/MAX(1,H379)))</f>
        <v/>
      </c>
      <c r="S379" t="str">
        <f t="shared" si="54"/>
        <v/>
      </c>
    </row>
    <row r="380" spans="1:19" hidden="1" outlineLevel="1" x14ac:dyDescent="0.3">
      <c r="A380" s="37" t="str">
        <f>IF('TO HOP NLAN'!$A246="","",'TO HOP NLAN'!$A246)</f>
        <v/>
      </c>
      <c r="B380" s="38" t="str">
        <f>IF($A380="","",'TO HOP NLAN'!$D246)</f>
        <v/>
      </c>
      <c r="C380" s="38" t="str">
        <f>IF($A380="","",'TO HOP NLAN'!$E246)</f>
        <v/>
      </c>
      <c r="D380" s="38" t="str">
        <f>IF($A380="","",'TO HOP NLAN'!$F246)</f>
        <v/>
      </c>
      <c r="E380" s="38" t="str">
        <f>IF($A380="","",'TO HOP NLAN'!$B246)</f>
        <v/>
      </c>
      <c r="F380" s="38" t="str">
        <f>IF($A380="","",'TO HOP NLAN'!$C246)</f>
        <v/>
      </c>
      <c r="G380" s="38" t="str">
        <f t="shared" si="55"/>
        <v/>
      </c>
      <c r="H380" s="38" t="str">
        <f t="shared" si="53"/>
        <v/>
      </c>
      <c r="I380" s="38" t="str">
        <f t="shared" si="56"/>
        <v/>
      </c>
      <c r="J380" s="38" t="str">
        <f t="shared" si="57"/>
        <v/>
      </c>
      <c r="K380" s="38" t="str">
        <f t="shared" si="58"/>
        <v/>
      </c>
      <c r="L380" s="38" t="str">
        <f t="shared" si="59"/>
        <v/>
      </c>
      <c r="M380" s="38" t="str">
        <f>IF($A380="","",IF(H380=0,"",IF(Q380&lt;=0.000000001,MIN(0.8*0.75*'KT THAN'!$C$62,MAX('KT THAN'!$J$38:$J$58)),IFERROR(MIN(0.8*0.75*'KT THAN'!$C$62,INDEX('KT THAN'!$J$38:$J$58,MATCH(Q380,'KT THAN'!$L$38:$L$58,-1))+(INDEX('KT THAN'!$J$38:$J$58,MIN(21,MATCH(Q380,'KT THAN'!$L$38:$L$58,-1)+1))-INDEX('KT THAN'!$J$38:$J$58,MATCH(Q380,'KT THAN'!$L$38:$L$58,-1)))*(Q380-INDEX('KT THAN'!$L$38:$L$58,MATCH(Q380,'KT THAN'!$L$38:$L$58,-1)))/(INDEX('KT THAN'!$L$38:$L$58,MIN(21,MATCH(Q380,'KT THAN'!$L$38:$L$58,-1)+1))-INDEX('KT THAN'!$L$38:$L$58,MATCH(Q380,'KT THAN'!$L$38:$L$58,-1)))),MIN(0.8*0.75*'KT THAN'!$C$62,'KT THAN'!$C$68/Q380)))))</f>
        <v/>
      </c>
      <c r="N380" s="38" t="str">
        <f>IF($A380="","",IF(H380=0,"",IF(R380&lt;=0.000000001,MIN(0.8*0.75*'KT THAN'!$C$62,MAX('KT THAN'!$W$38:$W$58)),IFERROR(MIN(0.8*0.75*'KT THAN'!$C$62,INDEX('KT THAN'!$W$38:$W$58,MATCH(R380,'KT THAN'!$Y$38:$Y$58,-1))+(INDEX('KT THAN'!$W$38:$W$58,MIN(21,MATCH(R380,'KT THAN'!$Y$38:$Y$58,-1)+1))-INDEX('KT THAN'!$W$38:$W$58,MATCH(R380,'KT THAN'!$Y$38:$Y$58,-1)))*(R380-INDEX('KT THAN'!$Y$38:$Y$58,MATCH(R380,'KT THAN'!$Y$38:$Y$58,-1)))/(INDEX('KT THAN'!$Y$38:$Y$58,MIN(21,MATCH(R380,'KT THAN'!$Y$38:$Y$58,-1)+1))-INDEX('KT THAN'!$Y$38:$Y$58,MATCH(R380,'KT THAN'!$Y$38:$Y$58,-1)))),MIN(0.8*0.75*'KT THAN'!$C$62,'KT THAN'!$D$68/R380)))))</f>
        <v/>
      </c>
      <c r="O380" s="38" t="str">
        <f>IF($A380="","",IF(H380&lt;0,ABS(H380)/MAX('KT THAN'!$C$69,0.001)+'KT THAN'!$C$32*ABS(J380)/MAX('KT THAN'!$C$68,0.001)+'KT THAN'!$D$32*ABS(I380)/MAX('KT THAN'!$D$68,0.001),IF(OR(M380&lt;=0,N380&lt;=0),999,IF(H380&gt;=0.1*0.75*fc_*Agth*1000,H380/MAX(0.001,1/(1/M380+1/N380-1/(0.75*'KT THAN'!$C$62))),'KT THAN'!$C$32*ABS(J380)/MAX('KT THAN'!$C$68,0.001)+'KT THAN'!$D$32*ABS(I380)/MAX('KT THAN'!$D$68,0.001)))))</f>
        <v/>
      </c>
      <c r="P380" s="37" t="str">
        <f t="shared" si="60"/>
        <v/>
      </c>
      <c r="Q380" s="38" t="str">
        <f>IF($A380="","",MAX(0.001,'KT THAN'!$C$32*ABS(J380)/MAX(1,H380)))</f>
        <v/>
      </c>
      <c r="R380" s="38" t="str">
        <f>IF($A380="","",MAX(0.001,'KT THAN'!$D$32*ABS(I380)/MAX(1,H380)))</f>
        <v/>
      </c>
      <c r="S380" t="str">
        <f t="shared" si="54"/>
        <v/>
      </c>
    </row>
    <row r="381" spans="1:19" hidden="1" outlineLevel="1" x14ac:dyDescent="0.3">
      <c r="A381" s="37" t="str">
        <f>IF('TO HOP NLAN'!$A247="","",'TO HOP NLAN'!$A247)</f>
        <v/>
      </c>
      <c r="B381" s="38" t="str">
        <f>IF($A381="","",'TO HOP NLAN'!$D247)</f>
        <v/>
      </c>
      <c r="C381" s="38" t="str">
        <f>IF($A381="","",'TO HOP NLAN'!$E247)</f>
        <v/>
      </c>
      <c r="D381" s="38" t="str">
        <f>IF($A381="","",'TO HOP NLAN'!$F247)</f>
        <v/>
      </c>
      <c r="E381" s="38" t="str">
        <f>IF($A381="","",'TO HOP NLAN'!$B247)</f>
        <v/>
      </c>
      <c r="F381" s="38" t="str">
        <f>IF($A381="","",'TO HOP NLAN'!$C247)</f>
        <v/>
      </c>
      <c r="G381" s="38" t="str">
        <f t="shared" si="55"/>
        <v/>
      </c>
      <c r="H381" s="38" t="str">
        <f t="shared" si="53"/>
        <v/>
      </c>
      <c r="I381" s="38" t="str">
        <f t="shared" si="56"/>
        <v/>
      </c>
      <c r="J381" s="38" t="str">
        <f t="shared" si="57"/>
        <v/>
      </c>
      <c r="K381" s="38" t="str">
        <f t="shared" si="58"/>
        <v/>
      </c>
      <c r="L381" s="38" t="str">
        <f t="shared" si="59"/>
        <v/>
      </c>
      <c r="M381" s="38" t="str">
        <f>IF($A381="","",IF(H381=0,"",IF(Q381&lt;=0.000000001,MIN(0.8*0.75*'KT THAN'!$C$62,MAX('KT THAN'!$J$38:$J$58)),IFERROR(MIN(0.8*0.75*'KT THAN'!$C$62,INDEX('KT THAN'!$J$38:$J$58,MATCH(Q381,'KT THAN'!$L$38:$L$58,-1))+(INDEX('KT THAN'!$J$38:$J$58,MIN(21,MATCH(Q381,'KT THAN'!$L$38:$L$58,-1)+1))-INDEX('KT THAN'!$J$38:$J$58,MATCH(Q381,'KT THAN'!$L$38:$L$58,-1)))*(Q381-INDEX('KT THAN'!$L$38:$L$58,MATCH(Q381,'KT THAN'!$L$38:$L$58,-1)))/(INDEX('KT THAN'!$L$38:$L$58,MIN(21,MATCH(Q381,'KT THAN'!$L$38:$L$58,-1)+1))-INDEX('KT THAN'!$L$38:$L$58,MATCH(Q381,'KT THAN'!$L$38:$L$58,-1)))),MIN(0.8*0.75*'KT THAN'!$C$62,'KT THAN'!$C$68/Q381)))))</f>
        <v/>
      </c>
      <c r="N381" s="38" t="str">
        <f>IF($A381="","",IF(H381=0,"",IF(R381&lt;=0.000000001,MIN(0.8*0.75*'KT THAN'!$C$62,MAX('KT THAN'!$W$38:$W$58)),IFERROR(MIN(0.8*0.75*'KT THAN'!$C$62,INDEX('KT THAN'!$W$38:$W$58,MATCH(R381,'KT THAN'!$Y$38:$Y$58,-1))+(INDEX('KT THAN'!$W$38:$W$58,MIN(21,MATCH(R381,'KT THAN'!$Y$38:$Y$58,-1)+1))-INDEX('KT THAN'!$W$38:$W$58,MATCH(R381,'KT THAN'!$Y$38:$Y$58,-1)))*(R381-INDEX('KT THAN'!$Y$38:$Y$58,MATCH(R381,'KT THAN'!$Y$38:$Y$58,-1)))/(INDEX('KT THAN'!$Y$38:$Y$58,MIN(21,MATCH(R381,'KT THAN'!$Y$38:$Y$58,-1)+1))-INDEX('KT THAN'!$Y$38:$Y$58,MATCH(R381,'KT THAN'!$Y$38:$Y$58,-1)))),MIN(0.8*0.75*'KT THAN'!$C$62,'KT THAN'!$D$68/R381)))))</f>
        <v/>
      </c>
      <c r="O381" s="38" t="str">
        <f>IF($A381="","",IF(H381&lt;0,ABS(H381)/MAX('KT THAN'!$C$69,0.001)+'KT THAN'!$C$32*ABS(J381)/MAX('KT THAN'!$C$68,0.001)+'KT THAN'!$D$32*ABS(I381)/MAX('KT THAN'!$D$68,0.001),IF(OR(M381&lt;=0,N381&lt;=0),999,IF(H381&gt;=0.1*0.75*fc_*Agth*1000,H381/MAX(0.001,1/(1/M381+1/N381-1/(0.75*'KT THAN'!$C$62))),'KT THAN'!$C$32*ABS(J381)/MAX('KT THAN'!$C$68,0.001)+'KT THAN'!$D$32*ABS(I381)/MAX('KT THAN'!$D$68,0.001)))))</f>
        <v/>
      </c>
      <c r="P381" s="37" t="str">
        <f t="shared" si="60"/>
        <v/>
      </c>
      <c r="Q381" s="38" t="str">
        <f>IF($A381="","",MAX(0.001,'KT THAN'!$C$32*ABS(J381)/MAX(1,H381)))</f>
        <v/>
      </c>
      <c r="R381" s="38" t="str">
        <f>IF($A381="","",MAX(0.001,'KT THAN'!$D$32*ABS(I381)/MAX(1,H381)))</f>
        <v/>
      </c>
      <c r="S381" t="str">
        <f t="shared" si="54"/>
        <v/>
      </c>
    </row>
    <row r="382" spans="1:19" hidden="1" outlineLevel="1" x14ac:dyDescent="0.3">
      <c r="A382" s="37" t="str">
        <f>IF('TO HOP NLAN'!$A248="","",'TO HOP NLAN'!$A248)</f>
        <v/>
      </c>
      <c r="B382" s="38" t="str">
        <f>IF($A382="","",'TO HOP NLAN'!$D248)</f>
        <v/>
      </c>
      <c r="C382" s="38" t="str">
        <f>IF($A382="","",'TO HOP NLAN'!$E248)</f>
        <v/>
      </c>
      <c r="D382" s="38" t="str">
        <f>IF($A382="","",'TO HOP NLAN'!$F248)</f>
        <v/>
      </c>
      <c r="E382" s="38" t="str">
        <f>IF($A382="","",'TO HOP NLAN'!$B248)</f>
        <v/>
      </c>
      <c r="F382" s="38" t="str">
        <f>IF($A382="","",'TO HOP NLAN'!$C248)</f>
        <v/>
      </c>
      <c r="G382" s="38" t="str">
        <f t="shared" si="55"/>
        <v/>
      </c>
      <c r="H382" s="38" t="str">
        <f t="shared" si="53"/>
        <v/>
      </c>
      <c r="I382" s="38" t="str">
        <f t="shared" si="56"/>
        <v/>
      </c>
      <c r="J382" s="38" t="str">
        <f t="shared" si="57"/>
        <v/>
      </c>
      <c r="K382" s="38" t="str">
        <f t="shared" si="58"/>
        <v/>
      </c>
      <c r="L382" s="38" t="str">
        <f t="shared" si="59"/>
        <v/>
      </c>
      <c r="M382" s="38" t="str">
        <f>IF($A382="","",IF(H382=0,"",IF(Q382&lt;=0.000000001,MIN(0.8*0.75*'KT THAN'!$C$62,MAX('KT THAN'!$J$38:$J$58)),IFERROR(MIN(0.8*0.75*'KT THAN'!$C$62,INDEX('KT THAN'!$J$38:$J$58,MATCH(Q382,'KT THAN'!$L$38:$L$58,-1))+(INDEX('KT THAN'!$J$38:$J$58,MIN(21,MATCH(Q382,'KT THAN'!$L$38:$L$58,-1)+1))-INDEX('KT THAN'!$J$38:$J$58,MATCH(Q382,'KT THAN'!$L$38:$L$58,-1)))*(Q382-INDEX('KT THAN'!$L$38:$L$58,MATCH(Q382,'KT THAN'!$L$38:$L$58,-1)))/(INDEX('KT THAN'!$L$38:$L$58,MIN(21,MATCH(Q382,'KT THAN'!$L$38:$L$58,-1)+1))-INDEX('KT THAN'!$L$38:$L$58,MATCH(Q382,'KT THAN'!$L$38:$L$58,-1)))),MIN(0.8*0.75*'KT THAN'!$C$62,'KT THAN'!$C$68/Q382)))))</f>
        <v/>
      </c>
      <c r="N382" s="38" t="str">
        <f>IF($A382="","",IF(H382=0,"",IF(R382&lt;=0.000000001,MIN(0.8*0.75*'KT THAN'!$C$62,MAX('KT THAN'!$W$38:$W$58)),IFERROR(MIN(0.8*0.75*'KT THAN'!$C$62,INDEX('KT THAN'!$W$38:$W$58,MATCH(R382,'KT THAN'!$Y$38:$Y$58,-1))+(INDEX('KT THAN'!$W$38:$W$58,MIN(21,MATCH(R382,'KT THAN'!$Y$38:$Y$58,-1)+1))-INDEX('KT THAN'!$W$38:$W$58,MATCH(R382,'KT THAN'!$Y$38:$Y$58,-1)))*(R382-INDEX('KT THAN'!$Y$38:$Y$58,MATCH(R382,'KT THAN'!$Y$38:$Y$58,-1)))/(INDEX('KT THAN'!$Y$38:$Y$58,MIN(21,MATCH(R382,'KT THAN'!$Y$38:$Y$58,-1)+1))-INDEX('KT THAN'!$Y$38:$Y$58,MATCH(R382,'KT THAN'!$Y$38:$Y$58,-1)))),MIN(0.8*0.75*'KT THAN'!$C$62,'KT THAN'!$D$68/R382)))))</f>
        <v/>
      </c>
      <c r="O382" s="38" t="str">
        <f>IF($A382="","",IF(H382&lt;0,ABS(H382)/MAX('KT THAN'!$C$69,0.001)+'KT THAN'!$C$32*ABS(J382)/MAX('KT THAN'!$C$68,0.001)+'KT THAN'!$D$32*ABS(I382)/MAX('KT THAN'!$D$68,0.001),IF(OR(M382&lt;=0,N382&lt;=0),999,IF(H382&gt;=0.1*0.75*fc_*Agth*1000,H382/MAX(0.001,1/(1/M382+1/N382-1/(0.75*'KT THAN'!$C$62))),'KT THAN'!$C$32*ABS(J382)/MAX('KT THAN'!$C$68,0.001)+'KT THAN'!$D$32*ABS(I382)/MAX('KT THAN'!$D$68,0.001)))))</f>
        <v/>
      </c>
      <c r="P382" s="37" t="str">
        <f t="shared" si="60"/>
        <v/>
      </c>
      <c r="Q382" s="38" t="str">
        <f>IF($A382="","",MAX(0.001,'KT THAN'!$C$32*ABS(J382)/MAX(1,H382)))</f>
        <v/>
      </c>
      <c r="R382" s="38" t="str">
        <f>IF($A382="","",MAX(0.001,'KT THAN'!$D$32*ABS(I382)/MAX(1,H382)))</f>
        <v/>
      </c>
      <c r="S382" t="str">
        <f t="shared" si="54"/>
        <v/>
      </c>
    </row>
    <row r="383" spans="1:19" hidden="1" outlineLevel="1" x14ac:dyDescent="0.3">
      <c r="A383" s="37" t="str">
        <f>IF('TO HOP NLAN'!$A249="","",'TO HOP NLAN'!$A249)</f>
        <v/>
      </c>
      <c r="B383" s="38" t="str">
        <f>IF($A383="","",'TO HOP NLAN'!$D249)</f>
        <v/>
      </c>
      <c r="C383" s="38" t="str">
        <f>IF($A383="","",'TO HOP NLAN'!$E249)</f>
        <v/>
      </c>
      <c r="D383" s="38" t="str">
        <f>IF($A383="","",'TO HOP NLAN'!$F249)</f>
        <v/>
      </c>
      <c r="E383" s="38" t="str">
        <f>IF($A383="","",'TO HOP NLAN'!$B249)</f>
        <v/>
      </c>
      <c r="F383" s="38" t="str">
        <f>IF($A383="","",'TO HOP NLAN'!$C249)</f>
        <v/>
      </c>
      <c r="G383" s="38" t="str">
        <f t="shared" si="55"/>
        <v/>
      </c>
      <c r="H383" s="38" t="str">
        <f t="shared" si="53"/>
        <v/>
      </c>
      <c r="I383" s="38" t="str">
        <f t="shared" si="56"/>
        <v/>
      </c>
      <c r="J383" s="38" t="str">
        <f t="shared" si="57"/>
        <v/>
      </c>
      <c r="K383" s="38" t="str">
        <f t="shared" si="58"/>
        <v/>
      </c>
      <c r="L383" s="38" t="str">
        <f t="shared" si="59"/>
        <v/>
      </c>
      <c r="M383" s="38" t="str">
        <f>IF($A383="","",IF(H383=0,"",IF(Q383&lt;=0.000000001,MIN(0.8*0.75*'KT THAN'!$C$62,MAX('KT THAN'!$J$38:$J$58)),IFERROR(MIN(0.8*0.75*'KT THAN'!$C$62,INDEX('KT THAN'!$J$38:$J$58,MATCH(Q383,'KT THAN'!$L$38:$L$58,-1))+(INDEX('KT THAN'!$J$38:$J$58,MIN(21,MATCH(Q383,'KT THAN'!$L$38:$L$58,-1)+1))-INDEX('KT THAN'!$J$38:$J$58,MATCH(Q383,'KT THAN'!$L$38:$L$58,-1)))*(Q383-INDEX('KT THAN'!$L$38:$L$58,MATCH(Q383,'KT THAN'!$L$38:$L$58,-1)))/(INDEX('KT THAN'!$L$38:$L$58,MIN(21,MATCH(Q383,'KT THAN'!$L$38:$L$58,-1)+1))-INDEX('KT THAN'!$L$38:$L$58,MATCH(Q383,'KT THAN'!$L$38:$L$58,-1)))),MIN(0.8*0.75*'KT THAN'!$C$62,'KT THAN'!$C$68/Q383)))))</f>
        <v/>
      </c>
      <c r="N383" s="38" t="str">
        <f>IF($A383="","",IF(H383=0,"",IF(R383&lt;=0.000000001,MIN(0.8*0.75*'KT THAN'!$C$62,MAX('KT THAN'!$W$38:$W$58)),IFERROR(MIN(0.8*0.75*'KT THAN'!$C$62,INDEX('KT THAN'!$W$38:$W$58,MATCH(R383,'KT THAN'!$Y$38:$Y$58,-1))+(INDEX('KT THAN'!$W$38:$W$58,MIN(21,MATCH(R383,'KT THAN'!$Y$38:$Y$58,-1)+1))-INDEX('KT THAN'!$W$38:$W$58,MATCH(R383,'KT THAN'!$Y$38:$Y$58,-1)))*(R383-INDEX('KT THAN'!$Y$38:$Y$58,MATCH(R383,'KT THAN'!$Y$38:$Y$58,-1)))/(INDEX('KT THAN'!$Y$38:$Y$58,MIN(21,MATCH(R383,'KT THAN'!$Y$38:$Y$58,-1)+1))-INDEX('KT THAN'!$Y$38:$Y$58,MATCH(R383,'KT THAN'!$Y$38:$Y$58,-1)))),MIN(0.8*0.75*'KT THAN'!$C$62,'KT THAN'!$D$68/R383)))))</f>
        <v/>
      </c>
      <c r="O383" s="38" t="str">
        <f>IF($A383="","",IF(H383&lt;0,ABS(H383)/MAX('KT THAN'!$C$69,0.001)+'KT THAN'!$C$32*ABS(J383)/MAX('KT THAN'!$C$68,0.001)+'KT THAN'!$D$32*ABS(I383)/MAX('KT THAN'!$D$68,0.001),IF(OR(M383&lt;=0,N383&lt;=0),999,IF(H383&gt;=0.1*0.75*fc_*Agth*1000,H383/MAX(0.001,1/(1/M383+1/N383-1/(0.75*'KT THAN'!$C$62))),'KT THAN'!$C$32*ABS(J383)/MAX('KT THAN'!$C$68,0.001)+'KT THAN'!$D$32*ABS(I383)/MAX('KT THAN'!$D$68,0.001)))))</f>
        <v/>
      </c>
      <c r="P383" s="37" t="str">
        <f t="shared" si="60"/>
        <v/>
      </c>
      <c r="Q383" s="38" t="str">
        <f>IF($A383="","",MAX(0.001,'KT THAN'!$C$32*ABS(J383)/MAX(1,H383)))</f>
        <v/>
      </c>
      <c r="R383" s="38" t="str">
        <f>IF($A383="","",MAX(0.001,'KT THAN'!$D$32*ABS(I383)/MAX(1,H383)))</f>
        <v/>
      </c>
      <c r="S383" t="str">
        <f t="shared" si="54"/>
        <v/>
      </c>
    </row>
    <row r="384" spans="1:19" hidden="1" outlineLevel="1" x14ac:dyDescent="0.3">
      <c r="A384" s="37" t="str">
        <f>IF('TO HOP NLAN'!$A250="","",'TO HOP NLAN'!$A250)</f>
        <v/>
      </c>
      <c r="B384" s="38" t="str">
        <f>IF($A384="","",'TO HOP NLAN'!$D250)</f>
        <v/>
      </c>
      <c r="C384" s="38" t="str">
        <f>IF($A384="","",'TO HOP NLAN'!$E250)</f>
        <v/>
      </c>
      <c r="D384" s="38" t="str">
        <f>IF($A384="","",'TO HOP NLAN'!$F250)</f>
        <v/>
      </c>
      <c r="E384" s="38" t="str">
        <f>IF($A384="","",'TO HOP NLAN'!$B250)</f>
        <v/>
      </c>
      <c r="F384" s="38" t="str">
        <f>IF($A384="","",'TO HOP NLAN'!$C250)</f>
        <v/>
      </c>
      <c r="G384" s="38" t="str">
        <f t="shared" si="55"/>
        <v/>
      </c>
      <c r="H384" s="38" t="str">
        <f t="shared" si="53"/>
        <v/>
      </c>
      <c r="I384" s="38" t="str">
        <f t="shared" si="56"/>
        <v/>
      </c>
      <c r="J384" s="38" t="str">
        <f t="shared" si="57"/>
        <v/>
      </c>
      <c r="K384" s="38" t="str">
        <f t="shared" si="58"/>
        <v/>
      </c>
      <c r="L384" s="38" t="str">
        <f t="shared" si="59"/>
        <v/>
      </c>
      <c r="M384" s="38" t="str">
        <f>IF($A384="","",IF(H384=0,"",IF(Q384&lt;=0.000000001,MIN(0.8*0.75*'KT THAN'!$C$62,MAX('KT THAN'!$J$38:$J$58)),IFERROR(MIN(0.8*0.75*'KT THAN'!$C$62,INDEX('KT THAN'!$J$38:$J$58,MATCH(Q384,'KT THAN'!$L$38:$L$58,-1))+(INDEX('KT THAN'!$J$38:$J$58,MIN(21,MATCH(Q384,'KT THAN'!$L$38:$L$58,-1)+1))-INDEX('KT THAN'!$J$38:$J$58,MATCH(Q384,'KT THAN'!$L$38:$L$58,-1)))*(Q384-INDEX('KT THAN'!$L$38:$L$58,MATCH(Q384,'KT THAN'!$L$38:$L$58,-1)))/(INDEX('KT THAN'!$L$38:$L$58,MIN(21,MATCH(Q384,'KT THAN'!$L$38:$L$58,-1)+1))-INDEX('KT THAN'!$L$38:$L$58,MATCH(Q384,'KT THAN'!$L$38:$L$58,-1)))),MIN(0.8*0.75*'KT THAN'!$C$62,'KT THAN'!$C$68/Q384)))))</f>
        <v/>
      </c>
      <c r="N384" s="38" t="str">
        <f>IF($A384="","",IF(H384=0,"",IF(R384&lt;=0.000000001,MIN(0.8*0.75*'KT THAN'!$C$62,MAX('KT THAN'!$W$38:$W$58)),IFERROR(MIN(0.8*0.75*'KT THAN'!$C$62,INDEX('KT THAN'!$W$38:$W$58,MATCH(R384,'KT THAN'!$Y$38:$Y$58,-1))+(INDEX('KT THAN'!$W$38:$W$58,MIN(21,MATCH(R384,'KT THAN'!$Y$38:$Y$58,-1)+1))-INDEX('KT THAN'!$W$38:$W$58,MATCH(R384,'KT THAN'!$Y$38:$Y$58,-1)))*(R384-INDEX('KT THAN'!$Y$38:$Y$58,MATCH(R384,'KT THAN'!$Y$38:$Y$58,-1)))/(INDEX('KT THAN'!$Y$38:$Y$58,MIN(21,MATCH(R384,'KT THAN'!$Y$38:$Y$58,-1)+1))-INDEX('KT THAN'!$Y$38:$Y$58,MATCH(R384,'KT THAN'!$Y$38:$Y$58,-1)))),MIN(0.8*0.75*'KT THAN'!$C$62,'KT THAN'!$D$68/R384)))))</f>
        <v/>
      </c>
      <c r="O384" s="38" t="str">
        <f>IF($A384="","",IF(H384&lt;0,ABS(H384)/MAX('KT THAN'!$C$69,0.001)+'KT THAN'!$C$32*ABS(J384)/MAX('KT THAN'!$C$68,0.001)+'KT THAN'!$D$32*ABS(I384)/MAX('KT THAN'!$D$68,0.001),IF(OR(M384&lt;=0,N384&lt;=0),999,IF(H384&gt;=0.1*0.75*fc_*Agth*1000,H384/MAX(0.001,1/(1/M384+1/N384-1/(0.75*'KT THAN'!$C$62))),'KT THAN'!$C$32*ABS(J384)/MAX('KT THAN'!$C$68,0.001)+'KT THAN'!$D$32*ABS(I384)/MAX('KT THAN'!$D$68,0.001)))))</f>
        <v/>
      </c>
      <c r="P384" s="37" t="str">
        <f t="shared" si="60"/>
        <v/>
      </c>
      <c r="Q384" s="38" t="str">
        <f>IF($A384="","",MAX(0.001,'KT THAN'!$C$32*ABS(J384)/MAX(1,H384)))</f>
        <v/>
      </c>
      <c r="R384" s="38" t="str">
        <f>IF($A384="","",MAX(0.001,'KT THAN'!$D$32*ABS(I384)/MAX(1,H384)))</f>
        <v/>
      </c>
      <c r="S384" t="str">
        <f t="shared" si="54"/>
        <v/>
      </c>
    </row>
    <row r="385" spans="1:19" hidden="1" outlineLevel="1" x14ac:dyDescent="0.3">
      <c r="A385" s="37" t="str">
        <f>IF('TO HOP NLAN'!$A251="","",'TO HOP NLAN'!$A251)</f>
        <v/>
      </c>
      <c r="B385" s="38" t="str">
        <f>IF($A385="","",'TO HOP NLAN'!$D251)</f>
        <v/>
      </c>
      <c r="C385" s="38" t="str">
        <f>IF($A385="","",'TO HOP NLAN'!$E251)</f>
        <v/>
      </c>
      <c r="D385" s="38" t="str">
        <f>IF($A385="","",'TO HOP NLAN'!$F251)</f>
        <v/>
      </c>
      <c r="E385" s="38" t="str">
        <f>IF($A385="","",'TO HOP NLAN'!$B251)</f>
        <v/>
      </c>
      <c r="F385" s="38" t="str">
        <f>IF($A385="","",'TO HOP NLAN'!$C251)</f>
        <v/>
      </c>
      <c r="G385" s="38" t="str">
        <f t="shared" si="55"/>
        <v/>
      </c>
      <c r="H385" s="38" t="str">
        <f t="shared" si="53"/>
        <v/>
      </c>
      <c r="I385" s="38" t="str">
        <f t="shared" si="56"/>
        <v/>
      </c>
      <c r="J385" s="38" t="str">
        <f t="shared" si="57"/>
        <v/>
      </c>
      <c r="K385" s="38" t="str">
        <f t="shared" si="58"/>
        <v/>
      </c>
      <c r="L385" s="38" t="str">
        <f t="shared" si="59"/>
        <v/>
      </c>
      <c r="M385" s="38" t="str">
        <f>IF($A385="","",IF(H385=0,"",IF(Q385&lt;=0.000000001,MIN(0.8*0.75*'KT THAN'!$C$62,MAX('KT THAN'!$J$38:$J$58)),IFERROR(MIN(0.8*0.75*'KT THAN'!$C$62,INDEX('KT THAN'!$J$38:$J$58,MATCH(Q385,'KT THAN'!$L$38:$L$58,-1))+(INDEX('KT THAN'!$J$38:$J$58,MIN(21,MATCH(Q385,'KT THAN'!$L$38:$L$58,-1)+1))-INDEX('KT THAN'!$J$38:$J$58,MATCH(Q385,'KT THAN'!$L$38:$L$58,-1)))*(Q385-INDEX('KT THAN'!$L$38:$L$58,MATCH(Q385,'KT THAN'!$L$38:$L$58,-1)))/(INDEX('KT THAN'!$L$38:$L$58,MIN(21,MATCH(Q385,'KT THAN'!$L$38:$L$58,-1)+1))-INDEX('KT THAN'!$L$38:$L$58,MATCH(Q385,'KT THAN'!$L$38:$L$58,-1)))),MIN(0.8*0.75*'KT THAN'!$C$62,'KT THAN'!$C$68/Q385)))))</f>
        <v/>
      </c>
      <c r="N385" s="38" t="str">
        <f>IF($A385="","",IF(H385=0,"",IF(R385&lt;=0.000000001,MIN(0.8*0.75*'KT THAN'!$C$62,MAX('KT THAN'!$W$38:$W$58)),IFERROR(MIN(0.8*0.75*'KT THAN'!$C$62,INDEX('KT THAN'!$W$38:$W$58,MATCH(R385,'KT THAN'!$Y$38:$Y$58,-1))+(INDEX('KT THAN'!$W$38:$W$58,MIN(21,MATCH(R385,'KT THAN'!$Y$38:$Y$58,-1)+1))-INDEX('KT THAN'!$W$38:$W$58,MATCH(R385,'KT THAN'!$Y$38:$Y$58,-1)))*(R385-INDEX('KT THAN'!$Y$38:$Y$58,MATCH(R385,'KT THAN'!$Y$38:$Y$58,-1)))/(INDEX('KT THAN'!$Y$38:$Y$58,MIN(21,MATCH(R385,'KT THAN'!$Y$38:$Y$58,-1)+1))-INDEX('KT THAN'!$Y$38:$Y$58,MATCH(R385,'KT THAN'!$Y$38:$Y$58,-1)))),MIN(0.8*0.75*'KT THAN'!$C$62,'KT THAN'!$D$68/R385)))))</f>
        <v/>
      </c>
      <c r="O385" s="38" t="str">
        <f>IF($A385="","",IF(H385&lt;0,ABS(H385)/MAX('KT THAN'!$C$69,0.001)+'KT THAN'!$C$32*ABS(J385)/MAX('KT THAN'!$C$68,0.001)+'KT THAN'!$D$32*ABS(I385)/MAX('KT THAN'!$D$68,0.001),IF(OR(M385&lt;=0,N385&lt;=0),999,IF(H385&gt;=0.1*0.75*fc_*Agth*1000,H385/MAX(0.001,1/(1/M385+1/N385-1/(0.75*'KT THAN'!$C$62))),'KT THAN'!$C$32*ABS(J385)/MAX('KT THAN'!$C$68,0.001)+'KT THAN'!$D$32*ABS(I385)/MAX('KT THAN'!$D$68,0.001)))))</f>
        <v/>
      </c>
      <c r="P385" s="37" t="str">
        <f t="shared" si="60"/>
        <v/>
      </c>
      <c r="Q385" s="38" t="str">
        <f>IF($A385="","",MAX(0.001,'KT THAN'!$C$32*ABS(J385)/MAX(1,H385)))</f>
        <v/>
      </c>
      <c r="R385" s="38" t="str">
        <f>IF($A385="","",MAX(0.001,'KT THAN'!$D$32*ABS(I385)/MAX(1,H385)))</f>
        <v/>
      </c>
      <c r="S385" t="str">
        <f t="shared" si="54"/>
        <v/>
      </c>
    </row>
    <row r="386" spans="1:19" hidden="1" outlineLevel="1" x14ac:dyDescent="0.3">
      <c r="A386" s="37" t="str">
        <f>IF('TO HOP NLAN'!$A252="","",'TO HOP NLAN'!$A252)</f>
        <v/>
      </c>
      <c r="B386" s="38" t="str">
        <f>IF($A386="","",'TO HOP NLAN'!$D252)</f>
        <v/>
      </c>
      <c r="C386" s="38" t="str">
        <f>IF($A386="","",'TO HOP NLAN'!$E252)</f>
        <v/>
      </c>
      <c r="D386" s="38" t="str">
        <f>IF($A386="","",'TO HOP NLAN'!$F252)</f>
        <v/>
      </c>
      <c r="E386" s="38" t="str">
        <f>IF($A386="","",'TO HOP NLAN'!$B252)</f>
        <v/>
      </c>
      <c r="F386" s="38" t="str">
        <f>IF($A386="","",'TO HOP NLAN'!$C252)</f>
        <v/>
      </c>
      <c r="G386" s="38" t="str">
        <f t="shared" si="55"/>
        <v/>
      </c>
      <c r="H386" s="38" t="str">
        <f t="shared" si="53"/>
        <v/>
      </c>
      <c r="I386" s="38" t="str">
        <f t="shared" si="56"/>
        <v/>
      </c>
      <c r="J386" s="38" t="str">
        <f t="shared" si="57"/>
        <v/>
      </c>
      <c r="K386" s="38" t="str">
        <f t="shared" si="58"/>
        <v/>
      </c>
      <c r="L386" s="38" t="str">
        <f t="shared" si="59"/>
        <v/>
      </c>
      <c r="M386" s="38" t="str">
        <f>IF($A386="","",IF(H386=0,"",IF(Q386&lt;=0.000000001,MIN(0.8*0.75*'KT THAN'!$C$62,MAX('KT THAN'!$J$38:$J$58)),IFERROR(MIN(0.8*0.75*'KT THAN'!$C$62,INDEX('KT THAN'!$J$38:$J$58,MATCH(Q386,'KT THAN'!$L$38:$L$58,-1))+(INDEX('KT THAN'!$J$38:$J$58,MIN(21,MATCH(Q386,'KT THAN'!$L$38:$L$58,-1)+1))-INDEX('KT THAN'!$J$38:$J$58,MATCH(Q386,'KT THAN'!$L$38:$L$58,-1)))*(Q386-INDEX('KT THAN'!$L$38:$L$58,MATCH(Q386,'KT THAN'!$L$38:$L$58,-1)))/(INDEX('KT THAN'!$L$38:$L$58,MIN(21,MATCH(Q386,'KT THAN'!$L$38:$L$58,-1)+1))-INDEX('KT THAN'!$L$38:$L$58,MATCH(Q386,'KT THAN'!$L$38:$L$58,-1)))),MIN(0.8*0.75*'KT THAN'!$C$62,'KT THAN'!$C$68/Q386)))))</f>
        <v/>
      </c>
      <c r="N386" s="38" t="str">
        <f>IF($A386="","",IF(H386=0,"",IF(R386&lt;=0.000000001,MIN(0.8*0.75*'KT THAN'!$C$62,MAX('KT THAN'!$W$38:$W$58)),IFERROR(MIN(0.8*0.75*'KT THAN'!$C$62,INDEX('KT THAN'!$W$38:$W$58,MATCH(R386,'KT THAN'!$Y$38:$Y$58,-1))+(INDEX('KT THAN'!$W$38:$W$58,MIN(21,MATCH(R386,'KT THAN'!$Y$38:$Y$58,-1)+1))-INDEX('KT THAN'!$W$38:$W$58,MATCH(R386,'KT THAN'!$Y$38:$Y$58,-1)))*(R386-INDEX('KT THAN'!$Y$38:$Y$58,MATCH(R386,'KT THAN'!$Y$38:$Y$58,-1)))/(INDEX('KT THAN'!$Y$38:$Y$58,MIN(21,MATCH(R386,'KT THAN'!$Y$38:$Y$58,-1)+1))-INDEX('KT THAN'!$Y$38:$Y$58,MATCH(R386,'KT THAN'!$Y$38:$Y$58,-1)))),MIN(0.8*0.75*'KT THAN'!$C$62,'KT THAN'!$D$68/R386)))))</f>
        <v/>
      </c>
      <c r="O386" s="38" t="str">
        <f>IF($A386="","",IF(H386&lt;0,ABS(H386)/MAX('KT THAN'!$C$69,0.001)+'KT THAN'!$C$32*ABS(J386)/MAX('KT THAN'!$C$68,0.001)+'KT THAN'!$D$32*ABS(I386)/MAX('KT THAN'!$D$68,0.001),IF(OR(M386&lt;=0,N386&lt;=0),999,IF(H386&gt;=0.1*0.75*fc_*Agth*1000,H386/MAX(0.001,1/(1/M386+1/N386-1/(0.75*'KT THAN'!$C$62))),'KT THAN'!$C$32*ABS(J386)/MAX('KT THAN'!$C$68,0.001)+'KT THAN'!$D$32*ABS(I386)/MAX('KT THAN'!$D$68,0.001)))))</f>
        <v/>
      </c>
      <c r="P386" s="37" t="str">
        <f t="shared" si="60"/>
        <v/>
      </c>
      <c r="Q386" s="38" t="str">
        <f>IF($A386="","",MAX(0.001,'KT THAN'!$C$32*ABS(J386)/MAX(1,H386)))</f>
        <v/>
      </c>
      <c r="R386" s="38" t="str">
        <f>IF($A386="","",MAX(0.001,'KT THAN'!$D$32*ABS(I386)/MAX(1,H386)))</f>
        <v/>
      </c>
      <c r="S386" t="str">
        <f t="shared" si="54"/>
        <v/>
      </c>
    </row>
    <row r="387" spans="1:19" hidden="1" outlineLevel="1" x14ac:dyDescent="0.3">
      <c r="A387" s="37" t="str">
        <f>IF('TO HOP NLAN'!$A253="","",'TO HOP NLAN'!$A253)</f>
        <v/>
      </c>
      <c r="B387" s="38" t="str">
        <f>IF($A387="","",'TO HOP NLAN'!$D253)</f>
        <v/>
      </c>
      <c r="C387" s="38" t="str">
        <f>IF($A387="","",'TO HOP NLAN'!$E253)</f>
        <v/>
      </c>
      <c r="D387" s="38" t="str">
        <f>IF($A387="","",'TO HOP NLAN'!$F253)</f>
        <v/>
      </c>
      <c r="E387" s="38" t="str">
        <f>IF($A387="","",'TO HOP NLAN'!$B253)</f>
        <v/>
      </c>
      <c r="F387" s="38" t="str">
        <f>IF($A387="","",'TO HOP NLAN'!$C253)</f>
        <v/>
      </c>
      <c r="G387" s="38" t="str">
        <f t="shared" si="55"/>
        <v/>
      </c>
      <c r="H387" s="38" t="str">
        <f t="shared" si="53"/>
        <v/>
      </c>
      <c r="I387" s="38" t="str">
        <f t="shared" si="56"/>
        <v/>
      </c>
      <c r="J387" s="38" t="str">
        <f t="shared" si="57"/>
        <v/>
      </c>
      <c r="K387" s="38" t="str">
        <f t="shared" si="58"/>
        <v/>
      </c>
      <c r="L387" s="38" t="str">
        <f t="shared" si="59"/>
        <v/>
      </c>
      <c r="M387" s="38" t="str">
        <f>IF($A387="","",IF(H387=0,"",IF(Q387&lt;=0.000000001,MIN(0.8*0.75*'KT THAN'!$C$62,MAX('KT THAN'!$J$38:$J$58)),IFERROR(MIN(0.8*0.75*'KT THAN'!$C$62,INDEX('KT THAN'!$J$38:$J$58,MATCH(Q387,'KT THAN'!$L$38:$L$58,-1))+(INDEX('KT THAN'!$J$38:$J$58,MIN(21,MATCH(Q387,'KT THAN'!$L$38:$L$58,-1)+1))-INDEX('KT THAN'!$J$38:$J$58,MATCH(Q387,'KT THAN'!$L$38:$L$58,-1)))*(Q387-INDEX('KT THAN'!$L$38:$L$58,MATCH(Q387,'KT THAN'!$L$38:$L$58,-1)))/(INDEX('KT THAN'!$L$38:$L$58,MIN(21,MATCH(Q387,'KT THAN'!$L$38:$L$58,-1)+1))-INDEX('KT THAN'!$L$38:$L$58,MATCH(Q387,'KT THAN'!$L$38:$L$58,-1)))),MIN(0.8*0.75*'KT THAN'!$C$62,'KT THAN'!$C$68/Q387)))))</f>
        <v/>
      </c>
      <c r="N387" s="38" t="str">
        <f>IF($A387="","",IF(H387=0,"",IF(R387&lt;=0.000000001,MIN(0.8*0.75*'KT THAN'!$C$62,MAX('KT THAN'!$W$38:$W$58)),IFERROR(MIN(0.8*0.75*'KT THAN'!$C$62,INDEX('KT THAN'!$W$38:$W$58,MATCH(R387,'KT THAN'!$Y$38:$Y$58,-1))+(INDEX('KT THAN'!$W$38:$W$58,MIN(21,MATCH(R387,'KT THAN'!$Y$38:$Y$58,-1)+1))-INDEX('KT THAN'!$W$38:$W$58,MATCH(R387,'KT THAN'!$Y$38:$Y$58,-1)))*(R387-INDEX('KT THAN'!$Y$38:$Y$58,MATCH(R387,'KT THAN'!$Y$38:$Y$58,-1)))/(INDEX('KT THAN'!$Y$38:$Y$58,MIN(21,MATCH(R387,'KT THAN'!$Y$38:$Y$58,-1)+1))-INDEX('KT THAN'!$Y$38:$Y$58,MATCH(R387,'KT THAN'!$Y$38:$Y$58,-1)))),MIN(0.8*0.75*'KT THAN'!$C$62,'KT THAN'!$D$68/R387)))))</f>
        <v/>
      </c>
      <c r="O387" s="38" t="str">
        <f>IF($A387="","",IF(H387&lt;0,ABS(H387)/MAX('KT THAN'!$C$69,0.001)+'KT THAN'!$C$32*ABS(J387)/MAX('KT THAN'!$C$68,0.001)+'KT THAN'!$D$32*ABS(I387)/MAX('KT THAN'!$D$68,0.001),IF(OR(M387&lt;=0,N387&lt;=0),999,IF(H387&gt;=0.1*0.75*fc_*Agth*1000,H387/MAX(0.001,1/(1/M387+1/N387-1/(0.75*'KT THAN'!$C$62))),'KT THAN'!$C$32*ABS(J387)/MAX('KT THAN'!$C$68,0.001)+'KT THAN'!$D$32*ABS(I387)/MAX('KT THAN'!$D$68,0.001)))))</f>
        <v/>
      </c>
      <c r="P387" s="37" t="str">
        <f t="shared" si="60"/>
        <v/>
      </c>
      <c r="Q387" s="38" t="str">
        <f>IF($A387="","",MAX(0.001,'KT THAN'!$C$32*ABS(J387)/MAX(1,H387)))</f>
        <v/>
      </c>
      <c r="R387" s="38" t="str">
        <f>IF($A387="","",MAX(0.001,'KT THAN'!$D$32*ABS(I387)/MAX(1,H387)))</f>
        <v/>
      </c>
      <c r="S387" t="str">
        <f t="shared" si="54"/>
        <v/>
      </c>
    </row>
    <row r="388" spans="1:19" hidden="1" outlineLevel="1" x14ac:dyDescent="0.3">
      <c r="A388" s="37" t="str">
        <f>IF('TO HOP NLAN'!$A254="","",'TO HOP NLAN'!$A254)</f>
        <v/>
      </c>
      <c r="B388" s="38" t="str">
        <f>IF($A388="","",'TO HOP NLAN'!$D254)</f>
        <v/>
      </c>
      <c r="C388" s="38" t="str">
        <f>IF($A388="","",'TO HOP NLAN'!$E254)</f>
        <v/>
      </c>
      <c r="D388" s="38" t="str">
        <f>IF($A388="","",'TO HOP NLAN'!$F254)</f>
        <v/>
      </c>
      <c r="E388" s="38" t="str">
        <f>IF($A388="","",'TO HOP NLAN'!$B254)</f>
        <v/>
      </c>
      <c r="F388" s="38" t="str">
        <f>IF($A388="","",'TO HOP NLAN'!$C254)</f>
        <v/>
      </c>
      <c r="G388" s="38" t="str">
        <f t="shared" si="55"/>
        <v/>
      </c>
      <c r="H388" s="38" t="str">
        <f t="shared" si="53"/>
        <v/>
      </c>
      <c r="I388" s="38" t="str">
        <f t="shared" si="56"/>
        <v/>
      </c>
      <c r="J388" s="38" t="str">
        <f t="shared" si="57"/>
        <v/>
      </c>
      <c r="K388" s="38" t="str">
        <f t="shared" si="58"/>
        <v/>
      </c>
      <c r="L388" s="38" t="str">
        <f t="shared" si="59"/>
        <v/>
      </c>
      <c r="M388" s="38" t="str">
        <f>IF($A388="","",IF(H388=0,"",IF(Q388&lt;=0.000000001,MIN(0.8*0.75*'KT THAN'!$C$62,MAX('KT THAN'!$J$38:$J$58)),IFERROR(MIN(0.8*0.75*'KT THAN'!$C$62,INDEX('KT THAN'!$J$38:$J$58,MATCH(Q388,'KT THAN'!$L$38:$L$58,-1))+(INDEX('KT THAN'!$J$38:$J$58,MIN(21,MATCH(Q388,'KT THAN'!$L$38:$L$58,-1)+1))-INDEX('KT THAN'!$J$38:$J$58,MATCH(Q388,'KT THAN'!$L$38:$L$58,-1)))*(Q388-INDEX('KT THAN'!$L$38:$L$58,MATCH(Q388,'KT THAN'!$L$38:$L$58,-1)))/(INDEX('KT THAN'!$L$38:$L$58,MIN(21,MATCH(Q388,'KT THAN'!$L$38:$L$58,-1)+1))-INDEX('KT THAN'!$L$38:$L$58,MATCH(Q388,'KT THAN'!$L$38:$L$58,-1)))),MIN(0.8*0.75*'KT THAN'!$C$62,'KT THAN'!$C$68/Q388)))))</f>
        <v/>
      </c>
      <c r="N388" s="38" t="str">
        <f>IF($A388="","",IF(H388=0,"",IF(R388&lt;=0.000000001,MIN(0.8*0.75*'KT THAN'!$C$62,MAX('KT THAN'!$W$38:$W$58)),IFERROR(MIN(0.8*0.75*'KT THAN'!$C$62,INDEX('KT THAN'!$W$38:$W$58,MATCH(R388,'KT THAN'!$Y$38:$Y$58,-1))+(INDEX('KT THAN'!$W$38:$W$58,MIN(21,MATCH(R388,'KT THAN'!$Y$38:$Y$58,-1)+1))-INDEX('KT THAN'!$W$38:$W$58,MATCH(R388,'KT THAN'!$Y$38:$Y$58,-1)))*(R388-INDEX('KT THAN'!$Y$38:$Y$58,MATCH(R388,'KT THAN'!$Y$38:$Y$58,-1)))/(INDEX('KT THAN'!$Y$38:$Y$58,MIN(21,MATCH(R388,'KT THAN'!$Y$38:$Y$58,-1)+1))-INDEX('KT THAN'!$Y$38:$Y$58,MATCH(R388,'KT THAN'!$Y$38:$Y$58,-1)))),MIN(0.8*0.75*'KT THAN'!$C$62,'KT THAN'!$D$68/R388)))))</f>
        <v/>
      </c>
      <c r="O388" s="38" t="str">
        <f>IF($A388="","",IF(H388&lt;0,ABS(H388)/MAX('KT THAN'!$C$69,0.001)+'KT THAN'!$C$32*ABS(J388)/MAX('KT THAN'!$C$68,0.001)+'KT THAN'!$D$32*ABS(I388)/MAX('KT THAN'!$D$68,0.001),IF(OR(M388&lt;=0,N388&lt;=0),999,IF(H388&gt;=0.1*0.75*fc_*Agth*1000,H388/MAX(0.001,1/(1/M388+1/N388-1/(0.75*'KT THAN'!$C$62))),'KT THAN'!$C$32*ABS(J388)/MAX('KT THAN'!$C$68,0.001)+'KT THAN'!$D$32*ABS(I388)/MAX('KT THAN'!$D$68,0.001)))))</f>
        <v/>
      </c>
      <c r="P388" s="37" t="str">
        <f t="shared" si="60"/>
        <v/>
      </c>
      <c r="Q388" s="38" t="str">
        <f>IF($A388="","",MAX(0.001,'KT THAN'!$C$32*ABS(J388)/MAX(1,H388)))</f>
        <v/>
      </c>
      <c r="R388" s="38" t="str">
        <f>IF($A388="","",MAX(0.001,'KT THAN'!$D$32*ABS(I388)/MAX(1,H388)))</f>
        <v/>
      </c>
      <c r="S388" t="str">
        <f t="shared" si="54"/>
        <v/>
      </c>
    </row>
    <row r="389" spans="1:19" hidden="1" outlineLevel="1" x14ac:dyDescent="0.3">
      <c r="A389" s="37" t="str">
        <f>IF('TO HOP NLAN'!$A255="","",'TO HOP NLAN'!$A255)</f>
        <v/>
      </c>
      <c r="B389" s="38" t="str">
        <f>IF($A389="","",'TO HOP NLAN'!$D255)</f>
        <v/>
      </c>
      <c r="C389" s="38" t="str">
        <f>IF($A389="","",'TO HOP NLAN'!$E255)</f>
        <v/>
      </c>
      <c r="D389" s="38" t="str">
        <f>IF($A389="","",'TO HOP NLAN'!$F255)</f>
        <v/>
      </c>
      <c r="E389" s="38" t="str">
        <f>IF($A389="","",'TO HOP NLAN'!$B255)</f>
        <v/>
      </c>
      <c r="F389" s="38" t="str">
        <f>IF($A389="","",'TO HOP NLAN'!$C255)</f>
        <v/>
      </c>
      <c r="G389" s="38" t="str">
        <f t="shared" si="55"/>
        <v/>
      </c>
      <c r="H389" s="38" t="str">
        <f t="shared" si="53"/>
        <v/>
      </c>
      <c r="I389" s="38" t="str">
        <f t="shared" si="56"/>
        <v/>
      </c>
      <c r="J389" s="38" t="str">
        <f t="shared" si="57"/>
        <v/>
      </c>
      <c r="K389" s="38" t="str">
        <f t="shared" si="58"/>
        <v/>
      </c>
      <c r="L389" s="38" t="str">
        <f t="shared" si="59"/>
        <v/>
      </c>
      <c r="M389" s="38" t="str">
        <f>IF($A389="","",IF(H389=0,"",IF(Q389&lt;=0.000000001,MIN(0.8*0.75*'KT THAN'!$C$62,MAX('KT THAN'!$J$38:$J$58)),IFERROR(MIN(0.8*0.75*'KT THAN'!$C$62,INDEX('KT THAN'!$J$38:$J$58,MATCH(Q389,'KT THAN'!$L$38:$L$58,-1))+(INDEX('KT THAN'!$J$38:$J$58,MIN(21,MATCH(Q389,'KT THAN'!$L$38:$L$58,-1)+1))-INDEX('KT THAN'!$J$38:$J$58,MATCH(Q389,'KT THAN'!$L$38:$L$58,-1)))*(Q389-INDEX('KT THAN'!$L$38:$L$58,MATCH(Q389,'KT THAN'!$L$38:$L$58,-1)))/(INDEX('KT THAN'!$L$38:$L$58,MIN(21,MATCH(Q389,'KT THAN'!$L$38:$L$58,-1)+1))-INDEX('KT THAN'!$L$38:$L$58,MATCH(Q389,'KT THAN'!$L$38:$L$58,-1)))),MIN(0.8*0.75*'KT THAN'!$C$62,'KT THAN'!$C$68/Q389)))))</f>
        <v/>
      </c>
      <c r="N389" s="38" t="str">
        <f>IF($A389="","",IF(H389=0,"",IF(R389&lt;=0.000000001,MIN(0.8*0.75*'KT THAN'!$C$62,MAX('KT THAN'!$W$38:$W$58)),IFERROR(MIN(0.8*0.75*'KT THAN'!$C$62,INDEX('KT THAN'!$W$38:$W$58,MATCH(R389,'KT THAN'!$Y$38:$Y$58,-1))+(INDEX('KT THAN'!$W$38:$W$58,MIN(21,MATCH(R389,'KT THAN'!$Y$38:$Y$58,-1)+1))-INDEX('KT THAN'!$W$38:$W$58,MATCH(R389,'KT THAN'!$Y$38:$Y$58,-1)))*(R389-INDEX('KT THAN'!$Y$38:$Y$58,MATCH(R389,'KT THAN'!$Y$38:$Y$58,-1)))/(INDEX('KT THAN'!$Y$38:$Y$58,MIN(21,MATCH(R389,'KT THAN'!$Y$38:$Y$58,-1)+1))-INDEX('KT THAN'!$Y$38:$Y$58,MATCH(R389,'KT THAN'!$Y$38:$Y$58,-1)))),MIN(0.8*0.75*'KT THAN'!$C$62,'KT THAN'!$D$68/R389)))))</f>
        <v/>
      </c>
      <c r="O389" s="38" t="str">
        <f>IF($A389="","",IF(H389&lt;0,ABS(H389)/MAX('KT THAN'!$C$69,0.001)+'KT THAN'!$C$32*ABS(J389)/MAX('KT THAN'!$C$68,0.001)+'KT THAN'!$D$32*ABS(I389)/MAX('KT THAN'!$D$68,0.001),IF(OR(M389&lt;=0,N389&lt;=0),999,IF(H389&gt;=0.1*0.75*fc_*Agth*1000,H389/MAX(0.001,1/(1/M389+1/N389-1/(0.75*'KT THAN'!$C$62))),'KT THAN'!$C$32*ABS(J389)/MAX('KT THAN'!$C$68,0.001)+'KT THAN'!$D$32*ABS(I389)/MAX('KT THAN'!$D$68,0.001)))))</f>
        <v/>
      </c>
      <c r="P389" s="37" t="str">
        <f t="shared" si="60"/>
        <v/>
      </c>
      <c r="Q389" s="38" t="str">
        <f>IF($A389="","",MAX(0.001,'KT THAN'!$C$32*ABS(J389)/MAX(1,H389)))</f>
        <v/>
      </c>
      <c r="R389" s="38" t="str">
        <f>IF($A389="","",MAX(0.001,'KT THAN'!$D$32*ABS(I389)/MAX(1,H389)))</f>
        <v/>
      </c>
      <c r="S389" t="str">
        <f t="shared" si="54"/>
        <v/>
      </c>
    </row>
    <row r="390" spans="1:19" hidden="1" outlineLevel="1" x14ac:dyDescent="0.3">
      <c r="A390" s="37" t="str">
        <f>IF('TO HOP NLAN'!$A256="","",'TO HOP NLAN'!$A256)</f>
        <v/>
      </c>
      <c r="B390" s="38" t="str">
        <f>IF($A390="","",'TO HOP NLAN'!$D256)</f>
        <v/>
      </c>
      <c r="C390" s="38" t="str">
        <f>IF($A390="","",'TO HOP NLAN'!$E256)</f>
        <v/>
      </c>
      <c r="D390" s="38" t="str">
        <f>IF($A390="","",'TO HOP NLAN'!$F256)</f>
        <v/>
      </c>
      <c r="E390" s="38" t="str">
        <f>IF($A390="","",'TO HOP NLAN'!$B256)</f>
        <v/>
      </c>
      <c r="F390" s="38" t="str">
        <f>IF($A390="","",'TO HOP NLAN'!$C256)</f>
        <v/>
      </c>
      <c r="G390" s="38" t="str">
        <f t="shared" si="55"/>
        <v/>
      </c>
      <c r="H390" s="38" t="str">
        <f t="shared" si="53"/>
        <v/>
      </c>
      <c r="I390" s="38" t="str">
        <f t="shared" si="56"/>
        <v/>
      </c>
      <c r="J390" s="38" t="str">
        <f t="shared" si="57"/>
        <v/>
      </c>
      <c r="K390" s="38" t="str">
        <f t="shared" si="58"/>
        <v/>
      </c>
      <c r="L390" s="38" t="str">
        <f t="shared" si="59"/>
        <v/>
      </c>
      <c r="M390" s="38" t="str">
        <f>IF($A390="","",IF(H390=0,"",IF(Q390&lt;=0.000000001,MIN(0.8*0.75*'KT THAN'!$C$62,MAX('KT THAN'!$J$38:$J$58)),IFERROR(MIN(0.8*0.75*'KT THAN'!$C$62,INDEX('KT THAN'!$J$38:$J$58,MATCH(Q390,'KT THAN'!$L$38:$L$58,-1))+(INDEX('KT THAN'!$J$38:$J$58,MIN(21,MATCH(Q390,'KT THAN'!$L$38:$L$58,-1)+1))-INDEX('KT THAN'!$J$38:$J$58,MATCH(Q390,'KT THAN'!$L$38:$L$58,-1)))*(Q390-INDEX('KT THAN'!$L$38:$L$58,MATCH(Q390,'KT THAN'!$L$38:$L$58,-1)))/(INDEX('KT THAN'!$L$38:$L$58,MIN(21,MATCH(Q390,'KT THAN'!$L$38:$L$58,-1)+1))-INDEX('KT THAN'!$L$38:$L$58,MATCH(Q390,'KT THAN'!$L$38:$L$58,-1)))),MIN(0.8*0.75*'KT THAN'!$C$62,'KT THAN'!$C$68/Q390)))))</f>
        <v/>
      </c>
      <c r="N390" s="38" t="str">
        <f>IF($A390="","",IF(H390=0,"",IF(R390&lt;=0.000000001,MIN(0.8*0.75*'KT THAN'!$C$62,MAX('KT THAN'!$W$38:$W$58)),IFERROR(MIN(0.8*0.75*'KT THAN'!$C$62,INDEX('KT THAN'!$W$38:$W$58,MATCH(R390,'KT THAN'!$Y$38:$Y$58,-1))+(INDEX('KT THAN'!$W$38:$W$58,MIN(21,MATCH(R390,'KT THAN'!$Y$38:$Y$58,-1)+1))-INDEX('KT THAN'!$W$38:$W$58,MATCH(R390,'KT THAN'!$Y$38:$Y$58,-1)))*(R390-INDEX('KT THAN'!$Y$38:$Y$58,MATCH(R390,'KT THAN'!$Y$38:$Y$58,-1)))/(INDEX('KT THAN'!$Y$38:$Y$58,MIN(21,MATCH(R390,'KT THAN'!$Y$38:$Y$58,-1)+1))-INDEX('KT THAN'!$Y$38:$Y$58,MATCH(R390,'KT THAN'!$Y$38:$Y$58,-1)))),MIN(0.8*0.75*'KT THAN'!$C$62,'KT THAN'!$D$68/R390)))))</f>
        <v/>
      </c>
      <c r="O390" s="38" t="str">
        <f>IF($A390="","",IF(H390&lt;0,ABS(H390)/MAX('KT THAN'!$C$69,0.001)+'KT THAN'!$C$32*ABS(J390)/MAX('KT THAN'!$C$68,0.001)+'KT THAN'!$D$32*ABS(I390)/MAX('KT THAN'!$D$68,0.001),IF(OR(M390&lt;=0,N390&lt;=0),999,IF(H390&gt;=0.1*0.75*fc_*Agth*1000,H390/MAX(0.001,1/(1/M390+1/N390-1/(0.75*'KT THAN'!$C$62))),'KT THAN'!$C$32*ABS(J390)/MAX('KT THAN'!$C$68,0.001)+'KT THAN'!$D$32*ABS(I390)/MAX('KT THAN'!$D$68,0.001)))))</f>
        <v/>
      </c>
      <c r="P390" s="37" t="str">
        <f t="shared" si="60"/>
        <v/>
      </c>
      <c r="Q390" s="38" t="str">
        <f>IF($A390="","",MAX(0.001,'KT THAN'!$C$32*ABS(J390)/MAX(1,H390)))</f>
        <v/>
      </c>
      <c r="R390" s="38" t="str">
        <f>IF($A390="","",MAX(0.001,'KT THAN'!$D$32*ABS(I390)/MAX(1,H390)))</f>
        <v/>
      </c>
      <c r="S390" t="str">
        <f t="shared" si="54"/>
        <v/>
      </c>
    </row>
    <row r="391" spans="1:19" hidden="1" outlineLevel="1" x14ac:dyDescent="0.3">
      <c r="A391" s="37" t="str">
        <f>IF('TO HOP NLAN'!$A257="","",'TO HOP NLAN'!$A257)</f>
        <v/>
      </c>
      <c r="B391" s="38" t="str">
        <f>IF($A391="","",'TO HOP NLAN'!$D257)</f>
        <v/>
      </c>
      <c r="C391" s="38" t="str">
        <f>IF($A391="","",'TO HOP NLAN'!$E257)</f>
        <v/>
      </c>
      <c r="D391" s="38" t="str">
        <f>IF($A391="","",'TO HOP NLAN'!$F257)</f>
        <v/>
      </c>
      <c r="E391" s="38" t="str">
        <f>IF($A391="","",'TO HOP NLAN'!$B257)</f>
        <v/>
      </c>
      <c r="F391" s="38" t="str">
        <f>IF($A391="","",'TO HOP NLAN'!$C257)</f>
        <v/>
      </c>
      <c r="G391" s="38" t="str">
        <f t="shared" si="55"/>
        <v/>
      </c>
      <c r="H391" s="38" t="str">
        <f t="shared" si="53"/>
        <v/>
      </c>
      <c r="I391" s="38" t="str">
        <f t="shared" si="56"/>
        <v/>
      </c>
      <c r="J391" s="38" t="str">
        <f t="shared" si="57"/>
        <v/>
      </c>
      <c r="K391" s="38" t="str">
        <f t="shared" si="58"/>
        <v/>
      </c>
      <c r="L391" s="38" t="str">
        <f t="shared" si="59"/>
        <v/>
      </c>
      <c r="M391" s="38" t="str">
        <f>IF($A391="","",IF(H391=0,"",IF(Q391&lt;=0.000000001,MIN(0.8*0.75*'KT THAN'!$C$62,MAX('KT THAN'!$J$38:$J$58)),IFERROR(MIN(0.8*0.75*'KT THAN'!$C$62,INDEX('KT THAN'!$J$38:$J$58,MATCH(Q391,'KT THAN'!$L$38:$L$58,-1))+(INDEX('KT THAN'!$J$38:$J$58,MIN(21,MATCH(Q391,'KT THAN'!$L$38:$L$58,-1)+1))-INDEX('KT THAN'!$J$38:$J$58,MATCH(Q391,'KT THAN'!$L$38:$L$58,-1)))*(Q391-INDEX('KT THAN'!$L$38:$L$58,MATCH(Q391,'KT THAN'!$L$38:$L$58,-1)))/(INDEX('KT THAN'!$L$38:$L$58,MIN(21,MATCH(Q391,'KT THAN'!$L$38:$L$58,-1)+1))-INDEX('KT THAN'!$L$38:$L$58,MATCH(Q391,'KT THAN'!$L$38:$L$58,-1)))),MIN(0.8*0.75*'KT THAN'!$C$62,'KT THAN'!$C$68/Q391)))))</f>
        <v/>
      </c>
      <c r="N391" s="38" t="str">
        <f>IF($A391="","",IF(H391=0,"",IF(R391&lt;=0.000000001,MIN(0.8*0.75*'KT THAN'!$C$62,MAX('KT THAN'!$W$38:$W$58)),IFERROR(MIN(0.8*0.75*'KT THAN'!$C$62,INDEX('KT THAN'!$W$38:$W$58,MATCH(R391,'KT THAN'!$Y$38:$Y$58,-1))+(INDEX('KT THAN'!$W$38:$W$58,MIN(21,MATCH(R391,'KT THAN'!$Y$38:$Y$58,-1)+1))-INDEX('KT THAN'!$W$38:$W$58,MATCH(R391,'KT THAN'!$Y$38:$Y$58,-1)))*(R391-INDEX('KT THAN'!$Y$38:$Y$58,MATCH(R391,'KT THAN'!$Y$38:$Y$58,-1)))/(INDEX('KT THAN'!$Y$38:$Y$58,MIN(21,MATCH(R391,'KT THAN'!$Y$38:$Y$58,-1)+1))-INDEX('KT THAN'!$Y$38:$Y$58,MATCH(R391,'KT THAN'!$Y$38:$Y$58,-1)))),MIN(0.8*0.75*'KT THAN'!$C$62,'KT THAN'!$D$68/R391)))))</f>
        <v/>
      </c>
      <c r="O391" s="38" t="str">
        <f>IF($A391="","",IF(H391&lt;0,ABS(H391)/MAX('KT THAN'!$C$69,0.001)+'KT THAN'!$C$32*ABS(J391)/MAX('KT THAN'!$C$68,0.001)+'KT THAN'!$D$32*ABS(I391)/MAX('KT THAN'!$D$68,0.001),IF(OR(M391&lt;=0,N391&lt;=0),999,IF(H391&gt;=0.1*0.75*fc_*Agth*1000,H391/MAX(0.001,1/(1/M391+1/N391-1/(0.75*'KT THAN'!$C$62))),'KT THAN'!$C$32*ABS(J391)/MAX('KT THAN'!$C$68,0.001)+'KT THAN'!$D$32*ABS(I391)/MAX('KT THAN'!$D$68,0.001)))))</f>
        <v/>
      </c>
      <c r="P391" s="37" t="str">
        <f t="shared" si="60"/>
        <v/>
      </c>
      <c r="Q391" s="38" t="str">
        <f>IF($A391="","",MAX(0.001,'KT THAN'!$C$32*ABS(J391)/MAX(1,H391)))</f>
        <v/>
      </c>
      <c r="R391" s="38" t="str">
        <f>IF($A391="","",MAX(0.001,'KT THAN'!$D$32*ABS(I391)/MAX(1,H391)))</f>
        <v/>
      </c>
      <c r="S391" t="str">
        <f t="shared" si="54"/>
        <v/>
      </c>
    </row>
    <row r="392" spans="1:19" hidden="1" outlineLevel="1" x14ac:dyDescent="0.3">
      <c r="A392" s="37" t="str">
        <f>IF('TO HOP NLAN'!$A258="","",'TO HOP NLAN'!$A258)</f>
        <v/>
      </c>
      <c r="B392" s="38" t="str">
        <f>IF($A392="","",'TO HOP NLAN'!$D258)</f>
        <v/>
      </c>
      <c r="C392" s="38" t="str">
        <f>IF($A392="","",'TO HOP NLAN'!$E258)</f>
        <v/>
      </c>
      <c r="D392" s="38" t="str">
        <f>IF($A392="","",'TO HOP NLAN'!$F258)</f>
        <v/>
      </c>
      <c r="E392" s="38" t="str">
        <f>IF($A392="","",'TO HOP NLAN'!$B258)</f>
        <v/>
      </c>
      <c r="F392" s="38" t="str">
        <f>IF($A392="","",'TO HOP NLAN'!$C258)</f>
        <v/>
      </c>
      <c r="G392" s="38" t="str">
        <f t="shared" si="55"/>
        <v/>
      </c>
      <c r="H392" s="38" t="str">
        <f t="shared" si="53"/>
        <v/>
      </c>
      <c r="I392" s="38" t="str">
        <f t="shared" si="56"/>
        <v/>
      </c>
      <c r="J392" s="38" t="str">
        <f t="shared" si="57"/>
        <v/>
      </c>
      <c r="K392" s="38" t="str">
        <f t="shared" si="58"/>
        <v/>
      </c>
      <c r="L392" s="38" t="str">
        <f t="shared" si="59"/>
        <v/>
      </c>
      <c r="M392" s="38" t="str">
        <f>IF($A392="","",IF(H392=0,"",IF(Q392&lt;=0.000000001,MIN(0.8*0.75*'KT THAN'!$C$62,MAX('KT THAN'!$J$38:$J$58)),IFERROR(MIN(0.8*0.75*'KT THAN'!$C$62,INDEX('KT THAN'!$J$38:$J$58,MATCH(Q392,'KT THAN'!$L$38:$L$58,-1))+(INDEX('KT THAN'!$J$38:$J$58,MIN(21,MATCH(Q392,'KT THAN'!$L$38:$L$58,-1)+1))-INDEX('KT THAN'!$J$38:$J$58,MATCH(Q392,'KT THAN'!$L$38:$L$58,-1)))*(Q392-INDEX('KT THAN'!$L$38:$L$58,MATCH(Q392,'KT THAN'!$L$38:$L$58,-1)))/(INDEX('KT THAN'!$L$38:$L$58,MIN(21,MATCH(Q392,'KT THAN'!$L$38:$L$58,-1)+1))-INDEX('KT THAN'!$L$38:$L$58,MATCH(Q392,'KT THAN'!$L$38:$L$58,-1)))),MIN(0.8*0.75*'KT THAN'!$C$62,'KT THAN'!$C$68/Q392)))))</f>
        <v/>
      </c>
      <c r="N392" s="38" t="str">
        <f>IF($A392="","",IF(H392=0,"",IF(R392&lt;=0.000000001,MIN(0.8*0.75*'KT THAN'!$C$62,MAX('KT THAN'!$W$38:$W$58)),IFERROR(MIN(0.8*0.75*'KT THAN'!$C$62,INDEX('KT THAN'!$W$38:$W$58,MATCH(R392,'KT THAN'!$Y$38:$Y$58,-1))+(INDEX('KT THAN'!$W$38:$W$58,MIN(21,MATCH(R392,'KT THAN'!$Y$38:$Y$58,-1)+1))-INDEX('KT THAN'!$W$38:$W$58,MATCH(R392,'KT THAN'!$Y$38:$Y$58,-1)))*(R392-INDEX('KT THAN'!$Y$38:$Y$58,MATCH(R392,'KT THAN'!$Y$38:$Y$58,-1)))/(INDEX('KT THAN'!$Y$38:$Y$58,MIN(21,MATCH(R392,'KT THAN'!$Y$38:$Y$58,-1)+1))-INDEX('KT THAN'!$Y$38:$Y$58,MATCH(R392,'KT THAN'!$Y$38:$Y$58,-1)))),MIN(0.8*0.75*'KT THAN'!$C$62,'KT THAN'!$D$68/R392)))))</f>
        <v/>
      </c>
      <c r="O392" s="38" t="str">
        <f>IF($A392="","",IF(H392&lt;0,ABS(H392)/MAX('KT THAN'!$C$69,0.001)+'KT THAN'!$C$32*ABS(J392)/MAX('KT THAN'!$C$68,0.001)+'KT THAN'!$D$32*ABS(I392)/MAX('KT THAN'!$D$68,0.001),IF(OR(M392&lt;=0,N392&lt;=0),999,IF(H392&gt;=0.1*0.75*fc_*Agth*1000,H392/MAX(0.001,1/(1/M392+1/N392-1/(0.75*'KT THAN'!$C$62))),'KT THAN'!$C$32*ABS(J392)/MAX('KT THAN'!$C$68,0.001)+'KT THAN'!$D$32*ABS(I392)/MAX('KT THAN'!$D$68,0.001)))))</f>
        <v/>
      </c>
      <c r="P392" s="37" t="str">
        <f t="shared" si="60"/>
        <v/>
      </c>
      <c r="Q392" s="38" t="str">
        <f>IF($A392="","",MAX(0.001,'KT THAN'!$C$32*ABS(J392)/MAX(1,H392)))</f>
        <v/>
      </c>
      <c r="R392" s="38" t="str">
        <f>IF($A392="","",MAX(0.001,'KT THAN'!$D$32*ABS(I392)/MAX(1,H392)))</f>
        <v/>
      </c>
      <c r="S392" t="str">
        <f t="shared" si="54"/>
        <v/>
      </c>
    </row>
    <row r="393" spans="1:19" hidden="1" outlineLevel="1" x14ac:dyDescent="0.3">
      <c r="A393" s="37" t="str">
        <f>IF('TO HOP NLAN'!$A259="","",'TO HOP NLAN'!$A259)</f>
        <v/>
      </c>
      <c r="B393" s="38" t="str">
        <f>IF($A393="","",'TO HOP NLAN'!$D259)</f>
        <v/>
      </c>
      <c r="C393" s="38" t="str">
        <f>IF($A393="","",'TO HOP NLAN'!$E259)</f>
        <v/>
      </c>
      <c r="D393" s="38" t="str">
        <f>IF($A393="","",'TO HOP NLAN'!$F259)</f>
        <v/>
      </c>
      <c r="E393" s="38" t="str">
        <f>IF($A393="","",'TO HOP NLAN'!$B259)</f>
        <v/>
      </c>
      <c r="F393" s="38" t="str">
        <f>IF($A393="","",'TO HOP NLAN'!$C259)</f>
        <v/>
      </c>
      <c r="G393" s="38" t="str">
        <f t="shared" si="55"/>
        <v/>
      </c>
      <c r="H393" s="38" t="str">
        <f t="shared" si="53"/>
        <v/>
      </c>
      <c r="I393" s="38" t="str">
        <f t="shared" si="56"/>
        <v/>
      </c>
      <c r="J393" s="38" t="str">
        <f t="shared" si="57"/>
        <v/>
      </c>
      <c r="K393" s="38" t="str">
        <f t="shared" si="58"/>
        <v/>
      </c>
      <c r="L393" s="38" t="str">
        <f t="shared" si="59"/>
        <v/>
      </c>
      <c r="M393" s="38" t="str">
        <f>IF($A393="","",IF(H393=0,"",IF(Q393&lt;=0.000000001,MIN(0.8*0.75*'KT THAN'!$C$62,MAX('KT THAN'!$J$38:$J$58)),IFERROR(MIN(0.8*0.75*'KT THAN'!$C$62,INDEX('KT THAN'!$J$38:$J$58,MATCH(Q393,'KT THAN'!$L$38:$L$58,-1))+(INDEX('KT THAN'!$J$38:$J$58,MIN(21,MATCH(Q393,'KT THAN'!$L$38:$L$58,-1)+1))-INDEX('KT THAN'!$J$38:$J$58,MATCH(Q393,'KT THAN'!$L$38:$L$58,-1)))*(Q393-INDEX('KT THAN'!$L$38:$L$58,MATCH(Q393,'KT THAN'!$L$38:$L$58,-1)))/(INDEX('KT THAN'!$L$38:$L$58,MIN(21,MATCH(Q393,'KT THAN'!$L$38:$L$58,-1)+1))-INDEX('KT THAN'!$L$38:$L$58,MATCH(Q393,'KT THAN'!$L$38:$L$58,-1)))),MIN(0.8*0.75*'KT THAN'!$C$62,'KT THAN'!$C$68/Q393)))))</f>
        <v/>
      </c>
      <c r="N393" s="38" t="str">
        <f>IF($A393="","",IF(H393=0,"",IF(R393&lt;=0.000000001,MIN(0.8*0.75*'KT THAN'!$C$62,MAX('KT THAN'!$W$38:$W$58)),IFERROR(MIN(0.8*0.75*'KT THAN'!$C$62,INDEX('KT THAN'!$W$38:$W$58,MATCH(R393,'KT THAN'!$Y$38:$Y$58,-1))+(INDEX('KT THAN'!$W$38:$W$58,MIN(21,MATCH(R393,'KT THAN'!$Y$38:$Y$58,-1)+1))-INDEX('KT THAN'!$W$38:$W$58,MATCH(R393,'KT THAN'!$Y$38:$Y$58,-1)))*(R393-INDEX('KT THAN'!$Y$38:$Y$58,MATCH(R393,'KT THAN'!$Y$38:$Y$58,-1)))/(INDEX('KT THAN'!$Y$38:$Y$58,MIN(21,MATCH(R393,'KT THAN'!$Y$38:$Y$58,-1)+1))-INDEX('KT THAN'!$Y$38:$Y$58,MATCH(R393,'KT THAN'!$Y$38:$Y$58,-1)))),MIN(0.8*0.75*'KT THAN'!$C$62,'KT THAN'!$D$68/R393)))))</f>
        <v/>
      </c>
      <c r="O393" s="38" t="str">
        <f>IF($A393="","",IF(H393&lt;0,ABS(H393)/MAX('KT THAN'!$C$69,0.001)+'KT THAN'!$C$32*ABS(J393)/MAX('KT THAN'!$C$68,0.001)+'KT THAN'!$D$32*ABS(I393)/MAX('KT THAN'!$D$68,0.001),IF(OR(M393&lt;=0,N393&lt;=0),999,IF(H393&gt;=0.1*0.75*fc_*Agth*1000,H393/MAX(0.001,1/(1/M393+1/N393-1/(0.75*'KT THAN'!$C$62))),'KT THAN'!$C$32*ABS(J393)/MAX('KT THAN'!$C$68,0.001)+'KT THAN'!$D$32*ABS(I393)/MAX('KT THAN'!$D$68,0.001)))))</f>
        <v/>
      </c>
      <c r="P393" s="37" t="str">
        <f t="shared" si="60"/>
        <v/>
      </c>
      <c r="Q393" s="38" t="str">
        <f>IF($A393="","",MAX(0.001,'KT THAN'!$C$32*ABS(J393)/MAX(1,H393)))</f>
        <v/>
      </c>
      <c r="R393" s="38" t="str">
        <f>IF($A393="","",MAX(0.001,'KT THAN'!$D$32*ABS(I393)/MAX(1,H393)))</f>
        <v/>
      </c>
      <c r="S393" t="str">
        <f t="shared" si="54"/>
        <v/>
      </c>
    </row>
    <row r="394" spans="1:19" hidden="1" outlineLevel="1" x14ac:dyDescent="0.3">
      <c r="A394" s="37" t="str">
        <f>IF('TO HOP NLAN'!$A260="","",'TO HOP NLAN'!$A260)</f>
        <v/>
      </c>
      <c r="B394" s="38" t="str">
        <f>IF($A394="","",'TO HOP NLAN'!$D260)</f>
        <v/>
      </c>
      <c r="C394" s="38" t="str">
        <f>IF($A394="","",'TO HOP NLAN'!$E260)</f>
        <v/>
      </c>
      <c r="D394" s="38" t="str">
        <f>IF($A394="","",'TO HOP NLAN'!$F260)</f>
        <v/>
      </c>
      <c r="E394" s="38" t="str">
        <f>IF($A394="","",'TO HOP NLAN'!$B260)</f>
        <v/>
      </c>
      <c r="F394" s="38" t="str">
        <f>IF($A394="","",'TO HOP NLAN'!$C260)</f>
        <v/>
      </c>
      <c r="G394" s="38" t="str">
        <f t="shared" si="55"/>
        <v/>
      </c>
      <c r="H394" s="38" t="str">
        <f t="shared" si="53"/>
        <v/>
      </c>
      <c r="I394" s="38" t="str">
        <f t="shared" si="56"/>
        <v/>
      </c>
      <c r="J394" s="38" t="str">
        <f t="shared" si="57"/>
        <v/>
      </c>
      <c r="K394" s="38" t="str">
        <f t="shared" si="58"/>
        <v/>
      </c>
      <c r="L394" s="38" t="str">
        <f t="shared" si="59"/>
        <v/>
      </c>
      <c r="M394" s="38" t="str">
        <f>IF($A394="","",IF(H394=0,"",IF(Q394&lt;=0.000000001,MIN(0.8*0.75*'KT THAN'!$C$62,MAX('KT THAN'!$J$38:$J$58)),IFERROR(MIN(0.8*0.75*'KT THAN'!$C$62,INDEX('KT THAN'!$J$38:$J$58,MATCH(Q394,'KT THAN'!$L$38:$L$58,-1))+(INDEX('KT THAN'!$J$38:$J$58,MIN(21,MATCH(Q394,'KT THAN'!$L$38:$L$58,-1)+1))-INDEX('KT THAN'!$J$38:$J$58,MATCH(Q394,'KT THAN'!$L$38:$L$58,-1)))*(Q394-INDEX('KT THAN'!$L$38:$L$58,MATCH(Q394,'KT THAN'!$L$38:$L$58,-1)))/(INDEX('KT THAN'!$L$38:$L$58,MIN(21,MATCH(Q394,'KT THAN'!$L$38:$L$58,-1)+1))-INDEX('KT THAN'!$L$38:$L$58,MATCH(Q394,'KT THAN'!$L$38:$L$58,-1)))),MIN(0.8*0.75*'KT THAN'!$C$62,'KT THAN'!$C$68/Q394)))))</f>
        <v/>
      </c>
      <c r="N394" s="38" t="str">
        <f>IF($A394="","",IF(H394=0,"",IF(R394&lt;=0.000000001,MIN(0.8*0.75*'KT THAN'!$C$62,MAX('KT THAN'!$W$38:$W$58)),IFERROR(MIN(0.8*0.75*'KT THAN'!$C$62,INDEX('KT THAN'!$W$38:$W$58,MATCH(R394,'KT THAN'!$Y$38:$Y$58,-1))+(INDEX('KT THAN'!$W$38:$W$58,MIN(21,MATCH(R394,'KT THAN'!$Y$38:$Y$58,-1)+1))-INDEX('KT THAN'!$W$38:$W$58,MATCH(R394,'KT THAN'!$Y$38:$Y$58,-1)))*(R394-INDEX('KT THAN'!$Y$38:$Y$58,MATCH(R394,'KT THAN'!$Y$38:$Y$58,-1)))/(INDEX('KT THAN'!$Y$38:$Y$58,MIN(21,MATCH(R394,'KT THAN'!$Y$38:$Y$58,-1)+1))-INDEX('KT THAN'!$Y$38:$Y$58,MATCH(R394,'KT THAN'!$Y$38:$Y$58,-1)))),MIN(0.8*0.75*'KT THAN'!$C$62,'KT THAN'!$D$68/R394)))))</f>
        <v/>
      </c>
      <c r="O394" s="38" t="str">
        <f>IF($A394="","",IF(H394&lt;0,ABS(H394)/MAX('KT THAN'!$C$69,0.001)+'KT THAN'!$C$32*ABS(J394)/MAX('KT THAN'!$C$68,0.001)+'KT THAN'!$D$32*ABS(I394)/MAX('KT THAN'!$D$68,0.001),IF(OR(M394&lt;=0,N394&lt;=0),999,IF(H394&gt;=0.1*0.75*fc_*Agth*1000,H394/MAX(0.001,1/(1/M394+1/N394-1/(0.75*'KT THAN'!$C$62))),'KT THAN'!$C$32*ABS(J394)/MAX('KT THAN'!$C$68,0.001)+'KT THAN'!$D$32*ABS(I394)/MAX('KT THAN'!$D$68,0.001)))))</f>
        <v/>
      </c>
      <c r="P394" s="37" t="str">
        <f t="shared" si="60"/>
        <v/>
      </c>
      <c r="Q394" s="38" t="str">
        <f>IF($A394="","",MAX(0.001,'KT THAN'!$C$32*ABS(J394)/MAX(1,H394)))</f>
        <v/>
      </c>
      <c r="R394" s="38" t="str">
        <f>IF($A394="","",MAX(0.001,'KT THAN'!$D$32*ABS(I394)/MAX(1,H394)))</f>
        <v/>
      </c>
      <c r="S394" t="str">
        <f t="shared" si="54"/>
        <v/>
      </c>
    </row>
    <row r="395" spans="1:19" hidden="1" outlineLevel="1" x14ac:dyDescent="0.3">
      <c r="A395" s="37" t="str">
        <f>IF('TO HOP NLAN'!$A261="","",'TO HOP NLAN'!$A261)</f>
        <v/>
      </c>
      <c r="B395" s="38" t="str">
        <f>IF($A395="","",'TO HOP NLAN'!$D261)</f>
        <v/>
      </c>
      <c r="C395" s="38" t="str">
        <f>IF($A395="","",'TO HOP NLAN'!$E261)</f>
        <v/>
      </c>
      <c r="D395" s="38" t="str">
        <f>IF($A395="","",'TO HOP NLAN'!$F261)</f>
        <v/>
      </c>
      <c r="E395" s="38" t="str">
        <f>IF($A395="","",'TO HOP NLAN'!$B261)</f>
        <v/>
      </c>
      <c r="F395" s="38" t="str">
        <f>IF($A395="","",'TO HOP NLAN'!$C261)</f>
        <v/>
      </c>
      <c r="G395" s="38" t="str">
        <f t="shared" si="55"/>
        <v/>
      </c>
      <c r="H395" s="38" t="str">
        <f t="shared" si="53"/>
        <v/>
      </c>
      <c r="I395" s="38" t="str">
        <f t="shared" si="56"/>
        <v/>
      </c>
      <c r="J395" s="38" t="str">
        <f t="shared" si="57"/>
        <v/>
      </c>
      <c r="K395" s="38" t="str">
        <f t="shared" si="58"/>
        <v/>
      </c>
      <c r="L395" s="38" t="str">
        <f t="shared" si="59"/>
        <v/>
      </c>
      <c r="M395" s="38" t="str">
        <f>IF($A395="","",IF(H395=0,"",IF(Q395&lt;=0.000000001,MIN(0.8*0.75*'KT THAN'!$C$62,MAX('KT THAN'!$J$38:$J$58)),IFERROR(MIN(0.8*0.75*'KT THAN'!$C$62,INDEX('KT THAN'!$J$38:$J$58,MATCH(Q395,'KT THAN'!$L$38:$L$58,-1))+(INDEX('KT THAN'!$J$38:$J$58,MIN(21,MATCH(Q395,'KT THAN'!$L$38:$L$58,-1)+1))-INDEX('KT THAN'!$J$38:$J$58,MATCH(Q395,'KT THAN'!$L$38:$L$58,-1)))*(Q395-INDEX('KT THAN'!$L$38:$L$58,MATCH(Q395,'KT THAN'!$L$38:$L$58,-1)))/(INDEX('KT THAN'!$L$38:$L$58,MIN(21,MATCH(Q395,'KT THAN'!$L$38:$L$58,-1)+1))-INDEX('KT THAN'!$L$38:$L$58,MATCH(Q395,'KT THAN'!$L$38:$L$58,-1)))),MIN(0.8*0.75*'KT THAN'!$C$62,'KT THAN'!$C$68/Q395)))))</f>
        <v/>
      </c>
      <c r="N395" s="38" t="str">
        <f>IF($A395="","",IF(H395=0,"",IF(R395&lt;=0.000000001,MIN(0.8*0.75*'KT THAN'!$C$62,MAX('KT THAN'!$W$38:$W$58)),IFERROR(MIN(0.8*0.75*'KT THAN'!$C$62,INDEX('KT THAN'!$W$38:$W$58,MATCH(R395,'KT THAN'!$Y$38:$Y$58,-1))+(INDEX('KT THAN'!$W$38:$W$58,MIN(21,MATCH(R395,'KT THAN'!$Y$38:$Y$58,-1)+1))-INDEX('KT THAN'!$W$38:$W$58,MATCH(R395,'KT THAN'!$Y$38:$Y$58,-1)))*(R395-INDEX('KT THAN'!$Y$38:$Y$58,MATCH(R395,'KT THAN'!$Y$38:$Y$58,-1)))/(INDEX('KT THAN'!$Y$38:$Y$58,MIN(21,MATCH(R395,'KT THAN'!$Y$38:$Y$58,-1)+1))-INDEX('KT THAN'!$Y$38:$Y$58,MATCH(R395,'KT THAN'!$Y$38:$Y$58,-1)))),MIN(0.8*0.75*'KT THAN'!$C$62,'KT THAN'!$D$68/R395)))))</f>
        <v/>
      </c>
      <c r="O395" s="38" t="str">
        <f>IF($A395="","",IF(H395&lt;0,ABS(H395)/MAX('KT THAN'!$C$69,0.001)+'KT THAN'!$C$32*ABS(J395)/MAX('KT THAN'!$C$68,0.001)+'KT THAN'!$D$32*ABS(I395)/MAX('KT THAN'!$D$68,0.001),IF(OR(M395&lt;=0,N395&lt;=0),999,IF(H395&gt;=0.1*0.75*fc_*Agth*1000,H395/MAX(0.001,1/(1/M395+1/N395-1/(0.75*'KT THAN'!$C$62))),'KT THAN'!$C$32*ABS(J395)/MAX('KT THAN'!$C$68,0.001)+'KT THAN'!$D$32*ABS(I395)/MAX('KT THAN'!$D$68,0.001)))))</f>
        <v/>
      </c>
      <c r="P395" s="37" t="str">
        <f t="shared" si="60"/>
        <v/>
      </c>
      <c r="Q395" s="38" t="str">
        <f>IF($A395="","",MAX(0.001,'KT THAN'!$C$32*ABS(J395)/MAX(1,H395)))</f>
        <v/>
      </c>
      <c r="R395" s="38" t="str">
        <f>IF($A395="","",MAX(0.001,'KT THAN'!$D$32*ABS(I395)/MAX(1,H395)))</f>
        <v/>
      </c>
      <c r="S395" t="str">
        <f t="shared" si="54"/>
        <v/>
      </c>
    </row>
    <row r="396" spans="1:19" hidden="1" outlineLevel="1" x14ac:dyDescent="0.3">
      <c r="A396" s="37" t="str">
        <f>IF('TO HOP NLAN'!$A262="","",'TO HOP NLAN'!$A262)</f>
        <v/>
      </c>
      <c r="B396" s="38" t="str">
        <f>IF($A396="","",'TO HOP NLAN'!$D262)</f>
        <v/>
      </c>
      <c r="C396" s="38" t="str">
        <f>IF($A396="","",'TO HOP NLAN'!$E262)</f>
        <v/>
      </c>
      <c r="D396" s="38" t="str">
        <f>IF($A396="","",'TO HOP NLAN'!$F262)</f>
        <v/>
      </c>
      <c r="E396" s="38" t="str">
        <f>IF($A396="","",'TO HOP NLAN'!$B262)</f>
        <v/>
      </c>
      <c r="F396" s="38" t="str">
        <f>IF($A396="","",'TO HOP NLAN'!$C262)</f>
        <v/>
      </c>
      <c r="G396" s="38" t="str">
        <f t="shared" si="55"/>
        <v/>
      </c>
      <c r="H396" s="38" t="str">
        <f t="shared" ref="H396:H445" si="61">IF(A396="","",IF(nThan=1,B396,B396/2+(1)*$B$7*C396/sThan))</f>
        <v/>
      </c>
      <c r="I396" s="38" t="str">
        <f t="shared" si="56"/>
        <v/>
      </c>
      <c r="J396" s="38" t="str">
        <f t="shared" si="57"/>
        <v/>
      </c>
      <c r="K396" s="38" t="str">
        <f t="shared" si="58"/>
        <v/>
      </c>
      <c r="L396" s="38" t="str">
        <f t="shared" si="59"/>
        <v/>
      </c>
      <c r="M396" s="38" t="str">
        <f>IF($A396="","",IF(H396=0,"",IF(Q396&lt;=0.000000001,MIN(0.8*0.75*'KT THAN'!$C$62,MAX('KT THAN'!$J$38:$J$58)),IFERROR(MIN(0.8*0.75*'KT THAN'!$C$62,INDEX('KT THAN'!$J$38:$J$58,MATCH(Q396,'KT THAN'!$L$38:$L$58,-1))+(INDEX('KT THAN'!$J$38:$J$58,MIN(21,MATCH(Q396,'KT THAN'!$L$38:$L$58,-1)+1))-INDEX('KT THAN'!$J$38:$J$58,MATCH(Q396,'KT THAN'!$L$38:$L$58,-1)))*(Q396-INDEX('KT THAN'!$L$38:$L$58,MATCH(Q396,'KT THAN'!$L$38:$L$58,-1)))/(INDEX('KT THAN'!$L$38:$L$58,MIN(21,MATCH(Q396,'KT THAN'!$L$38:$L$58,-1)+1))-INDEX('KT THAN'!$L$38:$L$58,MATCH(Q396,'KT THAN'!$L$38:$L$58,-1)))),MIN(0.8*0.75*'KT THAN'!$C$62,'KT THAN'!$C$68/Q396)))))</f>
        <v/>
      </c>
      <c r="N396" s="38" t="str">
        <f>IF($A396="","",IF(H396=0,"",IF(R396&lt;=0.000000001,MIN(0.8*0.75*'KT THAN'!$C$62,MAX('KT THAN'!$W$38:$W$58)),IFERROR(MIN(0.8*0.75*'KT THAN'!$C$62,INDEX('KT THAN'!$W$38:$W$58,MATCH(R396,'KT THAN'!$Y$38:$Y$58,-1))+(INDEX('KT THAN'!$W$38:$W$58,MIN(21,MATCH(R396,'KT THAN'!$Y$38:$Y$58,-1)+1))-INDEX('KT THAN'!$W$38:$W$58,MATCH(R396,'KT THAN'!$Y$38:$Y$58,-1)))*(R396-INDEX('KT THAN'!$Y$38:$Y$58,MATCH(R396,'KT THAN'!$Y$38:$Y$58,-1)))/(INDEX('KT THAN'!$Y$38:$Y$58,MIN(21,MATCH(R396,'KT THAN'!$Y$38:$Y$58,-1)+1))-INDEX('KT THAN'!$Y$38:$Y$58,MATCH(R396,'KT THAN'!$Y$38:$Y$58,-1)))),MIN(0.8*0.75*'KT THAN'!$C$62,'KT THAN'!$D$68/R396)))))</f>
        <v/>
      </c>
      <c r="O396" s="38" t="str">
        <f>IF($A396="","",IF(H396&lt;0,ABS(H396)/MAX('KT THAN'!$C$69,0.001)+'KT THAN'!$C$32*ABS(J396)/MAX('KT THAN'!$C$68,0.001)+'KT THAN'!$D$32*ABS(I396)/MAX('KT THAN'!$D$68,0.001),IF(OR(M396&lt;=0,N396&lt;=0),999,IF(H396&gt;=0.1*0.75*fc_*Agth*1000,H396/MAX(0.001,1/(1/M396+1/N396-1/(0.75*'KT THAN'!$C$62))),'KT THAN'!$C$32*ABS(J396)/MAX('KT THAN'!$C$68,0.001)+'KT THAN'!$D$32*ABS(I396)/MAX('KT THAN'!$D$68,0.001)))))</f>
        <v/>
      </c>
      <c r="P396" s="37" t="str">
        <f t="shared" si="60"/>
        <v/>
      </c>
      <c r="Q396" s="38" t="str">
        <f>IF($A396="","",MAX(0.001,'KT THAN'!$C$32*ABS(J396)/MAX(1,H396)))</f>
        <v/>
      </c>
      <c r="R396" s="38" t="str">
        <f>IF($A396="","",MAX(0.001,'KT THAN'!$D$32*ABS(I396)/MAX(1,H396)))</f>
        <v/>
      </c>
      <c r="S396" t="str">
        <f t="shared" ref="S396:S445" si="62">IF($A396="","",IF(H396&lt;0,O396,""))</f>
        <v/>
      </c>
    </row>
    <row r="397" spans="1:19" hidden="1" outlineLevel="1" x14ac:dyDescent="0.3">
      <c r="A397" s="37" t="str">
        <f>IF('TO HOP NLAN'!$A263="","",'TO HOP NLAN'!$A263)</f>
        <v/>
      </c>
      <c r="B397" s="38" t="str">
        <f>IF($A397="","",'TO HOP NLAN'!$D263)</f>
        <v/>
      </c>
      <c r="C397" s="38" t="str">
        <f>IF($A397="","",'TO HOP NLAN'!$E263)</f>
        <v/>
      </c>
      <c r="D397" s="38" t="str">
        <f>IF($A397="","",'TO HOP NLAN'!$F263)</f>
        <v/>
      </c>
      <c r="E397" s="38" t="str">
        <f>IF($A397="","",'TO HOP NLAN'!$B263)</f>
        <v/>
      </c>
      <c r="F397" s="38" t="str">
        <f>IF($A397="","",'TO HOP NLAN'!$C263)</f>
        <v/>
      </c>
      <c r="G397" s="38" t="str">
        <f t="shared" ref="G397:G445" si="63">IF(A397="","",1)</f>
        <v/>
      </c>
      <c r="H397" s="38" t="str">
        <f t="shared" si="61"/>
        <v/>
      </c>
      <c r="I397" s="38" t="str">
        <f t="shared" ref="I397:I445" si="64">IF(A397="","",IF(nThan=1,C397,(1-$B$7)*C397/2))</f>
        <v/>
      </c>
      <c r="J397" s="38" t="str">
        <f t="shared" ref="J397:J445" si="65">IF(A397="","",IF(nThan=1,D397,D397/2))</f>
        <v/>
      </c>
      <c r="K397" s="38" t="str">
        <f t="shared" ref="K397:K445" si="66">IF(A397="","",IF(nThan=1,E397,E397/2))</f>
        <v/>
      </c>
      <c r="L397" s="38" t="str">
        <f t="shared" ref="L397:L445" si="67">IF(A397="","",IF(nThan=1,F397,F397/2))</f>
        <v/>
      </c>
      <c r="M397" s="38" t="str">
        <f>IF($A397="","",IF(H397=0,"",IF(Q397&lt;=0.000000001,MIN(0.8*0.75*'KT THAN'!$C$62,MAX('KT THAN'!$J$38:$J$58)),IFERROR(MIN(0.8*0.75*'KT THAN'!$C$62,INDEX('KT THAN'!$J$38:$J$58,MATCH(Q397,'KT THAN'!$L$38:$L$58,-1))+(INDEX('KT THAN'!$J$38:$J$58,MIN(21,MATCH(Q397,'KT THAN'!$L$38:$L$58,-1)+1))-INDEX('KT THAN'!$J$38:$J$58,MATCH(Q397,'KT THAN'!$L$38:$L$58,-1)))*(Q397-INDEX('KT THAN'!$L$38:$L$58,MATCH(Q397,'KT THAN'!$L$38:$L$58,-1)))/(INDEX('KT THAN'!$L$38:$L$58,MIN(21,MATCH(Q397,'KT THAN'!$L$38:$L$58,-1)+1))-INDEX('KT THAN'!$L$38:$L$58,MATCH(Q397,'KT THAN'!$L$38:$L$58,-1)))),MIN(0.8*0.75*'KT THAN'!$C$62,'KT THAN'!$C$68/Q397)))))</f>
        <v/>
      </c>
      <c r="N397" s="38" t="str">
        <f>IF($A397="","",IF(H397=0,"",IF(R397&lt;=0.000000001,MIN(0.8*0.75*'KT THAN'!$C$62,MAX('KT THAN'!$W$38:$W$58)),IFERROR(MIN(0.8*0.75*'KT THAN'!$C$62,INDEX('KT THAN'!$W$38:$W$58,MATCH(R397,'KT THAN'!$Y$38:$Y$58,-1))+(INDEX('KT THAN'!$W$38:$W$58,MIN(21,MATCH(R397,'KT THAN'!$Y$38:$Y$58,-1)+1))-INDEX('KT THAN'!$W$38:$W$58,MATCH(R397,'KT THAN'!$Y$38:$Y$58,-1)))*(R397-INDEX('KT THAN'!$Y$38:$Y$58,MATCH(R397,'KT THAN'!$Y$38:$Y$58,-1)))/(INDEX('KT THAN'!$Y$38:$Y$58,MIN(21,MATCH(R397,'KT THAN'!$Y$38:$Y$58,-1)+1))-INDEX('KT THAN'!$Y$38:$Y$58,MATCH(R397,'KT THAN'!$Y$38:$Y$58,-1)))),MIN(0.8*0.75*'KT THAN'!$C$62,'KT THAN'!$D$68/R397)))))</f>
        <v/>
      </c>
      <c r="O397" s="38" t="str">
        <f>IF($A397="","",IF(H397&lt;0,ABS(H397)/MAX('KT THAN'!$C$69,0.001)+'KT THAN'!$C$32*ABS(J397)/MAX('KT THAN'!$C$68,0.001)+'KT THAN'!$D$32*ABS(I397)/MAX('KT THAN'!$D$68,0.001),IF(OR(M397&lt;=0,N397&lt;=0),999,IF(H397&gt;=0.1*0.75*fc_*Agth*1000,H397/MAX(0.001,1/(1/M397+1/N397-1/(0.75*'KT THAN'!$C$62))),'KT THAN'!$C$32*ABS(J397)/MAX('KT THAN'!$C$68,0.001)+'KT THAN'!$D$32*ABS(I397)/MAX('KT THAN'!$D$68,0.001)))))</f>
        <v/>
      </c>
      <c r="P397" s="37" t="str">
        <f t="shared" ref="P397:P445" si="68">IF(A397="","",IF(O397&lt;=1,"ĐẠT","KHÔNG ĐẠT"))</f>
        <v/>
      </c>
      <c r="Q397" s="38" t="str">
        <f>IF($A397="","",MAX(0.001,'KT THAN'!$C$32*ABS(J397)/MAX(1,H397)))</f>
        <v/>
      </c>
      <c r="R397" s="38" t="str">
        <f>IF($A397="","",MAX(0.001,'KT THAN'!$D$32*ABS(I397)/MAX(1,H397)))</f>
        <v/>
      </c>
      <c r="S397" t="str">
        <f t="shared" si="62"/>
        <v/>
      </c>
    </row>
    <row r="398" spans="1:19" hidden="1" outlineLevel="1" x14ac:dyDescent="0.3">
      <c r="A398" s="37" t="str">
        <f>IF('TO HOP NLAN'!$A264="","",'TO HOP NLAN'!$A264)</f>
        <v/>
      </c>
      <c r="B398" s="38" t="str">
        <f>IF($A398="","",'TO HOP NLAN'!$D264)</f>
        <v/>
      </c>
      <c r="C398" s="38" t="str">
        <f>IF($A398="","",'TO HOP NLAN'!$E264)</f>
        <v/>
      </c>
      <c r="D398" s="38" t="str">
        <f>IF($A398="","",'TO HOP NLAN'!$F264)</f>
        <v/>
      </c>
      <c r="E398" s="38" t="str">
        <f>IF($A398="","",'TO HOP NLAN'!$B264)</f>
        <v/>
      </c>
      <c r="F398" s="38" t="str">
        <f>IF($A398="","",'TO HOP NLAN'!$C264)</f>
        <v/>
      </c>
      <c r="G398" s="38" t="str">
        <f t="shared" si="63"/>
        <v/>
      </c>
      <c r="H398" s="38" t="str">
        <f t="shared" si="61"/>
        <v/>
      </c>
      <c r="I398" s="38" t="str">
        <f t="shared" si="64"/>
        <v/>
      </c>
      <c r="J398" s="38" t="str">
        <f t="shared" si="65"/>
        <v/>
      </c>
      <c r="K398" s="38" t="str">
        <f t="shared" si="66"/>
        <v/>
      </c>
      <c r="L398" s="38" t="str">
        <f t="shared" si="67"/>
        <v/>
      </c>
      <c r="M398" s="38" t="str">
        <f>IF($A398="","",IF(H398=0,"",IF(Q398&lt;=0.000000001,MIN(0.8*0.75*'KT THAN'!$C$62,MAX('KT THAN'!$J$38:$J$58)),IFERROR(MIN(0.8*0.75*'KT THAN'!$C$62,INDEX('KT THAN'!$J$38:$J$58,MATCH(Q398,'KT THAN'!$L$38:$L$58,-1))+(INDEX('KT THAN'!$J$38:$J$58,MIN(21,MATCH(Q398,'KT THAN'!$L$38:$L$58,-1)+1))-INDEX('KT THAN'!$J$38:$J$58,MATCH(Q398,'KT THAN'!$L$38:$L$58,-1)))*(Q398-INDEX('KT THAN'!$L$38:$L$58,MATCH(Q398,'KT THAN'!$L$38:$L$58,-1)))/(INDEX('KT THAN'!$L$38:$L$58,MIN(21,MATCH(Q398,'KT THAN'!$L$38:$L$58,-1)+1))-INDEX('KT THAN'!$L$38:$L$58,MATCH(Q398,'KT THAN'!$L$38:$L$58,-1)))),MIN(0.8*0.75*'KT THAN'!$C$62,'KT THAN'!$C$68/Q398)))))</f>
        <v/>
      </c>
      <c r="N398" s="38" t="str">
        <f>IF($A398="","",IF(H398=0,"",IF(R398&lt;=0.000000001,MIN(0.8*0.75*'KT THAN'!$C$62,MAX('KT THAN'!$W$38:$W$58)),IFERROR(MIN(0.8*0.75*'KT THAN'!$C$62,INDEX('KT THAN'!$W$38:$W$58,MATCH(R398,'KT THAN'!$Y$38:$Y$58,-1))+(INDEX('KT THAN'!$W$38:$W$58,MIN(21,MATCH(R398,'KT THAN'!$Y$38:$Y$58,-1)+1))-INDEX('KT THAN'!$W$38:$W$58,MATCH(R398,'KT THAN'!$Y$38:$Y$58,-1)))*(R398-INDEX('KT THAN'!$Y$38:$Y$58,MATCH(R398,'KT THAN'!$Y$38:$Y$58,-1)))/(INDEX('KT THAN'!$Y$38:$Y$58,MIN(21,MATCH(R398,'KT THAN'!$Y$38:$Y$58,-1)+1))-INDEX('KT THAN'!$Y$38:$Y$58,MATCH(R398,'KT THAN'!$Y$38:$Y$58,-1)))),MIN(0.8*0.75*'KT THAN'!$C$62,'KT THAN'!$D$68/R398)))))</f>
        <v/>
      </c>
      <c r="O398" s="38" t="str">
        <f>IF($A398="","",IF(H398&lt;0,ABS(H398)/MAX('KT THAN'!$C$69,0.001)+'KT THAN'!$C$32*ABS(J398)/MAX('KT THAN'!$C$68,0.001)+'KT THAN'!$D$32*ABS(I398)/MAX('KT THAN'!$D$68,0.001),IF(OR(M398&lt;=0,N398&lt;=0),999,IF(H398&gt;=0.1*0.75*fc_*Agth*1000,H398/MAX(0.001,1/(1/M398+1/N398-1/(0.75*'KT THAN'!$C$62))),'KT THAN'!$C$32*ABS(J398)/MAX('KT THAN'!$C$68,0.001)+'KT THAN'!$D$32*ABS(I398)/MAX('KT THAN'!$D$68,0.001)))))</f>
        <v/>
      </c>
      <c r="P398" s="37" t="str">
        <f t="shared" si="68"/>
        <v/>
      </c>
      <c r="Q398" s="38" t="str">
        <f>IF($A398="","",MAX(0.001,'KT THAN'!$C$32*ABS(J398)/MAX(1,H398)))</f>
        <v/>
      </c>
      <c r="R398" s="38" t="str">
        <f>IF($A398="","",MAX(0.001,'KT THAN'!$D$32*ABS(I398)/MAX(1,H398)))</f>
        <v/>
      </c>
      <c r="S398" t="str">
        <f t="shared" si="62"/>
        <v/>
      </c>
    </row>
    <row r="399" spans="1:19" hidden="1" outlineLevel="1" x14ac:dyDescent="0.3">
      <c r="A399" s="37" t="str">
        <f>IF('TO HOP NLAN'!$A265="","",'TO HOP NLAN'!$A265)</f>
        <v/>
      </c>
      <c r="B399" s="38" t="str">
        <f>IF($A399="","",'TO HOP NLAN'!$D265)</f>
        <v/>
      </c>
      <c r="C399" s="38" t="str">
        <f>IF($A399="","",'TO HOP NLAN'!$E265)</f>
        <v/>
      </c>
      <c r="D399" s="38" t="str">
        <f>IF($A399="","",'TO HOP NLAN'!$F265)</f>
        <v/>
      </c>
      <c r="E399" s="38" t="str">
        <f>IF($A399="","",'TO HOP NLAN'!$B265)</f>
        <v/>
      </c>
      <c r="F399" s="38" t="str">
        <f>IF($A399="","",'TO HOP NLAN'!$C265)</f>
        <v/>
      </c>
      <c r="G399" s="38" t="str">
        <f t="shared" si="63"/>
        <v/>
      </c>
      <c r="H399" s="38" t="str">
        <f t="shared" si="61"/>
        <v/>
      </c>
      <c r="I399" s="38" t="str">
        <f t="shared" si="64"/>
        <v/>
      </c>
      <c r="J399" s="38" t="str">
        <f t="shared" si="65"/>
        <v/>
      </c>
      <c r="K399" s="38" t="str">
        <f t="shared" si="66"/>
        <v/>
      </c>
      <c r="L399" s="38" t="str">
        <f t="shared" si="67"/>
        <v/>
      </c>
      <c r="M399" s="38" t="str">
        <f>IF($A399="","",IF(H399=0,"",IF(Q399&lt;=0.000000001,MIN(0.8*0.75*'KT THAN'!$C$62,MAX('KT THAN'!$J$38:$J$58)),IFERROR(MIN(0.8*0.75*'KT THAN'!$C$62,INDEX('KT THAN'!$J$38:$J$58,MATCH(Q399,'KT THAN'!$L$38:$L$58,-1))+(INDEX('KT THAN'!$J$38:$J$58,MIN(21,MATCH(Q399,'KT THAN'!$L$38:$L$58,-1)+1))-INDEX('KT THAN'!$J$38:$J$58,MATCH(Q399,'KT THAN'!$L$38:$L$58,-1)))*(Q399-INDEX('KT THAN'!$L$38:$L$58,MATCH(Q399,'KT THAN'!$L$38:$L$58,-1)))/(INDEX('KT THAN'!$L$38:$L$58,MIN(21,MATCH(Q399,'KT THAN'!$L$38:$L$58,-1)+1))-INDEX('KT THAN'!$L$38:$L$58,MATCH(Q399,'KT THAN'!$L$38:$L$58,-1)))),MIN(0.8*0.75*'KT THAN'!$C$62,'KT THAN'!$C$68/Q399)))))</f>
        <v/>
      </c>
      <c r="N399" s="38" t="str">
        <f>IF($A399="","",IF(H399=0,"",IF(R399&lt;=0.000000001,MIN(0.8*0.75*'KT THAN'!$C$62,MAX('KT THAN'!$W$38:$W$58)),IFERROR(MIN(0.8*0.75*'KT THAN'!$C$62,INDEX('KT THAN'!$W$38:$W$58,MATCH(R399,'KT THAN'!$Y$38:$Y$58,-1))+(INDEX('KT THAN'!$W$38:$W$58,MIN(21,MATCH(R399,'KT THAN'!$Y$38:$Y$58,-1)+1))-INDEX('KT THAN'!$W$38:$W$58,MATCH(R399,'KT THAN'!$Y$38:$Y$58,-1)))*(R399-INDEX('KT THAN'!$Y$38:$Y$58,MATCH(R399,'KT THAN'!$Y$38:$Y$58,-1)))/(INDEX('KT THAN'!$Y$38:$Y$58,MIN(21,MATCH(R399,'KT THAN'!$Y$38:$Y$58,-1)+1))-INDEX('KT THAN'!$Y$38:$Y$58,MATCH(R399,'KT THAN'!$Y$38:$Y$58,-1)))),MIN(0.8*0.75*'KT THAN'!$C$62,'KT THAN'!$D$68/R399)))))</f>
        <v/>
      </c>
      <c r="O399" s="38" t="str">
        <f>IF($A399="","",IF(H399&lt;0,ABS(H399)/MAX('KT THAN'!$C$69,0.001)+'KT THAN'!$C$32*ABS(J399)/MAX('KT THAN'!$C$68,0.001)+'KT THAN'!$D$32*ABS(I399)/MAX('KT THAN'!$D$68,0.001),IF(OR(M399&lt;=0,N399&lt;=0),999,IF(H399&gt;=0.1*0.75*fc_*Agth*1000,H399/MAX(0.001,1/(1/M399+1/N399-1/(0.75*'KT THAN'!$C$62))),'KT THAN'!$C$32*ABS(J399)/MAX('KT THAN'!$C$68,0.001)+'KT THAN'!$D$32*ABS(I399)/MAX('KT THAN'!$D$68,0.001)))))</f>
        <v/>
      </c>
      <c r="P399" s="37" t="str">
        <f t="shared" si="68"/>
        <v/>
      </c>
      <c r="Q399" s="38" t="str">
        <f>IF($A399="","",MAX(0.001,'KT THAN'!$C$32*ABS(J399)/MAX(1,H399)))</f>
        <v/>
      </c>
      <c r="R399" s="38" t="str">
        <f>IF($A399="","",MAX(0.001,'KT THAN'!$D$32*ABS(I399)/MAX(1,H399)))</f>
        <v/>
      </c>
      <c r="S399" t="str">
        <f t="shared" si="62"/>
        <v/>
      </c>
    </row>
    <row r="400" spans="1:19" hidden="1" outlineLevel="1" x14ac:dyDescent="0.3">
      <c r="A400" s="37" t="str">
        <f>IF('TO HOP NLAN'!$A266="","",'TO HOP NLAN'!$A266)</f>
        <v/>
      </c>
      <c r="B400" s="38" t="str">
        <f>IF($A400="","",'TO HOP NLAN'!$D266)</f>
        <v/>
      </c>
      <c r="C400" s="38" t="str">
        <f>IF($A400="","",'TO HOP NLAN'!$E266)</f>
        <v/>
      </c>
      <c r="D400" s="38" t="str">
        <f>IF($A400="","",'TO HOP NLAN'!$F266)</f>
        <v/>
      </c>
      <c r="E400" s="38" t="str">
        <f>IF($A400="","",'TO HOP NLAN'!$B266)</f>
        <v/>
      </c>
      <c r="F400" s="38" t="str">
        <f>IF($A400="","",'TO HOP NLAN'!$C266)</f>
        <v/>
      </c>
      <c r="G400" s="38" t="str">
        <f t="shared" si="63"/>
        <v/>
      </c>
      <c r="H400" s="38" t="str">
        <f t="shared" si="61"/>
        <v/>
      </c>
      <c r="I400" s="38" t="str">
        <f t="shared" si="64"/>
        <v/>
      </c>
      <c r="J400" s="38" t="str">
        <f t="shared" si="65"/>
        <v/>
      </c>
      <c r="K400" s="38" t="str">
        <f t="shared" si="66"/>
        <v/>
      </c>
      <c r="L400" s="38" t="str">
        <f t="shared" si="67"/>
        <v/>
      </c>
      <c r="M400" s="38" t="str">
        <f>IF($A400="","",IF(H400=0,"",IF(Q400&lt;=0.000000001,MIN(0.8*0.75*'KT THAN'!$C$62,MAX('KT THAN'!$J$38:$J$58)),IFERROR(MIN(0.8*0.75*'KT THAN'!$C$62,INDEX('KT THAN'!$J$38:$J$58,MATCH(Q400,'KT THAN'!$L$38:$L$58,-1))+(INDEX('KT THAN'!$J$38:$J$58,MIN(21,MATCH(Q400,'KT THAN'!$L$38:$L$58,-1)+1))-INDEX('KT THAN'!$J$38:$J$58,MATCH(Q400,'KT THAN'!$L$38:$L$58,-1)))*(Q400-INDEX('KT THAN'!$L$38:$L$58,MATCH(Q400,'KT THAN'!$L$38:$L$58,-1)))/(INDEX('KT THAN'!$L$38:$L$58,MIN(21,MATCH(Q400,'KT THAN'!$L$38:$L$58,-1)+1))-INDEX('KT THAN'!$L$38:$L$58,MATCH(Q400,'KT THAN'!$L$38:$L$58,-1)))),MIN(0.8*0.75*'KT THAN'!$C$62,'KT THAN'!$C$68/Q400)))))</f>
        <v/>
      </c>
      <c r="N400" s="38" t="str">
        <f>IF($A400="","",IF(H400=0,"",IF(R400&lt;=0.000000001,MIN(0.8*0.75*'KT THAN'!$C$62,MAX('KT THAN'!$W$38:$W$58)),IFERROR(MIN(0.8*0.75*'KT THAN'!$C$62,INDEX('KT THAN'!$W$38:$W$58,MATCH(R400,'KT THAN'!$Y$38:$Y$58,-1))+(INDEX('KT THAN'!$W$38:$W$58,MIN(21,MATCH(R400,'KT THAN'!$Y$38:$Y$58,-1)+1))-INDEX('KT THAN'!$W$38:$W$58,MATCH(R400,'KT THAN'!$Y$38:$Y$58,-1)))*(R400-INDEX('KT THAN'!$Y$38:$Y$58,MATCH(R400,'KT THAN'!$Y$38:$Y$58,-1)))/(INDEX('KT THAN'!$Y$38:$Y$58,MIN(21,MATCH(R400,'KT THAN'!$Y$38:$Y$58,-1)+1))-INDEX('KT THAN'!$Y$38:$Y$58,MATCH(R400,'KT THAN'!$Y$38:$Y$58,-1)))),MIN(0.8*0.75*'KT THAN'!$C$62,'KT THAN'!$D$68/R400)))))</f>
        <v/>
      </c>
      <c r="O400" s="38" t="str">
        <f>IF($A400="","",IF(H400&lt;0,ABS(H400)/MAX('KT THAN'!$C$69,0.001)+'KT THAN'!$C$32*ABS(J400)/MAX('KT THAN'!$C$68,0.001)+'KT THAN'!$D$32*ABS(I400)/MAX('KT THAN'!$D$68,0.001),IF(OR(M400&lt;=0,N400&lt;=0),999,IF(H400&gt;=0.1*0.75*fc_*Agth*1000,H400/MAX(0.001,1/(1/M400+1/N400-1/(0.75*'KT THAN'!$C$62))),'KT THAN'!$C$32*ABS(J400)/MAX('KT THAN'!$C$68,0.001)+'KT THAN'!$D$32*ABS(I400)/MAX('KT THAN'!$D$68,0.001)))))</f>
        <v/>
      </c>
      <c r="P400" s="37" t="str">
        <f t="shared" si="68"/>
        <v/>
      </c>
      <c r="Q400" s="38" t="str">
        <f>IF($A400="","",MAX(0.001,'KT THAN'!$C$32*ABS(J400)/MAX(1,H400)))</f>
        <v/>
      </c>
      <c r="R400" s="38" t="str">
        <f>IF($A400="","",MAX(0.001,'KT THAN'!$D$32*ABS(I400)/MAX(1,H400)))</f>
        <v/>
      </c>
      <c r="S400" t="str">
        <f t="shared" si="62"/>
        <v/>
      </c>
    </row>
    <row r="401" spans="1:19" hidden="1" outlineLevel="1" x14ac:dyDescent="0.3">
      <c r="A401" s="37" t="str">
        <f>IF('TO HOP NLAN'!$A267="","",'TO HOP NLAN'!$A267)</f>
        <v/>
      </c>
      <c r="B401" s="38" t="str">
        <f>IF($A401="","",'TO HOP NLAN'!$D267)</f>
        <v/>
      </c>
      <c r="C401" s="38" t="str">
        <f>IF($A401="","",'TO HOP NLAN'!$E267)</f>
        <v/>
      </c>
      <c r="D401" s="38" t="str">
        <f>IF($A401="","",'TO HOP NLAN'!$F267)</f>
        <v/>
      </c>
      <c r="E401" s="38" t="str">
        <f>IF($A401="","",'TO HOP NLAN'!$B267)</f>
        <v/>
      </c>
      <c r="F401" s="38" t="str">
        <f>IF($A401="","",'TO HOP NLAN'!$C267)</f>
        <v/>
      </c>
      <c r="G401" s="38" t="str">
        <f t="shared" si="63"/>
        <v/>
      </c>
      <c r="H401" s="38" t="str">
        <f t="shared" si="61"/>
        <v/>
      </c>
      <c r="I401" s="38" t="str">
        <f t="shared" si="64"/>
        <v/>
      </c>
      <c r="J401" s="38" t="str">
        <f t="shared" si="65"/>
        <v/>
      </c>
      <c r="K401" s="38" t="str">
        <f t="shared" si="66"/>
        <v/>
      </c>
      <c r="L401" s="38" t="str">
        <f t="shared" si="67"/>
        <v/>
      </c>
      <c r="M401" s="38" t="str">
        <f>IF($A401="","",IF(H401=0,"",IF(Q401&lt;=0.000000001,MIN(0.8*0.75*'KT THAN'!$C$62,MAX('KT THAN'!$J$38:$J$58)),IFERROR(MIN(0.8*0.75*'KT THAN'!$C$62,INDEX('KT THAN'!$J$38:$J$58,MATCH(Q401,'KT THAN'!$L$38:$L$58,-1))+(INDEX('KT THAN'!$J$38:$J$58,MIN(21,MATCH(Q401,'KT THAN'!$L$38:$L$58,-1)+1))-INDEX('KT THAN'!$J$38:$J$58,MATCH(Q401,'KT THAN'!$L$38:$L$58,-1)))*(Q401-INDEX('KT THAN'!$L$38:$L$58,MATCH(Q401,'KT THAN'!$L$38:$L$58,-1)))/(INDEX('KT THAN'!$L$38:$L$58,MIN(21,MATCH(Q401,'KT THAN'!$L$38:$L$58,-1)+1))-INDEX('KT THAN'!$L$38:$L$58,MATCH(Q401,'KT THAN'!$L$38:$L$58,-1)))),MIN(0.8*0.75*'KT THAN'!$C$62,'KT THAN'!$C$68/Q401)))))</f>
        <v/>
      </c>
      <c r="N401" s="38" t="str">
        <f>IF($A401="","",IF(H401=0,"",IF(R401&lt;=0.000000001,MIN(0.8*0.75*'KT THAN'!$C$62,MAX('KT THAN'!$W$38:$W$58)),IFERROR(MIN(0.8*0.75*'KT THAN'!$C$62,INDEX('KT THAN'!$W$38:$W$58,MATCH(R401,'KT THAN'!$Y$38:$Y$58,-1))+(INDEX('KT THAN'!$W$38:$W$58,MIN(21,MATCH(R401,'KT THAN'!$Y$38:$Y$58,-1)+1))-INDEX('KT THAN'!$W$38:$W$58,MATCH(R401,'KT THAN'!$Y$38:$Y$58,-1)))*(R401-INDEX('KT THAN'!$Y$38:$Y$58,MATCH(R401,'KT THAN'!$Y$38:$Y$58,-1)))/(INDEX('KT THAN'!$Y$38:$Y$58,MIN(21,MATCH(R401,'KT THAN'!$Y$38:$Y$58,-1)+1))-INDEX('KT THAN'!$Y$38:$Y$58,MATCH(R401,'KT THAN'!$Y$38:$Y$58,-1)))),MIN(0.8*0.75*'KT THAN'!$C$62,'KT THAN'!$D$68/R401)))))</f>
        <v/>
      </c>
      <c r="O401" s="38" t="str">
        <f>IF($A401="","",IF(H401&lt;0,ABS(H401)/MAX('KT THAN'!$C$69,0.001)+'KT THAN'!$C$32*ABS(J401)/MAX('KT THAN'!$C$68,0.001)+'KT THAN'!$D$32*ABS(I401)/MAX('KT THAN'!$D$68,0.001),IF(OR(M401&lt;=0,N401&lt;=0),999,IF(H401&gt;=0.1*0.75*fc_*Agth*1000,H401/MAX(0.001,1/(1/M401+1/N401-1/(0.75*'KT THAN'!$C$62))),'KT THAN'!$C$32*ABS(J401)/MAX('KT THAN'!$C$68,0.001)+'KT THAN'!$D$32*ABS(I401)/MAX('KT THAN'!$D$68,0.001)))))</f>
        <v/>
      </c>
      <c r="P401" s="37" t="str">
        <f t="shared" si="68"/>
        <v/>
      </c>
      <c r="Q401" s="38" t="str">
        <f>IF($A401="","",MAX(0.001,'KT THAN'!$C$32*ABS(J401)/MAX(1,H401)))</f>
        <v/>
      </c>
      <c r="R401" s="38" t="str">
        <f>IF($A401="","",MAX(0.001,'KT THAN'!$D$32*ABS(I401)/MAX(1,H401)))</f>
        <v/>
      </c>
      <c r="S401" t="str">
        <f t="shared" si="62"/>
        <v/>
      </c>
    </row>
    <row r="402" spans="1:19" hidden="1" outlineLevel="1" x14ac:dyDescent="0.3">
      <c r="A402" s="37" t="str">
        <f>IF('TO HOP NLAN'!$A268="","",'TO HOP NLAN'!$A268)</f>
        <v/>
      </c>
      <c r="B402" s="38" t="str">
        <f>IF($A402="","",'TO HOP NLAN'!$D268)</f>
        <v/>
      </c>
      <c r="C402" s="38" t="str">
        <f>IF($A402="","",'TO HOP NLAN'!$E268)</f>
        <v/>
      </c>
      <c r="D402" s="38" t="str">
        <f>IF($A402="","",'TO HOP NLAN'!$F268)</f>
        <v/>
      </c>
      <c r="E402" s="38" t="str">
        <f>IF($A402="","",'TO HOP NLAN'!$B268)</f>
        <v/>
      </c>
      <c r="F402" s="38" t="str">
        <f>IF($A402="","",'TO HOP NLAN'!$C268)</f>
        <v/>
      </c>
      <c r="G402" s="38" t="str">
        <f t="shared" si="63"/>
        <v/>
      </c>
      <c r="H402" s="38" t="str">
        <f t="shared" si="61"/>
        <v/>
      </c>
      <c r="I402" s="38" t="str">
        <f t="shared" si="64"/>
        <v/>
      </c>
      <c r="J402" s="38" t="str">
        <f t="shared" si="65"/>
        <v/>
      </c>
      <c r="K402" s="38" t="str">
        <f t="shared" si="66"/>
        <v/>
      </c>
      <c r="L402" s="38" t="str">
        <f t="shared" si="67"/>
        <v/>
      </c>
      <c r="M402" s="38" t="str">
        <f>IF($A402="","",IF(H402=0,"",IF(Q402&lt;=0.000000001,MIN(0.8*0.75*'KT THAN'!$C$62,MAX('KT THAN'!$J$38:$J$58)),IFERROR(MIN(0.8*0.75*'KT THAN'!$C$62,INDEX('KT THAN'!$J$38:$J$58,MATCH(Q402,'KT THAN'!$L$38:$L$58,-1))+(INDEX('KT THAN'!$J$38:$J$58,MIN(21,MATCH(Q402,'KT THAN'!$L$38:$L$58,-1)+1))-INDEX('KT THAN'!$J$38:$J$58,MATCH(Q402,'KT THAN'!$L$38:$L$58,-1)))*(Q402-INDEX('KT THAN'!$L$38:$L$58,MATCH(Q402,'KT THAN'!$L$38:$L$58,-1)))/(INDEX('KT THAN'!$L$38:$L$58,MIN(21,MATCH(Q402,'KT THAN'!$L$38:$L$58,-1)+1))-INDEX('KT THAN'!$L$38:$L$58,MATCH(Q402,'KT THAN'!$L$38:$L$58,-1)))),MIN(0.8*0.75*'KT THAN'!$C$62,'KT THAN'!$C$68/Q402)))))</f>
        <v/>
      </c>
      <c r="N402" s="38" t="str">
        <f>IF($A402="","",IF(H402=0,"",IF(R402&lt;=0.000000001,MIN(0.8*0.75*'KT THAN'!$C$62,MAX('KT THAN'!$W$38:$W$58)),IFERROR(MIN(0.8*0.75*'KT THAN'!$C$62,INDEX('KT THAN'!$W$38:$W$58,MATCH(R402,'KT THAN'!$Y$38:$Y$58,-1))+(INDEX('KT THAN'!$W$38:$W$58,MIN(21,MATCH(R402,'KT THAN'!$Y$38:$Y$58,-1)+1))-INDEX('KT THAN'!$W$38:$W$58,MATCH(R402,'KT THAN'!$Y$38:$Y$58,-1)))*(R402-INDEX('KT THAN'!$Y$38:$Y$58,MATCH(R402,'KT THAN'!$Y$38:$Y$58,-1)))/(INDEX('KT THAN'!$Y$38:$Y$58,MIN(21,MATCH(R402,'KT THAN'!$Y$38:$Y$58,-1)+1))-INDEX('KT THAN'!$Y$38:$Y$58,MATCH(R402,'KT THAN'!$Y$38:$Y$58,-1)))),MIN(0.8*0.75*'KT THAN'!$C$62,'KT THAN'!$D$68/R402)))))</f>
        <v/>
      </c>
      <c r="O402" s="38" t="str">
        <f>IF($A402="","",IF(H402&lt;0,ABS(H402)/MAX('KT THAN'!$C$69,0.001)+'KT THAN'!$C$32*ABS(J402)/MAX('KT THAN'!$C$68,0.001)+'KT THAN'!$D$32*ABS(I402)/MAX('KT THAN'!$D$68,0.001),IF(OR(M402&lt;=0,N402&lt;=0),999,IF(H402&gt;=0.1*0.75*fc_*Agth*1000,H402/MAX(0.001,1/(1/M402+1/N402-1/(0.75*'KT THAN'!$C$62))),'KT THAN'!$C$32*ABS(J402)/MAX('KT THAN'!$C$68,0.001)+'KT THAN'!$D$32*ABS(I402)/MAX('KT THAN'!$D$68,0.001)))))</f>
        <v/>
      </c>
      <c r="P402" s="37" t="str">
        <f t="shared" si="68"/>
        <v/>
      </c>
      <c r="Q402" s="38" t="str">
        <f>IF($A402="","",MAX(0.001,'KT THAN'!$C$32*ABS(J402)/MAX(1,H402)))</f>
        <v/>
      </c>
      <c r="R402" s="38" t="str">
        <f>IF($A402="","",MAX(0.001,'KT THAN'!$D$32*ABS(I402)/MAX(1,H402)))</f>
        <v/>
      </c>
      <c r="S402" t="str">
        <f t="shared" si="62"/>
        <v/>
      </c>
    </row>
    <row r="403" spans="1:19" hidden="1" outlineLevel="1" x14ac:dyDescent="0.3">
      <c r="A403" s="37" t="str">
        <f>IF('TO HOP NLAN'!$A269="","",'TO HOP NLAN'!$A269)</f>
        <v/>
      </c>
      <c r="B403" s="38" t="str">
        <f>IF($A403="","",'TO HOP NLAN'!$D269)</f>
        <v/>
      </c>
      <c r="C403" s="38" t="str">
        <f>IF($A403="","",'TO HOP NLAN'!$E269)</f>
        <v/>
      </c>
      <c r="D403" s="38" t="str">
        <f>IF($A403="","",'TO HOP NLAN'!$F269)</f>
        <v/>
      </c>
      <c r="E403" s="38" t="str">
        <f>IF($A403="","",'TO HOP NLAN'!$B269)</f>
        <v/>
      </c>
      <c r="F403" s="38" t="str">
        <f>IF($A403="","",'TO HOP NLAN'!$C269)</f>
        <v/>
      </c>
      <c r="G403" s="38" t="str">
        <f t="shared" si="63"/>
        <v/>
      </c>
      <c r="H403" s="38" t="str">
        <f t="shared" si="61"/>
        <v/>
      </c>
      <c r="I403" s="38" t="str">
        <f t="shared" si="64"/>
        <v/>
      </c>
      <c r="J403" s="38" t="str">
        <f t="shared" si="65"/>
        <v/>
      </c>
      <c r="K403" s="38" t="str">
        <f t="shared" si="66"/>
        <v/>
      </c>
      <c r="L403" s="38" t="str">
        <f t="shared" si="67"/>
        <v/>
      </c>
      <c r="M403" s="38" t="str">
        <f>IF($A403="","",IF(H403=0,"",IF(Q403&lt;=0.000000001,MIN(0.8*0.75*'KT THAN'!$C$62,MAX('KT THAN'!$J$38:$J$58)),IFERROR(MIN(0.8*0.75*'KT THAN'!$C$62,INDEX('KT THAN'!$J$38:$J$58,MATCH(Q403,'KT THAN'!$L$38:$L$58,-1))+(INDEX('KT THAN'!$J$38:$J$58,MIN(21,MATCH(Q403,'KT THAN'!$L$38:$L$58,-1)+1))-INDEX('KT THAN'!$J$38:$J$58,MATCH(Q403,'KT THAN'!$L$38:$L$58,-1)))*(Q403-INDEX('KT THAN'!$L$38:$L$58,MATCH(Q403,'KT THAN'!$L$38:$L$58,-1)))/(INDEX('KT THAN'!$L$38:$L$58,MIN(21,MATCH(Q403,'KT THAN'!$L$38:$L$58,-1)+1))-INDEX('KT THAN'!$L$38:$L$58,MATCH(Q403,'KT THAN'!$L$38:$L$58,-1)))),MIN(0.8*0.75*'KT THAN'!$C$62,'KT THAN'!$C$68/Q403)))))</f>
        <v/>
      </c>
      <c r="N403" s="38" t="str">
        <f>IF($A403="","",IF(H403=0,"",IF(R403&lt;=0.000000001,MIN(0.8*0.75*'KT THAN'!$C$62,MAX('KT THAN'!$W$38:$W$58)),IFERROR(MIN(0.8*0.75*'KT THAN'!$C$62,INDEX('KT THAN'!$W$38:$W$58,MATCH(R403,'KT THAN'!$Y$38:$Y$58,-1))+(INDEX('KT THAN'!$W$38:$W$58,MIN(21,MATCH(R403,'KT THAN'!$Y$38:$Y$58,-1)+1))-INDEX('KT THAN'!$W$38:$W$58,MATCH(R403,'KT THAN'!$Y$38:$Y$58,-1)))*(R403-INDEX('KT THAN'!$Y$38:$Y$58,MATCH(R403,'KT THAN'!$Y$38:$Y$58,-1)))/(INDEX('KT THAN'!$Y$38:$Y$58,MIN(21,MATCH(R403,'KT THAN'!$Y$38:$Y$58,-1)+1))-INDEX('KT THAN'!$Y$38:$Y$58,MATCH(R403,'KT THAN'!$Y$38:$Y$58,-1)))),MIN(0.8*0.75*'KT THAN'!$C$62,'KT THAN'!$D$68/R403)))))</f>
        <v/>
      </c>
      <c r="O403" s="38" t="str">
        <f>IF($A403="","",IF(H403&lt;0,ABS(H403)/MAX('KT THAN'!$C$69,0.001)+'KT THAN'!$C$32*ABS(J403)/MAX('KT THAN'!$C$68,0.001)+'KT THAN'!$D$32*ABS(I403)/MAX('KT THAN'!$D$68,0.001),IF(OR(M403&lt;=0,N403&lt;=0),999,IF(H403&gt;=0.1*0.75*fc_*Agth*1000,H403/MAX(0.001,1/(1/M403+1/N403-1/(0.75*'KT THAN'!$C$62))),'KT THAN'!$C$32*ABS(J403)/MAX('KT THAN'!$C$68,0.001)+'KT THAN'!$D$32*ABS(I403)/MAX('KT THAN'!$D$68,0.001)))))</f>
        <v/>
      </c>
      <c r="P403" s="37" t="str">
        <f t="shared" si="68"/>
        <v/>
      </c>
      <c r="Q403" s="38" t="str">
        <f>IF($A403="","",MAX(0.001,'KT THAN'!$C$32*ABS(J403)/MAX(1,H403)))</f>
        <v/>
      </c>
      <c r="R403" s="38" t="str">
        <f>IF($A403="","",MAX(0.001,'KT THAN'!$D$32*ABS(I403)/MAX(1,H403)))</f>
        <v/>
      </c>
      <c r="S403" t="str">
        <f t="shared" si="62"/>
        <v/>
      </c>
    </row>
    <row r="404" spans="1:19" hidden="1" outlineLevel="1" x14ac:dyDescent="0.3">
      <c r="A404" s="37" t="str">
        <f>IF('TO HOP NLAN'!$A270="","",'TO HOP NLAN'!$A270)</f>
        <v/>
      </c>
      <c r="B404" s="38" t="str">
        <f>IF($A404="","",'TO HOP NLAN'!$D270)</f>
        <v/>
      </c>
      <c r="C404" s="38" t="str">
        <f>IF($A404="","",'TO HOP NLAN'!$E270)</f>
        <v/>
      </c>
      <c r="D404" s="38" t="str">
        <f>IF($A404="","",'TO HOP NLAN'!$F270)</f>
        <v/>
      </c>
      <c r="E404" s="38" t="str">
        <f>IF($A404="","",'TO HOP NLAN'!$B270)</f>
        <v/>
      </c>
      <c r="F404" s="38" t="str">
        <f>IF($A404="","",'TO HOP NLAN'!$C270)</f>
        <v/>
      </c>
      <c r="G404" s="38" t="str">
        <f t="shared" si="63"/>
        <v/>
      </c>
      <c r="H404" s="38" t="str">
        <f t="shared" si="61"/>
        <v/>
      </c>
      <c r="I404" s="38" t="str">
        <f t="shared" si="64"/>
        <v/>
      </c>
      <c r="J404" s="38" t="str">
        <f t="shared" si="65"/>
        <v/>
      </c>
      <c r="K404" s="38" t="str">
        <f t="shared" si="66"/>
        <v/>
      </c>
      <c r="L404" s="38" t="str">
        <f t="shared" si="67"/>
        <v/>
      </c>
      <c r="M404" s="38" t="str">
        <f>IF($A404="","",IF(H404=0,"",IF(Q404&lt;=0.000000001,MIN(0.8*0.75*'KT THAN'!$C$62,MAX('KT THAN'!$J$38:$J$58)),IFERROR(MIN(0.8*0.75*'KT THAN'!$C$62,INDEX('KT THAN'!$J$38:$J$58,MATCH(Q404,'KT THAN'!$L$38:$L$58,-1))+(INDEX('KT THAN'!$J$38:$J$58,MIN(21,MATCH(Q404,'KT THAN'!$L$38:$L$58,-1)+1))-INDEX('KT THAN'!$J$38:$J$58,MATCH(Q404,'KT THAN'!$L$38:$L$58,-1)))*(Q404-INDEX('KT THAN'!$L$38:$L$58,MATCH(Q404,'KT THAN'!$L$38:$L$58,-1)))/(INDEX('KT THAN'!$L$38:$L$58,MIN(21,MATCH(Q404,'KT THAN'!$L$38:$L$58,-1)+1))-INDEX('KT THAN'!$L$38:$L$58,MATCH(Q404,'KT THAN'!$L$38:$L$58,-1)))),MIN(0.8*0.75*'KT THAN'!$C$62,'KT THAN'!$C$68/Q404)))))</f>
        <v/>
      </c>
      <c r="N404" s="38" t="str">
        <f>IF($A404="","",IF(H404=0,"",IF(R404&lt;=0.000000001,MIN(0.8*0.75*'KT THAN'!$C$62,MAX('KT THAN'!$W$38:$W$58)),IFERROR(MIN(0.8*0.75*'KT THAN'!$C$62,INDEX('KT THAN'!$W$38:$W$58,MATCH(R404,'KT THAN'!$Y$38:$Y$58,-1))+(INDEX('KT THAN'!$W$38:$W$58,MIN(21,MATCH(R404,'KT THAN'!$Y$38:$Y$58,-1)+1))-INDEX('KT THAN'!$W$38:$W$58,MATCH(R404,'KT THAN'!$Y$38:$Y$58,-1)))*(R404-INDEX('KT THAN'!$Y$38:$Y$58,MATCH(R404,'KT THAN'!$Y$38:$Y$58,-1)))/(INDEX('KT THAN'!$Y$38:$Y$58,MIN(21,MATCH(R404,'KT THAN'!$Y$38:$Y$58,-1)+1))-INDEX('KT THAN'!$Y$38:$Y$58,MATCH(R404,'KT THAN'!$Y$38:$Y$58,-1)))),MIN(0.8*0.75*'KT THAN'!$C$62,'KT THAN'!$D$68/R404)))))</f>
        <v/>
      </c>
      <c r="O404" s="38" t="str">
        <f>IF($A404="","",IF(H404&lt;0,ABS(H404)/MAX('KT THAN'!$C$69,0.001)+'KT THAN'!$C$32*ABS(J404)/MAX('KT THAN'!$C$68,0.001)+'KT THAN'!$D$32*ABS(I404)/MAX('KT THAN'!$D$68,0.001),IF(OR(M404&lt;=0,N404&lt;=0),999,IF(H404&gt;=0.1*0.75*fc_*Agth*1000,H404/MAX(0.001,1/(1/M404+1/N404-1/(0.75*'KT THAN'!$C$62))),'KT THAN'!$C$32*ABS(J404)/MAX('KT THAN'!$C$68,0.001)+'KT THAN'!$D$32*ABS(I404)/MAX('KT THAN'!$D$68,0.001)))))</f>
        <v/>
      </c>
      <c r="P404" s="37" t="str">
        <f t="shared" si="68"/>
        <v/>
      </c>
      <c r="Q404" s="38" t="str">
        <f>IF($A404="","",MAX(0.001,'KT THAN'!$C$32*ABS(J404)/MAX(1,H404)))</f>
        <v/>
      </c>
      <c r="R404" s="38" t="str">
        <f>IF($A404="","",MAX(0.001,'KT THAN'!$D$32*ABS(I404)/MAX(1,H404)))</f>
        <v/>
      </c>
      <c r="S404" t="str">
        <f t="shared" si="62"/>
        <v/>
      </c>
    </row>
    <row r="405" spans="1:19" hidden="1" outlineLevel="1" x14ac:dyDescent="0.3">
      <c r="A405" s="37" t="str">
        <f>IF('TO HOP NLAN'!$A271="","",'TO HOP NLAN'!$A271)</f>
        <v/>
      </c>
      <c r="B405" s="38" t="str">
        <f>IF($A405="","",'TO HOP NLAN'!$D271)</f>
        <v/>
      </c>
      <c r="C405" s="38" t="str">
        <f>IF($A405="","",'TO HOP NLAN'!$E271)</f>
        <v/>
      </c>
      <c r="D405" s="38" t="str">
        <f>IF($A405="","",'TO HOP NLAN'!$F271)</f>
        <v/>
      </c>
      <c r="E405" s="38" t="str">
        <f>IF($A405="","",'TO HOP NLAN'!$B271)</f>
        <v/>
      </c>
      <c r="F405" s="38" t="str">
        <f>IF($A405="","",'TO HOP NLAN'!$C271)</f>
        <v/>
      </c>
      <c r="G405" s="38" t="str">
        <f t="shared" si="63"/>
        <v/>
      </c>
      <c r="H405" s="38" t="str">
        <f t="shared" si="61"/>
        <v/>
      </c>
      <c r="I405" s="38" t="str">
        <f t="shared" si="64"/>
        <v/>
      </c>
      <c r="J405" s="38" t="str">
        <f t="shared" si="65"/>
        <v/>
      </c>
      <c r="K405" s="38" t="str">
        <f t="shared" si="66"/>
        <v/>
      </c>
      <c r="L405" s="38" t="str">
        <f t="shared" si="67"/>
        <v/>
      </c>
      <c r="M405" s="38" t="str">
        <f>IF($A405="","",IF(H405=0,"",IF(Q405&lt;=0.000000001,MIN(0.8*0.75*'KT THAN'!$C$62,MAX('KT THAN'!$J$38:$J$58)),IFERROR(MIN(0.8*0.75*'KT THAN'!$C$62,INDEX('KT THAN'!$J$38:$J$58,MATCH(Q405,'KT THAN'!$L$38:$L$58,-1))+(INDEX('KT THAN'!$J$38:$J$58,MIN(21,MATCH(Q405,'KT THAN'!$L$38:$L$58,-1)+1))-INDEX('KT THAN'!$J$38:$J$58,MATCH(Q405,'KT THAN'!$L$38:$L$58,-1)))*(Q405-INDEX('KT THAN'!$L$38:$L$58,MATCH(Q405,'KT THAN'!$L$38:$L$58,-1)))/(INDEX('KT THAN'!$L$38:$L$58,MIN(21,MATCH(Q405,'KT THAN'!$L$38:$L$58,-1)+1))-INDEX('KT THAN'!$L$38:$L$58,MATCH(Q405,'KT THAN'!$L$38:$L$58,-1)))),MIN(0.8*0.75*'KT THAN'!$C$62,'KT THAN'!$C$68/Q405)))))</f>
        <v/>
      </c>
      <c r="N405" s="38" t="str">
        <f>IF($A405="","",IF(H405=0,"",IF(R405&lt;=0.000000001,MIN(0.8*0.75*'KT THAN'!$C$62,MAX('KT THAN'!$W$38:$W$58)),IFERROR(MIN(0.8*0.75*'KT THAN'!$C$62,INDEX('KT THAN'!$W$38:$W$58,MATCH(R405,'KT THAN'!$Y$38:$Y$58,-1))+(INDEX('KT THAN'!$W$38:$W$58,MIN(21,MATCH(R405,'KT THAN'!$Y$38:$Y$58,-1)+1))-INDEX('KT THAN'!$W$38:$W$58,MATCH(R405,'KT THAN'!$Y$38:$Y$58,-1)))*(R405-INDEX('KT THAN'!$Y$38:$Y$58,MATCH(R405,'KT THAN'!$Y$38:$Y$58,-1)))/(INDEX('KT THAN'!$Y$38:$Y$58,MIN(21,MATCH(R405,'KT THAN'!$Y$38:$Y$58,-1)+1))-INDEX('KT THAN'!$Y$38:$Y$58,MATCH(R405,'KT THAN'!$Y$38:$Y$58,-1)))),MIN(0.8*0.75*'KT THAN'!$C$62,'KT THAN'!$D$68/R405)))))</f>
        <v/>
      </c>
      <c r="O405" s="38" t="str">
        <f>IF($A405="","",IF(H405&lt;0,ABS(H405)/MAX('KT THAN'!$C$69,0.001)+'KT THAN'!$C$32*ABS(J405)/MAX('KT THAN'!$C$68,0.001)+'KT THAN'!$D$32*ABS(I405)/MAX('KT THAN'!$D$68,0.001),IF(OR(M405&lt;=0,N405&lt;=0),999,IF(H405&gt;=0.1*0.75*fc_*Agth*1000,H405/MAX(0.001,1/(1/M405+1/N405-1/(0.75*'KT THAN'!$C$62))),'KT THAN'!$C$32*ABS(J405)/MAX('KT THAN'!$C$68,0.001)+'KT THAN'!$D$32*ABS(I405)/MAX('KT THAN'!$D$68,0.001)))))</f>
        <v/>
      </c>
      <c r="P405" s="37" t="str">
        <f t="shared" si="68"/>
        <v/>
      </c>
      <c r="Q405" s="38" t="str">
        <f>IF($A405="","",MAX(0.001,'KT THAN'!$C$32*ABS(J405)/MAX(1,H405)))</f>
        <v/>
      </c>
      <c r="R405" s="38" t="str">
        <f>IF($A405="","",MAX(0.001,'KT THAN'!$D$32*ABS(I405)/MAX(1,H405)))</f>
        <v/>
      </c>
      <c r="S405" t="str">
        <f t="shared" si="62"/>
        <v/>
      </c>
    </row>
    <row r="406" spans="1:19" hidden="1" outlineLevel="1" x14ac:dyDescent="0.3">
      <c r="A406" s="37" t="str">
        <f>IF('TO HOP NLAN'!$A272="","",'TO HOP NLAN'!$A272)</f>
        <v/>
      </c>
      <c r="B406" s="38" t="str">
        <f>IF($A406="","",'TO HOP NLAN'!$D272)</f>
        <v/>
      </c>
      <c r="C406" s="38" t="str">
        <f>IF($A406="","",'TO HOP NLAN'!$E272)</f>
        <v/>
      </c>
      <c r="D406" s="38" t="str">
        <f>IF($A406="","",'TO HOP NLAN'!$F272)</f>
        <v/>
      </c>
      <c r="E406" s="38" t="str">
        <f>IF($A406="","",'TO HOP NLAN'!$B272)</f>
        <v/>
      </c>
      <c r="F406" s="38" t="str">
        <f>IF($A406="","",'TO HOP NLAN'!$C272)</f>
        <v/>
      </c>
      <c r="G406" s="38" t="str">
        <f t="shared" si="63"/>
        <v/>
      </c>
      <c r="H406" s="38" t="str">
        <f t="shared" si="61"/>
        <v/>
      </c>
      <c r="I406" s="38" t="str">
        <f t="shared" si="64"/>
        <v/>
      </c>
      <c r="J406" s="38" t="str">
        <f t="shared" si="65"/>
        <v/>
      </c>
      <c r="K406" s="38" t="str">
        <f t="shared" si="66"/>
        <v/>
      </c>
      <c r="L406" s="38" t="str">
        <f t="shared" si="67"/>
        <v/>
      </c>
      <c r="M406" s="38" t="str">
        <f>IF($A406="","",IF(H406=0,"",IF(Q406&lt;=0.000000001,MIN(0.8*0.75*'KT THAN'!$C$62,MAX('KT THAN'!$J$38:$J$58)),IFERROR(MIN(0.8*0.75*'KT THAN'!$C$62,INDEX('KT THAN'!$J$38:$J$58,MATCH(Q406,'KT THAN'!$L$38:$L$58,-1))+(INDEX('KT THAN'!$J$38:$J$58,MIN(21,MATCH(Q406,'KT THAN'!$L$38:$L$58,-1)+1))-INDEX('KT THAN'!$J$38:$J$58,MATCH(Q406,'KT THAN'!$L$38:$L$58,-1)))*(Q406-INDEX('KT THAN'!$L$38:$L$58,MATCH(Q406,'KT THAN'!$L$38:$L$58,-1)))/(INDEX('KT THAN'!$L$38:$L$58,MIN(21,MATCH(Q406,'KT THAN'!$L$38:$L$58,-1)+1))-INDEX('KT THAN'!$L$38:$L$58,MATCH(Q406,'KT THAN'!$L$38:$L$58,-1)))),MIN(0.8*0.75*'KT THAN'!$C$62,'KT THAN'!$C$68/Q406)))))</f>
        <v/>
      </c>
      <c r="N406" s="38" t="str">
        <f>IF($A406="","",IF(H406=0,"",IF(R406&lt;=0.000000001,MIN(0.8*0.75*'KT THAN'!$C$62,MAX('KT THAN'!$W$38:$W$58)),IFERROR(MIN(0.8*0.75*'KT THAN'!$C$62,INDEX('KT THAN'!$W$38:$W$58,MATCH(R406,'KT THAN'!$Y$38:$Y$58,-1))+(INDEX('KT THAN'!$W$38:$W$58,MIN(21,MATCH(R406,'KT THAN'!$Y$38:$Y$58,-1)+1))-INDEX('KT THAN'!$W$38:$W$58,MATCH(R406,'KT THAN'!$Y$38:$Y$58,-1)))*(R406-INDEX('KT THAN'!$Y$38:$Y$58,MATCH(R406,'KT THAN'!$Y$38:$Y$58,-1)))/(INDEX('KT THAN'!$Y$38:$Y$58,MIN(21,MATCH(R406,'KT THAN'!$Y$38:$Y$58,-1)+1))-INDEX('KT THAN'!$Y$38:$Y$58,MATCH(R406,'KT THAN'!$Y$38:$Y$58,-1)))),MIN(0.8*0.75*'KT THAN'!$C$62,'KT THAN'!$D$68/R406)))))</f>
        <v/>
      </c>
      <c r="O406" s="38" t="str">
        <f>IF($A406="","",IF(H406&lt;0,ABS(H406)/MAX('KT THAN'!$C$69,0.001)+'KT THAN'!$C$32*ABS(J406)/MAX('KT THAN'!$C$68,0.001)+'KT THAN'!$D$32*ABS(I406)/MAX('KT THAN'!$D$68,0.001),IF(OR(M406&lt;=0,N406&lt;=0),999,IF(H406&gt;=0.1*0.75*fc_*Agth*1000,H406/MAX(0.001,1/(1/M406+1/N406-1/(0.75*'KT THAN'!$C$62))),'KT THAN'!$C$32*ABS(J406)/MAX('KT THAN'!$C$68,0.001)+'KT THAN'!$D$32*ABS(I406)/MAX('KT THAN'!$D$68,0.001)))))</f>
        <v/>
      </c>
      <c r="P406" s="37" t="str">
        <f t="shared" si="68"/>
        <v/>
      </c>
      <c r="Q406" s="38" t="str">
        <f>IF($A406="","",MAX(0.001,'KT THAN'!$C$32*ABS(J406)/MAX(1,H406)))</f>
        <v/>
      </c>
      <c r="R406" s="38" t="str">
        <f>IF($A406="","",MAX(0.001,'KT THAN'!$D$32*ABS(I406)/MAX(1,H406)))</f>
        <v/>
      </c>
      <c r="S406" t="str">
        <f t="shared" si="62"/>
        <v/>
      </c>
    </row>
    <row r="407" spans="1:19" hidden="1" outlineLevel="1" x14ac:dyDescent="0.3">
      <c r="A407" s="37" t="str">
        <f>IF('TO HOP NLAN'!$A273="","",'TO HOP NLAN'!$A273)</f>
        <v/>
      </c>
      <c r="B407" s="38" t="str">
        <f>IF($A407="","",'TO HOP NLAN'!$D273)</f>
        <v/>
      </c>
      <c r="C407" s="38" t="str">
        <f>IF($A407="","",'TO HOP NLAN'!$E273)</f>
        <v/>
      </c>
      <c r="D407" s="38" t="str">
        <f>IF($A407="","",'TO HOP NLAN'!$F273)</f>
        <v/>
      </c>
      <c r="E407" s="38" t="str">
        <f>IF($A407="","",'TO HOP NLAN'!$B273)</f>
        <v/>
      </c>
      <c r="F407" s="38" t="str">
        <f>IF($A407="","",'TO HOP NLAN'!$C273)</f>
        <v/>
      </c>
      <c r="G407" s="38" t="str">
        <f t="shared" si="63"/>
        <v/>
      </c>
      <c r="H407" s="38" t="str">
        <f t="shared" si="61"/>
        <v/>
      </c>
      <c r="I407" s="38" t="str">
        <f t="shared" si="64"/>
        <v/>
      </c>
      <c r="J407" s="38" t="str">
        <f t="shared" si="65"/>
        <v/>
      </c>
      <c r="K407" s="38" t="str">
        <f t="shared" si="66"/>
        <v/>
      </c>
      <c r="L407" s="38" t="str">
        <f t="shared" si="67"/>
        <v/>
      </c>
      <c r="M407" s="38" t="str">
        <f>IF($A407="","",IF(H407=0,"",IF(Q407&lt;=0.000000001,MIN(0.8*0.75*'KT THAN'!$C$62,MAX('KT THAN'!$J$38:$J$58)),IFERROR(MIN(0.8*0.75*'KT THAN'!$C$62,INDEX('KT THAN'!$J$38:$J$58,MATCH(Q407,'KT THAN'!$L$38:$L$58,-1))+(INDEX('KT THAN'!$J$38:$J$58,MIN(21,MATCH(Q407,'KT THAN'!$L$38:$L$58,-1)+1))-INDEX('KT THAN'!$J$38:$J$58,MATCH(Q407,'KT THAN'!$L$38:$L$58,-1)))*(Q407-INDEX('KT THAN'!$L$38:$L$58,MATCH(Q407,'KT THAN'!$L$38:$L$58,-1)))/(INDEX('KT THAN'!$L$38:$L$58,MIN(21,MATCH(Q407,'KT THAN'!$L$38:$L$58,-1)+1))-INDEX('KT THAN'!$L$38:$L$58,MATCH(Q407,'KT THAN'!$L$38:$L$58,-1)))),MIN(0.8*0.75*'KT THAN'!$C$62,'KT THAN'!$C$68/Q407)))))</f>
        <v/>
      </c>
      <c r="N407" s="38" t="str">
        <f>IF($A407="","",IF(H407=0,"",IF(R407&lt;=0.000000001,MIN(0.8*0.75*'KT THAN'!$C$62,MAX('KT THAN'!$W$38:$W$58)),IFERROR(MIN(0.8*0.75*'KT THAN'!$C$62,INDEX('KT THAN'!$W$38:$W$58,MATCH(R407,'KT THAN'!$Y$38:$Y$58,-1))+(INDEX('KT THAN'!$W$38:$W$58,MIN(21,MATCH(R407,'KT THAN'!$Y$38:$Y$58,-1)+1))-INDEX('KT THAN'!$W$38:$W$58,MATCH(R407,'KT THAN'!$Y$38:$Y$58,-1)))*(R407-INDEX('KT THAN'!$Y$38:$Y$58,MATCH(R407,'KT THAN'!$Y$38:$Y$58,-1)))/(INDEX('KT THAN'!$Y$38:$Y$58,MIN(21,MATCH(R407,'KT THAN'!$Y$38:$Y$58,-1)+1))-INDEX('KT THAN'!$Y$38:$Y$58,MATCH(R407,'KT THAN'!$Y$38:$Y$58,-1)))),MIN(0.8*0.75*'KT THAN'!$C$62,'KT THAN'!$D$68/R407)))))</f>
        <v/>
      </c>
      <c r="O407" s="38" t="str">
        <f>IF($A407="","",IF(H407&lt;0,ABS(H407)/MAX('KT THAN'!$C$69,0.001)+'KT THAN'!$C$32*ABS(J407)/MAX('KT THAN'!$C$68,0.001)+'KT THAN'!$D$32*ABS(I407)/MAX('KT THAN'!$D$68,0.001),IF(OR(M407&lt;=0,N407&lt;=0),999,IF(H407&gt;=0.1*0.75*fc_*Agth*1000,H407/MAX(0.001,1/(1/M407+1/N407-1/(0.75*'KT THAN'!$C$62))),'KT THAN'!$C$32*ABS(J407)/MAX('KT THAN'!$C$68,0.001)+'KT THAN'!$D$32*ABS(I407)/MAX('KT THAN'!$D$68,0.001)))))</f>
        <v/>
      </c>
      <c r="P407" s="37" t="str">
        <f t="shared" si="68"/>
        <v/>
      </c>
      <c r="Q407" s="38" t="str">
        <f>IF($A407="","",MAX(0.001,'KT THAN'!$C$32*ABS(J407)/MAX(1,H407)))</f>
        <v/>
      </c>
      <c r="R407" s="38" t="str">
        <f>IF($A407="","",MAX(0.001,'KT THAN'!$D$32*ABS(I407)/MAX(1,H407)))</f>
        <v/>
      </c>
      <c r="S407" t="str">
        <f t="shared" si="62"/>
        <v/>
      </c>
    </row>
    <row r="408" spans="1:19" hidden="1" outlineLevel="1" x14ac:dyDescent="0.3">
      <c r="A408" s="37" t="str">
        <f>IF('TO HOP NLAN'!$A274="","",'TO HOP NLAN'!$A274)</f>
        <v/>
      </c>
      <c r="B408" s="38" t="str">
        <f>IF($A408="","",'TO HOP NLAN'!$D274)</f>
        <v/>
      </c>
      <c r="C408" s="38" t="str">
        <f>IF($A408="","",'TO HOP NLAN'!$E274)</f>
        <v/>
      </c>
      <c r="D408" s="38" t="str">
        <f>IF($A408="","",'TO HOP NLAN'!$F274)</f>
        <v/>
      </c>
      <c r="E408" s="38" t="str">
        <f>IF($A408="","",'TO HOP NLAN'!$B274)</f>
        <v/>
      </c>
      <c r="F408" s="38" t="str">
        <f>IF($A408="","",'TO HOP NLAN'!$C274)</f>
        <v/>
      </c>
      <c r="G408" s="38" t="str">
        <f t="shared" si="63"/>
        <v/>
      </c>
      <c r="H408" s="38" t="str">
        <f t="shared" si="61"/>
        <v/>
      </c>
      <c r="I408" s="38" t="str">
        <f t="shared" si="64"/>
        <v/>
      </c>
      <c r="J408" s="38" t="str">
        <f t="shared" si="65"/>
        <v/>
      </c>
      <c r="K408" s="38" t="str">
        <f t="shared" si="66"/>
        <v/>
      </c>
      <c r="L408" s="38" t="str">
        <f t="shared" si="67"/>
        <v/>
      </c>
      <c r="M408" s="38" t="str">
        <f>IF($A408="","",IF(H408=0,"",IF(Q408&lt;=0.000000001,MIN(0.8*0.75*'KT THAN'!$C$62,MAX('KT THAN'!$J$38:$J$58)),IFERROR(MIN(0.8*0.75*'KT THAN'!$C$62,INDEX('KT THAN'!$J$38:$J$58,MATCH(Q408,'KT THAN'!$L$38:$L$58,-1))+(INDEX('KT THAN'!$J$38:$J$58,MIN(21,MATCH(Q408,'KT THAN'!$L$38:$L$58,-1)+1))-INDEX('KT THAN'!$J$38:$J$58,MATCH(Q408,'KT THAN'!$L$38:$L$58,-1)))*(Q408-INDEX('KT THAN'!$L$38:$L$58,MATCH(Q408,'KT THAN'!$L$38:$L$58,-1)))/(INDEX('KT THAN'!$L$38:$L$58,MIN(21,MATCH(Q408,'KT THAN'!$L$38:$L$58,-1)+1))-INDEX('KT THAN'!$L$38:$L$58,MATCH(Q408,'KT THAN'!$L$38:$L$58,-1)))),MIN(0.8*0.75*'KT THAN'!$C$62,'KT THAN'!$C$68/Q408)))))</f>
        <v/>
      </c>
      <c r="N408" s="38" t="str">
        <f>IF($A408="","",IF(H408=0,"",IF(R408&lt;=0.000000001,MIN(0.8*0.75*'KT THAN'!$C$62,MAX('KT THAN'!$W$38:$W$58)),IFERROR(MIN(0.8*0.75*'KT THAN'!$C$62,INDEX('KT THAN'!$W$38:$W$58,MATCH(R408,'KT THAN'!$Y$38:$Y$58,-1))+(INDEX('KT THAN'!$W$38:$W$58,MIN(21,MATCH(R408,'KT THAN'!$Y$38:$Y$58,-1)+1))-INDEX('KT THAN'!$W$38:$W$58,MATCH(R408,'KT THAN'!$Y$38:$Y$58,-1)))*(R408-INDEX('KT THAN'!$Y$38:$Y$58,MATCH(R408,'KT THAN'!$Y$38:$Y$58,-1)))/(INDEX('KT THAN'!$Y$38:$Y$58,MIN(21,MATCH(R408,'KT THAN'!$Y$38:$Y$58,-1)+1))-INDEX('KT THAN'!$Y$38:$Y$58,MATCH(R408,'KT THAN'!$Y$38:$Y$58,-1)))),MIN(0.8*0.75*'KT THAN'!$C$62,'KT THAN'!$D$68/R408)))))</f>
        <v/>
      </c>
      <c r="O408" s="38" t="str">
        <f>IF($A408="","",IF(H408&lt;0,ABS(H408)/MAX('KT THAN'!$C$69,0.001)+'KT THAN'!$C$32*ABS(J408)/MAX('KT THAN'!$C$68,0.001)+'KT THAN'!$D$32*ABS(I408)/MAX('KT THAN'!$D$68,0.001),IF(OR(M408&lt;=0,N408&lt;=0),999,IF(H408&gt;=0.1*0.75*fc_*Agth*1000,H408/MAX(0.001,1/(1/M408+1/N408-1/(0.75*'KT THAN'!$C$62))),'KT THAN'!$C$32*ABS(J408)/MAX('KT THAN'!$C$68,0.001)+'KT THAN'!$D$32*ABS(I408)/MAX('KT THAN'!$D$68,0.001)))))</f>
        <v/>
      </c>
      <c r="P408" s="37" t="str">
        <f t="shared" si="68"/>
        <v/>
      </c>
      <c r="Q408" s="38" t="str">
        <f>IF($A408="","",MAX(0.001,'KT THAN'!$C$32*ABS(J408)/MAX(1,H408)))</f>
        <v/>
      </c>
      <c r="R408" s="38" t="str">
        <f>IF($A408="","",MAX(0.001,'KT THAN'!$D$32*ABS(I408)/MAX(1,H408)))</f>
        <v/>
      </c>
      <c r="S408" t="str">
        <f t="shared" si="62"/>
        <v/>
      </c>
    </row>
    <row r="409" spans="1:19" hidden="1" outlineLevel="1" x14ac:dyDescent="0.3">
      <c r="A409" s="37" t="str">
        <f>IF('TO HOP NLAN'!$A275="","",'TO HOP NLAN'!$A275)</f>
        <v/>
      </c>
      <c r="B409" s="38" t="str">
        <f>IF($A409="","",'TO HOP NLAN'!$D275)</f>
        <v/>
      </c>
      <c r="C409" s="38" t="str">
        <f>IF($A409="","",'TO HOP NLAN'!$E275)</f>
        <v/>
      </c>
      <c r="D409" s="38" t="str">
        <f>IF($A409="","",'TO HOP NLAN'!$F275)</f>
        <v/>
      </c>
      <c r="E409" s="38" t="str">
        <f>IF($A409="","",'TO HOP NLAN'!$B275)</f>
        <v/>
      </c>
      <c r="F409" s="38" t="str">
        <f>IF($A409="","",'TO HOP NLAN'!$C275)</f>
        <v/>
      </c>
      <c r="G409" s="38" t="str">
        <f t="shared" si="63"/>
        <v/>
      </c>
      <c r="H409" s="38" t="str">
        <f t="shared" si="61"/>
        <v/>
      </c>
      <c r="I409" s="38" t="str">
        <f t="shared" si="64"/>
        <v/>
      </c>
      <c r="J409" s="38" t="str">
        <f t="shared" si="65"/>
        <v/>
      </c>
      <c r="K409" s="38" t="str">
        <f t="shared" si="66"/>
        <v/>
      </c>
      <c r="L409" s="38" t="str">
        <f t="shared" si="67"/>
        <v/>
      </c>
      <c r="M409" s="38" t="str">
        <f>IF($A409="","",IF(H409=0,"",IF(Q409&lt;=0.000000001,MIN(0.8*0.75*'KT THAN'!$C$62,MAX('KT THAN'!$J$38:$J$58)),IFERROR(MIN(0.8*0.75*'KT THAN'!$C$62,INDEX('KT THAN'!$J$38:$J$58,MATCH(Q409,'KT THAN'!$L$38:$L$58,-1))+(INDEX('KT THAN'!$J$38:$J$58,MIN(21,MATCH(Q409,'KT THAN'!$L$38:$L$58,-1)+1))-INDEX('KT THAN'!$J$38:$J$58,MATCH(Q409,'KT THAN'!$L$38:$L$58,-1)))*(Q409-INDEX('KT THAN'!$L$38:$L$58,MATCH(Q409,'KT THAN'!$L$38:$L$58,-1)))/(INDEX('KT THAN'!$L$38:$L$58,MIN(21,MATCH(Q409,'KT THAN'!$L$38:$L$58,-1)+1))-INDEX('KT THAN'!$L$38:$L$58,MATCH(Q409,'KT THAN'!$L$38:$L$58,-1)))),MIN(0.8*0.75*'KT THAN'!$C$62,'KT THAN'!$C$68/Q409)))))</f>
        <v/>
      </c>
      <c r="N409" s="38" t="str">
        <f>IF($A409="","",IF(H409=0,"",IF(R409&lt;=0.000000001,MIN(0.8*0.75*'KT THAN'!$C$62,MAX('KT THAN'!$W$38:$W$58)),IFERROR(MIN(0.8*0.75*'KT THAN'!$C$62,INDEX('KT THAN'!$W$38:$W$58,MATCH(R409,'KT THAN'!$Y$38:$Y$58,-1))+(INDEX('KT THAN'!$W$38:$W$58,MIN(21,MATCH(R409,'KT THAN'!$Y$38:$Y$58,-1)+1))-INDEX('KT THAN'!$W$38:$W$58,MATCH(R409,'KT THAN'!$Y$38:$Y$58,-1)))*(R409-INDEX('KT THAN'!$Y$38:$Y$58,MATCH(R409,'KT THAN'!$Y$38:$Y$58,-1)))/(INDEX('KT THAN'!$Y$38:$Y$58,MIN(21,MATCH(R409,'KT THAN'!$Y$38:$Y$58,-1)+1))-INDEX('KT THAN'!$Y$38:$Y$58,MATCH(R409,'KT THAN'!$Y$38:$Y$58,-1)))),MIN(0.8*0.75*'KT THAN'!$C$62,'KT THAN'!$D$68/R409)))))</f>
        <v/>
      </c>
      <c r="O409" s="38" t="str">
        <f>IF($A409="","",IF(H409&lt;0,ABS(H409)/MAX('KT THAN'!$C$69,0.001)+'KT THAN'!$C$32*ABS(J409)/MAX('KT THAN'!$C$68,0.001)+'KT THAN'!$D$32*ABS(I409)/MAX('KT THAN'!$D$68,0.001),IF(OR(M409&lt;=0,N409&lt;=0),999,IF(H409&gt;=0.1*0.75*fc_*Agth*1000,H409/MAX(0.001,1/(1/M409+1/N409-1/(0.75*'KT THAN'!$C$62))),'KT THAN'!$C$32*ABS(J409)/MAX('KT THAN'!$C$68,0.001)+'KT THAN'!$D$32*ABS(I409)/MAX('KT THAN'!$D$68,0.001)))))</f>
        <v/>
      </c>
      <c r="P409" s="37" t="str">
        <f t="shared" si="68"/>
        <v/>
      </c>
      <c r="Q409" s="38" t="str">
        <f>IF($A409="","",MAX(0.001,'KT THAN'!$C$32*ABS(J409)/MAX(1,H409)))</f>
        <v/>
      </c>
      <c r="R409" s="38" t="str">
        <f>IF($A409="","",MAX(0.001,'KT THAN'!$D$32*ABS(I409)/MAX(1,H409)))</f>
        <v/>
      </c>
      <c r="S409" t="str">
        <f t="shared" si="62"/>
        <v/>
      </c>
    </row>
    <row r="410" spans="1:19" hidden="1" outlineLevel="1" x14ac:dyDescent="0.3">
      <c r="A410" s="37" t="str">
        <f>IF('TO HOP NLAN'!$A276="","",'TO HOP NLAN'!$A276)</f>
        <v/>
      </c>
      <c r="B410" s="38" t="str">
        <f>IF($A410="","",'TO HOP NLAN'!$D276)</f>
        <v/>
      </c>
      <c r="C410" s="38" t="str">
        <f>IF($A410="","",'TO HOP NLAN'!$E276)</f>
        <v/>
      </c>
      <c r="D410" s="38" t="str">
        <f>IF($A410="","",'TO HOP NLAN'!$F276)</f>
        <v/>
      </c>
      <c r="E410" s="38" t="str">
        <f>IF($A410="","",'TO HOP NLAN'!$B276)</f>
        <v/>
      </c>
      <c r="F410" s="38" t="str">
        <f>IF($A410="","",'TO HOP NLAN'!$C276)</f>
        <v/>
      </c>
      <c r="G410" s="38" t="str">
        <f t="shared" si="63"/>
        <v/>
      </c>
      <c r="H410" s="38" t="str">
        <f t="shared" si="61"/>
        <v/>
      </c>
      <c r="I410" s="38" t="str">
        <f t="shared" si="64"/>
        <v/>
      </c>
      <c r="J410" s="38" t="str">
        <f t="shared" si="65"/>
        <v/>
      </c>
      <c r="K410" s="38" t="str">
        <f t="shared" si="66"/>
        <v/>
      </c>
      <c r="L410" s="38" t="str">
        <f t="shared" si="67"/>
        <v/>
      </c>
      <c r="M410" s="38" t="str">
        <f>IF($A410="","",IF(H410=0,"",IF(Q410&lt;=0.000000001,MIN(0.8*0.75*'KT THAN'!$C$62,MAX('KT THAN'!$J$38:$J$58)),IFERROR(MIN(0.8*0.75*'KT THAN'!$C$62,INDEX('KT THAN'!$J$38:$J$58,MATCH(Q410,'KT THAN'!$L$38:$L$58,-1))+(INDEX('KT THAN'!$J$38:$J$58,MIN(21,MATCH(Q410,'KT THAN'!$L$38:$L$58,-1)+1))-INDEX('KT THAN'!$J$38:$J$58,MATCH(Q410,'KT THAN'!$L$38:$L$58,-1)))*(Q410-INDEX('KT THAN'!$L$38:$L$58,MATCH(Q410,'KT THAN'!$L$38:$L$58,-1)))/(INDEX('KT THAN'!$L$38:$L$58,MIN(21,MATCH(Q410,'KT THAN'!$L$38:$L$58,-1)+1))-INDEX('KT THAN'!$L$38:$L$58,MATCH(Q410,'KT THAN'!$L$38:$L$58,-1)))),MIN(0.8*0.75*'KT THAN'!$C$62,'KT THAN'!$C$68/Q410)))))</f>
        <v/>
      </c>
      <c r="N410" s="38" t="str">
        <f>IF($A410="","",IF(H410=0,"",IF(R410&lt;=0.000000001,MIN(0.8*0.75*'KT THAN'!$C$62,MAX('KT THAN'!$W$38:$W$58)),IFERROR(MIN(0.8*0.75*'KT THAN'!$C$62,INDEX('KT THAN'!$W$38:$W$58,MATCH(R410,'KT THAN'!$Y$38:$Y$58,-1))+(INDEX('KT THAN'!$W$38:$W$58,MIN(21,MATCH(R410,'KT THAN'!$Y$38:$Y$58,-1)+1))-INDEX('KT THAN'!$W$38:$W$58,MATCH(R410,'KT THAN'!$Y$38:$Y$58,-1)))*(R410-INDEX('KT THAN'!$Y$38:$Y$58,MATCH(R410,'KT THAN'!$Y$38:$Y$58,-1)))/(INDEX('KT THAN'!$Y$38:$Y$58,MIN(21,MATCH(R410,'KT THAN'!$Y$38:$Y$58,-1)+1))-INDEX('KT THAN'!$Y$38:$Y$58,MATCH(R410,'KT THAN'!$Y$38:$Y$58,-1)))),MIN(0.8*0.75*'KT THAN'!$C$62,'KT THAN'!$D$68/R410)))))</f>
        <v/>
      </c>
      <c r="O410" s="38" t="str">
        <f>IF($A410="","",IF(H410&lt;0,ABS(H410)/MAX('KT THAN'!$C$69,0.001)+'KT THAN'!$C$32*ABS(J410)/MAX('KT THAN'!$C$68,0.001)+'KT THAN'!$D$32*ABS(I410)/MAX('KT THAN'!$D$68,0.001),IF(OR(M410&lt;=0,N410&lt;=0),999,IF(H410&gt;=0.1*0.75*fc_*Agth*1000,H410/MAX(0.001,1/(1/M410+1/N410-1/(0.75*'KT THAN'!$C$62))),'KT THAN'!$C$32*ABS(J410)/MAX('KT THAN'!$C$68,0.001)+'KT THAN'!$D$32*ABS(I410)/MAX('KT THAN'!$D$68,0.001)))))</f>
        <v/>
      </c>
      <c r="P410" s="37" t="str">
        <f t="shared" si="68"/>
        <v/>
      </c>
      <c r="Q410" s="38" t="str">
        <f>IF($A410="","",MAX(0.001,'KT THAN'!$C$32*ABS(J410)/MAX(1,H410)))</f>
        <v/>
      </c>
      <c r="R410" s="38" t="str">
        <f>IF($A410="","",MAX(0.001,'KT THAN'!$D$32*ABS(I410)/MAX(1,H410)))</f>
        <v/>
      </c>
      <c r="S410" t="str">
        <f t="shared" si="62"/>
        <v/>
      </c>
    </row>
    <row r="411" spans="1:19" hidden="1" outlineLevel="1" x14ac:dyDescent="0.3">
      <c r="A411" s="37" t="str">
        <f>IF('TO HOP NLAN'!$A277="","",'TO HOP NLAN'!$A277)</f>
        <v/>
      </c>
      <c r="B411" s="38" t="str">
        <f>IF($A411="","",'TO HOP NLAN'!$D277)</f>
        <v/>
      </c>
      <c r="C411" s="38" t="str">
        <f>IF($A411="","",'TO HOP NLAN'!$E277)</f>
        <v/>
      </c>
      <c r="D411" s="38" t="str">
        <f>IF($A411="","",'TO HOP NLAN'!$F277)</f>
        <v/>
      </c>
      <c r="E411" s="38" t="str">
        <f>IF($A411="","",'TO HOP NLAN'!$B277)</f>
        <v/>
      </c>
      <c r="F411" s="38" t="str">
        <f>IF($A411="","",'TO HOP NLAN'!$C277)</f>
        <v/>
      </c>
      <c r="G411" s="38" t="str">
        <f t="shared" si="63"/>
        <v/>
      </c>
      <c r="H411" s="38" t="str">
        <f t="shared" si="61"/>
        <v/>
      </c>
      <c r="I411" s="38" t="str">
        <f t="shared" si="64"/>
        <v/>
      </c>
      <c r="J411" s="38" t="str">
        <f t="shared" si="65"/>
        <v/>
      </c>
      <c r="K411" s="38" t="str">
        <f t="shared" si="66"/>
        <v/>
      </c>
      <c r="L411" s="38" t="str">
        <f t="shared" si="67"/>
        <v/>
      </c>
      <c r="M411" s="38" t="str">
        <f>IF($A411="","",IF(H411=0,"",IF(Q411&lt;=0.000000001,MIN(0.8*0.75*'KT THAN'!$C$62,MAX('KT THAN'!$J$38:$J$58)),IFERROR(MIN(0.8*0.75*'KT THAN'!$C$62,INDEX('KT THAN'!$J$38:$J$58,MATCH(Q411,'KT THAN'!$L$38:$L$58,-1))+(INDEX('KT THAN'!$J$38:$J$58,MIN(21,MATCH(Q411,'KT THAN'!$L$38:$L$58,-1)+1))-INDEX('KT THAN'!$J$38:$J$58,MATCH(Q411,'KT THAN'!$L$38:$L$58,-1)))*(Q411-INDEX('KT THAN'!$L$38:$L$58,MATCH(Q411,'KT THAN'!$L$38:$L$58,-1)))/(INDEX('KT THAN'!$L$38:$L$58,MIN(21,MATCH(Q411,'KT THAN'!$L$38:$L$58,-1)+1))-INDEX('KT THAN'!$L$38:$L$58,MATCH(Q411,'KT THAN'!$L$38:$L$58,-1)))),MIN(0.8*0.75*'KT THAN'!$C$62,'KT THAN'!$C$68/Q411)))))</f>
        <v/>
      </c>
      <c r="N411" s="38" t="str">
        <f>IF($A411="","",IF(H411=0,"",IF(R411&lt;=0.000000001,MIN(0.8*0.75*'KT THAN'!$C$62,MAX('KT THAN'!$W$38:$W$58)),IFERROR(MIN(0.8*0.75*'KT THAN'!$C$62,INDEX('KT THAN'!$W$38:$W$58,MATCH(R411,'KT THAN'!$Y$38:$Y$58,-1))+(INDEX('KT THAN'!$W$38:$W$58,MIN(21,MATCH(R411,'KT THAN'!$Y$38:$Y$58,-1)+1))-INDEX('KT THAN'!$W$38:$W$58,MATCH(R411,'KT THAN'!$Y$38:$Y$58,-1)))*(R411-INDEX('KT THAN'!$Y$38:$Y$58,MATCH(R411,'KT THAN'!$Y$38:$Y$58,-1)))/(INDEX('KT THAN'!$Y$38:$Y$58,MIN(21,MATCH(R411,'KT THAN'!$Y$38:$Y$58,-1)+1))-INDEX('KT THAN'!$Y$38:$Y$58,MATCH(R411,'KT THAN'!$Y$38:$Y$58,-1)))),MIN(0.8*0.75*'KT THAN'!$C$62,'KT THAN'!$D$68/R411)))))</f>
        <v/>
      </c>
      <c r="O411" s="38" t="str">
        <f>IF($A411="","",IF(H411&lt;0,ABS(H411)/MAX('KT THAN'!$C$69,0.001)+'KT THAN'!$C$32*ABS(J411)/MAX('KT THAN'!$C$68,0.001)+'KT THAN'!$D$32*ABS(I411)/MAX('KT THAN'!$D$68,0.001),IF(OR(M411&lt;=0,N411&lt;=0),999,IF(H411&gt;=0.1*0.75*fc_*Agth*1000,H411/MAX(0.001,1/(1/M411+1/N411-1/(0.75*'KT THAN'!$C$62))),'KT THAN'!$C$32*ABS(J411)/MAX('KT THAN'!$C$68,0.001)+'KT THAN'!$D$32*ABS(I411)/MAX('KT THAN'!$D$68,0.001)))))</f>
        <v/>
      </c>
      <c r="P411" s="37" t="str">
        <f t="shared" si="68"/>
        <v/>
      </c>
      <c r="Q411" s="38" t="str">
        <f>IF($A411="","",MAX(0.001,'KT THAN'!$C$32*ABS(J411)/MAX(1,H411)))</f>
        <v/>
      </c>
      <c r="R411" s="38" t="str">
        <f>IF($A411="","",MAX(0.001,'KT THAN'!$D$32*ABS(I411)/MAX(1,H411)))</f>
        <v/>
      </c>
      <c r="S411" t="str">
        <f t="shared" si="62"/>
        <v/>
      </c>
    </row>
    <row r="412" spans="1:19" hidden="1" outlineLevel="1" x14ac:dyDescent="0.3">
      <c r="A412" s="37" t="str">
        <f>IF('TO HOP NLAN'!$A278="","",'TO HOP NLAN'!$A278)</f>
        <v/>
      </c>
      <c r="B412" s="38" t="str">
        <f>IF($A412="","",'TO HOP NLAN'!$D278)</f>
        <v/>
      </c>
      <c r="C412" s="38" t="str">
        <f>IF($A412="","",'TO HOP NLAN'!$E278)</f>
        <v/>
      </c>
      <c r="D412" s="38" t="str">
        <f>IF($A412="","",'TO HOP NLAN'!$F278)</f>
        <v/>
      </c>
      <c r="E412" s="38" t="str">
        <f>IF($A412="","",'TO HOP NLAN'!$B278)</f>
        <v/>
      </c>
      <c r="F412" s="38" t="str">
        <f>IF($A412="","",'TO HOP NLAN'!$C278)</f>
        <v/>
      </c>
      <c r="G412" s="38" t="str">
        <f t="shared" si="63"/>
        <v/>
      </c>
      <c r="H412" s="38" t="str">
        <f t="shared" si="61"/>
        <v/>
      </c>
      <c r="I412" s="38" t="str">
        <f t="shared" si="64"/>
        <v/>
      </c>
      <c r="J412" s="38" t="str">
        <f t="shared" si="65"/>
        <v/>
      </c>
      <c r="K412" s="38" t="str">
        <f t="shared" si="66"/>
        <v/>
      </c>
      <c r="L412" s="38" t="str">
        <f t="shared" si="67"/>
        <v/>
      </c>
      <c r="M412" s="38" t="str">
        <f>IF($A412="","",IF(H412=0,"",IF(Q412&lt;=0.000000001,MIN(0.8*0.75*'KT THAN'!$C$62,MAX('KT THAN'!$J$38:$J$58)),IFERROR(MIN(0.8*0.75*'KT THAN'!$C$62,INDEX('KT THAN'!$J$38:$J$58,MATCH(Q412,'KT THAN'!$L$38:$L$58,-1))+(INDEX('KT THAN'!$J$38:$J$58,MIN(21,MATCH(Q412,'KT THAN'!$L$38:$L$58,-1)+1))-INDEX('KT THAN'!$J$38:$J$58,MATCH(Q412,'KT THAN'!$L$38:$L$58,-1)))*(Q412-INDEX('KT THAN'!$L$38:$L$58,MATCH(Q412,'KT THAN'!$L$38:$L$58,-1)))/(INDEX('KT THAN'!$L$38:$L$58,MIN(21,MATCH(Q412,'KT THAN'!$L$38:$L$58,-1)+1))-INDEX('KT THAN'!$L$38:$L$58,MATCH(Q412,'KT THAN'!$L$38:$L$58,-1)))),MIN(0.8*0.75*'KT THAN'!$C$62,'KT THAN'!$C$68/Q412)))))</f>
        <v/>
      </c>
      <c r="N412" s="38" t="str">
        <f>IF($A412="","",IF(H412=0,"",IF(R412&lt;=0.000000001,MIN(0.8*0.75*'KT THAN'!$C$62,MAX('KT THAN'!$W$38:$W$58)),IFERROR(MIN(0.8*0.75*'KT THAN'!$C$62,INDEX('KT THAN'!$W$38:$W$58,MATCH(R412,'KT THAN'!$Y$38:$Y$58,-1))+(INDEX('KT THAN'!$W$38:$W$58,MIN(21,MATCH(R412,'KT THAN'!$Y$38:$Y$58,-1)+1))-INDEX('KT THAN'!$W$38:$W$58,MATCH(R412,'KT THAN'!$Y$38:$Y$58,-1)))*(R412-INDEX('KT THAN'!$Y$38:$Y$58,MATCH(R412,'KT THAN'!$Y$38:$Y$58,-1)))/(INDEX('KT THAN'!$Y$38:$Y$58,MIN(21,MATCH(R412,'KT THAN'!$Y$38:$Y$58,-1)+1))-INDEX('KT THAN'!$Y$38:$Y$58,MATCH(R412,'KT THAN'!$Y$38:$Y$58,-1)))),MIN(0.8*0.75*'KT THAN'!$C$62,'KT THAN'!$D$68/R412)))))</f>
        <v/>
      </c>
      <c r="O412" s="38" t="str">
        <f>IF($A412="","",IF(H412&lt;0,ABS(H412)/MAX('KT THAN'!$C$69,0.001)+'KT THAN'!$C$32*ABS(J412)/MAX('KT THAN'!$C$68,0.001)+'KT THAN'!$D$32*ABS(I412)/MAX('KT THAN'!$D$68,0.001),IF(OR(M412&lt;=0,N412&lt;=0),999,IF(H412&gt;=0.1*0.75*fc_*Agth*1000,H412/MAX(0.001,1/(1/M412+1/N412-1/(0.75*'KT THAN'!$C$62))),'KT THAN'!$C$32*ABS(J412)/MAX('KT THAN'!$C$68,0.001)+'KT THAN'!$D$32*ABS(I412)/MAX('KT THAN'!$D$68,0.001)))))</f>
        <v/>
      </c>
      <c r="P412" s="37" t="str">
        <f t="shared" si="68"/>
        <v/>
      </c>
      <c r="Q412" s="38" t="str">
        <f>IF($A412="","",MAX(0.001,'KT THAN'!$C$32*ABS(J412)/MAX(1,H412)))</f>
        <v/>
      </c>
      <c r="R412" s="38" t="str">
        <f>IF($A412="","",MAX(0.001,'KT THAN'!$D$32*ABS(I412)/MAX(1,H412)))</f>
        <v/>
      </c>
      <c r="S412" t="str">
        <f t="shared" si="62"/>
        <v/>
      </c>
    </row>
    <row r="413" spans="1:19" hidden="1" outlineLevel="1" x14ac:dyDescent="0.3">
      <c r="A413" s="37" t="str">
        <f>IF('TO HOP NLAN'!$A279="","",'TO HOP NLAN'!$A279)</f>
        <v/>
      </c>
      <c r="B413" s="38" t="str">
        <f>IF($A413="","",'TO HOP NLAN'!$D279)</f>
        <v/>
      </c>
      <c r="C413" s="38" t="str">
        <f>IF($A413="","",'TO HOP NLAN'!$E279)</f>
        <v/>
      </c>
      <c r="D413" s="38" t="str">
        <f>IF($A413="","",'TO HOP NLAN'!$F279)</f>
        <v/>
      </c>
      <c r="E413" s="38" t="str">
        <f>IF($A413="","",'TO HOP NLAN'!$B279)</f>
        <v/>
      </c>
      <c r="F413" s="38" t="str">
        <f>IF($A413="","",'TO HOP NLAN'!$C279)</f>
        <v/>
      </c>
      <c r="G413" s="38" t="str">
        <f t="shared" si="63"/>
        <v/>
      </c>
      <c r="H413" s="38" t="str">
        <f t="shared" si="61"/>
        <v/>
      </c>
      <c r="I413" s="38" t="str">
        <f t="shared" si="64"/>
        <v/>
      </c>
      <c r="J413" s="38" t="str">
        <f t="shared" si="65"/>
        <v/>
      </c>
      <c r="K413" s="38" t="str">
        <f t="shared" si="66"/>
        <v/>
      </c>
      <c r="L413" s="38" t="str">
        <f t="shared" si="67"/>
        <v/>
      </c>
      <c r="M413" s="38" t="str">
        <f>IF($A413="","",IF(H413=0,"",IF(Q413&lt;=0.000000001,MIN(0.8*0.75*'KT THAN'!$C$62,MAX('KT THAN'!$J$38:$J$58)),IFERROR(MIN(0.8*0.75*'KT THAN'!$C$62,INDEX('KT THAN'!$J$38:$J$58,MATCH(Q413,'KT THAN'!$L$38:$L$58,-1))+(INDEX('KT THAN'!$J$38:$J$58,MIN(21,MATCH(Q413,'KT THAN'!$L$38:$L$58,-1)+1))-INDEX('KT THAN'!$J$38:$J$58,MATCH(Q413,'KT THAN'!$L$38:$L$58,-1)))*(Q413-INDEX('KT THAN'!$L$38:$L$58,MATCH(Q413,'KT THAN'!$L$38:$L$58,-1)))/(INDEX('KT THAN'!$L$38:$L$58,MIN(21,MATCH(Q413,'KT THAN'!$L$38:$L$58,-1)+1))-INDEX('KT THAN'!$L$38:$L$58,MATCH(Q413,'KT THAN'!$L$38:$L$58,-1)))),MIN(0.8*0.75*'KT THAN'!$C$62,'KT THAN'!$C$68/Q413)))))</f>
        <v/>
      </c>
      <c r="N413" s="38" t="str">
        <f>IF($A413="","",IF(H413=0,"",IF(R413&lt;=0.000000001,MIN(0.8*0.75*'KT THAN'!$C$62,MAX('KT THAN'!$W$38:$W$58)),IFERROR(MIN(0.8*0.75*'KT THAN'!$C$62,INDEX('KT THAN'!$W$38:$W$58,MATCH(R413,'KT THAN'!$Y$38:$Y$58,-1))+(INDEX('KT THAN'!$W$38:$W$58,MIN(21,MATCH(R413,'KT THAN'!$Y$38:$Y$58,-1)+1))-INDEX('KT THAN'!$W$38:$W$58,MATCH(R413,'KT THAN'!$Y$38:$Y$58,-1)))*(R413-INDEX('KT THAN'!$Y$38:$Y$58,MATCH(R413,'KT THAN'!$Y$38:$Y$58,-1)))/(INDEX('KT THAN'!$Y$38:$Y$58,MIN(21,MATCH(R413,'KT THAN'!$Y$38:$Y$58,-1)+1))-INDEX('KT THAN'!$Y$38:$Y$58,MATCH(R413,'KT THAN'!$Y$38:$Y$58,-1)))),MIN(0.8*0.75*'KT THAN'!$C$62,'KT THAN'!$D$68/R413)))))</f>
        <v/>
      </c>
      <c r="O413" s="38" t="str">
        <f>IF($A413="","",IF(H413&lt;0,ABS(H413)/MAX('KT THAN'!$C$69,0.001)+'KT THAN'!$C$32*ABS(J413)/MAX('KT THAN'!$C$68,0.001)+'KT THAN'!$D$32*ABS(I413)/MAX('KT THAN'!$D$68,0.001),IF(OR(M413&lt;=0,N413&lt;=0),999,IF(H413&gt;=0.1*0.75*fc_*Agth*1000,H413/MAX(0.001,1/(1/M413+1/N413-1/(0.75*'KT THAN'!$C$62))),'KT THAN'!$C$32*ABS(J413)/MAX('KT THAN'!$C$68,0.001)+'KT THAN'!$D$32*ABS(I413)/MAX('KT THAN'!$D$68,0.001)))))</f>
        <v/>
      </c>
      <c r="P413" s="37" t="str">
        <f t="shared" si="68"/>
        <v/>
      </c>
      <c r="Q413" s="38" t="str">
        <f>IF($A413="","",MAX(0.001,'KT THAN'!$C$32*ABS(J413)/MAX(1,H413)))</f>
        <v/>
      </c>
      <c r="R413" s="38" t="str">
        <f>IF($A413="","",MAX(0.001,'KT THAN'!$D$32*ABS(I413)/MAX(1,H413)))</f>
        <v/>
      </c>
      <c r="S413" t="str">
        <f t="shared" si="62"/>
        <v/>
      </c>
    </row>
    <row r="414" spans="1:19" hidden="1" outlineLevel="1" x14ac:dyDescent="0.3">
      <c r="A414" s="37" t="str">
        <f>IF('TO HOP NLAN'!$A280="","",'TO HOP NLAN'!$A280)</f>
        <v/>
      </c>
      <c r="B414" s="38" t="str">
        <f>IF($A414="","",'TO HOP NLAN'!$D280)</f>
        <v/>
      </c>
      <c r="C414" s="38" t="str">
        <f>IF($A414="","",'TO HOP NLAN'!$E280)</f>
        <v/>
      </c>
      <c r="D414" s="38" t="str">
        <f>IF($A414="","",'TO HOP NLAN'!$F280)</f>
        <v/>
      </c>
      <c r="E414" s="38" t="str">
        <f>IF($A414="","",'TO HOP NLAN'!$B280)</f>
        <v/>
      </c>
      <c r="F414" s="38" t="str">
        <f>IF($A414="","",'TO HOP NLAN'!$C280)</f>
        <v/>
      </c>
      <c r="G414" s="38" t="str">
        <f t="shared" si="63"/>
        <v/>
      </c>
      <c r="H414" s="38" t="str">
        <f t="shared" si="61"/>
        <v/>
      </c>
      <c r="I414" s="38" t="str">
        <f t="shared" si="64"/>
        <v/>
      </c>
      <c r="J414" s="38" t="str">
        <f t="shared" si="65"/>
        <v/>
      </c>
      <c r="K414" s="38" t="str">
        <f t="shared" si="66"/>
        <v/>
      </c>
      <c r="L414" s="38" t="str">
        <f t="shared" si="67"/>
        <v/>
      </c>
      <c r="M414" s="38" t="str">
        <f>IF($A414="","",IF(H414=0,"",IF(Q414&lt;=0.000000001,MIN(0.8*0.75*'KT THAN'!$C$62,MAX('KT THAN'!$J$38:$J$58)),IFERROR(MIN(0.8*0.75*'KT THAN'!$C$62,INDEX('KT THAN'!$J$38:$J$58,MATCH(Q414,'KT THAN'!$L$38:$L$58,-1))+(INDEX('KT THAN'!$J$38:$J$58,MIN(21,MATCH(Q414,'KT THAN'!$L$38:$L$58,-1)+1))-INDEX('KT THAN'!$J$38:$J$58,MATCH(Q414,'KT THAN'!$L$38:$L$58,-1)))*(Q414-INDEX('KT THAN'!$L$38:$L$58,MATCH(Q414,'KT THAN'!$L$38:$L$58,-1)))/(INDEX('KT THAN'!$L$38:$L$58,MIN(21,MATCH(Q414,'KT THAN'!$L$38:$L$58,-1)+1))-INDEX('KT THAN'!$L$38:$L$58,MATCH(Q414,'KT THAN'!$L$38:$L$58,-1)))),MIN(0.8*0.75*'KT THAN'!$C$62,'KT THAN'!$C$68/Q414)))))</f>
        <v/>
      </c>
      <c r="N414" s="38" t="str">
        <f>IF($A414="","",IF(H414=0,"",IF(R414&lt;=0.000000001,MIN(0.8*0.75*'KT THAN'!$C$62,MAX('KT THAN'!$W$38:$W$58)),IFERROR(MIN(0.8*0.75*'KT THAN'!$C$62,INDEX('KT THAN'!$W$38:$W$58,MATCH(R414,'KT THAN'!$Y$38:$Y$58,-1))+(INDEX('KT THAN'!$W$38:$W$58,MIN(21,MATCH(R414,'KT THAN'!$Y$38:$Y$58,-1)+1))-INDEX('KT THAN'!$W$38:$W$58,MATCH(R414,'KT THAN'!$Y$38:$Y$58,-1)))*(R414-INDEX('KT THAN'!$Y$38:$Y$58,MATCH(R414,'KT THAN'!$Y$38:$Y$58,-1)))/(INDEX('KT THAN'!$Y$38:$Y$58,MIN(21,MATCH(R414,'KT THAN'!$Y$38:$Y$58,-1)+1))-INDEX('KT THAN'!$Y$38:$Y$58,MATCH(R414,'KT THAN'!$Y$38:$Y$58,-1)))),MIN(0.8*0.75*'KT THAN'!$C$62,'KT THAN'!$D$68/R414)))))</f>
        <v/>
      </c>
      <c r="O414" s="38" t="str">
        <f>IF($A414="","",IF(H414&lt;0,ABS(H414)/MAX('KT THAN'!$C$69,0.001)+'KT THAN'!$C$32*ABS(J414)/MAX('KT THAN'!$C$68,0.001)+'KT THAN'!$D$32*ABS(I414)/MAX('KT THAN'!$D$68,0.001),IF(OR(M414&lt;=0,N414&lt;=0),999,IF(H414&gt;=0.1*0.75*fc_*Agth*1000,H414/MAX(0.001,1/(1/M414+1/N414-1/(0.75*'KT THAN'!$C$62))),'KT THAN'!$C$32*ABS(J414)/MAX('KT THAN'!$C$68,0.001)+'KT THAN'!$D$32*ABS(I414)/MAX('KT THAN'!$D$68,0.001)))))</f>
        <v/>
      </c>
      <c r="P414" s="37" t="str">
        <f t="shared" si="68"/>
        <v/>
      </c>
      <c r="Q414" s="38" t="str">
        <f>IF($A414="","",MAX(0.001,'KT THAN'!$C$32*ABS(J414)/MAX(1,H414)))</f>
        <v/>
      </c>
      <c r="R414" s="38" t="str">
        <f>IF($A414="","",MAX(0.001,'KT THAN'!$D$32*ABS(I414)/MAX(1,H414)))</f>
        <v/>
      </c>
      <c r="S414" t="str">
        <f t="shared" si="62"/>
        <v/>
      </c>
    </row>
    <row r="415" spans="1:19" hidden="1" outlineLevel="1" x14ac:dyDescent="0.3">
      <c r="A415" s="37" t="str">
        <f>IF('TO HOP NLAN'!$A281="","",'TO HOP NLAN'!$A281)</f>
        <v/>
      </c>
      <c r="B415" s="38" t="str">
        <f>IF($A415="","",'TO HOP NLAN'!$D281)</f>
        <v/>
      </c>
      <c r="C415" s="38" t="str">
        <f>IF($A415="","",'TO HOP NLAN'!$E281)</f>
        <v/>
      </c>
      <c r="D415" s="38" t="str">
        <f>IF($A415="","",'TO HOP NLAN'!$F281)</f>
        <v/>
      </c>
      <c r="E415" s="38" t="str">
        <f>IF($A415="","",'TO HOP NLAN'!$B281)</f>
        <v/>
      </c>
      <c r="F415" s="38" t="str">
        <f>IF($A415="","",'TO HOP NLAN'!$C281)</f>
        <v/>
      </c>
      <c r="G415" s="38" t="str">
        <f t="shared" si="63"/>
        <v/>
      </c>
      <c r="H415" s="38" t="str">
        <f t="shared" si="61"/>
        <v/>
      </c>
      <c r="I415" s="38" t="str">
        <f t="shared" si="64"/>
        <v/>
      </c>
      <c r="J415" s="38" t="str">
        <f t="shared" si="65"/>
        <v/>
      </c>
      <c r="K415" s="38" t="str">
        <f t="shared" si="66"/>
        <v/>
      </c>
      <c r="L415" s="38" t="str">
        <f t="shared" si="67"/>
        <v/>
      </c>
      <c r="M415" s="38" t="str">
        <f>IF($A415="","",IF(H415=0,"",IF(Q415&lt;=0.000000001,MIN(0.8*0.75*'KT THAN'!$C$62,MAX('KT THAN'!$J$38:$J$58)),IFERROR(MIN(0.8*0.75*'KT THAN'!$C$62,INDEX('KT THAN'!$J$38:$J$58,MATCH(Q415,'KT THAN'!$L$38:$L$58,-1))+(INDEX('KT THAN'!$J$38:$J$58,MIN(21,MATCH(Q415,'KT THAN'!$L$38:$L$58,-1)+1))-INDEX('KT THAN'!$J$38:$J$58,MATCH(Q415,'KT THAN'!$L$38:$L$58,-1)))*(Q415-INDEX('KT THAN'!$L$38:$L$58,MATCH(Q415,'KT THAN'!$L$38:$L$58,-1)))/(INDEX('KT THAN'!$L$38:$L$58,MIN(21,MATCH(Q415,'KT THAN'!$L$38:$L$58,-1)+1))-INDEX('KT THAN'!$L$38:$L$58,MATCH(Q415,'KT THAN'!$L$38:$L$58,-1)))),MIN(0.8*0.75*'KT THAN'!$C$62,'KT THAN'!$C$68/Q415)))))</f>
        <v/>
      </c>
      <c r="N415" s="38" t="str">
        <f>IF($A415="","",IF(H415=0,"",IF(R415&lt;=0.000000001,MIN(0.8*0.75*'KT THAN'!$C$62,MAX('KT THAN'!$W$38:$W$58)),IFERROR(MIN(0.8*0.75*'KT THAN'!$C$62,INDEX('KT THAN'!$W$38:$W$58,MATCH(R415,'KT THAN'!$Y$38:$Y$58,-1))+(INDEX('KT THAN'!$W$38:$W$58,MIN(21,MATCH(R415,'KT THAN'!$Y$38:$Y$58,-1)+1))-INDEX('KT THAN'!$W$38:$W$58,MATCH(R415,'KT THAN'!$Y$38:$Y$58,-1)))*(R415-INDEX('KT THAN'!$Y$38:$Y$58,MATCH(R415,'KT THAN'!$Y$38:$Y$58,-1)))/(INDEX('KT THAN'!$Y$38:$Y$58,MIN(21,MATCH(R415,'KT THAN'!$Y$38:$Y$58,-1)+1))-INDEX('KT THAN'!$Y$38:$Y$58,MATCH(R415,'KT THAN'!$Y$38:$Y$58,-1)))),MIN(0.8*0.75*'KT THAN'!$C$62,'KT THAN'!$D$68/R415)))))</f>
        <v/>
      </c>
      <c r="O415" s="38" t="str">
        <f>IF($A415="","",IF(H415&lt;0,ABS(H415)/MAX('KT THAN'!$C$69,0.001)+'KT THAN'!$C$32*ABS(J415)/MAX('KT THAN'!$C$68,0.001)+'KT THAN'!$D$32*ABS(I415)/MAX('KT THAN'!$D$68,0.001),IF(OR(M415&lt;=0,N415&lt;=0),999,IF(H415&gt;=0.1*0.75*fc_*Agth*1000,H415/MAX(0.001,1/(1/M415+1/N415-1/(0.75*'KT THAN'!$C$62))),'KT THAN'!$C$32*ABS(J415)/MAX('KT THAN'!$C$68,0.001)+'KT THAN'!$D$32*ABS(I415)/MAX('KT THAN'!$D$68,0.001)))))</f>
        <v/>
      </c>
      <c r="P415" s="37" t="str">
        <f t="shared" si="68"/>
        <v/>
      </c>
      <c r="Q415" s="38" t="str">
        <f>IF($A415="","",MAX(0.001,'KT THAN'!$C$32*ABS(J415)/MAX(1,H415)))</f>
        <v/>
      </c>
      <c r="R415" s="38" t="str">
        <f>IF($A415="","",MAX(0.001,'KT THAN'!$D$32*ABS(I415)/MAX(1,H415)))</f>
        <v/>
      </c>
      <c r="S415" t="str">
        <f t="shared" si="62"/>
        <v/>
      </c>
    </row>
    <row r="416" spans="1:19" hidden="1" outlineLevel="1" x14ac:dyDescent="0.3">
      <c r="A416" s="37" t="str">
        <f>IF('TO HOP NLAN'!$A282="","",'TO HOP NLAN'!$A282)</f>
        <v/>
      </c>
      <c r="B416" s="38" t="str">
        <f>IF($A416="","",'TO HOP NLAN'!$D282)</f>
        <v/>
      </c>
      <c r="C416" s="38" t="str">
        <f>IF($A416="","",'TO HOP NLAN'!$E282)</f>
        <v/>
      </c>
      <c r="D416" s="38" t="str">
        <f>IF($A416="","",'TO HOP NLAN'!$F282)</f>
        <v/>
      </c>
      <c r="E416" s="38" t="str">
        <f>IF($A416="","",'TO HOP NLAN'!$B282)</f>
        <v/>
      </c>
      <c r="F416" s="38" t="str">
        <f>IF($A416="","",'TO HOP NLAN'!$C282)</f>
        <v/>
      </c>
      <c r="G416" s="38" t="str">
        <f t="shared" si="63"/>
        <v/>
      </c>
      <c r="H416" s="38" t="str">
        <f t="shared" si="61"/>
        <v/>
      </c>
      <c r="I416" s="38" t="str">
        <f t="shared" si="64"/>
        <v/>
      </c>
      <c r="J416" s="38" t="str">
        <f t="shared" si="65"/>
        <v/>
      </c>
      <c r="K416" s="38" t="str">
        <f t="shared" si="66"/>
        <v/>
      </c>
      <c r="L416" s="38" t="str">
        <f t="shared" si="67"/>
        <v/>
      </c>
      <c r="M416" s="38" t="str">
        <f>IF($A416="","",IF(H416=0,"",IF(Q416&lt;=0.000000001,MIN(0.8*0.75*'KT THAN'!$C$62,MAX('KT THAN'!$J$38:$J$58)),IFERROR(MIN(0.8*0.75*'KT THAN'!$C$62,INDEX('KT THAN'!$J$38:$J$58,MATCH(Q416,'KT THAN'!$L$38:$L$58,-1))+(INDEX('KT THAN'!$J$38:$J$58,MIN(21,MATCH(Q416,'KT THAN'!$L$38:$L$58,-1)+1))-INDEX('KT THAN'!$J$38:$J$58,MATCH(Q416,'KT THAN'!$L$38:$L$58,-1)))*(Q416-INDEX('KT THAN'!$L$38:$L$58,MATCH(Q416,'KT THAN'!$L$38:$L$58,-1)))/(INDEX('KT THAN'!$L$38:$L$58,MIN(21,MATCH(Q416,'KT THAN'!$L$38:$L$58,-1)+1))-INDEX('KT THAN'!$L$38:$L$58,MATCH(Q416,'KT THAN'!$L$38:$L$58,-1)))),MIN(0.8*0.75*'KT THAN'!$C$62,'KT THAN'!$C$68/Q416)))))</f>
        <v/>
      </c>
      <c r="N416" s="38" t="str">
        <f>IF($A416="","",IF(H416=0,"",IF(R416&lt;=0.000000001,MIN(0.8*0.75*'KT THAN'!$C$62,MAX('KT THAN'!$W$38:$W$58)),IFERROR(MIN(0.8*0.75*'KT THAN'!$C$62,INDEX('KT THAN'!$W$38:$W$58,MATCH(R416,'KT THAN'!$Y$38:$Y$58,-1))+(INDEX('KT THAN'!$W$38:$W$58,MIN(21,MATCH(R416,'KT THAN'!$Y$38:$Y$58,-1)+1))-INDEX('KT THAN'!$W$38:$W$58,MATCH(R416,'KT THAN'!$Y$38:$Y$58,-1)))*(R416-INDEX('KT THAN'!$Y$38:$Y$58,MATCH(R416,'KT THAN'!$Y$38:$Y$58,-1)))/(INDEX('KT THAN'!$Y$38:$Y$58,MIN(21,MATCH(R416,'KT THAN'!$Y$38:$Y$58,-1)+1))-INDEX('KT THAN'!$Y$38:$Y$58,MATCH(R416,'KT THAN'!$Y$38:$Y$58,-1)))),MIN(0.8*0.75*'KT THAN'!$C$62,'KT THAN'!$D$68/R416)))))</f>
        <v/>
      </c>
      <c r="O416" s="38" t="str">
        <f>IF($A416="","",IF(H416&lt;0,ABS(H416)/MAX('KT THAN'!$C$69,0.001)+'KT THAN'!$C$32*ABS(J416)/MAX('KT THAN'!$C$68,0.001)+'KT THAN'!$D$32*ABS(I416)/MAX('KT THAN'!$D$68,0.001),IF(OR(M416&lt;=0,N416&lt;=0),999,IF(H416&gt;=0.1*0.75*fc_*Agth*1000,H416/MAX(0.001,1/(1/M416+1/N416-1/(0.75*'KT THAN'!$C$62))),'KT THAN'!$C$32*ABS(J416)/MAX('KT THAN'!$C$68,0.001)+'KT THAN'!$D$32*ABS(I416)/MAX('KT THAN'!$D$68,0.001)))))</f>
        <v/>
      </c>
      <c r="P416" s="37" t="str">
        <f t="shared" si="68"/>
        <v/>
      </c>
      <c r="Q416" s="38" t="str">
        <f>IF($A416="","",MAX(0.001,'KT THAN'!$C$32*ABS(J416)/MAX(1,H416)))</f>
        <v/>
      </c>
      <c r="R416" s="38" t="str">
        <f>IF($A416="","",MAX(0.001,'KT THAN'!$D$32*ABS(I416)/MAX(1,H416)))</f>
        <v/>
      </c>
      <c r="S416" t="str">
        <f t="shared" si="62"/>
        <v/>
      </c>
    </row>
    <row r="417" spans="1:19" hidden="1" outlineLevel="1" x14ac:dyDescent="0.3">
      <c r="A417" s="37" t="str">
        <f>IF('TO HOP NLAN'!$A283="","",'TO HOP NLAN'!$A283)</f>
        <v/>
      </c>
      <c r="B417" s="38" t="str">
        <f>IF($A417="","",'TO HOP NLAN'!$D283)</f>
        <v/>
      </c>
      <c r="C417" s="38" t="str">
        <f>IF($A417="","",'TO HOP NLAN'!$E283)</f>
        <v/>
      </c>
      <c r="D417" s="38" t="str">
        <f>IF($A417="","",'TO HOP NLAN'!$F283)</f>
        <v/>
      </c>
      <c r="E417" s="38" t="str">
        <f>IF($A417="","",'TO HOP NLAN'!$B283)</f>
        <v/>
      </c>
      <c r="F417" s="38" t="str">
        <f>IF($A417="","",'TO HOP NLAN'!$C283)</f>
        <v/>
      </c>
      <c r="G417" s="38" t="str">
        <f t="shared" si="63"/>
        <v/>
      </c>
      <c r="H417" s="38" t="str">
        <f t="shared" si="61"/>
        <v/>
      </c>
      <c r="I417" s="38" t="str">
        <f t="shared" si="64"/>
        <v/>
      </c>
      <c r="J417" s="38" t="str">
        <f t="shared" si="65"/>
        <v/>
      </c>
      <c r="K417" s="38" t="str">
        <f t="shared" si="66"/>
        <v/>
      </c>
      <c r="L417" s="38" t="str">
        <f t="shared" si="67"/>
        <v/>
      </c>
      <c r="M417" s="38" t="str">
        <f>IF($A417="","",IF(H417=0,"",IF(Q417&lt;=0.000000001,MIN(0.8*0.75*'KT THAN'!$C$62,MAX('KT THAN'!$J$38:$J$58)),IFERROR(MIN(0.8*0.75*'KT THAN'!$C$62,INDEX('KT THAN'!$J$38:$J$58,MATCH(Q417,'KT THAN'!$L$38:$L$58,-1))+(INDEX('KT THAN'!$J$38:$J$58,MIN(21,MATCH(Q417,'KT THAN'!$L$38:$L$58,-1)+1))-INDEX('KT THAN'!$J$38:$J$58,MATCH(Q417,'KT THAN'!$L$38:$L$58,-1)))*(Q417-INDEX('KT THAN'!$L$38:$L$58,MATCH(Q417,'KT THAN'!$L$38:$L$58,-1)))/(INDEX('KT THAN'!$L$38:$L$58,MIN(21,MATCH(Q417,'KT THAN'!$L$38:$L$58,-1)+1))-INDEX('KT THAN'!$L$38:$L$58,MATCH(Q417,'KT THAN'!$L$38:$L$58,-1)))),MIN(0.8*0.75*'KT THAN'!$C$62,'KT THAN'!$C$68/Q417)))))</f>
        <v/>
      </c>
      <c r="N417" s="38" t="str">
        <f>IF($A417="","",IF(H417=0,"",IF(R417&lt;=0.000000001,MIN(0.8*0.75*'KT THAN'!$C$62,MAX('KT THAN'!$W$38:$W$58)),IFERROR(MIN(0.8*0.75*'KT THAN'!$C$62,INDEX('KT THAN'!$W$38:$W$58,MATCH(R417,'KT THAN'!$Y$38:$Y$58,-1))+(INDEX('KT THAN'!$W$38:$W$58,MIN(21,MATCH(R417,'KT THAN'!$Y$38:$Y$58,-1)+1))-INDEX('KT THAN'!$W$38:$W$58,MATCH(R417,'KT THAN'!$Y$38:$Y$58,-1)))*(R417-INDEX('KT THAN'!$Y$38:$Y$58,MATCH(R417,'KT THAN'!$Y$38:$Y$58,-1)))/(INDEX('KT THAN'!$Y$38:$Y$58,MIN(21,MATCH(R417,'KT THAN'!$Y$38:$Y$58,-1)+1))-INDEX('KT THAN'!$Y$38:$Y$58,MATCH(R417,'KT THAN'!$Y$38:$Y$58,-1)))),MIN(0.8*0.75*'KT THAN'!$C$62,'KT THAN'!$D$68/R417)))))</f>
        <v/>
      </c>
      <c r="O417" s="38" t="str">
        <f>IF($A417="","",IF(H417&lt;0,ABS(H417)/MAX('KT THAN'!$C$69,0.001)+'KT THAN'!$C$32*ABS(J417)/MAX('KT THAN'!$C$68,0.001)+'KT THAN'!$D$32*ABS(I417)/MAX('KT THAN'!$D$68,0.001),IF(OR(M417&lt;=0,N417&lt;=0),999,IF(H417&gt;=0.1*0.75*fc_*Agth*1000,H417/MAX(0.001,1/(1/M417+1/N417-1/(0.75*'KT THAN'!$C$62))),'KT THAN'!$C$32*ABS(J417)/MAX('KT THAN'!$C$68,0.001)+'KT THAN'!$D$32*ABS(I417)/MAX('KT THAN'!$D$68,0.001)))))</f>
        <v/>
      </c>
      <c r="P417" s="37" t="str">
        <f t="shared" si="68"/>
        <v/>
      </c>
      <c r="Q417" s="38" t="str">
        <f>IF($A417="","",MAX(0.001,'KT THAN'!$C$32*ABS(J417)/MAX(1,H417)))</f>
        <v/>
      </c>
      <c r="R417" s="38" t="str">
        <f>IF($A417="","",MAX(0.001,'KT THAN'!$D$32*ABS(I417)/MAX(1,H417)))</f>
        <v/>
      </c>
      <c r="S417" t="str">
        <f t="shared" si="62"/>
        <v/>
      </c>
    </row>
    <row r="418" spans="1:19" hidden="1" outlineLevel="1" x14ac:dyDescent="0.3">
      <c r="A418" s="37" t="str">
        <f>IF('TO HOP NLAN'!$A284="","",'TO HOP NLAN'!$A284)</f>
        <v/>
      </c>
      <c r="B418" s="38" t="str">
        <f>IF($A418="","",'TO HOP NLAN'!$D284)</f>
        <v/>
      </c>
      <c r="C418" s="38" t="str">
        <f>IF($A418="","",'TO HOP NLAN'!$E284)</f>
        <v/>
      </c>
      <c r="D418" s="38" t="str">
        <f>IF($A418="","",'TO HOP NLAN'!$F284)</f>
        <v/>
      </c>
      <c r="E418" s="38" t="str">
        <f>IF($A418="","",'TO HOP NLAN'!$B284)</f>
        <v/>
      </c>
      <c r="F418" s="38" t="str">
        <f>IF($A418="","",'TO HOP NLAN'!$C284)</f>
        <v/>
      </c>
      <c r="G418" s="38" t="str">
        <f t="shared" si="63"/>
        <v/>
      </c>
      <c r="H418" s="38" t="str">
        <f t="shared" si="61"/>
        <v/>
      </c>
      <c r="I418" s="38" t="str">
        <f t="shared" si="64"/>
        <v/>
      </c>
      <c r="J418" s="38" t="str">
        <f t="shared" si="65"/>
        <v/>
      </c>
      <c r="K418" s="38" t="str">
        <f t="shared" si="66"/>
        <v/>
      </c>
      <c r="L418" s="38" t="str">
        <f t="shared" si="67"/>
        <v/>
      </c>
      <c r="M418" s="38" t="str">
        <f>IF($A418="","",IF(H418=0,"",IF(Q418&lt;=0.000000001,MIN(0.8*0.75*'KT THAN'!$C$62,MAX('KT THAN'!$J$38:$J$58)),IFERROR(MIN(0.8*0.75*'KT THAN'!$C$62,INDEX('KT THAN'!$J$38:$J$58,MATCH(Q418,'KT THAN'!$L$38:$L$58,-1))+(INDEX('KT THAN'!$J$38:$J$58,MIN(21,MATCH(Q418,'KT THAN'!$L$38:$L$58,-1)+1))-INDEX('KT THAN'!$J$38:$J$58,MATCH(Q418,'KT THAN'!$L$38:$L$58,-1)))*(Q418-INDEX('KT THAN'!$L$38:$L$58,MATCH(Q418,'KT THAN'!$L$38:$L$58,-1)))/(INDEX('KT THAN'!$L$38:$L$58,MIN(21,MATCH(Q418,'KT THAN'!$L$38:$L$58,-1)+1))-INDEX('KT THAN'!$L$38:$L$58,MATCH(Q418,'KT THAN'!$L$38:$L$58,-1)))),MIN(0.8*0.75*'KT THAN'!$C$62,'KT THAN'!$C$68/Q418)))))</f>
        <v/>
      </c>
      <c r="N418" s="38" t="str">
        <f>IF($A418="","",IF(H418=0,"",IF(R418&lt;=0.000000001,MIN(0.8*0.75*'KT THAN'!$C$62,MAX('KT THAN'!$W$38:$W$58)),IFERROR(MIN(0.8*0.75*'KT THAN'!$C$62,INDEX('KT THAN'!$W$38:$W$58,MATCH(R418,'KT THAN'!$Y$38:$Y$58,-1))+(INDEX('KT THAN'!$W$38:$W$58,MIN(21,MATCH(R418,'KT THAN'!$Y$38:$Y$58,-1)+1))-INDEX('KT THAN'!$W$38:$W$58,MATCH(R418,'KT THAN'!$Y$38:$Y$58,-1)))*(R418-INDEX('KT THAN'!$Y$38:$Y$58,MATCH(R418,'KT THAN'!$Y$38:$Y$58,-1)))/(INDEX('KT THAN'!$Y$38:$Y$58,MIN(21,MATCH(R418,'KT THAN'!$Y$38:$Y$58,-1)+1))-INDEX('KT THAN'!$Y$38:$Y$58,MATCH(R418,'KT THAN'!$Y$38:$Y$58,-1)))),MIN(0.8*0.75*'KT THAN'!$C$62,'KT THAN'!$D$68/R418)))))</f>
        <v/>
      </c>
      <c r="O418" s="38" t="str">
        <f>IF($A418="","",IF(H418&lt;0,ABS(H418)/MAX('KT THAN'!$C$69,0.001)+'KT THAN'!$C$32*ABS(J418)/MAX('KT THAN'!$C$68,0.001)+'KT THAN'!$D$32*ABS(I418)/MAX('KT THAN'!$D$68,0.001),IF(OR(M418&lt;=0,N418&lt;=0),999,IF(H418&gt;=0.1*0.75*fc_*Agth*1000,H418/MAX(0.001,1/(1/M418+1/N418-1/(0.75*'KT THAN'!$C$62))),'KT THAN'!$C$32*ABS(J418)/MAX('KT THAN'!$C$68,0.001)+'KT THAN'!$D$32*ABS(I418)/MAX('KT THAN'!$D$68,0.001)))))</f>
        <v/>
      </c>
      <c r="P418" s="37" t="str">
        <f t="shared" si="68"/>
        <v/>
      </c>
      <c r="Q418" s="38" t="str">
        <f>IF($A418="","",MAX(0.001,'KT THAN'!$C$32*ABS(J418)/MAX(1,H418)))</f>
        <v/>
      </c>
      <c r="R418" s="38" t="str">
        <f>IF($A418="","",MAX(0.001,'KT THAN'!$D$32*ABS(I418)/MAX(1,H418)))</f>
        <v/>
      </c>
      <c r="S418" t="str">
        <f t="shared" si="62"/>
        <v/>
      </c>
    </row>
    <row r="419" spans="1:19" hidden="1" outlineLevel="1" x14ac:dyDescent="0.3">
      <c r="A419" s="37" t="str">
        <f>IF('TO HOP NLAN'!$A285="","",'TO HOP NLAN'!$A285)</f>
        <v/>
      </c>
      <c r="B419" s="38" t="str">
        <f>IF($A419="","",'TO HOP NLAN'!$D285)</f>
        <v/>
      </c>
      <c r="C419" s="38" t="str">
        <f>IF($A419="","",'TO HOP NLAN'!$E285)</f>
        <v/>
      </c>
      <c r="D419" s="38" t="str">
        <f>IF($A419="","",'TO HOP NLAN'!$F285)</f>
        <v/>
      </c>
      <c r="E419" s="38" t="str">
        <f>IF($A419="","",'TO HOP NLAN'!$B285)</f>
        <v/>
      </c>
      <c r="F419" s="38" t="str">
        <f>IF($A419="","",'TO HOP NLAN'!$C285)</f>
        <v/>
      </c>
      <c r="G419" s="38" t="str">
        <f t="shared" si="63"/>
        <v/>
      </c>
      <c r="H419" s="38" t="str">
        <f t="shared" si="61"/>
        <v/>
      </c>
      <c r="I419" s="38" t="str">
        <f t="shared" si="64"/>
        <v/>
      </c>
      <c r="J419" s="38" t="str">
        <f t="shared" si="65"/>
        <v/>
      </c>
      <c r="K419" s="38" t="str">
        <f t="shared" si="66"/>
        <v/>
      </c>
      <c r="L419" s="38" t="str">
        <f t="shared" si="67"/>
        <v/>
      </c>
      <c r="M419" s="38" t="str">
        <f>IF($A419="","",IF(H419=0,"",IF(Q419&lt;=0.000000001,MIN(0.8*0.75*'KT THAN'!$C$62,MAX('KT THAN'!$J$38:$J$58)),IFERROR(MIN(0.8*0.75*'KT THAN'!$C$62,INDEX('KT THAN'!$J$38:$J$58,MATCH(Q419,'KT THAN'!$L$38:$L$58,-1))+(INDEX('KT THAN'!$J$38:$J$58,MIN(21,MATCH(Q419,'KT THAN'!$L$38:$L$58,-1)+1))-INDEX('KT THAN'!$J$38:$J$58,MATCH(Q419,'KT THAN'!$L$38:$L$58,-1)))*(Q419-INDEX('KT THAN'!$L$38:$L$58,MATCH(Q419,'KT THAN'!$L$38:$L$58,-1)))/(INDEX('KT THAN'!$L$38:$L$58,MIN(21,MATCH(Q419,'KT THAN'!$L$38:$L$58,-1)+1))-INDEX('KT THAN'!$L$38:$L$58,MATCH(Q419,'KT THAN'!$L$38:$L$58,-1)))),MIN(0.8*0.75*'KT THAN'!$C$62,'KT THAN'!$C$68/Q419)))))</f>
        <v/>
      </c>
      <c r="N419" s="38" t="str">
        <f>IF($A419="","",IF(H419=0,"",IF(R419&lt;=0.000000001,MIN(0.8*0.75*'KT THAN'!$C$62,MAX('KT THAN'!$W$38:$W$58)),IFERROR(MIN(0.8*0.75*'KT THAN'!$C$62,INDEX('KT THAN'!$W$38:$W$58,MATCH(R419,'KT THAN'!$Y$38:$Y$58,-1))+(INDEX('KT THAN'!$W$38:$W$58,MIN(21,MATCH(R419,'KT THAN'!$Y$38:$Y$58,-1)+1))-INDEX('KT THAN'!$W$38:$W$58,MATCH(R419,'KT THAN'!$Y$38:$Y$58,-1)))*(R419-INDEX('KT THAN'!$Y$38:$Y$58,MATCH(R419,'KT THAN'!$Y$38:$Y$58,-1)))/(INDEX('KT THAN'!$Y$38:$Y$58,MIN(21,MATCH(R419,'KT THAN'!$Y$38:$Y$58,-1)+1))-INDEX('KT THAN'!$Y$38:$Y$58,MATCH(R419,'KT THAN'!$Y$38:$Y$58,-1)))),MIN(0.8*0.75*'KT THAN'!$C$62,'KT THAN'!$D$68/R419)))))</f>
        <v/>
      </c>
      <c r="O419" s="38" t="str">
        <f>IF($A419="","",IF(H419&lt;0,ABS(H419)/MAX('KT THAN'!$C$69,0.001)+'KT THAN'!$C$32*ABS(J419)/MAX('KT THAN'!$C$68,0.001)+'KT THAN'!$D$32*ABS(I419)/MAX('KT THAN'!$D$68,0.001),IF(OR(M419&lt;=0,N419&lt;=0),999,IF(H419&gt;=0.1*0.75*fc_*Agth*1000,H419/MAX(0.001,1/(1/M419+1/N419-1/(0.75*'KT THAN'!$C$62))),'KT THAN'!$C$32*ABS(J419)/MAX('KT THAN'!$C$68,0.001)+'KT THAN'!$D$32*ABS(I419)/MAX('KT THAN'!$D$68,0.001)))))</f>
        <v/>
      </c>
      <c r="P419" s="37" t="str">
        <f t="shared" si="68"/>
        <v/>
      </c>
      <c r="Q419" s="38" t="str">
        <f>IF($A419="","",MAX(0.001,'KT THAN'!$C$32*ABS(J419)/MAX(1,H419)))</f>
        <v/>
      </c>
      <c r="R419" s="38" t="str">
        <f>IF($A419="","",MAX(0.001,'KT THAN'!$D$32*ABS(I419)/MAX(1,H419)))</f>
        <v/>
      </c>
      <c r="S419" t="str">
        <f t="shared" si="62"/>
        <v/>
      </c>
    </row>
    <row r="420" spans="1:19" hidden="1" outlineLevel="1" x14ac:dyDescent="0.3">
      <c r="A420" s="37" t="str">
        <f>IF('TO HOP NLAN'!$A286="","",'TO HOP NLAN'!$A286)</f>
        <v/>
      </c>
      <c r="B420" s="38" t="str">
        <f>IF($A420="","",'TO HOP NLAN'!$D286)</f>
        <v/>
      </c>
      <c r="C420" s="38" t="str">
        <f>IF($A420="","",'TO HOP NLAN'!$E286)</f>
        <v/>
      </c>
      <c r="D420" s="38" t="str">
        <f>IF($A420="","",'TO HOP NLAN'!$F286)</f>
        <v/>
      </c>
      <c r="E420" s="38" t="str">
        <f>IF($A420="","",'TO HOP NLAN'!$B286)</f>
        <v/>
      </c>
      <c r="F420" s="38" t="str">
        <f>IF($A420="","",'TO HOP NLAN'!$C286)</f>
        <v/>
      </c>
      <c r="G420" s="38" t="str">
        <f t="shared" si="63"/>
        <v/>
      </c>
      <c r="H420" s="38" t="str">
        <f t="shared" si="61"/>
        <v/>
      </c>
      <c r="I420" s="38" t="str">
        <f t="shared" si="64"/>
        <v/>
      </c>
      <c r="J420" s="38" t="str">
        <f t="shared" si="65"/>
        <v/>
      </c>
      <c r="K420" s="38" t="str">
        <f t="shared" si="66"/>
        <v/>
      </c>
      <c r="L420" s="38" t="str">
        <f t="shared" si="67"/>
        <v/>
      </c>
      <c r="M420" s="38" t="str">
        <f>IF($A420="","",IF(H420=0,"",IF(Q420&lt;=0.000000001,MIN(0.8*0.75*'KT THAN'!$C$62,MAX('KT THAN'!$J$38:$J$58)),IFERROR(MIN(0.8*0.75*'KT THAN'!$C$62,INDEX('KT THAN'!$J$38:$J$58,MATCH(Q420,'KT THAN'!$L$38:$L$58,-1))+(INDEX('KT THAN'!$J$38:$J$58,MIN(21,MATCH(Q420,'KT THAN'!$L$38:$L$58,-1)+1))-INDEX('KT THAN'!$J$38:$J$58,MATCH(Q420,'KT THAN'!$L$38:$L$58,-1)))*(Q420-INDEX('KT THAN'!$L$38:$L$58,MATCH(Q420,'KT THAN'!$L$38:$L$58,-1)))/(INDEX('KT THAN'!$L$38:$L$58,MIN(21,MATCH(Q420,'KT THAN'!$L$38:$L$58,-1)+1))-INDEX('KT THAN'!$L$38:$L$58,MATCH(Q420,'KT THAN'!$L$38:$L$58,-1)))),MIN(0.8*0.75*'KT THAN'!$C$62,'KT THAN'!$C$68/Q420)))))</f>
        <v/>
      </c>
      <c r="N420" s="38" t="str">
        <f>IF($A420="","",IF(H420=0,"",IF(R420&lt;=0.000000001,MIN(0.8*0.75*'KT THAN'!$C$62,MAX('KT THAN'!$W$38:$W$58)),IFERROR(MIN(0.8*0.75*'KT THAN'!$C$62,INDEX('KT THAN'!$W$38:$W$58,MATCH(R420,'KT THAN'!$Y$38:$Y$58,-1))+(INDEX('KT THAN'!$W$38:$W$58,MIN(21,MATCH(R420,'KT THAN'!$Y$38:$Y$58,-1)+1))-INDEX('KT THAN'!$W$38:$W$58,MATCH(R420,'KT THAN'!$Y$38:$Y$58,-1)))*(R420-INDEX('KT THAN'!$Y$38:$Y$58,MATCH(R420,'KT THAN'!$Y$38:$Y$58,-1)))/(INDEX('KT THAN'!$Y$38:$Y$58,MIN(21,MATCH(R420,'KT THAN'!$Y$38:$Y$58,-1)+1))-INDEX('KT THAN'!$Y$38:$Y$58,MATCH(R420,'KT THAN'!$Y$38:$Y$58,-1)))),MIN(0.8*0.75*'KT THAN'!$C$62,'KT THAN'!$D$68/R420)))))</f>
        <v/>
      </c>
      <c r="O420" s="38" t="str">
        <f>IF($A420="","",IF(H420&lt;0,ABS(H420)/MAX('KT THAN'!$C$69,0.001)+'KT THAN'!$C$32*ABS(J420)/MAX('KT THAN'!$C$68,0.001)+'KT THAN'!$D$32*ABS(I420)/MAX('KT THAN'!$D$68,0.001),IF(OR(M420&lt;=0,N420&lt;=0),999,IF(H420&gt;=0.1*0.75*fc_*Agth*1000,H420/MAX(0.001,1/(1/M420+1/N420-1/(0.75*'KT THAN'!$C$62))),'KT THAN'!$C$32*ABS(J420)/MAX('KT THAN'!$C$68,0.001)+'KT THAN'!$D$32*ABS(I420)/MAX('KT THAN'!$D$68,0.001)))))</f>
        <v/>
      </c>
      <c r="P420" s="37" t="str">
        <f t="shared" si="68"/>
        <v/>
      </c>
      <c r="Q420" s="38" t="str">
        <f>IF($A420="","",MAX(0.001,'KT THAN'!$C$32*ABS(J420)/MAX(1,H420)))</f>
        <v/>
      </c>
      <c r="R420" s="38" t="str">
        <f>IF($A420="","",MAX(0.001,'KT THAN'!$D$32*ABS(I420)/MAX(1,H420)))</f>
        <v/>
      </c>
      <c r="S420" t="str">
        <f t="shared" si="62"/>
        <v/>
      </c>
    </row>
    <row r="421" spans="1:19" hidden="1" outlineLevel="1" x14ac:dyDescent="0.3">
      <c r="A421" s="37" t="str">
        <f>IF('TO HOP NLAN'!$A287="","",'TO HOP NLAN'!$A287)</f>
        <v/>
      </c>
      <c r="B421" s="38" t="str">
        <f>IF($A421="","",'TO HOP NLAN'!$D287)</f>
        <v/>
      </c>
      <c r="C421" s="38" t="str">
        <f>IF($A421="","",'TO HOP NLAN'!$E287)</f>
        <v/>
      </c>
      <c r="D421" s="38" t="str">
        <f>IF($A421="","",'TO HOP NLAN'!$F287)</f>
        <v/>
      </c>
      <c r="E421" s="38" t="str">
        <f>IF($A421="","",'TO HOP NLAN'!$B287)</f>
        <v/>
      </c>
      <c r="F421" s="38" t="str">
        <f>IF($A421="","",'TO HOP NLAN'!$C287)</f>
        <v/>
      </c>
      <c r="G421" s="38" t="str">
        <f t="shared" si="63"/>
        <v/>
      </c>
      <c r="H421" s="38" t="str">
        <f t="shared" si="61"/>
        <v/>
      </c>
      <c r="I421" s="38" t="str">
        <f t="shared" si="64"/>
        <v/>
      </c>
      <c r="J421" s="38" t="str">
        <f t="shared" si="65"/>
        <v/>
      </c>
      <c r="K421" s="38" t="str">
        <f t="shared" si="66"/>
        <v/>
      </c>
      <c r="L421" s="38" t="str">
        <f t="shared" si="67"/>
        <v/>
      </c>
      <c r="M421" s="38" t="str">
        <f>IF($A421="","",IF(H421=0,"",IF(Q421&lt;=0.000000001,MIN(0.8*0.75*'KT THAN'!$C$62,MAX('KT THAN'!$J$38:$J$58)),IFERROR(MIN(0.8*0.75*'KT THAN'!$C$62,INDEX('KT THAN'!$J$38:$J$58,MATCH(Q421,'KT THAN'!$L$38:$L$58,-1))+(INDEX('KT THAN'!$J$38:$J$58,MIN(21,MATCH(Q421,'KT THAN'!$L$38:$L$58,-1)+1))-INDEX('KT THAN'!$J$38:$J$58,MATCH(Q421,'KT THAN'!$L$38:$L$58,-1)))*(Q421-INDEX('KT THAN'!$L$38:$L$58,MATCH(Q421,'KT THAN'!$L$38:$L$58,-1)))/(INDEX('KT THAN'!$L$38:$L$58,MIN(21,MATCH(Q421,'KT THAN'!$L$38:$L$58,-1)+1))-INDEX('KT THAN'!$L$38:$L$58,MATCH(Q421,'KT THAN'!$L$38:$L$58,-1)))),MIN(0.8*0.75*'KT THAN'!$C$62,'KT THAN'!$C$68/Q421)))))</f>
        <v/>
      </c>
      <c r="N421" s="38" t="str">
        <f>IF($A421="","",IF(H421=0,"",IF(R421&lt;=0.000000001,MIN(0.8*0.75*'KT THAN'!$C$62,MAX('KT THAN'!$W$38:$W$58)),IFERROR(MIN(0.8*0.75*'KT THAN'!$C$62,INDEX('KT THAN'!$W$38:$W$58,MATCH(R421,'KT THAN'!$Y$38:$Y$58,-1))+(INDEX('KT THAN'!$W$38:$W$58,MIN(21,MATCH(R421,'KT THAN'!$Y$38:$Y$58,-1)+1))-INDEX('KT THAN'!$W$38:$W$58,MATCH(R421,'KT THAN'!$Y$38:$Y$58,-1)))*(R421-INDEX('KT THAN'!$Y$38:$Y$58,MATCH(R421,'KT THAN'!$Y$38:$Y$58,-1)))/(INDEX('KT THAN'!$Y$38:$Y$58,MIN(21,MATCH(R421,'KT THAN'!$Y$38:$Y$58,-1)+1))-INDEX('KT THAN'!$Y$38:$Y$58,MATCH(R421,'KT THAN'!$Y$38:$Y$58,-1)))),MIN(0.8*0.75*'KT THAN'!$C$62,'KT THAN'!$D$68/R421)))))</f>
        <v/>
      </c>
      <c r="O421" s="38" t="str">
        <f>IF($A421="","",IF(H421&lt;0,ABS(H421)/MAX('KT THAN'!$C$69,0.001)+'KT THAN'!$C$32*ABS(J421)/MAX('KT THAN'!$C$68,0.001)+'KT THAN'!$D$32*ABS(I421)/MAX('KT THAN'!$D$68,0.001),IF(OR(M421&lt;=0,N421&lt;=0),999,IF(H421&gt;=0.1*0.75*fc_*Agth*1000,H421/MAX(0.001,1/(1/M421+1/N421-1/(0.75*'KT THAN'!$C$62))),'KT THAN'!$C$32*ABS(J421)/MAX('KT THAN'!$C$68,0.001)+'KT THAN'!$D$32*ABS(I421)/MAX('KT THAN'!$D$68,0.001)))))</f>
        <v/>
      </c>
      <c r="P421" s="37" t="str">
        <f t="shared" si="68"/>
        <v/>
      </c>
      <c r="Q421" s="38" t="str">
        <f>IF($A421="","",MAX(0.001,'KT THAN'!$C$32*ABS(J421)/MAX(1,H421)))</f>
        <v/>
      </c>
      <c r="R421" s="38" t="str">
        <f>IF($A421="","",MAX(0.001,'KT THAN'!$D$32*ABS(I421)/MAX(1,H421)))</f>
        <v/>
      </c>
      <c r="S421" t="str">
        <f t="shared" si="62"/>
        <v/>
      </c>
    </row>
    <row r="422" spans="1:19" hidden="1" outlineLevel="1" x14ac:dyDescent="0.3">
      <c r="A422" s="37" t="str">
        <f>IF('TO HOP NLAN'!$A288="","",'TO HOP NLAN'!$A288)</f>
        <v/>
      </c>
      <c r="B422" s="38" t="str">
        <f>IF($A422="","",'TO HOP NLAN'!$D288)</f>
        <v/>
      </c>
      <c r="C422" s="38" t="str">
        <f>IF($A422="","",'TO HOP NLAN'!$E288)</f>
        <v/>
      </c>
      <c r="D422" s="38" t="str">
        <f>IF($A422="","",'TO HOP NLAN'!$F288)</f>
        <v/>
      </c>
      <c r="E422" s="38" t="str">
        <f>IF($A422="","",'TO HOP NLAN'!$B288)</f>
        <v/>
      </c>
      <c r="F422" s="38" t="str">
        <f>IF($A422="","",'TO HOP NLAN'!$C288)</f>
        <v/>
      </c>
      <c r="G422" s="38" t="str">
        <f t="shared" si="63"/>
        <v/>
      </c>
      <c r="H422" s="38" t="str">
        <f t="shared" si="61"/>
        <v/>
      </c>
      <c r="I422" s="38" t="str">
        <f t="shared" si="64"/>
        <v/>
      </c>
      <c r="J422" s="38" t="str">
        <f t="shared" si="65"/>
        <v/>
      </c>
      <c r="K422" s="38" t="str">
        <f t="shared" si="66"/>
        <v/>
      </c>
      <c r="L422" s="38" t="str">
        <f t="shared" si="67"/>
        <v/>
      </c>
      <c r="M422" s="38" t="str">
        <f>IF($A422="","",IF(H422=0,"",IF(Q422&lt;=0.000000001,MIN(0.8*0.75*'KT THAN'!$C$62,MAX('KT THAN'!$J$38:$J$58)),IFERROR(MIN(0.8*0.75*'KT THAN'!$C$62,INDEX('KT THAN'!$J$38:$J$58,MATCH(Q422,'KT THAN'!$L$38:$L$58,-1))+(INDEX('KT THAN'!$J$38:$J$58,MIN(21,MATCH(Q422,'KT THAN'!$L$38:$L$58,-1)+1))-INDEX('KT THAN'!$J$38:$J$58,MATCH(Q422,'KT THAN'!$L$38:$L$58,-1)))*(Q422-INDEX('KT THAN'!$L$38:$L$58,MATCH(Q422,'KT THAN'!$L$38:$L$58,-1)))/(INDEX('KT THAN'!$L$38:$L$58,MIN(21,MATCH(Q422,'KT THAN'!$L$38:$L$58,-1)+1))-INDEX('KT THAN'!$L$38:$L$58,MATCH(Q422,'KT THAN'!$L$38:$L$58,-1)))),MIN(0.8*0.75*'KT THAN'!$C$62,'KT THAN'!$C$68/Q422)))))</f>
        <v/>
      </c>
      <c r="N422" s="38" t="str">
        <f>IF($A422="","",IF(H422=0,"",IF(R422&lt;=0.000000001,MIN(0.8*0.75*'KT THAN'!$C$62,MAX('KT THAN'!$W$38:$W$58)),IFERROR(MIN(0.8*0.75*'KT THAN'!$C$62,INDEX('KT THAN'!$W$38:$W$58,MATCH(R422,'KT THAN'!$Y$38:$Y$58,-1))+(INDEX('KT THAN'!$W$38:$W$58,MIN(21,MATCH(R422,'KT THAN'!$Y$38:$Y$58,-1)+1))-INDEX('KT THAN'!$W$38:$W$58,MATCH(R422,'KT THAN'!$Y$38:$Y$58,-1)))*(R422-INDEX('KT THAN'!$Y$38:$Y$58,MATCH(R422,'KT THAN'!$Y$38:$Y$58,-1)))/(INDEX('KT THAN'!$Y$38:$Y$58,MIN(21,MATCH(R422,'KT THAN'!$Y$38:$Y$58,-1)+1))-INDEX('KT THAN'!$Y$38:$Y$58,MATCH(R422,'KT THAN'!$Y$38:$Y$58,-1)))),MIN(0.8*0.75*'KT THAN'!$C$62,'KT THAN'!$D$68/R422)))))</f>
        <v/>
      </c>
      <c r="O422" s="38" t="str">
        <f>IF($A422="","",IF(H422&lt;0,ABS(H422)/MAX('KT THAN'!$C$69,0.001)+'KT THAN'!$C$32*ABS(J422)/MAX('KT THAN'!$C$68,0.001)+'KT THAN'!$D$32*ABS(I422)/MAX('KT THAN'!$D$68,0.001),IF(OR(M422&lt;=0,N422&lt;=0),999,IF(H422&gt;=0.1*0.75*fc_*Agth*1000,H422/MAX(0.001,1/(1/M422+1/N422-1/(0.75*'KT THAN'!$C$62))),'KT THAN'!$C$32*ABS(J422)/MAX('KT THAN'!$C$68,0.001)+'KT THAN'!$D$32*ABS(I422)/MAX('KT THAN'!$D$68,0.001)))))</f>
        <v/>
      </c>
      <c r="P422" s="37" t="str">
        <f t="shared" si="68"/>
        <v/>
      </c>
      <c r="Q422" s="38" t="str">
        <f>IF($A422="","",MAX(0.001,'KT THAN'!$C$32*ABS(J422)/MAX(1,H422)))</f>
        <v/>
      </c>
      <c r="R422" s="38" t="str">
        <f>IF($A422="","",MAX(0.001,'KT THAN'!$D$32*ABS(I422)/MAX(1,H422)))</f>
        <v/>
      </c>
      <c r="S422" t="str">
        <f t="shared" si="62"/>
        <v/>
      </c>
    </row>
    <row r="423" spans="1:19" hidden="1" outlineLevel="1" x14ac:dyDescent="0.3">
      <c r="A423" s="37" t="str">
        <f>IF('TO HOP NLAN'!$A289="","",'TO HOP NLAN'!$A289)</f>
        <v/>
      </c>
      <c r="B423" s="38" t="str">
        <f>IF($A423="","",'TO HOP NLAN'!$D289)</f>
        <v/>
      </c>
      <c r="C423" s="38" t="str">
        <f>IF($A423="","",'TO HOP NLAN'!$E289)</f>
        <v/>
      </c>
      <c r="D423" s="38" t="str">
        <f>IF($A423="","",'TO HOP NLAN'!$F289)</f>
        <v/>
      </c>
      <c r="E423" s="38" t="str">
        <f>IF($A423="","",'TO HOP NLAN'!$B289)</f>
        <v/>
      </c>
      <c r="F423" s="38" t="str">
        <f>IF($A423="","",'TO HOP NLAN'!$C289)</f>
        <v/>
      </c>
      <c r="G423" s="38" t="str">
        <f t="shared" si="63"/>
        <v/>
      </c>
      <c r="H423" s="38" t="str">
        <f t="shared" si="61"/>
        <v/>
      </c>
      <c r="I423" s="38" t="str">
        <f t="shared" si="64"/>
        <v/>
      </c>
      <c r="J423" s="38" t="str">
        <f t="shared" si="65"/>
        <v/>
      </c>
      <c r="K423" s="38" t="str">
        <f t="shared" si="66"/>
        <v/>
      </c>
      <c r="L423" s="38" t="str">
        <f t="shared" si="67"/>
        <v/>
      </c>
      <c r="M423" s="38" t="str">
        <f>IF($A423="","",IF(H423=0,"",IF(Q423&lt;=0.000000001,MIN(0.8*0.75*'KT THAN'!$C$62,MAX('KT THAN'!$J$38:$J$58)),IFERROR(MIN(0.8*0.75*'KT THAN'!$C$62,INDEX('KT THAN'!$J$38:$J$58,MATCH(Q423,'KT THAN'!$L$38:$L$58,-1))+(INDEX('KT THAN'!$J$38:$J$58,MIN(21,MATCH(Q423,'KT THAN'!$L$38:$L$58,-1)+1))-INDEX('KT THAN'!$J$38:$J$58,MATCH(Q423,'KT THAN'!$L$38:$L$58,-1)))*(Q423-INDEX('KT THAN'!$L$38:$L$58,MATCH(Q423,'KT THAN'!$L$38:$L$58,-1)))/(INDEX('KT THAN'!$L$38:$L$58,MIN(21,MATCH(Q423,'KT THAN'!$L$38:$L$58,-1)+1))-INDEX('KT THAN'!$L$38:$L$58,MATCH(Q423,'KT THAN'!$L$38:$L$58,-1)))),MIN(0.8*0.75*'KT THAN'!$C$62,'KT THAN'!$C$68/Q423)))))</f>
        <v/>
      </c>
      <c r="N423" s="38" t="str">
        <f>IF($A423="","",IF(H423=0,"",IF(R423&lt;=0.000000001,MIN(0.8*0.75*'KT THAN'!$C$62,MAX('KT THAN'!$W$38:$W$58)),IFERROR(MIN(0.8*0.75*'KT THAN'!$C$62,INDEX('KT THAN'!$W$38:$W$58,MATCH(R423,'KT THAN'!$Y$38:$Y$58,-1))+(INDEX('KT THAN'!$W$38:$W$58,MIN(21,MATCH(R423,'KT THAN'!$Y$38:$Y$58,-1)+1))-INDEX('KT THAN'!$W$38:$W$58,MATCH(R423,'KT THAN'!$Y$38:$Y$58,-1)))*(R423-INDEX('KT THAN'!$Y$38:$Y$58,MATCH(R423,'KT THAN'!$Y$38:$Y$58,-1)))/(INDEX('KT THAN'!$Y$38:$Y$58,MIN(21,MATCH(R423,'KT THAN'!$Y$38:$Y$58,-1)+1))-INDEX('KT THAN'!$Y$38:$Y$58,MATCH(R423,'KT THAN'!$Y$38:$Y$58,-1)))),MIN(0.8*0.75*'KT THAN'!$C$62,'KT THAN'!$D$68/R423)))))</f>
        <v/>
      </c>
      <c r="O423" s="38" t="str">
        <f>IF($A423="","",IF(H423&lt;0,ABS(H423)/MAX('KT THAN'!$C$69,0.001)+'KT THAN'!$C$32*ABS(J423)/MAX('KT THAN'!$C$68,0.001)+'KT THAN'!$D$32*ABS(I423)/MAX('KT THAN'!$D$68,0.001),IF(OR(M423&lt;=0,N423&lt;=0),999,IF(H423&gt;=0.1*0.75*fc_*Agth*1000,H423/MAX(0.001,1/(1/M423+1/N423-1/(0.75*'KT THAN'!$C$62))),'KT THAN'!$C$32*ABS(J423)/MAX('KT THAN'!$C$68,0.001)+'KT THAN'!$D$32*ABS(I423)/MAX('KT THAN'!$D$68,0.001)))))</f>
        <v/>
      </c>
      <c r="P423" s="37" t="str">
        <f t="shared" si="68"/>
        <v/>
      </c>
      <c r="Q423" s="38" t="str">
        <f>IF($A423="","",MAX(0.001,'KT THAN'!$C$32*ABS(J423)/MAX(1,H423)))</f>
        <v/>
      </c>
      <c r="R423" s="38" t="str">
        <f>IF($A423="","",MAX(0.001,'KT THAN'!$D$32*ABS(I423)/MAX(1,H423)))</f>
        <v/>
      </c>
      <c r="S423" t="str">
        <f t="shared" si="62"/>
        <v/>
      </c>
    </row>
    <row r="424" spans="1:19" hidden="1" outlineLevel="1" x14ac:dyDescent="0.3">
      <c r="A424" s="37" t="str">
        <f>IF('TO HOP NLAN'!$A290="","",'TO HOP NLAN'!$A290)</f>
        <v/>
      </c>
      <c r="B424" s="38" t="str">
        <f>IF($A424="","",'TO HOP NLAN'!$D290)</f>
        <v/>
      </c>
      <c r="C424" s="38" t="str">
        <f>IF($A424="","",'TO HOP NLAN'!$E290)</f>
        <v/>
      </c>
      <c r="D424" s="38" t="str">
        <f>IF($A424="","",'TO HOP NLAN'!$F290)</f>
        <v/>
      </c>
      <c r="E424" s="38" t="str">
        <f>IF($A424="","",'TO HOP NLAN'!$B290)</f>
        <v/>
      </c>
      <c r="F424" s="38" t="str">
        <f>IF($A424="","",'TO HOP NLAN'!$C290)</f>
        <v/>
      </c>
      <c r="G424" s="38" t="str">
        <f t="shared" si="63"/>
        <v/>
      </c>
      <c r="H424" s="38" t="str">
        <f t="shared" si="61"/>
        <v/>
      </c>
      <c r="I424" s="38" t="str">
        <f t="shared" si="64"/>
        <v/>
      </c>
      <c r="J424" s="38" t="str">
        <f t="shared" si="65"/>
        <v/>
      </c>
      <c r="K424" s="38" t="str">
        <f t="shared" si="66"/>
        <v/>
      </c>
      <c r="L424" s="38" t="str">
        <f t="shared" si="67"/>
        <v/>
      </c>
      <c r="M424" s="38" t="str">
        <f>IF($A424="","",IF(H424=0,"",IF(Q424&lt;=0.000000001,MIN(0.8*0.75*'KT THAN'!$C$62,MAX('KT THAN'!$J$38:$J$58)),IFERROR(MIN(0.8*0.75*'KT THAN'!$C$62,INDEX('KT THAN'!$J$38:$J$58,MATCH(Q424,'KT THAN'!$L$38:$L$58,-1))+(INDEX('KT THAN'!$J$38:$J$58,MIN(21,MATCH(Q424,'KT THAN'!$L$38:$L$58,-1)+1))-INDEX('KT THAN'!$J$38:$J$58,MATCH(Q424,'KT THAN'!$L$38:$L$58,-1)))*(Q424-INDEX('KT THAN'!$L$38:$L$58,MATCH(Q424,'KT THAN'!$L$38:$L$58,-1)))/(INDEX('KT THAN'!$L$38:$L$58,MIN(21,MATCH(Q424,'KT THAN'!$L$38:$L$58,-1)+1))-INDEX('KT THAN'!$L$38:$L$58,MATCH(Q424,'KT THAN'!$L$38:$L$58,-1)))),MIN(0.8*0.75*'KT THAN'!$C$62,'KT THAN'!$C$68/Q424)))))</f>
        <v/>
      </c>
      <c r="N424" s="38" t="str">
        <f>IF($A424="","",IF(H424=0,"",IF(R424&lt;=0.000000001,MIN(0.8*0.75*'KT THAN'!$C$62,MAX('KT THAN'!$W$38:$W$58)),IFERROR(MIN(0.8*0.75*'KT THAN'!$C$62,INDEX('KT THAN'!$W$38:$W$58,MATCH(R424,'KT THAN'!$Y$38:$Y$58,-1))+(INDEX('KT THAN'!$W$38:$W$58,MIN(21,MATCH(R424,'KT THAN'!$Y$38:$Y$58,-1)+1))-INDEX('KT THAN'!$W$38:$W$58,MATCH(R424,'KT THAN'!$Y$38:$Y$58,-1)))*(R424-INDEX('KT THAN'!$Y$38:$Y$58,MATCH(R424,'KT THAN'!$Y$38:$Y$58,-1)))/(INDEX('KT THAN'!$Y$38:$Y$58,MIN(21,MATCH(R424,'KT THAN'!$Y$38:$Y$58,-1)+1))-INDEX('KT THAN'!$Y$38:$Y$58,MATCH(R424,'KT THAN'!$Y$38:$Y$58,-1)))),MIN(0.8*0.75*'KT THAN'!$C$62,'KT THAN'!$D$68/R424)))))</f>
        <v/>
      </c>
      <c r="O424" s="38" t="str">
        <f>IF($A424="","",IF(H424&lt;0,ABS(H424)/MAX('KT THAN'!$C$69,0.001)+'KT THAN'!$C$32*ABS(J424)/MAX('KT THAN'!$C$68,0.001)+'KT THAN'!$D$32*ABS(I424)/MAX('KT THAN'!$D$68,0.001),IF(OR(M424&lt;=0,N424&lt;=0),999,IF(H424&gt;=0.1*0.75*fc_*Agth*1000,H424/MAX(0.001,1/(1/M424+1/N424-1/(0.75*'KT THAN'!$C$62))),'KT THAN'!$C$32*ABS(J424)/MAX('KT THAN'!$C$68,0.001)+'KT THAN'!$D$32*ABS(I424)/MAX('KT THAN'!$D$68,0.001)))))</f>
        <v/>
      </c>
      <c r="P424" s="37" t="str">
        <f t="shared" si="68"/>
        <v/>
      </c>
      <c r="Q424" s="38" t="str">
        <f>IF($A424="","",MAX(0.001,'KT THAN'!$C$32*ABS(J424)/MAX(1,H424)))</f>
        <v/>
      </c>
      <c r="R424" s="38" t="str">
        <f>IF($A424="","",MAX(0.001,'KT THAN'!$D$32*ABS(I424)/MAX(1,H424)))</f>
        <v/>
      </c>
      <c r="S424" t="str">
        <f t="shared" si="62"/>
        <v/>
      </c>
    </row>
    <row r="425" spans="1:19" hidden="1" outlineLevel="1" x14ac:dyDescent="0.3">
      <c r="A425" s="37" t="str">
        <f>IF('TO HOP NLAN'!$A291="","",'TO HOP NLAN'!$A291)</f>
        <v/>
      </c>
      <c r="B425" s="38" t="str">
        <f>IF($A425="","",'TO HOP NLAN'!$D291)</f>
        <v/>
      </c>
      <c r="C425" s="38" t="str">
        <f>IF($A425="","",'TO HOP NLAN'!$E291)</f>
        <v/>
      </c>
      <c r="D425" s="38" t="str">
        <f>IF($A425="","",'TO HOP NLAN'!$F291)</f>
        <v/>
      </c>
      <c r="E425" s="38" t="str">
        <f>IF($A425="","",'TO HOP NLAN'!$B291)</f>
        <v/>
      </c>
      <c r="F425" s="38" t="str">
        <f>IF($A425="","",'TO HOP NLAN'!$C291)</f>
        <v/>
      </c>
      <c r="G425" s="38" t="str">
        <f t="shared" si="63"/>
        <v/>
      </c>
      <c r="H425" s="38" t="str">
        <f t="shared" si="61"/>
        <v/>
      </c>
      <c r="I425" s="38" t="str">
        <f t="shared" si="64"/>
        <v/>
      </c>
      <c r="J425" s="38" t="str">
        <f t="shared" si="65"/>
        <v/>
      </c>
      <c r="K425" s="38" t="str">
        <f t="shared" si="66"/>
        <v/>
      </c>
      <c r="L425" s="38" t="str">
        <f t="shared" si="67"/>
        <v/>
      </c>
      <c r="M425" s="38" t="str">
        <f>IF($A425="","",IF(H425=0,"",IF(Q425&lt;=0.000000001,MIN(0.8*0.75*'KT THAN'!$C$62,MAX('KT THAN'!$J$38:$J$58)),IFERROR(MIN(0.8*0.75*'KT THAN'!$C$62,INDEX('KT THAN'!$J$38:$J$58,MATCH(Q425,'KT THAN'!$L$38:$L$58,-1))+(INDEX('KT THAN'!$J$38:$J$58,MIN(21,MATCH(Q425,'KT THAN'!$L$38:$L$58,-1)+1))-INDEX('KT THAN'!$J$38:$J$58,MATCH(Q425,'KT THAN'!$L$38:$L$58,-1)))*(Q425-INDEX('KT THAN'!$L$38:$L$58,MATCH(Q425,'KT THAN'!$L$38:$L$58,-1)))/(INDEX('KT THAN'!$L$38:$L$58,MIN(21,MATCH(Q425,'KT THAN'!$L$38:$L$58,-1)+1))-INDEX('KT THAN'!$L$38:$L$58,MATCH(Q425,'KT THAN'!$L$38:$L$58,-1)))),MIN(0.8*0.75*'KT THAN'!$C$62,'KT THAN'!$C$68/Q425)))))</f>
        <v/>
      </c>
      <c r="N425" s="38" t="str">
        <f>IF($A425="","",IF(H425=0,"",IF(R425&lt;=0.000000001,MIN(0.8*0.75*'KT THAN'!$C$62,MAX('KT THAN'!$W$38:$W$58)),IFERROR(MIN(0.8*0.75*'KT THAN'!$C$62,INDEX('KT THAN'!$W$38:$W$58,MATCH(R425,'KT THAN'!$Y$38:$Y$58,-1))+(INDEX('KT THAN'!$W$38:$W$58,MIN(21,MATCH(R425,'KT THAN'!$Y$38:$Y$58,-1)+1))-INDEX('KT THAN'!$W$38:$W$58,MATCH(R425,'KT THAN'!$Y$38:$Y$58,-1)))*(R425-INDEX('KT THAN'!$Y$38:$Y$58,MATCH(R425,'KT THAN'!$Y$38:$Y$58,-1)))/(INDEX('KT THAN'!$Y$38:$Y$58,MIN(21,MATCH(R425,'KT THAN'!$Y$38:$Y$58,-1)+1))-INDEX('KT THAN'!$Y$38:$Y$58,MATCH(R425,'KT THAN'!$Y$38:$Y$58,-1)))),MIN(0.8*0.75*'KT THAN'!$C$62,'KT THAN'!$D$68/R425)))))</f>
        <v/>
      </c>
      <c r="O425" s="38" t="str">
        <f>IF($A425="","",IF(H425&lt;0,ABS(H425)/MAX('KT THAN'!$C$69,0.001)+'KT THAN'!$C$32*ABS(J425)/MAX('KT THAN'!$C$68,0.001)+'KT THAN'!$D$32*ABS(I425)/MAX('KT THAN'!$D$68,0.001),IF(OR(M425&lt;=0,N425&lt;=0),999,IF(H425&gt;=0.1*0.75*fc_*Agth*1000,H425/MAX(0.001,1/(1/M425+1/N425-1/(0.75*'KT THAN'!$C$62))),'KT THAN'!$C$32*ABS(J425)/MAX('KT THAN'!$C$68,0.001)+'KT THAN'!$D$32*ABS(I425)/MAX('KT THAN'!$D$68,0.001)))))</f>
        <v/>
      </c>
      <c r="P425" s="37" t="str">
        <f t="shared" si="68"/>
        <v/>
      </c>
      <c r="Q425" s="38" t="str">
        <f>IF($A425="","",MAX(0.001,'KT THAN'!$C$32*ABS(J425)/MAX(1,H425)))</f>
        <v/>
      </c>
      <c r="R425" s="38" t="str">
        <f>IF($A425="","",MAX(0.001,'KT THAN'!$D$32*ABS(I425)/MAX(1,H425)))</f>
        <v/>
      </c>
      <c r="S425" t="str">
        <f t="shared" si="62"/>
        <v/>
      </c>
    </row>
    <row r="426" spans="1:19" hidden="1" outlineLevel="1" x14ac:dyDescent="0.3">
      <c r="A426" s="37" t="str">
        <f>IF('TO HOP NLAN'!$A292="","",'TO HOP NLAN'!$A292)</f>
        <v/>
      </c>
      <c r="B426" s="38" t="str">
        <f>IF($A426="","",'TO HOP NLAN'!$D292)</f>
        <v/>
      </c>
      <c r="C426" s="38" t="str">
        <f>IF($A426="","",'TO HOP NLAN'!$E292)</f>
        <v/>
      </c>
      <c r="D426" s="38" t="str">
        <f>IF($A426="","",'TO HOP NLAN'!$F292)</f>
        <v/>
      </c>
      <c r="E426" s="38" t="str">
        <f>IF($A426="","",'TO HOP NLAN'!$B292)</f>
        <v/>
      </c>
      <c r="F426" s="38" t="str">
        <f>IF($A426="","",'TO HOP NLAN'!$C292)</f>
        <v/>
      </c>
      <c r="G426" s="38" t="str">
        <f t="shared" si="63"/>
        <v/>
      </c>
      <c r="H426" s="38" t="str">
        <f t="shared" si="61"/>
        <v/>
      </c>
      <c r="I426" s="38" t="str">
        <f t="shared" si="64"/>
        <v/>
      </c>
      <c r="J426" s="38" t="str">
        <f t="shared" si="65"/>
        <v/>
      </c>
      <c r="K426" s="38" t="str">
        <f t="shared" si="66"/>
        <v/>
      </c>
      <c r="L426" s="38" t="str">
        <f t="shared" si="67"/>
        <v/>
      </c>
      <c r="M426" s="38" t="str">
        <f>IF($A426="","",IF(H426=0,"",IF(Q426&lt;=0.000000001,MIN(0.8*0.75*'KT THAN'!$C$62,MAX('KT THAN'!$J$38:$J$58)),IFERROR(MIN(0.8*0.75*'KT THAN'!$C$62,INDEX('KT THAN'!$J$38:$J$58,MATCH(Q426,'KT THAN'!$L$38:$L$58,-1))+(INDEX('KT THAN'!$J$38:$J$58,MIN(21,MATCH(Q426,'KT THAN'!$L$38:$L$58,-1)+1))-INDEX('KT THAN'!$J$38:$J$58,MATCH(Q426,'KT THAN'!$L$38:$L$58,-1)))*(Q426-INDEX('KT THAN'!$L$38:$L$58,MATCH(Q426,'KT THAN'!$L$38:$L$58,-1)))/(INDEX('KT THAN'!$L$38:$L$58,MIN(21,MATCH(Q426,'KT THAN'!$L$38:$L$58,-1)+1))-INDEX('KT THAN'!$L$38:$L$58,MATCH(Q426,'KT THAN'!$L$38:$L$58,-1)))),MIN(0.8*0.75*'KT THAN'!$C$62,'KT THAN'!$C$68/Q426)))))</f>
        <v/>
      </c>
      <c r="N426" s="38" t="str">
        <f>IF($A426="","",IF(H426=0,"",IF(R426&lt;=0.000000001,MIN(0.8*0.75*'KT THAN'!$C$62,MAX('KT THAN'!$W$38:$W$58)),IFERROR(MIN(0.8*0.75*'KT THAN'!$C$62,INDEX('KT THAN'!$W$38:$W$58,MATCH(R426,'KT THAN'!$Y$38:$Y$58,-1))+(INDEX('KT THAN'!$W$38:$W$58,MIN(21,MATCH(R426,'KT THAN'!$Y$38:$Y$58,-1)+1))-INDEX('KT THAN'!$W$38:$W$58,MATCH(R426,'KT THAN'!$Y$38:$Y$58,-1)))*(R426-INDEX('KT THAN'!$Y$38:$Y$58,MATCH(R426,'KT THAN'!$Y$38:$Y$58,-1)))/(INDEX('KT THAN'!$Y$38:$Y$58,MIN(21,MATCH(R426,'KT THAN'!$Y$38:$Y$58,-1)+1))-INDEX('KT THAN'!$Y$38:$Y$58,MATCH(R426,'KT THAN'!$Y$38:$Y$58,-1)))),MIN(0.8*0.75*'KT THAN'!$C$62,'KT THAN'!$D$68/R426)))))</f>
        <v/>
      </c>
      <c r="O426" s="38" t="str">
        <f>IF($A426="","",IF(H426&lt;0,ABS(H426)/MAX('KT THAN'!$C$69,0.001)+'KT THAN'!$C$32*ABS(J426)/MAX('KT THAN'!$C$68,0.001)+'KT THAN'!$D$32*ABS(I426)/MAX('KT THAN'!$D$68,0.001),IF(OR(M426&lt;=0,N426&lt;=0),999,IF(H426&gt;=0.1*0.75*fc_*Agth*1000,H426/MAX(0.001,1/(1/M426+1/N426-1/(0.75*'KT THAN'!$C$62))),'KT THAN'!$C$32*ABS(J426)/MAX('KT THAN'!$C$68,0.001)+'KT THAN'!$D$32*ABS(I426)/MAX('KT THAN'!$D$68,0.001)))))</f>
        <v/>
      </c>
      <c r="P426" s="37" t="str">
        <f t="shared" si="68"/>
        <v/>
      </c>
      <c r="Q426" s="38" t="str">
        <f>IF($A426="","",MAX(0.001,'KT THAN'!$C$32*ABS(J426)/MAX(1,H426)))</f>
        <v/>
      </c>
      <c r="R426" s="38" t="str">
        <f>IF($A426="","",MAX(0.001,'KT THAN'!$D$32*ABS(I426)/MAX(1,H426)))</f>
        <v/>
      </c>
      <c r="S426" t="str">
        <f t="shared" si="62"/>
        <v/>
      </c>
    </row>
    <row r="427" spans="1:19" hidden="1" outlineLevel="1" x14ac:dyDescent="0.3">
      <c r="A427" s="37" t="str">
        <f>IF('TO HOP NLAN'!$A293="","",'TO HOP NLAN'!$A293)</f>
        <v/>
      </c>
      <c r="B427" s="38" t="str">
        <f>IF($A427="","",'TO HOP NLAN'!$D293)</f>
        <v/>
      </c>
      <c r="C427" s="38" t="str">
        <f>IF($A427="","",'TO HOP NLAN'!$E293)</f>
        <v/>
      </c>
      <c r="D427" s="38" t="str">
        <f>IF($A427="","",'TO HOP NLAN'!$F293)</f>
        <v/>
      </c>
      <c r="E427" s="38" t="str">
        <f>IF($A427="","",'TO HOP NLAN'!$B293)</f>
        <v/>
      </c>
      <c r="F427" s="38" t="str">
        <f>IF($A427="","",'TO HOP NLAN'!$C293)</f>
        <v/>
      </c>
      <c r="G427" s="38" t="str">
        <f t="shared" si="63"/>
        <v/>
      </c>
      <c r="H427" s="38" t="str">
        <f t="shared" si="61"/>
        <v/>
      </c>
      <c r="I427" s="38" t="str">
        <f t="shared" si="64"/>
        <v/>
      </c>
      <c r="J427" s="38" t="str">
        <f t="shared" si="65"/>
        <v/>
      </c>
      <c r="K427" s="38" t="str">
        <f t="shared" si="66"/>
        <v/>
      </c>
      <c r="L427" s="38" t="str">
        <f t="shared" si="67"/>
        <v/>
      </c>
      <c r="M427" s="38" t="str">
        <f>IF($A427="","",IF(H427=0,"",IF(Q427&lt;=0.000000001,MIN(0.8*0.75*'KT THAN'!$C$62,MAX('KT THAN'!$J$38:$J$58)),IFERROR(MIN(0.8*0.75*'KT THAN'!$C$62,INDEX('KT THAN'!$J$38:$J$58,MATCH(Q427,'KT THAN'!$L$38:$L$58,-1))+(INDEX('KT THAN'!$J$38:$J$58,MIN(21,MATCH(Q427,'KT THAN'!$L$38:$L$58,-1)+1))-INDEX('KT THAN'!$J$38:$J$58,MATCH(Q427,'KT THAN'!$L$38:$L$58,-1)))*(Q427-INDEX('KT THAN'!$L$38:$L$58,MATCH(Q427,'KT THAN'!$L$38:$L$58,-1)))/(INDEX('KT THAN'!$L$38:$L$58,MIN(21,MATCH(Q427,'KT THAN'!$L$38:$L$58,-1)+1))-INDEX('KT THAN'!$L$38:$L$58,MATCH(Q427,'KT THAN'!$L$38:$L$58,-1)))),MIN(0.8*0.75*'KT THAN'!$C$62,'KT THAN'!$C$68/Q427)))))</f>
        <v/>
      </c>
      <c r="N427" s="38" t="str">
        <f>IF($A427="","",IF(H427=0,"",IF(R427&lt;=0.000000001,MIN(0.8*0.75*'KT THAN'!$C$62,MAX('KT THAN'!$W$38:$W$58)),IFERROR(MIN(0.8*0.75*'KT THAN'!$C$62,INDEX('KT THAN'!$W$38:$W$58,MATCH(R427,'KT THAN'!$Y$38:$Y$58,-1))+(INDEX('KT THAN'!$W$38:$W$58,MIN(21,MATCH(R427,'KT THAN'!$Y$38:$Y$58,-1)+1))-INDEX('KT THAN'!$W$38:$W$58,MATCH(R427,'KT THAN'!$Y$38:$Y$58,-1)))*(R427-INDEX('KT THAN'!$Y$38:$Y$58,MATCH(R427,'KT THAN'!$Y$38:$Y$58,-1)))/(INDEX('KT THAN'!$Y$38:$Y$58,MIN(21,MATCH(R427,'KT THAN'!$Y$38:$Y$58,-1)+1))-INDEX('KT THAN'!$Y$38:$Y$58,MATCH(R427,'KT THAN'!$Y$38:$Y$58,-1)))),MIN(0.8*0.75*'KT THAN'!$C$62,'KT THAN'!$D$68/R427)))))</f>
        <v/>
      </c>
      <c r="O427" s="38" t="str">
        <f>IF($A427="","",IF(H427&lt;0,ABS(H427)/MAX('KT THAN'!$C$69,0.001)+'KT THAN'!$C$32*ABS(J427)/MAX('KT THAN'!$C$68,0.001)+'KT THAN'!$D$32*ABS(I427)/MAX('KT THAN'!$D$68,0.001),IF(OR(M427&lt;=0,N427&lt;=0),999,IF(H427&gt;=0.1*0.75*fc_*Agth*1000,H427/MAX(0.001,1/(1/M427+1/N427-1/(0.75*'KT THAN'!$C$62))),'KT THAN'!$C$32*ABS(J427)/MAX('KT THAN'!$C$68,0.001)+'KT THAN'!$D$32*ABS(I427)/MAX('KT THAN'!$D$68,0.001)))))</f>
        <v/>
      </c>
      <c r="P427" s="37" t="str">
        <f t="shared" si="68"/>
        <v/>
      </c>
      <c r="Q427" s="38" t="str">
        <f>IF($A427="","",MAX(0.001,'KT THAN'!$C$32*ABS(J427)/MAX(1,H427)))</f>
        <v/>
      </c>
      <c r="R427" s="38" t="str">
        <f>IF($A427="","",MAX(0.001,'KT THAN'!$D$32*ABS(I427)/MAX(1,H427)))</f>
        <v/>
      </c>
      <c r="S427" t="str">
        <f t="shared" si="62"/>
        <v/>
      </c>
    </row>
    <row r="428" spans="1:19" hidden="1" outlineLevel="1" x14ac:dyDescent="0.3">
      <c r="A428" s="37" t="str">
        <f>IF('TO HOP NLAN'!$A294="","",'TO HOP NLAN'!$A294)</f>
        <v/>
      </c>
      <c r="B428" s="38" t="str">
        <f>IF($A428="","",'TO HOP NLAN'!$D294)</f>
        <v/>
      </c>
      <c r="C428" s="38" t="str">
        <f>IF($A428="","",'TO HOP NLAN'!$E294)</f>
        <v/>
      </c>
      <c r="D428" s="38" t="str">
        <f>IF($A428="","",'TO HOP NLAN'!$F294)</f>
        <v/>
      </c>
      <c r="E428" s="38" t="str">
        <f>IF($A428="","",'TO HOP NLAN'!$B294)</f>
        <v/>
      </c>
      <c r="F428" s="38" t="str">
        <f>IF($A428="","",'TO HOP NLAN'!$C294)</f>
        <v/>
      </c>
      <c r="G428" s="38" t="str">
        <f t="shared" si="63"/>
        <v/>
      </c>
      <c r="H428" s="38" t="str">
        <f t="shared" si="61"/>
        <v/>
      </c>
      <c r="I428" s="38" t="str">
        <f t="shared" si="64"/>
        <v/>
      </c>
      <c r="J428" s="38" t="str">
        <f t="shared" si="65"/>
        <v/>
      </c>
      <c r="K428" s="38" t="str">
        <f t="shared" si="66"/>
        <v/>
      </c>
      <c r="L428" s="38" t="str">
        <f t="shared" si="67"/>
        <v/>
      </c>
      <c r="M428" s="38" t="str">
        <f>IF($A428="","",IF(H428=0,"",IF(Q428&lt;=0.000000001,MIN(0.8*0.75*'KT THAN'!$C$62,MAX('KT THAN'!$J$38:$J$58)),IFERROR(MIN(0.8*0.75*'KT THAN'!$C$62,INDEX('KT THAN'!$J$38:$J$58,MATCH(Q428,'KT THAN'!$L$38:$L$58,-1))+(INDEX('KT THAN'!$J$38:$J$58,MIN(21,MATCH(Q428,'KT THAN'!$L$38:$L$58,-1)+1))-INDEX('KT THAN'!$J$38:$J$58,MATCH(Q428,'KT THAN'!$L$38:$L$58,-1)))*(Q428-INDEX('KT THAN'!$L$38:$L$58,MATCH(Q428,'KT THAN'!$L$38:$L$58,-1)))/(INDEX('KT THAN'!$L$38:$L$58,MIN(21,MATCH(Q428,'KT THAN'!$L$38:$L$58,-1)+1))-INDEX('KT THAN'!$L$38:$L$58,MATCH(Q428,'KT THAN'!$L$38:$L$58,-1)))),MIN(0.8*0.75*'KT THAN'!$C$62,'KT THAN'!$C$68/Q428)))))</f>
        <v/>
      </c>
      <c r="N428" s="38" t="str">
        <f>IF($A428="","",IF(H428=0,"",IF(R428&lt;=0.000000001,MIN(0.8*0.75*'KT THAN'!$C$62,MAX('KT THAN'!$W$38:$W$58)),IFERROR(MIN(0.8*0.75*'KT THAN'!$C$62,INDEX('KT THAN'!$W$38:$W$58,MATCH(R428,'KT THAN'!$Y$38:$Y$58,-1))+(INDEX('KT THAN'!$W$38:$W$58,MIN(21,MATCH(R428,'KT THAN'!$Y$38:$Y$58,-1)+1))-INDEX('KT THAN'!$W$38:$W$58,MATCH(R428,'KT THAN'!$Y$38:$Y$58,-1)))*(R428-INDEX('KT THAN'!$Y$38:$Y$58,MATCH(R428,'KT THAN'!$Y$38:$Y$58,-1)))/(INDEX('KT THAN'!$Y$38:$Y$58,MIN(21,MATCH(R428,'KT THAN'!$Y$38:$Y$58,-1)+1))-INDEX('KT THAN'!$Y$38:$Y$58,MATCH(R428,'KT THAN'!$Y$38:$Y$58,-1)))),MIN(0.8*0.75*'KT THAN'!$C$62,'KT THAN'!$D$68/R428)))))</f>
        <v/>
      </c>
      <c r="O428" s="38" t="str">
        <f>IF($A428="","",IF(H428&lt;0,ABS(H428)/MAX('KT THAN'!$C$69,0.001)+'KT THAN'!$C$32*ABS(J428)/MAX('KT THAN'!$C$68,0.001)+'KT THAN'!$D$32*ABS(I428)/MAX('KT THAN'!$D$68,0.001),IF(OR(M428&lt;=0,N428&lt;=0),999,IF(H428&gt;=0.1*0.75*fc_*Agth*1000,H428/MAX(0.001,1/(1/M428+1/N428-1/(0.75*'KT THAN'!$C$62))),'KT THAN'!$C$32*ABS(J428)/MAX('KT THAN'!$C$68,0.001)+'KT THAN'!$D$32*ABS(I428)/MAX('KT THAN'!$D$68,0.001)))))</f>
        <v/>
      </c>
      <c r="P428" s="37" t="str">
        <f t="shared" si="68"/>
        <v/>
      </c>
      <c r="Q428" s="38" t="str">
        <f>IF($A428="","",MAX(0.001,'KT THAN'!$C$32*ABS(J428)/MAX(1,H428)))</f>
        <v/>
      </c>
      <c r="R428" s="38" t="str">
        <f>IF($A428="","",MAX(0.001,'KT THAN'!$D$32*ABS(I428)/MAX(1,H428)))</f>
        <v/>
      </c>
      <c r="S428" t="str">
        <f t="shared" si="62"/>
        <v/>
      </c>
    </row>
    <row r="429" spans="1:19" hidden="1" outlineLevel="1" x14ac:dyDescent="0.3">
      <c r="A429" s="37" t="str">
        <f>IF('TO HOP NLAN'!$A295="","",'TO HOP NLAN'!$A295)</f>
        <v/>
      </c>
      <c r="B429" s="38" t="str">
        <f>IF($A429="","",'TO HOP NLAN'!$D295)</f>
        <v/>
      </c>
      <c r="C429" s="38" t="str">
        <f>IF($A429="","",'TO HOP NLAN'!$E295)</f>
        <v/>
      </c>
      <c r="D429" s="38" t="str">
        <f>IF($A429="","",'TO HOP NLAN'!$F295)</f>
        <v/>
      </c>
      <c r="E429" s="38" t="str">
        <f>IF($A429="","",'TO HOP NLAN'!$B295)</f>
        <v/>
      </c>
      <c r="F429" s="38" t="str">
        <f>IF($A429="","",'TO HOP NLAN'!$C295)</f>
        <v/>
      </c>
      <c r="G429" s="38" t="str">
        <f t="shared" si="63"/>
        <v/>
      </c>
      <c r="H429" s="38" t="str">
        <f t="shared" si="61"/>
        <v/>
      </c>
      <c r="I429" s="38" t="str">
        <f t="shared" si="64"/>
        <v/>
      </c>
      <c r="J429" s="38" t="str">
        <f t="shared" si="65"/>
        <v/>
      </c>
      <c r="K429" s="38" t="str">
        <f t="shared" si="66"/>
        <v/>
      </c>
      <c r="L429" s="38" t="str">
        <f t="shared" si="67"/>
        <v/>
      </c>
      <c r="M429" s="38" t="str">
        <f>IF($A429="","",IF(H429=0,"",IF(Q429&lt;=0.000000001,MIN(0.8*0.75*'KT THAN'!$C$62,MAX('KT THAN'!$J$38:$J$58)),IFERROR(MIN(0.8*0.75*'KT THAN'!$C$62,INDEX('KT THAN'!$J$38:$J$58,MATCH(Q429,'KT THAN'!$L$38:$L$58,-1))+(INDEX('KT THAN'!$J$38:$J$58,MIN(21,MATCH(Q429,'KT THAN'!$L$38:$L$58,-1)+1))-INDEX('KT THAN'!$J$38:$J$58,MATCH(Q429,'KT THAN'!$L$38:$L$58,-1)))*(Q429-INDEX('KT THAN'!$L$38:$L$58,MATCH(Q429,'KT THAN'!$L$38:$L$58,-1)))/(INDEX('KT THAN'!$L$38:$L$58,MIN(21,MATCH(Q429,'KT THAN'!$L$38:$L$58,-1)+1))-INDEX('KT THAN'!$L$38:$L$58,MATCH(Q429,'KT THAN'!$L$38:$L$58,-1)))),MIN(0.8*0.75*'KT THAN'!$C$62,'KT THAN'!$C$68/Q429)))))</f>
        <v/>
      </c>
      <c r="N429" s="38" t="str">
        <f>IF($A429="","",IF(H429=0,"",IF(R429&lt;=0.000000001,MIN(0.8*0.75*'KT THAN'!$C$62,MAX('KT THAN'!$W$38:$W$58)),IFERROR(MIN(0.8*0.75*'KT THAN'!$C$62,INDEX('KT THAN'!$W$38:$W$58,MATCH(R429,'KT THAN'!$Y$38:$Y$58,-1))+(INDEX('KT THAN'!$W$38:$W$58,MIN(21,MATCH(R429,'KT THAN'!$Y$38:$Y$58,-1)+1))-INDEX('KT THAN'!$W$38:$W$58,MATCH(R429,'KT THAN'!$Y$38:$Y$58,-1)))*(R429-INDEX('KT THAN'!$Y$38:$Y$58,MATCH(R429,'KT THAN'!$Y$38:$Y$58,-1)))/(INDEX('KT THAN'!$Y$38:$Y$58,MIN(21,MATCH(R429,'KT THAN'!$Y$38:$Y$58,-1)+1))-INDEX('KT THAN'!$Y$38:$Y$58,MATCH(R429,'KT THAN'!$Y$38:$Y$58,-1)))),MIN(0.8*0.75*'KT THAN'!$C$62,'KT THAN'!$D$68/R429)))))</f>
        <v/>
      </c>
      <c r="O429" s="38" t="str">
        <f>IF($A429="","",IF(H429&lt;0,ABS(H429)/MAX('KT THAN'!$C$69,0.001)+'KT THAN'!$C$32*ABS(J429)/MAX('KT THAN'!$C$68,0.001)+'KT THAN'!$D$32*ABS(I429)/MAX('KT THAN'!$D$68,0.001),IF(OR(M429&lt;=0,N429&lt;=0),999,IF(H429&gt;=0.1*0.75*fc_*Agth*1000,H429/MAX(0.001,1/(1/M429+1/N429-1/(0.75*'KT THAN'!$C$62))),'KT THAN'!$C$32*ABS(J429)/MAX('KT THAN'!$C$68,0.001)+'KT THAN'!$D$32*ABS(I429)/MAX('KT THAN'!$D$68,0.001)))))</f>
        <v/>
      </c>
      <c r="P429" s="37" t="str">
        <f t="shared" si="68"/>
        <v/>
      </c>
      <c r="Q429" s="38" t="str">
        <f>IF($A429="","",MAX(0.001,'KT THAN'!$C$32*ABS(J429)/MAX(1,H429)))</f>
        <v/>
      </c>
      <c r="R429" s="38" t="str">
        <f>IF($A429="","",MAX(0.001,'KT THAN'!$D$32*ABS(I429)/MAX(1,H429)))</f>
        <v/>
      </c>
      <c r="S429" t="str">
        <f t="shared" si="62"/>
        <v/>
      </c>
    </row>
    <row r="430" spans="1:19" hidden="1" outlineLevel="1" x14ac:dyDescent="0.3">
      <c r="A430" s="37" t="str">
        <f>IF('TO HOP NLAN'!$A296="","",'TO HOP NLAN'!$A296)</f>
        <v/>
      </c>
      <c r="B430" s="38" t="str">
        <f>IF($A430="","",'TO HOP NLAN'!$D296)</f>
        <v/>
      </c>
      <c r="C430" s="38" t="str">
        <f>IF($A430="","",'TO HOP NLAN'!$E296)</f>
        <v/>
      </c>
      <c r="D430" s="38" t="str">
        <f>IF($A430="","",'TO HOP NLAN'!$F296)</f>
        <v/>
      </c>
      <c r="E430" s="38" t="str">
        <f>IF($A430="","",'TO HOP NLAN'!$B296)</f>
        <v/>
      </c>
      <c r="F430" s="38" t="str">
        <f>IF($A430="","",'TO HOP NLAN'!$C296)</f>
        <v/>
      </c>
      <c r="G430" s="38" t="str">
        <f t="shared" si="63"/>
        <v/>
      </c>
      <c r="H430" s="38" t="str">
        <f t="shared" si="61"/>
        <v/>
      </c>
      <c r="I430" s="38" t="str">
        <f t="shared" si="64"/>
        <v/>
      </c>
      <c r="J430" s="38" t="str">
        <f t="shared" si="65"/>
        <v/>
      </c>
      <c r="K430" s="38" t="str">
        <f t="shared" si="66"/>
        <v/>
      </c>
      <c r="L430" s="38" t="str">
        <f t="shared" si="67"/>
        <v/>
      </c>
      <c r="M430" s="38" t="str">
        <f>IF($A430="","",IF(H430=0,"",IF(Q430&lt;=0.000000001,MIN(0.8*0.75*'KT THAN'!$C$62,MAX('KT THAN'!$J$38:$J$58)),IFERROR(MIN(0.8*0.75*'KT THAN'!$C$62,INDEX('KT THAN'!$J$38:$J$58,MATCH(Q430,'KT THAN'!$L$38:$L$58,-1))+(INDEX('KT THAN'!$J$38:$J$58,MIN(21,MATCH(Q430,'KT THAN'!$L$38:$L$58,-1)+1))-INDEX('KT THAN'!$J$38:$J$58,MATCH(Q430,'KT THAN'!$L$38:$L$58,-1)))*(Q430-INDEX('KT THAN'!$L$38:$L$58,MATCH(Q430,'KT THAN'!$L$38:$L$58,-1)))/(INDEX('KT THAN'!$L$38:$L$58,MIN(21,MATCH(Q430,'KT THAN'!$L$38:$L$58,-1)+1))-INDEX('KT THAN'!$L$38:$L$58,MATCH(Q430,'KT THAN'!$L$38:$L$58,-1)))),MIN(0.8*0.75*'KT THAN'!$C$62,'KT THAN'!$C$68/Q430)))))</f>
        <v/>
      </c>
      <c r="N430" s="38" t="str">
        <f>IF($A430="","",IF(H430=0,"",IF(R430&lt;=0.000000001,MIN(0.8*0.75*'KT THAN'!$C$62,MAX('KT THAN'!$W$38:$W$58)),IFERROR(MIN(0.8*0.75*'KT THAN'!$C$62,INDEX('KT THAN'!$W$38:$W$58,MATCH(R430,'KT THAN'!$Y$38:$Y$58,-1))+(INDEX('KT THAN'!$W$38:$W$58,MIN(21,MATCH(R430,'KT THAN'!$Y$38:$Y$58,-1)+1))-INDEX('KT THAN'!$W$38:$W$58,MATCH(R430,'KT THAN'!$Y$38:$Y$58,-1)))*(R430-INDEX('KT THAN'!$Y$38:$Y$58,MATCH(R430,'KT THAN'!$Y$38:$Y$58,-1)))/(INDEX('KT THAN'!$Y$38:$Y$58,MIN(21,MATCH(R430,'KT THAN'!$Y$38:$Y$58,-1)+1))-INDEX('KT THAN'!$Y$38:$Y$58,MATCH(R430,'KT THAN'!$Y$38:$Y$58,-1)))),MIN(0.8*0.75*'KT THAN'!$C$62,'KT THAN'!$D$68/R430)))))</f>
        <v/>
      </c>
      <c r="O430" s="38" t="str">
        <f>IF($A430="","",IF(H430&lt;0,ABS(H430)/MAX('KT THAN'!$C$69,0.001)+'KT THAN'!$C$32*ABS(J430)/MAX('KT THAN'!$C$68,0.001)+'KT THAN'!$D$32*ABS(I430)/MAX('KT THAN'!$D$68,0.001),IF(OR(M430&lt;=0,N430&lt;=0),999,IF(H430&gt;=0.1*0.75*fc_*Agth*1000,H430/MAX(0.001,1/(1/M430+1/N430-1/(0.75*'KT THAN'!$C$62))),'KT THAN'!$C$32*ABS(J430)/MAX('KT THAN'!$C$68,0.001)+'KT THAN'!$D$32*ABS(I430)/MAX('KT THAN'!$D$68,0.001)))))</f>
        <v/>
      </c>
      <c r="P430" s="37" t="str">
        <f t="shared" si="68"/>
        <v/>
      </c>
      <c r="Q430" s="38" t="str">
        <f>IF($A430="","",MAX(0.001,'KT THAN'!$C$32*ABS(J430)/MAX(1,H430)))</f>
        <v/>
      </c>
      <c r="R430" s="38" t="str">
        <f>IF($A430="","",MAX(0.001,'KT THAN'!$D$32*ABS(I430)/MAX(1,H430)))</f>
        <v/>
      </c>
      <c r="S430" t="str">
        <f t="shared" si="62"/>
        <v/>
      </c>
    </row>
    <row r="431" spans="1:19" hidden="1" outlineLevel="1" x14ac:dyDescent="0.3">
      <c r="A431" s="37" t="str">
        <f>IF('TO HOP NLAN'!$A297="","",'TO HOP NLAN'!$A297)</f>
        <v/>
      </c>
      <c r="B431" s="38" t="str">
        <f>IF($A431="","",'TO HOP NLAN'!$D297)</f>
        <v/>
      </c>
      <c r="C431" s="38" t="str">
        <f>IF($A431="","",'TO HOP NLAN'!$E297)</f>
        <v/>
      </c>
      <c r="D431" s="38" t="str">
        <f>IF($A431="","",'TO HOP NLAN'!$F297)</f>
        <v/>
      </c>
      <c r="E431" s="38" t="str">
        <f>IF($A431="","",'TO HOP NLAN'!$B297)</f>
        <v/>
      </c>
      <c r="F431" s="38" t="str">
        <f>IF($A431="","",'TO HOP NLAN'!$C297)</f>
        <v/>
      </c>
      <c r="G431" s="38" t="str">
        <f t="shared" si="63"/>
        <v/>
      </c>
      <c r="H431" s="38" t="str">
        <f t="shared" si="61"/>
        <v/>
      </c>
      <c r="I431" s="38" t="str">
        <f t="shared" si="64"/>
        <v/>
      </c>
      <c r="J431" s="38" t="str">
        <f t="shared" si="65"/>
        <v/>
      </c>
      <c r="K431" s="38" t="str">
        <f t="shared" si="66"/>
        <v/>
      </c>
      <c r="L431" s="38" t="str">
        <f t="shared" si="67"/>
        <v/>
      </c>
      <c r="M431" s="38" t="str">
        <f>IF($A431="","",IF(H431=0,"",IF(Q431&lt;=0.000000001,MIN(0.8*0.75*'KT THAN'!$C$62,MAX('KT THAN'!$J$38:$J$58)),IFERROR(MIN(0.8*0.75*'KT THAN'!$C$62,INDEX('KT THAN'!$J$38:$J$58,MATCH(Q431,'KT THAN'!$L$38:$L$58,-1))+(INDEX('KT THAN'!$J$38:$J$58,MIN(21,MATCH(Q431,'KT THAN'!$L$38:$L$58,-1)+1))-INDEX('KT THAN'!$J$38:$J$58,MATCH(Q431,'KT THAN'!$L$38:$L$58,-1)))*(Q431-INDEX('KT THAN'!$L$38:$L$58,MATCH(Q431,'KT THAN'!$L$38:$L$58,-1)))/(INDEX('KT THAN'!$L$38:$L$58,MIN(21,MATCH(Q431,'KT THAN'!$L$38:$L$58,-1)+1))-INDEX('KT THAN'!$L$38:$L$58,MATCH(Q431,'KT THAN'!$L$38:$L$58,-1)))),MIN(0.8*0.75*'KT THAN'!$C$62,'KT THAN'!$C$68/Q431)))))</f>
        <v/>
      </c>
      <c r="N431" s="38" t="str">
        <f>IF($A431="","",IF(H431=0,"",IF(R431&lt;=0.000000001,MIN(0.8*0.75*'KT THAN'!$C$62,MAX('KT THAN'!$W$38:$W$58)),IFERROR(MIN(0.8*0.75*'KT THAN'!$C$62,INDEX('KT THAN'!$W$38:$W$58,MATCH(R431,'KT THAN'!$Y$38:$Y$58,-1))+(INDEX('KT THAN'!$W$38:$W$58,MIN(21,MATCH(R431,'KT THAN'!$Y$38:$Y$58,-1)+1))-INDEX('KT THAN'!$W$38:$W$58,MATCH(R431,'KT THAN'!$Y$38:$Y$58,-1)))*(R431-INDEX('KT THAN'!$Y$38:$Y$58,MATCH(R431,'KT THAN'!$Y$38:$Y$58,-1)))/(INDEX('KT THAN'!$Y$38:$Y$58,MIN(21,MATCH(R431,'KT THAN'!$Y$38:$Y$58,-1)+1))-INDEX('KT THAN'!$Y$38:$Y$58,MATCH(R431,'KT THAN'!$Y$38:$Y$58,-1)))),MIN(0.8*0.75*'KT THAN'!$C$62,'KT THAN'!$D$68/R431)))))</f>
        <v/>
      </c>
      <c r="O431" s="38" t="str">
        <f>IF($A431="","",IF(H431&lt;0,ABS(H431)/MAX('KT THAN'!$C$69,0.001)+'KT THAN'!$C$32*ABS(J431)/MAX('KT THAN'!$C$68,0.001)+'KT THAN'!$D$32*ABS(I431)/MAX('KT THAN'!$D$68,0.001),IF(OR(M431&lt;=0,N431&lt;=0),999,IF(H431&gt;=0.1*0.75*fc_*Agth*1000,H431/MAX(0.001,1/(1/M431+1/N431-1/(0.75*'KT THAN'!$C$62))),'KT THAN'!$C$32*ABS(J431)/MAX('KT THAN'!$C$68,0.001)+'KT THAN'!$D$32*ABS(I431)/MAX('KT THAN'!$D$68,0.001)))))</f>
        <v/>
      </c>
      <c r="P431" s="37" t="str">
        <f t="shared" si="68"/>
        <v/>
      </c>
      <c r="Q431" s="38" t="str">
        <f>IF($A431="","",MAX(0.001,'KT THAN'!$C$32*ABS(J431)/MAX(1,H431)))</f>
        <v/>
      </c>
      <c r="R431" s="38" t="str">
        <f>IF($A431="","",MAX(0.001,'KT THAN'!$D$32*ABS(I431)/MAX(1,H431)))</f>
        <v/>
      </c>
      <c r="S431" t="str">
        <f t="shared" si="62"/>
        <v/>
      </c>
    </row>
    <row r="432" spans="1:19" hidden="1" outlineLevel="1" x14ac:dyDescent="0.3">
      <c r="A432" s="37" t="str">
        <f>IF('TO HOP NLAN'!$A298="","",'TO HOP NLAN'!$A298)</f>
        <v/>
      </c>
      <c r="B432" s="38" t="str">
        <f>IF($A432="","",'TO HOP NLAN'!$D298)</f>
        <v/>
      </c>
      <c r="C432" s="38" t="str">
        <f>IF($A432="","",'TO HOP NLAN'!$E298)</f>
        <v/>
      </c>
      <c r="D432" s="38" t="str">
        <f>IF($A432="","",'TO HOP NLAN'!$F298)</f>
        <v/>
      </c>
      <c r="E432" s="38" t="str">
        <f>IF($A432="","",'TO HOP NLAN'!$B298)</f>
        <v/>
      </c>
      <c r="F432" s="38" t="str">
        <f>IF($A432="","",'TO HOP NLAN'!$C298)</f>
        <v/>
      </c>
      <c r="G432" s="38" t="str">
        <f t="shared" si="63"/>
        <v/>
      </c>
      <c r="H432" s="38" t="str">
        <f t="shared" si="61"/>
        <v/>
      </c>
      <c r="I432" s="38" t="str">
        <f t="shared" si="64"/>
        <v/>
      </c>
      <c r="J432" s="38" t="str">
        <f t="shared" si="65"/>
        <v/>
      </c>
      <c r="K432" s="38" t="str">
        <f t="shared" si="66"/>
        <v/>
      </c>
      <c r="L432" s="38" t="str">
        <f t="shared" si="67"/>
        <v/>
      </c>
      <c r="M432" s="38" t="str">
        <f>IF($A432="","",IF(H432=0,"",IF(Q432&lt;=0.000000001,MIN(0.8*0.75*'KT THAN'!$C$62,MAX('KT THAN'!$J$38:$J$58)),IFERROR(MIN(0.8*0.75*'KT THAN'!$C$62,INDEX('KT THAN'!$J$38:$J$58,MATCH(Q432,'KT THAN'!$L$38:$L$58,-1))+(INDEX('KT THAN'!$J$38:$J$58,MIN(21,MATCH(Q432,'KT THAN'!$L$38:$L$58,-1)+1))-INDEX('KT THAN'!$J$38:$J$58,MATCH(Q432,'KT THAN'!$L$38:$L$58,-1)))*(Q432-INDEX('KT THAN'!$L$38:$L$58,MATCH(Q432,'KT THAN'!$L$38:$L$58,-1)))/(INDEX('KT THAN'!$L$38:$L$58,MIN(21,MATCH(Q432,'KT THAN'!$L$38:$L$58,-1)+1))-INDEX('KT THAN'!$L$38:$L$58,MATCH(Q432,'KT THAN'!$L$38:$L$58,-1)))),MIN(0.8*0.75*'KT THAN'!$C$62,'KT THAN'!$C$68/Q432)))))</f>
        <v/>
      </c>
      <c r="N432" s="38" t="str">
        <f>IF($A432="","",IF(H432=0,"",IF(R432&lt;=0.000000001,MIN(0.8*0.75*'KT THAN'!$C$62,MAX('KT THAN'!$W$38:$W$58)),IFERROR(MIN(0.8*0.75*'KT THAN'!$C$62,INDEX('KT THAN'!$W$38:$W$58,MATCH(R432,'KT THAN'!$Y$38:$Y$58,-1))+(INDEX('KT THAN'!$W$38:$W$58,MIN(21,MATCH(R432,'KT THAN'!$Y$38:$Y$58,-1)+1))-INDEX('KT THAN'!$W$38:$W$58,MATCH(R432,'KT THAN'!$Y$38:$Y$58,-1)))*(R432-INDEX('KT THAN'!$Y$38:$Y$58,MATCH(R432,'KT THAN'!$Y$38:$Y$58,-1)))/(INDEX('KT THAN'!$Y$38:$Y$58,MIN(21,MATCH(R432,'KT THAN'!$Y$38:$Y$58,-1)+1))-INDEX('KT THAN'!$Y$38:$Y$58,MATCH(R432,'KT THAN'!$Y$38:$Y$58,-1)))),MIN(0.8*0.75*'KT THAN'!$C$62,'KT THAN'!$D$68/R432)))))</f>
        <v/>
      </c>
      <c r="O432" s="38" t="str">
        <f>IF($A432="","",IF(H432&lt;0,ABS(H432)/MAX('KT THAN'!$C$69,0.001)+'KT THAN'!$C$32*ABS(J432)/MAX('KT THAN'!$C$68,0.001)+'KT THAN'!$D$32*ABS(I432)/MAX('KT THAN'!$D$68,0.001),IF(OR(M432&lt;=0,N432&lt;=0),999,IF(H432&gt;=0.1*0.75*fc_*Agth*1000,H432/MAX(0.001,1/(1/M432+1/N432-1/(0.75*'KT THAN'!$C$62))),'KT THAN'!$C$32*ABS(J432)/MAX('KT THAN'!$C$68,0.001)+'KT THAN'!$D$32*ABS(I432)/MAX('KT THAN'!$D$68,0.001)))))</f>
        <v/>
      </c>
      <c r="P432" s="37" t="str">
        <f t="shared" si="68"/>
        <v/>
      </c>
      <c r="Q432" s="38" t="str">
        <f>IF($A432="","",MAX(0.001,'KT THAN'!$C$32*ABS(J432)/MAX(1,H432)))</f>
        <v/>
      </c>
      <c r="R432" s="38" t="str">
        <f>IF($A432="","",MAX(0.001,'KT THAN'!$D$32*ABS(I432)/MAX(1,H432)))</f>
        <v/>
      </c>
      <c r="S432" t="str">
        <f t="shared" si="62"/>
        <v/>
      </c>
    </row>
    <row r="433" spans="1:19" hidden="1" outlineLevel="1" x14ac:dyDescent="0.3">
      <c r="A433" s="37" t="str">
        <f>IF('TO HOP NLAN'!$A299="","",'TO HOP NLAN'!$A299)</f>
        <v/>
      </c>
      <c r="B433" s="38" t="str">
        <f>IF($A433="","",'TO HOP NLAN'!$D299)</f>
        <v/>
      </c>
      <c r="C433" s="38" t="str">
        <f>IF($A433="","",'TO HOP NLAN'!$E299)</f>
        <v/>
      </c>
      <c r="D433" s="38" t="str">
        <f>IF($A433="","",'TO HOP NLAN'!$F299)</f>
        <v/>
      </c>
      <c r="E433" s="38" t="str">
        <f>IF($A433="","",'TO HOP NLAN'!$B299)</f>
        <v/>
      </c>
      <c r="F433" s="38" t="str">
        <f>IF($A433="","",'TO HOP NLAN'!$C299)</f>
        <v/>
      </c>
      <c r="G433" s="38" t="str">
        <f t="shared" si="63"/>
        <v/>
      </c>
      <c r="H433" s="38" t="str">
        <f t="shared" si="61"/>
        <v/>
      </c>
      <c r="I433" s="38" t="str">
        <f t="shared" si="64"/>
        <v/>
      </c>
      <c r="J433" s="38" t="str">
        <f t="shared" si="65"/>
        <v/>
      </c>
      <c r="K433" s="38" t="str">
        <f t="shared" si="66"/>
        <v/>
      </c>
      <c r="L433" s="38" t="str">
        <f t="shared" si="67"/>
        <v/>
      </c>
      <c r="M433" s="38" t="str">
        <f>IF($A433="","",IF(H433=0,"",IF(Q433&lt;=0.000000001,MIN(0.8*0.75*'KT THAN'!$C$62,MAX('KT THAN'!$J$38:$J$58)),IFERROR(MIN(0.8*0.75*'KT THAN'!$C$62,INDEX('KT THAN'!$J$38:$J$58,MATCH(Q433,'KT THAN'!$L$38:$L$58,-1))+(INDEX('KT THAN'!$J$38:$J$58,MIN(21,MATCH(Q433,'KT THAN'!$L$38:$L$58,-1)+1))-INDEX('KT THAN'!$J$38:$J$58,MATCH(Q433,'KT THAN'!$L$38:$L$58,-1)))*(Q433-INDEX('KT THAN'!$L$38:$L$58,MATCH(Q433,'KT THAN'!$L$38:$L$58,-1)))/(INDEX('KT THAN'!$L$38:$L$58,MIN(21,MATCH(Q433,'KT THAN'!$L$38:$L$58,-1)+1))-INDEX('KT THAN'!$L$38:$L$58,MATCH(Q433,'KT THAN'!$L$38:$L$58,-1)))),MIN(0.8*0.75*'KT THAN'!$C$62,'KT THAN'!$C$68/Q433)))))</f>
        <v/>
      </c>
      <c r="N433" s="38" t="str">
        <f>IF($A433="","",IF(H433=0,"",IF(R433&lt;=0.000000001,MIN(0.8*0.75*'KT THAN'!$C$62,MAX('KT THAN'!$W$38:$W$58)),IFERROR(MIN(0.8*0.75*'KT THAN'!$C$62,INDEX('KT THAN'!$W$38:$W$58,MATCH(R433,'KT THAN'!$Y$38:$Y$58,-1))+(INDEX('KT THAN'!$W$38:$W$58,MIN(21,MATCH(R433,'KT THAN'!$Y$38:$Y$58,-1)+1))-INDEX('KT THAN'!$W$38:$W$58,MATCH(R433,'KT THAN'!$Y$38:$Y$58,-1)))*(R433-INDEX('KT THAN'!$Y$38:$Y$58,MATCH(R433,'KT THAN'!$Y$38:$Y$58,-1)))/(INDEX('KT THAN'!$Y$38:$Y$58,MIN(21,MATCH(R433,'KT THAN'!$Y$38:$Y$58,-1)+1))-INDEX('KT THAN'!$Y$38:$Y$58,MATCH(R433,'KT THAN'!$Y$38:$Y$58,-1)))),MIN(0.8*0.75*'KT THAN'!$C$62,'KT THAN'!$D$68/R433)))))</f>
        <v/>
      </c>
      <c r="O433" s="38" t="str">
        <f>IF($A433="","",IF(H433&lt;0,ABS(H433)/MAX('KT THAN'!$C$69,0.001)+'KT THAN'!$C$32*ABS(J433)/MAX('KT THAN'!$C$68,0.001)+'KT THAN'!$D$32*ABS(I433)/MAX('KT THAN'!$D$68,0.001),IF(OR(M433&lt;=0,N433&lt;=0),999,IF(H433&gt;=0.1*0.75*fc_*Agth*1000,H433/MAX(0.001,1/(1/M433+1/N433-1/(0.75*'KT THAN'!$C$62))),'KT THAN'!$C$32*ABS(J433)/MAX('KT THAN'!$C$68,0.001)+'KT THAN'!$D$32*ABS(I433)/MAX('KT THAN'!$D$68,0.001)))))</f>
        <v/>
      </c>
      <c r="P433" s="37" t="str">
        <f t="shared" si="68"/>
        <v/>
      </c>
      <c r="Q433" s="38" t="str">
        <f>IF($A433="","",MAX(0.001,'KT THAN'!$C$32*ABS(J433)/MAX(1,H433)))</f>
        <v/>
      </c>
      <c r="R433" s="38" t="str">
        <f>IF($A433="","",MAX(0.001,'KT THAN'!$D$32*ABS(I433)/MAX(1,H433)))</f>
        <v/>
      </c>
      <c r="S433" t="str">
        <f t="shared" si="62"/>
        <v/>
      </c>
    </row>
    <row r="434" spans="1:19" hidden="1" outlineLevel="1" x14ac:dyDescent="0.3">
      <c r="A434" s="37" t="str">
        <f>IF('TO HOP NLAN'!$A300="","",'TO HOP NLAN'!$A300)</f>
        <v/>
      </c>
      <c r="B434" s="38" t="str">
        <f>IF($A434="","",'TO HOP NLAN'!$D300)</f>
        <v/>
      </c>
      <c r="C434" s="38" t="str">
        <f>IF($A434="","",'TO HOP NLAN'!$E300)</f>
        <v/>
      </c>
      <c r="D434" s="38" t="str">
        <f>IF($A434="","",'TO HOP NLAN'!$F300)</f>
        <v/>
      </c>
      <c r="E434" s="38" t="str">
        <f>IF($A434="","",'TO HOP NLAN'!$B300)</f>
        <v/>
      </c>
      <c r="F434" s="38" t="str">
        <f>IF($A434="","",'TO HOP NLAN'!$C300)</f>
        <v/>
      </c>
      <c r="G434" s="38" t="str">
        <f t="shared" si="63"/>
        <v/>
      </c>
      <c r="H434" s="38" t="str">
        <f t="shared" si="61"/>
        <v/>
      </c>
      <c r="I434" s="38" t="str">
        <f t="shared" si="64"/>
        <v/>
      </c>
      <c r="J434" s="38" t="str">
        <f t="shared" si="65"/>
        <v/>
      </c>
      <c r="K434" s="38" t="str">
        <f t="shared" si="66"/>
        <v/>
      </c>
      <c r="L434" s="38" t="str">
        <f t="shared" si="67"/>
        <v/>
      </c>
      <c r="M434" s="38" t="str">
        <f>IF($A434="","",IF(H434=0,"",IF(Q434&lt;=0.000000001,MIN(0.8*0.75*'KT THAN'!$C$62,MAX('KT THAN'!$J$38:$J$58)),IFERROR(MIN(0.8*0.75*'KT THAN'!$C$62,INDEX('KT THAN'!$J$38:$J$58,MATCH(Q434,'KT THAN'!$L$38:$L$58,-1))+(INDEX('KT THAN'!$J$38:$J$58,MIN(21,MATCH(Q434,'KT THAN'!$L$38:$L$58,-1)+1))-INDEX('KT THAN'!$J$38:$J$58,MATCH(Q434,'KT THAN'!$L$38:$L$58,-1)))*(Q434-INDEX('KT THAN'!$L$38:$L$58,MATCH(Q434,'KT THAN'!$L$38:$L$58,-1)))/(INDEX('KT THAN'!$L$38:$L$58,MIN(21,MATCH(Q434,'KT THAN'!$L$38:$L$58,-1)+1))-INDEX('KT THAN'!$L$38:$L$58,MATCH(Q434,'KT THAN'!$L$38:$L$58,-1)))),MIN(0.8*0.75*'KT THAN'!$C$62,'KT THAN'!$C$68/Q434)))))</f>
        <v/>
      </c>
      <c r="N434" s="38" t="str">
        <f>IF($A434="","",IF(H434=0,"",IF(R434&lt;=0.000000001,MIN(0.8*0.75*'KT THAN'!$C$62,MAX('KT THAN'!$W$38:$W$58)),IFERROR(MIN(0.8*0.75*'KT THAN'!$C$62,INDEX('KT THAN'!$W$38:$W$58,MATCH(R434,'KT THAN'!$Y$38:$Y$58,-1))+(INDEX('KT THAN'!$W$38:$W$58,MIN(21,MATCH(R434,'KT THAN'!$Y$38:$Y$58,-1)+1))-INDEX('KT THAN'!$W$38:$W$58,MATCH(R434,'KT THAN'!$Y$38:$Y$58,-1)))*(R434-INDEX('KT THAN'!$Y$38:$Y$58,MATCH(R434,'KT THAN'!$Y$38:$Y$58,-1)))/(INDEX('KT THAN'!$Y$38:$Y$58,MIN(21,MATCH(R434,'KT THAN'!$Y$38:$Y$58,-1)+1))-INDEX('KT THAN'!$Y$38:$Y$58,MATCH(R434,'KT THAN'!$Y$38:$Y$58,-1)))),MIN(0.8*0.75*'KT THAN'!$C$62,'KT THAN'!$D$68/R434)))))</f>
        <v/>
      </c>
      <c r="O434" s="38" t="str">
        <f>IF($A434="","",IF(H434&lt;0,ABS(H434)/MAX('KT THAN'!$C$69,0.001)+'KT THAN'!$C$32*ABS(J434)/MAX('KT THAN'!$C$68,0.001)+'KT THAN'!$D$32*ABS(I434)/MAX('KT THAN'!$D$68,0.001),IF(OR(M434&lt;=0,N434&lt;=0),999,IF(H434&gt;=0.1*0.75*fc_*Agth*1000,H434/MAX(0.001,1/(1/M434+1/N434-1/(0.75*'KT THAN'!$C$62))),'KT THAN'!$C$32*ABS(J434)/MAX('KT THAN'!$C$68,0.001)+'KT THAN'!$D$32*ABS(I434)/MAX('KT THAN'!$D$68,0.001)))))</f>
        <v/>
      </c>
      <c r="P434" s="37" t="str">
        <f t="shared" si="68"/>
        <v/>
      </c>
      <c r="Q434" s="38" t="str">
        <f>IF($A434="","",MAX(0.001,'KT THAN'!$C$32*ABS(J434)/MAX(1,H434)))</f>
        <v/>
      </c>
      <c r="R434" s="38" t="str">
        <f>IF($A434="","",MAX(0.001,'KT THAN'!$D$32*ABS(I434)/MAX(1,H434)))</f>
        <v/>
      </c>
      <c r="S434" t="str">
        <f t="shared" si="62"/>
        <v/>
      </c>
    </row>
    <row r="435" spans="1:19" hidden="1" outlineLevel="1" x14ac:dyDescent="0.3">
      <c r="A435" s="37" t="str">
        <f>IF('TO HOP NLAN'!$A301="","",'TO HOP NLAN'!$A301)</f>
        <v/>
      </c>
      <c r="B435" s="38" t="str">
        <f>IF($A435="","",'TO HOP NLAN'!$D301)</f>
        <v/>
      </c>
      <c r="C435" s="38" t="str">
        <f>IF($A435="","",'TO HOP NLAN'!$E301)</f>
        <v/>
      </c>
      <c r="D435" s="38" t="str">
        <f>IF($A435="","",'TO HOP NLAN'!$F301)</f>
        <v/>
      </c>
      <c r="E435" s="38" t="str">
        <f>IF($A435="","",'TO HOP NLAN'!$B301)</f>
        <v/>
      </c>
      <c r="F435" s="38" t="str">
        <f>IF($A435="","",'TO HOP NLAN'!$C301)</f>
        <v/>
      </c>
      <c r="G435" s="38" t="str">
        <f t="shared" si="63"/>
        <v/>
      </c>
      <c r="H435" s="38" t="str">
        <f t="shared" si="61"/>
        <v/>
      </c>
      <c r="I435" s="38" t="str">
        <f t="shared" si="64"/>
        <v/>
      </c>
      <c r="J435" s="38" t="str">
        <f t="shared" si="65"/>
        <v/>
      </c>
      <c r="K435" s="38" t="str">
        <f t="shared" si="66"/>
        <v/>
      </c>
      <c r="L435" s="38" t="str">
        <f t="shared" si="67"/>
        <v/>
      </c>
      <c r="M435" s="38" t="str">
        <f>IF($A435="","",IF(H435=0,"",IF(Q435&lt;=0.000000001,MIN(0.8*0.75*'KT THAN'!$C$62,MAX('KT THAN'!$J$38:$J$58)),IFERROR(MIN(0.8*0.75*'KT THAN'!$C$62,INDEX('KT THAN'!$J$38:$J$58,MATCH(Q435,'KT THAN'!$L$38:$L$58,-1))+(INDEX('KT THAN'!$J$38:$J$58,MIN(21,MATCH(Q435,'KT THAN'!$L$38:$L$58,-1)+1))-INDEX('KT THAN'!$J$38:$J$58,MATCH(Q435,'KT THAN'!$L$38:$L$58,-1)))*(Q435-INDEX('KT THAN'!$L$38:$L$58,MATCH(Q435,'KT THAN'!$L$38:$L$58,-1)))/(INDEX('KT THAN'!$L$38:$L$58,MIN(21,MATCH(Q435,'KT THAN'!$L$38:$L$58,-1)+1))-INDEX('KT THAN'!$L$38:$L$58,MATCH(Q435,'KT THAN'!$L$38:$L$58,-1)))),MIN(0.8*0.75*'KT THAN'!$C$62,'KT THAN'!$C$68/Q435)))))</f>
        <v/>
      </c>
      <c r="N435" s="38" t="str">
        <f>IF($A435="","",IF(H435=0,"",IF(R435&lt;=0.000000001,MIN(0.8*0.75*'KT THAN'!$C$62,MAX('KT THAN'!$W$38:$W$58)),IFERROR(MIN(0.8*0.75*'KT THAN'!$C$62,INDEX('KT THAN'!$W$38:$W$58,MATCH(R435,'KT THAN'!$Y$38:$Y$58,-1))+(INDEX('KT THAN'!$W$38:$W$58,MIN(21,MATCH(R435,'KT THAN'!$Y$38:$Y$58,-1)+1))-INDEX('KT THAN'!$W$38:$W$58,MATCH(R435,'KT THAN'!$Y$38:$Y$58,-1)))*(R435-INDEX('KT THAN'!$Y$38:$Y$58,MATCH(R435,'KT THAN'!$Y$38:$Y$58,-1)))/(INDEX('KT THAN'!$Y$38:$Y$58,MIN(21,MATCH(R435,'KT THAN'!$Y$38:$Y$58,-1)+1))-INDEX('KT THAN'!$Y$38:$Y$58,MATCH(R435,'KT THAN'!$Y$38:$Y$58,-1)))),MIN(0.8*0.75*'KT THAN'!$C$62,'KT THAN'!$D$68/R435)))))</f>
        <v/>
      </c>
      <c r="O435" s="38" t="str">
        <f>IF($A435="","",IF(H435&lt;0,ABS(H435)/MAX('KT THAN'!$C$69,0.001)+'KT THAN'!$C$32*ABS(J435)/MAX('KT THAN'!$C$68,0.001)+'KT THAN'!$D$32*ABS(I435)/MAX('KT THAN'!$D$68,0.001),IF(OR(M435&lt;=0,N435&lt;=0),999,IF(H435&gt;=0.1*0.75*fc_*Agth*1000,H435/MAX(0.001,1/(1/M435+1/N435-1/(0.75*'KT THAN'!$C$62))),'KT THAN'!$C$32*ABS(J435)/MAX('KT THAN'!$C$68,0.001)+'KT THAN'!$D$32*ABS(I435)/MAX('KT THAN'!$D$68,0.001)))))</f>
        <v/>
      </c>
      <c r="P435" s="37" t="str">
        <f t="shared" si="68"/>
        <v/>
      </c>
      <c r="Q435" s="38" t="str">
        <f>IF($A435="","",MAX(0.001,'KT THAN'!$C$32*ABS(J435)/MAX(1,H435)))</f>
        <v/>
      </c>
      <c r="R435" s="38" t="str">
        <f>IF($A435="","",MAX(0.001,'KT THAN'!$D$32*ABS(I435)/MAX(1,H435)))</f>
        <v/>
      </c>
      <c r="S435" t="str">
        <f t="shared" si="62"/>
        <v/>
      </c>
    </row>
    <row r="436" spans="1:19" hidden="1" outlineLevel="1" x14ac:dyDescent="0.3">
      <c r="A436" s="37" t="str">
        <f>IF('TO HOP NLAN'!$A302="","",'TO HOP NLAN'!$A302)</f>
        <v/>
      </c>
      <c r="B436" s="38" t="str">
        <f>IF($A436="","",'TO HOP NLAN'!$D302)</f>
        <v/>
      </c>
      <c r="C436" s="38" t="str">
        <f>IF($A436="","",'TO HOP NLAN'!$E302)</f>
        <v/>
      </c>
      <c r="D436" s="38" t="str">
        <f>IF($A436="","",'TO HOP NLAN'!$F302)</f>
        <v/>
      </c>
      <c r="E436" s="38" t="str">
        <f>IF($A436="","",'TO HOP NLAN'!$B302)</f>
        <v/>
      </c>
      <c r="F436" s="38" t="str">
        <f>IF($A436="","",'TO HOP NLAN'!$C302)</f>
        <v/>
      </c>
      <c r="G436" s="38" t="str">
        <f t="shared" si="63"/>
        <v/>
      </c>
      <c r="H436" s="38" t="str">
        <f t="shared" si="61"/>
        <v/>
      </c>
      <c r="I436" s="38" t="str">
        <f t="shared" si="64"/>
        <v/>
      </c>
      <c r="J436" s="38" t="str">
        <f t="shared" si="65"/>
        <v/>
      </c>
      <c r="K436" s="38" t="str">
        <f t="shared" si="66"/>
        <v/>
      </c>
      <c r="L436" s="38" t="str">
        <f t="shared" si="67"/>
        <v/>
      </c>
      <c r="M436" s="38" t="str">
        <f>IF($A436="","",IF(H436=0,"",IF(Q436&lt;=0.000000001,MIN(0.8*0.75*'KT THAN'!$C$62,MAX('KT THAN'!$J$38:$J$58)),IFERROR(MIN(0.8*0.75*'KT THAN'!$C$62,INDEX('KT THAN'!$J$38:$J$58,MATCH(Q436,'KT THAN'!$L$38:$L$58,-1))+(INDEX('KT THAN'!$J$38:$J$58,MIN(21,MATCH(Q436,'KT THAN'!$L$38:$L$58,-1)+1))-INDEX('KT THAN'!$J$38:$J$58,MATCH(Q436,'KT THAN'!$L$38:$L$58,-1)))*(Q436-INDEX('KT THAN'!$L$38:$L$58,MATCH(Q436,'KT THAN'!$L$38:$L$58,-1)))/(INDEX('KT THAN'!$L$38:$L$58,MIN(21,MATCH(Q436,'KT THAN'!$L$38:$L$58,-1)+1))-INDEX('KT THAN'!$L$38:$L$58,MATCH(Q436,'KT THAN'!$L$38:$L$58,-1)))),MIN(0.8*0.75*'KT THAN'!$C$62,'KT THAN'!$C$68/Q436)))))</f>
        <v/>
      </c>
      <c r="N436" s="38" t="str">
        <f>IF($A436="","",IF(H436=0,"",IF(R436&lt;=0.000000001,MIN(0.8*0.75*'KT THAN'!$C$62,MAX('KT THAN'!$W$38:$W$58)),IFERROR(MIN(0.8*0.75*'KT THAN'!$C$62,INDEX('KT THAN'!$W$38:$W$58,MATCH(R436,'KT THAN'!$Y$38:$Y$58,-1))+(INDEX('KT THAN'!$W$38:$W$58,MIN(21,MATCH(R436,'KT THAN'!$Y$38:$Y$58,-1)+1))-INDEX('KT THAN'!$W$38:$W$58,MATCH(R436,'KT THAN'!$Y$38:$Y$58,-1)))*(R436-INDEX('KT THAN'!$Y$38:$Y$58,MATCH(R436,'KT THAN'!$Y$38:$Y$58,-1)))/(INDEX('KT THAN'!$Y$38:$Y$58,MIN(21,MATCH(R436,'KT THAN'!$Y$38:$Y$58,-1)+1))-INDEX('KT THAN'!$Y$38:$Y$58,MATCH(R436,'KT THAN'!$Y$38:$Y$58,-1)))),MIN(0.8*0.75*'KT THAN'!$C$62,'KT THAN'!$D$68/R436)))))</f>
        <v/>
      </c>
      <c r="O436" s="38" t="str">
        <f>IF($A436="","",IF(H436&lt;0,ABS(H436)/MAX('KT THAN'!$C$69,0.001)+'KT THAN'!$C$32*ABS(J436)/MAX('KT THAN'!$C$68,0.001)+'KT THAN'!$D$32*ABS(I436)/MAX('KT THAN'!$D$68,0.001),IF(OR(M436&lt;=0,N436&lt;=0),999,IF(H436&gt;=0.1*0.75*fc_*Agth*1000,H436/MAX(0.001,1/(1/M436+1/N436-1/(0.75*'KT THAN'!$C$62))),'KT THAN'!$C$32*ABS(J436)/MAX('KT THAN'!$C$68,0.001)+'KT THAN'!$D$32*ABS(I436)/MAX('KT THAN'!$D$68,0.001)))))</f>
        <v/>
      </c>
      <c r="P436" s="37" t="str">
        <f t="shared" si="68"/>
        <v/>
      </c>
      <c r="Q436" s="38" t="str">
        <f>IF($A436="","",MAX(0.001,'KT THAN'!$C$32*ABS(J436)/MAX(1,H436)))</f>
        <v/>
      </c>
      <c r="R436" s="38" t="str">
        <f>IF($A436="","",MAX(0.001,'KT THAN'!$D$32*ABS(I436)/MAX(1,H436)))</f>
        <v/>
      </c>
      <c r="S436" t="str">
        <f t="shared" si="62"/>
        <v/>
      </c>
    </row>
    <row r="437" spans="1:19" hidden="1" outlineLevel="1" x14ac:dyDescent="0.3">
      <c r="A437" s="37" t="str">
        <f>IF('TO HOP NLAN'!$A303="","",'TO HOP NLAN'!$A303)</f>
        <v/>
      </c>
      <c r="B437" s="38" t="str">
        <f>IF($A437="","",'TO HOP NLAN'!$D303)</f>
        <v/>
      </c>
      <c r="C437" s="38" t="str">
        <f>IF($A437="","",'TO HOP NLAN'!$E303)</f>
        <v/>
      </c>
      <c r="D437" s="38" t="str">
        <f>IF($A437="","",'TO HOP NLAN'!$F303)</f>
        <v/>
      </c>
      <c r="E437" s="38" t="str">
        <f>IF($A437="","",'TO HOP NLAN'!$B303)</f>
        <v/>
      </c>
      <c r="F437" s="38" t="str">
        <f>IF($A437="","",'TO HOP NLAN'!$C303)</f>
        <v/>
      </c>
      <c r="G437" s="38" t="str">
        <f t="shared" si="63"/>
        <v/>
      </c>
      <c r="H437" s="38" t="str">
        <f t="shared" si="61"/>
        <v/>
      </c>
      <c r="I437" s="38" t="str">
        <f t="shared" si="64"/>
        <v/>
      </c>
      <c r="J437" s="38" t="str">
        <f t="shared" si="65"/>
        <v/>
      </c>
      <c r="K437" s="38" t="str">
        <f t="shared" si="66"/>
        <v/>
      </c>
      <c r="L437" s="38" t="str">
        <f t="shared" si="67"/>
        <v/>
      </c>
      <c r="M437" s="38" t="str">
        <f>IF($A437="","",IF(H437=0,"",IF(Q437&lt;=0.000000001,MIN(0.8*0.75*'KT THAN'!$C$62,MAX('KT THAN'!$J$38:$J$58)),IFERROR(MIN(0.8*0.75*'KT THAN'!$C$62,INDEX('KT THAN'!$J$38:$J$58,MATCH(Q437,'KT THAN'!$L$38:$L$58,-1))+(INDEX('KT THAN'!$J$38:$J$58,MIN(21,MATCH(Q437,'KT THAN'!$L$38:$L$58,-1)+1))-INDEX('KT THAN'!$J$38:$J$58,MATCH(Q437,'KT THAN'!$L$38:$L$58,-1)))*(Q437-INDEX('KT THAN'!$L$38:$L$58,MATCH(Q437,'KT THAN'!$L$38:$L$58,-1)))/(INDEX('KT THAN'!$L$38:$L$58,MIN(21,MATCH(Q437,'KT THAN'!$L$38:$L$58,-1)+1))-INDEX('KT THAN'!$L$38:$L$58,MATCH(Q437,'KT THAN'!$L$38:$L$58,-1)))),MIN(0.8*0.75*'KT THAN'!$C$62,'KT THAN'!$C$68/Q437)))))</f>
        <v/>
      </c>
      <c r="N437" s="38" t="str">
        <f>IF($A437="","",IF(H437=0,"",IF(R437&lt;=0.000000001,MIN(0.8*0.75*'KT THAN'!$C$62,MAX('KT THAN'!$W$38:$W$58)),IFERROR(MIN(0.8*0.75*'KT THAN'!$C$62,INDEX('KT THAN'!$W$38:$W$58,MATCH(R437,'KT THAN'!$Y$38:$Y$58,-1))+(INDEX('KT THAN'!$W$38:$W$58,MIN(21,MATCH(R437,'KT THAN'!$Y$38:$Y$58,-1)+1))-INDEX('KT THAN'!$W$38:$W$58,MATCH(R437,'KT THAN'!$Y$38:$Y$58,-1)))*(R437-INDEX('KT THAN'!$Y$38:$Y$58,MATCH(R437,'KT THAN'!$Y$38:$Y$58,-1)))/(INDEX('KT THAN'!$Y$38:$Y$58,MIN(21,MATCH(R437,'KT THAN'!$Y$38:$Y$58,-1)+1))-INDEX('KT THAN'!$Y$38:$Y$58,MATCH(R437,'KT THAN'!$Y$38:$Y$58,-1)))),MIN(0.8*0.75*'KT THAN'!$C$62,'KT THAN'!$D$68/R437)))))</f>
        <v/>
      </c>
      <c r="O437" s="38" t="str">
        <f>IF($A437="","",IF(H437&lt;0,ABS(H437)/MAX('KT THAN'!$C$69,0.001)+'KT THAN'!$C$32*ABS(J437)/MAX('KT THAN'!$C$68,0.001)+'KT THAN'!$D$32*ABS(I437)/MAX('KT THAN'!$D$68,0.001),IF(OR(M437&lt;=0,N437&lt;=0),999,IF(H437&gt;=0.1*0.75*fc_*Agth*1000,H437/MAX(0.001,1/(1/M437+1/N437-1/(0.75*'KT THAN'!$C$62))),'KT THAN'!$C$32*ABS(J437)/MAX('KT THAN'!$C$68,0.001)+'KT THAN'!$D$32*ABS(I437)/MAX('KT THAN'!$D$68,0.001)))))</f>
        <v/>
      </c>
      <c r="P437" s="37" t="str">
        <f t="shared" si="68"/>
        <v/>
      </c>
      <c r="Q437" s="38" t="str">
        <f>IF($A437="","",MAX(0.001,'KT THAN'!$C$32*ABS(J437)/MAX(1,H437)))</f>
        <v/>
      </c>
      <c r="R437" s="38" t="str">
        <f>IF($A437="","",MAX(0.001,'KT THAN'!$D$32*ABS(I437)/MAX(1,H437)))</f>
        <v/>
      </c>
      <c r="S437" t="str">
        <f t="shared" si="62"/>
        <v/>
      </c>
    </row>
    <row r="438" spans="1:19" hidden="1" outlineLevel="1" x14ac:dyDescent="0.3">
      <c r="A438" s="37" t="str">
        <f>IF('TO HOP NLAN'!$A304="","",'TO HOP NLAN'!$A304)</f>
        <v/>
      </c>
      <c r="B438" s="38" t="str">
        <f>IF($A438="","",'TO HOP NLAN'!$D304)</f>
        <v/>
      </c>
      <c r="C438" s="38" t="str">
        <f>IF($A438="","",'TO HOP NLAN'!$E304)</f>
        <v/>
      </c>
      <c r="D438" s="38" t="str">
        <f>IF($A438="","",'TO HOP NLAN'!$F304)</f>
        <v/>
      </c>
      <c r="E438" s="38" t="str">
        <f>IF($A438="","",'TO HOP NLAN'!$B304)</f>
        <v/>
      </c>
      <c r="F438" s="38" t="str">
        <f>IF($A438="","",'TO HOP NLAN'!$C304)</f>
        <v/>
      </c>
      <c r="G438" s="38" t="str">
        <f t="shared" si="63"/>
        <v/>
      </c>
      <c r="H438" s="38" t="str">
        <f t="shared" si="61"/>
        <v/>
      </c>
      <c r="I438" s="38" t="str">
        <f t="shared" si="64"/>
        <v/>
      </c>
      <c r="J438" s="38" t="str">
        <f t="shared" si="65"/>
        <v/>
      </c>
      <c r="K438" s="38" t="str">
        <f t="shared" si="66"/>
        <v/>
      </c>
      <c r="L438" s="38" t="str">
        <f t="shared" si="67"/>
        <v/>
      </c>
      <c r="M438" s="38" t="str">
        <f>IF($A438="","",IF(H438=0,"",IF(Q438&lt;=0.000000001,MIN(0.8*0.75*'KT THAN'!$C$62,MAX('KT THAN'!$J$38:$J$58)),IFERROR(MIN(0.8*0.75*'KT THAN'!$C$62,INDEX('KT THAN'!$J$38:$J$58,MATCH(Q438,'KT THAN'!$L$38:$L$58,-1))+(INDEX('KT THAN'!$J$38:$J$58,MIN(21,MATCH(Q438,'KT THAN'!$L$38:$L$58,-1)+1))-INDEX('KT THAN'!$J$38:$J$58,MATCH(Q438,'KT THAN'!$L$38:$L$58,-1)))*(Q438-INDEX('KT THAN'!$L$38:$L$58,MATCH(Q438,'KT THAN'!$L$38:$L$58,-1)))/(INDEX('KT THAN'!$L$38:$L$58,MIN(21,MATCH(Q438,'KT THAN'!$L$38:$L$58,-1)+1))-INDEX('KT THAN'!$L$38:$L$58,MATCH(Q438,'KT THAN'!$L$38:$L$58,-1)))),MIN(0.8*0.75*'KT THAN'!$C$62,'KT THAN'!$C$68/Q438)))))</f>
        <v/>
      </c>
      <c r="N438" s="38" t="str">
        <f>IF($A438="","",IF(H438=0,"",IF(R438&lt;=0.000000001,MIN(0.8*0.75*'KT THAN'!$C$62,MAX('KT THAN'!$W$38:$W$58)),IFERROR(MIN(0.8*0.75*'KT THAN'!$C$62,INDEX('KT THAN'!$W$38:$W$58,MATCH(R438,'KT THAN'!$Y$38:$Y$58,-1))+(INDEX('KT THAN'!$W$38:$W$58,MIN(21,MATCH(R438,'KT THAN'!$Y$38:$Y$58,-1)+1))-INDEX('KT THAN'!$W$38:$W$58,MATCH(R438,'KT THAN'!$Y$38:$Y$58,-1)))*(R438-INDEX('KT THAN'!$Y$38:$Y$58,MATCH(R438,'KT THAN'!$Y$38:$Y$58,-1)))/(INDEX('KT THAN'!$Y$38:$Y$58,MIN(21,MATCH(R438,'KT THAN'!$Y$38:$Y$58,-1)+1))-INDEX('KT THAN'!$Y$38:$Y$58,MATCH(R438,'KT THAN'!$Y$38:$Y$58,-1)))),MIN(0.8*0.75*'KT THAN'!$C$62,'KT THAN'!$D$68/R438)))))</f>
        <v/>
      </c>
      <c r="O438" s="38" t="str">
        <f>IF($A438="","",IF(H438&lt;0,ABS(H438)/MAX('KT THAN'!$C$69,0.001)+'KT THAN'!$C$32*ABS(J438)/MAX('KT THAN'!$C$68,0.001)+'KT THAN'!$D$32*ABS(I438)/MAX('KT THAN'!$D$68,0.001),IF(OR(M438&lt;=0,N438&lt;=0),999,IF(H438&gt;=0.1*0.75*fc_*Agth*1000,H438/MAX(0.001,1/(1/M438+1/N438-1/(0.75*'KT THAN'!$C$62))),'KT THAN'!$C$32*ABS(J438)/MAX('KT THAN'!$C$68,0.001)+'KT THAN'!$D$32*ABS(I438)/MAX('KT THAN'!$D$68,0.001)))))</f>
        <v/>
      </c>
      <c r="P438" s="37" t="str">
        <f t="shared" si="68"/>
        <v/>
      </c>
      <c r="Q438" s="38" t="str">
        <f>IF($A438="","",MAX(0.001,'KT THAN'!$C$32*ABS(J438)/MAX(1,H438)))</f>
        <v/>
      </c>
      <c r="R438" s="38" t="str">
        <f>IF($A438="","",MAX(0.001,'KT THAN'!$D$32*ABS(I438)/MAX(1,H438)))</f>
        <v/>
      </c>
      <c r="S438" t="str">
        <f t="shared" si="62"/>
        <v/>
      </c>
    </row>
    <row r="439" spans="1:19" hidden="1" outlineLevel="1" x14ac:dyDescent="0.3">
      <c r="A439" s="37" t="str">
        <f>IF('TO HOP NLAN'!$A305="","",'TO HOP NLAN'!$A305)</f>
        <v/>
      </c>
      <c r="B439" s="38" t="str">
        <f>IF($A439="","",'TO HOP NLAN'!$D305)</f>
        <v/>
      </c>
      <c r="C439" s="38" t="str">
        <f>IF($A439="","",'TO HOP NLAN'!$E305)</f>
        <v/>
      </c>
      <c r="D439" s="38" t="str">
        <f>IF($A439="","",'TO HOP NLAN'!$F305)</f>
        <v/>
      </c>
      <c r="E439" s="38" t="str">
        <f>IF($A439="","",'TO HOP NLAN'!$B305)</f>
        <v/>
      </c>
      <c r="F439" s="38" t="str">
        <f>IF($A439="","",'TO HOP NLAN'!$C305)</f>
        <v/>
      </c>
      <c r="G439" s="38" t="str">
        <f t="shared" si="63"/>
        <v/>
      </c>
      <c r="H439" s="38" t="str">
        <f t="shared" si="61"/>
        <v/>
      </c>
      <c r="I439" s="38" t="str">
        <f t="shared" si="64"/>
        <v/>
      </c>
      <c r="J439" s="38" t="str">
        <f t="shared" si="65"/>
        <v/>
      </c>
      <c r="K439" s="38" t="str">
        <f t="shared" si="66"/>
        <v/>
      </c>
      <c r="L439" s="38" t="str">
        <f t="shared" si="67"/>
        <v/>
      </c>
      <c r="M439" s="38" t="str">
        <f>IF($A439="","",IF(H439=0,"",IF(Q439&lt;=0.000000001,MIN(0.8*0.75*'KT THAN'!$C$62,MAX('KT THAN'!$J$38:$J$58)),IFERROR(MIN(0.8*0.75*'KT THAN'!$C$62,INDEX('KT THAN'!$J$38:$J$58,MATCH(Q439,'KT THAN'!$L$38:$L$58,-1))+(INDEX('KT THAN'!$J$38:$J$58,MIN(21,MATCH(Q439,'KT THAN'!$L$38:$L$58,-1)+1))-INDEX('KT THAN'!$J$38:$J$58,MATCH(Q439,'KT THAN'!$L$38:$L$58,-1)))*(Q439-INDEX('KT THAN'!$L$38:$L$58,MATCH(Q439,'KT THAN'!$L$38:$L$58,-1)))/(INDEX('KT THAN'!$L$38:$L$58,MIN(21,MATCH(Q439,'KT THAN'!$L$38:$L$58,-1)+1))-INDEX('KT THAN'!$L$38:$L$58,MATCH(Q439,'KT THAN'!$L$38:$L$58,-1)))),MIN(0.8*0.75*'KT THAN'!$C$62,'KT THAN'!$C$68/Q439)))))</f>
        <v/>
      </c>
      <c r="N439" s="38" t="str">
        <f>IF($A439="","",IF(H439=0,"",IF(R439&lt;=0.000000001,MIN(0.8*0.75*'KT THAN'!$C$62,MAX('KT THAN'!$W$38:$W$58)),IFERROR(MIN(0.8*0.75*'KT THAN'!$C$62,INDEX('KT THAN'!$W$38:$W$58,MATCH(R439,'KT THAN'!$Y$38:$Y$58,-1))+(INDEX('KT THAN'!$W$38:$W$58,MIN(21,MATCH(R439,'KT THAN'!$Y$38:$Y$58,-1)+1))-INDEX('KT THAN'!$W$38:$W$58,MATCH(R439,'KT THAN'!$Y$38:$Y$58,-1)))*(R439-INDEX('KT THAN'!$Y$38:$Y$58,MATCH(R439,'KT THAN'!$Y$38:$Y$58,-1)))/(INDEX('KT THAN'!$Y$38:$Y$58,MIN(21,MATCH(R439,'KT THAN'!$Y$38:$Y$58,-1)+1))-INDEX('KT THAN'!$Y$38:$Y$58,MATCH(R439,'KT THAN'!$Y$38:$Y$58,-1)))),MIN(0.8*0.75*'KT THAN'!$C$62,'KT THAN'!$D$68/R439)))))</f>
        <v/>
      </c>
      <c r="O439" s="38" t="str">
        <f>IF($A439="","",IF(H439&lt;0,ABS(H439)/MAX('KT THAN'!$C$69,0.001)+'KT THAN'!$C$32*ABS(J439)/MAX('KT THAN'!$C$68,0.001)+'KT THAN'!$D$32*ABS(I439)/MAX('KT THAN'!$D$68,0.001),IF(OR(M439&lt;=0,N439&lt;=0),999,IF(H439&gt;=0.1*0.75*fc_*Agth*1000,H439/MAX(0.001,1/(1/M439+1/N439-1/(0.75*'KT THAN'!$C$62))),'KT THAN'!$C$32*ABS(J439)/MAX('KT THAN'!$C$68,0.001)+'KT THAN'!$D$32*ABS(I439)/MAX('KT THAN'!$D$68,0.001)))))</f>
        <v/>
      </c>
      <c r="P439" s="37" t="str">
        <f t="shared" si="68"/>
        <v/>
      </c>
      <c r="Q439" s="38" t="str">
        <f>IF($A439="","",MAX(0.001,'KT THAN'!$C$32*ABS(J439)/MAX(1,H439)))</f>
        <v/>
      </c>
      <c r="R439" s="38" t="str">
        <f>IF($A439="","",MAX(0.001,'KT THAN'!$D$32*ABS(I439)/MAX(1,H439)))</f>
        <v/>
      </c>
      <c r="S439" t="str">
        <f t="shared" si="62"/>
        <v/>
      </c>
    </row>
    <row r="440" spans="1:19" hidden="1" outlineLevel="1" x14ac:dyDescent="0.3">
      <c r="A440" s="37" t="str">
        <f>IF('TO HOP NLAN'!$A306="","",'TO HOP NLAN'!$A306)</f>
        <v/>
      </c>
      <c r="B440" s="38" t="str">
        <f>IF($A440="","",'TO HOP NLAN'!$D306)</f>
        <v/>
      </c>
      <c r="C440" s="38" t="str">
        <f>IF($A440="","",'TO HOP NLAN'!$E306)</f>
        <v/>
      </c>
      <c r="D440" s="38" t="str">
        <f>IF($A440="","",'TO HOP NLAN'!$F306)</f>
        <v/>
      </c>
      <c r="E440" s="38" t="str">
        <f>IF($A440="","",'TO HOP NLAN'!$B306)</f>
        <v/>
      </c>
      <c r="F440" s="38" t="str">
        <f>IF($A440="","",'TO HOP NLAN'!$C306)</f>
        <v/>
      </c>
      <c r="G440" s="38" t="str">
        <f t="shared" si="63"/>
        <v/>
      </c>
      <c r="H440" s="38" t="str">
        <f t="shared" si="61"/>
        <v/>
      </c>
      <c r="I440" s="38" t="str">
        <f t="shared" si="64"/>
        <v/>
      </c>
      <c r="J440" s="38" t="str">
        <f t="shared" si="65"/>
        <v/>
      </c>
      <c r="K440" s="38" t="str">
        <f t="shared" si="66"/>
        <v/>
      </c>
      <c r="L440" s="38" t="str">
        <f t="shared" si="67"/>
        <v/>
      </c>
      <c r="M440" s="38" t="str">
        <f>IF($A440="","",IF(H440=0,"",IF(Q440&lt;=0.000000001,MIN(0.8*0.75*'KT THAN'!$C$62,MAX('KT THAN'!$J$38:$J$58)),IFERROR(MIN(0.8*0.75*'KT THAN'!$C$62,INDEX('KT THAN'!$J$38:$J$58,MATCH(Q440,'KT THAN'!$L$38:$L$58,-1))+(INDEX('KT THAN'!$J$38:$J$58,MIN(21,MATCH(Q440,'KT THAN'!$L$38:$L$58,-1)+1))-INDEX('KT THAN'!$J$38:$J$58,MATCH(Q440,'KT THAN'!$L$38:$L$58,-1)))*(Q440-INDEX('KT THAN'!$L$38:$L$58,MATCH(Q440,'KT THAN'!$L$38:$L$58,-1)))/(INDEX('KT THAN'!$L$38:$L$58,MIN(21,MATCH(Q440,'KT THAN'!$L$38:$L$58,-1)+1))-INDEX('KT THAN'!$L$38:$L$58,MATCH(Q440,'KT THAN'!$L$38:$L$58,-1)))),MIN(0.8*0.75*'KT THAN'!$C$62,'KT THAN'!$C$68/Q440)))))</f>
        <v/>
      </c>
      <c r="N440" s="38" t="str">
        <f>IF($A440="","",IF(H440=0,"",IF(R440&lt;=0.000000001,MIN(0.8*0.75*'KT THAN'!$C$62,MAX('KT THAN'!$W$38:$W$58)),IFERROR(MIN(0.8*0.75*'KT THAN'!$C$62,INDEX('KT THAN'!$W$38:$W$58,MATCH(R440,'KT THAN'!$Y$38:$Y$58,-1))+(INDEX('KT THAN'!$W$38:$W$58,MIN(21,MATCH(R440,'KT THAN'!$Y$38:$Y$58,-1)+1))-INDEX('KT THAN'!$W$38:$W$58,MATCH(R440,'KT THAN'!$Y$38:$Y$58,-1)))*(R440-INDEX('KT THAN'!$Y$38:$Y$58,MATCH(R440,'KT THAN'!$Y$38:$Y$58,-1)))/(INDEX('KT THAN'!$Y$38:$Y$58,MIN(21,MATCH(R440,'KT THAN'!$Y$38:$Y$58,-1)+1))-INDEX('KT THAN'!$Y$38:$Y$58,MATCH(R440,'KT THAN'!$Y$38:$Y$58,-1)))),MIN(0.8*0.75*'KT THAN'!$C$62,'KT THAN'!$D$68/R440)))))</f>
        <v/>
      </c>
      <c r="O440" s="38" t="str">
        <f>IF($A440="","",IF(H440&lt;0,ABS(H440)/MAX('KT THAN'!$C$69,0.001)+'KT THAN'!$C$32*ABS(J440)/MAX('KT THAN'!$C$68,0.001)+'KT THAN'!$D$32*ABS(I440)/MAX('KT THAN'!$D$68,0.001),IF(OR(M440&lt;=0,N440&lt;=0),999,IF(H440&gt;=0.1*0.75*fc_*Agth*1000,H440/MAX(0.001,1/(1/M440+1/N440-1/(0.75*'KT THAN'!$C$62))),'KT THAN'!$C$32*ABS(J440)/MAX('KT THAN'!$C$68,0.001)+'KT THAN'!$D$32*ABS(I440)/MAX('KT THAN'!$D$68,0.001)))))</f>
        <v/>
      </c>
      <c r="P440" s="37" t="str">
        <f t="shared" si="68"/>
        <v/>
      </c>
      <c r="Q440" s="38" t="str">
        <f>IF($A440="","",MAX(0.001,'KT THAN'!$C$32*ABS(J440)/MAX(1,H440)))</f>
        <v/>
      </c>
      <c r="R440" s="38" t="str">
        <f>IF($A440="","",MAX(0.001,'KT THAN'!$D$32*ABS(I440)/MAX(1,H440)))</f>
        <v/>
      </c>
      <c r="S440" t="str">
        <f t="shared" si="62"/>
        <v/>
      </c>
    </row>
    <row r="441" spans="1:19" hidden="1" outlineLevel="1" x14ac:dyDescent="0.3">
      <c r="A441" s="37" t="str">
        <f>IF('TO HOP NLAN'!$A307="","",'TO HOP NLAN'!$A307)</f>
        <v/>
      </c>
      <c r="B441" s="38" t="str">
        <f>IF($A441="","",'TO HOP NLAN'!$D307)</f>
        <v/>
      </c>
      <c r="C441" s="38" t="str">
        <f>IF($A441="","",'TO HOP NLAN'!$E307)</f>
        <v/>
      </c>
      <c r="D441" s="38" t="str">
        <f>IF($A441="","",'TO HOP NLAN'!$F307)</f>
        <v/>
      </c>
      <c r="E441" s="38" t="str">
        <f>IF($A441="","",'TO HOP NLAN'!$B307)</f>
        <v/>
      </c>
      <c r="F441" s="38" t="str">
        <f>IF($A441="","",'TO HOP NLAN'!$C307)</f>
        <v/>
      </c>
      <c r="G441" s="38" t="str">
        <f t="shared" si="63"/>
        <v/>
      </c>
      <c r="H441" s="38" t="str">
        <f t="shared" si="61"/>
        <v/>
      </c>
      <c r="I441" s="38" t="str">
        <f t="shared" si="64"/>
        <v/>
      </c>
      <c r="J441" s="38" t="str">
        <f t="shared" si="65"/>
        <v/>
      </c>
      <c r="K441" s="38" t="str">
        <f t="shared" si="66"/>
        <v/>
      </c>
      <c r="L441" s="38" t="str">
        <f t="shared" si="67"/>
        <v/>
      </c>
      <c r="M441" s="38" t="str">
        <f>IF($A441="","",IF(H441=0,"",IF(Q441&lt;=0.000000001,MIN(0.8*0.75*'KT THAN'!$C$62,MAX('KT THAN'!$J$38:$J$58)),IFERROR(MIN(0.8*0.75*'KT THAN'!$C$62,INDEX('KT THAN'!$J$38:$J$58,MATCH(Q441,'KT THAN'!$L$38:$L$58,-1))+(INDEX('KT THAN'!$J$38:$J$58,MIN(21,MATCH(Q441,'KT THAN'!$L$38:$L$58,-1)+1))-INDEX('KT THAN'!$J$38:$J$58,MATCH(Q441,'KT THAN'!$L$38:$L$58,-1)))*(Q441-INDEX('KT THAN'!$L$38:$L$58,MATCH(Q441,'KT THAN'!$L$38:$L$58,-1)))/(INDEX('KT THAN'!$L$38:$L$58,MIN(21,MATCH(Q441,'KT THAN'!$L$38:$L$58,-1)+1))-INDEX('KT THAN'!$L$38:$L$58,MATCH(Q441,'KT THAN'!$L$38:$L$58,-1)))),MIN(0.8*0.75*'KT THAN'!$C$62,'KT THAN'!$C$68/Q441)))))</f>
        <v/>
      </c>
      <c r="N441" s="38" t="str">
        <f>IF($A441="","",IF(H441=0,"",IF(R441&lt;=0.000000001,MIN(0.8*0.75*'KT THAN'!$C$62,MAX('KT THAN'!$W$38:$W$58)),IFERROR(MIN(0.8*0.75*'KT THAN'!$C$62,INDEX('KT THAN'!$W$38:$W$58,MATCH(R441,'KT THAN'!$Y$38:$Y$58,-1))+(INDEX('KT THAN'!$W$38:$W$58,MIN(21,MATCH(R441,'KT THAN'!$Y$38:$Y$58,-1)+1))-INDEX('KT THAN'!$W$38:$W$58,MATCH(R441,'KT THAN'!$Y$38:$Y$58,-1)))*(R441-INDEX('KT THAN'!$Y$38:$Y$58,MATCH(R441,'KT THAN'!$Y$38:$Y$58,-1)))/(INDEX('KT THAN'!$Y$38:$Y$58,MIN(21,MATCH(R441,'KT THAN'!$Y$38:$Y$58,-1)+1))-INDEX('KT THAN'!$Y$38:$Y$58,MATCH(R441,'KT THAN'!$Y$38:$Y$58,-1)))),MIN(0.8*0.75*'KT THAN'!$C$62,'KT THAN'!$D$68/R441)))))</f>
        <v/>
      </c>
      <c r="O441" s="38" t="str">
        <f>IF($A441="","",IF(H441&lt;0,ABS(H441)/MAX('KT THAN'!$C$69,0.001)+'KT THAN'!$C$32*ABS(J441)/MAX('KT THAN'!$C$68,0.001)+'KT THAN'!$D$32*ABS(I441)/MAX('KT THAN'!$D$68,0.001),IF(OR(M441&lt;=0,N441&lt;=0),999,IF(H441&gt;=0.1*0.75*fc_*Agth*1000,H441/MAX(0.001,1/(1/M441+1/N441-1/(0.75*'KT THAN'!$C$62))),'KT THAN'!$C$32*ABS(J441)/MAX('KT THAN'!$C$68,0.001)+'KT THAN'!$D$32*ABS(I441)/MAX('KT THAN'!$D$68,0.001)))))</f>
        <v/>
      </c>
      <c r="P441" s="37" t="str">
        <f t="shared" si="68"/>
        <v/>
      </c>
      <c r="Q441" s="38" t="str">
        <f>IF($A441="","",MAX(0.001,'KT THAN'!$C$32*ABS(J441)/MAX(1,H441)))</f>
        <v/>
      </c>
      <c r="R441" s="38" t="str">
        <f>IF($A441="","",MAX(0.001,'KT THAN'!$D$32*ABS(I441)/MAX(1,H441)))</f>
        <v/>
      </c>
      <c r="S441" t="str">
        <f t="shared" si="62"/>
        <v/>
      </c>
    </row>
    <row r="442" spans="1:19" hidden="1" outlineLevel="1" x14ac:dyDescent="0.3">
      <c r="A442" s="37" t="str">
        <f>IF('TO HOP NLAN'!$A308="","",'TO HOP NLAN'!$A308)</f>
        <v/>
      </c>
      <c r="B442" s="38" t="str">
        <f>IF($A442="","",'TO HOP NLAN'!$D308)</f>
        <v/>
      </c>
      <c r="C442" s="38" t="str">
        <f>IF($A442="","",'TO HOP NLAN'!$E308)</f>
        <v/>
      </c>
      <c r="D442" s="38" t="str">
        <f>IF($A442="","",'TO HOP NLAN'!$F308)</f>
        <v/>
      </c>
      <c r="E442" s="38" t="str">
        <f>IF($A442="","",'TO HOP NLAN'!$B308)</f>
        <v/>
      </c>
      <c r="F442" s="38" t="str">
        <f>IF($A442="","",'TO HOP NLAN'!$C308)</f>
        <v/>
      </c>
      <c r="G442" s="38" t="str">
        <f t="shared" si="63"/>
        <v/>
      </c>
      <c r="H442" s="38" t="str">
        <f t="shared" si="61"/>
        <v/>
      </c>
      <c r="I442" s="38" t="str">
        <f t="shared" si="64"/>
        <v/>
      </c>
      <c r="J442" s="38" t="str">
        <f t="shared" si="65"/>
        <v/>
      </c>
      <c r="K442" s="38" t="str">
        <f t="shared" si="66"/>
        <v/>
      </c>
      <c r="L442" s="38" t="str">
        <f t="shared" si="67"/>
        <v/>
      </c>
      <c r="M442" s="38" t="str">
        <f>IF($A442="","",IF(H442=0,"",IF(Q442&lt;=0.000000001,MIN(0.8*0.75*'KT THAN'!$C$62,MAX('KT THAN'!$J$38:$J$58)),IFERROR(MIN(0.8*0.75*'KT THAN'!$C$62,INDEX('KT THAN'!$J$38:$J$58,MATCH(Q442,'KT THAN'!$L$38:$L$58,-1))+(INDEX('KT THAN'!$J$38:$J$58,MIN(21,MATCH(Q442,'KT THAN'!$L$38:$L$58,-1)+1))-INDEX('KT THAN'!$J$38:$J$58,MATCH(Q442,'KT THAN'!$L$38:$L$58,-1)))*(Q442-INDEX('KT THAN'!$L$38:$L$58,MATCH(Q442,'KT THAN'!$L$38:$L$58,-1)))/(INDEX('KT THAN'!$L$38:$L$58,MIN(21,MATCH(Q442,'KT THAN'!$L$38:$L$58,-1)+1))-INDEX('KT THAN'!$L$38:$L$58,MATCH(Q442,'KT THAN'!$L$38:$L$58,-1)))),MIN(0.8*0.75*'KT THAN'!$C$62,'KT THAN'!$C$68/Q442)))))</f>
        <v/>
      </c>
      <c r="N442" s="38" t="str">
        <f>IF($A442="","",IF(H442=0,"",IF(R442&lt;=0.000000001,MIN(0.8*0.75*'KT THAN'!$C$62,MAX('KT THAN'!$W$38:$W$58)),IFERROR(MIN(0.8*0.75*'KT THAN'!$C$62,INDEX('KT THAN'!$W$38:$W$58,MATCH(R442,'KT THAN'!$Y$38:$Y$58,-1))+(INDEX('KT THAN'!$W$38:$W$58,MIN(21,MATCH(R442,'KT THAN'!$Y$38:$Y$58,-1)+1))-INDEX('KT THAN'!$W$38:$W$58,MATCH(R442,'KT THAN'!$Y$38:$Y$58,-1)))*(R442-INDEX('KT THAN'!$Y$38:$Y$58,MATCH(R442,'KT THAN'!$Y$38:$Y$58,-1)))/(INDEX('KT THAN'!$Y$38:$Y$58,MIN(21,MATCH(R442,'KT THAN'!$Y$38:$Y$58,-1)+1))-INDEX('KT THAN'!$Y$38:$Y$58,MATCH(R442,'KT THAN'!$Y$38:$Y$58,-1)))),MIN(0.8*0.75*'KT THAN'!$C$62,'KT THAN'!$D$68/R442)))))</f>
        <v/>
      </c>
      <c r="O442" s="38" t="str">
        <f>IF($A442="","",IF(H442&lt;0,ABS(H442)/MAX('KT THAN'!$C$69,0.001)+'KT THAN'!$C$32*ABS(J442)/MAX('KT THAN'!$C$68,0.001)+'KT THAN'!$D$32*ABS(I442)/MAX('KT THAN'!$D$68,0.001),IF(OR(M442&lt;=0,N442&lt;=0),999,IF(H442&gt;=0.1*0.75*fc_*Agth*1000,H442/MAX(0.001,1/(1/M442+1/N442-1/(0.75*'KT THAN'!$C$62))),'KT THAN'!$C$32*ABS(J442)/MAX('KT THAN'!$C$68,0.001)+'KT THAN'!$D$32*ABS(I442)/MAX('KT THAN'!$D$68,0.001)))))</f>
        <v/>
      </c>
      <c r="P442" s="37" t="str">
        <f t="shared" si="68"/>
        <v/>
      </c>
      <c r="Q442" s="38" t="str">
        <f>IF($A442="","",MAX(0.001,'KT THAN'!$C$32*ABS(J442)/MAX(1,H442)))</f>
        <v/>
      </c>
      <c r="R442" s="38" t="str">
        <f>IF($A442="","",MAX(0.001,'KT THAN'!$D$32*ABS(I442)/MAX(1,H442)))</f>
        <v/>
      </c>
      <c r="S442" t="str">
        <f t="shared" si="62"/>
        <v/>
      </c>
    </row>
    <row r="443" spans="1:19" hidden="1" outlineLevel="1" x14ac:dyDescent="0.3">
      <c r="A443" s="37" t="str">
        <f>IF('TO HOP NLAN'!$A309="","",'TO HOP NLAN'!$A309)</f>
        <v/>
      </c>
      <c r="B443" s="38" t="str">
        <f>IF($A443="","",'TO HOP NLAN'!$D309)</f>
        <v/>
      </c>
      <c r="C443" s="38" t="str">
        <f>IF($A443="","",'TO HOP NLAN'!$E309)</f>
        <v/>
      </c>
      <c r="D443" s="38" t="str">
        <f>IF($A443="","",'TO HOP NLAN'!$F309)</f>
        <v/>
      </c>
      <c r="E443" s="38" t="str">
        <f>IF($A443="","",'TO HOP NLAN'!$B309)</f>
        <v/>
      </c>
      <c r="F443" s="38" t="str">
        <f>IF($A443="","",'TO HOP NLAN'!$C309)</f>
        <v/>
      </c>
      <c r="G443" s="38" t="str">
        <f t="shared" si="63"/>
        <v/>
      </c>
      <c r="H443" s="38" t="str">
        <f t="shared" si="61"/>
        <v/>
      </c>
      <c r="I443" s="38" t="str">
        <f t="shared" si="64"/>
        <v/>
      </c>
      <c r="J443" s="38" t="str">
        <f t="shared" si="65"/>
        <v/>
      </c>
      <c r="K443" s="38" t="str">
        <f t="shared" si="66"/>
        <v/>
      </c>
      <c r="L443" s="38" t="str">
        <f t="shared" si="67"/>
        <v/>
      </c>
      <c r="M443" s="38" t="str">
        <f>IF($A443="","",IF(H443=0,"",IF(Q443&lt;=0.000000001,MIN(0.8*0.75*'KT THAN'!$C$62,MAX('KT THAN'!$J$38:$J$58)),IFERROR(MIN(0.8*0.75*'KT THAN'!$C$62,INDEX('KT THAN'!$J$38:$J$58,MATCH(Q443,'KT THAN'!$L$38:$L$58,-1))+(INDEX('KT THAN'!$J$38:$J$58,MIN(21,MATCH(Q443,'KT THAN'!$L$38:$L$58,-1)+1))-INDEX('KT THAN'!$J$38:$J$58,MATCH(Q443,'KT THAN'!$L$38:$L$58,-1)))*(Q443-INDEX('KT THAN'!$L$38:$L$58,MATCH(Q443,'KT THAN'!$L$38:$L$58,-1)))/(INDEX('KT THAN'!$L$38:$L$58,MIN(21,MATCH(Q443,'KT THAN'!$L$38:$L$58,-1)+1))-INDEX('KT THAN'!$L$38:$L$58,MATCH(Q443,'KT THAN'!$L$38:$L$58,-1)))),MIN(0.8*0.75*'KT THAN'!$C$62,'KT THAN'!$C$68/Q443)))))</f>
        <v/>
      </c>
      <c r="N443" s="38" t="str">
        <f>IF($A443="","",IF(H443=0,"",IF(R443&lt;=0.000000001,MIN(0.8*0.75*'KT THAN'!$C$62,MAX('KT THAN'!$W$38:$W$58)),IFERROR(MIN(0.8*0.75*'KT THAN'!$C$62,INDEX('KT THAN'!$W$38:$W$58,MATCH(R443,'KT THAN'!$Y$38:$Y$58,-1))+(INDEX('KT THAN'!$W$38:$W$58,MIN(21,MATCH(R443,'KT THAN'!$Y$38:$Y$58,-1)+1))-INDEX('KT THAN'!$W$38:$W$58,MATCH(R443,'KT THAN'!$Y$38:$Y$58,-1)))*(R443-INDEX('KT THAN'!$Y$38:$Y$58,MATCH(R443,'KT THAN'!$Y$38:$Y$58,-1)))/(INDEX('KT THAN'!$Y$38:$Y$58,MIN(21,MATCH(R443,'KT THAN'!$Y$38:$Y$58,-1)+1))-INDEX('KT THAN'!$Y$38:$Y$58,MATCH(R443,'KT THAN'!$Y$38:$Y$58,-1)))),MIN(0.8*0.75*'KT THAN'!$C$62,'KT THAN'!$D$68/R443)))))</f>
        <v/>
      </c>
      <c r="O443" s="38" t="str">
        <f>IF($A443="","",IF(H443&lt;0,ABS(H443)/MAX('KT THAN'!$C$69,0.001)+'KT THAN'!$C$32*ABS(J443)/MAX('KT THAN'!$C$68,0.001)+'KT THAN'!$D$32*ABS(I443)/MAX('KT THAN'!$D$68,0.001),IF(OR(M443&lt;=0,N443&lt;=0),999,IF(H443&gt;=0.1*0.75*fc_*Agth*1000,H443/MAX(0.001,1/(1/M443+1/N443-1/(0.75*'KT THAN'!$C$62))),'KT THAN'!$C$32*ABS(J443)/MAX('KT THAN'!$C$68,0.001)+'KT THAN'!$D$32*ABS(I443)/MAX('KT THAN'!$D$68,0.001)))))</f>
        <v/>
      </c>
      <c r="P443" s="37" t="str">
        <f t="shared" si="68"/>
        <v/>
      </c>
      <c r="Q443" s="38" t="str">
        <f>IF($A443="","",MAX(0.001,'KT THAN'!$C$32*ABS(J443)/MAX(1,H443)))</f>
        <v/>
      </c>
      <c r="R443" s="38" t="str">
        <f>IF($A443="","",MAX(0.001,'KT THAN'!$D$32*ABS(I443)/MAX(1,H443)))</f>
        <v/>
      </c>
      <c r="S443" t="str">
        <f t="shared" si="62"/>
        <v/>
      </c>
    </row>
    <row r="444" spans="1:19" hidden="1" outlineLevel="1" x14ac:dyDescent="0.3">
      <c r="A444" s="37" t="str">
        <f>IF('TO HOP NLAN'!$A310="","",'TO HOP NLAN'!$A310)</f>
        <v/>
      </c>
      <c r="B444" s="38" t="str">
        <f>IF($A444="","",'TO HOP NLAN'!$D310)</f>
        <v/>
      </c>
      <c r="C444" s="38" t="str">
        <f>IF($A444="","",'TO HOP NLAN'!$E310)</f>
        <v/>
      </c>
      <c r="D444" s="38" t="str">
        <f>IF($A444="","",'TO HOP NLAN'!$F310)</f>
        <v/>
      </c>
      <c r="E444" s="38" t="str">
        <f>IF($A444="","",'TO HOP NLAN'!$B310)</f>
        <v/>
      </c>
      <c r="F444" s="38" t="str">
        <f>IF($A444="","",'TO HOP NLAN'!$C310)</f>
        <v/>
      </c>
      <c r="G444" s="38" t="str">
        <f t="shared" si="63"/>
        <v/>
      </c>
      <c r="H444" s="38" t="str">
        <f t="shared" si="61"/>
        <v/>
      </c>
      <c r="I444" s="38" t="str">
        <f t="shared" si="64"/>
        <v/>
      </c>
      <c r="J444" s="38" t="str">
        <f t="shared" si="65"/>
        <v/>
      </c>
      <c r="K444" s="38" t="str">
        <f t="shared" si="66"/>
        <v/>
      </c>
      <c r="L444" s="38" t="str">
        <f t="shared" si="67"/>
        <v/>
      </c>
      <c r="M444" s="38" t="str">
        <f>IF($A444="","",IF(H444=0,"",IF(Q444&lt;=0.000000001,MIN(0.8*0.75*'KT THAN'!$C$62,MAX('KT THAN'!$J$38:$J$58)),IFERROR(MIN(0.8*0.75*'KT THAN'!$C$62,INDEX('KT THAN'!$J$38:$J$58,MATCH(Q444,'KT THAN'!$L$38:$L$58,-1))+(INDEX('KT THAN'!$J$38:$J$58,MIN(21,MATCH(Q444,'KT THAN'!$L$38:$L$58,-1)+1))-INDEX('KT THAN'!$J$38:$J$58,MATCH(Q444,'KT THAN'!$L$38:$L$58,-1)))*(Q444-INDEX('KT THAN'!$L$38:$L$58,MATCH(Q444,'KT THAN'!$L$38:$L$58,-1)))/(INDEX('KT THAN'!$L$38:$L$58,MIN(21,MATCH(Q444,'KT THAN'!$L$38:$L$58,-1)+1))-INDEX('KT THAN'!$L$38:$L$58,MATCH(Q444,'KT THAN'!$L$38:$L$58,-1)))),MIN(0.8*0.75*'KT THAN'!$C$62,'KT THAN'!$C$68/Q444)))))</f>
        <v/>
      </c>
      <c r="N444" s="38" t="str">
        <f>IF($A444="","",IF(H444=0,"",IF(R444&lt;=0.000000001,MIN(0.8*0.75*'KT THAN'!$C$62,MAX('KT THAN'!$W$38:$W$58)),IFERROR(MIN(0.8*0.75*'KT THAN'!$C$62,INDEX('KT THAN'!$W$38:$W$58,MATCH(R444,'KT THAN'!$Y$38:$Y$58,-1))+(INDEX('KT THAN'!$W$38:$W$58,MIN(21,MATCH(R444,'KT THAN'!$Y$38:$Y$58,-1)+1))-INDEX('KT THAN'!$W$38:$W$58,MATCH(R444,'KT THAN'!$Y$38:$Y$58,-1)))*(R444-INDEX('KT THAN'!$Y$38:$Y$58,MATCH(R444,'KT THAN'!$Y$38:$Y$58,-1)))/(INDEX('KT THAN'!$Y$38:$Y$58,MIN(21,MATCH(R444,'KT THAN'!$Y$38:$Y$58,-1)+1))-INDEX('KT THAN'!$Y$38:$Y$58,MATCH(R444,'KT THAN'!$Y$38:$Y$58,-1)))),MIN(0.8*0.75*'KT THAN'!$C$62,'KT THAN'!$D$68/R444)))))</f>
        <v/>
      </c>
      <c r="O444" s="38" t="str">
        <f>IF($A444="","",IF(H444&lt;0,ABS(H444)/MAX('KT THAN'!$C$69,0.001)+'KT THAN'!$C$32*ABS(J444)/MAX('KT THAN'!$C$68,0.001)+'KT THAN'!$D$32*ABS(I444)/MAX('KT THAN'!$D$68,0.001),IF(OR(M444&lt;=0,N444&lt;=0),999,IF(H444&gt;=0.1*0.75*fc_*Agth*1000,H444/MAX(0.001,1/(1/M444+1/N444-1/(0.75*'KT THAN'!$C$62))),'KT THAN'!$C$32*ABS(J444)/MAX('KT THAN'!$C$68,0.001)+'KT THAN'!$D$32*ABS(I444)/MAX('KT THAN'!$D$68,0.001)))))</f>
        <v/>
      </c>
      <c r="P444" s="37" t="str">
        <f t="shared" si="68"/>
        <v/>
      </c>
      <c r="Q444" s="38" t="str">
        <f>IF($A444="","",MAX(0.001,'KT THAN'!$C$32*ABS(J444)/MAX(1,H444)))</f>
        <v/>
      </c>
      <c r="R444" s="38" t="str">
        <f>IF($A444="","",MAX(0.001,'KT THAN'!$D$32*ABS(I444)/MAX(1,H444)))</f>
        <v/>
      </c>
      <c r="S444" t="str">
        <f t="shared" si="62"/>
        <v/>
      </c>
    </row>
    <row r="445" spans="1:19" hidden="1" outlineLevel="1" x14ac:dyDescent="0.3">
      <c r="A445" s="37" t="str">
        <f>IF('TO HOP NLAN'!$A311="","",'TO HOP NLAN'!$A311)</f>
        <v/>
      </c>
      <c r="B445" s="38" t="str">
        <f>IF($A445="","",'TO HOP NLAN'!$D311)</f>
        <v/>
      </c>
      <c r="C445" s="38" t="str">
        <f>IF($A445="","",'TO HOP NLAN'!$E311)</f>
        <v/>
      </c>
      <c r="D445" s="38" t="str">
        <f>IF($A445="","",'TO HOP NLAN'!$F311)</f>
        <v/>
      </c>
      <c r="E445" s="38" t="str">
        <f>IF($A445="","",'TO HOP NLAN'!$B311)</f>
        <v/>
      </c>
      <c r="F445" s="38" t="str">
        <f>IF($A445="","",'TO HOP NLAN'!$C311)</f>
        <v/>
      </c>
      <c r="G445" s="38" t="str">
        <f t="shared" si="63"/>
        <v/>
      </c>
      <c r="H445" s="38" t="str">
        <f t="shared" si="61"/>
        <v/>
      </c>
      <c r="I445" s="38" t="str">
        <f t="shared" si="64"/>
        <v/>
      </c>
      <c r="J445" s="38" t="str">
        <f t="shared" si="65"/>
        <v/>
      </c>
      <c r="K445" s="38" t="str">
        <f t="shared" si="66"/>
        <v/>
      </c>
      <c r="L445" s="38" t="str">
        <f t="shared" si="67"/>
        <v/>
      </c>
      <c r="M445" s="38" t="str">
        <f>IF($A445="","",IF(H445=0,"",IF(Q445&lt;=0.000000001,MIN(0.8*0.75*'KT THAN'!$C$62,MAX('KT THAN'!$J$38:$J$58)),IFERROR(MIN(0.8*0.75*'KT THAN'!$C$62,INDEX('KT THAN'!$J$38:$J$58,MATCH(Q445,'KT THAN'!$L$38:$L$58,-1))+(INDEX('KT THAN'!$J$38:$J$58,MIN(21,MATCH(Q445,'KT THAN'!$L$38:$L$58,-1)+1))-INDEX('KT THAN'!$J$38:$J$58,MATCH(Q445,'KT THAN'!$L$38:$L$58,-1)))*(Q445-INDEX('KT THAN'!$L$38:$L$58,MATCH(Q445,'KT THAN'!$L$38:$L$58,-1)))/(INDEX('KT THAN'!$L$38:$L$58,MIN(21,MATCH(Q445,'KT THAN'!$L$38:$L$58,-1)+1))-INDEX('KT THAN'!$L$38:$L$58,MATCH(Q445,'KT THAN'!$L$38:$L$58,-1)))),MIN(0.8*0.75*'KT THAN'!$C$62,'KT THAN'!$C$68/Q445)))))</f>
        <v/>
      </c>
      <c r="N445" s="38" t="str">
        <f>IF($A445="","",IF(H445=0,"",IF(R445&lt;=0.000000001,MIN(0.8*0.75*'KT THAN'!$C$62,MAX('KT THAN'!$W$38:$W$58)),IFERROR(MIN(0.8*0.75*'KT THAN'!$C$62,INDEX('KT THAN'!$W$38:$W$58,MATCH(R445,'KT THAN'!$Y$38:$Y$58,-1))+(INDEX('KT THAN'!$W$38:$W$58,MIN(21,MATCH(R445,'KT THAN'!$Y$38:$Y$58,-1)+1))-INDEX('KT THAN'!$W$38:$W$58,MATCH(R445,'KT THAN'!$Y$38:$Y$58,-1)))*(R445-INDEX('KT THAN'!$Y$38:$Y$58,MATCH(R445,'KT THAN'!$Y$38:$Y$58,-1)))/(INDEX('KT THAN'!$Y$38:$Y$58,MIN(21,MATCH(R445,'KT THAN'!$Y$38:$Y$58,-1)+1))-INDEX('KT THAN'!$Y$38:$Y$58,MATCH(R445,'KT THAN'!$Y$38:$Y$58,-1)))),MIN(0.8*0.75*'KT THAN'!$C$62,'KT THAN'!$D$68/R445)))))</f>
        <v/>
      </c>
      <c r="O445" s="38" t="str">
        <f>IF($A445="","",IF(H445&lt;0,ABS(H445)/MAX('KT THAN'!$C$69,0.001)+'KT THAN'!$C$32*ABS(J445)/MAX('KT THAN'!$C$68,0.001)+'KT THAN'!$D$32*ABS(I445)/MAX('KT THAN'!$D$68,0.001),IF(OR(M445&lt;=0,N445&lt;=0),999,IF(H445&gt;=0.1*0.75*fc_*Agth*1000,H445/MAX(0.001,1/(1/M445+1/N445-1/(0.75*'KT THAN'!$C$62))),'KT THAN'!$C$32*ABS(J445)/MAX('KT THAN'!$C$68,0.001)+'KT THAN'!$D$32*ABS(I445)/MAX('KT THAN'!$D$68,0.001)))))</f>
        <v/>
      </c>
      <c r="P445" s="37" t="str">
        <f t="shared" si="68"/>
        <v/>
      </c>
      <c r="Q445" s="38" t="str">
        <f>IF($A445="","",MAX(0.001,'KT THAN'!$C$32*ABS(J445)/MAX(1,H445)))</f>
        <v/>
      </c>
      <c r="R445" s="38" t="str">
        <f>IF($A445="","",MAX(0.001,'KT THAN'!$D$32*ABS(I445)/MAX(1,H445)))</f>
        <v/>
      </c>
      <c r="S445" t="str">
        <f t="shared" si="62"/>
        <v/>
      </c>
    </row>
    <row r="446" spans="1:19" collapsed="1" x14ac:dyDescent="0.3"/>
    <row r="449" spans="1:19" x14ac:dyDescent="0.3">
      <c r="A449" t="s">
        <v>1878</v>
      </c>
    </row>
    <row r="450" spans="1:19" hidden="1" outlineLevel="1" x14ac:dyDescent="0.3">
      <c r="A450" s="37" t="str">
        <f>IF(OR(nThan=1,'TO HOP NLAN'!$A6=""),"",'TO HOP NLAN'!$A6)</f>
        <v/>
      </c>
      <c r="B450" s="38" t="str">
        <f>IF($A450="","",'TO HOP NLAN'!$D6)</f>
        <v/>
      </c>
      <c r="C450" s="38" t="str">
        <f>IF($A450="","",'TO HOP NLAN'!$E6)</f>
        <v/>
      </c>
      <c r="D450" s="38" t="str">
        <f>IF($A450="","",'TO HOP NLAN'!$F6)</f>
        <v/>
      </c>
      <c r="E450" s="38" t="str">
        <f>IF($A450="","",'TO HOP NLAN'!$B6)</f>
        <v/>
      </c>
      <c r="F450" s="38" t="str">
        <f>IF($A450="","",'TO HOP NLAN'!$C6)</f>
        <v/>
      </c>
      <c r="G450" s="38" t="str">
        <f>IF(A450="","",2)</f>
        <v/>
      </c>
      <c r="H450" s="38" t="str">
        <f t="shared" ref="H450:H513" si="69">IF(A450="","",IF(nThan=1,B450,B450/2+(-1)*$B$7*C450/sThan))</f>
        <v/>
      </c>
      <c r="I450" s="38" t="str">
        <f t="shared" ref="I450" si="70">IF(A450="","",IF(nThan=1,C450,(1-$B$7)*C450/2))</f>
        <v/>
      </c>
      <c r="J450" s="38" t="str">
        <f t="shared" ref="J450" si="71">IF(A450="","",IF(nThan=1,D450,D450/2))</f>
        <v/>
      </c>
      <c r="K450" s="38" t="str">
        <f t="shared" ref="K450" si="72">IF(A450="","",IF(nThan=1,E450,E450/2))</f>
        <v/>
      </c>
      <c r="L450" s="38" t="str">
        <f t="shared" ref="L450" si="73">IF(A450="","",IF(nThan=1,F450,F450/2))</f>
        <v/>
      </c>
      <c r="M450" s="38" t="str">
        <f>IF($A450="","",IF(H450=0,"",IF(Q450&lt;=0.000000001,MIN(0.8*0.75*'KT THAN'!$C$62,MAX('KT THAN'!$J$38:$J$58)),IFERROR(MIN(0.8*0.75*'KT THAN'!$C$62,INDEX('KT THAN'!$J$38:$J$58,MATCH(Q450,'KT THAN'!$L$38:$L$58,-1))+(INDEX('KT THAN'!$J$38:$J$58,MIN(21,MATCH(Q450,'KT THAN'!$L$38:$L$58,-1)+1))-INDEX('KT THAN'!$J$38:$J$58,MATCH(Q450,'KT THAN'!$L$38:$L$58,-1)))*(Q450-INDEX('KT THAN'!$L$38:$L$58,MATCH(Q450,'KT THAN'!$L$38:$L$58,-1)))/(INDEX('KT THAN'!$L$38:$L$58,MIN(21,MATCH(Q450,'KT THAN'!$L$38:$L$58,-1)+1))-INDEX('KT THAN'!$L$38:$L$58,MATCH(Q450,'KT THAN'!$L$38:$L$58,-1)))),MIN(0.8*0.75*'KT THAN'!$C$62,'KT THAN'!$C$68/Q450)))))</f>
        <v/>
      </c>
      <c r="N450" s="38" t="str">
        <f>IF($A450="","",IF(H450=0,"",IF(R450&lt;=0.000000001,MIN(0.8*0.75*'KT THAN'!$C$62,MAX('KT THAN'!$W$38:$W$58)),IFERROR(MIN(0.8*0.75*'KT THAN'!$C$62,INDEX('KT THAN'!$W$38:$W$58,MATCH(R450,'KT THAN'!$Y$38:$Y$58,-1))+(INDEX('KT THAN'!$W$38:$W$58,MIN(21,MATCH(R450,'KT THAN'!$Y$38:$Y$58,-1)+1))-INDEX('KT THAN'!$W$38:$W$58,MATCH(R450,'KT THAN'!$Y$38:$Y$58,-1)))*(R450-INDEX('KT THAN'!$Y$38:$Y$58,MATCH(R450,'KT THAN'!$Y$38:$Y$58,-1)))/(INDEX('KT THAN'!$Y$38:$Y$58,MIN(21,MATCH(R450,'KT THAN'!$Y$38:$Y$58,-1)+1))-INDEX('KT THAN'!$Y$38:$Y$58,MATCH(R450,'KT THAN'!$Y$38:$Y$58,-1)))),MIN(0.8*0.75*'KT THAN'!$C$62,'KT THAN'!$D$68/R450)))))</f>
        <v/>
      </c>
      <c r="O450" s="38" t="str">
        <f>IF($A450="","",IF(H450&lt;0,ABS(H450)/MAX('KT THAN'!$C$69,0.001)+'KT THAN'!$C$32*ABS(J450)/MAX('KT THAN'!$C$68,0.001)+'KT THAN'!$D$32*ABS(I450)/MAX('KT THAN'!$D$68,0.001),IF(OR(M450&lt;=0,N450&lt;=0),999,IF(H450&gt;=0.1*0.75*fc_*Agth*1000,H450/MAX(0.001,1/(1/M450+1/N450-1/(0.75*'KT THAN'!$C$62))),'KT THAN'!$C$32*ABS(J450)/MAX('KT THAN'!$C$68,0.001)+'KT THAN'!$D$32*ABS(I450)/MAX('KT THAN'!$D$68,0.001)))))</f>
        <v/>
      </c>
      <c r="P450" s="37" t="str">
        <f t="shared" ref="P450" si="74">IF(A450="","",IF(O450&lt;=1,"ĐẠT","KHÔNG ĐẠT"))</f>
        <v/>
      </c>
      <c r="Q450" s="38" t="str">
        <f>IF($A450="","",MAX(0.001,'KT THAN'!$C$32*ABS(J450)/MAX(1,H450)))</f>
        <v/>
      </c>
      <c r="R450" s="38" t="str">
        <f>IF($A450="","",MAX(0.001,'KT THAN'!$D$32*ABS(I450)/MAX(1,H450)))</f>
        <v/>
      </c>
      <c r="S450" t="str">
        <f t="shared" ref="S450:S513" si="75">IF($A450="","",IF(H450&lt;0,O450,""))</f>
        <v/>
      </c>
    </row>
    <row r="451" spans="1:19" hidden="1" outlineLevel="1" x14ac:dyDescent="0.3">
      <c r="A451" s="37" t="str">
        <f>IF(OR(nThan=1,'TO HOP NLAN'!$A7=""),"",'TO HOP NLAN'!$A7)</f>
        <v/>
      </c>
      <c r="B451" s="38" t="str">
        <f>IF($A451="","",'TO HOP NLAN'!$D7)</f>
        <v/>
      </c>
      <c r="C451" s="38" t="str">
        <f>IF($A451="","",'TO HOP NLAN'!$E7)</f>
        <v/>
      </c>
      <c r="D451" s="38" t="str">
        <f>IF($A451="","",'TO HOP NLAN'!$F7)</f>
        <v/>
      </c>
      <c r="E451" s="38" t="str">
        <f>IF($A451="","",'TO HOP NLAN'!$B7)</f>
        <v/>
      </c>
      <c r="F451" s="38" t="str">
        <f>IF($A451="","",'TO HOP NLAN'!$C7)</f>
        <v/>
      </c>
      <c r="G451" s="38" t="str">
        <f t="shared" ref="G451:G514" si="76">IF(A451="","",2)</f>
        <v/>
      </c>
      <c r="H451" s="38" t="str">
        <f t="shared" si="69"/>
        <v/>
      </c>
      <c r="I451" s="38" t="str">
        <f t="shared" ref="I451:I514" si="77">IF(A451="","",IF(nThan=1,C451,(1-$B$7)*C451/2))</f>
        <v/>
      </c>
      <c r="J451" s="38" t="str">
        <f t="shared" ref="J451:J514" si="78">IF(A451="","",IF(nThan=1,D451,D451/2))</f>
        <v/>
      </c>
      <c r="K451" s="38" t="str">
        <f t="shared" ref="K451:K514" si="79">IF(A451="","",IF(nThan=1,E451,E451/2))</f>
        <v/>
      </c>
      <c r="L451" s="38" t="str">
        <f t="shared" ref="L451:L514" si="80">IF(A451="","",IF(nThan=1,F451,F451/2))</f>
        <v/>
      </c>
      <c r="M451" s="38" t="str">
        <f>IF($A451="","",IF(H451=0,"",IF(Q451&lt;=0.000000001,MIN(0.8*0.75*'KT THAN'!$C$62,MAX('KT THAN'!$J$38:$J$58)),IFERROR(MIN(0.8*0.75*'KT THAN'!$C$62,INDEX('KT THAN'!$J$38:$J$58,MATCH(Q451,'KT THAN'!$L$38:$L$58,-1))+(INDEX('KT THAN'!$J$38:$J$58,MIN(21,MATCH(Q451,'KT THAN'!$L$38:$L$58,-1)+1))-INDEX('KT THAN'!$J$38:$J$58,MATCH(Q451,'KT THAN'!$L$38:$L$58,-1)))*(Q451-INDEX('KT THAN'!$L$38:$L$58,MATCH(Q451,'KT THAN'!$L$38:$L$58,-1)))/(INDEX('KT THAN'!$L$38:$L$58,MIN(21,MATCH(Q451,'KT THAN'!$L$38:$L$58,-1)+1))-INDEX('KT THAN'!$L$38:$L$58,MATCH(Q451,'KT THAN'!$L$38:$L$58,-1)))),MIN(0.8*0.75*'KT THAN'!$C$62,'KT THAN'!$C$68/Q451)))))</f>
        <v/>
      </c>
      <c r="N451" s="38" t="str">
        <f>IF($A451="","",IF(H451=0,"",IF(R451&lt;=0.000000001,MIN(0.8*0.75*'KT THAN'!$C$62,MAX('KT THAN'!$W$38:$W$58)),IFERROR(MIN(0.8*0.75*'KT THAN'!$C$62,INDEX('KT THAN'!$W$38:$W$58,MATCH(R451,'KT THAN'!$Y$38:$Y$58,-1))+(INDEX('KT THAN'!$W$38:$W$58,MIN(21,MATCH(R451,'KT THAN'!$Y$38:$Y$58,-1)+1))-INDEX('KT THAN'!$W$38:$W$58,MATCH(R451,'KT THAN'!$Y$38:$Y$58,-1)))*(R451-INDEX('KT THAN'!$Y$38:$Y$58,MATCH(R451,'KT THAN'!$Y$38:$Y$58,-1)))/(INDEX('KT THAN'!$Y$38:$Y$58,MIN(21,MATCH(R451,'KT THAN'!$Y$38:$Y$58,-1)+1))-INDEX('KT THAN'!$Y$38:$Y$58,MATCH(R451,'KT THAN'!$Y$38:$Y$58,-1)))),MIN(0.8*0.75*'KT THAN'!$C$62,'KT THAN'!$D$68/R451)))))</f>
        <v/>
      </c>
      <c r="O451" s="38" t="str">
        <f>IF($A451="","",IF(H451&lt;0,ABS(H451)/MAX('KT THAN'!$C$69,0.001)+'KT THAN'!$C$32*ABS(J451)/MAX('KT THAN'!$C$68,0.001)+'KT THAN'!$D$32*ABS(I451)/MAX('KT THAN'!$D$68,0.001),IF(OR(M451&lt;=0,N451&lt;=0),999,IF(H451&gt;=0.1*0.75*fc_*Agth*1000,H451/MAX(0.001,1/(1/M451+1/N451-1/(0.75*'KT THAN'!$C$62))),'KT THAN'!$C$32*ABS(J451)/MAX('KT THAN'!$C$68,0.001)+'KT THAN'!$D$32*ABS(I451)/MAX('KT THAN'!$D$68,0.001)))))</f>
        <v/>
      </c>
      <c r="P451" s="37" t="str">
        <f t="shared" ref="P451:P514" si="81">IF(A451="","",IF(O451&lt;=1,"ĐẠT","KHÔNG ĐẠT"))</f>
        <v/>
      </c>
      <c r="Q451" s="38" t="str">
        <f>IF($A451="","",MAX(0.001,'KT THAN'!$C$32*ABS(J451)/MAX(1,H451)))</f>
        <v/>
      </c>
      <c r="R451" s="38" t="str">
        <f>IF($A451="","",MAX(0.001,'KT THAN'!$D$32*ABS(I451)/MAX(1,H451)))</f>
        <v/>
      </c>
      <c r="S451" t="str">
        <f t="shared" si="75"/>
        <v/>
      </c>
    </row>
    <row r="452" spans="1:19" hidden="1" outlineLevel="1" x14ac:dyDescent="0.3">
      <c r="A452" s="37" t="str">
        <f>IF(OR(nThan=1,'TO HOP NLAN'!$A8=""),"",'TO HOP NLAN'!$A8)</f>
        <v/>
      </c>
      <c r="B452" s="38" t="str">
        <f>IF($A452="","",'TO HOP NLAN'!$D8)</f>
        <v/>
      </c>
      <c r="C452" s="38" t="str">
        <f>IF($A452="","",'TO HOP NLAN'!$E8)</f>
        <v/>
      </c>
      <c r="D452" s="38" t="str">
        <f>IF($A452="","",'TO HOP NLAN'!$F8)</f>
        <v/>
      </c>
      <c r="E452" s="38" t="str">
        <f>IF($A452="","",'TO HOP NLAN'!$B8)</f>
        <v/>
      </c>
      <c r="F452" s="38" t="str">
        <f>IF($A452="","",'TO HOP NLAN'!$C8)</f>
        <v/>
      </c>
      <c r="G452" s="38" t="str">
        <f t="shared" si="76"/>
        <v/>
      </c>
      <c r="H452" s="38" t="str">
        <f t="shared" si="69"/>
        <v/>
      </c>
      <c r="I452" s="38" t="str">
        <f t="shared" si="77"/>
        <v/>
      </c>
      <c r="J452" s="38" t="str">
        <f t="shared" si="78"/>
        <v/>
      </c>
      <c r="K452" s="38" t="str">
        <f t="shared" si="79"/>
        <v/>
      </c>
      <c r="L452" s="38" t="str">
        <f t="shared" si="80"/>
        <v/>
      </c>
      <c r="M452" s="38" t="str">
        <f>IF($A452="","",IF(H452=0,"",IF(Q452&lt;=0.000000001,MIN(0.8*0.75*'KT THAN'!$C$62,MAX('KT THAN'!$J$38:$J$58)),IFERROR(MIN(0.8*0.75*'KT THAN'!$C$62,INDEX('KT THAN'!$J$38:$J$58,MATCH(Q452,'KT THAN'!$L$38:$L$58,-1))+(INDEX('KT THAN'!$J$38:$J$58,MIN(21,MATCH(Q452,'KT THAN'!$L$38:$L$58,-1)+1))-INDEX('KT THAN'!$J$38:$J$58,MATCH(Q452,'KT THAN'!$L$38:$L$58,-1)))*(Q452-INDEX('KT THAN'!$L$38:$L$58,MATCH(Q452,'KT THAN'!$L$38:$L$58,-1)))/(INDEX('KT THAN'!$L$38:$L$58,MIN(21,MATCH(Q452,'KT THAN'!$L$38:$L$58,-1)+1))-INDEX('KT THAN'!$L$38:$L$58,MATCH(Q452,'KT THAN'!$L$38:$L$58,-1)))),MIN(0.8*0.75*'KT THAN'!$C$62,'KT THAN'!$C$68/Q452)))))</f>
        <v/>
      </c>
      <c r="N452" s="38" t="str">
        <f>IF($A452="","",IF(H452=0,"",IF(R452&lt;=0.000000001,MIN(0.8*0.75*'KT THAN'!$C$62,MAX('KT THAN'!$W$38:$W$58)),IFERROR(MIN(0.8*0.75*'KT THAN'!$C$62,INDEX('KT THAN'!$W$38:$W$58,MATCH(R452,'KT THAN'!$Y$38:$Y$58,-1))+(INDEX('KT THAN'!$W$38:$W$58,MIN(21,MATCH(R452,'KT THAN'!$Y$38:$Y$58,-1)+1))-INDEX('KT THAN'!$W$38:$W$58,MATCH(R452,'KT THAN'!$Y$38:$Y$58,-1)))*(R452-INDEX('KT THAN'!$Y$38:$Y$58,MATCH(R452,'KT THAN'!$Y$38:$Y$58,-1)))/(INDEX('KT THAN'!$Y$38:$Y$58,MIN(21,MATCH(R452,'KT THAN'!$Y$38:$Y$58,-1)+1))-INDEX('KT THAN'!$Y$38:$Y$58,MATCH(R452,'KT THAN'!$Y$38:$Y$58,-1)))),MIN(0.8*0.75*'KT THAN'!$C$62,'KT THAN'!$D$68/R452)))))</f>
        <v/>
      </c>
      <c r="O452" s="38" t="str">
        <f>IF($A452="","",IF(H452&lt;0,ABS(H452)/MAX('KT THAN'!$C$69,0.001)+'KT THAN'!$C$32*ABS(J452)/MAX('KT THAN'!$C$68,0.001)+'KT THAN'!$D$32*ABS(I452)/MAX('KT THAN'!$D$68,0.001),IF(OR(M452&lt;=0,N452&lt;=0),999,IF(H452&gt;=0.1*0.75*fc_*Agth*1000,H452/MAX(0.001,1/(1/M452+1/N452-1/(0.75*'KT THAN'!$C$62))),'KT THAN'!$C$32*ABS(J452)/MAX('KT THAN'!$C$68,0.001)+'KT THAN'!$D$32*ABS(I452)/MAX('KT THAN'!$D$68,0.001)))))</f>
        <v/>
      </c>
      <c r="P452" s="37" t="str">
        <f t="shared" si="81"/>
        <v/>
      </c>
      <c r="Q452" s="38" t="str">
        <f>IF($A452="","",MAX(0.001,'KT THAN'!$C$32*ABS(J452)/MAX(1,H452)))</f>
        <v/>
      </c>
      <c r="R452" s="38" t="str">
        <f>IF($A452="","",MAX(0.001,'KT THAN'!$D$32*ABS(I452)/MAX(1,H452)))</f>
        <v/>
      </c>
      <c r="S452" t="str">
        <f t="shared" si="75"/>
        <v/>
      </c>
    </row>
    <row r="453" spans="1:19" hidden="1" outlineLevel="1" x14ac:dyDescent="0.3">
      <c r="A453" s="37" t="str">
        <f>IF(OR(nThan=1,'TO HOP NLAN'!$A9=""),"",'TO HOP NLAN'!$A9)</f>
        <v/>
      </c>
      <c r="B453" s="38" t="str">
        <f>IF($A453="","",'TO HOP NLAN'!$D9)</f>
        <v/>
      </c>
      <c r="C453" s="38" t="str">
        <f>IF($A453="","",'TO HOP NLAN'!$E9)</f>
        <v/>
      </c>
      <c r="D453" s="38" t="str">
        <f>IF($A453="","",'TO HOP NLAN'!$F9)</f>
        <v/>
      </c>
      <c r="E453" s="38" t="str">
        <f>IF($A453="","",'TO HOP NLAN'!$B9)</f>
        <v/>
      </c>
      <c r="F453" s="38" t="str">
        <f>IF($A453="","",'TO HOP NLAN'!$C9)</f>
        <v/>
      </c>
      <c r="G453" s="38" t="str">
        <f t="shared" si="76"/>
        <v/>
      </c>
      <c r="H453" s="38" t="str">
        <f t="shared" si="69"/>
        <v/>
      </c>
      <c r="I453" s="38" t="str">
        <f t="shared" si="77"/>
        <v/>
      </c>
      <c r="J453" s="38" t="str">
        <f t="shared" si="78"/>
        <v/>
      </c>
      <c r="K453" s="38" t="str">
        <f t="shared" si="79"/>
        <v/>
      </c>
      <c r="L453" s="38" t="str">
        <f t="shared" si="80"/>
        <v/>
      </c>
      <c r="M453" s="38" t="str">
        <f>IF($A453="","",IF(H453=0,"",IF(Q453&lt;=0.000000001,MIN(0.8*0.75*'KT THAN'!$C$62,MAX('KT THAN'!$J$38:$J$58)),IFERROR(MIN(0.8*0.75*'KT THAN'!$C$62,INDEX('KT THAN'!$J$38:$J$58,MATCH(Q453,'KT THAN'!$L$38:$L$58,-1))+(INDEX('KT THAN'!$J$38:$J$58,MIN(21,MATCH(Q453,'KT THAN'!$L$38:$L$58,-1)+1))-INDEX('KT THAN'!$J$38:$J$58,MATCH(Q453,'KT THAN'!$L$38:$L$58,-1)))*(Q453-INDEX('KT THAN'!$L$38:$L$58,MATCH(Q453,'KT THAN'!$L$38:$L$58,-1)))/(INDEX('KT THAN'!$L$38:$L$58,MIN(21,MATCH(Q453,'KT THAN'!$L$38:$L$58,-1)+1))-INDEX('KT THAN'!$L$38:$L$58,MATCH(Q453,'KT THAN'!$L$38:$L$58,-1)))),MIN(0.8*0.75*'KT THAN'!$C$62,'KT THAN'!$C$68/Q453)))))</f>
        <v/>
      </c>
      <c r="N453" s="38" t="str">
        <f>IF($A453="","",IF(H453=0,"",IF(R453&lt;=0.000000001,MIN(0.8*0.75*'KT THAN'!$C$62,MAX('KT THAN'!$W$38:$W$58)),IFERROR(MIN(0.8*0.75*'KT THAN'!$C$62,INDEX('KT THAN'!$W$38:$W$58,MATCH(R453,'KT THAN'!$Y$38:$Y$58,-1))+(INDEX('KT THAN'!$W$38:$W$58,MIN(21,MATCH(R453,'KT THAN'!$Y$38:$Y$58,-1)+1))-INDEX('KT THAN'!$W$38:$W$58,MATCH(R453,'KT THAN'!$Y$38:$Y$58,-1)))*(R453-INDEX('KT THAN'!$Y$38:$Y$58,MATCH(R453,'KT THAN'!$Y$38:$Y$58,-1)))/(INDEX('KT THAN'!$Y$38:$Y$58,MIN(21,MATCH(R453,'KT THAN'!$Y$38:$Y$58,-1)+1))-INDEX('KT THAN'!$Y$38:$Y$58,MATCH(R453,'KT THAN'!$Y$38:$Y$58,-1)))),MIN(0.8*0.75*'KT THAN'!$C$62,'KT THAN'!$D$68/R453)))))</f>
        <v/>
      </c>
      <c r="O453" s="38" t="str">
        <f>IF($A453="","",IF(H453&lt;0,ABS(H453)/MAX('KT THAN'!$C$69,0.001)+'KT THAN'!$C$32*ABS(J453)/MAX('KT THAN'!$C$68,0.001)+'KT THAN'!$D$32*ABS(I453)/MAX('KT THAN'!$D$68,0.001),IF(OR(M453&lt;=0,N453&lt;=0),999,IF(H453&gt;=0.1*0.75*fc_*Agth*1000,H453/MAX(0.001,1/(1/M453+1/N453-1/(0.75*'KT THAN'!$C$62))),'KT THAN'!$C$32*ABS(J453)/MAX('KT THAN'!$C$68,0.001)+'KT THAN'!$D$32*ABS(I453)/MAX('KT THAN'!$D$68,0.001)))))</f>
        <v/>
      </c>
      <c r="P453" s="37" t="str">
        <f t="shared" si="81"/>
        <v/>
      </c>
      <c r="Q453" s="38" t="str">
        <f>IF($A453="","",MAX(0.001,'KT THAN'!$C$32*ABS(J453)/MAX(1,H453)))</f>
        <v/>
      </c>
      <c r="R453" s="38" t="str">
        <f>IF($A453="","",MAX(0.001,'KT THAN'!$D$32*ABS(I453)/MAX(1,H453)))</f>
        <v/>
      </c>
      <c r="S453" t="str">
        <f t="shared" si="75"/>
        <v/>
      </c>
    </row>
    <row r="454" spans="1:19" hidden="1" outlineLevel="1" x14ac:dyDescent="0.3">
      <c r="A454" s="37" t="str">
        <f>IF(OR(nThan=1,'TO HOP NLAN'!$A10=""),"",'TO HOP NLAN'!$A10)</f>
        <v/>
      </c>
      <c r="B454" s="38" t="str">
        <f>IF($A454="","",'TO HOP NLAN'!$D10)</f>
        <v/>
      </c>
      <c r="C454" s="38" t="str">
        <f>IF($A454="","",'TO HOP NLAN'!$E10)</f>
        <v/>
      </c>
      <c r="D454" s="38" t="str">
        <f>IF($A454="","",'TO HOP NLAN'!$F10)</f>
        <v/>
      </c>
      <c r="E454" s="38" t="str">
        <f>IF($A454="","",'TO HOP NLAN'!$B10)</f>
        <v/>
      </c>
      <c r="F454" s="38" t="str">
        <f>IF($A454="","",'TO HOP NLAN'!$C10)</f>
        <v/>
      </c>
      <c r="G454" s="38" t="str">
        <f t="shared" si="76"/>
        <v/>
      </c>
      <c r="H454" s="38" t="str">
        <f t="shared" si="69"/>
        <v/>
      </c>
      <c r="I454" s="38" t="str">
        <f t="shared" si="77"/>
        <v/>
      </c>
      <c r="J454" s="38" t="str">
        <f t="shared" si="78"/>
        <v/>
      </c>
      <c r="K454" s="38" t="str">
        <f t="shared" si="79"/>
        <v/>
      </c>
      <c r="L454" s="38" t="str">
        <f t="shared" si="80"/>
        <v/>
      </c>
      <c r="M454" s="38" t="str">
        <f>IF($A454="","",IF(H454=0,"",IF(Q454&lt;=0.000000001,MIN(0.8*0.75*'KT THAN'!$C$62,MAX('KT THAN'!$J$38:$J$58)),IFERROR(MIN(0.8*0.75*'KT THAN'!$C$62,INDEX('KT THAN'!$J$38:$J$58,MATCH(Q454,'KT THAN'!$L$38:$L$58,-1))+(INDEX('KT THAN'!$J$38:$J$58,MIN(21,MATCH(Q454,'KT THAN'!$L$38:$L$58,-1)+1))-INDEX('KT THAN'!$J$38:$J$58,MATCH(Q454,'KT THAN'!$L$38:$L$58,-1)))*(Q454-INDEX('KT THAN'!$L$38:$L$58,MATCH(Q454,'KT THAN'!$L$38:$L$58,-1)))/(INDEX('KT THAN'!$L$38:$L$58,MIN(21,MATCH(Q454,'KT THAN'!$L$38:$L$58,-1)+1))-INDEX('KT THAN'!$L$38:$L$58,MATCH(Q454,'KT THAN'!$L$38:$L$58,-1)))),MIN(0.8*0.75*'KT THAN'!$C$62,'KT THAN'!$C$68/Q454)))))</f>
        <v/>
      </c>
      <c r="N454" s="38" t="str">
        <f>IF($A454="","",IF(H454=0,"",IF(R454&lt;=0.000000001,MIN(0.8*0.75*'KT THAN'!$C$62,MAX('KT THAN'!$W$38:$W$58)),IFERROR(MIN(0.8*0.75*'KT THAN'!$C$62,INDEX('KT THAN'!$W$38:$W$58,MATCH(R454,'KT THAN'!$Y$38:$Y$58,-1))+(INDEX('KT THAN'!$W$38:$W$58,MIN(21,MATCH(R454,'KT THAN'!$Y$38:$Y$58,-1)+1))-INDEX('KT THAN'!$W$38:$W$58,MATCH(R454,'KT THAN'!$Y$38:$Y$58,-1)))*(R454-INDEX('KT THAN'!$Y$38:$Y$58,MATCH(R454,'KT THAN'!$Y$38:$Y$58,-1)))/(INDEX('KT THAN'!$Y$38:$Y$58,MIN(21,MATCH(R454,'KT THAN'!$Y$38:$Y$58,-1)+1))-INDEX('KT THAN'!$Y$38:$Y$58,MATCH(R454,'KT THAN'!$Y$38:$Y$58,-1)))),MIN(0.8*0.75*'KT THAN'!$C$62,'KT THAN'!$D$68/R454)))))</f>
        <v/>
      </c>
      <c r="O454" s="38" t="str">
        <f>IF($A454="","",IF(H454&lt;0,ABS(H454)/MAX('KT THAN'!$C$69,0.001)+'KT THAN'!$C$32*ABS(J454)/MAX('KT THAN'!$C$68,0.001)+'KT THAN'!$D$32*ABS(I454)/MAX('KT THAN'!$D$68,0.001),IF(OR(M454&lt;=0,N454&lt;=0),999,IF(H454&gt;=0.1*0.75*fc_*Agth*1000,H454/MAX(0.001,1/(1/M454+1/N454-1/(0.75*'KT THAN'!$C$62))),'KT THAN'!$C$32*ABS(J454)/MAX('KT THAN'!$C$68,0.001)+'KT THAN'!$D$32*ABS(I454)/MAX('KT THAN'!$D$68,0.001)))))</f>
        <v/>
      </c>
      <c r="P454" s="37" t="str">
        <f t="shared" si="81"/>
        <v/>
      </c>
      <c r="Q454" s="38" t="str">
        <f>IF($A454="","",MAX(0.001,'KT THAN'!$C$32*ABS(J454)/MAX(1,H454)))</f>
        <v/>
      </c>
      <c r="R454" s="38" t="str">
        <f>IF($A454="","",MAX(0.001,'KT THAN'!$D$32*ABS(I454)/MAX(1,H454)))</f>
        <v/>
      </c>
      <c r="S454" t="str">
        <f t="shared" si="75"/>
        <v/>
      </c>
    </row>
    <row r="455" spans="1:19" hidden="1" outlineLevel="1" x14ac:dyDescent="0.3">
      <c r="A455" s="37" t="str">
        <f>IF(OR(nThan=1,'TO HOP NLAN'!$A11=""),"",'TO HOP NLAN'!$A11)</f>
        <v/>
      </c>
      <c r="B455" s="38" t="str">
        <f>IF($A455="","",'TO HOP NLAN'!$D11)</f>
        <v/>
      </c>
      <c r="C455" s="38" t="str">
        <f>IF($A455="","",'TO HOP NLAN'!$E11)</f>
        <v/>
      </c>
      <c r="D455" s="38" t="str">
        <f>IF($A455="","",'TO HOP NLAN'!$F11)</f>
        <v/>
      </c>
      <c r="E455" s="38" t="str">
        <f>IF($A455="","",'TO HOP NLAN'!$B11)</f>
        <v/>
      </c>
      <c r="F455" s="38" t="str">
        <f>IF($A455="","",'TO HOP NLAN'!$C11)</f>
        <v/>
      </c>
      <c r="G455" s="38" t="str">
        <f t="shared" si="76"/>
        <v/>
      </c>
      <c r="H455" s="38" t="str">
        <f t="shared" si="69"/>
        <v/>
      </c>
      <c r="I455" s="38" t="str">
        <f t="shared" si="77"/>
        <v/>
      </c>
      <c r="J455" s="38" t="str">
        <f t="shared" si="78"/>
        <v/>
      </c>
      <c r="K455" s="38" t="str">
        <f t="shared" si="79"/>
        <v/>
      </c>
      <c r="L455" s="38" t="str">
        <f t="shared" si="80"/>
        <v/>
      </c>
      <c r="M455" s="38" t="str">
        <f>IF($A455="","",IF(H455=0,"",IF(Q455&lt;=0.000000001,MIN(0.8*0.75*'KT THAN'!$C$62,MAX('KT THAN'!$J$38:$J$58)),IFERROR(MIN(0.8*0.75*'KT THAN'!$C$62,INDEX('KT THAN'!$J$38:$J$58,MATCH(Q455,'KT THAN'!$L$38:$L$58,-1))+(INDEX('KT THAN'!$J$38:$J$58,MIN(21,MATCH(Q455,'KT THAN'!$L$38:$L$58,-1)+1))-INDEX('KT THAN'!$J$38:$J$58,MATCH(Q455,'KT THAN'!$L$38:$L$58,-1)))*(Q455-INDEX('KT THAN'!$L$38:$L$58,MATCH(Q455,'KT THAN'!$L$38:$L$58,-1)))/(INDEX('KT THAN'!$L$38:$L$58,MIN(21,MATCH(Q455,'KT THAN'!$L$38:$L$58,-1)+1))-INDEX('KT THAN'!$L$38:$L$58,MATCH(Q455,'KT THAN'!$L$38:$L$58,-1)))),MIN(0.8*0.75*'KT THAN'!$C$62,'KT THAN'!$C$68/Q455)))))</f>
        <v/>
      </c>
      <c r="N455" s="38" t="str">
        <f>IF($A455="","",IF(H455=0,"",IF(R455&lt;=0.000000001,MIN(0.8*0.75*'KT THAN'!$C$62,MAX('KT THAN'!$W$38:$W$58)),IFERROR(MIN(0.8*0.75*'KT THAN'!$C$62,INDEX('KT THAN'!$W$38:$W$58,MATCH(R455,'KT THAN'!$Y$38:$Y$58,-1))+(INDEX('KT THAN'!$W$38:$W$58,MIN(21,MATCH(R455,'KT THAN'!$Y$38:$Y$58,-1)+1))-INDEX('KT THAN'!$W$38:$W$58,MATCH(R455,'KT THAN'!$Y$38:$Y$58,-1)))*(R455-INDEX('KT THAN'!$Y$38:$Y$58,MATCH(R455,'KT THAN'!$Y$38:$Y$58,-1)))/(INDEX('KT THAN'!$Y$38:$Y$58,MIN(21,MATCH(R455,'KT THAN'!$Y$38:$Y$58,-1)+1))-INDEX('KT THAN'!$Y$38:$Y$58,MATCH(R455,'KT THAN'!$Y$38:$Y$58,-1)))),MIN(0.8*0.75*'KT THAN'!$C$62,'KT THAN'!$D$68/R455)))))</f>
        <v/>
      </c>
      <c r="O455" s="38" t="str">
        <f>IF($A455="","",IF(H455&lt;0,ABS(H455)/MAX('KT THAN'!$C$69,0.001)+'KT THAN'!$C$32*ABS(J455)/MAX('KT THAN'!$C$68,0.001)+'KT THAN'!$D$32*ABS(I455)/MAX('KT THAN'!$D$68,0.001),IF(OR(M455&lt;=0,N455&lt;=0),999,IF(H455&gt;=0.1*0.75*fc_*Agth*1000,H455/MAX(0.001,1/(1/M455+1/N455-1/(0.75*'KT THAN'!$C$62))),'KT THAN'!$C$32*ABS(J455)/MAX('KT THAN'!$C$68,0.001)+'KT THAN'!$D$32*ABS(I455)/MAX('KT THAN'!$D$68,0.001)))))</f>
        <v/>
      </c>
      <c r="P455" s="37" t="str">
        <f t="shared" si="81"/>
        <v/>
      </c>
      <c r="Q455" s="38" t="str">
        <f>IF($A455="","",MAX(0.001,'KT THAN'!$C$32*ABS(J455)/MAX(1,H455)))</f>
        <v/>
      </c>
      <c r="R455" s="38" t="str">
        <f>IF($A455="","",MAX(0.001,'KT THAN'!$D$32*ABS(I455)/MAX(1,H455)))</f>
        <v/>
      </c>
      <c r="S455" t="str">
        <f t="shared" si="75"/>
        <v/>
      </c>
    </row>
    <row r="456" spans="1:19" hidden="1" outlineLevel="1" x14ac:dyDescent="0.3">
      <c r="A456" s="37" t="str">
        <f>IF(OR(nThan=1,'TO HOP NLAN'!$A12=""),"",'TO HOP NLAN'!$A12)</f>
        <v/>
      </c>
      <c r="B456" s="38" t="str">
        <f>IF($A456="","",'TO HOP NLAN'!$D12)</f>
        <v/>
      </c>
      <c r="C456" s="38" t="str">
        <f>IF($A456="","",'TO HOP NLAN'!$E12)</f>
        <v/>
      </c>
      <c r="D456" s="38" t="str">
        <f>IF($A456="","",'TO HOP NLAN'!$F12)</f>
        <v/>
      </c>
      <c r="E456" s="38" t="str">
        <f>IF($A456="","",'TO HOP NLAN'!$B12)</f>
        <v/>
      </c>
      <c r="F456" s="38" t="str">
        <f>IF($A456="","",'TO HOP NLAN'!$C12)</f>
        <v/>
      </c>
      <c r="G456" s="38" t="str">
        <f t="shared" si="76"/>
        <v/>
      </c>
      <c r="H456" s="38" t="str">
        <f t="shared" si="69"/>
        <v/>
      </c>
      <c r="I456" s="38" t="str">
        <f t="shared" si="77"/>
        <v/>
      </c>
      <c r="J456" s="38" t="str">
        <f t="shared" si="78"/>
        <v/>
      </c>
      <c r="K456" s="38" t="str">
        <f t="shared" si="79"/>
        <v/>
      </c>
      <c r="L456" s="38" t="str">
        <f t="shared" si="80"/>
        <v/>
      </c>
      <c r="M456" s="38" t="str">
        <f>IF($A456="","",IF(H456=0,"",IF(Q456&lt;=0.000000001,MIN(0.8*0.75*'KT THAN'!$C$62,MAX('KT THAN'!$J$38:$J$58)),IFERROR(MIN(0.8*0.75*'KT THAN'!$C$62,INDEX('KT THAN'!$J$38:$J$58,MATCH(Q456,'KT THAN'!$L$38:$L$58,-1))+(INDEX('KT THAN'!$J$38:$J$58,MIN(21,MATCH(Q456,'KT THAN'!$L$38:$L$58,-1)+1))-INDEX('KT THAN'!$J$38:$J$58,MATCH(Q456,'KT THAN'!$L$38:$L$58,-1)))*(Q456-INDEX('KT THAN'!$L$38:$L$58,MATCH(Q456,'KT THAN'!$L$38:$L$58,-1)))/(INDEX('KT THAN'!$L$38:$L$58,MIN(21,MATCH(Q456,'KT THAN'!$L$38:$L$58,-1)+1))-INDEX('KT THAN'!$L$38:$L$58,MATCH(Q456,'KT THAN'!$L$38:$L$58,-1)))),MIN(0.8*0.75*'KT THAN'!$C$62,'KT THAN'!$C$68/Q456)))))</f>
        <v/>
      </c>
      <c r="N456" s="38" t="str">
        <f>IF($A456="","",IF(H456=0,"",IF(R456&lt;=0.000000001,MIN(0.8*0.75*'KT THAN'!$C$62,MAX('KT THAN'!$W$38:$W$58)),IFERROR(MIN(0.8*0.75*'KT THAN'!$C$62,INDEX('KT THAN'!$W$38:$W$58,MATCH(R456,'KT THAN'!$Y$38:$Y$58,-1))+(INDEX('KT THAN'!$W$38:$W$58,MIN(21,MATCH(R456,'KT THAN'!$Y$38:$Y$58,-1)+1))-INDEX('KT THAN'!$W$38:$W$58,MATCH(R456,'KT THAN'!$Y$38:$Y$58,-1)))*(R456-INDEX('KT THAN'!$Y$38:$Y$58,MATCH(R456,'KT THAN'!$Y$38:$Y$58,-1)))/(INDEX('KT THAN'!$Y$38:$Y$58,MIN(21,MATCH(R456,'KT THAN'!$Y$38:$Y$58,-1)+1))-INDEX('KT THAN'!$Y$38:$Y$58,MATCH(R456,'KT THAN'!$Y$38:$Y$58,-1)))),MIN(0.8*0.75*'KT THAN'!$C$62,'KT THAN'!$D$68/R456)))))</f>
        <v/>
      </c>
      <c r="O456" s="38" t="str">
        <f>IF($A456="","",IF(H456&lt;0,ABS(H456)/MAX('KT THAN'!$C$69,0.001)+'KT THAN'!$C$32*ABS(J456)/MAX('KT THAN'!$C$68,0.001)+'KT THAN'!$D$32*ABS(I456)/MAX('KT THAN'!$D$68,0.001),IF(OR(M456&lt;=0,N456&lt;=0),999,IF(H456&gt;=0.1*0.75*fc_*Agth*1000,H456/MAX(0.001,1/(1/M456+1/N456-1/(0.75*'KT THAN'!$C$62))),'KT THAN'!$C$32*ABS(J456)/MAX('KT THAN'!$C$68,0.001)+'KT THAN'!$D$32*ABS(I456)/MAX('KT THAN'!$D$68,0.001)))))</f>
        <v/>
      </c>
      <c r="P456" s="37" t="str">
        <f t="shared" si="81"/>
        <v/>
      </c>
      <c r="Q456" s="38" t="str">
        <f>IF($A456="","",MAX(0.001,'KT THAN'!$C$32*ABS(J456)/MAX(1,H456)))</f>
        <v/>
      </c>
      <c r="R456" s="38" t="str">
        <f>IF($A456="","",MAX(0.001,'KT THAN'!$D$32*ABS(I456)/MAX(1,H456)))</f>
        <v/>
      </c>
      <c r="S456" t="str">
        <f t="shared" si="75"/>
        <v/>
      </c>
    </row>
    <row r="457" spans="1:19" hidden="1" outlineLevel="1" x14ac:dyDescent="0.3">
      <c r="A457" s="37" t="str">
        <f>IF(OR(nThan=1,'TO HOP NLAN'!$A13=""),"",'TO HOP NLAN'!$A13)</f>
        <v/>
      </c>
      <c r="B457" s="38" t="str">
        <f>IF($A457="","",'TO HOP NLAN'!$D13)</f>
        <v/>
      </c>
      <c r="C457" s="38" t="str">
        <f>IF($A457="","",'TO HOP NLAN'!$E13)</f>
        <v/>
      </c>
      <c r="D457" s="38" t="str">
        <f>IF($A457="","",'TO HOP NLAN'!$F13)</f>
        <v/>
      </c>
      <c r="E457" s="38" t="str">
        <f>IF($A457="","",'TO HOP NLAN'!$B13)</f>
        <v/>
      </c>
      <c r="F457" s="38" t="str">
        <f>IF($A457="","",'TO HOP NLAN'!$C13)</f>
        <v/>
      </c>
      <c r="G457" s="38" t="str">
        <f t="shared" si="76"/>
        <v/>
      </c>
      <c r="H457" s="38" t="str">
        <f t="shared" si="69"/>
        <v/>
      </c>
      <c r="I457" s="38" t="str">
        <f t="shared" si="77"/>
        <v/>
      </c>
      <c r="J457" s="38" t="str">
        <f t="shared" si="78"/>
        <v/>
      </c>
      <c r="K457" s="38" t="str">
        <f t="shared" si="79"/>
        <v/>
      </c>
      <c r="L457" s="38" t="str">
        <f t="shared" si="80"/>
        <v/>
      </c>
      <c r="M457" s="38" t="str">
        <f>IF($A457="","",IF(H457=0,"",IF(Q457&lt;=0.000000001,MIN(0.8*0.75*'KT THAN'!$C$62,MAX('KT THAN'!$J$38:$J$58)),IFERROR(MIN(0.8*0.75*'KT THAN'!$C$62,INDEX('KT THAN'!$J$38:$J$58,MATCH(Q457,'KT THAN'!$L$38:$L$58,-1))+(INDEX('KT THAN'!$J$38:$J$58,MIN(21,MATCH(Q457,'KT THAN'!$L$38:$L$58,-1)+1))-INDEX('KT THAN'!$J$38:$J$58,MATCH(Q457,'KT THAN'!$L$38:$L$58,-1)))*(Q457-INDEX('KT THAN'!$L$38:$L$58,MATCH(Q457,'KT THAN'!$L$38:$L$58,-1)))/(INDEX('KT THAN'!$L$38:$L$58,MIN(21,MATCH(Q457,'KT THAN'!$L$38:$L$58,-1)+1))-INDEX('KT THAN'!$L$38:$L$58,MATCH(Q457,'KT THAN'!$L$38:$L$58,-1)))),MIN(0.8*0.75*'KT THAN'!$C$62,'KT THAN'!$C$68/Q457)))))</f>
        <v/>
      </c>
      <c r="N457" s="38" t="str">
        <f>IF($A457="","",IF(H457=0,"",IF(R457&lt;=0.000000001,MIN(0.8*0.75*'KT THAN'!$C$62,MAX('KT THAN'!$W$38:$W$58)),IFERROR(MIN(0.8*0.75*'KT THAN'!$C$62,INDEX('KT THAN'!$W$38:$W$58,MATCH(R457,'KT THAN'!$Y$38:$Y$58,-1))+(INDEX('KT THAN'!$W$38:$W$58,MIN(21,MATCH(R457,'KT THAN'!$Y$38:$Y$58,-1)+1))-INDEX('KT THAN'!$W$38:$W$58,MATCH(R457,'KT THAN'!$Y$38:$Y$58,-1)))*(R457-INDEX('KT THAN'!$Y$38:$Y$58,MATCH(R457,'KT THAN'!$Y$38:$Y$58,-1)))/(INDEX('KT THAN'!$Y$38:$Y$58,MIN(21,MATCH(R457,'KT THAN'!$Y$38:$Y$58,-1)+1))-INDEX('KT THAN'!$Y$38:$Y$58,MATCH(R457,'KT THAN'!$Y$38:$Y$58,-1)))),MIN(0.8*0.75*'KT THAN'!$C$62,'KT THAN'!$D$68/R457)))))</f>
        <v/>
      </c>
      <c r="O457" s="38" t="str">
        <f>IF($A457="","",IF(H457&lt;0,ABS(H457)/MAX('KT THAN'!$C$69,0.001)+'KT THAN'!$C$32*ABS(J457)/MAX('KT THAN'!$C$68,0.001)+'KT THAN'!$D$32*ABS(I457)/MAX('KT THAN'!$D$68,0.001),IF(OR(M457&lt;=0,N457&lt;=0),999,IF(H457&gt;=0.1*0.75*fc_*Agth*1000,H457/MAX(0.001,1/(1/M457+1/N457-1/(0.75*'KT THAN'!$C$62))),'KT THAN'!$C$32*ABS(J457)/MAX('KT THAN'!$C$68,0.001)+'KT THAN'!$D$32*ABS(I457)/MAX('KT THAN'!$D$68,0.001)))))</f>
        <v/>
      </c>
      <c r="P457" s="37" t="str">
        <f t="shared" si="81"/>
        <v/>
      </c>
      <c r="Q457" s="38" t="str">
        <f>IF($A457="","",MAX(0.001,'KT THAN'!$C$32*ABS(J457)/MAX(1,H457)))</f>
        <v/>
      </c>
      <c r="R457" s="38" t="str">
        <f>IF($A457="","",MAX(0.001,'KT THAN'!$D$32*ABS(I457)/MAX(1,H457)))</f>
        <v/>
      </c>
      <c r="S457" t="str">
        <f t="shared" si="75"/>
        <v/>
      </c>
    </row>
    <row r="458" spans="1:19" hidden="1" outlineLevel="1" x14ac:dyDescent="0.3">
      <c r="A458" s="37" t="str">
        <f>IF(OR(nThan=1,'TO HOP NLAN'!$A14=""),"",'TO HOP NLAN'!$A14)</f>
        <v/>
      </c>
      <c r="B458" s="38" t="str">
        <f>IF($A458="","",'TO HOP NLAN'!$D14)</f>
        <v/>
      </c>
      <c r="C458" s="38" t="str">
        <f>IF($A458="","",'TO HOP NLAN'!$E14)</f>
        <v/>
      </c>
      <c r="D458" s="38" t="str">
        <f>IF($A458="","",'TO HOP NLAN'!$F14)</f>
        <v/>
      </c>
      <c r="E458" s="38" t="str">
        <f>IF($A458="","",'TO HOP NLAN'!$B14)</f>
        <v/>
      </c>
      <c r="F458" s="38" t="str">
        <f>IF($A458="","",'TO HOP NLAN'!$C14)</f>
        <v/>
      </c>
      <c r="G458" s="38" t="str">
        <f t="shared" si="76"/>
        <v/>
      </c>
      <c r="H458" s="38" t="str">
        <f t="shared" si="69"/>
        <v/>
      </c>
      <c r="I458" s="38" t="str">
        <f t="shared" si="77"/>
        <v/>
      </c>
      <c r="J458" s="38" t="str">
        <f t="shared" si="78"/>
        <v/>
      </c>
      <c r="K458" s="38" t="str">
        <f t="shared" si="79"/>
        <v/>
      </c>
      <c r="L458" s="38" t="str">
        <f t="shared" si="80"/>
        <v/>
      </c>
      <c r="M458" s="38" t="str">
        <f>IF($A458="","",IF(H458=0,"",IF(Q458&lt;=0.000000001,MIN(0.8*0.75*'KT THAN'!$C$62,MAX('KT THAN'!$J$38:$J$58)),IFERROR(MIN(0.8*0.75*'KT THAN'!$C$62,INDEX('KT THAN'!$J$38:$J$58,MATCH(Q458,'KT THAN'!$L$38:$L$58,-1))+(INDEX('KT THAN'!$J$38:$J$58,MIN(21,MATCH(Q458,'KT THAN'!$L$38:$L$58,-1)+1))-INDEX('KT THAN'!$J$38:$J$58,MATCH(Q458,'KT THAN'!$L$38:$L$58,-1)))*(Q458-INDEX('KT THAN'!$L$38:$L$58,MATCH(Q458,'KT THAN'!$L$38:$L$58,-1)))/(INDEX('KT THAN'!$L$38:$L$58,MIN(21,MATCH(Q458,'KT THAN'!$L$38:$L$58,-1)+1))-INDEX('KT THAN'!$L$38:$L$58,MATCH(Q458,'KT THAN'!$L$38:$L$58,-1)))),MIN(0.8*0.75*'KT THAN'!$C$62,'KT THAN'!$C$68/Q458)))))</f>
        <v/>
      </c>
      <c r="N458" s="38" t="str">
        <f>IF($A458="","",IF(H458=0,"",IF(R458&lt;=0.000000001,MIN(0.8*0.75*'KT THAN'!$C$62,MAX('KT THAN'!$W$38:$W$58)),IFERROR(MIN(0.8*0.75*'KT THAN'!$C$62,INDEX('KT THAN'!$W$38:$W$58,MATCH(R458,'KT THAN'!$Y$38:$Y$58,-1))+(INDEX('KT THAN'!$W$38:$W$58,MIN(21,MATCH(R458,'KT THAN'!$Y$38:$Y$58,-1)+1))-INDEX('KT THAN'!$W$38:$W$58,MATCH(R458,'KT THAN'!$Y$38:$Y$58,-1)))*(R458-INDEX('KT THAN'!$Y$38:$Y$58,MATCH(R458,'KT THAN'!$Y$38:$Y$58,-1)))/(INDEX('KT THAN'!$Y$38:$Y$58,MIN(21,MATCH(R458,'KT THAN'!$Y$38:$Y$58,-1)+1))-INDEX('KT THAN'!$Y$38:$Y$58,MATCH(R458,'KT THAN'!$Y$38:$Y$58,-1)))),MIN(0.8*0.75*'KT THAN'!$C$62,'KT THAN'!$D$68/R458)))))</f>
        <v/>
      </c>
      <c r="O458" s="38" t="str">
        <f>IF($A458="","",IF(H458&lt;0,ABS(H458)/MAX('KT THAN'!$C$69,0.001)+'KT THAN'!$C$32*ABS(J458)/MAX('KT THAN'!$C$68,0.001)+'KT THAN'!$D$32*ABS(I458)/MAX('KT THAN'!$D$68,0.001),IF(OR(M458&lt;=0,N458&lt;=0),999,IF(H458&gt;=0.1*0.75*fc_*Agth*1000,H458/MAX(0.001,1/(1/M458+1/N458-1/(0.75*'KT THAN'!$C$62))),'KT THAN'!$C$32*ABS(J458)/MAX('KT THAN'!$C$68,0.001)+'KT THAN'!$D$32*ABS(I458)/MAX('KT THAN'!$D$68,0.001)))))</f>
        <v/>
      </c>
      <c r="P458" s="37" t="str">
        <f t="shared" si="81"/>
        <v/>
      </c>
      <c r="Q458" s="38" t="str">
        <f>IF($A458="","",MAX(0.001,'KT THAN'!$C$32*ABS(J458)/MAX(1,H458)))</f>
        <v/>
      </c>
      <c r="R458" s="38" t="str">
        <f>IF($A458="","",MAX(0.001,'KT THAN'!$D$32*ABS(I458)/MAX(1,H458)))</f>
        <v/>
      </c>
      <c r="S458" t="str">
        <f t="shared" si="75"/>
        <v/>
      </c>
    </row>
    <row r="459" spans="1:19" hidden="1" outlineLevel="1" x14ac:dyDescent="0.3">
      <c r="A459" s="37" t="str">
        <f>IF(OR(nThan=1,'TO HOP NLAN'!$A15=""),"",'TO HOP NLAN'!$A15)</f>
        <v/>
      </c>
      <c r="B459" s="38" t="str">
        <f>IF($A459="","",'TO HOP NLAN'!$D15)</f>
        <v/>
      </c>
      <c r="C459" s="38" t="str">
        <f>IF($A459="","",'TO HOP NLAN'!$E15)</f>
        <v/>
      </c>
      <c r="D459" s="38" t="str">
        <f>IF($A459="","",'TO HOP NLAN'!$F15)</f>
        <v/>
      </c>
      <c r="E459" s="38" t="str">
        <f>IF($A459="","",'TO HOP NLAN'!$B15)</f>
        <v/>
      </c>
      <c r="F459" s="38" t="str">
        <f>IF($A459="","",'TO HOP NLAN'!$C15)</f>
        <v/>
      </c>
      <c r="G459" s="38" t="str">
        <f t="shared" si="76"/>
        <v/>
      </c>
      <c r="H459" s="38" t="str">
        <f t="shared" si="69"/>
        <v/>
      </c>
      <c r="I459" s="38" t="str">
        <f t="shared" si="77"/>
        <v/>
      </c>
      <c r="J459" s="38" t="str">
        <f t="shared" si="78"/>
        <v/>
      </c>
      <c r="K459" s="38" t="str">
        <f t="shared" si="79"/>
        <v/>
      </c>
      <c r="L459" s="38" t="str">
        <f t="shared" si="80"/>
        <v/>
      </c>
      <c r="M459" s="38" t="str">
        <f>IF($A459="","",IF(H459=0,"",IF(Q459&lt;=0.000000001,MIN(0.8*0.75*'KT THAN'!$C$62,MAX('KT THAN'!$J$38:$J$58)),IFERROR(MIN(0.8*0.75*'KT THAN'!$C$62,INDEX('KT THAN'!$J$38:$J$58,MATCH(Q459,'KT THAN'!$L$38:$L$58,-1))+(INDEX('KT THAN'!$J$38:$J$58,MIN(21,MATCH(Q459,'KT THAN'!$L$38:$L$58,-1)+1))-INDEX('KT THAN'!$J$38:$J$58,MATCH(Q459,'KT THAN'!$L$38:$L$58,-1)))*(Q459-INDEX('KT THAN'!$L$38:$L$58,MATCH(Q459,'KT THAN'!$L$38:$L$58,-1)))/(INDEX('KT THAN'!$L$38:$L$58,MIN(21,MATCH(Q459,'KT THAN'!$L$38:$L$58,-1)+1))-INDEX('KT THAN'!$L$38:$L$58,MATCH(Q459,'KT THAN'!$L$38:$L$58,-1)))),MIN(0.8*0.75*'KT THAN'!$C$62,'KT THAN'!$C$68/Q459)))))</f>
        <v/>
      </c>
      <c r="N459" s="38" t="str">
        <f>IF($A459="","",IF(H459=0,"",IF(R459&lt;=0.000000001,MIN(0.8*0.75*'KT THAN'!$C$62,MAX('KT THAN'!$W$38:$W$58)),IFERROR(MIN(0.8*0.75*'KT THAN'!$C$62,INDEX('KT THAN'!$W$38:$W$58,MATCH(R459,'KT THAN'!$Y$38:$Y$58,-1))+(INDEX('KT THAN'!$W$38:$W$58,MIN(21,MATCH(R459,'KT THAN'!$Y$38:$Y$58,-1)+1))-INDEX('KT THAN'!$W$38:$W$58,MATCH(R459,'KT THAN'!$Y$38:$Y$58,-1)))*(R459-INDEX('KT THAN'!$Y$38:$Y$58,MATCH(R459,'KT THAN'!$Y$38:$Y$58,-1)))/(INDEX('KT THAN'!$Y$38:$Y$58,MIN(21,MATCH(R459,'KT THAN'!$Y$38:$Y$58,-1)+1))-INDEX('KT THAN'!$Y$38:$Y$58,MATCH(R459,'KT THAN'!$Y$38:$Y$58,-1)))),MIN(0.8*0.75*'KT THAN'!$C$62,'KT THAN'!$D$68/R459)))))</f>
        <v/>
      </c>
      <c r="O459" s="38" t="str">
        <f>IF($A459="","",IF(H459&lt;0,ABS(H459)/MAX('KT THAN'!$C$69,0.001)+'KT THAN'!$C$32*ABS(J459)/MAX('KT THAN'!$C$68,0.001)+'KT THAN'!$D$32*ABS(I459)/MAX('KT THAN'!$D$68,0.001),IF(OR(M459&lt;=0,N459&lt;=0),999,IF(H459&gt;=0.1*0.75*fc_*Agth*1000,H459/MAX(0.001,1/(1/M459+1/N459-1/(0.75*'KT THAN'!$C$62))),'KT THAN'!$C$32*ABS(J459)/MAX('KT THAN'!$C$68,0.001)+'KT THAN'!$D$32*ABS(I459)/MAX('KT THAN'!$D$68,0.001)))))</f>
        <v/>
      </c>
      <c r="P459" s="37" t="str">
        <f t="shared" si="81"/>
        <v/>
      </c>
      <c r="Q459" s="38" t="str">
        <f>IF($A459="","",MAX(0.001,'KT THAN'!$C$32*ABS(J459)/MAX(1,H459)))</f>
        <v/>
      </c>
      <c r="R459" s="38" t="str">
        <f>IF($A459="","",MAX(0.001,'KT THAN'!$D$32*ABS(I459)/MAX(1,H459)))</f>
        <v/>
      </c>
      <c r="S459" t="str">
        <f t="shared" si="75"/>
        <v/>
      </c>
    </row>
    <row r="460" spans="1:19" hidden="1" outlineLevel="1" x14ac:dyDescent="0.3">
      <c r="A460" s="37" t="str">
        <f>IF(OR(nThan=1,'TO HOP NLAN'!$A16=""),"",'TO HOP NLAN'!$A16)</f>
        <v/>
      </c>
      <c r="B460" s="38" t="str">
        <f>IF($A460="","",'TO HOP NLAN'!$D16)</f>
        <v/>
      </c>
      <c r="C460" s="38" t="str">
        <f>IF($A460="","",'TO HOP NLAN'!$E16)</f>
        <v/>
      </c>
      <c r="D460" s="38" t="str">
        <f>IF($A460="","",'TO HOP NLAN'!$F16)</f>
        <v/>
      </c>
      <c r="E460" s="38" t="str">
        <f>IF($A460="","",'TO HOP NLAN'!$B16)</f>
        <v/>
      </c>
      <c r="F460" s="38" t="str">
        <f>IF($A460="","",'TO HOP NLAN'!$C16)</f>
        <v/>
      </c>
      <c r="G460" s="38" t="str">
        <f t="shared" si="76"/>
        <v/>
      </c>
      <c r="H460" s="38" t="str">
        <f t="shared" si="69"/>
        <v/>
      </c>
      <c r="I460" s="38" t="str">
        <f t="shared" si="77"/>
        <v/>
      </c>
      <c r="J460" s="38" t="str">
        <f t="shared" si="78"/>
        <v/>
      </c>
      <c r="K460" s="38" t="str">
        <f t="shared" si="79"/>
        <v/>
      </c>
      <c r="L460" s="38" t="str">
        <f t="shared" si="80"/>
        <v/>
      </c>
      <c r="M460" s="38" t="str">
        <f>IF($A460="","",IF(H460=0,"",IF(Q460&lt;=0.000000001,MIN(0.8*0.75*'KT THAN'!$C$62,MAX('KT THAN'!$J$38:$J$58)),IFERROR(MIN(0.8*0.75*'KT THAN'!$C$62,INDEX('KT THAN'!$J$38:$J$58,MATCH(Q460,'KT THAN'!$L$38:$L$58,-1))+(INDEX('KT THAN'!$J$38:$J$58,MIN(21,MATCH(Q460,'KT THAN'!$L$38:$L$58,-1)+1))-INDEX('KT THAN'!$J$38:$J$58,MATCH(Q460,'KT THAN'!$L$38:$L$58,-1)))*(Q460-INDEX('KT THAN'!$L$38:$L$58,MATCH(Q460,'KT THAN'!$L$38:$L$58,-1)))/(INDEX('KT THAN'!$L$38:$L$58,MIN(21,MATCH(Q460,'KT THAN'!$L$38:$L$58,-1)+1))-INDEX('KT THAN'!$L$38:$L$58,MATCH(Q460,'KT THAN'!$L$38:$L$58,-1)))),MIN(0.8*0.75*'KT THAN'!$C$62,'KT THAN'!$C$68/Q460)))))</f>
        <v/>
      </c>
      <c r="N460" s="38" t="str">
        <f>IF($A460="","",IF(H460=0,"",IF(R460&lt;=0.000000001,MIN(0.8*0.75*'KT THAN'!$C$62,MAX('KT THAN'!$W$38:$W$58)),IFERROR(MIN(0.8*0.75*'KT THAN'!$C$62,INDEX('KT THAN'!$W$38:$W$58,MATCH(R460,'KT THAN'!$Y$38:$Y$58,-1))+(INDEX('KT THAN'!$W$38:$W$58,MIN(21,MATCH(R460,'KT THAN'!$Y$38:$Y$58,-1)+1))-INDEX('KT THAN'!$W$38:$W$58,MATCH(R460,'KT THAN'!$Y$38:$Y$58,-1)))*(R460-INDEX('KT THAN'!$Y$38:$Y$58,MATCH(R460,'KT THAN'!$Y$38:$Y$58,-1)))/(INDEX('KT THAN'!$Y$38:$Y$58,MIN(21,MATCH(R460,'KT THAN'!$Y$38:$Y$58,-1)+1))-INDEX('KT THAN'!$Y$38:$Y$58,MATCH(R460,'KT THAN'!$Y$38:$Y$58,-1)))),MIN(0.8*0.75*'KT THAN'!$C$62,'KT THAN'!$D$68/R460)))))</f>
        <v/>
      </c>
      <c r="O460" s="38" t="str">
        <f>IF($A460="","",IF(H460&lt;0,ABS(H460)/MAX('KT THAN'!$C$69,0.001)+'KT THAN'!$C$32*ABS(J460)/MAX('KT THAN'!$C$68,0.001)+'KT THAN'!$D$32*ABS(I460)/MAX('KT THAN'!$D$68,0.001),IF(OR(M460&lt;=0,N460&lt;=0),999,IF(H460&gt;=0.1*0.75*fc_*Agth*1000,H460/MAX(0.001,1/(1/M460+1/N460-1/(0.75*'KT THAN'!$C$62))),'KT THAN'!$C$32*ABS(J460)/MAX('KT THAN'!$C$68,0.001)+'KT THAN'!$D$32*ABS(I460)/MAX('KT THAN'!$D$68,0.001)))))</f>
        <v/>
      </c>
      <c r="P460" s="37" t="str">
        <f t="shared" si="81"/>
        <v/>
      </c>
      <c r="Q460" s="38" t="str">
        <f>IF($A460="","",MAX(0.001,'KT THAN'!$C$32*ABS(J460)/MAX(1,H460)))</f>
        <v/>
      </c>
      <c r="R460" s="38" t="str">
        <f>IF($A460="","",MAX(0.001,'KT THAN'!$D$32*ABS(I460)/MAX(1,H460)))</f>
        <v/>
      </c>
      <c r="S460" t="str">
        <f t="shared" si="75"/>
        <v/>
      </c>
    </row>
    <row r="461" spans="1:19" hidden="1" outlineLevel="1" x14ac:dyDescent="0.3">
      <c r="A461" s="37" t="str">
        <f>IF(OR(nThan=1,'TO HOP NLAN'!$A17=""),"",'TO HOP NLAN'!$A17)</f>
        <v/>
      </c>
      <c r="B461" s="38" t="str">
        <f>IF($A461="","",'TO HOP NLAN'!$D17)</f>
        <v/>
      </c>
      <c r="C461" s="38" t="str">
        <f>IF($A461="","",'TO HOP NLAN'!$E17)</f>
        <v/>
      </c>
      <c r="D461" s="38" t="str">
        <f>IF($A461="","",'TO HOP NLAN'!$F17)</f>
        <v/>
      </c>
      <c r="E461" s="38" t="str">
        <f>IF($A461="","",'TO HOP NLAN'!$B17)</f>
        <v/>
      </c>
      <c r="F461" s="38" t="str">
        <f>IF($A461="","",'TO HOP NLAN'!$C17)</f>
        <v/>
      </c>
      <c r="G461" s="38" t="str">
        <f t="shared" si="76"/>
        <v/>
      </c>
      <c r="H461" s="38" t="str">
        <f t="shared" si="69"/>
        <v/>
      </c>
      <c r="I461" s="38" t="str">
        <f t="shared" si="77"/>
        <v/>
      </c>
      <c r="J461" s="38" t="str">
        <f t="shared" si="78"/>
        <v/>
      </c>
      <c r="K461" s="38" t="str">
        <f t="shared" si="79"/>
        <v/>
      </c>
      <c r="L461" s="38" t="str">
        <f t="shared" si="80"/>
        <v/>
      </c>
      <c r="M461" s="38" t="str">
        <f>IF($A461="","",IF(H461=0,"",IF(Q461&lt;=0.000000001,MIN(0.8*0.75*'KT THAN'!$C$62,MAX('KT THAN'!$J$38:$J$58)),IFERROR(MIN(0.8*0.75*'KT THAN'!$C$62,INDEX('KT THAN'!$J$38:$J$58,MATCH(Q461,'KT THAN'!$L$38:$L$58,-1))+(INDEX('KT THAN'!$J$38:$J$58,MIN(21,MATCH(Q461,'KT THAN'!$L$38:$L$58,-1)+1))-INDEX('KT THAN'!$J$38:$J$58,MATCH(Q461,'KT THAN'!$L$38:$L$58,-1)))*(Q461-INDEX('KT THAN'!$L$38:$L$58,MATCH(Q461,'KT THAN'!$L$38:$L$58,-1)))/(INDEX('KT THAN'!$L$38:$L$58,MIN(21,MATCH(Q461,'KT THAN'!$L$38:$L$58,-1)+1))-INDEX('KT THAN'!$L$38:$L$58,MATCH(Q461,'KT THAN'!$L$38:$L$58,-1)))),MIN(0.8*0.75*'KT THAN'!$C$62,'KT THAN'!$C$68/Q461)))))</f>
        <v/>
      </c>
      <c r="N461" s="38" t="str">
        <f>IF($A461="","",IF(H461=0,"",IF(R461&lt;=0.000000001,MIN(0.8*0.75*'KT THAN'!$C$62,MAX('KT THAN'!$W$38:$W$58)),IFERROR(MIN(0.8*0.75*'KT THAN'!$C$62,INDEX('KT THAN'!$W$38:$W$58,MATCH(R461,'KT THAN'!$Y$38:$Y$58,-1))+(INDEX('KT THAN'!$W$38:$W$58,MIN(21,MATCH(R461,'KT THAN'!$Y$38:$Y$58,-1)+1))-INDEX('KT THAN'!$W$38:$W$58,MATCH(R461,'KT THAN'!$Y$38:$Y$58,-1)))*(R461-INDEX('KT THAN'!$Y$38:$Y$58,MATCH(R461,'KT THAN'!$Y$38:$Y$58,-1)))/(INDEX('KT THAN'!$Y$38:$Y$58,MIN(21,MATCH(R461,'KT THAN'!$Y$38:$Y$58,-1)+1))-INDEX('KT THAN'!$Y$38:$Y$58,MATCH(R461,'KT THAN'!$Y$38:$Y$58,-1)))),MIN(0.8*0.75*'KT THAN'!$C$62,'KT THAN'!$D$68/R461)))))</f>
        <v/>
      </c>
      <c r="O461" s="38" t="str">
        <f>IF($A461="","",IF(H461&lt;0,ABS(H461)/MAX('KT THAN'!$C$69,0.001)+'KT THAN'!$C$32*ABS(J461)/MAX('KT THAN'!$C$68,0.001)+'KT THAN'!$D$32*ABS(I461)/MAX('KT THAN'!$D$68,0.001),IF(OR(M461&lt;=0,N461&lt;=0),999,IF(H461&gt;=0.1*0.75*fc_*Agth*1000,H461/MAX(0.001,1/(1/M461+1/N461-1/(0.75*'KT THAN'!$C$62))),'KT THAN'!$C$32*ABS(J461)/MAX('KT THAN'!$C$68,0.001)+'KT THAN'!$D$32*ABS(I461)/MAX('KT THAN'!$D$68,0.001)))))</f>
        <v/>
      </c>
      <c r="P461" s="37" t="str">
        <f t="shared" si="81"/>
        <v/>
      </c>
      <c r="Q461" s="38" t="str">
        <f>IF($A461="","",MAX(0.001,'KT THAN'!$C$32*ABS(J461)/MAX(1,H461)))</f>
        <v/>
      </c>
      <c r="R461" s="38" t="str">
        <f>IF($A461="","",MAX(0.001,'KT THAN'!$D$32*ABS(I461)/MAX(1,H461)))</f>
        <v/>
      </c>
      <c r="S461" t="str">
        <f t="shared" si="75"/>
        <v/>
      </c>
    </row>
    <row r="462" spans="1:19" hidden="1" outlineLevel="1" x14ac:dyDescent="0.3">
      <c r="A462" s="37" t="str">
        <f>IF(OR(nThan=1,'TO HOP NLAN'!$A18=""),"",'TO HOP NLAN'!$A18)</f>
        <v/>
      </c>
      <c r="B462" s="38" t="str">
        <f>IF($A462="","",'TO HOP NLAN'!$D18)</f>
        <v/>
      </c>
      <c r="C462" s="38" t="str">
        <f>IF($A462="","",'TO HOP NLAN'!$E18)</f>
        <v/>
      </c>
      <c r="D462" s="38" t="str">
        <f>IF($A462="","",'TO HOP NLAN'!$F18)</f>
        <v/>
      </c>
      <c r="E462" s="38" t="str">
        <f>IF($A462="","",'TO HOP NLAN'!$B18)</f>
        <v/>
      </c>
      <c r="F462" s="38" t="str">
        <f>IF($A462="","",'TO HOP NLAN'!$C18)</f>
        <v/>
      </c>
      <c r="G462" s="38" t="str">
        <f t="shared" si="76"/>
        <v/>
      </c>
      <c r="H462" s="38" t="str">
        <f t="shared" si="69"/>
        <v/>
      </c>
      <c r="I462" s="38" t="str">
        <f t="shared" si="77"/>
        <v/>
      </c>
      <c r="J462" s="38" t="str">
        <f t="shared" si="78"/>
        <v/>
      </c>
      <c r="K462" s="38" t="str">
        <f t="shared" si="79"/>
        <v/>
      </c>
      <c r="L462" s="38" t="str">
        <f t="shared" si="80"/>
        <v/>
      </c>
      <c r="M462" s="38" t="str">
        <f>IF($A462="","",IF(H462=0,"",IF(Q462&lt;=0.000000001,MIN(0.8*0.75*'KT THAN'!$C$62,MAX('KT THAN'!$J$38:$J$58)),IFERROR(MIN(0.8*0.75*'KT THAN'!$C$62,INDEX('KT THAN'!$J$38:$J$58,MATCH(Q462,'KT THAN'!$L$38:$L$58,-1))+(INDEX('KT THAN'!$J$38:$J$58,MIN(21,MATCH(Q462,'KT THAN'!$L$38:$L$58,-1)+1))-INDEX('KT THAN'!$J$38:$J$58,MATCH(Q462,'KT THAN'!$L$38:$L$58,-1)))*(Q462-INDEX('KT THAN'!$L$38:$L$58,MATCH(Q462,'KT THAN'!$L$38:$L$58,-1)))/(INDEX('KT THAN'!$L$38:$L$58,MIN(21,MATCH(Q462,'KT THAN'!$L$38:$L$58,-1)+1))-INDEX('KT THAN'!$L$38:$L$58,MATCH(Q462,'KT THAN'!$L$38:$L$58,-1)))),MIN(0.8*0.75*'KT THAN'!$C$62,'KT THAN'!$C$68/Q462)))))</f>
        <v/>
      </c>
      <c r="N462" s="38" t="str">
        <f>IF($A462="","",IF(H462=0,"",IF(R462&lt;=0.000000001,MIN(0.8*0.75*'KT THAN'!$C$62,MAX('KT THAN'!$W$38:$W$58)),IFERROR(MIN(0.8*0.75*'KT THAN'!$C$62,INDEX('KT THAN'!$W$38:$W$58,MATCH(R462,'KT THAN'!$Y$38:$Y$58,-1))+(INDEX('KT THAN'!$W$38:$W$58,MIN(21,MATCH(R462,'KT THAN'!$Y$38:$Y$58,-1)+1))-INDEX('KT THAN'!$W$38:$W$58,MATCH(R462,'KT THAN'!$Y$38:$Y$58,-1)))*(R462-INDEX('KT THAN'!$Y$38:$Y$58,MATCH(R462,'KT THAN'!$Y$38:$Y$58,-1)))/(INDEX('KT THAN'!$Y$38:$Y$58,MIN(21,MATCH(R462,'KT THAN'!$Y$38:$Y$58,-1)+1))-INDEX('KT THAN'!$Y$38:$Y$58,MATCH(R462,'KT THAN'!$Y$38:$Y$58,-1)))),MIN(0.8*0.75*'KT THAN'!$C$62,'KT THAN'!$D$68/R462)))))</f>
        <v/>
      </c>
      <c r="O462" s="38" t="str">
        <f>IF($A462="","",IF(H462&lt;0,ABS(H462)/MAX('KT THAN'!$C$69,0.001)+'KT THAN'!$C$32*ABS(J462)/MAX('KT THAN'!$C$68,0.001)+'KT THAN'!$D$32*ABS(I462)/MAX('KT THAN'!$D$68,0.001),IF(OR(M462&lt;=0,N462&lt;=0),999,IF(H462&gt;=0.1*0.75*fc_*Agth*1000,H462/MAX(0.001,1/(1/M462+1/N462-1/(0.75*'KT THAN'!$C$62))),'KT THAN'!$C$32*ABS(J462)/MAX('KT THAN'!$C$68,0.001)+'KT THAN'!$D$32*ABS(I462)/MAX('KT THAN'!$D$68,0.001)))))</f>
        <v/>
      </c>
      <c r="P462" s="37" t="str">
        <f t="shared" si="81"/>
        <v/>
      </c>
      <c r="Q462" s="38" t="str">
        <f>IF($A462="","",MAX(0.001,'KT THAN'!$C$32*ABS(J462)/MAX(1,H462)))</f>
        <v/>
      </c>
      <c r="R462" s="38" t="str">
        <f>IF($A462="","",MAX(0.001,'KT THAN'!$D$32*ABS(I462)/MAX(1,H462)))</f>
        <v/>
      </c>
      <c r="S462" t="str">
        <f t="shared" si="75"/>
        <v/>
      </c>
    </row>
    <row r="463" spans="1:19" hidden="1" outlineLevel="1" x14ac:dyDescent="0.3">
      <c r="A463" s="37" t="str">
        <f>IF(OR(nThan=1,'TO HOP NLAN'!$A19=""),"",'TO HOP NLAN'!$A19)</f>
        <v/>
      </c>
      <c r="B463" s="38" t="str">
        <f>IF($A463="","",'TO HOP NLAN'!$D19)</f>
        <v/>
      </c>
      <c r="C463" s="38" t="str">
        <f>IF($A463="","",'TO HOP NLAN'!$E19)</f>
        <v/>
      </c>
      <c r="D463" s="38" t="str">
        <f>IF($A463="","",'TO HOP NLAN'!$F19)</f>
        <v/>
      </c>
      <c r="E463" s="38" t="str">
        <f>IF($A463="","",'TO HOP NLAN'!$B19)</f>
        <v/>
      </c>
      <c r="F463" s="38" t="str">
        <f>IF($A463="","",'TO HOP NLAN'!$C19)</f>
        <v/>
      </c>
      <c r="G463" s="38" t="str">
        <f t="shared" si="76"/>
        <v/>
      </c>
      <c r="H463" s="38" t="str">
        <f t="shared" si="69"/>
        <v/>
      </c>
      <c r="I463" s="38" t="str">
        <f t="shared" si="77"/>
        <v/>
      </c>
      <c r="J463" s="38" t="str">
        <f t="shared" si="78"/>
        <v/>
      </c>
      <c r="K463" s="38" t="str">
        <f t="shared" si="79"/>
        <v/>
      </c>
      <c r="L463" s="38" t="str">
        <f t="shared" si="80"/>
        <v/>
      </c>
      <c r="M463" s="38" t="str">
        <f>IF($A463="","",IF(H463=0,"",IF(Q463&lt;=0.000000001,MIN(0.8*0.75*'KT THAN'!$C$62,MAX('KT THAN'!$J$38:$J$58)),IFERROR(MIN(0.8*0.75*'KT THAN'!$C$62,INDEX('KT THAN'!$J$38:$J$58,MATCH(Q463,'KT THAN'!$L$38:$L$58,-1))+(INDEX('KT THAN'!$J$38:$J$58,MIN(21,MATCH(Q463,'KT THAN'!$L$38:$L$58,-1)+1))-INDEX('KT THAN'!$J$38:$J$58,MATCH(Q463,'KT THAN'!$L$38:$L$58,-1)))*(Q463-INDEX('KT THAN'!$L$38:$L$58,MATCH(Q463,'KT THAN'!$L$38:$L$58,-1)))/(INDEX('KT THAN'!$L$38:$L$58,MIN(21,MATCH(Q463,'KT THAN'!$L$38:$L$58,-1)+1))-INDEX('KT THAN'!$L$38:$L$58,MATCH(Q463,'KT THAN'!$L$38:$L$58,-1)))),MIN(0.8*0.75*'KT THAN'!$C$62,'KT THAN'!$C$68/Q463)))))</f>
        <v/>
      </c>
      <c r="N463" s="38" t="str">
        <f>IF($A463="","",IF(H463=0,"",IF(R463&lt;=0.000000001,MIN(0.8*0.75*'KT THAN'!$C$62,MAX('KT THAN'!$W$38:$W$58)),IFERROR(MIN(0.8*0.75*'KT THAN'!$C$62,INDEX('KT THAN'!$W$38:$W$58,MATCH(R463,'KT THAN'!$Y$38:$Y$58,-1))+(INDEX('KT THAN'!$W$38:$W$58,MIN(21,MATCH(R463,'KT THAN'!$Y$38:$Y$58,-1)+1))-INDEX('KT THAN'!$W$38:$W$58,MATCH(R463,'KT THAN'!$Y$38:$Y$58,-1)))*(R463-INDEX('KT THAN'!$Y$38:$Y$58,MATCH(R463,'KT THAN'!$Y$38:$Y$58,-1)))/(INDEX('KT THAN'!$Y$38:$Y$58,MIN(21,MATCH(R463,'KT THAN'!$Y$38:$Y$58,-1)+1))-INDEX('KT THAN'!$Y$38:$Y$58,MATCH(R463,'KT THAN'!$Y$38:$Y$58,-1)))),MIN(0.8*0.75*'KT THAN'!$C$62,'KT THAN'!$D$68/R463)))))</f>
        <v/>
      </c>
      <c r="O463" s="38" t="str">
        <f>IF($A463="","",IF(H463&lt;0,ABS(H463)/MAX('KT THAN'!$C$69,0.001)+'KT THAN'!$C$32*ABS(J463)/MAX('KT THAN'!$C$68,0.001)+'KT THAN'!$D$32*ABS(I463)/MAX('KT THAN'!$D$68,0.001),IF(OR(M463&lt;=0,N463&lt;=0),999,IF(H463&gt;=0.1*0.75*fc_*Agth*1000,H463/MAX(0.001,1/(1/M463+1/N463-1/(0.75*'KT THAN'!$C$62))),'KT THAN'!$C$32*ABS(J463)/MAX('KT THAN'!$C$68,0.001)+'KT THAN'!$D$32*ABS(I463)/MAX('KT THAN'!$D$68,0.001)))))</f>
        <v/>
      </c>
      <c r="P463" s="37" t="str">
        <f t="shared" si="81"/>
        <v/>
      </c>
      <c r="Q463" s="38" t="str">
        <f>IF($A463="","",MAX(0.001,'KT THAN'!$C$32*ABS(J463)/MAX(1,H463)))</f>
        <v/>
      </c>
      <c r="R463" s="38" t="str">
        <f>IF($A463="","",MAX(0.001,'KT THAN'!$D$32*ABS(I463)/MAX(1,H463)))</f>
        <v/>
      </c>
      <c r="S463" t="str">
        <f t="shared" si="75"/>
        <v/>
      </c>
    </row>
    <row r="464" spans="1:19" hidden="1" outlineLevel="1" x14ac:dyDescent="0.3">
      <c r="A464" s="37" t="str">
        <f>IF(OR(nThan=1,'TO HOP NLAN'!$A20=""),"",'TO HOP NLAN'!$A20)</f>
        <v/>
      </c>
      <c r="B464" s="38" t="str">
        <f>IF($A464="","",'TO HOP NLAN'!$D20)</f>
        <v/>
      </c>
      <c r="C464" s="38" t="str">
        <f>IF($A464="","",'TO HOP NLAN'!$E20)</f>
        <v/>
      </c>
      <c r="D464" s="38" t="str">
        <f>IF($A464="","",'TO HOP NLAN'!$F20)</f>
        <v/>
      </c>
      <c r="E464" s="38" t="str">
        <f>IF($A464="","",'TO HOP NLAN'!$B20)</f>
        <v/>
      </c>
      <c r="F464" s="38" t="str">
        <f>IF($A464="","",'TO HOP NLAN'!$C20)</f>
        <v/>
      </c>
      <c r="G464" s="38" t="str">
        <f t="shared" si="76"/>
        <v/>
      </c>
      <c r="H464" s="38" t="str">
        <f t="shared" si="69"/>
        <v/>
      </c>
      <c r="I464" s="38" t="str">
        <f t="shared" si="77"/>
        <v/>
      </c>
      <c r="J464" s="38" t="str">
        <f t="shared" si="78"/>
        <v/>
      </c>
      <c r="K464" s="38" t="str">
        <f t="shared" si="79"/>
        <v/>
      </c>
      <c r="L464" s="38" t="str">
        <f t="shared" si="80"/>
        <v/>
      </c>
      <c r="M464" s="38" t="str">
        <f>IF($A464="","",IF(H464=0,"",IF(Q464&lt;=0.000000001,MIN(0.8*0.75*'KT THAN'!$C$62,MAX('KT THAN'!$J$38:$J$58)),IFERROR(MIN(0.8*0.75*'KT THAN'!$C$62,INDEX('KT THAN'!$J$38:$J$58,MATCH(Q464,'KT THAN'!$L$38:$L$58,-1))+(INDEX('KT THAN'!$J$38:$J$58,MIN(21,MATCH(Q464,'KT THAN'!$L$38:$L$58,-1)+1))-INDEX('KT THAN'!$J$38:$J$58,MATCH(Q464,'KT THAN'!$L$38:$L$58,-1)))*(Q464-INDEX('KT THAN'!$L$38:$L$58,MATCH(Q464,'KT THAN'!$L$38:$L$58,-1)))/(INDEX('KT THAN'!$L$38:$L$58,MIN(21,MATCH(Q464,'KT THAN'!$L$38:$L$58,-1)+1))-INDEX('KT THAN'!$L$38:$L$58,MATCH(Q464,'KT THAN'!$L$38:$L$58,-1)))),MIN(0.8*0.75*'KT THAN'!$C$62,'KT THAN'!$C$68/Q464)))))</f>
        <v/>
      </c>
      <c r="N464" s="38" t="str">
        <f>IF($A464="","",IF(H464=0,"",IF(R464&lt;=0.000000001,MIN(0.8*0.75*'KT THAN'!$C$62,MAX('KT THAN'!$W$38:$W$58)),IFERROR(MIN(0.8*0.75*'KT THAN'!$C$62,INDEX('KT THAN'!$W$38:$W$58,MATCH(R464,'KT THAN'!$Y$38:$Y$58,-1))+(INDEX('KT THAN'!$W$38:$W$58,MIN(21,MATCH(R464,'KT THAN'!$Y$38:$Y$58,-1)+1))-INDEX('KT THAN'!$W$38:$W$58,MATCH(R464,'KT THAN'!$Y$38:$Y$58,-1)))*(R464-INDEX('KT THAN'!$Y$38:$Y$58,MATCH(R464,'KT THAN'!$Y$38:$Y$58,-1)))/(INDEX('KT THAN'!$Y$38:$Y$58,MIN(21,MATCH(R464,'KT THAN'!$Y$38:$Y$58,-1)+1))-INDEX('KT THAN'!$Y$38:$Y$58,MATCH(R464,'KT THAN'!$Y$38:$Y$58,-1)))),MIN(0.8*0.75*'KT THAN'!$C$62,'KT THAN'!$D$68/R464)))))</f>
        <v/>
      </c>
      <c r="O464" s="38" t="str">
        <f>IF($A464="","",IF(H464&lt;0,ABS(H464)/MAX('KT THAN'!$C$69,0.001)+'KT THAN'!$C$32*ABS(J464)/MAX('KT THAN'!$C$68,0.001)+'KT THAN'!$D$32*ABS(I464)/MAX('KT THAN'!$D$68,0.001),IF(OR(M464&lt;=0,N464&lt;=0),999,IF(H464&gt;=0.1*0.75*fc_*Agth*1000,H464/MAX(0.001,1/(1/M464+1/N464-1/(0.75*'KT THAN'!$C$62))),'KT THAN'!$C$32*ABS(J464)/MAX('KT THAN'!$C$68,0.001)+'KT THAN'!$D$32*ABS(I464)/MAX('KT THAN'!$D$68,0.001)))))</f>
        <v/>
      </c>
      <c r="P464" s="37" t="str">
        <f t="shared" si="81"/>
        <v/>
      </c>
      <c r="Q464" s="38" t="str">
        <f>IF($A464="","",MAX(0.001,'KT THAN'!$C$32*ABS(J464)/MAX(1,H464)))</f>
        <v/>
      </c>
      <c r="R464" s="38" t="str">
        <f>IF($A464="","",MAX(0.001,'KT THAN'!$D$32*ABS(I464)/MAX(1,H464)))</f>
        <v/>
      </c>
      <c r="S464" t="str">
        <f t="shared" si="75"/>
        <v/>
      </c>
    </row>
    <row r="465" spans="1:19" hidden="1" outlineLevel="1" x14ac:dyDescent="0.3">
      <c r="A465" s="37" t="str">
        <f>IF(OR(nThan=1,'TO HOP NLAN'!$A21=""),"",'TO HOP NLAN'!$A21)</f>
        <v/>
      </c>
      <c r="B465" s="38" t="str">
        <f>IF($A465="","",'TO HOP NLAN'!$D21)</f>
        <v/>
      </c>
      <c r="C465" s="38" t="str">
        <f>IF($A465="","",'TO HOP NLAN'!$E21)</f>
        <v/>
      </c>
      <c r="D465" s="38" t="str">
        <f>IF($A465="","",'TO HOP NLAN'!$F21)</f>
        <v/>
      </c>
      <c r="E465" s="38" t="str">
        <f>IF($A465="","",'TO HOP NLAN'!$B21)</f>
        <v/>
      </c>
      <c r="F465" s="38" t="str">
        <f>IF($A465="","",'TO HOP NLAN'!$C21)</f>
        <v/>
      </c>
      <c r="G465" s="38" t="str">
        <f t="shared" si="76"/>
        <v/>
      </c>
      <c r="H465" s="38" t="str">
        <f t="shared" si="69"/>
        <v/>
      </c>
      <c r="I465" s="38" t="str">
        <f t="shared" si="77"/>
        <v/>
      </c>
      <c r="J465" s="38" t="str">
        <f t="shared" si="78"/>
        <v/>
      </c>
      <c r="K465" s="38" t="str">
        <f t="shared" si="79"/>
        <v/>
      </c>
      <c r="L465" s="38" t="str">
        <f t="shared" si="80"/>
        <v/>
      </c>
      <c r="M465" s="38" t="str">
        <f>IF($A465="","",IF(H465=0,"",IF(Q465&lt;=0.000000001,MIN(0.8*0.75*'KT THAN'!$C$62,MAX('KT THAN'!$J$38:$J$58)),IFERROR(MIN(0.8*0.75*'KT THAN'!$C$62,INDEX('KT THAN'!$J$38:$J$58,MATCH(Q465,'KT THAN'!$L$38:$L$58,-1))+(INDEX('KT THAN'!$J$38:$J$58,MIN(21,MATCH(Q465,'KT THAN'!$L$38:$L$58,-1)+1))-INDEX('KT THAN'!$J$38:$J$58,MATCH(Q465,'KT THAN'!$L$38:$L$58,-1)))*(Q465-INDEX('KT THAN'!$L$38:$L$58,MATCH(Q465,'KT THAN'!$L$38:$L$58,-1)))/(INDEX('KT THAN'!$L$38:$L$58,MIN(21,MATCH(Q465,'KT THAN'!$L$38:$L$58,-1)+1))-INDEX('KT THAN'!$L$38:$L$58,MATCH(Q465,'KT THAN'!$L$38:$L$58,-1)))),MIN(0.8*0.75*'KT THAN'!$C$62,'KT THAN'!$C$68/Q465)))))</f>
        <v/>
      </c>
      <c r="N465" s="38" t="str">
        <f>IF($A465="","",IF(H465=0,"",IF(R465&lt;=0.000000001,MIN(0.8*0.75*'KT THAN'!$C$62,MAX('KT THAN'!$W$38:$W$58)),IFERROR(MIN(0.8*0.75*'KT THAN'!$C$62,INDEX('KT THAN'!$W$38:$W$58,MATCH(R465,'KT THAN'!$Y$38:$Y$58,-1))+(INDEX('KT THAN'!$W$38:$W$58,MIN(21,MATCH(R465,'KT THAN'!$Y$38:$Y$58,-1)+1))-INDEX('KT THAN'!$W$38:$W$58,MATCH(R465,'KT THAN'!$Y$38:$Y$58,-1)))*(R465-INDEX('KT THAN'!$Y$38:$Y$58,MATCH(R465,'KT THAN'!$Y$38:$Y$58,-1)))/(INDEX('KT THAN'!$Y$38:$Y$58,MIN(21,MATCH(R465,'KT THAN'!$Y$38:$Y$58,-1)+1))-INDEX('KT THAN'!$Y$38:$Y$58,MATCH(R465,'KT THAN'!$Y$38:$Y$58,-1)))),MIN(0.8*0.75*'KT THAN'!$C$62,'KT THAN'!$D$68/R465)))))</f>
        <v/>
      </c>
      <c r="O465" s="38" t="str">
        <f>IF($A465="","",IF(H465&lt;0,ABS(H465)/MAX('KT THAN'!$C$69,0.001)+'KT THAN'!$C$32*ABS(J465)/MAX('KT THAN'!$C$68,0.001)+'KT THAN'!$D$32*ABS(I465)/MAX('KT THAN'!$D$68,0.001),IF(OR(M465&lt;=0,N465&lt;=0),999,IF(H465&gt;=0.1*0.75*fc_*Agth*1000,H465/MAX(0.001,1/(1/M465+1/N465-1/(0.75*'KT THAN'!$C$62))),'KT THAN'!$C$32*ABS(J465)/MAX('KT THAN'!$C$68,0.001)+'KT THAN'!$D$32*ABS(I465)/MAX('KT THAN'!$D$68,0.001)))))</f>
        <v/>
      </c>
      <c r="P465" s="37" t="str">
        <f t="shared" si="81"/>
        <v/>
      </c>
      <c r="Q465" s="38" t="str">
        <f>IF($A465="","",MAX(0.001,'KT THAN'!$C$32*ABS(J465)/MAX(1,H465)))</f>
        <v/>
      </c>
      <c r="R465" s="38" t="str">
        <f>IF($A465="","",MAX(0.001,'KT THAN'!$D$32*ABS(I465)/MAX(1,H465)))</f>
        <v/>
      </c>
      <c r="S465" t="str">
        <f t="shared" si="75"/>
        <v/>
      </c>
    </row>
    <row r="466" spans="1:19" hidden="1" outlineLevel="1" x14ac:dyDescent="0.3">
      <c r="A466" s="37" t="str">
        <f>IF(OR(nThan=1,'TO HOP NLAN'!$A22=""),"",'TO HOP NLAN'!$A22)</f>
        <v/>
      </c>
      <c r="B466" s="38" t="str">
        <f>IF($A466="","",'TO HOP NLAN'!$D22)</f>
        <v/>
      </c>
      <c r="C466" s="38" t="str">
        <f>IF($A466="","",'TO HOP NLAN'!$E22)</f>
        <v/>
      </c>
      <c r="D466" s="38" t="str">
        <f>IF($A466="","",'TO HOP NLAN'!$F22)</f>
        <v/>
      </c>
      <c r="E466" s="38" t="str">
        <f>IF($A466="","",'TO HOP NLAN'!$B22)</f>
        <v/>
      </c>
      <c r="F466" s="38" t="str">
        <f>IF($A466="","",'TO HOP NLAN'!$C22)</f>
        <v/>
      </c>
      <c r="G466" s="38" t="str">
        <f t="shared" si="76"/>
        <v/>
      </c>
      <c r="H466" s="38" t="str">
        <f t="shared" si="69"/>
        <v/>
      </c>
      <c r="I466" s="38" t="str">
        <f t="shared" si="77"/>
        <v/>
      </c>
      <c r="J466" s="38" t="str">
        <f t="shared" si="78"/>
        <v/>
      </c>
      <c r="K466" s="38" t="str">
        <f t="shared" si="79"/>
        <v/>
      </c>
      <c r="L466" s="38" t="str">
        <f t="shared" si="80"/>
        <v/>
      </c>
      <c r="M466" s="38" t="str">
        <f>IF($A466="","",IF(H466=0,"",IF(Q466&lt;=0.000000001,MIN(0.8*0.75*'KT THAN'!$C$62,MAX('KT THAN'!$J$38:$J$58)),IFERROR(MIN(0.8*0.75*'KT THAN'!$C$62,INDEX('KT THAN'!$J$38:$J$58,MATCH(Q466,'KT THAN'!$L$38:$L$58,-1))+(INDEX('KT THAN'!$J$38:$J$58,MIN(21,MATCH(Q466,'KT THAN'!$L$38:$L$58,-1)+1))-INDEX('KT THAN'!$J$38:$J$58,MATCH(Q466,'KT THAN'!$L$38:$L$58,-1)))*(Q466-INDEX('KT THAN'!$L$38:$L$58,MATCH(Q466,'KT THAN'!$L$38:$L$58,-1)))/(INDEX('KT THAN'!$L$38:$L$58,MIN(21,MATCH(Q466,'KT THAN'!$L$38:$L$58,-1)+1))-INDEX('KT THAN'!$L$38:$L$58,MATCH(Q466,'KT THAN'!$L$38:$L$58,-1)))),MIN(0.8*0.75*'KT THAN'!$C$62,'KT THAN'!$C$68/Q466)))))</f>
        <v/>
      </c>
      <c r="N466" s="38" t="str">
        <f>IF($A466="","",IF(H466=0,"",IF(R466&lt;=0.000000001,MIN(0.8*0.75*'KT THAN'!$C$62,MAX('KT THAN'!$W$38:$W$58)),IFERROR(MIN(0.8*0.75*'KT THAN'!$C$62,INDEX('KT THAN'!$W$38:$W$58,MATCH(R466,'KT THAN'!$Y$38:$Y$58,-1))+(INDEX('KT THAN'!$W$38:$W$58,MIN(21,MATCH(R466,'KT THAN'!$Y$38:$Y$58,-1)+1))-INDEX('KT THAN'!$W$38:$W$58,MATCH(R466,'KT THAN'!$Y$38:$Y$58,-1)))*(R466-INDEX('KT THAN'!$Y$38:$Y$58,MATCH(R466,'KT THAN'!$Y$38:$Y$58,-1)))/(INDEX('KT THAN'!$Y$38:$Y$58,MIN(21,MATCH(R466,'KT THAN'!$Y$38:$Y$58,-1)+1))-INDEX('KT THAN'!$Y$38:$Y$58,MATCH(R466,'KT THAN'!$Y$38:$Y$58,-1)))),MIN(0.8*0.75*'KT THAN'!$C$62,'KT THAN'!$D$68/R466)))))</f>
        <v/>
      </c>
      <c r="O466" s="38" t="str">
        <f>IF($A466="","",IF(H466&lt;0,ABS(H466)/MAX('KT THAN'!$C$69,0.001)+'KT THAN'!$C$32*ABS(J466)/MAX('KT THAN'!$C$68,0.001)+'KT THAN'!$D$32*ABS(I466)/MAX('KT THAN'!$D$68,0.001),IF(OR(M466&lt;=0,N466&lt;=0),999,IF(H466&gt;=0.1*0.75*fc_*Agth*1000,H466/MAX(0.001,1/(1/M466+1/N466-1/(0.75*'KT THAN'!$C$62))),'KT THAN'!$C$32*ABS(J466)/MAX('KT THAN'!$C$68,0.001)+'KT THAN'!$D$32*ABS(I466)/MAX('KT THAN'!$D$68,0.001)))))</f>
        <v/>
      </c>
      <c r="P466" s="37" t="str">
        <f t="shared" si="81"/>
        <v/>
      </c>
      <c r="Q466" s="38" t="str">
        <f>IF($A466="","",MAX(0.001,'KT THAN'!$C$32*ABS(J466)/MAX(1,H466)))</f>
        <v/>
      </c>
      <c r="R466" s="38" t="str">
        <f>IF($A466="","",MAX(0.001,'KT THAN'!$D$32*ABS(I466)/MAX(1,H466)))</f>
        <v/>
      </c>
      <c r="S466" t="str">
        <f t="shared" si="75"/>
        <v/>
      </c>
    </row>
    <row r="467" spans="1:19" hidden="1" outlineLevel="1" x14ac:dyDescent="0.3">
      <c r="A467" s="37" t="str">
        <f>IF(OR(nThan=1,'TO HOP NLAN'!$A23=""),"",'TO HOP NLAN'!$A23)</f>
        <v/>
      </c>
      <c r="B467" s="38" t="str">
        <f>IF($A467="","",'TO HOP NLAN'!$D23)</f>
        <v/>
      </c>
      <c r="C467" s="38" t="str">
        <f>IF($A467="","",'TO HOP NLAN'!$E23)</f>
        <v/>
      </c>
      <c r="D467" s="38" t="str">
        <f>IF($A467="","",'TO HOP NLAN'!$F23)</f>
        <v/>
      </c>
      <c r="E467" s="38" t="str">
        <f>IF($A467="","",'TO HOP NLAN'!$B23)</f>
        <v/>
      </c>
      <c r="F467" s="38" t="str">
        <f>IF($A467="","",'TO HOP NLAN'!$C23)</f>
        <v/>
      </c>
      <c r="G467" s="38" t="str">
        <f t="shared" si="76"/>
        <v/>
      </c>
      <c r="H467" s="38" t="str">
        <f t="shared" si="69"/>
        <v/>
      </c>
      <c r="I467" s="38" t="str">
        <f t="shared" si="77"/>
        <v/>
      </c>
      <c r="J467" s="38" t="str">
        <f t="shared" si="78"/>
        <v/>
      </c>
      <c r="K467" s="38" t="str">
        <f t="shared" si="79"/>
        <v/>
      </c>
      <c r="L467" s="38" t="str">
        <f t="shared" si="80"/>
        <v/>
      </c>
      <c r="M467" s="38" t="str">
        <f>IF($A467="","",IF(H467=0,"",IF(Q467&lt;=0.000000001,MIN(0.8*0.75*'KT THAN'!$C$62,MAX('KT THAN'!$J$38:$J$58)),IFERROR(MIN(0.8*0.75*'KT THAN'!$C$62,INDEX('KT THAN'!$J$38:$J$58,MATCH(Q467,'KT THAN'!$L$38:$L$58,-1))+(INDEX('KT THAN'!$J$38:$J$58,MIN(21,MATCH(Q467,'KT THAN'!$L$38:$L$58,-1)+1))-INDEX('KT THAN'!$J$38:$J$58,MATCH(Q467,'KT THAN'!$L$38:$L$58,-1)))*(Q467-INDEX('KT THAN'!$L$38:$L$58,MATCH(Q467,'KT THAN'!$L$38:$L$58,-1)))/(INDEX('KT THAN'!$L$38:$L$58,MIN(21,MATCH(Q467,'KT THAN'!$L$38:$L$58,-1)+1))-INDEX('KT THAN'!$L$38:$L$58,MATCH(Q467,'KT THAN'!$L$38:$L$58,-1)))),MIN(0.8*0.75*'KT THAN'!$C$62,'KT THAN'!$C$68/Q467)))))</f>
        <v/>
      </c>
      <c r="N467" s="38" t="str">
        <f>IF($A467="","",IF(H467=0,"",IF(R467&lt;=0.000000001,MIN(0.8*0.75*'KT THAN'!$C$62,MAX('KT THAN'!$W$38:$W$58)),IFERROR(MIN(0.8*0.75*'KT THAN'!$C$62,INDEX('KT THAN'!$W$38:$W$58,MATCH(R467,'KT THAN'!$Y$38:$Y$58,-1))+(INDEX('KT THAN'!$W$38:$W$58,MIN(21,MATCH(R467,'KT THAN'!$Y$38:$Y$58,-1)+1))-INDEX('KT THAN'!$W$38:$W$58,MATCH(R467,'KT THAN'!$Y$38:$Y$58,-1)))*(R467-INDEX('KT THAN'!$Y$38:$Y$58,MATCH(R467,'KT THAN'!$Y$38:$Y$58,-1)))/(INDEX('KT THAN'!$Y$38:$Y$58,MIN(21,MATCH(R467,'KT THAN'!$Y$38:$Y$58,-1)+1))-INDEX('KT THAN'!$Y$38:$Y$58,MATCH(R467,'KT THAN'!$Y$38:$Y$58,-1)))),MIN(0.8*0.75*'KT THAN'!$C$62,'KT THAN'!$D$68/R467)))))</f>
        <v/>
      </c>
      <c r="O467" s="38" t="str">
        <f>IF($A467="","",IF(H467&lt;0,ABS(H467)/MAX('KT THAN'!$C$69,0.001)+'KT THAN'!$C$32*ABS(J467)/MAX('KT THAN'!$C$68,0.001)+'KT THAN'!$D$32*ABS(I467)/MAX('KT THAN'!$D$68,0.001),IF(OR(M467&lt;=0,N467&lt;=0),999,IF(H467&gt;=0.1*0.75*fc_*Agth*1000,H467/MAX(0.001,1/(1/M467+1/N467-1/(0.75*'KT THAN'!$C$62))),'KT THAN'!$C$32*ABS(J467)/MAX('KT THAN'!$C$68,0.001)+'KT THAN'!$D$32*ABS(I467)/MAX('KT THAN'!$D$68,0.001)))))</f>
        <v/>
      </c>
      <c r="P467" s="37" t="str">
        <f t="shared" si="81"/>
        <v/>
      </c>
      <c r="Q467" s="38" t="str">
        <f>IF($A467="","",MAX(0.001,'KT THAN'!$C$32*ABS(J467)/MAX(1,H467)))</f>
        <v/>
      </c>
      <c r="R467" s="38" t="str">
        <f>IF($A467="","",MAX(0.001,'KT THAN'!$D$32*ABS(I467)/MAX(1,H467)))</f>
        <v/>
      </c>
      <c r="S467" t="str">
        <f t="shared" si="75"/>
        <v/>
      </c>
    </row>
    <row r="468" spans="1:19" hidden="1" outlineLevel="1" x14ac:dyDescent="0.3">
      <c r="A468" s="37" t="str">
        <f>IF(OR(nThan=1,'TO HOP NLAN'!$A24=""),"",'TO HOP NLAN'!$A24)</f>
        <v/>
      </c>
      <c r="B468" s="38" t="str">
        <f>IF($A468="","",'TO HOP NLAN'!$D24)</f>
        <v/>
      </c>
      <c r="C468" s="38" t="str">
        <f>IF($A468="","",'TO HOP NLAN'!$E24)</f>
        <v/>
      </c>
      <c r="D468" s="38" t="str">
        <f>IF($A468="","",'TO HOP NLAN'!$F24)</f>
        <v/>
      </c>
      <c r="E468" s="38" t="str">
        <f>IF($A468="","",'TO HOP NLAN'!$B24)</f>
        <v/>
      </c>
      <c r="F468" s="38" t="str">
        <f>IF($A468="","",'TO HOP NLAN'!$C24)</f>
        <v/>
      </c>
      <c r="G468" s="38" t="str">
        <f t="shared" si="76"/>
        <v/>
      </c>
      <c r="H468" s="38" t="str">
        <f t="shared" si="69"/>
        <v/>
      </c>
      <c r="I468" s="38" t="str">
        <f t="shared" si="77"/>
        <v/>
      </c>
      <c r="J468" s="38" t="str">
        <f t="shared" si="78"/>
        <v/>
      </c>
      <c r="K468" s="38" t="str">
        <f t="shared" si="79"/>
        <v/>
      </c>
      <c r="L468" s="38" t="str">
        <f t="shared" si="80"/>
        <v/>
      </c>
      <c r="M468" s="38" t="str">
        <f>IF($A468="","",IF(H468=0,"",IF(Q468&lt;=0.000000001,MIN(0.8*0.75*'KT THAN'!$C$62,MAX('KT THAN'!$J$38:$J$58)),IFERROR(MIN(0.8*0.75*'KT THAN'!$C$62,INDEX('KT THAN'!$J$38:$J$58,MATCH(Q468,'KT THAN'!$L$38:$L$58,-1))+(INDEX('KT THAN'!$J$38:$J$58,MIN(21,MATCH(Q468,'KT THAN'!$L$38:$L$58,-1)+1))-INDEX('KT THAN'!$J$38:$J$58,MATCH(Q468,'KT THAN'!$L$38:$L$58,-1)))*(Q468-INDEX('KT THAN'!$L$38:$L$58,MATCH(Q468,'KT THAN'!$L$38:$L$58,-1)))/(INDEX('KT THAN'!$L$38:$L$58,MIN(21,MATCH(Q468,'KT THAN'!$L$38:$L$58,-1)+1))-INDEX('KT THAN'!$L$38:$L$58,MATCH(Q468,'KT THAN'!$L$38:$L$58,-1)))),MIN(0.8*0.75*'KT THAN'!$C$62,'KT THAN'!$C$68/Q468)))))</f>
        <v/>
      </c>
      <c r="N468" s="38" t="str">
        <f>IF($A468="","",IF(H468=0,"",IF(R468&lt;=0.000000001,MIN(0.8*0.75*'KT THAN'!$C$62,MAX('KT THAN'!$W$38:$W$58)),IFERROR(MIN(0.8*0.75*'KT THAN'!$C$62,INDEX('KT THAN'!$W$38:$W$58,MATCH(R468,'KT THAN'!$Y$38:$Y$58,-1))+(INDEX('KT THAN'!$W$38:$W$58,MIN(21,MATCH(R468,'KT THAN'!$Y$38:$Y$58,-1)+1))-INDEX('KT THAN'!$W$38:$W$58,MATCH(R468,'KT THAN'!$Y$38:$Y$58,-1)))*(R468-INDEX('KT THAN'!$Y$38:$Y$58,MATCH(R468,'KT THAN'!$Y$38:$Y$58,-1)))/(INDEX('KT THAN'!$Y$38:$Y$58,MIN(21,MATCH(R468,'KT THAN'!$Y$38:$Y$58,-1)+1))-INDEX('KT THAN'!$Y$38:$Y$58,MATCH(R468,'KT THAN'!$Y$38:$Y$58,-1)))),MIN(0.8*0.75*'KT THAN'!$C$62,'KT THAN'!$D$68/R468)))))</f>
        <v/>
      </c>
      <c r="O468" s="38" t="str">
        <f>IF($A468="","",IF(H468&lt;0,ABS(H468)/MAX('KT THAN'!$C$69,0.001)+'KT THAN'!$C$32*ABS(J468)/MAX('KT THAN'!$C$68,0.001)+'KT THAN'!$D$32*ABS(I468)/MAX('KT THAN'!$D$68,0.001),IF(OR(M468&lt;=0,N468&lt;=0),999,IF(H468&gt;=0.1*0.75*fc_*Agth*1000,H468/MAX(0.001,1/(1/M468+1/N468-1/(0.75*'KT THAN'!$C$62))),'KT THAN'!$C$32*ABS(J468)/MAX('KT THAN'!$C$68,0.001)+'KT THAN'!$D$32*ABS(I468)/MAX('KT THAN'!$D$68,0.001)))))</f>
        <v/>
      </c>
      <c r="P468" s="37" t="str">
        <f t="shared" si="81"/>
        <v/>
      </c>
      <c r="Q468" s="38" t="str">
        <f>IF($A468="","",MAX(0.001,'KT THAN'!$C$32*ABS(J468)/MAX(1,H468)))</f>
        <v/>
      </c>
      <c r="R468" s="38" t="str">
        <f>IF($A468="","",MAX(0.001,'KT THAN'!$D$32*ABS(I468)/MAX(1,H468)))</f>
        <v/>
      </c>
      <c r="S468" t="str">
        <f t="shared" si="75"/>
        <v/>
      </c>
    </row>
    <row r="469" spans="1:19" hidden="1" outlineLevel="1" x14ac:dyDescent="0.3">
      <c r="A469" s="37" t="str">
        <f>IF(OR(nThan=1,'TO HOP NLAN'!$A25=""),"",'TO HOP NLAN'!$A25)</f>
        <v/>
      </c>
      <c r="B469" s="38" t="str">
        <f>IF($A469="","",'TO HOP NLAN'!$D25)</f>
        <v/>
      </c>
      <c r="C469" s="38" t="str">
        <f>IF($A469="","",'TO HOP NLAN'!$E25)</f>
        <v/>
      </c>
      <c r="D469" s="38" t="str">
        <f>IF($A469="","",'TO HOP NLAN'!$F25)</f>
        <v/>
      </c>
      <c r="E469" s="38" t="str">
        <f>IF($A469="","",'TO HOP NLAN'!$B25)</f>
        <v/>
      </c>
      <c r="F469" s="38" t="str">
        <f>IF($A469="","",'TO HOP NLAN'!$C25)</f>
        <v/>
      </c>
      <c r="G469" s="38" t="str">
        <f t="shared" si="76"/>
        <v/>
      </c>
      <c r="H469" s="38" t="str">
        <f t="shared" si="69"/>
        <v/>
      </c>
      <c r="I469" s="38" t="str">
        <f t="shared" si="77"/>
        <v/>
      </c>
      <c r="J469" s="38" t="str">
        <f t="shared" si="78"/>
        <v/>
      </c>
      <c r="K469" s="38" t="str">
        <f t="shared" si="79"/>
        <v/>
      </c>
      <c r="L469" s="38" t="str">
        <f t="shared" si="80"/>
        <v/>
      </c>
      <c r="M469" s="38" t="str">
        <f>IF($A469="","",IF(H469=0,"",IF(Q469&lt;=0.000000001,MIN(0.8*0.75*'KT THAN'!$C$62,MAX('KT THAN'!$J$38:$J$58)),IFERROR(MIN(0.8*0.75*'KT THAN'!$C$62,INDEX('KT THAN'!$J$38:$J$58,MATCH(Q469,'KT THAN'!$L$38:$L$58,-1))+(INDEX('KT THAN'!$J$38:$J$58,MIN(21,MATCH(Q469,'KT THAN'!$L$38:$L$58,-1)+1))-INDEX('KT THAN'!$J$38:$J$58,MATCH(Q469,'KT THAN'!$L$38:$L$58,-1)))*(Q469-INDEX('KT THAN'!$L$38:$L$58,MATCH(Q469,'KT THAN'!$L$38:$L$58,-1)))/(INDEX('KT THAN'!$L$38:$L$58,MIN(21,MATCH(Q469,'KT THAN'!$L$38:$L$58,-1)+1))-INDEX('KT THAN'!$L$38:$L$58,MATCH(Q469,'KT THAN'!$L$38:$L$58,-1)))),MIN(0.8*0.75*'KT THAN'!$C$62,'KT THAN'!$C$68/Q469)))))</f>
        <v/>
      </c>
      <c r="N469" s="38" t="str">
        <f>IF($A469="","",IF(H469=0,"",IF(R469&lt;=0.000000001,MIN(0.8*0.75*'KT THAN'!$C$62,MAX('KT THAN'!$W$38:$W$58)),IFERROR(MIN(0.8*0.75*'KT THAN'!$C$62,INDEX('KT THAN'!$W$38:$W$58,MATCH(R469,'KT THAN'!$Y$38:$Y$58,-1))+(INDEX('KT THAN'!$W$38:$W$58,MIN(21,MATCH(R469,'KT THAN'!$Y$38:$Y$58,-1)+1))-INDEX('KT THAN'!$W$38:$W$58,MATCH(R469,'KT THAN'!$Y$38:$Y$58,-1)))*(R469-INDEX('KT THAN'!$Y$38:$Y$58,MATCH(R469,'KT THAN'!$Y$38:$Y$58,-1)))/(INDEX('KT THAN'!$Y$38:$Y$58,MIN(21,MATCH(R469,'KT THAN'!$Y$38:$Y$58,-1)+1))-INDEX('KT THAN'!$Y$38:$Y$58,MATCH(R469,'KT THAN'!$Y$38:$Y$58,-1)))),MIN(0.8*0.75*'KT THAN'!$C$62,'KT THAN'!$D$68/R469)))))</f>
        <v/>
      </c>
      <c r="O469" s="38" t="str">
        <f>IF($A469="","",IF(H469&lt;0,ABS(H469)/MAX('KT THAN'!$C$69,0.001)+'KT THAN'!$C$32*ABS(J469)/MAX('KT THAN'!$C$68,0.001)+'KT THAN'!$D$32*ABS(I469)/MAX('KT THAN'!$D$68,0.001),IF(OR(M469&lt;=0,N469&lt;=0),999,IF(H469&gt;=0.1*0.75*fc_*Agth*1000,H469/MAX(0.001,1/(1/M469+1/N469-1/(0.75*'KT THAN'!$C$62))),'KT THAN'!$C$32*ABS(J469)/MAX('KT THAN'!$C$68,0.001)+'KT THAN'!$D$32*ABS(I469)/MAX('KT THAN'!$D$68,0.001)))))</f>
        <v/>
      </c>
      <c r="P469" s="37" t="str">
        <f t="shared" si="81"/>
        <v/>
      </c>
      <c r="Q469" s="38" t="str">
        <f>IF($A469="","",MAX(0.001,'KT THAN'!$C$32*ABS(J469)/MAX(1,H469)))</f>
        <v/>
      </c>
      <c r="R469" s="38" t="str">
        <f>IF($A469="","",MAX(0.001,'KT THAN'!$D$32*ABS(I469)/MAX(1,H469)))</f>
        <v/>
      </c>
      <c r="S469" t="str">
        <f t="shared" si="75"/>
        <v/>
      </c>
    </row>
    <row r="470" spans="1:19" hidden="1" outlineLevel="1" x14ac:dyDescent="0.3">
      <c r="A470" s="37" t="str">
        <f>IF(OR(nThan=1,'TO HOP NLAN'!$A26=""),"",'TO HOP NLAN'!$A26)</f>
        <v/>
      </c>
      <c r="B470" s="38" t="str">
        <f>IF($A470="","",'TO HOP NLAN'!$D26)</f>
        <v/>
      </c>
      <c r="C470" s="38" t="str">
        <f>IF($A470="","",'TO HOP NLAN'!$E26)</f>
        <v/>
      </c>
      <c r="D470" s="38" t="str">
        <f>IF($A470="","",'TO HOP NLAN'!$F26)</f>
        <v/>
      </c>
      <c r="E470" s="38" t="str">
        <f>IF($A470="","",'TO HOP NLAN'!$B26)</f>
        <v/>
      </c>
      <c r="F470" s="38" t="str">
        <f>IF($A470="","",'TO HOP NLAN'!$C26)</f>
        <v/>
      </c>
      <c r="G470" s="38" t="str">
        <f t="shared" si="76"/>
        <v/>
      </c>
      <c r="H470" s="38" t="str">
        <f t="shared" si="69"/>
        <v/>
      </c>
      <c r="I470" s="38" t="str">
        <f t="shared" si="77"/>
        <v/>
      </c>
      <c r="J470" s="38" t="str">
        <f t="shared" si="78"/>
        <v/>
      </c>
      <c r="K470" s="38" t="str">
        <f t="shared" si="79"/>
        <v/>
      </c>
      <c r="L470" s="38" t="str">
        <f t="shared" si="80"/>
        <v/>
      </c>
      <c r="M470" s="38" t="str">
        <f>IF($A470="","",IF(H470=0,"",IF(Q470&lt;=0.000000001,MIN(0.8*0.75*'KT THAN'!$C$62,MAX('KT THAN'!$J$38:$J$58)),IFERROR(MIN(0.8*0.75*'KT THAN'!$C$62,INDEX('KT THAN'!$J$38:$J$58,MATCH(Q470,'KT THAN'!$L$38:$L$58,-1))+(INDEX('KT THAN'!$J$38:$J$58,MIN(21,MATCH(Q470,'KT THAN'!$L$38:$L$58,-1)+1))-INDEX('KT THAN'!$J$38:$J$58,MATCH(Q470,'KT THAN'!$L$38:$L$58,-1)))*(Q470-INDEX('KT THAN'!$L$38:$L$58,MATCH(Q470,'KT THAN'!$L$38:$L$58,-1)))/(INDEX('KT THAN'!$L$38:$L$58,MIN(21,MATCH(Q470,'KT THAN'!$L$38:$L$58,-1)+1))-INDEX('KT THAN'!$L$38:$L$58,MATCH(Q470,'KT THAN'!$L$38:$L$58,-1)))),MIN(0.8*0.75*'KT THAN'!$C$62,'KT THAN'!$C$68/Q470)))))</f>
        <v/>
      </c>
      <c r="N470" s="38" t="str">
        <f>IF($A470="","",IF(H470=0,"",IF(R470&lt;=0.000000001,MIN(0.8*0.75*'KT THAN'!$C$62,MAX('KT THAN'!$W$38:$W$58)),IFERROR(MIN(0.8*0.75*'KT THAN'!$C$62,INDEX('KT THAN'!$W$38:$W$58,MATCH(R470,'KT THAN'!$Y$38:$Y$58,-1))+(INDEX('KT THAN'!$W$38:$W$58,MIN(21,MATCH(R470,'KT THAN'!$Y$38:$Y$58,-1)+1))-INDEX('KT THAN'!$W$38:$W$58,MATCH(R470,'KT THAN'!$Y$38:$Y$58,-1)))*(R470-INDEX('KT THAN'!$Y$38:$Y$58,MATCH(R470,'KT THAN'!$Y$38:$Y$58,-1)))/(INDEX('KT THAN'!$Y$38:$Y$58,MIN(21,MATCH(R470,'KT THAN'!$Y$38:$Y$58,-1)+1))-INDEX('KT THAN'!$Y$38:$Y$58,MATCH(R470,'KT THAN'!$Y$38:$Y$58,-1)))),MIN(0.8*0.75*'KT THAN'!$C$62,'KT THAN'!$D$68/R470)))))</f>
        <v/>
      </c>
      <c r="O470" s="38" t="str">
        <f>IF($A470="","",IF(H470&lt;0,ABS(H470)/MAX('KT THAN'!$C$69,0.001)+'KT THAN'!$C$32*ABS(J470)/MAX('KT THAN'!$C$68,0.001)+'KT THAN'!$D$32*ABS(I470)/MAX('KT THAN'!$D$68,0.001),IF(OR(M470&lt;=0,N470&lt;=0),999,IF(H470&gt;=0.1*0.75*fc_*Agth*1000,H470/MAX(0.001,1/(1/M470+1/N470-1/(0.75*'KT THAN'!$C$62))),'KT THAN'!$C$32*ABS(J470)/MAX('KT THAN'!$C$68,0.001)+'KT THAN'!$D$32*ABS(I470)/MAX('KT THAN'!$D$68,0.001)))))</f>
        <v/>
      </c>
      <c r="P470" s="37" t="str">
        <f t="shared" si="81"/>
        <v/>
      </c>
      <c r="Q470" s="38" t="str">
        <f>IF($A470="","",MAX(0.001,'KT THAN'!$C$32*ABS(J470)/MAX(1,H470)))</f>
        <v/>
      </c>
      <c r="R470" s="38" t="str">
        <f>IF($A470="","",MAX(0.001,'KT THAN'!$D$32*ABS(I470)/MAX(1,H470)))</f>
        <v/>
      </c>
      <c r="S470" t="str">
        <f t="shared" si="75"/>
        <v/>
      </c>
    </row>
    <row r="471" spans="1:19" hidden="1" outlineLevel="1" x14ac:dyDescent="0.3">
      <c r="A471" s="37" t="str">
        <f>IF(OR(nThan=1,'TO HOP NLAN'!$A27=""),"",'TO HOP NLAN'!$A27)</f>
        <v/>
      </c>
      <c r="B471" s="38" t="str">
        <f>IF($A471="","",'TO HOP NLAN'!$D27)</f>
        <v/>
      </c>
      <c r="C471" s="38" t="str">
        <f>IF($A471="","",'TO HOP NLAN'!$E27)</f>
        <v/>
      </c>
      <c r="D471" s="38" t="str">
        <f>IF($A471="","",'TO HOP NLAN'!$F27)</f>
        <v/>
      </c>
      <c r="E471" s="38" t="str">
        <f>IF($A471="","",'TO HOP NLAN'!$B27)</f>
        <v/>
      </c>
      <c r="F471" s="38" t="str">
        <f>IF($A471="","",'TO HOP NLAN'!$C27)</f>
        <v/>
      </c>
      <c r="G471" s="38" t="str">
        <f t="shared" si="76"/>
        <v/>
      </c>
      <c r="H471" s="38" t="str">
        <f t="shared" si="69"/>
        <v/>
      </c>
      <c r="I471" s="38" t="str">
        <f t="shared" si="77"/>
        <v/>
      </c>
      <c r="J471" s="38" t="str">
        <f t="shared" si="78"/>
        <v/>
      </c>
      <c r="K471" s="38" t="str">
        <f t="shared" si="79"/>
        <v/>
      </c>
      <c r="L471" s="38" t="str">
        <f t="shared" si="80"/>
        <v/>
      </c>
      <c r="M471" s="38" t="str">
        <f>IF($A471="","",IF(H471=0,"",IF(Q471&lt;=0.000000001,MIN(0.8*0.75*'KT THAN'!$C$62,MAX('KT THAN'!$J$38:$J$58)),IFERROR(MIN(0.8*0.75*'KT THAN'!$C$62,INDEX('KT THAN'!$J$38:$J$58,MATCH(Q471,'KT THAN'!$L$38:$L$58,-1))+(INDEX('KT THAN'!$J$38:$J$58,MIN(21,MATCH(Q471,'KT THAN'!$L$38:$L$58,-1)+1))-INDEX('KT THAN'!$J$38:$J$58,MATCH(Q471,'KT THAN'!$L$38:$L$58,-1)))*(Q471-INDEX('KT THAN'!$L$38:$L$58,MATCH(Q471,'KT THAN'!$L$38:$L$58,-1)))/(INDEX('KT THAN'!$L$38:$L$58,MIN(21,MATCH(Q471,'KT THAN'!$L$38:$L$58,-1)+1))-INDEX('KT THAN'!$L$38:$L$58,MATCH(Q471,'KT THAN'!$L$38:$L$58,-1)))),MIN(0.8*0.75*'KT THAN'!$C$62,'KT THAN'!$C$68/Q471)))))</f>
        <v/>
      </c>
      <c r="N471" s="38" t="str">
        <f>IF($A471="","",IF(H471=0,"",IF(R471&lt;=0.000000001,MIN(0.8*0.75*'KT THAN'!$C$62,MAX('KT THAN'!$W$38:$W$58)),IFERROR(MIN(0.8*0.75*'KT THAN'!$C$62,INDEX('KT THAN'!$W$38:$W$58,MATCH(R471,'KT THAN'!$Y$38:$Y$58,-1))+(INDEX('KT THAN'!$W$38:$W$58,MIN(21,MATCH(R471,'KT THAN'!$Y$38:$Y$58,-1)+1))-INDEX('KT THAN'!$W$38:$W$58,MATCH(R471,'KT THAN'!$Y$38:$Y$58,-1)))*(R471-INDEX('KT THAN'!$Y$38:$Y$58,MATCH(R471,'KT THAN'!$Y$38:$Y$58,-1)))/(INDEX('KT THAN'!$Y$38:$Y$58,MIN(21,MATCH(R471,'KT THAN'!$Y$38:$Y$58,-1)+1))-INDEX('KT THAN'!$Y$38:$Y$58,MATCH(R471,'KT THAN'!$Y$38:$Y$58,-1)))),MIN(0.8*0.75*'KT THAN'!$C$62,'KT THAN'!$D$68/R471)))))</f>
        <v/>
      </c>
      <c r="O471" s="38" t="str">
        <f>IF($A471="","",IF(H471&lt;0,ABS(H471)/MAX('KT THAN'!$C$69,0.001)+'KT THAN'!$C$32*ABS(J471)/MAX('KT THAN'!$C$68,0.001)+'KT THAN'!$D$32*ABS(I471)/MAX('KT THAN'!$D$68,0.001),IF(OR(M471&lt;=0,N471&lt;=0),999,IF(H471&gt;=0.1*0.75*fc_*Agth*1000,H471/MAX(0.001,1/(1/M471+1/N471-1/(0.75*'KT THAN'!$C$62))),'KT THAN'!$C$32*ABS(J471)/MAX('KT THAN'!$C$68,0.001)+'KT THAN'!$D$32*ABS(I471)/MAX('KT THAN'!$D$68,0.001)))))</f>
        <v/>
      </c>
      <c r="P471" s="37" t="str">
        <f t="shared" si="81"/>
        <v/>
      </c>
      <c r="Q471" s="38" t="str">
        <f>IF($A471="","",MAX(0.001,'KT THAN'!$C$32*ABS(J471)/MAX(1,H471)))</f>
        <v/>
      </c>
      <c r="R471" s="38" t="str">
        <f>IF($A471="","",MAX(0.001,'KT THAN'!$D$32*ABS(I471)/MAX(1,H471)))</f>
        <v/>
      </c>
      <c r="S471" t="str">
        <f t="shared" si="75"/>
        <v/>
      </c>
    </row>
    <row r="472" spans="1:19" hidden="1" outlineLevel="1" x14ac:dyDescent="0.3">
      <c r="A472" s="37" t="str">
        <f>IF(OR(nThan=1,'TO HOP NLAN'!$A28=""),"",'TO HOP NLAN'!$A28)</f>
        <v/>
      </c>
      <c r="B472" s="38" t="str">
        <f>IF($A472="","",'TO HOP NLAN'!$D28)</f>
        <v/>
      </c>
      <c r="C472" s="38" t="str">
        <f>IF($A472="","",'TO HOP NLAN'!$E28)</f>
        <v/>
      </c>
      <c r="D472" s="38" t="str">
        <f>IF($A472="","",'TO HOP NLAN'!$F28)</f>
        <v/>
      </c>
      <c r="E472" s="38" t="str">
        <f>IF($A472="","",'TO HOP NLAN'!$B28)</f>
        <v/>
      </c>
      <c r="F472" s="38" t="str">
        <f>IF($A472="","",'TO HOP NLAN'!$C28)</f>
        <v/>
      </c>
      <c r="G472" s="38" t="str">
        <f t="shared" si="76"/>
        <v/>
      </c>
      <c r="H472" s="38" t="str">
        <f t="shared" si="69"/>
        <v/>
      </c>
      <c r="I472" s="38" t="str">
        <f t="shared" si="77"/>
        <v/>
      </c>
      <c r="J472" s="38" t="str">
        <f t="shared" si="78"/>
        <v/>
      </c>
      <c r="K472" s="38" t="str">
        <f t="shared" si="79"/>
        <v/>
      </c>
      <c r="L472" s="38" t="str">
        <f t="shared" si="80"/>
        <v/>
      </c>
      <c r="M472" s="38" t="str">
        <f>IF($A472="","",IF(H472=0,"",IF(Q472&lt;=0.000000001,MIN(0.8*0.75*'KT THAN'!$C$62,MAX('KT THAN'!$J$38:$J$58)),IFERROR(MIN(0.8*0.75*'KT THAN'!$C$62,INDEX('KT THAN'!$J$38:$J$58,MATCH(Q472,'KT THAN'!$L$38:$L$58,-1))+(INDEX('KT THAN'!$J$38:$J$58,MIN(21,MATCH(Q472,'KT THAN'!$L$38:$L$58,-1)+1))-INDEX('KT THAN'!$J$38:$J$58,MATCH(Q472,'KT THAN'!$L$38:$L$58,-1)))*(Q472-INDEX('KT THAN'!$L$38:$L$58,MATCH(Q472,'KT THAN'!$L$38:$L$58,-1)))/(INDEX('KT THAN'!$L$38:$L$58,MIN(21,MATCH(Q472,'KT THAN'!$L$38:$L$58,-1)+1))-INDEX('KT THAN'!$L$38:$L$58,MATCH(Q472,'KT THAN'!$L$38:$L$58,-1)))),MIN(0.8*0.75*'KT THAN'!$C$62,'KT THAN'!$C$68/Q472)))))</f>
        <v/>
      </c>
      <c r="N472" s="38" t="str">
        <f>IF($A472="","",IF(H472=0,"",IF(R472&lt;=0.000000001,MIN(0.8*0.75*'KT THAN'!$C$62,MAX('KT THAN'!$W$38:$W$58)),IFERROR(MIN(0.8*0.75*'KT THAN'!$C$62,INDEX('KT THAN'!$W$38:$W$58,MATCH(R472,'KT THAN'!$Y$38:$Y$58,-1))+(INDEX('KT THAN'!$W$38:$W$58,MIN(21,MATCH(R472,'KT THAN'!$Y$38:$Y$58,-1)+1))-INDEX('KT THAN'!$W$38:$W$58,MATCH(R472,'KT THAN'!$Y$38:$Y$58,-1)))*(R472-INDEX('KT THAN'!$Y$38:$Y$58,MATCH(R472,'KT THAN'!$Y$38:$Y$58,-1)))/(INDEX('KT THAN'!$Y$38:$Y$58,MIN(21,MATCH(R472,'KT THAN'!$Y$38:$Y$58,-1)+1))-INDEX('KT THAN'!$Y$38:$Y$58,MATCH(R472,'KT THAN'!$Y$38:$Y$58,-1)))),MIN(0.8*0.75*'KT THAN'!$C$62,'KT THAN'!$D$68/R472)))))</f>
        <v/>
      </c>
      <c r="O472" s="38" t="str">
        <f>IF($A472="","",IF(H472&lt;0,ABS(H472)/MAX('KT THAN'!$C$69,0.001)+'KT THAN'!$C$32*ABS(J472)/MAX('KT THAN'!$C$68,0.001)+'KT THAN'!$D$32*ABS(I472)/MAX('KT THAN'!$D$68,0.001),IF(OR(M472&lt;=0,N472&lt;=0),999,IF(H472&gt;=0.1*0.75*fc_*Agth*1000,H472/MAX(0.001,1/(1/M472+1/N472-1/(0.75*'KT THAN'!$C$62))),'KT THAN'!$C$32*ABS(J472)/MAX('KT THAN'!$C$68,0.001)+'KT THAN'!$D$32*ABS(I472)/MAX('KT THAN'!$D$68,0.001)))))</f>
        <v/>
      </c>
      <c r="P472" s="37" t="str">
        <f t="shared" si="81"/>
        <v/>
      </c>
      <c r="Q472" s="38" t="str">
        <f>IF($A472="","",MAX(0.001,'KT THAN'!$C$32*ABS(J472)/MAX(1,H472)))</f>
        <v/>
      </c>
      <c r="R472" s="38" t="str">
        <f>IF($A472="","",MAX(0.001,'KT THAN'!$D$32*ABS(I472)/MAX(1,H472)))</f>
        <v/>
      </c>
      <c r="S472" t="str">
        <f t="shared" si="75"/>
        <v/>
      </c>
    </row>
    <row r="473" spans="1:19" hidden="1" outlineLevel="1" x14ac:dyDescent="0.3">
      <c r="A473" s="37" t="str">
        <f>IF(OR(nThan=1,'TO HOP NLAN'!$A29=""),"",'TO HOP NLAN'!$A29)</f>
        <v/>
      </c>
      <c r="B473" s="38" t="str">
        <f>IF($A473="","",'TO HOP NLAN'!$D29)</f>
        <v/>
      </c>
      <c r="C473" s="38" t="str">
        <f>IF($A473="","",'TO HOP NLAN'!$E29)</f>
        <v/>
      </c>
      <c r="D473" s="38" t="str">
        <f>IF($A473="","",'TO HOP NLAN'!$F29)</f>
        <v/>
      </c>
      <c r="E473" s="38" t="str">
        <f>IF($A473="","",'TO HOP NLAN'!$B29)</f>
        <v/>
      </c>
      <c r="F473" s="38" t="str">
        <f>IF($A473="","",'TO HOP NLAN'!$C29)</f>
        <v/>
      </c>
      <c r="G473" s="38" t="str">
        <f t="shared" si="76"/>
        <v/>
      </c>
      <c r="H473" s="38" t="str">
        <f t="shared" si="69"/>
        <v/>
      </c>
      <c r="I473" s="38" t="str">
        <f t="shared" si="77"/>
        <v/>
      </c>
      <c r="J473" s="38" t="str">
        <f t="shared" si="78"/>
        <v/>
      </c>
      <c r="K473" s="38" t="str">
        <f t="shared" si="79"/>
        <v/>
      </c>
      <c r="L473" s="38" t="str">
        <f t="shared" si="80"/>
        <v/>
      </c>
      <c r="M473" s="38" t="str">
        <f>IF($A473="","",IF(H473=0,"",IF(Q473&lt;=0.000000001,MIN(0.8*0.75*'KT THAN'!$C$62,MAX('KT THAN'!$J$38:$J$58)),IFERROR(MIN(0.8*0.75*'KT THAN'!$C$62,INDEX('KT THAN'!$J$38:$J$58,MATCH(Q473,'KT THAN'!$L$38:$L$58,-1))+(INDEX('KT THAN'!$J$38:$J$58,MIN(21,MATCH(Q473,'KT THAN'!$L$38:$L$58,-1)+1))-INDEX('KT THAN'!$J$38:$J$58,MATCH(Q473,'KT THAN'!$L$38:$L$58,-1)))*(Q473-INDEX('KT THAN'!$L$38:$L$58,MATCH(Q473,'KT THAN'!$L$38:$L$58,-1)))/(INDEX('KT THAN'!$L$38:$L$58,MIN(21,MATCH(Q473,'KT THAN'!$L$38:$L$58,-1)+1))-INDEX('KT THAN'!$L$38:$L$58,MATCH(Q473,'KT THAN'!$L$38:$L$58,-1)))),MIN(0.8*0.75*'KT THAN'!$C$62,'KT THAN'!$C$68/Q473)))))</f>
        <v/>
      </c>
      <c r="N473" s="38" t="str">
        <f>IF($A473="","",IF(H473=0,"",IF(R473&lt;=0.000000001,MIN(0.8*0.75*'KT THAN'!$C$62,MAX('KT THAN'!$W$38:$W$58)),IFERROR(MIN(0.8*0.75*'KT THAN'!$C$62,INDEX('KT THAN'!$W$38:$W$58,MATCH(R473,'KT THAN'!$Y$38:$Y$58,-1))+(INDEX('KT THAN'!$W$38:$W$58,MIN(21,MATCH(R473,'KT THAN'!$Y$38:$Y$58,-1)+1))-INDEX('KT THAN'!$W$38:$W$58,MATCH(R473,'KT THAN'!$Y$38:$Y$58,-1)))*(R473-INDEX('KT THAN'!$Y$38:$Y$58,MATCH(R473,'KT THAN'!$Y$38:$Y$58,-1)))/(INDEX('KT THAN'!$Y$38:$Y$58,MIN(21,MATCH(R473,'KT THAN'!$Y$38:$Y$58,-1)+1))-INDEX('KT THAN'!$Y$38:$Y$58,MATCH(R473,'KT THAN'!$Y$38:$Y$58,-1)))),MIN(0.8*0.75*'KT THAN'!$C$62,'KT THAN'!$D$68/R473)))))</f>
        <v/>
      </c>
      <c r="O473" s="38" t="str">
        <f>IF($A473="","",IF(H473&lt;0,ABS(H473)/MAX('KT THAN'!$C$69,0.001)+'KT THAN'!$C$32*ABS(J473)/MAX('KT THAN'!$C$68,0.001)+'KT THAN'!$D$32*ABS(I473)/MAX('KT THAN'!$D$68,0.001),IF(OR(M473&lt;=0,N473&lt;=0),999,IF(H473&gt;=0.1*0.75*fc_*Agth*1000,H473/MAX(0.001,1/(1/M473+1/N473-1/(0.75*'KT THAN'!$C$62))),'KT THAN'!$C$32*ABS(J473)/MAX('KT THAN'!$C$68,0.001)+'KT THAN'!$D$32*ABS(I473)/MAX('KT THAN'!$D$68,0.001)))))</f>
        <v/>
      </c>
      <c r="P473" s="37" t="str">
        <f t="shared" si="81"/>
        <v/>
      </c>
      <c r="Q473" s="38" t="str">
        <f>IF($A473="","",MAX(0.001,'KT THAN'!$C$32*ABS(J473)/MAX(1,H473)))</f>
        <v/>
      </c>
      <c r="R473" s="38" t="str">
        <f>IF($A473="","",MAX(0.001,'KT THAN'!$D$32*ABS(I473)/MAX(1,H473)))</f>
        <v/>
      </c>
      <c r="S473" t="str">
        <f t="shared" si="75"/>
        <v/>
      </c>
    </row>
    <row r="474" spans="1:19" hidden="1" outlineLevel="1" x14ac:dyDescent="0.3">
      <c r="A474" s="37" t="str">
        <f>IF(OR(nThan=1,'TO HOP NLAN'!$A30=""),"",'TO HOP NLAN'!$A30)</f>
        <v/>
      </c>
      <c r="B474" s="38" t="str">
        <f>IF($A474="","",'TO HOP NLAN'!$D30)</f>
        <v/>
      </c>
      <c r="C474" s="38" t="str">
        <f>IF($A474="","",'TO HOP NLAN'!$E30)</f>
        <v/>
      </c>
      <c r="D474" s="38" t="str">
        <f>IF($A474="","",'TO HOP NLAN'!$F30)</f>
        <v/>
      </c>
      <c r="E474" s="38" t="str">
        <f>IF($A474="","",'TO HOP NLAN'!$B30)</f>
        <v/>
      </c>
      <c r="F474" s="38" t="str">
        <f>IF($A474="","",'TO HOP NLAN'!$C30)</f>
        <v/>
      </c>
      <c r="G474" s="38" t="str">
        <f t="shared" si="76"/>
        <v/>
      </c>
      <c r="H474" s="38" t="str">
        <f t="shared" si="69"/>
        <v/>
      </c>
      <c r="I474" s="38" t="str">
        <f t="shared" si="77"/>
        <v/>
      </c>
      <c r="J474" s="38" t="str">
        <f t="shared" si="78"/>
        <v/>
      </c>
      <c r="K474" s="38" t="str">
        <f t="shared" si="79"/>
        <v/>
      </c>
      <c r="L474" s="38" t="str">
        <f t="shared" si="80"/>
        <v/>
      </c>
      <c r="M474" s="38" t="str">
        <f>IF($A474="","",IF(H474=0,"",IF(Q474&lt;=0.000000001,MIN(0.8*0.75*'KT THAN'!$C$62,MAX('KT THAN'!$J$38:$J$58)),IFERROR(MIN(0.8*0.75*'KT THAN'!$C$62,INDEX('KT THAN'!$J$38:$J$58,MATCH(Q474,'KT THAN'!$L$38:$L$58,-1))+(INDEX('KT THAN'!$J$38:$J$58,MIN(21,MATCH(Q474,'KT THAN'!$L$38:$L$58,-1)+1))-INDEX('KT THAN'!$J$38:$J$58,MATCH(Q474,'KT THAN'!$L$38:$L$58,-1)))*(Q474-INDEX('KT THAN'!$L$38:$L$58,MATCH(Q474,'KT THAN'!$L$38:$L$58,-1)))/(INDEX('KT THAN'!$L$38:$L$58,MIN(21,MATCH(Q474,'KT THAN'!$L$38:$L$58,-1)+1))-INDEX('KT THAN'!$L$38:$L$58,MATCH(Q474,'KT THAN'!$L$38:$L$58,-1)))),MIN(0.8*0.75*'KT THAN'!$C$62,'KT THAN'!$C$68/Q474)))))</f>
        <v/>
      </c>
      <c r="N474" s="38" t="str">
        <f>IF($A474="","",IF(H474=0,"",IF(R474&lt;=0.000000001,MIN(0.8*0.75*'KT THAN'!$C$62,MAX('KT THAN'!$W$38:$W$58)),IFERROR(MIN(0.8*0.75*'KT THAN'!$C$62,INDEX('KT THAN'!$W$38:$W$58,MATCH(R474,'KT THAN'!$Y$38:$Y$58,-1))+(INDEX('KT THAN'!$W$38:$W$58,MIN(21,MATCH(R474,'KT THAN'!$Y$38:$Y$58,-1)+1))-INDEX('KT THAN'!$W$38:$W$58,MATCH(R474,'KT THAN'!$Y$38:$Y$58,-1)))*(R474-INDEX('KT THAN'!$Y$38:$Y$58,MATCH(R474,'KT THAN'!$Y$38:$Y$58,-1)))/(INDEX('KT THAN'!$Y$38:$Y$58,MIN(21,MATCH(R474,'KT THAN'!$Y$38:$Y$58,-1)+1))-INDEX('KT THAN'!$Y$38:$Y$58,MATCH(R474,'KT THAN'!$Y$38:$Y$58,-1)))),MIN(0.8*0.75*'KT THAN'!$C$62,'KT THAN'!$D$68/R474)))))</f>
        <v/>
      </c>
      <c r="O474" s="38" t="str">
        <f>IF($A474="","",IF(H474&lt;0,ABS(H474)/MAX('KT THAN'!$C$69,0.001)+'KT THAN'!$C$32*ABS(J474)/MAX('KT THAN'!$C$68,0.001)+'KT THAN'!$D$32*ABS(I474)/MAX('KT THAN'!$D$68,0.001),IF(OR(M474&lt;=0,N474&lt;=0),999,IF(H474&gt;=0.1*0.75*fc_*Agth*1000,H474/MAX(0.001,1/(1/M474+1/N474-1/(0.75*'KT THAN'!$C$62))),'KT THAN'!$C$32*ABS(J474)/MAX('KT THAN'!$C$68,0.001)+'KT THAN'!$D$32*ABS(I474)/MAX('KT THAN'!$D$68,0.001)))))</f>
        <v/>
      </c>
      <c r="P474" s="37" t="str">
        <f t="shared" si="81"/>
        <v/>
      </c>
      <c r="Q474" s="38" t="str">
        <f>IF($A474="","",MAX(0.001,'KT THAN'!$C$32*ABS(J474)/MAX(1,H474)))</f>
        <v/>
      </c>
      <c r="R474" s="38" t="str">
        <f>IF($A474="","",MAX(0.001,'KT THAN'!$D$32*ABS(I474)/MAX(1,H474)))</f>
        <v/>
      </c>
      <c r="S474" t="str">
        <f t="shared" si="75"/>
        <v/>
      </c>
    </row>
    <row r="475" spans="1:19" hidden="1" outlineLevel="1" x14ac:dyDescent="0.3">
      <c r="A475" s="37" t="str">
        <f>IF(OR(nThan=1,'TO HOP NLAN'!$A31=""),"",'TO HOP NLAN'!$A31)</f>
        <v/>
      </c>
      <c r="B475" s="38" t="str">
        <f>IF($A475="","",'TO HOP NLAN'!$D31)</f>
        <v/>
      </c>
      <c r="C475" s="38" t="str">
        <f>IF($A475="","",'TO HOP NLAN'!$E31)</f>
        <v/>
      </c>
      <c r="D475" s="38" t="str">
        <f>IF($A475="","",'TO HOP NLAN'!$F31)</f>
        <v/>
      </c>
      <c r="E475" s="38" t="str">
        <f>IF($A475="","",'TO HOP NLAN'!$B31)</f>
        <v/>
      </c>
      <c r="F475" s="38" t="str">
        <f>IF($A475="","",'TO HOP NLAN'!$C31)</f>
        <v/>
      </c>
      <c r="G475" s="38" t="str">
        <f t="shared" si="76"/>
        <v/>
      </c>
      <c r="H475" s="38" t="str">
        <f t="shared" si="69"/>
        <v/>
      </c>
      <c r="I475" s="38" t="str">
        <f t="shared" si="77"/>
        <v/>
      </c>
      <c r="J475" s="38" t="str">
        <f t="shared" si="78"/>
        <v/>
      </c>
      <c r="K475" s="38" t="str">
        <f t="shared" si="79"/>
        <v/>
      </c>
      <c r="L475" s="38" t="str">
        <f t="shared" si="80"/>
        <v/>
      </c>
      <c r="M475" s="38" t="str">
        <f>IF($A475="","",IF(H475=0,"",IF(Q475&lt;=0.000000001,MIN(0.8*0.75*'KT THAN'!$C$62,MAX('KT THAN'!$J$38:$J$58)),IFERROR(MIN(0.8*0.75*'KT THAN'!$C$62,INDEX('KT THAN'!$J$38:$J$58,MATCH(Q475,'KT THAN'!$L$38:$L$58,-1))+(INDEX('KT THAN'!$J$38:$J$58,MIN(21,MATCH(Q475,'KT THAN'!$L$38:$L$58,-1)+1))-INDEX('KT THAN'!$J$38:$J$58,MATCH(Q475,'KT THAN'!$L$38:$L$58,-1)))*(Q475-INDEX('KT THAN'!$L$38:$L$58,MATCH(Q475,'KT THAN'!$L$38:$L$58,-1)))/(INDEX('KT THAN'!$L$38:$L$58,MIN(21,MATCH(Q475,'KT THAN'!$L$38:$L$58,-1)+1))-INDEX('KT THAN'!$L$38:$L$58,MATCH(Q475,'KT THAN'!$L$38:$L$58,-1)))),MIN(0.8*0.75*'KT THAN'!$C$62,'KT THAN'!$C$68/Q475)))))</f>
        <v/>
      </c>
      <c r="N475" s="38" t="str">
        <f>IF($A475="","",IF(H475=0,"",IF(R475&lt;=0.000000001,MIN(0.8*0.75*'KT THAN'!$C$62,MAX('KT THAN'!$W$38:$W$58)),IFERROR(MIN(0.8*0.75*'KT THAN'!$C$62,INDEX('KT THAN'!$W$38:$W$58,MATCH(R475,'KT THAN'!$Y$38:$Y$58,-1))+(INDEX('KT THAN'!$W$38:$W$58,MIN(21,MATCH(R475,'KT THAN'!$Y$38:$Y$58,-1)+1))-INDEX('KT THAN'!$W$38:$W$58,MATCH(R475,'KT THAN'!$Y$38:$Y$58,-1)))*(R475-INDEX('KT THAN'!$Y$38:$Y$58,MATCH(R475,'KT THAN'!$Y$38:$Y$58,-1)))/(INDEX('KT THAN'!$Y$38:$Y$58,MIN(21,MATCH(R475,'KT THAN'!$Y$38:$Y$58,-1)+1))-INDEX('KT THAN'!$Y$38:$Y$58,MATCH(R475,'KT THAN'!$Y$38:$Y$58,-1)))),MIN(0.8*0.75*'KT THAN'!$C$62,'KT THAN'!$D$68/R475)))))</f>
        <v/>
      </c>
      <c r="O475" s="38" t="str">
        <f>IF($A475="","",IF(H475&lt;0,ABS(H475)/MAX('KT THAN'!$C$69,0.001)+'KT THAN'!$C$32*ABS(J475)/MAX('KT THAN'!$C$68,0.001)+'KT THAN'!$D$32*ABS(I475)/MAX('KT THAN'!$D$68,0.001),IF(OR(M475&lt;=0,N475&lt;=0),999,IF(H475&gt;=0.1*0.75*fc_*Agth*1000,H475/MAX(0.001,1/(1/M475+1/N475-1/(0.75*'KT THAN'!$C$62))),'KT THAN'!$C$32*ABS(J475)/MAX('KT THAN'!$C$68,0.001)+'KT THAN'!$D$32*ABS(I475)/MAX('KT THAN'!$D$68,0.001)))))</f>
        <v/>
      </c>
      <c r="P475" s="37" t="str">
        <f t="shared" si="81"/>
        <v/>
      </c>
      <c r="Q475" s="38" t="str">
        <f>IF($A475="","",MAX(0.001,'KT THAN'!$C$32*ABS(J475)/MAX(1,H475)))</f>
        <v/>
      </c>
      <c r="R475" s="38" t="str">
        <f>IF($A475="","",MAX(0.001,'KT THAN'!$D$32*ABS(I475)/MAX(1,H475)))</f>
        <v/>
      </c>
      <c r="S475" t="str">
        <f t="shared" si="75"/>
        <v/>
      </c>
    </row>
    <row r="476" spans="1:19" hidden="1" outlineLevel="1" x14ac:dyDescent="0.3">
      <c r="A476" s="37" t="str">
        <f>IF(OR(nThan=1,'TO HOP NLAN'!$A32=""),"",'TO HOP NLAN'!$A32)</f>
        <v/>
      </c>
      <c r="B476" s="38" t="str">
        <f>IF($A476="","",'TO HOP NLAN'!$D32)</f>
        <v/>
      </c>
      <c r="C476" s="38" t="str">
        <f>IF($A476="","",'TO HOP NLAN'!$E32)</f>
        <v/>
      </c>
      <c r="D476" s="38" t="str">
        <f>IF($A476="","",'TO HOP NLAN'!$F32)</f>
        <v/>
      </c>
      <c r="E476" s="38" t="str">
        <f>IF($A476="","",'TO HOP NLAN'!$B32)</f>
        <v/>
      </c>
      <c r="F476" s="38" t="str">
        <f>IF($A476="","",'TO HOP NLAN'!$C32)</f>
        <v/>
      </c>
      <c r="G476" s="38" t="str">
        <f t="shared" si="76"/>
        <v/>
      </c>
      <c r="H476" s="38" t="str">
        <f t="shared" si="69"/>
        <v/>
      </c>
      <c r="I476" s="38" t="str">
        <f t="shared" si="77"/>
        <v/>
      </c>
      <c r="J476" s="38" t="str">
        <f t="shared" si="78"/>
        <v/>
      </c>
      <c r="K476" s="38" t="str">
        <f t="shared" si="79"/>
        <v/>
      </c>
      <c r="L476" s="38" t="str">
        <f t="shared" si="80"/>
        <v/>
      </c>
      <c r="M476" s="38" t="str">
        <f>IF($A476="","",IF(H476=0,"",IF(Q476&lt;=0.000000001,MIN(0.8*0.75*'KT THAN'!$C$62,MAX('KT THAN'!$J$38:$J$58)),IFERROR(MIN(0.8*0.75*'KT THAN'!$C$62,INDEX('KT THAN'!$J$38:$J$58,MATCH(Q476,'KT THAN'!$L$38:$L$58,-1))+(INDEX('KT THAN'!$J$38:$J$58,MIN(21,MATCH(Q476,'KT THAN'!$L$38:$L$58,-1)+1))-INDEX('KT THAN'!$J$38:$J$58,MATCH(Q476,'KT THAN'!$L$38:$L$58,-1)))*(Q476-INDEX('KT THAN'!$L$38:$L$58,MATCH(Q476,'KT THAN'!$L$38:$L$58,-1)))/(INDEX('KT THAN'!$L$38:$L$58,MIN(21,MATCH(Q476,'KT THAN'!$L$38:$L$58,-1)+1))-INDEX('KT THAN'!$L$38:$L$58,MATCH(Q476,'KT THAN'!$L$38:$L$58,-1)))),MIN(0.8*0.75*'KT THAN'!$C$62,'KT THAN'!$C$68/Q476)))))</f>
        <v/>
      </c>
      <c r="N476" s="38" t="str">
        <f>IF($A476="","",IF(H476=0,"",IF(R476&lt;=0.000000001,MIN(0.8*0.75*'KT THAN'!$C$62,MAX('KT THAN'!$W$38:$W$58)),IFERROR(MIN(0.8*0.75*'KT THAN'!$C$62,INDEX('KT THAN'!$W$38:$W$58,MATCH(R476,'KT THAN'!$Y$38:$Y$58,-1))+(INDEX('KT THAN'!$W$38:$W$58,MIN(21,MATCH(R476,'KT THAN'!$Y$38:$Y$58,-1)+1))-INDEX('KT THAN'!$W$38:$W$58,MATCH(R476,'KT THAN'!$Y$38:$Y$58,-1)))*(R476-INDEX('KT THAN'!$Y$38:$Y$58,MATCH(R476,'KT THAN'!$Y$38:$Y$58,-1)))/(INDEX('KT THAN'!$Y$38:$Y$58,MIN(21,MATCH(R476,'KT THAN'!$Y$38:$Y$58,-1)+1))-INDEX('KT THAN'!$Y$38:$Y$58,MATCH(R476,'KT THAN'!$Y$38:$Y$58,-1)))),MIN(0.8*0.75*'KT THAN'!$C$62,'KT THAN'!$D$68/R476)))))</f>
        <v/>
      </c>
      <c r="O476" s="38" t="str">
        <f>IF($A476="","",IF(H476&lt;0,ABS(H476)/MAX('KT THAN'!$C$69,0.001)+'KT THAN'!$C$32*ABS(J476)/MAX('KT THAN'!$C$68,0.001)+'KT THAN'!$D$32*ABS(I476)/MAX('KT THAN'!$D$68,0.001),IF(OR(M476&lt;=0,N476&lt;=0),999,IF(H476&gt;=0.1*0.75*fc_*Agth*1000,H476/MAX(0.001,1/(1/M476+1/N476-1/(0.75*'KT THAN'!$C$62))),'KT THAN'!$C$32*ABS(J476)/MAX('KT THAN'!$C$68,0.001)+'KT THAN'!$D$32*ABS(I476)/MAX('KT THAN'!$D$68,0.001)))))</f>
        <v/>
      </c>
      <c r="P476" s="37" t="str">
        <f t="shared" si="81"/>
        <v/>
      </c>
      <c r="Q476" s="38" t="str">
        <f>IF($A476="","",MAX(0.001,'KT THAN'!$C$32*ABS(J476)/MAX(1,H476)))</f>
        <v/>
      </c>
      <c r="R476" s="38" t="str">
        <f>IF($A476="","",MAX(0.001,'KT THAN'!$D$32*ABS(I476)/MAX(1,H476)))</f>
        <v/>
      </c>
      <c r="S476" t="str">
        <f t="shared" si="75"/>
        <v/>
      </c>
    </row>
    <row r="477" spans="1:19" hidden="1" outlineLevel="1" x14ac:dyDescent="0.3">
      <c r="A477" s="37" t="str">
        <f>IF(OR(nThan=1,'TO HOP NLAN'!$A33=""),"",'TO HOP NLAN'!$A33)</f>
        <v/>
      </c>
      <c r="B477" s="38" t="str">
        <f>IF($A477="","",'TO HOP NLAN'!$D33)</f>
        <v/>
      </c>
      <c r="C477" s="38" t="str">
        <f>IF($A477="","",'TO HOP NLAN'!$E33)</f>
        <v/>
      </c>
      <c r="D477" s="38" t="str">
        <f>IF($A477="","",'TO HOP NLAN'!$F33)</f>
        <v/>
      </c>
      <c r="E477" s="38" t="str">
        <f>IF($A477="","",'TO HOP NLAN'!$B33)</f>
        <v/>
      </c>
      <c r="F477" s="38" t="str">
        <f>IF($A477="","",'TO HOP NLAN'!$C33)</f>
        <v/>
      </c>
      <c r="G477" s="38" t="str">
        <f t="shared" si="76"/>
        <v/>
      </c>
      <c r="H477" s="38" t="str">
        <f t="shared" si="69"/>
        <v/>
      </c>
      <c r="I477" s="38" t="str">
        <f t="shared" si="77"/>
        <v/>
      </c>
      <c r="J477" s="38" t="str">
        <f t="shared" si="78"/>
        <v/>
      </c>
      <c r="K477" s="38" t="str">
        <f t="shared" si="79"/>
        <v/>
      </c>
      <c r="L477" s="38" t="str">
        <f t="shared" si="80"/>
        <v/>
      </c>
      <c r="M477" s="38" t="str">
        <f>IF($A477="","",IF(H477=0,"",IF(Q477&lt;=0.000000001,MIN(0.8*0.75*'KT THAN'!$C$62,MAX('KT THAN'!$J$38:$J$58)),IFERROR(MIN(0.8*0.75*'KT THAN'!$C$62,INDEX('KT THAN'!$J$38:$J$58,MATCH(Q477,'KT THAN'!$L$38:$L$58,-1))+(INDEX('KT THAN'!$J$38:$J$58,MIN(21,MATCH(Q477,'KT THAN'!$L$38:$L$58,-1)+1))-INDEX('KT THAN'!$J$38:$J$58,MATCH(Q477,'KT THAN'!$L$38:$L$58,-1)))*(Q477-INDEX('KT THAN'!$L$38:$L$58,MATCH(Q477,'KT THAN'!$L$38:$L$58,-1)))/(INDEX('KT THAN'!$L$38:$L$58,MIN(21,MATCH(Q477,'KT THAN'!$L$38:$L$58,-1)+1))-INDEX('KT THAN'!$L$38:$L$58,MATCH(Q477,'KT THAN'!$L$38:$L$58,-1)))),MIN(0.8*0.75*'KT THAN'!$C$62,'KT THAN'!$C$68/Q477)))))</f>
        <v/>
      </c>
      <c r="N477" s="38" t="str">
        <f>IF($A477="","",IF(H477=0,"",IF(R477&lt;=0.000000001,MIN(0.8*0.75*'KT THAN'!$C$62,MAX('KT THAN'!$W$38:$W$58)),IFERROR(MIN(0.8*0.75*'KT THAN'!$C$62,INDEX('KT THAN'!$W$38:$W$58,MATCH(R477,'KT THAN'!$Y$38:$Y$58,-1))+(INDEX('KT THAN'!$W$38:$W$58,MIN(21,MATCH(R477,'KT THAN'!$Y$38:$Y$58,-1)+1))-INDEX('KT THAN'!$W$38:$W$58,MATCH(R477,'KT THAN'!$Y$38:$Y$58,-1)))*(R477-INDEX('KT THAN'!$Y$38:$Y$58,MATCH(R477,'KT THAN'!$Y$38:$Y$58,-1)))/(INDEX('KT THAN'!$Y$38:$Y$58,MIN(21,MATCH(R477,'KT THAN'!$Y$38:$Y$58,-1)+1))-INDEX('KT THAN'!$Y$38:$Y$58,MATCH(R477,'KT THAN'!$Y$38:$Y$58,-1)))),MIN(0.8*0.75*'KT THAN'!$C$62,'KT THAN'!$D$68/R477)))))</f>
        <v/>
      </c>
      <c r="O477" s="38" t="str">
        <f>IF($A477="","",IF(H477&lt;0,ABS(H477)/MAX('KT THAN'!$C$69,0.001)+'KT THAN'!$C$32*ABS(J477)/MAX('KT THAN'!$C$68,0.001)+'KT THAN'!$D$32*ABS(I477)/MAX('KT THAN'!$D$68,0.001),IF(OR(M477&lt;=0,N477&lt;=0),999,IF(H477&gt;=0.1*0.75*fc_*Agth*1000,H477/MAX(0.001,1/(1/M477+1/N477-1/(0.75*'KT THAN'!$C$62))),'KT THAN'!$C$32*ABS(J477)/MAX('KT THAN'!$C$68,0.001)+'KT THAN'!$D$32*ABS(I477)/MAX('KT THAN'!$D$68,0.001)))))</f>
        <v/>
      </c>
      <c r="P477" s="37" t="str">
        <f t="shared" si="81"/>
        <v/>
      </c>
      <c r="Q477" s="38" t="str">
        <f>IF($A477="","",MAX(0.001,'KT THAN'!$C$32*ABS(J477)/MAX(1,H477)))</f>
        <v/>
      </c>
      <c r="R477" s="38" t="str">
        <f>IF($A477="","",MAX(0.001,'KT THAN'!$D$32*ABS(I477)/MAX(1,H477)))</f>
        <v/>
      </c>
      <c r="S477" t="str">
        <f t="shared" si="75"/>
        <v/>
      </c>
    </row>
    <row r="478" spans="1:19" hidden="1" outlineLevel="1" x14ac:dyDescent="0.3">
      <c r="A478" s="37" t="str">
        <f>IF(OR(nThan=1,'TO HOP NLAN'!$A34=""),"",'TO HOP NLAN'!$A34)</f>
        <v/>
      </c>
      <c r="B478" s="38" t="str">
        <f>IF($A478="","",'TO HOP NLAN'!$D34)</f>
        <v/>
      </c>
      <c r="C478" s="38" t="str">
        <f>IF($A478="","",'TO HOP NLAN'!$E34)</f>
        <v/>
      </c>
      <c r="D478" s="38" t="str">
        <f>IF($A478="","",'TO HOP NLAN'!$F34)</f>
        <v/>
      </c>
      <c r="E478" s="38" t="str">
        <f>IF($A478="","",'TO HOP NLAN'!$B34)</f>
        <v/>
      </c>
      <c r="F478" s="38" t="str">
        <f>IF($A478="","",'TO HOP NLAN'!$C34)</f>
        <v/>
      </c>
      <c r="G478" s="38" t="str">
        <f t="shared" si="76"/>
        <v/>
      </c>
      <c r="H478" s="38" t="str">
        <f t="shared" si="69"/>
        <v/>
      </c>
      <c r="I478" s="38" t="str">
        <f t="shared" si="77"/>
        <v/>
      </c>
      <c r="J478" s="38" t="str">
        <f t="shared" si="78"/>
        <v/>
      </c>
      <c r="K478" s="38" t="str">
        <f t="shared" si="79"/>
        <v/>
      </c>
      <c r="L478" s="38" t="str">
        <f t="shared" si="80"/>
        <v/>
      </c>
      <c r="M478" s="38" t="str">
        <f>IF($A478="","",IF(H478=0,"",IF(Q478&lt;=0.000000001,MIN(0.8*0.75*'KT THAN'!$C$62,MAX('KT THAN'!$J$38:$J$58)),IFERROR(MIN(0.8*0.75*'KT THAN'!$C$62,INDEX('KT THAN'!$J$38:$J$58,MATCH(Q478,'KT THAN'!$L$38:$L$58,-1))+(INDEX('KT THAN'!$J$38:$J$58,MIN(21,MATCH(Q478,'KT THAN'!$L$38:$L$58,-1)+1))-INDEX('KT THAN'!$J$38:$J$58,MATCH(Q478,'KT THAN'!$L$38:$L$58,-1)))*(Q478-INDEX('KT THAN'!$L$38:$L$58,MATCH(Q478,'KT THAN'!$L$38:$L$58,-1)))/(INDEX('KT THAN'!$L$38:$L$58,MIN(21,MATCH(Q478,'KT THAN'!$L$38:$L$58,-1)+1))-INDEX('KT THAN'!$L$38:$L$58,MATCH(Q478,'KT THAN'!$L$38:$L$58,-1)))),MIN(0.8*0.75*'KT THAN'!$C$62,'KT THAN'!$C$68/Q478)))))</f>
        <v/>
      </c>
      <c r="N478" s="38" t="str">
        <f>IF($A478="","",IF(H478=0,"",IF(R478&lt;=0.000000001,MIN(0.8*0.75*'KT THAN'!$C$62,MAX('KT THAN'!$W$38:$W$58)),IFERROR(MIN(0.8*0.75*'KT THAN'!$C$62,INDEX('KT THAN'!$W$38:$W$58,MATCH(R478,'KT THAN'!$Y$38:$Y$58,-1))+(INDEX('KT THAN'!$W$38:$W$58,MIN(21,MATCH(R478,'KT THAN'!$Y$38:$Y$58,-1)+1))-INDEX('KT THAN'!$W$38:$W$58,MATCH(R478,'KT THAN'!$Y$38:$Y$58,-1)))*(R478-INDEX('KT THAN'!$Y$38:$Y$58,MATCH(R478,'KT THAN'!$Y$38:$Y$58,-1)))/(INDEX('KT THAN'!$Y$38:$Y$58,MIN(21,MATCH(R478,'KT THAN'!$Y$38:$Y$58,-1)+1))-INDEX('KT THAN'!$Y$38:$Y$58,MATCH(R478,'KT THAN'!$Y$38:$Y$58,-1)))),MIN(0.8*0.75*'KT THAN'!$C$62,'KT THAN'!$D$68/R478)))))</f>
        <v/>
      </c>
      <c r="O478" s="38" t="str">
        <f>IF($A478="","",IF(H478&lt;0,ABS(H478)/MAX('KT THAN'!$C$69,0.001)+'KT THAN'!$C$32*ABS(J478)/MAX('KT THAN'!$C$68,0.001)+'KT THAN'!$D$32*ABS(I478)/MAX('KT THAN'!$D$68,0.001),IF(OR(M478&lt;=0,N478&lt;=0),999,IF(H478&gt;=0.1*0.75*fc_*Agth*1000,H478/MAX(0.001,1/(1/M478+1/N478-1/(0.75*'KT THAN'!$C$62))),'KT THAN'!$C$32*ABS(J478)/MAX('KT THAN'!$C$68,0.001)+'KT THAN'!$D$32*ABS(I478)/MAX('KT THAN'!$D$68,0.001)))))</f>
        <v/>
      </c>
      <c r="P478" s="37" t="str">
        <f t="shared" si="81"/>
        <v/>
      </c>
      <c r="Q478" s="38" t="str">
        <f>IF($A478="","",MAX(0.001,'KT THAN'!$C$32*ABS(J478)/MAX(1,H478)))</f>
        <v/>
      </c>
      <c r="R478" s="38" t="str">
        <f>IF($A478="","",MAX(0.001,'KT THAN'!$D$32*ABS(I478)/MAX(1,H478)))</f>
        <v/>
      </c>
      <c r="S478" t="str">
        <f t="shared" si="75"/>
        <v/>
      </c>
    </row>
    <row r="479" spans="1:19" hidden="1" outlineLevel="1" x14ac:dyDescent="0.3">
      <c r="A479" s="37" t="str">
        <f>IF(OR(nThan=1,'TO HOP NLAN'!$A35=""),"",'TO HOP NLAN'!$A35)</f>
        <v/>
      </c>
      <c r="B479" s="38" t="str">
        <f>IF($A479="","",'TO HOP NLAN'!$D35)</f>
        <v/>
      </c>
      <c r="C479" s="38" t="str">
        <f>IF($A479="","",'TO HOP NLAN'!$E35)</f>
        <v/>
      </c>
      <c r="D479" s="38" t="str">
        <f>IF($A479="","",'TO HOP NLAN'!$F35)</f>
        <v/>
      </c>
      <c r="E479" s="38" t="str">
        <f>IF($A479="","",'TO HOP NLAN'!$B35)</f>
        <v/>
      </c>
      <c r="F479" s="38" t="str">
        <f>IF($A479="","",'TO HOP NLAN'!$C35)</f>
        <v/>
      </c>
      <c r="G479" s="38" t="str">
        <f t="shared" si="76"/>
        <v/>
      </c>
      <c r="H479" s="38" t="str">
        <f t="shared" si="69"/>
        <v/>
      </c>
      <c r="I479" s="38" t="str">
        <f t="shared" si="77"/>
        <v/>
      </c>
      <c r="J479" s="38" t="str">
        <f t="shared" si="78"/>
        <v/>
      </c>
      <c r="K479" s="38" t="str">
        <f t="shared" si="79"/>
        <v/>
      </c>
      <c r="L479" s="38" t="str">
        <f t="shared" si="80"/>
        <v/>
      </c>
      <c r="M479" s="38" t="str">
        <f>IF($A479="","",IF(H479=0,"",IF(Q479&lt;=0.000000001,MIN(0.8*0.75*'KT THAN'!$C$62,MAX('KT THAN'!$J$38:$J$58)),IFERROR(MIN(0.8*0.75*'KT THAN'!$C$62,INDEX('KT THAN'!$J$38:$J$58,MATCH(Q479,'KT THAN'!$L$38:$L$58,-1))+(INDEX('KT THAN'!$J$38:$J$58,MIN(21,MATCH(Q479,'KT THAN'!$L$38:$L$58,-1)+1))-INDEX('KT THAN'!$J$38:$J$58,MATCH(Q479,'KT THAN'!$L$38:$L$58,-1)))*(Q479-INDEX('KT THAN'!$L$38:$L$58,MATCH(Q479,'KT THAN'!$L$38:$L$58,-1)))/(INDEX('KT THAN'!$L$38:$L$58,MIN(21,MATCH(Q479,'KT THAN'!$L$38:$L$58,-1)+1))-INDEX('KT THAN'!$L$38:$L$58,MATCH(Q479,'KT THAN'!$L$38:$L$58,-1)))),MIN(0.8*0.75*'KT THAN'!$C$62,'KT THAN'!$C$68/Q479)))))</f>
        <v/>
      </c>
      <c r="N479" s="38" t="str">
        <f>IF($A479="","",IF(H479=0,"",IF(R479&lt;=0.000000001,MIN(0.8*0.75*'KT THAN'!$C$62,MAX('KT THAN'!$W$38:$W$58)),IFERROR(MIN(0.8*0.75*'KT THAN'!$C$62,INDEX('KT THAN'!$W$38:$W$58,MATCH(R479,'KT THAN'!$Y$38:$Y$58,-1))+(INDEX('KT THAN'!$W$38:$W$58,MIN(21,MATCH(R479,'KT THAN'!$Y$38:$Y$58,-1)+1))-INDEX('KT THAN'!$W$38:$W$58,MATCH(R479,'KT THAN'!$Y$38:$Y$58,-1)))*(R479-INDEX('KT THAN'!$Y$38:$Y$58,MATCH(R479,'KT THAN'!$Y$38:$Y$58,-1)))/(INDEX('KT THAN'!$Y$38:$Y$58,MIN(21,MATCH(R479,'KT THAN'!$Y$38:$Y$58,-1)+1))-INDEX('KT THAN'!$Y$38:$Y$58,MATCH(R479,'KT THAN'!$Y$38:$Y$58,-1)))),MIN(0.8*0.75*'KT THAN'!$C$62,'KT THAN'!$D$68/R479)))))</f>
        <v/>
      </c>
      <c r="O479" s="38" t="str">
        <f>IF($A479="","",IF(H479&lt;0,ABS(H479)/MAX('KT THAN'!$C$69,0.001)+'KT THAN'!$C$32*ABS(J479)/MAX('KT THAN'!$C$68,0.001)+'KT THAN'!$D$32*ABS(I479)/MAX('KT THAN'!$D$68,0.001),IF(OR(M479&lt;=0,N479&lt;=0),999,IF(H479&gt;=0.1*0.75*fc_*Agth*1000,H479/MAX(0.001,1/(1/M479+1/N479-1/(0.75*'KT THAN'!$C$62))),'KT THAN'!$C$32*ABS(J479)/MAX('KT THAN'!$C$68,0.001)+'KT THAN'!$D$32*ABS(I479)/MAX('KT THAN'!$D$68,0.001)))))</f>
        <v/>
      </c>
      <c r="P479" s="37" t="str">
        <f t="shared" si="81"/>
        <v/>
      </c>
      <c r="Q479" s="38" t="str">
        <f>IF($A479="","",MAX(0.001,'KT THAN'!$C$32*ABS(J479)/MAX(1,H479)))</f>
        <v/>
      </c>
      <c r="R479" s="38" t="str">
        <f>IF($A479="","",MAX(0.001,'KT THAN'!$D$32*ABS(I479)/MAX(1,H479)))</f>
        <v/>
      </c>
      <c r="S479" t="str">
        <f t="shared" si="75"/>
        <v/>
      </c>
    </row>
    <row r="480" spans="1:19" hidden="1" outlineLevel="1" x14ac:dyDescent="0.3">
      <c r="A480" s="37" t="str">
        <f>IF(OR(nThan=1,'TO HOP NLAN'!$A36=""),"",'TO HOP NLAN'!$A36)</f>
        <v/>
      </c>
      <c r="B480" s="38" t="str">
        <f>IF($A480="","",'TO HOP NLAN'!$D36)</f>
        <v/>
      </c>
      <c r="C480" s="38" t="str">
        <f>IF($A480="","",'TO HOP NLAN'!$E36)</f>
        <v/>
      </c>
      <c r="D480" s="38" t="str">
        <f>IF($A480="","",'TO HOP NLAN'!$F36)</f>
        <v/>
      </c>
      <c r="E480" s="38" t="str">
        <f>IF($A480="","",'TO HOP NLAN'!$B36)</f>
        <v/>
      </c>
      <c r="F480" s="38" t="str">
        <f>IF($A480="","",'TO HOP NLAN'!$C36)</f>
        <v/>
      </c>
      <c r="G480" s="38" t="str">
        <f t="shared" si="76"/>
        <v/>
      </c>
      <c r="H480" s="38" t="str">
        <f t="shared" si="69"/>
        <v/>
      </c>
      <c r="I480" s="38" t="str">
        <f t="shared" si="77"/>
        <v/>
      </c>
      <c r="J480" s="38" t="str">
        <f t="shared" si="78"/>
        <v/>
      </c>
      <c r="K480" s="38" t="str">
        <f t="shared" si="79"/>
        <v/>
      </c>
      <c r="L480" s="38" t="str">
        <f t="shared" si="80"/>
        <v/>
      </c>
      <c r="M480" s="38" t="str">
        <f>IF($A480="","",IF(H480=0,"",IF(Q480&lt;=0.000000001,MIN(0.8*0.75*'KT THAN'!$C$62,MAX('KT THAN'!$J$38:$J$58)),IFERROR(MIN(0.8*0.75*'KT THAN'!$C$62,INDEX('KT THAN'!$J$38:$J$58,MATCH(Q480,'KT THAN'!$L$38:$L$58,-1))+(INDEX('KT THAN'!$J$38:$J$58,MIN(21,MATCH(Q480,'KT THAN'!$L$38:$L$58,-1)+1))-INDEX('KT THAN'!$J$38:$J$58,MATCH(Q480,'KT THAN'!$L$38:$L$58,-1)))*(Q480-INDEX('KT THAN'!$L$38:$L$58,MATCH(Q480,'KT THAN'!$L$38:$L$58,-1)))/(INDEX('KT THAN'!$L$38:$L$58,MIN(21,MATCH(Q480,'KT THAN'!$L$38:$L$58,-1)+1))-INDEX('KT THAN'!$L$38:$L$58,MATCH(Q480,'KT THAN'!$L$38:$L$58,-1)))),MIN(0.8*0.75*'KT THAN'!$C$62,'KT THAN'!$C$68/Q480)))))</f>
        <v/>
      </c>
      <c r="N480" s="38" t="str">
        <f>IF($A480="","",IF(H480=0,"",IF(R480&lt;=0.000000001,MIN(0.8*0.75*'KT THAN'!$C$62,MAX('KT THAN'!$W$38:$W$58)),IFERROR(MIN(0.8*0.75*'KT THAN'!$C$62,INDEX('KT THAN'!$W$38:$W$58,MATCH(R480,'KT THAN'!$Y$38:$Y$58,-1))+(INDEX('KT THAN'!$W$38:$W$58,MIN(21,MATCH(R480,'KT THAN'!$Y$38:$Y$58,-1)+1))-INDEX('KT THAN'!$W$38:$W$58,MATCH(R480,'KT THAN'!$Y$38:$Y$58,-1)))*(R480-INDEX('KT THAN'!$Y$38:$Y$58,MATCH(R480,'KT THAN'!$Y$38:$Y$58,-1)))/(INDEX('KT THAN'!$Y$38:$Y$58,MIN(21,MATCH(R480,'KT THAN'!$Y$38:$Y$58,-1)+1))-INDEX('KT THAN'!$Y$38:$Y$58,MATCH(R480,'KT THAN'!$Y$38:$Y$58,-1)))),MIN(0.8*0.75*'KT THAN'!$C$62,'KT THAN'!$D$68/R480)))))</f>
        <v/>
      </c>
      <c r="O480" s="38" t="str">
        <f>IF($A480="","",IF(H480&lt;0,ABS(H480)/MAX('KT THAN'!$C$69,0.001)+'KT THAN'!$C$32*ABS(J480)/MAX('KT THAN'!$C$68,0.001)+'KT THAN'!$D$32*ABS(I480)/MAX('KT THAN'!$D$68,0.001),IF(OR(M480&lt;=0,N480&lt;=0),999,IF(H480&gt;=0.1*0.75*fc_*Agth*1000,H480/MAX(0.001,1/(1/M480+1/N480-1/(0.75*'KT THAN'!$C$62))),'KT THAN'!$C$32*ABS(J480)/MAX('KT THAN'!$C$68,0.001)+'KT THAN'!$D$32*ABS(I480)/MAX('KT THAN'!$D$68,0.001)))))</f>
        <v/>
      </c>
      <c r="P480" s="37" t="str">
        <f t="shared" si="81"/>
        <v/>
      </c>
      <c r="Q480" s="38" t="str">
        <f>IF($A480="","",MAX(0.001,'KT THAN'!$C$32*ABS(J480)/MAX(1,H480)))</f>
        <v/>
      </c>
      <c r="R480" s="38" t="str">
        <f>IF($A480="","",MAX(0.001,'KT THAN'!$D$32*ABS(I480)/MAX(1,H480)))</f>
        <v/>
      </c>
      <c r="S480" t="str">
        <f t="shared" si="75"/>
        <v/>
      </c>
    </row>
    <row r="481" spans="1:19" hidden="1" outlineLevel="1" x14ac:dyDescent="0.3">
      <c r="A481" s="37" t="str">
        <f>IF(OR(nThan=1,'TO HOP NLAN'!$A37=""),"",'TO HOP NLAN'!$A37)</f>
        <v/>
      </c>
      <c r="B481" s="38" t="str">
        <f>IF($A481="","",'TO HOP NLAN'!$D37)</f>
        <v/>
      </c>
      <c r="C481" s="38" t="str">
        <f>IF($A481="","",'TO HOP NLAN'!$E37)</f>
        <v/>
      </c>
      <c r="D481" s="38" t="str">
        <f>IF($A481="","",'TO HOP NLAN'!$F37)</f>
        <v/>
      </c>
      <c r="E481" s="38" t="str">
        <f>IF($A481="","",'TO HOP NLAN'!$B37)</f>
        <v/>
      </c>
      <c r="F481" s="38" t="str">
        <f>IF($A481="","",'TO HOP NLAN'!$C37)</f>
        <v/>
      </c>
      <c r="G481" s="38" t="str">
        <f t="shared" si="76"/>
        <v/>
      </c>
      <c r="H481" s="38" t="str">
        <f t="shared" si="69"/>
        <v/>
      </c>
      <c r="I481" s="38" t="str">
        <f t="shared" si="77"/>
        <v/>
      </c>
      <c r="J481" s="38" t="str">
        <f t="shared" si="78"/>
        <v/>
      </c>
      <c r="K481" s="38" t="str">
        <f t="shared" si="79"/>
        <v/>
      </c>
      <c r="L481" s="38" t="str">
        <f t="shared" si="80"/>
        <v/>
      </c>
      <c r="M481" s="38" t="str">
        <f>IF($A481="","",IF(H481=0,"",IF(Q481&lt;=0.000000001,MIN(0.8*0.75*'KT THAN'!$C$62,MAX('KT THAN'!$J$38:$J$58)),IFERROR(MIN(0.8*0.75*'KT THAN'!$C$62,INDEX('KT THAN'!$J$38:$J$58,MATCH(Q481,'KT THAN'!$L$38:$L$58,-1))+(INDEX('KT THAN'!$J$38:$J$58,MIN(21,MATCH(Q481,'KT THAN'!$L$38:$L$58,-1)+1))-INDEX('KT THAN'!$J$38:$J$58,MATCH(Q481,'KT THAN'!$L$38:$L$58,-1)))*(Q481-INDEX('KT THAN'!$L$38:$L$58,MATCH(Q481,'KT THAN'!$L$38:$L$58,-1)))/(INDEX('KT THAN'!$L$38:$L$58,MIN(21,MATCH(Q481,'KT THAN'!$L$38:$L$58,-1)+1))-INDEX('KT THAN'!$L$38:$L$58,MATCH(Q481,'KT THAN'!$L$38:$L$58,-1)))),MIN(0.8*0.75*'KT THAN'!$C$62,'KT THAN'!$C$68/Q481)))))</f>
        <v/>
      </c>
      <c r="N481" s="38" t="str">
        <f>IF($A481="","",IF(H481=0,"",IF(R481&lt;=0.000000001,MIN(0.8*0.75*'KT THAN'!$C$62,MAX('KT THAN'!$W$38:$W$58)),IFERROR(MIN(0.8*0.75*'KT THAN'!$C$62,INDEX('KT THAN'!$W$38:$W$58,MATCH(R481,'KT THAN'!$Y$38:$Y$58,-1))+(INDEX('KT THAN'!$W$38:$W$58,MIN(21,MATCH(R481,'KT THAN'!$Y$38:$Y$58,-1)+1))-INDEX('KT THAN'!$W$38:$W$58,MATCH(R481,'KT THAN'!$Y$38:$Y$58,-1)))*(R481-INDEX('KT THAN'!$Y$38:$Y$58,MATCH(R481,'KT THAN'!$Y$38:$Y$58,-1)))/(INDEX('KT THAN'!$Y$38:$Y$58,MIN(21,MATCH(R481,'KT THAN'!$Y$38:$Y$58,-1)+1))-INDEX('KT THAN'!$Y$38:$Y$58,MATCH(R481,'KT THAN'!$Y$38:$Y$58,-1)))),MIN(0.8*0.75*'KT THAN'!$C$62,'KT THAN'!$D$68/R481)))))</f>
        <v/>
      </c>
      <c r="O481" s="38" t="str">
        <f>IF($A481="","",IF(H481&lt;0,ABS(H481)/MAX('KT THAN'!$C$69,0.001)+'KT THAN'!$C$32*ABS(J481)/MAX('KT THAN'!$C$68,0.001)+'KT THAN'!$D$32*ABS(I481)/MAX('KT THAN'!$D$68,0.001),IF(OR(M481&lt;=0,N481&lt;=0),999,IF(H481&gt;=0.1*0.75*fc_*Agth*1000,H481/MAX(0.001,1/(1/M481+1/N481-1/(0.75*'KT THAN'!$C$62))),'KT THAN'!$C$32*ABS(J481)/MAX('KT THAN'!$C$68,0.001)+'KT THAN'!$D$32*ABS(I481)/MAX('KT THAN'!$D$68,0.001)))))</f>
        <v/>
      </c>
      <c r="P481" s="37" t="str">
        <f t="shared" si="81"/>
        <v/>
      </c>
      <c r="Q481" s="38" t="str">
        <f>IF($A481="","",MAX(0.001,'KT THAN'!$C$32*ABS(J481)/MAX(1,H481)))</f>
        <v/>
      </c>
      <c r="R481" s="38" t="str">
        <f>IF($A481="","",MAX(0.001,'KT THAN'!$D$32*ABS(I481)/MAX(1,H481)))</f>
        <v/>
      </c>
      <c r="S481" t="str">
        <f t="shared" si="75"/>
        <v/>
      </c>
    </row>
    <row r="482" spans="1:19" hidden="1" outlineLevel="1" x14ac:dyDescent="0.3">
      <c r="A482" s="37" t="str">
        <f>IF(OR(nThan=1,'TO HOP NLAN'!$A38=""),"",'TO HOP NLAN'!$A38)</f>
        <v/>
      </c>
      <c r="B482" s="38" t="str">
        <f>IF($A482="","",'TO HOP NLAN'!$D38)</f>
        <v/>
      </c>
      <c r="C482" s="38" t="str">
        <f>IF($A482="","",'TO HOP NLAN'!$E38)</f>
        <v/>
      </c>
      <c r="D482" s="38" t="str">
        <f>IF($A482="","",'TO HOP NLAN'!$F38)</f>
        <v/>
      </c>
      <c r="E482" s="38" t="str">
        <f>IF($A482="","",'TO HOP NLAN'!$B38)</f>
        <v/>
      </c>
      <c r="F482" s="38" t="str">
        <f>IF($A482="","",'TO HOP NLAN'!$C38)</f>
        <v/>
      </c>
      <c r="G482" s="38" t="str">
        <f t="shared" si="76"/>
        <v/>
      </c>
      <c r="H482" s="38" t="str">
        <f t="shared" si="69"/>
        <v/>
      </c>
      <c r="I482" s="38" t="str">
        <f t="shared" si="77"/>
        <v/>
      </c>
      <c r="J482" s="38" t="str">
        <f t="shared" si="78"/>
        <v/>
      </c>
      <c r="K482" s="38" t="str">
        <f t="shared" si="79"/>
        <v/>
      </c>
      <c r="L482" s="38" t="str">
        <f t="shared" si="80"/>
        <v/>
      </c>
      <c r="M482" s="38" t="str">
        <f>IF($A482="","",IF(H482=0,"",IF(Q482&lt;=0.000000001,MIN(0.8*0.75*'KT THAN'!$C$62,MAX('KT THAN'!$J$38:$J$58)),IFERROR(MIN(0.8*0.75*'KT THAN'!$C$62,INDEX('KT THAN'!$J$38:$J$58,MATCH(Q482,'KT THAN'!$L$38:$L$58,-1))+(INDEX('KT THAN'!$J$38:$J$58,MIN(21,MATCH(Q482,'KT THAN'!$L$38:$L$58,-1)+1))-INDEX('KT THAN'!$J$38:$J$58,MATCH(Q482,'KT THAN'!$L$38:$L$58,-1)))*(Q482-INDEX('KT THAN'!$L$38:$L$58,MATCH(Q482,'KT THAN'!$L$38:$L$58,-1)))/(INDEX('KT THAN'!$L$38:$L$58,MIN(21,MATCH(Q482,'KT THAN'!$L$38:$L$58,-1)+1))-INDEX('KT THAN'!$L$38:$L$58,MATCH(Q482,'KT THAN'!$L$38:$L$58,-1)))),MIN(0.8*0.75*'KT THAN'!$C$62,'KT THAN'!$C$68/Q482)))))</f>
        <v/>
      </c>
      <c r="N482" s="38" t="str">
        <f>IF($A482="","",IF(H482=0,"",IF(R482&lt;=0.000000001,MIN(0.8*0.75*'KT THAN'!$C$62,MAX('KT THAN'!$W$38:$W$58)),IFERROR(MIN(0.8*0.75*'KT THAN'!$C$62,INDEX('KT THAN'!$W$38:$W$58,MATCH(R482,'KT THAN'!$Y$38:$Y$58,-1))+(INDEX('KT THAN'!$W$38:$W$58,MIN(21,MATCH(R482,'KT THAN'!$Y$38:$Y$58,-1)+1))-INDEX('KT THAN'!$W$38:$W$58,MATCH(R482,'KT THAN'!$Y$38:$Y$58,-1)))*(R482-INDEX('KT THAN'!$Y$38:$Y$58,MATCH(R482,'KT THAN'!$Y$38:$Y$58,-1)))/(INDEX('KT THAN'!$Y$38:$Y$58,MIN(21,MATCH(R482,'KT THAN'!$Y$38:$Y$58,-1)+1))-INDEX('KT THAN'!$Y$38:$Y$58,MATCH(R482,'KT THAN'!$Y$38:$Y$58,-1)))),MIN(0.8*0.75*'KT THAN'!$C$62,'KT THAN'!$D$68/R482)))))</f>
        <v/>
      </c>
      <c r="O482" s="38" t="str">
        <f>IF($A482="","",IF(H482&lt;0,ABS(H482)/MAX('KT THAN'!$C$69,0.001)+'KT THAN'!$C$32*ABS(J482)/MAX('KT THAN'!$C$68,0.001)+'KT THAN'!$D$32*ABS(I482)/MAX('KT THAN'!$D$68,0.001),IF(OR(M482&lt;=0,N482&lt;=0),999,IF(H482&gt;=0.1*0.75*fc_*Agth*1000,H482/MAX(0.001,1/(1/M482+1/N482-1/(0.75*'KT THAN'!$C$62))),'KT THAN'!$C$32*ABS(J482)/MAX('KT THAN'!$C$68,0.001)+'KT THAN'!$D$32*ABS(I482)/MAX('KT THAN'!$D$68,0.001)))))</f>
        <v/>
      </c>
      <c r="P482" s="37" t="str">
        <f t="shared" si="81"/>
        <v/>
      </c>
      <c r="Q482" s="38" t="str">
        <f>IF($A482="","",MAX(0.001,'KT THAN'!$C$32*ABS(J482)/MAX(1,H482)))</f>
        <v/>
      </c>
      <c r="R482" s="38" t="str">
        <f>IF($A482="","",MAX(0.001,'KT THAN'!$D$32*ABS(I482)/MAX(1,H482)))</f>
        <v/>
      </c>
      <c r="S482" t="str">
        <f t="shared" si="75"/>
        <v/>
      </c>
    </row>
    <row r="483" spans="1:19" hidden="1" outlineLevel="1" x14ac:dyDescent="0.3">
      <c r="A483" s="37" t="str">
        <f>IF(OR(nThan=1,'TO HOP NLAN'!$A39=""),"",'TO HOP NLAN'!$A39)</f>
        <v/>
      </c>
      <c r="B483" s="38" t="str">
        <f>IF($A483="","",'TO HOP NLAN'!$D39)</f>
        <v/>
      </c>
      <c r="C483" s="38" t="str">
        <f>IF($A483="","",'TO HOP NLAN'!$E39)</f>
        <v/>
      </c>
      <c r="D483" s="38" t="str">
        <f>IF($A483="","",'TO HOP NLAN'!$F39)</f>
        <v/>
      </c>
      <c r="E483" s="38" t="str">
        <f>IF($A483="","",'TO HOP NLAN'!$B39)</f>
        <v/>
      </c>
      <c r="F483" s="38" t="str">
        <f>IF($A483="","",'TO HOP NLAN'!$C39)</f>
        <v/>
      </c>
      <c r="G483" s="38" t="str">
        <f t="shared" si="76"/>
        <v/>
      </c>
      <c r="H483" s="38" t="str">
        <f t="shared" si="69"/>
        <v/>
      </c>
      <c r="I483" s="38" t="str">
        <f t="shared" si="77"/>
        <v/>
      </c>
      <c r="J483" s="38" t="str">
        <f t="shared" si="78"/>
        <v/>
      </c>
      <c r="K483" s="38" t="str">
        <f t="shared" si="79"/>
        <v/>
      </c>
      <c r="L483" s="38" t="str">
        <f t="shared" si="80"/>
        <v/>
      </c>
      <c r="M483" s="38" t="str">
        <f>IF($A483="","",IF(H483=0,"",IF(Q483&lt;=0.000000001,MIN(0.8*0.75*'KT THAN'!$C$62,MAX('KT THAN'!$J$38:$J$58)),IFERROR(MIN(0.8*0.75*'KT THAN'!$C$62,INDEX('KT THAN'!$J$38:$J$58,MATCH(Q483,'KT THAN'!$L$38:$L$58,-1))+(INDEX('KT THAN'!$J$38:$J$58,MIN(21,MATCH(Q483,'KT THAN'!$L$38:$L$58,-1)+1))-INDEX('KT THAN'!$J$38:$J$58,MATCH(Q483,'KT THAN'!$L$38:$L$58,-1)))*(Q483-INDEX('KT THAN'!$L$38:$L$58,MATCH(Q483,'KT THAN'!$L$38:$L$58,-1)))/(INDEX('KT THAN'!$L$38:$L$58,MIN(21,MATCH(Q483,'KT THAN'!$L$38:$L$58,-1)+1))-INDEX('KT THAN'!$L$38:$L$58,MATCH(Q483,'KT THAN'!$L$38:$L$58,-1)))),MIN(0.8*0.75*'KT THAN'!$C$62,'KT THAN'!$C$68/Q483)))))</f>
        <v/>
      </c>
      <c r="N483" s="38" t="str">
        <f>IF($A483="","",IF(H483=0,"",IF(R483&lt;=0.000000001,MIN(0.8*0.75*'KT THAN'!$C$62,MAX('KT THAN'!$W$38:$W$58)),IFERROR(MIN(0.8*0.75*'KT THAN'!$C$62,INDEX('KT THAN'!$W$38:$W$58,MATCH(R483,'KT THAN'!$Y$38:$Y$58,-1))+(INDEX('KT THAN'!$W$38:$W$58,MIN(21,MATCH(R483,'KT THAN'!$Y$38:$Y$58,-1)+1))-INDEX('KT THAN'!$W$38:$W$58,MATCH(R483,'KT THAN'!$Y$38:$Y$58,-1)))*(R483-INDEX('KT THAN'!$Y$38:$Y$58,MATCH(R483,'KT THAN'!$Y$38:$Y$58,-1)))/(INDEX('KT THAN'!$Y$38:$Y$58,MIN(21,MATCH(R483,'KT THAN'!$Y$38:$Y$58,-1)+1))-INDEX('KT THAN'!$Y$38:$Y$58,MATCH(R483,'KT THAN'!$Y$38:$Y$58,-1)))),MIN(0.8*0.75*'KT THAN'!$C$62,'KT THAN'!$D$68/R483)))))</f>
        <v/>
      </c>
      <c r="O483" s="38" t="str">
        <f>IF($A483="","",IF(H483&lt;0,ABS(H483)/MAX('KT THAN'!$C$69,0.001)+'KT THAN'!$C$32*ABS(J483)/MAX('KT THAN'!$C$68,0.001)+'KT THAN'!$D$32*ABS(I483)/MAX('KT THAN'!$D$68,0.001),IF(OR(M483&lt;=0,N483&lt;=0),999,IF(H483&gt;=0.1*0.75*fc_*Agth*1000,H483/MAX(0.001,1/(1/M483+1/N483-1/(0.75*'KT THAN'!$C$62))),'KT THAN'!$C$32*ABS(J483)/MAX('KT THAN'!$C$68,0.001)+'KT THAN'!$D$32*ABS(I483)/MAX('KT THAN'!$D$68,0.001)))))</f>
        <v/>
      </c>
      <c r="P483" s="37" t="str">
        <f t="shared" si="81"/>
        <v/>
      </c>
      <c r="Q483" s="38" t="str">
        <f>IF($A483="","",MAX(0.001,'KT THAN'!$C$32*ABS(J483)/MAX(1,H483)))</f>
        <v/>
      </c>
      <c r="R483" s="38" t="str">
        <f>IF($A483="","",MAX(0.001,'KT THAN'!$D$32*ABS(I483)/MAX(1,H483)))</f>
        <v/>
      </c>
      <c r="S483" t="str">
        <f t="shared" si="75"/>
        <v/>
      </c>
    </row>
    <row r="484" spans="1:19" hidden="1" outlineLevel="1" x14ac:dyDescent="0.3">
      <c r="A484" s="37" t="str">
        <f>IF(OR(nThan=1,'TO HOP NLAN'!$A40=""),"",'TO HOP NLAN'!$A40)</f>
        <v/>
      </c>
      <c r="B484" s="38" t="str">
        <f>IF($A484="","",'TO HOP NLAN'!$D40)</f>
        <v/>
      </c>
      <c r="C484" s="38" t="str">
        <f>IF($A484="","",'TO HOP NLAN'!$E40)</f>
        <v/>
      </c>
      <c r="D484" s="38" t="str">
        <f>IF($A484="","",'TO HOP NLAN'!$F40)</f>
        <v/>
      </c>
      <c r="E484" s="38" t="str">
        <f>IF($A484="","",'TO HOP NLAN'!$B40)</f>
        <v/>
      </c>
      <c r="F484" s="38" t="str">
        <f>IF($A484="","",'TO HOP NLAN'!$C40)</f>
        <v/>
      </c>
      <c r="G484" s="38" t="str">
        <f t="shared" si="76"/>
        <v/>
      </c>
      <c r="H484" s="38" t="str">
        <f t="shared" si="69"/>
        <v/>
      </c>
      <c r="I484" s="38" t="str">
        <f t="shared" si="77"/>
        <v/>
      </c>
      <c r="J484" s="38" t="str">
        <f t="shared" si="78"/>
        <v/>
      </c>
      <c r="K484" s="38" t="str">
        <f t="shared" si="79"/>
        <v/>
      </c>
      <c r="L484" s="38" t="str">
        <f t="shared" si="80"/>
        <v/>
      </c>
      <c r="M484" s="38" t="str">
        <f>IF($A484="","",IF(H484=0,"",IF(Q484&lt;=0.000000001,MIN(0.8*0.75*'KT THAN'!$C$62,MAX('KT THAN'!$J$38:$J$58)),IFERROR(MIN(0.8*0.75*'KT THAN'!$C$62,INDEX('KT THAN'!$J$38:$J$58,MATCH(Q484,'KT THAN'!$L$38:$L$58,-1))+(INDEX('KT THAN'!$J$38:$J$58,MIN(21,MATCH(Q484,'KT THAN'!$L$38:$L$58,-1)+1))-INDEX('KT THAN'!$J$38:$J$58,MATCH(Q484,'KT THAN'!$L$38:$L$58,-1)))*(Q484-INDEX('KT THAN'!$L$38:$L$58,MATCH(Q484,'KT THAN'!$L$38:$L$58,-1)))/(INDEX('KT THAN'!$L$38:$L$58,MIN(21,MATCH(Q484,'KT THAN'!$L$38:$L$58,-1)+1))-INDEX('KT THAN'!$L$38:$L$58,MATCH(Q484,'KT THAN'!$L$38:$L$58,-1)))),MIN(0.8*0.75*'KT THAN'!$C$62,'KT THAN'!$C$68/Q484)))))</f>
        <v/>
      </c>
      <c r="N484" s="38" t="str">
        <f>IF($A484="","",IF(H484=0,"",IF(R484&lt;=0.000000001,MIN(0.8*0.75*'KT THAN'!$C$62,MAX('KT THAN'!$W$38:$W$58)),IFERROR(MIN(0.8*0.75*'KT THAN'!$C$62,INDEX('KT THAN'!$W$38:$W$58,MATCH(R484,'KT THAN'!$Y$38:$Y$58,-1))+(INDEX('KT THAN'!$W$38:$W$58,MIN(21,MATCH(R484,'KT THAN'!$Y$38:$Y$58,-1)+1))-INDEX('KT THAN'!$W$38:$W$58,MATCH(R484,'KT THAN'!$Y$38:$Y$58,-1)))*(R484-INDEX('KT THAN'!$Y$38:$Y$58,MATCH(R484,'KT THAN'!$Y$38:$Y$58,-1)))/(INDEX('KT THAN'!$Y$38:$Y$58,MIN(21,MATCH(R484,'KT THAN'!$Y$38:$Y$58,-1)+1))-INDEX('KT THAN'!$Y$38:$Y$58,MATCH(R484,'KT THAN'!$Y$38:$Y$58,-1)))),MIN(0.8*0.75*'KT THAN'!$C$62,'KT THAN'!$D$68/R484)))))</f>
        <v/>
      </c>
      <c r="O484" s="38" t="str">
        <f>IF($A484="","",IF(H484&lt;0,ABS(H484)/MAX('KT THAN'!$C$69,0.001)+'KT THAN'!$C$32*ABS(J484)/MAX('KT THAN'!$C$68,0.001)+'KT THAN'!$D$32*ABS(I484)/MAX('KT THAN'!$D$68,0.001),IF(OR(M484&lt;=0,N484&lt;=0),999,IF(H484&gt;=0.1*0.75*fc_*Agth*1000,H484/MAX(0.001,1/(1/M484+1/N484-1/(0.75*'KT THAN'!$C$62))),'KT THAN'!$C$32*ABS(J484)/MAX('KT THAN'!$C$68,0.001)+'KT THAN'!$D$32*ABS(I484)/MAX('KT THAN'!$D$68,0.001)))))</f>
        <v/>
      </c>
      <c r="P484" s="37" t="str">
        <f t="shared" si="81"/>
        <v/>
      </c>
      <c r="Q484" s="38" t="str">
        <f>IF($A484="","",MAX(0.001,'KT THAN'!$C$32*ABS(J484)/MAX(1,H484)))</f>
        <v/>
      </c>
      <c r="R484" s="38" t="str">
        <f>IF($A484="","",MAX(0.001,'KT THAN'!$D$32*ABS(I484)/MAX(1,H484)))</f>
        <v/>
      </c>
      <c r="S484" t="str">
        <f t="shared" si="75"/>
        <v/>
      </c>
    </row>
    <row r="485" spans="1:19" hidden="1" outlineLevel="1" x14ac:dyDescent="0.3">
      <c r="A485" s="37" t="str">
        <f>IF(OR(nThan=1,'TO HOP NLAN'!$A41=""),"",'TO HOP NLAN'!$A41)</f>
        <v/>
      </c>
      <c r="B485" s="38" t="str">
        <f>IF($A485="","",'TO HOP NLAN'!$D41)</f>
        <v/>
      </c>
      <c r="C485" s="38" t="str">
        <f>IF($A485="","",'TO HOP NLAN'!$E41)</f>
        <v/>
      </c>
      <c r="D485" s="38" t="str">
        <f>IF($A485="","",'TO HOP NLAN'!$F41)</f>
        <v/>
      </c>
      <c r="E485" s="38" t="str">
        <f>IF($A485="","",'TO HOP NLAN'!$B41)</f>
        <v/>
      </c>
      <c r="F485" s="38" t="str">
        <f>IF($A485="","",'TO HOP NLAN'!$C41)</f>
        <v/>
      </c>
      <c r="G485" s="38" t="str">
        <f t="shared" si="76"/>
        <v/>
      </c>
      <c r="H485" s="38" t="str">
        <f t="shared" si="69"/>
        <v/>
      </c>
      <c r="I485" s="38" t="str">
        <f t="shared" si="77"/>
        <v/>
      </c>
      <c r="J485" s="38" t="str">
        <f t="shared" si="78"/>
        <v/>
      </c>
      <c r="K485" s="38" t="str">
        <f t="shared" si="79"/>
        <v/>
      </c>
      <c r="L485" s="38" t="str">
        <f t="shared" si="80"/>
        <v/>
      </c>
      <c r="M485" s="38" t="str">
        <f>IF($A485="","",IF(H485=0,"",IF(Q485&lt;=0.000000001,MIN(0.8*0.75*'KT THAN'!$C$62,MAX('KT THAN'!$J$38:$J$58)),IFERROR(MIN(0.8*0.75*'KT THAN'!$C$62,INDEX('KT THAN'!$J$38:$J$58,MATCH(Q485,'KT THAN'!$L$38:$L$58,-1))+(INDEX('KT THAN'!$J$38:$J$58,MIN(21,MATCH(Q485,'KT THAN'!$L$38:$L$58,-1)+1))-INDEX('KT THAN'!$J$38:$J$58,MATCH(Q485,'KT THAN'!$L$38:$L$58,-1)))*(Q485-INDEX('KT THAN'!$L$38:$L$58,MATCH(Q485,'KT THAN'!$L$38:$L$58,-1)))/(INDEX('KT THAN'!$L$38:$L$58,MIN(21,MATCH(Q485,'KT THAN'!$L$38:$L$58,-1)+1))-INDEX('KT THAN'!$L$38:$L$58,MATCH(Q485,'KT THAN'!$L$38:$L$58,-1)))),MIN(0.8*0.75*'KT THAN'!$C$62,'KT THAN'!$C$68/Q485)))))</f>
        <v/>
      </c>
      <c r="N485" s="38" t="str">
        <f>IF($A485="","",IF(H485=0,"",IF(R485&lt;=0.000000001,MIN(0.8*0.75*'KT THAN'!$C$62,MAX('KT THAN'!$W$38:$W$58)),IFERROR(MIN(0.8*0.75*'KT THAN'!$C$62,INDEX('KT THAN'!$W$38:$W$58,MATCH(R485,'KT THAN'!$Y$38:$Y$58,-1))+(INDEX('KT THAN'!$W$38:$W$58,MIN(21,MATCH(R485,'KT THAN'!$Y$38:$Y$58,-1)+1))-INDEX('KT THAN'!$W$38:$W$58,MATCH(R485,'KT THAN'!$Y$38:$Y$58,-1)))*(R485-INDEX('KT THAN'!$Y$38:$Y$58,MATCH(R485,'KT THAN'!$Y$38:$Y$58,-1)))/(INDEX('KT THAN'!$Y$38:$Y$58,MIN(21,MATCH(R485,'KT THAN'!$Y$38:$Y$58,-1)+1))-INDEX('KT THAN'!$Y$38:$Y$58,MATCH(R485,'KT THAN'!$Y$38:$Y$58,-1)))),MIN(0.8*0.75*'KT THAN'!$C$62,'KT THAN'!$D$68/R485)))))</f>
        <v/>
      </c>
      <c r="O485" s="38" t="str">
        <f>IF($A485="","",IF(H485&lt;0,ABS(H485)/MAX('KT THAN'!$C$69,0.001)+'KT THAN'!$C$32*ABS(J485)/MAX('KT THAN'!$C$68,0.001)+'KT THAN'!$D$32*ABS(I485)/MAX('KT THAN'!$D$68,0.001),IF(OR(M485&lt;=0,N485&lt;=0),999,IF(H485&gt;=0.1*0.75*fc_*Agth*1000,H485/MAX(0.001,1/(1/M485+1/N485-1/(0.75*'KT THAN'!$C$62))),'KT THAN'!$C$32*ABS(J485)/MAX('KT THAN'!$C$68,0.001)+'KT THAN'!$D$32*ABS(I485)/MAX('KT THAN'!$D$68,0.001)))))</f>
        <v/>
      </c>
      <c r="P485" s="37" t="str">
        <f t="shared" si="81"/>
        <v/>
      </c>
      <c r="Q485" s="38" t="str">
        <f>IF($A485="","",MAX(0.001,'KT THAN'!$C$32*ABS(J485)/MAX(1,H485)))</f>
        <v/>
      </c>
      <c r="R485" s="38" t="str">
        <f>IF($A485="","",MAX(0.001,'KT THAN'!$D$32*ABS(I485)/MAX(1,H485)))</f>
        <v/>
      </c>
      <c r="S485" t="str">
        <f t="shared" si="75"/>
        <v/>
      </c>
    </row>
    <row r="486" spans="1:19" hidden="1" outlineLevel="1" x14ac:dyDescent="0.3">
      <c r="A486" s="37" t="str">
        <f>IF(OR(nThan=1,'TO HOP NLAN'!$A42=""),"",'TO HOP NLAN'!$A42)</f>
        <v/>
      </c>
      <c r="B486" s="38" t="str">
        <f>IF($A486="","",'TO HOP NLAN'!$D42)</f>
        <v/>
      </c>
      <c r="C486" s="38" t="str">
        <f>IF($A486="","",'TO HOP NLAN'!$E42)</f>
        <v/>
      </c>
      <c r="D486" s="38" t="str">
        <f>IF($A486="","",'TO HOP NLAN'!$F42)</f>
        <v/>
      </c>
      <c r="E486" s="38" t="str">
        <f>IF($A486="","",'TO HOP NLAN'!$B42)</f>
        <v/>
      </c>
      <c r="F486" s="38" t="str">
        <f>IF($A486="","",'TO HOP NLAN'!$C42)</f>
        <v/>
      </c>
      <c r="G486" s="38" t="str">
        <f t="shared" si="76"/>
        <v/>
      </c>
      <c r="H486" s="38" t="str">
        <f t="shared" si="69"/>
        <v/>
      </c>
      <c r="I486" s="38" t="str">
        <f t="shared" si="77"/>
        <v/>
      </c>
      <c r="J486" s="38" t="str">
        <f t="shared" si="78"/>
        <v/>
      </c>
      <c r="K486" s="38" t="str">
        <f t="shared" si="79"/>
        <v/>
      </c>
      <c r="L486" s="38" t="str">
        <f t="shared" si="80"/>
        <v/>
      </c>
      <c r="M486" s="38" t="str">
        <f>IF($A486="","",IF(H486=0,"",IF(Q486&lt;=0.000000001,MIN(0.8*0.75*'KT THAN'!$C$62,MAX('KT THAN'!$J$38:$J$58)),IFERROR(MIN(0.8*0.75*'KT THAN'!$C$62,INDEX('KT THAN'!$J$38:$J$58,MATCH(Q486,'KT THAN'!$L$38:$L$58,-1))+(INDEX('KT THAN'!$J$38:$J$58,MIN(21,MATCH(Q486,'KT THAN'!$L$38:$L$58,-1)+1))-INDEX('KT THAN'!$J$38:$J$58,MATCH(Q486,'KT THAN'!$L$38:$L$58,-1)))*(Q486-INDEX('KT THAN'!$L$38:$L$58,MATCH(Q486,'KT THAN'!$L$38:$L$58,-1)))/(INDEX('KT THAN'!$L$38:$L$58,MIN(21,MATCH(Q486,'KT THAN'!$L$38:$L$58,-1)+1))-INDEX('KT THAN'!$L$38:$L$58,MATCH(Q486,'KT THAN'!$L$38:$L$58,-1)))),MIN(0.8*0.75*'KT THAN'!$C$62,'KT THAN'!$C$68/Q486)))))</f>
        <v/>
      </c>
      <c r="N486" s="38" t="str">
        <f>IF($A486="","",IF(H486=0,"",IF(R486&lt;=0.000000001,MIN(0.8*0.75*'KT THAN'!$C$62,MAX('KT THAN'!$W$38:$W$58)),IFERROR(MIN(0.8*0.75*'KT THAN'!$C$62,INDEX('KT THAN'!$W$38:$W$58,MATCH(R486,'KT THAN'!$Y$38:$Y$58,-1))+(INDEX('KT THAN'!$W$38:$W$58,MIN(21,MATCH(R486,'KT THAN'!$Y$38:$Y$58,-1)+1))-INDEX('KT THAN'!$W$38:$W$58,MATCH(R486,'KT THAN'!$Y$38:$Y$58,-1)))*(R486-INDEX('KT THAN'!$Y$38:$Y$58,MATCH(R486,'KT THAN'!$Y$38:$Y$58,-1)))/(INDEX('KT THAN'!$Y$38:$Y$58,MIN(21,MATCH(R486,'KT THAN'!$Y$38:$Y$58,-1)+1))-INDEX('KT THAN'!$Y$38:$Y$58,MATCH(R486,'KT THAN'!$Y$38:$Y$58,-1)))),MIN(0.8*0.75*'KT THAN'!$C$62,'KT THAN'!$D$68/R486)))))</f>
        <v/>
      </c>
      <c r="O486" s="38" t="str">
        <f>IF($A486="","",IF(H486&lt;0,ABS(H486)/MAX('KT THAN'!$C$69,0.001)+'KT THAN'!$C$32*ABS(J486)/MAX('KT THAN'!$C$68,0.001)+'KT THAN'!$D$32*ABS(I486)/MAX('KT THAN'!$D$68,0.001),IF(OR(M486&lt;=0,N486&lt;=0),999,IF(H486&gt;=0.1*0.75*fc_*Agth*1000,H486/MAX(0.001,1/(1/M486+1/N486-1/(0.75*'KT THAN'!$C$62))),'KT THAN'!$C$32*ABS(J486)/MAX('KT THAN'!$C$68,0.001)+'KT THAN'!$D$32*ABS(I486)/MAX('KT THAN'!$D$68,0.001)))))</f>
        <v/>
      </c>
      <c r="P486" s="37" t="str">
        <f t="shared" si="81"/>
        <v/>
      </c>
      <c r="Q486" s="38" t="str">
        <f>IF($A486="","",MAX(0.001,'KT THAN'!$C$32*ABS(J486)/MAX(1,H486)))</f>
        <v/>
      </c>
      <c r="R486" s="38" t="str">
        <f>IF($A486="","",MAX(0.001,'KT THAN'!$D$32*ABS(I486)/MAX(1,H486)))</f>
        <v/>
      </c>
      <c r="S486" t="str">
        <f t="shared" si="75"/>
        <v/>
      </c>
    </row>
    <row r="487" spans="1:19" hidden="1" outlineLevel="1" x14ac:dyDescent="0.3">
      <c r="A487" s="37" t="str">
        <f>IF(OR(nThan=1,'TO HOP NLAN'!$A43=""),"",'TO HOP NLAN'!$A43)</f>
        <v/>
      </c>
      <c r="B487" s="38" t="str">
        <f>IF($A487="","",'TO HOP NLAN'!$D43)</f>
        <v/>
      </c>
      <c r="C487" s="38" t="str">
        <f>IF($A487="","",'TO HOP NLAN'!$E43)</f>
        <v/>
      </c>
      <c r="D487" s="38" t="str">
        <f>IF($A487="","",'TO HOP NLAN'!$F43)</f>
        <v/>
      </c>
      <c r="E487" s="38" t="str">
        <f>IF($A487="","",'TO HOP NLAN'!$B43)</f>
        <v/>
      </c>
      <c r="F487" s="38" t="str">
        <f>IF($A487="","",'TO HOP NLAN'!$C43)</f>
        <v/>
      </c>
      <c r="G487" s="38" t="str">
        <f t="shared" si="76"/>
        <v/>
      </c>
      <c r="H487" s="38" t="str">
        <f t="shared" si="69"/>
        <v/>
      </c>
      <c r="I487" s="38" t="str">
        <f t="shared" si="77"/>
        <v/>
      </c>
      <c r="J487" s="38" t="str">
        <f t="shared" si="78"/>
        <v/>
      </c>
      <c r="K487" s="38" t="str">
        <f t="shared" si="79"/>
        <v/>
      </c>
      <c r="L487" s="38" t="str">
        <f t="shared" si="80"/>
        <v/>
      </c>
      <c r="M487" s="38" t="str">
        <f>IF($A487="","",IF(H487=0,"",IF(Q487&lt;=0.000000001,MIN(0.8*0.75*'KT THAN'!$C$62,MAX('KT THAN'!$J$38:$J$58)),IFERROR(MIN(0.8*0.75*'KT THAN'!$C$62,INDEX('KT THAN'!$J$38:$J$58,MATCH(Q487,'KT THAN'!$L$38:$L$58,-1))+(INDEX('KT THAN'!$J$38:$J$58,MIN(21,MATCH(Q487,'KT THAN'!$L$38:$L$58,-1)+1))-INDEX('KT THAN'!$J$38:$J$58,MATCH(Q487,'KT THAN'!$L$38:$L$58,-1)))*(Q487-INDEX('KT THAN'!$L$38:$L$58,MATCH(Q487,'KT THAN'!$L$38:$L$58,-1)))/(INDEX('KT THAN'!$L$38:$L$58,MIN(21,MATCH(Q487,'KT THAN'!$L$38:$L$58,-1)+1))-INDEX('KT THAN'!$L$38:$L$58,MATCH(Q487,'KT THAN'!$L$38:$L$58,-1)))),MIN(0.8*0.75*'KT THAN'!$C$62,'KT THAN'!$C$68/Q487)))))</f>
        <v/>
      </c>
      <c r="N487" s="38" t="str">
        <f>IF($A487="","",IF(H487=0,"",IF(R487&lt;=0.000000001,MIN(0.8*0.75*'KT THAN'!$C$62,MAX('KT THAN'!$W$38:$W$58)),IFERROR(MIN(0.8*0.75*'KT THAN'!$C$62,INDEX('KT THAN'!$W$38:$W$58,MATCH(R487,'KT THAN'!$Y$38:$Y$58,-1))+(INDEX('KT THAN'!$W$38:$W$58,MIN(21,MATCH(R487,'KT THAN'!$Y$38:$Y$58,-1)+1))-INDEX('KT THAN'!$W$38:$W$58,MATCH(R487,'KT THAN'!$Y$38:$Y$58,-1)))*(R487-INDEX('KT THAN'!$Y$38:$Y$58,MATCH(R487,'KT THAN'!$Y$38:$Y$58,-1)))/(INDEX('KT THAN'!$Y$38:$Y$58,MIN(21,MATCH(R487,'KT THAN'!$Y$38:$Y$58,-1)+1))-INDEX('KT THAN'!$Y$38:$Y$58,MATCH(R487,'KT THAN'!$Y$38:$Y$58,-1)))),MIN(0.8*0.75*'KT THAN'!$C$62,'KT THAN'!$D$68/R487)))))</f>
        <v/>
      </c>
      <c r="O487" s="38" t="str">
        <f>IF($A487="","",IF(H487&lt;0,ABS(H487)/MAX('KT THAN'!$C$69,0.001)+'KT THAN'!$C$32*ABS(J487)/MAX('KT THAN'!$C$68,0.001)+'KT THAN'!$D$32*ABS(I487)/MAX('KT THAN'!$D$68,0.001),IF(OR(M487&lt;=0,N487&lt;=0),999,IF(H487&gt;=0.1*0.75*fc_*Agth*1000,H487/MAX(0.001,1/(1/M487+1/N487-1/(0.75*'KT THAN'!$C$62))),'KT THAN'!$C$32*ABS(J487)/MAX('KT THAN'!$C$68,0.001)+'KT THAN'!$D$32*ABS(I487)/MAX('KT THAN'!$D$68,0.001)))))</f>
        <v/>
      </c>
      <c r="P487" s="37" t="str">
        <f t="shared" si="81"/>
        <v/>
      </c>
      <c r="Q487" s="38" t="str">
        <f>IF($A487="","",MAX(0.001,'KT THAN'!$C$32*ABS(J487)/MAX(1,H487)))</f>
        <v/>
      </c>
      <c r="R487" s="38" t="str">
        <f>IF($A487="","",MAX(0.001,'KT THAN'!$D$32*ABS(I487)/MAX(1,H487)))</f>
        <v/>
      </c>
      <c r="S487" t="str">
        <f t="shared" si="75"/>
        <v/>
      </c>
    </row>
    <row r="488" spans="1:19" hidden="1" outlineLevel="1" x14ac:dyDescent="0.3">
      <c r="A488" s="37" t="str">
        <f>IF(OR(nThan=1,'TO HOP NLAN'!$A44=""),"",'TO HOP NLAN'!$A44)</f>
        <v/>
      </c>
      <c r="B488" s="38" t="str">
        <f>IF($A488="","",'TO HOP NLAN'!$D44)</f>
        <v/>
      </c>
      <c r="C488" s="38" t="str">
        <f>IF($A488="","",'TO HOP NLAN'!$E44)</f>
        <v/>
      </c>
      <c r="D488" s="38" t="str">
        <f>IF($A488="","",'TO HOP NLAN'!$F44)</f>
        <v/>
      </c>
      <c r="E488" s="38" t="str">
        <f>IF($A488="","",'TO HOP NLAN'!$B44)</f>
        <v/>
      </c>
      <c r="F488" s="38" t="str">
        <f>IF($A488="","",'TO HOP NLAN'!$C44)</f>
        <v/>
      </c>
      <c r="G488" s="38" t="str">
        <f t="shared" si="76"/>
        <v/>
      </c>
      <c r="H488" s="38" t="str">
        <f t="shared" si="69"/>
        <v/>
      </c>
      <c r="I488" s="38" t="str">
        <f t="shared" si="77"/>
        <v/>
      </c>
      <c r="J488" s="38" t="str">
        <f t="shared" si="78"/>
        <v/>
      </c>
      <c r="K488" s="38" t="str">
        <f t="shared" si="79"/>
        <v/>
      </c>
      <c r="L488" s="38" t="str">
        <f t="shared" si="80"/>
        <v/>
      </c>
      <c r="M488" s="38" t="str">
        <f>IF($A488="","",IF(H488=0,"",IF(Q488&lt;=0.000000001,MIN(0.8*0.75*'KT THAN'!$C$62,MAX('KT THAN'!$J$38:$J$58)),IFERROR(MIN(0.8*0.75*'KT THAN'!$C$62,INDEX('KT THAN'!$J$38:$J$58,MATCH(Q488,'KT THAN'!$L$38:$L$58,-1))+(INDEX('KT THAN'!$J$38:$J$58,MIN(21,MATCH(Q488,'KT THAN'!$L$38:$L$58,-1)+1))-INDEX('KT THAN'!$J$38:$J$58,MATCH(Q488,'KT THAN'!$L$38:$L$58,-1)))*(Q488-INDEX('KT THAN'!$L$38:$L$58,MATCH(Q488,'KT THAN'!$L$38:$L$58,-1)))/(INDEX('KT THAN'!$L$38:$L$58,MIN(21,MATCH(Q488,'KT THAN'!$L$38:$L$58,-1)+1))-INDEX('KT THAN'!$L$38:$L$58,MATCH(Q488,'KT THAN'!$L$38:$L$58,-1)))),MIN(0.8*0.75*'KT THAN'!$C$62,'KT THAN'!$C$68/Q488)))))</f>
        <v/>
      </c>
      <c r="N488" s="38" t="str">
        <f>IF($A488="","",IF(H488=0,"",IF(R488&lt;=0.000000001,MIN(0.8*0.75*'KT THAN'!$C$62,MAX('KT THAN'!$W$38:$W$58)),IFERROR(MIN(0.8*0.75*'KT THAN'!$C$62,INDEX('KT THAN'!$W$38:$W$58,MATCH(R488,'KT THAN'!$Y$38:$Y$58,-1))+(INDEX('KT THAN'!$W$38:$W$58,MIN(21,MATCH(R488,'KT THAN'!$Y$38:$Y$58,-1)+1))-INDEX('KT THAN'!$W$38:$W$58,MATCH(R488,'KT THAN'!$Y$38:$Y$58,-1)))*(R488-INDEX('KT THAN'!$Y$38:$Y$58,MATCH(R488,'KT THAN'!$Y$38:$Y$58,-1)))/(INDEX('KT THAN'!$Y$38:$Y$58,MIN(21,MATCH(R488,'KT THAN'!$Y$38:$Y$58,-1)+1))-INDEX('KT THAN'!$Y$38:$Y$58,MATCH(R488,'KT THAN'!$Y$38:$Y$58,-1)))),MIN(0.8*0.75*'KT THAN'!$C$62,'KT THAN'!$D$68/R488)))))</f>
        <v/>
      </c>
      <c r="O488" s="38" t="str">
        <f>IF($A488="","",IF(H488&lt;0,ABS(H488)/MAX('KT THAN'!$C$69,0.001)+'KT THAN'!$C$32*ABS(J488)/MAX('KT THAN'!$C$68,0.001)+'KT THAN'!$D$32*ABS(I488)/MAX('KT THAN'!$D$68,0.001),IF(OR(M488&lt;=0,N488&lt;=0),999,IF(H488&gt;=0.1*0.75*fc_*Agth*1000,H488/MAX(0.001,1/(1/M488+1/N488-1/(0.75*'KT THAN'!$C$62))),'KT THAN'!$C$32*ABS(J488)/MAX('KT THAN'!$C$68,0.001)+'KT THAN'!$D$32*ABS(I488)/MAX('KT THAN'!$D$68,0.001)))))</f>
        <v/>
      </c>
      <c r="P488" s="37" t="str">
        <f t="shared" si="81"/>
        <v/>
      </c>
      <c r="Q488" s="38" t="str">
        <f>IF($A488="","",MAX(0.001,'KT THAN'!$C$32*ABS(J488)/MAX(1,H488)))</f>
        <v/>
      </c>
      <c r="R488" s="38" t="str">
        <f>IF($A488="","",MAX(0.001,'KT THAN'!$D$32*ABS(I488)/MAX(1,H488)))</f>
        <v/>
      </c>
      <c r="S488" t="str">
        <f t="shared" si="75"/>
        <v/>
      </c>
    </row>
    <row r="489" spans="1:19" hidden="1" outlineLevel="1" x14ac:dyDescent="0.3">
      <c r="A489" s="37" t="str">
        <f>IF(OR(nThan=1,'TO HOP NLAN'!$A45=""),"",'TO HOP NLAN'!$A45)</f>
        <v/>
      </c>
      <c r="B489" s="38" t="str">
        <f>IF($A489="","",'TO HOP NLAN'!$D45)</f>
        <v/>
      </c>
      <c r="C489" s="38" t="str">
        <f>IF($A489="","",'TO HOP NLAN'!$E45)</f>
        <v/>
      </c>
      <c r="D489" s="38" t="str">
        <f>IF($A489="","",'TO HOP NLAN'!$F45)</f>
        <v/>
      </c>
      <c r="E489" s="38" t="str">
        <f>IF($A489="","",'TO HOP NLAN'!$B45)</f>
        <v/>
      </c>
      <c r="F489" s="38" t="str">
        <f>IF($A489="","",'TO HOP NLAN'!$C45)</f>
        <v/>
      </c>
      <c r="G489" s="38" t="str">
        <f t="shared" si="76"/>
        <v/>
      </c>
      <c r="H489" s="38" t="str">
        <f t="shared" si="69"/>
        <v/>
      </c>
      <c r="I489" s="38" t="str">
        <f t="shared" si="77"/>
        <v/>
      </c>
      <c r="J489" s="38" t="str">
        <f t="shared" si="78"/>
        <v/>
      </c>
      <c r="K489" s="38" t="str">
        <f t="shared" si="79"/>
        <v/>
      </c>
      <c r="L489" s="38" t="str">
        <f t="shared" si="80"/>
        <v/>
      </c>
      <c r="M489" s="38" t="str">
        <f>IF($A489="","",IF(H489=0,"",IF(Q489&lt;=0.000000001,MIN(0.8*0.75*'KT THAN'!$C$62,MAX('KT THAN'!$J$38:$J$58)),IFERROR(MIN(0.8*0.75*'KT THAN'!$C$62,INDEX('KT THAN'!$J$38:$J$58,MATCH(Q489,'KT THAN'!$L$38:$L$58,-1))+(INDEX('KT THAN'!$J$38:$J$58,MIN(21,MATCH(Q489,'KT THAN'!$L$38:$L$58,-1)+1))-INDEX('KT THAN'!$J$38:$J$58,MATCH(Q489,'KT THAN'!$L$38:$L$58,-1)))*(Q489-INDEX('KT THAN'!$L$38:$L$58,MATCH(Q489,'KT THAN'!$L$38:$L$58,-1)))/(INDEX('KT THAN'!$L$38:$L$58,MIN(21,MATCH(Q489,'KT THAN'!$L$38:$L$58,-1)+1))-INDEX('KT THAN'!$L$38:$L$58,MATCH(Q489,'KT THAN'!$L$38:$L$58,-1)))),MIN(0.8*0.75*'KT THAN'!$C$62,'KT THAN'!$C$68/Q489)))))</f>
        <v/>
      </c>
      <c r="N489" s="38" t="str">
        <f>IF($A489="","",IF(H489=0,"",IF(R489&lt;=0.000000001,MIN(0.8*0.75*'KT THAN'!$C$62,MAX('KT THAN'!$W$38:$W$58)),IFERROR(MIN(0.8*0.75*'KT THAN'!$C$62,INDEX('KT THAN'!$W$38:$W$58,MATCH(R489,'KT THAN'!$Y$38:$Y$58,-1))+(INDEX('KT THAN'!$W$38:$W$58,MIN(21,MATCH(R489,'KT THAN'!$Y$38:$Y$58,-1)+1))-INDEX('KT THAN'!$W$38:$W$58,MATCH(R489,'KT THAN'!$Y$38:$Y$58,-1)))*(R489-INDEX('KT THAN'!$Y$38:$Y$58,MATCH(R489,'KT THAN'!$Y$38:$Y$58,-1)))/(INDEX('KT THAN'!$Y$38:$Y$58,MIN(21,MATCH(R489,'KT THAN'!$Y$38:$Y$58,-1)+1))-INDEX('KT THAN'!$Y$38:$Y$58,MATCH(R489,'KT THAN'!$Y$38:$Y$58,-1)))),MIN(0.8*0.75*'KT THAN'!$C$62,'KT THAN'!$D$68/R489)))))</f>
        <v/>
      </c>
      <c r="O489" s="38" t="str">
        <f>IF($A489="","",IF(H489&lt;0,ABS(H489)/MAX('KT THAN'!$C$69,0.001)+'KT THAN'!$C$32*ABS(J489)/MAX('KT THAN'!$C$68,0.001)+'KT THAN'!$D$32*ABS(I489)/MAX('KT THAN'!$D$68,0.001),IF(OR(M489&lt;=0,N489&lt;=0),999,IF(H489&gt;=0.1*0.75*fc_*Agth*1000,H489/MAX(0.001,1/(1/M489+1/N489-1/(0.75*'KT THAN'!$C$62))),'KT THAN'!$C$32*ABS(J489)/MAX('KT THAN'!$C$68,0.001)+'KT THAN'!$D$32*ABS(I489)/MAX('KT THAN'!$D$68,0.001)))))</f>
        <v/>
      </c>
      <c r="P489" s="37" t="str">
        <f t="shared" si="81"/>
        <v/>
      </c>
      <c r="Q489" s="38" t="str">
        <f>IF($A489="","",MAX(0.001,'KT THAN'!$C$32*ABS(J489)/MAX(1,H489)))</f>
        <v/>
      </c>
      <c r="R489" s="38" t="str">
        <f>IF($A489="","",MAX(0.001,'KT THAN'!$D$32*ABS(I489)/MAX(1,H489)))</f>
        <v/>
      </c>
      <c r="S489" t="str">
        <f t="shared" si="75"/>
        <v/>
      </c>
    </row>
    <row r="490" spans="1:19" hidden="1" outlineLevel="1" x14ac:dyDescent="0.3">
      <c r="A490" s="37" t="str">
        <f>IF(OR(nThan=1,'TO HOP NLAN'!$A46=""),"",'TO HOP NLAN'!$A46)</f>
        <v/>
      </c>
      <c r="B490" s="38" t="str">
        <f>IF($A490="","",'TO HOP NLAN'!$D46)</f>
        <v/>
      </c>
      <c r="C490" s="38" t="str">
        <f>IF($A490="","",'TO HOP NLAN'!$E46)</f>
        <v/>
      </c>
      <c r="D490" s="38" t="str">
        <f>IF($A490="","",'TO HOP NLAN'!$F46)</f>
        <v/>
      </c>
      <c r="E490" s="38" t="str">
        <f>IF($A490="","",'TO HOP NLAN'!$B46)</f>
        <v/>
      </c>
      <c r="F490" s="38" t="str">
        <f>IF($A490="","",'TO HOP NLAN'!$C46)</f>
        <v/>
      </c>
      <c r="G490" s="38" t="str">
        <f t="shared" si="76"/>
        <v/>
      </c>
      <c r="H490" s="38" t="str">
        <f t="shared" si="69"/>
        <v/>
      </c>
      <c r="I490" s="38" t="str">
        <f t="shared" si="77"/>
        <v/>
      </c>
      <c r="J490" s="38" t="str">
        <f t="shared" si="78"/>
        <v/>
      </c>
      <c r="K490" s="38" t="str">
        <f t="shared" si="79"/>
        <v/>
      </c>
      <c r="L490" s="38" t="str">
        <f t="shared" si="80"/>
        <v/>
      </c>
      <c r="M490" s="38" t="str">
        <f>IF($A490="","",IF(H490=0,"",IF(Q490&lt;=0.000000001,MIN(0.8*0.75*'KT THAN'!$C$62,MAX('KT THAN'!$J$38:$J$58)),IFERROR(MIN(0.8*0.75*'KT THAN'!$C$62,INDEX('KT THAN'!$J$38:$J$58,MATCH(Q490,'KT THAN'!$L$38:$L$58,-1))+(INDEX('KT THAN'!$J$38:$J$58,MIN(21,MATCH(Q490,'KT THAN'!$L$38:$L$58,-1)+1))-INDEX('KT THAN'!$J$38:$J$58,MATCH(Q490,'KT THAN'!$L$38:$L$58,-1)))*(Q490-INDEX('KT THAN'!$L$38:$L$58,MATCH(Q490,'KT THAN'!$L$38:$L$58,-1)))/(INDEX('KT THAN'!$L$38:$L$58,MIN(21,MATCH(Q490,'KT THAN'!$L$38:$L$58,-1)+1))-INDEX('KT THAN'!$L$38:$L$58,MATCH(Q490,'KT THAN'!$L$38:$L$58,-1)))),MIN(0.8*0.75*'KT THAN'!$C$62,'KT THAN'!$C$68/Q490)))))</f>
        <v/>
      </c>
      <c r="N490" s="38" t="str">
        <f>IF($A490="","",IF(H490=0,"",IF(R490&lt;=0.000000001,MIN(0.8*0.75*'KT THAN'!$C$62,MAX('KT THAN'!$W$38:$W$58)),IFERROR(MIN(0.8*0.75*'KT THAN'!$C$62,INDEX('KT THAN'!$W$38:$W$58,MATCH(R490,'KT THAN'!$Y$38:$Y$58,-1))+(INDEX('KT THAN'!$W$38:$W$58,MIN(21,MATCH(R490,'KT THAN'!$Y$38:$Y$58,-1)+1))-INDEX('KT THAN'!$W$38:$W$58,MATCH(R490,'KT THAN'!$Y$38:$Y$58,-1)))*(R490-INDEX('KT THAN'!$Y$38:$Y$58,MATCH(R490,'KT THAN'!$Y$38:$Y$58,-1)))/(INDEX('KT THAN'!$Y$38:$Y$58,MIN(21,MATCH(R490,'KT THAN'!$Y$38:$Y$58,-1)+1))-INDEX('KT THAN'!$Y$38:$Y$58,MATCH(R490,'KT THAN'!$Y$38:$Y$58,-1)))),MIN(0.8*0.75*'KT THAN'!$C$62,'KT THAN'!$D$68/R490)))))</f>
        <v/>
      </c>
      <c r="O490" s="38" t="str">
        <f>IF($A490="","",IF(H490&lt;0,ABS(H490)/MAX('KT THAN'!$C$69,0.001)+'KT THAN'!$C$32*ABS(J490)/MAX('KT THAN'!$C$68,0.001)+'KT THAN'!$D$32*ABS(I490)/MAX('KT THAN'!$D$68,0.001),IF(OR(M490&lt;=0,N490&lt;=0),999,IF(H490&gt;=0.1*0.75*fc_*Agth*1000,H490/MAX(0.001,1/(1/M490+1/N490-1/(0.75*'KT THAN'!$C$62))),'KT THAN'!$C$32*ABS(J490)/MAX('KT THAN'!$C$68,0.001)+'KT THAN'!$D$32*ABS(I490)/MAX('KT THAN'!$D$68,0.001)))))</f>
        <v/>
      </c>
      <c r="P490" s="37" t="str">
        <f t="shared" si="81"/>
        <v/>
      </c>
      <c r="Q490" s="38" t="str">
        <f>IF($A490="","",MAX(0.001,'KT THAN'!$C$32*ABS(J490)/MAX(1,H490)))</f>
        <v/>
      </c>
      <c r="R490" s="38" t="str">
        <f>IF($A490="","",MAX(0.001,'KT THAN'!$D$32*ABS(I490)/MAX(1,H490)))</f>
        <v/>
      </c>
      <c r="S490" t="str">
        <f t="shared" si="75"/>
        <v/>
      </c>
    </row>
    <row r="491" spans="1:19" hidden="1" outlineLevel="1" x14ac:dyDescent="0.3">
      <c r="A491" s="37" t="str">
        <f>IF(OR(nThan=1,'TO HOP NLAN'!$A47=""),"",'TO HOP NLAN'!$A47)</f>
        <v/>
      </c>
      <c r="B491" s="38" t="str">
        <f>IF($A491="","",'TO HOP NLAN'!$D47)</f>
        <v/>
      </c>
      <c r="C491" s="38" t="str">
        <f>IF($A491="","",'TO HOP NLAN'!$E47)</f>
        <v/>
      </c>
      <c r="D491" s="38" t="str">
        <f>IF($A491="","",'TO HOP NLAN'!$F47)</f>
        <v/>
      </c>
      <c r="E491" s="38" t="str">
        <f>IF($A491="","",'TO HOP NLAN'!$B47)</f>
        <v/>
      </c>
      <c r="F491" s="38" t="str">
        <f>IF($A491="","",'TO HOP NLAN'!$C47)</f>
        <v/>
      </c>
      <c r="G491" s="38" t="str">
        <f t="shared" si="76"/>
        <v/>
      </c>
      <c r="H491" s="38" t="str">
        <f t="shared" si="69"/>
        <v/>
      </c>
      <c r="I491" s="38" t="str">
        <f t="shared" si="77"/>
        <v/>
      </c>
      <c r="J491" s="38" t="str">
        <f t="shared" si="78"/>
        <v/>
      </c>
      <c r="K491" s="38" t="str">
        <f t="shared" si="79"/>
        <v/>
      </c>
      <c r="L491" s="38" t="str">
        <f t="shared" si="80"/>
        <v/>
      </c>
      <c r="M491" s="38" t="str">
        <f>IF($A491="","",IF(H491=0,"",IF(Q491&lt;=0.000000001,MIN(0.8*0.75*'KT THAN'!$C$62,MAX('KT THAN'!$J$38:$J$58)),IFERROR(MIN(0.8*0.75*'KT THAN'!$C$62,INDEX('KT THAN'!$J$38:$J$58,MATCH(Q491,'KT THAN'!$L$38:$L$58,-1))+(INDEX('KT THAN'!$J$38:$J$58,MIN(21,MATCH(Q491,'KT THAN'!$L$38:$L$58,-1)+1))-INDEX('KT THAN'!$J$38:$J$58,MATCH(Q491,'KT THAN'!$L$38:$L$58,-1)))*(Q491-INDEX('KT THAN'!$L$38:$L$58,MATCH(Q491,'KT THAN'!$L$38:$L$58,-1)))/(INDEX('KT THAN'!$L$38:$L$58,MIN(21,MATCH(Q491,'KT THAN'!$L$38:$L$58,-1)+1))-INDEX('KT THAN'!$L$38:$L$58,MATCH(Q491,'KT THAN'!$L$38:$L$58,-1)))),MIN(0.8*0.75*'KT THAN'!$C$62,'KT THAN'!$C$68/Q491)))))</f>
        <v/>
      </c>
      <c r="N491" s="38" t="str">
        <f>IF($A491="","",IF(H491=0,"",IF(R491&lt;=0.000000001,MIN(0.8*0.75*'KT THAN'!$C$62,MAX('KT THAN'!$W$38:$W$58)),IFERROR(MIN(0.8*0.75*'KT THAN'!$C$62,INDEX('KT THAN'!$W$38:$W$58,MATCH(R491,'KT THAN'!$Y$38:$Y$58,-1))+(INDEX('KT THAN'!$W$38:$W$58,MIN(21,MATCH(R491,'KT THAN'!$Y$38:$Y$58,-1)+1))-INDEX('KT THAN'!$W$38:$W$58,MATCH(R491,'KT THAN'!$Y$38:$Y$58,-1)))*(R491-INDEX('KT THAN'!$Y$38:$Y$58,MATCH(R491,'KT THAN'!$Y$38:$Y$58,-1)))/(INDEX('KT THAN'!$Y$38:$Y$58,MIN(21,MATCH(R491,'KT THAN'!$Y$38:$Y$58,-1)+1))-INDEX('KT THAN'!$Y$38:$Y$58,MATCH(R491,'KT THAN'!$Y$38:$Y$58,-1)))),MIN(0.8*0.75*'KT THAN'!$C$62,'KT THAN'!$D$68/R491)))))</f>
        <v/>
      </c>
      <c r="O491" s="38" t="str">
        <f>IF($A491="","",IF(H491&lt;0,ABS(H491)/MAX('KT THAN'!$C$69,0.001)+'KT THAN'!$C$32*ABS(J491)/MAX('KT THAN'!$C$68,0.001)+'KT THAN'!$D$32*ABS(I491)/MAX('KT THAN'!$D$68,0.001),IF(OR(M491&lt;=0,N491&lt;=0),999,IF(H491&gt;=0.1*0.75*fc_*Agth*1000,H491/MAX(0.001,1/(1/M491+1/N491-1/(0.75*'KT THAN'!$C$62))),'KT THAN'!$C$32*ABS(J491)/MAX('KT THAN'!$C$68,0.001)+'KT THAN'!$D$32*ABS(I491)/MAX('KT THAN'!$D$68,0.001)))))</f>
        <v/>
      </c>
      <c r="P491" s="37" t="str">
        <f t="shared" si="81"/>
        <v/>
      </c>
      <c r="Q491" s="38" t="str">
        <f>IF($A491="","",MAX(0.001,'KT THAN'!$C$32*ABS(J491)/MAX(1,H491)))</f>
        <v/>
      </c>
      <c r="R491" s="38" t="str">
        <f>IF($A491="","",MAX(0.001,'KT THAN'!$D$32*ABS(I491)/MAX(1,H491)))</f>
        <v/>
      </c>
      <c r="S491" t="str">
        <f t="shared" si="75"/>
        <v/>
      </c>
    </row>
    <row r="492" spans="1:19" hidden="1" outlineLevel="1" x14ac:dyDescent="0.3">
      <c r="A492" s="37" t="str">
        <f>IF(OR(nThan=1,'TO HOP NLAN'!$A48=""),"",'TO HOP NLAN'!$A48)</f>
        <v/>
      </c>
      <c r="B492" s="38" t="str">
        <f>IF($A492="","",'TO HOP NLAN'!$D48)</f>
        <v/>
      </c>
      <c r="C492" s="38" t="str">
        <f>IF($A492="","",'TO HOP NLAN'!$E48)</f>
        <v/>
      </c>
      <c r="D492" s="38" t="str">
        <f>IF($A492="","",'TO HOP NLAN'!$F48)</f>
        <v/>
      </c>
      <c r="E492" s="38" t="str">
        <f>IF($A492="","",'TO HOP NLAN'!$B48)</f>
        <v/>
      </c>
      <c r="F492" s="38" t="str">
        <f>IF($A492="","",'TO HOP NLAN'!$C48)</f>
        <v/>
      </c>
      <c r="G492" s="38" t="str">
        <f t="shared" si="76"/>
        <v/>
      </c>
      <c r="H492" s="38" t="str">
        <f t="shared" si="69"/>
        <v/>
      </c>
      <c r="I492" s="38" t="str">
        <f t="shared" si="77"/>
        <v/>
      </c>
      <c r="J492" s="38" t="str">
        <f t="shared" si="78"/>
        <v/>
      </c>
      <c r="K492" s="38" t="str">
        <f t="shared" si="79"/>
        <v/>
      </c>
      <c r="L492" s="38" t="str">
        <f t="shared" si="80"/>
        <v/>
      </c>
      <c r="M492" s="38" t="str">
        <f>IF($A492="","",IF(H492=0,"",IF(Q492&lt;=0.000000001,MIN(0.8*0.75*'KT THAN'!$C$62,MAX('KT THAN'!$J$38:$J$58)),IFERROR(MIN(0.8*0.75*'KT THAN'!$C$62,INDEX('KT THAN'!$J$38:$J$58,MATCH(Q492,'KT THAN'!$L$38:$L$58,-1))+(INDEX('KT THAN'!$J$38:$J$58,MIN(21,MATCH(Q492,'KT THAN'!$L$38:$L$58,-1)+1))-INDEX('KT THAN'!$J$38:$J$58,MATCH(Q492,'KT THAN'!$L$38:$L$58,-1)))*(Q492-INDEX('KT THAN'!$L$38:$L$58,MATCH(Q492,'KT THAN'!$L$38:$L$58,-1)))/(INDEX('KT THAN'!$L$38:$L$58,MIN(21,MATCH(Q492,'KT THAN'!$L$38:$L$58,-1)+1))-INDEX('KT THAN'!$L$38:$L$58,MATCH(Q492,'KT THAN'!$L$38:$L$58,-1)))),MIN(0.8*0.75*'KT THAN'!$C$62,'KT THAN'!$C$68/Q492)))))</f>
        <v/>
      </c>
      <c r="N492" s="38" t="str">
        <f>IF($A492="","",IF(H492=0,"",IF(R492&lt;=0.000000001,MIN(0.8*0.75*'KT THAN'!$C$62,MAX('KT THAN'!$W$38:$W$58)),IFERROR(MIN(0.8*0.75*'KT THAN'!$C$62,INDEX('KT THAN'!$W$38:$W$58,MATCH(R492,'KT THAN'!$Y$38:$Y$58,-1))+(INDEX('KT THAN'!$W$38:$W$58,MIN(21,MATCH(R492,'KT THAN'!$Y$38:$Y$58,-1)+1))-INDEX('KT THAN'!$W$38:$W$58,MATCH(R492,'KT THAN'!$Y$38:$Y$58,-1)))*(R492-INDEX('KT THAN'!$Y$38:$Y$58,MATCH(R492,'KT THAN'!$Y$38:$Y$58,-1)))/(INDEX('KT THAN'!$Y$38:$Y$58,MIN(21,MATCH(R492,'KT THAN'!$Y$38:$Y$58,-1)+1))-INDEX('KT THAN'!$Y$38:$Y$58,MATCH(R492,'KT THAN'!$Y$38:$Y$58,-1)))),MIN(0.8*0.75*'KT THAN'!$C$62,'KT THAN'!$D$68/R492)))))</f>
        <v/>
      </c>
      <c r="O492" s="38" t="str">
        <f>IF($A492="","",IF(H492&lt;0,ABS(H492)/MAX('KT THAN'!$C$69,0.001)+'KT THAN'!$C$32*ABS(J492)/MAX('KT THAN'!$C$68,0.001)+'KT THAN'!$D$32*ABS(I492)/MAX('KT THAN'!$D$68,0.001),IF(OR(M492&lt;=0,N492&lt;=0),999,IF(H492&gt;=0.1*0.75*fc_*Agth*1000,H492/MAX(0.001,1/(1/M492+1/N492-1/(0.75*'KT THAN'!$C$62))),'KT THAN'!$C$32*ABS(J492)/MAX('KT THAN'!$C$68,0.001)+'KT THAN'!$D$32*ABS(I492)/MAX('KT THAN'!$D$68,0.001)))))</f>
        <v/>
      </c>
      <c r="P492" s="37" t="str">
        <f t="shared" si="81"/>
        <v/>
      </c>
      <c r="Q492" s="38" t="str">
        <f>IF($A492="","",MAX(0.001,'KT THAN'!$C$32*ABS(J492)/MAX(1,H492)))</f>
        <v/>
      </c>
      <c r="R492" s="38" t="str">
        <f>IF($A492="","",MAX(0.001,'KT THAN'!$D$32*ABS(I492)/MAX(1,H492)))</f>
        <v/>
      </c>
      <c r="S492" t="str">
        <f t="shared" si="75"/>
        <v/>
      </c>
    </row>
    <row r="493" spans="1:19" hidden="1" outlineLevel="1" x14ac:dyDescent="0.3">
      <c r="A493" s="37" t="str">
        <f>IF(OR(nThan=1,'TO HOP NLAN'!$A49=""),"",'TO HOP NLAN'!$A49)</f>
        <v/>
      </c>
      <c r="B493" s="38" t="str">
        <f>IF($A493="","",'TO HOP NLAN'!$D49)</f>
        <v/>
      </c>
      <c r="C493" s="38" t="str">
        <f>IF($A493="","",'TO HOP NLAN'!$E49)</f>
        <v/>
      </c>
      <c r="D493" s="38" t="str">
        <f>IF($A493="","",'TO HOP NLAN'!$F49)</f>
        <v/>
      </c>
      <c r="E493" s="38" t="str">
        <f>IF($A493="","",'TO HOP NLAN'!$B49)</f>
        <v/>
      </c>
      <c r="F493" s="38" t="str">
        <f>IF($A493="","",'TO HOP NLAN'!$C49)</f>
        <v/>
      </c>
      <c r="G493" s="38" t="str">
        <f t="shared" si="76"/>
        <v/>
      </c>
      <c r="H493" s="38" t="str">
        <f t="shared" si="69"/>
        <v/>
      </c>
      <c r="I493" s="38" t="str">
        <f t="shared" si="77"/>
        <v/>
      </c>
      <c r="J493" s="38" t="str">
        <f t="shared" si="78"/>
        <v/>
      </c>
      <c r="K493" s="38" t="str">
        <f t="shared" si="79"/>
        <v/>
      </c>
      <c r="L493" s="38" t="str">
        <f t="shared" si="80"/>
        <v/>
      </c>
      <c r="M493" s="38" t="str">
        <f>IF($A493="","",IF(H493=0,"",IF(Q493&lt;=0.000000001,MIN(0.8*0.75*'KT THAN'!$C$62,MAX('KT THAN'!$J$38:$J$58)),IFERROR(MIN(0.8*0.75*'KT THAN'!$C$62,INDEX('KT THAN'!$J$38:$J$58,MATCH(Q493,'KT THAN'!$L$38:$L$58,-1))+(INDEX('KT THAN'!$J$38:$J$58,MIN(21,MATCH(Q493,'KT THAN'!$L$38:$L$58,-1)+1))-INDEX('KT THAN'!$J$38:$J$58,MATCH(Q493,'KT THAN'!$L$38:$L$58,-1)))*(Q493-INDEX('KT THAN'!$L$38:$L$58,MATCH(Q493,'KT THAN'!$L$38:$L$58,-1)))/(INDEX('KT THAN'!$L$38:$L$58,MIN(21,MATCH(Q493,'KT THAN'!$L$38:$L$58,-1)+1))-INDEX('KT THAN'!$L$38:$L$58,MATCH(Q493,'KT THAN'!$L$38:$L$58,-1)))),MIN(0.8*0.75*'KT THAN'!$C$62,'KT THAN'!$C$68/Q493)))))</f>
        <v/>
      </c>
      <c r="N493" s="38" t="str">
        <f>IF($A493="","",IF(H493=0,"",IF(R493&lt;=0.000000001,MIN(0.8*0.75*'KT THAN'!$C$62,MAX('KT THAN'!$W$38:$W$58)),IFERROR(MIN(0.8*0.75*'KT THAN'!$C$62,INDEX('KT THAN'!$W$38:$W$58,MATCH(R493,'KT THAN'!$Y$38:$Y$58,-1))+(INDEX('KT THAN'!$W$38:$W$58,MIN(21,MATCH(R493,'KT THAN'!$Y$38:$Y$58,-1)+1))-INDEX('KT THAN'!$W$38:$W$58,MATCH(R493,'KT THAN'!$Y$38:$Y$58,-1)))*(R493-INDEX('KT THAN'!$Y$38:$Y$58,MATCH(R493,'KT THAN'!$Y$38:$Y$58,-1)))/(INDEX('KT THAN'!$Y$38:$Y$58,MIN(21,MATCH(R493,'KT THAN'!$Y$38:$Y$58,-1)+1))-INDEX('KT THAN'!$Y$38:$Y$58,MATCH(R493,'KT THAN'!$Y$38:$Y$58,-1)))),MIN(0.8*0.75*'KT THAN'!$C$62,'KT THAN'!$D$68/R493)))))</f>
        <v/>
      </c>
      <c r="O493" s="38" t="str">
        <f>IF($A493="","",IF(H493&lt;0,ABS(H493)/MAX('KT THAN'!$C$69,0.001)+'KT THAN'!$C$32*ABS(J493)/MAX('KT THAN'!$C$68,0.001)+'KT THAN'!$D$32*ABS(I493)/MAX('KT THAN'!$D$68,0.001),IF(OR(M493&lt;=0,N493&lt;=0),999,IF(H493&gt;=0.1*0.75*fc_*Agth*1000,H493/MAX(0.001,1/(1/M493+1/N493-1/(0.75*'KT THAN'!$C$62))),'KT THAN'!$C$32*ABS(J493)/MAX('KT THAN'!$C$68,0.001)+'KT THAN'!$D$32*ABS(I493)/MAX('KT THAN'!$D$68,0.001)))))</f>
        <v/>
      </c>
      <c r="P493" s="37" t="str">
        <f t="shared" si="81"/>
        <v/>
      </c>
      <c r="Q493" s="38" t="str">
        <f>IF($A493="","",MAX(0.001,'KT THAN'!$C$32*ABS(J493)/MAX(1,H493)))</f>
        <v/>
      </c>
      <c r="R493" s="38" t="str">
        <f>IF($A493="","",MAX(0.001,'KT THAN'!$D$32*ABS(I493)/MAX(1,H493)))</f>
        <v/>
      </c>
      <c r="S493" t="str">
        <f t="shared" si="75"/>
        <v/>
      </c>
    </row>
    <row r="494" spans="1:19" hidden="1" outlineLevel="1" x14ac:dyDescent="0.3">
      <c r="A494" s="37" t="str">
        <f>IF(OR(nThan=1,'TO HOP NLAN'!$A50=""),"",'TO HOP NLAN'!$A50)</f>
        <v/>
      </c>
      <c r="B494" s="38" t="str">
        <f>IF($A494="","",'TO HOP NLAN'!$D50)</f>
        <v/>
      </c>
      <c r="C494" s="38" t="str">
        <f>IF($A494="","",'TO HOP NLAN'!$E50)</f>
        <v/>
      </c>
      <c r="D494" s="38" t="str">
        <f>IF($A494="","",'TO HOP NLAN'!$F50)</f>
        <v/>
      </c>
      <c r="E494" s="38" t="str">
        <f>IF($A494="","",'TO HOP NLAN'!$B50)</f>
        <v/>
      </c>
      <c r="F494" s="38" t="str">
        <f>IF($A494="","",'TO HOP NLAN'!$C50)</f>
        <v/>
      </c>
      <c r="G494" s="38" t="str">
        <f t="shared" si="76"/>
        <v/>
      </c>
      <c r="H494" s="38" t="str">
        <f t="shared" si="69"/>
        <v/>
      </c>
      <c r="I494" s="38" t="str">
        <f t="shared" si="77"/>
        <v/>
      </c>
      <c r="J494" s="38" t="str">
        <f t="shared" si="78"/>
        <v/>
      </c>
      <c r="K494" s="38" t="str">
        <f t="shared" si="79"/>
        <v/>
      </c>
      <c r="L494" s="38" t="str">
        <f t="shared" si="80"/>
        <v/>
      </c>
      <c r="M494" s="38" t="str">
        <f>IF($A494="","",IF(H494=0,"",IF(Q494&lt;=0.000000001,MIN(0.8*0.75*'KT THAN'!$C$62,MAX('KT THAN'!$J$38:$J$58)),IFERROR(MIN(0.8*0.75*'KT THAN'!$C$62,INDEX('KT THAN'!$J$38:$J$58,MATCH(Q494,'KT THAN'!$L$38:$L$58,-1))+(INDEX('KT THAN'!$J$38:$J$58,MIN(21,MATCH(Q494,'KT THAN'!$L$38:$L$58,-1)+1))-INDEX('KT THAN'!$J$38:$J$58,MATCH(Q494,'KT THAN'!$L$38:$L$58,-1)))*(Q494-INDEX('KT THAN'!$L$38:$L$58,MATCH(Q494,'KT THAN'!$L$38:$L$58,-1)))/(INDEX('KT THAN'!$L$38:$L$58,MIN(21,MATCH(Q494,'KT THAN'!$L$38:$L$58,-1)+1))-INDEX('KT THAN'!$L$38:$L$58,MATCH(Q494,'KT THAN'!$L$38:$L$58,-1)))),MIN(0.8*0.75*'KT THAN'!$C$62,'KT THAN'!$C$68/Q494)))))</f>
        <v/>
      </c>
      <c r="N494" s="38" t="str">
        <f>IF($A494="","",IF(H494=0,"",IF(R494&lt;=0.000000001,MIN(0.8*0.75*'KT THAN'!$C$62,MAX('KT THAN'!$W$38:$W$58)),IFERROR(MIN(0.8*0.75*'KT THAN'!$C$62,INDEX('KT THAN'!$W$38:$W$58,MATCH(R494,'KT THAN'!$Y$38:$Y$58,-1))+(INDEX('KT THAN'!$W$38:$W$58,MIN(21,MATCH(R494,'KT THAN'!$Y$38:$Y$58,-1)+1))-INDEX('KT THAN'!$W$38:$W$58,MATCH(R494,'KT THAN'!$Y$38:$Y$58,-1)))*(R494-INDEX('KT THAN'!$Y$38:$Y$58,MATCH(R494,'KT THAN'!$Y$38:$Y$58,-1)))/(INDEX('KT THAN'!$Y$38:$Y$58,MIN(21,MATCH(R494,'KT THAN'!$Y$38:$Y$58,-1)+1))-INDEX('KT THAN'!$Y$38:$Y$58,MATCH(R494,'KT THAN'!$Y$38:$Y$58,-1)))),MIN(0.8*0.75*'KT THAN'!$C$62,'KT THAN'!$D$68/R494)))))</f>
        <v/>
      </c>
      <c r="O494" s="38" t="str">
        <f>IF($A494="","",IF(H494&lt;0,ABS(H494)/MAX('KT THAN'!$C$69,0.001)+'KT THAN'!$C$32*ABS(J494)/MAX('KT THAN'!$C$68,0.001)+'KT THAN'!$D$32*ABS(I494)/MAX('KT THAN'!$D$68,0.001),IF(OR(M494&lt;=0,N494&lt;=0),999,IF(H494&gt;=0.1*0.75*fc_*Agth*1000,H494/MAX(0.001,1/(1/M494+1/N494-1/(0.75*'KT THAN'!$C$62))),'KT THAN'!$C$32*ABS(J494)/MAX('KT THAN'!$C$68,0.001)+'KT THAN'!$D$32*ABS(I494)/MAX('KT THAN'!$D$68,0.001)))))</f>
        <v/>
      </c>
      <c r="P494" s="37" t="str">
        <f t="shared" si="81"/>
        <v/>
      </c>
      <c r="Q494" s="38" t="str">
        <f>IF($A494="","",MAX(0.001,'KT THAN'!$C$32*ABS(J494)/MAX(1,H494)))</f>
        <v/>
      </c>
      <c r="R494" s="38" t="str">
        <f>IF($A494="","",MAX(0.001,'KT THAN'!$D$32*ABS(I494)/MAX(1,H494)))</f>
        <v/>
      </c>
      <c r="S494" t="str">
        <f t="shared" si="75"/>
        <v/>
      </c>
    </row>
    <row r="495" spans="1:19" hidden="1" outlineLevel="1" x14ac:dyDescent="0.3">
      <c r="A495" s="37" t="str">
        <f>IF(OR(nThan=1,'TO HOP NLAN'!$A51=""),"",'TO HOP NLAN'!$A51)</f>
        <v/>
      </c>
      <c r="B495" s="38" t="str">
        <f>IF($A495="","",'TO HOP NLAN'!$D51)</f>
        <v/>
      </c>
      <c r="C495" s="38" t="str">
        <f>IF($A495="","",'TO HOP NLAN'!$E51)</f>
        <v/>
      </c>
      <c r="D495" s="38" t="str">
        <f>IF($A495="","",'TO HOP NLAN'!$F51)</f>
        <v/>
      </c>
      <c r="E495" s="38" t="str">
        <f>IF($A495="","",'TO HOP NLAN'!$B51)</f>
        <v/>
      </c>
      <c r="F495" s="38" t="str">
        <f>IF($A495="","",'TO HOP NLAN'!$C51)</f>
        <v/>
      </c>
      <c r="G495" s="38" t="str">
        <f t="shared" si="76"/>
        <v/>
      </c>
      <c r="H495" s="38" t="str">
        <f t="shared" si="69"/>
        <v/>
      </c>
      <c r="I495" s="38" t="str">
        <f t="shared" si="77"/>
        <v/>
      </c>
      <c r="J495" s="38" t="str">
        <f t="shared" si="78"/>
        <v/>
      </c>
      <c r="K495" s="38" t="str">
        <f t="shared" si="79"/>
        <v/>
      </c>
      <c r="L495" s="38" t="str">
        <f t="shared" si="80"/>
        <v/>
      </c>
      <c r="M495" s="38" t="str">
        <f>IF($A495="","",IF(H495=0,"",IF(Q495&lt;=0.000000001,MIN(0.8*0.75*'KT THAN'!$C$62,MAX('KT THAN'!$J$38:$J$58)),IFERROR(MIN(0.8*0.75*'KT THAN'!$C$62,INDEX('KT THAN'!$J$38:$J$58,MATCH(Q495,'KT THAN'!$L$38:$L$58,-1))+(INDEX('KT THAN'!$J$38:$J$58,MIN(21,MATCH(Q495,'KT THAN'!$L$38:$L$58,-1)+1))-INDEX('KT THAN'!$J$38:$J$58,MATCH(Q495,'KT THAN'!$L$38:$L$58,-1)))*(Q495-INDEX('KT THAN'!$L$38:$L$58,MATCH(Q495,'KT THAN'!$L$38:$L$58,-1)))/(INDEX('KT THAN'!$L$38:$L$58,MIN(21,MATCH(Q495,'KT THAN'!$L$38:$L$58,-1)+1))-INDEX('KT THAN'!$L$38:$L$58,MATCH(Q495,'KT THAN'!$L$38:$L$58,-1)))),MIN(0.8*0.75*'KT THAN'!$C$62,'KT THAN'!$C$68/Q495)))))</f>
        <v/>
      </c>
      <c r="N495" s="38" t="str">
        <f>IF($A495="","",IF(H495=0,"",IF(R495&lt;=0.000000001,MIN(0.8*0.75*'KT THAN'!$C$62,MAX('KT THAN'!$W$38:$W$58)),IFERROR(MIN(0.8*0.75*'KT THAN'!$C$62,INDEX('KT THAN'!$W$38:$W$58,MATCH(R495,'KT THAN'!$Y$38:$Y$58,-1))+(INDEX('KT THAN'!$W$38:$W$58,MIN(21,MATCH(R495,'KT THAN'!$Y$38:$Y$58,-1)+1))-INDEX('KT THAN'!$W$38:$W$58,MATCH(R495,'KT THAN'!$Y$38:$Y$58,-1)))*(R495-INDEX('KT THAN'!$Y$38:$Y$58,MATCH(R495,'KT THAN'!$Y$38:$Y$58,-1)))/(INDEX('KT THAN'!$Y$38:$Y$58,MIN(21,MATCH(R495,'KT THAN'!$Y$38:$Y$58,-1)+1))-INDEX('KT THAN'!$Y$38:$Y$58,MATCH(R495,'KT THAN'!$Y$38:$Y$58,-1)))),MIN(0.8*0.75*'KT THAN'!$C$62,'KT THAN'!$D$68/R495)))))</f>
        <v/>
      </c>
      <c r="O495" s="38" t="str">
        <f>IF($A495="","",IF(H495&lt;0,ABS(H495)/MAX('KT THAN'!$C$69,0.001)+'KT THAN'!$C$32*ABS(J495)/MAX('KT THAN'!$C$68,0.001)+'KT THAN'!$D$32*ABS(I495)/MAX('KT THAN'!$D$68,0.001),IF(OR(M495&lt;=0,N495&lt;=0),999,IF(H495&gt;=0.1*0.75*fc_*Agth*1000,H495/MAX(0.001,1/(1/M495+1/N495-1/(0.75*'KT THAN'!$C$62))),'KT THAN'!$C$32*ABS(J495)/MAX('KT THAN'!$C$68,0.001)+'KT THAN'!$D$32*ABS(I495)/MAX('KT THAN'!$D$68,0.001)))))</f>
        <v/>
      </c>
      <c r="P495" s="37" t="str">
        <f t="shared" si="81"/>
        <v/>
      </c>
      <c r="Q495" s="38" t="str">
        <f>IF($A495="","",MAX(0.001,'KT THAN'!$C$32*ABS(J495)/MAX(1,H495)))</f>
        <v/>
      </c>
      <c r="R495" s="38" t="str">
        <f>IF($A495="","",MAX(0.001,'KT THAN'!$D$32*ABS(I495)/MAX(1,H495)))</f>
        <v/>
      </c>
      <c r="S495" t="str">
        <f t="shared" si="75"/>
        <v/>
      </c>
    </row>
    <row r="496" spans="1:19" hidden="1" outlineLevel="1" x14ac:dyDescent="0.3">
      <c r="A496" s="37" t="str">
        <f>IF(OR(nThan=1,'TO HOP NLAN'!$A52=""),"",'TO HOP NLAN'!$A52)</f>
        <v/>
      </c>
      <c r="B496" s="38" t="str">
        <f>IF($A496="","",'TO HOP NLAN'!$D52)</f>
        <v/>
      </c>
      <c r="C496" s="38" t="str">
        <f>IF($A496="","",'TO HOP NLAN'!$E52)</f>
        <v/>
      </c>
      <c r="D496" s="38" t="str">
        <f>IF($A496="","",'TO HOP NLAN'!$F52)</f>
        <v/>
      </c>
      <c r="E496" s="38" t="str">
        <f>IF($A496="","",'TO HOP NLAN'!$B52)</f>
        <v/>
      </c>
      <c r="F496" s="38" t="str">
        <f>IF($A496="","",'TO HOP NLAN'!$C52)</f>
        <v/>
      </c>
      <c r="G496" s="38" t="str">
        <f t="shared" si="76"/>
        <v/>
      </c>
      <c r="H496" s="38" t="str">
        <f t="shared" si="69"/>
        <v/>
      </c>
      <c r="I496" s="38" t="str">
        <f t="shared" si="77"/>
        <v/>
      </c>
      <c r="J496" s="38" t="str">
        <f t="shared" si="78"/>
        <v/>
      </c>
      <c r="K496" s="38" t="str">
        <f t="shared" si="79"/>
        <v/>
      </c>
      <c r="L496" s="38" t="str">
        <f t="shared" si="80"/>
        <v/>
      </c>
      <c r="M496" s="38" t="str">
        <f>IF($A496="","",IF(H496=0,"",IF(Q496&lt;=0.000000001,MIN(0.8*0.75*'KT THAN'!$C$62,MAX('KT THAN'!$J$38:$J$58)),IFERROR(MIN(0.8*0.75*'KT THAN'!$C$62,INDEX('KT THAN'!$J$38:$J$58,MATCH(Q496,'KT THAN'!$L$38:$L$58,-1))+(INDEX('KT THAN'!$J$38:$J$58,MIN(21,MATCH(Q496,'KT THAN'!$L$38:$L$58,-1)+1))-INDEX('KT THAN'!$J$38:$J$58,MATCH(Q496,'KT THAN'!$L$38:$L$58,-1)))*(Q496-INDEX('KT THAN'!$L$38:$L$58,MATCH(Q496,'KT THAN'!$L$38:$L$58,-1)))/(INDEX('KT THAN'!$L$38:$L$58,MIN(21,MATCH(Q496,'KT THAN'!$L$38:$L$58,-1)+1))-INDEX('KT THAN'!$L$38:$L$58,MATCH(Q496,'KT THAN'!$L$38:$L$58,-1)))),MIN(0.8*0.75*'KT THAN'!$C$62,'KT THAN'!$C$68/Q496)))))</f>
        <v/>
      </c>
      <c r="N496" s="38" t="str">
        <f>IF($A496="","",IF(H496=0,"",IF(R496&lt;=0.000000001,MIN(0.8*0.75*'KT THAN'!$C$62,MAX('KT THAN'!$W$38:$W$58)),IFERROR(MIN(0.8*0.75*'KT THAN'!$C$62,INDEX('KT THAN'!$W$38:$W$58,MATCH(R496,'KT THAN'!$Y$38:$Y$58,-1))+(INDEX('KT THAN'!$W$38:$W$58,MIN(21,MATCH(R496,'KT THAN'!$Y$38:$Y$58,-1)+1))-INDEX('KT THAN'!$W$38:$W$58,MATCH(R496,'KT THAN'!$Y$38:$Y$58,-1)))*(R496-INDEX('KT THAN'!$Y$38:$Y$58,MATCH(R496,'KT THAN'!$Y$38:$Y$58,-1)))/(INDEX('KT THAN'!$Y$38:$Y$58,MIN(21,MATCH(R496,'KT THAN'!$Y$38:$Y$58,-1)+1))-INDEX('KT THAN'!$Y$38:$Y$58,MATCH(R496,'KT THAN'!$Y$38:$Y$58,-1)))),MIN(0.8*0.75*'KT THAN'!$C$62,'KT THAN'!$D$68/R496)))))</f>
        <v/>
      </c>
      <c r="O496" s="38" t="str">
        <f>IF($A496="","",IF(H496&lt;0,ABS(H496)/MAX('KT THAN'!$C$69,0.001)+'KT THAN'!$C$32*ABS(J496)/MAX('KT THAN'!$C$68,0.001)+'KT THAN'!$D$32*ABS(I496)/MAX('KT THAN'!$D$68,0.001),IF(OR(M496&lt;=0,N496&lt;=0),999,IF(H496&gt;=0.1*0.75*fc_*Agth*1000,H496/MAX(0.001,1/(1/M496+1/N496-1/(0.75*'KT THAN'!$C$62))),'KT THAN'!$C$32*ABS(J496)/MAX('KT THAN'!$C$68,0.001)+'KT THAN'!$D$32*ABS(I496)/MAX('KT THAN'!$D$68,0.001)))))</f>
        <v/>
      </c>
      <c r="P496" s="37" t="str">
        <f t="shared" si="81"/>
        <v/>
      </c>
      <c r="Q496" s="38" t="str">
        <f>IF($A496="","",MAX(0.001,'KT THAN'!$C$32*ABS(J496)/MAX(1,H496)))</f>
        <v/>
      </c>
      <c r="R496" s="38" t="str">
        <f>IF($A496="","",MAX(0.001,'KT THAN'!$D$32*ABS(I496)/MAX(1,H496)))</f>
        <v/>
      </c>
      <c r="S496" t="str">
        <f t="shared" si="75"/>
        <v/>
      </c>
    </row>
    <row r="497" spans="1:19" hidden="1" outlineLevel="1" x14ac:dyDescent="0.3">
      <c r="A497" s="37" t="str">
        <f>IF(OR(nThan=1,'TO HOP NLAN'!$A53=""),"",'TO HOP NLAN'!$A53)</f>
        <v/>
      </c>
      <c r="B497" s="38" t="str">
        <f>IF($A497="","",'TO HOP NLAN'!$D53)</f>
        <v/>
      </c>
      <c r="C497" s="38" t="str">
        <f>IF($A497="","",'TO HOP NLAN'!$E53)</f>
        <v/>
      </c>
      <c r="D497" s="38" t="str">
        <f>IF($A497="","",'TO HOP NLAN'!$F53)</f>
        <v/>
      </c>
      <c r="E497" s="38" t="str">
        <f>IF($A497="","",'TO HOP NLAN'!$B53)</f>
        <v/>
      </c>
      <c r="F497" s="38" t="str">
        <f>IF($A497="","",'TO HOP NLAN'!$C53)</f>
        <v/>
      </c>
      <c r="G497" s="38" t="str">
        <f t="shared" si="76"/>
        <v/>
      </c>
      <c r="H497" s="38" t="str">
        <f t="shared" si="69"/>
        <v/>
      </c>
      <c r="I497" s="38" t="str">
        <f t="shared" si="77"/>
        <v/>
      </c>
      <c r="J497" s="38" t="str">
        <f t="shared" si="78"/>
        <v/>
      </c>
      <c r="K497" s="38" t="str">
        <f t="shared" si="79"/>
        <v/>
      </c>
      <c r="L497" s="38" t="str">
        <f t="shared" si="80"/>
        <v/>
      </c>
      <c r="M497" s="38" t="str">
        <f>IF($A497="","",IF(H497=0,"",IF(Q497&lt;=0.000000001,MIN(0.8*0.75*'KT THAN'!$C$62,MAX('KT THAN'!$J$38:$J$58)),IFERROR(MIN(0.8*0.75*'KT THAN'!$C$62,INDEX('KT THAN'!$J$38:$J$58,MATCH(Q497,'KT THAN'!$L$38:$L$58,-1))+(INDEX('KT THAN'!$J$38:$J$58,MIN(21,MATCH(Q497,'KT THAN'!$L$38:$L$58,-1)+1))-INDEX('KT THAN'!$J$38:$J$58,MATCH(Q497,'KT THAN'!$L$38:$L$58,-1)))*(Q497-INDEX('KT THAN'!$L$38:$L$58,MATCH(Q497,'KT THAN'!$L$38:$L$58,-1)))/(INDEX('KT THAN'!$L$38:$L$58,MIN(21,MATCH(Q497,'KT THAN'!$L$38:$L$58,-1)+1))-INDEX('KT THAN'!$L$38:$L$58,MATCH(Q497,'KT THAN'!$L$38:$L$58,-1)))),MIN(0.8*0.75*'KT THAN'!$C$62,'KT THAN'!$C$68/Q497)))))</f>
        <v/>
      </c>
      <c r="N497" s="38" t="str">
        <f>IF($A497="","",IF(H497=0,"",IF(R497&lt;=0.000000001,MIN(0.8*0.75*'KT THAN'!$C$62,MAX('KT THAN'!$W$38:$W$58)),IFERROR(MIN(0.8*0.75*'KT THAN'!$C$62,INDEX('KT THAN'!$W$38:$W$58,MATCH(R497,'KT THAN'!$Y$38:$Y$58,-1))+(INDEX('KT THAN'!$W$38:$W$58,MIN(21,MATCH(R497,'KT THAN'!$Y$38:$Y$58,-1)+1))-INDEX('KT THAN'!$W$38:$W$58,MATCH(R497,'KT THAN'!$Y$38:$Y$58,-1)))*(R497-INDEX('KT THAN'!$Y$38:$Y$58,MATCH(R497,'KT THAN'!$Y$38:$Y$58,-1)))/(INDEX('KT THAN'!$Y$38:$Y$58,MIN(21,MATCH(R497,'KT THAN'!$Y$38:$Y$58,-1)+1))-INDEX('KT THAN'!$Y$38:$Y$58,MATCH(R497,'KT THAN'!$Y$38:$Y$58,-1)))),MIN(0.8*0.75*'KT THAN'!$C$62,'KT THAN'!$D$68/R497)))))</f>
        <v/>
      </c>
      <c r="O497" s="38" t="str">
        <f>IF($A497="","",IF(H497&lt;0,ABS(H497)/MAX('KT THAN'!$C$69,0.001)+'KT THAN'!$C$32*ABS(J497)/MAX('KT THAN'!$C$68,0.001)+'KT THAN'!$D$32*ABS(I497)/MAX('KT THAN'!$D$68,0.001),IF(OR(M497&lt;=0,N497&lt;=0),999,IF(H497&gt;=0.1*0.75*fc_*Agth*1000,H497/MAX(0.001,1/(1/M497+1/N497-1/(0.75*'KT THAN'!$C$62))),'KT THAN'!$C$32*ABS(J497)/MAX('KT THAN'!$C$68,0.001)+'KT THAN'!$D$32*ABS(I497)/MAX('KT THAN'!$D$68,0.001)))))</f>
        <v/>
      </c>
      <c r="P497" s="37" t="str">
        <f t="shared" si="81"/>
        <v/>
      </c>
      <c r="Q497" s="38" t="str">
        <f>IF($A497="","",MAX(0.001,'KT THAN'!$C$32*ABS(J497)/MAX(1,H497)))</f>
        <v/>
      </c>
      <c r="R497" s="38" t="str">
        <f>IF($A497="","",MAX(0.001,'KT THAN'!$D$32*ABS(I497)/MAX(1,H497)))</f>
        <v/>
      </c>
      <c r="S497" t="str">
        <f t="shared" si="75"/>
        <v/>
      </c>
    </row>
    <row r="498" spans="1:19" hidden="1" outlineLevel="1" x14ac:dyDescent="0.3">
      <c r="A498" s="37" t="str">
        <f>IF(OR(nThan=1,'TO HOP NLAN'!$A54=""),"",'TO HOP NLAN'!$A54)</f>
        <v/>
      </c>
      <c r="B498" s="38" t="str">
        <f>IF($A498="","",'TO HOP NLAN'!$D54)</f>
        <v/>
      </c>
      <c r="C498" s="38" t="str">
        <f>IF($A498="","",'TO HOP NLAN'!$E54)</f>
        <v/>
      </c>
      <c r="D498" s="38" t="str">
        <f>IF($A498="","",'TO HOP NLAN'!$F54)</f>
        <v/>
      </c>
      <c r="E498" s="38" t="str">
        <f>IF($A498="","",'TO HOP NLAN'!$B54)</f>
        <v/>
      </c>
      <c r="F498" s="38" t="str">
        <f>IF($A498="","",'TO HOP NLAN'!$C54)</f>
        <v/>
      </c>
      <c r="G498" s="38" t="str">
        <f t="shared" si="76"/>
        <v/>
      </c>
      <c r="H498" s="38" t="str">
        <f t="shared" si="69"/>
        <v/>
      </c>
      <c r="I498" s="38" t="str">
        <f t="shared" si="77"/>
        <v/>
      </c>
      <c r="J498" s="38" t="str">
        <f t="shared" si="78"/>
        <v/>
      </c>
      <c r="K498" s="38" t="str">
        <f t="shared" si="79"/>
        <v/>
      </c>
      <c r="L498" s="38" t="str">
        <f t="shared" si="80"/>
        <v/>
      </c>
      <c r="M498" s="38" t="str">
        <f>IF($A498="","",IF(H498=0,"",IF(Q498&lt;=0.000000001,MIN(0.8*0.75*'KT THAN'!$C$62,MAX('KT THAN'!$J$38:$J$58)),IFERROR(MIN(0.8*0.75*'KT THAN'!$C$62,INDEX('KT THAN'!$J$38:$J$58,MATCH(Q498,'KT THAN'!$L$38:$L$58,-1))+(INDEX('KT THAN'!$J$38:$J$58,MIN(21,MATCH(Q498,'KT THAN'!$L$38:$L$58,-1)+1))-INDEX('KT THAN'!$J$38:$J$58,MATCH(Q498,'KT THAN'!$L$38:$L$58,-1)))*(Q498-INDEX('KT THAN'!$L$38:$L$58,MATCH(Q498,'KT THAN'!$L$38:$L$58,-1)))/(INDEX('KT THAN'!$L$38:$L$58,MIN(21,MATCH(Q498,'KT THAN'!$L$38:$L$58,-1)+1))-INDEX('KT THAN'!$L$38:$L$58,MATCH(Q498,'KT THAN'!$L$38:$L$58,-1)))),MIN(0.8*0.75*'KT THAN'!$C$62,'KT THAN'!$C$68/Q498)))))</f>
        <v/>
      </c>
      <c r="N498" s="38" t="str">
        <f>IF($A498="","",IF(H498=0,"",IF(R498&lt;=0.000000001,MIN(0.8*0.75*'KT THAN'!$C$62,MAX('KT THAN'!$W$38:$W$58)),IFERROR(MIN(0.8*0.75*'KT THAN'!$C$62,INDEX('KT THAN'!$W$38:$W$58,MATCH(R498,'KT THAN'!$Y$38:$Y$58,-1))+(INDEX('KT THAN'!$W$38:$W$58,MIN(21,MATCH(R498,'KT THAN'!$Y$38:$Y$58,-1)+1))-INDEX('KT THAN'!$W$38:$W$58,MATCH(R498,'KT THAN'!$Y$38:$Y$58,-1)))*(R498-INDEX('KT THAN'!$Y$38:$Y$58,MATCH(R498,'KT THAN'!$Y$38:$Y$58,-1)))/(INDEX('KT THAN'!$Y$38:$Y$58,MIN(21,MATCH(R498,'KT THAN'!$Y$38:$Y$58,-1)+1))-INDEX('KT THAN'!$Y$38:$Y$58,MATCH(R498,'KT THAN'!$Y$38:$Y$58,-1)))),MIN(0.8*0.75*'KT THAN'!$C$62,'KT THAN'!$D$68/R498)))))</f>
        <v/>
      </c>
      <c r="O498" s="38" t="str">
        <f>IF($A498="","",IF(H498&lt;0,ABS(H498)/MAX('KT THAN'!$C$69,0.001)+'KT THAN'!$C$32*ABS(J498)/MAX('KT THAN'!$C$68,0.001)+'KT THAN'!$D$32*ABS(I498)/MAX('KT THAN'!$D$68,0.001),IF(OR(M498&lt;=0,N498&lt;=0),999,IF(H498&gt;=0.1*0.75*fc_*Agth*1000,H498/MAX(0.001,1/(1/M498+1/N498-1/(0.75*'KT THAN'!$C$62))),'KT THAN'!$C$32*ABS(J498)/MAX('KT THAN'!$C$68,0.001)+'KT THAN'!$D$32*ABS(I498)/MAX('KT THAN'!$D$68,0.001)))))</f>
        <v/>
      </c>
      <c r="P498" s="37" t="str">
        <f t="shared" si="81"/>
        <v/>
      </c>
      <c r="Q498" s="38" t="str">
        <f>IF($A498="","",MAX(0.001,'KT THAN'!$C$32*ABS(J498)/MAX(1,H498)))</f>
        <v/>
      </c>
      <c r="R498" s="38" t="str">
        <f>IF($A498="","",MAX(0.001,'KT THAN'!$D$32*ABS(I498)/MAX(1,H498)))</f>
        <v/>
      </c>
      <c r="S498" t="str">
        <f t="shared" si="75"/>
        <v/>
      </c>
    </row>
    <row r="499" spans="1:19" hidden="1" outlineLevel="1" x14ac:dyDescent="0.3">
      <c r="A499" s="37" t="str">
        <f>IF(OR(nThan=1,'TO HOP NLAN'!$A55=""),"",'TO HOP NLAN'!$A55)</f>
        <v/>
      </c>
      <c r="B499" s="38" t="str">
        <f>IF($A499="","",'TO HOP NLAN'!$D55)</f>
        <v/>
      </c>
      <c r="C499" s="38" t="str">
        <f>IF($A499="","",'TO HOP NLAN'!$E55)</f>
        <v/>
      </c>
      <c r="D499" s="38" t="str">
        <f>IF($A499="","",'TO HOP NLAN'!$F55)</f>
        <v/>
      </c>
      <c r="E499" s="38" t="str">
        <f>IF($A499="","",'TO HOP NLAN'!$B55)</f>
        <v/>
      </c>
      <c r="F499" s="38" t="str">
        <f>IF($A499="","",'TO HOP NLAN'!$C55)</f>
        <v/>
      </c>
      <c r="G499" s="38" t="str">
        <f t="shared" si="76"/>
        <v/>
      </c>
      <c r="H499" s="38" t="str">
        <f t="shared" si="69"/>
        <v/>
      </c>
      <c r="I499" s="38" t="str">
        <f t="shared" si="77"/>
        <v/>
      </c>
      <c r="J499" s="38" t="str">
        <f t="shared" si="78"/>
        <v/>
      </c>
      <c r="K499" s="38" t="str">
        <f t="shared" si="79"/>
        <v/>
      </c>
      <c r="L499" s="38" t="str">
        <f t="shared" si="80"/>
        <v/>
      </c>
      <c r="M499" s="38" t="str">
        <f>IF($A499="","",IF(H499=0,"",IF(Q499&lt;=0.000000001,MIN(0.8*0.75*'KT THAN'!$C$62,MAX('KT THAN'!$J$38:$J$58)),IFERROR(MIN(0.8*0.75*'KT THAN'!$C$62,INDEX('KT THAN'!$J$38:$J$58,MATCH(Q499,'KT THAN'!$L$38:$L$58,-1))+(INDEX('KT THAN'!$J$38:$J$58,MIN(21,MATCH(Q499,'KT THAN'!$L$38:$L$58,-1)+1))-INDEX('KT THAN'!$J$38:$J$58,MATCH(Q499,'KT THAN'!$L$38:$L$58,-1)))*(Q499-INDEX('KT THAN'!$L$38:$L$58,MATCH(Q499,'KT THAN'!$L$38:$L$58,-1)))/(INDEX('KT THAN'!$L$38:$L$58,MIN(21,MATCH(Q499,'KT THAN'!$L$38:$L$58,-1)+1))-INDEX('KT THAN'!$L$38:$L$58,MATCH(Q499,'KT THAN'!$L$38:$L$58,-1)))),MIN(0.8*0.75*'KT THAN'!$C$62,'KT THAN'!$C$68/Q499)))))</f>
        <v/>
      </c>
      <c r="N499" s="38" t="str">
        <f>IF($A499="","",IF(H499=0,"",IF(R499&lt;=0.000000001,MIN(0.8*0.75*'KT THAN'!$C$62,MAX('KT THAN'!$W$38:$W$58)),IFERROR(MIN(0.8*0.75*'KT THAN'!$C$62,INDEX('KT THAN'!$W$38:$W$58,MATCH(R499,'KT THAN'!$Y$38:$Y$58,-1))+(INDEX('KT THAN'!$W$38:$W$58,MIN(21,MATCH(R499,'KT THAN'!$Y$38:$Y$58,-1)+1))-INDEX('KT THAN'!$W$38:$W$58,MATCH(R499,'KT THAN'!$Y$38:$Y$58,-1)))*(R499-INDEX('KT THAN'!$Y$38:$Y$58,MATCH(R499,'KT THAN'!$Y$38:$Y$58,-1)))/(INDEX('KT THAN'!$Y$38:$Y$58,MIN(21,MATCH(R499,'KT THAN'!$Y$38:$Y$58,-1)+1))-INDEX('KT THAN'!$Y$38:$Y$58,MATCH(R499,'KT THAN'!$Y$38:$Y$58,-1)))),MIN(0.8*0.75*'KT THAN'!$C$62,'KT THAN'!$D$68/R499)))))</f>
        <v/>
      </c>
      <c r="O499" s="38" t="str">
        <f>IF($A499="","",IF(H499&lt;0,ABS(H499)/MAX('KT THAN'!$C$69,0.001)+'KT THAN'!$C$32*ABS(J499)/MAX('KT THAN'!$C$68,0.001)+'KT THAN'!$D$32*ABS(I499)/MAX('KT THAN'!$D$68,0.001),IF(OR(M499&lt;=0,N499&lt;=0),999,IF(H499&gt;=0.1*0.75*fc_*Agth*1000,H499/MAX(0.001,1/(1/M499+1/N499-1/(0.75*'KT THAN'!$C$62))),'KT THAN'!$C$32*ABS(J499)/MAX('KT THAN'!$C$68,0.001)+'KT THAN'!$D$32*ABS(I499)/MAX('KT THAN'!$D$68,0.001)))))</f>
        <v/>
      </c>
      <c r="P499" s="37" t="str">
        <f t="shared" si="81"/>
        <v/>
      </c>
      <c r="Q499" s="38" t="str">
        <f>IF($A499="","",MAX(0.001,'KT THAN'!$C$32*ABS(J499)/MAX(1,H499)))</f>
        <v/>
      </c>
      <c r="R499" s="38" t="str">
        <f>IF($A499="","",MAX(0.001,'KT THAN'!$D$32*ABS(I499)/MAX(1,H499)))</f>
        <v/>
      </c>
      <c r="S499" t="str">
        <f t="shared" si="75"/>
        <v/>
      </c>
    </row>
    <row r="500" spans="1:19" hidden="1" outlineLevel="1" x14ac:dyDescent="0.3">
      <c r="A500" s="37" t="str">
        <f>IF(OR(nThan=1,'TO HOP NLAN'!$A56=""),"",'TO HOP NLAN'!$A56)</f>
        <v/>
      </c>
      <c r="B500" s="38" t="str">
        <f>IF($A500="","",'TO HOP NLAN'!$D56)</f>
        <v/>
      </c>
      <c r="C500" s="38" t="str">
        <f>IF($A500="","",'TO HOP NLAN'!$E56)</f>
        <v/>
      </c>
      <c r="D500" s="38" t="str">
        <f>IF($A500="","",'TO HOP NLAN'!$F56)</f>
        <v/>
      </c>
      <c r="E500" s="38" t="str">
        <f>IF($A500="","",'TO HOP NLAN'!$B56)</f>
        <v/>
      </c>
      <c r="F500" s="38" t="str">
        <f>IF($A500="","",'TO HOP NLAN'!$C56)</f>
        <v/>
      </c>
      <c r="G500" s="38" t="str">
        <f t="shared" si="76"/>
        <v/>
      </c>
      <c r="H500" s="38" t="str">
        <f t="shared" si="69"/>
        <v/>
      </c>
      <c r="I500" s="38" t="str">
        <f t="shared" si="77"/>
        <v/>
      </c>
      <c r="J500" s="38" t="str">
        <f t="shared" si="78"/>
        <v/>
      </c>
      <c r="K500" s="38" t="str">
        <f t="shared" si="79"/>
        <v/>
      </c>
      <c r="L500" s="38" t="str">
        <f t="shared" si="80"/>
        <v/>
      </c>
      <c r="M500" s="38" t="str">
        <f>IF($A500="","",IF(H500=0,"",IF(Q500&lt;=0.000000001,MIN(0.8*0.75*'KT THAN'!$C$62,MAX('KT THAN'!$J$38:$J$58)),IFERROR(MIN(0.8*0.75*'KT THAN'!$C$62,INDEX('KT THAN'!$J$38:$J$58,MATCH(Q500,'KT THAN'!$L$38:$L$58,-1))+(INDEX('KT THAN'!$J$38:$J$58,MIN(21,MATCH(Q500,'KT THAN'!$L$38:$L$58,-1)+1))-INDEX('KT THAN'!$J$38:$J$58,MATCH(Q500,'KT THAN'!$L$38:$L$58,-1)))*(Q500-INDEX('KT THAN'!$L$38:$L$58,MATCH(Q500,'KT THAN'!$L$38:$L$58,-1)))/(INDEX('KT THAN'!$L$38:$L$58,MIN(21,MATCH(Q500,'KT THAN'!$L$38:$L$58,-1)+1))-INDEX('KT THAN'!$L$38:$L$58,MATCH(Q500,'KT THAN'!$L$38:$L$58,-1)))),MIN(0.8*0.75*'KT THAN'!$C$62,'KT THAN'!$C$68/Q500)))))</f>
        <v/>
      </c>
      <c r="N500" s="38" t="str">
        <f>IF($A500="","",IF(H500=0,"",IF(R500&lt;=0.000000001,MIN(0.8*0.75*'KT THAN'!$C$62,MAX('KT THAN'!$W$38:$W$58)),IFERROR(MIN(0.8*0.75*'KT THAN'!$C$62,INDEX('KT THAN'!$W$38:$W$58,MATCH(R500,'KT THAN'!$Y$38:$Y$58,-1))+(INDEX('KT THAN'!$W$38:$W$58,MIN(21,MATCH(R500,'KT THAN'!$Y$38:$Y$58,-1)+1))-INDEX('KT THAN'!$W$38:$W$58,MATCH(R500,'KT THAN'!$Y$38:$Y$58,-1)))*(R500-INDEX('KT THAN'!$Y$38:$Y$58,MATCH(R500,'KT THAN'!$Y$38:$Y$58,-1)))/(INDEX('KT THAN'!$Y$38:$Y$58,MIN(21,MATCH(R500,'KT THAN'!$Y$38:$Y$58,-1)+1))-INDEX('KT THAN'!$Y$38:$Y$58,MATCH(R500,'KT THAN'!$Y$38:$Y$58,-1)))),MIN(0.8*0.75*'KT THAN'!$C$62,'KT THAN'!$D$68/R500)))))</f>
        <v/>
      </c>
      <c r="O500" s="38" t="str">
        <f>IF($A500="","",IF(H500&lt;0,ABS(H500)/MAX('KT THAN'!$C$69,0.001)+'KT THAN'!$C$32*ABS(J500)/MAX('KT THAN'!$C$68,0.001)+'KT THAN'!$D$32*ABS(I500)/MAX('KT THAN'!$D$68,0.001),IF(OR(M500&lt;=0,N500&lt;=0),999,IF(H500&gt;=0.1*0.75*fc_*Agth*1000,H500/MAX(0.001,1/(1/M500+1/N500-1/(0.75*'KT THAN'!$C$62))),'KT THAN'!$C$32*ABS(J500)/MAX('KT THAN'!$C$68,0.001)+'KT THAN'!$D$32*ABS(I500)/MAX('KT THAN'!$D$68,0.001)))))</f>
        <v/>
      </c>
      <c r="P500" s="37" t="str">
        <f t="shared" si="81"/>
        <v/>
      </c>
      <c r="Q500" s="38" t="str">
        <f>IF($A500="","",MAX(0.001,'KT THAN'!$C$32*ABS(J500)/MAX(1,H500)))</f>
        <v/>
      </c>
      <c r="R500" s="38" t="str">
        <f>IF($A500="","",MAX(0.001,'KT THAN'!$D$32*ABS(I500)/MAX(1,H500)))</f>
        <v/>
      </c>
      <c r="S500" t="str">
        <f t="shared" si="75"/>
        <v/>
      </c>
    </row>
    <row r="501" spans="1:19" hidden="1" outlineLevel="1" x14ac:dyDescent="0.3">
      <c r="A501" s="37" t="str">
        <f>IF(OR(nThan=1,'TO HOP NLAN'!$A57=""),"",'TO HOP NLAN'!$A57)</f>
        <v/>
      </c>
      <c r="B501" s="38" t="str">
        <f>IF($A501="","",'TO HOP NLAN'!$D57)</f>
        <v/>
      </c>
      <c r="C501" s="38" t="str">
        <f>IF($A501="","",'TO HOP NLAN'!$E57)</f>
        <v/>
      </c>
      <c r="D501" s="38" t="str">
        <f>IF($A501="","",'TO HOP NLAN'!$F57)</f>
        <v/>
      </c>
      <c r="E501" s="38" t="str">
        <f>IF($A501="","",'TO HOP NLAN'!$B57)</f>
        <v/>
      </c>
      <c r="F501" s="38" t="str">
        <f>IF($A501="","",'TO HOP NLAN'!$C57)</f>
        <v/>
      </c>
      <c r="G501" s="38" t="str">
        <f t="shared" si="76"/>
        <v/>
      </c>
      <c r="H501" s="38" t="str">
        <f t="shared" si="69"/>
        <v/>
      </c>
      <c r="I501" s="38" t="str">
        <f t="shared" si="77"/>
        <v/>
      </c>
      <c r="J501" s="38" t="str">
        <f t="shared" si="78"/>
        <v/>
      </c>
      <c r="K501" s="38" t="str">
        <f t="shared" si="79"/>
        <v/>
      </c>
      <c r="L501" s="38" t="str">
        <f t="shared" si="80"/>
        <v/>
      </c>
      <c r="M501" s="38" t="str">
        <f>IF($A501="","",IF(H501=0,"",IF(Q501&lt;=0.000000001,MIN(0.8*0.75*'KT THAN'!$C$62,MAX('KT THAN'!$J$38:$J$58)),IFERROR(MIN(0.8*0.75*'KT THAN'!$C$62,INDEX('KT THAN'!$J$38:$J$58,MATCH(Q501,'KT THAN'!$L$38:$L$58,-1))+(INDEX('KT THAN'!$J$38:$J$58,MIN(21,MATCH(Q501,'KT THAN'!$L$38:$L$58,-1)+1))-INDEX('KT THAN'!$J$38:$J$58,MATCH(Q501,'KT THAN'!$L$38:$L$58,-1)))*(Q501-INDEX('KT THAN'!$L$38:$L$58,MATCH(Q501,'KT THAN'!$L$38:$L$58,-1)))/(INDEX('KT THAN'!$L$38:$L$58,MIN(21,MATCH(Q501,'KT THAN'!$L$38:$L$58,-1)+1))-INDEX('KT THAN'!$L$38:$L$58,MATCH(Q501,'KT THAN'!$L$38:$L$58,-1)))),MIN(0.8*0.75*'KT THAN'!$C$62,'KT THAN'!$C$68/Q501)))))</f>
        <v/>
      </c>
      <c r="N501" s="38" t="str">
        <f>IF($A501="","",IF(H501=0,"",IF(R501&lt;=0.000000001,MIN(0.8*0.75*'KT THAN'!$C$62,MAX('KT THAN'!$W$38:$W$58)),IFERROR(MIN(0.8*0.75*'KT THAN'!$C$62,INDEX('KT THAN'!$W$38:$W$58,MATCH(R501,'KT THAN'!$Y$38:$Y$58,-1))+(INDEX('KT THAN'!$W$38:$W$58,MIN(21,MATCH(R501,'KT THAN'!$Y$38:$Y$58,-1)+1))-INDEX('KT THAN'!$W$38:$W$58,MATCH(R501,'KT THAN'!$Y$38:$Y$58,-1)))*(R501-INDEX('KT THAN'!$Y$38:$Y$58,MATCH(R501,'KT THAN'!$Y$38:$Y$58,-1)))/(INDEX('KT THAN'!$Y$38:$Y$58,MIN(21,MATCH(R501,'KT THAN'!$Y$38:$Y$58,-1)+1))-INDEX('KT THAN'!$Y$38:$Y$58,MATCH(R501,'KT THAN'!$Y$38:$Y$58,-1)))),MIN(0.8*0.75*'KT THAN'!$C$62,'KT THAN'!$D$68/R501)))))</f>
        <v/>
      </c>
      <c r="O501" s="38" t="str">
        <f>IF($A501="","",IF(H501&lt;0,ABS(H501)/MAX('KT THAN'!$C$69,0.001)+'KT THAN'!$C$32*ABS(J501)/MAX('KT THAN'!$C$68,0.001)+'KT THAN'!$D$32*ABS(I501)/MAX('KT THAN'!$D$68,0.001),IF(OR(M501&lt;=0,N501&lt;=0),999,IF(H501&gt;=0.1*0.75*fc_*Agth*1000,H501/MAX(0.001,1/(1/M501+1/N501-1/(0.75*'KT THAN'!$C$62))),'KT THAN'!$C$32*ABS(J501)/MAX('KT THAN'!$C$68,0.001)+'KT THAN'!$D$32*ABS(I501)/MAX('KT THAN'!$D$68,0.001)))))</f>
        <v/>
      </c>
      <c r="P501" s="37" t="str">
        <f t="shared" si="81"/>
        <v/>
      </c>
      <c r="Q501" s="38" t="str">
        <f>IF($A501="","",MAX(0.001,'KT THAN'!$C$32*ABS(J501)/MAX(1,H501)))</f>
        <v/>
      </c>
      <c r="R501" s="38" t="str">
        <f>IF($A501="","",MAX(0.001,'KT THAN'!$D$32*ABS(I501)/MAX(1,H501)))</f>
        <v/>
      </c>
      <c r="S501" t="str">
        <f t="shared" si="75"/>
        <v/>
      </c>
    </row>
    <row r="502" spans="1:19" hidden="1" outlineLevel="1" x14ac:dyDescent="0.3">
      <c r="A502" s="37" t="str">
        <f>IF(OR(nThan=1,'TO HOP NLAN'!$A58=""),"",'TO HOP NLAN'!$A58)</f>
        <v/>
      </c>
      <c r="B502" s="38" t="str">
        <f>IF($A502="","",'TO HOP NLAN'!$D58)</f>
        <v/>
      </c>
      <c r="C502" s="38" t="str">
        <f>IF($A502="","",'TO HOP NLAN'!$E58)</f>
        <v/>
      </c>
      <c r="D502" s="38" t="str">
        <f>IF($A502="","",'TO HOP NLAN'!$F58)</f>
        <v/>
      </c>
      <c r="E502" s="38" t="str">
        <f>IF($A502="","",'TO HOP NLAN'!$B58)</f>
        <v/>
      </c>
      <c r="F502" s="38" t="str">
        <f>IF($A502="","",'TO HOP NLAN'!$C58)</f>
        <v/>
      </c>
      <c r="G502" s="38" t="str">
        <f t="shared" si="76"/>
        <v/>
      </c>
      <c r="H502" s="38" t="str">
        <f t="shared" si="69"/>
        <v/>
      </c>
      <c r="I502" s="38" t="str">
        <f t="shared" si="77"/>
        <v/>
      </c>
      <c r="J502" s="38" t="str">
        <f t="shared" si="78"/>
        <v/>
      </c>
      <c r="K502" s="38" t="str">
        <f t="shared" si="79"/>
        <v/>
      </c>
      <c r="L502" s="38" t="str">
        <f t="shared" si="80"/>
        <v/>
      </c>
      <c r="M502" s="38" t="str">
        <f>IF($A502="","",IF(H502=0,"",IF(Q502&lt;=0.000000001,MIN(0.8*0.75*'KT THAN'!$C$62,MAX('KT THAN'!$J$38:$J$58)),IFERROR(MIN(0.8*0.75*'KT THAN'!$C$62,INDEX('KT THAN'!$J$38:$J$58,MATCH(Q502,'KT THAN'!$L$38:$L$58,-1))+(INDEX('KT THAN'!$J$38:$J$58,MIN(21,MATCH(Q502,'KT THAN'!$L$38:$L$58,-1)+1))-INDEX('KT THAN'!$J$38:$J$58,MATCH(Q502,'KT THAN'!$L$38:$L$58,-1)))*(Q502-INDEX('KT THAN'!$L$38:$L$58,MATCH(Q502,'KT THAN'!$L$38:$L$58,-1)))/(INDEX('KT THAN'!$L$38:$L$58,MIN(21,MATCH(Q502,'KT THAN'!$L$38:$L$58,-1)+1))-INDEX('KT THAN'!$L$38:$L$58,MATCH(Q502,'KT THAN'!$L$38:$L$58,-1)))),MIN(0.8*0.75*'KT THAN'!$C$62,'KT THAN'!$C$68/Q502)))))</f>
        <v/>
      </c>
      <c r="N502" s="38" t="str">
        <f>IF($A502="","",IF(H502=0,"",IF(R502&lt;=0.000000001,MIN(0.8*0.75*'KT THAN'!$C$62,MAX('KT THAN'!$W$38:$W$58)),IFERROR(MIN(0.8*0.75*'KT THAN'!$C$62,INDEX('KT THAN'!$W$38:$W$58,MATCH(R502,'KT THAN'!$Y$38:$Y$58,-1))+(INDEX('KT THAN'!$W$38:$W$58,MIN(21,MATCH(R502,'KT THAN'!$Y$38:$Y$58,-1)+1))-INDEX('KT THAN'!$W$38:$W$58,MATCH(R502,'KT THAN'!$Y$38:$Y$58,-1)))*(R502-INDEX('KT THAN'!$Y$38:$Y$58,MATCH(R502,'KT THAN'!$Y$38:$Y$58,-1)))/(INDEX('KT THAN'!$Y$38:$Y$58,MIN(21,MATCH(R502,'KT THAN'!$Y$38:$Y$58,-1)+1))-INDEX('KT THAN'!$Y$38:$Y$58,MATCH(R502,'KT THAN'!$Y$38:$Y$58,-1)))),MIN(0.8*0.75*'KT THAN'!$C$62,'KT THAN'!$D$68/R502)))))</f>
        <v/>
      </c>
      <c r="O502" s="38" t="str">
        <f>IF($A502="","",IF(H502&lt;0,ABS(H502)/MAX('KT THAN'!$C$69,0.001)+'KT THAN'!$C$32*ABS(J502)/MAX('KT THAN'!$C$68,0.001)+'KT THAN'!$D$32*ABS(I502)/MAX('KT THAN'!$D$68,0.001),IF(OR(M502&lt;=0,N502&lt;=0),999,IF(H502&gt;=0.1*0.75*fc_*Agth*1000,H502/MAX(0.001,1/(1/M502+1/N502-1/(0.75*'KT THAN'!$C$62))),'KT THAN'!$C$32*ABS(J502)/MAX('KT THAN'!$C$68,0.001)+'KT THAN'!$D$32*ABS(I502)/MAX('KT THAN'!$D$68,0.001)))))</f>
        <v/>
      </c>
      <c r="P502" s="37" t="str">
        <f t="shared" si="81"/>
        <v/>
      </c>
      <c r="Q502" s="38" t="str">
        <f>IF($A502="","",MAX(0.001,'KT THAN'!$C$32*ABS(J502)/MAX(1,H502)))</f>
        <v/>
      </c>
      <c r="R502" s="38" t="str">
        <f>IF($A502="","",MAX(0.001,'KT THAN'!$D$32*ABS(I502)/MAX(1,H502)))</f>
        <v/>
      </c>
      <c r="S502" t="str">
        <f t="shared" si="75"/>
        <v/>
      </c>
    </row>
    <row r="503" spans="1:19" hidden="1" outlineLevel="1" x14ac:dyDescent="0.3">
      <c r="A503" s="37" t="str">
        <f>IF(OR(nThan=1,'TO HOP NLAN'!$A59=""),"",'TO HOP NLAN'!$A59)</f>
        <v/>
      </c>
      <c r="B503" s="38" t="str">
        <f>IF($A503="","",'TO HOP NLAN'!$D59)</f>
        <v/>
      </c>
      <c r="C503" s="38" t="str">
        <f>IF($A503="","",'TO HOP NLAN'!$E59)</f>
        <v/>
      </c>
      <c r="D503" s="38" t="str">
        <f>IF($A503="","",'TO HOP NLAN'!$F59)</f>
        <v/>
      </c>
      <c r="E503" s="38" t="str">
        <f>IF($A503="","",'TO HOP NLAN'!$B59)</f>
        <v/>
      </c>
      <c r="F503" s="38" t="str">
        <f>IF($A503="","",'TO HOP NLAN'!$C59)</f>
        <v/>
      </c>
      <c r="G503" s="38" t="str">
        <f t="shared" si="76"/>
        <v/>
      </c>
      <c r="H503" s="38" t="str">
        <f t="shared" si="69"/>
        <v/>
      </c>
      <c r="I503" s="38" t="str">
        <f t="shared" si="77"/>
        <v/>
      </c>
      <c r="J503" s="38" t="str">
        <f t="shared" si="78"/>
        <v/>
      </c>
      <c r="K503" s="38" t="str">
        <f t="shared" si="79"/>
        <v/>
      </c>
      <c r="L503" s="38" t="str">
        <f t="shared" si="80"/>
        <v/>
      </c>
      <c r="M503" s="38" t="str">
        <f>IF($A503="","",IF(H503=0,"",IF(Q503&lt;=0.000000001,MIN(0.8*0.75*'KT THAN'!$C$62,MAX('KT THAN'!$J$38:$J$58)),IFERROR(MIN(0.8*0.75*'KT THAN'!$C$62,INDEX('KT THAN'!$J$38:$J$58,MATCH(Q503,'KT THAN'!$L$38:$L$58,-1))+(INDEX('KT THAN'!$J$38:$J$58,MIN(21,MATCH(Q503,'KT THAN'!$L$38:$L$58,-1)+1))-INDEX('KT THAN'!$J$38:$J$58,MATCH(Q503,'KT THAN'!$L$38:$L$58,-1)))*(Q503-INDEX('KT THAN'!$L$38:$L$58,MATCH(Q503,'KT THAN'!$L$38:$L$58,-1)))/(INDEX('KT THAN'!$L$38:$L$58,MIN(21,MATCH(Q503,'KT THAN'!$L$38:$L$58,-1)+1))-INDEX('KT THAN'!$L$38:$L$58,MATCH(Q503,'KT THAN'!$L$38:$L$58,-1)))),MIN(0.8*0.75*'KT THAN'!$C$62,'KT THAN'!$C$68/Q503)))))</f>
        <v/>
      </c>
      <c r="N503" s="38" t="str">
        <f>IF($A503="","",IF(H503=0,"",IF(R503&lt;=0.000000001,MIN(0.8*0.75*'KT THAN'!$C$62,MAX('KT THAN'!$W$38:$W$58)),IFERROR(MIN(0.8*0.75*'KT THAN'!$C$62,INDEX('KT THAN'!$W$38:$W$58,MATCH(R503,'KT THAN'!$Y$38:$Y$58,-1))+(INDEX('KT THAN'!$W$38:$W$58,MIN(21,MATCH(R503,'KT THAN'!$Y$38:$Y$58,-1)+1))-INDEX('KT THAN'!$W$38:$W$58,MATCH(R503,'KT THAN'!$Y$38:$Y$58,-1)))*(R503-INDEX('KT THAN'!$Y$38:$Y$58,MATCH(R503,'KT THAN'!$Y$38:$Y$58,-1)))/(INDEX('KT THAN'!$Y$38:$Y$58,MIN(21,MATCH(R503,'KT THAN'!$Y$38:$Y$58,-1)+1))-INDEX('KT THAN'!$Y$38:$Y$58,MATCH(R503,'KT THAN'!$Y$38:$Y$58,-1)))),MIN(0.8*0.75*'KT THAN'!$C$62,'KT THAN'!$D$68/R503)))))</f>
        <v/>
      </c>
      <c r="O503" s="38" t="str">
        <f>IF($A503="","",IF(H503&lt;0,ABS(H503)/MAX('KT THAN'!$C$69,0.001)+'KT THAN'!$C$32*ABS(J503)/MAX('KT THAN'!$C$68,0.001)+'KT THAN'!$D$32*ABS(I503)/MAX('KT THAN'!$D$68,0.001),IF(OR(M503&lt;=0,N503&lt;=0),999,IF(H503&gt;=0.1*0.75*fc_*Agth*1000,H503/MAX(0.001,1/(1/M503+1/N503-1/(0.75*'KT THAN'!$C$62))),'KT THAN'!$C$32*ABS(J503)/MAX('KT THAN'!$C$68,0.001)+'KT THAN'!$D$32*ABS(I503)/MAX('KT THAN'!$D$68,0.001)))))</f>
        <v/>
      </c>
      <c r="P503" s="37" t="str">
        <f t="shared" si="81"/>
        <v/>
      </c>
      <c r="Q503" s="38" t="str">
        <f>IF($A503="","",MAX(0.001,'KT THAN'!$C$32*ABS(J503)/MAX(1,H503)))</f>
        <v/>
      </c>
      <c r="R503" s="38" t="str">
        <f>IF($A503="","",MAX(0.001,'KT THAN'!$D$32*ABS(I503)/MAX(1,H503)))</f>
        <v/>
      </c>
      <c r="S503" t="str">
        <f t="shared" si="75"/>
        <v/>
      </c>
    </row>
    <row r="504" spans="1:19" hidden="1" outlineLevel="1" x14ac:dyDescent="0.3">
      <c r="A504" s="37" t="str">
        <f>IF(OR(nThan=1,'TO HOP NLAN'!$A60=""),"",'TO HOP NLAN'!$A60)</f>
        <v/>
      </c>
      <c r="B504" s="38" t="str">
        <f>IF($A504="","",'TO HOP NLAN'!$D60)</f>
        <v/>
      </c>
      <c r="C504" s="38" t="str">
        <f>IF($A504="","",'TO HOP NLAN'!$E60)</f>
        <v/>
      </c>
      <c r="D504" s="38" t="str">
        <f>IF($A504="","",'TO HOP NLAN'!$F60)</f>
        <v/>
      </c>
      <c r="E504" s="38" t="str">
        <f>IF($A504="","",'TO HOP NLAN'!$B60)</f>
        <v/>
      </c>
      <c r="F504" s="38" t="str">
        <f>IF($A504="","",'TO HOP NLAN'!$C60)</f>
        <v/>
      </c>
      <c r="G504" s="38" t="str">
        <f t="shared" si="76"/>
        <v/>
      </c>
      <c r="H504" s="38" t="str">
        <f t="shared" si="69"/>
        <v/>
      </c>
      <c r="I504" s="38" t="str">
        <f t="shared" si="77"/>
        <v/>
      </c>
      <c r="J504" s="38" t="str">
        <f t="shared" si="78"/>
        <v/>
      </c>
      <c r="K504" s="38" t="str">
        <f t="shared" si="79"/>
        <v/>
      </c>
      <c r="L504" s="38" t="str">
        <f t="shared" si="80"/>
        <v/>
      </c>
      <c r="M504" s="38" t="str">
        <f>IF($A504="","",IF(H504=0,"",IF(Q504&lt;=0.000000001,MIN(0.8*0.75*'KT THAN'!$C$62,MAX('KT THAN'!$J$38:$J$58)),IFERROR(MIN(0.8*0.75*'KT THAN'!$C$62,INDEX('KT THAN'!$J$38:$J$58,MATCH(Q504,'KT THAN'!$L$38:$L$58,-1))+(INDEX('KT THAN'!$J$38:$J$58,MIN(21,MATCH(Q504,'KT THAN'!$L$38:$L$58,-1)+1))-INDEX('KT THAN'!$J$38:$J$58,MATCH(Q504,'KT THAN'!$L$38:$L$58,-1)))*(Q504-INDEX('KT THAN'!$L$38:$L$58,MATCH(Q504,'KT THAN'!$L$38:$L$58,-1)))/(INDEX('KT THAN'!$L$38:$L$58,MIN(21,MATCH(Q504,'KT THAN'!$L$38:$L$58,-1)+1))-INDEX('KT THAN'!$L$38:$L$58,MATCH(Q504,'KT THAN'!$L$38:$L$58,-1)))),MIN(0.8*0.75*'KT THAN'!$C$62,'KT THAN'!$C$68/Q504)))))</f>
        <v/>
      </c>
      <c r="N504" s="38" t="str">
        <f>IF($A504="","",IF(H504=0,"",IF(R504&lt;=0.000000001,MIN(0.8*0.75*'KT THAN'!$C$62,MAX('KT THAN'!$W$38:$W$58)),IFERROR(MIN(0.8*0.75*'KT THAN'!$C$62,INDEX('KT THAN'!$W$38:$W$58,MATCH(R504,'KT THAN'!$Y$38:$Y$58,-1))+(INDEX('KT THAN'!$W$38:$W$58,MIN(21,MATCH(R504,'KT THAN'!$Y$38:$Y$58,-1)+1))-INDEX('KT THAN'!$W$38:$W$58,MATCH(R504,'KT THAN'!$Y$38:$Y$58,-1)))*(R504-INDEX('KT THAN'!$Y$38:$Y$58,MATCH(R504,'KT THAN'!$Y$38:$Y$58,-1)))/(INDEX('KT THAN'!$Y$38:$Y$58,MIN(21,MATCH(R504,'KT THAN'!$Y$38:$Y$58,-1)+1))-INDEX('KT THAN'!$Y$38:$Y$58,MATCH(R504,'KT THAN'!$Y$38:$Y$58,-1)))),MIN(0.8*0.75*'KT THAN'!$C$62,'KT THAN'!$D$68/R504)))))</f>
        <v/>
      </c>
      <c r="O504" s="38" t="str">
        <f>IF($A504="","",IF(H504&lt;0,ABS(H504)/MAX('KT THAN'!$C$69,0.001)+'KT THAN'!$C$32*ABS(J504)/MAX('KT THAN'!$C$68,0.001)+'KT THAN'!$D$32*ABS(I504)/MAX('KT THAN'!$D$68,0.001),IF(OR(M504&lt;=0,N504&lt;=0),999,IF(H504&gt;=0.1*0.75*fc_*Agth*1000,H504/MAX(0.001,1/(1/M504+1/N504-1/(0.75*'KT THAN'!$C$62))),'KT THAN'!$C$32*ABS(J504)/MAX('KT THAN'!$C$68,0.001)+'KT THAN'!$D$32*ABS(I504)/MAX('KT THAN'!$D$68,0.001)))))</f>
        <v/>
      </c>
      <c r="P504" s="37" t="str">
        <f t="shared" si="81"/>
        <v/>
      </c>
      <c r="Q504" s="38" t="str">
        <f>IF($A504="","",MAX(0.001,'KT THAN'!$C$32*ABS(J504)/MAX(1,H504)))</f>
        <v/>
      </c>
      <c r="R504" s="38" t="str">
        <f>IF($A504="","",MAX(0.001,'KT THAN'!$D$32*ABS(I504)/MAX(1,H504)))</f>
        <v/>
      </c>
      <c r="S504" t="str">
        <f t="shared" si="75"/>
        <v/>
      </c>
    </row>
    <row r="505" spans="1:19" hidden="1" outlineLevel="1" x14ac:dyDescent="0.3">
      <c r="A505" s="37" t="str">
        <f>IF(OR(nThan=1,'TO HOP NLAN'!$A61=""),"",'TO HOP NLAN'!$A61)</f>
        <v/>
      </c>
      <c r="B505" s="38" t="str">
        <f>IF($A505="","",'TO HOP NLAN'!$D61)</f>
        <v/>
      </c>
      <c r="C505" s="38" t="str">
        <f>IF($A505="","",'TO HOP NLAN'!$E61)</f>
        <v/>
      </c>
      <c r="D505" s="38" t="str">
        <f>IF($A505="","",'TO HOP NLAN'!$F61)</f>
        <v/>
      </c>
      <c r="E505" s="38" t="str">
        <f>IF($A505="","",'TO HOP NLAN'!$B61)</f>
        <v/>
      </c>
      <c r="F505" s="38" t="str">
        <f>IF($A505="","",'TO HOP NLAN'!$C61)</f>
        <v/>
      </c>
      <c r="G505" s="38" t="str">
        <f t="shared" si="76"/>
        <v/>
      </c>
      <c r="H505" s="38" t="str">
        <f t="shared" si="69"/>
        <v/>
      </c>
      <c r="I505" s="38" t="str">
        <f t="shared" si="77"/>
        <v/>
      </c>
      <c r="J505" s="38" t="str">
        <f t="shared" si="78"/>
        <v/>
      </c>
      <c r="K505" s="38" t="str">
        <f t="shared" si="79"/>
        <v/>
      </c>
      <c r="L505" s="38" t="str">
        <f t="shared" si="80"/>
        <v/>
      </c>
      <c r="M505" s="38" t="str">
        <f>IF($A505="","",IF(H505=0,"",IF(Q505&lt;=0.000000001,MIN(0.8*0.75*'KT THAN'!$C$62,MAX('KT THAN'!$J$38:$J$58)),IFERROR(MIN(0.8*0.75*'KT THAN'!$C$62,INDEX('KT THAN'!$J$38:$J$58,MATCH(Q505,'KT THAN'!$L$38:$L$58,-1))+(INDEX('KT THAN'!$J$38:$J$58,MIN(21,MATCH(Q505,'KT THAN'!$L$38:$L$58,-1)+1))-INDEX('KT THAN'!$J$38:$J$58,MATCH(Q505,'KT THAN'!$L$38:$L$58,-1)))*(Q505-INDEX('KT THAN'!$L$38:$L$58,MATCH(Q505,'KT THAN'!$L$38:$L$58,-1)))/(INDEX('KT THAN'!$L$38:$L$58,MIN(21,MATCH(Q505,'KT THAN'!$L$38:$L$58,-1)+1))-INDEX('KT THAN'!$L$38:$L$58,MATCH(Q505,'KT THAN'!$L$38:$L$58,-1)))),MIN(0.8*0.75*'KT THAN'!$C$62,'KT THAN'!$C$68/Q505)))))</f>
        <v/>
      </c>
      <c r="N505" s="38" t="str">
        <f>IF($A505="","",IF(H505=0,"",IF(R505&lt;=0.000000001,MIN(0.8*0.75*'KT THAN'!$C$62,MAX('KT THAN'!$W$38:$W$58)),IFERROR(MIN(0.8*0.75*'KT THAN'!$C$62,INDEX('KT THAN'!$W$38:$W$58,MATCH(R505,'KT THAN'!$Y$38:$Y$58,-1))+(INDEX('KT THAN'!$W$38:$W$58,MIN(21,MATCH(R505,'KT THAN'!$Y$38:$Y$58,-1)+1))-INDEX('KT THAN'!$W$38:$W$58,MATCH(R505,'KT THAN'!$Y$38:$Y$58,-1)))*(R505-INDEX('KT THAN'!$Y$38:$Y$58,MATCH(R505,'KT THAN'!$Y$38:$Y$58,-1)))/(INDEX('KT THAN'!$Y$38:$Y$58,MIN(21,MATCH(R505,'KT THAN'!$Y$38:$Y$58,-1)+1))-INDEX('KT THAN'!$Y$38:$Y$58,MATCH(R505,'KT THAN'!$Y$38:$Y$58,-1)))),MIN(0.8*0.75*'KT THAN'!$C$62,'KT THAN'!$D$68/R505)))))</f>
        <v/>
      </c>
      <c r="O505" s="38" t="str">
        <f>IF($A505="","",IF(H505&lt;0,ABS(H505)/MAX('KT THAN'!$C$69,0.001)+'KT THAN'!$C$32*ABS(J505)/MAX('KT THAN'!$C$68,0.001)+'KT THAN'!$D$32*ABS(I505)/MAX('KT THAN'!$D$68,0.001),IF(OR(M505&lt;=0,N505&lt;=0),999,IF(H505&gt;=0.1*0.75*fc_*Agth*1000,H505/MAX(0.001,1/(1/M505+1/N505-1/(0.75*'KT THAN'!$C$62))),'KT THAN'!$C$32*ABS(J505)/MAX('KT THAN'!$C$68,0.001)+'KT THAN'!$D$32*ABS(I505)/MAX('KT THAN'!$D$68,0.001)))))</f>
        <v/>
      </c>
      <c r="P505" s="37" t="str">
        <f t="shared" si="81"/>
        <v/>
      </c>
      <c r="Q505" s="38" t="str">
        <f>IF($A505="","",MAX(0.001,'KT THAN'!$C$32*ABS(J505)/MAX(1,H505)))</f>
        <v/>
      </c>
      <c r="R505" s="38" t="str">
        <f>IF($A505="","",MAX(0.001,'KT THAN'!$D$32*ABS(I505)/MAX(1,H505)))</f>
        <v/>
      </c>
      <c r="S505" t="str">
        <f t="shared" si="75"/>
        <v/>
      </c>
    </row>
    <row r="506" spans="1:19" hidden="1" outlineLevel="1" x14ac:dyDescent="0.3">
      <c r="A506" s="37" t="str">
        <f>IF(OR(nThan=1,'TO HOP NLAN'!$A62=""),"",'TO HOP NLAN'!$A62)</f>
        <v/>
      </c>
      <c r="B506" s="38" t="str">
        <f>IF($A506="","",'TO HOP NLAN'!$D62)</f>
        <v/>
      </c>
      <c r="C506" s="38" t="str">
        <f>IF($A506="","",'TO HOP NLAN'!$E62)</f>
        <v/>
      </c>
      <c r="D506" s="38" t="str">
        <f>IF($A506="","",'TO HOP NLAN'!$F62)</f>
        <v/>
      </c>
      <c r="E506" s="38" t="str">
        <f>IF($A506="","",'TO HOP NLAN'!$B62)</f>
        <v/>
      </c>
      <c r="F506" s="38" t="str">
        <f>IF($A506="","",'TO HOP NLAN'!$C62)</f>
        <v/>
      </c>
      <c r="G506" s="38" t="str">
        <f t="shared" si="76"/>
        <v/>
      </c>
      <c r="H506" s="38" t="str">
        <f t="shared" si="69"/>
        <v/>
      </c>
      <c r="I506" s="38" t="str">
        <f t="shared" si="77"/>
        <v/>
      </c>
      <c r="J506" s="38" t="str">
        <f t="shared" si="78"/>
        <v/>
      </c>
      <c r="K506" s="38" t="str">
        <f t="shared" si="79"/>
        <v/>
      </c>
      <c r="L506" s="38" t="str">
        <f t="shared" si="80"/>
        <v/>
      </c>
      <c r="M506" s="38" t="str">
        <f>IF($A506="","",IF(H506=0,"",IF(Q506&lt;=0.000000001,MIN(0.8*0.75*'KT THAN'!$C$62,MAX('KT THAN'!$J$38:$J$58)),IFERROR(MIN(0.8*0.75*'KT THAN'!$C$62,INDEX('KT THAN'!$J$38:$J$58,MATCH(Q506,'KT THAN'!$L$38:$L$58,-1))+(INDEX('KT THAN'!$J$38:$J$58,MIN(21,MATCH(Q506,'KT THAN'!$L$38:$L$58,-1)+1))-INDEX('KT THAN'!$J$38:$J$58,MATCH(Q506,'KT THAN'!$L$38:$L$58,-1)))*(Q506-INDEX('KT THAN'!$L$38:$L$58,MATCH(Q506,'KT THAN'!$L$38:$L$58,-1)))/(INDEX('KT THAN'!$L$38:$L$58,MIN(21,MATCH(Q506,'KT THAN'!$L$38:$L$58,-1)+1))-INDEX('KT THAN'!$L$38:$L$58,MATCH(Q506,'KT THAN'!$L$38:$L$58,-1)))),MIN(0.8*0.75*'KT THAN'!$C$62,'KT THAN'!$C$68/Q506)))))</f>
        <v/>
      </c>
      <c r="N506" s="38" t="str">
        <f>IF($A506="","",IF(H506=0,"",IF(R506&lt;=0.000000001,MIN(0.8*0.75*'KT THAN'!$C$62,MAX('KT THAN'!$W$38:$W$58)),IFERROR(MIN(0.8*0.75*'KT THAN'!$C$62,INDEX('KT THAN'!$W$38:$W$58,MATCH(R506,'KT THAN'!$Y$38:$Y$58,-1))+(INDEX('KT THAN'!$W$38:$W$58,MIN(21,MATCH(R506,'KT THAN'!$Y$38:$Y$58,-1)+1))-INDEX('KT THAN'!$W$38:$W$58,MATCH(R506,'KT THAN'!$Y$38:$Y$58,-1)))*(R506-INDEX('KT THAN'!$Y$38:$Y$58,MATCH(R506,'KT THAN'!$Y$38:$Y$58,-1)))/(INDEX('KT THAN'!$Y$38:$Y$58,MIN(21,MATCH(R506,'KT THAN'!$Y$38:$Y$58,-1)+1))-INDEX('KT THAN'!$Y$38:$Y$58,MATCH(R506,'KT THAN'!$Y$38:$Y$58,-1)))),MIN(0.8*0.75*'KT THAN'!$C$62,'KT THAN'!$D$68/R506)))))</f>
        <v/>
      </c>
      <c r="O506" s="38" t="str">
        <f>IF($A506="","",IF(H506&lt;0,ABS(H506)/MAX('KT THAN'!$C$69,0.001)+'KT THAN'!$C$32*ABS(J506)/MAX('KT THAN'!$C$68,0.001)+'KT THAN'!$D$32*ABS(I506)/MAX('KT THAN'!$D$68,0.001),IF(OR(M506&lt;=0,N506&lt;=0),999,IF(H506&gt;=0.1*0.75*fc_*Agth*1000,H506/MAX(0.001,1/(1/M506+1/N506-1/(0.75*'KT THAN'!$C$62))),'KT THAN'!$C$32*ABS(J506)/MAX('KT THAN'!$C$68,0.001)+'KT THAN'!$D$32*ABS(I506)/MAX('KT THAN'!$D$68,0.001)))))</f>
        <v/>
      </c>
      <c r="P506" s="37" t="str">
        <f t="shared" si="81"/>
        <v/>
      </c>
      <c r="Q506" s="38" t="str">
        <f>IF($A506="","",MAX(0.001,'KT THAN'!$C$32*ABS(J506)/MAX(1,H506)))</f>
        <v/>
      </c>
      <c r="R506" s="38" t="str">
        <f>IF($A506="","",MAX(0.001,'KT THAN'!$D$32*ABS(I506)/MAX(1,H506)))</f>
        <v/>
      </c>
      <c r="S506" t="str">
        <f t="shared" si="75"/>
        <v/>
      </c>
    </row>
    <row r="507" spans="1:19" hidden="1" outlineLevel="1" x14ac:dyDescent="0.3">
      <c r="A507" s="37" t="str">
        <f>IF(OR(nThan=1,'TO HOP NLAN'!$A63=""),"",'TO HOP NLAN'!$A63)</f>
        <v/>
      </c>
      <c r="B507" s="38" t="str">
        <f>IF($A507="","",'TO HOP NLAN'!$D63)</f>
        <v/>
      </c>
      <c r="C507" s="38" t="str">
        <f>IF($A507="","",'TO HOP NLAN'!$E63)</f>
        <v/>
      </c>
      <c r="D507" s="38" t="str">
        <f>IF($A507="","",'TO HOP NLAN'!$F63)</f>
        <v/>
      </c>
      <c r="E507" s="38" t="str">
        <f>IF($A507="","",'TO HOP NLAN'!$B63)</f>
        <v/>
      </c>
      <c r="F507" s="38" t="str">
        <f>IF($A507="","",'TO HOP NLAN'!$C63)</f>
        <v/>
      </c>
      <c r="G507" s="38" t="str">
        <f t="shared" si="76"/>
        <v/>
      </c>
      <c r="H507" s="38" t="str">
        <f t="shared" si="69"/>
        <v/>
      </c>
      <c r="I507" s="38" t="str">
        <f t="shared" si="77"/>
        <v/>
      </c>
      <c r="J507" s="38" t="str">
        <f t="shared" si="78"/>
        <v/>
      </c>
      <c r="K507" s="38" t="str">
        <f t="shared" si="79"/>
        <v/>
      </c>
      <c r="L507" s="38" t="str">
        <f t="shared" si="80"/>
        <v/>
      </c>
      <c r="M507" s="38" t="str">
        <f>IF($A507="","",IF(H507=0,"",IF(Q507&lt;=0.000000001,MIN(0.8*0.75*'KT THAN'!$C$62,MAX('KT THAN'!$J$38:$J$58)),IFERROR(MIN(0.8*0.75*'KT THAN'!$C$62,INDEX('KT THAN'!$J$38:$J$58,MATCH(Q507,'KT THAN'!$L$38:$L$58,-1))+(INDEX('KT THAN'!$J$38:$J$58,MIN(21,MATCH(Q507,'KT THAN'!$L$38:$L$58,-1)+1))-INDEX('KT THAN'!$J$38:$J$58,MATCH(Q507,'KT THAN'!$L$38:$L$58,-1)))*(Q507-INDEX('KT THAN'!$L$38:$L$58,MATCH(Q507,'KT THAN'!$L$38:$L$58,-1)))/(INDEX('KT THAN'!$L$38:$L$58,MIN(21,MATCH(Q507,'KT THAN'!$L$38:$L$58,-1)+1))-INDEX('KT THAN'!$L$38:$L$58,MATCH(Q507,'KT THAN'!$L$38:$L$58,-1)))),MIN(0.8*0.75*'KT THAN'!$C$62,'KT THAN'!$C$68/Q507)))))</f>
        <v/>
      </c>
      <c r="N507" s="38" t="str">
        <f>IF($A507="","",IF(H507=0,"",IF(R507&lt;=0.000000001,MIN(0.8*0.75*'KT THAN'!$C$62,MAX('KT THAN'!$W$38:$W$58)),IFERROR(MIN(0.8*0.75*'KT THAN'!$C$62,INDEX('KT THAN'!$W$38:$W$58,MATCH(R507,'KT THAN'!$Y$38:$Y$58,-1))+(INDEX('KT THAN'!$W$38:$W$58,MIN(21,MATCH(R507,'KT THAN'!$Y$38:$Y$58,-1)+1))-INDEX('KT THAN'!$W$38:$W$58,MATCH(R507,'KT THAN'!$Y$38:$Y$58,-1)))*(R507-INDEX('KT THAN'!$Y$38:$Y$58,MATCH(R507,'KT THAN'!$Y$38:$Y$58,-1)))/(INDEX('KT THAN'!$Y$38:$Y$58,MIN(21,MATCH(R507,'KT THAN'!$Y$38:$Y$58,-1)+1))-INDEX('KT THAN'!$Y$38:$Y$58,MATCH(R507,'KT THAN'!$Y$38:$Y$58,-1)))),MIN(0.8*0.75*'KT THAN'!$C$62,'KT THAN'!$D$68/R507)))))</f>
        <v/>
      </c>
      <c r="O507" s="38" t="str">
        <f>IF($A507="","",IF(H507&lt;0,ABS(H507)/MAX('KT THAN'!$C$69,0.001)+'KT THAN'!$C$32*ABS(J507)/MAX('KT THAN'!$C$68,0.001)+'KT THAN'!$D$32*ABS(I507)/MAX('KT THAN'!$D$68,0.001),IF(OR(M507&lt;=0,N507&lt;=0),999,IF(H507&gt;=0.1*0.75*fc_*Agth*1000,H507/MAX(0.001,1/(1/M507+1/N507-1/(0.75*'KT THAN'!$C$62))),'KT THAN'!$C$32*ABS(J507)/MAX('KT THAN'!$C$68,0.001)+'KT THAN'!$D$32*ABS(I507)/MAX('KT THAN'!$D$68,0.001)))))</f>
        <v/>
      </c>
      <c r="P507" s="37" t="str">
        <f t="shared" si="81"/>
        <v/>
      </c>
      <c r="Q507" s="38" t="str">
        <f>IF($A507="","",MAX(0.001,'KT THAN'!$C$32*ABS(J507)/MAX(1,H507)))</f>
        <v/>
      </c>
      <c r="R507" s="38" t="str">
        <f>IF($A507="","",MAX(0.001,'KT THAN'!$D$32*ABS(I507)/MAX(1,H507)))</f>
        <v/>
      </c>
      <c r="S507" t="str">
        <f t="shared" si="75"/>
        <v/>
      </c>
    </row>
    <row r="508" spans="1:19" hidden="1" outlineLevel="1" x14ac:dyDescent="0.3">
      <c r="A508" s="37" t="str">
        <f>IF(OR(nThan=1,'TO HOP NLAN'!$A64=""),"",'TO HOP NLAN'!$A64)</f>
        <v/>
      </c>
      <c r="B508" s="38" t="str">
        <f>IF($A508="","",'TO HOP NLAN'!$D64)</f>
        <v/>
      </c>
      <c r="C508" s="38" t="str">
        <f>IF($A508="","",'TO HOP NLAN'!$E64)</f>
        <v/>
      </c>
      <c r="D508" s="38" t="str">
        <f>IF($A508="","",'TO HOP NLAN'!$F64)</f>
        <v/>
      </c>
      <c r="E508" s="38" t="str">
        <f>IF($A508="","",'TO HOP NLAN'!$B64)</f>
        <v/>
      </c>
      <c r="F508" s="38" t="str">
        <f>IF($A508="","",'TO HOP NLAN'!$C64)</f>
        <v/>
      </c>
      <c r="G508" s="38" t="str">
        <f t="shared" si="76"/>
        <v/>
      </c>
      <c r="H508" s="38" t="str">
        <f t="shared" si="69"/>
        <v/>
      </c>
      <c r="I508" s="38" t="str">
        <f t="shared" si="77"/>
        <v/>
      </c>
      <c r="J508" s="38" t="str">
        <f t="shared" si="78"/>
        <v/>
      </c>
      <c r="K508" s="38" t="str">
        <f t="shared" si="79"/>
        <v/>
      </c>
      <c r="L508" s="38" t="str">
        <f t="shared" si="80"/>
        <v/>
      </c>
      <c r="M508" s="38" t="str">
        <f>IF($A508="","",IF(H508=0,"",IF(Q508&lt;=0.000000001,MIN(0.8*0.75*'KT THAN'!$C$62,MAX('KT THAN'!$J$38:$J$58)),IFERROR(MIN(0.8*0.75*'KT THAN'!$C$62,INDEX('KT THAN'!$J$38:$J$58,MATCH(Q508,'KT THAN'!$L$38:$L$58,-1))+(INDEX('KT THAN'!$J$38:$J$58,MIN(21,MATCH(Q508,'KT THAN'!$L$38:$L$58,-1)+1))-INDEX('KT THAN'!$J$38:$J$58,MATCH(Q508,'KT THAN'!$L$38:$L$58,-1)))*(Q508-INDEX('KT THAN'!$L$38:$L$58,MATCH(Q508,'KT THAN'!$L$38:$L$58,-1)))/(INDEX('KT THAN'!$L$38:$L$58,MIN(21,MATCH(Q508,'KT THAN'!$L$38:$L$58,-1)+1))-INDEX('KT THAN'!$L$38:$L$58,MATCH(Q508,'KT THAN'!$L$38:$L$58,-1)))),MIN(0.8*0.75*'KT THAN'!$C$62,'KT THAN'!$C$68/Q508)))))</f>
        <v/>
      </c>
      <c r="N508" s="38" t="str">
        <f>IF($A508="","",IF(H508=0,"",IF(R508&lt;=0.000000001,MIN(0.8*0.75*'KT THAN'!$C$62,MAX('KT THAN'!$W$38:$W$58)),IFERROR(MIN(0.8*0.75*'KT THAN'!$C$62,INDEX('KT THAN'!$W$38:$W$58,MATCH(R508,'KT THAN'!$Y$38:$Y$58,-1))+(INDEX('KT THAN'!$W$38:$W$58,MIN(21,MATCH(R508,'KT THAN'!$Y$38:$Y$58,-1)+1))-INDEX('KT THAN'!$W$38:$W$58,MATCH(R508,'KT THAN'!$Y$38:$Y$58,-1)))*(R508-INDEX('KT THAN'!$Y$38:$Y$58,MATCH(R508,'KT THAN'!$Y$38:$Y$58,-1)))/(INDEX('KT THAN'!$Y$38:$Y$58,MIN(21,MATCH(R508,'KT THAN'!$Y$38:$Y$58,-1)+1))-INDEX('KT THAN'!$Y$38:$Y$58,MATCH(R508,'KT THAN'!$Y$38:$Y$58,-1)))),MIN(0.8*0.75*'KT THAN'!$C$62,'KT THAN'!$D$68/R508)))))</f>
        <v/>
      </c>
      <c r="O508" s="38" t="str">
        <f>IF($A508="","",IF(H508&lt;0,ABS(H508)/MAX('KT THAN'!$C$69,0.001)+'KT THAN'!$C$32*ABS(J508)/MAX('KT THAN'!$C$68,0.001)+'KT THAN'!$D$32*ABS(I508)/MAX('KT THAN'!$D$68,0.001),IF(OR(M508&lt;=0,N508&lt;=0),999,IF(H508&gt;=0.1*0.75*fc_*Agth*1000,H508/MAX(0.001,1/(1/M508+1/N508-1/(0.75*'KT THAN'!$C$62))),'KT THAN'!$C$32*ABS(J508)/MAX('KT THAN'!$C$68,0.001)+'KT THAN'!$D$32*ABS(I508)/MAX('KT THAN'!$D$68,0.001)))))</f>
        <v/>
      </c>
      <c r="P508" s="37" t="str">
        <f t="shared" si="81"/>
        <v/>
      </c>
      <c r="Q508" s="38" t="str">
        <f>IF($A508="","",MAX(0.001,'KT THAN'!$C$32*ABS(J508)/MAX(1,H508)))</f>
        <v/>
      </c>
      <c r="R508" s="38" t="str">
        <f>IF($A508="","",MAX(0.001,'KT THAN'!$D$32*ABS(I508)/MAX(1,H508)))</f>
        <v/>
      </c>
      <c r="S508" t="str">
        <f t="shared" si="75"/>
        <v/>
      </c>
    </row>
    <row r="509" spans="1:19" hidden="1" outlineLevel="1" x14ac:dyDescent="0.3">
      <c r="A509" s="37" t="str">
        <f>IF(OR(nThan=1,'TO HOP NLAN'!$A65=""),"",'TO HOP NLAN'!$A65)</f>
        <v/>
      </c>
      <c r="B509" s="38" t="str">
        <f>IF($A509="","",'TO HOP NLAN'!$D65)</f>
        <v/>
      </c>
      <c r="C509" s="38" t="str">
        <f>IF($A509="","",'TO HOP NLAN'!$E65)</f>
        <v/>
      </c>
      <c r="D509" s="38" t="str">
        <f>IF($A509="","",'TO HOP NLAN'!$F65)</f>
        <v/>
      </c>
      <c r="E509" s="38" t="str">
        <f>IF($A509="","",'TO HOP NLAN'!$B65)</f>
        <v/>
      </c>
      <c r="F509" s="38" t="str">
        <f>IF($A509="","",'TO HOP NLAN'!$C65)</f>
        <v/>
      </c>
      <c r="G509" s="38" t="str">
        <f t="shared" si="76"/>
        <v/>
      </c>
      <c r="H509" s="38" t="str">
        <f t="shared" si="69"/>
        <v/>
      </c>
      <c r="I509" s="38" t="str">
        <f t="shared" si="77"/>
        <v/>
      </c>
      <c r="J509" s="38" t="str">
        <f t="shared" si="78"/>
        <v/>
      </c>
      <c r="K509" s="38" t="str">
        <f t="shared" si="79"/>
        <v/>
      </c>
      <c r="L509" s="38" t="str">
        <f t="shared" si="80"/>
        <v/>
      </c>
      <c r="M509" s="38" t="str">
        <f>IF($A509="","",IF(H509=0,"",IF(Q509&lt;=0.000000001,MIN(0.8*0.75*'KT THAN'!$C$62,MAX('KT THAN'!$J$38:$J$58)),IFERROR(MIN(0.8*0.75*'KT THAN'!$C$62,INDEX('KT THAN'!$J$38:$J$58,MATCH(Q509,'KT THAN'!$L$38:$L$58,-1))+(INDEX('KT THAN'!$J$38:$J$58,MIN(21,MATCH(Q509,'KT THAN'!$L$38:$L$58,-1)+1))-INDEX('KT THAN'!$J$38:$J$58,MATCH(Q509,'KT THAN'!$L$38:$L$58,-1)))*(Q509-INDEX('KT THAN'!$L$38:$L$58,MATCH(Q509,'KT THAN'!$L$38:$L$58,-1)))/(INDEX('KT THAN'!$L$38:$L$58,MIN(21,MATCH(Q509,'KT THAN'!$L$38:$L$58,-1)+1))-INDEX('KT THAN'!$L$38:$L$58,MATCH(Q509,'KT THAN'!$L$38:$L$58,-1)))),MIN(0.8*0.75*'KT THAN'!$C$62,'KT THAN'!$C$68/Q509)))))</f>
        <v/>
      </c>
      <c r="N509" s="38" t="str">
        <f>IF($A509="","",IF(H509=0,"",IF(R509&lt;=0.000000001,MIN(0.8*0.75*'KT THAN'!$C$62,MAX('KT THAN'!$W$38:$W$58)),IFERROR(MIN(0.8*0.75*'KT THAN'!$C$62,INDEX('KT THAN'!$W$38:$W$58,MATCH(R509,'KT THAN'!$Y$38:$Y$58,-1))+(INDEX('KT THAN'!$W$38:$W$58,MIN(21,MATCH(R509,'KT THAN'!$Y$38:$Y$58,-1)+1))-INDEX('KT THAN'!$W$38:$W$58,MATCH(R509,'KT THAN'!$Y$38:$Y$58,-1)))*(R509-INDEX('KT THAN'!$Y$38:$Y$58,MATCH(R509,'KT THAN'!$Y$38:$Y$58,-1)))/(INDEX('KT THAN'!$Y$38:$Y$58,MIN(21,MATCH(R509,'KT THAN'!$Y$38:$Y$58,-1)+1))-INDEX('KT THAN'!$Y$38:$Y$58,MATCH(R509,'KT THAN'!$Y$38:$Y$58,-1)))),MIN(0.8*0.75*'KT THAN'!$C$62,'KT THAN'!$D$68/R509)))))</f>
        <v/>
      </c>
      <c r="O509" s="38" t="str">
        <f>IF($A509="","",IF(H509&lt;0,ABS(H509)/MAX('KT THAN'!$C$69,0.001)+'KT THAN'!$C$32*ABS(J509)/MAX('KT THAN'!$C$68,0.001)+'KT THAN'!$D$32*ABS(I509)/MAX('KT THAN'!$D$68,0.001),IF(OR(M509&lt;=0,N509&lt;=0),999,IF(H509&gt;=0.1*0.75*fc_*Agth*1000,H509/MAX(0.001,1/(1/M509+1/N509-1/(0.75*'KT THAN'!$C$62))),'KT THAN'!$C$32*ABS(J509)/MAX('KT THAN'!$C$68,0.001)+'KT THAN'!$D$32*ABS(I509)/MAX('KT THAN'!$D$68,0.001)))))</f>
        <v/>
      </c>
      <c r="P509" s="37" t="str">
        <f t="shared" si="81"/>
        <v/>
      </c>
      <c r="Q509" s="38" t="str">
        <f>IF($A509="","",MAX(0.001,'KT THAN'!$C$32*ABS(J509)/MAX(1,H509)))</f>
        <v/>
      </c>
      <c r="R509" s="38" t="str">
        <f>IF($A509="","",MAX(0.001,'KT THAN'!$D$32*ABS(I509)/MAX(1,H509)))</f>
        <v/>
      </c>
      <c r="S509" t="str">
        <f t="shared" si="75"/>
        <v/>
      </c>
    </row>
    <row r="510" spans="1:19" hidden="1" outlineLevel="1" x14ac:dyDescent="0.3">
      <c r="A510" s="37" t="str">
        <f>IF(OR(nThan=1,'TO HOP NLAN'!$A66=""),"",'TO HOP NLAN'!$A66)</f>
        <v/>
      </c>
      <c r="B510" s="38" t="str">
        <f>IF($A510="","",'TO HOP NLAN'!$D66)</f>
        <v/>
      </c>
      <c r="C510" s="38" t="str">
        <f>IF($A510="","",'TO HOP NLAN'!$E66)</f>
        <v/>
      </c>
      <c r="D510" s="38" t="str">
        <f>IF($A510="","",'TO HOP NLAN'!$F66)</f>
        <v/>
      </c>
      <c r="E510" s="38" t="str">
        <f>IF($A510="","",'TO HOP NLAN'!$B66)</f>
        <v/>
      </c>
      <c r="F510" s="38" t="str">
        <f>IF($A510="","",'TO HOP NLAN'!$C66)</f>
        <v/>
      </c>
      <c r="G510" s="38" t="str">
        <f t="shared" si="76"/>
        <v/>
      </c>
      <c r="H510" s="38" t="str">
        <f t="shared" si="69"/>
        <v/>
      </c>
      <c r="I510" s="38" t="str">
        <f t="shared" si="77"/>
        <v/>
      </c>
      <c r="J510" s="38" t="str">
        <f t="shared" si="78"/>
        <v/>
      </c>
      <c r="K510" s="38" t="str">
        <f t="shared" si="79"/>
        <v/>
      </c>
      <c r="L510" s="38" t="str">
        <f t="shared" si="80"/>
        <v/>
      </c>
      <c r="M510" s="38" t="str">
        <f>IF($A510="","",IF(H510=0,"",IF(Q510&lt;=0.000000001,MIN(0.8*0.75*'KT THAN'!$C$62,MAX('KT THAN'!$J$38:$J$58)),IFERROR(MIN(0.8*0.75*'KT THAN'!$C$62,INDEX('KT THAN'!$J$38:$J$58,MATCH(Q510,'KT THAN'!$L$38:$L$58,-1))+(INDEX('KT THAN'!$J$38:$J$58,MIN(21,MATCH(Q510,'KT THAN'!$L$38:$L$58,-1)+1))-INDEX('KT THAN'!$J$38:$J$58,MATCH(Q510,'KT THAN'!$L$38:$L$58,-1)))*(Q510-INDEX('KT THAN'!$L$38:$L$58,MATCH(Q510,'KT THAN'!$L$38:$L$58,-1)))/(INDEX('KT THAN'!$L$38:$L$58,MIN(21,MATCH(Q510,'KT THAN'!$L$38:$L$58,-1)+1))-INDEX('KT THAN'!$L$38:$L$58,MATCH(Q510,'KT THAN'!$L$38:$L$58,-1)))),MIN(0.8*0.75*'KT THAN'!$C$62,'KT THAN'!$C$68/Q510)))))</f>
        <v/>
      </c>
      <c r="N510" s="38" t="str">
        <f>IF($A510="","",IF(H510=0,"",IF(R510&lt;=0.000000001,MIN(0.8*0.75*'KT THAN'!$C$62,MAX('KT THAN'!$W$38:$W$58)),IFERROR(MIN(0.8*0.75*'KT THAN'!$C$62,INDEX('KT THAN'!$W$38:$W$58,MATCH(R510,'KT THAN'!$Y$38:$Y$58,-1))+(INDEX('KT THAN'!$W$38:$W$58,MIN(21,MATCH(R510,'KT THAN'!$Y$38:$Y$58,-1)+1))-INDEX('KT THAN'!$W$38:$W$58,MATCH(R510,'KT THAN'!$Y$38:$Y$58,-1)))*(R510-INDEX('KT THAN'!$Y$38:$Y$58,MATCH(R510,'KT THAN'!$Y$38:$Y$58,-1)))/(INDEX('KT THAN'!$Y$38:$Y$58,MIN(21,MATCH(R510,'KT THAN'!$Y$38:$Y$58,-1)+1))-INDEX('KT THAN'!$Y$38:$Y$58,MATCH(R510,'KT THAN'!$Y$38:$Y$58,-1)))),MIN(0.8*0.75*'KT THAN'!$C$62,'KT THAN'!$D$68/R510)))))</f>
        <v/>
      </c>
      <c r="O510" s="38" t="str">
        <f>IF($A510="","",IF(H510&lt;0,ABS(H510)/MAX('KT THAN'!$C$69,0.001)+'KT THAN'!$C$32*ABS(J510)/MAX('KT THAN'!$C$68,0.001)+'KT THAN'!$D$32*ABS(I510)/MAX('KT THAN'!$D$68,0.001),IF(OR(M510&lt;=0,N510&lt;=0),999,IF(H510&gt;=0.1*0.75*fc_*Agth*1000,H510/MAX(0.001,1/(1/M510+1/N510-1/(0.75*'KT THAN'!$C$62))),'KT THAN'!$C$32*ABS(J510)/MAX('KT THAN'!$C$68,0.001)+'KT THAN'!$D$32*ABS(I510)/MAX('KT THAN'!$D$68,0.001)))))</f>
        <v/>
      </c>
      <c r="P510" s="37" t="str">
        <f t="shared" si="81"/>
        <v/>
      </c>
      <c r="Q510" s="38" t="str">
        <f>IF($A510="","",MAX(0.001,'KT THAN'!$C$32*ABS(J510)/MAX(1,H510)))</f>
        <v/>
      </c>
      <c r="R510" s="38" t="str">
        <f>IF($A510="","",MAX(0.001,'KT THAN'!$D$32*ABS(I510)/MAX(1,H510)))</f>
        <v/>
      </c>
      <c r="S510" t="str">
        <f t="shared" si="75"/>
        <v/>
      </c>
    </row>
    <row r="511" spans="1:19" hidden="1" outlineLevel="1" x14ac:dyDescent="0.3">
      <c r="A511" s="37" t="str">
        <f>IF(OR(nThan=1,'TO HOP NLAN'!$A67=""),"",'TO HOP NLAN'!$A67)</f>
        <v/>
      </c>
      <c r="B511" s="38" t="str">
        <f>IF($A511="","",'TO HOP NLAN'!$D67)</f>
        <v/>
      </c>
      <c r="C511" s="38" t="str">
        <f>IF($A511="","",'TO HOP NLAN'!$E67)</f>
        <v/>
      </c>
      <c r="D511" s="38" t="str">
        <f>IF($A511="","",'TO HOP NLAN'!$F67)</f>
        <v/>
      </c>
      <c r="E511" s="38" t="str">
        <f>IF($A511="","",'TO HOP NLAN'!$B67)</f>
        <v/>
      </c>
      <c r="F511" s="38" t="str">
        <f>IF($A511="","",'TO HOP NLAN'!$C67)</f>
        <v/>
      </c>
      <c r="G511" s="38" t="str">
        <f t="shared" si="76"/>
        <v/>
      </c>
      <c r="H511" s="38" t="str">
        <f t="shared" si="69"/>
        <v/>
      </c>
      <c r="I511" s="38" t="str">
        <f t="shared" si="77"/>
        <v/>
      </c>
      <c r="J511" s="38" t="str">
        <f t="shared" si="78"/>
        <v/>
      </c>
      <c r="K511" s="38" t="str">
        <f t="shared" si="79"/>
        <v/>
      </c>
      <c r="L511" s="38" t="str">
        <f t="shared" si="80"/>
        <v/>
      </c>
      <c r="M511" s="38" t="str">
        <f>IF($A511="","",IF(H511=0,"",IF(Q511&lt;=0.000000001,MIN(0.8*0.75*'KT THAN'!$C$62,MAX('KT THAN'!$J$38:$J$58)),IFERROR(MIN(0.8*0.75*'KT THAN'!$C$62,INDEX('KT THAN'!$J$38:$J$58,MATCH(Q511,'KT THAN'!$L$38:$L$58,-1))+(INDEX('KT THAN'!$J$38:$J$58,MIN(21,MATCH(Q511,'KT THAN'!$L$38:$L$58,-1)+1))-INDEX('KT THAN'!$J$38:$J$58,MATCH(Q511,'KT THAN'!$L$38:$L$58,-1)))*(Q511-INDEX('KT THAN'!$L$38:$L$58,MATCH(Q511,'KT THAN'!$L$38:$L$58,-1)))/(INDEX('KT THAN'!$L$38:$L$58,MIN(21,MATCH(Q511,'KT THAN'!$L$38:$L$58,-1)+1))-INDEX('KT THAN'!$L$38:$L$58,MATCH(Q511,'KT THAN'!$L$38:$L$58,-1)))),MIN(0.8*0.75*'KT THAN'!$C$62,'KT THAN'!$C$68/Q511)))))</f>
        <v/>
      </c>
      <c r="N511" s="38" t="str">
        <f>IF($A511="","",IF(H511=0,"",IF(R511&lt;=0.000000001,MIN(0.8*0.75*'KT THAN'!$C$62,MAX('KT THAN'!$W$38:$W$58)),IFERROR(MIN(0.8*0.75*'KT THAN'!$C$62,INDEX('KT THAN'!$W$38:$W$58,MATCH(R511,'KT THAN'!$Y$38:$Y$58,-1))+(INDEX('KT THAN'!$W$38:$W$58,MIN(21,MATCH(R511,'KT THAN'!$Y$38:$Y$58,-1)+1))-INDEX('KT THAN'!$W$38:$W$58,MATCH(R511,'KT THAN'!$Y$38:$Y$58,-1)))*(R511-INDEX('KT THAN'!$Y$38:$Y$58,MATCH(R511,'KT THAN'!$Y$38:$Y$58,-1)))/(INDEX('KT THAN'!$Y$38:$Y$58,MIN(21,MATCH(R511,'KT THAN'!$Y$38:$Y$58,-1)+1))-INDEX('KT THAN'!$Y$38:$Y$58,MATCH(R511,'KT THAN'!$Y$38:$Y$58,-1)))),MIN(0.8*0.75*'KT THAN'!$C$62,'KT THAN'!$D$68/R511)))))</f>
        <v/>
      </c>
      <c r="O511" s="38" t="str">
        <f>IF($A511="","",IF(H511&lt;0,ABS(H511)/MAX('KT THAN'!$C$69,0.001)+'KT THAN'!$C$32*ABS(J511)/MAX('KT THAN'!$C$68,0.001)+'KT THAN'!$D$32*ABS(I511)/MAX('KT THAN'!$D$68,0.001),IF(OR(M511&lt;=0,N511&lt;=0),999,IF(H511&gt;=0.1*0.75*fc_*Agth*1000,H511/MAX(0.001,1/(1/M511+1/N511-1/(0.75*'KT THAN'!$C$62))),'KT THAN'!$C$32*ABS(J511)/MAX('KT THAN'!$C$68,0.001)+'KT THAN'!$D$32*ABS(I511)/MAX('KT THAN'!$D$68,0.001)))))</f>
        <v/>
      </c>
      <c r="P511" s="37" t="str">
        <f t="shared" si="81"/>
        <v/>
      </c>
      <c r="Q511" s="38" t="str">
        <f>IF($A511="","",MAX(0.001,'KT THAN'!$C$32*ABS(J511)/MAX(1,H511)))</f>
        <v/>
      </c>
      <c r="R511" s="38" t="str">
        <f>IF($A511="","",MAX(0.001,'KT THAN'!$D$32*ABS(I511)/MAX(1,H511)))</f>
        <v/>
      </c>
      <c r="S511" t="str">
        <f t="shared" si="75"/>
        <v/>
      </c>
    </row>
    <row r="512" spans="1:19" hidden="1" outlineLevel="1" x14ac:dyDescent="0.3">
      <c r="A512" s="37" t="str">
        <f>IF(OR(nThan=1,'TO HOP NLAN'!$A68=""),"",'TO HOP NLAN'!$A68)</f>
        <v/>
      </c>
      <c r="B512" s="38" t="str">
        <f>IF($A512="","",'TO HOP NLAN'!$D68)</f>
        <v/>
      </c>
      <c r="C512" s="38" t="str">
        <f>IF($A512="","",'TO HOP NLAN'!$E68)</f>
        <v/>
      </c>
      <c r="D512" s="38" t="str">
        <f>IF($A512="","",'TO HOP NLAN'!$F68)</f>
        <v/>
      </c>
      <c r="E512" s="38" t="str">
        <f>IF($A512="","",'TO HOP NLAN'!$B68)</f>
        <v/>
      </c>
      <c r="F512" s="38" t="str">
        <f>IF($A512="","",'TO HOP NLAN'!$C68)</f>
        <v/>
      </c>
      <c r="G512" s="38" t="str">
        <f t="shared" si="76"/>
        <v/>
      </c>
      <c r="H512" s="38" t="str">
        <f t="shared" si="69"/>
        <v/>
      </c>
      <c r="I512" s="38" t="str">
        <f t="shared" si="77"/>
        <v/>
      </c>
      <c r="J512" s="38" t="str">
        <f t="shared" si="78"/>
        <v/>
      </c>
      <c r="K512" s="38" t="str">
        <f t="shared" si="79"/>
        <v/>
      </c>
      <c r="L512" s="38" t="str">
        <f t="shared" si="80"/>
        <v/>
      </c>
      <c r="M512" s="38" t="str">
        <f>IF($A512="","",IF(H512=0,"",IF(Q512&lt;=0.000000001,MIN(0.8*0.75*'KT THAN'!$C$62,MAX('KT THAN'!$J$38:$J$58)),IFERROR(MIN(0.8*0.75*'KT THAN'!$C$62,INDEX('KT THAN'!$J$38:$J$58,MATCH(Q512,'KT THAN'!$L$38:$L$58,-1))+(INDEX('KT THAN'!$J$38:$J$58,MIN(21,MATCH(Q512,'KT THAN'!$L$38:$L$58,-1)+1))-INDEX('KT THAN'!$J$38:$J$58,MATCH(Q512,'KT THAN'!$L$38:$L$58,-1)))*(Q512-INDEX('KT THAN'!$L$38:$L$58,MATCH(Q512,'KT THAN'!$L$38:$L$58,-1)))/(INDEX('KT THAN'!$L$38:$L$58,MIN(21,MATCH(Q512,'KT THAN'!$L$38:$L$58,-1)+1))-INDEX('KT THAN'!$L$38:$L$58,MATCH(Q512,'KT THAN'!$L$38:$L$58,-1)))),MIN(0.8*0.75*'KT THAN'!$C$62,'KT THAN'!$C$68/Q512)))))</f>
        <v/>
      </c>
      <c r="N512" s="38" t="str">
        <f>IF($A512="","",IF(H512=0,"",IF(R512&lt;=0.000000001,MIN(0.8*0.75*'KT THAN'!$C$62,MAX('KT THAN'!$W$38:$W$58)),IFERROR(MIN(0.8*0.75*'KT THAN'!$C$62,INDEX('KT THAN'!$W$38:$W$58,MATCH(R512,'KT THAN'!$Y$38:$Y$58,-1))+(INDEX('KT THAN'!$W$38:$W$58,MIN(21,MATCH(R512,'KT THAN'!$Y$38:$Y$58,-1)+1))-INDEX('KT THAN'!$W$38:$W$58,MATCH(R512,'KT THAN'!$Y$38:$Y$58,-1)))*(R512-INDEX('KT THAN'!$Y$38:$Y$58,MATCH(R512,'KT THAN'!$Y$38:$Y$58,-1)))/(INDEX('KT THAN'!$Y$38:$Y$58,MIN(21,MATCH(R512,'KT THAN'!$Y$38:$Y$58,-1)+1))-INDEX('KT THAN'!$Y$38:$Y$58,MATCH(R512,'KT THAN'!$Y$38:$Y$58,-1)))),MIN(0.8*0.75*'KT THAN'!$C$62,'KT THAN'!$D$68/R512)))))</f>
        <v/>
      </c>
      <c r="O512" s="38" t="str">
        <f>IF($A512="","",IF(H512&lt;0,ABS(H512)/MAX('KT THAN'!$C$69,0.001)+'KT THAN'!$C$32*ABS(J512)/MAX('KT THAN'!$C$68,0.001)+'KT THAN'!$D$32*ABS(I512)/MAX('KT THAN'!$D$68,0.001),IF(OR(M512&lt;=0,N512&lt;=0),999,IF(H512&gt;=0.1*0.75*fc_*Agth*1000,H512/MAX(0.001,1/(1/M512+1/N512-1/(0.75*'KT THAN'!$C$62))),'KT THAN'!$C$32*ABS(J512)/MAX('KT THAN'!$C$68,0.001)+'KT THAN'!$D$32*ABS(I512)/MAX('KT THAN'!$D$68,0.001)))))</f>
        <v/>
      </c>
      <c r="P512" s="37" t="str">
        <f t="shared" si="81"/>
        <v/>
      </c>
      <c r="Q512" s="38" t="str">
        <f>IF($A512="","",MAX(0.001,'KT THAN'!$C$32*ABS(J512)/MAX(1,H512)))</f>
        <v/>
      </c>
      <c r="R512" s="38" t="str">
        <f>IF($A512="","",MAX(0.001,'KT THAN'!$D$32*ABS(I512)/MAX(1,H512)))</f>
        <v/>
      </c>
      <c r="S512" t="str">
        <f t="shared" si="75"/>
        <v/>
      </c>
    </row>
    <row r="513" spans="1:19" hidden="1" outlineLevel="1" x14ac:dyDescent="0.3">
      <c r="A513" s="37" t="str">
        <f>IF(OR(nThan=1,'TO HOP NLAN'!$A69=""),"",'TO HOP NLAN'!$A69)</f>
        <v/>
      </c>
      <c r="B513" s="38" t="str">
        <f>IF($A513="","",'TO HOP NLAN'!$D69)</f>
        <v/>
      </c>
      <c r="C513" s="38" t="str">
        <f>IF($A513="","",'TO HOP NLAN'!$E69)</f>
        <v/>
      </c>
      <c r="D513" s="38" t="str">
        <f>IF($A513="","",'TO HOP NLAN'!$F69)</f>
        <v/>
      </c>
      <c r="E513" s="38" t="str">
        <f>IF($A513="","",'TO HOP NLAN'!$B69)</f>
        <v/>
      </c>
      <c r="F513" s="38" t="str">
        <f>IF($A513="","",'TO HOP NLAN'!$C69)</f>
        <v/>
      </c>
      <c r="G513" s="38" t="str">
        <f t="shared" si="76"/>
        <v/>
      </c>
      <c r="H513" s="38" t="str">
        <f t="shared" si="69"/>
        <v/>
      </c>
      <c r="I513" s="38" t="str">
        <f t="shared" si="77"/>
        <v/>
      </c>
      <c r="J513" s="38" t="str">
        <f t="shared" si="78"/>
        <v/>
      </c>
      <c r="K513" s="38" t="str">
        <f t="shared" si="79"/>
        <v/>
      </c>
      <c r="L513" s="38" t="str">
        <f t="shared" si="80"/>
        <v/>
      </c>
      <c r="M513" s="38" t="str">
        <f>IF($A513="","",IF(H513=0,"",IF(Q513&lt;=0.000000001,MIN(0.8*0.75*'KT THAN'!$C$62,MAX('KT THAN'!$J$38:$J$58)),IFERROR(MIN(0.8*0.75*'KT THAN'!$C$62,INDEX('KT THAN'!$J$38:$J$58,MATCH(Q513,'KT THAN'!$L$38:$L$58,-1))+(INDEX('KT THAN'!$J$38:$J$58,MIN(21,MATCH(Q513,'KT THAN'!$L$38:$L$58,-1)+1))-INDEX('KT THAN'!$J$38:$J$58,MATCH(Q513,'KT THAN'!$L$38:$L$58,-1)))*(Q513-INDEX('KT THAN'!$L$38:$L$58,MATCH(Q513,'KT THAN'!$L$38:$L$58,-1)))/(INDEX('KT THAN'!$L$38:$L$58,MIN(21,MATCH(Q513,'KT THAN'!$L$38:$L$58,-1)+1))-INDEX('KT THAN'!$L$38:$L$58,MATCH(Q513,'KT THAN'!$L$38:$L$58,-1)))),MIN(0.8*0.75*'KT THAN'!$C$62,'KT THAN'!$C$68/Q513)))))</f>
        <v/>
      </c>
      <c r="N513" s="38" t="str">
        <f>IF($A513="","",IF(H513=0,"",IF(R513&lt;=0.000000001,MIN(0.8*0.75*'KT THAN'!$C$62,MAX('KT THAN'!$W$38:$W$58)),IFERROR(MIN(0.8*0.75*'KT THAN'!$C$62,INDEX('KT THAN'!$W$38:$W$58,MATCH(R513,'KT THAN'!$Y$38:$Y$58,-1))+(INDEX('KT THAN'!$W$38:$W$58,MIN(21,MATCH(R513,'KT THAN'!$Y$38:$Y$58,-1)+1))-INDEX('KT THAN'!$W$38:$W$58,MATCH(R513,'KT THAN'!$Y$38:$Y$58,-1)))*(R513-INDEX('KT THAN'!$Y$38:$Y$58,MATCH(R513,'KT THAN'!$Y$38:$Y$58,-1)))/(INDEX('KT THAN'!$Y$38:$Y$58,MIN(21,MATCH(R513,'KT THAN'!$Y$38:$Y$58,-1)+1))-INDEX('KT THAN'!$Y$38:$Y$58,MATCH(R513,'KT THAN'!$Y$38:$Y$58,-1)))),MIN(0.8*0.75*'KT THAN'!$C$62,'KT THAN'!$D$68/R513)))))</f>
        <v/>
      </c>
      <c r="O513" s="38" t="str">
        <f>IF($A513="","",IF(H513&lt;0,ABS(H513)/MAX('KT THAN'!$C$69,0.001)+'KT THAN'!$C$32*ABS(J513)/MAX('KT THAN'!$C$68,0.001)+'KT THAN'!$D$32*ABS(I513)/MAX('KT THAN'!$D$68,0.001),IF(OR(M513&lt;=0,N513&lt;=0),999,IF(H513&gt;=0.1*0.75*fc_*Agth*1000,H513/MAX(0.001,1/(1/M513+1/N513-1/(0.75*'KT THAN'!$C$62))),'KT THAN'!$C$32*ABS(J513)/MAX('KT THAN'!$C$68,0.001)+'KT THAN'!$D$32*ABS(I513)/MAX('KT THAN'!$D$68,0.001)))))</f>
        <v/>
      </c>
      <c r="P513" s="37" t="str">
        <f t="shared" si="81"/>
        <v/>
      </c>
      <c r="Q513" s="38" t="str">
        <f>IF($A513="","",MAX(0.001,'KT THAN'!$C$32*ABS(J513)/MAX(1,H513)))</f>
        <v/>
      </c>
      <c r="R513" s="38" t="str">
        <f>IF($A513="","",MAX(0.001,'KT THAN'!$D$32*ABS(I513)/MAX(1,H513)))</f>
        <v/>
      </c>
      <c r="S513" t="str">
        <f t="shared" si="75"/>
        <v/>
      </c>
    </row>
    <row r="514" spans="1:19" hidden="1" outlineLevel="1" x14ac:dyDescent="0.3">
      <c r="A514" s="37" t="str">
        <f>IF(OR(nThan=1,'TO HOP NLAN'!$A70=""),"",'TO HOP NLAN'!$A70)</f>
        <v/>
      </c>
      <c r="B514" s="38" t="str">
        <f>IF($A514="","",'TO HOP NLAN'!$D70)</f>
        <v/>
      </c>
      <c r="C514" s="38" t="str">
        <f>IF($A514="","",'TO HOP NLAN'!$E70)</f>
        <v/>
      </c>
      <c r="D514" s="38" t="str">
        <f>IF($A514="","",'TO HOP NLAN'!$F70)</f>
        <v/>
      </c>
      <c r="E514" s="38" t="str">
        <f>IF($A514="","",'TO HOP NLAN'!$B70)</f>
        <v/>
      </c>
      <c r="F514" s="38" t="str">
        <f>IF($A514="","",'TO HOP NLAN'!$C70)</f>
        <v/>
      </c>
      <c r="G514" s="38" t="str">
        <f t="shared" si="76"/>
        <v/>
      </c>
      <c r="H514" s="38" t="str">
        <f t="shared" ref="H514:H577" si="82">IF(A514="","",IF(nThan=1,B514,B514/2+(-1)*$B$7*C514/sThan))</f>
        <v/>
      </c>
      <c r="I514" s="38" t="str">
        <f t="shared" si="77"/>
        <v/>
      </c>
      <c r="J514" s="38" t="str">
        <f t="shared" si="78"/>
        <v/>
      </c>
      <c r="K514" s="38" t="str">
        <f t="shared" si="79"/>
        <v/>
      </c>
      <c r="L514" s="38" t="str">
        <f t="shared" si="80"/>
        <v/>
      </c>
      <c r="M514" s="38" t="str">
        <f>IF($A514="","",IF(H514=0,"",IF(Q514&lt;=0.000000001,MIN(0.8*0.75*'KT THAN'!$C$62,MAX('KT THAN'!$J$38:$J$58)),IFERROR(MIN(0.8*0.75*'KT THAN'!$C$62,INDEX('KT THAN'!$J$38:$J$58,MATCH(Q514,'KT THAN'!$L$38:$L$58,-1))+(INDEX('KT THAN'!$J$38:$J$58,MIN(21,MATCH(Q514,'KT THAN'!$L$38:$L$58,-1)+1))-INDEX('KT THAN'!$J$38:$J$58,MATCH(Q514,'KT THAN'!$L$38:$L$58,-1)))*(Q514-INDEX('KT THAN'!$L$38:$L$58,MATCH(Q514,'KT THAN'!$L$38:$L$58,-1)))/(INDEX('KT THAN'!$L$38:$L$58,MIN(21,MATCH(Q514,'KT THAN'!$L$38:$L$58,-1)+1))-INDEX('KT THAN'!$L$38:$L$58,MATCH(Q514,'KT THAN'!$L$38:$L$58,-1)))),MIN(0.8*0.75*'KT THAN'!$C$62,'KT THAN'!$C$68/Q514)))))</f>
        <v/>
      </c>
      <c r="N514" s="38" t="str">
        <f>IF($A514="","",IF(H514=0,"",IF(R514&lt;=0.000000001,MIN(0.8*0.75*'KT THAN'!$C$62,MAX('KT THAN'!$W$38:$W$58)),IFERROR(MIN(0.8*0.75*'KT THAN'!$C$62,INDEX('KT THAN'!$W$38:$W$58,MATCH(R514,'KT THAN'!$Y$38:$Y$58,-1))+(INDEX('KT THAN'!$W$38:$W$58,MIN(21,MATCH(R514,'KT THAN'!$Y$38:$Y$58,-1)+1))-INDEX('KT THAN'!$W$38:$W$58,MATCH(R514,'KT THAN'!$Y$38:$Y$58,-1)))*(R514-INDEX('KT THAN'!$Y$38:$Y$58,MATCH(R514,'KT THAN'!$Y$38:$Y$58,-1)))/(INDEX('KT THAN'!$Y$38:$Y$58,MIN(21,MATCH(R514,'KT THAN'!$Y$38:$Y$58,-1)+1))-INDEX('KT THAN'!$Y$38:$Y$58,MATCH(R514,'KT THAN'!$Y$38:$Y$58,-1)))),MIN(0.8*0.75*'KT THAN'!$C$62,'KT THAN'!$D$68/R514)))))</f>
        <v/>
      </c>
      <c r="O514" s="38" t="str">
        <f>IF($A514="","",IF(H514&lt;0,ABS(H514)/MAX('KT THAN'!$C$69,0.001)+'KT THAN'!$C$32*ABS(J514)/MAX('KT THAN'!$C$68,0.001)+'KT THAN'!$D$32*ABS(I514)/MAX('KT THAN'!$D$68,0.001),IF(OR(M514&lt;=0,N514&lt;=0),999,IF(H514&gt;=0.1*0.75*fc_*Agth*1000,H514/MAX(0.001,1/(1/M514+1/N514-1/(0.75*'KT THAN'!$C$62))),'KT THAN'!$C$32*ABS(J514)/MAX('KT THAN'!$C$68,0.001)+'KT THAN'!$D$32*ABS(I514)/MAX('KT THAN'!$D$68,0.001)))))</f>
        <v/>
      </c>
      <c r="P514" s="37" t="str">
        <f t="shared" si="81"/>
        <v/>
      </c>
      <c r="Q514" s="38" t="str">
        <f>IF($A514="","",MAX(0.001,'KT THAN'!$C$32*ABS(J514)/MAX(1,H514)))</f>
        <v/>
      </c>
      <c r="R514" s="38" t="str">
        <f>IF($A514="","",MAX(0.001,'KT THAN'!$D$32*ABS(I514)/MAX(1,H514)))</f>
        <v/>
      </c>
      <c r="S514" t="str">
        <f t="shared" ref="S514:S577" si="83">IF($A514="","",IF(H514&lt;0,O514,""))</f>
        <v/>
      </c>
    </row>
    <row r="515" spans="1:19" hidden="1" outlineLevel="1" x14ac:dyDescent="0.3">
      <c r="A515" s="37" t="str">
        <f>IF(OR(nThan=1,'TO HOP NLAN'!$A71=""),"",'TO HOP NLAN'!$A71)</f>
        <v/>
      </c>
      <c r="B515" s="38" t="str">
        <f>IF($A515="","",'TO HOP NLAN'!$D71)</f>
        <v/>
      </c>
      <c r="C515" s="38" t="str">
        <f>IF($A515="","",'TO HOP NLAN'!$E71)</f>
        <v/>
      </c>
      <c r="D515" s="38" t="str">
        <f>IF($A515="","",'TO HOP NLAN'!$F71)</f>
        <v/>
      </c>
      <c r="E515" s="38" t="str">
        <f>IF($A515="","",'TO HOP NLAN'!$B71)</f>
        <v/>
      </c>
      <c r="F515" s="38" t="str">
        <f>IF($A515="","",'TO HOP NLAN'!$C71)</f>
        <v/>
      </c>
      <c r="G515" s="38" t="str">
        <f t="shared" ref="G515:G578" si="84">IF(A515="","",2)</f>
        <v/>
      </c>
      <c r="H515" s="38" t="str">
        <f t="shared" si="82"/>
        <v/>
      </c>
      <c r="I515" s="38" t="str">
        <f t="shared" ref="I515:I578" si="85">IF(A515="","",IF(nThan=1,C515,(1-$B$7)*C515/2))</f>
        <v/>
      </c>
      <c r="J515" s="38" t="str">
        <f t="shared" ref="J515:J578" si="86">IF(A515="","",IF(nThan=1,D515,D515/2))</f>
        <v/>
      </c>
      <c r="K515" s="38" t="str">
        <f t="shared" ref="K515:K578" si="87">IF(A515="","",IF(nThan=1,E515,E515/2))</f>
        <v/>
      </c>
      <c r="L515" s="38" t="str">
        <f t="shared" ref="L515:L578" si="88">IF(A515="","",IF(nThan=1,F515,F515/2))</f>
        <v/>
      </c>
      <c r="M515" s="38" t="str">
        <f>IF($A515="","",IF(H515=0,"",IF(Q515&lt;=0.000000001,MIN(0.8*0.75*'KT THAN'!$C$62,MAX('KT THAN'!$J$38:$J$58)),IFERROR(MIN(0.8*0.75*'KT THAN'!$C$62,INDEX('KT THAN'!$J$38:$J$58,MATCH(Q515,'KT THAN'!$L$38:$L$58,-1))+(INDEX('KT THAN'!$J$38:$J$58,MIN(21,MATCH(Q515,'KT THAN'!$L$38:$L$58,-1)+1))-INDEX('KT THAN'!$J$38:$J$58,MATCH(Q515,'KT THAN'!$L$38:$L$58,-1)))*(Q515-INDEX('KT THAN'!$L$38:$L$58,MATCH(Q515,'KT THAN'!$L$38:$L$58,-1)))/(INDEX('KT THAN'!$L$38:$L$58,MIN(21,MATCH(Q515,'KT THAN'!$L$38:$L$58,-1)+1))-INDEX('KT THAN'!$L$38:$L$58,MATCH(Q515,'KT THAN'!$L$38:$L$58,-1)))),MIN(0.8*0.75*'KT THAN'!$C$62,'KT THAN'!$C$68/Q515)))))</f>
        <v/>
      </c>
      <c r="N515" s="38" t="str">
        <f>IF($A515="","",IF(H515=0,"",IF(R515&lt;=0.000000001,MIN(0.8*0.75*'KT THAN'!$C$62,MAX('KT THAN'!$W$38:$W$58)),IFERROR(MIN(0.8*0.75*'KT THAN'!$C$62,INDEX('KT THAN'!$W$38:$W$58,MATCH(R515,'KT THAN'!$Y$38:$Y$58,-1))+(INDEX('KT THAN'!$W$38:$W$58,MIN(21,MATCH(R515,'KT THAN'!$Y$38:$Y$58,-1)+1))-INDEX('KT THAN'!$W$38:$W$58,MATCH(R515,'KT THAN'!$Y$38:$Y$58,-1)))*(R515-INDEX('KT THAN'!$Y$38:$Y$58,MATCH(R515,'KT THAN'!$Y$38:$Y$58,-1)))/(INDEX('KT THAN'!$Y$38:$Y$58,MIN(21,MATCH(R515,'KT THAN'!$Y$38:$Y$58,-1)+1))-INDEX('KT THAN'!$Y$38:$Y$58,MATCH(R515,'KT THAN'!$Y$38:$Y$58,-1)))),MIN(0.8*0.75*'KT THAN'!$C$62,'KT THAN'!$D$68/R515)))))</f>
        <v/>
      </c>
      <c r="O515" s="38" t="str">
        <f>IF($A515="","",IF(H515&lt;0,ABS(H515)/MAX('KT THAN'!$C$69,0.001)+'KT THAN'!$C$32*ABS(J515)/MAX('KT THAN'!$C$68,0.001)+'KT THAN'!$D$32*ABS(I515)/MAX('KT THAN'!$D$68,0.001),IF(OR(M515&lt;=0,N515&lt;=0),999,IF(H515&gt;=0.1*0.75*fc_*Agth*1000,H515/MAX(0.001,1/(1/M515+1/N515-1/(0.75*'KT THAN'!$C$62))),'KT THAN'!$C$32*ABS(J515)/MAX('KT THAN'!$C$68,0.001)+'KT THAN'!$D$32*ABS(I515)/MAX('KT THAN'!$D$68,0.001)))))</f>
        <v/>
      </c>
      <c r="P515" s="37" t="str">
        <f t="shared" ref="P515:P578" si="89">IF(A515="","",IF(O515&lt;=1,"ĐẠT","KHÔNG ĐẠT"))</f>
        <v/>
      </c>
      <c r="Q515" s="38" t="str">
        <f>IF($A515="","",MAX(0.001,'KT THAN'!$C$32*ABS(J515)/MAX(1,H515)))</f>
        <v/>
      </c>
      <c r="R515" s="38" t="str">
        <f>IF($A515="","",MAX(0.001,'KT THAN'!$D$32*ABS(I515)/MAX(1,H515)))</f>
        <v/>
      </c>
      <c r="S515" t="str">
        <f t="shared" si="83"/>
        <v/>
      </c>
    </row>
    <row r="516" spans="1:19" hidden="1" outlineLevel="1" x14ac:dyDescent="0.3">
      <c r="A516" s="37" t="str">
        <f>IF(OR(nThan=1,'TO HOP NLAN'!$A72=""),"",'TO HOP NLAN'!$A72)</f>
        <v/>
      </c>
      <c r="B516" s="38" t="str">
        <f>IF($A516="","",'TO HOP NLAN'!$D72)</f>
        <v/>
      </c>
      <c r="C516" s="38" t="str">
        <f>IF($A516="","",'TO HOP NLAN'!$E72)</f>
        <v/>
      </c>
      <c r="D516" s="38" t="str">
        <f>IF($A516="","",'TO HOP NLAN'!$F72)</f>
        <v/>
      </c>
      <c r="E516" s="38" t="str">
        <f>IF($A516="","",'TO HOP NLAN'!$B72)</f>
        <v/>
      </c>
      <c r="F516" s="38" t="str">
        <f>IF($A516="","",'TO HOP NLAN'!$C72)</f>
        <v/>
      </c>
      <c r="G516" s="38" t="str">
        <f t="shared" si="84"/>
        <v/>
      </c>
      <c r="H516" s="38" t="str">
        <f t="shared" si="82"/>
        <v/>
      </c>
      <c r="I516" s="38" t="str">
        <f t="shared" si="85"/>
        <v/>
      </c>
      <c r="J516" s="38" t="str">
        <f t="shared" si="86"/>
        <v/>
      </c>
      <c r="K516" s="38" t="str">
        <f t="shared" si="87"/>
        <v/>
      </c>
      <c r="L516" s="38" t="str">
        <f t="shared" si="88"/>
        <v/>
      </c>
      <c r="M516" s="38" t="str">
        <f>IF($A516="","",IF(H516=0,"",IF(Q516&lt;=0.000000001,MIN(0.8*0.75*'KT THAN'!$C$62,MAX('KT THAN'!$J$38:$J$58)),IFERROR(MIN(0.8*0.75*'KT THAN'!$C$62,INDEX('KT THAN'!$J$38:$J$58,MATCH(Q516,'KT THAN'!$L$38:$L$58,-1))+(INDEX('KT THAN'!$J$38:$J$58,MIN(21,MATCH(Q516,'KT THAN'!$L$38:$L$58,-1)+1))-INDEX('KT THAN'!$J$38:$J$58,MATCH(Q516,'KT THAN'!$L$38:$L$58,-1)))*(Q516-INDEX('KT THAN'!$L$38:$L$58,MATCH(Q516,'KT THAN'!$L$38:$L$58,-1)))/(INDEX('KT THAN'!$L$38:$L$58,MIN(21,MATCH(Q516,'KT THAN'!$L$38:$L$58,-1)+1))-INDEX('KT THAN'!$L$38:$L$58,MATCH(Q516,'KT THAN'!$L$38:$L$58,-1)))),MIN(0.8*0.75*'KT THAN'!$C$62,'KT THAN'!$C$68/Q516)))))</f>
        <v/>
      </c>
      <c r="N516" s="38" t="str">
        <f>IF($A516="","",IF(H516=0,"",IF(R516&lt;=0.000000001,MIN(0.8*0.75*'KT THAN'!$C$62,MAX('KT THAN'!$W$38:$W$58)),IFERROR(MIN(0.8*0.75*'KT THAN'!$C$62,INDEX('KT THAN'!$W$38:$W$58,MATCH(R516,'KT THAN'!$Y$38:$Y$58,-1))+(INDEX('KT THAN'!$W$38:$W$58,MIN(21,MATCH(R516,'KT THAN'!$Y$38:$Y$58,-1)+1))-INDEX('KT THAN'!$W$38:$W$58,MATCH(R516,'KT THAN'!$Y$38:$Y$58,-1)))*(R516-INDEX('KT THAN'!$Y$38:$Y$58,MATCH(R516,'KT THAN'!$Y$38:$Y$58,-1)))/(INDEX('KT THAN'!$Y$38:$Y$58,MIN(21,MATCH(R516,'KT THAN'!$Y$38:$Y$58,-1)+1))-INDEX('KT THAN'!$Y$38:$Y$58,MATCH(R516,'KT THAN'!$Y$38:$Y$58,-1)))),MIN(0.8*0.75*'KT THAN'!$C$62,'KT THAN'!$D$68/R516)))))</f>
        <v/>
      </c>
      <c r="O516" s="38" t="str">
        <f>IF($A516="","",IF(H516&lt;0,ABS(H516)/MAX('KT THAN'!$C$69,0.001)+'KT THAN'!$C$32*ABS(J516)/MAX('KT THAN'!$C$68,0.001)+'KT THAN'!$D$32*ABS(I516)/MAX('KT THAN'!$D$68,0.001),IF(OR(M516&lt;=0,N516&lt;=0),999,IF(H516&gt;=0.1*0.75*fc_*Agth*1000,H516/MAX(0.001,1/(1/M516+1/N516-1/(0.75*'KT THAN'!$C$62))),'KT THAN'!$C$32*ABS(J516)/MAX('KT THAN'!$C$68,0.001)+'KT THAN'!$D$32*ABS(I516)/MAX('KT THAN'!$D$68,0.001)))))</f>
        <v/>
      </c>
      <c r="P516" s="37" t="str">
        <f t="shared" si="89"/>
        <v/>
      </c>
      <c r="Q516" s="38" t="str">
        <f>IF($A516="","",MAX(0.001,'KT THAN'!$C$32*ABS(J516)/MAX(1,H516)))</f>
        <v/>
      </c>
      <c r="R516" s="38" t="str">
        <f>IF($A516="","",MAX(0.001,'KT THAN'!$D$32*ABS(I516)/MAX(1,H516)))</f>
        <v/>
      </c>
      <c r="S516" t="str">
        <f t="shared" si="83"/>
        <v/>
      </c>
    </row>
    <row r="517" spans="1:19" hidden="1" outlineLevel="1" x14ac:dyDescent="0.3">
      <c r="A517" s="37" t="str">
        <f>IF(OR(nThan=1,'TO HOP NLAN'!$A73=""),"",'TO HOP NLAN'!$A73)</f>
        <v/>
      </c>
      <c r="B517" s="38" t="str">
        <f>IF($A517="","",'TO HOP NLAN'!$D73)</f>
        <v/>
      </c>
      <c r="C517" s="38" t="str">
        <f>IF($A517="","",'TO HOP NLAN'!$E73)</f>
        <v/>
      </c>
      <c r="D517" s="38" t="str">
        <f>IF($A517="","",'TO HOP NLAN'!$F73)</f>
        <v/>
      </c>
      <c r="E517" s="38" t="str">
        <f>IF($A517="","",'TO HOP NLAN'!$B73)</f>
        <v/>
      </c>
      <c r="F517" s="38" t="str">
        <f>IF($A517="","",'TO HOP NLAN'!$C73)</f>
        <v/>
      </c>
      <c r="G517" s="38" t="str">
        <f t="shared" si="84"/>
        <v/>
      </c>
      <c r="H517" s="38" t="str">
        <f t="shared" si="82"/>
        <v/>
      </c>
      <c r="I517" s="38" t="str">
        <f t="shared" si="85"/>
        <v/>
      </c>
      <c r="J517" s="38" t="str">
        <f t="shared" si="86"/>
        <v/>
      </c>
      <c r="K517" s="38" t="str">
        <f t="shared" si="87"/>
        <v/>
      </c>
      <c r="L517" s="38" t="str">
        <f t="shared" si="88"/>
        <v/>
      </c>
      <c r="M517" s="38" t="str">
        <f>IF($A517="","",IF(H517=0,"",IF(Q517&lt;=0.000000001,MIN(0.8*0.75*'KT THAN'!$C$62,MAX('KT THAN'!$J$38:$J$58)),IFERROR(MIN(0.8*0.75*'KT THAN'!$C$62,INDEX('KT THAN'!$J$38:$J$58,MATCH(Q517,'KT THAN'!$L$38:$L$58,-1))+(INDEX('KT THAN'!$J$38:$J$58,MIN(21,MATCH(Q517,'KT THAN'!$L$38:$L$58,-1)+1))-INDEX('KT THAN'!$J$38:$J$58,MATCH(Q517,'KT THAN'!$L$38:$L$58,-1)))*(Q517-INDEX('KT THAN'!$L$38:$L$58,MATCH(Q517,'KT THAN'!$L$38:$L$58,-1)))/(INDEX('KT THAN'!$L$38:$L$58,MIN(21,MATCH(Q517,'KT THAN'!$L$38:$L$58,-1)+1))-INDEX('KT THAN'!$L$38:$L$58,MATCH(Q517,'KT THAN'!$L$38:$L$58,-1)))),MIN(0.8*0.75*'KT THAN'!$C$62,'KT THAN'!$C$68/Q517)))))</f>
        <v/>
      </c>
      <c r="N517" s="38" t="str">
        <f>IF($A517="","",IF(H517=0,"",IF(R517&lt;=0.000000001,MIN(0.8*0.75*'KT THAN'!$C$62,MAX('KT THAN'!$W$38:$W$58)),IFERROR(MIN(0.8*0.75*'KT THAN'!$C$62,INDEX('KT THAN'!$W$38:$W$58,MATCH(R517,'KT THAN'!$Y$38:$Y$58,-1))+(INDEX('KT THAN'!$W$38:$W$58,MIN(21,MATCH(R517,'KT THAN'!$Y$38:$Y$58,-1)+1))-INDEX('KT THAN'!$W$38:$W$58,MATCH(R517,'KT THAN'!$Y$38:$Y$58,-1)))*(R517-INDEX('KT THAN'!$Y$38:$Y$58,MATCH(R517,'KT THAN'!$Y$38:$Y$58,-1)))/(INDEX('KT THAN'!$Y$38:$Y$58,MIN(21,MATCH(R517,'KT THAN'!$Y$38:$Y$58,-1)+1))-INDEX('KT THAN'!$Y$38:$Y$58,MATCH(R517,'KT THAN'!$Y$38:$Y$58,-1)))),MIN(0.8*0.75*'KT THAN'!$C$62,'KT THAN'!$D$68/R517)))))</f>
        <v/>
      </c>
      <c r="O517" s="38" t="str">
        <f>IF($A517="","",IF(H517&lt;0,ABS(H517)/MAX('KT THAN'!$C$69,0.001)+'KT THAN'!$C$32*ABS(J517)/MAX('KT THAN'!$C$68,0.001)+'KT THAN'!$D$32*ABS(I517)/MAX('KT THAN'!$D$68,0.001),IF(OR(M517&lt;=0,N517&lt;=0),999,IF(H517&gt;=0.1*0.75*fc_*Agth*1000,H517/MAX(0.001,1/(1/M517+1/N517-1/(0.75*'KT THAN'!$C$62))),'KT THAN'!$C$32*ABS(J517)/MAX('KT THAN'!$C$68,0.001)+'KT THAN'!$D$32*ABS(I517)/MAX('KT THAN'!$D$68,0.001)))))</f>
        <v/>
      </c>
      <c r="P517" s="37" t="str">
        <f t="shared" si="89"/>
        <v/>
      </c>
      <c r="Q517" s="38" t="str">
        <f>IF($A517="","",MAX(0.001,'KT THAN'!$C$32*ABS(J517)/MAX(1,H517)))</f>
        <v/>
      </c>
      <c r="R517" s="38" t="str">
        <f>IF($A517="","",MAX(0.001,'KT THAN'!$D$32*ABS(I517)/MAX(1,H517)))</f>
        <v/>
      </c>
      <c r="S517" t="str">
        <f t="shared" si="83"/>
        <v/>
      </c>
    </row>
    <row r="518" spans="1:19" hidden="1" outlineLevel="1" x14ac:dyDescent="0.3">
      <c r="A518" s="37" t="str">
        <f>IF(OR(nThan=1,'TO HOP NLAN'!$A74=""),"",'TO HOP NLAN'!$A74)</f>
        <v/>
      </c>
      <c r="B518" s="38" t="str">
        <f>IF($A518="","",'TO HOP NLAN'!$D74)</f>
        <v/>
      </c>
      <c r="C518" s="38" t="str">
        <f>IF($A518="","",'TO HOP NLAN'!$E74)</f>
        <v/>
      </c>
      <c r="D518" s="38" t="str">
        <f>IF($A518="","",'TO HOP NLAN'!$F74)</f>
        <v/>
      </c>
      <c r="E518" s="38" t="str">
        <f>IF($A518="","",'TO HOP NLAN'!$B74)</f>
        <v/>
      </c>
      <c r="F518" s="38" t="str">
        <f>IF($A518="","",'TO HOP NLAN'!$C74)</f>
        <v/>
      </c>
      <c r="G518" s="38" t="str">
        <f t="shared" si="84"/>
        <v/>
      </c>
      <c r="H518" s="38" t="str">
        <f t="shared" si="82"/>
        <v/>
      </c>
      <c r="I518" s="38" t="str">
        <f t="shared" si="85"/>
        <v/>
      </c>
      <c r="J518" s="38" t="str">
        <f t="shared" si="86"/>
        <v/>
      </c>
      <c r="K518" s="38" t="str">
        <f t="shared" si="87"/>
        <v/>
      </c>
      <c r="L518" s="38" t="str">
        <f t="shared" si="88"/>
        <v/>
      </c>
      <c r="M518" s="38" t="str">
        <f>IF($A518="","",IF(H518=0,"",IF(Q518&lt;=0.000000001,MIN(0.8*0.75*'KT THAN'!$C$62,MAX('KT THAN'!$J$38:$J$58)),IFERROR(MIN(0.8*0.75*'KT THAN'!$C$62,INDEX('KT THAN'!$J$38:$J$58,MATCH(Q518,'KT THAN'!$L$38:$L$58,-1))+(INDEX('KT THAN'!$J$38:$J$58,MIN(21,MATCH(Q518,'KT THAN'!$L$38:$L$58,-1)+1))-INDEX('KT THAN'!$J$38:$J$58,MATCH(Q518,'KT THAN'!$L$38:$L$58,-1)))*(Q518-INDEX('KT THAN'!$L$38:$L$58,MATCH(Q518,'KT THAN'!$L$38:$L$58,-1)))/(INDEX('KT THAN'!$L$38:$L$58,MIN(21,MATCH(Q518,'KT THAN'!$L$38:$L$58,-1)+1))-INDEX('KT THAN'!$L$38:$L$58,MATCH(Q518,'KT THAN'!$L$38:$L$58,-1)))),MIN(0.8*0.75*'KT THAN'!$C$62,'KT THAN'!$C$68/Q518)))))</f>
        <v/>
      </c>
      <c r="N518" s="38" t="str">
        <f>IF($A518="","",IF(H518=0,"",IF(R518&lt;=0.000000001,MIN(0.8*0.75*'KT THAN'!$C$62,MAX('KT THAN'!$W$38:$W$58)),IFERROR(MIN(0.8*0.75*'KT THAN'!$C$62,INDEX('KT THAN'!$W$38:$W$58,MATCH(R518,'KT THAN'!$Y$38:$Y$58,-1))+(INDEX('KT THAN'!$W$38:$W$58,MIN(21,MATCH(R518,'KT THAN'!$Y$38:$Y$58,-1)+1))-INDEX('KT THAN'!$W$38:$W$58,MATCH(R518,'KT THAN'!$Y$38:$Y$58,-1)))*(R518-INDEX('KT THAN'!$Y$38:$Y$58,MATCH(R518,'KT THAN'!$Y$38:$Y$58,-1)))/(INDEX('KT THAN'!$Y$38:$Y$58,MIN(21,MATCH(R518,'KT THAN'!$Y$38:$Y$58,-1)+1))-INDEX('KT THAN'!$Y$38:$Y$58,MATCH(R518,'KT THAN'!$Y$38:$Y$58,-1)))),MIN(0.8*0.75*'KT THAN'!$C$62,'KT THAN'!$D$68/R518)))))</f>
        <v/>
      </c>
      <c r="O518" s="38" t="str">
        <f>IF($A518="","",IF(H518&lt;0,ABS(H518)/MAX('KT THAN'!$C$69,0.001)+'KT THAN'!$C$32*ABS(J518)/MAX('KT THAN'!$C$68,0.001)+'KT THAN'!$D$32*ABS(I518)/MAX('KT THAN'!$D$68,0.001),IF(OR(M518&lt;=0,N518&lt;=0),999,IF(H518&gt;=0.1*0.75*fc_*Agth*1000,H518/MAX(0.001,1/(1/M518+1/N518-1/(0.75*'KT THAN'!$C$62))),'KT THAN'!$C$32*ABS(J518)/MAX('KT THAN'!$C$68,0.001)+'KT THAN'!$D$32*ABS(I518)/MAX('KT THAN'!$D$68,0.001)))))</f>
        <v/>
      </c>
      <c r="P518" s="37" t="str">
        <f t="shared" si="89"/>
        <v/>
      </c>
      <c r="Q518" s="38" t="str">
        <f>IF($A518="","",MAX(0.001,'KT THAN'!$C$32*ABS(J518)/MAX(1,H518)))</f>
        <v/>
      </c>
      <c r="R518" s="38" t="str">
        <f>IF($A518="","",MAX(0.001,'KT THAN'!$D$32*ABS(I518)/MAX(1,H518)))</f>
        <v/>
      </c>
      <c r="S518" t="str">
        <f t="shared" si="83"/>
        <v/>
      </c>
    </row>
    <row r="519" spans="1:19" hidden="1" outlineLevel="1" x14ac:dyDescent="0.3">
      <c r="A519" s="37" t="str">
        <f>IF(OR(nThan=1,'TO HOP NLAN'!$A75=""),"",'TO HOP NLAN'!$A75)</f>
        <v/>
      </c>
      <c r="B519" s="38" t="str">
        <f>IF($A519="","",'TO HOP NLAN'!$D75)</f>
        <v/>
      </c>
      <c r="C519" s="38" t="str">
        <f>IF($A519="","",'TO HOP NLAN'!$E75)</f>
        <v/>
      </c>
      <c r="D519" s="38" t="str">
        <f>IF($A519="","",'TO HOP NLAN'!$F75)</f>
        <v/>
      </c>
      <c r="E519" s="38" t="str">
        <f>IF($A519="","",'TO HOP NLAN'!$B75)</f>
        <v/>
      </c>
      <c r="F519" s="38" t="str">
        <f>IF($A519="","",'TO HOP NLAN'!$C75)</f>
        <v/>
      </c>
      <c r="G519" s="38" t="str">
        <f t="shared" si="84"/>
        <v/>
      </c>
      <c r="H519" s="38" t="str">
        <f t="shared" si="82"/>
        <v/>
      </c>
      <c r="I519" s="38" t="str">
        <f t="shared" si="85"/>
        <v/>
      </c>
      <c r="J519" s="38" t="str">
        <f t="shared" si="86"/>
        <v/>
      </c>
      <c r="K519" s="38" t="str">
        <f t="shared" si="87"/>
        <v/>
      </c>
      <c r="L519" s="38" t="str">
        <f t="shared" si="88"/>
        <v/>
      </c>
      <c r="M519" s="38" t="str">
        <f>IF($A519="","",IF(H519=0,"",IF(Q519&lt;=0.000000001,MIN(0.8*0.75*'KT THAN'!$C$62,MAX('KT THAN'!$J$38:$J$58)),IFERROR(MIN(0.8*0.75*'KT THAN'!$C$62,INDEX('KT THAN'!$J$38:$J$58,MATCH(Q519,'KT THAN'!$L$38:$L$58,-1))+(INDEX('KT THAN'!$J$38:$J$58,MIN(21,MATCH(Q519,'KT THAN'!$L$38:$L$58,-1)+1))-INDEX('KT THAN'!$J$38:$J$58,MATCH(Q519,'KT THAN'!$L$38:$L$58,-1)))*(Q519-INDEX('KT THAN'!$L$38:$L$58,MATCH(Q519,'KT THAN'!$L$38:$L$58,-1)))/(INDEX('KT THAN'!$L$38:$L$58,MIN(21,MATCH(Q519,'KT THAN'!$L$38:$L$58,-1)+1))-INDEX('KT THAN'!$L$38:$L$58,MATCH(Q519,'KT THAN'!$L$38:$L$58,-1)))),MIN(0.8*0.75*'KT THAN'!$C$62,'KT THAN'!$C$68/Q519)))))</f>
        <v/>
      </c>
      <c r="N519" s="38" t="str">
        <f>IF($A519="","",IF(H519=0,"",IF(R519&lt;=0.000000001,MIN(0.8*0.75*'KT THAN'!$C$62,MAX('KT THAN'!$W$38:$W$58)),IFERROR(MIN(0.8*0.75*'KT THAN'!$C$62,INDEX('KT THAN'!$W$38:$W$58,MATCH(R519,'KT THAN'!$Y$38:$Y$58,-1))+(INDEX('KT THAN'!$W$38:$W$58,MIN(21,MATCH(R519,'KT THAN'!$Y$38:$Y$58,-1)+1))-INDEX('KT THAN'!$W$38:$W$58,MATCH(R519,'KT THAN'!$Y$38:$Y$58,-1)))*(R519-INDEX('KT THAN'!$Y$38:$Y$58,MATCH(R519,'KT THAN'!$Y$38:$Y$58,-1)))/(INDEX('KT THAN'!$Y$38:$Y$58,MIN(21,MATCH(R519,'KT THAN'!$Y$38:$Y$58,-1)+1))-INDEX('KT THAN'!$Y$38:$Y$58,MATCH(R519,'KT THAN'!$Y$38:$Y$58,-1)))),MIN(0.8*0.75*'KT THAN'!$C$62,'KT THAN'!$D$68/R519)))))</f>
        <v/>
      </c>
      <c r="O519" s="38" t="str">
        <f>IF($A519="","",IF(H519&lt;0,ABS(H519)/MAX('KT THAN'!$C$69,0.001)+'KT THAN'!$C$32*ABS(J519)/MAX('KT THAN'!$C$68,0.001)+'KT THAN'!$D$32*ABS(I519)/MAX('KT THAN'!$D$68,0.001),IF(OR(M519&lt;=0,N519&lt;=0),999,IF(H519&gt;=0.1*0.75*fc_*Agth*1000,H519/MAX(0.001,1/(1/M519+1/N519-1/(0.75*'KT THAN'!$C$62))),'KT THAN'!$C$32*ABS(J519)/MAX('KT THAN'!$C$68,0.001)+'KT THAN'!$D$32*ABS(I519)/MAX('KT THAN'!$D$68,0.001)))))</f>
        <v/>
      </c>
      <c r="P519" s="37" t="str">
        <f t="shared" si="89"/>
        <v/>
      </c>
      <c r="Q519" s="38" t="str">
        <f>IF($A519="","",MAX(0.001,'KT THAN'!$C$32*ABS(J519)/MAX(1,H519)))</f>
        <v/>
      </c>
      <c r="R519" s="38" t="str">
        <f>IF($A519="","",MAX(0.001,'KT THAN'!$D$32*ABS(I519)/MAX(1,H519)))</f>
        <v/>
      </c>
      <c r="S519" t="str">
        <f t="shared" si="83"/>
        <v/>
      </c>
    </row>
    <row r="520" spans="1:19" hidden="1" outlineLevel="1" x14ac:dyDescent="0.3">
      <c r="A520" s="37" t="str">
        <f>IF(OR(nThan=1,'TO HOP NLAN'!$A76=""),"",'TO HOP NLAN'!$A76)</f>
        <v/>
      </c>
      <c r="B520" s="38" t="str">
        <f>IF($A520="","",'TO HOP NLAN'!$D76)</f>
        <v/>
      </c>
      <c r="C520" s="38" t="str">
        <f>IF($A520="","",'TO HOP NLAN'!$E76)</f>
        <v/>
      </c>
      <c r="D520" s="38" t="str">
        <f>IF($A520="","",'TO HOP NLAN'!$F76)</f>
        <v/>
      </c>
      <c r="E520" s="38" t="str">
        <f>IF($A520="","",'TO HOP NLAN'!$B76)</f>
        <v/>
      </c>
      <c r="F520" s="38" t="str">
        <f>IF($A520="","",'TO HOP NLAN'!$C76)</f>
        <v/>
      </c>
      <c r="G520" s="38" t="str">
        <f t="shared" si="84"/>
        <v/>
      </c>
      <c r="H520" s="38" t="str">
        <f t="shared" si="82"/>
        <v/>
      </c>
      <c r="I520" s="38" t="str">
        <f t="shared" si="85"/>
        <v/>
      </c>
      <c r="J520" s="38" t="str">
        <f t="shared" si="86"/>
        <v/>
      </c>
      <c r="K520" s="38" t="str">
        <f t="shared" si="87"/>
        <v/>
      </c>
      <c r="L520" s="38" t="str">
        <f t="shared" si="88"/>
        <v/>
      </c>
      <c r="M520" s="38" t="str">
        <f>IF($A520="","",IF(H520=0,"",IF(Q520&lt;=0.000000001,MIN(0.8*0.75*'KT THAN'!$C$62,MAX('KT THAN'!$J$38:$J$58)),IFERROR(MIN(0.8*0.75*'KT THAN'!$C$62,INDEX('KT THAN'!$J$38:$J$58,MATCH(Q520,'KT THAN'!$L$38:$L$58,-1))+(INDEX('KT THAN'!$J$38:$J$58,MIN(21,MATCH(Q520,'KT THAN'!$L$38:$L$58,-1)+1))-INDEX('KT THAN'!$J$38:$J$58,MATCH(Q520,'KT THAN'!$L$38:$L$58,-1)))*(Q520-INDEX('KT THAN'!$L$38:$L$58,MATCH(Q520,'KT THAN'!$L$38:$L$58,-1)))/(INDEX('KT THAN'!$L$38:$L$58,MIN(21,MATCH(Q520,'KT THAN'!$L$38:$L$58,-1)+1))-INDEX('KT THAN'!$L$38:$L$58,MATCH(Q520,'KT THAN'!$L$38:$L$58,-1)))),MIN(0.8*0.75*'KT THAN'!$C$62,'KT THAN'!$C$68/Q520)))))</f>
        <v/>
      </c>
      <c r="N520" s="38" t="str">
        <f>IF($A520="","",IF(H520=0,"",IF(R520&lt;=0.000000001,MIN(0.8*0.75*'KT THAN'!$C$62,MAX('KT THAN'!$W$38:$W$58)),IFERROR(MIN(0.8*0.75*'KT THAN'!$C$62,INDEX('KT THAN'!$W$38:$W$58,MATCH(R520,'KT THAN'!$Y$38:$Y$58,-1))+(INDEX('KT THAN'!$W$38:$W$58,MIN(21,MATCH(R520,'KT THAN'!$Y$38:$Y$58,-1)+1))-INDEX('KT THAN'!$W$38:$W$58,MATCH(R520,'KT THAN'!$Y$38:$Y$58,-1)))*(R520-INDEX('KT THAN'!$Y$38:$Y$58,MATCH(R520,'KT THAN'!$Y$38:$Y$58,-1)))/(INDEX('KT THAN'!$Y$38:$Y$58,MIN(21,MATCH(R520,'KT THAN'!$Y$38:$Y$58,-1)+1))-INDEX('KT THAN'!$Y$38:$Y$58,MATCH(R520,'KT THAN'!$Y$38:$Y$58,-1)))),MIN(0.8*0.75*'KT THAN'!$C$62,'KT THAN'!$D$68/R520)))))</f>
        <v/>
      </c>
      <c r="O520" s="38" t="str">
        <f>IF($A520="","",IF(H520&lt;0,ABS(H520)/MAX('KT THAN'!$C$69,0.001)+'KT THAN'!$C$32*ABS(J520)/MAX('KT THAN'!$C$68,0.001)+'KT THAN'!$D$32*ABS(I520)/MAX('KT THAN'!$D$68,0.001),IF(OR(M520&lt;=0,N520&lt;=0),999,IF(H520&gt;=0.1*0.75*fc_*Agth*1000,H520/MAX(0.001,1/(1/M520+1/N520-1/(0.75*'KT THAN'!$C$62))),'KT THAN'!$C$32*ABS(J520)/MAX('KT THAN'!$C$68,0.001)+'KT THAN'!$D$32*ABS(I520)/MAX('KT THAN'!$D$68,0.001)))))</f>
        <v/>
      </c>
      <c r="P520" s="37" t="str">
        <f t="shared" si="89"/>
        <v/>
      </c>
      <c r="Q520" s="38" t="str">
        <f>IF($A520="","",MAX(0.001,'KT THAN'!$C$32*ABS(J520)/MAX(1,H520)))</f>
        <v/>
      </c>
      <c r="R520" s="38" t="str">
        <f>IF($A520="","",MAX(0.001,'KT THAN'!$D$32*ABS(I520)/MAX(1,H520)))</f>
        <v/>
      </c>
      <c r="S520" t="str">
        <f t="shared" si="83"/>
        <v/>
      </c>
    </row>
    <row r="521" spans="1:19" hidden="1" outlineLevel="1" x14ac:dyDescent="0.3">
      <c r="A521" s="37" t="str">
        <f>IF(OR(nThan=1,'TO HOP NLAN'!$A77=""),"",'TO HOP NLAN'!$A77)</f>
        <v/>
      </c>
      <c r="B521" s="38" t="str">
        <f>IF($A521="","",'TO HOP NLAN'!$D77)</f>
        <v/>
      </c>
      <c r="C521" s="38" t="str">
        <f>IF($A521="","",'TO HOP NLAN'!$E77)</f>
        <v/>
      </c>
      <c r="D521" s="38" t="str">
        <f>IF($A521="","",'TO HOP NLAN'!$F77)</f>
        <v/>
      </c>
      <c r="E521" s="38" t="str">
        <f>IF($A521="","",'TO HOP NLAN'!$B77)</f>
        <v/>
      </c>
      <c r="F521" s="38" t="str">
        <f>IF($A521="","",'TO HOP NLAN'!$C77)</f>
        <v/>
      </c>
      <c r="G521" s="38" t="str">
        <f t="shared" si="84"/>
        <v/>
      </c>
      <c r="H521" s="38" t="str">
        <f t="shared" si="82"/>
        <v/>
      </c>
      <c r="I521" s="38" t="str">
        <f t="shared" si="85"/>
        <v/>
      </c>
      <c r="J521" s="38" t="str">
        <f t="shared" si="86"/>
        <v/>
      </c>
      <c r="K521" s="38" t="str">
        <f t="shared" si="87"/>
        <v/>
      </c>
      <c r="L521" s="38" t="str">
        <f t="shared" si="88"/>
        <v/>
      </c>
      <c r="M521" s="38" t="str">
        <f>IF($A521="","",IF(H521=0,"",IF(Q521&lt;=0.000000001,MIN(0.8*0.75*'KT THAN'!$C$62,MAX('KT THAN'!$J$38:$J$58)),IFERROR(MIN(0.8*0.75*'KT THAN'!$C$62,INDEX('KT THAN'!$J$38:$J$58,MATCH(Q521,'KT THAN'!$L$38:$L$58,-1))+(INDEX('KT THAN'!$J$38:$J$58,MIN(21,MATCH(Q521,'KT THAN'!$L$38:$L$58,-1)+1))-INDEX('KT THAN'!$J$38:$J$58,MATCH(Q521,'KT THAN'!$L$38:$L$58,-1)))*(Q521-INDEX('KT THAN'!$L$38:$L$58,MATCH(Q521,'KT THAN'!$L$38:$L$58,-1)))/(INDEX('KT THAN'!$L$38:$L$58,MIN(21,MATCH(Q521,'KT THAN'!$L$38:$L$58,-1)+1))-INDEX('KT THAN'!$L$38:$L$58,MATCH(Q521,'KT THAN'!$L$38:$L$58,-1)))),MIN(0.8*0.75*'KT THAN'!$C$62,'KT THAN'!$C$68/Q521)))))</f>
        <v/>
      </c>
      <c r="N521" s="38" t="str">
        <f>IF($A521="","",IF(H521=0,"",IF(R521&lt;=0.000000001,MIN(0.8*0.75*'KT THAN'!$C$62,MAX('KT THAN'!$W$38:$W$58)),IFERROR(MIN(0.8*0.75*'KT THAN'!$C$62,INDEX('KT THAN'!$W$38:$W$58,MATCH(R521,'KT THAN'!$Y$38:$Y$58,-1))+(INDEX('KT THAN'!$W$38:$W$58,MIN(21,MATCH(R521,'KT THAN'!$Y$38:$Y$58,-1)+1))-INDEX('KT THAN'!$W$38:$W$58,MATCH(R521,'KT THAN'!$Y$38:$Y$58,-1)))*(R521-INDEX('KT THAN'!$Y$38:$Y$58,MATCH(R521,'KT THAN'!$Y$38:$Y$58,-1)))/(INDEX('KT THAN'!$Y$38:$Y$58,MIN(21,MATCH(R521,'KT THAN'!$Y$38:$Y$58,-1)+1))-INDEX('KT THAN'!$Y$38:$Y$58,MATCH(R521,'KT THAN'!$Y$38:$Y$58,-1)))),MIN(0.8*0.75*'KT THAN'!$C$62,'KT THAN'!$D$68/R521)))))</f>
        <v/>
      </c>
      <c r="O521" s="38" t="str">
        <f>IF($A521="","",IF(H521&lt;0,ABS(H521)/MAX('KT THAN'!$C$69,0.001)+'KT THAN'!$C$32*ABS(J521)/MAX('KT THAN'!$C$68,0.001)+'KT THAN'!$D$32*ABS(I521)/MAX('KT THAN'!$D$68,0.001),IF(OR(M521&lt;=0,N521&lt;=0),999,IF(H521&gt;=0.1*0.75*fc_*Agth*1000,H521/MAX(0.001,1/(1/M521+1/N521-1/(0.75*'KT THAN'!$C$62))),'KT THAN'!$C$32*ABS(J521)/MAX('KT THAN'!$C$68,0.001)+'KT THAN'!$D$32*ABS(I521)/MAX('KT THAN'!$D$68,0.001)))))</f>
        <v/>
      </c>
      <c r="P521" s="37" t="str">
        <f t="shared" si="89"/>
        <v/>
      </c>
      <c r="Q521" s="38" t="str">
        <f>IF($A521="","",MAX(0.001,'KT THAN'!$C$32*ABS(J521)/MAX(1,H521)))</f>
        <v/>
      </c>
      <c r="R521" s="38" t="str">
        <f>IF($A521="","",MAX(0.001,'KT THAN'!$D$32*ABS(I521)/MAX(1,H521)))</f>
        <v/>
      </c>
      <c r="S521" t="str">
        <f t="shared" si="83"/>
        <v/>
      </c>
    </row>
    <row r="522" spans="1:19" hidden="1" outlineLevel="1" x14ac:dyDescent="0.3">
      <c r="A522" s="37" t="str">
        <f>IF(OR(nThan=1,'TO HOP NLAN'!$A78=""),"",'TO HOP NLAN'!$A78)</f>
        <v/>
      </c>
      <c r="B522" s="38" t="str">
        <f>IF($A522="","",'TO HOP NLAN'!$D78)</f>
        <v/>
      </c>
      <c r="C522" s="38" t="str">
        <f>IF($A522="","",'TO HOP NLAN'!$E78)</f>
        <v/>
      </c>
      <c r="D522" s="38" t="str">
        <f>IF($A522="","",'TO HOP NLAN'!$F78)</f>
        <v/>
      </c>
      <c r="E522" s="38" t="str">
        <f>IF($A522="","",'TO HOP NLAN'!$B78)</f>
        <v/>
      </c>
      <c r="F522" s="38" t="str">
        <f>IF($A522="","",'TO HOP NLAN'!$C78)</f>
        <v/>
      </c>
      <c r="G522" s="38" t="str">
        <f t="shared" si="84"/>
        <v/>
      </c>
      <c r="H522" s="38" t="str">
        <f t="shared" si="82"/>
        <v/>
      </c>
      <c r="I522" s="38" t="str">
        <f t="shared" si="85"/>
        <v/>
      </c>
      <c r="J522" s="38" t="str">
        <f t="shared" si="86"/>
        <v/>
      </c>
      <c r="K522" s="38" t="str">
        <f t="shared" si="87"/>
        <v/>
      </c>
      <c r="L522" s="38" t="str">
        <f t="shared" si="88"/>
        <v/>
      </c>
      <c r="M522" s="38" t="str">
        <f>IF($A522="","",IF(H522=0,"",IF(Q522&lt;=0.000000001,MIN(0.8*0.75*'KT THAN'!$C$62,MAX('KT THAN'!$J$38:$J$58)),IFERROR(MIN(0.8*0.75*'KT THAN'!$C$62,INDEX('KT THAN'!$J$38:$J$58,MATCH(Q522,'KT THAN'!$L$38:$L$58,-1))+(INDEX('KT THAN'!$J$38:$J$58,MIN(21,MATCH(Q522,'KT THAN'!$L$38:$L$58,-1)+1))-INDEX('KT THAN'!$J$38:$J$58,MATCH(Q522,'KT THAN'!$L$38:$L$58,-1)))*(Q522-INDEX('KT THAN'!$L$38:$L$58,MATCH(Q522,'KT THAN'!$L$38:$L$58,-1)))/(INDEX('KT THAN'!$L$38:$L$58,MIN(21,MATCH(Q522,'KT THAN'!$L$38:$L$58,-1)+1))-INDEX('KT THAN'!$L$38:$L$58,MATCH(Q522,'KT THAN'!$L$38:$L$58,-1)))),MIN(0.8*0.75*'KT THAN'!$C$62,'KT THAN'!$C$68/Q522)))))</f>
        <v/>
      </c>
      <c r="N522" s="38" t="str">
        <f>IF($A522="","",IF(H522=0,"",IF(R522&lt;=0.000000001,MIN(0.8*0.75*'KT THAN'!$C$62,MAX('KT THAN'!$W$38:$W$58)),IFERROR(MIN(0.8*0.75*'KT THAN'!$C$62,INDEX('KT THAN'!$W$38:$W$58,MATCH(R522,'KT THAN'!$Y$38:$Y$58,-1))+(INDEX('KT THAN'!$W$38:$W$58,MIN(21,MATCH(R522,'KT THAN'!$Y$38:$Y$58,-1)+1))-INDEX('KT THAN'!$W$38:$W$58,MATCH(R522,'KT THAN'!$Y$38:$Y$58,-1)))*(R522-INDEX('KT THAN'!$Y$38:$Y$58,MATCH(R522,'KT THAN'!$Y$38:$Y$58,-1)))/(INDEX('KT THAN'!$Y$38:$Y$58,MIN(21,MATCH(R522,'KT THAN'!$Y$38:$Y$58,-1)+1))-INDEX('KT THAN'!$Y$38:$Y$58,MATCH(R522,'KT THAN'!$Y$38:$Y$58,-1)))),MIN(0.8*0.75*'KT THAN'!$C$62,'KT THAN'!$D$68/R522)))))</f>
        <v/>
      </c>
      <c r="O522" s="38" t="str">
        <f>IF($A522="","",IF(H522&lt;0,ABS(H522)/MAX('KT THAN'!$C$69,0.001)+'KT THAN'!$C$32*ABS(J522)/MAX('KT THAN'!$C$68,0.001)+'KT THAN'!$D$32*ABS(I522)/MAX('KT THAN'!$D$68,0.001),IF(OR(M522&lt;=0,N522&lt;=0),999,IF(H522&gt;=0.1*0.75*fc_*Agth*1000,H522/MAX(0.001,1/(1/M522+1/N522-1/(0.75*'KT THAN'!$C$62))),'KT THAN'!$C$32*ABS(J522)/MAX('KT THAN'!$C$68,0.001)+'KT THAN'!$D$32*ABS(I522)/MAX('KT THAN'!$D$68,0.001)))))</f>
        <v/>
      </c>
      <c r="P522" s="37" t="str">
        <f t="shared" si="89"/>
        <v/>
      </c>
      <c r="Q522" s="38" t="str">
        <f>IF($A522="","",MAX(0.001,'KT THAN'!$C$32*ABS(J522)/MAX(1,H522)))</f>
        <v/>
      </c>
      <c r="R522" s="38" t="str">
        <f>IF($A522="","",MAX(0.001,'KT THAN'!$D$32*ABS(I522)/MAX(1,H522)))</f>
        <v/>
      </c>
      <c r="S522" t="str">
        <f t="shared" si="83"/>
        <v/>
      </c>
    </row>
    <row r="523" spans="1:19" hidden="1" outlineLevel="1" x14ac:dyDescent="0.3">
      <c r="A523" s="37" t="str">
        <f>IF(OR(nThan=1,'TO HOP NLAN'!$A79=""),"",'TO HOP NLAN'!$A79)</f>
        <v/>
      </c>
      <c r="B523" s="38" t="str">
        <f>IF($A523="","",'TO HOP NLAN'!$D79)</f>
        <v/>
      </c>
      <c r="C523" s="38" t="str">
        <f>IF($A523="","",'TO HOP NLAN'!$E79)</f>
        <v/>
      </c>
      <c r="D523" s="38" t="str">
        <f>IF($A523="","",'TO HOP NLAN'!$F79)</f>
        <v/>
      </c>
      <c r="E523" s="38" t="str">
        <f>IF($A523="","",'TO HOP NLAN'!$B79)</f>
        <v/>
      </c>
      <c r="F523" s="38" t="str">
        <f>IF($A523="","",'TO HOP NLAN'!$C79)</f>
        <v/>
      </c>
      <c r="G523" s="38" t="str">
        <f t="shared" si="84"/>
        <v/>
      </c>
      <c r="H523" s="38" t="str">
        <f t="shared" si="82"/>
        <v/>
      </c>
      <c r="I523" s="38" t="str">
        <f t="shared" si="85"/>
        <v/>
      </c>
      <c r="J523" s="38" t="str">
        <f t="shared" si="86"/>
        <v/>
      </c>
      <c r="K523" s="38" t="str">
        <f t="shared" si="87"/>
        <v/>
      </c>
      <c r="L523" s="38" t="str">
        <f t="shared" si="88"/>
        <v/>
      </c>
      <c r="M523" s="38" t="str">
        <f>IF($A523="","",IF(H523=0,"",IF(Q523&lt;=0.000000001,MIN(0.8*0.75*'KT THAN'!$C$62,MAX('KT THAN'!$J$38:$J$58)),IFERROR(MIN(0.8*0.75*'KT THAN'!$C$62,INDEX('KT THAN'!$J$38:$J$58,MATCH(Q523,'KT THAN'!$L$38:$L$58,-1))+(INDEX('KT THAN'!$J$38:$J$58,MIN(21,MATCH(Q523,'KT THAN'!$L$38:$L$58,-1)+1))-INDEX('KT THAN'!$J$38:$J$58,MATCH(Q523,'KT THAN'!$L$38:$L$58,-1)))*(Q523-INDEX('KT THAN'!$L$38:$L$58,MATCH(Q523,'KT THAN'!$L$38:$L$58,-1)))/(INDEX('KT THAN'!$L$38:$L$58,MIN(21,MATCH(Q523,'KT THAN'!$L$38:$L$58,-1)+1))-INDEX('KT THAN'!$L$38:$L$58,MATCH(Q523,'KT THAN'!$L$38:$L$58,-1)))),MIN(0.8*0.75*'KT THAN'!$C$62,'KT THAN'!$C$68/Q523)))))</f>
        <v/>
      </c>
      <c r="N523" s="38" t="str">
        <f>IF($A523="","",IF(H523=0,"",IF(R523&lt;=0.000000001,MIN(0.8*0.75*'KT THAN'!$C$62,MAX('KT THAN'!$W$38:$W$58)),IFERROR(MIN(0.8*0.75*'KT THAN'!$C$62,INDEX('KT THAN'!$W$38:$W$58,MATCH(R523,'KT THAN'!$Y$38:$Y$58,-1))+(INDEX('KT THAN'!$W$38:$W$58,MIN(21,MATCH(R523,'KT THAN'!$Y$38:$Y$58,-1)+1))-INDEX('KT THAN'!$W$38:$W$58,MATCH(R523,'KT THAN'!$Y$38:$Y$58,-1)))*(R523-INDEX('KT THAN'!$Y$38:$Y$58,MATCH(R523,'KT THAN'!$Y$38:$Y$58,-1)))/(INDEX('KT THAN'!$Y$38:$Y$58,MIN(21,MATCH(R523,'KT THAN'!$Y$38:$Y$58,-1)+1))-INDEX('KT THAN'!$Y$38:$Y$58,MATCH(R523,'KT THAN'!$Y$38:$Y$58,-1)))),MIN(0.8*0.75*'KT THAN'!$C$62,'KT THAN'!$D$68/R523)))))</f>
        <v/>
      </c>
      <c r="O523" s="38" t="str">
        <f>IF($A523="","",IF(H523&lt;0,ABS(H523)/MAX('KT THAN'!$C$69,0.001)+'KT THAN'!$C$32*ABS(J523)/MAX('KT THAN'!$C$68,0.001)+'KT THAN'!$D$32*ABS(I523)/MAX('KT THAN'!$D$68,0.001),IF(OR(M523&lt;=0,N523&lt;=0),999,IF(H523&gt;=0.1*0.75*fc_*Agth*1000,H523/MAX(0.001,1/(1/M523+1/N523-1/(0.75*'KT THAN'!$C$62))),'KT THAN'!$C$32*ABS(J523)/MAX('KT THAN'!$C$68,0.001)+'KT THAN'!$D$32*ABS(I523)/MAX('KT THAN'!$D$68,0.001)))))</f>
        <v/>
      </c>
      <c r="P523" s="37" t="str">
        <f t="shared" si="89"/>
        <v/>
      </c>
      <c r="Q523" s="38" t="str">
        <f>IF($A523="","",MAX(0.001,'KT THAN'!$C$32*ABS(J523)/MAX(1,H523)))</f>
        <v/>
      </c>
      <c r="R523" s="38" t="str">
        <f>IF($A523="","",MAX(0.001,'KT THAN'!$D$32*ABS(I523)/MAX(1,H523)))</f>
        <v/>
      </c>
      <c r="S523" t="str">
        <f t="shared" si="83"/>
        <v/>
      </c>
    </row>
    <row r="524" spans="1:19" hidden="1" outlineLevel="1" x14ac:dyDescent="0.3">
      <c r="A524" s="37" t="str">
        <f>IF(OR(nThan=1,'TO HOP NLAN'!$A80=""),"",'TO HOP NLAN'!$A80)</f>
        <v/>
      </c>
      <c r="B524" s="38" t="str">
        <f>IF($A524="","",'TO HOP NLAN'!$D80)</f>
        <v/>
      </c>
      <c r="C524" s="38" t="str">
        <f>IF($A524="","",'TO HOP NLAN'!$E80)</f>
        <v/>
      </c>
      <c r="D524" s="38" t="str">
        <f>IF($A524="","",'TO HOP NLAN'!$F80)</f>
        <v/>
      </c>
      <c r="E524" s="38" t="str">
        <f>IF($A524="","",'TO HOP NLAN'!$B80)</f>
        <v/>
      </c>
      <c r="F524" s="38" t="str">
        <f>IF($A524="","",'TO HOP NLAN'!$C80)</f>
        <v/>
      </c>
      <c r="G524" s="38" t="str">
        <f t="shared" si="84"/>
        <v/>
      </c>
      <c r="H524" s="38" t="str">
        <f t="shared" si="82"/>
        <v/>
      </c>
      <c r="I524" s="38" t="str">
        <f t="shared" si="85"/>
        <v/>
      </c>
      <c r="J524" s="38" t="str">
        <f t="shared" si="86"/>
        <v/>
      </c>
      <c r="K524" s="38" t="str">
        <f t="shared" si="87"/>
        <v/>
      </c>
      <c r="L524" s="38" t="str">
        <f t="shared" si="88"/>
        <v/>
      </c>
      <c r="M524" s="38" t="str">
        <f>IF($A524="","",IF(H524=0,"",IF(Q524&lt;=0.000000001,MIN(0.8*0.75*'KT THAN'!$C$62,MAX('KT THAN'!$J$38:$J$58)),IFERROR(MIN(0.8*0.75*'KT THAN'!$C$62,INDEX('KT THAN'!$J$38:$J$58,MATCH(Q524,'KT THAN'!$L$38:$L$58,-1))+(INDEX('KT THAN'!$J$38:$J$58,MIN(21,MATCH(Q524,'KT THAN'!$L$38:$L$58,-1)+1))-INDEX('KT THAN'!$J$38:$J$58,MATCH(Q524,'KT THAN'!$L$38:$L$58,-1)))*(Q524-INDEX('KT THAN'!$L$38:$L$58,MATCH(Q524,'KT THAN'!$L$38:$L$58,-1)))/(INDEX('KT THAN'!$L$38:$L$58,MIN(21,MATCH(Q524,'KT THAN'!$L$38:$L$58,-1)+1))-INDEX('KT THAN'!$L$38:$L$58,MATCH(Q524,'KT THAN'!$L$38:$L$58,-1)))),MIN(0.8*0.75*'KT THAN'!$C$62,'KT THAN'!$C$68/Q524)))))</f>
        <v/>
      </c>
      <c r="N524" s="38" t="str">
        <f>IF($A524="","",IF(H524=0,"",IF(R524&lt;=0.000000001,MIN(0.8*0.75*'KT THAN'!$C$62,MAX('KT THAN'!$W$38:$W$58)),IFERROR(MIN(0.8*0.75*'KT THAN'!$C$62,INDEX('KT THAN'!$W$38:$W$58,MATCH(R524,'KT THAN'!$Y$38:$Y$58,-1))+(INDEX('KT THAN'!$W$38:$W$58,MIN(21,MATCH(R524,'KT THAN'!$Y$38:$Y$58,-1)+1))-INDEX('KT THAN'!$W$38:$W$58,MATCH(R524,'KT THAN'!$Y$38:$Y$58,-1)))*(R524-INDEX('KT THAN'!$Y$38:$Y$58,MATCH(R524,'KT THAN'!$Y$38:$Y$58,-1)))/(INDEX('KT THAN'!$Y$38:$Y$58,MIN(21,MATCH(R524,'KT THAN'!$Y$38:$Y$58,-1)+1))-INDEX('KT THAN'!$Y$38:$Y$58,MATCH(R524,'KT THAN'!$Y$38:$Y$58,-1)))),MIN(0.8*0.75*'KT THAN'!$C$62,'KT THAN'!$D$68/R524)))))</f>
        <v/>
      </c>
      <c r="O524" s="38" t="str">
        <f>IF($A524="","",IF(H524&lt;0,ABS(H524)/MAX('KT THAN'!$C$69,0.001)+'KT THAN'!$C$32*ABS(J524)/MAX('KT THAN'!$C$68,0.001)+'KT THAN'!$D$32*ABS(I524)/MAX('KT THAN'!$D$68,0.001),IF(OR(M524&lt;=0,N524&lt;=0),999,IF(H524&gt;=0.1*0.75*fc_*Agth*1000,H524/MAX(0.001,1/(1/M524+1/N524-1/(0.75*'KT THAN'!$C$62))),'KT THAN'!$C$32*ABS(J524)/MAX('KT THAN'!$C$68,0.001)+'KT THAN'!$D$32*ABS(I524)/MAX('KT THAN'!$D$68,0.001)))))</f>
        <v/>
      </c>
      <c r="P524" s="37" t="str">
        <f t="shared" si="89"/>
        <v/>
      </c>
      <c r="Q524" s="38" t="str">
        <f>IF($A524="","",MAX(0.001,'KT THAN'!$C$32*ABS(J524)/MAX(1,H524)))</f>
        <v/>
      </c>
      <c r="R524" s="38" t="str">
        <f>IF($A524="","",MAX(0.001,'KT THAN'!$D$32*ABS(I524)/MAX(1,H524)))</f>
        <v/>
      </c>
      <c r="S524" t="str">
        <f t="shared" si="83"/>
        <v/>
      </c>
    </row>
    <row r="525" spans="1:19" hidden="1" outlineLevel="1" x14ac:dyDescent="0.3">
      <c r="A525" s="37" t="str">
        <f>IF(OR(nThan=1,'TO HOP NLAN'!$A81=""),"",'TO HOP NLAN'!$A81)</f>
        <v/>
      </c>
      <c r="B525" s="38" t="str">
        <f>IF($A525="","",'TO HOP NLAN'!$D81)</f>
        <v/>
      </c>
      <c r="C525" s="38" t="str">
        <f>IF($A525="","",'TO HOP NLAN'!$E81)</f>
        <v/>
      </c>
      <c r="D525" s="38" t="str">
        <f>IF($A525="","",'TO HOP NLAN'!$F81)</f>
        <v/>
      </c>
      <c r="E525" s="38" t="str">
        <f>IF($A525="","",'TO HOP NLAN'!$B81)</f>
        <v/>
      </c>
      <c r="F525" s="38" t="str">
        <f>IF($A525="","",'TO HOP NLAN'!$C81)</f>
        <v/>
      </c>
      <c r="G525" s="38" t="str">
        <f t="shared" si="84"/>
        <v/>
      </c>
      <c r="H525" s="38" t="str">
        <f t="shared" si="82"/>
        <v/>
      </c>
      <c r="I525" s="38" t="str">
        <f t="shared" si="85"/>
        <v/>
      </c>
      <c r="J525" s="38" t="str">
        <f t="shared" si="86"/>
        <v/>
      </c>
      <c r="K525" s="38" t="str">
        <f t="shared" si="87"/>
        <v/>
      </c>
      <c r="L525" s="38" t="str">
        <f t="shared" si="88"/>
        <v/>
      </c>
      <c r="M525" s="38" t="str">
        <f>IF($A525="","",IF(H525=0,"",IF(Q525&lt;=0.000000001,MIN(0.8*0.75*'KT THAN'!$C$62,MAX('KT THAN'!$J$38:$J$58)),IFERROR(MIN(0.8*0.75*'KT THAN'!$C$62,INDEX('KT THAN'!$J$38:$J$58,MATCH(Q525,'KT THAN'!$L$38:$L$58,-1))+(INDEX('KT THAN'!$J$38:$J$58,MIN(21,MATCH(Q525,'KT THAN'!$L$38:$L$58,-1)+1))-INDEX('KT THAN'!$J$38:$J$58,MATCH(Q525,'KT THAN'!$L$38:$L$58,-1)))*(Q525-INDEX('KT THAN'!$L$38:$L$58,MATCH(Q525,'KT THAN'!$L$38:$L$58,-1)))/(INDEX('KT THAN'!$L$38:$L$58,MIN(21,MATCH(Q525,'KT THAN'!$L$38:$L$58,-1)+1))-INDEX('KT THAN'!$L$38:$L$58,MATCH(Q525,'KT THAN'!$L$38:$L$58,-1)))),MIN(0.8*0.75*'KT THAN'!$C$62,'KT THAN'!$C$68/Q525)))))</f>
        <v/>
      </c>
      <c r="N525" s="38" t="str">
        <f>IF($A525="","",IF(H525=0,"",IF(R525&lt;=0.000000001,MIN(0.8*0.75*'KT THAN'!$C$62,MAX('KT THAN'!$W$38:$W$58)),IFERROR(MIN(0.8*0.75*'KT THAN'!$C$62,INDEX('KT THAN'!$W$38:$W$58,MATCH(R525,'KT THAN'!$Y$38:$Y$58,-1))+(INDEX('KT THAN'!$W$38:$W$58,MIN(21,MATCH(R525,'KT THAN'!$Y$38:$Y$58,-1)+1))-INDEX('KT THAN'!$W$38:$W$58,MATCH(R525,'KT THAN'!$Y$38:$Y$58,-1)))*(R525-INDEX('KT THAN'!$Y$38:$Y$58,MATCH(R525,'KT THAN'!$Y$38:$Y$58,-1)))/(INDEX('KT THAN'!$Y$38:$Y$58,MIN(21,MATCH(R525,'KT THAN'!$Y$38:$Y$58,-1)+1))-INDEX('KT THAN'!$Y$38:$Y$58,MATCH(R525,'KT THAN'!$Y$38:$Y$58,-1)))),MIN(0.8*0.75*'KT THAN'!$C$62,'KT THAN'!$D$68/R525)))))</f>
        <v/>
      </c>
      <c r="O525" s="38" t="str">
        <f>IF($A525="","",IF(H525&lt;0,ABS(H525)/MAX('KT THAN'!$C$69,0.001)+'KT THAN'!$C$32*ABS(J525)/MAX('KT THAN'!$C$68,0.001)+'KT THAN'!$D$32*ABS(I525)/MAX('KT THAN'!$D$68,0.001),IF(OR(M525&lt;=0,N525&lt;=0),999,IF(H525&gt;=0.1*0.75*fc_*Agth*1000,H525/MAX(0.001,1/(1/M525+1/N525-1/(0.75*'KT THAN'!$C$62))),'KT THAN'!$C$32*ABS(J525)/MAX('KT THAN'!$C$68,0.001)+'KT THAN'!$D$32*ABS(I525)/MAX('KT THAN'!$D$68,0.001)))))</f>
        <v/>
      </c>
      <c r="P525" s="37" t="str">
        <f t="shared" si="89"/>
        <v/>
      </c>
      <c r="Q525" s="38" t="str">
        <f>IF($A525="","",MAX(0.001,'KT THAN'!$C$32*ABS(J525)/MAX(1,H525)))</f>
        <v/>
      </c>
      <c r="R525" s="38" t="str">
        <f>IF($A525="","",MAX(0.001,'KT THAN'!$D$32*ABS(I525)/MAX(1,H525)))</f>
        <v/>
      </c>
      <c r="S525" t="str">
        <f t="shared" si="83"/>
        <v/>
      </c>
    </row>
    <row r="526" spans="1:19" hidden="1" outlineLevel="1" x14ac:dyDescent="0.3">
      <c r="A526" s="37" t="str">
        <f>IF(OR(nThan=1,'TO HOP NLAN'!$A82=""),"",'TO HOP NLAN'!$A82)</f>
        <v/>
      </c>
      <c r="B526" s="38" t="str">
        <f>IF($A526="","",'TO HOP NLAN'!$D82)</f>
        <v/>
      </c>
      <c r="C526" s="38" t="str">
        <f>IF($A526="","",'TO HOP NLAN'!$E82)</f>
        <v/>
      </c>
      <c r="D526" s="38" t="str">
        <f>IF($A526="","",'TO HOP NLAN'!$F82)</f>
        <v/>
      </c>
      <c r="E526" s="38" t="str">
        <f>IF($A526="","",'TO HOP NLAN'!$B82)</f>
        <v/>
      </c>
      <c r="F526" s="38" t="str">
        <f>IF($A526="","",'TO HOP NLAN'!$C82)</f>
        <v/>
      </c>
      <c r="G526" s="38" t="str">
        <f t="shared" si="84"/>
        <v/>
      </c>
      <c r="H526" s="38" t="str">
        <f t="shared" si="82"/>
        <v/>
      </c>
      <c r="I526" s="38" t="str">
        <f t="shared" si="85"/>
        <v/>
      </c>
      <c r="J526" s="38" t="str">
        <f t="shared" si="86"/>
        <v/>
      </c>
      <c r="K526" s="38" t="str">
        <f t="shared" si="87"/>
        <v/>
      </c>
      <c r="L526" s="38" t="str">
        <f t="shared" si="88"/>
        <v/>
      </c>
      <c r="M526" s="38" t="str">
        <f>IF($A526="","",IF(H526=0,"",IF(Q526&lt;=0.000000001,MIN(0.8*0.75*'KT THAN'!$C$62,MAX('KT THAN'!$J$38:$J$58)),IFERROR(MIN(0.8*0.75*'KT THAN'!$C$62,INDEX('KT THAN'!$J$38:$J$58,MATCH(Q526,'KT THAN'!$L$38:$L$58,-1))+(INDEX('KT THAN'!$J$38:$J$58,MIN(21,MATCH(Q526,'KT THAN'!$L$38:$L$58,-1)+1))-INDEX('KT THAN'!$J$38:$J$58,MATCH(Q526,'KT THAN'!$L$38:$L$58,-1)))*(Q526-INDEX('KT THAN'!$L$38:$L$58,MATCH(Q526,'KT THAN'!$L$38:$L$58,-1)))/(INDEX('KT THAN'!$L$38:$L$58,MIN(21,MATCH(Q526,'KT THAN'!$L$38:$L$58,-1)+1))-INDEX('KT THAN'!$L$38:$L$58,MATCH(Q526,'KT THAN'!$L$38:$L$58,-1)))),MIN(0.8*0.75*'KT THAN'!$C$62,'KT THAN'!$C$68/Q526)))))</f>
        <v/>
      </c>
      <c r="N526" s="38" t="str">
        <f>IF($A526="","",IF(H526=0,"",IF(R526&lt;=0.000000001,MIN(0.8*0.75*'KT THAN'!$C$62,MAX('KT THAN'!$W$38:$W$58)),IFERROR(MIN(0.8*0.75*'KT THAN'!$C$62,INDEX('KT THAN'!$W$38:$W$58,MATCH(R526,'KT THAN'!$Y$38:$Y$58,-1))+(INDEX('KT THAN'!$W$38:$W$58,MIN(21,MATCH(R526,'KT THAN'!$Y$38:$Y$58,-1)+1))-INDEX('KT THAN'!$W$38:$W$58,MATCH(R526,'KT THAN'!$Y$38:$Y$58,-1)))*(R526-INDEX('KT THAN'!$Y$38:$Y$58,MATCH(R526,'KT THAN'!$Y$38:$Y$58,-1)))/(INDEX('KT THAN'!$Y$38:$Y$58,MIN(21,MATCH(R526,'KT THAN'!$Y$38:$Y$58,-1)+1))-INDEX('KT THAN'!$Y$38:$Y$58,MATCH(R526,'KT THAN'!$Y$38:$Y$58,-1)))),MIN(0.8*0.75*'KT THAN'!$C$62,'KT THAN'!$D$68/R526)))))</f>
        <v/>
      </c>
      <c r="O526" s="38" t="str">
        <f>IF($A526="","",IF(H526&lt;0,ABS(H526)/MAX('KT THAN'!$C$69,0.001)+'KT THAN'!$C$32*ABS(J526)/MAX('KT THAN'!$C$68,0.001)+'KT THAN'!$D$32*ABS(I526)/MAX('KT THAN'!$D$68,0.001),IF(OR(M526&lt;=0,N526&lt;=0),999,IF(H526&gt;=0.1*0.75*fc_*Agth*1000,H526/MAX(0.001,1/(1/M526+1/N526-1/(0.75*'KT THAN'!$C$62))),'KT THAN'!$C$32*ABS(J526)/MAX('KT THAN'!$C$68,0.001)+'KT THAN'!$D$32*ABS(I526)/MAX('KT THAN'!$D$68,0.001)))))</f>
        <v/>
      </c>
      <c r="P526" s="37" t="str">
        <f t="shared" si="89"/>
        <v/>
      </c>
      <c r="Q526" s="38" t="str">
        <f>IF($A526="","",MAX(0.001,'KT THAN'!$C$32*ABS(J526)/MAX(1,H526)))</f>
        <v/>
      </c>
      <c r="R526" s="38" t="str">
        <f>IF($A526="","",MAX(0.001,'KT THAN'!$D$32*ABS(I526)/MAX(1,H526)))</f>
        <v/>
      </c>
      <c r="S526" t="str">
        <f t="shared" si="83"/>
        <v/>
      </c>
    </row>
    <row r="527" spans="1:19" hidden="1" outlineLevel="1" x14ac:dyDescent="0.3">
      <c r="A527" s="37" t="str">
        <f>IF(OR(nThan=1,'TO HOP NLAN'!$A83=""),"",'TO HOP NLAN'!$A83)</f>
        <v/>
      </c>
      <c r="B527" s="38" t="str">
        <f>IF($A527="","",'TO HOP NLAN'!$D83)</f>
        <v/>
      </c>
      <c r="C527" s="38" t="str">
        <f>IF($A527="","",'TO HOP NLAN'!$E83)</f>
        <v/>
      </c>
      <c r="D527" s="38" t="str">
        <f>IF($A527="","",'TO HOP NLAN'!$F83)</f>
        <v/>
      </c>
      <c r="E527" s="38" t="str">
        <f>IF($A527="","",'TO HOP NLAN'!$B83)</f>
        <v/>
      </c>
      <c r="F527" s="38" t="str">
        <f>IF($A527="","",'TO HOP NLAN'!$C83)</f>
        <v/>
      </c>
      <c r="G527" s="38" t="str">
        <f t="shared" si="84"/>
        <v/>
      </c>
      <c r="H527" s="38" t="str">
        <f t="shared" si="82"/>
        <v/>
      </c>
      <c r="I527" s="38" t="str">
        <f t="shared" si="85"/>
        <v/>
      </c>
      <c r="J527" s="38" t="str">
        <f t="shared" si="86"/>
        <v/>
      </c>
      <c r="K527" s="38" t="str">
        <f t="shared" si="87"/>
        <v/>
      </c>
      <c r="L527" s="38" t="str">
        <f t="shared" si="88"/>
        <v/>
      </c>
      <c r="M527" s="38" t="str">
        <f>IF($A527="","",IF(H527=0,"",IF(Q527&lt;=0.000000001,MIN(0.8*0.75*'KT THAN'!$C$62,MAX('KT THAN'!$J$38:$J$58)),IFERROR(MIN(0.8*0.75*'KT THAN'!$C$62,INDEX('KT THAN'!$J$38:$J$58,MATCH(Q527,'KT THAN'!$L$38:$L$58,-1))+(INDEX('KT THAN'!$J$38:$J$58,MIN(21,MATCH(Q527,'KT THAN'!$L$38:$L$58,-1)+1))-INDEX('KT THAN'!$J$38:$J$58,MATCH(Q527,'KT THAN'!$L$38:$L$58,-1)))*(Q527-INDEX('KT THAN'!$L$38:$L$58,MATCH(Q527,'KT THAN'!$L$38:$L$58,-1)))/(INDEX('KT THAN'!$L$38:$L$58,MIN(21,MATCH(Q527,'KT THAN'!$L$38:$L$58,-1)+1))-INDEX('KT THAN'!$L$38:$L$58,MATCH(Q527,'KT THAN'!$L$38:$L$58,-1)))),MIN(0.8*0.75*'KT THAN'!$C$62,'KT THAN'!$C$68/Q527)))))</f>
        <v/>
      </c>
      <c r="N527" s="38" t="str">
        <f>IF($A527="","",IF(H527=0,"",IF(R527&lt;=0.000000001,MIN(0.8*0.75*'KT THAN'!$C$62,MAX('KT THAN'!$W$38:$W$58)),IFERROR(MIN(0.8*0.75*'KT THAN'!$C$62,INDEX('KT THAN'!$W$38:$W$58,MATCH(R527,'KT THAN'!$Y$38:$Y$58,-1))+(INDEX('KT THAN'!$W$38:$W$58,MIN(21,MATCH(R527,'KT THAN'!$Y$38:$Y$58,-1)+1))-INDEX('KT THAN'!$W$38:$W$58,MATCH(R527,'KT THAN'!$Y$38:$Y$58,-1)))*(R527-INDEX('KT THAN'!$Y$38:$Y$58,MATCH(R527,'KT THAN'!$Y$38:$Y$58,-1)))/(INDEX('KT THAN'!$Y$38:$Y$58,MIN(21,MATCH(R527,'KT THAN'!$Y$38:$Y$58,-1)+1))-INDEX('KT THAN'!$Y$38:$Y$58,MATCH(R527,'KT THAN'!$Y$38:$Y$58,-1)))),MIN(0.8*0.75*'KT THAN'!$C$62,'KT THAN'!$D$68/R527)))))</f>
        <v/>
      </c>
      <c r="O527" s="38" t="str">
        <f>IF($A527="","",IF(H527&lt;0,ABS(H527)/MAX('KT THAN'!$C$69,0.001)+'KT THAN'!$C$32*ABS(J527)/MAX('KT THAN'!$C$68,0.001)+'KT THAN'!$D$32*ABS(I527)/MAX('KT THAN'!$D$68,0.001),IF(OR(M527&lt;=0,N527&lt;=0),999,IF(H527&gt;=0.1*0.75*fc_*Agth*1000,H527/MAX(0.001,1/(1/M527+1/N527-1/(0.75*'KT THAN'!$C$62))),'KT THAN'!$C$32*ABS(J527)/MAX('KT THAN'!$C$68,0.001)+'KT THAN'!$D$32*ABS(I527)/MAX('KT THAN'!$D$68,0.001)))))</f>
        <v/>
      </c>
      <c r="P527" s="37" t="str">
        <f t="shared" si="89"/>
        <v/>
      </c>
      <c r="Q527" s="38" t="str">
        <f>IF($A527="","",MAX(0.001,'KT THAN'!$C$32*ABS(J527)/MAX(1,H527)))</f>
        <v/>
      </c>
      <c r="R527" s="38" t="str">
        <f>IF($A527="","",MAX(0.001,'KT THAN'!$D$32*ABS(I527)/MAX(1,H527)))</f>
        <v/>
      </c>
      <c r="S527" t="str">
        <f t="shared" si="83"/>
        <v/>
      </c>
    </row>
    <row r="528" spans="1:19" hidden="1" outlineLevel="1" x14ac:dyDescent="0.3">
      <c r="A528" s="37" t="str">
        <f>IF(OR(nThan=1,'TO HOP NLAN'!$A84=""),"",'TO HOP NLAN'!$A84)</f>
        <v/>
      </c>
      <c r="B528" s="38" t="str">
        <f>IF($A528="","",'TO HOP NLAN'!$D84)</f>
        <v/>
      </c>
      <c r="C528" s="38" t="str">
        <f>IF($A528="","",'TO HOP NLAN'!$E84)</f>
        <v/>
      </c>
      <c r="D528" s="38" t="str">
        <f>IF($A528="","",'TO HOP NLAN'!$F84)</f>
        <v/>
      </c>
      <c r="E528" s="38" t="str">
        <f>IF($A528="","",'TO HOP NLAN'!$B84)</f>
        <v/>
      </c>
      <c r="F528" s="38" t="str">
        <f>IF($A528="","",'TO HOP NLAN'!$C84)</f>
        <v/>
      </c>
      <c r="G528" s="38" t="str">
        <f t="shared" si="84"/>
        <v/>
      </c>
      <c r="H528" s="38" t="str">
        <f t="shared" si="82"/>
        <v/>
      </c>
      <c r="I528" s="38" t="str">
        <f t="shared" si="85"/>
        <v/>
      </c>
      <c r="J528" s="38" t="str">
        <f t="shared" si="86"/>
        <v/>
      </c>
      <c r="K528" s="38" t="str">
        <f t="shared" si="87"/>
        <v/>
      </c>
      <c r="L528" s="38" t="str">
        <f t="shared" si="88"/>
        <v/>
      </c>
      <c r="M528" s="38" t="str">
        <f>IF($A528="","",IF(H528=0,"",IF(Q528&lt;=0.000000001,MIN(0.8*0.75*'KT THAN'!$C$62,MAX('KT THAN'!$J$38:$J$58)),IFERROR(MIN(0.8*0.75*'KT THAN'!$C$62,INDEX('KT THAN'!$J$38:$J$58,MATCH(Q528,'KT THAN'!$L$38:$L$58,-1))+(INDEX('KT THAN'!$J$38:$J$58,MIN(21,MATCH(Q528,'KT THAN'!$L$38:$L$58,-1)+1))-INDEX('KT THAN'!$J$38:$J$58,MATCH(Q528,'KT THAN'!$L$38:$L$58,-1)))*(Q528-INDEX('KT THAN'!$L$38:$L$58,MATCH(Q528,'KT THAN'!$L$38:$L$58,-1)))/(INDEX('KT THAN'!$L$38:$L$58,MIN(21,MATCH(Q528,'KT THAN'!$L$38:$L$58,-1)+1))-INDEX('KT THAN'!$L$38:$L$58,MATCH(Q528,'KT THAN'!$L$38:$L$58,-1)))),MIN(0.8*0.75*'KT THAN'!$C$62,'KT THAN'!$C$68/Q528)))))</f>
        <v/>
      </c>
      <c r="N528" s="38" t="str">
        <f>IF($A528="","",IF(H528=0,"",IF(R528&lt;=0.000000001,MIN(0.8*0.75*'KT THAN'!$C$62,MAX('KT THAN'!$W$38:$W$58)),IFERROR(MIN(0.8*0.75*'KT THAN'!$C$62,INDEX('KT THAN'!$W$38:$W$58,MATCH(R528,'KT THAN'!$Y$38:$Y$58,-1))+(INDEX('KT THAN'!$W$38:$W$58,MIN(21,MATCH(R528,'KT THAN'!$Y$38:$Y$58,-1)+1))-INDEX('KT THAN'!$W$38:$W$58,MATCH(R528,'KT THAN'!$Y$38:$Y$58,-1)))*(R528-INDEX('KT THAN'!$Y$38:$Y$58,MATCH(R528,'KT THAN'!$Y$38:$Y$58,-1)))/(INDEX('KT THAN'!$Y$38:$Y$58,MIN(21,MATCH(R528,'KT THAN'!$Y$38:$Y$58,-1)+1))-INDEX('KT THAN'!$Y$38:$Y$58,MATCH(R528,'KT THAN'!$Y$38:$Y$58,-1)))),MIN(0.8*0.75*'KT THAN'!$C$62,'KT THAN'!$D$68/R528)))))</f>
        <v/>
      </c>
      <c r="O528" s="38" t="str">
        <f>IF($A528="","",IF(H528&lt;0,ABS(H528)/MAX('KT THAN'!$C$69,0.001)+'KT THAN'!$C$32*ABS(J528)/MAX('KT THAN'!$C$68,0.001)+'KT THAN'!$D$32*ABS(I528)/MAX('KT THAN'!$D$68,0.001),IF(OR(M528&lt;=0,N528&lt;=0),999,IF(H528&gt;=0.1*0.75*fc_*Agth*1000,H528/MAX(0.001,1/(1/M528+1/N528-1/(0.75*'KT THAN'!$C$62))),'KT THAN'!$C$32*ABS(J528)/MAX('KT THAN'!$C$68,0.001)+'KT THAN'!$D$32*ABS(I528)/MAX('KT THAN'!$D$68,0.001)))))</f>
        <v/>
      </c>
      <c r="P528" s="37" t="str">
        <f t="shared" si="89"/>
        <v/>
      </c>
      <c r="Q528" s="38" t="str">
        <f>IF($A528="","",MAX(0.001,'KT THAN'!$C$32*ABS(J528)/MAX(1,H528)))</f>
        <v/>
      </c>
      <c r="R528" s="38" t="str">
        <f>IF($A528="","",MAX(0.001,'KT THAN'!$D$32*ABS(I528)/MAX(1,H528)))</f>
        <v/>
      </c>
      <c r="S528" t="str">
        <f t="shared" si="83"/>
        <v/>
      </c>
    </row>
    <row r="529" spans="1:19" hidden="1" outlineLevel="1" x14ac:dyDescent="0.3">
      <c r="A529" s="37" t="str">
        <f>IF(OR(nThan=1,'TO HOP NLAN'!$A85=""),"",'TO HOP NLAN'!$A85)</f>
        <v/>
      </c>
      <c r="B529" s="38" t="str">
        <f>IF($A529="","",'TO HOP NLAN'!$D85)</f>
        <v/>
      </c>
      <c r="C529" s="38" t="str">
        <f>IF($A529="","",'TO HOP NLAN'!$E85)</f>
        <v/>
      </c>
      <c r="D529" s="38" t="str">
        <f>IF($A529="","",'TO HOP NLAN'!$F85)</f>
        <v/>
      </c>
      <c r="E529" s="38" t="str">
        <f>IF($A529="","",'TO HOP NLAN'!$B85)</f>
        <v/>
      </c>
      <c r="F529" s="38" t="str">
        <f>IF($A529="","",'TO HOP NLAN'!$C85)</f>
        <v/>
      </c>
      <c r="G529" s="38" t="str">
        <f t="shared" si="84"/>
        <v/>
      </c>
      <c r="H529" s="38" t="str">
        <f t="shared" si="82"/>
        <v/>
      </c>
      <c r="I529" s="38" t="str">
        <f t="shared" si="85"/>
        <v/>
      </c>
      <c r="J529" s="38" t="str">
        <f t="shared" si="86"/>
        <v/>
      </c>
      <c r="K529" s="38" t="str">
        <f t="shared" si="87"/>
        <v/>
      </c>
      <c r="L529" s="38" t="str">
        <f t="shared" si="88"/>
        <v/>
      </c>
      <c r="M529" s="38" t="str">
        <f>IF($A529="","",IF(H529=0,"",IF(Q529&lt;=0.000000001,MIN(0.8*0.75*'KT THAN'!$C$62,MAX('KT THAN'!$J$38:$J$58)),IFERROR(MIN(0.8*0.75*'KT THAN'!$C$62,INDEX('KT THAN'!$J$38:$J$58,MATCH(Q529,'KT THAN'!$L$38:$L$58,-1))+(INDEX('KT THAN'!$J$38:$J$58,MIN(21,MATCH(Q529,'KT THAN'!$L$38:$L$58,-1)+1))-INDEX('KT THAN'!$J$38:$J$58,MATCH(Q529,'KT THAN'!$L$38:$L$58,-1)))*(Q529-INDEX('KT THAN'!$L$38:$L$58,MATCH(Q529,'KT THAN'!$L$38:$L$58,-1)))/(INDEX('KT THAN'!$L$38:$L$58,MIN(21,MATCH(Q529,'KT THAN'!$L$38:$L$58,-1)+1))-INDEX('KT THAN'!$L$38:$L$58,MATCH(Q529,'KT THAN'!$L$38:$L$58,-1)))),MIN(0.8*0.75*'KT THAN'!$C$62,'KT THAN'!$C$68/Q529)))))</f>
        <v/>
      </c>
      <c r="N529" s="38" t="str">
        <f>IF($A529="","",IF(H529=0,"",IF(R529&lt;=0.000000001,MIN(0.8*0.75*'KT THAN'!$C$62,MAX('KT THAN'!$W$38:$W$58)),IFERROR(MIN(0.8*0.75*'KT THAN'!$C$62,INDEX('KT THAN'!$W$38:$W$58,MATCH(R529,'KT THAN'!$Y$38:$Y$58,-1))+(INDEX('KT THAN'!$W$38:$W$58,MIN(21,MATCH(R529,'KT THAN'!$Y$38:$Y$58,-1)+1))-INDEX('KT THAN'!$W$38:$W$58,MATCH(R529,'KT THAN'!$Y$38:$Y$58,-1)))*(R529-INDEX('KT THAN'!$Y$38:$Y$58,MATCH(R529,'KT THAN'!$Y$38:$Y$58,-1)))/(INDEX('KT THAN'!$Y$38:$Y$58,MIN(21,MATCH(R529,'KT THAN'!$Y$38:$Y$58,-1)+1))-INDEX('KT THAN'!$Y$38:$Y$58,MATCH(R529,'KT THAN'!$Y$38:$Y$58,-1)))),MIN(0.8*0.75*'KT THAN'!$C$62,'KT THAN'!$D$68/R529)))))</f>
        <v/>
      </c>
      <c r="O529" s="38" t="str">
        <f>IF($A529="","",IF(H529&lt;0,ABS(H529)/MAX('KT THAN'!$C$69,0.001)+'KT THAN'!$C$32*ABS(J529)/MAX('KT THAN'!$C$68,0.001)+'KT THAN'!$D$32*ABS(I529)/MAX('KT THAN'!$D$68,0.001),IF(OR(M529&lt;=0,N529&lt;=0),999,IF(H529&gt;=0.1*0.75*fc_*Agth*1000,H529/MAX(0.001,1/(1/M529+1/N529-1/(0.75*'KT THAN'!$C$62))),'KT THAN'!$C$32*ABS(J529)/MAX('KT THAN'!$C$68,0.001)+'KT THAN'!$D$32*ABS(I529)/MAX('KT THAN'!$D$68,0.001)))))</f>
        <v/>
      </c>
      <c r="P529" s="37" t="str">
        <f t="shared" si="89"/>
        <v/>
      </c>
      <c r="Q529" s="38" t="str">
        <f>IF($A529="","",MAX(0.001,'KT THAN'!$C$32*ABS(J529)/MAX(1,H529)))</f>
        <v/>
      </c>
      <c r="R529" s="38" t="str">
        <f>IF($A529="","",MAX(0.001,'KT THAN'!$D$32*ABS(I529)/MAX(1,H529)))</f>
        <v/>
      </c>
      <c r="S529" t="str">
        <f t="shared" si="83"/>
        <v/>
      </c>
    </row>
    <row r="530" spans="1:19" hidden="1" outlineLevel="1" x14ac:dyDescent="0.3">
      <c r="A530" s="37" t="str">
        <f>IF(OR(nThan=1,'TO HOP NLAN'!$A86=""),"",'TO HOP NLAN'!$A86)</f>
        <v/>
      </c>
      <c r="B530" s="38" t="str">
        <f>IF($A530="","",'TO HOP NLAN'!$D86)</f>
        <v/>
      </c>
      <c r="C530" s="38" t="str">
        <f>IF($A530="","",'TO HOP NLAN'!$E86)</f>
        <v/>
      </c>
      <c r="D530" s="38" t="str">
        <f>IF($A530="","",'TO HOP NLAN'!$F86)</f>
        <v/>
      </c>
      <c r="E530" s="38" t="str">
        <f>IF($A530="","",'TO HOP NLAN'!$B86)</f>
        <v/>
      </c>
      <c r="F530" s="38" t="str">
        <f>IF($A530="","",'TO HOP NLAN'!$C86)</f>
        <v/>
      </c>
      <c r="G530" s="38" t="str">
        <f t="shared" si="84"/>
        <v/>
      </c>
      <c r="H530" s="38" t="str">
        <f t="shared" si="82"/>
        <v/>
      </c>
      <c r="I530" s="38" t="str">
        <f t="shared" si="85"/>
        <v/>
      </c>
      <c r="J530" s="38" t="str">
        <f t="shared" si="86"/>
        <v/>
      </c>
      <c r="K530" s="38" t="str">
        <f t="shared" si="87"/>
        <v/>
      </c>
      <c r="L530" s="38" t="str">
        <f t="shared" si="88"/>
        <v/>
      </c>
      <c r="M530" s="38" t="str">
        <f>IF($A530="","",IF(H530=0,"",IF(Q530&lt;=0.000000001,MIN(0.8*0.75*'KT THAN'!$C$62,MAX('KT THAN'!$J$38:$J$58)),IFERROR(MIN(0.8*0.75*'KT THAN'!$C$62,INDEX('KT THAN'!$J$38:$J$58,MATCH(Q530,'KT THAN'!$L$38:$L$58,-1))+(INDEX('KT THAN'!$J$38:$J$58,MIN(21,MATCH(Q530,'KT THAN'!$L$38:$L$58,-1)+1))-INDEX('KT THAN'!$J$38:$J$58,MATCH(Q530,'KT THAN'!$L$38:$L$58,-1)))*(Q530-INDEX('KT THAN'!$L$38:$L$58,MATCH(Q530,'KT THAN'!$L$38:$L$58,-1)))/(INDEX('KT THAN'!$L$38:$L$58,MIN(21,MATCH(Q530,'KT THAN'!$L$38:$L$58,-1)+1))-INDEX('KT THAN'!$L$38:$L$58,MATCH(Q530,'KT THAN'!$L$38:$L$58,-1)))),MIN(0.8*0.75*'KT THAN'!$C$62,'KT THAN'!$C$68/Q530)))))</f>
        <v/>
      </c>
      <c r="N530" s="38" t="str">
        <f>IF($A530="","",IF(H530=0,"",IF(R530&lt;=0.000000001,MIN(0.8*0.75*'KT THAN'!$C$62,MAX('KT THAN'!$W$38:$W$58)),IFERROR(MIN(0.8*0.75*'KT THAN'!$C$62,INDEX('KT THAN'!$W$38:$W$58,MATCH(R530,'KT THAN'!$Y$38:$Y$58,-1))+(INDEX('KT THAN'!$W$38:$W$58,MIN(21,MATCH(R530,'KT THAN'!$Y$38:$Y$58,-1)+1))-INDEX('KT THAN'!$W$38:$W$58,MATCH(R530,'KT THAN'!$Y$38:$Y$58,-1)))*(R530-INDEX('KT THAN'!$Y$38:$Y$58,MATCH(R530,'KT THAN'!$Y$38:$Y$58,-1)))/(INDEX('KT THAN'!$Y$38:$Y$58,MIN(21,MATCH(R530,'KT THAN'!$Y$38:$Y$58,-1)+1))-INDEX('KT THAN'!$Y$38:$Y$58,MATCH(R530,'KT THAN'!$Y$38:$Y$58,-1)))),MIN(0.8*0.75*'KT THAN'!$C$62,'KT THAN'!$D$68/R530)))))</f>
        <v/>
      </c>
      <c r="O530" s="38" t="str">
        <f>IF($A530="","",IF(H530&lt;0,ABS(H530)/MAX('KT THAN'!$C$69,0.001)+'KT THAN'!$C$32*ABS(J530)/MAX('KT THAN'!$C$68,0.001)+'KT THAN'!$D$32*ABS(I530)/MAX('KT THAN'!$D$68,0.001),IF(OR(M530&lt;=0,N530&lt;=0),999,IF(H530&gt;=0.1*0.75*fc_*Agth*1000,H530/MAX(0.001,1/(1/M530+1/N530-1/(0.75*'KT THAN'!$C$62))),'KT THAN'!$C$32*ABS(J530)/MAX('KT THAN'!$C$68,0.001)+'KT THAN'!$D$32*ABS(I530)/MAX('KT THAN'!$D$68,0.001)))))</f>
        <v/>
      </c>
      <c r="P530" s="37" t="str">
        <f t="shared" si="89"/>
        <v/>
      </c>
      <c r="Q530" s="38" t="str">
        <f>IF($A530="","",MAX(0.001,'KT THAN'!$C$32*ABS(J530)/MAX(1,H530)))</f>
        <v/>
      </c>
      <c r="R530" s="38" t="str">
        <f>IF($A530="","",MAX(0.001,'KT THAN'!$D$32*ABS(I530)/MAX(1,H530)))</f>
        <v/>
      </c>
      <c r="S530" t="str">
        <f t="shared" si="83"/>
        <v/>
      </c>
    </row>
    <row r="531" spans="1:19" hidden="1" outlineLevel="1" x14ac:dyDescent="0.3">
      <c r="A531" s="37" t="str">
        <f>IF(OR(nThan=1,'TO HOP NLAN'!$A87=""),"",'TO HOP NLAN'!$A87)</f>
        <v/>
      </c>
      <c r="B531" s="38" t="str">
        <f>IF($A531="","",'TO HOP NLAN'!$D87)</f>
        <v/>
      </c>
      <c r="C531" s="38" t="str">
        <f>IF($A531="","",'TO HOP NLAN'!$E87)</f>
        <v/>
      </c>
      <c r="D531" s="38" t="str">
        <f>IF($A531="","",'TO HOP NLAN'!$F87)</f>
        <v/>
      </c>
      <c r="E531" s="38" t="str">
        <f>IF($A531="","",'TO HOP NLAN'!$B87)</f>
        <v/>
      </c>
      <c r="F531" s="38" t="str">
        <f>IF($A531="","",'TO HOP NLAN'!$C87)</f>
        <v/>
      </c>
      <c r="G531" s="38" t="str">
        <f t="shared" si="84"/>
        <v/>
      </c>
      <c r="H531" s="38" t="str">
        <f t="shared" si="82"/>
        <v/>
      </c>
      <c r="I531" s="38" t="str">
        <f t="shared" si="85"/>
        <v/>
      </c>
      <c r="J531" s="38" t="str">
        <f t="shared" si="86"/>
        <v/>
      </c>
      <c r="K531" s="38" t="str">
        <f t="shared" si="87"/>
        <v/>
      </c>
      <c r="L531" s="38" t="str">
        <f t="shared" si="88"/>
        <v/>
      </c>
      <c r="M531" s="38" t="str">
        <f>IF($A531="","",IF(H531=0,"",IF(Q531&lt;=0.000000001,MIN(0.8*0.75*'KT THAN'!$C$62,MAX('KT THAN'!$J$38:$J$58)),IFERROR(MIN(0.8*0.75*'KT THAN'!$C$62,INDEX('KT THAN'!$J$38:$J$58,MATCH(Q531,'KT THAN'!$L$38:$L$58,-1))+(INDEX('KT THAN'!$J$38:$J$58,MIN(21,MATCH(Q531,'KT THAN'!$L$38:$L$58,-1)+1))-INDEX('KT THAN'!$J$38:$J$58,MATCH(Q531,'KT THAN'!$L$38:$L$58,-1)))*(Q531-INDEX('KT THAN'!$L$38:$L$58,MATCH(Q531,'KT THAN'!$L$38:$L$58,-1)))/(INDEX('KT THAN'!$L$38:$L$58,MIN(21,MATCH(Q531,'KT THAN'!$L$38:$L$58,-1)+1))-INDEX('KT THAN'!$L$38:$L$58,MATCH(Q531,'KT THAN'!$L$38:$L$58,-1)))),MIN(0.8*0.75*'KT THAN'!$C$62,'KT THAN'!$C$68/Q531)))))</f>
        <v/>
      </c>
      <c r="N531" s="38" t="str">
        <f>IF($A531="","",IF(H531=0,"",IF(R531&lt;=0.000000001,MIN(0.8*0.75*'KT THAN'!$C$62,MAX('KT THAN'!$W$38:$W$58)),IFERROR(MIN(0.8*0.75*'KT THAN'!$C$62,INDEX('KT THAN'!$W$38:$W$58,MATCH(R531,'KT THAN'!$Y$38:$Y$58,-1))+(INDEX('KT THAN'!$W$38:$W$58,MIN(21,MATCH(R531,'KT THAN'!$Y$38:$Y$58,-1)+1))-INDEX('KT THAN'!$W$38:$W$58,MATCH(R531,'KT THAN'!$Y$38:$Y$58,-1)))*(R531-INDEX('KT THAN'!$Y$38:$Y$58,MATCH(R531,'KT THAN'!$Y$38:$Y$58,-1)))/(INDEX('KT THAN'!$Y$38:$Y$58,MIN(21,MATCH(R531,'KT THAN'!$Y$38:$Y$58,-1)+1))-INDEX('KT THAN'!$Y$38:$Y$58,MATCH(R531,'KT THAN'!$Y$38:$Y$58,-1)))),MIN(0.8*0.75*'KT THAN'!$C$62,'KT THAN'!$D$68/R531)))))</f>
        <v/>
      </c>
      <c r="O531" s="38" t="str">
        <f>IF($A531="","",IF(H531&lt;0,ABS(H531)/MAX('KT THAN'!$C$69,0.001)+'KT THAN'!$C$32*ABS(J531)/MAX('KT THAN'!$C$68,0.001)+'KT THAN'!$D$32*ABS(I531)/MAX('KT THAN'!$D$68,0.001),IF(OR(M531&lt;=0,N531&lt;=0),999,IF(H531&gt;=0.1*0.75*fc_*Agth*1000,H531/MAX(0.001,1/(1/M531+1/N531-1/(0.75*'KT THAN'!$C$62))),'KT THAN'!$C$32*ABS(J531)/MAX('KT THAN'!$C$68,0.001)+'KT THAN'!$D$32*ABS(I531)/MAX('KT THAN'!$D$68,0.001)))))</f>
        <v/>
      </c>
      <c r="P531" s="37" t="str">
        <f t="shared" si="89"/>
        <v/>
      </c>
      <c r="Q531" s="38" t="str">
        <f>IF($A531="","",MAX(0.001,'KT THAN'!$C$32*ABS(J531)/MAX(1,H531)))</f>
        <v/>
      </c>
      <c r="R531" s="38" t="str">
        <f>IF($A531="","",MAX(0.001,'KT THAN'!$D$32*ABS(I531)/MAX(1,H531)))</f>
        <v/>
      </c>
      <c r="S531" t="str">
        <f t="shared" si="83"/>
        <v/>
      </c>
    </row>
    <row r="532" spans="1:19" hidden="1" outlineLevel="1" x14ac:dyDescent="0.3">
      <c r="A532" s="37" t="str">
        <f>IF(OR(nThan=1,'TO HOP NLAN'!$A88=""),"",'TO HOP NLAN'!$A88)</f>
        <v/>
      </c>
      <c r="B532" s="38" t="str">
        <f>IF($A532="","",'TO HOP NLAN'!$D88)</f>
        <v/>
      </c>
      <c r="C532" s="38" t="str">
        <f>IF($A532="","",'TO HOP NLAN'!$E88)</f>
        <v/>
      </c>
      <c r="D532" s="38" t="str">
        <f>IF($A532="","",'TO HOP NLAN'!$F88)</f>
        <v/>
      </c>
      <c r="E532" s="38" t="str">
        <f>IF($A532="","",'TO HOP NLAN'!$B88)</f>
        <v/>
      </c>
      <c r="F532" s="38" t="str">
        <f>IF($A532="","",'TO HOP NLAN'!$C88)</f>
        <v/>
      </c>
      <c r="G532" s="38" t="str">
        <f t="shared" si="84"/>
        <v/>
      </c>
      <c r="H532" s="38" t="str">
        <f t="shared" si="82"/>
        <v/>
      </c>
      <c r="I532" s="38" t="str">
        <f t="shared" si="85"/>
        <v/>
      </c>
      <c r="J532" s="38" t="str">
        <f t="shared" si="86"/>
        <v/>
      </c>
      <c r="K532" s="38" t="str">
        <f t="shared" si="87"/>
        <v/>
      </c>
      <c r="L532" s="38" t="str">
        <f t="shared" si="88"/>
        <v/>
      </c>
      <c r="M532" s="38" t="str">
        <f>IF($A532="","",IF(H532=0,"",IF(Q532&lt;=0.000000001,MIN(0.8*0.75*'KT THAN'!$C$62,MAX('KT THAN'!$J$38:$J$58)),IFERROR(MIN(0.8*0.75*'KT THAN'!$C$62,INDEX('KT THAN'!$J$38:$J$58,MATCH(Q532,'KT THAN'!$L$38:$L$58,-1))+(INDEX('KT THAN'!$J$38:$J$58,MIN(21,MATCH(Q532,'KT THAN'!$L$38:$L$58,-1)+1))-INDEX('KT THAN'!$J$38:$J$58,MATCH(Q532,'KT THAN'!$L$38:$L$58,-1)))*(Q532-INDEX('KT THAN'!$L$38:$L$58,MATCH(Q532,'KT THAN'!$L$38:$L$58,-1)))/(INDEX('KT THAN'!$L$38:$L$58,MIN(21,MATCH(Q532,'KT THAN'!$L$38:$L$58,-1)+1))-INDEX('KT THAN'!$L$38:$L$58,MATCH(Q532,'KT THAN'!$L$38:$L$58,-1)))),MIN(0.8*0.75*'KT THAN'!$C$62,'KT THAN'!$C$68/Q532)))))</f>
        <v/>
      </c>
      <c r="N532" s="38" t="str">
        <f>IF($A532="","",IF(H532=0,"",IF(R532&lt;=0.000000001,MIN(0.8*0.75*'KT THAN'!$C$62,MAX('KT THAN'!$W$38:$W$58)),IFERROR(MIN(0.8*0.75*'KT THAN'!$C$62,INDEX('KT THAN'!$W$38:$W$58,MATCH(R532,'KT THAN'!$Y$38:$Y$58,-1))+(INDEX('KT THAN'!$W$38:$W$58,MIN(21,MATCH(R532,'KT THAN'!$Y$38:$Y$58,-1)+1))-INDEX('KT THAN'!$W$38:$W$58,MATCH(R532,'KT THAN'!$Y$38:$Y$58,-1)))*(R532-INDEX('KT THAN'!$Y$38:$Y$58,MATCH(R532,'KT THAN'!$Y$38:$Y$58,-1)))/(INDEX('KT THAN'!$Y$38:$Y$58,MIN(21,MATCH(R532,'KT THAN'!$Y$38:$Y$58,-1)+1))-INDEX('KT THAN'!$Y$38:$Y$58,MATCH(R532,'KT THAN'!$Y$38:$Y$58,-1)))),MIN(0.8*0.75*'KT THAN'!$C$62,'KT THAN'!$D$68/R532)))))</f>
        <v/>
      </c>
      <c r="O532" s="38" t="str">
        <f>IF($A532="","",IF(H532&lt;0,ABS(H532)/MAX('KT THAN'!$C$69,0.001)+'KT THAN'!$C$32*ABS(J532)/MAX('KT THAN'!$C$68,0.001)+'KT THAN'!$D$32*ABS(I532)/MAX('KT THAN'!$D$68,0.001),IF(OR(M532&lt;=0,N532&lt;=0),999,IF(H532&gt;=0.1*0.75*fc_*Agth*1000,H532/MAX(0.001,1/(1/M532+1/N532-1/(0.75*'KT THAN'!$C$62))),'KT THAN'!$C$32*ABS(J532)/MAX('KT THAN'!$C$68,0.001)+'KT THAN'!$D$32*ABS(I532)/MAX('KT THAN'!$D$68,0.001)))))</f>
        <v/>
      </c>
      <c r="P532" s="37" t="str">
        <f t="shared" si="89"/>
        <v/>
      </c>
      <c r="Q532" s="38" t="str">
        <f>IF($A532="","",MAX(0.001,'KT THAN'!$C$32*ABS(J532)/MAX(1,H532)))</f>
        <v/>
      </c>
      <c r="R532" s="38" t="str">
        <f>IF($A532="","",MAX(0.001,'KT THAN'!$D$32*ABS(I532)/MAX(1,H532)))</f>
        <v/>
      </c>
      <c r="S532" t="str">
        <f t="shared" si="83"/>
        <v/>
      </c>
    </row>
    <row r="533" spans="1:19" hidden="1" outlineLevel="1" x14ac:dyDescent="0.3">
      <c r="A533" s="37" t="str">
        <f>IF(OR(nThan=1,'TO HOP NLAN'!$A89=""),"",'TO HOP NLAN'!$A89)</f>
        <v/>
      </c>
      <c r="B533" s="38" t="str">
        <f>IF($A533="","",'TO HOP NLAN'!$D89)</f>
        <v/>
      </c>
      <c r="C533" s="38" t="str">
        <f>IF($A533="","",'TO HOP NLAN'!$E89)</f>
        <v/>
      </c>
      <c r="D533" s="38" t="str">
        <f>IF($A533="","",'TO HOP NLAN'!$F89)</f>
        <v/>
      </c>
      <c r="E533" s="38" t="str">
        <f>IF($A533="","",'TO HOP NLAN'!$B89)</f>
        <v/>
      </c>
      <c r="F533" s="38" t="str">
        <f>IF($A533="","",'TO HOP NLAN'!$C89)</f>
        <v/>
      </c>
      <c r="G533" s="38" t="str">
        <f t="shared" si="84"/>
        <v/>
      </c>
      <c r="H533" s="38" t="str">
        <f t="shared" si="82"/>
        <v/>
      </c>
      <c r="I533" s="38" t="str">
        <f t="shared" si="85"/>
        <v/>
      </c>
      <c r="J533" s="38" t="str">
        <f t="shared" si="86"/>
        <v/>
      </c>
      <c r="K533" s="38" t="str">
        <f t="shared" si="87"/>
        <v/>
      </c>
      <c r="L533" s="38" t="str">
        <f t="shared" si="88"/>
        <v/>
      </c>
      <c r="M533" s="38" t="str">
        <f>IF($A533="","",IF(H533=0,"",IF(Q533&lt;=0.000000001,MIN(0.8*0.75*'KT THAN'!$C$62,MAX('KT THAN'!$J$38:$J$58)),IFERROR(MIN(0.8*0.75*'KT THAN'!$C$62,INDEX('KT THAN'!$J$38:$J$58,MATCH(Q533,'KT THAN'!$L$38:$L$58,-1))+(INDEX('KT THAN'!$J$38:$J$58,MIN(21,MATCH(Q533,'KT THAN'!$L$38:$L$58,-1)+1))-INDEX('KT THAN'!$J$38:$J$58,MATCH(Q533,'KT THAN'!$L$38:$L$58,-1)))*(Q533-INDEX('KT THAN'!$L$38:$L$58,MATCH(Q533,'KT THAN'!$L$38:$L$58,-1)))/(INDEX('KT THAN'!$L$38:$L$58,MIN(21,MATCH(Q533,'KT THAN'!$L$38:$L$58,-1)+1))-INDEX('KT THAN'!$L$38:$L$58,MATCH(Q533,'KT THAN'!$L$38:$L$58,-1)))),MIN(0.8*0.75*'KT THAN'!$C$62,'KT THAN'!$C$68/Q533)))))</f>
        <v/>
      </c>
      <c r="N533" s="38" t="str">
        <f>IF($A533="","",IF(H533=0,"",IF(R533&lt;=0.000000001,MIN(0.8*0.75*'KT THAN'!$C$62,MAX('KT THAN'!$W$38:$W$58)),IFERROR(MIN(0.8*0.75*'KT THAN'!$C$62,INDEX('KT THAN'!$W$38:$W$58,MATCH(R533,'KT THAN'!$Y$38:$Y$58,-1))+(INDEX('KT THAN'!$W$38:$W$58,MIN(21,MATCH(R533,'KT THAN'!$Y$38:$Y$58,-1)+1))-INDEX('KT THAN'!$W$38:$W$58,MATCH(R533,'KT THAN'!$Y$38:$Y$58,-1)))*(R533-INDEX('KT THAN'!$Y$38:$Y$58,MATCH(R533,'KT THAN'!$Y$38:$Y$58,-1)))/(INDEX('KT THAN'!$Y$38:$Y$58,MIN(21,MATCH(R533,'KT THAN'!$Y$38:$Y$58,-1)+1))-INDEX('KT THAN'!$Y$38:$Y$58,MATCH(R533,'KT THAN'!$Y$38:$Y$58,-1)))),MIN(0.8*0.75*'KT THAN'!$C$62,'KT THAN'!$D$68/R533)))))</f>
        <v/>
      </c>
      <c r="O533" s="38" t="str">
        <f>IF($A533="","",IF(H533&lt;0,ABS(H533)/MAX('KT THAN'!$C$69,0.001)+'KT THAN'!$C$32*ABS(J533)/MAX('KT THAN'!$C$68,0.001)+'KT THAN'!$D$32*ABS(I533)/MAX('KT THAN'!$D$68,0.001),IF(OR(M533&lt;=0,N533&lt;=0),999,IF(H533&gt;=0.1*0.75*fc_*Agth*1000,H533/MAX(0.001,1/(1/M533+1/N533-1/(0.75*'KT THAN'!$C$62))),'KT THAN'!$C$32*ABS(J533)/MAX('KT THAN'!$C$68,0.001)+'KT THAN'!$D$32*ABS(I533)/MAX('KT THAN'!$D$68,0.001)))))</f>
        <v/>
      </c>
      <c r="P533" s="37" t="str">
        <f t="shared" si="89"/>
        <v/>
      </c>
      <c r="Q533" s="38" t="str">
        <f>IF($A533="","",MAX(0.001,'KT THAN'!$C$32*ABS(J533)/MAX(1,H533)))</f>
        <v/>
      </c>
      <c r="R533" s="38" t="str">
        <f>IF($A533="","",MAX(0.001,'KT THAN'!$D$32*ABS(I533)/MAX(1,H533)))</f>
        <v/>
      </c>
      <c r="S533" t="str">
        <f t="shared" si="83"/>
        <v/>
      </c>
    </row>
    <row r="534" spans="1:19" hidden="1" outlineLevel="1" x14ac:dyDescent="0.3">
      <c r="A534" s="37" t="str">
        <f>IF(OR(nThan=1,'TO HOP NLAN'!$A90=""),"",'TO HOP NLAN'!$A90)</f>
        <v/>
      </c>
      <c r="B534" s="38" t="str">
        <f>IF($A534="","",'TO HOP NLAN'!$D90)</f>
        <v/>
      </c>
      <c r="C534" s="38" t="str">
        <f>IF($A534="","",'TO HOP NLAN'!$E90)</f>
        <v/>
      </c>
      <c r="D534" s="38" t="str">
        <f>IF($A534="","",'TO HOP NLAN'!$F90)</f>
        <v/>
      </c>
      <c r="E534" s="38" t="str">
        <f>IF($A534="","",'TO HOP NLAN'!$B90)</f>
        <v/>
      </c>
      <c r="F534" s="38" t="str">
        <f>IF($A534="","",'TO HOP NLAN'!$C90)</f>
        <v/>
      </c>
      <c r="G534" s="38" t="str">
        <f t="shared" si="84"/>
        <v/>
      </c>
      <c r="H534" s="38" t="str">
        <f t="shared" si="82"/>
        <v/>
      </c>
      <c r="I534" s="38" t="str">
        <f t="shared" si="85"/>
        <v/>
      </c>
      <c r="J534" s="38" t="str">
        <f t="shared" si="86"/>
        <v/>
      </c>
      <c r="K534" s="38" t="str">
        <f t="shared" si="87"/>
        <v/>
      </c>
      <c r="L534" s="38" t="str">
        <f t="shared" si="88"/>
        <v/>
      </c>
      <c r="M534" s="38" t="str">
        <f>IF($A534="","",IF(H534=0,"",IF(Q534&lt;=0.000000001,MIN(0.8*0.75*'KT THAN'!$C$62,MAX('KT THAN'!$J$38:$J$58)),IFERROR(MIN(0.8*0.75*'KT THAN'!$C$62,INDEX('KT THAN'!$J$38:$J$58,MATCH(Q534,'KT THAN'!$L$38:$L$58,-1))+(INDEX('KT THAN'!$J$38:$J$58,MIN(21,MATCH(Q534,'KT THAN'!$L$38:$L$58,-1)+1))-INDEX('KT THAN'!$J$38:$J$58,MATCH(Q534,'KT THAN'!$L$38:$L$58,-1)))*(Q534-INDEX('KT THAN'!$L$38:$L$58,MATCH(Q534,'KT THAN'!$L$38:$L$58,-1)))/(INDEX('KT THAN'!$L$38:$L$58,MIN(21,MATCH(Q534,'KT THAN'!$L$38:$L$58,-1)+1))-INDEX('KT THAN'!$L$38:$L$58,MATCH(Q534,'KT THAN'!$L$38:$L$58,-1)))),MIN(0.8*0.75*'KT THAN'!$C$62,'KT THAN'!$C$68/Q534)))))</f>
        <v/>
      </c>
      <c r="N534" s="38" t="str">
        <f>IF($A534="","",IF(H534=0,"",IF(R534&lt;=0.000000001,MIN(0.8*0.75*'KT THAN'!$C$62,MAX('KT THAN'!$W$38:$W$58)),IFERROR(MIN(0.8*0.75*'KT THAN'!$C$62,INDEX('KT THAN'!$W$38:$W$58,MATCH(R534,'KT THAN'!$Y$38:$Y$58,-1))+(INDEX('KT THAN'!$W$38:$W$58,MIN(21,MATCH(R534,'KT THAN'!$Y$38:$Y$58,-1)+1))-INDEX('KT THAN'!$W$38:$W$58,MATCH(R534,'KT THAN'!$Y$38:$Y$58,-1)))*(R534-INDEX('KT THAN'!$Y$38:$Y$58,MATCH(R534,'KT THAN'!$Y$38:$Y$58,-1)))/(INDEX('KT THAN'!$Y$38:$Y$58,MIN(21,MATCH(R534,'KT THAN'!$Y$38:$Y$58,-1)+1))-INDEX('KT THAN'!$Y$38:$Y$58,MATCH(R534,'KT THAN'!$Y$38:$Y$58,-1)))),MIN(0.8*0.75*'KT THAN'!$C$62,'KT THAN'!$D$68/R534)))))</f>
        <v/>
      </c>
      <c r="O534" s="38" t="str">
        <f>IF($A534="","",IF(H534&lt;0,ABS(H534)/MAX('KT THAN'!$C$69,0.001)+'KT THAN'!$C$32*ABS(J534)/MAX('KT THAN'!$C$68,0.001)+'KT THAN'!$D$32*ABS(I534)/MAX('KT THAN'!$D$68,0.001),IF(OR(M534&lt;=0,N534&lt;=0),999,IF(H534&gt;=0.1*0.75*fc_*Agth*1000,H534/MAX(0.001,1/(1/M534+1/N534-1/(0.75*'KT THAN'!$C$62))),'KT THAN'!$C$32*ABS(J534)/MAX('KT THAN'!$C$68,0.001)+'KT THAN'!$D$32*ABS(I534)/MAX('KT THAN'!$D$68,0.001)))))</f>
        <v/>
      </c>
      <c r="P534" s="37" t="str">
        <f t="shared" si="89"/>
        <v/>
      </c>
      <c r="Q534" s="38" t="str">
        <f>IF($A534="","",MAX(0.001,'KT THAN'!$C$32*ABS(J534)/MAX(1,H534)))</f>
        <v/>
      </c>
      <c r="R534" s="38" t="str">
        <f>IF($A534="","",MAX(0.001,'KT THAN'!$D$32*ABS(I534)/MAX(1,H534)))</f>
        <v/>
      </c>
      <c r="S534" t="str">
        <f t="shared" si="83"/>
        <v/>
      </c>
    </row>
    <row r="535" spans="1:19" hidden="1" outlineLevel="1" x14ac:dyDescent="0.3">
      <c r="A535" s="37" t="str">
        <f>IF(OR(nThan=1,'TO HOP NLAN'!$A91=""),"",'TO HOP NLAN'!$A91)</f>
        <v/>
      </c>
      <c r="B535" s="38" t="str">
        <f>IF($A535="","",'TO HOP NLAN'!$D91)</f>
        <v/>
      </c>
      <c r="C535" s="38" t="str">
        <f>IF($A535="","",'TO HOP NLAN'!$E91)</f>
        <v/>
      </c>
      <c r="D535" s="38" t="str">
        <f>IF($A535="","",'TO HOP NLAN'!$F91)</f>
        <v/>
      </c>
      <c r="E535" s="38" t="str">
        <f>IF($A535="","",'TO HOP NLAN'!$B91)</f>
        <v/>
      </c>
      <c r="F535" s="38" t="str">
        <f>IF($A535="","",'TO HOP NLAN'!$C91)</f>
        <v/>
      </c>
      <c r="G535" s="38" t="str">
        <f t="shared" si="84"/>
        <v/>
      </c>
      <c r="H535" s="38" t="str">
        <f t="shared" si="82"/>
        <v/>
      </c>
      <c r="I535" s="38" t="str">
        <f t="shared" si="85"/>
        <v/>
      </c>
      <c r="J535" s="38" t="str">
        <f t="shared" si="86"/>
        <v/>
      </c>
      <c r="K535" s="38" t="str">
        <f t="shared" si="87"/>
        <v/>
      </c>
      <c r="L535" s="38" t="str">
        <f t="shared" si="88"/>
        <v/>
      </c>
      <c r="M535" s="38" t="str">
        <f>IF($A535="","",IF(H535=0,"",IF(Q535&lt;=0.000000001,MIN(0.8*0.75*'KT THAN'!$C$62,MAX('KT THAN'!$J$38:$J$58)),IFERROR(MIN(0.8*0.75*'KT THAN'!$C$62,INDEX('KT THAN'!$J$38:$J$58,MATCH(Q535,'KT THAN'!$L$38:$L$58,-1))+(INDEX('KT THAN'!$J$38:$J$58,MIN(21,MATCH(Q535,'KT THAN'!$L$38:$L$58,-1)+1))-INDEX('KT THAN'!$J$38:$J$58,MATCH(Q535,'KT THAN'!$L$38:$L$58,-1)))*(Q535-INDEX('KT THAN'!$L$38:$L$58,MATCH(Q535,'KT THAN'!$L$38:$L$58,-1)))/(INDEX('KT THAN'!$L$38:$L$58,MIN(21,MATCH(Q535,'KT THAN'!$L$38:$L$58,-1)+1))-INDEX('KT THAN'!$L$38:$L$58,MATCH(Q535,'KT THAN'!$L$38:$L$58,-1)))),MIN(0.8*0.75*'KT THAN'!$C$62,'KT THAN'!$C$68/Q535)))))</f>
        <v/>
      </c>
      <c r="N535" s="38" t="str">
        <f>IF($A535="","",IF(H535=0,"",IF(R535&lt;=0.000000001,MIN(0.8*0.75*'KT THAN'!$C$62,MAX('KT THAN'!$W$38:$W$58)),IFERROR(MIN(0.8*0.75*'KT THAN'!$C$62,INDEX('KT THAN'!$W$38:$W$58,MATCH(R535,'KT THAN'!$Y$38:$Y$58,-1))+(INDEX('KT THAN'!$W$38:$W$58,MIN(21,MATCH(R535,'KT THAN'!$Y$38:$Y$58,-1)+1))-INDEX('KT THAN'!$W$38:$W$58,MATCH(R535,'KT THAN'!$Y$38:$Y$58,-1)))*(R535-INDEX('KT THAN'!$Y$38:$Y$58,MATCH(R535,'KT THAN'!$Y$38:$Y$58,-1)))/(INDEX('KT THAN'!$Y$38:$Y$58,MIN(21,MATCH(R535,'KT THAN'!$Y$38:$Y$58,-1)+1))-INDEX('KT THAN'!$Y$38:$Y$58,MATCH(R535,'KT THAN'!$Y$38:$Y$58,-1)))),MIN(0.8*0.75*'KT THAN'!$C$62,'KT THAN'!$D$68/R535)))))</f>
        <v/>
      </c>
      <c r="O535" s="38" t="str">
        <f>IF($A535="","",IF(H535&lt;0,ABS(H535)/MAX('KT THAN'!$C$69,0.001)+'KT THAN'!$C$32*ABS(J535)/MAX('KT THAN'!$C$68,0.001)+'KT THAN'!$D$32*ABS(I535)/MAX('KT THAN'!$D$68,0.001),IF(OR(M535&lt;=0,N535&lt;=0),999,IF(H535&gt;=0.1*0.75*fc_*Agth*1000,H535/MAX(0.001,1/(1/M535+1/N535-1/(0.75*'KT THAN'!$C$62))),'KT THAN'!$C$32*ABS(J535)/MAX('KT THAN'!$C$68,0.001)+'KT THAN'!$D$32*ABS(I535)/MAX('KT THAN'!$D$68,0.001)))))</f>
        <v/>
      </c>
      <c r="P535" s="37" t="str">
        <f t="shared" si="89"/>
        <v/>
      </c>
      <c r="Q535" s="38" t="str">
        <f>IF($A535="","",MAX(0.001,'KT THAN'!$C$32*ABS(J535)/MAX(1,H535)))</f>
        <v/>
      </c>
      <c r="R535" s="38" t="str">
        <f>IF($A535="","",MAX(0.001,'KT THAN'!$D$32*ABS(I535)/MAX(1,H535)))</f>
        <v/>
      </c>
      <c r="S535" t="str">
        <f t="shared" si="83"/>
        <v/>
      </c>
    </row>
    <row r="536" spans="1:19" hidden="1" outlineLevel="1" x14ac:dyDescent="0.3">
      <c r="A536" s="37" t="str">
        <f>IF(OR(nThan=1,'TO HOP NLAN'!$A92=""),"",'TO HOP NLAN'!$A92)</f>
        <v/>
      </c>
      <c r="B536" s="38" t="str">
        <f>IF($A536="","",'TO HOP NLAN'!$D92)</f>
        <v/>
      </c>
      <c r="C536" s="38" t="str">
        <f>IF($A536="","",'TO HOP NLAN'!$E92)</f>
        <v/>
      </c>
      <c r="D536" s="38" t="str">
        <f>IF($A536="","",'TO HOP NLAN'!$F92)</f>
        <v/>
      </c>
      <c r="E536" s="38" t="str">
        <f>IF($A536="","",'TO HOP NLAN'!$B92)</f>
        <v/>
      </c>
      <c r="F536" s="38" t="str">
        <f>IF($A536="","",'TO HOP NLAN'!$C92)</f>
        <v/>
      </c>
      <c r="G536" s="38" t="str">
        <f t="shared" si="84"/>
        <v/>
      </c>
      <c r="H536" s="38" t="str">
        <f t="shared" si="82"/>
        <v/>
      </c>
      <c r="I536" s="38" t="str">
        <f t="shared" si="85"/>
        <v/>
      </c>
      <c r="J536" s="38" t="str">
        <f t="shared" si="86"/>
        <v/>
      </c>
      <c r="K536" s="38" t="str">
        <f t="shared" si="87"/>
        <v/>
      </c>
      <c r="L536" s="38" t="str">
        <f t="shared" si="88"/>
        <v/>
      </c>
      <c r="M536" s="38" t="str">
        <f>IF($A536="","",IF(H536=0,"",IF(Q536&lt;=0.000000001,MIN(0.8*0.75*'KT THAN'!$C$62,MAX('KT THAN'!$J$38:$J$58)),IFERROR(MIN(0.8*0.75*'KT THAN'!$C$62,INDEX('KT THAN'!$J$38:$J$58,MATCH(Q536,'KT THAN'!$L$38:$L$58,-1))+(INDEX('KT THAN'!$J$38:$J$58,MIN(21,MATCH(Q536,'KT THAN'!$L$38:$L$58,-1)+1))-INDEX('KT THAN'!$J$38:$J$58,MATCH(Q536,'KT THAN'!$L$38:$L$58,-1)))*(Q536-INDEX('KT THAN'!$L$38:$L$58,MATCH(Q536,'KT THAN'!$L$38:$L$58,-1)))/(INDEX('KT THAN'!$L$38:$L$58,MIN(21,MATCH(Q536,'KT THAN'!$L$38:$L$58,-1)+1))-INDEX('KT THAN'!$L$38:$L$58,MATCH(Q536,'KT THAN'!$L$38:$L$58,-1)))),MIN(0.8*0.75*'KT THAN'!$C$62,'KT THAN'!$C$68/Q536)))))</f>
        <v/>
      </c>
      <c r="N536" s="38" t="str">
        <f>IF($A536="","",IF(H536=0,"",IF(R536&lt;=0.000000001,MIN(0.8*0.75*'KT THAN'!$C$62,MAX('KT THAN'!$W$38:$W$58)),IFERROR(MIN(0.8*0.75*'KT THAN'!$C$62,INDEX('KT THAN'!$W$38:$W$58,MATCH(R536,'KT THAN'!$Y$38:$Y$58,-1))+(INDEX('KT THAN'!$W$38:$W$58,MIN(21,MATCH(R536,'KT THAN'!$Y$38:$Y$58,-1)+1))-INDEX('KT THAN'!$W$38:$W$58,MATCH(R536,'KT THAN'!$Y$38:$Y$58,-1)))*(R536-INDEX('KT THAN'!$Y$38:$Y$58,MATCH(R536,'KT THAN'!$Y$38:$Y$58,-1)))/(INDEX('KT THAN'!$Y$38:$Y$58,MIN(21,MATCH(R536,'KT THAN'!$Y$38:$Y$58,-1)+1))-INDEX('KT THAN'!$Y$38:$Y$58,MATCH(R536,'KT THAN'!$Y$38:$Y$58,-1)))),MIN(0.8*0.75*'KT THAN'!$C$62,'KT THAN'!$D$68/R536)))))</f>
        <v/>
      </c>
      <c r="O536" s="38" t="str">
        <f>IF($A536="","",IF(H536&lt;0,ABS(H536)/MAX('KT THAN'!$C$69,0.001)+'KT THAN'!$C$32*ABS(J536)/MAX('KT THAN'!$C$68,0.001)+'KT THAN'!$D$32*ABS(I536)/MAX('KT THAN'!$D$68,0.001),IF(OR(M536&lt;=0,N536&lt;=0),999,IF(H536&gt;=0.1*0.75*fc_*Agth*1000,H536/MAX(0.001,1/(1/M536+1/N536-1/(0.75*'KT THAN'!$C$62))),'KT THAN'!$C$32*ABS(J536)/MAX('KT THAN'!$C$68,0.001)+'KT THAN'!$D$32*ABS(I536)/MAX('KT THAN'!$D$68,0.001)))))</f>
        <v/>
      </c>
      <c r="P536" s="37" t="str">
        <f t="shared" si="89"/>
        <v/>
      </c>
      <c r="Q536" s="38" t="str">
        <f>IF($A536="","",MAX(0.001,'KT THAN'!$C$32*ABS(J536)/MAX(1,H536)))</f>
        <v/>
      </c>
      <c r="R536" s="38" t="str">
        <f>IF($A536="","",MAX(0.001,'KT THAN'!$D$32*ABS(I536)/MAX(1,H536)))</f>
        <v/>
      </c>
      <c r="S536" t="str">
        <f t="shared" si="83"/>
        <v/>
      </c>
    </row>
    <row r="537" spans="1:19" hidden="1" outlineLevel="1" x14ac:dyDescent="0.3">
      <c r="A537" s="37" t="str">
        <f>IF(OR(nThan=1,'TO HOP NLAN'!$A93=""),"",'TO HOP NLAN'!$A93)</f>
        <v/>
      </c>
      <c r="B537" s="38" t="str">
        <f>IF($A537="","",'TO HOP NLAN'!$D93)</f>
        <v/>
      </c>
      <c r="C537" s="38" t="str">
        <f>IF($A537="","",'TO HOP NLAN'!$E93)</f>
        <v/>
      </c>
      <c r="D537" s="38" t="str">
        <f>IF($A537="","",'TO HOP NLAN'!$F93)</f>
        <v/>
      </c>
      <c r="E537" s="38" t="str">
        <f>IF($A537="","",'TO HOP NLAN'!$B93)</f>
        <v/>
      </c>
      <c r="F537" s="38" t="str">
        <f>IF($A537="","",'TO HOP NLAN'!$C93)</f>
        <v/>
      </c>
      <c r="G537" s="38" t="str">
        <f t="shared" si="84"/>
        <v/>
      </c>
      <c r="H537" s="38" t="str">
        <f t="shared" si="82"/>
        <v/>
      </c>
      <c r="I537" s="38" t="str">
        <f t="shared" si="85"/>
        <v/>
      </c>
      <c r="J537" s="38" t="str">
        <f t="shared" si="86"/>
        <v/>
      </c>
      <c r="K537" s="38" t="str">
        <f t="shared" si="87"/>
        <v/>
      </c>
      <c r="L537" s="38" t="str">
        <f t="shared" si="88"/>
        <v/>
      </c>
      <c r="M537" s="38" t="str">
        <f>IF($A537="","",IF(H537=0,"",IF(Q537&lt;=0.000000001,MIN(0.8*0.75*'KT THAN'!$C$62,MAX('KT THAN'!$J$38:$J$58)),IFERROR(MIN(0.8*0.75*'KT THAN'!$C$62,INDEX('KT THAN'!$J$38:$J$58,MATCH(Q537,'KT THAN'!$L$38:$L$58,-1))+(INDEX('KT THAN'!$J$38:$J$58,MIN(21,MATCH(Q537,'KT THAN'!$L$38:$L$58,-1)+1))-INDEX('KT THAN'!$J$38:$J$58,MATCH(Q537,'KT THAN'!$L$38:$L$58,-1)))*(Q537-INDEX('KT THAN'!$L$38:$L$58,MATCH(Q537,'KT THAN'!$L$38:$L$58,-1)))/(INDEX('KT THAN'!$L$38:$L$58,MIN(21,MATCH(Q537,'KT THAN'!$L$38:$L$58,-1)+1))-INDEX('KT THAN'!$L$38:$L$58,MATCH(Q537,'KT THAN'!$L$38:$L$58,-1)))),MIN(0.8*0.75*'KT THAN'!$C$62,'KT THAN'!$C$68/Q537)))))</f>
        <v/>
      </c>
      <c r="N537" s="38" t="str">
        <f>IF($A537="","",IF(H537=0,"",IF(R537&lt;=0.000000001,MIN(0.8*0.75*'KT THAN'!$C$62,MAX('KT THAN'!$W$38:$W$58)),IFERROR(MIN(0.8*0.75*'KT THAN'!$C$62,INDEX('KT THAN'!$W$38:$W$58,MATCH(R537,'KT THAN'!$Y$38:$Y$58,-1))+(INDEX('KT THAN'!$W$38:$W$58,MIN(21,MATCH(R537,'KT THAN'!$Y$38:$Y$58,-1)+1))-INDEX('KT THAN'!$W$38:$W$58,MATCH(R537,'KT THAN'!$Y$38:$Y$58,-1)))*(R537-INDEX('KT THAN'!$Y$38:$Y$58,MATCH(R537,'KT THAN'!$Y$38:$Y$58,-1)))/(INDEX('KT THAN'!$Y$38:$Y$58,MIN(21,MATCH(R537,'KT THAN'!$Y$38:$Y$58,-1)+1))-INDEX('KT THAN'!$Y$38:$Y$58,MATCH(R537,'KT THAN'!$Y$38:$Y$58,-1)))),MIN(0.8*0.75*'KT THAN'!$C$62,'KT THAN'!$D$68/R537)))))</f>
        <v/>
      </c>
      <c r="O537" s="38" t="str">
        <f>IF($A537="","",IF(H537&lt;0,ABS(H537)/MAX('KT THAN'!$C$69,0.001)+'KT THAN'!$C$32*ABS(J537)/MAX('KT THAN'!$C$68,0.001)+'KT THAN'!$D$32*ABS(I537)/MAX('KT THAN'!$D$68,0.001),IF(OR(M537&lt;=0,N537&lt;=0),999,IF(H537&gt;=0.1*0.75*fc_*Agth*1000,H537/MAX(0.001,1/(1/M537+1/N537-1/(0.75*'KT THAN'!$C$62))),'KT THAN'!$C$32*ABS(J537)/MAX('KT THAN'!$C$68,0.001)+'KT THAN'!$D$32*ABS(I537)/MAX('KT THAN'!$D$68,0.001)))))</f>
        <v/>
      </c>
      <c r="P537" s="37" t="str">
        <f t="shared" si="89"/>
        <v/>
      </c>
      <c r="Q537" s="38" t="str">
        <f>IF($A537="","",MAX(0.001,'KT THAN'!$C$32*ABS(J537)/MAX(1,H537)))</f>
        <v/>
      </c>
      <c r="R537" s="38" t="str">
        <f>IF($A537="","",MAX(0.001,'KT THAN'!$D$32*ABS(I537)/MAX(1,H537)))</f>
        <v/>
      </c>
      <c r="S537" t="str">
        <f t="shared" si="83"/>
        <v/>
      </c>
    </row>
    <row r="538" spans="1:19" hidden="1" outlineLevel="1" x14ac:dyDescent="0.3">
      <c r="A538" s="37" t="str">
        <f>IF(OR(nThan=1,'TO HOP NLAN'!$A94=""),"",'TO HOP NLAN'!$A94)</f>
        <v/>
      </c>
      <c r="B538" s="38" t="str">
        <f>IF($A538="","",'TO HOP NLAN'!$D94)</f>
        <v/>
      </c>
      <c r="C538" s="38" t="str">
        <f>IF($A538="","",'TO HOP NLAN'!$E94)</f>
        <v/>
      </c>
      <c r="D538" s="38" t="str">
        <f>IF($A538="","",'TO HOP NLAN'!$F94)</f>
        <v/>
      </c>
      <c r="E538" s="38" t="str">
        <f>IF($A538="","",'TO HOP NLAN'!$B94)</f>
        <v/>
      </c>
      <c r="F538" s="38" t="str">
        <f>IF($A538="","",'TO HOP NLAN'!$C94)</f>
        <v/>
      </c>
      <c r="G538" s="38" t="str">
        <f t="shared" si="84"/>
        <v/>
      </c>
      <c r="H538" s="38" t="str">
        <f t="shared" si="82"/>
        <v/>
      </c>
      <c r="I538" s="38" t="str">
        <f t="shared" si="85"/>
        <v/>
      </c>
      <c r="J538" s="38" t="str">
        <f t="shared" si="86"/>
        <v/>
      </c>
      <c r="K538" s="38" t="str">
        <f t="shared" si="87"/>
        <v/>
      </c>
      <c r="L538" s="38" t="str">
        <f t="shared" si="88"/>
        <v/>
      </c>
      <c r="M538" s="38" t="str">
        <f>IF($A538="","",IF(H538=0,"",IF(Q538&lt;=0.000000001,MIN(0.8*0.75*'KT THAN'!$C$62,MAX('KT THAN'!$J$38:$J$58)),IFERROR(MIN(0.8*0.75*'KT THAN'!$C$62,INDEX('KT THAN'!$J$38:$J$58,MATCH(Q538,'KT THAN'!$L$38:$L$58,-1))+(INDEX('KT THAN'!$J$38:$J$58,MIN(21,MATCH(Q538,'KT THAN'!$L$38:$L$58,-1)+1))-INDEX('KT THAN'!$J$38:$J$58,MATCH(Q538,'KT THAN'!$L$38:$L$58,-1)))*(Q538-INDEX('KT THAN'!$L$38:$L$58,MATCH(Q538,'KT THAN'!$L$38:$L$58,-1)))/(INDEX('KT THAN'!$L$38:$L$58,MIN(21,MATCH(Q538,'KT THAN'!$L$38:$L$58,-1)+1))-INDEX('KT THAN'!$L$38:$L$58,MATCH(Q538,'KT THAN'!$L$38:$L$58,-1)))),MIN(0.8*0.75*'KT THAN'!$C$62,'KT THAN'!$C$68/Q538)))))</f>
        <v/>
      </c>
      <c r="N538" s="38" t="str">
        <f>IF($A538="","",IF(H538=0,"",IF(R538&lt;=0.000000001,MIN(0.8*0.75*'KT THAN'!$C$62,MAX('KT THAN'!$W$38:$W$58)),IFERROR(MIN(0.8*0.75*'KT THAN'!$C$62,INDEX('KT THAN'!$W$38:$W$58,MATCH(R538,'KT THAN'!$Y$38:$Y$58,-1))+(INDEX('KT THAN'!$W$38:$W$58,MIN(21,MATCH(R538,'KT THAN'!$Y$38:$Y$58,-1)+1))-INDEX('KT THAN'!$W$38:$W$58,MATCH(R538,'KT THAN'!$Y$38:$Y$58,-1)))*(R538-INDEX('KT THAN'!$Y$38:$Y$58,MATCH(R538,'KT THAN'!$Y$38:$Y$58,-1)))/(INDEX('KT THAN'!$Y$38:$Y$58,MIN(21,MATCH(R538,'KT THAN'!$Y$38:$Y$58,-1)+1))-INDEX('KT THAN'!$Y$38:$Y$58,MATCH(R538,'KT THAN'!$Y$38:$Y$58,-1)))),MIN(0.8*0.75*'KT THAN'!$C$62,'KT THAN'!$D$68/R538)))))</f>
        <v/>
      </c>
      <c r="O538" s="38" t="str">
        <f>IF($A538="","",IF(H538&lt;0,ABS(H538)/MAX('KT THAN'!$C$69,0.001)+'KT THAN'!$C$32*ABS(J538)/MAX('KT THAN'!$C$68,0.001)+'KT THAN'!$D$32*ABS(I538)/MAX('KT THAN'!$D$68,0.001),IF(OR(M538&lt;=0,N538&lt;=0),999,IF(H538&gt;=0.1*0.75*fc_*Agth*1000,H538/MAX(0.001,1/(1/M538+1/N538-1/(0.75*'KT THAN'!$C$62))),'KT THAN'!$C$32*ABS(J538)/MAX('KT THAN'!$C$68,0.001)+'KT THAN'!$D$32*ABS(I538)/MAX('KT THAN'!$D$68,0.001)))))</f>
        <v/>
      </c>
      <c r="P538" s="37" t="str">
        <f t="shared" si="89"/>
        <v/>
      </c>
      <c r="Q538" s="38" t="str">
        <f>IF($A538="","",MAX(0.001,'KT THAN'!$C$32*ABS(J538)/MAX(1,H538)))</f>
        <v/>
      </c>
      <c r="R538" s="38" t="str">
        <f>IF($A538="","",MAX(0.001,'KT THAN'!$D$32*ABS(I538)/MAX(1,H538)))</f>
        <v/>
      </c>
      <c r="S538" t="str">
        <f t="shared" si="83"/>
        <v/>
      </c>
    </row>
    <row r="539" spans="1:19" hidden="1" outlineLevel="1" x14ac:dyDescent="0.3">
      <c r="A539" s="37" t="str">
        <f>IF(OR(nThan=1,'TO HOP NLAN'!$A95=""),"",'TO HOP NLAN'!$A95)</f>
        <v/>
      </c>
      <c r="B539" s="38" t="str">
        <f>IF($A539="","",'TO HOP NLAN'!$D95)</f>
        <v/>
      </c>
      <c r="C539" s="38" t="str">
        <f>IF($A539="","",'TO HOP NLAN'!$E95)</f>
        <v/>
      </c>
      <c r="D539" s="38" t="str">
        <f>IF($A539="","",'TO HOP NLAN'!$F95)</f>
        <v/>
      </c>
      <c r="E539" s="38" t="str">
        <f>IF($A539="","",'TO HOP NLAN'!$B95)</f>
        <v/>
      </c>
      <c r="F539" s="38" t="str">
        <f>IF($A539="","",'TO HOP NLAN'!$C95)</f>
        <v/>
      </c>
      <c r="G539" s="38" t="str">
        <f t="shared" si="84"/>
        <v/>
      </c>
      <c r="H539" s="38" t="str">
        <f t="shared" si="82"/>
        <v/>
      </c>
      <c r="I539" s="38" t="str">
        <f t="shared" si="85"/>
        <v/>
      </c>
      <c r="J539" s="38" t="str">
        <f t="shared" si="86"/>
        <v/>
      </c>
      <c r="K539" s="38" t="str">
        <f t="shared" si="87"/>
        <v/>
      </c>
      <c r="L539" s="38" t="str">
        <f t="shared" si="88"/>
        <v/>
      </c>
      <c r="M539" s="38" t="str">
        <f>IF($A539="","",IF(H539=0,"",IF(Q539&lt;=0.000000001,MIN(0.8*0.75*'KT THAN'!$C$62,MAX('KT THAN'!$J$38:$J$58)),IFERROR(MIN(0.8*0.75*'KT THAN'!$C$62,INDEX('KT THAN'!$J$38:$J$58,MATCH(Q539,'KT THAN'!$L$38:$L$58,-1))+(INDEX('KT THAN'!$J$38:$J$58,MIN(21,MATCH(Q539,'KT THAN'!$L$38:$L$58,-1)+1))-INDEX('KT THAN'!$J$38:$J$58,MATCH(Q539,'KT THAN'!$L$38:$L$58,-1)))*(Q539-INDEX('KT THAN'!$L$38:$L$58,MATCH(Q539,'KT THAN'!$L$38:$L$58,-1)))/(INDEX('KT THAN'!$L$38:$L$58,MIN(21,MATCH(Q539,'KT THAN'!$L$38:$L$58,-1)+1))-INDEX('KT THAN'!$L$38:$L$58,MATCH(Q539,'KT THAN'!$L$38:$L$58,-1)))),MIN(0.8*0.75*'KT THAN'!$C$62,'KT THAN'!$C$68/Q539)))))</f>
        <v/>
      </c>
      <c r="N539" s="38" t="str">
        <f>IF($A539="","",IF(H539=0,"",IF(R539&lt;=0.000000001,MIN(0.8*0.75*'KT THAN'!$C$62,MAX('KT THAN'!$W$38:$W$58)),IFERROR(MIN(0.8*0.75*'KT THAN'!$C$62,INDEX('KT THAN'!$W$38:$W$58,MATCH(R539,'KT THAN'!$Y$38:$Y$58,-1))+(INDEX('KT THAN'!$W$38:$W$58,MIN(21,MATCH(R539,'KT THAN'!$Y$38:$Y$58,-1)+1))-INDEX('KT THAN'!$W$38:$W$58,MATCH(R539,'KT THAN'!$Y$38:$Y$58,-1)))*(R539-INDEX('KT THAN'!$Y$38:$Y$58,MATCH(R539,'KT THAN'!$Y$38:$Y$58,-1)))/(INDEX('KT THAN'!$Y$38:$Y$58,MIN(21,MATCH(R539,'KT THAN'!$Y$38:$Y$58,-1)+1))-INDEX('KT THAN'!$Y$38:$Y$58,MATCH(R539,'KT THAN'!$Y$38:$Y$58,-1)))),MIN(0.8*0.75*'KT THAN'!$C$62,'KT THAN'!$D$68/R539)))))</f>
        <v/>
      </c>
      <c r="O539" s="38" t="str">
        <f>IF($A539="","",IF(H539&lt;0,ABS(H539)/MAX('KT THAN'!$C$69,0.001)+'KT THAN'!$C$32*ABS(J539)/MAX('KT THAN'!$C$68,0.001)+'KT THAN'!$D$32*ABS(I539)/MAX('KT THAN'!$D$68,0.001),IF(OR(M539&lt;=0,N539&lt;=0),999,IF(H539&gt;=0.1*0.75*fc_*Agth*1000,H539/MAX(0.001,1/(1/M539+1/N539-1/(0.75*'KT THAN'!$C$62))),'KT THAN'!$C$32*ABS(J539)/MAX('KT THAN'!$C$68,0.001)+'KT THAN'!$D$32*ABS(I539)/MAX('KT THAN'!$D$68,0.001)))))</f>
        <v/>
      </c>
      <c r="P539" s="37" t="str">
        <f t="shared" si="89"/>
        <v/>
      </c>
      <c r="Q539" s="38" t="str">
        <f>IF($A539="","",MAX(0.001,'KT THAN'!$C$32*ABS(J539)/MAX(1,H539)))</f>
        <v/>
      </c>
      <c r="R539" s="38" t="str">
        <f>IF($A539="","",MAX(0.001,'KT THAN'!$D$32*ABS(I539)/MAX(1,H539)))</f>
        <v/>
      </c>
      <c r="S539" t="str">
        <f t="shared" si="83"/>
        <v/>
      </c>
    </row>
    <row r="540" spans="1:19" hidden="1" outlineLevel="1" x14ac:dyDescent="0.3">
      <c r="A540" s="37" t="str">
        <f>IF(OR(nThan=1,'TO HOP NLAN'!$A96=""),"",'TO HOP NLAN'!$A96)</f>
        <v/>
      </c>
      <c r="B540" s="38" t="str">
        <f>IF($A540="","",'TO HOP NLAN'!$D96)</f>
        <v/>
      </c>
      <c r="C540" s="38" t="str">
        <f>IF($A540="","",'TO HOP NLAN'!$E96)</f>
        <v/>
      </c>
      <c r="D540" s="38" t="str">
        <f>IF($A540="","",'TO HOP NLAN'!$F96)</f>
        <v/>
      </c>
      <c r="E540" s="38" t="str">
        <f>IF($A540="","",'TO HOP NLAN'!$B96)</f>
        <v/>
      </c>
      <c r="F540" s="38" t="str">
        <f>IF($A540="","",'TO HOP NLAN'!$C96)</f>
        <v/>
      </c>
      <c r="G540" s="38" t="str">
        <f t="shared" si="84"/>
        <v/>
      </c>
      <c r="H540" s="38" t="str">
        <f t="shared" si="82"/>
        <v/>
      </c>
      <c r="I540" s="38" t="str">
        <f t="shared" si="85"/>
        <v/>
      </c>
      <c r="J540" s="38" t="str">
        <f t="shared" si="86"/>
        <v/>
      </c>
      <c r="K540" s="38" t="str">
        <f t="shared" si="87"/>
        <v/>
      </c>
      <c r="L540" s="38" t="str">
        <f t="shared" si="88"/>
        <v/>
      </c>
      <c r="M540" s="38" t="str">
        <f>IF($A540="","",IF(H540=0,"",IF(Q540&lt;=0.000000001,MIN(0.8*0.75*'KT THAN'!$C$62,MAX('KT THAN'!$J$38:$J$58)),IFERROR(MIN(0.8*0.75*'KT THAN'!$C$62,INDEX('KT THAN'!$J$38:$J$58,MATCH(Q540,'KT THAN'!$L$38:$L$58,-1))+(INDEX('KT THAN'!$J$38:$J$58,MIN(21,MATCH(Q540,'KT THAN'!$L$38:$L$58,-1)+1))-INDEX('KT THAN'!$J$38:$J$58,MATCH(Q540,'KT THAN'!$L$38:$L$58,-1)))*(Q540-INDEX('KT THAN'!$L$38:$L$58,MATCH(Q540,'KT THAN'!$L$38:$L$58,-1)))/(INDEX('KT THAN'!$L$38:$L$58,MIN(21,MATCH(Q540,'KT THAN'!$L$38:$L$58,-1)+1))-INDEX('KT THAN'!$L$38:$L$58,MATCH(Q540,'KT THAN'!$L$38:$L$58,-1)))),MIN(0.8*0.75*'KT THAN'!$C$62,'KT THAN'!$C$68/Q540)))))</f>
        <v/>
      </c>
      <c r="N540" s="38" t="str">
        <f>IF($A540="","",IF(H540=0,"",IF(R540&lt;=0.000000001,MIN(0.8*0.75*'KT THAN'!$C$62,MAX('KT THAN'!$W$38:$W$58)),IFERROR(MIN(0.8*0.75*'KT THAN'!$C$62,INDEX('KT THAN'!$W$38:$W$58,MATCH(R540,'KT THAN'!$Y$38:$Y$58,-1))+(INDEX('KT THAN'!$W$38:$W$58,MIN(21,MATCH(R540,'KT THAN'!$Y$38:$Y$58,-1)+1))-INDEX('KT THAN'!$W$38:$W$58,MATCH(R540,'KT THAN'!$Y$38:$Y$58,-1)))*(R540-INDEX('KT THAN'!$Y$38:$Y$58,MATCH(R540,'KT THAN'!$Y$38:$Y$58,-1)))/(INDEX('KT THAN'!$Y$38:$Y$58,MIN(21,MATCH(R540,'KT THAN'!$Y$38:$Y$58,-1)+1))-INDEX('KT THAN'!$Y$38:$Y$58,MATCH(R540,'KT THAN'!$Y$38:$Y$58,-1)))),MIN(0.8*0.75*'KT THAN'!$C$62,'KT THAN'!$D$68/R540)))))</f>
        <v/>
      </c>
      <c r="O540" s="38" t="str">
        <f>IF($A540="","",IF(H540&lt;0,ABS(H540)/MAX('KT THAN'!$C$69,0.001)+'KT THAN'!$C$32*ABS(J540)/MAX('KT THAN'!$C$68,0.001)+'KT THAN'!$D$32*ABS(I540)/MAX('KT THAN'!$D$68,0.001),IF(OR(M540&lt;=0,N540&lt;=0),999,IF(H540&gt;=0.1*0.75*fc_*Agth*1000,H540/MAX(0.001,1/(1/M540+1/N540-1/(0.75*'KT THAN'!$C$62))),'KT THAN'!$C$32*ABS(J540)/MAX('KT THAN'!$C$68,0.001)+'KT THAN'!$D$32*ABS(I540)/MAX('KT THAN'!$D$68,0.001)))))</f>
        <v/>
      </c>
      <c r="P540" s="37" t="str">
        <f t="shared" si="89"/>
        <v/>
      </c>
      <c r="Q540" s="38" t="str">
        <f>IF($A540="","",MAX(0.001,'KT THAN'!$C$32*ABS(J540)/MAX(1,H540)))</f>
        <v/>
      </c>
      <c r="R540" s="38" t="str">
        <f>IF($A540="","",MAX(0.001,'KT THAN'!$D$32*ABS(I540)/MAX(1,H540)))</f>
        <v/>
      </c>
      <c r="S540" t="str">
        <f t="shared" si="83"/>
        <v/>
      </c>
    </row>
    <row r="541" spans="1:19" hidden="1" outlineLevel="1" x14ac:dyDescent="0.3">
      <c r="A541" s="37" t="str">
        <f>IF(OR(nThan=1,'TO HOP NLAN'!$A97=""),"",'TO HOP NLAN'!$A97)</f>
        <v/>
      </c>
      <c r="B541" s="38" t="str">
        <f>IF($A541="","",'TO HOP NLAN'!$D97)</f>
        <v/>
      </c>
      <c r="C541" s="38" t="str">
        <f>IF($A541="","",'TO HOP NLAN'!$E97)</f>
        <v/>
      </c>
      <c r="D541" s="38" t="str">
        <f>IF($A541="","",'TO HOP NLAN'!$F97)</f>
        <v/>
      </c>
      <c r="E541" s="38" t="str">
        <f>IF($A541="","",'TO HOP NLAN'!$B97)</f>
        <v/>
      </c>
      <c r="F541" s="38" t="str">
        <f>IF($A541="","",'TO HOP NLAN'!$C97)</f>
        <v/>
      </c>
      <c r="G541" s="38" t="str">
        <f t="shared" si="84"/>
        <v/>
      </c>
      <c r="H541" s="38" t="str">
        <f t="shared" si="82"/>
        <v/>
      </c>
      <c r="I541" s="38" t="str">
        <f t="shared" si="85"/>
        <v/>
      </c>
      <c r="J541" s="38" t="str">
        <f t="shared" si="86"/>
        <v/>
      </c>
      <c r="K541" s="38" t="str">
        <f t="shared" si="87"/>
        <v/>
      </c>
      <c r="L541" s="38" t="str">
        <f t="shared" si="88"/>
        <v/>
      </c>
      <c r="M541" s="38" t="str">
        <f>IF($A541="","",IF(H541=0,"",IF(Q541&lt;=0.000000001,MIN(0.8*0.75*'KT THAN'!$C$62,MAX('KT THAN'!$J$38:$J$58)),IFERROR(MIN(0.8*0.75*'KT THAN'!$C$62,INDEX('KT THAN'!$J$38:$J$58,MATCH(Q541,'KT THAN'!$L$38:$L$58,-1))+(INDEX('KT THAN'!$J$38:$J$58,MIN(21,MATCH(Q541,'KT THAN'!$L$38:$L$58,-1)+1))-INDEX('KT THAN'!$J$38:$J$58,MATCH(Q541,'KT THAN'!$L$38:$L$58,-1)))*(Q541-INDEX('KT THAN'!$L$38:$L$58,MATCH(Q541,'KT THAN'!$L$38:$L$58,-1)))/(INDEX('KT THAN'!$L$38:$L$58,MIN(21,MATCH(Q541,'KT THAN'!$L$38:$L$58,-1)+1))-INDEX('KT THAN'!$L$38:$L$58,MATCH(Q541,'KT THAN'!$L$38:$L$58,-1)))),MIN(0.8*0.75*'KT THAN'!$C$62,'KT THAN'!$C$68/Q541)))))</f>
        <v/>
      </c>
      <c r="N541" s="38" t="str">
        <f>IF($A541="","",IF(H541=0,"",IF(R541&lt;=0.000000001,MIN(0.8*0.75*'KT THAN'!$C$62,MAX('KT THAN'!$W$38:$W$58)),IFERROR(MIN(0.8*0.75*'KT THAN'!$C$62,INDEX('KT THAN'!$W$38:$W$58,MATCH(R541,'KT THAN'!$Y$38:$Y$58,-1))+(INDEX('KT THAN'!$W$38:$W$58,MIN(21,MATCH(R541,'KT THAN'!$Y$38:$Y$58,-1)+1))-INDEX('KT THAN'!$W$38:$W$58,MATCH(R541,'KT THAN'!$Y$38:$Y$58,-1)))*(R541-INDEX('KT THAN'!$Y$38:$Y$58,MATCH(R541,'KT THAN'!$Y$38:$Y$58,-1)))/(INDEX('KT THAN'!$Y$38:$Y$58,MIN(21,MATCH(R541,'KT THAN'!$Y$38:$Y$58,-1)+1))-INDEX('KT THAN'!$Y$38:$Y$58,MATCH(R541,'KT THAN'!$Y$38:$Y$58,-1)))),MIN(0.8*0.75*'KT THAN'!$C$62,'KT THAN'!$D$68/R541)))))</f>
        <v/>
      </c>
      <c r="O541" s="38" t="str">
        <f>IF($A541="","",IF(H541&lt;0,ABS(H541)/MAX('KT THAN'!$C$69,0.001)+'KT THAN'!$C$32*ABS(J541)/MAX('KT THAN'!$C$68,0.001)+'KT THAN'!$D$32*ABS(I541)/MAX('KT THAN'!$D$68,0.001),IF(OR(M541&lt;=0,N541&lt;=0),999,IF(H541&gt;=0.1*0.75*fc_*Agth*1000,H541/MAX(0.001,1/(1/M541+1/N541-1/(0.75*'KT THAN'!$C$62))),'KT THAN'!$C$32*ABS(J541)/MAX('KT THAN'!$C$68,0.001)+'KT THAN'!$D$32*ABS(I541)/MAX('KT THAN'!$D$68,0.001)))))</f>
        <v/>
      </c>
      <c r="P541" s="37" t="str">
        <f t="shared" si="89"/>
        <v/>
      </c>
      <c r="Q541" s="38" t="str">
        <f>IF($A541="","",MAX(0.001,'KT THAN'!$C$32*ABS(J541)/MAX(1,H541)))</f>
        <v/>
      </c>
      <c r="R541" s="38" t="str">
        <f>IF($A541="","",MAX(0.001,'KT THAN'!$D$32*ABS(I541)/MAX(1,H541)))</f>
        <v/>
      </c>
      <c r="S541" t="str">
        <f t="shared" si="83"/>
        <v/>
      </c>
    </row>
    <row r="542" spans="1:19" hidden="1" outlineLevel="1" x14ac:dyDescent="0.3">
      <c r="A542" s="37" t="str">
        <f>IF(OR(nThan=1,'TO HOP NLAN'!$A98=""),"",'TO HOP NLAN'!$A98)</f>
        <v/>
      </c>
      <c r="B542" s="38" t="str">
        <f>IF($A542="","",'TO HOP NLAN'!$D98)</f>
        <v/>
      </c>
      <c r="C542" s="38" t="str">
        <f>IF($A542="","",'TO HOP NLAN'!$E98)</f>
        <v/>
      </c>
      <c r="D542" s="38" t="str">
        <f>IF($A542="","",'TO HOP NLAN'!$F98)</f>
        <v/>
      </c>
      <c r="E542" s="38" t="str">
        <f>IF($A542="","",'TO HOP NLAN'!$B98)</f>
        <v/>
      </c>
      <c r="F542" s="38" t="str">
        <f>IF($A542="","",'TO HOP NLAN'!$C98)</f>
        <v/>
      </c>
      <c r="G542" s="38" t="str">
        <f t="shared" si="84"/>
        <v/>
      </c>
      <c r="H542" s="38" t="str">
        <f t="shared" si="82"/>
        <v/>
      </c>
      <c r="I542" s="38" t="str">
        <f t="shared" si="85"/>
        <v/>
      </c>
      <c r="J542" s="38" t="str">
        <f t="shared" si="86"/>
        <v/>
      </c>
      <c r="K542" s="38" t="str">
        <f t="shared" si="87"/>
        <v/>
      </c>
      <c r="L542" s="38" t="str">
        <f t="shared" si="88"/>
        <v/>
      </c>
      <c r="M542" s="38" t="str">
        <f>IF($A542="","",IF(H542=0,"",IF(Q542&lt;=0.000000001,MIN(0.8*0.75*'KT THAN'!$C$62,MAX('KT THAN'!$J$38:$J$58)),IFERROR(MIN(0.8*0.75*'KT THAN'!$C$62,INDEX('KT THAN'!$J$38:$J$58,MATCH(Q542,'KT THAN'!$L$38:$L$58,-1))+(INDEX('KT THAN'!$J$38:$J$58,MIN(21,MATCH(Q542,'KT THAN'!$L$38:$L$58,-1)+1))-INDEX('KT THAN'!$J$38:$J$58,MATCH(Q542,'KT THAN'!$L$38:$L$58,-1)))*(Q542-INDEX('KT THAN'!$L$38:$L$58,MATCH(Q542,'KT THAN'!$L$38:$L$58,-1)))/(INDEX('KT THAN'!$L$38:$L$58,MIN(21,MATCH(Q542,'KT THAN'!$L$38:$L$58,-1)+1))-INDEX('KT THAN'!$L$38:$L$58,MATCH(Q542,'KT THAN'!$L$38:$L$58,-1)))),MIN(0.8*0.75*'KT THAN'!$C$62,'KT THAN'!$C$68/Q542)))))</f>
        <v/>
      </c>
      <c r="N542" s="38" t="str">
        <f>IF($A542="","",IF(H542=0,"",IF(R542&lt;=0.000000001,MIN(0.8*0.75*'KT THAN'!$C$62,MAX('KT THAN'!$W$38:$W$58)),IFERROR(MIN(0.8*0.75*'KT THAN'!$C$62,INDEX('KT THAN'!$W$38:$W$58,MATCH(R542,'KT THAN'!$Y$38:$Y$58,-1))+(INDEX('KT THAN'!$W$38:$W$58,MIN(21,MATCH(R542,'KT THAN'!$Y$38:$Y$58,-1)+1))-INDEX('KT THAN'!$W$38:$W$58,MATCH(R542,'KT THAN'!$Y$38:$Y$58,-1)))*(R542-INDEX('KT THAN'!$Y$38:$Y$58,MATCH(R542,'KT THAN'!$Y$38:$Y$58,-1)))/(INDEX('KT THAN'!$Y$38:$Y$58,MIN(21,MATCH(R542,'KT THAN'!$Y$38:$Y$58,-1)+1))-INDEX('KT THAN'!$Y$38:$Y$58,MATCH(R542,'KT THAN'!$Y$38:$Y$58,-1)))),MIN(0.8*0.75*'KT THAN'!$C$62,'KT THAN'!$D$68/R542)))))</f>
        <v/>
      </c>
      <c r="O542" s="38" t="str">
        <f>IF($A542="","",IF(H542&lt;0,ABS(H542)/MAX('KT THAN'!$C$69,0.001)+'KT THAN'!$C$32*ABS(J542)/MAX('KT THAN'!$C$68,0.001)+'KT THAN'!$D$32*ABS(I542)/MAX('KT THAN'!$D$68,0.001),IF(OR(M542&lt;=0,N542&lt;=0),999,IF(H542&gt;=0.1*0.75*fc_*Agth*1000,H542/MAX(0.001,1/(1/M542+1/N542-1/(0.75*'KT THAN'!$C$62))),'KT THAN'!$C$32*ABS(J542)/MAX('KT THAN'!$C$68,0.001)+'KT THAN'!$D$32*ABS(I542)/MAX('KT THAN'!$D$68,0.001)))))</f>
        <v/>
      </c>
      <c r="P542" s="37" t="str">
        <f t="shared" si="89"/>
        <v/>
      </c>
      <c r="Q542" s="38" t="str">
        <f>IF($A542="","",MAX(0.001,'KT THAN'!$C$32*ABS(J542)/MAX(1,H542)))</f>
        <v/>
      </c>
      <c r="R542" s="38" t="str">
        <f>IF($A542="","",MAX(0.001,'KT THAN'!$D$32*ABS(I542)/MAX(1,H542)))</f>
        <v/>
      </c>
      <c r="S542" t="str">
        <f t="shared" si="83"/>
        <v/>
      </c>
    </row>
    <row r="543" spans="1:19" hidden="1" outlineLevel="1" x14ac:dyDescent="0.3">
      <c r="A543" s="37" t="str">
        <f>IF(OR(nThan=1,'TO HOP NLAN'!$A99=""),"",'TO HOP NLAN'!$A99)</f>
        <v/>
      </c>
      <c r="B543" s="38" t="str">
        <f>IF($A543="","",'TO HOP NLAN'!$D99)</f>
        <v/>
      </c>
      <c r="C543" s="38" t="str">
        <f>IF($A543="","",'TO HOP NLAN'!$E99)</f>
        <v/>
      </c>
      <c r="D543" s="38" t="str">
        <f>IF($A543="","",'TO HOP NLAN'!$F99)</f>
        <v/>
      </c>
      <c r="E543" s="38" t="str">
        <f>IF($A543="","",'TO HOP NLAN'!$B99)</f>
        <v/>
      </c>
      <c r="F543" s="38" t="str">
        <f>IF($A543="","",'TO HOP NLAN'!$C99)</f>
        <v/>
      </c>
      <c r="G543" s="38" t="str">
        <f t="shared" si="84"/>
        <v/>
      </c>
      <c r="H543" s="38" t="str">
        <f t="shared" si="82"/>
        <v/>
      </c>
      <c r="I543" s="38" t="str">
        <f t="shared" si="85"/>
        <v/>
      </c>
      <c r="J543" s="38" t="str">
        <f t="shared" si="86"/>
        <v/>
      </c>
      <c r="K543" s="38" t="str">
        <f t="shared" si="87"/>
        <v/>
      </c>
      <c r="L543" s="38" t="str">
        <f t="shared" si="88"/>
        <v/>
      </c>
      <c r="M543" s="38" t="str">
        <f>IF($A543="","",IF(H543=0,"",IF(Q543&lt;=0.000000001,MIN(0.8*0.75*'KT THAN'!$C$62,MAX('KT THAN'!$J$38:$J$58)),IFERROR(MIN(0.8*0.75*'KT THAN'!$C$62,INDEX('KT THAN'!$J$38:$J$58,MATCH(Q543,'KT THAN'!$L$38:$L$58,-1))+(INDEX('KT THAN'!$J$38:$J$58,MIN(21,MATCH(Q543,'KT THAN'!$L$38:$L$58,-1)+1))-INDEX('KT THAN'!$J$38:$J$58,MATCH(Q543,'KT THAN'!$L$38:$L$58,-1)))*(Q543-INDEX('KT THAN'!$L$38:$L$58,MATCH(Q543,'KT THAN'!$L$38:$L$58,-1)))/(INDEX('KT THAN'!$L$38:$L$58,MIN(21,MATCH(Q543,'KT THAN'!$L$38:$L$58,-1)+1))-INDEX('KT THAN'!$L$38:$L$58,MATCH(Q543,'KT THAN'!$L$38:$L$58,-1)))),MIN(0.8*0.75*'KT THAN'!$C$62,'KT THAN'!$C$68/Q543)))))</f>
        <v/>
      </c>
      <c r="N543" s="38" t="str">
        <f>IF($A543="","",IF(H543=0,"",IF(R543&lt;=0.000000001,MIN(0.8*0.75*'KT THAN'!$C$62,MAX('KT THAN'!$W$38:$W$58)),IFERROR(MIN(0.8*0.75*'KT THAN'!$C$62,INDEX('KT THAN'!$W$38:$W$58,MATCH(R543,'KT THAN'!$Y$38:$Y$58,-1))+(INDEX('KT THAN'!$W$38:$W$58,MIN(21,MATCH(R543,'KT THAN'!$Y$38:$Y$58,-1)+1))-INDEX('KT THAN'!$W$38:$W$58,MATCH(R543,'KT THAN'!$Y$38:$Y$58,-1)))*(R543-INDEX('KT THAN'!$Y$38:$Y$58,MATCH(R543,'KT THAN'!$Y$38:$Y$58,-1)))/(INDEX('KT THAN'!$Y$38:$Y$58,MIN(21,MATCH(R543,'KT THAN'!$Y$38:$Y$58,-1)+1))-INDEX('KT THAN'!$Y$38:$Y$58,MATCH(R543,'KT THAN'!$Y$38:$Y$58,-1)))),MIN(0.8*0.75*'KT THAN'!$C$62,'KT THAN'!$D$68/R543)))))</f>
        <v/>
      </c>
      <c r="O543" s="38" t="str">
        <f>IF($A543="","",IF(H543&lt;0,ABS(H543)/MAX('KT THAN'!$C$69,0.001)+'KT THAN'!$C$32*ABS(J543)/MAX('KT THAN'!$C$68,0.001)+'KT THAN'!$D$32*ABS(I543)/MAX('KT THAN'!$D$68,0.001),IF(OR(M543&lt;=0,N543&lt;=0),999,IF(H543&gt;=0.1*0.75*fc_*Agth*1000,H543/MAX(0.001,1/(1/M543+1/N543-1/(0.75*'KT THAN'!$C$62))),'KT THAN'!$C$32*ABS(J543)/MAX('KT THAN'!$C$68,0.001)+'KT THAN'!$D$32*ABS(I543)/MAX('KT THAN'!$D$68,0.001)))))</f>
        <v/>
      </c>
      <c r="P543" s="37" t="str">
        <f t="shared" si="89"/>
        <v/>
      </c>
      <c r="Q543" s="38" t="str">
        <f>IF($A543="","",MAX(0.001,'KT THAN'!$C$32*ABS(J543)/MAX(1,H543)))</f>
        <v/>
      </c>
      <c r="R543" s="38" t="str">
        <f>IF($A543="","",MAX(0.001,'KT THAN'!$D$32*ABS(I543)/MAX(1,H543)))</f>
        <v/>
      </c>
      <c r="S543" t="str">
        <f t="shared" si="83"/>
        <v/>
      </c>
    </row>
    <row r="544" spans="1:19" hidden="1" outlineLevel="1" x14ac:dyDescent="0.3">
      <c r="A544" s="37" t="str">
        <f>IF(OR(nThan=1,'TO HOP NLAN'!$A100=""),"",'TO HOP NLAN'!$A100)</f>
        <v/>
      </c>
      <c r="B544" s="38" t="str">
        <f>IF($A544="","",'TO HOP NLAN'!$D100)</f>
        <v/>
      </c>
      <c r="C544" s="38" t="str">
        <f>IF($A544="","",'TO HOP NLAN'!$E100)</f>
        <v/>
      </c>
      <c r="D544" s="38" t="str">
        <f>IF($A544="","",'TO HOP NLAN'!$F100)</f>
        <v/>
      </c>
      <c r="E544" s="38" t="str">
        <f>IF($A544="","",'TO HOP NLAN'!$B100)</f>
        <v/>
      </c>
      <c r="F544" s="38" t="str">
        <f>IF($A544="","",'TO HOP NLAN'!$C100)</f>
        <v/>
      </c>
      <c r="G544" s="38" t="str">
        <f t="shared" si="84"/>
        <v/>
      </c>
      <c r="H544" s="38" t="str">
        <f t="shared" si="82"/>
        <v/>
      </c>
      <c r="I544" s="38" t="str">
        <f t="shared" si="85"/>
        <v/>
      </c>
      <c r="J544" s="38" t="str">
        <f t="shared" si="86"/>
        <v/>
      </c>
      <c r="K544" s="38" t="str">
        <f t="shared" si="87"/>
        <v/>
      </c>
      <c r="L544" s="38" t="str">
        <f t="shared" si="88"/>
        <v/>
      </c>
      <c r="M544" s="38" t="str">
        <f>IF($A544="","",IF(H544=0,"",IF(Q544&lt;=0.000000001,MIN(0.8*0.75*'KT THAN'!$C$62,MAX('KT THAN'!$J$38:$J$58)),IFERROR(MIN(0.8*0.75*'KT THAN'!$C$62,INDEX('KT THAN'!$J$38:$J$58,MATCH(Q544,'KT THAN'!$L$38:$L$58,-1))+(INDEX('KT THAN'!$J$38:$J$58,MIN(21,MATCH(Q544,'KT THAN'!$L$38:$L$58,-1)+1))-INDEX('KT THAN'!$J$38:$J$58,MATCH(Q544,'KT THAN'!$L$38:$L$58,-1)))*(Q544-INDEX('KT THAN'!$L$38:$L$58,MATCH(Q544,'KT THAN'!$L$38:$L$58,-1)))/(INDEX('KT THAN'!$L$38:$L$58,MIN(21,MATCH(Q544,'KT THAN'!$L$38:$L$58,-1)+1))-INDEX('KT THAN'!$L$38:$L$58,MATCH(Q544,'KT THAN'!$L$38:$L$58,-1)))),MIN(0.8*0.75*'KT THAN'!$C$62,'KT THAN'!$C$68/Q544)))))</f>
        <v/>
      </c>
      <c r="N544" s="38" t="str">
        <f>IF($A544="","",IF(H544=0,"",IF(R544&lt;=0.000000001,MIN(0.8*0.75*'KT THAN'!$C$62,MAX('KT THAN'!$W$38:$W$58)),IFERROR(MIN(0.8*0.75*'KT THAN'!$C$62,INDEX('KT THAN'!$W$38:$W$58,MATCH(R544,'KT THAN'!$Y$38:$Y$58,-1))+(INDEX('KT THAN'!$W$38:$W$58,MIN(21,MATCH(R544,'KT THAN'!$Y$38:$Y$58,-1)+1))-INDEX('KT THAN'!$W$38:$W$58,MATCH(R544,'KT THAN'!$Y$38:$Y$58,-1)))*(R544-INDEX('KT THAN'!$Y$38:$Y$58,MATCH(R544,'KT THAN'!$Y$38:$Y$58,-1)))/(INDEX('KT THAN'!$Y$38:$Y$58,MIN(21,MATCH(R544,'KT THAN'!$Y$38:$Y$58,-1)+1))-INDEX('KT THAN'!$Y$38:$Y$58,MATCH(R544,'KT THAN'!$Y$38:$Y$58,-1)))),MIN(0.8*0.75*'KT THAN'!$C$62,'KT THAN'!$D$68/R544)))))</f>
        <v/>
      </c>
      <c r="O544" s="38" t="str">
        <f>IF($A544="","",IF(H544&lt;0,ABS(H544)/MAX('KT THAN'!$C$69,0.001)+'KT THAN'!$C$32*ABS(J544)/MAX('KT THAN'!$C$68,0.001)+'KT THAN'!$D$32*ABS(I544)/MAX('KT THAN'!$D$68,0.001),IF(OR(M544&lt;=0,N544&lt;=0),999,IF(H544&gt;=0.1*0.75*fc_*Agth*1000,H544/MAX(0.001,1/(1/M544+1/N544-1/(0.75*'KT THAN'!$C$62))),'KT THAN'!$C$32*ABS(J544)/MAX('KT THAN'!$C$68,0.001)+'KT THAN'!$D$32*ABS(I544)/MAX('KT THAN'!$D$68,0.001)))))</f>
        <v/>
      </c>
      <c r="P544" s="37" t="str">
        <f t="shared" si="89"/>
        <v/>
      </c>
      <c r="Q544" s="38" t="str">
        <f>IF($A544="","",MAX(0.001,'KT THAN'!$C$32*ABS(J544)/MAX(1,H544)))</f>
        <v/>
      </c>
      <c r="R544" s="38" t="str">
        <f>IF($A544="","",MAX(0.001,'KT THAN'!$D$32*ABS(I544)/MAX(1,H544)))</f>
        <v/>
      </c>
      <c r="S544" t="str">
        <f t="shared" si="83"/>
        <v/>
      </c>
    </row>
    <row r="545" spans="1:19" hidden="1" outlineLevel="1" x14ac:dyDescent="0.3">
      <c r="A545" s="37" t="str">
        <f>IF(OR(nThan=1,'TO HOP NLAN'!$A101=""),"",'TO HOP NLAN'!$A101)</f>
        <v/>
      </c>
      <c r="B545" s="38" t="str">
        <f>IF($A545="","",'TO HOP NLAN'!$D101)</f>
        <v/>
      </c>
      <c r="C545" s="38" t="str">
        <f>IF($A545="","",'TO HOP NLAN'!$E101)</f>
        <v/>
      </c>
      <c r="D545" s="38" t="str">
        <f>IF($A545="","",'TO HOP NLAN'!$F101)</f>
        <v/>
      </c>
      <c r="E545" s="38" t="str">
        <f>IF($A545="","",'TO HOP NLAN'!$B101)</f>
        <v/>
      </c>
      <c r="F545" s="38" t="str">
        <f>IF($A545="","",'TO HOP NLAN'!$C101)</f>
        <v/>
      </c>
      <c r="G545" s="38" t="str">
        <f t="shared" si="84"/>
        <v/>
      </c>
      <c r="H545" s="38" t="str">
        <f t="shared" si="82"/>
        <v/>
      </c>
      <c r="I545" s="38" t="str">
        <f t="shared" si="85"/>
        <v/>
      </c>
      <c r="J545" s="38" t="str">
        <f t="shared" si="86"/>
        <v/>
      </c>
      <c r="K545" s="38" t="str">
        <f t="shared" si="87"/>
        <v/>
      </c>
      <c r="L545" s="38" t="str">
        <f t="shared" si="88"/>
        <v/>
      </c>
      <c r="M545" s="38" t="str">
        <f>IF($A545="","",IF(H545=0,"",IF(Q545&lt;=0.000000001,MIN(0.8*0.75*'KT THAN'!$C$62,MAX('KT THAN'!$J$38:$J$58)),IFERROR(MIN(0.8*0.75*'KT THAN'!$C$62,INDEX('KT THAN'!$J$38:$J$58,MATCH(Q545,'KT THAN'!$L$38:$L$58,-1))+(INDEX('KT THAN'!$J$38:$J$58,MIN(21,MATCH(Q545,'KT THAN'!$L$38:$L$58,-1)+1))-INDEX('KT THAN'!$J$38:$J$58,MATCH(Q545,'KT THAN'!$L$38:$L$58,-1)))*(Q545-INDEX('KT THAN'!$L$38:$L$58,MATCH(Q545,'KT THAN'!$L$38:$L$58,-1)))/(INDEX('KT THAN'!$L$38:$L$58,MIN(21,MATCH(Q545,'KT THAN'!$L$38:$L$58,-1)+1))-INDEX('KT THAN'!$L$38:$L$58,MATCH(Q545,'KT THAN'!$L$38:$L$58,-1)))),MIN(0.8*0.75*'KT THAN'!$C$62,'KT THAN'!$C$68/Q545)))))</f>
        <v/>
      </c>
      <c r="N545" s="38" t="str">
        <f>IF($A545="","",IF(H545=0,"",IF(R545&lt;=0.000000001,MIN(0.8*0.75*'KT THAN'!$C$62,MAX('KT THAN'!$W$38:$W$58)),IFERROR(MIN(0.8*0.75*'KT THAN'!$C$62,INDEX('KT THAN'!$W$38:$W$58,MATCH(R545,'KT THAN'!$Y$38:$Y$58,-1))+(INDEX('KT THAN'!$W$38:$W$58,MIN(21,MATCH(R545,'KT THAN'!$Y$38:$Y$58,-1)+1))-INDEX('KT THAN'!$W$38:$W$58,MATCH(R545,'KT THAN'!$Y$38:$Y$58,-1)))*(R545-INDEX('KT THAN'!$Y$38:$Y$58,MATCH(R545,'KT THAN'!$Y$38:$Y$58,-1)))/(INDEX('KT THAN'!$Y$38:$Y$58,MIN(21,MATCH(R545,'KT THAN'!$Y$38:$Y$58,-1)+1))-INDEX('KT THAN'!$Y$38:$Y$58,MATCH(R545,'KT THAN'!$Y$38:$Y$58,-1)))),MIN(0.8*0.75*'KT THAN'!$C$62,'KT THAN'!$D$68/R545)))))</f>
        <v/>
      </c>
      <c r="O545" s="38" t="str">
        <f>IF($A545="","",IF(H545&lt;0,ABS(H545)/MAX('KT THAN'!$C$69,0.001)+'KT THAN'!$C$32*ABS(J545)/MAX('KT THAN'!$C$68,0.001)+'KT THAN'!$D$32*ABS(I545)/MAX('KT THAN'!$D$68,0.001),IF(OR(M545&lt;=0,N545&lt;=0),999,IF(H545&gt;=0.1*0.75*fc_*Agth*1000,H545/MAX(0.001,1/(1/M545+1/N545-1/(0.75*'KT THAN'!$C$62))),'KT THAN'!$C$32*ABS(J545)/MAX('KT THAN'!$C$68,0.001)+'KT THAN'!$D$32*ABS(I545)/MAX('KT THAN'!$D$68,0.001)))))</f>
        <v/>
      </c>
      <c r="P545" s="37" t="str">
        <f t="shared" si="89"/>
        <v/>
      </c>
      <c r="Q545" s="38" t="str">
        <f>IF($A545="","",MAX(0.001,'KT THAN'!$C$32*ABS(J545)/MAX(1,H545)))</f>
        <v/>
      </c>
      <c r="R545" s="38" t="str">
        <f>IF($A545="","",MAX(0.001,'KT THAN'!$D$32*ABS(I545)/MAX(1,H545)))</f>
        <v/>
      </c>
      <c r="S545" t="str">
        <f t="shared" si="83"/>
        <v/>
      </c>
    </row>
    <row r="546" spans="1:19" hidden="1" outlineLevel="1" x14ac:dyDescent="0.3">
      <c r="A546" s="37" t="str">
        <f>IF(OR(nThan=1,'TO HOP NLAN'!$A102=""),"",'TO HOP NLAN'!$A102)</f>
        <v/>
      </c>
      <c r="B546" s="38" t="str">
        <f>IF($A546="","",'TO HOP NLAN'!$D102)</f>
        <v/>
      </c>
      <c r="C546" s="38" t="str">
        <f>IF($A546="","",'TO HOP NLAN'!$E102)</f>
        <v/>
      </c>
      <c r="D546" s="38" t="str">
        <f>IF($A546="","",'TO HOP NLAN'!$F102)</f>
        <v/>
      </c>
      <c r="E546" s="38" t="str">
        <f>IF($A546="","",'TO HOP NLAN'!$B102)</f>
        <v/>
      </c>
      <c r="F546" s="38" t="str">
        <f>IF($A546="","",'TO HOP NLAN'!$C102)</f>
        <v/>
      </c>
      <c r="G546" s="38" t="str">
        <f t="shared" si="84"/>
        <v/>
      </c>
      <c r="H546" s="38" t="str">
        <f t="shared" si="82"/>
        <v/>
      </c>
      <c r="I546" s="38" t="str">
        <f t="shared" si="85"/>
        <v/>
      </c>
      <c r="J546" s="38" t="str">
        <f t="shared" si="86"/>
        <v/>
      </c>
      <c r="K546" s="38" t="str">
        <f t="shared" si="87"/>
        <v/>
      </c>
      <c r="L546" s="38" t="str">
        <f t="shared" si="88"/>
        <v/>
      </c>
      <c r="M546" s="38" t="str">
        <f>IF($A546="","",IF(H546=0,"",IF(Q546&lt;=0.000000001,MIN(0.8*0.75*'KT THAN'!$C$62,MAX('KT THAN'!$J$38:$J$58)),IFERROR(MIN(0.8*0.75*'KT THAN'!$C$62,INDEX('KT THAN'!$J$38:$J$58,MATCH(Q546,'KT THAN'!$L$38:$L$58,-1))+(INDEX('KT THAN'!$J$38:$J$58,MIN(21,MATCH(Q546,'KT THAN'!$L$38:$L$58,-1)+1))-INDEX('KT THAN'!$J$38:$J$58,MATCH(Q546,'KT THAN'!$L$38:$L$58,-1)))*(Q546-INDEX('KT THAN'!$L$38:$L$58,MATCH(Q546,'KT THAN'!$L$38:$L$58,-1)))/(INDEX('KT THAN'!$L$38:$L$58,MIN(21,MATCH(Q546,'KT THAN'!$L$38:$L$58,-1)+1))-INDEX('KT THAN'!$L$38:$L$58,MATCH(Q546,'KT THAN'!$L$38:$L$58,-1)))),MIN(0.8*0.75*'KT THAN'!$C$62,'KT THAN'!$C$68/Q546)))))</f>
        <v/>
      </c>
      <c r="N546" s="38" t="str">
        <f>IF($A546="","",IF(H546=0,"",IF(R546&lt;=0.000000001,MIN(0.8*0.75*'KT THAN'!$C$62,MAX('KT THAN'!$W$38:$W$58)),IFERROR(MIN(0.8*0.75*'KT THAN'!$C$62,INDEX('KT THAN'!$W$38:$W$58,MATCH(R546,'KT THAN'!$Y$38:$Y$58,-1))+(INDEX('KT THAN'!$W$38:$W$58,MIN(21,MATCH(R546,'KT THAN'!$Y$38:$Y$58,-1)+1))-INDEX('KT THAN'!$W$38:$W$58,MATCH(R546,'KT THAN'!$Y$38:$Y$58,-1)))*(R546-INDEX('KT THAN'!$Y$38:$Y$58,MATCH(R546,'KT THAN'!$Y$38:$Y$58,-1)))/(INDEX('KT THAN'!$Y$38:$Y$58,MIN(21,MATCH(R546,'KT THAN'!$Y$38:$Y$58,-1)+1))-INDEX('KT THAN'!$Y$38:$Y$58,MATCH(R546,'KT THAN'!$Y$38:$Y$58,-1)))),MIN(0.8*0.75*'KT THAN'!$C$62,'KT THAN'!$D$68/R546)))))</f>
        <v/>
      </c>
      <c r="O546" s="38" t="str">
        <f>IF($A546="","",IF(H546&lt;0,ABS(H546)/MAX('KT THAN'!$C$69,0.001)+'KT THAN'!$C$32*ABS(J546)/MAX('KT THAN'!$C$68,0.001)+'KT THAN'!$D$32*ABS(I546)/MAX('KT THAN'!$D$68,0.001),IF(OR(M546&lt;=0,N546&lt;=0),999,IF(H546&gt;=0.1*0.75*fc_*Agth*1000,H546/MAX(0.001,1/(1/M546+1/N546-1/(0.75*'KT THAN'!$C$62))),'KT THAN'!$C$32*ABS(J546)/MAX('KT THAN'!$C$68,0.001)+'KT THAN'!$D$32*ABS(I546)/MAX('KT THAN'!$D$68,0.001)))))</f>
        <v/>
      </c>
      <c r="P546" s="37" t="str">
        <f t="shared" si="89"/>
        <v/>
      </c>
      <c r="Q546" s="38" t="str">
        <f>IF($A546="","",MAX(0.001,'KT THAN'!$C$32*ABS(J546)/MAX(1,H546)))</f>
        <v/>
      </c>
      <c r="R546" s="38" t="str">
        <f>IF($A546="","",MAX(0.001,'KT THAN'!$D$32*ABS(I546)/MAX(1,H546)))</f>
        <v/>
      </c>
      <c r="S546" t="str">
        <f t="shared" si="83"/>
        <v/>
      </c>
    </row>
    <row r="547" spans="1:19" hidden="1" outlineLevel="1" x14ac:dyDescent="0.3">
      <c r="A547" s="37" t="str">
        <f>IF(OR(nThan=1,'TO HOP NLAN'!$A103=""),"",'TO HOP NLAN'!$A103)</f>
        <v/>
      </c>
      <c r="B547" s="38" t="str">
        <f>IF($A547="","",'TO HOP NLAN'!$D103)</f>
        <v/>
      </c>
      <c r="C547" s="38" t="str">
        <f>IF($A547="","",'TO HOP NLAN'!$E103)</f>
        <v/>
      </c>
      <c r="D547" s="38" t="str">
        <f>IF($A547="","",'TO HOP NLAN'!$F103)</f>
        <v/>
      </c>
      <c r="E547" s="38" t="str">
        <f>IF($A547="","",'TO HOP NLAN'!$B103)</f>
        <v/>
      </c>
      <c r="F547" s="38" t="str">
        <f>IF($A547="","",'TO HOP NLAN'!$C103)</f>
        <v/>
      </c>
      <c r="G547" s="38" t="str">
        <f t="shared" si="84"/>
        <v/>
      </c>
      <c r="H547" s="38" t="str">
        <f t="shared" si="82"/>
        <v/>
      </c>
      <c r="I547" s="38" t="str">
        <f t="shared" si="85"/>
        <v/>
      </c>
      <c r="J547" s="38" t="str">
        <f t="shared" si="86"/>
        <v/>
      </c>
      <c r="K547" s="38" t="str">
        <f t="shared" si="87"/>
        <v/>
      </c>
      <c r="L547" s="38" t="str">
        <f t="shared" si="88"/>
        <v/>
      </c>
      <c r="M547" s="38" t="str">
        <f>IF($A547="","",IF(H547=0,"",IF(Q547&lt;=0.000000001,MIN(0.8*0.75*'KT THAN'!$C$62,MAX('KT THAN'!$J$38:$J$58)),IFERROR(MIN(0.8*0.75*'KT THAN'!$C$62,INDEX('KT THAN'!$J$38:$J$58,MATCH(Q547,'KT THAN'!$L$38:$L$58,-1))+(INDEX('KT THAN'!$J$38:$J$58,MIN(21,MATCH(Q547,'KT THAN'!$L$38:$L$58,-1)+1))-INDEX('KT THAN'!$J$38:$J$58,MATCH(Q547,'KT THAN'!$L$38:$L$58,-1)))*(Q547-INDEX('KT THAN'!$L$38:$L$58,MATCH(Q547,'KT THAN'!$L$38:$L$58,-1)))/(INDEX('KT THAN'!$L$38:$L$58,MIN(21,MATCH(Q547,'KT THAN'!$L$38:$L$58,-1)+1))-INDEX('KT THAN'!$L$38:$L$58,MATCH(Q547,'KT THAN'!$L$38:$L$58,-1)))),MIN(0.8*0.75*'KT THAN'!$C$62,'KT THAN'!$C$68/Q547)))))</f>
        <v/>
      </c>
      <c r="N547" s="38" t="str">
        <f>IF($A547="","",IF(H547=0,"",IF(R547&lt;=0.000000001,MIN(0.8*0.75*'KT THAN'!$C$62,MAX('KT THAN'!$W$38:$W$58)),IFERROR(MIN(0.8*0.75*'KT THAN'!$C$62,INDEX('KT THAN'!$W$38:$W$58,MATCH(R547,'KT THAN'!$Y$38:$Y$58,-1))+(INDEX('KT THAN'!$W$38:$W$58,MIN(21,MATCH(R547,'KT THAN'!$Y$38:$Y$58,-1)+1))-INDEX('KT THAN'!$W$38:$W$58,MATCH(R547,'KT THAN'!$Y$38:$Y$58,-1)))*(R547-INDEX('KT THAN'!$Y$38:$Y$58,MATCH(R547,'KT THAN'!$Y$38:$Y$58,-1)))/(INDEX('KT THAN'!$Y$38:$Y$58,MIN(21,MATCH(R547,'KT THAN'!$Y$38:$Y$58,-1)+1))-INDEX('KT THAN'!$Y$38:$Y$58,MATCH(R547,'KT THAN'!$Y$38:$Y$58,-1)))),MIN(0.8*0.75*'KT THAN'!$C$62,'KT THAN'!$D$68/R547)))))</f>
        <v/>
      </c>
      <c r="O547" s="38" t="str">
        <f>IF($A547="","",IF(H547&lt;0,ABS(H547)/MAX('KT THAN'!$C$69,0.001)+'KT THAN'!$C$32*ABS(J547)/MAX('KT THAN'!$C$68,0.001)+'KT THAN'!$D$32*ABS(I547)/MAX('KT THAN'!$D$68,0.001),IF(OR(M547&lt;=0,N547&lt;=0),999,IF(H547&gt;=0.1*0.75*fc_*Agth*1000,H547/MAX(0.001,1/(1/M547+1/N547-1/(0.75*'KT THAN'!$C$62))),'KT THAN'!$C$32*ABS(J547)/MAX('KT THAN'!$C$68,0.001)+'KT THAN'!$D$32*ABS(I547)/MAX('KT THAN'!$D$68,0.001)))))</f>
        <v/>
      </c>
      <c r="P547" s="37" t="str">
        <f t="shared" si="89"/>
        <v/>
      </c>
      <c r="Q547" s="38" t="str">
        <f>IF($A547="","",MAX(0.001,'KT THAN'!$C$32*ABS(J547)/MAX(1,H547)))</f>
        <v/>
      </c>
      <c r="R547" s="38" t="str">
        <f>IF($A547="","",MAX(0.001,'KT THAN'!$D$32*ABS(I547)/MAX(1,H547)))</f>
        <v/>
      </c>
      <c r="S547" t="str">
        <f t="shared" si="83"/>
        <v/>
      </c>
    </row>
    <row r="548" spans="1:19" hidden="1" outlineLevel="1" x14ac:dyDescent="0.3">
      <c r="A548" s="37" t="str">
        <f>IF(OR(nThan=1,'TO HOP NLAN'!$A104=""),"",'TO HOP NLAN'!$A104)</f>
        <v/>
      </c>
      <c r="B548" s="38" t="str">
        <f>IF($A548="","",'TO HOP NLAN'!$D104)</f>
        <v/>
      </c>
      <c r="C548" s="38" t="str">
        <f>IF($A548="","",'TO HOP NLAN'!$E104)</f>
        <v/>
      </c>
      <c r="D548" s="38" t="str">
        <f>IF($A548="","",'TO HOP NLAN'!$F104)</f>
        <v/>
      </c>
      <c r="E548" s="38" t="str">
        <f>IF($A548="","",'TO HOP NLAN'!$B104)</f>
        <v/>
      </c>
      <c r="F548" s="38" t="str">
        <f>IF($A548="","",'TO HOP NLAN'!$C104)</f>
        <v/>
      </c>
      <c r="G548" s="38" t="str">
        <f t="shared" si="84"/>
        <v/>
      </c>
      <c r="H548" s="38" t="str">
        <f t="shared" si="82"/>
        <v/>
      </c>
      <c r="I548" s="38" t="str">
        <f t="shared" si="85"/>
        <v/>
      </c>
      <c r="J548" s="38" t="str">
        <f t="shared" si="86"/>
        <v/>
      </c>
      <c r="K548" s="38" t="str">
        <f t="shared" si="87"/>
        <v/>
      </c>
      <c r="L548" s="38" t="str">
        <f t="shared" si="88"/>
        <v/>
      </c>
      <c r="M548" s="38" t="str">
        <f>IF($A548="","",IF(H548=0,"",IF(Q548&lt;=0.000000001,MIN(0.8*0.75*'KT THAN'!$C$62,MAX('KT THAN'!$J$38:$J$58)),IFERROR(MIN(0.8*0.75*'KT THAN'!$C$62,INDEX('KT THAN'!$J$38:$J$58,MATCH(Q548,'KT THAN'!$L$38:$L$58,-1))+(INDEX('KT THAN'!$J$38:$J$58,MIN(21,MATCH(Q548,'KT THAN'!$L$38:$L$58,-1)+1))-INDEX('KT THAN'!$J$38:$J$58,MATCH(Q548,'KT THAN'!$L$38:$L$58,-1)))*(Q548-INDEX('KT THAN'!$L$38:$L$58,MATCH(Q548,'KT THAN'!$L$38:$L$58,-1)))/(INDEX('KT THAN'!$L$38:$L$58,MIN(21,MATCH(Q548,'KT THAN'!$L$38:$L$58,-1)+1))-INDEX('KT THAN'!$L$38:$L$58,MATCH(Q548,'KT THAN'!$L$38:$L$58,-1)))),MIN(0.8*0.75*'KT THAN'!$C$62,'KT THAN'!$C$68/Q548)))))</f>
        <v/>
      </c>
      <c r="N548" s="38" t="str">
        <f>IF($A548="","",IF(H548=0,"",IF(R548&lt;=0.000000001,MIN(0.8*0.75*'KT THAN'!$C$62,MAX('KT THAN'!$W$38:$W$58)),IFERROR(MIN(0.8*0.75*'KT THAN'!$C$62,INDEX('KT THAN'!$W$38:$W$58,MATCH(R548,'KT THAN'!$Y$38:$Y$58,-1))+(INDEX('KT THAN'!$W$38:$W$58,MIN(21,MATCH(R548,'KT THAN'!$Y$38:$Y$58,-1)+1))-INDEX('KT THAN'!$W$38:$W$58,MATCH(R548,'KT THAN'!$Y$38:$Y$58,-1)))*(R548-INDEX('KT THAN'!$Y$38:$Y$58,MATCH(R548,'KT THAN'!$Y$38:$Y$58,-1)))/(INDEX('KT THAN'!$Y$38:$Y$58,MIN(21,MATCH(R548,'KT THAN'!$Y$38:$Y$58,-1)+1))-INDEX('KT THAN'!$Y$38:$Y$58,MATCH(R548,'KT THAN'!$Y$38:$Y$58,-1)))),MIN(0.8*0.75*'KT THAN'!$C$62,'KT THAN'!$D$68/R548)))))</f>
        <v/>
      </c>
      <c r="O548" s="38" t="str">
        <f>IF($A548="","",IF(H548&lt;0,ABS(H548)/MAX('KT THAN'!$C$69,0.001)+'KT THAN'!$C$32*ABS(J548)/MAX('KT THAN'!$C$68,0.001)+'KT THAN'!$D$32*ABS(I548)/MAX('KT THAN'!$D$68,0.001),IF(OR(M548&lt;=0,N548&lt;=0),999,IF(H548&gt;=0.1*0.75*fc_*Agth*1000,H548/MAX(0.001,1/(1/M548+1/N548-1/(0.75*'KT THAN'!$C$62))),'KT THAN'!$C$32*ABS(J548)/MAX('KT THAN'!$C$68,0.001)+'KT THAN'!$D$32*ABS(I548)/MAX('KT THAN'!$D$68,0.001)))))</f>
        <v/>
      </c>
      <c r="P548" s="37" t="str">
        <f t="shared" si="89"/>
        <v/>
      </c>
      <c r="Q548" s="38" t="str">
        <f>IF($A548="","",MAX(0.001,'KT THAN'!$C$32*ABS(J548)/MAX(1,H548)))</f>
        <v/>
      </c>
      <c r="R548" s="38" t="str">
        <f>IF($A548="","",MAX(0.001,'KT THAN'!$D$32*ABS(I548)/MAX(1,H548)))</f>
        <v/>
      </c>
      <c r="S548" t="str">
        <f t="shared" si="83"/>
        <v/>
      </c>
    </row>
    <row r="549" spans="1:19" hidden="1" outlineLevel="1" x14ac:dyDescent="0.3">
      <c r="A549" s="37" t="str">
        <f>IF(OR(nThan=1,'TO HOP NLAN'!$A105=""),"",'TO HOP NLAN'!$A105)</f>
        <v/>
      </c>
      <c r="B549" s="38" t="str">
        <f>IF($A549="","",'TO HOP NLAN'!$D105)</f>
        <v/>
      </c>
      <c r="C549" s="38" t="str">
        <f>IF($A549="","",'TO HOP NLAN'!$E105)</f>
        <v/>
      </c>
      <c r="D549" s="38" t="str">
        <f>IF($A549="","",'TO HOP NLAN'!$F105)</f>
        <v/>
      </c>
      <c r="E549" s="38" t="str">
        <f>IF($A549="","",'TO HOP NLAN'!$B105)</f>
        <v/>
      </c>
      <c r="F549" s="38" t="str">
        <f>IF($A549="","",'TO HOP NLAN'!$C105)</f>
        <v/>
      </c>
      <c r="G549" s="38" t="str">
        <f t="shared" si="84"/>
        <v/>
      </c>
      <c r="H549" s="38" t="str">
        <f t="shared" si="82"/>
        <v/>
      </c>
      <c r="I549" s="38" t="str">
        <f t="shared" si="85"/>
        <v/>
      </c>
      <c r="J549" s="38" t="str">
        <f t="shared" si="86"/>
        <v/>
      </c>
      <c r="K549" s="38" t="str">
        <f t="shared" si="87"/>
        <v/>
      </c>
      <c r="L549" s="38" t="str">
        <f t="shared" si="88"/>
        <v/>
      </c>
      <c r="M549" s="38" t="str">
        <f>IF($A549="","",IF(H549=0,"",IF(Q549&lt;=0.000000001,MIN(0.8*0.75*'KT THAN'!$C$62,MAX('KT THAN'!$J$38:$J$58)),IFERROR(MIN(0.8*0.75*'KT THAN'!$C$62,INDEX('KT THAN'!$J$38:$J$58,MATCH(Q549,'KT THAN'!$L$38:$L$58,-1))+(INDEX('KT THAN'!$J$38:$J$58,MIN(21,MATCH(Q549,'KT THAN'!$L$38:$L$58,-1)+1))-INDEX('KT THAN'!$J$38:$J$58,MATCH(Q549,'KT THAN'!$L$38:$L$58,-1)))*(Q549-INDEX('KT THAN'!$L$38:$L$58,MATCH(Q549,'KT THAN'!$L$38:$L$58,-1)))/(INDEX('KT THAN'!$L$38:$L$58,MIN(21,MATCH(Q549,'KT THAN'!$L$38:$L$58,-1)+1))-INDEX('KT THAN'!$L$38:$L$58,MATCH(Q549,'KT THAN'!$L$38:$L$58,-1)))),MIN(0.8*0.75*'KT THAN'!$C$62,'KT THAN'!$C$68/Q549)))))</f>
        <v/>
      </c>
      <c r="N549" s="38" t="str">
        <f>IF($A549="","",IF(H549=0,"",IF(R549&lt;=0.000000001,MIN(0.8*0.75*'KT THAN'!$C$62,MAX('KT THAN'!$W$38:$W$58)),IFERROR(MIN(0.8*0.75*'KT THAN'!$C$62,INDEX('KT THAN'!$W$38:$W$58,MATCH(R549,'KT THAN'!$Y$38:$Y$58,-1))+(INDEX('KT THAN'!$W$38:$W$58,MIN(21,MATCH(R549,'KT THAN'!$Y$38:$Y$58,-1)+1))-INDEX('KT THAN'!$W$38:$W$58,MATCH(R549,'KT THAN'!$Y$38:$Y$58,-1)))*(R549-INDEX('KT THAN'!$Y$38:$Y$58,MATCH(R549,'KT THAN'!$Y$38:$Y$58,-1)))/(INDEX('KT THAN'!$Y$38:$Y$58,MIN(21,MATCH(R549,'KT THAN'!$Y$38:$Y$58,-1)+1))-INDEX('KT THAN'!$Y$38:$Y$58,MATCH(R549,'KT THAN'!$Y$38:$Y$58,-1)))),MIN(0.8*0.75*'KT THAN'!$C$62,'KT THAN'!$D$68/R549)))))</f>
        <v/>
      </c>
      <c r="O549" s="38" t="str">
        <f>IF($A549="","",IF(H549&lt;0,ABS(H549)/MAX('KT THAN'!$C$69,0.001)+'KT THAN'!$C$32*ABS(J549)/MAX('KT THAN'!$C$68,0.001)+'KT THAN'!$D$32*ABS(I549)/MAX('KT THAN'!$D$68,0.001),IF(OR(M549&lt;=0,N549&lt;=0),999,IF(H549&gt;=0.1*0.75*fc_*Agth*1000,H549/MAX(0.001,1/(1/M549+1/N549-1/(0.75*'KT THAN'!$C$62))),'KT THAN'!$C$32*ABS(J549)/MAX('KT THAN'!$C$68,0.001)+'KT THAN'!$D$32*ABS(I549)/MAX('KT THAN'!$D$68,0.001)))))</f>
        <v/>
      </c>
      <c r="P549" s="37" t="str">
        <f t="shared" si="89"/>
        <v/>
      </c>
      <c r="Q549" s="38" t="str">
        <f>IF($A549="","",MAX(0.001,'KT THAN'!$C$32*ABS(J549)/MAX(1,H549)))</f>
        <v/>
      </c>
      <c r="R549" s="38" t="str">
        <f>IF($A549="","",MAX(0.001,'KT THAN'!$D$32*ABS(I549)/MAX(1,H549)))</f>
        <v/>
      </c>
      <c r="S549" t="str">
        <f t="shared" si="83"/>
        <v/>
      </c>
    </row>
    <row r="550" spans="1:19" hidden="1" outlineLevel="1" x14ac:dyDescent="0.3">
      <c r="A550" s="37" t="str">
        <f>IF(OR(nThan=1,'TO HOP NLAN'!$A106=""),"",'TO HOP NLAN'!$A106)</f>
        <v/>
      </c>
      <c r="B550" s="38" t="str">
        <f>IF($A550="","",'TO HOP NLAN'!$D106)</f>
        <v/>
      </c>
      <c r="C550" s="38" t="str">
        <f>IF($A550="","",'TO HOP NLAN'!$E106)</f>
        <v/>
      </c>
      <c r="D550" s="38" t="str">
        <f>IF($A550="","",'TO HOP NLAN'!$F106)</f>
        <v/>
      </c>
      <c r="E550" s="38" t="str">
        <f>IF($A550="","",'TO HOP NLAN'!$B106)</f>
        <v/>
      </c>
      <c r="F550" s="38" t="str">
        <f>IF($A550="","",'TO HOP NLAN'!$C106)</f>
        <v/>
      </c>
      <c r="G550" s="38" t="str">
        <f t="shared" si="84"/>
        <v/>
      </c>
      <c r="H550" s="38" t="str">
        <f t="shared" si="82"/>
        <v/>
      </c>
      <c r="I550" s="38" t="str">
        <f t="shared" si="85"/>
        <v/>
      </c>
      <c r="J550" s="38" t="str">
        <f t="shared" si="86"/>
        <v/>
      </c>
      <c r="K550" s="38" t="str">
        <f t="shared" si="87"/>
        <v/>
      </c>
      <c r="L550" s="38" t="str">
        <f t="shared" si="88"/>
        <v/>
      </c>
      <c r="M550" s="38" t="str">
        <f>IF($A550="","",IF(H550=0,"",IF(Q550&lt;=0.000000001,MIN(0.8*0.75*'KT THAN'!$C$62,MAX('KT THAN'!$J$38:$J$58)),IFERROR(MIN(0.8*0.75*'KT THAN'!$C$62,INDEX('KT THAN'!$J$38:$J$58,MATCH(Q550,'KT THAN'!$L$38:$L$58,-1))+(INDEX('KT THAN'!$J$38:$J$58,MIN(21,MATCH(Q550,'KT THAN'!$L$38:$L$58,-1)+1))-INDEX('KT THAN'!$J$38:$J$58,MATCH(Q550,'KT THAN'!$L$38:$L$58,-1)))*(Q550-INDEX('KT THAN'!$L$38:$L$58,MATCH(Q550,'KT THAN'!$L$38:$L$58,-1)))/(INDEX('KT THAN'!$L$38:$L$58,MIN(21,MATCH(Q550,'KT THAN'!$L$38:$L$58,-1)+1))-INDEX('KT THAN'!$L$38:$L$58,MATCH(Q550,'KT THAN'!$L$38:$L$58,-1)))),MIN(0.8*0.75*'KT THAN'!$C$62,'KT THAN'!$C$68/Q550)))))</f>
        <v/>
      </c>
      <c r="N550" s="38" t="str">
        <f>IF($A550="","",IF(H550=0,"",IF(R550&lt;=0.000000001,MIN(0.8*0.75*'KT THAN'!$C$62,MAX('KT THAN'!$W$38:$W$58)),IFERROR(MIN(0.8*0.75*'KT THAN'!$C$62,INDEX('KT THAN'!$W$38:$W$58,MATCH(R550,'KT THAN'!$Y$38:$Y$58,-1))+(INDEX('KT THAN'!$W$38:$W$58,MIN(21,MATCH(R550,'KT THAN'!$Y$38:$Y$58,-1)+1))-INDEX('KT THAN'!$W$38:$W$58,MATCH(R550,'KT THAN'!$Y$38:$Y$58,-1)))*(R550-INDEX('KT THAN'!$Y$38:$Y$58,MATCH(R550,'KT THAN'!$Y$38:$Y$58,-1)))/(INDEX('KT THAN'!$Y$38:$Y$58,MIN(21,MATCH(R550,'KT THAN'!$Y$38:$Y$58,-1)+1))-INDEX('KT THAN'!$Y$38:$Y$58,MATCH(R550,'KT THAN'!$Y$38:$Y$58,-1)))),MIN(0.8*0.75*'KT THAN'!$C$62,'KT THAN'!$D$68/R550)))))</f>
        <v/>
      </c>
      <c r="O550" s="38" t="str">
        <f>IF($A550="","",IF(H550&lt;0,ABS(H550)/MAX('KT THAN'!$C$69,0.001)+'KT THAN'!$C$32*ABS(J550)/MAX('KT THAN'!$C$68,0.001)+'KT THAN'!$D$32*ABS(I550)/MAX('KT THAN'!$D$68,0.001),IF(OR(M550&lt;=0,N550&lt;=0),999,IF(H550&gt;=0.1*0.75*fc_*Agth*1000,H550/MAX(0.001,1/(1/M550+1/N550-1/(0.75*'KT THAN'!$C$62))),'KT THAN'!$C$32*ABS(J550)/MAX('KT THAN'!$C$68,0.001)+'KT THAN'!$D$32*ABS(I550)/MAX('KT THAN'!$D$68,0.001)))))</f>
        <v/>
      </c>
      <c r="P550" s="37" t="str">
        <f t="shared" si="89"/>
        <v/>
      </c>
      <c r="Q550" s="38" t="str">
        <f>IF($A550="","",MAX(0.001,'KT THAN'!$C$32*ABS(J550)/MAX(1,H550)))</f>
        <v/>
      </c>
      <c r="R550" s="38" t="str">
        <f>IF($A550="","",MAX(0.001,'KT THAN'!$D$32*ABS(I550)/MAX(1,H550)))</f>
        <v/>
      </c>
      <c r="S550" t="str">
        <f t="shared" si="83"/>
        <v/>
      </c>
    </row>
    <row r="551" spans="1:19" hidden="1" outlineLevel="1" x14ac:dyDescent="0.3">
      <c r="A551" s="37" t="str">
        <f>IF(OR(nThan=1,'TO HOP NLAN'!$A107=""),"",'TO HOP NLAN'!$A107)</f>
        <v/>
      </c>
      <c r="B551" s="38" t="str">
        <f>IF($A551="","",'TO HOP NLAN'!$D107)</f>
        <v/>
      </c>
      <c r="C551" s="38" t="str">
        <f>IF($A551="","",'TO HOP NLAN'!$E107)</f>
        <v/>
      </c>
      <c r="D551" s="38" t="str">
        <f>IF($A551="","",'TO HOP NLAN'!$F107)</f>
        <v/>
      </c>
      <c r="E551" s="38" t="str">
        <f>IF($A551="","",'TO HOP NLAN'!$B107)</f>
        <v/>
      </c>
      <c r="F551" s="38" t="str">
        <f>IF($A551="","",'TO HOP NLAN'!$C107)</f>
        <v/>
      </c>
      <c r="G551" s="38" t="str">
        <f t="shared" si="84"/>
        <v/>
      </c>
      <c r="H551" s="38" t="str">
        <f t="shared" si="82"/>
        <v/>
      </c>
      <c r="I551" s="38" t="str">
        <f t="shared" si="85"/>
        <v/>
      </c>
      <c r="J551" s="38" t="str">
        <f t="shared" si="86"/>
        <v/>
      </c>
      <c r="K551" s="38" t="str">
        <f t="shared" si="87"/>
        <v/>
      </c>
      <c r="L551" s="38" t="str">
        <f t="shared" si="88"/>
        <v/>
      </c>
      <c r="M551" s="38" t="str">
        <f>IF($A551="","",IF(H551=0,"",IF(Q551&lt;=0.000000001,MIN(0.8*0.75*'KT THAN'!$C$62,MAX('KT THAN'!$J$38:$J$58)),IFERROR(MIN(0.8*0.75*'KT THAN'!$C$62,INDEX('KT THAN'!$J$38:$J$58,MATCH(Q551,'KT THAN'!$L$38:$L$58,-1))+(INDEX('KT THAN'!$J$38:$J$58,MIN(21,MATCH(Q551,'KT THAN'!$L$38:$L$58,-1)+1))-INDEX('KT THAN'!$J$38:$J$58,MATCH(Q551,'KT THAN'!$L$38:$L$58,-1)))*(Q551-INDEX('KT THAN'!$L$38:$L$58,MATCH(Q551,'KT THAN'!$L$38:$L$58,-1)))/(INDEX('KT THAN'!$L$38:$L$58,MIN(21,MATCH(Q551,'KT THAN'!$L$38:$L$58,-1)+1))-INDEX('KT THAN'!$L$38:$L$58,MATCH(Q551,'KT THAN'!$L$38:$L$58,-1)))),MIN(0.8*0.75*'KT THAN'!$C$62,'KT THAN'!$C$68/Q551)))))</f>
        <v/>
      </c>
      <c r="N551" s="38" t="str">
        <f>IF($A551="","",IF(H551=0,"",IF(R551&lt;=0.000000001,MIN(0.8*0.75*'KT THAN'!$C$62,MAX('KT THAN'!$W$38:$W$58)),IFERROR(MIN(0.8*0.75*'KT THAN'!$C$62,INDEX('KT THAN'!$W$38:$W$58,MATCH(R551,'KT THAN'!$Y$38:$Y$58,-1))+(INDEX('KT THAN'!$W$38:$W$58,MIN(21,MATCH(R551,'KT THAN'!$Y$38:$Y$58,-1)+1))-INDEX('KT THAN'!$W$38:$W$58,MATCH(R551,'KT THAN'!$Y$38:$Y$58,-1)))*(R551-INDEX('KT THAN'!$Y$38:$Y$58,MATCH(R551,'KT THAN'!$Y$38:$Y$58,-1)))/(INDEX('KT THAN'!$Y$38:$Y$58,MIN(21,MATCH(R551,'KT THAN'!$Y$38:$Y$58,-1)+1))-INDEX('KT THAN'!$Y$38:$Y$58,MATCH(R551,'KT THAN'!$Y$38:$Y$58,-1)))),MIN(0.8*0.75*'KT THAN'!$C$62,'KT THAN'!$D$68/R551)))))</f>
        <v/>
      </c>
      <c r="O551" s="38" t="str">
        <f>IF($A551="","",IF(H551&lt;0,ABS(H551)/MAX('KT THAN'!$C$69,0.001)+'KT THAN'!$C$32*ABS(J551)/MAX('KT THAN'!$C$68,0.001)+'KT THAN'!$D$32*ABS(I551)/MAX('KT THAN'!$D$68,0.001),IF(OR(M551&lt;=0,N551&lt;=0),999,IF(H551&gt;=0.1*0.75*fc_*Agth*1000,H551/MAX(0.001,1/(1/M551+1/N551-1/(0.75*'KT THAN'!$C$62))),'KT THAN'!$C$32*ABS(J551)/MAX('KT THAN'!$C$68,0.001)+'KT THAN'!$D$32*ABS(I551)/MAX('KT THAN'!$D$68,0.001)))))</f>
        <v/>
      </c>
      <c r="P551" s="37" t="str">
        <f t="shared" si="89"/>
        <v/>
      </c>
      <c r="Q551" s="38" t="str">
        <f>IF($A551="","",MAX(0.001,'KT THAN'!$C$32*ABS(J551)/MAX(1,H551)))</f>
        <v/>
      </c>
      <c r="R551" s="38" t="str">
        <f>IF($A551="","",MAX(0.001,'KT THAN'!$D$32*ABS(I551)/MAX(1,H551)))</f>
        <v/>
      </c>
      <c r="S551" t="str">
        <f t="shared" si="83"/>
        <v/>
      </c>
    </row>
    <row r="552" spans="1:19" hidden="1" outlineLevel="1" x14ac:dyDescent="0.3">
      <c r="A552" s="37" t="str">
        <f>IF(OR(nThan=1,'TO HOP NLAN'!$A108=""),"",'TO HOP NLAN'!$A108)</f>
        <v/>
      </c>
      <c r="B552" s="38" t="str">
        <f>IF($A552="","",'TO HOP NLAN'!$D108)</f>
        <v/>
      </c>
      <c r="C552" s="38" t="str">
        <f>IF($A552="","",'TO HOP NLAN'!$E108)</f>
        <v/>
      </c>
      <c r="D552" s="38" t="str">
        <f>IF($A552="","",'TO HOP NLAN'!$F108)</f>
        <v/>
      </c>
      <c r="E552" s="38" t="str">
        <f>IF($A552="","",'TO HOP NLAN'!$B108)</f>
        <v/>
      </c>
      <c r="F552" s="38" t="str">
        <f>IF($A552="","",'TO HOP NLAN'!$C108)</f>
        <v/>
      </c>
      <c r="G552" s="38" t="str">
        <f t="shared" si="84"/>
        <v/>
      </c>
      <c r="H552" s="38" t="str">
        <f t="shared" si="82"/>
        <v/>
      </c>
      <c r="I552" s="38" t="str">
        <f t="shared" si="85"/>
        <v/>
      </c>
      <c r="J552" s="38" t="str">
        <f t="shared" si="86"/>
        <v/>
      </c>
      <c r="K552" s="38" t="str">
        <f t="shared" si="87"/>
        <v/>
      </c>
      <c r="L552" s="38" t="str">
        <f t="shared" si="88"/>
        <v/>
      </c>
      <c r="M552" s="38" t="str">
        <f>IF($A552="","",IF(H552=0,"",IF(Q552&lt;=0.000000001,MIN(0.8*0.75*'KT THAN'!$C$62,MAX('KT THAN'!$J$38:$J$58)),IFERROR(MIN(0.8*0.75*'KT THAN'!$C$62,INDEX('KT THAN'!$J$38:$J$58,MATCH(Q552,'KT THAN'!$L$38:$L$58,-1))+(INDEX('KT THAN'!$J$38:$J$58,MIN(21,MATCH(Q552,'KT THAN'!$L$38:$L$58,-1)+1))-INDEX('KT THAN'!$J$38:$J$58,MATCH(Q552,'KT THAN'!$L$38:$L$58,-1)))*(Q552-INDEX('KT THAN'!$L$38:$L$58,MATCH(Q552,'KT THAN'!$L$38:$L$58,-1)))/(INDEX('KT THAN'!$L$38:$L$58,MIN(21,MATCH(Q552,'KT THAN'!$L$38:$L$58,-1)+1))-INDEX('KT THAN'!$L$38:$L$58,MATCH(Q552,'KT THAN'!$L$38:$L$58,-1)))),MIN(0.8*0.75*'KT THAN'!$C$62,'KT THAN'!$C$68/Q552)))))</f>
        <v/>
      </c>
      <c r="N552" s="38" t="str">
        <f>IF($A552="","",IF(H552=0,"",IF(R552&lt;=0.000000001,MIN(0.8*0.75*'KT THAN'!$C$62,MAX('KT THAN'!$W$38:$W$58)),IFERROR(MIN(0.8*0.75*'KT THAN'!$C$62,INDEX('KT THAN'!$W$38:$W$58,MATCH(R552,'KT THAN'!$Y$38:$Y$58,-1))+(INDEX('KT THAN'!$W$38:$W$58,MIN(21,MATCH(R552,'KT THAN'!$Y$38:$Y$58,-1)+1))-INDEX('KT THAN'!$W$38:$W$58,MATCH(R552,'KT THAN'!$Y$38:$Y$58,-1)))*(R552-INDEX('KT THAN'!$Y$38:$Y$58,MATCH(R552,'KT THAN'!$Y$38:$Y$58,-1)))/(INDEX('KT THAN'!$Y$38:$Y$58,MIN(21,MATCH(R552,'KT THAN'!$Y$38:$Y$58,-1)+1))-INDEX('KT THAN'!$Y$38:$Y$58,MATCH(R552,'KT THAN'!$Y$38:$Y$58,-1)))),MIN(0.8*0.75*'KT THAN'!$C$62,'KT THAN'!$D$68/R552)))))</f>
        <v/>
      </c>
      <c r="O552" s="38" t="str">
        <f>IF($A552="","",IF(H552&lt;0,ABS(H552)/MAX('KT THAN'!$C$69,0.001)+'KT THAN'!$C$32*ABS(J552)/MAX('KT THAN'!$C$68,0.001)+'KT THAN'!$D$32*ABS(I552)/MAX('KT THAN'!$D$68,0.001),IF(OR(M552&lt;=0,N552&lt;=0),999,IF(H552&gt;=0.1*0.75*fc_*Agth*1000,H552/MAX(0.001,1/(1/M552+1/N552-1/(0.75*'KT THAN'!$C$62))),'KT THAN'!$C$32*ABS(J552)/MAX('KT THAN'!$C$68,0.001)+'KT THAN'!$D$32*ABS(I552)/MAX('KT THAN'!$D$68,0.001)))))</f>
        <v/>
      </c>
      <c r="P552" s="37" t="str">
        <f t="shared" si="89"/>
        <v/>
      </c>
      <c r="Q552" s="38" t="str">
        <f>IF($A552="","",MAX(0.001,'KT THAN'!$C$32*ABS(J552)/MAX(1,H552)))</f>
        <v/>
      </c>
      <c r="R552" s="38" t="str">
        <f>IF($A552="","",MAX(0.001,'KT THAN'!$D$32*ABS(I552)/MAX(1,H552)))</f>
        <v/>
      </c>
      <c r="S552" t="str">
        <f t="shared" si="83"/>
        <v/>
      </c>
    </row>
    <row r="553" spans="1:19" hidden="1" outlineLevel="1" x14ac:dyDescent="0.3">
      <c r="A553" s="37" t="str">
        <f>IF(OR(nThan=1,'TO HOP NLAN'!$A109=""),"",'TO HOP NLAN'!$A109)</f>
        <v/>
      </c>
      <c r="B553" s="38" t="str">
        <f>IF($A553="","",'TO HOP NLAN'!$D109)</f>
        <v/>
      </c>
      <c r="C553" s="38" t="str">
        <f>IF($A553="","",'TO HOP NLAN'!$E109)</f>
        <v/>
      </c>
      <c r="D553" s="38" t="str">
        <f>IF($A553="","",'TO HOP NLAN'!$F109)</f>
        <v/>
      </c>
      <c r="E553" s="38" t="str">
        <f>IF($A553="","",'TO HOP NLAN'!$B109)</f>
        <v/>
      </c>
      <c r="F553" s="38" t="str">
        <f>IF($A553="","",'TO HOP NLAN'!$C109)</f>
        <v/>
      </c>
      <c r="G553" s="38" t="str">
        <f t="shared" si="84"/>
        <v/>
      </c>
      <c r="H553" s="38" t="str">
        <f t="shared" si="82"/>
        <v/>
      </c>
      <c r="I553" s="38" t="str">
        <f t="shared" si="85"/>
        <v/>
      </c>
      <c r="J553" s="38" t="str">
        <f t="shared" si="86"/>
        <v/>
      </c>
      <c r="K553" s="38" t="str">
        <f t="shared" si="87"/>
        <v/>
      </c>
      <c r="L553" s="38" t="str">
        <f t="shared" si="88"/>
        <v/>
      </c>
      <c r="M553" s="38" t="str">
        <f>IF($A553="","",IF(H553=0,"",IF(Q553&lt;=0.000000001,MIN(0.8*0.75*'KT THAN'!$C$62,MAX('KT THAN'!$J$38:$J$58)),IFERROR(MIN(0.8*0.75*'KT THAN'!$C$62,INDEX('KT THAN'!$J$38:$J$58,MATCH(Q553,'KT THAN'!$L$38:$L$58,-1))+(INDEX('KT THAN'!$J$38:$J$58,MIN(21,MATCH(Q553,'KT THAN'!$L$38:$L$58,-1)+1))-INDEX('KT THAN'!$J$38:$J$58,MATCH(Q553,'KT THAN'!$L$38:$L$58,-1)))*(Q553-INDEX('KT THAN'!$L$38:$L$58,MATCH(Q553,'KT THAN'!$L$38:$L$58,-1)))/(INDEX('KT THAN'!$L$38:$L$58,MIN(21,MATCH(Q553,'KT THAN'!$L$38:$L$58,-1)+1))-INDEX('KT THAN'!$L$38:$L$58,MATCH(Q553,'KT THAN'!$L$38:$L$58,-1)))),MIN(0.8*0.75*'KT THAN'!$C$62,'KT THAN'!$C$68/Q553)))))</f>
        <v/>
      </c>
      <c r="N553" s="38" t="str">
        <f>IF($A553="","",IF(H553=0,"",IF(R553&lt;=0.000000001,MIN(0.8*0.75*'KT THAN'!$C$62,MAX('KT THAN'!$W$38:$W$58)),IFERROR(MIN(0.8*0.75*'KT THAN'!$C$62,INDEX('KT THAN'!$W$38:$W$58,MATCH(R553,'KT THAN'!$Y$38:$Y$58,-1))+(INDEX('KT THAN'!$W$38:$W$58,MIN(21,MATCH(R553,'KT THAN'!$Y$38:$Y$58,-1)+1))-INDEX('KT THAN'!$W$38:$W$58,MATCH(R553,'KT THAN'!$Y$38:$Y$58,-1)))*(R553-INDEX('KT THAN'!$Y$38:$Y$58,MATCH(R553,'KT THAN'!$Y$38:$Y$58,-1)))/(INDEX('KT THAN'!$Y$38:$Y$58,MIN(21,MATCH(R553,'KT THAN'!$Y$38:$Y$58,-1)+1))-INDEX('KT THAN'!$Y$38:$Y$58,MATCH(R553,'KT THAN'!$Y$38:$Y$58,-1)))),MIN(0.8*0.75*'KT THAN'!$C$62,'KT THAN'!$D$68/R553)))))</f>
        <v/>
      </c>
      <c r="O553" s="38" t="str">
        <f>IF($A553="","",IF(H553&lt;0,ABS(H553)/MAX('KT THAN'!$C$69,0.001)+'KT THAN'!$C$32*ABS(J553)/MAX('KT THAN'!$C$68,0.001)+'KT THAN'!$D$32*ABS(I553)/MAX('KT THAN'!$D$68,0.001),IF(OR(M553&lt;=0,N553&lt;=0),999,IF(H553&gt;=0.1*0.75*fc_*Agth*1000,H553/MAX(0.001,1/(1/M553+1/N553-1/(0.75*'KT THAN'!$C$62))),'KT THAN'!$C$32*ABS(J553)/MAX('KT THAN'!$C$68,0.001)+'KT THAN'!$D$32*ABS(I553)/MAX('KT THAN'!$D$68,0.001)))))</f>
        <v/>
      </c>
      <c r="P553" s="37" t="str">
        <f t="shared" si="89"/>
        <v/>
      </c>
      <c r="Q553" s="38" t="str">
        <f>IF($A553="","",MAX(0.001,'KT THAN'!$C$32*ABS(J553)/MAX(1,H553)))</f>
        <v/>
      </c>
      <c r="R553" s="38" t="str">
        <f>IF($A553="","",MAX(0.001,'KT THAN'!$D$32*ABS(I553)/MAX(1,H553)))</f>
        <v/>
      </c>
      <c r="S553" t="str">
        <f t="shared" si="83"/>
        <v/>
      </c>
    </row>
    <row r="554" spans="1:19" hidden="1" outlineLevel="1" x14ac:dyDescent="0.3">
      <c r="A554" s="37" t="str">
        <f>IF(OR(nThan=1,'TO HOP NLAN'!$A110=""),"",'TO HOP NLAN'!$A110)</f>
        <v/>
      </c>
      <c r="B554" s="38" t="str">
        <f>IF($A554="","",'TO HOP NLAN'!$D110)</f>
        <v/>
      </c>
      <c r="C554" s="38" t="str">
        <f>IF($A554="","",'TO HOP NLAN'!$E110)</f>
        <v/>
      </c>
      <c r="D554" s="38" t="str">
        <f>IF($A554="","",'TO HOP NLAN'!$F110)</f>
        <v/>
      </c>
      <c r="E554" s="38" t="str">
        <f>IF($A554="","",'TO HOP NLAN'!$B110)</f>
        <v/>
      </c>
      <c r="F554" s="38" t="str">
        <f>IF($A554="","",'TO HOP NLAN'!$C110)</f>
        <v/>
      </c>
      <c r="G554" s="38" t="str">
        <f t="shared" si="84"/>
        <v/>
      </c>
      <c r="H554" s="38" t="str">
        <f t="shared" si="82"/>
        <v/>
      </c>
      <c r="I554" s="38" t="str">
        <f t="shared" si="85"/>
        <v/>
      </c>
      <c r="J554" s="38" t="str">
        <f t="shared" si="86"/>
        <v/>
      </c>
      <c r="K554" s="38" t="str">
        <f t="shared" si="87"/>
        <v/>
      </c>
      <c r="L554" s="38" t="str">
        <f t="shared" si="88"/>
        <v/>
      </c>
      <c r="M554" s="38" t="str">
        <f>IF($A554="","",IF(H554=0,"",IF(Q554&lt;=0.000000001,MIN(0.8*0.75*'KT THAN'!$C$62,MAX('KT THAN'!$J$38:$J$58)),IFERROR(MIN(0.8*0.75*'KT THAN'!$C$62,INDEX('KT THAN'!$J$38:$J$58,MATCH(Q554,'KT THAN'!$L$38:$L$58,-1))+(INDEX('KT THAN'!$J$38:$J$58,MIN(21,MATCH(Q554,'KT THAN'!$L$38:$L$58,-1)+1))-INDEX('KT THAN'!$J$38:$J$58,MATCH(Q554,'KT THAN'!$L$38:$L$58,-1)))*(Q554-INDEX('KT THAN'!$L$38:$L$58,MATCH(Q554,'KT THAN'!$L$38:$L$58,-1)))/(INDEX('KT THAN'!$L$38:$L$58,MIN(21,MATCH(Q554,'KT THAN'!$L$38:$L$58,-1)+1))-INDEX('KT THAN'!$L$38:$L$58,MATCH(Q554,'KT THAN'!$L$38:$L$58,-1)))),MIN(0.8*0.75*'KT THAN'!$C$62,'KT THAN'!$C$68/Q554)))))</f>
        <v/>
      </c>
      <c r="N554" s="38" t="str">
        <f>IF($A554="","",IF(H554=0,"",IF(R554&lt;=0.000000001,MIN(0.8*0.75*'KT THAN'!$C$62,MAX('KT THAN'!$W$38:$W$58)),IFERROR(MIN(0.8*0.75*'KT THAN'!$C$62,INDEX('KT THAN'!$W$38:$W$58,MATCH(R554,'KT THAN'!$Y$38:$Y$58,-1))+(INDEX('KT THAN'!$W$38:$W$58,MIN(21,MATCH(R554,'KT THAN'!$Y$38:$Y$58,-1)+1))-INDEX('KT THAN'!$W$38:$W$58,MATCH(R554,'KT THAN'!$Y$38:$Y$58,-1)))*(R554-INDEX('KT THAN'!$Y$38:$Y$58,MATCH(R554,'KT THAN'!$Y$38:$Y$58,-1)))/(INDEX('KT THAN'!$Y$38:$Y$58,MIN(21,MATCH(R554,'KT THAN'!$Y$38:$Y$58,-1)+1))-INDEX('KT THAN'!$Y$38:$Y$58,MATCH(R554,'KT THAN'!$Y$38:$Y$58,-1)))),MIN(0.8*0.75*'KT THAN'!$C$62,'KT THAN'!$D$68/R554)))))</f>
        <v/>
      </c>
      <c r="O554" s="38" t="str">
        <f>IF($A554="","",IF(H554&lt;0,ABS(H554)/MAX('KT THAN'!$C$69,0.001)+'KT THAN'!$C$32*ABS(J554)/MAX('KT THAN'!$C$68,0.001)+'KT THAN'!$D$32*ABS(I554)/MAX('KT THAN'!$D$68,0.001),IF(OR(M554&lt;=0,N554&lt;=0),999,IF(H554&gt;=0.1*0.75*fc_*Agth*1000,H554/MAX(0.001,1/(1/M554+1/N554-1/(0.75*'KT THAN'!$C$62))),'KT THAN'!$C$32*ABS(J554)/MAX('KT THAN'!$C$68,0.001)+'KT THAN'!$D$32*ABS(I554)/MAX('KT THAN'!$D$68,0.001)))))</f>
        <v/>
      </c>
      <c r="P554" s="37" t="str">
        <f t="shared" si="89"/>
        <v/>
      </c>
      <c r="Q554" s="38" t="str">
        <f>IF($A554="","",MAX(0.001,'KT THAN'!$C$32*ABS(J554)/MAX(1,H554)))</f>
        <v/>
      </c>
      <c r="R554" s="38" t="str">
        <f>IF($A554="","",MAX(0.001,'KT THAN'!$D$32*ABS(I554)/MAX(1,H554)))</f>
        <v/>
      </c>
      <c r="S554" t="str">
        <f t="shared" si="83"/>
        <v/>
      </c>
    </row>
    <row r="555" spans="1:19" hidden="1" outlineLevel="1" x14ac:dyDescent="0.3">
      <c r="A555" s="37" t="str">
        <f>IF(OR(nThan=1,'TO HOP NLAN'!$A111=""),"",'TO HOP NLAN'!$A111)</f>
        <v/>
      </c>
      <c r="B555" s="38" t="str">
        <f>IF($A555="","",'TO HOP NLAN'!$D111)</f>
        <v/>
      </c>
      <c r="C555" s="38" t="str">
        <f>IF($A555="","",'TO HOP NLAN'!$E111)</f>
        <v/>
      </c>
      <c r="D555" s="38" t="str">
        <f>IF($A555="","",'TO HOP NLAN'!$F111)</f>
        <v/>
      </c>
      <c r="E555" s="38" t="str">
        <f>IF($A555="","",'TO HOP NLAN'!$B111)</f>
        <v/>
      </c>
      <c r="F555" s="38" t="str">
        <f>IF($A555="","",'TO HOP NLAN'!$C111)</f>
        <v/>
      </c>
      <c r="G555" s="38" t="str">
        <f t="shared" si="84"/>
        <v/>
      </c>
      <c r="H555" s="38" t="str">
        <f t="shared" si="82"/>
        <v/>
      </c>
      <c r="I555" s="38" t="str">
        <f t="shared" si="85"/>
        <v/>
      </c>
      <c r="J555" s="38" t="str">
        <f t="shared" si="86"/>
        <v/>
      </c>
      <c r="K555" s="38" t="str">
        <f t="shared" si="87"/>
        <v/>
      </c>
      <c r="L555" s="38" t="str">
        <f t="shared" si="88"/>
        <v/>
      </c>
      <c r="M555" s="38" t="str">
        <f>IF($A555="","",IF(H555=0,"",IF(Q555&lt;=0.000000001,MIN(0.8*0.75*'KT THAN'!$C$62,MAX('KT THAN'!$J$38:$J$58)),IFERROR(MIN(0.8*0.75*'KT THAN'!$C$62,INDEX('KT THAN'!$J$38:$J$58,MATCH(Q555,'KT THAN'!$L$38:$L$58,-1))+(INDEX('KT THAN'!$J$38:$J$58,MIN(21,MATCH(Q555,'KT THAN'!$L$38:$L$58,-1)+1))-INDEX('KT THAN'!$J$38:$J$58,MATCH(Q555,'KT THAN'!$L$38:$L$58,-1)))*(Q555-INDEX('KT THAN'!$L$38:$L$58,MATCH(Q555,'KT THAN'!$L$38:$L$58,-1)))/(INDEX('KT THAN'!$L$38:$L$58,MIN(21,MATCH(Q555,'KT THAN'!$L$38:$L$58,-1)+1))-INDEX('KT THAN'!$L$38:$L$58,MATCH(Q555,'KT THAN'!$L$38:$L$58,-1)))),MIN(0.8*0.75*'KT THAN'!$C$62,'KT THAN'!$C$68/Q555)))))</f>
        <v/>
      </c>
      <c r="N555" s="38" t="str">
        <f>IF($A555="","",IF(H555=0,"",IF(R555&lt;=0.000000001,MIN(0.8*0.75*'KT THAN'!$C$62,MAX('KT THAN'!$W$38:$W$58)),IFERROR(MIN(0.8*0.75*'KT THAN'!$C$62,INDEX('KT THAN'!$W$38:$W$58,MATCH(R555,'KT THAN'!$Y$38:$Y$58,-1))+(INDEX('KT THAN'!$W$38:$W$58,MIN(21,MATCH(R555,'KT THAN'!$Y$38:$Y$58,-1)+1))-INDEX('KT THAN'!$W$38:$W$58,MATCH(R555,'KT THAN'!$Y$38:$Y$58,-1)))*(R555-INDEX('KT THAN'!$Y$38:$Y$58,MATCH(R555,'KT THAN'!$Y$38:$Y$58,-1)))/(INDEX('KT THAN'!$Y$38:$Y$58,MIN(21,MATCH(R555,'KT THAN'!$Y$38:$Y$58,-1)+1))-INDEX('KT THAN'!$Y$38:$Y$58,MATCH(R555,'KT THAN'!$Y$38:$Y$58,-1)))),MIN(0.8*0.75*'KT THAN'!$C$62,'KT THAN'!$D$68/R555)))))</f>
        <v/>
      </c>
      <c r="O555" s="38" t="str">
        <f>IF($A555="","",IF(H555&lt;0,ABS(H555)/MAX('KT THAN'!$C$69,0.001)+'KT THAN'!$C$32*ABS(J555)/MAX('KT THAN'!$C$68,0.001)+'KT THAN'!$D$32*ABS(I555)/MAX('KT THAN'!$D$68,0.001),IF(OR(M555&lt;=0,N555&lt;=0),999,IF(H555&gt;=0.1*0.75*fc_*Agth*1000,H555/MAX(0.001,1/(1/M555+1/N555-1/(0.75*'KT THAN'!$C$62))),'KT THAN'!$C$32*ABS(J555)/MAX('KT THAN'!$C$68,0.001)+'KT THAN'!$D$32*ABS(I555)/MAX('KT THAN'!$D$68,0.001)))))</f>
        <v/>
      </c>
      <c r="P555" s="37" t="str">
        <f t="shared" si="89"/>
        <v/>
      </c>
      <c r="Q555" s="38" t="str">
        <f>IF($A555="","",MAX(0.001,'KT THAN'!$C$32*ABS(J555)/MAX(1,H555)))</f>
        <v/>
      </c>
      <c r="R555" s="38" t="str">
        <f>IF($A555="","",MAX(0.001,'KT THAN'!$D$32*ABS(I555)/MAX(1,H555)))</f>
        <v/>
      </c>
      <c r="S555" t="str">
        <f t="shared" si="83"/>
        <v/>
      </c>
    </row>
    <row r="556" spans="1:19" hidden="1" outlineLevel="1" x14ac:dyDescent="0.3">
      <c r="A556" s="37" t="str">
        <f>IF(OR(nThan=1,'TO HOP NLAN'!$A112=""),"",'TO HOP NLAN'!$A112)</f>
        <v/>
      </c>
      <c r="B556" s="38" t="str">
        <f>IF($A556="","",'TO HOP NLAN'!$D112)</f>
        <v/>
      </c>
      <c r="C556" s="38" t="str">
        <f>IF($A556="","",'TO HOP NLAN'!$E112)</f>
        <v/>
      </c>
      <c r="D556" s="38" t="str">
        <f>IF($A556="","",'TO HOP NLAN'!$F112)</f>
        <v/>
      </c>
      <c r="E556" s="38" t="str">
        <f>IF($A556="","",'TO HOP NLAN'!$B112)</f>
        <v/>
      </c>
      <c r="F556" s="38" t="str">
        <f>IF($A556="","",'TO HOP NLAN'!$C112)</f>
        <v/>
      </c>
      <c r="G556" s="38" t="str">
        <f t="shared" si="84"/>
        <v/>
      </c>
      <c r="H556" s="38" t="str">
        <f t="shared" si="82"/>
        <v/>
      </c>
      <c r="I556" s="38" t="str">
        <f t="shared" si="85"/>
        <v/>
      </c>
      <c r="J556" s="38" t="str">
        <f t="shared" si="86"/>
        <v/>
      </c>
      <c r="K556" s="38" t="str">
        <f t="shared" si="87"/>
        <v/>
      </c>
      <c r="L556" s="38" t="str">
        <f t="shared" si="88"/>
        <v/>
      </c>
      <c r="M556" s="38" t="str">
        <f>IF($A556="","",IF(H556=0,"",IF(Q556&lt;=0.000000001,MIN(0.8*0.75*'KT THAN'!$C$62,MAX('KT THAN'!$J$38:$J$58)),IFERROR(MIN(0.8*0.75*'KT THAN'!$C$62,INDEX('KT THAN'!$J$38:$J$58,MATCH(Q556,'KT THAN'!$L$38:$L$58,-1))+(INDEX('KT THAN'!$J$38:$J$58,MIN(21,MATCH(Q556,'KT THAN'!$L$38:$L$58,-1)+1))-INDEX('KT THAN'!$J$38:$J$58,MATCH(Q556,'KT THAN'!$L$38:$L$58,-1)))*(Q556-INDEX('KT THAN'!$L$38:$L$58,MATCH(Q556,'KT THAN'!$L$38:$L$58,-1)))/(INDEX('KT THAN'!$L$38:$L$58,MIN(21,MATCH(Q556,'KT THAN'!$L$38:$L$58,-1)+1))-INDEX('KT THAN'!$L$38:$L$58,MATCH(Q556,'KT THAN'!$L$38:$L$58,-1)))),MIN(0.8*0.75*'KT THAN'!$C$62,'KT THAN'!$C$68/Q556)))))</f>
        <v/>
      </c>
      <c r="N556" s="38" t="str">
        <f>IF($A556="","",IF(H556=0,"",IF(R556&lt;=0.000000001,MIN(0.8*0.75*'KT THAN'!$C$62,MAX('KT THAN'!$W$38:$W$58)),IFERROR(MIN(0.8*0.75*'KT THAN'!$C$62,INDEX('KT THAN'!$W$38:$W$58,MATCH(R556,'KT THAN'!$Y$38:$Y$58,-1))+(INDEX('KT THAN'!$W$38:$W$58,MIN(21,MATCH(R556,'KT THAN'!$Y$38:$Y$58,-1)+1))-INDEX('KT THAN'!$W$38:$W$58,MATCH(R556,'KT THAN'!$Y$38:$Y$58,-1)))*(R556-INDEX('KT THAN'!$Y$38:$Y$58,MATCH(R556,'KT THAN'!$Y$38:$Y$58,-1)))/(INDEX('KT THAN'!$Y$38:$Y$58,MIN(21,MATCH(R556,'KT THAN'!$Y$38:$Y$58,-1)+1))-INDEX('KT THAN'!$Y$38:$Y$58,MATCH(R556,'KT THAN'!$Y$38:$Y$58,-1)))),MIN(0.8*0.75*'KT THAN'!$C$62,'KT THAN'!$D$68/R556)))))</f>
        <v/>
      </c>
      <c r="O556" s="38" t="str">
        <f>IF($A556="","",IF(H556&lt;0,ABS(H556)/MAX('KT THAN'!$C$69,0.001)+'KT THAN'!$C$32*ABS(J556)/MAX('KT THAN'!$C$68,0.001)+'KT THAN'!$D$32*ABS(I556)/MAX('KT THAN'!$D$68,0.001),IF(OR(M556&lt;=0,N556&lt;=0),999,IF(H556&gt;=0.1*0.75*fc_*Agth*1000,H556/MAX(0.001,1/(1/M556+1/N556-1/(0.75*'KT THAN'!$C$62))),'KT THAN'!$C$32*ABS(J556)/MAX('KT THAN'!$C$68,0.001)+'KT THAN'!$D$32*ABS(I556)/MAX('KT THAN'!$D$68,0.001)))))</f>
        <v/>
      </c>
      <c r="P556" s="37" t="str">
        <f t="shared" si="89"/>
        <v/>
      </c>
      <c r="Q556" s="38" t="str">
        <f>IF($A556="","",MAX(0.001,'KT THAN'!$C$32*ABS(J556)/MAX(1,H556)))</f>
        <v/>
      </c>
      <c r="R556" s="38" t="str">
        <f>IF($A556="","",MAX(0.001,'KT THAN'!$D$32*ABS(I556)/MAX(1,H556)))</f>
        <v/>
      </c>
      <c r="S556" t="str">
        <f t="shared" si="83"/>
        <v/>
      </c>
    </row>
    <row r="557" spans="1:19" hidden="1" outlineLevel="1" x14ac:dyDescent="0.3">
      <c r="A557" s="37" t="str">
        <f>IF(OR(nThan=1,'TO HOP NLAN'!$A113=""),"",'TO HOP NLAN'!$A113)</f>
        <v/>
      </c>
      <c r="B557" s="38" t="str">
        <f>IF($A557="","",'TO HOP NLAN'!$D113)</f>
        <v/>
      </c>
      <c r="C557" s="38" t="str">
        <f>IF($A557="","",'TO HOP NLAN'!$E113)</f>
        <v/>
      </c>
      <c r="D557" s="38" t="str">
        <f>IF($A557="","",'TO HOP NLAN'!$F113)</f>
        <v/>
      </c>
      <c r="E557" s="38" t="str">
        <f>IF($A557="","",'TO HOP NLAN'!$B113)</f>
        <v/>
      </c>
      <c r="F557" s="38" t="str">
        <f>IF($A557="","",'TO HOP NLAN'!$C113)</f>
        <v/>
      </c>
      <c r="G557" s="38" t="str">
        <f t="shared" si="84"/>
        <v/>
      </c>
      <c r="H557" s="38" t="str">
        <f t="shared" si="82"/>
        <v/>
      </c>
      <c r="I557" s="38" t="str">
        <f t="shared" si="85"/>
        <v/>
      </c>
      <c r="J557" s="38" t="str">
        <f t="shared" si="86"/>
        <v/>
      </c>
      <c r="K557" s="38" t="str">
        <f t="shared" si="87"/>
        <v/>
      </c>
      <c r="L557" s="38" t="str">
        <f t="shared" si="88"/>
        <v/>
      </c>
      <c r="M557" s="38" t="str">
        <f>IF($A557="","",IF(H557=0,"",IF(Q557&lt;=0.000000001,MIN(0.8*0.75*'KT THAN'!$C$62,MAX('KT THAN'!$J$38:$J$58)),IFERROR(MIN(0.8*0.75*'KT THAN'!$C$62,INDEX('KT THAN'!$J$38:$J$58,MATCH(Q557,'KT THAN'!$L$38:$L$58,-1))+(INDEX('KT THAN'!$J$38:$J$58,MIN(21,MATCH(Q557,'KT THAN'!$L$38:$L$58,-1)+1))-INDEX('KT THAN'!$J$38:$J$58,MATCH(Q557,'KT THAN'!$L$38:$L$58,-1)))*(Q557-INDEX('KT THAN'!$L$38:$L$58,MATCH(Q557,'KT THAN'!$L$38:$L$58,-1)))/(INDEX('KT THAN'!$L$38:$L$58,MIN(21,MATCH(Q557,'KT THAN'!$L$38:$L$58,-1)+1))-INDEX('KT THAN'!$L$38:$L$58,MATCH(Q557,'KT THAN'!$L$38:$L$58,-1)))),MIN(0.8*0.75*'KT THAN'!$C$62,'KT THAN'!$C$68/Q557)))))</f>
        <v/>
      </c>
      <c r="N557" s="38" t="str">
        <f>IF($A557="","",IF(H557=0,"",IF(R557&lt;=0.000000001,MIN(0.8*0.75*'KT THAN'!$C$62,MAX('KT THAN'!$W$38:$W$58)),IFERROR(MIN(0.8*0.75*'KT THAN'!$C$62,INDEX('KT THAN'!$W$38:$W$58,MATCH(R557,'KT THAN'!$Y$38:$Y$58,-1))+(INDEX('KT THAN'!$W$38:$W$58,MIN(21,MATCH(R557,'KT THAN'!$Y$38:$Y$58,-1)+1))-INDEX('KT THAN'!$W$38:$W$58,MATCH(R557,'KT THAN'!$Y$38:$Y$58,-1)))*(R557-INDEX('KT THAN'!$Y$38:$Y$58,MATCH(R557,'KT THAN'!$Y$38:$Y$58,-1)))/(INDEX('KT THAN'!$Y$38:$Y$58,MIN(21,MATCH(R557,'KT THAN'!$Y$38:$Y$58,-1)+1))-INDEX('KT THAN'!$Y$38:$Y$58,MATCH(R557,'KT THAN'!$Y$38:$Y$58,-1)))),MIN(0.8*0.75*'KT THAN'!$C$62,'KT THAN'!$D$68/R557)))))</f>
        <v/>
      </c>
      <c r="O557" s="38" t="str">
        <f>IF($A557="","",IF(H557&lt;0,ABS(H557)/MAX('KT THAN'!$C$69,0.001)+'KT THAN'!$C$32*ABS(J557)/MAX('KT THAN'!$C$68,0.001)+'KT THAN'!$D$32*ABS(I557)/MAX('KT THAN'!$D$68,0.001),IF(OR(M557&lt;=0,N557&lt;=0),999,IF(H557&gt;=0.1*0.75*fc_*Agth*1000,H557/MAX(0.001,1/(1/M557+1/N557-1/(0.75*'KT THAN'!$C$62))),'KT THAN'!$C$32*ABS(J557)/MAX('KT THAN'!$C$68,0.001)+'KT THAN'!$D$32*ABS(I557)/MAX('KT THAN'!$D$68,0.001)))))</f>
        <v/>
      </c>
      <c r="P557" s="37" t="str">
        <f t="shared" si="89"/>
        <v/>
      </c>
      <c r="Q557" s="38" t="str">
        <f>IF($A557="","",MAX(0.001,'KT THAN'!$C$32*ABS(J557)/MAX(1,H557)))</f>
        <v/>
      </c>
      <c r="R557" s="38" t="str">
        <f>IF($A557="","",MAX(0.001,'KT THAN'!$D$32*ABS(I557)/MAX(1,H557)))</f>
        <v/>
      </c>
      <c r="S557" t="str">
        <f t="shared" si="83"/>
        <v/>
      </c>
    </row>
    <row r="558" spans="1:19" hidden="1" outlineLevel="1" x14ac:dyDescent="0.3">
      <c r="A558" s="37" t="str">
        <f>IF(OR(nThan=1,'TO HOP NLAN'!$A114=""),"",'TO HOP NLAN'!$A114)</f>
        <v/>
      </c>
      <c r="B558" s="38" t="str">
        <f>IF($A558="","",'TO HOP NLAN'!$D114)</f>
        <v/>
      </c>
      <c r="C558" s="38" t="str">
        <f>IF($A558="","",'TO HOP NLAN'!$E114)</f>
        <v/>
      </c>
      <c r="D558" s="38" t="str">
        <f>IF($A558="","",'TO HOP NLAN'!$F114)</f>
        <v/>
      </c>
      <c r="E558" s="38" t="str">
        <f>IF($A558="","",'TO HOP NLAN'!$B114)</f>
        <v/>
      </c>
      <c r="F558" s="38" t="str">
        <f>IF($A558="","",'TO HOP NLAN'!$C114)</f>
        <v/>
      </c>
      <c r="G558" s="38" t="str">
        <f t="shared" si="84"/>
        <v/>
      </c>
      <c r="H558" s="38" t="str">
        <f t="shared" si="82"/>
        <v/>
      </c>
      <c r="I558" s="38" t="str">
        <f t="shared" si="85"/>
        <v/>
      </c>
      <c r="J558" s="38" t="str">
        <f t="shared" si="86"/>
        <v/>
      </c>
      <c r="K558" s="38" t="str">
        <f t="shared" si="87"/>
        <v/>
      </c>
      <c r="L558" s="38" t="str">
        <f t="shared" si="88"/>
        <v/>
      </c>
      <c r="M558" s="38" t="str">
        <f>IF($A558="","",IF(H558=0,"",IF(Q558&lt;=0.000000001,MIN(0.8*0.75*'KT THAN'!$C$62,MAX('KT THAN'!$J$38:$J$58)),IFERROR(MIN(0.8*0.75*'KT THAN'!$C$62,INDEX('KT THAN'!$J$38:$J$58,MATCH(Q558,'KT THAN'!$L$38:$L$58,-1))+(INDEX('KT THAN'!$J$38:$J$58,MIN(21,MATCH(Q558,'KT THAN'!$L$38:$L$58,-1)+1))-INDEX('KT THAN'!$J$38:$J$58,MATCH(Q558,'KT THAN'!$L$38:$L$58,-1)))*(Q558-INDEX('KT THAN'!$L$38:$L$58,MATCH(Q558,'KT THAN'!$L$38:$L$58,-1)))/(INDEX('KT THAN'!$L$38:$L$58,MIN(21,MATCH(Q558,'KT THAN'!$L$38:$L$58,-1)+1))-INDEX('KT THAN'!$L$38:$L$58,MATCH(Q558,'KT THAN'!$L$38:$L$58,-1)))),MIN(0.8*0.75*'KT THAN'!$C$62,'KT THAN'!$C$68/Q558)))))</f>
        <v/>
      </c>
      <c r="N558" s="38" t="str">
        <f>IF($A558="","",IF(H558=0,"",IF(R558&lt;=0.000000001,MIN(0.8*0.75*'KT THAN'!$C$62,MAX('KT THAN'!$W$38:$W$58)),IFERROR(MIN(0.8*0.75*'KT THAN'!$C$62,INDEX('KT THAN'!$W$38:$W$58,MATCH(R558,'KT THAN'!$Y$38:$Y$58,-1))+(INDEX('KT THAN'!$W$38:$W$58,MIN(21,MATCH(R558,'KT THAN'!$Y$38:$Y$58,-1)+1))-INDEX('KT THAN'!$W$38:$W$58,MATCH(R558,'KT THAN'!$Y$38:$Y$58,-1)))*(R558-INDEX('KT THAN'!$Y$38:$Y$58,MATCH(R558,'KT THAN'!$Y$38:$Y$58,-1)))/(INDEX('KT THAN'!$Y$38:$Y$58,MIN(21,MATCH(R558,'KT THAN'!$Y$38:$Y$58,-1)+1))-INDEX('KT THAN'!$Y$38:$Y$58,MATCH(R558,'KT THAN'!$Y$38:$Y$58,-1)))),MIN(0.8*0.75*'KT THAN'!$C$62,'KT THAN'!$D$68/R558)))))</f>
        <v/>
      </c>
      <c r="O558" s="38" t="str">
        <f>IF($A558="","",IF(H558&lt;0,ABS(H558)/MAX('KT THAN'!$C$69,0.001)+'KT THAN'!$C$32*ABS(J558)/MAX('KT THAN'!$C$68,0.001)+'KT THAN'!$D$32*ABS(I558)/MAX('KT THAN'!$D$68,0.001),IF(OR(M558&lt;=0,N558&lt;=0),999,IF(H558&gt;=0.1*0.75*fc_*Agth*1000,H558/MAX(0.001,1/(1/M558+1/N558-1/(0.75*'KT THAN'!$C$62))),'KT THAN'!$C$32*ABS(J558)/MAX('KT THAN'!$C$68,0.001)+'KT THAN'!$D$32*ABS(I558)/MAX('KT THAN'!$D$68,0.001)))))</f>
        <v/>
      </c>
      <c r="P558" s="37" t="str">
        <f t="shared" si="89"/>
        <v/>
      </c>
      <c r="Q558" s="38" t="str">
        <f>IF($A558="","",MAX(0.001,'KT THAN'!$C$32*ABS(J558)/MAX(1,H558)))</f>
        <v/>
      </c>
      <c r="R558" s="38" t="str">
        <f>IF($A558="","",MAX(0.001,'KT THAN'!$D$32*ABS(I558)/MAX(1,H558)))</f>
        <v/>
      </c>
      <c r="S558" t="str">
        <f t="shared" si="83"/>
        <v/>
      </c>
    </row>
    <row r="559" spans="1:19" hidden="1" outlineLevel="1" x14ac:dyDescent="0.3">
      <c r="A559" s="37" t="str">
        <f>IF(OR(nThan=1,'TO HOP NLAN'!$A115=""),"",'TO HOP NLAN'!$A115)</f>
        <v/>
      </c>
      <c r="B559" s="38" t="str">
        <f>IF($A559="","",'TO HOP NLAN'!$D115)</f>
        <v/>
      </c>
      <c r="C559" s="38" t="str">
        <f>IF($A559="","",'TO HOP NLAN'!$E115)</f>
        <v/>
      </c>
      <c r="D559" s="38" t="str">
        <f>IF($A559="","",'TO HOP NLAN'!$F115)</f>
        <v/>
      </c>
      <c r="E559" s="38" t="str">
        <f>IF($A559="","",'TO HOP NLAN'!$B115)</f>
        <v/>
      </c>
      <c r="F559" s="38" t="str">
        <f>IF($A559="","",'TO HOP NLAN'!$C115)</f>
        <v/>
      </c>
      <c r="G559" s="38" t="str">
        <f t="shared" si="84"/>
        <v/>
      </c>
      <c r="H559" s="38" t="str">
        <f t="shared" si="82"/>
        <v/>
      </c>
      <c r="I559" s="38" t="str">
        <f t="shared" si="85"/>
        <v/>
      </c>
      <c r="J559" s="38" t="str">
        <f t="shared" si="86"/>
        <v/>
      </c>
      <c r="K559" s="38" t="str">
        <f t="shared" si="87"/>
        <v/>
      </c>
      <c r="L559" s="38" t="str">
        <f t="shared" si="88"/>
        <v/>
      </c>
      <c r="M559" s="38" t="str">
        <f>IF($A559="","",IF(H559=0,"",IF(Q559&lt;=0.000000001,MIN(0.8*0.75*'KT THAN'!$C$62,MAX('KT THAN'!$J$38:$J$58)),IFERROR(MIN(0.8*0.75*'KT THAN'!$C$62,INDEX('KT THAN'!$J$38:$J$58,MATCH(Q559,'KT THAN'!$L$38:$L$58,-1))+(INDEX('KT THAN'!$J$38:$J$58,MIN(21,MATCH(Q559,'KT THAN'!$L$38:$L$58,-1)+1))-INDEX('KT THAN'!$J$38:$J$58,MATCH(Q559,'KT THAN'!$L$38:$L$58,-1)))*(Q559-INDEX('KT THAN'!$L$38:$L$58,MATCH(Q559,'KT THAN'!$L$38:$L$58,-1)))/(INDEX('KT THAN'!$L$38:$L$58,MIN(21,MATCH(Q559,'KT THAN'!$L$38:$L$58,-1)+1))-INDEX('KT THAN'!$L$38:$L$58,MATCH(Q559,'KT THAN'!$L$38:$L$58,-1)))),MIN(0.8*0.75*'KT THAN'!$C$62,'KT THAN'!$C$68/Q559)))))</f>
        <v/>
      </c>
      <c r="N559" s="38" t="str">
        <f>IF($A559="","",IF(H559=0,"",IF(R559&lt;=0.000000001,MIN(0.8*0.75*'KT THAN'!$C$62,MAX('KT THAN'!$W$38:$W$58)),IFERROR(MIN(0.8*0.75*'KT THAN'!$C$62,INDEX('KT THAN'!$W$38:$W$58,MATCH(R559,'KT THAN'!$Y$38:$Y$58,-1))+(INDEX('KT THAN'!$W$38:$W$58,MIN(21,MATCH(R559,'KT THAN'!$Y$38:$Y$58,-1)+1))-INDEX('KT THAN'!$W$38:$W$58,MATCH(R559,'KT THAN'!$Y$38:$Y$58,-1)))*(R559-INDEX('KT THAN'!$Y$38:$Y$58,MATCH(R559,'KT THAN'!$Y$38:$Y$58,-1)))/(INDEX('KT THAN'!$Y$38:$Y$58,MIN(21,MATCH(R559,'KT THAN'!$Y$38:$Y$58,-1)+1))-INDEX('KT THAN'!$Y$38:$Y$58,MATCH(R559,'KT THAN'!$Y$38:$Y$58,-1)))),MIN(0.8*0.75*'KT THAN'!$C$62,'KT THAN'!$D$68/R559)))))</f>
        <v/>
      </c>
      <c r="O559" s="38" t="str">
        <f>IF($A559="","",IF(H559&lt;0,ABS(H559)/MAX('KT THAN'!$C$69,0.001)+'KT THAN'!$C$32*ABS(J559)/MAX('KT THAN'!$C$68,0.001)+'KT THAN'!$D$32*ABS(I559)/MAX('KT THAN'!$D$68,0.001),IF(OR(M559&lt;=0,N559&lt;=0),999,IF(H559&gt;=0.1*0.75*fc_*Agth*1000,H559/MAX(0.001,1/(1/M559+1/N559-1/(0.75*'KT THAN'!$C$62))),'KT THAN'!$C$32*ABS(J559)/MAX('KT THAN'!$C$68,0.001)+'KT THAN'!$D$32*ABS(I559)/MAX('KT THAN'!$D$68,0.001)))))</f>
        <v/>
      </c>
      <c r="P559" s="37" t="str">
        <f t="shared" si="89"/>
        <v/>
      </c>
      <c r="Q559" s="38" t="str">
        <f>IF($A559="","",MAX(0.001,'KT THAN'!$C$32*ABS(J559)/MAX(1,H559)))</f>
        <v/>
      </c>
      <c r="R559" s="38" t="str">
        <f>IF($A559="","",MAX(0.001,'KT THAN'!$D$32*ABS(I559)/MAX(1,H559)))</f>
        <v/>
      </c>
      <c r="S559" t="str">
        <f t="shared" si="83"/>
        <v/>
      </c>
    </row>
    <row r="560" spans="1:19" hidden="1" outlineLevel="1" x14ac:dyDescent="0.3">
      <c r="A560" s="37" t="str">
        <f>IF(OR(nThan=1,'TO HOP NLAN'!$A116=""),"",'TO HOP NLAN'!$A116)</f>
        <v/>
      </c>
      <c r="B560" s="38" t="str">
        <f>IF($A560="","",'TO HOP NLAN'!$D116)</f>
        <v/>
      </c>
      <c r="C560" s="38" t="str">
        <f>IF($A560="","",'TO HOP NLAN'!$E116)</f>
        <v/>
      </c>
      <c r="D560" s="38" t="str">
        <f>IF($A560="","",'TO HOP NLAN'!$F116)</f>
        <v/>
      </c>
      <c r="E560" s="38" t="str">
        <f>IF($A560="","",'TO HOP NLAN'!$B116)</f>
        <v/>
      </c>
      <c r="F560" s="38" t="str">
        <f>IF($A560="","",'TO HOP NLAN'!$C116)</f>
        <v/>
      </c>
      <c r="G560" s="38" t="str">
        <f t="shared" si="84"/>
        <v/>
      </c>
      <c r="H560" s="38" t="str">
        <f t="shared" si="82"/>
        <v/>
      </c>
      <c r="I560" s="38" t="str">
        <f t="shared" si="85"/>
        <v/>
      </c>
      <c r="J560" s="38" t="str">
        <f t="shared" si="86"/>
        <v/>
      </c>
      <c r="K560" s="38" t="str">
        <f t="shared" si="87"/>
        <v/>
      </c>
      <c r="L560" s="38" t="str">
        <f t="shared" si="88"/>
        <v/>
      </c>
      <c r="M560" s="38" t="str">
        <f>IF($A560="","",IF(H560=0,"",IF(Q560&lt;=0.000000001,MIN(0.8*0.75*'KT THAN'!$C$62,MAX('KT THAN'!$J$38:$J$58)),IFERROR(MIN(0.8*0.75*'KT THAN'!$C$62,INDEX('KT THAN'!$J$38:$J$58,MATCH(Q560,'KT THAN'!$L$38:$L$58,-1))+(INDEX('KT THAN'!$J$38:$J$58,MIN(21,MATCH(Q560,'KT THAN'!$L$38:$L$58,-1)+1))-INDEX('KT THAN'!$J$38:$J$58,MATCH(Q560,'KT THAN'!$L$38:$L$58,-1)))*(Q560-INDEX('KT THAN'!$L$38:$L$58,MATCH(Q560,'KT THAN'!$L$38:$L$58,-1)))/(INDEX('KT THAN'!$L$38:$L$58,MIN(21,MATCH(Q560,'KT THAN'!$L$38:$L$58,-1)+1))-INDEX('KT THAN'!$L$38:$L$58,MATCH(Q560,'KT THAN'!$L$38:$L$58,-1)))),MIN(0.8*0.75*'KT THAN'!$C$62,'KT THAN'!$C$68/Q560)))))</f>
        <v/>
      </c>
      <c r="N560" s="38" t="str">
        <f>IF($A560="","",IF(H560=0,"",IF(R560&lt;=0.000000001,MIN(0.8*0.75*'KT THAN'!$C$62,MAX('KT THAN'!$W$38:$W$58)),IFERROR(MIN(0.8*0.75*'KT THAN'!$C$62,INDEX('KT THAN'!$W$38:$W$58,MATCH(R560,'KT THAN'!$Y$38:$Y$58,-1))+(INDEX('KT THAN'!$W$38:$W$58,MIN(21,MATCH(R560,'KT THAN'!$Y$38:$Y$58,-1)+1))-INDEX('KT THAN'!$W$38:$W$58,MATCH(R560,'KT THAN'!$Y$38:$Y$58,-1)))*(R560-INDEX('KT THAN'!$Y$38:$Y$58,MATCH(R560,'KT THAN'!$Y$38:$Y$58,-1)))/(INDEX('KT THAN'!$Y$38:$Y$58,MIN(21,MATCH(R560,'KT THAN'!$Y$38:$Y$58,-1)+1))-INDEX('KT THAN'!$Y$38:$Y$58,MATCH(R560,'KT THAN'!$Y$38:$Y$58,-1)))),MIN(0.8*0.75*'KT THAN'!$C$62,'KT THAN'!$D$68/R560)))))</f>
        <v/>
      </c>
      <c r="O560" s="38" t="str">
        <f>IF($A560="","",IF(H560&lt;0,ABS(H560)/MAX('KT THAN'!$C$69,0.001)+'KT THAN'!$C$32*ABS(J560)/MAX('KT THAN'!$C$68,0.001)+'KT THAN'!$D$32*ABS(I560)/MAX('KT THAN'!$D$68,0.001),IF(OR(M560&lt;=0,N560&lt;=0),999,IF(H560&gt;=0.1*0.75*fc_*Agth*1000,H560/MAX(0.001,1/(1/M560+1/N560-1/(0.75*'KT THAN'!$C$62))),'KT THAN'!$C$32*ABS(J560)/MAX('KT THAN'!$C$68,0.001)+'KT THAN'!$D$32*ABS(I560)/MAX('KT THAN'!$D$68,0.001)))))</f>
        <v/>
      </c>
      <c r="P560" s="37" t="str">
        <f t="shared" si="89"/>
        <v/>
      </c>
      <c r="Q560" s="38" t="str">
        <f>IF($A560="","",MAX(0.001,'KT THAN'!$C$32*ABS(J560)/MAX(1,H560)))</f>
        <v/>
      </c>
      <c r="R560" s="38" t="str">
        <f>IF($A560="","",MAX(0.001,'KT THAN'!$D$32*ABS(I560)/MAX(1,H560)))</f>
        <v/>
      </c>
      <c r="S560" t="str">
        <f t="shared" si="83"/>
        <v/>
      </c>
    </row>
    <row r="561" spans="1:19" hidden="1" outlineLevel="1" x14ac:dyDescent="0.3">
      <c r="A561" s="37" t="str">
        <f>IF(OR(nThan=1,'TO HOP NLAN'!$A117=""),"",'TO HOP NLAN'!$A117)</f>
        <v/>
      </c>
      <c r="B561" s="38" t="str">
        <f>IF($A561="","",'TO HOP NLAN'!$D117)</f>
        <v/>
      </c>
      <c r="C561" s="38" t="str">
        <f>IF($A561="","",'TO HOP NLAN'!$E117)</f>
        <v/>
      </c>
      <c r="D561" s="38" t="str">
        <f>IF($A561="","",'TO HOP NLAN'!$F117)</f>
        <v/>
      </c>
      <c r="E561" s="38" t="str">
        <f>IF($A561="","",'TO HOP NLAN'!$B117)</f>
        <v/>
      </c>
      <c r="F561" s="38" t="str">
        <f>IF($A561="","",'TO HOP NLAN'!$C117)</f>
        <v/>
      </c>
      <c r="G561" s="38" t="str">
        <f t="shared" si="84"/>
        <v/>
      </c>
      <c r="H561" s="38" t="str">
        <f t="shared" si="82"/>
        <v/>
      </c>
      <c r="I561" s="38" t="str">
        <f t="shared" si="85"/>
        <v/>
      </c>
      <c r="J561" s="38" t="str">
        <f t="shared" si="86"/>
        <v/>
      </c>
      <c r="K561" s="38" t="str">
        <f t="shared" si="87"/>
        <v/>
      </c>
      <c r="L561" s="38" t="str">
        <f t="shared" si="88"/>
        <v/>
      </c>
      <c r="M561" s="38" t="str">
        <f>IF($A561="","",IF(H561=0,"",IF(Q561&lt;=0.000000001,MIN(0.8*0.75*'KT THAN'!$C$62,MAX('KT THAN'!$J$38:$J$58)),IFERROR(MIN(0.8*0.75*'KT THAN'!$C$62,INDEX('KT THAN'!$J$38:$J$58,MATCH(Q561,'KT THAN'!$L$38:$L$58,-1))+(INDEX('KT THAN'!$J$38:$J$58,MIN(21,MATCH(Q561,'KT THAN'!$L$38:$L$58,-1)+1))-INDEX('KT THAN'!$J$38:$J$58,MATCH(Q561,'KT THAN'!$L$38:$L$58,-1)))*(Q561-INDEX('KT THAN'!$L$38:$L$58,MATCH(Q561,'KT THAN'!$L$38:$L$58,-1)))/(INDEX('KT THAN'!$L$38:$L$58,MIN(21,MATCH(Q561,'KT THAN'!$L$38:$L$58,-1)+1))-INDEX('KT THAN'!$L$38:$L$58,MATCH(Q561,'KT THAN'!$L$38:$L$58,-1)))),MIN(0.8*0.75*'KT THAN'!$C$62,'KT THAN'!$C$68/Q561)))))</f>
        <v/>
      </c>
      <c r="N561" s="38" t="str">
        <f>IF($A561="","",IF(H561=0,"",IF(R561&lt;=0.000000001,MIN(0.8*0.75*'KT THAN'!$C$62,MAX('KT THAN'!$W$38:$W$58)),IFERROR(MIN(0.8*0.75*'KT THAN'!$C$62,INDEX('KT THAN'!$W$38:$W$58,MATCH(R561,'KT THAN'!$Y$38:$Y$58,-1))+(INDEX('KT THAN'!$W$38:$W$58,MIN(21,MATCH(R561,'KT THAN'!$Y$38:$Y$58,-1)+1))-INDEX('KT THAN'!$W$38:$W$58,MATCH(R561,'KT THAN'!$Y$38:$Y$58,-1)))*(R561-INDEX('KT THAN'!$Y$38:$Y$58,MATCH(R561,'KT THAN'!$Y$38:$Y$58,-1)))/(INDEX('KT THAN'!$Y$38:$Y$58,MIN(21,MATCH(R561,'KT THAN'!$Y$38:$Y$58,-1)+1))-INDEX('KT THAN'!$Y$38:$Y$58,MATCH(R561,'KT THAN'!$Y$38:$Y$58,-1)))),MIN(0.8*0.75*'KT THAN'!$C$62,'KT THAN'!$D$68/R561)))))</f>
        <v/>
      </c>
      <c r="O561" s="38" t="str">
        <f>IF($A561="","",IF(H561&lt;0,ABS(H561)/MAX('KT THAN'!$C$69,0.001)+'KT THAN'!$C$32*ABS(J561)/MAX('KT THAN'!$C$68,0.001)+'KT THAN'!$D$32*ABS(I561)/MAX('KT THAN'!$D$68,0.001),IF(OR(M561&lt;=0,N561&lt;=0),999,IF(H561&gt;=0.1*0.75*fc_*Agth*1000,H561/MAX(0.001,1/(1/M561+1/N561-1/(0.75*'KT THAN'!$C$62))),'KT THAN'!$C$32*ABS(J561)/MAX('KT THAN'!$C$68,0.001)+'KT THAN'!$D$32*ABS(I561)/MAX('KT THAN'!$D$68,0.001)))))</f>
        <v/>
      </c>
      <c r="P561" s="37" t="str">
        <f t="shared" si="89"/>
        <v/>
      </c>
      <c r="Q561" s="38" t="str">
        <f>IF($A561="","",MAX(0.001,'KT THAN'!$C$32*ABS(J561)/MAX(1,H561)))</f>
        <v/>
      </c>
      <c r="R561" s="38" t="str">
        <f>IF($A561="","",MAX(0.001,'KT THAN'!$D$32*ABS(I561)/MAX(1,H561)))</f>
        <v/>
      </c>
      <c r="S561" t="str">
        <f t="shared" si="83"/>
        <v/>
      </c>
    </row>
    <row r="562" spans="1:19" hidden="1" outlineLevel="1" x14ac:dyDescent="0.3">
      <c r="A562" s="37" t="str">
        <f>IF(OR(nThan=1,'TO HOP NLAN'!$A118=""),"",'TO HOP NLAN'!$A118)</f>
        <v/>
      </c>
      <c r="B562" s="38" t="str">
        <f>IF($A562="","",'TO HOP NLAN'!$D118)</f>
        <v/>
      </c>
      <c r="C562" s="38" t="str">
        <f>IF($A562="","",'TO HOP NLAN'!$E118)</f>
        <v/>
      </c>
      <c r="D562" s="38" t="str">
        <f>IF($A562="","",'TO HOP NLAN'!$F118)</f>
        <v/>
      </c>
      <c r="E562" s="38" t="str">
        <f>IF($A562="","",'TO HOP NLAN'!$B118)</f>
        <v/>
      </c>
      <c r="F562" s="38" t="str">
        <f>IF($A562="","",'TO HOP NLAN'!$C118)</f>
        <v/>
      </c>
      <c r="G562" s="38" t="str">
        <f t="shared" si="84"/>
        <v/>
      </c>
      <c r="H562" s="38" t="str">
        <f t="shared" si="82"/>
        <v/>
      </c>
      <c r="I562" s="38" t="str">
        <f t="shared" si="85"/>
        <v/>
      </c>
      <c r="J562" s="38" t="str">
        <f t="shared" si="86"/>
        <v/>
      </c>
      <c r="K562" s="38" t="str">
        <f t="shared" si="87"/>
        <v/>
      </c>
      <c r="L562" s="38" t="str">
        <f t="shared" si="88"/>
        <v/>
      </c>
      <c r="M562" s="38" t="str">
        <f>IF($A562="","",IF(H562=0,"",IF(Q562&lt;=0.000000001,MIN(0.8*0.75*'KT THAN'!$C$62,MAX('KT THAN'!$J$38:$J$58)),IFERROR(MIN(0.8*0.75*'KT THAN'!$C$62,INDEX('KT THAN'!$J$38:$J$58,MATCH(Q562,'KT THAN'!$L$38:$L$58,-1))+(INDEX('KT THAN'!$J$38:$J$58,MIN(21,MATCH(Q562,'KT THAN'!$L$38:$L$58,-1)+1))-INDEX('KT THAN'!$J$38:$J$58,MATCH(Q562,'KT THAN'!$L$38:$L$58,-1)))*(Q562-INDEX('KT THAN'!$L$38:$L$58,MATCH(Q562,'KT THAN'!$L$38:$L$58,-1)))/(INDEX('KT THAN'!$L$38:$L$58,MIN(21,MATCH(Q562,'KT THAN'!$L$38:$L$58,-1)+1))-INDEX('KT THAN'!$L$38:$L$58,MATCH(Q562,'KT THAN'!$L$38:$L$58,-1)))),MIN(0.8*0.75*'KT THAN'!$C$62,'KT THAN'!$C$68/Q562)))))</f>
        <v/>
      </c>
      <c r="N562" s="38" t="str">
        <f>IF($A562="","",IF(H562=0,"",IF(R562&lt;=0.000000001,MIN(0.8*0.75*'KT THAN'!$C$62,MAX('KT THAN'!$W$38:$W$58)),IFERROR(MIN(0.8*0.75*'KT THAN'!$C$62,INDEX('KT THAN'!$W$38:$W$58,MATCH(R562,'KT THAN'!$Y$38:$Y$58,-1))+(INDEX('KT THAN'!$W$38:$W$58,MIN(21,MATCH(R562,'KT THAN'!$Y$38:$Y$58,-1)+1))-INDEX('KT THAN'!$W$38:$W$58,MATCH(R562,'KT THAN'!$Y$38:$Y$58,-1)))*(R562-INDEX('KT THAN'!$Y$38:$Y$58,MATCH(R562,'KT THAN'!$Y$38:$Y$58,-1)))/(INDEX('KT THAN'!$Y$38:$Y$58,MIN(21,MATCH(R562,'KT THAN'!$Y$38:$Y$58,-1)+1))-INDEX('KT THAN'!$Y$38:$Y$58,MATCH(R562,'KT THAN'!$Y$38:$Y$58,-1)))),MIN(0.8*0.75*'KT THAN'!$C$62,'KT THAN'!$D$68/R562)))))</f>
        <v/>
      </c>
      <c r="O562" s="38" t="str">
        <f>IF($A562="","",IF(H562&lt;0,ABS(H562)/MAX('KT THAN'!$C$69,0.001)+'KT THAN'!$C$32*ABS(J562)/MAX('KT THAN'!$C$68,0.001)+'KT THAN'!$D$32*ABS(I562)/MAX('KT THAN'!$D$68,0.001),IF(OR(M562&lt;=0,N562&lt;=0),999,IF(H562&gt;=0.1*0.75*fc_*Agth*1000,H562/MAX(0.001,1/(1/M562+1/N562-1/(0.75*'KT THAN'!$C$62))),'KT THAN'!$C$32*ABS(J562)/MAX('KT THAN'!$C$68,0.001)+'KT THAN'!$D$32*ABS(I562)/MAX('KT THAN'!$D$68,0.001)))))</f>
        <v/>
      </c>
      <c r="P562" s="37" t="str">
        <f t="shared" si="89"/>
        <v/>
      </c>
      <c r="Q562" s="38" t="str">
        <f>IF($A562="","",MAX(0.001,'KT THAN'!$C$32*ABS(J562)/MAX(1,H562)))</f>
        <v/>
      </c>
      <c r="R562" s="38" t="str">
        <f>IF($A562="","",MAX(0.001,'KT THAN'!$D$32*ABS(I562)/MAX(1,H562)))</f>
        <v/>
      </c>
      <c r="S562" t="str">
        <f t="shared" si="83"/>
        <v/>
      </c>
    </row>
    <row r="563" spans="1:19" hidden="1" outlineLevel="1" x14ac:dyDescent="0.3">
      <c r="A563" s="37" t="str">
        <f>IF(OR(nThan=1,'TO HOP NLAN'!$A119=""),"",'TO HOP NLAN'!$A119)</f>
        <v/>
      </c>
      <c r="B563" s="38" t="str">
        <f>IF($A563="","",'TO HOP NLAN'!$D119)</f>
        <v/>
      </c>
      <c r="C563" s="38" t="str">
        <f>IF($A563="","",'TO HOP NLAN'!$E119)</f>
        <v/>
      </c>
      <c r="D563" s="38" t="str">
        <f>IF($A563="","",'TO HOP NLAN'!$F119)</f>
        <v/>
      </c>
      <c r="E563" s="38" t="str">
        <f>IF($A563="","",'TO HOP NLAN'!$B119)</f>
        <v/>
      </c>
      <c r="F563" s="38" t="str">
        <f>IF($A563="","",'TO HOP NLAN'!$C119)</f>
        <v/>
      </c>
      <c r="G563" s="38" t="str">
        <f t="shared" si="84"/>
        <v/>
      </c>
      <c r="H563" s="38" t="str">
        <f t="shared" si="82"/>
        <v/>
      </c>
      <c r="I563" s="38" t="str">
        <f t="shared" si="85"/>
        <v/>
      </c>
      <c r="J563" s="38" t="str">
        <f t="shared" si="86"/>
        <v/>
      </c>
      <c r="K563" s="38" t="str">
        <f t="shared" si="87"/>
        <v/>
      </c>
      <c r="L563" s="38" t="str">
        <f t="shared" si="88"/>
        <v/>
      </c>
      <c r="M563" s="38" t="str">
        <f>IF($A563="","",IF(H563=0,"",IF(Q563&lt;=0.000000001,MIN(0.8*0.75*'KT THAN'!$C$62,MAX('KT THAN'!$J$38:$J$58)),IFERROR(MIN(0.8*0.75*'KT THAN'!$C$62,INDEX('KT THAN'!$J$38:$J$58,MATCH(Q563,'KT THAN'!$L$38:$L$58,-1))+(INDEX('KT THAN'!$J$38:$J$58,MIN(21,MATCH(Q563,'KT THAN'!$L$38:$L$58,-1)+1))-INDEX('KT THAN'!$J$38:$J$58,MATCH(Q563,'KT THAN'!$L$38:$L$58,-1)))*(Q563-INDEX('KT THAN'!$L$38:$L$58,MATCH(Q563,'KT THAN'!$L$38:$L$58,-1)))/(INDEX('KT THAN'!$L$38:$L$58,MIN(21,MATCH(Q563,'KT THAN'!$L$38:$L$58,-1)+1))-INDEX('KT THAN'!$L$38:$L$58,MATCH(Q563,'KT THAN'!$L$38:$L$58,-1)))),MIN(0.8*0.75*'KT THAN'!$C$62,'KT THAN'!$C$68/Q563)))))</f>
        <v/>
      </c>
      <c r="N563" s="38" t="str">
        <f>IF($A563="","",IF(H563=0,"",IF(R563&lt;=0.000000001,MIN(0.8*0.75*'KT THAN'!$C$62,MAX('KT THAN'!$W$38:$W$58)),IFERROR(MIN(0.8*0.75*'KT THAN'!$C$62,INDEX('KT THAN'!$W$38:$W$58,MATCH(R563,'KT THAN'!$Y$38:$Y$58,-1))+(INDEX('KT THAN'!$W$38:$W$58,MIN(21,MATCH(R563,'KT THAN'!$Y$38:$Y$58,-1)+1))-INDEX('KT THAN'!$W$38:$W$58,MATCH(R563,'KT THAN'!$Y$38:$Y$58,-1)))*(R563-INDEX('KT THAN'!$Y$38:$Y$58,MATCH(R563,'KT THAN'!$Y$38:$Y$58,-1)))/(INDEX('KT THAN'!$Y$38:$Y$58,MIN(21,MATCH(R563,'KT THAN'!$Y$38:$Y$58,-1)+1))-INDEX('KT THAN'!$Y$38:$Y$58,MATCH(R563,'KT THAN'!$Y$38:$Y$58,-1)))),MIN(0.8*0.75*'KT THAN'!$C$62,'KT THAN'!$D$68/R563)))))</f>
        <v/>
      </c>
      <c r="O563" s="38" t="str">
        <f>IF($A563="","",IF(H563&lt;0,ABS(H563)/MAX('KT THAN'!$C$69,0.001)+'KT THAN'!$C$32*ABS(J563)/MAX('KT THAN'!$C$68,0.001)+'KT THAN'!$D$32*ABS(I563)/MAX('KT THAN'!$D$68,0.001),IF(OR(M563&lt;=0,N563&lt;=0),999,IF(H563&gt;=0.1*0.75*fc_*Agth*1000,H563/MAX(0.001,1/(1/M563+1/N563-1/(0.75*'KT THAN'!$C$62))),'KT THAN'!$C$32*ABS(J563)/MAX('KT THAN'!$C$68,0.001)+'KT THAN'!$D$32*ABS(I563)/MAX('KT THAN'!$D$68,0.001)))))</f>
        <v/>
      </c>
      <c r="P563" s="37" t="str">
        <f t="shared" si="89"/>
        <v/>
      </c>
      <c r="Q563" s="38" t="str">
        <f>IF($A563="","",MAX(0.001,'KT THAN'!$C$32*ABS(J563)/MAX(1,H563)))</f>
        <v/>
      </c>
      <c r="R563" s="38" t="str">
        <f>IF($A563="","",MAX(0.001,'KT THAN'!$D$32*ABS(I563)/MAX(1,H563)))</f>
        <v/>
      </c>
      <c r="S563" t="str">
        <f t="shared" si="83"/>
        <v/>
      </c>
    </row>
    <row r="564" spans="1:19" hidden="1" outlineLevel="1" x14ac:dyDescent="0.3">
      <c r="A564" s="37" t="str">
        <f>IF(OR(nThan=1,'TO HOP NLAN'!$A120=""),"",'TO HOP NLAN'!$A120)</f>
        <v/>
      </c>
      <c r="B564" s="38" t="str">
        <f>IF($A564="","",'TO HOP NLAN'!$D120)</f>
        <v/>
      </c>
      <c r="C564" s="38" t="str">
        <f>IF($A564="","",'TO HOP NLAN'!$E120)</f>
        <v/>
      </c>
      <c r="D564" s="38" t="str">
        <f>IF($A564="","",'TO HOP NLAN'!$F120)</f>
        <v/>
      </c>
      <c r="E564" s="38" t="str">
        <f>IF($A564="","",'TO HOP NLAN'!$B120)</f>
        <v/>
      </c>
      <c r="F564" s="38" t="str">
        <f>IF($A564="","",'TO HOP NLAN'!$C120)</f>
        <v/>
      </c>
      <c r="G564" s="38" t="str">
        <f t="shared" si="84"/>
        <v/>
      </c>
      <c r="H564" s="38" t="str">
        <f t="shared" si="82"/>
        <v/>
      </c>
      <c r="I564" s="38" t="str">
        <f t="shared" si="85"/>
        <v/>
      </c>
      <c r="J564" s="38" t="str">
        <f t="shared" si="86"/>
        <v/>
      </c>
      <c r="K564" s="38" t="str">
        <f t="shared" si="87"/>
        <v/>
      </c>
      <c r="L564" s="38" t="str">
        <f t="shared" si="88"/>
        <v/>
      </c>
      <c r="M564" s="38" t="str">
        <f>IF($A564="","",IF(H564=0,"",IF(Q564&lt;=0.000000001,MIN(0.8*0.75*'KT THAN'!$C$62,MAX('KT THAN'!$J$38:$J$58)),IFERROR(MIN(0.8*0.75*'KT THAN'!$C$62,INDEX('KT THAN'!$J$38:$J$58,MATCH(Q564,'KT THAN'!$L$38:$L$58,-1))+(INDEX('KT THAN'!$J$38:$J$58,MIN(21,MATCH(Q564,'KT THAN'!$L$38:$L$58,-1)+1))-INDEX('KT THAN'!$J$38:$J$58,MATCH(Q564,'KT THAN'!$L$38:$L$58,-1)))*(Q564-INDEX('KT THAN'!$L$38:$L$58,MATCH(Q564,'KT THAN'!$L$38:$L$58,-1)))/(INDEX('KT THAN'!$L$38:$L$58,MIN(21,MATCH(Q564,'KT THAN'!$L$38:$L$58,-1)+1))-INDEX('KT THAN'!$L$38:$L$58,MATCH(Q564,'KT THAN'!$L$38:$L$58,-1)))),MIN(0.8*0.75*'KT THAN'!$C$62,'KT THAN'!$C$68/Q564)))))</f>
        <v/>
      </c>
      <c r="N564" s="38" t="str">
        <f>IF($A564="","",IF(H564=0,"",IF(R564&lt;=0.000000001,MIN(0.8*0.75*'KT THAN'!$C$62,MAX('KT THAN'!$W$38:$W$58)),IFERROR(MIN(0.8*0.75*'KT THAN'!$C$62,INDEX('KT THAN'!$W$38:$W$58,MATCH(R564,'KT THAN'!$Y$38:$Y$58,-1))+(INDEX('KT THAN'!$W$38:$W$58,MIN(21,MATCH(R564,'KT THAN'!$Y$38:$Y$58,-1)+1))-INDEX('KT THAN'!$W$38:$W$58,MATCH(R564,'KT THAN'!$Y$38:$Y$58,-1)))*(R564-INDEX('KT THAN'!$Y$38:$Y$58,MATCH(R564,'KT THAN'!$Y$38:$Y$58,-1)))/(INDEX('KT THAN'!$Y$38:$Y$58,MIN(21,MATCH(R564,'KT THAN'!$Y$38:$Y$58,-1)+1))-INDEX('KT THAN'!$Y$38:$Y$58,MATCH(R564,'KT THAN'!$Y$38:$Y$58,-1)))),MIN(0.8*0.75*'KT THAN'!$C$62,'KT THAN'!$D$68/R564)))))</f>
        <v/>
      </c>
      <c r="O564" s="38" t="str">
        <f>IF($A564="","",IF(H564&lt;0,ABS(H564)/MAX('KT THAN'!$C$69,0.001)+'KT THAN'!$C$32*ABS(J564)/MAX('KT THAN'!$C$68,0.001)+'KT THAN'!$D$32*ABS(I564)/MAX('KT THAN'!$D$68,0.001),IF(OR(M564&lt;=0,N564&lt;=0),999,IF(H564&gt;=0.1*0.75*fc_*Agth*1000,H564/MAX(0.001,1/(1/M564+1/N564-1/(0.75*'KT THAN'!$C$62))),'KT THAN'!$C$32*ABS(J564)/MAX('KT THAN'!$C$68,0.001)+'KT THAN'!$D$32*ABS(I564)/MAX('KT THAN'!$D$68,0.001)))))</f>
        <v/>
      </c>
      <c r="P564" s="37" t="str">
        <f t="shared" si="89"/>
        <v/>
      </c>
      <c r="Q564" s="38" t="str">
        <f>IF($A564="","",MAX(0.001,'KT THAN'!$C$32*ABS(J564)/MAX(1,H564)))</f>
        <v/>
      </c>
      <c r="R564" s="38" t="str">
        <f>IF($A564="","",MAX(0.001,'KT THAN'!$D$32*ABS(I564)/MAX(1,H564)))</f>
        <v/>
      </c>
      <c r="S564" t="str">
        <f t="shared" si="83"/>
        <v/>
      </c>
    </row>
    <row r="565" spans="1:19" hidden="1" outlineLevel="1" x14ac:dyDescent="0.3">
      <c r="A565" s="37" t="str">
        <f>IF(OR(nThan=1,'TO HOP NLAN'!$A121=""),"",'TO HOP NLAN'!$A121)</f>
        <v/>
      </c>
      <c r="B565" s="38" t="str">
        <f>IF($A565="","",'TO HOP NLAN'!$D121)</f>
        <v/>
      </c>
      <c r="C565" s="38" t="str">
        <f>IF($A565="","",'TO HOP NLAN'!$E121)</f>
        <v/>
      </c>
      <c r="D565" s="38" t="str">
        <f>IF($A565="","",'TO HOP NLAN'!$F121)</f>
        <v/>
      </c>
      <c r="E565" s="38" t="str">
        <f>IF($A565="","",'TO HOP NLAN'!$B121)</f>
        <v/>
      </c>
      <c r="F565" s="38" t="str">
        <f>IF($A565="","",'TO HOP NLAN'!$C121)</f>
        <v/>
      </c>
      <c r="G565" s="38" t="str">
        <f t="shared" si="84"/>
        <v/>
      </c>
      <c r="H565" s="38" t="str">
        <f t="shared" si="82"/>
        <v/>
      </c>
      <c r="I565" s="38" t="str">
        <f t="shared" si="85"/>
        <v/>
      </c>
      <c r="J565" s="38" t="str">
        <f t="shared" si="86"/>
        <v/>
      </c>
      <c r="K565" s="38" t="str">
        <f t="shared" si="87"/>
        <v/>
      </c>
      <c r="L565" s="38" t="str">
        <f t="shared" si="88"/>
        <v/>
      </c>
      <c r="M565" s="38" t="str">
        <f>IF($A565="","",IF(H565=0,"",IF(Q565&lt;=0.000000001,MIN(0.8*0.75*'KT THAN'!$C$62,MAX('KT THAN'!$J$38:$J$58)),IFERROR(MIN(0.8*0.75*'KT THAN'!$C$62,INDEX('KT THAN'!$J$38:$J$58,MATCH(Q565,'KT THAN'!$L$38:$L$58,-1))+(INDEX('KT THAN'!$J$38:$J$58,MIN(21,MATCH(Q565,'KT THAN'!$L$38:$L$58,-1)+1))-INDEX('KT THAN'!$J$38:$J$58,MATCH(Q565,'KT THAN'!$L$38:$L$58,-1)))*(Q565-INDEX('KT THAN'!$L$38:$L$58,MATCH(Q565,'KT THAN'!$L$38:$L$58,-1)))/(INDEX('KT THAN'!$L$38:$L$58,MIN(21,MATCH(Q565,'KT THAN'!$L$38:$L$58,-1)+1))-INDEX('KT THAN'!$L$38:$L$58,MATCH(Q565,'KT THAN'!$L$38:$L$58,-1)))),MIN(0.8*0.75*'KT THAN'!$C$62,'KT THAN'!$C$68/Q565)))))</f>
        <v/>
      </c>
      <c r="N565" s="38" t="str">
        <f>IF($A565="","",IF(H565=0,"",IF(R565&lt;=0.000000001,MIN(0.8*0.75*'KT THAN'!$C$62,MAX('KT THAN'!$W$38:$W$58)),IFERROR(MIN(0.8*0.75*'KT THAN'!$C$62,INDEX('KT THAN'!$W$38:$W$58,MATCH(R565,'KT THAN'!$Y$38:$Y$58,-1))+(INDEX('KT THAN'!$W$38:$W$58,MIN(21,MATCH(R565,'KT THAN'!$Y$38:$Y$58,-1)+1))-INDEX('KT THAN'!$W$38:$W$58,MATCH(R565,'KT THAN'!$Y$38:$Y$58,-1)))*(R565-INDEX('KT THAN'!$Y$38:$Y$58,MATCH(R565,'KT THAN'!$Y$38:$Y$58,-1)))/(INDEX('KT THAN'!$Y$38:$Y$58,MIN(21,MATCH(R565,'KT THAN'!$Y$38:$Y$58,-1)+1))-INDEX('KT THAN'!$Y$38:$Y$58,MATCH(R565,'KT THAN'!$Y$38:$Y$58,-1)))),MIN(0.8*0.75*'KT THAN'!$C$62,'KT THAN'!$D$68/R565)))))</f>
        <v/>
      </c>
      <c r="O565" s="38" t="str">
        <f>IF($A565="","",IF(H565&lt;0,ABS(H565)/MAX('KT THAN'!$C$69,0.001)+'KT THAN'!$C$32*ABS(J565)/MAX('KT THAN'!$C$68,0.001)+'KT THAN'!$D$32*ABS(I565)/MAX('KT THAN'!$D$68,0.001),IF(OR(M565&lt;=0,N565&lt;=0),999,IF(H565&gt;=0.1*0.75*fc_*Agth*1000,H565/MAX(0.001,1/(1/M565+1/N565-1/(0.75*'KT THAN'!$C$62))),'KT THAN'!$C$32*ABS(J565)/MAX('KT THAN'!$C$68,0.001)+'KT THAN'!$D$32*ABS(I565)/MAX('KT THAN'!$D$68,0.001)))))</f>
        <v/>
      </c>
      <c r="P565" s="37" t="str">
        <f t="shared" si="89"/>
        <v/>
      </c>
      <c r="Q565" s="38" t="str">
        <f>IF($A565="","",MAX(0.001,'KT THAN'!$C$32*ABS(J565)/MAX(1,H565)))</f>
        <v/>
      </c>
      <c r="R565" s="38" t="str">
        <f>IF($A565="","",MAX(0.001,'KT THAN'!$D$32*ABS(I565)/MAX(1,H565)))</f>
        <v/>
      </c>
      <c r="S565" t="str">
        <f t="shared" si="83"/>
        <v/>
      </c>
    </row>
    <row r="566" spans="1:19" hidden="1" outlineLevel="1" x14ac:dyDescent="0.3">
      <c r="A566" s="37" t="str">
        <f>IF(OR(nThan=1,'TO HOP NLAN'!$A122=""),"",'TO HOP NLAN'!$A122)</f>
        <v/>
      </c>
      <c r="B566" s="38" t="str">
        <f>IF($A566="","",'TO HOP NLAN'!$D122)</f>
        <v/>
      </c>
      <c r="C566" s="38" t="str">
        <f>IF($A566="","",'TO HOP NLAN'!$E122)</f>
        <v/>
      </c>
      <c r="D566" s="38" t="str">
        <f>IF($A566="","",'TO HOP NLAN'!$F122)</f>
        <v/>
      </c>
      <c r="E566" s="38" t="str">
        <f>IF($A566="","",'TO HOP NLAN'!$B122)</f>
        <v/>
      </c>
      <c r="F566" s="38" t="str">
        <f>IF($A566="","",'TO HOP NLAN'!$C122)</f>
        <v/>
      </c>
      <c r="G566" s="38" t="str">
        <f t="shared" si="84"/>
        <v/>
      </c>
      <c r="H566" s="38" t="str">
        <f t="shared" si="82"/>
        <v/>
      </c>
      <c r="I566" s="38" t="str">
        <f t="shared" si="85"/>
        <v/>
      </c>
      <c r="J566" s="38" t="str">
        <f t="shared" si="86"/>
        <v/>
      </c>
      <c r="K566" s="38" t="str">
        <f t="shared" si="87"/>
        <v/>
      </c>
      <c r="L566" s="38" t="str">
        <f t="shared" si="88"/>
        <v/>
      </c>
      <c r="M566" s="38" t="str">
        <f>IF($A566="","",IF(H566=0,"",IF(Q566&lt;=0.000000001,MIN(0.8*0.75*'KT THAN'!$C$62,MAX('KT THAN'!$J$38:$J$58)),IFERROR(MIN(0.8*0.75*'KT THAN'!$C$62,INDEX('KT THAN'!$J$38:$J$58,MATCH(Q566,'KT THAN'!$L$38:$L$58,-1))+(INDEX('KT THAN'!$J$38:$J$58,MIN(21,MATCH(Q566,'KT THAN'!$L$38:$L$58,-1)+1))-INDEX('KT THAN'!$J$38:$J$58,MATCH(Q566,'KT THAN'!$L$38:$L$58,-1)))*(Q566-INDEX('KT THAN'!$L$38:$L$58,MATCH(Q566,'KT THAN'!$L$38:$L$58,-1)))/(INDEX('KT THAN'!$L$38:$L$58,MIN(21,MATCH(Q566,'KT THAN'!$L$38:$L$58,-1)+1))-INDEX('KT THAN'!$L$38:$L$58,MATCH(Q566,'KT THAN'!$L$38:$L$58,-1)))),MIN(0.8*0.75*'KT THAN'!$C$62,'KT THAN'!$C$68/Q566)))))</f>
        <v/>
      </c>
      <c r="N566" s="38" t="str">
        <f>IF($A566="","",IF(H566=0,"",IF(R566&lt;=0.000000001,MIN(0.8*0.75*'KT THAN'!$C$62,MAX('KT THAN'!$W$38:$W$58)),IFERROR(MIN(0.8*0.75*'KT THAN'!$C$62,INDEX('KT THAN'!$W$38:$W$58,MATCH(R566,'KT THAN'!$Y$38:$Y$58,-1))+(INDEX('KT THAN'!$W$38:$W$58,MIN(21,MATCH(R566,'KT THAN'!$Y$38:$Y$58,-1)+1))-INDEX('KT THAN'!$W$38:$W$58,MATCH(R566,'KT THAN'!$Y$38:$Y$58,-1)))*(R566-INDEX('KT THAN'!$Y$38:$Y$58,MATCH(R566,'KT THAN'!$Y$38:$Y$58,-1)))/(INDEX('KT THAN'!$Y$38:$Y$58,MIN(21,MATCH(R566,'KT THAN'!$Y$38:$Y$58,-1)+1))-INDEX('KT THAN'!$Y$38:$Y$58,MATCH(R566,'KT THAN'!$Y$38:$Y$58,-1)))),MIN(0.8*0.75*'KT THAN'!$C$62,'KT THAN'!$D$68/R566)))))</f>
        <v/>
      </c>
      <c r="O566" s="38" t="str">
        <f>IF($A566="","",IF(H566&lt;0,ABS(H566)/MAX('KT THAN'!$C$69,0.001)+'KT THAN'!$C$32*ABS(J566)/MAX('KT THAN'!$C$68,0.001)+'KT THAN'!$D$32*ABS(I566)/MAX('KT THAN'!$D$68,0.001),IF(OR(M566&lt;=0,N566&lt;=0),999,IF(H566&gt;=0.1*0.75*fc_*Agth*1000,H566/MAX(0.001,1/(1/M566+1/N566-1/(0.75*'KT THAN'!$C$62))),'KT THAN'!$C$32*ABS(J566)/MAX('KT THAN'!$C$68,0.001)+'KT THAN'!$D$32*ABS(I566)/MAX('KT THAN'!$D$68,0.001)))))</f>
        <v/>
      </c>
      <c r="P566" s="37" t="str">
        <f t="shared" si="89"/>
        <v/>
      </c>
      <c r="Q566" s="38" t="str">
        <f>IF($A566="","",MAX(0.001,'KT THAN'!$C$32*ABS(J566)/MAX(1,H566)))</f>
        <v/>
      </c>
      <c r="R566" s="38" t="str">
        <f>IF($A566="","",MAX(0.001,'KT THAN'!$D$32*ABS(I566)/MAX(1,H566)))</f>
        <v/>
      </c>
      <c r="S566" t="str">
        <f t="shared" si="83"/>
        <v/>
      </c>
    </row>
    <row r="567" spans="1:19" hidden="1" outlineLevel="1" x14ac:dyDescent="0.3">
      <c r="A567" s="37" t="str">
        <f>IF(OR(nThan=1,'TO HOP NLAN'!$A123=""),"",'TO HOP NLAN'!$A123)</f>
        <v/>
      </c>
      <c r="B567" s="38" t="str">
        <f>IF($A567="","",'TO HOP NLAN'!$D123)</f>
        <v/>
      </c>
      <c r="C567" s="38" t="str">
        <f>IF($A567="","",'TO HOP NLAN'!$E123)</f>
        <v/>
      </c>
      <c r="D567" s="38" t="str">
        <f>IF($A567="","",'TO HOP NLAN'!$F123)</f>
        <v/>
      </c>
      <c r="E567" s="38" t="str">
        <f>IF($A567="","",'TO HOP NLAN'!$B123)</f>
        <v/>
      </c>
      <c r="F567" s="38" t="str">
        <f>IF($A567="","",'TO HOP NLAN'!$C123)</f>
        <v/>
      </c>
      <c r="G567" s="38" t="str">
        <f t="shared" si="84"/>
        <v/>
      </c>
      <c r="H567" s="38" t="str">
        <f t="shared" si="82"/>
        <v/>
      </c>
      <c r="I567" s="38" t="str">
        <f t="shared" si="85"/>
        <v/>
      </c>
      <c r="J567" s="38" t="str">
        <f t="shared" si="86"/>
        <v/>
      </c>
      <c r="K567" s="38" t="str">
        <f t="shared" si="87"/>
        <v/>
      </c>
      <c r="L567" s="38" t="str">
        <f t="shared" si="88"/>
        <v/>
      </c>
      <c r="M567" s="38" t="str">
        <f>IF($A567="","",IF(H567=0,"",IF(Q567&lt;=0.000000001,MIN(0.8*0.75*'KT THAN'!$C$62,MAX('KT THAN'!$J$38:$J$58)),IFERROR(MIN(0.8*0.75*'KT THAN'!$C$62,INDEX('KT THAN'!$J$38:$J$58,MATCH(Q567,'KT THAN'!$L$38:$L$58,-1))+(INDEX('KT THAN'!$J$38:$J$58,MIN(21,MATCH(Q567,'KT THAN'!$L$38:$L$58,-1)+1))-INDEX('KT THAN'!$J$38:$J$58,MATCH(Q567,'KT THAN'!$L$38:$L$58,-1)))*(Q567-INDEX('KT THAN'!$L$38:$L$58,MATCH(Q567,'KT THAN'!$L$38:$L$58,-1)))/(INDEX('KT THAN'!$L$38:$L$58,MIN(21,MATCH(Q567,'KT THAN'!$L$38:$L$58,-1)+1))-INDEX('KT THAN'!$L$38:$L$58,MATCH(Q567,'KT THAN'!$L$38:$L$58,-1)))),MIN(0.8*0.75*'KT THAN'!$C$62,'KT THAN'!$C$68/Q567)))))</f>
        <v/>
      </c>
      <c r="N567" s="38" t="str">
        <f>IF($A567="","",IF(H567=0,"",IF(R567&lt;=0.000000001,MIN(0.8*0.75*'KT THAN'!$C$62,MAX('KT THAN'!$W$38:$W$58)),IFERROR(MIN(0.8*0.75*'KT THAN'!$C$62,INDEX('KT THAN'!$W$38:$W$58,MATCH(R567,'KT THAN'!$Y$38:$Y$58,-1))+(INDEX('KT THAN'!$W$38:$W$58,MIN(21,MATCH(R567,'KT THAN'!$Y$38:$Y$58,-1)+1))-INDEX('KT THAN'!$W$38:$W$58,MATCH(R567,'KT THAN'!$Y$38:$Y$58,-1)))*(R567-INDEX('KT THAN'!$Y$38:$Y$58,MATCH(R567,'KT THAN'!$Y$38:$Y$58,-1)))/(INDEX('KT THAN'!$Y$38:$Y$58,MIN(21,MATCH(R567,'KT THAN'!$Y$38:$Y$58,-1)+1))-INDEX('KT THAN'!$Y$38:$Y$58,MATCH(R567,'KT THAN'!$Y$38:$Y$58,-1)))),MIN(0.8*0.75*'KT THAN'!$C$62,'KT THAN'!$D$68/R567)))))</f>
        <v/>
      </c>
      <c r="O567" s="38" t="str">
        <f>IF($A567="","",IF(H567&lt;0,ABS(H567)/MAX('KT THAN'!$C$69,0.001)+'KT THAN'!$C$32*ABS(J567)/MAX('KT THAN'!$C$68,0.001)+'KT THAN'!$D$32*ABS(I567)/MAX('KT THAN'!$D$68,0.001),IF(OR(M567&lt;=0,N567&lt;=0),999,IF(H567&gt;=0.1*0.75*fc_*Agth*1000,H567/MAX(0.001,1/(1/M567+1/N567-1/(0.75*'KT THAN'!$C$62))),'KT THAN'!$C$32*ABS(J567)/MAX('KT THAN'!$C$68,0.001)+'KT THAN'!$D$32*ABS(I567)/MAX('KT THAN'!$D$68,0.001)))))</f>
        <v/>
      </c>
      <c r="P567" s="37" t="str">
        <f t="shared" si="89"/>
        <v/>
      </c>
      <c r="Q567" s="38" t="str">
        <f>IF($A567="","",MAX(0.001,'KT THAN'!$C$32*ABS(J567)/MAX(1,H567)))</f>
        <v/>
      </c>
      <c r="R567" s="38" t="str">
        <f>IF($A567="","",MAX(0.001,'KT THAN'!$D$32*ABS(I567)/MAX(1,H567)))</f>
        <v/>
      </c>
      <c r="S567" t="str">
        <f t="shared" si="83"/>
        <v/>
      </c>
    </row>
    <row r="568" spans="1:19" hidden="1" outlineLevel="1" x14ac:dyDescent="0.3">
      <c r="A568" s="37" t="str">
        <f>IF(OR(nThan=1,'TO HOP NLAN'!$A124=""),"",'TO HOP NLAN'!$A124)</f>
        <v/>
      </c>
      <c r="B568" s="38" t="str">
        <f>IF($A568="","",'TO HOP NLAN'!$D124)</f>
        <v/>
      </c>
      <c r="C568" s="38" t="str">
        <f>IF($A568="","",'TO HOP NLAN'!$E124)</f>
        <v/>
      </c>
      <c r="D568" s="38" t="str">
        <f>IF($A568="","",'TO HOP NLAN'!$F124)</f>
        <v/>
      </c>
      <c r="E568" s="38" t="str">
        <f>IF($A568="","",'TO HOP NLAN'!$B124)</f>
        <v/>
      </c>
      <c r="F568" s="38" t="str">
        <f>IF($A568="","",'TO HOP NLAN'!$C124)</f>
        <v/>
      </c>
      <c r="G568" s="38" t="str">
        <f t="shared" si="84"/>
        <v/>
      </c>
      <c r="H568" s="38" t="str">
        <f t="shared" si="82"/>
        <v/>
      </c>
      <c r="I568" s="38" t="str">
        <f t="shared" si="85"/>
        <v/>
      </c>
      <c r="J568" s="38" t="str">
        <f t="shared" si="86"/>
        <v/>
      </c>
      <c r="K568" s="38" t="str">
        <f t="shared" si="87"/>
        <v/>
      </c>
      <c r="L568" s="38" t="str">
        <f t="shared" si="88"/>
        <v/>
      </c>
      <c r="M568" s="38" t="str">
        <f>IF($A568="","",IF(H568=0,"",IF(Q568&lt;=0.000000001,MIN(0.8*0.75*'KT THAN'!$C$62,MAX('KT THAN'!$J$38:$J$58)),IFERROR(MIN(0.8*0.75*'KT THAN'!$C$62,INDEX('KT THAN'!$J$38:$J$58,MATCH(Q568,'KT THAN'!$L$38:$L$58,-1))+(INDEX('KT THAN'!$J$38:$J$58,MIN(21,MATCH(Q568,'KT THAN'!$L$38:$L$58,-1)+1))-INDEX('KT THAN'!$J$38:$J$58,MATCH(Q568,'KT THAN'!$L$38:$L$58,-1)))*(Q568-INDEX('KT THAN'!$L$38:$L$58,MATCH(Q568,'KT THAN'!$L$38:$L$58,-1)))/(INDEX('KT THAN'!$L$38:$L$58,MIN(21,MATCH(Q568,'KT THAN'!$L$38:$L$58,-1)+1))-INDEX('KT THAN'!$L$38:$L$58,MATCH(Q568,'KT THAN'!$L$38:$L$58,-1)))),MIN(0.8*0.75*'KT THAN'!$C$62,'KT THAN'!$C$68/Q568)))))</f>
        <v/>
      </c>
      <c r="N568" s="38" t="str">
        <f>IF($A568="","",IF(H568=0,"",IF(R568&lt;=0.000000001,MIN(0.8*0.75*'KT THAN'!$C$62,MAX('KT THAN'!$W$38:$W$58)),IFERROR(MIN(0.8*0.75*'KT THAN'!$C$62,INDEX('KT THAN'!$W$38:$W$58,MATCH(R568,'KT THAN'!$Y$38:$Y$58,-1))+(INDEX('KT THAN'!$W$38:$W$58,MIN(21,MATCH(R568,'KT THAN'!$Y$38:$Y$58,-1)+1))-INDEX('KT THAN'!$W$38:$W$58,MATCH(R568,'KT THAN'!$Y$38:$Y$58,-1)))*(R568-INDEX('KT THAN'!$Y$38:$Y$58,MATCH(R568,'KT THAN'!$Y$38:$Y$58,-1)))/(INDEX('KT THAN'!$Y$38:$Y$58,MIN(21,MATCH(R568,'KT THAN'!$Y$38:$Y$58,-1)+1))-INDEX('KT THAN'!$Y$38:$Y$58,MATCH(R568,'KT THAN'!$Y$38:$Y$58,-1)))),MIN(0.8*0.75*'KT THAN'!$C$62,'KT THAN'!$D$68/R568)))))</f>
        <v/>
      </c>
      <c r="O568" s="38" t="str">
        <f>IF($A568="","",IF(H568&lt;0,ABS(H568)/MAX('KT THAN'!$C$69,0.001)+'KT THAN'!$C$32*ABS(J568)/MAX('KT THAN'!$C$68,0.001)+'KT THAN'!$D$32*ABS(I568)/MAX('KT THAN'!$D$68,0.001),IF(OR(M568&lt;=0,N568&lt;=0),999,IF(H568&gt;=0.1*0.75*fc_*Agth*1000,H568/MAX(0.001,1/(1/M568+1/N568-1/(0.75*'KT THAN'!$C$62))),'KT THAN'!$C$32*ABS(J568)/MAX('KT THAN'!$C$68,0.001)+'KT THAN'!$D$32*ABS(I568)/MAX('KT THAN'!$D$68,0.001)))))</f>
        <v/>
      </c>
      <c r="P568" s="37" t="str">
        <f t="shared" si="89"/>
        <v/>
      </c>
      <c r="Q568" s="38" t="str">
        <f>IF($A568="","",MAX(0.001,'KT THAN'!$C$32*ABS(J568)/MAX(1,H568)))</f>
        <v/>
      </c>
      <c r="R568" s="38" t="str">
        <f>IF($A568="","",MAX(0.001,'KT THAN'!$D$32*ABS(I568)/MAX(1,H568)))</f>
        <v/>
      </c>
      <c r="S568" t="str">
        <f t="shared" si="83"/>
        <v/>
      </c>
    </row>
    <row r="569" spans="1:19" hidden="1" outlineLevel="1" x14ac:dyDescent="0.3">
      <c r="A569" s="37" t="str">
        <f>IF(OR(nThan=1,'TO HOP NLAN'!$A125=""),"",'TO HOP NLAN'!$A125)</f>
        <v/>
      </c>
      <c r="B569" s="38" t="str">
        <f>IF($A569="","",'TO HOP NLAN'!$D125)</f>
        <v/>
      </c>
      <c r="C569" s="38" t="str">
        <f>IF($A569="","",'TO HOP NLAN'!$E125)</f>
        <v/>
      </c>
      <c r="D569" s="38" t="str">
        <f>IF($A569="","",'TO HOP NLAN'!$F125)</f>
        <v/>
      </c>
      <c r="E569" s="38" t="str">
        <f>IF($A569="","",'TO HOP NLAN'!$B125)</f>
        <v/>
      </c>
      <c r="F569" s="38" t="str">
        <f>IF($A569="","",'TO HOP NLAN'!$C125)</f>
        <v/>
      </c>
      <c r="G569" s="38" t="str">
        <f t="shared" si="84"/>
        <v/>
      </c>
      <c r="H569" s="38" t="str">
        <f t="shared" si="82"/>
        <v/>
      </c>
      <c r="I569" s="38" t="str">
        <f t="shared" si="85"/>
        <v/>
      </c>
      <c r="J569" s="38" t="str">
        <f t="shared" si="86"/>
        <v/>
      </c>
      <c r="K569" s="38" t="str">
        <f t="shared" si="87"/>
        <v/>
      </c>
      <c r="L569" s="38" t="str">
        <f t="shared" si="88"/>
        <v/>
      </c>
      <c r="M569" s="38" t="str">
        <f>IF($A569="","",IF(H569=0,"",IF(Q569&lt;=0.000000001,MIN(0.8*0.75*'KT THAN'!$C$62,MAX('KT THAN'!$J$38:$J$58)),IFERROR(MIN(0.8*0.75*'KT THAN'!$C$62,INDEX('KT THAN'!$J$38:$J$58,MATCH(Q569,'KT THAN'!$L$38:$L$58,-1))+(INDEX('KT THAN'!$J$38:$J$58,MIN(21,MATCH(Q569,'KT THAN'!$L$38:$L$58,-1)+1))-INDEX('KT THAN'!$J$38:$J$58,MATCH(Q569,'KT THAN'!$L$38:$L$58,-1)))*(Q569-INDEX('KT THAN'!$L$38:$L$58,MATCH(Q569,'KT THAN'!$L$38:$L$58,-1)))/(INDEX('KT THAN'!$L$38:$L$58,MIN(21,MATCH(Q569,'KT THAN'!$L$38:$L$58,-1)+1))-INDEX('KT THAN'!$L$38:$L$58,MATCH(Q569,'KT THAN'!$L$38:$L$58,-1)))),MIN(0.8*0.75*'KT THAN'!$C$62,'KT THAN'!$C$68/Q569)))))</f>
        <v/>
      </c>
      <c r="N569" s="38" t="str">
        <f>IF($A569="","",IF(H569=0,"",IF(R569&lt;=0.000000001,MIN(0.8*0.75*'KT THAN'!$C$62,MAX('KT THAN'!$W$38:$W$58)),IFERROR(MIN(0.8*0.75*'KT THAN'!$C$62,INDEX('KT THAN'!$W$38:$W$58,MATCH(R569,'KT THAN'!$Y$38:$Y$58,-1))+(INDEX('KT THAN'!$W$38:$W$58,MIN(21,MATCH(R569,'KT THAN'!$Y$38:$Y$58,-1)+1))-INDEX('KT THAN'!$W$38:$W$58,MATCH(R569,'KT THAN'!$Y$38:$Y$58,-1)))*(R569-INDEX('KT THAN'!$Y$38:$Y$58,MATCH(R569,'KT THAN'!$Y$38:$Y$58,-1)))/(INDEX('KT THAN'!$Y$38:$Y$58,MIN(21,MATCH(R569,'KT THAN'!$Y$38:$Y$58,-1)+1))-INDEX('KT THAN'!$Y$38:$Y$58,MATCH(R569,'KT THAN'!$Y$38:$Y$58,-1)))),MIN(0.8*0.75*'KT THAN'!$C$62,'KT THAN'!$D$68/R569)))))</f>
        <v/>
      </c>
      <c r="O569" s="38" t="str">
        <f>IF($A569="","",IF(H569&lt;0,ABS(H569)/MAX('KT THAN'!$C$69,0.001)+'KT THAN'!$C$32*ABS(J569)/MAX('KT THAN'!$C$68,0.001)+'KT THAN'!$D$32*ABS(I569)/MAX('KT THAN'!$D$68,0.001),IF(OR(M569&lt;=0,N569&lt;=0),999,IF(H569&gt;=0.1*0.75*fc_*Agth*1000,H569/MAX(0.001,1/(1/M569+1/N569-1/(0.75*'KT THAN'!$C$62))),'KT THAN'!$C$32*ABS(J569)/MAX('KT THAN'!$C$68,0.001)+'KT THAN'!$D$32*ABS(I569)/MAX('KT THAN'!$D$68,0.001)))))</f>
        <v/>
      </c>
      <c r="P569" s="37" t="str">
        <f t="shared" si="89"/>
        <v/>
      </c>
      <c r="Q569" s="38" t="str">
        <f>IF($A569="","",MAX(0.001,'KT THAN'!$C$32*ABS(J569)/MAX(1,H569)))</f>
        <v/>
      </c>
      <c r="R569" s="38" t="str">
        <f>IF($A569="","",MAX(0.001,'KT THAN'!$D$32*ABS(I569)/MAX(1,H569)))</f>
        <v/>
      </c>
      <c r="S569" t="str">
        <f t="shared" si="83"/>
        <v/>
      </c>
    </row>
    <row r="570" spans="1:19" hidden="1" outlineLevel="1" x14ac:dyDescent="0.3">
      <c r="A570" s="37" t="str">
        <f>IF(OR(nThan=1,'TO HOP NLAN'!$A126=""),"",'TO HOP NLAN'!$A126)</f>
        <v/>
      </c>
      <c r="B570" s="38" t="str">
        <f>IF($A570="","",'TO HOP NLAN'!$D126)</f>
        <v/>
      </c>
      <c r="C570" s="38" t="str">
        <f>IF($A570="","",'TO HOP NLAN'!$E126)</f>
        <v/>
      </c>
      <c r="D570" s="38" t="str">
        <f>IF($A570="","",'TO HOP NLAN'!$F126)</f>
        <v/>
      </c>
      <c r="E570" s="38" t="str">
        <f>IF($A570="","",'TO HOP NLAN'!$B126)</f>
        <v/>
      </c>
      <c r="F570" s="38" t="str">
        <f>IF($A570="","",'TO HOP NLAN'!$C126)</f>
        <v/>
      </c>
      <c r="G570" s="38" t="str">
        <f t="shared" si="84"/>
        <v/>
      </c>
      <c r="H570" s="38" t="str">
        <f t="shared" si="82"/>
        <v/>
      </c>
      <c r="I570" s="38" t="str">
        <f t="shared" si="85"/>
        <v/>
      </c>
      <c r="J570" s="38" t="str">
        <f t="shared" si="86"/>
        <v/>
      </c>
      <c r="K570" s="38" t="str">
        <f t="shared" si="87"/>
        <v/>
      </c>
      <c r="L570" s="38" t="str">
        <f t="shared" si="88"/>
        <v/>
      </c>
      <c r="M570" s="38" t="str">
        <f>IF($A570="","",IF(H570=0,"",IF(Q570&lt;=0.000000001,MIN(0.8*0.75*'KT THAN'!$C$62,MAX('KT THAN'!$J$38:$J$58)),IFERROR(MIN(0.8*0.75*'KT THAN'!$C$62,INDEX('KT THAN'!$J$38:$J$58,MATCH(Q570,'KT THAN'!$L$38:$L$58,-1))+(INDEX('KT THAN'!$J$38:$J$58,MIN(21,MATCH(Q570,'KT THAN'!$L$38:$L$58,-1)+1))-INDEX('KT THAN'!$J$38:$J$58,MATCH(Q570,'KT THAN'!$L$38:$L$58,-1)))*(Q570-INDEX('KT THAN'!$L$38:$L$58,MATCH(Q570,'KT THAN'!$L$38:$L$58,-1)))/(INDEX('KT THAN'!$L$38:$L$58,MIN(21,MATCH(Q570,'KT THAN'!$L$38:$L$58,-1)+1))-INDEX('KT THAN'!$L$38:$L$58,MATCH(Q570,'KT THAN'!$L$38:$L$58,-1)))),MIN(0.8*0.75*'KT THAN'!$C$62,'KT THAN'!$C$68/Q570)))))</f>
        <v/>
      </c>
      <c r="N570" s="38" t="str">
        <f>IF($A570="","",IF(H570=0,"",IF(R570&lt;=0.000000001,MIN(0.8*0.75*'KT THAN'!$C$62,MAX('KT THAN'!$W$38:$W$58)),IFERROR(MIN(0.8*0.75*'KT THAN'!$C$62,INDEX('KT THAN'!$W$38:$W$58,MATCH(R570,'KT THAN'!$Y$38:$Y$58,-1))+(INDEX('KT THAN'!$W$38:$W$58,MIN(21,MATCH(R570,'KT THAN'!$Y$38:$Y$58,-1)+1))-INDEX('KT THAN'!$W$38:$W$58,MATCH(R570,'KT THAN'!$Y$38:$Y$58,-1)))*(R570-INDEX('KT THAN'!$Y$38:$Y$58,MATCH(R570,'KT THAN'!$Y$38:$Y$58,-1)))/(INDEX('KT THAN'!$Y$38:$Y$58,MIN(21,MATCH(R570,'KT THAN'!$Y$38:$Y$58,-1)+1))-INDEX('KT THAN'!$Y$38:$Y$58,MATCH(R570,'KT THAN'!$Y$38:$Y$58,-1)))),MIN(0.8*0.75*'KT THAN'!$C$62,'KT THAN'!$D$68/R570)))))</f>
        <v/>
      </c>
      <c r="O570" s="38" t="str">
        <f>IF($A570="","",IF(H570&lt;0,ABS(H570)/MAX('KT THAN'!$C$69,0.001)+'KT THAN'!$C$32*ABS(J570)/MAX('KT THAN'!$C$68,0.001)+'KT THAN'!$D$32*ABS(I570)/MAX('KT THAN'!$D$68,0.001),IF(OR(M570&lt;=0,N570&lt;=0),999,IF(H570&gt;=0.1*0.75*fc_*Agth*1000,H570/MAX(0.001,1/(1/M570+1/N570-1/(0.75*'KT THAN'!$C$62))),'KT THAN'!$C$32*ABS(J570)/MAX('KT THAN'!$C$68,0.001)+'KT THAN'!$D$32*ABS(I570)/MAX('KT THAN'!$D$68,0.001)))))</f>
        <v/>
      </c>
      <c r="P570" s="37" t="str">
        <f t="shared" si="89"/>
        <v/>
      </c>
      <c r="Q570" s="38" t="str">
        <f>IF($A570="","",MAX(0.001,'KT THAN'!$C$32*ABS(J570)/MAX(1,H570)))</f>
        <v/>
      </c>
      <c r="R570" s="38" t="str">
        <f>IF($A570="","",MAX(0.001,'KT THAN'!$D$32*ABS(I570)/MAX(1,H570)))</f>
        <v/>
      </c>
      <c r="S570" t="str">
        <f t="shared" si="83"/>
        <v/>
      </c>
    </row>
    <row r="571" spans="1:19" hidden="1" outlineLevel="1" x14ac:dyDescent="0.3">
      <c r="A571" s="37" t="str">
        <f>IF(OR(nThan=1,'TO HOP NLAN'!$A127=""),"",'TO HOP NLAN'!$A127)</f>
        <v/>
      </c>
      <c r="B571" s="38" t="str">
        <f>IF($A571="","",'TO HOP NLAN'!$D127)</f>
        <v/>
      </c>
      <c r="C571" s="38" t="str">
        <f>IF($A571="","",'TO HOP NLAN'!$E127)</f>
        <v/>
      </c>
      <c r="D571" s="38" t="str">
        <f>IF($A571="","",'TO HOP NLAN'!$F127)</f>
        <v/>
      </c>
      <c r="E571" s="38" t="str">
        <f>IF($A571="","",'TO HOP NLAN'!$B127)</f>
        <v/>
      </c>
      <c r="F571" s="38" t="str">
        <f>IF($A571="","",'TO HOP NLAN'!$C127)</f>
        <v/>
      </c>
      <c r="G571" s="38" t="str">
        <f t="shared" si="84"/>
        <v/>
      </c>
      <c r="H571" s="38" t="str">
        <f t="shared" si="82"/>
        <v/>
      </c>
      <c r="I571" s="38" t="str">
        <f t="shared" si="85"/>
        <v/>
      </c>
      <c r="J571" s="38" t="str">
        <f t="shared" si="86"/>
        <v/>
      </c>
      <c r="K571" s="38" t="str">
        <f t="shared" si="87"/>
        <v/>
      </c>
      <c r="L571" s="38" t="str">
        <f t="shared" si="88"/>
        <v/>
      </c>
      <c r="M571" s="38" t="str">
        <f>IF($A571="","",IF(H571=0,"",IF(Q571&lt;=0.000000001,MIN(0.8*0.75*'KT THAN'!$C$62,MAX('KT THAN'!$J$38:$J$58)),IFERROR(MIN(0.8*0.75*'KT THAN'!$C$62,INDEX('KT THAN'!$J$38:$J$58,MATCH(Q571,'KT THAN'!$L$38:$L$58,-1))+(INDEX('KT THAN'!$J$38:$J$58,MIN(21,MATCH(Q571,'KT THAN'!$L$38:$L$58,-1)+1))-INDEX('KT THAN'!$J$38:$J$58,MATCH(Q571,'KT THAN'!$L$38:$L$58,-1)))*(Q571-INDEX('KT THAN'!$L$38:$L$58,MATCH(Q571,'KT THAN'!$L$38:$L$58,-1)))/(INDEX('KT THAN'!$L$38:$L$58,MIN(21,MATCH(Q571,'KT THAN'!$L$38:$L$58,-1)+1))-INDEX('KT THAN'!$L$38:$L$58,MATCH(Q571,'KT THAN'!$L$38:$L$58,-1)))),MIN(0.8*0.75*'KT THAN'!$C$62,'KT THAN'!$C$68/Q571)))))</f>
        <v/>
      </c>
      <c r="N571" s="38" t="str">
        <f>IF($A571="","",IF(H571=0,"",IF(R571&lt;=0.000000001,MIN(0.8*0.75*'KT THAN'!$C$62,MAX('KT THAN'!$W$38:$W$58)),IFERROR(MIN(0.8*0.75*'KT THAN'!$C$62,INDEX('KT THAN'!$W$38:$W$58,MATCH(R571,'KT THAN'!$Y$38:$Y$58,-1))+(INDEX('KT THAN'!$W$38:$W$58,MIN(21,MATCH(R571,'KT THAN'!$Y$38:$Y$58,-1)+1))-INDEX('KT THAN'!$W$38:$W$58,MATCH(R571,'KT THAN'!$Y$38:$Y$58,-1)))*(R571-INDEX('KT THAN'!$Y$38:$Y$58,MATCH(R571,'KT THAN'!$Y$38:$Y$58,-1)))/(INDEX('KT THAN'!$Y$38:$Y$58,MIN(21,MATCH(R571,'KT THAN'!$Y$38:$Y$58,-1)+1))-INDEX('KT THAN'!$Y$38:$Y$58,MATCH(R571,'KT THAN'!$Y$38:$Y$58,-1)))),MIN(0.8*0.75*'KT THAN'!$C$62,'KT THAN'!$D$68/R571)))))</f>
        <v/>
      </c>
      <c r="O571" s="38" t="str">
        <f>IF($A571="","",IF(H571&lt;0,ABS(H571)/MAX('KT THAN'!$C$69,0.001)+'KT THAN'!$C$32*ABS(J571)/MAX('KT THAN'!$C$68,0.001)+'KT THAN'!$D$32*ABS(I571)/MAX('KT THAN'!$D$68,0.001),IF(OR(M571&lt;=0,N571&lt;=0),999,IF(H571&gt;=0.1*0.75*fc_*Agth*1000,H571/MAX(0.001,1/(1/M571+1/N571-1/(0.75*'KT THAN'!$C$62))),'KT THAN'!$C$32*ABS(J571)/MAX('KT THAN'!$C$68,0.001)+'KT THAN'!$D$32*ABS(I571)/MAX('KT THAN'!$D$68,0.001)))))</f>
        <v/>
      </c>
      <c r="P571" s="37" t="str">
        <f t="shared" si="89"/>
        <v/>
      </c>
      <c r="Q571" s="38" t="str">
        <f>IF($A571="","",MAX(0.001,'KT THAN'!$C$32*ABS(J571)/MAX(1,H571)))</f>
        <v/>
      </c>
      <c r="R571" s="38" t="str">
        <f>IF($A571="","",MAX(0.001,'KT THAN'!$D$32*ABS(I571)/MAX(1,H571)))</f>
        <v/>
      </c>
      <c r="S571" t="str">
        <f t="shared" si="83"/>
        <v/>
      </c>
    </row>
    <row r="572" spans="1:19" hidden="1" outlineLevel="1" x14ac:dyDescent="0.3">
      <c r="A572" s="37" t="str">
        <f>IF(OR(nThan=1,'TO HOP NLAN'!$A128=""),"",'TO HOP NLAN'!$A128)</f>
        <v/>
      </c>
      <c r="B572" s="38" t="str">
        <f>IF($A572="","",'TO HOP NLAN'!$D128)</f>
        <v/>
      </c>
      <c r="C572" s="38" t="str">
        <f>IF($A572="","",'TO HOP NLAN'!$E128)</f>
        <v/>
      </c>
      <c r="D572" s="38" t="str">
        <f>IF($A572="","",'TO HOP NLAN'!$F128)</f>
        <v/>
      </c>
      <c r="E572" s="38" t="str">
        <f>IF($A572="","",'TO HOP NLAN'!$B128)</f>
        <v/>
      </c>
      <c r="F572" s="38" t="str">
        <f>IF($A572="","",'TO HOP NLAN'!$C128)</f>
        <v/>
      </c>
      <c r="G572" s="38" t="str">
        <f t="shared" si="84"/>
        <v/>
      </c>
      <c r="H572" s="38" t="str">
        <f t="shared" si="82"/>
        <v/>
      </c>
      <c r="I572" s="38" t="str">
        <f t="shared" si="85"/>
        <v/>
      </c>
      <c r="J572" s="38" t="str">
        <f t="shared" si="86"/>
        <v/>
      </c>
      <c r="K572" s="38" t="str">
        <f t="shared" si="87"/>
        <v/>
      </c>
      <c r="L572" s="38" t="str">
        <f t="shared" si="88"/>
        <v/>
      </c>
      <c r="M572" s="38" t="str">
        <f>IF($A572="","",IF(H572=0,"",IF(Q572&lt;=0.000000001,MIN(0.8*0.75*'KT THAN'!$C$62,MAX('KT THAN'!$J$38:$J$58)),IFERROR(MIN(0.8*0.75*'KT THAN'!$C$62,INDEX('KT THAN'!$J$38:$J$58,MATCH(Q572,'KT THAN'!$L$38:$L$58,-1))+(INDEX('KT THAN'!$J$38:$J$58,MIN(21,MATCH(Q572,'KT THAN'!$L$38:$L$58,-1)+1))-INDEX('KT THAN'!$J$38:$J$58,MATCH(Q572,'KT THAN'!$L$38:$L$58,-1)))*(Q572-INDEX('KT THAN'!$L$38:$L$58,MATCH(Q572,'KT THAN'!$L$38:$L$58,-1)))/(INDEX('KT THAN'!$L$38:$L$58,MIN(21,MATCH(Q572,'KT THAN'!$L$38:$L$58,-1)+1))-INDEX('KT THAN'!$L$38:$L$58,MATCH(Q572,'KT THAN'!$L$38:$L$58,-1)))),MIN(0.8*0.75*'KT THAN'!$C$62,'KT THAN'!$C$68/Q572)))))</f>
        <v/>
      </c>
      <c r="N572" s="38" t="str">
        <f>IF($A572="","",IF(H572=0,"",IF(R572&lt;=0.000000001,MIN(0.8*0.75*'KT THAN'!$C$62,MAX('KT THAN'!$W$38:$W$58)),IFERROR(MIN(0.8*0.75*'KT THAN'!$C$62,INDEX('KT THAN'!$W$38:$W$58,MATCH(R572,'KT THAN'!$Y$38:$Y$58,-1))+(INDEX('KT THAN'!$W$38:$W$58,MIN(21,MATCH(R572,'KT THAN'!$Y$38:$Y$58,-1)+1))-INDEX('KT THAN'!$W$38:$W$58,MATCH(R572,'KT THAN'!$Y$38:$Y$58,-1)))*(R572-INDEX('KT THAN'!$Y$38:$Y$58,MATCH(R572,'KT THAN'!$Y$38:$Y$58,-1)))/(INDEX('KT THAN'!$Y$38:$Y$58,MIN(21,MATCH(R572,'KT THAN'!$Y$38:$Y$58,-1)+1))-INDEX('KT THAN'!$Y$38:$Y$58,MATCH(R572,'KT THAN'!$Y$38:$Y$58,-1)))),MIN(0.8*0.75*'KT THAN'!$C$62,'KT THAN'!$D$68/R572)))))</f>
        <v/>
      </c>
      <c r="O572" s="38" t="str">
        <f>IF($A572="","",IF(H572&lt;0,ABS(H572)/MAX('KT THAN'!$C$69,0.001)+'KT THAN'!$C$32*ABS(J572)/MAX('KT THAN'!$C$68,0.001)+'KT THAN'!$D$32*ABS(I572)/MAX('KT THAN'!$D$68,0.001),IF(OR(M572&lt;=0,N572&lt;=0),999,IF(H572&gt;=0.1*0.75*fc_*Agth*1000,H572/MAX(0.001,1/(1/M572+1/N572-1/(0.75*'KT THAN'!$C$62))),'KT THAN'!$C$32*ABS(J572)/MAX('KT THAN'!$C$68,0.001)+'KT THAN'!$D$32*ABS(I572)/MAX('KT THAN'!$D$68,0.001)))))</f>
        <v/>
      </c>
      <c r="P572" s="37" t="str">
        <f t="shared" si="89"/>
        <v/>
      </c>
      <c r="Q572" s="38" t="str">
        <f>IF($A572="","",MAX(0.001,'KT THAN'!$C$32*ABS(J572)/MAX(1,H572)))</f>
        <v/>
      </c>
      <c r="R572" s="38" t="str">
        <f>IF($A572="","",MAX(0.001,'KT THAN'!$D$32*ABS(I572)/MAX(1,H572)))</f>
        <v/>
      </c>
      <c r="S572" t="str">
        <f t="shared" si="83"/>
        <v/>
      </c>
    </row>
    <row r="573" spans="1:19" hidden="1" outlineLevel="1" x14ac:dyDescent="0.3">
      <c r="A573" s="37" t="str">
        <f>IF(OR(nThan=1,'TO HOP NLAN'!$A129=""),"",'TO HOP NLAN'!$A129)</f>
        <v/>
      </c>
      <c r="B573" s="38" t="str">
        <f>IF($A573="","",'TO HOP NLAN'!$D129)</f>
        <v/>
      </c>
      <c r="C573" s="38" t="str">
        <f>IF($A573="","",'TO HOP NLAN'!$E129)</f>
        <v/>
      </c>
      <c r="D573" s="38" t="str">
        <f>IF($A573="","",'TO HOP NLAN'!$F129)</f>
        <v/>
      </c>
      <c r="E573" s="38" t="str">
        <f>IF($A573="","",'TO HOP NLAN'!$B129)</f>
        <v/>
      </c>
      <c r="F573" s="38" t="str">
        <f>IF($A573="","",'TO HOP NLAN'!$C129)</f>
        <v/>
      </c>
      <c r="G573" s="38" t="str">
        <f t="shared" si="84"/>
        <v/>
      </c>
      <c r="H573" s="38" t="str">
        <f t="shared" si="82"/>
        <v/>
      </c>
      <c r="I573" s="38" t="str">
        <f t="shared" si="85"/>
        <v/>
      </c>
      <c r="J573" s="38" t="str">
        <f t="shared" si="86"/>
        <v/>
      </c>
      <c r="K573" s="38" t="str">
        <f t="shared" si="87"/>
        <v/>
      </c>
      <c r="L573" s="38" t="str">
        <f t="shared" si="88"/>
        <v/>
      </c>
      <c r="M573" s="38" t="str">
        <f>IF($A573="","",IF(H573=0,"",IF(Q573&lt;=0.000000001,MIN(0.8*0.75*'KT THAN'!$C$62,MAX('KT THAN'!$J$38:$J$58)),IFERROR(MIN(0.8*0.75*'KT THAN'!$C$62,INDEX('KT THAN'!$J$38:$J$58,MATCH(Q573,'KT THAN'!$L$38:$L$58,-1))+(INDEX('KT THAN'!$J$38:$J$58,MIN(21,MATCH(Q573,'KT THAN'!$L$38:$L$58,-1)+1))-INDEX('KT THAN'!$J$38:$J$58,MATCH(Q573,'KT THAN'!$L$38:$L$58,-1)))*(Q573-INDEX('KT THAN'!$L$38:$L$58,MATCH(Q573,'KT THAN'!$L$38:$L$58,-1)))/(INDEX('KT THAN'!$L$38:$L$58,MIN(21,MATCH(Q573,'KT THAN'!$L$38:$L$58,-1)+1))-INDEX('KT THAN'!$L$38:$L$58,MATCH(Q573,'KT THAN'!$L$38:$L$58,-1)))),MIN(0.8*0.75*'KT THAN'!$C$62,'KT THAN'!$C$68/Q573)))))</f>
        <v/>
      </c>
      <c r="N573" s="38" t="str">
        <f>IF($A573="","",IF(H573=0,"",IF(R573&lt;=0.000000001,MIN(0.8*0.75*'KT THAN'!$C$62,MAX('KT THAN'!$W$38:$W$58)),IFERROR(MIN(0.8*0.75*'KT THAN'!$C$62,INDEX('KT THAN'!$W$38:$W$58,MATCH(R573,'KT THAN'!$Y$38:$Y$58,-1))+(INDEX('KT THAN'!$W$38:$W$58,MIN(21,MATCH(R573,'KT THAN'!$Y$38:$Y$58,-1)+1))-INDEX('KT THAN'!$W$38:$W$58,MATCH(R573,'KT THAN'!$Y$38:$Y$58,-1)))*(R573-INDEX('KT THAN'!$Y$38:$Y$58,MATCH(R573,'KT THAN'!$Y$38:$Y$58,-1)))/(INDEX('KT THAN'!$Y$38:$Y$58,MIN(21,MATCH(R573,'KT THAN'!$Y$38:$Y$58,-1)+1))-INDEX('KT THAN'!$Y$38:$Y$58,MATCH(R573,'KT THAN'!$Y$38:$Y$58,-1)))),MIN(0.8*0.75*'KT THAN'!$C$62,'KT THAN'!$D$68/R573)))))</f>
        <v/>
      </c>
      <c r="O573" s="38" t="str">
        <f>IF($A573="","",IF(H573&lt;0,ABS(H573)/MAX('KT THAN'!$C$69,0.001)+'KT THAN'!$C$32*ABS(J573)/MAX('KT THAN'!$C$68,0.001)+'KT THAN'!$D$32*ABS(I573)/MAX('KT THAN'!$D$68,0.001),IF(OR(M573&lt;=0,N573&lt;=0),999,IF(H573&gt;=0.1*0.75*fc_*Agth*1000,H573/MAX(0.001,1/(1/M573+1/N573-1/(0.75*'KT THAN'!$C$62))),'KT THAN'!$C$32*ABS(J573)/MAX('KT THAN'!$C$68,0.001)+'KT THAN'!$D$32*ABS(I573)/MAX('KT THAN'!$D$68,0.001)))))</f>
        <v/>
      </c>
      <c r="P573" s="37" t="str">
        <f t="shared" si="89"/>
        <v/>
      </c>
      <c r="Q573" s="38" t="str">
        <f>IF($A573="","",MAX(0.001,'KT THAN'!$C$32*ABS(J573)/MAX(1,H573)))</f>
        <v/>
      </c>
      <c r="R573" s="38" t="str">
        <f>IF($A573="","",MAX(0.001,'KT THAN'!$D$32*ABS(I573)/MAX(1,H573)))</f>
        <v/>
      </c>
      <c r="S573" t="str">
        <f t="shared" si="83"/>
        <v/>
      </c>
    </row>
    <row r="574" spans="1:19" hidden="1" outlineLevel="1" x14ac:dyDescent="0.3">
      <c r="A574" s="37" t="str">
        <f>IF(OR(nThan=1,'TO HOP NLAN'!$A130=""),"",'TO HOP NLAN'!$A130)</f>
        <v/>
      </c>
      <c r="B574" s="38" t="str">
        <f>IF($A574="","",'TO HOP NLAN'!$D130)</f>
        <v/>
      </c>
      <c r="C574" s="38" t="str">
        <f>IF($A574="","",'TO HOP NLAN'!$E130)</f>
        <v/>
      </c>
      <c r="D574" s="38" t="str">
        <f>IF($A574="","",'TO HOP NLAN'!$F130)</f>
        <v/>
      </c>
      <c r="E574" s="38" t="str">
        <f>IF($A574="","",'TO HOP NLAN'!$B130)</f>
        <v/>
      </c>
      <c r="F574" s="38" t="str">
        <f>IF($A574="","",'TO HOP NLAN'!$C130)</f>
        <v/>
      </c>
      <c r="G574" s="38" t="str">
        <f t="shared" si="84"/>
        <v/>
      </c>
      <c r="H574" s="38" t="str">
        <f t="shared" si="82"/>
        <v/>
      </c>
      <c r="I574" s="38" t="str">
        <f t="shared" si="85"/>
        <v/>
      </c>
      <c r="J574" s="38" t="str">
        <f t="shared" si="86"/>
        <v/>
      </c>
      <c r="K574" s="38" t="str">
        <f t="shared" si="87"/>
        <v/>
      </c>
      <c r="L574" s="38" t="str">
        <f t="shared" si="88"/>
        <v/>
      </c>
      <c r="M574" s="38" t="str">
        <f>IF($A574="","",IF(H574=0,"",IF(Q574&lt;=0.000000001,MIN(0.8*0.75*'KT THAN'!$C$62,MAX('KT THAN'!$J$38:$J$58)),IFERROR(MIN(0.8*0.75*'KT THAN'!$C$62,INDEX('KT THAN'!$J$38:$J$58,MATCH(Q574,'KT THAN'!$L$38:$L$58,-1))+(INDEX('KT THAN'!$J$38:$J$58,MIN(21,MATCH(Q574,'KT THAN'!$L$38:$L$58,-1)+1))-INDEX('KT THAN'!$J$38:$J$58,MATCH(Q574,'KT THAN'!$L$38:$L$58,-1)))*(Q574-INDEX('KT THAN'!$L$38:$L$58,MATCH(Q574,'KT THAN'!$L$38:$L$58,-1)))/(INDEX('KT THAN'!$L$38:$L$58,MIN(21,MATCH(Q574,'KT THAN'!$L$38:$L$58,-1)+1))-INDEX('KT THAN'!$L$38:$L$58,MATCH(Q574,'KT THAN'!$L$38:$L$58,-1)))),MIN(0.8*0.75*'KT THAN'!$C$62,'KT THAN'!$C$68/Q574)))))</f>
        <v/>
      </c>
      <c r="N574" s="38" t="str">
        <f>IF($A574="","",IF(H574=0,"",IF(R574&lt;=0.000000001,MIN(0.8*0.75*'KT THAN'!$C$62,MAX('KT THAN'!$W$38:$W$58)),IFERROR(MIN(0.8*0.75*'KT THAN'!$C$62,INDEX('KT THAN'!$W$38:$W$58,MATCH(R574,'KT THAN'!$Y$38:$Y$58,-1))+(INDEX('KT THAN'!$W$38:$W$58,MIN(21,MATCH(R574,'KT THAN'!$Y$38:$Y$58,-1)+1))-INDEX('KT THAN'!$W$38:$W$58,MATCH(R574,'KT THAN'!$Y$38:$Y$58,-1)))*(R574-INDEX('KT THAN'!$Y$38:$Y$58,MATCH(R574,'KT THAN'!$Y$38:$Y$58,-1)))/(INDEX('KT THAN'!$Y$38:$Y$58,MIN(21,MATCH(R574,'KT THAN'!$Y$38:$Y$58,-1)+1))-INDEX('KT THAN'!$Y$38:$Y$58,MATCH(R574,'KT THAN'!$Y$38:$Y$58,-1)))),MIN(0.8*0.75*'KT THAN'!$C$62,'KT THAN'!$D$68/R574)))))</f>
        <v/>
      </c>
      <c r="O574" s="38" t="str">
        <f>IF($A574="","",IF(H574&lt;0,ABS(H574)/MAX('KT THAN'!$C$69,0.001)+'KT THAN'!$C$32*ABS(J574)/MAX('KT THAN'!$C$68,0.001)+'KT THAN'!$D$32*ABS(I574)/MAX('KT THAN'!$D$68,0.001),IF(OR(M574&lt;=0,N574&lt;=0),999,IF(H574&gt;=0.1*0.75*fc_*Agth*1000,H574/MAX(0.001,1/(1/M574+1/N574-1/(0.75*'KT THAN'!$C$62))),'KT THAN'!$C$32*ABS(J574)/MAX('KT THAN'!$C$68,0.001)+'KT THAN'!$D$32*ABS(I574)/MAX('KT THAN'!$D$68,0.001)))))</f>
        <v/>
      </c>
      <c r="P574" s="37" t="str">
        <f t="shared" si="89"/>
        <v/>
      </c>
      <c r="Q574" s="38" t="str">
        <f>IF($A574="","",MAX(0.001,'KT THAN'!$C$32*ABS(J574)/MAX(1,H574)))</f>
        <v/>
      </c>
      <c r="R574" s="38" t="str">
        <f>IF($A574="","",MAX(0.001,'KT THAN'!$D$32*ABS(I574)/MAX(1,H574)))</f>
        <v/>
      </c>
      <c r="S574" t="str">
        <f t="shared" si="83"/>
        <v/>
      </c>
    </row>
    <row r="575" spans="1:19" hidden="1" outlineLevel="1" x14ac:dyDescent="0.3">
      <c r="A575" s="37" t="str">
        <f>IF(OR(nThan=1,'TO HOP NLAN'!$A131=""),"",'TO HOP NLAN'!$A131)</f>
        <v/>
      </c>
      <c r="B575" s="38" t="str">
        <f>IF($A575="","",'TO HOP NLAN'!$D131)</f>
        <v/>
      </c>
      <c r="C575" s="38" t="str">
        <f>IF($A575="","",'TO HOP NLAN'!$E131)</f>
        <v/>
      </c>
      <c r="D575" s="38" t="str">
        <f>IF($A575="","",'TO HOP NLAN'!$F131)</f>
        <v/>
      </c>
      <c r="E575" s="38" t="str">
        <f>IF($A575="","",'TO HOP NLAN'!$B131)</f>
        <v/>
      </c>
      <c r="F575" s="38" t="str">
        <f>IF($A575="","",'TO HOP NLAN'!$C131)</f>
        <v/>
      </c>
      <c r="G575" s="38" t="str">
        <f t="shared" si="84"/>
        <v/>
      </c>
      <c r="H575" s="38" t="str">
        <f t="shared" si="82"/>
        <v/>
      </c>
      <c r="I575" s="38" t="str">
        <f t="shared" si="85"/>
        <v/>
      </c>
      <c r="J575" s="38" t="str">
        <f t="shared" si="86"/>
        <v/>
      </c>
      <c r="K575" s="38" t="str">
        <f t="shared" si="87"/>
        <v/>
      </c>
      <c r="L575" s="38" t="str">
        <f t="shared" si="88"/>
        <v/>
      </c>
      <c r="M575" s="38" t="str">
        <f>IF($A575="","",IF(H575=0,"",IF(Q575&lt;=0.000000001,MIN(0.8*0.75*'KT THAN'!$C$62,MAX('KT THAN'!$J$38:$J$58)),IFERROR(MIN(0.8*0.75*'KT THAN'!$C$62,INDEX('KT THAN'!$J$38:$J$58,MATCH(Q575,'KT THAN'!$L$38:$L$58,-1))+(INDEX('KT THAN'!$J$38:$J$58,MIN(21,MATCH(Q575,'KT THAN'!$L$38:$L$58,-1)+1))-INDEX('KT THAN'!$J$38:$J$58,MATCH(Q575,'KT THAN'!$L$38:$L$58,-1)))*(Q575-INDEX('KT THAN'!$L$38:$L$58,MATCH(Q575,'KT THAN'!$L$38:$L$58,-1)))/(INDEX('KT THAN'!$L$38:$L$58,MIN(21,MATCH(Q575,'KT THAN'!$L$38:$L$58,-1)+1))-INDEX('KT THAN'!$L$38:$L$58,MATCH(Q575,'KT THAN'!$L$38:$L$58,-1)))),MIN(0.8*0.75*'KT THAN'!$C$62,'KT THAN'!$C$68/Q575)))))</f>
        <v/>
      </c>
      <c r="N575" s="38" t="str">
        <f>IF($A575="","",IF(H575=0,"",IF(R575&lt;=0.000000001,MIN(0.8*0.75*'KT THAN'!$C$62,MAX('KT THAN'!$W$38:$W$58)),IFERROR(MIN(0.8*0.75*'KT THAN'!$C$62,INDEX('KT THAN'!$W$38:$W$58,MATCH(R575,'KT THAN'!$Y$38:$Y$58,-1))+(INDEX('KT THAN'!$W$38:$W$58,MIN(21,MATCH(R575,'KT THAN'!$Y$38:$Y$58,-1)+1))-INDEX('KT THAN'!$W$38:$W$58,MATCH(R575,'KT THAN'!$Y$38:$Y$58,-1)))*(R575-INDEX('KT THAN'!$Y$38:$Y$58,MATCH(R575,'KT THAN'!$Y$38:$Y$58,-1)))/(INDEX('KT THAN'!$Y$38:$Y$58,MIN(21,MATCH(R575,'KT THAN'!$Y$38:$Y$58,-1)+1))-INDEX('KT THAN'!$Y$38:$Y$58,MATCH(R575,'KT THAN'!$Y$38:$Y$58,-1)))),MIN(0.8*0.75*'KT THAN'!$C$62,'KT THAN'!$D$68/R575)))))</f>
        <v/>
      </c>
      <c r="O575" s="38" t="str">
        <f>IF($A575="","",IF(H575&lt;0,ABS(H575)/MAX('KT THAN'!$C$69,0.001)+'KT THAN'!$C$32*ABS(J575)/MAX('KT THAN'!$C$68,0.001)+'KT THAN'!$D$32*ABS(I575)/MAX('KT THAN'!$D$68,0.001),IF(OR(M575&lt;=0,N575&lt;=0),999,IF(H575&gt;=0.1*0.75*fc_*Agth*1000,H575/MAX(0.001,1/(1/M575+1/N575-1/(0.75*'KT THAN'!$C$62))),'KT THAN'!$C$32*ABS(J575)/MAX('KT THAN'!$C$68,0.001)+'KT THAN'!$D$32*ABS(I575)/MAX('KT THAN'!$D$68,0.001)))))</f>
        <v/>
      </c>
      <c r="P575" s="37" t="str">
        <f t="shared" si="89"/>
        <v/>
      </c>
      <c r="Q575" s="38" t="str">
        <f>IF($A575="","",MAX(0.001,'KT THAN'!$C$32*ABS(J575)/MAX(1,H575)))</f>
        <v/>
      </c>
      <c r="R575" s="38" t="str">
        <f>IF($A575="","",MAX(0.001,'KT THAN'!$D$32*ABS(I575)/MAX(1,H575)))</f>
        <v/>
      </c>
      <c r="S575" t="str">
        <f t="shared" si="83"/>
        <v/>
      </c>
    </row>
    <row r="576" spans="1:19" hidden="1" outlineLevel="1" x14ac:dyDescent="0.3">
      <c r="A576" s="37" t="str">
        <f>IF(OR(nThan=1,'TO HOP NLAN'!$A132=""),"",'TO HOP NLAN'!$A132)</f>
        <v/>
      </c>
      <c r="B576" s="38" t="str">
        <f>IF($A576="","",'TO HOP NLAN'!$D132)</f>
        <v/>
      </c>
      <c r="C576" s="38" t="str">
        <f>IF($A576="","",'TO HOP NLAN'!$E132)</f>
        <v/>
      </c>
      <c r="D576" s="38" t="str">
        <f>IF($A576="","",'TO HOP NLAN'!$F132)</f>
        <v/>
      </c>
      <c r="E576" s="38" t="str">
        <f>IF($A576="","",'TO HOP NLAN'!$B132)</f>
        <v/>
      </c>
      <c r="F576" s="38" t="str">
        <f>IF($A576="","",'TO HOP NLAN'!$C132)</f>
        <v/>
      </c>
      <c r="G576" s="38" t="str">
        <f t="shared" si="84"/>
        <v/>
      </c>
      <c r="H576" s="38" t="str">
        <f t="shared" si="82"/>
        <v/>
      </c>
      <c r="I576" s="38" t="str">
        <f t="shared" si="85"/>
        <v/>
      </c>
      <c r="J576" s="38" t="str">
        <f t="shared" si="86"/>
        <v/>
      </c>
      <c r="K576" s="38" t="str">
        <f t="shared" si="87"/>
        <v/>
      </c>
      <c r="L576" s="38" t="str">
        <f t="shared" si="88"/>
        <v/>
      </c>
      <c r="M576" s="38" t="str">
        <f>IF($A576="","",IF(H576=0,"",IF(Q576&lt;=0.000000001,MIN(0.8*0.75*'KT THAN'!$C$62,MAX('KT THAN'!$J$38:$J$58)),IFERROR(MIN(0.8*0.75*'KT THAN'!$C$62,INDEX('KT THAN'!$J$38:$J$58,MATCH(Q576,'KT THAN'!$L$38:$L$58,-1))+(INDEX('KT THAN'!$J$38:$J$58,MIN(21,MATCH(Q576,'KT THAN'!$L$38:$L$58,-1)+1))-INDEX('KT THAN'!$J$38:$J$58,MATCH(Q576,'KT THAN'!$L$38:$L$58,-1)))*(Q576-INDEX('KT THAN'!$L$38:$L$58,MATCH(Q576,'KT THAN'!$L$38:$L$58,-1)))/(INDEX('KT THAN'!$L$38:$L$58,MIN(21,MATCH(Q576,'KT THAN'!$L$38:$L$58,-1)+1))-INDEX('KT THAN'!$L$38:$L$58,MATCH(Q576,'KT THAN'!$L$38:$L$58,-1)))),MIN(0.8*0.75*'KT THAN'!$C$62,'KT THAN'!$C$68/Q576)))))</f>
        <v/>
      </c>
      <c r="N576" s="38" t="str">
        <f>IF($A576="","",IF(H576=0,"",IF(R576&lt;=0.000000001,MIN(0.8*0.75*'KT THAN'!$C$62,MAX('KT THAN'!$W$38:$W$58)),IFERROR(MIN(0.8*0.75*'KT THAN'!$C$62,INDEX('KT THAN'!$W$38:$W$58,MATCH(R576,'KT THAN'!$Y$38:$Y$58,-1))+(INDEX('KT THAN'!$W$38:$W$58,MIN(21,MATCH(R576,'KT THAN'!$Y$38:$Y$58,-1)+1))-INDEX('KT THAN'!$W$38:$W$58,MATCH(R576,'KT THAN'!$Y$38:$Y$58,-1)))*(R576-INDEX('KT THAN'!$Y$38:$Y$58,MATCH(R576,'KT THAN'!$Y$38:$Y$58,-1)))/(INDEX('KT THAN'!$Y$38:$Y$58,MIN(21,MATCH(R576,'KT THAN'!$Y$38:$Y$58,-1)+1))-INDEX('KT THAN'!$Y$38:$Y$58,MATCH(R576,'KT THAN'!$Y$38:$Y$58,-1)))),MIN(0.8*0.75*'KT THAN'!$C$62,'KT THAN'!$D$68/R576)))))</f>
        <v/>
      </c>
      <c r="O576" s="38" t="str">
        <f>IF($A576="","",IF(H576&lt;0,ABS(H576)/MAX('KT THAN'!$C$69,0.001)+'KT THAN'!$C$32*ABS(J576)/MAX('KT THAN'!$C$68,0.001)+'KT THAN'!$D$32*ABS(I576)/MAX('KT THAN'!$D$68,0.001),IF(OR(M576&lt;=0,N576&lt;=0),999,IF(H576&gt;=0.1*0.75*fc_*Agth*1000,H576/MAX(0.001,1/(1/M576+1/N576-1/(0.75*'KT THAN'!$C$62))),'KT THAN'!$C$32*ABS(J576)/MAX('KT THAN'!$C$68,0.001)+'KT THAN'!$D$32*ABS(I576)/MAX('KT THAN'!$D$68,0.001)))))</f>
        <v/>
      </c>
      <c r="P576" s="37" t="str">
        <f t="shared" si="89"/>
        <v/>
      </c>
      <c r="Q576" s="38" t="str">
        <f>IF($A576="","",MAX(0.001,'KT THAN'!$C$32*ABS(J576)/MAX(1,H576)))</f>
        <v/>
      </c>
      <c r="R576" s="38" t="str">
        <f>IF($A576="","",MAX(0.001,'KT THAN'!$D$32*ABS(I576)/MAX(1,H576)))</f>
        <v/>
      </c>
      <c r="S576" t="str">
        <f t="shared" si="83"/>
        <v/>
      </c>
    </row>
    <row r="577" spans="1:19" hidden="1" outlineLevel="1" x14ac:dyDescent="0.3">
      <c r="A577" s="37" t="str">
        <f>IF(OR(nThan=1,'TO HOP NLAN'!$A133=""),"",'TO HOP NLAN'!$A133)</f>
        <v/>
      </c>
      <c r="B577" s="38" t="str">
        <f>IF($A577="","",'TO HOP NLAN'!$D133)</f>
        <v/>
      </c>
      <c r="C577" s="38" t="str">
        <f>IF($A577="","",'TO HOP NLAN'!$E133)</f>
        <v/>
      </c>
      <c r="D577" s="38" t="str">
        <f>IF($A577="","",'TO HOP NLAN'!$F133)</f>
        <v/>
      </c>
      <c r="E577" s="38" t="str">
        <f>IF($A577="","",'TO HOP NLAN'!$B133)</f>
        <v/>
      </c>
      <c r="F577" s="38" t="str">
        <f>IF($A577="","",'TO HOP NLAN'!$C133)</f>
        <v/>
      </c>
      <c r="G577" s="38" t="str">
        <f t="shared" si="84"/>
        <v/>
      </c>
      <c r="H577" s="38" t="str">
        <f t="shared" si="82"/>
        <v/>
      </c>
      <c r="I577" s="38" t="str">
        <f t="shared" si="85"/>
        <v/>
      </c>
      <c r="J577" s="38" t="str">
        <f t="shared" si="86"/>
        <v/>
      </c>
      <c r="K577" s="38" t="str">
        <f t="shared" si="87"/>
        <v/>
      </c>
      <c r="L577" s="38" t="str">
        <f t="shared" si="88"/>
        <v/>
      </c>
      <c r="M577" s="38" t="str">
        <f>IF($A577="","",IF(H577=0,"",IF(Q577&lt;=0.000000001,MIN(0.8*0.75*'KT THAN'!$C$62,MAX('KT THAN'!$J$38:$J$58)),IFERROR(MIN(0.8*0.75*'KT THAN'!$C$62,INDEX('KT THAN'!$J$38:$J$58,MATCH(Q577,'KT THAN'!$L$38:$L$58,-1))+(INDEX('KT THAN'!$J$38:$J$58,MIN(21,MATCH(Q577,'KT THAN'!$L$38:$L$58,-1)+1))-INDEX('KT THAN'!$J$38:$J$58,MATCH(Q577,'KT THAN'!$L$38:$L$58,-1)))*(Q577-INDEX('KT THAN'!$L$38:$L$58,MATCH(Q577,'KT THAN'!$L$38:$L$58,-1)))/(INDEX('KT THAN'!$L$38:$L$58,MIN(21,MATCH(Q577,'KT THAN'!$L$38:$L$58,-1)+1))-INDEX('KT THAN'!$L$38:$L$58,MATCH(Q577,'KT THAN'!$L$38:$L$58,-1)))),MIN(0.8*0.75*'KT THAN'!$C$62,'KT THAN'!$C$68/Q577)))))</f>
        <v/>
      </c>
      <c r="N577" s="38" t="str">
        <f>IF($A577="","",IF(H577=0,"",IF(R577&lt;=0.000000001,MIN(0.8*0.75*'KT THAN'!$C$62,MAX('KT THAN'!$W$38:$W$58)),IFERROR(MIN(0.8*0.75*'KT THAN'!$C$62,INDEX('KT THAN'!$W$38:$W$58,MATCH(R577,'KT THAN'!$Y$38:$Y$58,-1))+(INDEX('KT THAN'!$W$38:$W$58,MIN(21,MATCH(R577,'KT THAN'!$Y$38:$Y$58,-1)+1))-INDEX('KT THAN'!$W$38:$W$58,MATCH(R577,'KT THAN'!$Y$38:$Y$58,-1)))*(R577-INDEX('KT THAN'!$Y$38:$Y$58,MATCH(R577,'KT THAN'!$Y$38:$Y$58,-1)))/(INDEX('KT THAN'!$Y$38:$Y$58,MIN(21,MATCH(R577,'KT THAN'!$Y$38:$Y$58,-1)+1))-INDEX('KT THAN'!$Y$38:$Y$58,MATCH(R577,'KT THAN'!$Y$38:$Y$58,-1)))),MIN(0.8*0.75*'KT THAN'!$C$62,'KT THAN'!$D$68/R577)))))</f>
        <v/>
      </c>
      <c r="O577" s="38" t="str">
        <f>IF($A577="","",IF(H577&lt;0,ABS(H577)/MAX('KT THAN'!$C$69,0.001)+'KT THAN'!$C$32*ABS(J577)/MAX('KT THAN'!$C$68,0.001)+'KT THAN'!$D$32*ABS(I577)/MAX('KT THAN'!$D$68,0.001),IF(OR(M577&lt;=0,N577&lt;=0),999,IF(H577&gt;=0.1*0.75*fc_*Agth*1000,H577/MAX(0.001,1/(1/M577+1/N577-1/(0.75*'KT THAN'!$C$62))),'KT THAN'!$C$32*ABS(J577)/MAX('KT THAN'!$C$68,0.001)+'KT THAN'!$D$32*ABS(I577)/MAX('KT THAN'!$D$68,0.001)))))</f>
        <v/>
      </c>
      <c r="P577" s="37" t="str">
        <f t="shared" si="89"/>
        <v/>
      </c>
      <c r="Q577" s="38" t="str">
        <f>IF($A577="","",MAX(0.001,'KT THAN'!$C$32*ABS(J577)/MAX(1,H577)))</f>
        <v/>
      </c>
      <c r="R577" s="38" t="str">
        <f>IF($A577="","",MAX(0.001,'KT THAN'!$D$32*ABS(I577)/MAX(1,H577)))</f>
        <v/>
      </c>
      <c r="S577" t="str">
        <f t="shared" si="83"/>
        <v/>
      </c>
    </row>
    <row r="578" spans="1:19" hidden="1" outlineLevel="1" x14ac:dyDescent="0.3">
      <c r="A578" s="37" t="str">
        <f>IF(OR(nThan=1,'TO HOP NLAN'!$A134=""),"",'TO HOP NLAN'!$A134)</f>
        <v/>
      </c>
      <c r="B578" s="38" t="str">
        <f>IF($A578="","",'TO HOP NLAN'!$D134)</f>
        <v/>
      </c>
      <c r="C578" s="38" t="str">
        <f>IF($A578="","",'TO HOP NLAN'!$E134)</f>
        <v/>
      </c>
      <c r="D578" s="38" t="str">
        <f>IF($A578="","",'TO HOP NLAN'!$F134)</f>
        <v/>
      </c>
      <c r="E578" s="38" t="str">
        <f>IF($A578="","",'TO HOP NLAN'!$B134)</f>
        <v/>
      </c>
      <c r="F578" s="38" t="str">
        <f>IF($A578="","",'TO HOP NLAN'!$C134)</f>
        <v/>
      </c>
      <c r="G578" s="38" t="str">
        <f t="shared" si="84"/>
        <v/>
      </c>
      <c r="H578" s="38" t="str">
        <f t="shared" ref="H578:H641" si="90">IF(A578="","",IF(nThan=1,B578,B578/2+(-1)*$B$7*C578/sThan))</f>
        <v/>
      </c>
      <c r="I578" s="38" t="str">
        <f t="shared" si="85"/>
        <v/>
      </c>
      <c r="J578" s="38" t="str">
        <f t="shared" si="86"/>
        <v/>
      </c>
      <c r="K578" s="38" t="str">
        <f t="shared" si="87"/>
        <v/>
      </c>
      <c r="L578" s="38" t="str">
        <f t="shared" si="88"/>
        <v/>
      </c>
      <c r="M578" s="38" t="str">
        <f>IF($A578="","",IF(H578=0,"",IF(Q578&lt;=0.000000001,MIN(0.8*0.75*'KT THAN'!$C$62,MAX('KT THAN'!$J$38:$J$58)),IFERROR(MIN(0.8*0.75*'KT THAN'!$C$62,INDEX('KT THAN'!$J$38:$J$58,MATCH(Q578,'KT THAN'!$L$38:$L$58,-1))+(INDEX('KT THAN'!$J$38:$J$58,MIN(21,MATCH(Q578,'KT THAN'!$L$38:$L$58,-1)+1))-INDEX('KT THAN'!$J$38:$J$58,MATCH(Q578,'KT THAN'!$L$38:$L$58,-1)))*(Q578-INDEX('KT THAN'!$L$38:$L$58,MATCH(Q578,'KT THAN'!$L$38:$L$58,-1)))/(INDEX('KT THAN'!$L$38:$L$58,MIN(21,MATCH(Q578,'KT THAN'!$L$38:$L$58,-1)+1))-INDEX('KT THAN'!$L$38:$L$58,MATCH(Q578,'KT THAN'!$L$38:$L$58,-1)))),MIN(0.8*0.75*'KT THAN'!$C$62,'KT THAN'!$C$68/Q578)))))</f>
        <v/>
      </c>
      <c r="N578" s="38" t="str">
        <f>IF($A578="","",IF(H578=0,"",IF(R578&lt;=0.000000001,MIN(0.8*0.75*'KT THAN'!$C$62,MAX('KT THAN'!$W$38:$W$58)),IFERROR(MIN(0.8*0.75*'KT THAN'!$C$62,INDEX('KT THAN'!$W$38:$W$58,MATCH(R578,'KT THAN'!$Y$38:$Y$58,-1))+(INDEX('KT THAN'!$W$38:$W$58,MIN(21,MATCH(R578,'KT THAN'!$Y$38:$Y$58,-1)+1))-INDEX('KT THAN'!$W$38:$W$58,MATCH(R578,'KT THAN'!$Y$38:$Y$58,-1)))*(R578-INDEX('KT THAN'!$Y$38:$Y$58,MATCH(R578,'KT THAN'!$Y$38:$Y$58,-1)))/(INDEX('KT THAN'!$Y$38:$Y$58,MIN(21,MATCH(R578,'KT THAN'!$Y$38:$Y$58,-1)+1))-INDEX('KT THAN'!$Y$38:$Y$58,MATCH(R578,'KT THAN'!$Y$38:$Y$58,-1)))),MIN(0.8*0.75*'KT THAN'!$C$62,'KT THAN'!$D$68/R578)))))</f>
        <v/>
      </c>
      <c r="O578" s="38" t="str">
        <f>IF($A578="","",IF(H578&lt;0,ABS(H578)/MAX('KT THAN'!$C$69,0.001)+'KT THAN'!$C$32*ABS(J578)/MAX('KT THAN'!$C$68,0.001)+'KT THAN'!$D$32*ABS(I578)/MAX('KT THAN'!$D$68,0.001),IF(OR(M578&lt;=0,N578&lt;=0),999,IF(H578&gt;=0.1*0.75*fc_*Agth*1000,H578/MAX(0.001,1/(1/M578+1/N578-1/(0.75*'KT THAN'!$C$62))),'KT THAN'!$C$32*ABS(J578)/MAX('KT THAN'!$C$68,0.001)+'KT THAN'!$D$32*ABS(I578)/MAX('KT THAN'!$D$68,0.001)))))</f>
        <v/>
      </c>
      <c r="P578" s="37" t="str">
        <f t="shared" si="89"/>
        <v/>
      </c>
      <c r="Q578" s="38" t="str">
        <f>IF($A578="","",MAX(0.001,'KT THAN'!$C$32*ABS(J578)/MAX(1,H578)))</f>
        <v/>
      </c>
      <c r="R578" s="38" t="str">
        <f>IF($A578="","",MAX(0.001,'KT THAN'!$D$32*ABS(I578)/MAX(1,H578)))</f>
        <v/>
      </c>
      <c r="S578" t="str">
        <f t="shared" ref="S578:S641" si="91">IF($A578="","",IF(H578&lt;0,O578,""))</f>
        <v/>
      </c>
    </row>
    <row r="579" spans="1:19" hidden="1" outlineLevel="1" x14ac:dyDescent="0.3">
      <c r="A579" s="37" t="str">
        <f>IF(OR(nThan=1,'TO HOP NLAN'!$A135=""),"",'TO HOP NLAN'!$A135)</f>
        <v/>
      </c>
      <c r="B579" s="38" t="str">
        <f>IF($A579="","",'TO HOP NLAN'!$D135)</f>
        <v/>
      </c>
      <c r="C579" s="38" t="str">
        <f>IF($A579="","",'TO HOP NLAN'!$E135)</f>
        <v/>
      </c>
      <c r="D579" s="38" t="str">
        <f>IF($A579="","",'TO HOP NLAN'!$F135)</f>
        <v/>
      </c>
      <c r="E579" s="38" t="str">
        <f>IF($A579="","",'TO HOP NLAN'!$B135)</f>
        <v/>
      </c>
      <c r="F579" s="38" t="str">
        <f>IF($A579="","",'TO HOP NLAN'!$C135)</f>
        <v/>
      </c>
      <c r="G579" s="38" t="str">
        <f t="shared" ref="G579:G642" si="92">IF(A579="","",2)</f>
        <v/>
      </c>
      <c r="H579" s="38" t="str">
        <f t="shared" si="90"/>
        <v/>
      </c>
      <c r="I579" s="38" t="str">
        <f t="shared" ref="I579:I642" si="93">IF(A579="","",IF(nThan=1,C579,(1-$B$7)*C579/2))</f>
        <v/>
      </c>
      <c r="J579" s="38" t="str">
        <f t="shared" ref="J579:J642" si="94">IF(A579="","",IF(nThan=1,D579,D579/2))</f>
        <v/>
      </c>
      <c r="K579" s="38" t="str">
        <f t="shared" ref="K579:K642" si="95">IF(A579="","",IF(nThan=1,E579,E579/2))</f>
        <v/>
      </c>
      <c r="L579" s="38" t="str">
        <f t="shared" ref="L579:L642" si="96">IF(A579="","",IF(nThan=1,F579,F579/2))</f>
        <v/>
      </c>
      <c r="M579" s="38" t="str">
        <f>IF($A579="","",IF(H579=0,"",IF(Q579&lt;=0.000000001,MIN(0.8*0.75*'KT THAN'!$C$62,MAX('KT THAN'!$J$38:$J$58)),IFERROR(MIN(0.8*0.75*'KT THAN'!$C$62,INDEX('KT THAN'!$J$38:$J$58,MATCH(Q579,'KT THAN'!$L$38:$L$58,-1))+(INDEX('KT THAN'!$J$38:$J$58,MIN(21,MATCH(Q579,'KT THAN'!$L$38:$L$58,-1)+1))-INDEX('KT THAN'!$J$38:$J$58,MATCH(Q579,'KT THAN'!$L$38:$L$58,-1)))*(Q579-INDEX('KT THAN'!$L$38:$L$58,MATCH(Q579,'KT THAN'!$L$38:$L$58,-1)))/(INDEX('KT THAN'!$L$38:$L$58,MIN(21,MATCH(Q579,'KT THAN'!$L$38:$L$58,-1)+1))-INDEX('KT THAN'!$L$38:$L$58,MATCH(Q579,'KT THAN'!$L$38:$L$58,-1)))),MIN(0.8*0.75*'KT THAN'!$C$62,'KT THAN'!$C$68/Q579)))))</f>
        <v/>
      </c>
      <c r="N579" s="38" t="str">
        <f>IF($A579="","",IF(H579=0,"",IF(R579&lt;=0.000000001,MIN(0.8*0.75*'KT THAN'!$C$62,MAX('KT THAN'!$W$38:$W$58)),IFERROR(MIN(0.8*0.75*'KT THAN'!$C$62,INDEX('KT THAN'!$W$38:$W$58,MATCH(R579,'KT THAN'!$Y$38:$Y$58,-1))+(INDEX('KT THAN'!$W$38:$W$58,MIN(21,MATCH(R579,'KT THAN'!$Y$38:$Y$58,-1)+1))-INDEX('KT THAN'!$W$38:$W$58,MATCH(R579,'KT THAN'!$Y$38:$Y$58,-1)))*(R579-INDEX('KT THAN'!$Y$38:$Y$58,MATCH(R579,'KT THAN'!$Y$38:$Y$58,-1)))/(INDEX('KT THAN'!$Y$38:$Y$58,MIN(21,MATCH(R579,'KT THAN'!$Y$38:$Y$58,-1)+1))-INDEX('KT THAN'!$Y$38:$Y$58,MATCH(R579,'KT THAN'!$Y$38:$Y$58,-1)))),MIN(0.8*0.75*'KT THAN'!$C$62,'KT THAN'!$D$68/R579)))))</f>
        <v/>
      </c>
      <c r="O579" s="38" t="str">
        <f>IF($A579="","",IF(H579&lt;0,ABS(H579)/MAX('KT THAN'!$C$69,0.001)+'KT THAN'!$C$32*ABS(J579)/MAX('KT THAN'!$C$68,0.001)+'KT THAN'!$D$32*ABS(I579)/MAX('KT THAN'!$D$68,0.001),IF(OR(M579&lt;=0,N579&lt;=0),999,IF(H579&gt;=0.1*0.75*fc_*Agth*1000,H579/MAX(0.001,1/(1/M579+1/N579-1/(0.75*'KT THAN'!$C$62))),'KT THAN'!$C$32*ABS(J579)/MAX('KT THAN'!$C$68,0.001)+'KT THAN'!$D$32*ABS(I579)/MAX('KT THAN'!$D$68,0.001)))))</f>
        <v/>
      </c>
      <c r="P579" s="37" t="str">
        <f t="shared" ref="P579:P642" si="97">IF(A579="","",IF(O579&lt;=1,"ĐẠT","KHÔNG ĐẠT"))</f>
        <v/>
      </c>
      <c r="Q579" s="38" t="str">
        <f>IF($A579="","",MAX(0.001,'KT THAN'!$C$32*ABS(J579)/MAX(1,H579)))</f>
        <v/>
      </c>
      <c r="R579" s="38" t="str">
        <f>IF($A579="","",MAX(0.001,'KT THAN'!$D$32*ABS(I579)/MAX(1,H579)))</f>
        <v/>
      </c>
      <c r="S579" t="str">
        <f t="shared" si="91"/>
        <v/>
      </c>
    </row>
    <row r="580" spans="1:19" hidden="1" outlineLevel="1" x14ac:dyDescent="0.3">
      <c r="A580" s="37" t="str">
        <f>IF(OR(nThan=1,'TO HOP NLAN'!$A136=""),"",'TO HOP NLAN'!$A136)</f>
        <v/>
      </c>
      <c r="B580" s="38" t="str">
        <f>IF($A580="","",'TO HOP NLAN'!$D136)</f>
        <v/>
      </c>
      <c r="C580" s="38" t="str">
        <f>IF($A580="","",'TO HOP NLAN'!$E136)</f>
        <v/>
      </c>
      <c r="D580" s="38" t="str">
        <f>IF($A580="","",'TO HOP NLAN'!$F136)</f>
        <v/>
      </c>
      <c r="E580" s="38" t="str">
        <f>IF($A580="","",'TO HOP NLAN'!$B136)</f>
        <v/>
      </c>
      <c r="F580" s="38" t="str">
        <f>IF($A580="","",'TO HOP NLAN'!$C136)</f>
        <v/>
      </c>
      <c r="G580" s="38" t="str">
        <f t="shared" si="92"/>
        <v/>
      </c>
      <c r="H580" s="38" t="str">
        <f t="shared" si="90"/>
        <v/>
      </c>
      <c r="I580" s="38" t="str">
        <f t="shared" si="93"/>
        <v/>
      </c>
      <c r="J580" s="38" t="str">
        <f t="shared" si="94"/>
        <v/>
      </c>
      <c r="K580" s="38" t="str">
        <f t="shared" si="95"/>
        <v/>
      </c>
      <c r="L580" s="38" t="str">
        <f t="shared" si="96"/>
        <v/>
      </c>
      <c r="M580" s="38" t="str">
        <f>IF($A580="","",IF(H580=0,"",IF(Q580&lt;=0.000000001,MIN(0.8*0.75*'KT THAN'!$C$62,MAX('KT THAN'!$J$38:$J$58)),IFERROR(MIN(0.8*0.75*'KT THAN'!$C$62,INDEX('KT THAN'!$J$38:$J$58,MATCH(Q580,'KT THAN'!$L$38:$L$58,-1))+(INDEX('KT THAN'!$J$38:$J$58,MIN(21,MATCH(Q580,'KT THAN'!$L$38:$L$58,-1)+1))-INDEX('KT THAN'!$J$38:$J$58,MATCH(Q580,'KT THAN'!$L$38:$L$58,-1)))*(Q580-INDEX('KT THAN'!$L$38:$L$58,MATCH(Q580,'KT THAN'!$L$38:$L$58,-1)))/(INDEX('KT THAN'!$L$38:$L$58,MIN(21,MATCH(Q580,'KT THAN'!$L$38:$L$58,-1)+1))-INDEX('KT THAN'!$L$38:$L$58,MATCH(Q580,'KT THAN'!$L$38:$L$58,-1)))),MIN(0.8*0.75*'KT THAN'!$C$62,'KT THAN'!$C$68/Q580)))))</f>
        <v/>
      </c>
      <c r="N580" s="38" t="str">
        <f>IF($A580="","",IF(H580=0,"",IF(R580&lt;=0.000000001,MIN(0.8*0.75*'KT THAN'!$C$62,MAX('KT THAN'!$W$38:$W$58)),IFERROR(MIN(0.8*0.75*'KT THAN'!$C$62,INDEX('KT THAN'!$W$38:$W$58,MATCH(R580,'KT THAN'!$Y$38:$Y$58,-1))+(INDEX('KT THAN'!$W$38:$W$58,MIN(21,MATCH(R580,'KT THAN'!$Y$38:$Y$58,-1)+1))-INDEX('KT THAN'!$W$38:$W$58,MATCH(R580,'KT THAN'!$Y$38:$Y$58,-1)))*(R580-INDEX('KT THAN'!$Y$38:$Y$58,MATCH(R580,'KT THAN'!$Y$38:$Y$58,-1)))/(INDEX('KT THAN'!$Y$38:$Y$58,MIN(21,MATCH(R580,'KT THAN'!$Y$38:$Y$58,-1)+1))-INDEX('KT THAN'!$Y$38:$Y$58,MATCH(R580,'KT THAN'!$Y$38:$Y$58,-1)))),MIN(0.8*0.75*'KT THAN'!$C$62,'KT THAN'!$D$68/R580)))))</f>
        <v/>
      </c>
      <c r="O580" s="38" t="str">
        <f>IF($A580="","",IF(H580&lt;0,ABS(H580)/MAX('KT THAN'!$C$69,0.001)+'KT THAN'!$C$32*ABS(J580)/MAX('KT THAN'!$C$68,0.001)+'KT THAN'!$D$32*ABS(I580)/MAX('KT THAN'!$D$68,0.001),IF(OR(M580&lt;=0,N580&lt;=0),999,IF(H580&gt;=0.1*0.75*fc_*Agth*1000,H580/MAX(0.001,1/(1/M580+1/N580-1/(0.75*'KT THAN'!$C$62))),'KT THAN'!$C$32*ABS(J580)/MAX('KT THAN'!$C$68,0.001)+'KT THAN'!$D$32*ABS(I580)/MAX('KT THAN'!$D$68,0.001)))))</f>
        <v/>
      </c>
      <c r="P580" s="37" t="str">
        <f t="shared" si="97"/>
        <v/>
      </c>
      <c r="Q580" s="38" t="str">
        <f>IF($A580="","",MAX(0.001,'KT THAN'!$C$32*ABS(J580)/MAX(1,H580)))</f>
        <v/>
      </c>
      <c r="R580" s="38" t="str">
        <f>IF($A580="","",MAX(0.001,'KT THAN'!$D$32*ABS(I580)/MAX(1,H580)))</f>
        <v/>
      </c>
      <c r="S580" t="str">
        <f t="shared" si="91"/>
        <v/>
      </c>
    </row>
    <row r="581" spans="1:19" hidden="1" outlineLevel="1" x14ac:dyDescent="0.3">
      <c r="A581" s="37" t="str">
        <f>IF(OR(nThan=1,'TO HOP NLAN'!$A137=""),"",'TO HOP NLAN'!$A137)</f>
        <v/>
      </c>
      <c r="B581" s="38" t="str">
        <f>IF($A581="","",'TO HOP NLAN'!$D137)</f>
        <v/>
      </c>
      <c r="C581" s="38" t="str">
        <f>IF($A581="","",'TO HOP NLAN'!$E137)</f>
        <v/>
      </c>
      <c r="D581" s="38" t="str">
        <f>IF($A581="","",'TO HOP NLAN'!$F137)</f>
        <v/>
      </c>
      <c r="E581" s="38" t="str">
        <f>IF($A581="","",'TO HOP NLAN'!$B137)</f>
        <v/>
      </c>
      <c r="F581" s="38" t="str">
        <f>IF($A581="","",'TO HOP NLAN'!$C137)</f>
        <v/>
      </c>
      <c r="G581" s="38" t="str">
        <f t="shared" si="92"/>
        <v/>
      </c>
      <c r="H581" s="38" t="str">
        <f t="shared" si="90"/>
        <v/>
      </c>
      <c r="I581" s="38" t="str">
        <f t="shared" si="93"/>
        <v/>
      </c>
      <c r="J581" s="38" t="str">
        <f t="shared" si="94"/>
        <v/>
      </c>
      <c r="K581" s="38" t="str">
        <f t="shared" si="95"/>
        <v/>
      </c>
      <c r="L581" s="38" t="str">
        <f t="shared" si="96"/>
        <v/>
      </c>
      <c r="M581" s="38" t="str">
        <f>IF($A581="","",IF(H581=0,"",IF(Q581&lt;=0.000000001,MIN(0.8*0.75*'KT THAN'!$C$62,MAX('KT THAN'!$J$38:$J$58)),IFERROR(MIN(0.8*0.75*'KT THAN'!$C$62,INDEX('KT THAN'!$J$38:$J$58,MATCH(Q581,'KT THAN'!$L$38:$L$58,-1))+(INDEX('KT THAN'!$J$38:$J$58,MIN(21,MATCH(Q581,'KT THAN'!$L$38:$L$58,-1)+1))-INDEX('KT THAN'!$J$38:$J$58,MATCH(Q581,'KT THAN'!$L$38:$L$58,-1)))*(Q581-INDEX('KT THAN'!$L$38:$L$58,MATCH(Q581,'KT THAN'!$L$38:$L$58,-1)))/(INDEX('KT THAN'!$L$38:$L$58,MIN(21,MATCH(Q581,'KT THAN'!$L$38:$L$58,-1)+1))-INDEX('KT THAN'!$L$38:$L$58,MATCH(Q581,'KT THAN'!$L$38:$L$58,-1)))),MIN(0.8*0.75*'KT THAN'!$C$62,'KT THAN'!$C$68/Q581)))))</f>
        <v/>
      </c>
      <c r="N581" s="38" t="str">
        <f>IF($A581="","",IF(H581=0,"",IF(R581&lt;=0.000000001,MIN(0.8*0.75*'KT THAN'!$C$62,MAX('KT THAN'!$W$38:$W$58)),IFERROR(MIN(0.8*0.75*'KT THAN'!$C$62,INDEX('KT THAN'!$W$38:$W$58,MATCH(R581,'KT THAN'!$Y$38:$Y$58,-1))+(INDEX('KT THAN'!$W$38:$W$58,MIN(21,MATCH(R581,'KT THAN'!$Y$38:$Y$58,-1)+1))-INDEX('KT THAN'!$W$38:$W$58,MATCH(R581,'KT THAN'!$Y$38:$Y$58,-1)))*(R581-INDEX('KT THAN'!$Y$38:$Y$58,MATCH(R581,'KT THAN'!$Y$38:$Y$58,-1)))/(INDEX('KT THAN'!$Y$38:$Y$58,MIN(21,MATCH(R581,'KT THAN'!$Y$38:$Y$58,-1)+1))-INDEX('KT THAN'!$Y$38:$Y$58,MATCH(R581,'KT THAN'!$Y$38:$Y$58,-1)))),MIN(0.8*0.75*'KT THAN'!$C$62,'KT THAN'!$D$68/R581)))))</f>
        <v/>
      </c>
      <c r="O581" s="38" t="str">
        <f>IF($A581="","",IF(H581&lt;0,ABS(H581)/MAX('KT THAN'!$C$69,0.001)+'KT THAN'!$C$32*ABS(J581)/MAX('KT THAN'!$C$68,0.001)+'KT THAN'!$D$32*ABS(I581)/MAX('KT THAN'!$D$68,0.001),IF(OR(M581&lt;=0,N581&lt;=0),999,IF(H581&gt;=0.1*0.75*fc_*Agth*1000,H581/MAX(0.001,1/(1/M581+1/N581-1/(0.75*'KT THAN'!$C$62))),'KT THAN'!$C$32*ABS(J581)/MAX('KT THAN'!$C$68,0.001)+'KT THAN'!$D$32*ABS(I581)/MAX('KT THAN'!$D$68,0.001)))))</f>
        <v/>
      </c>
      <c r="P581" s="37" t="str">
        <f t="shared" si="97"/>
        <v/>
      </c>
      <c r="Q581" s="38" t="str">
        <f>IF($A581="","",MAX(0.001,'KT THAN'!$C$32*ABS(J581)/MAX(1,H581)))</f>
        <v/>
      </c>
      <c r="R581" s="38" t="str">
        <f>IF($A581="","",MAX(0.001,'KT THAN'!$D$32*ABS(I581)/MAX(1,H581)))</f>
        <v/>
      </c>
      <c r="S581" t="str">
        <f t="shared" si="91"/>
        <v/>
      </c>
    </row>
    <row r="582" spans="1:19" hidden="1" outlineLevel="1" x14ac:dyDescent="0.3">
      <c r="A582" s="37" t="str">
        <f>IF(OR(nThan=1,'TO HOP NLAN'!$A138=""),"",'TO HOP NLAN'!$A138)</f>
        <v/>
      </c>
      <c r="B582" s="38" t="str">
        <f>IF($A582="","",'TO HOP NLAN'!$D138)</f>
        <v/>
      </c>
      <c r="C582" s="38" t="str">
        <f>IF($A582="","",'TO HOP NLAN'!$E138)</f>
        <v/>
      </c>
      <c r="D582" s="38" t="str">
        <f>IF($A582="","",'TO HOP NLAN'!$F138)</f>
        <v/>
      </c>
      <c r="E582" s="38" t="str">
        <f>IF($A582="","",'TO HOP NLAN'!$B138)</f>
        <v/>
      </c>
      <c r="F582" s="38" t="str">
        <f>IF($A582="","",'TO HOP NLAN'!$C138)</f>
        <v/>
      </c>
      <c r="G582" s="38" t="str">
        <f t="shared" si="92"/>
        <v/>
      </c>
      <c r="H582" s="38" t="str">
        <f t="shared" si="90"/>
        <v/>
      </c>
      <c r="I582" s="38" t="str">
        <f t="shared" si="93"/>
        <v/>
      </c>
      <c r="J582" s="38" t="str">
        <f t="shared" si="94"/>
        <v/>
      </c>
      <c r="K582" s="38" t="str">
        <f t="shared" si="95"/>
        <v/>
      </c>
      <c r="L582" s="38" t="str">
        <f t="shared" si="96"/>
        <v/>
      </c>
      <c r="M582" s="38" t="str">
        <f>IF($A582="","",IF(H582=0,"",IF(Q582&lt;=0.000000001,MIN(0.8*0.75*'KT THAN'!$C$62,MAX('KT THAN'!$J$38:$J$58)),IFERROR(MIN(0.8*0.75*'KT THAN'!$C$62,INDEX('KT THAN'!$J$38:$J$58,MATCH(Q582,'KT THAN'!$L$38:$L$58,-1))+(INDEX('KT THAN'!$J$38:$J$58,MIN(21,MATCH(Q582,'KT THAN'!$L$38:$L$58,-1)+1))-INDEX('KT THAN'!$J$38:$J$58,MATCH(Q582,'KT THAN'!$L$38:$L$58,-1)))*(Q582-INDEX('KT THAN'!$L$38:$L$58,MATCH(Q582,'KT THAN'!$L$38:$L$58,-1)))/(INDEX('KT THAN'!$L$38:$L$58,MIN(21,MATCH(Q582,'KT THAN'!$L$38:$L$58,-1)+1))-INDEX('KT THAN'!$L$38:$L$58,MATCH(Q582,'KT THAN'!$L$38:$L$58,-1)))),MIN(0.8*0.75*'KT THAN'!$C$62,'KT THAN'!$C$68/Q582)))))</f>
        <v/>
      </c>
      <c r="N582" s="38" t="str">
        <f>IF($A582="","",IF(H582=0,"",IF(R582&lt;=0.000000001,MIN(0.8*0.75*'KT THAN'!$C$62,MAX('KT THAN'!$W$38:$W$58)),IFERROR(MIN(0.8*0.75*'KT THAN'!$C$62,INDEX('KT THAN'!$W$38:$W$58,MATCH(R582,'KT THAN'!$Y$38:$Y$58,-1))+(INDEX('KT THAN'!$W$38:$W$58,MIN(21,MATCH(R582,'KT THAN'!$Y$38:$Y$58,-1)+1))-INDEX('KT THAN'!$W$38:$W$58,MATCH(R582,'KT THAN'!$Y$38:$Y$58,-1)))*(R582-INDEX('KT THAN'!$Y$38:$Y$58,MATCH(R582,'KT THAN'!$Y$38:$Y$58,-1)))/(INDEX('KT THAN'!$Y$38:$Y$58,MIN(21,MATCH(R582,'KT THAN'!$Y$38:$Y$58,-1)+1))-INDEX('KT THAN'!$Y$38:$Y$58,MATCH(R582,'KT THAN'!$Y$38:$Y$58,-1)))),MIN(0.8*0.75*'KT THAN'!$C$62,'KT THAN'!$D$68/R582)))))</f>
        <v/>
      </c>
      <c r="O582" s="38" t="str">
        <f>IF($A582="","",IF(H582&lt;0,ABS(H582)/MAX('KT THAN'!$C$69,0.001)+'KT THAN'!$C$32*ABS(J582)/MAX('KT THAN'!$C$68,0.001)+'KT THAN'!$D$32*ABS(I582)/MAX('KT THAN'!$D$68,0.001),IF(OR(M582&lt;=0,N582&lt;=0),999,IF(H582&gt;=0.1*0.75*fc_*Agth*1000,H582/MAX(0.001,1/(1/M582+1/N582-1/(0.75*'KT THAN'!$C$62))),'KT THAN'!$C$32*ABS(J582)/MAX('KT THAN'!$C$68,0.001)+'KT THAN'!$D$32*ABS(I582)/MAX('KT THAN'!$D$68,0.001)))))</f>
        <v/>
      </c>
      <c r="P582" s="37" t="str">
        <f t="shared" si="97"/>
        <v/>
      </c>
      <c r="Q582" s="38" t="str">
        <f>IF($A582="","",MAX(0.001,'KT THAN'!$C$32*ABS(J582)/MAX(1,H582)))</f>
        <v/>
      </c>
      <c r="R582" s="38" t="str">
        <f>IF($A582="","",MAX(0.001,'KT THAN'!$D$32*ABS(I582)/MAX(1,H582)))</f>
        <v/>
      </c>
      <c r="S582" t="str">
        <f t="shared" si="91"/>
        <v/>
      </c>
    </row>
    <row r="583" spans="1:19" hidden="1" outlineLevel="1" x14ac:dyDescent="0.3">
      <c r="A583" s="37" t="str">
        <f>IF(OR(nThan=1,'TO HOP NLAN'!$A139=""),"",'TO HOP NLAN'!$A139)</f>
        <v/>
      </c>
      <c r="B583" s="38" t="str">
        <f>IF($A583="","",'TO HOP NLAN'!$D139)</f>
        <v/>
      </c>
      <c r="C583" s="38" t="str">
        <f>IF($A583="","",'TO HOP NLAN'!$E139)</f>
        <v/>
      </c>
      <c r="D583" s="38" t="str">
        <f>IF($A583="","",'TO HOP NLAN'!$F139)</f>
        <v/>
      </c>
      <c r="E583" s="38" t="str">
        <f>IF($A583="","",'TO HOP NLAN'!$B139)</f>
        <v/>
      </c>
      <c r="F583" s="38" t="str">
        <f>IF($A583="","",'TO HOP NLAN'!$C139)</f>
        <v/>
      </c>
      <c r="G583" s="38" t="str">
        <f t="shared" si="92"/>
        <v/>
      </c>
      <c r="H583" s="38" t="str">
        <f t="shared" si="90"/>
        <v/>
      </c>
      <c r="I583" s="38" t="str">
        <f t="shared" si="93"/>
        <v/>
      </c>
      <c r="J583" s="38" t="str">
        <f t="shared" si="94"/>
        <v/>
      </c>
      <c r="K583" s="38" t="str">
        <f t="shared" si="95"/>
        <v/>
      </c>
      <c r="L583" s="38" t="str">
        <f t="shared" si="96"/>
        <v/>
      </c>
      <c r="M583" s="38" t="str">
        <f>IF($A583="","",IF(H583=0,"",IF(Q583&lt;=0.000000001,MIN(0.8*0.75*'KT THAN'!$C$62,MAX('KT THAN'!$J$38:$J$58)),IFERROR(MIN(0.8*0.75*'KT THAN'!$C$62,INDEX('KT THAN'!$J$38:$J$58,MATCH(Q583,'KT THAN'!$L$38:$L$58,-1))+(INDEX('KT THAN'!$J$38:$J$58,MIN(21,MATCH(Q583,'KT THAN'!$L$38:$L$58,-1)+1))-INDEX('KT THAN'!$J$38:$J$58,MATCH(Q583,'KT THAN'!$L$38:$L$58,-1)))*(Q583-INDEX('KT THAN'!$L$38:$L$58,MATCH(Q583,'KT THAN'!$L$38:$L$58,-1)))/(INDEX('KT THAN'!$L$38:$L$58,MIN(21,MATCH(Q583,'KT THAN'!$L$38:$L$58,-1)+1))-INDEX('KT THAN'!$L$38:$L$58,MATCH(Q583,'KT THAN'!$L$38:$L$58,-1)))),MIN(0.8*0.75*'KT THAN'!$C$62,'KT THAN'!$C$68/Q583)))))</f>
        <v/>
      </c>
      <c r="N583" s="38" t="str">
        <f>IF($A583="","",IF(H583=0,"",IF(R583&lt;=0.000000001,MIN(0.8*0.75*'KT THAN'!$C$62,MAX('KT THAN'!$W$38:$W$58)),IFERROR(MIN(0.8*0.75*'KT THAN'!$C$62,INDEX('KT THAN'!$W$38:$W$58,MATCH(R583,'KT THAN'!$Y$38:$Y$58,-1))+(INDEX('KT THAN'!$W$38:$W$58,MIN(21,MATCH(R583,'KT THAN'!$Y$38:$Y$58,-1)+1))-INDEX('KT THAN'!$W$38:$W$58,MATCH(R583,'KT THAN'!$Y$38:$Y$58,-1)))*(R583-INDEX('KT THAN'!$Y$38:$Y$58,MATCH(R583,'KT THAN'!$Y$38:$Y$58,-1)))/(INDEX('KT THAN'!$Y$38:$Y$58,MIN(21,MATCH(R583,'KT THAN'!$Y$38:$Y$58,-1)+1))-INDEX('KT THAN'!$Y$38:$Y$58,MATCH(R583,'KT THAN'!$Y$38:$Y$58,-1)))),MIN(0.8*0.75*'KT THAN'!$C$62,'KT THAN'!$D$68/R583)))))</f>
        <v/>
      </c>
      <c r="O583" s="38" t="str">
        <f>IF($A583="","",IF(H583&lt;0,ABS(H583)/MAX('KT THAN'!$C$69,0.001)+'KT THAN'!$C$32*ABS(J583)/MAX('KT THAN'!$C$68,0.001)+'KT THAN'!$D$32*ABS(I583)/MAX('KT THAN'!$D$68,0.001),IF(OR(M583&lt;=0,N583&lt;=0),999,IF(H583&gt;=0.1*0.75*fc_*Agth*1000,H583/MAX(0.001,1/(1/M583+1/N583-1/(0.75*'KT THAN'!$C$62))),'KT THAN'!$C$32*ABS(J583)/MAX('KT THAN'!$C$68,0.001)+'KT THAN'!$D$32*ABS(I583)/MAX('KT THAN'!$D$68,0.001)))))</f>
        <v/>
      </c>
      <c r="P583" s="37" t="str">
        <f t="shared" si="97"/>
        <v/>
      </c>
      <c r="Q583" s="38" t="str">
        <f>IF($A583="","",MAX(0.001,'KT THAN'!$C$32*ABS(J583)/MAX(1,H583)))</f>
        <v/>
      </c>
      <c r="R583" s="38" t="str">
        <f>IF($A583="","",MAX(0.001,'KT THAN'!$D$32*ABS(I583)/MAX(1,H583)))</f>
        <v/>
      </c>
      <c r="S583" t="str">
        <f t="shared" si="91"/>
        <v/>
      </c>
    </row>
    <row r="584" spans="1:19" hidden="1" outlineLevel="1" x14ac:dyDescent="0.3">
      <c r="A584" s="37" t="str">
        <f>IF(OR(nThan=1,'TO HOP NLAN'!$A140=""),"",'TO HOP NLAN'!$A140)</f>
        <v/>
      </c>
      <c r="B584" s="38" t="str">
        <f>IF($A584="","",'TO HOP NLAN'!$D140)</f>
        <v/>
      </c>
      <c r="C584" s="38" t="str">
        <f>IF($A584="","",'TO HOP NLAN'!$E140)</f>
        <v/>
      </c>
      <c r="D584" s="38" t="str">
        <f>IF($A584="","",'TO HOP NLAN'!$F140)</f>
        <v/>
      </c>
      <c r="E584" s="38" t="str">
        <f>IF($A584="","",'TO HOP NLAN'!$B140)</f>
        <v/>
      </c>
      <c r="F584" s="38" t="str">
        <f>IF($A584="","",'TO HOP NLAN'!$C140)</f>
        <v/>
      </c>
      <c r="G584" s="38" t="str">
        <f t="shared" si="92"/>
        <v/>
      </c>
      <c r="H584" s="38" t="str">
        <f t="shared" si="90"/>
        <v/>
      </c>
      <c r="I584" s="38" t="str">
        <f t="shared" si="93"/>
        <v/>
      </c>
      <c r="J584" s="38" t="str">
        <f t="shared" si="94"/>
        <v/>
      </c>
      <c r="K584" s="38" t="str">
        <f t="shared" si="95"/>
        <v/>
      </c>
      <c r="L584" s="38" t="str">
        <f t="shared" si="96"/>
        <v/>
      </c>
      <c r="M584" s="38" t="str">
        <f>IF($A584="","",IF(H584=0,"",IF(Q584&lt;=0.000000001,MIN(0.8*0.75*'KT THAN'!$C$62,MAX('KT THAN'!$J$38:$J$58)),IFERROR(MIN(0.8*0.75*'KT THAN'!$C$62,INDEX('KT THAN'!$J$38:$J$58,MATCH(Q584,'KT THAN'!$L$38:$L$58,-1))+(INDEX('KT THAN'!$J$38:$J$58,MIN(21,MATCH(Q584,'KT THAN'!$L$38:$L$58,-1)+1))-INDEX('KT THAN'!$J$38:$J$58,MATCH(Q584,'KT THAN'!$L$38:$L$58,-1)))*(Q584-INDEX('KT THAN'!$L$38:$L$58,MATCH(Q584,'KT THAN'!$L$38:$L$58,-1)))/(INDEX('KT THAN'!$L$38:$L$58,MIN(21,MATCH(Q584,'KT THAN'!$L$38:$L$58,-1)+1))-INDEX('KT THAN'!$L$38:$L$58,MATCH(Q584,'KT THAN'!$L$38:$L$58,-1)))),MIN(0.8*0.75*'KT THAN'!$C$62,'KT THAN'!$C$68/Q584)))))</f>
        <v/>
      </c>
      <c r="N584" s="38" t="str">
        <f>IF($A584="","",IF(H584=0,"",IF(R584&lt;=0.000000001,MIN(0.8*0.75*'KT THAN'!$C$62,MAX('KT THAN'!$W$38:$W$58)),IFERROR(MIN(0.8*0.75*'KT THAN'!$C$62,INDEX('KT THAN'!$W$38:$W$58,MATCH(R584,'KT THAN'!$Y$38:$Y$58,-1))+(INDEX('KT THAN'!$W$38:$W$58,MIN(21,MATCH(R584,'KT THAN'!$Y$38:$Y$58,-1)+1))-INDEX('KT THAN'!$W$38:$W$58,MATCH(R584,'KT THAN'!$Y$38:$Y$58,-1)))*(R584-INDEX('KT THAN'!$Y$38:$Y$58,MATCH(R584,'KT THAN'!$Y$38:$Y$58,-1)))/(INDEX('KT THAN'!$Y$38:$Y$58,MIN(21,MATCH(R584,'KT THAN'!$Y$38:$Y$58,-1)+1))-INDEX('KT THAN'!$Y$38:$Y$58,MATCH(R584,'KT THAN'!$Y$38:$Y$58,-1)))),MIN(0.8*0.75*'KT THAN'!$C$62,'KT THAN'!$D$68/R584)))))</f>
        <v/>
      </c>
      <c r="O584" s="38" t="str">
        <f>IF($A584="","",IF(H584&lt;0,ABS(H584)/MAX('KT THAN'!$C$69,0.001)+'KT THAN'!$C$32*ABS(J584)/MAX('KT THAN'!$C$68,0.001)+'KT THAN'!$D$32*ABS(I584)/MAX('KT THAN'!$D$68,0.001),IF(OR(M584&lt;=0,N584&lt;=0),999,IF(H584&gt;=0.1*0.75*fc_*Agth*1000,H584/MAX(0.001,1/(1/M584+1/N584-1/(0.75*'KT THAN'!$C$62))),'KT THAN'!$C$32*ABS(J584)/MAX('KT THAN'!$C$68,0.001)+'KT THAN'!$D$32*ABS(I584)/MAX('KT THAN'!$D$68,0.001)))))</f>
        <v/>
      </c>
      <c r="P584" s="37" t="str">
        <f t="shared" si="97"/>
        <v/>
      </c>
      <c r="Q584" s="38" t="str">
        <f>IF($A584="","",MAX(0.001,'KT THAN'!$C$32*ABS(J584)/MAX(1,H584)))</f>
        <v/>
      </c>
      <c r="R584" s="38" t="str">
        <f>IF($A584="","",MAX(0.001,'KT THAN'!$D$32*ABS(I584)/MAX(1,H584)))</f>
        <v/>
      </c>
      <c r="S584" t="str">
        <f t="shared" si="91"/>
        <v/>
      </c>
    </row>
    <row r="585" spans="1:19" hidden="1" outlineLevel="1" x14ac:dyDescent="0.3">
      <c r="A585" s="37" t="str">
        <f>IF(OR(nThan=1,'TO HOP NLAN'!$A141=""),"",'TO HOP NLAN'!$A141)</f>
        <v/>
      </c>
      <c r="B585" s="38" t="str">
        <f>IF($A585="","",'TO HOP NLAN'!$D141)</f>
        <v/>
      </c>
      <c r="C585" s="38" t="str">
        <f>IF($A585="","",'TO HOP NLAN'!$E141)</f>
        <v/>
      </c>
      <c r="D585" s="38" t="str">
        <f>IF($A585="","",'TO HOP NLAN'!$F141)</f>
        <v/>
      </c>
      <c r="E585" s="38" t="str">
        <f>IF($A585="","",'TO HOP NLAN'!$B141)</f>
        <v/>
      </c>
      <c r="F585" s="38" t="str">
        <f>IF($A585="","",'TO HOP NLAN'!$C141)</f>
        <v/>
      </c>
      <c r="G585" s="38" t="str">
        <f t="shared" si="92"/>
        <v/>
      </c>
      <c r="H585" s="38" t="str">
        <f t="shared" si="90"/>
        <v/>
      </c>
      <c r="I585" s="38" t="str">
        <f t="shared" si="93"/>
        <v/>
      </c>
      <c r="J585" s="38" t="str">
        <f t="shared" si="94"/>
        <v/>
      </c>
      <c r="K585" s="38" t="str">
        <f t="shared" si="95"/>
        <v/>
      </c>
      <c r="L585" s="38" t="str">
        <f t="shared" si="96"/>
        <v/>
      </c>
      <c r="M585" s="38" t="str">
        <f>IF($A585="","",IF(H585=0,"",IF(Q585&lt;=0.000000001,MIN(0.8*0.75*'KT THAN'!$C$62,MAX('KT THAN'!$J$38:$J$58)),IFERROR(MIN(0.8*0.75*'KT THAN'!$C$62,INDEX('KT THAN'!$J$38:$J$58,MATCH(Q585,'KT THAN'!$L$38:$L$58,-1))+(INDEX('KT THAN'!$J$38:$J$58,MIN(21,MATCH(Q585,'KT THAN'!$L$38:$L$58,-1)+1))-INDEX('KT THAN'!$J$38:$J$58,MATCH(Q585,'KT THAN'!$L$38:$L$58,-1)))*(Q585-INDEX('KT THAN'!$L$38:$L$58,MATCH(Q585,'KT THAN'!$L$38:$L$58,-1)))/(INDEX('KT THAN'!$L$38:$L$58,MIN(21,MATCH(Q585,'KT THAN'!$L$38:$L$58,-1)+1))-INDEX('KT THAN'!$L$38:$L$58,MATCH(Q585,'KT THAN'!$L$38:$L$58,-1)))),MIN(0.8*0.75*'KT THAN'!$C$62,'KT THAN'!$C$68/Q585)))))</f>
        <v/>
      </c>
      <c r="N585" s="38" t="str">
        <f>IF($A585="","",IF(H585=0,"",IF(R585&lt;=0.000000001,MIN(0.8*0.75*'KT THAN'!$C$62,MAX('KT THAN'!$W$38:$W$58)),IFERROR(MIN(0.8*0.75*'KT THAN'!$C$62,INDEX('KT THAN'!$W$38:$W$58,MATCH(R585,'KT THAN'!$Y$38:$Y$58,-1))+(INDEX('KT THAN'!$W$38:$W$58,MIN(21,MATCH(R585,'KT THAN'!$Y$38:$Y$58,-1)+1))-INDEX('KT THAN'!$W$38:$W$58,MATCH(R585,'KT THAN'!$Y$38:$Y$58,-1)))*(R585-INDEX('KT THAN'!$Y$38:$Y$58,MATCH(R585,'KT THAN'!$Y$38:$Y$58,-1)))/(INDEX('KT THAN'!$Y$38:$Y$58,MIN(21,MATCH(R585,'KT THAN'!$Y$38:$Y$58,-1)+1))-INDEX('KT THAN'!$Y$38:$Y$58,MATCH(R585,'KT THAN'!$Y$38:$Y$58,-1)))),MIN(0.8*0.75*'KT THAN'!$C$62,'KT THAN'!$D$68/R585)))))</f>
        <v/>
      </c>
      <c r="O585" s="38" t="str">
        <f>IF($A585="","",IF(H585&lt;0,ABS(H585)/MAX('KT THAN'!$C$69,0.001)+'KT THAN'!$C$32*ABS(J585)/MAX('KT THAN'!$C$68,0.001)+'KT THAN'!$D$32*ABS(I585)/MAX('KT THAN'!$D$68,0.001),IF(OR(M585&lt;=0,N585&lt;=0),999,IF(H585&gt;=0.1*0.75*fc_*Agth*1000,H585/MAX(0.001,1/(1/M585+1/N585-1/(0.75*'KT THAN'!$C$62))),'KT THAN'!$C$32*ABS(J585)/MAX('KT THAN'!$C$68,0.001)+'KT THAN'!$D$32*ABS(I585)/MAX('KT THAN'!$D$68,0.001)))))</f>
        <v/>
      </c>
      <c r="P585" s="37" t="str">
        <f t="shared" si="97"/>
        <v/>
      </c>
      <c r="Q585" s="38" t="str">
        <f>IF($A585="","",MAX(0.001,'KT THAN'!$C$32*ABS(J585)/MAX(1,H585)))</f>
        <v/>
      </c>
      <c r="R585" s="38" t="str">
        <f>IF($A585="","",MAX(0.001,'KT THAN'!$D$32*ABS(I585)/MAX(1,H585)))</f>
        <v/>
      </c>
      <c r="S585" t="str">
        <f t="shared" si="91"/>
        <v/>
      </c>
    </row>
    <row r="586" spans="1:19" hidden="1" outlineLevel="1" x14ac:dyDescent="0.3">
      <c r="A586" s="37" t="str">
        <f>IF(OR(nThan=1,'TO HOP NLAN'!$A142=""),"",'TO HOP NLAN'!$A142)</f>
        <v/>
      </c>
      <c r="B586" s="38" t="str">
        <f>IF($A586="","",'TO HOP NLAN'!$D142)</f>
        <v/>
      </c>
      <c r="C586" s="38" t="str">
        <f>IF($A586="","",'TO HOP NLAN'!$E142)</f>
        <v/>
      </c>
      <c r="D586" s="38" t="str">
        <f>IF($A586="","",'TO HOP NLAN'!$F142)</f>
        <v/>
      </c>
      <c r="E586" s="38" t="str">
        <f>IF($A586="","",'TO HOP NLAN'!$B142)</f>
        <v/>
      </c>
      <c r="F586" s="38" t="str">
        <f>IF($A586="","",'TO HOP NLAN'!$C142)</f>
        <v/>
      </c>
      <c r="G586" s="38" t="str">
        <f t="shared" si="92"/>
        <v/>
      </c>
      <c r="H586" s="38" t="str">
        <f t="shared" si="90"/>
        <v/>
      </c>
      <c r="I586" s="38" t="str">
        <f t="shared" si="93"/>
        <v/>
      </c>
      <c r="J586" s="38" t="str">
        <f t="shared" si="94"/>
        <v/>
      </c>
      <c r="K586" s="38" t="str">
        <f t="shared" si="95"/>
        <v/>
      </c>
      <c r="L586" s="38" t="str">
        <f t="shared" si="96"/>
        <v/>
      </c>
      <c r="M586" s="38" t="str">
        <f>IF($A586="","",IF(H586=0,"",IF(Q586&lt;=0.000000001,MIN(0.8*0.75*'KT THAN'!$C$62,MAX('KT THAN'!$J$38:$J$58)),IFERROR(MIN(0.8*0.75*'KT THAN'!$C$62,INDEX('KT THAN'!$J$38:$J$58,MATCH(Q586,'KT THAN'!$L$38:$L$58,-1))+(INDEX('KT THAN'!$J$38:$J$58,MIN(21,MATCH(Q586,'KT THAN'!$L$38:$L$58,-1)+1))-INDEX('KT THAN'!$J$38:$J$58,MATCH(Q586,'KT THAN'!$L$38:$L$58,-1)))*(Q586-INDEX('KT THAN'!$L$38:$L$58,MATCH(Q586,'KT THAN'!$L$38:$L$58,-1)))/(INDEX('KT THAN'!$L$38:$L$58,MIN(21,MATCH(Q586,'KT THAN'!$L$38:$L$58,-1)+1))-INDEX('KT THAN'!$L$38:$L$58,MATCH(Q586,'KT THAN'!$L$38:$L$58,-1)))),MIN(0.8*0.75*'KT THAN'!$C$62,'KT THAN'!$C$68/Q586)))))</f>
        <v/>
      </c>
      <c r="N586" s="38" t="str">
        <f>IF($A586="","",IF(H586=0,"",IF(R586&lt;=0.000000001,MIN(0.8*0.75*'KT THAN'!$C$62,MAX('KT THAN'!$W$38:$W$58)),IFERROR(MIN(0.8*0.75*'KT THAN'!$C$62,INDEX('KT THAN'!$W$38:$W$58,MATCH(R586,'KT THAN'!$Y$38:$Y$58,-1))+(INDEX('KT THAN'!$W$38:$W$58,MIN(21,MATCH(R586,'KT THAN'!$Y$38:$Y$58,-1)+1))-INDEX('KT THAN'!$W$38:$W$58,MATCH(R586,'KT THAN'!$Y$38:$Y$58,-1)))*(R586-INDEX('KT THAN'!$Y$38:$Y$58,MATCH(R586,'KT THAN'!$Y$38:$Y$58,-1)))/(INDEX('KT THAN'!$Y$38:$Y$58,MIN(21,MATCH(R586,'KT THAN'!$Y$38:$Y$58,-1)+1))-INDEX('KT THAN'!$Y$38:$Y$58,MATCH(R586,'KT THAN'!$Y$38:$Y$58,-1)))),MIN(0.8*0.75*'KT THAN'!$C$62,'KT THAN'!$D$68/R586)))))</f>
        <v/>
      </c>
      <c r="O586" s="38" t="str">
        <f>IF($A586="","",IF(H586&lt;0,ABS(H586)/MAX('KT THAN'!$C$69,0.001)+'KT THAN'!$C$32*ABS(J586)/MAX('KT THAN'!$C$68,0.001)+'KT THAN'!$D$32*ABS(I586)/MAX('KT THAN'!$D$68,0.001),IF(OR(M586&lt;=0,N586&lt;=0),999,IF(H586&gt;=0.1*0.75*fc_*Agth*1000,H586/MAX(0.001,1/(1/M586+1/N586-1/(0.75*'KT THAN'!$C$62))),'KT THAN'!$C$32*ABS(J586)/MAX('KT THAN'!$C$68,0.001)+'KT THAN'!$D$32*ABS(I586)/MAX('KT THAN'!$D$68,0.001)))))</f>
        <v/>
      </c>
      <c r="P586" s="37" t="str">
        <f t="shared" si="97"/>
        <v/>
      </c>
      <c r="Q586" s="38" t="str">
        <f>IF($A586="","",MAX(0.001,'KT THAN'!$C$32*ABS(J586)/MAX(1,H586)))</f>
        <v/>
      </c>
      <c r="R586" s="38" t="str">
        <f>IF($A586="","",MAX(0.001,'KT THAN'!$D$32*ABS(I586)/MAX(1,H586)))</f>
        <v/>
      </c>
      <c r="S586" t="str">
        <f t="shared" si="91"/>
        <v/>
      </c>
    </row>
    <row r="587" spans="1:19" hidden="1" outlineLevel="1" x14ac:dyDescent="0.3">
      <c r="A587" s="37" t="str">
        <f>IF(OR(nThan=1,'TO HOP NLAN'!$A143=""),"",'TO HOP NLAN'!$A143)</f>
        <v/>
      </c>
      <c r="B587" s="38" t="str">
        <f>IF($A587="","",'TO HOP NLAN'!$D143)</f>
        <v/>
      </c>
      <c r="C587" s="38" t="str">
        <f>IF($A587="","",'TO HOP NLAN'!$E143)</f>
        <v/>
      </c>
      <c r="D587" s="38" t="str">
        <f>IF($A587="","",'TO HOP NLAN'!$F143)</f>
        <v/>
      </c>
      <c r="E587" s="38" t="str">
        <f>IF($A587="","",'TO HOP NLAN'!$B143)</f>
        <v/>
      </c>
      <c r="F587" s="38" t="str">
        <f>IF($A587="","",'TO HOP NLAN'!$C143)</f>
        <v/>
      </c>
      <c r="G587" s="38" t="str">
        <f t="shared" si="92"/>
        <v/>
      </c>
      <c r="H587" s="38" t="str">
        <f t="shared" si="90"/>
        <v/>
      </c>
      <c r="I587" s="38" t="str">
        <f t="shared" si="93"/>
        <v/>
      </c>
      <c r="J587" s="38" t="str">
        <f t="shared" si="94"/>
        <v/>
      </c>
      <c r="K587" s="38" t="str">
        <f t="shared" si="95"/>
        <v/>
      </c>
      <c r="L587" s="38" t="str">
        <f t="shared" si="96"/>
        <v/>
      </c>
      <c r="M587" s="38" t="str">
        <f>IF($A587="","",IF(H587=0,"",IF(Q587&lt;=0.000000001,MIN(0.8*0.75*'KT THAN'!$C$62,MAX('KT THAN'!$J$38:$J$58)),IFERROR(MIN(0.8*0.75*'KT THAN'!$C$62,INDEX('KT THAN'!$J$38:$J$58,MATCH(Q587,'KT THAN'!$L$38:$L$58,-1))+(INDEX('KT THAN'!$J$38:$J$58,MIN(21,MATCH(Q587,'KT THAN'!$L$38:$L$58,-1)+1))-INDEX('KT THAN'!$J$38:$J$58,MATCH(Q587,'KT THAN'!$L$38:$L$58,-1)))*(Q587-INDEX('KT THAN'!$L$38:$L$58,MATCH(Q587,'KT THAN'!$L$38:$L$58,-1)))/(INDEX('KT THAN'!$L$38:$L$58,MIN(21,MATCH(Q587,'KT THAN'!$L$38:$L$58,-1)+1))-INDEX('KT THAN'!$L$38:$L$58,MATCH(Q587,'KT THAN'!$L$38:$L$58,-1)))),MIN(0.8*0.75*'KT THAN'!$C$62,'KT THAN'!$C$68/Q587)))))</f>
        <v/>
      </c>
      <c r="N587" s="38" t="str">
        <f>IF($A587="","",IF(H587=0,"",IF(R587&lt;=0.000000001,MIN(0.8*0.75*'KT THAN'!$C$62,MAX('KT THAN'!$W$38:$W$58)),IFERROR(MIN(0.8*0.75*'KT THAN'!$C$62,INDEX('KT THAN'!$W$38:$W$58,MATCH(R587,'KT THAN'!$Y$38:$Y$58,-1))+(INDEX('KT THAN'!$W$38:$W$58,MIN(21,MATCH(R587,'KT THAN'!$Y$38:$Y$58,-1)+1))-INDEX('KT THAN'!$W$38:$W$58,MATCH(R587,'KT THAN'!$Y$38:$Y$58,-1)))*(R587-INDEX('KT THAN'!$Y$38:$Y$58,MATCH(R587,'KT THAN'!$Y$38:$Y$58,-1)))/(INDEX('KT THAN'!$Y$38:$Y$58,MIN(21,MATCH(R587,'KT THAN'!$Y$38:$Y$58,-1)+1))-INDEX('KT THAN'!$Y$38:$Y$58,MATCH(R587,'KT THAN'!$Y$38:$Y$58,-1)))),MIN(0.8*0.75*'KT THAN'!$C$62,'KT THAN'!$D$68/R587)))))</f>
        <v/>
      </c>
      <c r="O587" s="38" t="str">
        <f>IF($A587="","",IF(H587&lt;0,ABS(H587)/MAX('KT THAN'!$C$69,0.001)+'KT THAN'!$C$32*ABS(J587)/MAX('KT THAN'!$C$68,0.001)+'KT THAN'!$D$32*ABS(I587)/MAX('KT THAN'!$D$68,0.001),IF(OR(M587&lt;=0,N587&lt;=0),999,IF(H587&gt;=0.1*0.75*fc_*Agth*1000,H587/MAX(0.001,1/(1/M587+1/N587-1/(0.75*'KT THAN'!$C$62))),'KT THAN'!$C$32*ABS(J587)/MAX('KT THAN'!$C$68,0.001)+'KT THAN'!$D$32*ABS(I587)/MAX('KT THAN'!$D$68,0.001)))))</f>
        <v/>
      </c>
      <c r="P587" s="37" t="str">
        <f t="shared" si="97"/>
        <v/>
      </c>
      <c r="Q587" s="38" t="str">
        <f>IF($A587="","",MAX(0.001,'KT THAN'!$C$32*ABS(J587)/MAX(1,H587)))</f>
        <v/>
      </c>
      <c r="R587" s="38" t="str">
        <f>IF($A587="","",MAX(0.001,'KT THAN'!$D$32*ABS(I587)/MAX(1,H587)))</f>
        <v/>
      </c>
      <c r="S587" t="str">
        <f t="shared" si="91"/>
        <v/>
      </c>
    </row>
    <row r="588" spans="1:19" hidden="1" outlineLevel="1" x14ac:dyDescent="0.3">
      <c r="A588" s="37" t="str">
        <f>IF(OR(nThan=1,'TO HOP NLAN'!$A144=""),"",'TO HOP NLAN'!$A144)</f>
        <v/>
      </c>
      <c r="B588" s="38" t="str">
        <f>IF($A588="","",'TO HOP NLAN'!$D144)</f>
        <v/>
      </c>
      <c r="C588" s="38" t="str">
        <f>IF($A588="","",'TO HOP NLAN'!$E144)</f>
        <v/>
      </c>
      <c r="D588" s="38" t="str">
        <f>IF($A588="","",'TO HOP NLAN'!$F144)</f>
        <v/>
      </c>
      <c r="E588" s="38" t="str">
        <f>IF($A588="","",'TO HOP NLAN'!$B144)</f>
        <v/>
      </c>
      <c r="F588" s="38" t="str">
        <f>IF($A588="","",'TO HOP NLAN'!$C144)</f>
        <v/>
      </c>
      <c r="G588" s="38" t="str">
        <f t="shared" si="92"/>
        <v/>
      </c>
      <c r="H588" s="38" t="str">
        <f t="shared" si="90"/>
        <v/>
      </c>
      <c r="I588" s="38" t="str">
        <f t="shared" si="93"/>
        <v/>
      </c>
      <c r="J588" s="38" t="str">
        <f t="shared" si="94"/>
        <v/>
      </c>
      <c r="K588" s="38" t="str">
        <f t="shared" si="95"/>
        <v/>
      </c>
      <c r="L588" s="38" t="str">
        <f t="shared" si="96"/>
        <v/>
      </c>
      <c r="M588" s="38" t="str">
        <f>IF($A588="","",IF(H588=0,"",IF(Q588&lt;=0.000000001,MIN(0.8*0.75*'KT THAN'!$C$62,MAX('KT THAN'!$J$38:$J$58)),IFERROR(MIN(0.8*0.75*'KT THAN'!$C$62,INDEX('KT THAN'!$J$38:$J$58,MATCH(Q588,'KT THAN'!$L$38:$L$58,-1))+(INDEX('KT THAN'!$J$38:$J$58,MIN(21,MATCH(Q588,'KT THAN'!$L$38:$L$58,-1)+1))-INDEX('KT THAN'!$J$38:$J$58,MATCH(Q588,'KT THAN'!$L$38:$L$58,-1)))*(Q588-INDEX('KT THAN'!$L$38:$L$58,MATCH(Q588,'KT THAN'!$L$38:$L$58,-1)))/(INDEX('KT THAN'!$L$38:$L$58,MIN(21,MATCH(Q588,'KT THAN'!$L$38:$L$58,-1)+1))-INDEX('KT THAN'!$L$38:$L$58,MATCH(Q588,'KT THAN'!$L$38:$L$58,-1)))),MIN(0.8*0.75*'KT THAN'!$C$62,'KT THAN'!$C$68/Q588)))))</f>
        <v/>
      </c>
      <c r="N588" s="38" t="str">
        <f>IF($A588="","",IF(H588=0,"",IF(R588&lt;=0.000000001,MIN(0.8*0.75*'KT THAN'!$C$62,MAX('KT THAN'!$W$38:$W$58)),IFERROR(MIN(0.8*0.75*'KT THAN'!$C$62,INDEX('KT THAN'!$W$38:$W$58,MATCH(R588,'KT THAN'!$Y$38:$Y$58,-1))+(INDEX('KT THAN'!$W$38:$W$58,MIN(21,MATCH(R588,'KT THAN'!$Y$38:$Y$58,-1)+1))-INDEX('KT THAN'!$W$38:$W$58,MATCH(R588,'KT THAN'!$Y$38:$Y$58,-1)))*(R588-INDEX('KT THAN'!$Y$38:$Y$58,MATCH(R588,'KT THAN'!$Y$38:$Y$58,-1)))/(INDEX('KT THAN'!$Y$38:$Y$58,MIN(21,MATCH(R588,'KT THAN'!$Y$38:$Y$58,-1)+1))-INDEX('KT THAN'!$Y$38:$Y$58,MATCH(R588,'KT THAN'!$Y$38:$Y$58,-1)))),MIN(0.8*0.75*'KT THAN'!$C$62,'KT THAN'!$D$68/R588)))))</f>
        <v/>
      </c>
      <c r="O588" s="38" t="str">
        <f>IF($A588="","",IF(H588&lt;0,ABS(H588)/MAX('KT THAN'!$C$69,0.001)+'KT THAN'!$C$32*ABS(J588)/MAX('KT THAN'!$C$68,0.001)+'KT THAN'!$D$32*ABS(I588)/MAX('KT THAN'!$D$68,0.001),IF(OR(M588&lt;=0,N588&lt;=0),999,IF(H588&gt;=0.1*0.75*fc_*Agth*1000,H588/MAX(0.001,1/(1/M588+1/N588-1/(0.75*'KT THAN'!$C$62))),'KT THAN'!$C$32*ABS(J588)/MAX('KT THAN'!$C$68,0.001)+'KT THAN'!$D$32*ABS(I588)/MAX('KT THAN'!$D$68,0.001)))))</f>
        <v/>
      </c>
      <c r="P588" s="37" t="str">
        <f t="shared" si="97"/>
        <v/>
      </c>
      <c r="Q588" s="38" t="str">
        <f>IF($A588="","",MAX(0.001,'KT THAN'!$C$32*ABS(J588)/MAX(1,H588)))</f>
        <v/>
      </c>
      <c r="R588" s="38" t="str">
        <f>IF($A588="","",MAX(0.001,'KT THAN'!$D$32*ABS(I588)/MAX(1,H588)))</f>
        <v/>
      </c>
      <c r="S588" t="str">
        <f t="shared" si="91"/>
        <v/>
      </c>
    </row>
    <row r="589" spans="1:19" hidden="1" outlineLevel="1" x14ac:dyDescent="0.3">
      <c r="A589" s="37" t="str">
        <f>IF(OR(nThan=1,'TO HOP NLAN'!$A145=""),"",'TO HOP NLAN'!$A145)</f>
        <v/>
      </c>
      <c r="B589" s="38" t="str">
        <f>IF($A589="","",'TO HOP NLAN'!$D145)</f>
        <v/>
      </c>
      <c r="C589" s="38" t="str">
        <f>IF($A589="","",'TO HOP NLAN'!$E145)</f>
        <v/>
      </c>
      <c r="D589" s="38" t="str">
        <f>IF($A589="","",'TO HOP NLAN'!$F145)</f>
        <v/>
      </c>
      <c r="E589" s="38" t="str">
        <f>IF($A589="","",'TO HOP NLAN'!$B145)</f>
        <v/>
      </c>
      <c r="F589" s="38" t="str">
        <f>IF($A589="","",'TO HOP NLAN'!$C145)</f>
        <v/>
      </c>
      <c r="G589" s="38" t="str">
        <f t="shared" si="92"/>
        <v/>
      </c>
      <c r="H589" s="38" t="str">
        <f t="shared" si="90"/>
        <v/>
      </c>
      <c r="I589" s="38" t="str">
        <f t="shared" si="93"/>
        <v/>
      </c>
      <c r="J589" s="38" t="str">
        <f t="shared" si="94"/>
        <v/>
      </c>
      <c r="K589" s="38" t="str">
        <f t="shared" si="95"/>
        <v/>
      </c>
      <c r="L589" s="38" t="str">
        <f t="shared" si="96"/>
        <v/>
      </c>
      <c r="M589" s="38" t="str">
        <f>IF($A589="","",IF(H589=0,"",IF(Q589&lt;=0.000000001,MIN(0.8*0.75*'KT THAN'!$C$62,MAX('KT THAN'!$J$38:$J$58)),IFERROR(MIN(0.8*0.75*'KT THAN'!$C$62,INDEX('KT THAN'!$J$38:$J$58,MATCH(Q589,'KT THAN'!$L$38:$L$58,-1))+(INDEX('KT THAN'!$J$38:$J$58,MIN(21,MATCH(Q589,'KT THAN'!$L$38:$L$58,-1)+1))-INDEX('KT THAN'!$J$38:$J$58,MATCH(Q589,'KT THAN'!$L$38:$L$58,-1)))*(Q589-INDEX('KT THAN'!$L$38:$L$58,MATCH(Q589,'KT THAN'!$L$38:$L$58,-1)))/(INDEX('KT THAN'!$L$38:$L$58,MIN(21,MATCH(Q589,'KT THAN'!$L$38:$L$58,-1)+1))-INDEX('KT THAN'!$L$38:$L$58,MATCH(Q589,'KT THAN'!$L$38:$L$58,-1)))),MIN(0.8*0.75*'KT THAN'!$C$62,'KT THAN'!$C$68/Q589)))))</f>
        <v/>
      </c>
      <c r="N589" s="38" t="str">
        <f>IF($A589="","",IF(H589=0,"",IF(R589&lt;=0.000000001,MIN(0.8*0.75*'KT THAN'!$C$62,MAX('KT THAN'!$W$38:$W$58)),IFERROR(MIN(0.8*0.75*'KT THAN'!$C$62,INDEX('KT THAN'!$W$38:$W$58,MATCH(R589,'KT THAN'!$Y$38:$Y$58,-1))+(INDEX('KT THAN'!$W$38:$W$58,MIN(21,MATCH(R589,'KT THAN'!$Y$38:$Y$58,-1)+1))-INDEX('KT THAN'!$W$38:$W$58,MATCH(R589,'KT THAN'!$Y$38:$Y$58,-1)))*(R589-INDEX('KT THAN'!$Y$38:$Y$58,MATCH(R589,'KT THAN'!$Y$38:$Y$58,-1)))/(INDEX('KT THAN'!$Y$38:$Y$58,MIN(21,MATCH(R589,'KT THAN'!$Y$38:$Y$58,-1)+1))-INDEX('KT THAN'!$Y$38:$Y$58,MATCH(R589,'KT THAN'!$Y$38:$Y$58,-1)))),MIN(0.8*0.75*'KT THAN'!$C$62,'KT THAN'!$D$68/R589)))))</f>
        <v/>
      </c>
      <c r="O589" s="38" t="str">
        <f>IF($A589="","",IF(H589&lt;0,ABS(H589)/MAX('KT THAN'!$C$69,0.001)+'KT THAN'!$C$32*ABS(J589)/MAX('KT THAN'!$C$68,0.001)+'KT THAN'!$D$32*ABS(I589)/MAX('KT THAN'!$D$68,0.001),IF(OR(M589&lt;=0,N589&lt;=0),999,IF(H589&gt;=0.1*0.75*fc_*Agth*1000,H589/MAX(0.001,1/(1/M589+1/N589-1/(0.75*'KT THAN'!$C$62))),'KT THAN'!$C$32*ABS(J589)/MAX('KT THAN'!$C$68,0.001)+'KT THAN'!$D$32*ABS(I589)/MAX('KT THAN'!$D$68,0.001)))))</f>
        <v/>
      </c>
      <c r="P589" s="37" t="str">
        <f t="shared" si="97"/>
        <v/>
      </c>
      <c r="Q589" s="38" t="str">
        <f>IF($A589="","",MAX(0.001,'KT THAN'!$C$32*ABS(J589)/MAX(1,H589)))</f>
        <v/>
      </c>
      <c r="R589" s="38" t="str">
        <f>IF($A589="","",MAX(0.001,'KT THAN'!$D$32*ABS(I589)/MAX(1,H589)))</f>
        <v/>
      </c>
      <c r="S589" t="str">
        <f t="shared" si="91"/>
        <v/>
      </c>
    </row>
    <row r="590" spans="1:19" hidden="1" outlineLevel="1" x14ac:dyDescent="0.3">
      <c r="A590" s="37" t="str">
        <f>IF(OR(nThan=1,'TO HOP NLAN'!$A146=""),"",'TO HOP NLAN'!$A146)</f>
        <v/>
      </c>
      <c r="B590" s="38" t="str">
        <f>IF($A590="","",'TO HOP NLAN'!$D146)</f>
        <v/>
      </c>
      <c r="C590" s="38" t="str">
        <f>IF($A590="","",'TO HOP NLAN'!$E146)</f>
        <v/>
      </c>
      <c r="D590" s="38" t="str">
        <f>IF($A590="","",'TO HOP NLAN'!$F146)</f>
        <v/>
      </c>
      <c r="E590" s="38" t="str">
        <f>IF($A590="","",'TO HOP NLAN'!$B146)</f>
        <v/>
      </c>
      <c r="F590" s="38" t="str">
        <f>IF($A590="","",'TO HOP NLAN'!$C146)</f>
        <v/>
      </c>
      <c r="G590" s="38" t="str">
        <f t="shared" si="92"/>
        <v/>
      </c>
      <c r="H590" s="38" t="str">
        <f t="shared" si="90"/>
        <v/>
      </c>
      <c r="I590" s="38" t="str">
        <f t="shared" si="93"/>
        <v/>
      </c>
      <c r="J590" s="38" t="str">
        <f t="shared" si="94"/>
        <v/>
      </c>
      <c r="K590" s="38" t="str">
        <f t="shared" si="95"/>
        <v/>
      </c>
      <c r="L590" s="38" t="str">
        <f t="shared" si="96"/>
        <v/>
      </c>
      <c r="M590" s="38" t="str">
        <f>IF($A590="","",IF(H590=0,"",IF(Q590&lt;=0.000000001,MIN(0.8*0.75*'KT THAN'!$C$62,MAX('KT THAN'!$J$38:$J$58)),IFERROR(MIN(0.8*0.75*'KT THAN'!$C$62,INDEX('KT THAN'!$J$38:$J$58,MATCH(Q590,'KT THAN'!$L$38:$L$58,-1))+(INDEX('KT THAN'!$J$38:$J$58,MIN(21,MATCH(Q590,'KT THAN'!$L$38:$L$58,-1)+1))-INDEX('KT THAN'!$J$38:$J$58,MATCH(Q590,'KT THAN'!$L$38:$L$58,-1)))*(Q590-INDEX('KT THAN'!$L$38:$L$58,MATCH(Q590,'KT THAN'!$L$38:$L$58,-1)))/(INDEX('KT THAN'!$L$38:$L$58,MIN(21,MATCH(Q590,'KT THAN'!$L$38:$L$58,-1)+1))-INDEX('KT THAN'!$L$38:$L$58,MATCH(Q590,'KT THAN'!$L$38:$L$58,-1)))),MIN(0.8*0.75*'KT THAN'!$C$62,'KT THAN'!$C$68/Q590)))))</f>
        <v/>
      </c>
      <c r="N590" s="38" t="str">
        <f>IF($A590="","",IF(H590=0,"",IF(R590&lt;=0.000000001,MIN(0.8*0.75*'KT THAN'!$C$62,MAX('KT THAN'!$W$38:$W$58)),IFERROR(MIN(0.8*0.75*'KT THAN'!$C$62,INDEX('KT THAN'!$W$38:$W$58,MATCH(R590,'KT THAN'!$Y$38:$Y$58,-1))+(INDEX('KT THAN'!$W$38:$W$58,MIN(21,MATCH(R590,'KT THAN'!$Y$38:$Y$58,-1)+1))-INDEX('KT THAN'!$W$38:$W$58,MATCH(R590,'KT THAN'!$Y$38:$Y$58,-1)))*(R590-INDEX('KT THAN'!$Y$38:$Y$58,MATCH(R590,'KT THAN'!$Y$38:$Y$58,-1)))/(INDEX('KT THAN'!$Y$38:$Y$58,MIN(21,MATCH(R590,'KT THAN'!$Y$38:$Y$58,-1)+1))-INDEX('KT THAN'!$Y$38:$Y$58,MATCH(R590,'KT THAN'!$Y$38:$Y$58,-1)))),MIN(0.8*0.75*'KT THAN'!$C$62,'KT THAN'!$D$68/R590)))))</f>
        <v/>
      </c>
      <c r="O590" s="38" t="str">
        <f>IF($A590="","",IF(H590&lt;0,ABS(H590)/MAX('KT THAN'!$C$69,0.001)+'KT THAN'!$C$32*ABS(J590)/MAX('KT THAN'!$C$68,0.001)+'KT THAN'!$D$32*ABS(I590)/MAX('KT THAN'!$D$68,0.001),IF(OR(M590&lt;=0,N590&lt;=0),999,IF(H590&gt;=0.1*0.75*fc_*Agth*1000,H590/MAX(0.001,1/(1/M590+1/N590-1/(0.75*'KT THAN'!$C$62))),'KT THAN'!$C$32*ABS(J590)/MAX('KT THAN'!$C$68,0.001)+'KT THAN'!$D$32*ABS(I590)/MAX('KT THAN'!$D$68,0.001)))))</f>
        <v/>
      </c>
      <c r="P590" s="37" t="str">
        <f t="shared" si="97"/>
        <v/>
      </c>
      <c r="Q590" s="38" t="str">
        <f>IF($A590="","",MAX(0.001,'KT THAN'!$C$32*ABS(J590)/MAX(1,H590)))</f>
        <v/>
      </c>
      <c r="R590" s="38" t="str">
        <f>IF($A590="","",MAX(0.001,'KT THAN'!$D$32*ABS(I590)/MAX(1,H590)))</f>
        <v/>
      </c>
      <c r="S590" t="str">
        <f t="shared" si="91"/>
        <v/>
      </c>
    </row>
    <row r="591" spans="1:19" hidden="1" outlineLevel="1" x14ac:dyDescent="0.3">
      <c r="A591" s="37" t="str">
        <f>IF(OR(nThan=1,'TO HOP NLAN'!$A147=""),"",'TO HOP NLAN'!$A147)</f>
        <v/>
      </c>
      <c r="B591" s="38" t="str">
        <f>IF($A591="","",'TO HOP NLAN'!$D147)</f>
        <v/>
      </c>
      <c r="C591" s="38" t="str">
        <f>IF($A591="","",'TO HOP NLAN'!$E147)</f>
        <v/>
      </c>
      <c r="D591" s="38" t="str">
        <f>IF($A591="","",'TO HOP NLAN'!$F147)</f>
        <v/>
      </c>
      <c r="E591" s="38" t="str">
        <f>IF($A591="","",'TO HOP NLAN'!$B147)</f>
        <v/>
      </c>
      <c r="F591" s="38" t="str">
        <f>IF($A591="","",'TO HOP NLAN'!$C147)</f>
        <v/>
      </c>
      <c r="G591" s="38" t="str">
        <f t="shared" si="92"/>
        <v/>
      </c>
      <c r="H591" s="38" t="str">
        <f t="shared" si="90"/>
        <v/>
      </c>
      <c r="I591" s="38" t="str">
        <f t="shared" si="93"/>
        <v/>
      </c>
      <c r="J591" s="38" t="str">
        <f t="shared" si="94"/>
        <v/>
      </c>
      <c r="K591" s="38" t="str">
        <f t="shared" si="95"/>
        <v/>
      </c>
      <c r="L591" s="38" t="str">
        <f t="shared" si="96"/>
        <v/>
      </c>
      <c r="M591" s="38" t="str">
        <f>IF($A591="","",IF(H591=0,"",IF(Q591&lt;=0.000000001,MIN(0.8*0.75*'KT THAN'!$C$62,MAX('KT THAN'!$J$38:$J$58)),IFERROR(MIN(0.8*0.75*'KT THAN'!$C$62,INDEX('KT THAN'!$J$38:$J$58,MATCH(Q591,'KT THAN'!$L$38:$L$58,-1))+(INDEX('KT THAN'!$J$38:$J$58,MIN(21,MATCH(Q591,'KT THAN'!$L$38:$L$58,-1)+1))-INDEX('KT THAN'!$J$38:$J$58,MATCH(Q591,'KT THAN'!$L$38:$L$58,-1)))*(Q591-INDEX('KT THAN'!$L$38:$L$58,MATCH(Q591,'KT THAN'!$L$38:$L$58,-1)))/(INDEX('KT THAN'!$L$38:$L$58,MIN(21,MATCH(Q591,'KT THAN'!$L$38:$L$58,-1)+1))-INDEX('KT THAN'!$L$38:$L$58,MATCH(Q591,'KT THAN'!$L$38:$L$58,-1)))),MIN(0.8*0.75*'KT THAN'!$C$62,'KT THAN'!$C$68/Q591)))))</f>
        <v/>
      </c>
      <c r="N591" s="38" t="str">
        <f>IF($A591="","",IF(H591=0,"",IF(R591&lt;=0.000000001,MIN(0.8*0.75*'KT THAN'!$C$62,MAX('KT THAN'!$W$38:$W$58)),IFERROR(MIN(0.8*0.75*'KT THAN'!$C$62,INDEX('KT THAN'!$W$38:$W$58,MATCH(R591,'KT THAN'!$Y$38:$Y$58,-1))+(INDEX('KT THAN'!$W$38:$W$58,MIN(21,MATCH(R591,'KT THAN'!$Y$38:$Y$58,-1)+1))-INDEX('KT THAN'!$W$38:$W$58,MATCH(R591,'KT THAN'!$Y$38:$Y$58,-1)))*(R591-INDEX('KT THAN'!$Y$38:$Y$58,MATCH(R591,'KT THAN'!$Y$38:$Y$58,-1)))/(INDEX('KT THAN'!$Y$38:$Y$58,MIN(21,MATCH(R591,'KT THAN'!$Y$38:$Y$58,-1)+1))-INDEX('KT THAN'!$Y$38:$Y$58,MATCH(R591,'KT THAN'!$Y$38:$Y$58,-1)))),MIN(0.8*0.75*'KT THAN'!$C$62,'KT THAN'!$D$68/R591)))))</f>
        <v/>
      </c>
      <c r="O591" s="38" t="str">
        <f>IF($A591="","",IF(H591&lt;0,ABS(H591)/MAX('KT THAN'!$C$69,0.001)+'KT THAN'!$C$32*ABS(J591)/MAX('KT THAN'!$C$68,0.001)+'KT THAN'!$D$32*ABS(I591)/MAX('KT THAN'!$D$68,0.001),IF(OR(M591&lt;=0,N591&lt;=0),999,IF(H591&gt;=0.1*0.75*fc_*Agth*1000,H591/MAX(0.001,1/(1/M591+1/N591-1/(0.75*'KT THAN'!$C$62))),'KT THAN'!$C$32*ABS(J591)/MAX('KT THAN'!$C$68,0.001)+'KT THAN'!$D$32*ABS(I591)/MAX('KT THAN'!$D$68,0.001)))))</f>
        <v/>
      </c>
      <c r="P591" s="37" t="str">
        <f t="shared" si="97"/>
        <v/>
      </c>
      <c r="Q591" s="38" t="str">
        <f>IF($A591="","",MAX(0.001,'KT THAN'!$C$32*ABS(J591)/MAX(1,H591)))</f>
        <v/>
      </c>
      <c r="R591" s="38" t="str">
        <f>IF($A591="","",MAX(0.001,'KT THAN'!$D$32*ABS(I591)/MAX(1,H591)))</f>
        <v/>
      </c>
      <c r="S591" t="str">
        <f t="shared" si="91"/>
        <v/>
      </c>
    </row>
    <row r="592" spans="1:19" hidden="1" outlineLevel="1" x14ac:dyDescent="0.3">
      <c r="A592" s="37" t="str">
        <f>IF(OR(nThan=1,'TO HOP NLAN'!$A148=""),"",'TO HOP NLAN'!$A148)</f>
        <v/>
      </c>
      <c r="B592" s="38" t="str">
        <f>IF($A592="","",'TO HOP NLAN'!$D148)</f>
        <v/>
      </c>
      <c r="C592" s="38" t="str">
        <f>IF($A592="","",'TO HOP NLAN'!$E148)</f>
        <v/>
      </c>
      <c r="D592" s="38" t="str">
        <f>IF($A592="","",'TO HOP NLAN'!$F148)</f>
        <v/>
      </c>
      <c r="E592" s="38" t="str">
        <f>IF($A592="","",'TO HOP NLAN'!$B148)</f>
        <v/>
      </c>
      <c r="F592" s="38" t="str">
        <f>IF($A592="","",'TO HOP NLAN'!$C148)</f>
        <v/>
      </c>
      <c r="G592" s="38" t="str">
        <f t="shared" si="92"/>
        <v/>
      </c>
      <c r="H592" s="38" t="str">
        <f t="shared" si="90"/>
        <v/>
      </c>
      <c r="I592" s="38" t="str">
        <f t="shared" si="93"/>
        <v/>
      </c>
      <c r="J592" s="38" t="str">
        <f t="shared" si="94"/>
        <v/>
      </c>
      <c r="K592" s="38" t="str">
        <f t="shared" si="95"/>
        <v/>
      </c>
      <c r="L592" s="38" t="str">
        <f t="shared" si="96"/>
        <v/>
      </c>
      <c r="M592" s="38" t="str">
        <f>IF($A592="","",IF(H592=0,"",IF(Q592&lt;=0.000000001,MIN(0.8*0.75*'KT THAN'!$C$62,MAX('KT THAN'!$J$38:$J$58)),IFERROR(MIN(0.8*0.75*'KT THAN'!$C$62,INDEX('KT THAN'!$J$38:$J$58,MATCH(Q592,'KT THAN'!$L$38:$L$58,-1))+(INDEX('KT THAN'!$J$38:$J$58,MIN(21,MATCH(Q592,'KT THAN'!$L$38:$L$58,-1)+1))-INDEX('KT THAN'!$J$38:$J$58,MATCH(Q592,'KT THAN'!$L$38:$L$58,-1)))*(Q592-INDEX('KT THAN'!$L$38:$L$58,MATCH(Q592,'KT THAN'!$L$38:$L$58,-1)))/(INDEX('KT THAN'!$L$38:$L$58,MIN(21,MATCH(Q592,'KT THAN'!$L$38:$L$58,-1)+1))-INDEX('KT THAN'!$L$38:$L$58,MATCH(Q592,'KT THAN'!$L$38:$L$58,-1)))),MIN(0.8*0.75*'KT THAN'!$C$62,'KT THAN'!$C$68/Q592)))))</f>
        <v/>
      </c>
      <c r="N592" s="38" t="str">
        <f>IF($A592="","",IF(H592=0,"",IF(R592&lt;=0.000000001,MIN(0.8*0.75*'KT THAN'!$C$62,MAX('KT THAN'!$W$38:$W$58)),IFERROR(MIN(0.8*0.75*'KT THAN'!$C$62,INDEX('KT THAN'!$W$38:$W$58,MATCH(R592,'KT THAN'!$Y$38:$Y$58,-1))+(INDEX('KT THAN'!$W$38:$W$58,MIN(21,MATCH(R592,'KT THAN'!$Y$38:$Y$58,-1)+1))-INDEX('KT THAN'!$W$38:$W$58,MATCH(R592,'KT THAN'!$Y$38:$Y$58,-1)))*(R592-INDEX('KT THAN'!$Y$38:$Y$58,MATCH(R592,'KT THAN'!$Y$38:$Y$58,-1)))/(INDEX('KT THAN'!$Y$38:$Y$58,MIN(21,MATCH(R592,'KT THAN'!$Y$38:$Y$58,-1)+1))-INDEX('KT THAN'!$Y$38:$Y$58,MATCH(R592,'KT THAN'!$Y$38:$Y$58,-1)))),MIN(0.8*0.75*'KT THAN'!$C$62,'KT THAN'!$D$68/R592)))))</f>
        <v/>
      </c>
      <c r="O592" s="38" t="str">
        <f>IF($A592="","",IF(H592&lt;0,ABS(H592)/MAX('KT THAN'!$C$69,0.001)+'KT THAN'!$C$32*ABS(J592)/MAX('KT THAN'!$C$68,0.001)+'KT THAN'!$D$32*ABS(I592)/MAX('KT THAN'!$D$68,0.001),IF(OR(M592&lt;=0,N592&lt;=0),999,IF(H592&gt;=0.1*0.75*fc_*Agth*1000,H592/MAX(0.001,1/(1/M592+1/N592-1/(0.75*'KT THAN'!$C$62))),'KT THAN'!$C$32*ABS(J592)/MAX('KT THAN'!$C$68,0.001)+'KT THAN'!$D$32*ABS(I592)/MAX('KT THAN'!$D$68,0.001)))))</f>
        <v/>
      </c>
      <c r="P592" s="37" t="str">
        <f t="shared" si="97"/>
        <v/>
      </c>
      <c r="Q592" s="38" t="str">
        <f>IF($A592="","",MAX(0.001,'KT THAN'!$C$32*ABS(J592)/MAX(1,H592)))</f>
        <v/>
      </c>
      <c r="R592" s="38" t="str">
        <f>IF($A592="","",MAX(0.001,'KT THAN'!$D$32*ABS(I592)/MAX(1,H592)))</f>
        <v/>
      </c>
      <c r="S592" t="str">
        <f t="shared" si="91"/>
        <v/>
      </c>
    </row>
    <row r="593" spans="1:19" hidden="1" outlineLevel="1" x14ac:dyDescent="0.3">
      <c r="A593" s="37" t="str">
        <f>IF(OR(nThan=1,'TO HOP NLAN'!$A149=""),"",'TO HOP NLAN'!$A149)</f>
        <v/>
      </c>
      <c r="B593" s="38" t="str">
        <f>IF($A593="","",'TO HOP NLAN'!$D149)</f>
        <v/>
      </c>
      <c r="C593" s="38" t="str">
        <f>IF($A593="","",'TO HOP NLAN'!$E149)</f>
        <v/>
      </c>
      <c r="D593" s="38" t="str">
        <f>IF($A593="","",'TO HOP NLAN'!$F149)</f>
        <v/>
      </c>
      <c r="E593" s="38" t="str">
        <f>IF($A593="","",'TO HOP NLAN'!$B149)</f>
        <v/>
      </c>
      <c r="F593" s="38" t="str">
        <f>IF($A593="","",'TO HOP NLAN'!$C149)</f>
        <v/>
      </c>
      <c r="G593" s="38" t="str">
        <f t="shared" si="92"/>
        <v/>
      </c>
      <c r="H593" s="38" t="str">
        <f t="shared" si="90"/>
        <v/>
      </c>
      <c r="I593" s="38" t="str">
        <f t="shared" si="93"/>
        <v/>
      </c>
      <c r="J593" s="38" t="str">
        <f t="shared" si="94"/>
        <v/>
      </c>
      <c r="K593" s="38" t="str">
        <f t="shared" si="95"/>
        <v/>
      </c>
      <c r="L593" s="38" t="str">
        <f t="shared" si="96"/>
        <v/>
      </c>
      <c r="M593" s="38" t="str">
        <f>IF($A593="","",IF(H593=0,"",IF(Q593&lt;=0.000000001,MIN(0.8*0.75*'KT THAN'!$C$62,MAX('KT THAN'!$J$38:$J$58)),IFERROR(MIN(0.8*0.75*'KT THAN'!$C$62,INDEX('KT THAN'!$J$38:$J$58,MATCH(Q593,'KT THAN'!$L$38:$L$58,-1))+(INDEX('KT THAN'!$J$38:$J$58,MIN(21,MATCH(Q593,'KT THAN'!$L$38:$L$58,-1)+1))-INDEX('KT THAN'!$J$38:$J$58,MATCH(Q593,'KT THAN'!$L$38:$L$58,-1)))*(Q593-INDEX('KT THAN'!$L$38:$L$58,MATCH(Q593,'KT THAN'!$L$38:$L$58,-1)))/(INDEX('KT THAN'!$L$38:$L$58,MIN(21,MATCH(Q593,'KT THAN'!$L$38:$L$58,-1)+1))-INDEX('KT THAN'!$L$38:$L$58,MATCH(Q593,'KT THAN'!$L$38:$L$58,-1)))),MIN(0.8*0.75*'KT THAN'!$C$62,'KT THAN'!$C$68/Q593)))))</f>
        <v/>
      </c>
      <c r="N593" s="38" t="str">
        <f>IF($A593="","",IF(H593=0,"",IF(R593&lt;=0.000000001,MIN(0.8*0.75*'KT THAN'!$C$62,MAX('KT THAN'!$W$38:$W$58)),IFERROR(MIN(0.8*0.75*'KT THAN'!$C$62,INDEX('KT THAN'!$W$38:$W$58,MATCH(R593,'KT THAN'!$Y$38:$Y$58,-1))+(INDEX('KT THAN'!$W$38:$W$58,MIN(21,MATCH(R593,'KT THAN'!$Y$38:$Y$58,-1)+1))-INDEX('KT THAN'!$W$38:$W$58,MATCH(R593,'KT THAN'!$Y$38:$Y$58,-1)))*(R593-INDEX('KT THAN'!$Y$38:$Y$58,MATCH(R593,'KT THAN'!$Y$38:$Y$58,-1)))/(INDEX('KT THAN'!$Y$38:$Y$58,MIN(21,MATCH(R593,'KT THAN'!$Y$38:$Y$58,-1)+1))-INDEX('KT THAN'!$Y$38:$Y$58,MATCH(R593,'KT THAN'!$Y$38:$Y$58,-1)))),MIN(0.8*0.75*'KT THAN'!$C$62,'KT THAN'!$D$68/R593)))))</f>
        <v/>
      </c>
      <c r="O593" s="38" t="str">
        <f>IF($A593="","",IF(H593&lt;0,ABS(H593)/MAX('KT THAN'!$C$69,0.001)+'KT THAN'!$C$32*ABS(J593)/MAX('KT THAN'!$C$68,0.001)+'KT THAN'!$D$32*ABS(I593)/MAX('KT THAN'!$D$68,0.001),IF(OR(M593&lt;=0,N593&lt;=0),999,IF(H593&gt;=0.1*0.75*fc_*Agth*1000,H593/MAX(0.001,1/(1/M593+1/N593-1/(0.75*'KT THAN'!$C$62))),'KT THAN'!$C$32*ABS(J593)/MAX('KT THAN'!$C$68,0.001)+'KT THAN'!$D$32*ABS(I593)/MAX('KT THAN'!$D$68,0.001)))))</f>
        <v/>
      </c>
      <c r="P593" s="37" t="str">
        <f t="shared" si="97"/>
        <v/>
      </c>
      <c r="Q593" s="38" t="str">
        <f>IF($A593="","",MAX(0.001,'KT THAN'!$C$32*ABS(J593)/MAX(1,H593)))</f>
        <v/>
      </c>
      <c r="R593" s="38" t="str">
        <f>IF($A593="","",MAX(0.001,'KT THAN'!$D$32*ABS(I593)/MAX(1,H593)))</f>
        <v/>
      </c>
      <c r="S593" t="str">
        <f t="shared" si="91"/>
        <v/>
      </c>
    </row>
    <row r="594" spans="1:19" hidden="1" outlineLevel="1" x14ac:dyDescent="0.3">
      <c r="A594" s="37" t="str">
        <f>IF(OR(nThan=1,'TO HOP NLAN'!$A150=""),"",'TO HOP NLAN'!$A150)</f>
        <v/>
      </c>
      <c r="B594" s="38" t="str">
        <f>IF($A594="","",'TO HOP NLAN'!$D150)</f>
        <v/>
      </c>
      <c r="C594" s="38" t="str">
        <f>IF($A594="","",'TO HOP NLAN'!$E150)</f>
        <v/>
      </c>
      <c r="D594" s="38" t="str">
        <f>IF($A594="","",'TO HOP NLAN'!$F150)</f>
        <v/>
      </c>
      <c r="E594" s="38" t="str">
        <f>IF($A594="","",'TO HOP NLAN'!$B150)</f>
        <v/>
      </c>
      <c r="F594" s="38" t="str">
        <f>IF($A594="","",'TO HOP NLAN'!$C150)</f>
        <v/>
      </c>
      <c r="G594" s="38" t="str">
        <f t="shared" si="92"/>
        <v/>
      </c>
      <c r="H594" s="38" t="str">
        <f t="shared" si="90"/>
        <v/>
      </c>
      <c r="I594" s="38" t="str">
        <f t="shared" si="93"/>
        <v/>
      </c>
      <c r="J594" s="38" t="str">
        <f t="shared" si="94"/>
        <v/>
      </c>
      <c r="K594" s="38" t="str">
        <f t="shared" si="95"/>
        <v/>
      </c>
      <c r="L594" s="38" t="str">
        <f t="shared" si="96"/>
        <v/>
      </c>
      <c r="M594" s="38" t="str">
        <f>IF($A594="","",IF(H594=0,"",IF(Q594&lt;=0.000000001,MIN(0.8*0.75*'KT THAN'!$C$62,MAX('KT THAN'!$J$38:$J$58)),IFERROR(MIN(0.8*0.75*'KT THAN'!$C$62,INDEX('KT THAN'!$J$38:$J$58,MATCH(Q594,'KT THAN'!$L$38:$L$58,-1))+(INDEX('KT THAN'!$J$38:$J$58,MIN(21,MATCH(Q594,'KT THAN'!$L$38:$L$58,-1)+1))-INDEX('KT THAN'!$J$38:$J$58,MATCH(Q594,'KT THAN'!$L$38:$L$58,-1)))*(Q594-INDEX('KT THAN'!$L$38:$L$58,MATCH(Q594,'KT THAN'!$L$38:$L$58,-1)))/(INDEX('KT THAN'!$L$38:$L$58,MIN(21,MATCH(Q594,'KT THAN'!$L$38:$L$58,-1)+1))-INDEX('KT THAN'!$L$38:$L$58,MATCH(Q594,'KT THAN'!$L$38:$L$58,-1)))),MIN(0.8*0.75*'KT THAN'!$C$62,'KT THAN'!$C$68/Q594)))))</f>
        <v/>
      </c>
      <c r="N594" s="38" t="str">
        <f>IF($A594="","",IF(H594=0,"",IF(R594&lt;=0.000000001,MIN(0.8*0.75*'KT THAN'!$C$62,MAX('KT THAN'!$W$38:$W$58)),IFERROR(MIN(0.8*0.75*'KT THAN'!$C$62,INDEX('KT THAN'!$W$38:$W$58,MATCH(R594,'KT THAN'!$Y$38:$Y$58,-1))+(INDEX('KT THAN'!$W$38:$W$58,MIN(21,MATCH(R594,'KT THAN'!$Y$38:$Y$58,-1)+1))-INDEX('KT THAN'!$W$38:$W$58,MATCH(R594,'KT THAN'!$Y$38:$Y$58,-1)))*(R594-INDEX('KT THAN'!$Y$38:$Y$58,MATCH(R594,'KT THAN'!$Y$38:$Y$58,-1)))/(INDEX('KT THAN'!$Y$38:$Y$58,MIN(21,MATCH(R594,'KT THAN'!$Y$38:$Y$58,-1)+1))-INDEX('KT THAN'!$Y$38:$Y$58,MATCH(R594,'KT THAN'!$Y$38:$Y$58,-1)))),MIN(0.8*0.75*'KT THAN'!$C$62,'KT THAN'!$D$68/R594)))))</f>
        <v/>
      </c>
      <c r="O594" s="38" t="str">
        <f>IF($A594="","",IF(H594&lt;0,ABS(H594)/MAX('KT THAN'!$C$69,0.001)+'KT THAN'!$C$32*ABS(J594)/MAX('KT THAN'!$C$68,0.001)+'KT THAN'!$D$32*ABS(I594)/MAX('KT THAN'!$D$68,0.001),IF(OR(M594&lt;=0,N594&lt;=0),999,IF(H594&gt;=0.1*0.75*fc_*Agth*1000,H594/MAX(0.001,1/(1/M594+1/N594-1/(0.75*'KT THAN'!$C$62))),'KT THAN'!$C$32*ABS(J594)/MAX('KT THAN'!$C$68,0.001)+'KT THAN'!$D$32*ABS(I594)/MAX('KT THAN'!$D$68,0.001)))))</f>
        <v/>
      </c>
      <c r="P594" s="37" t="str">
        <f t="shared" si="97"/>
        <v/>
      </c>
      <c r="Q594" s="38" t="str">
        <f>IF($A594="","",MAX(0.001,'KT THAN'!$C$32*ABS(J594)/MAX(1,H594)))</f>
        <v/>
      </c>
      <c r="R594" s="38" t="str">
        <f>IF($A594="","",MAX(0.001,'KT THAN'!$D$32*ABS(I594)/MAX(1,H594)))</f>
        <v/>
      </c>
      <c r="S594" t="str">
        <f t="shared" si="91"/>
        <v/>
      </c>
    </row>
    <row r="595" spans="1:19" hidden="1" outlineLevel="1" x14ac:dyDescent="0.3">
      <c r="A595" s="37" t="str">
        <f>IF(OR(nThan=1,'TO HOP NLAN'!$A151=""),"",'TO HOP NLAN'!$A151)</f>
        <v/>
      </c>
      <c r="B595" s="38" t="str">
        <f>IF($A595="","",'TO HOP NLAN'!$D151)</f>
        <v/>
      </c>
      <c r="C595" s="38" t="str">
        <f>IF($A595="","",'TO HOP NLAN'!$E151)</f>
        <v/>
      </c>
      <c r="D595" s="38" t="str">
        <f>IF($A595="","",'TO HOP NLAN'!$F151)</f>
        <v/>
      </c>
      <c r="E595" s="38" t="str">
        <f>IF($A595="","",'TO HOP NLAN'!$B151)</f>
        <v/>
      </c>
      <c r="F595" s="38" t="str">
        <f>IF($A595="","",'TO HOP NLAN'!$C151)</f>
        <v/>
      </c>
      <c r="G595" s="38" t="str">
        <f t="shared" si="92"/>
        <v/>
      </c>
      <c r="H595" s="38" t="str">
        <f t="shared" si="90"/>
        <v/>
      </c>
      <c r="I595" s="38" t="str">
        <f t="shared" si="93"/>
        <v/>
      </c>
      <c r="J595" s="38" t="str">
        <f t="shared" si="94"/>
        <v/>
      </c>
      <c r="K595" s="38" t="str">
        <f t="shared" si="95"/>
        <v/>
      </c>
      <c r="L595" s="38" t="str">
        <f t="shared" si="96"/>
        <v/>
      </c>
      <c r="M595" s="38" t="str">
        <f>IF($A595="","",IF(H595=0,"",IF(Q595&lt;=0.000000001,MIN(0.8*0.75*'KT THAN'!$C$62,MAX('KT THAN'!$J$38:$J$58)),IFERROR(MIN(0.8*0.75*'KT THAN'!$C$62,INDEX('KT THAN'!$J$38:$J$58,MATCH(Q595,'KT THAN'!$L$38:$L$58,-1))+(INDEX('KT THAN'!$J$38:$J$58,MIN(21,MATCH(Q595,'KT THAN'!$L$38:$L$58,-1)+1))-INDEX('KT THAN'!$J$38:$J$58,MATCH(Q595,'KT THAN'!$L$38:$L$58,-1)))*(Q595-INDEX('KT THAN'!$L$38:$L$58,MATCH(Q595,'KT THAN'!$L$38:$L$58,-1)))/(INDEX('KT THAN'!$L$38:$L$58,MIN(21,MATCH(Q595,'KT THAN'!$L$38:$L$58,-1)+1))-INDEX('KT THAN'!$L$38:$L$58,MATCH(Q595,'KT THAN'!$L$38:$L$58,-1)))),MIN(0.8*0.75*'KT THAN'!$C$62,'KT THAN'!$C$68/Q595)))))</f>
        <v/>
      </c>
      <c r="N595" s="38" t="str">
        <f>IF($A595="","",IF(H595=0,"",IF(R595&lt;=0.000000001,MIN(0.8*0.75*'KT THAN'!$C$62,MAX('KT THAN'!$W$38:$W$58)),IFERROR(MIN(0.8*0.75*'KT THAN'!$C$62,INDEX('KT THAN'!$W$38:$W$58,MATCH(R595,'KT THAN'!$Y$38:$Y$58,-1))+(INDEX('KT THAN'!$W$38:$W$58,MIN(21,MATCH(R595,'KT THAN'!$Y$38:$Y$58,-1)+1))-INDEX('KT THAN'!$W$38:$W$58,MATCH(R595,'KT THAN'!$Y$38:$Y$58,-1)))*(R595-INDEX('KT THAN'!$Y$38:$Y$58,MATCH(R595,'KT THAN'!$Y$38:$Y$58,-1)))/(INDEX('KT THAN'!$Y$38:$Y$58,MIN(21,MATCH(R595,'KT THAN'!$Y$38:$Y$58,-1)+1))-INDEX('KT THAN'!$Y$38:$Y$58,MATCH(R595,'KT THAN'!$Y$38:$Y$58,-1)))),MIN(0.8*0.75*'KT THAN'!$C$62,'KT THAN'!$D$68/R595)))))</f>
        <v/>
      </c>
      <c r="O595" s="38" t="str">
        <f>IF($A595="","",IF(H595&lt;0,ABS(H595)/MAX('KT THAN'!$C$69,0.001)+'KT THAN'!$C$32*ABS(J595)/MAX('KT THAN'!$C$68,0.001)+'KT THAN'!$D$32*ABS(I595)/MAX('KT THAN'!$D$68,0.001),IF(OR(M595&lt;=0,N595&lt;=0),999,IF(H595&gt;=0.1*0.75*fc_*Agth*1000,H595/MAX(0.001,1/(1/M595+1/N595-1/(0.75*'KT THAN'!$C$62))),'KT THAN'!$C$32*ABS(J595)/MAX('KT THAN'!$C$68,0.001)+'KT THAN'!$D$32*ABS(I595)/MAX('KT THAN'!$D$68,0.001)))))</f>
        <v/>
      </c>
      <c r="P595" s="37" t="str">
        <f t="shared" si="97"/>
        <v/>
      </c>
      <c r="Q595" s="38" t="str">
        <f>IF($A595="","",MAX(0.001,'KT THAN'!$C$32*ABS(J595)/MAX(1,H595)))</f>
        <v/>
      </c>
      <c r="R595" s="38" t="str">
        <f>IF($A595="","",MAX(0.001,'KT THAN'!$D$32*ABS(I595)/MAX(1,H595)))</f>
        <v/>
      </c>
      <c r="S595" t="str">
        <f t="shared" si="91"/>
        <v/>
      </c>
    </row>
    <row r="596" spans="1:19" hidden="1" outlineLevel="1" x14ac:dyDescent="0.3">
      <c r="A596" s="37" t="str">
        <f>IF(OR(nThan=1,'TO HOP NLAN'!$A152=""),"",'TO HOP NLAN'!$A152)</f>
        <v/>
      </c>
      <c r="B596" s="38" t="str">
        <f>IF($A596="","",'TO HOP NLAN'!$D152)</f>
        <v/>
      </c>
      <c r="C596" s="38" t="str">
        <f>IF($A596="","",'TO HOP NLAN'!$E152)</f>
        <v/>
      </c>
      <c r="D596" s="38" t="str">
        <f>IF($A596="","",'TO HOP NLAN'!$F152)</f>
        <v/>
      </c>
      <c r="E596" s="38" t="str">
        <f>IF($A596="","",'TO HOP NLAN'!$B152)</f>
        <v/>
      </c>
      <c r="F596" s="38" t="str">
        <f>IF($A596="","",'TO HOP NLAN'!$C152)</f>
        <v/>
      </c>
      <c r="G596" s="38" t="str">
        <f t="shared" si="92"/>
        <v/>
      </c>
      <c r="H596" s="38" t="str">
        <f t="shared" si="90"/>
        <v/>
      </c>
      <c r="I596" s="38" t="str">
        <f t="shared" si="93"/>
        <v/>
      </c>
      <c r="J596" s="38" t="str">
        <f t="shared" si="94"/>
        <v/>
      </c>
      <c r="K596" s="38" t="str">
        <f t="shared" si="95"/>
        <v/>
      </c>
      <c r="L596" s="38" t="str">
        <f t="shared" si="96"/>
        <v/>
      </c>
      <c r="M596" s="38" t="str">
        <f>IF($A596="","",IF(H596=0,"",IF(Q596&lt;=0.000000001,MIN(0.8*0.75*'KT THAN'!$C$62,MAX('KT THAN'!$J$38:$J$58)),IFERROR(MIN(0.8*0.75*'KT THAN'!$C$62,INDEX('KT THAN'!$J$38:$J$58,MATCH(Q596,'KT THAN'!$L$38:$L$58,-1))+(INDEX('KT THAN'!$J$38:$J$58,MIN(21,MATCH(Q596,'KT THAN'!$L$38:$L$58,-1)+1))-INDEX('KT THAN'!$J$38:$J$58,MATCH(Q596,'KT THAN'!$L$38:$L$58,-1)))*(Q596-INDEX('KT THAN'!$L$38:$L$58,MATCH(Q596,'KT THAN'!$L$38:$L$58,-1)))/(INDEX('KT THAN'!$L$38:$L$58,MIN(21,MATCH(Q596,'KT THAN'!$L$38:$L$58,-1)+1))-INDEX('KT THAN'!$L$38:$L$58,MATCH(Q596,'KT THAN'!$L$38:$L$58,-1)))),MIN(0.8*0.75*'KT THAN'!$C$62,'KT THAN'!$C$68/Q596)))))</f>
        <v/>
      </c>
      <c r="N596" s="38" t="str">
        <f>IF($A596="","",IF(H596=0,"",IF(R596&lt;=0.000000001,MIN(0.8*0.75*'KT THAN'!$C$62,MAX('KT THAN'!$W$38:$W$58)),IFERROR(MIN(0.8*0.75*'KT THAN'!$C$62,INDEX('KT THAN'!$W$38:$W$58,MATCH(R596,'KT THAN'!$Y$38:$Y$58,-1))+(INDEX('KT THAN'!$W$38:$W$58,MIN(21,MATCH(R596,'KT THAN'!$Y$38:$Y$58,-1)+1))-INDEX('KT THAN'!$W$38:$W$58,MATCH(R596,'KT THAN'!$Y$38:$Y$58,-1)))*(R596-INDEX('KT THAN'!$Y$38:$Y$58,MATCH(R596,'KT THAN'!$Y$38:$Y$58,-1)))/(INDEX('KT THAN'!$Y$38:$Y$58,MIN(21,MATCH(R596,'KT THAN'!$Y$38:$Y$58,-1)+1))-INDEX('KT THAN'!$Y$38:$Y$58,MATCH(R596,'KT THAN'!$Y$38:$Y$58,-1)))),MIN(0.8*0.75*'KT THAN'!$C$62,'KT THAN'!$D$68/R596)))))</f>
        <v/>
      </c>
      <c r="O596" s="38" t="str">
        <f>IF($A596="","",IF(H596&lt;0,ABS(H596)/MAX('KT THAN'!$C$69,0.001)+'KT THAN'!$C$32*ABS(J596)/MAX('KT THAN'!$C$68,0.001)+'KT THAN'!$D$32*ABS(I596)/MAX('KT THAN'!$D$68,0.001),IF(OR(M596&lt;=0,N596&lt;=0),999,IF(H596&gt;=0.1*0.75*fc_*Agth*1000,H596/MAX(0.001,1/(1/M596+1/N596-1/(0.75*'KT THAN'!$C$62))),'KT THAN'!$C$32*ABS(J596)/MAX('KT THAN'!$C$68,0.001)+'KT THAN'!$D$32*ABS(I596)/MAX('KT THAN'!$D$68,0.001)))))</f>
        <v/>
      </c>
      <c r="P596" s="37" t="str">
        <f t="shared" si="97"/>
        <v/>
      </c>
      <c r="Q596" s="38" t="str">
        <f>IF($A596="","",MAX(0.001,'KT THAN'!$C$32*ABS(J596)/MAX(1,H596)))</f>
        <v/>
      </c>
      <c r="R596" s="38" t="str">
        <f>IF($A596="","",MAX(0.001,'KT THAN'!$D$32*ABS(I596)/MAX(1,H596)))</f>
        <v/>
      </c>
      <c r="S596" t="str">
        <f t="shared" si="91"/>
        <v/>
      </c>
    </row>
    <row r="597" spans="1:19" hidden="1" outlineLevel="1" x14ac:dyDescent="0.3">
      <c r="A597" s="37" t="str">
        <f>IF(OR(nThan=1,'TO HOP NLAN'!$A153=""),"",'TO HOP NLAN'!$A153)</f>
        <v/>
      </c>
      <c r="B597" s="38" t="str">
        <f>IF($A597="","",'TO HOP NLAN'!$D153)</f>
        <v/>
      </c>
      <c r="C597" s="38" t="str">
        <f>IF($A597="","",'TO HOP NLAN'!$E153)</f>
        <v/>
      </c>
      <c r="D597" s="38" t="str">
        <f>IF($A597="","",'TO HOP NLAN'!$F153)</f>
        <v/>
      </c>
      <c r="E597" s="38" t="str">
        <f>IF($A597="","",'TO HOP NLAN'!$B153)</f>
        <v/>
      </c>
      <c r="F597" s="38" t="str">
        <f>IF($A597="","",'TO HOP NLAN'!$C153)</f>
        <v/>
      </c>
      <c r="G597" s="38" t="str">
        <f t="shared" si="92"/>
        <v/>
      </c>
      <c r="H597" s="38" t="str">
        <f t="shared" si="90"/>
        <v/>
      </c>
      <c r="I597" s="38" t="str">
        <f t="shared" si="93"/>
        <v/>
      </c>
      <c r="J597" s="38" t="str">
        <f t="shared" si="94"/>
        <v/>
      </c>
      <c r="K597" s="38" t="str">
        <f t="shared" si="95"/>
        <v/>
      </c>
      <c r="L597" s="38" t="str">
        <f t="shared" si="96"/>
        <v/>
      </c>
      <c r="M597" s="38" t="str">
        <f>IF($A597="","",IF(H597=0,"",IF(Q597&lt;=0.000000001,MIN(0.8*0.75*'KT THAN'!$C$62,MAX('KT THAN'!$J$38:$J$58)),IFERROR(MIN(0.8*0.75*'KT THAN'!$C$62,INDEX('KT THAN'!$J$38:$J$58,MATCH(Q597,'KT THAN'!$L$38:$L$58,-1))+(INDEX('KT THAN'!$J$38:$J$58,MIN(21,MATCH(Q597,'KT THAN'!$L$38:$L$58,-1)+1))-INDEX('KT THAN'!$J$38:$J$58,MATCH(Q597,'KT THAN'!$L$38:$L$58,-1)))*(Q597-INDEX('KT THAN'!$L$38:$L$58,MATCH(Q597,'KT THAN'!$L$38:$L$58,-1)))/(INDEX('KT THAN'!$L$38:$L$58,MIN(21,MATCH(Q597,'KT THAN'!$L$38:$L$58,-1)+1))-INDEX('KT THAN'!$L$38:$L$58,MATCH(Q597,'KT THAN'!$L$38:$L$58,-1)))),MIN(0.8*0.75*'KT THAN'!$C$62,'KT THAN'!$C$68/Q597)))))</f>
        <v/>
      </c>
      <c r="N597" s="38" t="str">
        <f>IF($A597="","",IF(H597=0,"",IF(R597&lt;=0.000000001,MIN(0.8*0.75*'KT THAN'!$C$62,MAX('KT THAN'!$W$38:$W$58)),IFERROR(MIN(0.8*0.75*'KT THAN'!$C$62,INDEX('KT THAN'!$W$38:$W$58,MATCH(R597,'KT THAN'!$Y$38:$Y$58,-1))+(INDEX('KT THAN'!$W$38:$W$58,MIN(21,MATCH(R597,'KT THAN'!$Y$38:$Y$58,-1)+1))-INDEX('KT THAN'!$W$38:$W$58,MATCH(R597,'KT THAN'!$Y$38:$Y$58,-1)))*(R597-INDEX('KT THAN'!$Y$38:$Y$58,MATCH(R597,'KT THAN'!$Y$38:$Y$58,-1)))/(INDEX('KT THAN'!$Y$38:$Y$58,MIN(21,MATCH(R597,'KT THAN'!$Y$38:$Y$58,-1)+1))-INDEX('KT THAN'!$Y$38:$Y$58,MATCH(R597,'KT THAN'!$Y$38:$Y$58,-1)))),MIN(0.8*0.75*'KT THAN'!$C$62,'KT THAN'!$D$68/R597)))))</f>
        <v/>
      </c>
      <c r="O597" s="38" t="str">
        <f>IF($A597="","",IF(H597&lt;0,ABS(H597)/MAX('KT THAN'!$C$69,0.001)+'KT THAN'!$C$32*ABS(J597)/MAX('KT THAN'!$C$68,0.001)+'KT THAN'!$D$32*ABS(I597)/MAX('KT THAN'!$D$68,0.001),IF(OR(M597&lt;=0,N597&lt;=0),999,IF(H597&gt;=0.1*0.75*fc_*Agth*1000,H597/MAX(0.001,1/(1/M597+1/N597-1/(0.75*'KT THAN'!$C$62))),'KT THAN'!$C$32*ABS(J597)/MAX('KT THAN'!$C$68,0.001)+'KT THAN'!$D$32*ABS(I597)/MAX('KT THAN'!$D$68,0.001)))))</f>
        <v/>
      </c>
      <c r="P597" s="37" t="str">
        <f t="shared" si="97"/>
        <v/>
      </c>
      <c r="Q597" s="38" t="str">
        <f>IF($A597="","",MAX(0.001,'KT THAN'!$C$32*ABS(J597)/MAX(1,H597)))</f>
        <v/>
      </c>
      <c r="R597" s="38" t="str">
        <f>IF($A597="","",MAX(0.001,'KT THAN'!$D$32*ABS(I597)/MAX(1,H597)))</f>
        <v/>
      </c>
      <c r="S597" t="str">
        <f t="shared" si="91"/>
        <v/>
      </c>
    </row>
    <row r="598" spans="1:19" hidden="1" outlineLevel="1" x14ac:dyDescent="0.3">
      <c r="A598" s="37" t="str">
        <f>IF(OR(nThan=1,'TO HOP NLAN'!$A154=""),"",'TO HOP NLAN'!$A154)</f>
        <v/>
      </c>
      <c r="B598" s="38" t="str">
        <f>IF($A598="","",'TO HOP NLAN'!$D154)</f>
        <v/>
      </c>
      <c r="C598" s="38" t="str">
        <f>IF($A598="","",'TO HOP NLAN'!$E154)</f>
        <v/>
      </c>
      <c r="D598" s="38" t="str">
        <f>IF($A598="","",'TO HOP NLAN'!$F154)</f>
        <v/>
      </c>
      <c r="E598" s="38" t="str">
        <f>IF($A598="","",'TO HOP NLAN'!$B154)</f>
        <v/>
      </c>
      <c r="F598" s="38" t="str">
        <f>IF($A598="","",'TO HOP NLAN'!$C154)</f>
        <v/>
      </c>
      <c r="G598" s="38" t="str">
        <f t="shared" si="92"/>
        <v/>
      </c>
      <c r="H598" s="38" t="str">
        <f t="shared" si="90"/>
        <v/>
      </c>
      <c r="I598" s="38" t="str">
        <f t="shared" si="93"/>
        <v/>
      </c>
      <c r="J598" s="38" t="str">
        <f t="shared" si="94"/>
        <v/>
      </c>
      <c r="K598" s="38" t="str">
        <f t="shared" si="95"/>
        <v/>
      </c>
      <c r="L598" s="38" t="str">
        <f t="shared" si="96"/>
        <v/>
      </c>
      <c r="M598" s="38" t="str">
        <f>IF($A598="","",IF(H598=0,"",IF(Q598&lt;=0.000000001,MIN(0.8*0.75*'KT THAN'!$C$62,MAX('KT THAN'!$J$38:$J$58)),IFERROR(MIN(0.8*0.75*'KT THAN'!$C$62,INDEX('KT THAN'!$J$38:$J$58,MATCH(Q598,'KT THAN'!$L$38:$L$58,-1))+(INDEX('KT THAN'!$J$38:$J$58,MIN(21,MATCH(Q598,'KT THAN'!$L$38:$L$58,-1)+1))-INDEX('KT THAN'!$J$38:$J$58,MATCH(Q598,'KT THAN'!$L$38:$L$58,-1)))*(Q598-INDEX('KT THAN'!$L$38:$L$58,MATCH(Q598,'KT THAN'!$L$38:$L$58,-1)))/(INDEX('KT THAN'!$L$38:$L$58,MIN(21,MATCH(Q598,'KT THAN'!$L$38:$L$58,-1)+1))-INDEX('KT THAN'!$L$38:$L$58,MATCH(Q598,'KT THAN'!$L$38:$L$58,-1)))),MIN(0.8*0.75*'KT THAN'!$C$62,'KT THAN'!$C$68/Q598)))))</f>
        <v/>
      </c>
      <c r="N598" s="38" t="str">
        <f>IF($A598="","",IF(H598=0,"",IF(R598&lt;=0.000000001,MIN(0.8*0.75*'KT THAN'!$C$62,MAX('KT THAN'!$W$38:$W$58)),IFERROR(MIN(0.8*0.75*'KT THAN'!$C$62,INDEX('KT THAN'!$W$38:$W$58,MATCH(R598,'KT THAN'!$Y$38:$Y$58,-1))+(INDEX('KT THAN'!$W$38:$W$58,MIN(21,MATCH(R598,'KT THAN'!$Y$38:$Y$58,-1)+1))-INDEX('KT THAN'!$W$38:$W$58,MATCH(R598,'KT THAN'!$Y$38:$Y$58,-1)))*(R598-INDEX('KT THAN'!$Y$38:$Y$58,MATCH(R598,'KT THAN'!$Y$38:$Y$58,-1)))/(INDEX('KT THAN'!$Y$38:$Y$58,MIN(21,MATCH(R598,'KT THAN'!$Y$38:$Y$58,-1)+1))-INDEX('KT THAN'!$Y$38:$Y$58,MATCH(R598,'KT THAN'!$Y$38:$Y$58,-1)))),MIN(0.8*0.75*'KT THAN'!$C$62,'KT THAN'!$D$68/R598)))))</f>
        <v/>
      </c>
      <c r="O598" s="38" t="str">
        <f>IF($A598="","",IF(H598&lt;0,ABS(H598)/MAX('KT THAN'!$C$69,0.001)+'KT THAN'!$C$32*ABS(J598)/MAX('KT THAN'!$C$68,0.001)+'KT THAN'!$D$32*ABS(I598)/MAX('KT THAN'!$D$68,0.001),IF(OR(M598&lt;=0,N598&lt;=0),999,IF(H598&gt;=0.1*0.75*fc_*Agth*1000,H598/MAX(0.001,1/(1/M598+1/N598-1/(0.75*'KT THAN'!$C$62))),'KT THAN'!$C$32*ABS(J598)/MAX('KT THAN'!$C$68,0.001)+'KT THAN'!$D$32*ABS(I598)/MAX('KT THAN'!$D$68,0.001)))))</f>
        <v/>
      </c>
      <c r="P598" s="37" t="str">
        <f t="shared" si="97"/>
        <v/>
      </c>
      <c r="Q598" s="38" t="str">
        <f>IF($A598="","",MAX(0.001,'KT THAN'!$C$32*ABS(J598)/MAX(1,H598)))</f>
        <v/>
      </c>
      <c r="R598" s="38" t="str">
        <f>IF($A598="","",MAX(0.001,'KT THAN'!$D$32*ABS(I598)/MAX(1,H598)))</f>
        <v/>
      </c>
      <c r="S598" t="str">
        <f t="shared" si="91"/>
        <v/>
      </c>
    </row>
    <row r="599" spans="1:19" hidden="1" outlineLevel="1" x14ac:dyDescent="0.3">
      <c r="A599" s="37" t="str">
        <f>IF(OR(nThan=1,'TO HOP NLAN'!$A155=""),"",'TO HOP NLAN'!$A155)</f>
        <v/>
      </c>
      <c r="B599" s="38" t="str">
        <f>IF($A599="","",'TO HOP NLAN'!$D155)</f>
        <v/>
      </c>
      <c r="C599" s="38" t="str">
        <f>IF($A599="","",'TO HOP NLAN'!$E155)</f>
        <v/>
      </c>
      <c r="D599" s="38" t="str">
        <f>IF($A599="","",'TO HOP NLAN'!$F155)</f>
        <v/>
      </c>
      <c r="E599" s="38" t="str">
        <f>IF($A599="","",'TO HOP NLAN'!$B155)</f>
        <v/>
      </c>
      <c r="F599" s="38" t="str">
        <f>IF($A599="","",'TO HOP NLAN'!$C155)</f>
        <v/>
      </c>
      <c r="G599" s="38" t="str">
        <f t="shared" si="92"/>
        <v/>
      </c>
      <c r="H599" s="38" t="str">
        <f t="shared" si="90"/>
        <v/>
      </c>
      <c r="I599" s="38" t="str">
        <f t="shared" si="93"/>
        <v/>
      </c>
      <c r="J599" s="38" t="str">
        <f t="shared" si="94"/>
        <v/>
      </c>
      <c r="K599" s="38" t="str">
        <f t="shared" si="95"/>
        <v/>
      </c>
      <c r="L599" s="38" t="str">
        <f t="shared" si="96"/>
        <v/>
      </c>
      <c r="M599" s="38" t="str">
        <f>IF($A599="","",IF(H599=0,"",IF(Q599&lt;=0.000000001,MIN(0.8*0.75*'KT THAN'!$C$62,MAX('KT THAN'!$J$38:$J$58)),IFERROR(MIN(0.8*0.75*'KT THAN'!$C$62,INDEX('KT THAN'!$J$38:$J$58,MATCH(Q599,'KT THAN'!$L$38:$L$58,-1))+(INDEX('KT THAN'!$J$38:$J$58,MIN(21,MATCH(Q599,'KT THAN'!$L$38:$L$58,-1)+1))-INDEX('KT THAN'!$J$38:$J$58,MATCH(Q599,'KT THAN'!$L$38:$L$58,-1)))*(Q599-INDEX('KT THAN'!$L$38:$L$58,MATCH(Q599,'KT THAN'!$L$38:$L$58,-1)))/(INDEX('KT THAN'!$L$38:$L$58,MIN(21,MATCH(Q599,'KT THAN'!$L$38:$L$58,-1)+1))-INDEX('KT THAN'!$L$38:$L$58,MATCH(Q599,'KT THAN'!$L$38:$L$58,-1)))),MIN(0.8*0.75*'KT THAN'!$C$62,'KT THAN'!$C$68/Q599)))))</f>
        <v/>
      </c>
      <c r="N599" s="38" t="str">
        <f>IF($A599="","",IF(H599=0,"",IF(R599&lt;=0.000000001,MIN(0.8*0.75*'KT THAN'!$C$62,MAX('KT THAN'!$W$38:$W$58)),IFERROR(MIN(0.8*0.75*'KT THAN'!$C$62,INDEX('KT THAN'!$W$38:$W$58,MATCH(R599,'KT THAN'!$Y$38:$Y$58,-1))+(INDEX('KT THAN'!$W$38:$W$58,MIN(21,MATCH(R599,'KT THAN'!$Y$38:$Y$58,-1)+1))-INDEX('KT THAN'!$W$38:$W$58,MATCH(R599,'KT THAN'!$Y$38:$Y$58,-1)))*(R599-INDEX('KT THAN'!$Y$38:$Y$58,MATCH(R599,'KT THAN'!$Y$38:$Y$58,-1)))/(INDEX('KT THAN'!$Y$38:$Y$58,MIN(21,MATCH(R599,'KT THAN'!$Y$38:$Y$58,-1)+1))-INDEX('KT THAN'!$Y$38:$Y$58,MATCH(R599,'KT THAN'!$Y$38:$Y$58,-1)))),MIN(0.8*0.75*'KT THAN'!$C$62,'KT THAN'!$D$68/R599)))))</f>
        <v/>
      </c>
      <c r="O599" s="38" t="str">
        <f>IF($A599="","",IF(H599&lt;0,ABS(H599)/MAX('KT THAN'!$C$69,0.001)+'KT THAN'!$C$32*ABS(J599)/MAX('KT THAN'!$C$68,0.001)+'KT THAN'!$D$32*ABS(I599)/MAX('KT THAN'!$D$68,0.001),IF(OR(M599&lt;=0,N599&lt;=0),999,IF(H599&gt;=0.1*0.75*fc_*Agth*1000,H599/MAX(0.001,1/(1/M599+1/N599-1/(0.75*'KT THAN'!$C$62))),'KT THAN'!$C$32*ABS(J599)/MAX('KT THAN'!$C$68,0.001)+'KT THAN'!$D$32*ABS(I599)/MAX('KT THAN'!$D$68,0.001)))))</f>
        <v/>
      </c>
      <c r="P599" s="37" t="str">
        <f t="shared" si="97"/>
        <v/>
      </c>
      <c r="Q599" s="38" t="str">
        <f>IF($A599="","",MAX(0.001,'KT THAN'!$C$32*ABS(J599)/MAX(1,H599)))</f>
        <v/>
      </c>
      <c r="R599" s="38" t="str">
        <f>IF($A599="","",MAX(0.001,'KT THAN'!$D$32*ABS(I599)/MAX(1,H599)))</f>
        <v/>
      </c>
      <c r="S599" t="str">
        <f t="shared" si="91"/>
        <v/>
      </c>
    </row>
    <row r="600" spans="1:19" hidden="1" outlineLevel="1" x14ac:dyDescent="0.3">
      <c r="A600" s="37" t="str">
        <f>IF(OR(nThan=1,'TO HOP NLAN'!$A156=""),"",'TO HOP NLAN'!$A156)</f>
        <v/>
      </c>
      <c r="B600" s="38" t="str">
        <f>IF($A600="","",'TO HOP NLAN'!$D156)</f>
        <v/>
      </c>
      <c r="C600" s="38" t="str">
        <f>IF($A600="","",'TO HOP NLAN'!$E156)</f>
        <v/>
      </c>
      <c r="D600" s="38" t="str">
        <f>IF($A600="","",'TO HOP NLAN'!$F156)</f>
        <v/>
      </c>
      <c r="E600" s="38" t="str">
        <f>IF($A600="","",'TO HOP NLAN'!$B156)</f>
        <v/>
      </c>
      <c r="F600" s="38" t="str">
        <f>IF($A600="","",'TO HOP NLAN'!$C156)</f>
        <v/>
      </c>
      <c r="G600" s="38" t="str">
        <f t="shared" si="92"/>
        <v/>
      </c>
      <c r="H600" s="38" t="str">
        <f t="shared" si="90"/>
        <v/>
      </c>
      <c r="I600" s="38" t="str">
        <f t="shared" si="93"/>
        <v/>
      </c>
      <c r="J600" s="38" t="str">
        <f t="shared" si="94"/>
        <v/>
      </c>
      <c r="K600" s="38" t="str">
        <f t="shared" si="95"/>
        <v/>
      </c>
      <c r="L600" s="38" t="str">
        <f t="shared" si="96"/>
        <v/>
      </c>
      <c r="M600" s="38" t="str">
        <f>IF($A600="","",IF(H600=0,"",IF(Q600&lt;=0.000000001,MIN(0.8*0.75*'KT THAN'!$C$62,MAX('KT THAN'!$J$38:$J$58)),IFERROR(MIN(0.8*0.75*'KT THAN'!$C$62,INDEX('KT THAN'!$J$38:$J$58,MATCH(Q600,'KT THAN'!$L$38:$L$58,-1))+(INDEX('KT THAN'!$J$38:$J$58,MIN(21,MATCH(Q600,'KT THAN'!$L$38:$L$58,-1)+1))-INDEX('KT THAN'!$J$38:$J$58,MATCH(Q600,'KT THAN'!$L$38:$L$58,-1)))*(Q600-INDEX('KT THAN'!$L$38:$L$58,MATCH(Q600,'KT THAN'!$L$38:$L$58,-1)))/(INDEX('KT THAN'!$L$38:$L$58,MIN(21,MATCH(Q600,'KT THAN'!$L$38:$L$58,-1)+1))-INDEX('KT THAN'!$L$38:$L$58,MATCH(Q600,'KT THAN'!$L$38:$L$58,-1)))),MIN(0.8*0.75*'KT THAN'!$C$62,'KT THAN'!$C$68/Q600)))))</f>
        <v/>
      </c>
      <c r="N600" s="38" t="str">
        <f>IF($A600="","",IF(H600=0,"",IF(R600&lt;=0.000000001,MIN(0.8*0.75*'KT THAN'!$C$62,MAX('KT THAN'!$W$38:$W$58)),IFERROR(MIN(0.8*0.75*'KT THAN'!$C$62,INDEX('KT THAN'!$W$38:$W$58,MATCH(R600,'KT THAN'!$Y$38:$Y$58,-1))+(INDEX('KT THAN'!$W$38:$W$58,MIN(21,MATCH(R600,'KT THAN'!$Y$38:$Y$58,-1)+1))-INDEX('KT THAN'!$W$38:$W$58,MATCH(R600,'KT THAN'!$Y$38:$Y$58,-1)))*(R600-INDEX('KT THAN'!$Y$38:$Y$58,MATCH(R600,'KT THAN'!$Y$38:$Y$58,-1)))/(INDEX('KT THAN'!$Y$38:$Y$58,MIN(21,MATCH(R600,'KT THAN'!$Y$38:$Y$58,-1)+1))-INDEX('KT THAN'!$Y$38:$Y$58,MATCH(R600,'KT THAN'!$Y$38:$Y$58,-1)))),MIN(0.8*0.75*'KT THAN'!$C$62,'KT THAN'!$D$68/R600)))))</f>
        <v/>
      </c>
      <c r="O600" s="38" t="str">
        <f>IF($A600="","",IF(H600&lt;0,ABS(H600)/MAX('KT THAN'!$C$69,0.001)+'KT THAN'!$C$32*ABS(J600)/MAX('KT THAN'!$C$68,0.001)+'KT THAN'!$D$32*ABS(I600)/MAX('KT THAN'!$D$68,0.001),IF(OR(M600&lt;=0,N600&lt;=0),999,IF(H600&gt;=0.1*0.75*fc_*Agth*1000,H600/MAX(0.001,1/(1/M600+1/N600-1/(0.75*'KT THAN'!$C$62))),'KT THAN'!$C$32*ABS(J600)/MAX('KT THAN'!$C$68,0.001)+'KT THAN'!$D$32*ABS(I600)/MAX('KT THAN'!$D$68,0.001)))))</f>
        <v/>
      </c>
      <c r="P600" s="37" t="str">
        <f t="shared" si="97"/>
        <v/>
      </c>
      <c r="Q600" s="38" t="str">
        <f>IF($A600="","",MAX(0.001,'KT THAN'!$C$32*ABS(J600)/MAX(1,H600)))</f>
        <v/>
      </c>
      <c r="R600" s="38" t="str">
        <f>IF($A600="","",MAX(0.001,'KT THAN'!$D$32*ABS(I600)/MAX(1,H600)))</f>
        <v/>
      </c>
      <c r="S600" t="str">
        <f t="shared" si="91"/>
        <v/>
      </c>
    </row>
    <row r="601" spans="1:19" hidden="1" outlineLevel="1" x14ac:dyDescent="0.3">
      <c r="A601" s="37" t="str">
        <f>IF(OR(nThan=1,'TO HOP NLAN'!$A157=""),"",'TO HOP NLAN'!$A157)</f>
        <v/>
      </c>
      <c r="B601" s="38" t="str">
        <f>IF($A601="","",'TO HOP NLAN'!$D157)</f>
        <v/>
      </c>
      <c r="C601" s="38" t="str">
        <f>IF($A601="","",'TO HOP NLAN'!$E157)</f>
        <v/>
      </c>
      <c r="D601" s="38" t="str">
        <f>IF($A601="","",'TO HOP NLAN'!$F157)</f>
        <v/>
      </c>
      <c r="E601" s="38" t="str">
        <f>IF($A601="","",'TO HOP NLAN'!$B157)</f>
        <v/>
      </c>
      <c r="F601" s="38" t="str">
        <f>IF($A601="","",'TO HOP NLAN'!$C157)</f>
        <v/>
      </c>
      <c r="G601" s="38" t="str">
        <f t="shared" si="92"/>
        <v/>
      </c>
      <c r="H601" s="38" t="str">
        <f t="shared" si="90"/>
        <v/>
      </c>
      <c r="I601" s="38" t="str">
        <f t="shared" si="93"/>
        <v/>
      </c>
      <c r="J601" s="38" t="str">
        <f t="shared" si="94"/>
        <v/>
      </c>
      <c r="K601" s="38" t="str">
        <f t="shared" si="95"/>
        <v/>
      </c>
      <c r="L601" s="38" t="str">
        <f t="shared" si="96"/>
        <v/>
      </c>
      <c r="M601" s="38" t="str">
        <f>IF($A601="","",IF(H601=0,"",IF(Q601&lt;=0.000000001,MIN(0.8*0.75*'KT THAN'!$C$62,MAX('KT THAN'!$J$38:$J$58)),IFERROR(MIN(0.8*0.75*'KT THAN'!$C$62,INDEX('KT THAN'!$J$38:$J$58,MATCH(Q601,'KT THAN'!$L$38:$L$58,-1))+(INDEX('KT THAN'!$J$38:$J$58,MIN(21,MATCH(Q601,'KT THAN'!$L$38:$L$58,-1)+1))-INDEX('KT THAN'!$J$38:$J$58,MATCH(Q601,'KT THAN'!$L$38:$L$58,-1)))*(Q601-INDEX('KT THAN'!$L$38:$L$58,MATCH(Q601,'KT THAN'!$L$38:$L$58,-1)))/(INDEX('KT THAN'!$L$38:$L$58,MIN(21,MATCH(Q601,'KT THAN'!$L$38:$L$58,-1)+1))-INDEX('KT THAN'!$L$38:$L$58,MATCH(Q601,'KT THAN'!$L$38:$L$58,-1)))),MIN(0.8*0.75*'KT THAN'!$C$62,'KT THAN'!$C$68/Q601)))))</f>
        <v/>
      </c>
      <c r="N601" s="38" t="str">
        <f>IF($A601="","",IF(H601=0,"",IF(R601&lt;=0.000000001,MIN(0.8*0.75*'KT THAN'!$C$62,MAX('KT THAN'!$W$38:$W$58)),IFERROR(MIN(0.8*0.75*'KT THAN'!$C$62,INDEX('KT THAN'!$W$38:$W$58,MATCH(R601,'KT THAN'!$Y$38:$Y$58,-1))+(INDEX('KT THAN'!$W$38:$W$58,MIN(21,MATCH(R601,'KT THAN'!$Y$38:$Y$58,-1)+1))-INDEX('KT THAN'!$W$38:$W$58,MATCH(R601,'KT THAN'!$Y$38:$Y$58,-1)))*(R601-INDEX('KT THAN'!$Y$38:$Y$58,MATCH(R601,'KT THAN'!$Y$38:$Y$58,-1)))/(INDEX('KT THAN'!$Y$38:$Y$58,MIN(21,MATCH(R601,'KT THAN'!$Y$38:$Y$58,-1)+1))-INDEX('KT THAN'!$Y$38:$Y$58,MATCH(R601,'KT THAN'!$Y$38:$Y$58,-1)))),MIN(0.8*0.75*'KT THAN'!$C$62,'KT THAN'!$D$68/R601)))))</f>
        <v/>
      </c>
      <c r="O601" s="38" t="str">
        <f>IF($A601="","",IF(H601&lt;0,ABS(H601)/MAX('KT THAN'!$C$69,0.001)+'KT THAN'!$C$32*ABS(J601)/MAX('KT THAN'!$C$68,0.001)+'KT THAN'!$D$32*ABS(I601)/MAX('KT THAN'!$D$68,0.001),IF(OR(M601&lt;=0,N601&lt;=0),999,IF(H601&gt;=0.1*0.75*fc_*Agth*1000,H601/MAX(0.001,1/(1/M601+1/N601-1/(0.75*'KT THAN'!$C$62))),'KT THAN'!$C$32*ABS(J601)/MAX('KT THAN'!$C$68,0.001)+'KT THAN'!$D$32*ABS(I601)/MAX('KT THAN'!$D$68,0.001)))))</f>
        <v/>
      </c>
      <c r="P601" s="37" t="str">
        <f t="shared" si="97"/>
        <v/>
      </c>
      <c r="Q601" s="38" t="str">
        <f>IF($A601="","",MAX(0.001,'KT THAN'!$C$32*ABS(J601)/MAX(1,H601)))</f>
        <v/>
      </c>
      <c r="R601" s="38" t="str">
        <f>IF($A601="","",MAX(0.001,'KT THAN'!$D$32*ABS(I601)/MAX(1,H601)))</f>
        <v/>
      </c>
      <c r="S601" t="str">
        <f t="shared" si="91"/>
        <v/>
      </c>
    </row>
    <row r="602" spans="1:19" hidden="1" outlineLevel="1" x14ac:dyDescent="0.3">
      <c r="A602" s="37" t="str">
        <f>IF(OR(nThan=1,'TO HOP NLAN'!$A158=""),"",'TO HOP NLAN'!$A158)</f>
        <v/>
      </c>
      <c r="B602" s="38" t="str">
        <f>IF($A602="","",'TO HOP NLAN'!$D158)</f>
        <v/>
      </c>
      <c r="C602" s="38" t="str">
        <f>IF($A602="","",'TO HOP NLAN'!$E158)</f>
        <v/>
      </c>
      <c r="D602" s="38" t="str">
        <f>IF($A602="","",'TO HOP NLAN'!$F158)</f>
        <v/>
      </c>
      <c r="E602" s="38" t="str">
        <f>IF($A602="","",'TO HOP NLAN'!$B158)</f>
        <v/>
      </c>
      <c r="F602" s="38" t="str">
        <f>IF($A602="","",'TO HOP NLAN'!$C158)</f>
        <v/>
      </c>
      <c r="G602" s="38" t="str">
        <f t="shared" si="92"/>
        <v/>
      </c>
      <c r="H602" s="38" t="str">
        <f t="shared" si="90"/>
        <v/>
      </c>
      <c r="I602" s="38" t="str">
        <f t="shared" si="93"/>
        <v/>
      </c>
      <c r="J602" s="38" t="str">
        <f t="shared" si="94"/>
        <v/>
      </c>
      <c r="K602" s="38" t="str">
        <f t="shared" si="95"/>
        <v/>
      </c>
      <c r="L602" s="38" t="str">
        <f t="shared" si="96"/>
        <v/>
      </c>
      <c r="M602" s="38" t="str">
        <f>IF($A602="","",IF(H602=0,"",IF(Q602&lt;=0.000000001,MIN(0.8*0.75*'KT THAN'!$C$62,MAX('KT THAN'!$J$38:$J$58)),IFERROR(MIN(0.8*0.75*'KT THAN'!$C$62,INDEX('KT THAN'!$J$38:$J$58,MATCH(Q602,'KT THAN'!$L$38:$L$58,-1))+(INDEX('KT THAN'!$J$38:$J$58,MIN(21,MATCH(Q602,'KT THAN'!$L$38:$L$58,-1)+1))-INDEX('KT THAN'!$J$38:$J$58,MATCH(Q602,'KT THAN'!$L$38:$L$58,-1)))*(Q602-INDEX('KT THAN'!$L$38:$L$58,MATCH(Q602,'KT THAN'!$L$38:$L$58,-1)))/(INDEX('KT THAN'!$L$38:$L$58,MIN(21,MATCH(Q602,'KT THAN'!$L$38:$L$58,-1)+1))-INDEX('KT THAN'!$L$38:$L$58,MATCH(Q602,'KT THAN'!$L$38:$L$58,-1)))),MIN(0.8*0.75*'KT THAN'!$C$62,'KT THAN'!$C$68/Q602)))))</f>
        <v/>
      </c>
      <c r="N602" s="38" t="str">
        <f>IF($A602="","",IF(H602=0,"",IF(R602&lt;=0.000000001,MIN(0.8*0.75*'KT THAN'!$C$62,MAX('KT THAN'!$W$38:$W$58)),IFERROR(MIN(0.8*0.75*'KT THAN'!$C$62,INDEX('KT THAN'!$W$38:$W$58,MATCH(R602,'KT THAN'!$Y$38:$Y$58,-1))+(INDEX('KT THAN'!$W$38:$W$58,MIN(21,MATCH(R602,'KT THAN'!$Y$38:$Y$58,-1)+1))-INDEX('KT THAN'!$W$38:$W$58,MATCH(R602,'KT THAN'!$Y$38:$Y$58,-1)))*(R602-INDEX('KT THAN'!$Y$38:$Y$58,MATCH(R602,'KT THAN'!$Y$38:$Y$58,-1)))/(INDEX('KT THAN'!$Y$38:$Y$58,MIN(21,MATCH(R602,'KT THAN'!$Y$38:$Y$58,-1)+1))-INDEX('KT THAN'!$Y$38:$Y$58,MATCH(R602,'KT THAN'!$Y$38:$Y$58,-1)))),MIN(0.8*0.75*'KT THAN'!$C$62,'KT THAN'!$D$68/R602)))))</f>
        <v/>
      </c>
      <c r="O602" s="38" t="str">
        <f>IF($A602="","",IF(H602&lt;0,ABS(H602)/MAX('KT THAN'!$C$69,0.001)+'KT THAN'!$C$32*ABS(J602)/MAX('KT THAN'!$C$68,0.001)+'KT THAN'!$D$32*ABS(I602)/MAX('KT THAN'!$D$68,0.001),IF(OR(M602&lt;=0,N602&lt;=0),999,IF(H602&gt;=0.1*0.75*fc_*Agth*1000,H602/MAX(0.001,1/(1/M602+1/N602-1/(0.75*'KT THAN'!$C$62))),'KT THAN'!$C$32*ABS(J602)/MAX('KT THAN'!$C$68,0.001)+'KT THAN'!$D$32*ABS(I602)/MAX('KT THAN'!$D$68,0.001)))))</f>
        <v/>
      </c>
      <c r="P602" s="37" t="str">
        <f t="shared" si="97"/>
        <v/>
      </c>
      <c r="Q602" s="38" t="str">
        <f>IF($A602="","",MAX(0.001,'KT THAN'!$C$32*ABS(J602)/MAX(1,H602)))</f>
        <v/>
      </c>
      <c r="R602" s="38" t="str">
        <f>IF($A602="","",MAX(0.001,'KT THAN'!$D$32*ABS(I602)/MAX(1,H602)))</f>
        <v/>
      </c>
      <c r="S602" t="str">
        <f t="shared" si="91"/>
        <v/>
      </c>
    </row>
    <row r="603" spans="1:19" hidden="1" outlineLevel="1" x14ac:dyDescent="0.3">
      <c r="A603" s="37" t="str">
        <f>IF(OR(nThan=1,'TO HOP NLAN'!$A159=""),"",'TO HOP NLAN'!$A159)</f>
        <v/>
      </c>
      <c r="B603" s="38" t="str">
        <f>IF($A603="","",'TO HOP NLAN'!$D159)</f>
        <v/>
      </c>
      <c r="C603" s="38" t="str">
        <f>IF($A603="","",'TO HOP NLAN'!$E159)</f>
        <v/>
      </c>
      <c r="D603" s="38" t="str">
        <f>IF($A603="","",'TO HOP NLAN'!$F159)</f>
        <v/>
      </c>
      <c r="E603" s="38" t="str">
        <f>IF($A603="","",'TO HOP NLAN'!$B159)</f>
        <v/>
      </c>
      <c r="F603" s="38" t="str">
        <f>IF($A603="","",'TO HOP NLAN'!$C159)</f>
        <v/>
      </c>
      <c r="G603" s="38" t="str">
        <f t="shared" si="92"/>
        <v/>
      </c>
      <c r="H603" s="38" t="str">
        <f t="shared" si="90"/>
        <v/>
      </c>
      <c r="I603" s="38" t="str">
        <f t="shared" si="93"/>
        <v/>
      </c>
      <c r="J603" s="38" t="str">
        <f t="shared" si="94"/>
        <v/>
      </c>
      <c r="K603" s="38" t="str">
        <f t="shared" si="95"/>
        <v/>
      </c>
      <c r="L603" s="38" t="str">
        <f t="shared" si="96"/>
        <v/>
      </c>
      <c r="M603" s="38" t="str">
        <f>IF($A603="","",IF(H603=0,"",IF(Q603&lt;=0.000000001,MIN(0.8*0.75*'KT THAN'!$C$62,MAX('KT THAN'!$J$38:$J$58)),IFERROR(MIN(0.8*0.75*'KT THAN'!$C$62,INDEX('KT THAN'!$J$38:$J$58,MATCH(Q603,'KT THAN'!$L$38:$L$58,-1))+(INDEX('KT THAN'!$J$38:$J$58,MIN(21,MATCH(Q603,'KT THAN'!$L$38:$L$58,-1)+1))-INDEX('KT THAN'!$J$38:$J$58,MATCH(Q603,'KT THAN'!$L$38:$L$58,-1)))*(Q603-INDEX('KT THAN'!$L$38:$L$58,MATCH(Q603,'KT THAN'!$L$38:$L$58,-1)))/(INDEX('KT THAN'!$L$38:$L$58,MIN(21,MATCH(Q603,'KT THAN'!$L$38:$L$58,-1)+1))-INDEX('KT THAN'!$L$38:$L$58,MATCH(Q603,'KT THAN'!$L$38:$L$58,-1)))),MIN(0.8*0.75*'KT THAN'!$C$62,'KT THAN'!$C$68/Q603)))))</f>
        <v/>
      </c>
      <c r="N603" s="38" t="str">
        <f>IF($A603="","",IF(H603=0,"",IF(R603&lt;=0.000000001,MIN(0.8*0.75*'KT THAN'!$C$62,MAX('KT THAN'!$W$38:$W$58)),IFERROR(MIN(0.8*0.75*'KT THAN'!$C$62,INDEX('KT THAN'!$W$38:$W$58,MATCH(R603,'KT THAN'!$Y$38:$Y$58,-1))+(INDEX('KT THAN'!$W$38:$W$58,MIN(21,MATCH(R603,'KT THAN'!$Y$38:$Y$58,-1)+1))-INDEX('KT THAN'!$W$38:$W$58,MATCH(R603,'KT THAN'!$Y$38:$Y$58,-1)))*(R603-INDEX('KT THAN'!$Y$38:$Y$58,MATCH(R603,'KT THAN'!$Y$38:$Y$58,-1)))/(INDEX('KT THAN'!$Y$38:$Y$58,MIN(21,MATCH(R603,'KT THAN'!$Y$38:$Y$58,-1)+1))-INDEX('KT THAN'!$Y$38:$Y$58,MATCH(R603,'KT THAN'!$Y$38:$Y$58,-1)))),MIN(0.8*0.75*'KT THAN'!$C$62,'KT THAN'!$D$68/R603)))))</f>
        <v/>
      </c>
      <c r="O603" s="38" t="str">
        <f>IF($A603="","",IF(H603&lt;0,ABS(H603)/MAX('KT THAN'!$C$69,0.001)+'KT THAN'!$C$32*ABS(J603)/MAX('KT THAN'!$C$68,0.001)+'KT THAN'!$D$32*ABS(I603)/MAX('KT THAN'!$D$68,0.001),IF(OR(M603&lt;=0,N603&lt;=0),999,IF(H603&gt;=0.1*0.75*fc_*Agth*1000,H603/MAX(0.001,1/(1/M603+1/N603-1/(0.75*'KT THAN'!$C$62))),'KT THAN'!$C$32*ABS(J603)/MAX('KT THAN'!$C$68,0.001)+'KT THAN'!$D$32*ABS(I603)/MAX('KT THAN'!$D$68,0.001)))))</f>
        <v/>
      </c>
      <c r="P603" s="37" t="str">
        <f t="shared" si="97"/>
        <v/>
      </c>
      <c r="Q603" s="38" t="str">
        <f>IF($A603="","",MAX(0.001,'KT THAN'!$C$32*ABS(J603)/MAX(1,H603)))</f>
        <v/>
      </c>
      <c r="R603" s="38" t="str">
        <f>IF($A603="","",MAX(0.001,'KT THAN'!$D$32*ABS(I603)/MAX(1,H603)))</f>
        <v/>
      </c>
      <c r="S603" t="str">
        <f t="shared" si="91"/>
        <v/>
      </c>
    </row>
    <row r="604" spans="1:19" hidden="1" outlineLevel="1" x14ac:dyDescent="0.3">
      <c r="A604" s="37" t="str">
        <f>IF(OR(nThan=1,'TO HOP NLAN'!$A160=""),"",'TO HOP NLAN'!$A160)</f>
        <v/>
      </c>
      <c r="B604" s="38" t="str">
        <f>IF($A604="","",'TO HOP NLAN'!$D160)</f>
        <v/>
      </c>
      <c r="C604" s="38" t="str">
        <f>IF($A604="","",'TO HOP NLAN'!$E160)</f>
        <v/>
      </c>
      <c r="D604" s="38" t="str">
        <f>IF($A604="","",'TO HOP NLAN'!$F160)</f>
        <v/>
      </c>
      <c r="E604" s="38" t="str">
        <f>IF($A604="","",'TO HOP NLAN'!$B160)</f>
        <v/>
      </c>
      <c r="F604" s="38" t="str">
        <f>IF($A604="","",'TO HOP NLAN'!$C160)</f>
        <v/>
      </c>
      <c r="G604" s="38" t="str">
        <f t="shared" si="92"/>
        <v/>
      </c>
      <c r="H604" s="38" t="str">
        <f t="shared" si="90"/>
        <v/>
      </c>
      <c r="I604" s="38" t="str">
        <f t="shared" si="93"/>
        <v/>
      </c>
      <c r="J604" s="38" t="str">
        <f t="shared" si="94"/>
        <v/>
      </c>
      <c r="K604" s="38" t="str">
        <f t="shared" si="95"/>
        <v/>
      </c>
      <c r="L604" s="38" t="str">
        <f t="shared" si="96"/>
        <v/>
      </c>
      <c r="M604" s="38" t="str">
        <f>IF($A604="","",IF(H604=0,"",IF(Q604&lt;=0.000000001,MIN(0.8*0.75*'KT THAN'!$C$62,MAX('KT THAN'!$J$38:$J$58)),IFERROR(MIN(0.8*0.75*'KT THAN'!$C$62,INDEX('KT THAN'!$J$38:$J$58,MATCH(Q604,'KT THAN'!$L$38:$L$58,-1))+(INDEX('KT THAN'!$J$38:$J$58,MIN(21,MATCH(Q604,'KT THAN'!$L$38:$L$58,-1)+1))-INDEX('KT THAN'!$J$38:$J$58,MATCH(Q604,'KT THAN'!$L$38:$L$58,-1)))*(Q604-INDEX('KT THAN'!$L$38:$L$58,MATCH(Q604,'KT THAN'!$L$38:$L$58,-1)))/(INDEX('KT THAN'!$L$38:$L$58,MIN(21,MATCH(Q604,'KT THAN'!$L$38:$L$58,-1)+1))-INDEX('KT THAN'!$L$38:$L$58,MATCH(Q604,'KT THAN'!$L$38:$L$58,-1)))),MIN(0.8*0.75*'KT THAN'!$C$62,'KT THAN'!$C$68/Q604)))))</f>
        <v/>
      </c>
      <c r="N604" s="38" t="str">
        <f>IF($A604="","",IF(H604=0,"",IF(R604&lt;=0.000000001,MIN(0.8*0.75*'KT THAN'!$C$62,MAX('KT THAN'!$W$38:$W$58)),IFERROR(MIN(0.8*0.75*'KT THAN'!$C$62,INDEX('KT THAN'!$W$38:$W$58,MATCH(R604,'KT THAN'!$Y$38:$Y$58,-1))+(INDEX('KT THAN'!$W$38:$W$58,MIN(21,MATCH(R604,'KT THAN'!$Y$38:$Y$58,-1)+1))-INDEX('KT THAN'!$W$38:$W$58,MATCH(R604,'KT THAN'!$Y$38:$Y$58,-1)))*(R604-INDEX('KT THAN'!$Y$38:$Y$58,MATCH(R604,'KT THAN'!$Y$38:$Y$58,-1)))/(INDEX('KT THAN'!$Y$38:$Y$58,MIN(21,MATCH(R604,'KT THAN'!$Y$38:$Y$58,-1)+1))-INDEX('KT THAN'!$Y$38:$Y$58,MATCH(R604,'KT THAN'!$Y$38:$Y$58,-1)))),MIN(0.8*0.75*'KT THAN'!$C$62,'KT THAN'!$D$68/R604)))))</f>
        <v/>
      </c>
      <c r="O604" s="38" t="str">
        <f>IF($A604="","",IF(H604&lt;0,ABS(H604)/MAX('KT THAN'!$C$69,0.001)+'KT THAN'!$C$32*ABS(J604)/MAX('KT THAN'!$C$68,0.001)+'KT THAN'!$D$32*ABS(I604)/MAX('KT THAN'!$D$68,0.001),IF(OR(M604&lt;=0,N604&lt;=0),999,IF(H604&gt;=0.1*0.75*fc_*Agth*1000,H604/MAX(0.001,1/(1/M604+1/N604-1/(0.75*'KT THAN'!$C$62))),'KT THAN'!$C$32*ABS(J604)/MAX('KT THAN'!$C$68,0.001)+'KT THAN'!$D$32*ABS(I604)/MAX('KT THAN'!$D$68,0.001)))))</f>
        <v/>
      </c>
      <c r="P604" s="37" t="str">
        <f t="shared" si="97"/>
        <v/>
      </c>
      <c r="Q604" s="38" t="str">
        <f>IF($A604="","",MAX(0.001,'KT THAN'!$C$32*ABS(J604)/MAX(1,H604)))</f>
        <v/>
      </c>
      <c r="R604" s="38" t="str">
        <f>IF($A604="","",MAX(0.001,'KT THAN'!$D$32*ABS(I604)/MAX(1,H604)))</f>
        <v/>
      </c>
      <c r="S604" t="str">
        <f t="shared" si="91"/>
        <v/>
      </c>
    </row>
    <row r="605" spans="1:19" hidden="1" outlineLevel="1" x14ac:dyDescent="0.3">
      <c r="A605" s="37" t="str">
        <f>IF(OR(nThan=1,'TO HOP NLAN'!$A161=""),"",'TO HOP NLAN'!$A161)</f>
        <v/>
      </c>
      <c r="B605" s="38" t="str">
        <f>IF($A605="","",'TO HOP NLAN'!$D161)</f>
        <v/>
      </c>
      <c r="C605" s="38" t="str">
        <f>IF($A605="","",'TO HOP NLAN'!$E161)</f>
        <v/>
      </c>
      <c r="D605" s="38" t="str">
        <f>IF($A605="","",'TO HOP NLAN'!$F161)</f>
        <v/>
      </c>
      <c r="E605" s="38" t="str">
        <f>IF($A605="","",'TO HOP NLAN'!$B161)</f>
        <v/>
      </c>
      <c r="F605" s="38" t="str">
        <f>IF($A605="","",'TO HOP NLAN'!$C161)</f>
        <v/>
      </c>
      <c r="G605" s="38" t="str">
        <f t="shared" si="92"/>
        <v/>
      </c>
      <c r="H605" s="38" t="str">
        <f t="shared" si="90"/>
        <v/>
      </c>
      <c r="I605" s="38" t="str">
        <f t="shared" si="93"/>
        <v/>
      </c>
      <c r="J605" s="38" t="str">
        <f t="shared" si="94"/>
        <v/>
      </c>
      <c r="K605" s="38" t="str">
        <f t="shared" si="95"/>
        <v/>
      </c>
      <c r="L605" s="38" t="str">
        <f t="shared" si="96"/>
        <v/>
      </c>
      <c r="M605" s="38" t="str">
        <f>IF($A605="","",IF(H605=0,"",IF(Q605&lt;=0.000000001,MIN(0.8*0.75*'KT THAN'!$C$62,MAX('KT THAN'!$J$38:$J$58)),IFERROR(MIN(0.8*0.75*'KT THAN'!$C$62,INDEX('KT THAN'!$J$38:$J$58,MATCH(Q605,'KT THAN'!$L$38:$L$58,-1))+(INDEX('KT THAN'!$J$38:$J$58,MIN(21,MATCH(Q605,'KT THAN'!$L$38:$L$58,-1)+1))-INDEX('KT THAN'!$J$38:$J$58,MATCH(Q605,'KT THAN'!$L$38:$L$58,-1)))*(Q605-INDEX('KT THAN'!$L$38:$L$58,MATCH(Q605,'KT THAN'!$L$38:$L$58,-1)))/(INDEX('KT THAN'!$L$38:$L$58,MIN(21,MATCH(Q605,'KT THAN'!$L$38:$L$58,-1)+1))-INDEX('KT THAN'!$L$38:$L$58,MATCH(Q605,'KT THAN'!$L$38:$L$58,-1)))),MIN(0.8*0.75*'KT THAN'!$C$62,'KT THAN'!$C$68/Q605)))))</f>
        <v/>
      </c>
      <c r="N605" s="38" t="str">
        <f>IF($A605="","",IF(H605=0,"",IF(R605&lt;=0.000000001,MIN(0.8*0.75*'KT THAN'!$C$62,MAX('KT THAN'!$W$38:$W$58)),IFERROR(MIN(0.8*0.75*'KT THAN'!$C$62,INDEX('KT THAN'!$W$38:$W$58,MATCH(R605,'KT THAN'!$Y$38:$Y$58,-1))+(INDEX('KT THAN'!$W$38:$W$58,MIN(21,MATCH(R605,'KT THAN'!$Y$38:$Y$58,-1)+1))-INDEX('KT THAN'!$W$38:$W$58,MATCH(R605,'KT THAN'!$Y$38:$Y$58,-1)))*(R605-INDEX('KT THAN'!$Y$38:$Y$58,MATCH(R605,'KT THAN'!$Y$38:$Y$58,-1)))/(INDEX('KT THAN'!$Y$38:$Y$58,MIN(21,MATCH(R605,'KT THAN'!$Y$38:$Y$58,-1)+1))-INDEX('KT THAN'!$Y$38:$Y$58,MATCH(R605,'KT THAN'!$Y$38:$Y$58,-1)))),MIN(0.8*0.75*'KT THAN'!$C$62,'KT THAN'!$D$68/R605)))))</f>
        <v/>
      </c>
      <c r="O605" s="38" t="str">
        <f>IF($A605="","",IF(H605&lt;0,ABS(H605)/MAX('KT THAN'!$C$69,0.001)+'KT THAN'!$C$32*ABS(J605)/MAX('KT THAN'!$C$68,0.001)+'KT THAN'!$D$32*ABS(I605)/MAX('KT THAN'!$D$68,0.001),IF(OR(M605&lt;=0,N605&lt;=0),999,IF(H605&gt;=0.1*0.75*fc_*Agth*1000,H605/MAX(0.001,1/(1/M605+1/N605-1/(0.75*'KT THAN'!$C$62))),'KT THAN'!$C$32*ABS(J605)/MAX('KT THAN'!$C$68,0.001)+'KT THAN'!$D$32*ABS(I605)/MAX('KT THAN'!$D$68,0.001)))))</f>
        <v/>
      </c>
      <c r="P605" s="37" t="str">
        <f t="shared" si="97"/>
        <v/>
      </c>
      <c r="Q605" s="38" t="str">
        <f>IF($A605="","",MAX(0.001,'KT THAN'!$C$32*ABS(J605)/MAX(1,H605)))</f>
        <v/>
      </c>
      <c r="R605" s="38" t="str">
        <f>IF($A605="","",MAX(0.001,'KT THAN'!$D$32*ABS(I605)/MAX(1,H605)))</f>
        <v/>
      </c>
      <c r="S605" t="str">
        <f t="shared" si="91"/>
        <v/>
      </c>
    </row>
    <row r="606" spans="1:19" hidden="1" outlineLevel="1" x14ac:dyDescent="0.3">
      <c r="A606" s="37" t="str">
        <f>IF(OR(nThan=1,'TO HOP NLAN'!$A162=""),"",'TO HOP NLAN'!$A162)</f>
        <v/>
      </c>
      <c r="B606" s="38" t="str">
        <f>IF($A606="","",'TO HOP NLAN'!$D162)</f>
        <v/>
      </c>
      <c r="C606" s="38" t="str">
        <f>IF($A606="","",'TO HOP NLAN'!$E162)</f>
        <v/>
      </c>
      <c r="D606" s="38" t="str">
        <f>IF($A606="","",'TO HOP NLAN'!$F162)</f>
        <v/>
      </c>
      <c r="E606" s="38" t="str">
        <f>IF($A606="","",'TO HOP NLAN'!$B162)</f>
        <v/>
      </c>
      <c r="F606" s="38" t="str">
        <f>IF($A606="","",'TO HOP NLAN'!$C162)</f>
        <v/>
      </c>
      <c r="G606" s="38" t="str">
        <f t="shared" si="92"/>
        <v/>
      </c>
      <c r="H606" s="38" t="str">
        <f t="shared" si="90"/>
        <v/>
      </c>
      <c r="I606" s="38" t="str">
        <f t="shared" si="93"/>
        <v/>
      </c>
      <c r="J606" s="38" t="str">
        <f t="shared" si="94"/>
        <v/>
      </c>
      <c r="K606" s="38" t="str">
        <f t="shared" si="95"/>
        <v/>
      </c>
      <c r="L606" s="38" t="str">
        <f t="shared" si="96"/>
        <v/>
      </c>
      <c r="M606" s="38" t="str">
        <f>IF($A606="","",IF(H606=0,"",IF(Q606&lt;=0.000000001,MIN(0.8*0.75*'KT THAN'!$C$62,MAX('KT THAN'!$J$38:$J$58)),IFERROR(MIN(0.8*0.75*'KT THAN'!$C$62,INDEX('KT THAN'!$J$38:$J$58,MATCH(Q606,'KT THAN'!$L$38:$L$58,-1))+(INDEX('KT THAN'!$J$38:$J$58,MIN(21,MATCH(Q606,'KT THAN'!$L$38:$L$58,-1)+1))-INDEX('KT THAN'!$J$38:$J$58,MATCH(Q606,'KT THAN'!$L$38:$L$58,-1)))*(Q606-INDEX('KT THAN'!$L$38:$L$58,MATCH(Q606,'KT THAN'!$L$38:$L$58,-1)))/(INDEX('KT THAN'!$L$38:$L$58,MIN(21,MATCH(Q606,'KT THAN'!$L$38:$L$58,-1)+1))-INDEX('KT THAN'!$L$38:$L$58,MATCH(Q606,'KT THAN'!$L$38:$L$58,-1)))),MIN(0.8*0.75*'KT THAN'!$C$62,'KT THAN'!$C$68/Q606)))))</f>
        <v/>
      </c>
      <c r="N606" s="38" t="str">
        <f>IF($A606="","",IF(H606=0,"",IF(R606&lt;=0.000000001,MIN(0.8*0.75*'KT THAN'!$C$62,MAX('KT THAN'!$W$38:$W$58)),IFERROR(MIN(0.8*0.75*'KT THAN'!$C$62,INDEX('KT THAN'!$W$38:$W$58,MATCH(R606,'KT THAN'!$Y$38:$Y$58,-1))+(INDEX('KT THAN'!$W$38:$W$58,MIN(21,MATCH(R606,'KT THAN'!$Y$38:$Y$58,-1)+1))-INDEX('KT THAN'!$W$38:$W$58,MATCH(R606,'KT THAN'!$Y$38:$Y$58,-1)))*(R606-INDEX('KT THAN'!$Y$38:$Y$58,MATCH(R606,'KT THAN'!$Y$38:$Y$58,-1)))/(INDEX('KT THAN'!$Y$38:$Y$58,MIN(21,MATCH(R606,'KT THAN'!$Y$38:$Y$58,-1)+1))-INDEX('KT THAN'!$Y$38:$Y$58,MATCH(R606,'KT THAN'!$Y$38:$Y$58,-1)))),MIN(0.8*0.75*'KT THAN'!$C$62,'KT THAN'!$D$68/R606)))))</f>
        <v/>
      </c>
      <c r="O606" s="38" t="str">
        <f>IF($A606="","",IF(H606&lt;0,ABS(H606)/MAX('KT THAN'!$C$69,0.001)+'KT THAN'!$C$32*ABS(J606)/MAX('KT THAN'!$C$68,0.001)+'KT THAN'!$D$32*ABS(I606)/MAX('KT THAN'!$D$68,0.001),IF(OR(M606&lt;=0,N606&lt;=0),999,IF(H606&gt;=0.1*0.75*fc_*Agth*1000,H606/MAX(0.001,1/(1/M606+1/N606-1/(0.75*'KT THAN'!$C$62))),'KT THAN'!$C$32*ABS(J606)/MAX('KT THAN'!$C$68,0.001)+'KT THAN'!$D$32*ABS(I606)/MAX('KT THAN'!$D$68,0.001)))))</f>
        <v/>
      </c>
      <c r="P606" s="37" t="str">
        <f t="shared" si="97"/>
        <v/>
      </c>
      <c r="Q606" s="38" t="str">
        <f>IF($A606="","",MAX(0.001,'KT THAN'!$C$32*ABS(J606)/MAX(1,H606)))</f>
        <v/>
      </c>
      <c r="R606" s="38" t="str">
        <f>IF($A606="","",MAX(0.001,'KT THAN'!$D$32*ABS(I606)/MAX(1,H606)))</f>
        <v/>
      </c>
      <c r="S606" t="str">
        <f t="shared" si="91"/>
        <v/>
      </c>
    </row>
    <row r="607" spans="1:19" hidden="1" outlineLevel="1" x14ac:dyDescent="0.3">
      <c r="A607" s="37" t="str">
        <f>IF(OR(nThan=1,'TO HOP NLAN'!$A163=""),"",'TO HOP NLAN'!$A163)</f>
        <v/>
      </c>
      <c r="B607" s="38" t="str">
        <f>IF($A607="","",'TO HOP NLAN'!$D163)</f>
        <v/>
      </c>
      <c r="C607" s="38" t="str">
        <f>IF($A607="","",'TO HOP NLAN'!$E163)</f>
        <v/>
      </c>
      <c r="D607" s="38" t="str">
        <f>IF($A607="","",'TO HOP NLAN'!$F163)</f>
        <v/>
      </c>
      <c r="E607" s="38" t="str">
        <f>IF($A607="","",'TO HOP NLAN'!$B163)</f>
        <v/>
      </c>
      <c r="F607" s="38" t="str">
        <f>IF($A607="","",'TO HOP NLAN'!$C163)</f>
        <v/>
      </c>
      <c r="G607" s="38" t="str">
        <f t="shared" si="92"/>
        <v/>
      </c>
      <c r="H607" s="38" t="str">
        <f t="shared" si="90"/>
        <v/>
      </c>
      <c r="I607" s="38" t="str">
        <f t="shared" si="93"/>
        <v/>
      </c>
      <c r="J607" s="38" t="str">
        <f t="shared" si="94"/>
        <v/>
      </c>
      <c r="K607" s="38" t="str">
        <f t="shared" si="95"/>
        <v/>
      </c>
      <c r="L607" s="38" t="str">
        <f t="shared" si="96"/>
        <v/>
      </c>
      <c r="M607" s="38" t="str">
        <f>IF($A607="","",IF(H607=0,"",IF(Q607&lt;=0.000000001,MIN(0.8*0.75*'KT THAN'!$C$62,MAX('KT THAN'!$J$38:$J$58)),IFERROR(MIN(0.8*0.75*'KT THAN'!$C$62,INDEX('KT THAN'!$J$38:$J$58,MATCH(Q607,'KT THAN'!$L$38:$L$58,-1))+(INDEX('KT THAN'!$J$38:$J$58,MIN(21,MATCH(Q607,'KT THAN'!$L$38:$L$58,-1)+1))-INDEX('KT THAN'!$J$38:$J$58,MATCH(Q607,'KT THAN'!$L$38:$L$58,-1)))*(Q607-INDEX('KT THAN'!$L$38:$L$58,MATCH(Q607,'KT THAN'!$L$38:$L$58,-1)))/(INDEX('KT THAN'!$L$38:$L$58,MIN(21,MATCH(Q607,'KT THAN'!$L$38:$L$58,-1)+1))-INDEX('KT THAN'!$L$38:$L$58,MATCH(Q607,'KT THAN'!$L$38:$L$58,-1)))),MIN(0.8*0.75*'KT THAN'!$C$62,'KT THAN'!$C$68/Q607)))))</f>
        <v/>
      </c>
      <c r="N607" s="38" t="str">
        <f>IF($A607="","",IF(H607=0,"",IF(R607&lt;=0.000000001,MIN(0.8*0.75*'KT THAN'!$C$62,MAX('KT THAN'!$W$38:$W$58)),IFERROR(MIN(0.8*0.75*'KT THAN'!$C$62,INDEX('KT THAN'!$W$38:$W$58,MATCH(R607,'KT THAN'!$Y$38:$Y$58,-1))+(INDEX('KT THAN'!$W$38:$W$58,MIN(21,MATCH(R607,'KT THAN'!$Y$38:$Y$58,-1)+1))-INDEX('KT THAN'!$W$38:$W$58,MATCH(R607,'KT THAN'!$Y$38:$Y$58,-1)))*(R607-INDEX('KT THAN'!$Y$38:$Y$58,MATCH(R607,'KT THAN'!$Y$38:$Y$58,-1)))/(INDEX('KT THAN'!$Y$38:$Y$58,MIN(21,MATCH(R607,'KT THAN'!$Y$38:$Y$58,-1)+1))-INDEX('KT THAN'!$Y$38:$Y$58,MATCH(R607,'KT THAN'!$Y$38:$Y$58,-1)))),MIN(0.8*0.75*'KT THAN'!$C$62,'KT THAN'!$D$68/R607)))))</f>
        <v/>
      </c>
      <c r="O607" s="38" t="str">
        <f>IF($A607="","",IF(H607&lt;0,ABS(H607)/MAX('KT THAN'!$C$69,0.001)+'KT THAN'!$C$32*ABS(J607)/MAX('KT THAN'!$C$68,0.001)+'KT THAN'!$D$32*ABS(I607)/MAX('KT THAN'!$D$68,0.001),IF(OR(M607&lt;=0,N607&lt;=0),999,IF(H607&gt;=0.1*0.75*fc_*Agth*1000,H607/MAX(0.001,1/(1/M607+1/N607-1/(0.75*'KT THAN'!$C$62))),'KT THAN'!$C$32*ABS(J607)/MAX('KT THAN'!$C$68,0.001)+'KT THAN'!$D$32*ABS(I607)/MAX('KT THAN'!$D$68,0.001)))))</f>
        <v/>
      </c>
      <c r="P607" s="37" t="str">
        <f t="shared" si="97"/>
        <v/>
      </c>
      <c r="Q607" s="38" t="str">
        <f>IF($A607="","",MAX(0.001,'KT THAN'!$C$32*ABS(J607)/MAX(1,H607)))</f>
        <v/>
      </c>
      <c r="R607" s="38" t="str">
        <f>IF($A607="","",MAX(0.001,'KT THAN'!$D$32*ABS(I607)/MAX(1,H607)))</f>
        <v/>
      </c>
      <c r="S607" t="str">
        <f t="shared" si="91"/>
        <v/>
      </c>
    </row>
    <row r="608" spans="1:19" hidden="1" outlineLevel="1" x14ac:dyDescent="0.3">
      <c r="A608" s="37" t="str">
        <f>IF(OR(nThan=1,'TO HOP NLAN'!$A164=""),"",'TO HOP NLAN'!$A164)</f>
        <v/>
      </c>
      <c r="B608" s="38" t="str">
        <f>IF($A608="","",'TO HOP NLAN'!$D164)</f>
        <v/>
      </c>
      <c r="C608" s="38" t="str">
        <f>IF($A608="","",'TO HOP NLAN'!$E164)</f>
        <v/>
      </c>
      <c r="D608" s="38" t="str">
        <f>IF($A608="","",'TO HOP NLAN'!$F164)</f>
        <v/>
      </c>
      <c r="E608" s="38" t="str">
        <f>IF($A608="","",'TO HOP NLAN'!$B164)</f>
        <v/>
      </c>
      <c r="F608" s="38" t="str">
        <f>IF($A608="","",'TO HOP NLAN'!$C164)</f>
        <v/>
      </c>
      <c r="G608" s="38" t="str">
        <f t="shared" si="92"/>
        <v/>
      </c>
      <c r="H608" s="38" t="str">
        <f t="shared" si="90"/>
        <v/>
      </c>
      <c r="I608" s="38" t="str">
        <f t="shared" si="93"/>
        <v/>
      </c>
      <c r="J608" s="38" t="str">
        <f t="shared" si="94"/>
        <v/>
      </c>
      <c r="K608" s="38" t="str">
        <f t="shared" si="95"/>
        <v/>
      </c>
      <c r="L608" s="38" t="str">
        <f t="shared" si="96"/>
        <v/>
      </c>
      <c r="M608" s="38" t="str">
        <f>IF($A608="","",IF(H608=0,"",IF(Q608&lt;=0.000000001,MIN(0.8*0.75*'KT THAN'!$C$62,MAX('KT THAN'!$J$38:$J$58)),IFERROR(MIN(0.8*0.75*'KT THAN'!$C$62,INDEX('KT THAN'!$J$38:$J$58,MATCH(Q608,'KT THAN'!$L$38:$L$58,-1))+(INDEX('KT THAN'!$J$38:$J$58,MIN(21,MATCH(Q608,'KT THAN'!$L$38:$L$58,-1)+1))-INDEX('KT THAN'!$J$38:$J$58,MATCH(Q608,'KT THAN'!$L$38:$L$58,-1)))*(Q608-INDEX('KT THAN'!$L$38:$L$58,MATCH(Q608,'KT THAN'!$L$38:$L$58,-1)))/(INDEX('KT THAN'!$L$38:$L$58,MIN(21,MATCH(Q608,'KT THAN'!$L$38:$L$58,-1)+1))-INDEX('KT THAN'!$L$38:$L$58,MATCH(Q608,'KT THAN'!$L$38:$L$58,-1)))),MIN(0.8*0.75*'KT THAN'!$C$62,'KT THAN'!$C$68/Q608)))))</f>
        <v/>
      </c>
      <c r="N608" s="38" t="str">
        <f>IF($A608="","",IF(H608=0,"",IF(R608&lt;=0.000000001,MIN(0.8*0.75*'KT THAN'!$C$62,MAX('KT THAN'!$W$38:$W$58)),IFERROR(MIN(0.8*0.75*'KT THAN'!$C$62,INDEX('KT THAN'!$W$38:$W$58,MATCH(R608,'KT THAN'!$Y$38:$Y$58,-1))+(INDEX('KT THAN'!$W$38:$W$58,MIN(21,MATCH(R608,'KT THAN'!$Y$38:$Y$58,-1)+1))-INDEX('KT THAN'!$W$38:$W$58,MATCH(R608,'KT THAN'!$Y$38:$Y$58,-1)))*(R608-INDEX('KT THAN'!$Y$38:$Y$58,MATCH(R608,'KT THAN'!$Y$38:$Y$58,-1)))/(INDEX('KT THAN'!$Y$38:$Y$58,MIN(21,MATCH(R608,'KT THAN'!$Y$38:$Y$58,-1)+1))-INDEX('KT THAN'!$Y$38:$Y$58,MATCH(R608,'KT THAN'!$Y$38:$Y$58,-1)))),MIN(0.8*0.75*'KT THAN'!$C$62,'KT THAN'!$D$68/R608)))))</f>
        <v/>
      </c>
      <c r="O608" s="38" t="str">
        <f>IF($A608="","",IF(H608&lt;0,ABS(H608)/MAX('KT THAN'!$C$69,0.001)+'KT THAN'!$C$32*ABS(J608)/MAX('KT THAN'!$C$68,0.001)+'KT THAN'!$D$32*ABS(I608)/MAX('KT THAN'!$D$68,0.001),IF(OR(M608&lt;=0,N608&lt;=0),999,IF(H608&gt;=0.1*0.75*fc_*Agth*1000,H608/MAX(0.001,1/(1/M608+1/N608-1/(0.75*'KT THAN'!$C$62))),'KT THAN'!$C$32*ABS(J608)/MAX('KT THAN'!$C$68,0.001)+'KT THAN'!$D$32*ABS(I608)/MAX('KT THAN'!$D$68,0.001)))))</f>
        <v/>
      </c>
      <c r="P608" s="37" t="str">
        <f t="shared" si="97"/>
        <v/>
      </c>
      <c r="Q608" s="38" t="str">
        <f>IF($A608="","",MAX(0.001,'KT THAN'!$C$32*ABS(J608)/MAX(1,H608)))</f>
        <v/>
      </c>
      <c r="R608" s="38" t="str">
        <f>IF($A608="","",MAX(0.001,'KT THAN'!$D$32*ABS(I608)/MAX(1,H608)))</f>
        <v/>
      </c>
      <c r="S608" t="str">
        <f t="shared" si="91"/>
        <v/>
      </c>
    </row>
    <row r="609" spans="1:19" hidden="1" outlineLevel="1" x14ac:dyDescent="0.3">
      <c r="A609" s="37" t="str">
        <f>IF(OR(nThan=1,'TO HOP NLAN'!$A165=""),"",'TO HOP NLAN'!$A165)</f>
        <v/>
      </c>
      <c r="B609" s="38" t="str">
        <f>IF($A609="","",'TO HOP NLAN'!$D165)</f>
        <v/>
      </c>
      <c r="C609" s="38" t="str">
        <f>IF($A609="","",'TO HOP NLAN'!$E165)</f>
        <v/>
      </c>
      <c r="D609" s="38" t="str">
        <f>IF($A609="","",'TO HOP NLAN'!$F165)</f>
        <v/>
      </c>
      <c r="E609" s="38" t="str">
        <f>IF($A609="","",'TO HOP NLAN'!$B165)</f>
        <v/>
      </c>
      <c r="F609" s="38" t="str">
        <f>IF($A609="","",'TO HOP NLAN'!$C165)</f>
        <v/>
      </c>
      <c r="G609" s="38" t="str">
        <f t="shared" si="92"/>
        <v/>
      </c>
      <c r="H609" s="38" t="str">
        <f t="shared" si="90"/>
        <v/>
      </c>
      <c r="I609" s="38" t="str">
        <f t="shared" si="93"/>
        <v/>
      </c>
      <c r="J609" s="38" t="str">
        <f t="shared" si="94"/>
        <v/>
      </c>
      <c r="K609" s="38" t="str">
        <f t="shared" si="95"/>
        <v/>
      </c>
      <c r="L609" s="38" t="str">
        <f t="shared" si="96"/>
        <v/>
      </c>
      <c r="M609" s="38" t="str">
        <f>IF($A609="","",IF(H609=0,"",IF(Q609&lt;=0.000000001,MIN(0.8*0.75*'KT THAN'!$C$62,MAX('KT THAN'!$J$38:$J$58)),IFERROR(MIN(0.8*0.75*'KT THAN'!$C$62,INDEX('KT THAN'!$J$38:$J$58,MATCH(Q609,'KT THAN'!$L$38:$L$58,-1))+(INDEX('KT THAN'!$J$38:$J$58,MIN(21,MATCH(Q609,'KT THAN'!$L$38:$L$58,-1)+1))-INDEX('KT THAN'!$J$38:$J$58,MATCH(Q609,'KT THAN'!$L$38:$L$58,-1)))*(Q609-INDEX('KT THAN'!$L$38:$L$58,MATCH(Q609,'KT THAN'!$L$38:$L$58,-1)))/(INDEX('KT THAN'!$L$38:$L$58,MIN(21,MATCH(Q609,'KT THAN'!$L$38:$L$58,-1)+1))-INDEX('KT THAN'!$L$38:$L$58,MATCH(Q609,'KT THAN'!$L$38:$L$58,-1)))),MIN(0.8*0.75*'KT THAN'!$C$62,'KT THAN'!$C$68/Q609)))))</f>
        <v/>
      </c>
      <c r="N609" s="38" t="str">
        <f>IF($A609="","",IF(H609=0,"",IF(R609&lt;=0.000000001,MIN(0.8*0.75*'KT THAN'!$C$62,MAX('KT THAN'!$W$38:$W$58)),IFERROR(MIN(0.8*0.75*'KT THAN'!$C$62,INDEX('KT THAN'!$W$38:$W$58,MATCH(R609,'KT THAN'!$Y$38:$Y$58,-1))+(INDEX('KT THAN'!$W$38:$W$58,MIN(21,MATCH(R609,'KT THAN'!$Y$38:$Y$58,-1)+1))-INDEX('KT THAN'!$W$38:$W$58,MATCH(R609,'KT THAN'!$Y$38:$Y$58,-1)))*(R609-INDEX('KT THAN'!$Y$38:$Y$58,MATCH(R609,'KT THAN'!$Y$38:$Y$58,-1)))/(INDEX('KT THAN'!$Y$38:$Y$58,MIN(21,MATCH(R609,'KT THAN'!$Y$38:$Y$58,-1)+1))-INDEX('KT THAN'!$Y$38:$Y$58,MATCH(R609,'KT THAN'!$Y$38:$Y$58,-1)))),MIN(0.8*0.75*'KT THAN'!$C$62,'KT THAN'!$D$68/R609)))))</f>
        <v/>
      </c>
      <c r="O609" s="38" t="str">
        <f>IF($A609="","",IF(H609&lt;0,ABS(H609)/MAX('KT THAN'!$C$69,0.001)+'KT THAN'!$C$32*ABS(J609)/MAX('KT THAN'!$C$68,0.001)+'KT THAN'!$D$32*ABS(I609)/MAX('KT THAN'!$D$68,0.001),IF(OR(M609&lt;=0,N609&lt;=0),999,IF(H609&gt;=0.1*0.75*fc_*Agth*1000,H609/MAX(0.001,1/(1/M609+1/N609-1/(0.75*'KT THAN'!$C$62))),'KT THAN'!$C$32*ABS(J609)/MAX('KT THAN'!$C$68,0.001)+'KT THAN'!$D$32*ABS(I609)/MAX('KT THAN'!$D$68,0.001)))))</f>
        <v/>
      </c>
      <c r="P609" s="37" t="str">
        <f t="shared" si="97"/>
        <v/>
      </c>
      <c r="Q609" s="38" t="str">
        <f>IF($A609="","",MAX(0.001,'KT THAN'!$C$32*ABS(J609)/MAX(1,H609)))</f>
        <v/>
      </c>
      <c r="R609" s="38" t="str">
        <f>IF($A609="","",MAX(0.001,'KT THAN'!$D$32*ABS(I609)/MAX(1,H609)))</f>
        <v/>
      </c>
      <c r="S609" t="str">
        <f t="shared" si="91"/>
        <v/>
      </c>
    </row>
    <row r="610" spans="1:19" hidden="1" outlineLevel="1" x14ac:dyDescent="0.3">
      <c r="A610" s="37" t="str">
        <f>IF(OR(nThan=1,'TO HOP NLAN'!$A166=""),"",'TO HOP NLAN'!$A166)</f>
        <v/>
      </c>
      <c r="B610" s="38" t="str">
        <f>IF($A610="","",'TO HOP NLAN'!$D166)</f>
        <v/>
      </c>
      <c r="C610" s="38" t="str">
        <f>IF($A610="","",'TO HOP NLAN'!$E166)</f>
        <v/>
      </c>
      <c r="D610" s="38" t="str">
        <f>IF($A610="","",'TO HOP NLAN'!$F166)</f>
        <v/>
      </c>
      <c r="E610" s="38" t="str">
        <f>IF($A610="","",'TO HOP NLAN'!$B166)</f>
        <v/>
      </c>
      <c r="F610" s="38" t="str">
        <f>IF($A610="","",'TO HOP NLAN'!$C166)</f>
        <v/>
      </c>
      <c r="G610" s="38" t="str">
        <f t="shared" si="92"/>
        <v/>
      </c>
      <c r="H610" s="38" t="str">
        <f t="shared" si="90"/>
        <v/>
      </c>
      <c r="I610" s="38" t="str">
        <f t="shared" si="93"/>
        <v/>
      </c>
      <c r="J610" s="38" t="str">
        <f t="shared" si="94"/>
        <v/>
      </c>
      <c r="K610" s="38" t="str">
        <f t="shared" si="95"/>
        <v/>
      </c>
      <c r="L610" s="38" t="str">
        <f t="shared" si="96"/>
        <v/>
      </c>
      <c r="M610" s="38" t="str">
        <f>IF($A610="","",IF(H610=0,"",IF(Q610&lt;=0.000000001,MIN(0.8*0.75*'KT THAN'!$C$62,MAX('KT THAN'!$J$38:$J$58)),IFERROR(MIN(0.8*0.75*'KT THAN'!$C$62,INDEX('KT THAN'!$J$38:$J$58,MATCH(Q610,'KT THAN'!$L$38:$L$58,-1))+(INDEX('KT THAN'!$J$38:$J$58,MIN(21,MATCH(Q610,'KT THAN'!$L$38:$L$58,-1)+1))-INDEX('KT THAN'!$J$38:$J$58,MATCH(Q610,'KT THAN'!$L$38:$L$58,-1)))*(Q610-INDEX('KT THAN'!$L$38:$L$58,MATCH(Q610,'KT THAN'!$L$38:$L$58,-1)))/(INDEX('KT THAN'!$L$38:$L$58,MIN(21,MATCH(Q610,'KT THAN'!$L$38:$L$58,-1)+1))-INDEX('KT THAN'!$L$38:$L$58,MATCH(Q610,'KT THAN'!$L$38:$L$58,-1)))),MIN(0.8*0.75*'KT THAN'!$C$62,'KT THAN'!$C$68/Q610)))))</f>
        <v/>
      </c>
      <c r="N610" s="38" t="str">
        <f>IF($A610="","",IF(H610=0,"",IF(R610&lt;=0.000000001,MIN(0.8*0.75*'KT THAN'!$C$62,MAX('KT THAN'!$W$38:$W$58)),IFERROR(MIN(0.8*0.75*'KT THAN'!$C$62,INDEX('KT THAN'!$W$38:$W$58,MATCH(R610,'KT THAN'!$Y$38:$Y$58,-1))+(INDEX('KT THAN'!$W$38:$W$58,MIN(21,MATCH(R610,'KT THAN'!$Y$38:$Y$58,-1)+1))-INDEX('KT THAN'!$W$38:$W$58,MATCH(R610,'KT THAN'!$Y$38:$Y$58,-1)))*(R610-INDEX('KT THAN'!$Y$38:$Y$58,MATCH(R610,'KT THAN'!$Y$38:$Y$58,-1)))/(INDEX('KT THAN'!$Y$38:$Y$58,MIN(21,MATCH(R610,'KT THAN'!$Y$38:$Y$58,-1)+1))-INDEX('KT THAN'!$Y$38:$Y$58,MATCH(R610,'KT THAN'!$Y$38:$Y$58,-1)))),MIN(0.8*0.75*'KT THAN'!$C$62,'KT THAN'!$D$68/R610)))))</f>
        <v/>
      </c>
      <c r="O610" s="38" t="str">
        <f>IF($A610="","",IF(H610&lt;0,ABS(H610)/MAX('KT THAN'!$C$69,0.001)+'KT THAN'!$C$32*ABS(J610)/MAX('KT THAN'!$C$68,0.001)+'KT THAN'!$D$32*ABS(I610)/MAX('KT THAN'!$D$68,0.001),IF(OR(M610&lt;=0,N610&lt;=0),999,IF(H610&gt;=0.1*0.75*fc_*Agth*1000,H610/MAX(0.001,1/(1/M610+1/N610-1/(0.75*'KT THAN'!$C$62))),'KT THAN'!$C$32*ABS(J610)/MAX('KT THAN'!$C$68,0.001)+'KT THAN'!$D$32*ABS(I610)/MAX('KT THAN'!$D$68,0.001)))))</f>
        <v/>
      </c>
      <c r="P610" s="37" t="str">
        <f t="shared" si="97"/>
        <v/>
      </c>
      <c r="Q610" s="38" t="str">
        <f>IF($A610="","",MAX(0.001,'KT THAN'!$C$32*ABS(J610)/MAX(1,H610)))</f>
        <v/>
      </c>
      <c r="R610" s="38" t="str">
        <f>IF($A610="","",MAX(0.001,'KT THAN'!$D$32*ABS(I610)/MAX(1,H610)))</f>
        <v/>
      </c>
      <c r="S610" t="str">
        <f t="shared" si="91"/>
        <v/>
      </c>
    </row>
    <row r="611" spans="1:19" hidden="1" outlineLevel="1" x14ac:dyDescent="0.3">
      <c r="A611" s="37" t="str">
        <f>IF(OR(nThan=1,'TO HOP NLAN'!$A167=""),"",'TO HOP NLAN'!$A167)</f>
        <v/>
      </c>
      <c r="B611" s="38" t="str">
        <f>IF($A611="","",'TO HOP NLAN'!$D167)</f>
        <v/>
      </c>
      <c r="C611" s="38" t="str">
        <f>IF($A611="","",'TO HOP NLAN'!$E167)</f>
        <v/>
      </c>
      <c r="D611" s="38" t="str">
        <f>IF($A611="","",'TO HOP NLAN'!$F167)</f>
        <v/>
      </c>
      <c r="E611" s="38" t="str">
        <f>IF($A611="","",'TO HOP NLAN'!$B167)</f>
        <v/>
      </c>
      <c r="F611" s="38" t="str">
        <f>IF($A611="","",'TO HOP NLAN'!$C167)</f>
        <v/>
      </c>
      <c r="G611" s="38" t="str">
        <f t="shared" si="92"/>
        <v/>
      </c>
      <c r="H611" s="38" t="str">
        <f t="shared" si="90"/>
        <v/>
      </c>
      <c r="I611" s="38" t="str">
        <f t="shared" si="93"/>
        <v/>
      </c>
      <c r="J611" s="38" t="str">
        <f t="shared" si="94"/>
        <v/>
      </c>
      <c r="K611" s="38" t="str">
        <f t="shared" si="95"/>
        <v/>
      </c>
      <c r="L611" s="38" t="str">
        <f t="shared" si="96"/>
        <v/>
      </c>
      <c r="M611" s="38" t="str">
        <f>IF($A611="","",IF(H611=0,"",IF(Q611&lt;=0.000000001,MIN(0.8*0.75*'KT THAN'!$C$62,MAX('KT THAN'!$J$38:$J$58)),IFERROR(MIN(0.8*0.75*'KT THAN'!$C$62,INDEX('KT THAN'!$J$38:$J$58,MATCH(Q611,'KT THAN'!$L$38:$L$58,-1))+(INDEX('KT THAN'!$J$38:$J$58,MIN(21,MATCH(Q611,'KT THAN'!$L$38:$L$58,-1)+1))-INDEX('KT THAN'!$J$38:$J$58,MATCH(Q611,'KT THAN'!$L$38:$L$58,-1)))*(Q611-INDEX('KT THAN'!$L$38:$L$58,MATCH(Q611,'KT THAN'!$L$38:$L$58,-1)))/(INDEX('KT THAN'!$L$38:$L$58,MIN(21,MATCH(Q611,'KT THAN'!$L$38:$L$58,-1)+1))-INDEX('KT THAN'!$L$38:$L$58,MATCH(Q611,'KT THAN'!$L$38:$L$58,-1)))),MIN(0.8*0.75*'KT THAN'!$C$62,'KT THAN'!$C$68/Q611)))))</f>
        <v/>
      </c>
      <c r="N611" s="38" t="str">
        <f>IF($A611="","",IF(H611=0,"",IF(R611&lt;=0.000000001,MIN(0.8*0.75*'KT THAN'!$C$62,MAX('KT THAN'!$W$38:$W$58)),IFERROR(MIN(0.8*0.75*'KT THAN'!$C$62,INDEX('KT THAN'!$W$38:$W$58,MATCH(R611,'KT THAN'!$Y$38:$Y$58,-1))+(INDEX('KT THAN'!$W$38:$W$58,MIN(21,MATCH(R611,'KT THAN'!$Y$38:$Y$58,-1)+1))-INDEX('KT THAN'!$W$38:$W$58,MATCH(R611,'KT THAN'!$Y$38:$Y$58,-1)))*(R611-INDEX('KT THAN'!$Y$38:$Y$58,MATCH(R611,'KT THAN'!$Y$38:$Y$58,-1)))/(INDEX('KT THAN'!$Y$38:$Y$58,MIN(21,MATCH(R611,'KT THAN'!$Y$38:$Y$58,-1)+1))-INDEX('KT THAN'!$Y$38:$Y$58,MATCH(R611,'KT THAN'!$Y$38:$Y$58,-1)))),MIN(0.8*0.75*'KT THAN'!$C$62,'KT THAN'!$D$68/R611)))))</f>
        <v/>
      </c>
      <c r="O611" s="38" t="str">
        <f>IF($A611="","",IF(H611&lt;0,ABS(H611)/MAX('KT THAN'!$C$69,0.001)+'KT THAN'!$C$32*ABS(J611)/MAX('KT THAN'!$C$68,0.001)+'KT THAN'!$D$32*ABS(I611)/MAX('KT THAN'!$D$68,0.001),IF(OR(M611&lt;=0,N611&lt;=0),999,IF(H611&gt;=0.1*0.75*fc_*Agth*1000,H611/MAX(0.001,1/(1/M611+1/N611-1/(0.75*'KT THAN'!$C$62))),'KT THAN'!$C$32*ABS(J611)/MAX('KT THAN'!$C$68,0.001)+'KT THAN'!$D$32*ABS(I611)/MAX('KT THAN'!$D$68,0.001)))))</f>
        <v/>
      </c>
      <c r="P611" s="37" t="str">
        <f t="shared" si="97"/>
        <v/>
      </c>
      <c r="Q611" s="38" t="str">
        <f>IF($A611="","",MAX(0.001,'KT THAN'!$C$32*ABS(J611)/MAX(1,H611)))</f>
        <v/>
      </c>
      <c r="R611" s="38" t="str">
        <f>IF($A611="","",MAX(0.001,'KT THAN'!$D$32*ABS(I611)/MAX(1,H611)))</f>
        <v/>
      </c>
      <c r="S611" t="str">
        <f t="shared" si="91"/>
        <v/>
      </c>
    </row>
    <row r="612" spans="1:19" hidden="1" outlineLevel="1" x14ac:dyDescent="0.3">
      <c r="A612" s="37" t="str">
        <f>IF(OR(nThan=1,'TO HOP NLAN'!$A168=""),"",'TO HOP NLAN'!$A168)</f>
        <v/>
      </c>
      <c r="B612" s="38" t="str">
        <f>IF($A612="","",'TO HOP NLAN'!$D168)</f>
        <v/>
      </c>
      <c r="C612" s="38" t="str">
        <f>IF($A612="","",'TO HOP NLAN'!$E168)</f>
        <v/>
      </c>
      <c r="D612" s="38" t="str">
        <f>IF($A612="","",'TO HOP NLAN'!$F168)</f>
        <v/>
      </c>
      <c r="E612" s="38" t="str">
        <f>IF($A612="","",'TO HOP NLAN'!$B168)</f>
        <v/>
      </c>
      <c r="F612" s="38" t="str">
        <f>IF($A612="","",'TO HOP NLAN'!$C168)</f>
        <v/>
      </c>
      <c r="G612" s="38" t="str">
        <f t="shared" si="92"/>
        <v/>
      </c>
      <c r="H612" s="38" t="str">
        <f t="shared" si="90"/>
        <v/>
      </c>
      <c r="I612" s="38" t="str">
        <f t="shared" si="93"/>
        <v/>
      </c>
      <c r="J612" s="38" t="str">
        <f t="shared" si="94"/>
        <v/>
      </c>
      <c r="K612" s="38" t="str">
        <f t="shared" si="95"/>
        <v/>
      </c>
      <c r="L612" s="38" t="str">
        <f t="shared" si="96"/>
        <v/>
      </c>
      <c r="M612" s="38" t="str">
        <f>IF($A612="","",IF(H612=0,"",IF(Q612&lt;=0.000000001,MIN(0.8*0.75*'KT THAN'!$C$62,MAX('KT THAN'!$J$38:$J$58)),IFERROR(MIN(0.8*0.75*'KT THAN'!$C$62,INDEX('KT THAN'!$J$38:$J$58,MATCH(Q612,'KT THAN'!$L$38:$L$58,-1))+(INDEX('KT THAN'!$J$38:$J$58,MIN(21,MATCH(Q612,'KT THAN'!$L$38:$L$58,-1)+1))-INDEX('KT THAN'!$J$38:$J$58,MATCH(Q612,'KT THAN'!$L$38:$L$58,-1)))*(Q612-INDEX('KT THAN'!$L$38:$L$58,MATCH(Q612,'KT THAN'!$L$38:$L$58,-1)))/(INDEX('KT THAN'!$L$38:$L$58,MIN(21,MATCH(Q612,'KT THAN'!$L$38:$L$58,-1)+1))-INDEX('KT THAN'!$L$38:$L$58,MATCH(Q612,'KT THAN'!$L$38:$L$58,-1)))),MIN(0.8*0.75*'KT THAN'!$C$62,'KT THAN'!$C$68/Q612)))))</f>
        <v/>
      </c>
      <c r="N612" s="38" t="str">
        <f>IF($A612="","",IF(H612=0,"",IF(R612&lt;=0.000000001,MIN(0.8*0.75*'KT THAN'!$C$62,MAX('KT THAN'!$W$38:$W$58)),IFERROR(MIN(0.8*0.75*'KT THAN'!$C$62,INDEX('KT THAN'!$W$38:$W$58,MATCH(R612,'KT THAN'!$Y$38:$Y$58,-1))+(INDEX('KT THAN'!$W$38:$W$58,MIN(21,MATCH(R612,'KT THAN'!$Y$38:$Y$58,-1)+1))-INDEX('KT THAN'!$W$38:$W$58,MATCH(R612,'KT THAN'!$Y$38:$Y$58,-1)))*(R612-INDEX('KT THAN'!$Y$38:$Y$58,MATCH(R612,'KT THAN'!$Y$38:$Y$58,-1)))/(INDEX('KT THAN'!$Y$38:$Y$58,MIN(21,MATCH(R612,'KT THAN'!$Y$38:$Y$58,-1)+1))-INDEX('KT THAN'!$Y$38:$Y$58,MATCH(R612,'KT THAN'!$Y$38:$Y$58,-1)))),MIN(0.8*0.75*'KT THAN'!$C$62,'KT THAN'!$D$68/R612)))))</f>
        <v/>
      </c>
      <c r="O612" s="38" t="str">
        <f>IF($A612="","",IF(H612&lt;0,ABS(H612)/MAX('KT THAN'!$C$69,0.001)+'KT THAN'!$C$32*ABS(J612)/MAX('KT THAN'!$C$68,0.001)+'KT THAN'!$D$32*ABS(I612)/MAX('KT THAN'!$D$68,0.001),IF(OR(M612&lt;=0,N612&lt;=0),999,IF(H612&gt;=0.1*0.75*fc_*Agth*1000,H612/MAX(0.001,1/(1/M612+1/N612-1/(0.75*'KT THAN'!$C$62))),'KT THAN'!$C$32*ABS(J612)/MAX('KT THAN'!$C$68,0.001)+'KT THAN'!$D$32*ABS(I612)/MAX('KT THAN'!$D$68,0.001)))))</f>
        <v/>
      </c>
      <c r="P612" s="37" t="str">
        <f t="shared" si="97"/>
        <v/>
      </c>
      <c r="Q612" s="38" t="str">
        <f>IF($A612="","",MAX(0.001,'KT THAN'!$C$32*ABS(J612)/MAX(1,H612)))</f>
        <v/>
      </c>
      <c r="R612" s="38" t="str">
        <f>IF($A612="","",MAX(0.001,'KT THAN'!$D$32*ABS(I612)/MAX(1,H612)))</f>
        <v/>
      </c>
      <c r="S612" t="str">
        <f t="shared" si="91"/>
        <v/>
      </c>
    </row>
    <row r="613" spans="1:19" hidden="1" outlineLevel="1" x14ac:dyDescent="0.3">
      <c r="A613" s="37" t="str">
        <f>IF(OR(nThan=1,'TO HOP NLAN'!$A169=""),"",'TO HOP NLAN'!$A169)</f>
        <v/>
      </c>
      <c r="B613" s="38" t="str">
        <f>IF($A613="","",'TO HOP NLAN'!$D169)</f>
        <v/>
      </c>
      <c r="C613" s="38" t="str">
        <f>IF($A613="","",'TO HOP NLAN'!$E169)</f>
        <v/>
      </c>
      <c r="D613" s="38" t="str">
        <f>IF($A613="","",'TO HOP NLAN'!$F169)</f>
        <v/>
      </c>
      <c r="E613" s="38" t="str">
        <f>IF($A613="","",'TO HOP NLAN'!$B169)</f>
        <v/>
      </c>
      <c r="F613" s="38" t="str">
        <f>IF($A613="","",'TO HOP NLAN'!$C169)</f>
        <v/>
      </c>
      <c r="G613" s="38" t="str">
        <f t="shared" si="92"/>
        <v/>
      </c>
      <c r="H613" s="38" t="str">
        <f t="shared" si="90"/>
        <v/>
      </c>
      <c r="I613" s="38" t="str">
        <f t="shared" si="93"/>
        <v/>
      </c>
      <c r="J613" s="38" t="str">
        <f t="shared" si="94"/>
        <v/>
      </c>
      <c r="K613" s="38" t="str">
        <f t="shared" si="95"/>
        <v/>
      </c>
      <c r="L613" s="38" t="str">
        <f t="shared" si="96"/>
        <v/>
      </c>
      <c r="M613" s="38" t="str">
        <f>IF($A613="","",IF(H613=0,"",IF(Q613&lt;=0.000000001,MIN(0.8*0.75*'KT THAN'!$C$62,MAX('KT THAN'!$J$38:$J$58)),IFERROR(MIN(0.8*0.75*'KT THAN'!$C$62,INDEX('KT THAN'!$J$38:$J$58,MATCH(Q613,'KT THAN'!$L$38:$L$58,-1))+(INDEX('KT THAN'!$J$38:$J$58,MIN(21,MATCH(Q613,'KT THAN'!$L$38:$L$58,-1)+1))-INDEX('KT THAN'!$J$38:$J$58,MATCH(Q613,'KT THAN'!$L$38:$L$58,-1)))*(Q613-INDEX('KT THAN'!$L$38:$L$58,MATCH(Q613,'KT THAN'!$L$38:$L$58,-1)))/(INDEX('KT THAN'!$L$38:$L$58,MIN(21,MATCH(Q613,'KT THAN'!$L$38:$L$58,-1)+1))-INDEX('KT THAN'!$L$38:$L$58,MATCH(Q613,'KT THAN'!$L$38:$L$58,-1)))),MIN(0.8*0.75*'KT THAN'!$C$62,'KT THAN'!$C$68/Q613)))))</f>
        <v/>
      </c>
      <c r="N613" s="38" t="str">
        <f>IF($A613="","",IF(H613=0,"",IF(R613&lt;=0.000000001,MIN(0.8*0.75*'KT THAN'!$C$62,MAX('KT THAN'!$W$38:$W$58)),IFERROR(MIN(0.8*0.75*'KT THAN'!$C$62,INDEX('KT THAN'!$W$38:$W$58,MATCH(R613,'KT THAN'!$Y$38:$Y$58,-1))+(INDEX('KT THAN'!$W$38:$W$58,MIN(21,MATCH(R613,'KT THAN'!$Y$38:$Y$58,-1)+1))-INDEX('KT THAN'!$W$38:$W$58,MATCH(R613,'KT THAN'!$Y$38:$Y$58,-1)))*(R613-INDEX('KT THAN'!$Y$38:$Y$58,MATCH(R613,'KT THAN'!$Y$38:$Y$58,-1)))/(INDEX('KT THAN'!$Y$38:$Y$58,MIN(21,MATCH(R613,'KT THAN'!$Y$38:$Y$58,-1)+1))-INDEX('KT THAN'!$Y$38:$Y$58,MATCH(R613,'KT THAN'!$Y$38:$Y$58,-1)))),MIN(0.8*0.75*'KT THAN'!$C$62,'KT THAN'!$D$68/R613)))))</f>
        <v/>
      </c>
      <c r="O613" s="38" t="str">
        <f>IF($A613="","",IF(H613&lt;0,ABS(H613)/MAX('KT THAN'!$C$69,0.001)+'KT THAN'!$C$32*ABS(J613)/MAX('KT THAN'!$C$68,0.001)+'KT THAN'!$D$32*ABS(I613)/MAX('KT THAN'!$D$68,0.001),IF(OR(M613&lt;=0,N613&lt;=0),999,IF(H613&gt;=0.1*0.75*fc_*Agth*1000,H613/MAX(0.001,1/(1/M613+1/N613-1/(0.75*'KT THAN'!$C$62))),'KT THAN'!$C$32*ABS(J613)/MAX('KT THAN'!$C$68,0.001)+'KT THAN'!$D$32*ABS(I613)/MAX('KT THAN'!$D$68,0.001)))))</f>
        <v/>
      </c>
      <c r="P613" s="37" t="str">
        <f t="shared" si="97"/>
        <v/>
      </c>
      <c r="Q613" s="38" t="str">
        <f>IF($A613="","",MAX(0.001,'KT THAN'!$C$32*ABS(J613)/MAX(1,H613)))</f>
        <v/>
      </c>
      <c r="R613" s="38" t="str">
        <f>IF($A613="","",MAX(0.001,'KT THAN'!$D$32*ABS(I613)/MAX(1,H613)))</f>
        <v/>
      </c>
      <c r="S613" t="str">
        <f t="shared" si="91"/>
        <v/>
      </c>
    </row>
    <row r="614" spans="1:19" hidden="1" outlineLevel="1" x14ac:dyDescent="0.3">
      <c r="A614" s="37" t="str">
        <f>IF(OR(nThan=1,'TO HOP NLAN'!$A170=""),"",'TO HOP NLAN'!$A170)</f>
        <v/>
      </c>
      <c r="B614" s="38" t="str">
        <f>IF($A614="","",'TO HOP NLAN'!$D170)</f>
        <v/>
      </c>
      <c r="C614" s="38" t="str">
        <f>IF($A614="","",'TO HOP NLAN'!$E170)</f>
        <v/>
      </c>
      <c r="D614" s="38" t="str">
        <f>IF($A614="","",'TO HOP NLAN'!$F170)</f>
        <v/>
      </c>
      <c r="E614" s="38" t="str">
        <f>IF($A614="","",'TO HOP NLAN'!$B170)</f>
        <v/>
      </c>
      <c r="F614" s="38" t="str">
        <f>IF($A614="","",'TO HOP NLAN'!$C170)</f>
        <v/>
      </c>
      <c r="G614" s="38" t="str">
        <f t="shared" si="92"/>
        <v/>
      </c>
      <c r="H614" s="38" t="str">
        <f t="shared" si="90"/>
        <v/>
      </c>
      <c r="I614" s="38" t="str">
        <f t="shared" si="93"/>
        <v/>
      </c>
      <c r="J614" s="38" t="str">
        <f t="shared" si="94"/>
        <v/>
      </c>
      <c r="K614" s="38" t="str">
        <f t="shared" si="95"/>
        <v/>
      </c>
      <c r="L614" s="38" t="str">
        <f t="shared" si="96"/>
        <v/>
      </c>
      <c r="M614" s="38" t="str">
        <f>IF($A614="","",IF(H614=0,"",IF(Q614&lt;=0.000000001,MIN(0.8*0.75*'KT THAN'!$C$62,MAX('KT THAN'!$J$38:$J$58)),IFERROR(MIN(0.8*0.75*'KT THAN'!$C$62,INDEX('KT THAN'!$J$38:$J$58,MATCH(Q614,'KT THAN'!$L$38:$L$58,-1))+(INDEX('KT THAN'!$J$38:$J$58,MIN(21,MATCH(Q614,'KT THAN'!$L$38:$L$58,-1)+1))-INDEX('KT THAN'!$J$38:$J$58,MATCH(Q614,'KT THAN'!$L$38:$L$58,-1)))*(Q614-INDEX('KT THAN'!$L$38:$L$58,MATCH(Q614,'KT THAN'!$L$38:$L$58,-1)))/(INDEX('KT THAN'!$L$38:$L$58,MIN(21,MATCH(Q614,'KT THAN'!$L$38:$L$58,-1)+1))-INDEX('KT THAN'!$L$38:$L$58,MATCH(Q614,'KT THAN'!$L$38:$L$58,-1)))),MIN(0.8*0.75*'KT THAN'!$C$62,'KT THAN'!$C$68/Q614)))))</f>
        <v/>
      </c>
      <c r="N614" s="38" t="str">
        <f>IF($A614="","",IF(H614=0,"",IF(R614&lt;=0.000000001,MIN(0.8*0.75*'KT THAN'!$C$62,MAX('KT THAN'!$W$38:$W$58)),IFERROR(MIN(0.8*0.75*'KT THAN'!$C$62,INDEX('KT THAN'!$W$38:$W$58,MATCH(R614,'KT THAN'!$Y$38:$Y$58,-1))+(INDEX('KT THAN'!$W$38:$W$58,MIN(21,MATCH(R614,'KT THAN'!$Y$38:$Y$58,-1)+1))-INDEX('KT THAN'!$W$38:$W$58,MATCH(R614,'KT THAN'!$Y$38:$Y$58,-1)))*(R614-INDEX('KT THAN'!$Y$38:$Y$58,MATCH(R614,'KT THAN'!$Y$38:$Y$58,-1)))/(INDEX('KT THAN'!$Y$38:$Y$58,MIN(21,MATCH(R614,'KT THAN'!$Y$38:$Y$58,-1)+1))-INDEX('KT THAN'!$Y$38:$Y$58,MATCH(R614,'KT THAN'!$Y$38:$Y$58,-1)))),MIN(0.8*0.75*'KT THAN'!$C$62,'KT THAN'!$D$68/R614)))))</f>
        <v/>
      </c>
      <c r="O614" s="38" t="str">
        <f>IF($A614="","",IF(H614&lt;0,ABS(H614)/MAX('KT THAN'!$C$69,0.001)+'KT THAN'!$C$32*ABS(J614)/MAX('KT THAN'!$C$68,0.001)+'KT THAN'!$D$32*ABS(I614)/MAX('KT THAN'!$D$68,0.001),IF(OR(M614&lt;=0,N614&lt;=0),999,IF(H614&gt;=0.1*0.75*fc_*Agth*1000,H614/MAX(0.001,1/(1/M614+1/N614-1/(0.75*'KT THAN'!$C$62))),'KT THAN'!$C$32*ABS(J614)/MAX('KT THAN'!$C$68,0.001)+'KT THAN'!$D$32*ABS(I614)/MAX('KT THAN'!$D$68,0.001)))))</f>
        <v/>
      </c>
      <c r="P614" s="37" t="str">
        <f t="shared" si="97"/>
        <v/>
      </c>
      <c r="Q614" s="38" t="str">
        <f>IF($A614="","",MAX(0.001,'KT THAN'!$C$32*ABS(J614)/MAX(1,H614)))</f>
        <v/>
      </c>
      <c r="R614" s="38" t="str">
        <f>IF($A614="","",MAX(0.001,'KT THAN'!$D$32*ABS(I614)/MAX(1,H614)))</f>
        <v/>
      </c>
      <c r="S614" t="str">
        <f t="shared" si="91"/>
        <v/>
      </c>
    </row>
    <row r="615" spans="1:19" hidden="1" outlineLevel="1" x14ac:dyDescent="0.3">
      <c r="A615" s="37" t="str">
        <f>IF(OR(nThan=1,'TO HOP NLAN'!$A171=""),"",'TO HOP NLAN'!$A171)</f>
        <v/>
      </c>
      <c r="B615" s="38" t="str">
        <f>IF($A615="","",'TO HOP NLAN'!$D171)</f>
        <v/>
      </c>
      <c r="C615" s="38" t="str">
        <f>IF($A615="","",'TO HOP NLAN'!$E171)</f>
        <v/>
      </c>
      <c r="D615" s="38" t="str">
        <f>IF($A615="","",'TO HOP NLAN'!$F171)</f>
        <v/>
      </c>
      <c r="E615" s="38" t="str">
        <f>IF($A615="","",'TO HOP NLAN'!$B171)</f>
        <v/>
      </c>
      <c r="F615" s="38" t="str">
        <f>IF($A615="","",'TO HOP NLAN'!$C171)</f>
        <v/>
      </c>
      <c r="G615" s="38" t="str">
        <f t="shared" si="92"/>
        <v/>
      </c>
      <c r="H615" s="38" t="str">
        <f t="shared" si="90"/>
        <v/>
      </c>
      <c r="I615" s="38" t="str">
        <f t="shared" si="93"/>
        <v/>
      </c>
      <c r="J615" s="38" t="str">
        <f t="shared" si="94"/>
        <v/>
      </c>
      <c r="K615" s="38" t="str">
        <f t="shared" si="95"/>
        <v/>
      </c>
      <c r="L615" s="38" t="str">
        <f t="shared" si="96"/>
        <v/>
      </c>
      <c r="M615" s="38" t="str">
        <f>IF($A615="","",IF(H615=0,"",IF(Q615&lt;=0.000000001,MIN(0.8*0.75*'KT THAN'!$C$62,MAX('KT THAN'!$J$38:$J$58)),IFERROR(MIN(0.8*0.75*'KT THAN'!$C$62,INDEX('KT THAN'!$J$38:$J$58,MATCH(Q615,'KT THAN'!$L$38:$L$58,-1))+(INDEX('KT THAN'!$J$38:$J$58,MIN(21,MATCH(Q615,'KT THAN'!$L$38:$L$58,-1)+1))-INDEX('KT THAN'!$J$38:$J$58,MATCH(Q615,'KT THAN'!$L$38:$L$58,-1)))*(Q615-INDEX('KT THAN'!$L$38:$L$58,MATCH(Q615,'KT THAN'!$L$38:$L$58,-1)))/(INDEX('KT THAN'!$L$38:$L$58,MIN(21,MATCH(Q615,'KT THAN'!$L$38:$L$58,-1)+1))-INDEX('KT THAN'!$L$38:$L$58,MATCH(Q615,'KT THAN'!$L$38:$L$58,-1)))),MIN(0.8*0.75*'KT THAN'!$C$62,'KT THAN'!$C$68/Q615)))))</f>
        <v/>
      </c>
      <c r="N615" s="38" t="str">
        <f>IF($A615="","",IF(H615=0,"",IF(R615&lt;=0.000000001,MIN(0.8*0.75*'KT THAN'!$C$62,MAX('KT THAN'!$W$38:$W$58)),IFERROR(MIN(0.8*0.75*'KT THAN'!$C$62,INDEX('KT THAN'!$W$38:$W$58,MATCH(R615,'KT THAN'!$Y$38:$Y$58,-1))+(INDEX('KT THAN'!$W$38:$W$58,MIN(21,MATCH(R615,'KT THAN'!$Y$38:$Y$58,-1)+1))-INDEX('KT THAN'!$W$38:$W$58,MATCH(R615,'KT THAN'!$Y$38:$Y$58,-1)))*(R615-INDEX('KT THAN'!$Y$38:$Y$58,MATCH(R615,'KT THAN'!$Y$38:$Y$58,-1)))/(INDEX('KT THAN'!$Y$38:$Y$58,MIN(21,MATCH(R615,'KT THAN'!$Y$38:$Y$58,-1)+1))-INDEX('KT THAN'!$Y$38:$Y$58,MATCH(R615,'KT THAN'!$Y$38:$Y$58,-1)))),MIN(0.8*0.75*'KT THAN'!$C$62,'KT THAN'!$D$68/R615)))))</f>
        <v/>
      </c>
      <c r="O615" s="38" t="str">
        <f>IF($A615="","",IF(H615&lt;0,ABS(H615)/MAX('KT THAN'!$C$69,0.001)+'KT THAN'!$C$32*ABS(J615)/MAX('KT THAN'!$C$68,0.001)+'KT THAN'!$D$32*ABS(I615)/MAX('KT THAN'!$D$68,0.001),IF(OR(M615&lt;=0,N615&lt;=0),999,IF(H615&gt;=0.1*0.75*fc_*Agth*1000,H615/MAX(0.001,1/(1/M615+1/N615-1/(0.75*'KT THAN'!$C$62))),'KT THAN'!$C$32*ABS(J615)/MAX('KT THAN'!$C$68,0.001)+'KT THAN'!$D$32*ABS(I615)/MAX('KT THAN'!$D$68,0.001)))))</f>
        <v/>
      </c>
      <c r="P615" s="37" t="str">
        <f t="shared" si="97"/>
        <v/>
      </c>
      <c r="Q615" s="38" t="str">
        <f>IF($A615="","",MAX(0.001,'KT THAN'!$C$32*ABS(J615)/MAX(1,H615)))</f>
        <v/>
      </c>
      <c r="R615" s="38" t="str">
        <f>IF($A615="","",MAX(0.001,'KT THAN'!$D$32*ABS(I615)/MAX(1,H615)))</f>
        <v/>
      </c>
      <c r="S615" t="str">
        <f t="shared" si="91"/>
        <v/>
      </c>
    </row>
    <row r="616" spans="1:19" hidden="1" outlineLevel="1" x14ac:dyDescent="0.3">
      <c r="A616" s="37" t="str">
        <f>IF(OR(nThan=1,'TO HOP NLAN'!$A172=""),"",'TO HOP NLAN'!$A172)</f>
        <v/>
      </c>
      <c r="B616" s="38" t="str">
        <f>IF($A616="","",'TO HOP NLAN'!$D172)</f>
        <v/>
      </c>
      <c r="C616" s="38" t="str">
        <f>IF($A616="","",'TO HOP NLAN'!$E172)</f>
        <v/>
      </c>
      <c r="D616" s="38" t="str">
        <f>IF($A616="","",'TO HOP NLAN'!$F172)</f>
        <v/>
      </c>
      <c r="E616" s="38" t="str">
        <f>IF($A616="","",'TO HOP NLAN'!$B172)</f>
        <v/>
      </c>
      <c r="F616" s="38" t="str">
        <f>IF($A616="","",'TO HOP NLAN'!$C172)</f>
        <v/>
      </c>
      <c r="G616" s="38" t="str">
        <f t="shared" si="92"/>
        <v/>
      </c>
      <c r="H616" s="38" t="str">
        <f t="shared" si="90"/>
        <v/>
      </c>
      <c r="I616" s="38" t="str">
        <f t="shared" si="93"/>
        <v/>
      </c>
      <c r="J616" s="38" t="str">
        <f t="shared" si="94"/>
        <v/>
      </c>
      <c r="K616" s="38" t="str">
        <f t="shared" si="95"/>
        <v/>
      </c>
      <c r="L616" s="38" t="str">
        <f t="shared" si="96"/>
        <v/>
      </c>
      <c r="M616" s="38" t="str">
        <f>IF($A616="","",IF(H616=0,"",IF(Q616&lt;=0.000000001,MIN(0.8*0.75*'KT THAN'!$C$62,MAX('KT THAN'!$J$38:$J$58)),IFERROR(MIN(0.8*0.75*'KT THAN'!$C$62,INDEX('KT THAN'!$J$38:$J$58,MATCH(Q616,'KT THAN'!$L$38:$L$58,-1))+(INDEX('KT THAN'!$J$38:$J$58,MIN(21,MATCH(Q616,'KT THAN'!$L$38:$L$58,-1)+1))-INDEX('KT THAN'!$J$38:$J$58,MATCH(Q616,'KT THAN'!$L$38:$L$58,-1)))*(Q616-INDEX('KT THAN'!$L$38:$L$58,MATCH(Q616,'KT THAN'!$L$38:$L$58,-1)))/(INDEX('KT THAN'!$L$38:$L$58,MIN(21,MATCH(Q616,'KT THAN'!$L$38:$L$58,-1)+1))-INDEX('KT THAN'!$L$38:$L$58,MATCH(Q616,'KT THAN'!$L$38:$L$58,-1)))),MIN(0.8*0.75*'KT THAN'!$C$62,'KT THAN'!$C$68/Q616)))))</f>
        <v/>
      </c>
      <c r="N616" s="38" t="str">
        <f>IF($A616="","",IF(H616=0,"",IF(R616&lt;=0.000000001,MIN(0.8*0.75*'KT THAN'!$C$62,MAX('KT THAN'!$W$38:$W$58)),IFERROR(MIN(0.8*0.75*'KT THAN'!$C$62,INDEX('KT THAN'!$W$38:$W$58,MATCH(R616,'KT THAN'!$Y$38:$Y$58,-1))+(INDEX('KT THAN'!$W$38:$W$58,MIN(21,MATCH(R616,'KT THAN'!$Y$38:$Y$58,-1)+1))-INDEX('KT THAN'!$W$38:$W$58,MATCH(R616,'KT THAN'!$Y$38:$Y$58,-1)))*(R616-INDEX('KT THAN'!$Y$38:$Y$58,MATCH(R616,'KT THAN'!$Y$38:$Y$58,-1)))/(INDEX('KT THAN'!$Y$38:$Y$58,MIN(21,MATCH(R616,'KT THAN'!$Y$38:$Y$58,-1)+1))-INDEX('KT THAN'!$Y$38:$Y$58,MATCH(R616,'KT THAN'!$Y$38:$Y$58,-1)))),MIN(0.8*0.75*'KT THAN'!$C$62,'KT THAN'!$D$68/R616)))))</f>
        <v/>
      </c>
      <c r="O616" s="38" t="str">
        <f>IF($A616="","",IF(H616&lt;0,ABS(H616)/MAX('KT THAN'!$C$69,0.001)+'KT THAN'!$C$32*ABS(J616)/MAX('KT THAN'!$C$68,0.001)+'KT THAN'!$D$32*ABS(I616)/MAX('KT THAN'!$D$68,0.001),IF(OR(M616&lt;=0,N616&lt;=0),999,IF(H616&gt;=0.1*0.75*fc_*Agth*1000,H616/MAX(0.001,1/(1/M616+1/N616-1/(0.75*'KT THAN'!$C$62))),'KT THAN'!$C$32*ABS(J616)/MAX('KT THAN'!$C$68,0.001)+'KT THAN'!$D$32*ABS(I616)/MAX('KT THAN'!$D$68,0.001)))))</f>
        <v/>
      </c>
      <c r="P616" s="37" t="str">
        <f t="shared" si="97"/>
        <v/>
      </c>
      <c r="Q616" s="38" t="str">
        <f>IF($A616="","",MAX(0.001,'KT THAN'!$C$32*ABS(J616)/MAX(1,H616)))</f>
        <v/>
      </c>
      <c r="R616" s="38" t="str">
        <f>IF($A616="","",MAX(0.001,'KT THAN'!$D$32*ABS(I616)/MAX(1,H616)))</f>
        <v/>
      </c>
      <c r="S616" t="str">
        <f t="shared" si="91"/>
        <v/>
      </c>
    </row>
    <row r="617" spans="1:19" hidden="1" outlineLevel="1" x14ac:dyDescent="0.3">
      <c r="A617" s="37" t="str">
        <f>IF(OR(nThan=1,'TO HOP NLAN'!$A173=""),"",'TO HOP NLAN'!$A173)</f>
        <v/>
      </c>
      <c r="B617" s="38" t="str">
        <f>IF($A617="","",'TO HOP NLAN'!$D173)</f>
        <v/>
      </c>
      <c r="C617" s="38" t="str">
        <f>IF($A617="","",'TO HOP NLAN'!$E173)</f>
        <v/>
      </c>
      <c r="D617" s="38" t="str">
        <f>IF($A617="","",'TO HOP NLAN'!$F173)</f>
        <v/>
      </c>
      <c r="E617" s="38" t="str">
        <f>IF($A617="","",'TO HOP NLAN'!$B173)</f>
        <v/>
      </c>
      <c r="F617" s="38" t="str">
        <f>IF($A617="","",'TO HOP NLAN'!$C173)</f>
        <v/>
      </c>
      <c r="G617" s="38" t="str">
        <f t="shared" si="92"/>
        <v/>
      </c>
      <c r="H617" s="38" t="str">
        <f t="shared" si="90"/>
        <v/>
      </c>
      <c r="I617" s="38" t="str">
        <f t="shared" si="93"/>
        <v/>
      </c>
      <c r="J617" s="38" t="str">
        <f t="shared" si="94"/>
        <v/>
      </c>
      <c r="K617" s="38" t="str">
        <f t="shared" si="95"/>
        <v/>
      </c>
      <c r="L617" s="38" t="str">
        <f t="shared" si="96"/>
        <v/>
      </c>
      <c r="M617" s="38" t="str">
        <f>IF($A617="","",IF(H617=0,"",IF(Q617&lt;=0.000000001,MIN(0.8*0.75*'KT THAN'!$C$62,MAX('KT THAN'!$J$38:$J$58)),IFERROR(MIN(0.8*0.75*'KT THAN'!$C$62,INDEX('KT THAN'!$J$38:$J$58,MATCH(Q617,'KT THAN'!$L$38:$L$58,-1))+(INDEX('KT THAN'!$J$38:$J$58,MIN(21,MATCH(Q617,'KT THAN'!$L$38:$L$58,-1)+1))-INDEX('KT THAN'!$J$38:$J$58,MATCH(Q617,'KT THAN'!$L$38:$L$58,-1)))*(Q617-INDEX('KT THAN'!$L$38:$L$58,MATCH(Q617,'KT THAN'!$L$38:$L$58,-1)))/(INDEX('KT THAN'!$L$38:$L$58,MIN(21,MATCH(Q617,'KT THAN'!$L$38:$L$58,-1)+1))-INDEX('KT THAN'!$L$38:$L$58,MATCH(Q617,'KT THAN'!$L$38:$L$58,-1)))),MIN(0.8*0.75*'KT THAN'!$C$62,'KT THAN'!$C$68/Q617)))))</f>
        <v/>
      </c>
      <c r="N617" s="38" t="str">
        <f>IF($A617="","",IF(H617=0,"",IF(R617&lt;=0.000000001,MIN(0.8*0.75*'KT THAN'!$C$62,MAX('KT THAN'!$W$38:$W$58)),IFERROR(MIN(0.8*0.75*'KT THAN'!$C$62,INDEX('KT THAN'!$W$38:$W$58,MATCH(R617,'KT THAN'!$Y$38:$Y$58,-1))+(INDEX('KT THAN'!$W$38:$W$58,MIN(21,MATCH(R617,'KT THAN'!$Y$38:$Y$58,-1)+1))-INDEX('KT THAN'!$W$38:$W$58,MATCH(R617,'KT THAN'!$Y$38:$Y$58,-1)))*(R617-INDEX('KT THAN'!$Y$38:$Y$58,MATCH(R617,'KT THAN'!$Y$38:$Y$58,-1)))/(INDEX('KT THAN'!$Y$38:$Y$58,MIN(21,MATCH(R617,'KT THAN'!$Y$38:$Y$58,-1)+1))-INDEX('KT THAN'!$Y$38:$Y$58,MATCH(R617,'KT THAN'!$Y$38:$Y$58,-1)))),MIN(0.8*0.75*'KT THAN'!$C$62,'KT THAN'!$D$68/R617)))))</f>
        <v/>
      </c>
      <c r="O617" s="38" t="str">
        <f>IF($A617="","",IF(H617&lt;0,ABS(H617)/MAX('KT THAN'!$C$69,0.001)+'KT THAN'!$C$32*ABS(J617)/MAX('KT THAN'!$C$68,0.001)+'KT THAN'!$D$32*ABS(I617)/MAX('KT THAN'!$D$68,0.001),IF(OR(M617&lt;=0,N617&lt;=0),999,IF(H617&gt;=0.1*0.75*fc_*Agth*1000,H617/MAX(0.001,1/(1/M617+1/N617-1/(0.75*'KT THAN'!$C$62))),'KT THAN'!$C$32*ABS(J617)/MAX('KT THAN'!$C$68,0.001)+'KT THAN'!$D$32*ABS(I617)/MAX('KT THAN'!$D$68,0.001)))))</f>
        <v/>
      </c>
      <c r="P617" s="37" t="str">
        <f t="shared" si="97"/>
        <v/>
      </c>
      <c r="Q617" s="38" t="str">
        <f>IF($A617="","",MAX(0.001,'KT THAN'!$C$32*ABS(J617)/MAX(1,H617)))</f>
        <v/>
      </c>
      <c r="R617" s="38" t="str">
        <f>IF($A617="","",MAX(0.001,'KT THAN'!$D$32*ABS(I617)/MAX(1,H617)))</f>
        <v/>
      </c>
      <c r="S617" t="str">
        <f t="shared" si="91"/>
        <v/>
      </c>
    </row>
    <row r="618" spans="1:19" hidden="1" outlineLevel="1" x14ac:dyDescent="0.3">
      <c r="A618" s="37" t="str">
        <f>IF(OR(nThan=1,'TO HOP NLAN'!$A174=""),"",'TO HOP NLAN'!$A174)</f>
        <v/>
      </c>
      <c r="B618" s="38" t="str">
        <f>IF($A618="","",'TO HOP NLAN'!$D174)</f>
        <v/>
      </c>
      <c r="C618" s="38" t="str">
        <f>IF($A618="","",'TO HOP NLAN'!$E174)</f>
        <v/>
      </c>
      <c r="D618" s="38" t="str">
        <f>IF($A618="","",'TO HOP NLAN'!$F174)</f>
        <v/>
      </c>
      <c r="E618" s="38" t="str">
        <f>IF($A618="","",'TO HOP NLAN'!$B174)</f>
        <v/>
      </c>
      <c r="F618" s="38" t="str">
        <f>IF($A618="","",'TO HOP NLAN'!$C174)</f>
        <v/>
      </c>
      <c r="G618" s="38" t="str">
        <f t="shared" si="92"/>
        <v/>
      </c>
      <c r="H618" s="38" t="str">
        <f t="shared" si="90"/>
        <v/>
      </c>
      <c r="I618" s="38" t="str">
        <f t="shared" si="93"/>
        <v/>
      </c>
      <c r="J618" s="38" t="str">
        <f t="shared" si="94"/>
        <v/>
      </c>
      <c r="K618" s="38" t="str">
        <f t="shared" si="95"/>
        <v/>
      </c>
      <c r="L618" s="38" t="str">
        <f t="shared" si="96"/>
        <v/>
      </c>
      <c r="M618" s="38" t="str">
        <f>IF($A618="","",IF(H618=0,"",IF(Q618&lt;=0.000000001,MIN(0.8*0.75*'KT THAN'!$C$62,MAX('KT THAN'!$J$38:$J$58)),IFERROR(MIN(0.8*0.75*'KT THAN'!$C$62,INDEX('KT THAN'!$J$38:$J$58,MATCH(Q618,'KT THAN'!$L$38:$L$58,-1))+(INDEX('KT THAN'!$J$38:$J$58,MIN(21,MATCH(Q618,'KT THAN'!$L$38:$L$58,-1)+1))-INDEX('KT THAN'!$J$38:$J$58,MATCH(Q618,'KT THAN'!$L$38:$L$58,-1)))*(Q618-INDEX('KT THAN'!$L$38:$L$58,MATCH(Q618,'KT THAN'!$L$38:$L$58,-1)))/(INDEX('KT THAN'!$L$38:$L$58,MIN(21,MATCH(Q618,'KT THAN'!$L$38:$L$58,-1)+1))-INDEX('KT THAN'!$L$38:$L$58,MATCH(Q618,'KT THAN'!$L$38:$L$58,-1)))),MIN(0.8*0.75*'KT THAN'!$C$62,'KT THAN'!$C$68/Q618)))))</f>
        <v/>
      </c>
      <c r="N618" s="38" t="str">
        <f>IF($A618="","",IF(H618=0,"",IF(R618&lt;=0.000000001,MIN(0.8*0.75*'KT THAN'!$C$62,MAX('KT THAN'!$W$38:$W$58)),IFERROR(MIN(0.8*0.75*'KT THAN'!$C$62,INDEX('KT THAN'!$W$38:$W$58,MATCH(R618,'KT THAN'!$Y$38:$Y$58,-1))+(INDEX('KT THAN'!$W$38:$W$58,MIN(21,MATCH(R618,'KT THAN'!$Y$38:$Y$58,-1)+1))-INDEX('KT THAN'!$W$38:$W$58,MATCH(R618,'KT THAN'!$Y$38:$Y$58,-1)))*(R618-INDEX('KT THAN'!$Y$38:$Y$58,MATCH(R618,'KT THAN'!$Y$38:$Y$58,-1)))/(INDEX('KT THAN'!$Y$38:$Y$58,MIN(21,MATCH(R618,'KT THAN'!$Y$38:$Y$58,-1)+1))-INDEX('KT THAN'!$Y$38:$Y$58,MATCH(R618,'KT THAN'!$Y$38:$Y$58,-1)))),MIN(0.8*0.75*'KT THAN'!$C$62,'KT THAN'!$D$68/R618)))))</f>
        <v/>
      </c>
      <c r="O618" s="38" t="str">
        <f>IF($A618="","",IF(H618&lt;0,ABS(H618)/MAX('KT THAN'!$C$69,0.001)+'KT THAN'!$C$32*ABS(J618)/MAX('KT THAN'!$C$68,0.001)+'KT THAN'!$D$32*ABS(I618)/MAX('KT THAN'!$D$68,0.001),IF(OR(M618&lt;=0,N618&lt;=0),999,IF(H618&gt;=0.1*0.75*fc_*Agth*1000,H618/MAX(0.001,1/(1/M618+1/N618-1/(0.75*'KT THAN'!$C$62))),'KT THAN'!$C$32*ABS(J618)/MAX('KT THAN'!$C$68,0.001)+'KT THAN'!$D$32*ABS(I618)/MAX('KT THAN'!$D$68,0.001)))))</f>
        <v/>
      </c>
      <c r="P618" s="37" t="str">
        <f t="shared" si="97"/>
        <v/>
      </c>
      <c r="Q618" s="38" t="str">
        <f>IF($A618="","",MAX(0.001,'KT THAN'!$C$32*ABS(J618)/MAX(1,H618)))</f>
        <v/>
      </c>
      <c r="R618" s="38" t="str">
        <f>IF($A618="","",MAX(0.001,'KT THAN'!$D$32*ABS(I618)/MAX(1,H618)))</f>
        <v/>
      </c>
      <c r="S618" t="str">
        <f t="shared" si="91"/>
        <v/>
      </c>
    </row>
    <row r="619" spans="1:19" hidden="1" outlineLevel="1" x14ac:dyDescent="0.3">
      <c r="A619" s="37" t="str">
        <f>IF(OR(nThan=1,'TO HOP NLAN'!$A175=""),"",'TO HOP NLAN'!$A175)</f>
        <v/>
      </c>
      <c r="B619" s="38" t="str">
        <f>IF($A619="","",'TO HOP NLAN'!$D175)</f>
        <v/>
      </c>
      <c r="C619" s="38" t="str">
        <f>IF($A619="","",'TO HOP NLAN'!$E175)</f>
        <v/>
      </c>
      <c r="D619" s="38" t="str">
        <f>IF($A619="","",'TO HOP NLAN'!$F175)</f>
        <v/>
      </c>
      <c r="E619" s="38" t="str">
        <f>IF($A619="","",'TO HOP NLAN'!$B175)</f>
        <v/>
      </c>
      <c r="F619" s="38" t="str">
        <f>IF($A619="","",'TO HOP NLAN'!$C175)</f>
        <v/>
      </c>
      <c r="G619" s="38" t="str">
        <f t="shared" si="92"/>
        <v/>
      </c>
      <c r="H619" s="38" t="str">
        <f t="shared" si="90"/>
        <v/>
      </c>
      <c r="I619" s="38" t="str">
        <f t="shared" si="93"/>
        <v/>
      </c>
      <c r="J619" s="38" t="str">
        <f t="shared" si="94"/>
        <v/>
      </c>
      <c r="K619" s="38" t="str">
        <f t="shared" si="95"/>
        <v/>
      </c>
      <c r="L619" s="38" t="str">
        <f t="shared" si="96"/>
        <v/>
      </c>
      <c r="M619" s="38" t="str">
        <f>IF($A619="","",IF(H619=0,"",IF(Q619&lt;=0.000000001,MIN(0.8*0.75*'KT THAN'!$C$62,MAX('KT THAN'!$J$38:$J$58)),IFERROR(MIN(0.8*0.75*'KT THAN'!$C$62,INDEX('KT THAN'!$J$38:$J$58,MATCH(Q619,'KT THAN'!$L$38:$L$58,-1))+(INDEX('KT THAN'!$J$38:$J$58,MIN(21,MATCH(Q619,'KT THAN'!$L$38:$L$58,-1)+1))-INDEX('KT THAN'!$J$38:$J$58,MATCH(Q619,'KT THAN'!$L$38:$L$58,-1)))*(Q619-INDEX('KT THAN'!$L$38:$L$58,MATCH(Q619,'KT THAN'!$L$38:$L$58,-1)))/(INDEX('KT THAN'!$L$38:$L$58,MIN(21,MATCH(Q619,'KT THAN'!$L$38:$L$58,-1)+1))-INDEX('KT THAN'!$L$38:$L$58,MATCH(Q619,'KT THAN'!$L$38:$L$58,-1)))),MIN(0.8*0.75*'KT THAN'!$C$62,'KT THAN'!$C$68/Q619)))))</f>
        <v/>
      </c>
      <c r="N619" s="38" t="str">
        <f>IF($A619="","",IF(H619=0,"",IF(R619&lt;=0.000000001,MIN(0.8*0.75*'KT THAN'!$C$62,MAX('KT THAN'!$W$38:$W$58)),IFERROR(MIN(0.8*0.75*'KT THAN'!$C$62,INDEX('KT THAN'!$W$38:$W$58,MATCH(R619,'KT THAN'!$Y$38:$Y$58,-1))+(INDEX('KT THAN'!$W$38:$W$58,MIN(21,MATCH(R619,'KT THAN'!$Y$38:$Y$58,-1)+1))-INDEX('KT THAN'!$W$38:$W$58,MATCH(R619,'KT THAN'!$Y$38:$Y$58,-1)))*(R619-INDEX('KT THAN'!$Y$38:$Y$58,MATCH(R619,'KT THAN'!$Y$38:$Y$58,-1)))/(INDEX('KT THAN'!$Y$38:$Y$58,MIN(21,MATCH(R619,'KT THAN'!$Y$38:$Y$58,-1)+1))-INDEX('KT THAN'!$Y$38:$Y$58,MATCH(R619,'KT THAN'!$Y$38:$Y$58,-1)))),MIN(0.8*0.75*'KT THAN'!$C$62,'KT THAN'!$D$68/R619)))))</f>
        <v/>
      </c>
      <c r="O619" s="38" t="str">
        <f>IF($A619="","",IF(H619&lt;0,ABS(H619)/MAX('KT THAN'!$C$69,0.001)+'KT THAN'!$C$32*ABS(J619)/MAX('KT THAN'!$C$68,0.001)+'KT THAN'!$D$32*ABS(I619)/MAX('KT THAN'!$D$68,0.001),IF(OR(M619&lt;=0,N619&lt;=0),999,IF(H619&gt;=0.1*0.75*fc_*Agth*1000,H619/MAX(0.001,1/(1/M619+1/N619-1/(0.75*'KT THAN'!$C$62))),'KT THAN'!$C$32*ABS(J619)/MAX('KT THAN'!$C$68,0.001)+'KT THAN'!$D$32*ABS(I619)/MAX('KT THAN'!$D$68,0.001)))))</f>
        <v/>
      </c>
      <c r="P619" s="37" t="str">
        <f t="shared" si="97"/>
        <v/>
      </c>
      <c r="Q619" s="38" t="str">
        <f>IF($A619="","",MAX(0.001,'KT THAN'!$C$32*ABS(J619)/MAX(1,H619)))</f>
        <v/>
      </c>
      <c r="R619" s="38" t="str">
        <f>IF($A619="","",MAX(0.001,'KT THAN'!$D$32*ABS(I619)/MAX(1,H619)))</f>
        <v/>
      </c>
      <c r="S619" t="str">
        <f t="shared" si="91"/>
        <v/>
      </c>
    </row>
    <row r="620" spans="1:19" hidden="1" outlineLevel="1" x14ac:dyDescent="0.3">
      <c r="A620" s="37" t="str">
        <f>IF(OR(nThan=1,'TO HOP NLAN'!$A176=""),"",'TO HOP NLAN'!$A176)</f>
        <v/>
      </c>
      <c r="B620" s="38" t="str">
        <f>IF($A620="","",'TO HOP NLAN'!$D176)</f>
        <v/>
      </c>
      <c r="C620" s="38" t="str">
        <f>IF($A620="","",'TO HOP NLAN'!$E176)</f>
        <v/>
      </c>
      <c r="D620" s="38" t="str">
        <f>IF($A620="","",'TO HOP NLAN'!$F176)</f>
        <v/>
      </c>
      <c r="E620" s="38" t="str">
        <f>IF($A620="","",'TO HOP NLAN'!$B176)</f>
        <v/>
      </c>
      <c r="F620" s="38" t="str">
        <f>IF($A620="","",'TO HOP NLAN'!$C176)</f>
        <v/>
      </c>
      <c r="G620" s="38" t="str">
        <f t="shared" si="92"/>
        <v/>
      </c>
      <c r="H620" s="38" t="str">
        <f t="shared" si="90"/>
        <v/>
      </c>
      <c r="I620" s="38" t="str">
        <f t="shared" si="93"/>
        <v/>
      </c>
      <c r="J620" s="38" t="str">
        <f t="shared" si="94"/>
        <v/>
      </c>
      <c r="K620" s="38" t="str">
        <f t="shared" si="95"/>
        <v/>
      </c>
      <c r="L620" s="38" t="str">
        <f t="shared" si="96"/>
        <v/>
      </c>
      <c r="M620" s="38" t="str">
        <f>IF($A620="","",IF(H620=0,"",IF(Q620&lt;=0.000000001,MIN(0.8*0.75*'KT THAN'!$C$62,MAX('KT THAN'!$J$38:$J$58)),IFERROR(MIN(0.8*0.75*'KT THAN'!$C$62,INDEX('KT THAN'!$J$38:$J$58,MATCH(Q620,'KT THAN'!$L$38:$L$58,-1))+(INDEX('KT THAN'!$J$38:$J$58,MIN(21,MATCH(Q620,'KT THAN'!$L$38:$L$58,-1)+1))-INDEX('KT THAN'!$J$38:$J$58,MATCH(Q620,'KT THAN'!$L$38:$L$58,-1)))*(Q620-INDEX('KT THAN'!$L$38:$L$58,MATCH(Q620,'KT THAN'!$L$38:$L$58,-1)))/(INDEX('KT THAN'!$L$38:$L$58,MIN(21,MATCH(Q620,'KT THAN'!$L$38:$L$58,-1)+1))-INDEX('KT THAN'!$L$38:$L$58,MATCH(Q620,'KT THAN'!$L$38:$L$58,-1)))),MIN(0.8*0.75*'KT THAN'!$C$62,'KT THAN'!$C$68/Q620)))))</f>
        <v/>
      </c>
      <c r="N620" s="38" t="str">
        <f>IF($A620="","",IF(H620=0,"",IF(R620&lt;=0.000000001,MIN(0.8*0.75*'KT THAN'!$C$62,MAX('KT THAN'!$W$38:$W$58)),IFERROR(MIN(0.8*0.75*'KT THAN'!$C$62,INDEX('KT THAN'!$W$38:$W$58,MATCH(R620,'KT THAN'!$Y$38:$Y$58,-1))+(INDEX('KT THAN'!$W$38:$W$58,MIN(21,MATCH(R620,'KT THAN'!$Y$38:$Y$58,-1)+1))-INDEX('KT THAN'!$W$38:$W$58,MATCH(R620,'KT THAN'!$Y$38:$Y$58,-1)))*(R620-INDEX('KT THAN'!$Y$38:$Y$58,MATCH(R620,'KT THAN'!$Y$38:$Y$58,-1)))/(INDEX('KT THAN'!$Y$38:$Y$58,MIN(21,MATCH(R620,'KT THAN'!$Y$38:$Y$58,-1)+1))-INDEX('KT THAN'!$Y$38:$Y$58,MATCH(R620,'KT THAN'!$Y$38:$Y$58,-1)))),MIN(0.8*0.75*'KT THAN'!$C$62,'KT THAN'!$D$68/R620)))))</f>
        <v/>
      </c>
      <c r="O620" s="38" t="str">
        <f>IF($A620="","",IF(H620&lt;0,ABS(H620)/MAX('KT THAN'!$C$69,0.001)+'KT THAN'!$C$32*ABS(J620)/MAX('KT THAN'!$C$68,0.001)+'KT THAN'!$D$32*ABS(I620)/MAX('KT THAN'!$D$68,0.001),IF(OR(M620&lt;=0,N620&lt;=0),999,IF(H620&gt;=0.1*0.75*fc_*Agth*1000,H620/MAX(0.001,1/(1/M620+1/N620-1/(0.75*'KT THAN'!$C$62))),'KT THAN'!$C$32*ABS(J620)/MAX('KT THAN'!$C$68,0.001)+'KT THAN'!$D$32*ABS(I620)/MAX('KT THAN'!$D$68,0.001)))))</f>
        <v/>
      </c>
      <c r="P620" s="37" t="str">
        <f t="shared" si="97"/>
        <v/>
      </c>
      <c r="Q620" s="38" t="str">
        <f>IF($A620="","",MAX(0.001,'KT THAN'!$C$32*ABS(J620)/MAX(1,H620)))</f>
        <v/>
      </c>
      <c r="R620" s="38" t="str">
        <f>IF($A620="","",MAX(0.001,'KT THAN'!$D$32*ABS(I620)/MAX(1,H620)))</f>
        <v/>
      </c>
      <c r="S620" t="str">
        <f t="shared" si="91"/>
        <v/>
      </c>
    </row>
    <row r="621" spans="1:19" hidden="1" outlineLevel="1" x14ac:dyDescent="0.3">
      <c r="A621" s="37" t="str">
        <f>IF(OR(nThan=1,'TO HOP NLAN'!$A177=""),"",'TO HOP NLAN'!$A177)</f>
        <v/>
      </c>
      <c r="B621" s="38" t="str">
        <f>IF($A621="","",'TO HOP NLAN'!$D177)</f>
        <v/>
      </c>
      <c r="C621" s="38" t="str">
        <f>IF($A621="","",'TO HOP NLAN'!$E177)</f>
        <v/>
      </c>
      <c r="D621" s="38" t="str">
        <f>IF($A621="","",'TO HOP NLAN'!$F177)</f>
        <v/>
      </c>
      <c r="E621" s="38" t="str">
        <f>IF($A621="","",'TO HOP NLAN'!$B177)</f>
        <v/>
      </c>
      <c r="F621" s="38" t="str">
        <f>IF($A621="","",'TO HOP NLAN'!$C177)</f>
        <v/>
      </c>
      <c r="G621" s="38" t="str">
        <f t="shared" si="92"/>
        <v/>
      </c>
      <c r="H621" s="38" t="str">
        <f t="shared" si="90"/>
        <v/>
      </c>
      <c r="I621" s="38" t="str">
        <f t="shared" si="93"/>
        <v/>
      </c>
      <c r="J621" s="38" t="str">
        <f t="shared" si="94"/>
        <v/>
      </c>
      <c r="K621" s="38" t="str">
        <f t="shared" si="95"/>
        <v/>
      </c>
      <c r="L621" s="38" t="str">
        <f t="shared" si="96"/>
        <v/>
      </c>
      <c r="M621" s="38" t="str">
        <f>IF($A621="","",IF(H621=0,"",IF(Q621&lt;=0.000000001,MIN(0.8*0.75*'KT THAN'!$C$62,MAX('KT THAN'!$J$38:$J$58)),IFERROR(MIN(0.8*0.75*'KT THAN'!$C$62,INDEX('KT THAN'!$J$38:$J$58,MATCH(Q621,'KT THAN'!$L$38:$L$58,-1))+(INDEX('KT THAN'!$J$38:$J$58,MIN(21,MATCH(Q621,'KT THAN'!$L$38:$L$58,-1)+1))-INDEX('KT THAN'!$J$38:$J$58,MATCH(Q621,'KT THAN'!$L$38:$L$58,-1)))*(Q621-INDEX('KT THAN'!$L$38:$L$58,MATCH(Q621,'KT THAN'!$L$38:$L$58,-1)))/(INDEX('KT THAN'!$L$38:$L$58,MIN(21,MATCH(Q621,'KT THAN'!$L$38:$L$58,-1)+1))-INDEX('KT THAN'!$L$38:$L$58,MATCH(Q621,'KT THAN'!$L$38:$L$58,-1)))),MIN(0.8*0.75*'KT THAN'!$C$62,'KT THAN'!$C$68/Q621)))))</f>
        <v/>
      </c>
      <c r="N621" s="38" t="str">
        <f>IF($A621="","",IF(H621=0,"",IF(R621&lt;=0.000000001,MIN(0.8*0.75*'KT THAN'!$C$62,MAX('KT THAN'!$W$38:$W$58)),IFERROR(MIN(0.8*0.75*'KT THAN'!$C$62,INDEX('KT THAN'!$W$38:$W$58,MATCH(R621,'KT THAN'!$Y$38:$Y$58,-1))+(INDEX('KT THAN'!$W$38:$W$58,MIN(21,MATCH(R621,'KT THAN'!$Y$38:$Y$58,-1)+1))-INDEX('KT THAN'!$W$38:$W$58,MATCH(R621,'KT THAN'!$Y$38:$Y$58,-1)))*(R621-INDEX('KT THAN'!$Y$38:$Y$58,MATCH(R621,'KT THAN'!$Y$38:$Y$58,-1)))/(INDEX('KT THAN'!$Y$38:$Y$58,MIN(21,MATCH(R621,'KT THAN'!$Y$38:$Y$58,-1)+1))-INDEX('KT THAN'!$Y$38:$Y$58,MATCH(R621,'KT THAN'!$Y$38:$Y$58,-1)))),MIN(0.8*0.75*'KT THAN'!$C$62,'KT THAN'!$D$68/R621)))))</f>
        <v/>
      </c>
      <c r="O621" s="38" t="str">
        <f>IF($A621="","",IF(H621&lt;0,ABS(H621)/MAX('KT THAN'!$C$69,0.001)+'KT THAN'!$C$32*ABS(J621)/MAX('KT THAN'!$C$68,0.001)+'KT THAN'!$D$32*ABS(I621)/MAX('KT THAN'!$D$68,0.001),IF(OR(M621&lt;=0,N621&lt;=0),999,IF(H621&gt;=0.1*0.75*fc_*Agth*1000,H621/MAX(0.001,1/(1/M621+1/N621-1/(0.75*'KT THAN'!$C$62))),'KT THAN'!$C$32*ABS(J621)/MAX('KT THAN'!$C$68,0.001)+'KT THAN'!$D$32*ABS(I621)/MAX('KT THAN'!$D$68,0.001)))))</f>
        <v/>
      </c>
      <c r="P621" s="37" t="str">
        <f t="shared" si="97"/>
        <v/>
      </c>
      <c r="Q621" s="38" t="str">
        <f>IF($A621="","",MAX(0.001,'KT THAN'!$C$32*ABS(J621)/MAX(1,H621)))</f>
        <v/>
      </c>
      <c r="R621" s="38" t="str">
        <f>IF($A621="","",MAX(0.001,'KT THAN'!$D$32*ABS(I621)/MAX(1,H621)))</f>
        <v/>
      </c>
      <c r="S621" t="str">
        <f t="shared" si="91"/>
        <v/>
      </c>
    </row>
    <row r="622" spans="1:19" hidden="1" outlineLevel="1" x14ac:dyDescent="0.3">
      <c r="A622" s="37" t="str">
        <f>IF(OR(nThan=1,'TO HOP NLAN'!$A178=""),"",'TO HOP NLAN'!$A178)</f>
        <v/>
      </c>
      <c r="B622" s="38" t="str">
        <f>IF($A622="","",'TO HOP NLAN'!$D178)</f>
        <v/>
      </c>
      <c r="C622" s="38" t="str">
        <f>IF($A622="","",'TO HOP NLAN'!$E178)</f>
        <v/>
      </c>
      <c r="D622" s="38" t="str">
        <f>IF($A622="","",'TO HOP NLAN'!$F178)</f>
        <v/>
      </c>
      <c r="E622" s="38" t="str">
        <f>IF($A622="","",'TO HOP NLAN'!$B178)</f>
        <v/>
      </c>
      <c r="F622" s="38" t="str">
        <f>IF($A622="","",'TO HOP NLAN'!$C178)</f>
        <v/>
      </c>
      <c r="G622" s="38" t="str">
        <f t="shared" si="92"/>
        <v/>
      </c>
      <c r="H622" s="38" t="str">
        <f t="shared" si="90"/>
        <v/>
      </c>
      <c r="I622" s="38" t="str">
        <f t="shared" si="93"/>
        <v/>
      </c>
      <c r="J622" s="38" t="str">
        <f t="shared" si="94"/>
        <v/>
      </c>
      <c r="K622" s="38" t="str">
        <f t="shared" si="95"/>
        <v/>
      </c>
      <c r="L622" s="38" t="str">
        <f t="shared" si="96"/>
        <v/>
      </c>
      <c r="M622" s="38" t="str">
        <f>IF($A622="","",IF(H622=0,"",IF(Q622&lt;=0.000000001,MIN(0.8*0.75*'KT THAN'!$C$62,MAX('KT THAN'!$J$38:$J$58)),IFERROR(MIN(0.8*0.75*'KT THAN'!$C$62,INDEX('KT THAN'!$J$38:$J$58,MATCH(Q622,'KT THAN'!$L$38:$L$58,-1))+(INDEX('KT THAN'!$J$38:$J$58,MIN(21,MATCH(Q622,'KT THAN'!$L$38:$L$58,-1)+1))-INDEX('KT THAN'!$J$38:$J$58,MATCH(Q622,'KT THAN'!$L$38:$L$58,-1)))*(Q622-INDEX('KT THAN'!$L$38:$L$58,MATCH(Q622,'KT THAN'!$L$38:$L$58,-1)))/(INDEX('KT THAN'!$L$38:$L$58,MIN(21,MATCH(Q622,'KT THAN'!$L$38:$L$58,-1)+1))-INDEX('KT THAN'!$L$38:$L$58,MATCH(Q622,'KT THAN'!$L$38:$L$58,-1)))),MIN(0.8*0.75*'KT THAN'!$C$62,'KT THAN'!$C$68/Q622)))))</f>
        <v/>
      </c>
      <c r="N622" s="38" t="str">
        <f>IF($A622="","",IF(H622=0,"",IF(R622&lt;=0.000000001,MIN(0.8*0.75*'KT THAN'!$C$62,MAX('KT THAN'!$W$38:$W$58)),IFERROR(MIN(0.8*0.75*'KT THAN'!$C$62,INDEX('KT THAN'!$W$38:$W$58,MATCH(R622,'KT THAN'!$Y$38:$Y$58,-1))+(INDEX('KT THAN'!$W$38:$W$58,MIN(21,MATCH(R622,'KT THAN'!$Y$38:$Y$58,-1)+1))-INDEX('KT THAN'!$W$38:$W$58,MATCH(R622,'KT THAN'!$Y$38:$Y$58,-1)))*(R622-INDEX('KT THAN'!$Y$38:$Y$58,MATCH(R622,'KT THAN'!$Y$38:$Y$58,-1)))/(INDEX('KT THAN'!$Y$38:$Y$58,MIN(21,MATCH(R622,'KT THAN'!$Y$38:$Y$58,-1)+1))-INDEX('KT THAN'!$Y$38:$Y$58,MATCH(R622,'KT THAN'!$Y$38:$Y$58,-1)))),MIN(0.8*0.75*'KT THAN'!$C$62,'KT THAN'!$D$68/R622)))))</f>
        <v/>
      </c>
      <c r="O622" s="38" t="str">
        <f>IF($A622="","",IF(H622&lt;0,ABS(H622)/MAX('KT THAN'!$C$69,0.001)+'KT THAN'!$C$32*ABS(J622)/MAX('KT THAN'!$C$68,0.001)+'KT THAN'!$D$32*ABS(I622)/MAX('KT THAN'!$D$68,0.001),IF(OR(M622&lt;=0,N622&lt;=0),999,IF(H622&gt;=0.1*0.75*fc_*Agth*1000,H622/MAX(0.001,1/(1/M622+1/N622-1/(0.75*'KT THAN'!$C$62))),'KT THAN'!$C$32*ABS(J622)/MAX('KT THAN'!$C$68,0.001)+'KT THAN'!$D$32*ABS(I622)/MAX('KT THAN'!$D$68,0.001)))))</f>
        <v/>
      </c>
      <c r="P622" s="37" t="str">
        <f t="shared" si="97"/>
        <v/>
      </c>
      <c r="Q622" s="38" t="str">
        <f>IF($A622="","",MAX(0.001,'KT THAN'!$C$32*ABS(J622)/MAX(1,H622)))</f>
        <v/>
      </c>
      <c r="R622" s="38" t="str">
        <f>IF($A622="","",MAX(0.001,'KT THAN'!$D$32*ABS(I622)/MAX(1,H622)))</f>
        <v/>
      </c>
      <c r="S622" t="str">
        <f t="shared" si="91"/>
        <v/>
      </c>
    </row>
    <row r="623" spans="1:19" hidden="1" outlineLevel="1" x14ac:dyDescent="0.3">
      <c r="A623" s="37" t="str">
        <f>IF(OR(nThan=1,'TO HOP NLAN'!$A179=""),"",'TO HOP NLAN'!$A179)</f>
        <v/>
      </c>
      <c r="B623" s="38" t="str">
        <f>IF($A623="","",'TO HOP NLAN'!$D179)</f>
        <v/>
      </c>
      <c r="C623" s="38" t="str">
        <f>IF($A623="","",'TO HOP NLAN'!$E179)</f>
        <v/>
      </c>
      <c r="D623" s="38" t="str">
        <f>IF($A623="","",'TO HOP NLAN'!$F179)</f>
        <v/>
      </c>
      <c r="E623" s="38" t="str">
        <f>IF($A623="","",'TO HOP NLAN'!$B179)</f>
        <v/>
      </c>
      <c r="F623" s="38" t="str">
        <f>IF($A623="","",'TO HOP NLAN'!$C179)</f>
        <v/>
      </c>
      <c r="G623" s="38" t="str">
        <f t="shared" si="92"/>
        <v/>
      </c>
      <c r="H623" s="38" t="str">
        <f t="shared" si="90"/>
        <v/>
      </c>
      <c r="I623" s="38" t="str">
        <f t="shared" si="93"/>
        <v/>
      </c>
      <c r="J623" s="38" t="str">
        <f t="shared" si="94"/>
        <v/>
      </c>
      <c r="K623" s="38" t="str">
        <f t="shared" si="95"/>
        <v/>
      </c>
      <c r="L623" s="38" t="str">
        <f t="shared" si="96"/>
        <v/>
      </c>
      <c r="M623" s="38" t="str">
        <f>IF($A623="","",IF(H623=0,"",IF(Q623&lt;=0.000000001,MIN(0.8*0.75*'KT THAN'!$C$62,MAX('KT THAN'!$J$38:$J$58)),IFERROR(MIN(0.8*0.75*'KT THAN'!$C$62,INDEX('KT THAN'!$J$38:$J$58,MATCH(Q623,'KT THAN'!$L$38:$L$58,-1))+(INDEX('KT THAN'!$J$38:$J$58,MIN(21,MATCH(Q623,'KT THAN'!$L$38:$L$58,-1)+1))-INDEX('KT THAN'!$J$38:$J$58,MATCH(Q623,'KT THAN'!$L$38:$L$58,-1)))*(Q623-INDEX('KT THAN'!$L$38:$L$58,MATCH(Q623,'KT THAN'!$L$38:$L$58,-1)))/(INDEX('KT THAN'!$L$38:$L$58,MIN(21,MATCH(Q623,'KT THAN'!$L$38:$L$58,-1)+1))-INDEX('KT THAN'!$L$38:$L$58,MATCH(Q623,'KT THAN'!$L$38:$L$58,-1)))),MIN(0.8*0.75*'KT THAN'!$C$62,'KT THAN'!$C$68/Q623)))))</f>
        <v/>
      </c>
      <c r="N623" s="38" t="str">
        <f>IF($A623="","",IF(H623=0,"",IF(R623&lt;=0.000000001,MIN(0.8*0.75*'KT THAN'!$C$62,MAX('KT THAN'!$W$38:$W$58)),IFERROR(MIN(0.8*0.75*'KT THAN'!$C$62,INDEX('KT THAN'!$W$38:$W$58,MATCH(R623,'KT THAN'!$Y$38:$Y$58,-1))+(INDEX('KT THAN'!$W$38:$W$58,MIN(21,MATCH(R623,'KT THAN'!$Y$38:$Y$58,-1)+1))-INDEX('KT THAN'!$W$38:$W$58,MATCH(R623,'KT THAN'!$Y$38:$Y$58,-1)))*(R623-INDEX('KT THAN'!$Y$38:$Y$58,MATCH(R623,'KT THAN'!$Y$38:$Y$58,-1)))/(INDEX('KT THAN'!$Y$38:$Y$58,MIN(21,MATCH(R623,'KT THAN'!$Y$38:$Y$58,-1)+1))-INDEX('KT THAN'!$Y$38:$Y$58,MATCH(R623,'KT THAN'!$Y$38:$Y$58,-1)))),MIN(0.8*0.75*'KT THAN'!$C$62,'KT THAN'!$D$68/R623)))))</f>
        <v/>
      </c>
      <c r="O623" s="38" t="str">
        <f>IF($A623="","",IF(H623&lt;0,ABS(H623)/MAX('KT THAN'!$C$69,0.001)+'KT THAN'!$C$32*ABS(J623)/MAX('KT THAN'!$C$68,0.001)+'KT THAN'!$D$32*ABS(I623)/MAX('KT THAN'!$D$68,0.001),IF(OR(M623&lt;=0,N623&lt;=0),999,IF(H623&gt;=0.1*0.75*fc_*Agth*1000,H623/MAX(0.001,1/(1/M623+1/N623-1/(0.75*'KT THAN'!$C$62))),'KT THAN'!$C$32*ABS(J623)/MAX('KT THAN'!$C$68,0.001)+'KT THAN'!$D$32*ABS(I623)/MAX('KT THAN'!$D$68,0.001)))))</f>
        <v/>
      </c>
      <c r="P623" s="37" t="str">
        <f t="shared" si="97"/>
        <v/>
      </c>
      <c r="Q623" s="38" t="str">
        <f>IF($A623="","",MAX(0.001,'KT THAN'!$C$32*ABS(J623)/MAX(1,H623)))</f>
        <v/>
      </c>
      <c r="R623" s="38" t="str">
        <f>IF($A623="","",MAX(0.001,'KT THAN'!$D$32*ABS(I623)/MAX(1,H623)))</f>
        <v/>
      </c>
      <c r="S623" t="str">
        <f t="shared" si="91"/>
        <v/>
      </c>
    </row>
    <row r="624" spans="1:19" hidden="1" outlineLevel="1" x14ac:dyDescent="0.3">
      <c r="A624" s="37" t="str">
        <f>IF(OR(nThan=1,'TO HOP NLAN'!$A180=""),"",'TO HOP NLAN'!$A180)</f>
        <v/>
      </c>
      <c r="B624" s="38" t="str">
        <f>IF($A624="","",'TO HOP NLAN'!$D180)</f>
        <v/>
      </c>
      <c r="C624" s="38" t="str">
        <f>IF($A624="","",'TO HOP NLAN'!$E180)</f>
        <v/>
      </c>
      <c r="D624" s="38" t="str">
        <f>IF($A624="","",'TO HOP NLAN'!$F180)</f>
        <v/>
      </c>
      <c r="E624" s="38" t="str">
        <f>IF($A624="","",'TO HOP NLAN'!$B180)</f>
        <v/>
      </c>
      <c r="F624" s="38" t="str">
        <f>IF($A624="","",'TO HOP NLAN'!$C180)</f>
        <v/>
      </c>
      <c r="G624" s="38" t="str">
        <f t="shared" si="92"/>
        <v/>
      </c>
      <c r="H624" s="38" t="str">
        <f t="shared" si="90"/>
        <v/>
      </c>
      <c r="I624" s="38" t="str">
        <f t="shared" si="93"/>
        <v/>
      </c>
      <c r="J624" s="38" t="str">
        <f t="shared" si="94"/>
        <v/>
      </c>
      <c r="K624" s="38" t="str">
        <f t="shared" si="95"/>
        <v/>
      </c>
      <c r="L624" s="38" t="str">
        <f t="shared" si="96"/>
        <v/>
      </c>
      <c r="M624" s="38" t="str">
        <f>IF($A624="","",IF(H624=0,"",IF(Q624&lt;=0.000000001,MIN(0.8*0.75*'KT THAN'!$C$62,MAX('KT THAN'!$J$38:$J$58)),IFERROR(MIN(0.8*0.75*'KT THAN'!$C$62,INDEX('KT THAN'!$J$38:$J$58,MATCH(Q624,'KT THAN'!$L$38:$L$58,-1))+(INDEX('KT THAN'!$J$38:$J$58,MIN(21,MATCH(Q624,'KT THAN'!$L$38:$L$58,-1)+1))-INDEX('KT THAN'!$J$38:$J$58,MATCH(Q624,'KT THAN'!$L$38:$L$58,-1)))*(Q624-INDEX('KT THAN'!$L$38:$L$58,MATCH(Q624,'KT THAN'!$L$38:$L$58,-1)))/(INDEX('KT THAN'!$L$38:$L$58,MIN(21,MATCH(Q624,'KT THAN'!$L$38:$L$58,-1)+1))-INDEX('KT THAN'!$L$38:$L$58,MATCH(Q624,'KT THAN'!$L$38:$L$58,-1)))),MIN(0.8*0.75*'KT THAN'!$C$62,'KT THAN'!$C$68/Q624)))))</f>
        <v/>
      </c>
      <c r="N624" s="38" t="str">
        <f>IF($A624="","",IF(H624=0,"",IF(R624&lt;=0.000000001,MIN(0.8*0.75*'KT THAN'!$C$62,MAX('KT THAN'!$W$38:$W$58)),IFERROR(MIN(0.8*0.75*'KT THAN'!$C$62,INDEX('KT THAN'!$W$38:$W$58,MATCH(R624,'KT THAN'!$Y$38:$Y$58,-1))+(INDEX('KT THAN'!$W$38:$W$58,MIN(21,MATCH(R624,'KT THAN'!$Y$38:$Y$58,-1)+1))-INDEX('KT THAN'!$W$38:$W$58,MATCH(R624,'KT THAN'!$Y$38:$Y$58,-1)))*(R624-INDEX('KT THAN'!$Y$38:$Y$58,MATCH(R624,'KT THAN'!$Y$38:$Y$58,-1)))/(INDEX('KT THAN'!$Y$38:$Y$58,MIN(21,MATCH(R624,'KT THAN'!$Y$38:$Y$58,-1)+1))-INDEX('KT THAN'!$Y$38:$Y$58,MATCH(R624,'KT THAN'!$Y$38:$Y$58,-1)))),MIN(0.8*0.75*'KT THAN'!$C$62,'KT THAN'!$D$68/R624)))))</f>
        <v/>
      </c>
      <c r="O624" s="38" t="str">
        <f>IF($A624="","",IF(H624&lt;0,ABS(H624)/MAX('KT THAN'!$C$69,0.001)+'KT THAN'!$C$32*ABS(J624)/MAX('KT THAN'!$C$68,0.001)+'KT THAN'!$D$32*ABS(I624)/MAX('KT THAN'!$D$68,0.001),IF(OR(M624&lt;=0,N624&lt;=0),999,IF(H624&gt;=0.1*0.75*fc_*Agth*1000,H624/MAX(0.001,1/(1/M624+1/N624-1/(0.75*'KT THAN'!$C$62))),'KT THAN'!$C$32*ABS(J624)/MAX('KT THAN'!$C$68,0.001)+'KT THAN'!$D$32*ABS(I624)/MAX('KT THAN'!$D$68,0.001)))))</f>
        <v/>
      </c>
      <c r="P624" s="37" t="str">
        <f t="shared" si="97"/>
        <v/>
      </c>
      <c r="Q624" s="38" t="str">
        <f>IF($A624="","",MAX(0.001,'KT THAN'!$C$32*ABS(J624)/MAX(1,H624)))</f>
        <v/>
      </c>
      <c r="R624" s="38" t="str">
        <f>IF($A624="","",MAX(0.001,'KT THAN'!$D$32*ABS(I624)/MAX(1,H624)))</f>
        <v/>
      </c>
      <c r="S624" t="str">
        <f t="shared" si="91"/>
        <v/>
      </c>
    </row>
    <row r="625" spans="1:19" hidden="1" outlineLevel="1" x14ac:dyDescent="0.3">
      <c r="A625" s="37" t="str">
        <f>IF(OR(nThan=1,'TO HOP NLAN'!$A181=""),"",'TO HOP NLAN'!$A181)</f>
        <v/>
      </c>
      <c r="B625" s="38" t="str">
        <f>IF($A625="","",'TO HOP NLAN'!$D181)</f>
        <v/>
      </c>
      <c r="C625" s="38" t="str">
        <f>IF($A625="","",'TO HOP NLAN'!$E181)</f>
        <v/>
      </c>
      <c r="D625" s="38" t="str">
        <f>IF($A625="","",'TO HOP NLAN'!$F181)</f>
        <v/>
      </c>
      <c r="E625" s="38" t="str">
        <f>IF($A625="","",'TO HOP NLAN'!$B181)</f>
        <v/>
      </c>
      <c r="F625" s="38" t="str">
        <f>IF($A625="","",'TO HOP NLAN'!$C181)</f>
        <v/>
      </c>
      <c r="G625" s="38" t="str">
        <f t="shared" si="92"/>
        <v/>
      </c>
      <c r="H625" s="38" t="str">
        <f t="shared" si="90"/>
        <v/>
      </c>
      <c r="I625" s="38" t="str">
        <f t="shared" si="93"/>
        <v/>
      </c>
      <c r="J625" s="38" t="str">
        <f t="shared" si="94"/>
        <v/>
      </c>
      <c r="K625" s="38" t="str">
        <f t="shared" si="95"/>
        <v/>
      </c>
      <c r="L625" s="38" t="str">
        <f t="shared" si="96"/>
        <v/>
      </c>
      <c r="M625" s="38" t="str">
        <f>IF($A625="","",IF(H625=0,"",IF(Q625&lt;=0.000000001,MIN(0.8*0.75*'KT THAN'!$C$62,MAX('KT THAN'!$J$38:$J$58)),IFERROR(MIN(0.8*0.75*'KT THAN'!$C$62,INDEX('KT THAN'!$J$38:$J$58,MATCH(Q625,'KT THAN'!$L$38:$L$58,-1))+(INDEX('KT THAN'!$J$38:$J$58,MIN(21,MATCH(Q625,'KT THAN'!$L$38:$L$58,-1)+1))-INDEX('KT THAN'!$J$38:$J$58,MATCH(Q625,'KT THAN'!$L$38:$L$58,-1)))*(Q625-INDEX('KT THAN'!$L$38:$L$58,MATCH(Q625,'KT THAN'!$L$38:$L$58,-1)))/(INDEX('KT THAN'!$L$38:$L$58,MIN(21,MATCH(Q625,'KT THAN'!$L$38:$L$58,-1)+1))-INDEX('KT THAN'!$L$38:$L$58,MATCH(Q625,'KT THAN'!$L$38:$L$58,-1)))),MIN(0.8*0.75*'KT THAN'!$C$62,'KT THAN'!$C$68/Q625)))))</f>
        <v/>
      </c>
      <c r="N625" s="38" t="str">
        <f>IF($A625="","",IF(H625=0,"",IF(R625&lt;=0.000000001,MIN(0.8*0.75*'KT THAN'!$C$62,MAX('KT THAN'!$W$38:$W$58)),IFERROR(MIN(0.8*0.75*'KT THAN'!$C$62,INDEX('KT THAN'!$W$38:$W$58,MATCH(R625,'KT THAN'!$Y$38:$Y$58,-1))+(INDEX('KT THAN'!$W$38:$W$58,MIN(21,MATCH(R625,'KT THAN'!$Y$38:$Y$58,-1)+1))-INDEX('KT THAN'!$W$38:$W$58,MATCH(R625,'KT THAN'!$Y$38:$Y$58,-1)))*(R625-INDEX('KT THAN'!$Y$38:$Y$58,MATCH(R625,'KT THAN'!$Y$38:$Y$58,-1)))/(INDEX('KT THAN'!$Y$38:$Y$58,MIN(21,MATCH(R625,'KT THAN'!$Y$38:$Y$58,-1)+1))-INDEX('KT THAN'!$Y$38:$Y$58,MATCH(R625,'KT THAN'!$Y$38:$Y$58,-1)))),MIN(0.8*0.75*'KT THAN'!$C$62,'KT THAN'!$D$68/R625)))))</f>
        <v/>
      </c>
      <c r="O625" s="38" t="str">
        <f>IF($A625="","",IF(H625&lt;0,ABS(H625)/MAX('KT THAN'!$C$69,0.001)+'KT THAN'!$C$32*ABS(J625)/MAX('KT THAN'!$C$68,0.001)+'KT THAN'!$D$32*ABS(I625)/MAX('KT THAN'!$D$68,0.001),IF(OR(M625&lt;=0,N625&lt;=0),999,IF(H625&gt;=0.1*0.75*fc_*Agth*1000,H625/MAX(0.001,1/(1/M625+1/N625-1/(0.75*'KT THAN'!$C$62))),'KT THAN'!$C$32*ABS(J625)/MAX('KT THAN'!$C$68,0.001)+'KT THAN'!$D$32*ABS(I625)/MAX('KT THAN'!$D$68,0.001)))))</f>
        <v/>
      </c>
      <c r="P625" s="37" t="str">
        <f t="shared" si="97"/>
        <v/>
      </c>
      <c r="Q625" s="38" t="str">
        <f>IF($A625="","",MAX(0.001,'KT THAN'!$C$32*ABS(J625)/MAX(1,H625)))</f>
        <v/>
      </c>
      <c r="R625" s="38" t="str">
        <f>IF($A625="","",MAX(0.001,'KT THAN'!$D$32*ABS(I625)/MAX(1,H625)))</f>
        <v/>
      </c>
      <c r="S625" t="str">
        <f t="shared" si="91"/>
        <v/>
      </c>
    </row>
    <row r="626" spans="1:19" hidden="1" outlineLevel="1" x14ac:dyDescent="0.3">
      <c r="A626" s="37" t="str">
        <f>IF(OR(nThan=1,'TO HOP NLAN'!$A182=""),"",'TO HOP NLAN'!$A182)</f>
        <v/>
      </c>
      <c r="B626" s="38" t="str">
        <f>IF($A626="","",'TO HOP NLAN'!$D182)</f>
        <v/>
      </c>
      <c r="C626" s="38" t="str">
        <f>IF($A626="","",'TO HOP NLAN'!$E182)</f>
        <v/>
      </c>
      <c r="D626" s="38" t="str">
        <f>IF($A626="","",'TO HOP NLAN'!$F182)</f>
        <v/>
      </c>
      <c r="E626" s="38" t="str">
        <f>IF($A626="","",'TO HOP NLAN'!$B182)</f>
        <v/>
      </c>
      <c r="F626" s="38" t="str">
        <f>IF($A626="","",'TO HOP NLAN'!$C182)</f>
        <v/>
      </c>
      <c r="G626" s="38" t="str">
        <f t="shared" si="92"/>
        <v/>
      </c>
      <c r="H626" s="38" t="str">
        <f t="shared" si="90"/>
        <v/>
      </c>
      <c r="I626" s="38" t="str">
        <f t="shared" si="93"/>
        <v/>
      </c>
      <c r="J626" s="38" t="str">
        <f t="shared" si="94"/>
        <v/>
      </c>
      <c r="K626" s="38" t="str">
        <f t="shared" si="95"/>
        <v/>
      </c>
      <c r="L626" s="38" t="str">
        <f t="shared" si="96"/>
        <v/>
      </c>
      <c r="M626" s="38" t="str">
        <f>IF($A626="","",IF(H626=0,"",IF(Q626&lt;=0.000000001,MIN(0.8*0.75*'KT THAN'!$C$62,MAX('KT THAN'!$J$38:$J$58)),IFERROR(MIN(0.8*0.75*'KT THAN'!$C$62,INDEX('KT THAN'!$J$38:$J$58,MATCH(Q626,'KT THAN'!$L$38:$L$58,-1))+(INDEX('KT THAN'!$J$38:$J$58,MIN(21,MATCH(Q626,'KT THAN'!$L$38:$L$58,-1)+1))-INDEX('KT THAN'!$J$38:$J$58,MATCH(Q626,'KT THAN'!$L$38:$L$58,-1)))*(Q626-INDEX('KT THAN'!$L$38:$L$58,MATCH(Q626,'KT THAN'!$L$38:$L$58,-1)))/(INDEX('KT THAN'!$L$38:$L$58,MIN(21,MATCH(Q626,'KT THAN'!$L$38:$L$58,-1)+1))-INDEX('KT THAN'!$L$38:$L$58,MATCH(Q626,'KT THAN'!$L$38:$L$58,-1)))),MIN(0.8*0.75*'KT THAN'!$C$62,'KT THAN'!$C$68/Q626)))))</f>
        <v/>
      </c>
      <c r="N626" s="38" t="str">
        <f>IF($A626="","",IF(H626=0,"",IF(R626&lt;=0.000000001,MIN(0.8*0.75*'KT THAN'!$C$62,MAX('KT THAN'!$W$38:$W$58)),IFERROR(MIN(0.8*0.75*'KT THAN'!$C$62,INDEX('KT THAN'!$W$38:$W$58,MATCH(R626,'KT THAN'!$Y$38:$Y$58,-1))+(INDEX('KT THAN'!$W$38:$W$58,MIN(21,MATCH(R626,'KT THAN'!$Y$38:$Y$58,-1)+1))-INDEX('KT THAN'!$W$38:$W$58,MATCH(R626,'KT THAN'!$Y$38:$Y$58,-1)))*(R626-INDEX('KT THAN'!$Y$38:$Y$58,MATCH(R626,'KT THAN'!$Y$38:$Y$58,-1)))/(INDEX('KT THAN'!$Y$38:$Y$58,MIN(21,MATCH(R626,'KT THAN'!$Y$38:$Y$58,-1)+1))-INDEX('KT THAN'!$Y$38:$Y$58,MATCH(R626,'KT THAN'!$Y$38:$Y$58,-1)))),MIN(0.8*0.75*'KT THAN'!$C$62,'KT THAN'!$D$68/R626)))))</f>
        <v/>
      </c>
      <c r="O626" s="38" t="str">
        <f>IF($A626="","",IF(H626&lt;0,ABS(H626)/MAX('KT THAN'!$C$69,0.001)+'KT THAN'!$C$32*ABS(J626)/MAX('KT THAN'!$C$68,0.001)+'KT THAN'!$D$32*ABS(I626)/MAX('KT THAN'!$D$68,0.001),IF(OR(M626&lt;=0,N626&lt;=0),999,IF(H626&gt;=0.1*0.75*fc_*Agth*1000,H626/MAX(0.001,1/(1/M626+1/N626-1/(0.75*'KT THAN'!$C$62))),'KT THAN'!$C$32*ABS(J626)/MAX('KT THAN'!$C$68,0.001)+'KT THAN'!$D$32*ABS(I626)/MAX('KT THAN'!$D$68,0.001)))))</f>
        <v/>
      </c>
      <c r="P626" s="37" t="str">
        <f t="shared" si="97"/>
        <v/>
      </c>
      <c r="Q626" s="38" t="str">
        <f>IF($A626="","",MAX(0.001,'KT THAN'!$C$32*ABS(J626)/MAX(1,H626)))</f>
        <v/>
      </c>
      <c r="R626" s="38" t="str">
        <f>IF($A626="","",MAX(0.001,'KT THAN'!$D$32*ABS(I626)/MAX(1,H626)))</f>
        <v/>
      </c>
      <c r="S626" t="str">
        <f t="shared" si="91"/>
        <v/>
      </c>
    </row>
    <row r="627" spans="1:19" hidden="1" outlineLevel="1" x14ac:dyDescent="0.3">
      <c r="A627" s="37" t="str">
        <f>IF(OR(nThan=1,'TO HOP NLAN'!$A183=""),"",'TO HOP NLAN'!$A183)</f>
        <v/>
      </c>
      <c r="B627" s="38" t="str">
        <f>IF($A627="","",'TO HOP NLAN'!$D183)</f>
        <v/>
      </c>
      <c r="C627" s="38" t="str">
        <f>IF($A627="","",'TO HOP NLAN'!$E183)</f>
        <v/>
      </c>
      <c r="D627" s="38" t="str">
        <f>IF($A627="","",'TO HOP NLAN'!$F183)</f>
        <v/>
      </c>
      <c r="E627" s="38" t="str">
        <f>IF($A627="","",'TO HOP NLAN'!$B183)</f>
        <v/>
      </c>
      <c r="F627" s="38" t="str">
        <f>IF($A627="","",'TO HOP NLAN'!$C183)</f>
        <v/>
      </c>
      <c r="G627" s="38" t="str">
        <f t="shared" si="92"/>
        <v/>
      </c>
      <c r="H627" s="38" t="str">
        <f t="shared" si="90"/>
        <v/>
      </c>
      <c r="I627" s="38" t="str">
        <f t="shared" si="93"/>
        <v/>
      </c>
      <c r="J627" s="38" t="str">
        <f t="shared" si="94"/>
        <v/>
      </c>
      <c r="K627" s="38" t="str">
        <f t="shared" si="95"/>
        <v/>
      </c>
      <c r="L627" s="38" t="str">
        <f t="shared" si="96"/>
        <v/>
      </c>
      <c r="M627" s="38" t="str">
        <f>IF($A627="","",IF(H627=0,"",IF(Q627&lt;=0.000000001,MIN(0.8*0.75*'KT THAN'!$C$62,MAX('KT THAN'!$J$38:$J$58)),IFERROR(MIN(0.8*0.75*'KT THAN'!$C$62,INDEX('KT THAN'!$J$38:$J$58,MATCH(Q627,'KT THAN'!$L$38:$L$58,-1))+(INDEX('KT THAN'!$J$38:$J$58,MIN(21,MATCH(Q627,'KT THAN'!$L$38:$L$58,-1)+1))-INDEX('KT THAN'!$J$38:$J$58,MATCH(Q627,'KT THAN'!$L$38:$L$58,-1)))*(Q627-INDEX('KT THAN'!$L$38:$L$58,MATCH(Q627,'KT THAN'!$L$38:$L$58,-1)))/(INDEX('KT THAN'!$L$38:$L$58,MIN(21,MATCH(Q627,'KT THAN'!$L$38:$L$58,-1)+1))-INDEX('KT THAN'!$L$38:$L$58,MATCH(Q627,'KT THAN'!$L$38:$L$58,-1)))),MIN(0.8*0.75*'KT THAN'!$C$62,'KT THAN'!$C$68/Q627)))))</f>
        <v/>
      </c>
      <c r="N627" s="38" t="str">
        <f>IF($A627="","",IF(H627=0,"",IF(R627&lt;=0.000000001,MIN(0.8*0.75*'KT THAN'!$C$62,MAX('KT THAN'!$W$38:$W$58)),IFERROR(MIN(0.8*0.75*'KT THAN'!$C$62,INDEX('KT THAN'!$W$38:$W$58,MATCH(R627,'KT THAN'!$Y$38:$Y$58,-1))+(INDEX('KT THAN'!$W$38:$W$58,MIN(21,MATCH(R627,'KT THAN'!$Y$38:$Y$58,-1)+1))-INDEX('KT THAN'!$W$38:$W$58,MATCH(R627,'KT THAN'!$Y$38:$Y$58,-1)))*(R627-INDEX('KT THAN'!$Y$38:$Y$58,MATCH(R627,'KT THAN'!$Y$38:$Y$58,-1)))/(INDEX('KT THAN'!$Y$38:$Y$58,MIN(21,MATCH(R627,'KT THAN'!$Y$38:$Y$58,-1)+1))-INDEX('KT THAN'!$Y$38:$Y$58,MATCH(R627,'KT THAN'!$Y$38:$Y$58,-1)))),MIN(0.8*0.75*'KT THAN'!$C$62,'KT THAN'!$D$68/R627)))))</f>
        <v/>
      </c>
      <c r="O627" s="38" t="str">
        <f>IF($A627="","",IF(H627&lt;0,ABS(H627)/MAX('KT THAN'!$C$69,0.001)+'KT THAN'!$C$32*ABS(J627)/MAX('KT THAN'!$C$68,0.001)+'KT THAN'!$D$32*ABS(I627)/MAX('KT THAN'!$D$68,0.001),IF(OR(M627&lt;=0,N627&lt;=0),999,IF(H627&gt;=0.1*0.75*fc_*Agth*1000,H627/MAX(0.001,1/(1/M627+1/N627-1/(0.75*'KT THAN'!$C$62))),'KT THAN'!$C$32*ABS(J627)/MAX('KT THAN'!$C$68,0.001)+'KT THAN'!$D$32*ABS(I627)/MAX('KT THAN'!$D$68,0.001)))))</f>
        <v/>
      </c>
      <c r="P627" s="37" t="str">
        <f t="shared" si="97"/>
        <v/>
      </c>
      <c r="Q627" s="38" t="str">
        <f>IF($A627="","",MAX(0.001,'KT THAN'!$C$32*ABS(J627)/MAX(1,H627)))</f>
        <v/>
      </c>
      <c r="R627" s="38" t="str">
        <f>IF($A627="","",MAX(0.001,'KT THAN'!$D$32*ABS(I627)/MAX(1,H627)))</f>
        <v/>
      </c>
      <c r="S627" t="str">
        <f t="shared" si="91"/>
        <v/>
      </c>
    </row>
    <row r="628" spans="1:19" hidden="1" outlineLevel="1" x14ac:dyDescent="0.3">
      <c r="A628" s="37" t="str">
        <f>IF(OR(nThan=1,'TO HOP NLAN'!$A184=""),"",'TO HOP NLAN'!$A184)</f>
        <v/>
      </c>
      <c r="B628" s="38" t="str">
        <f>IF($A628="","",'TO HOP NLAN'!$D184)</f>
        <v/>
      </c>
      <c r="C628" s="38" t="str">
        <f>IF($A628="","",'TO HOP NLAN'!$E184)</f>
        <v/>
      </c>
      <c r="D628" s="38" t="str">
        <f>IF($A628="","",'TO HOP NLAN'!$F184)</f>
        <v/>
      </c>
      <c r="E628" s="38" t="str">
        <f>IF($A628="","",'TO HOP NLAN'!$B184)</f>
        <v/>
      </c>
      <c r="F628" s="38" t="str">
        <f>IF($A628="","",'TO HOP NLAN'!$C184)</f>
        <v/>
      </c>
      <c r="G628" s="38" t="str">
        <f t="shared" si="92"/>
        <v/>
      </c>
      <c r="H628" s="38" t="str">
        <f t="shared" si="90"/>
        <v/>
      </c>
      <c r="I628" s="38" t="str">
        <f t="shared" si="93"/>
        <v/>
      </c>
      <c r="J628" s="38" t="str">
        <f t="shared" si="94"/>
        <v/>
      </c>
      <c r="K628" s="38" t="str">
        <f t="shared" si="95"/>
        <v/>
      </c>
      <c r="L628" s="38" t="str">
        <f t="shared" si="96"/>
        <v/>
      </c>
      <c r="M628" s="38" t="str">
        <f>IF($A628="","",IF(H628=0,"",IF(Q628&lt;=0.000000001,MIN(0.8*0.75*'KT THAN'!$C$62,MAX('KT THAN'!$J$38:$J$58)),IFERROR(MIN(0.8*0.75*'KT THAN'!$C$62,INDEX('KT THAN'!$J$38:$J$58,MATCH(Q628,'KT THAN'!$L$38:$L$58,-1))+(INDEX('KT THAN'!$J$38:$J$58,MIN(21,MATCH(Q628,'KT THAN'!$L$38:$L$58,-1)+1))-INDEX('KT THAN'!$J$38:$J$58,MATCH(Q628,'KT THAN'!$L$38:$L$58,-1)))*(Q628-INDEX('KT THAN'!$L$38:$L$58,MATCH(Q628,'KT THAN'!$L$38:$L$58,-1)))/(INDEX('KT THAN'!$L$38:$L$58,MIN(21,MATCH(Q628,'KT THAN'!$L$38:$L$58,-1)+1))-INDEX('KT THAN'!$L$38:$L$58,MATCH(Q628,'KT THAN'!$L$38:$L$58,-1)))),MIN(0.8*0.75*'KT THAN'!$C$62,'KT THAN'!$C$68/Q628)))))</f>
        <v/>
      </c>
      <c r="N628" s="38" t="str">
        <f>IF($A628="","",IF(H628=0,"",IF(R628&lt;=0.000000001,MIN(0.8*0.75*'KT THAN'!$C$62,MAX('KT THAN'!$W$38:$W$58)),IFERROR(MIN(0.8*0.75*'KT THAN'!$C$62,INDEX('KT THAN'!$W$38:$W$58,MATCH(R628,'KT THAN'!$Y$38:$Y$58,-1))+(INDEX('KT THAN'!$W$38:$W$58,MIN(21,MATCH(R628,'KT THAN'!$Y$38:$Y$58,-1)+1))-INDEX('KT THAN'!$W$38:$W$58,MATCH(R628,'KT THAN'!$Y$38:$Y$58,-1)))*(R628-INDEX('KT THAN'!$Y$38:$Y$58,MATCH(R628,'KT THAN'!$Y$38:$Y$58,-1)))/(INDEX('KT THAN'!$Y$38:$Y$58,MIN(21,MATCH(R628,'KT THAN'!$Y$38:$Y$58,-1)+1))-INDEX('KT THAN'!$Y$38:$Y$58,MATCH(R628,'KT THAN'!$Y$38:$Y$58,-1)))),MIN(0.8*0.75*'KT THAN'!$C$62,'KT THAN'!$D$68/R628)))))</f>
        <v/>
      </c>
      <c r="O628" s="38" t="str">
        <f>IF($A628="","",IF(H628&lt;0,ABS(H628)/MAX('KT THAN'!$C$69,0.001)+'KT THAN'!$C$32*ABS(J628)/MAX('KT THAN'!$C$68,0.001)+'KT THAN'!$D$32*ABS(I628)/MAX('KT THAN'!$D$68,0.001),IF(OR(M628&lt;=0,N628&lt;=0),999,IF(H628&gt;=0.1*0.75*fc_*Agth*1000,H628/MAX(0.001,1/(1/M628+1/N628-1/(0.75*'KT THAN'!$C$62))),'KT THAN'!$C$32*ABS(J628)/MAX('KT THAN'!$C$68,0.001)+'KT THAN'!$D$32*ABS(I628)/MAX('KT THAN'!$D$68,0.001)))))</f>
        <v/>
      </c>
      <c r="P628" s="37" t="str">
        <f t="shared" si="97"/>
        <v/>
      </c>
      <c r="Q628" s="38" t="str">
        <f>IF($A628="","",MAX(0.001,'KT THAN'!$C$32*ABS(J628)/MAX(1,H628)))</f>
        <v/>
      </c>
      <c r="R628" s="38" t="str">
        <f>IF($A628="","",MAX(0.001,'KT THAN'!$D$32*ABS(I628)/MAX(1,H628)))</f>
        <v/>
      </c>
      <c r="S628" t="str">
        <f t="shared" si="91"/>
        <v/>
      </c>
    </row>
    <row r="629" spans="1:19" hidden="1" outlineLevel="1" x14ac:dyDescent="0.3">
      <c r="A629" s="37" t="str">
        <f>IF(OR(nThan=1,'TO HOP NLAN'!$A185=""),"",'TO HOP NLAN'!$A185)</f>
        <v/>
      </c>
      <c r="B629" s="38" t="str">
        <f>IF($A629="","",'TO HOP NLAN'!$D185)</f>
        <v/>
      </c>
      <c r="C629" s="38" t="str">
        <f>IF($A629="","",'TO HOP NLAN'!$E185)</f>
        <v/>
      </c>
      <c r="D629" s="38" t="str">
        <f>IF($A629="","",'TO HOP NLAN'!$F185)</f>
        <v/>
      </c>
      <c r="E629" s="38" t="str">
        <f>IF($A629="","",'TO HOP NLAN'!$B185)</f>
        <v/>
      </c>
      <c r="F629" s="38" t="str">
        <f>IF($A629="","",'TO HOP NLAN'!$C185)</f>
        <v/>
      </c>
      <c r="G629" s="38" t="str">
        <f t="shared" si="92"/>
        <v/>
      </c>
      <c r="H629" s="38" t="str">
        <f t="shared" si="90"/>
        <v/>
      </c>
      <c r="I629" s="38" t="str">
        <f t="shared" si="93"/>
        <v/>
      </c>
      <c r="J629" s="38" t="str">
        <f t="shared" si="94"/>
        <v/>
      </c>
      <c r="K629" s="38" t="str">
        <f t="shared" si="95"/>
        <v/>
      </c>
      <c r="L629" s="38" t="str">
        <f t="shared" si="96"/>
        <v/>
      </c>
      <c r="M629" s="38" t="str">
        <f>IF($A629="","",IF(H629=0,"",IF(Q629&lt;=0.000000001,MIN(0.8*0.75*'KT THAN'!$C$62,MAX('KT THAN'!$J$38:$J$58)),IFERROR(MIN(0.8*0.75*'KT THAN'!$C$62,INDEX('KT THAN'!$J$38:$J$58,MATCH(Q629,'KT THAN'!$L$38:$L$58,-1))+(INDEX('KT THAN'!$J$38:$J$58,MIN(21,MATCH(Q629,'KT THAN'!$L$38:$L$58,-1)+1))-INDEX('KT THAN'!$J$38:$J$58,MATCH(Q629,'KT THAN'!$L$38:$L$58,-1)))*(Q629-INDEX('KT THAN'!$L$38:$L$58,MATCH(Q629,'KT THAN'!$L$38:$L$58,-1)))/(INDEX('KT THAN'!$L$38:$L$58,MIN(21,MATCH(Q629,'KT THAN'!$L$38:$L$58,-1)+1))-INDEX('KT THAN'!$L$38:$L$58,MATCH(Q629,'KT THAN'!$L$38:$L$58,-1)))),MIN(0.8*0.75*'KT THAN'!$C$62,'KT THAN'!$C$68/Q629)))))</f>
        <v/>
      </c>
      <c r="N629" s="38" t="str">
        <f>IF($A629="","",IF(H629=0,"",IF(R629&lt;=0.000000001,MIN(0.8*0.75*'KT THAN'!$C$62,MAX('KT THAN'!$W$38:$W$58)),IFERROR(MIN(0.8*0.75*'KT THAN'!$C$62,INDEX('KT THAN'!$W$38:$W$58,MATCH(R629,'KT THAN'!$Y$38:$Y$58,-1))+(INDEX('KT THAN'!$W$38:$W$58,MIN(21,MATCH(R629,'KT THAN'!$Y$38:$Y$58,-1)+1))-INDEX('KT THAN'!$W$38:$W$58,MATCH(R629,'KT THAN'!$Y$38:$Y$58,-1)))*(R629-INDEX('KT THAN'!$Y$38:$Y$58,MATCH(R629,'KT THAN'!$Y$38:$Y$58,-1)))/(INDEX('KT THAN'!$Y$38:$Y$58,MIN(21,MATCH(R629,'KT THAN'!$Y$38:$Y$58,-1)+1))-INDEX('KT THAN'!$Y$38:$Y$58,MATCH(R629,'KT THAN'!$Y$38:$Y$58,-1)))),MIN(0.8*0.75*'KT THAN'!$C$62,'KT THAN'!$D$68/R629)))))</f>
        <v/>
      </c>
      <c r="O629" s="38" t="str">
        <f>IF($A629="","",IF(H629&lt;0,ABS(H629)/MAX('KT THAN'!$C$69,0.001)+'KT THAN'!$C$32*ABS(J629)/MAX('KT THAN'!$C$68,0.001)+'KT THAN'!$D$32*ABS(I629)/MAX('KT THAN'!$D$68,0.001),IF(OR(M629&lt;=0,N629&lt;=0),999,IF(H629&gt;=0.1*0.75*fc_*Agth*1000,H629/MAX(0.001,1/(1/M629+1/N629-1/(0.75*'KT THAN'!$C$62))),'KT THAN'!$C$32*ABS(J629)/MAX('KT THAN'!$C$68,0.001)+'KT THAN'!$D$32*ABS(I629)/MAX('KT THAN'!$D$68,0.001)))))</f>
        <v/>
      </c>
      <c r="P629" s="37" t="str">
        <f t="shared" si="97"/>
        <v/>
      </c>
      <c r="Q629" s="38" t="str">
        <f>IF($A629="","",MAX(0.001,'KT THAN'!$C$32*ABS(J629)/MAX(1,H629)))</f>
        <v/>
      </c>
      <c r="R629" s="38" t="str">
        <f>IF($A629="","",MAX(0.001,'KT THAN'!$D$32*ABS(I629)/MAX(1,H629)))</f>
        <v/>
      </c>
      <c r="S629" t="str">
        <f t="shared" si="91"/>
        <v/>
      </c>
    </row>
    <row r="630" spans="1:19" hidden="1" outlineLevel="1" x14ac:dyDescent="0.3">
      <c r="A630" s="37" t="str">
        <f>IF(OR(nThan=1,'TO HOP NLAN'!$A186=""),"",'TO HOP NLAN'!$A186)</f>
        <v/>
      </c>
      <c r="B630" s="38" t="str">
        <f>IF($A630="","",'TO HOP NLAN'!$D186)</f>
        <v/>
      </c>
      <c r="C630" s="38" t="str">
        <f>IF($A630="","",'TO HOP NLAN'!$E186)</f>
        <v/>
      </c>
      <c r="D630" s="38" t="str">
        <f>IF($A630="","",'TO HOP NLAN'!$F186)</f>
        <v/>
      </c>
      <c r="E630" s="38" t="str">
        <f>IF($A630="","",'TO HOP NLAN'!$B186)</f>
        <v/>
      </c>
      <c r="F630" s="38" t="str">
        <f>IF($A630="","",'TO HOP NLAN'!$C186)</f>
        <v/>
      </c>
      <c r="G630" s="38" t="str">
        <f t="shared" si="92"/>
        <v/>
      </c>
      <c r="H630" s="38" t="str">
        <f t="shared" si="90"/>
        <v/>
      </c>
      <c r="I630" s="38" t="str">
        <f t="shared" si="93"/>
        <v/>
      </c>
      <c r="J630" s="38" t="str">
        <f t="shared" si="94"/>
        <v/>
      </c>
      <c r="K630" s="38" t="str">
        <f t="shared" si="95"/>
        <v/>
      </c>
      <c r="L630" s="38" t="str">
        <f t="shared" si="96"/>
        <v/>
      </c>
      <c r="M630" s="38" t="str">
        <f>IF($A630="","",IF(H630=0,"",IF(Q630&lt;=0.000000001,MIN(0.8*0.75*'KT THAN'!$C$62,MAX('KT THAN'!$J$38:$J$58)),IFERROR(MIN(0.8*0.75*'KT THAN'!$C$62,INDEX('KT THAN'!$J$38:$J$58,MATCH(Q630,'KT THAN'!$L$38:$L$58,-1))+(INDEX('KT THAN'!$J$38:$J$58,MIN(21,MATCH(Q630,'KT THAN'!$L$38:$L$58,-1)+1))-INDEX('KT THAN'!$J$38:$J$58,MATCH(Q630,'KT THAN'!$L$38:$L$58,-1)))*(Q630-INDEX('KT THAN'!$L$38:$L$58,MATCH(Q630,'KT THAN'!$L$38:$L$58,-1)))/(INDEX('KT THAN'!$L$38:$L$58,MIN(21,MATCH(Q630,'KT THAN'!$L$38:$L$58,-1)+1))-INDEX('KT THAN'!$L$38:$L$58,MATCH(Q630,'KT THAN'!$L$38:$L$58,-1)))),MIN(0.8*0.75*'KT THAN'!$C$62,'KT THAN'!$C$68/Q630)))))</f>
        <v/>
      </c>
      <c r="N630" s="38" t="str">
        <f>IF($A630="","",IF(H630=0,"",IF(R630&lt;=0.000000001,MIN(0.8*0.75*'KT THAN'!$C$62,MAX('KT THAN'!$W$38:$W$58)),IFERROR(MIN(0.8*0.75*'KT THAN'!$C$62,INDEX('KT THAN'!$W$38:$W$58,MATCH(R630,'KT THAN'!$Y$38:$Y$58,-1))+(INDEX('KT THAN'!$W$38:$W$58,MIN(21,MATCH(R630,'KT THAN'!$Y$38:$Y$58,-1)+1))-INDEX('KT THAN'!$W$38:$W$58,MATCH(R630,'KT THAN'!$Y$38:$Y$58,-1)))*(R630-INDEX('KT THAN'!$Y$38:$Y$58,MATCH(R630,'KT THAN'!$Y$38:$Y$58,-1)))/(INDEX('KT THAN'!$Y$38:$Y$58,MIN(21,MATCH(R630,'KT THAN'!$Y$38:$Y$58,-1)+1))-INDEX('KT THAN'!$Y$38:$Y$58,MATCH(R630,'KT THAN'!$Y$38:$Y$58,-1)))),MIN(0.8*0.75*'KT THAN'!$C$62,'KT THAN'!$D$68/R630)))))</f>
        <v/>
      </c>
      <c r="O630" s="38" t="str">
        <f>IF($A630="","",IF(H630&lt;0,ABS(H630)/MAX('KT THAN'!$C$69,0.001)+'KT THAN'!$C$32*ABS(J630)/MAX('KT THAN'!$C$68,0.001)+'KT THAN'!$D$32*ABS(I630)/MAX('KT THAN'!$D$68,0.001),IF(OR(M630&lt;=0,N630&lt;=0),999,IF(H630&gt;=0.1*0.75*fc_*Agth*1000,H630/MAX(0.001,1/(1/M630+1/N630-1/(0.75*'KT THAN'!$C$62))),'KT THAN'!$C$32*ABS(J630)/MAX('KT THAN'!$C$68,0.001)+'KT THAN'!$D$32*ABS(I630)/MAX('KT THAN'!$D$68,0.001)))))</f>
        <v/>
      </c>
      <c r="P630" s="37" t="str">
        <f t="shared" si="97"/>
        <v/>
      </c>
      <c r="Q630" s="38" t="str">
        <f>IF($A630="","",MAX(0.001,'KT THAN'!$C$32*ABS(J630)/MAX(1,H630)))</f>
        <v/>
      </c>
      <c r="R630" s="38" t="str">
        <f>IF($A630="","",MAX(0.001,'KT THAN'!$D$32*ABS(I630)/MAX(1,H630)))</f>
        <v/>
      </c>
      <c r="S630" t="str">
        <f t="shared" si="91"/>
        <v/>
      </c>
    </row>
    <row r="631" spans="1:19" hidden="1" outlineLevel="1" x14ac:dyDescent="0.3">
      <c r="A631" s="37" t="str">
        <f>IF(OR(nThan=1,'TO HOP NLAN'!$A187=""),"",'TO HOP NLAN'!$A187)</f>
        <v/>
      </c>
      <c r="B631" s="38" t="str">
        <f>IF($A631="","",'TO HOP NLAN'!$D187)</f>
        <v/>
      </c>
      <c r="C631" s="38" t="str">
        <f>IF($A631="","",'TO HOP NLAN'!$E187)</f>
        <v/>
      </c>
      <c r="D631" s="38" t="str">
        <f>IF($A631="","",'TO HOP NLAN'!$F187)</f>
        <v/>
      </c>
      <c r="E631" s="38" t="str">
        <f>IF($A631="","",'TO HOP NLAN'!$B187)</f>
        <v/>
      </c>
      <c r="F631" s="38" t="str">
        <f>IF($A631="","",'TO HOP NLAN'!$C187)</f>
        <v/>
      </c>
      <c r="G631" s="38" t="str">
        <f t="shared" si="92"/>
        <v/>
      </c>
      <c r="H631" s="38" t="str">
        <f t="shared" si="90"/>
        <v/>
      </c>
      <c r="I631" s="38" t="str">
        <f t="shared" si="93"/>
        <v/>
      </c>
      <c r="J631" s="38" t="str">
        <f t="shared" si="94"/>
        <v/>
      </c>
      <c r="K631" s="38" t="str">
        <f t="shared" si="95"/>
        <v/>
      </c>
      <c r="L631" s="38" t="str">
        <f t="shared" si="96"/>
        <v/>
      </c>
      <c r="M631" s="38" t="str">
        <f>IF($A631="","",IF(H631=0,"",IF(Q631&lt;=0.000000001,MIN(0.8*0.75*'KT THAN'!$C$62,MAX('KT THAN'!$J$38:$J$58)),IFERROR(MIN(0.8*0.75*'KT THAN'!$C$62,INDEX('KT THAN'!$J$38:$J$58,MATCH(Q631,'KT THAN'!$L$38:$L$58,-1))+(INDEX('KT THAN'!$J$38:$J$58,MIN(21,MATCH(Q631,'KT THAN'!$L$38:$L$58,-1)+1))-INDEX('KT THAN'!$J$38:$J$58,MATCH(Q631,'KT THAN'!$L$38:$L$58,-1)))*(Q631-INDEX('KT THAN'!$L$38:$L$58,MATCH(Q631,'KT THAN'!$L$38:$L$58,-1)))/(INDEX('KT THAN'!$L$38:$L$58,MIN(21,MATCH(Q631,'KT THAN'!$L$38:$L$58,-1)+1))-INDEX('KT THAN'!$L$38:$L$58,MATCH(Q631,'KT THAN'!$L$38:$L$58,-1)))),MIN(0.8*0.75*'KT THAN'!$C$62,'KT THAN'!$C$68/Q631)))))</f>
        <v/>
      </c>
      <c r="N631" s="38" t="str">
        <f>IF($A631="","",IF(H631=0,"",IF(R631&lt;=0.000000001,MIN(0.8*0.75*'KT THAN'!$C$62,MAX('KT THAN'!$W$38:$W$58)),IFERROR(MIN(0.8*0.75*'KT THAN'!$C$62,INDEX('KT THAN'!$W$38:$W$58,MATCH(R631,'KT THAN'!$Y$38:$Y$58,-1))+(INDEX('KT THAN'!$W$38:$W$58,MIN(21,MATCH(R631,'KT THAN'!$Y$38:$Y$58,-1)+1))-INDEX('KT THAN'!$W$38:$W$58,MATCH(R631,'KT THAN'!$Y$38:$Y$58,-1)))*(R631-INDEX('KT THAN'!$Y$38:$Y$58,MATCH(R631,'KT THAN'!$Y$38:$Y$58,-1)))/(INDEX('KT THAN'!$Y$38:$Y$58,MIN(21,MATCH(R631,'KT THAN'!$Y$38:$Y$58,-1)+1))-INDEX('KT THAN'!$Y$38:$Y$58,MATCH(R631,'KT THAN'!$Y$38:$Y$58,-1)))),MIN(0.8*0.75*'KT THAN'!$C$62,'KT THAN'!$D$68/R631)))))</f>
        <v/>
      </c>
      <c r="O631" s="38" t="str">
        <f>IF($A631="","",IF(H631&lt;0,ABS(H631)/MAX('KT THAN'!$C$69,0.001)+'KT THAN'!$C$32*ABS(J631)/MAX('KT THAN'!$C$68,0.001)+'KT THAN'!$D$32*ABS(I631)/MAX('KT THAN'!$D$68,0.001),IF(OR(M631&lt;=0,N631&lt;=0),999,IF(H631&gt;=0.1*0.75*fc_*Agth*1000,H631/MAX(0.001,1/(1/M631+1/N631-1/(0.75*'KT THAN'!$C$62))),'KT THAN'!$C$32*ABS(J631)/MAX('KT THAN'!$C$68,0.001)+'KT THAN'!$D$32*ABS(I631)/MAX('KT THAN'!$D$68,0.001)))))</f>
        <v/>
      </c>
      <c r="P631" s="37" t="str">
        <f t="shared" si="97"/>
        <v/>
      </c>
      <c r="Q631" s="38" t="str">
        <f>IF($A631="","",MAX(0.001,'KT THAN'!$C$32*ABS(J631)/MAX(1,H631)))</f>
        <v/>
      </c>
      <c r="R631" s="38" t="str">
        <f>IF($A631="","",MAX(0.001,'KT THAN'!$D$32*ABS(I631)/MAX(1,H631)))</f>
        <v/>
      </c>
      <c r="S631" t="str">
        <f t="shared" si="91"/>
        <v/>
      </c>
    </row>
    <row r="632" spans="1:19" hidden="1" outlineLevel="1" x14ac:dyDescent="0.3">
      <c r="A632" s="37" t="str">
        <f>IF(OR(nThan=1,'TO HOP NLAN'!$A188=""),"",'TO HOP NLAN'!$A188)</f>
        <v/>
      </c>
      <c r="B632" s="38" t="str">
        <f>IF($A632="","",'TO HOP NLAN'!$D188)</f>
        <v/>
      </c>
      <c r="C632" s="38" t="str">
        <f>IF($A632="","",'TO HOP NLAN'!$E188)</f>
        <v/>
      </c>
      <c r="D632" s="38" t="str">
        <f>IF($A632="","",'TO HOP NLAN'!$F188)</f>
        <v/>
      </c>
      <c r="E632" s="38" t="str">
        <f>IF($A632="","",'TO HOP NLAN'!$B188)</f>
        <v/>
      </c>
      <c r="F632" s="38" t="str">
        <f>IF($A632="","",'TO HOP NLAN'!$C188)</f>
        <v/>
      </c>
      <c r="G632" s="38" t="str">
        <f t="shared" si="92"/>
        <v/>
      </c>
      <c r="H632" s="38" t="str">
        <f t="shared" si="90"/>
        <v/>
      </c>
      <c r="I632" s="38" t="str">
        <f t="shared" si="93"/>
        <v/>
      </c>
      <c r="J632" s="38" t="str">
        <f t="shared" si="94"/>
        <v/>
      </c>
      <c r="K632" s="38" t="str">
        <f t="shared" si="95"/>
        <v/>
      </c>
      <c r="L632" s="38" t="str">
        <f t="shared" si="96"/>
        <v/>
      </c>
      <c r="M632" s="38" t="str">
        <f>IF($A632="","",IF(H632=0,"",IF(Q632&lt;=0.000000001,MIN(0.8*0.75*'KT THAN'!$C$62,MAX('KT THAN'!$J$38:$J$58)),IFERROR(MIN(0.8*0.75*'KT THAN'!$C$62,INDEX('KT THAN'!$J$38:$J$58,MATCH(Q632,'KT THAN'!$L$38:$L$58,-1))+(INDEX('KT THAN'!$J$38:$J$58,MIN(21,MATCH(Q632,'KT THAN'!$L$38:$L$58,-1)+1))-INDEX('KT THAN'!$J$38:$J$58,MATCH(Q632,'KT THAN'!$L$38:$L$58,-1)))*(Q632-INDEX('KT THAN'!$L$38:$L$58,MATCH(Q632,'KT THAN'!$L$38:$L$58,-1)))/(INDEX('KT THAN'!$L$38:$L$58,MIN(21,MATCH(Q632,'KT THAN'!$L$38:$L$58,-1)+1))-INDEX('KT THAN'!$L$38:$L$58,MATCH(Q632,'KT THAN'!$L$38:$L$58,-1)))),MIN(0.8*0.75*'KT THAN'!$C$62,'KT THAN'!$C$68/Q632)))))</f>
        <v/>
      </c>
      <c r="N632" s="38" t="str">
        <f>IF($A632="","",IF(H632=0,"",IF(R632&lt;=0.000000001,MIN(0.8*0.75*'KT THAN'!$C$62,MAX('KT THAN'!$W$38:$W$58)),IFERROR(MIN(0.8*0.75*'KT THAN'!$C$62,INDEX('KT THAN'!$W$38:$W$58,MATCH(R632,'KT THAN'!$Y$38:$Y$58,-1))+(INDEX('KT THAN'!$W$38:$W$58,MIN(21,MATCH(R632,'KT THAN'!$Y$38:$Y$58,-1)+1))-INDEX('KT THAN'!$W$38:$W$58,MATCH(R632,'KT THAN'!$Y$38:$Y$58,-1)))*(R632-INDEX('KT THAN'!$Y$38:$Y$58,MATCH(R632,'KT THAN'!$Y$38:$Y$58,-1)))/(INDEX('KT THAN'!$Y$38:$Y$58,MIN(21,MATCH(R632,'KT THAN'!$Y$38:$Y$58,-1)+1))-INDEX('KT THAN'!$Y$38:$Y$58,MATCH(R632,'KT THAN'!$Y$38:$Y$58,-1)))),MIN(0.8*0.75*'KT THAN'!$C$62,'KT THAN'!$D$68/R632)))))</f>
        <v/>
      </c>
      <c r="O632" s="38" t="str">
        <f>IF($A632="","",IF(H632&lt;0,ABS(H632)/MAX('KT THAN'!$C$69,0.001)+'KT THAN'!$C$32*ABS(J632)/MAX('KT THAN'!$C$68,0.001)+'KT THAN'!$D$32*ABS(I632)/MAX('KT THAN'!$D$68,0.001),IF(OR(M632&lt;=0,N632&lt;=0),999,IF(H632&gt;=0.1*0.75*fc_*Agth*1000,H632/MAX(0.001,1/(1/M632+1/N632-1/(0.75*'KT THAN'!$C$62))),'KT THAN'!$C$32*ABS(J632)/MAX('KT THAN'!$C$68,0.001)+'KT THAN'!$D$32*ABS(I632)/MAX('KT THAN'!$D$68,0.001)))))</f>
        <v/>
      </c>
      <c r="P632" s="37" t="str">
        <f t="shared" si="97"/>
        <v/>
      </c>
      <c r="Q632" s="38" t="str">
        <f>IF($A632="","",MAX(0.001,'KT THAN'!$C$32*ABS(J632)/MAX(1,H632)))</f>
        <v/>
      </c>
      <c r="R632" s="38" t="str">
        <f>IF($A632="","",MAX(0.001,'KT THAN'!$D$32*ABS(I632)/MAX(1,H632)))</f>
        <v/>
      </c>
      <c r="S632" t="str">
        <f t="shared" si="91"/>
        <v/>
      </c>
    </row>
    <row r="633" spans="1:19" hidden="1" outlineLevel="1" x14ac:dyDescent="0.3">
      <c r="A633" s="37" t="str">
        <f>IF(OR(nThan=1,'TO HOP NLAN'!$A189=""),"",'TO HOP NLAN'!$A189)</f>
        <v/>
      </c>
      <c r="B633" s="38" t="str">
        <f>IF($A633="","",'TO HOP NLAN'!$D189)</f>
        <v/>
      </c>
      <c r="C633" s="38" t="str">
        <f>IF($A633="","",'TO HOP NLAN'!$E189)</f>
        <v/>
      </c>
      <c r="D633" s="38" t="str">
        <f>IF($A633="","",'TO HOP NLAN'!$F189)</f>
        <v/>
      </c>
      <c r="E633" s="38" t="str">
        <f>IF($A633="","",'TO HOP NLAN'!$B189)</f>
        <v/>
      </c>
      <c r="F633" s="38" t="str">
        <f>IF($A633="","",'TO HOP NLAN'!$C189)</f>
        <v/>
      </c>
      <c r="G633" s="38" t="str">
        <f t="shared" si="92"/>
        <v/>
      </c>
      <c r="H633" s="38" t="str">
        <f t="shared" si="90"/>
        <v/>
      </c>
      <c r="I633" s="38" t="str">
        <f t="shared" si="93"/>
        <v/>
      </c>
      <c r="J633" s="38" t="str">
        <f t="shared" si="94"/>
        <v/>
      </c>
      <c r="K633" s="38" t="str">
        <f t="shared" si="95"/>
        <v/>
      </c>
      <c r="L633" s="38" t="str">
        <f t="shared" si="96"/>
        <v/>
      </c>
      <c r="M633" s="38" t="str">
        <f>IF($A633="","",IF(H633=0,"",IF(Q633&lt;=0.000000001,MIN(0.8*0.75*'KT THAN'!$C$62,MAX('KT THAN'!$J$38:$J$58)),IFERROR(MIN(0.8*0.75*'KT THAN'!$C$62,INDEX('KT THAN'!$J$38:$J$58,MATCH(Q633,'KT THAN'!$L$38:$L$58,-1))+(INDEX('KT THAN'!$J$38:$J$58,MIN(21,MATCH(Q633,'KT THAN'!$L$38:$L$58,-1)+1))-INDEX('KT THAN'!$J$38:$J$58,MATCH(Q633,'KT THAN'!$L$38:$L$58,-1)))*(Q633-INDEX('KT THAN'!$L$38:$L$58,MATCH(Q633,'KT THAN'!$L$38:$L$58,-1)))/(INDEX('KT THAN'!$L$38:$L$58,MIN(21,MATCH(Q633,'KT THAN'!$L$38:$L$58,-1)+1))-INDEX('KT THAN'!$L$38:$L$58,MATCH(Q633,'KT THAN'!$L$38:$L$58,-1)))),MIN(0.8*0.75*'KT THAN'!$C$62,'KT THAN'!$C$68/Q633)))))</f>
        <v/>
      </c>
      <c r="N633" s="38" t="str">
        <f>IF($A633="","",IF(H633=0,"",IF(R633&lt;=0.000000001,MIN(0.8*0.75*'KT THAN'!$C$62,MAX('KT THAN'!$W$38:$W$58)),IFERROR(MIN(0.8*0.75*'KT THAN'!$C$62,INDEX('KT THAN'!$W$38:$W$58,MATCH(R633,'KT THAN'!$Y$38:$Y$58,-1))+(INDEX('KT THAN'!$W$38:$W$58,MIN(21,MATCH(R633,'KT THAN'!$Y$38:$Y$58,-1)+1))-INDEX('KT THAN'!$W$38:$W$58,MATCH(R633,'KT THAN'!$Y$38:$Y$58,-1)))*(R633-INDEX('KT THAN'!$Y$38:$Y$58,MATCH(R633,'KT THAN'!$Y$38:$Y$58,-1)))/(INDEX('KT THAN'!$Y$38:$Y$58,MIN(21,MATCH(R633,'KT THAN'!$Y$38:$Y$58,-1)+1))-INDEX('KT THAN'!$Y$38:$Y$58,MATCH(R633,'KT THAN'!$Y$38:$Y$58,-1)))),MIN(0.8*0.75*'KT THAN'!$C$62,'KT THAN'!$D$68/R633)))))</f>
        <v/>
      </c>
      <c r="O633" s="38" t="str">
        <f>IF($A633="","",IF(H633&lt;0,ABS(H633)/MAX('KT THAN'!$C$69,0.001)+'KT THAN'!$C$32*ABS(J633)/MAX('KT THAN'!$C$68,0.001)+'KT THAN'!$D$32*ABS(I633)/MAX('KT THAN'!$D$68,0.001),IF(OR(M633&lt;=0,N633&lt;=0),999,IF(H633&gt;=0.1*0.75*fc_*Agth*1000,H633/MAX(0.001,1/(1/M633+1/N633-1/(0.75*'KT THAN'!$C$62))),'KT THAN'!$C$32*ABS(J633)/MAX('KT THAN'!$C$68,0.001)+'KT THAN'!$D$32*ABS(I633)/MAX('KT THAN'!$D$68,0.001)))))</f>
        <v/>
      </c>
      <c r="P633" s="37" t="str">
        <f t="shared" si="97"/>
        <v/>
      </c>
      <c r="Q633" s="38" t="str">
        <f>IF($A633="","",MAX(0.001,'KT THAN'!$C$32*ABS(J633)/MAX(1,H633)))</f>
        <v/>
      </c>
      <c r="R633" s="38" t="str">
        <f>IF($A633="","",MAX(0.001,'KT THAN'!$D$32*ABS(I633)/MAX(1,H633)))</f>
        <v/>
      </c>
      <c r="S633" t="str">
        <f t="shared" si="91"/>
        <v/>
      </c>
    </row>
    <row r="634" spans="1:19" hidden="1" outlineLevel="1" x14ac:dyDescent="0.3">
      <c r="A634" s="37" t="str">
        <f>IF(OR(nThan=1,'TO HOP NLAN'!$A190=""),"",'TO HOP NLAN'!$A190)</f>
        <v/>
      </c>
      <c r="B634" s="38" t="str">
        <f>IF($A634="","",'TO HOP NLAN'!$D190)</f>
        <v/>
      </c>
      <c r="C634" s="38" t="str">
        <f>IF($A634="","",'TO HOP NLAN'!$E190)</f>
        <v/>
      </c>
      <c r="D634" s="38" t="str">
        <f>IF($A634="","",'TO HOP NLAN'!$F190)</f>
        <v/>
      </c>
      <c r="E634" s="38" t="str">
        <f>IF($A634="","",'TO HOP NLAN'!$B190)</f>
        <v/>
      </c>
      <c r="F634" s="38" t="str">
        <f>IF($A634="","",'TO HOP NLAN'!$C190)</f>
        <v/>
      </c>
      <c r="G634" s="38" t="str">
        <f t="shared" si="92"/>
        <v/>
      </c>
      <c r="H634" s="38" t="str">
        <f t="shared" si="90"/>
        <v/>
      </c>
      <c r="I634" s="38" t="str">
        <f t="shared" si="93"/>
        <v/>
      </c>
      <c r="J634" s="38" t="str">
        <f t="shared" si="94"/>
        <v/>
      </c>
      <c r="K634" s="38" t="str">
        <f t="shared" si="95"/>
        <v/>
      </c>
      <c r="L634" s="38" t="str">
        <f t="shared" si="96"/>
        <v/>
      </c>
      <c r="M634" s="38" t="str">
        <f>IF($A634="","",IF(H634=0,"",IF(Q634&lt;=0.000000001,MIN(0.8*0.75*'KT THAN'!$C$62,MAX('KT THAN'!$J$38:$J$58)),IFERROR(MIN(0.8*0.75*'KT THAN'!$C$62,INDEX('KT THAN'!$J$38:$J$58,MATCH(Q634,'KT THAN'!$L$38:$L$58,-1))+(INDEX('KT THAN'!$J$38:$J$58,MIN(21,MATCH(Q634,'KT THAN'!$L$38:$L$58,-1)+1))-INDEX('KT THAN'!$J$38:$J$58,MATCH(Q634,'KT THAN'!$L$38:$L$58,-1)))*(Q634-INDEX('KT THAN'!$L$38:$L$58,MATCH(Q634,'KT THAN'!$L$38:$L$58,-1)))/(INDEX('KT THAN'!$L$38:$L$58,MIN(21,MATCH(Q634,'KT THAN'!$L$38:$L$58,-1)+1))-INDEX('KT THAN'!$L$38:$L$58,MATCH(Q634,'KT THAN'!$L$38:$L$58,-1)))),MIN(0.8*0.75*'KT THAN'!$C$62,'KT THAN'!$C$68/Q634)))))</f>
        <v/>
      </c>
      <c r="N634" s="38" t="str">
        <f>IF($A634="","",IF(H634=0,"",IF(R634&lt;=0.000000001,MIN(0.8*0.75*'KT THAN'!$C$62,MAX('KT THAN'!$W$38:$W$58)),IFERROR(MIN(0.8*0.75*'KT THAN'!$C$62,INDEX('KT THAN'!$W$38:$W$58,MATCH(R634,'KT THAN'!$Y$38:$Y$58,-1))+(INDEX('KT THAN'!$W$38:$W$58,MIN(21,MATCH(R634,'KT THAN'!$Y$38:$Y$58,-1)+1))-INDEX('KT THAN'!$W$38:$W$58,MATCH(R634,'KT THAN'!$Y$38:$Y$58,-1)))*(R634-INDEX('KT THAN'!$Y$38:$Y$58,MATCH(R634,'KT THAN'!$Y$38:$Y$58,-1)))/(INDEX('KT THAN'!$Y$38:$Y$58,MIN(21,MATCH(R634,'KT THAN'!$Y$38:$Y$58,-1)+1))-INDEX('KT THAN'!$Y$38:$Y$58,MATCH(R634,'KT THAN'!$Y$38:$Y$58,-1)))),MIN(0.8*0.75*'KT THAN'!$C$62,'KT THAN'!$D$68/R634)))))</f>
        <v/>
      </c>
      <c r="O634" s="38" t="str">
        <f>IF($A634="","",IF(H634&lt;0,ABS(H634)/MAX('KT THAN'!$C$69,0.001)+'KT THAN'!$C$32*ABS(J634)/MAX('KT THAN'!$C$68,0.001)+'KT THAN'!$D$32*ABS(I634)/MAX('KT THAN'!$D$68,0.001),IF(OR(M634&lt;=0,N634&lt;=0),999,IF(H634&gt;=0.1*0.75*fc_*Agth*1000,H634/MAX(0.001,1/(1/M634+1/N634-1/(0.75*'KT THAN'!$C$62))),'KT THAN'!$C$32*ABS(J634)/MAX('KT THAN'!$C$68,0.001)+'KT THAN'!$D$32*ABS(I634)/MAX('KT THAN'!$D$68,0.001)))))</f>
        <v/>
      </c>
      <c r="P634" s="37" t="str">
        <f t="shared" si="97"/>
        <v/>
      </c>
      <c r="Q634" s="38" t="str">
        <f>IF($A634="","",MAX(0.001,'KT THAN'!$C$32*ABS(J634)/MAX(1,H634)))</f>
        <v/>
      </c>
      <c r="R634" s="38" t="str">
        <f>IF($A634="","",MAX(0.001,'KT THAN'!$D$32*ABS(I634)/MAX(1,H634)))</f>
        <v/>
      </c>
      <c r="S634" t="str">
        <f t="shared" si="91"/>
        <v/>
      </c>
    </row>
    <row r="635" spans="1:19" hidden="1" outlineLevel="1" x14ac:dyDescent="0.3">
      <c r="A635" s="37" t="str">
        <f>IF(OR(nThan=1,'TO HOP NLAN'!$A191=""),"",'TO HOP NLAN'!$A191)</f>
        <v/>
      </c>
      <c r="B635" s="38" t="str">
        <f>IF($A635="","",'TO HOP NLAN'!$D191)</f>
        <v/>
      </c>
      <c r="C635" s="38" t="str">
        <f>IF($A635="","",'TO HOP NLAN'!$E191)</f>
        <v/>
      </c>
      <c r="D635" s="38" t="str">
        <f>IF($A635="","",'TO HOP NLAN'!$F191)</f>
        <v/>
      </c>
      <c r="E635" s="38" t="str">
        <f>IF($A635="","",'TO HOP NLAN'!$B191)</f>
        <v/>
      </c>
      <c r="F635" s="38" t="str">
        <f>IF($A635="","",'TO HOP NLAN'!$C191)</f>
        <v/>
      </c>
      <c r="G635" s="38" t="str">
        <f t="shared" si="92"/>
        <v/>
      </c>
      <c r="H635" s="38" t="str">
        <f t="shared" si="90"/>
        <v/>
      </c>
      <c r="I635" s="38" t="str">
        <f t="shared" si="93"/>
        <v/>
      </c>
      <c r="J635" s="38" t="str">
        <f t="shared" si="94"/>
        <v/>
      </c>
      <c r="K635" s="38" t="str">
        <f t="shared" si="95"/>
        <v/>
      </c>
      <c r="L635" s="38" t="str">
        <f t="shared" si="96"/>
        <v/>
      </c>
      <c r="M635" s="38" t="str">
        <f>IF($A635="","",IF(H635=0,"",IF(Q635&lt;=0.000000001,MIN(0.8*0.75*'KT THAN'!$C$62,MAX('KT THAN'!$J$38:$J$58)),IFERROR(MIN(0.8*0.75*'KT THAN'!$C$62,INDEX('KT THAN'!$J$38:$J$58,MATCH(Q635,'KT THAN'!$L$38:$L$58,-1))+(INDEX('KT THAN'!$J$38:$J$58,MIN(21,MATCH(Q635,'KT THAN'!$L$38:$L$58,-1)+1))-INDEX('KT THAN'!$J$38:$J$58,MATCH(Q635,'KT THAN'!$L$38:$L$58,-1)))*(Q635-INDEX('KT THAN'!$L$38:$L$58,MATCH(Q635,'KT THAN'!$L$38:$L$58,-1)))/(INDEX('KT THAN'!$L$38:$L$58,MIN(21,MATCH(Q635,'KT THAN'!$L$38:$L$58,-1)+1))-INDEX('KT THAN'!$L$38:$L$58,MATCH(Q635,'KT THAN'!$L$38:$L$58,-1)))),MIN(0.8*0.75*'KT THAN'!$C$62,'KT THAN'!$C$68/Q635)))))</f>
        <v/>
      </c>
      <c r="N635" s="38" t="str">
        <f>IF($A635="","",IF(H635=0,"",IF(R635&lt;=0.000000001,MIN(0.8*0.75*'KT THAN'!$C$62,MAX('KT THAN'!$W$38:$W$58)),IFERROR(MIN(0.8*0.75*'KT THAN'!$C$62,INDEX('KT THAN'!$W$38:$W$58,MATCH(R635,'KT THAN'!$Y$38:$Y$58,-1))+(INDEX('KT THAN'!$W$38:$W$58,MIN(21,MATCH(R635,'KT THAN'!$Y$38:$Y$58,-1)+1))-INDEX('KT THAN'!$W$38:$W$58,MATCH(R635,'KT THAN'!$Y$38:$Y$58,-1)))*(R635-INDEX('KT THAN'!$Y$38:$Y$58,MATCH(R635,'KT THAN'!$Y$38:$Y$58,-1)))/(INDEX('KT THAN'!$Y$38:$Y$58,MIN(21,MATCH(R635,'KT THAN'!$Y$38:$Y$58,-1)+1))-INDEX('KT THAN'!$Y$38:$Y$58,MATCH(R635,'KT THAN'!$Y$38:$Y$58,-1)))),MIN(0.8*0.75*'KT THAN'!$C$62,'KT THAN'!$D$68/R635)))))</f>
        <v/>
      </c>
      <c r="O635" s="38" t="str">
        <f>IF($A635="","",IF(H635&lt;0,ABS(H635)/MAX('KT THAN'!$C$69,0.001)+'KT THAN'!$C$32*ABS(J635)/MAX('KT THAN'!$C$68,0.001)+'KT THAN'!$D$32*ABS(I635)/MAX('KT THAN'!$D$68,0.001),IF(OR(M635&lt;=0,N635&lt;=0),999,IF(H635&gt;=0.1*0.75*fc_*Agth*1000,H635/MAX(0.001,1/(1/M635+1/N635-1/(0.75*'KT THAN'!$C$62))),'KT THAN'!$C$32*ABS(J635)/MAX('KT THAN'!$C$68,0.001)+'KT THAN'!$D$32*ABS(I635)/MAX('KT THAN'!$D$68,0.001)))))</f>
        <v/>
      </c>
      <c r="P635" s="37" t="str">
        <f t="shared" si="97"/>
        <v/>
      </c>
      <c r="Q635" s="38" t="str">
        <f>IF($A635="","",MAX(0.001,'KT THAN'!$C$32*ABS(J635)/MAX(1,H635)))</f>
        <v/>
      </c>
      <c r="R635" s="38" t="str">
        <f>IF($A635="","",MAX(0.001,'KT THAN'!$D$32*ABS(I635)/MAX(1,H635)))</f>
        <v/>
      </c>
      <c r="S635" t="str">
        <f t="shared" si="91"/>
        <v/>
      </c>
    </row>
    <row r="636" spans="1:19" hidden="1" outlineLevel="1" x14ac:dyDescent="0.3">
      <c r="A636" s="37" t="str">
        <f>IF(OR(nThan=1,'TO HOP NLAN'!$A192=""),"",'TO HOP NLAN'!$A192)</f>
        <v/>
      </c>
      <c r="B636" s="38" t="str">
        <f>IF($A636="","",'TO HOP NLAN'!$D192)</f>
        <v/>
      </c>
      <c r="C636" s="38" t="str">
        <f>IF($A636="","",'TO HOP NLAN'!$E192)</f>
        <v/>
      </c>
      <c r="D636" s="38" t="str">
        <f>IF($A636="","",'TO HOP NLAN'!$F192)</f>
        <v/>
      </c>
      <c r="E636" s="38" t="str">
        <f>IF($A636="","",'TO HOP NLAN'!$B192)</f>
        <v/>
      </c>
      <c r="F636" s="38" t="str">
        <f>IF($A636="","",'TO HOP NLAN'!$C192)</f>
        <v/>
      </c>
      <c r="G636" s="38" t="str">
        <f t="shared" si="92"/>
        <v/>
      </c>
      <c r="H636" s="38" t="str">
        <f t="shared" si="90"/>
        <v/>
      </c>
      <c r="I636" s="38" t="str">
        <f t="shared" si="93"/>
        <v/>
      </c>
      <c r="J636" s="38" t="str">
        <f t="shared" si="94"/>
        <v/>
      </c>
      <c r="K636" s="38" t="str">
        <f t="shared" si="95"/>
        <v/>
      </c>
      <c r="L636" s="38" t="str">
        <f t="shared" si="96"/>
        <v/>
      </c>
      <c r="M636" s="38" t="str">
        <f>IF($A636="","",IF(H636=0,"",IF(Q636&lt;=0.000000001,MIN(0.8*0.75*'KT THAN'!$C$62,MAX('KT THAN'!$J$38:$J$58)),IFERROR(MIN(0.8*0.75*'KT THAN'!$C$62,INDEX('KT THAN'!$J$38:$J$58,MATCH(Q636,'KT THAN'!$L$38:$L$58,-1))+(INDEX('KT THAN'!$J$38:$J$58,MIN(21,MATCH(Q636,'KT THAN'!$L$38:$L$58,-1)+1))-INDEX('KT THAN'!$J$38:$J$58,MATCH(Q636,'KT THAN'!$L$38:$L$58,-1)))*(Q636-INDEX('KT THAN'!$L$38:$L$58,MATCH(Q636,'KT THAN'!$L$38:$L$58,-1)))/(INDEX('KT THAN'!$L$38:$L$58,MIN(21,MATCH(Q636,'KT THAN'!$L$38:$L$58,-1)+1))-INDEX('KT THAN'!$L$38:$L$58,MATCH(Q636,'KT THAN'!$L$38:$L$58,-1)))),MIN(0.8*0.75*'KT THAN'!$C$62,'KT THAN'!$C$68/Q636)))))</f>
        <v/>
      </c>
      <c r="N636" s="38" t="str">
        <f>IF($A636="","",IF(H636=0,"",IF(R636&lt;=0.000000001,MIN(0.8*0.75*'KT THAN'!$C$62,MAX('KT THAN'!$W$38:$W$58)),IFERROR(MIN(0.8*0.75*'KT THAN'!$C$62,INDEX('KT THAN'!$W$38:$W$58,MATCH(R636,'KT THAN'!$Y$38:$Y$58,-1))+(INDEX('KT THAN'!$W$38:$W$58,MIN(21,MATCH(R636,'KT THAN'!$Y$38:$Y$58,-1)+1))-INDEX('KT THAN'!$W$38:$W$58,MATCH(R636,'KT THAN'!$Y$38:$Y$58,-1)))*(R636-INDEX('KT THAN'!$Y$38:$Y$58,MATCH(R636,'KT THAN'!$Y$38:$Y$58,-1)))/(INDEX('KT THAN'!$Y$38:$Y$58,MIN(21,MATCH(R636,'KT THAN'!$Y$38:$Y$58,-1)+1))-INDEX('KT THAN'!$Y$38:$Y$58,MATCH(R636,'KT THAN'!$Y$38:$Y$58,-1)))),MIN(0.8*0.75*'KT THAN'!$C$62,'KT THAN'!$D$68/R636)))))</f>
        <v/>
      </c>
      <c r="O636" s="38" t="str">
        <f>IF($A636="","",IF(H636&lt;0,ABS(H636)/MAX('KT THAN'!$C$69,0.001)+'KT THAN'!$C$32*ABS(J636)/MAX('KT THAN'!$C$68,0.001)+'KT THAN'!$D$32*ABS(I636)/MAX('KT THAN'!$D$68,0.001),IF(OR(M636&lt;=0,N636&lt;=0),999,IF(H636&gt;=0.1*0.75*fc_*Agth*1000,H636/MAX(0.001,1/(1/M636+1/N636-1/(0.75*'KT THAN'!$C$62))),'KT THAN'!$C$32*ABS(J636)/MAX('KT THAN'!$C$68,0.001)+'KT THAN'!$D$32*ABS(I636)/MAX('KT THAN'!$D$68,0.001)))))</f>
        <v/>
      </c>
      <c r="P636" s="37" t="str">
        <f t="shared" si="97"/>
        <v/>
      </c>
      <c r="Q636" s="38" t="str">
        <f>IF($A636="","",MAX(0.001,'KT THAN'!$C$32*ABS(J636)/MAX(1,H636)))</f>
        <v/>
      </c>
      <c r="R636" s="38" t="str">
        <f>IF($A636="","",MAX(0.001,'KT THAN'!$D$32*ABS(I636)/MAX(1,H636)))</f>
        <v/>
      </c>
      <c r="S636" t="str">
        <f t="shared" si="91"/>
        <v/>
      </c>
    </row>
    <row r="637" spans="1:19" hidden="1" outlineLevel="1" x14ac:dyDescent="0.3">
      <c r="A637" s="37" t="str">
        <f>IF(OR(nThan=1,'TO HOP NLAN'!$A193=""),"",'TO HOP NLAN'!$A193)</f>
        <v/>
      </c>
      <c r="B637" s="38" t="str">
        <f>IF($A637="","",'TO HOP NLAN'!$D193)</f>
        <v/>
      </c>
      <c r="C637" s="38" t="str">
        <f>IF($A637="","",'TO HOP NLAN'!$E193)</f>
        <v/>
      </c>
      <c r="D637" s="38" t="str">
        <f>IF($A637="","",'TO HOP NLAN'!$F193)</f>
        <v/>
      </c>
      <c r="E637" s="38" t="str">
        <f>IF($A637="","",'TO HOP NLAN'!$B193)</f>
        <v/>
      </c>
      <c r="F637" s="38" t="str">
        <f>IF($A637="","",'TO HOP NLAN'!$C193)</f>
        <v/>
      </c>
      <c r="G637" s="38" t="str">
        <f t="shared" si="92"/>
        <v/>
      </c>
      <c r="H637" s="38" t="str">
        <f t="shared" si="90"/>
        <v/>
      </c>
      <c r="I637" s="38" t="str">
        <f t="shared" si="93"/>
        <v/>
      </c>
      <c r="J637" s="38" t="str">
        <f t="shared" si="94"/>
        <v/>
      </c>
      <c r="K637" s="38" t="str">
        <f t="shared" si="95"/>
        <v/>
      </c>
      <c r="L637" s="38" t="str">
        <f t="shared" si="96"/>
        <v/>
      </c>
      <c r="M637" s="38" t="str">
        <f>IF($A637="","",IF(H637=0,"",IF(Q637&lt;=0.000000001,MIN(0.8*0.75*'KT THAN'!$C$62,MAX('KT THAN'!$J$38:$J$58)),IFERROR(MIN(0.8*0.75*'KT THAN'!$C$62,INDEX('KT THAN'!$J$38:$J$58,MATCH(Q637,'KT THAN'!$L$38:$L$58,-1))+(INDEX('KT THAN'!$J$38:$J$58,MIN(21,MATCH(Q637,'KT THAN'!$L$38:$L$58,-1)+1))-INDEX('KT THAN'!$J$38:$J$58,MATCH(Q637,'KT THAN'!$L$38:$L$58,-1)))*(Q637-INDEX('KT THAN'!$L$38:$L$58,MATCH(Q637,'KT THAN'!$L$38:$L$58,-1)))/(INDEX('KT THAN'!$L$38:$L$58,MIN(21,MATCH(Q637,'KT THAN'!$L$38:$L$58,-1)+1))-INDEX('KT THAN'!$L$38:$L$58,MATCH(Q637,'KT THAN'!$L$38:$L$58,-1)))),MIN(0.8*0.75*'KT THAN'!$C$62,'KT THAN'!$C$68/Q637)))))</f>
        <v/>
      </c>
      <c r="N637" s="38" t="str">
        <f>IF($A637="","",IF(H637=0,"",IF(R637&lt;=0.000000001,MIN(0.8*0.75*'KT THAN'!$C$62,MAX('KT THAN'!$W$38:$W$58)),IFERROR(MIN(0.8*0.75*'KT THAN'!$C$62,INDEX('KT THAN'!$W$38:$W$58,MATCH(R637,'KT THAN'!$Y$38:$Y$58,-1))+(INDEX('KT THAN'!$W$38:$W$58,MIN(21,MATCH(R637,'KT THAN'!$Y$38:$Y$58,-1)+1))-INDEX('KT THAN'!$W$38:$W$58,MATCH(R637,'KT THAN'!$Y$38:$Y$58,-1)))*(R637-INDEX('KT THAN'!$Y$38:$Y$58,MATCH(R637,'KT THAN'!$Y$38:$Y$58,-1)))/(INDEX('KT THAN'!$Y$38:$Y$58,MIN(21,MATCH(R637,'KT THAN'!$Y$38:$Y$58,-1)+1))-INDEX('KT THAN'!$Y$38:$Y$58,MATCH(R637,'KT THAN'!$Y$38:$Y$58,-1)))),MIN(0.8*0.75*'KT THAN'!$C$62,'KT THAN'!$D$68/R637)))))</f>
        <v/>
      </c>
      <c r="O637" s="38" t="str">
        <f>IF($A637="","",IF(H637&lt;0,ABS(H637)/MAX('KT THAN'!$C$69,0.001)+'KT THAN'!$C$32*ABS(J637)/MAX('KT THAN'!$C$68,0.001)+'KT THAN'!$D$32*ABS(I637)/MAX('KT THAN'!$D$68,0.001),IF(OR(M637&lt;=0,N637&lt;=0),999,IF(H637&gt;=0.1*0.75*fc_*Agth*1000,H637/MAX(0.001,1/(1/M637+1/N637-1/(0.75*'KT THAN'!$C$62))),'KT THAN'!$C$32*ABS(J637)/MAX('KT THAN'!$C$68,0.001)+'KT THAN'!$D$32*ABS(I637)/MAX('KT THAN'!$D$68,0.001)))))</f>
        <v/>
      </c>
      <c r="P637" s="37" t="str">
        <f t="shared" si="97"/>
        <v/>
      </c>
      <c r="Q637" s="38" t="str">
        <f>IF($A637="","",MAX(0.001,'KT THAN'!$C$32*ABS(J637)/MAX(1,H637)))</f>
        <v/>
      </c>
      <c r="R637" s="38" t="str">
        <f>IF($A637="","",MAX(0.001,'KT THAN'!$D$32*ABS(I637)/MAX(1,H637)))</f>
        <v/>
      </c>
      <c r="S637" t="str">
        <f t="shared" si="91"/>
        <v/>
      </c>
    </row>
    <row r="638" spans="1:19" hidden="1" outlineLevel="1" x14ac:dyDescent="0.3">
      <c r="A638" s="37" t="str">
        <f>IF(OR(nThan=1,'TO HOP NLAN'!$A194=""),"",'TO HOP NLAN'!$A194)</f>
        <v/>
      </c>
      <c r="B638" s="38" t="str">
        <f>IF($A638="","",'TO HOP NLAN'!$D194)</f>
        <v/>
      </c>
      <c r="C638" s="38" t="str">
        <f>IF($A638="","",'TO HOP NLAN'!$E194)</f>
        <v/>
      </c>
      <c r="D638" s="38" t="str">
        <f>IF($A638="","",'TO HOP NLAN'!$F194)</f>
        <v/>
      </c>
      <c r="E638" s="38" t="str">
        <f>IF($A638="","",'TO HOP NLAN'!$B194)</f>
        <v/>
      </c>
      <c r="F638" s="38" t="str">
        <f>IF($A638="","",'TO HOP NLAN'!$C194)</f>
        <v/>
      </c>
      <c r="G638" s="38" t="str">
        <f t="shared" si="92"/>
        <v/>
      </c>
      <c r="H638" s="38" t="str">
        <f t="shared" si="90"/>
        <v/>
      </c>
      <c r="I638" s="38" t="str">
        <f t="shared" si="93"/>
        <v/>
      </c>
      <c r="J638" s="38" t="str">
        <f t="shared" si="94"/>
        <v/>
      </c>
      <c r="K638" s="38" t="str">
        <f t="shared" si="95"/>
        <v/>
      </c>
      <c r="L638" s="38" t="str">
        <f t="shared" si="96"/>
        <v/>
      </c>
      <c r="M638" s="38" t="str">
        <f>IF($A638="","",IF(H638=0,"",IF(Q638&lt;=0.000000001,MIN(0.8*0.75*'KT THAN'!$C$62,MAX('KT THAN'!$J$38:$J$58)),IFERROR(MIN(0.8*0.75*'KT THAN'!$C$62,INDEX('KT THAN'!$J$38:$J$58,MATCH(Q638,'KT THAN'!$L$38:$L$58,-1))+(INDEX('KT THAN'!$J$38:$J$58,MIN(21,MATCH(Q638,'KT THAN'!$L$38:$L$58,-1)+1))-INDEX('KT THAN'!$J$38:$J$58,MATCH(Q638,'KT THAN'!$L$38:$L$58,-1)))*(Q638-INDEX('KT THAN'!$L$38:$L$58,MATCH(Q638,'KT THAN'!$L$38:$L$58,-1)))/(INDEX('KT THAN'!$L$38:$L$58,MIN(21,MATCH(Q638,'KT THAN'!$L$38:$L$58,-1)+1))-INDEX('KT THAN'!$L$38:$L$58,MATCH(Q638,'KT THAN'!$L$38:$L$58,-1)))),MIN(0.8*0.75*'KT THAN'!$C$62,'KT THAN'!$C$68/Q638)))))</f>
        <v/>
      </c>
      <c r="N638" s="38" t="str">
        <f>IF($A638="","",IF(H638=0,"",IF(R638&lt;=0.000000001,MIN(0.8*0.75*'KT THAN'!$C$62,MAX('KT THAN'!$W$38:$W$58)),IFERROR(MIN(0.8*0.75*'KT THAN'!$C$62,INDEX('KT THAN'!$W$38:$W$58,MATCH(R638,'KT THAN'!$Y$38:$Y$58,-1))+(INDEX('KT THAN'!$W$38:$W$58,MIN(21,MATCH(R638,'KT THAN'!$Y$38:$Y$58,-1)+1))-INDEX('KT THAN'!$W$38:$W$58,MATCH(R638,'KT THAN'!$Y$38:$Y$58,-1)))*(R638-INDEX('KT THAN'!$Y$38:$Y$58,MATCH(R638,'KT THAN'!$Y$38:$Y$58,-1)))/(INDEX('KT THAN'!$Y$38:$Y$58,MIN(21,MATCH(R638,'KT THAN'!$Y$38:$Y$58,-1)+1))-INDEX('KT THAN'!$Y$38:$Y$58,MATCH(R638,'KT THAN'!$Y$38:$Y$58,-1)))),MIN(0.8*0.75*'KT THAN'!$C$62,'KT THAN'!$D$68/R638)))))</f>
        <v/>
      </c>
      <c r="O638" s="38" t="str">
        <f>IF($A638="","",IF(H638&lt;0,ABS(H638)/MAX('KT THAN'!$C$69,0.001)+'KT THAN'!$C$32*ABS(J638)/MAX('KT THAN'!$C$68,0.001)+'KT THAN'!$D$32*ABS(I638)/MAX('KT THAN'!$D$68,0.001),IF(OR(M638&lt;=0,N638&lt;=0),999,IF(H638&gt;=0.1*0.75*fc_*Agth*1000,H638/MAX(0.001,1/(1/M638+1/N638-1/(0.75*'KT THAN'!$C$62))),'KT THAN'!$C$32*ABS(J638)/MAX('KT THAN'!$C$68,0.001)+'KT THAN'!$D$32*ABS(I638)/MAX('KT THAN'!$D$68,0.001)))))</f>
        <v/>
      </c>
      <c r="P638" s="37" t="str">
        <f t="shared" si="97"/>
        <v/>
      </c>
      <c r="Q638" s="38" t="str">
        <f>IF($A638="","",MAX(0.001,'KT THAN'!$C$32*ABS(J638)/MAX(1,H638)))</f>
        <v/>
      </c>
      <c r="R638" s="38" t="str">
        <f>IF($A638="","",MAX(0.001,'KT THAN'!$D$32*ABS(I638)/MAX(1,H638)))</f>
        <v/>
      </c>
      <c r="S638" t="str">
        <f t="shared" si="91"/>
        <v/>
      </c>
    </row>
    <row r="639" spans="1:19" hidden="1" outlineLevel="1" x14ac:dyDescent="0.3">
      <c r="A639" s="37" t="str">
        <f>IF(OR(nThan=1,'TO HOP NLAN'!$A195=""),"",'TO HOP NLAN'!$A195)</f>
        <v/>
      </c>
      <c r="B639" s="38" t="str">
        <f>IF($A639="","",'TO HOP NLAN'!$D195)</f>
        <v/>
      </c>
      <c r="C639" s="38" t="str">
        <f>IF($A639="","",'TO HOP NLAN'!$E195)</f>
        <v/>
      </c>
      <c r="D639" s="38" t="str">
        <f>IF($A639="","",'TO HOP NLAN'!$F195)</f>
        <v/>
      </c>
      <c r="E639" s="38" t="str">
        <f>IF($A639="","",'TO HOP NLAN'!$B195)</f>
        <v/>
      </c>
      <c r="F639" s="38" t="str">
        <f>IF($A639="","",'TO HOP NLAN'!$C195)</f>
        <v/>
      </c>
      <c r="G639" s="38" t="str">
        <f t="shared" si="92"/>
        <v/>
      </c>
      <c r="H639" s="38" t="str">
        <f t="shared" si="90"/>
        <v/>
      </c>
      <c r="I639" s="38" t="str">
        <f t="shared" si="93"/>
        <v/>
      </c>
      <c r="J639" s="38" t="str">
        <f t="shared" si="94"/>
        <v/>
      </c>
      <c r="K639" s="38" t="str">
        <f t="shared" si="95"/>
        <v/>
      </c>
      <c r="L639" s="38" t="str">
        <f t="shared" si="96"/>
        <v/>
      </c>
      <c r="M639" s="38" t="str">
        <f>IF($A639="","",IF(H639=0,"",IF(Q639&lt;=0.000000001,MIN(0.8*0.75*'KT THAN'!$C$62,MAX('KT THAN'!$J$38:$J$58)),IFERROR(MIN(0.8*0.75*'KT THAN'!$C$62,INDEX('KT THAN'!$J$38:$J$58,MATCH(Q639,'KT THAN'!$L$38:$L$58,-1))+(INDEX('KT THAN'!$J$38:$J$58,MIN(21,MATCH(Q639,'KT THAN'!$L$38:$L$58,-1)+1))-INDEX('KT THAN'!$J$38:$J$58,MATCH(Q639,'KT THAN'!$L$38:$L$58,-1)))*(Q639-INDEX('KT THAN'!$L$38:$L$58,MATCH(Q639,'KT THAN'!$L$38:$L$58,-1)))/(INDEX('KT THAN'!$L$38:$L$58,MIN(21,MATCH(Q639,'KT THAN'!$L$38:$L$58,-1)+1))-INDEX('KT THAN'!$L$38:$L$58,MATCH(Q639,'KT THAN'!$L$38:$L$58,-1)))),MIN(0.8*0.75*'KT THAN'!$C$62,'KT THAN'!$C$68/Q639)))))</f>
        <v/>
      </c>
      <c r="N639" s="38" t="str">
        <f>IF($A639="","",IF(H639=0,"",IF(R639&lt;=0.000000001,MIN(0.8*0.75*'KT THAN'!$C$62,MAX('KT THAN'!$W$38:$W$58)),IFERROR(MIN(0.8*0.75*'KT THAN'!$C$62,INDEX('KT THAN'!$W$38:$W$58,MATCH(R639,'KT THAN'!$Y$38:$Y$58,-1))+(INDEX('KT THAN'!$W$38:$W$58,MIN(21,MATCH(R639,'KT THAN'!$Y$38:$Y$58,-1)+1))-INDEX('KT THAN'!$W$38:$W$58,MATCH(R639,'KT THAN'!$Y$38:$Y$58,-1)))*(R639-INDEX('KT THAN'!$Y$38:$Y$58,MATCH(R639,'KT THAN'!$Y$38:$Y$58,-1)))/(INDEX('KT THAN'!$Y$38:$Y$58,MIN(21,MATCH(R639,'KT THAN'!$Y$38:$Y$58,-1)+1))-INDEX('KT THAN'!$Y$38:$Y$58,MATCH(R639,'KT THAN'!$Y$38:$Y$58,-1)))),MIN(0.8*0.75*'KT THAN'!$C$62,'KT THAN'!$D$68/R639)))))</f>
        <v/>
      </c>
      <c r="O639" s="38" t="str">
        <f>IF($A639="","",IF(H639&lt;0,ABS(H639)/MAX('KT THAN'!$C$69,0.001)+'KT THAN'!$C$32*ABS(J639)/MAX('KT THAN'!$C$68,0.001)+'KT THAN'!$D$32*ABS(I639)/MAX('KT THAN'!$D$68,0.001),IF(OR(M639&lt;=0,N639&lt;=0),999,IF(H639&gt;=0.1*0.75*fc_*Agth*1000,H639/MAX(0.001,1/(1/M639+1/N639-1/(0.75*'KT THAN'!$C$62))),'KT THAN'!$C$32*ABS(J639)/MAX('KT THAN'!$C$68,0.001)+'KT THAN'!$D$32*ABS(I639)/MAX('KT THAN'!$D$68,0.001)))))</f>
        <v/>
      </c>
      <c r="P639" s="37" t="str">
        <f t="shared" si="97"/>
        <v/>
      </c>
      <c r="Q639" s="38" t="str">
        <f>IF($A639="","",MAX(0.001,'KT THAN'!$C$32*ABS(J639)/MAX(1,H639)))</f>
        <v/>
      </c>
      <c r="R639" s="38" t="str">
        <f>IF($A639="","",MAX(0.001,'KT THAN'!$D$32*ABS(I639)/MAX(1,H639)))</f>
        <v/>
      </c>
      <c r="S639" t="str">
        <f t="shared" si="91"/>
        <v/>
      </c>
    </row>
    <row r="640" spans="1:19" hidden="1" outlineLevel="1" x14ac:dyDescent="0.3">
      <c r="A640" s="37" t="str">
        <f>IF(OR(nThan=1,'TO HOP NLAN'!$A196=""),"",'TO HOP NLAN'!$A196)</f>
        <v/>
      </c>
      <c r="B640" s="38" t="str">
        <f>IF($A640="","",'TO HOP NLAN'!$D196)</f>
        <v/>
      </c>
      <c r="C640" s="38" t="str">
        <f>IF($A640="","",'TO HOP NLAN'!$E196)</f>
        <v/>
      </c>
      <c r="D640" s="38" t="str">
        <f>IF($A640="","",'TO HOP NLAN'!$F196)</f>
        <v/>
      </c>
      <c r="E640" s="38" t="str">
        <f>IF($A640="","",'TO HOP NLAN'!$B196)</f>
        <v/>
      </c>
      <c r="F640" s="38" t="str">
        <f>IF($A640="","",'TO HOP NLAN'!$C196)</f>
        <v/>
      </c>
      <c r="G640" s="38" t="str">
        <f t="shared" si="92"/>
        <v/>
      </c>
      <c r="H640" s="38" t="str">
        <f t="shared" si="90"/>
        <v/>
      </c>
      <c r="I640" s="38" t="str">
        <f t="shared" si="93"/>
        <v/>
      </c>
      <c r="J640" s="38" t="str">
        <f t="shared" si="94"/>
        <v/>
      </c>
      <c r="K640" s="38" t="str">
        <f t="shared" si="95"/>
        <v/>
      </c>
      <c r="L640" s="38" t="str">
        <f t="shared" si="96"/>
        <v/>
      </c>
      <c r="M640" s="38" t="str">
        <f>IF($A640="","",IF(H640=0,"",IF(Q640&lt;=0.000000001,MIN(0.8*0.75*'KT THAN'!$C$62,MAX('KT THAN'!$J$38:$J$58)),IFERROR(MIN(0.8*0.75*'KT THAN'!$C$62,INDEX('KT THAN'!$J$38:$J$58,MATCH(Q640,'KT THAN'!$L$38:$L$58,-1))+(INDEX('KT THAN'!$J$38:$J$58,MIN(21,MATCH(Q640,'KT THAN'!$L$38:$L$58,-1)+1))-INDEX('KT THAN'!$J$38:$J$58,MATCH(Q640,'KT THAN'!$L$38:$L$58,-1)))*(Q640-INDEX('KT THAN'!$L$38:$L$58,MATCH(Q640,'KT THAN'!$L$38:$L$58,-1)))/(INDEX('KT THAN'!$L$38:$L$58,MIN(21,MATCH(Q640,'KT THAN'!$L$38:$L$58,-1)+1))-INDEX('KT THAN'!$L$38:$L$58,MATCH(Q640,'KT THAN'!$L$38:$L$58,-1)))),MIN(0.8*0.75*'KT THAN'!$C$62,'KT THAN'!$C$68/Q640)))))</f>
        <v/>
      </c>
      <c r="N640" s="38" t="str">
        <f>IF($A640="","",IF(H640=0,"",IF(R640&lt;=0.000000001,MIN(0.8*0.75*'KT THAN'!$C$62,MAX('KT THAN'!$W$38:$W$58)),IFERROR(MIN(0.8*0.75*'KT THAN'!$C$62,INDEX('KT THAN'!$W$38:$W$58,MATCH(R640,'KT THAN'!$Y$38:$Y$58,-1))+(INDEX('KT THAN'!$W$38:$W$58,MIN(21,MATCH(R640,'KT THAN'!$Y$38:$Y$58,-1)+1))-INDEX('KT THAN'!$W$38:$W$58,MATCH(R640,'KT THAN'!$Y$38:$Y$58,-1)))*(R640-INDEX('KT THAN'!$Y$38:$Y$58,MATCH(R640,'KT THAN'!$Y$38:$Y$58,-1)))/(INDEX('KT THAN'!$Y$38:$Y$58,MIN(21,MATCH(R640,'KT THAN'!$Y$38:$Y$58,-1)+1))-INDEX('KT THAN'!$Y$38:$Y$58,MATCH(R640,'KT THAN'!$Y$38:$Y$58,-1)))),MIN(0.8*0.75*'KT THAN'!$C$62,'KT THAN'!$D$68/R640)))))</f>
        <v/>
      </c>
      <c r="O640" s="38" t="str">
        <f>IF($A640="","",IF(H640&lt;0,ABS(H640)/MAX('KT THAN'!$C$69,0.001)+'KT THAN'!$C$32*ABS(J640)/MAX('KT THAN'!$C$68,0.001)+'KT THAN'!$D$32*ABS(I640)/MAX('KT THAN'!$D$68,0.001),IF(OR(M640&lt;=0,N640&lt;=0),999,IF(H640&gt;=0.1*0.75*fc_*Agth*1000,H640/MAX(0.001,1/(1/M640+1/N640-1/(0.75*'KT THAN'!$C$62))),'KT THAN'!$C$32*ABS(J640)/MAX('KT THAN'!$C$68,0.001)+'KT THAN'!$D$32*ABS(I640)/MAX('KT THAN'!$D$68,0.001)))))</f>
        <v/>
      </c>
      <c r="P640" s="37" t="str">
        <f t="shared" si="97"/>
        <v/>
      </c>
      <c r="Q640" s="38" t="str">
        <f>IF($A640="","",MAX(0.001,'KT THAN'!$C$32*ABS(J640)/MAX(1,H640)))</f>
        <v/>
      </c>
      <c r="R640" s="38" t="str">
        <f>IF($A640="","",MAX(0.001,'KT THAN'!$D$32*ABS(I640)/MAX(1,H640)))</f>
        <v/>
      </c>
      <c r="S640" t="str">
        <f t="shared" si="91"/>
        <v/>
      </c>
    </row>
    <row r="641" spans="1:19" hidden="1" outlineLevel="1" x14ac:dyDescent="0.3">
      <c r="A641" s="37" t="str">
        <f>IF(OR(nThan=1,'TO HOP NLAN'!$A197=""),"",'TO HOP NLAN'!$A197)</f>
        <v/>
      </c>
      <c r="B641" s="38" t="str">
        <f>IF($A641="","",'TO HOP NLAN'!$D197)</f>
        <v/>
      </c>
      <c r="C641" s="38" t="str">
        <f>IF($A641="","",'TO HOP NLAN'!$E197)</f>
        <v/>
      </c>
      <c r="D641" s="38" t="str">
        <f>IF($A641="","",'TO HOP NLAN'!$F197)</f>
        <v/>
      </c>
      <c r="E641" s="38" t="str">
        <f>IF($A641="","",'TO HOP NLAN'!$B197)</f>
        <v/>
      </c>
      <c r="F641" s="38" t="str">
        <f>IF($A641="","",'TO HOP NLAN'!$C197)</f>
        <v/>
      </c>
      <c r="G641" s="38" t="str">
        <f t="shared" si="92"/>
        <v/>
      </c>
      <c r="H641" s="38" t="str">
        <f t="shared" si="90"/>
        <v/>
      </c>
      <c r="I641" s="38" t="str">
        <f t="shared" si="93"/>
        <v/>
      </c>
      <c r="J641" s="38" t="str">
        <f t="shared" si="94"/>
        <v/>
      </c>
      <c r="K641" s="38" t="str">
        <f t="shared" si="95"/>
        <v/>
      </c>
      <c r="L641" s="38" t="str">
        <f t="shared" si="96"/>
        <v/>
      </c>
      <c r="M641" s="38" t="str">
        <f>IF($A641="","",IF(H641=0,"",IF(Q641&lt;=0.000000001,MIN(0.8*0.75*'KT THAN'!$C$62,MAX('KT THAN'!$J$38:$J$58)),IFERROR(MIN(0.8*0.75*'KT THAN'!$C$62,INDEX('KT THAN'!$J$38:$J$58,MATCH(Q641,'KT THAN'!$L$38:$L$58,-1))+(INDEX('KT THAN'!$J$38:$J$58,MIN(21,MATCH(Q641,'KT THAN'!$L$38:$L$58,-1)+1))-INDEX('KT THAN'!$J$38:$J$58,MATCH(Q641,'KT THAN'!$L$38:$L$58,-1)))*(Q641-INDEX('KT THAN'!$L$38:$L$58,MATCH(Q641,'KT THAN'!$L$38:$L$58,-1)))/(INDEX('KT THAN'!$L$38:$L$58,MIN(21,MATCH(Q641,'KT THAN'!$L$38:$L$58,-1)+1))-INDEX('KT THAN'!$L$38:$L$58,MATCH(Q641,'KT THAN'!$L$38:$L$58,-1)))),MIN(0.8*0.75*'KT THAN'!$C$62,'KT THAN'!$C$68/Q641)))))</f>
        <v/>
      </c>
      <c r="N641" s="38" t="str">
        <f>IF($A641="","",IF(H641=0,"",IF(R641&lt;=0.000000001,MIN(0.8*0.75*'KT THAN'!$C$62,MAX('KT THAN'!$W$38:$W$58)),IFERROR(MIN(0.8*0.75*'KT THAN'!$C$62,INDEX('KT THAN'!$W$38:$W$58,MATCH(R641,'KT THAN'!$Y$38:$Y$58,-1))+(INDEX('KT THAN'!$W$38:$W$58,MIN(21,MATCH(R641,'KT THAN'!$Y$38:$Y$58,-1)+1))-INDEX('KT THAN'!$W$38:$W$58,MATCH(R641,'KT THAN'!$Y$38:$Y$58,-1)))*(R641-INDEX('KT THAN'!$Y$38:$Y$58,MATCH(R641,'KT THAN'!$Y$38:$Y$58,-1)))/(INDEX('KT THAN'!$Y$38:$Y$58,MIN(21,MATCH(R641,'KT THAN'!$Y$38:$Y$58,-1)+1))-INDEX('KT THAN'!$Y$38:$Y$58,MATCH(R641,'KT THAN'!$Y$38:$Y$58,-1)))),MIN(0.8*0.75*'KT THAN'!$C$62,'KT THAN'!$D$68/R641)))))</f>
        <v/>
      </c>
      <c r="O641" s="38" t="str">
        <f>IF($A641="","",IF(H641&lt;0,ABS(H641)/MAX('KT THAN'!$C$69,0.001)+'KT THAN'!$C$32*ABS(J641)/MAX('KT THAN'!$C$68,0.001)+'KT THAN'!$D$32*ABS(I641)/MAX('KT THAN'!$D$68,0.001),IF(OR(M641&lt;=0,N641&lt;=0),999,IF(H641&gt;=0.1*0.75*fc_*Agth*1000,H641/MAX(0.001,1/(1/M641+1/N641-1/(0.75*'KT THAN'!$C$62))),'KT THAN'!$C$32*ABS(J641)/MAX('KT THAN'!$C$68,0.001)+'KT THAN'!$D$32*ABS(I641)/MAX('KT THAN'!$D$68,0.001)))))</f>
        <v/>
      </c>
      <c r="P641" s="37" t="str">
        <f t="shared" si="97"/>
        <v/>
      </c>
      <c r="Q641" s="38" t="str">
        <f>IF($A641="","",MAX(0.001,'KT THAN'!$C$32*ABS(J641)/MAX(1,H641)))</f>
        <v/>
      </c>
      <c r="R641" s="38" t="str">
        <f>IF($A641="","",MAX(0.001,'KT THAN'!$D$32*ABS(I641)/MAX(1,H641)))</f>
        <v/>
      </c>
      <c r="S641" t="str">
        <f t="shared" si="91"/>
        <v/>
      </c>
    </row>
    <row r="642" spans="1:19" hidden="1" outlineLevel="1" x14ac:dyDescent="0.3">
      <c r="A642" s="37" t="str">
        <f>IF(OR(nThan=1,'TO HOP NLAN'!$A198=""),"",'TO HOP NLAN'!$A198)</f>
        <v/>
      </c>
      <c r="B642" s="38" t="str">
        <f>IF($A642="","",'TO HOP NLAN'!$D198)</f>
        <v/>
      </c>
      <c r="C642" s="38" t="str">
        <f>IF($A642="","",'TO HOP NLAN'!$E198)</f>
        <v/>
      </c>
      <c r="D642" s="38" t="str">
        <f>IF($A642="","",'TO HOP NLAN'!$F198)</f>
        <v/>
      </c>
      <c r="E642" s="38" t="str">
        <f>IF($A642="","",'TO HOP NLAN'!$B198)</f>
        <v/>
      </c>
      <c r="F642" s="38" t="str">
        <f>IF($A642="","",'TO HOP NLAN'!$C198)</f>
        <v/>
      </c>
      <c r="G642" s="38" t="str">
        <f t="shared" si="92"/>
        <v/>
      </c>
      <c r="H642" s="38" t="str">
        <f t="shared" ref="H642:H705" si="98">IF(A642="","",IF(nThan=1,B642,B642/2+(-1)*$B$7*C642/sThan))</f>
        <v/>
      </c>
      <c r="I642" s="38" t="str">
        <f t="shared" si="93"/>
        <v/>
      </c>
      <c r="J642" s="38" t="str">
        <f t="shared" si="94"/>
        <v/>
      </c>
      <c r="K642" s="38" t="str">
        <f t="shared" si="95"/>
        <v/>
      </c>
      <c r="L642" s="38" t="str">
        <f t="shared" si="96"/>
        <v/>
      </c>
      <c r="M642" s="38" t="str">
        <f>IF($A642="","",IF(H642=0,"",IF(Q642&lt;=0.000000001,MIN(0.8*0.75*'KT THAN'!$C$62,MAX('KT THAN'!$J$38:$J$58)),IFERROR(MIN(0.8*0.75*'KT THAN'!$C$62,INDEX('KT THAN'!$J$38:$J$58,MATCH(Q642,'KT THAN'!$L$38:$L$58,-1))+(INDEX('KT THAN'!$J$38:$J$58,MIN(21,MATCH(Q642,'KT THAN'!$L$38:$L$58,-1)+1))-INDEX('KT THAN'!$J$38:$J$58,MATCH(Q642,'KT THAN'!$L$38:$L$58,-1)))*(Q642-INDEX('KT THAN'!$L$38:$L$58,MATCH(Q642,'KT THAN'!$L$38:$L$58,-1)))/(INDEX('KT THAN'!$L$38:$L$58,MIN(21,MATCH(Q642,'KT THAN'!$L$38:$L$58,-1)+1))-INDEX('KT THAN'!$L$38:$L$58,MATCH(Q642,'KT THAN'!$L$38:$L$58,-1)))),MIN(0.8*0.75*'KT THAN'!$C$62,'KT THAN'!$C$68/Q642)))))</f>
        <v/>
      </c>
      <c r="N642" s="38" t="str">
        <f>IF($A642="","",IF(H642=0,"",IF(R642&lt;=0.000000001,MIN(0.8*0.75*'KT THAN'!$C$62,MAX('KT THAN'!$W$38:$W$58)),IFERROR(MIN(0.8*0.75*'KT THAN'!$C$62,INDEX('KT THAN'!$W$38:$W$58,MATCH(R642,'KT THAN'!$Y$38:$Y$58,-1))+(INDEX('KT THAN'!$W$38:$W$58,MIN(21,MATCH(R642,'KT THAN'!$Y$38:$Y$58,-1)+1))-INDEX('KT THAN'!$W$38:$W$58,MATCH(R642,'KT THAN'!$Y$38:$Y$58,-1)))*(R642-INDEX('KT THAN'!$Y$38:$Y$58,MATCH(R642,'KT THAN'!$Y$38:$Y$58,-1)))/(INDEX('KT THAN'!$Y$38:$Y$58,MIN(21,MATCH(R642,'KT THAN'!$Y$38:$Y$58,-1)+1))-INDEX('KT THAN'!$Y$38:$Y$58,MATCH(R642,'KT THAN'!$Y$38:$Y$58,-1)))),MIN(0.8*0.75*'KT THAN'!$C$62,'KT THAN'!$D$68/R642)))))</f>
        <v/>
      </c>
      <c r="O642" s="38" t="str">
        <f>IF($A642="","",IF(H642&lt;0,ABS(H642)/MAX('KT THAN'!$C$69,0.001)+'KT THAN'!$C$32*ABS(J642)/MAX('KT THAN'!$C$68,0.001)+'KT THAN'!$D$32*ABS(I642)/MAX('KT THAN'!$D$68,0.001),IF(OR(M642&lt;=0,N642&lt;=0),999,IF(H642&gt;=0.1*0.75*fc_*Agth*1000,H642/MAX(0.001,1/(1/M642+1/N642-1/(0.75*'KT THAN'!$C$62))),'KT THAN'!$C$32*ABS(J642)/MAX('KT THAN'!$C$68,0.001)+'KT THAN'!$D$32*ABS(I642)/MAX('KT THAN'!$D$68,0.001)))))</f>
        <v/>
      </c>
      <c r="P642" s="37" t="str">
        <f t="shared" si="97"/>
        <v/>
      </c>
      <c r="Q642" s="38" t="str">
        <f>IF($A642="","",MAX(0.001,'KT THAN'!$C$32*ABS(J642)/MAX(1,H642)))</f>
        <v/>
      </c>
      <c r="R642" s="38" t="str">
        <f>IF($A642="","",MAX(0.001,'KT THAN'!$D$32*ABS(I642)/MAX(1,H642)))</f>
        <v/>
      </c>
      <c r="S642" t="str">
        <f t="shared" ref="S642:S705" si="99">IF($A642="","",IF(H642&lt;0,O642,""))</f>
        <v/>
      </c>
    </row>
    <row r="643" spans="1:19" hidden="1" outlineLevel="1" x14ac:dyDescent="0.3">
      <c r="A643" s="37" t="str">
        <f>IF(OR(nThan=1,'TO HOP NLAN'!$A199=""),"",'TO HOP NLAN'!$A199)</f>
        <v/>
      </c>
      <c r="B643" s="38" t="str">
        <f>IF($A643="","",'TO HOP NLAN'!$D199)</f>
        <v/>
      </c>
      <c r="C643" s="38" t="str">
        <f>IF($A643="","",'TO HOP NLAN'!$E199)</f>
        <v/>
      </c>
      <c r="D643" s="38" t="str">
        <f>IF($A643="","",'TO HOP NLAN'!$F199)</f>
        <v/>
      </c>
      <c r="E643" s="38" t="str">
        <f>IF($A643="","",'TO HOP NLAN'!$B199)</f>
        <v/>
      </c>
      <c r="F643" s="38" t="str">
        <f>IF($A643="","",'TO HOP NLAN'!$C199)</f>
        <v/>
      </c>
      <c r="G643" s="38" t="str">
        <f t="shared" ref="G643:G706" si="100">IF(A643="","",2)</f>
        <v/>
      </c>
      <c r="H643" s="38" t="str">
        <f t="shared" si="98"/>
        <v/>
      </c>
      <c r="I643" s="38" t="str">
        <f t="shared" ref="I643:I706" si="101">IF(A643="","",IF(nThan=1,C643,(1-$B$7)*C643/2))</f>
        <v/>
      </c>
      <c r="J643" s="38" t="str">
        <f t="shared" ref="J643:J706" si="102">IF(A643="","",IF(nThan=1,D643,D643/2))</f>
        <v/>
      </c>
      <c r="K643" s="38" t="str">
        <f t="shared" ref="K643:K706" si="103">IF(A643="","",IF(nThan=1,E643,E643/2))</f>
        <v/>
      </c>
      <c r="L643" s="38" t="str">
        <f t="shared" ref="L643:L706" si="104">IF(A643="","",IF(nThan=1,F643,F643/2))</f>
        <v/>
      </c>
      <c r="M643" s="38" t="str">
        <f>IF($A643="","",IF(H643=0,"",IF(Q643&lt;=0.000000001,MIN(0.8*0.75*'KT THAN'!$C$62,MAX('KT THAN'!$J$38:$J$58)),IFERROR(MIN(0.8*0.75*'KT THAN'!$C$62,INDEX('KT THAN'!$J$38:$J$58,MATCH(Q643,'KT THAN'!$L$38:$L$58,-1))+(INDEX('KT THAN'!$J$38:$J$58,MIN(21,MATCH(Q643,'KT THAN'!$L$38:$L$58,-1)+1))-INDEX('KT THAN'!$J$38:$J$58,MATCH(Q643,'KT THAN'!$L$38:$L$58,-1)))*(Q643-INDEX('KT THAN'!$L$38:$L$58,MATCH(Q643,'KT THAN'!$L$38:$L$58,-1)))/(INDEX('KT THAN'!$L$38:$L$58,MIN(21,MATCH(Q643,'KT THAN'!$L$38:$L$58,-1)+1))-INDEX('KT THAN'!$L$38:$L$58,MATCH(Q643,'KT THAN'!$L$38:$L$58,-1)))),MIN(0.8*0.75*'KT THAN'!$C$62,'KT THAN'!$C$68/Q643)))))</f>
        <v/>
      </c>
      <c r="N643" s="38" t="str">
        <f>IF($A643="","",IF(H643=0,"",IF(R643&lt;=0.000000001,MIN(0.8*0.75*'KT THAN'!$C$62,MAX('KT THAN'!$W$38:$W$58)),IFERROR(MIN(0.8*0.75*'KT THAN'!$C$62,INDEX('KT THAN'!$W$38:$W$58,MATCH(R643,'KT THAN'!$Y$38:$Y$58,-1))+(INDEX('KT THAN'!$W$38:$W$58,MIN(21,MATCH(R643,'KT THAN'!$Y$38:$Y$58,-1)+1))-INDEX('KT THAN'!$W$38:$W$58,MATCH(R643,'KT THAN'!$Y$38:$Y$58,-1)))*(R643-INDEX('KT THAN'!$Y$38:$Y$58,MATCH(R643,'KT THAN'!$Y$38:$Y$58,-1)))/(INDEX('KT THAN'!$Y$38:$Y$58,MIN(21,MATCH(R643,'KT THAN'!$Y$38:$Y$58,-1)+1))-INDEX('KT THAN'!$Y$38:$Y$58,MATCH(R643,'KT THAN'!$Y$38:$Y$58,-1)))),MIN(0.8*0.75*'KT THAN'!$C$62,'KT THAN'!$D$68/R643)))))</f>
        <v/>
      </c>
      <c r="O643" s="38" t="str">
        <f>IF($A643="","",IF(H643&lt;0,ABS(H643)/MAX('KT THAN'!$C$69,0.001)+'KT THAN'!$C$32*ABS(J643)/MAX('KT THAN'!$C$68,0.001)+'KT THAN'!$D$32*ABS(I643)/MAX('KT THAN'!$D$68,0.001),IF(OR(M643&lt;=0,N643&lt;=0),999,IF(H643&gt;=0.1*0.75*fc_*Agth*1000,H643/MAX(0.001,1/(1/M643+1/N643-1/(0.75*'KT THAN'!$C$62))),'KT THAN'!$C$32*ABS(J643)/MAX('KT THAN'!$C$68,0.001)+'KT THAN'!$D$32*ABS(I643)/MAX('KT THAN'!$D$68,0.001)))))</f>
        <v/>
      </c>
      <c r="P643" s="37" t="str">
        <f t="shared" ref="P643:P706" si="105">IF(A643="","",IF(O643&lt;=1,"ĐẠT","KHÔNG ĐẠT"))</f>
        <v/>
      </c>
      <c r="Q643" s="38" t="str">
        <f>IF($A643="","",MAX(0.001,'KT THAN'!$C$32*ABS(J643)/MAX(1,H643)))</f>
        <v/>
      </c>
      <c r="R643" s="38" t="str">
        <f>IF($A643="","",MAX(0.001,'KT THAN'!$D$32*ABS(I643)/MAX(1,H643)))</f>
        <v/>
      </c>
      <c r="S643" t="str">
        <f t="shared" si="99"/>
        <v/>
      </c>
    </row>
    <row r="644" spans="1:19" hidden="1" outlineLevel="1" x14ac:dyDescent="0.3">
      <c r="A644" s="37" t="str">
        <f>IF(OR(nThan=1,'TO HOP NLAN'!$A200=""),"",'TO HOP NLAN'!$A200)</f>
        <v/>
      </c>
      <c r="B644" s="38" t="str">
        <f>IF($A644="","",'TO HOP NLAN'!$D200)</f>
        <v/>
      </c>
      <c r="C644" s="38" t="str">
        <f>IF($A644="","",'TO HOP NLAN'!$E200)</f>
        <v/>
      </c>
      <c r="D644" s="38" t="str">
        <f>IF($A644="","",'TO HOP NLAN'!$F200)</f>
        <v/>
      </c>
      <c r="E644" s="38" t="str">
        <f>IF($A644="","",'TO HOP NLAN'!$B200)</f>
        <v/>
      </c>
      <c r="F644" s="38" t="str">
        <f>IF($A644="","",'TO HOP NLAN'!$C200)</f>
        <v/>
      </c>
      <c r="G644" s="38" t="str">
        <f t="shared" si="100"/>
        <v/>
      </c>
      <c r="H644" s="38" t="str">
        <f t="shared" si="98"/>
        <v/>
      </c>
      <c r="I644" s="38" t="str">
        <f t="shared" si="101"/>
        <v/>
      </c>
      <c r="J644" s="38" t="str">
        <f t="shared" si="102"/>
        <v/>
      </c>
      <c r="K644" s="38" t="str">
        <f t="shared" si="103"/>
        <v/>
      </c>
      <c r="L644" s="38" t="str">
        <f t="shared" si="104"/>
        <v/>
      </c>
      <c r="M644" s="38" t="str">
        <f>IF($A644="","",IF(H644=0,"",IF(Q644&lt;=0.000000001,MIN(0.8*0.75*'KT THAN'!$C$62,MAX('KT THAN'!$J$38:$J$58)),IFERROR(MIN(0.8*0.75*'KT THAN'!$C$62,INDEX('KT THAN'!$J$38:$J$58,MATCH(Q644,'KT THAN'!$L$38:$L$58,-1))+(INDEX('KT THAN'!$J$38:$J$58,MIN(21,MATCH(Q644,'KT THAN'!$L$38:$L$58,-1)+1))-INDEX('KT THAN'!$J$38:$J$58,MATCH(Q644,'KT THAN'!$L$38:$L$58,-1)))*(Q644-INDEX('KT THAN'!$L$38:$L$58,MATCH(Q644,'KT THAN'!$L$38:$L$58,-1)))/(INDEX('KT THAN'!$L$38:$L$58,MIN(21,MATCH(Q644,'KT THAN'!$L$38:$L$58,-1)+1))-INDEX('KT THAN'!$L$38:$L$58,MATCH(Q644,'KT THAN'!$L$38:$L$58,-1)))),MIN(0.8*0.75*'KT THAN'!$C$62,'KT THAN'!$C$68/Q644)))))</f>
        <v/>
      </c>
      <c r="N644" s="38" t="str">
        <f>IF($A644="","",IF(H644=0,"",IF(R644&lt;=0.000000001,MIN(0.8*0.75*'KT THAN'!$C$62,MAX('KT THAN'!$W$38:$W$58)),IFERROR(MIN(0.8*0.75*'KT THAN'!$C$62,INDEX('KT THAN'!$W$38:$W$58,MATCH(R644,'KT THAN'!$Y$38:$Y$58,-1))+(INDEX('KT THAN'!$W$38:$W$58,MIN(21,MATCH(R644,'KT THAN'!$Y$38:$Y$58,-1)+1))-INDEX('KT THAN'!$W$38:$W$58,MATCH(R644,'KT THAN'!$Y$38:$Y$58,-1)))*(R644-INDEX('KT THAN'!$Y$38:$Y$58,MATCH(R644,'KT THAN'!$Y$38:$Y$58,-1)))/(INDEX('KT THAN'!$Y$38:$Y$58,MIN(21,MATCH(R644,'KT THAN'!$Y$38:$Y$58,-1)+1))-INDEX('KT THAN'!$Y$38:$Y$58,MATCH(R644,'KT THAN'!$Y$38:$Y$58,-1)))),MIN(0.8*0.75*'KT THAN'!$C$62,'KT THAN'!$D$68/R644)))))</f>
        <v/>
      </c>
      <c r="O644" s="38" t="str">
        <f>IF($A644="","",IF(H644&lt;0,ABS(H644)/MAX('KT THAN'!$C$69,0.001)+'KT THAN'!$C$32*ABS(J644)/MAX('KT THAN'!$C$68,0.001)+'KT THAN'!$D$32*ABS(I644)/MAX('KT THAN'!$D$68,0.001),IF(OR(M644&lt;=0,N644&lt;=0),999,IF(H644&gt;=0.1*0.75*fc_*Agth*1000,H644/MAX(0.001,1/(1/M644+1/N644-1/(0.75*'KT THAN'!$C$62))),'KT THAN'!$C$32*ABS(J644)/MAX('KT THAN'!$C$68,0.001)+'KT THAN'!$D$32*ABS(I644)/MAX('KT THAN'!$D$68,0.001)))))</f>
        <v/>
      </c>
      <c r="P644" s="37" t="str">
        <f t="shared" si="105"/>
        <v/>
      </c>
      <c r="Q644" s="38" t="str">
        <f>IF($A644="","",MAX(0.001,'KT THAN'!$C$32*ABS(J644)/MAX(1,H644)))</f>
        <v/>
      </c>
      <c r="R644" s="38" t="str">
        <f>IF($A644="","",MAX(0.001,'KT THAN'!$D$32*ABS(I644)/MAX(1,H644)))</f>
        <v/>
      </c>
      <c r="S644" t="str">
        <f t="shared" si="99"/>
        <v/>
      </c>
    </row>
    <row r="645" spans="1:19" hidden="1" outlineLevel="1" x14ac:dyDescent="0.3">
      <c r="A645" s="37" t="str">
        <f>IF(OR(nThan=1,'TO HOP NLAN'!$A201=""),"",'TO HOP NLAN'!$A201)</f>
        <v/>
      </c>
      <c r="B645" s="38" t="str">
        <f>IF($A645="","",'TO HOP NLAN'!$D201)</f>
        <v/>
      </c>
      <c r="C645" s="38" t="str">
        <f>IF($A645="","",'TO HOP NLAN'!$E201)</f>
        <v/>
      </c>
      <c r="D645" s="38" t="str">
        <f>IF($A645="","",'TO HOP NLAN'!$F201)</f>
        <v/>
      </c>
      <c r="E645" s="38" t="str">
        <f>IF($A645="","",'TO HOP NLAN'!$B201)</f>
        <v/>
      </c>
      <c r="F645" s="38" t="str">
        <f>IF($A645="","",'TO HOP NLAN'!$C201)</f>
        <v/>
      </c>
      <c r="G645" s="38" t="str">
        <f t="shared" si="100"/>
        <v/>
      </c>
      <c r="H645" s="38" t="str">
        <f t="shared" si="98"/>
        <v/>
      </c>
      <c r="I645" s="38" t="str">
        <f t="shared" si="101"/>
        <v/>
      </c>
      <c r="J645" s="38" t="str">
        <f t="shared" si="102"/>
        <v/>
      </c>
      <c r="K645" s="38" t="str">
        <f t="shared" si="103"/>
        <v/>
      </c>
      <c r="L645" s="38" t="str">
        <f t="shared" si="104"/>
        <v/>
      </c>
      <c r="M645" s="38" t="str">
        <f>IF($A645="","",IF(H645=0,"",IF(Q645&lt;=0.000000001,MIN(0.8*0.75*'KT THAN'!$C$62,MAX('KT THAN'!$J$38:$J$58)),IFERROR(MIN(0.8*0.75*'KT THAN'!$C$62,INDEX('KT THAN'!$J$38:$J$58,MATCH(Q645,'KT THAN'!$L$38:$L$58,-1))+(INDEX('KT THAN'!$J$38:$J$58,MIN(21,MATCH(Q645,'KT THAN'!$L$38:$L$58,-1)+1))-INDEX('KT THAN'!$J$38:$J$58,MATCH(Q645,'KT THAN'!$L$38:$L$58,-1)))*(Q645-INDEX('KT THAN'!$L$38:$L$58,MATCH(Q645,'KT THAN'!$L$38:$L$58,-1)))/(INDEX('KT THAN'!$L$38:$L$58,MIN(21,MATCH(Q645,'KT THAN'!$L$38:$L$58,-1)+1))-INDEX('KT THAN'!$L$38:$L$58,MATCH(Q645,'KT THAN'!$L$38:$L$58,-1)))),MIN(0.8*0.75*'KT THAN'!$C$62,'KT THAN'!$C$68/Q645)))))</f>
        <v/>
      </c>
      <c r="N645" s="38" t="str">
        <f>IF($A645="","",IF(H645=0,"",IF(R645&lt;=0.000000001,MIN(0.8*0.75*'KT THAN'!$C$62,MAX('KT THAN'!$W$38:$W$58)),IFERROR(MIN(0.8*0.75*'KT THAN'!$C$62,INDEX('KT THAN'!$W$38:$W$58,MATCH(R645,'KT THAN'!$Y$38:$Y$58,-1))+(INDEX('KT THAN'!$W$38:$W$58,MIN(21,MATCH(R645,'KT THAN'!$Y$38:$Y$58,-1)+1))-INDEX('KT THAN'!$W$38:$W$58,MATCH(R645,'KT THAN'!$Y$38:$Y$58,-1)))*(R645-INDEX('KT THAN'!$Y$38:$Y$58,MATCH(R645,'KT THAN'!$Y$38:$Y$58,-1)))/(INDEX('KT THAN'!$Y$38:$Y$58,MIN(21,MATCH(R645,'KT THAN'!$Y$38:$Y$58,-1)+1))-INDEX('KT THAN'!$Y$38:$Y$58,MATCH(R645,'KT THAN'!$Y$38:$Y$58,-1)))),MIN(0.8*0.75*'KT THAN'!$C$62,'KT THAN'!$D$68/R645)))))</f>
        <v/>
      </c>
      <c r="O645" s="38" t="str">
        <f>IF($A645="","",IF(H645&lt;0,ABS(H645)/MAX('KT THAN'!$C$69,0.001)+'KT THAN'!$C$32*ABS(J645)/MAX('KT THAN'!$C$68,0.001)+'KT THAN'!$D$32*ABS(I645)/MAX('KT THAN'!$D$68,0.001),IF(OR(M645&lt;=0,N645&lt;=0),999,IF(H645&gt;=0.1*0.75*fc_*Agth*1000,H645/MAX(0.001,1/(1/M645+1/N645-1/(0.75*'KT THAN'!$C$62))),'KT THAN'!$C$32*ABS(J645)/MAX('KT THAN'!$C$68,0.001)+'KT THAN'!$D$32*ABS(I645)/MAX('KT THAN'!$D$68,0.001)))))</f>
        <v/>
      </c>
      <c r="P645" s="37" t="str">
        <f t="shared" si="105"/>
        <v/>
      </c>
      <c r="Q645" s="38" t="str">
        <f>IF($A645="","",MAX(0.001,'KT THAN'!$C$32*ABS(J645)/MAX(1,H645)))</f>
        <v/>
      </c>
      <c r="R645" s="38" t="str">
        <f>IF($A645="","",MAX(0.001,'KT THAN'!$D$32*ABS(I645)/MAX(1,H645)))</f>
        <v/>
      </c>
      <c r="S645" t="str">
        <f t="shared" si="99"/>
        <v/>
      </c>
    </row>
    <row r="646" spans="1:19" hidden="1" outlineLevel="1" x14ac:dyDescent="0.3">
      <c r="A646" s="37" t="str">
        <f>IF(OR(nThan=1,'TO HOP NLAN'!$A202=""),"",'TO HOP NLAN'!$A202)</f>
        <v/>
      </c>
      <c r="B646" s="38" t="str">
        <f>IF($A646="","",'TO HOP NLAN'!$D202)</f>
        <v/>
      </c>
      <c r="C646" s="38" t="str">
        <f>IF($A646="","",'TO HOP NLAN'!$E202)</f>
        <v/>
      </c>
      <c r="D646" s="38" t="str">
        <f>IF($A646="","",'TO HOP NLAN'!$F202)</f>
        <v/>
      </c>
      <c r="E646" s="38" t="str">
        <f>IF($A646="","",'TO HOP NLAN'!$B202)</f>
        <v/>
      </c>
      <c r="F646" s="38" t="str">
        <f>IF($A646="","",'TO HOP NLAN'!$C202)</f>
        <v/>
      </c>
      <c r="G646" s="38" t="str">
        <f t="shared" si="100"/>
        <v/>
      </c>
      <c r="H646" s="38" t="str">
        <f t="shared" si="98"/>
        <v/>
      </c>
      <c r="I646" s="38" t="str">
        <f t="shared" si="101"/>
        <v/>
      </c>
      <c r="J646" s="38" t="str">
        <f t="shared" si="102"/>
        <v/>
      </c>
      <c r="K646" s="38" t="str">
        <f t="shared" si="103"/>
        <v/>
      </c>
      <c r="L646" s="38" t="str">
        <f t="shared" si="104"/>
        <v/>
      </c>
      <c r="M646" s="38" t="str">
        <f>IF($A646="","",IF(H646=0,"",IF(Q646&lt;=0.000000001,MIN(0.8*0.75*'KT THAN'!$C$62,MAX('KT THAN'!$J$38:$J$58)),IFERROR(MIN(0.8*0.75*'KT THAN'!$C$62,INDEX('KT THAN'!$J$38:$J$58,MATCH(Q646,'KT THAN'!$L$38:$L$58,-1))+(INDEX('KT THAN'!$J$38:$J$58,MIN(21,MATCH(Q646,'KT THAN'!$L$38:$L$58,-1)+1))-INDEX('KT THAN'!$J$38:$J$58,MATCH(Q646,'KT THAN'!$L$38:$L$58,-1)))*(Q646-INDEX('KT THAN'!$L$38:$L$58,MATCH(Q646,'KT THAN'!$L$38:$L$58,-1)))/(INDEX('KT THAN'!$L$38:$L$58,MIN(21,MATCH(Q646,'KT THAN'!$L$38:$L$58,-1)+1))-INDEX('KT THAN'!$L$38:$L$58,MATCH(Q646,'KT THAN'!$L$38:$L$58,-1)))),MIN(0.8*0.75*'KT THAN'!$C$62,'KT THAN'!$C$68/Q646)))))</f>
        <v/>
      </c>
      <c r="N646" s="38" t="str">
        <f>IF($A646="","",IF(H646=0,"",IF(R646&lt;=0.000000001,MIN(0.8*0.75*'KT THAN'!$C$62,MAX('KT THAN'!$W$38:$W$58)),IFERROR(MIN(0.8*0.75*'KT THAN'!$C$62,INDEX('KT THAN'!$W$38:$W$58,MATCH(R646,'KT THAN'!$Y$38:$Y$58,-1))+(INDEX('KT THAN'!$W$38:$W$58,MIN(21,MATCH(R646,'KT THAN'!$Y$38:$Y$58,-1)+1))-INDEX('KT THAN'!$W$38:$W$58,MATCH(R646,'KT THAN'!$Y$38:$Y$58,-1)))*(R646-INDEX('KT THAN'!$Y$38:$Y$58,MATCH(R646,'KT THAN'!$Y$38:$Y$58,-1)))/(INDEX('KT THAN'!$Y$38:$Y$58,MIN(21,MATCH(R646,'KT THAN'!$Y$38:$Y$58,-1)+1))-INDEX('KT THAN'!$Y$38:$Y$58,MATCH(R646,'KT THAN'!$Y$38:$Y$58,-1)))),MIN(0.8*0.75*'KT THAN'!$C$62,'KT THAN'!$D$68/R646)))))</f>
        <v/>
      </c>
      <c r="O646" s="38" t="str">
        <f>IF($A646="","",IF(H646&lt;0,ABS(H646)/MAX('KT THAN'!$C$69,0.001)+'KT THAN'!$C$32*ABS(J646)/MAX('KT THAN'!$C$68,0.001)+'KT THAN'!$D$32*ABS(I646)/MAX('KT THAN'!$D$68,0.001),IF(OR(M646&lt;=0,N646&lt;=0),999,IF(H646&gt;=0.1*0.75*fc_*Agth*1000,H646/MAX(0.001,1/(1/M646+1/N646-1/(0.75*'KT THAN'!$C$62))),'KT THAN'!$C$32*ABS(J646)/MAX('KT THAN'!$C$68,0.001)+'KT THAN'!$D$32*ABS(I646)/MAX('KT THAN'!$D$68,0.001)))))</f>
        <v/>
      </c>
      <c r="P646" s="37" t="str">
        <f t="shared" si="105"/>
        <v/>
      </c>
      <c r="Q646" s="38" t="str">
        <f>IF($A646="","",MAX(0.001,'KT THAN'!$C$32*ABS(J646)/MAX(1,H646)))</f>
        <v/>
      </c>
      <c r="R646" s="38" t="str">
        <f>IF($A646="","",MAX(0.001,'KT THAN'!$D$32*ABS(I646)/MAX(1,H646)))</f>
        <v/>
      </c>
      <c r="S646" t="str">
        <f t="shared" si="99"/>
        <v/>
      </c>
    </row>
    <row r="647" spans="1:19" hidden="1" outlineLevel="1" x14ac:dyDescent="0.3">
      <c r="A647" s="37" t="str">
        <f>IF(OR(nThan=1,'TO HOP NLAN'!$A203=""),"",'TO HOP NLAN'!$A203)</f>
        <v/>
      </c>
      <c r="B647" s="38" t="str">
        <f>IF($A647="","",'TO HOP NLAN'!$D203)</f>
        <v/>
      </c>
      <c r="C647" s="38" t="str">
        <f>IF($A647="","",'TO HOP NLAN'!$E203)</f>
        <v/>
      </c>
      <c r="D647" s="38" t="str">
        <f>IF($A647="","",'TO HOP NLAN'!$F203)</f>
        <v/>
      </c>
      <c r="E647" s="38" t="str">
        <f>IF($A647="","",'TO HOP NLAN'!$B203)</f>
        <v/>
      </c>
      <c r="F647" s="38" t="str">
        <f>IF($A647="","",'TO HOP NLAN'!$C203)</f>
        <v/>
      </c>
      <c r="G647" s="38" t="str">
        <f t="shared" si="100"/>
        <v/>
      </c>
      <c r="H647" s="38" t="str">
        <f t="shared" si="98"/>
        <v/>
      </c>
      <c r="I647" s="38" t="str">
        <f t="shared" si="101"/>
        <v/>
      </c>
      <c r="J647" s="38" t="str">
        <f t="shared" si="102"/>
        <v/>
      </c>
      <c r="K647" s="38" t="str">
        <f t="shared" si="103"/>
        <v/>
      </c>
      <c r="L647" s="38" t="str">
        <f t="shared" si="104"/>
        <v/>
      </c>
      <c r="M647" s="38" t="str">
        <f>IF($A647="","",IF(H647=0,"",IF(Q647&lt;=0.000000001,MIN(0.8*0.75*'KT THAN'!$C$62,MAX('KT THAN'!$J$38:$J$58)),IFERROR(MIN(0.8*0.75*'KT THAN'!$C$62,INDEX('KT THAN'!$J$38:$J$58,MATCH(Q647,'KT THAN'!$L$38:$L$58,-1))+(INDEX('KT THAN'!$J$38:$J$58,MIN(21,MATCH(Q647,'KT THAN'!$L$38:$L$58,-1)+1))-INDEX('KT THAN'!$J$38:$J$58,MATCH(Q647,'KT THAN'!$L$38:$L$58,-1)))*(Q647-INDEX('KT THAN'!$L$38:$L$58,MATCH(Q647,'KT THAN'!$L$38:$L$58,-1)))/(INDEX('KT THAN'!$L$38:$L$58,MIN(21,MATCH(Q647,'KT THAN'!$L$38:$L$58,-1)+1))-INDEX('KT THAN'!$L$38:$L$58,MATCH(Q647,'KT THAN'!$L$38:$L$58,-1)))),MIN(0.8*0.75*'KT THAN'!$C$62,'KT THAN'!$C$68/Q647)))))</f>
        <v/>
      </c>
      <c r="N647" s="38" t="str">
        <f>IF($A647="","",IF(H647=0,"",IF(R647&lt;=0.000000001,MIN(0.8*0.75*'KT THAN'!$C$62,MAX('KT THAN'!$W$38:$W$58)),IFERROR(MIN(0.8*0.75*'KT THAN'!$C$62,INDEX('KT THAN'!$W$38:$W$58,MATCH(R647,'KT THAN'!$Y$38:$Y$58,-1))+(INDEX('KT THAN'!$W$38:$W$58,MIN(21,MATCH(R647,'KT THAN'!$Y$38:$Y$58,-1)+1))-INDEX('KT THAN'!$W$38:$W$58,MATCH(R647,'KT THAN'!$Y$38:$Y$58,-1)))*(R647-INDEX('KT THAN'!$Y$38:$Y$58,MATCH(R647,'KT THAN'!$Y$38:$Y$58,-1)))/(INDEX('KT THAN'!$Y$38:$Y$58,MIN(21,MATCH(R647,'KT THAN'!$Y$38:$Y$58,-1)+1))-INDEX('KT THAN'!$Y$38:$Y$58,MATCH(R647,'KT THAN'!$Y$38:$Y$58,-1)))),MIN(0.8*0.75*'KT THAN'!$C$62,'KT THAN'!$D$68/R647)))))</f>
        <v/>
      </c>
      <c r="O647" s="38" t="str">
        <f>IF($A647="","",IF(H647&lt;0,ABS(H647)/MAX('KT THAN'!$C$69,0.001)+'KT THAN'!$C$32*ABS(J647)/MAX('KT THAN'!$C$68,0.001)+'KT THAN'!$D$32*ABS(I647)/MAX('KT THAN'!$D$68,0.001),IF(OR(M647&lt;=0,N647&lt;=0),999,IF(H647&gt;=0.1*0.75*fc_*Agth*1000,H647/MAX(0.001,1/(1/M647+1/N647-1/(0.75*'KT THAN'!$C$62))),'KT THAN'!$C$32*ABS(J647)/MAX('KT THAN'!$C$68,0.001)+'KT THAN'!$D$32*ABS(I647)/MAX('KT THAN'!$D$68,0.001)))))</f>
        <v/>
      </c>
      <c r="P647" s="37" t="str">
        <f t="shared" si="105"/>
        <v/>
      </c>
      <c r="Q647" s="38" t="str">
        <f>IF($A647="","",MAX(0.001,'KT THAN'!$C$32*ABS(J647)/MAX(1,H647)))</f>
        <v/>
      </c>
      <c r="R647" s="38" t="str">
        <f>IF($A647="","",MAX(0.001,'KT THAN'!$D$32*ABS(I647)/MAX(1,H647)))</f>
        <v/>
      </c>
      <c r="S647" t="str">
        <f t="shared" si="99"/>
        <v/>
      </c>
    </row>
    <row r="648" spans="1:19" hidden="1" outlineLevel="1" x14ac:dyDescent="0.3">
      <c r="A648" s="37" t="str">
        <f>IF(OR(nThan=1,'TO HOP NLAN'!$A204=""),"",'TO HOP NLAN'!$A204)</f>
        <v/>
      </c>
      <c r="B648" s="38" t="str">
        <f>IF($A648="","",'TO HOP NLAN'!$D204)</f>
        <v/>
      </c>
      <c r="C648" s="38" t="str">
        <f>IF($A648="","",'TO HOP NLAN'!$E204)</f>
        <v/>
      </c>
      <c r="D648" s="38" t="str">
        <f>IF($A648="","",'TO HOP NLAN'!$F204)</f>
        <v/>
      </c>
      <c r="E648" s="38" t="str">
        <f>IF($A648="","",'TO HOP NLAN'!$B204)</f>
        <v/>
      </c>
      <c r="F648" s="38" t="str">
        <f>IF($A648="","",'TO HOP NLAN'!$C204)</f>
        <v/>
      </c>
      <c r="G648" s="38" t="str">
        <f t="shared" si="100"/>
        <v/>
      </c>
      <c r="H648" s="38" t="str">
        <f t="shared" si="98"/>
        <v/>
      </c>
      <c r="I648" s="38" t="str">
        <f t="shared" si="101"/>
        <v/>
      </c>
      <c r="J648" s="38" t="str">
        <f t="shared" si="102"/>
        <v/>
      </c>
      <c r="K648" s="38" t="str">
        <f t="shared" si="103"/>
        <v/>
      </c>
      <c r="L648" s="38" t="str">
        <f t="shared" si="104"/>
        <v/>
      </c>
      <c r="M648" s="38" t="str">
        <f>IF($A648="","",IF(H648=0,"",IF(Q648&lt;=0.000000001,MIN(0.8*0.75*'KT THAN'!$C$62,MAX('KT THAN'!$J$38:$J$58)),IFERROR(MIN(0.8*0.75*'KT THAN'!$C$62,INDEX('KT THAN'!$J$38:$J$58,MATCH(Q648,'KT THAN'!$L$38:$L$58,-1))+(INDEX('KT THAN'!$J$38:$J$58,MIN(21,MATCH(Q648,'KT THAN'!$L$38:$L$58,-1)+1))-INDEX('KT THAN'!$J$38:$J$58,MATCH(Q648,'KT THAN'!$L$38:$L$58,-1)))*(Q648-INDEX('KT THAN'!$L$38:$L$58,MATCH(Q648,'KT THAN'!$L$38:$L$58,-1)))/(INDEX('KT THAN'!$L$38:$L$58,MIN(21,MATCH(Q648,'KT THAN'!$L$38:$L$58,-1)+1))-INDEX('KT THAN'!$L$38:$L$58,MATCH(Q648,'KT THAN'!$L$38:$L$58,-1)))),MIN(0.8*0.75*'KT THAN'!$C$62,'KT THAN'!$C$68/Q648)))))</f>
        <v/>
      </c>
      <c r="N648" s="38" t="str">
        <f>IF($A648="","",IF(H648=0,"",IF(R648&lt;=0.000000001,MIN(0.8*0.75*'KT THAN'!$C$62,MAX('KT THAN'!$W$38:$W$58)),IFERROR(MIN(0.8*0.75*'KT THAN'!$C$62,INDEX('KT THAN'!$W$38:$W$58,MATCH(R648,'KT THAN'!$Y$38:$Y$58,-1))+(INDEX('KT THAN'!$W$38:$W$58,MIN(21,MATCH(R648,'KT THAN'!$Y$38:$Y$58,-1)+1))-INDEX('KT THAN'!$W$38:$W$58,MATCH(R648,'KT THAN'!$Y$38:$Y$58,-1)))*(R648-INDEX('KT THAN'!$Y$38:$Y$58,MATCH(R648,'KT THAN'!$Y$38:$Y$58,-1)))/(INDEX('KT THAN'!$Y$38:$Y$58,MIN(21,MATCH(R648,'KT THAN'!$Y$38:$Y$58,-1)+1))-INDEX('KT THAN'!$Y$38:$Y$58,MATCH(R648,'KT THAN'!$Y$38:$Y$58,-1)))),MIN(0.8*0.75*'KT THAN'!$C$62,'KT THAN'!$D$68/R648)))))</f>
        <v/>
      </c>
      <c r="O648" s="38" t="str">
        <f>IF($A648="","",IF(H648&lt;0,ABS(H648)/MAX('KT THAN'!$C$69,0.001)+'KT THAN'!$C$32*ABS(J648)/MAX('KT THAN'!$C$68,0.001)+'KT THAN'!$D$32*ABS(I648)/MAX('KT THAN'!$D$68,0.001),IF(OR(M648&lt;=0,N648&lt;=0),999,IF(H648&gt;=0.1*0.75*fc_*Agth*1000,H648/MAX(0.001,1/(1/M648+1/N648-1/(0.75*'KT THAN'!$C$62))),'KT THAN'!$C$32*ABS(J648)/MAX('KT THAN'!$C$68,0.001)+'KT THAN'!$D$32*ABS(I648)/MAX('KT THAN'!$D$68,0.001)))))</f>
        <v/>
      </c>
      <c r="P648" s="37" t="str">
        <f t="shared" si="105"/>
        <v/>
      </c>
      <c r="Q648" s="38" t="str">
        <f>IF($A648="","",MAX(0.001,'KT THAN'!$C$32*ABS(J648)/MAX(1,H648)))</f>
        <v/>
      </c>
      <c r="R648" s="38" t="str">
        <f>IF($A648="","",MAX(0.001,'KT THAN'!$D$32*ABS(I648)/MAX(1,H648)))</f>
        <v/>
      </c>
      <c r="S648" t="str">
        <f t="shared" si="99"/>
        <v/>
      </c>
    </row>
    <row r="649" spans="1:19" hidden="1" outlineLevel="1" x14ac:dyDescent="0.3">
      <c r="A649" s="37" t="str">
        <f>IF(OR(nThan=1,'TO HOP NLAN'!$A205=""),"",'TO HOP NLAN'!$A205)</f>
        <v/>
      </c>
      <c r="B649" s="38" t="str">
        <f>IF($A649="","",'TO HOP NLAN'!$D205)</f>
        <v/>
      </c>
      <c r="C649" s="38" t="str">
        <f>IF($A649="","",'TO HOP NLAN'!$E205)</f>
        <v/>
      </c>
      <c r="D649" s="38" t="str">
        <f>IF($A649="","",'TO HOP NLAN'!$F205)</f>
        <v/>
      </c>
      <c r="E649" s="38" t="str">
        <f>IF($A649="","",'TO HOP NLAN'!$B205)</f>
        <v/>
      </c>
      <c r="F649" s="38" t="str">
        <f>IF($A649="","",'TO HOP NLAN'!$C205)</f>
        <v/>
      </c>
      <c r="G649" s="38" t="str">
        <f t="shared" si="100"/>
        <v/>
      </c>
      <c r="H649" s="38" t="str">
        <f t="shared" si="98"/>
        <v/>
      </c>
      <c r="I649" s="38" t="str">
        <f t="shared" si="101"/>
        <v/>
      </c>
      <c r="J649" s="38" t="str">
        <f t="shared" si="102"/>
        <v/>
      </c>
      <c r="K649" s="38" t="str">
        <f t="shared" si="103"/>
        <v/>
      </c>
      <c r="L649" s="38" t="str">
        <f t="shared" si="104"/>
        <v/>
      </c>
      <c r="M649" s="38" t="str">
        <f>IF($A649="","",IF(H649=0,"",IF(Q649&lt;=0.000000001,MIN(0.8*0.75*'KT THAN'!$C$62,MAX('KT THAN'!$J$38:$J$58)),IFERROR(MIN(0.8*0.75*'KT THAN'!$C$62,INDEX('KT THAN'!$J$38:$J$58,MATCH(Q649,'KT THAN'!$L$38:$L$58,-1))+(INDEX('KT THAN'!$J$38:$J$58,MIN(21,MATCH(Q649,'KT THAN'!$L$38:$L$58,-1)+1))-INDEX('KT THAN'!$J$38:$J$58,MATCH(Q649,'KT THAN'!$L$38:$L$58,-1)))*(Q649-INDEX('KT THAN'!$L$38:$L$58,MATCH(Q649,'KT THAN'!$L$38:$L$58,-1)))/(INDEX('KT THAN'!$L$38:$L$58,MIN(21,MATCH(Q649,'KT THAN'!$L$38:$L$58,-1)+1))-INDEX('KT THAN'!$L$38:$L$58,MATCH(Q649,'KT THAN'!$L$38:$L$58,-1)))),MIN(0.8*0.75*'KT THAN'!$C$62,'KT THAN'!$C$68/Q649)))))</f>
        <v/>
      </c>
      <c r="N649" s="38" t="str">
        <f>IF($A649="","",IF(H649=0,"",IF(R649&lt;=0.000000001,MIN(0.8*0.75*'KT THAN'!$C$62,MAX('KT THAN'!$W$38:$W$58)),IFERROR(MIN(0.8*0.75*'KT THAN'!$C$62,INDEX('KT THAN'!$W$38:$W$58,MATCH(R649,'KT THAN'!$Y$38:$Y$58,-1))+(INDEX('KT THAN'!$W$38:$W$58,MIN(21,MATCH(R649,'KT THAN'!$Y$38:$Y$58,-1)+1))-INDEX('KT THAN'!$W$38:$W$58,MATCH(R649,'KT THAN'!$Y$38:$Y$58,-1)))*(R649-INDEX('KT THAN'!$Y$38:$Y$58,MATCH(R649,'KT THAN'!$Y$38:$Y$58,-1)))/(INDEX('KT THAN'!$Y$38:$Y$58,MIN(21,MATCH(R649,'KT THAN'!$Y$38:$Y$58,-1)+1))-INDEX('KT THAN'!$Y$38:$Y$58,MATCH(R649,'KT THAN'!$Y$38:$Y$58,-1)))),MIN(0.8*0.75*'KT THAN'!$C$62,'KT THAN'!$D$68/R649)))))</f>
        <v/>
      </c>
      <c r="O649" s="38" t="str">
        <f>IF($A649="","",IF(H649&lt;0,ABS(H649)/MAX('KT THAN'!$C$69,0.001)+'KT THAN'!$C$32*ABS(J649)/MAX('KT THAN'!$C$68,0.001)+'KT THAN'!$D$32*ABS(I649)/MAX('KT THAN'!$D$68,0.001),IF(OR(M649&lt;=0,N649&lt;=0),999,IF(H649&gt;=0.1*0.75*fc_*Agth*1000,H649/MAX(0.001,1/(1/M649+1/N649-1/(0.75*'KT THAN'!$C$62))),'KT THAN'!$C$32*ABS(J649)/MAX('KT THAN'!$C$68,0.001)+'KT THAN'!$D$32*ABS(I649)/MAX('KT THAN'!$D$68,0.001)))))</f>
        <v/>
      </c>
      <c r="P649" s="37" t="str">
        <f t="shared" si="105"/>
        <v/>
      </c>
      <c r="Q649" s="38" t="str">
        <f>IF($A649="","",MAX(0.001,'KT THAN'!$C$32*ABS(J649)/MAX(1,H649)))</f>
        <v/>
      </c>
      <c r="R649" s="38" t="str">
        <f>IF($A649="","",MAX(0.001,'KT THAN'!$D$32*ABS(I649)/MAX(1,H649)))</f>
        <v/>
      </c>
      <c r="S649" t="str">
        <f t="shared" si="99"/>
        <v/>
      </c>
    </row>
    <row r="650" spans="1:19" hidden="1" outlineLevel="1" x14ac:dyDescent="0.3">
      <c r="A650" s="37" t="str">
        <f>IF(OR(nThan=1,'TO HOP NLAN'!$A206=""),"",'TO HOP NLAN'!$A206)</f>
        <v/>
      </c>
      <c r="B650" s="38" t="str">
        <f>IF($A650="","",'TO HOP NLAN'!$D206)</f>
        <v/>
      </c>
      <c r="C650" s="38" t="str">
        <f>IF($A650="","",'TO HOP NLAN'!$E206)</f>
        <v/>
      </c>
      <c r="D650" s="38" t="str">
        <f>IF($A650="","",'TO HOP NLAN'!$F206)</f>
        <v/>
      </c>
      <c r="E650" s="38" t="str">
        <f>IF($A650="","",'TO HOP NLAN'!$B206)</f>
        <v/>
      </c>
      <c r="F650" s="38" t="str">
        <f>IF($A650="","",'TO HOP NLAN'!$C206)</f>
        <v/>
      </c>
      <c r="G650" s="38" t="str">
        <f t="shared" si="100"/>
        <v/>
      </c>
      <c r="H650" s="38" t="str">
        <f t="shared" si="98"/>
        <v/>
      </c>
      <c r="I650" s="38" t="str">
        <f t="shared" si="101"/>
        <v/>
      </c>
      <c r="J650" s="38" t="str">
        <f t="shared" si="102"/>
        <v/>
      </c>
      <c r="K650" s="38" t="str">
        <f t="shared" si="103"/>
        <v/>
      </c>
      <c r="L650" s="38" t="str">
        <f t="shared" si="104"/>
        <v/>
      </c>
      <c r="M650" s="38" t="str">
        <f>IF($A650="","",IF(H650=0,"",IF(Q650&lt;=0.000000001,MIN(0.8*0.75*'KT THAN'!$C$62,MAX('KT THAN'!$J$38:$J$58)),IFERROR(MIN(0.8*0.75*'KT THAN'!$C$62,INDEX('KT THAN'!$J$38:$J$58,MATCH(Q650,'KT THAN'!$L$38:$L$58,-1))+(INDEX('KT THAN'!$J$38:$J$58,MIN(21,MATCH(Q650,'KT THAN'!$L$38:$L$58,-1)+1))-INDEX('KT THAN'!$J$38:$J$58,MATCH(Q650,'KT THAN'!$L$38:$L$58,-1)))*(Q650-INDEX('KT THAN'!$L$38:$L$58,MATCH(Q650,'KT THAN'!$L$38:$L$58,-1)))/(INDEX('KT THAN'!$L$38:$L$58,MIN(21,MATCH(Q650,'KT THAN'!$L$38:$L$58,-1)+1))-INDEX('KT THAN'!$L$38:$L$58,MATCH(Q650,'KT THAN'!$L$38:$L$58,-1)))),MIN(0.8*0.75*'KT THAN'!$C$62,'KT THAN'!$C$68/Q650)))))</f>
        <v/>
      </c>
      <c r="N650" s="38" t="str">
        <f>IF($A650="","",IF(H650=0,"",IF(R650&lt;=0.000000001,MIN(0.8*0.75*'KT THAN'!$C$62,MAX('KT THAN'!$W$38:$W$58)),IFERROR(MIN(0.8*0.75*'KT THAN'!$C$62,INDEX('KT THAN'!$W$38:$W$58,MATCH(R650,'KT THAN'!$Y$38:$Y$58,-1))+(INDEX('KT THAN'!$W$38:$W$58,MIN(21,MATCH(R650,'KT THAN'!$Y$38:$Y$58,-1)+1))-INDEX('KT THAN'!$W$38:$W$58,MATCH(R650,'KT THAN'!$Y$38:$Y$58,-1)))*(R650-INDEX('KT THAN'!$Y$38:$Y$58,MATCH(R650,'KT THAN'!$Y$38:$Y$58,-1)))/(INDEX('KT THAN'!$Y$38:$Y$58,MIN(21,MATCH(R650,'KT THAN'!$Y$38:$Y$58,-1)+1))-INDEX('KT THAN'!$Y$38:$Y$58,MATCH(R650,'KT THAN'!$Y$38:$Y$58,-1)))),MIN(0.8*0.75*'KT THAN'!$C$62,'KT THAN'!$D$68/R650)))))</f>
        <v/>
      </c>
      <c r="O650" s="38" t="str">
        <f>IF($A650="","",IF(H650&lt;0,ABS(H650)/MAX('KT THAN'!$C$69,0.001)+'KT THAN'!$C$32*ABS(J650)/MAX('KT THAN'!$C$68,0.001)+'KT THAN'!$D$32*ABS(I650)/MAX('KT THAN'!$D$68,0.001),IF(OR(M650&lt;=0,N650&lt;=0),999,IF(H650&gt;=0.1*0.75*fc_*Agth*1000,H650/MAX(0.001,1/(1/M650+1/N650-1/(0.75*'KT THAN'!$C$62))),'KT THAN'!$C$32*ABS(J650)/MAX('KT THAN'!$C$68,0.001)+'KT THAN'!$D$32*ABS(I650)/MAX('KT THAN'!$D$68,0.001)))))</f>
        <v/>
      </c>
      <c r="P650" s="37" t="str">
        <f t="shared" si="105"/>
        <v/>
      </c>
      <c r="Q650" s="38" t="str">
        <f>IF($A650="","",MAX(0.001,'KT THAN'!$C$32*ABS(J650)/MAX(1,H650)))</f>
        <v/>
      </c>
      <c r="R650" s="38" t="str">
        <f>IF($A650="","",MAX(0.001,'KT THAN'!$D$32*ABS(I650)/MAX(1,H650)))</f>
        <v/>
      </c>
      <c r="S650" t="str">
        <f t="shared" si="99"/>
        <v/>
      </c>
    </row>
    <row r="651" spans="1:19" hidden="1" outlineLevel="1" x14ac:dyDescent="0.3">
      <c r="A651" s="37" t="str">
        <f>IF(OR(nThan=1,'TO HOP NLAN'!$A207=""),"",'TO HOP NLAN'!$A207)</f>
        <v/>
      </c>
      <c r="B651" s="38" t="str">
        <f>IF($A651="","",'TO HOP NLAN'!$D207)</f>
        <v/>
      </c>
      <c r="C651" s="38" t="str">
        <f>IF($A651="","",'TO HOP NLAN'!$E207)</f>
        <v/>
      </c>
      <c r="D651" s="38" t="str">
        <f>IF($A651="","",'TO HOP NLAN'!$F207)</f>
        <v/>
      </c>
      <c r="E651" s="38" t="str">
        <f>IF($A651="","",'TO HOP NLAN'!$B207)</f>
        <v/>
      </c>
      <c r="F651" s="38" t="str">
        <f>IF($A651="","",'TO HOP NLAN'!$C207)</f>
        <v/>
      </c>
      <c r="G651" s="38" t="str">
        <f t="shared" si="100"/>
        <v/>
      </c>
      <c r="H651" s="38" t="str">
        <f t="shared" si="98"/>
        <v/>
      </c>
      <c r="I651" s="38" t="str">
        <f t="shared" si="101"/>
        <v/>
      </c>
      <c r="J651" s="38" t="str">
        <f t="shared" si="102"/>
        <v/>
      </c>
      <c r="K651" s="38" t="str">
        <f t="shared" si="103"/>
        <v/>
      </c>
      <c r="L651" s="38" t="str">
        <f t="shared" si="104"/>
        <v/>
      </c>
      <c r="M651" s="38" t="str">
        <f>IF($A651="","",IF(H651=0,"",IF(Q651&lt;=0.000000001,MIN(0.8*0.75*'KT THAN'!$C$62,MAX('KT THAN'!$J$38:$J$58)),IFERROR(MIN(0.8*0.75*'KT THAN'!$C$62,INDEX('KT THAN'!$J$38:$J$58,MATCH(Q651,'KT THAN'!$L$38:$L$58,-1))+(INDEX('KT THAN'!$J$38:$J$58,MIN(21,MATCH(Q651,'KT THAN'!$L$38:$L$58,-1)+1))-INDEX('KT THAN'!$J$38:$J$58,MATCH(Q651,'KT THAN'!$L$38:$L$58,-1)))*(Q651-INDEX('KT THAN'!$L$38:$L$58,MATCH(Q651,'KT THAN'!$L$38:$L$58,-1)))/(INDEX('KT THAN'!$L$38:$L$58,MIN(21,MATCH(Q651,'KT THAN'!$L$38:$L$58,-1)+1))-INDEX('KT THAN'!$L$38:$L$58,MATCH(Q651,'KT THAN'!$L$38:$L$58,-1)))),MIN(0.8*0.75*'KT THAN'!$C$62,'KT THAN'!$C$68/Q651)))))</f>
        <v/>
      </c>
      <c r="N651" s="38" t="str">
        <f>IF($A651="","",IF(H651=0,"",IF(R651&lt;=0.000000001,MIN(0.8*0.75*'KT THAN'!$C$62,MAX('KT THAN'!$W$38:$W$58)),IFERROR(MIN(0.8*0.75*'KT THAN'!$C$62,INDEX('KT THAN'!$W$38:$W$58,MATCH(R651,'KT THAN'!$Y$38:$Y$58,-1))+(INDEX('KT THAN'!$W$38:$W$58,MIN(21,MATCH(R651,'KT THAN'!$Y$38:$Y$58,-1)+1))-INDEX('KT THAN'!$W$38:$W$58,MATCH(R651,'KT THAN'!$Y$38:$Y$58,-1)))*(R651-INDEX('KT THAN'!$Y$38:$Y$58,MATCH(R651,'KT THAN'!$Y$38:$Y$58,-1)))/(INDEX('KT THAN'!$Y$38:$Y$58,MIN(21,MATCH(R651,'KT THAN'!$Y$38:$Y$58,-1)+1))-INDEX('KT THAN'!$Y$38:$Y$58,MATCH(R651,'KT THAN'!$Y$38:$Y$58,-1)))),MIN(0.8*0.75*'KT THAN'!$C$62,'KT THAN'!$D$68/R651)))))</f>
        <v/>
      </c>
      <c r="O651" s="38" t="str">
        <f>IF($A651="","",IF(H651&lt;0,ABS(H651)/MAX('KT THAN'!$C$69,0.001)+'KT THAN'!$C$32*ABS(J651)/MAX('KT THAN'!$C$68,0.001)+'KT THAN'!$D$32*ABS(I651)/MAX('KT THAN'!$D$68,0.001),IF(OR(M651&lt;=0,N651&lt;=0),999,IF(H651&gt;=0.1*0.75*fc_*Agth*1000,H651/MAX(0.001,1/(1/M651+1/N651-1/(0.75*'KT THAN'!$C$62))),'KT THAN'!$C$32*ABS(J651)/MAX('KT THAN'!$C$68,0.001)+'KT THAN'!$D$32*ABS(I651)/MAX('KT THAN'!$D$68,0.001)))))</f>
        <v/>
      </c>
      <c r="P651" s="37" t="str">
        <f t="shared" si="105"/>
        <v/>
      </c>
      <c r="Q651" s="38" t="str">
        <f>IF($A651="","",MAX(0.001,'KT THAN'!$C$32*ABS(J651)/MAX(1,H651)))</f>
        <v/>
      </c>
      <c r="R651" s="38" t="str">
        <f>IF($A651="","",MAX(0.001,'KT THAN'!$D$32*ABS(I651)/MAX(1,H651)))</f>
        <v/>
      </c>
      <c r="S651" t="str">
        <f t="shared" si="99"/>
        <v/>
      </c>
    </row>
    <row r="652" spans="1:19" hidden="1" outlineLevel="1" x14ac:dyDescent="0.3">
      <c r="A652" s="37" t="str">
        <f>IF(OR(nThan=1,'TO HOP NLAN'!$A208=""),"",'TO HOP NLAN'!$A208)</f>
        <v/>
      </c>
      <c r="B652" s="38" t="str">
        <f>IF($A652="","",'TO HOP NLAN'!$D208)</f>
        <v/>
      </c>
      <c r="C652" s="38" t="str">
        <f>IF($A652="","",'TO HOP NLAN'!$E208)</f>
        <v/>
      </c>
      <c r="D652" s="38" t="str">
        <f>IF($A652="","",'TO HOP NLAN'!$F208)</f>
        <v/>
      </c>
      <c r="E652" s="38" t="str">
        <f>IF($A652="","",'TO HOP NLAN'!$B208)</f>
        <v/>
      </c>
      <c r="F652" s="38" t="str">
        <f>IF($A652="","",'TO HOP NLAN'!$C208)</f>
        <v/>
      </c>
      <c r="G652" s="38" t="str">
        <f t="shared" si="100"/>
        <v/>
      </c>
      <c r="H652" s="38" t="str">
        <f t="shared" si="98"/>
        <v/>
      </c>
      <c r="I652" s="38" t="str">
        <f t="shared" si="101"/>
        <v/>
      </c>
      <c r="J652" s="38" t="str">
        <f t="shared" si="102"/>
        <v/>
      </c>
      <c r="K652" s="38" t="str">
        <f t="shared" si="103"/>
        <v/>
      </c>
      <c r="L652" s="38" t="str">
        <f t="shared" si="104"/>
        <v/>
      </c>
      <c r="M652" s="38" t="str">
        <f>IF($A652="","",IF(H652=0,"",IF(Q652&lt;=0.000000001,MIN(0.8*0.75*'KT THAN'!$C$62,MAX('KT THAN'!$J$38:$J$58)),IFERROR(MIN(0.8*0.75*'KT THAN'!$C$62,INDEX('KT THAN'!$J$38:$J$58,MATCH(Q652,'KT THAN'!$L$38:$L$58,-1))+(INDEX('KT THAN'!$J$38:$J$58,MIN(21,MATCH(Q652,'KT THAN'!$L$38:$L$58,-1)+1))-INDEX('KT THAN'!$J$38:$J$58,MATCH(Q652,'KT THAN'!$L$38:$L$58,-1)))*(Q652-INDEX('KT THAN'!$L$38:$L$58,MATCH(Q652,'KT THAN'!$L$38:$L$58,-1)))/(INDEX('KT THAN'!$L$38:$L$58,MIN(21,MATCH(Q652,'KT THAN'!$L$38:$L$58,-1)+1))-INDEX('KT THAN'!$L$38:$L$58,MATCH(Q652,'KT THAN'!$L$38:$L$58,-1)))),MIN(0.8*0.75*'KT THAN'!$C$62,'KT THAN'!$C$68/Q652)))))</f>
        <v/>
      </c>
      <c r="N652" s="38" t="str">
        <f>IF($A652="","",IF(H652=0,"",IF(R652&lt;=0.000000001,MIN(0.8*0.75*'KT THAN'!$C$62,MAX('KT THAN'!$W$38:$W$58)),IFERROR(MIN(0.8*0.75*'KT THAN'!$C$62,INDEX('KT THAN'!$W$38:$W$58,MATCH(R652,'KT THAN'!$Y$38:$Y$58,-1))+(INDEX('KT THAN'!$W$38:$W$58,MIN(21,MATCH(R652,'KT THAN'!$Y$38:$Y$58,-1)+1))-INDEX('KT THAN'!$W$38:$W$58,MATCH(R652,'KT THAN'!$Y$38:$Y$58,-1)))*(R652-INDEX('KT THAN'!$Y$38:$Y$58,MATCH(R652,'KT THAN'!$Y$38:$Y$58,-1)))/(INDEX('KT THAN'!$Y$38:$Y$58,MIN(21,MATCH(R652,'KT THAN'!$Y$38:$Y$58,-1)+1))-INDEX('KT THAN'!$Y$38:$Y$58,MATCH(R652,'KT THAN'!$Y$38:$Y$58,-1)))),MIN(0.8*0.75*'KT THAN'!$C$62,'KT THAN'!$D$68/R652)))))</f>
        <v/>
      </c>
      <c r="O652" s="38" t="str">
        <f>IF($A652="","",IF(H652&lt;0,ABS(H652)/MAX('KT THAN'!$C$69,0.001)+'KT THAN'!$C$32*ABS(J652)/MAX('KT THAN'!$C$68,0.001)+'KT THAN'!$D$32*ABS(I652)/MAX('KT THAN'!$D$68,0.001),IF(OR(M652&lt;=0,N652&lt;=0),999,IF(H652&gt;=0.1*0.75*fc_*Agth*1000,H652/MAX(0.001,1/(1/M652+1/N652-1/(0.75*'KT THAN'!$C$62))),'KT THAN'!$C$32*ABS(J652)/MAX('KT THAN'!$C$68,0.001)+'KT THAN'!$D$32*ABS(I652)/MAX('KT THAN'!$D$68,0.001)))))</f>
        <v/>
      </c>
      <c r="P652" s="37" t="str">
        <f t="shared" si="105"/>
        <v/>
      </c>
      <c r="Q652" s="38" t="str">
        <f>IF($A652="","",MAX(0.001,'KT THAN'!$C$32*ABS(J652)/MAX(1,H652)))</f>
        <v/>
      </c>
      <c r="R652" s="38" t="str">
        <f>IF($A652="","",MAX(0.001,'KT THAN'!$D$32*ABS(I652)/MAX(1,H652)))</f>
        <v/>
      </c>
      <c r="S652" t="str">
        <f t="shared" si="99"/>
        <v/>
      </c>
    </row>
    <row r="653" spans="1:19" hidden="1" outlineLevel="1" x14ac:dyDescent="0.3">
      <c r="A653" s="37" t="str">
        <f>IF(OR(nThan=1,'TO HOP NLAN'!$A209=""),"",'TO HOP NLAN'!$A209)</f>
        <v/>
      </c>
      <c r="B653" s="38" t="str">
        <f>IF($A653="","",'TO HOP NLAN'!$D209)</f>
        <v/>
      </c>
      <c r="C653" s="38" t="str">
        <f>IF($A653="","",'TO HOP NLAN'!$E209)</f>
        <v/>
      </c>
      <c r="D653" s="38" t="str">
        <f>IF($A653="","",'TO HOP NLAN'!$F209)</f>
        <v/>
      </c>
      <c r="E653" s="38" t="str">
        <f>IF($A653="","",'TO HOP NLAN'!$B209)</f>
        <v/>
      </c>
      <c r="F653" s="38" t="str">
        <f>IF($A653="","",'TO HOP NLAN'!$C209)</f>
        <v/>
      </c>
      <c r="G653" s="38" t="str">
        <f t="shared" si="100"/>
        <v/>
      </c>
      <c r="H653" s="38" t="str">
        <f t="shared" si="98"/>
        <v/>
      </c>
      <c r="I653" s="38" t="str">
        <f t="shared" si="101"/>
        <v/>
      </c>
      <c r="J653" s="38" t="str">
        <f t="shared" si="102"/>
        <v/>
      </c>
      <c r="K653" s="38" t="str">
        <f t="shared" si="103"/>
        <v/>
      </c>
      <c r="L653" s="38" t="str">
        <f t="shared" si="104"/>
        <v/>
      </c>
      <c r="M653" s="38" t="str">
        <f>IF($A653="","",IF(H653=0,"",IF(Q653&lt;=0.000000001,MIN(0.8*0.75*'KT THAN'!$C$62,MAX('KT THAN'!$J$38:$J$58)),IFERROR(MIN(0.8*0.75*'KT THAN'!$C$62,INDEX('KT THAN'!$J$38:$J$58,MATCH(Q653,'KT THAN'!$L$38:$L$58,-1))+(INDEX('KT THAN'!$J$38:$J$58,MIN(21,MATCH(Q653,'KT THAN'!$L$38:$L$58,-1)+1))-INDEX('KT THAN'!$J$38:$J$58,MATCH(Q653,'KT THAN'!$L$38:$L$58,-1)))*(Q653-INDEX('KT THAN'!$L$38:$L$58,MATCH(Q653,'KT THAN'!$L$38:$L$58,-1)))/(INDEX('KT THAN'!$L$38:$L$58,MIN(21,MATCH(Q653,'KT THAN'!$L$38:$L$58,-1)+1))-INDEX('KT THAN'!$L$38:$L$58,MATCH(Q653,'KT THAN'!$L$38:$L$58,-1)))),MIN(0.8*0.75*'KT THAN'!$C$62,'KT THAN'!$C$68/Q653)))))</f>
        <v/>
      </c>
      <c r="N653" s="38" t="str">
        <f>IF($A653="","",IF(H653=0,"",IF(R653&lt;=0.000000001,MIN(0.8*0.75*'KT THAN'!$C$62,MAX('KT THAN'!$W$38:$W$58)),IFERROR(MIN(0.8*0.75*'KT THAN'!$C$62,INDEX('KT THAN'!$W$38:$W$58,MATCH(R653,'KT THAN'!$Y$38:$Y$58,-1))+(INDEX('KT THAN'!$W$38:$W$58,MIN(21,MATCH(R653,'KT THAN'!$Y$38:$Y$58,-1)+1))-INDEX('KT THAN'!$W$38:$W$58,MATCH(R653,'KT THAN'!$Y$38:$Y$58,-1)))*(R653-INDEX('KT THAN'!$Y$38:$Y$58,MATCH(R653,'KT THAN'!$Y$38:$Y$58,-1)))/(INDEX('KT THAN'!$Y$38:$Y$58,MIN(21,MATCH(R653,'KT THAN'!$Y$38:$Y$58,-1)+1))-INDEX('KT THAN'!$Y$38:$Y$58,MATCH(R653,'KT THAN'!$Y$38:$Y$58,-1)))),MIN(0.8*0.75*'KT THAN'!$C$62,'KT THAN'!$D$68/R653)))))</f>
        <v/>
      </c>
      <c r="O653" s="38" t="str">
        <f>IF($A653="","",IF(H653&lt;0,ABS(H653)/MAX('KT THAN'!$C$69,0.001)+'KT THAN'!$C$32*ABS(J653)/MAX('KT THAN'!$C$68,0.001)+'KT THAN'!$D$32*ABS(I653)/MAX('KT THAN'!$D$68,0.001),IF(OR(M653&lt;=0,N653&lt;=0),999,IF(H653&gt;=0.1*0.75*fc_*Agth*1000,H653/MAX(0.001,1/(1/M653+1/N653-1/(0.75*'KT THAN'!$C$62))),'KT THAN'!$C$32*ABS(J653)/MAX('KT THAN'!$C$68,0.001)+'KT THAN'!$D$32*ABS(I653)/MAX('KT THAN'!$D$68,0.001)))))</f>
        <v/>
      </c>
      <c r="P653" s="37" t="str">
        <f t="shared" si="105"/>
        <v/>
      </c>
      <c r="Q653" s="38" t="str">
        <f>IF($A653="","",MAX(0.001,'KT THAN'!$C$32*ABS(J653)/MAX(1,H653)))</f>
        <v/>
      </c>
      <c r="R653" s="38" t="str">
        <f>IF($A653="","",MAX(0.001,'KT THAN'!$D$32*ABS(I653)/MAX(1,H653)))</f>
        <v/>
      </c>
      <c r="S653" t="str">
        <f t="shared" si="99"/>
        <v/>
      </c>
    </row>
    <row r="654" spans="1:19" hidden="1" outlineLevel="1" x14ac:dyDescent="0.3">
      <c r="A654" s="37" t="str">
        <f>IF(OR(nThan=1,'TO HOP NLAN'!$A210=""),"",'TO HOP NLAN'!$A210)</f>
        <v/>
      </c>
      <c r="B654" s="38" t="str">
        <f>IF($A654="","",'TO HOP NLAN'!$D210)</f>
        <v/>
      </c>
      <c r="C654" s="38" t="str">
        <f>IF($A654="","",'TO HOP NLAN'!$E210)</f>
        <v/>
      </c>
      <c r="D654" s="38" t="str">
        <f>IF($A654="","",'TO HOP NLAN'!$F210)</f>
        <v/>
      </c>
      <c r="E654" s="38" t="str">
        <f>IF($A654="","",'TO HOP NLAN'!$B210)</f>
        <v/>
      </c>
      <c r="F654" s="38" t="str">
        <f>IF($A654="","",'TO HOP NLAN'!$C210)</f>
        <v/>
      </c>
      <c r="G654" s="38" t="str">
        <f t="shared" si="100"/>
        <v/>
      </c>
      <c r="H654" s="38" t="str">
        <f t="shared" si="98"/>
        <v/>
      </c>
      <c r="I654" s="38" t="str">
        <f t="shared" si="101"/>
        <v/>
      </c>
      <c r="J654" s="38" t="str">
        <f t="shared" si="102"/>
        <v/>
      </c>
      <c r="K654" s="38" t="str">
        <f t="shared" si="103"/>
        <v/>
      </c>
      <c r="L654" s="38" t="str">
        <f t="shared" si="104"/>
        <v/>
      </c>
      <c r="M654" s="38" t="str">
        <f>IF($A654="","",IF(H654=0,"",IF(Q654&lt;=0.000000001,MIN(0.8*0.75*'KT THAN'!$C$62,MAX('KT THAN'!$J$38:$J$58)),IFERROR(MIN(0.8*0.75*'KT THAN'!$C$62,INDEX('KT THAN'!$J$38:$J$58,MATCH(Q654,'KT THAN'!$L$38:$L$58,-1))+(INDEX('KT THAN'!$J$38:$J$58,MIN(21,MATCH(Q654,'KT THAN'!$L$38:$L$58,-1)+1))-INDEX('KT THAN'!$J$38:$J$58,MATCH(Q654,'KT THAN'!$L$38:$L$58,-1)))*(Q654-INDEX('KT THAN'!$L$38:$L$58,MATCH(Q654,'KT THAN'!$L$38:$L$58,-1)))/(INDEX('KT THAN'!$L$38:$L$58,MIN(21,MATCH(Q654,'KT THAN'!$L$38:$L$58,-1)+1))-INDEX('KT THAN'!$L$38:$L$58,MATCH(Q654,'KT THAN'!$L$38:$L$58,-1)))),MIN(0.8*0.75*'KT THAN'!$C$62,'KT THAN'!$C$68/Q654)))))</f>
        <v/>
      </c>
      <c r="N654" s="38" t="str">
        <f>IF($A654="","",IF(H654=0,"",IF(R654&lt;=0.000000001,MIN(0.8*0.75*'KT THAN'!$C$62,MAX('KT THAN'!$W$38:$W$58)),IFERROR(MIN(0.8*0.75*'KT THAN'!$C$62,INDEX('KT THAN'!$W$38:$W$58,MATCH(R654,'KT THAN'!$Y$38:$Y$58,-1))+(INDEX('KT THAN'!$W$38:$W$58,MIN(21,MATCH(R654,'KT THAN'!$Y$38:$Y$58,-1)+1))-INDEX('KT THAN'!$W$38:$W$58,MATCH(R654,'KT THAN'!$Y$38:$Y$58,-1)))*(R654-INDEX('KT THAN'!$Y$38:$Y$58,MATCH(R654,'KT THAN'!$Y$38:$Y$58,-1)))/(INDEX('KT THAN'!$Y$38:$Y$58,MIN(21,MATCH(R654,'KT THAN'!$Y$38:$Y$58,-1)+1))-INDEX('KT THAN'!$Y$38:$Y$58,MATCH(R654,'KT THAN'!$Y$38:$Y$58,-1)))),MIN(0.8*0.75*'KT THAN'!$C$62,'KT THAN'!$D$68/R654)))))</f>
        <v/>
      </c>
      <c r="O654" s="38" t="str">
        <f>IF($A654="","",IF(H654&lt;0,ABS(H654)/MAX('KT THAN'!$C$69,0.001)+'KT THAN'!$C$32*ABS(J654)/MAX('KT THAN'!$C$68,0.001)+'KT THAN'!$D$32*ABS(I654)/MAX('KT THAN'!$D$68,0.001),IF(OR(M654&lt;=0,N654&lt;=0),999,IF(H654&gt;=0.1*0.75*fc_*Agth*1000,H654/MAX(0.001,1/(1/M654+1/N654-1/(0.75*'KT THAN'!$C$62))),'KT THAN'!$C$32*ABS(J654)/MAX('KT THAN'!$C$68,0.001)+'KT THAN'!$D$32*ABS(I654)/MAX('KT THAN'!$D$68,0.001)))))</f>
        <v/>
      </c>
      <c r="P654" s="37" t="str">
        <f t="shared" si="105"/>
        <v/>
      </c>
      <c r="Q654" s="38" t="str">
        <f>IF($A654="","",MAX(0.001,'KT THAN'!$C$32*ABS(J654)/MAX(1,H654)))</f>
        <v/>
      </c>
      <c r="R654" s="38" t="str">
        <f>IF($A654="","",MAX(0.001,'KT THAN'!$D$32*ABS(I654)/MAX(1,H654)))</f>
        <v/>
      </c>
      <c r="S654" t="str">
        <f t="shared" si="99"/>
        <v/>
      </c>
    </row>
    <row r="655" spans="1:19" hidden="1" outlineLevel="1" x14ac:dyDescent="0.3">
      <c r="A655" s="37" t="str">
        <f>IF(OR(nThan=1,'TO HOP NLAN'!$A211=""),"",'TO HOP NLAN'!$A211)</f>
        <v/>
      </c>
      <c r="B655" s="38" t="str">
        <f>IF($A655="","",'TO HOP NLAN'!$D211)</f>
        <v/>
      </c>
      <c r="C655" s="38" t="str">
        <f>IF($A655="","",'TO HOP NLAN'!$E211)</f>
        <v/>
      </c>
      <c r="D655" s="38" t="str">
        <f>IF($A655="","",'TO HOP NLAN'!$F211)</f>
        <v/>
      </c>
      <c r="E655" s="38" t="str">
        <f>IF($A655="","",'TO HOP NLAN'!$B211)</f>
        <v/>
      </c>
      <c r="F655" s="38" t="str">
        <f>IF($A655="","",'TO HOP NLAN'!$C211)</f>
        <v/>
      </c>
      <c r="G655" s="38" t="str">
        <f t="shared" si="100"/>
        <v/>
      </c>
      <c r="H655" s="38" t="str">
        <f t="shared" si="98"/>
        <v/>
      </c>
      <c r="I655" s="38" t="str">
        <f t="shared" si="101"/>
        <v/>
      </c>
      <c r="J655" s="38" t="str">
        <f t="shared" si="102"/>
        <v/>
      </c>
      <c r="K655" s="38" t="str">
        <f t="shared" si="103"/>
        <v/>
      </c>
      <c r="L655" s="38" t="str">
        <f t="shared" si="104"/>
        <v/>
      </c>
      <c r="M655" s="38" t="str">
        <f>IF($A655="","",IF(H655=0,"",IF(Q655&lt;=0.000000001,MIN(0.8*0.75*'KT THAN'!$C$62,MAX('KT THAN'!$J$38:$J$58)),IFERROR(MIN(0.8*0.75*'KT THAN'!$C$62,INDEX('KT THAN'!$J$38:$J$58,MATCH(Q655,'KT THAN'!$L$38:$L$58,-1))+(INDEX('KT THAN'!$J$38:$J$58,MIN(21,MATCH(Q655,'KT THAN'!$L$38:$L$58,-1)+1))-INDEX('KT THAN'!$J$38:$J$58,MATCH(Q655,'KT THAN'!$L$38:$L$58,-1)))*(Q655-INDEX('KT THAN'!$L$38:$L$58,MATCH(Q655,'KT THAN'!$L$38:$L$58,-1)))/(INDEX('KT THAN'!$L$38:$L$58,MIN(21,MATCH(Q655,'KT THAN'!$L$38:$L$58,-1)+1))-INDEX('KT THAN'!$L$38:$L$58,MATCH(Q655,'KT THAN'!$L$38:$L$58,-1)))),MIN(0.8*0.75*'KT THAN'!$C$62,'KT THAN'!$C$68/Q655)))))</f>
        <v/>
      </c>
      <c r="N655" s="38" t="str">
        <f>IF($A655="","",IF(H655=0,"",IF(R655&lt;=0.000000001,MIN(0.8*0.75*'KT THAN'!$C$62,MAX('KT THAN'!$W$38:$W$58)),IFERROR(MIN(0.8*0.75*'KT THAN'!$C$62,INDEX('KT THAN'!$W$38:$W$58,MATCH(R655,'KT THAN'!$Y$38:$Y$58,-1))+(INDEX('KT THAN'!$W$38:$W$58,MIN(21,MATCH(R655,'KT THAN'!$Y$38:$Y$58,-1)+1))-INDEX('KT THAN'!$W$38:$W$58,MATCH(R655,'KT THAN'!$Y$38:$Y$58,-1)))*(R655-INDEX('KT THAN'!$Y$38:$Y$58,MATCH(R655,'KT THAN'!$Y$38:$Y$58,-1)))/(INDEX('KT THAN'!$Y$38:$Y$58,MIN(21,MATCH(R655,'KT THAN'!$Y$38:$Y$58,-1)+1))-INDEX('KT THAN'!$Y$38:$Y$58,MATCH(R655,'KT THAN'!$Y$38:$Y$58,-1)))),MIN(0.8*0.75*'KT THAN'!$C$62,'KT THAN'!$D$68/R655)))))</f>
        <v/>
      </c>
      <c r="O655" s="38" t="str">
        <f>IF($A655="","",IF(H655&lt;0,ABS(H655)/MAX('KT THAN'!$C$69,0.001)+'KT THAN'!$C$32*ABS(J655)/MAX('KT THAN'!$C$68,0.001)+'KT THAN'!$D$32*ABS(I655)/MAX('KT THAN'!$D$68,0.001),IF(OR(M655&lt;=0,N655&lt;=0),999,IF(H655&gt;=0.1*0.75*fc_*Agth*1000,H655/MAX(0.001,1/(1/M655+1/N655-1/(0.75*'KT THAN'!$C$62))),'KT THAN'!$C$32*ABS(J655)/MAX('KT THAN'!$C$68,0.001)+'KT THAN'!$D$32*ABS(I655)/MAX('KT THAN'!$D$68,0.001)))))</f>
        <v/>
      </c>
      <c r="P655" s="37" t="str">
        <f t="shared" si="105"/>
        <v/>
      </c>
      <c r="Q655" s="38" t="str">
        <f>IF($A655="","",MAX(0.001,'KT THAN'!$C$32*ABS(J655)/MAX(1,H655)))</f>
        <v/>
      </c>
      <c r="R655" s="38" t="str">
        <f>IF($A655="","",MAX(0.001,'KT THAN'!$D$32*ABS(I655)/MAX(1,H655)))</f>
        <v/>
      </c>
      <c r="S655" t="str">
        <f t="shared" si="99"/>
        <v/>
      </c>
    </row>
    <row r="656" spans="1:19" hidden="1" outlineLevel="1" x14ac:dyDescent="0.3">
      <c r="A656" s="37" t="str">
        <f>IF(OR(nThan=1,'TO HOP NLAN'!$A212=""),"",'TO HOP NLAN'!$A212)</f>
        <v/>
      </c>
      <c r="B656" s="38" t="str">
        <f>IF($A656="","",'TO HOP NLAN'!$D212)</f>
        <v/>
      </c>
      <c r="C656" s="38" t="str">
        <f>IF($A656="","",'TO HOP NLAN'!$E212)</f>
        <v/>
      </c>
      <c r="D656" s="38" t="str">
        <f>IF($A656="","",'TO HOP NLAN'!$F212)</f>
        <v/>
      </c>
      <c r="E656" s="38" t="str">
        <f>IF($A656="","",'TO HOP NLAN'!$B212)</f>
        <v/>
      </c>
      <c r="F656" s="38" t="str">
        <f>IF($A656="","",'TO HOP NLAN'!$C212)</f>
        <v/>
      </c>
      <c r="G656" s="38" t="str">
        <f t="shared" si="100"/>
        <v/>
      </c>
      <c r="H656" s="38" t="str">
        <f t="shared" si="98"/>
        <v/>
      </c>
      <c r="I656" s="38" t="str">
        <f t="shared" si="101"/>
        <v/>
      </c>
      <c r="J656" s="38" t="str">
        <f t="shared" si="102"/>
        <v/>
      </c>
      <c r="K656" s="38" t="str">
        <f t="shared" si="103"/>
        <v/>
      </c>
      <c r="L656" s="38" t="str">
        <f t="shared" si="104"/>
        <v/>
      </c>
      <c r="M656" s="38" t="str">
        <f>IF($A656="","",IF(H656=0,"",IF(Q656&lt;=0.000000001,MIN(0.8*0.75*'KT THAN'!$C$62,MAX('KT THAN'!$J$38:$J$58)),IFERROR(MIN(0.8*0.75*'KT THAN'!$C$62,INDEX('KT THAN'!$J$38:$J$58,MATCH(Q656,'KT THAN'!$L$38:$L$58,-1))+(INDEX('KT THAN'!$J$38:$J$58,MIN(21,MATCH(Q656,'KT THAN'!$L$38:$L$58,-1)+1))-INDEX('KT THAN'!$J$38:$J$58,MATCH(Q656,'KT THAN'!$L$38:$L$58,-1)))*(Q656-INDEX('KT THAN'!$L$38:$L$58,MATCH(Q656,'KT THAN'!$L$38:$L$58,-1)))/(INDEX('KT THAN'!$L$38:$L$58,MIN(21,MATCH(Q656,'KT THAN'!$L$38:$L$58,-1)+1))-INDEX('KT THAN'!$L$38:$L$58,MATCH(Q656,'KT THAN'!$L$38:$L$58,-1)))),MIN(0.8*0.75*'KT THAN'!$C$62,'KT THAN'!$C$68/Q656)))))</f>
        <v/>
      </c>
      <c r="N656" s="38" t="str">
        <f>IF($A656="","",IF(H656=0,"",IF(R656&lt;=0.000000001,MIN(0.8*0.75*'KT THAN'!$C$62,MAX('KT THAN'!$W$38:$W$58)),IFERROR(MIN(0.8*0.75*'KT THAN'!$C$62,INDEX('KT THAN'!$W$38:$W$58,MATCH(R656,'KT THAN'!$Y$38:$Y$58,-1))+(INDEX('KT THAN'!$W$38:$W$58,MIN(21,MATCH(R656,'KT THAN'!$Y$38:$Y$58,-1)+1))-INDEX('KT THAN'!$W$38:$W$58,MATCH(R656,'KT THAN'!$Y$38:$Y$58,-1)))*(R656-INDEX('KT THAN'!$Y$38:$Y$58,MATCH(R656,'KT THAN'!$Y$38:$Y$58,-1)))/(INDEX('KT THAN'!$Y$38:$Y$58,MIN(21,MATCH(R656,'KT THAN'!$Y$38:$Y$58,-1)+1))-INDEX('KT THAN'!$Y$38:$Y$58,MATCH(R656,'KT THAN'!$Y$38:$Y$58,-1)))),MIN(0.8*0.75*'KT THAN'!$C$62,'KT THAN'!$D$68/R656)))))</f>
        <v/>
      </c>
      <c r="O656" s="38" t="str">
        <f>IF($A656="","",IF(H656&lt;0,ABS(H656)/MAX('KT THAN'!$C$69,0.001)+'KT THAN'!$C$32*ABS(J656)/MAX('KT THAN'!$C$68,0.001)+'KT THAN'!$D$32*ABS(I656)/MAX('KT THAN'!$D$68,0.001),IF(OR(M656&lt;=0,N656&lt;=0),999,IF(H656&gt;=0.1*0.75*fc_*Agth*1000,H656/MAX(0.001,1/(1/M656+1/N656-1/(0.75*'KT THAN'!$C$62))),'KT THAN'!$C$32*ABS(J656)/MAX('KT THAN'!$C$68,0.001)+'KT THAN'!$D$32*ABS(I656)/MAX('KT THAN'!$D$68,0.001)))))</f>
        <v/>
      </c>
      <c r="P656" s="37" t="str">
        <f t="shared" si="105"/>
        <v/>
      </c>
      <c r="Q656" s="38" t="str">
        <f>IF($A656="","",MAX(0.001,'KT THAN'!$C$32*ABS(J656)/MAX(1,H656)))</f>
        <v/>
      </c>
      <c r="R656" s="38" t="str">
        <f>IF($A656="","",MAX(0.001,'KT THAN'!$D$32*ABS(I656)/MAX(1,H656)))</f>
        <v/>
      </c>
      <c r="S656" t="str">
        <f t="shared" si="99"/>
        <v/>
      </c>
    </row>
    <row r="657" spans="1:19" hidden="1" outlineLevel="1" x14ac:dyDescent="0.3">
      <c r="A657" s="37" t="str">
        <f>IF(OR(nThan=1,'TO HOP NLAN'!$A213=""),"",'TO HOP NLAN'!$A213)</f>
        <v/>
      </c>
      <c r="B657" s="38" t="str">
        <f>IF($A657="","",'TO HOP NLAN'!$D213)</f>
        <v/>
      </c>
      <c r="C657" s="38" t="str">
        <f>IF($A657="","",'TO HOP NLAN'!$E213)</f>
        <v/>
      </c>
      <c r="D657" s="38" t="str">
        <f>IF($A657="","",'TO HOP NLAN'!$F213)</f>
        <v/>
      </c>
      <c r="E657" s="38" t="str">
        <f>IF($A657="","",'TO HOP NLAN'!$B213)</f>
        <v/>
      </c>
      <c r="F657" s="38" t="str">
        <f>IF($A657="","",'TO HOP NLAN'!$C213)</f>
        <v/>
      </c>
      <c r="G657" s="38" t="str">
        <f t="shared" si="100"/>
        <v/>
      </c>
      <c r="H657" s="38" t="str">
        <f t="shared" si="98"/>
        <v/>
      </c>
      <c r="I657" s="38" t="str">
        <f t="shared" si="101"/>
        <v/>
      </c>
      <c r="J657" s="38" t="str">
        <f t="shared" si="102"/>
        <v/>
      </c>
      <c r="K657" s="38" t="str">
        <f t="shared" si="103"/>
        <v/>
      </c>
      <c r="L657" s="38" t="str">
        <f t="shared" si="104"/>
        <v/>
      </c>
      <c r="M657" s="38" t="str">
        <f>IF($A657="","",IF(H657=0,"",IF(Q657&lt;=0.000000001,MIN(0.8*0.75*'KT THAN'!$C$62,MAX('KT THAN'!$J$38:$J$58)),IFERROR(MIN(0.8*0.75*'KT THAN'!$C$62,INDEX('KT THAN'!$J$38:$J$58,MATCH(Q657,'KT THAN'!$L$38:$L$58,-1))+(INDEX('KT THAN'!$J$38:$J$58,MIN(21,MATCH(Q657,'KT THAN'!$L$38:$L$58,-1)+1))-INDEX('KT THAN'!$J$38:$J$58,MATCH(Q657,'KT THAN'!$L$38:$L$58,-1)))*(Q657-INDEX('KT THAN'!$L$38:$L$58,MATCH(Q657,'KT THAN'!$L$38:$L$58,-1)))/(INDEX('KT THAN'!$L$38:$L$58,MIN(21,MATCH(Q657,'KT THAN'!$L$38:$L$58,-1)+1))-INDEX('KT THAN'!$L$38:$L$58,MATCH(Q657,'KT THAN'!$L$38:$L$58,-1)))),MIN(0.8*0.75*'KT THAN'!$C$62,'KT THAN'!$C$68/Q657)))))</f>
        <v/>
      </c>
      <c r="N657" s="38" t="str">
        <f>IF($A657="","",IF(H657=0,"",IF(R657&lt;=0.000000001,MIN(0.8*0.75*'KT THAN'!$C$62,MAX('KT THAN'!$W$38:$W$58)),IFERROR(MIN(0.8*0.75*'KT THAN'!$C$62,INDEX('KT THAN'!$W$38:$W$58,MATCH(R657,'KT THAN'!$Y$38:$Y$58,-1))+(INDEX('KT THAN'!$W$38:$W$58,MIN(21,MATCH(R657,'KT THAN'!$Y$38:$Y$58,-1)+1))-INDEX('KT THAN'!$W$38:$W$58,MATCH(R657,'KT THAN'!$Y$38:$Y$58,-1)))*(R657-INDEX('KT THAN'!$Y$38:$Y$58,MATCH(R657,'KT THAN'!$Y$38:$Y$58,-1)))/(INDEX('KT THAN'!$Y$38:$Y$58,MIN(21,MATCH(R657,'KT THAN'!$Y$38:$Y$58,-1)+1))-INDEX('KT THAN'!$Y$38:$Y$58,MATCH(R657,'KT THAN'!$Y$38:$Y$58,-1)))),MIN(0.8*0.75*'KT THAN'!$C$62,'KT THAN'!$D$68/R657)))))</f>
        <v/>
      </c>
      <c r="O657" s="38" t="str">
        <f>IF($A657="","",IF(H657&lt;0,ABS(H657)/MAX('KT THAN'!$C$69,0.001)+'KT THAN'!$C$32*ABS(J657)/MAX('KT THAN'!$C$68,0.001)+'KT THAN'!$D$32*ABS(I657)/MAX('KT THAN'!$D$68,0.001),IF(OR(M657&lt;=0,N657&lt;=0),999,IF(H657&gt;=0.1*0.75*fc_*Agth*1000,H657/MAX(0.001,1/(1/M657+1/N657-1/(0.75*'KT THAN'!$C$62))),'KT THAN'!$C$32*ABS(J657)/MAX('KT THAN'!$C$68,0.001)+'KT THAN'!$D$32*ABS(I657)/MAX('KT THAN'!$D$68,0.001)))))</f>
        <v/>
      </c>
      <c r="P657" s="37" t="str">
        <f t="shared" si="105"/>
        <v/>
      </c>
      <c r="Q657" s="38" t="str">
        <f>IF($A657="","",MAX(0.001,'KT THAN'!$C$32*ABS(J657)/MAX(1,H657)))</f>
        <v/>
      </c>
      <c r="R657" s="38" t="str">
        <f>IF($A657="","",MAX(0.001,'KT THAN'!$D$32*ABS(I657)/MAX(1,H657)))</f>
        <v/>
      </c>
      <c r="S657" t="str">
        <f t="shared" si="99"/>
        <v/>
      </c>
    </row>
    <row r="658" spans="1:19" hidden="1" outlineLevel="1" x14ac:dyDescent="0.3">
      <c r="A658" s="37" t="str">
        <f>IF(OR(nThan=1,'TO HOP NLAN'!$A214=""),"",'TO HOP NLAN'!$A214)</f>
        <v/>
      </c>
      <c r="B658" s="38" t="str">
        <f>IF($A658="","",'TO HOP NLAN'!$D214)</f>
        <v/>
      </c>
      <c r="C658" s="38" t="str">
        <f>IF($A658="","",'TO HOP NLAN'!$E214)</f>
        <v/>
      </c>
      <c r="D658" s="38" t="str">
        <f>IF($A658="","",'TO HOP NLAN'!$F214)</f>
        <v/>
      </c>
      <c r="E658" s="38" t="str">
        <f>IF($A658="","",'TO HOP NLAN'!$B214)</f>
        <v/>
      </c>
      <c r="F658" s="38" t="str">
        <f>IF($A658="","",'TO HOP NLAN'!$C214)</f>
        <v/>
      </c>
      <c r="G658" s="38" t="str">
        <f t="shared" si="100"/>
        <v/>
      </c>
      <c r="H658" s="38" t="str">
        <f t="shared" si="98"/>
        <v/>
      </c>
      <c r="I658" s="38" t="str">
        <f t="shared" si="101"/>
        <v/>
      </c>
      <c r="J658" s="38" t="str">
        <f t="shared" si="102"/>
        <v/>
      </c>
      <c r="K658" s="38" t="str">
        <f t="shared" si="103"/>
        <v/>
      </c>
      <c r="L658" s="38" t="str">
        <f t="shared" si="104"/>
        <v/>
      </c>
      <c r="M658" s="38" t="str">
        <f>IF($A658="","",IF(H658=0,"",IF(Q658&lt;=0.000000001,MIN(0.8*0.75*'KT THAN'!$C$62,MAX('KT THAN'!$J$38:$J$58)),IFERROR(MIN(0.8*0.75*'KT THAN'!$C$62,INDEX('KT THAN'!$J$38:$J$58,MATCH(Q658,'KT THAN'!$L$38:$L$58,-1))+(INDEX('KT THAN'!$J$38:$J$58,MIN(21,MATCH(Q658,'KT THAN'!$L$38:$L$58,-1)+1))-INDEX('KT THAN'!$J$38:$J$58,MATCH(Q658,'KT THAN'!$L$38:$L$58,-1)))*(Q658-INDEX('KT THAN'!$L$38:$L$58,MATCH(Q658,'KT THAN'!$L$38:$L$58,-1)))/(INDEX('KT THAN'!$L$38:$L$58,MIN(21,MATCH(Q658,'KT THAN'!$L$38:$L$58,-1)+1))-INDEX('KT THAN'!$L$38:$L$58,MATCH(Q658,'KT THAN'!$L$38:$L$58,-1)))),MIN(0.8*0.75*'KT THAN'!$C$62,'KT THAN'!$C$68/Q658)))))</f>
        <v/>
      </c>
      <c r="N658" s="38" t="str">
        <f>IF($A658="","",IF(H658=0,"",IF(R658&lt;=0.000000001,MIN(0.8*0.75*'KT THAN'!$C$62,MAX('KT THAN'!$W$38:$W$58)),IFERROR(MIN(0.8*0.75*'KT THAN'!$C$62,INDEX('KT THAN'!$W$38:$W$58,MATCH(R658,'KT THAN'!$Y$38:$Y$58,-1))+(INDEX('KT THAN'!$W$38:$W$58,MIN(21,MATCH(R658,'KT THAN'!$Y$38:$Y$58,-1)+1))-INDEX('KT THAN'!$W$38:$W$58,MATCH(R658,'KT THAN'!$Y$38:$Y$58,-1)))*(R658-INDEX('KT THAN'!$Y$38:$Y$58,MATCH(R658,'KT THAN'!$Y$38:$Y$58,-1)))/(INDEX('KT THAN'!$Y$38:$Y$58,MIN(21,MATCH(R658,'KT THAN'!$Y$38:$Y$58,-1)+1))-INDEX('KT THAN'!$Y$38:$Y$58,MATCH(R658,'KT THAN'!$Y$38:$Y$58,-1)))),MIN(0.8*0.75*'KT THAN'!$C$62,'KT THAN'!$D$68/R658)))))</f>
        <v/>
      </c>
      <c r="O658" s="38" t="str">
        <f>IF($A658="","",IF(H658&lt;0,ABS(H658)/MAX('KT THAN'!$C$69,0.001)+'KT THAN'!$C$32*ABS(J658)/MAX('KT THAN'!$C$68,0.001)+'KT THAN'!$D$32*ABS(I658)/MAX('KT THAN'!$D$68,0.001),IF(OR(M658&lt;=0,N658&lt;=0),999,IF(H658&gt;=0.1*0.75*fc_*Agth*1000,H658/MAX(0.001,1/(1/M658+1/N658-1/(0.75*'KT THAN'!$C$62))),'KT THAN'!$C$32*ABS(J658)/MAX('KT THAN'!$C$68,0.001)+'KT THAN'!$D$32*ABS(I658)/MAX('KT THAN'!$D$68,0.001)))))</f>
        <v/>
      </c>
      <c r="P658" s="37" t="str">
        <f t="shared" si="105"/>
        <v/>
      </c>
      <c r="Q658" s="38" t="str">
        <f>IF($A658="","",MAX(0.001,'KT THAN'!$C$32*ABS(J658)/MAX(1,H658)))</f>
        <v/>
      </c>
      <c r="R658" s="38" t="str">
        <f>IF($A658="","",MAX(0.001,'KT THAN'!$D$32*ABS(I658)/MAX(1,H658)))</f>
        <v/>
      </c>
      <c r="S658" t="str">
        <f t="shared" si="99"/>
        <v/>
      </c>
    </row>
    <row r="659" spans="1:19" hidden="1" outlineLevel="1" x14ac:dyDescent="0.3">
      <c r="A659" s="37" t="str">
        <f>IF(OR(nThan=1,'TO HOP NLAN'!$A215=""),"",'TO HOP NLAN'!$A215)</f>
        <v/>
      </c>
      <c r="B659" s="38" t="str">
        <f>IF($A659="","",'TO HOP NLAN'!$D215)</f>
        <v/>
      </c>
      <c r="C659" s="38" t="str">
        <f>IF($A659="","",'TO HOP NLAN'!$E215)</f>
        <v/>
      </c>
      <c r="D659" s="38" t="str">
        <f>IF($A659="","",'TO HOP NLAN'!$F215)</f>
        <v/>
      </c>
      <c r="E659" s="38" t="str">
        <f>IF($A659="","",'TO HOP NLAN'!$B215)</f>
        <v/>
      </c>
      <c r="F659" s="38" t="str">
        <f>IF($A659="","",'TO HOP NLAN'!$C215)</f>
        <v/>
      </c>
      <c r="G659" s="38" t="str">
        <f t="shared" si="100"/>
        <v/>
      </c>
      <c r="H659" s="38" t="str">
        <f t="shared" si="98"/>
        <v/>
      </c>
      <c r="I659" s="38" t="str">
        <f t="shared" si="101"/>
        <v/>
      </c>
      <c r="J659" s="38" t="str">
        <f t="shared" si="102"/>
        <v/>
      </c>
      <c r="K659" s="38" t="str">
        <f t="shared" si="103"/>
        <v/>
      </c>
      <c r="L659" s="38" t="str">
        <f t="shared" si="104"/>
        <v/>
      </c>
      <c r="M659" s="38" t="str">
        <f>IF($A659="","",IF(H659=0,"",IF(Q659&lt;=0.000000001,MIN(0.8*0.75*'KT THAN'!$C$62,MAX('KT THAN'!$J$38:$J$58)),IFERROR(MIN(0.8*0.75*'KT THAN'!$C$62,INDEX('KT THAN'!$J$38:$J$58,MATCH(Q659,'KT THAN'!$L$38:$L$58,-1))+(INDEX('KT THAN'!$J$38:$J$58,MIN(21,MATCH(Q659,'KT THAN'!$L$38:$L$58,-1)+1))-INDEX('KT THAN'!$J$38:$J$58,MATCH(Q659,'KT THAN'!$L$38:$L$58,-1)))*(Q659-INDEX('KT THAN'!$L$38:$L$58,MATCH(Q659,'KT THAN'!$L$38:$L$58,-1)))/(INDEX('KT THAN'!$L$38:$L$58,MIN(21,MATCH(Q659,'KT THAN'!$L$38:$L$58,-1)+1))-INDEX('KT THAN'!$L$38:$L$58,MATCH(Q659,'KT THAN'!$L$38:$L$58,-1)))),MIN(0.8*0.75*'KT THAN'!$C$62,'KT THAN'!$C$68/Q659)))))</f>
        <v/>
      </c>
      <c r="N659" s="38" t="str">
        <f>IF($A659="","",IF(H659=0,"",IF(R659&lt;=0.000000001,MIN(0.8*0.75*'KT THAN'!$C$62,MAX('KT THAN'!$W$38:$W$58)),IFERROR(MIN(0.8*0.75*'KT THAN'!$C$62,INDEX('KT THAN'!$W$38:$W$58,MATCH(R659,'KT THAN'!$Y$38:$Y$58,-1))+(INDEX('KT THAN'!$W$38:$W$58,MIN(21,MATCH(R659,'KT THAN'!$Y$38:$Y$58,-1)+1))-INDEX('KT THAN'!$W$38:$W$58,MATCH(R659,'KT THAN'!$Y$38:$Y$58,-1)))*(R659-INDEX('KT THAN'!$Y$38:$Y$58,MATCH(R659,'KT THAN'!$Y$38:$Y$58,-1)))/(INDEX('KT THAN'!$Y$38:$Y$58,MIN(21,MATCH(R659,'KT THAN'!$Y$38:$Y$58,-1)+1))-INDEX('KT THAN'!$Y$38:$Y$58,MATCH(R659,'KT THAN'!$Y$38:$Y$58,-1)))),MIN(0.8*0.75*'KT THAN'!$C$62,'KT THAN'!$D$68/R659)))))</f>
        <v/>
      </c>
      <c r="O659" s="38" t="str">
        <f>IF($A659="","",IF(H659&lt;0,ABS(H659)/MAX('KT THAN'!$C$69,0.001)+'KT THAN'!$C$32*ABS(J659)/MAX('KT THAN'!$C$68,0.001)+'KT THAN'!$D$32*ABS(I659)/MAX('KT THAN'!$D$68,0.001),IF(OR(M659&lt;=0,N659&lt;=0),999,IF(H659&gt;=0.1*0.75*fc_*Agth*1000,H659/MAX(0.001,1/(1/M659+1/N659-1/(0.75*'KT THAN'!$C$62))),'KT THAN'!$C$32*ABS(J659)/MAX('KT THAN'!$C$68,0.001)+'KT THAN'!$D$32*ABS(I659)/MAX('KT THAN'!$D$68,0.001)))))</f>
        <v/>
      </c>
      <c r="P659" s="37" t="str">
        <f t="shared" si="105"/>
        <v/>
      </c>
      <c r="Q659" s="38" t="str">
        <f>IF($A659="","",MAX(0.001,'KT THAN'!$C$32*ABS(J659)/MAX(1,H659)))</f>
        <v/>
      </c>
      <c r="R659" s="38" t="str">
        <f>IF($A659="","",MAX(0.001,'KT THAN'!$D$32*ABS(I659)/MAX(1,H659)))</f>
        <v/>
      </c>
      <c r="S659" t="str">
        <f t="shared" si="99"/>
        <v/>
      </c>
    </row>
    <row r="660" spans="1:19" hidden="1" outlineLevel="1" x14ac:dyDescent="0.3">
      <c r="A660" s="37" t="str">
        <f>IF(OR(nThan=1,'TO HOP NLAN'!$A216=""),"",'TO HOP NLAN'!$A216)</f>
        <v/>
      </c>
      <c r="B660" s="38" t="str">
        <f>IF($A660="","",'TO HOP NLAN'!$D216)</f>
        <v/>
      </c>
      <c r="C660" s="38" t="str">
        <f>IF($A660="","",'TO HOP NLAN'!$E216)</f>
        <v/>
      </c>
      <c r="D660" s="38" t="str">
        <f>IF($A660="","",'TO HOP NLAN'!$F216)</f>
        <v/>
      </c>
      <c r="E660" s="38" t="str">
        <f>IF($A660="","",'TO HOP NLAN'!$B216)</f>
        <v/>
      </c>
      <c r="F660" s="38" t="str">
        <f>IF($A660="","",'TO HOP NLAN'!$C216)</f>
        <v/>
      </c>
      <c r="G660" s="38" t="str">
        <f t="shared" si="100"/>
        <v/>
      </c>
      <c r="H660" s="38" t="str">
        <f t="shared" si="98"/>
        <v/>
      </c>
      <c r="I660" s="38" t="str">
        <f t="shared" si="101"/>
        <v/>
      </c>
      <c r="J660" s="38" t="str">
        <f t="shared" si="102"/>
        <v/>
      </c>
      <c r="K660" s="38" t="str">
        <f t="shared" si="103"/>
        <v/>
      </c>
      <c r="L660" s="38" t="str">
        <f t="shared" si="104"/>
        <v/>
      </c>
      <c r="M660" s="38" t="str">
        <f>IF($A660="","",IF(H660=0,"",IF(Q660&lt;=0.000000001,MIN(0.8*0.75*'KT THAN'!$C$62,MAX('KT THAN'!$J$38:$J$58)),IFERROR(MIN(0.8*0.75*'KT THAN'!$C$62,INDEX('KT THAN'!$J$38:$J$58,MATCH(Q660,'KT THAN'!$L$38:$L$58,-1))+(INDEX('KT THAN'!$J$38:$J$58,MIN(21,MATCH(Q660,'KT THAN'!$L$38:$L$58,-1)+1))-INDEX('KT THAN'!$J$38:$J$58,MATCH(Q660,'KT THAN'!$L$38:$L$58,-1)))*(Q660-INDEX('KT THAN'!$L$38:$L$58,MATCH(Q660,'KT THAN'!$L$38:$L$58,-1)))/(INDEX('KT THAN'!$L$38:$L$58,MIN(21,MATCH(Q660,'KT THAN'!$L$38:$L$58,-1)+1))-INDEX('KT THAN'!$L$38:$L$58,MATCH(Q660,'KT THAN'!$L$38:$L$58,-1)))),MIN(0.8*0.75*'KT THAN'!$C$62,'KT THAN'!$C$68/Q660)))))</f>
        <v/>
      </c>
      <c r="N660" s="38" t="str">
        <f>IF($A660="","",IF(H660=0,"",IF(R660&lt;=0.000000001,MIN(0.8*0.75*'KT THAN'!$C$62,MAX('KT THAN'!$W$38:$W$58)),IFERROR(MIN(0.8*0.75*'KT THAN'!$C$62,INDEX('KT THAN'!$W$38:$W$58,MATCH(R660,'KT THAN'!$Y$38:$Y$58,-1))+(INDEX('KT THAN'!$W$38:$W$58,MIN(21,MATCH(R660,'KT THAN'!$Y$38:$Y$58,-1)+1))-INDEX('KT THAN'!$W$38:$W$58,MATCH(R660,'KT THAN'!$Y$38:$Y$58,-1)))*(R660-INDEX('KT THAN'!$Y$38:$Y$58,MATCH(R660,'KT THAN'!$Y$38:$Y$58,-1)))/(INDEX('KT THAN'!$Y$38:$Y$58,MIN(21,MATCH(R660,'KT THAN'!$Y$38:$Y$58,-1)+1))-INDEX('KT THAN'!$Y$38:$Y$58,MATCH(R660,'KT THAN'!$Y$38:$Y$58,-1)))),MIN(0.8*0.75*'KT THAN'!$C$62,'KT THAN'!$D$68/R660)))))</f>
        <v/>
      </c>
      <c r="O660" s="38" t="str">
        <f>IF($A660="","",IF(H660&lt;0,ABS(H660)/MAX('KT THAN'!$C$69,0.001)+'KT THAN'!$C$32*ABS(J660)/MAX('KT THAN'!$C$68,0.001)+'KT THAN'!$D$32*ABS(I660)/MAX('KT THAN'!$D$68,0.001),IF(OR(M660&lt;=0,N660&lt;=0),999,IF(H660&gt;=0.1*0.75*fc_*Agth*1000,H660/MAX(0.001,1/(1/M660+1/N660-1/(0.75*'KT THAN'!$C$62))),'KT THAN'!$C$32*ABS(J660)/MAX('KT THAN'!$C$68,0.001)+'KT THAN'!$D$32*ABS(I660)/MAX('KT THAN'!$D$68,0.001)))))</f>
        <v/>
      </c>
      <c r="P660" s="37" t="str">
        <f t="shared" si="105"/>
        <v/>
      </c>
      <c r="Q660" s="38" t="str">
        <f>IF($A660="","",MAX(0.001,'KT THAN'!$C$32*ABS(J660)/MAX(1,H660)))</f>
        <v/>
      </c>
      <c r="R660" s="38" t="str">
        <f>IF($A660="","",MAX(0.001,'KT THAN'!$D$32*ABS(I660)/MAX(1,H660)))</f>
        <v/>
      </c>
      <c r="S660" t="str">
        <f t="shared" si="99"/>
        <v/>
      </c>
    </row>
    <row r="661" spans="1:19" hidden="1" outlineLevel="1" x14ac:dyDescent="0.3">
      <c r="A661" s="37" t="str">
        <f>IF(OR(nThan=1,'TO HOP NLAN'!$A217=""),"",'TO HOP NLAN'!$A217)</f>
        <v/>
      </c>
      <c r="B661" s="38" t="str">
        <f>IF($A661="","",'TO HOP NLAN'!$D217)</f>
        <v/>
      </c>
      <c r="C661" s="38" t="str">
        <f>IF($A661="","",'TO HOP NLAN'!$E217)</f>
        <v/>
      </c>
      <c r="D661" s="38" t="str">
        <f>IF($A661="","",'TO HOP NLAN'!$F217)</f>
        <v/>
      </c>
      <c r="E661" s="38" t="str">
        <f>IF($A661="","",'TO HOP NLAN'!$B217)</f>
        <v/>
      </c>
      <c r="F661" s="38" t="str">
        <f>IF($A661="","",'TO HOP NLAN'!$C217)</f>
        <v/>
      </c>
      <c r="G661" s="38" t="str">
        <f t="shared" si="100"/>
        <v/>
      </c>
      <c r="H661" s="38" t="str">
        <f t="shared" si="98"/>
        <v/>
      </c>
      <c r="I661" s="38" t="str">
        <f t="shared" si="101"/>
        <v/>
      </c>
      <c r="J661" s="38" t="str">
        <f t="shared" si="102"/>
        <v/>
      </c>
      <c r="K661" s="38" t="str">
        <f t="shared" si="103"/>
        <v/>
      </c>
      <c r="L661" s="38" t="str">
        <f t="shared" si="104"/>
        <v/>
      </c>
      <c r="M661" s="38" t="str">
        <f>IF($A661="","",IF(H661=0,"",IF(Q661&lt;=0.000000001,MIN(0.8*0.75*'KT THAN'!$C$62,MAX('KT THAN'!$J$38:$J$58)),IFERROR(MIN(0.8*0.75*'KT THAN'!$C$62,INDEX('KT THAN'!$J$38:$J$58,MATCH(Q661,'KT THAN'!$L$38:$L$58,-1))+(INDEX('KT THAN'!$J$38:$J$58,MIN(21,MATCH(Q661,'KT THAN'!$L$38:$L$58,-1)+1))-INDEX('KT THAN'!$J$38:$J$58,MATCH(Q661,'KT THAN'!$L$38:$L$58,-1)))*(Q661-INDEX('KT THAN'!$L$38:$L$58,MATCH(Q661,'KT THAN'!$L$38:$L$58,-1)))/(INDEX('KT THAN'!$L$38:$L$58,MIN(21,MATCH(Q661,'KT THAN'!$L$38:$L$58,-1)+1))-INDEX('KT THAN'!$L$38:$L$58,MATCH(Q661,'KT THAN'!$L$38:$L$58,-1)))),MIN(0.8*0.75*'KT THAN'!$C$62,'KT THAN'!$C$68/Q661)))))</f>
        <v/>
      </c>
      <c r="N661" s="38" t="str">
        <f>IF($A661="","",IF(H661=0,"",IF(R661&lt;=0.000000001,MIN(0.8*0.75*'KT THAN'!$C$62,MAX('KT THAN'!$W$38:$W$58)),IFERROR(MIN(0.8*0.75*'KT THAN'!$C$62,INDEX('KT THAN'!$W$38:$W$58,MATCH(R661,'KT THAN'!$Y$38:$Y$58,-1))+(INDEX('KT THAN'!$W$38:$W$58,MIN(21,MATCH(R661,'KT THAN'!$Y$38:$Y$58,-1)+1))-INDEX('KT THAN'!$W$38:$W$58,MATCH(R661,'KT THAN'!$Y$38:$Y$58,-1)))*(R661-INDEX('KT THAN'!$Y$38:$Y$58,MATCH(R661,'KT THAN'!$Y$38:$Y$58,-1)))/(INDEX('KT THAN'!$Y$38:$Y$58,MIN(21,MATCH(R661,'KT THAN'!$Y$38:$Y$58,-1)+1))-INDEX('KT THAN'!$Y$38:$Y$58,MATCH(R661,'KT THAN'!$Y$38:$Y$58,-1)))),MIN(0.8*0.75*'KT THAN'!$C$62,'KT THAN'!$D$68/R661)))))</f>
        <v/>
      </c>
      <c r="O661" s="38" t="str">
        <f>IF($A661="","",IF(H661&lt;0,ABS(H661)/MAX('KT THAN'!$C$69,0.001)+'KT THAN'!$C$32*ABS(J661)/MAX('KT THAN'!$C$68,0.001)+'KT THAN'!$D$32*ABS(I661)/MAX('KT THAN'!$D$68,0.001),IF(OR(M661&lt;=0,N661&lt;=0),999,IF(H661&gt;=0.1*0.75*fc_*Agth*1000,H661/MAX(0.001,1/(1/M661+1/N661-1/(0.75*'KT THAN'!$C$62))),'KT THAN'!$C$32*ABS(J661)/MAX('KT THAN'!$C$68,0.001)+'KT THAN'!$D$32*ABS(I661)/MAX('KT THAN'!$D$68,0.001)))))</f>
        <v/>
      </c>
      <c r="P661" s="37" t="str">
        <f t="shared" si="105"/>
        <v/>
      </c>
      <c r="Q661" s="38" t="str">
        <f>IF($A661="","",MAX(0.001,'KT THAN'!$C$32*ABS(J661)/MAX(1,H661)))</f>
        <v/>
      </c>
      <c r="R661" s="38" t="str">
        <f>IF($A661="","",MAX(0.001,'KT THAN'!$D$32*ABS(I661)/MAX(1,H661)))</f>
        <v/>
      </c>
      <c r="S661" t="str">
        <f t="shared" si="99"/>
        <v/>
      </c>
    </row>
    <row r="662" spans="1:19" hidden="1" outlineLevel="1" x14ac:dyDescent="0.3">
      <c r="A662" s="37" t="str">
        <f>IF(OR(nThan=1,'TO HOP NLAN'!$A218=""),"",'TO HOP NLAN'!$A218)</f>
        <v/>
      </c>
      <c r="B662" s="38" t="str">
        <f>IF($A662="","",'TO HOP NLAN'!$D218)</f>
        <v/>
      </c>
      <c r="C662" s="38" t="str">
        <f>IF($A662="","",'TO HOP NLAN'!$E218)</f>
        <v/>
      </c>
      <c r="D662" s="38" t="str">
        <f>IF($A662="","",'TO HOP NLAN'!$F218)</f>
        <v/>
      </c>
      <c r="E662" s="38" t="str">
        <f>IF($A662="","",'TO HOP NLAN'!$B218)</f>
        <v/>
      </c>
      <c r="F662" s="38" t="str">
        <f>IF($A662="","",'TO HOP NLAN'!$C218)</f>
        <v/>
      </c>
      <c r="G662" s="38" t="str">
        <f t="shared" si="100"/>
        <v/>
      </c>
      <c r="H662" s="38" t="str">
        <f t="shared" si="98"/>
        <v/>
      </c>
      <c r="I662" s="38" t="str">
        <f t="shared" si="101"/>
        <v/>
      </c>
      <c r="J662" s="38" t="str">
        <f t="shared" si="102"/>
        <v/>
      </c>
      <c r="K662" s="38" t="str">
        <f t="shared" si="103"/>
        <v/>
      </c>
      <c r="L662" s="38" t="str">
        <f t="shared" si="104"/>
        <v/>
      </c>
      <c r="M662" s="38" t="str">
        <f>IF($A662="","",IF(H662=0,"",IF(Q662&lt;=0.000000001,MIN(0.8*0.75*'KT THAN'!$C$62,MAX('KT THAN'!$J$38:$J$58)),IFERROR(MIN(0.8*0.75*'KT THAN'!$C$62,INDEX('KT THAN'!$J$38:$J$58,MATCH(Q662,'KT THAN'!$L$38:$L$58,-1))+(INDEX('KT THAN'!$J$38:$J$58,MIN(21,MATCH(Q662,'KT THAN'!$L$38:$L$58,-1)+1))-INDEX('KT THAN'!$J$38:$J$58,MATCH(Q662,'KT THAN'!$L$38:$L$58,-1)))*(Q662-INDEX('KT THAN'!$L$38:$L$58,MATCH(Q662,'KT THAN'!$L$38:$L$58,-1)))/(INDEX('KT THAN'!$L$38:$L$58,MIN(21,MATCH(Q662,'KT THAN'!$L$38:$L$58,-1)+1))-INDEX('KT THAN'!$L$38:$L$58,MATCH(Q662,'KT THAN'!$L$38:$L$58,-1)))),MIN(0.8*0.75*'KT THAN'!$C$62,'KT THAN'!$C$68/Q662)))))</f>
        <v/>
      </c>
      <c r="N662" s="38" t="str">
        <f>IF($A662="","",IF(H662=0,"",IF(R662&lt;=0.000000001,MIN(0.8*0.75*'KT THAN'!$C$62,MAX('KT THAN'!$W$38:$W$58)),IFERROR(MIN(0.8*0.75*'KT THAN'!$C$62,INDEX('KT THAN'!$W$38:$W$58,MATCH(R662,'KT THAN'!$Y$38:$Y$58,-1))+(INDEX('KT THAN'!$W$38:$W$58,MIN(21,MATCH(R662,'KT THAN'!$Y$38:$Y$58,-1)+1))-INDEX('KT THAN'!$W$38:$W$58,MATCH(R662,'KT THAN'!$Y$38:$Y$58,-1)))*(R662-INDEX('KT THAN'!$Y$38:$Y$58,MATCH(R662,'KT THAN'!$Y$38:$Y$58,-1)))/(INDEX('KT THAN'!$Y$38:$Y$58,MIN(21,MATCH(R662,'KT THAN'!$Y$38:$Y$58,-1)+1))-INDEX('KT THAN'!$Y$38:$Y$58,MATCH(R662,'KT THAN'!$Y$38:$Y$58,-1)))),MIN(0.8*0.75*'KT THAN'!$C$62,'KT THAN'!$D$68/R662)))))</f>
        <v/>
      </c>
      <c r="O662" s="38" t="str">
        <f>IF($A662="","",IF(H662&lt;0,ABS(H662)/MAX('KT THAN'!$C$69,0.001)+'KT THAN'!$C$32*ABS(J662)/MAX('KT THAN'!$C$68,0.001)+'KT THAN'!$D$32*ABS(I662)/MAX('KT THAN'!$D$68,0.001),IF(OR(M662&lt;=0,N662&lt;=0),999,IF(H662&gt;=0.1*0.75*fc_*Agth*1000,H662/MAX(0.001,1/(1/M662+1/N662-1/(0.75*'KT THAN'!$C$62))),'KT THAN'!$C$32*ABS(J662)/MAX('KT THAN'!$C$68,0.001)+'KT THAN'!$D$32*ABS(I662)/MAX('KT THAN'!$D$68,0.001)))))</f>
        <v/>
      </c>
      <c r="P662" s="37" t="str">
        <f t="shared" si="105"/>
        <v/>
      </c>
      <c r="Q662" s="38" t="str">
        <f>IF($A662="","",MAX(0.001,'KT THAN'!$C$32*ABS(J662)/MAX(1,H662)))</f>
        <v/>
      </c>
      <c r="R662" s="38" t="str">
        <f>IF($A662="","",MAX(0.001,'KT THAN'!$D$32*ABS(I662)/MAX(1,H662)))</f>
        <v/>
      </c>
      <c r="S662" t="str">
        <f t="shared" si="99"/>
        <v/>
      </c>
    </row>
    <row r="663" spans="1:19" hidden="1" outlineLevel="1" x14ac:dyDescent="0.3">
      <c r="A663" s="37" t="str">
        <f>IF(OR(nThan=1,'TO HOP NLAN'!$A219=""),"",'TO HOP NLAN'!$A219)</f>
        <v/>
      </c>
      <c r="B663" s="38" t="str">
        <f>IF($A663="","",'TO HOP NLAN'!$D219)</f>
        <v/>
      </c>
      <c r="C663" s="38" t="str">
        <f>IF($A663="","",'TO HOP NLAN'!$E219)</f>
        <v/>
      </c>
      <c r="D663" s="38" t="str">
        <f>IF($A663="","",'TO HOP NLAN'!$F219)</f>
        <v/>
      </c>
      <c r="E663" s="38" t="str">
        <f>IF($A663="","",'TO HOP NLAN'!$B219)</f>
        <v/>
      </c>
      <c r="F663" s="38" t="str">
        <f>IF($A663="","",'TO HOP NLAN'!$C219)</f>
        <v/>
      </c>
      <c r="G663" s="38" t="str">
        <f t="shared" si="100"/>
        <v/>
      </c>
      <c r="H663" s="38" t="str">
        <f t="shared" si="98"/>
        <v/>
      </c>
      <c r="I663" s="38" t="str">
        <f t="shared" si="101"/>
        <v/>
      </c>
      <c r="J663" s="38" t="str">
        <f t="shared" si="102"/>
        <v/>
      </c>
      <c r="K663" s="38" t="str">
        <f t="shared" si="103"/>
        <v/>
      </c>
      <c r="L663" s="38" t="str">
        <f t="shared" si="104"/>
        <v/>
      </c>
      <c r="M663" s="38" t="str">
        <f>IF($A663="","",IF(H663=0,"",IF(Q663&lt;=0.000000001,MIN(0.8*0.75*'KT THAN'!$C$62,MAX('KT THAN'!$J$38:$J$58)),IFERROR(MIN(0.8*0.75*'KT THAN'!$C$62,INDEX('KT THAN'!$J$38:$J$58,MATCH(Q663,'KT THAN'!$L$38:$L$58,-1))+(INDEX('KT THAN'!$J$38:$J$58,MIN(21,MATCH(Q663,'KT THAN'!$L$38:$L$58,-1)+1))-INDEX('KT THAN'!$J$38:$J$58,MATCH(Q663,'KT THAN'!$L$38:$L$58,-1)))*(Q663-INDEX('KT THAN'!$L$38:$L$58,MATCH(Q663,'KT THAN'!$L$38:$L$58,-1)))/(INDEX('KT THAN'!$L$38:$L$58,MIN(21,MATCH(Q663,'KT THAN'!$L$38:$L$58,-1)+1))-INDEX('KT THAN'!$L$38:$L$58,MATCH(Q663,'KT THAN'!$L$38:$L$58,-1)))),MIN(0.8*0.75*'KT THAN'!$C$62,'KT THAN'!$C$68/Q663)))))</f>
        <v/>
      </c>
      <c r="N663" s="38" t="str">
        <f>IF($A663="","",IF(H663=0,"",IF(R663&lt;=0.000000001,MIN(0.8*0.75*'KT THAN'!$C$62,MAX('KT THAN'!$W$38:$W$58)),IFERROR(MIN(0.8*0.75*'KT THAN'!$C$62,INDEX('KT THAN'!$W$38:$W$58,MATCH(R663,'KT THAN'!$Y$38:$Y$58,-1))+(INDEX('KT THAN'!$W$38:$W$58,MIN(21,MATCH(R663,'KT THAN'!$Y$38:$Y$58,-1)+1))-INDEX('KT THAN'!$W$38:$W$58,MATCH(R663,'KT THAN'!$Y$38:$Y$58,-1)))*(R663-INDEX('KT THAN'!$Y$38:$Y$58,MATCH(R663,'KT THAN'!$Y$38:$Y$58,-1)))/(INDEX('KT THAN'!$Y$38:$Y$58,MIN(21,MATCH(R663,'KT THAN'!$Y$38:$Y$58,-1)+1))-INDEX('KT THAN'!$Y$38:$Y$58,MATCH(R663,'KT THAN'!$Y$38:$Y$58,-1)))),MIN(0.8*0.75*'KT THAN'!$C$62,'KT THAN'!$D$68/R663)))))</f>
        <v/>
      </c>
      <c r="O663" s="38" t="str">
        <f>IF($A663="","",IF(H663&lt;0,ABS(H663)/MAX('KT THAN'!$C$69,0.001)+'KT THAN'!$C$32*ABS(J663)/MAX('KT THAN'!$C$68,0.001)+'KT THAN'!$D$32*ABS(I663)/MAX('KT THAN'!$D$68,0.001),IF(OR(M663&lt;=0,N663&lt;=0),999,IF(H663&gt;=0.1*0.75*fc_*Agth*1000,H663/MAX(0.001,1/(1/M663+1/N663-1/(0.75*'KT THAN'!$C$62))),'KT THAN'!$C$32*ABS(J663)/MAX('KT THAN'!$C$68,0.001)+'KT THAN'!$D$32*ABS(I663)/MAX('KT THAN'!$D$68,0.001)))))</f>
        <v/>
      </c>
      <c r="P663" s="37" t="str">
        <f t="shared" si="105"/>
        <v/>
      </c>
      <c r="Q663" s="38" t="str">
        <f>IF($A663="","",MAX(0.001,'KT THAN'!$C$32*ABS(J663)/MAX(1,H663)))</f>
        <v/>
      </c>
      <c r="R663" s="38" t="str">
        <f>IF($A663="","",MAX(0.001,'KT THAN'!$D$32*ABS(I663)/MAX(1,H663)))</f>
        <v/>
      </c>
      <c r="S663" t="str">
        <f t="shared" si="99"/>
        <v/>
      </c>
    </row>
    <row r="664" spans="1:19" hidden="1" outlineLevel="1" x14ac:dyDescent="0.3">
      <c r="A664" s="37" t="str">
        <f>IF(OR(nThan=1,'TO HOP NLAN'!$A220=""),"",'TO HOP NLAN'!$A220)</f>
        <v/>
      </c>
      <c r="B664" s="38" t="str">
        <f>IF($A664="","",'TO HOP NLAN'!$D220)</f>
        <v/>
      </c>
      <c r="C664" s="38" t="str">
        <f>IF($A664="","",'TO HOP NLAN'!$E220)</f>
        <v/>
      </c>
      <c r="D664" s="38" t="str">
        <f>IF($A664="","",'TO HOP NLAN'!$F220)</f>
        <v/>
      </c>
      <c r="E664" s="38" t="str">
        <f>IF($A664="","",'TO HOP NLAN'!$B220)</f>
        <v/>
      </c>
      <c r="F664" s="38" t="str">
        <f>IF($A664="","",'TO HOP NLAN'!$C220)</f>
        <v/>
      </c>
      <c r="G664" s="38" t="str">
        <f t="shared" si="100"/>
        <v/>
      </c>
      <c r="H664" s="38" t="str">
        <f t="shared" si="98"/>
        <v/>
      </c>
      <c r="I664" s="38" t="str">
        <f t="shared" si="101"/>
        <v/>
      </c>
      <c r="J664" s="38" t="str">
        <f t="shared" si="102"/>
        <v/>
      </c>
      <c r="K664" s="38" t="str">
        <f t="shared" si="103"/>
        <v/>
      </c>
      <c r="L664" s="38" t="str">
        <f t="shared" si="104"/>
        <v/>
      </c>
      <c r="M664" s="38" t="str">
        <f>IF($A664="","",IF(H664=0,"",IF(Q664&lt;=0.000000001,MIN(0.8*0.75*'KT THAN'!$C$62,MAX('KT THAN'!$J$38:$J$58)),IFERROR(MIN(0.8*0.75*'KT THAN'!$C$62,INDEX('KT THAN'!$J$38:$J$58,MATCH(Q664,'KT THAN'!$L$38:$L$58,-1))+(INDEX('KT THAN'!$J$38:$J$58,MIN(21,MATCH(Q664,'KT THAN'!$L$38:$L$58,-1)+1))-INDEX('KT THAN'!$J$38:$J$58,MATCH(Q664,'KT THAN'!$L$38:$L$58,-1)))*(Q664-INDEX('KT THAN'!$L$38:$L$58,MATCH(Q664,'KT THAN'!$L$38:$L$58,-1)))/(INDEX('KT THAN'!$L$38:$L$58,MIN(21,MATCH(Q664,'KT THAN'!$L$38:$L$58,-1)+1))-INDEX('KT THAN'!$L$38:$L$58,MATCH(Q664,'KT THAN'!$L$38:$L$58,-1)))),MIN(0.8*0.75*'KT THAN'!$C$62,'KT THAN'!$C$68/Q664)))))</f>
        <v/>
      </c>
      <c r="N664" s="38" t="str">
        <f>IF($A664="","",IF(H664=0,"",IF(R664&lt;=0.000000001,MIN(0.8*0.75*'KT THAN'!$C$62,MAX('KT THAN'!$W$38:$W$58)),IFERROR(MIN(0.8*0.75*'KT THAN'!$C$62,INDEX('KT THAN'!$W$38:$W$58,MATCH(R664,'KT THAN'!$Y$38:$Y$58,-1))+(INDEX('KT THAN'!$W$38:$W$58,MIN(21,MATCH(R664,'KT THAN'!$Y$38:$Y$58,-1)+1))-INDEX('KT THAN'!$W$38:$W$58,MATCH(R664,'KT THAN'!$Y$38:$Y$58,-1)))*(R664-INDEX('KT THAN'!$Y$38:$Y$58,MATCH(R664,'KT THAN'!$Y$38:$Y$58,-1)))/(INDEX('KT THAN'!$Y$38:$Y$58,MIN(21,MATCH(R664,'KT THAN'!$Y$38:$Y$58,-1)+1))-INDEX('KT THAN'!$Y$38:$Y$58,MATCH(R664,'KT THAN'!$Y$38:$Y$58,-1)))),MIN(0.8*0.75*'KT THAN'!$C$62,'KT THAN'!$D$68/R664)))))</f>
        <v/>
      </c>
      <c r="O664" s="38" t="str">
        <f>IF($A664="","",IF(H664&lt;0,ABS(H664)/MAX('KT THAN'!$C$69,0.001)+'KT THAN'!$C$32*ABS(J664)/MAX('KT THAN'!$C$68,0.001)+'KT THAN'!$D$32*ABS(I664)/MAX('KT THAN'!$D$68,0.001),IF(OR(M664&lt;=0,N664&lt;=0),999,IF(H664&gt;=0.1*0.75*fc_*Agth*1000,H664/MAX(0.001,1/(1/M664+1/N664-1/(0.75*'KT THAN'!$C$62))),'KT THAN'!$C$32*ABS(J664)/MAX('KT THAN'!$C$68,0.001)+'KT THAN'!$D$32*ABS(I664)/MAX('KT THAN'!$D$68,0.001)))))</f>
        <v/>
      </c>
      <c r="P664" s="37" t="str">
        <f t="shared" si="105"/>
        <v/>
      </c>
      <c r="Q664" s="38" t="str">
        <f>IF($A664="","",MAX(0.001,'KT THAN'!$C$32*ABS(J664)/MAX(1,H664)))</f>
        <v/>
      </c>
      <c r="R664" s="38" t="str">
        <f>IF($A664="","",MAX(0.001,'KT THAN'!$D$32*ABS(I664)/MAX(1,H664)))</f>
        <v/>
      </c>
      <c r="S664" t="str">
        <f t="shared" si="99"/>
        <v/>
      </c>
    </row>
    <row r="665" spans="1:19" hidden="1" outlineLevel="1" x14ac:dyDescent="0.3">
      <c r="A665" s="37" t="str">
        <f>IF(OR(nThan=1,'TO HOP NLAN'!$A221=""),"",'TO HOP NLAN'!$A221)</f>
        <v/>
      </c>
      <c r="B665" s="38" t="str">
        <f>IF($A665="","",'TO HOP NLAN'!$D221)</f>
        <v/>
      </c>
      <c r="C665" s="38" t="str">
        <f>IF($A665="","",'TO HOP NLAN'!$E221)</f>
        <v/>
      </c>
      <c r="D665" s="38" t="str">
        <f>IF($A665="","",'TO HOP NLAN'!$F221)</f>
        <v/>
      </c>
      <c r="E665" s="38" t="str">
        <f>IF($A665="","",'TO HOP NLAN'!$B221)</f>
        <v/>
      </c>
      <c r="F665" s="38" t="str">
        <f>IF($A665="","",'TO HOP NLAN'!$C221)</f>
        <v/>
      </c>
      <c r="G665" s="38" t="str">
        <f t="shared" si="100"/>
        <v/>
      </c>
      <c r="H665" s="38" t="str">
        <f t="shared" si="98"/>
        <v/>
      </c>
      <c r="I665" s="38" t="str">
        <f t="shared" si="101"/>
        <v/>
      </c>
      <c r="J665" s="38" t="str">
        <f t="shared" si="102"/>
        <v/>
      </c>
      <c r="K665" s="38" t="str">
        <f t="shared" si="103"/>
        <v/>
      </c>
      <c r="L665" s="38" t="str">
        <f t="shared" si="104"/>
        <v/>
      </c>
      <c r="M665" s="38" t="str">
        <f>IF($A665="","",IF(H665=0,"",IF(Q665&lt;=0.000000001,MIN(0.8*0.75*'KT THAN'!$C$62,MAX('KT THAN'!$J$38:$J$58)),IFERROR(MIN(0.8*0.75*'KT THAN'!$C$62,INDEX('KT THAN'!$J$38:$J$58,MATCH(Q665,'KT THAN'!$L$38:$L$58,-1))+(INDEX('KT THAN'!$J$38:$J$58,MIN(21,MATCH(Q665,'KT THAN'!$L$38:$L$58,-1)+1))-INDEX('KT THAN'!$J$38:$J$58,MATCH(Q665,'KT THAN'!$L$38:$L$58,-1)))*(Q665-INDEX('KT THAN'!$L$38:$L$58,MATCH(Q665,'KT THAN'!$L$38:$L$58,-1)))/(INDEX('KT THAN'!$L$38:$L$58,MIN(21,MATCH(Q665,'KT THAN'!$L$38:$L$58,-1)+1))-INDEX('KT THAN'!$L$38:$L$58,MATCH(Q665,'KT THAN'!$L$38:$L$58,-1)))),MIN(0.8*0.75*'KT THAN'!$C$62,'KT THAN'!$C$68/Q665)))))</f>
        <v/>
      </c>
      <c r="N665" s="38" t="str">
        <f>IF($A665="","",IF(H665=0,"",IF(R665&lt;=0.000000001,MIN(0.8*0.75*'KT THAN'!$C$62,MAX('KT THAN'!$W$38:$W$58)),IFERROR(MIN(0.8*0.75*'KT THAN'!$C$62,INDEX('KT THAN'!$W$38:$W$58,MATCH(R665,'KT THAN'!$Y$38:$Y$58,-1))+(INDEX('KT THAN'!$W$38:$W$58,MIN(21,MATCH(R665,'KT THAN'!$Y$38:$Y$58,-1)+1))-INDEX('KT THAN'!$W$38:$W$58,MATCH(R665,'KT THAN'!$Y$38:$Y$58,-1)))*(R665-INDEX('KT THAN'!$Y$38:$Y$58,MATCH(R665,'KT THAN'!$Y$38:$Y$58,-1)))/(INDEX('KT THAN'!$Y$38:$Y$58,MIN(21,MATCH(R665,'KT THAN'!$Y$38:$Y$58,-1)+1))-INDEX('KT THAN'!$Y$38:$Y$58,MATCH(R665,'KT THAN'!$Y$38:$Y$58,-1)))),MIN(0.8*0.75*'KT THAN'!$C$62,'KT THAN'!$D$68/R665)))))</f>
        <v/>
      </c>
      <c r="O665" s="38" t="str">
        <f>IF($A665="","",IF(H665&lt;0,ABS(H665)/MAX('KT THAN'!$C$69,0.001)+'KT THAN'!$C$32*ABS(J665)/MAX('KT THAN'!$C$68,0.001)+'KT THAN'!$D$32*ABS(I665)/MAX('KT THAN'!$D$68,0.001),IF(OR(M665&lt;=0,N665&lt;=0),999,IF(H665&gt;=0.1*0.75*fc_*Agth*1000,H665/MAX(0.001,1/(1/M665+1/N665-1/(0.75*'KT THAN'!$C$62))),'KT THAN'!$C$32*ABS(J665)/MAX('KT THAN'!$C$68,0.001)+'KT THAN'!$D$32*ABS(I665)/MAX('KT THAN'!$D$68,0.001)))))</f>
        <v/>
      </c>
      <c r="P665" s="37" t="str">
        <f t="shared" si="105"/>
        <v/>
      </c>
      <c r="Q665" s="38" t="str">
        <f>IF($A665="","",MAX(0.001,'KT THAN'!$C$32*ABS(J665)/MAX(1,H665)))</f>
        <v/>
      </c>
      <c r="R665" s="38" t="str">
        <f>IF($A665="","",MAX(0.001,'KT THAN'!$D$32*ABS(I665)/MAX(1,H665)))</f>
        <v/>
      </c>
      <c r="S665" t="str">
        <f t="shared" si="99"/>
        <v/>
      </c>
    </row>
    <row r="666" spans="1:19" hidden="1" outlineLevel="1" x14ac:dyDescent="0.3">
      <c r="A666" s="37" t="str">
        <f>IF(OR(nThan=1,'TO HOP NLAN'!$A222=""),"",'TO HOP NLAN'!$A222)</f>
        <v/>
      </c>
      <c r="B666" s="38" t="str">
        <f>IF($A666="","",'TO HOP NLAN'!$D222)</f>
        <v/>
      </c>
      <c r="C666" s="38" t="str">
        <f>IF($A666="","",'TO HOP NLAN'!$E222)</f>
        <v/>
      </c>
      <c r="D666" s="38" t="str">
        <f>IF($A666="","",'TO HOP NLAN'!$F222)</f>
        <v/>
      </c>
      <c r="E666" s="38" t="str">
        <f>IF($A666="","",'TO HOP NLAN'!$B222)</f>
        <v/>
      </c>
      <c r="F666" s="38" t="str">
        <f>IF($A666="","",'TO HOP NLAN'!$C222)</f>
        <v/>
      </c>
      <c r="G666" s="38" t="str">
        <f t="shared" si="100"/>
        <v/>
      </c>
      <c r="H666" s="38" t="str">
        <f t="shared" si="98"/>
        <v/>
      </c>
      <c r="I666" s="38" t="str">
        <f t="shared" si="101"/>
        <v/>
      </c>
      <c r="J666" s="38" t="str">
        <f t="shared" si="102"/>
        <v/>
      </c>
      <c r="K666" s="38" t="str">
        <f t="shared" si="103"/>
        <v/>
      </c>
      <c r="L666" s="38" t="str">
        <f t="shared" si="104"/>
        <v/>
      </c>
      <c r="M666" s="38" t="str">
        <f>IF($A666="","",IF(H666=0,"",IF(Q666&lt;=0.000000001,MIN(0.8*0.75*'KT THAN'!$C$62,MAX('KT THAN'!$J$38:$J$58)),IFERROR(MIN(0.8*0.75*'KT THAN'!$C$62,INDEX('KT THAN'!$J$38:$J$58,MATCH(Q666,'KT THAN'!$L$38:$L$58,-1))+(INDEX('KT THAN'!$J$38:$J$58,MIN(21,MATCH(Q666,'KT THAN'!$L$38:$L$58,-1)+1))-INDEX('KT THAN'!$J$38:$J$58,MATCH(Q666,'KT THAN'!$L$38:$L$58,-1)))*(Q666-INDEX('KT THAN'!$L$38:$L$58,MATCH(Q666,'KT THAN'!$L$38:$L$58,-1)))/(INDEX('KT THAN'!$L$38:$L$58,MIN(21,MATCH(Q666,'KT THAN'!$L$38:$L$58,-1)+1))-INDEX('KT THAN'!$L$38:$L$58,MATCH(Q666,'KT THAN'!$L$38:$L$58,-1)))),MIN(0.8*0.75*'KT THAN'!$C$62,'KT THAN'!$C$68/Q666)))))</f>
        <v/>
      </c>
      <c r="N666" s="38" t="str">
        <f>IF($A666="","",IF(H666=0,"",IF(R666&lt;=0.000000001,MIN(0.8*0.75*'KT THAN'!$C$62,MAX('KT THAN'!$W$38:$W$58)),IFERROR(MIN(0.8*0.75*'KT THAN'!$C$62,INDEX('KT THAN'!$W$38:$W$58,MATCH(R666,'KT THAN'!$Y$38:$Y$58,-1))+(INDEX('KT THAN'!$W$38:$W$58,MIN(21,MATCH(R666,'KT THAN'!$Y$38:$Y$58,-1)+1))-INDEX('KT THAN'!$W$38:$W$58,MATCH(R666,'KT THAN'!$Y$38:$Y$58,-1)))*(R666-INDEX('KT THAN'!$Y$38:$Y$58,MATCH(R666,'KT THAN'!$Y$38:$Y$58,-1)))/(INDEX('KT THAN'!$Y$38:$Y$58,MIN(21,MATCH(R666,'KT THAN'!$Y$38:$Y$58,-1)+1))-INDEX('KT THAN'!$Y$38:$Y$58,MATCH(R666,'KT THAN'!$Y$38:$Y$58,-1)))),MIN(0.8*0.75*'KT THAN'!$C$62,'KT THAN'!$D$68/R666)))))</f>
        <v/>
      </c>
      <c r="O666" s="38" t="str">
        <f>IF($A666="","",IF(H666&lt;0,ABS(H666)/MAX('KT THAN'!$C$69,0.001)+'KT THAN'!$C$32*ABS(J666)/MAX('KT THAN'!$C$68,0.001)+'KT THAN'!$D$32*ABS(I666)/MAX('KT THAN'!$D$68,0.001),IF(OR(M666&lt;=0,N666&lt;=0),999,IF(H666&gt;=0.1*0.75*fc_*Agth*1000,H666/MAX(0.001,1/(1/M666+1/N666-1/(0.75*'KT THAN'!$C$62))),'KT THAN'!$C$32*ABS(J666)/MAX('KT THAN'!$C$68,0.001)+'KT THAN'!$D$32*ABS(I666)/MAX('KT THAN'!$D$68,0.001)))))</f>
        <v/>
      </c>
      <c r="P666" s="37" t="str">
        <f t="shared" si="105"/>
        <v/>
      </c>
      <c r="Q666" s="38" t="str">
        <f>IF($A666="","",MAX(0.001,'KT THAN'!$C$32*ABS(J666)/MAX(1,H666)))</f>
        <v/>
      </c>
      <c r="R666" s="38" t="str">
        <f>IF($A666="","",MAX(0.001,'KT THAN'!$D$32*ABS(I666)/MAX(1,H666)))</f>
        <v/>
      </c>
      <c r="S666" t="str">
        <f t="shared" si="99"/>
        <v/>
      </c>
    </row>
    <row r="667" spans="1:19" hidden="1" outlineLevel="1" x14ac:dyDescent="0.3">
      <c r="A667" s="37" t="str">
        <f>IF(OR(nThan=1,'TO HOP NLAN'!$A223=""),"",'TO HOP NLAN'!$A223)</f>
        <v/>
      </c>
      <c r="B667" s="38" t="str">
        <f>IF($A667="","",'TO HOP NLAN'!$D223)</f>
        <v/>
      </c>
      <c r="C667" s="38" t="str">
        <f>IF($A667="","",'TO HOP NLAN'!$E223)</f>
        <v/>
      </c>
      <c r="D667" s="38" t="str">
        <f>IF($A667="","",'TO HOP NLAN'!$F223)</f>
        <v/>
      </c>
      <c r="E667" s="38" t="str">
        <f>IF($A667="","",'TO HOP NLAN'!$B223)</f>
        <v/>
      </c>
      <c r="F667" s="38" t="str">
        <f>IF($A667="","",'TO HOP NLAN'!$C223)</f>
        <v/>
      </c>
      <c r="G667" s="38" t="str">
        <f t="shared" si="100"/>
        <v/>
      </c>
      <c r="H667" s="38" t="str">
        <f t="shared" si="98"/>
        <v/>
      </c>
      <c r="I667" s="38" t="str">
        <f t="shared" si="101"/>
        <v/>
      </c>
      <c r="J667" s="38" t="str">
        <f t="shared" si="102"/>
        <v/>
      </c>
      <c r="K667" s="38" t="str">
        <f t="shared" si="103"/>
        <v/>
      </c>
      <c r="L667" s="38" t="str">
        <f t="shared" si="104"/>
        <v/>
      </c>
      <c r="M667" s="38" t="str">
        <f>IF($A667="","",IF(H667=0,"",IF(Q667&lt;=0.000000001,MIN(0.8*0.75*'KT THAN'!$C$62,MAX('KT THAN'!$J$38:$J$58)),IFERROR(MIN(0.8*0.75*'KT THAN'!$C$62,INDEX('KT THAN'!$J$38:$J$58,MATCH(Q667,'KT THAN'!$L$38:$L$58,-1))+(INDEX('KT THAN'!$J$38:$J$58,MIN(21,MATCH(Q667,'KT THAN'!$L$38:$L$58,-1)+1))-INDEX('KT THAN'!$J$38:$J$58,MATCH(Q667,'KT THAN'!$L$38:$L$58,-1)))*(Q667-INDEX('KT THAN'!$L$38:$L$58,MATCH(Q667,'KT THAN'!$L$38:$L$58,-1)))/(INDEX('KT THAN'!$L$38:$L$58,MIN(21,MATCH(Q667,'KT THAN'!$L$38:$L$58,-1)+1))-INDEX('KT THAN'!$L$38:$L$58,MATCH(Q667,'KT THAN'!$L$38:$L$58,-1)))),MIN(0.8*0.75*'KT THAN'!$C$62,'KT THAN'!$C$68/Q667)))))</f>
        <v/>
      </c>
      <c r="N667" s="38" t="str">
        <f>IF($A667="","",IF(H667=0,"",IF(R667&lt;=0.000000001,MIN(0.8*0.75*'KT THAN'!$C$62,MAX('KT THAN'!$W$38:$W$58)),IFERROR(MIN(0.8*0.75*'KT THAN'!$C$62,INDEX('KT THAN'!$W$38:$W$58,MATCH(R667,'KT THAN'!$Y$38:$Y$58,-1))+(INDEX('KT THAN'!$W$38:$W$58,MIN(21,MATCH(R667,'KT THAN'!$Y$38:$Y$58,-1)+1))-INDEX('KT THAN'!$W$38:$W$58,MATCH(R667,'KT THAN'!$Y$38:$Y$58,-1)))*(R667-INDEX('KT THAN'!$Y$38:$Y$58,MATCH(R667,'KT THAN'!$Y$38:$Y$58,-1)))/(INDEX('KT THAN'!$Y$38:$Y$58,MIN(21,MATCH(R667,'KT THAN'!$Y$38:$Y$58,-1)+1))-INDEX('KT THAN'!$Y$38:$Y$58,MATCH(R667,'KT THAN'!$Y$38:$Y$58,-1)))),MIN(0.8*0.75*'KT THAN'!$C$62,'KT THAN'!$D$68/R667)))))</f>
        <v/>
      </c>
      <c r="O667" s="38" t="str">
        <f>IF($A667="","",IF(H667&lt;0,ABS(H667)/MAX('KT THAN'!$C$69,0.001)+'KT THAN'!$C$32*ABS(J667)/MAX('KT THAN'!$C$68,0.001)+'KT THAN'!$D$32*ABS(I667)/MAX('KT THAN'!$D$68,0.001),IF(OR(M667&lt;=0,N667&lt;=0),999,IF(H667&gt;=0.1*0.75*fc_*Agth*1000,H667/MAX(0.001,1/(1/M667+1/N667-1/(0.75*'KT THAN'!$C$62))),'KT THAN'!$C$32*ABS(J667)/MAX('KT THAN'!$C$68,0.001)+'KT THAN'!$D$32*ABS(I667)/MAX('KT THAN'!$D$68,0.001)))))</f>
        <v/>
      </c>
      <c r="P667" s="37" t="str">
        <f t="shared" si="105"/>
        <v/>
      </c>
      <c r="Q667" s="38" t="str">
        <f>IF($A667="","",MAX(0.001,'KT THAN'!$C$32*ABS(J667)/MAX(1,H667)))</f>
        <v/>
      </c>
      <c r="R667" s="38" t="str">
        <f>IF($A667="","",MAX(0.001,'KT THAN'!$D$32*ABS(I667)/MAX(1,H667)))</f>
        <v/>
      </c>
      <c r="S667" t="str">
        <f t="shared" si="99"/>
        <v/>
      </c>
    </row>
    <row r="668" spans="1:19" hidden="1" outlineLevel="1" x14ac:dyDescent="0.3">
      <c r="A668" s="37" t="str">
        <f>IF(OR(nThan=1,'TO HOP NLAN'!$A224=""),"",'TO HOP NLAN'!$A224)</f>
        <v/>
      </c>
      <c r="B668" s="38" t="str">
        <f>IF($A668="","",'TO HOP NLAN'!$D224)</f>
        <v/>
      </c>
      <c r="C668" s="38" t="str">
        <f>IF($A668="","",'TO HOP NLAN'!$E224)</f>
        <v/>
      </c>
      <c r="D668" s="38" t="str">
        <f>IF($A668="","",'TO HOP NLAN'!$F224)</f>
        <v/>
      </c>
      <c r="E668" s="38" t="str">
        <f>IF($A668="","",'TO HOP NLAN'!$B224)</f>
        <v/>
      </c>
      <c r="F668" s="38" t="str">
        <f>IF($A668="","",'TO HOP NLAN'!$C224)</f>
        <v/>
      </c>
      <c r="G668" s="38" t="str">
        <f t="shared" si="100"/>
        <v/>
      </c>
      <c r="H668" s="38" t="str">
        <f t="shared" si="98"/>
        <v/>
      </c>
      <c r="I668" s="38" t="str">
        <f t="shared" si="101"/>
        <v/>
      </c>
      <c r="J668" s="38" t="str">
        <f t="shared" si="102"/>
        <v/>
      </c>
      <c r="K668" s="38" t="str">
        <f t="shared" si="103"/>
        <v/>
      </c>
      <c r="L668" s="38" t="str">
        <f t="shared" si="104"/>
        <v/>
      </c>
      <c r="M668" s="38" t="str">
        <f>IF($A668="","",IF(H668=0,"",IF(Q668&lt;=0.000000001,MIN(0.8*0.75*'KT THAN'!$C$62,MAX('KT THAN'!$J$38:$J$58)),IFERROR(MIN(0.8*0.75*'KT THAN'!$C$62,INDEX('KT THAN'!$J$38:$J$58,MATCH(Q668,'KT THAN'!$L$38:$L$58,-1))+(INDEX('KT THAN'!$J$38:$J$58,MIN(21,MATCH(Q668,'KT THAN'!$L$38:$L$58,-1)+1))-INDEX('KT THAN'!$J$38:$J$58,MATCH(Q668,'KT THAN'!$L$38:$L$58,-1)))*(Q668-INDEX('KT THAN'!$L$38:$L$58,MATCH(Q668,'KT THAN'!$L$38:$L$58,-1)))/(INDEX('KT THAN'!$L$38:$L$58,MIN(21,MATCH(Q668,'KT THAN'!$L$38:$L$58,-1)+1))-INDEX('KT THAN'!$L$38:$L$58,MATCH(Q668,'KT THAN'!$L$38:$L$58,-1)))),MIN(0.8*0.75*'KT THAN'!$C$62,'KT THAN'!$C$68/Q668)))))</f>
        <v/>
      </c>
      <c r="N668" s="38" t="str">
        <f>IF($A668="","",IF(H668=0,"",IF(R668&lt;=0.000000001,MIN(0.8*0.75*'KT THAN'!$C$62,MAX('KT THAN'!$W$38:$W$58)),IFERROR(MIN(0.8*0.75*'KT THAN'!$C$62,INDEX('KT THAN'!$W$38:$W$58,MATCH(R668,'KT THAN'!$Y$38:$Y$58,-1))+(INDEX('KT THAN'!$W$38:$W$58,MIN(21,MATCH(R668,'KT THAN'!$Y$38:$Y$58,-1)+1))-INDEX('KT THAN'!$W$38:$W$58,MATCH(R668,'KT THAN'!$Y$38:$Y$58,-1)))*(R668-INDEX('KT THAN'!$Y$38:$Y$58,MATCH(R668,'KT THAN'!$Y$38:$Y$58,-1)))/(INDEX('KT THAN'!$Y$38:$Y$58,MIN(21,MATCH(R668,'KT THAN'!$Y$38:$Y$58,-1)+1))-INDEX('KT THAN'!$Y$38:$Y$58,MATCH(R668,'KT THAN'!$Y$38:$Y$58,-1)))),MIN(0.8*0.75*'KT THAN'!$C$62,'KT THAN'!$D$68/R668)))))</f>
        <v/>
      </c>
      <c r="O668" s="38" t="str">
        <f>IF($A668="","",IF(H668&lt;0,ABS(H668)/MAX('KT THAN'!$C$69,0.001)+'KT THAN'!$C$32*ABS(J668)/MAX('KT THAN'!$C$68,0.001)+'KT THAN'!$D$32*ABS(I668)/MAX('KT THAN'!$D$68,0.001),IF(OR(M668&lt;=0,N668&lt;=0),999,IF(H668&gt;=0.1*0.75*fc_*Agth*1000,H668/MAX(0.001,1/(1/M668+1/N668-1/(0.75*'KT THAN'!$C$62))),'KT THAN'!$C$32*ABS(J668)/MAX('KT THAN'!$C$68,0.001)+'KT THAN'!$D$32*ABS(I668)/MAX('KT THAN'!$D$68,0.001)))))</f>
        <v/>
      </c>
      <c r="P668" s="37" t="str">
        <f t="shared" si="105"/>
        <v/>
      </c>
      <c r="Q668" s="38" t="str">
        <f>IF($A668="","",MAX(0.001,'KT THAN'!$C$32*ABS(J668)/MAX(1,H668)))</f>
        <v/>
      </c>
      <c r="R668" s="38" t="str">
        <f>IF($A668="","",MAX(0.001,'KT THAN'!$D$32*ABS(I668)/MAX(1,H668)))</f>
        <v/>
      </c>
      <c r="S668" t="str">
        <f t="shared" si="99"/>
        <v/>
      </c>
    </row>
    <row r="669" spans="1:19" hidden="1" outlineLevel="1" x14ac:dyDescent="0.3">
      <c r="A669" s="37" t="str">
        <f>IF(OR(nThan=1,'TO HOP NLAN'!$A225=""),"",'TO HOP NLAN'!$A225)</f>
        <v/>
      </c>
      <c r="B669" s="38" t="str">
        <f>IF($A669="","",'TO HOP NLAN'!$D225)</f>
        <v/>
      </c>
      <c r="C669" s="38" t="str">
        <f>IF($A669="","",'TO HOP NLAN'!$E225)</f>
        <v/>
      </c>
      <c r="D669" s="38" t="str">
        <f>IF($A669="","",'TO HOP NLAN'!$F225)</f>
        <v/>
      </c>
      <c r="E669" s="38" t="str">
        <f>IF($A669="","",'TO HOP NLAN'!$B225)</f>
        <v/>
      </c>
      <c r="F669" s="38" t="str">
        <f>IF($A669="","",'TO HOP NLAN'!$C225)</f>
        <v/>
      </c>
      <c r="G669" s="38" t="str">
        <f t="shared" si="100"/>
        <v/>
      </c>
      <c r="H669" s="38" t="str">
        <f t="shared" si="98"/>
        <v/>
      </c>
      <c r="I669" s="38" t="str">
        <f t="shared" si="101"/>
        <v/>
      </c>
      <c r="J669" s="38" t="str">
        <f t="shared" si="102"/>
        <v/>
      </c>
      <c r="K669" s="38" t="str">
        <f t="shared" si="103"/>
        <v/>
      </c>
      <c r="L669" s="38" t="str">
        <f t="shared" si="104"/>
        <v/>
      </c>
      <c r="M669" s="38" t="str">
        <f>IF($A669="","",IF(H669=0,"",IF(Q669&lt;=0.000000001,MIN(0.8*0.75*'KT THAN'!$C$62,MAX('KT THAN'!$J$38:$J$58)),IFERROR(MIN(0.8*0.75*'KT THAN'!$C$62,INDEX('KT THAN'!$J$38:$J$58,MATCH(Q669,'KT THAN'!$L$38:$L$58,-1))+(INDEX('KT THAN'!$J$38:$J$58,MIN(21,MATCH(Q669,'KT THAN'!$L$38:$L$58,-1)+1))-INDEX('KT THAN'!$J$38:$J$58,MATCH(Q669,'KT THAN'!$L$38:$L$58,-1)))*(Q669-INDEX('KT THAN'!$L$38:$L$58,MATCH(Q669,'KT THAN'!$L$38:$L$58,-1)))/(INDEX('KT THAN'!$L$38:$L$58,MIN(21,MATCH(Q669,'KT THAN'!$L$38:$L$58,-1)+1))-INDEX('KT THAN'!$L$38:$L$58,MATCH(Q669,'KT THAN'!$L$38:$L$58,-1)))),MIN(0.8*0.75*'KT THAN'!$C$62,'KT THAN'!$C$68/Q669)))))</f>
        <v/>
      </c>
      <c r="N669" s="38" t="str">
        <f>IF($A669="","",IF(H669=0,"",IF(R669&lt;=0.000000001,MIN(0.8*0.75*'KT THAN'!$C$62,MAX('KT THAN'!$W$38:$W$58)),IFERROR(MIN(0.8*0.75*'KT THAN'!$C$62,INDEX('KT THAN'!$W$38:$W$58,MATCH(R669,'KT THAN'!$Y$38:$Y$58,-1))+(INDEX('KT THAN'!$W$38:$W$58,MIN(21,MATCH(R669,'KT THAN'!$Y$38:$Y$58,-1)+1))-INDEX('KT THAN'!$W$38:$W$58,MATCH(R669,'KT THAN'!$Y$38:$Y$58,-1)))*(R669-INDEX('KT THAN'!$Y$38:$Y$58,MATCH(R669,'KT THAN'!$Y$38:$Y$58,-1)))/(INDEX('KT THAN'!$Y$38:$Y$58,MIN(21,MATCH(R669,'KT THAN'!$Y$38:$Y$58,-1)+1))-INDEX('KT THAN'!$Y$38:$Y$58,MATCH(R669,'KT THAN'!$Y$38:$Y$58,-1)))),MIN(0.8*0.75*'KT THAN'!$C$62,'KT THAN'!$D$68/R669)))))</f>
        <v/>
      </c>
      <c r="O669" s="38" t="str">
        <f>IF($A669="","",IF(H669&lt;0,ABS(H669)/MAX('KT THAN'!$C$69,0.001)+'KT THAN'!$C$32*ABS(J669)/MAX('KT THAN'!$C$68,0.001)+'KT THAN'!$D$32*ABS(I669)/MAX('KT THAN'!$D$68,0.001),IF(OR(M669&lt;=0,N669&lt;=0),999,IF(H669&gt;=0.1*0.75*fc_*Agth*1000,H669/MAX(0.001,1/(1/M669+1/N669-1/(0.75*'KT THAN'!$C$62))),'KT THAN'!$C$32*ABS(J669)/MAX('KT THAN'!$C$68,0.001)+'KT THAN'!$D$32*ABS(I669)/MAX('KT THAN'!$D$68,0.001)))))</f>
        <v/>
      </c>
      <c r="P669" s="37" t="str">
        <f t="shared" si="105"/>
        <v/>
      </c>
      <c r="Q669" s="38" t="str">
        <f>IF($A669="","",MAX(0.001,'KT THAN'!$C$32*ABS(J669)/MAX(1,H669)))</f>
        <v/>
      </c>
      <c r="R669" s="38" t="str">
        <f>IF($A669="","",MAX(0.001,'KT THAN'!$D$32*ABS(I669)/MAX(1,H669)))</f>
        <v/>
      </c>
      <c r="S669" t="str">
        <f t="shared" si="99"/>
        <v/>
      </c>
    </row>
    <row r="670" spans="1:19" hidden="1" outlineLevel="1" x14ac:dyDescent="0.3">
      <c r="A670" s="37" t="str">
        <f>IF(OR(nThan=1,'TO HOP NLAN'!$A226=""),"",'TO HOP NLAN'!$A226)</f>
        <v/>
      </c>
      <c r="B670" s="38" t="str">
        <f>IF($A670="","",'TO HOP NLAN'!$D226)</f>
        <v/>
      </c>
      <c r="C670" s="38" t="str">
        <f>IF($A670="","",'TO HOP NLAN'!$E226)</f>
        <v/>
      </c>
      <c r="D670" s="38" t="str">
        <f>IF($A670="","",'TO HOP NLAN'!$F226)</f>
        <v/>
      </c>
      <c r="E670" s="38" t="str">
        <f>IF($A670="","",'TO HOP NLAN'!$B226)</f>
        <v/>
      </c>
      <c r="F670" s="38" t="str">
        <f>IF($A670="","",'TO HOP NLAN'!$C226)</f>
        <v/>
      </c>
      <c r="G670" s="38" t="str">
        <f t="shared" si="100"/>
        <v/>
      </c>
      <c r="H670" s="38" t="str">
        <f t="shared" si="98"/>
        <v/>
      </c>
      <c r="I670" s="38" t="str">
        <f t="shared" si="101"/>
        <v/>
      </c>
      <c r="J670" s="38" t="str">
        <f t="shared" si="102"/>
        <v/>
      </c>
      <c r="K670" s="38" t="str">
        <f t="shared" si="103"/>
        <v/>
      </c>
      <c r="L670" s="38" t="str">
        <f t="shared" si="104"/>
        <v/>
      </c>
      <c r="M670" s="38" t="str">
        <f>IF($A670="","",IF(H670=0,"",IF(Q670&lt;=0.000000001,MIN(0.8*0.75*'KT THAN'!$C$62,MAX('KT THAN'!$J$38:$J$58)),IFERROR(MIN(0.8*0.75*'KT THAN'!$C$62,INDEX('KT THAN'!$J$38:$J$58,MATCH(Q670,'KT THAN'!$L$38:$L$58,-1))+(INDEX('KT THAN'!$J$38:$J$58,MIN(21,MATCH(Q670,'KT THAN'!$L$38:$L$58,-1)+1))-INDEX('KT THAN'!$J$38:$J$58,MATCH(Q670,'KT THAN'!$L$38:$L$58,-1)))*(Q670-INDEX('KT THAN'!$L$38:$L$58,MATCH(Q670,'KT THAN'!$L$38:$L$58,-1)))/(INDEX('KT THAN'!$L$38:$L$58,MIN(21,MATCH(Q670,'KT THAN'!$L$38:$L$58,-1)+1))-INDEX('KT THAN'!$L$38:$L$58,MATCH(Q670,'KT THAN'!$L$38:$L$58,-1)))),MIN(0.8*0.75*'KT THAN'!$C$62,'KT THAN'!$C$68/Q670)))))</f>
        <v/>
      </c>
      <c r="N670" s="38" t="str">
        <f>IF($A670="","",IF(H670=0,"",IF(R670&lt;=0.000000001,MIN(0.8*0.75*'KT THAN'!$C$62,MAX('KT THAN'!$W$38:$W$58)),IFERROR(MIN(0.8*0.75*'KT THAN'!$C$62,INDEX('KT THAN'!$W$38:$W$58,MATCH(R670,'KT THAN'!$Y$38:$Y$58,-1))+(INDEX('KT THAN'!$W$38:$W$58,MIN(21,MATCH(R670,'KT THAN'!$Y$38:$Y$58,-1)+1))-INDEX('KT THAN'!$W$38:$W$58,MATCH(R670,'KT THAN'!$Y$38:$Y$58,-1)))*(R670-INDEX('KT THAN'!$Y$38:$Y$58,MATCH(R670,'KT THAN'!$Y$38:$Y$58,-1)))/(INDEX('KT THAN'!$Y$38:$Y$58,MIN(21,MATCH(R670,'KT THAN'!$Y$38:$Y$58,-1)+1))-INDEX('KT THAN'!$Y$38:$Y$58,MATCH(R670,'KT THAN'!$Y$38:$Y$58,-1)))),MIN(0.8*0.75*'KT THAN'!$C$62,'KT THAN'!$D$68/R670)))))</f>
        <v/>
      </c>
      <c r="O670" s="38" t="str">
        <f>IF($A670="","",IF(H670&lt;0,ABS(H670)/MAX('KT THAN'!$C$69,0.001)+'KT THAN'!$C$32*ABS(J670)/MAX('KT THAN'!$C$68,0.001)+'KT THAN'!$D$32*ABS(I670)/MAX('KT THAN'!$D$68,0.001),IF(OR(M670&lt;=0,N670&lt;=0),999,IF(H670&gt;=0.1*0.75*fc_*Agth*1000,H670/MAX(0.001,1/(1/M670+1/N670-1/(0.75*'KT THAN'!$C$62))),'KT THAN'!$C$32*ABS(J670)/MAX('KT THAN'!$C$68,0.001)+'KT THAN'!$D$32*ABS(I670)/MAX('KT THAN'!$D$68,0.001)))))</f>
        <v/>
      </c>
      <c r="P670" s="37" t="str">
        <f t="shared" si="105"/>
        <v/>
      </c>
      <c r="Q670" s="38" t="str">
        <f>IF($A670="","",MAX(0.001,'KT THAN'!$C$32*ABS(J670)/MAX(1,H670)))</f>
        <v/>
      </c>
      <c r="R670" s="38" t="str">
        <f>IF($A670="","",MAX(0.001,'KT THAN'!$D$32*ABS(I670)/MAX(1,H670)))</f>
        <v/>
      </c>
      <c r="S670" t="str">
        <f t="shared" si="99"/>
        <v/>
      </c>
    </row>
    <row r="671" spans="1:19" hidden="1" outlineLevel="1" x14ac:dyDescent="0.3">
      <c r="A671" s="37" t="str">
        <f>IF(OR(nThan=1,'TO HOP NLAN'!$A227=""),"",'TO HOP NLAN'!$A227)</f>
        <v/>
      </c>
      <c r="B671" s="38" t="str">
        <f>IF($A671="","",'TO HOP NLAN'!$D227)</f>
        <v/>
      </c>
      <c r="C671" s="38" t="str">
        <f>IF($A671="","",'TO HOP NLAN'!$E227)</f>
        <v/>
      </c>
      <c r="D671" s="38" t="str">
        <f>IF($A671="","",'TO HOP NLAN'!$F227)</f>
        <v/>
      </c>
      <c r="E671" s="38" t="str">
        <f>IF($A671="","",'TO HOP NLAN'!$B227)</f>
        <v/>
      </c>
      <c r="F671" s="38" t="str">
        <f>IF($A671="","",'TO HOP NLAN'!$C227)</f>
        <v/>
      </c>
      <c r="G671" s="38" t="str">
        <f t="shared" si="100"/>
        <v/>
      </c>
      <c r="H671" s="38" t="str">
        <f t="shared" si="98"/>
        <v/>
      </c>
      <c r="I671" s="38" t="str">
        <f t="shared" si="101"/>
        <v/>
      </c>
      <c r="J671" s="38" t="str">
        <f t="shared" si="102"/>
        <v/>
      </c>
      <c r="K671" s="38" t="str">
        <f t="shared" si="103"/>
        <v/>
      </c>
      <c r="L671" s="38" t="str">
        <f t="shared" si="104"/>
        <v/>
      </c>
      <c r="M671" s="38" t="str">
        <f>IF($A671="","",IF(H671=0,"",IF(Q671&lt;=0.000000001,MIN(0.8*0.75*'KT THAN'!$C$62,MAX('KT THAN'!$J$38:$J$58)),IFERROR(MIN(0.8*0.75*'KT THAN'!$C$62,INDEX('KT THAN'!$J$38:$J$58,MATCH(Q671,'KT THAN'!$L$38:$L$58,-1))+(INDEX('KT THAN'!$J$38:$J$58,MIN(21,MATCH(Q671,'KT THAN'!$L$38:$L$58,-1)+1))-INDEX('KT THAN'!$J$38:$J$58,MATCH(Q671,'KT THAN'!$L$38:$L$58,-1)))*(Q671-INDEX('KT THAN'!$L$38:$L$58,MATCH(Q671,'KT THAN'!$L$38:$L$58,-1)))/(INDEX('KT THAN'!$L$38:$L$58,MIN(21,MATCH(Q671,'KT THAN'!$L$38:$L$58,-1)+1))-INDEX('KT THAN'!$L$38:$L$58,MATCH(Q671,'KT THAN'!$L$38:$L$58,-1)))),MIN(0.8*0.75*'KT THAN'!$C$62,'KT THAN'!$C$68/Q671)))))</f>
        <v/>
      </c>
      <c r="N671" s="38" t="str">
        <f>IF($A671="","",IF(H671=0,"",IF(R671&lt;=0.000000001,MIN(0.8*0.75*'KT THAN'!$C$62,MAX('KT THAN'!$W$38:$W$58)),IFERROR(MIN(0.8*0.75*'KT THAN'!$C$62,INDEX('KT THAN'!$W$38:$W$58,MATCH(R671,'KT THAN'!$Y$38:$Y$58,-1))+(INDEX('KT THAN'!$W$38:$W$58,MIN(21,MATCH(R671,'KT THAN'!$Y$38:$Y$58,-1)+1))-INDEX('KT THAN'!$W$38:$W$58,MATCH(R671,'KT THAN'!$Y$38:$Y$58,-1)))*(R671-INDEX('KT THAN'!$Y$38:$Y$58,MATCH(R671,'KT THAN'!$Y$38:$Y$58,-1)))/(INDEX('KT THAN'!$Y$38:$Y$58,MIN(21,MATCH(R671,'KT THAN'!$Y$38:$Y$58,-1)+1))-INDEX('KT THAN'!$Y$38:$Y$58,MATCH(R671,'KT THAN'!$Y$38:$Y$58,-1)))),MIN(0.8*0.75*'KT THAN'!$C$62,'KT THAN'!$D$68/R671)))))</f>
        <v/>
      </c>
      <c r="O671" s="38" t="str">
        <f>IF($A671="","",IF(H671&lt;0,ABS(H671)/MAX('KT THAN'!$C$69,0.001)+'KT THAN'!$C$32*ABS(J671)/MAX('KT THAN'!$C$68,0.001)+'KT THAN'!$D$32*ABS(I671)/MAX('KT THAN'!$D$68,0.001),IF(OR(M671&lt;=0,N671&lt;=0),999,IF(H671&gt;=0.1*0.75*fc_*Agth*1000,H671/MAX(0.001,1/(1/M671+1/N671-1/(0.75*'KT THAN'!$C$62))),'KT THAN'!$C$32*ABS(J671)/MAX('KT THAN'!$C$68,0.001)+'KT THAN'!$D$32*ABS(I671)/MAX('KT THAN'!$D$68,0.001)))))</f>
        <v/>
      </c>
      <c r="P671" s="37" t="str">
        <f t="shared" si="105"/>
        <v/>
      </c>
      <c r="Q671" s="38" t="str">
        <f>IF($A671="","",MAX(0.001,'KT THAN'!$C$32*ABS(J671)/MAX(1,H671)))</f>
        <v/>
      </c>
      <c r="R671" s="38" t="str">
        <f>IF($A671="","",MAX(0.001,'KT THAN'!$D$32*ABS(I671)/MAX(1,H671)))</f>
        <v/>
      </c>
      <c r="S671" t="str">
        <f t="shared" si="99"/>
        <v/>
      </c>
    </row>
    <row r="672" spans="1:19" hidden="1" outlineLevel="1" x14ac:dyDescent="0.3">
      <c r="A672" s="37" t="str">
        <f>IF(OR(nThan=1,'TO HOP NLAN'!$A228=""),"",'TO HOP NLAN'!$A228)</f>
        <v/>
      </c>
      <c r="B672" s="38" t="str">
        <f>IF($A672="","",'TO HOP NLAN'!$D228)</f>
        <v/>
      </c>
      <c r="C672" s="38" t="str">
        <f>IF($A672="","",'TO HOP NLAN'!$E228)</f>
        <v/>
      </c>
      <c r="D672" s="38" t="str">
        <f>IF($A672="","",'TO HOP NLAN'!$F228)</f>
        <v/>
      </c>
      <c r="E672" s="38" t="str">
        <f>IF($A672="","",'TO HOP NLAN'!$B228)</f>
        <v/>
      </c>
      <c r="F672" s="38" t="str">
        <f>IF($A672="","",'TO HOP NLAN'!$C228)</f>
        <v/>
      </c>
      <c r="G672" s="38" t="str">
        <f t="shared" si="100"/>
        <v/>
      </c>
      <c r="H672" s="38" t="str">
        <f t="shared" si="98"/>
        <v/>
      </c>
      <c r="I672" s="38" t="str">
        <f t="shared" si="101"/>
        <v/>
      </c>
      <c r="J672" s="38" t="str">
        <f t="shared" si="102"/>
        <v/>
      </c>
      <c r="K672" s="38" t="str">
        <f t="shared" si="103"/>
        <v/>
      </c>
      <c r="L672" s="38" t="str">
        <f t="shared" si="104"/>
        <v/>
      </c>
      <c r="M672" s="38" t="str">
        <f>IF($A672="","",IF(H672=0,"",IF(Q672&lt;=0.000000001,MIN(0.8*0.75*'KT THAN'!$C$62,MAX('KT THAN'!$J$38:$J$58)),IFERROR(MIN(0.8*0.75*'KT THAN'!$C$62,INDEX('KT THAN'!$J$38:$J$58,MATCH(Q672,'KT THAN'!$L$38:$L$58,-1))+(INDEX('KT THAN'!$J$38:$J$58,MIN(21,MATCH(Q672,'KT THAN'!$L$38:$L$58,-1)+1))-INDEX('KT THAN'!$J$38:$J$58,MATCH(Q672,'KT THAN'!$L$38:$L$58,-1)))*(Q672-INDEX('KT THAN'!$L$38:$L$58,MATCH(Q672,'KT THAN'!$L$38:$L$58,-1)))/(INDEX('KT THAN'!$L$38:$L$58,MIN(21,MATCH(Q672,'KT THAN'!$L$38:$L$58,-1)+1))-INDEX('KT THAN'!$L$38:$L$58,MATCH(Q672,'KT THAN'!$L$38:$L$58,-1)))),MIN(0.8*0.75*'KT THAN'!$C$62,'KT THAN'!$C$68/Q672)))))</f>
        <v/>
      </c>
      <c r="N672" s="38" t="str">
        <f>IF($A672="","",IF(H672=0,"",IF(R672&lt;=0.000000001,MIN(0.8*0.75*'KT THAN'!$C$62,MAX('KT THAN'!$W$38:$W$58)),IFERROR(MIN(0.8*0.75*'KT THAN'!$C$62,INDEX('KT THAN'!$W$38:$W$58,MATCH(R672,'KT THAN'!$Y$38:$Y$58,-1))+(INDEX('KT THAN'!$W$38:$W$58,MIN(21,MATCH(R672,'KT THAN'!$Y$38:$Y$58,-1)+1))-INDEX('KT THAN'!$W$38:$W$58,MATCH(R672,'KT THAN'!$Y$38:$Y$58,-1)))*(R672-INDEX('KT THAN'!$Y$38:$Y$58,MATCH(R672,'KT THAN'!$Y$38:$Y$58,-1)))/(INDEX('KT THAN'!$Y$38:$Y$58,MIN(21,MATCH(R672,'KT THAN'!$Y$38:$Y$58,-1)+1))-INDEX('KT THAN'!$Y$38:$Y$58,MATCH(R672,'KT THAN'!$Y$38:$Y$58,-1)))),MIN(0.8*0.75*'KT THAN'!$C$62,'KT THAN'!$D$68/R672)))))</f>
        <v/>
      </c>
      <c r="O672" s="38" t="str">
        <f>IF($A672="","",IF(H672&lt;0,ABS(H672)/MAX('KT THAN'!$C$69,0.001)+'KT THAN'!$C$32*ABS(J672)/MAX('KT THAN'!$C$68,0.001)+'KT THAN'!$D$32*ABS(I672)/MAX('KT THAN'!$D$68,0.001),IF(OR(M672&lt;=0,N672&lt;=0),999,IF(H672&gt;=0.1*0.75*fc_*Agth*1000,H672/MAX(0.001,1/(1/M672+1/N672-1/(0.75*'KT THAN'!$C$62))),'KT THAN'!$C$32*ABS(J672)/MAX('KT THAN'!$C$68,0.001)+'KT THAN'!$D$32*ABS(I672)/MAX('KT THAN'!$D$68,0.001)))))</f>
        <v/>
      </c>
      <c r="P672" s="37" t="str">
        <f t="shared" si="105"/>
        <v/>
      </c>
      <c r="Q672" s="38" t="str">
        <f>IF($A672="","",MAX(0.001,'KT THAN'!$C$32*ABS(J672)/MAX(1,H672)))</f>
        <v/>
      </c>
      <c r="R672" s="38" t="str">
        <f>IF($A672="","",MAX(0.001,'KT THAN'!$D$32*ABS(I672)/MAX(1,H672)))</f>
        <v/>
      </c>
      <c r="S672" t="str">
        <f t="shared" si="99"/>
        <v/>
      </c>
    </row>
    <row r="673" spans="1:19" hidden="1" outlineLevel="1" x14ac:dyDescent="0.3">
      <c r="A673" s="37" t="str">
        <f>IF(OR(nThan=1,'TO HOP NLAN'!$A229=""),"",'TO HOP NLAN'!$A229)</f>
        <v/>
      </c>
      <c r="B673" s="38" t="str">
        <f>IF($A673="","",'TO HOP NLAN'!$D229)</f>
        <v/>
      </c>
      <c r="C673" s="38" t="str">
        <f>IF($A673="","",'TO HOP NLAN'!$E229)</f>
        <v/>
      </c>
      <c r="D673" s="38" t="str">
        <f>IF($A673="","",'TO HOP NLAN'!$F229)</f>
        <v/>
      </c>
      <c r="E673" s="38" t="str">
        <f>IF($A673="","",'TO HOP NLAN'!$B229)</f>
        <v/>
      </c>
      <c r="F673" s="38" t="str">
        <f>IF($A673="","",'TO HOP NLAN'!$C229)</f>
        <v/>
      </c>
      <c r="G673" s="38" t="str">
        <f t="shared" si="100"/>
        <v/>
      </c>
      <c r="H673" s="38" t="str">
        <f t="shared" si="98"/>
        <v/>
      </c>
      <c r="I673" s="38" t="str">
        <f t="shared" si="101"/>
        <v/>
      </c>
      <c r="J673" s="38" t="str">
        <f t="shared" si="102"/>
        <v/>
      </c>
      <c r="K673" s="38" t="str">
        <f t="shared" si="103"/>
        <v/>
      </c>
      <c r="L673" s="38" t="str">
        <f t="shared" si="104"/>
        <v/>
      </c>
      <c r="M673" s="38" t="str">
        <f>IF($A673="","",IF(H673=0,"",IF(Q673&lt;=0.000000001,MIN(0.8*0.75*'KT THAN'!$C$62,MAX('KT THAN'!$J$38:$J$58)),IFERROR(MIN(0.8*0.75*'KT THAN'!$C$62,INDEX('KT THAN'!$J$38:$J$58,MATCH(Q673,'KT THAN'!$L$38:$L$58,-1))+(INDEX('KT THAN'!$J$38:$J$58,MIN(21,MATCH(Q673,'KT THAN'!$L$38:$L$58,-1)+1))-INDEX('KT THAN'!$J$38:$J$58,MATCH(Q673,'KT THAN'!$L$38:$L$58,-1)))*(Q673-INDEX('KT THAN'!$L$38:$L$58,MATCH(Q673,'KT THAN'!$L$38:$L$58,-1)))/(INDEX('KT THAN'!$L$38:$L$58,MIN(21,MATCH(Q673,'KT THAN'!$L$38:$L$58,-1)+1))-INDEX('KT THAN'!$L$38:$L$58,MATCH(Q673,'KT THAN'!$L$38:$L$58,-1)))),MIN(0.8*0.75*'KT THAN'!$C$62,'KT THAN'!$C$68/Q673)))))</f>
        <v/>
      </c>
      <c r="N673" s="38" t="str">
        <f>IF($A673="","",IF(H673=0,"",IF(R673&lt;=0.000000001,MIN(0.8*0.75*'KT THAN'!$C$62,MAX('KT THAN'!$W$38:$W$58)),IFERROR(MIN(0.8*0.75*'KT THAN'!$C$62,INDEX('KT THAN'!$W$38:$W$58,MATCH(R673,'KT THAN'!$Y$38:$Y$58,-1))+(INDEX('KT THAN'!$W$38:$W$58,MIN(21,MATCH(R673,'KT THAN'!$Y$38:$Y$58,-1)+1))-INDEX('KT THAN'!$W$38:$W$58,MATCH(R673,'KT THAN'!$Y$38:$Y$58,-1)))*(R673-INDEX('KT THAN'!$Y$38:$Y$58,MATCH(R673,'KT THAN'!$Y$38:$Y$58,-1)))/(INDEX('KT THAN'!$Y$38:$Y$58,MIN(21,MATCH(R673,'KT THAN'!$Y$38:$Y$58,-1)+1))-INDEX('KT THAN'!$Y$38:$Y$58,MATCH(R673,'KT THAN'!$Y$38:$Y$58,-1)))),MIN(0.8*0.75*'KT THAN'!$C$62,'KT THAN'!$D$68/R673)))))</f>
        <v/>
      </c>
      <c r="O673" s="38" t="str">
        <f>IF($A673="","",IF(H673&lt;0,ABS(H673)/MAX('KT THAN'!$C$69,0.001)+'KT THAN'!$C$32*ABS(J673)/MAX('KT THAN'!$C$68,0.001)+'KT THAN'!$D$32*ABS(I673)/MAX('KT THAN'!$D$68,0.001),IF(OR(M673&lt;=0,N673&lt;=0),999,IF(H673&gt;=0.1*0.75*fc_*Agth*1000,H673/MAX(0.001,1/(1/M673+1/N673-1/(0.75*'KT THAN'!$C$62))),'KT THAN'!$C$32*ABS(J673)/MAX('KT THAN'!$C$68,0.001)+'KT THAN'!$D$32*ABS(I673)/MAX('KT THAN'!$D$68,0.001)))))</f>
        <v/>
      </c>
      <c r="P673" s="37" t="str">
        <f t="shared" si="105"/>
        <v/>
      </c>
      <c r="Q673" s="38" t="str">
        <f>IF($A673="","",MAX(0.001,'KT THAN'!$C$32*ABS(J673)/MAX(1,H673)))</f>
        <v/>
      </c>
      <c r="R673" s="38" t="str">
        <f>IF($A673="","",MAX(0.001,'KT THAN'!$D$32*ABS(I673)/MAX(1,H673)))</f>
        <v/>
      </c>
      <c r="S673" t="str">
        <f t="shared" si="99"/>
        <v/>
      </c>
    </row>
    <row r="674" spans="1:19" hidden="1" outlineLevel="1" x14ac:dyDescent="0.3">
      <c r="A674" s="37" t="str">
        <f>IF(OR(nThan=1,'TO HOP NLAN'!$A230=""),"",'TO HOP NLAN'!$A230)</f>
        <v/>
      </c>
      <c r="B674" s="38" t="str">
        <f>IF($A674="","",'TO HOP NLAN'!$D230)</f>
        <v/>
      </c>
      <c r="C674" s="38" t="str">
        <f>IF($A674="","",'TO HOP NLAN'!$E230)</f>
        <v/>
      </c>
      <c r="D674" s="38" t="str">
        <f>IF($A674="","",'TO HOP NLAN'!$F230)</f>
        <v/>
      </c>
      <c r="E674" s="38" t="str">
        <f>IF($A674="","",'TO HOP NLAN'!$B230)</f>
        <v/>
      </c>
      <c r="F674" s="38" t="str">
        <f>IF($A674="","",'TO HOP NLAN'!$C230)</f>
        <v/>
      </c>
      <c r="G674" s="38" t="str">
        <f t="shared" si="100"/>
        <v/>
      </c>
      <c r="H674" s="38" t="str">
        <f t="shared" si="98"/>
        <v/>
      </c>
      <c r="I674" s="38" t="str">
        <f t="shared" si="101"/>
        <v/>
      </c>
      <c r="J674" s="38" t="str">
        <f t="shared" si="102"/>
        <v/>
      </c>
      <c r="K674" s="38" t="str">
        <f t="shared" si="103"/>
        <v/>
      </c>
      <c r="L674" s="38" t="str">
        <f t="shared" si="104"/>
        <v/>
      </c>
      <c r="M674" s="38" t="str">
        <f>IF($A674="","",IF(H674=0,"",IF(Q674&lt;=0.000000001,MIN(0.8*0.75*'KT THAN'!$C$62,MAX('KT THAN'!$J$38:$J$58)),IFERROR(MIN(0.8*0.75*'KT THAN'!$C$62,INDEX('KT THAN'!$J$38:$J$58,MATCH(Q674,'KT THAN'!$L$38:$L$58,-1))+(INDEX('KT THAN'!$J$38:$J$58,MIN(21,MATCH(Q674,'KT THAN'!$L$38:$L$58,-1)+1))-INDEX('KT THAN'!$J$38:$J$58,MATCH(Q674,'KT THAN'!$L$38:$L$58,-1)))*(Q674-INDEX('KT THAN'!$L$38:$L$58,MATCH(Q674,'KT THAN'!$L$38:$L$58,-1)))/(INDEX('KT THAN'!$L$38:$L$58,MIN(21,MATCH(Q674,'KT THAN'!$L$38:$L$58,-1)+1))-INDEX('KT THAN'!$L$38:$L$58,MATCH(Q674,'KT THAN'!$L$38:$L$58,-1)))),MIN(0.8*0.75*'KT THAN'!$C$62,'KT THAN'!$C$68/Q674)))))</f>
        <v/>
      </c>
      <c r="N674" s="38" t="str">
        <f>IF($A674="","",IF(H674=0,"",IF(R674&lt;=0.000000001,MIN(0.8*0.75*'KT THAN'!$C$62,MAX('KT THAN'!$W$38:$W$58)),IFERROR(MIN(0.8*0.75*'KT THAN'!$C$62,INDEX('KT THAN'!$W$38:$W$58,MATCH(R674,'KT THAN'!$Y$38:$Y$58,-1))+(INDEX('KT THAN'!$W$38:$W$58,MIN(21,MATCH(R674,'KT THAN'!$Y$38:$Y$58,-1)+1))-INDEX('KT THAN'!$W$38:$W$58,MATCH(R674,'KT THAN'!$Y$38:$Y$58,-1)))*(R674-INDEX('KT THAN'!$Y$38:$Y$58,MATCH(R674,'KT THAN'!$Y$38:$Y$58,-1)))/(INDEX('KT THAN'!$Y$38:$Y$58,MIN(21,MATCH(R674,'KT THAN'!$Y$38:$Y$58,-1)+1))-INDEX('KT THAN'!$Y$38:$Y$58,MATCH(R674,'KT THAN'!$Y$38:$Y$58,-1)))),MIN(0.8*0.75*'KT THAN'!$C$62,'KT THAN'!$D$68/R674)))))</f>
        <v/>
      </c>
      <c r="O674" s="38" t="str">
        <f>IF($A674="","",IF(H674&lt;0,ABS(H674)/MAX('KT THAN'!$C$69,0.001)+'KT THAN'!$C$32*ABS(J674)/MAX('KT THAN'!$C$68,0.001)+'KT THAN'!$D$32*ABS(I674)/MAX('KT THAN'!$D$68,0.001),IF(OR(M674&lt;=0,N674&lt;=0),999,IF(H674&gt;=0.1*0.75*fc_*Agth*1000,H674/MAX(0.001,1/(1/M674+1/N674-1/(0.75*'KT THAN'!$C$62))),'KT THAN'!$C$32*ABS(J674)/MAX('KT THAN'!$C$68,0.001)+'KT THAN'!$D$32*ABS(I674)/MAX('KT THAN'!$D$68,0.001)))))</f>
        <v/>
      </c>
      <c r="P674" s="37" t="str">
        <f t="shared" si="105"/>
        <v/>
      </c>
      <c r="Q674" s="38" t="str">
        <f>IF($A674="","",MAX(0.001,'KT THAN'!$C$32*ABS(J674)/MAX(1,H674)))</f>
        <v/>
      </c>
      <c r="R674" s="38" t="str">
        <f>IF($A674="","",MAX(0.001,'KT THAN'!$D$32*ABS(I674)/MAX(1,H674)))</f>
        <v/>
      </c>
      <c r="S674" t="str">
        <f t="shared" si="99"/>
        <v/>
      </c>
    </row>
    <row r="675" spans="1:19" hidden="1" outlineLevel="1" x14ac:dyDescent="0.3">
      <c r="A675" s="37" t="str">
        <f>IF(OR(nThan=1,'TO HOP NLAN'!$A231=""),"",'TO HOP NLAN'!$A231)</f>
        <v/>
      </c>
      <c r="B675" s="38" t="str">
        <f>IF($A675="","",'TO HOP NLAN'!$D231)</f>
        <v/>
      </c>
      <c r="C675" s="38" t="str">
        <f>IF($A675="","",'TO HOP NLAN'!$E231)</f>
        <v/>
      </c>
      <c r="D675" s="38" t="str">
        <f>IF($A675="","",'TO HOP NLAN'!$F231)</f>
        <v/>
      </c>
      <c r="E675" s="38" t="str">
        <f>IF($A675="","",'TO HOP NLAN'!$B231)</f>
        <v/>
      </c>
      <c r="F675" s="38" t="str">
        <f>IF($A675="","",'TO HOP NLAN'!$C231)</f>
        <v/>
      </c>
      <c r="G675" s="38" t="str">
        <f t="shared" si="100"/>
        <v/>
      </c>
      <c r="H675" s="38" t="str">
        <f t="shared" si="98"/>
        <v/>
      </c>
      <c r="I675" s="38" t="str">
        <f t="shared" si="101"/>
        <v/>
      </c>
      <c r="J675" s="38" t="str">
        <f t="shared" si="102"/>
        <v/>
      </c>
      <c r="K675" s="38" t="str">
        <f t="shared" si="103"/>
        <v/>
      </c>
      <c r="L675" s="38" t="str">
        <f t="shared" si="104"/>
        <v/>
      </c>
      <c r="M675" s="38" t="str">
        <f>IF($A675="","",IF(H675=0,"",IF(Q675&lt;=0.000000001,MIN(0.8*0.75*'KT THAN'!$C$62,MAX('KT THAN'!$J$38:$J$58)),IFERROR(MIN(0.8*0.75*'KT THAN'!$C$62,INDEX('KT THAN'!$J$38:$J$58,MATCH(Q675,'KT THAN'!$L$38:$L$58,-1))+(INDEX('KT THAN'!$J$38:$J$58,MIN(21,MATCH(Q675,'KT THAN'!$L$38:$L$58,-1)+1))-INDEX('KT THAN'!$J$38:$J$58,MATCH(Q675,'KT THAN'!$L$38:$L$58,-1)))*(Q675-INDEX('KT THAN'!$L$38:$L$58,MATCH(Q675,'KT THAN'!$L$38:$L$58,-1)))/(INDEX('KT THAN'!$L$38:$L$58,MIN(21,MATCH(Q675,'KT THAN'!$L$38:$L$58,-1)+1))-INDEX('KT THAN'!$L$38:$L$58,MATCH(Q675,'KT THAN'!$L$38:$L$58,-1)))),MIN(0.8*0.75*'KT THAN'!$C$62,'KT THAN'!$C$68/Q675)))))</f>
        <v/>
      </c>
      <c r="N675" s="38" t="str">
        <f>IF($A675="","",IF(H675=0,"",IF(R675&lt;=0.000000001,MIN(0.8*0.75*'KT THAN'!$C$62,MAX('KT THAN'!$W$38:$W$58)),IFERROR(MIN(0.8*0.75*'KT THAN'!$C$62,INDEX('KT THAN'!$W$38:$W$58,MATCH(R675,'KT THAN'!$Y$38:$Y$58,-1))+(INDEX('KT THAN'!$W$38:$W$58,MIN(21,MATCH(R675,'KT THAN'!$Y$38:$Y$58,-1)+1))-INDEX('KT THAN'!$W$38:$W$58,MATCH(R675,'KT THAN'!$Y$38:$Y$58,-1)))*(R675-INDEX('KT THAN'!$Y$38:$Y$58,MATCH(R675,'KT THAN'!$Y$38:$Y$58,-1)))/(INDEX('KT THAN'!$Y$38:$Y$58,MIN(21,MATCH(R675,'KT THAN'!$Y$38:$Y$58,-1)+1))-INDEX('KT THAN'!$Y$38:$Y$58,MATCH(R675,'KT THAN'!$Y$38:$Y$58,-1)))),MIN(0.8*0.75*'KT THAN'!$C$62,'KT THAN'!$D$68/R675)))))</f>
        <v/>
      </c>
      <c r="O675" s="38" t="str">
        <f>IF($A675="","",IF(H675&lt;0,ABS(H675)/MAX('KT THAN'!$C$69,0.001)+'KT THAN'!$C$32*ABS(J675)/MAX('KT THAN'!$C$68,0.001)+'KT THAN'!$D$32*ABS(I675)/MAX('KT THAN'!$D$68,0.001),IF(OR(M675&lt;=0,N675&lt;=0),999,IF(H675&gt;=0.1*0.75*fc_*Agth*1000,H675/MAX(0.001,1/(1/M675+1/N675-1/(0.75*'KT THAN'!$C$62))),'KT THAN'!$C$32*ABS(J675)/MAX('KT THAN'!$C$68,0.001)+'KT THAN'!$D$32*ABS(I675)/MAX('KT THAN'!$D$68,0.001)))))</f>
        <v/>
      </c>
      <c r="P675" s="37" t="str">
        <f t="shared" si="105"/>
        <v/>
      </c>
      <c r="Q675" s="38" t="str">
        <f>IF($A675="","",MAX(0.001,'KT THAN'!$C$32*ABS(J675)/MAX(1,H675)))</f>
        <v/>
      </c>
      <c r="R675" s="38" t="str">
        <f>IF($A675="","",MAX(0.001,'KT THAN'!$D$32*ABS(I675)/MAX(1,H675)))</f>
        <v/>
      </c>
      <c r="S675" t="str">
        <f t="shared" si="99"/>
        <v/>
      </c>
    </row>
    <row r="676" spans="1:19" hidden="1" outlineLevel="1" x14ac:dyDescent="0.3">
      <c r="A676" s="37" t="str">
        <f>IF(OR(nThan=1,'TO HOP NLAN'!$A232=""),"",'TO HOP NLAN'!$A232)</f>
        <v/>
      </c>
      <c r="B676" s="38" t="str">
        <f>IF($A676="","",'TO HOP NLAN'!$D232)</f>
        <v/>
      </c>
      <c r="C676" s="38" t="str">
        <f>IF($A676="","",'TO HOP NLAN'!$E232)</f>
        <v/>
      </c>
      <c r="D676" s="38" t="str">
        <f>IF($A676="","",'TO HOP NLAN'!$F232)</f>
        <v/>
      </c>
      <c r="E676" s="38" t="str">
        <f>IF($A676="","",'TO HOP NLAN'!$B232)</f>
        <v/>
      </c>
      <c r="F676" s="38" t="str">
        <f>IF($A676="","",'TO HOP NLAN'!$C232)</f>
        <v/>
      </c>
      <c r="G676" s="38" t="str">
        <f t="shared" si="100"/>
        <v/>
      </c>
      <c r="H676" s="38" t="str">
        <f t="shared" si="98"/>
        <v/>
      </c>
      <c r="I676" s="38" t="str">
        <f t="shared" si="101"/>
        <v/>
      </c>
      <c r="J676" s="38" t="str">
        <f t="shared" si="102"/>
        <v/>
      </c>
      <c r="K676" s="38" t="str">
        <f t="shared" si="103"/>
        <v/>
      </c>
      <c r="L676" s="38" t="str">
        <f t="shared" si="104"/>
        <v/>
      </c>
      <c r="M676" s="38" t="str">
        <f>IF($A676="","",IF(H676=0,"",IF(Q676&lt;=0.000000001,MIN(0.8*0.75*'KT THAN'!$C$62,MAX('KT THAN'!$J$38:$J$58)),IFERROR(MIN(0.8*0.75*'KT THAN'!$C$62,INDEX('KT THAN'!$J$38:$J$58,MATCH(Q676,'KT THAN'!$L$38:$L$58,-1))+(INDEX('KT THAN'!$J$38:$J$58,MIN(21,MATCH(Q676,'KT THAN'!$L$38:$L$58,-1)+1))-INDEX('KT THAN'!$J$38:$J$58,MATCH(Q676,'KT THAN'!$L$38:$L$58,-1)))*(Q676-INDEX('KT THAN'!$L$38:$L$58,MATCH(Q676,'KT THAN'!$L$38:$L$58,-1)))/(INDEX('KT THAN'!$L$38:$L$58,MIN(21,MATCH(Q676,'KT THAN'!$L$38:$L$58,-1)+1))-INDEX('KT THAN'!$L$38:$L$58,MATCH(Q676,'KT THAN'!$L$38:$L$58,-1)))),MIN(0.8*0.75*'KT THAN'!$C$62,'KT THAN'!$C$68/Q676)))))</f>
        <v/>
      </c>
      <c r="N676" s="38" t="str">
        <f>IF($A676="","",IF(H676=0,"",IF(R676&lt;=0.000000001,MIN(0.8*0.75*'KT THAN'!$C$62,MAX('KT THAN'!$W$38:$W$58)),IFERROR(MIN(0.8*0.75*'KT THAN'!$C$62,INDEX('KT THAN'!$W$38:$W$58,MATCH(R676,'KT THAN'!$Y$38:$Y$58,-1))+(INDEX('KT THAN'!$W$38:$W$58,MIN(21,MATCH(R676,'KT THAN'!$Y$38:$Y$58,-1)+1))-INDEX('KT THAN'!$W$38:$W$58,MATCH(R676,'KT THAN'!$Y$38:$Y$58,-1)))*(R676-INDEX('KT THAN'!$Y$38:$Y$58,MATCH(R676,'KT THAN'!$Y$38:$Y$58,-1)))/(INDEX('KT THAN'!$Y$38:$Y$58,MIN(21,MATCH(R676,'KT THAN'!$Y$38:$Y$58,-1)+1))-INDEX('KT THAN'!$Y$38:$Y$58,MATCH(R676,'KT THAN'!$Y$38:$Y$58,-1)))),MIN(0.8*0.75*'KT THAN'!$C$62,'KT THAN'!$D$68/R676)))))</f>
        <v/>
      </c>
      <c r="O676" s="38" t="str">
        <f>IF($A676="","",IF(H676&lt;0,ABS(H676)/MAX('KT THAN'!$C$69,0.001)+'KT THAN'!$C$32*ABS(J676)/MAX('KT THAN'!$C$68,0.001)+'KT THAN'!$D$32*ABS(I676)/MAX('KT THAN'!$D$68,0.001),IF(OR(M676&lt;=0,N676&lt;=0),999,IF(H676&gt;=0.1*0.75*fc_*Agth*1000,H676/MAX(0.001,1/(1/M676+1/N676-1/(0.75*'KT THAN'!$C$62))),'KT THAN'!$C$32*ABS(J676)/MAX('KT THAN'!$C$68,0.001)+'KT THAN'!$D$32*ABS(I676)/MAX('KT THAN'!$D$68,0.001)))))</f>
        <v/>
      </c>
      <c r="P676" s="37" t="str">
        <f t="shared" si="105"/>
        <v/>
      </c>
      <c r="Q676" s="38" t="str">
        <f>IF($A676="","",MAX(0.001,'KT THAN'!$C$32*ABS(J676)/MAX(1,H676)))</f>
        <v/>
      </c>
      <c r="R676" s="38" t="str">
        <f>IF($A676="","",MAX(0.001,'KT THAN'!$D$32*ABS(I676)/MAX(1,H676)))</f>
        <v/>
      </c>
      <c r="S676" t="str">
        <f t="shared" si="99"/>
        <v/>
      </c>
    </row>
    <row r="677" spans="1:19" hidden="1" outlineLevel="1" x14ac:dyDescent="0.3">
      <c r="A677" s="37" t="str">
        <f>IF(OR(nThan=1,'TO HOP NLAN'!$A233=""),"",'TO HOP NLAN'!$A233)</f>
        <v/>
      </c>
      <c r="B677" s="38" t="str">
        <f>IF($A677="","",'TO HOP NLAN'!$D233)</f>
        <v/>
      </c>
      <c r="C677" s="38" t="str">
        <f>IF($A677="","",'TO HOP NLAN'!$E233)</f>
        <v/>
      </c>
      <c r="D677" s="38" t="str">
        <f>IF($A677="","",'TO HOP NLAN'!$F233)</f>
        <v/>
      </c>
      <c r="E677" s="38" t="str">
        <f>IF($A677="","",'TO HOP NLAN'!$B233)</f>
        <v/>
      </c>
      <c r="F677" s="38" t="str">
        <f>IF($A677="","",'TO HOP NLAN'!$C233)</f>
        <v/>
      </c>
      <c r="G677" s="38" t="str">
        <f t="shared" si="100"/>
        <v/>
      </c>
      <c r="H677" s="38" t="str">
        <f t="shared" si="98"/>
        <v/>
      </c>
      <c r="I677" s="38" t="str">
        <f t="shared" si="101"/>
        <v/>
      </c>
      <c r="J677" s="38" t="str">
        <f t="shared" si="102"/>
        <v/>
      </c>
      <c r="K677" s="38" t="str">
        <f t="shared" si="103"/>
        <v/>
      </c>
      <c r="L677" s="38" t="str">
        <f t="shared" si="104"/>
        <v/>
      </c>
      <c r="M677" s="38" t="str">
        <f>IF($A677="","",IF(H677=0,"",IF(Q677&lt;=0.000000001,MIN(0.8*0.75*'KT THAN'!$C$62,MAX('KT THAN'!$J$38:$J$58)),IFERROR(MIN(0.8*0.75*'KT THAN'!$C$62,INDEX('KT THAN'!$J$38:$J$58,MATCH(Q677,'KT THAN'!$L$38:$L$58,-1))+(INDEX('KT THAN'!$J$38:$J$58,MIN(21,MATCH(Q677,'KT THAN'!$L$38:$L$58,-1)+1))-INDEX('KT THAN'!$J$38:$J$58,MATCH(Q677,'KT THAN'!$L$38:$L$58,-1)))*(Q677-INDEX('KT THAN'!$L$38:$L$58,MATCH(Q677,'KT THAN'!$L$38:$L$58,-1)))/(INDEX('KT THAN'!$L$38:$L$58,MIN(21,MATCH(Q677,'KT THAN'!$L$38:$L$58,-1)+1))-INDEX('KT THAN'!$L$38:$L$58,MATCH(Q677,'KT THAN'!$L$38:$L$58,-1)))),MIN(0.8*0.75*'KT THAN'!$C$62,'KT THAN'!$C$68/Q677)))))</f>
        <v/>
      </c>
      <c r="N677" s="38" t="str">
        <f>IF($A677="","",IF(H677=0,"",IF(R677&lt;=0.000000001,MIN(0.8*0.75*'KT THAN'!$C$62,MAX('KT THAN'!$W$38:$W$58)),IFERROR(MIN(0.8*0.75*'KT THAN'!$C$62,INDEX('KT THAN'!$W$38:$W$58,MATCH(R677,'KT THAN'!$Y$38:$Y$58,-1))+(INDEX('KT THAN'!$W$38:$W$58,MIN(21,MATCH(R677,'KT THAN'!$Y$38:$Y$58,-1)+1))-INDEX('KT THAN'!$W$38:$W$58,MATCH(R677,'KT THAN'!$Y$38:$Y$58,-1)))*(R677-INDEX('KT THAN'!$Y$38:$Y$58,MATCH(R677,'KT THAN'!$Y$38:$Y$58,-1)))/(INDEX('KT THAN'!$Y$38:$Y$58,MIN(21,MATCH(R677,'KT THAN'!$Y$38:$Y$58,-1)+1))-INDEX('KT THAN'!$Y$38:$Y$58,MATCH(R677,'KT THAN'!$Y$38:$Y$58,-1)))),MIN(0.8*0.75*'KT THAN'!$C$62,'KT THAN'!$D$68/R677)))))</f>
        <v/>
      </c>
      <c r="O677" s="38" t="str">
        <f>IF($A677="","",IF(H677&lt;0,ABS(H677)/MAX('KT THAN'!$C$69,0.001)+'KT THAN'!$C$32*ABS(J677)/MAX('KT THAN'!$C$68,0.001)+'KT THAN'!$D$32*ABS(I677)/MAX('KT THAN'!$D$68,0.001),IF(OR(M677&lt;=0,N677&lt;=0),999,IF(H677&gt;=0.1*0.75*fc_*Agth*1000,H677/MAX(0.001,1/(1/M677+1/N677-1/(0.75*'KT THAN'!$C$62))),'KT THAN'!$C$32*ABS(J677)/MAX('KT THAN'!$C$68,0.001)+'KT THAN'!$D$32*ABS(I677)/MAX('KT THAN'!$D$68,0.001)))))</f>
        <v/>
      </c>
      <c r="P677" s="37" t="str">
        <f t="shared" si="105"/>
        <v/>
      </c>
      <c r="Q677" s="38" t="str">
        <f>IF($A677="","",MAX(0.001,'KT THAN'!$C$32*ABS(J677)/MAX(1,H677)))</f>
        <v/>
      </c>
      <c r="R677" s="38" t="str">
        <f>IF($A677="","",MAX(0.001,'KT THAN'!$D$32*ABS(I677)/MAX(1,H677)))</f>
        <v/>
      </c>
      <c r="S677" t="str">
        <f t="shared" si="99"/>
        <v/>
      </c>
    </row>
    <row r="678" spans="1:19" hidden="1" outlineLevel="1" x14ac:dyDescent="0.3">
      <c r="A678" s="37" t="str">
        <f>IF(OR(nThan=1,'TO HOP NLAN'!$A234=""),"",'TO HOP NLAN'!$A234)</f>
        <v/>
      </c>
      <c r="B678" s="38" t="str">
        <f>IF($A678="","",'TO HOP NLAN'!$D234)</f>
        <v/>
      </c>
      <c r="C678" s="38" t="str">
        <f>IF($A678="","",'TO HOP NLAN'!$E234)</f>
        <v/>
      </c>
      <c r="D678" s="38" t="str">
        <f>IF($A678="","",'TO HOP NLAN'!$F234)</f>
        <v/>
      </c>
      <c r="E678" s="38" t="str">
        <f>IF($A678="","",'TO HOP NLAN'!$B234)</f>
        <v/>
      </c>
      <c r="F678" s="38" t="str">
        <f>IF($A678="","",'TO HOP NLAN'!$C234)</f>
        <v/>
      </c>
      <c r="G678" s="38" t="str">
        <f t="shared" si="100"/>
        <v/>
      </c>
      <c r="H678" s="38" t="str">
        <f t="shared" si="98"/>
        <v/>
      </c>
      <c r="I678" s="38" t="str">
        <f t="shared" si="101"/>
        <v/>
      </c>
      <c r="J678" s="38" t="str">
        <f t="shared" si="102"/>
        <v/>
      </c>
      <c r="K678" s="38" t="str">
        <f t="shared" si="103"/>
        <v/>
      </c>
      <c r="L678" s="38" t="str">
        <f t="shared" si="104"/>
        <v/>
      </c>
      <c r="M678" s="38" t="str">
        <f>IF($A678="","",IF(H678=0,"",IF(Q678&lt;=0.000000001,MIN(0.8*0.75*'KT THAN'!$C$62,MAX('KT THAN'!$J$38:$J$58)),IFERROR(MIN(0.8*0.75*'KT THAN'!$C$62,INDEX('KT THAN'!$J$38:$J$58,MATCH(Q678,'KT THAN'!$L$38:$L$58,-1))+(INDEX('KT THAN'!$J$38:$J$58,MIN(21,MATCH(Q678,'KT THAN'!$L$38:$L$58,-1)+1))-INDEX('KT THAN'!$J$38:$J$58,MATCH(Q678,'KT THAN'!$L$38:$L$58,-1)))*(Q678-INDEX('KT THAN'!$L$38:$L$58,MATCH(Q678,'KT THAN'!$L$38:$L$58,-1)))/(INDEX('KT THAN'!$L$38:$L$58,MIN(21,MATCH(Q678,'KT THAN'!$L$38:$L$58,-1)+1))-INDEX('KT THAN'!$L$38:$L$58,MATCH(Q678,'KT THAN'!$L$38:$L$58,-1)))),MIN(0.8*0.75*'KT THAN'!$C$62,'KT THAN'!$C$68/Q678)))))</f>
        <v/>
      </c>
      <c r="N678" s="38" t="str">
        <f>IF($A678="","",IF(H678=0,"",IF(R678&lt;=0.000000001,MIN(0.8*0.75*'KT THAN'!$C$62,MAX('KT THAN'!$W$38:$W$58)),IFERROR(MIN(0.8*0.75*'KT THAN'!$C$62,INDEX('KT THAN'!$W$38:$W$58,MATCH(R678,'KT THAN'!$Y$38:$Y$58,-1))+(INDEX('KT THAN'!$W$38:$W$58,MIN(21,MATCH(R678,'KT THAN'!$Y$38:$Y$58,-1)+1))-INDEX('KT THAN'!$W$38:$W$58,MATCH(R678,'KT THAN'!$Y$38:$Y$58,-1)))*(R678-INDEX('KT THAN'!$Y$38:$Y$58,MATCH(R678,'KT THAN'!$Y$38:$Y$58,-1)))/(INDEX('KT THAN'!$Y$38:$Y$58,MIN(21,MATCH(R678,'KT THAN'!$Y$38:$Y$58,-1)+1))-INDEX('KT THAN'!$Y$38:$Y$58,MATCH(R678,'KT THAN'!$Y$38:$Y$58,-1)))),MIN(0.8*0.75*'KT THAN'!$C$62,'KT THAN'!$D$68/R678)))))</f>
        <v/>
      </c>
      <c r="O678" s="38" t="str">
        <f>IF($A678="","",IF(H678&lt;0,ABS(H678)/MAX('KT THAN'!$C$69,0.001)+'KT THAN'!$C$32*ABS(J678)/MAX('KT THAN'!$C$68,0.001)+'KT THAN'!$D$32*ABS(I678)/MAX('KT THAN'!$D$68,0.001),IF(OR(M678&lt;=0,N678&lt;=0),999,IF(H678&gt;=0.1*0.75*fc_*Agth*1000,H678/MAX(0.001,1/(1/M678+1/N678-1/(0.75*'KT THAN'!$C$62))),'KT THAN'!$C$32*ABS(J678)/MAX('KT THAN'!$C$68,0.001)+'KT THAN'!$D$32*ABS(I678)/MAX('KT THAN'!$D$68,0.001)))))</f>
        <v/>
      </c>
      <c r="P678" s="37" t="str">
        <f t="shared" si="105"/>
        <v/>
      </c>
      <c r="Q678" s="38" t="str">
        <f>IF($A678="","",MAX(0.001,'KT THAN'!$C$32*ABS(J678)/MAX(1,H678)))</f>
        <v/>
      </c>
      <c r="R678" s="38" t="str">
        <f>IF($A678="","",MAX(0.001,'KT THAN'!$D$32*ABS(I678)/MAX(1,H678)))</f>
        <v/>
      </c>
      <c r="S678" t="str">
        <f t="shared" si="99"/>
        <v/>
      </c>
    </row>
    <row r="679" spans="1:19" hidden="1" outlineLevel="1" x14ac:dyDescent="0.3">
      <c r="A679" s="37" t="str">
        <f>IF(OR(nThan=1,'TO HOP NLAN'!$A235=""),"",'TO HOP NLAN'!$A235)</f>
        <v/>
      </c>
      <c r="B679" s="38" t="str">
        <f>IF($A679="","",'TO HOP NLAN'!$D235)</f>
        <v/>
      </c>
      <c r="C679" s="38" t="str">
        <f>IF($A679="","",'TO HOP NLAN'!$E235)</f>
        <v/>
      </c>
      <c r="D679" s="38" t="str">
        <f>IF($A679="","",'TO HOP NLAN'!$F235)</f>
        <v/>
      </c>
      <c r="E679" s="38" t="str">
        <f>IF($A679="","",'TO HOP NLAN'!$B235)</f>
        <v/>
      </c>
      <c r="F679" s="38" t="str">
        <f>IF($A679="","",'TO HOP NLAN'!$C235)</f>
        <v/>
      </c>
      <c r="G679" s="38" t="str">
        <f t="shared" si="100"/>
        <v/>
      </c>
      <c r="H679" s="38" t="str">
        <f t="shared" si="98"/>
        <v/>
      </c>
      <c r="I679" s="38" t="str">
        <f t="shared" si="101"/>
        <v/>
      </c>
      <c r="J679" s="38" t="str">
        <f t="shared" si="102"/>
        <v/>
      </c>
      <c r="K679" s="38" t="str">
        <f t="shared" si="103"/>
        <v/>
      </c>
      <c r="L679" s="38" t="str">
        <f t="shared" si="104"/>
        <v/>
      </c>
      <c r="M679" s="38" t="str">
        <f>IF($A679="","",IF(H679=0,"",IF(Q679&lt;=0.000000001,MIN(0.8*0.75*'KT THAN'!$C$62,MAX('KT THAN'!$J$38:$J$58)),IFERROR(MIN(0.8*0.75*'KT THAN'!$C$62,INDEX('KT THAN'!$J$38:$J$58,MATCH(Q679,'KT THAN'!$L$38:$L$58,-1))+(INDEX('KT THAN'!$J$38:$J$58,MIN(21,MATCH(Q679,'KT THAN'!$L$38:$L$58,-1)+1))-INDEX('KT THAN'!$J$38:$J$58,MATCH(Q679,'KT THAN'!$L$38:$L$58,-1)))*(Q679-INDEX('KT THAN'!$L$38:$L$58,MATCH(Q679,'KT THAN'!$L$38:$L$58,-1)))/(INDEX('KT THAN'!$L$38:$L$58,MIN(21,MATCH(Q679,'KT THAN'!$L$38:$L$58,-1)+1))-INDEX('KT THAN'!$L$38:$L$58,MATCH(Q679,'KT THAN'!$L$38:$L$58,-1)))),MIN(0.8*0.75*'KT THAN'!$C$62,'KT THAN'!$C$68/Q679)))))</f>
        <v/>
      </c>
      <c r="N679" s="38" t="str">
        <f>IF($A679="","",IF(H679=0,"",IF(R679&lt;=0.000000001,MIN(0.8*0.75*'KT THAN'!$C$62,MAX('KT THAN'!$W$38:$W$58)),IFERROR(MIN(0.8*0.75*'KT THAN'!$C$62,INDEX('KT THAN'!$W$38:$W$58,MATCH(R679,'KT THAN'!$Y$38:$Y$58,-1))+(INDEX('KT THAN'!$W$38:$W$58,MIN(21,MATCH(R679,'KT THAN'!$Y$38:$Y$58,-1)+1))-INDEX('KT THAN'!$W$38:$W$58,MATCH(R679,'KT THAN'!$Y$38:$Y$58,-1)))*(R679-INDEX('KT THAN'!$Y$38:$Y$58,MATCH(R679,'KT THAN'!$Y$38:$Y$58,-1)))/(INDEX('KT THAN'!$Y$38:$Y$58,MIN(21,MATCH(R679,'KT THAN'!$Y$38:$Y$58,-1)+1))-INDEX('KT THAN'!$Y$38:$Y$58,MATCH(R679,'KT THAN'!$Y$38:$Y$58,-1)))),MIN(0.8*0.75*'KT THAN'!$C$62,'KT THAN'!$D$68/R679)))))</f>
        <v/>
      </c>
      <c r="O679" s="38" t="str">
        <f>IF($A679="","",IF(H679&lt;0,ABS(H679)/MAX('KT THAN'!$C$69,0.001)+'KT THAN'!$C$32*ABS(J679)/MAX('KT THAN'!$C$68,0.001)+'KT THAN'!$D$32*ABS(I679)/MAX('KT THAN'!$D$68,0.001),IF(OR(M679&lt;=0,N679&lt;=0),999,IF(H679&gt;=0.1*0.75*fc_*Agth*1000,H679/MAX(0.001,1/(1/M679+1/N679-1/(0.75*'KT THAN'!$C$62))),'KT THAN'!$C$32*ABS(J679)/MAX('KT THAN'!$C$68,0.001)+'KT THAN'!$D$32*ABS(I679)/MAX('KT THAN'!$D$68,0.001)))))</f>
        <v/>
      </c>
      <c r="P679" s="37" t="str">
        <f t="shared" si="105"/>
        <v/>
      </c>
      <c r="Q679" s="38" t="str">
        <f>IF($A679="","",MAX(0.001,'KT THAN'!$C$32*ABS(J679)/MAX(1,H679)))</f>
        <v/>
      </c>
      <c r="R679" s="38" t="str">
        <f>IF($A679="","",MAX(0.001,'KT THAN'!$D$32*ABS(I679)/MAX(1,H679)))</f>
        <v/>
      </c>
      <c r="S679" t="str">
        <f t="shared" si="99"/>
        <v/>
      </c>
    </row>
    <row r="680" spans="1:19" hidden="1" outlineLevel="1" x14ac:dyDescent="0.3">
      <c r="A680" s="37" t="str">
        <f>IF(OR(nThan=1,'TO HOP NLAN'!$A236=""),"",'TO HOP NLAN'!$A236)</f>
        <v/>
      </c>
      <c r="B680" s="38" t="str">
        <f>IF($A680="","",'TO HOP NLAN'!$D236)</f>
        <v/>
      </c>
      <c r="C680" s="38" t="str">
        <f>IF($A680="","",'TO HOP NLAN'!$E236)</f>
        <v/>
      </c>
      <c r="D680" s="38" t="str">
        <f>IF($A680="","",'TO HOP NLAN'!$F236)</f>
        <v/>
      </c>
      <c r="E680" s="38" t="str">
        <f>IF($A680="","",'TO HOP NLAN'!$B236)</f>
        <v/>
      </c>
      <c r="F680" s="38" t="str">
        <f>IF($A680="","",'TO HOP NLAN'!$C236)</f>
        <v/>
      </c>
      <c r="G680" s="38" t="str">
        <f t="shared" si="100"/>
        <v/>
      </c>
      <c r="H680" s="38" t="str">
        <f t="shared" si="98"/>
        <v/>
      </c>
      <c r="I680" s="38" t="str">
        <f t="shared" si="101"/>
        <v/>
      </c>
      <c r="J680" s="38" t="str">
        <f t="shared" si="102"/>
        <v/>
      </c>
      <c r="K680" s="38" t="str">
        <f t="shared" si="103"/>
        <v/>
      </c>
      <c r="L680" s="38" t="str">
        <f t="shared" si="104"/>
        <v/>
      </c>
      <c r="M680" s="38" t="str">
        <f>IF($A680="","",IF(H680=0,"",IF(Q680&lt;=0.000000001,MIN(0.8*0.75*'KT THAN'!$C$62,MAX('KT THAN'!$J$38:$J$58)),IFERROR(MIN(0.8*0.75*'KT THAN'!$C$62,INDEX('KT THAN'!$J$38:$J$58,MATCH(Q680,'KT THAN'!$L$38:$L$58,-1))+(INDEX('KT THAN'!$J$38:$J$58,MIN(21,MATCH(Q680,'KT THAN'!$L$38:$L$58,-1)+1))-INDEX('KT THAN'!$J$38:$J$58,MATCH(Q680,'KT THAN'!$L$38:$L$58,-1)))*(Q680-INDEX('KT THAN'!$L$38:$L$58,MATCH(Q680,'KT THAN'!$L$38:$L$58,-1)))/(INDEX('KT THAN'!$L$38:$L$58,MIN(21,MATCH(Q680,'KT THAN'!$L$38:$L$58,-1)+1))-INDEX('KT THAN'!$L$38:$L$58,MATCH(Q680,'KT THAN'!$L$38:$L$58,-1)))),MIN(0.8*0.75*'KT THAN'!$C$62,'KT THAN'!$C$68/Q680)))))</f>
        <v/>
      </c>
      <c r="N680" s="38" t="str">
        <f>IF($A680="","",IF(H680=0,"",IF(R680&lt;=0.000000001,MIN(0.8*0.75*'KT THAN'!$C$62,MAX('KT THAN'!$W$38:$W$58)),IFERROR(MIN(0.8*0.75*'KT THAN'!$C$62,INDEX('KT THAN'!$W$38:$W$58,MATCH(R680,'KT THAN'!$Y$38:$Y$58,-1))+(INDEX('KT THAN'!$W$38:$W$58,MIN(21,MATCH(R680,'KT THAN'!$Y$38:$Y$58,-1)+1))-INDEX('KT THAN'!$W$38:$W$58,MATCH(R680,'KT THAN'!$Y$38:$Y$58,-1)))*(R680-INDEX('KT THAN'!$Y$38:$Y$58,MATCH(R680,'KT THAN'!$Y$38:$Y$58,-1)))/(INDEX('KT THAN'!$Y$38:$Y$58,MIN(21,MATCH(R680,'KT THAN'!$Y$38:$Y$58,-1)+1))-INDEX('KT THAN'!$Y$38:$Y$58,MATCH(R680,'KT THAN'!$Y$38:$Y$58,-1)))),MIN(0.8*0.75*'KT THAN'!$C$62,'KT THAN'!$D$68/R680)))))</f>
        <v/>
      </c>
      <c r="O680" s="38" t="str">
        <f>IF($A680="","",IF(H680&lt;0,ABS(H680)/MAX('KT THAN'!$C$69,0.001)+'KT THAN'!$C$32*ABS(J680)/MAX('KT THAN'!$C$68,0.001)+'KT THAN'!$D$32*ABS(I680)/MAX('KT THAN'!$D$68,0.001),IF(OR(M680&lt;=0,N680&lt;=0),999,IF(H680&gt;=0.1*0.75*fc_*Agth*1000,H680/MAX(0.001,1/(1/M680+1/N680-1/(0.75*'KT THAN'!$C$62))),'KT THAN'!$C$32*ABS(J680)/MAX('KT THAN'!$C$68,0.001)+'KT THAN'!$D$32*ABS(I680)/MAX('KT THAN'!$D$68,0.001)))))</f>
        <v/>
      </c>
      <c r="P680" s="37" t="str">
        <f t="shared" si="105"/>
        <v/>
      </c>
      <c r="Q680" s="38" t="str">
        <f>IF($A680="","",MAX(0.001,'KT THAN'!$C$32*ABS(J680)/MAX(1,H680)))</f>
        <v/>
      </c>
      <c r="R680" s="38" t="str">
        <f>IF($A680="","",MAX(0.001,'KT THAN'!$D$32*ABS(I680)/MAX(1,H680)))</f>
        <v/>
      </c>
      <c r="S680" t="str">
        <f t="shared" si="99"/>
        <v/>
      </c>
    </row>
    <row r="681" spans="1:19" hidden="1" outlineLevel="1" x14ac:dyDescent="0.3">
      <c r="A681" s="37" t="str">
        <f>IF(OR(nThan=1,'TO HOP NLAN'!$A237=""),"",'TO HOP NLAN'!$A237)</f>
        <v/>
      </c>
      <c r="B681" s="38" t="str">
        <f>IF($A681="","",'TO HOP NLAN'!$D237)</f>
        <v/>
      </c>
      <c r="C681" s="38" t="str">
        <f>IF($A681="","",'TO HOP NLAN'!$E237)</f>
        <v/>
      </c>
      <c r="D681" s="38" t="str">
        <f>IF($A681="","",'TO HOP NLAN'!$F237)</f>
        <v/>
      </c>
      <c r="E681" s="38" t="str">
        <f>IF($A681="","",'TO HOP NLAN'!$B237)</f>
        <v/>
      </c>
      <c r="F681" s="38" t="str">
        <f>IF($A681="","",'TO HOP NLAN'!$C237)</f>
        <v/>
      </c>
      <c r="G681" s="38" t="str">
        <f t="shared" si="100"/>
        <v/>
      </c>
      <c r="H681" s="38" t="str">
        <f t="shared" si="98"/>
        <v/>
      </c>
      <c r="I681" s="38" t="str">
        <f t="shared" si="101"/>
        <v/>
      </c>
      <c r="J681" s="38" t="str">
        <f t="shared" si="102"/>
        <v/>
      </c>
      <c r="K681" s="38" t="str">
        <f t="shared" si="103"/>
        <v/>
      </c>
      <c r="L681" s="38" t="str">
        <f t="shared" si="104"/>
        <v/>
      </c>
      <c r="M681" s="38" t="str">
        <f>IF($A681="","",IF(H681=0,"",IF(Q681&lt;=0.000000001,MIN(0.8*0.75*'KT THAN'!$C$62,MAX('KT THAN'!$J$38:$J$58)),IFERROR(MIN(0.8*0.75*'KT THAN'!$C$62,INDEX('KT THAN'!$J$38:$J$58,MATCH(Q681,'KT THAN'!$L$38:$L$58,-1))+(INDEX('KT THAN'!$J$38:$J$58,MIN(21,MATCH(Q681,'KT THAN'!$L$38:$L$58,-1)+1))-INDEX('KT THAN'!$J$38:$J$58,MATCH(Q681,'KT THAN'!$L$38:$L$58,-1)))*(Q681-INDEX('KT THAN'!$L$38:$L$58,MATCH(Q681,'KT THAN'!$L$38:$L$58,-1)))/(INDEX('KT THAN'!$L$38:$L$58,MIN(21,MATCH(Q681,'KT THAN'!$L$38:$L$58,-1)+1))-INDEX('KT THAN'!$L$38:$L$58,MATCH(Q681,'KT THAN'!$L$38:$L$58,-1)))),MIN(0.8*0.75*'KT THAN'!$C$62,'KT THAN'!$C$68/Q681)))))</f>
        <v/>
      </c>
      <c r="N681" s="38" t="str">
        <f>IF($A681="","",IF(H681=0,"",IF(R681&lt;=0.000000001,MIN(0.8*0.75*'KT THAN'!$C$62,MAX('KT THAN'!$W$38:$W$58)),IFERROR(MIN(0.8*0.75*'KT THAN'!$C$62,INDEX('KT THAN'!$W$38:$W$58,MATCH(R681,'KT THAN'!$Y$38:$Y$58,-1))+(INDEX('KT THAN'!$W$38:$W$58,MIN(21,MATCH(R681,'KT THAN'!$Y$38:$Y$58,-1)+1))-INDEX('KT THAN'!$W$38:$W$58,MATCH(R681,'KT THAN'!$Y$38:$Y$58,-1)))*(R681-INDEX('KT THAN'!$Y$38:$Y$58,MATCH(R681,'KT THAN'!$Y$38:$Y$58,-1)))/(INDEX('KT THAN'!$Y$38:$Y$58,MIN(21,MATCH(R681,'KT THAN'!$Y$38:$Y$58,-1)+1))-INDEX('KT THAN'!$Y$38:$Y$58,MATCH(R681,'KT THAN'!$Y$38:$Y$58,-1)))),MIN(0.8*0.75*'KT THAN'!$C$62,'KT THAN'!$D$68/R681)))))</f>
        <v/>
      </c>
      <c r="O681" s="38" t="str">
        <f>IF($A681="","",IF(H681&lt;0,ABS(H681)/MAX('KT THAN'!$C$69,0.001)+'KT THAN'!$C$32*ABS(J681)/MAX('KT THAN'!$C$68,0.001)+'KT THAN'!$D$32*ABS(I681)/MAX('KT THAN'!$D$68,0.001),IF(OR(M681&lt;=0,N681&lt;=0),999,IF(H681&gt;=0.1*0.75*fc_*Agth*1000,H681/MAX(0.001,1/(1/M681+1/N681-1/(0.75*'KT THAN'!$C$62))),'KT THAN'!$C$32*ABS(J681)/MAX('KT THAN'!$C$68,0.001)+'KT THAN'!$D$32*ABS(I681)/MAX('KT THAN'!$D$68,0.001)))))</f>
        <v/>
      </c>
      <c r="P681" s="37" t="str">
        <f t="shared" si="105"/>
        <v/>
      </c>
      <c r="Q681" s="38" t="str">
        <f>IF($A681="","",MAX(0.001,'KT THAN'!$C$32*ABS(J681)/MAX(1,H681)))</f>
        <v/>
      </c>
      <c r="R681" s="38" t="str">
        <f>IF($A681="","",MAX(0.001,'KT THAN'!$D$32*ABS(I681)/MAX(1,H681)))</f>
        <v/>
      </c>
      <c r="S681" t="str">
        <f t="shared" si="99"/>
        <v/>
      </c>
    </row>
    <row r="682" spans="1:19" hidden="1" outlineLevel="1" x14ac:dyDescent="0.3">
      <c r="A682" s="37" t="str">
        <f>IF(OR(nThan=1,'TO HOP NLAN'!$A238=""),"",'TO HOP NLAN'!$A238)</f>
        <v/>
      </c>
      <c r="B682" s="38" t="str">
        <f>IF($A682="","",'TO HOP NLAN'!$D238)</f>
        <v/>
      </c>
      <c r="C682" s="38" t="str">
        <f>IF($A682="","",'TO HOP NLAN'!$E238)</f>
        <v/>
      </c>
      <c r="D682" s="38" t="str">
        <f>IF($A682="","",'TO HOP NLAN'!$F238)</f>
        <v/>
      </c>
      <c r="E682" s="38" t="str">
        <f>IF($A682="","",'TO HOP NLAN'!$B238)</f>
        <v/>
      </c>
      <c r="F682" s="38" t="str">
        <f>IF($A682="","",'TO HOP NLAN'!$C238)</f>
        <v/>
      </c>
      <c r="G682" s="38" t="str">
        <f t="shared" si="100"/>
        <v/>
      </c>
      <c r="H682" s="38" t="str">
        <f t="shared" si="98"/>
        <v/>
      </c>
      <c r="I682" s="38" t="str">
        <f t="shared" si="101"/>
        <v/>
      </c>
      <c r="J682" s="38" t="str">
        <f t="shared" si="102"/>
        <v/>
      </c>
      <c r="K682" s="38" t="str">
        <f t="shared" si="103"/>
        <v/>
      </c>
      <c r="L682" s="38" t="str">
        <f t="shared" si="104"/>
        <v/>
      </c>
      <c r="M682" s="38" t="str">
        <f>IF($A682="","",IF(H682=0,"",IF(Q682&lt;=0.000000001,MIN(0.8*0.75*'KT THAN'!$C$62,MAX('KT THAN'!$J$38:$J$58)),IFERROR(MIN(0.8*0.75*'KT THAN'!$C$62,INDEX('KT THAN'!$J$38:$J$58,MATCH(Q682,'KT THAN'!$L$38:$L$58,-1))+(INDEX('KT THAN'!$J$38:$J$58,MIN(21,MATCH(Q682,'KT THAN'!$L$38:$L$58,-1)+1))-INDEX('KT THAN'!$J$38:$J$58,MATCH(Q682,'KT THAN'!$L$38:$L$58,-1)))*(Q682-INDEX('KT THAN'!$L$38:$L$58,MATCH(Q682,'KT THAN'!$L$38:$L$58,-1)))/(INDEX('KT THAN'!$L$38:$L$58,MIN(21,MATCH(Q682,'KT THAN'!$L$38:$L$58,-1)+1))-INDEX('KT THAN'!$L$38:$L$58,MATCH(Q682,'KT THAN'!$L$38:$L$58,-1)))),MIN(0.8*0.75*'KT THAN'!$C$62,'KT THAN'!$C$68/Q682)))))</f>
        <v/>
      </c>
      <c r="N682" s="38" t="str">
        <f>IF($A682="","",IF(H682=0,"",IF(R682&lt;=0.000000001,MIN(0.8*0.75*'KT THAN'!$C$62,MAX('KT THAN'!$W$38:$W$58)),IFERROR(MIN(0.8*0.75*'KT THAN'!$C$62,INDEX('KT THAN'!$W$38:$W$58,MATCH(R682,'KT THAN'!$Y$38:$Y$58,-1))+(INDEX('KT THAN'!$W$38:$W$58,MIN(21,MATCH(R682,'KT THAN'!$Y$38:$Y$58,-1)+1))-INDEX('KT THAN'!$W$38:$W$58,MATCH(R682,'KT THAN'!$Y$38:$Y$58,-1)))*(R682-INDEX('KT THAN'!$Y$38:$Y$58,MATCH(R682,'KT THAN'!$Y$38:$Y$58,-1)))/(INDEX('KT THAN'!$Y$38:$Y$58,MIN(21,MATCH(R682,'KT THAN'!$Y$38:$Y$58,-1)+1))-INDEX('KT THAN'!$Y$38:$Y$58,MATCH(R682,'KT THAN'!$Y$38:$Y$58,-1)))),MIN(0.8*0.75*'KT THAN'!$C$62,'KT THAN'!$D$68/R682)))))</f>
        <v/>
      </c>
      <c r="O682" s="38" t="str">
        <f>IF($A682="","",IF(H682&lt;0,ABS(H682)/MAX('KT THAN'!$C$69,0.001)+'KT THAN'!$C$32*ABS(J682)/MAX('KT THAN'!$C$68,0.001)+'KT THAN'!$D$32*ABS(I682)/MAX('KT THAN'!$D$68,0.001),IF(OR(M682&lt;=0,N682&lt;=0),999,IF(H682&gt;=0.1*0.75*fc_*Agth*1000,H682/MAX(0.001,1/(1/M682+1/N682-1/(0.75*'KT THAN'!$C$62))),'KT THAN'!$C$32*ABS(J682)/MAX('KT THAN'!$C$68,0.001)+'KT THAN'!$D$32*ABS(I682)/MAX('KT THAN'!$D$68,0.001)))))</f>
        <v/>
      </c>
      <c r="P682" s="37" t="str">
        <f t="shared" si="105"/>
        <v/>
      </c>
      <c r="Q682" s="38" t="str">
        <f>IF($A682="","",MAX(0.001,'KT THAN'!$C$32*ABS(J682)/MAX(1,H682)))</f>
        <v/>
      </c>
      <c r="R682" s="38" t="str">
        <f>IF($A682="","",MAX(0.001,'KT THAN'!$D$32*ABS(I682)/MAX(1,H682)))</f>
        <v/>
      </c>
      <c r="S682" t="str">
        <f t="shared" si="99"/>
        <v/>
      </c>
    </row>
    <row r="683" spans="1:19" hidden="1" outlineLevel="1" x14ac:dyDescent="0.3">
      <c r="A683" s="37" t="str">
        <f>IF(OR(nThan=1,'TO HOP NLAN'!$A239=""),"",'TO HOP NLAN'!$A239)</f>
        <v/>
      </c>
      <c r="B683" s="38" t="str">
        <f>IF($A683="","",'TO HOP NLAN'!$D239)</f>
        <v/>
      </c>
      <c r="C683" s="38" t="str">
        <f>IF($A683="","",'TO HOP NLAN'!$E239)</f>
        <v/>
      </c>
      <c r="D683" s="38" t="str">
        <f>IF($A683="","",'TO HOP NLAN'!$F239)</f>
        <v/>
      </c>
      <c r="E683" s="38" t="str">
        <f>IF($A683="","",'TO HOP NLAN'!$B239)</f>
        <v/>
      </c>
      <c r="F683" s="38" t="str">
        <f>IF($A683="","",'TO HOP NLAN'!$C239)</f>
        <v/>
      </c>
      <c r="G683" s="38" t="str">
        <f t="shared" si="100"/>
        <v/>
      </c>
      <c r="H683" s="38" t="str">
        <f t="shared" si="98"/>
        <v/>
      </c>
      <c r="I683" s="38" t="str">
        <f t="shared" si="101"/>
        <v/>
      </c>
      <c r="J683" s="38" t="str">
        <f t="shared" si="102"/>
        <v/>
      </c>
      <c r="K683" s="38" t="str">
        <f t="shared" si="103"/>
        <v/>
      </c>
      <c r="L683" s="38" t="str">
        <f t="shared" si="104"/>
        <v/>
      </c>
      <c r="M683" s="38" t="str">
        <f>IF($A683="","",IF(H683=0,"",IF(Q683&lt;=0.000000001,MIN(0.8*0.75*'KT THAN'!$C$62,MAX('KT THAN'!$J$38:$J$58)),IFERROR(MIN(0.8*0.75*'KT THAN'!$C$62,INDEX('KT THAN'!$J$38:$J$58,MATCH(Q683,'KT THAN'!$L$38:$L$58,-1))+(INDEX('KT THAN'!$J$38:$J$58,MIN(21,MATCH(Q683,'KT THAN'!$L$38:$L$58,-1)+1))-INDEX('KT THAN'!$J$38:$J$58,MATCH(Q683,'KT THAN'!$L$38:$L$58,-1)))*(Q683-INDEX('KT THAN'!$L$38:$L$58,MATCH(Q683,'KT THAN'!$L$38:$L$58,-1)))/(INDEX('KT THAN'!$L$38:$L$58,MIN(21,MATCH(Q683,'KT THAN'!$L$38:$L$58,-1)+1))-INDEX('KT THAN'!$L$38:$L$58,MATCH(Q683,'KT THAN'!$L$38:$L$58,-1)))),MIN(0.8*0.75*'KT THAN'!$C$62,'KT THAN'!$C$68/Q683)))))</f>
        <v/>
      </c>
      <c r="N683" s="38" t="str">
        <f>IF($A683="","",IF(H683=0,"",IF(R683&lt;=0.000000001,MIN(0.8*0.75*'KT THAN'!$C$62,MAX('KT THAN'!$W$38:$W$58)),IFERROR(MIN(0.8*0.75*'KT THAN'!$C$62,INDEX('KT THAN'!$W$38:$W$58,MATCH(R683,'KT THAN'!$Y$38:$Y$58,-1))+(INDEX('KT THAN'!$W$38:$W$58,MIN(21,MATCH(R683,'KT THAN'!$Y$38:$Y$58,-1)+1))-INDEX('KT THAN'!$W$38:$W$58,MATCH(R683,'KT THAN'!$Y$38:$Y$58,-1)))*(R683-INDEX('KT THAN'!$Y$38:$Y$58,MATCH(R683,'KT THAN'!$Y$38:$Y$58,-1)))/(INDEX('KT THAN'!$Y$38:$Y$58,MIN(21,MATCH(R683,'KT THAN'!$Y$38:$Y$58,-1)+1))-INDEX('KT THAN'!$Y$38:$Y$58,MATCH(R683,'KT THAN'!$Y$38:$Y$58,-1)))),MIN(0.8*0.75*'KT THAN'!$C$62,'KT THAN'!$D$68/R683)))))</f>
        <v/>
      </c>
      <c r="O683" s="38" t="str">
        <f>IF($A683="","",IF(H683&lt;0,ABS(H683)/MAX('KT THAN'!$C$69,0.001)+'KT THAN'!$C$32*ABS(J683)/MAX('KT THAN'!$C$68,0.001)+'KT THAN'!$D$32*ABS(I683)/MAX('KT THAN'!$D$68,0.001),IF(OR(M683&lt;=0,N683&lt;=0),999,IF(H683&gt;=0.1*0.75*fc_*Agth*1000,H683/MAX(0.001,1/(1/M683+1/N683-1/(0.75*'KT THAN'!$C$62))),'KT THAN'!$C$32*ABS(J683)/MAX('KT THAN'!$C$68,0.001)+'KT THAN'!$D$32*ABS(I683)/MAX('KT THAN'!$D$68,0.001)))))</f>
        <v/>
      </c>
      <c r="P683" s="37" t="str">
        <f t="shared" si="105"/>
        <v/>
      </c>
      <c r="Q683" s="38" t="str">
        <f>IF($A683="","",MAX(0.001,'KT THAN'!$C$32*ABS(J683)/MAX(1,H683)))</f>
        <v/>
      </c>
      <c r="R683" s="38" t="str">
        <f>IF($A683="","",MAX(0.001,'KT THAN'!$D$32*ABS(I683)/MAX(1,H683)))</f>
        <v/>
      </c>
      <c r="S683" t="str">
        <f t="shared" si="99"/>
        <v/>
      </c>
    </row>
    <row r="684" spans="1:19" hidden="1" outlineLevel="1" x14ac:dyDescent="0.3">
      <c r="A684" s="37" t="str">
        <f>IF(OR(nThan=1,'TO HOP NLAN'!$A240=""),"",'TO HOP NLAN'!$A240)</f>
        <v/>
      </c>
      <c r="B684" s="38" t="str">
        <f>IF($A684="","",'TO HOP NLAN'!$D240)</f>
        <v/>
      </c>
      <c r="C684" s="38" t="str">
        <f>IF($A684="","",'TO HOP NLAN'!$E240)</f>
        <v/>
      </c>
      <c r="D684" s="38" t="str">
        <f>IF($A684="","",'TO HOP NLAN'!$F240)</f>
        <v/>
      </c>
      <c r="E684" s="38" t="str">
        <f>IF($A684="","",'TO HOP NLAN'!$B240)</f>
        <v/>
      </c>
      <c r="F684" s="38" t="str">
        <f>IF($A684="","",'TO HOP NLAN'!$C240)</f>
        <v/>
      </c>
      <c r="G684" s="38" t="str">
        <f t="shared" si="100"/>
        <v/>
      </c>
      <c r="H684" s="38" t="str">
        <f t="shared" si="98"/>
        <v/>
      </c>
      <c r="I684" s="38" t="str">
        <f t="shared" si="101"/>
        <v/>
      </c>
      <c r="J684" s="38" t="str">
        <f t="shared" si="102"/>
        <v/>
      </c>
      <c r="K684" s="38" t="str">
        <f t="shared" si="103"/>
        <v/>
      </c>
      <c r="L684" s="38" t="str">
        <f t="shared" si="104"/>
        <v/>
      </c>
      <c r="M684" s="38" t="str">
        <f>IF($A684="","",IF(H684=0,"",IF(Q684&lt;=0.000000001,MIN(0.8*0.75*'KT THAN'!$C$62,MAX('KT THAN'!$J$38:$J$58)),IFERROR(MIN(0.8*0.75*'KT THAN'!$C$62,INDEX('KT THAN'!$J$38:$J$58,MATCH(Q684,'KT THAN'!$L$38:$L$58,-1))+(INDEX('KT THAN'!$J$38:$J$58,MIN(21,MATCH(Q684,'KT THAN'!$L$38:$L$58,-1)+1))-INDEX('KT THAN'!$J$38:$J$58,MATCH(Q684,'KT THAN'!$L$38:$L$58,-1)))*(Q684-INDEX('KT THAN'!$L$38:$L$58,MATCH(Q684,'KT THAN'!$L$38:$L$58,-1)))/(INDEX('KT THAN'!$L$38:$L$58,MIN(21,MATCH(Q684,'KT THAN'!$L$38:$L$58,-1)+1))-INDEX('KT THAN'!$L$38:$L$58,MATCH(Q684,'KT THAN'!$L$38:$L$58,-1)))),MIN(0.8*0.75*'KT THAN'!$C$62,'KT THAN'!$C$68/Q684)))))</f>
        <v/>
      </c>
      <c r="N684" s="38" t="str">
        <f>IF($A684="","",IF(H684=0,"",IF(R684&lt;=0.000000001,MIN(0.8*0.75*'KT THAN'!$C$62,MAX('KT THAN'!$W$38:$W$58)),IFERROR(MIN(0.8*0.75*'KT THAN'!$C$62,INDEX('KT THAN'!$W$38:$W$58,MATCH(R684,'KT THAN'!$Y$38:$Y$58,-1))+(INDEX('KT THAN'!$W$38:$W$58,MIN(21,MATCH(R684,'KT THAN'!$Y$38:$Y$58,-1)+1))-INDEX('KT THAN'!$W$38:$W$58,MATCH(R684,'KT THAN'!$Y$38:$Y$58,-1)))*(R684-INDEX('KT THAN'!$Y$38:$Y$58,MATCH(R684,'KT THAN'!$Y$38:$Y$58,-1)))/(INDEX('KT THAN'!$Y$38:$Y$58,MIN(21,MATCH(R684,'KT THAN'!$Y$38:$Y$58,-1)+1))-INDEX('KT THAN'!$Y$38:$Y$58,MATCH(R684,'KT THAN'!$Y$38:$Y$58,-1)))),MIN(0.8*0.75*'KT THAN'!$C$62,'KT THAN'!$D$68/R684)))))</f>
        <v/>
      </c>
      <c r="O684" s="38" t="str">
        <f>IF($A684="","",IF(H684&lt;0,ABS(H684)/MAX('KT THAN'!$C$69,0.001)+'KT THAN'!$C$32*ABS(J684)/MAX('KT THAN'!$C$68,0.001)+'KT THAN'!$D$32*ABS(I684)/MAX('KT THAN'!$D$68,0.001),IF(OR(M684&lt;=0,N684&lt;=0),999,IF(H684&gt;=0.1*0.75*fc_*Agth*1000,H684/MAX(0.001,1/(1/M684+1/N684-1/(0.75*'KT THAN'!$C$62))),'KT THAN'!$C$32*ABS(J684)/MAX('KT THAN'!$C$68,0.001)+'KT THAN'!$D$32*ABS(I684)/MAX('KT THAN'!$D$68,0.001)))))</f>
        <v/>
      </c>
      <c r="P684" s="37" t="str">
        <f t="shared" si="105"/>
        <v/>
      </c>
      <c r="Q684" s="38" t="str">
        <f>IF($A684="","",MAX(0.001,'KT THAN'!$C$32*ABS(J684)/MAX(1,H684)))</f>
        <v/>
      </c>
      <c r="R684" s="38" t="str">
        <f>IF($A684="","",MAX(0.001,'KT THAN'!$D$32*ABS(I684)/MAX(1,H684)))</f>
        <v/>
      </c>
      <c r="S684" t="str">
        <f t="shared" si="99"/>
        <v/>
      </c>
    </row>
    <row r="685" spans="1:19" hidden="1" outlineLevel="1" x14ac:dyDescent="0.3">
      <c r="A685" s="37" t="str">
        <f>IF(OR(nThan=1,'TO HOP NLAN'!$A241=""),"",'TO HOP NLAN'!$A241)</f>
        <v/>
      </c>
      <c r="B685" s="38" t="str">
        <f>IF($A685="","",'TO HOP NLAN'!$D241)</f>
        <v/>
      </c>
      <c r="C685" s="38" t="str">
        <f>IF($A685="","",'TO HOP NLAN'!$E241)</f>
        <v/>
      </c>
      <c r="D685" s="38" t="str">
        <f>IF($A685="","",'TO HOP NLAN'!$F241)</f>
        <v/>
      </c>
      <c r="E685" s="38" t="str">
        <f>IF($A685="","",'TO HOP NLAN'!$B241)</f>
        <v/>
      </c>
      <c r="F685" s="38" t="str">
        <f>IF($A685="","",'TO HOP NLAN'!$C241)</f>
        <v/>
      </c>
      <c r="G685" s="38" t="str">
        <f t="shared" si="100"/>
        <v/>
      </c>
      <c r="H685" s="38" t="str">
        <f t="shared" si="98"/>
        <v/>
      </c>
      <c r="I685" s="38" t="str">
        <f t="shared" si="101"/>
        <v/>
      </c>
      <c r="J685" s="38" t="str">
        <f t="shared" si="102"/>
        <v/>
      </c>
      <c r="K685" s="38" t="str">
        <f t="shared" si="103"/>
        <v/>
      </c>
      <c r="L685" s="38" t="str">
        <f t="shared" si="104"/>
        <v/>
      </c>
      <c r="M685" s="38" t="str">
        <f>IF($A685="","",IF(H685=0,"",IF(Q685&lt;=0.000000001,MIN(0.8*0.75*'KT THAN'!$C$62,MAX('KT THAN'!$J$38:$J$58)),IFERROR(MIN(0.8*0.75*'KT THAN'!$C$62,INDEX('KT THAN'!$J$38:$J$58,MATCH(Q685,'KT THAN'!$L$38:$L$58,-1))+(INDEX('KT THAN'!$J$38:$J$58,MIN(21,MATCH(Q685,'KT THAN'!$L$38:$L$58,-1)+1))-INDEX('KT THAN'!$J$38:$J$58,MATCH(Q685,'KT THAN'!$L$38:$L$58,-1)))*(Q685-INDEX('KT THAN'!$L$38:$L$58,MATCH(Q685,'KT THAN'!$L$38:$L$58,-1)))/(INDEX('KT THAN'!$L$38:$L$58,MIN(21,MATCH(Q685,'KT THAN'!$L$38:$L$58,-1)+1))-INDEX('KT THAN'!$L$38:$L$58,MATCH(Q685,'KT THAN'!$L$38:$L$58,-1)))),MIN(0.8*0.75*'KT THAN'!$C$62,'KT THAN'!$C$68/Q685)))))</f>
        <v/>
      </c>
      <c r="N685" s="38" t="str">
        <f>IF($A685="","",IF(H685=0,"",IF(R685&lt;=0.000000001,MIN(0.8*0.75*'KT THAN'!$C$62,MAX('KT THAN'!$W$38:$W$58)),IFERROR(MIN(0.8*0.75*'KT THAN'!$C$62,INDEX('KT THAN'!$W$38:$W$58,MATCH(R685,'KT THAN'!$Y$38:$Y$58,-1))+(INDEX('KT THAN'!$W$38:$W$58,MIN(21,MATCH(R685,'KT THAN'!$Y$38:$Y$58,-1)+1))-INDEX('KT THAN'!$W$38:$W$58,MATCH(R685,'KT THAN'!$Y$38:$Y$58,-1)))*(R685-INDEX('KT THAN'!$Y$38:$Y$58,MATCH(R685,'KT THAN'!$Y$38:$Y$58,-1)))/(INDEX('KT THAN'!$Y$38:$Y$58,MIN(21,MATCH(R685,'KT THAN'!$Y$38:$Y$58,-1)+1))-INDEX('KT THAN'!$Y$38:$Y$58,MATCH(R685,'KT THAN'!$Y$38:$Y$58,-1)))),MIN(0.8*0.75*'KT THAN'!$C$62,'KT THAN'!$D$68/R685)))))</f>
        <v/>
      </c>
      <c r="O685" s="38" t="str">
        <f>IF($A685="","",IF(H685&lt;0,ABS(H685)/MAX('KT THAN'!$C$69,0.001)+'KT THAN'!$C$32*ABS(J685)/MAX('KT THAN'!$C$68,0.001)+'KT THAN'!$D$32*ABS(I685)/MAX('KT THAN'!$D$68,0.001),IF(OR(M685&lt;=0,N685&lt;=0),999,IF(H685&gt;=0.1*0.75*fc_*Agth*1000,H685/MAX(0.001,1/(1/M685+1/N685-1/(0.75*'KT THAN'!$C$62))),'KT THAN'!$C$32*ABS(J685)/MAX('KT THAN'!$C$68,0.001)+'KT THAN'!$D$32*ABS(I685)/MAX('KT THAN'!$D$68,0.001)))))</f>
        <v/>
      </c>
      <c r="P685" s="37" t="str">
        <f t="shared" si="105"/>
        <v/>
      </c>
      <c r="Q685" s="38" t="str">
        <f>IF($A685="","",MAX(0.001,'KT THAN'!$C$32*ABS(J685)/MAX(1,H685)))</f>
        <v/>
      </c>
      <c r="R685" s="38" t="str">
        <f>IF($A685="","",MAX(0.001,'KT THAN'!$D$32*ABS(I685)/MAX(1,H685)))</f>
        <v/>
      </c>
      <c r="S685" t="str">
        <f t="shared" si="99"/>
        <v/>
      </c>
    </row>
    <row r="686" spans="1:19" hidden="1" outlineLevel="1" x14ac:dyDescent="0.3">
      <c r="A686" s="37" t="str">
        <f>IF(OR(nThan=1,'TO HOP NLAN'!$A242=""),"",'TO HOP NLAN'!$A242)</f>
        <v/>
      </c>
      <c r="B686" s="38" t="str">
        <f>IF($A686="","",'TO HOP NLAN'!$D242)</f>
        <v/>
      </c>
      <c r="C686" s="38" t="str">
        <f>IF($A686="","",'TO HOP NLAN'!$E242)</f>
        <v/>
      </c>
      <c r="D686" s="38" t="str">
        <f>IF($A686="","",'TO HOP NLAN'!$F242)</f>
        <v/>
      </c>
      <c r="E686" s="38" t="str">
        <f>IF($A686="","",'TO HOP NLAN'!$B242)</f>
        <v/>
      </c>
      <c r="F686" s="38" t="str">
        <f>IF($A686="","",'TO HOP NLAN'!$C242)</f>
        <v/>
      </c>
      <c r="G686" s="38" t="str">
        <f t="shared" si="100"/>
        <v/>
      </c>
      <c r="H686" s="38" t="str">
        <f t="shared" si="98"/>
        <v/>
      </c>
      <c r="I686" s="38" t="str">
        <f t="shared" si="101"/>
        <v/>
      </c>
      <c r="J686" s="38" t="str">
        <f t="shared" si="102"/>
        <v/>
      </c>
      <c r="K686" s="38" t="str">
        <f t="shared" si="103"/>
        <v/>
      </c>
      <c r="L686" s="38" t="str">
        <f t="shared" si="104"/>
        <v/>
      </c>
      <c r="M686" s="38" t="str">
        <f>IF($A686="","",IF(H686=0,"",IF(Q686&lt;=0.000000001,MIN(0.8*0.75*'KT THAN'!$C$62,MAX('KT THAN'!$J$38:$J$58)),IFERROR(MIN(0.8*0.75*'KT THAN'!$C$62,INDEX('KT THAN'!$J$38:$J$58,MATCH(Q686,'KT THAN'!$L$38:$L$58,-1))+(INDEX('KT THAN'!$J$38:$J$58,MIN(21,MATCH(Q686,'KT THAN'!$L$38:$L$58,-1)+1))-INDEX('KT THAN'!$J$38:$J$58,MATCH(Q686,'KT THAN'!$L$38:$L$58,-1)))*(Q686-INDEX('KT THAN'!$L$38:$L$58,MATCH(Q686,'KT THAN'!$L$38:$L$58,-1)))/(INDEX('KT THAN'!$L$38:$L$58,MIN(21,MATCH(Q686,'KT THAN'!$L$38:$L$58,-1)+1))-INDEX('KT THAN'!$L$38:$L$58,MATCH(Q686,'KT THAN'!$L$38:$L$58,-1)))),MIN(0.8*0.75*'KT THAN'!$C$62,'KT THAN'!$C$68/Q686)))))</f>
        <v/>
      </c>
      <c r="N686" s="38" t="str">
        <f>IF($A686="","",IF(H686=0,"",IF(R686&lt;=0.000000001,MIN(0.8*0.75*'KT THAN'!$C$62,MAX('KT THAN'!$W$38:$W$58)),IFERROR(MIN(0.8*0.75*'KT THAN'!$C$62,INDEX('KT THAN'!$W$38:$W$58,MATCH(R686,'KT THAN'!$Y$38:$Y$58,-1))+(INDEX('KT THAN'!$W$38:$W$58,MIN(21,MATCH(R686,'KT THAN'!$Y$38:$Y$58,-1)+1))-INDEX('KT THAN'!$W$38:$W$58,MATCH(R686,'KT THAN'!$Y$38:$Y$58,-1)))*(R686-INDEX('KT THAN'!$Y$38:$Y$58,MATCH(R686,'KT THAN'!$Y$38:$Y$58,-1)))/(INDEX('KT THAN'!$Y$38:$Y$58,MIN(21,MATCH(R686,'KT THAN'!$Y$38:$Y$58,-1)+1))-INDEX('KT THAN'!$Y$38:$Y$58,MATCH(R686,'KT THAN'!$Y$38:$Y$58,-1)))),MIN(0.8*0.75*'KT THAN'!$C$62,'KT THAN'!$D$68/R686)))))</f>
        <v/>
      </c>
      <c r="O686" s="38" t="str">
        <f>IF($A686="","",IF(H686&lt;0,ABS(H686)/MAX('KT THAN'!$C$69,0.001)+'KT THAN'!$C$32*ABS(J686)/MAX('KT THAN'!$C$68,0.001)+'KT THAN'!$D$32*ABS(I686)/MAX('KT THAN'!$D$68,0.001),IF(OR(M686&lt;=0,N686&lt;=0),999,IF(H686&gt;=0.1*0.75*fc_*Agth*1000,H686/MAX(0.001,1/(1/M686+1/N686-1/(0.75*'KT THAN'!$C$62))),'KT THAN'!$C$32*ABS(J686)/MAX('KT THAN'!$C$68,0.001)+'KT THAN'!$D$32*ABS(I686)/MAX('KT THAN'!$D$68,0.001)))))</f>
        <v/>
      </c>
      <c r="P686" s="37" t="str">
        <f t="shared" si="105"/>
        <v/>
      </c>
      <c r="Q686" s="38" t="str">
        <f>IF($A686="","",MAX(0.001,'KT THAN'!$C$32*ABS(J686)/MAX(1,H686)))</f>
        <v/>
      </c>
      <c r="R686" s="38" t="str">
        <f>IF($A686="","",MAX(0.001,'KT THAN'!$D$32*ABS(I686)/MAX(1,H686)))</f>
        <v/>
      </c>
      <c r="S686" t="str">
        <f t="shared" si="99"/>
        <v/>
      </c>
    </row>
    <row r="687" spans="1:19" hidden="1" outlineLevel="1" x14ac:dyDescent="0.3">
      <c r="A687" s="37" t="str">
        <f>IF(OR(nThan=1,'TO HOP NLAN'!$A243=""),"",'TO HOP NLAN'!$A243)</f>
        <v/>
      </c>
      <c r="B687" s="38" t="str">
        <f>IF($A687="","",'TO HOP NLAN'!$D243)</f>
        <v/>
      </c>
      <c r="C687" s="38" t="str">
        <f>IF($A687="","",'TO HOP NLAN'!$E243)</f>
        <v/>
      </c>
      <c r="D687" s="38" t="str">
        <f>IF($A687="","",'TO HOP NLAN'!$F243)</f>
        <v/>
      </c>
      <c r="E687" s="38" t="str">
        <f>IF($A687="","",'TO HOP NLAN'!$B243)</f>
        <v/>
      </c>
      <c r="F687" s="38" t="str">
        <f>IF($A687="","",'TO HOP NLAN'!$C243)</f>
        <v/>
      </c>
      <c r="G687" s="38" t="str">
        <f t="shared" si="100"/>
        <v/>
      </c>
      <c r="H687" s="38" t="str">
        <f t="shared" si="98"/>
        <v/>
      </c>
      <c r="I687" s="38" t="str">
        <f t="shared" si="101"/>
        <v/>
      </c>
      <c r="J687" s="38" t="str">
        <f t="shared" si="102"/>
        <v/>
      </c>
      <c r="K687" s="38" t="str">
        <f t="shared" si="103"/>
        <v/>
      </c>
      <c r="L687" s="38" t="str">
        <f t="shared" si="104"/>
        <v/>
      </c>
      <c r="M687" s="38" t="str">
        <f>IF($A687="","",IF(H687=0,"",IF(Q687&lt;=0.000000001,MIN(0.8*0.75*'KT THAN'!$C$62,MAX('KT THAN'!$J$38:$J$58)),IFERROR(MIN(0.8*0.75*'KT THAN'!$C$62,INDEX('KT THAN'!$J$38:$J$58,MATCH(Q687,'KT THAN'!$L$38:$L$58,-1))+(INDEX('KT THAN'!$J$38:$J$58,MIN(21,MATCH(Q687,'KT THAN'!$L$38:$L$58,-1)+1))-INDEX('KT THAN'!$J$38:$J$58,MATCH(Q687,'KT THAN'!$L$38:$L$58,-1)))*(Q687-INDEX('KT THAN'!$L$38:$L$58,MATCH(Q687,'KT THAN'!$L$38:$L$58,-1)))/(INDEX('KT THAN'!$L$38:$L$58,MIN(21,MATCH(Q687,'KT THAN'!$L$38:$L$58,-1)+1))-INDEX('KT THAN'!$L$38:$L$58,MATCH(Q687,'KT THAN'!$L$38:$L$58,-1)))),MIN(0.8*0.75*'KT THAN'!$C$62,'KT THAN'!$C$68/Q687)))))</f>
        <v/>
      </c>
      <c r="N687" s="38" t="str">
        <f>IF($A687="","",IF(H687=0,"",IF(R687&lt;=0.000000001,MIN(0.8*0.75*'KT THAN'!$C$62,MAX('KT THAN'!$W$38:$W$58)),IFERROR(MIN(0.8*0.75*'KT THAN'!$C$62,INDEX('KT THAN'!$W$38:$W$58,MATCH(R687,'KT THAN'!$Y$38:$Y$58,-1))+(INDEX('KT THAN'!$W$38:$W$58,MIN(21,MATCH(R687,'KT THAN'!$Y$38:$Y$58,-1)+1))-INDEX('KT THAN'!$W$38:$W$58,MATCH(R687,'KT THAN'!$Y$38:$Y$58,-1)))*(R687-INDEX('KT THAN'!$Y$38:$Y$58,MATCH(R687,'KT THAN'!$Y$38:$Y$58,-1)))/(INDEX('KT THAN'!$Y$38:$Y$58,MIN(21,MATCH(R687,'KT THAN'!$Y$38:$Y$58,-1)+1))-INDEX('KT THAN'!$Y$38:$Y$58,MATCH(R687,'KT THAN'!$Y$38:$Y$58,-1)))),MIN(0.8*0.75*'KT THAN'!$C$62,'KT THAN'!$D$68/R687)))))</f>
        <v/>
      </c>
      <c r="O687" s="38" t="str">
        <f>IF($A687="","",IF(H687&lt;0,ABS(H687)/MAX('KT THAN'!$C$69,0.001)+'KT THAN'!$C$32*ABS(J687)/MAX('KT THAN'!$C$68,0.001)+'KT THAN'!$D$32*ABS(I687)/MAX('KT THAN'!$D$68,0.001),IF(OR(M687&lt;=0,N687&lt;=0),999,IF(H687&gt;=0.1*0.75*fc_*Agth*1000,H687/MAX(0.001,1/(1/M687+1/N687-1/(0.75*'KT THAN'!$C$62))),'KT THAN'!$C$32*ABS(J687)/MAX('KT THAN'!$C$68,0.001)+'KT THAN'!$D$32*ABS(I687)/MAX('KT THAN'!$D$68,0.001)))))</f>
        <v/>
      </c>
      <c r="P687" s="37" t="str">
        <f t="shared" si="105"/>
        <v/>
      </c>
      <c r="Q687" s="38" t="str">
        <f>IF($A687="","",MAX(0.001,'KT THAN'!$C$32*ABS(J687)/MAX(1,H687)))</f>
        <v/>
      </c>
      <c r="R687" s="38" t="str">
        <f>IF($A687="","",MAX(0.001,'KT THAN'!$D$32*ABS(I687)/MAX(1,H687)))</f>
        <v/>
      </c>
      <c r="S687" t="str">
        <f t="shared" si="99"/>
        <v/>
      </c>
    </row>
    <row r="688" spans="1:19" hidden="1" outlineLevel="1" x14ac:dyDescent="0.3">
      <c r="A688" s="37" t="str">
        <f>IF(OR(nThan=1,'TO HOP NLAN'!$A244=""),"",'TO HOP NLAN'!$A244)</f>
        <v/>
      </c>
      <c r="B688" s="38" t="str">
        <f>IF($A688="","",'TO HOP NLAN'!$D244)</f>
        <v/>
      </c>
      <c r="C688" s="38" t="str">
        <f>IF($A688="","",'TO HOP NLAN'!$E244)</f>
        <v/>
      </c>
      <c r="D688" s="38" t="str">
        <f>IF($A688="","",'TO HOP NLAN'!$F244)</f>
        <v/>
      </c>
      <c r="E688" s="38" t="str">
        <f>IF($A688="","",'TO HOP NLAN'!$B244)</f>
        <v/>
      </c>
      <c r="F688" s="38" t="str">
        <f>IF($A688="","",'TO HOP NLAN'!$C244)</f>
        <v/>
      </c>
      <c r="G688" s="38" t="str">
        <f t="shared" si="100"/>
        <v/>
      </c>
      <c r="H688" s="38" t="str">
        <f t="shared" si="98"/>
        <v/>
      </c>
      <c r="I688" s="38" t="str">
        <f t="shared" si="101"/>
        <v/>
      </c>
      <c r="J688" s="38" t="str">
        <f t="shared" si="102"/>
        <v/>
      </c>
      <c r="K688" s="38" t="str">
        <f t="shared" si="103"/>
        <v/>
      </c>
      <c r="L688" s="38" t="str">
        <f t="shared" si="104"/>
        <v/>
      </c>
      <c r="M688" s="38" t="str">
        <f>IF($A688="","",IF(H688=0,"",IF(Q688&lt;=0.000000001,MIN(0.8*0.75*'KT THAN'!$C$62,MAX('KT THAN'!$J$38:$J$58)),IFERROR(MIN(0.8*0.75*'KT THAN'!$C$62,INDEX('KT THAN'!$J$38:$J$58,MATCH(Q688,'KT THAN'!$L$38:$L$58,-1))+(INDEX('KT THAN'!$J$38:$J$58,MIN(21,MATCH(Q688,'KT THAN'!$L$38:$L$58,-1)+1))-INDEX('KT THAN'!$J$38:$J$58,MATCH(Q688,'KT THAN'!$L$38:$L$58,-1)))*(Q688-INDEX('KT THAN'!$L$38:$L$58,MATCH(Q688,'KT THAN'!$L$38:$L$58,-1)))/(INDEX('KT THAN'!$L$38:$L$58,MIN(21,MATCH(Q688,'KT THAN'!$L$38:$L$58,-1)+1))-INDEX('KT THAN'!$L$38:$L$58,MATCH(Q688,'KT THAN'!$L$38:$L$58,-1)))),MIN(0.8*0.75*'KT THAN'!$C$62,'KT THAN'!$C$68/Q688)))))</f>
        <v/>
      </c>
      <c r="N688" s="38" t="str">
        <f>IF($A688="","",IF(H688=0,"",IF(R688&lt;=0.000000001,MIN(0.8*0.75*'KT THAN'!$C$62,MAX('KT THAN'!$W$38:$W$58)),IFERROR(MIN(0.8*0.75*'KT THAN'!$C$62,INDEX('KT THAN'!$W$38:$W$58,MATCH(R688,'KT THAN'!$Y$38:$Y$58,-1))+(INDEX('KT THAN'!$W$38:$W$58,MIN(21,MATCH(R688,'KT THAN'!$Y$38:$Y$58,-1)+1))-INDEX('KT THAN'!$W$38:$W$58,MATCH(R688,'KT THAN'!$Y$38:$Y$58,-1)))*(R688-INDEX('KT THAN'!$Y$38:$Y$58,MATCH(R688,'KT THAN'!$Y$38:$Y$58,-1)))/(INDEX('KT THAN'!$Y$38:$Y$58,MIN(21,MATCH(R688,'KT THAN'!$Y$38:$Y$58,-1)+1))-INDEX('KT THAN'!$Y$38:$Y$58,MATCH(R688,'KT THAN'!$Y$38:$Y$58,-1)))),MIN(0.8*0.75*'KT THAN'!$C$62,'KT THAN'!$D$68/R688)))))</f>
        <v/>
      </c>
      <c r="O688" s="38" t="str">
        <f>IF($A688="","",IF(H688&lt;0,ABS(H688)/MAX('KT THAN'!$C$69,0.001)+'KT THAN'!$C$32*ABS(J688)/MAX('KT THAN'!$C$68,0.001)+'KT THAN'!$D$32*ABS(I688)/MAX('KT THAN'!$D$68,0.001),IF(OR(M688&lt;=0,N688&lt;=0),999,IF(H688&gt;=0.1*0.75*fc_*Agth*1000,H688/MAX(0.001,1/(1/M688+1/N688-1/(0.75*'KT THAN'!$C$62))),'KT THAN'!$C$32*ABS(J688)/MAX('KT THAN'!$C$68,0.001)+'KT THAN'!$D$32*ABS(I688)/MAX('KT THAN'!$D$68,0.001)))))</f>
        <v/>
      </c>
      <c r="P688" s="37" t="str">
        <f t="shared" si="105"/>
        <v/>
      </c>
      <c r="Q688" s="38" t="str">
        <f>IF($A688="","",MAX(0.001,'KT THAN'!$C$32*ABS(J688)/MAX(1,H688)))</f>
        <v/>
      </c>
      <c r="R688" s="38" t="str">
        <f>IF($A688="","",MAX(0.001,'KT THAN'!$D$32*ABS(I688)/MAX(1,H688)))</f>
        <v/>
      </c>
      <c r="S688" t="str">
        <f t="shared" si="99"/>
        <v/>
      </c>
    </row>
    <row r="689" spans="1:19" hidden="1" outlineLevel="1" x14ac:dyDescent="0.3">
      <c r="A689" s="37" t="str">
        <f>IF(OR(nThan=1,'TO HOP NLAN'!$A245=""),"",'TO HOP NLAN'!$A245)</f>
        <v/>
      </c>
      <c r="B689" s="38" t="str">
        <f>IF($A689="","",'TO HOP NLAN'!$D245)</f>
        <v/>
      </c>
      <c r="C689" s="38" t="str">
        <f>IF($A689="","",'TO HOP NLAN'!$E245)</f>
        <v/>
      </c>
      <c r="D689" s="38" t="str">
        <f>IF($A689="","",'TO HOP NLAN'!$F245)</f>
        <v/>
      </c>
      <c r="E689" s="38" t="str">
        <f>IF($A689="","",'TO HOP NLAN'!$B245)</f>
        <v/>
      </c>
      <c r="F689" s="38" t="str">
        <f>IF($A689="","",'TO HOP NLAN'!$C245)</f>
        <v/>
      </c>
      <c r="G689" s="38" t="str">
        <f t="shared" si="100"/>
        <v/>
      </c>
      <c r="H689" s="38" t="str">
        <f t="shared" si="98"/>
        <v/>
      </c>
      <c r="I689" s="38" t="str">
        <f t="shared" si="101"/>
        <v/>
      </c>
      <c r="J689" s="38" t="str">
        <f t="shared" si="102"/>
        <v/>
      </c>
      <c r="K689" s="38" t="str">
        <f t="shared" si="103"/>
        <v/>
      </c>
      <c r="L689" s="38" t="str">
        <f t="shared" si="104"/>
        <v/>
      </c>
      <c r="M689" s="38" t="str">
        <f>IF($A689="","",IF(H689=0,"",IF(Q689&lt;=0.000000001,MIN(0.8*0.75*'KT THAN'!$C$62,MAX('KT THAN'!$J$38:$J$58)),IFERROR(MIN(0.8*0.75*'KT THAN'!$C$62,INDEX('KT THAN'!$J$38:$J$58,MATCH(Q689,'KT THAN'!$L$38:$L$58,-1))+(INDEX('KT THAN'!$J$38:$J$58,MIN(21,MATCH(Q689,'KT THAN'!$L$38:$L$58,-1)+1))-INDEX('KT THAN'!$J$38:$J$58,MATCH(Q689,'KT THAN'!$L$38:$L$58,-1)))*(Q689-INDEX('KT THAN'!$L$38:$L$58,MATCH(Q689,'KT THAN'!$L$38:$L$58,-1)))/(INDEX('KT THAN'!$L$38:$L$58,MIN(21,MATCH(Q689,'KT THAN'!$L$38:$L$58,-1)+1))-INDEX('KT THAN'!$L$38:$L$58,MATCH(Q689,'KT THAN'!$L$38:$L$58,-1)))),MIN(0.8*0.75*'KT THAN'!$C$62,'KT THAN'!$C$68/Q689)))))</f>
        <v/>
      </c>
      <c r="N689" s="38" t="str">
        <f>IF($A689="","",IF(H689=0,"",IF(R689&lt;=0.000000001,MIN(0.8*0.75*'KT THAN'!$C$62,MAX('KT THAN'!$W$38:$W$58)),IFERROR(MIN(0.8*0.75*'KT THAN'!$C$62,INDEX('KT THAN'!$W$38:$W$58,MATCH(R689,'KT THAN'!$Y$38:$Y$58,-1))+(INDEX('KT THAN'!$W$38:$W$58,MIN(21,MATCH(R689,'KT THAN'!$Y$38:$Y$58,-1)+1))-INDEX('KT THAN'!$W$38:$W$58,MATCH(R689,'KT THAN'!$Y$38:$Y$58,-1)))*(R689-INDEX('KT THAN'!$Y$38:$Y$58,MATCH(R689,'KT THAN'!$Y$38:$Y$58,-1)))/(INDEX('KT THAN'!$Y$38:$Y$58,MIN(21,MATCH(R689,'KT THAN'!$Y$38:$Y$58,-1)+1))-INDEX('KT THAN'!$Y$38:$Y$58,MATCH(R689,'KT THAN'!$Y$38:$Y$58,-1)))),MIN(0.8*0.75*'KT THAN'!$C$62,'KT THAN'!$D$68/R689)))))</f>
        <v/>
      </c>
      <c r="O689" s="38" t="str">
        <f>IF($A689="","",IF(H689&lt;0,ABS(H689)/MAX('KT THAN'!$C$69,0.001)+'KT THAN'!$C$32*ABS(J689)/MAX('KT THAN'!$C$68,0.001)+'KT THAN'!$D$32*ABS(I689)/MAX('KT THAN'!$D$68,0.001),IF(OR(M689&lt;=0,N689&lt;=0),999,IF(H689&gt;=0.1*0.75*fc_*Agth*1000,H689/MAX(0.001,1/(1/M689+1/N689-1/(0.75*'KT THAN'!$C$62))),'KT THAN'!$C$32*ABS(J689)/MAX('KT THAN'!$C$68,0.001)+'KT THAN'!$D$32*ABS(I689)/MAX('KT THAN'!$D$68,0.001)))))</f>
        <v/>
      </c>
      <c r="P689" s="37" t="str">
        <f t="shared" si="105"/>
        <v/>
      </c>
      <c r="Q689" s="38" t="str">
        <f>IF($A689="","",MAX(0.001,'KT THAN'!$C$32*ABS(J689)/MAX(1,H689)))</f>
        <v/>
      </c>
      <c r="R689" s="38" t="str">
        <f>IF($A689="","",MAX(0.001,'KT THAN'!$D$32*ABS(I689)/MAX(1,H689)))</f>
        <v/>
      </c>
      <c r="S689" t="str">
        <f t="shared" si="99"/>
        <v/>
      </c>
    </row>
    <row r="690" spans="1:19" hidden="1" outlineLevel="1" x14ac:dyDescent="0.3">
      <c r="A690" s="37" t="str">
        <f>IF(OR(nThan=1,'TO HOP NLAN'!$A246=""),"",'TO HOP NLAN'!$A246)</f>
        <v/>
      </c>
      <c r="B690" s="38" t="str">
        <f>IF($A690="","",'TO HOP NLAN'!$D246)</f>
        <v/>
      </c>
      <c r="C690" s="38" t="str">
        <f>IF($A690="","",'TO HOP NLAN'!$E246)</f>
        <v/>
      </c>
      <c r="D690" s="38" t="str">
        <f>IF($A690="","",'TO HOP NLAN'!$F246)</f>
        <v/>
      </c>
      <c r="E690" s="38" t="str">
        <f>IF($A690="","",'TO HOP NLAN'!$B246)</f>
        <v/>
      </c>
      <c r="F690" s="38" t="str">
        <f>IF($A690="","",'TO HOP NLAN'!$C246)</f>
        <v/>
      </c>
      <c r="G690" s="38" t="str">
        <f t="shared" si="100"/>
        <v/>
      </c>
      <c r="H690" s="38" t="str">
        <f t="shared" si="98"/>
        <v/>
      </c>
      <c r="I690" s="38" t="str">
        <f t="shared" si="101"/>
        <v/>
      </c>
      <c r="J690" s="38" t="str">
        <f t="shared" si="102"/>
        <v/>
      </c>
      <c r="K690" s="38" t="str">
        <f t="shared" si="103"/>
        <v/>
      </c>
      <c r="L690" s="38" t="str">
        <f t="shared" si="104"/>
        <v/>
      </c>
      <c r="M690" s="38" t="str">
        <f>IF($A690="","",IF(H690=0,"",IF(Q690&lt;=0.000000001,MIN(0.8*0.75*'KT THAN'!$C$62,MAX('KT THAN'!$J$38:$J$58)),IFERROR(MIN(0.8*0.75*'KT THAN'!$C$62,INDEX('KT THAN'!$J$38:$J$58,MATCH(Q690,'KT THAN'!$L$38:$L$58,-1))+(INDEX('KT THAN'!$J$38:$J$58,MIN(21,MATCH(Q690,'KT THAN'!$L$38:$L$58,-1)+1))-INDEX('KT THAN'!$J$38:$J$58,MATCH(Q690,'KT THAN'!$L$38:$L$58,-1)))*(Q690-INDEX('KT THAN'!$L$38:$L$58,MATCH(Q690,'KT THAN'!$L$38:$L$58,-1)))/(INDEX('KT THAN'!$L$38:$L$58,MIN(21,MATCH(Q690,'KT THAN'!$L$38:$L$58,-1)+1))-INDEX('KT THAN'!$L$38:$L$58,MATCH(Q690,'KT THAN'!$L$38:$L$58,-1)))),MIN(0.8*0.75*'KT THAN'!$C$62,'KT THAN'!$C$68/Q690)))))</f>
        <v/>
      </c>
      <c r="N690" s="38" t="str">
        <f>IF($A690="","",IF(H690=0,"",IF(R690&lt;=0.000000001,MIN(0.8*0.75*'KT THAN'!$C$62,MAX('KT THAN'!$W$38:$W$58)),IFERROR(MIN(0.8*0.75*'KT THAN'!$C$62,INDEX('KT THAN'!$W$38:$W$58,MATCH(R690,'KT THAN'!$Y$38:$Y$58,-1))+(INDEX('KT THAN'!$W$38:$W$58,MIN(21,MATCH(R690,'KT THAN'!$Y$38:$Y$58,-1)+1))-INDEX('KT THAN'!$W$38:$W$58,MATCH(R690,'KT THAN'!$Y$38:$Y$58,-1)))*(R690-INDEX('KT THAN'!$Y$38:$Y$58,MATCH(R690,'KT THAN'!$Y$38:$Y$58,-1)))/(INDEX('KT THAN'!$Y$38:$Y$58,MIN(21,MATCH(R690,'KT THAN'!$Y$38:$Y$58,-1)+1))-INDEX('KT THAN'!$Y$38:$Y$58,MATCH(R690,'KT THAN'!$Y$38:$Y$58,-1)))),MIN(0.8*0.75*'KT THAN'!$C$62,'KT THAN'!$D$68/R690)))))</f>
        <v/>
      </c>
      <c r="O690" s="38" t="str">
        <f>IF($A690="","",IF(H690&lt;0,ABS(H690)/MAX('KT THAN'!$C$69,0.001)+'KT THAN'!$C$32*ABS(J690)/MAX('KT THAN'!$C$68,0.001)+'KT THAN'!$D$32*ABS(I690)/MAX('KT THAN'!$D$68,0.001),IF(OR(M690&lt;=0,N690&lt;=0),999,IF(H690&gt;=0.1*0.75*fc_*Agth*1000,H690/MAX(0.001,1/(1/M690+1/N690-1/(0.75*'KT THAN'!$C$62))),'KT THAN'!$C$32*ABS(J690)/MAX('KT THAN'!$C$68,0.001)+'KT THAN'!$D$32*ABS(I690)/MAX('KT THAN'!$D$68,0.001)))))</f>
        <v/>
      </c>
      <c r="P690" s="37" t="str">
        <f t="shared" si="105"/>
        <v/>
      </c>
      <c r="Q690" s="38" t="str">
        <f>IF($A690="","",MAX(0.001,'KT THAN'!$C$32*ABS(J690)/MAX(1,H690)))</f>
        <v/>
      </c>
      <c r="R690" s="38" t="str">
        <f>IF($A690="","",MAX(0.001,'KT THAN'!$D$32*ABS(I690)/MAX(1,H690)))</f>
        <v/>
      </c>
      <c r="S690" t="str">
        <f t="shared" si="99"/>
        <v/>
      </c>
    </row>
    <row r="691" spans="1:19" hidden="1" outlineLevel="1" x14ac:dyDescent="0.3">
      <c r="A691" s="37" t="str">
        <f>IF(OR(nThan=1,'TO HOP NLAN'!$A247=""),"",'TO HOP NLAN'!$A247)</f>
        <v/>
      </c>
      <c r="B691" s="38" t="str">
        <f>IF($A691="","",'TO HOP NLAN'!$D247)</f>
        <v/>
      </c>
      <c r="C691" s="38" t="str">
        <f>IF($A691="","",'TO HOP NLAN'!$E247)</f>
        <v/>
      </c>
      <c r="D691" s="38" t="str">
        <f>IF($A691="","",'TO HOP NLAN'!$F247)</f>
        <v/>
      </c>
      <c r="E691" s="38" t="str">
        <f>IF($A691="","",'TO HOP NLAN'!$B247)</f>
        <v/>
      </c>
      <c r="F691" s="38" t="str">
        <f>IF($A691="","",'TO HOP NLAN'!$C247)</f>
        <v/>
      </c>
      <c r="G691" s="38" t="str">
        <f t="shared" si="100"/>
        <v/>
      </c>
      <c r="H691" s="38" t="str">
        <f t="shared" si="98"/>
        <v/>
      </c>
      <c r="I691" s="38" t="str">
        <f t="shared" si="101"/>
        <v/>
      </c>
      <c r="J691" s="38" t="str">
        <f t="shared" si="102"/>
        <v/>
      </c>
      <c r="K691" s="38" t="str">
        <f t="shared" si="103"/>
        <v/>
      </c>
      <c r="L691" s="38" t="str">
        <f t="shared" si="104"/>
        <v/>
      </c>
      <c r="M691" s="38" t="str">
        <f>IF($A691="","",IF(H691=0,"",IF(Q691&lt;=0.000000001,MIN(0.8*0.75*'KT THAN'!$C$62,MAX('KT THAN'!$J$38:$J$58)),IFERROR(MIN(0.8*0.75*'KT THAN'!$C$62,INDEX('KT THAN'!$J$38:$J$58,MATCH(Q691,'KT THAN'!$L$38:$L$58,-1))+(INDEX('KT THAN'!$J$38:$J$58,MIN(21,MATCH(Q691,'KT THAN'!$L$38:$L$58,-1)+1))-INDEX('KT THAN'!$J$38:$J$58,MATCH(Q691,'KT THAN'!$L$38:$L$58,-1)))*(Q691-INDEX('KT THAN'!$L$38:$L$58,MATCH(Q691,'KT THAN'!$L$38:$L$58,-1)))/(INDEX('KT THAN'!$L$38:$L$58,MIN(21,MATCH(Q691,'KT THAN'!$L$38:$L$58,-1)+1))-INDEX('KT THAN'!$L$38:$L$58,MATCH(Q691,'KT THAN'!$L$38:$L$58,-1)))),MIN(0.8*0.75*'KT THAN'!$C$62,'KT THAN'!$C$68/Q691)))))</f>
        <v/>
      </c>
      <c r="N691" s="38" t="str">
        <f>IF($A691="","",IF(H691=0,"",IF(R691&lt;=0.000000001,MIN(0.8*0.75*'KT THAN'!$C$62,MAX('KT THAN'!$W$38:$W$58)),IFERROR(MIN(0.8*0.75*'KT THAN'!$C$62,INDEX('KT THAN'!$W$38:$W$58,MATCH(R691,'KT THAN'!$Y$38:$Y$58,-1))+(INDEX('KT THAN'!$W$38:$W$58,MIN(21,MATCH(R691,'KT THAN'!$Y$38:$Y$58,-1)+1))-INDEX('KT THAN'!$W$38:$W$58,MATCH(R691,'KT THAN'!$Y$38:$Y$58,-1)))*(R691-INDEX('KT THAN'!$Y$38:$Y$58,MATCH(R691,'KT THAN'!$Y$38:$Y$58,-1)))/(INDEX('KT THAN'!$Y$38:$Y$58,MIN(21,MATCH(R691,'KT THAN'!$Y$38:$Y$58,-1)+1))-INDEX('KT THAN'!$Y$38:$Y$58,MATCH(R691,'KT THAN'!$Y$38:$Y$58,-1)))),MIN(0.8*0.75*'KT THAN'!$C$62,'KT THAN'!$D$68/R691)))))</f>
        <v/>
      </c>
      <c r="O691" s="38" t="str">
        <f>IF($A691="","",IF(H691&lt;0,ABS(H691)/MAX('KT THAN'!$C$69,0.001)+'KT THAN'!$C$32*ABS(J691)/MAX('KT THAN'!$C$68,0.001)+'KT THAN'!$D$32*ABS(I691)/MAX('KT THAN'!$D$68,0.001),IF(OR(M691&lt;=0,N691&lt;=0),999,IF(H691&gt;=0.1*0.75*fc_*Agth*1000,H691/MAX(0.001,1/(1/M691+1/N691-1/(0.75*'KT THAN'!$C$62))),'KT THAN'!$C$32*ABS(J691)/MAX('KT THAN'!$C$68,0.001)+'KT THAN'!$D$32*ABS(I691)/MAX('KT THAN'!$D$68,0.001)))))</f>
        <v/>
      </c>
      <c r="P691" s="37" t="str">
        <f t="shared" si="105"/>
        <v/>
      </c>
      <c r="Q691" s="38" t="str">
        <f>IF($A691="","",MAX(0.001,'KT THAN'!$C$32*ABS(J691)/MAX(1,H691)))</f>
        <v/>
      </c>
      <c r="R691" s="38" t="str">
        <f>IF($A691="","",MAX(0.001,'KT THAN'!$D$32*ABS(I691)/MAX(1,H691)))</f>
        <v/>
      </c>
      <c r="S691" t="str">
        <f t="shared" si="99"/>
        <v/>
      </c>
    </row>
    <row r="692" spans="1:19" hidden="1" outlineLevel="1" x14ac:dyDescent="0.3">
      <c r="A692" s="37" t="str">
        <f>IF(OR(nThan=1,'TO HOP NLAN'!$A248=""),"",'TO HOP NLAN'!$A248)</f>
        <v/>
      </c>
      <c r="B692" s="38" t="str">
        <f>IF($A692="","",'TO HOP NLAN'!$D248)</f>
        <v/>
      </c>
      <c r="C692" s="38" t="str">
        <f>IF($A692="","",'TO HOP NLAN'!$E248)</f>
        <v/>
      </c>
      <c r="D692" s="38" t="str">
        <f>IF($A692="","",'TO HOP NLAN'!$F248)</f>
        <v/>
      </c>
      <c r="E692" s="38" t="str">
        <f>IF($A692="","",'TO HOP NLAN'!$B248)</f>
        <v/>
      </c>
      <c r="F692" s="38" t="str">
        <f>IF($A692="","",'TO HOP NLAN'!$C248)</f>
        <v/>
      </c>
      <c r="G692" s="38" t="str">
        <f t="shared" si="100"/>
        <v/>
      </c>
      <c r="H692" s="38" t="str">
        <f t="shared" si="98"/>
        <v/>
      </c>
      <c r="I692" s="38" t="str">
        <f t="shared" si="101"/>
        <v/>
      </c>
      <c r="J692" s="38" t="str">
        <f t="shared" si="102"/>
        <v/>
      </c>
      <c r="K692" s="38" t="str">
        <f t="shared" si="103"/>
        <v/>
      </c>
      <c r="L692" s="38" t="str">
        <f t="shared" si="104"/>
        <v/>
      </c>
      <c r="M692" s="38" t="str">
        <f>IF($A692="","",IF(H692=0,"",IF(Q692&lt;=0.000000001,MIN(0.8*0.75*'KT THAN'!$C$62,MAX('KT THAN'!$J$38:$J$58)),IFERROR(MIN(0.8*0.75*'KT THAN'!$C$62,INDEX('KT THAN'!$J$38:$J$58,MATCH(Q692,'KT THAN'!$L$38:$L$58,-1))+(INDEX('KT THAN'!$J$38:$J$58,MIN(21,MATCH(Q692,'KT THAN'!$L$38:$L$58,-1)+1))-INDEX('KT THAN'!$J$38:$J$58,MATCH(Q692,'KT THAN'!$L$38:$L$58,-1)))*(Q692-INDEX('KT THAN'!$L$38:$L$58,MATCH(Q692,'KT THAN'!$L$38:$L$58,-1)))/(INDEX('KT THAN'!$L$38:$L$58,MIN(21,MATCH(Q692,'KT THAN'!$L$38:$L$58,-1)+1))-INDEX('KT THAN'!$L$38:$L$58,MATCH(Q692,'KT THAN'!$L$38:$L$58,-1)))),MIN(0.8*0.75*'KT THAN'!$C$62,'KT THAN'!$C$68/Q692)))))</f>
        <v/>
      </c>
      <c r="N692" s="38" t="str">
        <f>IF($A692="","",IF(H692=0,"",IF(R692&lt;=0.000000001,MIN(0.8*0.75*'KT THAN'!$C$62,MAX('KT THAN'!$W$38:$W$58)),IFERROR(MIN(0.8*0.75*'KT THAN'!$C$62,INDEX('KT THAN'!$W$38:$W$58,MATCH(R692,'KT THAN'!$Y$38:$Y$58,-1))+(INDEX('KT THAN'!$W$38:$W$58,MIN(21,MATCH(R692,'KT THAN'!$Y$38:$Y$58,-1)+1))-INDEX('KT THAN'!$W$38:$W$58,MATCH(R692,'KT THAN'!$Y$38:$Y$58,-1)))*(R692-INDEX('KT THAN'!$Y$38:$Y$58,MATCH(R692,'KT THAN'!$Y$38:$Y$58,-1)))/(INDEX('KT THAN'!$Y$38:$Y$58,MIN(21,MATCH(R692,'KT THAN'!$Y$38:$Y$58,-1)+1))-INDEX('KT THAN'!$Y$38:$Y$58,MATCH(R692,'KT THAN'!$Y$38:$Y$58,-1)))),MIN(0.8*0.75*'KT THAN'!$C$62,'KT THAN'!$D$68/R692)))))</f>
        <v/>
      </c>
      <c r="O692" s="38" t="str">
        <f>IF($A692="","",IF(H692&lt;0,ABS(H692)/MAX('KT THAN'!$C$69,0.001)+'KT THAN'!$C$32*ABS(J692)/MAX('KT THAN'!$C$68,0.001)+'KT THAN'!$D$32*ABS(I692)/MAX('KT THAN'!$D$68,0.001),IF(OR(M692&lt;=0,N692&lt;=0),999,IF(H692&gt;=0.1*0.75*fc_*Agth*1000,H692/MAX(0.001,1/(1/M692+1/N692-1/(0.75*'KT THAN'!$C$62))),'KT THAN'!$C$32*ABS(J692)/MAX('KT THAN'!$C$68,0.001)+'KT THAN'!$D$32*ABS(I692)/MAX('KT THAN'!$D$68,0.001)))))</f>
        <v/>
      </c>
      <c r="P692" s="37" t="str">
        <f t="shared" si="105"/>
        <v/>
      </c>
      <c r="Q692" s="38" t="str">
        <f>IF($A692="","",MAX(0.001,'KT THAN'!$C$32*ABS(J692)/MAX(1,H692)))</f>
        <v/>
      </c>
      <c r="R692" s="38" t="str">
        <f>IF($A692="","",MAX(0.001,'KT THAN'!$D$32*ABS(I692)/MAX(1,H692)))</f>
        <v/>
      </c>
      <c r="S692" t="str">
        <f t="shared" si="99"/>
        <v/>
      </c>
    </row>
    <row r="693" spans="1:19" hidden="1" outlineLevel="1" x14ac:dyDescent="0.3">
      <c r="A693" s="37" t="str">
        <f>IF(OR(nThan=1,'TO HOP NLAN'!$A249=""),"",'TO HOP NLAN'!$A249)</f>
        <v/>
      </c>
      <c r="B693" s="38" t="str">
        <f>IF($A693="","",'TO HOP NLAN'!$D249)</f>
        <v/>
      </c>
      <c r="C693" s="38" t="str">
        <f>IF($A693="","",'TO HOP NLAN'!$E249)</f>
        <v/>
      </c>
      <c r="D693" s="38" t="str">
        <f>IF($A693="","",'TO HOP NLAN'!$F249)</f>
        <v/>
      </c>
      <c r="E693" s="38" t="str">
        <f>IF($A693="","",'TO HOP NLAN'!$B249)</f>
        <v/>
      </c>
      <c r="F693" s="38" t="str">
        <f>IF($A693="","",'TO HOP NLAN'!$C249)</f>
        <v/>
      </c>
      <c r="G693" s="38" t="str">
        <f t="shared" si="100"/>
        <v/>
      </c>
      <c r="H693" s="38" t="str">
        <f t="shared" si="98"/>
        <v/>
      </c>
      <c r="I693" s="38" t="str">
        <f t="shared" si="101"/>
        <v/>
      </c>
      <c r="J693" s="38" t="str">
        <f t="shared" si="102"/>
        <v/>
      </c>
      <c r="K693" s="38" t="str">
        <f t="shared" si="103"/>
        <v/>
      </c>
      <c r="L693" s="38" t="str">
        <f t="shared" si="104"/>
        <v/>
      </c>
      <c r="M693" s="38" t="str">
        <f>IF($A693="","",IF(H693=0,"",IF(Q693&lt;=0.000000001,MIN(0.8*0.75*'KT THAN'!$C$62,MAX('KT THAN'!$J$38:$J$58)),IFERROR(MIN(0.8*0.75*'KT THAN'!$C$62,INDEX('KT THAN'!$J$38:$J$58,MATCH(Q693,'KT THAN'!$L$38:$L$58,-1))+(INDEX('KT THAN'!$J$38:$J$58,MIN(21,MATCH(Q693,'KT THAN'!$L$38:$L$58,-1)+1))-INDEX('KT THAN'!$J$38:$J$58,MATCH(Q693,'KT THAN'!$L$38:$L$58,-1)))*(Q693-INDEX('KT THAN'!$L$38:$L$58,MATCH(Q693,'KT THAN'!$L$38:$L$58,-1)))/(INDEX('KT THAN'!$L$38:$L$58,MIN(21,MATCH(Q693,'KT THAN'!$L$38:$L$58,-1)+1))-INDEX('KT THAN'!$L$38:$L$58,MATCH(Q693,'KT THAN'!$L$38:$L$58,-1)))),MIN(0.8*0.75*'KT THAN'!$C$62,'KT THAN'!$C$68/Q693)))))</f>
        <v/>
      </c>
      <c r="N693" s="38" t="str">
        <f>IF($A693="","",IF(H693=0,"",IF(R693&lt;=0.000000001,MIN(0.8*0.75*'KT THAN'!$C$62,MAX('KT THAN'!$W$38:$W$58)),IFERROR(MIN(0.8*0.75*'KT THAN'!$C$62,INDEX('KT THAN'!$W$38:$W$58,MATCH(R693,'KT THAN'!$Y$38:$Y$58,-1))+(INDEX('KT THAN'!$W$38:$W$58,MIN(21,MATCH(R693,'KT THAN'!$Y$38:$Y$58,-1)+1))-INDEX('KT THAN'!$W$38:$W$58,MATCH(R693,'KT THAN'!$Y$38:$Y$58,-1)))*(R693-INDEX('KT THAN'!$Y$38:$Y$58,MATCH(R693,'KT THAN'!$Y$38:$Y$58,-1)))/(INDEX('KT THAN'!$Y$38:$Y$58,MIN(21,MATCH(R693,'KT THAN'!$Y$38:$Y$58,-1)+1))-INDEX('KT THAN'!$Y$38:$Y$58,MATCH(R693,'KT THAN'!$Y$38:$Y$58,-1)))),MIN(0.8*0.75*'KT THAN'!$C$62,'KT THAN'!$D$68/R693)))))</f>
        <v/>
      </c>
      <c r="O693" s="38" t="str">
        <f>IF($A693="","",IF(H693&lt;0,ABS(H693)/MAX('KT THAN'!$C$69,0.001)+'KT THAN'!$C$32*ABS(J693)/MAX('KT THAN'!$C$68,0.001)+'KT THAN'!$D$32*ABS(I693)/MAX('KT THAN'!$D$68,0.001),IF(OR(M693&lt;=0,N693&lt;=0),999,IF(H693&gt;=0.1*0.75*fc_*Agth*1000,H693/MAX(0.001,1/(1/M693+1/N693-1/(0.75*'KT THAN'!$C$62))),'KT THAN'!$C$32*ABS(J693)/MAX('KT THAN'!$C$68,0.001)+'KT THAN'!$D$32*ABS(I693)/MAX('KT THAN'!$D$68,0.001)))))</f>
        <v/>
      </c>
      <c r="P693" s="37" t="str">
        <f t="shared" si="105"/>
        <v/>
      </c>
      <c r="Q693" s="38" t="str">
        <f>IF($A693="","",MAX(0.001,'KT THAN'!$C$32*ABS(J693)/MAX(1,H693)))</f>
        <v/>
      </c>
      <c r="R693" s="38" t="str">
        <f>IF($A693="","",MAX(0.001,'KT THAN'!$D$32*ABS(I693)/MAX(1,H693)))</f>
        <v/>
      </c>
      <c r="S693" t="str">
        <f t="shared" si="99"/>
        <v/>
      </c>
    </row>
    <row r="694" spans="1:19" hidden="1" outlineLevel="1" x14ac:dyDescent="0.3">
      <c r="A694" s="37" t="str">
        <f>IF(OR(nThan=1,'TO HOP NLAN'!$A250=""),"",'TO HOP NLAN'!$A250)</f>
        <v/>
      </c>
      <c r="B694" s="38" t="str">
        <f>IF($A694="","",'TO HOP NLAN'!$D250)</f>
        <v/>
      </c>
      <c r="C694" s="38" t="str">
        <f>IF($A694="","",'TO HOP NLAN'!$E250)</f>
        <v/>
      </c>
      <c r="D694" s="38" t="str">
        <f>IF($A694="","",'TO HOP NLAN'!$F250)</f>
        <v/>
      </c>
      <c r="E694" s="38" t="str">
        <f>IF($A694="","",'TO HOP NLAN'!$B250)</f>
        <v/>
      </c>
      <c r="F694" s="38" t="str">
        <f>IF($A694="","",'TO HOP NLAN'!$C250)</f>
        <v/>
      </c>
      <c r="G694" s="38" t="str">
        <f t="shared" si="100"/>
        <v/>
      </c>
      <c r="H694" s="38" t="str">
        <f t="shared" si="98"/>
        <v/>
      </c>
      <c r="I694" s="38" t="str">
        <f t="shared" si="101"/>
        <v/>
      </c>
      <c r="J694" s="38" t="str">
        <f t="shared" si="102"/>
        <v/>
      </c>
      <c r="K694" s="38" t="str">
        <f t="shared" si="103"/>
        <v/>
      </c>
      <c r="L694" s="38" t="str">
        <f t="shared" si="104"/>
        <v/>
      </c>
      <c r="M694" s="38" t="str">
        <f>IF($A694="","",IF(H694=0,"",IF(Q694&lt;=0.000000001,MIN(0.8*0.75*'KT THAN'!$C$62,MAX('KT THAN'!$J$38:$J$58)),IFERROR(MIN(0.8*0.75*'KT THAN'!$C$62,INDEX('KT THAN'!$J$38:$J$58,MATCH(Q694,'KT THAN'!$L$38:$L$58,-1))+(INDEX('KT THAN'!$J$38:$J$58,MIN(21,MATCH(Q694,'KT THAN'!$L$38:$L$58,-1)+1))-INDEX('KT THAN'!$J$38:$J$58,MATCH(Q694,'KT THAN'!$L$38:$L$58,-1)))*(Q694-INDEX('KT THAN'!$L$38:$L$58,MATCH(Q694,'KT THAN'!$L$38:$L$58,-1)))/(INDEX('KT THAN'!$L$38:$L$58,MIN(21,MATCH(Q694,'KT THAN'!$L$38:$L$58,-1)+1))-INDEX('KT THAN'!$L$38:$L$58,MATCH(Q694,'KT THAN'!$L$38:$L$58,-1)))),MIN(0.8*0.75*'KT THAN'!$C$62,'KT THAN'!$C$68/Q694)))))</f>
        <v/>
      </c>
      <c r="N694" s="38" t="str">
        <f>IF($A694="","",IF(H694=0,"",IF(R694&lt;=0.000000001,MIN(0.8*0.75*'KT THAN'!$C$62,MAX('KT THAN'!$W$38:$W$58)),IFERROR(MIN(0.8*0.75*'KT THAN'!$C$62,INDEX('KT THAN'!$W$38:$W$58,MATCH(R694,'KT THAN'!$Y$38:$Y$58,-1))+(INDEX('KT THAN'!$W$38:$W$58,MIN(21,MATCH(R694,'KT THAN'!$Y$38:$Y$58,-1)+1))-INDEX('KT THAN'!$W$38:$W$58,MATCH(R694,'KT THAN'!$Y$38:$Y$58,-1)))*(R694-INDEX('KT THAN'!$Y$38:$Y$58,MATCH(R694,'KT THAN'!$Y$38:$Y$58,-1)))/(INDEX('KT THAN'!$Y$38:$Y$58,MIN(21,MATCH(R694,'KT THAN'!$Y$38:$Y$58,-1)+1))-INDEX('KT THAN'!$Y$38:$Y$58,MATCH(R694,'KT THAN'!$Y$38:$Y$58,-1)))),MIN(0.8*0.75*'KT THAN'!$C$62,'KT THAN'!$D$68/R694)))))</f>
        <v/>
      </c>
      <c r="O694" s="38" t="str">
        <f>IF($A694="","",IF(H694&lt;0,ABS(H694)/MAX('KT THAN'!$C$69,0.001)+'KT THAN'!$C$32*ABS(J694)/MAX('KT THAN'!$C$68,0.001)+'KT THAN'!$D$32*ABS(I694)/MAX('KT THAN'!$D$68,0.001),IF(OR(M694&lt;=0,N694&lt;=0),999,IF(H694&gt;=0.1*0.75*fc_*Agth*1000,H694/MAX(0.001,1/(1/M694+1/N694-1/(0.75*'KT THAN'!$C$62))),'KT THAN'!$C$32*ABS(J694)/MAX('KT THAN'!$C$68,0.001)+'KT THAN'!$D$32*ABS(I694)/MAX('KT THAN'!$D$68,0.001)))))</f>
        <v/>
      </c>
      <c r="P694" s="37" t="str">
        <f t="shared" si="105"/>
        <v/>
      </c>
      <c r="Q694" s="38" t="str">
        <f>IF($A694="","",MAX(0.001,'KT THAN'!$C$32*ABS(J694)/MAX(1,H694)))</f>
        <v/>
      </c>
      <c r="R694" s="38" t="str">
        <f>IF($A694="","",MAX(0.001,'KT THAN'!$D$32*ABS(I694)/MAX(1,H694)))</f>
        <v/>
      </c>
      <c r="S694" t="str">
        <f t="shared" si="99"/>
        <v/>
      </c>
    </row>
    <row r="695" spans="1:19" hidden="1" outlineLevel="1" x14ac:dyDescent="0.3">
      <c r="A695" s="37" t="str">
        <f>IF(OR(nThan=1,'TO HOP NLAN'!$A251=""),"",'TO HOP NLAN'!$A251)</f>
        <v/>
      </c>
      <c r="B695" s="38" t="str">
        <f>IF($A695="","",'TO HOP NLAN'!$D251)</f>
        <v/>
      </c>
      <c r="C695" s="38" t="str">
        <f>IF($A695="","",'TO HOP NLAN'!$E251)</f>
        <v/>
      </c>
      <c r="D695" s="38" t="str">
        <f>IF($A695="","",'TO HOP NLAN'!$F251)</f>
        <v/>
      </c>
      <c r="E695" s="38" t="str">
        <f>IF($A695="","",'TO HOP NLAN'!$B251)</f>
        <v/>
      </c>
      <c r="F695" s="38" t="str">
        <f>IF($A695="","",'TO HOP NLAN'!$C251)</f>
        <v/>
      </c>
      <c r="G695" s="38" t="str">
        <f t="shared" si="100"/>
        <v/>
      </c>
      <c r="H695" s="38" t="str">
        <f t="shared" si="98"/>
        <v/>
      </c>
      <c r="I695" s="38" t="str">
        <f t="shared" si="101"/>
        <v/>
      </c>
      <c r="J695" s="38" t="str">
        <f t="shared" si="102"/>
        <v/>
      </c>
      <c r="K695" s="38" t="str">
        <f t="shared" si="103"/>
        <v/>
      </c>
      <c r="L695" s="38" t="str">
        <f t="shared" si="104"/>
        <v/>
      </c>
      <c r="M695" s="38" t="str">
        <f>IF($A695="","",IF(H695=0,"",IF(Q695&lt;=0.000000001,MIN(0.8*0.75*'KT THAN'!$C$62,MAX('KT THAN'!$J$38:$J$58)),IFERROR(MIN(0.8*0.75*'KT THAN'!$C$62,INDEX('KT THAN'!$J$38:$J$58,MATCH(Q695,'KT THAN'!$L$38:$L$58,-1))+(INDEX('KT THAN'!$J$38:$J$58,MIN(21,MATCH(Q695,'KT THAN'!$L$38:$L$58,-1)+1))-INDEX('KT THAN'!$J$38:$J$58,MATCH(Q695,'KT THAN'!$L$38:$L$58,-1)))*(Q695-INDEX('KT THAN'!$L$38:$L$58,MATCH(Q695,'KT THAN'!$L$38:$L$58,-1)))/(INDEX('KT THAN'!$L$38:$L$58,MIN(21,MATCH(Q695,'KT THAN'!$L$38:$L$58,-1)+1))-INDEX('KT THAN'!$L$38:$L$58,MATCH(Q695,'KT THAN'!$L$38:$L$58,-1)))),MIN(0.8*0.75*'KT THAN'!$C$62,'KT THAN'!$C$68/Q695)))))</f>
        <v/>
      </c>
      <c r="N695" s="38" t="str">
        <f>IF($A695="","",IF(H695=0,"",IF(R695&lt;=0.000000001,MIN(0.8*0.75*'KT THAN'!$C$62,MAX('KT THAN'!$W$38:$W$58)),IFERROR(MIN(0.8*0.75*'KT THAN'!$C$62,INDEX('KT THAN'!$W$38:$W$58,MATCH(R695,'KT THAN'!$Y$38:$Y$58,-1))+(INDEX('KT THAN'!$W$38:$W$58,MIN(21,MATCH(R695,'KT THAN'!$Y$38:$Y$58,-1)+1))-INDEX('KT THAN'!$W$38:$W$58,MATCH(R695,'KT THAN'!$Y$38:$Y$58,-1)))*(R695-INDEX('KT THAN'!$Y$38:$Y$58,MATCH(R695,'KT THAN'!$Y$38:$Y$58,-1)))/(INDEX('KT THAN'!$Y$38:$Y$58,MIN(21,MATCH(R695,'KT THAN'!$Y$38:$Y$58,-1)+1))-INDEX('KT THAN'!$Y$38:$Y$58,MATCH(R695,'KT THAN'!$Y$38:$Y$58,-1)))),MIN(0.8*0.75*'KT THAN'!$C$62,'KT THAN'!$D$68/R695)))))</f>
        <v/>
      </c>
      <c r="O695" s="38" t="str">
        <f>IF($A695="","",IF(H695&lt;0,ABS(H695)/MAX('KT THAN'!$C$69,0.001)+'KT THAN'!$C$32*ABS(J695)/MAX('KT THAN'!$C$68,0.001)+'KT THAN'!$D$32*ABS(I695)/MAX('KT THAN'!$D$68,0.001),IF(OR(M695&lt;=0,N695&lt;=0),999,IF(H695&gt;=0.1*0.75*fc_*Agth*1000,H695/MAX(0.001,1/(1/M695+1/N695-1/(0.75*'KT THAN'!$C$62))),'KT THAN'!$C$32*ABS(J695)/MAX('KT THAN'!$C$68,0.001)+'KT THAN'!$D$32*ABS(I695)/MAX('KT THAN'!$D$68,0.001)))))</f>
        <v/>
      </c>
      <c r="P695" s="37" t="str">
        <f t="shared" si="105"/>
        <v/>
      </c>
      <c r="Q695" s="38" t="str">
        <f>IF($A695="","",MAX(0.001,'KT THAN'!$C$32*ABS(J695)/MAX(1,H695)))</f>
        <v/>
      </c>
      <c r="R695" s="38" t="str">
        <f>IF($A695="","",MAX(0.001,'KT THAN'!$D$32*ABS(I695)/MAX(1,H695)))</f>
        <v/>
      </c>
      <c r="S695" t="str">
        <f t="shared" si="99"/>
        <v/>
      </c>
    </row>
    <row r="696" spans="1:19" hidden="1" outlineLevel="1" x14ac:dyDescent="0.3">
      <c r="A696" s="37" t="str">
        <f>IF(OR(nThan=1,'TO HOP NLAN'!$A252=""),"",'TO HOP NLAN'!$A252)</f>
        <v/>
      </c>
      <c r="B696" s="38" t="str">
        <f>IF($A696="","",'TO HOP NLAN'!$D252)</f>
        <v/>
      </c>
      <c r="C696" s="38" t="str">
        <f>IF($A696="","",'TO HOP NLAN'!$E252)</f>
        <v/>
      </c>
      <c r="D696" s="38" t="str">
        <f>IF($A696="","",'TO HOP NLAN'!$F252)</f>
        <v/>
      </c>
      <c r="E696" s="38" t="str">
        <f>IF($A696="","",'TO HOP NLAN'!$B252)</f>
        <v/>
      </c>
      <c r="F696" s="38" t="str">
        <f>IF($A696="","",'TO HOP NLAN'!$C252)</f>
        <v/>
      </c>
      <c r="G696" s="38" t="str">
        <f t="shared" si="100"/>
        <v/>
      </c>
      <c r="H696" s="38" t="str">
        <f t="shared" si="98"/>
        <v/>
      </c>
      <c r="I696" s="38" t="str">
        <f t="shared" si="101"/>
        <v/>
      </c>
      <c r="J696" s="38" t="str">
        <f t="shared" si="102"/>
        <v/>
      </c>
      <c r="K696" s="38" t="str">
        <f t="shared" si="103"/>
        <v/>
      </c>
      <c r="L696" s="38" t="str">
        <f t="shared" si="104"/>
        <v/>
      </c>
      <c r="M696" s="38" t="str">
        <f>IF($A696="","",IF(H696=0,"",IF(Q696&lt;=0.000000001,MIN(0.8*0.75*'KT THAN'!$C$62,MAX('KT THAN'!$J$38:$J$58)),IFERROR(MIN(0.8*0.75*'KT THAN'!$C$62,INDEX('KT THAN'!$J$38:$J$58,MATCH(Q696,'KT THAN'!$L$38:$L$58,-1))+(INDEX('KT THAN'!$J$38:$J$58,MIN(21,MATCH(Q696,'KT THAN'!$L$38:$L$58,-1)+1))-INDEX('KT THAN'!$J$38:$J$58,MATCH(Q696,'KT THAN'!$L$38:$L$58,-1)))*(Q696-INDEX('KT THAN'!$L$38:$L$58,MATCH(Q696,'KT THAN'!$L$38:$L$58,-1)))/(INDEX('KT THAN'!$L$38:$L$58,MIN(21,MATCH(Q696,'KT THAN'!$L$38:$L$58,-1)+1))-INDEX('KT THAN'!$L$38:$L$58,MATCH(Q696,'KT THAN'!$L$38:$L$58,-1)))),MIN(0.8*0.75*'KT THAN'!$C$62,'KT THAN'!$C$68/Q696)))))</f>
        <v/>
      </c>
      <c r="N696" s="38" t="str">
        <f>IF($A696="","",IF(H696=0,"",IF(R696&lt;=0.000000001,MIN(0.8*0.75*'KT THAN'!$C$62,MAX('KT THAN'!$W$38:$W$58)),IFERROR(MIN(0.8*0.75*'KT THAN'!$C$62,INDEX('KT THAN'!$W$38:$W$58,MATCH(R696,'KT THAN'!$Y$38:$Y$58,-1))+(INDEX('KT THAN'!$W$38:$W$58,MIN(21,MATCH(R696,'KT THAN'!$Y$38:$Y$58,-1)+1))-INDEX('KT THAN'!$W$38:$W$58,MATCH(R696,'KT THAN'!$Y$38:$Y$58,-1)))*(R696-INDEX('KT THAN'!$Y$38:$Y$58,MATCH(R696,'KT THAN'!$Y$38:$Y$58,-1)))/(INDEX('KT THAN'!$Y$38:$Y$58,MIN(21,MATCH(R696,'KT THAN'!$Y$38:$Y$58,-1)+1))-INDEX('KT THAN'!$Y$38:$Y$58,MATCH(R696,'KT THAN'!$Y$38:$Y$58,-1)))),MIN(0.8*0.75*'KT THAN'!$C$62,'KT THAN'!$D$68/R696)))))</f>
        <v/>
      </c>
      <c r="O696" s="38" t="str">
        <f>IF($A696="","",IF(H696&lt;0,ABS(H696)/MAX('KT THAN'!$C$69,0.001)+'KT THAN'!$C$32*ABS(J696)/MAX('KT THAN'!$C$68,0.001)+'KT THAN'!$D$32*ABS(I696)/MAX('KT THAN'!$D$68,0.001),IF(OR(M696&lt;=0,N696&lt;=0),999,IF(H696&gt;=0.1*0.75*fc_*Agth*1000,H696/MAX(0.001,1/(1/M696+1/N696-1/(0.75*'KT THAN'!$C$62))),'KT THAN'!$C$32*ABS(J696)/MAX('KT THAN'!$C$68,0.001)+'KT THAN'!$D$32*ABS(I696)/MAX('KT THAN'!$D$68,0.001)))))</f>
        <v/>
      </c>
      <c r="P696" s="37" t="str">
        <f t="shared" si="105"/>
        <v/>
      </c>
      <c r="Q696" s="38" t="str">
        <f>IF($A696="","",MAX(0.001,'KT THAN'!$C$32*ABS(J696)/MAX(1,H696)))</f>
        <v/>
      </c>
      <c r="R696" s="38" t="str">
        <f>IF($A696="","",MAX(0.001,'KT THAN'!$D$32*ABS(I696)/MAX(1,H696)))</f>
        <v/>
      </c>
      <c r="S696" t="str">
        <f t="shared" si="99"/>
        <v/>
      </c>
    </row>
    <row r="697" spans="1:19" hidden="1" outlineLevel="1" x14ac:dyDescent="0.3">
      <c r="A697" s="37" t="str">
        <f>IF(OR(nThan=1,'TO HOP NLAN'!$A253=""),"",'TO HOP NLAN'!$A253)</f>
        <v/>
      </c>
      <c r="B697" s="38" t="str">
        <f>IF($A697="","",'TO HOP NLAN'!$D253)</f>
        <v/>
      </c>
      <c r="C697" s="38" t="str">
        <f>IF($A697="","",'TO HOP NLAN'!$E253)</f>
        <v/>
      </c>
      <c r="D697" s="38" t="str">
        <f>IF($A697="","",'TO HOP NLAN'!$F253)</f>
        <v/>
      </c>
      <c r="E697" s="38" t="str">
        <f>IF($A697="","",'TO HOP NLAN'!$B253)</f>
        <v/>
      </c>
      <c r="F697" s="38" t="str">
        <f>IF($A697="","",'TO HOP NLAN'!$C253)</f>
        <v/>
      </c>
      <c r="G697" s="38" t="str">
        <f t="shared" si="100"/>
        <v/>
      </c>
      <c r="H697" s="38" t="str">
        <f t="shared" si="98"/>
        <v/>
      </c>
      <c r="I697" s="38" t="str">
        <f t="shared" si="101"/>
        <v/>
      </c>
      <c r="J697" s="38" t="str">
        <f t="shared" si="102"/>
        <v/>
      </c>
      <c r="K697" s="38" t="str">
        <f t="shared" si="103"/>
        <v/>
      </c>
      <c r="L697" s="38" t="str">
        <f t="shared" si="104"/>
        <v/>
      </c>
      <c r="M697" s="38" t="str">
        <f>IF($A697="","",IF(H697=0,"",IF(Q697&lt;=0.000000001,MIN(0.8*0.75*'KT THAN'!$C$62,MAX('KT THAN'!$J$38:$J$58)),IFERROR(MIN(0.8*0.75*'KT THAN'!$C$62,INDEX('KT THAN'!$J$38:$J$58,MATCH(Q697,'KT THAN'!$L$38:$L$58,-1))+(INDEX('KT THAN'!$J$38:$J$58,MIN(21,MATCH(Q697,'KT THAN'!$L$38:$L$58,-1)+1))-INDEX('KT THAN'!$J$38:$J$58,MATCH(Q697,'KT THAN'!$L$38:$L$58,-1)))*(Q697-INDEX('KT THAN'!$L$38:$L$58,MATCH(Q697,'KT THAN'!$L$38:$L$58,-1)))/(INDEX('KT THAN'!$L$38:$L$58,MIN(21,MATCH(Q697,'KT THAN'!$L$38:$L$58,-1)+1))-INDEX('KT THAN'!$L$38:$L$58,MATCH(Q697,'KT THAN'!$L$38:$L$58,-1)))),MIN(0.8*0.75*'KT THAN'!$C$62,'KT THAN'!$C$68/Q697)))))</f>
        <v/>
      </c>
      <c r="N697" s="38" t="str">
        <f>IF($A697="","",IF(H697=0,"",IF(R697&lt;=0.000000001,MIN(0.8*0.75*'KT THAN'!$C$62,MAX('KT THAN'!$W$38:$W$58)),IFERROR(MIN(0.8*0.75*'KT THAN'!$C$62,INDEX('KT THAN'!$W$38:$W$58,MATCH(R697,'KT THAN'!$Y$38:$Y$58,-1))+(INDEX('KT THAN'!$W$38:$W$58,MIN(21,MATCH(R697,'KT THAN'!$Y$38:$Y$58,-1)+1))-INDEX('KT THAN'!$W$38:$W$58,MATCH(R697,'KT THAN'!$Y$38:$Y$58,-1)))*(R697-INDEX('KT THAN'!$Y$38:$Y$58,MATCH(R697,'KT THAN'!$Y$38:$Y$58,-1)))/(INDEX('KT THAN'!$Y$38:$Y$58,MIN(21,MATCH(R697,'KT THAN'!$Y$38:$Y$58,-1)+1))-INDEX('KT THAN'!$Y$38:$Y$58,MATCH(R697,'KT THAN'!$Y$38:$Y$58,-1)))),MIN(0.8*0.75*'KT THAN'!$C$62,'KT THAN'!$D$68/R697)))))</f>
        <v/>
      </c>
      <c r="O697" s="38" t="str">
        <f>IF($A697="","",IF(H697&lt;0,ABS(H697)/MAX('KT THAN'!$C$69,0.001)+'KT THAN'!$C$32*ABS(J697)/MAX('KT THAN'!$C$68,0.001)+'KT THAN'!$D$32*ABS(I697)/MAX('KT THAN'!$D$68,0.001),IF(OR(M697&lt;=0,N697&lt;=0),999,IF(H697&gt;=0.1*0.75*fc_*Agth*1000,H697/MAX(0.001,1/(1/M697+1/N697-1/(0.75*'KT THAN'!$C$62))),'KT THAN'!$C$32*ABS(J697)/MAX('KT THAN'!$C$68,0.001)+'KT THAN'!$D$32*ABS(I697)/MAX('KT THAN'!$D$68,0.001)))))</f>
        <v/>
      </c>
      <c r="P697" s="37" t="str">
        <f t="shared" si="105"/>
        <v/>
      </c>
      <c r="Q697" s="38" t="str">
        <f>IF($A697="","",MAX(0.001,'KT THAN'!$C$32*ABS(J697)/MAX(1,H697)))</f>
        <v/>
      </c>
      <c r="R697" s="38" t="str">
        <f>IF($A697="","",MAX(0.001,'KT THAN'!$D$32*ABS(I697)/MAX(1,H697)))</f>
        <v/>
      </c>
      <c r="S697" t="str">
        <f t="shared" si="99"/>
        <v/>
      </c>
    </row>
    <row r="698" spans="1:19" hidden="1" outlineLevel="1" x14ac:dyDescent="0.3">
      <c r="A698" s="37" t="str">
        <f>IF(OR(nThan=1,'TO HOP NLAN'!$A254=""),"",'TO HOP NLAN'!$A254)</f>
        <v/>
      </c>
      <c r="B698" s="38" t="str">
        <f>IF($A698="","",'TO HOP NLAN'!$D254)</f>
        <v/>
      </c>
      <c r="C698" s="38" t="str">
        <f>IF($A698="","",'TO HOP NLAN'!$E254)</f>
        <v/>
      </c>
      <c r="D698" s="38" t="str">
        <f>IF($A698="","",'TO HOP NLAN'!$F254)</f>
        <v/>
      </c>
      <c r="E698" s="38" t="str">
        <f>IF($A698="","",'TO HOP NLAN'!$B254)</f>
        <v/>
      </c>
      <c r="F698" s="38" t="str">
        <f>IF($A698="","",'TO HOP NLAN'!$C254)</f>
        <v/>
      </c>
      <c r="G698" s="38" t="str">
        <f t="shared" si="100"/>
        <v/>
      </c>
      <c r="H698" s="38" t="str">
        <f t="shared" si="98"/>
        <v/>
      </c>
      <c r="I698" s="38" t="str">
        <f t="shared" si="101"/>
        <v/>
      </c>
      <c r="J698" s="38" t="str">
        <f t="shared" si="102"/>
        <v/>
      </c>
      <c r="K698" s="38" t="str">
        <f t="shared" si="103"/>
        <v/>
      </c>
      <c r="L698" s="38" t="str">
        <f t="shared" si="104"/>
        <v/>
      </c>
      <c r="M698" s="38" t="str">
        <f>IF($A698="","",IF(H698=0,"",IF(Q698&lt;=0.000000001,MIN(0.8*0.75*'KT THAN'!$C$62,MAX('KT THAN'!$J$38:$J$58)),IFERROR(MIN(0.8*0.75*'KT THAN'!$C$62,INDEX('KT THAN'!$J$38:$J$58,MATCH(Q698,'KT THAN'!$L$38:$L$58,-1))+(INDEX('KT THAN'!$J$38:$J$58,MIN(21,MATCH(Q698,'KT THAN'!$L$38:$L$58,-1)+1))-INDEX('KT THAN'!$J$38:$J$58,MATCH(Q698,'KT THAN'!$L$38:$L$58,-1)))*(Q698-INDEX('KT THAN'!$L$38:$L$58,MATCH(Q698,'KT THAN'!$L$38:$L$58,-1)))/(INDEX('KT THAN'!$L$38:$L$58,MIN(21,MATCH(Q698,'KT THAN'!$L$38:$L$58,-1)+1))-INDEX('KT THAN'!$L$38:$L$58,MATCH(Q698,'KT THAN'!$L$38:$L$58,-1)))),MIN(0.8*0.75*'KT THAN'!$C$62,'KT THAN'!$C$68/Q698)))))</f>
        <v/>
      </c>
      <c r="N698" s="38" t="str">
        <f>IF($A698="","",IF(H698=0,"",IF(R698&lt;=0.000000001,MIN(0.8*0.75*'KT THAN'!$C$62,MAX('KT THAN'!$W$38:$W$58)),IFERROR(MIN(0.8*0.75*'KT THAN'!$C$62,INDEX('KT THAN'!$W$38:$W$58,MATCH(R698,'KT THAN'!$Y$38:$Y$58,-1))+(INDEX('KT THAN'!$W$38:$W$58,MIN(21,MATCH(R698,'KT THAN'!$Y$38:$Y$58,-1)+1))-INDEX('KT THAN'!$W$38:$W$58,MATCH(R698,'KT THAN'!$Y$38:$Y$58,-1)))*(R698-INDEX('KT THAN'!$Y$38:$Y$58,MATCH(R698,'KT THAN'!$Y$38:$Y$58,-1)))/(INDEX('KT THAN'!$Y$38:$Y$58,MIN(21,MATCH(R698,'KT THAN'!$Y$38:$Y$58,-1)+1))-INDEX('KT THAN'!$Y$38:$Y$58,MATCH(R698,'KT THAN'!$Y$38:$Y$58,-1)))),MIN(0.8*0.75*'KT THAN'!$C$62,'KT THAN'!$D$68/R698)))))</f>
        <v/>
      </c>
      <c r="O698" s="38" t="str">
        <f>IF($A698="","",IF(H698&lt;0,ABS(H698)/MAX('KT THAN'!$C$69,0.001)+'KT THAN'!$C$32*ABS(J698)/MAX('KT THAN'!$C$68,0.001)+'KT THAN'!$D$32*ABS(I698)/MAX('KT THAN'!$D$68,0.001),IF(OR(M698&lt;=0,N698&lt;=0),999,IF(H698&gt;=0.1*0.75*fc_*Agth*1000,H698/MAX(0.001,1/(1/M698+1/N698-1/(0.75*'KT THAN'!$C$62))),'KT THAN'!$C$32*ABS(J698)/MAX('KT THAN'!$C$68,0.001)+'KT THAN'!$D$32*ABS(I698)/MAX('KT THAN'!$D$68,0.001)))))</f>
        <v/>
      </c>
      <c r="P698" s="37" t="str">
        <f t="shared" si="105"/>
        <v/>
      </c>
      <c r="Q698" s="38" t="str">
        <f>IF($A698="","",MAX(0.001,'KT THAN'!$C$32*ABS(J698)/MAX(1,H698)))</f>
        <v/>
      </c>
      <c r="R698" s="38" t="str">
        <f>IF($A698="","",MAX(0.001,'KT THAN'!$D$32*ABS(I698)/MAX(1,H698)))</f>
        <v/>
      </c>
      <c r="S698" t="str">
        <f t="shared" si="99"/>
        <v/>
      </c>
    </row>
    <row r="699" spans="1:19" hidden="1" outlineLevel="1" x14ac:dyDescent="0.3">
      <c r="A699" s="37" t="str">
        <f>IF(OR(nThan=1,'TO HOP NLAN'!$A255=""),"",'TO HOP NLAN'!$A255)</f>
        <v/>
      </c>
      <c r="B699" s="38" t="str">
        <f>IF($A699="","",'TO HOP NLAN'!$D255)</f>
        <v/>
      </c>
      <c r="C699" s="38" t="str">
        <f>IF($A699="","",'TO HOP NLAN'!$E255)</f>
        <v/>
      </c>
      <c r="D699" s="38" t="str">
        <f>IF($A699="","",'TO HOP NLAN'!$F255)</f>
        <v/>
      </c>
      <c r="E699" s="38" t="str">
        <f>IF($A699="","",'TO HOP NLAN'!$B255)</f>
        <v/>
      </c>
      <c r="F699" s="38" t="str">
        <f>IF($A699="","",'TO HOP NLAN'!$C255)</f>
        <v/>
      </c>
      <c r="G699" s="38" t="str">
        <f t="shared" si="100"/>
        <v/>
      </c>
      <c r="H699" s="38" t="str">
        <f t="shared" si="98"/>
        <v/>
      </c>
      <c r="I699" s="38" t="str">
        <f t="shared" si="101"/>
        <v/>
      </c>
      <c r="J699" s="38" t="str">
        <f t="shared" si="102"/>
        <v/>
      </c>
      <c r="K699" s="38" t="str">
        <f t="shared" si="103"/>
        <v/>
      </c>
      <c r="L699" s="38" t="str">
        <f t="shared" si="104"/>
        <v/>
      </c>
      <c r="M699" s="38" t="str">
        <f>IF($A699="","",IF(H699=0,"",IF(Q699&lt;=0.000000001,MIN(0.8*0.75*'KT THAN'!$C$62,MAX('KT THAN'!$J$38:$J$58)),IFERROR(MIN(0.8*0.75*'KT THAN'!$C$62,INDEX('KT THAN'!$J$38:$J$58,MATCH(Q699,'KT THAN'!$L$38:$L$58,-1))+(INDEX('KT THAN'!$J$38:$J$58,MIN(21,MATCH(Q699,'KT THAN'!$L$38:$L$58,-1)+1))-INDEX('KT THAN'!$J$38:$J$58,MATCH(Q699,'KT THAN'!$L$38:$L$58,-1)))*(Q699-INDEX('KT THAN'!$L$38:$L$58,MATCH(Q699,'KT THAN'!$L$38:$L$58,-1)))/(INDEX('KT THAN'!$L$38:$L$58,MIN(21,MATCH(Q699,'KT THAN'!$L$38:$L$58,-1)+1))-INDEX('KT THAN'!$L$38:$L$58,MATCH(Q699,'KT THAN'!$L$38:$L$58,-1)))),MIN(0.8*0.75*'KT THAN'!$C$62,'KT THAN'!$C$68/Q699)))))</f>
        <v/>
      </c>
      <c r="N699" s="38" t="str">
        <f>IF($A699="","",IF(H699=0,"",IF(R699&lt;=0.000000001,MIN(0.8*0.75*'KT THAN'!$C$62,MAX('KT THAN'!$W$38:$W$58)),IFERROR(MIN(0.8*0.75*'KT THAN'!$C$62,INDEX('KT THAN'!$W$38:$W$58,MATCH(R699,'KT THAN'!$Y$38:$Y$58,-1))+(INDEX('KT THAN'!$W$38:$W$58,MIN(21,MATCH(R699,'KT THAN'!$Y$38:$Y$58,-1)+1))-INDEX('KT THAN'!$W$38:$W$58,MATCH(R699,'KT THAN'!$Y$38:$Y$58,-1)))*(R699-INDEX('KT THAN'!$Y$38:$Y$58,MATCH(R699,'KT THAN'!$Y$38:$Y$58,-1)))/(INDEX('KT THAN'!$Y$38:$Y$58,MIN(21,MATCH(R699,'KT THAN'!$Y$38:$Y$58,-1)+1))-INDEX('KT THAN'!$Y$38:$Y$58,MATCH(R699,'KT THAN'!$Y$38:$Y$58,-1)))),MIN(0.8*0.75*'KT THAN'!$C$62,'KT THAN'!$D$68/R699)))))</f>
        <v/>
      </c>
      <c r="O699" s="38" t="str">
        <f>IF($A699="","",IF(H699&lt;0,ABS(H699)/MAX('KT THAN'!$C$69,0.001)+'KT THAN'!$C$32*ABS(J699)/MAX('KT THAN'!$C$68,0.001)+'KT THAN'!$D$32*ABS(I699)/MAX('KT THAN'!$D$68,0.001),IF(OR(M699&lt;=0,N699&lt;=0),999,IF(H699&gt;=0.1*0.75*fc_*Agth*1000,H699/MAX(0.001,1/(1/M699+1/N699-1/(0.75*'KT THAN'!$C$62))),'KT THAN'!$C$32*ABS(J699)/MAX('KT THAN'!$C$68,0.001)+'KT THAN'!$D$32*ABS(I699)/MAX('KT THAN'!$D$68,0.001)))))</f>
        <v/>
      </c>
      <c r="P699" s="37" t="str">
        <f t="shared" si="105"/>
        <v/>
      </c>
      <c r="Q699" s="38" t="str">
        <f>IF($A699="","",MAX(0.001,'KT THAN'!$C$32*ABS(J699)/MAX(1,H699)))</f>
        <v/>
      </c>
      <c r="R699" s="38" t="str">
        <f>IF($A699="","",MAX(0.001,'KT THAN'!$D$32*ABS(I699)/MAX(1,H699)))</f>
        <v/>
      </c>
      <c r="S699" t="str">
        <f t="shared" si="99"/>
        <v/>
      </c>
    </row>
    <row r="700" spans="1:19" hidden="1" outlineLevel="1" x14ac:dyDescent="0.3">
      <c r="A700" s="37" t="str">
        <f>IF(OR(nThan=1,'TO HOP NLAN'!$A256=""),"",'TO HOP NLAN'!$A256)</f>
        <v/>
      </c>
      <c r="B700" s="38" t="str">
        <f>IF($A700="","",'TO HOP NLAN'!$D256)</f>
        <v/>
      </c>
      <c r="C700" s="38" t="str">
        <f>IF($A700="","",'TO HOP NLAN'!$E256)</f>
        <v/>
      </c>
      <c r="D700" s="38" t="str">
        <f>IF($A700="","",'TO HOP NLAN'!$F256)</f>
        <v/>
      </c>
      <c r="E700" s="38" t="str">
        <f>IF($A700="","",'TO HOP NLAN'!$B256)</f>
        <v/>
      </c>
      <c r="F700" s="38" t="str">
        <f>IF($A700="","",'TO HOP NLAN'!$C256)</f>
        <v/>
      </c>
      <c r="G700" s="38" t="str">
        <f t="shared" si="100"/>
        <v/>
      </c>
      <c r="H700" s="38" t="str">
        <f t="shared" si="98"/>
        <v/>
      </c>
      <c r="I700" s="38" t="str">
        <f t="shared" si="101"/>
        <v/>
      </c>
      <c r="J700" s="38" t="str">
        <f t="shared" si="102"/>
        <v/>
      </c>
      <c r="K700" s="38" t="str">
        <f t="shared" si="103"/>
        <v/>
      </c>
      <c r="L700" s="38" t="str">
        <f t="shared" si="104"/>
        <v/>
      </c>
      <c r="M700" s="38" t="str">
        <f>IF($A700="","",IF(H700=0,"",IF(Q700&lt;=0.000000001,MIN(0.8*0.75*'KT THAN'!$C$62,MAX('KT THAN'!$J$38:$J$58)),IFERROR(MIN(0.8*0.75*'KT THAN'!$C$62,INDEX('KT THAN'!$J$38:$J$58,MATCH(Q700,'KT THAN'!$L$38:$L$58,-1))+(INDEX('KT THAN'!$J$38:$J$58,MIN(21,MATCH(Q700,'KT THAN'!$L$38:$L$58,-1)+1))-INDEX('KT THAN'!$J$38:$J$58,MATCH(Q700,'KT THAN'!$L$38:$L$58,-1)))*(Q700-INDEX('KT THAN'!$L$38:$L$58,MATCH(Q700,'KT THAN'!$L$38:$L$58,-1)))/(INDEX('KT THAN'!$L$38:$L$58,MIN(21,MATCH(Q700,'KT THAN'!$L$38:$L$58,-1)+1))-INDEX('KT THAN'!$L$38:$L$58,MATCH(Q700,'KT THAN'!$L$38:$L$58,-1)))),MIN(0.8*0.75*'KT THAN'!$C$62,'KT THAN'!$C$68/Q700)))))</f>
        <v/>
      </c>
      <c r="N700" s="38" t="str">
        <f>IF($A700="","",IF(H700=0,"",IF(R700&lt;=0.000000001,MIN(0.8*0.75*'KT THAN'!$C$62,MAX('KT THAN'!$W$38:$W$58)),IFERROR(MIN(0.8*0.75*'KT THAN'!$C$62,INDEX('KT THAN'!$W$38:$W$58,MATCH(R700,'KT THAN'!$Y$38:$Y$58,-1))+(INDEX('KT THAN'!$W$38:$W$58,MIN(21,MATCH(R700,'KT THAN'!$Y$38:$Y$58,-1)+1))-INDEX('KT THAN'!$W$38:$W$58,MATCH(R700,'KT THAN'!$Y$38:$Y$58,-1)))*(R700-INDEX('KT THAN'!$Y$38:$Y$58,MATCH(R700,'KT THAN'!$Y$38:$Y$58,-1)))/(INDEX('KT THAN'!$Y$38:$Y$58,MIN(21,MATCH(R700,'KT THAN'!$Y$38:$Y$58,-1)+1))-INDEX('KT THAN'!$Y$38:$Y$58,MATCH(R700,'KT THAN'!$Y$38:$Y$58,-1)))),MIN(0.8*0.75*'KT THAN'!$C$62,'KT THAN'!$D$68/R700)))))</f>
        <v/>
      </c>
      <c r="O700" s="38" t="str">
        <f>IF($A700="","",IF(H700&lt;0,ABS(H700)/MAX('KT THAN'!$C$69,0.001)+'KT THAN'!$C$32*ABS(J700)/MAX('KT THAN'!$C$68,0.001)+'KT THAN'!$D$32*ABS(I700)/MAX('KT THAN'!$D$68,0.001),IF(OR(M700&lt;=0,N700&lt;=0),999,IF(H700&gt;=0.1*0.75*fc_*Agth*1000,H700/MAX(0.001,1/(1/M700+1/N700-1/(0.75*'KT THAN'!$C$62))),'KT THAN'!$C$32*ABS(J700)/MAX('KT THAN'!$C$68,0.001)+'KT THAN'!$D$32*ABS(I700)/MAX('KT THAN'!$D$68,0.001)))))</f>
        <v/>
      </c>
      <c r="P700" s="37" t="str">
        <f t="shared" si="105"/>
        <v/>
      </c>
      <c r="Q700" s="38" t="str">
        <f>IF($A700="","",MAX(0.001,'KT THAN'!$C$32*ABS(J700)/MAX(1,H700)))</f>
        <v/>
      </c>
      <c r="R700" s="38" t="str">
        <f>IF($A700="","",MAX(0.001,'KT THAN'!$D$32*ABS(I700)/MAX(1,H700)))</f>
        <v/>
      </c>
      <c r="S700" t="str">
        <f t="shared" si="99"/>
        <v/>
      </c>
    </row>
    <row r="701" spans="1:19" hidden="1" outlineLevel="1" x14ac:dyDescent="0.3">
      <c r="A701" s="37" t="str">
        <f>IF(OR(nThan=1,'TO HOP NLAN'!$A257=""),"",'TO HOP NLAN'!$A257)</f>
        <v/>
      </c>
      <c r="B701" s="38" t="str">
        <f>IF($A701="","",'TO HOP NLAN'!$D257)</f>
        <v/>
      </c>
      <c r="C701" s="38" t="str">
        <f>IF($A701="","",'TO HOP NLAN'!$E257)</f>
        <v/>
      </c>
      <c r="D701" s="38" t="str">
        <f>IF($A701="","",'TO HOP NLAN'!$F257)</f>
        <v/>
      </c>
      <c r="E701" s="38" t="str">
        <f>IF($A701="","",'TO HOP NLAN'!$B257)</f>
        <v/>
      </c>
      <c r="F701" s="38" t="str">
        <f>IF($A701="","",'TO HOP NLAN'!$C257)</f>
        <v/>
      </c>
      <c r="G701" s="38" t="str">
        <f t="shared" si="100"/>
        <v/>
      </c>
      <c r="H701" s="38" t="str">
        <f t="shared" si="98"/>
        <v/>
      </c>
      <c r="I701" s="38" t="str">
        <f t="shared" si="101"/>
        <v/>
      </c>
      <c r="J701" s="38" t="str">
        <f t="shared" si="102"/>
        <v/>
      </c>
      <c r="K701" s="38" t="str">
        <f t="shared" si="103"/>
        <v/>
      </c>
      <c r="L701" s="38" t="str">
        <f t="shared" si="104"/>
        <v/>
      </c>
      <c r="M701" s="38" t="str">
        <f>IF($A701="","",IF(H701=0,"",IF(Q701&lt;=0.000000001,MIN(0.8*0.75*'KT THAN'!$C$62,MAX('KT THAN'!$J$38:$J$58)),IFERROR(MIN(0.8*0.75*'KT THAN'!$C$62,INDEX('KT THAN'!$J$38:$J$58,MATCH(Q701,'KT THAN'!$L$38:$L$58,-1))+(INDEX('KT THAN'!$J$38:$J$58,MIN(21,MATCH(Q701,'KT THAN'!$L$38:$L$58,-1)+1))-INDEX('KT THAN'!$J$38:$J$58,MATCH(Q701,'KT THAN'!$L$38:$L$58,-1)))*(Q701-INDEX('KT THAN'!$L$38:$L$58,MATCH(Q701,'KT THAN'!$L$38:$L$58,-1)))/(INDEX('KT THAN'!$L$38:$L$58,MIN(21,MATCH(Q701,'KT THAN'!$L$38:$L$58,-1)+1))-INDEX('KT THAN'!$L$38:$L$58,MATCH(Q701,'KT THAN'!$L$38:$L$58,-1)))),MIN(0.8*0.75*'KT THAN'!$C$62,'KT THAN'!$C$68/Q701)))))</f>
        <v/>
      </c>
      <c r="N701" s="38" t="str">
        <f>IF($A701="","",IF(H701=0,"",IF(R701&lt;=0.000000001,MIN(0.8*0.75*'KT THAN'!$C$62,MAX('KT THAN'!$W$38:$W$58)),IFERROR(MIN(0.8*0.75*'KT THAN'!$C$62,INDEX('KT THAN'!$W$38:$W$58,MATCH(R701,'KT THAN'!$Y$38:$Y$58,-1))+(INDEX('KT THAN'!$W$38:$W$58,MIN(21,MATCH(R701,'KT THAN'!$Y$38:$Y$58,-1)+1))-INDEX('KT THAN'!$W$38:$W$58,MATCH(R701,'KT THAN'!$Y$38:$Y$58,-1)))*(R701-INDEX('KT THAN'!$Y$38:$Y$58,MATCH(R701,'KT THAN'!$Y$38:$Y$58,-1)))/(INDEX('KT THAN'!$Y$38:$Y$58,MIN(21,MATCH(R701,'KT THAN'!$Y$38:$Y$58,-1)+1))-INDEX('KT THAN'!$Y$38:$Y$58,MATCH(R701,'KT THAN'!$Y$38:$Y$58,-1)))),MIN(0.8*0.75*'KT THAN'!$C$62,'KT THAN'!$D$68/R701)))))</f>
        <v/>
      </c>
      <c r="O701" s="38" t="str">
        <f>IF($A701="","",IF(H701&lt;0,ABS(H701)/MAX('KT THAN'!$C$69,0.001)+'KT THAN'!$C$32*ABS(J701)/MAX('KT THAN'!$C$68,0.001)+'KT THAN'!$D$32*ABS(I701)/MAX('KT THAN'!$D$68,0.001),IF(OR(M701&lt;=0,N701&lt;=0),999,IF(H701&gt;=0.1*0.75*fc_*Agth*1000,H701/MAX(0.001,1/(1/M701+1/N701-1/(0.75*'KT THAN'!$C$62))),'KT THAN'!$C$32*ABS(J701)/MAX('KT THAN'!$C$68,0.001)+'KT THAN'!$D$32*ABS(I701)/MAX('KT THAN'!$D$68,0.001)))))</f>
        <v/>
      </c>
      <c r="P701" s="37" t="str">
        <f t="shared" si="105"/>
        <v/>
      </c>
      <c r="Q701" s="38" t="str">
        <f>IF($A701="","",MAX(0.001,'KT THAN'!$C$32*ABS(J701)/MAX(1,H701)))</f>
        <v/>
      </c>
      <c r="R701" s="38" t="str">
        <f>IF($A701="","",MAX(0.001,'KT THAN'!$D$32*ABS(I701)/MAX(1,H701)))</f>
        <v/>
      </c>
      <c r="S701" t="str">
        <f t="shared" si="99"/>
        <v/>
      </c>
    </row>
    <row r="702" spans="1:19" hidden="1" outlineLevel="1" x14ac:dyDescent="0.3">
      <c r="A702" s="37" t="str">
        <f>IF(OR(nThan=1,'TO HOP NLAN'!$A258=""),"",'TO HOP NLAN'!$A258)</f>
        <v/>
      </c>
      <c r="B702" s="38" t="str">
        <f>IF($A702="","",'TO HOP NLAN'!$D258)</f>
        <v/>
      </c>
      <c r="C702" s="38" t="str">
        <f>IF($A702="","",'TO HOP NLAN'!$E258)</f>
        <v/>
      </c>
      <c r="D702" s="38" t="str">
        <f>IF($A702="","",'TO HOP NLAN'!$F258)</f>
        <v/>
      </c>
      <c r="E702" s="38" t="str">
        <f>IF($A702="","",'TO HOP NLAN'!$B258)</f>
        <v/>
      </c>
      <c r="F702" s="38" t="str">
        <f>IF($A702="","",'TO HOP NLAN'!$C258)</f>
        <v/>
      </c>
      <c r="G702" s="38" t="str">
        <f t="shared" si="100"/>
        <v/>
      </c>
      <c r="H702" s="38" t="str">
        <f t="shared" si="98"/>
        <v/>
      </c>
      <c r="I702" s="38" t="str">
        <f t="shared" si="101"/>
        <v/>
      </c>
      <c r="J702" s="38" t="str">
        <f t="shared" si="102"/>
        <v/>
      </c>
      <c r="K702" s="38" t="str">
        <f t="shared" si="103"/>
        <v/>
      </c>
      <c r="L702" s="38" t="str">
        <f t="shared" si="104"/>
        <v/>
      </c>
      <c r="M702" s="38" t="str">
        <f>IF($A702="","",IF(H702=0,"",IF(Q702&lt;=0.000000001,MIN(0.8*0.75*'KT THAN'!$C$62,MAX('KT THAN'!$J$38:$J$58)),IFERROR(MIN(0.8*0.75*'KT THAN'!$C$62,INDEX('KT THAN'!$J$38:$J$58,MATCH(Q702,'KT THAN'!$L$38:$L$58,-1))+(INDEX('KT THAN'!$J$38:$J$58,MIN(21,MATCH(Q702,'KT THAN'!$L$38:$L$58,-1)+1))-INDEX('KT THAN'!$J$38:$J$58,MATCH(Q702,'KT THAN'!$L$38:$L$58,-1)))*(Q702-INDEX('KT THAN'!$L$38:$L$58,MATCH(Q702,'KT THAN'!$L$38:$L$58,-1)))/(INDEX('KT THAN'!$L$38:$L$58,MIN(21,MATCH(Q702,'KT THAN'!$L$38:$L$58,-1)+1))-INDEX('KT THAN'!$L$38:$L$58,MATCH(Q702,'KT THAN'!$L$38:$L$58,-1)))),MIN(0.8*0.75*'KT THAN'!$C$62,'KT THAN'!$C$68/Q702)))))</f>
        <v/>
      </c>
      <c r="N702" s="38" t="str">
        <f>IF($A702="","",IF(H702=0,"",IF(R702&lt;=0.000000001,MIN(0.8*0.75*'KT THAN'!$C$62,MAX('KT THAN'!$W$38:$W$58)),IFERROR(MIN(0.8*0.75*'KT THAN'!$C$62,INDEX('KT THAN'!$W$38:$W$58,MATCH(R702,'KT THAN'!$Y$38:$Y$58,-1))+(INDEX('KT THAN'!$W$38:$W$58,MIN(21,MATCH(R702,'KT THAN'!$Y$38:$Y$58,-1)+1))-INDEX('KT THAN'!$W$38:$W$58,MATCH(R702,'KT THAN'!$Y$38:$Y$58,-1)))*(R702-INDEX('KT THAN'!$Y$38:$Y$58,MATCH(R702,'KT THAN'!$Y$38:$Y$58,-1)))/(INDEX('KT THAN'!$Y$38:$Y$58,MIN(21,MATCH(R702,'KT THAN'!$Y$38:$Y$58,-1)+1))-INDEX('KT THAN'!$Y$38:$Y$58,MATCH(R702,'KT THAN'!$Y$38:$Y$58,-1)))),MIN(0.8*0.75*'KT THAN'!$C$62,'KT THAN'!$D$68/R702)))))</f>
        <v/>
      </c>
      <c r="O702" s="38" t="str">
        <f>IF($A702="","",IF(H702&lt;0,ABS(H702)/MAX('KT THAN'!$C$69,0.001)+'KT THAN'!$C$32*ABS(J702)/MAX('KT THAN'!$C$68,0.001)+'KT THAN'!$D$32*ABS(I702)/MAX('KT THAN'!$D$68,0.001),IF(OR(M702&lt;=0,N702&lt;=0),999,IF(H702&gt;=0.1*0.75*fc_*Agth*1000,H702/MAX(0.001,1/(1/M702+1/N702-1/(0.75*'KT THAN'!$C$62))),'KT THAN'!$C$32*ABS(J702)/MAX('KT THAN'!$C$68,0.001)+'KT THAN'!$D$32*ABS(I702)/MAX('KT THAN'!$D$68,0.001)))))</f>
        <v/>
      </c>
      <c r="P702" s="37" t="str">
        <f t="shared" si="105"/>
        <v/>
      </c>
      <c r="Q702" s="38" t="str">
        <f>IF($A702="","",MAX(0.001,'KT THAN'!$C$32*ABS(J702)/MAX(1,H702)))</f>
        <v/>
      </c>
      <c r="R702" s="38" t="str">
        <f>IF($A702="","",MAX(0.001,'KT THAN'!$D$32*ABS(I702)/MAX(1,H702)))</f>
        <v/>
      </c>
      <c r="S702" t="str">
        <f t="shared" si="99"/>
        <v/>
      </c>
    </row>
    <row r="703" spans="1:19" hidden="1" outlineLevel="1" x14ac:dyDescent="0.3">
      <c r="A703" s="37" t="str">
        <f>IF(OR(nThan=1,'TO HOP NLAN'!$A259=""),"",'TO HOP NLAN'!$A259)</f>
        <v/>
      </c>
      <c r="B703" s="38" t="str">
        <f>IF($A703="","",'TO HOP NLAN'!$D259)</f>
        <v/>
      </c>
      <c r="C703" s="38" t="str">
        <f>IF($A703="","",'TO HOP NLAN'!$E259)</f>
        <v/>
      </c>
      <c r="D703" s="38" t="str">
        <f>IF($A703="","",'TO HOP NLAN'!$F259)</f>
        <v/>
      </c>
      <c r="E703" s="38" t="str">
        <f>IF($A703="","",'TO HOP NLAN'!$B259)</f>
        <v/>
      </c>
      <c r="F703" s="38" t="str">
        <f>IF($A703="","",'TO HOP NLAN'!$C259)</f>
        <v/>
      </c>
      <c r="G703" s="38" t="str">
        <f t="shared" si="100"/>
        <v/>
      </c>
      <c r="H703" s="38" t="str">
        <f t="shared" si="98"/>
        <v/>
      </c>
      <c r="I703" s="38" t="str">
        <f t="shared" si="101"/>
        <v/>
      </c>
      <c r="J703" s="38" t="str">
        <f t="shared" si="102"/>
        <v/>
      </c>
      <c r="K703" s="38" t="str">
        <f t="shared" si="103"/>
        <v/>
      </c>
      <c r="L703" s="38" t="str">
        <f t="shared" si="104"/>
        <v/>
      </c>
      <c r="M703" s="38" t="str">
        <f>IF($A703="","",IF(H703=0,"",IF(Q703&lt;=0.000000001,MIN(0.8*0.75*'KT THAN'!$C$62,MAX('KT THAN'!$J$38:$J$58)),IFERROR(MIN(0.8*0.75*'KT THAN'!$C$62,INDEX('KT THAN'!$J$38:$J$58,MATCH(Q703,'KT THAN'!$L$38:$L$58,-1))+(INDEX('KT THAN'!$J$38:$J$58,MIN(21,MATCH(Q703,'KT THAN'!$L$38:$L$58,-1)+1))-INDEX('KT THAN'!$J$38:$J$58,MATCH(Q703,'KT THAN'!$L$38:$L$58,-1)))*(Q703-INDEX('KT THAN'!$L$38:$L$58,MATCH(Q703,'KT THAN'!$L$38:$L$58,-1)))/(INDEX('KT THAN'!$L$38:$L$58,MIN(21,MATCH(Q703,'KT THAN'!$L$38:$L$58,-1)+1))-INDEX('KT THAN'!$L$38:$L$58,MATCH(Q703,'KT THAN'!$L$38:$L$58,-1)))),MIN(0.8*0.75*'KT THAN'!$C$62,'KT THAN'!$C$68/Q703)))))</f>
        <v/>
      </c>
      <c r="N703" s="38" t="str">
        <f>IF($A703="","",IF(H703=0,"",IF(R703&lt;=0.000000001,MIN(0.8*0.75*'KT THAN'!$C$62,MAX('KT THAN'!$W$38:$W$58)),IFERROR(MIN(0.8*0.75*'KT THAN'!$C$62,INDEX('KT THAN'!$W$38:$W$58,MATCH(R703,'KT THAN'!$Y$38:$Y$58,-1))+(INDEX('KT THAN'!$W$38:$W$58,MIN(21,MATCH(R703,'KT THAN'!$Y$38:$Y$58,-1)+1))-INDEX('KT THAN'!$W$38:$W$58,MATCH(R703,'KT THAN'!$Y$38:$Y$58,-1)))*(R703-INDEX('KT THAN'!$Y$38:$Y$58,MATCH(R703,'KT THAN'!$Y$38:$Y$58,-1)))/(INDEX('KT THAN'!$Y$38:$Y$58,MIN(21,MATCH(R703,'KT THAN'!$Y$38:$Y$58,-1)+1))-INDEX('KT THAN'!$Y$38:$Y$58,MATCH(R703,'KT THAN'!$Y$38:$Y$58,-1)))),MIN(0.8*0.75*'KT THAN'!$C$62,'KT THAN'!$D$68/R703)))))</f>
        <v/>
      </c>
      <c r="O703" s="38" t="str">
        <f>IF($A703="","",IF(H703&lt;0,ABS(H703)/MAX('KT THAN'!$C$69,0.001)+'KT THAN'!$C$32*ABS(J703)/MAX('KT THAN'!$C$68,0.001)+'KT THAN'!$D$32*ABS(I703)/MAX('KT THAN'!$D$68,0.001),IF(OR(M703&lt;=0,N703&lt;=0),999,IF(H703&gt;=0.1*0.75*fc_*Agth*1000,H703/MAX(0.001,1/(1/M703+1/N703-1/(0.75*'KT THAN'!$C$62))),'KT THAN'!$C$32*ABS(J703)/MAX('KT THAN'!$C$68,0.001)+'KT THAN'!$D$32*ABS(I703)/MAX('KT THAN'!$D$68,0.001)))))</f>
        <v/>
      </c>
      <c r="P703" s="37" t="str">
        <f t="shared" si="105"/>
        <v/>
      </c>
      <c r="Q703" s="38" t="str">
        <f>IF($A703="","",MAX(0.001,'KT THAN'!$C$32*ABS(J703)/MAX(1,H703)))</f>
        <v/>
      </c>
      <c r="R703" s="38" t="str">
        <f>IF($A703="","",MAX(0.001,'KT THAN'!$D$32*ABS(I703)/MAX(1,H703)))</f>
        <v/>
      </c>
      <c r="S703" t="str">
        <f t="shared" si="99"/>
        <v/>
      </c>
    </row>
    <row r="704" spans="1:19" hidden="1" outlineLevel="1" x14ac:dyDescent="0.3">
      <c r="A704" s="37" t="str">
        <f>IF(OR(nThan=1,'TO HOP NLAN'!$A260=""),"",'TO HOP NLAN'!$A260)</f>
        <v/>
      </c>
      <c r="B704" s="38" t="str">
        <f>IF($A704="","",'TO HOP NLAN'!$D260)</f>
        <v/>
      </c>
      <c r="C704" s="38" t="str">
        <f>IF($A704="","",'TO HOP NLAN'!$E260)</f>
        <v/>
      </c>
      <c r="D704" s="38" t="str">
        <f>IF($A704="","",'TO HOP NLAN'!$F260)</f>
        <v/>
      </c>
      <c r="E704" s="38" t="str">
        <f>IF($A704="","",'TO HOP NLAN'!$B260)</f>
        <v/>
      </c>
      <c r="F704" s="38" t="str">
        <f>IF($A704="","",'TO HOP NLAN'!$C260)</f>
        <v/>
      </c>
      <c r="G704" s="38" t="str">
        <f t="shared" si="100"/>
        <v/>
      </c>
      <c r="H704" s="38" t="str">
        <f t="shared" si="98"/>
        <v/>
      </c>
      <c r="I704" s="38" t="str">
        <f t="shared" si="101"/>
        <v/>
      </c>
      <c r="J704" s="38" t="str">
        <f t="shared" si="102"/>
        <v/>
      </c>
      <c r="K704" s="38" t="str">
        <f t="shared" si="103"/>
        <v/>
      </c>
      <c r="L704" s="38" t="str">
        <f t="shared" si="104"/>
        <v/>
      </c>
      <c r="M704" s="38" t="str">
        <f>IF($A704="","",IF(H704=0,"",IF(Q704&lt;=0.000000001,MIN(0.8*0.75*'KT THAN'!$C$62,MAX('KT THAN'!$J$38:$J$58)),IFERROR(MIN(0.8*0.75*'KT THAN'!$C$62,INDEX('KT THAN'!$J$38:$J$58,MATCH(Q704,'KT THAN'!$L$38:$L$58,-1))+(INDEX('KT THAN'!$J$38:$J$58,MIN(21,MATCH(Q704,'KT THAN'!$L$38:$L$58,-1)+1))-INDEX('KT THAN'!$J$38:$J$58,MATCH(Q704,'KT THAN'!$L$38:$L$58,-1)))*(Q704-INDEX('KT THAN'!$L$38:$L$58,MATCH(Q704,'KT THAN'!$L$38:$L$58,-1)))/(INDEX('KT THAN'!$L$38:$L$58,MIN(21,MATCH(Q704,'KT THAN'!$L$38:$L$58,-1)+1))-INDEX('KT THAN'!$L$38:$L$58,MATCH(Q704,'KT THAN'!$L$38:$L$58,-1)))),MIN(0.8*0.75*'KT THAN'!$C$62,'KT THAN'!$C$68/Q704)))))</f>
        <v/>
      </c>
      <c r="N704" s="38" t="str">
        <f>IF($A704="","",IF(H704=0,"",IF(R704&lt;=0.000000001,MIN(0.8*0.75*'KT THAN'!$C$62,MAX('KT THAN'!$W$38:$W$58)),IFERROR(MIN(0.8*0.75*'KT THAN'!$C$62,INDEX('KT THAN'!$W$38:$W$58,MATCH(R704,'KT THAN'!$Y$38:$Y$58,-1))+(INDEX('KT THAN'!$W$38:$W$58,MIN(21,MATCH(R704,'KT THAN'!$Y$38:$Y$58,-1)+1))-INDEX('KT THAN'!$W$38:$W$58,MATCH(R704,'KT THAN'!$Y$38:$Y$58,-1)))*(R704-INDEX('KT THAN'!$Y$38:$Y$58,MATCH(R704,'KT THAN'!$Y$38:$Y$58,-1)))/(INDEX('KT THAN'!$Y$38:$Y$58,MIN(21,MATCH(R704,'KT THAN'!$Y$38:$Y$58,-1)+1))-INDEX('KT THAN'!$Y$38:$Y$58,MATCH(R704,'KT THAN'!$Y$38:$Y$58,-1)))),MIN(0.8*0.75*'KT THAN'!$C$62,'KT THAN'!$D$68/R704)))))</f>
        <v/>
      </c>
      <c r="O704" s="38" t="str">
        <f>IF($A704="","",IF(H704&lt;0,ABS(H704)/MAX('KT THAN'!$C$69,0.001)+'KT THAN'!$C$32*ABS(J704)/MAX('KT THAN'!$C$68,0.001)+'KT THAN'!$D$32*ABS(I704)/MAX('KT THAN'!$D$68,0.001),IF(OR(M704&lt;=0,N704&lt;=0),999,IF(H704&gt;=0.1*0.75*fc_*Agth*1000,H704/MAX(0.001,1/(1/M704+1/N704-1/(0.75*'KT THAN'!$C$62))),'KT THAN'!$C$32*ABS(J704)/MAX('KT THAN'!$C$68,0.001)+'KT THAN'!$D$32*ABS(I704)/MAX('KT THAN'!$D$68,0.001)))))</f>
        <v/>
      </c>
      <c r="P704" s="37" t="str">
        <f t="shared" si="105"/>
        <v/>
      </c>
      <c r="Q704" s="38" t="str">
        <f>IF($A704="","",MAX(0.001,'KT THAN'!$C$32*ABS(J704)/MAX(1,H704)))</f>
        <v/>
      </c>
      <c r="R704" s="38" t="str">
        <f>IF($A704="","",MAX(0.001,'KT THAN'!$D$32*ABS(I704)/MAX(1,H704)))</f>
        <v/>
      </c>
      <c r="S704" t="str">
        <f t="shared" si="99"/>
        <v/>
      </c>
    </row>
    <row r="705" spans="1:19" hidden="1" outlineLevel="1" x14ac:dyDescent="0.3">
      <c r="A705" s="37" t="str">
        <f>IF(OR(nThan=1,'TO HOP NLAN'!$A261=""),"",'TO HOP NLAN'!$A261)</f>
        <v/>
      </c>
      <c r="B705" s="38" t="str">
        <f>IF($A705="","",'TO HOP NLAN'!$D261)</f>
        <v/>
      </c>
      <c r="C705" s="38" t="str">
        <f>IF($A705="","",'TO HOP NLAN'!$E261)</f>
        <v/>
      </c>
      <c r="D705" s="38" t="str">
        <f>IF($A705="","",'TO HOP NLAN'!$F261)</f>
        <v/>
      </c>
      <c r="E705" s="38" t="str">
        <f>IF($A705="","",'TO HOP NLAN'!$B261)</f>
        <v/>
      </c>
      <c r="F705" s="38" t="str">
        <f>IF($A705="","",'TO HOP NLAN'!$C261)</f>
        <v/>
      </c>
      <c r="G705" s="38" t="str">
        <f t="shared" si="100"/>
        <v/>
      </c>
      <c r="H705" s="38" t="str">
        <f t="shared" si="98"/>
        <v/>
      </c>
      <c r="I705" s="38" t="str">
        <f t="shared" si="101"/>
        <v/>
      </c>
      <c r="J705" s="38" t="str">
        <f t="shared" si="102"/>
        <v/>
      </c>
      <c r="K705" s="38" t="str">
        <f t="shared" si="103"/>
        <v/>
      </c>
      <c r="L705" s="38" t="str">
        <f t="shared" si="104"/>
        <v/>
      </c>
      <c r="M705" s="38" t="str">
        <f>IF($A705="","",IF(H705=0,"",IF(Q705&lt;=0.000000001,MIN(0.8*0.75*'KT THAN'!$C$62,MAX('KT THAN'!$J$38:$J$58)),IFERROR(MIN(0.8*0.75*'KT THAN'!$C$62,INDEX('KT THAN'!$J$38:$J$58,MATCH(Q705,'KT THAN'!$L$38:$L$58,-1))+(INDEX('KT THAN'!$J$38:$J$58,MIN(21,MATCH(Q705,'KT THAN'!$L$38:$L$58,-1)+1))-INDEX('KT THAN'!$J$38:$J$58,MATCH(Q705,'KT THAN'!$L$38:$L$58,-1)))*(Q705-INDEX('KT THAN'!$L$38:$L$58,MATCH(Q705,'KT THAN'!$L$38:$L$58,-1)))/(INDEX('KT THAN'!$L$38:$L$58,MIN(21,MATCH(Q705,'KT THAN'!$L$38:$L$58,-1)+1))-INDEX('KT THAN'!$L$38:$L$58,MATCH(Q705,'KT THAN'!$L$38:$L$58,-1)))),MIN(0.8*0.75*'KT THAN'!$C$62,'KT THAN'!$C$68/Q705)))))</f>
        <v/>
      </c>
      <c r="N705" s="38" t="str">
        <f>IF($A705="","",IF(H705=0,"",IF(R705&lt;=0.000000001,MIN(0.8*0.75*'KT THAN'!$C$62,MAX('KT THAN'!$W$38:$W$58)),IFERROR(MIN(0.8*0.75*'KT THAN'!$C$62,INDEX('KT THAN'!$W$38:$W$58,MATCH(R705,'KT THAN'!$Y$38:$Y$58,-1))+(INDEX('KT THAN'!$W$38:$W$58,MIN(21,MATCH(R705,'KT THAN'!$Y$38:$Y$58,-1)+1))-INDEX('KT THAN'!$W$38:$W$58,MATCH(R705,'KT THAN'!$Y$38:$Y$58,-1)))*(R705-INDEX('KT THAN'!$Y$38:$Y$58,MATCH(R705,'KT THAN'!$Y$38:$Y$58,-1)))/(INDEX('KT THAN'!$Y$38:$Y$58,MIN(21,MATCH(R705,'KT THAN'!$Y$38:$Y$58,-1)+1))-INDEX('KT THAN'!$Y$38:$Y$58,MATCH(R705,'KT THAN'!$Y$38:$Y$58,-1)))),MIN(0.8*0.75*'KT THAN'!$C$62,'KT THAN'!$D$68/R705)))))</f>
        <v/>
      </c>
      <c r="O705" s="38" t="str">
        <f>IF($A705="","",IF(H705&lt;0,ABS(H705)/MAX('KT THAN'!$C$69,0.001)+'KT THAN'!$C$32*ABS(J705)/MAX('KT THAN'!$C$68,0.001)+'KT THAN'!$D$32*ABS(I705)/MAX('KT THAN'!$D$68,0.001),IF(OR(M705&lt;=0,N705&lt;=0),999,IF(H705&gt;=0.1*0.75*fc_*Agth*1000,H705/MAX(0.001,1/(1/M705+1/N705-1/(0.75*'KT THAN'!$C$62))),'KT THAN'!$C$32*ABS(J705)/MAX('KT THAN'!$C$68,0.001)+'KT THAN'!$D$32*ABS(I705)/MAX('KT THAN'!$D$68,0.001)))))</f>
        <v/>
      </c>
      <c r="P705" s="37" t="str">
        <f t="shared" si="105"/>
        <v/>
      </c>
      <c r="Q705" s="38" t="str">
        <f>IF($A705="","",MAX(0.001,'KT THAN'!$C$32*ABS(J705)/MAX(1,H705)))</f>
        <v/>
      </c>
      <c r="R705" s="38" t="str">
        <f>IF($A705="","",MAX(0.001,'KT THAN'!$D$32*ABS(I705)/MAX(1,H705)))</f>
        <v/>
      </c>
      <c r="S705" t="str">
        <f t="shared" si="99"/>
        <v/>
      </c>
    </row>
    <row r="706" spans="1:19" hidden="1" outlineLevel="1" x14ac:dyDescent="0.3">
      <c r="A706" s="37" t="str">
        <f>IF(OR(nThan=1,'TO HOP NLAN'!$A262=""),"",'TO HOP NLAN'!$A262)</f>
        <v/>
      </c>
      <c r="B706" s="38" t="str">
        <f>IF($A706="","",'TO HOP NLAN'!$D262)</f>
        <v/>
      </c>
      <c r="C706" s="38" t="str">
        <f>IF($A706="","",'TO HOP NLAN'!$E262)</f>
        <v/>
      </c>
      <c r="D706" s="38" t="str">
        <f>IF($A706="","",'TO HOP NLAN'!$F262)</f>
        <v/>
      </c>
      <c r="E706" s="38" t="str">
        <f>IF($A706="","",'TO HOP NLAN'!$B262)</f>
        <v/>
      </c>
      <c r="F706" s="38" t="str">
        <f>IF($A706="","",'TO HOP NLAN'!$C262)</f>
        <v/>
      </c>
      <c r="G706" s="38" t="str">
        <f t="shared" si="100"/>
        <v/>
      </c>
      <c r="H706" s="38" t="str">
        <f t="shared" ref="H706:H755" si="106">IF(A706="","",IF(nThan=1,B706,B706/2+(-1)*$B$7*C706/sThan))</f>
        <v/>
      </c>
      <c r="I706" s="38" t="str">
        <f t="shared" si="101"/>
        <v/>
      </c>
      <c r="J706" s="38" t="str">
        <f t="shared" si="102"/>
        <v/>
      </c>
      <c r="K706" s="38" t="str">
        <f t="shared" si="103"/>
        <v/>
      </c>
      <c r="L706" s="38" t="str">
        <f t="shared" si="104"/>
        <v/>
      </c>
      <c r="M706" s="38" t="str">
        <f>IF($A706="","",IF(H706=0,"",IF(Q706&lt;=0.000000001,MIN(0.8*0.75*'KT THAN'!$C$62,MAX('KT THAN'!$J$38:$J$58)),IFERROR(MIN(0.8*0.75*'KT THAN'!$C$62,INDEX('KT THAN'!$J$38:$J$58,MATCH(Q706,'KT THAN'!$L$38:$L$58,-1))+(INDEX('KT THAN'!$J$38:$J$58,MIN(21,MATCH(Q706,'KT THAN'!$L$38:$L$58,-1)+1))-INDEX('KT THAN'!$J$38:$J$58,MATCH(Q706,'KT THAN'!$L$38:$L$58,-1)))*(Q706-INDEX('KT THAN'!$L$38:$L$58,MATCH(Q706,'KT THAN'!$L$38:$L$58,-1)))/(INDEX('KT THAN'!$L$38:$L$58,MIN(21,MATCH(Q706,'KT THAN'!$L$38:$L$58,-1)+1))-INDEX('KT THAN'!$L$38:$L$58,MATCH(Q706,'KT THAN'!$L$38:$L$58,-1)))),MIN(0.8*0.75*'KT THAN'!$C$62,'KT THAN'!$C$68/Q706)))))</f>
        <v/>
      </c>
      <c r="N706" s="38" t="str">
        <f>IF($A706="","",IF(H706=0,"",IF(R706&lt;=0.000000001,MIN(0.8*0.75*'KT THAN'!$C$62,MAX('KT THAN'!$W$38:$W$58)),IFERROR(MIN(0.8*0.75*'KT THAN'!$C$62,INDEX('KT THAN'!$W$38:$W$58,MATCH(R706,'KT THAN'!$Y$38:$Y$58,-1))+(INDEX('KT THAN'!$W$38:$W$58,MIN(21,MATCH(R706,'KT THAN'!$Y$38:$Y$58,-1)+1))-INDEX('KT THAN'!$W$38:$W$58,MATCH(R706,'KT THAN'!$Y$38:$Y$58,-1)))*(R706-INDEX('KT THAN'!$Y$38:$Y$58,MATCH(R706,'KT THAN'!$Y$38:$Y$58,-1)))/(INDEX('KT THAN'!$Y$38:$Y$58,MIN(21,MATCH(R706,'KT THAN'!$Y$38:$Y$58,-1)+1))-INDEX('KT THAN'!$Y$38:$Y$58,MATCH(R706,'KT THAN'!$Y$38:$Y$58,-1)))),MIN(0.8*0.75*'KT THAN'!$C$62,'KT THAN'!$D$68/R706)))))</f>
        <v/>
      </c>
      <c r="O706" s="38" t="str">
        <f>IF($A706="","",IF(H706&lt;0,ABS(H706)/MAX('KT THAN'!$C$69,0.001)+'KT THAN'!$C$32*ABS(J706)/MAX('KT THAN'!$C$68,0.001)+'KT THAN'!$D$32*ABS(I706)/MAX('KT THAN'!$D$68,0.001),IF(OR(M706&lt;=0,N706&lt;=0),999,IF(H706&gt;=0.1*0.75*fc_*Agth*1000,H706/MAX(0.001,1/(1/M706+1/N706-1/(0.75*'KT THAN'!$C$62))),'KT THAN'!$C$32*ABS(J706)/MAX('KT THAN'!$C$68,0.001)+'KT THAN'!$D$32*ABS(I706)/MAX('KT THAN'!$D$68,0.001)))))</f>
        <v/>
      </c>
      <c r="P706" s="37" t="str">
        <f t="shared" si="105"/>
        <v/>
      </c>
      <c r="Q706" s="38" t="str">
        <f>IF($A706="","",MAX(0.001,'KT THAN'!$C$32*ABS(J706)/MAX(1,H706)))</f>
        <v/>
      </c>
      <c r="R706" s="38" t="str">
        <f>IF($A706="","",MAX(0.001,'KT THAN'!$D$32*ABS(I706)/MAX(1,H706)))</f>
        <v/>
      </c>
      <c r="S706" t="str">
        <f t="shared" ref="S706:S755" si="107">IF($A706="","",IF(H706&lt;0,O706,""))</f>
        <v/>
      </c>
    </row>
    <row r="707" spans="1:19" hidden="1" outlineLevel="1" x14ac:dyDescent="0.3">
      <c r="A707" s="37" t="str">
        <f>IF(OR(nThan=1,'TO HOP NLAN'!$A263=""),"",'TO HOP NLAN'!$A263)</f>
        <v/>
      </c>
      <c r="B707" s="38" t="str">
        <f>IF($A707="","",'TO HOP NLAN'!$D263)</f>
        <v/>
      </c>
      <c r="C707" s="38" t="str">
        <f>IF($A707="","",'TO HOP NLAN'!$E263)</f>
        <v/>
      </c>
      <c r="D707" s="38" t="str">
        <f>IF($A707="","",'TO HOP NLAN'!$F263)</f>
        <v/>
      </c>
      <c r="E707" s="38" t="str">
        <f>IF($A707="","",'TO HOP NLAN'!$B263)</f>
        <v/>
      </c>
      <c r="F707" s="38" t="str">
        <f>IF($A707="","",'TO HOP NLAN'!$C263)</f>
        <v/>
      </c>
      <c r="G707" s="38" t="str">
        <f t="shared" ref="G707:G755" si="108">IF(A707="","",2)</f>
        <v/>
      </c>
      <c r="H707" s="38" t="str">
        <f t="shared" si="106"/>
        <v/>
      </c>
      <c r="I707" s="38" t="str">
        <f t="shared" ref="I707:I755" si="109">IF(A707="","",IF(nThan=1,C707,(1-$B$7)*C707/2))</f>
        <v/>
      </c>
      <c r="J707" s="38" t="str">
        <f t="shared" ref="J707:J755" si="110">IF(A707="","",IF(nThan=1,D707,D707/2))</f>
        <v/>
      </c>
      <c r="K707" s="38" t="str">
        <f t="shared" ref="K707:K755" si="111">IF(A707="","",IF(nThan=1,E707,E707/2))</f>
        <v/>
      </c>
      <c r="L707" s="38" t="str">
        <f t="shared" ref="L707:L755" si="112">IF(A707="","",IF(nThan=1,F707,F707/2))</f>
        <v/>
      </c>
      <c r="M707" s="38" t="str">
        <f>IF($A707="","",IF(H707=0,"",IF(Q707&lt;=0.000000001,MIN(0.8*0.75*'KT THAN'!$C$62,MAX('KT THAN'!$J$38:$J$58)),IFERROR(MIN(0.8*0.75*'KT THAN'!$C$62,INDEX('KT THAN'!$J$38:$J$58,MATCH(Q707,'KT THAN'!$L$38:$L$58,-1))+(INDEX('KT THAN'!$J$38:$J$58,MIN(21,MATCH(Q707,'KT THAN'!$L$38:$L$58,-1)+1))-INDEX('KT THAN'!$J$38:$J$58,MATCH(Q707,'KT THAN'!$L$38:$L$58,-1)))*(Q707-INDEX('KT THAN'!$L$38:$L$58,MATCH(Q707,'KT THAN'!$L$38:$L$58,-1)))/(INDEX('KT THAN'!$L$38:$L$58,MIN(21,MATCH(Q707,'KT THAN'!$L$38:$L$58,-1)+1))-INDEX('KT THAN'!$L$38:$L$58,MATCH(Q707,'KT THAN'!$L$38:$L$58,-1)))),MIN(0.8*0.75*'KT THAN'!$C$62,'KT THAN'!$C$68/Q707)))))</f>
        <v/>
      </c>
      <c r="N707" s="38" t="str">
        <f>IF($A707="","",IF(H707=0,"",IF(R707&lt;=0.000000001,MIN(0.8*0.75*'KT THAN'!$C$62,MAX('KT THAN'!$W$38:$W$58)),IFERROR(MIN(0.8*0.75*'KT THAN'!$C$62,INDEX('KT THAN'!$W$38:$W$58,MATCH(R707,'KT THAN'!$Y$38:$Y$58,-1))+(INDEX('KT THAN'!$W$38:$W$58,MIN(21,MATCH(R707,'KT THAN'!$Y$38:$Y$58,-1)+1))-INDEX('KT THAN'!$W$38:$W$58,MATCH(R707,'KT THAN'!$Y$38:$Y$58,-1)))*(R707-INDEX('KT THAN'!$Y$38:$Y$58,MATCH(R707,'KT THAN'!$Y$38:$Y$58,-1)))/(INDEX('KT THAN'!$Y$38:$Y$58,MIN(21,MATCH(R707,'KT THAN'!$Y$38:$Y$58,-1)+1))-INDEX('KT THAN'!$Y$38:$Y$58,MATCH(R707,'KT THAN'!$Y$38:$Y$58,-1)))),MIN(0.8*0.75*'KT THAN'!$C$62,'KT THAN'!$D$68/R707)))))</f>
        <v/>
      </c>
      <c r="O707" s="38" t="str">
        <f>IF($A707="","",IF(H707&lt;0,ABS(H707)/MAX('KT THAN'!$C$69,0.001)+'KT THAN'!$C$32*ABS(J707)/MAX('KT THAN'!$C$68,0.001)+'KT THAN'!$D$32*ABS(I707)/MAX('KT THAN'!$D$68,0.001),IF(OR(M707&lt;=0,N707&lt;=0),999,IF(H707&gt;=0.1*0.75*fc_*Agth*1000,H707/MAX(0.001,1/(1/M707+1/N707-1/(0.75*'KT THAN'!$C$62))),'KT THAN'!$C$32*ABS(J707)/MAX('KT THAN'!$C$68,0.001)+'KT THAN'!$D$32*ABS(I707)/MAX('KT THAN'!$D$68,0.001)))))</f>
        <v/>
      </c>
      <c r="P707" s="37" t="str">
        <f t="shared" ref="P707:P755" si="113">IF(A707="","",IF(O707&lt;=1,"ĐẠT","KHÔNG ĐẠT"))</f>
        <v/>
      </c>
      <c r="Q707" s="38" t="str">
        <f>IF($A707="","",MAX(0.001,'KT THAN'!$C$32*ABS(J707)/MAX(1,H707)))</f>
        <v/>
      </c>
      <c r="R707" s="38" t="str">
        <f>IF($A707="","",MAX(0.001,'KT THAN'!$D$32*ABS(I707)/MAX(1,H707)))</f>
        <v/>
      </c>
      <c r="S707" t="str">
        <f t="shared" si="107"/>
        <v/>
      </c>
    </row>
    <row r="708" spans="1:19" hidden="1" outlineLevel="1" x14ac:dyDescent="0.3">
      <c r="A708" s="37" t="str">
        <f>IF(OR(nThan=1,'TO HOP NLAN'!$A264=""),"",'TO HOP NLAN'!$A264)</f>
        <v/>
      </c>
      <c r="B708" s="38" t="str">
        <f>IF($A708="","",'TO HOP NLAN'!$D264)</f>
        <v/>
      </c>
      <c r="C708" s="38" t="str">
        <f>IF($A708="","",'TO HOP NLAN'!$E264)</f>
        <v/>
      </c>
      <c r="D708" s="38" t="str">
        <f>IF($A708="","",'TO HOP NLAN'!$F264)</f>
        <v/>
      </c>
      <c r="E708" s="38" t="str">
        <f>IF($A708="","",'TO HOP NLAN'!$B264)</f>
        <v/>
      </c>
      <c r="F708" s="38" t="str">
        <f>IF($A708="","",'TO HOP NLAN'!$C264)</f>
        <v/>
      </c>
      <c r="G708" s="38" t="str">
        <f t="shared" si="108"/>
        <v/>
      </c>
      <c r="H708" s="38" t="str">
        <f t="shared" si="106"/>
        <v/>
      </c>
      <c r="I708" s="38" t="str">
        <f t="shared" si="109"/>
        <v/>
      </c>
      <c r="J708" s="38" t="str">
        <f t="shared" si="110"/>
        <v/>
      </c>
      <c r="K708" s="38" t="str">
        <f t="shared" si="111"/>
        <v/>
      </c>
      <c r="L708" s="38" t="str">
        <f t="shared" si="112"/>
        <v/>
      </c>
      <c r="M708" s="38" t="str">
        <f>IF($A708="","",IF(H708=0,"",IF(Q708&lt;=0.000000001,MIN(0.8*0.75*'KT THAN'!$C$62,MAX('KT THAN'!$J$38:$J$58)),IFERROR(MIN(0.8*0.75*'KT THAN'!$C$62,INDEX('KT THAN'!$J$38:$J$58,MATCH(Q708,'KT THAN'!$L$38:$L$58,-1))+(INDEX('KT THAN'!$J$38:$J$58,MIN(21,MATCH(Q708,'KT THAN'!$L$38:$L$58,-1)+1))-INDEX('KT THAN'!$J$38:$J$58,MATCH(Q708,'KT THAN'!$L$38:$L$58,-1)))*(Q708-INDEX('KT THAN'!$L$38:$L$58,MATCH(Q708,'KT THAN'!$L$38:$L$58,-1)))/(INDEX('KT THAN'!$L$38:$L$58,MIN(21,MATCH(Q708,'KT THAN'!$L$38:$L$58,-1)+1))-INDEX('KT THAN'!$L$38:$L$58,MATCH(Q708,'KT THAN'!$L$38:$L$58,-1)))),MIN(0.8*0.75*'KT THAN'!$C$62,'KT THAN'!$C$68/Q708)))))</f>
        <v/>
      </c>
      <c r="N708" s="38" t="str">
        <f>IF($A708="","",IF(H708=0,"",IF(R708&lt;=0.000000001,MIN(0.8*0.75*'KT THAN'!$C$62,MAX('KT THAN'!$W$38:$W$58)),IFERROR(MIN(0.8*0.75*'KT THAN'!$C$62,INDEX('KT THAN'!$W$38:$W$58,MATCH(R708,'KT THAN'!$Y$38:$Y$58,-1))+(INDEX('KT THAN'!$W$38:$W$58,MIN(21,MATCH(R708,'KT THAN'!$Y$38:$Y$58,-1)+1))-INDEX('KT THAN'!$W$38:$W$58,MATCH(R708,'KT THAN'!$Y$38:$Y$58,-1)))*(R708-INDEX('KT THAN'!$Y$38:$Y$58,MATCH(R708,'KT THAN'!$Y$38:$Y$58,-1)))/(INDEX('KT THAN'!$Y$38:$Y$58,MIN(21,MATCH(R708,'KT THAN'!$Y$38:$Y$58,-1)+1))-INDEX('KT THAN'!$Y$38:$Y$58,MATCH(R708,'KT THAN'!$Y$38:$Y$58,-1)))),MIN(0.8*0.75*'KT THAN'!$C$62,'KT THAN'!$D$68/R708)))))</f>
        <v/>
      </c>
      <c r="O708" s="38" t="str">
        <f>IF($A708="","",IF(H708&lt;0,ABS(H708)/MAX('KT THAN'!$C$69,0.001)+'KT THAN'!$C$32*ABS(J708)/MAX('KT THAN'!$C$68,0.001)+'KT THAN'!$D$32*ABS(I708)/MAX('KT THAN'!$D$68,0.001),IF(OR(M708&lt;=0,N708&lt;=0),999,IF(H708&gt;=0.1*0.75*fc_*Agth*1000,H708/MAX(0.001,1/(1/M708+1/N708-1/(0.75*'KT THAN'!$C$62))),'KT THAN'!$C$32*ABS(J708)/MAX('KT THAN'!$C$68,0.001)+'KT THAN'!$D$32*ABS(I708)/MAX('KT THAN'!$D$68,0.001)))))</f>
        <v/>
      </c>
      <c r="P708" s="37" t="str">
        <f t="shared" si="113"/>
        <v/>
      </c>
      <c r="Q708" s="38" t="str">
        <f>IF($A708="","",MAX(0.001,'KT THAN'!$C$32*ABS(J708)/MAX(1,H708)))</f>
        <v/>
      </c>
      <c r="R708" s="38" t="str">
        <f>IF($A708="","",MAX(0.001,'KT THAN'!$D$32*ABS(I708)/MAX(1,H708)))</f>
        <v/>
      </c>
      <c r="S708" t="str">
        <f t="shared" si="107"/>
        <v/>
      </c>
    </row>
    <row r="709" spans="1:19" hidden="1" outlineLevel="1" x14ac:dyDescent="0.3">
      <c r="A709" s="37" t="str">
        <f>IF(OR(nThan=1,'TO HOP NLAN'!$A265=""),"",'TO HOP NLAN'!$A265)</f>
        <v/>
      </c>
      <c r="B709" s="38" t="str">
        <f>IF($A709="","",'TO HOP NLAN'!$D265)</f>
        <v/>
      </c>
      <c r="C709" s="38" t="str">
        <f>IF($A709="","",'TO HOP NLAN'!$E265)</f>
        <v/>
      </c>
      <c r="D709" s="38" t="str">
        <f>IF($A709="","",'TO HOP NLAN'!$F265)</f>
        <v/>
      </c>
      <c r="E709" s="38" t="str">
        <f>IF($A709="","",'TO HOP NLAN'!$B265)</f>
        <v/>
      </c>
      <c r="F709" s="38" t="str">
        <f>IF($A709="","",'TO HOP NLAN'!$C265)</f>
        <v/>
      </c>
      <c r="G709" s="38" t="str">
        <f t="shared" si="108"/>
        <v/>
      </c>
      <c r="H709" s="38" t="str">
        <f t="shared" si="106"/>
        <v/>
      </c>
      <c r="I709" s="38" t="str">
        <f t="shared" si="109"/>
        <v/>
      </c>
      <c r="J709" s="38" t="str">
        <f t="shared" si="110"/>
        <v/>
      </c>
      <c r="K709" s="38" t="str">
        <f t="shared" si="111"/>
        <v/>
      </c>
      <c r="L709" s="38" t="str">
        <f t="shared" si="112"/>
        <v/>
      </c>
      <c r="M709" s="38" t="str">
        <f>IF($A709="","",IF(H709=0,"",IF(Q709&lt;=0.000000001,MIN(0.8*0.75*'KT THAN'!$C$62,MAX('KT THAN'!$J$38:$J$58)),IFERROR(MIN(0.8*0.75*'KT THAN'!$C$62,INDEX('KT THAN'!$J$38:$J$58,MATCH(Q709,'KT THAN'!$L$38:$L$58,-1))+(INDEX('KT THAN'!$J$38:$J$58,MIN(21,MATCH(Q709,'KT THAN'!$L$38:$L$58,-1)+1))-INDEX('KT THAN'!$J$38:$J$58,MATCH(Q709,'KT THAN'!$L$38:$L$58,-1)))*(Q709-INDEX('KT THAN'!$L$38:$L$58,MATCH(Q709,'KT THAN'!$L$38:$L$58,-1)))/(INDEX('KT THAN'!$L$38:$L$58,MIN(21,MATCH(Q709,'KT THAN'!$L$38:$L$58,-1)+1))-INDEX('KT THAN'!$L$38:$L$58,MATCH(Q709,'KT THAN'!$L$38:$L$58,-1)))),MIN(0.8*0.75*'KT THAN'!$C$62,'KT THAN'!$C$68/Q709)))))</f>
        <v/>
      </c>
      <c r="N709" s="38" t="str">
        <f>IF($A709="","",IF(H709=0,"",IF(R709&lt;=0.000000001,MIN(0.8*0.75*'KT THAN'!$C$62,MAX('KT THAN'!$W$38:$W$58)),IFERROR(MIN(0.8*0.75*'KT THAN'!$C$62,INDEX('KT THAN'!$W$38:$W$58,MATCH(R709,'KT THAN'!$Y$38:$Y$58,-1))+(INDEX('KT THAN'!$W$38:$W$58,MIN(21,MATCH(R709,'KT THAN'!$Y$38:$Y$58,-1)+1))-INDEX('KT THAN'!$W$38:$W$58,MATCH(R709,'KT THAN'!$Y$38:$Y$58,-1)))*(R709-INDEX('KT THAN'!$Y$38:$Y$58,MATCH(R709,'KT THAN'!$Y$38:$Y$58,-1)))/(INDEX('KT THAN'!$Y$38:$Y$58,MIN(21,MATCH(R709,'KT THAN'!$Y$38:$Y$58,-1)+1))-INDEX('KT THAN'!$Y$38:$Y$58,MATCH(R709,'KT THAN'!$Y$38:$Y$58,-1)))),MIN(0.8*0.75*'KT THAN'!$C$62,'KT THAN'!$D$68/R709)))))</f>
        <v/>
      </c>
      <c r="O709" s="38" t="str">
        <f>IF($A709="","",IF(H709&lt;0,ABS(H709)/MAX('KT THAN'!$C$69,0.001)+'KT THAN'!$C$32*ABS(J709)/MAX('KT THAN'!$C$68,0.001)+'KT THAN'!$D$32*ABS(I709)/MAX('KT THAN'!$D$68,0.001),IF(OR(M709&lt;=0,N709&lt;=0),999,IF(H709&gt;=0.1*0.75*fc_*Agth*1000,H709/MAX(0.001,1/(1/M709+1/N709-1/(0.75*'KT THAN'!$C$62))),'KT THAN'!$C$32*ABS(J709)/MAX('KT THAN'!$C$68,0.001)+'KT THAN'!$D$32*ABS(I709)/MAX('KT THAN'!$D$68,0.001)))))</f>
        <v/>
      </c>
      <c r="P709" s="37" t="str">
        <f t="shared" si="113"/>
        <v/>
      </c>
      <c r="Q709" s="38" t="str">
        <f>IF($A709="","",MAX(0.001,'KT THAN'!$C$32*ABS(J709)/MAX(1,H709)))</f>
        <v/>
      </c>
      <c r="R709" s="38" t="str">
        <f>IF($A709="","",MAX(0.001,'KT THAN'!$D$32*ABS(I709)/MAX(1,H709)))</f>
        <v/>
      </c>
      <c r="S709" t="str">
        <f t="shared" si="107"/>
        <v/>
      </c>
    </row>
    <row r="710" spans="1:19" hidden="1" outlineLevel="1" x14ac:dyDescent="0.3">
      <c r="A710" s="37" t="str">
        <f>IF(OR(nThan=1,'TO HOP NLAN'!$A266=""),"",'TO HOP NLAN'!$A266)</f>
        <v/>
      </c>
      <c r="B710" s="38" t="str">
        <f>IF($A710="","",'TO HOP NLAN'!$D266)</f>
        <v/>
      </c>
      <c r="C710" s="38" t="str">
        <f>IF($A710="","",'TO HOP NLAN'!$E266)</f>
        <v/>
      </c>
      <c r="D710" s="38" t="str">
        <f>IF($A710="","",'TO HOP NLAN'!$F266)</f>
        <v/>
      </c>
      <c r="E710" s="38" t="str">
        <f>IF($A710="","",'TO HOP NLAN'!$B266)</f>
        <v/>
      </c>
      <c r="F710" s="38" t="str">
        <f>IF($A710="","",'TO HOP NLAN'!$C266)</f>
        <v/>
      </c>
      <c r="G710" s="38" t="str">
        <f t="shared" si="108"/>
        <v/>
      </c>
      <c r="H710" s="38" t="str">
        <f t="shared" si="106"/>
        <v/>
      </c>
      <c r="I710" s="38" t="str">
        <f t="shared" si="109"/>
        <v/>
      </c>
      <c r="J710" s="38" t="str">
        <f t="shared" si="110"/>
        <v/>
      </c>
      <c r="K710" s="38" t="str">
        <f t="shared" si="111"/>
        <v/>
      </c>
      <c r="L710" s="38" t="str">
        <f t="shared" si="112"/>
        <v/>
      </c>
      <c r="M710" s="38" t="str">
        <f>IF($A710="","",IF(H710=0,"",IF(Q710&lt;=0.000000001,MIN(0.8*0.75*'KT THAN'!$C$62,MAX('KT THAN'!$J$38:$J$58)),IFERROR(MIN(0.8*0.75*'KT THAN'!$C$62,INDEX('KT THAN'!$J$38:$J$58,MATCH(Q710,'KT THAN'!$L$38:$L$58,-1))+(INDEX('KT THAN'!$J$38:$J$58,MIN(21,MATCH(Q710,'KT THAN'!$L$38:$L$58,-1)+1))-INDEX('KT THAN'!$J$38:$J$58,MATCH(Q710,'KT THAN'!$L$38:$L$58,-1)))*(Q710-INDEX('KT THAN'!$L$38:$L$58,MATCH(Q710,'KT THAN'!$L$38:$L$58,-1)))/(INDEX('KT THAN'!$L$38:$L$58,MIN(21,MATCH(Q710,'KT THAN'!$L$38:$L$58,-1)+1))-INDEX('KT THAN'!$L$38:$L$58,MATCH(Q710,'KT THAN'!$L$38:$L$58,-1)))),MIN(0.8*0.75*'KT THAN'!$C$62,'KT THAN'!$C$68/Q710)))))</f>
        <v/>
      </c>
      <c r="N710" s="38" t="str">
        <f>IF($A710="","",IF(H710=0,"",IF(R710&lt;=0.000000001,MIN(0.8*0.75*'KT THAN'!$C$62,MAX('KT THAN'!$W$38:$W$58)),IFERROR(MIN(0.8*0.75*'KT THAN'!$C$62,INDEX('KT THAN'!$W$38:$W$58,MATCH(R710,'KT THAN'!$Y$38:$Y$58,-1))+(INDEX('KT THAN'!$W$38:$W$58,MIN(21,MATCH(R710,'KT THAN'!$Y$38:$Y$58,-1)+1))-INDEX('KT THAN'!$W$38:$W$58,MATCH(R710,'KT THAN'!$Y$38:$Y$58,-1)))*(R710-INDEX('KT THAN'!$Y$38:$Y$58,MATCH(R710,'KT THAN'!$Y$38:$Y$58,-1)))/(INDEX('KT THAN'!$Y$38:$Y$58,MIN(21,MATCH(R710,'KT THAN'!$Y$38:$Y$58,-1)+1))-INDEX('KT THAN'!$Y$38:$Y$58,MATCH(R710,'KT THAN'!$Y$38:$Y$58,-1)))),MIN(0.8*0.75*'KT THAN'!$C$62,'KT THAN'!$D$68/R710)))))</f>
        <v/>
      </c>
      <c r="O710" s="38" t="str">
        <f>IF($A710="","",IF(H710&lt;0,ABS(H710)/MAX('KT THAN'!$C$69,0.001)+'KT THAN'!$C$32*ABS(J710)/MAX('KT THAN'!$C$68,0.001)+'KT THAN'!$D$32*ABS(I710)/MAX('KT THAN'!$D$68,0.001),IF(OR(M710&lt;=0,N710&lt;=0),999,IF(H710&gt;=0.1*0.75*fc_*Agth*1000,H710/MAX(0.001,1/(1/M710+1/N710-1/(0.75*'KT THAN'!$C$62))),'KT THAN'!$C$32*ABS(J710)/MAX('KT THAN'!$C$68,0.001)+'KT THAN'!$D$32*ABS(I710)/MAX('KT THAN'!$D$68,0.001)))))</f>
        <v/>
      </c>
      <c r="P710" s="37" t="str">
        <f t="shared" si="113"/>
        <v/>
      </c>
      <c r="Q710" s="38" t="str">
        <f>IF($A710="","",MAX(0.001,'KT THAN'!$C$32*ABS(J710)/MAX(1,H710)))</f>
        <v/>
      </c>
      <c r="R710" s="38" t="str">
        <f>IF($A710="","",MAX(0.001,'KT THAN'!$D$32*ABS(I710)/MAX(1,H710)))</f>
        <v/>
      </c>
      <c r="S710" t="str">
        <f t="shared" si="107"/>
        <v/>
      </c>
    </row>
    <row r="711" spans="1:19" hidden="1" outlineLevel="1" x14ac:dyDescent="0.3">
      <c r="A711" s="37" t="str">
        <f>IF(OR(nThan=1,'TO HOP NLAN'!$A267=""),"",'TO HOP NLAN'!$A267)</f>
        <v/>
      </c>
      <c r="B711" s="38" t="str">
        <f>IF($A711="","",'TO HOP NLAN'!$D267)</f>
        <v/>
      </c>
      <c r="C711" s="38" t="str">
        <f>IF($A711="","",'TO HOP NLAN'!$E267)</f>
        <v/>
      </c>
      <c r="D711" s="38" t="str">
        <f>IF($A711="","",'TO HOP NLAN'!$F267)</f>
        <v/>
      </c>
      <c r="E711" s="38" t="str">
        <f>IF($A711="","",'TO HOP NLAN'!$B267)</f>
        <v/>
      </c>
      <c r="F711" s="38" t="str">
        <f>IF($A711="","",'TO HOP NLAN'!$C267)</f>
        <v/>
      </c>
      <c r="G711" s="38" t="str">
        <f t="shared" si="108"/>
        <v/>
      </c>
      <c r="H711" s="38" t="str">
        <f t="shared" si="106"/>
        <v/>
      </c>
      <c r="I711" s="38" t="str">
        <f t="shared" si="109"/>
        <v/>
      </c>
      <c r="J711" s="38" t="str">
        <f t="shared" si="110"/>
        <v/>
      </c>
      <c r="K711" s="38" t="str">
        <f t="shared" si="111"/>
        <v/>
      </c>
      <c r="L711" s="38" t="str">
        <f t="shared" si="112"/>
        <v/>
      </c>
      <c r="M711" s="38" t="str">
        <f>IF($A711="","",IF(H711=0,"",IF(Q711&lt;=0.000000001,MIN(0.8*0.75*'KT THAN'!$C$62,MAX('KT THAN'!$J$38:$J$58)),IFERROR(MIN(0.8*0.75*'KT THAN'!$C$62,INDEX('KT THAN'!$J$38:$J$58,MATCH(Q711,'KT THAN'!$L$38:$L$58,-1))+(INDEX('KT THAN'!$J$38:$J$58,MIN(21,MATCH(Q711,'KT THAN'!$L$38:$L$58,-1)+1))-INDEX('KT THAN'!$J$38:$J$58,MATCH(Q711,'KT THAN'!$L$38:$L$58,-1)))*(Q711-INDEX('KT THAN'!$L$38:$L$58,MATCH(Q711,'KT THAN'!$L$38:$L$58,-1)))/(INDEX('KT THAN'!$L$38:$L$58,MIN(21,MATCH(Q711,'KT THAN'!$L$38:$L$58,-1)+1))-INDEX('KT THAN'!$L$38:$L$58,MATCH(Q711,'KT THAN'!$L$38:$L$58,-1)))),MIN(0.8*0.75*'KT THAN'!$C$62,'KT THAN'!$C$68/Q711)))))</f>
        <v/>
      </c>
      <c r="N711" s="38" t="str">
        <f>IF($A711="","",IF(H711=0,"",IF(R711&lt;=0.000000001,MIN(0.8*0.75*'KT THAN'!$C$62,MAX('KT THAN'!$W$38:$W$58)),IFERROR(MIN(0.8*0.75*'KT THAN'!$C$62,INDEX('KT THAN'!$W$38:$W$58,MATCH(R711,'KT THAN'!$Y$38:$Y$58,-1))+(INDEX('KT THAN'!$W$38:$W$58,MIN(21,MATCH(R711,'KT THAN'!$Y$38:$Y$58,-1)+1))-INDEX('KT THAN'!$W$38:$W$58,MATCH(R711,'KT THAN'!$Y$38:$Y$58,-1)))*(R711-INDEX('KT THAN'!$Y$38:$Y$58,MATCH(R711,'KT THAN'!$Y$38:$Y$58,-1)))/(INDEX('KT THAN'!$Y$38:$Y$58,MIN(21,MATCH(R711,'KT THAN'!$Y$38:$Y$58,-1)+1))-INDEX('KT THAN'!$Y$38:$Y$58,MATCH(R711,'KT THAN'!$Y$38:$Y$58,-1)))),MIN(0.8*0.75*'KT THAN'!$C$62,'KT THAN'!$D$68/R711)))))</f>
        <v/>
      </c>
      <c r="O711" s="38" t="str">
        <f>IF($A711="","",IF(H711&lt;0,ABS(H711)/MAX('KT THAN'!$C$69,0.001)+'KT THAN'!$C$32*ABS(J711)/MAX('KT THAN'!$C$68,0.001)+'KT THAN'!$D$32*ABS(I711)/MAX('KT THAN'!$D$68,0.001),IF(OR(M711&lt;=0,N711&lt;=0),999,IF(H711&gt;=0.1*0.75*fc_*Agth*1000,H711/MAX(0.001,1/(1/M711+1/N711-1/(0.75*'KT THAN'!$C$62))),'KT THAN'!$C$32*ABS(J711)/MAX('KT THAN'!$C$68,0.001)+'KT THAN'!$D$32*ABS(I711)/MAX('KT THAN'!$D$68,0.001)))))</f>
        <v/>
      </c>
      <c r="P711" s="37" t="str">
        <f t="shared" si="113"/>
        <v/>
      </c>
      <c r="Q711" s="38" t="str">
        <f>IF($A711="","",MAX(0.001,'KT THAN'!$C$32*ABS(J711)/MAX(1,H711)))</f>
        <v/>
      </c>
      <c r="R711" s="38" t="str">
        <f>IF($A711="","",MAX(0.001,'KT THAN'!$D$32*ABS(I711)/MAX(1,H711)))</f>
        <v/>
      </c>
      <c r="S711" t="str">
        <f t="shared" si="107"/>
        <v/>
      </c>
    </row>
    <row r="712" spans="1:19" hidden="1" outlineLevel="1" x14ac:dyDescent="0.3">
      <c r="A712" s="37" t="str">
        <f>IF(OR(nThan=1,'TO HOP NLAN'!$A268=""),"",'TO HOP NLAN'!$A268)</f>
        <v/>
      </c>
      <c r="B712" s="38" t="str">
        <f>IF($A712="","",'TO HOP NLAN'!$D268)</f>
        <v/>
      </c>
      <c r="C712" s="38" t="str">
        <f>IF($A712="","",'TO HOP NLAN'!$E268)</f>
        <v/>
      </c>
      <c r="D712" s="38" t="str">
        <f>IF($A712="","",'TO HOP NLAN'!$F268)</f>
        <v/>
      </c>
      <c r="E712" s="38" t="str">
        <f>IF($A712="","",'TO HOP NLAN'!$B268)</f>
        <v/>
      </c>
      <c r="F712" s="38" t="str">
        <f>IF($A712="","",'TO HOP NLAN'!$C268)</f>
        <v/>
      </c>
      <c r="G712" s="38" t="str">
        <f t="shared" si="108"/>
        <v/>
      </c>
      <c r="H712" s="38" t="str">
        <f t="shared" si="106"/>
        <v/>
      </c>
      <c r="I712" s="38" t="str">
        <f t="shared" si="109"/>
        <v/>
      </c>
      <c r="J712" s="38" t="str">
        <f t="shared" si="110"/>
        <v/>
      </c>
      <c r="K712" s="38" t="str">
        <f t="shared" si="111"/>
        <v/>
      </c>
      <c r="L712" s="38" t="str">
        <f t="shared" si="112"/>
        <v/>
      </c>
      <c r="M712" s="38" t="str">
        <f>IF($A712="","",IF(H712=0,"",IF(Q712&lt;=0.000000001,MIN(0.8*0.75*'KT THAN'!$C$62,MAX('KT THAN'!$J$38:$J$58)),IFERROR(MIN(0.8*0.75*'KT THAN'!$C$62,INDEX('KT THAN'!$J$38:$J$58,MATCH(Q712,'KT THAN'!$L$38:$L$58,-1))+(INDEX('KT THAN'!$J$38:$J$58,MIN(21,MATCH(Q712,'KT THAN'!$L$38:$L$58,-1)+1))-INDEX('KT THAN'!$J$38:$J$58,MATCH(Q712,'KT THAN'!$L$38:$L$58,-1)))*(Q712-INDEX('KT THAN'!$L$38:$L$58,MATCH(Q712,'KT THAN'!$L$38:$L$58,-1)))/(INDEX('KT THAN'!$L$38:$L$58,MIN(21,MATCH(Q712,'KT THAN'!$L$38:$L$58,-1)+1))-INDEX('KT THAN'!$L$38:$L$58,MATCH(Q712,'KT THAN'!$L$38:$L$58,-1)))),MIN(0.8*0.75*'KT THAN'!$C$62,'KT THAN'!$C$68/Q712)))))</f>
        <v/>
      </c>
      <c r="N712" s="38" t="str">
        <f>IF($A712="","",IF(H712=0,"",IF(R712&lt;=0.000000001,MIN(0.8*0.75*'KT THAN'!$C$62,MAX('KT THAN'!$W$38:$W$58)),IFERROR(MIN(0.8*0.75*'KT THAN'!$C$62,INDEX('KT THAN'!$W$38:$W$58,MATCH(R712,'KT THAN'!$Y$38:$Y$58,-1))+(INDEX('KT THAN'!$W$38:$W$58,MIN(21,MATCH(R712,'KT THAN'!$Y$38:$Y$58,-1)+1))-INDEX('KT THAN'!$W$38:$W$58,MATCH(R712,'KT THAN'!$Y$38:$Y$58,-1)))*(R712-INDEX('KT THAN'!$Y$38:$Y$58,MATCH(R712,'KT THAN'!$Y$38:$Y$58,-1)))/(INDEX('KT THAN'!$Y$38:$Y$58,MIN(21,MATCH(R712,'KT THAN'!$Y$38:$Y$58,-1)+1))-INDEX('KT THAN'!$Y$38:$Y$58,MATCH(R712,'KT THAN'!$Y$38:$Y$58,-1)))),MIN(0.8*0.75*'KT THAN'!$C$62,'KT THAN'!$D$68/R712)))))</f>
        <v/>
      </c>
      <c r="O712" s="38" t="str">
        <f>IF($A712="","",IF(H712&lt;0,ABS(H712)/MAX('KT THAN'!$C$69,0.001)+'KT THAN'!$C$32*ABS(J712)/MAX('KT THAN'!$C$68,0.001)+'KT THAN'!$D$32*ABS(I712)/MAX('KT THAN'!$D$68,0.001),IF(OR(M712&lt;=0,N712&lt;=0),999,IF(H712&gt;=0.1*0.75*fc_*Agth*1000,H712/MAX(0.001,1/(1/M712+1/N712-1/(0.75*'KT THAN'!$C$62))),'KT THAN'!$C$32*ABS(J712)/MAX('KT THAN'!$C$68,0.001)+'KT THAN'!$D$32*ABS(I712)/MAX('KT THAN'!$D$68,0.001)))))</f>
        <v/>
      </c>
      <c r="P712" s="37" t="str">
        <f t="shared" si="113"/>
        <v/>
      </c>
      <c r="Q712" s="38" t="str">
        <f>IF($A712="","",MAX(0.001,'KT THAN'!$C$32*ABS(J712)/MAX(1,H712)))</f>
        <v/>
      </c>
      <c r="R712" s="38" t="str">
        <f>IF($A712="","",MAX(0.001,'KT THAN'!$D$32*ABS(I712)/MAX(1,H712)))</f>
        <v/>
      </c>
      <c r="S712" t="str">
        <f t="shared" si="107"/>
        <v/>
      </c>
    </row>
    <row r="713" spans="1:19" hidden="1" outlineLevel="1" x14ac:dyDescent="0.3">
      <c r="A713" s="37" t="str">
        <f>IF(OR(nThan=1,'TO HOP NLAN'!$A269=""),"",'TO HOP NLAN'!$A269)</f>
        <v/>
      </c>
      <c r="B713" s="38" t="str">
        <f>IF($A713="","",'TO HOP NLAN'!$D269)</f>
        <v/>
      </c>
      <c r="C713" s="38" t="str">
        <f>IF($A713="","",'TO HOP NLAN'!$E269)</f>
        <v/>
      </c>
      <c r="D713" s="38" t="str">
        <f>IF($A713="","",'TO HOP NLAN'!$F269)</f>
        <v/>
      </c>
      <c r="E713" s="38" t="str">
        <f>IF($A713="","",'TO HOP NLAN'!$B269)</f>
        <v/>
      </c>
      <c r="F713" s="38" t="str">
        <f>IF($A713="","",'TO HOP NLAN'!$C269)</f>
        <v/>
      </c>
      <c r="G713" s="38" t="str">
        <f t="shared" si="108"/>
        <v/>
      </c>
      <c r="H713" s="38" t="str">
        <f t="shared" si="106"/>
        <v/>
      </c>
      <c r="I713" s="38" t="str">
        <f t="shared" si="109"/>
        <v/>
      </c>
      <c r="J713" s="38" t="str">
        <f t="shared" si="110"/>
        <v/>
      </c>
      <c r="K713" s="38" t="str">
        <f t="shared" si="111"/>
        <v/>
      </c>
      <c r="L713" s="38" t="str">
        <f t="shared" si="112"/>
        <v/>
      </c>
      <c r="M713" s="38" t="str">
        <f>IF($A713="","",IF(H713=0,"",IF(Q713&lt;=0.000000001,MIN(0.8*0.75*'KT THAN'!$C$62,MAX('KT THAN'!$J$38:$J$58)),IFERROR(MIN(0.8*0.75*'KT THAN'!$C$62,INDEX('KT THAN'!$J$38:$J$58,MATCH(Q713,'KT THAN'!$L$38:$L$58,-1))+(INDEX('KT THAN'!$J$38:$J$58,MIN(21,MATCH(Q713,'KT THAN'!$L$38:$L$58,-1)+1))-INDEX('KT THAN'!$J$38:$J$58,MATCH(Q713,'KT THAN'!$L$38:$L$58,-1)))*(Q713-INDEX('KT THAN'!$L$38:$L$58,MATCH(Q713,'KT THAN'!$L$38:$L$58,-1)))/(INDEX('KT THAN'!$L$38:$L$58,MIN(21,MATCH(Q713,'KT THAN'!$L$38:$L$58,-1)+1))-INDEX('KT THAN'!$L$38:$L$58,MATCH(Q713,'KT THAN'!$L$38:$L$58,-1)))),MIN(0.8*0.75*'KT THAN'!$C$62,'KT THAN'!$C$68/Q713)))))</f>
        <v/>
      </c>
      <c r="N713" s="38" t="str">
        <f>IF($A713="","",IF(H713=0,"",IF(R713&lt;=0.000000001,MIN(0.8*0.75*'KT THAN'!$C$62,MAX('KT THAN'!$W$38:$W$58)),IFERROR(MIN(0.8*0.75*'KT THAN'!$C$62,INDEX('KT THAN'!$W$38:$W$58,MATCH(R713,'KT THAN'!$Y$38:$Y$58,-1))+(INDEX('KT THAN'!$W$38:$W$58,MIN(21,MATCH(R713,'KT THAN'!$Y$38:$Y$58,-1)+1))-INDEX('KT THAN'!$W$38:$W$58,MATCH(R713,'KT THAN'!$Y$38:$Y$58,-1)))*(R713-INDEX('KT THAN'!$Y$38:$Y$58,MATCH(R713,'KT THAN'!$Y$38:$Y$58,-1)))/(INDEX('KT THAN'!$Y$38:$Y$58,MIN(21,MATCH(R713,'KT THAN'!$Y$38:$Y$58,-1)+1))-INDEX('KT THAN'!$Y$38:$Y$58,MATCH(R713,'KT THAN'!$Y$38:$Y$58,-1)))),MIN(0.8*0.75*'KT THAN'!$C$62,'KT THAN'!$D$68/R713)))))</f>
        <v/>
      </c>
      <c r="O713" s="38" t="str">
        <f>IF($A713="","",IF(H713&lt;0,ABS(H713)/MAX('KT THAN'!$C$69,0.001)+'KT THAN'!$C$32*ABS(J713)/MAX('KT THAN'!$C$68,0.001)+'KT THAN'!$D$32*ABS(I713)/MAX('KT THAN'!$D$68,0.001),IF(OR(M713&lt;=0,N713&lt;=0),999,IF(H713&gt;=0.1*0.75*fc_*Agth*1000,H713/MAX(0.001,1/(1/M713+1/N713-1/(0.75*'KT THAN'!$C$62))),'KT THAN'!$C$32*ABS(J713)/MAX('KT THAN'!$C$68,0.001)+'KT THAN'!$D$32*ABS(I713)/MAX('KT THAN'!$D$68,0.001)))))</f>
        <v/>
      </c>
      <c r="P713" s="37" t="str">
        <f t="shared" si="113"/>
        <v/>
      </c>
      <c r="Q713" s="38" t="str">
        <f>IF($A713="","",MAX(0.001,'KT THAN'!$C$32*ABS(J713)/MAX(1,H713)))</f>
        <v/>
      </c>
      <c r="R713" s="38" t="str">
        <f>IF($A713="","",MAX(0.001,'KT THAN'!$D$32*ABS(I713)/MAX(1,H713)))</f>
        <v/>
      </c>
      <c r="S713" t="str">
        <f t="shared" si="107"/>
        <v/>
      </c>
    </row>
    <row r="714" spans="1:19" hidden="1" outlineLevel="1" x14ac:dyDescent="0.3">
      <c r="A714" s="37" t="str">
        <f>IF(OR(nThan=1,'TO HOP NLAN'!$A270=""),"",'TO HOP NLAN'!$A270)</f>
        <v/>
      </c>
      <c r="B714" s="38" t="str">
        <f>IF($A714="","",'TO HOP NLAN'!$D270)</f>
        <v/>
      </c>
      <c r="C714" s="38" t="str">
        <f>IF($A714="","",'TO HOP NLAN'!$E270)</f>
        <v/>
      </c>
      <c r="D714" s="38" t="str">
        <f>IF($A714="","",'TO HOP NLAN'!$F270)</f>
        <v/>
      </c>
      <c r="E714" s="38" t="str">
        <f>IF($A714="","",'TO HOP NLAN'!$B270)</f>
        <v/>
      </c>
      <c r="F714" s="38" t="str">
        <f>IF($A714="","",'TO HOP NLAN'!$C270)</f>
        <v/>
      </c>
      <c r="G714" s="38" t="str">
        <f t="shared" si="108"/>
        <v/>
      </c>
      <c r="H714" s="38" t="str">
        <f t="shared" si="106"/>
        <v/>
      </c>
      <c r="I714" s="38" t="str">
        <f t="shared" si="109"/>
        <v/>
      </c>
      <c r="J714" s="38" t="str">
        <f t="shared" si="110"/>
        <v/>
      </c>
      <c r="K714" s="38" t="str">
        <f t="shared" si="111"/>
        <v/>
      </c>
      <c r="L714" s="38" t="str">
        <f t="shared" si="112"/>
        <v/>
      </c>
      <c r="M714" s="38" t="str">
        <f>IF($A714="","",IF(H714=0,"",IF(Q714&lt;=0.000000001,MIN(0.8*0.75*'KT THAN'!$C$62,MAX('KT THAN'!$J$38:$J$58)),IFERROR(MIN(0.8*0.75*'KT THAN'!$C$62,INDEX('KT THAN'!$J$38:$J$58,MATCH(Q714,'KT THAN'!$L$38:$L$58,-1))+(INDEX('KT THAN'!$J$38:$J$58,MIN(21,MATCH(Q714,'KT THAN'!$L$38:$L$58,-1)+1))-INDEX('KT THAN'!$J$38:$J$58,MATCH(Q714,'KT THAN'!$L$38:$L$58,-1)))*(Q714-INDEX('KT THAN'!$L$38:$L$58,MATCH(Q714,'KT THAN'!$L$38:$L$58,-1)))/(INDEX('KT THAN'!$L$38:$L$58,MIN(21,MATCH(Q714,'KT THAN'!$L$38:$L$58,-1)+1))-INDEX('KT THAN'!$L$38:$L$58,MATCH(Q714,'KT THAN'!$L$38:$L$58,-1)))),MIN(0.8*0.75*'KT THAN'!$C$62,'KT THAN'!$C$68/Q714)))))</f>
        <v/>
      </c>
      <c r="N714" s="38" t="str">
        <f>IF($A714="","",IF(H714=0,"",IF(R714&lt;=0.000000001,MIN(0.8*0.75*'KT THAN'!$C$62,MAX('KT THAN'!$W$38:$W$58)),IFERROR(MIN(0.8*0.75*'KT THAN'!$C$62,INDEX('KT THAN'!$W$38:$W$58,MATCH(R714,'KT THAN'!$Y$38:$Y$58,-1))+(INDEX('KT THAN'!$W$38:$W$58,MIN(21,MATCH(R714,'KT THAN'!$Y$38:$Y$58,-1)+1))-INDEX('KT THAN'!$W$38:$W$58,MATCH(R714,'KT THAN'!$Y$38:$Y$58,-1)))*(R714-INDEX('KT THAN'!$Y$38:$Y$58,MATCH(R714,'KT THAN'!$Y$38:$Y$58,-1)))/(INDEX('KT THAN'!$Y$38:$Y$58,MIN(21,MATCH(R714,'KT THAN'!$Y$38:$Y$58,-1)+1))-INDEX('KT THAN'!$Y$38:$Y$58,MATCH(R714,'KT THAN'!$Y$38:$Y$58,-1)))),MIN(0.8*0.75*'KT THAN'!$C$62,'KT THAN'!$D$68/R714)))))</f>
        <v/>
      </c>
      <c r="O714" s="38" t="str">
        <f>IF($A714="","",IF(H714&lt;0,ABS(H714)/MAX('KT THAN'!$C$69,0.001)+'KT THAN'!$C$32*ABS(J714)/MAX('KT THAN'!$C$68,0.001)+'KT THAN'!$D$32*ABS(I714)/MAX('KT THAN'!$D$68,0.001),IF(OR(M714&lt;=0,N714&lt;=0),999,IF(H714&gt;=0.1*0.75*fc_*Agth*1000,H714/MAX(0.001,1/(1/M714+1/N714-1/(0.75*'KT THAN'!$C$62))),'KT THAN'!$C$32*ABS(J714)/MAX('KT THAN'!$C$68,0.001)+'KT THAN'!$D$32*ABS(I714)/MAX('KT THAN'!$D$68,0.001)))))</f>
        <v/>
      </c>
      <c r="P714" s="37" t="str">
        <f t="shared" si="113"/>
        <v/>
      </c>
      <c r="Q714" s="38" t="str">
        <f>IF($A714="","",MAX(0.001,'KT THAN'!$C$32*ABS(J714)/MAX(1,H714)))</f>
        <v/>
      </c>
      <c r="R714" s="38" t="str">
        <f>IF($A714="","",MAX(0.001,'KT THAN'!$D$32*ABS(I714)/MAX(1,H714)))</f>
        <v/>
      </c>
      <c r="S714" t="str">
        <f t="shared" si="107"/>
        <v/>
      </c>
    </row>
    <row r="715" spans="1:19" hidden="1" outlineLevel="1" x14ac:dyDescent="0.3">
      <c r="A715" s="37" t="str">
        <f>IF(OR(nThan=1,'TO HOP NLAN'!$A271=""),"",'TO HOP NLAN'!$A271)</f>
        <v/>
      </c>
      <c r="B715" s="38" t="str">
        <f>IF($A715="","",'TO HOP NLAN'!$D271)</f>
        <v/>
      </c>
      <c r="C715" s="38" t="str">
        <f>IF($A715="","",'TO HOP NLAN'!$E271)</f>
        <v/>
      </c>
      <c r="D715" s="38" t="str">
        <f>IF($A715="","",'TO HOP NLAN'!$F271)</f>
        <v/>
      </c>
      <c r="E715" s="38" t="str">
        <f>IF($A715="","",'TO HOP NLAN'!$B271)</f>
        <v/>
      </c>
      <c r="F715" s="38" t="str">
        <f>IF($A715="","",'TO HOP NLAN'!$C271)</f>
        <v/>
      </c>
      <c r="G715" s="38" t="str">
        <f t="shared" si="108"/>
        <v/>
      </c>
      <c r="H715" s="38" t="str">
        <f t="shared" si="106"/>
        <v/>
      </c>
      <c r="I715" s="38" t="str">
        <f t="shared" si="109"/>
        <v/>
      </c>
      <c r="J715" s="38" t="str">
        <f t="shared" si="110"/>
        <v/>
      </c>
      <c r="K715" s="38" t="str">
        <f t="shared" si="111"/>
        <v/>
      </c>
      <c r="L715" s="38" t="str">
        <f t="shared" si="112"/>
        <v/>
      </c>
      <c r="M715" s="38" t="str">
        <f>IF($A715="","",IF(H715=0,"",IF(Q715&lt;=0.000000001,MIN(0.8*0.75*'KT THAN'!$C$62,MAX('KT THAN'!$J$38:$J$58)),IFERROR(MIN(0.8*0.75*'KT THAN'!$C$62,INDEX('KT THAN'!$J$38:$J$58,MATCH(Q715,'KT THAN'!$L$38:$L$58,-1))+(INDEX('KT THAN'!$J$38:$J$58,MIN(21,MATCH(Q715,'KT THAN'!$L$38:$L$58,-1)+1))-INDEX('KT THAN'!$J$38:$J$58,MATCH(Q715,'KT THAN'!$L$38:$L$58,-1)))*(Q715-INDEX('KT THAN'!$L$38:$L$58,MATCH(Q715,'KT THAN'!$L$38:$L$58,-1)))/(INDEX('KT THAN'!$L$38:$L$58,MIN(21,MATCH(Q715,'KT THAN'!$L$38:$L$58,-1)+1))-INDEX('KT THAN'!$L$38:$L$58,MATCH(Q715,'KT THAN'!$L$38:$L$58,-1)))),MIN(0.8*0.75*'KT THAN'!$C$62,'KT THAN'!$C$68/Q715)))))</f>
        <v/>
      </c>
      <c r="N715" s="38" t="str">
        <f>IF($A715="","",IF(H715=0,"",IF(R715&lt;=0.000000001,MIN(0.8*0.75*'KT THAN'!$C$62,MAX('KT THAN'!$W$38:$W$58)),IFERROR(MIN(0.8*0.75*'KT THAN'!$C$62,INDEX('KT THAN'!$W$38:$W$58,MATCH(R715,'KT THAN'!$Y$38:$Y$58,-1))+(INDEX('KT THAN'!$W$38:$W$58,MIN(21,MATCH(R715,'KT THAN'!$Y$38:$Y$58,-1)+1))-INDEX('KT THAN'!$W$38:$W$58,MATCH(R715,'KT THAN'!$Y$38:$Y$58,-1)))*(R715-INDEX('KT THAN'!$Y$38:$Y$58,MATCH(R715,'KT THAN'!$Y$38:$Y$58,-1)))/(INDEX('KT THAN'!$Y$38:$Y$58,MIN(21,MATCH(R715,'KT THAN'!$Y$38:$Y$58,-1)+1))-INDEX('KT THAN'!$Y$38:$Y$58,MATCH(R715,'KT THAN'!$Y$38:$Y$58,-1)))),MIN(0.8*0.75*'KT THAN'!$C$62,'KT THAN'!$D$68/R715)))))</f>
        <v/>
      </c>
      <c r="O715" s="38" t="str">
        <f>IF($A715="","",IF(H715&lt;0,ABS(H715)/MAX('KT THAN'!$C$69,0.001)+'KT THAN'!$C$32*ABS(J715)/MAX('KT THAN'!$C$68,0.001)+'KT THAN'!$D$32*ABS(I715)/MAX('KT THAN'!$D$68,0.001),IF(OR(M715&lt;=0,N715&lt;=0),999,IF(H715&gt;=0.1*0.75*fc_*Agth*1000,H715/MAX(0.001,1/(1/M715+1/N715-1/(0.75*'KT THAN'!$C$62))),'KT THAN'!$C$32*ABS(J715)/MAX('KT THAN'!$C$68,0.001)+'KT THAN'!$D$32*ABS(I715)/MAX('KT THAN'!$D$68,0.001)))))</f>
        <v/>
      </c>
      <c r="P715" s="37" t="str">
        <f t="shared" si="113"/>
        <v/>
      </c>
      <c r="Q715" s="38" t="str">
        <f>IF($A715="","",MAX(0.001,'KT THAN'!$C$32*ABS(J715)/MAX(1,H715)))</f>
        <v/>
      </c>
      <c r="R715" s="38" t="str">
        <f>IF($A715="","",MAX(0.001,'KT THAN'!$D$32*ABS(I715)/MAX(1,H715)))</f>
        <v/>
      </c>
      <c r="S715" t="str">
        <f t="shared" si="107"/>
        <v/>
      </c>
    </row>
    <row r="716" spans="1:19" hidden="1" outlineLevel="1" x14ac:dyDescent="0.3">
      <c r="A716" s="37" t="str">
        <f>IF(OR(nThan=1,'TO HOP NLAN'!$A272=""),"",'TO HOP NLAN'!$A272)</f>
        <v/>
      </c>
      <c r="B716" s="38" t="str">
        <f>IF($A716="","",'TO HOP NLAN'!$D272)</f>
        <v/>
      </c>
      <c r="C716" s="38" t="str">
        <f>IF($A716="","",'TO HOP NLAN'!$E272)</f>
        <v/>
      </c>
      <c r="D716" s="38" t="str">
        <f>IF($A716="","",'TO HOP NLAN'!$F272)</f>
        <v/>
      </c>
      <c r="E716" s="38" t="str">
        <f>IF($A716="","",'TO HOP NLAN'!$B272)</f>
        <v/>
      </c>
      <c r="F716" s="38" t="str">
        <f>IF($A716="","",'TO HOP NLAN'!$C272)</f>
        <v/>
      </c>
      <c r="G716" s="38" t="str">
        <f t="shared" si="108"/>
        <v/>
      </c>
      <c r="H716" s="38" t="str">
        <f t="shared" si="106"/>
        <v/>
      </c>
      <c r="I716" s="38" t="str">
        <f t="shared" si="109"/>
        <v/>
      </c>
      <c r="J716" s="38" t="str">
        <f t="shared" si="110"/>
        <v/>
      </c>
      <c r="K716" s="38" t="str">
        <f t="shared" si="111"/>
        <v/>
      </c>
      <c r="L716" s="38" t="str">
        <f t="shared" si="112"/>
        <v/>
      </c>
      <c r="M716" s="38" t="str">
        <f>IF($A716="","",IF(H716=0,"",IF(Q716&lt;=0.000000001,MIN(0.8*0.75*'KT THAN'!$C$62,MAX('KT THAN'!$J$38:$J$58)),IFERROR(MIN(0.8*0.75*'KT THAN'!$C$62,INDEX('KT THAN'!$J$38:$J$58,MATCH(Q716,'KT THAN'!$L$38:$L$58,-1))+(INDEX('KT THAN'!$J$38:$J$58,MIN(21,MATCH(Q716,'KT THAN'!$L$38:$L$58,-1)+1))-INDEX('KT THAN'!$J$38:$J$58,MATCH(Q716,'KT THAN'!$L$38:$L$58,-1)))*(Q716-INDEX('KT THAN'!$L$38:$L$58,MATCH(Q716,'KT THAN'!$L$38:$L$58,-1)))/(INDEX('KT THAN'!$L$38:$L$58,MIN(21,MATCH(Q716,'KT THAN'!$L$38:$L$58,-1)+1))-INDEX('KT THAN'!$L$38:$L$58,MATCH(Q716,'KT THAN'!$L$38:$L$58,-1)))),MIN(0.8*0.75*'KT THAN'!$C$62,'KT THAN'!$C$68/Q716)))))</f>
        <v/>
      </c>
      <c r="N716" s="38" t="str">
        <f>IF($A716="","",IF(H716=0,"",IF(R716&lt;=0.000000001,MIN(0.8*0.75*'KT THAN'!$C$62,MAX('KT THAN'!$W$38:$W$58)),IFERROR(MIN(0.8*0.75*'KT THAN'!$C$62,INDEX('KT THAN'!$W$38:$W$58,MATCH(R716,'KT THAN'!$Y$38:$Y$58,-1))+(INDEX('KT THAN'!$W$38:$W$58,MIN(21,MATCH(R716,'KT THAN'!$Y$38:$Y$58,-1)+1))-INDEX('KT THAN'!$W$38:$W$58,MATCH(R716,'KT THAN'!$Y$38:$Y$58,-1)))*(R716-INDEX('KT THAN'!$Y$38:$Y$58,MATCH(R716,'KT THAN'!$Y$38:$Y$58,-1)))/(INDEX('KT THAN'!$Y$38:$Y$58,MIN(21,MATCH(R716,'KT THAN'!$Y$38:$Y$58,-1)+1))-INDEX('KT THAN'!$Y$38:$Y$58,MATCH(R716,'KT THAN'!$Y$38:$Y$58,-1)))),MIN(0.8*0.75*'KT THAN'!$C$62,'KT THAN'!$D$68/R716)))))</f>
        <v/>
      </c>
      <c r="O716" s="38" t="str">
        <f>IF($A716="","",IF(H716&lt;0,ABS(H716)/MAX('KT THAN'!$C$69,0.001)+'KT THAN'!$C$32*ABS(J716)/MAX('KT THAN'!$C$68,0.001)+'KT THAN'!$D$32*ABS(I716)/MAX('KT THAN'!$D$68,0.001),IF(OR(M716&lt;=0,N716&lt;=0),999,IF(H716&gt;=0.1*0.75*fc_*Agth*1000,H716/MAX(0.001,1/(1/M716+1/N716-1/(0.75*'KT THAN'!$C$62))),'KT THAN'!$C$32*ABS(J716)/MAX('KT THAN'!$C$68,0.001)+'KT THAN'!$D$32*ABS(I716)/MAX('KT THAN'!$D$68,0.001)))))</f>
        <v/>
      </c>
      <c r="P716" s="37" t="str">
        <f t="shared" si="113"/>
        <v/>
      </c>
      <c r="Q716" s="38" t="str">
        <f>IF($A716="","",MAX(0.001,'KT THAN'!$C$32*ABS(J716)/MAX(1,H716)))</f>
        <v/>
      </c>
      <c r="R716" s="38" t="str">
        <f>IF($A716="","",MAX(0.001,'KT THAN'!$D$32*ABS(I716)/MAX(1,H716)))</f>
        <v/>
      </c>
      <c r="S716" t="str">
        <f t="shared" si="107"/>
        <v/>
      </c>
    </row>
    <row r="717" spans="1:19" hidden="1" outlineLevel="1" x14ac:dyDescent="0.3">
      <c r="A717" s="37" t="str">
        <f>IF(OR(nThan=1,'TO HOP NLAN'!$A273=""),"",'TO HOP NLAN'!$A273)</f>
        <v/>
      </c>
      <c r="B717" s="38" t="str">
        <f>IF($A717="","",'TO HOP NLAN'!$D273)</f>
        <v/>
      </c>
      <c r="C717" s="38" t="str">
        <f>IF($A717="","",'TO HOP NLAN'!$E273)</f>
        <v/>
      </c>
      <c r="D717" s="38" t="str">
        <f>IF($A717="","",'TO HOP NLAN'!$F273)</f>
        <v/>
      </c>
      <c r="E717" s="38" t="str">
        <f>IF($A717="","",'TO HOP NLAN'!$B273)</f>
        <v/>
      </c>
      <c r="F717" s="38" t="str">
        <f>IF($A717="","",'TO HOP NLAN'!$C273)</f>
        <v/>
      </c>
      <c r="G717" s="38" t="str">
        <f t="shared" si="108"/>
        <v/>
      </c>
      <c r="H717" s="38" t="str">
        <f t="shared" si="106"/>
        <v/>
      </c>
      <c r="I717" s="38" t="str">
        <f t="shared" si="109"/>
        <v/>
      </c>
      <c r="J717" s="38" t="str">
        <f t="shared" si="110"/>
        <v/>
      </c>
      <c r="K717" s="38" t="str">
        <f t="shared" si="111"/>
        <v/>
      </c>
      <c r="L717" s="38" t="str">
        <f t="shared" si="112"/>
        <v/>
      </c>
      <c r="M717" s="38" t="str">
        <f>IF($A717="","",IF(H717=0,"",IF(Q717&lt;=0.000000001,MIN(0.8*0.75*'KT THAN'!$C$62,MAX('KT THAN'!$J$38:$J$58)),IFERROR(MIN(0.8*0.75*'KT THAN'!$C$62,INDEX('KT THAN'!$J$38:$J$58,MATCH(Q717,'KT THAN'!$L$38:$L$58,-1))+(INDEX('KT THAN'!$J$38:$J$58,MIN(21,MATCH(Q717,'KT THAN'!$L$38:$L$58,-1)+1))-INDEX('KT THAN'!$J$38:$J$58,MATCH(Q717,'KT THAN'!$L$38:$L$58,-1)))*(Q717-INDEX('KT THAN'!$L$38:$L$58,MATCH(Q717,'KT THAN'!$L$38:$L$58,-1)))/(INDEX('KT THAN'!$L$38:$L$58,MIN(21,MATCH(Q717,'KT THAN'!$L$38:$L$58,-1)+1))-INDEX('KT THAN'!$L$38:$L$58,MATCH(Q717,'KT THAN'!$L$38:$L$58,-1)))),MIN(0.8*0.75*'KT THAN'!$C$62,'KT THAN'!$C$68/Q717)))))</f>
        <v/>
      </c>
      <c r="N717" s="38" t="str">
        <f>IF($A717="","",IF(H717=0,"",IF(R717&lt;=0.000000001,MIN(0.8*0.75*'KT THAN'!$C$62,MAX('KT THAN'!$W$38:$W$58)),IFERROR(MIN(0.8*0.75*'KT THAN'!$C$62,INDEX('KT THAN'!$W$38:$W$58,MATCH(R717,'KT THAN'!$Y$38:$Y$58,-1))+(INDEX('KT THAN'!$W$38:$W$58,MIN(21,MATCH(R717,'KT THAN'!$Y$38:$Y$58,-1)+1))-INDEX('KT THAN'!$W$38:$W$58,MATCH(R717,'KT THAN'!$Y$38:$Y$58,-1)))*(R717-INDEX('KT THAN'!$Y$38:$Y$58,MATCH(R717,'KT THAN'!$Y$38:$Y$58,-1)))/(INDEX('KT THAN'!$Y$38:$Y$58,MIN(21,MATCH(R717,'KT THAN'!$Y$38:$Y$58,-1)+1))-INDEX('KT THAN'!$Y$38:$Y$58,MATCH(R717,'KT THAN'!$Y$38:$Y$58,-1)))),MIN(0.8*0.75*'KT THAN'!$C$62,'KT THAN'!$D$68/R717)))))</f>
        <v/>
      </c>
      <c r="O717" s="38" t="str">
        <f>IF($A717="","",IF(H717&lt;0,ABS(H717)/MAX('KT THAN'!$C$69,0.001)+'KT THAN'!$C$32*ABS(J717)/MAX('KT THAN'!$C$68,0.001)+'KT THAN'!$D$32*ABS(I717)/MAX('KT THAN'!$D$68,0.001),IF(OR(M717&lt;=0,N717&lt;=0),999,IF(H717&gt;=0.1*0.75*fc_*Agth*1000,H717/MAX(0.001,1/(1/M717+1/N717-1/(0.75*'KT THAN'!$C$62))),'KT THAN'!$C$32*ABS(J717)/MAX('KT THAN'!$C$68,0.001)+'KT THAN'!$D$32*ABS(I717)/MAX('KT THAN'!$D$68,0.001)))))</f>
        <v/>
      </c>
      <c r="P717" s="37" t="str">
        <f t="shared" si="113"/>
        <v/>
      </c>
      <c r="Q717" s="38" t="str">
        <f>IF($A717="","",MAX(0.001,'KT THAN'!$C$32*ABS(J717)/MAX(1,H717)))</f>
        <v/>
      </c>
      <c r="R717" s="38" t="str">
        <f>IF($A717="","",MAX(0.001,'KT THAN'!$D$32*ABS(I717)/MAX(1,H717)))</f>
        <v/>
      </c>
      <c r="S717" t="str">
        <f t="shared" si="107"/>
        <v/>
      </c>
    </row>
    <row r="718" spans="1:19" hidden="1" outlineLevel="1" x14ac:dyDescent="0.3">
      <c r="A718" s="37" t="str">
        <f>IF(OR(nThan=1,'TO HOP NLAN'!$A274=""),"",'TO HOP NLAN'!$A274)</f>
        <v/>
      </c>
      <c r="B718" s="38" t="str">
        <f>IF($A718="","",'TO HOP NLAN'!$D274)</f>
        <v/>
      </c>
      <c r="C718" s="38" t="str">
        <f>IF($A718="","",'TO HOP NLAN'!$E274)</f>
        <v/>
      </c>
      <c r="D718" s="38" t="str">
        <f>IF($A718="","",'TO HOP NLAN'!$F274)</f>
        <v/>
      </c>
      <c r="E718" s="38" t="str">
        <f>IF($A718="","",'TO HOP NLAN'!$B274)</f>
        <v/>
      </c>
      <c r="F718" s="38" t="str">
        <f>IF($A718="","",'TO HOP NLAN'!$C274)</f>
        <v/>
      </c>
      <c r="G718" s="38" t="str">
        <f t="shared" si="108"/>
        <v/>
      </c>
      <c r="H718" s="38" t="str">
        <f t="shared" si="106"/>
        <v/>
      </c>
      <c r="I718" s="38" t="str">
        <f t="shared" si="109"/>
        <v/>
      </c>
      <c r="J718" s="38" t="str">
        <f t="shared" si="110"/>
        <v/>
      </c>
      <c r="K718" s="38" t="str">
        <f t="shared" si="111"/>
        <v/>
      </c>
      <c r="L718" s="38" t="str">
        <f t="shared" si="112"/>
        <v/>
      </c>
      <c r="M718" s="38" t="str">
        <f>IF($A718="","",IF(H718=0,"",IF(Q718&lt;=0.000000001,MIN(0.8*0.75*'KT THAN'!$C$62,MAX('KT THAN'!$J$38:$J$58)),IFERROR(MIN(0.8*0.75*'KT THAN'!$C$62,INDEX('KT THAN'!$J$38:$J$58,MATCH(Q718,'KT THAN'!$L$38:$L$58,-1))+(INDEX('KT THAN'!$J$38:$J$58,MIN(21,MATCH(Q718,'KT THAN'!$L$38:$L$58,-1)+1))-INDEX('KT THAN'!$J$38:$J$58,MATCH(Q718,'KT THAN'!$L$38:$L$58,-1)))*(Q718-INDEX('KT THAN'!$L$38:$L$58,MATCH(Q718,'KT THAN'!$L$38:$L$58,-1)))/(INDEX('KT THAN'!$L$38:$L$58,MIN(21,MATCH(Q718,'KT THAN'!$L$38:$L$58,-1)+1))-INDEX('KT THAN'!$L$38:$L$58,MATCH(Q718,'KT THAN'!$L$38:$L$58,-1)))),MIN(0.8*0.75*'KT THAN'!$C$62,'KT THAN'!$C$68/Q718)))))</f>
        <v/>
      </c>
      <c r="N718" s="38" t="str">
        <f>IF($A718="","",IF(H718=0,"",IF(R718&lt;=0.000000001,MIN(0.8*0.75*'KT THAN'!$C$62,MAX('KT THAN'!$W$38:$W$58)),IFERROR(MIN(0.8*0.75*'KT THAN'!$C$62,INDEX('KT THAN'!$W$38:$W$58,MATCH(R718,'KT THAN'!$Y$38:$Y$58,-1))+(INDEX('KT THAN'!$W$38:$W$58,MIN(21,MATCH(R718,'KT THAN'!$Y$38:$Y$58,-1)+1))-INDEX('KT THAN'!$W$38:$W$58,MATCH(R718,'KT THAN'!$Y$38:$Y$58,-1)))*(R718-INDEX('KT THAN'!$Y$38:$Y$58,MATCH(R718,'KT THAN'!$Y$38:$Y$58,-1)))/(INDEX('KT THAN'!$Y$38:$Y$58,MIN(21,MATCH(R718,'KT THAN'!$Y$38:$Y$58,-1)+1))-INDEX('KT THAN'!$Y$38:$Y$58,MATCH(R718,'KT THAN'!$Y$38:$Y$58,-1)))),MIN(0.8*0.75*'KT THAN'!$C$62,'KT THAN'!$D$68/R718)))))</f>
        <v/>
      </c>
      <c r="O718" s="38" t="str">
        <f>IF($A718="","",IF(H718&lt;0,ABS(H718)/MAX('KT THAN'!$C$69,0.001)+'KT THAN'!$C$32*ABS(J718)/MAX('KT THAN'!$C$68,0.001)+'KT THAN'!$D$32*ABS(I718)/MAX('KT THAN'!$D$68,0.001),IF(OR(M718&lt;=0,N718&lt;=0),999,IF(H718&gt;=0.1*0.75*fc_*Agth*1000,H718/MAX(0.001,1/(1/M718+1/N718-1/(0.75*'KT THAN'!$C$62))),'KT THAN'!$C$32*ABS(J718)/MAX('KT THAN'!$C$68,0.001)+'KT THAN'!$D$32*ABS(I718)/MAX('KT THAN'!$D$68,0.001)))))</f>
        <v/>
      </c>
      <c r="P718" s="37" t="str">
        <f t="shared" si="113"/>
        <v/>
      </c>
      <c r="Q718" s="38" t="str">
        <f>IF($A718="","",MAX(0.001,'KT THAN'!$C$32*ABS(J718)/MAX(1,H718)))</f>
        <v/>
      </c>
      <c r="R718" s="38" t="str">
        <f>IF($A718="","",MAX(0.001,'KT THAN'!$D$32*ABS(I718)/MAX(1,H718)))</f>
        <v/>
      </c>
      <c r="S718" t="str">
        <f t="shared" si="107"/>
        <v/>
      </c>
    </row>
    <row r="719" spans="1:19" hidden="1" outlineLevel="1" x14ac:dyDescent="0.3">
      <c r="A719" s="37" t="str">
        <f>IF(OR(nThan=1,'TO HOP NLAN'!$A275=""),"",'TO HOP NLAN'!$A275)</f>
        <v/>
      </c>
      <c r="B719" s="38" t="str">
        <f>IF($A719="","",'TO HOP NLAN'!$D275)</f>
        <v/>
      </c>
      <c r="C719" s="38" t="str">
        <f>IF($A719="","",'TO HOP NLAN'!$E275)</f>
        <v/>
      </c>
      <c r="D719" s="38" t="str">
        <f>IF($A719="","",'TO HOP NLAN'!$F275)</f>
        <v/>
      </c>
      <c r="E719" s="38" t="str">
        <f>IF($A719="","",'TO HOP NLAN'!$B275)</f>
        <v/>
      </c>
      <c r="F719" s="38" t="str">
        <f>IF($A719="","",'TO HOP NLAN'!$C275)</f>
        <v/>
      </c>
      <c r="G719" s="38" t="str">
        <f t="shared" si="108"/>
        <v/>
      </c>
      <c r="H719" s="38" t="str">
        <f t="shared" si="106"/>
        <v/>
      </c>
      <c r="I719" s="38" t="str">
        <f t="shared" si="109"/>
        <v/>
      </c>
      <c r="J719" s="38" t="str">
        <f t="shared" si="110"/>
        <v/>
      </c>
      <c r="K719" s="38" t="str">
        <f t="shared" si="111"/>
        <v/>
      </c>
      <c r="L719" s="38" t="str">
        <f t="shared" si="112"/>
        <v/>
      </c>
      <c r="M719" s="38" t="str">
        <f>IF($A719="","",IF(H719=0,"",IF(Q719&lt;=0.000000001,MIN(0.8*0.75*'KT THAN'!$C$62,MAX('KT THAN'!$J$38:$J$58)),IFERROR(MIN(0.8*0.75*'KT THAN'!$C$62,INDEX('KT THAN'!$J$38:$J$58,MATCH(Q719,'KT THAN'!$L$38:$L$58,-1))+(INDEX('KT THAN'!$J$38:$J$58,MIN(21,MATCH(Q719,'KT THAN'!$L$38:$L$58,-1)+1))-INDEX('KT THAN'!$J$38:$J$58,MATCH(Q719,'KT THAN'!$L$38:$L$58,-1)))*(Q719-INDEX('KT THAN'!$L$38:$L$58,MATCH(Q719,'KT THAN'!$L$38:$L$58,-1)))/(INDEX('KT THAN'!$L$38:$L$58,MIN(21,MATCH(Q719,'KT THAN'!$L$38:$L$58,-1)+1))-INDEX('KT THAN'!$L$38:$L$58,MATCH(Q719,'KT THAN'!$L$38:$L$58,-1)))),MIN(0.8*0.75*'KT THAN'!$C$62,'KT THAN'!$C$68/Q719)))))</f>
        <v/>
      </c>
      <c r="N719" s="38" t="str">
        <f>IF($A719="","",IF(H719=0,"",IF(R719&lt;=0.000000001,MIN(0.8*0.75*'KT THAN'!$C$62,MAX('KT THAN'!$W$38:$W$58)),IFERROR(MIN(0.8*0.75*'KT THAN'!$C$62,INDEX('KT THAN'!$W$38:$W$58,MATCH(R719,'KT THAN'!$Y$38:$Y$58,-1))+(INDEX('KT THAN'!$W$38:$W$58,MIN(21,MATCH(R719,'KT THAN'!$Y$38:$Y$58,-1)+1))-INDEX('KT THAN'!$W$38:$W$58,MATCH(R719,'KT THAN'!$Y$38:$Y$58,-1)))*(R719-INDEX('KT THAN'!$Y$38:$Y$58,MATCH(R719,'KT THAN'!$Y$38:$Y$58,-1)))/(INDEX('KT THAN'!$Y$38:$Y$58,MIN(21,MATCH(R719,'KT THAN'!$Y$38:$Y$58,-1)+1))-INDEX('KT THAN'!$Y$38:$Y$58,MATCH(R719,'KT THAN'!$Y$38:$Y$58,-1)))),MIN(0.8*0.75*'KT THAN'!$C$62,'KT THAN'!$D$68/R719)))))</f>
        <v/>
      </c>
      <c r="O719" s="38" t="str">
        <f>IF($A719="","",IF(H719&lt;0,ABS(H719)/MAX('KT THAN'!$C$69,0.001)+'KT THAN'!$C$32*ABS(J719)/MAX('KT THAN'!$C$68,0.001)+'KT THAN'!$D$32*ABS(I719)/MAX('KT THAN'!$D$68,0.001),IF(OR(M719&lt;=0,N719&lt;=0),999,IF(H719&gt;=0.1*0.75*fc_*Agth*1000,H719/MAX(0.001,1/(1/M719+1/N719-1/(0.75*'KT THAN'!$C$62))),'KT THAN'!$C$32*ABS(J719)/MAX('KT THAN'!$C$68,0.001)+'KT THAN'!$D$32*ABS(I719)/MAX('KT THAN'!$D$68,0.001)))))</f>
        <v/>
      </c>
      <c r="P719" s="37" t="str">
        <f t="shared" si="113"/>
        <v/>
      </c>
      <c r="Q719" s="38" t="str">
        <f>IF($A719="","",MAX(0.001,'KT THAN'!$C$32*ABS(J719)/MAX(1,H719)))</f>
        <v/>
      </c>
      <c r="R719" s="38" t="str">
        <f>IF($A719="","",MAX(0.001,'KT THAN'!$D$32*ABS(I719)/MAX(1,H719)))</f>
        <v/>
      </c>
      <c r="S719" t="str">
        <f t="shared" si="107"/>
        <v/>
      </c>
    </row>
    <row r="720" spans="1:19" hidden="1" outlineLevel="1" x14ac:dyDescent="0.3">
      <c r="A720" s="37" t="str">
        <f>IF(OR(nThan=1,'TO HOP NLAN'!$A276=""),"",'TO HOP NLAN'!$A276)</f>
        <v/>
      </c>
      <c r="B720" s="38" t="str">
        <f>IF($A720="","",'TO HOP NLAN'!$D276)</f>
        <v/>
      </c>
      <c r="C720" s="38" t="str">
        <f>IF($A720="","",'TO HOP NLAN'!$E276)</f>
        <v/>
      </c>
      <c r="D720" s="38" t="str">
        <f>IF($A720="","",'TO HOP NLAN'!$F276)</f>
        <v/>
      </c>
      <c r="E720" s="38" t="str">
        <f>IF($A720="","",'TO HOP NLAN'!$B276)</f>
        <v/>
      </c>
      <c r="F720" s="38" t="str">
        <f>IF($A720="","",'TO HOP NLAN'!$C276)</f>
        <v/>
      </c>
      <c r="G720" s="38" t="str">
        <f t="shared" si="108"/>
        <v/>
      </c>
      <c r="H720" s="38" t="str">
        <f t="shared" si="106"/>
        <v/>
      </c>
      <c r="I720" s="38" t="str">
        <f t="shared" si="109"/>
        <v/>
      </c>
      <c r="J720" s="38" t="str">
        <f t="shared" si="110"/>
        <v/>
      </c>
      <c r="K720" s="38" t="str">
        <f t="shared" si="111"/>
        <v/>
      </c>
      <c r="L720" s="38" t="str">
        <f t="shared" si="112"/>
        <v/>
      </c>
      <c r="M720" s="38" t="str">
        <f>IF($A720="","",IF(H720=0,"",IF(Q720&lt;=0.000000001,MIN(0.8*0.75*'KT THAN'!$C$62,MAX('KT THAN'!$J$38:$J$58)),IFERROR(MIN(0.8*0.75*'KT THAN'!$C$62,INDEX('KT THAN'!$J$38:$J$58,MATCH(Q720,'KT THAN'!$L$38:$L$58,-1))+(INDEX('KT THAN'!$J$38:$J$58,MIN(21,MATCH(Q720,'KT THAN'!$L$38:$L$58,-1)+1))-INDEX('KT THAN'!$J$38:$J$58,MATCH(Q720,'KT THAN'!$L$38:$L$58,-1)))*(Q720-INDEX('KT THAN'!$L$38:$L$58,MATCH(Q720,'KT THAN'!$L$38:$L$58,-1)))/(INDEX('KT THAN'!$L$38:$L$58,MIN(21,MATCH(Q720,'KT THAN'!$L$38:$L$58,-1)+1))-INDEX('KT THAN'!$L$38:$L$58,MATCH(Q720,'KT THAN'!$L$38:$L$58,-1)))),MIN(0.8*0.75*'KT THAN'!$C$62,'KT THAN'!$C$68/Q720)))))</f>
        <v/>
      </c>
      <c r="N720" s="38" t="str">
        <f>IF($A720="","",IF(H720=0,"",IF(R720&lt;=0.000000001,MIN(0.8*0.75*'KT THAN'!$C$62,MAX('KT THAN'!$W$38:$W$58)),IFERROR(MIN(0.8*0.75*'KT THAN'!$C$62,INDEX('KT THAN'!$W$38:$W$58,MATCH(R720,'KT THAN'!$Y$38:$Y$58,-1))+(INDEX('KT THAN'!$W$38:$W$58,MIN(21,MATCH(R720,'KT THAN'!$Y$38:$Y$58,-1)+1))-INDEX('KT THAN'!$W$38:$W$58,MATCH(R720,'KT THAN'!$Y$38:$Y$58,-1)))*(R720-INDEX('KT THAN'!$Y$38:$Y$58,MATCH(R720,'KT THAN'!$Y$38:$Y$58,-1)))/(INDEX('KT THAN'!$Y$38:$Y$58,MIN(21,MATCH(R720,'KT THAN'!$Y$38:$Y$58,-1)+1))-INDEX('KT THAN'!$Y$38:$Y$58,MATCH(R720,'KT THAN'!$Y$38:$Y$58,-1)))),MIN(0.8*0.75*'KT THAN'!$C$62,'KT THAN'!$D$68/R720)))))</f>
        <v/>
      </c>
      <c r="O720" s="38" t="str">
        <f>IF($A720="","",IF(H720&lt;0,ABS(H720)/MAX('KT THAN'!$C$69,0.001)+'KT THAN'!$C$32*ABS(J720)/MAX('KT THAN'!$C$68,0.001)+'KT THAN'!$D$32*ABS(I720)/MAX('KT THAN'!$D$68,0.001),IF(OR(M720&lt;=0,N720&lt;=0),999,IF(H720&gt;=0.1*0.75*fc_*Agth*1000,H720/MAX(0.001,1/(1/M720+1/N720-1/(0.75*'KT THAN'!$C$62))),'KT THAN'!$C$32*ABS(J720)/MAX('KT THAN'!$C$68,0.001)+'KT THAN'!$D$32*ABS(I720)/MAX('KT THAN'!$D$68,0.001)))))</f>
        <v/>
      </c>
      <c r="P720" s="37" t="str">
        <f t="shared" si="113"/>
        <v/>
      </c>
      <c r="Q720" s="38" t="str">
        <f>IF($A720="","",MAX(0.001,'KT THAN'!$C$32*ABS(J720)/MAX(1,H720)))</f>
        <v/>
      </c>
      <c r="R720" s="38" t="str">
        <f>IF($A720="","",MAX(0.001,'KT THAN'!$D$32*ABS(I720)/MAX(1,H720)))</f>
        <v/>
      </c>
      <c r="S720" t="str">
        <f t="shared" si="107"/>
        <v/>
      </c>
    </row>
    <row r="721" spans="1:19" hidden="1" outlineLevel="1" x14ac:dyDescent="0.3">
      <c r="A721" s="37" t="str">
        <f>IF(OR(nThan=1,'TO HOP NLAN'!$A277=""),"",'TO HOP NLAN'!$A277)</f>
        <v/>
      </c>
      <c r="B721" s="38" t="str">
        <f>IF($A721="","",'TO HOP NLAN'!$D277)</f>
        <v/>
      </c>
      <c r="C721" s="38" t="str">
        <f>IF($A721="","",'TO HOP NLAN'!$E277)</f>
        <v/>
      </c>
      <c r="D721" s="38" t="str">
        <f>IF($A721="","",'TO HOP NLAN'!$F277)</f>
        <v/>
      </c>
      <c r="E721" s="38" t="str">
        <f>IF($A721="","",'TO HOP NLAN'!$B277)</f>
        <v/>
      </c>
      <c r="F721" s="38" t="str">
        <f>IF($A721="","",'TO HOP NLAN'!$C277)</f>
        <v/>
      </c>
      <c r="G721" s="38" t="str">
        <f t="shared" si="108"/>
        <v/>
      </c>
      <c r="H721" s="38" t="str">
        <f t="shared" si="106"/>
        <v/>
      </c>
      <c r="I721" s="38" t="str">
        <f t="shared" si="109"/>
        <v/>
      </c>
      <c r="J721" s="38" t="str">
        <f t="shared" si="110"/>
        <v/>
      </c>
      <c r="K721" s="38" t="str">
        <f t="shared" si="111"/>
        <v/>
      </c>
      <c r="L721" s="38" t="str">
        <f t="shared" si="112"/>
        <v/>
      </c>
      <c r="M721" s="38" t="str">
        <f>IF($A721="","",IF(H721=0,"",IF(Q721&lt;=0.000000001,MIN(0.8*0.75*'KT THAN'!$C$62,MAX('KT THAN'!$J$38:$J$58)),IFERROR(MIN(0.8*0.75*'KT THAN'!$C$62,INDEX('KT THAN'!$J$38:$J$58,MATCH(Q721,'KT THAN'!$L$38:$L$58,-1))+(INDEX('KT THAN'!$J$38:$J$58,MIN(21,MATCH(Q721,'KT THAN'!$L$38:$L$58,-1)+1))-INDEX('KT THAN'!$J$38:$J$58,MATCH(Q721,'KT THAN'!$L$38:$L$58,-1)))*(Q721-INDEX('KT THAN'!$L$38:$L$58,MATCH(Q721,'KT THAN'!$L$38:$L$58,-1)))/(INDEX('KT THAN'!$L$38:$L$58,MIN(21,MATCH(Q721,'KT THAN'!$L$38:$L$58,-1)+1))-INDEX('KT THAN'!$L$38:$L$58,MATCH(Q721,'KT THAN'!$L$38:$L$58,-1)))),MIN(0.8*0.75*'KT THAN'!$C$62,'KT THAN'!$C$68/Q721)))))</f>
        <v/>
      </c>
      <c r="N721" s="38" t="str">
        <f>IF($A721="","",IF(H721=0,"",IF(R721&lt;=0.000000001,MIN(0.8*0.75*'KT THAN'!$C$62,MAX('KT THAN'!$W$38:$W$58)),IFERROR(MIN(0.8*0.75*'KT THAN'!$C$62,INDEX('KT THAN'!$W$38:$W$58,MATCH(R721,'KT THAN'!$Y$38:$Y$58,-1))+(INDEX('KT THAN'!$W$38:$W$58,MIN(21,MATCH(R721,'KT THAN'!$Y$38:$Y$58,-1)+1))-INDEX('KT THAN'!$W$38:$W$58,MATCH(R721,'KT THAN'!$Y$38:$Y$58,-1)))*(R721-INDEX('KT THAN'!$Y$38:$Y$58,MATCH(R721,'KT THAN'!$Y$38:$Y$58,-1)))/(INDEX('KT THAN'!$Y$38:$Y$58,MIN(21,MATCH(R721,'KT THAN'!$Y$38:$Y$58,-1)+1))-INDEX('KT THAN'!$Y$38:$Y$58,MATCH(R721,'KT THAN'!$Y$38:$Y$58,-1)))),MIN(0.8*0.75*'KT THAN'!$C$62,'KT THAN'!$D$68/R721)))))</f>
        <v/>
      </c>
      <c r="O721" s="38" t="str">
        <f>IF($A721="","",IF(H721&lt;0,ABS(H721)/MAX('KT THAN'!$C$69,0.001)+'KT THAN'!$C$32*ABS(J721)/MAX('KT THAN'!$C$68,0.001)+'KT THAN'!$D$32*ABS(I721)/MAX('KT THAN'!$D$68,0.001),IF(OR(M721&lt;=0,N721&lt;=0),999,IF(H721&gt;=0.1*0.75*fc_*Agth*1000,H721/MAX(0.001,1/(1/M721+1/N721-1/(0.75*'KT THAN'!$C$62))),'KT THAN'!$C$32*ABS(J721)/MAX('KT THAN'!$C$68,0.001)+'KT THAN'!$D$32*ABS(I721)/MAX('KT THAN'!$D$68,0.001)))))</f>
        <v/>
      </c>
      <c r="P721" s="37" t="str">
        <f t="shared" si="113"/>
        <v/>
      </c>
      <c r="Q721" s="38" t="str">
        <f>IF($A721="","",MAX(0.001,'KT THAN'!$C$32*ABS(J721)/MAX(1,H721)))</f>
        <v/>
      </c>
      <c r="R721" s="38" t="str">
        <f>IF($A721="","",MAX(0.001,'KT THAN'!$D$32*ABS(I721)/MAX(1,H721)))</f>
        <v/>
      </c>
      <c r="S721" t="str">
        <f t="shared" si="107"/>
        <v/>
      </c>
    </row>
    <row r="722" spans="1:19" hidden="1" outlineLevel="1" x14ac:dyDescent="0.3">
      <c r="A722" s="37" t="str">
        <f>IF(OR(nThan=1,'TO HOP NLAN'!$A278=""),"",'TO HOP NLAN'!$A278)</f>
        <v/>
      </c>
      <c r="B722" s="38" t="str">
        <f>IF($A722="","",'TO HOP NLAN'!$D278)</f>
        <v/>
      </c>
      <c r="C722" s="38" t="str">
        <f>IF($A722="","",'TO HOP NLAN'!$E278)</f>
        <v/>
      </c>
      <c r="D722" s="38" t="str">
        <f>IF($A722="","",'TO HOP NLAN'!$F278)</f>
        <v/>
      </c>
      <c r="E722" s="38" t="str">
        <f>IF($A722="","",'TO HOP NLAN'!$B278)</f>
        <v/>
      </c>
      <c r="F722" s="38" t="str">
        <f>IF($A722="","",'TO HOP NLAN'!$C278)</f>
        <v/>
      </c>
      <c r="G722" s="38" t="str">
        <f t="shared" si="108"/>
        <v/>
      </c>
      <c r="H722" s="38" t="str">
        <f t="shared" si="106"/>
        <v/>
      </c>
      <c r="I722" s="38" t="str">
        <f t="shared" si="109"/>
        <v/>
      </c>
      <c r="J722" s="38" t="str">
        <f t="shared" si="110"/>
        <v/>
      </c>
      <c r="K722" s="38" t="str">
        <f t="shared" si="111"/>
        <v/>
      </c>
      <c r="L722" s="38" t="str">
        <f t="shared" si="112"/>
        <v/>
      </c>
      <c r="M722" s="38" t="str">
        <f>IF($A722="","",IF(H722=0,"",IF(Q722&lt;=0.000000001,MIN(0.8*0.75*'KT THAN'!$C$62,MAX('KT THAN'!$J$38:$J$58)),IFERROR(MIN(0.8*0.75*'KT THAN'!$C$62,INDEX('KT THAN'!$J$38:$J$58,MATCH(Q722,'KT THAN'!$L$38:$L$58,-1))+(INDEX('KT THAN'!$J$38:$J$58,MIN(21,MATCH(Q722,'KT THAN'!$L$38:$L$58,-1)+1))-INDEX('KT THAN'!$J$38:$J$58,MATCH(Q722,'KT THAN'!$L$38:$L$58,-1)))*(Q722-INDEX('KT THAN'!$L$38:$L$58,MATCH(Q722,'KT THAN'!$L$38:$L$58,-1)))/(INDEX('KT THAN'!$L$38:$L$58,MIN(21,MATCH(Q722,'KT THAN'!$L$38:$L$58,-1)+1))-INDEX('KT THAN'!$L$38:$L$58,MATCH(Q722,'KT THAN'!$L$38:$L$58,-1)))),MIN(0.8*0.75*'KT THAN'!$C$62,'KT THAN'!$C$68/Q722)))))</f>
        <v/>
      </c>
      <c r="N722" s="38" t="str">
        <f>IF($A722="","",IF(H722=0,"",IF(R722&lt;=0.000000001,MIN(0.8*0.75*'KT THAN'!$C$62,MAX('KT THAN'!$W$38:$W$58)),IFERROR(MIN(0.8*0.75*'KT THAN'!$C$62,INDEX('KT THAN'!$W$38:$W$58,MATCH(R722,'KT THAN'!$Y$38:$Y$58,-1))+(INDEX('KT THAN'!$W$38:$W$58,MIN(21,MATCH(R722,'KT THAN'!$Y$38:$Y$58,-1)+1))-INDEX('KT THAN'!$W$38:$W$58,MATCH(R722,'KT THAN'!$Y$38:$Y$58,-1)))*(R722-INDEX('KT THAN'!$Y$38:$Y$58,MATCH(R722,'KT THAN'!$Y$38:$Y$58,-1)))/(INDEX('KT THAN'!$Y$38:$Y$58,MIN(21,MATCH(R722,'KT THAN'!$Y$38:$Y$58,-1)+1))-INDEX('KT THAN'!$Y$38:$Y$58,MATCH(R722,'KT THAN'!$Y$38:$Y$58,-1)))),MIN(0.8*0.75*'KT THAN'!$C$62,'KT THAN'!$D$68/R722)))))</f>
        <v/>
      </c>
      <c r="O722" s="38" t="str">
        <f>IF($A722="","",IF(H722&lt;0,ABS(H722)/MAX('KT THAN'!$C$69,0.001)+'KT THAN'!$C$32*ABS(J722)/MAX('KT THAN'!$C$68,0.001)+'KT THAN'!$D$32*ABS(I722)/MAX('KT THAN'!$D$68,0.001),IF(OR(M722&lt;=0,N722&lt;=0),999,IF(H722&gt;=0.1*0.75*fc_*Agth*1000,H722/MAX(0.001,1/(1/M722+1/N722-1/(0.75*'KT THAN'!$C$62))),'KT THAN'!$C$32*ABS(J722)/MAX('KT THAN'!$C$68,0.001)+'KT THAN'!$D$32*ABS(I722)/MAX('KT THAN'!$D$68,0.001)))))</f>
        <v/>
      </c>
      <c r="P722" s="37" t="str">
        <f t="shared" si="113"/>
        <v/>
      </c>
      <c r="Q722" s="38" t="str">
        <f>IF($A722="","",MAX(0.001,'KT THAN'!$C$32*ABS(J722)/MAX(1,H722)))</f>
        <v/>
      </c>
      <c r="R722" s="38" t="str">
        <f>IF($A722="","",MAX(0.001,'KT THAN'!$D$32*ABS(I722)/MAX(1,H722)))</f>
        <v/>
      </c>
      <c r="S722" t="str">
        <f t="shared" si="107"/>
        <v/>
      </c>
    </row>
    <row r="723" spans="1:19" hidden="1" outlineLevel="1" x14ac:dyDescent="0.3">
      <c r="A723" s="37" t="str">
        <f>IF(OR(nThan=1,'TO HOP NLAN'!$A279=""),"",'TO HOP NLAN'!$A279)</f>
        <v/>
      </c>
      <c r="B723" s="38" t="str">
        <f>IF($A723="","",'TO HOP NLAN'!$D279)</f>
        <v/>
      </c>
      <c r="C723" s="38" t="str">
        <f>IF($A723="","",'TO HOP NLAN'!$E279)</f>
        <v/>
      </c>
      <c r="D723" s="38" t="str">
        <f>IF($A723="","",'TO HOP NLAN'!$F279)</f>
        <v/>
      </c>
      <c r="E723" s="38" t="str">
        <f>IF($A723="","",'TO HOP NLAN'!$B279)</f>
        <v/>
      </c>
      <c r="F723" s="38" t="str">
        <f>IF($A723="","",'TO HOP NLAN'!$C279)</f>
        <v/>
      </c>
      <c r="G723" s="38" t="str">
        <f t="shared" si="108"/>
        <v/>
      </c>
      <c r="H723" s="38" t="str">
        <f t="shared" si="106"/>
        <v/>
      </c>
      <c r="I723" s="38" t="str">
        <f t="shared" si="109"/>
        <v/>
      </c>
      <c r="J723" s="38" t="str">
        <f t="shared" si="110"/>
        <v/>
      </c>
      <c r="K723" s="38" t="str">
        <f t="shared" si="111"/>
        <v/>
      </c>
      <c r="L723" s="38" t="str">
        <f t="shared" si="112"/>
        <v/>
      </c>
      <c r="M723" s="38" t="str">
        <f>IF($A723="","",IF(H723=0,"",IF(Q723&lt;=0.000000001,MIN(0.8*0.75*'KT THAN'!$C$62,MAX('KT THAN'!$J$38:$J$58)),IFERROR(MIN(0.8*0.75*'KT THAN'!$C$62,INDEX('KT THAN'!$J$38:$J$58,MATCH(Q723,'KT THAN'!$L$38:$L$58,-1))+(INDEX('KT THAN'!$J$38:$J$58,MIN(21,MATCH(Q723,'KT THAN'!$L$38:$L$58,-1)+1))-INDEX('KT THAN'!$J$38:$J$58,MATCH(Q723,'KT THAN'!$L$38:$L$58,-1)))*(Q723-INDEX('KT THAN'!$L$38:$L$58,MATCH(Q723,'KT THAN'!$L$38:$L$58,-1)))/(INDEX('KT THAN'!$L$38:$L$58,MIN(21,MATCH(Q723,'KT THAN'!$L$38:$L$58,-1)+1))-INDEX('KT THAN'!$L$38:$L$58,MATCH(Q723,'KT THAN'!$L$38:$L$58,-1)))),MIN(0.8*0.75*'KT THAN'!$C$62,'KT THAN'!$C$68/Q723)))))</f>
        <v/>
      </c>
      <c r="N723" s="38" t="str">
        <f>IF($A723="","",IF(H723=0,"",IF(R723&lt;=0.000000001,MIN(0.8*0.75*'KT THAN'!$C$62,MAX('KT THAN'!$W$38:$W$58)),IFERROR(MIN(0.8*0.75*'KT THAN'!$C$62,INDEX('KT THAN'!$W$38:$W$58,MATCH(R723,'KT THAN'!$Y$38:$Y$58,-1))+(INDEX('KT THAN'!$W$38:$W$58,MIN(21,MATCH(R723,'KT THAN'!$Y$38:$Y$58,-1)+1))-INDEX('KT THAN'!$W$38:$W$58,MATCH(R723,'KT THAN'!$Y$38:$Y$58,-1)))*(R723-INDEX('KT THAN'!$Y$38:$Y$58,MATCH(R723,'KT THAN'!$Y$38:$Y$58,-1)))/(INDEX('KT THAN'!$Y$38:$Y$58,MIN(21,MATCH(R723,'KT THAN'!$Y$38:$Y$58,-1)+1))-INDEX('KT THAN'!$Y$38:$Y$58,MATCH(R723,'KT THAN'!$Y$38:$Y$58,-1)))),MIN(0.8*0.75*'KT THAN'!$C$62,'KT THAN'!$D$68/R723)))))</f>
        <v/>
      </c>
      <c r="O723" s="38" t="str">
        <f>IF($A723="","",IF(H723&lt;0,ABS(H723)/MAX('KT THAN'!$C$69,0.001)+'KT THAN'!$C$32*ABS(J723)/MAX('KT THAN'!$C$68,0.001)+'KT THAN'!$D$32*ABS(I723)/MAX('KT THAN'!$D$68,0.001),IF(OR(M723&lt;=0,N723&lt;=0),999,IF(H723&gt;=0.1*0.75*fc_*Agth*1000,H723/MAX(0.001,1/(1/M723+1/N723-1/(0.75*'KT THAN'!$C$62))),'KT THAN'!$C$32*ABS(J723)/MAX('KT THAN'!$C$68,0.001)+'KT THAN'!$D$32*ABS(I723)/MAX('KT THAN'!$D$68,0.001)))))</f>
        <v/>
      </c>
      <c r="P723" s="37" t="str">
        <f t="shared" si="113"/>
        <v/>
      </c>
      <c r="Q723" s="38" t="str">
        <f>IF($A723="","",MAX(0.001,'KT THAN'!$C$32*ABS(J723)/MAX(1,H723)))</f>
        <v/>
      </c>
      <c r="R723" s="38" t="str">
        <f>IF($A723="","",MAX(0.001,'KT THAN'!$D$32*ABS(I723)/MAX(1,H723)))</f>
        <v/>
      </c>
      <c r="S723" t="str">
        <f t="shared" si="107"/>
        <v/>
      </c>
    </row>
    <row r="724" spans="1:19" hidden="1" outlineLevel="1" x14ac:dyDescent="0.3">
      <c r="A724" s="37" t="str">
        <f>IF(OR(nThan=1,'TO HOP NLAN'!$A280=""),"",'TO HOP NLAN'!$A280)</f>
        <v/>
      </c>
      <c r="B724" s="38" t="str">
        <f>IF($A724="","",'TO HOP NLAN'!$D280)</f>
        <v/>
      </c>
      <c r="C724" s="38" t="str">
        <f>IF($A724="","",'TO HOP NLAN'!$E280)</f>
        <v/>
      </c>
      <c r="D724" s="38" t="str">
        <f>IF($A724="","",'TO HOP NLAN'!$F280)</f>
        <v/>
      </c>
      <c r="E724" s="38" t="str">
        <f>IF($A724="","",'TO HOP NLAN'!$B280)</f>
        <v/>
      </c>
      <c r="F724" s="38" t="str">
        <f>IF($A724="","",'TO HOP NLAN'!$C280)</f>
        <v/>
      </c>
      <c r="G724" s="38" t="str">
        <f t="shared" si="108"/>
        <v/>
      </c>
      <c r="H724" s="38" t="str">
        <f t="shared" si="106"/>
        <v/>
      </c>
      <c r="I724" s="38" t="str">
        <f t="shared" si="109"/>
        <v/>
      </c>
      <c r="J724" s="38" t="str">
        <f t="shared" si="110"/>
        <v/>
      </c>
      <c r="K724" s="38" t="str">
        <f t="shared" si="111"/>
        <v/>
      </c>
      <c r="L724" s="38" t="str">
        <f t="shared" si="112"/>
        <v/>
      </c>
      <c r="M724" s="38" t="str">
        <f>IF($A724="","",IF(H724=0,"",IF(Q724&lt;=0.000000001,MIN(0.8*0.75*'KT THAN'!$C$62,MAX('KT THAN'!$J$38:$J$58)),IFERROR(MIN(0.8*0.75*'KT THAN'!$C$62,INDEX('KT THAN'!$J$38:$J$58,MATCH(Q724,'KT THAN'!$L$38:$L$58,-1))+(INDEX('KT THAN'!$J$38:$J$58,MIN(21,MATCH(Q724,'KT THAN'!$L$38:$L$58,-1)+1))-INDEX('KT THAN'!$J$38:$J$58,MATCH(Q724,'KT THAN'!$L$38:$L$58,-1)))*(Q724-INDEX('KT THAN'!$L$38:$L$58,MATCH(Q724,'KT THAN'!$L$38:$L$58,-1)))/(INDEX('KT THAN'!$L$38:$L$58,MIN(21,MATCH(Q724,'KT THAN'!$L$38:$L$58,-1)+1))-INDEX('KT THAN'!$L$38:$L$58,MATCH(Q724,'KT THAN'!$L$38:$L$58,-1)))),MIN(0.8*0.75*'KT THAN'!$C$62,'KT THAN'!$C$68/Q724)))))</f>
        <v/>
      </c>
      <c r="N724" s="38" t="str">
        <f>IF($A724="","",IF(H724=0,"",IF(R724&lt;=0.000000001,MIN(0.8*0.75*'KT THAN'!$C$62,MAX('KT THAN'!$W$38:$W$58)),IFERROR(MIN(0.8*0.75*'KT THAN'!$C$62,INDEX('KT THAN'!$W$38:$W$58,MATCH(R724,'KT THAN'!$Y$38:$Y$58,-1))+(INDEX('KT THAN'!$W$38:$W$58,MIN(21,MATCH(R724,'KT THAN'!$Y$38:$Y$58,-1)+1))-INDEX('KT THAN'!$W$38:$W$58,MATCH(R724,'KT THAN'!$Y$38:$Y$58,-1)))*(R724-INDEX('KT THAN'!$Y$38:$Y$58,MATCH(R724,'KT THAN'!$Y$38:$Y$58,-1)))/(INDEX('KT THAN'!$Y$38:$Y$58,MIN(21,MATCH(R724,'KT THAN'!$Y$38:$Y$58,-1)+1))-INDEX('KT THAN'!$Y$38:$Y$58,MATCH(R724,'KT THAN'!$Y$38:$Y$58,-1)))),MIN(0.8*0.75*'KT THAN'!$C$62,'KT THAN'!$D$68/R724)))))</f>
        <v/>
      </c>
      <c r="O724" s="38" t="str">
        <f>IF($A724="","",IF(H724&lt;0,ABS(H724)/MAX('KT THAN'!$C$69,0.001)+'KT THAN'!$C$32*ABS(J724)/MAX('KT THAN'!$C$68,0.001)+'KT THAN'!$D$32*ABS(I724)/MAX('KT THAN'!$D$68,0.001),IF(OR(M724&lt;=0,N724&lt;=0),999,IF(H724&gt;=0.1*0.75*fc_*Agth*1000,H724/MAX(0.001,1/(1/M724+1/N724-1/(0.75*'KT THAN'!$C$62))),'KT THAN'!$C$32*ABS(J724)/MAX('KT THAN'!$C$68,0.001)+'KT THAN'!$D$32*ABS(I724)/MAX('KT THAN'!$D$68,0.001)))))</f>
        <v/>
      </c>
      <c r="P724" s="37" t="str">
        <f t="shared" si="113"/>
        <v/>
      </c>
      <c r="Q724" s="38" t="str">
        <f>IF($A724="","",MAX(0.001,'KT THAN'!$C$32*ABS(J724)/MAX(1,H724)))</f>
        <v/>
      </c>
      <c r="R724" s="38" t="str">
        <f>IF($A724="","",MAX(0.001,'KT THAN'!$D$32*ABS(I724)/MAX(1,H724)))</f>
        <v/>
      </c>
      <c r="S724" t="str">
        <f t="shared" si="107"/>
        <v/>
      </c>
    </row>
    <row r="725" spans="1:19" hidden="1" outlineLevel="1" x14ac:dyDescent="0.3">
      <c r="A725" s="37" t="str">
        <f>IF(OR(nThan=1,'TO HOP NLAN'!$A281=""),"",'TO HOP NLAN'!$A281)</f>
        <v/>
      </c>
      <c r="B725" s="38" t="str">
        <f>IF($A725="","",'TO HOP NLAN'!$D281)</f>
        <v/>
      </c>
      <c r="C725" s="38" t="str">
        <f>IF($A725="","",'TO HOP NLAN'!$E281)</f>
        <v/>
      </c>
      <c r="D725" s="38" t="str">
        <f>IF($A725="","",'TO HOP NLAN'!$F281)</f>
        <v/>
      </c>
      <c r="E725" s="38" t="str">
        <f>IF($A725="","",'TO HOP NLAN'!$B281)</f>
        <v/>
      </c>
      <c r="F725" s="38" t="str">
        <f>IF($A725="","",'TO HOP NLAN'!$C281)</f>
        <v/>
      </c>
      <c r="G725" s="38" t="str">
        <f t="shared" si="108"/>
        <v/>
      </c>
      <c r="H725" s="38" t="str">
        <f t="shared" si="106"/>
        <v/>
      </c>
      <c r="I725" s="38" t="str">
        <f t="shared" si="109"/>
        <v/>
      </c>
      <c r="J725" s="38" t="str">
        <f t="shared" si="110"/>
        <v/>
      </c>
      <c r="K725" s="38" t="str">
        <f t="shared" si="111"/>
        <v/>
      </c>
      <c r="L725" s="38" t="str">
        <f t="shared" si="112"/>
        <v/>
      </c>
      <c r="M725" s="38" t="str">
        <f>IF($A725="","",IF(H725=0,"",IF(Q725&lt;=0.000000001,MIN(0.8*0.75*'KT THAN'!$C$62,MAX('KT THAN'!$J$38:$J$58)),IFERROR(MIN(0.8*0.75*'KT THAN'!$C$62,INDEX('KT THAN'!$J$38:$J$58,MATCH(Q725,'KT THAN'!$L$38:$L$58,-1))+(INDEX('KT THAN'!$J$38:$J$58,MIN(21,MATCH(Q725,'KT THAN'!$L$38:$L$58,-1)+1))-INDEX('KT THAN'!$J$38:$J$58,MATCH(Q725,'KT THAN'!$L$38:$L$58,-1)))*(Q725-INDEX('KT THAN'!$L$38:$L$58,MATCH(Q725,'KT THAN'!$L$38:$L$58,-1)))/(INDEX('KT THAN'!$L$38:$L$58,MIN(21,MATCH(Q725,'KT THAN'!$L$38:$L$58,-1)+1))-INDEX('KT THAN'!$L$38:$L$58,MATCH(Q725,'KT THAN'!$L$38:$L$58,-1)))),MIN(0.8*0.75*'KT THAN'!$C$62,'KT THAN'!$C$68/Q725)))))</f>
        <v/>
      </c>
      <c r="N725" s="38" t="str">
        <f>IF($A725="","",IF(H725=0,"",IF(R725&lt;=0.000000001,MIN(0.8*0.75*'KT THAN'!$C$62,MAX('KT THAN'!$W$38:$W$58)),IFERROR(MIN(0.8*0.75*'KT THAN'!$C$62,INDEX('KT THAN'!$W$38:$W$58,MATCH(R725,'KT THAN'!$Y$38:$Y$58,-1))+(INDEX('KT THAN'!$W$38:$W$58,MIN(21,MATCH(R725,'KT THAN'!$Y$38:$Y$58,-1)+1))-INDEX('KT THAN'!$W$38:$W$58,MATCH(R725,'KT THAN'!$Y$38:$Y$58,-1)))*(R725-INDEX('KT THAN'!$Y$38:$Y$58,MATCH(R725,'KT THAN'!$Y$38:$Y$58,-1)))/(INDEX('KT THAN'!$Y$38:$Y$58,MIN(21,MATCH(R725,'KT THAN'!$Y$38:$Y$58,-1)+1))-INDEX('KT THAN'!$Y$38:$Y$58,MATCH(R725,'KT THAN'!$Y$38:$Y$58,-1)))),MIN(0.8*0.75*'KT THAN'!$C$62,'KT THAN'!$D$68/R725)))))</f>
        <v/>
      </c>
      <c r="O725" s="38" t="str">
        <f>IF($A725="","",IF(H725&lt;0,ABS(H725)/MAX('KT THAN'!$C$69,0.001)+'KT THAN'!$C$32*ABS(J725)/MAX('KT THAN'!$C$68,0.001)+'KT THAN'!$D$32*ABS(I725)/MAX('KT THAN'!$D$68,0.001),IF(OR(M725&lt;=0,N725&lt;=0),999,IF(H725&gt;=0.1*0.75*fc_*Agth*1000,H725/MAX(0.001,1/(1/M725+1/N725-1/(0.75*'KT THAN'!$C$62))),'KT THAN'!$C$32*ABS(J725)/MAX('KT THAN'!$C$68,0.001)+'KT THAN'!$D$32*ABS(I725)/MAX('KT THAN'!$D$68,0.001)))))</f>
        <v/>
      </c>
      <c r="P725" s="37" t="str">
        <f t="shared" si="113"/>
        <v/>
      </c>
      <c r="Q725" s="38" t="str">
        <f>IF($A725="","",MAX(0.001,'KT THAN'!$C$32*ABS(J725)/MAX(1,H725)))</f>
        <v/>
      </c>
      <c r="R725" s="38" t="str">
        <f>IF($A725="","",MAX(0.001,'KT THAN'!$D$32*ABS(I725)/MAX(1,H725)))</f>
        <v/>
      </c>
      <c r="S725" t="str">
        <f t="shared" si="107"/>
        <v/>
      </c>
    </row>
    <row r="726" spans="1:19" hidden="1" outlineLevel="1" x14ac:dyDescent="0.3">
      <c r="A726" s="37" t="str">
        <f>IF(OR(nThan=1,'TO HOP NLAN'!$A282=""),"",'TO HOP NLAN'!$A282)</f>
        <v/>
      </c>
      <c r="B726" s="38" t="str">
        <f>IF($A726="","",'TO HOP NLAN'!$D282)</f>
        <v/>
      </c>
      <c r="C726" s="38" t="str">
        <f>IF($A726="","",'TO HOP NLAN'!$E282)</f>
        <v/>
      </c>
      <c r="D726" s="38" t="str">
        <f>IF($A726="","",'TO HOP NLAN'!$F282)</f>
        <v/>
      </c>
      <c r="E726" s="38" t="str">
        <f>IF($A726="","",'TO HOP NLAN'!$B282)</f>
        <v/>
      </c>
      <c r="F726" s="38" t="str">
        <f>IF($A726="","",'TO HOP NLAN'!$C282)</f>
        <v/>
      </c>
      <c r="G726" s="38" t="str">
        <f t="shared" si="108"/>
        <v/>
      </c>
      <c r="H726" s="38" t="str">
        <f t="shared" si="106"/>
        <v/>
      </c>
      <c r="I726" s="38" t="str">
        <f t="shared" si="109"/>
        <v/>
      </c>
      <c r="J726" s="38" t="str">
        <f t="shared" si="110"/>
        <v/>
      </c>
      <c r="K726" s="38" t="str">
        <f t="shared" si="111"/>
        <v/>
      </c>
      <c r="L726" s="38" t="str">
        <f t="shared" si="112"/>
        <v/>
      </c>
      <c r="M726" s="38" t="str">
        <f>IF($A726="","",IF(H726=0,"",IF(Q726&lt;=0.000000001,MIN(0.8*0.75*'KT THAN'!$C$62,MAX('KT THAN'!$J$38:$J$58)),IFERROR(MIN(0.8*0.75*'KT THAN'!$C$62,INDEX('KT THAN'!$J$38:$J$58,MATCH(Q726,'KT THAN'!$L$38:$L$58,-1))+(INDEX('KT THAN'!$J$38:$J$58,MIN(21,MATCH(Q726,'KT THAN'!$L$38:$L$58,-1)+1))-INDEX('KT THAN'!$J$38:$J$58,MATCH(Q726,'KT THAN'!$L$38:$L$58,-1)))*(Q726-INDEX('KT THAN'!$L$38:$L$58,MATCH(Q726,'KT THAN'!$L$38:$L$58,-1)))/(INDEX('KT THAN'!$L$38:$L$58,MIN(21,MATCH(Q726,'KT THAN'!$L$38:$L$58,-1)+1))-INDEX('KT THAN'!$L$38:$L$58,MATCH(Q726,'KT THAN'!$L$38:$L$58,-1)))),MIN(0.8*0.75*'KT THAN'!$C$62,'KT THAN'!$C$68/Q726)))))</f>
        <v/>
      </c>
      <c r="N726" s="38" t="str">
        <f>IF($A726="","",IF(H726=0,"",IF(R726&lt;=0.000000001,MIN(0.8*0.75*'KT THAN'!$C$62,MAX('KT THAN'!$W$38:$W$58)),IFERROR(MIN(0.8*0.75*'KT THAN'!$C$62,INDEX('KT THAN'!$W$38:$W$58,MATCH(R726,'KT THAN'!$Y$38:$Y$58,-1))+(INDEX('KT THAN'!$W$38:$W$58,MIN(21,MATCH(R726,'KT THAN'!$Y$38:$Y$58,-1)+1))-INDEX('KT THAN'!$W$38:$W$58,MATCH(R726,'KT THAN'!$Y$38:$Y$58,-1)))*(R726-INDEX('KT THAN'!$Y$38:$Y$58,MATCH(R726,'KT THAN'!$Y$38:$Y$58,-1)))/(INDEX('KT THAN'!$Y$38:$Y$58,MIN(21,MATCH(R726,'KT THAN'!$Y$38:$Y$58,-1)+1))-INDEX('KT THAN'!$Y$38:$Y$58,MATCH(R726,'KT THAN'!$Y$38:$Y$58,-1)))),MIN(0.8*0.75*'KT THAN'!$C$62,'KT THAN'!$D$68/R726)))))</f>
        <v/>
      </c>
      <c r="O726" s="38" t="str">
        <f>IF($A726="","",IF(H726&lt;0,ABS(H726)/MAX('KT THAN'!$C$69,0.001)+'KT THAN'!$C$32*ABS(J726)/MAX('KT THAN'!$C$68,0.001)+'KT THAN'!$D$32*ABS(I726)/MAX('KT THAN'!$D$68,0.001),IF(OR(M726&lt;=0,N726&lt;=0),999,IF(H726&gt;=0.1*0.75*fc_*Agth*1000,H726/MAX(0.001,1/(1/M726+1/N726-1/(0.75*'KT THAN'!$C$62))),'KT THAN'!$C$32*ABS(J726)/MAX('KT THAN'!$C$68,0.001)+'KT THAN'!$D$32*ABS(I726)/MAX('KT THAN'!$D$68,0.001)))))</f>
        <v/>
      </c>
      <c r="P726" s="37" t="str">
        <f t="shared" si="113"/>
        <v/>
      </c>
      <c r="Q726" s="38" t="str">
        <f>IF($A726="","",MAX(0.001,'KT THAN'!$C$32*ABS(J726)/MAX(1,H726)))</f>
        <v/>
      </c>
      <c r="R726" s="38" t="str">
        <f>IF($A726="","",MAX(0.001,'KT THAN'!$D$32*ABS(I726)/MAX(1,H726)))</f>
        <v/>
      </c>
      <c r="S726" t="str">
        <f t="shared" si="107"/>
        <v/>
      </c>
    </row>
    <row r="727" spans="1:19" hidden="1" outlineLevel="1" x14ac:dyDescent="0.3">
      <c r="A727" s="37" t="str">
        <f>IF(OR(nThan=1,'TO HOP NLAN'!$A283=""),"",'TO HOP NLAN'!$A283)</f>
        <v/>
      </c>
      <c r="B727" s="38" t="str">
        <f>IF($A727="","",'TO HOP NLAN'!$D283)</f>
        <v/>
      </c>
      <c r="C727" s="38" t="str">
        <f>IF($A727="","",'TO HOP NLAN'!$E283)</f>
        <v/>
      </c>
      <c r="D727" s="38" t="str">
        <f>IF($A727="","",'TO HOP NLAN'!$F283)</f>
        <v/>
      </c>
      <c r="E727" s="38" t="str">
        <f>IF($A727="","",'TO HOP NLAN'!$B283)</f>
        <v/>
      </c>
      <c r="F727" s="38" t="str">
        <f>IF($A727="","",'TO HOP NLAN'!$C283)</f>
        <v/>
      </c>
      <c r="G727" s="38" t="str">
        <f t="shared" si="108"/>
        <v/>
      </c>
      <c r="H727" s="38" t="str">
        <f t="shared" si="106"/>
        <v/>
      </c>
      <c r="I727" s="38" t="str">
        <f t="shared" si="109"/>
        <v/>
      </c>
      <c r="J727" s="38" t="str">
        <f t="shared" si="110"/>
        <v/>
      </c>
      <c r="K727" s="38" t="str">
        <f t="shared" si="111"/>
        <v/>
      </c>
      <c r="L727" s="38" t="str">
        <f t="shared" si="112"/>
        <v/>
      </c>
      <c r="M727" s="38" t="str">
        <f>IF($A727="","",IF(H727=0,"",IF(Q727&lt;=0.000000001,MIN(0.8*0.75*'KT THAN'!$C$62,MAX('KT THAN'!$J$38:$J$58)),IFERROR(MIN(0.8*0.75*'KT THAN'!$C$62,INDEX('KT THAN'!$J$38:$J$58,MATCH(Q727,'KT THAN'!$L$38:$L$58,-1))+(INDEX('KT THAN'!$J$38:$J$58,MIN(21,MATCH(Q727,'KT THAN'!$L$38:$L$58,-1)+1))-INDEX('KT THAN'!$J$38:$J$58,MATCH(Q727,'KT THAN'!$L$38:$L$58,-1)))*(Q727-INDEX('KT THAN'!$L$38:$L$58,MATCH(Q727,'KT THAN'!$L$38:$L$58,-1)))/(INDEX('KT THAN'!$L$38:$L$58,MIN(21,MATCH(Q727,'KT THAN'!$L$38:$L$58,-1)+1))-INDEX('KT THAN'!$L$38:$L$58,MATCH(Q727,'KT THAN'!$L$38:$L$58,-1)))),MIN(0.8*0.75*'KT THAN'!$C$62,'KT THAN'!$C$68/Q727)))))</f>
        <v/>
      </c>
      <c r="N727" s="38" t="str">
        <f>IF($A727="","",IF(H727=0,"",IF(R727&lt;=0.000000001,MIN(0.8*0.75*'KT THAN'!$C$62,MAX('KT THAN'!$W$38:$W$58)),IFERROR(MIN(0.8*0.75*'KT THAN'!$C$62,INDEX('KT THAN'!$W$38:$W$58,MATCH(R727,'KT THAN'!$Y$38:$Y$58,-1))+(INDEX('KT THAN'!$W$38:$W$58,MIN(21,MATCH(R727,'KT THAN'!$Y$38:$Y$58,-1)+1))-INDEX('KT THAN'!$W$38:$W$58,MATCH(R727,'KT THAN'!$Y$38:$Y$58,-1)))*(R727-INDEX('KT THAN'!$Y$38:$Y$58,MATCH(R727,'KT THAN'!$Y$38:$Y$58,-1)))/(INDEX('KT THAN'!$Y$38:$Y$58,MIN(21,MATCH(R727,'KT THAN'!$Y$38:$Y$58,-1)+1))-INDEX('KT THAN'!$Y$38:$Y$58,MATCH(R727,'KT THAN'!$Y$38:$Y$58,-1)))),MIN(0.8*0.75*'KT THAN'!$C$62,'KT THAN'!$D$68/R727)))))</f>
        <v/>
      </c>
      <c r="O727" s="38" t="str">
        <f>IF($A727="","",IF(H727&lt;0,ABS(H727)/MAX('KT THAN'!$C$69,0.001)+'KT THAN'!$C$32*ABS(J727)/MAX('KT THAN'!$C$68,0.001)+'KT THAN'!$D$32*ABS(I727)/MAX('KT THAN'!$D$68,0.001),IF(OR(M727&lt;=0,N727&lt;=0),999,IF(H727&gt;=0.1*0.75*fc_*Agth*1000,H727/MAX(0.001,1/(1/M727+1/N727-1/(0.75*'KT THAN'!$C$62))),'KT THAN'!$C$32*ABS(J727)/MAX('KT THAN'!$C$68,0.001)+'KT THAN'!$D$32*ABS(I727)/MAX('KT THAN'!$D$68,0.001)))))</f>
        <v/>
      </c>
      <c r="P727" s="37" t="str">
        <f t="shared" si="113"/>
        <v/>
      </c>
      <c r="Q727" s="38" t="str">
        <f>IF($A727="","",MAX(0.001,'KT THAN'!$C$32*ABS(J727)/MAX(1,H727)))</f>
        <v/>
      </c>
      <c r="R727" s="38" t="str">
        <f>IF($A727="","",MAX(0.001,'KT THAN'!$D$32*ABS(I727)/MAX(1,H727)))</f>
        <v/>
      </c>
      <c r="S727" t="str">
        <f t="shared" si="107"/>
        <v/>
      </c>
    </row>
    <row r="728" spans="1:19" hidden="1" outlineLevel="1" x14ac:dyDescent="0.3">
      <c r="A728" s="37" t="str">
        <f>IF(OR(nThan=1,'TO HOP NLAN'!$A284=""),"",'TO HOP NLAN'!$A284)</f>
        <v/>
      </c>
      <c r="B728" s="38" t="str">
        <f>IF($A728="","",'TO HOP NLAN'!$D284)</f>
        <v/>
      </c>
      <c r="C728" s="38" t="str">
        <f>IF($A728="","",'TO HOP NLAN'!$E284)</f>
        <v/>
      </c>
      <c r="D728" s="38" t="str">
        <f>IF($A728="","",'TO HOP NLAN'!$F284)</f>
        <v/>
      </c>
      <c r="E728" s="38" t="str">
        <f>IF($A728="","",'TO HOP NLAN'!$B284)</f>
        <v/>
      </c>
      <c r="F728" s="38" t="str">
        <f>IF($A728="","",'TO HOP NLAN'!$C284)</f>
        <v/>
      </c>
      <c r="G728" s="38" t="str">
        <f t="shared" si="108"/>
        <v/>
      </c>
      <c r="H728" s="38" t="str">
        <f t="shared" si="106"/>
        <v/>
      </c>
      <c r="I728" s="38" t="str">
        <f t="shared" si="109"/>
        <v/>
      </c>
      <c r="J728" s="38" t="str">
        <f t="shared" si="110"/>
        <v/>
      </c>
      <c r="K728" s="38" t="str">
        <f t="shared" si="111"/>
        <v/>
      </c>
      <c r="L728" s="38" t="str">
        <f t="shared" si="112"/>
        <v/>
      </c>
      <c r="M728" s="38" t="str">
        <f>IF($A728="","",IF(H728=0,"",IF(Q728&lt;=0.000000001,MIN(0.8*0.75*'KT THAN'!$C$62,MAX('KT THAN'!$J$38:$J$58)),IFERROR(MIN(0.8*0.75*'KT THAN'!$C$62,INDEX('KT THAN'!$J$38:$J$58,MATCH(Q728,'KT THAN'!$L$38:$L$58,-1))+(INDEX('KT THAN'!$J$38:$J$58,MIN(21,MATCH(Q728,'KT THAN'!$L$38:$L$58,-1)+1))-INDEX('KT THAN'!$J$38:$J$58,MATCH(Q728,'KT THAN'!$L$38:$L$58,-1)))*(Q728-INDEX('KT THAN'!$L$38:$L$58,MATCH(Q728,'KT THAN'!$L$38:$L$58,-1)))/(INDEX('KT THAN'!$L$38:$L$58,MIN(21,MATCH(Q728,'KT THAN'!$L$38:$L$58,-1)+1))-INDEX('KT THAN'!$L$38:$L$58,MATCH(Q728,'KT THAN'!$L$38:$L$58,-1)))),MIN(0.8*0.75*'KT THAN'!$C$62,'KT THAN'!$C$68/Q728)))))</f>
        <v/>
      </c>
      <c r="N728" s="38" t="str">
        <f>IF($A728="","",IF(H728=0,"",IF(R728&lt;=0.000000001,MIN(0.8*0.75*'KT THAN'!$C$62,MAX('KT THAN'!$W$38:$W$58)),IFERROR(MIN(0.8*0.75*'KT THAN'!$C$62,INDEX('KT THAN'!$W$38:$W$58,MATCH(R728,'KT THAN'!$Y$38:$Y$58,-1))+(INDEX('KT THAN'!$W$38:$W$58,MIN(21,MATCH(R728,'KT THAN'!$Y$38:$Y$58,-1)+1))-INDEX('KT THAN'!$W$38:$W$58,MATCH(R728,'KT THAN'!$Y$38:$Y$58,-1)))*(R728-INDEX('KT THAN'!$Y$38:$Y$58,MATCH(R728,'KT THAN'!$Y$38:$Y$58,-1)))/(INDEX('KT THAN'!$Y$38:$Y$58,MIN(21,MATCH(R728,'KT THAN'!$Y$38:$Y$58,-1)+1))-INDEX('KT THAN'!$Y$38:$Y$58,MATCH(R728,'KT THAN'!$Y$38:$Y$58,-1)))),MIN(0.8*0.75*'KT THAN'!$C$62,'KT THAN'!$D$68/R728)))))</f>
        <v/>
      </c>
      <c r="O728" s="38" t="str">
        <f>IF($A728="","",IF(H728&lt;0,ABS(H728)/MAX('KT THAN'!$C$69,0.001)+'KT THAN'!$C$32*ABS(J728)/MAX('KT THAN'!$C$68,0.001)+'KT THAN'!$D$32*ABS(I728)/MAX('KT THAN'!$D$68,0.001),IF(OR(M728&lt;=0,N728&lt;=0),999,IF(H728&gt;=0.1*0.75*fc_*Agth*1000,H728/MAX(0.001,1/(1/M728+1/N728-1/(0.75*'KT THAN'!$C$62))),'KT THAN'!$C$32*ABS(J728)/MAX('KT THAN'!$C$68,0.001)+'KT THAN'!$D$32*ABS(I728)/MAX('KT THAN'!$D$68,0.001)))))</f>
        <v/>
      </c>
      <c r="P728" s="37" t="str">
        <f t="shared" si="113"/>
        <v/>
      </c>
      <c r="Q728" s="38" t="str">
        <f>IF($A728="","",MAX(0.001,'KT THAN'!$C$32*ABS(J728)/MAX(1,H728)))</f>
        <v/>
      </c>
      <c r="R728" s="38" t="str">
        <f>IF($A728="","",MAX(0.001,'KT THAN'!$D$32*ABS(I728)/MAX(1,H728)))</f>
        <v/>
      </c>
      <c r="S728" t="str">
        <f t="shared" si="107"/>
        <v/>
      </c>
    </row>
    <row r="729" spans="1:19" hidden="1" outlineLevel="1" x14ac:dyDescent="0.3">
      <c r="A729" s="37" t="str">
        <f>IF(OR(nThan=1,'TO HOP NLAN'!$A285=""),"",'TO HOP NLAN'!$A285)</f>
        <v/>
      </c>
      <c r="B729" s="38" t="str">
        <f>IF($A729="","",'TO HOP NLAN'!$D285)</f>
        <v/>
      </c>
      <c r="C729" s="38" t="str">
        <f>IF($A729="","",'TO HOP NLAN'!$E285)</f>
        <v/>
      </c>
      <c r="D729" s="38" t="str">
        <f>IF($A729="","",'TO HOP NLAN'!$F285)</f>
        <v/>
      </c>
      <c r="E729" s="38" t="str">
        <f>IF($A729="","",'TO HOP NLAN'!$B285)</f>
        <v/>
      </c>
      <c r="F729" s="38" t="str">
        <f>IF($A729="","",'TO HOP NLAN'!$C285)</f>
        <v/>
      </c>
      <c r="G729" s="38" t="str">
        <f t="shared" si="108"/>
        <v/>
      </c>
      <c r="H729" s="38" t="str">
        <f t="shared" si="106"/>
        <v/>
      </c>
      <c r="I729" s="38" t="str">
        <f t="shared" si="109"/>
        <v/>
      </c>
      <c r="J729" s="38" t="str">
        <f t="shared" si="110"/>
        <v/>
      </c>
      <c r="K729" s="38" t="str">
        <f t="shared" si="111"/>
        <v/>
      </c>
      <c r="L729" s="38" t="str">
        <f t="shared" si="112"/>
        <v/>
      </c>
      <c r="M729" s="38" t="str">
        <f>IF($A729="","",IF(H729=0,"",IF(Q729&lt;=0.000000001,MIN(0.8*0.75*'KT THAN'!$C$62,MAX('KT THAN'!$J$38:$J$58)),IFERROR(MIN(0.8*0.75*'KT THAN'!$C$62,INDEX('KT THAN'!$J$38:$J$58,MATCH(Q729,'KT THAN'!$L$38:$L$58,-1))+(INDEX('KT THAN'!$J$38:$J$58,MIN(21,MATCH(Q729,'KT THAN'!$L$38:$L$58,-1)+1))-INDEX('KT THAN'!$J$38:$J$58,MATCH(Q729,'KT THAN'!$L$38:$L$58,-1)))*(Q729-INDEX('KT THAN'!$L$38:$L$58,MATCH(Q729,'KT THAN'!$L$38:$L$58,-1)))/(INDEX('KT THAN'!$L$38:$L$58,MIN(21,MATCH(Q729,'KT THAN'!$L$38:$L$58,-1)+1))-INDEX('KT THAN'!$L$38:$L$58,MATCH(Q729,'KT THAN'!$L$38:$L$58,-1)))),MIN(0.8*0.75*'KT THAN'!$C$62,'KT THAN'!$C$68/Q729)))))</f>
        <v/>
      </c>
      <c r="N729" s="38" t="str">
        <f>IF($A729="","",IF(H729=0,"",IF(R729&lt;=0.000000001,MIN(0.8*0.75*'KT THAN'!$C$62,MAX('KT THAN'!$W$38:$W$58)),IFERROR(MIN(0.8*0.75*'KT THAN'!$C$62,INDEX('KT THAN'!$W$38:$W$58,MATCH(R729,'KT THAN'!$Y$38:$Y$58,-1))+(INDEX('KT THAN'!$W$38:$W$58,MIN(21,MATCH(R729,'KT THAN'!$Y$38:$Y$58,-1)+1))-INDEX('KT THAN'!$W$38:$W$58,MATCH(R729,'KT THAN'!$Y$38:$Y$58,-1)))*(R729-INDEX('KT THAN'!$Y$38:$Y$58,MATCH(R729,'KT THAN'!$Y$38:$Y$58,-1)))/(INDEX('KT THAN'!$Y$38:$Y$58,MIN(21,MATCH(R729,'KT THAN'!$Y$38:$Y$58,-1)+1))-INDEX('KT THAN'!$Y$38:$Y$58,MATCH(R729,'KT THAN'!$Y$38:$Y$58,-1)))),MIN(0.8*0.75*'KT THAN'!$C$62,'KT THAN'!$D$68/R729)))))</f>
        <v/>
      </c>
      <c r="O729" s="38" t="str">
        <f>IF($A729="","",IF(H729&lt;0,ABS(H729)/MAX('KT THAN'!$C$69,0.001)+'KT THAN'!$C$32*ABS(J729)/MAX('KT THAN'!$C$68,0.001)+'KT THAN'!$D$32*ABS(I729)/MAX('KT THAN'!$D$68,0.001),IF(OR(M729&lt;=0,N729&lt;=0),999,IF(H729&gt;=0.1*0.75*fc_*Agth*1000,H729/MAX(0.001,1/(1/M729+1/N729-1/(0.75*'KT THAN'!$C$62))),'KT THAN'!$C$32*ABS(J729)/MAX('KT THAN'!$C$68,0.001)+'KT THAN'!$D$32*ABS(I729)/MAX('KT THAN'!$D$68,0.001)))))</f>
        <v/>
      </c>
      <c r="P729" s="37" t="str">
        <f t="shared" si="113"/>
        <v/>
      </c>
      <c r="Q729" s="38" t="str">
        <f>IF($A729="","",MAX(0.001,'KT THAN'!$C$32*ABS(J729)/MAX(1,H729)))</f>
        <v/>
      </c>
      <c r="R729" s="38" t="str">
        <f>IF($A729="","",MAX(0.001,'KT THAN'!$D$32*ABS(I729)/MAX(1,H729)))</f>
        <v/>
      </c>
      <c r="S729" t="str">
        <f t="shared" si="107"/>
        <v/>
      </c>
    </row>
    <row r="730" spans="1:19" hidden="1" outlineLevel="1" x14ac:dyDescent="0.3">
      <c r="A730" s="37" t="str">
        <f>IF(OR(nThan=1,'TO HOP NLAN'!$A286=""),"",'TO HOP NLAN'!$A286)</f>
        <v/>
      </c>
      <c r="B730" s="38" t="str">
        <f>IF($A730="","",'TO HOP NLAN'!$D286)</f>
        <v/>
      </c>
      <c r="C730" s="38" t="str">
        <f>IF($A730="","",'TO HOP NLAN'!$E286)</f>
        <v/>
      </c>
      <c r="D730" s="38" t="str">
        <f>IF($A730="","",'TO HOP NLAN'!$F286)</f>
        <v/>
      </c>
      <c r="E730" s="38" t="str">
        <f>IF($A730="","",'TO HOP NLAN'!$B286)</f>
        <v/>
      </c>
      <c r="F730" s="38" t="str">
        <f>IF($A730="","",'TO HOP NLAN'!$C286)</f>
        <v/>
      </c>
      <c r="G730" s="38" t="str">
        <f t="shared" si="108"/>
        <v/>
      </c>
      <c r="H730" s="38" t="str">
        <f t="shared" si="106"/>
        <v/>
      </c>
      <c r="I730" s="38" t="str">
        <f t="shared" si="109"/>
        <v/>
      </c>
      <c r="J730" s="38" t="str">
        <f t="shared" si="110"/>
        <v/>
      </c>
      <c r="K730" s="38" t="str">
        <f t="shared" si="111"/>
        <v/>
      </c>
      <c r="L730" s="38" t="str">
        <f t="shared" si="112"/>
        <v/>
      </c>
      <c r="M730" s="38" t="str">
        <f>IF($A730="","",IF(H730=0,"",IF(Q730&lt;=0.000000001,MIN(0.8*0.75*'KT THAN'!$C$62,MAX('KT THAN'!$J$38:$J$58)),IFERROR(MIN(0.8*0.75*'KT THAN'!$C$62,INDEX('KT THAN'!$J$38:$J$58,MATCH(Q730,'KT THAN'!$L$38:$L$58,-1))+(INDEX('KT THAN'!$J$38:$J$58,MIN(21,MATCH(Q730,'KT THAN'!$L$38:$L$58,-1)+1))-INDEX('KT THAN'!$J$38:$J$58,MATCH(Q730,'KT THAN'!$L$38:$L$58,-1)))*(Q730-INDEX('KT THAN'!$L$38:$L$58,MATCH(Q730,'KT THAN'!$L$38:$L$58,-1)))/(INDEX('KT THAN'!$L$38:$L$58,MIN(21,MATCH(Q730,'KT THAN'!$L$38:$L$58,-1)+1))-INDEX('KT THAN'!$L$38:$L$58,MATCH(Q730,'KT THAN'!$L$38:$L$58,-1)))),MIN(0.8*0.75*'KT THAN'!$C$62,'KT THAN'!$C$68/Q730)))))</f>
        <v/>
      </c>
      <c r="N730" s="38" t="str">
        <f>IF($A730="","",IF(H730=0,"",IF(R730&lt;=0.000000001,MIN(0.8*0.75*'KT THAN'!$C$62,MAX('KT THAN'!$W$38:$W$58)),IFERROR(MIN(0.8*0.75*'KT THAN'!$C$62,INDEX('KT THAN'!$W$38:$W$58,MATCH(R730,'KT THAN'!$Y$38:$Y$58,-1))+(INDEX('KT THAN'!$W$38:$W$58,MIN(21,MATCH(R730,'KT THAN'!$Y$38:$Y$58,-1)+1))-INDEX('KT THAN'!$W$38:$W$58,MATCH(R730,'KT THAN'!$Y$38:$Y$58,-1)))*(R730-INDEX('KT THAN'!$Y$38:$Y$58,MATCH(R730,'KT THAN'!$Y$38:$Y$58,-1)))/(INDEX('KT THAN'!$Y$38:$Y$58,MIN(21,MATCH(R730,'KT THAN'!$Y$38:$Y$58,-1)+1))-INDEX('KT THAN'!$Y$38:$Y$58,MATCH(R730,'KT THAN'!$Y$38:$Y$58,-1)))),MIN(0.8*0.75*'KT THAN'!$C$62,'KT THAN'!$D$68/R730)))))</f>
        <v/>
      </c>
      <c r="O730" s="38" t="str">
        <f>IF($A730="","",IF(H730&lt;0,ABS(H730)/MAX('KT THAN'!$C$69,0.001)+'KT THAN'!$C$32*ABS(J730)/MAX('KT THAN'!$C$68,0.001)+'KT THAN'!$D$32*ABS(I730)/MAX('KT THAN'!$D$68,0.001),IF(OR(M730&lt;=0,N730&lt;=0),999,IF(H730&gt;=0.1*0.75*fc_*Agth*1000,H730/MAX(0.001,1/(1/M730+1/N730-1/(0.75*'KT THAN'!$C$62))),'KT THAN'!$C$32*ABS(J730)/MAX('KT THAN'!$C$68,0.001)+'KT THAN'!$D$32*ABS(I730)/MAX('KT THAN'!$D$68,0.001)))))</f>
        <v/>
      </c>
      <c r="P730" s="37" t="str">
        <f t="shared" si="113"/>
        <v/>
      </c>
      <c r="Q730" s="38" t="str">
        <f>IF($A730="","",MAX(0.001,'KT THAN'!$C$32*ABS(J730)/MAX(1,H730)))</f>
        <v/>
      </c>
      <c r="R730" s="38" t="str">
        <f>IF($A730="","",MAX(0.001,'KT THAN'!$D$32*ABS(I730)/MAX(1,H730)))</f>
        <v/>
      </c>
      <c r="S730" t="str">
        <f t="shared" si="107"/>
        <v/>
      </c>
    </row>
    <row r="731" spans="1:19" hidden="1" outlineLevel="1" x14ac:dyDescent="0.3">
      <c r="A731" s="37" t="str">
        <f>IF(OR(nThan=1,'TO HOP NLAN'!$A287=""),"",'TO HOP NLAN'!$A287)</f>
        <v/>
      </c>
      <c r="B731" s="38" t="str">
        <f>IF($A731="","",'TO HOP NLAN'!$D287)</f>
        <v/>
      </c>
      <c r="C731" s="38" t="str">
        <f>IF($A731="","",'TO HOP NLAN'!$E287)</f>
        <v/>
      </c>
      <c r="D731" s="38" t="str">
        <f>IF($A731="","",'TO HOP NLAN'!$F287)</f>
        <v/>
      </c>
      <c r="E731" s="38" t="str">
        <f>IF($A731="","",'TO HOP NLAN'!$B287)</f>
        <v/>
      </c>
      <c r="F731" s="38" t="str">
        <f>IF($A731="","",'TO HOP NLAN'!$C287)</f>
        <v/>
      </c>
      <c r="G731" s="38" t="str">
        <f t="shared" si="108"/>
        <v/>
      </c>
      <c r="H731" s="38" t="str">
        <f t="shared" si="106"/>
        <v/>
      </c>
      <c r="I731" s="38" t="str">
        <f t="shared" si="109"/>
        <v/>
      </c>
      <c r="J731" s="38" t="str">
        <f t="shared" si="110"/>
        <v/>
      </c>
      <c r="K731" s="38" t="str">
        <f t="shared" si="111"/>
        <v/>
      </c>
      <c r="L731" s="38" t="str">
        <f t="shared" si="112"/>
        <v/>
      </c>
      <c r="M731" s="38" t="str">
        <f>IF($A731="","",IF(H731=0,"",IF(Q731&lt;=0.000000001,MIN(0.8*0.75*'KT THAN'!$C$62,MAX('KT THAN'!$J$38:$J$58)),IFERROR(MIN(0.8*0.75*'KT THAN'!$C$62,INDEX('KT THAN'!$J$38:$J$58,MATCH(Q731,'KT THAN'!$L$38:$L$58,-1))+(INDEX('KT THAN'!$J$38:$J$58,MIN(21,MATCH(Q731,'KT THAN'!$L$38:$L$58,-1)+1))-INDEX('KT THAN'!$J$38:$J$58,MATCH(Q731,'KT THAN'!$L$38:$L$58,-1)))*(Q731-INDEX('KT THAN'!$L$38:$L$58,MATCH(Q731,'KT THAN'!$L$38:$L$58,-1)))/(INDEX('KT THAN'!$L$38:$L$58,MIN(21,MATCH(Q731,'KT THAN'!$L$38:$L$58,-1)+1))-INDEX('KT THAN'!$L$38:$L$58,MATCH(Q731,'KT THAN'!$L$38:$L$58,-1)))),MIN(0.8*0.75*'KT THAN'!$C$62,'KT THAN'!$C$68/Q731)))))</f>
        <v/>
      </c>
      <c r="N731" s="38" t="str">
        <f>IF($A731="","",IF(H731=0,"",IF(R731&lt;=0.000000001,MIN(0.8*0.75*'KT THAN'!$C$62,MAX('KT THAN'!$W$38:$W$58)),IFERROR(MIN(0.8*0.75*'KT THAN'!$C$62,INDEX('KT THAN'!$W$38:$W$58,MATCH(R731,'KT THAN'!$Y$38:$Y$58,-1))+(INDEX('KT THAN'!$W$38:$W$58,MIN(21,MATCH(R731,'KT THAN'!$Y$38:$Y$58,-1)+1))-INDEX('KT THAN'!$W$38:$W$58,MATCH(R731,'KT THAN'!$Y$38:$Y$58,-1)))*(R731-INDEX('KT THAN'!$Y$38:$Y$58,MATCH(R731,'KT THAN'!$Y$38:$Y$58,-1)))/(INDEX('KT THAN'!$Y$38:$Y$58,MIN(21,MATCH(R731,'KT THAN'!$Y$38:$Y$58,-1)+1))-INDEX('KT THAN'!$Y$38:$Y$58,MATCH(R731,'KT THAN'!$Y$38:$Y$58,-1)))),MIN(0.8*0.75*'KT THAN'!$C$62,'KT THAN'!$D$68/R731)))))</f>
        <v/>
      </c>
      <c r="O731" s="38" t="str">
        <f>IF($A731="","",IF(H731&lt;0,ABS(H731)/MAX('KT THAN'!$C$69,0.001)+'KT THAN'!$C$32*ABS(J731)/MAX('KT THAN'!$C$68,0.001)+'KT THAN'!$D$32*ABS(I731)/MAX('KT THAN'!$D$68,0.001),IF(OR(M731&lt;=0,N731&lt;=0),999,IF(H731&gt;=0.1*0.75*fc_*Agth*1000,H731/MAX(0.001,1/(1/M731+1/N731-1/(0.75*'KT THAN'!$C$62))),'KT THAN'!$C$32*ABS(J731)/MAX('KT THAN'!$C$68,0.001)+'KT THAN'!$D$32*ABS(I731)/MAX('KT THAN'!$D$68,0.001)))))</f>
        <v/>
      </c>
      <c r="P731" s="37" t="str">
        <f t="shared" si="113"/>
        <v/>
      </c>
      <c r="Q731" s="38" t="str">
        <f>IF($A731="","",MAX(0.001,'KT THAN'!$C$32*ABS(J731)/MAX(1,H731)))</f>
        <v/>
      </c>
      <c r="R731" s="38" t="str">
        <f>IF($A731="","",MAX(0.001,'KT THAN'!$D$32*ABS(I731)/MAX(1,H731)))</f>
        <v/>
      </c>
      <c r="S731" t="str">
        <f t="shared" si="107"/>
        <v/>
      </c>
    </row>
    <row r="732" spans="1:19" hidden="1" outlineLevel="1" x14ac:dyDescent="0.3">
      <c r="A732" s="37" t="str">
        <f>IF(OR(nThan=1,'TO HOP NLAN'!$A288=""),"",'TO HOP NLAN'!$A288)</f>
        <v/>
      </c>
      <c r="B732" s="38" t="str">
        <f>IF($A732="","",'TO HOP NLAN'!$D288)</f>
        <v/>
      </c>
      <c r="C732" s="38" t="str">
        <f>IF($A732="","",'TO HOP NLAN'!$E288)</f>
        <v/>
      </c>
      <c r="D732" s="38" t="str">
        <f>IF($A732="","",'TO HOP NLAN'!$F288)</f>
        <v/>
      </c>
      <c r="E732" s="38" t="str">
        <f>IF($A732="","",'TO HOP NLAN'!$B288)</f>
        <v/>
      </c>
      <c r="F732" s="38" t="str">
        <f>IF($A732="","",'TO HOP NLAN'!$C288)</f>
        <v/>
      </c>
      <c r="G732" s="38" t="str">
        <f t="shared" si="108"/>
        <v/>
      </c>
      <c r="H732" s="38" t="str">
        <f t="shared" si="106"/>
        <v/>
      </c>
      <c r="I732" s="38" t="str">
        <f t="shared" si="109"/>
        <v/>
      </c>
      <c r="J732" s="38" t="str">
        <f t="shared" si="110"/>
        <v/>
      </c>
      <c r="K732" s="38" t="str">
        <f t="shared" si="111"/>
        <v/>
      </c>
      <c r="L732" s="38" t="str">
        <f t="shared" si="112"/>
        <v/>
      </c>
      <c r="M732" s="38" t="str">
        <f>IF($A732="","",IF(H732=0,"",IF(Q732&lt;=0.000000001,MIN(0.8*0.75*'KT THAN'!$C$62,MAX('KT THAN'!$J$38:$J$58)),IFERROR(MIN(0.8*0.75*'KT THAN'!$C$62,INDEX('KT THAN'!$J$38:$J$58,MATCH(Q732,'KT THAN'!$L$38:$L$58,-1))+(INDEX('KT THAN'!$J$38:$J$58,MIN(21,MATCH(Q732,'KT THAN'!$L$38:$L$58,-1)+1))-INDEX('KT THAN'!$J$38:$J$58,MATCH(Q732,'KT THAN'!$L$38:$L$58,-1)))*(Q732-INDEX('KT THAN'!$L$38:$L$58,MATCH(Q732,'KT THAN'!$L$38:$L$58,-1)))/(INDEX('KT THAN'!$L$38:$L$58,MIN(21,MATCH(Q732,'KT THAN'!$L$38:$L$58,-1)+1))-INDEX('KT THAN'!$L$38:$L$58,MATCH(Q732,'KT THAN'!$L$38:$L$58,-1)))),MIN(0.8*0.75*'KT THAN'!$C$62,'KT THAN'!$C$68/Q732)))))</f>
        <v/>
      </c>
      <c r="N732" s="38" t="str">
        <f>IF($A732="","",IF(H732=0,"",IF(R732&lt;=0.000000001,MIN(0.8*0.75*'KT THAN'!$C$62,MAX('KT THAN'!$W$38:$W$58)),IFERROR(MIN(0.8*0.75*'KT THAN'!$C$62,INDEX('KT THAN'!$W$38:$W$58,MATCH(R732,'KT THAN'!$Y$38:$Y$58,-1))+(INDEX('KT THAN'!$W$38:$W$58,MIN(21,MATCH(R732,'KT THAN'!$Y$38:$Y$58,-1)+1))-INDEX('KT THAN'!$W$38:$W$58,MATCH(R732,'KT THAN'!$Y$38:$Y$58,-1)))*(R732-INDEX('KT THAN'!$Y$38:$Y$58,MATCH(R732,'KT THAN'!$Y$38:$Y$58,-1)))/(INDEX('KT THAN'!$Y$38:$Y$58,MIN(21,MATCH(R732,'KT THAN'!$Y$38:$Y$58,-1)+1))-INDEX('KT THAN'!$Y$38:$Y$58,MATCH(R732,'KT THAN'!$Y$38:$Y$58,-1)))),MIN(0.8*0.75*'KT THAN'!$C$62,'KT THAN'!$D$68/R732)))))</f>
        <v/>
      </c>
      <c r="O732" s="38" t="str">
        <f>IF($A732="","",IF(H732&lt;0,ABS(H732)/MAX('KT THAN'!$C$69,0.001)+'KT THAN'!$C$32*ABS(J732)/MAX('KT THAN'!$C$68,0.001)+'KT THAN'!$D$32*ABS(I732)/MAX('KT THAN'!$D$68,0.001),IF(OR(M732&lt;=0,N732&lt;=0),999,IF(H732&gt;=0.1*0.75*fc_*Agth*1000,H732/MAX(0.001,1/(1/M732+1/N732-1/(0.75*'KT THAN'!$C$62))),'KT THAN'!$C$32*ABS(J732)/MAX('KT THAN'!$C$68,0.001)+'KT THAN'!$D$32*ABS(I732)/MAX('KT THAN'!$D$68,0.001)))))</f>
        <v/>
      </c>
      <c r="P732" s="37" t="str">
        <f t="shared" si="113"/>
        <v/>
      </c>
      <c r="Q732" s="38" t="str">
        <f>IF($A732="","",MAX(0.001,'KT THAN'!$C$32*ABS(J732)/MAX(1,H732)))</f>
        <v/>
      </c>
      <c r="R732" s="38" t="str">
        <f>IF($A732="","",MAX(0.001,'KT THAN'!$D$32*ABS(I732)/MAX(1,H732)))</f>
        <v/>
      </c>
      <c r="S732" t="str">
        <f t="shared" si="107"/>
        <v/>
      </c>
    </row>
    <row r="733" spans="1:19" hidden="1" outlineLevel="1" x14ac:dyDescent="0.3">
      <c r="A733" s="37" t="str">
        <f>IF(OR(nThan=1,'TO HOP NLAN'!$A289=""),"",'TO HOP NLAN'!$A289)</f>
        <v/>
      </c>
      <c r="B733" s="38" t="str">
        <f>IF($A733="","",'TO HOP NLAN'!$D289)</f>
        <v/>
      </c>
      <c r="C733" s="38" t="str">
        <f>IF($A733="","",'TO HOP NLAN'!$E289)</f>
        <v/>
      </c>
      <c r="D733" s="38" t="str">
        <f>IF($A733="","",'TO HOP NLAN'!$F289)</f>
        <v/>
      </c>
      <c r="E733" s="38" t="str">
        <f>IF($A733="","",'TO HOP NLAN'!$B289)</f>
        <v/>
      </c>
      <c r="F733" s="38" t="str">
        <f>IF($A733="","",'TO HOP NLAN'!$C289)</f>
        <v/>
      </c>
      <c r="G733" s="38" t="str">
        <f t="shared" si="108"/>
        <v/>
      </c>
      <c r="H733" s="38" t="str">
        <f t="shared" si="106"/>
        <v/>
      </c>
      <c r="I733" s="38" t="str">
        <f t="shared" si="109"/>
        <v/>
      </c>
      <c r="J733" s="38" t="str">
        <f t="shared" si="110"/>
        <v/>
      </c>
      <c r="K733" s="38" t="str">
        <f t="shared" si="111"/>
        <v/>
      </c>
      <c r="L733" s="38" t="str">
        <f t="shared" si="112"/>
        <v/>
      </c>
      <c r="M733" s="38" t="str">
        <f>IF($A733="","",IF(H733=0,"",IF(Q733&lt;=0.000000001,MIN(0.8*0.75*'KT THAN'!$C$62,MAX('KT THAN'!$J$38:$J$58)),IFERROR(MIN(0.8*0.75*'KT THAN'!$C$62,INDEX('KT THAN'!$J$38:$J$58,MATCH(Q733,'KT THAN'!$L$38:$L$58,-1))+(INDEX('KT THAN'!$J$38:$J$58,MIN(21,MATCH(Q733,'KT THAN'!$L$38:$L$58,-1)+1))-INDEX('KT THAN'!$J$38:$J$58,MATCH(Q733,'KT THAN'!$L$38:$L$58,-1)))*(Q733-INDEX('KT THAN'!$L$38:$L$58,MATCH(Q733,'KT THAN'!$L$38:$L$58,-1)))/(INDEX('KT THAN'!$L$38:$L$58,MIN(21,MATCH(Q733,'KT THAN'!$L$38:$L$58,-1)+1))-INDEX('KT THAN'!$L$38:$L$58,MATCH(Q733,'KT THAN'!$L$38:$L$58,-1)))),MIN(0.8*0.75*'KT THAN'!$C$62,'KT THAN'!$C$68/Q733)))))</f>
        <v/>
      </c>
      <c r="N733" s="38" t="str">
        <f>IF($A733="","",IF(H733=0,"",IF(R733&lt;=0.000000001,MIN(0.8*0.75*'KT THAN'!$C$62,MAX('KT THAN'!$W$38:$W$58)),IFERROR(MIN(0.8*0.75*'KT THAN'!$C$62,INDEX('KT THAN'!$W$38:$W$58,MATCH(R733,'KT THAN'!$Y$38:$Y$58,-1))+(INDEX('KT THAN'!$W$38:$W$58,MIN(21,MATCH(R733,'KT THAN'!$Y$38:$Y$58,-1)+1))-INDEX('KT THAN'!$W$38:$W$58,MATCH(R733,'KT THAN'!$Y$38:$Y$58,-1)))*(R733-INDEX('KT THAN'!$Y$38:$Y$58,MATCH(R733,'KT THAN'!$Y$38:$Y$58,-1)))/(INDEX('KT THAN'!$Y$38:$Y$58,MIN(21,MATCH(R733,'KT THAN'!$Y$38:$Y$58,-1)+1))-INDEX('KT THAN'!$Y$38:$Y$58,MATCH(R733,'KT THAN'!$Y$38:$Y$58,-1)))),MIN(0.8*0.75*'KT THAN'!$C$62,'KT THAN'!$D$68/R733)))))</f>
        <v/>
      </c>
      <c r="O733" s="38" t="str">
        <f>IF($A733="","",IF(H733&lt;0,ABS(H733)/MAX('KT THAN'!$C$69,0.001)+'KT THAN'!$C$32*ABS(J733)/MAX('KT THAN'!$C$68,0.001)+'KT THAN'!$D$32*ABS(I733)/MAX('KT THAN'!$D$68,0.001),IF(OR(M733&lt;=0,N733&lt;=0),999,IF(H733&gt;=0.1*0.75*fc_*Agth*1000,H733/MAX(0.001,1/(1/M733+1/N733-1/(0.75*'KT THAN'!$C$62))),'KT THAN'!$C$32*ABS(J733)/MAX('KT THAN'!$C$68,0.001)+'KT THAN'!$D$32*ABS(I733)/MAX('KT THAN'!$D$68,0.001)))))</f>
        <v/>
      </c>
      <c r="P733" s="37" t="str">
        <f t="shared" si="113"/>
        <v/>
      </c>
      <c r="Q733" s="38" t="str">
        <f>IF($A733="","",MAX(0.001,'KT THAN'!$C$32*ABS(J733)/MAX(1,H733)))</f>
        <v/>
      </c>
      <c r="R733" s="38" t="str">
        <f>IF($A733="","",MAX(0.001,'KT THAN'!$D$32*ABS(I733)/MAX(1,H733)))</f>
        <v/>
      </c>
      <c r="S733" t="str">
        <f t="shared" si="107"/>
        <v/>
      </c>
    </row>
    <row r="734" spans="1:19" hidden="1" outlineLevel="1" x14ac:dyDescent="0.3">
      <c r="A734" s="37" t="str">
        <f>IF(OR(nThan=1,'TO HOP NLAN'!$A290=""),"",'TO HOP NLAN'!$A290)</f>
        <v/>
      </c>
      <c r="B734" s="38" t="str">
        <f>IF($A734="","",'TO HOP NLAN'!$D290)</f>
        <v/>
      </c>
      <c r="C734" s="38" t="str">
        <f>IF($A734="","",'TO HOP NLAN'!$E290)</f>
        <v/>
      </c>
      <c r="D734" s="38" t="str">
        <f>IF($A734="","",'TO HOP NLAN'!$F290)</f>
        <v/>
      </c>
      <c r="E734" s="38" t="str">
        <f>IF($A734="","",'TO HOP NLAN'!$B290)</f>
        <v/>
      </c>
      <c r="F734" s="38" t="str">
        <f>IF($A734="","",'TO HOP NLAN'!$C290)</f>
        <v/>
      </c>
      <c r="G734" s="38" t="str">
        <f t="shared" si="108"/>
        <v/>
      </c>
      <c r="H734" s="38" t="str">
        <f t="shared" si="106"/>
        <v/>
      </c>
      <c r="I734" s="38" t="str">
        <f t="shared" si="109"/>
        <v/>
      </c>
      <c r="J734" s="38" t="str">
        <f t="shared" si="110"/>
        <v/>
      </c>
      <c r="K734" s="38" t="str">
        <f t="shared" si="111"/>
        <v/>
      </c>
      <c r="L734" s="38" t="str">
        <f t="shared" si="112"/>
        <v/>
      </c>
      <c r="M734" s="38" t="str">
        <f>IF($A734="","",IF(H734=0,"",IF(Q734&lt;=0.000000001,MIN(0.8*0.75*'KT THAN'!$C$62,MAX('KT THAN'!$J$38:$J$58)),IFERROR(MIN(0.8*0.75*'KT THAN'!$C$62,INDEX('KT THAN'!$J$38:$J$58,MATCH(Q734,'KT THAN'!$L$38:$L$58,-1))+(INDEX('KT THAN'!$J$38:$J$58,MIN(21,MATCH(Q734,'KT THAN'!$L$38:$L$58,-1)+1))-INDEX('KT THAN'!$J$38:$J$58,MATCH(Q734,'KT THAN'!$L$38:$L$58,-1)))*(Q734-INDEX('KT THAN'!$L$38:$L$58,MATCH(Q734,'KT THAN'!$L$38:$L$58,-1)))/(INDEX('KT THAN'!$L$38:$L$58,MIN(21,MATCH(Q734,'KT THAN'!$L$38:$L$58,-1)+1))-INDEX('KT THAN'!$L$38:$L$58,MATCH(Q734,'KT THAN'!$L$38:$L$58,-1)))),MIN(0.8*0.75*'KT THAN'!$C$62,'KT THAN'!$C$68/Q734)))))</f>
        <v/>
      </c>
      <c r="N734" s="38" t="str">
        <f>IF($A734="","",IF(H734=0,"",IF(R734&lt;=0.000000001,MIN(0.8*0.75*'KT THAN'!$C$62,MAX('KT THAN'!$W$38:$W$58)),IFERROR(MIN(0.8*0.75*'KT THAN'!$C$62,INDEX('KT THAN'!$W$38:$W$58,MATCH(R734,'KT THAN'!$Y$38:$Y$58,-1))+(INDEX('KT THAN'!$W$38:$W$58,MIN(21,MATCH(R734,'KT THAN'!$Y$38:$Y$58,-1)+1))-INDEX('KT THAN'!$W$38:$W$58,MATCH(R734,'KT THAN'!$Y$38:$Y$58,-1)))*(R734-INDEX('KT THAN'!$Y$38:$Y$58,MATCH(R734,'KT THAN'!$Y$38:$Y$58,-1)))/(INDEX('KT THAN'!$Y$38:$Y$58,MIN(21,MATCH(R734,'KT THAN'!$Y$38:$Y$58,-1)+1))-INDEX('KT THAN'!$Y$38:$Y$58,MATCH(R734,'KT THAN'!$Y$38:$Y$58,-1)))),MIN(0.8*0.75*'KT THAN'!$C$62,'KT THAN'!$D$68/R734)))))</f>
        <v/>
      </c>
      <c r="O734" s="38" t="str">
        <f>IF($A734="","",IF(H734&lt;0,ABS(H734)/MAX('KT THAN'!$C$69,0.001)+'KT THAN'!$C$32*ABS(J734)/MAX('KT THAN'!$C$68,0.001)+'KT THAN'!$D$32*ABS(I734)/MAX('KT THAN'!$D$68,0.001),IF(OR(M734&lt;=0,N734&lt;=0),999,IF(H734&gt;=0.1*0.75*fc_*Agth*1000,H734/MAX(0.001,1/(1/M734+1/N734-1/(0.75*'KT THAN'!$C$62))),'KT THAN'!$C$32*ABS(J734)/MAX('KT THAN'!$C$68,0.001)+'KT THAN'!$D$32*ABS(I734)/MAX('KT THAN'!$D$68,0.001)))))</f>
        <v/>
      </c>
      <c r="P734" s="37" t="str">
        <f t="shared" si="113"/>
        <v/>
      </c>
      <c r="Q734" s="38" t="str">
        <f>IF($A734="","",MAX(0.001,'KT THAN'!$C$32*ABS(J734)/MAX(1,H734)))</f>
        <v/>
      </c>
      <c r="R734" s="38" t="str">
        <f>IF($A734="","",MAX(0.001,'KT THAN'!$D$32*ABS(I734)/MAX(1,H734)))</f>
        <v/>
      </c>
      <c r="S734" t="str">
        <f t="shared" si="107"/>
        <v/>
      </c>
    </row>
    <row r="735" spans="1:19" hidden="1" outlineLevel="1" x14ac:dyDescent="0.3">
      <c r="A735" s="37" t="str">
        <f>IF(OR(nThan=1,'TO HOP NLAN'!$A291=""),"",'TO HOP NLAN'!$A291)</f>
        <v/>
      </c>
      <c r="B735" s="38" t="str">
        <f>IF($A735="","",'TO HOP NLAN'!$D291)</f>
        <v/>
      </c>
      <c r="C735" s="38" t="str">
        <f>IF($A735="","",'TO HOP NLAN'!$E291)</f>
        <v/>
      </c>
      <c r="D735" s="38" t="str">
        <f>IF($A735="","",'TO HOP NLAN'!$F291)</f>
        <v/>
      </c>
      <c r="E735" s="38" t="str">
        <f>IF($A735="","",'TO HOP NLAN'!$B291)</f>
        <v/>
      </c>
      <c r="F735" s="38" t="str">
        <f>IF($A735="","",'TO HOP NLAN'!$C291)</f>
        <v/>
      </c>
      <c r="G735" s="38" t="str">
        <f t="shared" si="108"/>
        <v/>
      </c>
      <c r="H735" s="38" t="str">
        <f t="shared" si="106"/>
        <v/>
      </c>
      <c r="I735" s="38" t="str">
        <f t="shared" si="109"/>
        <v/>
      </c>
      <c r="J735" s="38" t="str">
        <f t="shared" si="110"/>
        <v/>
      </c>
      <c r="K735" s="38" t="str">
        <f t="shared" si="111"/>
        <v/>
      </c>
      <c r="L735" s="38" t="str">
        <f t="shared" si="112"/>
        <v/>
      </c>
      <c r="M735" s="38" t="str">
        <f>IF($A735="","",IF(H735=0,"",IF(Q735&lt;=0.000000001,MIN(0.8*0.75*'KT THAN'!$C$62,MAX('KT THAN'!$J$38:$J$58)),IFERROR(MIN(0.8*0.75*'KT THAN'!$C$62,INDEX('KT THAN'!$J$38:$J$58,MATCH(Q735,'KT THAN'!$L$38:$L$58,-1))+(INDEX('KT THAN'!$J$38:$J$58,MIN(21,MATCH(Q735,'KT THAN'!$L$38:$L$58,-1)+1))-INDEX('KT THAN'!$J$38:$J$58,MATCH(Q735,'KT THAN'!$L$38:$L$58,-1)))*(Q735-INDEX('KT THAN'!$L$38:$L$58,MATCH(Q735,'KT THAN'!$L$38:$L$58,-1)))/(INDEX('KT THAN'!$L$38:$L$58,MIN(21,MATCH(Q735,'KT THAN'!$L$38:$L$58,-1)+1))-INDEX('KT THAN'!$L$38:$L$58,MATCH(Q735,'KT THAN'!$L$38:$L$58,-1)))),MIN(0.8*0.75*'KT THAN'!$C$62,'KT THAN'!$C$68/Q735)))))</f>
        <v/>
      </c>
      <c r="N735" s="38" t="str">
        <f>IF($A735="","",IF(H735=0,"",IF(R735&lt;=0.000000001,MIN(0.8*0.75*'KT THAN'!$C$62,MAX('KT THAN'!$W$38:$W$58)),IFERROR(MIN(0.8*0.75*'KT THAN'!$C$62,INDEX('KT THAN'!$W$38:$W$58,MATCH(R735,'KT THAN'!$Y$38:$Y$58,-1))+(INDEX('KT THAN'!$W$38:$W$58,MIN(21,MATCH(R735,'KT THAN'!$Y$38:$Y$58,-1)+1))-INDEX('KT THAN'!$W$38:$W$58,MATCH(R735,'KT THAN'!$Y$38:$Y$58,-1)))*(R735-INDEX('KT THAN'!$Y$38:$Y$58,MATCH(R735,'KT THAN'!$Y$38:$Y$58,-1)))/(INDEX('KT THAN'!$Y$38:$Y$58,MIN(21,MATCH(R735,'KT THAN'!$Y$38:$Y$58,-1)+1))-INDEX('KT THAN'!$Y$38:$Y$58,MATCH(R735,'KT THAN'!$Y$38:$Y$58,-1)))),MIN(0.8*0.75*'KT THAN'!$C$62,'KT THAN'!$D$68/R735)))))</f>
        <v/>
      </c>
      <c r="O735" s="38" t="str">
        <f>IF($A735="","",IF(H735&lt;0,ABS(H735)/MAX('KT THAN'!$C$69,0.001)+'KT THAN'!$C$32*ABS(J735)/MAX('KT THAN'!$C$68,0.001)+'KT THAN'!$D$32*ABS(I735)/MAX('KT THAN'!$D$68,0.001),IF(OR(M735&lt;=0,N735&lt;=0),999,IF(H735&gt;=0.1*0.75*fc_*Agth*1000,H735/MAX(0.001,1/(1/M735+1/N735-1/(0.75*'KT THAN'!$C$62))),'KT THAN'!$C$32*ABS(J735)/MAX('KT THAN'!$C$68,0.001)+'KT THAN'!$D$32*ABS(I735)/MAX('KT THAN'!$D$68,0.001)))))</f>
        <v/>
      </c>
      <c r="P735" s="37" t="str">
        <f t="shared" si="113"/>
        <v/>
      </c>
      <c r="Q735" s="38" t="str">
        <f>IF($A735="","",MAX(0.001,'KT THAN'!$C$32*ABS(J735)/MAX(1,H735)))</f>
        <v/>
      </c>
      <c r="R735" s="38" t="str">
        <f>IF($A735="","",MAX(0.001,'KT THAN'!$D$32*ABS(I735)/MAX(1,H735)))</f>
        <v/>
      </c>
      <c r="S735" t="str">
        <f t="shared" si="107"/>
        <v/>
      </c>
    </row>
    <row r="736" spans="1:19" hidden="1" outlineLevel="1" x14ac:dyDescent="0.3">
      <c r="A736" s="37" t="str">
        <f>IF(OR(nThan=1,'TO HOP NLAN'!$A292=""),"",'TO HOP NLAN'!$A292)</f>
        <v/>
      </c>
      <c r="B736" s="38" t="str">
        <f>IF($A736="","",'TO HOP NLAN'!$D292)</f>
        <v/>
      </c>
      <c r="C736" s="38" t="str">
        <f>IF($A736="","",'TO HOP NLAN'!$E292)</f>
        <v/>
      </c>
      <c r="D736" s="38" t="str">
        <f>IF($A736="","",'TO HOP NLAN'!$F292)</f>
        <v/>
      </c>
      <c r="E736" s="38" t="str">
        <f>IF($A736="","",'TO HOP NLAN'!$B292)</f>
        <v/>
      </c>
      <c r="F736" s="38" t="str">
        <f>IF($A736="","",'TO HOP NLAN'!$C292)</f>
        <v/>
      </c>
      <c r="G736" s="38" t="str">
        <f t="shared" si="108"/>
        <v/>
      </c>
      <c r="H736" s="38" t="str">
        <f t="shared" si="106"/>
        <v/>
      </c>
      <c r="I736" s="38" t="str">
        <f t="shared" si="109"/>
        <v/>
      </c>
      <c r="J736" s="38" t="str">
        <f t="shared" si="110"/>
        <v/>
      </c>
      <c r="K736" s="38" t="str">
        <f t="shared" si="111"/>
        <v/>
      </c>
      <c r="L736" s="38" t="str">
        <f t="shared" si="112"/>
        <v/>
      </c>
      <c r="M736" s="38" t="str">
        <f>IF($A736="","",IF(H736=0,"",IF(Q736&lt;=0.000000001,MIN(0.8*0.75*'KT THAN'!$C$62,MAX('KT THAN'!$J$38:$J$58)),IFERROR(MIN(0.8*0.75*'KT THAN'!$C$62,INDEX('KT THAN'!$J$38:$J$58,MATCH(Q736,'KT THAN'!$L$38:$L$58,-1))+(INDEX('KT THAN'!$J$38:$J$58,MIN(21,MATCH(Q736,'KT THAN'!$L$38:$L$58,-1)+1))-INDEX('KT THAN'!$J$38:$J$58,MATCH(Q736,'KT THAN'!$L$38:$L$58,-1)))*(Q736-INDEX('KT THAN'!$L$38:$L$58,MATCH(Q736,'KT THAN'!$L$38:$L$58,-1)))/(INDEX('KT THAN'!$L$38:$L$58,MIN(21,MATCH(Q736,'KT THAN'!$L$38:$L$58,-1)+1))-INDEX('KT THAN'!$L$38:$L$58,MATCH(Q736,'KT THAN'!$L$38:$L$58,-1)))),MIN(0.8*0.75*'KT THAN'!$C$62,'KT THAN'!$C$68/Q736)))))</f>
        <v/>
      </c>
      <c r="N736" s="38" t="str">
        <f>IF($A736="","",IF(H736=0,"",IF(R736&lt;=0.000000001,MIN(0.8*0.75*'KT THAN'!$C$62,MAX('KT THAN'!$W$38:$W$58)),IFERROR(MIN(0.8*0.75*'KT THAN'!$C$62,INDEX('KT THAN'!$W$38:$W$58,MATCH(R736,'KT THAN'!$Y$38:$Y$58,-1))+(INDEX('KT THAN'!$W$38:$W$58,MIN(21,MATCH(R736,'KT THAN'!$Y$38:$Y$58,-1)+1))-INDEX('KT THAN'!$W$38:$W$58,MATCH(R736,'KT THAN'!$Y$38:$Y$58,-1)))*(R736-INDEX('KT THAN'!$Y$38:$Y$58,MATCH(R736,'KT THAN'!$Y$38:$Y$58,-1)))/(INDEX('KT THAN'!$Y$38:$Y$58,MIN(21,MATCH(R736,'KT THAN'!$Y$38:$Y$58,-1)+1))-INDEX('KT THAN'!$Y$38:$Y$58,MATCH(R736,'KT THAN'!$Y$38:$Y$58,-1)))),MIN(0.8*0.75*'KT THAN'!$C$62,'KT THAN'!$D$68/R736)))))</f>
        <v/>
      </c>
      <c r="O736" s="38" t="str">
        <f>IF($A736="","",IF(H736&lt;0,ABS(H736)/MAX('KT THAN'!$C$69,0.001)+'KT THAN'!$C$32*ABS(J736)/MAX('KT THAN'!$C$68,0.001)+'KT THAN'!$D$32*ABS(I736)/MAX('KT THAN'!$D$68,0.001),IF(OR(M736&lt;=0,N736&lt;=0),999,IF(H736&gt;=0.1*0.75*fc_*Agth*1000,H736/MAX(0.001,1/(1/M736+1/N736-1/(0.75*'KT THAN'!$C$62))),'KT THAN'!$C$32*ABS(J736)/MAX('KT THAN'!$C$68,0.001)+'KT THAN'!$D$32*ABS(I736)/MAX('KT THAN'!$D$68,0.001)))))</f>
        <v/>
      </c>
      <c r="P736" s="37" t="str">
        <f t="shared" si="113"/>
        <v/>
      </c>
      <c r="Q736" s="38" t="str">
        <f>IF($A736="","",MAX(0.001,'KT THAN'!$C$32*ABS(J736)/MAX(1,H736)))</f>
        <v/>
      </c>
      <c r="R736" s="38" t="str">
        <f>IF($A736="","",MAX(0.001,'KT THAN'!$D$32*ABS(I736)/MAX(1,H736)))</f>
        <v/>
      </c>
      <c r="S736" t="str">
        <f t="shared" si="107"/>
        <v/>
      </c>
    </row>
    <row r="737" spans="1:19" hidden="1" outlineLevel="1" x14ac:dyDescent="0.3">
      <c r="A737" s="37" t="str">
        <f>IF(OR(nThan=1,'TO HOP NLAN'!$A293=""),"",'TO HOP NLAN'!$A293)</f>
        <v/>
      </c>
      <c r="B737" s="38" t="str">
        <f>IF($A737="","",'TO HOP NLAN'!$D293)</f>
        <v/>
      </c>
      <c r="C737" s="38" t="str">
        <f>IF($A737="","",'TO HOP NLAN'!$E293)</f>
        <v/>
      </c>
      <c r="D737" s="38" t="str">
        <f>IF($A737="","",'TO HOP NLAN'!$F293)</f>
        <v/>
      </c>
      <c r="E737" s="38" t="str">
        <f>IF($A737="","",'TO HOP NLAN'!$B293)</f>
        <v/>
      </c>
      <c r="F737" s="38" t="str">
        <f>IF($A737="","",'TO HOP NLAN'!$C293)</f>
        <v/>
      </c>
      <c r="G737" s="38" t="str">
        <f t="shared" si="108"/>
        <v/>
      </c>
      <c r="H737" s="38" t="str">
        <f t="shared" si="106"/>
        <v/>
      </c>
      <c r="I737" s="38" t="str">
        <f t="shared" si="109"/>
        <v/>
      </c>
      <c r="J737" s="38" t="str">
        <f t="shared" si="110"/>
        <v/>
      </c>
      <c r="K737" s="38" t="str">
        <f t="shared" si="111"/>
        <v/>
      </c>
      <c r="L737" s="38" t="str">
        <f t="shared" si="112"/>
        <v/>
      </c>
      <c r="M737" s="38" t="str">
        <f>IF($A737="","",IF(H737=0,"",IF(Q737&lt;=0.000000001,MIN(0.8*0.75*'KT THAN'!$C$62,MAX('KT THAN'!$J$38:$J$58)),IFERROR(MIN(0.8*0.75*'KT THAN'!$C$62,INDEX('KT THAN'!$J$38:$J$58,MATCH(Q737,'KT THAN'!$L$38:$L$58,-1))+(INDEX('KT THAN'!$J$38:$J$58,MIN(21,MATCH(Q737,'KT THAN'!$L$38:$L$58,-1)+1))-INDEX('KT THAN'!$J$38:$J$58,MATCH(Q737,'KT THAN'!$L$38:$L$58,-1)))*(Q737-INDEX('KT THAN'!$L$38:$L$58,MATCH(Q737,'KT THAN'!$L$38:$L$58,-1)))/(INDEX('KT THAN'!$L$38:$L$58,MIN(21,MATCH(Q737,'KT THAN'!$L$38:$L$58,-1)+1))-INDEX('KT THAN'!$L$38:$L$58,MATCH(Q737,'KT THAN'!$L$38:$L$58,-1)))),MIN(0.8*0.75*'KT THAN'!$C$62,'KT THAN'!$C$68/Q737)))))</f>
        <v/>
      </c>
      <c r="N737" s="38" t="str">
        <f>IF($A737="","",IF(H737=0,"",IF(R737&lt;=0.000000001,MIN(0.8*0.75*'KT THAN'!$C$62,MAX('KT THAN'!$W$38:$W$58)),IFERROR(MIN(0.8*0.75*'KT THAN'!$C$62,INDEX('KT THAN'!$W$38:$W$58,MATCH(R737,'KT THAN'!$Y$38:$Y$58,-1))+(INDEX('KT THAN'!$W$38:$W$58,MIN(21,MATCH(R737,'KT THAN'!$Y$38:$Y$58,-1)+1))-INDEX('KT THAN'!$W$38:$W$58,MATCH(R737,'KT THAN'!$Y$38:$Y$58,-1)))*(R737-INDEX('KT THAN'!$Y$38:$Y$58,MATCH(R737,'KT THAN'!$Y$38:$Y$58,-1)))/(INDEX('KT THAN'!$Y$38:$Y$58,MIN(21,MATCH(R737,'KT THAN'!$Y$38:$Y$58,-1)+1))-INDEX('KT THAN'!$Y$38:$Y$58,MATCH(R737,'KT THAN'!$Y$38:$Y$58,-1)))),MIN(0.8*0.75*'KT THAN'!$C$62,'KT THAN'!$D$68/R737)))))</f>
        <v/>
      </c>
      <c r="O737" s="38" t="str">
        <f>IF($A737="","",IF(H737&lt;0,ABS(H737)/MAX('KT THAN'!$C$69,0.001)+'KT THAN'!$C$32*ABS(J737)/MAX('KT THAN'!$C$68,0.001)+'KT THAN'!$D$32*ABS(I737)/MAX('KT THAN'!$D$68,0.001),IF(OR(M737&lt;=0,N737&lt;=0),999,IF(H737&gt;=0.1*0.75*fc_*Agth*1000,H737/MAX(0.001,1/(1/M737+1/N737-1/(0.75*'KT THAN'!$C$62))),'KT THAN'!$C$32*ABS(J737)/MAX('KT THAN'!$C$68,0.001)+'KT THAN'!$D$32*ABS(I737)/MAX('KT THAN'!$D$68,0.001)))))</f>
        <v/>
      </c>
      <c r="P737" s="37" t="str">
        <f t="shared" si="113"/>
        <v/>
      </c>
      <c r="Q737" s="38" t="str">
        <f>IF($A737="","",MAX(0.001,'KT THAN'!$C$32*ABS(J737)/MAX(1,H737)))</f>
        <v/>
      </c>
      <c r="R737" s="38" t="str">
        <f>IF($A737="","",MAX(0.001,'KT THAN'!$D$32*ABS(I737)/MAX(1,H737)))</f>
        <v/>
      </c>
      <c r="S737" t="str">
        <f t="shared" si="107"/>
        <v/>
      </c>
    </row>
    <row r="738" spans="1:19" hidden="1" outlineLevel="1" x14ac:dyDescent="0.3">
      <c r="A738" s="37" t="str">
        <f>IF(OR(nThan=1,'TO HOP NLAN'!$A294=""),"",'TO HOP NLAN'!$A294)</f>
        <v/>
      </c>
      <c r="B738" s="38" t="str">
        <f>IF($A738="","",'TO HOP NLAN'!$D294)</f>
        <v/>
      </c>
      <c r="C738" s="38" t="str">
        <f>IF($A738="","",'TO HOP NLAN'!$E294)</f>
        <v/>
      </c>
      <c r="D738" s="38" t="str">
        <f>IF($A738="","",'TO HOP NLAN'!$F294)</f>
        <v/>
      </c>
      <c r="E738" s="38" t="str">
        <f>IF($A738="","",'TO HOP NLAN'!$B294)</f>
        <v/>
      </c>
      <c r="F738" s="38" t="str">
        <f>IF($A738="","",'TO HOP NLAN'!$C294)</f>
        <v/>
      </c>
      <c r="G738" s="38" t="str">
        <f t="shared" si="108"/>
        <v/>
      </c>
      <c r="H738" s="38" t="str">
        <f t="shared" si="106"/>
        <v/>
      </c>
      <c r="I738" s="38" t="str">
        <f t="shared" si="109"/>
        <v/>
      </c>
      <c r="J738" s="38" t="str">
        <f t="shared" si="110"/>
        <v/>
      </c>
      <c r="K738" s="38" t="str">
        <f t="shared" si="111"/>
        <v/>
      </c>
      <c r="L738" s="38" t="str">
        <f t="shared" si="112"/>
        <v/>
      </c>
      <c r="M738" s="38" t="str">
        <f>IF($A738="","",IF(H738=0,"",IF(Q738&lt;=0.000000001,MIN(0.8*0.75*'KT THAN'!$C$62,MAX('KT THAN'!$J$38:$J$58)),IFERROR(MIN(0.8*0.75*'KT THAN'!$C$62,INDEX('KT THAN'!$J$38:$J$58,MATCH(Q738,'KT THAN'!$L$38:$L$58,-1))+(INDEX('KT THAN'!$J$38:$J$58,MIN(21,MATCH(Q738,'KT THAN'!$L$38:$L$58,-1)+1))-INDEX('KT THAN'!$J$38:$J$58,MATCH(Q738,'KT THAN'!$L$38:$L$58,-1)))*(Q738-INDEX('KT THAN'!$L$38:$L$58,MATCH(Q738,'KT THAN'!$L$38:$L$58,-1)))/(INDEX('KT THAN'!$L$38:$L$58,MIN(21,MATCH(Q738,'KT THAN'!$L$38:$L$58,-1)+1))-INDEX('KT THAN'!$L$38:$L$58,MATCH(Q738,'KT THAN'!$L$38:$L$58,-1)))),MIN(0.8*0.75*'KT THAN'!$C$62,'KT THAN'!$C$68/Q738)))))</f>
        <v/>
      </c>
      <c r="N738" s="38" t="str">
        <f>IF($A738="","",IF(H738=0,"",IF(R738&lt;=0.000000001,MIN(0.8*0.75*'KT THAN'!$C$62,MAX('KT THAN'!$W$38:$W$58)),IFERROR(MIN(0.8*0.75*'KT THAN'!$C$62,INDEX('KT THAN'!$W$38:$W$58,MATCH(R738,'KT THAN'!$Y$38:$Y$58,-1))+(INDEX('KT THAN'!$W$38:$W$58,MIN(21,MATCH(R738,'KT THAN'!$Y$38:$Y$58,-1)+1))-INDEX('KT THAN'!$W$38:$W$58,MATCH(R738,'KT THAN'!$Y$38:$Y$58,-1)))*(R738-INDEX('KT THAN'!$Y$38:$Y$58,MATCH(R738,'KT THAN'!$Y$38:$Y$58,-1)))/(INDEX('KT THAN'!$Y$38:$Y$58,MIN(21,MATCH(R738,'KT THAN'!$Y$38:$Y$58,-1)+1))-INDEX('KT THAN'!$Y$38:$Y$58,MATCH(R738,'KT THAN'!$Y$38:$Y$58,-1)))),MIN(0.8*0.75*'KT THAN'!$C$62,'KT THAN'!$D$68/R738)))))</f>
        <v/>
      </c>
      <c r="O738" s="38" t="str">
        <f>IF($A738="","",IF(H738&lt;0,ABS(H738)/MAX('KT THAN'!$C$69,0.001)+'KT THAN'!$C$32*ABS(J738)/MAX('KT THAN'!$C$68,0.001)+'KT THAN'!$D$32*ABS(I738)/MAX('KT THAN'!$D$68,0.001),IF(OR(M738&lt;=0,N738&lt;=0),999,IF(H738&gt;=0.1*0.75*fc_*Agth*1000,H738/MAX(0.001,1/(1/M738+1/N738-1/(0.75*'KT THAN'!$C$62))),'KT THAN'!$C$32*ABS(J738)/MAX('KT THAN'!$C$68,0.001)+'KT THAN'!$D$32*ABS(I738)/MAX('KT THAN'!$D$68,0.001)))))</f>
        <v/>
      </c>
      <c r="P738" s="37" t="str">
        <f t="shared" si="113"/>
        <v/>
      </c>
      <c r="Q738" s="38" t="str">
        <f>IF($A738="","",MAX(0.001,'KT THAN'!$C$32*ABS(J738)/MAX(1,H738)))</f>
        <v/>
      </c>
      <c r="R738" s="38" t="str">
        <f>IF($A738="","",MAX(0.001,'KT THAN'!$D$32*ABS(I738)/MAX(1,H738)))</f>
        <v/>
      </c>
      <c r="S738" t="str">
        <f t="shared" si="107"/>
        <v/>
      </c>
    </row>
    <row r="739" spans="1:19" hidden="1" outlineLevel="1" x14ac:dyDescent="0.3">
      <c r="A739" s="37" t="str">
        <f>IF(OR(nThan=1,'TO HOP NLAN'!$A295=""),"",'TO HOP NLAN'!$A295)</f>
        <v/>
      </c>
      <c r="B739" s="38" t="str">
        <f>IF($A739="","",'TO HOP NLAN'!$D295)</f>
        <v/>
      </c>
      <c r="C739" s="38" t="str">
        <f>IF($A739="","",'TO HOP NLAN'!$E295)</f>
        <v/>
      </c>
      <c r="D739" s="38" t="str">
        <f>IF($A739="","",'TO HOP NLAN'!$F295)</f>
        <v/>
      </c>
      <c r="E739" s="38" t="str">
        <f>IF($A739="","",'TO HOP NLAN'!$B295)</f>
        <v/>
      </c>
      <c r="F739" s="38" t="str">
        <f>IF($A739="","",'TO HOP NLAN'!$C295)</f>
        <v/>
      </c>
      <c r="G739" s="38" t="str">
        <f t="shared" si="108"/>
        <v/>
      </c>
      <c r="H739" s="38" t="str">
        <f t="shared" si="106"/>
        <v/>
      </c>
      <c r="I739" s="38" t="str">
        <f t="shared" si="109"/>
        <v/>
      </c>
      <c r="J739" s="38" t="str">
        <f t="shared" si="110"/>
        <v/>
      </c>
      <c r="K739" s="38" t="str">
        <f t="shared" si="111"/>
        <v/>
      </c>
      <c r="L739" s="38" t="str">
        <f t="shared" si="112"/>
        <v/>
      </c>
      <c r="M739" s="38" t="str">
        <f>IF($A739="","",IF(H739=0,"",IF(Q739&lt;=0.000000001,MIN(0.8*0.75*'KT THAN'!$C$62,MAX('KT THAN'!$J$38:$J$58)),IFERROR(MIN(0.8*0.75*'KT THAN'!$C$62,INDEX('KT THAN'!$J$38:$J$58,MATCH(Q739,'KT THAN'!$L$38:$L$58,-1))+(INDEX('KT THAN'!$J$38:$J$58,MIN(21,MATCH(Q739,'KT THAN'!$L$38:$L$58,-1)+1))-INDEX('KT THAN'!$J$38:$J$58,MATCH(Q739,'KT THAN'!$L$38:$L$58,-1)))*(Q739-INDEX('KT THAN'!$L$38:$L$58,MATCH(Q739,'KT THAN'!$L$38:$L$58,-1)))/(INDEX('KT THAN'!$L$38:$L$58,MIN(21,MATCH(Q739,'KT THAN'!$L$38:$L$58,-1)+1))-INDEX('KT THAN'!$L$38:$L$58,MATCH(Q739,'KT THAN'!$L$38:$L$58,-1)))),MIN(0.8*0.75*'KT THAN'!$C$62,'KT THAN'!$C$68/Q739)))))</f>
        <v/>
      </c>
      <c r="N739" s="38" t="str">
        <f>IF($A739="","",IF(H739=0,"",IF(R739&lt;=0.000000001,MIN(0.8*0.75*'KT THAN'!$C$62,MAX('KT THAN'!$W$38:$W$58)),IFERROR(MIN(0.8*0.75*'KT THAN'!$C$62,INDEX('KT THAN'!$W$38:$W$58,MATCH(R739,'KT THAN'!$Y$38:$Y$58,-1))+(INDEX('KT THAN'!$W$38:$W$58,MIN(21,MATCH(R739,'KT THAN'!$Y$38:$Y$58,-1)+1))-INDEX('KT THAN'!$W$38:$W$58,MATCH(R739,'KT THAN'!$Y$38:$Y$58,-1)))*(R739-INDEX('KT THAN'!$Y$38:$Y$58,MATCH(R739,'KT THAN'!$Y$38:$Y$58,-1)))/(INDEX('KT THAN'!$Y$38:$Y$58,MIN(21,MATCH(R739,'KT THAN'!$Y$38:$Y$58,-1)+1))-INDEX('KT THAN'!$Y$38:$Y$58,MATCH(R739,'KT THAN'!$Y$38:$Y$58,-1)))),MIN(0.8*0.75*'KT THAN'!$C$62,'KT THAN'!$D$68/R739)))))</f>
        <v/>
      </c>
      <c r="O739" s="38" t="str">
        <f>IF($A739="","",IF(H739&lt;0,ABS(H739)/MAX('KT THAN'!$C$69,0.001)+'KT THAN'!$C$32*ABS(J739)/MAX('KT THAN'!$C$68,0.001)+'KT THAN'!$D$32*ABS(I739)/MAX('KT THAN'!$D$68,0.001),IF(OR(M739&lt;=0,N739&lt;=0),999,IF(H739&gt;=0.1*0.75*fc_*Agth*1000,H739/MAX(0.001,1/(1/M739+1/N739-1/(0.75*'KT THAN'!$C$62))),'KT THAN'!$C$32*ABS(J739)/MAX('KT THAN'!$C$68,0.001)+'KT THAN'!$D$32*ABS(I739)/MAX('KT THAN'!$D$68,0.001)))))</f>
        <v/>
      </c>
      <c r="P739" s="37" t="str">
        <f t="shared" si="113"/>
        <v/>
      </c>
      <c r="Q739" s="38" t="str">
        <f>IF($A739="","",MAX(0.001,'KT THAN'!$C$32*ABS(J739)/MAX(1,H739)))</f>
        <v/>
      </c>
      <c r="R739" s="38" t="str">
        <f>IF($A739="","",MAX(0.001,'KT THAN'!$D$32*ABS(I739)/MAX(1,H739)))</f>
        <v/>
      </c>
      <c r="S739" t="str">
        <f t="shared" si="107"/>
        <v/>
      </c>
    </row>
    <row r="740" spans="1:19" hidden="1" outlineLevel="1" x14ac:dyDescent="0.3">
      <c r="A740" s="37" t="str">
        <f>IF(OR(nThan=1,'TO HOP NLAN'!$A296=""),"",'TO HOP NLAN'!$A296)</f>
        <v/>
      </c>
      <c r="B740" s="38" t="str">
        <f>IF($A740="","",'TO HOP NLAN'!$D296)</f>
        <v/>
      </c>
      <c r="C740" s="38" t="str">
        <f>IF($A740="","",'TO HOP NLAN'!$E296)</f>
        <v/>
      </c>
      <c r="D740" s="38" t="str">
        <f>IF($A740="","",'TO HOP NLAN'!$F296)</f>
        <v/>
      </c>
      <c r="E740" s="38" t="str">
        <f>IF($A740="","",'TO HOP NLAN'!$B296)</f>
        <v/>
      </c>
      <c r="F740" s="38" t="str">
        <f>IF($A740="","",'TO HOP NLAN'!$C296)</f>
        <v/>
      </c>
      <c r="G740" s="38" t="str">
        <f t="shared" si="108"/>
        <v/>
      </c>
      <c r="H740" s="38" t="str">
        <f t="shared" si="106"/>
        <v/>
      </c>
      <c r="I740" s="38" t="str">
        <f t="shared" si="109"/>
        <v/>
      </c>
      <c r="J740" s="38" t="str">
        <f t="shared" si="110"/>
        <v/>
      </c>
      <c r="K740" s="38" t="str">
        <f t="shared" si="111"/>
        <v/>
      </c>
      <c r="L740" s="38" t="str">
        <f t="shared" si="112"/>
        <v/>
      </c>
      <c r="M740" s="38" t="str">
        <f>IF($A740="","",IF(H740=0,"",IF(Q740&lt;=0.000000001,MIN(0.8*0.75*'KT THAN'!$C$62,MAX('KT THAN'!$J$38:$J$58)),IFERROR(MIN(0.8*0.75*'KT THAN'!$C$62,INDEX('KT THAN'!$J$38:$J$58,MATCH(Q740,'KT THAN'!$L$38:$L$58,-1))+(INDEX('KT THAN'!$J$38:$J$58,MIN(21,MATCH(Q740,'KT THAN'!$L$38:$L$58,-1)+1))-INDEX('KT THAN'!$J$38:$J$58,MATCH(Q740,'KT THAN'!$L$38:$L$58,-1)))*(Q740-INDEX('KT THAN'!$L$38:$L$58,MATCH(Q740,'KT THAN'!$L$38:$L$58,-1)))/(INDEX('KT THAN'!$L$38:$L$58,MIN(21,MATCH(Q740,'KT THAN'!$L$38:$L$58,-1)+1))-INDEX('KT THAN'!$L$38:$L$58,MATCH(Q740,'KT THAN'!$L$38:$L$58,-1)))),MIN(0.8*0.75*'KT THAN'!$C$62,'KT THAN'!$C$68/Q740)))))</f>
        <v/>
      </c>
      <c r="N740" s="38" t="str">
        <f>IF($A740="","",IF(H740=0,"",IF(R740&lt;=0.000000001,MIN(0.8*0.75*'KT THAN'!$C$62,MAX('KT THAN'!$W$38:$W$58)),IFERROR(MIN(0.8*0.75*'KT THAN'!$C$62,INDEX('KT THAN'!$W$38:$W$58,MATCH(R740,'KT THAN'!$Y$38:$Y$58,-1))+(INDEX('KT THAN'!$W$38:$W$58,MIN(21,MATCH(R740,'KT THAN'!$Y$38:$Y$58,-1)+1))-INDEX('KT THAN'!$W$38:$W$58,MATCH(R740,'KT THAN'!$Y$38:$Y$58,-1)))*(R740-INDEX('KT THAN'!$Y$38:$Y$58,MATCH(R740,'KT THAN'!$Y$38:$Y$58,-1)))/(INDEX('KT THAN'!$Y$38:$Y$58,MIN(21,MATCH(R740,'KT THAN'!$Y$38:$Y$58,-1)+1))-INDEX('KT THAN'!$Y$38:$Y$58,MATCH(R740,'KT THAN'!$Y$38:$Y$58,-1)))),MIN(0.8*0.75*'KT THAN'!$C$62,'KT THAN'!$D$68/R740)))))</f>
        <v/>
      </c>
      <c r="O740" s="38" t="str">
        <f>IF($A740="","",IF(H740&lt;0,ABS(H740)/MAX('KT THAN'!$C$69,0.001)+'KT THAN'!$C$32*ABS(J740)/MAX('KT THAN'!$C$68,0.001)+'KT THAN'!$D$32*ABS(I740)/MAX('KT THAN'!$D$68,0.001),IF(OR(M740&lt;=0,N740&lt;=0),999,IF(H740&gt;=0.1*0.75*fc_*Agth*1000,H740/MAX(0.001,1/(1/M740+1/N740-1/(0.75*'KT THAN'!$C$62))),'KT THAN'!$C$32*ABS(J740)/MAX('KT THAN'!$C$68,0.001)+'KT THAN'!$D$32*ABS(I740)/MAX('KT THAN'!$D$68,0.001)))))</f>
        <v/>
      </c>
      <c r="P740" s="37" t="str">
        <f t="shared" si="113"/>
        <v/>
      </c>
      <c r="Q740" s="38" t="str">
        <f>IF($A740="","",MAX(0.001,'KT THAN'!$C$32*ABS(J740)/MAX(1,H740)))</f>
        <v/>
      </c>
      <c r="R740" s="38" t="str">
        <f>IF($A740="","",MAX(0.001,'KT THAN'!$D$32*ABS(I740)/MAX(1,H740)))</f>
        <v/>
      </c>
      <c r="S740" t="str">
        <f t="shared" si="107"/>
        <v/>
      </c>
    </row>
    <row r="741" spans="1:19" hidden="1" outlineLevel="1" x14ac:dyDescent="0.3">
      <c r="A741" s="37" t="str">
        <f>IF(OR(nThan=1,'TO HOP NLAN'!$A297=""),"",'TO HOP NLAN'!$A297)</f>
        <v/>
      </c>
      <c r="B741" s="38" t="str">
        <f>IF($A741="","",'TO HOP NLAN'!$D297)</f>
        <v/>
      </c>
      <c r="C741" s="38" t="str">
        <f>IF($A741="","",'TO HOP NLAN'!$E297)</f>
        <v/>
      </c>
      <c r="D741" s="38" t="str">
        <f>IF($A741="","",'TO HOP NLAN'!$F297)</f>
        <v/>
      </c>
      <c r="E741" s="38" t="str">
        <f>IF($A741="","",'TO HOP NLAN'!$B297)</f>
        <v/>
      </c>
      <c r="F741" s="38" t="str">
        <f>IF($A741="","",'TO HOP NLAN'!$C297)</f>
        <v/>
      </c>
      <c r="G741" s="38" t="str">
        <f t="shared" si="108"/>
        <v/>
      </c>
      <c r="H741" s="38" t="str">
        <f t="shared" si="106"/>
        <v/>
      </c>
      <c r="I741" s="38" t="str">
        <f t="shared" si="109"/>
        <v/>
      </c>
      <c r="J741" s="38" t="str">
        <f t="shared" si="110"/>
        <v/>
      </c>
      <c r="K741" s="38" t="str">
        <f t="shared" si="111"/>
        <v/>
      </c>
      <c r="L741" s="38" t="str">
        <f t="shared" si="112"/>
        <v/>
      </c>
      <c r="M741" s="38" t="str">
        <f>IF($A741="","",IF(H741=0,"",IF(Q741&lt;=0.000000001,MIN(0.8*0.75*'KT THAN'!$C$62,MAX('KT THAN'!$J$38:$J$58)),IFERROR(MIN(0.8*0.75*'KT THAN'!$C$62,INDEX('KT THAN'!$J$38:$J$58,MATCH(Q741,'KT THAN'!$L$38:$L$58,-1))+(INDEX('KT THAN'!$J$38:$J$58,MIN(21,MATCH(Q741,'KT THAN'!$L$38:$L$58,-1)+1))-INDEX('KT THAN'!$J$38:$J$58,MATCH(Q741,'KT THAN'!$L$38:$L$58,-1)))*(Q741-INDEX('KT THAN'!$L$38:$L$58,MATCH(Q741,'KT THAN'!$L$38:$L$58,-1)))/(INDEX('KT THAN'!$L$38:$L$58,MIN(21,MATCH(Q741,'KT THAN'!$L$38:$L$58,-1)+1))-INDEX('KT THAN'!$L$38:$L$58,MATCH(Q741,'KT THAN'!$L$38:$L$58,-1)))),MIN(0.8*0.75*'KT THAN'!$C$62,'KT THAN'!$C$68/Q741)))))</f>
        <v/>
      </c>
      <c r="N741" s="38" t="str">
        <f>IF($A741="","",IF(H741=0,"",IF(R741&lt;=0.000000001,MIN(0.8*0.75*'KT THAN'!$C$62,MAX('KT THAN'!$W$38:$W$58)),IFERROR(MIN(0.8*0.75*'KT THAN'!$C$62,INDEX('KT THAN'!$W$38:$W$58,MATCH(R741,'KT THAN'!$Y$38:$Y$58,-1))+(INDEX('KT THAN'!$W$38:$W$58,MIN(21,MATCH(R741,'KT THAN'!$Y$38:$Y$58,-1)+1))-INDEX('KT THAN'!$W$38:$W$58,MATCH(R741,'KT THAN'!$Y$38:$Y$58,-1)))*(R741-INDEX('KT THAN'!$Y$38:$Y$58,MATCH(R741,'KT THAN'!$Y$38:$Y$58,-1)))/(INDEX('KT THAN'!$Y$38:$Y$58,MIN(21,MATCH(R741,'KT THAN'!$Y$38:$Y$58,-1)+1))-INDEX('KT THAN'!$Y$38:$Y$58,MATCH(R741,'KT THAN'!$Y$38:$Y$58,-1)))),MIN(0.8*0.75*'KT THAN'!$C$62,'KT THAN'!$D$68/R741)))))</f>
        <v/>
      </c>
      <c r="O741" s="38" t="str">
        <f>IF($A741="","",IF(H741&lt;0,ABS(H741)/MAX('KT THAN'!$C$69,0.001)+'KT THAN'!$C$32*ABS(J741)/MAX('KT THAN'!$C$68,0.001)+'KT THAN'!$D$32*ABS(I741)/MAX('KT THAN'!$D$68,0.001),IF(OR(M741&lt;=0,N741&lt;=0),999,IF(H741&gt;=0.1*0.75*fc_*Agth*1000,H741/MAX(0.001,1/(1/M741+1/N741-1/(0.75*'KT THAN'!$C$62))),'KT THAN'!$C$32*ABS(J741)/MAX('KT THAN'!$C$68,0.001)+'KT THAN'!$D$32*ABS(I741)/MAX('KT THAN'!$D$68,0.001)))))</f>
        <v/>
      </c>
      <c r="P741" s="37" t="str">
        <f t="shared" si="113"/>
        <v/>
      </c>
      <c r="Q741" s="38" t="str">
        <f>IF($A741="","",MAX(0.001,'KT THAN'!$C$32*ABS(J741)/MAX(1,H741)))</f>
        <v/>
      </c>
      <c r="R741" s="38" t="str">
        <f>IF($A741="","",MAX(0.001,'KT THAN'!$D$32*ABS(I741)/MAX(1,H741)))</f>
        <v/>
      </c>
      <c r="S741" t="str">
        <f t="shared" si="107"/>
        <v/>
      </c>
    </row>
    <row r="742" spans="1:19" hidden="1" outlineLevel="1" x14ac:dyDescent="0.3">
      <c r="A742" s="37" t="str">
        <f>IF(OR(nThan=1,'TO HOP NLAN'!$A298=""),"",'TO HOP NLAN'!$A298)</f>
        <v/>
      </c>
      <c r="B742" s="38" t="str">
        <f>IF($A742="","",'TO HOP NLAN'!$D298)</f>
        <v/>
      </c>
      <c r="C742" s="38" t="str">
        <f>IF($A742="","",'TO HOP NLAN'!$E298)</f>
        <v/>
      </c>
      <c r="D742" s="38" t="str">
        <f>IF($A742="","",'TO HOP NLAN'!$F298)</f>
        <v/>
      </c>
      <c r="E742" s="38" t="str">
        <f>IF($A742="","",'TO HOP NLAN'!$B298)</f>
        <v/>
      </c>
      <c r="F742" s="38" t="str">
        <f>IF($A742="","",'TO HOP NLAN'!$C298)</f>
        <v/>
      </c>
      <c r="G742" s="38" t="str">
        <f t="shared" si="108"/>
        <v/>
      </c>
      <c r="H742" s="38" t="str">
        <f t="shared" si="106"/>
        <v/>
      </c>
      <c r="I742" s="38" t="str">
        <f t="shared" si="109"/>
        <v/>
      </c>
      <c r="J742" s="38" t="str">
        <f t="shared" si="110"/>
        <v/>
      </c>
      <c r="K742" s="38" t="str">
        <f t="shared" si="111"/>
        <v/>
      </c>
      <c r="L742" s="38" t="str">
        <f t="shared" si="112"/>
        <v/>
      </c>
      <c r="M742" s="38" t="str">
        <f>IF($A742="","",IF(H742=0,"",IF(Q742&lt;=0.000000001,MIN(0.8*0.75*'KT THAN'!$C$62,MAX('KT THAN'!$J$38:$J$58)),IFERROR(MIN(0.8*0.75*'KT THAN'!$C$62,INDEX('KT THAN'!$J$38:$J$58,MATCH(Q742,'KT THAN'!$L$38:$L$58,-1))+(INDEX('KT THAN'!$J$38:$J$58,MIN(21,MATCH(Q742,'KT THAN'!$L$38:$L$58,-1)+1))-INDEX('KT THAN'!$J$38:$J$58,MATCH(Q742,'KT THAN'!$L$38:$L$58,-1)))*(Q742-INDEX('KT THAN'!$L$38:$L$58,MATCH(Q742,'KT THAN'!$L$38:$L$58,-1)))/(INDEX('KT THAN'!$L$38:$L$58,MIN(21,MATCH(Q742,'KT THAN'!$L$38:$L$58,-1)+1))-INDEX('KT THAN'!$L$38:$L$58,MATCH(Q742,'KT THAN'!$L$38:$L$58,-1)))),MIN(0.8*0.75*'KT THAN'!$C$62,'KT THAN'!$C$68/Q742)))))</f>
        <v/>
      </c>
      <c r="N742" s="38" t="str">
        <f>IF($A742="","",IF(H742=0,"",IF(R742&lt;=0.000000001,MIN(0.8*0.75*'KT THAN'!$C$62,MAX('KT THAN'!$W$38:$W$58)),IFERROR(MIN(0.8*0.75*'KT THAN'!$C$62,INDEX('KT THAN'!$W$38:$W$58,MATCH(R742,'KT THAN'!$Y$38:$Y$58,-1))+(INDEX('KT THAN'!$W$38:$W$58,MIN(21,MATCH(R742,'KT THAN'!$Y$38:$Y$58,-1)+1))-INDEX('KT THAN'!$W$38:$W$58,MATCH(R742,'KT THAN'!$Y$38:$Y$58,-1)))*(R742-INDEX('KT THAN'!$Y$38:$Y$58,MATCH(R742,'KT THAN'!$Y$38:$Y$58,-1)))/(INDEX('KT THAN'!$Y$38:$Y$58,MIN(21,MATCH(R742,'KT THAN'!$Y$38:$Y$58,-1)+1))-INDEX('KT THAN'!$Y$38:$Y$58,MATCH(R742,'KT THAN'!$Y$38:$Y$58,-1)))),MIN(0.8*0.75*'KT THAN'!$C$62,'KT THAN'!$D$68/R742)))))</f>
        <v/>
      </c>
      <c r="O742" s="38" t="str">
        <f>IF($A742="","",IF(H742&lt;0,ABS(H742)/MAX('KT THAN'!$C$69,0.001)+'KT THAN'!$C$32*ABS(J742)/MAX('KT THAN'!$C$68,0.001)+'KT THAN'!$D$32*ABS(I742)/MAX('KT THAN'!$D$68,0.001),IF(OR(M742&lt;=0,N742&lt;=0),999,IF(H742&gt;=0.1*0.75*fc_*Agth*1000,H742/MAX(0.001,1/(1/M742+1/N742-1/(0.75*'KT THAN'!$C$62))),'KT THAN'!$C$32*ABS(J742)/MAX('KT THAN'!$C$68,0.001)+'KT THAN'!$D$32*ABS(I742)/MAX('KT THAN'!$D$68,0.001)))))</f>
        <v/>
      </c>
      <c r="P742" s="37" t="str">
        <f t="shared" si="113"/>
        <v/>
      </c>
      <c r="Q742" s="38" t="str">
        <f>IF($A742="","",MAX(0.001,'KT THAN'!$C$32*ABS(J742)/MAX(1,H742)))</f>
        <v/>
      </c>
      <c r="R742" s="38" t="str">
        <f>IF($A742="","",MAX(0.001,'KT THAN'!$D$32*ABS(I742)/MAX(1,H742)))</f>
        <v/>
      </c>
      <c r="S742" t="str">
        <f t="shared" si="107"/>
        <v/>
      </c>
    </row>
    <row r="743" spans="1:19" hidden="1" outlineLevel="1" x14ac:dyDescent="0.3">
      <c r="A743" s="37" t="str">
        <f>IF(OR(nThan=1,'TO HOP NLAN'!$A299=""),"",'TO HOP NLAN'!$A299)</f>
        <v/>
      </c>
      <c r="B743" s="38" t="str">
        <f>IF($A743="","",'TO HOP NLAN'!$D299)</f>
        <v/>
      </c>
      <c r="C743" s="38" t="str">
        <f>IF($A743="","",'TO HOP NLAN'!$E299)</f>
        <v/>
      </c>
      <c r="D743" s="38" t="str">
        <f>IF($A743="","",'TO HOP NLAN'!$F299)</f>
        <v/>
      </c>
      <c r="E743" s="38" t="str">
        <f>IF($A743="","",'TO HOP NLAN'!$B299)</f>
        <v/>
      </c>
      <c r="F743" s="38" t="str">
        <f>IF($A743="","",'TO HOP NLAN'!$C299)</f>
        <v/>
      </c>
      <c r="G743" s="38" t="str">
        <f t="shared" si="108"/>
        <v/>
      </c>
      <c r="H743" s="38" t="str">
        <f t="shared" si="106"/>
        <v/>
      </c>
      <c r="I743" s="38" t="str">
        <f t="shared" si="109"/>
        <v/>
      </c>
      <c r="J743" s="38" t="str">
        <f t="shared" si="110"/>
        <v/>
      </c>
      <c r="K743" s="38" t="str">
        <f t="shared" si="111"/>
        <v/>
      </c>
      <c r="L743" s="38" t="str">
        <f t="shared" si="112"/>
        <v/>
      </c>
      <c r="M743" s="38" t="str">
        <f>IF($A743="","",IF(H743=0,"",IF(Q743&lt;=0.000000001,MIN(0.8*0.75*'KT THAN'!$C$62,MAX('KT THAN'!$J$38:$J$58)),IFERROR(MIN(0.8*0.75*'KT THAN'!$C$62,INDEX('KT THAN'!$J$38:$J$58,MATCH(Q743,'KT THAN'!$L$38:$L$58,-1))+(INDEX('KT THAN'!$J$38:$J$58,MIN(21,MATCH(Q743,'KT THAN'!$L$38:$L$58,-1)+1))-INDEX('KT THAN'!$J$38:$J$58,MATCH(Q743,'KT THAN'!$L$38:$L$58,-1)))*(Q743-INDEX('KT THAN'!$L$38:$L$58,MATCH(Q743,'KT THAN'!$L$38:$L$58,-1)))/(INDEX('KT THAN'!$L$38:$L$58,MIN(21,MATCH(Q743,'KT THAN'!$L$38:$L$58,-1)+1))-INDEX('KT THAN'!$L$38:$L$58,MATCH(Q743,'KT THAN'!$L$38:$L$58,-1)))),MIN(0.8*0.75*'KT THAN'!$C$62,'KT THAN'!$C$68/Q743)))))</f>
        <v/>
      </c>
      <c r="N743" s="38" t="str">
        <f>IF($A743="","",IF(H743=0,"",IF(R743&lt;=0.000000001,MIN(0.8*0.75*'KT THAN'!$C$62,MAX('KT THAN'!$W$38:$W$58)),IFERROR(MIN(0.8*0.75*'KT THAN'!$C$62,INDEX('KT THAN'!$W$38:$W$58,MATCH(R743,'KT THAN'!$Y$38:$Y$58,-1))+(INDEX('KT THAN'!$W$38:$W$58,MIN(21,MATCH(R743,'KT THAN'!$Y$38:$Y$58,-1)+1))-INDEX('KT THAN'!$W$38:$W$58,MATCH(R743,'KT THAN'!$Y$38:$Y$58,-1)))*(R743-INDEX('KT THAN'!$Y$38:$Y$58,MATCH(R743,'KT THAN'!$Y$38:$Y$58,-1)))/(INDEX('KT THAN'!$Y$38:$Y$58,MIN(21,MATCH(R743,'KT THAN'!$Y$38:$Y$58,-1)+1))-INDEX('KT THAN'!$Y$38:$Y$58,MATCH(R743,'KT THAN'!$Y$38:$Y$58,-1)))),MIN(0.8*0.75*'KT THAN'!$C$62,'KT THAN'!$D$68/R743)))))</f>
        <v/>
      </c>
      <c r="O743" s="38" t="str">
        <f>IF($A743="","",IF(H743&lt;0,ABS(H743)/MAX('KT THAN'!$C$69,0.001)+'KT THAN'!$C$32*ABS(J743)/MAX('KT THAN'!$C$68,0.001)+'KT THAN'!$D$32*ABS(I743)/MAX('KT THAN'!$D$68,0.001),IF(OR(M743&lt;=0,N743&lt;=0),999,IF(H743&gt;=0.1*0.75*fc_*Agth*1000,H743/MAX(0.001,1/(1/M743+1/N743-1/(0.75*'KT THAN'!$C$62))),'KT THAN'!$C$32*ABS(J743)/MAX('KT THAN'!$C$68,0.001)+'KT THAN'!$D$32*ABS(I743)/MAX('KT THAN'!$D$68,0.001)))))</f>
        <v/>
      </c>
      <c r="P743" s="37" t="str">
        <f t="shared" si="113"/>
        <v/>
      </c>
      <c r="Q743" s="38" t="str">
        <f>IF($A743="","",MAX(0.001,'KT THAN'!$C$32*ABS(J743)/MAX(1,H743)))</f>
        <v/>
      </c>
      <c r="R743" s="38" t="str">
        <f>IF($A743="","",MAX(0.001,'KT THAN'!$D$32*ABS(I743)/MAX(1,H743)))</f>
        <v/>
      </c>
      <c r="S743" t="str">
        <f t="shared" si="107"/>
        <v/>
      </c>
    </row>
    <row r="744" spans="1:19" hidden="1" outlineLevel="1" x14ac:dyDescent="0.3">
      <c r="A744" s="37" t="str">
        <f>IF(OR(nThan=1,'TO HOP NLAN'!$A300=""),"",'TO HOP NLAN'!$A300)</f>
        <v/>
      </c>
      <c r="B744" s="38" t="str">
        <f>IF($A744="","",'TO HOP NLAN'!$D300)</f>
        <v/>
      </c>
      <c r="C744" s="38" t="str">
        <f>IF($A744="","",'TO HOP NLAN'!$E300)</f>
        <v/>
      </c>
      <c r="D744" s="38" t="str">
        <f>IF($A744="","",'TO HOP NLAN'!$F300)</f>
        <v/>
      </c>
      <c r="E744" s="38" t="str">
        <f>IF($A744="","",'TO HOP NLAN'!$B300)</f>
        <v/>
      </c>
      <c r="F744" s="38" t="str">
        <f>IF($A744="","",'TO HOP NLAN'!$C300)</f>
        <v/>
      </c>
      <c r="G744" s="38" t="str">
        <f t="shared" si="108"/>
        <v/>
      </c>
      <c r="H744" s="38" t="str">
        <f t="shared" si="106"/>
        <v/>
      </c>
      <c r="I744" s="38" t="str">
        <f t="shared" si="109"/>
        <v/>
      </c>
      <c r="J744" s="38" t="str">
        <f t="shared" si="110"/>
        <v/>
      </c>
      <c r="K744" s="38" t="str">
        <f t="shared" si="111"/>
        <v/>
      </c>
      <c r="L744" s="38" t="str">
        <f t="shared" si="112"/>
        <v/>
      </c>
      <c r="M744" s="38" t="str">
        <f>IF($A744="","",IF(H744=0,"",IF(Q744&lt;=0.000000001,MIN(0.8*0.75*'KT THAN'!$C$62,MAX('KT THAN'!$J$38:$J$58)),IFERROR(MIN(0.8*0.75*'KT THAN'!$C$62,INDEX('KT THAN'!$J$38:$J$58,MATCH(Q744,'KT THAN'!$L$38:$L$58,-1))+(INDEX('KT THAN'!$J$38:$J$58,MIN(21,MATCH(Q744,'KT THAN'!$L$38:$L$58,-1)+1))-INDEX('KT THAN'!$J$38:$J$58,MATCH(Q744,'KT THAN'!$L$38:$L$58,-1)))*(Q744-INDEX('KT THAN'!$L$38:$L$58,MATCH(Q744,'KT THAN'!$L$38:$L$58,-1)))/(INDEX('KT THAN'!$L$38:$L$58,MIN(21,MATCH(Q744,'KT THAN'!$L$38:$L$58,-1)+1))-INDEX('KT THAN'!$L$38:$L$58,MATCH(Q744,'KT THAN'!$L$38:$L$58,-1)))),MIN(0.8*0.75*'KT THAN'!$C$62,'KT THAN'!$C$68/Q744)))))</f>
        <v/>
      </c>
      <c r="N744" s="38" t="str">
        <f>IF($A744="","",IF(H744=0,"",IF(R744&lt;=0.000000001,MIN(0.8*0.75*'KT THAN'!$C$62,MAX('KT THAN'!$W$38:$W$58)),IFERROR(MIN(0.8*0.75*'KT THAN'!$C$62,INDEX('KT THAN'!$W$38:$W$58,MATCH(R744,'KT THAN'!$Y$38:$Y$58,-1))+(INDEX('KT THAN'!$W$38:$W$58,MIN(21,MATCH(R744,'KT THAN'!$Y$38:$Y$58,-1)+1))-INDEX('KT THAN'!$W$38:$W$58,MATCH(R744,'KT THAN'!$Y$38:$Y$58,-1)))*(R744-INDEX('KT THAN'!$Y$38:$Y$58,MATCH(R744,'KT THAN'!$Y$38:$Y$58,-1)))/(INDEX('KT THAN'!$Y$38:$Y$58,MIN(21,MATCH(R744,'KT THAN'!$Y$38:$Y$58,-1)+1))-INDEX('KT THAN'!$Y$38:$Y$58,MATCH(R744,'KT THAN'!$Y$38:$Y$58,-1)))),MIN(0.8*0.75*'KT THAN'!$C$62,'KT THAN'!$D$68/R744)))))</f>
        <v/>
      </c>
      <c r="O744" s="38" t="str">
        <f>IF($A744="","",IF(H744&lt;0,ABS(H744)/MAX('KT THAN'!$C$69,0.001)+'KT THAN'!$C$32*ABS(J744)/MAX('KT THAN'!$C$68,0.001)+'KT THAN'!$D$32*ABS(I744)/MAX('KT THAN'!$D$68,0.001),IF(OR(M744&lt;=0,N744&lt;=0),999,IF(H744&gt;=0.1*0.75*fc_*Agth*1000,H744/MAX(0.001,1/(1/M744+1/N744-1/(0.75*'KT THAN'!$C$62))),'KT THAN'!$C$32*ABS(J744)/MAX('KT THAN'!$C$68,0.001)+'KT THAN'!$D$32*ABS(I744)/MAX('KT THAN'!$D$68,0.001)))))</f>
        <v/>
      </c>
      <c r="P744" s="37" t="str">
        <f t="shared" si="113"/>
        <v/>
      </c>
      <c r="Q744" s="38" t="str">
        <f>IF($A744="","",MAX(0.001,'KT THAN'!$C$32*ABS(J744)/MAX(1,H744)))</f>
        <v/>
      </c>
      <c r="R744" s="38" t="str">
        <f>IF($A744="","",MAX(0.001,'KT THAN'!$D$32*ABS(I744)/MAX(1,H744)))</f>
        <v/>
      </c>
      <c r="S744" t="str">
        <f t="shared" si="107"/>
        <v/>
      </c>
    </row>
    <row r="745" spans="1:19" hidden="1" outlineLevel="1" x14ac:dyDescent="0.3">
      <c r="A745" s="37" t="str">
        <f>IF(OR(nThan=1,'TO HOP NLAN'!$A301=""),"",'TO HOP NLAN'!$A301)</f>
        <v/>
      </c>
      <c r="B745" s="38" t="str">
        <f>IF($A745="","",'TO HOP NLAN'!$D301)</f>
        <v/>
      </c>
      <c r="C745" s="38" t="str">
        <f>IF($A745="","",'TO HOP NLAN'!$E301)</f>
        <v/>
      </c>
      <c r="D745" s="38" t="str">
        <f>IF($A745="","",'TO HOP NLAN'!$F301)</f>
        <v/>
      </c>
      <c r="E745" s="38" t="str">
        <f>IF($A745="","",'TO HOP NLAN'!$B301)</f>
        <v/>
      </c>
      <c r="F745" s="38" t="str">
        <f>IF($A745="","",'TO HOP NLAN'!$C301)</f>
        <v/>
      </c>
      <c r="G745" s="38" t="str">
        <f t="shared" si="108"/>
        <v/>
      </c>
      <c r="H745" s="38" t="str">
        <f t="shared" si="106"/>
        <v/>
      </c>
      <c r="I745" s="38" t="str">
        <f t="shared" si="109"/>
        <v/>
      </c>
      <c r="J745" s="38" t="str">
        <f t="shared" si="110"/>
        <v/>
      </c>
      <c r="K745" s="38" t="str">
        <f t="shared" si="111"/>
        <v/>
      </c>
      <c r="L745" s="38" t="str">
        <f t="shared" si="112"/>
        <v/>
      </c>
      <c r="M745" s="38" t="str">
        <f>IF($A745="","",IF(H745=0,"",IF(Q745&lt;=0.000000001,MIN(0.8*0.75*'KT THAN'!$C$62,MAX('KT THAN'!$J$38:$J$58)),IFERROR(MIN(0.8*0.75*'KT THAN'!$C$62,INDEX('KT THAN'!$J$38:$J$58,MATCH(Q745,'KT THAN'!$L$38:$L$58,-1))+(INDEX('KT THAN'!$J$38:$J$58,MIN(21,MATCH(Q745,'KT THAN'!$L$38:$L$58,-1)+1))-INDEX('KT THAN'!$J$38:$J$58,MATCH(Q745,'KT THAN'!$L$38:$L$58,-1)))*(Q745-INDEX('KT THAN'!$L$38:$L$58,MATCH(Q745,'KT THAN'!$L$38:$L$58,-1)))/(INDEX('KT THAN'!$L$38:$L$58,MIN(21,MATCH(Q745,'KT THAN'!$L$38:$L$58,-1)+1))-INDEX('KT THAN'!$L$38:$L$58,MATCH(Q745,'KT THAN'!$L$38:$L$58,-1)))),MIN(0.8*0.75*'KT THAN'!$C$62,'KT THAN'!$C$68/Q745)))))</f>
        <v/>
      </c>
      <c r="N745" s="38" t="str">
        <f>IF($A745="","",IF(H745=0,"",IF(R745&lt;=0.000000001,MIN(0.8*0.75*'KT THAN'!$C$62,MAX('KT THAN'!$W$38:$W$58)),IFERROR(MIN(0.8*0.75*'KT THAN'!$C$62,INDEX('KT THAN'!$W$38:$W$58,MATCH(R745,'KT THAN'!$Y$38:$Y$58,-1))+(INDEX('KT THAN'!$W$38:$W$58,MIN(21,MATCH(R745,'KT THAN'!$Y$38:$Y$58,-1)+1))-INDEX('KT THAN'!$W$38:$W$58,MATCH(R745,'KT THAN'!$Y$38:$Y$58,-1)))*(R745-INDEX('KT THAN'!$Y$38:$Y$58,MATCH(R745,'KT THAN'!$Y$38:$Y$58,-1)))/(INDEX('KT THAN'!$Y$38:$Y$58,MIN(21,MATCH(R745,'KT THAN'!$Y$38:$Y$58,-1)+1))-INDEX('KT THAN'!$Y$38:$Y$58,MATCH(R745,'KT THAN'!$Y$38:$Y$58,-1)))),MIN(0.8*0.75*'KT THAN'!$C$62,'KT THAN'!$D$68/R745)))))</f>
        <v/>
      </c>
      <c r="O745" s="38" t="str">
        <f>IF($A745="","",IF(H745&lt;0,ABS(H745)/MAX('KT THAN'!$C$69,0.001)+'KT THAN'!$C$32*ABS(J745)/MAX('KT THAN'!$C$68,0.001)+'KT THAN'!$D$32*ABS(I745)/MAX('KT THAN'!$D$68,0.001),IF(OR(M745&lt;=0,N745&lt;=0),999,IF(H745&gt;=0.1*0.75*fc_*Agth*1000,H745/MAX(0.001,1/(1/M745+1/N745-1/(0.75*'KT THAN'!$C$62))),'KT THAN'!$C$32*ABS(J745)/MAX('KT THAN'!$C$68,0.001)+'KT THAN'!$D$32*ABS(I745)/MAX('KT THAN'!$D$68,0.001)))))</f>
        <v/>
      </c>
      <c r="P745" s="37" t="str">
        <f t="shared" si="113"/>
        <v/>
      </c>
      <c r="Q745" s="38" t="str">
        <f>IF($A745="","",MAX(0.001,'KT THAN'!$C$32*ABS(J745)/MAX(1,H745)))</f>
        <v/>
      </c>
      <c r="R745" s="38" t="str">
        <f>IF($A745="","",MAX(0.001,'KT THAN'!$D$32*ABS(I745)/MAX(1,H745)))</f>
        <v/>
      </c>
      <c r="S745" t="str">
        <f t="shared" si="107"/>
        <v/>
      </c>
    </row>
    <row r="746" spans="1:19" hidden="1" outlineLevel="1" x14ac:dyDescent="0.3">
      <c r="A746" s="37" t="str">
        <f>IF(OR(nThan=1,'TO HOP NLAN'!$A302=""),"",'TO HOP NLAN'!$A302)</f>
        <v/>
      </c>
      <c r="B746" s="38" t="str">
        <f>IF($A746="","",'TO HOP NLAN'!$D302)</f>
        <v/>
      </c>
      <c r="C746" s="38" t="str">
        <f>IF($A746="","",'TO HOP NLAN'!$E302)</f>
        <v/>
      </c>
      <c r="D746" s="38" t="str">
        <f>IF($A746="","",'TO HOP NLAN'!$F302)</f>
        <v/>
      </c>
      <c r="E746" s="38" t="str">
        <f>IF($A746="","",'TO HOP NLAN'!$B302)</f>
        <v/>
      </c>
      <c r="F746" s="38" t="str">
        <f>IF($A746="","",'TO HOP NLAN'!$C302)</f>
        <v/>
      </c>
      <c r="G746" s="38" t="str">
        <f t="shared" si="108"/>
        <v/>
      </c>
      <c r="H746" s="38" t="str">
        <f t="shared" si="106"/>
        <v/>
      </c>
      <c r="I746" s="38" t="str">
        <f t="shared" si="109"/>
        <v/>
      </c>
      <c r="J746" s="38" t="str">
        <f t="shared" si="110"/>
        <v/>
      </c>
      <c r="K746" s="38" t="str">
        <f t="shared" si="111"/>
        <v/>
      </c>
      <c r="L746" s="38" t="str">
        <f t="shared" si="112"/>
        <v/>
      </c>
      <c r="M746" s="38" t="str">
        <f>IF($A746="","",IF(H746=0,"",IF(Q746&lt;=0.000000001,MIN(0.8*0.75*'KT THAN'!$C$62,MAX('KT THAN'!$J$38:$J$58)),IFERROR(MIN(0.8*0.75*'KT THAN'!$C$62,INDEX('KT THAN'!$J$38:$J$58,MATCH(Q746,'KT THAN'!$L$38:$L$58,-1))+(INDEX('KT THAN'!$J$38:$J$58,MIN(21,MATCH(Q746,'KT THAN'!$L$38:$L$58,-1)+1))-INDEX('KT THAN'!$J$38:$J$58,MATCH(Q746,'KT THAN'!$L$38:$L$58,-1)))*(Q746-INDEX('KT THAN'!$L$38:$L$58,MATCH(Q746,'KT THAN'!$L$38:$L$58,-1)))/(INDEX('KT THAN'!$L$38:$L$58,MIN(21,MATCH(Q746,'KT THAN'!$L$38:$L$58,-1)+1))-INDEX('KT THAN'!$L$38:$L$58,MATCH(Q746,'KT THAN'!$L$38:$L$58,-1)))),MIN(0.8*0.75*'KT THAN'!$C$62,'KT THAN'!$C$68/Q746)))))</f>
        <v/>
      </c>
      <c r="N746" s="38" t="str">
        <f>IF($A746="","",IF(H746=0,"",IF(R746&lt;=0.000000001,MIN(0.8*0.75*'KT THAN'!$C$62,MAX('KT THAN'!$W$38:$W$58)),IFERROR(MIN(0.8*0.75*'KT THAN'!$C$62,INDEX('KT THAN'!$W$38:$W$58,MATCH(R746,'KT THAN'!$Y$38:$Y$58,-1))+(INDEX('KT THAN'!$W$38:$W$58,MIN(21,MATCH(R746,'KT THAN'!$Y$38:$Y$58,-1)+1))-INDEX('KT THAN'!$W$38:$W$58,MATCH(R746,'KT THAN'!$Y$38:$Y$58,-1)))*(R746-INDEX('KT THAN'!$Y$38:$Y$58,MATCH(R746,'KT THAN'!$Y$38:$Y$58,-1)))/(INDEX('KT THAN'!$Y$38:$Y$58,MIN(21,MATCH(R746,'KT THAN'!$Y$38:$Y$58,-1)+1))-INDEX('KT THAN'!$Y$38:$Y$58,MATCH(R746,'KT THAN'!$Y$38:$Y$58,-1)))),MIN(0.8*0.75*'KT THAN'!$C$62,'KT THAN'!$D$68/R746)))))</f>
        <v/>
      </c>
      <c r="O746" s="38" t="str">
        <f>IF($A746="","",IF(H746&lt;0,ABS(H746)/MAX('KT THAN'!$C$69,0.001)+'KT THAN'!$C$32*ABS(J746)/MAX('KT THAN'!$C$68,0.001)+'KT THAN'!$D$32*ABS(I746)/MAX('KT THAN'!$D$68,0.001),IF(OR(M746&lt;=0,N746&lt;=0),999,IF(H746&gt;=0.1*0.75*fc_*Agth*1000,H746/MAX(0.001,1/(1/M746+1/N746-1/(0.75*'KT THAN'!$C$62))),'KT THAN'!$C$32*ABS(J746)/MAX('KT THAN'!$C$68,0.001)+'KT THAN'!$D$32*ABS(I746)/MAX('KT THAN'!$D$68,0.001)))))</f>
        <v/>
      </c>
      <c r="P746" s="37" t="str">
        <f t="shared" si="113"/>
        <v/>
      </c>
      <c r="Q746" s="38" t="str">
        <f>IF($A746="","",MAX(0.001,'KT THAN'!$C$32*ABS(J746)/MAX(1,H746)))</f>
        <v/>
      </c>
      <c r="R746" s="38" t="str">
        <f>IF($A746="","",MAX(0.001,'KT THAN'!$D$32*ABS(I746)/MAX(1,H746)))</f>
        <v/>
      </c>
      <c r="S746" t="str">
        <f t="shared" si="107"/>
        <v/>
      </c>
    </row>
    <row r="747" spans="1:19" hidden="1" outlineLevel="1" x14ac:dyDescent="0.3">
      <c r="A747" s="37" t="str">
        <f>IF(OR(nThan=1,'TO HOP NLAN'!$A303=""),"",'TO HOP NLAN'!$A303)</f>
        <v/>
      </c>
      <c r="B747" s="38" t="str">
        <f>IF($A747="","",'TO HOP NLAN'!$D303)</f>
        <v/>
      </c>
      <c r="C747" s="38" t="str">
        <f>IF($A747="","",'TO HOP NLAN'!$E303)</f>
        <v/>
      </c>
      <c r="D747" s="38" t="str">
        <f>IF($A747="","",'TO HOP NLAN'!$F303)</f>
        <v/>
      </c>
      <c r="E747" s="38" t="str">
        <f>IF($A747="","",'TO HOP NLAN'!$B303)</f>
        <v/>
      </c>
      <c r="F747" s="38" t="str">
        <f>IF($A747="","",'TO HOP NLAN'!$C303)</f>
        <v/>
      </c>
      <c r="G747" s="38" t="str">
        <f t="shared" si="108"/>
        <v/>
      </c>
      <c r="H747" s="38" t="str">
        <f t="shared" si="106"/>
        <v/>
      </c>
      <c r="I747" s="38" t="str">
        <f t="shared" si="109"/>
        <v/>
      </c>
      <c r="J747" s="38" t="str">
        <f t="shared" si="110"/>
        <v/>
      </c>
      <c r="K747" s="38" t="str">
        <f t="shared" si="111"/>
        <v/>
      </c>
      <c r="L747" s="38" t="str">
        <f t="shared" si="112"/>
        <v/>
      </c>
      <c r="M747" s="38" t="str">
        <f>IF($A747="","",IF(H747=0,"",IF(Q747&lt;=0.000000001,MIN(0.8*0.75*'KT THAN'!$C$62,MAX('KT THAN'!$J$38:$J$58)),IFERROR(MIN(0.8*0.75*'KT THAN'!$C$62,INDEX('KT THAN'!$J$38:$J$58,MATCH(Q747,'KT THAN'!$L$38:$L$58,-1))+(INDEX('KT THAN'!$J$38:$J$58,MIN(21,MATCH(Q747,'KT THAN'!$L$38:$L$58,-1)+1))-INDEX('KT THAN'!$J$38:$J$58,MATCH(Q747,'KT THAN'!$L$38:$L$58,-1)))*(Q747-INDEX('KT THAN'!$L$38:$L$58,MATCH(Q747,'KT THAN'!$L$38:$L$58,-1)))/(INDEX('KT THAN'!$L$38:$L$58,MIN(21,MATCH(Q747,'KT THAN'!$L$38:$L$58,-1)+1))-INDEX('KT THAN'!$L$38:$L$58,MATCH(Q747,'KT THAN'!$L$38:$L$58,-1)))),MIN(0.8*0.75*'KT THAN'!$C$62,'KT THAN'!$C$68/Q747)))))</f>
        <v/>
      </c>
      <c r="N747" s="38" t="str">
        <f>IF($A747="","",IF(H747=0,"",IF(R747&lt;=0.000000001,MIN(0.8*0.75*'KT THAN'!$C$62,MAX('KT THAN'!$W$38:$W$58)),IFERROR(MIN(0.8*0.75*'KT THAN'!$C$62,INDEX('KT THAN'!$W$38:$W$58,MATCH(R747,'KT THAN'!$Y$38:$Y$58,-1))+(INDEX('KT THAN'!$W$38:$W$58,MIN(21,MATCH(R747,'KT THAN'!$Y$38:$Y$58,-1)+1))-INDEX('KT THAN'!$W$38:$W$58,MATCH(R747,'KT THAN'!$Y$38:$Y$58,-1)))*(R747-INDEX('KT THAN'!$Y$38:$Y$58,MATCH(R747,'KT THAN'!$Y$38:$Y$58,-1)))/(INDEX('KT THAN'!$Y$38:$Y$58,MIN(21,MATCH(R747,'KT THAN'!$Y$38:$Y$58,-1)+1))-INDEX('KT THAN'!$Y$38:$Y$58,MATCH(R747,'KT THAN'!$Y$38:$Y$58,-1)))),MIN(0.8*0.75*'KT THAN'!$C$62,'KT THAN'!$D$68/R747)))))</f>
        <v/>
      </c>
      <c r="O747" s="38" t="str">
        <f>IF($A747="","",IF(H747&lt;0,ABS(H747)/MAX('KT THAN'!$C$69,0.001)+'KT THAN'!$C$32*ABS(J747)/MAX('KT THAN'!$C$68,0.001)+'KT THAN'!$D$32*ABS(I747)/MAX('KT THAN'!$D$68,0.001),IF(OR(M747&lt;=0,N747&lt;=0),999,IF(H747&gt;=0.1*0.75*fc_*Agth*1000,H747/MAX(0.001,1/(1/M747+1/N747-1/(0.75*'KT THAN'!$C$62))),'KT THAN'!$C$32*ABS(J747)/MAX('KT THAN'!$C$68,0.001)+'KT THAN'!$D$32*ABS(I747)/MAX('KT THAN'!$D$68,0.001)))))</f>
        <v/>
      </c>
      <c r="P747" s="37" t="str">
        <f t="shared" si="113"/>
        <v/>
      </c>
      <c r="Q747" s="38" t="str">
        <f>IF($A747="","",MAX(0.001,'KT THAN'!$C$32*ABS(J747)/MAX(1,H747)))</f>
        <v/>
      </c>
      <c r="R747" s="38" t="str">
        <f>IF($A747="","",MAX(0.001,'KT THAN'!$D$32*ABS(I747)/MAX(1,H747)))</f>
        <v/>
      </c>
      <c r="S747" t="str">
        <f t="shared" si="107"/>
        <v/>
      </c>
    </row>
    <row r="748" spans="1:19" hidden="1" outlineLevel="1" x14ac:dyDescent="0.3">
      <c r="A748" s="37" t="str">
        <f>IF(OR(nThan=1,'TO HOP NLAN'!$A304=""),"",'TO HOP NLAN'!$A304)</f>
        <v/>
      </c>
      <c r="B748" s="38" t="str">
        <f>IF($A748="","",'TO HOP NLAN'!$D304)</f>
        <v/>
      </c>
      <c r="C748" s="38" t="str">
        <f>IF($A748="","",'TO HOP NLAN'!$E304)</f>
        <v/>
      </c>
      <c r="D748" s="38" t="str">
        <f>IF($A748="","",'TO HOP NLAN'!$F304)</f>
        <v/>
      </c>
      <c r="E748" s="38" t="str">
        <f>IF($A748="","",'TO HOP NLAN'!$B304)</f>
        <v/>
      </c>
      <c r="F748" s="38" t="str">
        <f>IF($A748="","",'TO HOP NLAN'!$C304)</f>
        <v/>
      </c>
      <c r="G748" s="38" t="str">
        <f t="shared" si="108"/>
        <v/>
      </c>
      <c r="H748" s="38" t="str">
        <f t="shared" si="106"/>
        <v/>
      </c>
      <c r="I748" s="38" t="str">
        <f t="shared" si="109"/>
        <v/>
      </c>
      <c r="J748" s="38" t="str">
        <f t="shared" si="110"/>
        <v/>
      </c>
      <c r="K748" s="38" t="str">
        <f t="shared" si="111"/>
        <v/>
      </c>
      <c r="L748" s="38" t="str">
        <f t="shared" si="112"/>
        <v/>
      </c>
      <c r="M748" s="38" t="str">
        <f>IF($A748="","",IF(H748=0,"",IF(Q748&lt;=0.000000001,MIN(0.8*0.75*'KT THAN'!$C$62,MAX('KT THAN'!$J$38:$J$58)),IFERROR(MIN(0.8*0.75*'KT THAN'!$C$62,INDEX('KT THAN'!$J$38:$J$58,MATCH(Q748,'KT THAN'!$L$38:$L$58,-1))+(INDEX('KT THAN'!$J$38:$J$58,MIN(21,MATCH(Q748,'KT THAN'!$L$38:$L$58,-1)+1))-INDEX('KT THAN'!$J$38:$J$58,MATCH(Q748,'KT THAN'!$L$38:$L$58,-1)))*(Q748-INDEX('KT THAN'!$L$38:$L$58,MATCH(Q748,'KT THAN'!$L$38:$L$58,-1)))/(INDEX('KT THAN'!$L$38:$L$58,MIN(21,MATCH(Q748,'KT THAN'!$L$38:$L$58,-1)+1))-INDEX('KT THAN'!$L$38:$L$58,MATCH(Q748,'KT THAN'!$L$38:$L$58,-1)))),MIN(0.8*0.75*'KT THAN'!$C$62,'KT THAN'!$C$68/Q748)))))</f>
        <v/>
      </c>
      <c r="N748" s="38" t="str">
        <f>IF($A748="","",IF(H748=0,"",IF(R748&lt;=0.000000001,MIN(0.8*0.75*'KT THAN'!$C$62,MAX('KT THAN'!$W$38:$W$58)),IFERROR(MIN(0.8*0.75*'KT THAN'!$C$62,INDEX('KT THAN'!$W$38:$W$58,MATCH(R748,'KT THAN'!$Y$38:$Y$58,-1))+(INDEX('KT THAN'!$W$38:$W$58,MIN(21,MATCH(R748,'KT THAN'!$Y$38:$Y$58,-1)+1))-INDEX('KT THAN'!$W$38:$W$58,MATCH(R748,'KT THAN'!$Y$38:$Y$58,-1)))*(R748-INDEX('KT THAN'!$Y$38:$Y$58,MATCH(R748,'KT THAN'!$Y$38:$Y$58,-1)))/(INDEX('KT THAN'!$Y$38:$Y$58,MIN(21,MATCH(R748,'KT THAN'!$Y$38:$Y$58,-1)+1))-INDEX('KT THAN'!$Y$38:$Y$58,MATCH(R748,'KT THAN'!$Y$38:$Y$58,-1)))),MIN(0.8*0.75*'KT THAN'!$C$62,'KT THAN'!$D$68/R748)))))</f>
        <v/>
      </c>
      <c r="O748" s="38" t="str">
        <f>IF($A748="","",IF(H748&lt;0,ABS(H748)/MAX('KT THAN'!$C$69,0.001)+'KT THAN'!$C$32*ABS(J748)/MAX('KT THAN'!$C$68,0.001)+'KT THAN'!$D$32*ABS(I748)/MAX('KT THAN'!$D$68,0.001),IF(OR(M748&lt;=0,N748&lt;=0),999,IF(H748&gt;=0.1*0.75*fc_*Agth*1000,H748/MAX(0.001,1/(1/M748+1/N748-1/(0.75*'KT THAN'!$C$62))),'KT THAN'!$C$32*ABS(J748)/MAX('KT THAN'!$C$68,0.001)+'KT THAN'!$D$32*ABS(I748)/MAX('KT THAN'!$D$68,0.001)))))</f>
        <v/>
      </c>
      <c r="P748" s="37" t="str">
        <f t="shared" si="113"/>
        <v/>
      </c>
      <c r="Q748" s="38" t="str">
        <f>IF($A748="","",MAX(0.001,'KT THAN'!$C$32*ABS(J748)/MAX(1,H748)))</f>
        <v/>
      </c>
      <c r="R748" s="38" t="str">
        <f>IF($A748="","",MAX(0.001,'KT THAN'!$D$32*ABS(I748)/MAX(1,H748)))</f>
        <v/>
      </c>
      <c r="S748" t="str">
        <f t="shared" si="107"/>
        <v/>
      </c>
    </row>
    <row r="749" spans="1:19" hidden="1" outlineLevel="1" x14ac:dyDescent="0.3">
      <c r="A749" s="37" t="str">
        <f>IF(OR(nThan=1,'TO HOP NLAN'!$A305=""),"",'TO HOP NLAN'!$A305)</f>
        <v/>
      </c>
      <c r="B749" s="38" t="str">
        <f>IF($A749="","",'TO HOP NLAN'!$D305)</f>
        <v/>
      </c>
      <c r="C749" s="38" t="str">
        <f>IF($A749="","",'TO HOP NLAN'!$E305)</f>
        <v/>
      </c>
      <c r="D749" s="38" t="str">
        <f>IF($A749="","",'TO HOP NLAN'!$F305)</f>
        <v/>
      </c>
      <c r="E749" s="38" t="str">
        <f>IF($A749="","",'TO HOP NLAN'!$B305)</f>
        <v/>
      </c>
      <c r="F749" s="38" t="str">
        <f>IF($A749="","",'TO HOP NLAN'!$C305)</f>
        <v/>
      </c>
      <c r="G749" s="38" t="str">
        <f t="shared" si="108"/>
        <v/>
      </c>
      <c r="H749" s="38" t="str">
        <f t="shared" si="106"/>
        <v/>
      </c>
      <c r="I749" s="38" t="str">
        <f t="shared" si="109"/>
        <v/>
      </c>
      <c r="J749" s="38" t="str">
        <f t="shared" si="110"/>
        <v/>
      </c>
      <c r="K749" s="38" t="str">
        <f t="shared" si="111"/>
        <v/>
      </c>
      <c r="L749" s="38" t="str">
        <f t="shared" si="112"/>
        <v/>
      </c>
      <c r="M749" s="38" t="str">
        <f>IF($A749="","",IF(H749=0,"",IF(Q749&lt;=0.000000001,MIN(0.8*0.75*'KT THAN'!$C$62,MAX('KT THAN'!$J$38:$J$58)),IFERROR(MIN(0.8*0.75*'KT THAN'!$C$62,INDEX('KT THAN'!$J$38:$J$58,MATCH(Q749,'KT THAN'!$L$38:$L$58,-1))+(INDEX('KT THAN'!$J$38:$J$58,MIN(21,MATCH(Q749,'KT THAN'!$L$38:$L$58,-1)+1))-INDEX('KT THAN'!$J$38:$J$58,MATCH(Q749,'KT THAN'!$L$38:$L$58,-1)))*(Q749-INDEX('KT THAN'!$L$38:$L$58,MATCH(Q749,'KT THAN'!$L$38:$L$58,-1)))/(INDEX('KT THAN'!$L$38:$L$58,MIN(21,MATCH(Q749,'KT THAN'!$L$38:$L$58,-1)+1))-INDEX('KT THAN'!$L$38:$L$58,MATCH(Q749,'KT THAN'!$L$38:$L$58,-1)))),MIN(0.8*0.75*'KT THAN'!$C$62,'KT THAN'!$C$68/Q749)))))</f>
        <v/>
      </c>
      <c r="N749" s="38" t="str">
        <f>IF($A749="","",IF(H749=0,"",IF(R749&lt;=0.000000001,MIN(0.8*0.75*'KT THAN'!$C$62,MAX('KT THAN'!$W$38:$W$58)),IFERROR(MIN(0.8*0.75*'KT THAN'!$C$62,INDEX('KT THAN'!$W$38:$W$58,MATCH(R749,'KT THAN'!$Y$38:$Y$58,-1))+(INDEX('KT THAN'!$W$38:$W$58,MIN(21,MATCH(R749,'KT THAN'!$Y$38:$Y$58,-1)+1))-INDEX('KT THAN'!$W$38:$W$58,MATCH(R749,'KT THAN'!$Y$38:$Y$58,-1)))*(R749-INDEX('KT THAN'!$Y$38:$Y$58,MATCH(R749,'KT THAN'!$Y$38:$Y$58,-1)))/(INDEX('KT THAN'!$Y$38:$Y$58,MIN(21,MATCH(R749,'KT THAN'!$Y$38:$Y$58,-1)+1))-INDEX('KT THAN'!$Y$38:$Y$58,MATCH(R749,'KT THAN'!$Y$38:$Y$58,-1)))),MIN(0.8*0.75*'KT THAN'!$C$62,'KT THAN'!$D$68/R749)))))</f>
        <v/>
      </c>
      <c r="O749" s="38" t="str">
        <f>IF($A749="","",IF(H749&lt;0,ABS(H749)/MAX('KT THAN'!$C$69,0.001)+'KT THAN'!$C$32*ABS(J749)/MAX('KT THAN'!$C$68,0.001)+'KT THAN'!$D$32*ABS(I749)/MAX('KT THAN'!$D$68,0.001),IF(OR(M749&lt;=0,N749&lt;=0),999,IF(H749&gt;=0.1*0.75*fc_*Agth*1000,H749/MAX(0.001,1/(1/M749+1/N749-1/(0.75*'KT THAN'!$C$62))),'KT THAN'!$C$32*ABS(J749)/MAX('KT THAN'!$C$68,0.001)+'KT THAN'!$D$32*ABS(I749)/MAX('KT THAN'!$D$68,0.001)))))</f>
        <v/>
      </c>
      <c r="P749" s="37" t="str">
        <f t="shared" si="113"/>
        <v/>
      </c>
      <c r="Q749" s="38" t="str">
        <f>IF($A749="","",MAX(0.001,'KT THAN'!$C$32*ABS(J749)/MAX(1,H749)))</f>
        <v/>
      </c>
      <c r="R749" s="38" t="str">
        <f>IF($A749="","",MAX(0.001,'KT THAN'!$D$32*ABS(I749)/MAX(1,H749)))</f>
        <v/>
      </c>
      <c r="S749" t="str">
        <f t="shared" si="107"/>
        <v/>
      </c>
    </row>
    <row r="750" spans="1:19" hidden="1" outlineLevel="1" x14ac:dyDescent="0.3">
      <c r="A750" s="37" t="str">
        <f>IF(OR(nThan=1,'TO HOP NLAN'!$A306=""),"",'TO HOP NLAN'!$A306)</f>
        <v/>
      </c>
      <c r="B750" s="38" t="str">
        <f>IF($A750="","",'TO HOP NLAN'!$D306)</f>
        <v/>
      </c>
      <c r="C750" s="38" t="str">
        <f>IF($A750="","",'TO HOP NLAN'!$E306)</f>
        <v/>
      </c>
      <c r="D750" s="38" t="str">
        <f>IF($A750="","",'TO HOP NLAN'!$F306)</f>
        <v/>
      </c>
      <c r="E750" s="38" t="str">
        <f>IF($A750="","",'TO HOP NLAN'!$B306)</f>
        <v/>
      </c>
      <c r="F750" s="38" t="str">
        <f>IF($A750="","",'TO HOP NLAN'!$C306)</f>
        <v/>
      </c>
      <c r="G750" s="38" t="str">
        <f t="shared" si="108"/>
        <v/>
      </c>
      <c r="H750" s="38" t="str">
        <f t="shared" si="106"/>
        <v/>
      </c>
      <c r="I750" s="38" t="str">
        <f t="shared" si="109"/>
        <v/>
      </c>
      <c r="J750" s="38" t="str">
        <f t="shared" si="110"/>
        <v/>
      </c>
      <c r="K750" s="38" t="str">
        <f t="shared" si="111"/>
        <v/>
      </c>
      <c r="L750" s="38" t="str">
        <f t="shared" si="112"/>
        <v/>
      </c>
      <c r="M750" s="38" t="str">
        <f>IF($A750="","",IF(H750=0,"",IF(Q750&lt;=0.000000001,MIN(0.8*0.75*'KT THAN'!$C$62,MAX('KT THAN'!$J$38:$J$58)),IFERROR(MIN(0.8*0.75*'KT THAN'!$C$62,INDEX('KT THAN'!$J$38:$J$58,MATCH(Q750,'KT THAN'!$L$38:$L$58,-1))+(INDEX('KT THAN'!$J$38:$J$58,MIN(21,MATCH(Q750,'KT THAN'!$L$38:$L$58,-1)+1))-INDEX('KT THAN'!$J$38:$J$58,MATCH(Q750,'KT THAN'!$L$38:$L$58,-1)))*(Q750-INDEX('KT THAN'!$L$38:$L$58,MATCH(Q750,'KT THAN'!$L$38:$L$58,-1)))/(INDEX('KT THAN'!$L$38:$L$58,MIN(21,MATCH(Q750,'KT THAN'!$L$38:$L$58,-1)+1))-INDEX('KT THAN'!$L$38:$L$58,MATCH(Q750,'KT THAN'!$L$38:$L$58,-1)))),MIN(0.8*0.75*'KT THAN'!$C$62,'KT THAN'!$C$68/Q750)))))</f>
        <v/>
      </c>
      <c r="N750" s="38" t="str">
        <f>IF($A750="","",IF(H750=0,"",IF(R750&lt;=0.000000001,MIN(0.8*0.75*'KT THAN'!$C$62,MAX('KT THAN'!$W$38:$W$58)),IFERROR(MIN(0.8*0.75*'KT THAN'!$C$62,INDEX('KT THAN'!$W$38:$W$58,MATCH(R750,'KT THAN'!$Y$38:$Y$58,-1))+(INDEX('KT THAN'!$W$38:$W$58,MIN(21,MATCH(R750,'KT THAN'!$Y$38:$Y$58,-1)+1))-INDEX('KT THAN'!$W$38:$W$58,MATCH(R750,'KT THAN'!$Y$38:$Y$58,-1)))*(R750-INDEX('KT THAN'!$Y$38:$Y$58,MATCH(R750,'KT THAN'!$Y$38:$Y$58,-1)))/(INDEX('KT THAN'!$Y$38:$Y$58,MIN(21,MATCH(R750,'KT THAN'!$Y$38:$Y$58,-1)+1))-INDEX('KT THAN'!$Y$38:$Y$58,MATCH(R750,'KT THAN'!$Y$38:$Y$58,-1)))),MIN(0.8*0.75*'KT THAN'!$C$62,'KT THAN'!$D$68/R750)))))</f>
        <v/>
      </c>
      <c r="O750" s="38" t="str">
        <f>IF($A750="","",IF(H750&lt;0,ABS(H750)/MAX('KT THAN'!$C$69,0.001)+'KT THAN'!$C$32*ABS(J750)/MAX('KT THAN'!$C$68,0.001)+'KT THAN'!$D$32*ABS(I750)/MAX('KT THAN'!$D$68,0.001),IF(OR(M750&lt;=0,N750&lt;=0),999,IF(H750&gt;=0.1*0.75*fc_*Agth*1000,H750/MAX(0.001,1/(1/M750+1/N750-1/(0.75*'KT THAN'!$C$62))),'KT THAN'!$C$32*ABS(J750)/MAX('KT THAN'!$C$68,0.001)+'KT THAN'!$D$32*ABS(I750)/MAX('KT THAN'!$D$68,0.001)))))</f>
        <v/>
      </c>
      <c r="P750" s="37" t="str">
        <f t="shared" si="113"/>
        <v/>
      </c>
      <c r="Q750" s="38" t="str">
        <f>IF($A750="","",MAX(0.001,'KT THAN'!$C$32*ABS(J750)/MAX(1,H750)))</f>
        <v/>
      </c>
      <c r="R750" s="38" t="str">
        <f>IF($A750="","",MAX(0.001,'KT THAN'!$D$32*ABS(I750)/MAX(1,H750)))</f>
        <v/>
      </c>
      <c r="S750" t="str">
        <f t="shared" si="107"/>
        <v/>
      </c>
    </row>
    <row r="751" spans="1:19" hidden="1" outlineLevel="1" x14ac:dyDescent="0.3">
      <c r="A751" s="37" t="str">
        <f>IF(OR(nThan=1,'TO HOP NLAN'!$A307=""),"",'TO HOP NLAN'!$A307)</f>
        <v/>
      </c>
      <c r="B751" s="38" t="str">
        <f>IF($A751="","",'TO HOP NLAN'!$D307)</f>
        <v/>
      </c>
      <c r="C751" s="38" t="str">
        <f>IF($A751="","",'TO HOP NLAN'!$E307)</f>
        <v/>
      </c>
      <c r="D751" s="38" t="str">
        <f>IF($A751="","",'TO HOP NLAN'!$F307)</f>
        <v/>
      </c>
      <c r="E751" s="38" t="str">
        <f>IF($A751="","",'TO HOP NLAN'!$B307)</f>
        <v/>
      </c>
      <c r="F751" s="38" t="str">
        <f>IF($A751="","",'TO HOP NLAN'!$C307)</f>
        <v/>
      </c>
      <c r="G751" s="38" t="str">
        <f t="shared" si="108"/>
        <v/>
      </c>
      <c r="H751" s="38" t="str">
        <f t="shared" si="106"/>
        <v/>
      </c>
      <c r="I751" s="38" t="str">
        <f t="shared" si="109"/>
        <v/>
      </c>
      <c r="J751" s="38" t="str">
        <f t="shared" si="110"/>
        <v/>
      </c>
      <c r="K751" s="38" t="str">
        <f t="shared" si="111"/>
        <v/>
      </c>
      <c r="L751" s="38" t="str">
        <f t="shared" si="112"/>
        <v/>
      </c>
      <c r="M751" s="38" t="str">
        <f>IF($A751="","",IF(H751=0,"",IF(Q751&lt;=0.000000001,MIN(0.8*0.75*'KT THAN'!$C$62,MAX('KT THAN'!$J$38:$J$58)),IFERROR(MIN(0.8*0.75*'KT THAN'!$C$62,INDEX('KT THAN'!$J$38:$J$58,MATCH(Q751,'KT THAN'!$L$38:$L$58,-1))+(INDEX('KT THAN'!$J$38:$J$58,MIN(21,MATCH(Q751,'KT THAN'!$L$38:$L$58,-1)+1))-INDEX('KT THAN'!$J$38:$J$58,MATCH(Q751,'KT THAN'!$L$38:$L$58,-1)))*(Q751-INDEX('KT THAN'!$L$38:$L$58,MATCH(Q751,'KT THAN'!$L$38:$L$58,-1)))/(INDEX('KT THAN'!$L$38:$L$58,MIN(21,MATCH(Q751,'KT THAN'!$L$38:$L$58,-1)+1))-INDEX('KT THAN'!$L$38:$L$58,MATCH(Q751,'KT THAN'!$L$38:$L$58,-1)))),MIN(0.8*0.75*'KT THAN'!$C$62,'KT THAN'!$C$68/Q751)))))</f>
        <v/>
      </c>
      <c r="N751" s="38" t="str">
        <f>IF($A751="","",IF(H751=0,"",IF(R751&lt;=0.000000001,MIN(0.8*0.75*'KT THAN'!$C$62,MAX('KT THAN'!$W$38:$W$58)),IFERROR(MIN(0.8*0.75*'KT THAN'!$C$62,INDEX('KT THAN'!$W$38:$W$58,MATCH(R751,'KT THAN'!$Y$38:$Y$58,-1))+(INDEX('KT THAN'!$W$38:$W$58,MIN(21,MATCH(R751,'KT THAN'!$Y$38:$Y$58,-1)+1))-INDEX('KT THAN'!$W$38:$W$58,MATCH(R751,'KT THAN'!$Y$38:$Y$58,-1)))*(R751-INDEX('KT THAN'!$Y$38:$Y$58,MATCH(R751,'KT THAN'!$Y$38:$Y$58,-1)))/(INDEX('KT THAN'!$Y$38:$Y$58,MIN(21,MATCH(R751,'KT THAN'!$Y$38:$Y$58,-1)+1))-INDEX('KT THAN'!$Y$38:$Y$58,MATCH(R751,'KT THAN'!$Y$38:$Y$58,-1)))),MIN(0.8*0.75*'KT THAN'!$C$62,'KT THAN'!$D$68/R751)))))</f>
        <v/>
      </c>
      <c r="O751" s="38" t="str">
        <f>IF($A751="","",IF(H751&lt;0,ABS(H751)/MAX('KT THAN'!$C$69,0.001)+'KT THAN'!$C$32*ABS(J751)/MAX('KT THAN'!$C$68,0.001)+'KT THAN'!$D$32*ABS(I751)/MAX('KT THAN'!$D$68,0.001),IF(OR(M751&lt;=0,N751&lt;=0),999,IF(H751&gt;=0.1*0.75*fc_*Agth*1000,H751/MAX(0.001,1/(1/M751+1/N751-1/(0.75*'KT THAN'!$C$62))),'KT THAN'!$C$32*ABS(J751)/MAX('KT THAN'!$C$68,0.001)+'KT THAN'!$D$32*ABS(I751)/MAX('KT THAN'!$D$68,0.001)))))</f>
        <v/>
      </c>
      <c r="P751" s="37" t="str">
        <f t="shared" si="113"/>
        <v/>
      </c>
      <c r="Q751" s="38" t="str">
        <f>IF($A751="","",MAX(0.001,'KT THAN'!$C$32*ABS(J751)/MAX(1,H751)))</f>
        <v/>
      </c>
      <c r="R751" s="38" t="str">
        <f>IF($A751="","",MAX(0.001,'KT THAN'!$D$32*ABS(I751)/MAX(1,H751)))</f>
        <v/>
      </c>
      <c r="S751" t="str">
        <f t="shared" si="107"/>
        <v/>
      </c>
    </row>
    <row r="752" spans="1:19" hidden="1" outlineLevel="1" x14ac:dyDescent="0.3">
      <c r="A752" s="37" t="str">
        <f>IF(OR(nThan=1,'TO HOP NLAN'!$A308=""),"",'TO HOP NLAN'!$A308)</f>
        <v/>
      </c>
      <c r="B752" s="38" t="str">
        <f>IF($A752="","",'TO HOP NLAN'!$D308)</f>
        <v/>
      </c>
      <c r="C752" s="38" t="str">
        <f>IF($A752="","",'TO HOP NLAN'!$E308)</f>
        <v/>
      </c>
      <c r="D752" s="38" t="str">
        <f>IF($A752="","",'TO HOP NLAN'!$F308)</f>
        <v/>
      </c>
      <c r="E752" s="38" t="str">
        <f>IF($A752="","",'TO HOP NLAN'!$B308)</f>
        <v/>
      </c>
      <c r="F752" s="38" t="str">
        <f>IF($A752="","",'TO HOP NLAN'!$C308)</f>
        <v/>
      </c>
      <c r="G752" s="38" t="str">
        <f t="shared" si="108"/>
        <v/>
      </c>
      <c r="H752" s="38" t="str">
        <f t="shared" si="106"/>
        <v/>
      </c>
      <c r="I752" s="38" t="str">
        <f t="shared" si="109"/>
        <v/>
      </c>
      <c r="J752" s="38" t="str">
        <f t="shared" si="110"/>
        <v/>
      </c>
      <c r="K752" s="38" t="str">
        <f t="shared" si="111"/>
        <v/>
      </c>
      <c r="L752" s="38" t="str">
        <f t="shared" si="112"/>
        <v/>
      </c>
      <c r="M752" s="38" t="str">
        <f>IF($A752="","",IF(H752=0,"",IF(Q752&lt;=0.000000001,MIN(0.8*0.75*'KT THAN'!$C$62,MAX('KT THAN'!$J$38:$J$58)),IFERROR(MIN(0.8*0.75*'KT THAN'!$C$62,INDEX('KT THAN'!$J$38:$J$58,MATCH(Q752,'KT THAN'!$L$38:$L$58,-1))+(INDEX('KT THAN'!$J$38:$J$58,MIN(21,MATCH(Q752,'KT THAN'!$L$38:$L$58,-1)+1))-INDEX('KT THAN'!$J$38:$J$58,MATCH(Q752,'KT THAN'!$L$38:$L$58,-1)))*(Q752-INDEX('KT THAN'!$L$38:$L$58,MATCH(Q752,'KT THAN'!$L$38:$L$58,-1)))/(INDEX('KT THAN'!$L$38:$L$58,MIN(21,MATCH(Q752,'KT THAN'!$L$38:$L$58,-1)+1))-INDEX('KT THAN'!$L$38:$L$58,MATCH(Q752,'KT THAN'!$L$38:$L$58,-1)))),MIN(0.8*0.75*'KT THAN'!$C$62,'KT THAN'!$C$68/Q752)))))</f>
        <v/>
      </c>
      <c r="N752" s="38" t="str">
        <f>IF($A752="","",IF(H752=0,"",IF(R752&lt;=0.000000001,MIN(0.8*0.75*'KT THAN'!$C$62,MAX('KT THAN'!$W$38:$W$58)),IFERROR(MIN(0.8*0.75*'KT THAN'!$C$62,INDEX('KT THAN'!$W$38:$W$58,MATCH(R752,'KT THAN'!$Y$38:$Y$58,-1))+(INDEX('KT THAN'!$W$38:$W$58,MIN(21,MATCH(R752,'KT THAN'!$Y$38:$Y$58,-1)+1))-INDEX('KT THAN'!$W$38:$W$58,MATCH(R752,'KT THAN'!$Y$38:$Y$58,-1)))*(R752-INDEX('KT THAN'!$Y$38:$Y$58,MATCH(R752,'KT THAN'!$Y$38:$Y$58,-1)))/(INDEX('KT THAN'!$Y$38:$Y$58,MIN(21,MATCH(R752,'KT THAN'!$Y$38:$Y$58,-1)+1))-INDEX('KT THAN'!$Y$38:$Y$58,MATCH(R752,'KT THAN'!$Y$38:$Y$58,-1)))),MIN(0.8*0.75*'KT THAN'!$C$62,'KT THAN'!$D$68/R752)))))</f>
        <v/>
      </c>
      <c r="O752" s="38" t="str">
        <f>IF($A752="","",IF(H752&lt;0,ABS(H752)/MAX('KT THAN'!$C$69,0.001)+'KT THAN'!$C$32*ABS(J752)/MAX('KT THAN'!$C$68,0.001)+'KT THAN'!$D$32*ABS(I752)/MAX('KT THAN'!$D$68,0.001),IF(OR(M752&lt;=0,N752&lt;=0),999,IF(H752&gt;=0.1*0.75*fc_*Agth*1000,H752/MAX(0.001,1/(1/M752+1/N752-1/(0.75*'KT THAN'!$C$62))),'KT THAN'!$C$32*ABS(J752)/MAX('KT THAN'!$C$68,0.001)+'KT THAN'!$D$32*ABS(I752)/MAX('KT THAN'!$D$68,0.001)))))</f>
        <v/>
      </c>
      <c r="P752" s="37" t="str">
        <f t="shared" si="113"/>
        <v/>
      </c>
      <c r="Q752" s="38" t="str">
        <f>IF($A752="","",MAX(0.001,'KT THAN'!$C$32*ABS(J752)/MAX(1,H752)))</f>
        <v/>
      </c>
      <c r="R752" s="38" t="str">
        <f>IF($A752="","",MAX(0.001,'KT THAN'!$D$32*ABS(I752)/MAX(1,H752)))</f>
        <v/>
      </c>
      <c r="S752" t="str">
        <f t="shared" si="107"/>
        <v/>
      </c>
    </row>
    <row r="753" spans="1:19" hidden="1" outlineLevel="1" x14ac:dyDescent="0.3">
      <c r="A753" s="37" t="str">
        <f>IF(OR(nThan=1,'TO HOP NLAN'!$A309=""),"",'TO HOP NLAN'!$A309)</f>
        <v/>
      </c>
      <c r="B753" s="38" t="str">
        <f>IF($A753="","",'TO HOP NLAN'!$D309)</f>
        <v/>
      </c>
      <c r="C753" s="38" t="str">
        <f>IF($A753="","",'TO HOP NLAN'!$E309)</f>
        <v/>
      </c>
      <c r="D753" s="38" t="str">
        <f>IF($A753="","",'TO HOP NLAN'!$F309)</f>
        <v/>
      </c>
      <c r="E753" s="38" t="str">
        <f>IF($A753="","",'TO HOP NLAN'!$B309)</f>
        <v/>
      </c>
      <c r="F753" s="38" t="str">
        <f>IF($A753="","",'TO HOP NLAN'!$C309)</f>
        <v/>
      </c>
      <c r="G753" s="38" t="str">
        <f t="shared" si="108"/>
        <v/>
      </c>
      <c r="H753" s="38" t="str">
        <f t="shared" si="106"/>
        <v/>
      </c>
      <c r="I753" s="38" t="str">
        <f t="shared" si="109"/>
        <v/>
      </c>
      <c r="J753" s="38" t="str">
        <f t="shared" si="110"/>
        <v/>
      </c>
      <c r="K753" s="38" t="str">
        <f t="shared" si="111"/>
        <v/>
      </c>
      <c r="L753" s="38" t="str">
        <f t="shared" si="112"/>
        <v/>
      </c>
      <c r="M753" s="38" t="str">
        <f>IF($A753="","",IF(H753=0,"",IF(Q753&lt;=0.000000001,MIN(0.8*0.75*'KT THAN'!$C$62,MAX('KT THAN'!$J$38:$J$58)),IFERROR(MIN(0.8*0.75*'KT THAN'!$C$62,INDEX('KT THAN'!$J$38:$J$58,MATCH(Q753,'KT THAN'!$L$38:$L$58,-1))+(INDEX('KT THAN'!$J$38:$J$58,MIN(21,MATCH(Q753,'KT THAN'!$L$38:$L$58,-1)+1))-INDEX('KT THAN'!$J$38:$J$58,MATCH(Q753,'KT THAN'!$L$38:$L$58,-1)))*(Q753-INDEX('KT THAN'!$L$38:$L$58,MATCH(Q753,'KT THAN'!$L$38:$L$58,-1)))/(INDEX('KT THAN'!$L$38:$L$58,MIN(21,MATCH(Q753,'KT THAN'!$L$38:$L$58,-1)+1))-INDEX('KT THAN'!$L$38:$L$58,MATCH(Q753,'KT THAN'!$L$38:$L$58,-1)))),MIN(0.8*0.75*'KT THAN'!$C$62,'KT THAN'!$C$68/Q753)))))</f>
        <v/>
      </c>
      <c r="N753" s="38" t="str">
        <f>IF($A753="","",IF(H753=0,"",IF(R753&lt;=0.000000001,MIN(0.8*0.75*'KT THAN'!$C$62,MAX('KT THAN'!$W$38:$W$58)),IFERROR(MIN(0.8*0.75*'KT THAN'!$C$62,INDEX('KT THAN'!$W$38:$W$58,MATCH(R753,'KT THAN'!$Y$38:$Y$58,-1))+(INDEX('KT THAN'!$W$38:$W$58,MIN(21,MATCH(R753,'KT THAN'!$Y$38:$Y$58,-1)+1))-INDEX('KT THAN'!$W$38:$W$58,MATCH(R753,'KT THAN'!$Y$38:$Y$58,-1)))*(R753-INDEX('KT THAN'!$Y$38:$Y$58,MATCH(R753,'KT THAN'!$Y$38:$Y$58,-1)))/(INDEX('KT THAN'!$Y$38:$Y$58,MIN(21,MATCH(R753,'KT THAN'!$Y$38:$Y$58,-1)+1))-INDEX('KT THAN'!$Y$38:$Y$58,MATCH(R753,'KT THAN'!$Y$38:$Y$58,-1)))),MIN(0.8*0.75*'KT THAN'!$C$62,'KT THAN'!$D$68/R753)))))</f>
        <v/>
      </c>
      <c r="O753" s="38" t="str">
        <f>IF($A753="","",IF(H753&lt;0,ABS(H753)/MAX('KT THAN'!$C$69,0.001)+'KT THAN'!$C$32*ABS(J753)/MAX('KT THAN'!$C$68,0.001)+'KT THAN'!$D$32*ABS(I753)/MAX('KT THAN'!$D$68,0.001),IF(OR(M753&lt;=0,N753&lt;=0),999,IF(H753&gt;=0.1*0.75*fc_*Agth*1000,H753/MAX(0.001,1/(1/M753+1/N753-1/(0.75*'KT THAN'!$C$62))),'KT THAN'!$C$32*ABS(J753)/MAX('KT THAN'!$C$68,0.001)+'KT THAN'!$D$32*ABS(I753)/MAX('KT THAN'!$D$68,0.001)))))</f>
        <v/>
      </c>
      <c r="P753" s="37" t="str">
        <f t="shared" si="113"/>
        <v/>
      </c>
      <c r="Q753" s="38" t="str">
        <f>IF($A753="","",MAX(0.001,'KT THAN'!$C$32*ABS(J753)/MAX(1,H753)))</f>
        <v/>
      </c>
      <c r="R753" s="38" t="str">
        <f>IF($A753="","",MAX(0.001,'KT THAN'!$D$32*ABS(I753)/MAX(1,H753)))</f>
        <v/>
      </c>
      <c r="S753" t="str">
        <f t="shared" si="107"/>
        <v/>
      </c>
    </row>
    <row r="754" spans="1:19" hidden="1" outlineLevel="1" x14ac:dyDescent="0.3">
      <c r="A754" s="37" t="str">
        <f>IF(OR(nThan=1,'TO HOP NLAN'!$A310=""),"",'TO HOP NLAN'!$A310)</f>
        <v/>
      </c>
      <c r="B754" s="38" t="str">
        <f>IF($A754="","",'TO HOP NLAN'!$D310)</f>
        <v/>
      </c>
      <c r="C754" s="38" t="str">
        <f>IF($A754="","",'TO HOP NLAN'!$E310)</f>
        <v/>
      </c>
      <c r="D754" s="38" t="str">
        <f>IF($A754="","",'TO HOP NLAN'!$F310)</f>
        <v/>
      </c>
      <c r="E754" s="38" t="str">
        <f>IF($A754="","",'TO HOP NLAN'!$B310)</f>
        <v/>
      </c>
      <c r="F754" s="38" t="str">
        <f>IF($A754="","",'TO HOP NLAN'!$C310)</f>
        <v/>
      </c>
      <c r="G754" s="38" t="str">
        <f t="shared" si="108"/>
        <v/>
      </c>
      <c r="H754" s="38" t="str">
        <f t="shared" si="106"/>
        <v/>
      </c>
      <c r="I754" s="38" t="str">
        <f t="shared" si="109"/>
        <v/>
      </c>
      <c r="J754" s="38" t="str">
        <f t="shared" si="110"/>
        <v/>
      </c>
      <c r="K754" s="38" t="str">
        <f t="shared" si="111"/>
        <v/>
      </c>
      <c r="L754" s="38" t="str">
        <f t="shared" si="112"/>
        <v/>
      </c>
      <c r="M754" s="38" t="str">
        <f>IF($A754="","",IF(H754=0,"",IF(Q754&lt;=0.000000001,MIN(0.8*0.75*'KT THAN'!$C$62,MAX('KT THAN'!$J$38:$J$58)),IFERROR(MIN(0.8*0.75*'KT THAN'!$C$62,INDEX('KT THAN'!$J$38:$J$58,MATCH(Q754,'KT THAN'!$L$38:$L$58,-1))+(INDEX('KT THAN'!$J$38:$J$58,MIN(21,MATCH(Q754,'KT THAN'!$L$38:$L$58,-1)+1))-INDEX('KT THAN'!$J$38:$J$58,MATCH(Q754,'KT THAN'!$L$38:$L$58,-1)))*(Q754-INDEX('KT THAN'!$L$38:$L$58,MATCH(Q754,'KT THAN'!$L$38:$L$58,-1)))/(INDEX('KT THAN'!$L$38:$L$58,MIN(21,MATCH(Q754,'KT THAN'!$L$38:$L$58,-1)+1))-INDEX('KT THAN'!$L$38:$L$58,MATCH(Q754,'KT THAN'!$L$38:$L$58,-1)))),MIN(0.8*0.75*'KT THAN'!$C$62,'KT THAN'!$C$68/Q754)))))</f>
        <v/>
      </c>
      <c r="N754" s="38" t="str">
        <f>IF($A754="","",IF(H754=0,"",IF(R754&lt;=0.000000001,MIN(0.8*0.75*'KT THAN'!$C$62,MAX('KT THAN'!$W$38:$W$58)),IFERROR(MIN(0.8*0.75*'KT THAN'!$C$62,INDEX('KT THAN'!$W$38:$W$58,MATCH(R754,'KT THAN'!$Y$38:$Y$58,-1))+(INDEX('KT THAN'!$W$38:$W$58,MIN(21,MATCH(R754,'KT THAN'!$Y$38:$Y$58,-1)+1))-INDEX('KT THAN'!$W$38:$W$58,MATCH(R754,'KT THAN'!$Y$38:$Y$58,-1)))*(R754-INDEX('KT THAN'!$Y$38:$Y$58,MATCH(R754,'KT THAN'!$Y$38:$Y$58,-1)))/(INDEX('KT THAN'!$Y$38:$Y$58,MIN(21,MATCH(R754,'KT THAN'!$Y$38:$Y$58,-1)+1))-INDEX('KT THAN'!$Y$38:$Y$58,MATCH(R754,'KT THAN'!$Y$38:$Y$58,-1)))),MIN(0.8*0.75*'KT THAN'!$C$62,'KT THAN'!$D$68/R754)))))</f>
        <v/>
      </c>
      <c r="O754" s="38" t="str">
        <f>IF($A754="","",IF(H754&lt;0,ABS(H754)/MAX('KT THAN'!$C$69,0.001)+'KT THAN'!$C$32*ABS(J754)/MAX('KT THAN'!$C$68,0.001)+'KT THAN'!$D$32*ABS(I754)/MAX('KT THAN'!$D$68,0.001),IF(OR(M754&lt;=0,N754&lt;=0),999,IF(H754&gt;=0.1*0.75*fc_*Agth*1000,H754/MAX(0.001,1/(1/M754+1/N754-1/(0.75*'KT THAN'!$C$62))),'KT THAN'!$C$32*ABS(J754)/MAX('KT THAN'!$C$68,0.001)+'KT THAN'!$D$32*ABS(I754)/MAX('KT THAN'!$D$68,0.001)))))</f>
        <v/>
      </c>
      <c r="P754" s="37" t="str">
        <f t="shared" si="113"/>
        <v/>
      </c>
      <c r="Q754" s="38" t="str">
        <f>IF($A754="","",MAX(0.001,'KT THAN'!$C$32*ABS(J754)/MAX(1,H754)))</f>
        <v/>
      </c>
      <c r="R754" s="38" t="str">
        <f>IF($A754="","",MAX(0.001,'KT THAN'!$D$32*ABS(I754)/MAX(1,H754)))</f>
        <v/>
      </c>
      <c r="S754" t="str">
        <f t="shared" si="107"/>
        <v/>
      </c>
    </row>
    <row r="755" spans="1:19" hidden="1" outlineLevel="1" x14ac:dyDescent="0.3">
      <c r="A755" s="37" t="str">
        <f>IF(OR(nThan=1,'TO HOP NLAN'!$A311=""),"",'TO HOP NLAN'!$A311)</f>
        <v/>
      </c>
      <c r="B755" s="38" t="str">
        <f>IF($A755="","",'TO HOP NLAN'!$D311)</f>
        <v/>
      </c>
      <c r="C755" s="38" t="str">
        <f>IF($A755="","",'TO HOP NLAN'!$E311)</f>
        <v/>
      </c>
      <c r="D755" s="38" t="str">
        <f>IF($A755="","",'TO HOP NLAN'!$F311)</f>
        <v/>
      </c>
      <c r="E755" s="38" t="str">
        <f>IF($A755="","",'TO HOP NLAN'!$B311)</f>
        <v/>
      </c>
      <c r="F755" s="38" t="str">
        <f>IF($A755="","",'TO HOP NLAN'!$C311)</f>
        <v/>
      </c>
      <c r="G755" s="38" t="str">
        <f t="shared" si="108"/>
        <v/>
      </c>
      <c r="H755" s="38" t="str">
        <f t="shared" si="106"/>
        <v/>
      </c>
      <c r="I755" s="38" t="str">
        <f t="shared" si="109"/>
        <v/>
      </c>
      <c r="J755" s="38" t="str">
        <f t="shared" si="110"/>
        <v/>
      </c>
      <c r="K755" s="38" t="str">
        <f t="shared" si="111"/>
        <v/>
      </c>
      <c r="L755" s="38" t="str">
        <f t="shared" si="112"/>
        <v/>
      </c>
      <c r="M755" s="38" t="str">
        <f>IF($A755="","",IF(H755=0,"",IF(Q755&lt;=0.000000001,MIN(0.8*0.75*'KT THAN'!$C$62,MAX('KT THAN'!$J$38:$J$58)),IFERROR(MIN(0.8*0.75*'KT THAN'!$C$62,INDEX('KT THAN'!$J$38:$J$58,MATCH(Q755,'KT THAN'!$L$38:$L$58,-1))+(INDEX('KT THAN'!$J$38:$J$58,MIN(21,MATCH(Q755,'KT THAN'!$L$38:$L$58,-1)+1))-INDEX('KT THAN'!$J$38:$J$58,MATCH(Q755,'KT THAN'!$L$38:$L$58,-1)))*(Q755-INDEX('KT THAN'!$L$38:$L$58,MATCH(Q755,'KT THAN'!$L$38:$L$58,-1)))/(INDEX('KT THAN'!$L$38:$L$58,MIN(21,MATCH(Q755,'KT THAN'!$L$38:$L$58,-1)+1))-INDEX('KT THAN'!$L$38:$L$58,MATCH(Q755,'KT THAN'!$L$38:$L$58,-1)))),MIN(0.8*0.75*'KT THAN'!$C$62,'KT THAN'!$C$68/Q755)))))</f>
        <v/>
      </c>
      <c r="N755" s="38" t="str">
        <f>IF($A755="","",IF(H755=0,"",IF(R755&lt;=0.000000001,MIN(0.8*0.75*'KT THAN'!$C$62,MAX('KT THAN'!$W$38:$W$58)),IFERROR(MIN(0.8*0.75*'KT THAN'!$C$62,INDEX('KT THAN'!$W$38:$W$58,MATCH(R755,'KT THAN'!$Y$38:$Y$58,-1))+(INDEX('KT THAN'!$W$38:$W$58,MIN(21,MATCH(R755,'KT THAN'!$Y$38:$Y$58,-1)+1))-INDEX('KT THAN'!$W$38:$W$58,MATCH(R755,'KT THAN'!$Y$38:$Y$58,-1)))*(R755-INDEX('KT THAN'!$Y$38:$Y$58,MATCH(R755,'KT THAN'!$Y$38:$Y$58,-1)))/(INDEX('KT THAN'!$Y$38:$Y$58,MIN(21,MATCH(R755,'KT THAN'!$Y$38:$Y$58,-1)+1))-INDEX('KT THAN'!$Y$38:$Y$58,MATCH(R755,'KT THAN'!$Y$38:$Y$58,-1)))),MIN(0.8*0.75*'KT THAN'!$C$62,'KT THAN'!$D$68/R755)))))</f>
        <v/>
      </c>
      <c r="O755" s="38" t="str">
        <f>IF($A755="","",IF(H755&lt;0,ABS(H755)/MAX('KT THAN'!$C$69,0.001)+'KT THAN'!$C$32*ABS(J755)/MAX('KT THAN'!$C$68,0.001)+'KT THAN'!$D$32*ABS(I755)/MAX('KT THAN'!$D$68,0.001),IF(OR(M755&lt;=0,N755&lt;=0),999,IF(H755&gt;=0.1*0.75*fc_*Agth*1000,H755/MAX(0.001,1/(1/M755+1/N755-1/(0.75*'KT THAN'!$C$62))),'KT THAN'!$C$32*ABS(J755)/MAX('KT THAN'!$C$68,0.001)+'KT THAN'!$D$32*ABS(I755)/MAX('KT THAN'!$D$68,0.001)))))</f>
        <v/>
      </c>
      <c r="P755" s="37" t="str">
        <f t="shared" si="113"/>
        <v/>
      </c>
      <c r="Q755" s="38" t="str">
        <f>IF($A755="","",MAX(0.001,'KT THAN'!$C$32*ABS(J755)/MAX(1,H755)))</f>
        <v/>
      </c>
      <c r="R755" s="38" t="str">
        <f>IF($A755="","",MAX(0.001,'KT THAN'!$D$32*ABS(I755)/MAX(1,H755)))</f>
        <v/>
      </c>
      <c r="S755" t="str">
        <f t="shared" si="107"/>
        <v/>
      </c>
    </row>
    <row r="756" spans="1:19" collapsed="1" x14ac:dyDescent="0.3"/>
  </sheetData>
  <mergeCells count="3">
    <mergeCell ref="A1:R1"/>
    <mergeCell ref="A2:R2"/>
    <mergeCell ref="A4:R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H15"/>
  <sheetViews>
    <sheetView showGridLines="0" topLeftCell="A4" workbookViewId="0">
      <selection activeCell="C14" sqref="C14"/>
    </sheetView>
  </sheetViews>
  <sheetFormatPr defaultRowHeight="14.4" x14ac:dyDescent="0.3"/>
  <cols>
    <col min="1" max="1" width="10" customWidth="1"/>
    <col min="2" max="2" width="30" customWidth="1"/>
    <col min="3" max="3" width="34" customWidth="1"/>
    <col min="4" max="8" width="27" customWidth="1"/>
  </cols>
  <sheetData>
    <row r="1" spans="1:8" ht="28.05" customHeight="1" x14ac:dyDescent="0.3">
      <c r="A1" s="146" t="s">
        <v>1371</v>
      </c>
      <c r="B1" s="146"/>
      <c r="C1" s="146"/>
      <c r="D1" s="146"/>
      <c r="E1" s="146"/>
      <c r="F1" s="146"/>
      <c r="G1" s="146"/>
      <c r="H1" s="146"/>
    </row>
    <row r="2" spans="1:8" ht="34.049999999999997" customHeight="1" x14ac:dyDescent="0.3">
      <c r="A2" s="147" t="s">
        <v>1372</v>
      </c>
      <c r="B2" s="147"/>
      <c r="C2" s="147"/>
      <c r="D2" s="147"/>
      <c r="E2" s="147"/>
      <c r="F2" s="147"/>
      <c r="G2" s="147"/>
      <c r="H2" s="147"/>
    </row>
    <row r="3" spans="1:8" x14ac:dyDescent="0.3">
      <c r="A3" s="41"/>
      <c r="B3" s="41"/>
      <c r="C3" s="41"/>
      <c r="D3" s="41"/>
      <c r="E3" s="41"/>
      <c r="F3" s="41"/>
      <c r="G3" s="41"/>
      <c r="H3" s="41"/>
    </row>
    <row r="4" spans="1:8" ht="22.05" customHeight="1" x14ac:dyDescent="0.3">
      <c r="A4" s="148" t="s">
        <v>1373</v>
      </c>
      <c r="B4" s="148"/>
      <c r="C4" s="148"/>
      <c r="D4" s="148"/>
      <c r="E4" s="148"/>
      <c r="F4" s="148"/>
      <c r="G4" s="148"/>
      <c r="H4" s="148"/>
    </row>
    <row r="5" spans="1:8" x14ac:dyDescent="0.3">
      <c r="A5" s="36" t="s">
        <v>1374</v>
      </c>
      <c r="B5" s="36" t="s">
        <v>1375</v>
      </c>
      <c r="C5" s="36" t="s">
        <v>1071</v>
      </c>
      <c r="D5" s="36" t="s">
        <v>1210</v>
      </c>
      <c r="E5" s="36" t="s">
        <v>1376</v>
      </c>
      <c r="F5" s="36" t="s">
        <v>1377</v>
      </c>
      <c r="G5" s="36" t="s">
        <v>1378</v>
      </c>
      <c r="H5" s="36" t="s">
        <v>1054</v>
      </c>
    </row>
    <row r="6" spans="1:8" ht="28.8" x14ac:dyDescent="0.3">
      <c r="A6" s="42" t="s">
        <v>1379</v>
      </c>
      <c r="B6" s="42" t="s">
        <v>1380</v>
      </c>
      <c r="C6" s="40" t="str">
        <f>IF(AND(xm_nT&gt;=1,xm_nT&lt;=40,xm_nP&gt;=1,xm_nP&lt;=40,xm_sT&gt;0,xm_sP&gt;0,OR(goiForceMode="AUTO",goiForceMode="APPROX 1D",goiForceMode="GLOBAL")),"ĐẠT","KHÔNG ĐẠT")</f>
        <v>ĐẠT</v>
      </c>
      <c r="D6" s="42" t="s">
        <v>1381</v>
      </c>
      <c r="E6" s="42" t="s">
        <v>1382</v>
      </c>
      <c r="F6" s="42" t="s">
        <v>1383</v>
      </c>
      <c r="G6" s="42" t="s">
        <v>1384</v>
      </c>
      <c r="H6" s="42" t="s">
        <v>1564</v>
      </c>
    </row>
    <row r="7" spans="1:8" ht="57.6" x14ac:dyDescent="0.3">
      <c r="A7" s="42" t="s">
        <v>1385</v>
      </c>
      <c r="B7" s="42" t="s">
        <v>1386</v>
      </c>
      <c r="C7" s="40" t="str">
        <f>'HE GOI'!B28</f>
        <v>DÙNG ĐƯỢC — XẤP XỈ 1D</v>
      </c>
      <c r="D7" s="42" t="s">
        <v>1387</v>
      </c>
      <c r="E7" s="42" t="s">
        <v>1388</v>
      </c>
      <c r="F7" s="42" t="s">
        <v>1389</v>
      </c>
      <c r="G7" s="42" t="s">
        <v>1390</v>
      </c>
      <c r="H7" s="42" t="s">
        <v>1565</v>
      </c>
    </row>
    <row r="8" spans="1:8" x14ac:dyDescent="0.3">
      <c r="A8" s="42" t="s">
        <v>1391</v>
      </c>
      <c r="B8" s="42" t="s">
        <v>1392</v>
      </c>
      <c r="C8" s="40" t="str">
        <f>IF(COUNT('TO HOP GOI DAU'!H5:H252)&gt;0,"ĐẠT","BLOCKED — CHƯA CÓ LỰC GỐI HỢP LỆ")</f>
        <v>ĐẠT</v>
      </c>
      <c r="D8" s="42" t="s">
        <v>1393</v>
      </c>
      <c r="E8" s="42" t="s">
        <v>1394</v>
      </c>
      <c r="F8" s="42" t="s">
        <v>1395</v>
      </c>
      <c r="G8" s="42" t="s">
        <v>1396</v>
      </c>
      <c r="H8" s="42" t="s">
        <v>1397</v>
      </c>
    </row>
    <row r="9" spans="1:8" x14ac:dyDescent="0.3">
      <c r="A9" s="42" t="s">
        <v>1398</v>
      </c>
      <c r="B9" s="42" t="s">
        <v>1399</v>
      </c>
      <c r="C9" s="40" t="str">
        <f>IF(AND(xm_nT&gt;=1,xm_nT&lt;=40,xm_nP&gt;=1,xm_nP&lt;=40,xm_sT&gt;0,xm_sP&gt;0),"ĐẠT","KHÔNG ĐẠT")</f>
        <v>ĐẠT</v>
      </c>
      <c r="D9" s="42" t="s">
        <v>1400</v>
      </c>
      <c r="E9" s="42" t="s">
        <v>1401</v>
      </c>
      <c r="F9" s="42" t="s">
        <v>1402</v>
      </c>
      <c r="G9" s="42" t="s">
        <v>1403</v>
      </c>
      <c r="H9" s="42" t="s">
        <v>1404</v>
      </c>
    </row>
    <row r="10" spans="1:8" ht="43.2" x14ac:dyDescent="0.3">
      <c r="A10" s="42" t="s">
        <v>1405</v>
      </c>
      <c r="B10" s="42" t="s">
        <v>1406</v>
      </c>
      <c r="C10" s="40" t="str">
        <f>'XA MU DUL'!D84</f>
        <v>BLOCKED — CÒN NEO/STM/MỎI/CAMBER CUỐI</v>
      </c>
      <c r="D10" s="42" t="s">
        <v>1407</v>
      </c>
      <c r="E10" s="42" t="s">
        <v>1408</v>
      </c>
      <c r="F10" s="42" t="s">
        <v>1409</v>
      </c>
      <c r="G10" s="42" t="s">
        <v>1410</v>
      </c>
      <c r="H10" s="42" t="s">
        <v>1566</v>
      </c>
    </row>
    <row r="11" spans="1:8" ht="72" x14ac:dyDescent="0.3">
      <c r="A11" s="42" t="s">
        <v>1411</v>
      </c>
      <c r="B11" s="42" t="s">
        <v>1412</v>
      </c>
      <c r="C11" s="40" t="str">
        <f>IF(nThan=1,IF(AND('KT THAN'!D149="ĐẠT",'KT THAN'!C76="ĐẠT",'KT THAN'!C81="ĐẠT"),"ĐẠT","KHÔNG ĐẠT — XEM KT THAN"),IF(ISNUMBER(SEARCH("BLOCKED",'TRU 2 THAN'!B5)),"BLOCKED — "&amp;'TRU 2 THAN'!B5,IF(ISNUMBER(SEARCH("KHÔNG ĐẠT",'TRU 2 THAN'!B5)),"KHÔNG ĐẠT — THÂN 2 CỘT (nén/kéo-uốn) — XEM TRU 2 THAN",IF(ISNUMBER(SEARCH("KHÔNG ĐẠT",'KT BE'!D156)),"KHÔNG ĐẠT — BỆ 2 THÂN (uốn âm) — XEM KT BE","ĐẠT — 2 THÂN: tải/ĐĐ ×nThan, nén-uốn &amp; kéo-uốn thân, bệ (cánh hẫng bao + uốn âm)"))))</f>
        <v>ĐẠT</v>
      </c>
      <c r="D11" s="42" t="s">
        <v>1804</v>
      </c>
      <c r="E11" s="42" t="s">
        <v>1814</v>
      </c>
      <c r="F11" s="42" t="s">
        <v>1413</v>
      </c>
      <c r="G11" s="42" t="s">
        <v>1414</v>
      </c>
      <c r="H11" s="42" t="s">
        <v>1415</v>
      </c>
    </row>
    <row r="12" spans="1:8" ht="28.8" x14ac:dyDescent="0.3">
      <c r="A12" s="42" t="s">
        <v>1416</v>
      </c>
      <c r="B12" s="42" t="s">
        <v>1417</v>
      </c>
      <c r="C12" s="40" t="str">
        <f>'TRU 2 THAN'!B5</f>
        <v>KHÔNG ÁP DỤNG — SƠ ĐỒ 1 THÂN</v>
      </c>
      <c r="D12" s="42" t="s">
        <v>1418</v>
      </c>
      <c r="E12" s="42" t="s">
        <v>1419</v>
      </c>
      <c r="F12" s="42" t="s">
        <v>1420</v>
      </c>
      <c r="G12" s="42" t="s">
        <v>1421</v>
      </c>
      <c r="H12" s="42" t="s">
        <v>1422</v>
      </c>
    </row>
    <row r="13" spans="1:8" ht="28.8" x14ac:dyDescent="0.3">
      <c r="A13" s="42" t="s">
        <v>1423</v>
      </c>
      <c r="B13" s="42" t="s">
        <v>1424</v>
      </c>
      <c r="C13" s="40" t="str">
        <f>IF(COUNTIF('TS-PILE'!C96:BL115,"&lt;&gt;0")&gt;0,"ĐẠT — TỰ TÍNH ĐÀI CỨNG","BLOCKED — NỘI LỰC CỌC BẰNG 0")</f>
        <v>ĐẠT — TỰ TÍNH ĐÀI CỨNG</v>
      </c>
      <c r="D13" s="42" t="s">
        <v>1425</v>
      </c>
      <c r="E13" s="42" t="s">
        <v>1426</v>
      </c>
      <c r="F13" s="42" t="s">
        <v>1427</v>
      </c>
      <c r="G13" s="42" t="s">
        <v>1428</v>
      </c>
      <c r="H13" s="42" t="s">
        <v>1429</v>
      </c>
    </row>
    <row r="14" spans="1:8" ht="28.8" x14ac:dyDescent="0.3">
      <c r="A14" s="42" t="s">
        <v>1430</v>
      </c>
      <c r="B14" s="42" t="s">
        <v>1431</v>
      </c>
      <c r="C14" s="40" t="str">
        <f>IF(AND('KT BE'!D92="ĐẠT",'KT BE'!D94="ĐẠT",'KT BE'!D103="ĐẠT",'KT BE'!D118="ĐẠT",'KT BE'!D121="ĐẠT",'KT BE'!D125="ĐẠT",'KT BE'!D132="ĐẠT",LEFT('KT BE'!D172,3)="ĐẠT"),"ĐẠT","KHÔNG ĐẠT — XEM KT BE")</f>
        <v>KHÔNG ĐẠT — XEM KT BE</v>
      </c>
      <c r="D14" s="42" t="s">
        <v>1432</v>
      </c>
      <c r="E14" s="42" t="s">
        <v>1433</v>
      </c>
      <c r="F14" s="42" t="s">
        <v>1434</v>
      </c>
      <c r="G14" s="42" t="s">
        <v>1428</v>
      </c>
      <c r="H14" s="42" t="s">
        <v>1435</v>
      </c>
    </row>
    <row r="15" spans="1:8" ht="28.8" x14ac:dyDescent="0.3">
      <c r="A15" s="42" t="s">
        <v>1436</v>
      </c>
      <c r="B15" s="42" t="s">
        <v>1437</v>
      </c>
      <c r="C15" s="40" t="str">
        <f>IF(OR(nLan&gt;40,nLan&lt;1,nLan&lt;&gt;INT(nLan)),"BLOCKED — nLan="&amp;nLan&amp;" NGOÀI [1..40] (engine chỉ có tổ hợp tới 40 làn)",IF(OR(SUMPRODUCT(--ISERROR(C6:C14))&gt;0,COUNTIF(C6:C14,"*BLOCKED*")&gt;0,COUNTIF(C6:C14,"*KHÔNG ĐẠT*")&gt;0),"BLOCKED — CHƯA ĐỦ ĐIỀU KIỆN PHÁT HÀNH","ĐẠT"))</f>
        <v>BLOCKED — CHƯA ĐỦ ĐIỀU KIỆN PHÁT HÀNH</v>
      </c>
      <c r="D15" s="42" t="s">
        <v>1438</v>
      </c>
      <c r="E15" s="42" t="s">
        <v>1439</v>
      </c>
      <c r="F15" s="42" t="s">
        <v>1440</v>
      </c>
      <c r="G15" s="42" t="s">
        <v>1441</v>
      </c>
      <c r="H15" s="42" t="s">
        <v>1442</v>
      </c>
    </row>
  </sheetData>
  <mergeCells count="3">
    <mergeCell ref="A1:H1"/>
    <mergeCell ref="A2:H2"/>
    <mergeCell ref="A4:H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K100"/>
  <sheetViews>
    <sheetView showGridLines="0" workbookViewId="0">
      <selection activeCell="A6" sqref="A6"/>
    </sheetView>
  </sheetViews>
  <sheetFormatPr defaultRowHeight="14.4" x14ac:dyDescent="0.3"/>
  <cols>
    <col min="1" max="9" width="14" customWidth="1"/>
    <col min="11" max="11" width="38" customWidth="1"/>
  </cols>
  <sheetData>
    <row r="1" spans="1:11" ht="28.05" customHeight="1" x14ac:dyDescent="0.3">
      <c r="A1" s="152" t="s">
        <v>1567</v>
      </c>
      <c r="B1" s="152"/>
      <c r="C1" s="152"/>
      <c r="D1" s="152"/>
      <c r="E1" s="152"/>
      <c r="F1" s="152"/>
      <c r="G1" s="152"/>
      <c r="H1" s="152"/>
      <c r="I1" s="152"/>
      <c r="J1" s="152"/>
      <c r="K1" s="152"/>
    </row>
    <row r="2" spans="1:11" ht="34.049999999999997" customHeight="1" x14ac:dyDescent="0.3">
      <c r="A2" s="124" t="s">
        <v>1568</v>
      </c>
      <c r="B2" s="124"/>
      <c r="C2" s="124"/>
      <c r="D2" s="124"/>
      <c r="E2" s="124"/>
      <c r="F2" s="124"/>
      <c r="G2" s="124"/>
      <c r="H2" s="124"/>
      <c r="I2" s="124"/>
      <c r="J2" s="124"/>
      <c r="K2" s="124"/>
    </row>
    <row r="4" spans="1:11" ht="22.05" customHeight="1" x14ac:dyDescent="0.3">
      <c r="A4" s="141" t="s">
        <v>1569</v>
      </c>
      <c r="B4" s="141"/>
      <c r="C4" s="141"/>
      <c r="D4" s="141"/>
      <c r="E4" s="141"/>
      <c r="F4" s="141"/>
      <c r="G4" s="141"/>
      <c r="H4" s="141"/>
      <c r="I4" s="141"/>
      <c r="J4" s="141"/>
      <c r="K4" s="141"/>
    </row>
    <row r="5" spans="1:11" ht="28.8" x14ac:dyDescent="0.3">
      <c r="A5" s="55" t="s">
        <v>435</v>
      </c>
      <c r="B5" s="55" t="s">
        <v>44</v>
      </c>
      <c r="C5" s="55" t="s">
        <v>441</v>
      </c>
      <c r="D5" s="55" t="s">
        <v>1570</v>
      </c>
      <c r="E5" s="55" t="s">
        <v>437</v>
      </c>
      <c r="F5" s="55" t="s">
        <v>1571</v>
      </c>
      <c r="G5" s="55" t="s">
        <v>439</v>
      </c>
      <c r="H5" s="55" t="s">
        <v>440</v>
      </c>
      <c r="I5" s="55" t="s">
        <v>1572</v>
      </c>
      <c r="J5" s="55" t="s">
        <v>1573</v>
      </c>
      <c r="K5" s="55" t="s">
        <v>1054</v>
      </c>
    </row>
    <row r="6" spans="1:11" ht="28.8" x14ac:dyDescent="0.3">
      <c r="A6" s="56">
        <f>IF(1&lt;=nLan,1,"")</f>
        <v>1</v>
      </c>
      <c r="B6" s="56">
        <f t="shared" ref="B6:B45" si="0">IF(A6="",0,IF(A6=1,1.2,IF(A6=2,1,IF(A6=3,0.85,0.65))))</f>
        <v>1.2</v>
      </c>
      <c r="C6" s="56">
        <f t="shared" ref="C6:C45" si="1">IF(A6="",0,MAX(0,Wcau/2-blc_-bPL-1.5*A6))</f>
        <v>9.875</v>
      </c>
      <c r="D6" s="56">
        <f>IF(A6="",0,('HOAT TAI'!$D$7+'HOAT TAI'!$D$9*(1+IM_))*A6*B6+pPL*bPL*0.5*(Ls1_+Ls2_))</f>
        <v>1148.133744</v>
      </c>
      <c r="E6" s="56">
        <f t="shared" ref="E6:E45" si="2">D6*C6</f>
        <v>11337.820722</v>
      </c>
      <c r="F6" s="56">
        <f>IF(A6="",0,('HOAT TAI'!$C$7+'HOAT TAI'!$C$9*(1+IM_))*A6*B6+pPL*bPL*0.5*Ls1_)</f>
        <v>688.60328000000004</v>
      </c>
      <c r="G6" s="56">
        <f t="shared" ref="G6:G45" si="3">F6*C6</f>
        <v>6799.9573900000005</v>
      </c>
      <c r="H6" s="56">
        <f t="shared" ref="H6:H45" si="4">F6*MAX(ABS(exL),ABS(exR))</f>
        <v>619.74295200000006</v>
      </c>
      <c r="I6" s="56">
        <f t="shared" ref="I6:I45" si="5">IF(A6="",0,MAX(0.25*325*A6*B6,0.05*(325+qlan*(Ls1_+Ls2_))*A6*B6,0.05*(220+qlan*(Ls1_+Ls2_))*A6*B6))</f>
        <v>97.5</v>
      </c>
      <c r="J6" s="56">
        <f>BR_H</f>
        <v>316.875</v>
      </c>
      <c r="K6" s="42" t="s">
        <v>1574</v>
      </c>
    </row>
    <row r="7" spans="1:11" x14ac:dyDescent="0.3">
      <c r="A7" s="56">
        <f>IF(2&lt;=nLan,2,"")</f>
        <v>2</v>
      </c>
      <c r="B7" s="56">
        <f t="shared" si="0"/>
        <v>1</v>
      </c>
      <c r="C7" s="56">
        <f t="shared" si="1"/>
        <v>8.375</v>
      </c>
      <c r="D7" s="56">
        <f>IF(A7="",0,('HOAT TAI'!$D$7+'HOAT TAI'!$D$9*(1+IM_))*A7*B7+pPL*bPL*0.5*(Ls1_+Ls2_))</f>
        <v>1913.5562400000001</v>
      </c>
      <c r="E7" s="56">
        <f t="shared" si="2"/>
        <v>16026.033510000001</v>
      </c>
      <c r="F7" s="56">
        <f>IF(A7="",0,('HOAT TAI'!$C$7+'HOAT TAI'!$C$9*(1+IM_))*A7*B7+pPL*bPL*0.5*Ls1_)</f>
        <v>1147.6721333333335</v>
      </c>
      <c r="G7" s="56">
        <f t="shared" si="3"/>
        <v>9611.754116666667</v>
      </c>
      <c r="H7" s="56">
        <f t="shared" si="4"/>
        <v>1032.9049200000002</v>
      </c>
      <c r="I7" s="56">
        <f t="shared" si="5"/>
        <v>162.5</v>
      </c>
      <c r="J7" s="56"/>
      <c r="K7" s="42"/>
    </row>
    <row r="8" spans="1:11" x14ac:dyDescent="0.3">
      <c r="A8" s="56">
        <f>IF(3&lt;=nLan,3,"")</f>
        <v>3</v>
      </c>
      <c r="B8" s="56">
        <f t="shared" si="0"/>
        <v>0.85</v>
      </c>
      <c r="C8" s="56">
        <f t="shared" si="1"/>
        <v>6.875</v>
      </c>
      <c r="D8" s="56">
        <f>IF(A8="",0,('HOAT TAI'!$D$7+'HOAT TAI'!$D$9*(1+IM_))*A8*B8+pPL*bPL*0.5*(Ls1_+Ls2_))</f>
        <v>2439.7842060000003</v>
      </c>
      <c r="E8" s="56">
        <f t="shared" si="2"/>
        <v>16773.51641625</v>
      </c>
      <c r="F8" s="56">
        <f>IF(A8="",0,('HOAT TAI'!$C$7+'HOAT TAI'!$C$9*(1+IM_))*A8*B8+pPL*bPL*0.5*Ls1_)</f>
        <v>1463.2819700000002</v>
      </c>
      <c r="G8" s="56">
        <f t="shared" si="3"/>
        <v>10060.063543750002</v>
      </c>
      <c r="H8" s="56">
        <f t="shared" si="4"/>
        <v>1316.9537730000002</v>
      </c>
      <c r="I8" s="56">
        <f t="shared" si="5"/>
        <v>207.1875</v>
      </c>
      <c r="J8" s="56"/>
      <c r="K8" s="42"/>
    </row>
    <row r="9" spans="1:11" x14ac:dyDescent="0.3">
      <c r="A9" s="56">
        <f>IF(4&lt;=nLan,4,"")</f>
        <v>4</v>
      </c>
      <c r="B9" s="56">
        <f t="shared" si="0"/>
        <v>0.65</v>
      </c>
      <c r="C9" s="56">
        <f t="shared" si="1"/>
        <v>5.375</v>
      </c>
      <c r="D9" s="56">
        <f>IF(A9="",0,('HOAT TAI'!$D$7+'HOAT TAI'!$D$9*(1+IM_))*A9*B9+pPL*bPL*0.5*(Ls1_+Ls2_))</f>
        <v>2487.6231120000002</v>
      </c>
      <c r="E9" s="56">
        <f t="shared" si="2"/>
        <v>13370.974227000001</v>
      </c>
      <c r="F9" s="56">
        <f>IF(A9="",0,('HOAT TAI'!$C$7+'HOAT TAI'!$C$9*(1+IM_))*A9*B9+pPL*bPL*0.5*Ls1_)</f>
        <v>1491.9737733333336</v>
      </c>
      <c r="G9" s="56">
        <f t="shared" si="3"/>
        <v>8019.3590316666678</v>
      </c>
      <c r="H9" s="56">
        <f t="shared" si="4"/>
        <v>1342.7763960000002</v>
      </c>
      <c r="I9" s="56">
        <f t="shared" si="5"/>
        <v>211.25</v>
      </c>
      <c r="J9" s="56"/>
      <c r="K9" s="42"/>
    </row>
    <row r="10" spans="1:11" x14ac:dyDescent="0.3">
      <c r="A10" s="56">
        <f>IF(5&lt;=nLan,5,"")</f>
        <v>5</v>
      </c>
      <c r="B10" s="56">
        <f t="shared" si="0"/>
        <v>0.65</v>
      </c>
      <c r="C10" s="56">
        <f t="shared" si="1"/>
        <v>3.875</v>
      </c>
      <c r="D10" s="56">
        <f>IF(A10="",0,('HOAT TAI'!$D$7+'HOAT TAI'!$D$9*(1+IM_))*A10*B10+pPL*bPL*0.5*(Ls1_+Ls2_))</f>
        <v>3109.5288900000005</v>
      </c>
      <c r="E10" s="56">
        <f t="shared" si="2"/>
        <v>12049.424448750002</v>
      </c>
      <c r="F10" s="56">
        <f>IF(A10="",0,('HOAT TAI'!$C$7+'HOAT TAI'!$C$9*(1+IM_))*A10*B10+pPL*bPL*0.5*Ls1_)</f>
        <v>1864.9672166666669</v>
      </c>
      <c r="G10" s="56">
        <f t="shared" si="3"/>
        <v>7226.7479645833346</v>
      </c>
      <c r="H10" s="56">
        <f t="shared" si="4"/>
        <v>1678.4704950000003</v>
      </c>
      <c r="I10" s="56">
        <f t="shared" si="5"/>
        <v>264.0625</v>
      </c>
      <c r="J10" s="56"/>
      <c r="K10" s="42"/>
    </row>
    <row r="11" spans="1:11" x14ac:dyDescent="0.3">
      <c r="A11" s="56">
        <f>IF(6&lt;=nLan,6,"")</f>
        <v>6</v>
      </c>
      <c r="B11" s="56">
        <f t="shared" si="0"/>
        <v>0.65</v>
      </c>
      <c r="C11" s="56">
        <f t="shared" si="1"/>
        <v>2.375</v>
      </c>
      <c r="D11" s="56">
        <f>IF(A11="",0,('HOAT TAI'!$D$7+'HOAT TAI'!$D$9*(1+IM_))*A11*B11+pPL*bPL*0.5*(Ls1_+Ls2_))</f>
        <v>3731.4346680000003</v>
      </c>
      <c r="E11" s="56">
        <f t="shared" si="2"/>
        <v>8862.1573365000004</v>
      </c>
      <c r="F11" s="56">
        <f>IF(A11="",0,('HOAT TAI'!$C$7+'HOAT TAI'!$C$9*(1+IM_))*A11*B11+pPL*bPL*0.5*Ls1_)</f>
        <v>2237.9606600000002</v>
      </c>
      <c r="G11" s="56">
        <f t="shared" si="3"/>
        <v>5315.1565675000002</v>
      </c>
      <c r="H11" s="56">
        <f t="shared" si="4"/>
        <v>2014.1645940000003</v>
      </c>
      <c r="I11" s="56">
        <f t="shared" si="5"/>
        <v>316.875</v>
      </c>
      <c r="J11" s="56"/>
      <c r="K11" s="42"/>
    </row>
    <row r="12" spans="1:11" x14ac:dyDescent="0.3">
      <c r="A12" s="56" t="str">
        <f>IF(7&lt;=nLan,7,"")</f>
        <v/>
      </c>
      <c r="B12" s="56">
        <f t="shared" si="0"/>
        <v>0</v>
      </c>
      <c r="C12" s="56">
        <f t="shared" si="1"/>
        <v>0</v>
      </c>
      <c r="D12" s="56">
        <f>IF(A12="",0,('HOAT TAI'!$D$7+'HOAT TAI'!$D$9*(1+IM_))*A12*B12+pPL*bPL*0.5*(Ls1_+Ls2_))</f>
        <v>0</v>
      </c>
      <c r="E12" s="56">
        <f t="shared" si="2"/>
        <v>0</v>
      </c>
      <c r="F12" s="56">
        <f>IF(A12="",0,('HOAT TAI'!$C$7+'HOAT TAI'!$C$9*(1+IM_))*A12*B12+pPL*bPL*0.5*Ls1_)</f>
        <v>0</v>
      </c>
      <c r="G12" s="56">
        <f t="shared" si="3"/>
        <v>0</v>
      </c>
      <c r="H12" s="56">
        <f t="shared" si="4"/>
        <v>0</v>
      </c>
      <c r="I12" s="56">
        <f t="shared" si="5"/>
        <v>0</v>
      </c>
      <c r="J12" s="56"/>
      <c r="K12" s="42"/>
    </row>
    <row r="13" spans="1:11" x14ac:dyDescent="0.3">
      <c r="A13" s="56" t="str">
        <f>IF(8&lt;=nLan,8,"")</f>
        <v/>
      </c>
      <c r="B13" s="56">
        <f t="shared" si="0"/>
        <v>0</v>
      </c>
      <c r="C13" s="56">
        <f t="shared" si="1"/>
        <v>0</v>
      </c>
      <c r="D13" s="56">
        <f>IF(A13="",0,('HOAT TAI'!$D$7+'HOAT TAI'!$D$9*(1+IM_))*A13*B13+pPL*bPL*0.5*(Ls1_+Ls2_))</f>
        <v>0</v>
      </c>
      <c r="E13" s="56">
        <f t="shared" si="2"/>
        <v>0</v>
      </c>
      <c r="F13" s="56">
        <f>IF(A13="",0,('HOAT TAI'!$C$7+'HOAT TAI'!$C$9*(1+IM_))*A13*B13+pPL*bPL*0.5*Ls1_)</f>
        <v>0</v>
      </c>
      <c r="G13" s="56">
        <f t="shared" si="3"/>
        <v>0</v>
      </c>
      <c r="H13" s="56">
        <f t="shared" si="4"/>
        <v>0</v>
      </c>
      <c r="I13" s="56">
        <f t="shared" si="5"/>
        <v>0</v>
      </c>
      <c r="J13" s="56"/>
      <c r="K13" s="42"/>
    </row>
    <row r="14" spans="1:11" x14ac:dyDescent="0.3">
      <c r="A14" s="56" t="str">
        <f>IF(9&lt;=nLan,9,"")</f>
        <v/>
      </c>
      <c r="B14" s="56">
        <f t="shared" si="0"/>
        <v>0</v>
      </c>
      <c r="C14" s="56">
        <f t="shared" si="1"/>
        <v>0</v>
      </c>
      <c r="D14" s="56">
        <f>IF(A14="",0,('HOAT TAI'!$D$7+'HOAT TAI'!$D$9*(1+IM_))*A14*B14+pPL*bPL*0.5*(Ls1_+Ls2_))</f>
        <v>0</v>
      </c>
      <c r="E14" s="56">
        <f t="shared" si="2"/>
        <v>0</v>
      </c>
      <c r="F14" s="56">
        <f>IF(A14="",0,('HOAT TAI'!$C$7+'HOAT TAI'!$C$9*(1+IM_))*A14*B14+pPL*bPL*0.5*Ls1_)</f>
        <v>0</v>
      </c>
      <c r="G14" s="56">
        <f t="shared" si="3"/>
        <v>0</v>
      </c>
      <c r="H14" s="56">
        <f t="shared" si="4"/>
        <v>0</v>
      </c>
      <c r="I14" s="56">
        <f t="shared" si="5"/>
        <v>0</v>
      </c>
      <c r="J14" s="56"/>
      <c r="K14" s="42"/>
    </row>
    <row r="15" spans="1:11" x14ac:dyDescent="0.3">
      <c r="A15" s="56" t="str">
        <f>IF(10&lt;=nLan,10,"")</f>
        <v/>
      </c>
      <c r="B15" s="56">
        <f t="shared" si="0"/>
        <v>0</v>
      </c>
      <c r="C15" s="56">
        <f t="shared" si="1"/>
        <v>0</v>
      </c>
      <c r="D15" s="56">
        <f>IF(A15="",0,('HOAT TAI'!$D$7+'HOAT TAI'!$D$9*(1+IM_))*A15*B15+pPL*bPL*0.5*(Ls1_+Ls2_))</f>
        <v>0</v>
      </c>
      <c r="E15" s="56">
        <f t="shared" si="2"/>
        <v>0</v>
      </c>
      <c r="F15" s="56">
        <f>IF(A15="",0,('HOAT TAI'!$C$7+'HOAT TAI'!$C$9*(1+IM_))*A15*B15+pPL*bPL*0.5*Ls1_)</f>
        <v>0</v>
      </c>
      <c r="G15" s="56">
        <f t="shared" si="3"/>
        <v>0</v>
      </c>
      <c r="H15" s="56">
        <f t="shared" si="4"/>
        <v>0</v>
      </c>
      <c r="I15" s="56">
        <f t="shared" si="5"/>
        <v>0</v>
      </c>
      <c r="J15" s="56"/>
      <c r="K15" s="42"/>
    </row>
    <row r="16" spans="1:11" x14ac:dyDescent="0.3">
      <c r="A16" s="56" t="str">
        <f>IF(11&lt;=nLan,11,"")</f>
        <v/>
      </c>
      <c r="B16" s="56">
        <f t="shared" si="0"/>
        <v>0</v>
      </c>
      <c r="C16" s="56">
        <f t="shared" si="1"/>
        <v>0</v>
      </c>
      <c r="D16" s="56">
        <f>IF(A16="",0,('HOAT TAI'!$D$7+'HOAT TAI'!$D$9*(1+IM_))*A16*B16+pPL*bPL*0.5*(Ls1_+Ls2_))</f>
        <v>0</v>
      </c>
      <c r="E16" s="56">
        <f t="shared" si="2"/>
        <v>0</v>
      </c>
      <c r="F16" s="56">
        <f>IF(A16="",0,('HOAT TAI'!$C$7+'HOAT TAI'!$C$9*(1+IM_))*A16*B16+pPL*bPL*0.5*Ls1_)</f>
        <v>0</v>
      </c>
      <c r="G16" s="56">
        <f t="shared" si="3"/>
        <v>0</v>
      </c>
      <c r="H16" s="56">
        <f t="shared" si="4"/>
        <v>0</v>
      </c>
      <c r="I16" s="56">
        <f t="shared" si="5"/>
        <v>0</v>
      </c>
      <c r="J16" s="56"/>
      <c r="K16" s="42"/>
    </row>
    <row r="17" spans="1:11" x14ac:dyDescent="0.3">
      <c r="A17" s="56" t="str">
        <f>IF(12&lt;=nLan,12,"")</f>
        <v/>
      </c>
      <c r="B17" s="56">
        <f t="shared" si="0"/>
        <v>0</v>
      </c>
      <c r="C17" s="56">
        <f t="shared" si="1"/>
        <v>0</v>
      </c>
      <c r="D17" s="56">
        <f>IF(A17="",0,('HOAT TAI'!$D$7+'HOAT TAI'!$D$9*(1+IM_))*A17*B17+pPL*bPL*0.5*(Ls1_+Ls2_))</f>
        <v>0</v>
      </c>
      <c r="E17" s="56">
        <f t="shared" si="2"/>
        <v>0</v>
      </c>
      <c r="F17" s="56">
        <f>IF(A17="",0,('HOAT TAI'!$C$7+'HOAT TAI'!$C$9*(1+IM_))*A17*B17+pPL*bPL*0.5*Ls1_)</f>
        <v>0</v>
      </c>
      <c r="G17" s="56">
        <f t="shared" si="3"/>
        <v>0</v>
      </c>
      <c r="H17" s="56">
        <f t="shared" si="4"/>
        <v>0</v>
      </c>
      <c r="I17" s="56">
        <f t="shared" si="5"/>
        <v>0</v>
      </c>
      <c r="J17" s="56"/>
      <c r="K17" s="42"/>
    </row>
    <row r="18" spans="1:11" x14ac:dyDescent="0.3">
      <c r="A18" s="56" t="str">
        <f>IF(13&lt;=nLan,13,"")</f>
        <v/>
      </c>
      <c r="B18" s="56">
        <f t="shared" si="0"/>
        <v>0</v>
      </c>
      <c r="C18" s="56">
        <f t="shared" si="1"/>
        <v>0</v>
      </c>
      <c r="D18" s="56">
        <f>IF(A18="",0,('HOAT TAI'!$D$7+'HOAT TAI'!$D$9*(1+IM_))*A18*B18+pPL*bPL*0.5*(Ls1_+Ls2_))</f>
        <v>0</v>
      </c>
      <c r="E18" s="56">
        <f t="shared" si="2"/>
        <v>0</v>
      </c>
      <c r="F18" s="56">
        <f>IF(A18="",0,('HOAT TAI'!$C$7+'HOAT TAI'!$C$9*(1+IM_))*A18*B18+pPL*bPL*0.5*Ls1_)</f>
        <v>0</v>
      </c>
      <c r="G18" s="56">
        <f t="shared" si="3"/>
        <v>0</v>
      </c>
      <c r="H18" s="56">
        <f t="shared" si="4"/>
        <v>0</v>
      </c>
      <c r="I18" s="56">
        <f t="shared" si="5"/>
        <v>0</v>
      </c>
      <c r="J18" s="56"/>
      <c r="K18" s="42"/>
    </row>
    <row r="19" spans="1:11" x14ac:dyDescent="0.3">
      <c r="A19" s="56" t="str">
        <f>IF(14&lt;=nLan,14,"")</f>
        <v/>
      </c>
      <c r="B19" s="56">
        <f t="shared" si="0"/>
        <v>0</v>
      </c>
      <c r="C19" s="56">
        <f t="shared" si="1"/>
        <v>0</v>
      </c>
      <c r="D19" s="56">
        <f>IF(A19="",0,('HOAT TAI'!$D$7+'HOAT TAI'!$D$9*(1+IM_))*A19*B19+pPL*bPL*0.5*(Ls1_+Ls2_))</f>
        <v>0</v>
      </c>
      <c r="E19" s="56">
        <f t="shared" si="2"/>
        <v>0</v>
      </c>
      <c r="F19" s="56">
        <f>IF(A19="",0,('HOAT TAI'!$C$7+'HOAT TAI'!$C$9*(1+IM_))*A19*B19+pPL*bPL*0.5*Ls1_)</f>
        <v>0</v>
      </c>
      <c r="G19" s="56">
        <f t="shared" si="3"/>
        <v>0</v>
      </c>
      <c r="H19" s="56">
        <f t="shared" si="4"/>
        <v>0</v>
      </c>
      <c r="I19" s="56">
        <f t="shared" si="5"/>
        <v>0</v>
      </c>
      <c r="J19" s="56"/>
      <c r="K19" s="42"/>
    </row>
    <row r="20" spans="1:11" x14ac:dyDescent="0.3">
      <c r="A20" s="56" t="str">
        <f>IF(15&lt;=nLan,15,"")</f>
        <v/>
      </c>
      <c r="B20" s="56">
        <f t="shared" si="0"/>
        <v>0</v>
      </c>
      <c r="C20" s="56">
        <f t="shared" si="1"/>
        <v>0</v>
      </c>
      <c r="D20" s="56">
        <f>IF(A20="",0,('HOAT TAI'!$D$7+'HOAT TAI'!$D$9*(1+IM_))*A20*B20+pPL*bPL*0.5*(Ls1_+Ls2_))</f>
        <v>0</v>
      </c>
      <c r="E20" s="56">
        <f t="shared" si="2"/>
        <v>0</v>
      </c>
      <c r="F20" s="56">
        <f>IF(A20="",0,('HOAT TAI'!$C$7+'HOAT TAI'!$C$9*(1+IM_))*A20*B20+pPL*bPL*0.5*Ls1_)</f>
        <v>0</v>
      </c>
      <c r="G20" s="56">
        <f t="shared" si="3"/>
        <v>0</v>
      </c>
      <c r="H20" s="56">
        <f t="shared" si="4"/>
        <v>0</v>
      </c>
      <c r="I20" s="56">
        <f t="shared" si="5"/>
        <v>0</v>
      </c>
      <c r="J20" s="56"/>
      <c r="K20" s="42"/>
    </row>
    <row r="21" spans="1:11" x14ac:dyDescent="0.3">
      <c r="A21" s="56" t="str">
        <f>IF(16&lt;=nLan,16,"")</f>
        <v/>
      </c>
      <c r="B21" s="56">
        <f t="shared" si="0"/>
        <v>0</v>
      </c>
      <c r="C21" s="56">
        <f t="shared" si="1"/>
        <v>0</v>
      </c>
      <c r="D21" s="56">
        <f>IF(A21="",0,('HOAT TAI'!$D$7+'HOAT TAI'!$D$9*(1+IM_))*A21*B21+pPL*bPL*0.5*(Ls1_+Ls2_))</f>
        <v>0</v>
      </c>
      <c r="E21" s="56">
        <f t="shared" si="2"/>
        <v>0</v>
      </c>
      <c r="F21" s="56">
        <f>IF(A21="",0,('HOAT TAI'!$C$7+'HOAT TAI'!$C$9*(1+IM_))*A21*B21+pPL*bPL*0.5*Ls1_)</f>
        <v>0</v>
      </c>
      <c r="G21" s="56">
        <f t="shared" si="3"/>
        <v>0</v>
      </c>
      <c r="H21" s="56">
        <f t="shared" si="4"/>
        <v>0</v>
      </c>
      <c r="I21" s="56">
        <f t="shared" si="5"/>
        <v>0</v>
      </c>
      <c r="J21" s="56"/>
      <c r="K21" s="42"/>
    </row>
    <row r="22" spans="1:11" x14ac:dyDescent="0.3">
      <c r="A22" s="56" t="str">
        <f>IF(17&lt;=nLan,17,"")</f>
        <v/>
      </c>
      <c r="B22" s="56">
        <f t="shared" si="0"/>
        <v>0</v>
      </c>
      <c r="C22" s="56">
        <f t="shared" si="1"/>
        <v>0</v>
      </c>
      <c r="D22" s="56">
        <f>IF(A22="",0,('HOAT TAI'!$D$7+'HOAT TAI'!$D$9*(1+IM_))*A22*B22+pPL*bPL*0.5*(Ls1_+Ls2_))</f>
        <v>0</v>
      </c>
      <c r="E22" s="56">
        <f t="shared" si="2"/>
        <v>0</v>
      </c>
      <c r="F22" s="56">
        <f>IF(A22="",0,('HOAT TAI'!$C$7+'HOAT TAI'!$C$9*(1+IM_))*A22*B22+pPL*bPL*0.5*Ls1_)</f>
        <v>0</v>
      </c>
      <c r="G22" s="56">
        <f t="shared" si="3"/>
        <v>0</v>
      </c>
      <c r="H22" s="56">
        <f t="shared" si="4"/>
        <v>0</v>
      </c>
      <c r="I22" s="56">
        <f t="shared" si="5"/>
        <v>0</v>
      </c>
      <c r="J22" s="56"/>
      <c r="K22" s="42"/>
    </row>
    <row r="23" spans="1:11" x14ac:dyDescent="0.3">
      <c r="A23" s="56" t="str">
        <f>IF(18&lt;=nLan,18,"")</f>
        <v/>
      </c>
      <c r="B23" s="56">
        <f t="shared" si="0"/>
        <v>0</v>
      </c>
      <c r="C23" s="56">
        <f t="shared" si="1"/>
        <v>0</v>
      </c>
      <c r="D23" s="56">
        <f>IF(A23="",0,('HOAT TAI'!$D$7+'HOAT TAI'!$D$9*(1+IM_))*A23*B23+pPL*bPL*0.5*(Ls1_+Ls2_))</f>
        <v>0</v>
      </c>
      <c r="E23" s="56">
        <f t="shared" si="2"/>
        <v>0</v>
      </c>
      <c r="F23" s="56">
        <f>IF(A23="",0,('HOAT TAI'!$C$7+'HOAT TAI'!$C$9*(1+IM_))*A23*B23+pPL*bPL*0.5*Ls1_)</f>
        <v>0</v>
      </c>
      <c r="G23" s="56">
        <f t="shared" si="3"/>
        <v>0</v>
      </c>
      <c r="H23" s="56">
        <f t="shared" si="4"/>
        <v>0</v>
      </c>
      <c r="I23" s="56">
        <f t="shared" si="5"/>
        <v>0</v>
      </c>
      <c r="J23" s="56"/>
      <c r="K23" s="42"/>
    </row>
    <row r="24" spans="1:11" x14ac:dyDescent="0.3">
      <c r="A24" s="56" t="str">
        <f>IF(19&lt;=nLan,19,"")</f>
        <v/>
      </c>
      <c r="B24" s="56">
        <f t="shared" si="0"/>
        <v>0</v>
      </c>
      <c r="C24" s="56">
        <f t="shared" si="1"/>
        <v>0</v>
      </c>
      <c r="D24" s="56">
        <f>IF(A24="",0,('HOAT TAI'!$D$7+'HOAT TAI'!$D$9*(1+IM_))*A24*B24+pPL*bPL*0.5*(Ls1_+Ls2_))</f>
        <v>0</v>
      </c>
      <c r="E24" s="56">
        <f t="shared" si="2"/>
        <v>0</v>
      </c>
      <c r="F24" s="56">
        <f>IF(A24="",0,('HOAT TAI'!$C$7+'HOAT TAI'!$C$9*(1+IM_))*A24*B24+pPL*bPL*0.5*Ls1_)</f>
        <v>0</v>
      </c>
      <c r="G24" s="56">
        <f t="shared" si="3"/>
        <v>0</v>
      </c>
      <c r="H24" s="56">
        <f t="shared" si="4"/>
        <v>0</v>
      </c>
      <c r="I24" s="56">
        <f t="shared" si="5"/>
        <v>0</v>
      </c>
      <c r="J24" s="56"/>
      <c r="K24" s="42"/>
    </row>
    <row r="25" spans="1:11" x14ac:dyDescent="0.3">
      <c r="A25" s="56" t="str">
        <f>IF(20&lt;=nLan,20,"")</f>
        <v/>
      </c>
      <c r="B25" s="56">
        <f t="shared" si="0"/>
        <v>0</v>
      </c>
      <c r="C25" s="56">
        <f t="shared" si="1"/>
        <v>0</v>
      </c>
      <c r="D25" s="56">
        <f>IF(A25="",0,('HOAT TAI'!$D$7+'HOAT TAI'!$D$9*(1+IM_))*A25*B25+pPL*bPL*0.5*(Ls1_+Ls2_))</f>
        <v>0</v>
      </c>
      <c r="E25" s="56">
        <f t="shared" si="2"/>
        <v>0</v>
      </c>
      <c r="F25" s="56">
        <f>IF(A25="",0,('HOAT TAI'!$C$7+'HOAT TAI'!$C$9*(1+IM_))*A25*B25+pPL*bPL*0.5*Ls1_)</f>
        <v>0</v>
      </c>
      <c r="G25" s="56">
        <f t="shared" si="3"/>
        <v>0</v>
      </c>
      <c r="H25" s="56">
        <f t="shared" si="4"/>
        <v>0</v>
      </c>
      <c r="I25" s="56">
        <f t="shared" si="5"/>
        <v>0</v>
      </c>
      <c r="J25" s="56"/>
      <c r="K25" s="42"/>
    </row>
    <row r="26" spans="1:11" x14ac:dyDescent="0.3">
      <c r="A26" s="56" t="str">
        <f>IF(21&lt;=nLan,21,"")</f>
        <v/>
      </c>
      <c r="B26" s="56">
        <f t="shared" si="0"/>
        <v>0</v>
      </c>
      <c r="C26" s="56">
        <f t="shared" si="1"/>
        <v>0</v>
      </c>
      <c r="D26" s="56">
        <f>IF(A26="",0,('HOAT TAI'!$D$7+'HOAT TAI'!$D$9*(1+IM_))*A26*B26+pPL*bPL*0.5*(Ls1_+Ls2_))</f>
        <v>0</v>
      </c>
      <c r="E26" s="56">
        <f t="shared" si="2"/>
        <v>0</v>
      </c>
      <c r="F26" s="56">
        <f>IF(A26="",0,('HOAT TAI'!$C$7+'HOAT TAI'!$C$9*(1+IM_))*A26*B26+pPL*bPL*0.5*Ls1_)</f>
        <v>0</v>
      </c>
      <c r="G26" s="56">
        <f t="shared" si="3"/>
        <v>0</v>
      </c>
      <c r="H26" s="56">
        <f t="shared" si="4"/>
        <v>0</v>
      </c>
      <c r="I26" s="56">
        <f t="shared" si="5"/>
        <v>0</v>
      </c>
      <c r="J26" s="56"/>
      <c r="K26" s="42"/>
    </row>
    <row r="27" spans="1:11" x14ac:dyDescent="0.3">
      <c r="A27" s="56" t="str">
        <f>IF(22&lt;=nLan,22,"")</f>
        <v/>
      </c>
      <c r="B27" s="56">
        <f t="shared" si="0"/>
        <v>0</v>
      </c>
      <c r="C27" s="56">
        <f t="shared" si="1"/>
        <v>0</v>
      </c>
      <c r="D27" s="56">
        <f>IF(A27="",0,('HOAT TAI'!$D$7+'HOAT TAI'!$D$9*(1+IM_))*A27*B27+pPL*bPL*0.5*(Ls1_+Ls2_))</f>
        <v>0</v>
      </c>
      <c r="E27" s="56">
        <f t="shared" si="2"/>
        <v>0</v>
      </c>
      <c r="F27" s="56">
        <f>IF(A27="",0,('HOAT TAI'!$C$7+'HOAT TAI'!$C$9*(1+IM_))*A27*B27+pPL*bPL*0.5*Ls1_)</f>
        <v>0</v>
      </c>
      <c r="G27" s="56">
        <f t="shared" si="3"/>
        <v>0</v>
      </c>
      <c r="H27" s="56">
        <f t="shared" si="4"/>
        <v>0</v>
      </c>
      <c r="I27" s="56">
        <f t="shared" si="5"/>
        <v>0</v>
      </c>
      <c r="J27" s="56"/>
      <c r="K27" s="42"/>
    </row>
    <row r="28" spans="1:11" x14ac:dyDescent="0.3">
      <c r="A28" s="56" t="str">
        <f>IF(23&lt;=nLan,23,"")</f>
        <v/>
      </c>
      <c r="B28" s="56">
        <f t="shared" si="0"/>
        <v>0</v>
      </c>
      <c r="C28" s="56">
        <f t="shared" si="1"/>
        <v>0</v>
      </c>
      <c r="D28" s="56">
        <f>IF(A28="",0,('HOAT TAI'!$D$7+'HOAT TAI'!$D$9*(1+IM_))*A28*B28+pPL*bPL*0.5*(Ls1_+Ls2_))</f>
        <v>0</v>
      </c>
      <c r="E28" s="56">
        <f t="shared" si="2"/>
        <v>0</v>
      </c>
      <c r="F28" s="56">
        <f>IF(A28="",0,('HOAT TAI'!$C$7+'HOAT TAI'!$C$9*(1+IM_))*A28*B28+pPL*bPL*0.5*Ls1_)</f>
        <v>0</v>
      </c>
      <c r="G28" s="56">
        <f t="shared" si="3"/>
        <v>0</v>
      </c>
      <c r="H28" s="56">
        <f t="shared" si="4"/>
        <v>0</v>
      </c>
      <c r="I28" s="56">
        <f t="shared" si="5"/>
        <v>0</v>
      </c>
      <c r="J28" s="56"/>
      <c r="K28" s="42"/>
    </row>
    <row r="29" spans="1:11" x14ac:dyDescent="0.3">
      <c r="A29" s="56" t="str">
        <f>IF(24&lt;=nLan,24,"")</f>
        <v/>
      </c>
      <c r="B29" s="56">
        <f t="shared" si="0"/>
        <v>0</v>
      </c>
      <c r="C29" s="56">
        <f t="shared" si="1"/>
        <v>0</v>
      </c>
      <c r="D29" s="56">
        <f>IF(A29="",0,('HOAT TAI'!$D$7+'HOAT TAI'!$D$9*(1+IM_))*A29*B29+pPL*bPL*0.5*(Ls1_+Ls2_))</f>
        <v>0</v>
      </c>
      <c r="E29" s="56">
        <f t="shared" si="2"/>
        <v>0</v>
      </c>
      <c r="F29" s="56">
        <f>IF(A29="",0,('HOAT TAI'!$C$7+'HOAT TAI'!$C$9*(1+IM_))*A29*B29+pPL*bPL*0.5*Ls1_)</f>
        <v>0</v>
      </c>
      <c r="G29" s="56">
        <f t="shared" si="3"/>
        <v>0</v>
      </c>
      <c r="H29" s="56">
        <f t="shared" si="4"/>
        <v>0</v>
      </c>
      <c r="I29" s="56">
        <f t="shared" si="5"/>
        <v>0</v>
      </c>
      <c r="J29" s="56"/>
      <c r="K29" s="42"/>
    </row>
    <row r="30" spans="1:11" x14ac:dyDescent="0.3">
      <c r="A30" s="56" t="str">
        <f>IF(25&lt;=nLan,25,"")</f>
        <v/>
      </c>
      <c r="B30" s="56">
        <f t="shared" si="0"/>
        <v>0</v>
      </c>
      <c r="C30" s="56">
        <f t="shared" si="1"/>
        <v>0</v>
      </c>
      <c r="D30" s="56">
        <f>IF(A30="",0,('HOAT TAI'!$D$7+'HOAT TAI'!$D$9*(1+IM_))*A30*B30+pPL*bPL*0.5*(Ls1_+Ls2_))</f>
        <v>0</v>
      </c>
      <c r="E30" s="56">
        <f t="shared" si="2"/>
        <v>0</v>
      </c>
      <c r="F30" s="56">
        <f>IF(A30="",0,('HOAT TAI'!$C$7+'HOAT TAI'!$C$9*(1+IM_))*A30*B30+pPL*bPL*0.5*Ls1_)</f>
        <v>0</v>
      </c>
      <c r="G30" s="56">
        <f t="shared" si="3"/>
        <v>0</v>
      </c>
      <c r="H30" s="56">
        <f t="shared" si="4"/>
        <v>0</v>
      </c>
      <c r="I30" s="56">
        <f t="shared" si="5"/>
        <v>0</v>
      </c>
      <c r="J30" s="56"/>
      <c r="K30" s="42"/>
    </row>
    <row r="31" spans="1:11" x14ac:dyDescent="0.3">
      <c r="A31" s="56" t="str">
        <f>IF(26&lt;=nLan,26,"")</f>
        <v/>
      </c>
      <c r="B31" s="56">
        <f t="shared" si="0"/>
        <v>0</v>
      </c>
      <c r="C31" s="56">
        <f t="shared" si="1"/>
        <v>0</v>
      </c>
      <c r="D31" s="56">
        <f>IF(A31="",0,('HOAT TAI'!$D$7+'HOAT TAI'!$D$9*(1+IM_))*A31*B31+pPL*bPL*0.5*(Ls1_+Ls2_))</f>
        <v>0</v>
      </c>
      <c r="E31" s="56">
        <f t="shared" si="2"/>
        <v>0</v>
      </c>
      <c r="F31" s="56">
        <f>IF(A31="",0,('HOAT TAI'!$C$7+'HOAT TAI'!$C$9*(1+IM_))*A31*B31+pPL*bPL*0.5*Ls1_)</f>
        <v>0</v>
      </c>
      <c r="G31" s="56">
        <f t="shared" si="3"/>
        <v>0</v>
      </c>
      <c r="H31" s="56">
        <f t="shared" si="4"/>
        <v>0</v>
      </c>
      <c r="I31" s="56">
        <f t="shared" si="5"/>
        <v>0</v>
      </c>
      <c r="J31" s="56"/>
      <c r="K31" s="42"/>
    </row>
    <row r="32" spans="1:11" x14ac:dyDescent="0.3">
      <c r="A32" s="56" t="str">
        <f>IF(27&lt;=nLan,27,"")</f>
        <v/>
      </c>
      <c r="B32" s="56">
        <f t="shared" si="0"/>
        <v>0</v>
      </c>
      <c r="C32" s="56">
        <f t="shared" si="1"/>
        <v>0</v>
      </c>
      <c r="D32" s="56">
        <f>IF(A32="",0,('HOAT TAI'!$D$7+'HOAT TAI'!$D$9*(1+IM_))*A32*B32+pPL*bPL*0.5*(Ls1_+Ls2_))</f>
        <v>0</v>
      </c>
      <c r="E32" s="56">
        <f t="shared" si="2"/>
        <v>0</v>
      </c>
      <c r="F32" s="56">
        <f>IF(A32="",0,('HOAT TAI'!$C$7+'HOAT TAI'!$C$9*(1+IM_))*A32*B32+pPL*bPL*0.5*Ls1_)</f>
        <v>0</v>
      </c>
      <c r="G32" s="56">
        <f t="shared" si="3"/>
        <v>0</v>
      </c>
      <c r="H32" s="56">
        <f t="shared" si="4"/>
        <v>0</v>
      </c>
      <c r="I32" s="56">
        <f t="shared" si="5"/>
        <v>0</v>
      </c>
      <c r="J32" s="56"/>
      <c r="K32" s="42"/>
    </row>
    <row r="33" spans="1:11" x14ac:dyDescent="0.3">
      <c r="A33" s="56" t="str">
        <f>IF(28&lt;=nLan,28,"")</f>
        <v/>
      </c>
      <c r="B33" s="56">
        <f t="shared" si="0"/>
        <v>0</v>
      </c>
      <c r="C33" s="56">
        <f t="shared" si="1"/>
        <v>0</v>
      </c>
      <c r="D33" s="56">
        <f>IF(A33="",0,('HOAT TAI'!$D$7+'HOAT TAI'!$D$9*(1+IM_))*A33*B33+pPL*bPL*0.5*(Ls1_+Ls2_))</f>
        <v>0</v>
      </c>
      <c r="E33" s="56">
        <f t="shared" si="2"/>
        <v>0</v>
      </c>
      <c r="F33" s="56">
        <f>IF(A33="",0,('HOAT TAI'!$C$7+'HOAT TAI'!$C$9*(1+IM_))*A33*B33+pPL*bPL*0.5*Ls1_)</f>
        <v>0</v>
      </c>
      <c r="G33" s="56">
        <f t="shared" si="3"/>
        <v>0</v>
      </c>
      <c r="H33" s="56">
        <f t="shared" si="4"/>
        <v>0</v>
      </c>
      <c r="I33" s="56">
        <f t="shared" si="5"/>
        <v>0</v>
      </c>
      <c r="J33" s="56"/>
      <c r="K33" s="42"/>
    </row>
    <row r="34" spans="1:11" x14ac:dyDescent="0.3">
      <c r="A34" s="56" t="str">
        <f>IF(29&lt;=nLan,29,"")</f>
        <v/>
      </c>
      <c r="B34" s="56">
        <f t="shared" si="0"/>
        <v>0</v>
      </c>
      <c r="C34" s="56">
        <f t="shared" si="1"/>
        <v>0</v>
      </c>
      <c r="D34" s="56">
        <f>IF(A34="",0,('HOAT TAI'!$D$7+'HOAT TAI'!$D$9*(1+IM_))*A34*B34+pPL*bPL*0.5*(Ls1_+Ls2_))</f>
        <v>0</v>
      </c>
      <c r="E34" s="56">
        <f t="shared" si="2"/>
        <v>0</v>
      </c>
      <c r="F34" s="56">
        <f>IF(A34="",0,('HOAT TAI'!$C$7+'HOAT TAI'!$C$9*(1+IM_))*A34*B34+pPL*bPL*0.5*Ls1_)</f>
        <v>0</v>
      </c>
      <c r="G34" s="56">
        <f t="shared" si="3"/>
        <v>0</v>
      </c>
      <c r="H34" s="56">
        <f t="shared" si="4"/>
        <v>0</v>
      </c>
      <c r="I34" s="56">
        <f t="shared" si="5"/>
        <v>0</v>
      </c>
      <c r="J34" s="56"/>
      <c r="K34" s="42"/>
    </row>
    <row r="35" spans="1:11" x14ac:dyDescent="0.3">
      <c r="A35" s="56" t="str">
        <f>IF(30&lt;=nLan,30,"")</f>
        <v/>
      </c>
      <c r="B35" s="56">
        <f t="shared" si="0"/>
        <v>0</v>
      </c>
      <c r="C35" s="56">
        <f t="shared" si="1"/>
        <v>0</v>
      </c>
      <c r="D35" s="56">
        <f>IF(A35="",0,('HOAT TAI'!$D$7+'HOAT TAI'!$D$9*(1+IM_))*A35*B35+pPL*bPL*0.5*(Ls1_+Ls2_))</f>
        <v>0</v>
      </c>
      <c r="E35" s="56">
        <f t="shared" si="2"/>
        <v>0</v>
      </c>
      <c r="F35" s="56">
        <f>IF(A35="",0,('HOAT TAI'!$C$7+'HOAT TAI'!$C$9*(1+IM_))*A35*B35+pPL*bPL*0.5*Ls1_)</f>
        <v>0</v>
      </c>
      <c r="G35" s="56">
        <f t="shared" si="3"/>
        <v>0</v>
      </c>
      <c r="H35" s="56">
        <f t="shared" si="4"/>
        <v>0</v>
      </c>
      <c r="I35" s="56">
        <f t="shared" si="5"/>
        <v>0</v>
      </c>
      <c r="J35" s="56"/>
      <c r="K35" s="42"/>
    </row>
    <row r="36" spans="1:11" x14ac:dyDescent="0.3">
      <c r="A36" s="56" t="str">
        <f>IF(31&lt;=nLan,31,"")</f>
        <v/>
      </c>
      <c r="B36" s="56">
        <f t="shared" si="0"/>
        <v>0</v>
      </c>
      <c r="C36" s="56">
        <f t="shared" si="1"/>
        <v>0</v>
      </c>
      <c r="D36" s="56">
        <f>IF(A36="",0,('HOAT TAI'!$D$7+'HOAT TAI'!$D$9*(1+IM_))*A36*B36+pPL*bPL*0.5*(Ls1_+Ls2_))</f>
        <v>0</v>
      </c>
      <c r="E36" s="56">
        <f t="shared" si="2"/>
        <v>0</v>
      </c>
      <c r="F36" s="56">
        <f>IF(A36="",0,('HOAT TAI'!$C$7+'HOAT TAI'!$C$9*(1+IM_))*A36*B36+pPL*bPL*0.5*Ls1_)</f>
        <v>0</v>
      </c>
      <c r="G36" s="56">
        <f t="shared" si="3"/>
        <v>0</v>
      </c>
      <c r="H36" s="56">
        <f t="shared" si="4"/>
        <v>0</v>
      </c>
      <c r="I36" s="56">
        <f t="shared" si="5"/>
        <v>0</v>
      </c>
      <c r="J36" s="56"/>
      <c r="K36" s="42"/>
    </row>
    <row r="37" spans="1:11" x14ac:dyDescent="0.3">
      <c r="A37" s="56" t="str">
        <f>IF(32&lt;=nLan,32,"")</f>
        <v/>
      </c>
      <c r="B37" s="56">
        <f t="shared" si="0"/>
        <v>0</v>
      </c>
      <c r="C37" s="56">
        <f t="shared" si="1"/>
        <v>0</v>
      </c>
      <c r="D37" s="56">
        <f>IF(A37="",0,('HOAT TAI'!$D$7+'HOAT TAI'!$D$9*(1+IM_))*A37*B37+pPL*bPL*0.5*(Ls1_+Ls2_))</f>
        <v>0</v>
      </c>
      <c r="E37" s="56">
        <f t="shared" si="2"/>
        <v>0</v>
      </c>
      <c r="F37" s="56">
        <f>IF(A37="",0,('HOAT TAI'!$C$7+'HOAT TAI'!$C$9*(1+IM_))*A37*B37+pPL*bPL*0.5*Ls1_)</f>
        <v>0</v>
      </c>
      <c r="G37" s="56">
        <f t="shared" si="3"/>
        <v>0</v>
      </c>
      <c r="H37" s="56">
        <f t="shared" si="4"/>
        <v>0</v>
      </c>
      <c r="I37" s="56">
        <f t="shared" si="5"/>
        <v>0</v>
      </c>
      <c r="J37" s="56"/>
      <c r="K37" s="42"/>
    </row>
    <row r="38" spans="1:11" x14ac:dyDescent="0.3">
      <c r="A38" s="56" t="str">
        <f>IF(33&lt;=nLan,33,"")</f>
        <v/>
      </c>
      <c r="B38" s="56">
        <f t="shared" si="0"/>
        <v>0</v>
      </c>
      <c r="C38" s="56">
        <f t="shared" si="1"/>
        <v>0</v>
      </c>
      <c r="D38" s="56">
        <f>IF(A38="",0,('HOAT TAI'!$D$7+'HOAT TAI'!$D$9*(1+IM_))*A38*B38+pPL*bPL*0.5*(Ls1_+Ls2_))</f>
        <v>0</v>
      </c>
      <c r="E38" s="56">
        <f t="shared" si="2"/>
        <v>0</v>
      </c>
      <c r="F38" s="56">
        <f>IF(A38="",0,('HOAT TAI'!$C$7+'HOAT TAI'!$C$9*(1+IM_))*A38*B38+pPL*bPL*0.5*Ls1_)</f>
        <v>0</v>
      </c>
      <c r="G38" s="56">
        <f t="shared" si="3"/>
        <v>0</v>
      </c>
      <c r="H38" s="56">
        <f t="shared" si="4"/>
        <v>0</v>
      </c>
      <c r="I38" s="56">
        <f t="shared" si="5"/>
        <v>0</v>
      </c>
      <c r="J38" s="56"/>
      <c r="K38" s="42"/>
    </row>
    <row r="39" spans="1:11" x14ac:dyDescent="0.3">
      <c r="A39" s="56" t="str">
        <f>IF(34&lt;=nLan,34,"")</f>
        <v/>
      </c>
      <c r="B39" s="56">
        <f t="shared" si="0"/>
        <v>0</v>
      </c>
      <c r="C39" s="56">
        <f t="shared" si="1"/>
        <v>0</v>
      </c>
      <c r="D39" s="56">
        <f>IF(A39="",0,('HOAT TAI'!$D$7+'HOAT TAI'!$D$9*(1+IM_))*A39*B39+pPL*bPL*0.5*(Ls1_+Ls2_))</f>
        <v>0</v>
      </c>
      <c r="E39" s="56">
        <f t="shared" si="2"/>
        <v>0</v>
      </c>
      <c r="F39" s="56">
        <f>IF(A39="",0,('HOAT TAI'!$C$7+'HOAT TAI'!$C$9*(1+IM_))*A39*B39+pPL*bPL*0.5*Ls1_)</f>
        <v>0</v>
      </c>
      <c r="G39" s="56">
        <f t="shared" si="3"/>
        <v>0</v>
      </c>
      <c r="H39" s="56">
        <f t="shared" si="4"/>
        <v>0</v>
      </c>
      <c r="I39" s="56">
        <f t="shared" si="5"/>
        <v>0</v>
      </c>
      <c r="J39" s="56"/>
      <c r="K39" s="42"/>
    </row>
    <row r="40" spans="1:11" x14ac:dyDescent="0.3">
      <c r="A40" s="56" t="str">
        <f>IF(35&lt;=nLan,35,"")</f>
        <v/>
      </c>
      <c r="B40" s="56">
        <f t="shared" si="0"/>
        <v>0</v>
      </c>
      <c r="C40" s="56">
        <f t="shared" si="1"/>
        <v>0</v>
      </c>
      <c r="D40" s="56">
        <f>IF(A40="",0,('HOAT TAI'!$D$7+'HOAT TAI'!$D$9*(1+IM_))*A40*B40+pPL*bPL*0.5*(Ls1_+Ls2_))</f>
        <v>0</v>
      </c>
      <c r="E40" s="56">
        <f t="shared" si="2"/>
        <v>0</v>
      </c>
      <c r="F40" s="56">
        <f>IF(A40="",0,('HOAT TAI'!$C$7+'HOAT TAI'!$C$9*(1+IM_))*A40*B40+pPL*bPL*0.5*Ls1_)</f>
        <v>0</v>
      </c>
      <c r="G40" s="56">
        <f t="shared" si="3"/>
        <v>0</v>
      </c>
      <c r="H40" s="56">
        <f t="shared" si="4"/>
        <v>0</v>
      </c>
      <c r="I40" s="56">
        <f t="shared" si="5"/>
        <v>0</v>
      </c>
      <c r="J40" s="56"/>
      <c r="K40" s="42"/>
    </row>
    <row r="41" spans="1:11" x14ac:dyDescent="0.3">
      <c r="A41" s="56" t="str">
        <f>IF(36&lt;=nLan,36,"")</f>
        <v/>
      </c>
      <c r="B41" s="56">
        <f t="shared" si="0"/>
        <v>0</v>
      </c>
      <c r="C41" s="56">
        <f t="shared" si="1"/>
        <v>0</v>
      </c>
      <c r="D41" s="56">
        <f>IF(A41="",0,('HOAT TAI'!$D$7+'HOAT TAI'!$D$9*(1+IM_))*A41*B41+pPL*bPL*0.5*(Ls1_+Ls2_))</f>
        <v>0</v>
      </c>
      <c r="E41" s="56">
        <f t="shared" si="2"/>
        <v>0</v>
      </c>
      <c r="F41" s="56">
        <f>IF(A41="",0,('HOAT TAI'!$C$7+'HOAT TAI'!$C$9*(1+IM_))*A41*B41+pPL*bPL*0.5*Ls1_)</f>
        <v>0</v>
      </c>
      <c r="G41" s="56">
        <f t="shared" si="3"/>
        <v>0</v>
      </c>
      <c r="H41" s="56">
        <f t="shared" si="4"/>
        <v>0</v>
      </c>
      <c r="I41" s="56">
        <f t="shared" si="5"/>
        <v>0</v>
      </c>
      <c r="J41" s="56"/>
      <c r="K41" s="42"/>
    </row>
    <row r="42" spans="1:11" x14ac:dyDescent="0.3">
      <c r="A42" s="56" t="str">
        <f>IF(37&lt;=nLan,37,"")</f>
        <v/>
      </c>
      <c r="B42" s="56">
        <f t="shared" si="0"/>
        <v>0</v>
      </c>
      <c r="C42" s="56">
        <f t="shared" si="1"/>
        <v>0</v>
      </c>
      <c r="D42" s="56">
        <f>IF(A42="",0,('HOAT TAI'!$D$7+'HOAT TAI'!$D$9*(1+IM_))*A42*B42+pPL*bPL*0.5*(Ls1_+Ls2_))</f>
        <v>0</v>
      </c>
      <c r="E42" s="56">
        <f t="shared" si="2"/>
        <v>0</v>
      </c>
      <c r="F42" s="56">
        <f>IF(A42="",0,('HOAT TAI'!$C$7+'HOAT TAI'!$C$9*(1+IM_))*A42*B42+pPL*bPL*0.5*Ls1_)</f>
        <v>0</v>
      </c>
      <c r="G42" s="56">
        <f t="shared" si="3"/>
        <v>0</v>
      </c>
      <c r="H42" s="56">
        <f t="shared" si="4"/>
        <v>0</v>
      </c>
      <c r="I42" s="56">
        <f t="shared" si="5"/>
        <v>0</v>
      </c>
      <c r="J42" s="56"/>
      <c r="K42" s="42"/>
    </row>
    <row r="43" spans="1:11" x14ac:dyDescent="0.3">
      <c r="A43" s="56" t="str">
        <f>IF(38&lt;=nLan,38,"")</f>
        <v/>
      </c>
      <c r="B43" s="56">
        <f t="shared" si="0"/>
        <v>0</v>
      </c>
      <c r="C43" s="56">
        <f t="shared" si="1"/>
        <v>0</v>
      </c>
      <c r="D43" s="56">
        <f>IF(A43="",0,('HOAT TAI'!$D$7+'HOAT TAI'!$D$9*(1+IM_))*A43*B43+pPL*bPL*0.5*(Ls1_+Ls2_))</f>
        <v>0</v>
      </c>
      <c r="E43" s="56">
        <f t="shared" si="2"/>
        <v>0</v>
      </c>
      <c r="F43" s="56">
        <f>IF(A43="",0,('HOAT TAI'!$C$7+'HOAT TAI'!$C$9*(1+IM_))*A43*B43+pPL*bPL*0.5*Ls1_)</f>
        <v>0</v>
      </c>
      <c r="G43" s="56">
        <f t="shared" si="3"/>
        <v>0</v>
      </c>
      <c r="H43" s="56">
        <f t="shared" si="4"/>
        <v>0</v>
      </c>
      <c r="I43" s="56">
        <f t="shared" si="5"/>
        <v>0</v>
      </c>
      <c r="J43" s="56"/>
      <c r="K43" s="42"/>
    </row>
    <row r="44" spans="1:11" x14ac:dyDescent="0.3">
      <c r="A44" s="56" t="str">
        <f>IF(39&lt;=nLan,39,"")</f>
        <v/>
      </c>
      <c r="B44" s="56">
        <f t="shared" si="0"/>
        <v>0</v>
      </c>
      <c r="C44" s="56">
        <f t="shared" si="1"/>
        <v>0</v>
      </c>
      <c r="D44" s="56">
        <f>IF(A44="",0,('HOAT TAI'!$D$7+'HOAT TAI'!$D$9*(1+IM_))*A44*B44+pPL*bPL*0.5*(Ls1_+Ls2_))</f>
        <v>0</v>
      </c>
      <c r="E44" s="56">
        <f t="shared" si="2"/>
        <v>0</v>
      </c>
      <c r="F44" s="56">
        <f>IF(A44="",0,('HOAT TAI'!$C$7+'HOAT TAI'!$C$9*(1+IM_))*A44*B44+pPL*bPL*0.5*Ls1_)</f>
        <v>0</v>
      </c>
      <c r="G44" s="56">
        <f t="shared" si="3"/>
        <v>0</v>
      </c>
      <c r="H44" s="56">
        <f t="shared" si="4"/>
        <v>0</v>
      </c>
      <c r="I44" s="56">
        <f t="shared" si="5"/>
        <v>0</v>
      </c>
      <c r="J44" s="56"/>
      <c r="K44" s="42"/>
    </row>
    <row r="45" spans="1:11" x14ac:dyDescent="0.3">
      <c r="A45" s="56" t="str">
        <f>IF(40&lt;=nLan,40,"")</f>
        <v/>
      </c>
      <c r="B45" s="56">
        <f t="shared" si="0"/>
        <v>0</v>
      </c>
      <c r="C45" s="56">
        <f t="shared" si="1"/>
        <v>0</v>
      </c>
      <c r="D45" s="56">
        <f>IF(A45="",0,('HOAT TAI'!$D$7+'HOAT TAI'!$D$9*(1+IM_))*A45*B45+pPL*bPL*0.5*(Ls1_+Ls2_))</f>
        <v>0</v>
      </c>
      <c r="E45" s="56">
        <f t="shared" si="2"/>
        <v>0</v>
      </c>
      <c r="F45" s="56">
        <f>IF(A45="",0,('HOAT TAI'!$C$7+'HOAT TAI'!$C$9*(1+IM_))*A45*B45+pPL*bPL*0.5*Ls1_)</f>
        <v>0</v>
      </c>
      <c r="G45" s="56">
        <f t="shared" si="3"/>
        <v>0</v>
      </c>
      <c r="H45" s="56">
        <f t="shared" si="4"/>
        <v>0</v>
      </c>
      <c r="I45" s="56">
        <f t="shared" si="5"/>
        <v>0</v>
      </c>
      <c r="J45" s="56"/>
      <c r="K45" s="42"/>
    </row>
    <row r="46" spans="1:11" x14ac:dyDescent="0.3">
      <c r="A46" s="57"/>
      <c r="B46" s="57"/>
      <c r="C46" s="57"/>
      <c r="D46" s="57"/>
      <c r="E46" s="57"/>
      <c r="F46" s="57"/>
      <c r="G46" s="57"/>
      <c r="H46" s="57"/>
      <c r="I46" s="57"/>
      <c r="J46" s="57"/>
    </row>
    <row r="47" spans="1:11" x14ac:dyDescent="0.3">
      <c r="A47" s="57"/>
      <c r="B47" s="57"/>
      <c r="C47" s="57"/>
      <c r="D47" s="57"/>
      <c r="E47" s="57"/>
      <c r="F47" s="57"/>
      <c r="G47" s="57"/>
      <c r="H47" s="57"/>
      <c r="I47" s="57"/>
      <c r="J47" s="57"/>
    </row>
    <row r="48" spans="1:11" x14ac:dyDescent="0.3">
      <c r="A48" s="57"/>
      <c r="B48" s="57"/>
      <c r="C48" s="57"/>
      <c r="D48" s="57"/>
      <c r="E48" s="57"/>
      <c r="F48" s="57"/>
      <c r="G48" s="57"/>
      <c r="H48" s="57"/>
      <c r="I48" s="57"/>
      <c r="J48" s="57"/>
    </row>
    <row r="49" spans="1:10" x14ac:dyDescent="0.3">
      <c r="A49" s="57"/>
      <c r="B49" s="57"/>
      <c r="C49" s="57"/>
      <c r="D49" s="57"/>
      <c r="E49" s="57"/>
      <c r="F49" s="57"/>
      <c r="G49" s="57"/>
      <c r="H49" s="57"/>
      <c r="I49" s="57"/>
      <c r="J49" s="57"/>
    </row>
    <row r="50" spans="1:10" x14ac:dyDescent="0.3">
      <c r="A50" s="57"/>
      <c r="B50" s="57"/>
      <c r="C50" s="57"/>
      <c r="D50" s="57"/>
      <c r="E50" s="57"/>
      <c r="F50" s="57"/>
      <c r="G50" s="57"/>
      <c r="H50" s="57"/>
      <c r="I50" s="57"/>
      <c r="J50" s="57"/>
    </row>
    <row r="51" spans="1:10" x14ac:dyDescent="0.3">
      <c r="A51" s="57"/>
      <c r="B51" s="57"/>
      <c r="C51" s="57"/>
      <c r="D51" s="57"/>
      <c r="E51" s="57"/>
      <c r="F51" s="57"/>
      <c r="G51" s="57"/>
      <c r="H51" s="57"/>
      <c r="I51" s="57"/>
      <c r="J51" s="57"/>
    </row>
    <row r="52" spans="1:10" x14ac:dyDescent="0.3">
      <c r="A52" s="57"/>
      <c r="B52" s="57"/>
      <c r="C52" s="57"/>
      <c r="D52" s="57"/>
      <c r="E52" s="57"/>
      <c r="F52" s="57"/>
      <c r="G52" s="57"/>
      <c r="H52" s="57"/>
      <c r="I52" s="57"/>
      <c r="J52" s="57"/>
    </row>
    <row r="53" spans="1:10" x14ac:dyDescent="0.3">
      <c r="A53" s="57"/>
      <c r="B53" s="57"/>
      <c r="C53" s="57"/>
      <c r="D53" s="57"/>
      <c r="E53" s="57"/>
      <c r="F53" s="57"/>
      <c r="G53" s="57"/>
      <c r="H53" s="57"/>
      <c r="I53" s="57"/>
      <c r="J53" s="57"/>
    </row>
    <row r="54" spans="1:10" x14ac:dyDescent="0.3">
      <c r="A54" s="57"/>
      <c r="B54" s="57"/>
      <c r="C54" s="57"/>
      <c r="D54" s="57"/>
      <c r="E54" s="57"/>
      <c r="F54" s="57"/>
      <c r="G54" s="57"/>
      <c r="H54" s="57"/>
      <c r="I54" s="57"/>
      <c r="J54" s="57"/>
    </row>
    <row r="55" spans="1:10" x14ac:dyDescent="0.3">
      <c r="A55" s="57"/>
      <c r="B55" s="57"/>
      <c r="C55" s="57"/>
      <c r="D55" s="57"/>
      <c r="E55" s="57"/>
      <c r="F55" s="57"/>
      <c r="G55" s="57"/>
      <c r="H55" s="57"/>
      <c r="I55" s="57"/>
      <c r="J55" s="57"/>
    </row>
    <row r="56" spans="1:10" x14ac:dyDescent="0.3">
      <c r="A56" s="57"/>
      <c r="B56" s="57"/>
      <c r="C56" s="57"/>
      <c r="D56" s="57"/>
      <c r="E56" s="57"/>
      <c r="F56" s="57"/>
      <c r="G56" s="57"/>
      <c r="H56" s="57"/>
      <c r="I56" s="57"/>
      <c r="J56" s="57"/>
    </row>
    <row r="57" spans="1:10" x14ac:dyDescent="0.3">
      <c r="A57" s="57"/>
      <c r="B57" s="57"/>
      <c r="C57" s="57"/>
      <c r="D57" s="57"/>
      <c r="E57" s="57"/>
      <c r="F57" s="57"/>
      <c r="G57" s="57"/>
      <c r="H57" s="57"/>
      <c r="I57" s="57"/>
      <c r="J57" s="57"/>
    </row>
    <row r="58" spans="1:10" x14ac:dyDescent="0.3">
      <c r="A58" s="57"/>
      <c r="B58" s="57"/>
      <c r="C58" s="57"/>
      <c r="D58" s="57"/>
      <c r="E58" s="57"/>
      <c r="F58" s="57"/>
      <c r="G58" s="57"/>
      <c r="H58" s="57"/>
      <c r="I58" s="57"/>
      <c r="J58" s="57"/>
    </row>
    <row r="59" spans="1:10" x14ac:dyDescent="0.3">
      <c r="A59" s="57"/>
      <c r="B59" s="57"/>
      <c r="C59" s="57"/>
      <c r="D59" s="57"/>
      <c r="E59" s="57"/>
      <c r="F59" s="57"/>
      <c r="G59" s="57"/>
      <c r="H59" s="57"/>
      <c r="I59" s="57"/>
      <c r="J59" s="57"/>
    </row>
    <row r="60" spans="1:10" x14ac:dyDescent="0.3">
      <c r="A60" s="57"/>
      <c r="B60" s="57"/>
      <c r="C60" s="57"/>
      <c r="D60" s="57"/>
      <c r="E60" s="57"/>
      <c r="F60" s="57"/>
      <c r="G60" s="57"/>
      <c r="H60" s="57"/>
      <c r="I60" s="57"/>
      <c r="J60" s="57"/>
    </row>
    <row r="61" spans="1:10" x14ac:dyDescent="0.3">
      <c r="A61" s="57"/>
      <c r="B61" s="57"/>
      <c r="C61" s="57"/>
      <c r="D61" s="57"/>
      <c r="E61" s="57"/>
      <c r="F61" s="57"/>
      <c r="G61" s="57"/>
      <c r="H61" s="57"/>
      <c r="I61" s="57"/>
      <c r="J61" s="57"/>
    </row>
    <row r="62" spans="1:10" x14ac:dyDescent="0.3">
      <c r="A62" s="57"/>
      <c r="B62" s="57"/>
      <c r="C62" s="57"/>
      <c r="D62" s="57"/>
      <c r="E62" s="57"/>
      <c r="F62" s="57"/>
      <c r="G62" s="57"/>
      <c r="H62" s="57"/>
      <c r="I62" s="57"/>
      <c r="J62" s="57"/>
    </row>
    <row r="63" spans="1:10" x14ac:dyDescent="0.3">
      <c r="A63" s="57"/>
      <c r="B63" s="57"/>
      <c r="C63" s="57"/>
      <c r="D63" s="57"/>
      <c r="E63" s="57"/>
      <c r="F63" s="57"/>
      <c r="G63" s="57"/>
      <c r="H63" s="57"/>
      <c r="I63" s="57"/>
      <c r="J63" s="57"/>
    </row>
    <row r="64" spans="1:10" x14ac:dyDescent="0.3">
      <c r="A64" s="57"/>
      <c r="B64" s="57"/>
      <c r="C64" s="57"/>
      <c r="D64" s="57"/>
      <c r="E64" s="57"/>
      <c r="F64" s="57"/>
      <c r="G64" s="57"/>
      <c r="H64" s="57"/>
      <c r="I64" s="57"/>
      <c r="J64" s="57"/>
    </row>
    <row r="65" spans="1:10" x14ac:dyDescent="0.3">
      <c r="A65" s="57"/>
      <c r="B65" s="57"/>
      <c r="C65" s="57"/>
      <c r="D65" s="57"/>
      <c r="E65" s="57"/>
      <c r="F65" s="57"/>
      <c r="G65" s="57"/>
      <c r="H65" s="57"/>
      <c r="I65" s="57"/>
      <c r="J65" s="57"/>
    </row>
    <row r="66" spans="1:10" x14ac:dyDescent="0.3">
      <c r="A66" s="57"/>
      <c r="B66" s="57"/>
      <c r="C66" s="57"/>
      <c r="D66" s="57"/>
      <c r="E66" s="57"/>
      <c r="F66" s="57"/>
      <c r="G66" s="57"/>
      <c r="H66" s="57"/>
      <c r="I66" s="57"/>
      <c r="J66" s="57"/>
    </row>
    <row r="67" spans="1:10" x14ac:dyDescent="0.3">
      <c r="A67" s="57"/>
      <c r="B67" s="57"/>
      <c r="C67" s="57"/>
      <c r="D67" s="57"/>
      <c r="E67" s="57"/>
      <c r="F67" s="57"/>
      <c r="G67" s="57"/>
      <c r="H67" s="57"/>
      <c r="I67" s="57"/>
      <c r="J67" s="57"/>
    </row>
    <row r="68" spans="1:10" x14ac:dyDescent="0.3">
      <c r="A68" s="57"/>
      <c r="B68" s="57"/>
      <c r="C68" s="57"/>
      <c r="D68" s="57"/>
      <c r="E68" s="57"/>
      <c r="F68" s="57"/>
      <c r="G68" s="57"/>
      <c r="H68" s="57"/>
      <c r="I68" s="57"/>
      <c r="J68" s="57"/>
    </row>
    <row r="69" spans="1:10" x14ac:dyDescent="0.3">
      <c r="A69" s="57"/>
      <c r="B69" s="57"/>
      <c r="C69" s="57"/>
      <c r="D69" s="57"/>
      <c r="E69" s="57"/>
      <c r="F69" s="57"/>
      <c r="G69" s="57"/>
      <c r="H69" s="57"/>
      <c r="I69" s="57"/>
      <c r="J69" s="57"/>
    </row>
    <row r="70" spans="1:10" x14ac:dyDescent="0.3">
      <c r="A70" s="57"/>
      <c r="B70" s="57"/>
      <c r="C70" s="57"/>
      <c r="D70" s="57"/>
      <c r="E70" s="57"/>
      <c r="F70" s="57"/>
      <c r="G70" s="57"/>
      <c r="H70" s="57"/>
      <c r="I70" s="57"/>
      <c r="J70" s="57"/>
    </row>
    <row r="71" spans="1:10" x14ac:dyDescent="0.3">
      <c r="A71" s="57"/>
      <c r="B71" s="57"/>
      <c r="C71" s="57"/>
      <c r="D71" s="57"/>
      <c r="E71" s="57"/>
      <c r="F71" s="57"/>
      <c r="G71" s="57"/>
      <c r="H71" s="57"/>
      <c r="I71" s="57"/>
      <c r="J71" s="57"/>
    </row>
    <row r="72" spans="1:10" x14ac:dyDescent="0.3">
      <c r="A72" s="57"/>
      <c r="B72" s="57"/>
      <c r="C72" s="57"/>
      <c r="D72" s="57"/>
      <c r="E72" s="57"/>
      <c r="F72" s="57"/>
      <c r="G72" s="57"/>
      <c r="H72" s="57"/>
      <c r="I72" s="57"/>
      <c r="J72" s="57"/>
    </row>
    <row r="73" spans="1:10" x14ac:dyDescent="0.3">
      <c r="A73" s="57"/>
      <c r="B73" s="57"/>
      <c r="C73" s="57"/>
      <c r="D73" s="57"/>
      <c r="E73" s="57"/>
      <c r="F73" s="57"/>
      <c r="G73" s="57"/>
      <c r="H73" s="57"/>
      <c r="I73" s="57"/>
      <c r="J73" s="57"/>
    </row>
    <row r="74" spans="1:10" x14ac:dyDescent="0.3">
      <c r="A74" s="57"/>
      <c r="B74" s="57"/>
      <c r="C74" s="57"/>
      <c r="D74" s="57"/>
      <c r="E74" s="57"/>
      <c r="F74" s="57"/>
      <c r="G74" s="57"/>
      <c r="H74" s="57"/>
      <c r="I74" s="57"/>
      <c r="J74" s="57"/>
    </row>
    <row r="75" spans="1:10" x14ac:dyDescent="0.3">
      <c r="A75" s="57"/>
      <c r="B75" s="57"/>
      <c r="C75" s="57"/>
      <c r="D75" s="57"/>
      <c r="E75" s="57"/>
      <c r="F75" s="57"/>
      <c r="G75" s="57"/>
      <c r="H75" s="57"/>
      <c r="I75" s="57"/>
      <c r="J75" s="57"/>
    </row>
    <row r="76" spans="1:10" x14ac:dyDescent="0.3">
      <c r="A76" s="57"/>
      <c r="B76" s="57"/>
      <c r="C76" s="57"/>
      <c r="D76" s="57"/>
      <c r="E76" s="57"/>
      <c r="F76" s="57"/>
      <c r="G76" s="57"/>
      <c r="H76" s="57"/>
      <c r="I76" s="57"/>
      <c r="J76" s="57"/>
    </row>
    <row r="77" spans="1:10" x14ac:dyDescent="0.3">
      <c r="A77" s="57"/>
      <c r="B77" s="57"/>
      <c r="C77" s="57"/>
      <c r="D77" s="57"/>
      <c r="E77" s="57"/>
      <c r="F77" s="57"/>
      <c r="G77" s="57"/>
      <c r="H77" s="57"/>
      <c r="I77" s="57"/>
      <c r="J77" s="57"/>
    </row>
    <row r="78" spans="1:10" x14ac:dyDescent="0.3">
      <c r="A78" s="57"/>
      <c r="B78" s="57"/>
      <c r="C78" s="57"/>
      <c r="D78" s="57"/>
      <c r="E78" s="57"/>
      <c r="F78" s="57"/>
      <c r="G78" s="57"/>
      <c r="H78" s="57"/>
      <c r="I78" s="57"/>
      <c r="J78" s="57"/>
    </row>
    <row r="79" spans="1:10" x14ac:dyDescent="0.3">
      <c r="A79" s="57"/>
      <c r="B79" s="57"/>
      <c r="C79" s="57"/>
      <c r="D79" s="57"/>
      <c r="E79" s="57"/>
      <c r="F79" s="57"/>
      <c r="G79" s="57"/>
      <c r="H79" s="57"/>
      <c r="I79" s="57"/>
      <c r="J79" s="57"/>
    </row>
    <row r="80" spans="1:10" x14ac:dyDescent="0.3">
      <c r="A80" s="57"/>
      <c r="B80" s="57"/>
      <c r="C80" s="57"/>
      <c r="D80" s="57"/>
      <c r="E80" s="57"/>
      <c r="F80" s="57"/>
      <c r="G80" s="57"/>
      <c r="H80" s="57"/>
      <c r="I80" s="57"/>
      <c r="J80" s="57"/>
    </row>
    <row r="81" spans="1:10" x14ac:dyDescent="0.3">
      <c r="A81" s="57"/>
      <c r="B81" s="57"/>
      <c r="C81" s="57"/>
      <c r="D81" s="57"/>
      <c r="E81" s="57"/>
      <c r="F81" s="57"/>
      <c r="G81" s="57"/>
      <c r="H81" s="57"/>
      <c r="I81" s="57"/>
      <c r="J81" s="57"/>
    </row>
    <row r="82" spans="1:10" x14ac:dyDescent="0.3">
      <c r="A82" s="57"/>
      <c r="B82" s="57"/>
      <c r="C82" s="57"/>
      <c r="D82" s="57"/>
      <c r="E82" s="57"/>
      <c r="F82" s="57"/>
      <c r="G82" s="57"/>
      <c r="H82" s="57"/>
      <c r="I82" s="57"/>
      <c r="J82" s="57"/>
    </row>
    <row r="83" spans="1:10" x14ac:dyDescent="0.3">
      <c r="A83" s="57"/>
      <c r="B83" s="57"/>
      <c r="C83" s="57"/>
      <c r="D83" s="57"/>
      <c r="E83" s="57"/>
      <c r="F83" s="57"/>
      <c r="G83" s="57"/>
      <c r="H83" s="57"/>
      <c r="I83" s="57"/>
      <c r="J83" s="57"/>
    </row>
    <row r="84" spans="1:10" x14ac:dyDescent="0.3">
      <c r="A84" s="57"/>
      <c r="B84" s="57"/>
      <c r="C84" s="57"/>
      <c r="D84" s="57"/>
      <c r="E84" s="57"/>
      <c r="F84" s="57"/>
      <c r="G84" s="57"/>
      <c r="H84" s="57"/>
      <c r="I84" s="57"/>
      <c r="J84" s="57"/>
    </row>
    <row r="85" spans="1:10" x14ac:dyDescent="0.3">
      <c r="A85" s="57"/>
      <c r="B85" s="57"/>
      <c r="C85" s="57"/>
      <c r="D85" s="57"/>
      <c r="E85" s="57"/>
      <c r="F85" s="57"/>
      <c r="G85" s="57"/>
      <c r="H85" s="57"/>
      <c r="I85" s="57"/>
      <c r="J85" s="57"/>
    </row>
    <row r="86" spans="1:10" x14ac:dyDescent="0.3">
      <c r="A86" s="57"/>
      <c r="B86" s="57"/>
      <c r="C86" s="57"/>
      <c r="D86" s="57"/>
      <c r="E86" s="57"/>
      <c r="F86" s="57"/>
      <c r="G86" s="57"/>
      <c r="H86" s="57"/>
      <c r="I86" s="57"/>
      <c r="J86" s="57"/>
    </row>
    <row r="87" spans="1:10" x14ac:dyDescent="0.3">
      <c r="A87" s="57"/>
      <c r="B87" s="57"/>
      <c r="C87" s="57"/>
      <c r="D87" s="57"/>
      <c r="E87" s="57"/>
      <c r="F87" s="57"/>
      <c r="G87" s="57"/>
      <c r="H87" s="57"/>
      <c r="I87" s="57"/>
      <c r="J87" s="57"/>
    </row>
    <row r="88" spans="1:10" x14ac:dyDescent="0.3">
      <c r="A88" s="57"/>
      <c r="B88" s="57"/>
      <c r="C88" s="57"/>
      <c r="D88" s="57"/>
      <c r="E88" s="57"/>
      <c r="F88" s="57"/>
      <c r="G88" s="57"/>
      <c r="H88" s="57"/>
      <c r="I88" s="57"/>
      <c r="J88" s="57"/>
    </row>
    <row r="89" spans="1:10" x14ac:dyDescent="0.3">
      <c r="A89" s="57"/>
      <c r="B89" s="57"/>
      <c r="C89" s="57"/>
      <c r="D89" s="57"/>
      <c r="E89" s="57"/>
      <c r="F89" s="57"/>
      <c r="G89" s="57"/>
      <c r="H89" s="57"/>
      <c r="I89" s="57"/>
      <c r="J89" s="57"/>
    </row>
    <row r="90" spans="1:10" x14ac:dyDescent="0.3">
      <c r="A90" s="57"/>
      <c r="B90" s="57"/>
      <c r="C90" s="57"/>
      <c r="D90" s="57"/>
      <c r="E90" s="57"/>
      <c r="F90" s="57"/>
      <c r="G90" s="57"/>
      <c r="H90" s="57"/>
      <c r="I90" s="57"/>
      <c r="J90" s="57"/>
    </row>
    <row r="91" spans="1:10" x14ac:dyDescent="0.3">
      <c r="A91" s="57"/>
      <c r="B91" s="57"/>
      <c r="C91" s="57"/>
      <c r="D91" s="57"/>
      <c r="E91" s="57"/>
      <c r="F91" s="57"/>
      <c r="G91" s="57"/>
      <c r="H91" s="57"/>
      <c r="I91" s="57"/>
      <c r="J91" s="57"/>
    </row>
    <row r="92" spans="1:10" x14ac:dyDescent="0.3">
      <c r="A92" s="57"/>
      <c r="B92" s="57"/>
      <c r="C92" s="57"/>
      <c r="D92" s="57"/>
      <c r="E92" s="57"/>
      <c r="F92" s="57"/>
      <c r="G92" s="57"/>
      <c r="H92" s="57"/>
      <c r="I92" s="57"/>
      <c r="J92" s="57"/>
    </row>
    <row r="93" spans="1:10" x14ac:dyDescent="0.3">
      <c r="A93" s="57"/>
      <c r="B93" s="57"/>
      <c r="C93" s="57"/>
      <c r="D93" s="57"/>
      <c r="E93" s="57"/>
      <c r="F93" s="57"/>
      <c r="G93" s="57"/>
      <c r="H93" s="57"/>
      <c r="I93" s="57"/>
      <c r="J93" s="57"/>
    </row>
    <row r="94" spans="1:10" x14ac:dyDescent="0.3">
      <c r="A94" s="57"/>
      <c r="B94" s="57"/>
      <c r="C94" s="57"/>
      <c r="D94" s="57"/>
      <c r="E94" s="57"/>
      <c r="F94" s="57"/>
      <c r="G94" s="57"/>
      <c r="H94" s="57"/>
      <c r="I94" s="57"/>
      <c r="J94" s="57"/>
    </row>
    <row r="95" spans="1:10" x14ac:dyDescent="0.3">
      <c r="A95" s="57"/>
      <c r="B95" s="57"/>
      <c r="C95" s="57"/>
      <c r="D95" s="57"/>
      <c r="E95" s="57"/>
      <c r="F95" s="57"/>
      <c r="G95" s="57"/>
      <c r="H95" s="57"/>
      <c r="I95" s="57"/>
      <c r="J95" s="57"/>
    </row>
    <row r="96" spans="1:10" x14ac:dyDescent="0.3">
      <c r="A96" s="57"/>
      <c r="B96" s="57"/>
      <c r="C96" s="57"/>
      <c r="D96" s="57"/>
      <c r="E96" s="57"/>
      <c r="F96" s="57"/>
      <c r="G96" s="57"/>
      <c r="H96" s="57"/>
      <c r="I96" s="57"/>
      <c r="J96" s="57"/>
    </row>
    <row r="97" spans="1:10" x14ac:dyDescent="0.3">
      <c r="A97" s="57"/>
      <c r="B97" s="57"/>
      <c r="C97" s="57"/>
      <c r="D97" s="57"/>
      <c r="E97" s="57"/>
      <c r="F97" s="57"/>
      <c r="G97" s="57"/>
      <c r="H97" s="57"/>
      <c r="I97" s="57"/>
      <c r="J97" s="57"/>
    </row>
    <row r="98" spans="1:10" x14ac:dyDescent="0.3">
      <c r="A98" s="57"/>
      <c r="B98" s="57"/>
      <c r="C98" s="57"/>
      <c r="D98" s="57"/>
      <c r="E98" s="57"/>
      <c r="F98" s="57"/>
      <c r="G98" s="57"/>
      <c r="H98" s="57"/>
      <c r="I98" s="57"/>
      <c r="J98" s="57"/>
    </row>
    <row r="99" spans="1:10" x14ac:dyDescent="0.3">
      <c r="A99" s="57"/>
      <c r="B99" s="57"/>
      <c r="C99" s="57"/>
      <c r="D99" s="57"/>
      <c r="E99" s="57"/>
      <c r="F99" s="57"/>
      <c r="G99" s="57"/>
      <c r="H99" s="57"/>
      <c r="I99" s="57"/>
      <c r="J99" s="57"/>
    </row>
    <row r="100" spans="1:10" x14ac:dyDescent="0.3">
      <c r="A100" s="57"/>
      <c r="B100" s="57"/>
      <c r="C100" s="57"/>
      <c r="D100" s="57"/>
      <c r="E100" s="57"/>
      <c r="F100" s="57"/>
      <c r="G100" s="57"/>
      <c r="H100" s="57"/>
      <c r="I100" s="57"/>
      <c r="J100" s="57"/>
    </row>
  </sheetData>
  <mergeCells count="3">
    <mergeCell ref="A1:K1"/>
    <mergeCell ref="A2:K2"/>
    <mergeCell ref="A4:K4"/>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M311"/>
  <sheetViews>
    <sheetView showGridLines="0" topLeftCell="E2" workbookViewId="0">
      <selection activeCell="M8" sqref="M8"/>
    </sheetView>
  </sheetViews>
  <sheetFormatPr defaultRowHeight="14.4" x14ac:dyDescent="0.3"/>
  <cols>
    <col min="1" max="1" width="46" customWidth="1"/>
    <col min="2" max="11" width="15" customWidth="1"/>
    <col min="12" max="13" width="12" customWidth="1"/>
  </cols>
  <sheetData>
    <row r="1" spans="1:13" ht="28.05" customHeight="1" x14ac:dyDescent="0.3">
      <c r="A1" s="152" t="s">
        <v>1575</v>
      </c>
      <c r="B1" s="152"/>
      <c r="C1" s="152"/>
      <c r="D1" s="152"/>
      <c r="E1" s="152"/>
      <c r="F1" s="152"/>
      <c r="G1" s="152"/>
      <c r="H1" s="152"/>
      <c r="I1" s="152"/>
      <c r="J1" s="152"/>
      <c r="K1" s="152"/>
      <c r="L1" s="152"/>
      <c r="M1" s="152"/>
    </row>
    <row r="2" spans="1:13" ht="34.049999999999997" customHeight="1" x14ac:dyDescent="0.3">
      <c r="A2" s="124" t="s">
        <v>1576</v>
      </c>
      <c r="B2" s="124"/>
      <c r="C2" s="124"/>
      <c r="D2" s="124"/>
      <c r="E2" s="124"/>
      <c r="F2" s="124"/>
      <c r="G2" s="124"/>
      <c r="H2" s="124"/>
      <c r="I2" s="124"/>
      <c r="J2" s="124"/>
      <c r="K2" s="124"/>
      <c r="L2" s="124"/>
      <c r="M2" s="124"/>
    </row>
    <row r="3" spans="1:13" x14ac:dyDescent="0.3">
      <c r="A3" t="s">
        <v>1577</v>
      </c>
    </row>
    <row r="4" spans="1:13" ht="22.05" customHeight="1" x14ac:dyDescent="0.3">
      <c r="A4" s="141" t="s">
        <v>1578</v>
      </c>
      <c r="B4" s="141"/>
      <c r="C4" s="141"/>
      <c r="D4" s="141"/>
      <c r="E4" s="141"/>
      <c r="F4" s="141"/>
      <c r="G4" s="141"/>
      <c r="H4" s="141"/>
      <c r="I4" s="141"/>
      <c r="J4" s="141"/>
      <c r="K4" s="141"/>
      <c r="L4" s="141"/>
      <c r="M4" s="141"/>
    </row>
    <row r="5" spans="1:13" x14ac:dyDescent="0.3">
      <c r="A5" s="55" t="s">
        <v>560</v>
      </c>
      <c r="B5" s="55" t="s">
        <v>503</v>
      </c>
      <c r="C5" s="55" t="s">
        <v>504</v>
      </c>
      <c r="D5" s="55" t="s">
        <v>505</v>
      </c>
      <c r="E5" s="55" t="s">
        <v>506</v>
      </c>
      <c r="F5" s="55" t="s">
        <v>507</v>
      </c>
      <c r="G5" s="55" t="s">
        <v>508</v>
      </c>
      <c r="H5" s="55" t="s">
        <v>509</v>
      </c>
      <c r="I5" s="55" t="s">
        <v>510</v>
      </c>
      <c r="J5" s="55" t="s">
        <v>511</v>
      </c>
      <c r="K5" s="55" t="s">
        <v>512</v>
      </c>
      <c r="L5" s="55" t="s">
        <v>625</v>
      </c>
      <c r="M5" s="55" t="s">
        <v>435</v>
      </c>
    </row>
    <row r="6" spans="1:13" x14ac:dyDescent="0.3">
      <c r="A6" s="42" t="str">
        <f>IF(7&lt;=nLan,"SD I - 2 nhịp lệch tâm "&amp;7&amp;" làn","")</f>
        <v/>
      </c>
      <c r="B6" s="58" t="str">
        <f>IF($A6="","",'TO HOP'!$C$136+1*(0-'TO HOP'!$M$53))</f>
        <v/>
      </c>
      <c r="C6" s="58" t="str">
        <f>IF($A6="","",'TO HOP'!$D$136+1*(0-'TO HOP'!$M$54))</f>
        <v/>
      </c>
      <c r="D6" s="58" t="str">
        <f>IF($A6="","",'TO HOP'!$E$136+1*(INDEX('LANE ENGINE'!$D$6:$D$45,7)-'TO HOP'!$M$55))</f>
        <v/>
      </c>
      <c r="E6" s="58" t="str">
        <f>IF($A6="","",'TO HOP'!$F$136+1*(INDEX('LANE ENGINE'!$E$6:$E$45,7)-'TO HOP'!$M$56))</f>
        <v/>
      </c>
      <c r="F6" s="58" t="str">
        <f>IF($A6="","",'TO HOP'!$G$136+1*(0-'TO HOP'!$M$57))</f>
        <v/>
      </c>
      <c r="G6" s="58" t="str">
        <f>IF($A6="","",'TO HOP'!$H$136+1*(0-'TO HOP'!$M$58))</f>
        <v/>
      </c>
      <c r="H6" s="58" t="str">
        <f>IF($A6="","",'TO HOP'!$I$136+1*(0-'TO HOP'!$M$59))</f>
        <v/>
      </c>
      <c r="I6" s="58" t="str">
        <f>IF($A6="","",'TO HOP'!$J$136+1*(INDEX('LANE ENGINE'!$D$6:$D$45,7)-'TO HOP'!$M$60))</f>
        <v/>
      </c>
      <c r="J6" s="58" t="str">
        <f>IF($A6="","",'TO HOP'!$K$136+1*(INDEX('LANE ENGINE'!$E$6:$E$45,7)-'TO HOP'!$M$61))</f>
        <v/>
      </c>
      <c r="K6" s="58" t="str">
        <f>IF($A6="","",'TO HOP'!$L$136+1*(0-'TO HOP'!$M$62))</f>
        <v/>
      </c>
      <c r="L6" s="42" t="s">
        <v>1536</v>
      </c>
      <c r="M6" s="42">
        <v>7</v>
      </c>
    </row>
    <row r="7" spans="1:13" x14ac:dyDescent="0.3">
      <c r="A7" s="42" t="str">
        <f>IF(8&lt;=nLan,"SD I - 2 nhịp lệch tâm "&amp;8&amp;" làn","")</f>
        <v/>
      </c>
      <c r="B7" s="58" t="str">
        <f>IF($A7="","",'TO HOP'!$C$136+1*(0-'TO HOP'!$M$53))</f>
        <v/>
      </c>
      <c r="C7" s="58" t="str">
        <f>IF($A7="","",'TO HOP'!$D$136+1*(0-'TO HOP'!$M$54))</f>
        <v/>
      </c>
      <c r="D7" s="58" t="str">
        <f>IF($A7="","",'TO HOP'!$E$136+1*(INDEX('LANE ENGINE'!$D$6:$D$45,8)-'TO HOP'!$M$55))</f>
        <v/>
      </c>
      <c r="E7" s="58" t="str">
        <f>IF($A7="","",'TO HOP'!$F$136+1*(INDEX('LANE ENGINE'!$E$6:$E$45,8)-'TO HOP'!$M$56))</f>
        <v/>
      </c>
      <c r="F7" s="58" t="str">
        <f>IF($A7="","",'TO HOP'!$G$136+1*(0-'TO HOP'!$M$57))</f>
        <v/>
      </c>
      <c r="G7" s="58" t="str">
        <f>IF($A7="","",'TO HOP'!$H$136+1*(0-'TO HOP'!$M$58))</f>
        <v/>
      </c>
      <c r="H7" s="58" t="str">
        <f>IF($A7="","",'TO HOP'!$I$136+1*(0-'TO HOP'!$M$59))</f>
        <v/>
      </c>
      <c r="I7" s="58" t="str">
        <f>IF($A7="","",'TO HOP'!$J$136+1*(INDEX('LANE ENGINE'!$D$6:$D$45,8)-'TO HOP'!$M$60))</f>
        <v/>
      </c>
      <c r="J7" s="58" t="str">
        <f>IF($A7="","",'TO HOP'!$K$136+1*(INDEX('LANE ENGINE'!$E$6:$E$45,8)-'TO HOP'!$M$61))</f>
        <v/>
      </c>
      <c r="K7" s="58" t="str">
        <f>IF($A7="","",'TO HOP'!$L$136+1*(0-'TO HOP'!$M$62))</f>
        <v/>
      </c>
      <c r="L7" s="42" t="s">
        <v>1536</v>
      </c>
      <c r="M7" s="42">
        <v>8</v>
      </c>
    </row>
    <row r="8" spans="1:13" x14ac:dyDescent="0.3">
      <c r="A8" s="42" t="str">
        <f>IF(9&lt;=nLan,"SD I - 2 nhịp lệch tâm "&amp;9&amp;" làn","")</f>
        <v/>
      </c>
      <c r="B8" s="58" t="str">
        <f>IF($A8="","",'TO HOP'!$C$136+1*(0-'TO HOP'!$M$53))</f>
        <v/>
      </c>
      <c r="C8" s="58" t="str">
        <f>IF($A8="","",'TO HOP'!$D$136+1*(0-'TO HOP'!$M$54))</f>
        <v/>
      </c>
      <c r="D8" s="58" t="str">
        <f>IF($A8="","",'TO HOP'!$E$136+1*(INDEX('LANE ENGINE'!$D$6:$D$45,9)-'TO HOP'!$M$55))</f>
        <v/>
      </c>
      <c r="E8" s="58" t="str">
        <f>IF($A8="","",'TO HOP'!$F$136+1*(INDEX('LANE ENGINE'!$E$6:$E$45,9)-'TO HOP'!$M$56))</f>
        <v/>
      </c>
      <c r="F8" s="58" t="str">
        <f>IF($A8="","",'TO HOP'!$G$136+1*(0-'TO HOP'!$M$57))</f>
        <v/>
      </c>
      <c r="G8" s="58" t="str">
        <f>IF($A8="","",'TO HOP'!$H$136+1*(0-'TO HOP'!$M$58))</f>
        <v/>
      </c>
      <c r="H8" s="58" t="str">
        <f>IF($A8="","",'TO HOP'!$I$136+1*(0-'TO HOP'!$M$59))</f>
        <v/>
      </c>
      <c r="I8" s="58" t="str">
        <f>IF($A8="","",'TO HOP'!$J$136+1*(INDEX('LANE ENGINE'!$D$6:$D$45,9)-'TO HOP'!$M$60))</f>
        <v/>
      </c>
      <c r="J8" s="58" t="str">
        <f>IF($A8="","",'TO HOP'!$K$136+1*(INDEX('LANE ENGINE'!$E$6:$E$45,9)-'TO HOP'!$M$61))</f>
        <v/>
      </c>
      <c r="K8" s="58" t="str">
        <f>IF($A8="","",'TO HOP'!$L$136+1*(0-'TO HOP'!$M$62))</f>
        <v/>
      </c>
      <c r="L8" s="42" t="s">
        <v>1536</v>
      </c>
      <c r="M8" s="42">
        <v>9</v>
      </c>
    </row>
    <row r="9" spans="1:13" x14ac:dyDescent="0.3">
      <c r="A9" s="42" t="str">
        <f>IF(10&lt;=nLan,"SD I - 2 nhịp lệch tâm "&amp;10&amp;" làn","")</f>
        <v/>
      </c>
      <c r="B9" s="58" t="str">
        <f>IF($A9="","",'TO HOP'!$C$136+1*(0-'TO HOP'!$M$53))</f>
        <v/>
      </c>
      <c r="C9" s="58" t="str">
        <f>IF($A9="","",'TO HOP'!$D$136+1*(0-'TO HOP'!$M$54))</f>
        <v/>
      </c>
      <c r="D9" s="58" t="str">
        <f>IF($A9="","",'TO HOP'!$E$136+1*(INDEX('LANE ENGINE'!$D$6:$D$45,10)-'TO HOP'!$M$55))</f>
        <v/>
      </c>
      <c r="E9" s="58" t="str">
        <f>IF($A9="","",'TO HOP'!$F$136+1*(INDEX('LANE ENGINE'!$E$6:$E$45,10)-'TO HOP'!$M$56))</f>
        <v/>
      </c>
      <c r="F9" s="58" t="str">
        <f>IF($A9="","",'TO HOP'!$G$136+1*(0-'TO HOP'!$M$57))</f>
        <v/>
      </c>
      <c r="G9" s="58" t="str">
        <f>IF($A9="","",'TO HOP'!$H$136+1*(0-'TO HOP'!$M$58))</f>
        <v/>
      </c>
      <c r="H9" s="58" t="str">
        <f>IF($A9="","",'TO HOP'!$I$136+1*(0-'TO HOP'!$M$59))</f>
        <v/>
      </c>
      <c r="I9" s="58" t="str">
        <f>IF($A9="","",'TO HOP'!$J$136+1*(INDEX('LANE ENGINE'!$D$6:$D$45,10)-'TO HOP'!$M$60))</f>
        <v/>
      </c>
      <c r="J9" s="58" t="str">
        <f>IF($A9="","",'TO HOP'!$K$136+1*(INDEX('LANE ENGINE'!$E$6:$E$45,10)-'TO HOP'!$M$61))</f>
        <v/>
      </c>
      <c r="K9" s="58" t="str">
        <f>IF($A9="","",'TO HOP'!$L$136+1*(0-'TO HOP'!$M$62))</f>
        <v/>
      </c>
      <c r="L9" s="42" t="s">
        <v>1536</v>
      </c>
      <c r="M9" s="42">
        <v>10</v>
      </c>
    </row>
    <row r="10" spans="1:13" x14ac:dyDescent="0.3">
      <c r="A10" s="42" t="str">
        <f>IF(11&lt;=nLan,"SD I - 2 nhịp lệch tâm "&amp;11&amp;" làn","")</f>
        <v/>
      </c>
      <c r="B10" s="58" t="str">
        <f>IF($A10="","",'TO HOP'!$C$136+1*(0-'TO HOP'!$M$53))</f>
        <v/>
      </c>
      <c r="C10" s="58" t="str">
        <f>IF($A10="","",'TO HOP'!$D$136+1*(0-'TO HOP'!$M$54))</f>
        <v/>
      </c>
      <c r="D10" s="58" t="str">
        <f>IF($A10="","",'TO HOP'!$E$136+1*(INDEX('LANE ENGINE'!$D$6:$D$45,11)-'TO HOP'!$M$55))</f>
        <v/>
      </c>
      <c r="E10" s="58" t="str">
        <f>IF($A10="","",'TO HOP'!$F$136+1*(INDEX('LANE ENGINE'!$E$6:$E$45,11)-'TO HOP'!$M$56))</f>
        <v/>
      </c>
      <c r="F10" s="58" t="str">
        <f>IF($A10="","",'TO HOP'!$G$136+1*(0-'TO HOP'!$M$57))</f>
        <v/>
      </c>
      <c r="G10" s="58" t="str">
        <f>IF($A10="","",'TO HOP'!$H$136+1*(0-'TO HOP'!$M$58))</f>
        <v/>
      </c>
      <c r="H10" s="58" t="str">
        <f>IF($A10="","",'TO HOP'!$I$136+1*(0-'TO HOP'!$M$59))</f>
        <v/>
      </c>
      <c r="I10" s="58" t="str">
        <f>IF($A10="","",'TO HOP'!$J$136+1*(INDEX('LANE ENGINE'!$D$6:$D$45,11)-'TO HOP'!$M$60))</f>
        <v/>
      </c>
      <c r="J10" s="58" t="str">
        <f>IF($A10="","",'TO HOP'!$K$136+1*(INDEX('LANE ENGINE'!$E$6:$E$45,11)-'TO HOP'!$M$61))</f>
        <v/>
      </c>
      <c r="K10" s="58" t="str">
        <f>IF($A10="","",'TO HOP'!$L$136+1*(0-'TO HOP'!$M$62))</f>
        <v/>
      </c>
      <c r="L10" s="42" t="s">
        <v>1536</v>
      </c>
      <c r="M10" s="42">
        <v>11</v>
      </c>
    </row>
    <row r="11" spans="1:13" x14ac:dyDescent="0.3">
      <c r="A11" s="42" t="str">
        <f>IF(12&lt;=nLan,"SD I - 2 nhịp lệch tâm "&amp;12&amp;" làn","")</f>
        <v/>
      </c>
      <c r="B11" s="58" t="str">
        <f>IF($A11="","",'TO HOP'!$C$136+1*(0-'TO HOP'!$M$53))</f>
        <v/>
      </c>
      <c r="C11" s="58" t="str">
        <f>IF($A11="","",'TO HOP'!$D$136+1*(0-'TO HOP'!$M$54))</f>
        <v/>
      </c>
      <c r="D11" s="58" t="str">
        <f>IF($A11="","",'TO HOP'!$E$136+1*(INDEX('LANE ENGINE'!$D$6:$D$45,12)-'TO HOP'!$M$55))</f>
        <v/>
      </c>
      <c r="E11" s="58" t="str">
        <f>IF($A11="","",'TO HOP'!$F$136+1*(INDEX('LANE ENGINE'!$E$6:$E$45,12)-'TO HOP'!$M$56))</f>
        <v/>
      </c>
      <c r="F11" s="58" t="str">
        <f>IF($A11="","",'TO HOP'!$G$136+1*(0-'TO HOP'!$M$57))</f>
        <v/>
      </c>
      <c r="G11" s="58" t="str">
        <f>IF($A11="","",'TO HOP'!$H$136+1*(0-'TO HOP'!$M$58))</f>
        <v/>
      </c>
      <c r="H11" s="58" t="str">
        <f>IF($A11="","",'TO HOP'!$I$136+1*(0-'TO HOP'!$M$59))</f>
        <v/>
      </c>
      <c r="I11" s="58" t="str">
        <f>IF($A11="","",'TO HOP'!$J$136+1*(INDEX('LANE ENGINE'!$D$6:$D$45,12)-'TO HOP'!$M$60))</f>
        <v/>
      </c>
      <c r="J11" s="58" t="str">
        <f>IF($A11="","",'TO HOP'!$K$136+1*(INDEX('LANE ENGINE'!$E$6:$E$45,12)-'TO HOP'!$M$61))</f>
        <v/>
      </c>
      <c r="K11" s="58" t="str">
        <f>IF($A11="","",'TO HOP'!$L$136+1*(0-'TO HOP'!$M$62))</f>
        <v/>
      </c>
      <c r="L11" s="42" t="s">
        <v>1536</v>
      </c>
      <c r="M11" s="42">
        <v>12</v>
      </c>
    </row>
    <row r="12" spans="1:13" x14ac:dyDescent="0.3">
      <c r="A12" s="42" t="str">
        <f>IF(13&lt;=nLan,"SD I - 2 nhịp lệch tâm "&amp;13&amp;" làn","")</f>
        <v/>
      </c>
      <c r="B12" s="58" t="str">
        <f>IF($A12="","",'TO HOP'!$C$136+1*(0-'TO HOP'!$M$53))</f>
        <v/>
      </c>
      <c r="C12" s="58" t="str">
        <f>IF($A12="","",'TO HOP'!$D$136+1*(0-'TO HOP'!$M$54))</f>
        <v/>
      </c>
      <c r="D12" s="58" t="str">
        <f>IF($A12="","",'TO HOP'!$E$136+1*(INDEX('LANE ENGINE'!$D$6:$D$45,13)-'TO HOP'!$M$55))</f>
        <v/>
      </c>
      <c r="E12" s="58" t="str">
        <f>IF($A12="","",'TO HOP'!$F$136+1*(INDEX('LANE ENGINE'!$E$6:$E$45,13)-'TO HOP'!$M$56))</f>
        <v/>
      </c>
      <c r="F12" s="58" t="str">
        <f>IF($A12="","",'TO HOP'!$G$136+1*(0-'TO HOP'!$M$57))</f>
        <v/>
      </c>
      <c r="G12" s="58" t="str">
        <f>IF($A12="","",'TO HOP'!$H$136+1*(0-'TO HOP'!$M$58))</f>
        <v/>
      </c>
      <c r="H12" s="58" t="str">
        <f>IF($A12="","",'TO HOP'!$I$136+1*(0-'TO HOP'!$M$59))</f>
        <v/>
      </c>
      <c r="I12" s="58" t="str">
        <f>IF($A12="","",'TO HOP'!$J$136+1*(INDEX('LANE ENGINE'!$D$6:$D$45,13)-'TO HOP'!$M$60))</f>
        <v/>
      </c>
      <c r="J12" s="58" t="str">
        <f>IF($A12="","",'TO HOP'!$K$136+1*(INDEX('LANE ENGINE'!$E$6:$E$45,13)-'TO HOP'!$M$61))</f>
        <v/>
      </c>
      <c r="K12" s="58" t="str">
        <f>IF($A12="","",'TO HOP'!$L$136+1*(0-'TO HOP'!$M$62))</f>
        <v/>
      </c>
      <c r="L12" s="42" t="s">
        <v>1536</v>
      </c>
      <c r="M12" s="42">
        <v>13</v>
      </c>
    </row>
    <row r="13" spans="1:13" x14ac:dyDescent="0.3">
      <c r="A13" s="42" t="str">
        <f>IF(14&lt;=nLan,"SD I - 2 nhịp lệch tâm "&amp;14&amp;" làn","")</f>
        <v/>
      </c>
      <c r="B13" s="58" t="str">
        <f>IF($A13="","",'TO HOP'!$C$136+1*(0-'TO HOP'!$M$53))</f>
        <v/>
      </c>
      <c r="C13" s="58" t="str">
        <f>IF($A13="","",'TO HOP'!$D$136+1*(0-'TO HOP'!$M$54))</f>
        <v/>
      </c>
      <c r="D13" s="58" t="str">
        <f>IF($A13="","",'TO HOP'!$E$136+1*(INDEX('LANE ENGINE'!$D$6:$D$45,14)-'TO HOP'!$M$55))</f>
        <v/>
      </c>
      <c r="E13" s="58" t="str">
        <f>IF($A13="","",'TO HOP'!$F$136+1*(INDEX('LANE ENGINE'!$E$6:$E$45,14)-'TO HOP'!$M$56))</f>
        <v/>
      </c>
      <c r="F13" s="58" t="str">
        <f>IF($A13="","",'TO HOP'!$G$136+1*(0-'TO HOP'!$M$57))</f>
        <v/>
      </c>
      <c r="G13" s="58" t="str">
        <f>IF($A13="","",'TO HOP'!$H$136+1*(0-'TO HOP'!$M$58))</f>
        <v/>
      </c>
      <c r="H13" s="58" t="str">
        <f>IF($A13="","",'TO HOP'!$I$136+1*(0-'TO HOP'!$M$59))</f>
        <v/>
      </c>
      <c r="I13" s="58" t="str">
        <f>IF($A13="","",'TO HOP'!$J$136+1*(INDEX('LANE ENGINE'!$D$6:$D$45,14)-'TO HOP'!$M$60))</f>
        <v/>
      </c>
      <c r="J13" s="58" t="str">
        <f>IF($A13="","",'TO HOP'!$K$136+1*(INDEX('LANE ENGINE'!$E$6:$E$45,14)-'TO HOP'!$M$61))</f>
        <v/>
      </c>
      <c r="K13" s="58" t="str">
        <f>IF($A13="","",'TO HOP'!$L$136+1*(0-'TO HOP'!$M$62))</f>
        <v/>
      </c>
      <c r="L13" s="42" t="s">
        <v>1536</v>
      </c>
      <c r="M13" s="42">
        <v>14</v>
      </c>
    </row>
    <row r="14" spans="1:13" x14ac:dyDescent="0.3">
      <c r="A14" s="42" t="str">
        <f>IF(15&lt;=nLan,"SD I - 2 nhịp lệch tâm "&amp;15&amp;" làn","")</f>
        <v/>
      </c>
      <c r="B14" s="58" t="str">
        <f>IF($A14="","",'TO HOP'!$C$136+1*(0-'TO HOP'!$M$53))</f>
        <v/>
      </c>
      <c r="C14" s="58" t="str">
        <f>IF($A14="","",'TO HOP'!$D$136+1*(0-'TO HOP'!$M$54))</f>
        <v/>
      </c>
      <c r="D14" s="58" t="str">
        <f>IF($A14="","",'TO HOP'!$E$136+1*(INDEX('LANE ENGINE'!$D$6:$D$45,15)-'TO HOP'!$M$55))</f>
        <v/>
      </c>
      <c r="E14" s="58" t="str">
        <f>IF($A14="","",'TO HOP'!$F$136+1*(INDEX('LANE ENGINE'!$E$6:$E$45,15)-'TO HOP'!$M$56))</f>
        <v/>
      </c>
      <c r="F14" s="58" t="str">
        <f>IF($A14="","",'TO HOP'!$G$136+1*(0-'TO HOP'!$M$57))</f>
        <v/>
      </c>
      <c r="G14" s="58" t="str">
        <f>IF($A14="","",'TO HOP'!$H$136+1*(0-'TO HOP'!$M$58))</f>
        <v/>
      </c>
      <c r="H14" s="58" t="str">
        <f>IF($A14="","",'TO HOP'!$I$136+1*(0-'TO HOP'!$M$59))</f>
        <v/>
      </c>
      <c r="I14" s="58" t="str">
        <f>IF($A14="","",'TO HOP'!$J$136+1*(INDEX('LANE ENGINE'!$D$6:$D$45,15)-'TO HOP'!$M$60))</f>
        <v/>
      </c>
      <c r="J14" s="58" t="str">
        <f>IF($A14="","",'TO HOP'!$K$136+1*(INDEX('LANE ENGINE'!$E$6:$E$45,15)-'TO HOP'!$M$61))</f>
        <v/>
      </c>
      <c r="K14" s="58" t="str">
        <f>IF($A14="","",'TO HOP'!$L$136+1*(0-'TO HOP'!$M$62))</f>
        <v/>
      </c>
      <c r="L14" s="42" t="s">
        <v>1536</v>
      </c>
      <c r="M14" s="42">
        <v>15</v>
      </c>
    </row>
    <row r="15" spans="1:13" x14ac:dyDescent="0.3">
      <c r="A15" s="42" t="str">
        <f>IF(16&lt;=nLan,"SD I - 2 nhịp lệch tâm "&amp;16&amp;" làn","")</f>
        <v/>
      </c>
      <c r="B15" s="58" t="str">
        <f>IF($A15="","",'TO HOP'!$C$136+1*(0-'TO HOP'!$M$53))</f>
        <v/>
      </c>
      <c r="C15" s="58" t="str">
        <f>IF($A15="","",'TO HOP'!$D$136+1*(0-'TO HOP'!$M$54))</f>
        <v/>
      </c>
      <c r="D15" s="58" t="str">
        <f>IF($A15="","",'TO HOP'!$E$136+1*(INDEX('LANE ENGINE'!$D$6:$D$45,16)-'TO HOP'!$M$55))</f>
        <v/>
      </c>
      <c r="E15" s="58" t="str">
        <f>IF($A15="","",'TO HOP'!$F$136+1*(INDEX('LANE ENGINE'!$E$6:$E$45,16)-'TO HOP'!$M$56))</f>
        <v/>
      </c>
      <c r="F15" s="58" t="str">
        <f>IF($A15="","",'TO HOP'!$G$136+1*(0-'TO HOP'!$M$57))</f>
        <v/>
      </c>
      <c r="G15" s="58" t="str">
        <f>IF($A15="","",'TO HOP'!$H$136+1*(0-'TO HOP'!$M$58))</f>
        <v/>
      </c>
      <c r="H15" s="58" t="str">
        <f>IF($A15="","",'TO HOP'!$I$136+1*(0-'TO HOP'!$M$59))</f>
        <v/>
      </c>
      <c r="I15" s="58" t="str">
        <f>IF($A15="","",'TO HOP'!$J$136+1*(INDEX('LANE ENGINE'!$D$6:$D$45,16)-'TO HOP'!$M$60))</f>
        <v/>
      </c>
      <c r="J15" s="58" t="str">
        <f>IF($A15="","",'TO HOP'!$K$136+1*(INDEX('LANE ENGINE'!$E$6:$E$45,16)-'TO HOP'!$M$61))</f>
        <v/>
      </c>
      <c r="K15" s="58" t="str">
        <f>IF($A15="","",'TO HOP'!$L$136+1*(0-'TO HOP'!$M$62))</f>
        <v/>
      </c>
      <c r="L15" s="42" t="s">
        <v>1536</v>
      </c>
      <c r="M15" s="42">
        <v>16</v>
      </c>
    </row>
    <row r="16" spans="1:13" x14ac:dyDescent="0.3">
      <c r="A16" s="42" t="str">
        <f>IF(17&lt;=nLan,"SD I - 2 nhịp lệch tâm "&amp;17&amp;" làn","")</f>
        <v/>
      </c>
      <c r="B16" s="58" t="str">
        <f>IF($A16="","",'TO HOP'!$C$136+1*(0-'TO HOP'!$M$53))</f>
        <v/>
      </c>
      <c r="C16" s="58" t="str">
        <f>IF($A16="","",'TO HOP'!$D$136+1*(0-'TO HOP'!$M$54))</f>
        <v/>
      </c>
      <c r="D16" s="58" t="str">
        <f>IF($A16="","",'TO HOP'!$E$136+1*(INDEX('LANE ENGINE'!$D$6:$D$45,17)-'TO HOP'!$M$55))</f>
        <v/>
      </c>
      <c r="E16" s="58" t="str">
        <f>IF($A16="","",'TO HOP'!$F$136+1*(INDEX('LANE ENGINE'!$E$6:$E$45,17)-'TO HOP'!$M$56))</f>
        <v/>
      </c>
      <c r="F16" s="58" t="str">
        <f>IF($A16="","",'TO HOP'!$G$136+1*(0-'TO HOP'!$M$57))</f>
        <v/>
      </c>
      <c r="G16" s="58" t="str">
        <f>IF($A16="","",'TO HOP'!$H$136+1*(0-'TO HOP'!$M$58))</f>
        <v/>
      </c>
      <c r="H16" s="58" t="str">
        <f>IF($A16="","",'TO HOP'!$I$136+1*(0-'TO HOP'!$M$59))</f>
        <v/>
      </c>
      <c r="I16" s="58" t="str">
        <f>IF($A16="","",'TO HOP'!$J$136+1*(INDEX('LANE ENGINE'!$D$6:$D$45,17)-'TO HOP'!$M$60))</f>
        <v/>
      </c>
      <c r="J16" s="58" t="str">
        <f>IF($A16="","",'TO HOP'!$K$136+1*(INDEX('LANE ENGINE'!$E$6:$E$45,17)-'TO HOP'!$M$61))</f>
        <v/>
      </c>
      <c r="K16" s="58" t="str">
        <f>IF($A16="","",'TO HOP'!$L$136+1*(0-'TO HOP'!$M$62))</f>
        <v/>
      </c>
      <c r="L16" s="42" t="s">
        <v>1536</v>
      </c>
      <c r="M16" s="42">
        <v>17</v>
      </c>
    </row>
    <row r="17" spans="1:13" x14ac:dyDescent="0.3">
      <c r="A17" s="42" t="str">
        <f>IF(18&lt;=nLan,"SD I - 2 nhịp lệch tâm "&amp;18&amp;" làn","")</f>
        <v/>
      </c>
      <c r="B17" s="58" t="str">
        <f>IF($A17="","",'TO HOP'!$C$136+1*(0-'TO HOP'!$M$53))</f>
        <v/>
      </c>
      <c r="C17" s="58" t="str">
        <f>IF($A17="","",'TO HOP'!$D$136+1*(0-'TO HOP'!$M$54))</f>
        <v/>
      </c>
      <c r="D17" s="58" t="str">
        <f>IF($A17="","",'TO HOP'!$E$136+1*(INDEX('LANE ENGINE'!$D$6:$D$45,18)-'TO HOP'!$M$55))</f>
        <v/>
      </c>
      <c r="E17" s="58" t="str">
        <f>IF($A17="","",'TO HOP'!$F$136+1*(INDEX('LANE ENGINE'!$E$6:$E$45,18)-'TO HOP'!$M$56))</f>
        <v/>
      </c>
      <c r="F17" s="58" t="str">
        <f>IF($A17="","",'TO HOP'!$G$136+1*(0-'TO HOP'!$M$57))</f>
        <v/>
      </c>
      <c r="G17" s="58" t="str">
        <f>IF($A17="","",'TO HOP'!$H$136+1*(0-'TO HOP'!$M$58))</f>
        <v/>
      </c>
      <c r="H17" s="58" t="str">
        <f>IF($A17="","",'TO HOP'!$I$136+1*(0-'TO HOP'!$M$59))</f>
        <v/>
      </c>
      <c r="I17" s="58" t="str">
        <f>IF($A17="","",'TO HOP'!$J$136+1*(INDEX('LANE ENGINE'!$D$6:$D$45,18)-'TO HOP'!$M$60))</f>
        <v/>
      </c>
      <c r="J17" s="58" t="str">
        <f>IF($A17="","",'TO HOP'!$K$136+1*(INDEX('LANE ENGINE'!$E$6:$E$45,18)-'TO HOP'!$M$61))</f>
        <v/>
      </c>
      <c r="K17" s="58" t="str">
        <f>IF($A17="","",'TO HOP'!$L$136+1*(0-'TO HOP'!$M$62))</f>
        <v/>
      </c>
      <c r="L17" s="42" t="s">
        <v>1536</v>
      </c>
      <c r="M17" s="42">
        <v>18</v>
      </c>
    </row>
    <row r="18" spans="1:13" x14ac:dyDescent="0.3">
      <c r="A18" s="42" t="str">
        <f>IF(19&lt;=nLan,"SD I - 2 nhịp lệch tâm "&amp;19&amp;" làn","")</f>
        <v/>
      </c>
      <c r="B18" s="58" t="str">
        <f>IF($A18="","",'TO HOP'!$C$136+1*(0-'TO HOP'!$M$53))</f>
        <v/>
      </c>
      <c r="C18" s="58" t="str">
        <f>IF($A18="","",'TO HOP'!$D$136+1*(0-'TO HOP'!$M$54))</f>
        <v/>
      </c>
      <c r="D18" s="58" t="str">
        <f>IF($A18="","",'TO HOP'!$E$136+1*(INDEX('LANE ENGINE'!$D$6:$D$45,19)-'TO HOP'!$M$55))</f>
        <v/>
      </c>
      <c r="E18" s="58" t="str">
        <f>IF($A18="","",'TO HOP'!$F$136+1*(INDEX('LANE ENGINE'!$E$6:$E$45,19)-'TO HOP'!$M$56))</f>
        <v/>
      </c>
      <c r="F18" s="58" t="str">
        <f>IF($A18="","",'TO HOP'!$G$136+1*(0-'TO HOP'!$M$57))</f>
        <v/>
      </c>
      <c r="G18" s="58" t="str">
        <f>IF($A18="","",'TO HOP'!$H$136+1*(0-'TO HOP'!$M$58))</f>
        <v/>
      </c>
      <c r="H18" s="58" t="str">
        <f>IF($A18="","",'TO HOP'!$I$136+1*(0-'TO HOP'!$M$59))</f>
        <v/>
      </c>
      <c r="I18" s="58" t="str">
        <f>IF($A18="","",'TO HOP'!$J$136+1*(INDEX('LANE ENGINE'!$D$6:$D$45,19)-'TO HOP'!$M$60))</f>
        <v/>
      </c>
      <c r="J18" s="58" t="str">
        <f>IF($A18="","",'TO HOP'!$K$136+1*(INDEX('LANE ENGINE'!$E$6:$E$45,19)-'TO HOP'!$M$61))</f>
        <v/>
      </c>
      <c r="K18" s="58" t="str">
        <f>IF($A18="","",'TO HOP'!$L$136+1*(0-'TO HOP'!$M$62))</f>
        <v/>
      </c>
      <c r="L18" s="42" t="s">
        <v>1536</v>
      </c>
      <c r="M18" s="42">
        <v>19</v>
      </c>
    </row>
    <row r="19" spans="1:13" x14ac:dyDescent="0.3">
      <c r="A19" s="42" t="str">
        <f>IF(20&lt;=nLan,"SD I - 2 nhịp lệch tâm "&amp;20&amp;" làn","")</f>
        <v/>
      </c>
      <c r="B19" s="58" t="str">
        <f>IF($A19="","",'TO HOP'!$C$136+1*(0-'TO HOP'!$M$53))</f>
        <v/>
      </c>
      <c r="C19" s="58" t="str">
        <f>IF($A19="","",'TO HOP'!$D$136+1*(0-'TO HOP'!$M$54))</f>
        <v/>
      </c>
      <c r="D19" s="58" t="str">
        <f>IF($A19="","",'TO HOP'!$E$136+1*(INDEX('LANE ENGINE'!$D$6:$D$45,20)-'TO HOP'!$M$55))</f>
        <v/>
      </c>
      <c r="E19" s="58" t="str">
        <f>IF($A19="","",'TO HOP'!$F$136+1*(INDEX('LANE ENGINE'!$E$6:$E$45,20)-'TO HOP'!$M$56))</f>
        <v/>
      </c>
      <c r="F19" s="58" t="str">
        <f>IF($A19="","",'TO HOP'!$G$136+1*(0-'TO HOP'!$M$57))</f>
        <v/>
      </c>
      <c r="G19" s="58" t="str">
        <f>IF($A19="","",'TO HOP'!$H$136+1*(0-'TO HOP'!$M$58))</f>
        <v/>
      </c>
      <c r="H19" s="58" t="str">
        <f>IF($A19="","",'TO HOP'!$I$136+1*(0-'TO HOP'!$M$59))</f>
        <v/>
      </c>
      <c r="I19" s="58" t="str">
        <f>IF($A19="","",'TO HOP'!$J$136+1*(INDEX('LANE ENGINE'!$D$6:$D$45,20)-'TO HOP'!$M$60))</f>
        <v/>
      </c>
      <c r="J19" s="58" t="str">
        <f>IF($A19="","",'TO HOP'!$K$136+1*(INDEX('LANE ENGINE'!$E$6:$E$45,20)-'TO HOP'!$M$61))</f>
        <v/>
      </c>
      <c r="K19" s="58" t="str">
        <f>IF($A19="","",'TO HOP'!$L$136+1*(0-'TO HOP'!$M$62))</f>
        <v/>
      </c>
      <c r="L19" s="42" t="s">
        <v>1536</v>
      </c>
      <c r="M19" s="42">
        <v>20</v>
      </c>
    </row>
    <row r="20" spans="1:13" x14ac:dyDescent="0.3">
      <c r="A20" s="42" t="str">
        <f>IF(21&lt;=nLan,"SD I - 2 nhịp lệch tâm "&amp;21&amp;" làn","")</f>
        <v/>
      </c>
      <c r="B20" s="58" t="str">
        <f>IF($A20="","",'TO HOP'!$C$136+1*(0-'TO HOP'!$M$53))</f>
        <v/>
      </c>
      <c r="C20" s="58" t="str">
        <f>IF($A20="","",'TO HOP'!$D$136+1*(0-'TO HOP'!$M$54))</f>
        <v/>
      </c>
      <c r="D20" s="58" t="str">
        <f>IF($A20="","",'TO HOP'!$E$136+1*(INDEX('LANE ENGINE'!$D$6:$D$45,21)-'TO HOP'!$M$55))</f>
        <v/>
      </c>
      <c r="E20" s="58" t="str">
        <f>IF($A20="","",'TO HOP'!$F$136+1*(INDEX('LANE ENGINE'!$E$6:$E$45,21)-'TO HOP'!$M$56))</f>
        <v/>
      </c>
      <c r="F20" s="58" t="str">
        <f>IF($A20="","",'TO HOP'!$G$136+1*(0-'TO HOP'!$M$57))</f>
        <v/>
      </c>
      <c r="G20" s="58" t="str">
        <f>IF($A20="","",'TO HOP'!$H$136+1*(0-'TO HOP'!$M$58))</f>
        <v/>
      </c>
      <c r="H20" s="58" t="str">
        <f>IF($A20="","",'TO HOP'!$I$136+1*(0-'TO HOP'!$M$59))</f>
        <v/>
      </c>
      <c r="I20" s="58" t="str">
        <f>IF($A20="","",'TO HOP'!$J$136+1*(INDEX('LANE ENGINE'!$D$6:$D$45,21)-'TO HOP'!$M$60))</f>
        <v/>
      </c>
      <c r="J20" s="58" t="str">
        <f>IF($A20="","",'TO HOP'!$K$136+1*(INDEX('LANE ENGINE'!$E$6:$E$45,21)-'TO HOP'!$M$61))</f>
        <v/>
      </c>
      <c r="K20" s="58" t="str">
        <f>IF($A20="","",'TO HOP'!$L$136+1*(0-'TO HOP'!$M$62))</f>
        <v/>
      </c>
      <c r="L20" s="42" t="s">
        <v>1536</v>
      </c>
      <c r="M20" s="42">
        <v>21</v>
      </c>
    </row>
    <row r="21" spans="1:13" x14ac:dyDescent="0.3">
      <c r="A21" s="42" t="str">
        <f>IF(22&lt;=nLan,"SD I - 2 nhịp lệch tâm "&amp;22&amp;" làn","")</f>
        <v/>
      </c>
      <c r="B21" s="58" t="str">
        <f>IF($A21="","",'TO HOP'!$C$136+1*(0-'TO HOP'!$M$53))</f>
        <v/>
      </c>
      <c r="C21" s="58" t="str">
        <f>IF($A21="","",'TO HOP'!$D$136+1*(0-'TO HOP'!$M$54))</f>
        <v/>
      </c>
      <c r="D21" s="58" t="str">
        <f>IF($A21="","",'TO HOP'!$E$136+1*(INDEX('LANE ENGINE'!$D$6:$D$45,22)-'TO HOP'!$M$55))</f>
        <v/>
      </c>
      <c r="E21" s="58" t="str">
        <f>IF($A21="","",'TO HOP'!$F$136+1*(INDEX('LANE ENGINE'!$E$6:$E$45,22)-'TO HOP'!$M$56))</f>
        <v/>
      </c>
      <c r="F21" s="58" t="str">
        <f>IF($A21="","",'TO HOP'!$G$136+1*(0-'TO HOP'!$M$57))</f>
        <v/>
      </c>
      <c r="G21" s="58" t="str">
        <f>IF($A21="","",'TO HOP'!$H$136+1*(0-'TO HOP'!$M$58))</f>
        <v/>
      </c>
      <c r="H21" s="58" t="str">
        <f>IF($A21="","",'TO HOP'!$I$136+1*(0-'TO HOP'!$M$59))</f>
        <v/>
      </c>
      <c r="I21" s="58" t="str">
        <f>IF($A21="","",'TO HOP'!$J$136+1*(INDEX('LANE ENGINE'!$D$6:$D$45,22)-'TO HOP'!$M$60))</f>
        <v/>
      </c>
      <c r="J21" s="58" t="str">
        <f>IF($A21="","",'TO HOP'!$K$136+1*(INDEX('LANE ENGINE'!$E$6:$E$45,22)-'TO HOP'!$M$61))</f>
        <v/>
      </c>
      <c r="K21" s="58" t="str">
        <f>IF($A21="","",'TO HOP'!$L$136+1*(0-'TO HOP'!$M$62))</f>
        <v/>
      </c>
      <c r="L21" s="42" t="s">
        <v>1536</v>
      </c>
      <c r="M21" s="42">
        <v>22</v>
      </c>
    </row>
    <row r="22" spans="1:13" x14ac:dyDescent="0.3">
      <c r="A22" s="42" t="str">
        <f>IF(23&lt;=nLan,"SD I - 2 nhịp lệch tâm "&amp;23&amp;" làn","")</f>
        <v/>
      </c>
      <c r="B22" s="58" t="str">
        <f>IF($A22="","",'TO HOP'!$C$136+1*(0-'TO HOP'!$M$53))</f>
        <v/>
      </c>
      <c r="C22" s="58" t="str">
        <f>IF($A22="","",'TO HOP'!$D$136+1*(0-'TO HOP'!$M$54))</f>
        <v/>
      </c>
      <c r="D22" s="58" t="str">
        <f>IF($A22="","",'TO HOP'!$E$136+1*(INDEX('LANE ENGINE'!$D$6:$D$45,23)-'TO HOP'!$M$55))</f>
        <v/>
      </c>
      <c r="E22" s="58" t="str">
        <f>IF($A22="","",'TO HOP'!$F$136+1*(INDEX('LANE ENGINE'!$E$6:$E$45,23)-'TO HOP'!$M$56))</f>
        <v/>
      </c>
      <c r="F22" s="58" t="str">
        <f>IF($A22="","",'TO HOP'!$G$136+1*(0-'TO HOP'!$M$57))</f>
        <v/>
      </c>
      <c r="G22" s="58" t="str">
        <f>IF($A22="","",'TO HOP'!$H$136+1*(0-'TO HOP'!$M$58))</f>
        <v/>
      </c>
      <c r="H22" s="58" t="str">
        <f>IF($A22="","",'TO HOP'!$I$136+1*(0-'TO HOP'!$M$59))</f>
        <v/>
      </c>
      <c r="I22" s="58" t="str">
        <f>IF($A22="","",'TO HOP'!$J$136+1*(INDEX('LANE ENGINE'!$D$6:$D$45,23)-'TO HOP'!$M$60))</f>
        <v/>
      </c>
      <c r="J22" s="58" t="str">
        <f>IF($A22="","",'TO HOP'!$K$136+1*(INDEX('LANE ENGINE'!$E$6:$E$45,23)-'TO HOP'!$M$61))</f>
        <v/>
      </c>
      <c r="K22" s="58" t="str">
        <f>IF($A22="","",'TO HOP'!$L$136+1*(0-'TO HOP'!$M$62))</f>
        <v/>
      </c>
      <c r="L22" s="42" t="s">
        <v>1536</v>
      </c>
      <c r="M22" s="42">
        <v>23</v>
      </c>
    </row>
    <row r="23" spans="1:13" x14ac:dyDescent="0.3">
      <c r="A23" s="42" t="str">
        <f>IF(24&lt;=nLan,"SD I - 2 nhịp lệch tâm "&amp;24&amp;" làn","")</f>
        <v/>
      </c>
      <c r="B23" s="58" t="str">
        <f>IF($A23="","",'TO HOP'!$C$136+1*(0-'TO HOP'!$M$53))</f>
        <v/>
      </c>
      <c r="C23" s="58" t="str">
        <f>IF($A23="","",'TO HOP'!$D$136+1*(0-'TO HOP'!$M$54))</f>
        <v/>
      </c>
      <c r="D23" s="58" t="str">
        <f>IF($A23="","",'TO HOP'!$E$136+1*(INDEX('LANE ENGINE'!$D$6:$D$45,24)-'TO HOP'!$M$55))</f>
        <v/>
      </c>
      <c r="E23" s="58" t="str">
        <f>IF($A23="","",'TO HOP'!$F$136+1*(INDEX('LANE ENGINE'!$E$6:$E$45,24)-'TO HOP'!$M$56))</f>
        <v/>
      </c>
      <c r="F23" s="58" t="str">
        <f>IF($A23="","",'TO HOP'!$G$136+1*(0-'TO HOP'!$M$57))</f>
        <v/>
      </c>
      <c r="G23" s="58" t="str">
        <f>IF($A23="","",'TO HOP'!$H$136+1*(0-'TO HOP'!$M$58))</f>
        <v/>
      </c>
      <c r="H23" s="58" t="str">
        <f>IF($A23="","",'TO HOP'!$I$136+1*(0-'TO HOP'!$M$59))</f>
        <v/>
      </c>
      <c r="I23" s="58" t="str">
        <f>IF($A23="","",'TO HOP'!$J$136+1*(INDEX('LANE ENGINE'!$D$6:$D$45,24)-'TO HOP'!$M$60))</f>
        <v/>
      </c>
      <c r="J23" s="58" t="str">
        <f>IF($A23="","",'TO HOP'!$K$136+1*(INDEX('LANE ENGINE'!$E$6:$E$45,24)-'TO HOP'!$M$61))</f>
        <v/>
      </c>
      <c r="K23" s="58" t="str">
        <f>IF($A23="","",'TO HOP'!$L$136+1*(0-'TO HOP'!$M$62))</f>
        <v/>
      </c>
      <c r="L23" s="42" t="s">
        <v>1536</v>
      </c>
      <c r="M23" s="42">
        <v>24</v>
      </c>
    </row>
    <row r="24" spans="1:13" x14ac:dyDescent="0.3">
      <c r="A24" s="42" t="str">
        <f>IF(25&lt;=nLan,"SD I - 2 nhịp lệch tâm "&amp;25&amp;" làn","")</f>
        <v/>
      </c>
      <c r="B24" s="58" t="str">
        <f>IF($A24="","",'TO HOP'!$C$136+1*(0-'TO HOP'!$M$53))</f>
        <v/>
      </c>
      <c r="C24" s="58" t="str">
        <f>IF($A24="","",'TO HOP'!$D$136+1*(0-'TO HOP'!$M$54))</f>
        <v/>
      </c>
      <c r="D24" s="58" t="str">
        <f>IF($A24="","",'TO HOP'!$E$136+1*(INDEX('LANE ENGINE'!$D$6:$D$45,25)-'TO HOP'!$M$55))</f>
        <v/>
      </c>
      <c r="E24" s="58" t="str">
        <f>IF($A24="","",'TO HOP'!$F$136+1*(INDEX('LANE ENGINE'!$E$6:$E$45,25)-'TO HOP'!$M$56))</f>
        <v/>
      </c>
      <c r="F24" s="58" t="str">
        <f>IF($A24="","",'TO HOP'!$G$136+1*(0-'TO HOP'!$M$57))</f>
        <v/>
      </c>
      <c r="G24" s="58" t="str">
        <f>IF($A24="","",'TO HOP'!$H$136+1*(0-'TO HOP'!$M$58))</f>
        <v/>
      </c>
      <c r="H24" s="58" t="str">
        <f>IF($A24="","",'TO HOP'!$I$136+1*(0-'TO HOP'!$M$59))</f>
        <v/>
      </c>
      <c r="I24" s="58" t="str">
        <f>IF($A24="","",'TO HOP'!$J$136+1*(INDEX('LANE ENGINE'!$D$6:$D$45,25)-'TO HOP'!$M$60))</f>
        <v/>
      </c>
      <c r="J24" s="58" t="str">
        <f>IF($A24="","",'TO HOP'!$K$136+1*(INDEX('LANE ENGINE'!$E$6:$E$45,25)-'TO HOP'!$M$61))</f>
        <v/>
      </c>
      <c r="K24" s="58" t="str">
        <f>IF($A24="","",'TO HOP'!$L$136+1*(0-'TO HOP'!$M$62))</f>
        <v/>
      </c>
      <c r="L24" s="42" t="s">
        <v>1536</v>
      </c>
      <c r="M24" s="42">
        <v>25</v>
      </c>
    </row>
    <row r="25" spans="1:13" x14ac:dyDescent="0.3">
      <c r="A25" s="42" t="str">
        <f>IF(26&lt;=nLan,"SD I - 2 nhịp lệch tâm "&amp;26&amp;" làn","")</f>
        <v/>
      </c>
      <c r="B25" s="58" t="str">
        <f>IF($A25="","",'TO HOP'!$C$136+1*(0-'TO HOP'!$M$53))</f>
        <v/>
      </c>
      <c r="C25" s="58" t="str">
        <f>IF($A25="","",'TO HOP'!$D$136+1*(0-'TO HOP'!$M$54))</f>
        <v/>
      </c>
      <c r="D25" s="58" t="str">
        <f>IF($A25="","",'TO HOP'!$E$136+1*(INDEX('LANE ENGINE'!$D$6:$D$45,26)-'TO HOP'!$M$55))</f>
        <v/>
      </c>
      <c r="E25" s="58" t="str">
        <f>IF($A25="","",'TO HOP'!$F$136+1*(INDEX('LANE ENGINE'!$E$6:$E$45,26)-'TO HOP'!$M$56))</f>
        <v/>
      </c>
      <c r="F25" s="58" t="str">
        <f>IF($A25="","",'TO HOP'!$G$136+1*(0-'TO HOP'!$M$57))</f>
        <v/>
      </c>
      <c r="G25" s="58" t="str">
        <f>IF($A25="","",'TO HOP'!$H$136+1*(0-'TO HOP'!$M$58))</f>
        <v/>
      </c>
      <c r="H25" s="58" t="str">
        <f>IF($A25="","",'TO HOP'!$I$136+1*(0-'TO HOP'!$M$59))</f>
        <v/>
      </c>
      <c r="I25" s="58" t="str">
        <f>IF($A25="","",'TO HOP'!$J$136+1*(INDEX('LANE ENGINE'!$D$6:$D$45,26)-'TO HOP'!$M$60))</f>
        <v/>
      </c>
      <c r="J25" s="58" t="str">
        <f>IF($A25="","",'TO HOP'!$K$136+1*(INDEX('LANE ENGINE'!$E$6:$E$45,26)-'TO HOP'!$M$61))</f>
        <v/>
      </c>
      <c r="K25" s="58" t="str">
        <f>IF($A25="","",'TO HOP'!$L$136+1*(0-'TO HOP'!$M$62))</f>
        <v/>
      </c>
      <c r="L25" s="42" t="s">
        <v>1536</v>
      </c>
      <c r="M25" s="42">
        <v>26</v>
      </c>
    </row>
    <row r="26" spans="1:13" x14ac:dyDescent="0.3">
      <c r="A26" s="42" t="str">
        <f>IF(27&lt;=nLan,"SD I - 2 nhịp lệch tâm "&amp;27&amp;" làn","")</f>
        <v/>
      </c>
      <c r="B26" s="58" t="str">
        <f>IF($A26="","",'TO HOP'!$C$136+1*(0-'TO HOP'!$M$53))</f>
        <v/>
      </c>
      <c r="C26" s="58" t="str">
        <f>IF($A26="","",'TO HOP'!$D$136+1*(0-'TO HOP'!$M$54))</f>
        <v/>
      </c>
      <c r="D26" s="58" t="str">
        <f>IF($A26="","",'TO HOP'!$E$136+1*(INDEX('LANE ENGINE'!$D$6:$D$45,27)-'TO HOP'!$M$55))</f>
        <v/>
      </c>
      <c r="E26" s="58" t="str">
        <f>IF($A26="","",'TO HOP'!$F$136+1*(INDEX('LANE ENGINE'!$E$6:$E$45,27)-'TO HOP'!$M$56))</f>
        <v/>
      </c>
      <c r="F26" s="58" t="str">
        <f>IF($A26="","",'TO HOP'!$G$136+1*(0-'TO HOP'!$M$57))</f>
        <v/>
      </c>
      <c r="G26" s="58" t="str">
        <f>IF($A26="","",'TO HOP'!$H$136+1*(0-'TO HOP'!$M$58))</f>
        <v/>
      </c>
      <c r="H26" s="58" t="str">
        <f>IF($A26="","",'TO HOP'!$I$136+1*(0-'TO HOP'!$M$59))</f>
        <v/>
      </c>
      <c r="I26" s="58" t="str">
        <f>IF($A26="","",'TO HOP'!$J$136+1*(INDEX('LANE ENGINE'!$D$6:$D$45,27)-'TO HOP'!$M$60))</f>
        <v/>
      </c>
      <c r="J26" s="58" t="str">
        <f>IF($A26="","",'TO HOP'!$K$136+1*(INDEX('LANE ENGINE'!$E$6:$E$45,27)-'TO HOP'!$M$61))</f>
        <v/>
      </c>
      <c r="K26" s="58" t="str">
        <f>IF($A26="","",'TO HOP'!$L$136+1*(0-'TO HOP'!$M$62))</f>
        <v/>
      </c>
      <c r="L26" s="42" t="s">
        <v>1536</v>
      </c>
      <c r="M26" s="42">
        <v>27</v>
      </c>
    </row>
    <row r="27" spans="1:13" x14ac:dyDescent="0.3">
      <c r="A27" s="42" t="str">
        <f>IF(28&lt;=nLan,"SD I - 2 nhịp lệch tâm "&amp;28&amp;" làn","")</f>
        <v/>
      </c>
      <c r="B27" s="58" t="str">
        <f>IF($A27="","",'TO HOP'!$C$136+1*(0-'TO HOP'!$M$53))</f>
        <v/>
      </c>
      <c r="C27" s="58" t="str">
        <f>IF($A27="","",'TO HOP'!$D$136+1*(0-'TO HOP'!$M$54))</f>
        <v/>
      </c>
      <c r="D27" s="58" t="str">
        <f>IF($A27="","",'TO HOP'!$E$136+1*(INDEX('LANE ENGINE'!$D$6:$D$45,28)-'TO HOP'!$M$55))</f>
        <v/>
      </c>
      <c r="E27" s="58" t="str">
        <f>IF($A27="","",'TO HOP'!$F$136+1*(INDEX('LANE ENGINE'!$E$6:$E$45,28)-'TO HOP'!$M$56))</f>
        <v/>
      </c>
      <c r="F27" s="58" t="str">
        <f>IF($A27="","",'TO HOP'!$G$136+1*(0-'TO HOP'!$M$57))</f>
        <v/>
      </c>
      <c r="G27" s="58" t="str">
        <f>IF($A27="","",'TO HOP'!$H$136+1*(0-'TO HOP'!$M$58))</f>
        <v/>
      </c>
      <c r="H27" s="58" t="str">
        <f>IF($A27="","",'TO HOP'!$I$136+1*(0-'TO HOP'!$M$59))</f>
        <v/>
      </c>
      <c r="I27" s="58" t="str">
        <f>IF($A27="","",'TO HOP'!$J$136+1*(INDEX('LANE ENGINE'!$D$6:$D$45,28)-'TO HOP'!$M$60))</f>
        <v/>
      </c>
      <c r="J27" s="58" t="str">
        <f>IF($A27="","",'TO HOP'!$K$136+1*(INDEX('LANE ENGINE'!$E$6:$E$45,28)-'TO HOP'!$M$61))</f>
        <v/>
      </c>
      <c r="K27" s="58" t="str">
        <f>IF($A27="","",'TO HOP'!$L$136+1*(0-'TO HOP'!$M$62))</f>
        <v/>
      </c>
      <c r="L27" s="42" t="s">
        <v>1536</v>
      </c>
      <c r="M27" s="42">
        <v>28</v>
      </c>
    </row>
    <row r="28" spans="1:13" x14ac:dyDescent="0.3">
      <c r="A28" s="42" t="str">
        <f>IF(29&lt;=nLan,"SD I - 2 nhịp lệch tâm "&amp;29&amp;" làn","")</f>
        <v/>
      </c>
      <c r="B28" s="58" t="str">
        <f>IF($A28="","",'TO HOP'!$C$136+1*(0-'TO HOP'!$M$53))</f>
        <v/>
      </c>
      <c r="C28" s="58" t="str">
        <f>IF($A28="","",'TO HOP'!$D$136+1*(0-'TO HOP'!$M$54))</f>
        <v/>
      </c>
      <c r="D28" s="58" t="str">
        <f>IF($A28="","",'TO HOP'!$E$136+1*(INDEX('LANE ENGINE'!$D$6:$D$45,29)-'TO HOP'!$M$55))</f>
        <v/>
      </c>
      <c r="E28" s="58" t="str">
        <f>IF($A28="","",'TO HOP'!$F$136+1*(INDEX('LANE ENGINE'!$E$6:$E$45,29)-'TO HOP'!$M$56))</f>
        <v/>
      </c>
      <c r="F28" s="58" t="str">
        <f>IF($A28="","",'TO HOP'!$G$136+1*(0-'TO HOP'!$M$57))</f>
        <v/>
      </c>
      <c r="G28" s="58" t="str">
        <f>IF($A28="","",'TO HOP'!$H$136+1*(0-'TO HOP'!$M$58))</f>
        <v/>
      </c>
      <c r="H28" s="58" t="str">
        <f>IF($A28="","",'TO HOP'!$I$136+1*(0-'TO HOP'!$M$59))</f>
        <v/>
      </c>
      <c r="I28" s="58" t="str">
        <f>IF($A28="","",'TO HOP'!$J$136+1*(INDEX('LANE ENGINE'!$D$6:$D$45,29)-'TO HOP'!$M$60))</f>
        <v/>
      </c>
      <c r="J28" s="58" t="str">
        <f>IF($A28="","",'TO HOP'!$K$136+1*(INDEX('LANE ENGINE'!$E$6:$E$45,29)-'TO HOP'!$M$61))</f>
        <v/>
      </c>
      <c r="K28" s="58" t="str">
        <f>IF($A28="","",'TO HOP'!$L$136+1*(0-'TO HOP'!$M$62))</f>
        <v/>
      </c>
      <c r="L28" s="42" t="s">
        <v>1536</v>
      </c>
      <c r="M28" s="42">
        <v>29</v>
      </c>
    </row>
    <row r="29" spans="1:13" x14ac:dyDescent="0.3">
      <c r="A29" s="42" t="str">
        <f>IF(30&lt;=nLan,"SD I - 2 nhịp lệch tâm "&amp;30&amp;" làn","")</f>
        <v/>
      </c>
      <c r="B29" s="58" t="str">
        <f>IF($A29="","",'TO HOP'!$C$136+1*(0-'TO HOP'!$M$53))</f>
        <v/>
      </c>
      <c r="C29" s="58" t="str">
        <f>IF($A29="","",'TO HOP'!$D$136+1*(0-'TO HOP'!$M$54))</f>
        <v/>
      </c>
      <c r="D29" s="58" t="str">
        <f>IF($A29="","",'TO HOP'!$E$136+1*(INDEX('LANE ENGINE'!$D$6:$D$45,30)-'TO HOP'!$M$55))</f>
        <v/>
      </c>
      <c r="E29" s="58" t="str">
        <f>IF($A29="","",'TO HOP'!$F$136+1*(INDEX('LANE ENGINE'!$E$6:$E$45,30)-'TO HOP'!$M$56))</f>
        <v/>
      </c>
      <c r="F29" s="58" t="str">
        <f>IF($A29="","",'TO HOP'!$G$136+1*(0-'TO HOP'!$M$57))</f>
        <v/>
      </c>
      <c r="G29" s="58" t="str">
        <f>IF($A29="","",'TO HOP'!$H$136+1*(0-'TO HOP'!$M$58))</f>
        <v/>
      </c>
      <c r="H29" s="58" t="str">
        <f>IF($A29="","",'TO HOP'!$I$136+1*(0-'TO HOP'!$M$59))</f>
        <v/>
      </c>
      <c r="I29" s="58" t="str">
        <f>IF($A29="","",'TO HOP'!$J$136+1*(INDEX('LANE ENGINE'!$D$6:$D$45,30)-'TO HOP'!$M$60))</f>
        <v/>
      </c>
      <c r="J29" s="58" t="str">
        <f>IF($A29="","",'TO HOP'!$K$136+1*(INDEX('LANE ENGINE'!$E$6:$E$45,30)-'TO HOP'!$M$61))</f>
        <v/>
      </c>
      <c r="K29" s="58" t="str">
        <f>IF($A29="","",'TO HOP'!$L$136+1*(0-'TO HOP'!$M$62))</f>
        <v/>
      </c>
      <c r="L29" s="42" t="s">
        <v>1536</v>
      </c>
      <c r="M29" s="42">
        <v>30</v>
      </c>
    </row>
    <row r="30" spans="1:13" x14ac:dyDescent="0.3">
      <c r="A30" s="42" t="str">
        <f>IF(31&lt;=nLan,"SD I - 2 nhịp lệch tâm "&amp;31&amp;" làn","")</f>
        <v/>
      </c>
      <c r="B30" s="58" t="str">
        <f>IF($A30="","",'TO HOP'!$C$136+1*(0-'TO HOP'!$M$53))</f>
        <v/>
      </c>
      <c r="C30" s="58" t="str">
        <f>IF($A30="","",'TO HOP'!$D$136+1*(0-'TO HOP'!$M$54))</f>
        <v/>
      </c>
      <c r="D30" s="58" t="str">
        <f>IF($A30="","",'TO HOP'!$E$136+1*(INDEX('LANE ENGINE'!$D$6:$D$45,31)-'TO HOP'!$M$55))</f>
        <v/>
      </c>
      <c r="E30" s="58" t="str">
        <f>IF($A30="","",'TO HOP'!$F$136+1*(INDEX('LANE ENGINE'!$E$6:$E$45,31)-'TO HOP'!$M$56))</f>
        <v/>
      </c>
      <c r="F30" s="58" t="str">
        <f>IF($A30="","",'TO HOP'!$G$136+1*(0-'TO HOP'!$M$57))</f>
        <v/>
      </c>
      <c r="G30" s="58" t="str">
        <f>IF($A30="","",'TO HOP'!$H$136+1*(0-'TO HOP'!$M$58))</f>
        <v/>
      </c>
      <c r="H30" s="58" t="str">
        <f>IF($A30="","",'TO HOP'!$I$136+1*(0-'TO HOP'!$M$59))</f>
        <v/>
      </c>
      <c r="I30" s="58" t="str">
        <f>IF($A30="","",'TO HOP'!$J$136+1*(INDEX('LANE ENGINE'!$D$6:$D$45,31)-'TO HOP'!$M$60))</f>
        <v/>
      </c>
      <c r="J30" s="58" t="str">
        <f>IF($A30="","",'TO HOP'!$K$136+1*(INDEX('LANE ENGINE'!$E$6:$E$45,31)-'TO HOP'!$M$61))</f>
        <v/>
      </c>
      <c r="K30" s="58" t="str">
        <f>IF($A30="","",'TO HOP'!$L$136+1*(0-'TO HOP'!$M$62))</f>
        <v/>
      </c>
      <c r="L30" s="42" t="s">
        <v>1536</v>
      </c>
      <c r="M30" s="42">
        <v>31</v>
      </c>
    </row>
    <row r="31" spans="1:13" x14ac:dyDescent="0.3">
      <c r="A31" s="42" t="str">
        <f>IF(32&lt;=nLan,"SD I - 2 nhịp lệch tâm "&amp;32&amp;" làn","")</f>
        <v/>
      </c>
      <c r="B31" s="58" t="str">
        <f>IF($A31="","",'TO HOP'!$C$136+1*(0-'TO HOP'!$M$53))</f>
        <v/>
      </c>
      <c r="C31" s="58" t="str">
        <f>IF($A31="","",'TO HOP'!$D$136+1*(0-'TO HOP'!$M$54))</f>
        <v/>
      </c>
      <c r="D31" s="58" t="str">
        <f>IF($A31="","",'TO HOP'!$E$136+1*(INDEX('LANE ENGINE'!$D$6:$D$45,32)-'TO HOP'!$M$55))</f>
        <v/>
      </c>
      <c r="E31" s="58" t="str">
        <f>IF($A31="","",'TO HOP'!$F$136+1*(INDEX('LANE ENGINE'!$E$6:$E$45,32)-'TO HOP'!$M$56))</f>
        <v/>
      </c>
      <c r="F31" s="58" t="str">
        <f>IF($A31="","",'TO HOP'!$G$136+1*(0-'TO HOP'!$M$57))</f>
        <v/>
      </c>
      <c r="G31" s="58" t="str">
        <f>IF($A31="","",'TO HOP'!$H$136+1*(0-'TO HOP'!$M$58))</f>
        <v/>
      </c>
      <c r="H31" s="58" t="str">
        <f>IF($A31="","",'TO HOP'!$I$136+1*(0-'TO HOP'!$M$59))</f>
        <v/>
      </c>
      <c r="I31" s="58" t="str">
        <f>IF($A31="","",'TO HOP'!$J$136+1*(INDEX('LANE ENGINE'!$D$6:$D$45,32)-'TO HOP'!$M$60))</f>
        <v/>
      </c>
      <c r="J31" s="58" t="str">
        <f>IF($A31="","",'TO HOP'!$K$136+1*(INDEX('LANE ENGINE'!$E$6:$E$45,32)-'TO HOP'!$M$61))</f>
        <v/>
      </c>
      <c r="K31" s="58" t="str">
        <f>IF($A31="","",'TO HOP'!$L$136+1*(0-'TO HOP'!$M$62))</f>
        <v/>
      </c>
      <c r="L31" s="42" t="s">
        <v>1536</v>
      </c>
      <c r="M31" s="42">
        <v>32</v>
      </c>
    </row>
    <row r="32" spans="1:13" x14ac:dyDescent="0.3">
      <c r="A32" s="42" t="str">
        <f>IF(33&lt;=nLan,"SD I - 2 nhịp lệch tâm "&amp;33&amp;" làn","")</f>
        <v/>
      </c>
      <c r="B32" s="58" t="str">
        <f>IF($A32="","",'TO HOP'!$C$136+1*(0-'TO HOP'!$M$53))</f>
        <v/>
      </c>
      <c r="C32" s="58" t="str">
        <f>IF($A32="","",'TO HOP'!$D$136+1*(0-'TO HOP'!$M$54))</f>
        <v/>
      </c>
      <c r="D32" s="58" t="str">
        <f>IF($A32="","",'TO HOP'!$E$136+1*(INDEX('LANE ENGINE'!$D$6:$D$45,33)-'TO HOP'!$M$55))</f>
        <v/>
      </c>
      <c r="E32" s="58" t="str">
        <f>IF($A32="","",'TO HOP'!$F$136+1*(INDEX('LANE ENGINE'!$E$6:$E$45,33)-'TO HOP'!$M$56))</f>
        <v/>
      </c>
      <c r="F32" s="58" t="str">
        <f>IF($A32="","",'TO HOP'!$G$136+1*(0-'TO HOP'!$M$57))</f>
        <v/>
      </c>
      <c r="G32" s="58" t="str">
        <f>IF($A32="","",'TO HOP'!$H$136+1*(0-'TO HOP'!$M$58))</f>
        <v/>
      </c>
      <c r="H32" s="58" t="str">
        <f>IF($A32="","",'TO HOP'!$I$136+1*(0-'TO HOP'!$M$59))</f>
        <v/>
      </c>
      <c r="I32" s="58" t="str">
        <f>IF($A32="","",'TO HOP'!$J$136+1*(INDEX('LANE ENGINE'!$D$6:$D$45,33)-'TO HOP'!$M$60))</f>
        <v/>
      </c>
      <c r="J32" s="58" t="str">
        <f>IF($A32="","",'TO HOP'!$K$136+1*(INDEX('LANE ENGINE'!$E$6:$E$45,33)-'TO HOP'!$M$61))</f>
        <v/>
      </c>
      <c r="K32" s="58" t="str">
        <f>IF($A32="","",'TO HOP'!$L$136+1*(0-'TO HOP'!$M$62))</f>
        <v/>
      </c>
      <c r="L32" s="42" t="s">
        <v>1536</v>
      </c>
      <c r="M32" s="42">
        <v>33</v>
      </c>
    </row>
    <row r="33" spans="1:13" x14ac:dyDescent="0.3">
      <c r="A33" s="42" t="str">
        <f>IF(34&lt;=nLan,"SD I - 2 nhịp lệch tâm "&amp;34&amp;" làn","")</f>
        <v/>
      </c>
      <c r="B33" s="58" t="str">
        <f>IF($A33="","",'TO HOP'!$C$136+1*(0-'TO HOP'!$M$53))</f>
        <v/>
      </c>
      <c r="C33" s="58" t="str">
        <f>IF($A33="","",'TO HOP'!$D$136+1*(0-'TO HOP'!$M$54))</f>
        <v/>
      </c>
      <c r="D33" s="58" t="str">
        <f>IF($A33="","",'TO HOP'!$E$136+1*(INDEX('LANE ENGINE'!$D$6:$D$45,34)-'TO HOP'!$M$55))</f>
        <v/>
      </c>
      <c r="E33" s="58" t="str">
        <f>IF($A33="","",'TO HOP'!$F$136+1*(INDEX('LANE ENGINE'!$E$6:$E$45,34)-'TO HOP'!$M$56))</f>
        <v/>
      </c>
      <c r="F33" s="58" t="str">
        <f>IF($A33="","",'TO HOP'!$G$136+1*(0-'TO HOP'!$M$57))</f>
        <v/>
      </c>
      <c r="G33" s="58" t="str">
        <f>IF($A33="","",'TO HOP'!$H$136+1*(0-'TO HOP'!$M$58))</f>
        <v/>
      </c>
      <c r="H33" s="58" t="str">
        <f>IF($A33="","",'TO HOP'!$I$136+1*(0-'TO HOP'!$M$59))</f>
        <v/>
      </c>
      <c r="I33" s="58" t="str">
        <f>IF($A33="","",'TO HOP'!$J$136+1*(INDEX('LANE ENGINE'!$D$6:$D$45,34)-'TO HOP'!$M$60))</f>
        <v/>
      </c>
      <c r="J33" s="58" t="str">
        <f>IF($A33="","",'TO HOP'!$K$136+1*(INDEX('LANE ENGINE'!$E$6:$E$45,34)-'TO HOP'!$M$61))</f>
        <v/>
      </c>
      <c r="K33" s="58" t="str">
        <f>IF($A33="","",'TO HOP'!$L$136+1*(0-'TO HOP'!$M$62))</f>
        <v/>
      </c>
      <c r="L33" s="42" t="s">
        <v>1536</v>
      </c>
      <c r="M33" s="42">
        <v>34</v>
      </c>
    </row>
    <row r="34" spans="1:13" x14ac:dyDescent="0.3">
      <c r="A34" s="42" t="str">
        <f>IF(35&lt;=nLan,"SD I - 2 nhịp lệch tâm "&amp;35&amp;" làn","")</f>
        <v/>
      </c>
      <c r="B34" s="58" t="str">
        <f>IF($A34="","",'TO HOP'!$C$136+1*(0-'TO HOP'!$M$53))</f>
        <v/>
      </c>
      <c r="C34" s="58" t="str">
        <f>IF($A34="","",'TO HOP'!$D$136+1*(0-'TO HOP'!$M$54))</f>
        <v/>
      </c>
      <c r="D34" s="58" t="str">
        <f>IF($A34="","",'TO HOP'!$E$136+1*(INDEX('LANE ENGINE'!$D$6:$D$45,35)-'TO HOP'!$M$55))</f>
        <v/>
      </c>
      <c r="E34" s="58" t="str">
        <f>IF($A34="","",'TO HOP'!$F$136+1*(INDEX('LANE ENGINE'!$E$6:$E$45,35)-'TO HOP'!$M$56))</f>
        <v/>
      </c>
      <c r="F34" s="58" t="str">
        <f>IF($A34="","",'TO HOP'!$G$136+1*(0-'TO HOP'!$M$57))</f>
        <v/>
      </c>
      <c r="G34" s="58" t="str">
        <f>IF($A34="","",'TO HOP'!$H$136+1*(0-'TO HOP'!$M$58))</f>
        <v/>
      </c>
      <c r="H34" s="58" t="str">
        <f>IF($A34="","",'TO HOP'!$I$136+1*(0-'TO HOP'!$M$59))</f>
        <v/>
      </c>
      <c r="I34" s="58" t="str">
        <f>IF($A34="","",'TO HOP'!$J$136+1*(INDEX('LANE ENGINE'!$D$6:$D$45,35)-'TO HOP'!$M$60))</f>
        <v/>
      </c>
      <c r="J34" s="58" t="str">
        <f>IF($A34="","",'TO HOP'!$K$136+1*(INDEX('LANE ENGINE'!$E$6:$E$45,35)-'TO HOP'!$M$61))</f>
        <v/>
      </c>
      <c r="K34" s="58" t="str">
        <f>IF($A34="","",'TO HOP'!$L$136+1*(0-'TO HOP'!$M$62))</f>
        <v/>
      </c>
      <c r="L34" s="42" t="s">
        <v>1536</v>
      </c>
      <c r="M34" s="42">
        <v>35</v>
      </c>
    </row>
    <row r="35" spans="1:13" x14ac:dyDescent="0.3">
      <c r="A35" s="42" t="str">
        <f>IF(36&lt;=nLan,"SD I - 2 nhịp lệch tâm "&amp;36&amp;" làn","")</f>
        <v/>
      </c>
      <c r="B35" s="58" t="str">
        <f>IF($A35="","",'TO HOP'!$C$136+1*(0-'TO HOP'!$M$53))</f>
        <v/>
      </c>
      <c r="C35" s="58" t="str">
        <f>IF($A35="","",'TO HOP'!$D$136+1*(0-'TO HOP'!$M$54))</f>
        <v/>
      </c>
      <c r="D35" s="58" t="str">
        <f>IF($A35="","",'TO HOP'!$E$136+1*(INDEX('LANE ENGINE'!$D$6:$D$45,36)-'TO HOP'!$M$55))</f>
        <v/>
      </c>
      <c r="E35" s="58" t="str">
        <f>IF($A35="","",'TO HOP'!$F$136+1*(INDEX('LANE ENGINE'!$E$6:$E$45,36)-'TO HOP'!$M$56))</f>
        <v/>
      </c>
      <c r="F35" s="58" t="str">
        <f>IF($A35="","",'TO HOP'!$G$136+1*(0-'TO HOP'!$M$57))</f>
        <v/>
      </c>
      <c r="G35" s="58" t="str">
        <f>IF($A35="","",'TO HOP'!$H$136+1*(0-'TO HOP'!$M$58))</f>
        <v/>
      </c>
      <c r="H35" s="58" t="str">
        <f>IF($A35="","",'TO HOP'!$I$136+1*(0-'TO HOP'!$M$59))</f>
        <v/>
      </c>
      <c r="I35" s="58" t="str">
        <f>IF($A35="","",'TO HOP'!$J$136+1*(INDEX('LANE ENGINE'!$D$6:$D$45,36)-'TO HOP'!$M$60))</f>
        <v/>
      </c>
      <c r="J35" s="58" t="str">
        <f>IF($A35="","",'TO HOP'!$K$136+1*(INDEX('LANE ENGINE'!$E$6:$E$45,36)-'TO HOP'!$M$61))</f>
        <v/>
      </c>
      <c r="K35" s="58" t="str">
        <f>IF($A35="","",'TO HOP'!$L$136+1*(0-'TO HOP'!$M$62))</f>
        <v/>
      </c>
      <c r="L35" s="42" t="s">
        <v>1536</v>
      </c>
      <c r="M35" s="42">
        <v>36</v>
      </c>
    </row>
    <row r="36" spans="1:13" x14ac:dyDescent="0.3">
      <c r="A36" s="42" t="str">
        <f>IF(37&lt;=nLan,"SD I - 2 nhịp lệch tâm "&amp;37&amp;" làn","")</f>
        <v/>
      </c>
      <c r="B36" s="58" t="str">
        <f>IF($A36="","",'TO HOP'!$C$136+1*(0-'TO HOP'!$M$53))</f>
        <v/>
      </c>
      <c r="C36" s="58" t="str">
        <f>IF($A36="","",'TO HOP'!$D$136+1*(0-'TO HOP'!$M$54))</f>
        <v/>
      </c>
      <c r="D36" s="58" t="str">
        <f>IF($A36="","",'TO HOP'!$E$136+1*(INDEX('LANE ENGINE'!$D$6:$D$45,37)-'TO HOP'!$M$55))</f>
        <v/>
      </c>
      <c r="E36" s="58" t="str">
        <f>IF($A36="","",'TO HOP'!$F$136+1*(INDEX('LANE ENGINE'!$E$6:$E$45,37)-'TO HOP'!$M$56))</f>
        <v/>
      </c>
      <c r="F36" s="58" t="str">
        <f>IF($A36="","",'TO HOP'!$G$136+1*(0-'TO HOP'!$M$57))</f>
        <v/>
      </c>
      <c r="G36" s="58" t="str">
        <f>IF($A36="","",'TO HOP'!$H$136+1*(0-'TO HOP'!$M$58))</f>
        <v/>
      </c>
      <c r="H36" s="58" t="str">
        <f>IF($A36="","",'TO HOP'!$I$136+1*(0-'TO HOP'!$M$59))</f>
        <v/>
      </c>
      <c r="I36" s="58" t="str">
        <f>IF($A36="","",'TO HOP'!$J$136+1*(INDEX('LANE ENGINE'!$D$6:$D$45,37)-'TO HOP'!$M$60))</f>
        <v/>
      </c>
      <c r="J36" s="58" t="str">
        <f>IF($A36="","",'TO HOP'!$K$136+1*(INDEX('LANE ENGINE'!$E$6:$E$45,37)-'TO HOP'!$M$61))</f>
        <v/>
      </c>
      <c r="K36" s="58" t="str">
        <f>IF($A36="","",'TO HOP'!$L$136+1*(0-'TO HOP'!$M$62))</f>
        <v/>
      </c>
      <c r="L36" s="42" t="s">
        <v>1536</v>
      </c>
      <c r="M36" s="42">
        <v>37</v>
      </c>
    </row>
    <row r="37" spans="1:13" x14ac:dyDescent="0.3">
      <c r="A37" s="42" t="str">
        <f>IF(38&lt;=nLan,"SD I - 2 nhịp lệch tâm "&amp;38&amp;" làn","")</f>
        <v/>
      </c>
      <c r="B37" s="58" t="str">
        <f>IF($A37="","",'TO HOP'!$C$136+1*(0-'TO HOP'!$M$53))</f>
        <v/>
      </c>
      <c r="C37" s="58" t="str">
        <f>IF($A37="","",'TO HOP'!$D$136+1*(0-'TO HOP'!$M$54))</f>
        <v/>
      </c>
      <c r="D37" s="58" t="str">
        <f>IF($A37="","",'TO HOP'!$E$136+1*(INDEX('LANE ENGINE'!$D$6:$D$45,38)-'TO HOP'!$M$55))</f>
        <v/>
      </c>
      <c r="E37" s="58" t="str">
        <f>IF($A37="","",'TO HOP'!$F$136+1*(INDEX('LANE ENGINE'!$E$6:$E$45,38)-'TO HOP'!$M$56))</f>
        <v/>
      </c>
      <c r="F37" s="58" t="str">
        <f>IF($A37="","",'TO HOP'!$G$136+1*(0-'TO HOP'!$M$57))</f>
        <v/>
      </c>
      <c r="G37" s="58" t="str">
        <f>IF($A37="","",'TO HOP'!$H$136+1*(0-'TO HOP'!$M$58))</f>
        <v/>
      </c>
      <c r="H37" s="58" t="str">
        <f>IF($A37="","",'TO HOP'!$I$136+1*(0-'TO HOP'!$M$59))</f>
        <v/>
      </c>
      <c r="I37" s="58" t="str">
        <f>IF($A37="","",'TO HOP'!$J$136+1*(INDEX('LANE ENGINE'!$D$6:$D$45,38)-'TO HOP'!$M$60))</f>
        <v/>
      </c>
      <c r="J37" s="58" t="str">
        <f>IF($A37="","",'TO HOP'!$K$136+1*(INDEX('LANE ENGINE'!$E$6:$E$45,38)-'TO HOP'!$M$61))</f>
        <v/>
      </c>
      <c r="K37" s="58" t="str">
        <f>IF($A37="","",'TO HOP'!$L$136+1*(0-'TO HOP'!$M$62))</f>
        <v/>
      </c>
      <c r="L37" s="42" t="s">
        <v>1536</v>
      </c>
      <c r="M37" s="42">
        <v>38</v>
      </c>
    </row>
    <row r="38" spans="1:13" x14ac:dyDescent="0.3">
      <c r="A38" s="42" t="str">
        <f>IF(39&lt;=nLan,"SD I - 2 nhịp lệch tâm "&amp;39&amp;" làn","")</f>
        <v/>
      </c>
      <c r="B38" s="58" t="str">
        <f>IF($A38="","",'TO HOP'!$C$136+1*(0-'TO HOP'!$M$53))</f>
        <v/>
      </c>
      <c r="C38" s="58" t="str">
        <f>IF($A38="","",'TO HOP'!$D$136+1*(0-'TO HOP'!$M$54))</f>
        <v/>
      </c>
      <c r="D38" s="58" t="str">
        <f>IF($A38="","",'TO HOP'!$E$136+1*(INDEX('LANE ENGINE'!$D$6:$D$45,39)-'TO HOP'!$M$55))</f>
        <v/>
      </c>
      <c r="E38" s="58" t="str">
        <f>IF($A38="","",'TO HOP'!$F$136+1*(INDEX('LANE ENGINE'!$E$6:$E$45,39)-'TO HOP'!$M$56))</f>
        <v/>
      </c>
      <c r="F38" s="58" t="str">
        <f>IF($A38="","",'TO HOP'!$G$136+1*(0-'TO HOP'!$M$57))</f>
        <v/>
      </c>
      <c r="G38" s="58" t="str">
        <f>IF($A38="","",'TO HOP'!$H$136+1*(0-'TO HOP'!$M$58))</f>
        <v/>
      </c>
      <c r="H38" s="58" t="str">
        <f>IF($A38="","",'TO HOP'!$I$136+1*(0-'TO HOP'!$M$59))</f>
        <v/>
      </c>
      <c r="I38" s="58" t="str">
        <f>IF($A38="","",'TO HOP'!$J$136+1*(INDEX('LANE ENGINE'!$D$6:$D$45,39)-'TO HOP'!$M$60))</f>
        <v/>
      </c>
      <c r="J38" s="58" t="str">
        <f>IF($A38="","",'TO HOP'!$K$136+1*(INDEX('LANE ENGINE'!$E$6:$E$45,39)-'TO HOP'!$M$61))</f>
        <v/>
      </c>
      <c r="K38" s="58" t="str">
        <f>IF($A38="","",'TO HOP'!$L$136+1*(0-'TO HOP'!$M$62))</f>
        <v/>
      </c>
      <c r="L38" s="42" t="s">
        <v>1536</v>
      </c>
      <c r="M38" s="42">
        <v>39</v>
      </c>
    </row>
    <row r="39" spans="1:13" x14ac:dyDescent="0.3">
      <c r="A39" s="42" t="str">
        <f>IF(40&lt;=nLan,"SD I - 2 nhịp lệch tâm "&amp;40&amp;" làn","")</f>
        <v/>
      </c>
      <c r="B39" s="58" t="str">
        <f>IF($A39="","",'TO HOP'!$C$136+1*(0-'TO HOP'!$M$53))</f>
        <v/>
      </c>
      <c r="C39" s="58" t="str">
        <f>IF($A39="","",'TO HOP'!$D$136+1*(0-'TO HOP'!$M$54))</f>
        <v/>
      </c>
      <c r="D39" s="58" t="str">
        <f>IF($A39="","",'TO HOP'!$E$136+1*(INDEX('LANE ENGINE'!$D$6:$D$45,40)-'TO HOP'!$M$55))</f>
        <v/>
      </c>
      <c r="E39" s="58" t="str">
        <f>IF($A39="","",'TO HOP'!$F$136+1*(INDEX('LANE ENGINE'!$E$6:$E$45,40)-'TO HOP'!$M$56))</f>
        <v/>
      </c>
      <c r="F39" s="58" t="str">
        <f>IF($A39="","",'TO HOP'!$G$136+1*(0-'TO HOP'!$M$57))</f>
        <v/>
      </c>
      <c r="G39" s="58" t="str">
        <f>IF($A39="","",'TO HOP'!$H$136+1*(0-'TO HOP'!$M$58))</f>
        <v/>
      </c>
      <c r="H39" s="58" t="str">
        <f>IF($A39="","",'TO HOP'!$I$136+1*(0-'TO HOP'!$M$59))</f>
        <v/>
      </c>
      <c r="I39" s="58" t="str">
        <f>IF($A39="","",'TO HOP'!$J$136+1*(INDEX('LANE ENGINE'!$D$6:$D$45,40)-'TO HOP'!$M$60))</f>
        <v/>
      </c>
      <c r="J39" s="58" t="str">
        <f>IF($A39="","",'TO HOP'!$K$136+1*(INDEX('LANE ENGINE'!$E$6:$E$45,40)-'TO HOP'!$M$61))</f>
        <v/>
      </c>
      <c r="K39" s="58" t="str">
        <f>IF($A39="","",'TO HOP'!$L$136+1*(0-'TO HOP'!$M$62))</f>
        <v/>
      </c>
      <c r="L39" s="42" t="s">
        <v>1536</v>
      </c>
      <c r="M39" s="42">
        <v>40</v>
      </c>
    </row>
    <row r="40" spans="1:13" x14ac:dyDescent="0.3">
      <c r="A40" s="42" t="str">
        <f>IF(7&lt;=nLan,"SD I - 2 nhịp đúng tâm "&amp;7&amp;" làn","")</f>
        <v/>
      </c>
      <c r="B40" s="58" t="str">
        <f>IF($A40="","",'TO HOP'!$C$142+1*(0-'TO HOP'!$S$53))</f>
        <v/>
      </c>
      <c r="C40" s="58" t="str">
        <f>IF($A40="","",'TO HOP'!$D$142+1*(0-'TO HOP'!$S$54))</f>
        <v/>
      </c>
      <c r="D40" s="58" t="str">
        <f>IF($A40="","",'TO HOP'!$E$142+1*(INDEX('LANE ENGINE'!$D$6:$D$45,7)-'TO HOP'!$S$55))</f>
        <v/>
      </c>
      <c r="E40" s="58" t="str">
        <f>IF($A40="","",'TO HOP'!$F$142+1*(0-'TO HOP'!$S$56))</f>
        <v/>
      </c>
      <c r="F40" s="58" t="str">
        <f>IF($A40="","",'TO HOP'!$G$142+1*(0-'TO HOP'!$S$57))</f>
        <v/>
      </c>
      <c r="G40" s="58" t="str">
        <f>IF($A40="","",'TO HOP'!$H$142+1*(0-'TO HOP'!$S$58))</f>
        <v/>
      </c>
      <c r="H40" s="58" t="str">
        <f>IF($A40="","",'TO HOP'!$I$142+1*(0-'TO HOP'!$S$59))</f>
        <v/>
      </c>
      <c r="I40" s="58" t="str">
        <f>IF($A40="","",'TO HOP'!$J$142+1*(INDEX('LANE ENGINE'!$D$6:$D$45,7)-'TO HOP'!$S$60))</f>
        <v/>
      </c>
      <c r="J40" s="58" t="str">
        <f>IF($A40="","",'TO HOP'!$K$142+1*(0-'TO HOP'!$S$61))</f>
        <v/>
      </c>
      <c r="K40" s="58" t="str">
        <f>IF($A40="","",'TO HOP'!$L$142+1*(0-'TO HOP'!$S$62))</f>
        <v/>
      </c>
      <c r="L40" s="42" t="s">
        <v>1536</v>
      </c>
      <c r="M40" s="42">
        <v>7</v>
      </c>
    </row>
    <row r="41" spans="1:13" x14ac:dyDescent="0.3">
      <c r="A41" s="42" t="str">
        <f>IF(8&lt;=nLan,"SD I - 2 nhịp đúng tâm "&amp;8&amp;" làn","")</f>
        <v/>
      </c>
      <c r="B41" s="58" t="str">
        <f>IF($A41="","",'TO HOP'!$C$142+1*(0-'TO HOP'!$S$53))</f>
        <v/>
      </c>
      <c r="C41" s="58" t="str">
        <f>IF($A41="","",'TO HOP'!$D$142+1*(0-'TO HOP'!$S$54))</f>
        <v/>
      </c>
      <c r="D41" s="58" t="str">
        <f>IF($A41="","",'TO HOP'!$E$142+1*(INDEX('LANE ENGINE'!$D$6:$D$45,8)-'TO HOP'!$S$55))</f>
        <v/>
      </c>
      <c r="E41" s="58" t="str">
        <f>IF($A41="","",'TO HOP'!$F$142+1*(0-'TO HOP'!$S$56))</f>
        <v/>
      </c>
      <c r="F41" s="58" t="str">
        <f>IF($A41="","",'TO HOP'!$G$142+1*(0-'TO HOP'!$S$57))</f>
        <v/>
      </c>
      <c r="G41" s="58" t="str">
        <f>IF($A41="","",'TO HOP'!$H$142+1*(0-'TO HOP'!$S$58))</f>
        <v/>
      </c>
      <c r="H41" s="58" t="str">
        <f>IF($A41="","",'TO HOP'!$I$142+1*(0-'TO HOP'!$S$59))</f>
        <v/>
      </c>
      <c r="I41" s="58" t="str">
        <f>IF($A41="","",'TO HOP'!$J$142+1*(INDEX('LANE ENGINE'!$D$6:$D$45,8)-'TO HOP'!$S$60))</f>
        <v/>
      </c>
      <c r="J41" s="58" t="str">
        <f>IF($A41="","",'TO HOP'!$K$142+1*(0-'TO HOP'!$S$61))</f>
        <v/>
      </c>
      <c r="K41" s="58" t="str">
        <f>IF($A41="","",'TO HOP'!$L$142+1*(0-'TO HOP'!$S$62))</f>
        <v/>
      </c>
      <c r="L41" s="42" t="s">
        <v>1536</v>
      </c>
      <c r="M41" s="42">
        <v>8</v>
      </c>
    </row>
    <row r="42" spans="1:13" x14ac:dyDescent="0.3">
      <c r="A42" s="42" t="str">
        <f>IF(9&lt;=nLan,"SD I - 2 nhịp đúng tâm "&amp;9&amp;" làn","")</f>
        <v/>
      </c>
      <c r="B42" s="58" t="str">
        <f>IF($A42="","",'TO HOP'!$C$142+1*(0-'TO HOP'!$S$53))</f>
        <v/>
      </c>
      <c r="C42" s="58" t="str">
        <f>IF($A42="","",'TO HOP'!$D$142+1*(0-'TO HOP'!$S$54))</f>
        <v/>
      </c>
      <c r="D42" s="58" t="str">
        <f>IF($A42="","",'TO HOP'!$E$142+1*(INDEX('LANE ENGINE'!$D$6:$D$45,9)-'TO HOP'!$S$55))</f>
        <v/>
      </c>
      <c r="E42" s="58" t="str">
        <f>IF($A42="","",'TO HOP'!$F$142+1*(0-'TO HOP'!$S$56))</f>
        <v/>
      </c>
      <c r="F42" s="58" t="str">
        <f>IF($A42="","",'TO HOP'!$G$142+1*(0-'TO HOP'!$S$57))</f>
        <v/>
      </c>
      <c r="G42" s="58" t="str">
        <f>IF($A42="","",'TO HOP'!$H$142+1*(0-'TO HOP'!$S$58))</f>
        <v/>
      </c>
      <c r="H42" s="58" t="str">
        <f>IF($A42="","",'TO HOP'!$I$142+1*(0-'TO HOP'!$S$59))</f>
        <v/>
      </c>
      <c r="I42" s="58" t="str">
        <f>IF($A42="","",'TO HOP'!$J$142+1*(INDEX('LANE ENGINE'!$D$6:$D$45,9)-'TO HOP'!$S$60))</f>
        <v/>
      </c>
      <c r="J42" s="58" t="str">
        <f>IF($A42="","",'TO HOP'!$K$142+1*(0-'TO HOP'!$S$61))</f>
        <v/>
      </c>
      <c r="K42" s="58" t="str">
        <f>IF($A42="","",'TO HOP'!$L$142+1*(0-'TO HOP'!$S$62))</f>
        <v/>
      </c>
      <c r="L42" s="42" t="s">
        <v>1536</v>
      </c>
      <c r="M42" s="42">
        <v>9</v>
      </c>
    </row>
    <row r="43" spans="1:13" x14ac:dyDescent="0.3">
      <c r="A43" s="42" t="str">
        <f>IF(10&lt;=nLan,"SD I - 2 nhịp đúng tâm "&amp;10&amp;" làn","")</f>
        <v/>
      </c>
      <c r="B43" s="58" t="str">
        <f>IF($A43="","",'TO HOP'!$C$142+1*(0-'TO HOP'!$S$53))</f>
        <v/>
      </c>
      <c r="C43" s="58" t="str">
        <f>IF($A43="","",'TO HOP'!$D$142+1*(0-'TO HOP'!$S$54))</f>
        <v/>
      </c>
      <c r="D43" s="58" t="str">
        <f>IF($A43="","",'TO HOP'!$E$142+1*(INDEX('LANE ENGINE'!$D$6:$D$45,10)-'TO HOP'!$S$55))</f>
        <v/>
      </c>
      <c r="E43" s="58" t="str">
        <f>IF($A43="","",'TO HOP'!$F$142+1*(0-'TO HOP'!$S$56))</f>
        <v/>
      </c>
      <c r="F43" s="58" t="str">
        <f>IF($A43="","",'TO HOP'!$G$142+1*(0-'TO HOP'!$S$57))</f>
        <v/>
      </c>
      <c r="G43" s="58" t="str">
        <f>IF($A43="","",'TO HOP'!$H$142+1*(0-'TO HOP'!$S$58))</f>
        <v/>
      </c>
      <c r="H43" s="58" t="str">
        <f>IF($A43="","",'TO HOP'!$I$142+1*(0-'TO HOP'!$S$59))</f>
        <v/>
      </c>
      <c r="I43" s="58" t="str">
        <f>IF($A43="","",'TO HOP'!$J$142+1*(INDEX('LANE ENGINE'!$D$6:$D$45,10)-'TO HOP'!$S$60))</f>
        <v/>
      </c>
      <c r="J43" s="58" t="str">
        <f>IF($A43="","",'TO HOP'!$K$142+1*(0-'TO HOP'!$S$61))</f>
        <v/>
      </c>
      <c r="K43" s="58" t="str">
        <f>IF($A43="","",'TO HOP'!$L$142+1*(0-'TO HOP'!$S$62))</f>
        <v/>
      </c>
      <c r="L43" s="42" t="s">
        <v>1536</v>
      </c>
      <c r="M43" s="42">
        <v>10</v>
      </c>
    </row>
    <row r="44" spans="1:13" x14ac:dyDescent="0.3">
      <c r="A44" s="42" t="str">
        <f>IF(11&lt;=nLan,"SD I - 2 nhịp đúng tâm "&amp;11&amp;" làn","")</f>
        <v/>
      </c>
      <c r="B44" s="58" t="str">
        <f>IF($A44="","",'TO HOP'!$C$142+1*(0-'TO HOP'!$S$53))</f>
        <v/>
      </c>
      <c r="C44" s="58" t="str">
        <f>IF($A44="","",'TO HOP'!$D$142+1*(0-'TO HOP'!$S$54))</f>
        <v/>
      </c>
      <c r="D44" s="58" t="str">
        <f>IF($A44="","",'TO HOP'!$E$142+1*(INDEX('LANE ENGINE'!$D$6:$D$45,11)-'TO HOP'!$S$55))</f>
        <v/>
      </c>
      <c r="E44" s="58" t="str">
        <f>IF($A44="","",'TO HOP'!$F$142+1*(0-'TO HOP'!$S$56))</f>
        <v/>
      </c>
      <c r="F44" s="58" t="str">
        <f>IF($A44="","",'TO HOP'!$G$142+1*(0-'TO HOP'!$S$57))</f>
        <v/>
      </c>
      <c r="G44" s="58" t="str">
        <f>IF($A44="","",'TO HOP'!$H$142+1*(0-'TO HOP'!$S$58))</f>
        <v/>
      </c>
      <c r="H44" s="58" t="str">
        <f>IF($A44="","",'TO HOP'!$I$142+1*(0-'TO HOP'!$S$59))</f>
        <v/>
      </c>
      <c r="I44" s="58" t="str">
        <f>IF($A44="","",'TO HOP'!$J$142+1*(INDEX('LANE ENGINE'!$D$6:$D$45,11)-'TO HOP'!$S$60))</f>
        <v/>
      </c>
      <c r="J44" s="58" t="str">
        <f>IF($A44="","",'TO HOP'!$K$142+1*(0-'TO HOP'!$S$61))</f>
        <v/>
      </c>
      <c r="K44" s="58" t="str">
        <f>IF($A44="","",'TO HOP'!$L$142+1*(0-'TO HOP'!$S$62))</f>
        <v/>
      </c>
      <c r="L44" s="42" t="s">
        <v>1536</v>
      </c>
      <c r="M44" s="42">
        <v>11</v>
      </c>
    </row>
    <row r="45" spans="1:13" x14ac:dyDescent="0.3">
      <c r="A45" s="42" t="str">
        <f>IF(12&lt;=nLan,"SD I - 2 nhịp đúng tâm "&amp;12&amp;" làn","")</f>
        <v/>
      </c>
      <c r="B45" s="58" t="str">
        <f>IF($A45="","",'TO HOP'!$C$142+1*(0-'TO HOP'!$S$53))</f>
        <v/>
      </c>
      <c r="C45" s="58" t="str">
        <f>IF($A45="","",'TO HOP'!$D$142+1*(0-'TO HOP'!$S$54))</f>
        <v/>
      </c>
      <c r="D45" s="58" t="str">
        <f>IF($A45="","",'TO HOP'!$E$142+1*(INDEX('LANE ENGINE'!$D$6:$D$45,12)-'TO HOP'!$S$55))</f>
        <v/>
      </c>
      <c r="E45" s="58" t="str">
        <f>IF($A45="","",'TO HOP'!$F$142+1*(0-'TO HOP'!$S$56))</f>
        <v/>
      </c>
      <c r="F45" s="58" t="str">
        <f>IF($A45="","",'TO HOP'!$G$142+1*(0-'TO HOP'!$S$57))</f>
        <v/>
      </c>
      <c r="G45" s="58" t="str">
        <f>IF($A45="","",'TO HOP'!$H$142+1*(0-'TO HOP'!$S$58))</f>
        <v/>
      </c>
      <c r="H45" s="58" t="str">
        <f>IF($A45="","",'TO HOP'!$I$142+1*(0-'TO HOP'!$S$59))</f>
        <v/>
      </c>
      <c r="I45" s="58" t="str">
        <f>IF($A45="","",'TO HOP'!$J$142+1*(INDEX('LANE ENGINE'!$D$6:$D$45,12)-'TO HOP'!$S$60))</f>
        <v/>
      </c>
      <c r="J45" s="58" t="str">
        <f>IF($A45="","",'TO HOP'!$K$142+1*(0-'TO HOP'!$S$61))</f>
        <v/>
      </c>
      <c r="K45" s="58" t="str">
        <f>IF($A45="","",'TO HOP'!$L$142+1*(0-'TO HOP'!$S$62))</f>
        <v/>
      </c>
      <c r="L45" s="42" t="s">
        <v>1536</v>
      </c>
      <c r="M45" s="42">
        <v>12</v>
      </c>
    </row>
    <row r="46" spans="1:13" x14ac:dyDescent="0.3">
      <c r="A46" s="42" t="str">
        <f>IF(13&lt;=nLan,"SD I - 2 nhịp đúng tâm "&amp;13&amp;" làn","")</f>
        <v/>
      </c>
      <c r="B46" s="58" t="str">
        <f>IF($A46="","",'TO HOP'!$C$142+1*(0-'TO HOP'!$S$53))</f>
        <v/>
      </c>
      <c r="C46" s="58" t="str">
        <f>IF($A46="","",'TO HOP'!$D$142+1*(0-'TO HOP'!$S$54))</f>
        <v/>
      </c>
      <c r="D46" s="58" t="str">
        <f>IF($A46="","",'TO HOP'!$E$142+1*(INDEX('LANE ENGINE'!$D$6:$D$45,13)-'TO HOP'!$S$55))</f>
        <v/>
      </c>
      <c r="E46" s="58" t="str">
        <f>IF($A46="","",'TO HOP'!$F$142+1*(0-'TO HOP'!$S$56))</f>
        <v/>
      </c>
      <c r="F46" s="58" t="str">
        <f>IF($A46="","",'TO HOP'!$G$142+1*(0-'TO HOP'!$S$57))</f>
        <v/>
      </c>
      <c r="G46" s="58" t="str">
        <f>IF($A46="","",'TO HOP'!$H$142+1*(0-'TO HOP'!$S$58))</f>
        <v/>
      </c>
      <c r="H46" s="58" t="str">
        <f>IF($A46="","",'TO HOP'!$I$142+1*(0-'TO HOP'!$S$59))</f>
        <v/>
      </c>
      <c r="I46" s="58" t="str">
        <f>IF($A46="","",'TO HOP'!$J$142+1*(INDEX('LANE ENGINE'!$D$6:$D$45,13)-'TO HOP'!$S$60))</f>
        <v/>
      </c>
      <c r="J46" s="58" t="str">
        <f>IF($A46="","",'TO HOP'!$K$142+1*(0-'TO HOP'!$S$61))</f>
        <v/>
      </c>
      <c r="K46" s="58" t="str">
        <f>IF($A46="","",'TO HOP'!$L$142+1*(0-'TO HOP'!$S$62))</f>
        <v/>
      </c>
      <c r="L46" s="42" t="s">
        <v>1536</v>
      </c>
      <c r="M46" s="42">
        <v>13</v>
      </c>
    </row>
    <row r="47" spans="1:13" x14ac:dyDescent="0.3">
      <c r="A47" s="42" t="str">
        <f>IF(14&lt;=nLan,"SD I - 2 nhịp đúng tâm "&amp;14&amp;" làn","")</f>
        <v/>
      </c>
      <c r="B47" s="58" t="str">
        <f>IF($A47="","",'TO HOP'!$C$142+1*(0-'TO HOP'!$S$53))</f>
        <v/>
      </c>
      <c r="C47" s="58" t="str">
        <f>IF($A47="","",'TO HOP'!$D$142+1*(0-'TO HOP'!$S$54))</f>
        <v/>
      </c>
      <c r="D47" s="58" t="str">
        <f>IF($A47="","",'TO HOP'!$E$142+1*(INDEX('LANE ENGINE'!$D$6:$D$45,14)-'TO HOP'!$S$55))</f>
        <v/>
      </c>
      <c r="E47" s="58" t="str">
        <f>IF($A47="","",'TO HOP'!$F$142+1*(0-'TO HOP'!$S$56))</f>
        <v/>
      </c>
      <c r="F47" s="58" t="str">
        <f>IF($A47="","",'TO HOP'!$G$142+1*(0-'TO HOP'!$S$57))</f>
        <v/>
      </c>
      <c r="G47" s="58" t="str">
        <f>IF($A47="","",'TO HOP'!$H$142+1*(0-'TO HOP'!$S$58))</f>
        <v/>
      </c>
      <c r="H47" s="58" t="str">
        <f>IF($A47="","",'TO HOP'!$I$142+1*(0-'TO HOP'!$S$59))</f>
        <v/>
      </c>
      <c r="I47" s="58" t="str">
        <f>IF($A47="","",'TO HOP'!$J$142+1*(INDEX('LANE ENGINE'!$D$6:$D$45,14)-'TO HOP'!$S$60))</f>
        <v/>
      </c>
      <c r="J47" s="58" t="str">
        <f>IF($A47="","",'TO HOP'!$K$142+1*(0-'TO HOP'!$S$61))</f>
        <v/>
      </c>
      <c r="K47" s="58" t="str">
        <f>IF($A47="","",'TO HOP'!$L$142+1*(0-'TO HOP'!$S$62))</f>
        <v/>
      </c>
      <c r="L47" s="42" t="s">
        <v>1536</v>
      </c>
      <c r="M47" s="42">
        <v>14</v>
      </c>
    </row>
    <row r="48" spans="1:13" x14ac:dyDescent="0.3">
      <c r="A48" s="42" t="str">
        <f>IF(15&lt;=nLan,"SD I - 2 nhịp đúng tâm "&amp;15&amp;" làn","")</f>
        <v/>
      </c>
      <c r="B48" s="58" t="str">
        <f>IF($A48="","",'TO HOP'!$C$142+1*(0-'TO HOP'!$S$53))</f>
        <v/>
      </c>
      <c r="C48" s="58" t="str">
        <f>IF($A48="","",'TO HOP'!$D$142+1*(0-'TO HOP'!$S$54))</f>
        <v/>
      </c>
      <c r="D48" s="58" t="str">
        <f>IF($A48="","",'TO HOP'!$E$142+1*(INDEX('LANE ENGINE'!$D$6:$D$45,15)-'TO HOP'!$S$55))</f>
        <v/>
      </c>
      <c r="E48" s="58" t="str">
        <f>IF($A48="","",'TO HOP'!$F$142+1*(0-'TO HOP'!$S$56))</f>
        <v/>
      </c>
      <c r="F48" s="58" t="str">
        <f>IF($A48="","",'TO HOP'!$G$142+1*(0-'TO HOP'!$S$57))</f>
        <v/>
      </c>
      <c r="G48" s="58" t="str">
        <f>IF($A48="","",'TO HOP'!$H$142+1*(0-'TO HOP'!$S$58))</f>
        <v/>
      </c>
      <c r="H48" s="58" t="str">
        <f>IF($A48="","",'TO HOP'!$I$142+1*(0-'TO HOP'!$S$59))</f>
        <v/>
      </c>
      <c r="I48" s="58" t="str">
        <f>IF($A48="","",'TO HOP'!$J$142+1*(INDEX('LANE ENGINE'!$D$6:$D$45,15)-'TO HOP'!$S$60))</f>
        <v/>
      </c>
      <c r="J48" s="58" t="str">
        <f>IF($A48="","",'TO HOP'!$K$142+1*(0-'TO HOP'!$S$61))</f>
        <v/>
      </c>
      <c r="K48" s="58" t="str">
        <f>IF($A48="","",'TO HOP'!$L$142+1*(0-'TO HOP'!$S$62))</f>
        <v/>
      </c>
      <c r="L48" s="42" t="s">
        <v>1536</v>
      </c>
      <c r="M48" s="42">
        <v>15</v>
      </c>
    </row>
    <row r="49" spans="1:13" x14ac:dyDescent="0.3">
      <c r="A49" s="42" t="str">
        <f>IF(16&lt;=nLan,"SD I - 2 nhịp đúng tâm "&amp;16&amp;" làn","")</f>
        <v/>
      </c>
      <c r="B49" s="58" t="str">
        <f>IF($A49="","",'TO HOP'!$C$142+1*(0-'TO HOP'!$S$53))</f>
        <v/>
      </c>
      <c r="C49" s="58" t="str">
        <f>IF($A49="","",'TO HOP'!$D$142+1*(0-'TO HOP'!$S$54))</f>
        <v/>
      </c>
      <c r="D49" s="58" t="str">
        <f>IF($A49="","",'TO HOP'!$E$142+1*(INDEX('LANE ENGINE'!$D$6:$D$45,16)-'TO HOP'!$S$55))</f>
        <v/>
      </c>
      <c r="E49" s="58" t="str">
        <f>IF($A49="","",'TO HOP'!$F$142+1*(0-'TO HOP'!$S$56))</f>
        <v/>
      </c>
      <c r="F49" s="58" t="str">
        <f>IF($A49="","",'TO HOP'!$G$142+1*(0-'TO HOP'!$S$57))</f>
        <v/>
      </c>
      <c r="G49" s="58" t="str">
        <f>IF($A49="","",'TO HOP'!$H$142+1*(0-'TO HOP'!$S$58))</f>
        <v/>
      </c>
      <c r="H49" s="58" t="str">
        <f>IF($A49="","",'TO HOP'!$I$142+1*(0-'TO HOP'!$S$59))</f>
        <v/>
      </c>
      <c r="I49" s="58" t="str">
        <f>IF($A49="","",'TO HOP'!$J$142+1*(INDEX('LANE ENGINE'!$D$6:$D$45,16)-'TO HOP'!$S$60))</f>
        <v/>
      </c>
      <c r="J49" s="58" t="str">
        <f>IF($A49="","",'TO HOP'!$K$142+1*(0-'TO HOP'!$S$61))</f>
        <v/>
      </c>
      <c r="K49" s="58" t="str">
        <f>IF($A49="","",'TO HOP'!$L$142+1*(0-'TO HOP'!$S$62))</f>
        <v/>
      </c>
      <c r="L49" s="42" t="s">
        <v>1536</v>
      </c>
      <c r="M49" s="42">
        <v>16</v>
      </c>
    </row>
    <row r="50" spans="1:13" x14ac:dyDescent="0.3">
      <c r="A50" s="42" t="str">
        <f>IF(17&lt;=nLan,"SD I - 2 nhịp đúng tâm "&amp;17&amp;" làn","")</f>
        <v/>
      </c>
      <c r="B50" s="58" t="str">
        <f>IF($A50="","",'TO HOP'!$C$142+1*(0-'TO HOP'!$S$53))</f>
        <v/>
      </c>
      <c r="C50" s="58" t="str">
        <f>IF($A50="","",'TO HOP'!$D$142+1*(0-'TO HOP'!$S$54))</f>
        <v/>
      </c>
      <c r="D50" s="58" t="str">
        <f>IF($A50="","",'TO HOP'!$E$142+1*(INDEX('LANE ENGINE'!$D$6:$D$45,17)-'TO HOP'!$S$55))</f>
        <v/>
      </c>
      <c r="E50" s="58" t="str">
        <f>IF($A50="","",'TO HOP'!$F$142+1*(0-'TO HOP'!$S$56))</f>
        <v/>
      </c>
      <c r="F50" s="58" t="str">
        <f>IF($A50="","",'TO HOP'!$G$142+1*(0-'TO HOP'!$S$57))</f>
        <v/>
      </c>
      <c r="G50" s="58" t="str">
        <f>IF($A50="","",'TO HOP'!$H$142+1*(0-'TO HOP'!$S$58))</f>
        <v/>
      </c>
      <c r="H50" s="58" t="str">
        <f>IF($A50="","",'TO HOP'!$I$142+1*(0-'TO HOP'!$S$59))</f>
        <v/>
      </c>
      <c r="I50" s="58" t="str">
        <f>IF($A50="","",'TO HOP'!$J$142+1*(INDEX('LANE ENGINE'!$D$6:$D$45,17)-'TO HOP'!$S$60))</f>
        <v/>
      </c>
      <c r="J50" s="58" t="str">
        <f>IF($A50="","",'TO HOP'!$K$142+1*(0-'TO HOP'!$S$61))</f>
        <v/>
      </c>
      <c r="K50" s="58" t="str">
        <f>IF($A50="","",'TO HOP'!$L$142+1*(0-'TO HOP'!$S$62))</f>
        <v/>
      </c>
      <c r="L50" s="42" t="s">
        <v>1536</v>
      </c>
      <c r="M50" s="42">
        <v>17</v>
      </c>
    </row>
    <row r="51" spans="1:13" x14ac:dyDescent="0.3">
      <c r="A51" s="42" t="str">
        <f>IF(18&lt;=nLan,"SD I - 2 nhịp đúng tâm "&amp;18&amp;" làn","")</f>
        <v/>
      </c>
      <c r="B51" s="58" t="str">
        <f>IF($A51="","",'TO HOP'!$C$142+1*(0-'TO HOP'!$S$53))</f>
        <v/>
      </c>
      <c r="C51" s="58" t="str">
        <f>IF($A51="","",'TO HOP'!$D$142+1*(0-'TO HOP'!$S$54))</f>
        <v/>
      </c>
      <c r="D51" s="58" t="str">
        <f>IF($A51="","",'TO HOP'!$E$142+1*(INDEX('LANE ENGINE'!$D$6:$D$45,18)-'TO HOP'!$S$55))</f>
        <v/>
      </c>
      <c r="E51" s="58" t="str">
        <f>IF($A51="","",'TO HOP'!$F$142+1*(0-'TO HOP'!$S$56))</f>
        <v/>
      </c>
      <c r="F51" s="58" t="str">
        <f>IF($A51="","",'TO HOP'!$G$142+1*(0-'TO HOP'!$S$57))</f>
        <v/>
      </c>
      <c r="G51" s="58" t="str">
        <f>IF($A51="","",'TO HOP'!$H$142+1*(0-'TO HOP'!$S$58))</f>
        <v/>
      </c>
      <c r="H51" s="58" t="str">
        <f>IF($A51="","",'TO HOP'!$I$142+1*(0-'TO HOP'!$S$59))</f>
        <v/>
      </c>
      <c r="I51" s="58" t="str">
        <f>IF($A51="","",'TO HOP'!$J$142+1*(INDEX('LANE ENGINE'!$D$6:$D$45,18)-'TO HOP'!$S$60))</f>
        <v/>
      </c>
      <c r="J51" s="58" t="str">
        <f>IF($A51="","",'TO HOP'!$K$142+1*(0-'TO HOP'!$S$61))</f>
        <v/>
      </c>
      <c r="K51" s="58" t="str">
        <f>IF($A51="","",'TO HOP'!$L$142+1*(0-'TO HOP'!$S$62))</f>
        <v/>
      </c>
      <c r="L51" s="42" t="s">
        <v>1536</v>
      </c>
      <c r="M51" s="42">
        <v>18</v>
      </c>
    </row>
    <row r="52" spans="1:13" x14ac:dyDescent="0.3">
      <c r="A52" s="42" t="str">
        <f>IF(19&lt;=nLan,"SD I - 2 nhịp đúng tâm "&amp;19&amp;" làn","")</f>
        <v/>
      </c>
      <c r="B52" s="58" t="str">
        <f>IF($A52="","",'TO HOP'!$C$142+1*(0-'TO HOP'!$S$53))</f>
        <v/>
      </c>
      <c r="C52" s="58" t="str">
        <f>IF($A52="","",'TO HOP'!$D$142+1*(0-'TO HOP'!$S$54))</f>
        <v/>
      </c>
      <c r="D52" s="58" t="str">
        <f>IF($A52="","",'TO HOP'!$E$142+1*(INDEX('LANE ENGINE'!$D$6:$D$45,19)-'TO HOP'!$S$55))</f>
        <v/>
      </c>
      <c r="E52" s="58" t="str">
        <f>IF($A52="","",'TO HOP'!$F$142+1*(0-'TO HOP'!$S$56))</f>
        <v/>
      </c>
      <c r="F52" s="58" t="str">
        <f>IF($A52="","",'TO HOP'!$G$142+1*(0-'TO HOP'!$S$57))</f>
        <v/>
      </c>
      <c r="G52" s="58" t="str">
        <f>IF($A52="","",'TO HOP'!$H$142+1*(0-'TO HOP'!$S$58))</f>
        <v/>
      </c>
      <c r="H52" s="58" t="str">
        <f>IF($A52="","",'TO HOP'!$I$142+1*(0-'TO HOP'!$S$59))</f>
        <v/>
      </c>
      <c r="I52" s="58" t="str">
        <f>IF($A52="","",'TO HOP'!$J$142+1*(INDEX('LANE ENGINE'!$D$6:$D$45,19)-'TO HOP'!$S$60))</f>
        <v/>
      </c>
      <c r="J52" s="58" t="str">
        <f>IF($A52="","",'TO HOP'!$K$142+1*(0-'TO HOP'!$S$61))</f>
        <v/>
      </c>
      <c r="K52" s="58" t="str">
        <f>IF($A52="","",'TO HOP'!$L$142+1*(0-'TO HOP'!$S$62))</f>
        <v/>
      </c>
      <c r="L52" s="42" t="s">
        <v>1536</v>
      </c>
      <c r="M52" s="42">
        <v>19</v>
      </c>
    </row>
    <row r="53" spans="1:13" x14ac:dyDescent="0.3">
      <c r="A53" s="42" t="str">
        <f>IF(20&lt;=nLan,"SD I - 2 nhịp đúng tâm "&amp;20&amp;" làn","")</f>
        <v/>
      </c>
      <c r="B53" s="58" t="str">
        <f>IF($A53="","",'TO HOP'!$C$142+1*(0-'TO HOP'!$S$53))</f>
        <v/>
      </c>
      <c r="C53" s="58" t="str">
        <f>IF($A53="","",'TO HOP'!$D$142+1*(0-'TO HOP'!$S$54))</f>
        <v/>
      </c>
      <c r="D53" s="58" t="str">
        <f>IF($A53="","",'TO HOP'!$E$142+1*(INDEX('LANE ENGINE'!$D$6:$D$45,20)-'TO HOP'!$S$55))</f>
        <v/>
      </c>
      <c r="E53" s="58" t="str">
        <f>IF($A53="","",'TO HOP'!$F$142+1*(0-'TO HOP'!$S$56))</f>
        <v/>
      </c>
      <c r="F53" s="58" t="str">
        <f>IF($A53="","",'TO HOP'!$G$142+1*(0-'TO HOP'!$S$57))</f>
        <v/>
      </c>
      <c r="G53" s="58" t="str">
        <f>IF($A53="","",'TO HOP'!$H$142+1*(0-'TO HOP'!$S$58))</f>
        <v/>
      </c>
      <c r="H53" s="58" t="str">
        <f>IF($A53="","",'TO HOP'!$I$142+1*(0-'TO HOP'!$S$59))</f>
        <v/>
      </c>
      <c r="I53" s="58" t="str">
        <f>IF($A53="","",'TO HOP'!$J$142+1*(INDEX('LANE ENGINE'!$D$6:$D$45,20)-'TO HOP'!$S$60))</f>
        <v/>
      </c>
      <c r="J53" s="58" t="str">
        <f>IF($A53="","",'TO HOP'!$K$142+1*(0-'TO HOP'!$S$61))</f>
        <v/>
      </c>
      <c r="K53" s="58" t="str">
        <f>IF($A53="","",'TO HOP'!$L$142+1*(0-'TO HOP'!$S$62))</f>
        <v/>
      </c>
      <c r="L53" s="42" t="s">
        <v>1536</v>
      </c>
      <c r="M53" s="42">
        <v>20</v>
      </c>
    </row>
    <row r="54" spans="1:13" x14ac:dyDescent="0.3">
      <c r="A54" s="42" t="str">
        <f>IF(21&lt;=nLan,"SD I - 2 nhịp đúng tâm "&amp;21&amp;" làn","")</f>
        <v/>
      </c>
      <c r="B54" s="58" t="str">
        <f>IF($A54="","",'TO HOP'!$C$142+1*(0-'TO HOP'!$S$53))</f>
        <v/>
      </c>
      <c r="C54" s="58" t="str">
        <f>IF($A54="","",'TO HOP'!$D$142+1*(0-'TO HOP'!$S$54))</f>
        <v/>
      </c>
      <c r="D54" s="58" t="str">
        <f>IF($A54="","",'TO HOP'!$E$142+1*(INDEX('LANE ENGINE'!$D$6:$D$45,21)-'TO HOP'!$S$55))</f>
        <v/>
      </c>
      <c r="E54" s="58" t="str">
        <f>IF($A54="","",'TO HOP'!$F$142+1*(0-'TO HOP'!$S$56))</f>
        <v/>
      </c>
      <c r="F54" s="58" t="str">
        <f>IF($A54="","",'TO HOP'!$G$142+1*(0-'TO HOP'!$S$57))</f>
        <v/>
      </c>
      <c r="G54" s="58" t="str">
        <f>IF($A54="","",'TO HOP'!$H$142+1*(0-'TO HOP'!$S$58))</f>
        <v/>
      </c>
      <c r="H54" s="58" t="str">
        <f>IF($A54="","",'TO HOP'!$I$142+1*(0-'TO HOP'!$S$59))</f>
        <v/>
      </c>
      <c r="I54" s="58" t="str">
        <f>IF($A54="","",'TO HOP'!$J$142+1*(INDEX('LANE ENGINE'!$D$6:$D$45,21)-'TO HOP'!$S$60))</f>
        <v/>
      </c>
      <c r="J54" s="58" t="str">
        <f>IF($A54="","",'TO HOP'!$K$142+1*(0-'TO HOP'!$S$61))</f>
        <v/>
      </c>
      <c r="K54" s="58" t="str">
        <f>IF($A54="","",'TO HOP'!$L$142+1*(0-'TO HOP'!$S$62))</f>
        <v/>
      </c>
      <c r="L54" s="42" t="s">
        <v>1536</v>
      </c>
      <c r="M54" s="42">
        <v>21</v>
      </c>
    </row>
    <row r="55" spans="1:13" x14ac:dyDescent="0.3">
      <c r="A55" s="42" t="str">
        <f>IF(22&lt;=nLan,"SD I - 2 nhịp đúng tâm "&amp;22&amp;" làn","")</f>
        <v/>
      </c>
      <c r="B55" s="58" t="str">
        <f>IF($A55="","",'TO HOP'!$C$142+1*(0-'TO HOP'!$S$53))</f>
        <v/>
      </c>
      <c r="C55" s="58" t="str">
        <f>IF($A55="","",'TO HOP'!$D$142+1*(0-'TO HOP'!$S$54))</f>
        <v/>
      </c>
      <c r="D55" s="58" t="str">
        <f>IF($A55="","",'TO HOP'!$E$142+1*(INDEX('LANE ENGINE'!$D$6:$D$45,22)-'TO HOP'!$S$55))</f>
        <v/>
      </c>
      <c r="E55" s="58" t="str">
        <f>IF($A55="","",'TO HOP'!$F$142+1*(0-'TO HOP'!$S$56))</f>
        <v/>
      </c>
      <c r="F55" s="58" t="str">
        <f>IF($A55="","",'TO HOP'!$G$142+1*(0-'TO HOP'!$S$57))</f>
        <v/>
      </c>
      <c r="G55" s="58" t="str">
        <f>IF($A55="","",'TO HOP'!$H$142+1*(0-'TO HOP'!$S$58))</f>
        <v/>
      </c>
      <c r="H55" s="58" t="str">
        <f>IF($A55="","",'TO HOP'!$I$142+1*(0-'TO HOP'!$S$59))</f>
        <v/>
      </c>
      <c r="I55" s="58" t="str">
        <f>IF($A55="","",'TO HOP'!$J$142+1*(INDEX('LANE ENGINE'!$D$6:$D$45,22)-'TO HOP'!$S$60))</f>
        <v/>
      </c>
      <c r="J55" s="58" t="str">
        <f>IF($A55="","",'TO HOP'!$K$142+1*(0-'TO HOP'!$S$61))</f>
        <v/>
      </c>
      <c r="K55" s="58" t="str">
        <f>IF($A55="","",'TO HOP'!$L$142+1*(0-'TO HOP'!$S$62))</f>
        <v/>
      </c>
      <c r="L55" s="42" t="s">
        <v>1536</v>
      </c>
      <c r="M55" s="42">
        <v>22</v>
      </c>
    </row>
    <row r="56" spans="1:13" x14ac:dyDescent="0.3">
      <c r="A56" s="42" t="str">
        <f>IF(23&lt;=nLan,"SD I - 2 nhịp đúng tâm "&amp;23&amp;" làn","")</f>
        <v/>
      </c>
      <c r="B56" s="58" t="str">
        <f>IF($A56="","",'TO HOP'!$C$142+1*(0-'TO HOP'!$S$53))</f>
        <v/>
      </c>
      <c r="C56" s="58" t="str">
        <f>IF($A56="","",'TO HOP'!$D$142+1*(0-'TO HOP'!$S$54))</f>
        <v/>
      </c>
      <c r="D56" s="58" t="str">
        <f>IF($A56="","",'TO HOP'!$E$142+1*(INDEX('LANE ENGINE'!$D$6:$D$45,23)-'TO HOP'!$S$55))</f>
        <v/>
      </c>
      <c r="E56" s="58" t="str">
        <f>IF($A56="","",'TO HOP'!$F$142+1*(0-'TO HOP'!$S$56))</f>
        <v/>
      </c>
      <c r="F56" s="58" t="str">
        <f>IF($A56="","",'TO HOP'!$G$142+1*(0-'TO HOP'!$S$57))</f>
        <v/>
      </c>
      <c r="G56" s="58" t="str">
        <f>IF($A56="","",'TO HOP'!$H$142+1*(0-'TO HOP'!$S$58))</f>
        <v/>
      </c>
      <c r="H56" s="58" t="str">
        <f>IF($A56="","",'TO HOP'!$I$142+1*(0-'TO HOP'!$S$59))</f>
        <v/>
      </c>
      <c r="I56" s="58" t="str">
        <f>IF($A56="","",'TO HOP'!$J$142+1*(INDEX('LANE ENGINE'!$D$6:$D$45,23)-'TO HOP'!$S$60))</f>
        <v/>
      </c>
      <c r="J56" s="58" t="str">
        <f>IF($A56="","",'TO HOP'!$K$142+1*(0-'TO HOP'!$S$61))</f>
        <v/>
      </c>
      <c r="K56" s="58" t="str">
        <f>IF($A56="","",'TO HOP'!$L$142+1*(0-'TO HOP'!$S$62))</f>
        <v/>
      </c>
      <c r="L56" s="42" t="s">
        <v>1536</v>
      </c>
      <c r="M56" s="42">
        <v>23</v>
      </c>
    </row>
    <row r="57" spans="1:13" x14ac:dyDescent="0.3">
      <c r="A57" s="42" t="str">
        <f>IF(24&lt;=nLan,"SD I - 2 nhịp đúng tâm "&amp;24&amp;" làn","")</f>
        <v/>
      </c>
      <c r="B57" s="58" t="str">
        <f>IF($A57="","",'TO HOP'!$C$142+1*(0-'TO HOP'!$S$53))</f>
        <v/>
      </c>
      <c r="C57" s="58" t="str">
        <f>IF($A57="","",'TO HOP'!$D$142+1*(0-'TO HOP'!$S$54))</f>
        <v/>
      </c>
      <c r="D57" s="58" t="str">
        <f>IF($A57="","",'TO HOP'!$E$142+1*(INDEX('LANE ENGINE'!$D$6:$D$45,24)-'TO HOP'!$S$55))</f>
        <v/>
      </c>
      <c r="E57" s="58" t="str">
        <f>IF($A57="","",'TO HOP'!$F$142+1*(0-'TO HOP'!$S$56))</f>
        <v/>
      </c>
      <c r="F57" s="58" t="str">
        <f>IF($A57="","",'TO HOP'!$G$142+1*(0-'TO HOP'!$S$57))</f>
        <v/>
      </c>
      <c r="G57" s="58" t="str">
        <f>IF($A57="","",'TO HOP'!$H$142+1*(0-'TO HOP'!$S$58))</f>
        <v/>
      </c>
      <c r="H57" s="58" t="str">
        <f>IF($A57="","",'TO HOP'!$I$142+1*(0-'TO HOP'!$S$59))</f>
        <v/>
      </c>
      <c r="I57" s="58" t="str">
        <f>IF($A57="","",'TO HOP'!$J$142+1*(INDEX('LANE ENGINE'!$D$6:$D$45,24)-'TO HOP'!$S$60))</f>
        <v/>
      </c>
      <c r="J57" s="58" t="str">
        <f>IF($A57="","",'TO HOP'!$K$142+1*(0-'TO HOP'!$S$61))</f>
        <v/>
      </c>
      <c r="K57" s="58" t="str">
        <f>IF($A57="","",'TO HOP'!$L$142+1*(0-'TO HOP'!$S$62))</f>
        <v/>
      </c>
      <c r="L57" s="42" t="s">
        <v>1536</v>
      </c>
      <c r="M57" s="42">
        <v>24</v>
      </c>
    </row>
    <row r="58" spans="1:13" x14ac:dyDescent="0.3">
      <c r="A58" s="42" t="str">
        <f>IF(25&lt;=nLan,"SD I - 2 nhịp đúng tâm "&amp;25&amp;" làn","")</f>
        <v/>
      </c>
      <c r="B58" s="58" t="str">
        <f>IF($A58="","",'TO HOP'!$C$142+1*(0-'TO HOP'!$S$53))</f>
        <v/>
      </c>
      <c r="C58" s="58" t="str">
        <f>IF($A58="","",'TO HOP'!$D$142+1*(0-'TO HOP'!$S$54))</f>
        <v/>
      </c>
      <c r="D58" s="58" t="str">
        <f>IF($A58="","",'TO HOP'!$E$142+1*(INDEX('LANE ENGINE'!$D$6:$D$45,25)-'TO HOP'!$S$55))</f>
        <v/>
      </c>
      <c r="E58" s="58" t="str">
        <f>IF($A58="","",'TO HOP'!$F$142+1*(0-'TO HOP'!$S$56))</f>
        <v/>
      </c>
      <c r="F58" s="58" t="str">
        <f>IF($A58="","",'TO HOP'!$G$142+1*(0-'TO HOP'!$S$57))</f>
        <v/>
      </c>
      <c r="G58" s="58" t="str">
        <f>IF($A58="","",'TO HOP'!$H$142+1*(0-'TO HOP'!$S$58))</f>
        <v/>
      </c>
      <c r="H58" s="58" t="str">
        <f>IF($A58="","",'TO HOP'!$I$142+1*(0-'TO HOP'!$S$59))</f>
        <v/>
      </c>
      <c r="I58" s="58" t="str">
        <f>IF($A58="","",'TO HOP'!$J$142+1*(INDEX('LANE ENGINE'!$D$6:$D$45,25)-'TO HOP'!$S$60))</f>
        <v/>
      </c>
      <c r="J58" s="58" t="str">
        <f>IF($A58="","",'TO HOP'!$K$142+1*(0-'TO HOP'!$S$61))</f>
        <v/>
      </c>
      <c r="K58" s="58" t="str">
        <f>IF($A58="","",'TO HOP'!$L$142+1*(0-'TO HOP'!$S$62))</f>
        <v/>
      </c>
      <c r="L58" s="42" t="s">
        <v>1536</v>
      </c>
      <c r="M58" s="42">
        <v>25</v>
      </c>
    </row>
    <row r="59" spans="1:13" x14ac:dyDescent="0.3">
      <c r="A59" s="42" t="str">
        <f>IF(26&lt;=nLan,"SD I - 2 nhịp đúng tâm "&amp;26&amp;" làn","")</f>
        <v/>
      </c>
      <c r="B59" s="58" t="str">
        <f>IF($A59="","",'TO HOP'!$C$142+1*(0-'TO HOP'!$S$53))</f>
        <v/>
      </c>
      <c r="C59" s="58" t="str">
        <f>IF($A59="","",'TO HOP'!$D$142+1*(0-'TO HOP'!$S$54))</f>
        <v/>
      </c>
      <c r="D59" s="58" t="str">
        <f>IF($A59="","",'TO HOP'!$E$142+1*(INDEX('LANE ENGINE'!$D$6:$D$45,26)-'TO HOP'!$S$55))</f>
        <v/>
      </c>
      <c r="E59" s="58" t="str">
        <f>IF($A59="","",'TO HOP'!$F$142+1*(0-'TO HOP'!$S$56))</f>
        <v/>
      </c>
      <c r="F59" s="58" t="str">
        <f>IF($A59="","",'TO HOP'!$G$142+1*(0-'TO HOP'!$S$57))</f>
        <v/>
      </c>
      <c r="G59" s="58" t="str">
        <f>IF($A59="","",'TO HOP'!$H$142+1*(0-'TO HOP'!$S$58))</f>
        <v/>
      </c>
      <c r="H59" s="58" t="str">
        <f>IF($A59="","",'TO HOP'!$I$142+1*(0-'TO HOP'!$S$59))</f>
        <v/>
      </c>
      <c r="I59" s="58" t="str">
        <f>IF($A59="","",'TO HOP'!$J$142+1*(INDEX('LANE ENGINE'!$D$6:$D$45,26)-'TO HOP'!$S$60))</f>
        <v/>
      </c>
      <c r="J59" s="58" t="str">
        <f>IF($A59="","",'TO HOP'!$K$142+1*(0-'TO HOP'!$S$61))</f>
        <v/>
      </c>
      <c r="K59" s="58" t="str">
        <f>IF($A59="","",'TO HOP'!$L$142+1*(0-'TO HOP'!$S$62))</f>
        <v/>
      </c>
      <c r="L59" s="42" t="s">
        <v>1536</v>
      </c>
      <c r="M59" s="42">
        <v>26</v>
      </c>
    </row>
    <row r="60" spans="1:13" x14ac:dyDescent="0.3">
      <c r="A60" s="42" t="str">
        <f>IF(27&lt;=nLan,"SD I - 2 nhịp đúng tâm "&amp;27&amp;" làn","")</f>
        <v/>
      </c>
      <c r="B60" s="58" t="str">
        <f>IF($A60="","",'TO HOP'!$C$142+1*(0-'TO HOP'!$S$53))</f>
        <v/>
      </c>
      <c r="C60" s="58" t="str">
        <f>IF($A60="","",'TO HOP'!$D$142+1*(0-'TO HOP'!$S$54))</f>
        <v/>
      </c>
      <c r="D60" s="58" t="str">
        <f>IF($A60="","",'TO HOP'!$E$142+1*(INDEX('LANE ENGINE'!$D$6:$D$45,27)-'TO HOP'!$S$55))</f>
        <v/>
      </c>
      <c r="E60" s="58" t="str">
        <f>IF($A60="","",'TO HOP'!$F$142+1*(0-'TO HOP'!$S$56))</f>
        <v/>
      </c>
      <c r="F60" s="58" t="str">
        <f>IF($A60="","",'TO HOP'!$G$142+1*(0-'TO HOP'!$S$57))</f>
        <v/>
      </c>
      <c r="G60" s="58" t="str">
        <f>IF($A60="","",'TO HOP'!$H$142+1*(0-'TO HOP'!$S$58))</f>
        <v/>
      </c>
      <c r="H60" s="58" t="str">
        <f>IF($A60="","",'TO HOP'!$I$142+1*(0-'TO HOP'!$S$59))</f>
        <v/>
      </c>
      <c r="I60" s="58" t="str">
        <f>IF($A60="","",'TO HOP'!$J$142+1*(INDEX('LANE ENGINE'!$D$6:$D$45,27)-'TO HOP'!$S$60))</f>
        <v/>
      </c>
      <c r="J60" s="58" t="str">
        <f>IF($A60="","",'TO HOP'!$K$142+1*(0-'TO HOP'!$S$61))</f>
        <v/>
      </c>
      <c r="K60" s="58" t="str">
        <f>IF($A60="","",'TO HOP'!$L$142+1*(0-'TO HOP'!$S$62))</f>
        <v/>
      </c>
      <c r="L60" s="42" t="s">
        <v>1536</v>
      </c>
      <c r="M60" s="42">
        <v>27</v>
      </c>
    </row>
    <row r="61" spans="1:13" x14ac:dyDescent="0.3">
      <c r="A61" s="42" t="str">
        <f>IF(28&lt;=nLan,"SD I - 2 nhịp đúng tâm "&amp;28&amp;" làn","")</f>
        <v/>
      </c>
      <c r="B61" s="58" t="str">
        <f>IF($A61="","",'TO HOP'!$C$142+1*(0-'TO HOP'!$S$53))</f>
        <v/>
      </c>
      <c r="C61" s="58" t="str">
        <f>IF($A61="","",'TO HOP'!$D$142+1*(0-'TO HOP'!$S$54))</f>
        <v/>
      </c>
      <c r="D61" s="58" t="str">
        <f>IF($A61="","",'TO HOP'!$E$142+1*(INDEX('LANE ENGINE'!$D$6:$D$45,28)-'TO HOP'!$S$55))</f>
        <v/>
      </c>
      <c r="E61" s="58" t="str">
        <f>IF($A61="","",'TO HOP'!$F$142+1*(0-'TO HOP'!$S$56))</f>
        <v/>
      </c>
      <c r="F61" s="58" t="str">
        <f>IF($A61="","",'TO HOP'!$G$142+1*(0-'TO HOP'!$S$57))</f>
        <v/>
      </c>
      <c r="G61" s="58" t="str">
        <f>IF($A61="","",'TO HOP'!$H$142+1*(0-'TO HOP'!$S$58))</f>
        <v/>
      </c>
      <c r="H61" s="58" t="str">
        <f>IF($A61="","",'TO HOP'!$I$142+1*(0-'TO HOP'!$S$59))</f>
        <v/>
      </c>
      <c r="I61" s="58" t="str">
        <f>IF($A61="","",'TO HOP'!$J$142+1*(INDEX('LANE ENGINE'!$D$6:$D$45,28)-'TO HOP'!$S$60))</f>
        <v/>
      </c>
      <c r="J61" s="58" t="str">
        <f>IF($A61="","",'TO HOP'!$K$142+1*(0-'TO HOP'!$S$61))</f>
        <v/>
      </c>
      <c r="K61" s="58" t="str">
        <f>IF($A61="","",'TO HOP'!$L$142+1*(0-'TO HOP'!$S$62))</f>
        <v/>
      </c>
      <c r="L61" s="42" t="s">
        <v>1536</v>
      </c>
      <c r="M61" s="42">
        <v>28</v>
      </c>
    </row>
    <row r="62" spans="1:13" x14ac:dyDescent="0.3">
      <c r="A62" s="42" t="str">
        <f>IF(29&lt;=nLan,"SD I - 2 nhịp đúng tâm "&amp;29&amp;" làn","")</f>
        <v/>
      </c>
      <c r="B62" s="58" t="str">
        <f>IF($A62="","",'TO HOP'!$C$142+1*(0-'TO HOP'!$S$53))</f>
        <v/>
      </c>
      <c r="C62" s="58" t="str">
        <f>IF($A62="","",'TO HOP'!$D$142+1*(0-'TO HOP'!$S$54))</f>
        <v/>
      </c>
      <c r="D62" s="58" t="str">
        <f>IF($A62="","",'TO HOP'!$E$142+1*(INDEX('LANE ENGINE'!$D$6:$D$45,29)-'TO HOP'!$S$55))</f>
        <v/>
      </c>
      <c r="E62" s="58" t="str">
        <f>IF($A62="","",'TO HOP'!$F$142+1*(0-'TO HOP'!$S$56))</f>
        <v/>
      </c>
      <c r="F62" s="58" t="str">
        <f>IF($A62="","",'TO HOP'!$G$142+1*(0-'TO HOP'!$S$57))</f>
        <v/>
      </c>
      <c r="G62" s="58" t="str">
        <f>IF($A62="","",'TO HOP'!$H$142+1*(0-'TO HOP'!$S$58))</f>
        <v/>
      </c>
      <c r="H62" s="58" t="str">
        <f>IF($A62="","",'TO HOP'!$I$142+1*(0-'TO HOP'!$S$59))</f>
        <v/>
      </c>
      <c r="I62" s="58" t="str">
        <f>IF($A62="","",'TO HOP'!$J$142+1*(INDEX('LANE ENGINE'!$D$6:$D$45,29)-'TO HOP'!$S$60))</f>
        <v/>
      </c>
      <c r="J62" s="58" t="str">
        <f>IF($A62="","",'TO HOP'!$K$142+1*(0-'TO HOP'!$S$61))</f>
        <v/>
      </c>
      <c r="K62" s="58" t="str">
        <f>IF($A62="","",'TO HOP'!$L$142+1*(0-'TO HOP'!$S$62))</f>
        <v/>
      </c>
      <c r="L62" s="42" t="s">
        <v>1536</v>
      </c>
      <c r="M62" s="42">
        <v>29</v>
      </c>
    </row>
    <row r="63" spans="1:13" x14ac:dyDescent="0.3">
      <c r="A63" s="42" t="str">
        <f>IF(30&lt;=nLan,"SD I - 2 nhịp đúng tâm "&amp;30&amp;" làn","")</f>
        <v/>
      </c>
      <c r="B63" s="58" t="str">
        <f>IF($A63="","",'TO HOP'!$C$142+1*(0-'TO HOP'!$S$53))</f>
        <v/>
      </c>
      <c r="C63" s="58" t="str">
        <f>IF($A63="","",'TO HOP'!$D$142+1*(0-'TO HOP'!$S$54))</f>
        <v/>
      </c>
      <c r="D63" s="58" t="str">
        <f>IF($A63="","",'TO HOP'!$E$142+1*(INDEX('LANE ENGINE'!$D$6:$D$45,30)-'TO HOP'!$S$55))</f>
        <v/>
      </c>
      <c r="E63" s="58" t="str">
        <f>IF($A63="","",'TO HOP'!$F$142+1*(0-'TO HOP'!$S$56))</f>
        <v/>
      </c>
      <c r="F63" s="58" t="str">
        <f>IF($A63="","",'TO HOP'!$G$142+1*(0-'TO HOP'!$S$57))</f>
        <v/>
      </c>
      <c r="G63" s="58" t="str">
        <f>IF($A63="","",'TO HOP'!$H$142+1*(0-'TO HOP'!$S$58))</f>
        <v/>
      </c>
      <c r="H63" s="58" t="str">
        <f>IF($A63="","",'TO HOP'!$I$142+1*(0-'TO HOP'!$S$59))</f>
        <v/>
      </c>
      <c r="I63" s="58" t="str">
        <f>IF($A63="","",'TO HOP'!$J$142+1*(INDEX('LANE ENGINE'!$D$6:$D$45,30)-'TO HOP'!$S$60))</f>
        <v/>
      </c>
      <c r="J63" s="58" t="str">
        <f>IF($A63="","",'TO HOP'!$K$142+1*(0-'TO HOP'!$S$61))</f>
        <v/>
      </c>
      <c r="K63" s="58" t="str">
        <f>IF($A63="","",'TO HOP'!$L$142+1*(0-'TO HOP'!$S$62))</f>
        <v/>
      </c>
      <c r="L63" s="42" t="s">
        <v>1536</v>
      </c>
      <c r="M63" s="42">
        <v>30</v>
      </c>
    </row>
    <row r="64" spans="1:13" x14ac:dyDescent="0.3">
      <c r="A64" s="42" t="str">
        <f>IF(31&lt;=nLan,"SD I - 2 nhịp đúng tâm "&amp;31&amp;" làn","")</f>
        <v/>
      </c>
      <c r="B64" s="58" t="str">
        <f>IF($A64="","",'TO HOP'!$C$142+1*(0-'TO HOP'!$S$53))</f>
        <v/>
      </c>
      <c r="C64" s="58" t="str">
        <f>IF($A64="","",'TO HOP'!$D$142+1*(0-'TO HOP'!$S$54))</f>
        <v/>
      </c>
      <c r="D64" s="58" t="str">
        <f>IF($A64="","",'TO HOP'!$E$142+1*(INDEX('LANE ENGINE'!$D$6:$D$45,31)-'TO HOP'!$S$55))</f>
        <v/>
      </c>
      <c r="E64" s="58" t="str">
        <f>IF($A64="","",'TO HOP'!$F$142+1*(0-'TO HOP'!$S$56))</f>
        <v/>
      </c>
      <c r="F64" s="58" t="str">
        <f>IF($A64="","",'TO HOP'!$G$142+1*(0-'TO HOP'!$S$57))</f>
        <v/>
      </c>
      <c r="G64" s="58" t="str">
        <f>IF($A64="","",'TO HOP'!$H$142+1*(0-'TO HOP'!$S$58))</f>
        <v/>
      </c>
      <c r="H64" s="58" t="str">
        <f>IF($A64="","",'TO HOP'!$I$142+1*(0-'TO HOP'!$S$59))</f>
        <v/>
      </c>
      <c r="I64" s="58" t="str">
        <f>IF($A64="","",'TO HOP'!$J$142+1*(INDEX('LANE ENGINE'!$D$6:$D$45,31)-'TO HOP'!$S$60))</f>
        <v/>
      </c>
      <c r="J64" s="58" t="str">
        <f>IF($A64="","",'TO HOP'!$K$142+1*(0-'TO HOP'!$S$61))</f>
        <v/>
      </c>
      <c r="K64" s="58" t="str">
        <f>IF($A64="","",'TO HOP'!$L$142+1*(0-'TO HOP'!$S$62))</f>
        <v/>
      </c>
      <c r="L64" s="42" t="s">
        <v>1536</v>
      </c>
      <c r="M64" s="42">
        <v>31</v>
      </c>
    </row>
    <row r="65" spans="1:13" x14ac:dyDescent="0.3">
      <c r="A65" s="42" t="str">
        <f>IF(32&lt;=nLan,"SD I - 2 nhịp đúng tâm "&amp;32&amp;" làn","")</f>
        <v/>
      </c>
      <c r="B65" s="58" t="str">
        <f>IF($A65="","",'TO HOP'!$C$142+1*(0-'TO HOP'!$S$53))</f>
        <v/>
      </c>
      <c r="C65" s="58" t="str">
        <f>IF($A65="","",'TO HOP'!$D$142+1*(0-'TO HOP'!$S$54))</f>
        <v/>
      </c>
      <c r="D65" s="58" t="str">
        <f>IF($A65="","",'TO HOP'!$E$142+1*(INDEX('LANE ENGINE'!$D$6:$D$45,32)-'TO HOP'!$S$55))</f>
        <v/>
      </c>
      <c r="E65" s="58" t="str">
        <f>IF($A65="","",'TO HOP'!$F$142+1*(0-'TO HOP'!$S$56))</f>
        <v/>
      </c>
      <c r="F65" s="58" t="str">
        <f>IF($A65="","",'TO HOP'!$G$142+1*(0-'TO HOP'!$S$57))</f>
        <v/>
      </c>
      <c r="G65" s="58" t="str">
        <f>IF($A65="","",'TO HOP'!$H$142+1*(0-'TO HOP'!$S$58))</f>
        <v/>
      </c>
      <c r="H65" s="58" t="str">
        <f>IF($A65="","",'TO HOP'!$I$142+1*(0-'TO HOP'!$S$59))</f>
        <v/>
      </c>
      <c r="I65" s="58" t="str">
        <f>IF($A65="","",'TO HOP'!$J$142+1*(INDEX('LANE ENGINE'!$D$6:$D$45,32)-'TO HOP'!$S$60))</f>
        <v/>
      </c>
      <c r="J65" s="58" t="str">
        <f>IF($A65="","",'TO HOP'!$K$142+1*(0-'TO HOP'!$S$61))</f>
        <v/>
      </c>
      <c r="K65" s="58" t="str">
        <f>IF($A65="","",'TO HOP'!$L$142+1*(0-'TO HOP'!$S$62))</f>
        <v/>
      </c>
      <c r="L65" s="42" t="s">
        <v>1536</v>
      </c>
      <c r="M65" s="42">
        <v>32</v>
      </c>
    </row>
    <row r="66" spans="1:13" x14ac:dyDescent="0.3">
      <c r="A66" s="42" t="str">
        <f>IF(33&lt;=nLan,"SD I - 2 nhịp đúng tâm "&amp;33&amp;" làn","")</f>
        <v/>
      </c>
      <c r="B66" s="58" t="str">
        <f>IF($A66="","",'TO HOP'!$C$142+1*(0-'TO HOP'!$S$53))</f>
        <v/>
      </c>
      <c r="C66" s="58" t="str">
        <f>IF($A66="","",'TO HOP'!$D$142+1*(0-'TO HOP'!$S$54))</f>
        <v/>
      </c>
      <c r="D66" s="58" t="str">
        <f>IF($A66="","",'TO HOP'!$E$142+1*(INDEX('LANE ENGINE'!$D$6:$D$45,33)-'TO HOP'!$S$55))</f>
        <v/>
      </c>
      <c r="E66" s="58" t="str">
        <f>IF($A66="","",'TO HOP'!$F$142+1*(0-'TO HOP'!$S$56))</f>
        <v/>
      </c>
      <c r="F66" s="58" t="str">
        <f>IF($A66="","",'TO HOP'!$G$142+1*(0-'TO HOP'!$S$57))</f>
        <v/>
      </c>
      <c r="G66" s="58" t="str">
        <f>IF($A66="","",'TO HOP'!$H$142+1*(0-'TO HOP'!$S$58))</f>
        <v/>
      </c>
      <c r="H66" s="58" t="str">
        <f>IF($A66="","",'TO HOP'!$I$142+1*(0-'TO HOP'!$S$59))</f>
        <v/>
      </c>
      <c r="I66" s="58" t="str">
        <f>IF($A66="","",'TO HOP'!$J$142+1*(INDEX('LANE ENGINE'!$D$6:$D$45,33)-'TO HOP'!$S$60))</f>
        <v/>
      </c>
      <c r="J66" s="58" t="str">
        <f>IF($A66="","",'TO HOP'!$K$142+1*(0-'TO HOP'!$S$61))</f>
        <v/>
      </c>
      <c r="K66" s="58" t="str">
        <f>IF($A66="","",'TO HOP'!$L$142+1*(0-'TO HOP'!$S$62))</f>
        <v/>
      </c>
      <c r="L66" s="42" t="s">
        <v>1536</v>
      </c>
      <c r="M66" s="42">
        <v>33</v>
      </c>
    </row>
    <row r="67" spans="1:13" x14ac:dyDescent="0.3">
      <c r="A67" s="42" t="str">
        <f>IF(34&lt;=nLan,"SD I - 2 nhịp đúng tâm "&amp;34&amp;" làn","")</f>
        <v/>
      </c>
      <c r="B67" s="58" t="str">
        <f>IF($A67="","",'TO HOP'!$C$142+1*(0-'TO HOP'!$S$53))</f>
        <v/>
      </c>
      <c r="C67" s="58" t="str">
        <f>IF($A67="","",'TO HOP'!$D$142+1*(0-'TO HOP'!$S$54))</f>
        <v/>
      </c>
      <c r="D67" s="58" t="str">
        <f>IF($A67="","",'TO HOP'!$E$142+1*(INDEX('LANE ENGINE'!$D$6:$D$45,34)-'TO HOP'!$S$55))</f>
        <v/>
      </c>
      <c r="E67" s="58" t="str">
        <f>IF($A67="","",'TO HOP'!$F$142+1*(0-'TO HOP'!$S$56))</f>
        <v/>
      </c>
      <c r="F67" s="58" t="str">
        <f>IF($A67="","",'TO HOP'!$G$142+1*(0-'TO HOP'!$S$57))</f>
        <v/>
      </c>
      <c r="G67" s="58" t="str">
        <f>IF($A67="","",'TO HOP'!$H$142+1*(0-'TO HOP'!$S$58))</f>
        <v/>
      </c>
      <c r="H67" s="58" t="str">
        <f>IF($A67="","",'TO HOP'!$I$142+1*(0-'TO HOP'!$S$59))</f>
        <v/>
      </c>
      <c r="I67" s="58" t="str">
        <f>IF($A67="","",'TO HOP'!$J$142+1*(INDEX('LANE ENGINE'!$D$6:$D$45,34)-'TO HOP'!$S$60))</f>
        <v/>
      </c>
      <c r="J67" s="58" t="str">
        <f>IF($A67="","",'TO HOP'!$K$142+1*(0-'TO HOP'!$S$61))</f>
        <v/>
      </c>
      <c r="K67" s="58" t="str">
        <f>IF($A67="","",'TO HOP'!$L$142+1*(0-'TO HOP'!$S$62))</f>
        <v/>
      </c>
      <c r="L67" s="42" t="s">
        <v>1536</v>
      </c>
      <c r="M67" s="42">
        <v>34</v>
      </c>
    </row>
    <row r="68" spans="1:13" x14ac:dyDescent="0.3">
      <c r="A68" s="42" t="str">
        <f>IF(35&lt;=nLan,"SD I - 2 nhịp đúng tâm "&amp;35&amp;" làn","")</f>
        <v/>
      </c>
      <c r="B68" s="58" t="str">
        <f>IF($A68="","",'TO HOP'!$C$142+1*(0-'TO HOP'!$S$53))</f>
        <v/>
      </c>
      <c r="C68" s="58" t="str">
        <f>IF($A68="","",'TO HOP'!$D$142+1*(0-'TO HOP'!$S$54))</f>
        <v/>
      </c>
      <c r="D68" s="58" t="str">
        <f>IF($A68="","",'TO HOP'!$E$142+1*(INDEX('LANE ENGINE'!$D$6:$D$45,35)-'TO HOP'!$S$55))</f>
        <v/>
      </c>
      <c r="E68" s="58" t="str">
        <f>IF($A68="","",'TO HOP'!$F$142+1*(0-'TO HOP'!$S$56))</f>
        <v/>
      </c>
      <c r="F68" s="58" t="str">
        <f>IF($A68="","",'TO HOP'!$G$142+1*(0-'TO HOP'!$S$57))</f>
        <v/>
      </c>
      <c r="G68" s="58" t="str">
        <f>IF($A68="","",'TO HOP'!$H$142+1*(0-'TO HOP'!$S$58))</f>
        <v/>
      </c>
      <c r="H68" s="58" t="str">
        <f>IF($A68="","",'TO HOP'!$I$142+1*(0-'TO HOP'!$S$59))</f>
        <v/>
      </c>
      <c r="I68" s="58" t="str">
        <f>IF($A68="","",'TO HOP'!$J$142+1*(INDEX('LANE ENGINE'!$D$6:$D$45,35)-'TO HOP'!$S$60))</f>
        <v/>
      </c>
      <c r="J68" s="58" t="str">
        <f>IF($A68="","",'TO HOP'!$K$142+1*(0-'TO HOP'!$S$61))</f>
        <v/>
      </c>
      <c r="K68" s="58" t="str">
        <f>IF($A68="","",'TO HOP'!$L$142+1*(0-'TO HOP'!$S$62))</f>
        <v/>
      </c>
      <c r="L68" s="42" t="s">
        <v>1536</v>
      </c>
      <c r="M68" s="42">
        <v>35</v>
      </c>
    </row>
    <row r="69" spans="1:13" x14ac:dyDescent="0.3">
      <c r="A69" s="42" t="str">
        <f>IF(36&lt;=nLan,"SD I - 2 nhịp đúng tâm "&amp;36&amp;" làn","")</f>
        <v/>
      </c>
      <c r="B69" s="58" t="str">
        <f>IF($A69="","",'TO HOP'!$C$142+1*(0-'TO HOP'!$S$53))</f>
        <v/>
      </c>
      <c r="C69" s="58" t="str">
        <f>IF($A69="","",'TO HOP'!$D$142+1*(0-'TO HOP'!$S$54))</f>
        <v/>
      </c>
      <c r="D69" s="58" t="str">
        <f>IF($A69="","",'TO HOP'!$E$142+1*(INDEX('LANE ENGINE'!$D$6:$D$45,36)-'TO HOP'!$S$55))</f>
        <v/>
      </c>
      <c r="E69" s="58" t="str">
        <f>IF($A69="","",'TO HOP'!$F$142+1*(0-'TO HOP'!$S$56))</f>
        <v/>
      </c>
      <c r="F69" s="58" t="str">
        <f>IF($A69="","",'TO HOP'!$G$142+1*(0-'TO HOP'!$S$57))</f>
        <v/>
      </c>
      <c r="G69" s="58" t="str">
        <f>IF($A69="","",'TO HOP'!$H$142+1*(0-'TO HOP'!$S$58))</f>
        <v/>
      </c>
      <c r="H69" s="58" t="str">
        <f>IF($A69="","",'TO HOP'!$I$142+1*(0-'TO HOP'!$S$59))</f>
        <v/>
      </c>
      <c r="I69" s="58" t="str">
        <f>IF($A69="","",'TO HOP'!$J$142+1*(INDEX('LANE ENGINE'!$D$6:$D$45,36)-'TO HOP'!$S$60))</f>
        <v/>
      </c>
      <c r="J69" s="58" t="str">
        <f>IF($A69="","",'TO HOP'!$K$142+1*(0-'TO HOP'!$S$61))</f>
        <v/>
      </c>
      <c r="K69" s="58" t="str">
        <f>IF($A69="","",'TO HOP'!$L$142+1*(0-'TO HOP'!$S$62))</f>
        <v/>
      </c>
      <c r="L69" s="42" t="s">
        <v>1536</v>
      </c>
      <c r="M69" s="42">
        <v>36</v>
      </c>
    </row>
    <row r="70" spans="1:13" x14ac:dyDescent="0.3">
      <c r="A70" s="42" t="str">
        <f>IF(37&lt;=nLan,"SD I - 2 nhịp đúng tâm "&amp;37&amp;" làn","")</f>
        <v/>
      </c>
      <c r="B70" s="58" t="str">
        <f>IF($A70="","",'TO HOP'!$C$142+1*(0-'TO HOP'!$S$53))</f>
        <v/>
      </c>
      <c r="C70" s="58" t="str">
        <f>IF($A70="","",'TO HOP'!$D$142+1*(0-'TO HOP'!$S$54))</f>
        <v/>
      </c>
      <c r="D70" s="58" t="str">
        <f>IF($A70="","",'TO HOP'!$E$142+1*(INDEX('LANE ENGINE'!$D$6:$D$45,37)-'TO HOP'!$S$55))</f>
        <v/>
      </c>
      <c r="E70" s="58" t="str">
        <f>IF($A70="","",'TO HOP'!$F$142+1*(0-'TO HOP'!$S$56))</f>
        <v/>
      </c>
      <c r="F70" s="58" t="str">
        <f>IF($A70="","",'TO HOP'!$G$142+1*(0-'TO HOP'!$S$57))</f>
        <v/>
      </c>
      <c r="G70" s="58" t="str">
        <f>IF($A70="","",'TO HOP'!$H$142+1*(0-'TO HOP'!$S$58))</f>
        <v/>
      </c>
      <c r="H70" s="58" t="str">
        <f>IF($A70="","",'TO HOP'!$I$142+1*(0-'TO HOP'!$S$59))</f>
        <v/>
      </c>
      <c r="I70" s="58" t="str">
        <f>IF($A70="","",'TO HOP'!$J$142+1*(INDEX('LANE ENGINE'!$D$6:$D$45,37)-'TO HOP'!$S$60))</f>
        <v/>
      </c>
      <c r="J70" s="58" t="str">
        <f>IF($A70="","",'TO HOP'!$K$142+1*(0-'TO HOP'!$S$61))</f>
        <v/>
      </c>
      <c r="K70" s="58" t="str">
        <f>IF($A70="","",'TO HOP'!$L$142+1*(0-'TO HOP'!$S$62))</f>
        <v/>
      </c>
      <c r="L70" s="42" t="s">
        <v>1536</v>
      </c>
      <c r="M70" s="42">
        <v>37</v>
      </c>
    </row>
    <row r="71" spans="1:13" x14ac:dyDescent="0.3">
      <c r="A71" s="42" t="str">
        <f>IF(38&lt;=nLan,"SD I - 2 nhịp đúng tâm "&amp;38&amp;" làn","")</f>
        <v/>
      </c>
      <c r="B71" s="58" t="str">
        <f>IF($A71="","",'TO HOP'!$C$142+1*(0-'TO HOP'!$S$53))</f>
        <v/>
      </c>
      <c r="C71" s="58" t="str">
        <f>IF($A71="","",'TO HOP'!$D$142+1*(0-'TO HOP'!$S$54))</f>
        <v/>
      </c>
      <c r="D71" s="58" t="str">
        <f>IF($A71="","",'TO HOP'!$E$142+1*(INDEX('LANE ENGINE'!$D$6:$D$45,38)-'TO HOP'!$S$55))</f>
        <v/>
      </c>
      <c r="E71" s="58" t="str">
        <f>IF($A71="","",'TO HOP'!$F$142+1*(0-'TO HOP'!$S$56))</f>
        <v/>
      </c>
      <c r="F71" s="58" t="str">
        <f>IF($A71="","",'TO HOP'!$G$142+1*(0-'TO HOP'!$S$57))</f>
        <v/>
      </c>
      <c r="G71" s="58" t="str">
        <f>IF($A71="","",'TO HOP'!$H$142+1*(0-'TO HOP'!$S$58))</f>
        <v/>
      </c>
      <c r="H71" s="58" t="str">
        <f>IF($A71="","",'TO HOP'!$I$142+1*(0-'TO HOP'!$S$59))</f>
        <v/>
      </c>
      <c r="I71" s="58" t="str">
        <f>IF($A71="","",'TO HOP'!$J$142+1*(INDEX('LANE ENGINE'!$D$6:$D$45,38)-'TO HOP'!$S$60))</f>
        <v/>
      </c>
      <c r="J71" s="58" t="str">
        <f>IF($A71="","",'TO HOP'!$K$142+1*(0-'TO HOP'!$S$61))</f>
        <v/>
      </c>
      <c r="K71" s="58" t="str">
        <f>IF($A71="","",'TO HOP'!$L$142+1*(0-'TO HOP'!$S$62))</f>
        <v/>
      </c>
      <c r="L71" s="42" t="s">
        <v>1536</v>
      </c>
      <c r="M71" s="42">
        <v>38</v>
      </c>
    </row>
    <row r="72" spans="1:13" x14ac:dyDescent="0.3">
      <c r="A72" s="42" t="str">
        <f>IF(39&lt;=nLan,"SD I - 2 nhịp đúng tâm "&amp;39&amp;" làn","")</f>
        <v/>
      </c>
      <c r="B72" s="58" t="str">
        <f>IF($A72="","",'TO HOP'!$C$142+1*(0-'TO HOP'!$S$53))</f>
        <v/>
      </c>
      <c r="C72" s="58" t="str">
        <f>IF($A72="","",'TO HOP'!$D$142+1*(0-'TO HOP'!$S$54))</f>
        <v/>
      </c>
      <c r="D72" s="58" t="str">
        <f>IF($A72="","",'TO HOP'!$E$142+1*(INDEX('LANE ENGINE'!$D$6:$D$45,39)-'TO HOP'!$S$55))</f>
        <v/>
      </c>
      <c r="E72" s="58" t="str">
        <f>IF($A72="","",'TO HOP'!$F$142+1*(0-'TO HOP'!$S$56))</f>
        <v/>
      </c>
      <c r="F72" s="58" t="str">
        <f>IF($A72="","",'TO HOP'!$G$142+1*(0-'TO HOP'!$S$57))</f>
        <v/>
      </c>
      <c r="G72" s="58" t="str">
        <f>IF($A72="","",'TO HOP'!$H$142+1*(0-'TO HOP'!$S$58))</f>
        <v/>
      </c>
      <c r="H72" s="58" t="str">
        <f>IF($A72="","",'TO HOP'!$I$142+1*(0-'TO HOP'!$S$59))</f>
        <v/>
      </c>
      <c r="I72" s="58" t="str">
        <f>IF($A72="","",'TO HOP'!$J$142+1*(INDEX('LANE ENGINE'!$D$6:$D$45,39)-'TO HOP'!$S$60))</f>
        <v/>
      </c>
      <c r="J72" s="58" t="str">
        <f>IF($A72="","",'TO HOP'!$K$142+1*(0-'TO HOP'!$S$61))</f>
        <v/>
      </c>
      <c r="K72" s="58" t="str">
        <f>IF($A72="","",'TO HOP'!$L$142+1*(0-'TO HOP'!$S$62))</f>
        <v/>
      </c>
      <c r="L72" s="42" t="s">
        <v>1536</v>
      </c>
      <c r="M72" s="42">
        <v>39</v>
      </c>
    </row>
    <row r="73" spans="1:13" x14ac:dyDescent="0.3">
      <c r="A73" s="42" t="str">
        <f>IF(40&lt;=nLan,"SD I - 2 nhịp đúng tâm "&amp;40&amp;" làn","")</f>
        <v/>
      </c>
      <c r="B73" s="58" t="str">
        <f>IF($A73="","",'TO HOP'!$C$142+1*(0-'TO HOP'!$S$53))</f>
        <v/>
      </c>
      <c r="C73" s="58" t="str">
        <f>IF($A73="","",'TO HOP'!$D$142+1*(0-'TO HOP'!$S$54))</f>
        <v/>
      </c>
      <c r="D73" s="58" t="str">
        <f>IF($A73="","",'TO HOP'!$E$142+1*(INDEX('LANE ENGINE'!$D$6:$D$45,40)-'TO HOP'!$S$55))</f>
        <v/>
      </c>
      <c r="E73" s="58" t="str">
        <f>IF($A73="","",'TO HOP'!$F$142+1*(0-'TO HOP'!$S$56))</f>
        <v/>
      </c>
      <c r="F73" s="58" t="str">
        <f>IF($A73="","",'TO HOP'!$G$142+1*(0-'TO HOP'!$S$57))</f>
        <v/>
      </c>
      <c r="G73" s="58" t="str">
        <f>IF($A73="","",'TO HOP'!$H$142+1*(0-'TO HOP'!$S$58))</f>
        <v/>
      </c>
      <c r="H73" s="58" t="str">
        <f>IF($A73="","",'TO HOP'!$I$142+1*(0-'TO HOP'!$S$59))</f>
        <v/>
      </c>
      <c r="I73" s="58" t="str">
        <f>IF($A73="","",'TO HOP'!$J$142+1*(INDEX('LANE ENGINE'!$D$6:$D$45,40)-'TO HOP'!$S$60))</f>
        <v/>
      </c>
      <c r="J73" s="58" t="str">
        <f>IF($A73="","",'TO HOP'!$K$142+1*(0-'TO HOP'!$S$61))</f>
        <v/>
      </c>
      <c r="K73" s="58" t="str">
        <f>IF($A73="","",'TO HOP'!$L$142+1*(0-'TO HOP'!$S$62))</f>
        <v/>
      </c>
      <c r="L73" s="42" t="s">
        <v>1536</v>
      </c>
      <c r="M73" s="42">
        <v>40</v>
      </c>
    </row>
    <row r="74" spans="1:13" x14ac:dyDescent="0.3">
      <c r="A74" s="42" t="str">
        <f>IF(7&lt;=nLan,"SD I - 1 nhịp "&amp;7&amp;" làn","")</f>
        <v/>
      </c>
      <c r="B74" s="58" t="str">
        <f>IF($A74="","",'TO HOP'!$C$148+1*(0-'TO HOP'!$Y$53))</f>
        <v/>
      </c>
      <c r="C74" s="58" t="str">
        <f>IF($A74="","",'TO HOP'!$D$148+1*(0-'TO HOP'!$Y$54))</f>
        <v/>
      </c>
      <c r="D74" s="58" t="str">
        <f>IF($A74="","",'TO HOP'!$E$148+1*(INDEX('LANE ENGINE'!$F$6:$F$45,7)-'TO HOP'!$Y$55))</f>
        <v/>
      </c>
      <c r="E74" s="58" t="str">
        <f>IF($A74="","",'TO HOP'!$F$148+1*(INDEX('LANE ENGINE'!$G$6:$G$45,7)-'TO HOP'!$Y$56))</f>
        <v/>
      </c>
      <c r="F74" s="58" t="str">
        <f>IF($A74="","",'TO HOP'!$G$148+1*(INDEX('LANE ENGINE'!$H$6:$H$45,7)-'TO HOP'!$Y$57))</f>
        <v/>
      </c>
      <c r="G74" s="58" t="str">
        <f>IF($A74="","",'TO HOP'!$H$148+1*(0-'TO HOP'!$Y$58))</f>
        <v/>
      </c>
      <c r="H74" s="58" t="str">
        <f>IF($A74="","",'TO HOP'!$I$148+1*(0-'TO HOP'!$Y$59))</f>
        <v/>
      </c>
      <c r="I74" s="58" t="str">
        <f>IF($A74="","",'TO HOP'!$J$148+1*(INDEX('LANE ENGINE'!$F$6:$F$45,7)-'TO HOP'!$Y$60))</f>
        <v/>
      </c>
      <c r="J74" s="58" t="str">
        <f>IF($A74="","",'TO HOP'!$K$148+1*(INDEX('LANE ENGINE'!$G$6:$G$45,7)-'TO HOP'!$Y$61))</f>
        <v/>
      </c>
      <c r="K74" s="58" t="str">
        <f>IF($A74="","",'TO HOP'!$L$148+1*(INDEX('LANE ENGINE'!$H$6:$H$45,7)-'TO HOP'!$Y$62))</f>
        <v/>
      </c>
      <c r="L74" s="42" t="s">
        <v>1536</v>
      </c>
      <c r="M74" s="42">
        <v>7</v>
      </c>
    </row>
    <row r="75" spans="1:13" x14ac:dyDescent="0.3">
      <c r="A75" s="42" t="str">
        <f>IF(8&lt;=nLan,"SD I - 1 nhịp "&amp;8&amp;" làn","")</f>
        <v/>
      </c>
      <c r="B75" s="58" t="str">
        <f>IF($A75="","",'TO HOP'!$C$148+1*(0-'TO HOP'!$Y$53))</f>
        <v/>
      </c>
      <c r="C75" s="58" t="str">
        <f>IF($A75="","",'TO HOP'!$D$148+1*(0-'TO HOP'!$Y$54))</f>
        <v/>
      </c>
      <c r="D75" s="58" t="str">
        <f>IF($A75="","",'TO HOP'!$E$148+1*(INDEX('LANE ENGINE'!$F$6:$F$45,8)-'TO HOP'!$Y$55))</f>
        <v/>
      </c>
      <c r="E75" s="58" t="str">
        <f>IF($A75="","",'TO HOP'!$F$148+1*(INDEX('LANE ENGINE'!$G$6:$G$45,8)-'TO HOP'!$Y$56))</f>
        <v/>
      </c>
      <c r="F75" s="58" t="str">
        <f>IF($A75="","",'TO HOP'!$G$148+1*(INDEX('LANE ENGINE'!$H$6:$H$45,8)-'TO HOP'!$Y$57))</f>
        <v/>
      </c>
      <c r="G75" s="58" t="str">
        <f>IF($A75="","",'TO HOP'!$H$148+1*(0-'TO HOP'!$Y$58))</f>
        <v/>
      </c>
      <c r="H75" s="58" t="str">
        <f>IF($A75="","",'TO HOP'!$I$148+1*(0-'TO HOP'!$Y$59))</f>
        <v/>
      </c>
      <c r="I75" s="58" t="str">
        <f>IF($A75="","",'TO HOP'!$J$148+1*(INDEX('LANE ENGINE'!$F$6:$F$45,8)-'TO HOP'!$Y$60))</f>
        <v/>
      </c>
      <c r="J75" s="58" t="str">
        <f>IF($A75="","",'TO HOP'!$K$148+1*(INDEX('LANE ENGINE'!$G$6:$G$45,8)-'TO HOP'!$Y$61))</f>
        <v/>
      </c>
      <c r="K75" s="58" t="str">
        <f>IF($A75="","",'TO HOP'!$L$148+1*(INDEX('LANE ENGINE'!$H$6:$H$45,8)-'TO HOP'!$Y$62))</f>
        <v/>
      </c>
      <c r="L75" s="42" t="s">
        <v>1536</v>
      </c>
      <c r="M75" s="42">
        <v>8</v>
      </c>
    </row>
    <row r="76" spans="1:13" x14ac:dyDescent="0.3">
      <c r="A76" s="42" t="str">
        <f>IF(9&lt;=nLan,"SD I - 1 nhịp "&amp;9&amp;" làn","")</f>
        <v/>
      </c>
      <c r="B76" s="58" t="str">
        <f>IF($A76="","",'TO HOP'!$C$148+1*(0-'TO HOP'!$Y$53))</f>
        <v/>
      </c>
      <c r="C76" s="58" t="str">
        <f>IF($A76="","",'TO HOP'!$D$148+1*(0-'TO HOP'!$Y$54))</f>
        <v/>
      </c>
      <c r="D76" s="58" t="str">
        <f>IF($A76="","",'TO HOP'!$E$148+1*(INDEX('LANE ENGINE'!$F$6:$F$45,9)-'TO HOP'!$Y$55))</f>
        <v/>
      </c>
      <c r="E76" s="58" t="str">
        <f>IF($A76="","",'TO HOP'!$F$148+1*(INDEX('LANE ENGINE'!$G$6:$G$45,9)-'TO HOP'!$Y$56))</f>
        <v/>
      </c>
      <c r="F76" s="58" t="str">
        <f>IF($A76="","",'TO HOP'!$G$148+1*(INDEX('LANE ENGINE'!$H$6:$H$45,9)-'TO HOP'!$Y$57))</f>
        <v/>
      </c>
      <c r="G76" s="58" t="str">
        <f>IF($A76="","",'TO HOP'!$H$148+1*(0-'TO HOP'!$Y$58))</f>
        <v/>
      </c>
      <c r="H76" s="58" t="str">
        <f>IF($A76="","",'TO HOP'!$I$148+1*(0-'TO HOP'!$Y$59))</f>
        <v/>
      </c>
      <c r="I76" s="58" t="str">
        <f>IF($A76="","",'TO HOP'!$J$148+1*(INDEX('LANE ENGINE'!$F$6:$F$45,9)-'TO HOP'!$Y$60))</f>
        <v/>
      </c>
      <c r="J76" s="58" t="str">
        <f>IF($A76="","",'TO HOP'!$K$148+1*(INDEX('LANE ENGINE'!$G$6:$G$45,9)-'TO HOP'!$Y$61))</f>
        <v/>
      </c>
      <c r="K76" s="58" t="str">
        <f>IF($A76="","",'TO HOP'!$L$148+1*(INDEX('LANE ENGINE'!$H$6:$H$45,9)-'TO HOP'!$Y$62))</f>
        <v/>
      </c>
      <c r="L76" s="42" t="s">
        <v>1536</v>
      </c>
      <c r="M76" s="42">
        <v>9</v>
      </c>
    </row>
    <row r="77" spans="1:13" x14ac:dyDescent="0.3">
      <c r="A77" s="42" t="str">
        <f>IF(10&lt;=nLan,"SD I - 1 nhịp "&amp;10&amp;" làn","")</f>
        <v/>
      </c>
      <c r="B77" s="58" t="str">
        <f>IF($A77="","",'TO HOP'!$C$148+1*(0-'TO HOP'!$Y$53))</f>
        <v/>
      </c>
      <c r="C77" s="58" t="str">
        <f>IF($A77="","",'TO HOP'!$D$148+1*(0-'TO HOP'!$Y$54))</f>
        <v/>
      </c>
      <c r="D77" s="58" t="str">
        <f>IF($A77="","",'TO HOP'!$E$148+1*(INDEX('LANE ENGINE'!$F$6:$F$45,10)-'TO HOP'!$Y$55))</f>
        <v/>
      </c>
      <c r="E77" s="58" t="str">
        <f>IF($A77="","",'TO HOP'!$F$148+1*(INDEX('LANE ENGINE'!$G$6:$G$45,10)-'TO HOP'!$Y$56))</f>
        <v/>
      </c>
      <c r="F77" s="58" t="str">
        <f>IF($A77="","",'TO HOP'!$G$148+1*(INDEX('LANE ENGINE'!$H$6:$H$45,10)-'TO HOP'!$Y$57))</f>
        <v/>
      </c>
      <c r="G77" s="58" t="str">
        <f>IF($A77="","",'TO HOP'!$H$148+1*(0-'TO HOP'!$Y$58))</f>
        <v/>
      </c>
      <c r="H77" s="58" t="str">
        <f>IF($A77="","",'TO HOP'!$I$148+1*(0-'TO HOP'!$Y$59))</f>
        <v/>
      </c>
      <c r="I77" s="58" t="str">
        <f>IF($A77="","",'TO HOP'!$J$148+1*(INDEX('LANE ENGINE'!$F$6:$F$45,10)-'TO HOP'!$Y$60))</f>
        <v/>
      </c>
      <c r="J77" s="58" t="str">
        <f>IF($A77="","",'TO HOP'!$K$148+1*(INDEX('LANE ENGINE'!$G$6:$G$45,10)-'TO HOP'!$Y$61))</f>
        <v/>
      </c>
      <c r="K77" s="58" t="str">
        <f>IF($A77="","",'TO HOP'!$L$148+1*(INDEX('LANE ENGINE'!$H$6:$H$45,10)-'TO HOP'!$Y$62))</f>
        <v/>
      </c>
      <c r="L77" s="42" t="s">
        <v>1536</v>
      </c>
      <c r="M77" s="42">
        <v>10</v>
      </c>
    </row>
    <row r="78" spans="1:13" x14ac:dyDescent="0.3">
      <c r="A78" s="42" t="str">
        <f>IF(11&lt;=nLan,"SD I - 1 nhịp "&amp;11&amp;" làn","")</f>
        <v/>
      </c>
      <c r="B78" s="58" t="str">
        <f>IF($A78="","",'TO HOP'!$C$148+1*(0-'TO HOP'!$Y$53))</f>
        <v/>
      </c>
      <c r="C78" s="58" t="str">
        <f>IF($A78="","",'TO HOP'!$D$148+1*(0-'TO HOP'!$Y$54))</f>
        <v/>
      </c>
      <c r="D78" s="58" t="str">
        <f>IF($A78="","",'TO HOP'!$E$148+1*(INDEX('LANE ENGINE'!$F$6:$F$45,11)-'TO HOP'!$Y$55))</f>
        <v/>
      </c>
      <c r="E78" s="58" t="str">
        <f>IF($A78="","",'TO HOP'!$F$148+1*(INDEX('LANE ENGINE'!$G$6:$G$45,11)-'TO HOP'!$Y$56))</f>
        <v/>
      </c>
      <c r="F78" s="58" t="str">
        <f>IF($A78="","",'TO HOP'!$G$148+1*(INDEX('LANE ENGINE'!$H$6:$H$45,11)-'TO HOP'!$Y$57))</f>
        <v/>
      </c>
      <c r="G78" s="58" t="str">
        <f>IF($A78="","",'TO HOP'!$H$148+1*(0-'TO HOP'!$Y$58))</f>
        <v/>
      </c>
      <c r="H78" s="58" t="str">
        <f>IF($A78="","",'TO HOP'!$I$148+1*(0-'TO HOP'!$Y$59))</f>
        <v/>
      </c>
      <c r="I78" s="58" t="str">
        <f>IF($A78="","",'TO HOP'!$J$148+1*(INDEX('LANE ENGINE'!$F$6:$F$45,11)-'TO HOP'!$Y$60))</f>
        <v/>
      </c>
      <c r="J78" s="58" t="str">
        <f>IF($A78="","",'TO HOP'!$K$148+1*(INDEX('LANE ENGINE'!$G$6:$G$45,11)-'TO HOP'!$Y$61))</f>
        <v/>
      </c>
      <c r="K78" s="58" t="str">
        <f>IF($A78="","",'TO HOP'!$L$148+1*(INDEX('LANE ENGINE'!$H$6:$H$45,11)-'TO HOP'!$Y$62))</f>
        <v/>
      </c>
      <c r="L78" s="42" t="s">
        <v>1536</v>
      </c>
      <c r="M78" s="42">
        <v>11</v>
      </c>
    </row>
    <row r="79" spans="1:13" x14ac:dyDescent="0.3">
      <c r="A79" s="42" t="str">
        <f>IF(12&lt;=nLan,"SD I - 1 nhịp "&amp;12&amp;" làn","")</f>
        <v/>
      </c>
      <c r="B79" s="58" t="str">
        <f>IF($A79="","",'TO HOP'!$C$148+1*(0-'TO HOP'!$Y$53))</f>
        <v/>
      </c>
      <c r="C79" s="58" t="str">
        <f>IF($A79="","",'TO HOP'!$D$148+1*(0-'TO HOP'!$Y$54))</f>
        <v/>
      </c>
      <c r="D79" s="58" t="str">
        <f>IF($A79="","",'TO HOP'!$E$148+1*(INDEX('LANE ENGINE'!$F$6:$F$45,12)-'TO HOP'!$Y$55))</f>
        <v/>
      </c>
      <c r="E79" s="58" t="str">
        <f>IF($A79="","",'TO HOP'!$F$148+1*(INDEX('LANE ENGINE'!$G$6:$G$45,12)-'TO HOP'!$Y$56))</f>
        <v/>
      </c>
      <c r="F79" s="58" t="str">
        <f>IF($A79="","",'TO HOP'!$G$148+1*(INDEX('LANE ENGINE'!$H$6:$H$45,12)-'TO HOP'!$Y$57))</f>
        <v/>
      </c>
      <c r="G79" s="58" t="str">
        <f>IF($A79="","",'TO HOP'!$H$148+1*(0-'TO HOP'!$Y$58))</f>
        <v/>
      </c>
      <c r="H79" s="58" t="str">
        <f>IF($A79="","",'TO HOP'!$I$148+1*(0-'TO HOP'!$Y$59))</f>
        <v/>
      </c>
      <c r="I79" s="58" t="str">
        <f>IF($A79="","",'TO HOP'!$J$148+1*(INDEX('LANE ENGINE'!$F$6:$F$45,12)-'TO HOP'!$Y$60))</f>
        <v/>
      </c>
      <c r="J79" s="58" t="str">
        <f>IF($A79="","",'TO HOP'!$K$148+1*(INDEX('LANE ENGINE'!$G$6:$G$45,12)-'TO HOP'!$Y$61))</f>
        <v/>
      </c>
      <c r="K79" s="58" t="str">
        <f>IF($A79="","",'TO HOP'!$L$148+1*(INDEX('LANE ENGINE'!$H$6:$H$45,12)-'TO HOP'!$Y$62))</f>
        <v/>
      </c>
      <c r="L79" s="42" t="s">
        <v>1536</v>
      </c>
      <c r="M79" s="42">
        <v>12</v>
      </c>
    </row>
    <row r="80" spans="1:13" x14ac:dyDescent="0.3">
      <c r="A80" s="42" t="str">
        <f>IF(13&lt;=nLan,"SD I - 1 nhịp "&amp;13&amp;" làn","")</f>
        <v/>
      </c>
      <c r="B80" s="58" t="str">
        <f>IF($A80="","",'TO HOP'!$C$148+1*(0-'TO HOP'!$Y$53))</f>
        <v/>
      </c>
      <c r="C80" s="58" t="str">
        <f>IF($A80="","",'TO HOP'!$D$148+1*(0-'TO HOP'!$Y$54))</f>
        <v/>
      </c>
      <c r="D80" s="58" t="str">
        <f>IF($A80="","",'TO HOP'!$E$148+1*(INDEX('LANE ENGINE'!$F$6:$F$45,13)-'TO HOP'!$Y$55))</f>
        <v/>
      </c>
      <c r="E80" s="58" t="str">
        <f>IF($A80="","",'TO HOP'!$F$148+1*(INDEX('LANE ENGINE'!$G$6:$G$45,13)-'TO HOP'!$Y$56))</f>
        <v/>
      </c>
      <c r="F80" s="58" t="str">
        <f>IF($A80="","",'TO HOP'!$G$148+1*(INDEX('LANE ENGINE'!$H$6:$H$45,13)-'TO HOP'!$Y$57))</f>
        <v/>
      </c>
      <c r="G80" s="58" t="str">
        <f>IF($A80="","",'TO HOP'!$H$148+1*(0-'TO HOP'!$Y$58))</f>
        <v/>
      </c>
      <c r="H80" s="58" t="str">
        <f>IF($A80="","",'TO HOP'!$I$148+1*(0-'TO HOP'!$Y$59))</f>
        <v/>
      </c>
      <c r="I80" s="58" t="str">
        <f>IF($A80="","",'TO HOP'!$J$148+1*(INDEX('LANE ENGINE'!$F$6:$F$45,13)-'TO HOP'!$Y$60))</f>
        <v/>
      </c>
      <c r="J80" s="58" t="str">
        <f>IF($A80="","",'TO HOP'!$K$148+1*(INDEX('LANE ENGINE'!$G$6:$G$45,13)-'TO HOP'!$Y$61))</f>
        <v/>
      </c>
      <c r="K80" s="58" t="str">
        <f>IF($A80="","",'TO HOP'!$L$148+1*(INDEX('LANE ENGINE'!$H$6:$H$45,13)-'TO HOP'!$Y$62))</f>
        <v/>
      </c>
      <c r="L80" s="42" t="s">
        <v>1536</v>
      </c>
      <c r="M80" s="42">
        <v>13</v>
      </c>
    </row>
    <row r="81" spans="1:13" x14ac:dyDescent="0.3">
      <c r="A81" s="42" t="str">
        <f>IF(14&lt;=nLan,"SD I - 1 nhịp "&amp;14&amp;" làn","")</f>
        <v/>
      </c>
      <c r="B81" s="58" t="str">
        <f>IF($A81="","",'TO HOP'!$C$148+1*(0-'TO HOP'!$Y$53))</f>
        <v/>
      </c>
      <c r="C81" s="58" t="str">
        <f>IF($A81="","",'TO HOP'!$D$148+1*(0-'TO HOP'!$Y$54))</f>
        <v/>
      </c>
      <c r="D81" s="58" t="str">
        <f>IF($A81="","",'TO HOP'!$E$148+1*(INDEX('LANE ENGINE'!$F$6:$F$45,14)-'TO HOP'!$Y$55))</f>
        <v/>
      </c>
      <c r="E81" s="58" t="str">
        <f>IF($A81="","",'TO HOP'!$F$148+1*(INDEX('LANE ENGINE'!$G$6:$G$45,14)-'TO HOP'!$Y$56))</f>
        <v/>
      </c>
      <c r="F81" s="58" t="str">
        <f>IF($A81="","",'TO HOP'!$G$148+1*(INDEX('LANE ENGINE'!$H$6:$H$45,14)-'TO HOP'!$Y$57))</f>
        <v/>
      </c>
      <c r="G81" s="58" t="str">
        <f>IF($A81="","",'TO HOP'!$H$148+1*(0-'TO HOP'!$Y$58))</f>
        <v/>
      </c>
      <c r="H81" s="58" t="str">
        <f>IF($A81="","",'TO HOP'!$I$148+1*(0-'TO HOP'!$Y$59))</f>
        <v/>
      </c>
      <c r="I81" s="58" t="str">
        <f>IF($A81="","",'TO HOP'!$J$148+1*(INDEX('LANE ENGINE'!$F$6:$F$45,14)-'TO HOP'!$Y$60))</f>
        <v/>
      </c>
      <c r="J81" s="58" t="str">
        <f>IF($A81="","",'TO HOP'!$K$148+1*(INDEX('LANE ENGINE'!$G$6:$G$45,14)-'TO HOP'!$Y$61))</f>
        <v/>
      </c>
      <c r="K81" s="58" t="str">
        <f>IF($A81="","",'TO HOP'!$L$148+1*(INDEX('LANE ENGINE'!$H$6:$H$45,14)-'TO HOP'!$Y$62))</f>
        <v/>
      </c>
      <c r="L81" s="42" t="s">
        <v>1536</v>
      </c>
      <c r="M81" s="42">
        <v>14</v>
      </c>
    </row>
    <row r="82" spans="1:13" x14ac:dyDescent="0.3">
      <c r="A82" s="42" t="str">
        <f>IF(15&lt;=nLan,"SD I - 1 nhịp "&amp;15&amp;" làn","")</f>
        <v/>
      </c>
      <c r="B82" s="58" t="str">
        <f>IF($A82="","",'TO HOP'!$C$148+1*(0-'TO HOP'!$Y$53))</f>
        <v/>
      </c>
      <c r="C82" s="58" t="str">
        <f>IF($A82="","",'TO HOP'!$D$148+1*(0-'TO HOP'!$Y$54))</f>
        <v/>
      </c>
      <c r="D82" s="58" t="str">
        <f>IF($A82="","",'TO HOP'!$E$148+1*(INDEX('LANE ENGINE'!$F$6:$F$45,15)-'TO HOP'!$Y$55))</f>
        <v/>
      </c>
      <c r="E82" s="58" t="str">
        <f>IF($A82="","",'TO HOP'!$F$148+1*(INDEX('LANE ENGINE'!$G$6:$G$45,15)-'TO HOP'!$Y$56))</f>
        <v/>
      </c>
      <c r="F82" s="58" t="str">
        <f>IF($A82="","",'TO HOP'!$G$148+1*(INDEX('LANE ENGINE'!$H$6:$H$45,15)-'TO HOP'!$Y$57))</f>
        <v/>
      </c>
      <c r="G82" s="58" t="str">
        <f>IF($A82="","",'TO HOP'!$H$148+1*(0-'TO HOP'!$Y$58))</f>
        <v/>
      </c>
      <c r="H82" s="58" t="str">
        <f>IF($A82="","",'TO HOP'!$I$148+1*(0-'TO HOP'!$Y$59))</f>
        <v/>
      </c>
      <c r="I82" s="58" t="str">
        <f>IF($A82="","",'TO HOP'!$J$148+1*(INDEX('LANE ENGINE'!$F$6:$F$45,15)-'TO HOP'!$Y$60))</f>
        <v/>
      </c>
      <c r="J82" s="58" t="str">
        <f>IF($A82="","",'TO HOP'!$K$148+1*(INDEX('LANE ENGINE'!$G$6:$G$45,15)-'TO HOP'!$Y$61))</f>
        <v/>
      </c>
      <c r="K82" s="58" t="str">
        <f>IF($A82="","",'TO HOP'!$L$148+1*(INDEX('LANE ENGINE'!$H$6:$H$45,15)-'TO HOP'!$Y$62))</f>
        <v/>
      </c>
      <c r="L82" s="42" t="s">
        <v>1536</v>
      </c>
      <c r="M82" s="42">
        <v>15</v>
      </c>
    </row>
    <row r="83" spans="1:13" x14ac:dyDescent="0.3">
      <c r="A83" s="42" t="str">
        <f>IF(16&lt;=nLan,"SD I - 1 nhịp "&amp;16&amp;" làn","")</f>
        <v/>
      </c>
      <c r="B83" s="58" t="str">
        <f>IF($A83="","",'TO HOP'!$C$148+1*(0-'TO HOP'!$Y$53))</f>
        <v/>
      </c>
      <c r="C83" s="58" t="str">
        <f>IF($A83="","",'TO HOP'!$D$148+1*(0-'TO HOP'!$Y$54))</f>
        <v/>
      </c>
      <c r="D83" s="58" t="str">
        <f>IF($A83="","",'TO HOP'!$E$148+1*(INDEX('LANE ENGINE'!$F$6:$F$45,16)-'TO HOP'!$Y$55))</f>
        <v/>
      </c>
      <c r="E83" s="58" t="str">
        <f>IF($A83="","",'TO HOP'!$F$148+1*(INDEX('LANE ENGINE'!$G$6:$G$45,16)-'TO HOP'!$Y$56))</f>
        <v/>
      </c>
      <c r="F83" s="58" t="str">
        <f>IF($A83="","",'TO HOP'!$G$148+1*(INDEX('LANE ENGINE'!$H$6:$H$45,16)-'TO HOP'!$Y$57))</f>
        <v/>
      </c>
      <c r="G83" s="58" t="str">
        <f>IF($A83="","",'TO HOP'!$H$148+1*(0-'TO HOP'!$Y$58))</f>
        <v/>
      </c>
      <c r="H83" s="58" t="str">
        <f>IF($A83="","",'TO HOP'!$I$148+1*(0-'TO HOP'!$Y$59))</f>
        <v/>
      </c>
      <c r="I83" s="58" t="str">
        <f>IF($A83="","",'TO HOP'!$J$148+1*(INDEX('LANE ENGINE'!$F$6:$F$45,16)-'TO HOP'!$Y$60))</f>
        <v/>
      </c>
      <c r="J83" s="58" t="str">
        <f>IF($A83="","",'TO HOP'!$K$148+1*(INDEX('LANE ENGINE'!$G$6:$G$45,16)-'TO HOP'!$Y$61))</f>
        <v/>
      </c>
      <c r="K83" s="58" t="str">
        <f>IF($A83="","",'TO HOP'!$L$148+1*(INDEX('LANE ENGINE'!$H$6:$H$45,16)-'TO HOP'!$Y$62))</f>
        <v/>
      </c>
      <c r="L83" s="42" t="s">
        <v>1536</v>
      </c>
      <c r="M83" s="42">
        <v>16</v>
      </c>
    </row>
    <row r="84" spans="1:13" x14ac:dyDescent="0.3">
      <c r="A84" s="42" t="str">
        <f>IF(17&lt;=nLan,"SD I - 1 nhịp "&amp;17&amp;" làn","")</f>
        <v/>
      </c>
      <c r="B84" s="58" t="str">
        <f>IF($A84="","",'TO HOP'!$C$148+1*(0-'TO HOP'!$Y$53))</f>
        <v/>
      </c>
      <c r="C84" s="58" t="str">
        <f>IF($A84="","",'TO HOP'!$D$148+1*(0-'TO HOP'!$Y$54))</f>
        <v/>
      </c>
      <c r="D84" s="58" t="str">
        <f>IF($A84="","",'TO HOP'!$E$148+1*(INDEX('LANE ENGINE'!$F$6:$F$45,17)-'TO HOP'!$Y$55))</f>
        <v/>
      </c>
      <c r="E84" s="58" t="str">
        <f>IF($A84="","",'TO HOP'!$F$148+1*(INDEX('LANE ENGINE'!$G$6:$G$45,17)-'TO HOP'!$Y$56))</f>
        <v/>
      </c>
      <c r="F84" s="58" t="str">
        <f>IF($A84="","",'TO HOP'!$G$148+1*(INDEX('LANE ENGINE'!$H$6:$H$45,17)-'TO HOP'!$Y$57))</f>
        <v/>
      </c>
      <c r="G84" s="58" t="str">
        <f>IF($A84="","",'TO HOP'!$H$148+1*(0-'TO HOP'!$Y$58))</f>
        <v/>
      </c>
      <c r="H84" s="58" t="str">
        <f>IF($A84="","",'TO HOP'!$I$148+1*(0-'TO HOP'!$Y$59))</f>
        <v/>
      </c>
      <c r="I84" s="58" t="str">
        <f>IF($A84="","",'TO HOP'!$J$148+1*(INDEX('LANE ENGINE'!$F$6:$F$45,17)-'TO HOP'!$Y$60))</f>
        <v/>
      </c>
      <c r="J84" s="58" t="str">
        <f>IF($A84="","",'TO HOP'!$K$148+1*(INDEX('LANE ENGINE'!$G$6:$G$45,17)-'TO HOP'!$Y$61))</f>
        <v/>
      </c>
      <c r="K84" s="58" t="str">
        <f>IF($A84="","",'TO HOP'!$L$148+1*(INDEX('LANE ENGINE'!$H$6:$H$45,17)-'TO HOP'!$Y$62))</f>
        <v/>
      </c>
      <c r="L84" s="42" t="s">
        <v>1536</v>
      </c>
      <c r="M84" s="42">
        <v>17</v>
      </c>
    </row>
    <row r="85" spans="1:13" x14ac:dyDescent="0.3">
      <c r="A85" s="42" t="str">
        <f>IF(18&lt;=nLan,"SD I - 1 nhịp "&amp;18&amp;" làn","")</f>
        <v/>
      </c>
      <c r="B85" s="58" t="str">
        <f>IF($A85="","",'TO HOP'!$C$148+1*(0-'TO HOP'!$Y$53))</f>
        <v/>
      </c>
      <c r="C85" s="58" t="str">
        <f>IF($A85="","",'TO HOP'!$D$148+1*(0-'TO HOP'!$Y$54))</f>
        <v/>
      </c>
      <c r="D85" s="58" t="str">
        <f>IF($A85="","",'TO HOP'!$E$148+1*(INDEX('LANE ENGINE'!$F$6:$F$45,18)-'TO HOP'!$Y$55))</f>
        <v/>
      </c>
      <c r="E85" s="58" t="str">
        <f>IF($A85="","",'TO HOP'!$F$148+1*(INDEX('LANE ENGINE'!$G$6:$G$45,18)-'TO HOP'!$Y$56))</f>
        <v/>
      </c>
      <c r="F85" s="58" t="str">
        <f>IF($A85="","",'TO HOP'!$G$148+1*(INDEX('LANE ENGINE'!$H$6:$H$45,18)-'TO HOP'!$Y$57))</f>
        <v/>
      </c>
      <c r="G85" s="58" t="str">
        <f>IF($A85="","",'TO HOP'!$H$148+1*(0-'TO HOP'!$Y$58))</f>
        <v/>
      </c>
      <c r="H85" s="58" t="str">
        <f>IF($A85="","",'TO HOP'!$I$148+1*(0-'TO HOP'!$Y$59))</f>
        <v/>
      </c>
      <c r="I85" s="58" t="str">
        <f>IF($A85="","",'TO HOP'!$J$148+1*(INDEX('LANE ENGINE'!$F$6:$F$45,18)-'TO HOP'!$Y$60))</f>
        <v/>
      </c>
      <c r="J85" s="58" t="str">
        <f>IF($A85="","",'TO HOP'!$K$148+1*(INDEX('LANE ENGINE'!$G$6:$G$45,18)-'TO HOP'!$Y$61))</f>
        <v/>
      </c>
      <c r="K85" s="58" t="str">
        <f>IF($A85="","",'TO HOP'!$L$148+1*(INDEX('LANE ENGINE'!$H$6:$H$45,18)-'TO HOP'!$Y$62))</f>
        <v/>
      </c>
      <c r="L85" s="42" t="s">
        <v>1536</v>
      </c>
      <c r="M85" s="42">
        <v>18</v>
      </c>
    </row>
    <row r="86" spans="1:13" x14ac:dyDescent="0.3">
      <c r="A86" s="42" t="str">
        <f>IF(19&lt;=nLan,"SD I - 1 nhịp "&amp;19&amp;" làn","")</f>
        <v/>
      </c>
      <c r="B86" s="58" t="str">
        <f>IF($A86="","",'TO HOP'!$C$148+1*(0-'TO HOP'!$Y$53))</f>
        <v/>
      </c>
      <c r="C86" s="58" t="str">
        <f>IF($A86="","",'TO HOP'!$D$148+1*(0-'TO HOP'!$Y$54))</f>
        <v/>
      </c>
      <c r="D86" s="58" t="str">
        <f>IF($A86="","",'TO HOP'!$E$148+1*(INDEX('LANE ENGINE'!$F$6:$F$45,19)-'TO HOP'!$Y$55))</f>
        <v/>
      </c>
      <c r="E86" s="58" t="str">
        <f>IF($A86="","",'TO HOP'!$F$148+1*(INDEX('LANE ENGINE'!$G$6:$G$45,19)-'TO HOP'!$Y$56))</f>
        <v/>
      </c>
      <c r="F86" s="58" t="str">
        <f>IF($A86="","",'TO HOP'!$G$148+1*(INDEX('LANE ENGINE'!$H$6:$H$45,19)-'TO HOP'!$Y$57))</f>
        <v/>
      </c>
      <c r="G86" s="58" t="str">
        <f>IF($A86="","",'TO HOP'!$H$148+1*(0-'TO HOP'!$Y$58))</f>
        <v/>
      </c>
      <c r="H86" s="58" t="str">
        <f>IF($A86="","",'TO HOP'!$I$148+1*(0-'TO HOP'!$Y$59))</f>
        <v/>
      </c>
      <c r="I86" s="58" t="str">
        <f>IF($A86="","",'TO HOP'!$J$148+1*(INDEX('LANE ENGINE'!$F$6:$F$45,19)-'TO HOP'!$Y$60))</f>
        <v/>
      </c>
      <c r="J86" s="58" t="str">
        <f>IF($A86="","",'TO HOP'!$K$148+1*(INDEX('LANE ENGINE'!$G$6:$G$45,19)-'TO HOP'!$Y$61))</f>
        <v/>
      </c>
      <c r="K86" s="58" t="str">
        <f>IF($A86="","",'TO HOP'!$L$148+1*(INDEX('LANE ENGINE'!$H$6:$H$45,19)-'TO HOP'!$Y$62))</f>
        <v/>
      </c>
      <c r="L86" s="42" t="s">
        <v>1536</v>
      </c>
      <c r="M86" s="42">
        <v>19</v>
      </c>
    </row>
    <row r="87" spans="1:13" x14ac:dyDescent="0.3">
      <c r="A87" s="42" t="str">
        <f>IF(20&lt;=nLan,"SD I - 1 nhịp "&amp;20&amp;" làn","")</f>
        <v/>
      </c>
      <c r="B87" s="58" t="str">
        <f>IF($A87="","",'TO HOP'!$C$148+1*(0-'TO HOP'!$Y$53))</f>
        <v/>
      </c>
      <c r="C87" s="58" t="str">
        <f>IF($A87="","",'TO HOP'!$D$148+1*(0-'TO HOP'!$Y$54))</f>
        <v/>
      </c>
      <c r="D87" s="58" t="str">
        <f>IF($A87="","",'TO HOP'!$E$148+1*(INDEX('LANE ENGINE'!$F$6:$F$45,20)-'TO HOP'!$Y$55))</f>
        <v/>
      </c>
      <c r="E87" s="58" t="str">
        <f>IF($A87="","",'TO HOP'!$F$148+1*(INDEX('LANE ENGINE'!$G$6:$G$45,20)-'TO HOP'!$Y$56))</f>
        <v/>
      </c>
      <c r="F87" s="58" t="str">
        <f>IF($A87="","",'TO HOP'!$G$148+1*(INDEX('LANE ENGINE'!$H$6:$H$45,20)-'TO HOP'!$Y$57))</f>
        <v/>
      </c>
      <c r="G87" s="58" t="str">
        <f>IF($A87="","",'TO HOP'!$H$148+1*(0-'TO HOP'!$Y$58))</f>
        <v/>
      </c>
      <c r="H87" s="58" t="str">
        <f>IF($A87="","",'TO HOP'!$I$148+1*(0-'TO HOP'!$Y$59))</f>
        <v/>
      </c>
      <c r="I87" s="58" t="str">
        <f>IF($A87="","",'TO HOP'!$J$148+1*(INDEX('LANE ENGINE'!$F$6:$F$45,20)-'TO HOP'!$Y$60))</f>
        <v/>
      </c>
      <c r="J87" s="58" t="str">
        <f>IF($A87="","",'TO HOP'!$K$148+1*(INDEX('LANE ENGINE'!$G$6:$G$45,20)-'TO HOP'!$Y$61))</f>
        <v/>
      </c>
      <c r="K87" s="58" t="str">
        <f>IF($A87="","",'TO HOP'!$L$148+1*(INDEX('LANE ENGINE'!$H$6:$H$45,20)-'TO HOP'!$Y$62))</f>
        <v/>
      </c>
      <c r="L87" s="42" t="s">
        <v>1536</v>
      </c>
      <c r="M87" s="42">
        <v>20</v>
      </c>
    </row>
    <row r="88" spans="1:13" x14ac:dyDescent="0.3">
      <c r="A88" s="42" t="str">
        <f>IF(21&lt;=nLan,"SD I - 1 nhịp "&amp;21&amp;" làn","")</f>
        <v/>
      </c>
      <c r="B88" s="58" t="str">
        <f>IF($A88="","",'TO HOP'!$C$148+1*(0-'TO HOP'!$Y$53))</f>
        <v/>
      </c>
      <c r="C88" s="58" t="str">
        <f>IF($A88="","",'TO HOP'!$D$148+1*(0-'TO HOP'!$Y$54))</f>
        <v/>
      </c>
      <c r="D88" s="58" t="str">
        <f>IF($A88="","",'TO HOP'!$E$148+1*(INDEX('LANE ENGINE'!$F$6:$F$45,21)-'TO HOP'!$Y$55))</f>
        <v/>
      </c>
      <c r="E88" s="58" t="str">
        <f>IF($A88="","",'TO HOP'!$F$148+1*(INDEX('LANE ENGINE'!$G$6:$G$45,21)-'TO HOP'!$Y$56))</f>
        <v/>
      </c>
      <c r="F88" s="58" t="str">
        <f>IF($A88="","",'TO HOP'!$G$148+1*(INDEX('LANE ENGINE'!$H$6:$H$45,21)-'TO HOP'!$Y$57))</f>
        <v/>
      </c>
      <c r="G88" s="58" t="str">
        <f>IF($A88="","",'TO HOP'!$H$148+1*(0-'TO HOP'!$Y$58))</f>
        <v/>
      </c>
      <c r="H88" s="58" t="str">
        <f>IF($A88="","",'TO HOP'!$I$148+1*(0-'TO HOP'!$Y$59))</f>
        <v/>
      </c>
      <c r="I88" s="58" t="str">
        <f>IF($A88="","",'TO HOP'!$J$148+1*(INDEX('LANE ENGINE'!$F$6:$F$45,21)-'TO HOP'!$Y$60))</f>
        <v/>
      </c>
      <c r="J88" s="58" t="str">
        <f>IF($A88="","",'TO HOP'!$K$148+1*(INDEX('LANE ENGINE'!$G$6:$G$45,21)-'TO HOP'!$Y$61))</f>
        <v/>
      </c>
      <c r="K88" s="58" t="str">
        <f>IF($A88="","",'TO HOP'!$L$148+1*(INDEX('LANE ENGINE'!$H$6:$H$45,21)-'TO HOP'!$Y$62))</f>
        <v/>
      </c>
      <c r="L88" s="42" t="s">
        <v>1536</v>
      </c>
      <c r="M88" s="42">
        <v>21</v>
      </c>
    </row>
    <row r="89" spans="1:13" x14ac:dyDescent="0.3">
      <c r="A89" s="42" t="str">
        <f>IF(22&lt;=nLan,"SD I - 1 nhịp "&amp;22&amp;" làn","")</f>
        <v/>
      </c>
      <c r="B89" s="58" t="str">
        <f>IF($A89="","",'TO HOP'!$C$148+1*(0-'TO HOP'!$Y$53))</f>
        <v/>
      </c>
      <c r="C89" s="58" t="str">
        <f>IF($A89="","",'TO HOP'!$D$148+1*(0-'TO HOP'!$Y$54))</f>
        <v/>
      </c>
      <c r="D89" s="58" t="str">
        <f>IF($A89="","",'TO HOP'!$E$148+1*(INDEX('LANE ENGINE'!$F$6:$F$45,22)-'TO HOP'!$Y$55))</f>
        <v/>
      </c>
      <c r="E89" s="58" t="str">
        <f>IF($A89="","",'TO HOP'!$F$148+1*(INDEX('LANE ENGINE'!$G$6:$G$45,22)-'TO HOP'!$Y$56))</f>
        <v/>
      </c>
      <c r="F89" s="58" t="str">
        <f>IF($A89="","",'TO HOP'!$G$148+1*(INDEX('LANE ENGINE'!$H$6:$H$45,22)-'TO HOP'!$Y$57))</f>
        <v/>
      </c>
      <c r="G89" s="58" t="str">
        <f>IF($A89="","",'TO HOP'!$H$148+1*(0-'TO HOP'!$Y$58))</f>
        <v/>
      </c>
      <c r="H89" s="58" t="str">
        <f>IF($A89="","",'TO HOP'!$I$148+1*(0-'TO HOP'!$Y$59))</f>
        <v/>
      </c>
      <c r="I89" s="58" t="str">
        <f>IF($A89="","",'TO HOP'!$J$148+1*(INDEX('LANE ENGINE'!$F$6:$F$45,22)-'TO HOP'!$Y$60))</f>
        <v/>
      </c>
      <c r="J89" s="58" t="str">
        <f>IF($A89="","",'TO HOP'!$K$148+1*(INDEX('LANE ENGINE'!$G$6:$G$45,22)-'TO HOP'!$Y$61))</f>
        <v/>
      </c>
      <c r="K89" s="58" t="str">
        <f>IF($A89="","",'TO HOP'!$L$148+1*(INDEX('LANE ENGINE'!$H$6:$H$45,22)-'TO HOP'!$Y$62))</f>
        <v/>
      </c>
      <c r="L89" s="42" t="s">
        <v>1536</v>
      </c>
      <c r="M89" s="42">
        <v>22</v>
      </c>
    </row>
    <row r="90" spans="1:13" x14ac:dyDescent="0.3">
      <c r="A90" s="42" t="str">
        <f>IF(23&lt;=nLan,"SD I - 1 nhịp "&amp;23&amp;" làn","")</f>
        <v/>
      </c>
      <c r="B90" s="58" t="str">
        <f>IF($A90="","",'TO HOP'!$C$148+1*(0-'TO HOP'!$Y$53))</f>
        <v/>
      </c>
      <c r="C90" s="58" t="str">
        <f>IF($A90="","",'TO HOP'!$D$148+1*(0-'TO HOP'!$Y$54))</f>
        <v/>
      </c>
      <c r="D90" s="58" t="str">
        <f>IF($A90="","",'TO HOP'!$E$148+1*(INDEX('LANE ENGINE'!$F$6:$F$45,23)-'TO HOP'!$Y$55))</f>
        <v/>
      </c>
      <c r="E90" s="58" t="str">
        <f>IF($A90="","",'TO HOP'!$F$148+1*(INDEX('LANE ENGINE'!$G$6:$G$45,23)-'TO HOP'!$Y$56))</f>
        <v/>
      </c>
      <c r="F90" s="58" t="str">
        <f>IF($A90="","",'TO HOP'!$G$148+1*(INDEX('LANE ENGINE'!$H$6:$H$45,23)-'TO HOP'!$Y$57))</f>
        <v/>
      </c>
      <c r="G90" s="58" t="str">
        <f>IF($A90="","",'TO HOP'!$H$148+1*(0-'TO HOP'!$Y$58))</f>
        <v/>
      </c>
      <c r="H90" s="58" t="str">
        <f>IF($A90="","",'TO HOP'!$I$148+1*(0-'TO HOP'!$Y$59))</f>
        <v/>
      </c>
      <c r="I90" s="58" t="str">
        <f>IF($A90="","",'TO HOP'!$J$148+1*(INDEX('LANE ENGINE'!$F$6:$F$45,23)-'TO HOP'!$Y$60))</f>
        <v/>
      </c>
      <c r="J90" s="58" t="str">
        <f>IF($A90="","",'TO HOP'!$K$148+1*(INDEX('LANE ENGINE'!$G$6:$G$45,23)-'TO HOP'!$Y$61))</f>
        <v/>
      </c>
      <c r="K90" s="58" t="str">
        <f>IF($A90="","",'TO HOP'!$L$148+1*(INDEX('LANE ENGINE'!$H$6:$H$45,23)-'TO HOP'!$Y$62))</f>
        <v/>
      </c>
      <c r="L90" s="42" t="s">
        <v>1536</v>
      </c>
      <c r="M90" s="42">
        <v>23</v>
      </c>
    </row>
    <row r="91" spans="1:13" x14ac:dyDescent="0.3">
      <c r="A91" s="42" t="str">
        <f>IF(24&lt;=nLan,"SD I - 1 nhịp "&amp;24&amp;" làn","")</f>
        <v/>
      </c>
      <c r="B91" s="58" t="str">
        <f>IF($A91="","",'TO HOP'!$C$148+1*(0-'TO HOP'!$Y$53))</f>
        <v/>
      </c>
      <c r="C91" s="58" t="str">
        <f>IF($A91="","",'TO HOP'!$D$148+1*(0-'TO HOP'!$Y$54))</f>
        <v/>
      </c>
      <c r="D91" s="58" t="str">
        <f>IF($A91="","",'TO HOP'!$E$148+1*(INDEX('LANE ENGINE'!$F$6:$F$45,24)-'TO HOP'!$Y$55))</f>
        <v/>
      </c>
      <c r="E91" s="58" t="str">
        <f>IF($A91="","",'TO HOP'!$F$148+1*(INDEX('LANE ENGINE'!$G$6:$G$45,24)-'TO HOP'!$Y$56))</f>
        <v/>
      </c>
      <c r="F91" s="58" t="str">
        <f>IF($A91="","",'TO HOP'!$G$148+1*(INDEX('LANE ENGINE'!$H$6:$H$45,24)-'TO HOP'!$Y$57))</f>
        <v/>
      </c>
      <c r="G91" s="58" t="str">
        <f>IF($A91="","",'TO HOP'!$H$148+1*(0-'TO HOP'!$Y$58))</f>
        <v/>
      </c>
      <c r="H91" s="58" t="str">
        <f>IF($A91="","",'TO HOP'!$I$148+1*(0-'TO HOP'!$Y$59))</f>
        <v/>
      </c>
      <c r="I91" s="58" t="str">
        <f>IF($A91="","",'TO HOP'!$J$148+1*(INDEX('LANE ENGINE'!$F$6:$F$45,24)-'TO HOP'!$Y$60))</f>
        <v/>
      </c>
      <c r="J91" s="58" t="str">
        <f>IF($A91="","",'TO HOP'!$K$148+1*(INDEX('LANE ENGINE'!$G$6:$G$45,24)-'TO HOP'!$Y$61))</f>
        <v/>
      </c>
      <c r="K91" s="58" t="str">
        <f>IF($A91="","",'TO HOP'!$L$148+1*(INDEX('LANE ENGINE'!$H$6:$H$45,24)-'TO HOP'!$Y$62))</f>
        <v/>
      </c>
      <c r="L91" s="42" t="s">
        <v>1536</v>
      </c>
      <c r="M91" s="42">
        <v>24</v>
      </c>
    </row>
    <row r="92" spans="1:13" x14ac:dyDescent="0.3">
      <c r="A92" s="42" t="str">
        <f>IF(25&lt;=nLan,"SD I - 1 nhịp "&amp;25&amp;" làn","")</f>
        <v/>
      </c>
      <c r="B92" s="58" t="str">
        <f>IF($A92="","",'TO HOP'!$C$148+1*(0-'TO HOP'!$Y$53))</f>
        <v/>
      </c>
      <c r="C92" s="58" t="str">
        <f>IF($A92="","",'TO HOP'!$D$148+1*(0-'TO HOP'!$Y$54))</f>
        <v/>
      </c>
      <c r="D92" s="58" t="str">
        <f>IF($A92="","",'TO HOP'!$E$148+1*(INDEX('LANE ENGINE'!$F$6:$F$45,25)-'TO HOP'!$Y$55))</f>
        <v/>
      </c>
      <c r="E92" s="58" t="str">
        <f>IF($A92="","",'TO HOP'!$F$148+1*(INDEX('LANE ENGINE'!$G$6:$G$45,25)-'TO HOP'!$Y$56))</f>
        <v/>
      </c>
      <c r="F92" s="58" t="str">
        <f>IF($A92="","",'TO HOP'!$G$148+1*(INDEX('LANE ENGINE'!$H$6:$H$45,25)-'TO HOP'!$Y$57))</f>
        <v/>
      </c>
      <c r="G92" s="58" t="str">
        <f>IF($A92="","",'TO HOP'!$H$148+1*(0-'TO HOP'!$Y$58))</f>
        <v/>
      </c>
      <c r="H92" s="58" t="str">
        <f>IF($A92="","",'TO HOP'!$I$148+1*(0-'TO HOP'!$Y$59))</f>
        <v/>
      </c>
      <c r="I92" s="58" t="str">
        <f>IF($A92="","",'TO HOP'!$J$148+1*(INDEX('LANE ENGINE'!$F$6:$F$45,25)-'TO HOP'!$Y$60))</f>
        <v/>
      </c>
      <c r="J92" s="58" t="str">
        <f>IF($A92="","",'TO HOP'!$K$148+1*(INDEX('LANE ENGINE'!$G$6:$G$45,25)-'TO HOP'!$Y$61))</f>
        <v/>
      </c>
      <c r="K92" s="58" t="str">
        <f>IF($A92="","",'TO HOP'!$L$148+1*(INDEX('LANE ENGINE'!$H$6:$H$45,25)-'TO HOP'!$Y$62))</f>
        <v/>
      </c>
      <c r="L92" s="42" t="s">
        <v>1536</v>
      </c>
      <c r="M92" s="42">
        <v>25</v>
      </c>
    </row>
    <row r="93" spans="1:13" x14ac:dyDescent="0.3">
      <c r="A93" s="42" t="str">
        <f>IF(26&lt;=nLan,"SD I - 1 nhịp "&amp;26&amp;" làn","")</f>
        <v/>
      </c>
      <c r="B93" s="58" t="str">
        <f>IF($A93="","",'TO HOP'!$C$148+1*(0-'TO HOP'!$Y$53))</f>
        <v/>
      </c>
      <c r="C93" s="58" t="str">
        <f>IF($A93="","",'TO HOP'!$D$148+1*(0-'TO HOP'!$Y$54))</f>
        <v/>
      </c>
      <c r="D93" s="58" t="str">
        <f>IF($A93="","",'TO HOP'!$E$148+1*(INDEX('LANE ENGINE'!$F$6:$F$45,26)-'TO HOP'!$Y$55))</f>
        <v/>
      </c>
      <c r="E93" s="58" t="str">
        <f>IF($A93="","",'TO HOP'!$F$148+1*(INDEX('LANE ENGINE'!$G$6:$G$45,26)-'TO HOP'!$Y$56))</f>
        <v/>
      </c>
      <c r="F93" s="58" t="str">
        <f>IF($A93="","",'TO HOP'!$G$148+1*(INDEX('LANE ENGINE'!$H$6:$H$45,26)-'TO HOP'!$Y$57))</f>
        <v/>
      </c>
      <c r="G93" s="58" t="str">
        <f>IF($A93="","",'TO HOP'!$H$148+1*(0-'TO HOP'!$Y$58))</f>
        <v/>
      </c>
      <c r="H93" s="58" t="str">
        <f>IF($A93="","",'TO HOP'!$I$148+1*(0-'TO HOP'!$Y$59))</f>
        <v/>
      </c>
      <c r="I93" s="58" t="str">
        <f>IF($A93="","",'TO HOP'!$J$148+1*(INDEX('LANE ENGINE'!$F$6:$F$45,26)-'TO HOP'!$Y$60))</f>
        <v/>
      </c>
      <c r="J93" s="58" t="str">
        <f>IF($A93="","",'TO HOP'!$K$148+1*(INDEX('LANE ENGINE'!$G$6:$G$45,26)-'TO HOP'!$Y$61))</f>
        <v/>
      </c>
      <c r="K93" s="58" t="str">
        <f>IF($A93="","",'TO HOP'!$L$148+1*(INDEX('LANE ENGINE'!$H$6:$H$45,26)-'TO HOP'!$Y$62))</f>
        <v/>
      </c>
      <c r="L93" s="42" t="s">
        <v>1536</v>
      </c>
      <c r="M93" s="42">
        <v>26</v>
      </c>
    </row>
    <row r="94" spans="1:13" x14ac:dyDescent="0.3">
      <c r="A94" s="42" t="str">
        <f>IF(27&lt;=nLan,"SD I - 1 nhịp "&amp;27&amp;" làn","")</f>
        <v/>
      </c>
      <c r="B94" s="58" t="str">
        <f>IF($A94="","",'TO HOP'!$C$148+1*(0-'TO HOP'!$Y$53))</f>
        <v/>
      </c>
      <c r="C94" s="58" t="str">
        <f>IF($A94="","",'TO HOP'!$D$148+1*(0-'TO HOP'!$Y$54))</f>
        <v/>
      </c>
      <c r="D94" s="58" t="str">
        <f>IF($A94="","",'TO HOP'!$E$148+1*(INDEX('LANE ENGINE'!$F$6:$F$45,27)-'TO HOP'!$Y$55))</f>
        <v/>
      </c>
      <c r="E94" s="58" t="str">
        <f>IF($A94="","",'TO HOP'!$F$148+1*(INDEX('LANE ENGINE'!$G$6:$G$45,27)-'TO HOP'!$Y$56))</f>
        <v/>
      </c>
      <c r="F94" s="58" t="str">
        <f>IF($A94="","",'TO HOP'!$G$148+1*(INDEX('LANE ENGINE'!$H$6:$H$45,27)-'TO HOP'!$Y$57))</f>
        <v/>
      </c>
      <c r="G94" s="58" t="str">
        <f>IF($A94="","",'TO HOP'!$H$148+1*(0-'TO HOP'!$Y$58))</f>
        <v/>
      </c>
      <c r="H94" s="58" t="str">
        <f>IF($A94="","",'TO HOP'!$I$148+1*(0-'TO HOP'!$Y$59))</f>
        <v/>
      </c>
      <c r="I94" s="58" t="str">
        <f>IF($A94="","",'TO HOP'!$J$148+1*(INDEX('LANE ENGINE'!$F$6:$F$45,27)-'TO HOP'!$Y$60))</f>
        <v/>
      </c>
      <c r="J94" s="58" t="str">
        <f>IF($A94="","",'TO HOP'!$K$148+1*(INDEX('LANE ENGINE'!$G$6:$G$45,27)-'TO HOP'!$Y$61))</f>
        <v/>
      </c>
      <c r="K94" s="58" t="str">
        <f>IF($A94="","",'TO HOP'!$L$148+1*(INDEX('LANE ENGINE'!$H$6:$H$45,27)-'TO HOP'!$Y$62))</f>
        <v/>
      </c>
      <c r="L94" s="42" t="s">
        <v>1536</v>
      </c>
      <c r="M94" s="42">
        <v>27</v>
      </c>
    </row>
    <row r="95" spans="1:13" x14ac:dyDescent="0.3">
      <c r="A95" s="42" t="str">
        <f>IF(28&lt;=nLan,"SD I - 1 nhịp "&amp;28&amp;" làn","")</f>
        <v/>
      </c>
      <c r="B95" s="58" t="str">
        <f>IF($A95="","",'TO HOP'!$C$148+1*(0-'TO HOP'!$Y$53))</f>
        <v/>
      </c>
      <c r="C95" s="58" t="str">
        <f>IF($A95="","",'TO HOP'!$D$148+1*(0-'TO HOP'!$Y$54))</f>
        <v/>
      </c>
      <c r="D95" s="58" t="str">
        <f>IF($A95="","",'TO HOP'!$E$148+1*(INDEX('LANE ENGINE'!$F$6:$F$45,28)-'TO HOP'!$Y$55))</f>
        <v/>
      </c>
      <c r="E95" s="58" t="str">
        <f>IF($A95="","",'TO HOP'!$F$148+1*(INDEX('LANE ENGINE'!$G$6:$G$45,28)-'TO HOP'!$Y$56))</f>
        <v/>
      </c>
      <c r="F95" s="58" t="str">
        <f>IF($A95="","",'TO HOP'!$G$148+1*(INDEX('LANE ENGINE'!$H$6:$H$45,28)-'TO HOP'!$Y$57))</f>
        <v/>
      </c>
      <c r="G95" s="58" t="str">
        <f>IF($A95="","",'TO HOP'!$H$148+1*(0-'TO HOP'!$Y$58))</f>
        <v/>
      </c>
      <c r="H95" s="58" t="str">
        <f>IF($A95="","",'TO HOP'!$I$148+1*(0-'TO HOP'!$Y$59))</f>
        <v/>
      </c>
      <c r="I95" s="58" t="str">
        <f>IF($A95="","",'TO HOP'!$J$148+1*(INDEX('LANE ENGINE'!$F$6:$F$45,28)-'TO HOP'!$Y$60))</f>
        <v/>
      </c>
      <c r="J95" s="58" t="str">
        <f>IF($A95="","",'TO HOP'!$K$148+1*(INDEX('LANE ENGINE'!$G$6:$G$45,28)-'TO HOP'!$Y$61))</f>
        <v/>
      </c>
      <c r="K95" s="58" t="str">
        <f>IF($A95="","",'TO HOP'!$L$148+1*(INDEX('LANE ENGINE'!$H$6:$H$45,28)-'TO HOP'!$Y$62))</f>
        <v/>
      </c>
      <c r="L95" s="42" t="s">
        <v>1536</v>
      </c>
      <c r="M95" s="42">
        <v>28</v>
      </c>
    </row>
    <row r="96" spans="1:13" x14ac:dyDescent="0.3">
      <c r="A96" s="42" t="str">
        <f>IF(29&lt;=nLan,"SD I - 1 nhịp "&amp;29&amp;" làn","")</f>
        <v/>
      </c>
      <c r="B96" s="58" t="str">
        <f>IF($A96="","",'TO HOP'!$C$148+1*(0-'TO HOP'!$Y$53))</f>
        <v/>
      </c>
      <c r="C96" s="58" t="str">
        <f>IF($A96="","",'TO HOP'!$D$148+1*(0-'TO HOP'!$Y$54))</f>
        <v/>
      </c>
      <c r="D96" s="58" t="str">
        <f>IF($A96="","",'TO HOP'!$E$148+1*(INDEX('LANE ENGINE'!$F$6:$F$45,29)-'TO HOP'!$Y$55))</f>
        <v/>
      </c>
      <c r="E96" s="58" t="str">
        <f>IF($A96="","",'TO HOP'!$F$148+1*(INDEX('LANE ENGINE'!$G$6:$G$45,29)-'TO HOP'!$Y$56))</f>
        <v/>
      </c>
      <c r="F96" s="58" t="str">
        <f>IF($A96="","",'TO HOP'!$G$148+1*(INDEX('LANE ENGINE'!$H$6:$H$45,29)-'TO HOP'!$Y$57))</f>
        <v/>
      </c>
      <c r="G96" s="58" t="str">
        <f>IF($A96="","",'TO HOP'!$H$148+1*(0-'TO HOP'!$Y$58))</f>
        <v/>
      </c>
      <c r="H96" s="58" t="str">
        <f>IF($A96="","",'TO HOP'!$I$148+1*(0-'TO HOP'!$Y$59))</f>
        <v/>
      </c>
      <c r="I96" s="58" t="str">
        <f>IF($A96="","",'TO HOP'!$J$148+1*(INDEX('LANE ENGINE'!$F$6:$F$45,29)-'TO HOP'!$Y$60))</f>
        <v/>
      </c>
      <c r="J96" s="58" t="str">
        <f>IF($A96="","",'TO HOP'!$K$148+1*(INDEX('LANE ENGINE'!$G$6:$G$45,29)-'TO HOP'!$Y$61))</f>
        <v/>
      </c>
      <c r="K96" s="58" t="str">
        <f>IF($A96="","",'TO HOP'!$L$148+1*(INDEX('LANE ENGINE'!$H$6:$H$45,29)-'TO HOP'!$Y$62))</f>
        <v/>
      </c>
      <c r="L96" s="42" t="s">
        <v>1536</v>
      </c>
      <c r="M96" s="42">
        <v>29</v>
      </c>
    </row>
    <row r="97" spans="1:13" x14ac:dyDescent="0.3">
      <c r="A97" s="42" t="str">
        <f>IF(30&lt;=nLan,"SD I - 1 nhịp "&amp;30&amp;" làn","")</f>
        <v/>
      </c>
      <c r="B97" s="58" t="str">
        <f>IF($A97="","",'TO HOP'!$C$148+1*(0-'TO HOP'!$Y$53))</f>
        <v/>
      </c>
      <c r="C97" s="58" t="str">
        <f>IF($A97="","",'TO HOP'!$D$148+1*(0-'TO HOP'!$Y$54))</f>
        <v/>
      </c>
      <c r="D97" s="58" t="str">
        <f>IF($A97="","",'TO HOP'!$E$148+1*(INDEX('LANE ENGINE'!$F$6:$F$45,30)-'TO HOP'!$Y$55))</f>
        <v/>
      </c>
      <c r="E97" s="58" t="str">
        <f>IF($A97="","",'TO HOP'!$F$148+1*(INDEX('LANE ENGINE'!$G$6:$G$45,30)-'TO HOP'!$Y$56))</f>
        <v/>
      </c>
      <c r="F97" s="58" t="str">
        <f>IF($A97="","",'TO HOP'!$G$148+1*(INDEX('LANE ENGINE'!$H$6:$H$45,30)-'TO HOP'!$Y$57))</f>
        <v/>
      </c>
      <c r="G97" s="58" t="str">
        <f>IF($A97="","",'TO HOP'!$H$148+1*(0-'TO HOP'!$Y$58))</f>
        <v/>
      </c>
      <c r="H97" s="58" t="str">
        <f>IF($A97="","",'TO HOP'!$I$148+1*(0-'TO HOP'!$Y$59))</f>
        <v/>
      </c>
      <c r="I97" s="58" t="str">
        <f>IF($A97="","",'TO HOP'!$J$148+1*(INDEX('LANE ENGINE'!$F$6:$F$45,30)-'TO HOP'!$Y$60))</f>
        <v/>
      </c>
      <c r="J97" s="58" t="str">
        <f>IF($A97="","",'TO HOP'!$K$148+1*(INDEX('LANE ENGINE'!$G$6:$G$45,30)-'TO HOP'!$Y$61))</f>
        <v/>
      </c>
      <c r="K97" s="58" t="str">
        <f>IF($A97="","",'TO HOP'!$L$148+1*(INDEX('LANE ENGINE'!$H$6:$H$45,30)-'TO HOP'!$Y$62))</f>
        <v/>
      </c>
      <c r="L97" s="42" t="s">
        <v>1536</v>
      </c>
      <c r="M97" s="42">
        <v>30</v>
      </c>
    </row>
    <row r="98" spans="1:13" x14ac:dyDescent="0.3">
      <c r="A98" s="42" t="str">
        <f>IF(31&lt;=nLan,"SD I - 1 nhịp "&amp;31&amp;" làn","")</f>
        <v/>
      </c>
      <c r="B98" s="58" t="str">
        <f>IF($A98="","",'TO HOP'!$C$148+1*(0-'TO HOP'!$Y$53))</f>
        <v/>
      </c>
      <c r="C98" s="58" t="str">
        <f>IF($A98="","",'TO HOP'!$D$148+1*(0-'TO HOP'!$Y$54))</f>
        <v/>
      </c>
      <c r="D98" s="58" t="str">
        <f>IF($A98="","",'TO HOP'!$E$148+1*(INDEX('LANE ENGINE'!$F$6:$F$45,31)-'TO HOP'!$Y$55))</f>
        <v/>
      </c>
      <c r="E98" s="58" t="str">
        <f>IF($A98="","",'TO HOP'!$F$148+1*(INDEX('LANE ENGINE'!$G$6:$G$45,31)-'TO HOP'!$Y$56))</f>
        <v/>
      </c>
      <c r="F98" s="58" t="str">
        <f>IF($A98="","",'TO HOP'!$G$148+1*(INDEX('LANE ENGINE'!$H$6:$H$45,31)-'TO HOP'!$Y$57))</f>
        <v/>
      </c>
      <c r="G98" s="58" t="str">
        <f>IF($A98="","",'TO HOP'!$H$148+1*(0-'TO HOP'!$Y$58))</f>
        <v/>
      </c>
      <c r="H98" s="58" t="str">
        <f>IF($A98="","",'TO HOP'!$I$148+1*(0-'TO HOP'!$Y$59))</f>
        <v/>
      </c>
      <c r="I98" s="58" t="str">
        <f>IF($A98="","",'TO HOP'!$J$148+1*(INDEX('LANE ENGINE'!$F$6:$F$45,31)-'TO HOP'!$Y$60))</f>
        <v/>
      </c>
      <c r="J98" s="58" t="str">
        <f>IF($A98="","",'TO HOP'!$K$148+1*(INDEX('LANE ENGINE'!$G$6:$G$45,31)-'TO HOP'!$Y$61))</f>
        <v/>
      </c>
      <c r="K98" s="58" t="str">
        <f>IF($A98="","",'TO HOP'!$L$148+1*(INDEX('LANE ENGINE'!$H$6:$H$45,31)-'TO HOP'!$Y$62))</f>
        <v/>
      </c>
      <c r="L98" s="42" t="s">
        <v>1536</v>
      </c>
      <c r="M98" s="42">
        <v>31</v>
      </c>
    </row>
    <row r="99" spans="1:13" x14ac:dyDescent="0.3">
      <c r="A99" s="42" t="str">
        <f>IF(32&lt;=nLan,"SD I - 1 nhịp "&amp;32&amp;" làn","")</f>
        <v/>
      </c>
      <c r="B99" s="58" t="str">
        <f>IF($A99="","",'TO HOP'!$C$148+1*(0-'TO HOP'!$Y$53))</f>
        <v/>
      </c>
      <c r="C99" s="58" t="str">
        <f>IF($A99="","",'TO HOP'!$D$148+1*(0-'TO HOP'!$Y$54))</f>
        <v/>
      </c>
      <c r="D99" s="58" t="str">
        <f>IF($A99="","",'TO HOP'!$E$148+1*(INDEX('LANE ENGINE'!$F$6:$F$45,32)-'TO HOP'!$Y$55))</f>
        <v/>
      </c>
      <c r="E99" s="58" t="str">
        <f>IF($A99="","",'TO HOP'!$F$148+1*(INDEX('LANE ENGINE'!$G$6:$G$45,32)-'TO HOP'!$Y$56))</f>
        <v/>
      </c>
      <c r="F99" s="58" t="str">
        <f>IF($A99="","",'TO HOP'!$G$148+1*(INDEX('LANE ENGINE'!$H$6:$H$45,32)-'TO HOP'!$Y$57))</f>
        <v/>
      </c>
      <c r="G99" s="58" t="str">
        <f>IF($A99="","",'TO HOP'!$H$148+1*(0-'TO HOP'!$Y$58))</f>
        <v/>
      </c>
      <c r="H99" s="58" t="str">
        <f>IF($A99="","",'TO HOP'!$I$148+1*(0-'TO HOP'!$Y$59))</f>
        <v/>
      </c>
      <c r="I99" s="58" t="str">
        <f>IF($A99="","",'TO HOP'!$J$148+1*(INDEX('LANE ENGINE'!$F$6:$F$45,32)-'TO HOP'!$Y$60))</f>
        <v/>
      </c>
      <c r="J99" s="58" t="str">
        <f>IF($A99="","",'TO HOP'!$K$148+1*(INDEX('LANE ENGINE'!$G$6:$G$45,32)-'TO HOP'!$Y$61))</f>
        <v/>
      </c>
      <c r="K99" s="58" t="str">
        <f>IF($A99="","",'TO HOP'!$L$148+1*(INDEX('LANE ENGINE'!$H$6:$H$45,32)-'TO HOP'!$Y$62))</f>
        <v/>
      </c>
      <c r="L99" s="42" t="s">
        <v>1536</v>
      </c>
      <c r="M99" s="42">
        <v>32</v>
      </c>
    </row>
    <row r="100" spans="1:13" x14ac:dyDescent="0.3">
      <c r="A100" s="42" t="str">
        <f>IF(33&lt;=nLan,"SD I - 1 nhịp "&amp;33&amp;" làn","")</f>
        <v/>
      </c>
      <c r="B100" s="58" t="str">
        <f>IF($A100="","",'TO HOP'!$C$148+1*(0-'TO HOP'!$Y$53))</f>
        <v/>
      </c>
      <c r="C100" s="58" t="str">
        <f>IF($A100="","",'TO HOP'!$D$148+1*(0-'TO HOP'!$Y$54))</f>
        <v/>
      </c>
      <c r="D100" s="58" t="str">
        <f>IF($A100="","",'TO HOP'!$E$148+1*(INDEX('LANE ENGINE'!$F$6:$F$45,33)-'TO HOP'!$Y$55))</f>
        <v/>
      </c>
      <c r="E100" s="58" t="str">
        <f>IF($A100="","",'TO HOP'!$F$148+1*(INDEX('LANE ENGINE'!$G$6:$G$45,33)-'TO HOP'!$Y$56))</f>
        <v/>
      </c>
      <c r="F100" s="58" t="str">
        <f>IF($A100="","",'TO HOP'!$G$148+1*(INDEX('LANE ENGINE'!$H$6:$H$45,33)-'TO HOP'!$Y$57))</f>
        <v/>
      </c>
      <c r="G100" s="58" t="str">
        <f>IF($A100="","",'TO HOP'!$H$148+1*(0-'TO HOP'!$Y$58))</f>
        <v/>
      </c>
      <c r="H100" s="58" t="str">
        <f>IF($A100="","",'TO HOP'!$I$148+1*(0-'TO HOP'!$Y$59))</f>
        <v/>
      </c>
      <c r="I100" s="58" t="str">
        <f>IF($A100="","",'TO HOP'!$J$148+1*(INDEX('LANE ENGINE'!$F$6:$F$45,33)-'TO HOP'!$Y$60))</f>
        <v/>
      </c>
      <c r="J100" s="58" t="str">
        <f>IF($A100="","",'TO HOP'!$K$148+1*(INDEX('LANE ENGINE'!$G$6:$G$45,33)-'TO HOP'!$Y$61))</f>
        <v/>
      </c>
      <c r="K100" s="58" t="str">
        <f>IF($A100="","",'TO HOP'!$L$148+1*(INDEX('LANE ENGINE'!$H$6:$H$45,33)-'TO HOP'!$Y$62))</f>
        <v/>
      </c>
      <c r="L100" s="42" t="s">
        <v>1536</v>
      </c>
      <c r="M100" s="42">
        <v>33</v>
      </c>
    </row>
    <row r="101" spans="1:13" x14ac:dyDescent="0.3">
      <c r="A101" s="42" t="str">
        <f>IF(34&lt;=nLan,"SD I - 1 nhịp "&amp;34&amp;" làn","")</f>
        <v/>
      </c>
      <c r="B101" s="58" t="str">
        <f>IF($A101="","",'TO HOP'!$C$148+1*(0-'TO HOP'!$Y$53))</f>
        <v/>
      </c>
      <c r="C101" s="58" t="str">
        <f>IF($A101="","",'TO HOP'!$D$148+1*(0-'TO HOP'!$Y$54))</f>
        <v/>
      </c>
      <c r="D101" s="58" t="str">
        <f>IF($A101="","",'TO HOP'!$E$148+1*(INDEX('LANE ENGINE'!$F$6:$F$45,34)-'TO HOP'!$Y$55))</f>
        <v/>
      </c>
      <c r="E101" s="58" t="str">
        <f>IF($A101="","",'TO HOP'!$F$148+1*(INDEX('LANE ENGINE'!$G$6:$G$45,34)-'TO HOP'!$Y$56))</f>
        <v/>
      </c>
      <c r="F101" s="58" t="str">
        <f>IF($A101="","",'TO HOP'!$G$148+1*(INDEX('LANE ENGINE'!$H$6:$H$45,34)-'TO HOP'!$Y$57))</f>
        <v/>
      </c>
      <c r="G101" s="58" t="str">
        <f>IF($A101="","",'TO HOP'!$H$148+1*(0-'TO HOP'!$Y$58))</f>
        <v/>
      </c>
      <c r="H101" s="58" t="str">
        <f>IF($A101="","",'TO HOP'!$I$148+1*(0-'TO HOP'!$Y$59))</f>
        <v/>
      </c>
      <c r="I101" s="58" t="str">
        <f>IF($A101="","",'TO HOP'!$J$148+1*(INDEX('LANE ENGINE'!$F$6:$F$45,34)-'TO HOP'!$Y$60))</f>
        <v/>
      </c>
      <c r="J101" s="58" t="str">
        <f>IF($A101="","",'TO HOP'!$K$148+1*(INDEX('LANE ENGINE'!$G$6:$G$45,34)-'TO HOP'!$Y$61))</f>
        <v/>
      </c>
      <c r="K101" s="58" t="str">
        <f>IF($A101="","",'TO HOP'!$L$148+1*(INDEX('LANE ENGINE'!$H$6:$H$45,34)-'TO HOP'!$Y$62))</f>
        <v/>
      </c>
      <c r="L101" s="42" t="s">
        <v>1536</v>
      </c>
      <c r="M101" s="42">
        <v>34</v>
      </c>
    </row>
    <row r="102" spans="1:13" x14ac:dyDescent="0.3">
      <c r="A102" s="42" t="str">
        <f>IF(35&lt;=nLan,"SD I - 1 nhịp "&amp;35&amp;" làn","")</f>
        <v/>
      </c>
      <c r="B102" s="58" t="str">
        <f>IF($A102="","",'TO HOP'!$C$148+1*(0-'TO HOP'!$Y$53))</f>
        <v/>
      </c>
      <c r="C102" s="58" t="str">
        <f>IF($A102="","",'TO HOP'!$D$148+1*(0-'TO HOP'!$Y$54))</f>
        <v/>
      </c>
      <c r="D102" s="58" t="str">
        <f>IF($A102="","",'TO HOP'!$E$148+1*(INDEX('LANE ENGINE'!$F$6:$F$45,35)-'TO HOP'!$Y$55))</f>
        <v/>
      </c>
      <c r="E102" s="58" t="str">
        <f>IF($A102="","",'TO HOP'!$F$148+1*(INDEX('LANE ENGINE'!$G$6:$G$45,35)-'TO HOP'!$Y$56))</f>
        <v/>
      </c>
      <c r="F102" s="58" t="str">
        <f>IF($A102="","",'TO HOP'!$G$148+1*(INDEX('LANE ENGINE'!$H$6:$H$45,35)-'TO HOP'!$Y$57))</f>
        <v/>
      </c>
      <c r="G102" s="58" t="str">
        <f>IF($A102="","",'TO HOP'!$H$148+1*(0-'TO HOP'!$Y$58))</f>
        <v/>
      </c>
      <c r="H102" s="58" t="str">
        <f>IF($A102="","",'TO HOP'!$I$148+1*(0-'TO HOP'!$Y$59))</f>
        <v/>
      </c>
      <c r="I102" s="58" t="str">
        <f>IF($A102="","",'TO HOP'!$J$148+1*(INDEX('LANE ENGINE'!$F$6:$F$45,35)-'TO HOP'!$Y$60))</f>
        <v/>
      </c>
      <c r="J102" s="58" t="str">
        <f>IF($A102="","",'TO HOP'!$K$148+1*(INDEX('LANE ENGINE'!$G$6:$G$45,35)-'TO HOP'!$Y$61))</f>
        <v/>
      </c>
      <c r="K102" s="58" t="str">
        <f>IF($A102="","",'TO HOP'!$L$148+1*(INDEX('LANE ENGINE'!$H$6:$H$45,35)-'TO HOP'!$Y$62))</f>
        <v/>
      </c>
      <c r="L102" s="42" t="s">
        <v>1536</v>
      </c>
      <c r="M102" s="42">
        <v>35</v>
      </c>
    </row>
    <row r="103" spans="1:13" x14ac:dyDescent="0.3">
      <c r="A103" s="42" t="str">
        <f>IF(36&lt;=nLan,"SD I - 1 nhịp "&amp;36&amp;" làn","")</f>
        <v/>
      </c>
      <c r="B103" s="58" t="str">
        <f>IF($A103="","",'TO HOP'!$C$148+1*(0-'TO HOP'!$Y$53))</f>
        <v/>
      </c>
      <c r="C103" s="58" t="str">
        <f>IF($A103="","",'TO HOP'!$D$148+1*(0-'TO HOP'!$Y$54))</f>
        <v/>
      </c>
      <c r="D103" s="58" t="str">
        <f>IF($A103="","",'TO HOP'!$E$148+1*(INDEX('LANE ENGINE'!$F$6:$F$45,36)-'TO HOP'!$Y$55))</f>
        <v/>
      </c>
      <c r="E103" s="58" t="str">
        <f>IF($A103="","",'TO HOP'!$F$148+1*(INDEX('LANE ENGINE'!$G$6:$G$45,36)-'TO HOP'!$Y$56))</f>
        <v/>
      </c>
      <c r="F103" s="58" t="str">
        <f>IF($A103="","",'TO HOP'!$G$148+1*(INDEX('LANE ENGINE'!$H$6:$H$45,36)-'TO HOP'!$Y$57))</f>
        <v/>
      </c>
      <c r="G103" s="58" t="str">
        <f>IF($A103="","",'TO HOP'!$H$148+1*(0-'TO HOP'!$Y$58))</f>
        <v/>
      </c>
      <c r="H103" s="58" t="str">
        <f>IF($A103="","",'TO HOP'!$I$148+1*(0-'TO HOP'!$Y$59))</f>
        <v/>
      </c>
      <c r="I103" s="58" t="str">
        <f>IF($A103="","",'TO HOP'!$J$148+1*(INDEX('LANE ENGINE'!$F$6:$F$45,36)-'TO HOP'!$Y$60))</f>
        <v/>
      </c>
      <c r="J103" s="58" t="str">
        <f>IF($A103="","",'TO HOP'!$K$148+1*(INDEX('LANE ENGINE'!$G$6:$G$45,36)-'TO HOP'!$Y$61))</f>
        <v/>
      </c>
      <c r="K103" s="58" t="str">
        <f>IF($A103="","",'TO HOP'!$L$148+1*(INDEX('LANE ENGINE'!$H$6:$H$45,36)-'TO HOP'!$Y$62))</f>
        <v/>
      </c>
      <c r="L103" s="42" t="s">
        <v>1536</v>
      </c>
      <c r="M103" s="42">
        <v>36</v>
      </c>
    </row>
    <row r="104" spans="1:13" x14ac:dyDescent="0.3">
      <c r="A104" s="42" t="str">
        <f>IF(37&lt;=nLan,"SD I - 1 nhịp "&amp;37&amp;" làn","")</f>
        <v/>
      </c>
      <c r="B104" s="58" t="str">
        <f>IF($A104="","",'TO HOP'!$C$148+1*(0-'TO HOP'!$Y$53))</f>
        <v/>
      </c>
      <c r="C104" s="58" t="str">
        <f>IF($A104="","",'TO HOP'!$D$148+1*(0-'TO HOP'!$Y$54))</f>
        <v/>
      </c>
      <c r="D104" s="58" t="str">
        <f>IF($A104="","",'TO HOP'!$E$148+1*(INDEX('LANE ENGINE'!$F$6:$F$45,37)-'TO HOP'!$Y$55))</f>
        <v/>
      </c>
      <c r="E104" s="58" t="str">
        <f>IF($A104="","",'TO HOP'!$F$148+1*(INDEX('LANE ENGINE'!$G$6:$G$45,37)-'TO HOP'!$Y$56))</f>
        <v/>
      </c>
      <c r="F104" s="58" t="str">
        <f>IF($A104="","",'TO HOP'!$G$148+1*(INDEX('LANE ENGINE'!$H$6:$H$45,37)-'TO HOP'!$Y$57))</f>
        <v/>
      </c>
      <c r="G104" s="58" t="str">
        <f>IF($A104="","",'TO HOP'!$H$148+1*(0-'TO HOP'!$Y$58))</f>
        <v/>
      </c>
      <c r="H104" s="58" t="str">
        <f>IF($A104="","",'TO HOP'!$I$148+1*(0-'TO HOP'!$Y$59))</f>
        <v/>
      </c>
      <c r="I104" s="58" t="str">
        <f>IF($A104="","",'TO HOP'!$J$148+1*(INDEX('LANE ENGINE'!$F$6:$F$45,37)-'TO HOP'!$Y$60))</f>
        <v/>
      </c>
      <c r="J104" s="58" t="str">
        <f>IF($A104="","",'TO HOP'!$K$148+1*(INDEX('LANE ENGINE'!$G$6:$G$45,37)-'TO HOP'!$Y$61))</f>
        <v/>
      </c>
      <c r="K104" s="58" t="str">
        <f>IF($A104="","",'TO HOP'!$L$148+1*(INDEX('LANE ENGINE'!$H$6:$H$45,37)-'TO HOP'!$Y$62))</f>
        <v/>
      </c>
      <c r="L104" s="42" t="s">
        <v>1536</v>
      </c>
      <c r="M104" s="42">
        <v>37</v>
      </c>
    </row>
    <row r="105" spans="1:13" x14ac:dyDescent="0.3">
      <c r="A105" s="42" t="str">
        <f>IF(38&lt;=nLan,"SD I - 1 nhịp "&amp;38&amp;" làn","")</f>
        <v/>
      </c>
      <c r="B105" s="58" t="str">
        <f>IF($A105="","",'TO HOP'!$C$148+1*(0-'TO HOP'!$Y$53))</f>
        <v/>
      </c>
      <c r="C105" s="58" t="str">
        <f>IF($A105="","",'TO HOP'!$D$148+1*(0-'TO HOP'!$Y$54))</f>
        <v/>
      </c>
      <c r="D105" s="58" t="str">
        <f>IF($A105="","",'TO HOP'!$E$148+1*(INDEX('LANE ENGINE'!$F$6:$F$45,38)-'TO HOP'!$Y$55))</f>
        <v/>
      </c>
      <c r="E105" s="58" t="str">
        <f>IF($A105="","",'TO HOP'!$F$148+1*(INDEX('LANE ENGINE'!$G$6:$G$45,38)-'TO HOP'!$Y$56))</f>
        <v/>
      </c>
      <c r="F105" s="58" t="str">
        <f>IF($A105="","",'TO HOP'!$G$148+1*(INDEX('LANE ENGINE'!$H$6:$H$45,38)-'TO HOP'!$Y$57))</f>
        <v/>
      </c>
      <c r="G105" s="58" t="str">
        <f>IF($A105="","",'TO HOP'!$H$148+1*(0-'TO HOP'!$Y$58))</f>
        <v/>
      </c>
      <c r="H105" s="58" t="str">
        <f>IF($A105="","",'TO HOP'!$I$148+1*(0-'TO HOP'!$Y$59))</f>
        <v/>
      </c>
      <c r="I105" s="58" t="str">
        <f>IF($A105="","",'TO HOP'!$J$148+1*(INDEX('LANE ENGINE'!$F$6:$F$45,38)-'TO HOP'!$Y$60))</f>
        <v/>
      </c>
      <c r="J105" s="58" t="str">
        <f>IF($A105="","",'TO HOP'!$K$148+1*(INDEX('LANE ENGINE'!$G$6:$G$45,38)-'TO HOP'!$Y$61))</f>
        <v/>
      </c>
      <c r="K105" s="58" t="str">
        <f>IF($A105="","",'TO HOP'!$L$148+1*(INDEX('LANE ENGINE'!$H$6:$H$45,38)-'TO HOP'!$Y$62))</f>
        <v/>
      </c>
      <c r="L105" s="42" t="s">
        <v>1536</v>
      </c>
      <c r="M105" s="42">
        <v>38</v>
      </c>
    </row>
    <row r="106" spans="1:13" x14ac:dyDescent="0.3">
      <c r="A106" s="42" t="str">
        <f>IF(39&lt;=nLan,"SD I - 1 nhịp "&amp;39&amp;" làn","")</f>
        <v/>
      </c>
      <c r="B106" s="58" t="str">
        <f>IF($A106="","",'TO HOP'!$C$148+1*(0-'TO HOP'!$Y$53))</f>
        <v/>
      </c>
      <c r="C106" s="58" t="str">
        <f>IF($A106="","",'TO HOP'!$D$148+1*(0-'TO HOP'!$Y$54))</f>
        <v/>
      </c>
      <c r="D106" s="58" t="str">
        <f>IF($A106="","",'TO HOP'!$E$148+1*(INDEX('LANE ENGINE'!$F$6:$F$45,39)-'TO HOP'!$Y$55))</f>
        <v/>
      </c>
      <c r="E106" s="58" t="str">
        <f>IF($A106="","",'TO HOP'!$F$148+1*(INDEX('LANE ENGINE'!$G$6:$G$45,39)-'TO HOP'!$Y$56))</f>
        <v/>
      </c>
      <c r="F106" s="58" t="str">
        <f>IF($A106="","",'TO HOP'!$G$148+1*(INDEX('LANE ENGINE'!$H$6:$H$45,39)-'TO HOP'!$Y$57))</f>
        <v/>
      </c>
      <c r="G106" s="58" t="str">
        <f>IF($A106="","",'TO HOP'!$H$148+1*(0-'TO HOP'!$Y$58))</f>
        <v/>
      </c>
      <c r="H106" s="58" t="str">
        <f>IF($A106="","",'TO HOP'!$I$148+1*(0-'TO HOP'!$Y$59))</f>
        <v/>
      </c>
      <c r="I106" s="58" t="str">
        <f>IF($A106="","",'TO HOP'!$J$148+1*(INDEX('LANE ENGINE'!$F$6:$F$45,39)-'TO HOP'!$Y$60))</f>
        <v/>
      </c>
      <c r="J106" s="58" t="str">
        <f>IF($A106="","",'TO HOP'!$K$148+1*(INDEX('LANE ENGINE'!$G$6:$G$45,39)-'TO HOP'!$Y$61))</f>
        <v/>
      </c>
      <c r="K106" s="58" t="str">
        <f>IF($A106="","",'TO HOP'!$L$148+1*(INDEX('LANE ENGINE'!$H$6:$H$45,39)-'TO HOP'!$Y$62))</f>
        <v/>
      </c>
      <c r="L106" s="42" t="s">
        <v>1536</v>
      </c>
      <c r="M106" s="42">
        <v>39</v>
      </c>
    </row>
    <row r="107" spans="1:13" x14ac:dyDescent="0.3">
      <c r="A107" s="42" t="str">
        <f>IF(40&lt;=nLan,"SD I - 1 nhịp "&amp;40&amp;" làn","")</f>
        <v/>
      </c>
      <c r="B107" s="58" t="str">
        <f>IF($A107="","",'TO HOP'!$C$148+1*(0-'TO HOP'!$Y$53))</f>
        <v/>
      </c>
      <c r="C107" s="58" t="str">
        <f>IF($A107="","",'TO HOP'!$D$148+1*(0-'TO HOP'!$Y$54))</f>
        <v/>
      </c>
      <c r="D107" s="58" t="str">
        <f>IF($A107="","",'TO HOP'!$E$148+1*(INDEX('LANE ENGINE'!$F$6:$F$45,40)-'TO HOP'!$Y$55))</f>
        <v/>
      </c>
      <c r="E107" s="58" t="str">
        <f>IF($A107="","",'TO HOP'!$F$148+1*(INDEX('LANE ENGINE'!$G$6:$G$45,40)-'TO HOP'!$Y$56))</f>
        <v/>
      </c>
      <c r="F107" s="58" t="str">
        <f>IF($A107="","",'TO HOP'!$G$148+1*(INDEX('LANE ENGINE'!$H$6:$H$45,40)-'TO HOP'!$Y$57))</f>
        <v/>
      </c>
      <c r="G107" s="58" t="str">
        <f>IF($A107="","",'TO HOP'!$H$148+1*(0-'TO HOP'!$Y$58))</f>
        <v/>
      </c>
      <c r="H107" s="58" t="str">
        <f>IF($A107="","",'TO HOP'!$I$148+1*(0-'TO HOP'!$Y$59))</f>
        <v/>
      </c>
      <c r="I107" s="58" t="str">
        <f>IF($A107="","",'TO HOP'!$J$148+1*(INDEX('LANE ENGINE'!$F$6:$F$45,40)-'TO HOP'!$Y$60))</f>
        <v/>
      </c>
      <c r="J107" s="58" t="str">
        <f>IF($A107="","",'TO HOP'!$K$148+1*(INDEX('LANE ENGINE'!$G$6:$G$45,40)-'TO HOP'!$Y$61))</f>
        <v/>
      </c>
      <c r="K107" s="58" t="str">
        <f>IF($A107="","",'TO HOP'!$L$148+1*(INDEX('LANE ENGINE'!$H$6:$H$45,40)-'TO HOP'!$Y$62))</f>
        <v/>
      </c>
      <c r="L107" s="42" t="s">
        <v>1536</v>
      </c>
      <c r="M107" s="42">
        <v>40</v>
      </c>
    </row>
    <row r="108" spans="1:13" x14ac:dyDescent="0.3">
      <c r="A108" s="42" t="str">
        <f>IF(7&lt;=nLan,"CĐ I(a) max - 2 nhịp lệch tâm "&amp;7&amp;" làn","")</f>
        <v/>
      </c>
      <c r="B108" s="58" t="str">
        <f>IF($A108="","",'TO HOP'!$C$154+1.75*(0-'TO HOP'!$M$53))</f>
        <v/>
      </c>
      <c r="C108" s="58" t="str">
        <f>IF($A108="","",'TO HOP'!$D$154+1.75*(0-'TO HOP'!$M$54))</f>
        <v/>
      </c>
      <c r="D108" s="58" t="str">
        <f>IF($A108="","",'TO HOP'!$E$154+1.75*(INDEX('LANE ENGINE'!$D$6:$D$45,7)-'TO HOP'!$M$55))</f>
        <v/>
      </c>
      <c r="E108" s="58" t="str">
        <f>IF($A108="","",'TO HOP'!$F$154+1.75*(INDEX('LANE ENGINE'!$E$6:$E$45,7)-'TO HOP'!$M$56))</f>
        <v/>
      </c>
      <c r="F108" s="58" t="str">
        <f>IF($A108="","",'TO HOP'!$G$154+1.75*(0-'TO HOP'!$M$57))</f>
        <v/>
      </c>
      <c r="G108" s="58" t="str">
        <f>IF($A108="","",'TO HOP'!$H$154+1.75*(0-'TO HOP'!$M$58))</f>
        <v/>
      </c>
      <c r="H108" s="58" t="str">
        <f>IF($A108="","",'TO HOP'!$I$154+1.75*(0-'TO HOP'!$M$59))</f>
        <v/>
      </c>
      <c r="I108" s="58" t="str">
        <f>IF($A108="","",'TO HOP'!$J$154+1.75*(INDEX('LANE ENGINE'!$D$6:$D$45,7)-'TO HOP'!$M$60))</f>
        <v/>
      </c>
      <c r="J108" s="58" t="str">
        <f>IF($A108="","",'TO HOP'!$K$154+1.75*(INDEX('LANE ENGINE'!$E$6:$E$45,7)-'TO HOP'!$M$61))</f>
        <v/>
      </c>
      <c r="K108" s="58" t="str">
        <f>IF($A108="","",'TO HOP'!$L$154+1.75*(0-'TO HOP'!$M$62))</f>
        <v/>
      </c>
      <c r="L108" s="42" t="s">
        <v>1579</v>
      </c>
      <c r="M108" s="42">
        <v>7</v>
      </c>
    </row>
    <row r="109" spans="1:13" x14ac:dyDescent="0.3">
      <c r="A109" s="42" t="str">
        <f>IF(8&lt;=nLan,"CĐ I(a) max - 2 nhịp lệch tâm "&amp;8&amp;" làn","")</f>
        <v/>
      </c>
      <c r="B109" s="58" t="str">
        <f>IF($A109="","",'TO HOP'!$C$154+1.75*(0-'TO HOP'!$M$53))</f>
        <v/>
      </c>
      <c r="C109" s="58" t="str">
        <f>IF($A109="","",'TO HOP'!$D$154+1.75*(0-'TO HOP'!$M$54))</f>
        <v/>
      </c>
      <c r="D109" s="58" t="str">
        <f>IF($A109="","",'TO HOP'!$E$154+1.75*(INDEX('LANE ENGINE'!$D$6:$D$45,8)-'TO HOP'!$M$55))</f>
        <v/>
      </c>
      <c r="E109" s="58" t="str">
        <f>IF($A109="","",'TO HOP'!$F$154+1.75*(INDEX('LANE ENGINE'!$E$6:$E$45,8)-'TO HOP'!$M$56))</f>
        <v/>
      </c>
      <c r="F109" s="58" t="str">
        <f>IF($A109="","",'TO HOP'!$G$154+1.75*(0-'TO HOP'!$M$57))</f>
        <v/>
      </c>
      <c r="G109" s="58" t="str">
        <f>IF($A109="","",'TO HOP'!$H$154+1.75*(0-'TO HOP'!$M$58))</f>
        <v/>
      </c>
      <c r="H109" s="58" t="str">
        <f>IF($A109="","",'TO HOP'!$I$154+1.75*(0-'TO HOP'!$M$59))</f>
        <v/>
      </c>
      <c r="I109" s="58" t="str">
        <f>IF($A109="","",'TO HOP'!$J$154+1.75*(INDEX('LANE ENGINE'!$D$6:$D$45,8)-'TO HOP'!$M$60))</f>
        <v/>
      </c>
      <c r="J109" s="58" t="str">
        <f>IF($A109="","",'TO HOP'!$K$154+1.75*(INDEX('LANE ENGINE'!$E$6:$E$45,8)-'TO HOP'!$M$61))</f>
        <v/>
      </c>
      <c r="K109" s="58" t="str">
        <f>IF($A109="","",'TO HOP'!$L$154+1.75*(0-'TO HOP'!$M$62))</f>
        <v/>
      </c>
      <c r="L109" s="42" t="s">
        <v>1579</v>
      </c>
      <c r="M109" s="42">
        <v>8</v>
      </c>
    </row>
    <row r="110" spans="1:13" x14ac:dyDescent="0.3">
      <c r="A110" s="42" t="str">
        <f>IF(9&lt;=nLan,"CĐ I(a) max - 2 nhịp lệch tâm "&amp;9&amp;" làn","")</f>
        <v/>
      </c>
      <c r="B110" s="58" t="str">
        <f>IF($A110="","",'TO HOP'!$C$154+1.75*(0-'TO HOP'!$M$53))</f>
        <v/>
      </c>
      <c r="C110" s="58" t="str">
        <f>IF($A110="","",'TO HOP'!$D$154+1.75*(0-'TO HOP'!$M$54))</f>
        <v/>
      </c>
      <c r="D110" s="58" t="str">
        <f>IF($A110="","",'TO HOP'!$E$154+1.75*(INDEX('LANE ENGINE'!$D$6:$D$45,9)-'TO HOP'!$M$55))</f>
        <v/>
      </c>
      <c r="E110" s="58" t="str">
        <f>IF($A110="","",'TO HOP'!$F$154+1.75*(INDEX('LANE ENGINE'!$E$6:$E$45,9)-'TO HOP'!$M$56))</f>
        <v/>
      </c>
      <c r="F110" s="58" t="str">
        <f>IF($A110="","",'TO HOP'!$G$154+1.75*(0-'TO HOP'!$M$57))</f>
        <v/>
      </c>
      <c r="G110" s="58" t="str">
        <f>IF($A110="","",'TO HOP'!$H$154+1.75*(0-'TO HOP'!$M$58))</f>
        <v/>
      </c>
      <c r="H110" s="58" t="str">
        <f>IF($A110="","",'TO HOP'!$I$154+1.75*(0-'TO HOP'!$M$59))</f>
        <v/>
      </c>
      <c r="I110" s="58" t="str">
        <f>IF($A110="","",'TO HOP'!$J$154+1.75*(INDEX('LANE ENGINE'!$D$6:$D$45,9)-'TO HOP'!$M$60))</f>
        <v/>
      </c>
      <c r="J110" s="58" t="str">
        <f>IF($A110="","",'TO HOP'!$K$154+1.75*(INDEX('LANE ENGINE'!$E$6:$E$45,9)-'TO HOP'!$M$61))</f>
        <v/>
      </c>
      <c r="K110" s="58" t="str">
        <f>IF($A110="","",'TO HOP'!$L$154+1.75*(0-'TO HOP'!$M$62))</f>
        <v/>
      </c>
      <c r="L110" s="42" t="s">
        <v>1579</v>
      </c>
      <c r="M110" s="42">
        <v>9</v>
      </c>
    </row>
    <row r="111" spans="1:13" x14ac:dyDescent="0.3">
      <c r="A111" s="42" t="str">
        <f>IF(10&lt;=nLan,"CĐ I(a) max - 2 nhịp lệch tâm "&amp;10&amp;" làn","")</f>
        <v/>
      </c>
      <c r="B111" s="58" t="str">
        <f>IF($A111="","",'TO HOP'!$C$154+1.75*(0-'TO HOP'!$M$53))</f>
        <v/>
      </c>
      <c r="C111" s="58" t="str">
        <f>IF($A111="","",'TO HOP'!$D$154+1.75*(0-'TO HOP'!$M$54))</f>
        <v/>
      </c>
      <c r="D111" s="58" t="str">
        <f>IF($A111="","",'TO HOP'!$E$154+1.75*(INDEX('LANE ENGINE'!$D$6:$D$45,10)-'TO HOP'!$M$55))</f>
        <v/>
      </c>
      <c r="E111" s="58" t="str">
        <f>IF($A111="","",'TO HOP'!$F$154+1.75*(INDEX('LANE ENGINE'!$E$6:$E$45,10)-'TO HOP'!$M$56))</f>
        <v/>
      </c>
      <c r="F111" s="58" t="str">
        <f>IF($A111="","",'TO HOP'!$G$154+1.75*(0-'TO HOP'!$M$57))</f>
        <v/>
      </c>
      <c r="G111" s="58" t="str">
        <f>IF($A111="","",'TO HOP'!$H$154+1.75*(0-'TO HOP'!$M$58))</f>
        <v/>
      </c>
      <c r="H111" s="58" t="str">
        <f>IF($A111="","",'TO HOP'!$I$154+1.75*(0-'TO HOP'!$M$59))</f>
        <v/>
      </c>
      <c r="I111" s="58" t="str">
        <f>IF($A111="","",'TO HOP'!$J$154+1.75*(INDEX('LANE ENGINE'!$D$6:$D$45,10)-'TO HOP'!$M$60))</f>
        <v/>
      </c>
      <c r="J111" s="58" t="str">
        <f>IF($A111="","",'TO HOP'!$K$154+1.75*(INDEX('LANE ENGINE'!$E$6:$E$45,10)-'TO HOP'!$M$61))</f>
        <v/>
      </c>
      <c r="K111" s="58" t="str">
        <f>IF($A111="","",'TO HOP'!$L$154+1.75*(0-'TO HOP'!$M$62))</f>
        <v/>
      </c>
      <c r="L111" s="42" t="s">
        <v>1579</v>
      </c>
      <c r="M111" s="42">
        <v>10</v>
      </c>
    </row>
    <row r="112" spans="1:13" x14ac:dyDescent="0.3">
      <c r="A112" s="42" t="str">
        <f>IF(11&lt;=nLan,"CĐ I(a) max - 2 nhịp lệch tâm "&amp;11&amp;" làn","")</f>
        <v/>
      </c>
      <c r="B112" s="58" t="str">
        <f>IF($A112="","",'TO HOP'!$C$154+1.75*(0-'TO HOP'!$M$53))</f>
        <v/>
      </c>
      <c r="C112" s="58" t="str">
        <f>IF($A112="","",'TO HOP'!$D$154+1.75*(0-'TO HOP'!$M$54))</f>
        <v/>
      </c>
      <c r="D112" s="58" t="str">
        <f>IF($A112="","",'TO HOP'!$E$154+1.75*(INDEX('LANE ENGINE'!$D$6:$D$45,11)-'TO HOP'!$M$55))</f>
        <v/>
      </c>
      <c r="E112" s="58" t="str">
        <f>IF($A112="","",'TO HOP'!$F$154+1.75*(INDEX('LANE ENGINE'!$E$6:$E$45,11)-'TO HOP'!$M$56))</f>
        <v/>
      </c>
      <c r="F112" s="58" t="str">
        <f>IF($A112="","",'TO HOP'!$G$154+1.75*(0-'TO HOP'!$M$57))</f>
        <v/>
      </c>
      <c r="G112" s="58" t="str">
        <f>IF($A112="","",'TO HOP'!$H$154+1.75*(0-'TO HOP'!$M$58))</f>
        <v/>
      </c>
      <c r="H112" s="58" t="str">
        <f>IF($A112="","",'TO HOP'!$I$154+1.75*(0-'TO HOP'!$M$59))</f>
        <v/>
      </c>
      <c r="I112" s="58" t="str">
        <f>IF($A112="","",'TO HOP'!$J$154+1.75*(INDEX('LANE ENGINE'!$D$6:$D$45,11)-'TO HOP'!$M$60))</f>
        <v/>
      </c>
      <c r="J112" s="58" t="str">
        <f>IF($A112="","",'TO HOP'!$K$154+1.75*(INDEX('LANE ENGINE'!$E$6:$E$45,11)-'TO HOP'!$M$61))</f>
        <v/>
      </c>
      <c r="K112" s="58" t="str">
        <f>IF($A112="","",'TO HOP'!$L$154+1.75*(0-'TO HOP'!$M$62))</f>
        <v/>
      </c>
      <c r="L112" s="42" t="s">
        <v>1579</v>
      </c>
      <c r="M112" s="42">
        <v>11</v>
      </c>
    </row>
    <row r="113" spans="1:13" x14ac:dyDescent="0.3">
      <c r="A113" s="42" t="str">
        <f>IF(12&lt;=nLan,"CĐ I(a) max - 2 nhịp lệch tâm "&amp;12&amp;" làn","")</f>
        <v/>
      </c>
      <c r="B113" s="58" t="str">
        <f>IF($A113="","",'TO HOP'!$C$154+1.75*(0-'TO HOP'!$M$53))</f>
        <v/>
      </c>
      <c r="C113" s="58" t="str">
        <f>IF($A113="","",'TO HOP'!$D$154+1.75*(0-'TO HOP'!$M$54))</f>
        <v/>
      </c>
      <c r="D113" s="58" t="str">
        <f>IF($A113="","",'TO HOP'!$E$154+1.75*(INDEX('LANE ENGINE'!$D$6:$D$45,12)-'TO HOP'!$M$55))</f>
        <v/>
      </c>
      <c r="E113" s="58" t="str">
        <f>IF($A113="","",'TO HOP'!$F$154+1.75*(INDEX('LANE ENGINE'!$E$6:$E$45,12)-'TO HOP'!$M$56))</f>
        <v/>
      </c>
      <c r="F113" s="58" t="str">
        <f>IF($A113="","",'TO HOP'!$G$154+1.75*(0-'TO HOP'!$M$57))</f>
        <v/>
      </c>
      <c r="G113" s="58" t="str">
        <f>IF($A113="","",'TO HOP'!$H$154+1.75*(0-'TO HOP'!$M$58))</f>
        <v/>
      </c>
      <c r="H113" s="58" t="str">
        <f>IF($A113="","",'TO HOP'!$I$154+1.75*(0-'TO HOP'!$M$59))</f>
        <v/>
      </c>
      <c r="I113" s="58" t="str">
        <f>IF($A113="","",'TO HOP'!$J$154+1.75*(INDEX('LANE ENGINE'!$D$6:$D$45,12)-'TO HOP'!$M$60))</f>
        <v/>
      </c>
      <c r="J113" s="58" t="str">
        <f>IF($A113="","",'TO HOP'!$K$154+1.75*(INDEX('LANE ENGINE'!$E$6:$E$45,12)-'TO HOP'!$M$61))</f>
        <v/>
      </c>
      <c r="K113" s="58" t="str">
        <f>IF($A113="","",'TO HOP'!$L$154+1.75*(0-'TO HOP'!$M$62))</f>
        <v/>
      </c>
      <c r="L113" s="42" t="s">
        <v>1579</v>
      </c>
      <c r="M113" s="42">
        <v>12</v>
      </c>
    </row>
    <row r="114" spans="1:13" x14ac:dyDescent="0.3">
      <c r="A114" s="42" t="str">
        <f>IF(13&lt;=nLan,"CĐ I(a) max - 2 nhịp lệch tâm "&amp;13&amp;" làn","")</f>
        <v/>
      </c>
      <c r="B114" s="58" t="str">
        <f>IF($A114="","",'TO HOP'!$C$154+1.75*(0-'TO HOP'!$M$53))</f>
        <v/>
      </c>
      <c r="C114" s="58" t="str">
        <f>IF($A114="","",'TO HOP'!$D$154+1.75*(0-'TO HOP'!$M$54))</f>
        <v/>
      </c>
      <c r="D114" s="58" t="str">
        <f>IF($A114="","",'TO HOP'!$E$154+1.75*(INDEX('LANE ENGINE'!$D$6:$D$45,13)-'TO HOP'!$M$55))</f>
        <v/>
      </c>
      <c r="E114" s="58" t="str">
        <f>IF($A114="","",'TO HOP'!$F$154+1.75*(INDEX('LANE ENGINE'!$E$6:$E$45,13)-'TO HOP'!$M$56))</f>
        <v/>
      </c>
      <c r="F114" s="58" t="str">
        <f>IF($A114="","",'TO HOP'!$G$154+1.75*(0-'TO HOP'!$M$57))</f>
        <v/>
      </c>
      <c r="G114" s="58" t="str">
        <f>IF($A114="","",'TO HOP'!$H$154+1.75*(0-'TO HOP'!$M$58))</f>
        <v/>
      </c>
      <c r="H114" s="58" t="str">
        <f>IF($A114="","",'TO HOP'!$I$154+1.75*(0-'TO HOP'!$M$59))</f>
        <v/>
      </c>
      <c r="I114" s="58" t="str">
        <f>IF($A114="","",'TO HOP'!$J$154+1.75*(INDEX('LANE ENGINE'!$D$6:$D$45,13)-'TO HOP'!$M$60))</f>
        <v/>
      </c>
      <c r="J114" s="58" t="str">
        <f>IF($A114="","",'TO HOP'!$K$154+1.75*(INDEX('LANE ENGINE'!$E$6:$E$45,13)-'TO HOP'!$M$61))</f>
        <v/>
      </c>
      <c r="K114" s="58" t="str">
        <f>IF($A114="","",'TO HOP'!$L$154+1.75*(0-'TO HOP'!$M$62))</f>
        <v/>
      </c>
      <c r="L114" s="42" t="s">
        <v>1579</v>
      </c>
      <c r="M114" s="42">
        <v>13</v>
      </c>
    </row>
    <row r="115" spans="1:13" x14ac:dyDescent="0.3">
      <c r="A115" s="42" t="str">
        <f>IF(14&lt;=nLan,"CĐ I(a) max - 2 nhịp lệch tâm "&amp;14&amp;" làn","")</f>
        <v/>
      </c>
      <c r="B115" s="58" t="str">
        <f>IF($A115="","",'TO HOP'!$C$154+1.75*(0-'TO HOP'!$M$53))</f>
        <v/>
      </c>
      <c r="C115" s="58" t="str">
        <f>IF($A115="","",'TO HOP'!$D$154+1.75*(0-'TO HOP'!$M$54))</f>
        <v/>
      </c>
      <c r="D115" s="58" t="str">
        <f>IF($A115="","",'TO HOP'!$E$154+1.75*(INDEX('LANE ENGINE'!$D$6:$D$45,14)-'TO HOP'!$M$55))</f>
        <v/>
      </c>
      <c r="E115" s="58" t="str">
        <f>IF($A115="","",'TO HOP'!$F$154+1.75*(INDEX('LANE ENGINE'!$E$6:$E$45,14)-'TO HOP'!$M$56))</f>
        <v/>
      </c>
      <c r="F115" s="58" t="str">
        <f>IF($A115="","",'TO HOP'!$G$154+1.75*(0-'TO HOP'!$M$57))</f>
        <v/>
      </c>
      <c r="G115" s="58" t="str">
        <f>IF($A115="","",'TO HOP'!$H$154+1.75*(0-'TO HOP'!$M$58))</f>
        <v/>
      </c>
      <c r="H115" s="58" t="str">
        <f>IF($A115="","",'TO HOP'!$I$154+1.75*(0-'TO HOP'!$M$59))</f>
        <v/>
      </c>
      <c r="I115" s="58" t="str">
        <f>IF($A115="","",'TO HOP'!$J$154+1.75*(INDEX('LANE ENGINE'!$D$6:$D$45,14)-'TO HOP'!$M$60))</f>
        <v/>
      </c>
      <c r="J115" s="58" t="str">
        <f>IF($A115="","",'TO HOP'!$K$154+1.75*(INDEX('LANE ENGINE'!$E$6:$E$45,14)-'TO HOP'!$M$61))</f>
        <v/>
      </c>
      <c r="K115" s="58" t="str">
        <f>IF($A115="","",'TO HOP'!$L$154+1.75*(0-'TO HOP'!$M$62))</f>
        <v/>
      </c>
      <c r="L115" s="42" t="s">
        <v>1579</v>
      </c>
      <c r="M115" s="42">
        <v>14</v>
      </c>
    </row>
    <row r="116" spans="1:13" x14ac:dyDescent="0.3">
      <c r="A116" s="42" t="str">
        <f>IF(15&lt;=nLan,"CĐ I(a) max - 2 nhịp lệch tâm "&amp;15&amp;" làn","")</f>
        <v/>
      </c>
      <c r="B116" s="58" t="str">
        <f>IF($A116="","",'TO HOP'!$C$154+1.75*(0-'TO HOP'!$M$53))</f>
        <v/>
      </c>
      <c r="C116" s="58" t="str">
        <f>IF($A116="","",'TO HOP'!$D$154+1.75*(0-'TO HOP'!$M$54))</f>
        <v/>
      </c>
      <c r="D116" s="58" t="str">
        <f>IF($A116="","",'TO HOP'!$E$154+1.75*(INDEX('LANE ENGINE'!$D$6:$D$45,15)-'TO HOP'!$M$55))</f>
        <v/>
      </c>
      <c r="E116" s="58" t="str">
        <f>IF($A116="","",'TO HOP'!$F$154+1.75*(INDEX('LANE ENGINE'!$E$6:$E$45,15)-'TO HOP'!$M$56))</f>
        <v/>
      </c>
      <c r="F116" s="58" t="str">
        <f>IF($A116="","",'TO HOP'!$G$154+1.75*(0-'TO HOP'!$M$57))</f>
        <v/>
      </c>
      <c r="G116" s="58" t="str">
        <f>IF($A116="","",'TO HOP'!$H$154+1.75*(0-'TO HOP'!$M$58))</f>
        <v/>
      </c>
      <c r="H116" s="58" t="str">
        <f>IF($A116="","",'TO HOP'!$I$154+1.75*(0-'TO HOP'!$M$59))</f>
        <v/>
      </c>
      <c r="I116" s="58" t="str">
        <f>IF($A116="","",'TO HOP'!$J$154+1.75*(INDEX('LANE ENGINE'!$D$6:$D$45,15)-'TO HOP'!$M$60))</f>
        <v/>
      </c>
      <c r="J116" s="58" t="str">
        <f>IF($A116="","",'TO HOP'!$K$154+1.75*(INDEX('LANE ENGINE'!$E$6:$E$45,15)-'TO HOP'!$M$61))</f>
        <v/>
      </c>
      <c r="K116" s="58" t="str">
        <f>IF($A116="","",'TO HOP'!$L$154+1.75*(0-'TO HOP'!$M$62))</f>
        <v/>
      </c>
      <c r="L116" s="42" t="s">
        <v>1579</v>
      </c>
      <c r="M116" s="42">
        <v>15</v>
      </c>
    </row>
    <row r="117" spans="1:13" x14ac:dyDescent="0.3">
      <c r="A117" s="42" t="str">
        <f>IF(16&lt;=nLan,"CĐ I(a) max - 2 nhịp lệch tâm "&amp;16&amp;" làn","")</f>
        <v/>
      </c>
      <c r="B117" s="58" t="str">
        <f>IF($A117="","",'TO HOP'!$C$154+1.75*(0-'TO HOP'!$M$53))</f>
        <v/>
      </c>
      <c r="C117" s="58" t="str">
        <f>IF($A117="","",'TO HOP'!$D$154+1.75*(0-'TO HOP'!$M$54))</f>
        <v/>
      </c>
      <c r="D117" s="58" t="str">
        <f>IF($A117="","",'TO HOP'!$E$154+1.75*(INDEX('LANE ENGINE'!$D$6:$D$45,16)-'TO HOP'!$M$55))</f>
        <v/>
      </c>
      <c r="E117" s="58" t="str">
        <f>IF($A117="","",'TO HOP'!$F$154+1.75*(INDEX('LANE ENGINE'!$E$6:$E$45,16)-'TO HOP'!$M$56))</f>
        <v/>
      </c>
      <c r="F117" s="58" t="str">
        <f>IF($A117="","",'TO HOP'!$G$154+1.75*(0-'TO HOP'!$M$57))</f>
        <v/>
      </c>
      <c r="G117" s="58" t="str">
        <f>IF($A117="","",'TO HOP'!$H$154+1.75*(0-'TO HOP'!$M$58))</f>
        <v/>
      </c>
      <c r="H117" s="58" t="str">
        <f>IF($A117="","",'TO HOP'!$I$154+1.75*(0-'TO HOP'!$M$59))</f>
        <v/>
      </c>
      <c r="I117" s="58" t="str">
        <f>IF($A117="","",'TO HOP'!$J$154+1.75*(INDEX('LANE ENGINE'!$D$6:$D$45,16)-'TO HOP'!$M$60))</f>
        <v/>
      </c>
      <c r="J117" s="58" t="str">
        <f>IF($A117="","",'TO HOP'!$K$154+1.75*(INDEX('LANE ENGINE'!$E$6:$E$45,16)-'TO HOP'!$M$61))</f>
        <v/>
      </c>
      <c r="K117" s="58" t="str">
        <f>IF($A117="","",'TO HOP'!$L$154+1.75*(0-'TO HOP'!$M$62))</f>
        <v/>
      </c>
      <c r="L117" s="42" t="s">
        <v>1579</v>
      </c>
      <c r="M117" s="42">
        <v>16</v>
      </c>
    </row>
    <row r="118" spans="1:13" x14ac:dyDescent="0.3">
      <c r="A118" s="42" t="str">
        <f>IF(17&lt;=nLan,"CĐ I(a) max - 2 nhịp lệch tâm "&amp;17&amp;" làn","")</f>
        <v/>
      </c>
      <c r="B118" s="58" t="str">
        <f>IF($A118="","",'TO HOP'!$C$154+1.75*(0-'TO HOP'!$M$53))</f>
        <v/>
      </c>
      <c r="C118" s="58" t="str">
        <f>IF($A118="","",'TO HOP'!$D$154+1.75*(0-'TO HOP'!$M$54))</f>
        <v/>
      </c>
      <c r="D118" s="58" t="str">
        <f>IF($A118="","",'TO HOP'!$E$154+1.75*(INDEX('LANE ENGINE'!$D$6:$D$45,17)-'TO HOP'!$M$55))</f>
        <v/>
      </c>
      <c r="E118" s="58" t="str">
        <f>IF($A118="","",'TO HOP'!$F$154+1.75*(INDEX('LANE ENGINE'!$E$6:$E$45,17)-'TO HOP'!$M$56))</f>
        <v/>
      </c>
      <c r="F118" s="58" t="str">
        <f>IF($A118="","",'TO HOP'!$G$154+1.75*(0-'TO HOP'!$M$57))</f>
        <v/>
      </c>
      <c r="G118" s="58" t="str">
        <f>IF($A118="","",'TO HOP'!$H$154+1.75*(0-'TO HOP'!$M$58))</f>
        <v/>
      </c>
      <c r="H118" s="58" t="str">
        <f>IF($A118="","",'TO HOP'!$I$154+1.75*(0-'TO HOP'!$M$59))</f>
        <v/>
      </c>
      <c r="I118" s="58" t="str">
        <f>IF($A118="","",'TO HOP'!$J$154+1.75*(INDEX('LANE ENGINE'!$D$6:$D$45,17)-'TO HOP'!$M$60))</f>
        <v/>
      </c>
      <c r="J118" s="58" t="str">
        <f>IF($A118="","",'TO HOP'!$K$154+1.75*(INDEX('LANE ENGINE'!$E$6:$E$45,17)-'TO HOP'!$M$61))</f>
        <v/>
      </c>
      <c r="K118" s="58" t="str">
        <f>IF($A118="","",'TO HOP'!$L$154+1.75*(0-'TO HOP'!$M$62))</f>
        <v/>
      </c>
      <c r="L118" s="42" t="s">
        <v>1579</v>
      </c>
      <c r="M118" s="42">
        <v>17</v>
      </c>
    </row>
    <row r="119" spans="1:13" x14ac:dyDescent="0.3">
      <c r="A119" s="42" t="str">
        <f>IF(18&lt;=nLan,"CĐ I(a) max - 2 nhịp lệch tâm "&amp;18&amp;" làn","")</f>
        <v/>
      </c>
      <c r="B119" s="58" t="str">
        <f>IF($A119="","",'TO HOP'!$C$154+1.75*(0-'TO HOP'!$M$53))</f>
        <v/>
      </c>
      <c r="C119" s="58" t="str">
        <f>IF($A119="","",'TO HOP'!$D$154+1.75*(0-'TO HOP'!$M$54))</f>
        <v/>
      </c>
      <c r="D119" s="58" t="str">
        <f>IF($A119="","",'TO HOP'!$E$154+1.75*(INDEX('LANE ENGINE'!$D$6:$D$45,18)-'TO HOP'!$M$55))</f>
        <v/>
      </c>
      <c r="E119" s="58" t="str">
        <f>IF($A119="","",'TO HOP'!$F$154+1.75*(INDEX('LANE ENGINE'!$E$6:$E$45,18)-'TO HOP'!$M$56))</f>
        <v/>
      </c>
      <c r="F119" s="58" t="str">
        <f>IF($A119="","",'TO HOP'!$G$154+1.75*(0-'TO HOP'!$M$57))</f>
        <v/>
      </c>
      <c r="G119" s="58" t="str">
        <f>IF($A119="","",'TO HOP'!$H$154+1.75*(0-'TO HOP'!$M$58))</f>
        <v/>
      </c>
      <c r="H119" s="58" t="str">
        <f>IF($A119="","",'TO HOP'!$I$154+1.75*(0-'TO HOP'!$M$59))</f>
        <v/>
      </c>
      <c r="I119" s="58" t="str">
        <f>IF($A119="","",'TO HOP'!$J$154+1.75*(INDEX('LANE ENGINE'!$D$6:$D$45,18)-'TO HOP'!$M$60))</f>
        <v/>
      </c>
      <c r="J119" s="58" t="str">
        <f>IF($A119="","",'TO HOP'!$K$154+1.75*(INDEX('LANE ENGINE'!$E$6:$E$45,18)-'TO HOP'!$M$61))</f>
        <v/>
      </c>
      <c r="K119" s="58" t="str">
        <f>IF($A119="","",'TO HOP'!$L$154+1.75*(0-'TO HOP'!$M$62))</f>
        <v/>
      </c>
      <c r="L119" s="42" t="s">
        <v>1579</v>
      </c>
      <c r="M119" s="42">
        <v>18</v>
      </c>
    </row>
    <row r="120" spans="1:13" x14ac:dyDescent="0.3">
      <c r="A120" s="42" t="str">
        <f>IF(19&lt;=nLan,"CĐ I(a) max - 2 nhịp lệch tâm "&amp;19&amp;" làn","")</f>
        <v/>
      </c>
      <c r="B120" s="58" t="str">
        <f>IF($A120="","",'TO HOP'!$C$154+1.75*(0-'TO HOP'!$M$53))</f>
        <v/>
      </c>
      <c r="C120" s="58" t="str">
        <f>IF($A120="","",'TO HOP'!$D$154+1.75*(0-'TO HOP'!$M$54))</f>
        <v/>
      </c>
      <c r="D120" s="58" t="str">
        <f>IF($A120="","",'TO HOP'!$E$154+1.75*(INDEX('LANE ENGINE'!$D$6:$D$45,19)-'TO HOP'!$M$55))</f>
        <v/>
      </c>
      <c r="E120" s="58" t="str">
        <f>IF($A120="","",'TO HOP'!$F$154+1.75*(INDEX('LANE ENGINE'!$E$6:$E$45,19)-'TO HOP'!$M$56))</f>
        <v/>
      </c>
      <c r="F120" s="58" t="str">
        <f>IF($A120="","",'TO HOP'!$G$154+1.75*(0-'TO HOP'!$M$57))</f>
        <v/>
      </c>
      <c r="G120" s="58" t="str">
        <f>IF($A120="","",'TO HOP'!$H$154+1.75*(0-'TO HOP'!$M$58))</f>
        <v/>
      </c>
      <c r="H120" s="58" t="str">
        <f>IF($A120="","",'TO HOP'!$I$154+1.75*(0-'TO HOP'!$M$59))</f>
        <v/>
      </c>
      <c r="I120" s="58" t="str">
        <f>IF($A120="","",'TO HOP'!$J$154+1.75*(INDEX('LANE ENGINE'!$D$6:$D$45,19)-'TO HOP'!$M$60))</f>
        <v/>
      </c>
      <c r="J120" s="58" t="str">
        <f>IF($A120="","",'TO HOP'!$K$154+1.75*(INDEX('LANE ENGINE'!$E$6:$E$45,19)-'TO HOP'!$M$61))</f>
        <v/>
      </c>
      <c r="K120" s="58" t="str">
        <f>IF($A120="","",'TO HOP'!$L$154+1.75*(0-'TO HOP'!$M$62))</f>
        <v/>
      </c>
      <c r="L120" s="42" t="s">
        <v>1579</v>
      </c>
      <c r="M120" s="42">
        <v>19</v>
      </c>
    </row>
    <row r="121" spans="1:13" x14ac:dyDescent="0.3">
      <c r="A121" s="42" t="str">
        <f>IF(20&lt;=nLan,"CĐ I(a) max - 2 nhịp lệch tâm "&amp;20&amp;" làn","")</f>
        <v/>
      </c>
      <c r="B121" s="58" t="str">
        <f>IF($A121="","",'TO HOP'!$C$154+1.75*(0-'TO HOP'!$M$53))</f>
        <v/>
      </c>
      <c r="C121" s="58" t="str">
        <f>IF($A121="","",'TO HOP'!$D$154+1.75*(0-'TO HOP'!$M$54))</f>
        <v/>
      </c>
      <c r="D121" s="58" t="str">
        <f>IF($A121="","",'TO HOP'!$E$154+1.75*(INDEX('LANE ENGINE'!$D$6:$D$45,20)-'TO HOP'!$M$55))</f>
        <v/>
      </c>
      <c r="E121" s="58" t="str">
        <f>IF($A121="","",'TO HOP'!$F$154+1.75*(INDEX('LANE ENGINE'!$E$6:$E$45,20)-'TO HOP'!$M$56))</f>
        <v/>
      </c>
      <c r="F121" s="58" t="str">
        <f>IF($A121="","",'TO HOP'!$G$154+1.75*(0-'TO HOP'!$M$57))</f>
        <v/>
      </c>
      <c r="G121" s="58" t="str">
        <f>IF($A121="","",'TO HOP'!$H$154+1.75*(0-'TO HOP'!$M$58))</f>
        <v/>
      </c>
      <c r="H121" s="58" t="str">
        <f>IF($A121="","",'TO HOP'!$I$154+1.75*(0-'TO HOP'!$M$59))</f>
        <v/>
      </c>
      <c r="I121" s="58" t="str">
        <f>IF($A121="","",'TO HOP'!$J$154+1.75*(INDEX('LANE ENGINE'!$D$6:$D$45,20)-'TO HOP'!$M$60))</f>
        <v/>
      </c>
      <c r="J121" s="58" t="str">
        <f>IF($A121="","",'TO HOP'!$K$154+1.75*(INDEX('LANE ENGINE'!$E$6:$E$45,20)-'TO HOP'!$M$61))</f>
        <v/>
      </c>
      <c r="K121" s="58" t="str">
        <f>IF($A121="","",'TO HOP'!$L$154+1.75*(0-'TO HOP'!$M$62))</f>
        <v/>
      </c>
      <c r="L121" s="42" t="s">
        <v>1579</v>
      </c>
      <c r="M121" s="42">
        <v>20</v>
      </c>
    </row>
    <row r="122" spans="1:13" x14ac:dyDescent="0.3">
      <c r="A122" s="42" t="str">
        <f>IF(21&lt;=nLan,"CĐ I(a) max - 2 nhịp lệch tâm "&amp;21&amp;" làn","")</f>
        <v/>
      </c>
      <c r="B122" s="58" t="str">
        <f>IF($A122="","",'TO HOP'!$C$154+1.75*(0-'TO HOP'!$M$53))</f>
        <v/>
      </c>
      <c r="C122" s="58" t="str">
        <f>IF($A122="","",'TO HOP'!$D$154+1.75*(0-'TO HOP'!$M$54))</f>
        <v/>
      </c>
      <c r="D122" s="58" t="str">
        <f>IF($A122="","",'TO HOP'!$E$154+1.75*(INDEX('LANE ENGINE'!$D$6:$D$45,21)-'TO HOP'!$M$55))</f>
        <v/>
      </c>
      <c r="E122" s="58" t="str">
        <f>IF($A122="","",'TO HOP'!$F$154+1.75*(INDEX('LANE ENGINE'!$E$6:$E$45,21)-'TO HOP'!$M$56))</f>
        <v/>
      </c>
      <c r="F122" s="58" t="str">
        <f>IF($A122="","",'TO HOP'!$G$154+1.75*(0-'TO HOP'!$M$57))</f>
        <v/>
      </c>
      <c r="G122" s="58" t="str">
        <f>IF($A122="","",'TO HOP'!$H$154+1.75*(0-'TO HOP'!$M$58))</f>
        <v/>
      </c>
      <c r="H122" s="58" t="str">
        <f>IF($A122="","",'TO HOP'!$I$154+1.75*(0-'TO HOP'!$M$59))</f>
        <v/>
      </c>
      <c r="I122" s="58" t="str">
        <f>IF($A122="","",'TO HOP'!$J$154+1.75*(INDEX('LANE ENGINE'!$D$6:$D$45,21)-'TO HOP'!$M$60))</f>
        <v/>
      </c>
      <c r="J122" s="58" t="str">
        <f>IF($A122="","",'TO HOP'!$K$154+1.75*(INDEX('LANE ENGINE'!$E$6:$E$45,21)-'TO HOP'!$M$61))</f>
        <v/>
      </c>
      <c r="K122" s="58" t="str">
        <f>IF($A122="","",'TO HOP'!$L$154+1.75*(0-'TO HOP'!$M$62))</f>
        <v/>
      </c>
      <c r="L122" s="42" t="s">
        <v>1579</v>
      </c>
      <c r="M122" s="42">
        <v>21</v>
      </c>
    </row>
    <row r="123" spans="1:13" x14ac:dyDescent="0.3">
      <c r="A123" s="42" t="str">
        <f>IF(22&lt;=nLan,"CĐ I(a) max - 2 nhịp lệch tâm "&amp;22&amp;" làn","")</f>
        <v/>
      </c>
      <c r="B123" s="58" t="str">
        <f>IF($A123="","",'TO HOP'!$C$154+1.75*(0-'TO HOP'!$M$53))</f>
        <v/>
      </c>
      <c r="C123" s="58" t="str">
        <f>IF($A123="","",'TO HOP'!$D$154+1.75*(0-'TO HOP'!$M$54))</f>
        <v/>
      </c>
      <c r="D123" s="58" t="str">
        <f>IF($A123="","",'TO HOP'!$E$154+1.75*(INDEX('LANE ENGINE'!$D$6:$D$45,22)-'TO HOP'!$M$55))</f>
        <v/>
      </c>
      <c r="E123" s="58" t="str">
        <f>IF($A123="","",'TO HOP'!$F$154+1.75*(INDEX('LANE ENGINE'!$E$6:$E$45,22)-'TO HOP'!$M$56))</f>
        <v/>
      </c>
      <c r="F123" s="58" t="str">
        <f>IF($A123="","",'TO HOP'!$G$154+1.75*(0-'TO HOP'!$M$57))</f>
        <v/>
      </c>
      <c r="G123" s="58" t="str">
        <f>IF($A123="","",'TO HOP'!$H$154+1.75*(0-'TO HOP'!$M$58))</f>
        <v/>
      </c>
      <c r="H123" s="58" t="str">
        <f>IF($A123="","",'TO HOP'!$I$154+1.75*(0-'TO HOP'!$M$59))</f>
        <v/>
      </c>
      <c r="I123" s="58" t="str">
        <f>IF($A123="","",'TO HOP'!$J$154+1.75*(INDEX('LANE ENGINE'!$D$6:$D$45,22)-'TO HOP'!$M$60))</f>
        <v/>
      </c>
      <c r="J123" s="58" t="str">
        <f>IF($A123="","",'TO HOP'!$K$154+1.75*(INDEX('LANE ENGINE'!$E$6:$E$45,22)-'TO HOP'!$M$61))</f>
        <v/>
      </c>
      <c r="K123" s="58" t="str">
        <f>IF($A123="","",'TO HOP'!$L$154+1.75*(0-'TO HOP'!$M$62))</f>
        <v/>
      </c>
      <c r="L123" s="42" t="s">
        <v>1579</v>
      </c>
      <c r="M123" s="42">
        <v>22</v>
      </c>
    </row>
    <row r="124" spans="1:13" x14ac:dyDescent="0.3">
      <c r="A124" s="42" t="str">
        <f>IF(23&lt;=nLan,"CĐ I(a) max - 2 nhịp lệch tâm "&amp;23&amp;" làn","")</f>
        <v/>
      </c>
      <c r="B124" s="58" t="str">
        <f>IF($A124="","",'TO HOP'!$C$154+1.75*(0-'TO HOP'!$M$53))</f>
        <v/>
      </c>
      <c r="C124" s="58" t="str">
        <f>IF($A124="","",'TO HOP'!$D$154+1.75*(0-'TO HOP'!$M$54))</f>
        <v/>
      </c>
      <c r="D124" s="58" t="str">
        <f>IF($A124="","",'TO HOP'!$E$154+1.75*(INDEX('LANE ENGINE'!$D$6:$D$45,23)-'TO HOP'!$M$55))</f>
        <v/>
      </c>
      <c r="E124" s="58" t="str">
        <f>IF($A124="","",'TO HOP'!$F$154+1.75*(INDEX('LANE ENGINE'!$E$6:$E$45,23)-'TO HOP'!$M$56))</f>
        <v/>
      </c>
      <c r="F124" s="58" t="str">
        <f>IF($A124="","",'TO HOP'!$G$154+1.75*(0-'TO HOP'!$M$57))</f>
        <v/>
      </c>
      <c r="G124" s="58" t="str">
        <f>IF($A124="","",'TO HOP'!$H$154+1.75*(0-'TO HOP'!$M$58))</f>
        <v/>
      </c>
      <c r="H124" s="58" t="str">
        <f>IF($A124="","",'TO HOP'!$I$154+1.75*(0-'TO HOP'!$M$59))</f>
        <v/>
      </c>
      <c r="I124" s="58" t="str">
        <f>IF($A124="","",'TO HOP'!$J$154+1.75*(INDEX('LANE ENGINE'!$D$6:$D$45,23)-'TO HOP'!$M$60))</f>
        <v/>
      </c>
      <c r="J124" s="58" t="str">
        <f>IF($A124="","",'TO HOP'!$K$154+1.75*(INDEX('LANE ENGINE'!$E$6:$E$45,23)-'TO HOP'!$M$61))</f>
        <v/>
      </c>
      <c r="K124" s="58" t="str">
        <f>IF($A124="","",'TO HOP'!$L$154+1.75*(0-'TO HOP'!$M$62))</f>
        <v/>
      </c>
      <c r="L124" s="42" t="s">
        <v>1579</v>
      </c>
      <c r="M124" s="42">
        <v>23</v>
      </c>
    </row>
    <row r="125" spans="1:13" x14ac:dyDescent="0.3">
      <c r="A125" s="42" t="str">
        <f>IF(24&lt;=nLan,"CĐ I(a) max - 2 nhịp lệch tâm "&amp;24&amp;" làn","")</f>
        <v/>
      </c>
      <c r="B125" s="58" t="str">
        <f>IF($A125="","",'TO HOP'!$C$154+1.75*(0-'TO HOP'!$M$53))</f>
        <v/>
      </c>
      <c r="C125" s="58" t="str">
        <f>IF($A125="","",'TO HOP'!$D$154+1.75*(0-'TO HOP'!$M$54))</f>
        <v/>
      </c>
      <c r="D125" s="58" t="str">
        <f>IF($A125="","",'TO HOP'!$E$154+1.75*(INDEX('LANE ENGINE'!$D$6:$D$45,24)-'TO HOP'!$M$55))</f>
        <v/>
      </c>
      <c r="E125" s="58" t="str">
        <f>IF($A125="","",'TO HOP'!$F$154+1.75*(INDEX('LANE ENGINE'!$E$6:$E$45,24)-'TO HOP'!$M$56))</f>
        <v/>
      </c>
      <c r="F125" s="58" t="str">
        <f>IF($A125="","",'TO HOP'!$G$154+1.75*(0-'TO HOP'!$M$57))</f>
        <v/>
      </c>
      <c r="G125" s="58" t="str">
        <f>IF($A125="","",'TO HOP'!$H$154+1.75*(0-'TO HOP'!$M$58))</f>
        <v/>
      </c>
      <c r="H125" s="58" t="str">
        <f>IF($A125="","",'TO HOP'!$I$154+1.75*(0-'TO HOP'!$M$59))</f>
        <v/>
      </c>
      <c r="I125" s="58" t="str">
        <f>IF($A125="","",'TO HOP'!$J$154+1.75*(INDEX('LANE ENGINE'!$D$6:$D$45,24)-'TO HOP'!$M$60))</f>
        <v/>
      </c>
      <c r="J125" s="58" t="str">
        <f>IF($A125="","",'TO HOP'!$K$154+1.75*(INDEX('LANE ENGINE'!$E$6:$E$45,24)-'TO HOP'!$M$61))</f>
        <v/>
      </c>
      <c r="K125" s="58" t="str">
        <f>IF($A125="","",'TO HOP'!$L$154+1.75*(0-'TO HOP'!$M$62))</f>
        <v/>
      </c>
      <c r="L125" s="42" t="s">
        <v>1579</v>
      </c>
      <c r="M125" s="42">
        <v>24</v>
      </c>
    </row>
    <row r="126" spans="1:13" x14ac:dyDescent="0.3">
      <c r="A126" s="42" t="str">
        <f>IF(25&lt;=nLan,"CĐ I(a) max - 2 nhịp lệch tâm "&amp;25&amp;" làn","")</f>
        <v/>
      </c>
      <c r="B126" s="58" t="str">
        <f>IF($A126="","",'TO HOP'!$C$154+1.75*(0-'TO HOP'!$M$53))</f>
        <v/>
      </c>
      <c r="C126" s="58" t="str">
        <f>IF($A126="","",'TO HOP'!$D$154+1.75*(0-'TO HOP'!$M$54))</f>
        <v/>
      </c>
      <c r="D126" s="58" t="str">
        <f>IF($A126="","",'TO HOP'!$E$154+1.75*(INDEX('LANE ENGINE'!$D$6:$D$45,25)-'TO HOP'!$M$55))</f>
        <v/>
      </c>
      <c r="E126" s="58" t="str">
        <f>IF($A126="","",'TO HOP'!$F$154+1.75*(INDEX('LANE ENGINE'!$E$6:$E$45,25)-'TO HOP'!$M$56))</f>
        <v/>
      </c>
      <c r="F126" s="58" t="str">
        <f>IF($A126="","",'TO HOP'!$G$154+1.75*(0-'TO HOP'!$M$57))</f>
        <v/>
      </c>
      <c r="G126" s="58" t="str">
        <f>IF($A126="","",'TO HOP'!$H$154+1.75*(0-'TO HOP'!$M$58))</f>
        <v/>
      </c>
      <c r="H126" s="58" t="str">
        <f>IF($A126="","",'TO HOP'!$I$154+1.75*(0-'TO HOP'!$M$59))</f>
        <v/>
      </c>
      <c r="I126" s="58" t="str">
        <f>IF($A126="","",'TO HOP'!$J$154+1.75*(INDEX('LANE ENGINE'!$D$6:$D$45,25)-'TO HOP'!$M$60))</f>
        <v/>
      </c>
      <c r="J126" s="58" t="str">
        <f>IF($A126="","",'TO HOP'!$K$154+1.75*(INDEX('LANE ENGINE'!$E$6:$E$45,25)-'TO HOP'!$M$61))</f>
        <v/>
      </c>
      <c r="K126" s="58" t="str">
        <f>IF($A126="","",'TO HOP'!$L$154+1.75*(0-'TO HOP'!$M$62))</f>
        <v/>
      </c>
      <c r="L126" s="42" t="s">
        <v>1579</v>
      </c>
      <c r="M126" s="42">
        <v>25</v>
      </c>
    </row>
    <row r="127" spans="1:13" x14ac:dyDescent="0.3">
      <c r="A127" s="42" t="str">
        <f>IF(26&lt;=nLan,"CĐ I(a) max - 2 nhịp lệch tâm "&amp;26&amp;" làn","")</f>
        <v/>
      </c>
      <c r="B127" s="58" t="str">
        <f>IF($A127="","",'TO HOP'!$C$154+1.75*(0-'TO HOP'!$M$53))</f>
        <v/>
      </c>
      <c r="C127" s="58" t="str">
        <f>IF($A127="","",'TO HOP'!$D$154+1.75*(0-'TO HOP'!$M$54))</f>
        <v/>
      </c>
      <c r="D127" s="58" t="str">
        <f>IF($A127="","",'TO HOP'!$E$154+1.75*(INDEX('LANE ENGINE'!$D$6:$D$45,26)-'TO HOP'!$M$55))</f>
        <v/>
      </c>
      <c r="E127" s="58" t="str">
        <f>IF($A127="","",'TO HOP'!$F$154+1.75*(INDEX('LANE ENGINE'!$E$6:$E$45,26)-'TO HOP'!$M$56))</f>
        <v/>
      </c>
      <c r="F127" s="58" t="str">
        <f>IF($A127="","",'TO HOP'!$G$154+1.75*(0-'TO HOP'!$M$57))</f>
        <v/>
      </c>
      <c r="G127" s="58" t="str">
        <f>IF($A127="","",'TO HOP'!$H$154+1.75*(0-'TO HOP'!$M$58))</f>
        <v/>
      </c>
      <c r="H127" s="58" t="str">
        <f>IF($A127="","",'TO HOP'!$I$154+1.75*(0-'TO HOP'!$M$59))</f>
        <v/>
      </c>
      <c r="I127" s="58" t="str">
        <f>IF($A127="","",'TO HOP'!$J$154+1.75*(INDEX('LANE ENGINE'!$D$6:$D$45,26)-'TO HOP'!$M$60))</f>
        <v/>
      </c>
      <c r="J127" s="58" t="str">
        <f>IF($A127="","",'TO HOP'!$K$154+1.75*(INDEX('LANE ENGINE'!$E$6:$E$45,26)-'TO HOP'!$M$61))</f>
        <v/>
      </c>
      <c r="K127" s="58" t="str">
        <f>IF($A127="","",'TO HOP'!$L$154+1.75*(0-'TO HOP'!$M$62))</f>
        <v/>
      </c>
      <c r="L127" s="42" t="s">
        <v>1579</v>
      </c>
      <c r="M127" s="42">
        <v>26</v>
      </c>
    </row>
    <row r="128" spans="1:13" x14ac:dyDescent="0.3">
      <c r="A128" s="42" t="str">
        <f>IF(27&lt;=nLan,"CĐ I(a) max - 2 nhịp lệch tâm "&amp;27&amp;" làn","")</f>
        <v/>
      </c>
      <c r="B128" s="58" t="str">
        <f>IF($A128="","",'TO HOP'!$C$154+1.75*(0-'TO HOP'!$M$53))</f>
        <v/>
      </c>
      <c r="C128" s="58" t="str">
        <f>IF($A128="","",'TO HOP'!$D$154+1.75*(0-'TO HOP'!$M$54))</f>
        <v/>
      </c>
      <c r="D128" s="58" t="str">
        <f>IF($A128="","",'TO HOP'!$E$154+1.75*(INDEX('LANE ENGINE'!$D$6:$D$45,27)-'TO HOP'!$M$55))</f>
        <v/>
      </c>
      <c r="E128" s="58" t="str">
        <f>IF($A128="","",'TO HOP'!$F$154+1.75*(INDEX('LANE ENGINE'!$E$6:$E$45,27)-'TO HOP'!$M$56))</f>
        <v/>
      </c>
      <c r="F128" s="58" t="str">
        <f>IF($A128="","",'TO HOP'!$G$154+1.75*(0-'TO HOP'!$M$57))</f>
        <v/>
      </c>
      <c r="G128" s="58" t="str">
        <f>IF($A128="","",'TO HOP'!$H$154+1.75*(0-'TO HOP'!$M$58))</f>
        <v/>
      </c>
      <c r="H128" s="58" t="str">
        <f>IF($A128="","",'TO HOP'!$I$154+1.75*(0-'TO HOP'!$M$59))</f>
        <v/>
      </c>
      <c r="I128" s="58" t="str">
        <f>IF($A128="","",'TO HOP'!$J$154+1.75*(INDEX('LANE ENGINE'!$D$6:$D$45,27)-'TO HOP'!$M$60))</f>
        <v/>
      </c>
      <c r="J128" s="58" t="str">
        <f>IF($A128="","",'TO HOP'!$K$154+1.75*(INDEX('LANE ENGINE'!$E$6:$E$45,27)-'TO HOP'!$M$61))</f>
        <v/>
      </c>
      <c r="K128" s="58" t="str">
        <f>IF($A128="","",'TO HOP'!$L$154+1.75*(0-'TO HOP'!$M$62))</f>
        <v/>
      </c>
      <c r="L128" s="42" t="s">
        <v>1579</v>
      </c>
      <c r="M128" s="42">
        <v>27</v>
      </c>
    </row>
    <row r="129" spans="1:13" x14ac:dyDescent="0.3">
      <c r="A129" s="42" t="str">
        <f>IF(28&lt;=nLan,"CĐ I(a) max - 2 nhịp lệch tâm "&amp;28&amp;" làn","")</f>
        <v/>
      </c>
      <c r="B129" s="58" t="str">
        <f>IF($A129="","",'TO HOP'!$C$154+1.75*(0-'TO HOP'!$M$53))</f>
        <v/>
      </c>
      <c r="C129" s="58" t="str">
        <f>IF($A129="","",'TO HOP'!$D$154+1.75*(0-'TO HOP'!$M$54))</f>
        <v/>
      </c>
      <c r="D129" s="58" t="str">
        <f>IF($A129="","",'TO HOP'!$E$154+1.75*(INDEX('LANE ENGINE'!$D$6:$D$45,28)-'TO HOP'!$M$55))</f>
        <v/>
      </c>
      <c r="E129" s="58" t="str">
        <f>IF($A129="","",'TO HOP'!$F$154+1.75*(INDEX('LANE ENGINE'!$E$6:$E$45,28)-'TO HOP'!$M$56))</f>
        <v/>
      </c>
      <c r="F129" s="58" t="str">
        <f>IF($A129="","",'TO HOP'!$G$154+1.75*(0-'TO HOP'!$M$57))</f>
        <v/>
      </c>
      <c r="G129" s="58" t="str">
        <f>IF($A129="","",'TO HOP'!$H$154+1.75*(0-'TO HOP'!$M$58))</f>
        <v/>
      </c>
      <c r="H129" s="58" t="str">
        <f>IF($A129="","",'TO HOP'!$I$154+1.75*(0-'TO HOP'!$M$59))</f>
        <v/>
      </c>
      <c r="I129" s="58" t="str">
        <f>IF($A129="","",'TO HOP'!$J$154+1.75*(INDEX('LANE ENGINE'!$D$6:$D$45,28)-'TO HOP'!$M$60))</f>
        <v/>
      </c>
      <c r="J129" s="58" t="str">
        <f>IF($A129="","",'TO HOP'!$K$154+1.75*(INDEX('LANE ENGINE'!$E$6:$E$45,28)-'TO HOP'!$M$61))</f>
        <v/>
      </c>
      <c r="K129" s="58" t="str">
        <f>IF($A129="","",'TO HOP'!$L$154+1.75*(0-'TO HOP'!$M$62))</f>
        <v/>
      </c>
      <c r="L129" s="42" t="s">
        <v>1579</v>
      </c>
      <c r="M129" s="42">
        <v>28</v>
      </c>
    </row>
    <row r="130" spans="1:13" x14ac:dyDescent="0.3">
      <c r="A130" s="42" t="str">
        <f>IF(29&lt;=nLan,"CĐ I(a) max - 2 nhịp lệch tâm "&amp;29&amp;" làn","")</f>
        <v/>
      </c>
      <c r="B130" s="58" t="str">
        <f>IF($A130="","",'TO HOP'!$C$154+1.75*(0-'TO HOP'!$M$53))</f>
        <v/>
      </c>
      <c r="C130" s="58" t="str">
        <f>IF($A130="","",'TO HOP'!$D$154+1.75*(0-'TO HOP'!$M$54))</f>
        <v/>
      </c>
      <c r="D130" s="58" t="str">
        <f>IF($A130="","",'TO HOP'!$E$154+1.75*(INDEX('LANE ENGINE'!$D$6:$D$45,29)-'TO HOP'!$M$55))</f>
        <v/>
      </c>
      <c r="E130" s="58" t="str">
        <f>IF($A130="","",'TO HOP'!$F$154+1.75*(INDEX('LANE ENGINE'!$E$6:$E$45,29)-'TO HOP'!$M$56))</f>
        <v/>
      </c>
      <c r="F130" s="58" t="str">
        <f>IF($A130="","",'TO HOP'!$G$154+1.75*(0-'TO HOP'!$M$57))</f>
        <v/>
      </c>
      <c r="G130" s="58" t="str">
        <f>IF($A130="","",'TO HOP'!$H$154+1.75*(0-'TO HOP'!$M$58))</f>
        <v/>
      </c>
      <c r="H130" s="58" t="str">
        <f>IF($A130="","",'TO HOP'!$I$154+1.75*(0-'TO HOP'!$M$59))</f>
        <v/>
      </c>
      <c r="I130" s="58" t="str">
        <f>IF($A130="","",'TO HOP'!$J$154+1.75*(INDEX('LANE ENGINE'!$D$6:$D$45,29)-'TO HOP'!$M$60))</f>
        <v/>
      </c>
      <c r="J130" s="58" t="str">
        <f>IF($A130="","",'TO HOP'!$K$154+1.75*(INDEX('LANE ENGINE'!$E$6:$E$45,29)-'TO HOP'!$M$61))</f>
        <v/>
      </c>
      <c r="K130" s="58" t="str">
        <f>IF($A130="","",'TO HOP'!$L$154+1.75*(0-'TO HOP'!$M$62))</f>
        <v/>
      </c>
      <c r="L130" s="42" t="s">
        <v>1579</v>
      </c>
      <c r="M130" s="42">
        <v>29</v>
      </c>
    </row>
    <row r="131" spans="1:13" x14ac:dyDescent="0.3">
      <c r="A131" s="42" t="str">
        <f>IF(30&lt;=nLan,"CĐ I(a) max - 2 nhịp lệch tâm "&amp;30&amp;" làn","")</f>
        <v/>
      </c>
      <c r="B131" s="58" t="str">
        <f>IF($A131="","",'TO HOP'!$C$154+1.75*(0-'TO HOP'!$M$53))</f>
        <v/>
      </c>
      <c r="C131" s="58" t="str">
        <f>IF($A131="","",'TO HOP'!$D$154+1.75*(0-'TO HOP'!$M$54))</f>
        <v/>
      </c>
      <c r="D131" s="58" t="str">
        <f>IF($A131="","",'TO HOP'!$E$154+1.75*(INDEX('LANE ENGINE'!$D$6:$D$45,30)-'TO HOP'!$M$55))</f>
        <v/>
      </c>
      <c r="E131" s="58" t="str">
        <f>IF($A131="","",'TO HOP'!$F$154+1.75*(INDEX('LANE ENGINE'!$E$6:$E$45,30)-'TO HOP'!$M$56))</f>
        <v/>
      </c>
      <c r="F131" s="58" t="str">
        <f>IF($A131="","",'TO HOP'!$G$154+1.75*(0-'TO HOP'!$M$57))</f>
        <v/>
      </c>
      <c r="G131" s="58" t="str">
        <f>IF($A131="","",'TO HOP'!$H$154+1.75*(0-'TO HOP'!$M$58))</f>
        <v/>
      </c>
      <c r="H131" s="58" t="str">
        <f>IF($A131="","",'TO HOP'!$I$154+1.75*(0-'TO HOP'!$M$59))</f>
        <v/>
      </c>
      <c r="I131" s="58" t="str">
        <f>IF($A131="","",'TO HOP'!$J$154+1.75*(INDEX('LANE ENGINE'!$D$6:$D$45,30)-'TO HOP'!$M$60))</f>
        <v/>
      </c>
      <c r="J131" s="58" t="str">
        <f>IF($A131="","",'TO HOP'!$K$154+1.75*(INDEX('LANE ENGINE'!$E$6:$E$45,30)-'TO HOP'!$M$61))</f>
        <v/>
      </c>
      <c r="K131" s="58" t="str">
        <f>IF($A131="","",'TO HOP'!$L$154+1.75*(0-'TO HOP'!$M$62))</f>
        <v/>
      </c>
      <c r="L131" s="42" t="s">
        <v>1579</v>
      </c>
      <c r="M131" s="42">
        <v>30</v>
      </c>
    </row>
    <row r="132" spans="1:13" x14ac:dyDescent="0.3">
      <c r="A132" s="42" t="str">
        <f>IF(31&lt;=nLan,"CĐ I(a) max - 2 nhịp lệch tâm "&amp;31&amp;" làn","")</f>
        <v/>
      </c>
      <c r="B132" s="58" t="str">
        <f>IF($A132="","",'TO HOP'!$C$154+1.75*(0-'TO HOP'!$M$53))</f>
        <v/>
      </c>
      <c r="C132" s="58" t="str">
        <f>IF($A132="","",'TO HOP'!$D$154+1.75*(0-'TO HOP'!$M$54))</f>
        <v/>
      </c>
      <c r="D132" s="58" t="str">
        <f>IF($A132="","",'TO HOP'!$E$154+1.75*(INDEX('LANE ENGINE'!$D$6:$D$45,31)-'TO HOP'!$M$55))</f>
        <v/>
      </c>
      <c r="E132" s="58" t="str">
        <f>IF($A132="","",'TO HOP'!$F$154+1.75*(INDEX('LANE ENGINE'!$E$6:$E$45,31)-'TO HOP'!$M$56))</f>
        <v/>
      </c>
      <c r="F132" s="58" t="str">
        <f>IF($A132="","",'TO HOP'!$G$154+1.75*(0-'TO HOP'!$M$57))</f>
        <v/>
      </c>
      <c r="G132" s="58" t="str">
        <f>IF($A132="","",'TO HOP'!$H$154+1.75*(0-'TO HOP'!$M$58))</f>
        <v/>
      </c>
      <c r="H132" s="58" t="str">
        <f>IF($A132="","",'TO HOP'!$I$154+1.75*(0-'TO HOP'!$M$59))</f>
        <v/>
      </c>
      <c r="I132" s="58" t="str">
        <f>IF($A132="","",'TO HOP'!$J$154+1.75*(INDEX('LANE ENGINE'!$D$6:$D$45,31)-'TO HOP'!$M$60))</f>
        <v/>
      </c>
      <c r="J132" s="58" t="str">
        <f>IF($A132="","",'TO HOP'!$K$154+1.75*(INDEX('LANE ENGINE'!$E$6:$E$45,31)-'TO HOP'!$M$61))</f>
        <v/>
      </c>
      <c r="K132" s="58" t="str">
        <f>IF($A132="","",'TO HOP'!$L$154+1.75*(0-'TO HOP'!$M$62))</f>
        <v/>
      </c>
      <c r="L132" s="42" t="s">
        <v>1579</v>
      </c>
      <c r="M132" s="42">
        <v>31</v>
      </c>
    </row>
    <row r="133" spans="1:13" x14ac:dyDescent="0.3">
      <c r="A133" s="42" t="str">
        <f>IF(32&lt;=nLan,"CĐ I(a) max - 2 nhịp lệch tâm "&amp;32&amp;" làn","")</f>
        <v/>
      </c>
      <c r="B133" s="58" t="str">
        <f>IF($A133="","",'TO HOP'!$C$154+1.75*(0-'TO HOP'!$M$53))</f>
        <v/>
      </c>
      <c r="C133" s="58" t="str">
        <f>IF($A133="","",'TO HOP'!$D$154+1.75*(0-'TO HOP'!$M$54))</f>
        <v/>
      </c>
      <c r="D133" s="58" t="str">
        <f>IF($A133="","",'TO HOP'!$E$154+1.75*(INDEX('LANE ENGINE'!$D$6:$D$45,32)-'TO HOP'!$M$55))</f>
        <v/>
      </c>
      <c r="E133" s="58" t="str">
        <f>IF($A133="","",'TO HOP'!$F$154+1.75*(INDEX('LANE ENGINE'!$E$6:$E$45,32)-'TO HOP'!$M$56))</f>
        <v/>
      </c>
      <c r="F133" s="58" t="str">
        <f>IF($A133="","",'TO HOP'!$G$154+1.75*(0-'TO HOP'!$M$57))</f>
        <v/>
      </c>
      <c r="G133" s="58" t="str">
        <f>IF($A133="","",'TO HOP'!$H$154+1.75*(0-'TO HOP'!$M$58))</f>
        <v/>
      </c>
      <c r="H133" s="58" t="str">
        <f>IF($A133="","",'TO HOP'!$I$154+1.75*(0-'TO HOP'!$M$59))</f>
        <v/>
      </c>
      <c r="I133" s="58" t="str">
        <f>IF($A133="","",'TO HOP'!$J$154+1.75*(INDEX('LANE ENGINE'!$D$6:$D$45,32)-'TO HOP'!$M$60))</f>
        <v/>
      </c>
      <c r="J133" s="58" t="str">
        <f>IF($A133="","",'TO HOP'!$K$154+1.75*(INDEX('LANE ENGINE'!$E$6:$E$45,32)-'TO HOP'!$M$61))</f>
        <v/>
      </c>
      <c r="K133" s="58" t="str">
        <f>IF($A133="","",'TO HOP'!$L$154+1.75*(0-'TO HOP'!$M$62))</f>
        <v/>
      </c>
      <c r="L133" s="42" t="s">
        <v>1579</v>
      </c>
      <c r="M133" s="42">
        <v>32</v>
      </c>
    </row>
    <row r="134" spans="1:13" x14ac:dyDescent="0.3">
      <c r="A134" s="42" t="str">
        <f>IF(33&lt;=nLan,"CĐ I(a) max - 2 nhịp lệch tâm "&amp;33&amp;" làn","")</f>
        <v/>
      </c>
      <c r="B134" s="58" t="str">
        <f>IF($A134="","",'TO HOP'!$C$154+1.75*(0-'TO HOP'!$M$53))</f>
        <v/>
      </c>
      <c r="C134" s="58" t="str">
        <f>IF($A134="","",'TO HOP'!$D$154+1.75*(0-'TO HOP'!$M$54))</f>
        <v/>
      </c>
      <c r="D134" s="58" t="str">
        <f>IF($A134="","",'TO HOP'!$E$154+1.75*(INDEX('LANE ENGINE'!$D$6:$D$45,33)-'TO HOP'!$M$55))</f>
        <v/>
      </c>
      <c r="E134" s="58" t="str">
        <f>IF($A134="","",'TO HOP'!$F$154+1.75*(INDEX('LANE ENGINE'!$E$6:$E$45,33)-'TO HOP'!$M$56))</f>
        <v/>
      </c>
      <c r="F134" s="58" t="str">
        <f>IF($A134="","",'TO HOP'!$G$154+1.75*(0-'TO HOP'!$M$57))</f>
        <v/>
      </c>
      <c r="G134" s="58" t="str">
        <f>IF($A134="","",'TO HOP'!$H$154+1.75*(0-'TO HOP'!$M$58))</f>
        <v/>
      </c>
      <c r="H134" s="58" t="str">
        <f>IF($A134="","",'TO HOP'!$I$154+1.75*(0-'TO HOP'!$M$59))</f>
        <v/>
      </c>
      <c r="I134" s="58" t="str">
        <f>IF($A134="","",'TO HOP'!$J$154+1.75*(INDEX('LANE ENGINE'!$D$6:$D$45,33)-'TO HOP'!$M$60))</f>
        <v/>
      </c>
      <c r="J134" s="58" t="str">
        <f>IF($A134="","",'TO HOP'!$K$154+1.75*(INDEX('LANE ENGINE'!$E$6:$E$45,33)-'TO HOP'!$M$61))</f>
        <v/>
      </c>
      <c r="K134" s="58" t="str">
        <f>IF($A134="","",'TO HOP'!$L$154+1.75*(0-'TO HOP'!$M$62))</f>
        <v/>
      </c>
      <c r="L134" s="42" t="s">
        <v>1579</v>
      </c>
      <c r="M134" s="42">
        <v>33</v>
      </c>
    </row>
    <row r="135" spans="1:13" x14ac:dyDescent="0.3">
      <c r="A135" s="42" t="str">
        <f>IF(34&lt;=nLan,"CĐ I(a) max - 2 nhịp lệch tâm "&amp;34&amp;" làn","")</f>
        <v/>
      </c>
      <c r="B135" s="58" t="str">
        <f>IF($A135="","",'TO HOP'!$C$154+1.75*(0-'TO HOP'!$M$53))</f>
        <v/>
      </c>
      <c r="C135" s="58" t="str">
        <f>IF($A135="","",'TO HOP'!$D$154+1.75*(0-'TO HOP'!$M$54))</f>
        <v/>
      </c>
      <c r="D135" s="58" t="str">
        <f>IF($A135="","",'TO HOP'!$E$154+1.75*(INDEX('LANE ENGINE'!$D$6:$D$45,34)-'TO HOP'!$M$55))</f>
        <v/>
      </c>
      <c r="E135" s="58" t="str">
        <f>IF($A135="","",'TO HOP'!$F$154+1.75*(INDEX('LANE ENGINE'!$E$6:$E$45,34)-'TO HOP'!$M$56))</f>
        <v/>
      </c>
      <c r="F135" s="58" t="str">
        <f>IF($A135="","",'TO HOP'!$G$154+1.75*(0-'TO HOP'!$M$57))</f>
        <v/>
      </c>
      <c r="G135" s="58" t="str">
        <f>IF($A135="","",'TO HOP'!$H$154+1.75*(0-'TO HOP'!$M$58))</f>
        <v/>
      </c>
      <c r="H135" s="58" t="str">
        <f>IF($A135="","",'TO HOP'!$I$154+1.75*(0-'TO HOP'!$M$59))</f>
        <v/>
      </c>
      <c r="I135" s="58" t="str">
        <f>IF($A135="","",'TO HOP'!$J$154+1.75*(INDEX('LANE ENGINE'!$D$6:$D$45,34)-'TO HOP'!$M$60))</f>
        <v/>
      </c>
      <c r="J135" s="58" t="str">
        <f>IF($A135="","",'TO HOP'!$K$154+1.75*(INDEX('LANE ENGINE'!$E$6:$E$45,34)-'TO HOP'!$M$61))</f>
        <v/>
      </c>
      <c r="K135" s="58" t="str">
        <f>IF($A135="","",'TO HOP'!$L$154+1.75*(0-'TO HOP'!$M$62))</f>
        <v/>
      </c>
      <c r="L135" s="42" t="s">
        <v>1579</v>
      </c>
      <c r="M135" s="42">
        <v>34</v>
      </c>
    </row>
    <row r="136" spans="1:13" x14ac:dyDescent="0.3">
      <c r="A136" s="42" t="str">
        <f>IF(35&lt;=nLan,"CĐ I(a) max - 2 nhịp lệch tâm "&amp;35&amp;" làn","")</f>
        <v/>
      </c>
      <c r="B136" s="58" t="str">
        <f>IF($A136="","",'TO HOP'!$C$154+1.75*(0-'TO HOP'!$M$53))</f>
        <v/>
      </c>
      <c r="C136" s="58" t="str">
        <f>IF($A136="","",'TO HOP'!$D$154+1.75*(0-'TO HOP'!$M$54))</f>
        <v/>
      </c>
      <c r="D136" s="58" t="str">
        <f>IF($A136="","",'TO HOP'!$E$154+1.75*(INDEX('LANE ENGINE'!$D$6:$D$45,35)-'TO HOP'!$M$55))</f>
        <v/>
      </c>
      <c r="E136" s="58" t="str">
        <f>IF($A136="","",'TO HOP'!$F$154+1.75*(INDEX('LANE ENGINE'!$E$6:$E$45,35)-'TO HOP'!$M$56))</f>
        <v/>
      </c>
      <c r="F136" s="58" t="str">
        <f>IF($A136="","",'TO HOP'!$G$154+1.75*(0-'TO HOP'!$M$57))</f>
        <v/>
      </c>
      <c r="G136" s="58" t="str">
        <f>IF($A136="","",'TO HOP'!$H$154+1.75*(0-'TO HOP'!$M$58))</f>
        <v/>
      </c>
      <c r="H136" s="58" t="str">
        <f>IF($A136="","",'TO HOP'!$I$154+1.75*(0-'TO HOP'!$M$59))</f>
        <v/>
      </c>
      <c r="I136" s="58" t="str">
        <f>IF($A136="","",'TO HOP'!$J$154+1.75*(INDEX('LANE ENGINE'!$D$6:$D$45,35)-'TO HOP'!$M$60))</f>
        <v/>
      </c>
      <c r="J136" s="58" t="str">
        <f>IF($A136="","",'TO HOP'!$K$154+1.75*(INDEX('LANE ENGINE'!$E$6:$E$45,35)-'TO HOP'!$M$61))</f>
        <v/>
      </c>
      <c r="K136" s="58" t="str">
        <f>IF($A136="","",'TO HOP'!$L$154+1.75*(0-'TO HOP'!$M$62))</f>
        <v/>
      </c>
      <c r="L136" s="42" t="s">
        <v>1579</v>
      </c>
      <c r="M136" s="42">
        <v>35</v>
      </c>
    </row>
    <row r="137" spans="1:13" x14ac:dyDescent="0.3">
      <c r="A137" s="42" t="str">
        <f>IF(36&lt;=nLan,"CĐ I(a) max - 2 nhịp lệch tâm "&amp;36&amp;" làn","")</f>
        <v/>
      </c>
      <c r="B137" s="58" t="str">
        <f>IF($A137="","",'TO HOP'!$C$154+1.75*(0-'TO HOP'!$M$53))</f>
        <v/>
      </c>
      <c r="C137" s="58" t="str">
        <f>IF($A137="","",'TO HOP'!$D$154+1.75*(0-'TO HOP'!$M$54))</f>
        <v/>
      </c>
      <c r="D137" s="58" t="str">
        <f>IF($A137="","",'TO HOP'!$E$154+1.75*(INDEX('LANE ENGINE'!$D$6:$D$45,36)-'TO HOP'!$M$55))</f>
        <v/>
      </c>
      <c r="E137" s="58" t="str">
        <f>IF($A137="","",'TO HOP'!$F$154+1.75*(INDEX('LANE ENGINE'!$E$6:$E$45,36)-'TO HOP'!$M$56))</f>
        <v/>
      </c>
      <c r="F137" s="58" t="str">
        <f>IF($A137="","",'TO HOP'!$G$154+1.75*(0-'TO HOP'!$M$57))</f>
        <v/>
      </c>
      <c r="G137" s="58" t="str">
        <f>IF($A137="","",'TO HOP'!$H$154+1.75*(0-'TO HOP'!$M$58))</f>
        <v/>
      </c>
      <c r="H137" s="58" t="str">
        <f>IF($A137="","",'TO HOP'!$I$154+1.75*(0-'TO HOP'!$M$59))</f>
        <v/>
      </c>
      <c r="I137" s="58" t="str">
        <f>IF($A137="","",'TO HOP'!$J$154+1.75*(INDEX('LANE ENGINE'!$D$6:$D$45,36)-'TO HOP'!$M$60))</f>
        <v/>
      </c>
      <c r="J137" s="58" t="str">
        <f>IF($A137="","",'TO HOP'!$K$154+1.75*(INDEX('LANE ENGINE'!$E$6:$E$45,36)-'TO HOP'!$M$61))</f>
        <v/>
      </c>
      <c r="K137" s="58" t="str">
        <f>IF($A137="","",'TO HOP'!$L$154+1.75*(0-'TO HOP'!$M$62))</f>
        <v/>
      </c>
      <c r="L137" s="42" t="s">
        <v>1579</v>
      </c>
      <c r="M137" s="42">
        <v>36</v>
      </c>
    </row>
    <row r="138" spans="1:13" x14ac:dyDescent="0.3">
      <c r="A138" s="42" t="str">
        <f>IF(37&lt;=nLan,"CĐ I(a) max - 2 nhịp lệch tâm "&amp;37&amp;" làn","")</f>
        <v/>
      </c>
      <c r="B138" s="58" t="str">
        <f>IF($A138="","",'TO HOP'!$C$154+1.75*(0-'TO HOP'!$M$53))</f>
        <v/>
      </c>
      <c r="C138" s="58" t="str">
        <f>IF($A138="","",'TO HOP'!$D$154+1.75*(0-'TO HOP'!$M$54))</f>
        <v/>
      </c>
      <c r="D138" s="58" t="str">
        <f>IF($A138="","",'TO HOP'!$E$154+1.75*(INDEX('LANE ENGINE'!$D$6:$D$45,37)-'TO HOP'!$M$55))</f>
        <v/>
      </c>
      <c r="E138" s="58" t="str">
        <f>IF($A138="","",'TO HOP'!$F$154+1.75*(INDEX('LANE ENGINE'!$E$6:$E$45,37)-'TO HOP'!$M$56))</f>
        <v/>
      </c>
      <c r="F138" s="58" t="str">
        <f>IF($A138="","",'TO HOP'!$G$154+1.75*(0-'TO HOP'!$M$57))</f>
        <v/>
      </c>
      <c r="G138" s="58" t="str">
        <f>IF($A138="","",'TO HOP'!$H$154+1.75*(0-'TO HOP'!$M$58))</f>
        <v/>
      </c>
      <c r="H138" s="58" t="str">
        <f>IF($A138="","",'TO HOP'!$I$154+1.75*(0-'TO HOP'!$M$59))</f>
        <v/>
      </c>
      <c r="I138" s="58" t="str">
        <f>IF($A138="","",'TO HOP'!$J$154+1.75*(INDEX('LANE ENGINE'!$D$6:$D$45,37)-'TO HOP'!$M$60))</f>
        <v/>
      </c>
      <c r="J138" s="58" t="str">
        <f>IF($A138="","",'TO HOP'!$K$154+1.75*(INDEX('LANE ENGINE'!$E$6:$E$45,37)-'TO HOP'!$M$61))</f>
        <v/>
      </c>
      <c r="K138" s="58" t="str">
        <f>IF($A138="","",'TO HOP'!$L$154+1.75*(0-'TO HOP'!$M$62))</f>
        <v/>
      </c>
      <c r="L138" s="42" t="s">
        <v>1579</v>
      </c>
      <c r="M138" s="42">
        <v>37</v>
      </c>
    </row>
    <row r="139" spans="1:13" x14ac:dyDescent="0.3">
      <c r="A139" s="42" t="str">
        <f>IF(38&lt;=nLan,"CĐ I(a) max - 2 nhịp lệch tâm "&amp;38&amp;" làn","")</f>
        <v/>
      </c>
      <c r="B139" s="58" t="str">
        <f>IF($A139="","",'TO HOP'!$C$154+1.75*(0-'TO HOP'!$M$53))</f>
        <v/>
      </c>
      <c r="C139" s="58" t="str">
        <f>IF($A139="","",'TO HOP'!$D$154+1.75*(0-'TO HOP'!$M$54))</f>
        <v/>
      </c>
      <c r="D139" s="58" t="str">
        <f>IF($A139="","",'TO HOP'!$E$154+1.75*(INDEX('LANE ENGINE'!$D$6:$D$45,38)-'TO HOP'!$M$55))</f>
        <v/>
      </c>
      <c r="E139" s="58" t="str">
        <f>IF($A139="","",'TO HOP'!$F$154+1.75*(INDEX('LANE ENGINE'!$E$6:$E$45,38)-'TO HOP'!$M$56))</f>
        <v/>
      </c>
      <c r="F139" s="58" t="str">
        <f>IF($A139="","",'TO HOP'!$G$154+1.75*(0-'TO HOP'!$M$57))</f>
        <v/>
      </c>
      <c r="G139" s="58" t="str">
        <f>IF($A139="","",'TO HOP'!$H$154+1.75*(0-'TO HOP'!$M$58))</f>
        <v/>
      </c>
      <c r="H139" s="58" t="str">
        <f>IF($A139="","",'TO HOP'!$I$154+1.75*(0-'TO HOP'!$M$59))</f>
        <v/>
      </c>
      <c r="I139" s="58" t="str">
        <f>IF($A139="","",'TO HOP'!$J$154+1.75*(INDEX('LANE ENGINE'!$D$6:$D$45,38)-'TO HOP'!$M$60))</f>
        <v/>
      </c>
      <c r="J139" s="58" t="str">
        <f>IF($A139="","",'TO HOP'!$K$154+1.75*(INDEX('LANE ENGINE'!$E$6:$E$45,38)-'TO HOP'!$M$61))</f>
        <v/>
      </c>
      <c r="K139" s="58" t="str">
        <f>IF($A139="","",'TO HOP'!$L$154+1.75*(0-'TO HOP'!$M$62))</f>
        <v/>
      </c>
      <c r="L139" s="42" t="s">
        <v>1579</v>
      </c>
      <c r="M139" s="42">
        <v>38</v>
      </c>
    </row>
    <row r="140" spans="1:13" x14ac:dyDescent="0.3">
      <c r="A140" s="42" t="str">
        <f>IF(39&lt;=nLan,"CĐ I(a) max - 2 nhịp lệch tâm "&amp;39&amp;" làn","")</f>
        <v/>
      </c>
      <c r="B140" s="58" t="str">
        <f>IF($A140="","",'TO HOP'!$C$154+1.75*(0-'TO HOP'!$M$53))</f>
        <v/>
      </c>
      <c r="C140" s="58" t="str">
        <f>IF($A140="","",'TO HOP'!$D$154+1.75*(0-'TO HOP'!$M$54))</f>
        <v/>
      </c>
      <c r="D140" s="58" t="str">
        <f>IF($A140="","",'TO HOP'!$E$154+1.75*(INDEX('LANE ENGINE'!$D$6:$D$45,39)-'TO HOP'!$M$55))</f>
        <v/>
      </c>
      <c r="E140" s="58" t="str">
        <f>IF($A140="","",'TO HOP'!$F$154+1.75*(INDEX('LANE ENGINE'!$E$6:$E$45,39)-'TO HOP'!$M$56))</f>
        <v/>
      </c>
      <c r="F140" s="58" t="str">
        <f>IF($A140="","",'TO HOP'!$G$154+1.75*(0-'TO HOP'!$M$57))</f>
        <v/>
      </c>
      <c r="G140" s="58" t="str">
        <f>IF($A140="","",'TO HOP'!$H$154+1.75*(0-'TO HOP'!$M$58))</f>
        <v/>
      </c>
      <c r="H140" s="58" t="str">
        <f>IF($A140="","",'TO HOP'!$I$154+1.75*(0-'TO HOP'!$M$59))</f>
        <v/>
      </c>
      <c r="I140" s="58" t="str">
        <f>IF($A140="","",'TO HOP'!$J$154+1.75*(INDEX('LANE ENGINE'!$D$6:$D$45,39)-'TO HOP'!$M$60))</f>
        <v/>
      </c>
      <c r="J140" s="58" t="str">
        <f>IF($A140="","",'TO HOP'!$K$154+1.75*(INDEX('LANE ENGINE'!$E$6:$E$45,39)-'TO HOP'!$M$61))</f>
        <v/>
      </c>
      <c r="K140" s="58" t="str">
        <f>IF($A140="","",'TO HOP'!$L$154+1.75*(0-'TO HOP'!$M$62))</f>
        <v/>
      </c>
      <c r="L140" s="42" t="s">
        <v>1579</v>
      </c>
      <c r="M140" s="42">
        <v>39</v>
      </c>
    </row>
    <row r="141" spans="1:13" x14ac:dyDescent="0.3">
      <c r="A141" s="42" t="str">
        <f>IF(40&lt;=nLan,"CĐ I(a) max - 2 nhịp lệch tâm "&amp;40&amp;" làn","")</f>
        <v/>
      </c>
      <c r="B141" s="58" t="str">
        <f>IF($A141="","",'TO HOP'!$C$154+1.75*(0-'TO HOP'!$M$53))</f>
        <v/>
      </c>
      <c r="C141" s="58" t="str">
        <f>IF($A141="","",'TO HOP'!$D$154+1.75*(0-'TO HOP'!$M$54))</f>
        <v/>
      </c>
      <c r="D141" s="58" t="str">
        <f>IF($A141="","",'TO HOP'!$E$154+1.75*(INDEX('LANE ENGINE'!$D$6:$D$45,40)-'TO HOP'!$M$55))</f>
        <v/>
      </c>
      <c r="E141" s="58" t="str">
        <f>IF($A141="","",'TO HOP'!$F$154+1.75*(INDEX('LANE ENGINE'!$E$6:$E$45,40)-'TO HOP'!$M$56))</f>
        <v/>
      </c>
      <c r="F141" s="58" t="str">
        <f>IF($A141="","",'TO HOP'!$G$154+1.75*(0-'TO HOP'!$M$57))</f>
        <v/>
      </c>
      <c r="G141" s="58" t="str">
        <f>IF($A141="","",'TO HOP'!$H$154+1.75*(0-'TO HOP'!$M$58))</f>
        <v/>
      </c>
      <c r="H141" s="58" t="str">
        <f>IF($A141="","",'TO HOP'!$I$154+1.75*(0-'TO HOP'!$M$59))</f>
        <v/>
      </c>
      <c r="I141" s="58" t="str">
        <f>IF($A141="","",'TO HOP'!$J$154+1.75*(INDEX('LANE ENGINE'!$D$6:$D$45,40)-'TO HOP'!$M$60))</f>
        <v/>
      </c>
      <c r="J141" s="58" t="str">
        <f>IF($A141="","",'TO HOP'!$K$154+1.75*(INDEX('LANE ENGINE'!$E$6:$E$45,40)-'TO HOP'!$M$61))</f>
        <v/>
      </c>
      <c r="K141" s="58" t="str">
        <f>IF($A141="","",'TO HOP'!$L$154+1.75*(0-'TO HOP'!$M$62))</f>
        <v/>
      </c>
      <c r="L141" s="42" t="s">
        <v>1579</v>
      </c>
      <c r="M141" s="42">
        <v>40</v>
      </c>
    </row>
    <row r="142" spans="1:13" x14ac:dyDescent="0.3">
      <c r="A142" s="42" t="str">
        <f>IF(7&lt;=nLan,"CĐ I(a) max - 2 nhịp đúng tâm "&amp;7&amp;" làn","")</f>
        <v/>
      </c>
      <c r="B142" s="58" t="str">
        <f>IF($A142="","",'TO HOP'!$C$160+1.75*(0-'TO HOP'!$S$53))</f>
        <v/>
      </c>
      <c r="C142" s="58" t="str">
        <f>IF($A142="","",'TO HOP'!$D$160+1.75*(0-'TO HOP'!$S$54))</f>
        <v/>
      </c>
      <c r="D142" s="58" t="str">
        <f>IF($A142="","",'TO HOP'!$E$160+1.75*(INDEX('LANE ENGINE'!$D$6:$D$45,7)-'TO HOP'!$S$55))</f>
        <v/>
      </c>
      <c r="E142" s="58" t="str">
        <f>IF($A142="","",'TO HOP'!$F$160+1.75*(0-'TO HOP'!$S$56))</f>
        <v/>
      </c>
      <c r="F142" s="58" t="str">
        <f>IF($A142="","",'TO HOP'!$G$160+1.75*(0-'TO HOP'!$S$57))</f>
        <v/>
      </c>
      <c r="G142" s="58" t="str">
        <f>IF($A142="","",'TO HOP'!$H$160+1.75*(0-'TO HOP'!$S$58))</f>
        <v/>
      </c>
      <c r="H142" s="58" t="str">
        <f>IF($A142="","",'TO HOP'!$I$160+1.75*(0-'TO HOP'!$S$59))</f>
        <v/>
      </c>
      <c r="I142" s="58" t="str">
        <f>IF($A142="","",'TO HOP'!$J$160+1.75*(INDEX('LANE ENGINE'!$D$6:$D$45,7)-'TO HOP'!$S$60))</f>
        <v/>
      </c>
      <c r="J142" s="58" t="str">
        <f>IF($A142="","",'TO HOP'!$K$160+1.75*(0-'TO HOP'!$S$61))</f>
        <v/>
      </c>
      <c r="K142" s="58" t="str">
        <f>IF($A142="","",'TO HOP'!$L$160+1.75*(0-'TO HOP'!$S$62))</f>
        <v/>
      </c>
      <c r="L142" s="42" t="s">
        <v>1579</v>
      </c>
      <c r="M142" s="42">
        <v>7</v>
      </c>
    </row>
    <row r="143" spans="1:13" x14ac:dyDescent="0.3">
      <c r="A143" s="42" t="str">
        <f>IF(8&lt;=nLan,"CĐ I(a) max - 2 nhịp đúng tâm "&amp;8&amp;" làn","")</f>
        <v/>
      </c>
      <c r="B143" s="58" t="str">
        <f>IF($A143="","",'TO HOP'!$C$160+1.75*(0-'TO HOP'!$S$53))</f>
        <v/>
      </c>
      <c r="C143" s="58" t="str">
        <f>IF($A143="","",'TO HOP'!$D$160+1.75*(0-'TO HOP'!$S$54))</f>
        <v/>
      </c>
      <c r="D143" s="58" t="str">
        <f>IF($A143="","",'TO HOP'!$E$160+1.75*(INDEX('LANE ENGINE'!$D$6:$D$45,8)-'TO HOP'!$S$55))</f>
        <v/>
      </c>
      <c r="E143" s="58" t="str">
        <f>IF($A143="","",'TO HOP'!$F$160+1.75*(0-'TO HOP'!$S$56))</f>
        <v/>
      </c>
      <c r="F143" s="58" t="str">
        <f>IF($A143="","",'TO HOP'!$G$160+1.75*(0-'TO HOP'!$S$57))</f>
        <v/>
      </c>
      <c r="G143" s="58" t="str">
        <f>IF($A143="","",'TO HOP'!$H$160+1.75*(0-'TO HOP'!$S$58))</f>
        <v/>
      </c>
      <c r="H143" s="58" t="str">
        <f>IF($A143="","",'TO HOP'!$I$160+1.75*(0-'TO HOP'!$S$59))</f>
        <v/>
      </c>
      <c r="I143" s="58" t="str">
        <f>IF($A143="","",'TO HOP'!$J$160+1.75*(INDEX('LANE ENGINE'!$D$6:$D$45,8)-'TO HOP'!$S$60))</f>
        <v/>
      </c>
      <c r="J143" s="58" t="str">
        <f>IF($A143="","",'TO HOP'!$K$160+1.75*(0-'TO HOP'!$S$61))</f>
        <v/>
      </c>
      <c r="K143" s="58" t="str">
        <f>IF($A143="","",'TO HOP'!$L$160+1.75*(0-'TO HOP'!$S$62))</f>
        <v/>
      </c>
      <c r="L143" s="42" t="s">
        <v>1579</v>
      </c>
      <c r="M143" s="42">
        <v>8</v>
      </c>
    </row>
    <row r="144" spans="1:13" x14ac:dyDescent="0.3">
      <c r="A144" s="42" t="str">
        <f>IF(9&lt;=nLan,"CĐ I(a) max - 2 nhịp đúng tâm "&amp;9&amp;" làn","")</f>
        <v/>
      </c>
      <c r="B144" s="58" t="str">
        <f>IF($A144="","",'TO HOP'!$C$160+1.75*(0-'TO HOP'!$S$53))</f>
        <v/>
      </c>
      <c r="C144" s="58" t="str">
        <f>IF($A144="","",'TO HOP'!$D$160+1.75*(0-'TO HOP'!$S$54))</f>
        <v/>
      </c>
      <c r="D144" s="58" t="str">
        <f>IF($A144="","",'TO HOP'!$E$160+1.75*(INDEX('LANE ENGINE'!$D$6:$D$45,9)-'TO HOP'!$S$55))</f>
        <v/>
      </c>
      <c r="E144" s="58" t="str">
        <f>IF($A144="","",'TO HOP'!$F$160+1.75*(0-'TO HOP'!$S$56))</f>
        <v/>
      </c>
      <c r="F144" s="58" t="str">
        <f>IF($A144="","",'TO HOP'!$G$160+1.75*(0-'TO HOP'!$S$57))</f>
        <v/>
      </c>
      <c r="G144" s="58" t="str">
        <f>IF($A144="","",'TO HOP'!$H$160+1.75*(0-'TO HOP'!$S$58))</f>
        <v/>
      </c>
      <c r="H144" s="58" t="str">
        <f>IF($A144="","",'TO HOP'!$I$160+1.75*(0-'TO HOP'!$S$59))</f>
        <v/>
      </c>
      <c r="I144" s="58" t="str">
        <f>IF($A144="","",'TO HOP'!$J$160+1.75*(INDEX('LANE ENGINE'!$D$6:$D$45,9)-'TO HOP'!$S$60))</f>
        <v/>
      </c>
      <c r="J144" s="58" t="str">
        <f>IF($A144="","",'TO HOP'!$K$160+1.75*(0-'TO HOP'!$S$61))</f>
        <v/>
      </c>
      <c r="K144" s="58" t="str">
        <f>IF($A144="","",'TO HOP'!$L$160+1.75*(0-'TO HOP'!$S$62))</f>
        <v/>
      </c>
      <c r="L144" s="42" t="s">
        <v>1579</v>
      </c>
      <c r="M144" s="42">
        <v>9</v>
      </c>
    </row>
    <row r="145" spans="1:13" x14ac:dyDescent="0.3">
      <c r="A145" s="42" t="str">
        <f>IF(10&lt;=nLan,"CĐ I(a) max - 2 nhịp đúng tâm "&amp;10&amp;" làn","")</f>
        <v/>
      </c>
      <c r="B145" s="58" t="str">
        <f>IF($A145="","",'TO HOP'!$C$160+1.75*(0-'TO HOP'!$S$53))</f>
        <v/>
      </c>
      <c r="C145" s="58" t="str">
        <f>IF($A145="","",'TO HOP'!$D$160+1.75*(0-'TO HOP'!$S$54))</f>
        <v/>
      </c>
      <c r="D145" s="58" t="str">
        <f>IF($A145="","",'TO HOP'!$E$160+1.75*(INDEX('LANE ENGINE'!$D$6:$D$45,10)-'TO HOP'!$S$55))</f>
        <v/>
      </c>
      <c r="E145" s="58" t="str">
        <f>IF($A145="","",'TO HOP'!$F$160+1.75*(0-'TO HOP'!$S$56))</f>
        <v/>
      </c>
      <c r="F145" s="58" t="str">
        <f>IF($A145="","",'TO HOP'!$G$160+1.75*(0-'TO HOP'!$S$57))</f>
        <v/>
      </c>
      <c r="G145" s="58" t="str">
        <f>IF($A145="","",'TO HOP'!$H$160+1.75*(0-'TO HOP'!$S$58))</f>
        <v/>
      </c>
      <c r="H145" s="58" t="str">
        <f>IF($A145="","",'TO HOP'!$I$160+1.75*(0-'TO HOP'!$S$59))</f>
        <v/>
      </c>
      <c r="I145" s="58" t="str">
        <f>IF($A145="","",'TO HOP'!$J$160+1.75*(INDEX('LANE ENGINE'!$D$6:$D$45,10)-'TO HOP'!$S$60))</f>
        <v/>
      </c>
      <c r="J145" s="58" t="str">
        <f>IF($A145="","",'TO HOP'!$K$160+1.75*(0-'TO HOP'!$S$61))</f>
        <v/>
      </c>
      <c r="K145" s="58" t="str">
        <f>IF($A145="","",'TO HOP'!$L$160+1.75*(0-'TO HOP'!$S$62))</f>
        <v/>
      </c>
      <c r="L145" s="42" t="s">
        <v>1579</v>
      </c>
      <c r="M145" s="42">
        <v>10</v>
      </c>
    </row>
    <row r="146" spans="1:13" x14ac:dyDescent="0.3">
      <c r="A146" s="42" t="str">
        <f>IF(11&lt;=nLan,"CĐ I(a) max - 2 nhịp đúng tâm "&amp;11&amp;" làn","")</f>
        <v/>
      </c>
      <c r="B146" s="58" t="str">
        <f>IF($A146="","",'TO HOP'!$C$160+1.75*(0-'TO HOP'!$S$53))</f>
        <v/>
      </c>
      <c r="C146" s="58" t="str">
        <f>IF($A146="","",'TO HOP'!$D$160+1.75*(0-'TO HOP'!$S$54))</f>
        <v/>
      </c>
      <c r="D146" s="58" t="str">
        <f>IF($A146="","",'TO HOP'!$E$160+1.75*(INDEX('LANE ENGINE'!$D$6:$D$45,11)-'TO HOP'!$S$55))</f>
        <v/>
      </c>
      <c r="E146" s="58" t="str">
        <f>IF($A146="","",'TO HOP'!$F$160+1.75*(0-'TO HOP'!$S$56))</f>
        <v/>
      </c>
      <c r="F146" s="58" t="str">
        <f>IF($A146="","",'TO HOP'!$G$160+1.75*(0-'TO HOP'!$S$57))</f>
        <v/>
      </c>
      <c r="G146" s="58" t="str">
        <f>IF($A146="","",'TO HOP'!$H$160+1.75*(0-'TO HOP'!$S$58))</f>
        <v/>
      </c>
      <c r="H146" s="58" t="str">
        <f>IF($A146="","",'TO HOP'!$I$160+1.75*(0-'TO HOP'!$S$59))</f>
        <v/>
      </c>
      <c r="I146" s="58" t="str">
        <f>IF($A146="","",'TO HOP'!$J$160+1.75*(INDEX('LANE ENGINE'!$D$6:$D$45,11)-'TO HOP'!$S$60))</f>
        <v/>
      </c>
      <c r="J146" s="58" t="str">
        <f>IF($A146="","",'TO HOP'!$K$160+1.75*(0-'TO HOP'!$S$61))</f>
        <v/>
      </c>
      <c r="K146" s="58" t="str">
        <f>IF($A146="","",'TO HOP'!$L$160+1.75*(0-'TO HOP'!$S$62))</f>
        <v/>
      </c>
      <c r="L146" s="42" t="s">
        <v>1579</v>
      </c>
      <c r="M146" s="42">
        <v>11</v>
      </c>
    </row>
    <row r="147" spans="1:13" x14ac:dyDescent="0.3">
      <c r="A147" s="42" t="str">
        <f>IF(12&lt;=nLan,"CĐ I(a) max - 2 nhịp đúng tâm "&amp;12&amp;" làn","")</f>
        <v/>
      </c>
      <c r="B147" s="58" t="str">
        <f>IF($A147="","",'TO HOP'!$C$160+1.75*(0-'TO HOP'!$S$53))</f>
        <v/>
      </c>
      <c r="C147" s="58" t="str">
        <f>IF($A147="","",'TO HOP'!$D$160+1.75*(0-'TO HOP'!$S$54))</f>
        <v/>
      </c>
      <c r="D147" s="58" t="str">
        <f>IF($A147="","",'TO HOP'!$E$160+1.75*(INDEX('LANE ENGINE'!$D$6:$D$45,12)-'TO HOP'!$S$55))</f>
        <v/>
      </c>
      <c r="E147" s="58" t="str">
        <f>IF($A147="","",'TO HOP'!$F$160+1.75*(0-'TO HOP'!$S$56))</f>
        <v/>
      </c>
      <c r="F147" s="58" t="str">
        <f>IF($A147="","",'TO HOP'!$G$160+1.75*(0-'TO HOP'!$S$57))</f>
        <v/>
      </c>
      <c r="G147" s="58" t="str">
        <f>IF($A147="","",'TO HOP'!$H$160+1.75*(0-'TO HOP'!$S$58))</f>
        <v/>
      </c>
      <c r="H147" s="58" t="str">
        <f>IF($A147="","",'TO HOP'!$I$160+1.75*(0-'TO HOP'!$S$59))</f>
        <v/>
      </c>
      <c r="I147" s="58" t="str">
        <f>IF($A147="","",'TO HOP'!$J$160+1.75*(INDEX('LANE ENGINE'!$D$6:$D$45,12)-'TO HOP'!$S$60))</f>
        <v/>
      </c>
      <c r="J147" s="58" t="str">
        <f>IF($A147="","",'TO HOP'!$K$160+1.75*(0-'TO HOP'!$S$61))</f>
        <v/>
      </c>
      <c r="K147" s="58" t="str">
        <f>IF($A147="","",'TO HOP'!$L$160+1.75*(0-'TO HOP'!$S$62))</f>
        <v/>
      </c>
      <c r="L147" s="42" t="s">
        <v>1579</v>
      </c>
      <c r="M147" s="42">
        <v>12</v>
      </c>
    </row>
    <row r="148" spans="1:13" x14ac:dyDescent="0.3">
      <c r="A148" s="42" t="str">
        <f>IF(13&lt;=nLan,"CĐ I(a) max - 2 nhịp đúng tâm "&amp;13&amp;" làn","")</f>
        <v/>
      </c>
      <c r="B148" s="58" t="str">
        <f>IF($A148="","",'TO HOP'!$C$160+1.75*(0-'TO HOP'!$S$53))</f>
        <v/>
      </c>
      <c r="C148" s="58" t="str">
        <f>IF($A148="","",'TO HOP'!$D$160+1.75*(0-'TO HOP'!$S$54))</f>
        <v/>
      </c>
      <c r="D148" s="58" t="str">
        <f>IF($A148="","",'TO HOP'!$E$160+1.75*(INDEX('LANE ENGINE'!$D$6:$D$45,13)-'TO HOP'!$S$55))</f>
        <v/>
      </c>
      <c r="E148" s="58" t="str">
        <f>IF($A148="","",'TO HOP'!$F$160+1.75*(0-'TO HOP'!$S$56))</f>
        <v/>
      </c>
      <c r="F148" s="58" t="str">
        <f>IF($A148="","",'TO HOP'!$G$160+1.75*(0-'TO HOP'!$S$57))</f>
        <v/>
      </c>
      <c r="G148" s="58" t="str">
        <f>IF($A148="","",'TO HOP'!$H$160+1.75*(0-'TO HOP'!$S$58))</f>
        <v/>
      </c>
      <c r="H148" s="58" t="str">
        <f>IF($A148="","",'TO HOP'!$I$160+1.75*(0-'TO HOP'!$S$59))</f>
        <v/>
      </c>
      <c r="I148" s="58" t="str">
        <f>IF($A148="","",'TO HOP'!$J$160+1.75*(INDEX('LANE ENGINE'!$D$6:$D$45,13)-'TO HOP'!$S$60))</f>
        <v/>
      </c>
      <c r="J148" s="58" t="str">
        <f>IF($A148="","",'TO HOP'!$K$160+1.75*(0-'TO HOP'!$S$61))</f>
        <v/>
      </c>
      <c r="K148" s="58" t="str">
        <f>IF($A148="","",'TO HOP'!$L$160+1.75*(0-'TO HOP'!$S$62))</f>
        <v/>
      </c>
      <c r="L148" s="42" t="s">
        <v>1579</v>
      </c>
      <c r="M148" s="42">
        <v>13</v>
      </c>
    </row>
    <row r="149" spans="1:13" x14ac:dyDescent="0.3">
      <c r="A149" s="42" t="str">
        <f>IF(14&lt;=nLan,"CĐ I(a) max - 2 nhịp đúng tâm "&amp;14&amp;" làn","")</f>
        <v/>
      </c>
      <c r="B149" s="58" t="str">
        <f>IF($A149="","",'TO HOP'!$C$160+1.75*(0-'TO HOP'!$S$53))</f>
        <v/>
      </c>
      <c r="C149" s="58" t="str">
        <f>IF($A149="","",'TO HOP'!$D$160+1.75*(0-'TO HOP'!$S$54))</f>
        <v/>
      </c>
      <c r="D149" s="58" t="str">
        <f>IF($A149="","",'TO HOP'!$E$160+1.75*(INDEX('LANE ENGINE'!$D$6:$D$45,14)-'TO HOP'!$S$55))</f>
        <v/>
      </c>
      <c r="E149" s="58" t="str">
        <f>IF($A149="","",'TO HOP'!$F$160+1.75*(0-'TO HOP'!$S$56))</f>
        <v/>
      </c>
      <c r="F149" s="58" t="str">
        <f>IF($A149="","",'TO HOP'!$G$160+1.75*(0-'TO HOP'!$S$57))</f>
        <v/>
      </c>
      <c r="G149" s="58" t="str">
        <f>IF($A149="","",'TO HOP'!$H$160+1.75*(0-'TO HOP'!$S$58))</f>
        <v/>
      </c>
      <c r="H149" s="58" t="str">
        <f>IF($A149="","",'TO HOP'!$I$160+1.75*(0-'TO HOP'!$S$59))</f>
        <v/>
      </c>
      <c r="I149" s="58" t="str">
        <f>IF($A149="","",'TO HOP'!$J$160+1.75*(INDEX('LANE ENGINE'!$D$6:$D$45,14)-'TO HOP'!$S$60))</f>
        <v/>
      </c>
      <c r="J149" s="58" t="str">
        <f>IF($A149="","",'TO HOP'!$K$160+1.75*(0-'TO HOP'!$S$61))</f>
        <v/>
      </c>
      <c r="K149" s="58" t="str">
        <f>IF($A149="","",'TO HOP'!$L$160+1.75*(0-'TO HOP'!$S$62))</f>
        <v/>
      </c>
      <c r="L149" s="42" t="s">
        <v>1579</v>
      </c>
      <c r="M149" s="42">
        <v>14</v>
      </c>
    </row>
    <row r="150" spans="1:13" x14ac:dyDescent="0.3">
      <c r="A150" s="42" t="str">
        <f>IF(15&lt;=nLan,"CĐ I(a) max - 2 nhịp đúng tâm "&amp;15&amp;" làn","")</f>
        <v/>
      </c>
      <c r="B150" s="58" t="str">
        <f>IF($A150="","",'TO HOP'!$C$160+1.75*(0-'TO HOP'!$S$53))</f>
        <v/>
      </c>
      <c r="C150" s="58" t="str">
        <f>IF($A150="","",'TO HOP'!$D$160+1.75*(0-'TO HOP'!$S$54))</f>
        <v/>
      </c>
      <c r="D150" s="58" t="str">
        <f>IF($A150="","",'TO HOP'!$E$160+1.75*(INDEX('LANE ENGINE'!$D$6:$D$45,15)-'TO HOP'!$S$55))</f>
        <v/>
      </c>
      <c r="E150" s="58" t="str">
        <f>IF($A150="","",'TO HOP'!$F$160+1.75*(0-'TO HOP'!$S$56))</f>
        <v/>
      </c>
      <c r="F150" s="58" t="str">
        <f>IF($A150="","",'TO HOP'!$G$160+1.75*(0-'TO HOP'!$S$57))</f>
        <v/>
      </c>
      <c r="G150" s="58" t="str">
        <f>IF($A150="","",'TO HOP'!$H$160+1.75*(0-'TO HOP'!$S$58))</f>
        <v/>
      </c>
      <c r="H150" s="58" t="str">
        <f>IF($A150="","",'TO HOP'!$I$160+1.75*(0-'TO HOP'!$S$59))</f>
        <v/>
      </c>
      <c r="I150" s="58" t="str">
        <f>IF($A150="","",'TO HOP'!$J$160+1.75*(INDEX('LANE ENGINE'!$D$6:$D$45,15)-'TO HOP'!$S$60))</f>
        <v/>
      </c>
      <c r="J150" s="58" t="str">
        <f>IF($A150="","",'TO HOP'!$K$160+1.75*(0-'TO HOP'!$S$61))</f>
        <v/>
      </c>
      <c r="K150" s="58" t="str">
        <f>IF($A150="","",'TO HOP'!$L$160+1.75*(0-'TO HOP'!$S$62))</f>
        <v/>
      </c>
      <c r="L150" s="42" t="s">
        <v>1579</v>
      </c>
      <c r="M150" s="42">
        <v>15</v>
      </c>
    </row>
    <row r="151" spans="1:13" x14ac:dyDescent="0.3">
      <c r="A151" s="42" t="str">
        <f>IF(16&lt;=nLan,"CĐ I(a) max - 2 nhịp đúng tâm "&amp;16&amp;" làn","")</f>
        <v/>
      </c>
      <c r="B151" s="58" t="str">
        <f>IF($A151="","",'TO HOP'!$C$160+1.75*(0-'TO HOP'!$S$53))</f>
        <v/>
      </c>
      <c r="C151" s="58" t="str">
        <f>IF($A151="","",'TO HOP'!$D$160+1.75*(0-'TO HOP'!$S$54))</f>
        <v/>
      </c>
      <c r="D151" s="58" t="str">
        <f>IF($A151="","",'TO HOP'!$E$160+1.75*(INDEX('LANE ENGINE'!$D$6:$D$45,16)-'TO HOP'!$S$55))</f>
        <v/>
      </c>
      <c r="E151" s="58" t="str">
        <f>IF($A151="","",'TO HOP'!$F$160+1.75*(0-'TO HOP'!$S$56))</f>
        <v/>
      </c>
      <c r="F151" s="58" t="str">
        <f>IF($A151="","",'TO HOP'!$G$160+1.75*(0-'TO HOP'!$S$57))</f>
        <v/>
      </c>
      <c r="G151" s="58" t="str">
        <f>IF($A151="","",'TO HOP'!$H$160+1.75*(0-'TO HOP'!$S$58))</f>
        <v/>
      </c>
      <c r="H151" s="58" t="str">
        <f>IF($A151="","",'TO HOP'!$I$160+1.75*(0-'TO HOP'!$S$59))</f>
        <v/>
      </c>
      <c r="I151" s="58" t="str">
        <f>IF($A151="","",'TO HOP'!$J$160+1.75*(INDEX('LANE ENGINE'!$D$6:$D$45,16)-'TO HOP'!$S$60))</f>
        <v/>
      </c>
      <c r="J151" s="58" t="str">
        <f>IF($A151="","",'TO HOP'!$K$160+1.75*(0-'TO HOP'!$S$61))</f>
        <v/>
      </c>
      <c r="K151" s="58" t="str">
        <f>IF($A151="","",'TO HOP'!$L$160+1.75*(0-'TO HOP'!$S$62))</f>
        <v/>
      </c>
      <c r="L151" s="42" t="s">
        <v>1579</v>
      </c>
      <c r="M151" s="42">
        <v>16</v>
      </c>
    </row>
    <row r="152" spans="1:13" x14ac:dyDescent="0.3">
      <c r="A152" s="42" t="str">
        <f>IF(17&lt;=nLan,"CĐ I(a) max - 2 nhịp đúng tâm "&amp;17&amp;" làn","")</f>
        <v/>
      </c>
      <c r="B152" s="58" t="str">
        <f>IF($A152="","",'TO HOP'!$C$160+1.75*(0-'TO HOP'!$S$53))</f>
        <v/>
      </c>
      <c r="C152" s="58" t="str">
        <f>IF($A152="","",'TO HOP'!$D$160+1.75*(0-'TO HOP'!$S$54))</f>
        <v/>
      </c>
      <c r="D152" s="58" t="str">
        <f>IF($A152="","",'TO HOP'!$E$160+1.75*(INDEX('LANE ENGINE'!$D$6:$D$45,17)-'TO HOP'!$S$55))</f>
        <v/>
      </c>
      <c r="E152" s="58" t="str">
        <f>IF($A152="","",'TO HOP'!$F$160+1.75*(0-'TO HOP'!$S$56))</f>
        <v/>
      </c>
      <c r="F152" s="58" t="str">
        <f>IF($A152="","",'TO HOP'!$G$160+1.75*(0-'TO HOP'!$S$57))</f>
        <v/>
      </c>
      <c r="G152" s="58" t="str">
        <f>IF($A152="","",'TO HOP'!$H$160+1.75*(0-'TO HOP'!$S$58))</f>
        <v/>
      </c>
      <c r="H152" s="58" t="str">
        <f>IF($A152="","",'TO HOP'!$I$160+1.75*(0-'TO HOP'!$S$59))</f>
        <v/>
      </c>
      <c r="I152" s="58" t="str">
        <f>IF($A152="","",'TO HOP'!$J$160+1.75*(INDEX('LANE ENGINE'!$D$6:$D$45,17)-'TO HOP'!$S$60))</f>
        <v/>
      </c>
      <c r="J152" s="58" t="str">
        <f>IF($A152="","",'TO HOP'!$K$160+1.75*(0-'TO HOP'!$S$61))</f>
        <v/>
      </c>
      <c r="K152" s="58" t="str">
        <f>IF($A152="","",'TO HOP'!$L$160+1.75*(0-'TO HOP'!$S$62))</f>
        <v/>
      </c>
      <c r="L152" s="42" t="s">
        <v>1579</v>
      </c>
      <c r="M152" s="42">
        <v>17</v>
      </c>
    </row>
    <row r="153" spans="1:13" x14ac:dyDescent="0.3">
      <c r="A153" s="42" t="str">
        <f>IF(18&lt;=nLan,"CĐ I(a) max - 2 nhịp đúng tâm "&amp;18&amp;" làn","")</f>
        <v/>
      </c>
      <c r="B153" s="58" t="str">
        <f>IF($A153="","",'TO HOP'!$C$160+1.75*(0-'TO HOP'!$S$53))</f>
        <v/>
      </c>
      <c r="C153" s="58" t="str">
        <f>IF($A153="","",'TO HOP'!$D$160+1.75*(0-'TO HOP'!$S$54))</f>
        <v/>
      </c>
      <c r="D153" s="58" t="str">
        <f>IF($A153="","",'TO HOP'!$E$160+1.75*(INDEX('LANE ENGINE'!$D$6:$D$45,18)-'TO HOP'!$S$55))</f>
        <v/>
      </c>
      <c r="E153" s="58" t="str">
        <f>IF($A153="","",'TO HOP'!$F$160+1.75*(0-'TO HOP'!$S$56))</f>
        <v/>
      </c>
      <c r="F153" s="58" t="str">
        <f>IF($A153="","",'TO HOP'!$G$160+1.75*(0-'TO HOP'!$S$57))</f>
        <v/>
      </c>
      <c r="G153" s="58" t="str">
        <f>IF($A153="","",'TO HOP'!$H$160+1.75*(0-'TO HOP'!$S$58))</f>
        <v/>
      </c>
      <c r="H153" s="58" t="str">
        <f>IF($A153="","",'TO HOP'!$I$160+1.75*(0-'TO HOP'!$S$59))</f>
        <v/>
      </c>
      <c r="I153" s="58" t="str">
        <f>IF($A153="","",'TO HOP'!$J$160+1.75*(INDEX('LANE ENGINE'!$D$6:$D$45,18)-'TO HOP'!$S$60))</f>
        <v/>
      </c>
      <c r="J153" s="58" t="str">
        <f>IF($A153="","",'TO HOP'!$K$160+1.75*(0-'TO HOP'!$S$61))</f>
        <v/>
      </c>
      <c r="K153" s="58" t="str">
        <f>IF($A153="","",'TO HOP'!$L$160+1.75*(0-'TO HOP'!$S$62))</f>
        <v/>
      </c>
      <c r="L153" s="42" t="s">
        <v>1579</v>
      </c>
      <c r="M153" s="42">
        <v>18</v>
      </c>
    </row>
    <row r="154" spans="1:13" x14ac:dyDescent="0.3">
      <c r="A154" s="42" t="str">
        <f>IF(19&lt;=nLan,"CĐ I(a) max - 2 nhịp đúng tâm "&amp;19&amp;" làn","")</f>
        <v/>
      </c>
      <c r="B154" s="58" t="str">
        <f>IF($A154="","",'TO HOP'!$C$160+1.75*(0-'TO HOP'!$S$53))</f>
        <v/>
      </c>
      <c r="C154" s="58" t="str">
        <f>IF($A154="","",'TO HOP'!$D$160+1.75*(0-'TO HOP'!$S$54))</f>
        <v/>
      </c>
      <c r="D154" s="58" t="str">
        <f>IF($A154="","",'TO HOP'!$E$160+1.75*(INDEX('LANE ENGINE'!$D$6:$D$45,19)-'TO HOP'!$S$55))</f>
        <v/>
      </c>
      <c r="E154" s="58" t="str">
        <f>IF($A154="","",'TO HOP'!$F$160+1.75*(0-'TO HOP'!$S$56))</f>
        <v/>
      </c>
      <c r="F154" s="58" t="str">
        <f>IF($A154="","",'TO HOP'!$G$160+1.75*(0-'TO HOP'!$S$57))</f>
        <v/>
      </c>
      <c r="G154" s="58" t="str">
        <f>IF($A154="","",'TO HOP'!$H$160+1.75*(0-'TO HOP'!$S$58))</f>
        <v/>
      </c>
      <c r="H154" s="58" t="str">
        <f>IF($A154="","",'TO HOP'!$I$160+1.75*(0-'TO HOP'!$S$59))</f>
        <v/>
      </c>
      <c r="I154" s="58" t="str">
        <f>IF($A154="","",'TO HOP'!$J$160+1.75*(INDEX('LANE ENGINE'!$D$6:$D$45,19)-'TO HOP'!$S$60))</f>
        <v/>
      </c>
      <c r="J154" s="58" t="str">
        <f>IF($A154="","",'TO HOP'!$K$160+1.75*(0-'TO HOP'!$S$61))</f>
        <v/>
      </c>
      <c r="K154" s="58" t="str">
        <f>IF($A154="","",'TO HOP'!$L$160+1.75*(0-'TO HOP'!$S$62))</f>
        <v/>
      </c>
      <c r="L154" s="42" t="s">
        <v>1579</v>
      </c>
      <c r="M154" s="42">
        <v>19</v>
      </c>
    </row>
    <row r="155" spans="1:13" x14ac:dyDescent="0.3">
      <c r="A155" s="42" t="str">
        <f>IF(20&lt;=nLan,"CĐ I(a) max - 2 nhịp đúng tâm "&amp;20&amp;" làn","")</f>
        <v/>
      </c>
      <c r="B155" s="58" t="str">
        <f>IF($A155="","",'TO HOP'!$C$160+1.75*(0-'TO HOP'!$S$53))</f>
        <v/>
      </c>
      <c r="C155" s="58" t="str">
        <f>IF($A155="","",'TO HOP'!$D$160+1.75*(0-'TO HOP'!$S$54))</f>
        <v/>
      </c>
      <c r="D155" s="58" t="str">
        <f>IF($A155="","",'TO HOP'!$E$160+1.75*(INDEX('LANE ENGINE'!$D$6:$D$45,20)-'TO HOP'!$S$55))</f>
        <v/>
      </c>
      <c r="E155" s="58" t="str">
        <f>IF($A155="","",'TO HOP'!$F$160+1.75*(0-'TO HOP'!$S$56))</f>
        <v/>
      </c>
      <c r="F155" s="58" t="str">
        <f>IF($A155="","",'TO HOP'!$G$160+1.75*(0-'TO HOP'!$S$57))</f>
        <v/>
      </c>
      <c r="G155" s="58" t="str">
        <f>IF($A155="","",'TO HOP'!$H$160+1.75*(0-'TO HOP'!$S$58))</f>
        <v/>
      </c>
      <c r="H155" s="58" t="str">
        <f>IF($A155="","",'TO HOP'!$I$160+1.75*(0-'TO HOP'!$S$59))</f>
        <v/>
      </c>
      <c r="I155" s="58" t="str">
        <f>IF($A155="","",'TO HOP'!$J$160+1.75*(INDEX('LANE ENGINE'!$D$6:$D$45,20)-'TO HOP'!$S$60))</f>
        <v/>
      </c>
      <c r="J155" s="58" t="str">
        <f>IF($A155="","",'TO HOP'!$K$160+1.75*(0-'TO HOP'!$S$61))</f>
        <v/>
      </c>
      <c r="K155" s="58" t="str">
        <f>IF($A155="","",'TO HOP'!$L$160+1.75*(0-'TO HOP'!$S$62))</f>
        <v/>
      </c>
      <c r="L155" s="42" t="s">
        <v>1579</v>
      </c>
      <c r="M155" s="42">
        <v>20</v>
      </c>
    </row>
    <row r="156" spans="1:13" x14ac:dyDescent="0.3">
      <c r="A156" s="42" t="str">
        <f>IF(21&lt;=nLan,"CĐ I(a) max - 2 nhịp đúng tâm "&amp;21&amp;" làn","")</f>
        <v/>
      </c>
      <c r="B156" s="58" t="str">
        <f>IF($A156="","",'TO HOP'!$C$160+1.75*(0-'TO HOP'!$S$53))</f>
        <v/>
      </c>
      <c r="C156" s="58" t="str">
        <f>IF($A156="","",'TO HOP'!$D$160+1.75*(0-'TO HOP'!$S$54))</f>
        <v/>
      </c>
      <c r="D156" s="58" t="str">
        <f>IF($A156="","",'TO HOP'!$E$160+1.75*(INDEX('LANE ENGINE'!$D$6:$D$45,21)-'TO HOP'!$S$55))</f>
        <v/>
      </c>
      <c r="E156" s="58" t="str">
        <f>IF($A156="","",'TO HOP'!$F$160+1.75*(0-'TO HOP'!$S$56))</f>
        <v/>
      </c>
      <c r="F156" s="58" t="str">
        <f>IF($A156="","",'TO HOP'!$G$160+1.75*(0-'TO HOP'!$S$57))</f>
        <v/>
      </c>
      <c r="G156" s="58" t="str">
        <f>IF($A156="","",'TO HOP'!$H$160+1.75*(0-'TO HOP'!$S$58))</f>
        <v/>
      </c>
      <c r="H156" s="58" t="str">
        <f>IF($A156="","",'TO HOP'!$I$160+1.75*(0-'TO HOP'!$S$59))</f>
        <v/>
      </c>
      <c r="I156" s="58" t="str">
        <f>IF($A156="","",'TO HOP'!$J$160+1.75*(INDEX('LANE ENGINE'!$D$6:$D$45,21)-'TO HOP'!$S$60))</f>
        <v/>
      </c>
      <c r="J156" s="58" t="str">
        <f>IF($A156="","",'TO HOP'!$K$160+1.75*(0-'TO HOP'!$S$61))</f>
        <v/>
      </c>
      <c r="K156" s="58" t="str">
        <f>IF($A156="","",'TO HOP'!$L$160+1.75*(0-'TO HOP'!$S$62))</f>
        <v/>
      </c>
      <c r="L156" s="42" t="s">
        <v>1579</v>
      </c>
      <c r="M156" s="42">
        <v>21</v>
      </c>
    </row>
    <row r="157" spans="1:13" x14ac:dyDescent="0.3">
      <c r="A157" s="42" t="str">
        <f>IF(22&lt;=nLan,"CĐ I(a) max - 2 nhịp đúng tâm "&amp;22&amp;" làn","")</f>
        <v/>
      </c>
      <c r="B157" s="58" t="str">
        <f>IF($A157="","",'TO HOP'!$C$160+1.75*(0-'TO HOP'!$S$53))</f>
        <v/>
      </c>
      <c r="C157" s="58" t="str">
        <f>IF($A157="","",'TO HOP'!$D$160+1.75*(0-'TO HOP'!$S$54))</f>
        <v/>
      </c>
      <c r="D157" s="58" t="str">
        <f>IF($A157="","",'TO HOP'!$E$160+1.75*(INDEX('LANE ENGINE'!$D$6:$D$45,22)-'TO HOP'!$S$55))</f>
        <v/>
      </c>
      <c r="E157" s="58" t="str">
        <f>IF($A157="","",'TO HOP'!$F$160+1.75*(0-'TO HOP'!$S$56))</f>
        <v/>
      </c>
      <c r="F157" s="58" t="str">
        <f>IF($A157="","",'TO HOP'!$G$160+1.75*(0-'TO HOP'!$S$57))</f>
        <v/>
      </c>
      <c r="G157" s="58" t="str">
        <f>IF($A157="","",'TO HOP'!$H$160+1.75*(0-'TO HOP'!$S$58))</f>
        <v/>
      </c>
      <c r="H157" s="58" t="str">
        <f>IF($A157="","",'TO HOP'!$I$160+1.75*(0-'TO HOP'!$S$59))</f>
        <v/>
      </c>
      <c r="I157" s="58" t="str">
        <f>IF($A157="","",'TO HOP'!$J$160+1.75*(INDEX('LANE ENGINE'!$D$6:$D$45,22)-'TO HOP'!$S$60))</f>
        <v/>
      </c>
      <c r="J157" s="58" t="str">
        <f>IF($A157="","",'TO HOP'!$K$160+1.75*(0-'TO HOP'!$S$61))</f>
        <v/>
      </c>
      <c r="K157" s="58" t="str">
        <f>IF($A157="","",'TO HOP'!$L$160+1.75*(0-'TO HOP'!$S$62))</f>
        <v/>
      </c>
      <c r="L157" s="42" t="s">
        <v>1579</v>
      </c>
      <c r="M157" s="42">
        <v>22</v>
      </c>
    </row>
    <row r="158" spans="1:13" x14ac:dyDescent="0.3">
      <c r="A158" s="42" t="str">
        <f>IF(23&lt;=nLan,"CĐ I(a) max - 2 nhịp đúng tâm "&amp;23&amp;" làn","")</f>
        <v/>
      </c>
      <c r="B158" s="58" t="str">
        <f>IF($A158="","",'TO HOP'!$C$160+1.75*(0-'TO HOP'!$S$53))</f>
        <v/>
      </c>
      <c r="C158" s="58" t="str">
        <f>IF($A158="","",'TO HOP'!$D$160+1.75*(0-'TO HOP'!$S$54))</f>
        <v/>
      </c>
      <c r="D158" s="58" t="str">
        <f>IF($A158="","",'TO HOP'!$E$160+1.75*(INDEX('LANE ENGINE'!$D$6:$D$45,23)-'TO HOP'!$S$55))</f>
        <v/>
      </c>
      <c r="E158" s="58" t="str">
        <f>IF($A158="","",'TO HOP'!$F$160+1.75*(0-'TO HOP'!$S$56))</f>
        <v/>
      </c>
      <c r="F158" s="58" t="str">
        <f>IF($A158="","",'TO HOP'!$G$160+1.75*(0-'TO HOP'!$S$57))</f>
        <v/>
      </c>
      <c r="G158" s="58" t="str">
        <f>IF($A158="","",'TO HOP'!$H$160+1.75*(0-'TO HOP'!$S$58))</f>
        <v/>
      </c>
      <c r="H158" s="58" t="str">
        <f>IF($A158="","",'TO HOP'!$I$160+1.75*(0-'TO HOP'!$S$59))</f>
        <v/>
      </c>
      <c r="I158" s="58" t="str">
        <f>IF($A158="","",'TO HOP'!$J$160+1.75*(INDEX('LANE ENGINE'!$D$6:$D$45,23)-'TO HOP'!$S$60))</f>
        <v/>
      </c>
      <c r="J158" s="58" t="str">
        <f>IF($A158="","",'TO HOP'!$K$160+1.75*(0-'TO HOP'!$S$61))</f>
        <v/>
      </c>
      <c r="K158" s="58" t="str">
        <f>IF($A158="","",'TO HOP'!$L$160+1.75*(0-'TO HOP'!$S$62))</f>
        <v/>
      </c>
      <c r="L158" s="42" t="s">
        <v>1579</v>
      </c>
      <c r="M158" s="42">
        <v>23</v>
      </c>
    </row>
    <row r="159" spans="1:13" x14ac:dyDescent="0.3">
      <c r="A159" s="42" t="str">
        <f>IF(24&lt;=nLan,"CĐ I(a) max - 2 nhịp đúng tâm "&amp;24&amp;" làn","")</f>
        <v/>
      </c>
      <c r="B159" s="58" t="str">
        <f>IF($A159="","",'TO HOP'!$C$160+1.75*(0-'TO HOP'!$S$53))</f>
        <v/>
      </c>
      <c r="C159" s="58" t="str">
        <f>IF($A159="","",'TO HOP'!$D$160+1.75*(0-'TO HOP'!$S$54))</f>
        <v/>
      </c>
      <c r="D159" s="58" t="str">
        <f>IF($A159="","",'TO HOP'!$E$160+1.75*(INDEX('LANE ENGINE'!$D$6:$D$45,24)-'TO HOP'!$S$55))</f>
        <v/>
      </c>
      <c r="E159" s="58" t="str">
        <f>IF($A159="","",'TO HOP'!$F$160+1.75*(0-'TO HOP'!$S$56))</f>
        <v/>
      </c>
      <c r="F159" s="58" t="str">
        <f>IF($A159="","",'TO HOP'!$G$160+1.75*(0-'TO HOP'!$S$57))</f>
        <v/>
      </c>
      <c r="G159" s="58" t="str">
        <f>IF($A159="","",'TO HOP'!$H$160+1.75*(0-'TO HOP'!$S$58))</f>
        <v/>
      </c>
      <c r="H159" s="58" t="str">
        <f>IF($A159="","",'TO HOP'!$I$160+1.75*(0-'TO HOP'!$S$59))</f>
        <v/>
      </c>
      <c r="I159" s="58" t="str">
        <f>IF($A159="","",'TO HOP'!$J$160+1.75*(INDEX('LANE ENGINE'!$D$6:$D$45,24)-'TO HOP'!$S$60))</f>
        <v/>
      </c>
      <c r="J159" s="58" t="str">
        <f>IF($A159="","",'TO HOP'!$K$160+1.75*(0-'TO HOP'!$S$61))</f>
        <v/>
      </c>
      <c r="K159" s="58" t="str">
        <f>IF($A159="","",'TO HOP'!$L$160+1.75*(0-'TO HOP'!$S$62))</f>
        <v/>
      </c>
      <c r="L159" s="42" t="s">
        <v>1579</v>
      </c>
      <c r="M159" s="42">
        <v>24</v>
      </c>
    </row>
    <row r="160" spans="1:13" x14ac:dyDescent="0.3">
      <c r="A160" s="42" t="str">
        <f>IF(25&lt;=nLan,"CĐ I(a) max - 2 nhịp đúng tâm "&amp;25&amp;" làn","")</f>
        <v/>
      </c>
      <c r="B160" s="58" t="str">
        <f>IF($A160="","",'TO HOP'!$C$160+1.75*(0-'TO HOP'!$S$53))</f>
        <v/>
      </c>
      <c r="C160" s="58" t="str">
        <f>IF($A160="","",'TO HOP'!$D$160+1.75*(0-'TO HOP'!$S$54))</f>
        <v/>
      </c>
      <c r="D160" s="58" t="str">
        <f>IF($A160="","",'TO HOP'!$E$160+1.75*(INDEX('LANE ENGINE'!$D$6:$D$45,25)-'TO HOP'!$S$55))</f>
        <v/>
      </c>
      <c r="E160" s="58" t="str">
        <f>IF($A160="","",'TO HOP'!$F$160+1.75*(0-'TO HOP'!$S$56))</f>
        <v/>
      </c>
      <c r="F160" s="58" t="str">
        <f>IF($A160="","",'TO HOP'!$G$160+1.75*(0-'TO HOP'!$S$57))</f>
        <v/>
      </c>
      <c r="G160" s="58" t="str">
        <f>IF($A160="","",'TO HOP'!$H$160+1.75*(0-'TO HOP'!$S$58))</f>
        <v/>
      </c>
      <c r="H160" s="58" t="str">
        <f>IF($A160="","",'TO HOP'!$I$160+1.75*(0-'TO HOP'!$S$59))</f>
        <v/>
      </c>
      <c r="I160" s="58" t="str">
        <f>IF($A160="","",'TO HOP'!$J$160+1.75*(INDEX('LANE ENGINE'!$D$6:$D$45,25)-'TO HOP'!$S$60))</f>
        <v/>
      </c>
      <c r="J160" s="58" t="str">
        <f>IF($A160="","",'TO HOP'!$K$160+1.75*(0-'TO HOP'!$S$61))</f>
        <v/>
      </c>
      <c r="K160" s="58" t="str">
        <f>IF($A160="","",'TO HOP'!$L$160+1.75*(0-'TO HOP'!$S$62))</f>
        <v/>
      </c>
      <c r="L160" s="42" t="s">
        <v>1579</v>
      </c>
      <c r="M160" s="42">
        <v>25</v>
      </c>
    </row>
    <row r="161" spans="1:13" x14ac:dyDescent="0.3">
      <c r="A161" s="42" t="str">
        <f>IF(26&lt;=nLan,"CĐ I(a) max - 2 nhịp đúng tâm "&amp;26&amp;" làn","")</f>
        <v/>
      </c>
      <c r="B161" s="58" t="str">
        <f>IF($A161="","",'TO HOP'!$C$160+1.75*(0-'TO HOP'!$S$53))</f>
        <v/>
      </c>
      <c r="C161" s="58" t="str">
        <f>IF($A161="","",'TO HOP'!$D$160+1.75*(0-'TO HOP'!$S$54))</f>
        <v/>
      </c>
      <c r="D161" s="58" t="str">
        <f>IF($A161="","",'TO HOP'!$E$160+1.75*(INDEX('LANE ENGINE'!$D$6:$D$45,26)-'TO HOP'!$S$55))</f>
        <v/>
      </c>
      <c r="E161" s="58" t="str">
        <f>IF($A161="","",'TO HOP'!$F$160+1.75*(0-'TO HOP'!$S$56))</f>
        <v/>
      </c>
      <c r="F161" s="58" t="str">
        <f>IF($A161="","",'TO HOP'!$G$160+1.75*(0-'TO HOP'!$S$57))</f>
        <v/>
      </c>
      <c r="G161" s="58" t="str">
        <f>IF($A161="","",'TO HOP'!$H$160+1.75*(0-'TO HOP'!$S$58))</f>
        <v/>
      </c>
      <c r="H161" s="58" t="str">
        <f>IF($A161="","",'TO HOP'!$I$160+1.75*(0-'TO HOP'!$S$59))</f>
        <v/>
      </c>
      <c r="I161" s="58" t="str">
        <f>IF($A161="","",'TO HOP'!$J$160+1.75*(INDEX('LANE ENGINE'!$D$6:$D$45,26)-'TO HOP'!$S$60))</f>
        <v/>
      </c>
      <c r="J161" s="58" t="str">
        <f>IF($A161="","",'TO HOP'!$K$160+1.75*(0-'TO HOP'!$S$61))</f>
        <v/>
      </c>
      <c r="K161" s="58" t="str">
        <f>IF($A161="","",'TO HOP'!$L$160+1.75*(0-'TO HOP'!$S$62))</f>
        <v/>
      </c>
      <c r="L161" s="42" t="s">
        <v>1579</v>
      </c>
      <c r="M161" s="42">
        <v>26</v>
      </c>
    </row>
    <row r="162" spans="1:13" x14ac:dyDescent="0.3">
      <c r="A162" s="42" t="str">
        <f>IF(27&lt;=nLan,"CĐ I(a) max - 2 nhịp đúng tâm "&amp;27&amp;" làn","")</f>
        <v/>
      </c>
      <c r="B162" s="58" t="str">
        <f>IF($A162="","",'TO HOP'!$C$160+1.75*(0-'TO HOP'!$S$53))</f>
        <v/>
      </c>
      <c r="C162" s="58" t="str">
        <f>IF($A162="","",'TO HOP'!$D$160+1.75*(0-'TO HOP'!$S$54))</f>
        <v/>
      </c>
      <c r="D162" s="58" t="str">
        <f>IF($A162="","",'TO HOP'!$E$160+1.75*(INDEX('LANE ENGINE'!$D$6:$D$45,27)-'TO HOP'!$S$55))</f>
        <v/>
      </c>
      <c r="E162" s="58" t="str">
        <f>IF($A162="","",'TO HOP'!$F$160+1.75*(0-'TO HOP'!$S$56))</f>
        <v/>
      </c>
      <c r="F162" s="58" t="str">
        <f>IF($A162="","",'TO HOP'!$G$160+1.75*(0-'TO HOP'!$S$57))</f>
        <v/>
      </c>
      <c r="G162" s="58" t="str">
        <f>IF($A162="","",'TO HOP'!$H$160+1.75*(0-'TO HOP'!$S$58))</f>
        <v/>
      </c>
      <c r="H162" s="58" t="str">
        <f>IF($A162="","",'TO HOP'!$I$160+1.75*(0-'TO HOP'!$S$59))</f>
        <v/>
      </c>
      <c r="I162" s="58" t="str">
        <f>IF($A162="","",'TO HOP'!$J$160+1.75*(INDEX('LANE ENGINE'!$D$6:$D$45,27)-'TO HOP'!$S$60))</f>
        <v/>
      </c>
      <c r="J162" s="58" t="str">
        <f>IF($A162="","",'TO HOP'!$K$160+1.75*(0-'TO HOP'!$S$61))</f>
        <v/>
      </c>
      <c r="K162" s="58" t="str">
        <f>IF($A162="","",'TO HOP'!$L$160+1.75*(0-'TO HOP'!$S$62))</f>
        <v/>
      </c>
      <c r="L162" s="42" t="s">
        <v>1579</v>
      </c>
      <c r="M162" s="42">
        <v>27</v>
      </c>
    </row>
    <row r="163" spans="1:13" x14ac:dyDescent="0.3">
      <c r="A163" s="42" t="str">
        <f>IF(28&lt;=nLan,"CĐ I(a) max - 2 nhịp đúng tâm "&amp;28&amp;" làn","")</f>
        <v/>
      </c>
      <c r="B163" s="58" t="str">
        <f>IF($A163="","",'TO HOP'!$C$160+1.75*(0-'TO HOP'!$S$53))</f>
        <v/>
      </c>
      <c r="C163" s="58" t="str">
        <f>IF($A163="","",'TO HOP'!$D$160+1.75*(0-'TO HOP'!$S$54))</f>
        <v/>
      </c>
      <c r="D163" s="58" t="str">
        <f>IF($A163="","",'TO HOP'!$E$160+1.75*(INDEX('LANE ENGINE'!$D$6:$D$45,28)-'TO HOP'!$S$55))</f>
        <v/>
      </c>
      <c r="E163" s="58" t="str">
        <f>IF($A163="","",'TO HOP'!$F$160+1.75*(0-'TO HOP'!$S$56))</f>
        <v/>
      </c>
      <c r="F163" s="58" t="str">
        <f>IF($A163="","",'TO HOP'!$G$160+1.75*(0-'TO HOP'!$S$57))</f>
        <v/>
      </c>
      <c r="G163" s="58" t="str">
        <f>IF($A163="","",'TO HOP'!$H$160+1.75*(0-'TO HOP'!$S$58))</f>
        <v/>
      </c>
      <c r="H163" s="58" t="str">
        <f>IF($A163="","",'TO HOP'!$I$160+1.75*(0-'TO HOP'!$S$59))</f>
        <v/>
      </c>
      <c r="I163" s="58" t="str">
        <f>IF($A163="","",'TO HOP'!$J$160+1.75*(INDEX('LANE ENGINE'!$D$6:$D$45,28)-'TO HOP'!$S$60))</f>
        <v/>
      </c>
      <c r="J163" s="58" t="str">
        <f>IF($A163="","",'TO HOP'!$K$160+1.75*(0-'TO HOP'!$S$61))</f>
        <v/>
      </c>
      <c r="K163" s="58" t="str">
        <f>IF($A163="","",'TO HOP'!$L$160+1.75*(0-'TO HOP'!$S$62))</f>
        <v/>
      </c>
      <c r="L163" s="42" t="s">
        <v>1579</v>
      </c>
      <c r="M163" s="42">
        <v>28</v>
      </c>
    </row>
    <row r="164" spans="1:13" x14ac:dyDescent="0.3">
      <c r="A164" s="42" t="str">
        <f>IF(29&lt;=nLan,"CĐ I(a) max - 2 nhịp đúng tâm "&amp;29&amp;" làn","")</f>
        <v/>
      </c>
      <c r="B164" s="58" t="str">
        <f>IF($A164="","",'TO HOP'!$C$160+1.75*(0-'TO HOP'!$S$53))</f>
        <v/>
      </c>
      <c r="C164" s="58" t="str">
        <f>IF($A164="","",'TO HOP'!$D$160+1.75*(0-'TO HOP'!$S$54))</f>
        <v/>
      </c>
      <c r="D164" s="58" t="str">
        <f>IF($A164="","",'TO HOP'!$E$160+1.75*(INDEX('LANE ENGINE'!$D$6:$D$45,29)-'TO HOP'!$S$55))</f>
        <v/>
      </c>
      <c r="E164" s="58" t="str">
        <f>IF($A164="","",'TO HOP'!$F$160+1.75*(0-'TO HOP'!$S$56))</f>
        <v/>
      </c>
      <c r="F164" s="58" t="str">
        <f>IF($A164="","",'TO HOP'!$G$160+1.75*(0-'TO HOP'!$S$57))</f>
        <v/>
      </c>
      <c r="G164" s="58" t="str">
        <f>IF($A164="","",'TO HOP'!$H$160+1.75*(0-'TO HOP'!$S$58))</f>
        <v/>
      </c>
      <c r="H164" s="58" t="str">
        <f>IF($A164="","",'TO HOP'!$I$160+1.75*(0-'TO HOP'!$S$59))</f>
        <v/>
      </c>
      <c r="I164" s="58" t="str">
        <f>IF($A164="","",'TO HOP'!$J$160+1.75*(INDEX('LANE ENGINE'!$D$6:$D$45,29)-'TO HOP'!$S$60))</f>
        <v/>
      </c>
      <c r="J164" s="58" t="str">
        <f>IF($A164="","",'TO HOP'!$K$160+1.75*(0-'TO HOP'!$S$61))</f>
        <v/>
      </c>
      <c r="K164" s="58" t="str">
        <f>IF($A164="","",'TO HOP'!$L$160+1.75*(0-'TO HOP'!$S$62))</f>
        <v/>
      </c>
      <c r="L164" s="42" t="s">
        <v>1579</v>
      </c>
      <c r="M164" s="42">
        <v>29</v>
      </c>
    </row>
    <row r="165" spans="1:13" x14ac:dyDescent="0.3">
      <c r="A165" s="42" t="str">
        <f>IF(30&lt;=nLan,"CĐ I(a) max - 2 nhịp đúng tâm "&amp;30&amp;" làn","")</f>
        <v/>
      </c>
      <c r="B165" s="58" t="str">
        <f>IF($A165="","",'TO HOP'!$C$160+1.75*(0-'TO HOP'!$S$53))</f>
        <v/>
      </c>
      <c r="C165" s="58" t="str">
        <f>IF($A165="","",'TO HOP'!$D$160+1.75*(0-'TO HOP'!$S$54))</f>
        <v/>
      </c>
      <c r="D165" s="58" t="str">
        <f>IF($A165="","",'TO HOP'!$E$160+1.75*(INDEX('LANE ENGINE'!$D$6:$D$45,30)-'TO HOP'!$S$55))</f>
        <v/>
      </c>
      <c r="E165" s="58" t="str">
        <f>IF($A165="","",'TO HOP'!$F$160+1.75*(0-'TO HOP'!$S$56))</f>
        <v/>
      </c>
      <c r="F165" s="58" t="str">
        <f>IF($A165="","",'TO HOP'!$G$160+1.75*(0-'TO HOP'!$S$57))</f>
        <v/>
      </c>
      <c r="G165" s="58" t="str">
        <f>IF($A165="","",'TO HOP'!$H$160+1.75*(0-'TO HOP'!$S$58))</f>
        <v/>
      </c>
      <c r="H165" s="58" t="str">
        <f>IF($A165="","",'TO HOP'!$I$160+1.75*(0-'TO HOP'!$S$59))</f>
        <v/>
      </c>
      <c r="I165" s="58" t="str">
        <f>IF($A165="","",'TO HOP'!$J$160+1.75*(INDEX('LANE ENGINE'!$D$6:$D$45,30)-'TO HOP'!$S$60))</f>
        <v/>
      </c>
      <c r="J165" s="58" t="str">
        <f>IF($A165="","",'TO HOP'!$K$160+1.75*(0-'TO HOP'!$S$61))</f>
        <v/>
      </c>
      <c r="K165" s="58" t="str">
        <f>IF($A165="","",'TO HOP'!$L$160+1.75*(0-'TO HOP'!$S$62))</f>
        <v/>
      </c>
      <c r="L165" s="42" t="s">
        <v>1579</v>
      </c>
      <c r="M165" s="42">
        <v>30</v>
      </c>
    </row>
    <row r="166" spans="1:13" x14ac:dyDescent="0.3">
      <c r="A166" s="42" t="str">
        <f>IF(31&lt;=nLan,"CĐ I(a) max - 2 nhịp đúng tâm "&amp;31&amp;" làn","")</f>
        <v/>
      </c>
      <c r="B166" s="58" t="str">
        <f>IF($A166="","",'TO HOP'!$C$160+1.75*(0-'TO HOP'!$S$53))</f>
        <v/>
      </c>
      <c r="C166" s="58" t="str">
        <f>IF($A166="","",'TO HOP'!$D$160+1.75*(0-'TO HOP'!$S$54))</f>
        <v/>
      </c>
      <c r="D166" s="58" t="str">
        <f>IF($A166="","",'TO HOP'!$E$160+1.75*(INDEX('LANE ENGINE'!$D$6:$D$45,31)-'TO HOP'!$S$55))</f>
        <v/>
      </c>
      <c r="E166" s="58" t="str">
        <f>IF($A166="","",'TO HOP'!$F$160+1.75*(0-'TO HOP'!$S$56))</f>
        <v/>
      </c>
      <c r="F166" s="58" t="str">
        <f>IF($A166="","",'TO HOP'!$G$160+1.75*(0-'TO HOP'!$S$57))</f>
        <v/>
      </c>
      <c r="G166" s="58" t="str">
        <f>IF($A166="","",'TO HOP'!$H$160+1.75*(0-'TO HOP'!$S$58))</f>
        <v/>
      </c>
      <c r="H166" s="58" t="str">
        <f>IF($A166="","",'TO HOP'!$I$160+1.75*(0-'TO HOP'!$S$59))</f>
        <v/>
      </c>
      <c r="I166" s="58" t="str">
        <f>IF($A166="","",'TO HOP'!$J$160+1.75*(INDEX('LANE ENGINE'!$D$6:$D$45,31)-'TO HOP'!$S$60))</f>
        <v/>
      </c>
      <c r="J166" s="58" t="str">
        <f>IF($A166="","",'TO HOP'!$K$160+1.75*(0-'TO HOP'!$S$61))</f>
        <v/>
      </c>
      <c r="K166" s="58" t="str">
        <f>IF($A166="","",'TO HOP'!$L$160+1.75*(0-'TO HOP'!$S$62))</f>
        <v/>
      </c>
      <c r="L166" s="42" t="s">
        <v>1579</v>
      </c>
      <c r="M166" s="42">
        <v>31</v>
      </c>
    </row>
    <row r="167" spans="1:13" x14ac:dyDescent="0.3">
      <c r="A167" s="42" t="str">
        <f>IF(32&lt;=nLan,"CĐ I(a) max - 2 nhịp đúng tâm "&amp;32&amp;" làn","")</f>
        <v/>
      </c>
      <c r="B167" s="58" t="str">
        <f>IF($A167="","",'TO HOP'!$C$160+1.75*(0-'TO HOP'!$S$53))</f>
        <v/>
      </c>
      <c r="C167" s="58" t="str">
        <f>IF($A167="","",'TO HOP'!$D$160+1.75*(0-'TO HOP'!$S$54))</f>
        <v/>
      </c>
      <c r="D167" s="58" t="str">
        <f>IF($A167="","",'TO HOP'!$E$160+1.75*(INDEX('LANE ENGINE'!$D$6:$D$45,32)-'TO HOP'!$S$55))</f>
        <v/>
      </c>
      <c r="E167" s="58" t="str">
        <f>IF($A167="","",'TO HOP'!$F$160+1.75*(0-'TO HOP'!$S$56))</f>
        <v/>
      </c>
      <c r="F167" s="58" t="str">
        <f>IF($A167="","",'TO HOP'!$G$160+1.75*(0-'TO HOP'!$S$57))</f>
        <v/>
      </c>
      <c r="G167" s="58" t="str">
        <f>IF($A167="","",'TO HOP'!$H$160+1.75*(0-'TO HOP'!$S$58))</f>
        <v/>
      </c>
      <c r="H167" s="58" t="str">
        <f>IF($A167="","",'TO HOP'!$I$160+1.75*(0-'TO HOP'!$S$59))</f>
        <v/>
      </c>
      <c r="I167" s="58" t="str">
        <f>IF($A167="","",'TO HOP'!$J$160+1.75*(INDEX('LANE ENGINE'!$D$6:$D$45,32)-'TO HOP'!$S$60))</f>
        <v/>
      </c>
      <c r="J167" s="58" t="str">
        <f>IF($A167="","",'TO HOP'!$K$160+1.75*(0-'TO HOP'!$S$61))</f>
        <v/>
      </c>
      <c r="K167" s="58" t="str">
        <f>IF($A167="","",'TO HOP'!$L$160+1.75*(0-'TO HOP'!$S$62))</f>
        <v/>
      </c>
      <c r="L167" s="42" t="s">
        <v>1579</v>
      </c>
      <c r="M167" s="42">
        <v>32</v>
      </c>
    </row>
    <row r="168" spans="1:13" x14ac:dyDescent="0.3">
      <c r="A168" s="42" t="str">
        <f>IF(33&lt;=nLan,"CĐ I(a) max - 2 nhịp đúng tâm "&amp;33&amp;" làn","")</f>
        <v/>
      </c>
      <c r="B168" s="58" t="str">
        <f>IF($A168="","",'TO HOP'!$C$160+1.75*(0-'TO HOP'!$S$53))</f>
        <v/>
      </c>
      <c r="C168" s="58" t="str">
        <f>IF($A168="","",'TO HOP'!$D$160+1.75*(0-'TO HOP'!$S$54))</f>
        <v/>
      </c>
      <c r="D168" s="58" t="str">
        <f>IF($A168="","",'TO HOP'!$E$160+1.75*(INDEX('LANE ENGINE'!$D$6:$D$45,33)-'TO HOP'!$S$55))</f>
        <v/>
      </c>
      <c r="E168" s="58" t="str">
        <f>IF($A168="","",'TO HOP'!$F$160+1.75*(0-'TO HOP'!$S$56))</f>
        <v/>
      </c>
      <c r="F168" s="58" t="str">
        <f>IF($A168="","",'TO HOP'!$G$160+1.75*(0-'TO HOP'!$S$57))</f>
        <v/>
      </c>
      <c r="G168" s="58" t="str">
        <f>IF($A168="","",'TO HOP'!$H$160+1.75*(0-'TO HOP'!$S$58))</f>
        <v/>
      </c>
      <c r="H168" s="58" t="str">
        <f>IF($A168="","",'TO HOP'!$I$160+1.75*(0-'TO HOP'!$S$59))</f>
        <v/>
      </c>
      <c r="I168" s="58" t="str">
        <f>IF($A168="","",'TO HOP'!$J$160+1.75*(INDEX('LANE ENGINE'!$D$6:$D$45,33)-'TO HOP'!$S$60))</f>
        <v/>
      </c>
      <c r="J168" s="58" t="str">
        <f>IF($A168="","",'TO HOP'!$K$160+1.75*(0-'TO HOP'!$S$61))</f>
        <v/>
      </c>
      <c r="K168" s="58" t="str">
        <f>IF($A168="","",'TO HOP'!$L$160+1.75*(0-'TO HOP'!$S$62))</f>
        <v/>
      </c>
      <c r="L168" s="42" t="s">
        <v>1579</v>
      </c>
      <c r="M168" s="42">
        <v>33</v>
      </c>
    </row>
    <row r="169" spans="1:13" x14ac:dyDescent="0.3">
      <c r="A169" s="42" t="str">
        <f>IF(34&lt;=nLan,"CĐ I(a) max - 2 nhịp đúng tâm "&amp;34&amp;" làn","")</f>
        <v/>
      </c>
      <c r="B169" s="58" t="str">
        <f>IF($A169="","",'TO HOP'!$C$160+1.75*(0-'TO HOP'!$S$53))</f>
        <v/>
      </c>
      <c r="C169" s="58" t="str">
        <f>IF($A169="","",'TO HOP'!$D$160+1.75*(0-'TO HOP'!$S$54))</f>
        <v/>
      </c>
      <c r="D169" s="58" t="str">
        <f>IF($A169="","",'TO HOP'!$E$160+1.75*(INDEX('LANE ENGINE'!$D$6:$D$45,34)-'TO HOP'!$S$55))</f>
        <v/>
      </c>
      <c r="E169" s="58" t="str">
        <f>IF($A169="","",'TO HOP'!$F$160+1.75*(0-'TO HOP'!$S$56))</f>
        <v/>
      </c>
      <c r="F169" s="58" t="str">
        <f>IF($A169="","",'TO HOP'!$G$160+1.75*(0-'TO HOP'!$S$57))</f>
        <v/>
      </c>
      <c r="G169" s="58" t="str">
        <f>IF($A169="","",'TO HOP'!$H$160+1.75*(0-'TO HOP'!$S$58))</f>
        <v/>
      </c>
      <c r="H169" s="58" t="str">
        <f>IF($A169="","",'TO HOP'!$I$160+1.75*(0-'TO HOP'!$S$59))</f>
        <v/>
      </c>
      <c r="I169" s="58" t="str">
        <f>IF($A169="","",'TO HOP'!$J$160+1.75*(INDEX('LANE ENGINE'!$D$6:$D$45,34)-'TO HOP'!$S$60))</f>
        <v/>
      </c>
      <c r="J169" s="58" t="str">
        <f>IF($A169="","",'TO HOP'!$K$160+1.75*(0-'TO HOP'!$S$61))</f>
        <v/>
      </c>
      <c r="K169" s="58" t="str">
        <f>IF($A169="","",'TO HOP'!$L$160+1.75*(0-'TO HOP'!$S$62))</f>
        <v/>
      </c>
      <c r="L169" s="42" t="s">
        <v>1579</v>
      </c>
      <c r="M169" s="42">
        <v>34</v>
      </c>
    </row>
    <row r="170" spans="1:13" x14ac:dyDescent="0.3">
      <c r="A170" s="42" t="str">
        <f>IF(35&lt;=nLan,"CĐ I(a) max - 2 nhịp đúng tâm "&amp;35&amp;" làn","")</f>
        <v/>
      </c>
      <c r="B170" s="58" t="str">
        <f>IF($A170="","",'TO HOP'!$C$160+1.75*(0-'TO HOP'!$S$53))</f>
        <v/>
      </c>
      <c r="C170" s="58" t="str">
        <f>IF($A170="","",'TO HOP'!$D$160+1.75*(0-'TO HOP'!$S$54))</f>
        <v/>
      </c>
      <c r="D170" s="58" t="str">
        <f>IF($A170="","",'TO HOP'!$E$160+1.75*(INDEX('LANE ENGINE'!$D$6:$D$45,35)-'TO HOP'!$S$55))</f>
        <v/>
      </c>
      <c r="E170" s="58" t="str">
        <f>IF($A170="","",'TO HOP'!$F$160+1.75*(0-'TO HOP'!$S$56))</f>
        <v/>
      </c>
      <c r="F170" s="58" t="str">
        <f>IF($A170="","",'TO HOP'!$G$160+1.75*(0-'TO HOP'!$S$57))</f>
        <v/>
      </c>
      <c r="G170" s="58" t="str">
        <f>IF($A170="","",'TO HOP'!$H$160+1.75*(0-'TO HOP'!$S$58))</f>
        <v/>
      </c>
      <c r="H170" s="58" t="str">
        <f>IF($A170="","",'TO HOP'!$I$160+1.75*(0-'TO HOP'!$S$59))</f>
        <v/>
      </c>
      <c r="I170" s="58" t="str">
        <f>IF($A170="","",'TO HOP'!$J$160+1.75*(INDEX('LANE ENGINE'!$D$6:$D$45,35)-'TO HOP'!$S$60))</f>
        <v/>
      </c>
      <c r="J170" s="58" t="str">
        <f>IF($A170="","",'TO HOP'!$K$160+1.75*(0-'TO HOP'!$S$61))</f>
        <v/>
      </c>
      <c r="K170" s="58" t="str">
        <f>IF($A170="","",'TO HOP'!$L$160+1.75*(0-'TO HOP'!$S$62))</f>
        <v/>
      </c>
      <c r="L170" s="42" t="s">
        <v>1579</v>
      </c>
      <c r="M170" s="42">
        <v>35</v>
      </c>
    </row>
    <row r="171" spans="1:13" x14ac:dyDescent="0.3">
      <c r="A171" s="42" t="str">
        <f>IF(36&lt;=nLan,"CĐ I(a) max - 2 nhịp đúng tâm "&amp;36&amp;" làn","")</f>
        <v/>
      </c>
      <c r="B171" s="58" t="str">
        <f>IF($A171="","",'TO HOP'!$C$160+1.75*(0-'TO HOP'!$S$53))</f>
        <v/>
      </c>
      <c r="C171" s="58" t="str">
        <f>IF($A171="","",'TO HOP'!$D$160+1.75*(0-'TO HOP'!$S$54))</f>
        <v/>
      </c>
      <c r="D171" s="58" t="str">
        <f>IF($A171="","",'TO HOP'!$E$160+1.75*(INDEX('LANE ENGINE'!$D$6:$D$45,36)-'TO HOP'!$S$55))</f>
        <v/>
      </c>
      <c r="E171" s="58" t="str">
        <f>IF($A171="","",'TO HOP'!$F$160+1.75*(0-'TO HOP'!$S$56))</f>
        <v/>
      </c>
      <c r="F171" s="58" t="str">
        <f>IF($A171="","",'TO HOP'!$G$160+1.75*(0-'TO HOP'!$S$57))</f>
        <v/>
      </c>
      <c r="G171" s="58" t="str">
        <f>IF($A171="","",'TO HOP'!$H$160+1.75*(0-'TO HOP'!$S$58))</f>
        <v/>
      </c>
      <c r="H171" s="58" t="str">
        <f>IF($A171="","",'TO HOP'!$I$160+1.75*(0-'TO HOP'!$S$59))</f>
        <v/>
      </c>
      <c r="I171" s="58" t="str">
        <f>IF($A171="","",'TO HOP'!$J$160+1.75*(INDEX('LANE ENGINE'!$D$6:$D$45,36)-'TO HOP'!$S$60))</f>
        <v/>
      </c>
      <c r="J171" s="58" t="str">
        <f>IF($A171="","",'TO HOP'!$K$160+1.75*(0-'TO HOP'!$S$61))</f>
        <v/>
      </c>
      <c r="K171" s="58" t="str">
        <f>IF($A171="","",'TO HOP'!$L$160+1.75*(0-'TO HOP'!$S$62))</f>
        <v/>
      </c>
      <c r="L171" s="42" t="s">
        <v>1579</v>
      </c>
      <c r="M171" s="42">
        <v>36</v>
      </c>
    </row>
    <row r="172" spans="1:13" x14ac:dyDescent="0.3">
      <c r="A172" s="42" t="str">
        <f>IF(37&lt;=nLan,"CĐ I(a) max - 2 nhịp đúng tâm "&amp;37&amp;" làn","")</f>
        <v/>
      </c>
      <c r="B172" s="58" t="str">
        <f>IF($A172="","",'TO HOP'!$C$160+1.75*(0-'TO HOP'!$S$53))</f>
        <v/>
      </c>
      <c r="C172" s="58" t="str">
        <f>IF($A172="","",'TO HOP'!$D$160+1.75*(0-'TO HOP'!$S$54))</f>
        <v/>
      </c>
      <c r="D172" s="58" t="str">
        <f>IF($A172="","",'TO HOP'!$E$160+1.75*(INDEX('LANE ENGINE'!$D$6:$D$45,37)-'TO HOP'!$S$55))</f>
        <v/>
      </c>
      <c r="E172" s="58" t="str">
        <f>IF($A172="","",'TO HOP'!$F$160+1.75*(0-'TO HOP'!$S$56))</f>
        <v/>
      </c>
      <c r="F172" s="58" t="str">
        <f>IF($A172="","",'TO HOP'!$G$160+1.75*(0-'TO HOP'!$S$57))</f>
        <v/>
      </c>
      <c r="G172" s="58" t="str">
        <f>IF($A172="","",'TO HOP'!$H$160+1.75*(0-'TO HOP'!$S$58))</f>
        <v/>
      </c>
      <c r="H172" s="58" t="str">
        <f>IF($A172="","",'TO HOP'!$I$160+1.75*(0-'TO HOP'!$S$59))</f>
        <v/>
      </c>
      <c r="I172" s="58" t="str">
        <f>IF($A172="","",'TO HOP'!$J$160+1.75*(INDEX('LANE ENGINE'!$D$6:$D$45,37)-'TO HOP'!$S$60))</f>
        <v/>
      </c>
      <c r="J172" s="58" t="str">
        <f>IF($A172="","",'TO HOP'!$K$160+1.75*(0-'TO HOP'!$S$61))</f>
        <v/>
      </c>
      <c r="K172" s="58" t="str">
        <f>IF($A172="","",'TO HOP'!$L$160+1.75*(0-'TO HOP'!$S$62))</f>
        <v/>
      </c>
      <c r="L172" s="42" t="s">
        <v>1579</v>
      </c>
      <c r="M172" s="42">
        <v>37</v>
      </c>
    </row>
    <row r="173" spans="1:13" x14ac:dyDescent="0.3">
      <c r="A173" s="42" t="str">
        <f>IF(38&lt;=nLan,"CĐ I(a) max - 2 nhịp đúng tâm "&amp;38&amp;" làn","")</f>
        <v/>
      </c>
      <c r="B173" s="58" t="str">
        <f>IF($A173="","",'TO HOP'!$C$160+1.75*(0-'TO HOP'!$S$53))</f>
        <v/>
      </c>
      <c r="C173" s="58" t="str">
        <f>IF($A173="","",'TO HOP'!$D$160+1.75*(0-'TO HOP'!$S$54))</f>
        <v/>
      </c>
      <c r="D173" s="58" t="str">
        <f>IF($A173="","",'TO HOP'!$E$160+1.75*(INDEX('LANE ENGINE'!$D$6:$D$45,38)-'TO HOP'!$S$55))</f>
        <v/>
      </c>
      <c r="E173" s="58" t="str">
        <f>IF($A173="","",'TO HOP'!$F$160+1.75*(0-'TO HOP'!$S$56))</f>
        <v/>
      </c>
      <c r="F173" s="58" t="str">
        <f>IF($A173="","",'TO HOP'!$G$160+1.75*(0-'TO HOP'!$S$57))</f>
        <v/>
      </c>
      <c r="G173" s="58" t="str">
        <f>IF($A173="","",'TO HOP'!$H$160+1.75*(0-'TO HOP'!$S$58))</f>
        <v/>
      </c>
      <c r="H173" s="58" t="str">
        <f>IF($A173="","",'TO HOP'!$I$160+1.75*(0-'TO HOP'!$S$59))</f>
        <v/>
      </c>
      <c r="I173" s="58" t="str">
        <f>IF($A173="","",'TO HOP'!$J$160+1.75*(INDEX('LANE ENGINE'!$D$6:$D$45,38)-'TO HOP'!$S$60))</f>
        <v/>
      </c>
      <c r="J173" s="58" t="str">
        <f>IF($A173="","",'TO HOP'!$K$160+1.75*(0-'TO HOP'!$S$61))</f>
        <v/>
      </c>
      <c r="K173" s="58" t="str">
        <f>IF($A173="","",'TO HOP'!$L$160+1.75*(0-'TO HOP'!$S$62))</f>
        <v/>
      </c>
      <c r="L173" s="42" t="s">
        <v>1579</v>
      </c>
      <c r="M173" s="42">
        <v>38</v>
      </c>
    </row>
    <row r="174" spans="1:13" x14ac:dyDescent="0.3">
      <c r="A174" s="42" t="str">
        <f>IF(39&lt;=nLan,"CĐ I(a) max - 2 nhịp đúng tâm "&amp;39&amp;" làn","")</f>
        <v/>
      </c>
      <c r="B174" s="58" t="str">
        <f>IF($A174="","",'TO HOP'!$C$160+1.75*(0-'TO HOP'!$S$53))</f>
        <v/>
      </c>
      <c r="C174" s="58" t="str">
        <f>IF($A174="","",'TO HOP'!$D$160+1.75*(0-'TO HOP'!$S$54))</f>
        <v/>
      </c>
      <c r="D174" s="58" t="str">
        <f>IF($A174="","",'TO HOP'!$E$160+1.75*(INDEX('LANE ENGINE'!$D$6:$D$45,39)-'TO HOP'!$S$55))</f>
        <v/>
      </c>
      <c r="E174" s="58" t="str">
        <f>IF($A174="","",'TO HOP'!$F$160+1.75*(0-'TO HOP'!$S$56))</f>
        <v/>
      </c>
      <c r="F174" s="58" t="str">
        <f>IF($A174="","",'TO HOP'!$G$160+1.75*(0-'TO HOP'!$S$57))</f>
        <v/>
      </c>
      <c r="G174" s="58" t="str">
        <f>IF($A174="","",'TO HOP'!$H$160+1.75*(0-'TO HOP'!$S$58))</f>
        <v/>
      </c>
      <c r="H174" s="58" t="str">
        <f>IF($A174="","",'TO HOP'!$I$160+1.75*(0-'TO HOP'!$S$59))</f>
        <v/>
      </c>
      <c r="I174" s="58" t="str">
        <f>IF($A174="","",'TO HOP'!$J$160+1.75*(INDEX('LANE ENGINE'!$D$6:$D$45,39)-'TO HOP'!$S$60))</f>
        <v/>
      </c>
      <c r="J174" s="58" t="str">
        <f>IF($A174="","",'TO HOP'!$K$160+1.75*(0-'TO HOP'!$S$61))</f>
        <v/>
      </c>
      <c r="K174" s="58" t="str">
        <f>IF($A174="","",'TO HOP'!$L$160+1.75*(0-'TO HOP'!$S$62))</f>
        <v/>
      </c>
      <c r="L174" s="42" t="s">
        <v>1579</v>
      </c>
      <c r="M174" s="42">
        <v>39</v>
      </c>
    </row>
    <row r="175" spans="1:13" x14ac:dyDescent="0.3">
      <c r="A175" s="42" t="str">
        <f>IF(40&lt;=nLan,"CĐ I(a) max - 2 nhịp đúng tâm "&amp;40&amp;" làn","")</f>
        <v/>
      </c>
      <c r="B175" s="58" t="str">
        <f>IF($A175="","",'TO HOP'!$C$160+1.75*(0-'TO HOP'!$S$53))</f>
        <v/>
      </c>
      <c r="C175" s="58" t="str">
        <f>IF($A175="","",'TO HOP'!$D$160+1.75*(0-'TO HOP'!$S$54))</f>
        <v/>
      </c>
      <c r="D175" s="58" t="str">
        <f>IF($A175="","",'TO HOP'!$E$160+1.75*(INDEX('LANE ENGINE'!$D$6:$D$45,40)-'TO HOP'!$S$55))</f>
        <v/>
      </c>
      <c r="E175" s="58" t="str">
        <f>IF($A175="","",'TO HOP'!$F$160+1.75*(0-'TO HOP'!$S$56))</f>
        <v/>
      </c>
      <c r="F175" s="58" t="str">
        <f>IF($A175="","",'TO HOP'!$G$160+1.75*(0-'TO HOP'!$S$57))</f>
        <v/>
      </c>
      <c r="G175" s="58" t="str">
        <f>IF($A175="","",'TO HOP'!$H$160+1.75*(0-'TO HOP'!$S$58))</f>
        <v/>
      </c>
      <c r="H175" s="58" t="str">
        <f>IF($A175="","",'TO HOP'!$I$160+1.75*(0-'TO HOP'!$S$59))</f>
        <v/>
      </c>
      <c r="I175" s="58" t="str">
        <f>IF($A175="","",'TO HOP'!$J$160+1.75*(INDEX('LANE ENGINE'!$D$6:$D$45,40)-'TO HOP'!$S$60))</f>
        <v/>
      </c>
      <c r="J175" s="58" t="str">
        <f>IF($A175="","",'TO HOP'!$K$160+1.75*(0-'TO HOP'!$S$61))</f>
        <v/>
      </c>
      <c r="K175" s="58" t="str">
        <f>IF($A175="","",'TO HOP'!$L$160+1.75*(0-'TO HOP'!$S$62))</f>
        <v/>
      </c>
      <c r="L175" s="42" t="s">
        <v>1579</v>
      </c>
      <c r="M175" s="42">
        <v>40</v>
      </c>
    </row>
    <row r="176" spans="1:13" x14ac:dyDescent="0.3">
      <c r="A176" s="42" t="str">
        <f>IF(7&lt;=nLan,"CĐ I(a) max - 1 nhịp "&amp;7&amp;" làn","")</f>
        <v/>
      </c>
      <c r="B176" s="58" t="str">
        <f>IF($A176="","",'TO HOP'!$C$166+1.75*(0-'TO HOP'!$Y$53))</f>
        <v/>
      </c>
      <c r="C176" s="58" t="str">
        <f>IF($A176="","",'TO HOP'!$D$166+1.75*(0-'TO HOP'!$Y$54))</f>
        <v/>
      </c>
      <c r="D176" s="58" t="str">
        <f>IF($A176="","",'TO HOP'!$E$166+1.75*(INDEX('LANE ENGINE'!$F$6:$F$45,7)-'TO HOP'!$Y$55))</f>
        <v/>
      </c>
      <c r="E176" s="58" t="str">
        <f>IF($A176="","",'TO HOP'!$F$166+1.75*(INDEX('LANE ENGINE'!$G$6:$G$45,7)-'TO HOP'!$Y$56))</f>
        <v/>
      </c>
      <c r="F176" s="58" t="str">
        <f>IF($A176="","",'TO HOP'!$G$166+1.75*(INDEX('LANE ENGINE'!$H$6:$H$45,7)-'TO HOP'!$Y$57))</f>
        <v/>
      </c>
      <c r="G176" s="58" t="str">
        <f>IF($A176="","",'TO HOP'!$H$166+1.75*(0-'TO HOP'!$Y$58))</f>
        <v/>
      </c>
      <c r="H176" s="58" t="str">
        <f>IF($A176="","",'TO HOP'!$I$166+1.75*(0-'TO HOP'!$Y$59))</f>
        <v/>
      </c>
      <c r="I176" s="58" t="str">
        <f>IF($A176="","",'TO HOP'!$J$166+1.75*(INDEX('LANE ENGINE'!$F$6:$F$45,7)-'TO HOP'!$Y$60))</f>
        <v/>
      </c>
      <c r="J176" s="58" t="str">
        <f>IF($A176="","",'TO HOP'!$K$166+1.75*(INDEX('LANE ENGINE'!$G$6:$G$45,7)-'TO HOP'!$Y$61))</f>
        <v/>
      </c>
      <c r="K176" s="58" t="str">
        <f>IF($A176="","",'TO HOP'!$L$166+1.75*(INDEX('LANE ENGINE'!$H$6:$H$45,7)-'TO HOP'!$Y$62))</f>
        <v/>
      </c>
      <c r="L176" s="42" t="s">
        <v>1579</v>
      </c>
      <c r="M176" s="42">
        <v>7</v>
      </c>
    </row>
    <row r="177" spans="1:13" x14ac:dyDescent="0.3">
      <c r="A177" s="42" t="str">
        <f>IF(8&lt;=nLan,"CĐ I(a) max - 1 nhịp "&amp;8&amp;" làn","")</f>
        <v/>
      </c>
      <c r="B177" s="58" t="str">
        <f>IF($A177="","",'TO HOP'!$C$166+1.75*(0-'TO HOP'!$Y$53))</f>
        <v/>
      </c>
      <c r="C177" s="58" t="str">
        <f>IF($A177="","",'TO HOP'!$D$166+1.75*(0-'TO HOP'!$Y$54))</f>
        <v/>
      </c>
      <c r="D177" s="58" t="str">
        <f>IF($A177="","",'TO HOP'!$E$166+1.75*(INDEX('LANE ENGINE'!$F$6:$F$45,8)-'TO HOP'!$Y$55))</f>
        <v/>
      </c>
      <c r="E177" s="58" t="str">
        <f>IF($A177="","",'TO HOP'!$F$166+1.75*(INDEX('LANE ENGINE'!$G$6:$G$45,8)-'TO HOP'!$Y$56))</f>
        <v/>
      </c>
      <c r="F177" s="58" t="str">
        <f>IF($A177="","",'TO HOP'!$G$166+1.75*(INDEX('LANE ENGINE'!$H$6:$H$45,8)-'TO HOP'!$Y$57))</f>
        <v/>
      </c>
      <c r="G177" s="58" t="str">
        <f>IF($A177="","",'TO HOP'!$H$166+1.75*(0-'TO HOP'!$Y$58))</f>
        <v/>
      </c>
      <c r="H177" s="58" t="str">
        <f>IF($A177="","",'TO HOP'!$I$166+1.75*(0-'TO HOP'!$Y$59))</f>
        <v/>
      </c>
      <c r="I177" s="58" t="str">
        <f>IF($A177="","",'TO HOP'!$J$166+1.75*(INDEX('LANE ENGINE'!$F$6:$F$45,8)-'TO HOP'!$Y$60))</f>
        <v/>
      </c>
      <c r="J177" s="58" t="str">
        <f>IF($A177="","",'TO HOP'!$K$166+1.75*(INDEX('LANE ENGINE'!$G$6:$G$45,8)-'TO HOP'!$Y$61))</f>
        <v/>
      </c>
      <c r="K177" s="58" t="str">
        <f>IF($A177="","",'TO HOP'!$L$166+1.75*(INDEX('LANE ENGINE'!$H$6:$H$45,8)-'TO HOP'!$Y$62))</f>
        <v/>
      </c>
      <c r="L177" s="42" t="s">
        <v>1579</v>
      </c>
      <c r="M177" s="42">
        <v>8</v>
      </c>
    </row>
    <row r="178" spans="1:13" x14ac:dyDescent="0.3">
      <c r="A178" s="42" t="str">
        <f>IF(9&lt;=nLan,"CĐ I(a) max - 1 nhịp "&amp;9&amp;" làn","")</f>
        <v/>
      </c>
      <c r="B178" s="58" t="str">
        <f>IF($A178="","",'TO HOP'!$C$166+1.75*(0-'TO HOP'!$Y$53))</f>
        <v/>
      </c>
      <c r="C178" s="58" t="str">
        <f>IF($A178="","",'TO HOP'!$D$166+1.75*(0-'TO HOP'!$Y$54))</f>
        <v/>
      </c>
      <c r="D178" s="58" t="str">
        <f>IF($A178="","",'TO HOP'!$E$166+1.75*(INDEX('LANE ENGINE'!$F$6:$F$45,9)-'TO HOP'!$Y$55))</f>
        <v/>
      </c>
      <c r="E178" s="58" t="str">
        <f>IF($A178="","",'TO HOP'!$F$166+1.75*(INDEX('LANE ENGINE'!$G$6:$G$45,9)-'TO HOP'!$Y$56))</f>
        <v/>
      </c>
      <c r="F178" s="58" t="str">
        <f>IF($A178="","",'TO HOP'!$G$166+1.75*(INDEX('LANE ENGINE'!$H$6:$H$45,9)-'TO HOP'!$Y$57))</f>
        <v/>
      </c>
      <c r="G178" s="58" t="str">
        <f>IF($A178="","",'TO HOP'!$H$166+1.75*(0-'TO HOP'!$Y$58))</f>
        <v/>
      </c>
      <c r="H178" s="58" t="str">
        <f>IF($A178="","",'TO HOP'!$I$166+1.75*(0-'TO HOP'!$Y$59))</f>
        <v/>
      </c>
      <c r="I178" s="58" t="str">
        <f>IF($A178="","",'TO HOP'!$J$166+1.75*(INDEX('LANE ENGINE'!$F$6:$F$45,9)-'TO HOP'!$Y$60))</f>
        <v/>
      </c>
      <c r="J178" s="58" t="str">
        <f>IF($A178="","",'TO HOP'!$K$166+1.75*(INDEX('LANE ENGINE'!$G$6:$G$45,9)-'TO HOP'!$Y$61))</f>
        <v/>
      </c>
      <c r="K178" s="58" t="str">
        <f>IF($A178="","",'TO HOP'!$L$166+1.75*(INDEX('LANE ENGINE'!$H$6:$H$45,9)-'TO HOP'!$Y$62))</f>
        <v/>
      </c>
      <c r="L178" s="42" t="s">
        <v>1579</v>
      </c>
      <c r="M178" s="42">
        <v>9</v>
      </c>
    </row>
    <row r="179" spans="1:13" x14ac:dyDescent="0.3">
      <c r="A179" s="42" t="str">
        <f>IF(10&lt;=nLan,"CĐ I(a) max - 1 nhịp "&amp;10&amp;" làn","")</f>
        <v/>
      </c>
      <c r="B179" s="58" t="str">
        <f>IF($A179="","",'TO HOP'!$C$166+1.75*(0-'TO HOP'!$Y$53))</f>
        <v/>
      </c>
      <c r="C179" s="58" t="str">
        <f>IF($A179="","",'TO HOP'!$D$166+1.75*(0-'TO HOP'!$Y$54))</f>
        <v/>
      </c>
      <c r="D179" s="58" t="str">
        <f>IF($A179="","",'TO HOP'!$E$166+1.75*(INDEX('LANE ENGINE'!$F$6:$F$45,10)-'TO HOP'!$Y$55))</f>
        <v/>
      </c>
      <c r="E179" s="58" t="str">
        <f>IF($A179="","",'TO HOP'!$F$166+1.75*(INDEX('LANE ENGINE'!$G$6:$G$45,10)-'TO HOP'!$Y$56))</f>
        <v/>
      </c>
      <c r="F179" s="58" t="str">
        <f>IF($A179="","",'TO HOP'!$G$166+1.75*(INDEX('LANE ENGINE'!$H$6:$H$45,10)-'TO HOP'!$Y$57))</f>
        <v/>
      </c>
      <c r="G179" s="58" t="str">
        <f>IF($A179="","",'TO HOP'!$H$166+1.75*(0-'TO HOP'!$Y$58))</f>
        <v/>
      </c>
      <c r="H179" s="58" t="str">
        <f>IF($A179="","",'TO HOP'!$I$166+1.75*(0-'TO HOP'!$Y$59))</f>
        <v/>
      </c>
      <c r="I179" s="58" t="str">
        <f>IF($A179="","",'TO HOP'!$J$166+1.75*(INDEX('LANE ENGINE'!$F$6:$F$45,10)-'TO HOP'!$Y$60))</f>
        <v/>
      </c>
      <c r="J179" s="58" t="str">
        <f>IF($A179="","",'TO HOP'!$K$166+1.75*(INDEX('LANE ENGINE'!$G$6:$G$45,10)-'TO HOP'!$Y$61))</f>
        <v/>
      </c>
      <c r="K179" s="58" t="str">
        <f>IF($A179="","",'TO HOP'!$L$166+1.75*(INDEX('LANE ENGINE'!$H$6:$H$45,10)-'TO HOP'!$Y$62))</f>
        <v/>
      </c>
      <c r="L179" s="42" t="s">
        <v>1579</v>
      </c>
      <c r="M179" s="42">
        <v>10</v>
      </c>
    </row>
    <row r="180" spans="1:13" x14ac:dyDescent="0.3">
      <c r="A180" s="42" t="str">
        <f>IF(11&lt;=nLan,"CĐ I(a) max - 1 nhịp "&amp;11&amp;" làn","")</f>
        <v/>
      </c>
      <c r="B180" s="58" t="str">
        <f>IF($A180="","",'TO HOP'!$C$166+1.75*(0-'TO HOP'!$Y$53))</f>
        <v/>
      </c>
      <c r="C180" s="58" t="str">
        <f>IF($A180="","",'TO HOP'!$D$166+1.75*(0-'TO HOP'!$Y$54))</f>
        <v/>
      </c>
      <c r="D180" s="58" t="str">
        <f>IF($A180="","",'TO HOP'!$E$166+1.75*(INDEX('LANE ENGINE'!$F$6:$F$45,11)-'TO HOP'!$Y$55))</f>
        <v/>
      </c>
      <c r="E180" s="58" t="str">
        <f>IF($A180="","",'TO HOP'!$F$166+1.75*(INDEX('LANE ENGINE'!$G$6:$G$45,11)-'TO HOP'!$Y$56))</f>
        <v/>
      </c>
      <c r="F180" s="58" t="str">
        <f>IF($A180="","",'TO HOP'!$G$166+1.75*(INDEX('LANE ENGINE'!$H$6:$H$45,11)-'TO HOP'!$Y$57))</f>
        <v/>
      </c>
      <c r="G180" s="58" t="str">
        <f>IF($A180="","",'TO HOP'!$H$166+1.75*(0-'TO HOP'!$Y$58))</f>
        <v/>
      </c>
      <c r="H180" s="58" t="str">
        <f>IF($A180="","",'TO HOP'!$I$166+1.75*(0-'TO HOP'!$Y$59))</f>
        <v/>
      </c>
      <c r="I180" s="58" t="str">
        <f>IF($A180="","",'TO HOP'!$J$166+1.75*(INDEX('LANE ENGINE'!$F$6:$F$45,11)-'TO HOP'!$Y$60))</f>
        <v/>
      </c>
      <c r="J180" s="58" t="str">
        <f>IF($A180="","",'TO HOP'!$K$166+1.75*(INDEX('LANE ENGINE'!$G$6:$G$45,11)-'TO HOP'!$Y$61))</f>
        <v/>
      </c>
      <c r="K180" s="58" t="str">
        <f>IF($A180="","",'TO HOP'!$L$166+1.75*(INDEX('LANE ENGINE'!$H$6:$H$45,11)-'TO HOP'!$Y$62))</f>
        <v/>
      </c>
      <c r="L180" s="42" t="s">
        <v>1579</v>
      </c>
      <c r="M180" s="42">
        <v>11</v>
      </c>
    </row>
    <row r="181" spans="1:13" x14ac:dyDescent="0.3">
      <c r="A181" s="42" t="str">
        <f>IF(12&lt;=nLan,"CĐ I(a) max - 1 nhịp "&amp;12&amp;" làn","")</f>
        <v/>
      </c>
      <c r="B181" s="58" t="str">
        <f>IF($A181="","",'TO HOP'!$C$166+1.75*(0-'TO HOP'!$Y$53))</f>
        <v/>
      </c>
      <c r="C181" s="58" t="str">
        <f>IF($A181="","",'TO HOP'!$D$166+1.75*(0-'TO HOP'!$Y$54))</f>
        <v/>
      </c>
      <c r="D181" s="58" t="str">
        <f>IF($A181="","",'TO HOP'!$E$166+1.75*(INDEX('LANE ENGINE'!$F$6:$F$45,12)-'TO HOP'!$Y$55))</f>
        <v/>
      </c>
      <c r="E181" s="58" t="str">
        <f>IF($A181="","",'TO HOP'!$F$166+1.75*(INDEX('LANE ENGINE'!$G$6:$G$45,12)-'TO HOP'!$Y$56))</f>
        <v/>
      </c>
      <c r="F181" s="58" t="str">
        <f>IF($A181="","",'TO HOP'!$G$166+1.75*(INDEX('LANE ENGINE'!$H$6:$H$45,12)-'TO HOP'!$Y$57))</f>
        <v/>
      </c>
      <c r="G181" s="58" t="str">
        <f>IF($A181="","",'TO HOP'!$H$166+1.75*(0-'TO HOP'!$Y$58))</f>
        <v/>
      </c>
      <c r="H181" s="58" t="str">
        <f>IF($A181="","",'TO HOP'!$I$166+1.75*(0-'TO HOP'!$Y$59))</f>
        <v/>
      </c>
      <c r="I181" s="58" t="str">
        <f>IF($A181="","",'TO HOP'!$J$166+1.75*(INDEX('LANE ENGINE'!$F$6:$F$45,12)-'TO HOP'!$Y$60))</f>
        <v/>
      </c>
      <c r="J181" s="58" t="str">
        <f>IF($A181="","",'TO HOP'!$K$166+1.75*(INDEX('LANE ENGINE'!$G$6:$G$45,12)-'TO HOP'!$Y$61))</f>
        <v/>
      </c>
      <c r="K181" s="58" t="str">
        <f>IF($A181="","",'TO HOP'!$L$166+1.75*(INDEX('LANE ENGINE'!$H$6:$H$45,12)-'TO HOP'!$Y$62))</f>
        <v/>
      </c>
      <c r="L181" s="42" t="s">
        <v>1579</v>
      </c>
      <c r="M181" s="42">
        <v>12</v>
      </c>
    </row>
    <row r="182" spans="1:13" x14ac:dyDescent="0.3">
      <c r="A182" s="42" t="str">
        <f>IF(13&lt;=nLan,"CĐ I(a) max - 1 nhịp "&amp;13&amp;" làn","")</f>
        <v/>
      </c>
      <c r="B182" s="58" t="str">
        <f>IF($A182="","",'TO HOP'!$C$166+1.75*(0-'TO HOP'!$Y$53))</f>
        <v/>
      </c>
      <c r="C182" s="58" t="str">
        <f>IF($A182="","",'TO HOP'!$D$166+1.75*(0-'TO HOP'!$Y$54))</f>
        <v/>
      </c>
      <c r="D182" s="58" t="str">
        <f>IF($A182="","",'TO HOP'!$E$166+1.75*(INDEX('LANE ENGINE'!$F$6:$F$45,13)-'TO HOP'!$Y$55))</f>
        <v/>
      </c>
      <c r="E182" s="58" t="str">
        <f>IF($A182="","",'TO HOP'!$F$166+1.75*(INDEX('LANE ENGINE'!$G$6:$G$45,13)-'TO HOP'!$Y$56))</f>
        <v/>
      </c>
      <c r="F182" s="58" t="str">
        <f>IF($A182="","",'TO HOP'!$G$166+1.75*(INDEX('LANE ENGINE'!$H$6:$H$45,13)-'TO HOP'!$Y$57))</f>
        <v/>
      </c>
      <c r="G182" s="58" t="str">
        <f>IF($A182="","",'TO HOP'!$H$166+1.75*(0-'TO HOP'!$Y$58))</f>
        <v/>
      </c>
      <c r="H182" s="58" t="str">
        <f>IF($A182="","",'TO HOP'!$I$166+1.75*(0-'TO HOP'!$Y$59))</f>
        <v/>
      </c>
      <c r="I182" s="58" t="str">
        <f>IF($A182="","",'TO HOP'!$J$166+1.75*(INDEX('LANE ENGINE'!$F$6:$F$45,13)-'TO HOP'!$Y$60))</f>
        <v/>
      </c>
      <c r="J182" s="58" t="str">
        <f>IF($A182="","",'TO HOP'!$K$166+1.75*(INDEX('LANE ENGINE'!$G$6:$G$45,13)-'TO HOP'!$Y$61))</f>
        <v/>
      </c>
      <c r="K182" s="58" t="str">
        <f>IF($A182="","",'TO HOP'!$L$166+1.75*(INDEX('LANE ENGINE'!$H$6:$H$45,13)-'TO HOP'!$Y$62))</f>
        <v/>
      </c>
      <c r="L182" s="42" t="s">
        <v>1579</v>
      </c>
      <c r="M182" s="42">
        <v>13</v>
      </c>
    </row>
    <row r="183" spans="1:13" x14ac:dyDescent="0.3">
      <c r="A183" s="42" t="str">
        <f>IF(14&lt;=nLan,"CĐ I(a) max - 1 nhịp "&amp;14&amp;" làn","")</f>
        <v/>
      </c>
      <c r="B183" s="58" t="str">
        <f>IF($A183="","",'TO HOP'!$C$166+1.75*(0-'TO HOP'!$Y$53))</f>
        <v/>
      </c>
      <c r="C183" s="58" t="str">
        <f>IF($A183="","",'TO HOP'!$D$166+1.75*(0-'TO HOP'!$Y$54))</f>
        <v/>
      </c>
      <c r="D183" s="58" t="str">
        <f>IF($A183="","",'TO HOP'!$E$166+1.75*(INDEX('LANE ENGINE'!$F$6:$F$45,14)-'TO HOP'!$Y$55))</f>
        <v/>
      </c>
      <c r="E183" s="58" t="str">
        <f>IF($A183="","",'TO HOP'!$F$166+1.75*(INDEX('LANE ENGINE'!$G$6:$G$45,14)-'TO HOP'!$Y$56))</f>
        <v/>
      </c>
      <c r="F183" s="58" t="str">
        <f>IF($A183="","",'TO HOP'!$G$166+1.75*(INDEX('LANE ENGINE'!$H$6:$H$45,14)-'TO HOP'!$Y$57))</f>
        <v/>
      </c>
      <c r="G183" s="58" t="str">
        <f>IF($A183="","",'TO HOP'!$H$166+1.75*(0-'TO HOP'!$Y$58))</f>
        <v/>
      </c>
      <c r="H183" s="58" t="str">
        <f>IF($A183="","",'TO HOP'!$I$166+1.75*(0-'TO HOP'!$Y$59))</f>
        <v/>
      </c>
      <c r="I183" s="58" t="str">
        <f>IF($A183="","",'TO HOP'!$J$166+1.75*(INDEX('LANE ENGINE'!$F$6:$F$45,14)-'TO HOP'!$Y$60))</f>
        <v/>
      </c>
      <c r="J183" s="58" t="str">
        <f>IF($A183="","",'TO HOP'!$K$166+1.75*(INDEX('LANE ENGINE'!$G$6:$G$45,14)-'TO HOP'!$Y$61))</f>
        <v/>
      </c>
      <c r="K183" s="58" t="str">
        <f>IF($A183="","",'TO HOP'!$L$166+1.75*(INDEX('LANE ENGINE'!$H$6:$H$45,14)-'TO HOP'!$Y$62))</f>
        <v/>
      </c>
      <c r="L183" s="42" t="s">
        <v>1579</v>
      </c>
      <c r="M183" s="42">
        <v>14</v>
      </c>
    </row>
    <row r="184" spans="1:13" x14ac:dyDescent="0.3">
      <c r="A184" s="42" t="str">
        <f>IF(15&lt;=nLan,"CĐ I(a) max - 1 nhịp "&amp;15&amp;" làn","")</f>
        <v/>
      </c>
      <c r="B184" s="58" t="str">
        <f>IF($A184="","",'TO HOP'!$C$166+1.75*(0-'TO HOP'!$Y$53))</f>
        <v/>
      </c>
      <c r="C184" s="58" t="str">
        <f>IF($A184="","",'TO HOP'!$D$166+1.75*(0-'TO HOP'!$Y$54))</f>
        <v/>
      </c>
      <c r="D184" s="58" t="str">
        <f>IF($A184="","",'TO HOP'!$E$166+1.75*(INDEX('LANE ENGINE'!$F$6:$F$45,15)-'TO HOP'!$Y$55))</f>
        <v/>
      </c>
      <c r="E184" s="58" t="str">
        <f>IF($A184="","",'TO HOP'!$F$166+1.75*(INDEX('LANE ENGINE'!$G$6:$G$45,15)-'TO HOP'!$Y$56))</f>
        <v/>
      </c>
      <c r="F184" s="58" t="str">
        <f>IF($A184="","",'TO HOP'!$G$166+1.75*(INDEX('LANE ENGINE'!$H$6:$H$45,15)-'TO HOP'!$Y$57))</f>
        <v/>
      </c>
      <c r="G184" s="58" t="str">
        <f>IF($A184="","",'TO HOP'!$H$166+1.75*(0-'TO HOP'!$Y$58))</f>
        <v/>
      </c>
      <c r="H184" s="58" t="str">
        <f>IF($A184="","",'TO HOP'!$I$166+1.75*(0-'TO HOP'!$Y$59))</f>
        <v/>
      </c>
      <c r="I184" s="58" t="str">
        <f>IF($A184="","",'TO HOP'!$J$166+1.75*(INDEX('LANE ENGINE'!$F$6:$F$45,15)-'TO HOP'!$Y$60))</f>
        <v/>
      </c>
      <c r="J184" s="58" t="str">
        <f>IF($A184="","",'TO HOP'!$K$166+1.75*(INDEX('LANE ENGINE'!$G$6:$G$45,15)-'TO HOP'!$Y$61))</f>
        <v/>
      </c>
      <c r="K184" s="58" t="str">
        <f>IF($A184="","",'TO HOP'!$L$166+1.75*(INDEX('LANE ENGINE'!$H$6:$H$45,15)-'TO HOP'!$Y$62))</f>
        <v/>
      </c>
      <c r="L184" s="42" t="s">
        <v>1579</v>
      </c>
      <c r="M184" s="42">
        <v>15</v>
      </c>
    </row>
    <row r="185" spans="1:13" x14ac:dyDescent="0.3">
      <c r="A185" s="42" t="str">
        <f>IF(16&lt;=nLan,"CĐ I(a) max - 1 nhịp "&amp;16&amp;" làn","")</f>
        <v/>
      </c>
      <c r="B185" s="58" t="str">
        <f>IF($A185="","",'TO HOP'!$C$166+1.75*(0-'TO HOP'!$Y$53))</f>
        <v/>
      </c>
      <c r="C185" s="58" t="str">
        <f>IF($A185="","",'TO HOP'!$D$166+1.75*(0-'TO HOP'!$Y$54))</f>
        <v/>
      </c>
      <c r="D185" s="58" t="str">
        <f>IF($A185="","",'TO HOP'!$E$166+1.75*(INDEX('LANE ENGINE'!$F$6:$F$45,16)-'TO HOP'!$Y$55))</f>
        <v/>
      </c>
      <c r="E185" s="58" t="str">
        <f>IF($A185="","",'TO HOP'!$F$166+1.75*(INDEX('LANE ENGINE'!$G$6:$G$45,16)-'TO HOP'!$Y$56))</f>
        <v/>
      </c>
      <c r="F185" s="58" t="str">
        <f>IF($A185="","",'TO HOP'!$G$166+1.75*(INDEX('LANE ENGINE'!$H$6:$H$45,16)-'TO HOP'!$Y$57))</f>
        <v/>
      </c>
      <c r="G185" s="58" t="str">
        <f>IF($A185="","",'TO HOP'!$H$166+1.75*(0-'TO HOP'!$Y$58))</f>
        <v/>
      </c>
      <c r="H185" s="58" t="str">
        <f>IF($A185="","",'TO HOP'!$I$166+1.75*(0-'TO HOP'!$Y$59))</f>
        <v/>
      </c>
      <c r="I185" s="58" t="str">
        <f>IF($A185="","",'TO HOP'!$J$166+1.75*(INDEX('LANE ENGINE'!$F$6:$F$45,16)-'TO HOP'!$Y$60))</f>
        <v/>
      </c>
      <c r="J185" s="58" t="str">
        <f>IF($A185="","",'TO HOP'!$K$166+1.75*(INDEX('LANE ENGINE'!$G$6:$G$45,16)-'TO HOP'!$Y$61))</f>
        <v/>
      </c>
      <c r="K185" s="58" t="str">
        <f>IF($A185="","",'TO HOP'!$L$166+1.75*(INDEX('LANE ENGINE'!$H$6:$H$45,16)-'TO HOP'!$Y$62))</f>
        <v/>
      </c>
      <c r="L185" s="42" t="s">
        <v>1579</v>
      </c>
      <c r="M185" s="42">
        <v>16</v>
      </c>
    </row>
    <row r="186" spans="1:13" x14ac:dyDescent="0.3">
      <c r="A186" s="42" t="str">
        <f>IF(17&lt;=nLan,"CĐ I(a) max - 1 nhịp "&amp;17&amp;" làn","")</f>
        <v/>
      </c>
      <c r="B186" s="58" t="str">
        <f>IF($A186="","",'TO HOP'!$C$166+1.75*(0-'TO HOP'!$Y$53))</f>
        <v/>
      </c>
      <c r="C186" s="58" t="str">
        <f>IF($A186="","",'TO HOP'!$D$166+1.75*(0-'TO HOP'!$Y$54))</f>
        <v/>
      </c>
      <c r="D186" s="58" t="str">
        <f>IF($A186="","",'TO HOP'!$E$166+1.75*(INDEX('LANE ENGINE'!$F$6:$F$45,17)-'TO HOP'!$Y$55))</f>
        <v/>
      </c>
      <c r="E186" s="58" t="str">
        <f>IF($A186="","",'TO HOP'!$F$166+1.75*(INDEX('LANE ENGINE'!$G$6:$G$45,17)-'TO HOP'!$Y$56))</f>
        <v/>
      </c>
      <c r="F186" s="58" t="str">
        <f>IF($A186="","",'TO HOP'!$G$166+1.75*(INDEX('LANE ENGINE'!$H$6:$H$45,17)-'TO HOP'!$Y$57))</f>
        <v/>
      </c>
      <c r="G186" s="58" t="str">
        <f>IF($A186="","",'TO HOP'!$H$166+1.75*(0-'TO HOP'!$Y$58))</f>
        <v/>
      </c>
      <c r="H186" s="58" t="str">
        <f>IF($A186="","",'TO HOP'!$I$166+1.75*(0-'TO HOP'!$Y$59))</f>
        <v/>
      </c>
      <c r="I186" s="58" t="str">
        <f>IF($A186="","",'TO HOP'!$J$166+1.75*(INDEX('LANE ENGINE'!$F$6:$F$45,17)-'TO HOP'!$Y$60))</f>
        <v/>
      </c>
      <c r="J186" s="58" t="str">
        <f>IF($A186="","",'TO HOP'!$K$166+1.75*(INDEX('LANE ENGINE'!$G$6:$G$45,17)-'TO HOP'!$Y$61))</f>
        <v/>
      </c>
      <c r="K186" s="58" t="str">
        <f>IF($A186="","",'TO HOP'!$L$166+1.75*(INDEX('LANE ENGINE'!$H$6:$H$45,17)-'TO HOP'!$Y$62))</f>
        <v/>
      </c>
      <c r="L186" s="42" t="s">
        <v>1579</v>
      </c>
      <c r="M186" s="42">
        <v>17</v>
      </c>
    </row>
    <row r="187" spans="1:13" x14ac:dyDescent="0.3">
      <c r="A187" s="42" t="str">
        <f>IF(18&lt;=nLan,"CĐ I(a) max - 1 nhịp "&amp;18&amp;" làn","")</f>
        <v/>
      </c>
      <c r="B187" s="58" t="str">
        <f>IF($A187="","",'TO HOP'!$C$166+1.75*(0-'TO HOP'!$Y$53))</f>
        <v/>
      </c>
      <c r="C187" s="58" t="str">
        <f>IF($A187="","",'TO HOP'!$D$166+1.75*(0-'TO HOP'!$Y$54))</f>
        <v/>
      </c>
      <c r="D187" s="58" t="str">
        <f>IF($A187="","",'TO HOP'!$E$166+1.75*(INDEX('LANE ENGINE'!$F$6:$F$45,18)-'TO HOP'!$Y$55))</f>
        <v/>
      </c>
      <c r="E187" s="58" t="str">
        <f>IF($A187="","",'TO HOP'!$F$166+1.75*(INDEX('LANE ENGINE'!$G$6:$G$45,18)-'TO HOP'!$Y$56))</f>
        <v/>
      </c>
      <c r="F187" s="58" t="str">
        <f>IF($A187="","",'TO HOP'!$G$166+1.75*(INDEX('LANE ENGINE'!$H$6:$H$45,18)-'TO HOP'!$Y$57))</f>
        <v/>
      </c>
      <c r="G187" s="58" t="str">
        <f>IF($A187="","",'TO HOP'!$H$166+1.75*(0-'TO HOP'!$Y$58))</f>
        <v/>
      </c>
      <c r="H187" s="58" t="str">
        <f>IF($A187="","",'TO HOP'!$I$166+1.75*(0-'TO HOP'!$Y$59))</f>
        <v/>
      </c>
      <c r="I187" s="58" t="str">
        <f>IF($A187="","",'TO HOP'!$J$166+1.75*(INDEX('LANE ENGINE'!$F$6:$F$45,18)-'TO HOP'!$Y$60))</f>
        <v/>
      </c>
      <c r="J187" s="58" t="str">
        <f>IF($A187="","",'TO HOP'!$K$166+1.75*(INDEX('LANE ENGINE'!$G$6:$G$45,18)-'TO HOP'!$Y$61))</f>
        <v/>
      </c>
      <c r="K187" s="58" t="str">
        <f>IF($A187="","",'TO HOP'!$L$166+1.75*(INDEX('LANE ENGINE'!$H$6:$H$45,18)-'TO HOP'!$Y$62))</f>
        <v/>
      </c>
      <c r="L187" s="42" t="s">
        <v>1579</v>
      </c>
      <c r="M187" s="42">
        <v>18</v>
      </c>
    </row>
    <row r="188" spans="1:13" x14ac:dyDescent="0.3">
      <c r="A188" s="42" t="str">
        <f>IF(19&lt;=nLan,"CĐ I(a) max - 1 nhịp "&amp;19&amp;" làn","")</f>
        <v/>
      </c>
      <c r="B188" s="58" t="str">
        <f>IF($A188="","",'TO HOP'!$C$166+1.75*(0-'TO HOP'!$Y$53))</f>
        <v/>
      </c>
      <c r="C188" s="58" t="str">
        <f>IF($A188="","",'TO HOP'!$D$166+1.75*(0-'TO HOP'!$Y$54))</f>
        <v/>
      </c>
      <c r="D188" s="58" t="str">
        <f>IF($A188="","",'TO HOP'!$E$166+1.75*(INDEX('LANE ENGINE'!$F$6:$F$45,19)-'TO HOP'!$Y$55))</f>
        <v/>
      </c>
      <c r="E188" s="58" t="str">
        <f>IF($A188="","",'TO HOP'!$F$166+1.75*(INDEX('LANE ENGINE'!$G$6:$G$45,19)-'TO HOP'!$Y$56))</f>
        <v/>
      </c>
      <c r="F188" s="58" t="str">
        <f>IF($A188="","",'TO HOP'!$G$166+1.75*(INDEX('LANE ENGINE'!$H$6:$H$45,19)-'TO HOP'!$Y$57))</f>
        <v/>
      </c>
      <c r="G188" s="58" t="str">
        <f>IF($A188="","",'TO HOP'!$H$166+1.75*(0-'TO HOP'!$Y$58))</f>
        <v/>
      </c>
      <c r="H188" s="58" t="str">
        <f>IF($A188="","",'TO HOP'!$I$166+1.75*(0-'TO HOP'!$Y$59))</f>
        <v/>
      </c>
      <c r="I188" s="58" t="str">
        <f>IF($A188="","",'TO HOP'!$J$166+1.75*(INDEX('LANE ENGINE'!$F$6:$F$45,19)-'TO HOP'!$Y$60))</f>
        <v/>
      </c>
      <c r="J188" s="58" t="str">
        <f>IF($A188="","",'TO HOP'!$K$166+1.75*(INDEX('LANE ENGINE'!$G$6:$G$45,19)-'TO HOP'!$Y$61))</f>
        <v/>
      </c>
      <c r="K188" s="58" t="str">
        <f>IF($A188="","",'TO HOP'!$L$166+1.75*(INDEX('LANE ENGINE'!$H$6:$H$45,19)-'TO HOP'!$Y$62))</f>
        <v/>
      </c>
      <c r="L188" s="42" t="s">
        <v>1579</v>
      </c>
      <c r="M188" s="42">
        <v>19</v>
      </c>
    </row>
    <row r="189" spans="1:13" x14ac:dyDescent="0.3">
      <c r="A189" s="42" t="str">
        <f>IF(20&lt;=nLan,"CĐ I(a) max - 1 nhịp "&amp;20&amp;" làn","")</f>
        <v/>
      </c>
      <c r="B189" s="58" t="str">
        <f>IF($A189="","",'TO HOP'!$C$166+1.75*(0-'TO HOP'!$Y$53))</f>
        <v/>
      </c>
      <c r="C189" s="58" t="str">
        <f>IF($A189="","",'TO HOP'!$D$166+1.75*(0-'TO HOP'!$Y$54))</f>
        <v/>
      </c>
      <c r="D189" s="58" t="str">
        <f>IF($A189="","",'TO HOP'!$E$166+1.75*(INDEX('LANE ENGINE'!$F$6:$F$45,20)-'TO HOP'!$Y$55))</f>
        <v/>
      </c>
      <c r="E189" s="58" t="str">
        <f>IF($A189="","",'TO HOP'!$F$166+1.75*(INDEX('LANE ENGINE'!$G$6:$G$45,20)-'TO HOP'!$Y$56))</f>
        <v/>
      </c>
      <c r="F189" s="58" t="str">
        <f>IF($A189="","",'TO HOP'!$G$166+1.75*(INDEX('LANE ENGINE'!$H$6:$H$45,20)-'TO HOP'!$Y$57))</f>
        <v/>
      </c>
      <c r="G189" s="58" t="str">
        <f>IF($A189="","",'TO HOP'!$H$166+1.75*(0-'TO HOP'!$Y$58))</f>
        <v/>
      </c>
      <c r="H189" s="58" t="str">
        <f>IF($A189="","",'TO HOP'!$I$166+1.75*(0-'TO HOP'!$Y$59))</f>
        <v/>
      </c>
      <c r="I189" s="58" t="str">
        <f>IF($A189="","",'TO HOP'!$J$166+1.75*(INDEX('LANE ENGINE'!$F$6:$F$45,20)-'TO HOP'!$Y$60))</f>
        <v/>
      </c>
      <c r="J189" s="58" t="str">
        <f>IF($A189="","",'TO HOP'!$K$166+1.75*(INDEX('LANE ENGINE'!$G$6:$G$45,20)-'TO HOP'!$Y$61))</f>
        <v/>
      </c>
      <c r="K189" s="58" t="str">
        <f>IF($A189="","",'TO HOP'!$L$166+1.75*(INDEX('LANE ENGINE'!$H$6:$H$45,20)-'TO HOP'!$Y$62))</f>
        <v/>
      </c>
      <c r="L189" s="42" t="s">
        <v>1579</v>
      </c>
      <c r="M189" s="42">
        <v>20</v>
      </c>
    </row>
    <row r="190" spans="1:13" x14ac:dyDescent="0.3">
      <c r="A190" s="42" t="str">
        <f>IF(21&lt;=nLan,"CĐ I(a) max - 1 nhịp "&amp;21&amp;" làn","")</f>
        <v/>
      </c>
      <c r="B190" s="58" t="str">
        <f>IF($A190="","",'TO HOP'!$C$166+1.75*(0-'TO HOP'!$Y$53))</f>
        <v/>
      </c>
      <c r="C190" s="58" t="str">
        <f>IF($A190="","",'TO HOP'!$D$166+1.75*(0-'TO HOP'!$Y$54))</f>
        <v/>
      </c>
      <c r="D190" s="58" t="str">
        <f>IF($A190="","",'TO HOP'!$E$166+1.75*(INDEX('LANE ENGINE'!$F$6:$F$45,21)-'TO HOP'!$Y$55))</f>
        <v/>
      </c>
      <c r="E190" s="58" t="str">
        <f>IF($A190="","",'TO HOP'!$F$166+1.75*(INDEX('LANE ENGINE'!$G$6:$G$45,21)-'TO HOP'!$Y$56))</f>
        <v/>
      </c>
      <c r="F190" s="58" t="str">
        <f>IF($A190="","",'TO HOP'!$G$166+1.75*(INDEX('LANE ENGINE'!$H$6:$H$45,21)-'TO HOP'!$Y$57))</f>
        <v/>
      </c>
      <c r="G190" s="58" t="str">
        <f>IF($A190="","",'TO HOP'!$H$166+1.75*(0-'TO HOP'!$Y$58))</f>
        <v/>
      </c>
      <c r="H190" s="58" t="str">
        <f>IF($A190="","",'TO HOP'!$I$166+1.75*(0-'TO HOP'!$Y$59))</f>
        <v/>
      </c>
      <c r="I190" s="58" t="str">
        <f>IF($A190="","",'TO HOP'!$J$166+1.75*(INDEX('LANE ENGINE'!$F$6:$F$45,21)-'TO HOP'!$Y$60))</f>
        <v/>
      </c>
      <c r="J190" s="58" t="str">
        <f>IF($A190="","",'TO HOP'!$K$166+1.75*(INDEX('LANE ENGINE'!$G$6:$G$45,21)-'TO HOP'!$Y$61))</f>
        <v/>
      </c>
      <c r="K190" s="58" t="str">
        <f>IF($A190="","",'TO HOP'!$L$166+1.75*(INDEX('LANE ENGINE'!$H$6:$H$45,21)-'TO HOP'!$Y$62))</f>
        <v/>
      </c>
      <c r="L190" s="42" t="s">
        <v>1579</v>
      </c>
      <c r="M190" s="42">
        <v>21</v>
      </c>
    </row>
    <row r="191" spans="1:13" x14ac:dyDescent="0.3">
      <c r="A191" s="42" t="str">
        <f>IF(22&lt;=nLan,"CĐ I(a) max - 1 nhịp "&amp;22&amp;" làn","")</f>
        <v/>
      </c>
      <c r="B191" s="58" t="str">
        <f>IF($A191="","",'TO HOP'!$C$166+1.75*(0-'TO HOP'!$Y$53))</f>
        <v/>
      </c>
      <c r="C191" s="58" t="str">
        <f>IF($A191="","",'TO HOP'!$D$166+1.75*(0-'TO HOP'!$Y$54))</f>
        <v/>
      </c>
      <c r="D191" s="58" t="str">
        <f>IF($A191="","",'TO HOP'!$E$166+1.75*(INDEX('LANE ENGINE'!$F$6:$F$45,22)-'TO HOP'!$Y$55))</f>
        <v/>
      </c>
      <c r="E191" s="58" t="str">
        <f>IF($A191="","",'TO HOP'!$F$166+1.75*(INDEX('LANE ENGINE'!$G$6:$G$45,22)-'TO HOP'!$Y$56))</f>
        <v/>
      </c>
      <c r="F191" s="58" t="str">
        <f>IF($A191="","",'TO HOP'!$G$166+1.75*(INDEX('LANE ENGINE'!$H$6:$H$45,22)-'TO HOP'!$Y$57))</f>
        <v/>
      </c>
      <c r="G191" s="58" t="str">
        <f>IF($A191="","",'TO HOP'!$H$166+1.75*(0-'TO HOP'!$Y$58))</f>
        <v/>
      </c>
      <c r="H191" s="58" t="str">
        <f>IF($A191="","",'TO HOP'!$I$166+1.75*(0-'TO HOP'!$Y$59))</f>
        <v/>
      </c>
      <c r="I191" s="58" t="str">
        <f>IF($A191="","",'TO HOP'!$J$166+1.75*(INDEX('LANE ENGINE'!$F$6:$F$45,22)-'TO HOP'!$Y$60))</f>
        <v/>
      </c>
      <c r="J191" s="58" t="str">
        <f>IF($A191="","",'TO HOP'!$K$166+1.75*(INDEX('LANE ENGINE'!$G$6:$G$45,22)-'TO HOP'!$Y$61))</f>
        <v/>
      </c>
      <c r="K191" s="58" t="str">
        <f>IF($A191="","",'TO HOP'!$L$166+1.75*(INDEX('LANE ENGINE'!$H$6:$H$45,22)-'TO HOP'!$Y$62))</f>
        <v/>
      </c>
      <c r="L191" s="42" t="s">
        <v>1579</v>
      </c>
      <c r="M191" s="42">
        <v>22</v>
      </c>
    </row>
    <row r="192" spans="1:13" x14ac:dyDescent="0.3">
      <c r="A192" s="42" t="str">
        <f>IF(23&lt;=nLan,"CĐ I(a) max - 1 nhịp "&amp;23&amp;" làn","")</f>
        <v/>
      </c>
      <c r="B192" s="58" t="str">
        <f>IF($A192="","",'TO HOP'!$C$166+1.75*(0-'TO HOP'!$Y$53))</f>
        <v/>
      </c>
      <c r="C192" s="58" t="str">
        <f>IF($A192="","",'TO HOP'!$D$166+1.75*(0-'TO HOP'!$Y$54))</f>
        <v/>
      </c>
      <c r="D192" s="58" t="str">
        <f>IF($A192="","",'TO HOP'!$E$166+1.75*(INDEX('LANE ENGINE'!$F$6:$F$45,23)-'TO HOP'!$Y$55))</f>
        <v/>
      </c>
      <c r="E192" s="58" t="str">
        <f>IF($A192="","",'TO HOP'!$F$166+1.75*(INDEX('LANE ENGINE'!$G$6:$G$45,23)-'TO HOP'!$Y$56))</f>
        <v/>
      </c>
      <c r="F192" s="58" t="str">
        <f>IF($A192="","",'TO HOP'!$G$166+1.75*(INDEX('LANE ENGINE'!$H$6:$H$45,23)-'TO HOP'!$Y$57))</f>
        <v/>
      </c>
      <c r="G192" s="58" t="str">
        <f>IF($A192="","",'TO HOP'!$H$166+1.75*(0-'TO HOP'!$Y$58))</f>
        <v/>
      </c>
      <c r="H192" s="58" t="str">
        <f>IF($A192="","",'TO HOP'!$I$166+1.75*(0-'TO HOP'!$Y$59))</f>
        <v/>
      </c>
      <c r="I192" s="58" t="str">
        <f>IF($A192="","",'TO HOP'!$J$166+1.75*(INDEX('LANE ENGINE'!$F$6:$F$45,23)-'TO HOP'!$Y$60))</f>
        <v/>
      </c>
      <c r="J192" s="58" t="str">
        <f>IF($A192="","",'TO HOP'!$K$166+1.75*(INDEX('LANE ENGINE'!$G$6:$G$45,23)-'TO HOP'!$Y$61))</f>
        <v/>
      </c>
      <c r="K192" s="58" t="str">
        <f>IF($A192="","",'TO HOP'!$L$166+1.75*(INDEX('LANE ENGINE'!$H$6:$H$45,23)-'TO HOP'!$Y$62))</f>
        <v/>
      </c>
      <c r="L192" s="42" t="s">
        <v>1579</v>
      </c>
      <c r="M192" s="42">
        <v>23</v>
      </c>
    </row>
    <row r="193" spans="1:13" x14ac:dyDescent="0.3">
      <c r="A193" s="42" t="str">
        <f>IF(24&lt;=nLan,"CĐ I(a) max - 1 nhịp "&amp;24&amp;" làn","")</f>
        <v/>
      </c>
      <c r="B193" s="58" t="str">
        <f>IF($A193="","",'TO HOP'!$C$166+1.75*(0-'TO HOP'!$Y$53))</f>
        <v/>
      </c>
      <c r="C193" s="58" t="str">
        <f>IF($A193="","",'TO HOP'!$D$166+1.75*(0-'TO HOP'!$Y$54))</f>
        <v/>
      </c>
      <c r="D193" s="58" t="str">
        <f>IF($A193="","",'TO HOP'!$E$166+1.75*(INDEX('LANE ENGINE'!$F$6:$F$45,24)-'TO HOP'!$Y$55))</f>
        <v/>
      </c>
      <c r="E193" s="58" t="str">
        <f>IF($A193="","",'TO HOP'!$F$166+1.75*(INDEX('LANE ENGINE'!$G$6:$G$45,24)-'TO HOP'!$Y$56))</f>
        <v/>
      </c>
      <c r="F193" s="58" t="str">
        <f>IF($A193="","",'TO HOP'!$G$166+1.75*(INDEX('LANE ENGINE'!$H$6:$H$45,24)-'TO HOP'!$Y$57))</f>
        <v/>
      </c>
      <c r="G193" s="58" t="str">
        <f>IF($A193="","",'TO HOP'!$H$166+1.75*(0-'TO HOP'!$Y$58))</f>
        <v/>
      </c>
      <c r="H193" s="58" t="str">
        <f>IF($A193="","",'TO HOP'!$I$166+1.75*(0-'TO HOP'!$Y$59))</f>
        <v/>
      </c>
      <c r="I193" s="58" t="str">
        <f>IF($A193="","",'TO HOP'!$J$166+1.75*(INDEX('LANE ENGINE'!$F$6:$F$45,24)-'TO HOP'!$Y$60))</f>
        <v/>
      </c>
      <c r="J193" s="58" t="str">
        <f>IF($A193="","",'TO HOP'!$K$166+1.75*(INDEX('LANE ENGINE'!$G$6:$G$45,24)-'TO HOP'!$Y$61))</f>
        <v/>
      </c>
      <c r="K193" s="58" t="str">
        <f>IF($A193="","",'TO HOP'!$L$166+1.75*(INDEX('LANE ENGINE'!$H$6:$H$45,24)-'TO HOP'!$Y$62))</f>
        <v/>
      </c>
      <c r="L193" s="42" t="s">
        <v>1579</v>
      </c>
      <c r="M193" s="42">
        <v>24</v>
      </c>
    </row>
    <row r="194" spans="1:13" x14ac:dyDescent="0.3">
      <c r="A194" s="42" t="str">
        <f>IF(25&lt;=nLan,"CĐ I(a) max - 1 nhịp "&amp;25&amp;" làn","")</f>
        <v/>
      </c>
      <c r="B194" s="58" t="str">
        <f>IF($A194="","",'TO HOP'!$C$166+1.75*(0-'TO HOP'!$Y$53))</f>
        <v/>
      </c>
      <c r="C194" s="58" t="str">
        <f>IF($A194="","",'TO HOP'!$D$166+1.75*(0-'TO HOP'!$Y$54))</f>
        <v/>
      </c>
      <c r="D194" s="58" t="str">
        <f>IF($A194="","",'TO HOP'!$E$166+1.75*(INDEX('LANE ENGINE'!$F$6:$F$45,25)-'TO HOP'!$Y$55))</f>
        <v/>
      </c>
      <c r="E194" s="58" t="str">
        <f>IF($A194="","",'TO HOP'!$F$166+1.75*(INDEX('LANE ENGINE'!$G$6:$G$45,25)-'TO HOP'!$Y$56))</f>
        <v/>
      </c>
      <c r="F194" s="58" t="str">
        <f>IF($A194="","",'TO HOP'!$G$166+1.75*(INDEX('LANE ENGINE'!$H$6:$H$45,25)-'TO HOP'!$Y$57))</f>
        <v/>
      </c>
      <c r="G194" s="58" t="str">
        <f>IF($A194="","",'TO HOP'!$H$166+1.75*(0-'TO HOP'!$Y$58))</f>
        <v/>
      </c>
      <c r="H194" s="58" t="str">
        <f>IF($A194="","",'TO HOP'!$I$166+1.75*(0-'TO HOP'!$Y$59))</f>
        <v/>
      </c>
      <c r="I194" s="58" t="str">
        <f>IF($A194="","",'TO HOP'!$J$166+1.75*(INDEX('LANE ENGINE'!$F$6:$F$45,25)-'TO HOP'!$Y$60))</f>
        <v/>
      </c>
      <c r="J194" s="58" t="str">
        <f>IF($A194="","",'TO HOP'!$K$166+1.75*(INDEX('LANE ENGINE'!$G$6:$G$45,25)-'TO HOP'!$Y$61))</f>
        <v/>
      </c>
      <c r="K194" s="58" t="str">
        <f>IF($A194="","",'TO HOP'!$L$166+1.75*(INDEX('LANE ENGINE'!$H$6:$H$45,25)-'TO HOP'!$Y$62))</f>
        <v/>
      </c>
      <c r="L194" s="42" t="s">
        <v>1579</v>
      </c>
      <c r="M194" s="42">
        <v>25</v>
      </c>
    </row>
    <row r="195" spans="1:13" x14ac:dyDescent="0.3">
      <c r="A195" s="42" t="str">
        <f>IF(26&lt;=nLan,"CĐ I(a) max - 1 nhịp "&amp;26&amp;" làn","")</f>
        <v/>
      </c>
      <c r="B195" s="58" t="str">
        <f>IF($A195="","",'TO HOP'!$C$166+1.75*(0-'TO HOP'!$Y$53))</f>
        <v/>
      </c>
      <c r="C195" s="58" t="str">
        <f>IF($A195="","",'TO HOP'!$D$166+1.75*(0-'TO HOP'!$Y$54))</f>
        <v/>
      </c>
      <c r="D195" s="58" t="str">
        <f>IF($A195="","",'TO HOP'!$E$166+1.75*(INDEX('LANE ENGINE'!$F$6:$F$45,26)-'TO HOP'!$Y$55))</f>
        <v/>
      </c>
      <c r="E195" s="58" t="str">
        <f>IF($A195="","",'TO HOP'!$F$166+1.75*(INDEX('LANE ENGINE'!$G$6:$G$45,26)-'TO HOP'!$Y$56))</f>
        <v/>
      </c>
      <c r="F195" s="58" t="str">
        <f>IF($A195="","",'TO HOP'!$G$166+1.75*(INDEX('LANE ENGINE'!$H$6:$H$45,26)-'TO HOP'!$Y$57))</f>
        <v/>
      </c>
      <c r="G195" s="58" t="str">
        <f>IF($A195="","",'TO HOP'!$H$166+1.75*(0-'TO HOP'!$Y$58))</f>
        <v/>
      </c>
      <c r="H195" s="58" t="str">
        <f>IF($A195="","",'TO HOP'!$I$166+1.75*(0-'TO HOP'!$Y$59))</f>
        <v/>
      </c>
      <c r="I195" s="58" t="str">
        <f>IF($A195="","",'TO HOP'!$J$166+1.75*(INDEX('LANE ENGINE'!$F$6:$F$45,26)-'TO HOP'!$Y$60))</f>
        <v/>
      </c>
      <c r="J195" s="58" t="str">
        <f>IF($A195="","",'TO HOP'!$K$166+1.75*(INDEX('LANE ENGINE'!$G$6:$G$45,26)-'TO HOP'!$Y$61))</f>
        <v/>
      </c>
      <c r="K195" s="58" t="str">
        <f>IF($A195="","",'TO HOP'!$L$166+1.75*(INDEX('LANE ENGINE'!$H$6:$H$45,26)-'TO HOP'!$Y$62))</f>
        <v/>
      </c>
      <c r="L195" s="42" t="s">
        <v>1579</v>
      </c>
      <c r="M195" s="42">
        <v>26</v>
      </c>
    </row>
    <row r="196" spans="1:13" x14ac:dyDescent="0.3">
      <c r="A196" s="42" t="str">
        <f>IF(27&lt;=nLan,"CĐ I(a) max - 1 nhịp "&amp;27&amp;" làn","")</f>
        <v/>
      </c>
      <c r="B196" s="58" t="str">
        <f>IF($A196="","",'TO HOP'!$C$166+1.75*(0-'TO HOP'!$Y$53))</f>
        <v/>
      </c>
      <c r="C196" s="58" t="str">
        <f>IF($A196="","",'TO HOP'!$D$166+1.75*(0-'TO HOP'!$Y$54))</f>
        <v/>
      </c>
      <c r="D196" s="58" t="str">
        <f>IF($A196="","",'TO HOP'!$E$166+1.75*(INDEX('LANE ENGINE'!$F$6:$F$45,27)-'TO HOP'!$Y$55))</f>
        <v/>
      </c>
      <c r="E196" s="58" t="str">
        <f>IF($A196="","",'TO HOP'!$F$166+1.75*(INDEX('LANE ENGINE'!$G$6:$G$45,27)-'TO HOP'!$Y$56))</f>
        <v/>
      </c>
      <c r="F196" s="58" t="str">
        <f>IF($A196="","",'TO HOP'!$G$166+1.75*(INDEX('LANE ENGINE'!$H$6:$H$45,27)-'TO HOP'!$Y$57))</f>
        <v/>
      </c>
      <c r="G196" s="58" t="str">
        <f>IF($A196="","",'TO HOP'!$H$166+1.75*(0-'TO HOP'!$Y$58))</f>
        <v/>
      </c>
      <c r="H196" s="58" t="str">
        <f>IF($A196="","",'TO HOP'!$I$166+1.75*(0-'TO HOP'!$Y$59))</f>
        <v/>
      </c>
      <c r="I196" s="58" t="str">
        <f>IF($A196="","",'TO HOP'!$J$166+1.75*(INDEX('LANE ENGINE'!$F$6:$F$45,27)-'TO HOP'!$Y$60))</f>
        <v/>
      </c>
      <c r="J196" s="58" t="str">
        <f>IF($A196="","",'TO HOP'!$K$166+1.75*(INDEX('LANE ENGINE'!$G$6:$G$45,27)-'TO HOP'!$Y$61))</f>
        <v/>
      </c>
      <c r="K196" s="58" t="str">
        <f>IF($A196="","",'TO HOP'!$L$166+1.75*(INDEX('LANE ENGINE'!$H$6:$H$45,27)-'TO HOP'!$Y$62))</f>
        <v/>
      </c>
      <c r="L196" s="42" t="s">
        <v>1579</v>
      </c>
      <c r="M196" s="42">
        <v>27</v>
      </c>
    </row>
    <row r="197" spans="1:13" x14ac:dyDescent="0.3">
      <c r="A197" s="42" t="str">
        <f>IF(28&lt;=nLan,"CĐ I(a) max - 1 nhịp "&amp;28&amp;" làn","")</f>
        <v/>
      </c>
      <c r="B197" s="58" t="str">
        <f>IF($A197="","",'TO HOP'!$C$166+1.75*(0-'TO HOP'!$Y$53))</f>
        <v/>
      </c>
      <c r="C197" s="58" t="str">
        <f>IF($A197="","",'TO HOP'!$D$166+1.75*(0-'TO HOP'!$Y$54))</f>
        <v/>
      </c>
      <c r="D197" s="58" t="str">
        <f>IF($A197="","",'TO HOP'!$E$166+1.75*(INDEX('LANE ENGINE'!$F$6:$F$45,28)-'TO HOP'!$Y$55))</f>
        <v/>
      </c>
      <c r="E197" s="58" t="str">
        <f>IF($A197="","",'TO HOP'!$F$166+1.75*(INDEX('LANE ENGINE'!$G$6:$G$45,28)-'TO HOP'!$Y$56))</f>
        <v/>
      </c>
      <c r="F197" s="58" t="str">
        <f>IF($A197="","",'TO HOP'!$G$166+1.75*(INDEX('LANE ENGINE'!$H$6:$H$45,28)-'TO HOP'!$Y$57))</f>
        <v/>
      </c>
      <c r="G197" s="58" t="str">
        <f>IF($A197="","",'TO HOP'!$H$166+1.75*(0-'TO HOP'!$Y$58))</f>
        <v/>
      </c>
      <c r="H197" s="58" t="str">
        <f>IF($A197="","",'TO HOP'!$I$166+1.75*(0-'TO HOP'!$Y$59))</f>
        <v/>
      </c>
      <c r="I197" s="58" t="str">
        <f>IF($A197="","",'TO HOP'!$J$166+1.75*(INDEX('LANE ENGINE'!$F$6:$F$45,28)-'TO HOP'!$Y$60))</f>
        <v/>
      </c>
      <c r="J197" s="58" t="str">
        <f>IF($A197="","",'TO HOP'!$K$166+1.75*(INDEX('LANE ENGINE'!$G$6:$G$45,28)-'TO HOP'!$Y$61))</f>
        <v/>
      </c>
      <c r="K197" s="58" t="str">
        <f>IF($A197="","",'TO HOP'!$L$166+1.75*(INDEX('LANE ENGINE'!$H$6:$H$45,28)-'TO HOP'!$Y$62))</f>
        <v/>
      </c>
      <c r="L197" s="42" t="s">
        <v>1579</v>
      </c>
      <c r="M197" s="42">
        <v>28</v>
      </c>
    </row>
    <row r="198" spans="1:13" x14ac:dyDescent="0.3">
      <c r="A198" s="42" t="str">
        <f>IF(29&lt;=nLan,"CĐ I(a) max - 1 nhịp "&amp;29&amp;" làn","")</f>
        <v/>
      </c>
      <c r="B198" s="58" t="str">
        <f>IF($A198="","",'TO HOP'!$C$166+1.75*(0-'TO HOP'!$Y$53))</f>
        <v/>
      </c>
      <c r="C198" s="58" t="str">
        <f>IF($A198="","",'TO HOP'!$D$166+1.75*(0-'TO HOP'!$Y$54))</f>
        <v/>
      </c>
      <c r="D198" s="58" t="str">
        <f>IF($A198="","",'TO HOP'!$E$166+1.75*(INDEX('LANE ENGINE'!$F$6:$F$45,29)-'TO HOP'!$Y$55))</f>
        <v/>
      </c>
      <c r="E198" s="58" t="str">
        <f>IF($A198="","",'TO HOP'!$F$166+1.75*(INDEX('LANE ENGINE'!$G$6:$G$45,29)-'TO HOP'!$Y$56))</f>
        <v/>
      </c>
      <c r="F198" s="58" t="str">
        <f>IF($A198="","",'TO HOP'!$G$166+1.75*(INDEX('LANE ENGINE'!$H$6:$H$45,29)-'TO HOP'!$Y$57))</f>
        <v/>
      </c>
      <c r="G198" s="58" t="str">
        <f>IF($A198="","",'TO HOP'!$H$166+1.75*(0-'TO HOP'!$Y$58))</f>
        <v/>
      </c>
      <c r="H198" s="58" t="str">
        <f>IF($A198="","",'TO HOP'!$I$166+1.75*(0-'TO HOP'!$Y$59))</f>
        <v/>
      </c>
      <c r="I198" s="58" t="str">
        <f>IF($A198="","",'TO HOP'!$J$166+1.75*(INDEX('LANE ENGINE'!$F$6:$F$45,29)-'TO HOP'!$Y$60))</f>
        <v/>
      </c>
      <c r="J198" s="58" t="str">
        <f>IF($A198="","",'TO HOP'!$K$166+1.75*(INDEX('LANE ENGINE'!$G$6:$G$45,29)-'TO HOP'!$Y$61))</f>
        <v/>
      </c>
      <c r="K198" s="58" t="str">
        <f>IF($A198="","",'TO HOP'!$L$166+1.75*(INDEX('LANE ENGINE'!$H$6:$H$45,29)-'TO HOP'!$Y$62))</f>
        <v/>
      </c>
      <c r="L198" s="42" t="s">
        <v>1579</v>
      </c>
      <c r="M198" s="42">
        <v>29</v>
      </c>
    </row>
    <row r="199" spans="1:13" x14ac:dyDescent="0.3">
      <c r="A199" s="42" t="str">
        <f>IF(30&lt;=nLan,"CĐ I(a) max - 1 nhịp "&amp;30&amp;" làn","")</f>
        <v/>
      </c>
      <c r="B199" s="58" t="str">
        <f>IF($A199="","",'TO HOP'!$C$166+1.75*(0-'TO HOP'!$Y$53))</f>
        <v/>
      </c>
      <c r="C199" s="58" t="str">
        <f>IF($A199="","",'TO HOP'!$D$166+1.75*(0-'TO HOP'!$Y$54))</f>
        <v/>
      </c>
      <c r="D199" s="58" t="str">
        <f>IF($A199="","",'TO HOP'!$E$166+1.75*(INDEX('LANE ENGINE'!$F$6:$F$45,30)-'TO HOP'!$Y$55))</f>
        <v/>
      </c>
      <c r="E199" s="58" t="str">
        <f>IF($A199="","",'TO HOP'!$F$166+1.75*(INDEX('LANE ENGINE'!$G$6:$G$45,30)-'TO HOP'!$Y$56))</f>
        <v/>
      </c>
      <c r="F199" s="58" t="str">
        <f>IF($A199="","",'TO HOP'!$G$166+1.75*(INDEX('LANE ENGINE'!$H$6:$H$45,30)-'TO HOP'!$Y$57))</f>
        <v/>
      </c>
      <c r="G199" s="58" t="str">
        <f>IF($A199="","",'TO HOP'!$H$166+1.75*(0-'TO HOP'!$Y$58))</f>
        <v/>
      </c>
      <c r="H199" s="58" t="str">
        <f>IF($A199="","",'TO HOP'!$I$166+1.75*(0-'TO HOP'!$Y$59))</f>
        <v/>
      </c>
      <c r="I199" s="58" t="str">
        <f>IF($A199="","",'TO HOP'!$J$166+1.75*(INDEX('LANE ENGINE'!$F$6:$F$45,30)-'TO HOP'!$Y$60))</f>
        <v/>
      </c>
      <c r="J199" s="58" t="str">
        <f>IF($A199="","",'TO HOP'!$K$166+1.75*(INDEX('LANE ENGINE'!$G$6:$G$45,30)-'TO HOP'!$Y$61))</f>
        <v/>
      </c>
      <c r="K199" s="58" t="str">
        <f>IF($A199="","",'TO HOP'!$L$166+1.75*(INDEX('LANE ENGINE'!$H$6:$H$45,30)-'TO HOP'!$Y$62))</f>
        <v/>
      </c>
      <c r="L199" s="42" t="s">
        <v>1579</v>
      </c>
      <c r="M199" s="42">
        <v>30</v>
      </c>
    </row>
    <row r="200" spans="1:13" x14ac:dyDescent="0.3">
      <c r="A200" s="42" t="str">
        <f>IF(31&lt;=nLan,"CĐ I(a) max - 1 nhịp "&amp;31&amp;" làn","")</f>
        <v/>
      </c>
      <c r="B200" s="58" t="str">
        <f>IF($A200="","",'TO HOP'!$C$166+1.75*(0-'TO HOP'!$Y$53))</f>
        <v/>
      </c>
      <c r="C200" s="58" t="str">
        <f>IF($A200="","",'TO HOP'!$D$166+1.75*(0-'TO HOP'!$Y$54))</f>
        <v/>
      </c>
      <c r="D200" s="58" t="str">
        <f>IF($A200="","",'TO HOP'!$E$166+1.75*(INDEX('LANE ENGINE'!$F$6:$F$45,31)-'TO HOP'!$Y$55))</f>
        <v/>
      </c>
      <c r="E200" s="58" t="str">
        <f>IF($A200="","",'TO HOP'!$F$166+1.75*(INDEX('LANE ENGINE'!$G$6:$G$45,31)-'TO HOP'!$Y$56))</f>
        <v/>
      </c>
      <c r="F200" s="58" t="str">
        <f>IF($A200="","",'TO HOP'!$G$166+1.75*(INDEX('LANE ENGINE'!$H$6:$H$45,31)-'TO HOP'!$Y$57))</f>
        <v/>
      </c>
      <c r="G200" s="58" t="str">
        <f>IF($A200="","",'TO HOP'!$H$166+1.75*(0-'TO HOP'!$Y$58))</f>
        <v/>
      </c>
      <c r="H200" s="58" t="str">
        <f>IF($A200="","",'TO HOP'!$I$166+1.75*(0-'TO HOP'!$Y$59))</f>
        <v/>
      </c>
      <c r="I200" s="58" t="str">
        <f>IF($A200="","",'TO HOP'!$J$166+1.75*(INDEX('LANE ENGINE'!$F$6:$F$45,31)-'TO HOP'!$Y$60))</f>
        <v/>
      </c>
      <c r="J200" s="58" t="str">
        <f>IF($A200="","",'TO HOP'!$K$166+1.75*(INDEX('LANE ENGINE'!$G$6:$G$45,31)-'TO HOP'!$Y$61))</f>
        <v/>
      </c>
      <c r="K200" s="58" t="str">
        <f>IF($A200="","",'TO HOP'!$L$166+1.75*(INDEX('LANE ENGINE'!$H$6:$H$45,31)-'TO HOP'!$Y$62))</f>
        <v/>
      </c>
      <c r="L200" s="42" t="s">
        <v>1579</v>
      </c>
      <c r="M200" s="42">
        <v>31</v>
      </c>
    </row>
    <row r="201" spans="1:13" x14ac:dyDescent="0.3">
      <c r="A201" s="42" t="str">
        <f>IF(32&lt;=nLan,"CĐ I(a) max - 1 nhịp "&amp;32&amp;" làn","")</f>
        <v/>
      </c>
      <c r="B201" s="58" t="str">
        <f>IF($A201="","",'TO HOP'!$C$166+1.75*(0-'TO HOP'!$Y$53))</f>
        <v/>
      </c>
      <c r="C201" s="58" t="str">
        <f>IF($A201="","",'TO HOP'!$D$166+1.75*(0-'TO HOP'!$Y$54))</f>
        <v/>
      </c>
      <c r="D201" s="58" t="str">
        <f>IF($A201="","",'TO HOP'!$E$166+1.75*(INDEX('LANE ENGINE'!$F$6:$F$45,32)-'TO HOP'!$Y$55))</f>
        <v/>
      </c>
      <c r="E201" s="58" t="str">
        <f>IF($A201="","",'TO HOP'!$F$166+1.75*(INDEX('LANE ENGINE'!$G$6:$G$45,32)-'TO HOP'!$Y$56))</f>
        <v/>
      </c>
      <c r="F201" s="58" t="str">
        <f>IF($A201="","",'TO HOP'!$G$166+1.75*(INDEX('LANE ENGINE'!$H$6:$H$45,32)-'TO HOP'!$Y$57))</f>
        <v/>
      </c>
      <c r="G201" s="58" t="str">
        <f>IF($A201="","",'TO HOP'!$H$166+1.75*(0-'TO HOP'!$Y$58))</f>
        <v/>
      </c>
      <c r="H201" s="58" t="str">
        <f>IF($A201="","",'TO HOP'!$I$166+1.75*(0-'TO HOP'!$Y$59))</f>
        <v/>
      </c>
      <c r="I201" s="58" t="str">
        <f>IF($A201="","",'TO HOP'!$J$166+1.75*(INDEX('LANE ENGINE'!$F$6:$F$45,32)-'TO HOP'!$Y$60))</f>
        <v/>
      </c>
      <c r="J201" s="58" t="str">
        <f>IF($A201="","",'TO HOP'!$K$166+1.75*(INDEX('LANE ENGINE'!$G$6:$G$45,32)-'TO HOP'!$Y$61))</f>
        <v/>
      </c>
      <c r="K201" s="58" t="str">
        <f>IF($A201="","",'TO HOP'!$L$166+1.75*(INDEX('LANE ENGINE'!$H$6:$H$45,32)-'TO HOP'!$Y$62))</f>
        <v/>
      </c>
      <c r="L201" s="42" t="s">
        <v>1579</v>
      </c>
      <c r="M201" s="42">
        <v>32</v>
      </c>
    </row>
    <row r="202" spans="1:13" x14ac:dyDescent="0.3">
      <c r="A202" s="42" t="str">
        <f>IF(33&lt;=nLan,"CĐ I(a) max - 1 nhịp "&amp;33&amp;" làn","")</f>
        <v/>
      </c>
      <c r="B202" s="58" t="str">
        <f>IF($A202="","",'TO HOP'!$C$166+1.75*(0-'TO HOP'!$Y$53))</f>
        <v/>
      </c>
      <c r="C202" s="58" t="str">
        <f>IF($A202="","",'TO HOP'!$D$166+1.75*(0-'TO HOP'!$Y$54))</f>
        <v/>
      </c>
      <c r="D202" s="58" t="str">
        <f>IF($A202="","",'TO HOP'!$E$166+1.75*(INDEX('LANE ENGINE'!$F$6:$F$45,33)-'TO HOP'!$Y$55))</f>
        <v/>
      </c>
      <c r="E202" s="58" t="str">
        <f>IF($A202="","",'TO HOP'!$F$166+1.75*(INDEX('LANE ENGINE'!$G$6:$G$45,33)-'TO HOP'!$Y$56))</f>
        <v/>
      </c>
      <c r="F202" s="58" t="str">
        <f>IF($A202="","",'TO HOP'!$G$166+1.75*(INDEX('LANE ENGINE'!$H$6:$H$45,33)-'TO HOP'!$Y$57))</f>
        <v/>
      </c>
      <c r="G202" s="58" t="str">
        <f>IF($A202="","",'TO HOP'!$H$166+1.75*(0-'TO HOP'!$Y$58))</f>
        <v/>
      </c>
      <c r="H202" s="58" t="str">
        <f>IF($A202="","",'TO HOP'!$I$166+1.75*(0-'TO HOP'!$Y$59))</f>
        <v/>
      </c>
      <c r="I202" s="58" t="str">
        <f>IF($A202="","",'TO HOP'!$J$166+1.75*(INDEX('LANE ENGINE'!$F$6:$F$45,33)-'TO HOP'!$Y$60))</f>
        <v/>
      </c>
      <c r="J202" s="58" t="str">
        <f>IF($A202="","",'TO HOP'!$K$166+1.75*(INDEX('LANE ENGINE'!$G$6:$G$45,33)-'TO HOP'!$Y$61))</f>
        <v/>
      </c>
      <c r="K202" s="58" t="str">
        <f>IF($A202="","",'TO HOP'!$L$166+1.75*(INDEX('LANE ENGINE'!$H$6:$H$45,33)-'TO HOP'!$Y$62))</f>
        <v/>
      </c>
      <c r="L202" s="42" t="s">
        <v>1579</v>
      </c>
      <c r="M202" s="42">
        <v>33</v>
      </c>
    </row>
    <row r="203" spans="1:13" x14ac:dyDescent="0.3">
      <c r="A203" s="42" t="str">
        <f>IF(34&lt;=nLan,"CĐ I(a) max - 1 nhịp "&amp;34&amp;" làn","")</f>
        <v/>
      </c>
      <c r="B203" s="58" t="str">
        <f>IF($A203="","",'TO HOP'!$C$166+1.75*(0-'TO HOP'!$Y$53))</f>
        <v/>
      </c>
      <c r="C203" s="58" t="str">
        <f>IF($A203="","",'TO HOP'!$D$166+1.75*(0-'TO HOP'!$Y$54))</f>
        <v/>
      </c>
      <c r="D203" s="58" t="str">
        <f>IF($A203="","",'TO HOP'!$E$166+1.75*(INDEX('LANE ENGINE'!$F$6:$F$45,34)-'TO HOP'!$Y$55))</f>
        <v/>
      </c>
      <c r="E203" s="58" t="str">
        <f>IF($A203="","",'TO HOP'!$F$166+1.75*(INDEX('LANE ENGINE'!$G$6:$G$45,34)-'TO HOP'!$Y$56))</f>
        <v/>
      </c>
      <c r="F203" s="58" t="str">
        <f>IF($A203="","",'TO HOP'!$G$166+1.75*(INDEX('LANE ENGINE'!$H$6:$H$45,34)-'TO HOP'!$Y$57))</f>
        <v/>
      </c>
      <c r="G203" s="58" t="str">
        <f>IF($A203="","",'TO HOP'!$H$166+1.75*(0-'TO HOP'!$Y$58))</f>
        <v/>
      </c>
      <c r="H203" s="58" t="str">
        <f>IF($A203="","",'TO HOP'!$I$166+1.75*(0-'TO HOP'!$Y$59))</f>
        <v/>
      </c>
      <c r="I203" s="58" t="str">
        <f>IF($A203="","",'TO HOP'!$J$166+1.75*(INDEX('LANE ENGINE'!$F$6:$F$45,34)-'TO HOP'!$Y$60))</f>
        <v/>
      </c>
      <c r="J203" s="58" t="str">
        <f>IF($A203="","",'TO HOP'!$K$166+1.75*(INDEX('LANE ENGINE'!$G$6:$G$45,34)-'TO HOP'!$Y$61))</f>
        <v/>
      </c>
      <c r="K203" s="58" t="str">
        <f>IF($A203="","",'TO HOP'!$L$166+1.75*(INDEX('LANE ENGINE'!$H$6:$H$45,34)-'TO HOP'!$Y$62))</f>
        <v/>
      </c>
      <c r="L203" s="42" t="s">
        <v>1579</v>
      </c>
      <c r="M203" s="42">
        <v>34</v>
      </c>
    </row>
    <row r="204" spans="1:13" x14ac:dyDescent="0.3">
      <c r="A204" s="42" t="str">
        <f>IF(35&lt;=nLan,"CĐ I(a) max - 1 nhịp "&amp;35&amp;" làn","")</f>
        <v/>
      </c>
      <c r="B204" s="58" t="str">
        <f>IF($A204="","",'TO HOP'!$C$166+1.75*(0-'TO HOP'!$Y$53))</f>
        <v/>
      </c>
      <c r="C204" s="58" t="str">
        <f>IF($A204="","",'TO HOP'!$D$166+1.75*(0-'TO HOP'!$Y$54))</f>
        <v/>
      </c>
      <c r="D204" s="58" t="str">
        <f>IF($A204="","",'TO HOP'!$E$166+1.75*(INDEX('LANE ENGINE'!$F$6:$F$45,35)-'TO HOP'!$Y$55))</f>
        <v/>
      </c>
      <c r="E204" s="58" t="str">
        <f>IF($A204="","",'TO HOP'!$F$166+1.75*(INDEX('LANE ENGINE'!$G$6:$G$45,35)-'TO HOP'!$Y$56))</f>
        <v/>
      </c>
      <c r="F204" s="58" t="str">
        <f>IF($A204="","",'TO HOP'!$G$166+1.75*(INDEX('LANE ENGINE'!$H$6:$H$45,35)-'TO HOP'!$Y$57))</f>
        <v/>
      </c>
      <c r="G204" s="58" t="str">
        <f>IF($A204="","",'TO HOP'!$H$166+1.75*(0-'TO HOP'!$Y$58))</f>
        <v/>
      </c>
      <c r="H204" s="58" t="str">
        <f>IF($A204="","",'TO HOP'!$I$166+1.75*(0-'TO HOP'!$Y$59))</f>
        <v/>
      </c>
      <c r="I204" s="58" t="str">
        <f>IF($A204="","",'TO HOP'!$J$166+1.75*(INDEX('LANE ENGINE'!$F$6:$F$45,35)-'TO HOP'!$Y$60))</f>
        <v/>
      </c>
      <c r="J204" s="58" t="str">
        <f>IF($A204="","",'TO HOP'!$K$166+1.75*(INDEX('LANE ENGINE'!$G$6:$G$45,35)-'TO HOP'!$Y$61))</f>
        <v/>
      </c>
      <c r="K204" s="58" t="str">
        <f>IF($A204="","",'TO HOP'!$L$166+1.75*(INDEX('LANE ENGINE'!$H$6:$H$45,35)-'TO HOP'!$Y$62))</f>
        <v/>
      </c>
      <c r="L204" s="42" t="s">
        <v>1579</v>
      </c>
      <c r="M204" s="42">
        <v>35</v>
      </c>
    </row>
    <row r="205" spans="1:13" x14ac:dyDescent="0.3">
      <c r="A205" s="42" t="str">
        <f>IF(36&lt;=nLan,"CĐ I(a) max - 1 nhịp "&amp;36&amp;" làn","")</f>
        <v/>
      </c>
      <c r="B205" s="58" t="str">
        <f>IF($A205="","",'TO HOP'!$C$166+1.75*(0-'TO HOP'!$Y$53))</f>
        <v/>
      </c>
      <c r="C205" s="58" t="str">
        <f>IF($A205="","",'TO HOP'!$D$166+1.75*(0-'TO HOP'!$Y$54))</f>
        <v/>
      </c>
      <c r="D205" s="58" t="str">
        <f>IF($A205="","",'TO HOP'!$E$166+1.75*(INDEX('LANE ENGINE'!$F$6:$F$45,36)-'TO HOP'!$Y$55))</f>
        <v/>
      </c>
      <c r="E205" s="58" t="str">
        <f>IF($A205="","",'TO HOP'!$F$166+1.75*(INDEX('LANE ENGINE'!$G$6:$G$45,36)-'TO HOP'!$Y$56))</f>
        <v/>
      </c>
      <c r="F205" s="58" t="str">
        <f>IF($A205="","",'TO HOP'!$G$166+1.75*(INDEX('LANE ENGINE'!$H$6:$H$45,36)-'TO HOP'!$Y$57))</f>
        <v/>
      </c>
      <c r="G205" s="58" t="str">
        <f>IF($A205="","",'TO HOP'!$H$166+1.75*(0-'TO HOP'!$Y$58))</f>
        <v/>
      </c>
      <c r="H205" s="58" t="str">
        <f>IF($A205="","",'TO HOP'!$I$166+1.75*(0-'TO HOP'!$Y$59))</f>
        <v/>
      </c>
      <c r="I205" s="58" t="str">
        <f>IF($A205="","",'TO HOP'!$J$166+1.75*(INDEX('LANE ENGINE'!$F$6:$F$45,36)-'TO HOP'!$Y$60))</f>
        <v/>
      </c>
      <c r="J205" s="58" t="str">
        <f>IF($A205="","",'TO HOP'!$K$166+1.75*(INDEX('LANE ENGINE'!$G$6:$G$45,36)-'TO HOP'!$Y$61))</f>
        <v/>
      </c>
      <c r="K205" s="58" t="str">
        <f>IF($A205="","",'TO HOP'!$L$166+1.75*(INDEX('LANE ENGINE'!$H$6:$H$45,36)-'TO HOP'!$Y$62))</f>
        <v/>
      </c>
      <c r="L205" s="42" t="s">
        <v>1579</v>
      </c>
      <c r="M205" s="42">
        <v>36</v>
      </c>
    </row>
    <row r="206" spans="1:13" x14ac:dyDescent="0.3">
      <c r="A206" s="42" t="str">
        <f>IF(37&lt;=nLan,"CĐ I(a) max - 1 nhịp "&amp;37&amp;" làn","")</f>
        <v/>
      </c>
      <c r="B206" s="58" t="str">
        <f>IF($A206="","",'TO HOP'!$C$166+1.75*(0-'TO HOP'!$Y$53))</f>
        <v/>
      </c>
      <c r="C206" s="58" t="str">
        <f>IF($A206="","",'TO HOP'!$D$166+1.75*(0-'TO HOP'!$Y$54))</f>
        <v/>
      </c>
      <c r="D206" s="58" t="str">
        <f>IF($A206="","",'TO HOP'!$E$166+1.75*(INDEX('LANE ENGINE'!$F$6:$F$45,37)-'TO HOP'!$Y$55))</f>
        <v/>
      </c>
      <c r="E206" s="58" t="str">
        <f>IF($A206="","",'TO HOP'!$F$166+1.75*(INDEX('LANE ENGINE'!$G$6:$G$45,37)-'TO HOP'!$Y$56))</f>
        <v/>
      </c>
      <c r="F206" s="58" t="str">
        <f>IF($A206="","",'TO HOP'!$G$166+1.75*(INDEX('LANE ENGINE'!$H$6:$H$45,37)-'TO HOP'!$Y$57))</f>
        <v/>
      </c>
      <c r="G206" s="58" t="str">
        <f>IF($A206="","",'TO HOP'!$H$166+1.75*(0-'TO HOP'!$Y$58))</f>
        <v/>
      </c>
      <c r="H206" s="58" t="str">
        <f>IF($A206="","",'TO HOP'!$I$166+1.75*(0-'TO HOP'!$Y$59))</f>
        <v/>
      </c>
      <c r="I206" s="58" t="str">
        <f>IF($A206="","",'TO HOP'!$J$166+1.75*(INDEX('LANE ENGINE'!$F$6:$F$45,37)-'TO HOP'!$Y$60))</f>
        <v/>
      </c>
      <c r="J206" s="58" t="str">
        <f>IF($A206="","",'TO HOP'!$K$166+1.75*(INDEX('LANE ENGINE'!$G$6:$G$45,37)-'TO HOP'!$Y$61))</f>
        <v/>
      </c>
      <c r="K206" s="58" t="str">
        <f>IF($A206="","",'TO HOP'!$L$166+1.75*(INDEX('LANE ENGINE'!$H$6:$H$45,37)-'TO HOP'!$Y$62))</f>
        <v/>
      </c>
      <c r="L206" s="42" t="s">
        <v>1579</v>
      </c>
      <c r="M206" s="42">
        <v>37</v>
      </c>
    </row>
    <row r="207" spans="1:13" x14ac:dyDescent="0.3">
      <c r="A207" s="42" t="str">
        <f>IF(38&lt;=nLan,"CĐ I(a) max - 1 nhịp "&amp;38&amp;" làn","")</f>
        <v/>
      </c>
      <c r="B207" s="58" t="str">
        <f>IF($A207="","",'TO HOP'!$C$166+1.75*(0-'TO HOP'!$Y$53))</f>
        <v/>
      </c>
      <c r="C207" s="58" t="str">
        <f>IF($A207="","",'TO HOP'!$D$166+1.75*(0-'TO HOP'!$Y$54))</f>
        <v/>
      </c>
      <c r="D207" s="58" t="str">
        <f>IF($A207="","",'TO HOP'!$E$166+1.75*(INDEX('LANE ENGINE'!$F$6:$F$45,38)-'TO HOP'!$Y$55))</f>
        <v/>
      </c>
      <c r="E207" s="58" t="str">
        <f>IF($A207="","",'TO HOP'!$F$166+1.75*(INDEX('LANE ENGINE'!$G$6:$G$45,38)-'TO HOP'!$Y$56))</f>
        <v/>
      </c>
      <c r="F207" s="58" t="str">
        <f>IF($A207="","",'TO HOP'!$G$166+1.75*(INDEX('LANE ENGINE'!$H$6:$H$45,38)-'TO HOP'!$Y$57))</f>
        <v/>
      </c>
      <c r="G207" s="58" t="str">
        <f>IF($A207="","",'TO HOP'!$H$166+1.75*(0-'TO HOP'!$Y$58))</f>
        <v/>
      </c>
      <c r="H207" s="58" t="str">
        <f>IF($A207="","",'TO HOP'!$I$166+1.75*(0-'TO HOP'!$Y$59))</f>
        <v/>
      </c>
      <c r="I207" s="58" t="str">
        <f>IF($A207="","",'TO HOP'!$J$166+1.75*(INDEX('LANE ENGINE'!$F$6:$F$45,38)-'TO HOP'!$Y$60))</f>
        <v/>
      </c>
      <c r="J207" s="58" t="str">
        <f>IF($A207="","",'TO HOP'!$K$166+1.75*(INDEX('LANE ENGINE'!$G$6:$G$45,38)-'TO HOP'!$Y$61))</f>
        <v/>
      </c>
      <c r="K207" s="58" t="str">
        <f>IF($A207="","",'TO HOP'!$L$166+1.75*(INDEX('LANE ENGINE'!$H$6:$H$45,38)-'TO HOP'!$Y$62))</f>
        <v/>
      </c>
      <c r="L207" s="42" t="s">
        <v>1579</v>
      </c>
      <c r="M207" s="42">
        <v>38</v>
      </c>
    </row>
    <row r="208" spans="1:13" x14ac:dyDescent="0.3">
      <c r="A208" s="42" t="str">
        <f>IF(39&lt;=nLan,"CĐ I(a) max - 1 nhịp "&amp;39&amp;" làn","")</f>
        <v/>
      </c>
      <c r="B208" s="58" t="str">
        <f>IF($A208="","",'TO HOP'!$C$166+1.75*(0-'TO HOP'!$Y$53))</f>
        <v/>
      </c>
      <c r="C208" s="58" t="str">
        <f>IF($A208="","",'TO HOP'!$D$166+1.75*(0-'TO HOP'!$Y$54))</f>
        <v/>
      </c>
      <c r="D208" s="58" t="str">
        <f>IF($A208="","",'TO HOP'!$E$166+1.75*(INDEX('LANE ENGINE'!$F$6:$F$45,39)-'TO HOP'!$Y$55))</f>
        <v/>
      </c>
      <c r="E208" s="58" t="str">
        <f>IF($A208="","",'TO HOP'!$F$166+1.75*(INDEX('LANE ENGINE'!$G$6:$G$45,39)-'TO HOP'!$Y$56))</f>
        <v/>
      </c>
      <c r="F208" s="58" t="str">
        <f>IF($A208="","",'TO HOP'!$G$166+1.75*(INDEX('LANE ENGINE'!$H$6:$H$45,39)-'TO HOP'!$Y$57))</f>
        <v/>
      </c>
      <c r="G208" s="58" t="str">
        <f>IF($A208="","",'TO HOP'!$H$166+1.75*(0-'TO HOP'!$Y$58))</f>
        <v/>
      </c>
      <c r="H208" s="58" t="str">
        <f>IF($A208="","",'TO HOP'!$I$166+1.75*(0-'TO HOP'!$Y$59))</f>
        <v/>
      </c>
      <c r="I208" s="58" t="str">
        <f>IF($A208="","",'TO HOP'!$J$166+1.75*(INDEX('LANE ENGINE'!$F$6:$F$45,39)-'TO HOP'!$Y$60))</f>
        <v/>
      </c>
      <c r="J208" s="58" t="str">
        <f>IF($A208="","",'TO HOP'!$K$166+1.75*(INDEX('LANE ENGINE'!$G$6:$G$45,39)-'TO HOP'!$Y$61))</f>
        <v/>
      </c>
      <c r="K208" s="58" t="str">
        <f>IF($A208="","",'TO HOP'!$L$166+1.75*(INDEX('LANE ENGINE'!$H$6:$H$45,39)-'TO HOP'!$Y$62))</f>
        <v/>
      </c>
      <c r="L208" s="42" t="s">
        <v>1579</v>
      </c>
      <c r="M208" s="42">
        <v>39</v>
      </c>
    </row>
    <row r="209" spans="1:13" x14ac:dyDescent="0.3">
      <c r="A209" s="42" t="str">
        <f>IF(40&lt;=nLan,"CĐ I(a) max - 1 nhịp "&amp;40&amp;" làn","")</f>
        <v/>
      </c>
      <c r="B209" s="58" t="str">
        <f>IF($A209="","",'TO HOP'!$C$166+1.75*(0-'TO HOP'!$Y$53))</f>
        <v/>
      </c>
      <c r="C209" s="58" t="str">
        <f>IF($A209="","",'TO HOP'!$D$166+1.75*(0-'TO HOP'!$Y$54))</f>
        <v/>
      </c>
      <c r="D209" s="58" t="str">
        <f>IF($A209="","",'TO HOP'!$E$166+1.75*(INDEX('LANE ENGINE'!$F$6:$F$45,40)-'TO HOP'!$Y$55))</f>
        <v/>
      </c>
      <c r="E209" s="58" t="str">
        <f>IF($A209="","",'TO HOP'!$F$166+1.75*(INDEX('LANE ENGINE'!$G$6:$G$45,40)-'TO HOP'!$Y$56))</f>
        <v/>
      </c>
      <c r="F209" s="58" t="str">
        <f>IF($A209="","",'TO HOP'!$G$166+1.75*(INDEX('LANE ENGINE'!$H$6:$H$45,40)-'TO HOP'!$Y$57))</f>
        <v/>
      </c>
      <c r="G209" s="58" t="str">
        <f>IF($A209="","",'TO HOP'!$H$166+1.75*(0-'TO HOP'!$Y$58))</f>
        <v/>
      </c>
      <c r="H209" s="58" t="str">
        <f>IF($A209="","",'TO HOP'!$I$166+1.75*(0-'TO HOP'!$Y$59))</f>
        <v/>
      </c>
      <c r="I209" s="58" t="str">
        <f>IF($A209="","",'TO HOP'!$J$166+1.75*(INDEX('LANE ENGINE'!$F$6:$F$45,40)-'TO HOP'!$Y$60))</f>
        <v/>
      </c>
      <c r="J209" s="58" t="str">
        <f>IF($A209="","",'TO HOP'!$K$166+1.75*(INDEX('LANE ENGINE'!$G$6:$G$45,40)-'TO HOP'!$Y$61))</f>
        <v/>
      </c>
      <c r="K209" s="58" t="str">
        <f>IF($A209="","",'TO HOP'!$L$166+1.75*(INDEX('LANE ENGINE'!$H$6:$H$45,40)-'TO HOP'!$Y$62))</f>
        <v/>
      </c>
      <c r="L209" s="42" t="s">
        <v>1579</v>
      </c>
      <c r="M209" s="42">
        <v>40</v>
      </c>
    </row>
    <row r="210" spans="1:13" x14ac:dyDescent="0.3">
      <c r="A210" s="42" t="str">
        <f>IF(7&lt;=nLan,"CĐ I(b) min - 2 nhịp "&amp;7&amp;" làn","")</f>
        <v/>
      </c>
      <c r="B210" s="58" t="str">
        <f>IF($A210="","",'TO HOP'!$C$172+1.75*(0-'TO HOP'!$M$53))</f>
        <v/>
      </c>
      <c r="C210" s="58" t="str">
        <f>IF($A210="","",'TO HOP'!$D$172+1.75*(0-'TO HOP'!$M$54))</f>
        <v/>
      </c>
      <c r="D210" s="58" t="str">
        <f>IF($A210="","",'TO HOP'!$E$172+1.75*(INDEX('LANE ENGINE'!$D$6:$D$45,7)-'TO HOP'!$M$55))</f>
        <v/>
      </c>
      <c r="E210" s="58" t="str">
        <f>IF($A210="","",'TO HOP'!$F$172+1.75*(INDEX('LANE ENGINE'!$E$6:$E$45,7)-'TO HOP'!$M$56))</f>
        <v/>
      </c>
      <c r="F210" s="58" t="str">
        <f>IF($A210="","",'TO HOP'!$G$172+1.75*(0-'TO HOP'!$M$57))</f>
        <v/>
      </c>
      <c r="G210" s="58" t="str">
        <f>IF($A210="","",'TO HOP'!$H$172+1.75*(0-'TO HOP'!$M$58))</f>
        <v/>
      </c>
      <c r="H210" s="58" t="str">
        <f>IF($A210="","",'TO HOP'!$I$172+1.75*(0-'TO HOP'!$M$59))</f>
        <v/>
      </c>
      <c r="I210" s="58" t="str">
        <f>IF($A210="","",'TO HOP'!$J$172+1.75*(INDEX('LANE ENGINE'!$D$6:$D$45,7)-'TO HOP'!$M$60))</f>
        <v/>
      </c>
      <c r="J210" s="58" t="str">
        <f>IF($A210="","",'TO HOP'!$K$172+1.75*(INDEX('LANE ENGINE'!$E$6:$E$45,7)-'TO HOP'!$M$61))</f>
        <v/>
      </c>
      <c r="K210" s="58" t="str">
        <f>IF($A210="","",'TO HOP'!$L$172+1.75*(0-'TO HOP'!$M$62))</f>
        <v/>
      </c>
      <c r="L210" s="42" t="s">
        <v>1579</v>
      </c>
      <c r="M210" s="42">
        <v>7</v>
      </c>
    </row>
    <row r="211" spans="1:13" x14ac:dyDescent="0.3">
      <c r="A211" s="42" t="str">
        <f>IF(8&lt;=nLan,"CĐ I(b) min - 2 nhịp "&amp;8&amp;" làn","")</f>
        <v/>
      </c>
      <c r="B211" s="58" t="str">
        <f>IF($A211="","",'TO HOP'!$C$172+1.75*(0-'TO HOP'!$M$53))</f>
        <v/>
      </c>
      <c r="C211" s="58" t="str">
        <f>IF($A211="","",'TO HOP'!$D$172+1.75*(0-'TO HOP'!$M$54))</f>
        <v/>
      </c>
      <c r="D211" s="58" t="str">
        <f>IF($A211="","",'TO HOP'!$E$172+1.75*(INDEX('LANE ENGINE'!$D$6:$D$45,8)-'TO HOP'!$M$55))</f>
        <v/>
      </c>
      <c r="E211" s="58" t="str">
        <f>IF($A211="","",'TO HOP'!$F$172+1.75*(INDEX('LANE ENGINE'!$E$6:$E$45,8)-'TO HOP'!$M$56))</f>
        <v/>
      </c>
      <c r="F211" s="58" t="str">
        <f>IF($A211="","",'TO HOP'!$G$172+1.75*(0-'TO HOP'!$M$57))</f>
        <v/>
      </c>
      <c r="G211" s="58" t="str">
        <f>IF($A211="","",'TO HOP'!$H$172+1.75*(0-'TO HOP'!$M$58))</f>
        <v/>
      </c>
      <c r="H211" s="58" t="str">
        <f>IF($A211="","",'TO HOP'!$I$172+1.75*(0-'TO HOP'!$M$59))</f>
        <v/>
      </c>
      <c r="I211" s="58" t="str">
        <f>IF($A211="","",'TO HOP'!$J$172+1.75*(INDEX('LANE ENGINE'!$D$6:$D$45,8)-'TO HOP'!$M$60))</f>
        <v/>
      </c>
      <c r="J211" s="58" t="str">
        <f>IF($A211="","",'TO HOP'!$K$172+1.75*(INDEX('LANE ENGINE'!$E$6:$E$45,8)-'TO HOP'!$M$61))</f>
        <v/>
      </c>
      <c r="K211" s="58" t="str">
        <f>IF($A211="","",'TO HOP'!$L$172+1.75*(0-'TO HOP'!$M$62))</f>
        <v/>
      </c>
      <c r="L211" s="42" t="s">
        <v>1579</v>
      </c>
      <c r="M211" s="42">
        <v>8</v>
      </c>
    </row>
    <row r="212" spans="1:13" x14ac:dyDescent="0.3">
      <c r="A212" s="42" t="str">
        <f>IF(9&lt;=nLan,"CĐ I(b) min - 2 nhịp "&amp;9&amp;" làn","")</f>
        <v/>
      </c>
      <c r="B212" s="58" t="str">
        <f>IF($A212="","",'TO HOP'!$C$172+1.75*(0-'TO HOP'!$M$53))</f>
        <v/>
      </c>
      <c r="C212" s="58" t="str">
        <f>IF($A212="","",'TO HOP'!$D$172+1.75*(0-'TO HOP'!$M$54))</f>
        <v/>
      </c>
      <c r="D212" s="58" t="str">
        <f>IF($A212="","",'TO HOP'!$E$172+1.75*(INDEX('LANE ENGINE'!$D$6:$D$45,9)-'TO HOP'!$M$55))</f>
        <v/>
      </c>
      <c r="E212" s="58" t="str">
        <f>IF($A212="","",'TO HOP'!$F$172+1.75*(INDEX('LANE ENGINE'!$E$6:$E$45,9)-'TO HOP'!$M$56))</f>
        <v/>
      </c>
      <c r="F212" s="58" t="str">
        <f>IF($A212="","",'TO HOP'!$G$172+1.75*(0-'TO HOP'!$M$57))</f>
        <v/>
      </c>
      <c r="G212" s="58" t="str">
        <f>IF($A212="","",'TO HOP'!$H$172+1.75*(0-'TO HOP'!$M$58))</f>
        <v/>
      </c>
      <c r="H212" s="58" t="str">
        <f>IF($A212="","",'TO HOP'!$I$172+1.75*(0-'TO HOP'!$M$59))</f>
        <v/>
      </c>
      <c r="I212" s="58" t="str">
        <f>IF($A212="","",'TO HOP'!$J$172+1.75*(INDEX('LANE ENGINE'!$D$6:$D$45,9)-'TO HOP'!$M$60))</f>
        <v/>
      </c>
      <c r="J212" s="58" t="str">
        <f>IF($A212="","",'TO HOP'!$K$172+1.75*(INDEX('LANE ENGINE'!$E$6:$E$45,9)-'TO HOP'!$M$61))</f>
        <v/>
      </c>
      <c r="K212" s="58" t="str">
        <f>IF($A212="","",'TO HOP'!$L$172+1.75*(0-'TO HOP'!$M$62))</f>
        <v/>
      </c>
      <c r="L212" s="42" t="s">
        <v>1579</v>
      </c>
      <c r="M212" s="42">
        <v>9</v>
      </c>
    </row>
    <row r="213" spans="1:13" x14ac:dyDescent="0.3">
      <c r="A213" s="42" t="str">
        <f>IF(10&lt;=nLan,"CĐ I(b) min - 2 nhịp "&amp;10&amp;" làn","")</f>
        <v/>
      </c>
      <c r="B213" s="58" t="str">
        <f>IF($A213="","",'TO HOP'!$C$172+1.75*(0-'TO HOP'!$M$53))</f>
        <v/>
      </c>
      <c r="C213" s="58" t="str">
        <f>IF($A213="","",'TO HOP'!$D$172+1.75*(0-'TO HOP'!$M$54))</f>
        <v/>
      </c>
      <c r="D213" s="58" t="str">
        <f>IF($A213="","",'TO HOP'!$E$172+1.75*(INDEX('LANE ENGINE'!$D$6:$D$45,10)-'TO HOP'!$M$55))</f>
        <v/>
      </c>
      <c r="E213" s="58" t="str">
        <f>IF($A213="","",'TO HOP'!$F$172+1.75*(INDEX('LANE ENGINE'!$E$6:$E$45,10)-'TO HOP'!$M$56))</f>
        <v/>
      </c>
      <c r="F213" s="58" t="str">
        <f>IF($A213="","",'TO HOP'!$G$172+1.75*(0-'TO HOP'!$M$57))</f>
        <v/>
      </c>
      <c r="G213" s="58" t="str">
        <f>IF($A213="","",'TO HOP'!$H$172+1.75*(0-'TO HOP'!$M$58))</f>
        <v/>
      </c>
      <c r="H213" s="58" t="str">
        <f>IF($A213="","",'TO HOP'!$I$172+1.75*(0-'TO HOP'!$M$59))</f>
        <v/>
      </c>
      <c r="I213" s="58" t="str">
        <f>IF($A213="","",'TO HOP'!$J$172+1.75*(INDEX('LANE ENGINE'!$D$6:$D$45,10)-'TO HOP'!$M$60))</f>
        <v/>
      </c>
      <c r="J213" s="58" t="str">
        <f>IF($A213="","",'TO HOP'!$K$172+1.75*(INDEX('LANE ENGINE'!$E$6:$E$45,10)-'TO HOP'!$M$61))</f>
        <v/>
      </c>
      <c r="K213" s="58" t="str">
        <f>IF($A213="","",'TO HOP'!$L$172+1.75*(0-'TO HOP'!$M$62))</f>
        <v/>
      </c>
      <c r="L213" s="42" t="s">
        <v>1579</v>
      </c>
      <c r="M213" s="42">
        <v>10</v>
      </c>
    </row>
    <row r="214" spans="1:13" x14ac:dyDescent="0.3">
      <c r="A214" s="42" t="str">
        <f>IF(11&lt;=nLan,"CĐ I(b) min - 2 nhịp "&amp;11&amp;" làn","")</f>
        <v/>
      </c>
      <c r="B214" s="58" t="str">
        <f>IF($A214="","",'TO HOP'!$C$172+1.75*(0-'TO HOP'!$M$53))</f>
        <v/>
      </c>
      <c r="C214" s="58" t="str">
        <f>IF($A214="","",'TO HOP'!$D$172+1.75*(0-'TO HOP'!$M$54))</f>
        <v/>
      </c>
      <c r="D214" s="58" t="str">
        <f>IF($A214="","",'TO HOP'!$E$172+1.75*(INDEX('LANE ENGINE'!$D$6:$D$45,11)-'TO HOP'!$M$55))</f>
        <v/>
      </c>
      <c r="E214" s="58" t="str">
        <f>IF($A214="","",'TO HOP'!$F$172+1.75*(INDEX('LANE ENGINE'!$E$6:$E$45,11)-'TO HOP'!$M$56))</f>
        <v/>
      </c>
      <c r="F214" s="58" t="str">
        <f>IF($A214="","",'TO HOP'!$G$172+1.75*(0-'TO HOP'!$M$57))</f>
        <v/>
      </c>
      <c r="G214" s="58" t="str">
        <f>IF($A214="","",'TO HOP'!$H$172+1.75*(0-'TO HOP'!$M$58))</f>
        <v/>
      </c>
      <c r="H214" s="58" t="str">
        <f>IF($A214="","",'TO HOP'!$I$172+1.75*(0-'TO HOP'!$M$59))</f>
        <v/>
      </c>
      <c r="I214" s="58" t="str">
        <f>IF($A214="","",'TO HOP'!$J$172+1.75*(INDEX('LANE ENGINE'!$D$6:$D$45,11)-'TO HOP'!$M$60))</f>
        <v/>
      </c>
      <c r="J214" s="58" t="str">
        <f>IF($A214="","",'TO HOP'!$K$172+1.75*(INDEX('LANE ENGINE'!$E$6:$E$45,11)-'TO HOP'!$M$61))</f>
        <v/>
      </c>
      <c r="K214" s="58" t="str">
        <f>IF($A214="","",'TO HOP'!$L$172+1.75*(0-'TO HOP'!$M$62))</f>
        <v/>
      </c>
      <c r="L214" s="42" t="s">
        <v>1579</v>
      </c>
      <c r="M214" s="42">
        <v>11</v>
      </c>
    </row>
    <row r="215" spans="1:13" x14ac:dyDescent="0.3">
      <c r="A215" s="42" t="str">
        <f>IF(12&lt;=nLan,"CĐ I(b) min - 2 nhịp "&amp;12&amp;" làn","")</f>
        <v/>
      </c>
      <c r="B215" s="58" t="str">
        <f>IF($A215="","",'TO HOP'!$C$172+1.75*(0-'TO HOP'!$M$53))</f>
        <v/>
      </c>
      <c r="C215" s="58" t="str">
        <f>IF($A215="","",'TO HOP'!$D$172+1.75*(0-'TO HOP'!$M$54))</f>
        <v/>
      </c>
      <c r="D215" s="58" t="str">
        <f>IF($A215="","",'TO HOP'!$E$172+1.75*(INDEX('LANE ENGINE'!$D$6:$D$45,12)-'TO HOP'!$M$55))</f>
        <v/>
      </c>
      <c r="E215" s="58" t="str">
        <f>IF($A215="","",'TO HOP'!$F$172+1.75*(INDEX('LANE ENGINE'!$E$6:$E$45,12)-'TO HOP'!$M$56))</f>
        <v/>
      </c>
      <c r="F215" s="58" t="str">
        <f>IF($A215="","",'TO HOP'!$G$172+1.75*(0-'TO HOP'!$M$57))</f>
        <v/>
      </c>
      <c r="G215" s="58" t="str">
        <f>IF($A215="","",'TO HOP'!$H$172+1.75*(0-'TO HOP'!$M$58))</f>
        <v/>
      </c>
      <c r="H215" s="58" t="str">
        <f>IF($A215="","",'TO HOP'!$I$172+1.75*(0-'TO HOP'!$M$59))</f>
        <v/>
      </c>
      <c r="I215" s="58" t="str">
        <f>IF($A215="","",'TO HOP'!$J$172+1.75*(INDEX('LANE ENGINE'!$D$6:$D$45,12)-'TO HOP'!$M$60))</f>
        <v/>
      </c>
      <c r="J215" s="58" t="str">
        <f>IF($A215="","",'TO HOP'!$K$172+1.75*(INDEX('LANE ENGINE'!$E$6:$E$45,12)-'TO HOP'!$M$61))</f>
        <v/>
      </c>
      <c r="K215" s="58" t="str">
        <f>IF($A215="","",'TO HOP'!$L$172+1.75*(0-'TO HOP'!$M$62))</f>
        <v/>
      </c>
      <c r="L215" s="42" t="s">
        <v>1579</v>
      </c>
      <c r="M215" s="42">
        <v>12</v>
      </c>
    </row>
    <row r="216" spans="1:13" x14ac:dyDescent="0.3">
      <c r="A216" s="42" t="str">
        <f>IF(13&lt;=nLan,"CĐ I(b) min - 2 nhịp "&amp;13&amp;" làn","")</f>
        <v/>
      </c>
      <c r="B216" s="58" t="str">
        <f>IF($A216="","",'TO HOP'!$C$172+1.75*(0-'TO HOP'!$M$53))</f>
        <v/>
      </c>
      <c r="C216" s="58" t="str">
        <f>IF($A216="","",'TO HOP'!$D$172+1.75*(0-'TO HOP'!$M$54))</f>
        <v/>
      </c>
      <c r="D216" s="58" t="str">
        <f>IF($A216="","",'TO HOP'!$E$172+1.75*(INDEX('LANE ENGINE'!$D$6:$D$45,13)-'TO HOP'!$M$55))</f>
        <v/>
      </c>
      <c r="E216" s="58" t="str">
        <f>IF($A216="","",'TO HOP'!$F$172+1.75*(INDEX('LANE ENGINE'!$E$6:$E$45,13)-'TO HOP'!$M$56))</f>
        <v/>
      </c>
      <c r="F216" s="58" t="str">
        <f>IF($A216="","",'TO HOP'!$G$172+1.75*(0-'TO HOP'!$M$57))</f>
        <v/>
      </c>
      <c r="G216" s="58" t="str">
        <f>IF($A216="","",'TO HOP'!$H$172+1.75*(0-'TO HOP'!$M$58))</f>
        <v/>
      </c>
      <c r="H216" s="58" t="str">
        <f>IF($A216="","",'TO HOP'!$I$172+1.75*(0-'TO HOP'!$M$59))</f>
        <v/>
      </c>
      <c r="I216" s="58" t="str">
        <f>IF($A216="","",'TO HOP'!$J$172+1.75*(INDEX('LANE ENGINE'!$D$6:$D$45,13)-'TO HOP'!$M$60))</f>
        <v/>
      </c>
      <c r="J216" s="58" t="str">
        <f>IF($A216="","",'TO HOP'!$K$172+1.75*(INDEX('LANE ENGINE'!$E$6:$E$45,13)-'TO HOP'!$M$61))</f>
        <v/>
      </c>
      <c r="K216" s="58" t="str">
        <f>IF($A216="","",'TO HOP'!$L$172+1.75*(0-'TO HOP'!$M$62))</f>
        <v/>
      </c>
      <c r="L216" s="42" t="s">
        <v>1579</v>
      </c>
      <c r="M216" s="42">
        <v>13</v>
      </c>
    </row>
    <row r="217" spans="1:13" x14ac:dyDescent="0.3">
      <c r="A217" s="42" t="str">
        <f>IF(14&lt;=nLan,"CĐ I(b) min - 2 nhịp "&amp;14&amp;" làn","")</f>
        <v/>
      </c>
      <c r="B217" s="58" t="str">
        <f>IF($A217="","",'TO HOP'!$C$172+1.75*(0-'TO HOP'!$M$53))</f>
        <v/>
      </c>
      <c r="C217" s="58" t="str">
        <f>IF($A217="","",'TO HOP'!$D$172+1.75*(0-'TO HOP'!$M$54))</f>
        <v/>
      </c>
      <c r="D217" s="58" t="str">
        <f>IF($A217="","",'TO HOP'!$E$172+1.75*(INDEX('LANE ENGINE'!$D$6:$D$45,14)-'TO HOP'!$M$55))</f>
        <v/>
      </c>
      <c r="E217" s="58" t="str">
        <f>IF($A217="","",'TO HOP'!$F$172+1.75*(INDEX('LANE ENGINE'!$E$6:$E$45,14)-'TO HOP'!$M$56))</f>
        <v/>
      </c>
      <c r="F217" s="58" t="str">
        <f>IF($A217="","",'TO HOP'!$G$172+1.75*(0-'TO HOP'!$M$57))</f>
        <v/>
      </c>
      <c r="G217" s="58" t="str">
        <f>IF($A217="","",'TO HOP'!$H$172+1.75*(0-'TO HOP'!$M$58))</f>
        <v/>
      </c>
      <c r="H217" s="58" t="str">
        <f>IF($A217="","",'TO HOP'!$I$172+1.75*(0-'TO HOP'!$M$59))</f>
        <v/>
      </c>
      <c r="I217" s="58" t="str">
        <f>IF($A217="","",'TO HOP'!$J$172+1.75*(INDEX('LANE ENGINE'!$D$6:$D$45,14)-'TO HOP'!$M$60))</f>
        <v/>
      </c>
      <c r="J217" s="58" t="str">
        <f>IF($A217="","",'TO HOP'!$K$172+1.75*(INDEX('LANE ENGINE'!$E$6:$E$45,14)-'TO HOP'!$M$61))</f>
        <v/>
      </c>
      <c r="K217" s="58" t="str">
        <f>IF($A217="","",'TO HOP'!$L$172+1.75*(0-'TO HOP'!$M$62))</f>
        <v/>
      </c>
      <c r="L217" s="42" t="s">
        <v>1579</v>
      </c>
      <c r="M217" s="42">
        <v>14</v>
      </c>
    </row>
    <row r="218" spans="1:13" x14ac:dyDescent="0.3">
      <c r="A218" s="42" t="str">
        <f>IF(15&lt;=nLan,"CĐ I(b) min - 2 nhịp "&amp;15&amp;" làn","")</f>
        <v/>
      </c>
      <c r="B218" s="58" t="str">
        <f>IF($A218="","",'TO HOP'!$C$172+1.75*(0-'TO HOP'!$M$53))</f>
        <v/>
      </c>
      <c r="C218" s="58" t="str">
        <f>IF($A218="","",'TO HOP'!$D$172+1.75*(0-'TO HOP'!$M$54))</f>
        <v/>
      </c>
      <c r="D218" s="58" t="str">
        <f>IF($A218="","",'TO HOP'!$E$172+1.75*(INDEX('LANE ENGINE'!$D$6:$D$45,15)-'TO HOP'!$M$55))</f>
        <v/>
      </c>
      <c r="E218" s="58" t="str">
        <f>IF($A218="","",'TO HOP'!$F$172+1.75*(INDEX('LANE ENGINE'!$E$6:$E$45,15)-'TO HOP'!$M$56))</f>
        <v/>
      </c>
      <c r="F218" s="58" t="str">
        <f>IF($A218="","",'TO HOP'!$G$172+1.75*(0-'TO HOP'!$M$57))</f>
        <v/>
      </c>
      <c r="G218" s="58" t="str">
        <f>IF($A218="","",'TO HOP'!$H$172+1.75*(0-'TO HOP'!$M$58))</f>
        <v/>
      </c>
      <c r="H218" s="58" t="str">
        <f>IF($A218="","",'TO HOP'!$I$172+1.75*(0-'TO HOP'!$M$59))</f>
        <v/>
      </c>
      <c r="I218" s="58" t="str">
        <f>IF($A218="","",'TO HOP'!$J$172+1.75*(INDEX('LANE ENGINE'!$D$6:$D$45,15)-'TO HOP'!$M$60))</f>
        <v/>
      </c>
      <c r="J218" s="58" t="str">
        <f>IF($A218="","",'TO HOP'!$K$172+1.75*(INDEX('LANE ENGINE'!$E$6:$E$45,15)-'TO HOP'!$M$61))</f>
        <v/>
      </c>
      <c r="K218" s="58" t="str">
        <f>IF($A218="","",'TO HOP'!$L$172+1.75*(0-'TO HOP'!$M$62))</f>
        <v/>
      </c>
      <c r="L218" s="42" t="s">
        <v>1579</v>
      </c>
      <c r="M218" s="42">
        <v>15</v>
      </c>
    </row>
    <row r="219" spans="1:13" x14ac:dyDescent="0.3">
      <c r="A219" s="42" t="str">
        <f>IF(16&lt;=nLan,"CĐ I(b) min - 2 nhịp "&amp;16&amp;" làn","")</f>
        <v/>
      </c>
      <c r="B219" s="58" t="str">
        <f>IF($A219="","",'TO HOP'!$C$172+1.75*(0-'TO HOP'!$M$53))</f>
        <v/>
      </c>
      <c r="C219" s="58" t="str">
        <f>IF($A219="","",'TO HOP'!$D$172+1.75*(0-'TO HOP'!$M$54))</f>
        <v/>
      </c>
      <c r="D219" s="58" t="str">
        <f>IF($A219="","",'TO HOP'!$E$172+1.75*(INDEX('LANE ENGINE'!$D$6:$D$45,16)-'TO HOP'!$M$55))</f>
        <v/>
      </c>
      <c r="E219" s="58" t="str">
        <f>IF($A219="","",'TO HOP'!$F$172+1.75*(INDEX('LANE ENGINE'!$E$6:$E$45,16)-'TO HOP'!$M$56))</f>
        <v/>
      </c>
      <c r="F219" s="58" t="str">
        <f>IF($A219="","",'TO HOP'!$G$172+1.75*(0-'TO HOP'!$M$57))</f>
        <v/>
      </c>
      <c r="G219" s="58" t="str">
        <f>IF($A219="","",'TO HOP'!$H$172+1.75*(0-'TO HOP'!$M$58))</f>
        <v/>
      </c>
      <c r="H219" s="58" t="str">
        <f>IF($A219="","",'TO HOP'!$I$172+1.75*(0-'TO HOP'!$M$59))</f>
        <v/>
      </c>
      <c r="I219" s="58" t="str">
        <f>IF($A219="","",'TO HOP'!$J$172+1.75*(INDEX('LANE ENGINE'!$D$6:$D$45,16)-'TO HOP'!$M$60))</f>
        <v/>
      </c>
      <c r="J219" s="58" t="str">
        <f>IF($A219="","",'TO HOP'!$K$172+1.75*(INDEX('LANE ENGINE'!$E$6:$E$45,16)-'TO HOP'!$M$61))</f>
        <v/>
      </c>
      <c r="K219" s="58" t="str">
        <f>IF($A219="","",'TO HOP'!$L$172+1.75*(0-'TO HOP'!$M$62))</f>
        <v/>
      </c>
      <c r="L219" s="42" t="s">
        <v>1579</v>
      </c>
      <c r="M219" s="42">
        <v>16</v>
      </c>
    </row>
    <row r="220" spans="1:13" x14ac:dyDescent="0.3">
      <c r="A220" s="42" t="str">
        <f>IF(17&lt;=nLan,"CĐ I(b) min - 2 nhịp "&amp;17&amp;" làn","")</f>
        <v/>
      </c>
      <c r="B220" s="58" t="str">
        <f>IF($A220="","",'TO HOP'!$C$172+1.75*(0-'TO HOP'!$M$53))</f>
        <v/>
      </c>
      <c r="C220" s="58" t="str">
        <f>IF($A220="","",'TO HOP'!$D$172+1.75*(0-'TO HOP'!$M$54))</f>
        <v/>
      </c>
      <c r="D220" s="58" t="str">
        <f>IF($A220="","",'TO HOP'!$E$172+1.75*(INDEX('LANE ENGINE'!$D$6:$D$45,17)-'TO HOP'!$M$55))</f>
        <v/>
      </c>
      <c r="E220" s="58" t="str">
        <f>IF($A220="","",'TO HOP'!$F$172+1.75*(INDEX('LANE ENGINE'!$E$6:$E$45,17)-'TO HOP'!$M$56))</f>
        <v/>
      </c>
      <c r="F220" s="58" t="str">
        <f>IF($A220="","",'TO HOP'!$G$172+1.75*(0-'TO HOP'!$M$57))</f>
        <v/>
      </c>
      <c r="G220" s="58" t="str">
        <f>IF($A220="","",'TO HOP'!$H$172+1.75*(0-'TO HOP'!$M$58))</f>
        <v/>
      </c>
      <c r="H220" s="58" t="str">
        <f>IF($A220="","",'TO HOP'!$I$172+1.75*(0-'TO HOP'!$M$59))</f>
        <v/>
      </c>
      <c r="I220" s="58" t="str">
        <f>IF($A220="","",'TO HOP'!$J$172+1.75*(INDEX('LANE ENGINE'!$D$6:$D$45,17)-'TO HOP'!$M$60))</f>
        <v/>
      </c>
      <c r="J220" s="58" t="str">
        <f>IF($A220="","",'TO HOP'!$K$172+1.75*(INDEX('LANE ENGINE'!$E$6:$E$45,17)-'TO HOP'!$M$61))</f>
        <v/>
      </c>
      <c r="K220" s="58" t="str">
        <f>IF($A220="","",'TO HOP'!$L$172+1.75*(0-'TO HOP'!$M$62))</f>
        <v/>
      </c>
      <c r="L220" s="42" t="s">
        <v>1579</v>
      </c>
      <c r="M220" s="42">
        <v>17</v>
      </c>
    </row>
    <row r="221" spans="1:13" x14ac:dyDescent="0.3">
      <c r="A221" s="42" t="str">
        <f>IF(18&lt;=nLan,"CĐ I(b) min - 2 nhịp "&amp;18&amp;" làn","")</f>
        <v/>
      </c>
      <c r="B221" s="58" t="str">
        <f>IF($A221="","",'TO HOP'!$C$172+1.75*(0-'TO HOP'!$M$53))</f>
        <v/>
      </c>
      <c r="C221" s="58" t="str">
        <f>IF($A221="","",'TO HOP'!$D$172+1.75*(0-'TO HOP'!$M$54))</f>
        <v/>
      </c>
      <c r="D221" s="58" t="str">
        <f>IF($A221="","",'TO HOP'!$E$172+1.75*(INDEX('LANE ENGINE'!$D$6:$D$45,18)-'TO HOP'!$M$55))</f>
        <v/>
      </c>
      <c r="E221" s="58" t="str">
        <f>IF($A221="","",'TO HOP'!$F$172+1.75*(INDEX('LANE ENGINE'!$E$6:$E$45,18)-'TO HOP'!$M$56))</f>
        <v/>
      </c>
      <c r="F221" s="58" t="str">
        <f>IF($A221="","",'TO HOP'!$G$172+1.75*(0-'TO HOP'!$M$57))</f>
        <v/>
      </c>
      <c r="G221" s="58" t="str">
        <f>IF($A221="","",'TO HOP'!$H$172+1.75*(0-'TO HOP'!$M$58))</f>
        <v/>
      </c>
      <c r="H221" s="58" t="str">
        <f>IF($A221="","",'TO HOP'!$I$172+1.75*(0-'TO HOP'!$M$59))</f>
        <v/>
      </c>
      <c r="I221" s="58" t="str">
        <f>IF($A221="","",'TO HOP'!$J$172+1.75*(INDEX('LANE ENGINE'!$D$6:$D$45,18)-'TO HOP'!$M$60))</f>
        <v/>
      </c>
      <c r="J221" s="58" t="str">
        <f>IF($A221="","",'TO HOP'!$K$172+1.75*(INDEX('LANE ENGINE'!$E$6:$E$45,18)-'TO HOP'!$M$61))</f>
        <v/>
      </c>
      <c r="K221" s="58" t="str">
        <f>IF($A221="","",'TO HOP'!$L$172+1.75*(0-'TO HOP'!$M$62))</f>
        <v/>
      </c>
      <c r="L221" s="42" t="s">
        <v>1579</v>
      </c>
      <c r="M221" s="42">
        <v>18</v>
      </c>
    </row>
    <row r="222" spans="1:13" x14ac:dyDescent="0.3">
      <c r="A222" s="42" t="str">
        <f>IF(19&lt;=nLan,"CĐ I(b) min - 2 nhịp "&amp;19&amp;" làn","")</f>
        <v/>
      </c>
      <c r="B222" s="58" t="str">
        <f>IF($A222="","",'TO HOP'!$C$172+1.75*(0-'TO HOP'!$M$53))</f>
        <v/>
      </c>
      <c r="C222" s="58" t="str">
        <f>IF($A222="","",'TO HOP'!$D$172+1.75*(0-'TO HOP'!$M$54))</f>
        <v/>
      </c>
      <c r="D222" s="58" t="str">
        <f>IF($A222="","",'TO HOP'!$E$172+1.75*(INDEX('LANE ENGINE'!$D$6:$D$45,19)-'TO HOP'!$M$55))</f>
        <v/>
      </c>
      <c r="E222" s="58" t="str">
        <f>IF($A222="","",'TO HOP'!$F$172+1.75*(INDEX('LANE ENGINE'!$E$6:$E$45,19)-'TO HOP'!$M$56))</f>
        <v/>
      </c>
      <c r="F222" s="58" t="str">
        <f>IF($A222="","",'TO HOP'!$G$172+1.75*(0-'TO HOP'!$M$57))</f>
        <v/>
      </c>
      <c r="G222" s="58" t="str">
        <f>IF($A222="","",'TO HOP'!$H$172+1.75*(0-'TO HOP'!$M$58))</f>
        <v/>
      </c>
      <c r="H222" s="58" t="str">
        <f>IF($A222="","",'TO HOP'!$I$172+1.75*(0-'TO HOP'!$M$59))</f>
        <v/>
      </c>
      <c r="I222" s="58" t="str">
        <f>IF($A222="","",'TO HOP'!$J$172+1.75*(INDEX('LANE ENGINE'!$D$6:$D$45,19)-'TO HOP'!$M$60))</f>
        <v/>
      </c>
      <c r="J222" s="58" t="str">
        <f>IF($A222="","",'TO HOP'!$K$172+1.75*(INDEX('LANE ENGINE'!$E$6:$E$45,19)-'TO HOP'!$M$61))</f>
        <v/>
      </c>
      <c r="K222" s="58" t="str">
        <f>IF($A222="","",'TO HOP'!$L$172+1.75*(0-'TO HOP'!$M$62))</f>
        <v/>
      </c>
      <c r="L222" s="42" t="s">
        <v>1579</v>
      </c>
      <c r="M222" s="42">
        <v>19</v>
      </c>
    </row>
    <row r="223" spans="1:13" x14ac:dyDescent="0.3">
      <c r="A223" s="42" t="str">
        <f>IF(20&lt;=nLan,"CĐ I(b) min - 2 nhịp "&amp;20&amp;" làn","")</f>
        <v/>
      </c>
      <c r="B223" s="58" t="str">
        <f>IF($A223="","",'TO HOP'!$C$172+1.75*(0-'TO HOP'!$M$53))</f>
        <v/>
      </c>
      <c r="C223" s="58" t="str">
        <f>IF($A223="","",'TO HOP'!$D$172+1.75*(0-'TO HOP'!$M$54))</f>
        <v/>
      </c>
      <c r="D223" s="58" t="str">
        <f>IF($A223="","",'TO HOP'!$E$172+1.75*(INDEX('LANE ENGINE'!$D$6:$D$45,20)-'TO HOP'!$M$55))</f>
        <v/>
      </c>
      <c r="E223" s="58" t="str">
        <f>IF($A223="","",'TO HOP'!$F$172+1.75*(INDEX('LANE ENGINE'!$E$6:$E$45,20)-'TO HOP'!$M$56))</f>
        <v/>
      </c>
      <c r="F223" s="58" t="str">
        <f>IF($A223="","",'TO HOP'!$G$172+1.75*(0-'TO HOP'!$M$57))</f>
        <v/>
      </c>
      <c r="G223" s="58" t="str">
        <f>IF($A223="","",'TO HOP'!$H$172+1.75*(0-'TO HOP'!$M$58))</f>
        <v/>
      </c>
      <c r="H223" s="58" t="str">
        <f>IF($A223="","",'TO HOP'!$I$172+1.75*(0-'TO HOP'!$M$59))</f>
        <v/>
      </c>
      <c r="I223" s="58" t="str">
        <f>IF($A223="","",'TO HOP'!$J$172+1.75*(INDEX('LANE ENGINE'!$D$6:$D$45,20)-'TO HOP'!$M$60))</f>
        <v/>
      </c>
      <c r="J223" s="58" t="str">
        <f>IF($A223="","",'TO HOP'!$K$172+1.75*(INDEX('LANE ENGINE'!$E$6:$E$45,20)-'TO HOP'!$M$61))</f>
        <v/>
      </c>
      <c r="K223" s="58" t="str">
        <f>IF($A223="","",'TO HOP'!$L$172+1.75*(0-'TO HOP'!$M$62))</f>
        <v/>
      </c>
      <c r="L223" s="42" t="s">
        <v>1579</v>
      </c>
      <c r="M223" s="42">
        <v>20</v>
      </c>
    </row>
    <row r="224" spans="1:13" x14ac:dyDescent="0.3">
      <c r="A224" s="42" t="str">
        <f>IF(21&lt;=nLan,"CĐ I(b) min - 2 nhịp "&amp;21&amp;" làn","")</f>
        <v/>
      </c>
      <c r="B224" s="58" t="str">
        <f>IF($A224="","",'TO HOP'!$C$172+1.75*(0-'TO HOP'!$M$53))</f>
        <v/>
      </c>
      <c r="C224" s="58" t="str">
        <f>IF($A224="","",'TO HOP'!$D$172+1.75*(0-'TO HOP'!$M$54))</f>
        <v/>
      </c>
      <c r="D224" s="58" t="str">
        <f>IF($A224="","",'TO HOP'!$E$172+1.75*(INDEX('LANE ENGINE'!$D$6:$D$45,21)-'TO HOP'!$M$55))</f>
        <v/>
      </c>
      <c r="E224" s="58" t="str">
        <f>IF($A224="","",'TO HOP'!$F$172+1.75*(INDEX('LANE ENGINE'!$E$6:$E$45,21)-'TO HOP'!$M$56))</f>
        <v/>
      </c>
      <c r="F224" s="58" t="str">
        <f>IF($A224="","",'TO HOP'!$G$172+1.75*(0-'TO HOP'!$M$57))</f>
        <v/>
      </c>
      <c r="G224" s="58" t="str">
        <f>IF($A224="","",'TO HOP'!$H$172+1.75*(0-'TO HOP'!$M$58))</f>
        <v/>
      </c>
      <c r="H224" s="58" t="str">
        <f>IF($A224="","",'TO HOP'!$I$172+1.75*(0-'TO HOP'!$M$59))</f>
        <v/>
      </c>
      <c r="I224" s="58" t="str">
        <f>IF($A224="","",'TO HOP'!$J$172+1.75*(INDEX('LANE ENGINE'!$D$6:$D$45,21)-'TO HOP'!$M$60))</f>
        <v/>
      </c>
      <c r="J224" s="58" t="str">
        <f>IF($A224="","",'TO HOP'!$K$172+1.75*(INDEX('LANE ENGINE'!$E$6:$E$45,21)-'TO HOP'!$M$61))</f>
        <v/>
      </c>
      <c r="K224" s="58" t="str">
        <f>IF($A224="","",'TO HOP'!$L$172+1.75*(0-'TO HOP'!$M$62))</f>
        <v/>
      </c>
      <c r="L224" s="42" t="s">
        <v>1579</v>
      </c>
      <c r="M224" s="42">
        <v>21</v>
      </c>
    </row>
    <row r="225" spans="1:13" x14ac:dyDescent="0.3">
      <c r="A225" s="42" t="str">
        <f>IF(22&lt;=nLan,"CĐ I(b) min - 2 nhịp "&amp;22&amp;" làn","")</f>
        <v/>
      </c>
      <c r="B225" s="58" t="str">
        <f>IF($A225="","",'TO HOP'!$C$172+1.75*(0-'TO HOP'!$M$53))</f>
        <v/>
      </c>
      <c r="C225" s="58" t="str">
        <f>IF($A225="","",'TO HOP'!$D$172+1.75*(0-'TO HOP'!$M$54))</f>
        <v/>
      </c>
      <c r="D225" s="58" t="str">
        <f>IF($A225="","",'TO HOP'!$E$172+1.75*(INDEX('LANE ENGINE'!$D$6:$D$45,22)-'TO HOP'!$M$55))</f>
        <v/>
      </c>
      <c r="E225" s="58" t="str">
        <f>IF($A225="","",'TO HOP'!$F$172+1.75*(INDEX('LANE ENGINE'!$E$6:$E$45,22)-'TO HOP'!$M$56))</f>
        <v/>
      </c>
      <c r="F225" s="58" t="str">
        <f>IF($A225="","",'TO HOP'!$G$172+1.75*(0-'TO HOP'!$M$57))</f>
        <v/>
      </c>
      <c r="G225" s="58" t="str">
        <f>IF($A225="","",'TO HOP'!$H$172+1.75*(0-'TO HOP'!$M$58))</f>
        <v/>
      </c>
      <c r="H225" s="58" t="str">
        <f>IF($A225="","",'TO HOP'!$I$172+1.75*(0-'TO HOP'!$M$59))</f>
        <v/>
      </c>
      <c r="I225" s="58" t="str">
        <f>IF($A225="","",'TO HOP'!$J$172+1.75*(INDEX('LANE ENGINE'!$D$6:$D$45,22)-'TO HOP'!$M$60))</f>
        <v/>
      </c>
      <c r="J225" s="58" t="str">
        <f>IF($A225="","",'TO HOP'!$K$172+1.75*(INDEX('LANE ENGINE'!$E$6:$E$45,22)-'TO HOP'!$M$61))</f>
        <v/>
      </c>
      <c r="K225" s="58" t="str">
        <f>IF($A225="","",'TO HOP'!$L$172+1.75*(0-'TO HOP'!$M$62))</f>
        <v/>
      </c>
      <c r="L225" s="42" t="s">
        <v>1579</v>
      </c>
      <c r="M225" s="42">
        <v>22</v>
      </c>
    </row>
    <row r="226" spans="1:13" x14ac:dyDescent="0.3">
      <c r="A226" s="42" t="str">
        <f>IF(23&lt;=nLan,"CĐ I(b) min - 2 nhịp "&amp;23&amp;" làn","")</f>
        <v/>
      </c>
      <c r="B226" s="58" t="str">
        <f>IF($A226="","",'TO HOP'!$C$172+1.75*(0-'TO HOP'!$M$53))</f>
        <v/>
      </c>
      <c r="C226" s="58" t="str">
        <f>IF($A226="","",'TO HOP'!$D$172+1.75*(0-'TO HOP'!$M$54))</f>
        <v/>
      </c>
      <c r="D226" s="58" t="str">
        <f>IF($A226="","",'TO HOP'!$E$172+1.75*(INDEX('LANE ENGINE'!$D$6:$D$45,23)-'TO HOP'!$M$55))</f>
        <v/>
      </c>
      <c r="E226" s="58" t="str">
        <f>IF($A226="","",'TO HOP'!$F$172+1.75*(INDEX('LANE ENGINE'!$E$6:$E$45,23)-'TO HOP'!$M$56))</f>
        <v/>
      </c>
      <c r="F226" s="58" t="str">
        <f>IF($A226="","",'TO HOP'!$G$172+1.75*(0-'TO HOP'!$M$57))</f>
        <v/>
      </c>
      <c r="G226" s="58" t="str">
        <f>IF($A226="","",'TO HOP'!$H$172+1.75*(0-'TO HOP'!$M$58))</f>
        <v/>
      </c>
      <c r="H226" s="58" t="str">
        <f>IF($A226="","",'TO HOP'!$I$172+1.75*(0-'TO HOP'!$M$59))</f>
        <v/>
      </c>
      <c r="I226" s="58" t="str">
        <f>IF($A226="","",'TO HOP'!$J$172+1.75*(INDEX('LANE ENGINE'!$D$6:$D$45,23)-'TO HOP'!$M$60))</f>
        <v/>
      </c>
      <c r="J226" s="58" t="str">
        <f>IF($A226="","",'TO HOP'!$K$172+1.75*(INDEX('LANE ENGINE'!$E$6:$E$45,23)-'TO HOP'!$M$61))</f>
        <v/>
      </c>
      <c r="K226" s="58" t="str">
        <f>IF($A226="","",'TO HOP'!$L$172+1.75*(0-'TO HOP'!$M$62))</f>
        <v/>
      </c>
      <c r="L226" s="42" t="s">
        <v>1579</v>
      </c>
      <c r="M226" s="42">
        <v>23</v>
      </c>
    </row>
    <row r="227" spans="1:13" x14ac:dyDescent="0.3">
      <c r="A227" s="42" t="str">
        <f>IF(24&lt;=nLan,"CĐ I(b) min - 2 nhịp "&amp;24&amp;" làn","")</f>
        <v/>
      </c>
      <c r="B227" s="58" t="str">
        <f>IF($A227="","",'TO HOP'!$C$172+1.75*(0-'TO HOP'!$M$53))</f>
        <v/>
      </c>
      <c r="C227" s="58" t="str">
        <f>IF($A227="","",'TO HOP'!$D$172+1.75*(0-'TO HOP'!$M$54))</f>
        <v/>
      </c>
      <c r="D227" s="58" t="str">
        <f>IF($A227="","",'TO HOP'!$E$172+1.75*(INDEX('LANE ENGINE'!$D$6:$D$45,24)-'TO HOP'!$M$55))</f>
        <v/>
      </c>
      <c r="E227" s="58" t="str">
        <f>IF($A227="","",'TO HOP'!$F$172+1.75*(INDEX('LANE ENGINE'!$E$6:$E$45,24)-'TO HOP'!$M$56))</f>
        <v/>
      </c>
      <c r="F227" s="58" t="str">
        <f>IF($A227="","",'TO HOP'!$G$172+1.75*(0-'TO HOP'!$M$57))</f>
        <v/>
      </c>
      <c r="G227" s="58" t="str">
        <f>IF($A227="","",'TO HOP'!$H$172+1.75*(0-'TO HOP'!$M$58))</f>
        <v/>
      </c>
      <c r="H227" s="58" t="str">
        <f>IF($A227="","",'TO HOP'!$I$172+1.75*(0-'TO HOP'!$M$59))</f>
        <v/>
      </c>
      <c r="I227" s="58" t="str">
        <f>IF($A227="","",'TO HOP'!$J$172+1.75*(INDEX('LANE ENGINE'!$D$6:$D$45,24)-'TO HOP'!$M$60))</f>
        <v/>
      </c>
      <c r="J227" s="58" t="str">
        <f>IF($A227="","",'TO HOP'!$K$172+1.75*(INDEX('LANE ENGINE'!$E$6:$E$45,24)-'TO HOP'!$M$61))</f>
        <v/>
      </c>
      <c r="K227" s="58" t="str">
        <f>IF($A227="","",'TO HOP'!$L$172+1.75*(0-'TO HOP'!$M$62))</f>
        <v/>
      </c>
      <c r="L227" s="42" t="s">
        <v>1579</v>
      </c>
      <c r="M227" s="42">
        <v>24</v>
      </c>
    </row>
    <row r="228" spans="1:13" x14ac:dyDescent="0.3">
      <c r="A228" s="42" t="str">
        <f>IF(25&lt;=nLan,"CĐ I(b) min - 2 nhịp "&amp;25&amp;" làn","")</f>
        <v/>
      </c>
      <c r="B228" s="58" t="str">
        <f>IF($A228="","",'TO HOP'!$C$172+1.75*(0-'TO HOP'!$M$53))</f>
        <v/>
      </c>
      <c r="C228" s="58" t="str">
        <f>IF($A228="","",'TO HOP'!$D$172+1.75*(0-'TO HOP'!$M$54))</f>
        <v/>
      </c>
      <c r="D228" s="58" t="str">
        <f>IF($A228="","",'TO HOP'!$E$172+1.75*(INDEX('LANE ENGINE'!$D$6:$D$45,25)-'TO HOP'!$M$55))</f>
        <v/>
      </c>
      <c r="E228" s="58" t="str">
        <f>IF($A228="","",'TO HOP'!$F$172+1.75*(INDEX('LANE ENGINE'!$E$6:$E$45,25)-'TO HOP'!$M$56))</f>
        <v/>
      </c>
      <c r="F228" s="58" t="str">
        <f>IF($A228="","",'TO HOP'!$G$172+1.75*(0-'TO HOP'!$M$57))</f>
        <v/>
      </c>
      <c r="G228" s="58" t="str">
        <f>IF($A228="","",'TO HOP'!$H$172+1.75*(0-'TO HOP'!$M$58))</f>
        <v/>
      </c>
      <c r="H228" s="58" t="str">
        <f>IF($A228="","",'TO HOP'!$I$172+1.75*(0-'TO HOP'!$M$59))</f>
        <v/>
      </c>
      <c r="I228" s="58" t="str">
        <f>IF($A228="","",'TO HOP'!$J$172+1.75*(INDEX('LANE ENGINE'!$D$6:$D$45,25)-'TO HOP'!$M$60))</f>
        <v/>
      </c>
      <c r="J228" s="58" t="str">
        <f>IF($A228="","",'TO HOP'!$K$172+1.75*(INDEX('LANE ENGINE'!$E$6:$E$45,25)-'TO HOP'!$M$61))</f>
        <v/>
      </c>
      <c r="K228" s="58" t="str">
        <f>IF($A228="","",'TO HOP'!$L$172+1.75*(0-'TO HOP'!$M$62))</f>
        <v/>
      </c>
      <c r="L228" s="42" t="s">
        <v>1579</v>
      </c>
      <c r="M228" s="42">
        <v>25</v>
      </c>
    </row>
    <row r="229" spans="1:13" x14ac:dyDescent="0.3">
      <c r="A229" s="42" t="str">
        <f>IF(26&lt;=nLan,"CĐ I(b) min - 2 nhịp "&amp;26&amp;" làn","")</f>
        <v/>
      </c>
      <c r="B229" s="58" t="str">
        <f>IF($A229="","",'TO HOP'!$C$172+1.75*(0-'TO HOP'!$M$53))</f>
        <v/>
      </c>
      <c r="C229" s="58" t="str">
        <f>IF($A229="","",'TO HOP'!$D$172+1.75*(0-'TO HOP'!$M$54))</f>
        <v/>
      </c>
      <c r="D229" s="58" t="str">
        <f>IF($A229="","",'TO HOP'!$E$172+1.75*(INDEX('LANE ENGINE'!$D$6:$D$45,26)-'TO HOP'!$M$55))</f>
        <v/>
      </c>
      <c r="E229" s="58" t="str">
        <f>IF($A229="","",'TO HOP'!$F$172+1.75*(INDEX('LANE ENGINE'!$E$6:$E$45,26)-'TO HOP'!$M$56))</f>
        <v/>
      </c>
      <c r="F229" s="58" t="str">
        <f>IF($A229="","",'TO HOP'!$G$172+1.75*(0-'TO HOP'!$M$57))</f>
        <v/>
      </c>
      <c r="G229" s="58" t="str">
        <f>IF($A229="","",'TO HOP'!$H$172+1.75*(0-'TO HOP'!$M$58))</f>
        <v/>
      </c>
      <c r="H229" s="58" t="str">
        <f>IF($A229="","",'TO HOP'!$I$172+1.75*(0-'TO HOP'!$M$59))</f>
        <v/>
      </c>
      <c r="I229" s="58" t="str">
        <f>IF($A229="","",'TO HOP'!$J$172+1.75*(INDEX('LANE ENGINE'!$D$6:$D$45,26)-'TO HOP'!$M$60))</f>
        <v/>
      </c>
      <c r="J229" s="58" t="str">
        <f>IF($A229="","",'TO HOP'!$K$172+1.75*(INDEX('LANE ENGINE'!$E$6:$E$45,26)-'TO HOP'!$M$61))</f>
        <v/>
      </c>
      <c r="K229" s="58" t="str">
        <f>IF($A229="","",'TO HOP'!$L$172+1.75*(0-'TO HOP'!$M$62))</f>
        <v/>
      </c>
      <c r="L229" s="42" t="s">
        <v>1579</v>
      </c>
      <c r="M229" s="42">
        <v>26</v>
      </c>
    </row>
    <row r="230" spans="1:13" x14ac:dyDescent="0.3">
      <c r="A230" s="42" t="str">
        <f>IF(27&lt;=nLan,"CĐ I(b) min - 2 nhịp "&amp;27&amp;" làn","")</f>
        <v/>
      </c>
      <c r="B230" s="58" t="str">
        <f>IF($A230="","",'TO HOP'!$C$172+1.75*(0-'TO HOP'!$M$53))</f>
        <v/>
      </c>
      <c r="C230" s="58" t="str">
        <f>IF($A230="","",'TO HOP'!$D$172+1.75*(0-'TO HOP'!$M$54))</f>
        <v/>
      </c>
      <c r="D230" s="58" t="str">
        <f>IF($A230="","",'TO HOP'!$E$172+1.75*(INDEX('LANE ENGINE'!$D$6:$D$45,27)-'TO HOP'!$M$55))</f>
        <v/>
      </c>
      <c r="E230" s="58" t="str">
        <f>IF($A230="","",'TO HOP'!$F$172+1.75*(INDEX('LANE ENGINE'!$E$6:$E$45,27)-'TO HOP'!$M$56))</f>
        <v/>
      </c>
      <c r="F230" s="58" t="str">
        <f>IF($A230="","",'TO HOP'!$G$172+1.75*(0-'TO HOP'!$M$57))</f>
        <v/>
      </c>
      <c r="G230" s="58" t="str">
        <f>IF($A230="","",'TO HOP'!$H$172+1.75*(0-'TO HOP'!$M$58))</f>
        <v/>
      </c>
      <c r="H230" s="58" t="str">
        <f>IF($A230="","",'TO HOP'!$I$172+1.75*(0-'TO HOP'!$M$59))</f>
        <v/>
      </c>
      <c r="I230" s="58" t="str">
        <f>IF($A230="","",'TO HOP'!$J$172+1.75*(INDEX('LANE ENGINE'!$D$6:$D$45,27)-'TO HOP'!$M$60))</f>
        <v/>
      </c>
      <c r="J230" s="58" t="str">
        <f>IF($A230="","",'TO HOP'!$K$172+1.75*(INDEX('LANE ENGINE'!$E$6:$E$45,27)-'TO HOP'!$M$61))</f>
        <v/>
      </c>
      <c r="K230" s="58" t="str">
        <f>IF($A230="","",'TO HOP'!$L$172+1.75*(0-'TO HOP'!$M$62))</f>
        <v/>
      </c>
      <c r="L230" s="42" t="s">
        <v>1579</v>
      </c>
      <c r="M230" s="42">
        <v>27</v>
      </c>
    </row>
    <row r="231" spans="1:13" x14ac:dyDescent="0.3">
      <c r="A231" s="42" t="str">
        <f>IF(28&lt;=nLan,"CĐ I(b) min - 2 nhịp "&amp;28&amp;" làn","")</f>
        <v/>
      </c>
      <c r="B231" s="58" t="str">
        <f>IF($A231="","",'TO HOP'!$C$172+1.75*(0-'TO HOP'!$M$53))</f>
        <v/>
      </c>
      <c r="C231" s="58" t="str">
        <f>IF($A231="","",'TO HOP'!$D$172+1.75*(0-'TO HOP'!$M$54))</f>
        <v/>
      </c>
      <c r="D231" s="58" t="str">
        <f>IF($A231="","",'TO HOP'!$E$172+1.75*(INDEX('LANE ENGINE'!$D$6:$D$45,28)-'TO HOP'!$M$55))</f>
        <v/>
      </c>
      <c r="E231" s="58" t="str">
        <f>IF($A231="","",'TO HOP'!$F$172+1.75*(INDEX('LANE ENGINE'!$E$6:$E$45,28)-'TO HOP'!$M$56))</f>
        <v/>
      </c>
      <c r="F231" s="58" t="str">
        <f>IF($A231="","",'TO HOP'!$G$172+1.75*(0-'TO HOP'!$M$57))</f>
        <v/>
      </c>
      <c r="G231" s="58" t="str">
        <f>IF($A231="","",'TO HOP'!$H$172+1.75*(0-'TO HOP'!$M$58))</f>
        <v/>
      </c>
      <c r="H231" s="58" t="str">
        <f>IF($A231="","",'TO HOP'!$I$172+1.75*(0-'TO HOP'!$M$59))</f>
        <v/>
      </c>
      <c r="I231" s="58" t="str">
        <f>IF($A231="","",'TO HOP'!$J$172+1.75*(INDEX('LANE ENGINE'!$D$6:$D$45,28)-'TO HOP'!$M$60))</f>
        <v/>
      </c>
      <c r="J231" s="58" t="str">
        <f>IF($A231="","",'TO HOP'!$K$172+1.75*(INDEX('LANE ENGINE'!$E$6:$E$45,28)-'TO HOP'!$M$61))</f>
        <v/>
      </c>
      <c r="K231" s="58" t="str">
        <f>IF($A231="","",'TO HOP'!$L$172+1.75*(0-'TO HOP'!$M$62))</f>
        <v/>
      </c>
      <c r="L231" s="42" t="s">
        <v>1579</v>
      </c>
      <c r="M231" s="42">
        <v>28</v>
      </c>
    </row>
    <row r="232" spans="1:13" x14ac:dyDescent="0.3">
      <c r="A232" s="42" t="str">
        <f>IF(29&lt;=nLan,"CĐ I(b) min - 2 nhịp "&amp;29&amp;" làn","")</f>
        <v/>
      </c>
      <c r="B232" s="58" t="str">
        <f>IF($A232="","",'TO HOP'!$C$172+1.75*(0-'TO HOP'!$M$53))</f>
        <v/>
      </c>
      <c r="C232" s="58" t="str">
        <f>IF($A232="","",'TO HOP'!$D$172+1.75*(0-'TO HOP'!$M$54))</f>
        <v/>
      </c>
      <c r="D232" s="58" t="str">
        <f>IF($A232="","",'TO HOP'!$E$172+1.75*(INDEX('LANE ENGINE'!$D$6:$D$45,29)-'TO HOP'!$M$55))</f>
        <v/>
      </c>
      <c r="E232" s="58" t="str">
        <f>IF($A232="","",'TO HOP'!$F$172+1.75*(INDEX('LANE ENGINE'!$E$6:$E$45,29)-'TO HOP'!$M$56))</f>
        <v/>
      </c>
      <c r="F232" s="58" t="str">
        <f>IF($A232="","",'TO HOP'!$G$172+1.75*(0-'TO HOP'!$M$57))</f>
        <v/>
      </c>
      <c r="G232" s="58" t="str">
        <f>IF($A232="","",'TO HOP'!$H$172+1.75*(0-'TO HOP'!$M$58))</f>
        <v/>
      </c>
      <c r="H232" s="58" t="str">
        <f>IF($A232="","",'TO HOP'!$I$172+1.75*(0-'TO HOP'!$M$59))</f>
        <v/>
      </c>
      <c r="I232" s="58" t="str">
        <f>IF($A232="","",'TO HOP'!$J$172+1.75*(INDEX('LANE ENGINE'!$D$6:$D$45,29)-'TO HOP'!$M$60))</f>
        <v/>
      </c>
      <c r="J232" s="58" t="str">
        <f>IF($A232="","",'TO HOP'!$K$172+1.75*(INDEX('LANE ENGINE'!$E$6:$E$45,29)-'TO HOP'!$M$61))</f>
        <v/>
      </c>
      <c r="K232" s="58" t="str">
        <f>IF($A232="","",'TO HOP'!$L$172+1.75*(0-'TO HOP'!$M$62))</f>
        <v/>
      </c>
      <c r="L232" s="42" t="s">
        <v>1579</v>
      </c>
      <c r="M232" s="42">
        <v>29</v>
      </c>
    </row>
    <row r="233" spans="1:13" x14ac:dyDescent="0.3">
      <c r="A233" s="42" t="str">
        <f>IF(30&lt;=nLan,"CĐ I(b) min - 2 nhịp "&amp;30&amp;" làn","")</f>
        <v/>
      </c>
      <c r="B233" s="58" t="str">
        <f>IF($A233="","",'TO HOP'!$C$172+1.75*(0-'TO HOP'!$M$53))</f>
        <v/>
      </c>
      <c r="C233" s="58" t="str">
        <f>IF($A233="","",'TO HOP'!$D$172+1.75*(0-'TO HOP'!$M$54))</f>
        <v/>
      </c>
      <c r="D233" s="58" t="str">
        <f>IF($A233="","",'TO HOP'!$E$172+1.75*(INDEX('LANE ENGINE'!$D$6:$D$45,30)-'TO HOP'!$M$55))</f>
        <v/>
      </c>
      <c r="E233" s="58" t="str">
        <f>IF($A233="","",'TO HOP'!$F$172+1.75*(INDEX('LANE ENGINE'!$E$6:$E$45,30)-'TO HOP'!$M$56))</f>
        <v/>
      </c>
      <c r="F233" s="58" t="str">
        <f>IF($A233="","",'TO HOP'!$G$172+1.75*(0-'TO HOP'!$M$57))</f>
        <v/>
      </c>
      <c r="G233" s="58" t="str">
        <f>IF($A233="","",'TO HOP'!$H$172+1.75*(0-'TO HOP'!$M$58))</f>
        <v/>
      </c>
      <c r="H233" s="58" t="str">
        <f>IF($A233="","",'TO HOP'!$I$172+1.75*(0-'TO HOP'!$M$59))</f>
        <v/>
      </c>
      <c r="I233" s="58" t="str">
        <f>IF($A233="","",'TO HOP'!$J$172+1.75*(INDEX('LANE ENGINE'!$D$6:$D$45,30)-'TO HOP'!$M$60))</f>
        <v/>
      </c>
      <c r="J233" s="58" t="str">
        <f>IF($A233="","",'TO HOP'!$K$172+1.75*(INDEX('LANE ENGINE'!$E$6:$E$45,30)-'TO HOP'!$M$61))</f>
        <v/>
      </c>
      <c r="K233" s="58" t="str">
        <f>IF($A233="","",'TO HOP'!$L$172+1.75*(0-'TO HOP'!$M$62))</f>
        <v/>
      </c>
      <c r="L233" s="42" t="s">
        <v>1579</v>
      </c>
      <c r="M233" s="42">
        <v>30</v>
      </c>
    </row>
    <row r="234" spans="1:13" x14ac:dyDescent="0.3">
      <c r="A234" s="42" t="str">
        <f>IF(31&lt;=nLan,"CĐ I(b) min - 2 nhịp "&amp;31&amp;" làn","")</f>
        <v/>
      </c>
      <c r="B234" s="58" t="str">
        <f>IF($A234="","",'TO HOP'!$C$172+1.75*(0-'TO HOP'!$M$53))</f>
        <v/>
      </c>
      <c r="C234" s="58" t="str">
        <f>IF($A234="","",'TO HOP'!$D$172+1.75*(0-'TO HOP'!$M$54))</f>
        <v/>
      </c>
      <c r="D234" s="58" t="str">
        <f>IF($A234="","",'TO HOP'!$E$172+1.75*(INDEX('LANE ENGINE'!$D$6:$D$45,31)-'TO HOP'!$M$55))</f>
        <v/>
      </c>
      <c r="E234" s="58" t="str">
        <f>IF($A234="","",'TO HOP'!$F$172+1.75*(INDEX('LANE ENGINE'!$E$6:$E$45,31)-'TO HOP'!$M$56))</f>
        <v/>
      </c>
      <c r="F234" s="58" t="str">
        <f>IF($A234="","",'TO HOP'!$G$172+1.75*(0-'TO HOP'!$M$57))</f>
        <v/>
      </c>
      <c r="G234" s="58" t="str">
        <f>IF($A234="","",'TO HOP'!$H$172+1.75*(0-'TO HOP'!$M$58))</f>
        <v/>
      </c>
      <c r="H234" s="58" t="str">
        <f>IF($A234="","",'TO HOP'!$I$172+1.75*(0-'TO HOP'!$M$59))</f>
        <v/>
      </c>
      <c r="I234" s="58" t="str">
        <f>IF($A234="","",'TO HOP'!$J$172+1.75*(INDEX('LANE ENGINE'!$D$6:$D$45,31)-'TO HOP'!$M$60))</f>
        <v/>
      </c>
      <c r="J234" s="58" t="str">
        <f>IF($A234="","",'TO HOP'!$K$172+1.75*(INDEX('LANE ENGINE'!$E$6:$E$45,31)-'TO HOP'!$M$61))</f>
        <v/>
      </c>
      <c r="K234" s="58" t="str">
        <f>IF($A234="","",'TO HOP'!$L$172+1.75*(0-'TO HOP'!$M$62))</f>
        <v/>
      </c>
      <c r="L234" s="42" t="s">
        <v>1579</v>
      </c>
      <c r="M234" s="42">
        <v>31</v>
      </c>
    </row>
    <row r="235" spans="1:13" x14ac:dyDescent="0.3">
      <c r="A235" s="42" t="str">
        <f>IF(32&lt;=nLan,"CĐ I(b) min - 2 nhịp "&amp;32&amp;" làn","")</f>
        <v/>
      </c>
      <c r="B235" s="58" t="str">
        <f>IF($A235="","",'TO HOP'!$C$172+1.75*(0-'TO HOP'!$M$53))</f>
        <v/>
      </c>
      <c r="C235" s="58" t="str">
        <f>IF($A235="","",'TO HOP'!$D$172+1.75*(0-'TO HOP'!$M$54))</f>
        <v/>
      </c>
      <c r="D235" s="58" t="str">
        <f>IF($A235="","",'TO HOP'!$E$172+1.75*(INDEX('LANE ENGINE'!$D$6:$D$45,32)-'TO HOP'!$M$55))</f>
        <v/>
      </c>
      <c r="E235" s="58" t="str">
        <f>IF($A235="","",'TO HOP'!$F$172+1.75*(INDEX('LANE ENGINE'!$E$6:$E$45,32)-'TO HOP'!$M$56))</f>
        <v/>
      </c>
      <c r="F235" s="58" t="str">
        <f>IF($A235="","",'TO HOP'!$G$172+1.75*(0-'TO HOP'!$M$57))</f>
        <v/>
      </c>
      <c r="G235" s="58" t="str">
        <f>IF($A235="","",'TO HOP'!$H$172+1.75*(0-'TO HOP'!$M$58))</f>
        <v/>
      </c>
      <c r="H235" s="58" t="str">
        <f>IF($A235="","",'TO HOP'!$I$172+1.75*(0-'TO HOP'!$M$59))</f>
        <v/>
      </c>
      <c r="I235" s="58" t="str">
        <f>IF($A235="","",'TO HOP'!$J$172+1.75*(INDEX('LANE ENGINE'!$D$6:$D$45,32)-'TO HOP'!$M$60))</f>
        <v/>
      </c>
      <c r="J235" s="58" t="str">
        <f>IF($A235="","",'TO HOP'!$K$172+1.75*(INDEX('LANE ENGINE'!$E$6:$E$45,32)-'TO HOP'!$M$61))</f>
        <v/>
      </c>
      <c r="K235" s="58" t="str">
        <f>IF($A235="","",'TO HOP'!$L$172+1.75*(0-'TO HOP'!$M$62))</f>
        <v/>
      </c>
      <c r="L235" s="42" t="s">
        <v>1579</v>
      </c>
      <c r="M235" s="42">
        <v>32</v>
      </c>
    </row>
    <row r="236" spans="1:13" x14ac:dyDescent="0.3">
      <c r="A236" s="42" t="str">
        <f>IF(33&lt;=nLan,"CĐ I(b) min - 2 nhịp "&amp;33&amp;" làn","")</f>
        <v/>
      </c>
      <c r="B236" s="58" t="str">
        <f>IF($A236="","",'TO HOP'!$C$172+1.75*(0-'TO HOP'!$M$53))</f>
        <v/>
      </c>
      <c r="C236" s="58" t="str">
        <f>IF($A236="","",'TO HOP'!$D$172+1.75*(0-'TO HOP'!$M$54))</f>
        <v/>
      </c>
      <c r="D236" s="58" t="str">
        <f>IF($A236="","",'TO HOP'!$E$172+1.75*(INDEX('LANE ENGINE'!$D$6:$D$45,33)-'TO HOP'!$M$55))</f>
        <v/>
      </c>
      <c r="E236" s="58" t="str">
        <f>IF($A236="","",'TO HOP'!$F$172+1.75*(INDEX('LANE ENGINE'!$E$6:$E$45,33)-'TO HOP'!$M$56))</f>
        <v/>
      </c>
      <c r="F236" s="58" t="str">
        <f>IF($A236="","",'TO HOP'!$G$172+1.75*(0-'TO HOP'!$M$57))</f>
        <v/>
      </c>
      <c r="G236" s="58" t="str">
        <f>IF($A236="","",'TO HOP'!$H$172+1.75*(0-'TO HOP'!$M$58))</f>
        <v/>
      </c>
      <c r="H236" s="58" t="str">
        <f>IF($A236="","",'TO HOP'!$I$172+1.75*(0-'TO HOP'!$M$59))</f>
        <v/>
      </c>
      <c r="I236" s="58" t="str">
        <f>IF($A236="","",'TO HOP'!$J$172+1.75*(INDEX('LANE ENGINE'!$D$6:$D$45,33)-'TO HOP'!$M$60))</f>
        <v/>
      </c>
      <c r="J236" s="58" t="str">
        <f>IF($A236="","",'TO HOP'!$K$172+1.75*(INDEX('LANE ENGINE'!$E$6:$E$45,33)-'TO HOP'!$M$61))</f>
        <v/>
      </c>
      <c r="K236" s="58" t="str">
        <f>IF($A236="","",'TO HOP'!$L$172+1.75*(0-'TO HOP'!$M$62))</f>
        <v/>
      </c>
      <c r="L236" s="42" t="s">
        <v>1579</v>
      </c>
      <c r="M236" s="42">
        <v>33</v>
      </c>
    </row>
    <row r="237" spans="1:13" x14ac:dyDescent="0.3">
      <c r="A237" s="42" t="str">
        <f>IF(34&lt;=nLan,"CĐ I(b) min - 2 nhịp "&amp;34&amp;" làn","")</f>
        <v/>
      </c>
      <c r="B237" s="58" t="str">
        <f>IF($A237="","",'TO HOP'!$C$172+1.75*(0-'TO HOP'!$M$53))</f>
        <v/>
      </c>
      <c r="C237" s="58" t="str">
        <f>IF($A237="","",'TO HOP'!$D$172+1.75*(0-'TO HOP'!$M$54))</f>
        <v/>
      </c>
      <c r="D237" s="58" t="str">
        <f>IF($A237="","",'TO HOP'!$E$172+1.75*(INDEX('LANE ENGINE'!$D$6:$D$45,34)-'TO HOP'!$M$55))</f>
        <v/>
      </c>
      <c r="E237" s="58" t="str">
        <f>IF($A237="","",'TO HOP'!$F$172+1.75*(INDEX('LANE ENGINE'!$E$6:$E$45,34)-'TO HOP'!$M$56))</f>
        <v/>
      </c>
      <c r="F237" s="58" t="str">
        <f>IF($A237="","",'TO HOP'!$G$172+1.75*(0-'TO HOP'!$M$57))</f>
        <v/>
      </c>
      <c r="G237" s="58" t="str">
        <f>IF($A237="","",'TO HOP'!$H$172+1.75*(0-'TO HOP'!$M$58))</f>
        <v/>
      </c>
      <c r="H237" s="58" t="str">
        <f>IF($A237="","",'TO HOP'!$I$172+1.75*(0-'TO HOP'!$M$59))</f>
        <v/>
      </c>
      <c r="I237" s="58" t="str">
        <f>IF($A237="","",'TO HOP'!$J$172+1.75*(INDEX('LANE ENGINE'!$D$6:$D$45,34)-'TO HOP'!$M$60))</f>
        <v/>
      </c>
      <c r="J237" s="58" t="str">
        <f>IF($A237="","",'TO HOP'!$K$172+1.75*(INDEX('LANE ENGINE'!$E$6:$E$45,34)-'TO HOP'!$M$61))</f>
        <v/>
      </c>
      <c r="K237" s="58" t="str">
        <f>IF($A237="","",'TO HOP'!$L$172+1.75*(0-'TO HOP'!$M$62))</f>
        <v/>
      </c>
      <c r="L237" s="42" t="s">
        <v>1579</v>
      </c>
      <c r="M237" s="42">
        <v>34</v>
      </c>
    </row>
    <row r="238" spans="1:13" x14ac:dyDescent="0.3">
      <c r="A238" s="42" t="str">
        <f>IF(35&lt;=nLan,"CĐ I(b) min - 2 nhịp "&amp;35&amp;" làn","")</f>
        <v/>
      </c>
      <c r="B238" s="58" t="str">
        <f>IF($A238="","",'TO HOP'!$C$172+1.75*(0-'TO HOP'!$M$53))</f>
        <v/>
      </c>
      <c r="C238" s="58" t="str">
        <f>IF($A238="","",'TO HOP'!$D$172+1.75*(0-'TO HOP'!$M$54))</f>
        <v/>
      </c>
      <c r="D238" s="58" t="str">
        <f>IF($A238="","",'TO HOP'!$E$172+1.75*(INDEX('LANE ENGINE'!$D$6:$D$45,35)-'TO HOP'!$M$55))</f>
        <v/>
      </c>
      <c r="E238" s="58" t="str">
        <f>IF($A238="","",'TO HOP'!$F$172+1.75*(INDEX('LANE ENGINE'!$E$6:$E$45,35)-'TO HOP'!$M$56))</f>
        <v/>
      </c>
      <c r="F238" s="58" t="str">
        <f>IF($A238="","",'TO HOP'!$G$172+1.75*(0-'TO HOP'!$M$57))</f>
        <v/>
      </c>
      <c r="G238" s="58" t="str">
        <f>IF($A238="","",'TO HOP'!$H$172+1.75*(0-'TO HOP'!$M$58))</f>
        <v/>
      </c>
      <c r="H238" s="58" t="str">
        <f>IF($A238="","",'TO HOP'!$I$172+1.75*(0-'TO HOP'!$M$59))</f>
        <v/>
      </c>
      <c r="I238" s="58" t="str">
        <f>IF($A238="","",'TO HOP'!$J$172+1.75*(INDEX('LANE ENGINE'!$D$6:$D$45,35)-'TO HOP'!$M$60))</f>
        <v/>
      </c>
      <c r="J238" s="58" t="str">
        <f>IF($A238="","",'TO HOP'!$K$172+1.75*(INDEX('LANE ENGINE'!$E$6:$E$45,35)-'TO HOP'!$M$61))</f>
        <v/>
      </c>
      <c r="K238" s="58" t="str">
        <f>IF($A238="","",'TO HOP'!$L$172+1.75*(0-'TO HOP'!$M$62))</f>
        <v/>
      </c>
      <c r="L238" s="42" t="s">
        <v>1579</v>
      </c>
      <c r="M238" s="42">
        <v>35</v>
      </c>
    </row>
    <row r="239" spans="1:13" x14ac:dyDescent="0.3">
      <c r="A239" s="42" t="str">
        <f>IF(36&lt;=nLan,"CĐ I(b) min - 2 nhịp "&amp;36&amp;" làn","")</f>
        <v/>
      </c>
      <c r="B239" s="58" t="str">
        <f>IF($A239="","",'TO HOP'!$C$172+1.75*(0-'TO HOP'!$M$53))</f>
        <v/>
      </c>
      <c r="C239" s="58" t="str">
        <f>IF($A239="","",'TO HOP'!$D$172+1.75*(0-'TO HOP'!$M$54))</f>
        <v/>
      </c>
      <c r="D239" s="58" t="str">
        <f>IF($A239="","",'TO HOP'!$E$172+1.75*(INDEX('LANE ENGINE'!$D$6:$D$45,36)-'TO HOP'!$M$55))</f>
        <v/>
      </c>
      <c r="E239" s="58" t="str">
        <f>IF($A239="","",'TO HOP'!$F$172+1.75*(INDEX('LANE ENGINE'!$E$6:$E$45,36)-'TO HOP'!$M$56))</f>
        <v/>
      </c>
      <c r="F239" s="58" t="str">
        <f>IF($A239="","",'TO HOP'!$G$172+1.75*(0-'TO HOP'!$M$57))</f>
        <v/>
      </c>
      <c r="G239" s="58" t="str">
        <f>IF($A239="","",'TO HOP'!$H$172+1.75*(0-'TO HOP'!$M$58))</f>
        <v/>
      </c>
      <c r="H239" s="58" t="str">
        <f>IF($A239="","",'TO HOP'!$I$172+1.75*(0-'TO HOP'!$M$59))</f>
        <v/>
      </c>
      <c r="I239" s="58" t="str">
        <f>IF($A239="","",'TO HOP'!$J$172+1.75*(INDEX('LANE ENGINE'!$D$6:$D$45,36)-'TO HOP'!$M$60))</f>
        <v/>
      </c>
      <c r="J239" s="58" t="str">
        <f>IF($A239="","",'TO HOP'!$K$172+1.75*(INDEX('LANE ENGINE'!$E$6:$E$45,36)-'TO HOP'!$M$61))</f>
        <v/>
      </c>
      <c r="K239" s="58" t="str">
        <f>IF($A239="","",'TO HOP'!$L$172+1.75*(0-'TO HOP'!$M$62))</f>
        <v/>
      </c>
      <c r="L239" s="42" t="s">
        <v>1579</v>
      </c>
      <c r="M239" s="42">
        <v>36</v>
      </c>
    </row>
    <row r="240" spans="1:13" x14ac:dyDescent="0.3">
      <c r="A240" s="42" t="str">
        <f>IF(37&lt;=nLan,"CĐ I(b) min - 2 nhịp "&amp;37&amp;" làn","")</f>
        <v/>
      </c>
      <c r="B240" s="58" t="str">
        <f>IF($A240="","",'TO HOP'!$C$172+1.75*(0-'TO HOP'!$M$53))</f>
        <v/>
      </c>
      <c r="C240" s="58" t="str">
        <f>IF($A240="","",'TO HOP'!$D$172+1.75*(0-'TO HOP'!$M$54))</f>
        <v/>
      </c>
      <c r="D240" s="58" t="str">
        <f>IF($A240="","",'TO HOP'!$E$172+1.75*(INDEX('LANE ENGINE'!$D$6:$D$45,37)-'TO HOP'!$M$55))</f>
        <v/>
      </c>
      <c r="E240" s="58" t="str">
        <f>IF($A240="","",'TO HOP'!$F$172+1.75*(INDEX('LANE ENGINE'!$E$6:$E$45,37)-'TO HOP'!$M$56))</f>
        <v/>
      </c>
      <c r="F240" s="58" t="str">
        <f>IF($A240="","",'TO HOP'!$G$172+1.75*(0-'TO HOP'!$M$57))</f>
        <v/>
      </c>
      <c r="G240" s="58" t="str">
        <f>IF($A240="","",'TO HOP'!$H$172+1.75*(0-'TO HOP'!$M$58))</f>
        <v/>
      </c>
      <c r="H240" s="58" t="str">
        <f>IF($A240="","",'TO HOP'!$I$172+1.75*(0-'TO HOP'!$M$59))</f>
        <v/>
      </c>
      <c r="I240" s="58" t="str">
        <f>IF($A240="","",'TO HOP'!$J$172+1.75*(INDEX('LANE ENGINE'!$D$6:$D$45,37)-'TO HOP'!$M$60))</f>
        <v/>
      </c>
      <c r="J240" s="58" t="str">
        <f>IF($A240="","",'TO HOP'!$K$172+1.75*(INDEX('LANE ENGINE'!$E$6:$E$45,37)-'TO HOP'!$M$61))</f>
        <v/>
      </c>
      <c r="K240" s="58" t="str">
        <f>IF($A240="","",'TO HOP'!$L$172+1.75*(0-'TO HOP'!$M$62))</f>
        <v/>
      </c>
      <c r="L240" s="42" t="s">
        <v>1579</v>
      </c>
      <c r="M240" s="42">
        <v>37</v>
      </c>
    </row>
    <row r="241" spans="1:13" x14ac:dyDescent="0.3">
      <c r="A241" s="42" t="str">
        <f>IF(38&lt;=nLan,"CĐ I(b) min - 2 nhịp "&amp;38&amp;" làn","")</f>
        <v/>
      </c>
      <c r="B241" s="58" t="str">
        <f>IF($A241="","",'TO HOP'!$C$172+1.75*(0-'TO HOP'!$M$53))</f>
        <v/>
      </c>
      <c r="C241" s="58" t="str">
        <f>IF($A241="","",'TO HOP'!$D$172+1.75*(0-'TO HOP'!$M$54))</f>
        <v/>
      </c>
      <c r="D241" s="58" t="str">
        <f>IF($A241="","",'TO HOP'!$E$172+1.75*(INDEX('LANE ENGINE'!$D$6:$D$45,38)-'TO HOP'!$M$55))</f>
        <v/>
      </c>
      <c r="E241" s="58" t="str">
        <f>IF($A241="","",'TO HOP'!$F$172+1.75*(INDEX('LANE ENGINE'!$E$6:$E$45,38)-'TO HOP'!$M$56))</f>
        <v/>
      </c>
      <c r="F241" s="58" t="str">
        <f>IF($A241="","",'TO HOP'!$G$172+1.75*(0-'TO HOP'!$M$57))</f>
        <v/>
      </c>
      <c r="G241" s="58" t="str">
        <f>IF($A241="","",'TO HOP'!$H$172+1.75*(0-'TO HOP'!$M$58))</f>
        <v/>
      </c>
      <c r="H241" s="58" t="str">
        <f>IF($A241="","",'TO HOP'!$I$172+1.75*(0-'TO HOP'!$M$59))</f>
        <v/>
      </c>
      <c r="I241" s="58" t="str">
        <f>IF($A241="","",'TO HOP'!$J$172+1.75*(INDEX('LANE ENGINE'!$D$6:$D$45,38)-'TO HOP'!$M$60))</f>
        <v/>
      </c>
      <c r="J241" s="58" t="str">
        <f>IF($A241="","",'TO HOP'!$K$172+1.75*(INDEX('LANE ENGINE'!$E$6:$E$45,38)-'TO HOP'!$M$61))</f>
        <v/>
      </c>
      <c r="K241" s="58" t="str">
        <f>IF($A241="","",'TO HOP'!$L$172+1.75*(0-'TO HOP'!$M$62))</f>
        <v/>
      </c>
      <c r="L241" s="42" t="s">
        <v>1579</v>
      </c>
      <c r="M241" s="42">
        <v>38</v>
      </c>
    </row>
    <row r="242" spans="1:13" x14ac:dyDescent="0.3">
      <c r="A242" s="42" t="str">
        <f>IF(39&lt;=nLan,"CĐ I(b) min - 2 nhịp "&amp;39&amp;" làn","")</f>
        <v/>
      </c>
      <c r="B242" s="58" t="str">
        <f>IF($A242="","",'TO HOP'!$C$172+1.75*(0-'TO HOP'!$M$53))</f>
        <v/>
      </c>
      <c r="C242" s="58" t="str">
        <f>IF($A242="","",'TO HOP'!$D$172+1.75*(0-'TO HOP'!$M$54))</f>
        <v/>
      </c>
      <c r="D242" s="58" t="str">
        <f>IF($A242="","",'TO HOP'!$E$172+1.75*(INDEX('LANE ENGINE'!$D$6:$D$45,39)-'TO HOP'!$M$55))</f>
        <v/>
      </c>
      <c r="E242" s="58" t="str">
        <f>IF($A242="","",'TO HOP'!$F$172+1.75*(INDEX('LANE ENGINE'!$E$6:$E$45,39)-'TO HOP'!$M$56))</f>
        <v/>
      </c>
      <c r="F242" s="58" t="str">
        <f>IF($A242="","",'TO HOP'!$G$172+1.75*(0-'TO HOP'!$M$57))</f>
        <v/>
      </c>
      <c r="G242" s="58" t="str">
        <f>IF($A242="","",'TO HOP'!$H$172+1.75*(0-'TO HOP'!$M$58))</f>
        <v/>
      </c>
      <c r="H242" s="58" t="str">
        <f>IF($A242="","",'TO HOP'!$I$172+1.75*(0-'TO HOP'!$M$59))</f>
        <v/>
      </c>
      <c r="I242" s="58" t="str">
        <f>IF($A242="","",'TO HOP'!$J$172+1.75*(INDEX('LANE ENGINE'!$D$6:$D$45,39)-'TO HOP'!$M$60))</f>
        <v/>
      </c>
      <c r="J242" s="58" t="str">
        <f>IF($A242="","",'TO HOP'!$K$172+1.75*(INDEX('LANE ENGINE'!$E$6:$E$45,39)-'TO HOP'!$M$61))</f>
        <v/>
      </c>
      <c r="K242" s="58" t="str">
        <f>IF($A242="","",'TO HOP'!$L$172+1.75*(0-'TO HOP'!$M$62))</f>
        <v/>
      </c>
      <c r="L242" s="42" t="s">
        <v>1579</v>
      </c>
      <c r="M242" s="42">
        <v>39</v>
      </c>
    </row>
    <row r="243" spans="1:13" x14ac:dyDescent="0.3">
      <c r="A243" s="42" t="str">
        <f>IF(40&lt;=nLan,"CĐ I(b) min - 2 nhịp "&amp;40&amp;" làn","")</f>
        <v/>
      </c>
      <c r="B243" s="58" t="str">
        <f>IF($A243="","",'TO HOP'!$C$172+1.75*(0-'TO HOP'!$M$53))</f>
        <v/>
      </c>
      <c r="C243" s="58" t="str">
        <f>IF($A243="","",'TO HOP'!$D$172+1.75*(0-'TO HOP'!$M$54))</f>
        <v/>
      </c>
      <c r="D243" s="58" t="str">
        <f>IF($A243="","",'TO HOP'!$E$172+1.75*(INDEX('LANE ENGINE'!$D$6:$D$45,40)-'TO HOP'!$M$55))</f>
        <v/>
      </c>
      <c r="E243" s="58" t="str">
        <f>IF($A243="","",'TO HOP'!$F$172+1.75*(INDEX('LANE ENGINE'!$E$6:$E$45,40)-'TO HOP'!$M$56))</f>
        <v/>
      </c>
      <c r="F243" s="58" t="str">
        <f>IF($A243="","",'TO HOP'!$G$172+1.75*(0-'TO HOP'!$M$57))</f>
        <v/>
      </c>
      <c r="G243" s="58" t="str">
        <f>IF($A243="","",'TO HOP'!$H$172+1.75*(0-'TO HOP'!$M$58))</f>
        <v/>
      </c>
      <c r="H243" s="58" t="str">
        <f>IF($A243="","",'TO HOP'!$I$172+1.75*(0-'TO HOP'!$M$59))</f>
        <v/>
      </c>
      <c r="I243" s="58" t="str">
        <f>IF($A243="","",'TO HOP'!$J$172+1.75*(INDEX('LANE ENGINE'!$D$6:$D$45,40)-'TO HOP'!$M$60))</f>
        <v/>
      </c>
      <c r="J243" s="58" t="str">
        <f>IF($A243="","",'TO HOP'!$K$172+1.75*(INDEX('LANE ENGINE'!$E$6:$E$45,40)-'TO HOP'!$M$61))</f>
        <v/>
      </c>
      <c r="K243" s="58" t="str">
        <f>IF($A243="","",'TO HOP'!$L$172+1.75*(0-'TO HOP'!$M$62))</f>
        <v/>
      </c>
      <c r="L243" s="42" t="s">
        <v>1579</v>
      </c>
      <c r="M243" s="42">
        <v>40</v>
      </c>
    </row>
    <row r="244" spans="1:13" x14ac:dyDescent="0.3">
      <c r="A244" s="42" t="str">
        <f>IF(7&lt;=nLan,"CĐ I(b) min - 1 nhịp "&amp;7&amp;" làn","")</f>
        <v/>
      </c>
      <c r="B244" s="58" t="str">
        <f>IF($A244="","",'TO HOP'!$C$178+1.75*(0-'TO HOP'!$Y$53))</f>
        <v/>
      </c>
      <c r="C244" s="58" t="str">
        <f>IF($A244="","",'TO HOP'!$D$178+1.75*(0-'TO HOP'!$Y$54))</f>
        <v/>
      </c>
      <c r="D244" s="58" t="str">
        <f>IF($A244="","",'TO HOP'!$E$178+1.75*(INDEX('LANE ENGINE'!$F$6:$F$45,7)-'TO HOP'!$Y$55))</f>
        <v/>
      </c>
      <c r="E244" s="58" t="str">
        <f>IF($A244="","",'TO HOP'!$F$178+1.75*(INDEX('LANE ENGINE'!$G$6:$G$45,7)-'TO HOP'!$Y$56))</f>
        <v/>
      </c>
      <c r="F244" s="58" t="str">
        <f>IF($A244="","",'TO HOP'!$G$178+1.75*(INDEX('LANE ENGINE'!$H$6:$H$45,7)-'TO HOP'!$Y$57))</f>
        <v/>
      </c>
      <c r="G244" s="58" t="str">
        <f>IF($A244="","",'TO HOP'!$H$178+1.75*(0-'TO HOP'!$Y$58))</f>
        <v/>
      </c>
      <c r="H244" s="58" t="str">
        <f>IF($A244="","",'TO HOP'!$I$178+1.75*(0-'TO HOP'!$Y$59))</f>
        <v/>
      </c>
      <c r="I244" s="58" t="str">
        <f>IF($A244="","",'TO HOP'!$J$178+1.75*(INDEX('LANE ENGINE'!$F$6:$F$45,7)-'TO HOP'!$Y$60))</f>
        <v/>
      </c>
      <c r="J244" s="58" t="str">
        <f>IF($A244="","",'TO HOP'!$K$178+1.75*(INDEX('LANE ENGINE'!$G$6:$G$45,7)-'TO HOP'!$Y$61))</f>
        <v/>
      </c>
      <c r="K244" s="58" t="str">
        <f>IF($A244="","",'TO HOP'!$L$178+1.75*(INDEX('LANE ENGINE'!$H$6:$H$45,7)-'TO HOP'!$Y$62))</f>
        <v/>
      </c>
      <c r="L244" s="42" t="s">
        <v>1579</v>
      </c>
      <c r="M244" s="42">
        <v>7</v>
      </c>
    </row>
    <row r="245" spans="1:13" x14ac:dyDescent="0.3">
      <c r="A245" s="42" t="str">
        <f>IF(8&lt;=nLan,"CĐ I(b) min - 1 nhịp "&amp;8&amp;" làn","")</f>
        <v/>
      </c>
      <c r="B245" s="58" t="str">
        <f>IF($A245="","",'TO HOP'!$C$178+1.75*(0-'TO HOP'!$Y$53))</f>
        <v/>
      </c>
      <c r="C245" s="58" t="str">
        <f>IF($A245="","",'TO HOP'!$D$178+1.75*(0-'TO HOP'!$Y$54))</f>
        <v/>
      </c>
      <c r="D245" s="58" t="str">
        <f>IF($A245="","",'TO HOP'!$E$178+1.75*(INDEX('LANE ENGINE'!$F$6:$F$45,8)-'TO HOP'!$Y$55))</f>
        <v/>
      </c>
      <c r="E245" s="58" t="str">
        <f>IF($A245="","",'TO HOP'!$F$178+1.75*(INDEX('LANE ENGINE'!$G$6:$G$45,8)-'TO HOP'!$Y$56))</f>
        <v/>
      </c>
      <c r="F245" s="58" t="str">
        <f>IF($A245="","",'TO HOP'!$G$178+1.75*(INDEX('LANE ENGINE'!$H$6:$H$45,8)-'TO HOP'!$Y$57))</f>
        <v/>
      </c>
      <c r="G245" s="58" t="str">
        <f>IF($A245="","",'TO HOP'!$H$178+1.75*(0-'TO HOP'!$Y$58))</f>
        <v/>
      </c>
      <c r="H245" s="58" t="str">
        <f>IF($A245="","",'TO HOP'!$I$178+1.75*(0-'TO HOP'!$Y$59))</f>
        <v/>
      </c>
      <c r="I245" s="58" t="str">
        <f>IF($A245="","",'TO HOP'!$J$178+1.75*(INDEX('LANE ENGINE'!$F$6:$F$45,8)-'TO HOP'!$Y$60))</f>
        <v/>
      </c>
      <c r="J245" s="58" t="str">
        <f>IF($A245="","",'TO HOP'!$K$178+1.75*(INDEX('LANE ENGINE'!$G$6:$G$45,8)-'TO HOP'!$Y$61))</f>
        <v/>
      </c>
      <c r="K245" s="58" t="str">
        <f>IF($A245="","",'TO HOP'!$L$178+1.75*(INDEX('LANE ENGINE'!$H$6:$H$45,8)-'TO HOP'!$Y$62))</f>
        <v/>
      </c>
      <c r="L245" s="42" t="s">
        <v>1579</v>
      </c>
      <c r="M245" s="42">
        <v>8</v>
      </c>
    </row>
    <row r="246" spans="1:13" x14ac:dyDescent="0.3">
      <c r="A246" s="42" t="str">
        <f>IF(9&lt;=nLan,"CĐ I(b) min - 1 nhịp "&amp;9&amp;" làn","")</f>
        <v/>
      </c>
      <c r="B246" s="58" t="str">
        <f>IF($A246="","",'TO HOP'!$C$178+1.75*(0-'TO HOP'!$Y$53))</f>
        <v/>
      </c>
      <c r="C246" s="58" t="str">
        <f>IF($A246="","",'TO HOP'!$D$178+1.75*(0-'TO HOP'!$Y$54))</f>
        <v/>
      </c>
      <c r="D246" s="58" t="str">
        <f>IF($A246="","",'TO HOP'!$E$178+1.75*(INDEX('LANE ENGINE'!$F$6:$F$45,9)-'TO HOP'!$Y$55))</f>
        <v/>
      </c>
      <c r="E246" s="58" t="str">
        <f>IF($A246="","",'TO HOP'!$F$178+1.75*(INDEX('LANE ENGINE'!$G$6:$G$45,9)-'TO HOP'!$Y$56))</f>
        <v/>
      </c>
      <c r="F246" s="58" t="str">
        <f>IF($A246="","",'TO HOP'!$G$178+1.75*(INDEX('LANE ENGINE'!$H$6:$H$45,9)-'TO HOP'!$Y$57))</f>
        <v/>
      </c>
      <c r="G246" s="58" t="str">
        <f>IF($A246="","",'TO HOP'!$H$178+1.75*(0-'TO HOP'!$Y$58))</f>
        <v/>
      </c>
      <c r="H246" s="58" t="str">
        <f>IF($A246="","",'TO HOP'!$I$178+1.75*(0-'TO HOP'!$Y$59))</f>
        <v/>
      </c>
      <c r="I246" s="58" t="str">
        <f>IF($A246="","",'TO HOP'!$J$178+1.75*(INDEX('LANE ENGINE'!$F$6:$F$45,9)-'TO HOP'!$Y$60))</f>
        <v/>
      </c>
      <c r="J246" s="58" t="str">
        <f>IF($A246="","",'TO HOP'!$K$178+1.75*(INDEX('LANE ENGINE'!$G$6:$G$45,9)-'TO HOP'!$Y$61))</f>
        <v/>
      </c>
      <c r="K246" s="58" t="str">
        <f>IF($A246="","",'TO HOP'!$L$178+1.75*(INDEX('LANE ENGINE'!$H$6:$H$45,9)-'TO HOP'!$Y$62))</f>
        <v/>
      </c>
      <c r="L246" s="42" t="s">
        <v>1579</v>
      </c>
      <c r="M246" s="42">
        <v>9</v>
      </c>
    </row>
    <row r="247" spans="1:13" x14ac:dyDescent="0.3">
      <c r="A247" s="42" t="str">
        <f>IF(10&lt;=nLan,"CĐ I(b) min - 1 nhịp "&amp;10&amp;" làn","")</f>
        <v/>
      </c>
      <c r="B247" s="58" t="str">
        <f>IF($A247="","",'TO HOP'!$C$178+1.75*(0-'TO HOP'!$Y$53))</f>
        <v/>
      </c>
      <c r="C247" s="58" t="str">
        <f>IF($A247="","",'TO HOP'!$D$178+1.75*(0-'TO HOP'!$Y$54))</f>
        <v/>
      </c>
      <c r="D247" s="58" t="str">
        <f>IF($A247="","",'TO HOP'!$E$178+1.75*(INDEX('LANE ENGINE'!$F$6:$F$45,10)-'TO HOP'!$Y$55))</f>
        <v/>
      </c>
      <c r="E247" s="58" t="str">
        <f>IF($A247="","",'TO HOP'!$F$178+1.75*(INDEX('LANE ENGINE'!$G$6:$G$45,10)-'TO HOP'!$Y$56))</f>
        <v/>
      </c>
      <c r="F247" s="58" t="str">
        <f>IF($A247="","",'TO HOP'!$G$178+1.75*(INDEX('LANE ENGINE'!$H$6:$H$45,10)-'TO HOP'!$Y$57))</f>
        <v/>
      </c>
      <c r="G247" s="58" t="str">
        <f>IF($A247="","",'TO HOP'!$H$178+1.75*(0-'TO HOP'!$Y$58))</f>
        <v/>
      </c>
      <c r="H247" s="58" t="str">
        <f>IF($A247="","",'TO HOP'!$I$178+1.75*(0-'TO HOP'!$Y$59))</f>
        <v/>
      </c>
      <c r="I247" s="58" t="str">
        <f>IF($A247="","",'TO HOP'!$J$178+1.75*(INDEX('LANE ENGINE'!$F$6:$F$45,10)-'TO HOP'!$Y$60))</f>
        <v/>
      </c>
      <c r="J247" s="58" t="str">
        <f>IF($A247="","",'TO HOP'!$K$178+1.75*(INDEX('LANE ENGINE'!$G$6:$G$45,10)-'TO HOP'!$Y$61))</f>
        <v/>
      </c>
      <c r="K247" s="58" t="str">
        <f>IF($A247="","",'TO HOP'!$L$178+1.75*(INDEX('LANE ENGINE'!$H$6:$H$45,10)-'TO HOP'!$Y$62))</f>
        <v/>
      </c>
      <c r="L247" s="42" t="s">
        <v>1579</v>
      </c>
      <c r="M247" s="42">
        <v>10</v>
      </c>
    </row>
    <row r="248" spans="1:13" x14ac:dyDescent="0.3">
      <c r="A248" s="42" t="str">
        <f>IF(11&lt;=nLan,"CĐ I(b) min - 1 nhịp "&amp;11&amp;" làn","")</f>
        <v/>
      </c>
      <c r="B248" s="58" t="str">
        <f>IF($A248="","",'TO HOP'!$C$178+1.75*(0-'TO HOP'!$Y$53))</f>
        <v/>
      </c>
      <c r="C248" s="58" t="str">
        <f>IF($A248="","",'TO HOP'!$D$178+1.75*(0-'TO HOP'!$Y$54))</f>
        <v/>
      </c>
      <c r="D248" s="58" t="str">
        <f>IF($A248="","",'TO HOP'!$E$178+1.75*(INDEX('LANE ENGINE'!$F$6:$F$45,11)-'TO HOP'!$Y$55))</f>
        <v/>
      </c>
      <c r="E248" s="58" t="str">
        <f>IF($A248="","",'TO HOP'!$F$178+1.75*(INDEX('LANE ENGINE'!$G$6:$G$45,11)-'TO HOP'!$Y$56))</f>
        <v/>
      </c>
      <c r="F248" s="58" t="str">
        <f>IF($A248="","",'TO HOP'!$G$178+1.75*(INDEX('LANE ENGINE'!$H$6:$H$45,11)-'TO HOP'!$Y$57))</f>
        <v/>
      </c>
      <c r="G248" s="58" t="str">
        <f>IF($A248="","",'TO HOP'!$H$178+1.75*(0-'TO HOP'!$Y$58))</f>
        <v/>
      </c>
      <c r="H248" s="58" t="str">
        <f>IF($A248="","",'TO HOP'!$I$178+1.75*(0-'TO HOP'!$Y$59))</f>
        <v/>
      </c>
      <c r="I248" s="58" t="str">
        <f>IF($A248="","",'TO HOP'!$J$178+1.75*(INDEX('LANE ENGINE'!$F$6:$F$45,11)-'TO HOP'!$Y$60))</f>
        <v/>
      </c>
      <c r="J248" s="58" t="str">
        <f>IF($A248="","",'TO HOP'!$K$178+1.75*(INDEX('LANE ENGINE'!$G$6:$G$45,11)-'TO HOP'!$Y$61))</f>
        <v/>
      </c>
      <c r="K248" s="58" t="str">
        <f>IF($A248="","",'TO HOP'!$L$178+1.75*(INDEX('LANE ENGINE'!$H$6:$H$45,11)-'TO HOP'!$Y$62))</f>
        <v/>
      </c>
      <c r="L248" s="42" t="s">
        <v>1579</v>
      </c>
      <c r="M248" s="42">
        <v>11</v>
      </c>
    </row>
    <row r="249" spans="1:13" x14ac:dyDescent="0.3">
      <c r="A249" s="42" t="str">
        <f>IF(12&lt;=nLan,"CĐ I(b) min - 1 nhịp "&amp;12&amp;" làn","")</f>
        <v/>
      </c>
      <c r="B249" s="58" t="str">
        <f>IF($A249="","",'TO HOP'!$C$178+1.75*(0-'TO HOP'!$Y$53))</f>
        <v/>
      </c>
      <c r="C249" s="58" t="str">
        <f>IF($A249="","",'TO HOP'!$D$178+1.75*(0-'TO HOP'!$Y$54))</f>
        <v/>
      </c>
      <c r="D249" s="58" t="str">
        <f>IF($A249="","",'TO HOP'!$E$178+1.75*(INDEX('LANE ENGINE'!$F$6:$F$45,12)-'TO HOP'!$Y$55))</f>
        <v/>
      </c>
      <c r="E249" s="58" t="str">
        <f>IF($A249="","",'TO HOP'!$F$178+1.75*(INDEX('LANE ENGINE'!$G$6:$G$45,12)-'TO HOP'!$Y$56))</f>
        <v/>
      </c>
      <c r="F249" s="58" t="str">
        <f>IF($A249="","",'TO HOP'!$G$178+1.75*(INDEX('LANE ENGINE'!$H$6:$H$45,12)-'TO HOP'!$Y$57))</f>
        <v/>
      </c>
      <c r="G249" s="58" t="str">
        <f>IF($A249="","",'TO HOP'!$H$178+1.75*(0-'TO HOP'!$Y$58))</f>
        <v/>
      </c>
      <c r="H249" s="58" t="str">
        <f>IF($A249="","",'TO HOP'!$I$178+1.75*(0-'TO HOP'!$Y$59))</f>
        <v/>
      </c>
      <c r="I249" s="58" t="str">
        <f>IF($A249="","",'TO HOP'!$J$178+1.75*(INDEX('LANE ENGINE'!$F$6:$F$45,12)-'TO HOP'!$Y$60))</f>
        <v/>
      </c>
      <c r="J249" s="58" t="str">
        <f>IF($A249="","",'TO HOP'!$K$178+1.75*(INDEX('LANE ENGINE'!$G$6:$G$45,12)-'TO HOP'!$Y$61))</f>
        <v/>
      </c>
      <c r="K249" s="58" t="str">
        <f>IF($A249="","",'TO HOP'!$L$178+1.75*(INDEX('LANE ENGINE'!$H$6:$H$45,12)-'TO HOP'!$Y$62))</f>
        <v/>
      </c>
      <c r="L249" s="42" t="s">
        <v>1579</v>
      </c>
      <c r="M249" s="42">
        <v>12</v>
      </c>
    </row>
    <row r="250" spans="1:13" x14ac:dyDescent="0.3">
      <c r="A250" s="42" t="str">
        <f>IF(13&lt;=nLan,"CĐ I(b) min - 1 nhịp "&amp;13&amp;" làn","")</f>
        <v/>
      </c>
      <c r="B250" s="58" t="str">
        <f>IF($A250="","",'TO HOP'!$C$178+1.75*(0-'TO HOP'!$Y$53))</f>
        <v/>
      </c>
      <c r="C250" s="58" t="str">
        <f>IF($A250="","",'TO HOP'!$D$178+1.75*(0-'TO HOP'!$Y$54))</f>
        <v/>
      </c>
      <c r="D250" s="58" t="str">
        <f>IF($A250="","",'TO HOP'!$E$178+1.75*(INDEX('LANE ENGINE'!$F$6:$F$45,13)-'TO HOP'!$Y$55))</f>
        <v/>
      </c>
      <c r="E250" s="58" t="str">
        <f>IF($A250="","",'TO HOP'!$F$178+1.75*(INDEX('LANE ENGINE'!$G$6:$G$45,13)-'TO HOP'!$Y$56))</f>
        <v/>
      </c>
      <c r="F250" s="58" t="str">
        <f>IF($A250="","",'TO HOP'!$G$178+1.75*(INDEX('LANE ENGINE'!$H$6:$H$45,13)-'TO HOP'!$Y$57))</f>
        <v/>
      </c>
      <c r="G250" s="58" t="str">
        <f>IF($A250="","",'TO HOP'!$H$178+1.75*(0-'TO HOP'!$Y$58))</f>
        <v/>
      </c>
      <c r="H250" s="58" t="str">
        <f>IF($A250="","",'TO HOP'!$I$178+1.75*(0-'TO HOP'!$Y$59))</f>
        <v/>
      </c>
      <c r="I250" s="58" t="str">
        <f>IF($A250="","",'TO HOP'!$J$178+1.75*(INDEX('LANE ENGINE'!$F$6:$F$45,13)-'TO HOP'!$Y$60))</f>
        <v/>
      </c>
      <c r="J250" s="58" t="str">
        <f>IF($A250="","",'TO HOP'!$K$178+1.75*(INDEX('LANE ENGINE'!$G$6:$G$45,13)-'TO HOP'!$Y$61))</f>
        <v/>
      </c>
      <c r="K250" s="58" t="str">
        <f>IF($A250="","",'TO HOP'!$L$178+1.75*(INDEX('LANE ENGINE'!$H$6:$H$45,13)-'TO HOP'!$Y$62))</f>
        <v/>
      </c>
      <c r="L250" s="42" t="s">
        <v>1579</v>
      </c>
      <c r="M250" s="42">
        <v>13</v>
      </c>
    </row>
    <row r="251" spans="1:13" x14ac:dyDescent="0.3">
      <c r="A251" s="42" t="str">
        <f>IF(14&lt;=nLan,"CĐ I(b) min - 1 nhịp "&amp;14&amp;" làn","")</f>
        <v/>
      </c>
      <c r="B251" s="58" t="str">
        <f>IF($A251="","",'TO HOP'!$C$178+1.75*(0-'TO HOP'!$Y$53))</f>
        <v/>
      </c>
      <c r="C251" s="58" t="str">
        <f>IF($A251="","",'TO HOP'!$D$178+1.75*(0-'TO HOP'!$Y$54))</f>
        <v/>
      </c>
      <c r="D251" s="58" t="str">
        <f>IF($A251="","",'TO HOP'!$E$178+1.75*(INDEX('LANE ENGINE'!$F$6:$F$45,14)-'TO HOP'!$Y$55))</f>
        <v/>
      </c>
      <c r="E251" s="58" t="str">
        <f>IF($A251="","",'TO HOP'!$F$178+1.75*(INDEX('LANE ENGINE'!$G$6:$G$45,14)-'TO HOP'!$Y$56))</f>
        <v/>
      </c>
      <c r="F251" s="58" t="str">
        <f>IF($A251="","",'TO HOP'!$G$178+1.75*(INDEX('LANE ENGINE'!$H$6:$H$45,14)-'TO HOP'!$Y$57))</f>
        <v/>
      </c>
      <c r="G251" s="58" t="str">
        <f>IF($A251="","",'TO HOP'!$H$178+1.75*(0-'TO HOP'!$Y$58))</f>
        <v/>
      </c>
      <c r="H251" s="58" t="str">
        <f>IF($A251="","",'TO HOP'!$I$178+1.75*(0-'TO HOP'!$Y$59))</f>
        <v/>
      </c>
      <c r="I251" s="58" t="str">
        <f>IF($A251="","",'TO HOP'!$J$178+1.75*(INDEX('LANE ENGINE'!$F$6:$F$45,14)-'TO HOP'!$Y$60))</f>
        <v/>
      </c>
      <c r="J251" s="58" t="str">
        <f>IF($A251="","",'TO HOP'!$K$178+1.75*(INDEX('LANE ENGINE'!$G$6:$G$45,14)-'TO HOP'!$Y$61))</f>
        <v/>
      </c>
      <c r="K251" s="58" t="str">
        <f>IF($A251="","",'TO HOP'!$L$178+1.75*(INDEX('LANE ENGINE'!$H$6:$H$45,14)-'TO HOP'!$Y$62))</f>
        <v/>
      </c>
      <c r="L251" s="42" t="s">
        <v>1579</v>
      </c>
      <c r="M251" s="42">
        <v>14</v>
      </c>
    </row>
    <row r="252" spans="1:13" x14ac:dyDescent="0.3">
      <c r="A252" s="42" t="str">
        <f>IF(15&lt;=nLan,"CĐ I(b) min - 1 nhịp "&amp;15&amp;" làn","")</f>
        <v/>
      </c>
      <c r="B252" s="58" t="str">
        <f>IF($A252="","",'TO HOP'!$C$178+1.75*(0-'TO HOP'!$Y$53))</f>
        <v/>
      </c>
      <c r="C252" s="58" t="str">
        <f>IF($A252="","",'TO HOP'!$D$178+1.75*(0-'TO HOP'!$Y$54))</f>
        <v/>
      </c>
      <c r="D252" s="58" t="str">
        <f>IF($A252="","",'TO HOP'!$E$178+1.75*(INDEX('LANE ENGINE'!$F$6:$F$45,15)-'TO HOP'!$Y$55))</f>
        <v/>
      </c>
      <c r="E252" s="58" t="str">
        <f>IF($A252="","",'TO HOP'!$F$178+1.75*(INDEX('LANE ENGINE'!$G$6:$G$45,15)-'TO HOP'!$Y$56))</f>
        <v/>
      </c>
      <c r="F252" s="58" t="str">
        <f>IF($A252="","",'TO HOP'!$G$178+1.75*(INDEX('LANE ENGINE'!$H$6:$H$45,15)-'TO HOP'!$Y$57))</f>
        <v/>
      </c>
      <c r="G252" s="58" t="str">
        <f>IF($A252="","",'TO HOP'!$H$178+1.75*(0-'TO HOP'!$Y$58))</f>
        <v/>
      </c>
      <c r="H252" s="58" t="str">
        <f>IF($A252="","",'TO HOP'!$I$178+1.75*(0-'TO HOP'!$Y$59))</f>
        <v/>
      </c>
      <c r="I252" s="58" t="str">
        <f>IF($A252="","",'TO HOP'!$J$178+1.75*(INDEX('LANE ENGINE'!$F$6:$F$45,15)-'TO HOP'!$Y$60))</f>
        <v/>
      </c>
      <c r="J252" s="58" t="str">
        <f>IF($A252="","",'TO HOP'!$K$178+1.75*(INDEX('LANE ENGINE'!$G$6:$G$45,15)-'TO HOP'!$Y$61))</f>
        <v/>
      </c>
      <c r="K252" s="58" t="str">
        <f>IF($A252="","",'TO HOP'!$L$178+1.75*(INDEX('LANE ENGINE'!$H$6:$H$45,15)-'TO HOP'!$Y$62))</f>
        <v/>
      </c>
      <c r="L252" s="42" t="s">
        <v>1579</v>
      </c>
      <c r="M252" s="42">
        <v>15</v>
      </c>
    </row>
    <row r="253" spans="1:13" x14ac:dyDescent="0.3">
      <c r="A253" s="42" t="str">
        <f>IF(16&lt;=nLan,"CĐ I(b) min - 1 nhịp "&amp;16&amp;" làn","")</f>
        <v/>
      </c>
      <c r="B253" s="58" t="str">
        <f>IF($A253="","",'TO HOP'!$C$178+1.75*(0-'TO HOP'!$Y$53))</f>
        <v/>
      </c>
      <c r="C253" s="58" t="str">
        <f>IF($A253="","",'TO HOP'!$D$178+1.75*(0-'TO HOP'!$Y$54))</f>
        <v/>
      </c>
      <c r="D253" s="58" t="str">
        <f>IF($A253="","",'TO HOP'!$E$178+1.75*(INDEX('LANE ENGINE'!$F$6:$F$45,16)-'TO HOP'!$Y$55))</f>
        <v/>
      </c>
      <c r="E253" s="58" t="str">
        <f>IF($A253="","",'TO HOP'!$F$178+1.75*(INDEX('LANE ENGINE'!$G$6:$G$45,16)-'TO HOP'!$Y$56))</f>
        <v/>
      </c>
      <c r="F253" s="58" t="str">
        <f>IF($A253="","",'TO HOP'!$G$178+1.75*(INDEX('LANE ENGINE'!$H$6:$H$45,16)-'TO HOP'!$Y$57))</f>
        <v/>
      </c>
      <c r="G253" s="58" t="str">
        <f>IF($A253="","",'TO HOP'!$H$178+1.75*(0-'TO HOP'!$Y$58))</f>
        <v/>
      </c>
      <c r="H253" s="58" t="str">
        <f>IF($A253="","",'TO HOP'!$I$178+1.75*(0-'TO HOP'!$Y$59))</f>
        <v/>
      </c>
      <c r="I253" s="58" t="str">
        <f>IF($A253="","",'TO HOP'!$J$178+1.75*(INDEX('LANE ENGINE'!$F$6:$F$45,16)-'TO HOP'!$Y$60))</f>
        <v/>
      </c>
      <c r="J253" s="58" t="str">
        <f>IF($A253="","",'TO HOP'!$K$178+1.75*(INDEX('LANE ENGINE'!$G$6:$G$45,16)-'TO HOP'!$Y$61))</f>
        <v/>
      </c>
      <c r="K253" s="58" t="str">
        <f>IF($A253="","",'TO HOP'!$L$178+1.75*(INDEX('LANE ENGINE'!$H$6:$H$45,16)-'TO HOP'!$Y$62))</f>
        <v/>
      </c>
      <c r="L253" s="42" t="s">
        <v>1579</v>
      </c>
      <c r="M253" s="42">
        <v>16</v>
      </c>
    </row>
    <row r="254" spans="1:13" x14ac:dyDescent="0.3">
      <c r="A254" s="42" t="str">
        <f>IF(17&lt;=nLan,"CĐ I(b) min - 1 nhịp "&amp;17&amp;" làn","")</f>
        <v/>
      </c>
      <c r="B254" s="58" t="str">
        <f>IF($A254="","",'TO HOP'!$C$178+1.75*(0-'TO HOP'!$Y$53))</f>
        <v/>
      </c>
      <c r="C254" s="58" t="str">
        <f>IF($A254="","",'TO HOP'!$D$178+1.75*(0-'TO HOP'!$Y$54))</f>
        <v/>
      </c>
      <c r="D254" s="58" t="str">
        <f>IF($A254="","",'TO HOP'!$E$178+1.75*(INDEX('LANE ENGINE'!$F$6:$F$45,17)-'TO HOP'!$Y$55))</f>
        <v/>
      </c>
      <c r="E254" s="58" t="str">
        <f>IF($A254="","",'TO HOP'!$F$178+1.75*(INDEX('LANE ENGINE'!$G$6:$G$45,17)-'TO HOP'!$Y$56))</f>
        <v/>
      </c>
      <c r="F254" s="58" t="str">
        <f>IF($A254="","",'TO HOP'!$G$178+1.75*(INDEX('LANE ENGINE'!$H$6:$H$45,17)-'TO HOP'!$Y$57))</f>
        <v/>
      </c>
      <c r="G254" s="58" t="str">
        <f>IF($A254="","",'TO HOP'!$H$178+1.75*(0-'TO HOP'!$Y$58))</f>
        <v/>
      </c>
      <c r="H254" s="58" t="str">
        <f>IF($A254="","",'TO HOP'!$I$178+1.75*(0-'TO HOP'!$Y$59))</f>
        <v/>
      </c>
      <c r="I254" s="58" t="str">
        <f>IF($A254="","",'TO HOP'!$J$178+1.75*(INDEX('LANE ENGINE'!$F$6:$F$45,17)-'TO HOP'!$Y$60))</f>
        <v/>
      </c>
      <c r="J254" s="58" t="str">
        <f>IF($A254="","",'TO HOP'!$K$178+1.75*(INDEX('LANE ENGINE'!$G$6:$G$45,17)-'TO HOP'!$Y$61))</f>
        <v/>
      </c>
      <c r="K254" s="58" t="str">
        <f>IF($A254="","",'TO HOP'!$L$178+1.75*(INDEX('LANE ENGINE'!$H$6:$H$45,17)-'TO HOP'!$Y$62))</f>
        <v/>
      </c>
      <c r="L254" s="42" t="s">
        <v>1579</v>
      </c>
      <c r="M254" s="42">
        <v>17</v>
      </c>
    </row>
    <row r="255" spans="1:13" x14ac:dyDescent="0.3">
      <c r="A255" s="42" t="str">
        <f>IF(18&lt;=nLan,"CĐ I(b) min - 1 nhịp "&amp;18&amp;" làn","")</f>
        <v/>
      </c>
      <c r="B255" s="58" t="str">
        <f>IF($A255="","",'TO HOP'!$C$178+1.75*(0-'TO HOP'!$Y$53))</f>
        <v/>
      </c>
      <c r="C255" s="58" t="str">
        <f>IF($A255="","",'TO HOP'!$D$178+1.75*(0-'TO HOP'!$Y$54))</f>
        <v/>
      </c>
      <c r="D255" s="58" t="str">
        <f>IF($A255="","",'TO HOP'!$E$178+1.75*(INDEX('LANE ENGINE'!$F$6:$F$45,18)-'TO HOP'!$Y$55))</f>
        <v/>
      </c>
      <c r="E255" s="58" t="str">
        <f>IF($A255="","",'TO HOP'!$F$178+1.75*(INDEX('LANE ENGINE'!$G$6:$G$45,18)-'TO HOP'!$Y$56))</f>
        <v/>
      </c>
      <c r="F255" s="58" t="str">
        <f>IF($A255="","",'TO HOP'!$G$178+1.75*(INDEX('LANE ENGINE'!$H$6:$H$45,18)-'TO HOP'!$Y$57))</f>
        <v/>
      </c>
      <c r="G255" s="58" t="str">
        <f>IF($A255="","",'TO HOP'!$H$178+1.75*(0-'TO HOP'!$Y$58))</f>
        <v/>
      </c>
      <c r="H255" s="58" t="str">
        <f>IF($A255="","",'TO HOP'!$I$178+1.75*(0-'TO HOP'!$Y$59))</f>
        <v/>
      </c>
      <c r="I255" s="58" t="str">
        <f>IF($A255="","",'TO HOP'!$J$178+1.75*(INDEX('LANE ENGINE'!$F$6:$F$45,18)-'TO HOP'!$Y$60))</f>
        <v/>
      </c>
      <c r="J255" s="58" t="str">
        <f>IF($A255="","",'TO HOP'!$K$178+1.75*(INDEX('LANE ENGINE'!$G$6:$G$45,18)-'TO HOP'!$Y$61))</f>
        <v/>
      </c>
      <c r="K255" s="58" t="str">
        <f>IF($A255="","",'TO HOP'!$L$178+1.75*(INDEX('LANE ENGINE'!$H$6:$H$45,18)-'TO HOP'!$Y$62))</f>
        <v/>
      </c>
      <c r="L255" s="42" t="s">
        <v>1579</v>
      </c>
      <c r="M255" s="42">
        <v>18</v>
      </c>
    </row>
    <row r="256" spans="1:13" x14ac:dyDescent="0.3">
      <c r="A256" s="42" t="str">
        <f>IF(19&lt;=nLan,"CĐ I(b) min - 1 nhịp "&amp;19&amp;" làn","")</f>
        <v/>
      </c>
      <c r="B256" s="58" t="str">
        <f>IF($A256="","",'TO HOP'!$C$178+1.75*(0-'TO HOP'!$Y$53))</f>
        <v/>
      </c>
      <c r="C256" s="58" t="str">
        <f>IF($A256="","",'TO HOP'!$D$178+1.75*(0-'TO HOP'!$Y$54))</f>
        <v/>
      </c>
      <c r="D256" s="58" t="str">
        <f>IF($A256="","",'TO HOP'!$E$178+1.75*(INDEX('LANE ENGINE'!$F$6:$F$45,19)-'TO HOP'!$Y$55))</f>
        <v/>
      </c>
      <c r="E256" s="58" t="str">
        <f>IF($A256="","",'TO HOP'!$F$178+1.75*(INDEX('LANE ENGINE'!$G$6:$G$45,19)-'TO HOP'!$Y$56))</f>
        <v/>
      </c>
      <c r="F256" s="58" t="str">
        <f>IF($A256="","",'TO HOP'!$G$178+1.75*(INDEX('LANE ENGINE'!$H$6:$H$45,19)-'TO HOP'!$Y$57))</f>
        <v/>
      </c>
      <c r="G256" s="58" t="str">
        <f>IF($A256="","",'TO HOP'!$H$178+1.75*(0-'TO HOP'!$Y$58))</f>
        <v/>
      </c>
      <c r="H256" s="58" t="str">
        <f>IF($A256="","",'TO HOP'!$I$178+1.75*(0-'TO HOP'!$Y$59))</f>
        <v/>
      </c>
      <c r="I256" s="58" t="str">
        <f>IF($A256="","",'TO HOP'!$J$178+1.75*(INDEX('LANE ENGINE'!$F$6:$F$45,19)-'TO HOP'!$Y$60))</f>
        <v/>
      </c>
      <c r="J256" s="58" t="str">
        <f>IF($A256="","",'TO HOP'!$K$178+1.75*(INDEX('LANE ENGINE'!$G$6:$G$45,19)-'TO HOP'!$Y$61))</f>
        <v/>
      </c>
      <c r="K256" s="58" t="str">
        <f>IF($A256="","",'TO HOP'!$L$178+1.75*(INDEX('LANE ENGINE'!$H$6:$H$45,19)-'TO HOP'!$Y$62))</f>
        <v/>
      </c>
      <c r="L256" s="42" t="s">
        <v>1579</v>
      </c>
      <c r="M256" s="42">
        <v>19</v>
      </c>
    </row>
    <row r="257" spans="1:13" x14ac:dyDescent="0.3">
      <c r="A257" s="42" t="str">
        <f>IF(20&lt;=nLan,"CĐ I(b) min - 1 nhịp "&amp;20&amp;" làn","")</f>
        <v/>
      </c>
      <c r="B257" s="58" t="str">
        <f>IF($A257="","",'TO HOP'!$C$178+1.75*(0-'TO HOP'!$Y$53))</f>
        <v/>
      </c>
      <c r="C257" s="58" t="str">
        <f>IF($A257="","",'TO HOP'!$D$178+1.75*(0-'TO HOP'!$Y$54))</f>
        <v/>
      </c>
      <c r="D257" s="58" t="str">
        <f>IF($A257="","",'TO HOP'!$E$178+1.75*(INDEX('LANE ENGINE'!$F$6:$F$45,20)-'TO HOP'!$Y$55))</f>
        <v/>
      </c>
      <c r="E257" s="58" t="str">
        <f>IF($A257="","",'TO HOP'!$F$178+1.75*(INDEX('LANE ENGINE'!$G$6:$G$45,20)-'TO HOP'!$Y$56))</f>
        <v/>
      </c>
      <c r="F257" s="58" t="str">
        <f>IF($A257="","",'TO HOP'!$G$178+1.75*(INDEX('LANE ENGINE'!$H$6:$H$45,20)-'TO HOP'!$Y$57))</f>
        <v/>
      </c>
      <c r="G257" s="58" t="str">
        <f>IF($A257="","",'TO HOP'!$H$178+1.75*(0-'TO HOP'!$Y$58))</f>
        <v/>
      </c>
      <c r="H257" s="58" t="str">
        <f>IF($A257="","",'TO HOP'!$I$178+1.75*(0-'TO HOP'!$Y$59))</f>
        <v/>
      </c>
      <c r="I257" s="58" t="str">
        <f>IF($A257="","",'TO HOP'!$J$178+1.75*(INDEX('LANE ENGINE'!$F$6:$F$45,20)-'TO HOP'!$Y$60))</f>
        <v/>
      </c>
      <c r="J257" s="58" t="str">
        <f>IF($A257="","",'TO HOP'!$K$178+1.75*(INDEX('LANE ENGINE'!$G$6:$G$45,20)-'TO HOP'!$Y$61))</f>
        <v/>
      </c>
      <c r="K257" s="58" t="str">
        <f>IF($A257="","",'TO HOP'!$L$178+1.75*(INDEX('LANE ENGINE'!$H$6:$H$45,20)-'TO HOP'!$Y$62))</f>
        <v/>
      </c>
      <c r="L257" s="42" t="s">
        <v>1579</v>
      </c>
      <c r="M257" s="42">
        <v>20</v>
      </c>
    </row>
    <row r="258" spans="1:13" x14ac:dyDescent="0.3">
      <c r="A258" s="42" t="str">
        <f>IF(21&lt;=nLan,"CĐ I(b) min - 1 nhịp "&amp;21&amp;" làn","")</f>
        <v/>
      </c>
      <c r="B258" s="58" t="str">
        <f>IF($A258="","",'TO HOP'!$C$178+1.75*(0-'TO HOP'!$Y$53))</f>
        <v/>
      </c>
      <c r="C258" s="58" t="str">
        <f>IF($A258="","",'TO HOP'!$D$178+1.75*(0-'TO HOP'!$Y$54))</f>
        <v/>
      </c>
      <c r="D258" s="58" t="str">
        <f>IF($A258="","",'TO HOP'!$E$178+1.75*(INDEX('LANE ENGINE'!$F$6:$F$45,21)-'TO HOP'!$Y$55))</f>
        <v/>
      </c>
      <c r="E258" s="58" t="str">
        <f>IF($A258="","",'TO HOP'!$F$178+1.75*(INDEX('LANE ENGINE'!$G$6:$G$45,21)-'TO HOP'!$Y$56))</f>
        <v/>
      </c>
      <c r="F258" s="58" t="str">
        <f>IF($A258="","",'TO HOP'!$G$178+1.75*(INDEX('LANE ENGINE'!$H$6:$H$45,21)-'TO HOP'!$Y$57))</f>
        <v/>
      </c>
      <c r="G258" s="58" t="str">
        <f>IF($A258="","",'TO HOP'!$H$178+1.75*(0-'TO HOP'!$Y$58))</f>
        <v/>
      </c>
      <c r="H258" s="58" t="str">
        <f>IF($A258="","",'TO HOP'!$I$178+1.75*(0-'TO HOP'!$Y$59))</f>
        <v/>
      </c>
      <c r="I258" s="58" t="str">
        <f>IF($A258="","",'TO HOP'!$J$178+1.75*(INDEX('LANE ENGINE'!$F$6:$F$45,21)-'TO HOP'!$Y$60))</f>
        <v/>
      </c>
      <c r="J258" s="58" t="str">
        <f>IF($A258="","",'TO HOP'!$K$178+1.75*(INDEX('LANE ENGINE'!$G$6:$G$45,21)-'TO HOP'!$Y$61))</f>
        <v/>
      </c>
      <c r="K258" s="58" t="str">
        <f>IF($A258="","",'TO HOP'!$L$178+1.75*(INDEX('LANE ENGINE'!$H$6:$H$45,21)-'TO HOP'!$Y$62))</f>
        <v/>
      </c>
      <c r="L258" s="42" t="s">
        <v>1579</v>
      </c>
      <c r="M258" s="42">
        <v>21</v>
      </c>
    </row>
    <row r="259" spans="1:13" x14ac:dyDescent="0.3">
      <c r="A259" s="42" t="str">
        <f>IF(22&lt;=nLan,"CĐ I(b) min - 1 nhịp "&amp;22&amp;" làn","")</f>
        <v/>
      </c>
      <c r="B259" s="58" t="str">
        <f>IF($A259="","",'TO HOP'!$C$178+1.75*(0-'TO HOP'!$Y$53))</f>
        <v/>
      </c>
      <c r="C259" s="58" t="str">
        <f>IF($A259="","",'TO HOP'!$D$178+1.75*(0-'TO HOP'!$Y$54))</f>
        <v/>
      </c>
      <c r="D259" s="58" t="str">
        <f>IF($A259="","",'TO HOP'!$E$178+1.75*(INDEX('LANE ENGINE'!$F$6:$F$45,22)-'TO HOP'!$Y$55))</f>
        <v/>
      </c>
      <c r="E259" s="58" t="str">
        <f>IF($A259="","",'TO HOP'!$F$178+1.75*(INDEX('LANE ENGINE'!$G$6:$G$45,22)-'TO HOP'!$Y$56))</f>
        <v/>
      </c>
      <c r="F259" s="58" t="str">
        <f>IF($A259="","",'TO HOP'!$G$178+1.75*(INDEX('LANE ENGINE'!$H$6:$H$45,22)-'TO HOP'!$Y$57))</f>
        <v/>
      </c>
      <c r="G259" s="58" t="str">
        <f>IF($A259="","",'TO HOP'!$H$178+1.75*(0-'TO HOP'!$Y$58))</f>
        <v/>
      </c>
      <c r="H259" s="58" t="str">
        <f>IF($A259="","",'TO HOP'!$I$178+1.75*(0-'TO HOP'!$Y$59))</f>
        <v/>
      </c>
      <c r="I259" s="58" t="str">
        <f>IF($A259="","",'TO HOP'!$J$178+1.75*(INDEX('LANE ENGINE'!$F$6:$F$45,22)-'TO HOP'!$Y$60))</f>
        <v/>
      </c>
      <c r="J259" s="58" t="str">
        <f>IF($A259="","",'TO HOP'!$K$178+1.75*(INDEX('LANE ENGINE'!$G$6:$G$45,22)-'TO HOP'!$Y$61))</f>
        <v/>
      </c>
      <c r="K259" s="58" t="str">
        <f>IF($A259="","",'TO HOP'!$L$178+1.75*(INDEX('LANE ENGINE'!$H$6:$H$45,22)-'TO HOP'!$Y$62))</f>
        <v/>
      </c>
      <c r="L259" s="42" t="s">
        <v>1579</v>
      </c>
      <c r="M259" s="42">
        <v>22</v>
      </c>
    </row>
    <row r="260" spans="1:13" x14ac:dyDescent="0.3">
      <c r="A260" s="42" t="str">
        <f>IF(23&lt;=nLan,"CĐ I(b) min - 1 nhịp "&amp;23&amp;" làn","")</f>
        <v/>
      </c>
      <c r="B260" s="58" t="str">
        <f>IF($A260="","",'TO HOP'!$C$178+1.75*(0-'TO HOP'!$Y$53))</f>
        <v/>
      </c>
      <c r="C260" s="58" t="str">
        <f>IF($A260="","",'TO HOP'!$D$178+1.75*(0-'TO HOP'!$Y$54))</f>
        <v/>
      </c>
      <c r="D260" s="58" t="str">
        <f>IF($A260="","",'TO HOP'!$E$178+1.75*(INDEX('LANE ENGINE'!$F$6:$F$45,23)-'TO HOP'!$Y$55))</f>
        <v/>
      </c>
      <c r="E260" s="58" t="str">
        <f>IF($A260="","",'TO HOP'!$F$178+1.75*(INDEX('LANE ENGINE'!$G$6:$G$45,23)-'TO HOP'!$Y$56))</f>
        <v/>
      </c>
      <c r="F260" s="58" t="str">
        <f>IF($A260="","",'TO HOP'!$G$178+1.75*(INDEX('LANE ENGINE'!$H$6:$H$45,23)-'TO HOP'!$Y$57))</f>
        <v/>
      </c>
      <c r="G260" s="58" t="str">
        <f>IF($A260="","",'TO HOP'!$H$178+1.75*(0-'TO HOP'!$Y$58))</f>
        <v/>
      </c>
      <c r="H260" s="58" t="str">
        <f>IF($A260="","",'TO HOP'!$I$178+1.75*(0-'TO HOP'!$Y$59))</f>
        <v/>
      </c>
      <c r="I260" s="58" t="str">
        <f>IF($A260="","",'TO HOP'!$J$178+1.75*(INDEX('LANE ENGINE'!$F$6:$F$45,23)-'TO HOP'!$Y$60))</f>
        <v/>
      </c>
      <c r="J260" s="58" t="str">
        <f>IF($A260="","",'TO HOP'!$K$178+1.75*(INDEX('LANE ENGINE'!$G$6:$G$45,23)-'TO HOP'!$Y$61))</f>
        <v/>
      </c>
      <c r="K260" s="58" t="str">
        <f>IF($A260="","",'TO HOP'!$L$178+1.75*(INDEX('LANE ENGINE'!$H$6:$H$45,23)-'TO HOP'!$Y$62))</f>
        <v/>
      </c>
      <c r="L260" s="42" t="s">
        <v>1579</v>
      </c>
      <c r="M260" s="42">
        <v>23</v>
      </c>
    </row>
    <row r="261" spans="1:13" x14ac:dyDescent="0.3">
      <c r="A261" s="42" t="str">
        <f>IF(24&lt;=nLan,"CĐ I(b) min - 1 nhịp "&amp;24&amp;" làn","")</f>
        <v/>
      </c>
      <c r="B261" s="58" t="str">
        <f>IF($A261="","",'TO HOP'!$C$178+1.75*(0-'TO HOP'!$Y$53))</f>
        <v/>
      </c>
      <c r="C261" s="58" t="str">
        <f>IF($A261="","",'TO HOP'!$D$178+1.75*(0-'TO HOP'!$Y$54))</f>
        <v/>
      </c>
      <c r="D261" s="58" t="str">
        <f>IF($A261="","",'TO HOP'!$E$178+1.75*(INDEX('LANE ENGINE'!$F$6:$F$45,24)-'TO HOP'!$Y$55))</f>
        <v/>
      </c>
      <c r="E261" s="58" t="str">
        <f>IF($A261="","",'TO HOP'!$F$178+1.75*(INDEX('LANE ENGINE'!$G$6:$G$45,24)-'TO HOP'!$Y$56))</f>
        <v/>
      </c>
      <c r="F261" s="58" t="str">
        <f>IF($A261="","",'TO HOP'!$G$178+1.75*(INDEX('LANE ENGINE'!$H$6:$H$45,24)-'TO HOP'!$Y$57))</f>
        <v/>
      </c>
      <c r="G261" s="58" t="str">
        <f>IF($A261="","",'TO HOP'!$H$178+1.75*(0-'TO HOP'!$Y$58))</f>
        <v/>
      </c>
      <c r="H261" s="58" t="str">
        <f>IF($A261="","",'TO HOP'!$I$178+1.75*(0-'TO HOP'!$Y$59))</f>
        <v/>
      </c>
      <c r="I261" s="58" t="str">
        <f>IF($A261="","",'TO HOP'!$J$178+1.75*(INDEX('LANE ENGINE'!$F$6:$F$45,24)-'TO HOP'!$Y$60))</f>
        <v/>
      </c>
      <c r="J261" s="58" t="str">
        <f>IF($A261="","",'TO HOP'!$K$178+1.75*(INDEX('LANE ENGINE'!$G$6:$G$45,24)-'TO HOP'!$Y$61))</f>
        <v/>
      </c>
      <c r="K261" s="58" t="str">
        <f>IF($A261="","",'TO HOP'!$L$178+1.75*(INDEX('LANE ENGINE'!$H$6:$H$45,24)-'TO HOP'!$Y$62))</f>
        <v/>
      </c>
      <c r="L261" s="42" t="s">
        <v>1579</v>
      </c>
      <c r="M261" s="42">
        <v>24</v>
      </c>
    </row>
    <row r="262" spans="1:13" x14ac:dyDescent="0.3">
      <c r="A262" s="42" t="str">
        <f>IF(25&lt;=nLan,"CĐ I(b) min - 1 nhịp "&amp;25&amp;" làn","")</f>
        <v/>
      </c>
      <c r="B262" s="58" t="str">
        <f>IF($A262="","",'TO HOP'!$C$178+1.75*(0-'TO HOP'!$Y$53))</f>
        <v/>
      </c>
      <c r="C262" s="58" t="str">
        <f>IF($A262="","",'TO HOP'!$D$178+1.75*(0-'TO HOP'!$Y$54))</f>
        <v/>
      </c>
      <c r="D262" s="58" t="str">
        <f>IF($A262="","",'TO HOP'!$E$178+1.75*(INDEX('LANE ENGINE'!$F$6:$F$45,25)-'TO HOP'!$Y$55))</f>
        <v/>
      </c>
      <c r="E262" s="58" t="str">
        <f>IF($A262="","",'TO HOP'!$F$178+1.75*(INDEX('LANE ENGINE'!$G$6:$G$45,25)-'TO HOP'!$Y$56))</f>
        <v/>
      </c>
      <c r="F262" s="58" t="str">
        <f>IF($A262="","",'TO HOP'!$G$178+1.75*(INDEX('LANE ENGINE'!$H$6:$H$45,25)-'TO HOP'!$Y$57))</f>
        <v/>
      </c>
      <c r="G262" s="58" t="str">
        <f>IF($A262="","",'TO HOP'!$H$178+1.75*(0-'TO HOP'!$Y$58))</f>
        <v/>
      </c>
      <c r="H262" s="58" t="str">
        <f>IF($A262="","",'TO HOP'!$I$178+1.75*(0-'TO HOP'!$Y$59))</f>
        <v/>
      </c>
      <c r="I262" s="58" t="str">
        <f>IF($A262="","",'TO HOP'!$J$178+1.75*(INDEX('LANE ENGINE'!$F$6:$F$45,25)-'TO HOP'!$Y$60))</f>
        <v/>
      </c>
      <c r="J262" s="58" t="str">
        <f>IF($A262="","",'TO HOP'!$K$178+1.75*(INDEX('LANE ENGINE'!$G$6:$G$45,25)-'TO HOP'!$Y$61))</f>
        <v/>
      </c>
      <c r="K262" s="58" t="str">
        <f>IF($A262="","",'TO HOP'!$L$178+1.75*(INDEX('LANE ENGINE'!$H$6:$H$45,25)-'TO HOP'!$Y$62))</f>
        <v/>
      </c>
      <c r="L262" s="42" t="s">
        <v>1579</v>
      </c>
      <c r="M262" s="42">
        <v>25</v>
      </c>
    </row>
    <row r="263" spans="1:13" x14ac:dyDescent="0.3">
      <c r="A263" s="42" t="str">
        <f>IF(26&lt;=nLan,"CĐ I(b) min - 1 nhịp "&amp;26&amp;" làn","")</f>
        <v/>
      </c>
      <c r="B263" s="58" t="str">
        <f>IF($A263="","",'TO HOP'!$C$178+1.75*(0-'TO HOP'!$Y$53))</f>
        <v/>
      </c>
      <c r="C263" s="58" t="str">
        <f>IF($A263="","",'TO HOP'!$D$178+1.75*(0-'TO HOP'!$Y$54))</f>
        <v/>
      </c>
      <c r="D263" s="58" t="str">
        <f>IF($A263="","",'TO HOP'!$E$178+1.75*(INDEX('LANE ENGINE'!$F$6:$F$45,26)-'TO HOP'!$Y$55))</f>
        <v/>
      </c>
      <c r="E263" s="58" t="str">
        <f>IF($A263="","",'TO HOP'!$F$178+1.75*(INDEX('LANE ENGINE'!$G$6:$G$45,26)-'TO HOP'!$Y$56))</f>
        <v/>
      </c>
      <c r="F263" s="58" t="str">
        <f>IF($A263="","",'TO HOP'!$G$178+1.75*(INDEX('LANE ENGINE'!$H$6:$H$45,26)-'TO HOP'!$Y$57))</f>
        <v/>
      </c>
      <c r="G263" s="58" t="str">
        <f>IF($A263="","",'TO HOP'!$H$178+1.75*(0-'TO HOP'!$Y$58))</f>
        <v/>
      </c>
      <c r="H263" s="58" t="str">
        <f>IF($A263="","",'TO HOP'!$I$178+1.75*(0-'TO HOP'!$Y$59))</f>
        <v/>
      </c>
      <c r="I263" s="58" t="str">
        <f>IF($A263="","",'TO HOP'!$J$178+1.75*(INDEX('LANE ENGINE'!$F$6:$F$45,26)-'TO HOP'!$Y$60))</f>
        <v/>
      </c>
      <c r="J263" s="58" t="str">
        <f>IF($A263="","",'TO HOP'!$K$178+1.75*(INDEX('LANE ENGINE'!$G$6:$G$45,26)-'TO HOP'!$Y$61))</f>
        <v/>
      </c>
      <c r="K263" s="58" t="str">
        <f>IF($A263="","",'TO HOP'!$L$178+1.75*(INDEX('LANE ENGINE'!$H$6:$H$45,26)-'TO HOP'!$Y$62))</f>
        <v/>
      </c>
      <c r="L263" s="42" t="s">
        <v>1579</v>
      </c>
      <c r="M263" s="42">
        <v>26</v>
      </c>
    </row>
    <row r="264" spans="1:13" x14ac:dyDescent="0.3">
      <c r="A264" s="42" t="str">
        <f>IF(27&lt;=nLan,"CĐ I(b) min - 1 nhịp "&amp;27&amp;" làn","")</f>
        <v/>
      </c>
      <c r="B264" s="58" t="str">
        <f>IF($A264="","",'TO HOP'!$C$178+1.75*(0-'TO HOP'!$Y$53))</f>
        <v/>
      </c>
      <c r="C264" s="58" t="str">
        <f>IF($A264="","",'TO HOP'!$D$178+1.75*(0-'TO HOP'!$Y$54))</f>
        <v/>
      </c>
      <c r="D264" s="58" t="str">
        <f>IF($A264="","",'TO HOP'!$E$178+1.75*(INDEX('LANE ENGINE'!$F$6:$F$45,27)-'TO HOP'!$Y$55))</f>
        <v/>
      </c>
      <c r="E264" s="58" t="str">
        <f>IF($A264="","",'TO HOP'!$F$178+1.75*(INDEX('LANE ENGINE'!$G$6:$G$45,27)-'TO HOP'!$Y$56))</f>
        <v/>
      </c>
      <c r="F264" s="58" t="str">
        <f>IF($A264="","",'TO HOP'!$G$178+1.75*(INDEX('LANE ENGINE'!$H$6:$H$45,27)-'TO HOP'!$Y$57))</f>
        <v/>
      </c>
      <c r="G264" s="58" t="str">
        <f>IF($A264="","",'TO HOP'!$H$178+1.75*(0-'TO HOP'!$Y$58))</f>
        <v/>
      </c>
      <c r="H264" s="58" t="str">
        <f>IF($A264="","",'TO HOP'!$I$178+1.75*(0-'TO HOP'!$Y$59))</f>
        <v/>
      </c>
      <c r="I264" s="58" t="str">
        <f>IF($A264="","",'TO HOP'!$J$178+1.75*(INDEX('LANE ENGINE'!$F$6:$F$45,27)-'TO HOP'!$Y$60))</f>
        <v/>
      </c>
      <c r="J264" s="58" t="str">
        <f>IF($A264="","",'TO HOP'!$K$178+1.75*(INDEX('LANE ENGINE'!$G$6:$G$45,27)-'TO HOP'!$Y$61))</f>
        <v/>
      </c>
      <c r="K264" s="58" t="str">
        <f>IF($A264="","",'TO HOP'!$L$178+1.75*(INDEX('LANE ENGINE'!$H$6:$H$45,27)-'TO HOP'!$Y$62))</f>
        <v/>
      </c>
      <c r="L264" s="42" t="s">
        <v>1579</v>
      </c>
      <c r="M264" s="42">
        <v>27</v>
      </c>
    </row>
    <row r="265" spans="1:13" x14ac:dyDescent="0.3">
      <c r="A265" s="42" t="str">
        <f>IF(28&lt;=nLan,"CĐ I(b) min - 1 nhịp "&amp;28&amp;" làn","")</f>
        <v/>
      </c>
      <c r="B265" s="58" t="str">
        <f>IF($A265="","",'TO HOP'!$C$178+1.75*(0-'TO HOP'!$Y$53))</f>
        <v/>
      </c>
      <c r="C265" s="58" t="str">
        <f>IF($A265="","",'TO HOP'!$D$178+1.75*(0-'TO HOP'!$Y$54))</f>
        <v/>
      </c>
      <c r="D265" s="58" t="str">
        <f>IF($A265="","",'TO HOP'!$E$178+1.75*(INDEX('LANE ENGINE'!$F$6:$F$45,28)-'TO HOP'!$Y$55))</f>
        <v/>
      </c>
      <c r="E265" s="58" t="str">
        <f>IF($A265="","",'TO HOP'!$F$178+1.75*(INDEX('LANE ENGINE'!$G$6:$G$45,28)-'TO HOP'!$Y$56))</f>
        <v/>
      </c>
      <c r="F265" s="58" t="str">
        <f>IF($A265="","",'TO HOP'!$G$178+1.75*(INDEX('LANE ENGINE'!$H$6:$H$45,28)-'TO HOP'!$Y$57))</f>
        <v/>
      </c>
      <c r="G265" s="58" t="str">
        <f>IF($A265="","",'TO HOP'!$H$178+1.75*(0-'TO HOP'!$Y$58))</f>
        <v/>
      </c>
      <c r="H265" s="58" t="str">
        <f>IF($A265="","",'TO HOP'!$I$178+1.75*(0-'TO HOP'!$Y$59))</f>
        <v/>
      </c>
      <c r="I265" s="58" t="str">
        <f>IF($A265="","",'TO HOP'!$J$178+1.75*(INDEX('LANE ENGINE'!$F$6:$F$45,28)-'TO HOP'!$Y$60))</f>
        <v/>
      </c>
      <c r="J265" s="58" t="str">
        <f>IF($A265="","",'TO HOP'!$K$178+1.75*(INDEX('LANE ENGINE'!$G$6:$G$45,28)-'TO HOP'!$Y$61))</f>
        <v/>
      </c>
      <c r="K265" s="58" t="str">
        <f>IF($A265="","",'TO HOP'!$L$178+1.75*(INDEX('LANE ENGINE'!$H$6:$H$45,28)-'TO HOP'!$Y$62))</f>
        <v/>
      </c>
      <c r="L265" s="42" t="s">
        <v>1579</v>
      </c>
      <c r="M265" s="42">
        <v>28</v>
      </c>
    </row>
    <row r="266" spans="1:13" x14ac:dyDescent="0.3">
      <c r="A266" s="42" t="str">
        <f>IF(29&lt;=nLan,"CĐ I(b) min - 1 nhịp "&amp;29&amp;" làn","")</f>
        <v/>
      </c>
      <c r="B266" s="58" t="str">
        <f>IF($A266="","",'TO HOP'!$C$178+1.75*(0-'TO HOP'!$Y$53))</f>
        <v/>
      </c>
      <c r="C266" s="58" t="str">
        <f>IF($A266="","",'TO HOP'!$D$178+1.75*(0-'TO HOP'!$Y$54))</f>
        <v/>
      </c>
      <c r="D266" s="58" t="str">
        <f>IF($A266="","",'TO HOP'!$E$178+1.75*(INDEX('LANE ENGINE'!$F$6:$F$45,29)-'TO HOP'!$Y$55))</f>
        <v/>
      </c>
      <c r="E266" s="58" t="str">
        <f>IF($A266="","",'TO HOP'!$F$178+1.75*(INDEX('LANE ENGINE'!$G$6:$G$45,29)-'TO HOP'!$Y$56))</f>
        <v/>
      </c>
      <c r="F266" s="58" t="str">
        <f>IF($A266="","",'TO HOP'!$G$178+1.75*(INDEX('LANE ENGINE'!$H$6:$H$45,29)-'TO HOP'!$Y$57))</f>
        <v/>
      </c>
      <c r="G266" s="58" t="str">
        <f>IF($A266="","",'TO HOP'!$H$178+1.75*(0-'TO HOP'!$Y$58))</f>
        <v/>
      </c>
      <c r="H266" s="58" t="str">
        <f>IF($A266="","",'TO HOP'!$I$178+1.75*(0-'TO HOP'!$Y$59))</f>
        <v/>
      </c>
      <c r="I266" s="58" t="str">
        <f>IF($A266="","",'TO HOP'!$J$178+1.75*(INDEX('LANE ENGINE'!$F$6:$F$45,29)-'TO HOP'!$Y$60))</f>
        <v/>
      </c>
      <c r="J266" s="58" t="str">
        <f>IF($A266="","",'TO HOP'!$K$178+1.75*(INDEX('LANE ENGINE'!$G$6:$G$45,29)-'TO HOP'!$Y$61))</f>
        <v/>
      </c>
      <c r="K266" s="58" t="str">
        <f>IF($A266="","",'TO HOP'!$L$178+1.75*(INDEX('LANE ENGINE'!$H$6:$H$45,29)-'TO HOP'!$Y$62))</f>
        <v/>
      </c>
      <c r="L266" s="42" t="s">
        <v>1579</v>
      </c>
      <c r="M266" s="42">
        <v>29</v>
      </c>
    </row>
    <row r="267" spans="1:13" x14ac:dyDescent="0.3">
      <c r="A267" s="42" t="str">
        <f>IF(30&lt;=nLan,"CĐ I(b) min - 1 nhịp "&amp;30&amp;" làn","")</f>
        <v/>
      </c>
      <c r="B267" s="58" t="str">
        <f>IF($A267="","",'TO HOP'!$C$178+1.75*(0-'TO HOP'!$Y$53))</f>
        <v/>
      </c>
      <c r="C267" s="58" t="str">
        <f>IF($A267="","",'TO HOP'!$D$178+1.75*(0-'TO HOP'!$Y$54))</f>
        <v/>
      </c>
      <c r="D267" s="58" t="str">
        <f>IF($A267="","",'TO HOP'!$E$178+1.75*(INDEX('LANE ENGINE'!$F$6:$F$45,30)-'TO HOP'!$Y$55))</f>
        <v/>
      </c>
      <c r="E267" s="58" t="str">
        <f>IF($A267="","",'TO HOP'!$F$178+1.75*(INDEX('LANE ENGINE'!$G$6:$G$45,30)-'TO HOP'!$Y$56))</f>
        <v/>
      </c>
      <c r="F267" s="58" t="str">
        <f>IF($A267="","",'TO HOP'!$G$178+1.75*(INDEX('LANE ENGINE'!$H$6:$H$45,30)-'TO HOP'!$Y$57))</f>
        <v/>
      </c>
      <c r="G267" s="58" t="str">
        <f>IF($A267="","",'TO HOP'!$H$178+1.75*(0-'TO HOP'!$Y$58))</f>
        <v/>
      </c>
      <c r="H267" s="58" t="str">
        <f>IF($A267="","",'TO HOP'!$I$178+1.75*(0-'TO HOP'!$Y$59))</f>
        <v/>
      </c>
      <c r="I267" s="58" t="str">
        <f>IF($A267="","",'TO HOP'!$J$178+1.75*(INDEX('LANE ENGINE'!$F$6:$F$45,30)-'TO HOP'!$Y$60))</f>
        <v/>
      </c>
      <c r="J267" s="58" t="str">
        <f>IF($A267="","",'TO HOP'!$K$178+1.75*(INDEX('LANE ENGINE'!$G$6:$G$45,30)-'TO HOP'!$Y$61))</f>
        <v/>
      </c>
      <c r="K267" s="58" t="str">
        <f>IF($A267="","",'TO HOP'!$L$178+1.75*(INDEX('LANE ENGINE'!$H$6:$H$45,30)-'TO HOP'!$Y$62))</f>
        <v/>
      </c>
      <c r="L267" s="42" t="s">
        <v>1579</v>
      </c>
      <c r="M267" s="42">
        <v>30</v>
      </c>
    </row>
    <row r="268" spans="1:13" x14ac:dyDescent="0.3">
      <c r="A268" s="42" t="str">
        <f>IF(31&lt;=nLan,"CĐ I(b) min - 1 nhịp "&amp;31&amp;" làn","")</f>
        <v/>
      </c>
      <c r="B268" s="58" t="str">
        <f>IF($A268="","",'TO HOP'!$C$178+1.75*(0-'TO HOP'!$Y$53))</f>
        <v/>
      </c>
      <c r="C268" s="58" t="str">
        <f>IF($A268="","",'TO HOP'!$D$178+1.75*(0-'TO HOP'!$Y$54))</f>
        <v/>
      </c>
      <c r="D268" s="58" t="str">
        <f>IF($A268="","",'TO HOP'!$E$178+1.75*(INDEX('LANE ENGINE'!$F$6:$F$45,31)-'TO HOP'!$Y$55))</f>
        <v/>
      </c>
      <c r="E268" s="58" t="str">
        <f>IF($A268="","",'TO HOP'!$F$178+1.75*(INDEX('LANE ENGINE'!$G$6:$G$45,31)-'TO HOP'!$Y$56))</f>
        <v/>
      </c>
      <c r="F268" s="58" t="str">
        <f>IF($A268="","",'TO HOP'!$G$178+1.75*(INDEX('LANE ENGINE'!$H$6:$H$45,31)-'TO HOP'!$Y$57))</f>
        <v/>
      </c>
      <c r="G268" s="58" t="str">
        <f>IF($A268="","",'TO HOP'!$H$178+1.75*(0-'TO HOP'!$Y$58))</f>
        <v/>
      </c>
      <c r="H268" s="58" t="str">
        <f>IF($A268="","",'TO HOP'!$I$178+1.75*(0-'TO HOP'!$Y$59))</f>
        <v/>
      </c>
      <c r="I268" s="58" t="str">
        <f>IF($A268="","",'TO HOP'!$J$178+1.75*(INDEX('LANE ENGINE'!$F$6:$F$45,31)-'TO HOP'!$Y$60))</f>
        <v/>
      </c>
      <c r="J268" s="58" t="str">
        <f>IF($A268="","",'TO HOP'!$K$178+1.75*(INDEX('LANE ENGINE'!$G$6:$G$45,31)-'TO HOP'!$Y$61))</f>
        <v/>
      </c>
      <c r="K268" s="58" t="str">
        <f>IF($A268="","",'TO HOP'!$L$178+1.75*(INDEX('LANE ENGINE'!$H$6:$H$45,31)-'TO HOP'!$Y$62))</f>
        <v/>
      </c>
      <c r="L268" s="42" t="s">
        <v>1579</v>
      </c>
      <c r="M268" s="42">
        <v>31</v>
      </c>
    </row>
    <row r="269" spans="1:13" x14ac:dyDescent="0.3">
      <c r="A269" s="42" t="str">
        <f>IF(32&lt;=nLan,"CĐ I(b) min - 1 nhịp "&amp;32&amp;" làn","")</f>
        <v/>
      </c>
      <c r="B269" s="58" t="str">
        <f>IF($A269="","",'TO HOP'!$C$178+1.75*(0-'TO HOP'!$Y$53))</f>
        <v/>
      </c>
      <c r="C269" s="58" t="str">
        <f>IF($A269="","",'TO HOP'!$D$178+1.75*(0-'TO HOP'!$Y$54))</f>
        <v/>
      </c>
      <c r="D269" s="58" t="str">
        <f>IF($A269="","",'TO HOP'!$E$178+1.75*(INDEX('LANE ENGINE'!$F$6:$F$45,32)-'TO HOP'!$Y$55))</f>
        <v/>
      </c>
      <c r="E269" s="58" t="str">
        <f>IF($A269="","",'TO HOP'!$F$178+1.75*(INDEX('LANE ENGINE'!$G$6:$G$45,32)-'TO HOP'!$Y$56))</f>
        <v/>
      </c>
      <c r="F269" s="58" t="str">
        <f>IF($A269="","",'TO HOP'!$G$178+1.75*(INDEX('LANE ENGINE'!$H$6:$H$45,32)-'TO HOP'!$Y$57))</f>
        <v/>
      </c>
      <c r="G269" s="58" t="str">
        <f>IF($A269="","",'TO HOP'!$H$178+1.75*(0-'TO HOP'!$Y$58))</f>
        <v/>
      </c>
      <c r="H269" s="58" t="str">
        <f>IF($A269="","",'TO HOP'!$I$178+1.75*(0-'TO HOP'!$Y$59))</f>
        <v/>
      </c>
      <c r="I269" s="58" t="str">
        <f>IF($A269="","",'TO HOP'!$J$178+1.75*(INDEX('LANE ENGINE'!$F$6:$F$45,32)-'TO HOP'!$Y$60))</f>
        <v/>
      </c>
      <c r="J269" s="58" t="str">
        <f>IF($A269="","",'TO HOP'!$K$178+1.75*(INDEX('LANE ENGINE'!$G$6:$G$45,32)-'TO HOP'!$Y$61))</f>
        <v/>
      </c>
      <c r="K269" s="58" t="str">
        <f>IF($A269="","",'TO HOP'!$L$178+1.75*(INDEX('LANE ENGINE'!$H$6:$H$45,32)-'TO HOP'!$Y$62))</f>
        <v/>
      </c>
      <c r="L269" s="42" t="s">
        <v>1579</v>
      </c>
      <c r="M269" s="42">
        <v>32</v>
      </c>
    </row>
    <row r="270" spans="1:13" x14ac:dyDescent="0.3">
      <c r="A270" s="42" t="str">
        <f>IF(33&lt;=nLan,"CĐ I(b) min - 1 nhịp "&amp;33&amp;" làn","")</f>
        <v/>
      </c>
      <c r="B270" s="58" t="str">
        <f>IF($A270="","",'TO HOP'!$C$178+1.75*(0-'TO HOP'!$Y$53))</f>
        <v/>
      </c>
      <c r="C270" s="58" t="str">
        <f>IF($A270="","",'TO HOP'!$D$178+1.75*(0-'TO HOP'!$Y$54))</f>
        <v/>
      </c>
      <c r="D270" s="58" t="str">
        <f>IF($A270="","",'TO HOP'!$E$178+1.75*(INDEX('LANE ENGINE'!$F$6:$F$45,33)-'TO HOP'!$Y$55))</f>
        <v/>
      </c>
      <c r="E270" s="58" t="str">
        <f>IF($A270="","",'TO HOP'!$F$178+1.75*(INDEX('LANE ENGINE'!$G$6:$G$45,33)-'TO HOP'!$Y$56))</f>
        <v/>
      </c>
      <c r="F270" s="58" t="str">
        <f>IF($A270="","",'TO HOP'!$G$178+1.75*(INDEX('LANE ENGINE'!$H$6:$H$45,33)-'TO HOP'!$Y$57))</f>
        <v/>
      </c>
      <c r="G270" s="58" t="str">
        <f>IF($A270="","",'TO HOP'!$H$178+1.75*(0-'TO HOP'!$Y$58))</f>
        <v/>
      </c>
      <c r="H270" s="58" t="str">
        <f>IF($A270="","",'TO HOP'!$I$178+1.75*(0-'TO HOP'!$Y$59))</f>
        <v/>
      </c>
      <c r="I270" s="58" t="str">
        <f>IF($A270="","",'TO HOP'!$J$178+1.75*(INDEX('LANE ENGINE'!$F$6:$F$45,33)-'TO HOP'!$Y$60))</f>
        <v/>
      </c>
      <c r="J270" s="58" t="str">
        <f>IF($A270="","",'TO HOP'!$K$178+1.75*(INDEX('LANE ENGINE'!$G$6:$G$45,33)-'TO HOP'!$Y$61))</f>
        <v/>
      </c>
      <c r="K270" s="58" t="str">
        <f>IF($A270="","",'TO HOP'!$L$178+1.75*(INDEX('LANE ENGINE'!$H$6:$H$45,33)-'TO HOP'!$Y$62))</f>
        <v/>
      </c>
      <c r="L270" s="42" t="s">
        <v>1579</v>
      </c>
      <c r="M270" s="42">
        <v>33</v>
      </c>
    </row>
    <row r="271" spans="1:13" x14ac:dyDescent="0.3">
      <c r="A271" s="42" t="str">
        <f>IF(34&lt;=nLan,"CĐ I(b) min - 1 nhịp "&amp;34&amp;" làn","")</f>
        <v/>
      </c>
      <c r="B271" s="58" t="str">
        <f>IF($A271="","",'TO HOP'!$C$178+1.75*(0-'TO HOP'!$Y$53))</f>
        <v/>
      </c>
      <c r="C271" s="58" t="str">
        <f>IF($A271="","",'TO HOP'!$D$178+1.75*(0-'TO HOP'!$Y$54))</f>
        <v/>
      </c>
      <c r="D271" s="58" t="str">
        <f>IF($A271="","",'TO HOP'!$E$178+1.75*(INDEX('LANE ENGINE'!$F$6:$F$45,34)-'TO HOP'!$Y$55))</f>
        <v/>
      </c>
      <c r="E271" s="58" t="str">
        <f>IF($A271="","",'TO HOP'!$F$178+1.75*(INDEX('LANE ENGINE'!$G$6:$G$45,34)-'TO HOP'!$Y$56))</f>
        <v/>
      </c>
      <c r="F271" s="58" t="str">
        <f>IF($A271="","",'TO HOP'!$G$178+1.75*(INDEX('LANE ENGINE'!$H$6:$H$45,34)-'TO HOP'!$Y$57))</f>
        <v/>
      </c>
      <c r="G271" s="58" t="str">
        <f>IF($A271="","",'TO HOP'!$H$178+1.75*(0-'TO HOP'!$Y$58))</f>
        <v/>
      </c>
      <c r="H271" s="58" t="str">
        <f>IF($A271="","",'TO HOP'!$I$178+1.75*(0-'TO HOP'!$Y$59))</f>
        <v/>
      </c>
      <c r="I271" s="58" t="str">
        <f>IF($A271="","",'TO HOP'!$J$178+1.75*(INDEX('LANE ENGINE'!$F$6:$F$45,34)-'TO HOP'!$Y$60))</f>
        <v/>
      </c>
      <c r="J271" s="58" t="str">
        <f>IF($A271="","",'TO HOP'!$K$178+1.75*(INDEX('LANE ENGINE'!$G$6:$G$45,34)-'TO HOP'!$Y$61))</f>
        <v/>
      </c>
      <c r="K271" s="58" t="str">
        <f>IF($A271="","",'TO HOP'!$L$178+1.75*(INDEX('LANE ENGINE'!$H$6:$H$45,34)-'TO HOP'!$Y$62))</f>
        <v/>
      </c>
      <c r="L271" s="42" t="s">
        <v>1579</v>
      </c>
      <c r="M271" s="42">
        <v>34</v>
      </c>
    </row>
    <row r="272" spans="1:13" x14ac:dyDescent="0.3">
      <c r="A272" s="42" t="str">
        <f>IF(35&lt;=nLan,"CĐ I(b) min - 1 nhịp "&amp;35&amp;" làn","")</f>
        <v/>
      </c>
      <c r="B272" s="58" t="str">
        <f>IF($A272="","",'TO HOP'!$C$178+1.75*(0-'TO HOP'!$Y$53))</f>
        <v/>
      </c>
      <c r="C272" s="58" t="str">
        <f>IF($A272="","",'TO HOP'!$D$178+1.75*(0-'TO HOP'!$Y$54))</f>
        <v/>
      </c>
      <c r="D272" s="58" t="str">
        <f>IF($A272="","",'TO HOP'!$E$178+1.75*(INDEX('LANE ENGINE'!$F$6:$F$45,35)-'TO HOP'!$Y$55))</f>
        <v/>
      </c>
      <c r="E272" s="58" t="str">
        <f>IF($A272="","",'TO HOP'!$F$178+1.75*(INDEX('LANE ENGINE'!$G$6:$G$45,35)-'TO HOP'!$Y$56))</f>
        <v/>
      </c>
      <c r="F272" s="58" t="str">
        <f>IF($A272="","",'TO HOP'!$G$178+1.75*(INDEX('LANE ENGINE'!$H$6:$H$45,35)-'TO HOP'!$Y$57))</f>
        <v/>
      </c>
      <c r="G272" s="58" t="str">
        <f>IF($A272="","",'TO HOP'!$H$178+1.75*(0-'TO HOP'!$Y$58))</f>
        <v/>
      </c>
      <c r="H272" s="58" t="str">
        <f>IF($A272="","",'TO HOP'!$I$178+1.75*(0-'TO HOP'!$Y$59))</f>
        <v/>
      </c>
      <c r="I272" s="58" t="str">
        <f>IF($A272="","",'TO HOP'!$J$178+1.75*(INDEX('LANE ENGINE'!$F$6:$F$45,35)-'TO HOP'!$Y$60))</f>
        <v/>
      </c>
      <c r="J272" s="58" t="str">
        <f>IF($A272="","",'TO HOP'!$K$178+1.75*(INDEX('LANE ENGINE'!$G$6:$G$45,35)-'TO HOP'!$Y$61))</f>
        <v/>
      </c>
      <c r="K272" s="58" t="str">
        <f>IF($A272="","",'TO HOP'!$L$178+1.75*(INDEX('LANE ENGINE'!$H$6:$H$45,35)-'TO HOP'!$Y$62))</f>
        <v/>
      </c>
      <c r="L272" s="42" t="s">
        <v>1579</v>
      </c>
      <c r="M272" s="42">
        <v>35</v>
      </c>
    </row>
    <row r="273" spans="1:13" x14ac:dyDescent="0.3">
      <c r="A273" s="42" t="str">
        <f>IF(36&lt;=nLan,"CĐ I(b) min - 1 nhịp "&amp;36&amp;" làn","")</f>
        <v/>
      </c>
      <c r="B273" s="58" t="str">
        <f>IF($A273="","",'TO HOP'!$C$178+1.75*(0-'TO HOP'!$Y$53))</f>
        <v/>
      </c>
      <c r="C273" s="58" t="str">
        <f>IF($A273="","",'TO HOP'!$D$178+1.75*(0-'TO HOP'!$Y$54))</f>
        <v/>
      </c>
      <c r="D273" s="58" t="str">
        <f>IF($A273="","",'TO HOP'!$E$178+1.75*(INDEX('LANE ENGINE'!$F$6:$F$45,36)-'TO HOP'!$Y$55))</f>
        <v/>
      </c>
      <c r="E273" s="58" t="str">
        <f>IF($A273="","",'TO HOP'!$F$178+1.75*(INDEX('LANE ENGINE'!$G$6:$G$45,36)-'TO HOP'!$Y$56))</f>
        <v/>
      </c>
      <c r="F273" s="58" t="str">
        <f>IF($A273="","",'TO HOP'!$G$178+1.75*(INDEX('LANE ENGINE'!$H$6:$H$45,36)-'TO HOP'!$Y$57))</f>
        <v/>
      </c>
      <c r="G273" s="58" t="str">
        <f>IF($A273="","",'TO HOP'!$H$178+1.75*(0-'TO HOP'!$Y$58))</f>
        <v/>
      </c>
      <c r="H273" s="58" t="str">
        <f>IF($A273="","",'TO HOP'!$I$178+1.75*(0-'TO HOP'!$Y$59))</f>
        <v/>
      </c>
      <c r="I273" s="58" t="str">
        <f>IF($A273="","",'TO HOP'!$J$178+1.75*(INDEX('LANE ENGINE'!$F$6:$F$45,36)-'TO HOP'!$Y$60))</f>
        <v/>
      </c>
      <c r="J273" s="58" t="str">
        <f>IF($A273="","",'TO HOP'!$K$178+1.75*(INDEX('LANE ENGINE'!$G$6:$G$45,36)-'TO HOP'!$Y$61))</f>
        <v/>
      </c>
      <c r="K273" s="58" t="str">
        <f>IF($A273="","",'TO HOP'!$L$178+1.75*(INDEX('LANE ENGINE'!$H$6:$H$45,36)-'TO HOP'!$Y$62))</f>
        <v/>
      </c>
      <c r="L273" s="42" t="s">
        <v>1579</v>
      </c>
      <c r="M273" s="42">
        <v>36</v>
      </c>
    </row>
    <row r="274" spans="1:13" x14ac:dyDescent="0.3">
      <c r="A274" s="42" t="str">
        <f>IF(37&lt;=nLan,"CĐ I(b) min - 1 nhịp "&amp;37&amp;" làn","")</f>
        <v/>
      </c>
      <c r="B274" s="58" t="str">
        <f>IF($A274="","",'TO HOP'!$C$178+1.75*(0-'TO HOP'!$Y$53))</f>
        <v/>
      </c>
      <c r="C274" s="58" t="str">
        <f>IF($A274="","",'TO HOP'!$D$178+1.75*(0-'TO HOP'!$Y$54))</f>
        <v/>
      </c>
      <c r="D274" s="58" t="str">
        <f>IF($A274="","",'TO HOP'!$E$178+1.75*(INDEX('LANE ENGINE'!$F$6:$F$45,37)-'TO HOP'!$Y$55))</f>
        <v/>
      </c>
      <c r="E274" s="58" t="str">
        <f>IF($A274="","",'TO HOP'!$F$178+1.75*(INDEX('LANE ENGINE'!$G$6:$G$45,37)-'TO HOP'!$Y$56))</f>
        <v/>
      </c>
      <c r="F274" s="58" t="str">
        <f>IF($A274="","",'TO HOP'!$G$178+1.75*(INDEX('LANE ENGINE'!$H$6:$H$45,37)-'TO HOP'!$Y$57))</f>
        <v/>
      </c>
      <c r="G274" s="58" t="str">
        <f>IF($A274="","",'TO HOP'!$H$178+1.75*(0-'TO HOP'!$Y$58))</f>
        <v/>
      </c>
      <c r="H274" s="58" t="str">
        <f>IF($A274="","",'TO HOP'!$I$178+1.75*(0-'TO HOP'!$Y$59))</f>
        <v/>
      </c>
      <c r="I274" s="58" t="str">
        <f>IF($A274="","",'TO HOP'!$J$178+1.75*(INDEX('LANE ENGINE'!$F$6:$F$45,37)-'TO HOP'!$Y$60))</f>
        <v/>
      </c>
      <c r="J274" s="58" t="str">
        <f>IF($A274="","",'TO HOP'!$K$178+1.75*(INDEX('LANE ENGINE'!$G$6:$G$45,37)-'TO HOP'!$Y$61))</f>
        <v/>
      </c>
      <c r="K274" s="58" t="str">
        <f>IF($A274="","",'TO HOP'!$L$178+1.75*(INDEX('LANE ENGINE'!$H$6:$H$45,37)-'TO HOP'!$Y$62))</f>
        <v/>
      </c>
      <c r="L274" s="42" t="s">
        <v>1579</v>
      </c>
      <c r="M274" s="42">
        <v>37</v>
      </c>
    </row>
    <row r="275" spans="1:13" x14ac:dyDescent="0.3">
      <c r="A275" s="42" t="str">
        <f>IF(38&lt;=nLan,"CĐ I(b) min - 1 nhịp "&amp;38&amp;" làn","")</f>
        <v/>
      </c>
      <c r="B275" s="58" t="str">
        <f>IF($A275="","",'TO HOP'!$C$178+1.75*(0-'TO HOP'!$Y$53))</f>
        <v/>
      </c>
      <c r="C275" s="58" t="str">
        <f>IF($A275="","",'TO HOP'!$D$178+1.75*(0-'TO HOP'!$Y$54))</f>
        <v/>
      </c>
      <c r="D275" s="58" t="str">
        <f>IF($A275="","",'TO HOP'!$E$178+1.75*(INDEX('LANE ENGINE'!$F$6:$F$45,38)-'TO HOP'!$Y$55))</f>
        <v/>
      </c>
      <c r="E275" s="58" t="str">
        <f>IF($A275="","",'TO HOP'!$F$178+1.75*(INDEX('LANE ENGINE'!$G$6:$G$45,38)-'TO HOP'!$Y$56))</f>
        <v/>
      </c>
      <c r="F275" s="58" t="str">
        <f>IF($A275="","",'TO HOP'!$G$178+1.75*(INDEX('LANE ENGINE'!$H$6:$H$45,38)-'TO HOP'!$Y$57))</f>
        <v/>
      </c>
      <c r="G275" s="58" t="str">
        <f>IF($A275="","",'TO HOP'!$H$178+1.75*(0-'TO HOP'!$Y$58))</f>
        <v/>
      </c>
      <c r="H275" s="58" t="str">
        <f>IF($A275="","",'TO HOP'!$I$178+1.75*(0-'TO HOP'!$Y$59))</f>
        <v/>
      </c>
      <c r="I275" s="58" t="str">
        <f>IF($A275="","",'TO HOP'!$J$178+1.75*(INDEX('LANE ENGINE'!$F$6:$F$45,38)-'TO HOP'!$Y$60))</f>
        <v/>
      </c>
      <c r="J275" s="58" t="str">
        <f>IF($A275="","",'TO HOP'!$K$178+1.75*(INDEX('LANE ENGINE'!$G$6:$G$45,38)-'TO HOP'!$Y$61))</f>
        <v/>
      </c>
      <c r="K275" s="58" t="str">
        <f>IF($A275="","",'TO HOP'!$L$178+1.75*(INDEX('LANE ENGINE'!$H$6:$H$45,38)-'TO HOP'!$Y$62))</f>
        <v/>
      </c>
      <c r="L275" s="42" t="s">
        <v>1579</v>
      </c>
      <c r="M275" s="42">
        <v>38</v>
      </c>
    </row>
    <row r="276" spans="1:13" x14ac:dyDescent="0.3">
      <c r="A276" s="42" t="str">
        <f>IF(39&lt;=nLan,"CĐ I(b) min - 1 nhịp "&amp;39&amp;" làn","")</f>
        <v/>
      </c>
      <c r="B276" s="58" t="str">
        <f>IF($A276="","",'TO HOP'!$C$178+1.75*(0-'TO HOP'!$Y$53))</f>
        <v/>
      </c>
      <c r="C276" s="58" t="str">
        <f>IF($A276="","",'TO HOP'!$D$178+1.75*(0-'TO HOP'!$Y$54))</f>
        <v/>
      </c>
      <c r="D276" s="58" t="str">
        <f>IF($A276="","",'TO HOP'!$E$178+1.75*(INDEX('LANE ENGINE'!$F$6:$F$45,39)-'TO HOP'!$Y$55))</f>
        <v/>
      </c>
      <c r="E276" s="58" t="str">
        <f>IF($A276="","",'TO HOP'!$F$178+1.75*(INDEX('LANE ENGINE'!$G$6:$G$45,39)-'TO HOP'!$Y$56))</f>
        <v/>
      </c>
      <c r="F276" s="58" t="str">
        <f>IF($A276="","",'TO HOP'!$G$178+1.75*(INDEX('LANE ENGINE'!$H$6:$H$45,39)-'TO HOP'!$Y$57))</f>
        <v/>
      </c>
      <c r="G276" s="58" t="str">
        <f>IF($A276="","",'TO HOP'!$H$178+1.75*(0-'TO HOP'!$Y$58))</f>
        <v/>
      </c>
      <c r="H276" s="58" t="str">
        <f>IF($A276="","",'TO HOP'!$I$178+1.75*(0-'TO HOP'!$Y$59))</f>
        <v/>
      </c>
      <c r="I276" s="58" t="str">
        <f>IF($A276="","",'TO HOP'!$J$178+1.75*(INDEX('LANE ENGINE'!$F$6:$F$45,39)-'TO HOP'!$Y$60))</f>
        <v/>
      </c>
      <c r="J276" s="58" t="str">
        <f>IF($A276="","",'TO HOP'!$K$178+1.75*(INDEX('LANE ENGINE'!$G$6:$G$45,39)-'TO HOP'!$Y$61))</f>
        <v/>
      </c>
      <c r="K276" s="58" t="str">
        <f>IF($A276="","",'TO HOP'!$L$178+1.75*(INDEX('LANE ENGINE'!$H$6:$H$45,39)-'TO HOP'!$Y$62))</f>
        <v/>
      </c>
      <c r="L276" s="42" t="s">
        <v>1579</v>
      </c>
      <c r="M276" s="42">
        <v>39</v>
      </c>
    </row>
    <row r="277" spans="1:13" x14ac:dyDescent="0.3">
      <c r="A277" s="42" t="str">
        <f>IF(40&lt;=nLan,"CĐ I(b) min - 1 nhịp "&amp;40&amp;" làn","")</f>
        <v/>
      </c>
      <c r="B277" s="58" t="str">
        <f>IF($A277="","",'TO HOP'!$C$178+1.75*(0-'TO HOP'!$Y$53))</f>
        <v/>
      </c>
      <c r="C277" s="58" t="str">
        <f>IF($A277="","",'TO HOP'!$D$178+1.75*(0-'TO HOP'!$Y$54))</f>
        <v/>
      </c>
      <c r="D277" s="58" t="str">
        <f>IF($A277="","",'TO HOP'!$E$178+1.75*(INDEX('LANE ENGINE'!$F$6:$F$45,40)-'TO HOP'!$Y$55))</f>
        <v/>
      </c>
      <c r="E277" s="58" t="str">
        <f>IF($A277="","",'TO HOP'!$F$178+1.75*(INDEX('LANE ENGINE'!$G$6:$G$45,40)-'TO HOP'!$Y$56))</f>
        <v/>
      </c>
      <c r="F277" s="58" t="str">
        <f>IF($A277="","",'TO HOP'!$G$178+1.75*(INDEX('LANE ENGINE'!$H$6:$H$45,40)-'TO HOP'!$Y$57))</f>
        <v/>
      </c>
      <c r="G277" s="58" t="str">
        <f>IF($A277="","",'TO HOP'!$H$178+1.75*(0-'TO HOP'!$Y$58))</f>
        <v/>
      </c>
      <c r="H277" s="58" t="str">
        <f>IF($A277="","",'TO HOP'!$I$178+1.75*(0-'TO HOP'!$Y$59))</f>
        <v/>
      </c>
      <c r="I277" s="58" t="str">
        <f>IF($A277="","",'TO HOP'!$J$178+1.75*(INDEX('LANE ENGINE'!$F$6:$F$45,40)-'TO HOP'!$Y$60))</f>
        <v/>
      </c>
      <c r="J277" s="58" t="str">
        <f>IF($A277="","",'TO HOP'!$K$178+1.75*(INDEX('LANE ENGINE'!$G$6:$G$45,40)-'TO HOP'!$Y$61))</f>
        <v/>
      </c>
      <c r="K277" s="58" t="str">
        <f>IF($A277="","",'TO HOP'!$L$178+1.75*(INDEX('LANE ENGINE'!$H$6:$H$45,40)-'TO HOP'!$Y$62))</f>
        <v/>
      </c>
      <c r="L277" s="42" t="s">
        <v>1579</v>
      </c>
      <c r="M277" s="42">
        <v>40</v>
      </c>
    </row>
    <row r="278" spans="1:13" x14ac:dyDescent="0.3">
      <c r="A278" s="42" t="str">
        <f>IF(7&lt;=nLan,"CĐ V(a) max - 2 nhịp "&amp;7&amp;" làn","")</f>
        <v/>
      </c>
      <c r="B278" s="58" t="str">
        <f>IF($A278="","",'TO HOP'!$C$186+1.35*(0-'TO HOP'!$M$53))</f>
        <v/>
      </c>
      <c r="C278" s="58" t="str">
        <f>IF($A278="","",'TO HOP'!$D$186+1.35*(0-'TO HOP'!$M$54))</f>
        <v/>
      </c>
      <c r="D278" s="58" t="str">
        <f>IF($A278="","",'TO HOP'!$E$186+1.35*(INDEX('LANE ENGINE'!$D$6:$D$45,7)-'TO HOP'!$M$55))</f>
        <v/>
      </c>
      <c r="E278" s="58" t="str">
        <f>IF($A278="","",'TO HOP'!$F$186+1.35*(INDEX('LANE ENGINE'!$E$6:$E$45,7)-'TO HOP'!$M$56))</f>
        <v/>
      </c>
      <c r="F278" s="58" t="str">
        <f>IF($A278="","",'TO HOP'!$G$186+1.35*(0-'TO HOP'!$M$57))</f>
        <v/>
      </c>
      <c r="G278" s="58" t="str">
        <f>IF($A278="","",'TO HOP'!$H$186+1.35*(0-'TO HOP'!$M$58))</f>
        <v/>
      </c>
      <c r="H278" s="58" t="str">
        <f>IF($A278="","",'TO HOP'!$I$186+1.35*(0-'TO HOP'!$M$59))</f>
        <v/>
      </c>
      <c r="I278" s="58" t="str">
        <f>IF($A278="","",'TO HOP'!$J$186+1.35*(INDEX('LANE ENGINE'!$D$6:$D$45,7)-'TO HOP'!$M$60))</f>
        <v/>
      </c>
      <c r="J278" s="58" t="str">
        <f>IF($A278="","",'TO HOP'!$K$186+1.35*(INDEX('LANE ENGINE'!$E$6:$E$45,7)-'TO HOP'!$M$61))</f>
        <v/>
      </c>
      <c r="K278" s="58" t="str">
        <f>IF($A278="","",'TO HOP'!$L$186+1.35*(0-'TO HOP'!$M$62))</f>
        <v/>
      </c>
      <c r="L278" s="42" t="s">
        <v>1579</v>
      </c>
      <c r="M278" s="42">
        <v>7</v>
      </c>
    </row>
    <row r="279" spans="1:13" x14ac:dyDescent="0.3">
      <c r="A279" s="42" t="str">
        <f>IF(8&lt;=nLan,"CĐ V(a) max - 2 nhịp "&amp;8&amp;" làn","")</f>
        <v/>
      </c>
      <c r="B279" s="58" t="str">
        <f>IF($A279="","",'TO HOP'!$C$186+1.35*(0-'TO HOP'!$M$53))</f>
        <v/>
      </c>
      <c r="C279" s="58" t="str">
        <f>IF($A279="","",'TO HOP'!$D$186+1.35*(0-'TO HOP'!$M$54))</f>
        <v/>
      </c>
      <c r="D279" s="58" t="str">
        <f>IF($A279="","",'TO HOP'!$E$186+1.35*(INDEX('LANE ENGINE'!$D$6:$D$45,8)-'TO HOP'!$M$55))</f>
        <v/>
      </c>
      <c r="E279" s="58" t="str">
        <f>IF($A279="","",'TO HOP'!$F$186+1.35*(INDEX('LANE ENGINE'!$E$6:$E$45,8)-'TO HOP'!$M$56))</f>
        <v/>
      </c>
      <c r="F279" s="58" t="str">
        <f>IF($A279="","",'TO HOP'!$G$186+1.35*(0-'TO HOP'!$M$57))</f>
        <v/>
      </c>
      <c r="G279" s="58" t="str">
        <f>IF($A279="","",'TO HOP'!$H$186+1.35*(0-'TO HOP'!$M$58))</f>
        <v/>
      </c>
      <c r="H279" s="58" t="str">
        <f>IF($A279="","",'TO HOP'!$I$186+1.35*(0-'TO HOP'!$M$59))</f>
        <v/>
      </c>
      <c r="I279" s="58" t="str">
        <f>IF($A279="","",'TO HOP'!$J$186+1.35*(INDEX('LANE ENGINE'!$D$6:$D$45,8)-'TO HOP'!$M$60))</f>
        <v/>
      </c>
      <c r="J279" s="58" t="str">
        <f>IF($A279="","",'TO HOP'!$K$186+1.35*(INDEX('LANE ENGINE'!$E$6:$E$45,8)-'TO HOP'!$M$61))</f>
        <v/>
      </c>
      <c r="K279" s="58" t="str">
        <f>IF($A279="","",'TO HOP'!$L$186+1.35*(0-'TO HOP'!$M$62))</f>
        <v/>
      </c>
      <c r="L279" s="42" t="s">
        <v>1579</v>
      </c>
      <c r="M279" s="42">
        <v>8</v>
      </c>
    </row>
    <row r="280" spans="1:13" x14ac:dyDescent="0.3">
      <c r="A280" s="42" t="str">
        <f>IF(9&lt;=nLan,"CĐ V(a) max - 2 nhịp "&amp;9&amp;" làn","")</f>
        <v/>
      </c>
      <c r="B280" s="58" t="str">
        <f>IF($A280="","",'TO HOP'!$C$186+1.35*(0-'TO HOP'!$M$53))</f>
        <v/>
      </c>
      <c r="C280" s="58" t="str">
        <f>IF($A280="","",'TO HOP'!$D$186+1.35*(0-'TO HOP'!$M$54))</f>
        <v/>
      </c>
      <c r="D280" s="58" t="str">
        <f>IF($A280="","",'TO HOP'!$E$186+1.35*(INDEX('LANE ENGINE'!$D$6:$D$45,9)-'TO HOP'!$M$55))</f>
        <v/>
      </c>
      <c r="E280" s="58" t="str">
        <f>IF($A280="","",'TO HOP'!$F$186+1.35*(INDEX('LANE ENGINE'!$E$6:$E$45,9)-'TO HOP'!$M$56))</f>
        <v/>
      </c>
      <c r="F280" s="58" t="str">
        <f>IF($A280="","",'TO HOP'!$G$186+1.35*(0-'TO HOP'!$M$57))</f>
        <v/>
      </c>
      <c r="G280" s="58" t="str">
        <f>IF($A280="","",'TO HOP'!$H$186+1.35*(0-'TO HOP'!$M$58))</f>
        <v/>
      </c>
      <c r="H280" s="58" t="str">
        <f>IF($A280="","",'TO HOP'!$I$186+1.35*(0-'TO HOP'!$M$59))</f>
        <v/>
      </c>
      <c r="I280" s="58" t="str">
        <f>IF($A280="","",'TO HOP'!$J$186+1.35*(INDEX('LANE ENGINE'!$D$6:$D$45,9)-'TO HOP'!$M$60))</f>
        <v/>
      </c>
      <c r="J280" s="58" t="str">
        <f>IF($A280="","",'TO HOP'!$K$186+1.35*(INDEX('LANE ENGINE'!$E$6:$E$45,9)-'TO HOP'!$M$61))</f>
        <v/>
      </c>
      <c r="K280" s="58" t="str">
        <f>IF($A280="","",'TO HOP'!$L$186+1.35*(0-'TO HOP'!$M$62))</f>
        <v/>
      </c>
      <c r="L280" s="42" t="s">
        <v>1579</v>
      </c>
      <c r="M280" s="42">
        <v>9</v>
      </c>
    </row>
    <row r="281" spans="1:13" x14ac:dyDescent="0.3">
      <c r="A281" s="42" t="str">
        <f>IF(10&lt;=nLan,"CĐ V(a) max - 2 nhịp "&amp;10&amp;" làn","")</f>
        <v/>
      </c>
      <c r="B281" s="58" t="str">
        <f>IF($A281="","",'TO HOP'!$C$186+1.35*(0-'TO HOP'!$M$53))</f>
        <v/>
      </c>
      <c r="C281" s="58" t="str">
        <f>IF($A281="","",'TO HOP'!$D$186+1.35*(0-'TO HOP'!$M$54))</f>
        <v/>
      </c>
      <c r="D281" s="58" t="str">
        <f>IF($A281="","",'TO HOP'!$E$186+1.35*(INDEX('LANE ENGINE'!$D$6:$D$45,10)-'TO HOP'!$M$55))</f>
        <v/>
      </c>
      <c r="E281" s="58" t="str">
        <f>IF($A281="","",'TO HOP'!$F$186+1.35*(INDEX('LANE ENGINE'!$E$6:$E$45,10)-'TO HOP'!$M$56))</f>
        <v/>
      </c>
      <c r="F281" s="58" t="str">
        <f>IF($A281="","",'TO HOP'!$G$186+1.35*(0-'TO HOP'!$M$57))</f>
        <v/>
      </c>
      <c r="G281" s="58" t="str">
        <f>IF($A281="","",'TO HOP'!$H$186+1.35*(0-'TO HOP'!$M$58))</f>
        <v/>
      </c>
      <c r="H281" s="58" t="str">
        <f>IF($A281="","",'TO HOP'!$I$186+1.35*(0-'TO HOP'!$M$59))</f>
        <v/>
      </c>
      <c r="I281" s="58" t="str">
        <f>IF($A281="","",'TO HOP'!$J$186+1.35*(INDEX('LANE ENGINE'!$D$6:$D$45,10)-'TO HOP'!$M$60))</f>
        <v/>
      </c>
      <c r="J281" s="58" t="str">
        <f>IF($A281="","",'TO HOP'!$K$186+1.35*(INDEX('LANE ENGINE'!$E$6:$E$45,10)-'TO HOP'!$M$61))</f>
        <v/>
      </c>
      <c r="K281" s="58" t="str">
        <f>IF($A281="","",'TO HOP'!$L$186+1.35*(0-'TO HOP'!$M$62))</f>
        <v/>
      </c>
      <c r="L281" s="42" t="s">
        <v>1579</v>
      </c>
      <c r="M281" s="42">
        <v>10</v>
      </c>
    </row>
    <row r="282" spans="1:13" x14ac:dyDescent="0.3">
      <c r="A282" s="42" t="str">
        <f>IF(11&lt;=nLan,"CĐ V(a) max - 2 nhịp "&amp;11&amp;" làn","")</f>
        <v/>
      </c>
      <c r="B282" s="58" t="str">
        <f>IF($A282="","",'TO HOP'!$C$186+1.35*(0-'TO HOP'!$M$53))</f>
        <v/>
      </c>
      <c r="C282" s="58" t="str">
        <f>IF($A282="","",'TO HOP'!$D$186+1.35*(0-'TO HOP'!$M$54))</f>
        <v/>
      </c>
      <c r="D282" s="58" t="str">
        <f>IF($A282="","",'TO HOP'!$E$186+1.35*(INDEX('LANE ENGINE'!$D$6:$D$45,11)-'TO HOP'!$M$55))</f>
        <v/>
      </c>
      <c r="E282" s="58" t="str">
        <f>IF($A282="","",'TO HOP'!$F$186+1.35*(INDEX('LANE ENGINE'!$E$6:$E$45,11)-'TO HOP'!$M$56))</f>
        <v/>
      </c>
      <c r="F282" s="58" t="str">
        <f>IF($A282="","",'TO HOP'!$G$186+1.35*(0-'TO HOP'!$M$57))</f>
        <v/>
      </c>
      <c r="G282" s="58" t="str">
        <f>IF($A282="","",'TO HOP'!$H$186+1.35*(0-'TO HOP'!$M$58))</f>
        <v/>
      </c>
      <c r="H282" s="58" t="str">
        <f>IF($A282="","",'TO HOP'!$I$186+1.35*(0-'TO HOP'!$M$59))</f>
        <v/>
      </c>
      <c r="I282" s="58" t="str">
        <f>IF($A282="","",'TO HOP'!$J$186+1.35*(INDEX('LANE ENGINE'!$D$6:$D$45,11)-'TO HOP'!$M$60))</f>
        <v/>
      </c>
      <c r="J282" s="58" t="str">
        <f>IF($A282="","",'TO HOP'!$K$186+1.35*(INDEX('LANE ENGINE'!$E$6:$E$45,11)-'TO HOP'!$M$61))</f>
        <v/>
      </c>
      <c r="K282" s="58" t="str">
        <f>IF($A282="","",'TO HOP'!$L$186+1.35*(0-'TO HOP'!$M$62))</f>
        <v/>
      </c>
      <c r="L282" s="42" t="s">
        <v>1579</v>
      </c>
      <c r="M282" s="42">
        <v>11</v>
      </c>
    </row>
    <row r="283" spans="1:13" x14ac:dyDescent="0.3">
      <c r="A283" s="42" t="str">
        <f>IF(12&lt;=nLan,"CĐ V(a) max - 2 nhịp "&amp;12&amp;" làn","")</f>
        <v/>
      </c>
      <c r="B283" s="58" t="str">
        <f>IF($A283="","",'TO HOP'!$C$186+1.35*(0-'TO HOP'!$M$53))</f>
        <v/>
      </c>
      <c r="C283" s="58" t="str">
        <f>IF($A283="","",'TO HOP'!$D$186+1.35*(0-'TO HOP'!$M$54))</f>
        <v/>
      </c>
      <c r="D283" s="58" t="str">
        <f>IF($A283="","",'TO HOP'!$E$186+1.35*(INDEX('LANE ENGINE'!$D$6:$D$45,12)-'TO HOP'!$M$55))</f>
        <v/>
      </c>
      <c r="E283" s="58" t="str">
        <f>IF($A283="","",'TO HOP'!$F$186+1.35*(INDEX('LANE ENGINE'!$E$6:$E$45,12)-'TO HOP'!$M$56))</f>
        <v/>
      </c>
      <c r="F283" s="58" t="str">
        <f>IF($A283="","",'TO HOP'!$G$186+1.35*(0-'TO HOP'!$M$57))</f>
        <v/>
      </c>
      <c r="G283" s="58" t="str">
        <f>IF($A283="","",'TO HOP'!$H$186+1.35*(0-'TO HOP'!$M$58))</f>
        <v/>
      </c>
      <c r="H283" s="58" t="str">
        <f>IF($A283="","",'TO HOP'!$I$186+1.35*(0-'TO HOP'!$M$59))</f>
        <v/>
      </c>
      <c r="I283" s="58" t="str">
        <f>IF($A283="","",'TO HOP'!$J$186+1.35*(INDEX('LANE ENGINE'!$D$6:$D$45,12)-'TO HOP'!$M$60))</f>
        <v/>
      </c>
      <c r="J283" s="58" t="str">
        <f>IF($A283="","",'TO HOP'!$K$186+1.35*(INDEX('LANE ENGINE'!$E$6:$E$45,12)-'TO HOP'!$M$61))</f>
        <v/>
      </c>
      <c r="K283" s="58" t="str">
        <f>IF($A283="","",'TO HOP'!$L$186+1.35*(0-'TO HOP'!$M$62))</f>
        <v/>
      </c>
      <c r="L283" s="42" t="s">
        <v>1579</v>
      </c>
      <c r="M283" s="42">
        <v>12</v>
      </c>
    </row>
    <row r="284" spans="1:13" x14ac:dyDescent="0.3">
      <c r="A284" s="42" t="str">
        <f>IF(13&lt;=nLan,"CĐ V(a) max - 2 nhịp "&amp;13&amp;" làn","")</f>
        <v/>
      </c>
      <c r="B284" s="58" t="str">
        <f>IF($A284="","",'TO HOP'!$C$186+1.35*(0-'TO HOP'!$M$53))</f>
        <v/>
      </c>
      <c r="C284" s="58" t="str">
        <f>IF($A284="","",'TO HOP'!$D$186+1.35*(0-'TO HOP'!$M$54))</f>
        <v/>
      </c>
      <c r="D284" s="58" t="str">
        <f>IF($A284="","",'TO HOP'!$E$186+1.35*(INDEX('LANE ENGINE'!$D$6:$D$45,13)-'TO HOP'!$M$55))</f>
        <v/>
      </c>
      <c r="E284" s="58" t="str">
        <f>IF($A284="","",'TO HOP'!$F$186+1.35*(INDEX('LANE ENGINE'!$E$6:$E$45,13)-'TO HOP'!$M$56))</f>
        <v/>
      </c>
      <c r="F284" s="58" t="str">
        <f>IF($A284="","",'TO HOP'!$G$186+1.35*(0-'TO HOP'!$M$57))</f>
        <v/>
      </c>
      <c r="G284" s="58" t="str">
        <f>IF($A284="","",'TO HOP'!$H$186+1.35*(0-'TO HOP'!$M$58))</f>
        <v/>
      </c>
      <c r="H284" s="58" t="str">
        <f>IF($A284="","",'TO HOP'!$I$186+1.35*(0-'TO HOP'!$M$59))</f>
        <v/>
      </c>
      <c r="I284" s="58" t="str">
        <f>IF($A284="","",'TO HOP'!$J$186+1.35*(INDEX('LANE ENGINE'!$D$6:$D$45,13)-'TO HOP'!$M$60))</f>
        <v/>
      </c>
      <c r="J284" s="58" t="str">
        <f>IF($A284="","",'TO HOP'!$K$186+1.35*(INDEX('LANE ENGINE'!$E$6:$E$45,13)-'TO HOP'!$M$61))</f>
        <v/>
      </c>
      <c r="K284" s="58" t="str">
        <f>IF($A284="","",'TO HOP'!$L$186+1.35*(0-'TO HOP'!$M$62))</f>
        <v/>
      </c>
      <c r="L284" s="42" t="s">
        <v>1579</v>
      </c>
      <c r="M284" s="42">
        <v>13</v>
      </c>
    </row>
    <row r="285" spans="1:13" x14ac:dyDescent="0.3">
      <c r="A285" s="42" t="str">
        <f>IF(14&lt;=nLan,"CĐ V(a) max - 2 nhịp "&amp;14&amp;" làn","")</f>
        <v/>
      </c>
      <c r="B285" s="58" t="str">
        <f>IF($A285="","",'TO HOP'!$C$186+1.35*(0-'TO HOP'!$M$53))</f>
        <v/>
      </c>
      <c r="C285" s="58" t="str">
        <f>IF($A285="","",'TO HOP'!$D$186+1.35*(0-'TO HOP'!$M$54))</f>
        <v/>
      </c>
      <c r="D285" s="58" t="str">
        <f>IF($A285="","",'TO HOP'!$E$186+1.35*(INDEX('LANE ENGINE'!$D$6:$D$45,14)-'TO HOP'!$M$55))</f>
        <v/>
      </c>
      <c r="E285" s="58" t="str">
        <f>IF($A285="","",'TO HOP'!$F$186+1.35*(INDEX('LANE ENGINE'!$E$6:$E$45,14)-'TO HOP'!$M$56))</f>
        <v/>
      </c>
      <c r="F285" s="58" t="str">
        <f>IF($A285="","",'TO HOP'!$G$186+1.35*(0-'TO HOP'!$M$57))</f>
        <v/>
      </c>
      <c r="G285" s="58" t="str">
        <f>IF($A285="","",'TO HOP'!$H$186+1.35*(0-'TO HOP'!$M$58))</f>
        <v/>
      </c>
      <c r="H285" s="58" t="str">
        <f>IF($A285="","",'TO HOP'!$I$186+1.35*(0-'TO HOP'!$M$59))</f>
        <v/>
      </c>
      <c r="I285" s="58" t="str">
        <f>IF($A285="","",'TO HOP'!$J$186+1.35*(INDEX('LANE ENGINE'!$D$6:$D$45,14)-'TO HOP'!$M$60))</f>
        <v/>
      </c>
      <c r="J285" s="58" t="str">
        <f>IF($A285="","",'TO HOP'!$K$186+1.35*(INDEX('LANE ENGINE'!$E$6:$E$45,14)-'TO HOP'!$M$61))</f>
        <v/>
      </c>
      <c r="K285" s="58" t="str">
        <f>IF($A285="","",'TO HOP'!$L$186+1.35*(0-'TO HOP'!$M$62))</f>
        <v/>
      </c>
      <c r="L285" s="42" t="s">
        <v>1579</v>
      </c>
      <c r="M285" s="42">
        <v>14</v>
      </c>
    </row>
    <row r="286" spans="1:13" x14ac:dyDescent="0.3">
      <c r="A286" s="42" t="str">
        <f>IF(15&lt;=nLan,"CĐ V(a) max - 2 nhịp "&amp;15&amp;" làn","")</f>
        <v/>
      </c>
      <c r="B286" s="58" t="str">
        <f>IF($A286="","",'TO HOP'!$C$186+1.35*(0-'TO HOP'!$M$53))</f>
        <v/>
      </c>
      <c r="C286" s="58" t="str">
        <f>IF($A286="","",'TO HOP'!$D$186+1.35*(0-'TO HOP'!$M$54))</f>
        <v/>
      </c>
      <c r="D286" s="58" t="str">
        <f>IF($A286="","",'TO HOP'!$E$186+1.35*(INDEX('LANE ENGINE'!$D$6:$D$45,15)-'TO HOP'!$M$55))</f>
        <v/>
      </c>
      <c r="E286" s="58" t="str">
        <f>IF($A286="","",'TO HOP'!$F$186+1.35*(INDEX('LANE ENGINE'!$E$6:$E$45,15)-'TO HOP'!$M$56))</f>
        <v/>
      </c>
      <c r="F286" s="58" t="str">
        <f>IF($A286="","",'TO HOP'!$G$186+1.35*(0-'TO HOP'!$M$57))</f>
        <v/>
      </c>
      <c r="G286" s="58" t="str">
        <f>IF($A286="","",'TO HOP'!$H$186+1.35*(0-'TO HOP'!$M$58))</f>
        <v/>
      </c>
      <c r="H286" s="58" t="str">
        <f>IF($A286="","",'TO HOP'!$I$186+1.35*(0-'TO HOP'!$M$59))</f>
        <v/>
      </c>
      <c r="I286" s="58" t="str">
        <f>IF($A286="","",'TO HOP'!$J$186+1.35*(INDEX('LANE ENGINE'!$D$6:$D$45,15)-'TO HOP'!$M$60))</f>
        <v/>
      </c>
      <c r="J286" s="58" t="str">
        <f>IF($A286="","",'TO HOP'!$K$186+1.35*(INDEX('LANE ENGINE'!$E$6:$E$45,15)-'TO HOP'!$M$61))</f>
        <v/>
      </c>
      <c r="K286" s="58" t="str">
        <f>IF($A286="","",'TO HOP'!$L$186+1.35*(0-'TO HOP'!$M$62))</f>
        <v/>
      </c>
      <c r="L286" s="42" t="s">
        <v>1579</v>
      </c>
      <c r="M286" s="42">
        <v>15</v>
      </c>
    </row>
    <row r="287" spans="1:13" x14ac:dyDescent="0.3">
      <c r="A287" s="42" t="str">
        <f>IF(16&lt;=nLan,"CĐ V(a) max - 2 nhịp "&amp;16&amp;" làn","")</f>
        <v/>
      </c>
      <c r="B287" s="58" t="str">
        <f>IF($A287="","",'TO HOP'!$C$186+1.35*(0-'TO HOP'!$M$53))</f>
        <v/>
      </c>
      <c r="C287" s="58" t="str">
        <f>IF($A287="","",'TO HOP'!$D$186+1.35*(0-'TO HOP'!$M$54))</f>
        <v/>
      </c>
      <c r="D287" s="58" t="str">
        <f>IF($A287="","",'TO HOP'!$E$186+1.35*(INDEX('LANE ENGINE'!$D$6:$D$45,16)-'TO HOP'!$M$55))</f>
        <v/>
      </c>
      <c r="E287" s="58" t="str">
        <f>IF($A287="","",'TO HOP'!$F$186+1.35*(INDEX('LANE ENGINE'!$E$6:$E$45,16)-'TO HOP'!$M$56))</f>
        <v/>
      </c>
      <c r="F287" s="58" t="str">
        <f>IF($A287="","",'TO HOP'!$G$186+1.35*(0-'TO HOP'!$M$57))</f>
        <v/>
      </c>
      <c r="G287" s="58" t="str">
        <f>IF($A287="","",'TO HOP'!$H$186+1.35*(0-'TO HOP'!$M$58))</f>
        <v/>
      </c>
      <c r="H287" s="58" t="str">
        <f>IF($A287="","",'TO HOP'!$I$186+1.35*(0-'TO HOP'!$M$59))</f>
        <v/>
      </c>
      <c r="I287" s="58" t="str">
        <f>IF($A287="","",'TO HOP'!$J$186+1.35*(INDEX('LANE ENGINE'!$D$6:$D$45,16)-'TO HOP'!$M$60))</f>
        <v/>
      </c>
      <c r="J287" s="58" t="str">
        <f>IF($A287="","",'TO HOP'!$K$186+1.35*(INDEX('LANE ENGINE'!$E$6:$E$45,16)-'TO HOP'!$M$61))</f>
        <v/>
      </c>
      <c r="K287" s="58" t="str">
        <f>IF($A287="","",'TO HOP'!$L$186+1.35*(0-'TO HOP'!$M$62))</f>
        <v/>
      </c>
      <c r="L287" s="42" t="s">
        <v>1579</v>
      </c>
      <c r="M287" s="42">
        <v>16</v>
      </c>
    </row>
    <row r="288" spans="1:13" x14ac:dyDescent="0.3">
      <c r="A288" s="42" t="str">
        <f>IF(17&lt;=nLan,"CĐ V(a) max - 2 nhịp "&amp;17&amp;" làn","")</f>
        <v/>
      </c>
      <c r="B288" s="58" t="str">
        <f>IF($A288="","",'TO HOP'!$C$186+1.35*(0-'TO HOP'!$M$53))</f>
        <v/>
      </c>
      <c r="C288" s="58" t="str">
        <f>IF($A288="","",'TO HOP'!$D$186+1.35*(0-'TO HOP'!$M$54))</f>
        <v/>
      </c>
      <c r="D288" s="58" t="str">
        <f>IF($A288="","",'TO HOP'!$E$186+1.35*(INDEX('LANE ENGINE'!$D$6:$D$45,17)-'TO HOP'!$M$55))</f>
        <v/>
      </c>
      <c r="E288" s="58" t="str">
        <f>IF($A288="","",'TO HOP'!$F$186+1.35*(INDEX('LANE ENGINE'!$E$6:$E$45,17)-'TO HOP'!$M$56))</f>
        <v/>
      </c>
      <c r="F288" s="58" t="str">
        <f>IF($A288="","",'TO HOP'!$G$186+1.35*(0-'TO HOP'!$M$57))</f>
        <v/>
      </c>
      <c r="G288" s="58" t="str">
        <f>IF($A288="","",'TO HOP'!$H$186+1.35*(0-'TO HOP'!$M$58))</f>
        <v/>
      </c>
      <c r="H288" s="58" t="str">
        <f>IF($A288="","",'TO HOP'!$I$186+1.35*(0-'TO HOP'!$M$59))</f>
        <v/>
      </c>
      <c r="I288" s="58" t="str">
        <f>IF($A288="","",'TO HOP'!$J$186+1.35*(INDEX('LANE ENGINE'!$D$6:$D$45,17)-'TO HOP'!$M$60))</f>
        <v/>
      </c>
      <c r="J288" s="58" t="str">
        <f>IF($A288="","",'TO HOP'!$K$186+1.35*(INDEX('LANE ENGINE'!$E$6:$E$45,17)-'TO HOP'!$M$61))</f>
        <v/>
      </c>
      <c r="K288" s="58" t="str">
        <f>IF($A288="","",'TO HOP'!$L$186+1.35*(0-'TO HOP'!$M$62))</f>
        <v/>
      </c>
      <c r="L288" s="42" t="s">
        <v>1579</v>
      </c>
      <c r="M288" s="42">
        <v>17</v>
      </c>
    </row>
    <row r="289" spans="1:13" x14ac:dyDescent="0.3">
      <c r="A289" s="42" t="str">
        <f>IF(18&lt;=nLan,"CĐ V(a) max - 2 nhịp "&amp;18&amp;" làn","")</f>
        <v/>
      </c>
      <c r="B289" s="58" t="str">
        <f>IF($A289="","",'TO HOP'!$C$186+1.35*(0-'TO HOP'!$M$53))</f>
        <v/>
      </c>
      <c r="C289" s="58" t="str">
        <f>IF($A289="","",'TO HOP'!$D$186+1.35*(0-'TO HOP'!$M$54))</f>
        <v/>
      </c>
      <c r="D289" s="58" t="str">
        <f>IF($A289="","",'TO HOP'!$E$186+1.35*(INDEX('LANE ENGINE'!$D$6:$D$45,18)-'TO HOP'!$M$55))</f>
        <v/>
      </c>
      <c r="E289" s="58" t="str">
        <f>IF($A289="","",'TO HOP'!$F$186+1.35*(INDEX('LANE ENGINE'!$E$6:$E$45,18)-'TO HOP'!$M$56))</f>
        <v/>
      </c>
      <c r="F289" s="58" t="str">
        <f>IF($A289="","",'TO HOP'!$G$186+1.35*(0-'TO HOP'!$M$57))</f>
        <v/>
      </c>
      <c r="G289" s="58" t="str">
        <f>IF($A289="","",'TO HOP'!$H$186+1.35*(0-'TO HOP'!$M$58))</f>
        <v/>
      </c>
      <c r="H289" s="58" t="str">
        <f>IF($A289="","",'TO HOP'!$I$186+1.35*(0-'TO HOP'!$M$59))</f>
        <v/>
      </c>
      <c r="I289" s="58" t="str">
        <f>IF($A289="","",'TO HOP'!$J$186+1.35*(INDEX('LANE ENGINE'!$D$6:$D$45,18)-'TO HOP'!$M$60))</f>
        <v/>
      </c>
      <c r="J289" s="58" t="str">
        <f>IF($A289="","",'TO HOP'!$K$186+1.35*(INDEX('LANE ENGINE'!$E$6:$E$45,18)-'TO HOP'!$M$61))</f>
        <v/>
      </c>
      <c r="K289" s="58" t="str">
        <f>IF($A289="","",'TO HOP'!$L$186+1.35*(0-'TO HOP'!$M$62))</f>
        <v/>
      </c>
      <c r="L289" s="42" t="s">
        <v>1579</v>
      </c>
      <c r="M289" s="42">
        <v>18</v>
      </c>
    </row>
    <row r="290" spans="1:13" x14ac:dyDescent="0.3">
      <c r="A290" s="42" t="str">
        <f>IF(19&lt;=nLan,"CĐ V(a) max - 2 nhịp "&amp;19&amp;" làn","")</f>
        <v/>
      </c>
      <c r="B290" s="58" t="str">
        <f>IF($A290="","",'TO HOP'!$C$186+1.35*(0-'TO HOP'!$M$53))</f>
        <v/>
      </c>
      <c r="C290" s="58" t="str">
        <f>IF($A290="","",'TO HOP'!$D$186+1.35*(0-'TO HOP'!$M$54))</f>
        <v/>
      </c>
      <c r="D290" s="58" t="str">
        <f>IF($A290="","",'TO HOP'!$E$186+1.35*(INDEX('LANE ENGINE'!$D$6:$D$45,19)-'TO HOP'!$M$55))</f>
        <v/>
      </c>
      <c r="E290" s="58" t="str">
        <f>IF($A290="","",'TO HOP'!$F$186+1.35*(INDEX('LANE ENGINE'!$E$6:$E$45,19)-'TO HOP'!$M$56))</f>
        <v/>
      </c>
      <c r="F290" s="58" t="str">
        <f>IF($A290="","",'TO HOP'!$G$186+1.35*(0-'TO HOP'!$M$57))</f>
        <v/>
      </c>
      <c r="G290" s="58" t="str">
        <f>IF($A290="","",'TO HOP'!$H$186+1.35*(0-'TO HOP'!$M$58))</f>
        <v/>
      </c>
      <c r="H290" s="58" t="str">
        <f>IF($A290="","",'TO HOP'!$I$186+1.35*(0-'TO HOP'!$M$59))</f>
        <v/>
      </c>
      <c r="I290" s="58" t="str">
        <f>IF($A290="","",'TO HOP'!$J$186+1.35*(INDEX('LANE ENGINE'!$D$6:$D$45,19)-'TO HOP'!$M$60))</f>
        <v/>
      </c>
      <c r="J290" s="58" t="str">
        <f>IF($A290="","",'TO HOP'!$K$186+1.35*(INDEX('LANE ENGINE'!$E$6:$E$45,19)-'TO HOP'!$M$61))</f>
        <v/>
      </c>
      <c r="K290" s="58" t="str">
        <f>IF($A290="","",'TO HOP'!$L$186+1.35*(0-'TO HOP'!$M$62))</f>
        <v/>
      </c>
      <c r="L290" s="42" t="s">
        <v>1579</v>
      </c>
      <c r="M290" s="42">
        <v>19</v>
      </c>
    </row>
    <row r="291" spans="1:13" x14ac:dyDescent="0.3">
      <c r="A291" s="42" t="str">
        <f>IF(20&lt;=nLan,"CĐ V(a) max - 2 nhịp "&amp;20&amp;" làn","")</f>
        <v/>
      </c>
      <c r="B291" s="58" t="str">
        <f>IF($A291="","",'TO HOP'!$C$186+1.35*(0-'TO HOP'!$M$53))</f>
        <v/>
      </c>
      <c r="C291" s="58" t="str">
        <f>IF($A291="","",'TO HOP'!$D$186+1.35*(0-'TO HOP'!$M$54))</f>
        <v/>
      </c>
      <c r="D291" s="58" t="str">
        <f>IF($A291="","",'TO HOP'!$E$186+1.35*(INDEX('LANE ENGINE'!$D$6:$D$45,20)-'TO HOP'!$M$55))</f>
        <v/>
      </c>
      <c r="E291" s="58" t="str">
        <f>IF($A291="","",'TO HOP'!$F$186+1.35*(INDEX('LANE ENGINE'!$E$6:$E$45,20)-'TO HOP'!$M$56))</f>
        <v/>
      </c>
      <c r="F291" s="58" t="str">
        <f>IF($A291="","",'TO HOP'!$G$186+1.35*(0-'TO HOP'!$M$57))</f>
        <v/>
      </c>
      <c r="G291" s="58" t="str">
        <f>IF($A291="","",'TO HOP'!$H$186+1.35*(0-'TO HOP'!$M$58))</f>
        <v/>
      </c>
      <c r="H291" s="58" t="str">
        <f>IF($A291="","",'TO HOP'!$I$186+1.35*(0-'TO HOP'!$M$59))</f>
        <v/>
      </c>
      <c r="I291" s="58" t="str">
        <f>IF($A291="","",'TO HOP'!$J$186+1.35*(INDEX('LANE ENGINE'!$D$6:$D$45,20)-'TO HOP'!$M$60))</f>
        <v/>
      </c>
      <c r="J291" s="58" t="str">
        <f>IF($A291="","",'TO HOP'!$K$186+1.35*(INDEX('LANE ENGINE'!$E$6:$E$45,20)-'TO HOP'!$M$61))</f>
        <v/>
      </c>
      <c r="K291" s="58" t="str">
        <f>IF($A291="","",'TO HOP'!$L$186+1.35*(0-'TO HOP'!$M$62))</f>
        <v/>
      </c>
      <c r="L291" s="42" t="s">
        <v>1579</v>
      </c>
      <c r="M291" s="42">
        <v>20</v>
      </c>
    </row>
    <row r="292" spans="1:13" x14ac:dyDescent="0.3">
      <c r="A292" s="42" t="str">
        <f>IF(21&lt;=nLan,"CĐ V(a) max - 2 nhịp "&amp;21&amp;" làn","")</f>
        <v/>
      </c>
      <c r="B292" s="58" t="str">
        <f>IF($A292="","",'TO HOP'!$C$186+1.35*(0-'TO HOP'!$M$53))</f>
        <v/>
      </c>
      <c r="C292" s="58" t="str">
        <f>IF($A292="","",'TO HOP'!$D$186+1.35*(0-'TO HOP'!$M$54))</f>
        <v/>
      </c>
      <c r="D292" s="58" t="str">
        <f>IF($A292="","",'TO HOP'!$E$186+1.35*(INDEX('LANE ENGINE'!$D$6:$D$45,21)-'TO HOP'!$M$55))</f>
        <v/>
      </c>
      <c r="E292" s="58" t="str">
        <f>IF($A292="","",'TO HOP'!$F$186+1.35*(INDEX('LANE ENGINE'!$E$6:$E$45,21)-'TO HOP'!$M$56))</f>
        <v/>
      </c>
      <c r="F292" s="58" t="str">
        <f>IF($A292="","",'TO HOP'!$G$186+1.35*(0-'TO HOP'!$M$57))</f>
        <v/>
      </c>
      <c r="G292" s="58" t="str">
        <f>IF($A292="","",'TO HOP'!$H$186+1.35*(0-'TO HOP'!$M$58))</f>
        <v/>
      </c>
      <c r="H292" s="58" t="str">
        <f>IF($A292="","",'TO HOP'!$I$186+1.35*(0-'TO HOP'!$M$59))</f>
        <v/>
      </c>
      <c r="I292" s="58" t="str">
        <f>IF($A292="","",'TO HOP'!$J$186+1.35*(INDEX('LANE ENGINE'!$D$6:$D$45,21)-'TO HOP'!$M$60))</f>
        <v/>
      </c>
      <c r="J292" s="58" t="str">
        <f>IF($A292="","",'TO HOP'!$K$186+1.35*(INDEX('LANE ENGINE'!$E$6:$E$45,21)-'TO HOP'!$M$61))</f>
        <v/>
      </c>
      <c r="K292" s="58" t="str">
        <f>IF($A292="","",'TO HOP'!$L$186+1.35*(0-'TO HOP'!$M$62))</f>
        <v/>
      </c>
      <c r="L292" s="42" t="s">
        <v>1579</v>
      </c>
      <c r="M292" s="42">
        <v>21</v>
      </c>
    </row>
    <row r="293" spans="1:13" x14ac:dyDescent="0.3">
      <c r="A293" s="42" t="str">
        <f>IF(22&lt;=nLan,"CĐ V(a) max - 2 nhịp "&amp;22&amp;" làn","")</f>
        <v/>
      </c>
      <c r="B293" s="58" t="str">
        <f>IF($A293="","",'TO HOP'!$C$186+1.35*(0-'TO HOP'!$M$53))</f>
        <v/>
      </c>
      <c r="C293" s="58" t="str">
        <f>IF($A293="","",'TO HOP'!$D$186+1.35*(0-'TO HOP'!$M$54))</f>
        <v/>
      </c>
      <c r="D293" s="58" t="str">
        <f>IF($A293="","",'TO HOP'!$E$186+1.35*(INDEX('LANE ENGINE'!$D$6:$D$45,22)-'TO HOP'!$M$55))</f>
        <v/>
      </c>
      <c r="E293" s="58" t="str">
        <f>IF($A293="","",'TO HOP'!$F$186+1.35*(INDEX('LANE ENGINE'!$E$6:$E$45,22)-'TO HOP'!$M$56))</f>
        <v/>
      </c>
      <c r="F293" s="58" t="str">
        <f>IF($A293="","",'TO HOP'!$G$186+1.35*(0-'TO HOP'!$M$57))</f>
        <v/>
      </c>
      <c r="G293" s="58" t="str">
        <f>IF($A293="","",'TO HOP'!$H$186+1.35*(0-'TO HOP'!$M$58))</f>
        <v/>
      </c>
      <c r="H293" s="58" t="str">
        <f>IF($A293="","",'TO HOP'!$I$186+1.35*(0-'TO HOP'!$M$59))</f>
        <v/>
      </c>
      <c r="I293" s="58" t="str">
        <f>IF($A293="","",'TO HOP'!$J$186+1.35*(INDEX('LANE ENGINE'!$D$6:$D$45,22)-'TO HOP'!$M$60))</f>
        <v/>
      </c>
      <c r="J293" s="58" t="str">
        <f>IF($A293="","",'TO HOP'!$K$186+1.35*(INDEX('LANE ENGINE'!$E$6:$E$45,22)-'TO HOP'!$M$61))</f>
        <v/>
      </c>
      <c r="K293" s="58" t="str">
        <f>IF($A293="","",'TO HOP'!$L$186+1.35*(0-'TO HOP'!$M$62))</f>
        <v/>
      </c>
      <c r="L293" s="42" t="s">
        <v>1579</v>
      </c>
      <c r="M293" s="42">
        <v>22</v>
      </c>
    </row>
    <row r="294" spans="1:13" x14ac:dyDescent="0.3">
      <c r="A294" s="42" t="str">
        <f>IF(23&lt;=nLan,"CĐ V(a) max - 2 nhịp "&amp;23&amp;" làn","")</f>
        <v/>
      </c>
      <c r="B294" s="58" t="str">
        <f>IF($A294="","",'TO HOP'!$C$186+1.35*(0-'TO HOP'!$M$53))</f>
        <v/>
      </c>
      <c r="C294" s="58" t="str">
        <f>IF($A294="","",'TO HOP'!$D$186+1.35*(0-'TO HOP'!$M$54))</f>
        <v/>
      </c>
      <c r="D294" s="58" t="str">
        <f>IF($A294="","",'TO HOP'!$E$186+1.35*(INDEX('LANE ENGINE'!$D$6:$D$45,23)-'TO HOP'!$M$55))</f>
        <v/>
      </c>
      <c r="E294" s="58" t="str">
        <f>IF($A294="","",'TO HOP'!$F$186+1.35*(INDEX('LANE ENGINE'!$E$6:$E$45,23)-'TO HOP'!$M$56))</f>
        <v/>
      </c>
      <c r="F294" s="58" t="str">
        <f>IF($A294="","",'TO HOP'!$G$186+1.35*(0-'TO HOP'!$M$57))</f>
        <v/>
      </c>
      <c r="G294" s="58" t="str">
        <f>IF($A294="","",'TO HOP'!$H$186+1.35*(0-'TO HOP'!$M$58))</f>
        <v/>
      </c>
      <c r="H294" s="58" t="str">
        <f>IF($A294="","",'TO HOP'!$I$186+1.35*(0-'TO HOP'!$M$59))</f>
        <v/>
      </c>
      <c r="I294" s="58" t="str">
        <f>IF($A294="","",'TO HOP'!$J$186+1.35*(INDEX('LANE ENGINE'!$D$6:$D$45,23)-'TO HOP'!$M$60))</f>
        <v/>
      </c>
      <c r="J294" s="58" t="str">
        <f>IF($A294="","",'TO HOP'!$K$186+1.35*(INDEX('LANE ENGINE'!$E$6:$E$45,23)-'TO HOP'!$M$61))</f>
        <v/>
      </c>
      <c r="K294" s="58" t="str">
        <f>IF($A294="","",'TO HOP'!$L$186+1.35*(0-'TO HOP'!$M$62))</f>
        <v/>
      </c>
      <c r="L294" s="42" t="s">
        <v>1579</v>
      </c>
      <c r="M294" s="42">
        <v>23</v>
      </c>
    </row>
    <row r="295" spans="1:13" x14ac:dyDescent="0.3">
      <c r="A295" s="42" t="str">
        <f>IF(24&lt;=nLan,"CĐ V(a) max - 2 nhịp "&amp;24&amp;" làn","")</f>
        <v/>
      </c>
      <c r="B295" s="58" t="str">
        <f>IF($A295="","",'TO HOP'!$C$186+1.35*(0-'TO HOP'!$M$53))</f>
        <v/>
      </c>
      <c r="C295" s="58" t="str">
        <f>IF($A295="","",'TO HOP'!$D$186+1.35*(0-'TO HOP'!$M$54))</f>
        <v/>
      </c>
      <c r="D295" s="58" t="str">
        <f>IF($A295="","",'TO HOP'!$E$186+1.35*(INDEX('LANE ENGINE'!$D$6:$D$45,24)-'TO HOP'!$M$55))</f>
        <v/>
      </c>
      <c r="E295" s="58" t="str">
        <f>IF($A295="","",'TO HOP'!$F$186+1.35*(INDEX('LANE ENGINE'!$E$6:$E$45,24)-'TO HOP'!$M$56))</f>
        <v/>
      </c>
      <c r="F295" s="58" t="str">
        <f>IF($A295="","",'TO HOP'!$G$186+1.35*(0-'TO HOP'!$M$57))</f>
        <v/>
      </c>
      <c r="G295" s="58" t="str">
        <f>IF($A295="","",'TO HOP'!$H$186+1.35*(0-'TO HOP'!$M$58))</f>
        <v/>
      </c>
      <c r="H295" s="58" t="str">
        <f>IF($A295="","",'TO HOP'!$I$186+1.35*(0-'TO HOP'!$M$59))</f>
        <v/>
      </c>
      <c r="I295" s="58" t="str">
        <f>IF($A295="","",'TO HOP'!$J$186+1.35*(INDEX('LANE ENGINE'!$D$6:$D$45,24)-'TO HOP'!$M$60))</f>
        <v/>
      </c>
      <c r="J295" s="58" t="str">
        <f>IF($A295="","",'TO HOP'!$K$186+1.35*(INDEX('LANE ENGINE'!$E$6:$E$45,24)-'TO HOP'!$M$61))</f>
        <v/>
      </c>
      <c r="K295" s="58" t="str">
        <f>IF($A295="","",'TO HOP'!$L$186+1.35*(0-'TO HOP'!$M$62))</f>
        <v/>
      </c>
      <c r="L295" s="42" t="s">
        <v>1579</v>
      </c>
      <c r="M295" s="42">
        <v>24</v>
      </c>
    </row>
    <row r="296" spans="1:13" x14ac:dyDescent="0.3">
      <c r="A296" s="42" t="str">
        <f>IF(25&lt;=nLan,"CĐ V(a) max - 2 nhịp "&amp;25&amp;" làn","")</f>
        <v/>
      </c>
      <c r="B296" s="58" t="str">
        <f>IF($A296="","",'TO HOP'!$C$186+1.35*(0-'TO HOP'!$M$53))</f>
        <v/>
      </c>
      <c r="C296" s="58" t="str">
        <f>IF($A296="","",'TO HOP'!$D$186+1.35*(0-'TO HOP'!$M$54))</f>
        <v/>
      </c>
      <c r="D296" s="58" t="str">
        <f>IF($A296="","",'TO HOP'!$E$186+1.35*(INDEX('LANE ENGINE'!$D$6:$D$45,25)-'TO HOP'!$M$55))</f>
        <v/>
      </c>
      <c r="E296" s="58" t="str">
        <f>IF($A296="","",'TO HOP'!$F$186+1.35*(INDEX('LANE ENGINE'!$E$6:$E$45,25)-'TO HOP'!$M$56))</f>
        <v/>
      </c>
      <c r="F296" s="58" t="str">
        <f>IF($A296="","",'TO HOP'!$G$186+1.35*(0-'TO HOP'!$M$57))</f>
        <v/>
      </c>
      <c r="G296" s="58" t="str">
        <f>IF($A296="","",'TO HOP'!$H$186+1.35*(0-'TO HOP'!$M$58))</f>
        <v/>
      </c>
      <c r="H296" s="58" t="str">
        <f>IF($A296="","",'TO HOP'!$I$186+1.35*(0-'TO HOP'!$M$59))</f>
        <v/>
      </c>
      <c r="I296" s="58" t="str">
        <f>IF($A296="","",'TO HOP'!$J$186+1.35*(INDEX('LANE ENGINE'!$D$6:$D$45,25)-'TO HOP'!$M$60))</f>
        <v/>
      </c>
      <c r="J296" s="58" t="str">
        <f>IF($A296="","",'TO HOP'!$K$186+1.35*(INDEX('LANE ENGINE'!$E$6:$E$45,25)-'TO HOP'!$M$61))</f>
        <v/>
      </c>
      <c r="K296" s="58" t="str">
        <f>IF($A296="","",'TO HOP'!$L$186+1.35*(0-'TO HOP'!$M$62))</f>
        <v/>
      </c>
      <c r="L296" s="42" t="s">
        <v>1579</v>
      </c>
      <c r="M296" s="42">
        <v>25</v>
      </c>
    </row>
    <row r="297" spans="1:13" x14ac:dyDescent="0.3">
      <c r="A297" s="42" t="str">
        <f>IF(26&lt;=nLan,"CĐ V(a) max - 2 nhịp "&amp;26&amp;" làn","")</f>
        <v/>
      </c>
      <c r="B297" s="58" t="str">
        <f>IF($A297="","",'TO HOP'!$C$186+1.35*(0-'TO HOP'!$M$53))</f>
        <v/>
      </c>
      <c r="C297" s="58" t="str">
        <f>IF($A297="","",'TO HOP'!$D$186+1.35*(0-'TO HOP'!$M$54))</f>
        <v/>
      </c>
      <c r="D297" s="58" t="str">
        <f>IF($A297="","",'TO HOP'!$E$186+1.35*(INDEX('LANE ENGINE'!$D$6:$D$45,26)-'TO HOP'!$M$55))</f>
        <v/>
      </c>
      <c r="E297" s="58" t="str">
        <f>IF($A297="","",'TO HOP'!$F$186+1.35*(INDEX('LANE ENGINE'!$E$6:$E$45,26)-'TO HOP'!$M$56))</f>
        <v/>
      </c>
      <c r="F297" s="58" t="str">
        <f>IF($A297="","",'TO HOP'!$G$186+1.35*(0-'TO HOP'!$M$57))</f>
        <v/>
      </c>
      <c r="G297" s="58" t="str">
        <f>IF($A297="","",'TO HOP'!$H$186+1.35*(0-'TO HOP'!$M$58))</f>
        <v/>
      </c>
      <c r="H297" s="58" t="str">
        <f>IF($A297="","",'TO HOP'!$I$186+1.35*(0-'TO HOP'!$M$59))</f>
        <v/>
      </c>
      <c r="I297" s="58" t="str">
        <f>IF($A297="","",'TO HOP'!$J$186+1.35*(INDEX('LANE ENGINE'!$D$6:$D$45,26)-'TO HOP'!$M$60))</f>
        <v/>
      </c>
      <c r="J297" s="58" t="str">
        <f>IF($A297="","",'TO HOP'!$K$186+1.35*(INDEX('LANE ENGINE'!$E$6:$E$45,26)-'TO HOP'!$M$61))</f>
        <v/>
      </c>
      <c r="K297" s="58" t="str">
        <f>IF($A297="","",'TO HOP'!$L$186+1.35*(0-'TO HOP'!$M$62))</f>
        <v/>
      </c>
      <c r="L297" s="42" t="s">
        <v>1579</v>
      </c>
      <c r="M297" s="42">
        <v>26</v>
      </c>
    </row>
    <row r="298" spans="1:13" x14ac:dyDescent="0.3">
      <c r="A298" s="42" t="str">
        <f>IF(27&lt;=nLan,"CĐ V(a) max - 2 nhịp "&amp;27&amp;" làn","")</f>
        <v/>
      </c>
      <c r="B298" s="58" t="str">
        <f>IF($A298="","",'TO HOP'!$C$186+1.35*(0-'TO HOP'!$M$53))</f>
        <v/>
      </c>
      <c r="C298" s="58" t="str">
        <f>IF($A298="","",'TO HOP'!$D$186+1.35*(0-'TO HOP'!$M$54))</f>
        <v/>
      </c>
      <c r="D298" s="58" t="str">
        <f>IF($A298="","",'TO HOP'!$E$186+1.35*(INDEX('LANE ENGINE'!$D$6:$D$45,27)-'TO HOP'!$M$55))</f>
        <v/>
      </c>
      <c r="E298" s="58" t="str">
        <f>IF($A298="","",'TO HOP'!$F$186+1.35*(INDEX('LANE ENGINE'!$E$6:$E$45,27)-'TO HOP'!$M$56))</f>
        <v/>
      </c>
      <c r="F298" s="58" t="str">
        <f>IF($A298="","",'TO HOP'!$G$186+1.35*(0-'TO HOP'!$M$57))</f>
        <v/>
      </c>
      <c r="G298" s="58" t="str">
        <f>IF($A298="","",'TO HOP'!$H$186+1.35*(0-'TO HOP'!$M$58))</f>
        <v/>
      </c>
      <c r="H298" s="58" t="str">
        <f>IF($A298="","",'TO HOP'!$I$186+1.35*(0-'TO HOP'!$M$59))</f>
        <v/>
      </c>
      <c r="I298" s="58" t="str">
        <f>IF($A298="","",'TO HOP'!$J$186+1.35*(INDEX('LANE ENGINE'!$D$6:$D$45,27)-'TO HOP'!$M$60))</f>
        <v/>
      </c>
      <c r="J298" s="58" t="str">
        <f>IF($A298="","",'TO HOP'!$K$186+1.35*(INDEX('LANE ENGINE'!$E$6:$E$45,27)-'TO HOP'!$M$61))</f>
        <v/>
      </c>
      <c r="K298" s="58" t="str">
        <f>IF($A298="","",'TO HOP'!$L$186+1.35*(0-'TO HOP'!$M$62))</f>
        <v/>
      </c>
      <c r="L298" s="42" t="s">
        <v>1579</v>
      </c>
      <c r="M298" s="42">
        <v>27</v>
      </c>
    </row>
    <row r="299" spans="1:13" x14ac:dyDescent="0.3">
      <c r="A299" s="42" t="str">
        <f>IF(28&lt;=nLan,"CĐ V(a) max - 2 nhịp "&amp;28&amp;" làn","")</f>
        <v/>
      </c>
      <c r="B299" s="58" t="str">
        <f>IF($A299="","",'TO HOP'!$C$186+1.35*(0-'TO HOP'!$M$53))</f>
        <v/>
      </c>
      <c r="C299" s="58" t="str">
        <f>IF($A299="","",'TO HOP'!$D$186+1.35*(0-'TO HOP'!$M$54))</f>
        <v/>
      </c>
      <c r="D299" s="58" t="str">
        <f>IF($A299="","",'TO HOP'!$E$186+1.35*(INDEX('LANE ENGINE'!$D$6:$D$45,28)-'TO HOP'!$M$55))</f>
        <v/>
      </c>
      <c r="E299" s="58" t="str">
        <f>IF($A299="","",'TO HOP'!$F$186+1.35*(INDEX('LANE ENGINE'!$E$6:$E$45,28)-'TO HOP'!$M$56))</f>
        <v/>
      </c>
      <c r="F299" s="58" t="str">
        <f>IF($A299="","",'TO HOP'!$G$186+1.35*(0-'TO HOP'!$M$57))</f>
        <v/>
      </c>
      <c r="G299" s="58" t="str">
        <f>IF($A299="","",'TO HOP'!$H$186+1.35*(0-'TO HOP'!$M$58))</f>
        <v/>
      </c>
      <c r="H299" s="58" t="str">
        <f>IF($A299="","",'TO HOP'!$I$186+1.35*(0-'TO HOP'!$M$59))</f>
        <v/>
      </c>
      <c r="I299" s="58" t="str">
        <f>IF($A299="","",'TO HOP'!$J$186+1.35*(INDEX('LANE ENGINE'!$D$6:$D$45,28)-'TO HOP'!$M$60))</f>
        <v/>
      </c>
      <c r="J299" s="58" t="str">
        <f>IF($A299="","",'TO HOP'!$K$186+1.35*(INDEX('LANE ENGINE'!$E$6:$E$45,28)-'TO HOP'!$M$61))</f>
        <v/>
      </c>
      <c r="K299" s="58" t="str">
        <f>IF($A299="","",'TO HOP'!$L$186+1.35*(0-'TO HOP'!$M$62))</f>
        <v/>
      </c>
      <c r="L299" s="42" t="s">
        <v>1579</v>
      </c>
      <c r="M299" s="42">
        <v>28</v>
      </c>
    </row>
    <row r="300" spans="1:13" x14ac:dyDescent="0.3">
      <c r="A300" s="42" t="str">
        <f>IF(29&lt;=nLan,"CĐ V(a) max - 2 nhịp "&amp;29&amp;" làn","")</f>
        <v/>
      </c>
      <c r="B300" s="58" t="str">
        <f>IF($A300="","",'TO HOP'!$C$186+1.35*(0-'TO HOP'!$M$53))</f>
        <v/>
      </c>
      <c r="C300" s="58" t="str">
        <f>IF($A300="","",'TO HOP'!$D$186+1.35*(0-'TO HOP'!$M$54))</f>
        <v/>
      </c>
      <c r="D300" s="58" t="str">
        <f>IF($A300="","",'TO HOP'!$E$186+1.35*(INDEX('LANE ENGINE'!$D$6:$D$45,29)-'TO HOP'!$M$55))</f>
        <v/>
      </c>
      <c r="E300" s="58" t="str">
        <f>IF($A300="","",'TO HOP'!$F$186+1.35*(INDEX('LANE ENGINE'!$E$6:$E$45,29)-'TO HOP'!$M$56))</f>
        <v/>
      </c>
      <c r="F300" s="58" t="str">
        <f>IF($A300="","",'TO HOP'!$G$186+1.35*(0-'TO HOP'!$M$57))</f>
        <v/>
      </c>
      <c r="G300" s="58" t="str">
        <f>IF($A300="","",'TO HOP'!$H$186+1.35*(0-'TO HOP'!$M$58))</f>
        <v/>
      </c>
      <c r="H300" s="58" t="str">
        <f>IF($A300="","",'TO HOP'!$I$186+1.35*(0-'TO HOP'!$M$59))</f>
        <v/>
      </c>
      <c r="I300" s="58" t="str">
        <f>IF($A300="","",'TO HOP'!$J$186+1.35*(INDEX('LANE ENGINE'!$D$6:$D$45,29)-'TO HOP'!$M$60))</f>
        <v/>
      </c>
      <c r="J300" s="58" t="str">
        <f>IF($A300="","",'TO HOP'!$K$186+1.35*(INDEX('LANE ENGINE'!$E$6:$E$45,29)-'TO HOP'!$M$61))</f>
        <v/>
      </c>
      <c r="K300" s="58" t="str">
        <f>IF($A300="","",'TO HOP'!$L$186+1.35*(0-'TO HOP'!$M$62))</f>
        <v/>
      </c>
      <c r="L300" s="42" t="s">
        <v>1579</v>
      </c>
      <c r="M300" s="42">
        <v>29</v>
      </c>
    </row>
    <row r="301" spans="1:13" x14ac:dyDescent="0.3">
      <c r="A301" s="42" t="str">
        <f>IF(30&lt;=nLan,"CĐ V(a) max - 2 nhịp "&amp;30&amp;" làn","")</f>
        <v/>
      </c>
      <c r="B301" s="58" t="str">
        <f>IF($A301="","",'TO HOP'!$C$186+1.35*(0-'TO HOP'!$M$53))</f>
        <v/>
      </c>
      <c r="C301" s="58" t="str">
        <f>IF($A301="","",'TO HOP'!$D$186+1.35*(0-'TO HOP'!$M$54))</f>
        <v/>
      </c>
      <c r="D301" s="58" t="str">
        <f>IF($A301="","",'TO HOP'!$E$186+1.35*(INDEX('LANE ENGINE'!$D$6:$D$45,30)-'TO HOP'!$M$55))</f>
        <v/>
      </c>
      <c r="E301" s="58" t="str">
        <f>IF($A301="","",'TO HOP'!$F$186+1.35*(INDEX('LANE ENGINE'!$E$6:$E$45,30)-'TO HOP'!$M$56))</f>
        <v/>
      </c>
      <c r="F301" s="58" t="str">
        <f>IF($A301="","",'TO HOP'!$G$186+1.35*(0-'TO HOP'!$M$57))</f>
        <v/>
      </c>
      <c r="G301" s="58" t="str">
        <f>IF($A301="","",'TO HOP'!$H$186+1.35*(0-'TO HOP'!$M$58))</f>
        <v/>
      </c>
      <c r="H301" s="58" t="str">
        <f>IF($A301="","",'TO HOP'!$I$186+1.35*(0-'TO HOP'!$M$59))</f>
        <v/>
      </c>
      <c r="I301" s="58" t="str">
        <f>IF($A301="","",'TO HOP'!$J$186+1.35*(INDEX('LANE ENGINE'!$D$6:$D$45,30)-'TO HOP'!$M$60))</f>
        <v/>
      </c>
      <c r="J301" s="58" t="str">
        <f>IF($A301="","",'TO HOP'!$K$186+1.35*(INDEX('LANE ENGINE'!$E$6:$E$45,30)-'TO HOP'!$M$61))</f>
        <v/>
      </c>
      <c r="K301" s="58" t="str">
        <f>IF($A301="","",'TO HOP'!$L$186+1.35*(0-'TO HOP'!$M$62))</f>
        <v/>
      </c>
      <c r="L301" s="42" t="s">
        <v>1579</v>
      </c>
      <c r="M301" s="42">
        <v>30</v>
      </c>
    </row>
    <row r="302" spans="1:13" x14ac:dyDescent="0.3">
      <c r="A302" s="42" t="str">
        <f>IF(31&lt;=nLan,"CĐ V(a) max - 2 nhịp "&amp;31&amp;" làn","")</f>
        <v/>
      </c>
      <c r="B302" s="58" t="str">
        <f>IF($A302="","",'TO HOP'!$C$186+1.35*(0-'TO HOP'!$M$53))</f>
        <v/>
      </c>
      <c r="C302" s="58" t="str">
        <f>IF($A302="","",'TO HOP'!$D$186+1.35*(0-'TO HOP'!$M$54))</f>
        <v/>
      </c>
      <c r="D302" s="58" t="str">
        <f>IF($A302="","",'TO HOP'!$E$186+1.35*(INDEX('LANE ENGINE'!$D$6:$D$45,31)-'TO HOP'!$M$55))</f>
        <v/>
      </c>
      <c r="E302" s="58" t="str">
        <f>IF($A302="","",'TO HOP'!$F$186+1.35*(INDEX('LANE ENGINE'!$E$6:$E$45,31)-'TO HOP'!$M$56))</f>
        <v/>
      </c>
      <c r="F302" s="58" t="str">
        <f>IF($A302="","",'TO HOP'!$G$186+1.35*(0-'TO HOP'!$M$57))</f>
        <v/>
      </c>
      <c r="G302" s="58" t="str">
        <f>IF($A302="","",'TO HOP'!$H$186+1.35*(0-'TO HOP'!$M$58))</f>
        <v/>
      </c>
      <c r="H302" s="58" t="str">
        <f>IF($A302="","",'TO HOP'!$I$186+1.35*(0-'TO HOP'!$M$59))</f>
        <v/>
      </c>
      <c r="I302" s="58" t="str">
        <f>IF($A302="","",'TO HOP'!$J$186+1.35*(INDEX('LANE ENGINE'!$D$6:$D$45,31)-'TO HOP'!$M$60))</f>
        <v/>
      </c>
      <c r="J302" s="58" t="str">
        <f>IF($A302="","",'TO HOP'!$K$186+1.35*(INDEX('LANE ENGINE'!$E$6:$E$45,31)-'TO HOP'!$M$61))</f>
        <v/>
      </c>
      <c r="K302" s="58" t="str">
        <f>IF($A302="","",'TO HOP'!$L$186+1.35*(0-'TO HOP'!$M$62))</f>
        <v/>
      </c>
      <c r="L302" s="42" t="s">
        <v>1579</v>
      </c>
      <c r="M302" s="42">
        <v>31</v>
      </c>
    </row>
    <row r="303" spans="1:13" x14ac:dyDescent="0.3">
      <c r="A303" s="42" t="str">
        <f>IF(32&lt;=nLan,"CĐ V(a) max - 2 nhịp "&amp;32&amp;" làn","")</f>
        <v/>
      </c>
      <c r="B303" s="58" t="str">
        <f>IF($A303="","",'TO HOP'!$C$186+1.35*(0-'TO HOP'!$M$53))</f>
        <v/>
      </c>
      <c r="C303" s="58" t="str">
        <f>IF($A303="","",'TO HOP'!$D$186+1.35*(0-'TO HOP'!$M$54))</f>
        <v/>
      </c>
      <c r="D303" s="58" t="str">
        <f>IF($A303="","",'TO HOP'!$E$186+1.35*(INDEX('LANE ENGINE'!$D$6:$D$45,32)-'TO HOP'!$M$55))</f>
        <v/>
      </c>
      <c r="E303" s="58" t="str">
        <f>IF($A303="","",'TO HOP'!$F$186+1.35*(INDEX('LANE ENGINE'!$E$6:$E$45,32)-'TO HOP'!$M$56))</f>
        <v/>
      </c>
      <c r="F303" s="58" t="str">
        <f>IF($A303="","",'TO HOP'!$G$186+1.35*(0-'TO HOP'!$M$57))</f>
        <v/>
      </c>
      <c r="G303" s="58" t="str">
        <f>IF($A303="","",'TO HOP'!$H$186+1.35*(0-'TO HOP'!$M$58))</f>
        <v/>
      </c>
      <c r="H303" s="58" t="str">
        <f>IF($A303="","",'TO HOP'!$I$186+1.35*(0-'TO HOP'!$M$59))</f>
        <v/>
      </c>
      <c r="I303" s="58" t="str">
        <f>IF($A303="","",'TO HOP'!$J$186+1.35*(INDEX('LANE ENGINE'!$D$6:$D$45,32)-'TO HOP'!$M$60))</f>
        <v/>
      </c>
      <c r="J303" s="58" t="str">
        <f>IF($A303="","",'TO HOP'!$K$186+1.35*(INDEX('LANE ENGINE'!$E$6:$E$45,32)-'TO HOP'!$M$61))</f>
        <v/>
      </c>
      <c r="K303" s="58" t="str">
        <f>IF($A303="","",'TO HOP'!$L$186+1.35*(0-'TO HOP'!$M$62))</f>
        <v/>
      </c>
      <c r="L303" s="42" t="s">
        <v>1579</v>
      </c>
      <c r="M303" s="42">
        <v>32</v>
      </c>
    </row>
    <row r="304" spans="1:13" x14ac:dyDescent="0.3">
      <c r="A304" s="42" t="str">
        <f>IF(33&lt;=nLan,"CĐ V(a) max - 2 nhịp "&amp;33&amp;" làn","")</f>
        <v/>
      </c>
      <c r="B304" s="58" t="str">
        <f>IF($A304="","",'TO HOP'!$C$186+1.35*(0-'TO HOP'!$M$53))</f>
        <v/>
      </c>
      <c r="C304" s="58" t="str">
        <f>IF($A304="","",'TO HOP'!$D$186+1.35*(0-'TO HOP'!$M$54))</f>
        <v/>
      </c>
      <c r="D304" s="58" t="str">
        <f>IF($A304="","",'TO HOP'!$E$186+1.35*(INDEX('LANE ENGINE'!$D$6:$D$45,33)-'TO HOP'!$M$55))</f>
        <v/>
      </c>
      <c r="E304" s="58" t="str">
        <f>IF($A304="","",'TO HOP'!$F$186+1.35*(INDEX('LANE ENGINE'!$E$6:$E$45,33)-'TO HOP'!$M$56))</f>
        <v/>
      </c>
      <c r="F304" s="58" t="str">
        <f>IF($A304="","",'TO HOP'!$G$186+1.35*(0-'TO HOP'!$M$57))</f>
        <v/>
      </c>
      <c r="G304" s="58" t="str">
        <f>IF($A304="","",'TO HOP'!$H$186+1.35*(0-'TO HOP'!$M$58))</f>
        <v/>
      </c>
      <c r="H304" s="58" t="str">
        <f>IF($A304="","",'TO HOP'!$I$186+1.35*(0-'TO HOP'!$M$59))</f>
        <v/>
      </c>
      <c r="I304" s="58" t="str">
        <f>IF($A304="","",'TO HOP'!$J$186+1.35*(INDEX('LANE ENGINE'!$D$6:$D$45,33)-'TO HOP'!$M$60))</f>
        <v/>
      </c>
      <c r="J304" s="58" t="str">
        <f>IF($A304="","",'TO HOP'!$K$186+1.35*(INDEX('LANE ENGINE'!$E$6:$E$45,33)-'TO HOP'!$M$61))</f>
        <v/>
      </c>
      <c r="K304" s="58" t="str">
        <f>IF($A304="","",'TO HOP'!$L$186+1.35*(0-'TO HOP'!$M$62))</f>
        <v/>
      </c>
      <c r="L304" s="42" t="s">
        <v>1579</v>
      </c>
      <c r="M304" s="42">
        <v>33</v>
      </c>
    </row>
    <row r="305" spans="1:13" x14ac:dyDescent="0.3">
      <c r="A305" s="42" t="str">
        <f>IF(34&lt;=nLan,"CĐ V(a) max - 2 nhịp "&amp;34&amp;" làn","")</f>
        <v/>
      </c>
      <c r="B305" s="58" t="str">
        <f>IF($A305="","",'TO HOP'!$C$186+1.35*(0-'TO HOP'!$M$53))</f>
        <v/>
      </c>
      <c r="C305" s="58" t="str">
        <f>IF($A305="","",'TO HOP'!$D$186+1.35*(0-'TO HOP'!$M$54))</f>
        <v/>
      </c>
      <c r="D305" s="58" t="str">
        <f>IF($A305="","",'TO HOP'!$E$186+1.35*(INDEX('LANE ENGINE'!$D$6:$D$45,34)-'TO HOP'!$M$55))</f>
        <v/>
      </c>
      <c r="E305" s="58" t="str">
        <f>IF($A305="","",'TO HOP'!$F$186+1.35*(INDEX('LANE ENGINE'!$E$6:$E$45,34)-'TO HOP'!$M$56))</f>
        <v/>
      </c>
      <c r="F305" s="58" t="str">
        <f>IF($A305="","",'TO HOP'!$G$186+1.35*(0-'TO HOP'!$M$57))</f>
        <v/>
      </c>
      <c r="G305" s="58" t="str">
        <f>IF($A305="","",'TO HOP'!$H$186+1.35*(0-'TO HOP'!$M$58))</f>
        <v/>
      </c>
      <c r="H305" s="58" t="str">
        <f>IF($A305="","",'TO HOP'!$I$186+1.35*(0-'TO HOP'!$M$59))</f>
        <v/>
      </c>
      <c r="I305" s="58" t="str">
        <f>IF($A305="","",'TO HOP'!$J$186+1.35*(INDEX('LANE ENGINE'!$D$6:$D$45,34)-'TO HOP'!$M$60))</f>
        <v/>
      </c>
      <c r="J305" s="58" t="str">
        <f>IF($A305="","",'TO HOP'!$K$186+1.35*(INDEX('LANE ENGINE'!$E$6:$E$45,34)-'TO HOP'!$M$61))</f>
        <v/>
      </c>
      <c r="K305" s="58" t="str">
        <f>IF($A305="","",'TO HOP'!$L$186+1.35*(0-'TO HOP'!$M$62))</f>
        <v/>
      </c>
      <c r="L305" s="42" t="s">
        <v>1579</v>
      </c>
      <c r="M305" s="42">
        <v>34</v>
      </c>
    </row>
    <row r="306" spans="1:13" x14ac:dyDescent="0.3">
      <c r="A306" s="42" t="str">
        <f>IF(35&lt;=nLan,"CĐ V(a) max - 2 nhịp "&amp;35&amp;" làn","")</f>
        <v/>
      </c>
      <c r="B306" s="58" t="str">
        <f>IF($A306="","",'TO HOP'!$C$186+1.35*(0-'TO HOP'!$M$53))</f>
        <v/>
      </c>
      <c r="C306" s="58" t="str">
        <f>IF($A306="","",'TO HOP'!$D$186+1.35*(0-'TO HOP'!$M$54))</f>
        <v/>
      </c>
      <c r="D306" s="58" t="str">
        <f>IF($A306="","",'TO HOP'!$E$186+1.35*(INDEX('LANE ENGINE'!$D$6:$D$45,35)-'TO HOP'!$M$55))</f>
        <v/>
      </c>
      <c r="E306" s="58" t="str">
        <f>IF($A306="","",'TO HOP'!$F$186+1.35*(INDEX('LANE ENGINE'!$E$6:$E$45,35)-'TO HOP'!$M$56))</f>
        <v/>
      </c>
      <c r="F306" s="58" t="str">
        <f>IF($A306="","",'TO HOP'!$G$186+1.35*(0-'TO HOP'!$M$57))</f>
        <v/>
      </c>
      <c r="G306" s="58" t="str">
        <f>IF($A306="","",'TO HOP'!$H$186+1.35*(0-'TO HOP'!$M$58))</f>
        <v/>
      </c>
      <c r="H306" s="58" t="str">
        <f>IF($A306="","",'TO HOP'!$I$186+1.35*(0-'TO HOP'!$M$59))</f>
        <v/>
      </c>
      <c r="I306" s="58" t="str">
        <f>IF($A306="","",'TO HOP'!$J$186+1.35*(INDEX('LANE ENGINE'!$D$6:$D$45,35)-'TO HOP'!$M$60))</f>
        <v/>
      </c>
      <c r="J306" s="58" t="str">
        <f>IF($A306="","",'TO HOP'!$K$186+1.35*(INDEX('LANE ENGINE'!$E$6:$E$45,35)-'TO HOP'!$M$61))</f>
        <v/>
      </c>
      <c r="K306" s="58" t="str">
        <f>IF($A306="","",'TO HOP'!$L$186+1.35*(0-'TO HOP'!$M$62))</f>
        <v/>
      </c>
      <c r="L306" s="42" t="s">
        <v>1579</v>
      </c>
      <c r="M306" s="42">
        <v>35</v>
      </c>
    </row>
    <row r="307" spans="1:13" x14ac:dyDescent="0.3">
      <c r="A307" s="42" t="str">
        <f>IF(36&lt;=nLan,"CĐ V(a) max - 2 nhịp "&amp;36&amp;" làn","")</f>
        <v/>
      </c>
      <c r="B307" s="58" t="str">
        <f>IF($A307="","",'TO HOP'!$C$186+1.35*(0-'TO HOP'!$M$53))</f>
        <v/>
      </c>
      <c r="C307" s="58" t="str">
        <f>IF($A307="","",'TO HOP'!$D$186+1.35*(0-'TO HOP'!$M$54))</f>
        <v/>
      </c>
      <c r="D307" s="58" t="str">
        <f>IF($A307="","",'TO HOP'!$E$186+1.35*(INDEX('LANE ENGINE'!$D$6:$D$45,36)-'TO HOP'!$M$55))</f>
        <v/>
      </c>
      <c r="E307" s="58" t="str">
        <f>IF($A307="","",'TO HOP'!$F$186+1.35*(INDEX('LANE ENGINE'!$E$6:$E$45,36)-'TO HOP'!$M$56))</f>
        <v/>
      </c>
      <c r="F307" s="58" t="str">
        <f>IF($A307="","",'TO HOP'!$G$186+1.35*(0-'TO HOP'!$M$57))</f>
        <v/>
      </c>
      <c r="G307" s="58" t="str">
        <f>IF($A307="","",'TO HOP'!$H$186+1.35*(0-'TO HOP'!$M$58))</f>
        <v/>
      </c>
      <c r="H307" s="58" t="str">
        <f>IF($A307="","",'TO HOP'!$I$186+1.35*(0-'TO HOP'!$M$59))</f>
        <v/>
      </c>
      <c r="I307" s="58" t="str">
        <f>IF($A307="","",'TO HOP'!$J$186+1.35*(INDEX('LANE ENGINE'!$D$6:$D$45,36)-'TO HOP'!$M$60))</f>
        <v/>
      </c>
      <c r="J307" s="58" t="str">
        <f>IF($A307="","",'TO HOP'!$K$186+1.35*(INDEX('LANE ENGINE'!$E$6:$E$45,36)-'TO HOP'!$M$61))</f>
        <v/>
      </c>
      <c r="K307" s="58" t="str">
        <f>IF($A307="","",'TO HOP'!$L$186+1.35*(0-'TO HOP'!$M$62))</f>
        <v/>
      </c>
      <c r="L307" s="42" t="s">
        <v>1579</v>
      </c>
      <c r="M307" s="42">
        <v>36</v>
      </c>
    </row>
    <row r="308" spans="1:13" x14ac:dyDescent="0.3">
      <c r="A308" s="42" t="str">
        <f>IF(37&lt;=nLan,"CĐ V(a) max - 2 nhịp "&amp;37&amp;" làn","")</f>
        <v/>
      </c>
      <c r="B308" s="58" t="str">
        <f>IF($A308="","",'TO HOP'!$C$186+1.35*(0-'TO HOP'!$M$53))</f>
        <v/>
      </c>
      <c r="C308" s="58" t="str">
        <f>IF($A308="","",'TO HOP'!$D$186+1.35*(0-'TO HOP'!$M$54))</f>
        <v/>
      </c>
      <c r="D308" s="58" t="str">
        <f>IF($A308="","",'TO HOP'!$E$186+1.35*(INDEX('LANE ENGINE'!$D$6:$D$45,37)-'TO HOP'!$M$55))</f>
        <v/>
      </c>
      <c r="E308" s="58" t="str">
        <f>IF($A308="","",'TO HOP'!$F$186+1.35*(INDEX('LANE ENGINE'!$E$6:$E$45,37)-'TO HOP'!$M$56))</f>
        <v/>
      </c>
      <c r="F308" s="58" t="str">
        <f>IF($A308="","",'TO HOP'!$G$186+1.35*(0-'TO HOP'!$M$57))</f>
        <v/>
      </c>
      <c r="G308" s="58" t="str">
        <f>IF($A308="","",'TO HOP'!$H$186+1.35*(0-'TO HOP'!$M$58))</f>
        <v/>
      </c>
      <c r="H308" s="58" t="str">
        <f>IF($A308="","",'TO HOP'!$I$186+1.35*(0-'TO HOP'!$M$59))</f>
        <v/>
      </c>
      <c r="I308" s="58" t="str">
        <f>IF($A308="","",'TO HOP'!$J$186+1.35*(INDEX('LANE ENGINE'!$D$6:$D$45,37)-'TO HOP'!$M$60))</f>
        <v/>
      </c>
      <c r="J308" s="58" t="str">
        <f>IF($A308="","",'TO HOP'!$K$186+1.35*(INDEX('LANE ENGINE'!$E$6:$E$45,37)-'TO HOP'!$M$61))</f>
        <v/>
      </c>
      <c r="K308" s="58" t="str">
        <f>IF($A308="","",'TO HOP'!$L$186+1.35*(0-'TO HOP'!$M$62))</f>
        <v/>
      </c>
      <c r="L308" s="42" t="s">
        <v>1579</v>
      </c>
      <c r="M308" s="42">
        <v>37</v>
      </c>
    </row>
    <row r="309" spans="1:13" x14ac:dyDescent="0.3">
      <c r="A309" s="42" t="str">
        <f>IF(38&lt;=nLan,"CĐ V(a) max - 2 nhịp "&amp;38&amp;" làn","")</f>
        <v/>
      </c>
      <c r="B309" s="58" t="str">
        <f>IF($A309="","",'TO HOP'!$C$186+1.35*(0-'TO HOP'!$M$53))</f>
        <v/>
      </c>
      <c r="C309" s="58" t="str">
        <f>IF($A309="","",'TO HOP'!$D$186+1.35*(0-'TO HOP'!$M$54))</f>
        <v/>
      </c>
      <c r="D309" s="58" t="str">
        <f>IF($A309="","",'TO HOP'!$E$186+1.35*(INDEX('LANE ENGINE'!$D$6:$D$45,38)-'TO HOP'!$M$55))</f>
        <v/>
      </c>
      <c r="E309" s="58" t="str">
        <f>IF($A309="","",'TO HOP'!$F$186+1.35*(INDEX('LANE ENGINE'!$E$6:$E$45,38)-'TO HOP'!$M$56))</f>
        <v/>
      </c>
      <c r="F309" s="58" t="str">
        <f>IF($A309="","",'TO HOP'!$G$186+1.35*(0-'TO HOP'!$M$57))</f>
        <v/>
      </c>
      <c r="G309" s="58" t="str">
        <f>IF($A309="","",'TO HOP'!$H$186+1.35*(0-'TO HOP'!$M$58))</f>
        <v/>
      </c>
      <c r="H309" s="58" t="str">
        <f>IF($A309="","",'TO HOP'!$I$186+1.35*(0-'TO HOP'!$M$59))</f>
        <v/>
      </c>
      <c r="I309" s="58" t="str">
        <f>IF($A309="","",'TO HOP'!$J$186+1.35*(INDEX('LANE ENGINE'!$D$6:$D$45,38)-'TO HOP'!$M$60))</f>
        <v/>
      </c>
      <c r="J309" s="58" t="str">
        <f>IF($A309="","",'TO HOP'!$K$186+1.35*(INDEX('LANE ENGINE'!$E$6:$E$45,38)-'TO HOP'!$M$61))</f>
        <v/>
      </c>
      <c r="K309" s="58" t="str">
        <f>IF($A309="","",'TO HOP'!$L$186+1.35*(0-'TO HOP'!$M$62))</f>
        <v/>
      </c>
      <c r="L309" s="42" t="s">
        <v>1579</v>
      </c>
      <c r="M309" s="42">
        <v>38</v>
      </c>
    </row>
    <row r="310" spans="1:13" x14ac:dyDescent="0.3">
      <c r="A310" s="42" t="str">
        <f>IF(39&lt;=nLan,"CĐ V(a) max - 2 nhịp "&amp;39&amp;" làn","")</f>
        <v/>
      </c>
      <c r="B310" s="58" t="str">
        <f>IF($A310="","",'TO HOP'!$C$186+1.35*(0-'TO HOP'!$M$53))</f>
        <v/>
      </c>
      <c r="C310" s="58" t="str">
        <f>IF($A310="","",'TO HOP'!$D$186+1.35*(0-'TO HOP'!$M$54))</f>
        <v/>
      </c>
      <c r="D310" s="58" t="str">
        <f>IF($A310="","",'TO HOP'!$E$186+1.35*(INDEX('LANE ENGINE'!$D$6:$D$45,39)-'TO HOP'!$M$55))</f>
        <v/>
      </c>
      <c r="E310" s="58" t="str">
        <f>IF($A310="","",'TO HOP'!$F$186+1.35*(INDEX('LANE ENGINE'!$E$6:$E$45,39)-'TO HOP'!$M$56))</f>
        <v/>
      </c>
      <c r="F310" s="58" t="str">
        <f>IF($A310="","",'TO HOP'!$G$186+1.35*(0-'TO HOP'!$M$57))</f>
        <v/>
      </c>
      <c r="G310" s="58" t="str">
        <f>IF($A310="","",'TO HOP'!$H$186+1.35*(0-'TO HOP'!$M$58))</f>
        <v/>
      </c>
      <c r="H310" s="58" t="str">
        <f>IF($A310="","",'TO HOP'!$I$186+1.35*(0-'TO HOP'!$M$59))</f>
        <v/>
      </c>
      <c r="I310" s="58" t="str">
        <f>IF($A310="","",'TO HOP'!$J$186+1.35*(INDEX('LANE ENGINE'!$D$6:$D$45,39)-'TO HOP'!$M$60))</f>
        <v/>
      </c>
      <c r="J310" s="58" t="str">
        <f>IF($A310="","",'TO HOP'!$K$186+1.35*(INDEX('LANE ENGINE'!$E$6:$E$45,39)-'TO HOP'!$M$61))</f>
        <v/>
      </c>
      <c r="K310" s="58" t="str">
        <f>IF($A310="","",'TO HOP'!$L$186+1.35*(0-'TO HOP'!$M$62))</f>
        <v/>
      </c>
      <c r="L310" s="42" t="s">
        <v>1579</v>
      </c>
      <c r="M310" s="42">
        <v>39</v>
      </c>
    </row>
    <row r="311" spans="1:13" x14ac:dyDescent="0.3">
      <c r="A311" s="42" t="str">
        <f>IF(40&lt;=nLan,"CĐ V(a) max - 2 nhịp "&amp;40&amp;" làn","")</f>
        <v/>
      </c>
      <c r="B311" s="58" t="str">
        <f>IF($A311="","",'TO HOP'!$C$186+1.35*(0-'TO HOP'!$M$53))</f>
        <v/>
      </c>
      <c r="C311" s="58" t="str">
        <f>IF($A311="","",'TO HOP'!$D$186+1.35*(0-'TO HOP'!$M$54))</f>
        <v/>
      </c>
      <c r="D311" s="58" t="str">
        <f>IF($A311="","",'TO HOP'!$E$186+1.35*(INDEX('LANE ENGINE'!$D$6:$D$45,40)-'TO HOP'!$M$55))</f>
        <v/>
      </c>
      <c r="E311" s="58" t="str">
        <f>IF($A311="","",'TO HOP'!$F$186+1.35*(INDEX('LANE ENGINE'!$E$6:$E$45,40)-'TO HOP'!$M$56))</f>
        <v/>
      </c>
      <c r="F311" s="58" t="str">
        <f>IF($A311="","",'TO HOP'!$G$186+1.35*(0-'TO HOP'!$M$57))</f>
        <v/>
      </c>
      <c r="G311" s="58" t="str">
        <f>IF($A311="","",'TO HOP'!$H$186+1.35*(0-'TO HOP'!$M$58))</f>
        <v/>
      </c>
      <c r="H311" s="58" t="str">
        <f>IF($A311="","",'TO HOP'!$I$186+1.35*(0-'TO HOP'!$M$59))</f>
        <v/>
      </c>
      <c r="I311" s="58" t="str">
        <f>IF($A311="","",'TO HOP'!$J$186+1.35*(INDEX('LANE ENGINE'!$D$6:$D$45,40)-'TO HOP'!$M$60))</f>
        <v/>
      </c>
      <c r="J311" s="58" t="str">
        <f>IF($A311="","",'TO HOP'!$K$186+1.35*(INDEX('LANE ENGINE'!$E$6:$E$45,40)-'TO HOP'!$M$61))</f>
        <v/>
      </c>
      <c r="K311" s="58" t="str">
        <f>IF($A311="","",'TO HOP'!$L$186+1.35*(0-'TO HOP'!$M$62))</f>
        <v/>
      </c>
      <c r="L311" s="42" t="s">
        <v>1579</v>
      </c>
      <c r="M311" s="42">
        <v>40</v>
      </c>
    </row>
  </sheetData>
  <mergeCells count="3">
    <mergeCell ref="A1:M1"/>
    <mergeCell ref="A2:M2"/>
    <mergeCell ref="A4:M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H311"/>
  <sheetViews>
    <sheetView showGridLines="0" topLeftCell="A180" zoomScale="70" zoomScaleNormal="70" workbookViewId="0">
      <selection activeCell="E196" sqref="E196"/>
    </sheetView>
  </sheetViews>
  <sheetFormatPr defaultRowHeight="14.4" x14ac:dyDescent="0.3"/>
  <cols>
    <col min="1" max="1" width="48" customWidth="1"/>
    <col min="2" max="2" width="14" customWidth="1"/>
    <col min="3" max="4" width="16" customWidth="1"/>
    <col min="5" max="5" width="18.33203125" customWidth="1"/>
    <col min="6" max="8" width="16" customWidth="1"/>
  </cols>
  <sheetData>
    <row r="1" spans="1:8" ht="28.05" customHeight="1" x14ac:dyDescent="0.3">
      <c r="A1" s="152" t="s">
        <v>1580</v>
      </c>
      <c r="B1" s="152"/>
      <c r="C1" s="152"/>
      <c r="D1" s="152"/>
      <c r="E1" s="152"/>
      <c r="F1" s="152"/>
      <c r="G1" s="152"/>
      <c r="H1" s="152"/>
    </row>
    <row r="2" spans="1:8" ht="34.049999999999997" customHeight="1" x14ac:dyDescent="0.3">
      <c r="A2" s="124" t="s">
        <v>1581</v>
      </c>
      <c r="B2" s="124"/>
      <c r="C2" s="124"/>
      <c r="D2" s="124"/>
      <c r="E2" s="124"/>
      <c r="F2" s="124"/>
      <c r="G2" s="124"/>
      <c r="H2" s="124"/>
    </row>
    <row r="4" spans="1:8" ht="22.05" customHeight="1" x14ac:dyDescent="0.3">
      <c r="A4" s="141" t="s">
        <v>1582</v>
      </c>
      <c r="B4" s="141"/>
      <c r="C4" s="141"/>
      <c r="D4" s="141"/>
      <c r="E4" s="141"/>
      <c r="F4" s="141"/>
      <c r="G4" s="141"/>
      <c r="H4" s="141"/>
    </row>
    <row r="5" spans="1:8" x14ac:dyDescent="0.3">
      <c r="A5" s="55" t="s">
        <v>560</v>
      </c>
      <c r="B5" s="55" t="s">
        <v>625</v>
      </c>
      <c r="C5" s="55" t="s">
        <v>1583</v>
      </c>
      <c r="D5" s="55" t="s">
        <v>1584</v>
      </c>
      <c r="E5" s="55" t="s">
        <v>1585</v>
      </c>
      <c r="F5" s="55" t="s">
        <v>1586</v>
      </c>
      <c r="G5" s="55" t="s">
        <v>1587</v>
      </c>
      <c r="H5" s="55" t="s">
        <v>1588</v>
      </c>
    </row>
    <row r="6" spans="1:8" x14ac:dyDescent="0.3">
      <c r="A6" s="42" t="str">
        <f>'TO HOP NLAN'!A6</f>
        <v/>
      </c>
      <c r="B6" s="42" t="str">
        <f>'TO HOP NLAN'!L6</f>
        <v>SERVICE</v>
      </c>
      <c r="C6" s="58">
        <f>IF(A6="",0,MAX(IF('TS-PILE'!$B$72="",-1E+99,'TO HOP NLAN'!D6/ncoc+IF(SUMSQ('TS-PILE'!$E$72:$E$91)=0,0,'TO HOP NLAN'!E6*'TS-PILE'!$E$72/SUMSQ('TS-PILE'!$E$72:$E$91))+IF(SUMSQ('TS-PILE'!$D$72:$D$91)=0,0,'TO HOP NLAN'!F6*'TS-PILE'!$D$72/SUMSQ('TS-PILE'!$D$72:$D$91))),IF('TS-PILE'!$B$73="",-1E+99,'TO HOP NLAN'!D6/ncoc+IF(SUMSQ('TS-PILE'!$E$72:$E$91)=0,0,'TO HOP NLAN'!E6*'TS-PILE'!$E$73/SUMSQ('TS-PILE'!$E$72:$E$91))+IF(SUMSQ('TS-PILE'!$D$72:$D$91)=0,0,'TO HOP NLAN'!F6*'TS-PILE'!$D$73/SUMSQ('TS-PILE'!$D$72:$D$91))),IF('TS-PILE'!$B$74="",-1E+99,'TO HOP NLAN'!D6/ncoc+IF(SUMSQ('TS-PILE'!$E$72:$E$91)=0,0,'TO HOP NLAN'!E6*'TS-PILE'!$E$74/SUMSQ('TS-PILE'!$E$72:$E$91))+IF(SUMSQ('TS-PILE'!$D$72:$D$91)=0,0,'TO HOP NLAN'!F6*'TS-PILE'!$D$74/SUMSQ('TS-PILE'!$D$72:$D$91))),IF('TS-PILE'!$B$75="",-1E+99,'TO HOP NLAN'!D6/ncoc+IF(SUMSQ('TS-PILE'!$E$72:$E$91)=0,0,'TO HOP NLAN'!E6*'TS-PILE'!$E$75/SUMSQ('TS-PILE'!$E$72:$E$91))+IF(SUMSQ('TS-PILE'!$D$72:$D$91)=0,0,'TO HOP NLAN'!F6*'TS-PILE'!$D$75/SUMSQ('TS-PILE'!$D$72:$D$91))),IF('TS-PILE'!$B$76="",-1E+99,'TO HOP NLAN'!D6/ncoc+IF(SUMSQ('TS-PILE'!$E$72:$E$91)=0,0,'TO HOP NLAN'!E6*'TS-PILE'!$E$76/SUMSQ('TS-PILE'!$E$72:$E$91))+IF(SUMSQ('TS-PILE'!$D$72:$D$91)=0,0,'TO HOP NLAN'!F6*'TS-PILE'!$D$76/SUMSQ('TS-PILE'!$D$72:$D$91))),IF('TS-PILE'!$B$77="",-1E+99,'TO HOP NLAN'!D6/ncoc+IF(SUMSQ('TS-PILE'!$E$72:$E$91)=0,0,'TO HOP NLAN'!E6*'TS-PILE'!$E$77/SUMSQ('TS-PILE'!$E$72:$E$91))+IF(SUMSQ('TS-PILE'!$D$72:$D$91)=0,0,'TO HOP NLAN'!F6*'TS-PILE'!$D$77/SUMSQ('TS-PILE'!$D$72:$D$91))),IF('TS-PILE'!$B$78="",-1E+99,'TO HOP NLAN'!D6/ncoc+IF(SUMSQ('TS-PILE'!$E$72:$E$91)=0,0,'TO HOP NLAN'!E6*'TS-PILE'!$E$78/SUMSQ('TS-PILE'!$E$72:$E$91))+IF(SUMSQ('TS-PILE'!$D$72:$D$91)=0,0,'TO HOP NLAN'!F6*'TS-PILE'!$D$78/SUMSQ('TS-PILE'!$D$72:$D$91))),IF('TS-PILE'!$B$79="",-1E+99,'TO HOP NLAN'!D6/ncoc+IF(SUMSQ('TS-PILE'!$E$72:$E$91)=0,0,'TO HOP NLAN'!E6*'TS-PILE'!$E$79/SUMSQ('TS-PILE'!$E$72:$E$91))+IF(SUMSQ('TS-PILE'!$D$72:$D$91)=0,0,'TO HOP NLAN'!F6*'TS-PILE'!$D$79/SUMSQ('TS-PILE'!$D$72:$D$91))),IF('TS-PILE'!$B$80="",-1E+99,'TO HOP NLAN'!D6/ncoc+IF(SUMSQ('TS-PILE'!$E$72:$E$91)=0,0,'TO HOP NLAN'!E6*'TS-PILE'!$E$80/SUMSQ('TS-PILE'!$E$72:$E$91))+IF(SUMSQ('TS-PILE'!$D$72:$D$91)=0,0,'TO HOP NLAN'!F6*'TS-PILE'!$D$80/SUMSQ('TS-PILE'!$D$72:$D$91))),IF('TS-PILE'!$B$81="",-1E+99,'TO HOP NLAN'!D6/ncoc+IF(SUMSQ('TS-PILE'!$E$72:$E$91)=0,0,'TO HOP NLAN'!E6*'TS-PILE'!$E$81/SUMSQ('TS-PILE'!$E$72:$E$91))+IF(SUMSQ('TS-PILE'!$D$72:$D$91)=0,0,'TO HOP NLAN'!F6*'TS-PILE'!$D$81/SUMSQ('TS-PILE'!$D$72:$D$91))),IF('TS-PILE'!$B$82="",-1E+99,'TO HOP NLAN'!D6/ncoc+IF(SUMSQ('TS-PILE'!$E$72:$E$91)=0,0,'TO HOP NLAN'!E6*'TS-PILE'!$E$82/SUMSQ('TS-PILE'!$E$72:$E$91))+IF(SUMSQ('TS-PILE'!$D$72:$D$91)=0,0,'TO HOP NLAN'!F6*'TS-PILE'!$D$82/SUMSQ('TS-PILE'!$D$72:$D$91))),IF('TS-PILE'!$B$83="",-1E+99,'TO HOP NLAN'!D6/ncoc+IF(SUMSQ('TS-PILE'!$E$72:$E$91)=0,0,'TO HOP NLAN'!E6*'TS-PILE'!$E$83/SUMSQ('TS-PILE'!$E$72:$E$91))+IF(SUMSQ('TS-PILE'!$D$72:$D$91)=0,0,'TO HOP NLAN'!F6*'TS-PILE'!$D$83/SUMSQ('TS-PILE'!$D$72:$D$91))),IF('TS-PILE'!$B$84="",-1E+99,'TO HOP NLAN'!D6/ncoc+IF(SUMSQ('TS-PILE'!$E$72:$E$91)=0,0,'TO HOP NLAN'!E6*'TS-PILE'!$E$84/SUMSQ('TS-PILE'!$E$72:$E$91))+IF(SUMSQ('TS-PILE'!$D$72:$D$91)=0,0,'TO HOP NLAN'!F6*'TS-PILE'!$D$84/SUMSQ('TS-PILE'!$D$72:$D$91))),IF('TS-PILE'!$B$85="",-1E+99,'TO HOP NLAN'!D6/ncoc+IF(SUMSQ('TS-PILE'!$E$72:$E$91)=0,0,'TO HOP NLAN'!E6*'TS-PILE'!$E$85/SUMSQ('TS-PILE'!$E$72:$E$91))+IF(SUMSQ('TS-PILE'!$D$72:$D$91)=0,0,'TO HOP NLAN'!F6*'TS-PILE'!$D$85/SUMSQ('TS-PILE'!$D$72:$D$91))),IF('TS-PILE'!$B$86="",-1E+99,'TO HOP NLAN'!D6/ncoc+IF(SUMSQ('TS-PILE'!$E$72:$E$91)=0,0,'TO HOP NLAN'!E6*'TS-PILE'!$E$86/SUMSQ('TS-PILE'!$E$72:$E$91))+IF(SUMSQ('TS-PILE'!$D$72:$D$91)=0,0,'TO HOP NLAN'!F6*'TS-PILE'!$D$86/SUMSQ('TS-PILE'!$D$72:$D$91))),IF('TS-PILE'!$B$87="",-1E+99,'TO HOP NLAN'!D6/ncoc+IF(SUMSQ('TS-PILE'!$E$72:$E$91)=0,0,'TO HOP NLAN'!E6*'TS-PILE'!$E$87/SUMSQ('TS-PILE'!$E$72:$E$91))+IF(SUMSQ('TS-PILE'!$D$72:$D$91)=0,0,'TO HOP NLAN'!F6*'TS-PILE'!$D$87/SUMSQ('TS-PILE'!$D$72:$D$91))),IF('TS-PILE'!$B$88="",-1E+99,'TO HOP NLAN'!D6/ncoc+IF(SUMSQ('TS-PILE'!$E$72:$E$91)=0,0,'TO HOP NLAN'!E6*'TS-PILE'!$E$88/SUMSQ('TS-PILE'!$E$72:$E$91))+IF(SUMSQ('TS-PILE'!$D$72:$D$91)=0,0,'TO HOP NLAN'!F6*'TS-PILE'!$D$88/SUMSQ('TS-PILE'!$D$72:$D$91))),IF('TS-PILE'!$B$89="",-1E+99,'TO HOP NLAN'!D6/ncoc+IF(SUMSQ('TS-PILE'!$E$72:$E$91)=0,0,'TO HOP NLAN'!E6*'TS-PILE'!$E$89/SUMSQ('TS-PILE'!$E$72:$E$91))+IF(SUMSQ('TS-PILE'!$D$72:$D$91)=0,0,'TO HOP NLAN'!F6*'TS-PILE'!$D$89/SUMSQ('TS-PILE'!$D$72:$D$91))),IF('TS-PILE'!$B$90="",-1E+99,'TO HOP NLAN'!D6/ncoc+IF(SUMSQ('TS-PILE'!$E$72:$E$91)=0,0,'TO HOP NLAN'!E6*'TS-PILE'!$E$90/SUMSQ('TS-PILE'!$E$72:$E$91))+IF(SUMSQ('TS-PILE'!$D$72:$D$91)=0,0,'TO HOP NLAN'!F6*'TS-PILE'!$D$90/SUMSQ('TS-PILE'!$D$72:$D$91))),IF('TS-PILE'!$B$91="",-1E+99,'TO HOP NLAN'!D6/ncoc+IF(SUMSQ('TS-PILE'!$E$72:$E$91)=0,0,'TO HOP NLAN'!E6*'TS-PILE'!$E$91/SUMSQ('TS-PILE'!$E$72:$E$91))+IF(SUMSQ('TS-PILE'!$D$72:$D$91)=0,0,'TO HOP NLAN'!F6*'TS-PILE'!$D$91/SUMSQ('TS-PILE'!$D$72:$D$91)))))</f>
        <v>0</v>
      </c>
      <c r="D6" s="58">
        <f>IF(A6="",0,MIN(IF('TS-PILE'!$B$72="",1E+99,'TO HOP NLAN'!D6/ncoc+IF(SUMSQ('TS-PILE'!$E$72:$E$91)=0,0,'TO HOP NLAN'!E6*'TS-PILE'!$E$72/SUMSQ('TS-PILE'!$E$72:$E$91))+IF(SUMSQ('TS-PILE'!$D$72:$D$91)=0,0,'TO HOP NLAN'!F6*'TS-PILE'!$D$72/SUMSQ('TS-PILE'!$D$72:$D$91))),IF('TS-PILE'!$B$73="",1E+99,'TO HOP NLAN'!D6/ncoc+IF(SUMSQ('TS-PILE'!$E$72:$E$91)=0,0,'TO HOP NLAN'!E6*'TS-PILE'!$E$73/SUMSQ('TS-PILE'!$E$72:$E$91))+IF(SUMSQ('TS-PILE'!$D$72:$D$91)=0,0,'TO HOP NLAN'!F6*'TS-PILE'!$D$73/SUMSQ('TS-PILE'!$D$72:$D$91))),IF('TS-PILE'!$B$74="",1E+99,'TO HOP NLAN'!D6/ncoc+IF(SUMSQ('TS-PILE'!$E$72:$E$91)=0,0,'TO HOP NLAN'!E6*'TS-PILE'!$E$74/SUMSQ('TS-PILE'!$E$72:$E$91))+IF(SUMSQ('TS-PILE'!$D$72:$D$91)=0,0,'TO HOP NLAN'!F6*'TS-PILE'!$D$74/SUMSQ('TS-PILE'!$D$72:$D$91))),IF('TS-PILE'!$B$75="",1E+99,'TO HOP NLAN'!D6/ncoc+IF(SUMSQ('TS-PILE'!$E$72:$E$91)=0,0,'TO HOP NLAN'!E6*'TS-PILE'!$E$75/SUMSQ('TS-PILE'!$E$72:$E$91))+IF(SUMSQ('TS-PILE'!$D$72:$D$91)=0,0,'TO HOP NLAN'!F6*'TS-PILE'!$D$75/SUMSQ('TS-PILE'!$D$72:$D$91))),IF('TS-PILE'!$B$76="",1E+99,'TO HOP NLAN'!D6/ncoc+IF(SUMSQ('TS-PILE'!$E$72:$E$91)=0,0,'TO HOP NLAN'!E6*'TS-PILE'!$E$76/SUMSQ('TS-PILE'!$E$72:$E$91))+IF(SUMSQ('TS-PILE'!$D$72:$D$91)=0,0,'TO HOP NLAN'!F6*'TS-PILE'!$D$76/SUMSQ('TS-PILE'!$D$72:$D$91))),IF('TS-PILE'!$B$77="",1E+99,'TO HOP NLAN'!D6/ncoc+IF(SUMSQ('TS-PILE'!$E$72:$E$91)=0,0,'TO HOP NLAN'!E6*'TS-PILE'!$E$77/SUMSQ('TS-PILE'!$E$72:$E$91))+IF(SUMSQ('TS-PILE'!$D$72:$D$91)=0,0,'TO HOP NLAN'!F6*'TS-PILE'!$D$77/SUMSQ('TS-PILE'!$D$72:$D$91))),IF('TS-PILE'!$B$78="",1E+99,'TO HOP NLAN'!D6/ncoc+IF(SUMSQ('TS-PILE'!$E$72:$E$91)=0,0,'TO HOP NLAN'!E6*'TS-PILE'!$E$78/SUMSQ('TS-PILE'!$E$72:$E$91))+IF(SUMSQ('TS-PILE'!$D$72:$D$91)=0,0,'TO HOP NLAN'!F6*'TS-PILE'!$D$78/SUMSQ('TS-PILE'!$D$72:$D$91))),IF('TS-PILE'!$B$79="",1E+99,'TO HOP NLAN'!D6/ncoc+IF(SUMSQ('TS-PILE'!$E$72:$E$91)=0,0,'TO HOP NLAN'!E6*'TS-PILE'!$E$79/SUMSQ('TS-PILE'!$E$72:$E$91))+IF(SUMSQ('TS-PILE'!$D$72:$D$91)=0,0,'TO HOP NLAN'!F6*'TS-PILE'!$D$79/SUMSQ('TS-PILE'!$D$72:$D$91))),IF('TS-PILE'!$B$80="",1E+99,'TO HOP NLAN'!D6/ncoc+IF(SUMSQ('TS-PILE'!$E$72:$E$91)=0,0,'TO HOP NLAN'!E6*'TS-PILE'!$E$80/SUMSQ('TS-PILE'!$E$72:$E$91))+IF(SUMSQ('TS-PILE'!$D$72:$D$91)=0,0,'TO HOP NLAN'!F6*'TS-PILE'!$D$80/SUMSQ('TS-PILE'!$D$72:$D$91))),IF('TS-PILE'!$B$81="",1E+99,'TO HOP NLAN'!D6/ncoc+IF(SUMSQ('TS-PILE'!$E$72:$E$91)=0,0,'TO HOP NLAN'!E6*'TS-PILE'!$E$81/SUMSQ('TS-PILE'!$E$72:$E$91))+IF(SUMSQ('TS-PILE'!$D$72:$D$91)=0,0,'TO HOP NLAN'!F6*'TS-PILE'!$D$81/SUMSQ('TS-PILE'!$D$72:$D$91))),IF('TS-PILE'!$B$82="",1E+99,'TO HOP NLAN'!D6/ncoc+IF(SUMSQ('TS-PILE'!$E$72:$E$91)=0,0,'TO HOP NLAN'!E6*'TS-PILE'!$E$82/SUMSQ('TS-PILE'!$E$72:$E$91))+IF(SUMSQ('TS-PILE'!$D$72:$D$91)=0,0,'TO HOP NLAN'!F6*'TS-PILE'!$D$82/SUMSQ('TS-PILE'!$D$72:$D$91))),IF('TS-PILE'!$B$83="",1E+99,'TO HOP NLAN'!D6/ncoc+IF(SUMSQ('TS-PILE'!$E$72:$E$91)=0,0,'TO HOP NLAN'!E6*'TS-PILE'!$E$83/SUMSQ('TS-PILE'!$E$72:$E$91))+IF(SUMSQ('TS-PILE'!$D$72:$D$91)=0,0,'TO HOP NLAN'!F6*'TS-PILE'!$D$83/SUMSQ('TS-PILE'!$D$72:$D$91))),IF('TS-PILE'!$B$84="",1E+99,'TO HOP NLAN'!D6/ncoc+IF(SUMSQ('TS-PILE'!$E$72:$E$91)=0,0,'TO HOP NLAN'!E6*'TS-PILE'!$E$84/SUMSQ('TS-PILE'!$E$72:$E$91))+IF(SUMSQ('TS-PILE'!$D$72:$D$91)=0,0,'TO HOP NLAN'!F6*'TS-PILE'!$D$84/SUMSQ('TS-PILE'!$D$72:$D$91))),IF('TS-PILE'!$B$85="",1E+99,'TO HOP NLAN'!D6/ncoc+IF(SUMSQ('TS-PILE'!$E$72:$E$91)=0,0,'TO HOP NLAN'!E6*'TS-PILE'!$E$85/SUMSQ('TS-PILE'!$E$72:$E$91))+IF(SUMSQ('TS-PILE'!$D$72:$D$91)=0,0,'TO HOP NLAN'!F6*'TS-PILE'!$D$85/SUMSQ('TS-PILE'!$D$72:$D$91))),IF('TS-PILE'!$B$86="",1E+99,'TO HOP NLAN'!D6/ncoc+IF(SUMSQ('TS-PILE'!$E$72:$E$91)=0,0,'TO HOP NLAN'!E6*'TS-PILE'!$E$86/SUMSQ('TS-PILE'!$E$72:$E$91))+IF(SUMSQ('TS-PILE'!$D$72:$D$91)=0,0,'TO HOP NLAN'!F6*'TS-PILE'!$D$86/SUMSQ('TS-PILE'!$D$72:$D$91))),IF('TS-PILE'!$B$87="",1E+99,'TO HOP NLAN'!D6/ncoc+IF(SUMSQ('TS-PILE'!$E$72:$E$91)=0,0,'TO HOP NLAN'!E6*'TS-PILE'!$E$87/SUMSQ('TS-PILE'!$E$72:$E$91))+IF(SUMSQ('TS-PILE'!$D$72:$D$91)=0,0,'TO HOP NLAN'!F6*'TS-PILE'!$D$87/SUMSQ('TS-PILE'!$D$72:$D$91))),IF('TS-PILE'!$B$88="",1E+99,'TO HOP NLAN'!D6/ncoc+IF(SUMSQ('TS-PILE'!$E$72:$E$91)=0,0,'TO HOP NLAN'!E6*'TS-PILE'!$E$88/SUMSQ('TS-PILE'!$E$72:$E$91))+IF(SUMSQ('TS-PILE'!$D$72:$D$91)=0,0,'TO HOP NLAN'!F6*'TS-PILE'!$D$88/SUMSQ('TS-PILE'!$D$72:$D$91))),IF('TS-PILE'!$B$89="",1E+99,'TO HOP NLAN'!D6/ncoc+IF(SUMSQ('TS-PILE'!$E$72:$E$91)=0,0,'TO HOP NLAN'!E6*'TS-PILE'!$E$89/SUMSQ('TS-PILE'!$E$72:$E$91))+IF(SUMSQ('TS-PILE'!$D$72:$D$91)=0,0,'TO HOP NLAN'!F6*'TS-PILE'!$D$89/SUMSQ('TS-PILE'!$D$72:$D$91))),IF('TS-PILE'!$B$90="",1E+99,'TO HOP NLAN'!D6/ncoc+IF(SUMSQ('TS-PILE'!$E$72:$E$91)=0,0,'TO HOP NLAN'!E6*'TS-PILE'!$E$90/SUMSQ('TS-PILE'!$E$72:$E$91))+IF(SUMSQ('TS-PILE'!$D$72:$D$91)=0,0,'TO HOP NLAN'!F6*'TS-PILE'!$D$90/SUMSQ('TS-PILE'!$D$72:$D$91))),IF('TS-PILE'!$B$91="",1E+99,'TO HOP NLAN'!D6/ncoc+IF(SUMSQ('TS-PILE'!$E$72:$E$91)=0,0,'TO HOP NLAN'!E6*'TS-PILE'!$E$91/SUMSQ('TS-PILE'!$E$72:$E$91))+IF(SUMSQ('TS-PILE'!$D$72:$D$91)=0,0,'TO HOP NLAN'!F6*'TS-PILE'!$D$91/SUMSQ('TS-PILE'!$D$72:$D$91)))))</f>
        <v>0</v>
      </c>
      <c r="E6" s="58">
        <f t="shared" ref="E6:E69" si="0">IF(AND(A6&lt;&gt;"",B6="SERVICE"),C6,-1E+99)</f>
        <v>-9.9999999999999997E+98</v>
      </c>
      <c r="F6" s="58">
        <f t="shared" ref="F6:F69" si="1">IF(AND(A6&lt;&gt;"",B6="SERVICE"),D6,1E+99)</f>
        <v>9.9999999999999997E+98</v>
      </c>
      <c r="G6" s="58">
        <f t="shared" ref="G6:G69" si="2">IF(AND(A6&lt;&gt;"",B6="STRENGTH"),C6,-1E+99)</f>
        <v>-9.9999999999999997E+98</v>
      </c>
      <c r="H6" s="58">
        <f t="shared" ref="H6:H69" si="3">IF(AND(A6&lt;&gt;"",B6="STRENGTH"),D6,1E+99)</f>
        <v>9.9999999999999997E+98</v>
      </c>
    </row>
    <row r="7" spans="1:8" x14ac:dyDescent="0.3">
      <c r="A7" s="42" t="str">
        <f>'TO HOP NLAN'!A7</f>
        <v/>
      </c>
      <c r="B7" s="42" t="str">
        <f>'TO HOP NLAN'!L7</f>
        <v>SERVICE</v>
      </c>
      <c r="C7" s="58">
        <f>IF(A7="",0,MAX(IF('TS-PILE'!$B$72="",-1E+99,'TO HOP NLAN'!D7/ncoc+IF(SUMSQ('TS-PILE'!$E$72:$E$91)=0,0,'TO HOP NLAN'!E7*'TS-PILE'!$E$72/SUMSQ('TS-PILE'!$E$72:$E$91))+IF(SUMSQ('TS-PILE'!$D$72:$D$91)=0,0,'TO HOP NLAN'!F7*'TS-PILE'!$D$72/SUMSQ('TS-PILE'!$D$72:$D$91))),IF('TS-PILE'!$B$73="",-1E+99,'TO HOP NLAN'!D7/ncoc+IF(SUMSQ('TS-PILE'!$E$72:$E$91)=0,0,'TO HOP NLAN'!E7*'TS-PILE'!$E$73/SUMSQ('TS-PILE'!$E$72:$E$91))+IF(SUMSQ('TS-PILE'!$D$72:$D$91)=0,0,'TO HOP NLAN'!F7*'TS-PILE'!$D$73/SUMSQ('TS-PILE'!$D$72:$D$91))),IF('TS-PILE'!$B$74="",-1E+99,'TO HOP NLAN'!D7/ncoc+IF(SUMSQ('TS-PILE'!$E$72:$E$91)=0,0,'TO HOP NLAN'!E7*'TS-PILE'!$E$74/SUMSQ('TS-PILE'!$E$72:$E$91))+IF(SUMSQ('TS-PILE'!$D$72:$D$91)=0,0,'TO HOP NLAN'!F7*'TS-PILE'!$D$74/SUMSQ('TS-PILE'!$D$72:$D$91))),IF('TS-PILE'!$B$75="",-1E+99,'TO HOP NLAN'!D7/ncoc+IF(SUMSQ('TS-PILE'!$E$72:$E$91)=0,0,'TO HOP NLAN'!E7*'TS-PILE'!$E$75/SUMSQ('TS-PILE'!$E$72:$E$91))+IF(SUMSQ('TS-PILE'!$D$72:$D$91)=0,0,'TO HOP NLAN'!F7*'TS-PILE'!$D$75/SUMSQ('TS-PILE'!$D$72:$D$91))),IF('TS-PILE'!$B$76="",-1E+99,'TO HOP NLAN'!D7/ncoc+IF(SUMSQ('TS-PILE'!$E$72:$E$91)=0,0,'TO HOP NLAN'!E7*'TS-PILE'!$E$76/SUMSQ('TS-PILE'!$E$72:$E$91))+IF(SUMSQ('TS-PILE'!$D$72:$D$91)=0,0,'TO HOP NLAN'!F7*'TS-PILE'!$D$76/SUMSQ('TS-PILE'!$D$72:$D$91))),IF('TS-PILE'!$B$77="",-1E+99,'TO HOP NLAN'!D7/ncoc+IF(SUMSQ('TS-PILE'!$E$72:$E$91)=0,0,'TO HOP NLAN'!E7*'TS-PILE'!$E$77/SUMSQ('TS-PILE'!$E$72:$E$91))+IF(SUMSQ('TS-PILE'!$D$72:$D$91)=0,0,'TO HOP NLAN'!F7*'TS-PILE'!$D$77/SUMSQ('TS-PILE'!$D$72:$D$91))),IF('TS-PILE'!$B$78="",-1E+99,'TO HOP NLAN'!D7/ncoc+IF(SUMSQ('TS-PILE'!$E$72:$E$91)=0,0,'TO HOP NLAN'!E7*'TS-PILE'!$E$78/SUMSQ('TS-PILE'!$E$72:$E$91))+IF(SUMSQ('TS-PILE'!$D$72:$D$91)=0,0,'TO HOP NLAN'!F7*'TS-PILE'!$D$78/SUMSQ('TS-PILE'!$D$72:$D$91))),IF('TS-PILE'!$B$79="",-1E+99,'TO HOP NLAN'!D7/ncoc+IF(SUMSQ('TS-PILE'!$E$72:$E$91)=0,0,'TO HOP NLAN'!E7*'TS-PILE'!$E$79/SUMSQ('TS-PILE'!$E$72:$E$91))+IF(SUMSQ('TS-PILE'!$D$72:$D$91)=0,0,'TO HOP NLAN'!F7*'TS-PILE'!$D$79/SUMSQ('TS-PILE'!$D$72:$D$91))),IF('TS-PILE'!$B$80="",-1E+99,'TO HOP NLAN'!D7/ncoc+IF(SUMSQ('TS-PILE'!$E$72:$E$91)=0,0,'TO HOP NLAN'!E7*'TS-PILE'!$E$80/SUMSQ('TS-PILE'!$E$72:$E$91))+IF(SUMSQ('TS-PILE'!$D$72:$D$91)=0,0,'TO HOP NLAN'!F7*'TS-PILE'!$D$80/SUMSQ('TS-PILE'!$D$72:$D$91))),IF('TS-PILE'!$B$81="",-1E+99,'TO HOP NLAN'!D7/ncoc+IF(SUMSQ('TS-PILE'!$E$72:$E$91)=0,0,'TO HOP NLAN'!E7*'TS-PILE'!$E$81/SUMSQ('TS-PILE'!$E$72:$E$91))+IF(SUMSQ('TS-PILE'!$D$72:$D$91)=0,0,'TO HOP NLAN'!F7*'TS-PILE'!$D$81/SUMSQ('TS-PILE'!$D$72:$D$91))),IF('TS-PILE'!$B$82="",-1E+99,'TO HOP NLAN'!D7/ncoc+IF(SUMSQ('TS-PILE'!$E$72:$E$91)=0,0,'TO HOP NLAN'!E7*'TS-PILE'!$E$82/SUMSQ('TS-PILE'!$E$72:$E$91))+IF(SUMSQ('TS-PILE'!$D$72:$D$91)=0,0,'TO HOP NLAN'!F7*'TS-PILE'!$D$82/SUMSQ('TS-PILE'!$D$72:$D$91))),IF('TS-PILE'!$B$83="",-1E+99,'TO HOP NLAN'!D7/ncoc+IF(SUMSQ('TS-PILE'!$E$72:$E$91)=0,0,'TO HOP NLAN'!E7*'TS-PILE'!$E$83/SUMSQ('TS-PILE'!$E$72:$E$91))+IF(SUMSQ('TS-PILE'!$D$72:$D$91)=0,0,'TO HOP NLAN'!F7*'TS-PILE'!$D$83/SUMSQ('TS-PILE'!$D$72:$D$91))),IF('TS-PILE'!$B$84="",-1E+99,'TO HOP NLAN'!D7/ncoc+IF(SUMSQ('TS-PILE'!$E$72:$E$91)=0,0,'TO HOP NLAN'!E7*'TS-PILE'!$E$84/SUMSQ('TS-PILE'!$E$72:$E$91))+IF(SUMSQ('TS-PILE'!$D$72:$D$91)=0,0,'TO HOP NLAN'!F7*'TS-PILE'!$D$84/SUMSQ('TS-PILE'!$D$72:$D$91))),IF('TS-PILE'!$B$85="",-1E+99,'TO HOP NLAN'!D7/ncoc+IF(SUMSQ('TS-PILE'!$E$72:$E$91)=0,0,'TO HOP NLAN'!E7*'TS-PILE'!$E$85/SUMSQ('TS-PILE'!$E$72:$E$91))+IF(SUMSQ('TS-PILE'!$D$72:$D$91)=0,0,'TO HOP NLAN'!F7*'TS-PILE'!$D$85/SUMSQ('TS-PILE'!$D$72:$D$91))),IF('TS-PILE'!$B$86="",-1E+99,'TO HOP NLAN'!D7/ncoc+IF(SUMSQ('TS-PILE'!$E$72:$E$91)=0,0,'TO HOP NLAN'!E7*'TS-PILE'!$E$86/SUMSQ('TS-PILE'!$E$72:$E$91))+IF(SUMSQ('TS-PILE'!$D$72:$D$91)=0,0,'TO HOP NLAN'!F7*'TS-PILE'!$D$86/SUMSQ('TS-PILE'!$D$72:$D$91))),IF('TS-PILE'!$B$87="",-1E+99,'TO HOP NLAN'!D7/ncoc+IF(SUMSQ('TS-PILE'!$E$72:$E$91)=0,0,'TO HOP NLAN'!E7*'TS-PILE'!$E$87/SUMSQ('TS-PILE'!$E$72:$E$91))+IF(SUMSQ('TS-PILE'!$D$72:$D$91)=0,0,'TO HOP NLAN'!F7*'TS-PILE'!$D$87/SUMSQ('TS-PILE'!$D$72:$D$91))),IF('TS-PILE'!$B$88="",-1E+99,'TO HOP NLAN'!D7/ncoc+IF(SUMSQ('TS-PILE'!$E$72:$E$91)=0,0,'TO HOP NLAN'!E7*'TS-PILE'!$E$88/SUMSQ('TS-PILE'!$E$72:$E$91))+IF(SUMSQ('TS-PILE'!$D$72:$D$91)=0,0,'TO HOP NLAN'!F7*'TS-PILE'!$D$88/SUMSQ('TS-PILE'!$D$72:$D$91))),IF('TS-PILE'!$B$89="",-1E+99,'TO HOP NLAN'!D7/ncoc+IF(SUMSQ('TS-PILE'!$E$72:$E$91)=0,0,'TO HOP NLAN'!E7*'TS-PILE'!$E$89/SUMSQ('TS-PILE'!$E$72:$E$91))+IF(SUMSQ('TS-PILE'!$D$72:$D$91)=0,0,'TO HOP NLAN'!F7*'TS-PILE'!$D$89/SUMSQ('TS-PILE'!$D$72:$D$91))),IF('TS-PILE'!$B$90="",-1E+99,'TO HOP NLAN'!D7/ncoc+IF(SUMSQ('TS-PILE'!$E$72:$E$91)=0,0,'TO HOP NLAN'!E7*'TS-PILE'!$E$90/SUMSQ('TS-PILE'!$E$72:$E$91))+IF(SUMSQ('TS-PILE'!$D$72:$D$91)=0,0,'TO HOP NLAN'!F7*'TS-PILE'!$D$90/SUMSQ('TS-PILE'!$D$72:$D$91))),IF('TS-PILE'!$B$91="",-1E+99,'TO HOP NLAN'!D7/ncoc+IF(SUMSQ('TS-PILE'!$E$72:$E$91)=0,0,'TO HOP NLAN'!E7*'TS-PILE'!$E$91/SUMSQ('TS-PILE'!$E$72:$E$91))+IF(SUMSQ('TS-PILE'!$D$72:$D$91)=0,0,'TO HOP NLAN'!F7*'TS-PILE'!$D$91/SUMSQ('TS-PILE'!$D$72:$D$91)))))</f>
        <v>0</v>
      </c>
      <c r="D7" s="58">
        <f>IF(A7="",0,MIN(IF('TS-PILE'!$B$72="",1E+99,'TO HOP NLAN'!D7/ncoc+IF(SUMSQ('TS-PILE'!$E$72:$E$91)=0,0,'TO HOP NLAN'!E7*'TS-PILE'!$E$72/SUMSQ('TS-PILE'!$E$72:$E$91))+IF(SUMSQ('TS-PILE'!$D$72:$D$91)=0,0,'TO HOP NLAN'!F7*'TS-PILE'!$D$72/SUMSQ('TS-PILE'!$D$72:$D$91))),IF('TS-PILE'!$B$73="",1E+99,'TO HOP NLAN'!D7/ncoc+IF(SUMSQ('TS-PILE'!$E$72:$E$91)=0,0,'TO HOP NLAN'!E7*'TS-PILE'!$E$73/SUMSQ('TS-PILE'!$E$72:$E$91))+IF(SUMSQ('TS-PILE'!$D$72:$D$91)=0,0,'TO HOP NLAN'!F7*'TS-PILE'!$D$73/SUMSQ('TS-PILE'!$D$72:$D$91))),IF('TS-PILE'!$B$74="",1E+99,'TO HOP NLAN'!D7/ncoc+IF(SUMSQ('TS-PILE'!$E$72:$E$91)=0,0,'TO HOP NLAN'!E7*'TS-PILE'!$E$74/SUMSQ('TS-PILE'!$E$72:$E$91))+IF(SUMSQ('TS-PILE'!$D$72:$D$91)=0,0,'TO HOP NLAN'!F7*'TS-PILE'!$D$74/SUMSQ('TS-PILE'!$D$72:$D$91))),IF('TS-PILE'!$B$75="",1E+99,'TO HOP NLAN'!D7/ncoc+IF(SUMSQ('TS-PILE'!$E$72:$E$91)=0,0,'TO HOP NLAN'!E7*'TS-PILE'!$E$75/SUMSQ('TS-PILE'!$E$72:$E$91))+IF(SUMSQ('TS-PILE'!$D$72:$D$91)=0,0,'TO HOP NLAN'!F7*'TS-PILE'!$D$75/SUMSQ('TS-PILE'!$D$72:$D$91))),IF('TS-PILE'!$B$76="",1E+99,'TO HOP NLAN'!D7/ncoc+IF(SUMSQ('TS-PILE'!$E$72:$E$91)=0,0,'TO HOP NLAN'!E7*'TS-PILE'!$E$76/SUMSQ('TS-PILE'!$E$72:$E$91))+IF(SUMSQ('TS-PILE'!$D$72:$D$91)=0,0,'TO HOP NLAN'!F7*'TS-PILE'!$D$76/SUMSQ('TS-PILE'!$D$72:$D$91))),IF('TS-PILE'!$B$77="",1E+99,'TO HOP NLAN'!D7/ncoc+IF(SUMSQ('TS-PILE'!$E$72:$E$91)=0,0,'TO HOP NLAN'!E7*'TS-PILE'!$E$77/SUMSQ('TS-PILE'!$E$72:$E$91))+IF(SUMSQ('TS-PILE'!$D$72:$D$91)=0,0,'TO HOP NLAN'!F7*'TS-PILE'!$D$77/SUMSQ('TS-PILE'!$D$72:$D$91))),IF('TS-PILE'!$B$78="",1E+99,'TO HOP NLAN'!D7/ncoc+IF(SUMSQ('TS-PILE'!$E$72:$E$91)=0,0,'TO HOP NLAN'!E7*'TS-PILE'!$E$78/SUMSQ('TS-PILE'!$E$72:$E$91))+IF(SUMSQ('TS-PILE'!$D$72:$D$91)=0,0,'TO HOP NLAN'!F7*'TS-PILE'!$D$78/SUMSQ('TS-PILE'!$D$72:$D$91))),IF('TS-PILE'!$B$79="",1E+99,'TO HOP NLAN'!D7/ncoc+IF(SUMSQ('TS-PILE'!$E$72:$E$91)=0,0,'TO HOP NLAN'!E7*'TS-PILE'!$E$79/SUMSQ('TS-PILE'!$E$72:$E$91))+IF(SUMSQ('TS-PILE'!$D$72:$D$91)=0,0,'TO HOP NLAN'!F7*'TS-PILE'!$D$79/SUMSQ('TS-PILE'!$D$72:$D$91))),IF('TS-PILE'!$B$80="",1E+99,'TO HOP NLAN'!D7/ncoc+IF(SUMSQ('TS-PILE'!$E$72:$E$91)=0,0,'TO HOP NLAN'!E7*'TS-PILE'!$E$80/SUMSQ('TS-PILE'!$E$72:$E$91))+IF(SUMSQ('TS-PILE'!$D$72:$D$91)=0,0,'TO HOP NLAN'!F7*'TS-PILE'!$D$80/SUMSQ('TS-PILE'!$D$72:$D$91))),IF('TS-PILE'!$B$81="",1E+99,'TO HOP NLAN'!D7/ncoc+IF(SUMSQ('TS-PILE'!$E$72:$E$91)=0,0,'TO HOP NLAN'!E7*'TS-PILE'!$E$81/SUMSQ('TS-PILE'!$E$72:$E$91))+IF(SUMSQ('TS-PILE'!$D$72:$D$91)=0,0,'TO HOP NLAN'!F7*'TS-PILE'!$D$81/SUMSQ('TS-PILE'!$D$72:$D$91))),IF('TS-PILE'!$B$82="",1E+99,'TO HOP NLAN'!D7/ncoc+IF(SUMSQ('TS-PILE'!$E$72:$E$91)=0,0,'TO HOP NLAN'!E7*'TS-PILE'!$E$82/SUMSQ('TS-PILE'!$E$72:$E$91))+IF(SUMSQ('TS-PILE'!$D$72:$D$91)=0,0,'TO HOP NLAN'!F7*'TS-PILE'!$D$82/SUMSQ('TS-PILE'!$D$72:$D$91))),IF('TS-PILE'!$B$83="",1E+99,'TO HOP NLAN'!D7/ncoc+IF(SUMSQ('TS-PILE'!$E$72:$E$91)=0,0,'TO HOP NLAN'!E7*'TS-PILE'!$E$83/SUMSQ('TS-PILE'!$E$72:$E$91))+IF(SUMSQ('TS-PILE'!$D$72:$D$91)=0,0,'TO HOP NLAN'!F7*'TS-PILE'!$D$83/SUMSQ('TS-PILE'!$D$72:$D$91))),IF('TS-PILE'!$B$84="",1E+99,'TO HOP NLAN'!D7/ncoc+IF(SUMSQ('TS-PILE'!$E$72:$E$91)=0,0,'TO HOP NLAN'!E7*'TS-PILE'!$E$84/SUMSQ('TS-PILE'!$E$72:$E$91))+IF(SUMSQ('TS-PILE'!$D$72:$D$91)=0,0,'TO HOP NLAN'!F7*'TS-PILE'!$D$84/SUMSQ('TS-PILE'!$D$72:$D$91))),IF('TS-PILE'!$B$85="",1E+99,'TO HOP NLAN'!D7/ncoc+IF(SUMSQ('TS-PILE'!$E$72:$E$91)=0,0,'TO HOP NLAN'!E7*'TS-PILE'!$E$85/SUMSQ('TS-PILE'!$E$72:$E$91))+IF(SUMSQ('TS-PILE'!$D$72:$D$91)=0,0,'TO HOP NLAN'!F7*'TS-PILE'!$D$85/SUMSQ('TS-PILE'!$D$72:$D$91))),IF('TS-PILE'!$B$86="",1E+99,'TO HOP NLAN'!D7/ncoc+IF(SUMSQ('TS-PILE'!$E$72:$E$91)=0,0,'TO HOP NLAN'!E7*'TS-PILE'!$E$86/SUMSQ('TS-PILE'!$E$72:$E$91))+IF(SUMSQ('TS-PILE'!$D$72:$D$91)=0,0,'TO HOP NLAN'!F7*'TS-PILE'!$D$86/SUMSQ('TS-PILE'!$D$72:$D$91))),IF('TS-PILE'!$B$87="",1E+99,'TO HOP NLAN'!D7/ncoc+IF(SUMSQ('TS-PILE'!$E$72:$E$91)=0,0,'TO HOP NLAN'!E7*'TS-PILE'!$E$87/SUMSQ('TS-PILE'!$E$72:$E$91))+IF(SUMSQ('TS-PILE'!$D$72:$D$91)=0,0,'TO HOP NLAN'!F7*'TS-PILE'!$D$87/SUMSQ('TS-PILE'!$D$72:$D$91))),IF('TS-PILE'!$B$88="",1E+99,'TO HOP NLAN'!D7/ncoc+IF(SUMSQ('TS-PILE'!$E$72:$E$91)=0,0,'TO HOP NLAN'!E7*'TS-PILE'!$E$88/SUMSQ('TS-PILE'!$E$72:$E$91))+IF(SUMSQ('TS-PILE'!$D$72:$D$91)=0,0,'TO HOP NLAN'!F7*'TS-PILE'!$D$88/SUMSQ('TS-PILE'!$D$72:$D$91))),IF('TS-PILE'!$B$89="",1E+99,'TO HOP NLAN'!D7/ncoc+IF(SUMSQ('TS-PILE'!$E$72:$E$91)=0,0,'TO HOP NLAN'!E7*'TS-PILE'!$E$89/SUMSQ('TS-PILE'!$E$72:$E$91))+IF(SUMSQ('TS-PILE'!$D$72:$D$91)=0,0,'TO HOP NLAN'!F7*'TS-PILE'!$D$89/SUMSQ('TS-PILE'!$D$72:$D$91))),IF('TS-PILE'!$B$90="",1E+99,'TO HOP NLAN'!D7/ncoc+IF(SUMSQ('TS-PILE'!$E$72:$E$91)=0,0,'TO HOP NLAN'!E7*'TS-PILE'!$E$90/SUMSQ('TS-PILE'!$E$72:$E$91))+IF(SUMSQ('TS-PILE'!$D$72:$D$91)=0,0,'TO HOP NLAN'!F7*'TS-PILE'!$D$90/SUMSQ('TS-PILE'!$D$72:$D$91))),IF('TS-PILE'!$B$91="",1E+99,'TO HOP NLAN'!D7/ncoc+IF(SUMSQ('TS-PILE'!$E$72:$E$91)=0,0,'TO HOP NLAN'!E7*'TS-PILE'!$E$91/SUMSQ('TS-PILE'!$E$72:$E$91))+IF(SUMSQ('TS-PILE'!$D$72:$D$91)=0,0,'TO HOP NLAN'!F7*'TS-PILE'!$D$91/SUMSQ('TS-PILE'!$D$72:$D$91)))))</f>
        <v>0</v>
      </c>
      <c r="E7" s="58">
        <f t="shared" si="0"/>
        <v>-9.9999999999999997E+98</v>
      </c>
      <c r="F7" s="58">
        <f t="shared" si="1"/>
        <v>9.9999999999999997E+98</v>
      </c>
      <c r="G7" s="58">
        <f t="shared" si="2"/>
        <v>-9.9999999999999997E+98</v>
      </c>
      <c r="H7" s="58">
        <f t="shared" si="3"/>
        <v>9.9999999999999997E+98</v>
      </c>
    </row>
    <row r="8" spans="1:8" x14ac:dyDescent="0.3">
      <c r="A8" s="42" t="str">
        <f>'TO HOP NLAN'!A8</f>
        <v/>
      </c>
      <c r="B8" s="42" t="str">
        <f>'TO HOP NLAN'!L8</f>
        <v>SERVICE</v>
      </c>
      <c r="C8" s="58">
        <f>IF(A8="",0,MAX(IF('TS-PILE'!$B$72="",-1E+99,'TO HOP NLAN'!D8/ncoc+IF(SUMSQ('TS-PILE'!$E$72:$E$91)=0,0,'TO HOP NLAN'!E8*'TS-PILE'!$E$72/SUMSQ('TS-PILE'!$E$72:$E$91))+IF(SUMSQ('TS-PILE'!$D$72:$D$91)=0,0,'TO HOP NLAN'!F8*'TS-PILE'!$D$72/SUMSQ('TS-PILE'!$D$72:$D$91))),IF('TS-PILE'!$B$73="",-1E+99,'TO HOP NLAN'!D8/ncoc+IF(SUMSQ('TS-PILE'!$E$72:$E$91)=0,0,'TO HOP NLAN'!E8*'TS-PILE'!$E$73/SUMSQ('TS-PILE'!$E$72:$E$91))+IF(SUMSQ('TS-PILE'!$D$72:$D$91)=0,0,'TO HOP NLAN'!F8*'TS-PILE'!$D$73/SUMSQ('TS-PILE'!$D$72:$D$91))),IF('TS-PILE'!$B$74="",-1E+99,'TO HOP NLAN'!D8/ncoc+IF(SUMSQ('TS-PILE'!$E$72:$E$91)=0,0,'TO HOP NLAN'!E8*'TS-PILE'!$E$74/SUMSQ('TS-PILE'!$E$72:$E$91))+IF(SUMSQ('TS-PILE'!$D$72:$D$91)=0,0,'TO HOP NLAN'!F8*'TS-PILE'!$D$74/SUMSQ('TS-PILE'!$D$72:$D$91))),IF('TS-PILE'!$B$75="",-1E+99,'TO HOP NLAN'!D8/ncoc+IF(SUMSQ('TS-PILE'!$E$72:$E$91)=0,0,'TO HOP NLAN'!E8*'TS-PILE'!$E$75/SUMSQ('TS-PILE'!$E$72:$E$91))+IF(SUMSQ('TS-PILE'!$D$72:$D$91)=0,0,'TO HOP NLAN'!F8*'TS-PILE'!$D$75/SUMSQ('TS-PILE'!$D$72:$D$91))),IF('TS-PILE'!$B$76="",-1E+99,'TO HOP NLAN'!D8/ncoc+IF(SUMSQ('TS-PILE'!$E$72:$E$91)=0,0,'TO HOP NLAN'!E8*'TS-PILE'!$E$76/SUMSQ('TS-PILE'!$E$72:$E$91))+IF(SUMSQ('TS-PILE'!$D$72:$D$91)=0,0,'TO HOP NLAN'!F8*'TS-PILE'!$D$76/SUMSQ('TS-PILE'!$D$72:$D$91))),IF('TS-PILE'!$B$77="",-1E+99,'TO HOP NLAN'!D8/ncoc+IF(SUMSQ('TS-PILE'!$E$72:$E$91)=0,0,'TO HOP NLAN'!E8*'TS-PILE'!$E$77/SUMSQ('TS-PILE'!$E$72:$E$91))+IF(SUMSQ('TS-PILE'!$D$72:$D$91)=0,0,'TO HOP NLAN'!F8*'TS-PILE'!$D$77/SUMSQ('TS-PILE'!$D$72:$D$91))),IF('TS-PILE'!$B$78="",-1E+99,'TO HOP NLAN'!D8/ncoc+IF(SUMSQ('TS-PILE'!$E$72:$E$91)=0,0,'TO HOP NLAN'!E8*'TS-PILE'!$E$78/SUMSQ('TS-PILE'!$E$72:$E$91))+IF(SUMSQ('TS-PILE'!$D$72:$D$91)=0,0,'TO HOP NLAN'!F8*'TS-PILE'!$D$78/SUMSQ('TS-PILE'!$D$72:$D$91))),IF('TS-PILE'!$B$79="",-1E+99,'TO HOP NLAN'!D8/ncoc+IF(SUMSQ('TS-PILE'!$E$72:$E$91)=0,0,'TO HOP NLAN'!E8*'TS-PILE'!$E$79/SUMSQ('TS-PILE'!$E$72:$E$91))+IF(SUMSQ('TS-PILE'!$D$72:$D$91)=0,0,'TO HOP NLAN'!F8*'TS-PILE'!$D$79/SUMSQ('TS-PILE'!$D$72:$D$91))),IF('TS-PILE'!$B$80="",-1E+99,'TO HOP NLAN'!D8/ncoc+IF(SUMSQ('TS-PILE'!$E$72:$E$91)=0,0,'TO HOP NLAN'!E8*'TS-PILE'!$E$80/SUMSQ('TS-PILE'!$E$72:$E$91))+IF(SUMSQ('TS-PILE'!$D$72:$D$91)=0,0,'TO HOP NLAN'!F8*'TS-PILE'!$D$80/SUMSQ('TS-PILE'!$D$72:$D$91))),IF('TS-PILE'!$B$81="",-1E+99,'TO HOP NLAN'!D8/ncoc+IF(SUMSQ('TS-PILE'!$E$72:$E$91)=0,0,'TO HOP NLAN'!E8*'TS-PILE'!$E$81/SUMSQ('TS-PILE'!$E$72:$E$91))+IF(SUMSQ('TS-PILE'!$D$72:$D$91)=0,0,'TO HOP NLAN'!F8*'TS-PILE'!$D$81/SUMSQ('TS-PILE'!$D$72:$D$91))),IF('TS-PILE'!$B$82="",-1E+99,'TO HOP NLAN'!D8/ncoc+IF(SUMSQ('TS-PILE'!$E$72:$E$91)=0,0,'TO HOP NLAN'!E8*'TS-PILE'!$E$82/SUMSQ('TS-PILE'!$E$72:$E$91))+IF(SUMSQ('TS-PILE'!$D$72:$D$91)=0,0,'TO HOP NLAN'!F8*'TS-PILE'!$D$82/SUMSQ('TS-PILE'!$D$72:$D$91))),IF('TS-PILE'!$B$83="",-1E+99,'TO HOP NLAN'!D8/ncoc+IF(SUMSQ('TS-PILE'!$E$72:$E$91)=0,0,'TO HOP NLAN'!E8*'TS-PILE'!$E$83/SUMSQ('TS-PILE'!$E$72:$E$91))+IF(SUMSQ('TS-PILE'!$D$72:$D$91)=0,0,'TO HOP NLAN'!F8*'TS-PILE'!$D$83/SUMSQ('TS-PILE'!$D$72:$D$91))),IF('TS-PILE'!$B$84="",-1E+99,'TO HOP NLAN'!D8/ncoc+IF(SUMSQ('TS-PILE'!$E$72:$E$91)=0,0,'TO HOP NLAN'!E8*'TS-PILE'!$E$84/SUMSQ('TS-PILE'!$E$72:$E$91))+IF(SUMSQ('TS-PILE'!$D$72:$D$91)=0,0,'TO HOP NLAN'!F8*'TS-PILE'!$D$84/SUMSQ('TS-PILE'!$D$72:$D$91))),IF('TS-PILE'!$B$85="",-1E+99,'TO HOP NLAN'!D8/ncoc+IF(SUMSQ('TS-PILE'!$E$72:$E$91)=0,0,'TO HOP NLAN'!E8*'TS-PILE'!$E$85/SUMSQ('TS-PILE'!$E$72:$E$91))+IF(SUMSQ('TS-PILE'!$D$72:$D$91)=0,0,'TO HOP NLAN'!F8*'TS-PILE'!$D$85/SUMSQ('TS-PILE'!$D$72:$D$91))),IF('TS-PILE'!$B$86="",-1E+99,'TO HOP NLAN'!D8/ncoc+IF(SUMSQ('TS-PILE'!$E$72:$E$91)=0,0,'TO HOP NLAN'!E8*'TS-PILE'!$E$86/SUMSQ('TS-PILE'!$E$72:$E$91))+IF(SUMSQ('TS-PILE'!$D$72:$D$91)=0,0,'TO HOP NLAN'!F8*'TS-PILE'!$D$86/SUMSQ('TS-PILE'!$D$72:$D$91))),IF('TS-PILE'!$B$87="",-1E+99,'TO HOP NLAN'!D8/ncoc+IF(SUMSQ('TS-PILE'!$E$72:$E$91)=0,0,'TO HOP NLAN'!E8*'TS-PILE'!$E$87/SUMSQ('TS-PILE'!$E$72:$E$91))+IF(SUMSQ('TS-PILE'!$D$72:$D$91)=0,0,'TO HOP NLAN'!F8*'TS-PILE'!$D$87/SUMSQ('TS-PILE'!$D$72:$D$91))),IF('TS-PILE'!$B$88="",-1E+99,'TO HOP NLAN'!D8/ncoc+IF(SUMSQ('TS-PILE'!$E$72:$E$91)=0,0,'TO HOP NLAN'!E8*'TS-PILE'!$E$88/SUMSQ('TS-PILE'!$E$72:$E$91))+IF(SUMSQ('TS-PILE'!$D$72:$D$91)=0,0,'TO HOP NLAN'!F8*'TS-PILE'!$D$88/SUMSQ('TS-PILE'!$D$72:$D$91))),IF('TS-PILE'!$B$89="",-1E+99,'TO HOP NLAN'!D8/ncoc+IF(SUMSQ('TS-PILE'!$E$72:$E$91)=0,0,'TO HOP NLAN'!E8*'TS-PILE'!$E$89/SUMSQ('TS-PILE'!$E$72:$E$91))+IF(SUMSQ('TS-PILE'!$D$72:$D$91)=0,0,'TO HOP NLAN'!F8*'TS-PILE'!$D$89/SUMSQ('TS-PILE'!$D$72:$D$91))),IF('TS-PILE'!$B$90="",-1E+99,'TO HOP NLAN'!D8/ncoc+IF(SUMSQ('TS-PILE'!$E$72:$E$91)=0,0,'TO HOP NLAN'!E8*'TS-PILE'!$E$90/SUMSQ('TS-PILE'!$E$72:$E$91))+IF(SUMSQ('TS-PILE'!$D$72:$D$91)=0,0,'TO HOP NLAN'!F8*'TS-PILE'!$D$90/SUMSQ('TS-PILE'!$D$72:$D$91))),IF('TS-PILE'!$B$91="",-1E+99,'TO HOP NLAN'!D8/ncoc+IF(SUMSQ('TS-PILE'!$E$72:$E$91)=0,0,'TO HOP NLAN'!E8*'TS-PILE'!$E$91/SUMSQ('TS-PILE'!$E$72:$E$91))+IF(SUMSQ('TS-PILE'!$D$72:$D$91)=0,0,'TO HOP NLAN'!F8*'TS-PILE'!$D$91/SUMSQ('TS-PILE'!$D$72:$D$91)))))</f>
        <v>0</v>
      </c>
      <c r="D8" s="58">
        <f>IF(A8="",0,MIN(IF('TS-PILE'!$B$72="",1E+99,'TO HOP NLAN'!D8/ncoc+IF(SUMSQ('TS-PILE'!$E$72:$E$91)=0,0,'TO HOP NLAN'!E8*'TS-PILE'!$E$72/SUMSQ('TS-PILE'!$E$72:$E$91))+IF(SUMSQ('TS-PILE'!$D$72:$D$91)=0,0,'TO HOP NLAN'!F8*'TS-PILE'!$D$72/SUMSQ('TS-PILE'!$D$72:$D$91))),IF('TS-PILE'!$B$73="",1E+99,'TO HOP NLAN'!D8/ncoc+IF(SUMSQ('TS-PILE'!$E$72:$E$91)=0,0,'TO HOP NLAN'!E8*'TS-PILE'!$E$73/SUMSQ('TS-PILE'!$E$72:$E$91))+IF(SUMSQ('TS-PILE'!$D$72:$D$91)=0,0,'TO HOP NLAN'!F8*'TS-PILE'!$D$73/SUMSQ('TS-PILE'!$D$72:$D$91))),IF('TS-PILE'!$B$74="",1E+99,'TO HOP NLAN'!D8/ncoc+IF(SUMSQ('TS-PILE'!$E$72:$E$91)=0,0,'TO HOP NLAN'!E8*'TS-PILE'!$E$74/SUMSQ('TS-PILE'!$E$72:$E$91))+IF(SUMSQ('TS-PILE'!$D$72:$D$91)=0,0,'TO HOP NLAN'!F8*'TS-PILE'!$D$74/SUMSQ('TS-PILE'!$D$72:$D$91))),IF('TS-PILE'!$B$75="",1E+99,'TO HOP NLAN'!D8/ncoc+IF(SUMSQ('TS-PILE'!$E$72:$E$91)=0,0,'TO HOP NLAN'!E8*'TS-PILE'!$E$75/SUMSQ('TS-PILE'!$E$72:$E$91))+IF(SUMSQ('TS-PILE'!$D$72:$D$91)=0,0,'TO HOP NLAN'!F8*'TS-PILE'!$D$75/SUMSQ('TS-PILE'!$D$72:$D$91))),IF('TS-PILE'!$B$76="",1E+99,'TO HOP NLAN'!D8/ncoc+IF(SUMSQ('TS-PILE'!$E$72:$E$91)=0,0,'TO HOP NLAN'!E8*'TS-PILE'!$E$76/SUMSQ('TS-PILE'!$E$72:$E$91))+IF(SUMSQ('TS-PILE'!$D$72:$D$91)=0,0,'TO HOP NLAN'!F8*'TS-PILE'!$D$76/SUMSQ('TS-PILE'!$D$72:$D$91))),IF('TS-PILE'!$B$77="",1E+99,'TO HOP NLAN'!D8/ncoc+IF(SUMSQ('TS-PILE'!$E$72:$E$91)=0,0,'TO HOP NLAN'!E8*'TS-PILE'!$E$77/SUMSQ('TS-PILE'!$E$72:$E$91))+IF(SUMSQ('TS-PILE'!$D$72:$D$91)=0,0,'TO HOP NLAN'!F8*'TS-PILE'!$D$77/SUMSQ('TS-PILE'!$D$72:$D$91))),IF('TS-PILE'!$B$78="",1E+99,'TO HOP NLAN'!D8/ncoc+IF(SUMSQ('TS-PILE'!$E$72:$E$91)=0,0,'TO HOP NLAN'!E8*'TS-PILE'!$E$78/SUMSQ('TS-PILE'!$E$72:$E$91))+IF(SUMSQ('TS-PILE'!$D$72:$D$91)=0,0,'TO HOP NLAN'!F8*'TS-PILE'!$D$78/SUMSQ('TS-PILE'!$D$72:$D$91))),IF('TS-PILE'!$B$79="",1E+99,'TO HOP NLAN'!D8/ncoc+IF(SUMSQ('TS-PILE'!$E$72:$E$91)=0,0,'TO HOP NLAN'!E8*'TS-PILE'!$E$79/SUMSQ('TS-PILE'!$E$72:$E$91))+IF(SUMSQ('TS-PILE'!$D$72:$D$91)=0,0,'TO HOP NLAN'!F8*'TS-PILE'!$D$79/SUMSQ('TS-PILE'!$D$72:$D$91))),IF('TS-PILE'!$B$80="",1E+99,'TO HOP NLAN'!D8/ncoc+IF(SUMSQ('TS-PILE'!$E$72:$E$91)=0,0,'TO HOP NLAN'!E8*'TS-PILE'!$E$80/SUMSQ('TS-PILE'!$E$72:$E$91))+IF(SUMSQ('TS-PILE'!$D$72:$D$91)=0,0,'TO HOP NLAN'!F8*'TS-PILE'!$D$80/SUMSQ('TS-PILE'!$D$72:$D$91))),IF('TS-PILE'!$B$81="",1E+99,'TO HOP NLAN'!D8/ncoc+IF(SUMSQ('TS-PILE'!$E$72:$E$91)=0,0,'TO HOP NLAN'!E8*'TS-PILE'!$E$81/SUMSQ('TS-PILE'!$E$72:$E$91))+IF(SUMSQ('TS-PILE'!$D$72:$D$91)=0,0,'TO HOP NLAN'!F8*'TS-PILE'!$D$81/SUMSQ('TS-PILE'!$D$72:$D$91))),IF('TS-PILE'!$B$82="",1E+99,'TO HOP NLAN'!D8/ncoc+IF(SUMSQ('TS-PILE'!$E$72:$E$91)=0,0,'TO HOP NLAN'!E8*'TS-PILE'!$E$82/SUMSQ('TS-PILE'!$E$72:$E$91))+IF(SUMSQ('TS-PILE'!$D$72:$D$91)=0,0,'TO HOP NLAN'!F8*'TS-PILE'!$D$82/SUMSQ('TS-PILE'!$D$72:$D$91))),IF('TS-PILE'!$B$83="",1E+99,'TO HOP NLAN'!D8/ncoc+IF(SUMSQ('TS-PILE'!$E$72:$E$91)=0,0,'TO HOP NLAN'!E8*'TS-PILE'!$E$83/SUMSQ('TS-PILE'!$E$72:$E$91))+IF(SUMSQ('TS-PILE'!$D$72:$D$91)=0,0,'TO HOP NLAN'!F8*'TS-PILE'!$D$83/SUMSQ('TS-PILE'!$D$72:$D$91))),IF('TS-PILE'!$B$84="",1E+99,'TO HOP NLAN'!D8/ncoc+IF(SUMSQ('TS-PILE'!$E$72:$E$91)=0,0,'TO HOP NLAN'!E8*'TS-PILE'!$E$84/SUMSQ('TS-PILE'!$E$72:$E$91))+IF(SUMSQ('TS-PILE'!$D$72:$D$91)=0,0,'TO HOP NLAN'!F8*'TS-PILE'!$D$84/SUMSQ('TS-PILE'!$D$72:$D$91))),IF('TS-PILE'!$B$85="",1E+99,'TO HOP NLAN'!D8/ncoc+IF(SUMSQ('TS-PILE'!$E$72:$E$91)=0,0,'TO HOP NLAN'!E8*'TS-PILE'!$E$85/SUMSQ('TS-PILE'!$E$72:$E$91))+IF(SUMSQ('TS-PILE'!$D$72:$D$91)=0,0,'TO HOP NLAN'!F8*'TS-PILE'!$D$85/SUMSQ('TS-PILE'!$D$72:$D$91))),IF('TS-PILE'!$B$86="",1E+99,'TO HOP NLAN'!D8/ncoc+IF(SUMSQ('TS-PILE'!$E$72:$E$91)=0,0,'TO HOP NLAN'!E8*'TS-PILE'!$E$86/SUMSQ('TS-PILE'!$E$72:$E$91))+IF(SUMSQ('TS-PILE'!$D$72:$D$91)=0,0,'TO HOP NLAN'!F8*'TS-PILE'!$D$86/SUMSQ('TS-PILE'!$D$72:$D$91))),IF('TS-PILE'!$B$87="",1E+99,'TO HOP NLAN'!D8/ncoc+IF(SUMSQ('TS-PILE'!$E$72:$E$91)=0,0,'TO HOP NLAN'!E8*'TS-PILE'!$E$87/SUMSQ('TS-PILE'!$E$72:$E$91))+IF(SUMSQ('TS-PILE'!$D$72:$D$91)=0,0,'TO HOP NLAN'!F8*'TS-PILE'!$D$87/SUMSQ('TS-PILE'!$D$72:$D$91))),IF('TS-PILE'!$B$88="",1E+99,'TO HOP NLAN'!D8/ncoc+IF(SUMSQ('TS-PILE'!$E$72:$E$91)=0,0,'TO HOP NLAN'!E8*'TS-PILE'!$E$88/SUMSQ('TS-PILE'!$E$72:$E$91))+IF(SUMSQ('TS-PILE'!$D$72:$D$91)=0,0,'TO HOP NLAN'!F8*'TS-PILE'!$D$88/SUMSQ('TS-PILE'!$D$72:$D$91))),IF('TS-PILE'!$B$89="",1E+99,'TO HOP NLAN'!D8/ncoc+IF(SUMSQ('TS-PILE'!$E$72:$E$91)=0,0,'TO HOP NLAN'!E8*'TS-PILE'!$E$89/SUMSQ('TS-PILE'!$E$72:$E$91))+IF(SUMSQ('TS-PILE'!$D$72:$D$91)=0,0,'TO HOP NLAN'!F8*'TS-PILE'!$D$89/SUMSQ('TS-PILE'!$D$72:$D$91))),IF('TS-PILE'!$B$90="",1E+99,'TO HOP NLAN'!D8/ncoc+IF(SUMSQ('TS-PILE'!$E$72:$E$91)=0,0,'TO HOP NLAN'!E8*'TS-PILE'!$E$90/SUMSQ('TS-PILE'!$E$72:$E$91))+IF(SUMSQ('TS-PILE'!$D$72:$D$91)=0,0,'TO HOP NLAN'!F8*'TS-PILE'!$D$90/SUMSQ('TS-PILE'!$D$72:$D$91))),IF('TS-PILE'!$B$91="",1E+99,'TO HOP NLAN'!D8/ncoc+IF(SUMSQ('TS-PILE'!$E$72:$E$91)=0,0,'TO HOP NLAN'!E8*'TS-PILE'!$E$91/SUMSQ('TS-PILE'!$E$72:$E$91))+IF(SUMSQ('TS-PILE'!$D$72:$D$91)=0,0,'TO HOP NLAN'!F8*'TS-PILE'!$D$91/SUMSQ('TS-PILE'!$D$72:$D$91)))))</f>
        <v>0</v>
      </c>
      <c r="E8" s="58">
        <f t="shared" si="0"/>
        <v>-9.9999999999999997E+98</v>
      </c>
      <c r="F8" s="58">
        <f t="shared" si="1"/>
        <v>9.9999999999999997E+98</v>
      </c>
      <c r="G8" s="58">
        <f t="shared" si="2"/>
        <v>-9.9999999999999997E+98</v>
      </c>
      <c r="H8" s="58">
        <f t="shared" si="3"/>
        <v>9.9999999999999997E+98</v>
      </c>
    </row>
    <row r="9" spans="1:8" x14ac:dyDescent="0.3">
      <c r="A9" s="42" t="str">
        <f>'TO HOP NLAN'!A9</f>
        <v/>
      </c>
      <c r="B9" s="42" t="str">
        <f>'TO HOP NLAN'!L9</f>
        <v>SERVICE</v>
      </c>
      <c r="C9" s="58">
        <f>IF(A9="",0,MAX(IF('TS-PILE'!$B$72="",-1E+99,'TO HOP NLAN'!D9/ncoc+IF(SUMSQ('TS-PILE'!$E$72:$E$91)=0,0,'TO HOP NLAN'!E9*'TS-PILE'!$E$72/SUMSQ('TS-PILE'!$E$72:$E$91))+IF(SUMSQ('TS-PILE'!$D$72:$D$91)=0,0,'TO HOP NLAN'!F9*'TS-PILE'!$D$72/SUMSQ('TS-PILE'!$D$72:$D$91))),IF('TS-PILE'!$B$73="",-1E+99,'TO HOP NLAN'!D9/ncoc+IF(SUMSQ('TS-PILE'!$E$72:$E$91)=0,0,'TO HOP NLAN'!E9*'TS-PILE'!$E$73/SUMSQ('TS-PILE'!$E$72:$E$91))+IF(SUMSQ('TS-PILE'!$D$72:$D$91)=0,0,'TO HOP NLAN'!F9*'TS-PILE'!$D$73/SUMSQ('TS-PILE'!$D$72:$D$91))),IF('TS-PILE'!$B$74="",-1E+99,'TO HOP NLAN'!D9/ncoc+IF(SUMSQ('TS-PILE'!$E$72:$E$91)=0,0,'TO HOP NLAN'!E9*'TS-PILE'!$E$74/SUMSQ('TS-PILE'!$E$72:$E$91))+IF(SUMSQ('TS-PILE'!$D$72:$D$91)=0,0,'TO HOP NLAN'!F9*'TS-PILE'!$D$74/SUMSQ('TS-PILE'!$D$72:$D$91))),IF('TS-PILE'!$B$75="",-1E+99,'TO HOP NLAN'!D9/ncoc+IF(SUMSQ('TS-PILE'!$E$72:$E$91)=0,0,'TO HOP NLAN'!E9*'TS-PILE'!$E$75/SUMSQ('TS-PILE'!$E$72:$E$91))+IF(SUMSQ('TS-PILE'!$D$72:$D$91)=0,0,'TO HOP NLAN'!F9*'TS-PILE'!$D$75/SUMSQ('TS-PILE'!$D$72:$D$91))),IF('TS-PILE'!$B$76="",-1E+99,'TO HOP NLAN'!D9/ncoc+IF(SUMSQ('TS-PILE'!$E$72:$E$91)=0,0,'TO HOP NLAN'!E9*'TS-PILE'!$E$76/SUMSQ('TS-PILE'!$E$72:$E$91))+IF(SUMSQ('TS-PILE'!$D$72:$D$91)=0,0,'TO HOP NLAN'!F9*'TS-PILE'!$D$76/SUMSQ('TS-PILE'!$D$72:$D$91))),IF('TS-PILE'!$B$77="",-1E+99,'TO HOP NLAN'!D9/ncoc+IF(SUMSQ('TS-PILE'!$E$72:$E$91)=0,0,'TO HOP NLAN'!E9*'TS-PILE'!$E$77/SUMSQ('TS-PILE'!$E$72:$E$91))+IF(SUMSQ('TS-PILE'!$D$72:$D$91)=0,0,'TO HOP NLAN'!F9*'TS-PILE'!$D$77/SUMSQ('TS-PILE'!$D$72:$D$91))),IF('TS-PILE'!$B$78="",-1E+99,'TO HOP NLAN'!D9/ncoc+IF(SUMSQ('TS-PILE'!$E$72:$E$91)=0,0,'TO HOP NLAN'!E9*'TS-PILE'!$E$78/SUMSQ('TS-PILE'!$E$72:$E$91))+IF(SUMSQ('TS-PILE'!$D$72:$D$91)=0,0,'TO HOP NLAN'!F9*'TS-PILE'!$D$78/SUMSQ('TS-PILE'!$D$72:$D$91))),IF('TS-PILE'!$B$79="",-1E+99,'TO HOP NLAN'!D9/ncoc+IF(SUMSQ('TS-PILE'!$E$72:$E$91)=0,0,'TO HOP NLAN'!E9*'TS-PILE'!$E$79/SUMSQ('TS-PILE'!$E$72:$E$91))+IF(SUMSQ('TS-PILE'!$D$72:$D$91)=0,0,'TO HOP NLAN'!F9*'TS-PILE'!$D$79/SUMSQ('TS-PILE'!$D$72:$D$91))),IF('TS-PILE'!$B$80="",-1E+99,'TO HOP NLAN'!D9/ncoc+IF(SUMSQ('TS-PILE'!$E$72:$E$91)=0,0,'TO HOP NLAN'!E9*'TS-PILE'!$E$80/SUMSQ('TS-PILE'!$E$72:$E$91))+IF(SUMSQ('TS-PILE'!$D$72:$D$91)=0,0,'TO HOP NLAN'!F9*'TS-PILE'!$D$80/SUMSQ('TS-PILE'!$D$72:$D$91))),IF('TS-PILE'!$B$81="",-1E+99,'TO HOP NLAN'!D9/ncoc+IF(SUMSQ('TS-PILE'!$E$72:$E$91)=0,0,'TO HOP NLAN'!E9*'TS-PILE'!$E$81/SUMSQ('TS-PILE'!$E$72:$E$91))+IF(SUMSQ('TS-PILE'!$D$72:$D$91)=0,0,'TO HOP NLAN'!F9*'TS-PILE'!$D$81/SUMSQ('TS-PILE'!$D$72:$D$91))),IF('TS-PILE'!$B$82="",-1E+99,'TO HOP NLAN'!D9/ncoc+IF(SUMSQ('TS-PILE'!$E$72:$E$91)=0,0,'TO HOP NLAN'!E9*'TS-PILE'!$E$82/SUMSQ('TS-PILE'!$E$72:$E$91))+IF(SUMSQ('TS-PILE'!$D$72:$D$91)=0,0,'TO HOP NLAN'!F9*'TS-PILE'!$D$82/SUMSQ('TS-PILE'!$D$72:$D$91))),IF('TS-PILE'!$B$83="",-1E+99,'TO HOP NLAN'!D9/ncoc+IF(SUMSQ('TS-PILE'!$E$72:$E$91)=0,0,'TO HOP NLAN'!E9*'TS-PILE'!$E$83/SUMSQ('TS-PILE'!$E$72:$E$91))+IF(SUMSQ('TS-PILE'!$D$72:$D$91)=0,0,'TO HOP NLAN'!F9*'TS-PILE'!$D$83/SUMSQ('TS-PILE'!$D$72:$D$91))),IF('TS-PILE'!$B$84="",-1E+99,'TO HOP NLAN'!D9/ncoc+IF(SUMSQ('TS-PILE'!$E$72:$E$91)=0,0,'TO HOP NLAN'!E9*'TS-PILE'!$E$84/SUMSQ('TS-PILE'!$E$72:$E$91))+IF(SUMSQ('TS-PILE'!$D$72:$D$91)=0,0,'TO HOP NLAN'!F9*'TS-PILE'!$D$84/SUMSQ('TS-PILE'!$D$72:$D$91))),IF('TS-PILE'!$B$85="",-1E+99,'TO HOP NLAN'!D9/ncoc+IF(SUMSQ('TS-PILE'!$E$72:$E$91)=0,0,'TO HOP NLAN'!E9*'TS-PILE'!$E$85/SUMSQ('TS-PILE'!$E$72:$E$91))+IF(SUMSQ('TS-PILE'!$D$72:$D$91)=0,0,'TO HOP NLAN'!F9*'TS-PILE'!$D$85/SUMSQ('TS-PILE'!$D$72:$D$91))),IF('TS-PILE'!$B$86="",-1E+99,'TO HOP NLAN'!D9/ncoc+IF(SUMSQ('TS-PILE'!$E$72:$E$91)=0,0,'TO HOP NLAN'!E9*'TS-PILE'!$E$86/SUMSQ('TS-PILE'!$E$72:$E$91))+IF(SUMSQ('TS-PILE'!$D$72:$D$91)=0,0,'TO HOP NLAN'!F9*'TS-PILE'!$D$86/SUMSQ('TS-PILE'!$D$72:$D$91))),IF('TS-PILE'!$B$87="",-1E+99,'TO HOP NLAN'!D9/ncoc+IF(SUMSQ('TS-PILE'!$E$72:$E$91)=0,0,'TO HOP NLAN'!E9*'TS-PILE'!$E$87/SUMSQ('TS-PILE'!$E$72:$E$91))+IF(SUMSQ('TS-PILE'!$D$72:$D$91)=0,0,'TO HOP NLAN'!F9*'TS-PILE'!$D$87/SUMSQ('TS-PILE'!$D$72:$D$91))),IF('TS-PILE'!$B$88="",-1E+99,'TO HOP NLAN'!D9/ncoc+IF(SUMSQ('TS-PILE'!$E$72:$E$91)=0,0,'TO HOP NLAN'!E9*'TS-PILE'!$E$88/SUMSQ('TS-PILE'!$E$72:$E$91))+IF(SUMSQ('TS-PILE'!$D$72:$D$91)=0,0,'TO HOP NLAN'!F9*'TS-PILE'!$D$88/SUMSQ('TS-PILE'!$D$72:$D$91))),IF('TS-PILE'!$B$89="",-1E+99,'TO HOP NLAN'!D9/ncoc+IF(SUMSQ('TS-PILE'!$E$72:$E$91)=0,0,'TO HOP NLAN'!E9*'TS-PILE'!$E$89/SUMSQ('TS-PILE'!$E$72:$E$91))+IF(SUMSQ('TS-PILE'!$D$72:$D$91)=0,0,'TO HOP NLAN'!F9*'TS-PILE'!$D$89/SUMSQ('TS-PILE'!$D$72:$D$91))),IF('TS-PILE'!$B$90="",-1E+99,'TO HOP NLAN'!D9/ncoc+IF(SUMSQ('TS-PILE'!$E$72:$E$91)=0,0,'TO HOP NLAN'!E9*'TS-PILE'!$E$90/SUMSQ('TS-PILE'!$E$72:$E$91))+IF(SUMSQ('TS-PILE'!$D$72:$D$91)=0,0,'TO HOP NLAN'!F9*'TS-PILE'!$D$90/SUMSQ('TS-PILE'!$D$72:$D$91))),IF('TS-PILE'!$B$91="",-1E+99,'TO HOP NLAN'!D9/ncoc+IF(SUMSQ('TS-PILE'!$E$72:$E$91)=0,0,'TO HOP NLAN'!E9*'TS-PILE'!$E$91/SUMSQ('TS-PILE'!$E$72:$E$91))+IF(SUMSQ('TS-PILE'!$D$72:$D$91)=0,0,'TO HOP NLAN'!F9*'TS-PILE'!$D$91/SUMSQ('TS-PILE'!$D$72:$D$91)))))</f>
        <v>0</v>
      </c>
      <c r="D9" s="58">
        <f>IF(A9="",0,MIN(IF('TS-PILE'!$B$72="",1E+99,'TO HOP NLAN'!D9/ncoc+IF(SUMSQ('TS-PILE'!$E$72:$E$91)=0,0,'TO HOP NLAN'!E9*'TS-PILE'!$E$72/SUMSQ('TS-PILE'!$E$72:$E$91))+IF(SUMSQ('TS-PILE'!$D$72:$D$91)=0,0,'TO HOP NLAN'!F9*'TS-PILE'!$D$72/SUMSQ('TS-PILE'!$D$72:$D$91))),IF('TS-PILE'!$B$73="",1E+99,'TO HOP NLAN'!D9/ncoc+IF(SUMSQ('TS-PILE'!$E$72:$E$91)=0,0,'TO HOP NLAN'!E9*'TS-PILE'!$E$73/SUMSQ('TS-PILE'!$E$72:$E$91))+IF(SUMSQ('TS-PILE'!$D$72:$D$91)=0,0,'TO HOP NLAN'!F9*'TS-PILE'!$D$73/SUMSQ('TS-PILE'!$D$72:$D$91))),IF('TS-PILE'!$B$74="",1E+99,'TO HOP NLAN'!D9/ncoc+IF(SUMSQ('TS-PILE'!$E$72:$E$91)=0,0,'TO HOP NLAN'!E9*'TS-PILE'!$E$74/SUMSQ('TS-PILE'!$E$72:$E$91))+IF(SUMSQ('TS-PILE'!$D$72:$D$91)=0,0,'TO HOP NLAN'!F9*'TS-PILE'!$D$74/SUMSQ('TS-PILE'!$D$72:$D$91))),IF('TS-PILE'!$B$75="",1E+99,'TO HOP NLAN'!D9/ncoc+IF(SUMSQ('TS-PILE'!$E$72:$E$91)=0,0,'TO HOP NLAN'!E9*'TS-PILE'!$E$75/SUMSQ('TS-PILE'!$E$72:$E$91))+IF(SUMSQ('TS-PILE'!$D$72:$D$91)=0,0,'TO HOP NLAN'!F9*'TS-PILE'!$D$75/SUMSQ('TS-PILE'!$D$72:$D$91))),IF('TS-PILE'!$B$76="",1E+99,'TO HOP NLAN'!D9/ncoc+IF(SUMSQ('TS-PILE'!$E$72:$E$91)=0,0,'TO HOP NLAN'!E9*'TS-PILE'!$E$76/SUMSQ('TS-PILE'!$E$72:$E$91))+IF(SUMSQ('TS-PILE'!$D$72:$D$91)=0,0,'TO HOP NLAN'!F9*'TS-PILE'!$D$76/SUMSQ('TS-PILE'!$D$72:$D$91))),IF('TS-PILE'!$B$77="",1E+99,'TO HOP NLAN'!D9/ncoc+IF(SUMSQ('TS-PILE'!$E$72:$E$91)=0,0,'TO HOP NLAN'!E9*'TS-PILE'!$E$77/SUMSQ('TS-PILE'!$E$72:$E$91))+IF(SUMSQ('TS-PILE'!$D$72:$D$91)=0,0,'TO HOP NLAN'!F9*'TS-PILE'!$D$77/SUMSQ('TS-PILE'!$D$72:$D$91))),IF('TS-PILE'!$B$78="",1E+99,'TO HOP NLAN'!D9/ncoc+IF(SUMSQ('TS-PILE'!$E$72:$E$91)=0,0,'TO HOP NLAN'!E9*'TS-PILE'!$E$78/SUMSQ('TS-PILE'!$E$72:$E$91))+IF(SUMSQ('TS-PILE'!$D$72:$D$91)=0,0,'TO HOP NLAN'!F9*'TS-PILE'!$D$78/SUMSQ('TS-PILE'!$D$72:$D$91))),IF('TS-PILE'!$B$79="",1E+99,'TO HOP NLAN'!D9/ncoc+IF(SUMSQ('TS-PILE'!$E$72:$E$91)=0,0,'TO HOP NLAN'!E9*'TS-PILE'!$E$79/SUMSQ('TS-PILE'!$E$72:$E$91))+IF(SUMSQ('TS-PILE'!$D$72:$D$91)=0,0,'TO HOP NLAN'!F9*'TS-PILE'!$D$79/SUMSQ('TS-PILE'!$D$72:$D$91))),IF('TS-PILE'!$B$80="",1E+99,'TO HOP NLAN'!D9/ncoc+IF(SUMSQ('TS-PILE'!$E$72:$E$91)=0,0,'TO HOP NLAN'!E9*'TS-PILE'!$E$80/SUMSQ('TS-PILE'!$E$72:$E$91))+IF(SUMSQ('TS-PILE'!$D$72:$D$91)=0,0,'TO HOP NLAN'!F9*'TS-PILE'!$D$80/SUMSQ('TS-PILE'!$D$72:$D$91))),IF('TS-PILE'!$B$81="",1E+99,'TO HOP NLAN'!D9/ncoc+IF(SUMSQ('TS-PILE'!$E$72:$E$91)=0,0,'TO HOP NLAN'!E9*'TS-PILE'!$E$81/SUMSQ('TS-PILE'!$E$72:$E$91))+IF(SUMSQ('TS-PILE'!$D$72:$D$91)=0,0,'TO HOP NLAN'!F9*'TS-PILE'!$D$81/SUMSQ('TS-PILE'!$D$72:$D$91))),IF('TS-PILE'!$B$82="",1E+99,'TO HOP NLAN'!D9/ncoc+IF(SUMSQ('TS-PILE'!$E$72:$E$91)=0,0,'TO HOP NLAN'!E9*'TS-PILE'!$E$82/SUMSQ('TS-PILE'!$E$72:$E$91))+IF(SUMSQ('TS-PILE'!$D$72:$D$91)=0,0,'TO HOP NLAN'!F9*'TS-PILE'!$D$82/SUMSQ('TS-PILE'!$D$72:$D$91))),IF('TS-PILE'!$B$83="",1E+99,'TO HOP NLAN'!D9/ncoc+IF(SUMSQ('TS-PILE'!$E$72:$E$91)=0,0,'TO HOP NLAN'!E9*'TS-PILE'!$E$83/SUMSQ('TS-PILE'!$E$72:$E$91))+IF(SUMSQ('TS-PILE'!$D$72:$D$91)=0,0,'TO HOP NLAN'!F9*'TS-PILE'!$D$83/SUMSQ('TS-PILE'!$D$72:$D$91))),IF('TS-PILE'!$B$84="",1E+99,'TO HOP NLAN'!D9/ncoc+IF(SUMSQ('TS-PILE'!$E$72:$E$91)=0,0,'TO HOP NLAN'!E9*'TS-PILE'!$E$84/SUMSQ('TS-PILE'!$E$72:$E$91))+IF(SUMSQ('TS-PILE'!$D$72:$D$91)=0,0,'TO HOP NLAN'!F9*'TS-PILE'!$D$84/SUMSQ('TS-PILE'!$D$72:$D$91))),IF('TS-PILE'!$B$85="",1E+99,'TO HOP NLAN'!D9/ncoc+IF(SUMSQ('TS-PILE'!$E$72:$E$91)=0,0,'TO HOP NLAN'!E9*'TS-PILE'!$E$85/SUMSQ('TS-PILE'!$E$72:$E$91))+IF(SUMSQ('TS-PILE'!$D$72:$D$91)=0,0,'TO HOP NLAN'!F9*'TS-PILE'!$D$85/SUMSQ('TS-PILE'!$D$72:$D$91))),IF('TS-PILE'!$B$86="",1E+99,'TO HOP NLAN'!D9/ncoc+IF(SUMSQ('TS-PILE'!$E$72:$E$91)=0,0,'TO HOP NLAN'!E9*'TS-PILE'!$E$86/SUMSQ('TS-PILE'!$E$72:$E$91))+IF(SUMSQ('TS-PILE'!$D$72:$D$91)=0,0,'TO HOP NLAN'!F9*'TS-PILE'!$D$86/SUMSQ('TS-PILE'!$D$72:$D$91))),IF('TS-PILE'!$B$87="",1E+99,'TO HOP NLAN'!D9/ncoc+IF(SUMSQ('TS-PILE'!$E$72:$E$91)=0,0,'TO HOP NLAN'!E9*'TS-PILE'!$E$87/SUMSQ('TS-PILE'!$E$72:$E$91))+IF(SUMSQ('TS-PILE'!$D$72:$D$91)=0,0,'TO HOP NLAN'!F9*'TS-PILE'!$D$87/SUMSQ('TS-PILE'!$D$72:$D$91))),IF('TS-PILE'!$B$88="",1E+99,'TO HOP NLAN'!D9/ncoc+IF(SUMSQ('TS-PILE'!$E$72:$E$91)=0,0,'TO HOP NLAN'!E9*'TS-PILE'!$E$88/SUMSQ('TS-PILE'!$E$72:$E$91))+IF(SUMSQ('TS-PILE'!$D$72:$D$91)=0,0,'TO HOP NLAN'!F9*'TS-PILE'!$D$88/SUMSQ('TS-PILE'!$D$72:$D$91))),IF('TS-PILE'!$B$89="",1E+99,'TO HOP NLAN'!D9/ncoc+IF(SUMSQ('TS-PILE'!$E$72:$E$91)=0,0,'TO HOP NLAN'!E9*'TS-PILE'!$E$89/SUMSQ('TS-PILE'!$E$72:$E$91))+IF(SUMSQ('TS-PILE'!$D$72:$D$91)=0,0,'TO HOP NLAN'!F9*'TS-PILE'!$D$89/SUMSQ('TS-PILE'!$D$72:$D$91))),IF('TS-PILE'!$B$90="",1E+99,'TO HOP NLAN'!D9/ncoc+IF(SUMSQ('TS-PILE'!$E$72:$E$91)=0,0,'TO HOP NLAN'!E9*'TS-PILE'!$E$90/SUMSQ('TS-PILE'!$E$72:$E$91))+IF(SUMSQ('TS-PILE'!$D$72:$D$91)=0,0,'TO HOP NLAN'!F9*'TS-PILE'!$D$90/SUMSQ('TS-PILE'!$D$72:$D$91))),IF('TS-PILE'!$B$91="",1E+99,'TO HOP NLAN'!D9/ncoc+IF(SUMSQ('TS-PILE'!$E$72:$E$91)=0,0,'TO HOP NLAN'!E9*'TS-PILE'!$E$91/SUMSQ('TS-PILE'!$E$72:$E$91))+IF(SUMSQ('TS-PILE'!$D$72:$D$91)=0,0,'TO HOP NLAN'!F9*'TS-PILE'!$D$91/SUMSQ('TS-PILE'!$D$72:$D$91)))))</f>
        <v>0</v>
      </c>
      <c r="E9" s="58">
        <f t="shared" si="0"/>
        <v>-9.9999999999999997E+98</v>
      </c>
      <c r="F9" s="58">
        <f t="shared" si="1"/>
        <v>9.9999999999999997E+98</v>
      </c>
      <c r="G9" s="58">
        <f t="shared" si="2"/>
        <v>-9.9999999999999997E+98</v>
      </c>
      <c r="H9" s="58">
        <f t="shared" si="3"/>
        <v>9.9999999999999997E+98</v>
      </c>
    </row>
    <row r="10" spans="1:8" x14ac:dyDescent="0.3">
      <c r="A10" s="42" t="str">
        <f>'TO HOP NLAN'!A10</f>
        <v/>
      </c>
      <c r="B10" s="42" t="str">
        <f>'TO HOP NLAN'!L10</f>
        <v>SERVICE</v>
      </c>
      <c r="C10" s="58">
        <f>IF(A10="",0,MAX(IF('TS-PILE'!$B$72="",-1E+99,'TO HOP NLAN'!D10/ncoc+IF(SUMSQ('TS-PILE'!$E$72:$E$91)=0,0,'TO HOP NLAN'!E10*'TS-PILE'!$E$72/SUMSQ('TS-PILE'!$E$72:$E$91))+IF(SUMSQ('TS-PILE'!$D$72:$D$91)=0,0,'TO HOP NLAN'!F10*'TS-PILE'!$D$72/SUMSQ('TS-PILE'!$D$72:$D$91))),IF('TS-PILE'!$B$73="",-1E+99,'TO HOP NLAN'!D10/ncoc+IF(SUMSQ('TS-PILE'!$E$72:$E$91)=0,0,'TO HOP NLAN'!E10*'TS-PILE'!$E$73/SUMSQ('TS-PILE'!$E$72:$E$91))+IF(SUMSQ('TS-PILE'!$D$72:$D$91)=0,0,'TO HOP NLAN'!F10*'TS-PILE'!$D$73/SUMSQ('TS-PILE'!$D$72:$D$91))),IF('TS-PILE'!$B$74="",-1E+99,'TO HOP NLAN'!D10/ncoc+IF(SUMSQ('TS-PILE'!$E$72:$E$91)=0,0,'TO HOP NLAN'!E10*'TS-PILE'!$E$74/SUMSQ('TS-PILE'!$E$72:$E$91))+IF(SUMSQ('TS-PILE'!$D$72:$D$91)=0,0,'TO HOP NLAN'!F10*'TS-PILE'!$D$74/SUMSQ('TS-PILE'!$D$72:$D$91))),IF('TS-PILE'!$B$75="",-1E+99,'TO HOP NLAN'!D10/ncoc+IF(SUMSQ('TS-PILE'!$E$72:$E$91)=0,0,'TO HOP NLAN'!E10*'TS-PILE'!$E$75/SUMSQ('TS-PILE'!$E$72:$E$91))+IF(SUMSQ('TS-PILE'!$D$72:$D$91)=0,0,'TO HOP NLAN'!F10*'TS-PILE'!$D$75/SUMSQ('TS-PILE'!$D$72:$D$91))),IF('TS-PILE'!$B$76="",-1E+99,'TO HOP NLAN'!D10/ncoc+IF(SUMSQ('TS-PILE'!$E$72:$E$91)=0,0,'TO HOP NLAN'!E10*'TS-PILE'!$E$76/SUMSQ('TS-PILE'!$E$72:$E$91))+IF(SUMSQ('TS-PILE'!$D$72:$D$91)=0,0,'TO HOP NLAN'!F10*'TS-PILE'!$D$76/SUMSQ('TS-PILE'!$D$72:$D$91))),IF('TS-PILE'!$B$77="",-1E+99,'TO HOP NLAN'!D10/ncoc+IF(SUMSQ('TS-PILE'!$E$72:$E$91)=0,0,'TO HOP NLAN'!E10*'TS-PILE'!$E$77/SUMSQ('TS-PILE'!$E$72:$E$91))+IF(SUMSQ('TS-PILE'!$D$72:$D$91)=0,0,'TO HOP NLAN'!F10*'TS-PILE'!$D$77/SUMSQ('TS-PILE'!$D$72:$D$91))),IF('TS-PILE'!$B$78="",-1E+99,'TO HOP NLAN'!D10/ncoc+IF(SUMSQ('TS-PILE'!$E$72:$E$91)=0,0,'TO HOP NLAN'!E10*'TS-PILE'!$E$78/SUMSQ('TS-PILE'!$E$72:$E$91))+IF(SUMSQ('TS-PILE'!$D$72:$D$91)=0,0,'TO HOP NLAN'!F10*'TS-PILE'!$D$78/SUMSQ('TS-PILE'!$D$72:$D$91))),IF('TS-PILE'!$B$79="",-1E+99,'TO HOP NLAN'!D10/ncoc+IF(SUMSQ('TS-PILE'!$E$72:$E$91)=0,0,'TO HOP NLAN'!E10*'TS-PILE'!$E$79/SUMSQ('TS-PILE'!$E$72:$E$91))+IF(SUMSQ('TS-PILE'!$D$72:$D$91)=0,0,'TO HOP NLAN'!F10*'TS-PILE'!$D$79/SUMSQ('TS-PILE'!$D$72:$D$91))),IF('TS-PILE'!$B$80="",-1E+99,'TO HOP NLAN'!D10/ncoc+IF(SUMSQ('TS-PILE'!$E$72:$E$91)=0,0,'TO HOP NLAN'!E10*'TS-PILE'!$E$80/SUMSQ('TS-PILE'!$E$72:$E$91))+IF(SUMSQ('TS-PILE'!$D$72:$D$91)=0,0,'TO HOP NLAN'!F10*'TS-PILE'!$D$80/SUMSQ('TS-PILE'!$D$72:$D$91))),IF('TS-PILE'!$B$81="",-1E+99,'TO HOP NLAN'!D10/ncoc+IF(SUMSQ('TS-PILE'!$E$72:$E$91)=0,0,'TO HOP NLAN'!E10*'TS-PILE'!$E$81/SUMSQ('TS-PILE'!$E$72:$E$91))+IF(SUMSQ('TS-PILE'!$D$72:$D$91)=0,0,'TO HOP NLAN'!F10*'TS-PILE'!$D$81/SUMSQ('TS-PILE'!$D$72:$D$91))),IF('TS-PILE'!$B$82="",-1E+99,'TO HOP NLAN'!D10/ncoc+IF(SUMSQ('TS-PILE'!$E$72:$E$91)=0,0,'TO HOP NLAN'!E10*'TS-PILE'!$E$82/SUMSQ('TS-PILE'!$E$72:$E$91))+IF(SUMSQ('TS-PILE'!$D$72:$D$91)=0,0,'TO HOP NLAN'!F10*'TS-PILE'!$D$82/SUMSQ('TS-PILE'!$D$72:$D$91))),IF('TS-PILE'!$B$83="",-1E+99,'TO HOP NLAN'!D10/ncoc+IF(SUMSQ('TS-PILE'!$E$72:$E$91)=0,0,'TO HOP NLAN'!E10*'TS-PILE'!$E$83/SUMSQ('TS-PILE'!$E$72:$E$91))+IF(SUMSQ('TS-PILE'!$D$72:$D$91)=0,0,'TO HOP NLAN'!F10*'TS-PILE'!$D$83/SUMSQ('TS-PILE'!$D$72:$D$91))),IF('TS-PILE'!$B$84="",-1E+99,'TO HOP NLAN'!D10/ncoc+IF(SUMSQ('TS-PILE'!$E$72:$E$91)=0,0,'TO HOP NLAN'!E10*'TS-PILE'!$E$84/SUMSQ('TS-PILE'!$E$72:$E$91))+IF(SUMSQ('TS-PILE'!$D$72:$D$91)=0,0,'TO HOP NLAN'!F10*'TS-PILE'!$D$84/SUMSQ('TS-PILE'!$D$72:$D$91))),IF('TS-PILE'!$B$85="",-1E+99,'TO HOP NLAN'!D10/ncoc+IF(SUMSQ('TS-PILE'!$E$72:$E$91)=0,0,'TO HOP NLAN'!E10*'TS-PILE'!$E$85/SUMSQ('TS-PILE'!$E$72:$E$91))+IF(SUMSQ('TS-PILE'!$D$72:$D$91)=0,0,'TO HOP NLAN'!F10*'TS-PILE'!$D$85/SUMSQ('TS-PILE'!$D$72:$D$91))),IF('TS-PILE'!$B$86="",-1E+99,'TO HOP NLAN'!D10/ncoc+IF(SUMSQ('TS-PILE'!$E$72:$E$91)=0,0,'TO HOP NLAN'!E10*'TS-PILE'!$E$86/SUMSQ('TS-PILE'!$E$72:$E$91))+IF(SUMSQ('TS-PILE'!$D$72:$D$91)=0,0,'TO HOP NLAN'!F10*'TS-PILE'!$D$86/SUMSQ('TS-PILE'!$D$72:$D$91))),IF('TS-PILE'!$B$87="",-1E+99,'TO HOP NLAN'!D10/ncoc+IF(SUMSQ('TS-PILE'!$E$72:$E$91)=0,0,'TO HOP NLAN'!E10*'TS-PILE'!$E$87/SUMSQ('TS-PILE'!$E$72:$E$91))+IF(SUMSQ('TS-PILE'!$D$72:$D$91)=0,0,'TO HOP NLAN'!F10*'TS-PILE'!$D$87/SUMSQ('TS-PILE'!$D$72:$D$91))),IF('TS-PILE'!$B$88="",-1E+99,'TO HOP NLAN'!D10/ncoc+IF(SUMSQ('TS-PILE'!$E$72:$E$91)=0,0,'TO HOP NLAN'!E10*'TS-PILE'!$E$88/SUMSQ('TS-PILE'!$E$72:$E$91))+IF(SUMSQ('TS-PILE'!$D$72:$D$91)=0,0,'TO HOP NLAN'!F10*'TS-PILE'!$D$88/SUMSQ('TS-PILE'!$D$72:$D$91))),IF('TS-PILE'!$B$89="",-1E+99,'TO HOP NLAN'!D10/ncoc+IF(SUMSQ('TS-PILE'!$E$72:$E$91)=0,0,'TO HOP NLAN'!E10*'TS-PILE'!$E$89/SUMSQ('TS-PILE'!$E$72:$E$91))+IF(SUMSQ('TS-PILE'!$D$72:$D$91)=0,0,'TO HOP NLAN'!F10*'TS-PILE'!$D$89/SUMSQ('TS-PILE'!$D$72:$D$91))),IF('TS-PILE'!$B$90="",-1E+99,'TO HOP NLAN'!D10/ncoc+IF(SUMSQ('TS-PILE'!$E$72:$E$91)=0,0,'TO HOP NLAN'!E10*'TS-PILE'!$E$90/SUMSQ('TS-PILE'!$E$72:$E$91))+IF(SUMSQ('TS-PILE'!$D$72:$D$91)=0,0,'TO HOP NLAN'!F10*'TS-PILE'!$D$90/SUMSQ('TS-PILE'!$D$72:$D$91))),IF('TS-PILE'!$B$91="",-1E+99,'TO HOP NLAN'!D10/ncoc+IF(SUMSQ('TS-PILE'!$E$72:$E$91)=0,0,'TO HOP NLAN'!E10*'TS-PILE'!$E$91/SUMSQ('TS-PILE'!$E$72:$E$91))+IF(SUMSQ('TS-PILE'!$D$72:$D$91)=0,0,'TO HOP NLAN'!F10*'TS-PILE'!$D$91/SUMSQ('TS-PILE'!$D$72:$D$91)))))</f>
        <v>0</v>
      </c>
      <c r="D10" s="58">
        <f>IF(A10="",0,MIN(IF('TS-PILE'!$B$72="",1E+99,'TO HOP NLAN'!D10/ncoc+IF(SUMSQ('TS-PILE'!$E$72:$E$91)=0,0,'TO HOP NLAN'!E10*'TS-PILE'!$E$72/SUMSQ('TS-PILE'!$E$72:$E$91))+IF(SUMSQ('TS-PILE'!$D$72:$D$91)=0,0,'TO HOP NLAN'!F10*'TS-PILE'!$D$72/SUMSQ('TS-PILE'!$D$72:$D$91))),IF('TS-PILE'!$B$73="",1E+99,'TO HOP NLAN'!D10/ncoc+IF(SUMSQ('TS-PILE'!$E$72:$E$91)=0,0,'TO HOP NLAN'!E10*'TS-PILE'!$E$73/SUMSQ('TS-PILE'!$E$72:$E$91))+IF(SUMSQ('TS-PILE'!$D$72:$D$91)=0,0,'TO HOP NLAN'!F10*'TS-PILE'!$D$73/SUMSQ('TS-PILE'!$D$72:$D$91))),IF('TS-PILE'!$B$74="",1E+99,'TO HOP NLAN'!D10/ncoc+IF(SUMSQ('TS-PILE'!$E$72:$E$91)=0,0,'TO HOP NLAN'!E10*'TS-PILE'!$E$74/SUMSQ('TS-PILE'!$E$72:$E$91))+IF(SUMSQ('TS-PILE'!$D$72:$D$91)=0,0,'TO HOP NLAN'!F10*'TS-PILE'!$D$74/SUMSQ('TS-PILE'!$D$72:$D$91))),IF('TS-PILE'!$B$75="",1E+99,'TO HOP NLAN'!D10/ncoc+IF(SUMSQ('TS-PILE'!$E$72:$E$91)=0,0,'TO HOP NLAN'!E10*'TS-PILE'!$E$75/SUMSQ('TS-PILE'!$E$72:$E$91))+IF(SUMSQ('TS-PILE'!$D$72:$D$91)=0,0,'TO HOP NLAN'!F10*'TS-PILE'!$D$75/SUMSQ('TS-PILE'!$D$72:$D$91))),IF('TS-PILE'!$B$76="",1E+99,'TO HOP NLAN'!D10/ncoc+IF(SUMSQ('TS-PILE'!$E$72:$E$91)=0,0,'TO HOP NLAN'!E10*'TS-PILE'!$E$76/SUMSQ('TS-PILE'!$E$72:$E$91))+IF(SUMSQ('TS-PILE'!$D$72:$D$91)=0,0,'TO HOP NLAN'!F10*'TS-PILE'!$D$76/SUMSQ('TS-PILE'!$D$72:$D$91))),IF('TS-PILE'!$B$77="",1E+99,'TO HOP NLAN'!D10/ncoc+IF(SUMSQ('TS-PILE'!$E$72:$E$91)=0,0,'TO HOP NLAN'!E10*'TS-PILE'!$E$77/SUMSQ('TS-PILE'!$E$72:$E$91))+IF(SUMSQ('TS-PILE'!$D$72:$D$91)=0,0,'TO HOP NLAN'!F10*'TS-PILE'!$D$77/SUMSQ('TS-PILE'!$D$72:$D$91))),IF('TS-PILE'!$B$78="",1E+99,'TO HOP NLAN'!D10/ncoc+IF(SUMSQ('TS-PILE'!$E$72:$E$91)=0,0,'TO HOP NLAN'!E10*'TS-PILE'!$E$78/SUMSQ('TS-PILE'!$E$72:$E$91))+IF(SUMSQ('TS-PILE'!$D$72:$D$91)=0,0,'TO HOP NLAN'!F10*'TS-PILE'!$D$78/SUMSQ('TS-PILE'!$D$72:$D$91))),IF('TS-PILE'!$B$79="",1E+99,'TO HOP NLAN'!D10/ncoc+IF(SUMSQ('TS-PILE'!$E$72:$E$91)=0,0,'TO HOP NLAN'!E10*'TS-PILE'!$E$79/SUMSQ('TS-PILE'!$E$72:$E$91))+IF(SUMSQ('TS-PILE'!$D$72:$D$91)=0,0,'TO HOP NLAN'!F10*'TS-PILE'!$D$79/SUMSQ('TS-PILE'!$D$72:$D$91))),IF('TS-PILE'!$B$80="",1E+99,'TO HOP NLAN'!D10/ncoc+IF(SUMSQ('TS-PILE'!$E$72:$E$91)=0,0,'TO HOP NLAN'!E10*'TS-PILE'!$E$80/SUMSQ('TS-PILE'!$E$72:$E$91))+IF(SUMSQ('TS-PILE'!$D$72:$D$91)=0,0,'TO HOP NLAN'!F10*'TS-PILE'!$D$80/SUMSQ('TS-PILE'!$D$72:$D$91))),IF('TS-PILE'!$B$81="",1E+99,'TO HOP NLAN'!D10/ncoc+IF(SUMSQ('TS-PILE'!$E$72:$E$91)=0,0,'TO HOP NLAN'!E10*'TS-PILE'!$E$81/SUMSQ('TS-PILE'!$E$72:$E$91))+IF(SUMSQ('TS-PILE'!$D$72:$D$91)=0,0,'TO HOP NLAN'!F10*'TS-PILE'!$D$81/SUMSQ('TS-PILE'!$D$72:$D$91))),IF('TS-PILE'!$B$82="",1E+99,'TO HOP NLAN'!D10/ncoc+IF(SUMSQ('TS-PILE'!$E$72:$E$91)=0,0,'TO HOP NLAN'!E10*'TS-PILE'!$E$82/SUMSQ('TS-PILE'!$E$72:$E$91))+IF(SUMSQ('TS-PILE'!$D$72:$D$91)=0,0,'TO HOP NLAN'!F10*'TS-PILE'!$D$82/SUMSQ('TS-PILE'!$D$72:$D$91))),IF('TS-PILE'!$B$83="",1E+99,'TO HOP NLAN'!D10/ncoc+IF(SUMSQ('TS-PILE'!$E$72:$E$91)=0,0,'TO HOP NLAN'!E10*'TS-PILE'!$E$83/SUMSQ('TS-PILE'!$E$72:$E$91))+IF(SUMSQ('TS-PILE'!$D$72:$D$91)=0,0,'TO HOP NLAN'!F10*'TS-PILE'!$D$83/SUMSQ('TS-PILE'!$D$72:$D$91))),IF('TS-PILE'!$B$84="",1E+99,'TO HOP NLAN'!D10/ncoc+IF(SUMSQ('TS-PILE'!$E$72:$E$91)=0,0,'TO HOP NLAN'!E10*'TS-PILE'!$E$84/SUMSQ('TS-PILE'!$E$72:$E$91))+IF(SUMSQ('TS-PILE'!$D$72:$D$91)=0,0,'TO HOP NLAN'!F10*'TS-PILE'!$D$84/SUMSQ('TS-PILE'!$D$72:$D$91))),IF('TS-PILE'!$B$85="",1E+99,'TO HOP NLAN'!D10/ncoc+IF(SUMSQ('TS-PILE'!$E$72:$E$91)=0,0,'TO HOP NLAN'!E10*'TS-PILE'!$E$85/SUMSQ('TS-PILE'!$E$72:$E$91))+IF(SUMSQ('TS-PILE'!$D$72:$D$91)=0,0,'TO HOP NLAN'!F10*'TS-PILE'!$D$85/SUMSQ('TS-PILE'!$D$72:$D$91))),IF('TS-PILE'!$B$86="",1E+99,'TO HOP NLAN'!D10/ncoc+IF(SUMSQ('TS-PILE'!$E$72:$E$91)=0,0,'TO HOP NLAN'!E10*'TS-PILE'!$E$86/SUMSQ('TS-PILE'!$E$72:$E$91))+IF(SUMSQ('TS-PILE'!$D$72:$D$91)=0,0,'TO HOP NLAN'!F10*'TS-PILE'!$D$86/SUMSQ('TS-PILE'!$D$72:$D$91))),IF('TS-PILE'!$B$87="",1E+99,'TO HOP NLAN'!D10/ncoc+IF(SUMSQ('TS-PILE'!$E$72:$E$91)=0,0,'TO HOP NLAN'!E10*'TS-PILE'!$E$87/SUMSQ('TS-PILE'!$E$72:$E$91))+IF(SUMSQ('TS-PILE'!$D$72:$D$91)=0,0,'TO HOP NLAN'!F10*'TS-PILE'!$D$87/SUMSQ('TS-PILE'!$D$72:$D$91))),IF('TS-PILE'!$B$88="",1E+99,'TO HOP NLAN'!D10/ncoc+IF(SUMSQ('TS-PILE'!$E$72:$E$91)=0,0,'TO HOP NLAN'!E10*'TS-PILE'!$E$88/SUMSQ('TS-PILE'!$E$72:$E$91))+IF(SUMSQ('TS-PILE'!$D$72:$D$91)=0,0,'TO HOP NLAN'!F10*'TS-PILE'!$D$88/SUMSQ('TS-PILE'!$D$72:$D$91))),IF('TS-PILE'!$B$89="",1E+99,'TO HOP NLAN'!D10/ncoc+IF(SUMSQ('TS-PILE'!$E$72:$E$91)=0,0,'TO HOP NLAN'!E10*'TS-PILE'!$E$89/SUMSQ('TS-PILE'!$E$72:$E$91))+IF(SUMSQ('TS-PILE'!$D$72:$D$91)=0,0,'TO HOP NLAN'!F10*'TS-PILE'!$D$89/SUMSQ('TS-PILE'!$D$72:$D$91))),IF('TS-PILE'!$B$90="",1E+99,'TO HOP NLAN'!D10/ncoc+IF(SUMSQ('TS-PILE'!$E$72:$E$91)=0,0,'TO HOP NLAN'!E10*'TS-PILE'!$E$90/SUMSQ('TS-PILE'!$E$72:$E$91))+IF(SUMSQ('TS-PILE'!$D$72:$D$91)=0,0,'TO HOP NLAN'!F10*'TS-PILE'!$D$90/SUMSQ('TS-PILE'!$D$72:$D$91))),IF('TS-PILE'!$B$91="",1E+99,'TO HOP NLAN'!D10/ncoc+IF(SUMSQ('TS-PILE'!$E$72:$E$91)=0,0,'TO HOP NLAN'!E10*'TS-PILE'!$E$91/SUMSQ('TS-PILE'!$E$72:$E$91))+IF(SUMSQ('TS-PILE'!$D$72:$D$91)=0,0,'TO HOP NLAN'!F10*'TS-PILE'!$D$91/SUMSQ('TS-PILE'!$D$72:$D$91)))))</f>
        <v>0</v>
      </c>
      <c r="E10" s="58">
        <f t="shared" si="0"/>
        <v>-9.9999999999999997E+98</v>
      </c>
      <c r="F10" s="58">
        <f t="shared" si="1"/>
        <v>9.9999999999999997E+98</v>
      </c>
      <c r="G10" s="58">
        <f t="shared" si="2"/>
        <v>-9.9999999999999997E+98</v>
      </c>
      <c r="H10" s="58">
        <f t="shared" si="3"/>
        <v>9.9999999999999997E+98</v>
      </c>
    </row>
    <row r="11" spans="1:8" x14ac:dyDescent="0.3">
      <c r="A11" s="42" t="str">
        <f>'TO HOP NLAN'!A11</f>
        <v/>
      </c>
      <c r="B11" s="42" t="str">
        <f>'TO HOP NLAN'!L11</f>
        <v>SERVICE</v>
      </c>
      <c r="C11" s="58">
        <f>IF(A11="",0,MAX(IF('TS-PILE'!$B$72="",-1E+99,'TO HOP NLAN'!D11/ncoc+IF(SUMSQ('TS-PILE'!$E$72:$E$91)=0,0,'TO HOP NLAN'!E11*'TS-PILE'!$E$72/SUMSQ('TS-PILE'!$E$72:$E$91))+IF(SUMSQ('TS-PILE'!$D$72:$D$91)=0,0,'TO HOP NLAN'!F11*'TS-PILE'!$D$72/SUMSQ('TS-PILE'!$D$72:$D$91))),IF('TS-PILE'!$B$73="",-1E+99,'TO HOP NLAN'!D11/ncoc+IF(SUMSQ('TS-PILE'!$E$72:$E$91)=0,0,'TO HOP NLAN'!E11*'TS-PILE'!$E$73/SUMSQ('TS-PILE'!$E$72:$E$91))+IF(SUMSQ('TS-PILE'!$D$72:$D$91)=0,0,'TO HOP NLAN'!F11*'TS-PILE'!$D$73/SUMSQ('TS-PILE'!$D$72:$D$91))),IF('TS-PILE'!$B$74="",-1E+99,'TO HOP NLAN'!D11/ncoc+IF(SUMSQ('TS-PILE'!$E$72:$E$91)=0,0,'TO HOP NLAN'!E11*'TS-PILE'!$E$74/SUMSQ('TS-PILE'!$E$72:$E$91))+IF(SUMSQ('TS-PILE'!$D$72:$D$91)=0,0,'TO HOP NLAN'!F11*'TS-PILE'!$D$74/SUMSQ('TS-PILE'!$D$72:$D$91))),IF('TS-PILE'!$B$75="",-1E+99,'TO HOP NLAN'!D11/ncoc+IF(SUMSQ('TS-PILE'!$E$72:$E$91)=0,0,'TO HOP NLAN'!E11*'TS-PILE'!$E$75/SUMSQ('TS-PILE'!$E$72:$E$91))+IF(SUMSQ('TS-PILE'!$D$72:$D$91)=0,0,'TO HOP NLAN'!F11*'TS-PILE'!$D$75/SUMSQ('TS-PILE'!$D$72:$D$91))),IF('TS-PILE'!$B$76="",-1E+99,'TO HOP NLAN'!D11/ncoc+IF(SUMSQ('TS-PILE'!$E$72:$E$91)=0,0,'TO HOP NLAN'!E11*'TS-PILE'!$E$76/SUMSQ('TS-PILE'!$E$72:$E$91))+IF(SUMSQ('TS-PILE'!$D$72:$D$91)=0,0,'TO HOP NLAN'!F11*'TS-PILE'!$D$76/SUMSQ('TS-PILE'!$D$72:$D$91))),IF('TS-PILE'!$B$77="",-1E+99,'TO HOP NLAN'!D11/ncoc+IF(SUMSQ('TS-PILE'!$E$72:$E$91)=0,0,'TO HOP NLAN'!E11*'TS-PILE'!$E$77/SUMSQ('TS-PILE'!$E$72:$E$91))+IF(SUMSQ('TS-PILE'!$D$72:$D$91)=0,0,'TO HOP NLAN'!F11*'TS-PILE'!$D$77/SUMSQ('TS-PILE'!$D$72:$D$91))),IF('TS-PILE'!$B$78="",-1E+99,'TO HOP NLAN'!D11/ncoc+IF(SUMSQ('TS-PILE'!$E$72:$E$91)=0,0,'TO HOP NLAN'!E11*'TS-PILE'!$E$78/SUMSQ('TS-PILE'!$E$72:$E$91))+IF(SUMSQ('TS-PILE'!$D$72:$D$91)=0,0,'TO HOP NLAN'!F11*'TS-PILE'!$D$78/SUMSQ('TS-PILE'!$D$72:$D$91))),IF('TS-PILE'!$B$79="",-1E+99,'TO HOP NLAN'!D11/ncoc+IF(SUMSQ('TS-PILE'!$E$72:$E$91)=0,0,'TO HOP NLAN'!E11*'TS-PILE'!$E$79/SUMSQ('TS-PILE'!$E$72:$E$91))+IF(SUMSQ('TS-PILE'!$D$72:$D$91)=0,0,'TO HOP NLAN'!F11*'TS-PILE'!$D$79/SUMSQ('TS-PILE'!$D$72:$D$91))),IF('TS-PILE'!$B$80="",-1E+99,'TO HOP NLAN'!D11/ncoc+IF(SUMSQ('TS-PILE'!$E$72:$E$91)=0,0,'TO HOP NLAN'!E11*'TS-PILE'!$E$80/SUMSQ('TS-PILE'!$E$72:$E$91))+IF(SUMSQ('TS-PILE'!$D$72:$D$91)=0,0,'TO HOP NLAN'!F11*'TS-PILE'!$D$80/SUMSQ('TS-PILE'!$D$72:$D$91))),IF('TS-PILE'!$B$81="",-1E+99,'TO HOP NLAN'!D11/ncoc+IF(SUMSQ('TS-PILE'!$E$72:$E$91)=0,0,'TO HOP NLAN'!E11*'TS-PILE'!$E$81/SUMSQ('TS-PILE'!$E$72:$E$91))+IF(SUMSQ('TS-PILE'!$D$72:$D$91)=0,0,'TO HOP NLAN'!F11*'TS-PILE'!$D$81/SUMSQ('TS-PILE'!$D$72:$D$91))),IF('TS-PILE'!$B$82="",-1E+99,'TO HOP NLAN'!D11/ncoc+IF(SUMSQ('TS-PILE'!$E$72:$E$91)=0,0,'TO HOP NLAN'!E11*'TS-PILE'!$E$82/SUMSQ('TS-PILE'!$E$72:$E$91))+IF(SUMSQ('TS-PILE'!$D$72:$D$91)=0,0,'TO HOP NLAN'!F11*'TS-PILE'!$D$82/SUMSQ('TS-PILE'!$D$72:$D$91))),IF('TS-PILE'!$B$83="",-1E+99,'TO HOP NLAN'!D11/ncoc+IF(SUMSQ('TS-PILE'!$E$72:$E$91)=0,0,'TO HOP NLAN'!E11*'TS-PILE'!$E$83/SUMSQ('TS-PILE'!$E$72:$E$91))+IF(SUMSQ('TS-PILE'!$D$72:$D$91)=0,0,'TO HOP NLAN'!F11*'TS-PILE'!$D$83/SUMSQ('TS-PILE'!$D$72:$D$91))),IF('TS-PILE'!$B$84="",-1E+99,'TO HOP NLAN'!D11/ncoc+IF(SUMSQ('TS-PILE'!$E$72:$E$91)=0,0,'TO HOP NLAN'!E11*'TS-PILE'!$E$84/SUMSQ('TS-PILE'!$E$72:$E$91))+IF(SUMSQ('TS-PILE'!$D$72:$D$91)=0,0,'TO HOP NLAN'!F11*'TS-PILE'!$D$84/SUMSQ('TS-PILE'!$D$72:$D$91))),IF('TS-PILE'!$B$85="",-1E+99,'TO HOP NLAN'!D11/ncoc+IF(SUMSQ('TS-PILE'!$E$72:$E$91)=0,0,'TO HOP NLAN'!E11*'TS-PILE'!$E$85/SUMSQ('TS-PILE'!$E$72:$E$91))+IF(SUMSQ('TS-PILE'!$D$72:$D$91)=0,0,'TO HOP NLAN'!F11*'TS-PILE'!$D$85/SUMSQ('TS-PILE'!$D$72:$D$91))),IF('TS-PILE'!$B$86="",-1E+99,'TO HOP NLAN'!D11/ncoc+IF(SUMSQ('TS-PILE'!$E$72:$E$91)=0,0,'TO HOP NLAN'!E11*'TS-PILE'!$E$86/SUMSQ('TS-PILE'!$E$72:$E$91))+IF(SUMSQ('TS-PILE'!$D$72:$D$91)=0,0,'TO HOP NLAN'!F11*'TS-PILE'!$D$86/SUMSQ('TS-PILE'!$D$72:$D$91))),IF('TS-PILE'!$B$87="",-1E+99,'TO HOP NLAN'!D11/ncoc+IF(SUMSQ('TS-PILE'!$E$72:$E$91)=0,0,'TO HOP NLAN'!E11*'TS-PILE'!$E$87/SUMSQ('TS-PILE'!$E$72:$E$91))+IF(SUMSQ('TS-PILE'!$D$72:$D$91)=0,0,'TO HOP NLAN'!F11*'TS-PILE'!$D$87/SUMSQ('TS-PILE'!$D$72:$D$91))),IF('TS-PILE'!$B$88="",-1E+99,'TO HOP NLAN'!D11/ncoc+IF(SUMSQ('TS-PILE'!$E$72:$E$91)=0,0,'TO HOP NLAN'!E11*'TS-PILE'!$E$88/SUMSQ('TS-PILE'!$E$72:$E$91))+IF(SUMSQ('TS-PILE'!$D$72:$D$91)=0,0,'TO HOP NLAN'!F11*'TS-PILE'!$D$88/SUMSQ('TS-PILE'!$D$72:$D$91))),IF('TS-PILE'!$B$89="",-1E+99,'TO HOP NLAN'!D11/ncoc+IF(SUMSQ('TS-PILE'!$E$72:$E$91)=0,0,'TO HOP NLAN'!E11*'TS-PILE'!$E$89/SUMSQ('TS-PILE'!$E$72:$E$91))+IF(SUMSQ('TS-PILE'!$D$72:$D$91)=0,0,'TO HOP NLAN'!F11*'TS-PILE'!$D$89/SUMSQ('TS-PILE'!$D$72:$D$91))),IF('TS-PILE'!$B$90="",-1E+99,'TO HOP NLAN'!D11/ncoc+IF(SUMSQ('TS-PILE'!$E$72:$E$91)=0,0,'TO HOP NLAN'!E11*'TS-PILE'!$E$90/SUMSQ('TS-PILE'!$E$72:$E$91))+IF(SUMSQ('TS-PILE'!$D$72:$D$91)=0,0,'TO HOP NLAN'!F11*'TS-PILE'!$D$90/SUMSQ('TS-PILE'!$D$72:$D$91))),IF('TS-PILE'!$B$91="",-1E+99,'TO HOP NLAN'!D11/ncoc+IF(SUMSQ('TS-PILE'!$E$72:$E$91)=0,0,'TO HOP NLAN'!E11*'TS-PILE'!$E$91/SUMSQ('TS-PILE'!$E$72:$E$91))+IF(SUMSQ('TS-PILE'!$D$72:$D$91)=0,0,'TO HOP NLAN'!F11*'TS-PILE'!$D$91/SUMSQ('TS-PILE'!$D$72:$D$91)))))</f>
        <v>0</v>
      </c>
      <c r="D11" s="58">
        <f>IF(A11="",0,MIN(IF('TS-PILE'!$B$72="",1E+99,'TO HOP NLAN'!D11/ncoc+IF(SUMSQ('TS-PILE'!$E$72:$E$91)=0,0,'TO HOP NLAN'!E11*'TS-PILE'!$E$72/SUMSQ('TS-PILE'!$E$72:$E$91))+IF(SUMSQ('TS-PILE'!$D$72:$D$91)=0,0,'TO HOP NLAN'!F11*'TS-PILE'!$D$72/SUMSQ('TS-PILE'!$D$72:$D$91))),IF('TS-PILE'!$B$73="",1E+99,'TO HOP NLAN'!D11/ncoc+IF(SUMSQ('TS-PILE'!$E$72:$E$91)=0,0,'TO HOP NLAN'!E11*'TS-PILE'!$E$73/SUMSQ('TS-PILE'!$E$72:$E$91))+IF(SUMSQ('TS-PILE'!$D$72:$D$91)=0,0,'TO HOP NLAN'!F11*'TS-PILE'!$D$73/SUMSQ('TS-PILE'!$D$72:$D$91))),IF('TS-PILE'!$B$74="",1E+99,'TO HOP NLAN'!D11/ncoc+IF(SUMSQ('TS-PILE'!$E$72:$E$91)=0,0,'TO HOP NLAN'!E11*'TS-PILE'!$E$74/SUMSQ('TS-PILE'!$E$72:$E$91))+IF(SUMSQ('TS-PILE'!$D$72:$D$91)=0,0,'TO HOP NLAN'!F11*'TS-PILE'!$D$74/SUMSQ('TS-PILE'!$D$72:$D$91))),IF('TS-PILE'!$B$75="",1E+99,'TO HOP NLAN'!D11/ncoc+IF(SUMSQ('TS-PILE'!$E$72:$E$91)=0,0,'TO HOP NLAN'!E11*'TS-PILE'!$E$75/SUMSQ('TS-PILE'!$E$72:$E$91))+IF(SUMSQ('TS-PILE'!$D$72:$D$91)=0,0,'TO HOP NLAN'!F11*'TS-PILE'!$D$75/SUMSQ('TS-PILE'!$D$72:$D$91))),IF('TS-PILE'!$B$76="",1E+99,'TO HOP NLAN'!D11/ncoc+IF(SUMSQ('TS-PILE'!$E$72:$E$91)=0,0,'TO HOP NLAN'!E11*'TS-PILE'!$E$76/SUMSQ('TS-PILE'!$E$72:$E$91))+IF(SUMSQ('TS-PILE'!$D$72:$D$91)=0,0,'TO HOP NLAN'!F11*'TS-PILE'!$D$76/SUMSQ('TS-PILE'!$D$72:$D$91))),IF('TS-PILE'!$B$77="",1E+99,'TO HOP NLAN'!D11/ncoc+IF(SUMSQ('TS-PILE'!$E$72:$E$91)=0,0,'TO HOP NLAN'!E11*'TS-PILE'!$E$77/SUMSQ('TS-PILE'!$E$72:$E$91))+IF(SUMSQ('TS-PILE'!$D$72:$D$91)=0,0,'TO HOP NLAN'!F11*'TS-PILE'!$D$77/SUMSQ('TS-PILE'!$D$72:$D$91))),IF('TS-PILE'!$B$78="",1E+99,'TO HOP NLAN'!D11/ncoc+IF(SUMSQ('TS-PILE'!$E$72:$E$91)=0,0,'TO HOP NLAN'!E11*'TS-PILE'!$E$78/SUMSQ('TS-PILE'!$E$72:$E$91))+IF(SUMSQ('TS-PILE'!$D$72:$D$91)=0,0,'TO HOP NLAN'!F11*'TS-PILE'!$D$78/SUMSQ('TS-PILE'!$D$72:$D$91))),IF('TS-PILE'!$B$79="",1E+99,'TO HOP NLAN'!D11/ncoc+IF(SUMSQ('TS-PILE'!$E$72:$E$91)=0,0,'TO HOP NLAN'!E11*'TS-PILE'!$E$79/SUMSQ('TS-PILE'!$E$72:$E$91))+IF(SUMSQ('TS-PILE'!$D$72:$D$91)=0,0,'TO HOP NLAN'!F11*'TS-PILE'!$D$79/SUMSQ('TS-PILE'!$D$72:$D$91))),IF('TS-PILE'!$B$80="",1E+99,'TO HOP NLAN'!D11/ncoc+IF(SUMSQ('TS-PILE'!$E$72:$E$91)=0,0,'TO HOP NLAN'!E11*'TS-PILE'!$E$80/SUMSQ('TS-PILE'!$E$72:$E$91))+IF(SUMSQ('TS-PILE'!$D$72:$D$91)=0,0,'TO HOP NLAN'!F11*'TS-PILE'!$D$80/SUMSQ('TS-PILE'!$D$72:$D$91))),IF('TS-PILE'!$B$81="",1E+99,'TO HOP NLAN'!D11/ncoc+IF(SUMSQ('TS-PILE'!$E$72:$E$91)=0,0,'TO HOP NLAN'!E11*'TS-PILE'!$E$81/SUMSQ('TS-PILE'!$E$72:$E$91))+IF(SUMSQ('TS-PILE'!$D$72:$D$91)=0,0,'TO HOP NLAN'!F11*'TS-PILE'!$D$81/SUMSQ('TS-PILE'!$D$72:$D$91))),IF('TS-PILE'!$B$82="",1E+99,'TO HOP NLAN'!D11/ncoc+IF(SUMSQ('TS-PILE'!$E$72:$E$91)=0,0,'TO HOP NLAN'!E11*'TS-PILE'!$E$82/SUMSQ('TS-PILE'!$E$72:$E$91))+IF(SUMSQ('TS-PILE'!$D$72:$D$91)=0,0,'TO HOP NLAN'!F11*'TS-PILE'!$D$82/SUMSQ('TS-PILE'!$D$72:$D$91))),IF('TS-PILE'!$B$83="",1E+99,'TO HOP NLAN'!D11/ncoc+IF(SUMSQ('TS-PILE'!$E$72:$E$91)=0,0,'TO HOP NLAN'!E11*'TS-PILE'!$E$83/SUMSQ('TS-PILE'!$E$72:$E$91))+IF(SUMSQ('TS-PILE'!$D$72:$D$91)=0,0,'TO HOP NLAN'!F11*'TS-PILE'!$D$83/SUMSQ('TS-PILE'!$D$72:$D$91))),IF('TS-PILE'!$B$84="",1E+99,'TO HOP NLAN'!D11/ncoc+IF(SUMSQ('TS-PILE'!$E$72:$E$91)=0,0,'TO HOP NLAN'!E11*'TS-PILE'!$E$84/SUMSQ('TS-PILE'!$E$72:$E$91))+IF(SUMSQ('TS-PILE'!$D$72:$D$91)=0,0,'TO HOP NLAN'!F11*'TS-PILE'!$D$84/SUMSQ('TS-PILE'!$D$72:$D$91))),IF('TS-PILE'!$B$85="",1E+99,'TO HOP NLAN'!D11/ncoc+IF(SUMSQ('TS-PILE'!$E$72:$E$91)=0,0,'TO HOP NLAN'!E11*'TS-PILE'!$E$85/SUMSQ('TS-PILE'!$E$72:$E$91))+IF(SUMSQ('TS-PILE'!$D$72:$D$91)=0,0,'TO HOP NLAN'!F11*'TS-PILE'!$D$85/SUMSQ('TS-PILE'!$D$72:$D$91))),IF('TS-PILE'!$B$86="",1E+99,'TO HOP NLAN'!D11/ncoc+IF(SUMSQ('TS-PILE'!$E$72:$E$91)=0,0,'TO HOP NLAN'!E11*'TS-PILE'!$E$86/SUMSQ('TS-PILE'!$E$72:$E$91))+IF(SUMSQ('TS-PILE'!$D$72:$D$91)=0,0,'TO HOP NLAN'!F11*'TS-PILE'!$D$86/SUMSQ('TS-PILE'!$D$72:$D$91))),IF('TS-PILE'!$B$87="",1E+99,'TO HOP NLAN'!D11/ncoc+IF(SUMSQ('TS-PILE'!$E$72:$E$91)=0,0,'TO HOP NLAN'!E11*'TS-PILE'!$E$87/SUMSQ('TS-PILE'!$E$72:$E$91))+IF(SUMSQ('TS-PILE'!$D$72:$D$91)=0,0,'TO HOP NLAN'!F11*'TS-PILE'!$D$87/SUMSQ('TS-PILE'!$D$72:$D$91))),IF('TS-PILE'!$B$88="",1E+99,'TO HOP NLAN'!D11/ncoc+IF(SUMSQ('TS-PILE'!$E$72:$E$91)=0,0,'TO HOP NLAN'!E11*'TS-PILE'!$E$88/SUMSQ('TS-PILE'!$E$72:$E$91))+IF(SUMSQ('TS-PILE'!$D$72:$D$91)=0,0,'TO HOP NLAN'!F11*'TS-PILE'!$D$88/SUMSQ('TS-PILE'!$D$72:$D$91))),IF('TS-PILE'!$B$89="",1E+99,'TO HOP NLAN'!D11/ncoc+IF(SUMSQ('TS-PILE'!$E$72:$E$91)=0,0,'TO HOP NLAN'!E11*'TS-PILE'!$E$89/SUMSQ('TS-PILE'!$E$72:$E$91))+IF(SUMSQ('TS-PILE'!$D$72:$D$91)=0,0,'TO HOP NLAN'!F11*'TS-PILE'!$D$89/SUMSQ('TS-PILE'!$D$72:$D$91))),IF('TS-PILE'!$B$90="",1E+99,'TO HOP NLAN'!D11/ncoc+IF(SUMSQ('TS-PILE'!$E$72:$E$91)=0,0,'TO HOP NLAN'!E11*'TS-PILE'!$E$90/SUMSQ('TS-PILE'!$E$72:$E$91))+IF(SUMSQ('TS-PILE'!$D$72:$D$91)=0,0,'TO HOP NLAN'!F11*'TS-PILE'!$D$90/SUMSQ('TS-PILE'!$D$72:$D$91))),IF('TS-PILE'!$B$91="",1E+99,'TO HOP NLAN'!D11/ncoc+IF(SUMSQ('TS-PILE'!$E$72:$E$91)=0,0,'TO HOP NLAN'!E11*'TS-PILE'!$E$91/SUMSQ('TS-PILE'!$E$72:$E$91))+IF(SUMSQ('TS-PILE'!$D$72:$D$91)=0,0,'TO HOP NLAN'!F11*'TS-PILE'!$D$91/SUMSQ('TS-PILE'!$D$72:$D$91)))))</f>
        <v>0</v>
      </c>
      <c r="E11" s="58">
        <f t="shared" si="0"/>
        <v>-9.9999999999999997E+98</v>
      </c>
      <c r="F11" s="58">
        <f t="shared" si="1"/>
        <v>9.9999999999999997E+98</v>
      </c>
      <c r="G11" s="58">
        <f t="shared" si="2"/>
        <v>-9.9999999999999997E+98</v>
      </c>
      <c r="H11" s="58">
        <f t="shared" si="3"/>
        <v>9.9999999999999997E+98</v>
      </c>
    </row>
    <row r="12" spans="1:8" x14ac:dyDescent="0.3">
      <c r="A12" s="42" t="str">
        <f>'TO HOP NLAN'!A12</f>
        <v/>
      </c>
      <c r="B12" s="42" t="str">
        <f>'TO HOP NLAN'!L12</f>
        <v>SERVICE</v>
      </c>
      <c r="C12" s="58">
        <f>IF(A12="",0,MAX(IF('TS-PILE'!$B$72="",-1E+99,'TO HOP NLAN'!D12/ncoc+IF(SUMSQ('TS-PILE'!$E$72:$E$91)=0,0,'TO HOP NLAN'!E12*'TS-PILE'!$E$72/SUMSQ('TS-PILE'!$E$72:$E$91))+IF(SUMSQ('TS-PILE'!$D$72:$D$91)=0,0,'TO HOP NLAN'!F12*'TS-PILE'!$D$72/SUMSQ('TS-PILE'!$D$72:$D$91))),IF('TS-PILE'!$B$73="",-1E+99,'TO HOP NLAN'!D12/ncoc+IF(SUMSQ('TS-PILE'!$E$72:$E$91)=0,0,'TO HOP NLAN'!E12*'TS-PILE'!$E$73/SUMSQ('TS-PILE'!$E$72:$E$91))+IF(SUMSQ('TS-PILE'!$D$72:$D$91)=0,0,'TO HOP NLAN'!F12*'TS-PILE'!$D$73/SUMSQ('TS-PILE'!$D$72:$D$91))),IF('TS-PILE'!$B$74="",-1E+99,'TO HOP NLAN'!D12/ncoc+IF(SUMSQ('TS-PILE'!$E$72:$E$91)=0,0,'TO HOP NLAN'!E12*'TS-PILE'!$E$74/SUMSQ('TS-PILE'!$E$72:$E$91))+IF(SUMSQ('TS-PILE'!$D$72:$D$91)=0,0,'TO HOP NLAN'!F12*'TS-PILE'!$D$74/SUMSQ('TS-PILE'!$D$72:$D$91))),IF('TS-PILE'!$B$75="",-1E+99,'TO HOP NLAN'!D12/ncoc+IF(SUMSQ('TS-PILE'!$E$72:$E$91)=0,0,'TO HOP NLAN'!E12*'TS-PILE'!$E$75/SUMSQ('TS-PILE'!$E$72:$E$91))+IF(SUMSQ('TS-PILE'!$D$72:$D$91)=0,0,'TO HOP NLAN'!F12*'TS-PILE'!$D$75/SUMSQ('TS-PILE'!$D$72:$D$91))),IF('TS-PILE'!$B$76="",-1E+99,'TO HOP NLAN'!D12/ncoc+IF(SUMSQ('TS-PILE'!$E$72:$E$91)=0,0,'TO HOP NLAN'!E12*'TS-PILE'!$E$76/SUMSQ('TS-PILE'!$E$72:$E$91))+IF(SUMSQ('TS-PILE'!$D$72:$D$91)=0,0,'TO HOP NLAN'!F12*'TS-PILE'!$D$76/SUMSQ('TS-PILE'!$D$72:$D$91))),IF('TS-PILE'!$B$77="",-1E+99,'TO HOP NLAN'!D12/ncoc+IF(SUMSQ('TS-PILE'!$E$72:$E$91)=0,0,'TO HOP NLAN'!E12*'TS-PILE'!$E$77/SUMSQ('TS-PILE'!$E$72:$E$91))+IF(SUMSQ('TS-PILE'!$D$72:$D$91)=0,0,'TO HOP NLAN'!F12*'TS-PILE'!$D$77/SUMSQ('TS-PILE'!$D$72:$D$91))),IF('TS-PILE'!$B$78="",-1E+99,'TO HOP NLAN'!D12/ncoc+IF(SUMSQ('TS-PILE'!$E$72:$E$91)=0,0,'TO HOP NLAN'!E12*'TS-PILE'!$E$78/SUMSQ('TS-PILE'!$E$72:$E$91))+IF(SUMSQ('TS-PILE'!$D$72:$D$91)=0,0,'TO HOP NLAN'!F12*'TS-PILE'!$D$78/SUMSQ('TS-PILE'!$D$72:$D$91))),IF('TS-PILE'!$B$79="",-1E+99,'TO HOP NLAN'!D12/ncoc+IF(SUMSQ('TS-PILE'!$E$72:$E$91)=0,0,'TO HOP NLAN'!E12*'TS-PILE'!$E$79/SUMSQ('TS-PILE'!$E$72:$E$91))+IF(SUMSQ('TS-PILE'!$D$72:$D$91)=0,0,'TO HOP NLAN'!F12*'TS-PILE'!$D$79/SUMSQ('TS-PILE'!$D$72:$D$91))),IF('TS-PILE'!$B$80="",-1E+99,'TO HOP NLAN'!D12/ncoc+IF(SUMSQ('TS-PILE'!$E$72:$E$91)=0,0,'TO HOP NLAN'!E12*'TS-PILE'!$E$80/SUMSQ('TS-PILE'!$E$72:$E$91))+IF(SUMSQ('TS-PILE'!$D$72:$D$91)=0,0,'TO HOP NLAN'!F12*'TS-PILE'!$D$80/SUMSQ('TS-PILE'!$D$72:$D$91))),IF('TS-PILE'!$B$81="",-1E+99,'TO HOP NLAN'!D12/ncoc+IF(SUMSQ('TS-PILE'!$E$72:$E$91)=0,0,'TO HOP NLAN'!E12*'TS-PILE'!$E$81/SUMSQ('TS-PILE'!$E$72:$E$91))+IF(SUMSQ('TS-PILE'!$D$72:$D$91)=0,0,'TO HOP NLAN'!F12*'TS-PILE'!$D$81/SUMSQ('TS-PILE'!$D$72:$D$91))),IF('TS-PILE'!$B$82="",-1E+99,'TO HOP NLAN'!D12/ncoc+IF(SUMSQ('TS-PILE'!$E$72:$E$91)=0,0,'TO HOP NLAN'!E12*'TS-PILE'!$E$82/SUMSQ('TS-PILE'!$E$72:$E$91))+IF(SUMSQ('TS-PILE'!$D$72:$D$91)=0,0,'TO HOP NLAN'!F12*'TS-PILE'!$D$82/SUMSQ('TS-PILE'!$D$72:$D$91))),IF('TS-PILE'!$B$83="",-1E+99,'TO HOP NLAN'!D12/ncoc+IF(SUMSQ('TS-PILE'!$E$72:$E$91)=0,0,'TO HOP NLAN'!E12*'TS-PILE'!$E$83/SUMSQ('TS-PILE'!$E$72:$E$91))+IF(SUMSQ('TS-PILE'!$D$72:$D$91)=0,0,'TO HOP NLAN'!F12*'TS-PILE'!$D$83/SUMSQ('TS-PILE'!$D$72:$D$91))),IF('TS-PILE'!$B$84="",-1E+99,'TO HOP NLAN'!D12/ncoc+IF(SUMSQ('TS-PILE'!$E$72:$E$91)=0,0,'TO HOP NLAN'!E12*'TS-PILE'!$E$84/SUMSQ('TS-PILE'!$E$72:$E$91))+IF(SUMSQ('TS-PILE'!$D$72:$D$91)=0,0,'TO HOP NLAN'!F12*'TS-PILE'!$D$84/SUMSQ('TS-PILE'!$D$72:$D$91))),IF('TS-PILE'!$B$85="",-1E+99,'TO HOP NLAN'!D12/ncoc+IF(SUMSQ('TS-PILE'!$E$72:$E$91)=0,0,'TO HOP NLAN'!E12*'TS-PILE'!$E$85/SUMSQ('TS-PILE'!$E$72:$E$91))+IF(SUMSQ('TS-PILE'!$D$72:$D$91)=0,0,'TO HOP NLAN'!F12*'TS-PILE'!$D$85/SUMSQ('TS-PILE'!$D$72:$D$91))),IF('TS-PILE'!$B$86="",-1E+99,'TO HOP NLAN'!D12/ncoc+IF(SUMSQ('TS-PILE'!$E$72:$E$91)=0,0,'TO HOP NLAN'!E12*'TS-PILE'!$E$86/SUMSQ('TS-PILE'!$E$72:$E$91))+IF(SUMSQ('TS-PILE'!$D$72:$D$91)=0,0,'TO HOP NLAN'!F12*'TS-PILE'!$D$86/SUMSQ('TS-PILE'!$D$72:$D$91))),IF('TS-PILE'!$B$87="",-1E+99,'TO HOP NLAN'!D12/ncoc+IF(SUMSQ('TS-PILE'!$E$72:$E$91)=0,0,'TO HOP NLAN'!E12*'TS-PILE'!$E$87/SUMSQ('TS-PILE'!$E$72:$E$91))+IF(SUMSQ('TS-PILE'!$D$72:$D$91)=0,0,'TO HOP NLAN'!F12*'TS-PILE'!$D$87/SUMSQ('TS-PILE'!$D$72:$D$91))),IF('TS-PILE'!$B$88="",-1E+99,'TO HOP NLAN'!D12/ncoc+IF(SUMSQ('TS-PILE'!$E$72:$E$91)=0,0,'TO HOP NLAN'!E12*'TS-PILE'!$E$88/SUMSQ('TS-PILE'!$E$72:$E$91))+IF(SUMSQ('TS-PILE'!$D$72:$D$91)=0,0,'TO HOP NLAN'!F12*'TS-PILE'!$D$88/SUMSQ('TS-PILE'!$D$72:$D$91))),IF('TS-PILE'!$B$89="",-1E+99,'TO HOP NLAN'!D12/ncoc+IF(SUMSQ('TS-PILE'!$E$72:$E$91)=0,0,'TO HOP NLAN'!E12*'TS-PILE'!$E$89/SUMSQ('TS-PILE'!$E$72:$E$91))+IF(SUMSQ('TS-PILE'!$D$72:$D$91)=0,0,'TO HOP NLAN'!F12*'TS-PILE'!$D$89/SUMSQ('TS-PILE'!$D$72:$D$91))),IF('TS-PILE'!$B$90="",-1E+99,'TO HOP NLAN'!D12/ncoc+IF(SUMSQ('TS-PILE'!$E$72:$E$91)=0,0,'TO HOP NLAN'!E12*'TS-PILE'!$E$90/SUMSQ('TS-PILE'!$E$72:$E$91))+IF(SUMSQ('TS-PILE'!$D$72:$D$91)=0,0,'TO HOP NLAN'!F12*'TS-PILE'!$D$90/SUMSQ('TS-PILE'!$D$72:$D$91))),IF('TS-PILE'!$B$91="",-1E+99,'TO HOP NLAN'!D12/ncoc+IF(SUMSQ('TS-PILE'!$E$72:$E$91)=0,0,'TO HOP NLAN'!E12*'TS-PILE'!$E$91/SUMSQ('TS-PILE'!$E$72:$E$91))+IF(SUMSQ('TS-PILE'!$D$72:$D$91)=0,0,'TO HOP NLAN'!F12*'TS-PILE'!$D$91/SUMSQ('TS-PILE'!$D$72:$D$91)))))</f>
        <v>0</v>
      </c>
      <c r="D12" s="58">
        <f>IF(A12="",0,MIN(IF('TS-PILE'!$B$72="",1E+99,'TO HOP NLAN'!D12/ncoc+IF(SUMSQ('TS-PILE'!$E$72:$E$91)=0,0,'TO HOP NLAN'!E12*'TS-PILE'!$E$72/SUMSQ('TS-PILE'!$E$72:$E$91))+IF(SUMSQ('TS-PILE'!$D$72:$D$91)=0,0,'TO HOP NLAN'!F12*'TS-PILE'!$D$72/SUMSQ('TS-PILE'!$D$72:$D$91))),IF('TS-PILE'!$B$73="",1E+99,'TO HOP NLAN'!D12/ncoc+IF(SUMSQ('TS-PILE'!$E$72:$E$91)=0,0,'TO HOP NLAN'!E12*'TS-PILE'!$E$73/SUMSQ('TS-PILE'!$E$72:$E$91))+IF(SUMSQ('TS-PILE'!$D$72:$D$91)=0,0,'TO HOP NLAN'!F12*'TS-PILE'!$D$73/SUMSQ('TS-PILE'!$D$72:$D$91))),IF('TS-PILE'!$B$74="",1E+99,'TO HOP NLAN'!D12/ncoc+IF(SUMSQ('TS-PILE'!$E$72:$E$91)=0,0,'TO HOP NLAN'!E12*'TS-PILE'!$E$74/SUMSQ('TS-PILE'!$E$72:$E$91))+IF(SUMSQ('TS-PILE'!$D$72:$D$91)=0,0,'TO HOP NLAN'!F12*'TS-PILE'!$D$74/SUMSQ('TS-PILE'!$D$72:$D$91))),IF('TS-PILE'!$B$75="",1E+99,'TO HOP NLAN'!D12/ncoc+IF(SUMSQ('TS-PILE'!$E$72:$E$91)=0,0,'TO HOP NLAN'!E12*'TS-PILE'!$E$75/SUMSQ('TS-PILE'!$E$72:$E$91))+IF(SUMSQ('TS-PILE'!$D$72:$D$91)=0,0,'TO HOP NLAN'!F12*'TS-PILE'!$D$75/SUMSQ('TS-PILE'!$D$72:$D$91))),IF('TS-PILE'!$B$76="",1E+99,'TO HOP NLAN'!D12/ncoc+IF(SUMSQ('TS-PILE'!$E$72:$E$91)=0,0,'TO HOP NLAN'!E12*'TS-PILE'!$E$76/SUMSQ('TS-PILE'!$E$72:$E$91))+IF(SUMSQ('TS-PILE'!$D$72:$D$91)=0,0,'TO HOP NLAN'!F12*'TS-PILE'!$D$76/SUMSQ('TS-PILE'!$D$72:$D$91))),IF('TS-PILE'!$B$77="",1E+99,'TO HOP NLAN'!D12/ncoc+IF(SUMSQ('TS-PILE'!$E$72:$E$91)=0,0,'TO HOP NLAN'!E12*'TS-PILE'!$E$77/SUMSQ('TS-PILE'!$E$72:$E$91))+IF(SUMSQ('TS-PILE'!$D$72:$D$91)=0,0,'TO HOP NLAN'!F12*'TS-PILE'!$D$77/SUMSQ('TS-PILE'!$D$72:$D$91))),IF('TS-PILE'!$B$78="",1E+99,'TO HOP NLAN'!D12/ncoc+IF(SUMSQ('TS-PILE'!$E$72:$E$91)=0,0,'TO HOP NLAN'!E12*'TS-PILE'!$E$78/SUMSQ('TS-PILE'!$E$72:$E$91))+IF(SUMSQ('TS-PILE'!$D$72:$D$91)=0,0,'TO HOP NLAN'!F12*'TS-PILE'!$D$78/SUMSQ('TS-PILE'!$D$72:$D$91))),IF('TS-PILE'!$B$79="",1E+99,'TO HOP NLAN'!D12/ncoc+IF(SUMSQ('TS-PILE'!$E$72:$E$91)=0,0,'TO HOP NLAN'!E12*'TS-PILE'!$E$79/SUMSQ('TS-PILE'!$E$72:$E$91))+IF(SUMSQ('TS-PILE'!$D$72:$D$91)=0,0,'TO HOP NLAN'!F12*'TS-PILE'!$D$79/SUMSQ('TS-PILE'!$D$72:$D$91))),IF('TS-PILE'!$B$80="",1E+99,'TO HOP NLAN'!D12/ncoc+IF(SUMSQ('TS-PILE'!$E$72:$E$91)=0,0,'TO HOP NLAN'!E12*'TS-PILE'!$E$80/SUMSQ('TS-PILE'!$E$72:$E$91))+IF(SUMSQ('TS-PILE'!$D$72:$D$91)=0,0,'TO HOP NLAN'!F12*'TS-PILE'!$D$80/SUMSQ('TS-PILE'!$D$72:$D$91))),IF('TS-PILE'!$B$81="",1E+99,'TO HOP NLAN'!D12/ncoc+IF(SUMSQ('TS-PILE'!$E$72:$E$91)=0,0,'TO HOP NLAN'!E12*'TS-PILE'!$E$81/SUMSQ('TS-PILE'!$E$72:$E$91))+IF(SUMSQ('TS-PILE'!$D$72:$D$91)=0,0,'TO HOP NLAN'!F12*'TS-PILE'!$D$81/SUMSQ('TS-PILE'!$D$72:$D$91))),IF('TS-PILE'!$B$82="",1E+99,'TO HOP NLAN'!D12/ncoc+IF(SUMSQ('TS-PILE'!$E$72:$E$91)=0,0,'TO HOP NLAN'!E12*'TS-PILE'!$E$82/SUMSQ('TS-PILE'!$E$72:$E$91))+IF(SUMSQ('TS-PILE'!$D$72:$D$91)=0,0,'TO HOP NLAN'!F12*'TS-PILE'!$D$82/SUMSQ('TS-PILE'!$D$72:$D$91))),IF('TS-PILE'!$B$83="",1E+99,'TO HOP NLAN'!D12/ncoc+IF(SUMSQ('TS-PILE'!$E$72:$E$91)=0,0,'TO HOP NLAN'!E12*'TS-PILE'!$E$83/SUMSQ('TS-PILE'!$E$72:$E$91))+IF(SUMSQ('TS-PILE'!$D$72:$D$91)=0,0,'TO HOP NLAN'!F12*'TS-PILE'!$D$83/SUMSQ('TS-PILE'!$D$72:$D$91))),IF('TS-PILE'!$B$84="",1E+99,'TO HOP NLAN'!D12/ncoc+IF(SUMSQ('TS-PILE'!$E$72:$E$91)=0,0,'TO HOP NLAN'!E12*'TS-PILE'!$E$84/SUMSQ('TS-PILE'!$E$72:$E$91))+IF(SUMSQ('TS-PILE'!$D$72:$D$91)=0,0,'TO HOP NLAN'!F12*'TS-PILE'!$D$84/SUMSQ('TS-PILE'!$D$72:$D$91))),IF('TS-PILE'!$B$85="",1E+99,'TO HOP NLAN'!D12/ncoc+IF(SUMSQ('TS-PILE'!$E$72:$E$91)=0,0,'TO HOP NLAN'!E12*'TS-PILE'!$E$85/SUMSQ('TS-PILE'!$E$72:$E$91))+IF(SUMSQ('TS-PILE'!$D$72:$D$91)=0,0,'TO HOP NLAN'!F12*'TS-PILE'!$D$85/SUMSQ('TS-PILE'!$D$72:$D$91))),IF('TS-PILE'!$B$86="",1E+99,'TO HOP NLAN'!D12/ncoc+IF(SUMSQ('TS-PILE'!$E$72:$E$91)=0,0,'TO HOP NLAN'!E12*'TS-PILE'!$E$86/SUMSQ('TS-PILE'!$E$72:$E$91))+IF(SUMSQ('TS-PILE'!$D$72:$D$91)=0,0,'TO HOP NLAN'!F12*'TS-PILE'!$D$86/SUMSQ('TS-PILE'!$D$72:$D$91))),IF('TS-PILE'!$B$87="",1E+99,'TO HOP NLAN'!D12/ncoc+IF(SUMSQ('TS-PILE'!$E$72:$E$91)=0,0,'TO HOP NLAN'!E12*'TS-PILE'!$E$87/SUMSQ('TS-PILE'!$E$72:$E$91))+IF(SUMSQ('TS-PILE'!$D$72:$D$91)=0,0,'TO HOP NLAN'!F12*'TS-PILE'!$D$87/SUMSQ('TS-PILE'!$D$72:$D$91))),IF('TS-PILE'!$B$88="",1E+99,'TO HOP NLAN'!D12/ncoc+IF(SUMSQ('TS-PILE'!$E$72:$E$91)=0,0,'TO HOP NLAN'!E12*'TS-PILE'!$E$88/SUMSQ('TS-PILE'!$E$72:$E$91))+IF(SUMSQ('TS-PILE'!$D$72:$D$91)=0,0,'TO HOP NLAN'!F12*'TS-PILE'!$D$88/SUMSQ('TS-PILE'!$D$72:$D$91))),IF('TS-PILE'!$B$89="",1E+99,'TO HOP NLAN'!D12/ncoc+IF(SUMSQ('TS-PILE'!$E$72:$E$91)=0,0,'TO HOP NLAN'!E12*'TS-PILE'!$E$89/SUMSQ('TS-PILE'!$E$72:$E$91))+IF(SUMSQ('TS-PILE'!$D$72:$D$91)=0,0,'TO HOP NLAN'!F12*'TS-PILE'!$D$89/SUMSQ('TS-PILE'!$D$72:$D$91))),IF('TS-PILE'!$B$90="",1E+99,'TO HOP NLAN'!D12/ncoc+IF(SUMSQ('TS-PILE'!$E$72:$E$91)=0,0,'TO HOP NLAN'!E12*'TS-PILE'!$E$90/SUMSQ('TS-PILE'!$E$72:$E$91))+IF(SUMSQ('TS-PILE'!$D$72:$D$91)=0,0,'TO HOP NLAN'!F12*'TS-PILE'!$D$90/SUMSQ('TS-PILE'!$D$72:$D$91))),IF('TS-PILE'!$B$91="",1E+99,'TO HOP NLAN'!D12/ncoc+IF(SUMSQ('TS-PILE'!$E$72:$E$91)=0,0,'TO HOP NLAN'!E12*'TS-PILE'!$E$91/SUMSQ('TS-PILE'!$E$72:$E$91))+IF(SUMSQ('TS-PILE'!$D$72:$D$91)=0,0,'TO HOP NLAN'!F12*'TS-PILE'!$D$91/SUMSQ('TS-PILE'!$D$72:$D$91)))))</f>
        <v>0</v>
      </c>
      <c r="E12" s="58">
        <f t="shared" si="0"/>
        <v>-9.9999999999999997E+98</v>
      </c>
      <c r="F12" s="58">
        <f t="shared" si="1"/>
        <v>9.9999999999999997E+98</v>
      </c>
      <c r="G12" s="58">
        <f t="shared" si="2"/>
        <v>-9.9999999999999997E+98</v>
      </c>
      <c r="H12" s="58">
        <f t="shared" si="3"/>
        <v>9.9999999999999997E+98</v>
      </c>
    </row>
    <row r="13" spans="1:8" x14ac:dyDescent="0.3">
      <c r="A13" s="42" t="str">
        <f>'TO HOP NLAN'!A13</f>
        <v/>
      </c>
      <c r="B13" s="42" t="str">
        <f>'TO HOP NLAN'!L13</f>
        <v>SERVICE</v>
      </c>
      <c r="C13" s="58">
        <f>IF(A13="",0,MAX(IF('TS-PILE'!$B$72="",-1E+99,'TO HOP NLAN'!D13/ncoc+IF(SUMSQ('TS-PILE'!$E$72:$E$91)=0,0,'TO HOP NLAN'!E13*'TS-PILE'!$E$72/SUMSQ('TS-PILE'!$E$72:$E$91))+IF(SUMSQ('TS-PILE'!$D$72:$D$91)=0,0,'TO HOP NLAN'!F13*'TS-PILE'!$D$72/SUMSQ('TS-PILE'!$D$72:$D$91))),IF('TS-PILE'!$B$73="",-1E+99,'TO HOP NLAN'!D13/ncoc+IF(SUMSQ('TS-PILE'!$E$72:$E$91)=0,0,'TO HOP NLAN'!E13*'TS-PILE'!$E$73/SUMSQ('TS-PILE'!$E$72:$E$91))+IF(SUMSQ('TS-PILE'!$D$72:$D$91)=0,0,'TO HOP NLAN'!F13*'TS-PILE'!$D$73/SUMSQ('TS-PILE'!$D$72:$D$91))),IF('TS-PILE'!$B$74="",-1E+99,'TO HOP NLAN'!D13/ncoc+IF(SUMSQ('TS-PILE'!$E$72:$E$91)=0,0,'TO HOP NLAN'!E13*'TS-PILE'!$E$74/SUMSQ('TS-PILE'!$E$72:$E$91))+IF(SUMSQ('TS-PILE'!$D$72:$D$91)=0,0,'TO HOP NLAN'!F13*'TS-PILE'!$D$74/SUMSQ('TS-PILE'!$D$72:$D$91))),IF('TS-PILE'!$B$75="",-1E+99,'TO HOP NLAN'!D13/ncoc+IF(SUMSQ('TS-PILE'!$E$72:$E$91)=0,0,'TO HOP NLAN'!E13*'TS-PILE'!$E$75/SUMSQ('TS-PILE'!$E$72:$E$91))+IF(SUMSQ('TS-PILE'!$D$72:$D$91)=0,0,'TO HOP NLAN'!F13*'TS-PILE'!$D$75/SUMSQ('TS-PILE'!$D$72:$D$91))),IF('TS-PILE'!$B$76="",-1E+99,'TO HOP NLAN'!D13/ncoc+IF(SUMSQ('TS-PILE'!$E$72:$E$91)=0,0,'TO HOP NLAN'!E13*'TS-PILE'!$E$76/SUMSQ('TS-PILE'!$E$72:$E$91))+IF(SUMSQ('TS-PILE'!$D$72:$D$91)=0,0,'TO HOP NLAN'!F13*'TS-PILE'!$D$76/SUMSQ('TS-PILE'!$D$72:$D$91))),IF('TS-PILE'!$B$77="",-1E+99,'TO HOP NLAN'!D13/ncoc+IF(SUMSQ('TS-PILE'!$E$72:$E$91)=0,0,'TO HOP NLAN'!E13*'TS-PILE'!$E$77/SUMSQ('TS-PILE'!$E$72:$E$91))+IF(SUMSQ('TS-PILE'!$D$72:$D$91)=0,0,'TO HOP NLAN'!F13*'TS-PILE'!$D$77/SUMSQ('TS-PILE'!$D$72:$D$91))),IF('TS-PILE'!$B$78="",-1E+99,'TO HOP NLAN'!D13/ncoc+IF(SUMSQ('TS-PILE'!$E$72:$E$91)=0,0,'TO HOP NLAN'!E13*'TS-PILE'!$E$78/SUMSQ('TS-PILE'!$E$72:$E$91))+IF(SUMSQ('TS-PILE'!$D$72:$D$91)=0,0,'TO HOP NLAN'!F13*'TS-PILE'!$D$78/SUMSQ('TS-PILE'!$D$72:$D$91))),IF('TS-PILE'!$B$79="",-1E+99,'TO HOP NLAN'!D13/ncoc+IF(SUMSQ('TS-PILE'!$E$72:$E$91)=0,0,'TO HOP NLAN'!E13*'TS-PILE'!$E$79/SUMSQ('TS-PILE'!$E$72:$E$91))+IF(SUMSQ('TS-PILE'!$D$72:$D$91)=0,0,'TO HOP NLAN'!F13*'TS-PILE'!$D$79/SUMSQ('TS-PILE'!$D$72:$D$91))),IF('TS-PILE'!$B$80="",-1E+99,'TO HOP NLAN'!D13/ncoc+IF(SUMSQ('TS-PILE'!$E$72:$E$91)=0,0,'TO HOP NLAN'!E13*'TS-PILE'!$E$80/SUMSQ('TS-PILE'!$E$72:$E$91))+IF(SUMSQ('TS-PILE'!$D$72:$D$91)=0,0,'TO HOP NLAN'!F13*'TS-PILE'!$D$80/SUMSQ('TS-PILE'!$D$72:$D$91))),IF('TS-PILE'!$B$81="",-1E+99,'TO HOP NLAN'!D13/ncoc+IF(SUMSQ('TS-PILE'!$E$72:$E$91)=0,0,'TO HOP NLAN'!E13*'TS-PILE'!$E$81/SUMSQ('TS-PILE'!$E$72:$E$91))+IF(SUMSQ('TS-PILE'!$D$72:$D$91)=0,0,'TO HOP NLAN'!F13*'TS-PILE'!$D$81/SUMSQ('TS-PILE'!$D$72:$D$91))),IF('TS-PILE'!$B$82="",-1E+99,'TO HOP NLAN'!D13/ncoc+IF(SUMSQ('TS-PILE'!$E$72:$E$91)=0,0,'TO HOP NLAN'!E13*'TS-PILE'!$E$82/SUMSQ('TS-PILE'!$E$72:$E$91))+IF(SUMSQ('TS-PILE'!$D$72:$D$91)=0,0,'TO HOP NLAN'!F13*'TS-PILE'!$D$82/SUMSQ('TS-PILE'!$D$72:$D$91))),IF('TS-PILE'!$B$83="",-1E+99,'TO HOP NLAN'!D13/ncoc+IF(SUMSQ('TS-PILE'!$E$72:$E$91)=0,0,'TO HOP NLAN'!E13*'TS-PILE'!$E$83/SUMSQ('TS-PILE'!$E$72:$E$91))+IF(SUMSQ('TS-PILE'!$D$72:$D$91)=0,0,'TO HOP NLAN'!F13*'TS-PILE'!$D$83/SUMSQ('TS-PILE'!$D$72:$D$91))),IF('TS-PILE'!$B$84="",-1E+99,'TO HOP NLAN'!D13/ncoc+IF(SUMSQ('TS-PILE'!$E$72:$E$91)=0,0,'TO HOP NLAN'!E13*'TS-PILE'!$E$84/SUMSQ('TS-PILE'!$E$72:$E$91))+IF(SUMSQ('TS-PILE'!$D$72:$D$91)=0,0,'TO HOP NLAN'!F13*'TS-PILE'!$D$84/SUMSQ('TS-PILE'!$D$72:$D$91))),IF('TS-PILE'!$B$85="",-1E+99,'TO HOP NLAN'!D13/ncoc+IF(SUMSQ('TS-PILE'!$E$72:$E$91)=0,0,'TO HOP NLAN'!E13*'TS-PILE'!$E$85/SUMSQ('TS-PILE'!$E$72:$E$91))+IF(SUMSQ('TS-PILE'!$D$72:$D$91)=0,0,'TO HOP NLAN'!F13*'TS-PILE'!$D$85/SUMSQ('TS-PILE'!$D$72:$D$91))),IF('TS-PILE'!$B$86="",-1E+99,'TO HOP NLAN'!D13/ncoc+IF(SUMSQ('TS-PILE'!$E$72:$E$91)=0,0,'TO HOP NLAN'!E13*'TS-PILE'!$E$86/SUMSQ('TS-PILE'!$E$72:$E$91))+IF(SUMSQ('TS-PILE'!$D$72:$D$91)=0,0,'TO HOP NLAN'!F13*'TS-PILE'!$D$86/SUMSQ('TS-PILE'!$D$72:$D$91))),IF('TS-PILE'!$B$87="",-1E+99,'TO HOP NLAN'!D13/ncoc+IF(SUMSQ('TS-PILE'!$E$72:$E$91)=0,0,'TO HOP NLAN'!E13*'TS-PILE'!$E$87/SUMSQ('TS-PILE'!$E$72:$E$91))+IF(SUMSQ('TS-PILE'!$D$72:$D$91)=0,0,'TO HOP NLAN'!F13*'TS-PILE'!$D$87/SUMSQ('TS-PILE'!$D$72:$D$91))),IF('TS-PILE'!$B$88="",-1E+99,'TO HOP NLAN'!D13/ncoc+IF(SUMSQ('TS-PILE'!$E$72:$E$91)=0,0,'TO HOP NLAN'!E13*'TS-PILE'!$E$88/SUMSQ('TS-PILE'!$E$72:$E$91))+IF(SUMSQ('TS-PILE'!$D$72:$D$91)=0,0,'TO HOP NLAN'!F13*'TS-PILE'!$D$88/SUMSQ('TS-PILE'!$D$72:$D$91))),IF('TS-PILE'!$B$89="",-1E+99,'TO HOP NLAN'!D13/ncoc+IF(SUMSQ('TS-PILE'!$E$72:$E$91)=0,0,'TO HOP NLAN'!E13*'TS-PILE'!$E$89/SUMSQ('TS-PILE'!$E$72:$E$91))+IF(SUMSQ('TS-PILE'!$D$72:$D$91)=0,0,'TO HOP NLAN'!F13*'TS-PILE'!$D$89/SUMSQ('TS-PILE'!$D$72:$D$91))),IF('TS-PILE'!$B$90="",-1E+99,'TO HOP NLAN'!D13/ncoc+IF(SUMSQ('TS-PILE'!$E$72:$E$91)=0,0,'TO HOP NLAN'!E13*'TS-PILE'!$E$90/SUMSQ('TS-PILE'!$E$72:$E$91))+IF(SUMSQ('TS-PILE'!$D$72:$D$91)=0,0,'TO HOP NLAN'!F13*'TS-PILE'!$D$90/SUMSQ('TS-PILE'!$D$72:$D$91))),IF('TS-PILE'!$B$91="",-1E+99,'TO HOP NLAN'!D13/ncoc+IF(SUMSQ('TS-PILE'!$E$72:$E$91)=0,0,'TO HOP NLAN'!E13*'TS-PILE'!$E$91/SUMSQ('TS-PILE'!$E$72:$E$91))+IF(SUMSQ('TS-PILE'!$D$72:$D$91)=0,0,'TO HOP NLAN'!F13*'TS-PILE'!$D$91/SUMSQ('TS-PILE'!$D$72:$D$91)))))</f>
        <v>0</v>
      </c>
      <c r="D13" s="58">
        <f>IF(A13="",0,MIN(IF('TS-PILE'!$B$72="",1E+99,'TO HOP NLAN'!D13/ncoc+IF(SUMSQ('TS-PILE'!$E$72:$E$91)=0,0,'TO HOP NLAN'!E13*'TS-PILE'!$E$72/SUMSQ('TS-PILE'!$E$72:$E$91))+IF(SUMSQ('TS-PILE'!$D$72:$D$91)=0,0,'TO HOP NLAN'!F13*'TS-PILE'!$D$72/SUMSQ('TS-PILE'!$D$72:$D$91))),IF('TS-PILE'!$B$73="",1E+99,'TO HOP NLAN'!D13/ncoc+IF(SUMSQ('TS-PILE'!$E$72:$E$91)=0,0,'TO HOP NLAN'!E13*'TS-PILE'!$E$73/SUMSQ('TS-PILE'!$E$72:$E$91))+IF(SUMSQ('TS-PILE'!$D$72:$D$91)=0,0,'TO HOP NLAN'!F13*'TS-PILE'!$D$73/SUMSQ('TS-PILE'!$D$72:$D$91))),IF('TS-PILE'!$B$74="",1E+99,'TO HOP NLAN'!D13/ncoc+IF(SUMSQ('TS-PILE'!$E$72:$E$91)=0,0,'TO HOP NLAN'!E13*'TS-PILE'!$E$74/SUMSQ('TS-PILE'!$E$72:$E$91))+IF(SUMSQ('TS-PILE'!$D$72:$D$91)=0,0,'TO HOP NLAN'!F13*'TS-PILE'!$D$74/SUMSQ('TS-PILE'!$D$72:$D$91))),IF('TS-PILE'!$B$75="",1E+99,'TO HOP NLAN'!D13/ncoc+IF(SUMSQ('TS-PILE'!$E$72:$E$91)=0,0,'TO HOP NLAN'!E13*'TS-PILE'!$E$75/SUMSQ('TS-PILE'!$E$72:$E$91))+IF(SUMSQ('TS-PILE'!$D$72:$D$91)=0,0,'TO HOP NLAN'!F13*'TS-PILE'!$D$75/SUMSQ('TS-PILE'!$D$72:$D$91))),IF('TS-PILE'!$B$76="",1E+99,'TO HOP NLAN'!D13/ncoc+IF(SUMSQ('TS-PILE'!$E$72:$E$91)=0,0,'TO HOP NLAN'!E13*'TS-PILE'!$E$76/SUMSQ('TS-PILE'!$E$72:$E$91))+IF(SUMSQ('TS-PILE'!$D$72:$D$91)=0,0,'TO HOP NLAN'!F13*'TS-PILE'!$D$76/SUMSQ('TS-PILE'!$D$72:$D$91))),IF('TS-PILE'!$B$77="",1E+99,'TO HOP NLAN'!D13/ncoc+IF(SUMSQ('TS-PILE'!$E$72:$E$91)=0,0,'TO HOP NLAN'!E13*'TS-PILE'!$E$77/SUMSQ('TS-PILE'!$E$72:$E$91))+IF(SUMSQ('TS-PILE'!$D$72:$D$91)=0,0,'TO HOP NLAN'!F13*'TS-PILE'!$D$77/SUMSQ('TS-PILE'!$D$72:$D$91))),IF('TS-PILE'!$B$78="",1E+99,'TO HOP NLAN'!D13/ncoc+IF(SUMSQ('TS-PILE'!$E$72:$E$91)=0,0,'TO HOP NLAN'!E13*'TS-PILE'!$E$78/SUMSQ('TS-PILE'!$E$72:$E$91))+IF(SUMSQ('TS-PILE'!$D$72:$D$91)=0,0,'TO HOP NLAN'!F13*'TS-PILE'!$D$78/SUMSQ('TS-PILE'!$D$72:$D$91))),IF('TS-PILE'!$B$79="",1E+99,'TO HOP NLAN'!D13/ncoc+IF(SUMSQ('TS-PILE'!$E$72:$E$91)=0,0,'TO HOP NLAN'!E13*'TS-PILE'!$E$79/SUMSQ('TS-PILE'!$E$72:$E$91))+IF(SUMSQ('TS-PILE'!$D$72:$D$91)=0,0,'TO HOP NLAN'!F13*'TS-PILE'!$D$79/SUMSQ('TS-PILE'!$D$72:$D$91))),IF('TS-PILE'!$B$80="",1E+99,'TO HOP NLAN'!D13/ncoc+IF(SUMSQ('TS-PILE'!$E$72:$E$91)=0,0,'TO HOP NLAN'!E13*'TS-PILE'!$E$80/SUMSQ('TS-PILE'!$E$72:$E$91))+IF(SUMSQ('TS-PILE'!$D$72:$D$91)=0,0,'TO HOP NLAN'!F13*'TS-PILE'!$D$80/SUMSQ('TS-PILE'!$D$72:$D$91))),IF('TS-PILE'!$B$81="",1E+99,'TO HOP NLAN'!D13/ncoc+IF(SUMSQ('TS-PILE'!$E$72:$E$91)=0,0,'TO HOP NLAN'!E13*'TS-PILE'!$E$81/SUMSQ('TS-PILE'!$E$72:$E$91))+IF(SUMSQ('TS-PILE'!$D$72:$D$91)=0,0,'TO HOP NLAN'!F13*'TS-PILE'!$D$81/SUMSQ('TS-PILE'!$D$72:$D$91))),IF('TS-PILE'!$B$82="",1E+99,'TO HOP NLAN'!D13/ncoc+IF(SUMSQ('TS-PILE'!$E$72:$E$91)=0,0,'TO HOP NLAN'!E13*'TS-PILE'!$E$82/SUMSQ('TS-PILE'!$E$72:$E$91))+IF(SUMSQ('TS-PILE'!$D$72:$D$91)=0,0,'TO HOP NLAN'!F13*'TS-PILE'!$D$82/SUMSQ('TS-PILE'!$D$72:$D$91))),IF('TS-PILE'!$B$83="",1E+99,'TO HOP NLAN'!D13/ncoc+IF(SUMSQ('TS-PILE'!$E$72:$E$91)=0,0,'TO HOP NLAN'!E13*'TS-PILE'!$E$83/SUMSQ('TS-PILE'!$E$72:$E$91))+IF(SUMSQ('TS-PILE'!$D$72:$D$91)=0,0,'TO HOP NLAN'!F13*'TS-PILE'!$D$83/SUMSQ('TS-PILE'!$D$72:$D$91))),IF('TS-PILE'!$B$84="",1E+99,'TO HOP NLAN'!D13/ncoc+IF(SUMSQ('TS-PILE'!$E$72:$E$91)=0,0,'TO HOP NLAN'!E13*'TS-PILE'!$E$84/SUMSQ('TS-PILE'!$E$72:$E$91))+IF(SUMSQ('TS-PILE'!$D$72:$D$91)=0,0,'TO HOP NLAN'!F13*'TS-PILE'!$D$84/SUMSQ('TS-PILE'!$D$72:$D$91))),IF('TS-PILE'!$B$85="",1E+99,'TO HOP NLAN'!D13/ncoc+IF(SUMSQ('TS-PILE'!$E$72:$E$91)=0,0,'TO HOP NLAN'!E13*'TS-PILE'!$E$85/SUMSQ('TS-PILE'!$E$72:$E$91))+IF(SUMSQ('TS-PILE'!$D$72:$D$91)=0,0,'TO HOP NLAN'!F13*'TS-PILE'!$D$85/SUMSQ('TS-PILE'!$D$72:$D$91))),IF('TS-PILE'!$B$86="",1E+99,'TO HOP NLAN'!D13/ncoc+IF(SUMSQ('TS-PILE'!$E$72:$E$91)=0,0,'TO HOP NLAN'!E13*'TS-PILE'!$E$86/SUMSQ('TS-PILE'!$E$72:$E$91))+IF(SUMSQ('TS-PILE'!$D$72:$D$91)=0,0,'TO HOP NLAN'!F13*'TS-PILE'!$D$86/SUMSQ('TS-PILE'!$D$72:$D$91))),IF('TS-PILE'!$B$87="",1E+99,'TO HOP NLAN'!D13/ncoc+IF(SUMSQ('TS-PILE'!$E$72:$E$91)=0,0,'TO HOP NLAN'!E13*'TS-PILE'!$E$87/SUMSQ('TS-PILE'!$E$72:$E$91))+IF(SUMSQ('TS-PILE'!$D$72:$D$91)=0,0,'TO HOP NLAN'!F13*'TS-PILE'!$D$87/SUMSQ('TS-PILE'!$D$72:$D$91))),IF('TS-PILE'!$B$88="",1E+99,'TO HOP NLAN'!D13/ncoc+IF(SUMSQ('TS-PILE'!$E$72:$E$91)=0,0,'TO HOP NLAN'!E13*'TS-PILE'!$E$88/SUMSQ('TS-PILE'!$E$72:$E$91))+IF(SUMSQ('TS-PILE'!$D$72:$D$91)=0,0,'TO HOP NLAN'!F13*'TS-PILE'!$D$88/SUMSQ('TS-PILE'!$D$72:$D$91))),IF('TS-PILE'!$B$89="",1E+99,'TO HOP NLAN'!D13/ncoc+IF(SUMSQ('TS-PILE'!$E$72:$E$91)=0,0,'TO HOP NLAN'!E13*'TS-PILE'!$E$89/SUMSQ('TS-PILE'!$E$72:$E$91))+IF(SUMSQ('TS-PILE'!$D$72:$D$91)=0,0,'TO HOP NLAN'!F13*'TS-PILE'!$D$89/SUMSQ('TS-PILE'!$D$72:$D$91))),IF('TS-PILE'!$B$90="",1E+99,'TO HOP NLAN'!D13/ncoc+IF(SUMSQ('TS-PILE'!$E$72:$E$91)=0,0,'TO HOP NLAN'!E13*'TS-PILE'!$E$90/SUMSQ('TS-PILE'!$E$72:$E$91))+IF(SUMSQ('TS-PILE'!$D$72:$D$91)=0,0,'TO HOP NLAN'!F13*'TS-PILE'!$D$90/SUMSQ('TS-PILE'!$D$72:$D$91))),IF('TS-PILE'!$B$91="",1E+99,'TO HOP NLAN'!D13/ncoc+IF(SUMSQ('TS-PILE'!$E$72:$E$91)=0,0,'TO HOP NLAN'!E13*'TS-PILE'!$E$91/SUMSQ('TS-PILE'!$E$72:$E$91))+IF(SUMSQ('TS-PILE'!$D$72:$D$91)=0,0,'TO HOP NLAN'!F13*'TS-PILE'!$D$91/SUMSQ('TS-PILE'!$D$72:$D$91)))))</f>
        <v>0</v>
      </c>
      <c r="E13" s="58">
        <f t="shared" si="0"/>
        <v>-9.9999999999999997E+98</v>
      </c>
      <c r="F13" s="58">
        <f t="shared" si="1"/>
        <v>9.9999999999999997E+98</v>
      </c>
      <c r="G13" s="58">
        <f t="shared" si="2"/>
        <v>-9.9999999999999997E+98</v>
      </c>
      <c r="H13" s="58">
        <f t="shared" si="3"/>
        <v>9.9999999999999997E+98</v>
      </c>
    </row>
    <row r="14" spans="1:8" x14ac:dyDescent="0.3">
      <c r="A14" s="42" t="str">
        <f>'TO HOP NLAN'!A14</f>
        <v/>
      </c>
      <c r="B14" s="42" t="str">
        <f>'TO HOP NLAN'!L14</f>
        <v>SERVICE</v>
      </c>
      <c r="C14" s="58">
        <f>IF(A14="",0,MAX(IF('TS-PILE'!$B$72="",-1E+99,'TO HOP NLAN'!D14/ncoc+IF(SUMSQ('TS-PILE'!$E$72:$E$91)=0,0,'TO HOP NLAN'!E14*'TS-PILE'!$E$72/SUMSQ('TS-PILE'!$E$72:$E$91))+IF(SUMSQ('TS-PILE'!$D$72:$D$91)=0,0,'TO HOP NLAN'!F14*'TS-PILE'!$D$72/SUMSQ('TS-PILE'!$D$72:$D$91))),IF('TS-PILE'!$B$73="",-1E+99,'TO HOP NLAN'!D14/ncoc+IF(SUMSQ('TS-PILE'!$E$72:$E$91)=0,0,'TO HOP NLAN'!E14*'TS-PILE'!$E$73/SUMSQ('TS-PILE'!$E$72:$E$91))+IF(SUMSQ('TS-PILE'!$D$72:$D$91)=0,0,'TO HOP NLAN'!F14*'TS-PILE'!$D$73/SUMSQ('TS-PILE'!$D$72:$D$91))),IF('TS-PILE'!$B$74="",-1E+99,'TO HOP NLAN'!D14/ncoc+IF(SUMSQ('TS-PILE'!$E$72:$E$91)=0,0,'TO HOP NLAN'!E14*'TS-PILE'!$E$74/SUMSQ('TS-PILE'!$E$72:$E$91))+IF(SUMSQ('TS-PILE'!$D$72:$D$91)=0,0,'TO HOP NLAN'!F14*'TS-PILE'!$D$74/SUMSQ('TS-PILE'!$D$72:$D$91))),IF('TS-PILE'!$B$75="",-1E+99,'TO HOP NLAN'!D14/ncoc+IF(SUMSQ('TS-PILE'!$E$72:$E$91)=0,0,'TO HOP NLAN'!E14*'TS-PILE'!$E$75/SUMSQ('TS-PILE'!$E$72:$E$91))+IF(SUMSQ('TS-PILE'!$D$72:$D$91)=0,0,'TO HOP NLAN'!F14*'TS-PILE'!$D$75/SUMSQ('TS-PILE'!$D$72:$D$91))),IF('TS-PILE'!$B$76="",-1E+99,'TO HOP NLAN'!D14/ncoc+IF(SUMSQ('TS-PILE'!$E$72:$E$91)=0,0,'TO HOP NLAN'!E14*'TS-PILE'!$E$76/SUMSQ('TS-PILE'!$E$72:$E$91))+IF(SUMSQ('TS-PILE'!$D$72:$D$91)=0,0,'TO HOP NLAN'!F14*'TS-PILE'!$D$76/SUMSQ('TS-PILE'!$D$72:$D$91))),IF('TS-PILE'!$B$77="",-1E+99,'TO HOP NLAN'!D14/ncoc+IF(SUMSQ('TS-PILE'!$E$72:$E$91)=0,0,'TO HOP NLAN'!E14*'TS-PILE'!$E$77/SUMSQ('TS-PILE'!$E$72:$E$91))+IF(SUMSQ('TS-PILE'!$D$72:$D$91)=0,0,'TO HOP NLAN'!F14*'TS-PILE'!$D$77/SUMSQ('TS-PILE'!$D$72:$D$91))),IF('TS-PILE'!$B$78="",-1E+99,'TO HOP NLAN'!D14/ncoc+IF(SUMSQ('TS-PILE'!$E$72:$E$91)=0,0,'TO HOP NLAN'!E14*'TS-PILE'!$E$78/SUMSQ('TS-PILE'!$E$72:$E$91))+IF(SUMSQ('TS-PILE'!$D$72:$D$91)=0,0,'TO HOP NLAN'!F14*'TS-PILE'!$D$78/SUMSQ('TS-PILE'!$D$72:$D$91))),IF('TS-PILE'!$B$79="",-1E+99,'TO HOP NLAN'!D14/ncoc+IF(SUMSQ('TS-PILE'!$E$72:$E$91)=0,0,'TO HOP NLAN'!E14*'TS-PILE'!$E$79/SUMSQ('TS-PILE'!$E$72:$E$91))+IF(SUMSQ('TS-PILE'!$D$72:$D$91)=0,0,'TO HOP NLAN'!F14*'TS-PILE'!$D$79/SUMSQ('TS-PILE'!$D$72:$D$91))),IF('TS-PILE'!$B$80="",-1E+99,'TO HOP NLAN'!D14/ncoc+IF(SUMSQ('TS-PILE'!$E$72:$E$91)=0,0,'TO HOP NLAN'!E14*'TS-PILE'!$E$80/SUMSQ('TS-PILE'!$E$72:$E$91))+IF(SUMSQ('TS-PILE'!$D$72:$D$91)=0,0,'TO HOP NLAN'!F14*'TS-PILE'!$D$80/SUMSQ('TS-PILE'!$D$72:$D$91))),IF('TS-PILE'!$B$81="",-1E+99,'TO HOP NLAN'!D14/ncoc+IF(SUMSQ('TS-PILE'!$E$72:$E$91)=0,0,'TO HOP NLAN'!E14*'TS-PILE'!$E$81/SUMSQ('TS-PILE'!$E$72:$E$91))+IF(SUMSQ('TS-PILE'!$D$72:$D$91)=0,0,'TO HOP NLAN'!F14*'TS-PILE'!$D$81/SUMSQ('TS-PILE'!$D$72:$D$91))),IF('TS-PILE'!$B$82="",-1E+99,'TO HOP NLAN'!D14/ncoc+IF(SUMSQ('TS-PILE'!$E$72:$E$91)=0,0,'TO HOP NLAN'!E14*'TS-PILE'!$E$82/SUMSQ('TS-PILE'!$E$72:$E$91))+IF(SUMSQ('TS-PILE'!$D$72:$D$91)=0,0,'TO HOP NLAN'!F14*'TS-PILE'!$D$82/SUMSQ('TS-PILE'!$D$72:$D$91))),IF('TS-PILE'!$B$83="",-1E+99,'TO HOP NLAN'!D14/ncoc+IF(SUMSQ('TS-PILE'!$E$72:$E$91)=0,0,'TO HOP NLAN'!E14*'TS-PILE'!$E$83/SUMSQ('TS-PILE'!$E$72:$E$91))+IF(SUMSQ('TS-PILE'!$D$72:$D$91)=0,0,'TO HOP NLAN'!F14*'TS-PILE'!$D$83/SUMSQ('TS-PILE'!$D$72:$D$91))),IF('TS-PILE'!$B$84="",-1E+99,'TO HOP NLAN'!D14/ncoc+IF(SUMSQ('TS-PILE'!$E$72:$E$91)=0,0,'TO HOP NLAN'!E14*'TS-PILE'!$E$84/SUMSQ('TS-PILE'!$E$72:$E$91))+IF(SUMSQ('TS-PILE'!$D$72:$D$91)=0,0,'TO HOP NLAN'!F14*'TS-PILE'!$D$84/SUMSQ('TS-PILE'!$D$72:$D$91))),IF('TS-PILE'!$B$85="",-1E+99,'TO HOP NLAN'!D14/ncoc+IF(SUMSQ('TS-PILE'!$E$72:$E$91)=0,0,'TO HOP NLAN'!E14*'TS-PILE'!$E$85/SUMSQ('TS-PILE'!$E$72:$E$91))+IF(SUMSQ('TS-PILE'!$D$72:$D$91)=0,0,'TO HOP NLAN'!F14*'TS-PILE'!$D$85/SUMSQ('TS-PILE'!$D$72:$D$91))),IF('TS-PILE'!$B$86="",-1E+99,'TO HOP NLAN'!D14/ncoc+IF(SUMSQ('TS-PILE'!$E$72:$E$91)=0,0,'TO HOP NLAN'!E14*'TS-PILE'!$E$86/SUMSQ('TS-PILE'!$E$72:$E$91))+IF(SUMSQ('TS-PILE'!$D$72:$D$91)=0,0,'TO HOP NLAN'!F14*'TS-PILE'!$D$86/SUMSQ('TS-PILE'!$D$72:$D$91))),IF('TS-PILE'!$B$87="",-1E+99,'TO HOP NLAN'!D14/ncoc+IF(SUMSQ('TS-PILE'!$E$72:$E$91)=0,0,'TO HOP NLAN'!E14*'TS-PILE'!$E$87/SUMSQ('TS-PILE'!$E$72:$E$91))+IF(SUMSQ('TS-PILE'!$D$72:$D$91)=0,0,'TO HOP NLAN'!F14*'TS-PILE'!$D$87/SUMSQ('TS-PILE'!$D$72:$D$91))),IF('TS-PILE'!$B$88="",-1E+99,'TO HOP NLAN'!D14/ncoc+IF(SUMSQ('TS-PILE'!$E$72:$E$91)=0,0,'TO HOP NLAN'!E14*'TS-PILE'!$E$88/SUMSQ('TS-PILE'!$E$72:$E$91))+IF(SUMSQ('TS-PILE'!$D$72:$D$91)=0,0,'TO HOP NLAN'!F14*'TS-PILE'!$D$88/SUMSQ('TS-PILE'!$D$72:$D$91))),IF('TS-PILE'!$B$89="",-1E+99,'TO HOP NLAN'!D14/ncoc+IF(SUMSQ('TS-PILE'!$E$72:$E$91)=0,0,'TO HOP NLAN'!E14*'TS-PILE'!$E$89/SUMSQ('TS-PILE'!$E$72:$E$91))+IF(SUMSQ('TS-PILE'!$D$72:$D$91)=0,0,'TO HOP NLAN'!F14*'TS-PILE'!$D$89/SUMSQ('TS-PILE'!$D$72:$D$91))),IF('TS-PILE'!$B$90="",-1E+99,'TO HOP NLAN'!D14/ncoc+IF(SUMSQ('TS-PILE'!$E$72:$E$91)=0,0,'TO HOP NLAN'!E14*'TS-PILE'!$E$90/SUMSQ('TS-PILE'!$E$72:$E$91))+IF(SUMSQ('TS-PILE'!$D$72:$D$91)=0,0,'TO HOP NLAN'!F14*'TS-PILE'!$D$90/SUMSQ('TS-PILE'!$D$72:$D$91))),IF('TS-PILE'!$B$91="",-1E+99,'TO HOP NLAN'!D14/ncoc+IF(SUMSQ('TS-PILE'!$E$72:$E$91)=0,0,'TO HOP NLAN'!E14*'TS-PILE'!$E$91/SUMSQ('TS-PILE'!$E$72:$E$91))+IF(SUMSQ('TS-PILE'!$D$72:$D$91)=0,0,'TO HOP NLAN'!F14*'TS-PILE'!$D$91/SUMSQ('TS-PILE'!$D$72:$D$91)))))</f>
        <v>0</v>
      </c>
      <c r="D14" s="58">
        <f>IF(A14="",0,MIN(IF('TS-PILE'!$B$72="",1E+99,'TO HOP NLAN'!D14/ncoc+IF(SUMSQ('TS-PILE'!$E$72:$E$91)=0,0,'TO HOP NLAN'!E14*'TS-PILE'!$E$72/SUMSQ('TS-PILE'!$E$72:$E$91))+IF(SUMSQ('TS-PILE'!$D$72:$D$91)=0,0,'TO HOP NLAN'!F14*'TS-PILE'!$D$72/SUMSQ('TS-PILE'!$D$72:$D$91))),IF('TS-PILE'!$B$73="",1E+99,'TO HOP NLAN'!D14/ncoc+IF(SUMSQ('TS-PILE'!$E$72:$E$91)=0,0,'TO HOP NLAN'!E14*'TS-PILE'!$E$73/SUMSQ('TS-PILE'!$E$72:$E$91))+IF(SUMSQ('TS-PILE'!$D$72:$D$91)=0,0,'TO HOP NLAN'!F14*'TS-PILE'!$D$73/SUMSQ('TS-PILE'!$D$72:$D$91))),IF('TS-PILE'!$B$74="",1E+99,'TO HOP NLAN'!D14/ncoc+IF(SUMSQ('TS-PILE'!$E$72:$E$91)=0,0,'TO HOP NLAN'!E14*'TS-PILE'!$E$74/SUMSQ('TS-PILE'!$E$72:$E$91))+IF(SUMSQ('TS-PILE'!$D$72:$D$91)=0,0,'TO HOP NLAN'!F14*'TS-PILE'!$D$74/SUMSQ('TS-PILE'!$D$72:$D$91))),IF('TS-PILE'!$B$75="",1E+99,'TO HOP NLAN'!D14/ncoc+IF(SUMSQ('TS-PILE'!$E$72:$E$91)=0,0,'TO HOP NLAN'!E14*'TS-PILE'!$E$75/SUMSQ('TS-PILE'!$E$72:$E$91))+IF(SUMSQ('TS-PILE'!$D$72:$D$91)=0,0,'TO HOP NLAN'!F14*'TS-PILE'!$D$75/SUMSQ('TS-PILE'!$D$72:$D$91))),IF('TS-PILE'!$B$76="",1E+99,'TO HOP NLAN'!D14/ncoc+IF(SUMSQ('TS-PILE'!$E$72:$E$91)=0,0,'TO HOP NLAN'!E14*'TS-PILE'!$E$76/SUMSQ('TS-PILE'!$E$72:$E$91))+IF(SUMSQ('TS-PILE'!$D$72:$D$91)=0,0,'TO HOP NLAN'!F14*'TS-PILE'!$D$76/SUMSQ('TS-PILE'!$D$72:$D$91))),IF('TS-PILE'!$B$77="",1E+99,'TO HOP NLAN'!D14/ncoc+IF(SUMSQ('TS-PILE'!$E$72:$E$91)=0,0,'TO HOP NLAN'!E14*'TS-PILE'!$E$77/SUMSQ('TS-PILE'!$E$72:$E$91))+IF(SUMSQ('TS-PILE'!$D$72:$D$91)=0,0,'TO HOP NLAN'!F14*'TS-PILE'!$D$77/SUMSQ('TS-PILE'!$D$72:$D$91))),IF('TS-PILE'!$B$78="",1E+99,'TO HOP NLAN'!D14/ncoc+IF(SUMSQ('TS-PILE'!$E$72:$E$91)=0,0,'TO HOP NLAN'!E14*'TS-PILE'!$E$78/SUMSQ('TS-PILE'!$E$72:$E$91))+IF(SUMSQ('TS-PILE'!$D$72:$D$91)=0,0,'TO HOP NLAN'!F14*'TS-PILE'!$D$78/SUMSQ('TS-PILE'!$D$72:$D$91))),IF('TS-PILE'!$B$79="",1E+99,'TO HOP NLAN'!D14/ncoc+IF(SUMSQ('TS-PILE'!$E$72:$E$91)=0,0,'TO HOP NLAN'!E14*'TS-PILE'!$E$79/SUMSQ('TS-PILE'!$E$72:$E$91))+IF(SUMSQ('TS-PILE'!$D$72:$D$91)=0,0,'TO HOP NLAN'!F14*'TS-PILE'!$D$79/SUMSQ('TS-PILE'!$D$72:$D$91))),IF('TS-PILE'!$B$80="",1E+99,'TO HOP NLAN'!D14/ncoc+IF(SUMSQ('TS-PILE'!$E$72:$E$91)=0,0,'TO HOP NLAN'!E14*'TS-PILE'!$E$80/SUMSQ('TS-PILE'!$E$72:$E$91))+IF(SUMSQ('TS-PILE'!$D$72:$D$91)=0,0,'TO HOP NLAN'!F14*'TS-PILE'!$D$80/SUMSQ('TS-PILE'!$D$72:$D$91))),IF('TS-PILE'!$B$81="",1E+99,'TO HOP NLAN'!D14/ncoc+IF(SUMSQ('TS-PILE'!$E$72:$E$91)=0,0,'TO HOP NLAN'!E14*'TS-PILE'!$E$81/SUMSQ('TS-PILE'!$E$72:$E$91))+IF(SUMSQ('TS-PILE'!$D$72:$D$91)=0,0,'TO HOP NLAN'!F14*'TS-PILE'!$D$81/SUMSQ('TS-PILE'!$D$72:$D$91))),IF('TS-PILE'!$B$82="",1E+99,'TO HOP NLAN'!D14/ncoc+IF(SUMSQ('TS-PILE'!$E$72:$E$91)=0,0,'TO HOP NLAN'!E14*'TS-PILE'!$E$82/SUMSQ('TS-PILE'!$E$72:$E$91))+IF(SUMSQ('TS-PILE'!$D$72:$D$91)=0,0,'TO HOP NLAN'!F14*'TS-PILE'!$D$82/SUMSQ('TS-PILE'!$D$72:$D$91))),IF('TS-PILE'!$B$83="",1E+99,'TO HOP NLAN'!D14/ncoc+IF(SUMSQ('TS-PILE'!$E$72:$E$91)=0,0,'TO HOP NLAN'!E14*'TS-PILE'!$E$83/SUMSQ('TS-PILE'!$E$72:$E$91))+IF(SUMSQ('TS-PILE'!$D$72:$D$91)=0,0,'TO HOP NLAN'!F14*'TS-PILE'!$D$83/SUMSQ('TS-PILE'!$D$72:$D$91))),IF('TS-PILE'!$B$84="",1E+99,'TO HOP NLAN'!D14/ncoc+IF(SUMSQ('TS-PILE'!$E$72:$E$91)=0,0,'TO HOP NLAN'!E14*'TS-PILE'!$E$84/SUMSQ('TS-PILE'!$E$72:$E$91))+IF(SUMSQ('TS-PILE'!$D$72:$D$91)=0,0,'TO HOP NLAN'!F14*'TS-PILE'!$D$84/SUMSQ('TS-PILE'!$D$72:$D$91))),IF('TS-PILE'!$B$85="",1E+99,'TO HOP NLAN'!D14/ncoc+IF(SUMSQ('TS-PILE'!$E$72:$E$91)=0,0,'TO HOP NLAN'!E14*'TS-PILE'!$E$85/SUMSQ('TS-PILE'!$E$72:$E$91))+IF(SUMSQ('TS-PILE'!$D$72:$D$91)=0,0,'TO HOP NLAN'!F14*'TS-PILE'!$D$85/SUMSQ('TS-PILE'!$D$72:$D$91))),IF('TS-PILE'!$B$86="",1E+99,'TO HOP NLAN'!D14/ncoc+IF(SUMSQ('TS-PILE'!$E$72:$E$91)=0,0,'TO HOP NLAN'!E14*'TS-PILE'!$E$86/SUMSQ('TS-PILE'!$E$72:$E$91))+IF(SUMSQ('TS-PILE'!$D$72:$D$91)=0,0,'TO HOP NLAN'!F14*'TS-PILE'!$D$86/SUMSQ('TS-PILE'!$D$72:$D$91))),IF('TS-PILE'!$B$87="",1E+99,'TO HOP NLAN'!D14/ncoc+IF(SUMSQ('TS-PILE'!$E$72:$E$91)=0,0,'TO HOP NLAN'!E14*'TS-PILE'!$E$87/SUMSQ('TS-PILE'!$E$72:$E$91))+IF(SUMSQ('TS-PILE'!$D$72:$D$91)=0,0,'TO HOP NLAN'!F14*'TS-PILE'!$D$87/SUMSQ('TS-PILE'!$D$72:$D$91))),IF('TS-PILE'!$B$88="",1E+99,'TO HOP NLAN'!D14/ncoc+IF(SUMSQ('TS-PILE'!$E$72:$E$91)=0,0,'TO HOP NLAN'!E14*'TS-PILE'!$E$88/SUMSQ('TS-PILE'!$E$72:$E$91))+IF(SUMSQ('TS-PILE'!$D$72:$D$91)=0,0,'TO HOP NLAN'!F14*'TS-PILE'!$D$88/SUMSQ('TS-PILE'!$D$72:$D$91))),IF('TS-PILE'!$B$89="",1E+99,'TO HOP NLAN'!D14/ncoc+IF(SUMSQ('TS-PILE'!$E$72:$E$91)=0,0,'TO HOP NLAN'!E14*'TS-PILE'!$E$89/SUMSQ('TS-PILE'!$E$72:$E$91))+IF(SUMSQ('TS-PILE'!$D$72:$D$91)=0,0,'TO HOP NLAN'!F14*'TS-PILE'!$D$89/SUMSQ('TS-PILE'!$D$72:$D$91))),IF('TS-PILE'!$B$90="",1E+99,'TO HOP NLAN'!D14/ncoc+IF(SUMSQ('TS-PILE'!$E$72:$E$91)=0,0,'TO HOP NLAN'!E14*'TS-PILE'!$E$90/SUMSQ('TS-PILE'!$E$72:$E$91))+IF(SUMSQ('TS-PILE'!$D$72:$D$91)=0,0,'TO HOP NLAN'!F14*'TS-PILE'!$D$90/SUMSQ('TS-PILE'!$D$72:$D$91))),IF('TS-PILE'!$B$91="",1E+99,'TO HOP NLAN'!D14/ncoc+IF(SUMSQ('TS-PILE'!$E$72:$E$91)=0,0,'TO HOP NLAN'!E14*'TS-PILE'!$E$91/SUMSQ('TS-PILE'!$E$72:$E$91))+IF(SUMSQ('TS-PILE'!$D$72:$D$91)=0,0,'TO HOP NLAN'!F14*'TS-PILE'!$D$91/SUMSQ('TS-PILE'!$D$72:$D$91)))))</f>
        <v>0</v>
      </c>
      <c r="E14" s="58">
        <f t="shared" si="0"/>
        <v>-9.9999999999999997E+98</v>
      </c>
      <c r="F14" s="58">
        <f t="shared" si="1"/>
        <v>9.9999999999999997E+98</v>
      </c>
      <c r="G14" s="58">
        <f t="shared" si="2"/>
        <v>-9.9999999999999997E+98</v>
      </c>
      <c r="H14" s="58">
        <f t="shared" si="3"/>
        <v>9.9999999999999997E+98</v>
      </c>
    </row>
    <row r="15" spans="1:8" x14ac:dyDescent="0.3">
      <c r="A15" s="42" t="str">
        <f>'TO HOP NLAN'!A15</f>
        <v/>
      </c>
      <c r="B15" s="42" t="str">
        <f>'TO HOP NLAN'!L15</f>
        <v>SERVICE</v>
      </c>
      <c r="C15" s="58">
        <f>IF(A15="",0,MAX(IF('TS-PILE'!$B$72="",-1E+99,'TO HOP NLAN'!D15/ncoc+IF(SUMSQ('TS-PILE'!$E$72:$E$91)=0,0,'TO HOP NLAN'!E15*'TS-PILE'!$E$72/SUMSQ('TS-PILE'!$E$72:$E$91))+IF(SUMSQ('TS-PILE'!$D$72:$D$91)=0,0,'TO HOP NLAN'!F15*'TS-PILE'!$D$72/SUMSQ('TS-PILE'!$D$72:$D$91))),IF('TS-PILE'!$B$73="",-1E+99,'TO HOP NLAN'!D15/ncoc+IF(SUMSQ('TS-PILE'!$E$72:$E$91)=0,0,'TO HOP NLAN'!E15*'TS-PILE'!$E$73/SUMSQ('TS-PILE'!$E$72:$E$91))+IF(SUMSQ('TS-PILE'!$D$72:$D$91)=0,0,'TO HOP NLAN'!F15*'TS-PILE'!$D$73/SUMSQ('TS-PILE'!$D$72:$D$91))),IF('TS-PILE'!$B$74="",-1E+99,'TO HOP NLAN'!D15/ncoc+IF(SUMSQ('TS-PILE'!$E$72:$E$91)=0,0,'TO HOP NLAN'!E15*'TS-PILE'!$E$74/SUMSQ('TS-PILE'!$E$72:$E$91))+IF(SUMSQ('TS-PILE'!$D$72:$D$91)=0,0,'TO HOP NLAN'!F15*'TS-PILE'!$D$74/SUMSQ('TS-PILE'!$D$72:$D$91))),IF('TS-PILE'!$B$75="",-1E+99,'TO HOP NLAN'!D15/ncoc+IF(SUMSQ('TS-PILE'!$E$72:$E$91)=0,0,'TO HOP NLAN'!E15*'TS-PILE'!$E$75/SUMSQ('TS-PILE'!$E$72:$E$91))+IF(SUMSQ('TS-PILE'!$D$72:$D$91)=0,0,'TO HOP NLAN'!F15*'TS-PILE'!$D$75/SUMSQ('TS-PILE'!$D$72:$D$91))),IF('TS-PILE'!$B$76="",-1E+99,'TO HOP NLAN'!D15/ncoc+IF(SUMSQ('TS-PILE'!$E$72:$E$91)=0,0,'TO HOP NLAN'!E15*'TS-PILE'!$E$76/SUMSQ('TS-PILE'!$E$72:$E$91))+IF(SUMSQ('TS-PILE'!$D$72:$D$91)=0,0,'TO HOP NLAN'!F15*'TS-PILE'!$D$76/SUMSQ('TS-PILE'!$D$72:$D$91))),IF('TS-PILE'!$B$77="",-1E+99,'TO HOP NLAN'!D15/ncoc+IF(SUMSQ('TS-PILE'!$E$72:$E$91)=0,0,'TO HOP NLAN'!E15*'TS-PILE'!$E$77/SUMSQ('TS-PILE'!$E$72:$E$91))+IF(SUMSQ('TS-PILE'!$D$72:$D$91)=0,0,'TO HOP NLAN'!F15*'TS-PILE'!$D$77/SUMSQ('TS-PILE'!$D$72:$D$91))),IF('TS-PILE'!$B$78="",-1E+99,'TO HOP NLAN'!D15/ncoc+IF(SUMSQ('TS-PILE'!$E$72:$E$91)=0,0,'TO HOP NLAN'!E15*'TS-PILE'!$E$78/SUMSQ('TS-PILE'!$E$72:$E$91))+IF(SUMSQ('TS-PILE'!$D$72:$D$91)=0,0,'TO HOP NLAN'!F15*'TS-PILE'!$D$78/SUMSQ('TS-PILE'!$D$72:$D$91))),IF('TS-PILE'!$B$79="",-1E+99,'TO HOP NLAN'!D15/ncoc+IF(SUMSQ('TS-PILE'!$E$72:$E$91)=0,0,'TO HOP NLAN'!E15*'TS-PILE'!$E$79/SUMSQ('TS-PILE'!$E$72:$E$91))+IF(SUMSQ('TS-PILE'!$D$72:$D$91)=0,0,'TO HOP NLAN'!F15*'TS-PILE'!$D$79/SUMSQ('TS-PILE'!$D$72:$D$91))),IF('TS-PILE'!$B$80="",-1E+99,'TO HOP NLAN'!D15/ncoc+IF(SUMSQ('TS-PILE'!$E$72:$E$91)=0,0,'TO HOP NLAN'!E15*'TS-PILE'!$E$80/SUMSQ('TS-PILE'!$E$72:$E$91))+IF(SUMSQ('TS-PILE'!$D$72:$D$91)=0,0,'TO HOP NLAN'!F15*'TS-PILE'!$D$80/SUMSQ('TS-PILE'!$D$72:$D$91))),IF('TS-PILE'!$B$81="",-1E+99,'TO HOP NLAN'!D15/ncoc+IF(SUMSQ('TS-PILE'!$E$72:$E$91)=0,0,'TO HOP NLAN'!E15*'TS-PILE'!$E$81/SUMSQ('TS-PILE'!$E$72:$E$91))+IF(SUMSQ('TS-PILE'!$D$72:$D$91)=0,0,'TO HOP NLAN'!F15*'TS-PILE'!$D$81/SUMSQ('TS-PILE'!$D$72:$D$91))),IF('TS-PILE'!$B$82="",-1E+99,'TO HOP NLAN'!D15/ncoc+IF(SUMSQ('TS-PILE'!$E$72:$E$91)=0,0,'TO HOP NLAN'!E15*'TS-PILE'!$E$82/SUMSQ('TS-PILE'!$E$72:$E$91))+IF(SUMSQ('TS-PILE'!$D$72:$D$91)=0,0,'TO HOP NLAN'!F15*'TS-PILE'!$D$82/SUMSQ('TS-PILE'!$D$72:$D$91))),IF('TS-PILE'!$B$83="",-1E+99,'TO HOP NLAN'!D15/ncoc+IF(SUMSQ('TS-PILE'!$E$72:$E$91)=0,0,'TO HOP NLAN'!E15*'TS-PILE'!$E$83/SUMSQ('TS-PILE'!$E$72:$E$91))+IF(SUMSQ('TS-PILE'!$D$72:$D$91)=0,0,'TO HOP NLAN'!F15*'TS-PILE'!$D$83/SUMSQ('TS-PILE'!$D$72:$D$91))),IF('TS-PILE'!$B$84="",-1E+99,'TO HOP NLAN'!D15/ncoc+IF(SUMSQ('TS-PILE'!$E$72:$E$91)=0,0,'TO HOP NLAN'!E15*'TS-PILE'!$E$84/SUMSQ('TS-PILE'!$E$72:$E$91))+IF(SUMSQ('TS-PILE'!$D$72:$D$91)=0,0,'TO HOP NLAN'!F15*'TS-PILE'!$D$84/SUMSQ('TS-PILE'!$D$72:$D$91))),IF('TS-PILE'!$B$85="",-1E+99,'TO HOP NLAN'!D15/ncoc+IF(SUMSQ('TS-PILE'!$E$72:$E$91)=0,0,'TO HOP NLAN'!E15*'TS-PILE'!$E$85/SUMSQ('TS-PILE'!$E$72:$E$91))+IF(SUMSQ('TS-PILE'!$D$72:$D$91)=0,0,'TO HOP NLAN'!F15*'TS-PILE'!$D$85/SUMSQ('TS-PILE'!$D$72:$D$91))),IF('TS-PILE'!$B$86="",-1E+99,'TO HOP NLAN'!D15/ncoc+IF(SUMSQ('TS-PILE'!$E$72:$E$91)=0,0,'TO HOP NLAN'!E15*'TS-PILE'!$E$86/SUMSQ('TS-PILE'!$E$72:$E$91))+IF(SUMSQ('TS-PILE'!$D$72:$D$91)=0,0,'TO HOP NLAN'!F15*'TS-PILE'!$D$86/SUMSQ('TS-PILE'!$D$72:$D$91))),IF('TS-PILE'!$B$87="",-1E+99,'TO HOP NLAN'!D15/ncoc+IF(SUMSQ('TS-PILE'!$E$72:$E$91)=0,0,'TO HOP NLAN'!E15*'TS-PILE'!$E$87/SUMSQ('TS-PILE'!$E$72:$E$91))+IF(SUMSQ('TS-PILE'!$D$72:$D$91)=0,0,'TO HOP NLAN'!F15*'TS-PILE'!$D$87/SUMSQ('TS-PILE'!$D$72:$D$91))),IF('TS-PILE'!$B$88="",-1E+99,'TO HOP NLAN'!D15/ncoc+IF(SUMSQ('TS-PILE'!$E$72:$E$91)=0,0,'TO HOP NLAN'!E15*'TS-PILE'!$E$88/SUMSQ('TS-PILE'!$E$72:$E$91))+IF(SUMSQ('TS-PILE'!$D$72:$D$91)=0,0,'TO HOP NLAN'!F15*'TS-PILE'!$D$88/SUMSQ('TS-PILE'!$D$72:$D$91))),IF('TS-PILE'!$B$89="",-1E+99,'TO HOP NLAN'!D15/ncoc+IF(SUMSQ('TS-PILE'!$E$72:$E$91)=0,0,'TO HOP NLAN'!E15*'TS-PILE'!$E$89/SUMSQ('TS-PILE'!$E$72:$E$91))+IF(SUMSQ('TS-PILE'!$D$72:$D$91)=0,0,'TO HOP NLAN'!F15*'TS-PILE'!$D$89/SUMSQ('TS-PILE'!$D$72:$D$91))),IF('TS-PILE'!$B$90="",-1E+99,'TO HOP NLAN'!D15/ncoc+IF(SUMSQ('TS-PILE'!$E$72:$E$91)=0,0,'TO HOP NLAN'!E15*'TS-PILE'!$E$90/SUMSQ('TS-PILE'!$E$72:$E$91))+IF(SUMSQ('TS-PILE'!$D$72:$D$91)=0,0,'TO HOP NLAN'!F15*'TS-PILE'!$D$90/SUMSQ('TS-PILE'!$D$72:$D$91))),IF('TS-PILE'!$B$91="",-1E+99,'TO HOP NLAN'!D15/ncoc+IF(SUMSQ('TS-PILE'!$E$72:$E$91)=0,0,'TO HOP NLAN'!E15*'TS-PILE'!$E$91/SUMSQ('TS-PILE'!$E$72:$E$91))+IF(SUMSQ('TS-PILE'!$D$72:$D$91)=0,0,'TO HOP NLAN'!F15*'TS-PILE'!$D$91/SUMSQ('TS-PILE'!$D$72:$D$91)))))</f>
        <v>0</v>
      </c>
      <c r="D15" s="58">
        <f>IF(A15="",0,MIN(IF('TS-PILE'!$B$72="",1E+99,'TO HOP NLAN'!D15/ncoc+IF(SUMSQ('TS-PILE'!$E$72:$E$91)=0,0,'TO HOP NLAN'!E15*'TS-PILE'!$E$72/SUMSQ('TS-PILE'!$E$72:$E$91))+IF(SUMSQ('TS-PILE'!$D$72:$D$91)=0,0,'TO HOP NLAN'!F15*'TS-PILE'!$D$72/SUMSQ('TS-PILE'!$D$72:$D$91))),IF('TS-PILE'!$B$73="",1E+99,'TO HOP NLAN'!D15/ncoc+IF(SUMSQ('TS-PILE'!$E$72:$E$91)=0,0,'TO HOP NLAN'!E15*'TS-PILE'!$E$73/SUMSQ('TS-PILE'!$E$72:$E$91))+IF(SUMSQ('TS-PILE'!$D$72:$D$91)=0,0,'TO HOP NLAN'!F15*'TS-PILE'!$D$73/SUMSQ('TS-PILE'!$D$72:$D$91))),IF('TS-PILE'!$B$74="",1E+99,'TO HOP NLAN'!D15/ncoc+IF(SUMSQ('TS-PILE'!$E$72:$E$91)=0,0,'TO HOP NLAN'!E15*'TS-PILE'!$E$74/SUMSQ('TS-PILE'!$E$72:$E$91))+IF(SUMSQ('TS-PILE'!$D$72:$D$91)=0,0,'TO HOP NLAN'!F15*'TS-PILE'!$D$74/SUMSQ('TS-PILE'!$D$72:$D$91))),IF('TS-PILE'!$B$75="",1E+99,'TO HOP NLAN'!D15/ncoc+IF(SUMSQ('TS-PILE'!$E$72:$E$91)=0,0,'TO HOP NLAN'!E15*'TS-PILE'!$E$75/SUMSQ('TS-PILE'!$E$72:$E$91))+IF(SUMSQ('TS-PILE'!$D$72:$D$91)=0,0,'TO HOP NLAN'!F15*'TS-PILE'!$D$75/SUMSQ('TS-PILE'!$D$72:$D$91))),IF('TS-PILE'!$B$76="",1E+99,'TO HOP NLAN'!D15/ncoc+IF(SUMSQ('TS-PILE'!$E$72:$E$91)=0,0,'TO HOP NLAN'!E15*'TS-PILE'!$E$76/SUMSQ('TS-PILE'!$E$72:$E$91))+IF(SUMSQ('TS-PILE'!$D$72:$D$91)=0,0,'TO HOP NLAN'!F15*'TS-PILE'!$D$76/SUMSQ('TS-PILE'!$D$72:$D$91))),IF('TS-PILE'!$B$77="",1E+99,'TO HOP NLAN'!D15/ncoc+IF(SUMSQ('TS-PILE'!$E$72:$E$91)=0,0,'TO HOP NLAN'!E15*'TS-PILE'!$E$77/SUMSQ('TS-PILE'!$E$72:$E$91))+IF(SUMSQ('TS-PILE'!$D$72:$D$91)=0,0,'TO HOP NLAN'!F15*'TS-PILE'!$D$77/SUMSQ('TS-PILE'!$D$72:$D$91))),IF('TS-PILE'!$B$78="",1E+99,'TO HOP NLAN'!D15/ncoc+IF(SUMSQ('TS-PILE'!$E$72:$E$91)=0,0,'TO HOP NLAN'!E15*'TS-PILE'!$E$78/SUMSQ('TS-PILE'!$E$72:$E$91))+IF(SUMSQ('TS-PILE'!$D$72:$D$91)=0,0,'TO HOP NLAN'!F15*'TS-PILE'!$D$78/SUMSQ('TS-PILE'!$D$72:$D$91))),IF('TS-PILE'!$B$79="",1E+99,'TO HOP NLAN'!D15/ncoc+IF(SUMSQ('TS-PILE'!$E$72:$E$91)=0,0,'TO HOP NLAN'!E15*'TS-PILE'!$E$79/SUMSQ('TS-PILE'!$E$72:$E$91))+IF(SUMSQ('TS-PILE'!$D$72:$D$91)=0,0,'TO HOP NLAN'!F15*'TS-PILE'!$D$79/SUMSQ('TS-PILE'!$D$72:$D$91))),IF('TS-PILE'!$B$80="",1E+99,'TO HOP NLAN'!D15/ncoc+IF(SUMSQ('TS-PILE'!$E$72:$E$91)=0,0,'TO HOP NLAN'!E15*'TS-PILE'!$E$80/SUMSQ('TS-PILE'!$E$72:$E$91))+IF(SUMSQ('TS-PILE'!$D$72:$D$91)=0,0,'TO HOP NLAN'!F15*'TS-PILE'!$D$80/SUMSQ('TS-PILE'!$D$72:$D$91))),IF('TS-PILE'!$B$81="",1E+99,'TO HOP NLAN'!D15/ncoc+IF(SUMSQ('TS-PILE'!$E$72:$E$91)=0,0,'TO HOP NLAN'!E15*'TS-PILE'!$E$81/SUMSQ('TS-PILE'!$E$72:$E$91))+IF(SUMSQ('TS-PILE'!$D$72:$D$91)=0,0,'TO HOP NLAN'!F15*'TS-PILE'!$D$81/SUMSQ('TS-PILE'!$D$72:$D$91))),IF('TS-PILE'!$B$82="",1E+99,'TO HOP NLAN'!D15/ncoc+IF(SUMSQ('TS-PILE'!$E$72:$E$91)=0,0,'TO HOP NLAN'!E15*'TS-PILE'!$E$82/SUMSQ('TS-PILE'!$E$72:$E$91))+IF(SUMSQ('TS-PILE'!$D$72:$D$91)=0,0,'TO HOP NLAN'!F15*'TS-PILE'!$D$82/SUMSQ('TS-PILE'!$D$72:$D$91))),IF('TS-PILE'!$B$83="",1E+99,'TO HOP NLAN'!D15/ncoc+IF(SUMSQ('TS-PILE'!$E$72:$E$91)=0,0,'TO HOP NLAN'!E15*'TS-PILE'!$E$83/SUMSQ('TS-PILE'!$E$72:$E$91))+IF(SUMSQ('TS-PILE'!$D$72:$D$91)=0,0,'TO HOP NLAN'!F15*'TS-PILE'!$D$83/SUMSQ('TS-PILE'!$D$72:$D$91))),IF('TS-PILE'!$B$84="",1E+99,'TO HOP NLAN'!D15/ncoc+IF(SUMSQ('TS-PILE'!$E$72:$E$91)=0,0,'TO HOP NLAN'!E15*'TS-PILE'!$E$84/SUMSQ('TS-PILE'!$E$72:$E$91))+IF(SUMSQ('TS-PILE'!$D$72:$D$91)=0,0,'TO HOP NLAN'!F15*'TS-PILE'!$D$84/SUMSQ('TS-PILE'!$D$72:$D$91))),IF('TS-PILE'!$B$85="",1E+99,'TO HOP NLAN'!D15/ncoc+IF(SUMSQ('TS-PILE'!$E$72:$E$91)=0,0,'TO HOP NLAN'!E15*'TS-PILE'!$E$85/SUMSQ('TS-PILE'!$E$72:$E$91))+IF(SUMSQ('TS-PILE'!$D$72:$D$91)=0,0,'TO HOP NLAN'!F15*'TS-PILE'!$D$85/SUMSQ('TS-PILE'!$D$72:$D$91))),IF('TS-PILE'!$B$86="",1E+99,'TO HOP NLAN'!D15/ncoc+IF(SUMSQ('TS-PILE'!$E$72:$E$91)=0,0,'TO HOP NLAN'!E15*'TS-PILE'!$E$86/SUMSQ('TS-PILE'!$E$72:$E$91))+IF(SUMSQ('TS-PILE'!$D$72:$D$91)=0,0,'TO HOP NLAN'!F15*'TS-PILE'!$D$86/SUMSQ('TS-PILE'!$D$72:$D$91))),IF('TS-PILE'!$B$87="",1E+99,'TO HOP NLAN'!D15/ncoc+IF(SUMSQ('TS-PILE'!$E$72:$E$91)=0,0,'TO HOP NLAN'!E15*'TS-PILE'!$E$87/SUMSQ('TS-PILE'!$E$72:$E$91))+IF(SUMSQ('TS-PILE'!$D$72:$D$91)=0,0,'TO HOP NLAN'!F15*'TS-PILE'!$D$87/SUMSQ('TS-PILE'!$D$72:$D$91))),IF('TS-PILE'!$B$88="",1E+99,'TO HOP NLAN'!D15/ncoc+IF(SUMSQ('TS-PILE'!$E$72:$E$91)=0,0,'TO HOP NLAN'!E15*'TS-PILE'!$E$88/SUMSQ('TS-PILE'!$E$72:$E$91))+IF(SUMSQ('TS-PILE'!$D$72:$D$91)=0,0,'TO HOP NLAN'!F15*'TS-PILE'!$D$88/SUMSQ('TS-PILE'!$D$72:$D$91))),IF('TS-PILE'!$B$89="",1E+99,'TO HOP NLAN'!D15/ncoc+IF(SUMSQ('TS-PILE'!$E$72:$E$91)=0,0,'TO HOP NLAN'!E15*'TS-PILE'!$E$89/SUMSQ('TS-PILE'!$E$72:$E$91))+IF(SUMSQ('TS-PILE'!$D$72:$D$91)=0,0,'TO HOP NLAN'!F15*'TS-PILE'!$D$89/SUMSQ('TS-PILE'!$D$72:$D$91))),IF('TS-PILE'!$B$90="",1E+99,'TO HOP NLAN'!D15/ncoc+IF(SUMSQ('TS-PILE'!$E$72:$E$91)=0,0,'TO HOP NLAN'!E15*'TS-PILE'!$E$90/SUMSQ('TS-PILE'!$E$72:$E$91))+IF(SUMSQ('TS-PILE'!$D$72:$D$91)=0,0,'TO HOP NLAN'!F15*'TS-PILE'!$D$90/SUMSQ('TS-PILE'!$D$72:$D$91))),IF('TS-PILE'!$B$91="",1E+99,'TO HOP NLAN'!D15/ncoc+IF(SUMSQ('TS-PILE'!$E$72:$E$91)=0,0,'TO HOP NLAN'!E15*'TS-PILE'!$E$91/SUMSQ('TS-PILE'!$E$72:$E$91))+IF(SUMSQ('TS-PILE'!$D$72:$D$91)=0,0,'TO HOP NLAN'!F15*'TS-PILE'!$D$91/SUMSQ('TS-PILE'!$D$72:$D$91)))))</f>
        <v>0</v>
      </c>
      <c r="E15" s="58">
        <f t="shared" si="0"/>
        <v>-9.9999999999999997E+98</v>
      </c>
      <c r="F15" s="58">
        <f t="shared" si="1"/>
        <v>9.9999999999999997E+98</v>
      </c>
      <c r="G15" s="58">
        <f t="shared" si="2"/>
        <v>-9.9999999999999997E+98</v>
      </c>
      <c r="H15" s="58">
        <f t="shared" si="3"/>
        <v>9.9999999999999997E+98</v>
      </c>
    </row>
    <row r="16" spans="1:8" x14ac:dyDescent="0.3">
      <c r="A16" s="42" t="str">
        <f>'TO HOP NLAN'!A16</f>
        <v/>
      </c>
      <c r="B16" s="42" t="str">
        <f>'TO HOP NLAN'!L16</f>
        <v>SERVICE</v>
      </c>
      <c r="C16" s="58">
        <f>IF(A16="",0,MAX(IF('TS-PILE'!$B$72="",-1E+99,'TO HOP NLAN'!D16/ncoc+IF(SUMSQ('TS-PILE'!$E$72:$E$91)=0,0,'TO HOP NLAN'!E16*'TS-PILE'!$E$72/SUMSQ('TS-PILE'!$E$72:$E$91))+IF(SUMSQ('TS-PILE'!$D$72:$D$91)=0,0,'TO HOP NLAN'!F16*'TS-PILE'!$D$72/SUMSQ('TS-PILE'!$D$72:$D$91))),IF('TS-PILE'!$B$73="",-1E+99,'TO HOP NLAN'!D16/ncoc+IF(SUMSQ('TS-PILE'!$E$72:$E$91)=0,0,'TO HOP NLAN'!E16*'TS-PILE'!$E$73/SUMSQ('TS-PILE'!$E$72:$E$91))+IF(SUMSQ('TS-PILE'!$D$72:$D$91)=0,0,'TO HOP NLAN'!F16*'TS-PILE'!$D$73/SUMSQ('TS-PILE'!$D$72:$D$91))),IF('TS-PILE'!$B$74="",-1E+99,'TO HOP NLAN'!D16/ncoc+IF(SUMSQ('TS-PILE'!$E$72:$E$91)=0,0,'TO HOP NLAN'!E16*'TS-PILE'!$E$74/SUMSQ('TS-PILE'!$E$72:$E$91))+IF(SUMSQ('TS-PILE'!$D$72:$D$91)=0,0,'TO HOP NLAN'!F16*'TS-PILE'!$D$74/SUMSQ('TS-PILE'!$D$72:$D$91))),IF('TS-PILE'!$B$75="",-1E+99,'TO HOP NLAN'!D16/ncoc+IF(SUMSQ('TS-PILE'!$E$72:$E$91)=0,0,'TO HOP NLAN'!E16*'TS-PILE'!$E$75/SUMSQ('TS-PILE'!$E$72:$E$91))+IF(SUMSQ('TS-PILE'!$D$72:$D$91)=0,0,'TO HOP NLAN'!F16*'TS-PILE'!$D$75/SUMSQ('TS-PILE'!$D$72:$D$91))),IF('TS-PILE'!$B$76="",-1E+99,'TO HOP NLAN'!D16/ncoc+IF(SUMSQ('TS-PILE'!$E$72:$E$91)=0,0,'TO HOP NLAN'!E16*'TS-PILE'!$E$76/SUMSQ('TS-PILE'!$E$72:$E$91))+IF(SUMSQ('TS-PILE'!$D$72:$D$91)=0,0,'TO HOP NLAN'!F16*'TS-PILE'!$D$76/SUMSQ('TS-PILE'!$D$72:$D$91))),IF('TS-PILE'!$B$77="",-1E+99,'TO HOP NLAN'!D16/ncoc+IF(SUMSQ('TS-PILE'!$E$72:$E$91)=0,0,'TO HOP NLAN'!E16*'TS-PILE'!$E$77/SUMSQ('TS-PILE'!$E$72:$E$91))+IF(SUMSQ('TS-PILE'!$D$72:$D$91)=0,0,'TO HOP NLAN'!F16*'TS-PILE'!$D$77/SUMSQ('TS-PILE'!$D$72:$D$91))),IF('TS-PILE'!$B$78="",-1E+99,'TO HOP NLAN'!D16/ncoc+IF(SUMSQ('TS-PILE'!$E$72:$E$91)=0,0,'TO HOP NLAN'!E16*'TS-PILE'!$E$78/SUMSQ('TS-PILE'!$E$72:$E$91))+IF(SUMSQ('TS-PILE'!$D$72:$D$91)=0,0,'TO HOP NLAN'!F16*'TS-PILE'!$D$78/SUMSQ('TS-PILE'!$D$72:$D$91))),IF('TS-PILE'!$B$79="",-1E+99,'TO HOP NLAN'!D16/ncoc+IF(SUMSQ('TS-PILE'!$E$72:$E$91)=0,0,'TO HOP NLAN'!E16*'TS-PILE'!$E$79/SUMSQ('TS-PILE'!$E$72:$E$91))+IF(SUMSQ('TS-PILE'!$D$72:$D$91)=0,0,'TO HOP NLAN'!F16*'TS-PILE'!$D$79/SUMSQ('TS-PILE'!$D$72:$D$91))),IF('TS-PILE'!$B$80="",-1E+99,'TO HOP NLAN'!D16/ncoc+IF(SUMSQ('TS-PILE'!$E$72:$E$91)=0,0,'TO HOP NLAN'!E16*'TS-PILE'!$E$80/SUMSQ('TS-PILE'!$E$72:$E$91))+IF(SUMSQ('TS-PILE'!$D$72:$D$91)=0,0,'TO HOP NLAN'!F16*'TS-PILE'!$D$80/SUMSQ('TS-PILE'!$D$72:$D$91))),IF('TS-PILE'!$B$81="",-1E+99,'TO HOP NLAN'!D16/ncoc+IF(SUMSQ('TS-PILE'!$E$72:$E$91)=0,0,'TO HOP NLAN'!E16*'TS-PILE'!$E$81/SUMSQ('TS-PILE'!$E$72:$E$91))+IF(SUMSQ('TS-PILE'!$D$72:$D$91)=0,0,'TO HOP NLAN'!F16*'TS-PILE'!$D$81/SUMSQ('TS-PILE'!$D$72:$D$91))),IF('TS-PILE'!$B$82="",-1E+99,'TO HOP NLAN'!D16/ncoc+IF(SUMSQ('TS-PILE'!$E$72:$E$91)=0,0,'TO HOP NLAN'!E16*'TS-PILE'!$E$82/SUMSQ('TS-PILE'!$E$72:$E$91))+IF(SUMSQ('TS-PILE'!$D$72:$D$91)=0,0,'TO HOP NLAN'!F16*'TS-PILE'!$D$82/SUMSQ('TS-PILE'!$D$72:$D$91))),IF('TS-PILE'!$B$83="",-1E+99,'TO HOP NLAN'!D16/ncoc+IF(SUMSQ('TS-PILE'!$E$72:$E$91)=0,0,'TO HOP NLAN'!E16*'TS-PILE'!$E$83/SUMSQ('TS-PILE'!$E$72:$E$91))+IF(SUMSQ('TS-PILE'!$D$72:$D$91)=0,0,'TO HOP NLAN'!F16*'TS-PILE'!$D$83/SUMSQ('TS-PILE'!$D$72:$D$91))),IF('TS-PILE'!$B$84="",-1E+99,'TO HOP NLAN'!D16/ncoc+IF(SUMSQ('TS-PILE'!$E$72:$E$91)=0,0,'TO HOP NLAN'!E16*'TS-PILE'!$E$84/SUMSQ('TS-PILE'!$E$72:$E$91))+IF(SUMSQ('TS-PILE'!$D$72:$D$91)=0,0,'TO HOP NLAN'!F16*'TS-PILE'!$D$84/SUMSQ('TS-PILE'!$D$72:$D$91))),IF('TS-PILE'!$B$85="",-1E+99,'TO HOP NLAN'!D16/ncoc+IF(SUMSQ('TS-PILE'!$E$72:$E$91)=0,0,'TO HOP NLAN'!E16*'TS-PILE'!$E$85/SUMSQ('TS-PILE'!$E$72:$E$91))+IF(SUMSQ('TS-PILE'!$D$72:$D$91)=0,0,'TO HOP NLAN'!F16*'TS-PILE'!$D$85/SUMSQ('TS-PILE'!$D$72:$D$91))),IF('TS-PILE'!$B$86="",-1E+99,'TO HOP NLAN'!D16/ncoc+IF(SUMSQ('TS-PILE'!$E$72:$E$91)=0,0,'TO HOP NLAN'!E16*'TS-PILE'!$E$86/SUMSQ('TS-PILE'!$E$72:$E$91))+IF(SUMSQ('TS-PILE'!$D$72:$D$91)=0,0,'TO HOP NLAN'!F16*'TS-PILE'!$D$86/SUMSQ('TS-PILE'!$D$72:$D$91))),IF('TS-PILE'!$B$87="",-1E+99,'TO HOP NLAN'!D16/ncoc+IF(SUMSQ('TS-PILE'!$E$72:$E$91)=0,0,'TO HOP NLAN'!E16*'TS-PILE'!$E$87/SUMSQ('TS-PILE'!$E$72:$E$91))+IF(SUMSQ('TS-PILE'!$D$72:$D$91)=0,0,'TO HOP NLAN'!F16*'TS-PILE'!$D$87/SUMSQ('TS-PILE'!$D$72:$D$91))),IF('TS-PILE'!$B$88="",-1E+99,'TO HOP NLAN'!D16/ncoc+IF(SUMSQ('TS-PILE'!$E$72:$E$91)=0,0,'TO HOP NLAN'!E16*'TS-PILE'!$E$88/SUMSQ('TS-PILE'!$E$72:$E$91))+IF(SUMSQ('TS-PILE'!$D$72:$D$91)=0,0,'TO HOP NLAN'!F16*'TS-PILE'!$D$88/SUMSQ('TS-PILE'!$D$72:$D$91))),IF('TS-PILE'!$B$89="",-1E+99,'TO HOP NLAN'!D16/ncoc+IF(SUMSQ('TS-PILE'!$E$72:$E$91)=0,0,'TO HOP NLAN'!E16*'TS-PILE'!$E$89/SUMSQ('TS-PILE'!$E$72:$E$91))+IF(SUMSQ('TS-PILE'!$D$72:$D$91)=0,0,'TO HOP NLAN'!F16*'TS-PILE'!$D$89/SUMSQ('TS-PILE'!$D$72:$D$91))),IF('TS-PILE'!$B$90="",-1E+99,'TO HOP NLAN'!D16/ncoc+IF(SUMSQ('TS-PILE'!$E$72:$E$91)=0,0,'TO HOP NLAN'!E16*'TS-PILE'!$E$90/SUMSQ('TS-PILE'!$E$72:$E$91))+IF(SUMSQ('TS-PILE'!$D$72:$D$91)=0,0,'TO HOP NLAN'!F16*'TS-PILE'!$D$90/SUMSQ('TS-PILE'!$D$72:$D$91))),IF('TS-PILE'!$B$91="",-1E+99,'TO HOP NLAN'!D16/ncoc+IF(SUMSQ('TS-PILE'!$E$72:$E$91)=0,0,'TO HOP NLAN'!E16*'TS-PILE'!$E$91/SUMSQ('TS-PILE'!$E$72:$E$91))+IF(SUMSQ('TS-PILE'!$D$72:$D$91)=0,0,'TO HOP NLAN'!F16*'TS-PILE'!$D$91/SUMSQ('TS-PILE'!$D$72:$D$91)))))</f>
        <v>0</v>
      </c>
      <c r="D16" s="58">
        <f>IF(A16="",0,MIN(IF('TS-PILE'!$B$72="",1E+99,'TO HOP NLAN'!D16/ncoc+IF(SUMSQ('TS-PILE'!$E$72:$E$91)=0,0,'TO HOP NLAN'!E16*'TS-PILE'!$E$72/SUMSQ('TS-PILE'!$E$72:$E$91))+IF(SUMSQ('TS-PILE'!$D$72:$D$91)=0,0,'TO HOP NLAN'!F16*'TS-PILE'!$D$72/SUMSQ('TS-PILE'!$D$72:$D$91))),IF('TS-PILE'!$B$73="",1E+99,'TO HOP NLAN'!D16/ncoc+IF(SUMSQ('TS-PILE'!$E$72:$E$91)=0,0,'TO HOP NLAN'!E16*'TS-PILE'!$E$73/SUMSQ('TS-PILE'!$E$72:$E$91))+IF(SUMSQ('TS-PILE'!$D$72:$D$91)=0,0,'TO HOP NLAN'!F16*'TS-PILE'!$D$73/SUMSQ('TS-PILE'!$D$72:$D$91))),IF('TS-PILE'!$B$74="",1E+99,'TO HOP NLAN'!D16/ncoc+IF(SUMSQ('TS-PILE'!$E$72:$E$91)=0,0,'TO HOP NLAN'!E16*'TS-PILE'!$E$74/SUMSQ('TS-PILE'!$E$72:$E$91))+IF(SUMSQ('TS-PILE'!$D$72:$D$91)=0,0,'TO HOP NLAN'!F16*'TS-PILE'!$D$74/SUMSQ('TS-PILE'!$D$72:$D$91))),IF('TS-PILE'!$B$75="",1E+99,'TO HOP NLAN'!D16/ncoc+IF(SUMSQ('TS-PILE'!$E$72:$E$91)=0,0,'TO HOP NLAN'!E16*'TS-PILE'!$E$75/SUMSQ('TS-PILE'!$E$72:$E$91))+IF(SUMSQ('TS-PILE'!$D$72:$D$91)=0,0,'TO HOP NLAN'!F16*'TS-PILE'!$D$75/SUMSQ('TS-PILE'!$D$72:$D$91))),IF('TS-PILE'!$B$76="",1E+99,'TO HOP NLAN'!D16/ncoc+IF(SUMSQ('TS-PILE'!$E$72:$E$91)=0,0,'TO HOP NLAN'!E16*'TS-PILE'!$E$76/SUMSQ('TS-PILE'!$E$72:$E$91))+IF(SUMSQ('TS-PILE'!$D$72:$D$91)=0,0,'TO HOP NLAN'!F16*'TS-PILE'!$D$76/SUMSQ('TS-PILE'!$D$72:$D$91))),IF('TS-PILE'!$B$77="",1E+99,'TO HOP NLAN'!D16/ncoc+IF(SUMSQ('TS-PILE'!$E$72:$E$91)=0,0,'TO HOP NLAN'!E16*'TS-PILE'!$E$77/SUMSQ('TS-PILE'!$E$72:$E$91))+IF(SUMSQ('TS-PILE'!$D$72:$D$91)=0,0,'TO HOP NLAN'!F16*'TS-PILE'!$D$77/SUMSQ('TS-PILE'!$D$72:$D$91))),IF('TS-PILE'!$B$78="",1E+99,'TO HOP NLAN'!D16/ncoc+IF(SUMSQ('TS-PILE'!$E$72:$E$91)=0,0,'TO HOP NLAN'!E16*'TS-PILE'!$E$78/SUMSQ('TS-PILE'!$E$72:$E$91))+IF(SUMSQ('TS-PILE'!$D$72:$D$91)=0,0,'TO HOP NLAN'!F16*'TS-PILE'!$D$78/SUMSQ('TS-PILE'!$D$72:$D$91))),IF('TS-PILE'!$B$79="",1E+99,'TO HOP NLAN'!D16/ncoc+IF(SUMSQ('TS-PILE'!$E$72:$E$91)=0,0,'TO HOP NLAN'!E16*'TS-PILE'!$E$79/SUMSQ('TS-PILE'!$E$72:$E$91))+IF(SUMSQ('TS-PILE'!$D$72:$D$91)=0,0,'TO HOP NLAN'!F16*'TS-PILE'!$D$79/SUMSQ('TS-PILE'!$D$72:$D$91))),IF('TS-PILE'!$B$80="",1E+99,'TO HOP NLAN'!D16/ncoc+IF(SUMSQ('TS-PILE'!$E$72:$E$91)=0,0,'TO HOP NLAN'!E16*'TS-PILE'!$E$80/SUMSQ('TS-PILE'!$E$72:$E$91))+IF(SUMSQ('TS-PILE'!$D$72:$D$91)=0,0,'TO HOP NLAN'!F16*'TS-PILE'!$D$80/SUMSQ('TS-PILE'!$D$72:$D$91))),IF('TS-PILE'!$B$81="",1E+99,'TO HOP NLAN'!D16/ncoc+IF(SUMSQ('TS-PILE'!$E$72:$E$91)=0,0,'TO HOP NLAN'!E16*'TS-PILE'!$E$81/SUMSQ('TS-PILE'!$E$72:$E$91))+IF(SUMSQ('TS-PILE'!$D$72:$D$91)=0,0,'TO HOP NLAN'!F16*'TS-PILE'!$D$81/SUMSQ('TS-PILE'!$D$72:$D$91))),IF('TS-PILE'!$B$82="",1E+99,'TO HOP NLAN'!D16/ncoc+IF(SUMSQ('TS-PILE'!$E$72:$E$91)=0,0,'TO HOP NLAN'!E16*'TS-PILE'!$E$82/SUMSQ('TS-PILE'!$E$72:$E$91))+IF(SUMSQ('TS-PILE'!$D$72:$D$91)=0,0,'TO HOP NLAN'!F16*'TS-PILE'!$D$82/SUMSQ('TS-PILE'!$D$72:$D$91))),IF('TS-PILE'!$B$83="",1E+99,'TO HOP NLAN'!D16/ncoc+IF(SUMSQ('TS-PILE'!$E$72:$E$91)=0,0,'TO HOP NLAN'!E16*'TS-PILE'!$E$83/SUMSQ('TS-PILE'!$E$72:$E$91))+IF(SUMSQ('TS-PILE'!$D$72:$D$91)=0,0,'TO HOP NLAN'!F16*'TS-PILE'!$D$83/SUMSQ('TS-PILE'!$D$72:$D$91))),IF('TS-PILE'!$B$84="",1E+99,'TO HOP NLAN'!D16/ncoc+IF(SUMSQ('TS-PILE'!$E$72:$E$91)=0,0,'TO HOP NLAN'!E16*'TS-PILE'!$E$84/SUMSQ('TS-PILE'!$E$72:$E$91))+IF(SUMSQ('TS-PILE'!$D$72:$D$91)=0,0,'TO HOP NLAN'!F16*'TS-PILE'!$D$84/SUMSQ('TS-PILE'!$D$72:$D$91))),IF('TS-PILE'!$B$85="",1E+99,'TO HOP NLAN'!D16/ncoc+IF(SUMSQ('TS-PILE'!$E$72:$E$91)=0,0,'TO HOP NLAN'!E16*'TS-PILE'!$E$85/SUMSQ('TS-PILE'!$E$72:$E$91))+IF(SUMSQ('TS-PILE'!$D$72:$D$91)=0,0,'TO HOP NLAN'!F16*'TS-PILE'!$D$85/SUMSQ('TS-PILE'!$D$72:$D$91))),IF('TS-PILE'!$B$86="",1E+99,'TO HOP NLAN'!D16/ncoc+IF(SUMSQ('TS-PILE'!$E$72:$E$91)=0,0,'TO HOP NLAN'!E16*'TS-PILE'!$E$86/SUMSQ('TS-PILE'!$E$72:$E$91))+IF(SUMSQ('TS-PILE'!$D$72:$D$91)=0,0,'TO HOP NLAN'!F16*'TS-PILE'!$D$86/SUMSQ('TS-PILE'!$D$72:$D$91))),IF('TS-PILE'!$B$87="",1E+99,'TO HOP NLAN'!D16/ncoc+IF(SUMSQ('TS-PILE'!$E$72:$E$91)=0,0,'TO HOP NLAN'!E16*'TS-PILE'!$E$87/SUMSQ('TS-PILE'!$E$72:$E$91))+IF(SUMSQ('TS-PILE'!$D$72:$D$91)=0,0,'TO HOP NLAN'!F16*'TS-PILE'!$D$87/SUMSQ('TS-PILE'!$D$72:$D$91))),IF('TS-PILE'!$B$88="",1E+99,'TO HOP NLAN'!D16/ncoc+IF(SUMSQ('TS-PILE'!$E$72:$E$91)=0,0,'TO HOP NLAN'!E16*'TS-PILE'!$E$88/SUMSQ('TS-PILE'!$E$72:$E$91))+IF(SUMSQ('TS-PILE'!$D$72:$D$91)=0,0,'TO HOP NLAN'!F16*'TS-PILE'!$D$88/SUMSQ('TS-PILE'!$D$72:$D$91))),IF('TS-PILE'!$B$89="",1E+99,'TO HOP NLAN'!D16/ncoc+IF(SUMSQ('TS-PILE'!$E$72:$E$91)=0,0,'TO HOP NLAN'!E16*'TS-PILE'!$E$89/SUMSQ('TS-PILE'!$E$72:$E$91))+IF(SUMSQ('TS-PILE'!$D$72:$D$91)=0,0,'TO HOP NLAN'!F16*'TS-PILE'!$D$89/SUMSQ('TS-PILE'!$D$72:$D$91))),IF('TS-PILE'!$B$90="",1E+99,'TO HOP NLAN'!D16/ncoc+IF(SUMSQ('TS-PILE'!$E$72:$E$91)=0,0,'TO HOP NLAN'!E16*'TS-PILE'!$E$90/SUMSQ('TS-PILE'!$E$72:$E$91))+IF(SUMSQ('TS-PILE'!$D$72:$D$91)=0,0,'TO HOP NLAN'!F16*'TS-PILE'!$D$90/SUMSQ('TS-PILE'!$D$72:$D$91))),IF('TS-PILE'!$B$91="",1E+99,'TO HOP NLAN'!D16/ncoc+IF(SUMSQ('TS-PILE'!$E$72:$E$91)=0,0,'TO HOP NLAN'!E16*'TS-PILE'!$E$91/SUMSQ('TS-PILE'!$E$72:$E$91))+IF(SUMSQ('TS-PILE'!$D$72:$D$91)=0,0,'TO HOP NLAN'!F16*'TS-PILE'!$D$91/SUMSQ('TS-PILE'!$D$72:$D$91)))))</f>
        <v>0</v>
      </c>
      <c r="E16" s="58">
        <f t="shared" si="0"/>
        <v>-9.9999999999999997E+98</v>
      </c>
      <c r="F16" s="58">
        <f t="shared" si="1"/>
        <v>9.9999999999999997E+98</v>
      </c>
      <c r="G16" s="58">
        <f t="shared" si="2"/>
        <v>-9.9999999999999997E+98</v>
      </c>
      <c r="H16" s="58">
        <f t="shared" si="3"/>
        <v>9.9999999999999997E+98</v>
      </c>
    </row>
    <row r="17" spans="1:8" x14ac:dyDescent="0.3">
      <c r="A17" s="42" t="str">
        <f>'TO HOP NLAN'!A17</f>
        <v/>
      </c>
      <c r="B17" s="42" t="str">
        <f>'TO HOP NLAN'!L17</f>
        <v>SERVICE</v>
      </c>
      <c r="C17" s="58">
        <f>IF(A17="",0,MAX(IF('TS-PILE'!$B$72="",-1E+99,'TO HOP NLAN'!D17/ncoc+IF(SUMSQ('TS-PILE'!$E$72:$E$91)=0,0,'TO HOP NLAN'!E17*'TS-PILE'!$E$72/SUMSQ('TS-PILE'!$E$72:$E$91))+IF(SUMSQ('TS-PILE'!$D$72:$D$91)=0,0,'TO HOP NLAN'!F17*'TS-PILE'!$D$72/SUMSQ('TS-PILE'!$D$72:$D$91))),IF('TS-PILE'!$B$73="",-1E+99,'TO HOP NLAN'!D17/ncoc+IF(SUMSQ('TS-PILE'!$E$72:$E$91)=0,0,'TO HOP NLAN'!E17*'TS-PILE'!$E$73/SUMSQ('TS-PILE'!$E$72:$E$91))+IF(SUMSQ('TS-PILE'!$D$72:$D$91)=0,0,'TO HOP NLAN'!F17*'TS-PILE'!$D$73/SUMSQ('TS-PILE'!$D$72:$D$91))),IF('TS-PILE'!$B$74="",-1E+99,'TO HOP NLAN'!D17/ncoc+IF(SUMSQ('TS-PILE'!$E$72:$E$91)=0,0,'TO HOP NLAN'!E17*'TS-PILE'!$E$74/SUMSQ('TS-PILE'!$E$72:$E$91))+IF(SUMSQ('TS-PILE'!$D$72:$D$91)=0,0,'TO HOP NLAN'!F17*'TS-PILE'!$D$74/SUMSQ('TS-PILE'!$D$72:$D$91))),IF('TS-PILE'!$B$75="",-1E+99,'TO HOP NLAN'!D17/ncoc+IF(SUMSQ('TS-PILE'!$E$72:$E$91)=0,0,'TO HOP NLAN'!E17*'TS-PILE'!$E$75/SUMSQ('TS-PILE'!$E$72:$E$91))+IF(SUMSQ('TS-PILE'!$D$72:$D$91)=0,0,'TO HOP NLAN'!F17*'TS-PILE'!$D$75/SUMSQ('TS-PILE'!$D$72:$D$91))),IF('TS-PILE'!$B$76="",-1E+99,'TO HOP NLAN'!D17/ncoc+IF(SUMSQ('TS-PILE'!$E$72:$E$91)=0,0,'TO HOP NLAN'!E17*'TS-PILE'!$E$76/SUMSQ('TS-PILE'!$E$72:$E$91))+IF(SUMSQ('TS-PILE'!$D$72:$D$91)=0,0,'TO HOP NLAN'!F17*'TS-PILE'!$D$76/SUMSQ('TS-PILE'!$D$72:$D$91))),IF('TS-PILE'!$B$77="",-1E+99,'TO HOP NLAN'!D17/ncoc+IF(SUMSQ('TS-PILE'!$E$72:$E$91)=0,0,'TO HOP NLAN'!E17*'TS-PILE'!$E$77/SUMSQ('TS-PILE'!$E$72:$E$91))+IF(SUMSQ('TS-PILE'!$D$72:$D$91)=0,0,'TO HOP NLAN'!F17*'TS-PILE'!$D$77/SUMSQ('TS-PILE'!$D$72:$D$91))),IF('TS-PILE'!$B$78="",-1E+99,'TO HOP NLAN'!D17/ncoc+IF(SUMSQ('TS-PILE'!$E$72:$E$91)=0,0,'TO HOP NLAN'!E17*'TS-PILE'!$E$78/SUMSQ('TS-PILE'!$E$72:$E$91))+IF(SUMSQ('TS-PILE'!$D$72:$D$91)=0,0,'TO HOP NLAN'!F17*'TS-PILE'!$D$78/SUMSQ('TS-PILE'!$D$72:$D$91))),IF('TS-PILE'!$B$79="",-1E+99,'TO HOP NLAN'!D17/ncoc+IF(SUMSQ('TS-PILE'!$E$72:$E$91)=0,0,'TO HOP NLAN'!E17*'TS-PILE'!$E$79/SUMSQ('TS-PILE'!$E$72:$E$91))+IF(SUMSQ('TS-PILE'!$D$72:$D$91)=0,0,'TO HOP NLAN'!F17*'TS-PILE'!$D$79/SUMSQ('TS-PILE'!$D$72:$D$91))),IF('TS-PILE'!$B$80="",-1E+99,'TO HOP NLAN'!D17/ncoc+IF(SUMSQ('TS-PILE'!$E$72:$E$91)=0,0,'TO HOP NLAN'!E17*'TS-PILE'!$E$80/SUMSQ('TS-PILE'!$E$72:$E$91))+IF(SUMSQ('TS-PILE'!$D$72:$D$91)=0,0,'TO HOP NLAN'!F17*'TS-PILE'!$D$80/SUMSQ('TS-PILE'!$D$72:$D$91))),IF('TS-PILE'!$B$81="",-1E+99,'TO HOP NLAN'!D17/ncoc+IF(SUMSQ('TS-PILE'!$E$72:$E$91)=0,0,'TO HOP NLAN'!E17*'TS-PILE'!$E$81/SUMSQ('TS-PILE'!$E$72:$E$91))+IF(SUMSQ('TS-PILE'!$D$72:$D$91)=0,0,'TO HOP NLAN'!F17*'TS-PILE'!$D$81/SUMSQ('TS-PILE'!$D$72:$D$91))),IF('TS-PILE'!$B$82="",-1E+99,'TO HOP NLAN'!D17/ncoc+IF(SUMSQ('TS-PILE'!$E$72:$E$91)=0,0,'TO HOP NLAN'!E17*'TS-PILE'!$E$82/SUMSQ('TS-PILE'!$E$72:$E$91))+IF(SUMSQ('TS-PILE'!$D$72:$D$91)=0,0,'TO HOP NLAN'!F17*'TS-PILE'!$D$82/SUMSQ('TS-PILE'!$D$72:$D$91))),IF('TS-PILE'!$B$83="",-1E+99,'TO HOP NLAN'!D17/ncoc+IF(SUMSQ('TS-PILE'!$E$72:$E$91)=0,0,'TO HOP NLAN'!E17*'TS-PILE'!$E$83/SUMSQ('TS-PILE'!$E$72:$E$91))+IF(SUMSQ('TS-PILE'!$D$72:$D$91)=0,0,'TO HOP NLAN'!F17*'TS-PILE'!$D$83/SUMSQ('TS-PILE'!$D$72:$D$91))),IF('TS-PILE'!$B$84="",-1E+99,'TO HOP NLAN'!D17/ncoc+IF(SUMSQ('TS-PILE'!$E$72:$E$91)=0,0,'TO HOP NLAN'!E17*'TS-PILE'!$E$84/SUMSQ('TS-PILE'!$E$72:$E$91))+IF(SUMSQ('TS-PILE'!$D$72:$D$91)=0,0,'TO HOP NLAN'!F17*'TS-PILE'!$D$84/SUMSQ('TS-PILE'!$D$72:$D$91))),IF('TS-PILE'!$B$85="",-1E+99,'TO HOP NLAN'!D17/ncoc+IF(SUMSQ('TS-PILE'!$E$72:$E$91)=0,0,'TO HOP NLAN'!E17*'TS-PILE'!$E$85/SUMSQ('TS-PILE'!$E$72:$E$91))+IF(SUMSQ('TS-PILE'!$D$72:$D$91)=0,0,'TO HOP NLAN'!F17*'TS-PILE'!$D$85/SUMSQ('TS-PILE'!$D$72:$D$91))),IF('TS-PILE'!$B$86="",-1E+99,'TO HOP NLAN'!D17/ncoc+IF(SUMSQ('TS-PILE'!$E$72:$E$91)=0,0,'TO HOP NLAN'!E17*'TS-PILE'!$E$86/SUMSQ('TS-PILE'!$E$72:$E$91))+IF(SUMSQ('TS-PILE'!$D$72:$D$91)=0,0,'TO HOP NLAN'!F17*'TS-PILE'!$D$86/SUMSQ('TS-PILE'!$D$72:$D$91))),IF('TS-PILE'!$B$87="",-1E+99,'TO HOP NLAN'!D17/ncoc+IF(SUMSQ('TS-PILE'!$E$72:$E$91)=0,0,'TO HOP NLAN'!E17*'TS-PILE'!$E$87/SUMSQ('TS-PILE'!$E$72:$E$91))+IF(SUMSQ('TS-PILE'!$D$72:$D$91)=0,0,'TO HOP NLAN'!F17*'TS-PILE'!$D$87/SUMSQ('TS-PILE'!$D$72:$D$91))),IF('TS-PILE'!$B$88="",-1E+99,'TO HOP NLAN'!D17/ncoc+IF(SUMSQ('TS-PILE'!$E$72:$E$91)=0,0,'TO HOP NLAN'!E17*'TS-PILE'!$E$88/SUMSQ('TS-PILE'!$E$72:$E$91))+IF(SUMSQ('TS-PILE'!$D$72:$D$91)=0,0,'TO HOP NLAN'!F17*'TS-PILE'!$D$88/SUMSQ('TS-PILE'!$D$72:$D$91))),IF('TS-PILE'!$B$89="",-1E+99,'TO HOP NLAN'!D17/ncoc+IF(SUMSQ('TS-PILE'!$E$72:$E$91)=0,0,'TO HOP NLAN'!E17*'TS-PILE'!$E$89/SUMSQ('TS-PILE'!$E$72:$E$91))+IF(SUMSQ('TS-PILE'!$D$72:$D$91)=0,0,'TO HOP NLAN'!F17*'TS-PILE'!$D$89/SUMSQ('TS-PILE'!$D$72:$D$91))),IF('TS-PILE'!$B$90="",-1E+99,'TO HOP NLAN'!D17/ncoc+IF(SUMSQ('TS-PILE'!$E$72:$E$91)=0,0,'TO HOP NLAN'!E17*'TS-PILE'!$E$90/SUMSQ('TS-PILE'!$E$72:$E$91))+IF(SUMSQ('TS-PILE'!$D$72:$D$91)=0,0,'TO HOP NLAN'!F17*'TS-PILE'!$D$90/SUMSQ('TS-PILE'!$D$72:$D$91))),IF('TS-PILE'!$B$91="",-1E+99,'TO HOP NLAN'!D17/ncoc+IF(SUMSQ('TS-PILE'!$E$72:$E$91)=0,0,'TO HOP NLAN'!E17*'TS-PILE'!$E$91/SUMSQ('TS-PILE'!$E$72:$E$91))+IF(SUMSQ('TS-PILE'!$D$72:$D$91)=0,0,'TO HOP NLAN'!F17*'TS-PILE'!$D$91/SUMSQ('TS-PILE'!$D$72:$D$91)))))</f>
        <v>0</v>
      </c>
      <c r="D17" s="58">
        <f>IF(A17="",0,MIN(IF('TS-PILE'!$B$72="",1E+99,'TO HOP NLAN'!D17/ncoc+IF(SUMSQ('TS-PILE'!$E$72:$E$91)=0,0,'TO HOP NLAN'!E17*'TS-PILE'!$E$72/SUMSQ('TS-PILE'!$E$72:$E$91))+IF(SUMSQ('TS-PILE'!$D$72:$D$91)=0,0,'TO HOP NLAN'!F17*'TS-PILE'!$D$72/SUMSQ('TS-PILE'!$D$72:$D$91))),IF('TS-PILE'!$B$73="",1E+99,'TO HOP NLAN'!D17/ncoc+IF(SUMSQ('TS-PILE'!$E$72:$E$91)=0,0,'TO HOP NLAN'!E17*'TS-PILE'!$E$73/SUMSQ('TS-PILE'!$E$72:$E$91))+IF(SUMSQ('TS-PILE'!$D$72:$D$91)=0,0,'TO HOP NLAN'!F17*'TS-PILE'!$D$73/SUMSQ('TS-PILE'!$D$72:$D$91))),IF('TS-PILE'!$B$74="",1E+99,'TO HOP NLAN'!D17/ncoc+IF(SUMSQ('TS-PILE'!$E$72:$E$91)=0,0,'TO HOP NLAN'!E17*'TS-PILE'!$E$74/SUMSQ('TS-PILE'!$E$72:$E$91))+IF(SUMSQ('TS-PILE'!$D$72:$D$91)=0,0,'TO HOP NLAN'!F17*'TS-PILE'!$D$74/SUMSQ('TS-PILE'!$D$72:$D$91))),IF('TS-PILE'!$B$75="",1E+99,'TO HOP NLAN'!D17/ncoc+IF(SUMSQ('TS-PILE'!$E$72:$E$91)=0,0,'TO HOP NLAN'!E17*'TS-PILE'!$E$75/SUMSQ('TS-PILE'!$E$72:$E$91))+IF(SUMSQ('TS-PILE'!$D$72:$D$91)=0,0,'TO HOP NLAN'!F17*'TS-PILE'!$D$75/SUMSQ('TS-PILE'!$D$72:$D$91))),IF('TS-PILE'!$B$76="",1E+99,'TO HOP NLAN'!D17/ncoc+IF(SUMSQ('TS-PILE'!$E$72:$E$91)=0,0,'TO HOP NLAN'!E17*'TS-PILE'!$E$76/SUMSQ('TS-PILE'!$E$72:$E$91))+IF(SUMSQ('TS-PILE'!$D$72:$D$91)=0,0,'TO HOP NLAN'!F17*'TS-PILE'!$D$76/SUMSQ('TS-PILE'!$D$72:$D$91))),IF('TS-PILE'!$B$77="",1E+99,'TO HOP NLAN'!D17/ncoc+IF(SUMSQ('TS-PILE'!$E$72:$E$91)=0,0,'TO HOP NLAN'!E17*'TS-PILE'!$E$77/SUMSQ('TS-PILE'!$E$72:$E$91))+IF(SUMSQ('TS-PILE'!$D$72:$D$91)=0,0,'TO HOP NLAN'!F17*'TS-PILE'!$D$77/SUMSQ('TS-PILE'!$D$72:$D$91))),IF('TS-PILE'!$B$78="",1E+99,'TO HOP NLAN'!D17/ncoc+IF(SUMSQ('TS-PILE'!$E$72:$E$91)=0,0,'TO HOP NLAN'!E17*'TS-PILE'!$E$78/SUMSQ('TS-PILE'!$E$72:$E$91))+IF(SUMSQ('TS-PILE'!$D$72:$D$91)=0,0,'TO HOP NLAN'!F17*'TS-PILE'!$D$78/SUMSQ('TS-PILE'!$D$72:$D$91))),IF('TS-PILE'!$B$79="",1E+99,'TO HOP NLAN'!D17/ncoc+IF(SUMSQ('TS-PILE'!$E$72:$E$91)=0,0,'TO HOP NLAN'!E17*'TS-PILE'!$E$79/SUMSQ('TS-PILE'!$E$72:$E$91))+IF(SUMSQ('TS-PILE'!$D$72:$D$91)=0,0,'TO HOP NLAN'!F17*'TS-PILE'!$D$79/SUMSQ('TS-PILE'!$D$72:$D$91))),IF('TS-PILE'!$B$80="",1E+99,'TO HOP NLAN'!D17/ncoc+IF(SUMSQ('TS-PILE'!$E$72:$E$91)=0,0,'TO HOP NLAN'!E17*'TS-PILE'!$E$80/SUMSQ('TS-PILE'!$E$72:$E$91))+IF(SUMSQ('TS-PILE'!$D$72:$D$91)=0,0,'TO HOP NLAN'!F17*'TS-PILE'!$D$80/SUMSQ('TS-PILE'!$D$72:$D$91))),IF('TS-PILE'!$B$81="",1E+99,'TO HOP NLAN'!D17/ncoc+IF(SUMSQ('TS-PILE'!$E$72:$E$91)=0,0,'TO HOP NLAN'!E17*'TS-PILE'!$E$81/SUMSQ('TS-PILE'!$E$72:$E$91))+IF(SUMSQ('TS-PILE'!$D$72:$D$91)=0,0,'TO HOP NLAN'!F17*'TS-PILE'!$D$81/SUMSQ('TS-PILE'!$D$72:$D$91))),IF('TS-PILE'!$B$82="",1E+99,'TO HOP NLAN'!D17/ncoc+IF(SUMSQ('TS-PILE'!$E$72:$E$91)=0,0,'TO HOP NLAN'!E17*'TS-PILE'!$E$82/SUMSQ('TS-PILE'!$E$72:$E$91))+IF(SUMSQ('TS-PILE'!$D$72:$D$91)=0,0,'TO HOP NLAN'!F17*'TS-PILE'!$D$82/SUMSQ('TS-PILE'!$D$72:$D$91))),IF('TS-PILE'!$B$83="",1E+99,'TO HOP NLAN'!D17/ncoc+IF(SUMSQ('TS-PILE'!$E$72:$E$91)=0,0,'TO HOP NLAN'!E17*'TS-PILE'!$E$83/SUMSQ('TS-PILE'!$E$72:$E$91))+IF(SUMSQ('TS-PILE'!$D$72:$D$91)=0,0,'TO HOP NLAN'!F17*'TS-PILE'!$D$83/SUMSQ('TS-PILE'!$D$72:$D$91))),IF('TS-PILE'!$B$84="",1E+99,'TO HOP NLAN'!D17/ncoc+IF(SUMSQ('TS-PILE'!$E$72:$E$91)=0,0,'TO HOP NLAN'!E17*'TS-PILE'!$E$84/SUMSQ('TS-PILE'!$E$72:$E$91))+IF(SUMSQ('TS-PILE'!$D$72:$D$91)=0,0,'TO HOP NLAN'!F17*'TS-PILE'!$D$84/SUMSQ('TS-PILE'!$D$72:$D$91))),IF('TS-PILE'!$B$85="",1E+99,'TO HOP NLAN'!D17/ncoc+IF(SUMSQ('TS-PILE'!$E$72:$E$91)=0,0,'TO HOP NLAN'!E17*'TS-PILE'!$E$85/SUMSQ('TS-PILE'!$E$72:$E$91))+IF(SUMSQ('TS-PILE'!$D$72:$D$91)=0,0,'TO HOP NLAN'!F17*'TS-PILE'!$D$85/SUMSQ('TS-PILE'!$D$72:$D$91))),IF('TS-PILE'!$B$86="",1E+99,'TO HOP NLAN'!D17/ncoc+IF(SUMSQ('TS-PILE'!$E$72:$E$91)=0,0,'TO HOP NLAN'!E17*'TS-PILE'!$E$86/SUMSQ('TS-PILE'!$E$72:$E$91))+IF(SUMSQ('TS-PILE'!$D$72:$D$91)=0,0,'TO HOP NLAN'!F17*'TS-PILE'!$D$86/SUMSQ('TS-PILE'!$D$72:$D$91))),IF('TS-PILE'!$B$87="",1E+99,'TO HOP NLAN'!D17/ncoc+IF(SUMSQ('TS-PILE'!$E$72:$E$91)=0,0,'TO HOP NLAN'!E17*'TS-PILE'!$E$87/SUMSQ('TS-PILE'!$E$72:$E$91))+IF(SUMSQ('TS-PILE'!$D$72:$D$91)=0,0,'TO HOP NLAN'!F17*'TS-PILE'!$D$87/SUMSQ('TS-PILE'!$D$72:$D$91))),IF('TS-PILE'!$B$88="",1E+99,'TO HOP NLAN'!D17/ncoc+IF(SUMSQ('TS-PILE'!$E$72:$E$91)=0,0,'TO HOP NLAN'!E17*'TS-PILE'!$E$88/SUMSQ('TS-PILE'!$E$72:$E$91))+IF(SUMSQ('TS-PILE'!$D$72:$D$91)=0,0,'TO HOP NLAN'!F17*'TS-PILE'!$D$88/SUMSQ('TS-PILE'!$D$72:$D$91))),IF('TS-PILE'!$B$89="",1E+99,'TO HOP NLAN'!D17/ncoc+IF(SUMSQ('TS-PILE'!$E$72:$E$91)=0,0,'TO HOP NLAN'!E17*'TS-PILE'!$E$89/SUMSQ('TS-PILE'!$E$72:$E$91))+IF(SUMSQ('TS-PILE'!$D$72:$D$91)=0,0,'TO HOP NLAN'!F17*'TS-PILE'!$D$89/SUMSQ('TS-PILE'!$D$72:$D$91))),IF('TS-PILE'!$B$90="",1E+99,'TO HOP NLAN'!D17/ncoc+IF(SUMSQ('TS-PILE'!$E$72:$E$91)=0,0,'TO HOP NLAN'!E17*'TS-PILE'!$E$90/SUMSQ('TS-PILE'!$E$72:$E$91))+IF(SUMSQ('TS-PILE'!$D$72:$D$91)=0,0,'TO HOP NLAN'!F17*'TS-PILE'!$D$90/SUMSQ('TS-PILE'!$D$72:$D$91))),IF('TS-PILE'!$B$91="",1E+99,'TO HOP NLAN'!D17/ncoc+IF(SUMSQ('TS-PILE'!$E$72:$E$91)=0,0,'TO HOP NLAN'!E17*'TS-PILE'!$E$91/SUMSQ('TS-PILE'!$E$72:$E$91))+IF(SUMSQ('TS-PILE'!$D$72:$D$91)=0,0,'TO HOP NLAN'!F17*'TS-PILE'!$D$91/SUMSQ('TS-PILE'!$D$72:$D$91)))))</f>
        <v>0</v>
      </c>
      <c r="E17" s="58">
        <f t="shared" si="0"/>
        <v>-9.9999999999999997E+98</v>
      </c>
      <c r="F17" s="58">
        <f t="shared" si="1"/>
        <v>9.9999999999999997E+98</v>
      </c>
      <c r="G17" s="58">
        <f t="shared" si="2"/>
        <v>-9.9999999999999997E+98</v>
      </c>
      <c r="H17" s="58">
        <f t="shared" si="3"/>
        <v>9.9999999999999997E+98</v>
      </c>
    </row>
    <row r="18" spans="1:8" x14ac:dyDescent="0.3">
      <c r="A18" s="42" t="str">
        <f>'TO HOP NLAN'!A18</f>
        <v/>
      </c>
      <c r="B18" s="42" t="str">
        <f>'TO HOP NLAN'!L18</f>
        <v>SERVICE</v>
      </c>
      <c r="C18" s="58">
        <f>IF(A18="",0,MAX(IF('TS-PILE'!$B$72="",-1E+99,'TO HOP NLAN'!D18/ncoc+IF(SUMSQ('TS-PILE'!$E$72:$E$91)=0,0,'TO HOP NLAN'!E18*'TS-PILE'!$E$72/SUMSQ('TS-PILE'!$E$72:$E$91))+IF(SUMSQ('TS-PILE'!$D$72:$D$91)=0,0,'TO HOP NLAN'!F18*'TS-PILE'!$D$72/SUMSQ('TS-PILE'!$D$72:$D$91))),IF('TS-PILE'!$B$73="",-1E+99,'TO HOP NLAN'!D18/ncoc+IF(SUMSQ('TS-PILE'!$E$72:$E$91)=0,0,'TO HOP NLAN'!E18*'TS-PILE'!$E$73/SUMSQ('TS-PILE'!$E$72:$E$91))+IF(SUMSQ('TS-PILE'!$D$72:$D$91)=0,0,'TO HOP NLAN'!F18*'TS-PILE'!$D$73/SUMSQ('TS-PILE'!$D$72:$D$91))),IF('TS-PILE'!$B$74="",-1E+99,'TO HOP NLAN'!D18/ncoc+IF(SUMSQ('TS-PILE'!$E$72:$E$91)=0,0,'TO HOP NLAN'!E18*'TS-PILE'!$E$74/SUMSQ('TS-PILE'!$E$72:$E$91))+IF(SUMSQ('TS-PILE'!$D$72:$D$91)=0,0,'TO HOP NLAN'!F18*'TS-PILE'!$D$74/SUMSQ('TS-PILE'!$D$72:$D$91))),IF('TS-PILE'!$B$75="",-1E+99,'TO HOP NLAN'!D18/ncoc+IF(SUMSQ('TS-PILE'!$E$72:$E$91)=0,0,'TO HOP NLAN'!E18*'TS-PILE'!$E$75/SUMSQ('TS-PILE'!$E$72:$E$91))+IF(SUMSQ('TS-PILE'!$D$72:$D$91)=0,0,'TO HOP NLAN'!F18*'TS-PILE'!$D$75/SUMSQ('TS-PILE'!$D$72:$D$91))),IF('TS-PILE'!$B$76="",-1E+99,'TO HOP NLAN'!D18/ncoc+IF(SUMSQ('TS-PILE'!$E$72:$E$91)=0,0,'TO HOP NLAN'!E18*'TS-PILE'!$E$76/SUMSQ('TS-PILE'!$E$72:$E$91))+IF(SUMSQ('TS-PILE'!$D$72:$D$91)=0,0,'TO HOP NLAN'!F18*'TS-PILE'!$D$76/SUMSQ('TS-PILE'!$D$72:$D$91))),IF('TS-PILE'!$B$77="",-1E+99,'TO HOP NLAN'!D18/ncoc+IF(SUMSQ('TS-PILE'!$E$72:$E$91)=0,0,'TO HOP NLAN'!E18*'TS-PILE'!$E$77/SUMSQ('TS-PILE'!$E$72:$E$91))+IF(SUMSQ('TS-PILE'!$D$72:$D$91)=0,0,'TO HOP NLAN'!F18*'TS-PILE'!$D$77/SUMSQ('TS-PILE'!$D$72:$D$91))),IF('TS-PILE'!$B$78="",-1E+99,'TO HOP NLAN'!D18/ncoc+IF(SUMSQ('TS-PILE'!$E$72:$E$91)=0,0,'TO HOP NLAN'!E18*'TS-PILE'!$E$78/SUMSQ('TS-PILE'!$E$72:$E$91))+IF(SUMSQ('TS-PILE'!$D$72:$D$91)=0,0,'TO HOP NLAN'!F18*'TS-PILE'!$D$78/SUMSQ('TS-PILE'!$D$72:$D$91))),IF('TS-PILE'!$B$79="",-1E+99,'TO HOP NLAN'!D18/ncoc+IF(SUMSQ('TS-PILE'!$E$72:$E$91)=0,0,'TO HOP NLAN'!E18*'TS-PILE'!$E$79/SUMSQ('TS-PILE'!$E$72:$E$91))+IF(SUMSQ('TS-PILE'!$D$72:$D$91)=0,0,'TO HOP NLAN'!F18*'TS-PILE'!$D$79/SUMSQ('TS-PILE'!$D$72:$D$91))),IF('TS-PILE'!$B$80="",-1E+99,'TO HOP NLAN'!D18/ncoc+IF(SUMSQ('TS-PILE'!$E$72:$E$91)=0,0,'TO HOP NLAN'!E18*'TS-PILE'!$E$80/SUMSQ('TS-PILE'!$E$72:$E$91))+IF(SUMSQ('TS-PILE'!$D$72:$D$91)=0,0,'TO HOP NLAN'!F18*'TS-PILE'!$D$80/SUMSQ('TS-PILE'!$D$72:$D$91))),IF('TS-PILE'!$B$81="",-1E+99,'TO HOP NLAN'!D18/ncoc+IF(SUMSQ('TS-PILE'!$E$72:$E$91)=0,0,'TO HOP NLAN'!E18*'TS-PILE'!$E$81/SUMSQ('TS-PILE'!$E$72:$E$91))+IF(SUMSQ('TS-PILE'!$D$72:$D$91)=0,0,'TO HOP NLAN'!F18*'TS-PILE'!$D$81/SUMSQ('TS-PILE'!$D$72:$D$91))),IF('TS-PILE'!$B$82="",-1E+99,'TO HOP NLAN'!D18/ncoc+IF(SUMSQ('TS-PILE'!$E$72:$E$91)=0,0,'TO HOP NLAN'!E18*'TS-PILE'!$E$82/SUMSQ('TS-PILE'!$E$72:$E$91))+IF(SUMSQ('TS-PILE'!$D$72:$D$91)=0,0,'TO HOP NLAN'!F18*'TS-PILE'!$D$82/SUMSQ('TS-PILE'!$D$72:$D$91))),IF('TS-PILE'!$B$83="",-1E+99,'TO HOP NLAN'!D18/ncoc+IF(SUMSQ('TS-PILE'!$E$72:$E$91)=0,0,'TO HOP NLAN'!E18*'TS-PILE'!$E$83/SUMSQ('TS-PILE'!$E$72:$E$91))+IF(SUMSQ('TS-PILE'!$D$72:$D$91)=0,0,'TO HOP NLAN'!F18*'TS-PILE'!$D$83/SUMSQ('TS-PILE'!$D$72:$D$91))),IF('TS-PILE'!$B$84="",-1E+99,'TO HOP NLAN'!D18/ncoc+IF(SUMSQ('TS-PILE'!$E$72:$E$91)=0,0,'TO HOP NLAN'!E18*'TS-PILE'!$E$84/SUMSQ('TS-PILE'!$E$72:$E$91))+IF(SUMSQ('TS-PILE'!$D$72:$D$91)=0,0,'TO HOP NLAN'!F18*'TS-PILE'!$D$84/SUMSQ('TS-PILE'!$D$72:$D$91))),IF('TS-PILE'!$B$85="",-1E+99,'TO HOP NLAN'!D18/ncoc+IF(SUMSQ('TS-PILE'!$E$72:$E$91)=0,0,'TO HOP NLAN'!E18*'TS-PILE'!$E$85/SUMSQ('TS-PILE'!$E$72:$E$91))+IF(SUMSQ('TS-PILE'!$D$72:$D$91)=0,0,'TO HOP NLAN'!F18*'TS-PILE'!$D$85/SUMSQ('TS-PILE'!$D$72:$D$91))),IF('TS-PILE'!$B$86="",-1E+99,'TO HOP NLAN'!D18/ncoc+IF(SUMSQ('TS-PILE'!$E$72:$E$91)=0,0,'TO HOP NLAN'!E18*'TS-PILE'!$E$86/SUMSQ('TS-PILE'!$E$72:$E$91))+IF(SUMSQ('TS-PILE'!$D$72:$D$91)=0,0,'TO HOP NLAN'!F18*'TS-PILE'!$D$86/SUMSQ('TS-PILE'!$D$72:$D$91))),IF('TS-PILE'!$B$87="",-1E+99,'TO HOP NLAN'!D18/ncoc+IF(SUMSQ('TS-PILE'!$E$72:$E$91)=0,0,'TO HOP NLAN'!E18*'TS-PILE'!$E$87/SUMSQ('TS-PILE'!$E$72:$E$91))+IF(SUMSQ('TS-PILE'!$D$72:$D$91)=0,0,'TO HOP NLAN'!F18*'TS-PILE'!$D$87/SUMSQ('TS-PILE'!$D$72:$D$91))),IF('TS-PILE'!$B$88="",-1E+99,'TO HOP NLAN'!D18/ncoc+IF(SUMSQ('TS-PILE'!$E$72:$E$91)=0,0,'TO HOP NLAN'!E18*'TS-PILE'!$E$88/SUMSQ('TS-PILE'!$E$72:$E$91))+IF(SUMSQ('TS-PILE'!$D$72:$D$91)=0,0,'TO HOP NLAN'!F18*'TS-PILE'!$D$88/SUMSQ('TS-PILE'!$D$72:$D$91))),IF('TS-PILE'!$B$89="",-1E+99,'TO HOP NLAN'!D18/ncoc+IF(SUMSQ('TS-PILE'!$E$72:$E$91)=0,0,'TO HOP NLAN'!E18*'TS-PILE'!$E$89/SUMSQ('TS-PILE'!$E$72:$E$91))+IF(SUMSQ('TS-PILE'!$D$72:$D$91)=0,0,'TO HOP NLAN'!F18*'TS-PILE'!$D$89/SUMSQ('TS-PILE'!$D$72:$D$91))),IF('TS-PILE'!$B$90="",-1E+99,'TO HOP NLAN'!D18/ncoc+IF(SUMSQ('TS-PILE'!$E$72:$E$91)=0,0,'TO HOP NLAN'!E18*'TS-PILE'!$E$90/SUMSQ('TS-PILE'!$E$72:$E$91))+IF(SUMSQ('TS-PILE'!$D$72:$D$91)=0,0,'TO HOP NLAN'!F18*'TS-PILE'!$D$90/SUMSQ('TS-PILE'!$D$72:$D$91))),IF('TS-PILE'!$B$91="",-1E+99,'TO HOP NLAN'!D18/ncoc+IF(SUMSQ('TS-PILE'!$E$72:$E$91)=0,0,'TO HOP NLAN'!E18*'TS-PILE'!$E$91/SUMSQ('TS-PILE'!$E$72:$E$91))+IF(SUMSQ('TS-PILE'!$D$72:$D$91)=0,0,'TO HOP NLAN'!F18*'TS-PILE'!$D$91/SUMSQ('TS-PILE'!$D$72:$D$91)))))</f>
        <v>0</v>
      </c>
      <c r="D18" s="58">
        <f>IF(A18="",0,MIN(IF('TS-PILE'!$B$72="",1E+99,'TO HOP NLAN'!D18/ncoc+IF(SUMSQ('TS-PILE'!$E$72:$E$91)=0,0,'TO HOP NLAN'!E18*'TS-PILE'!$E$72/SUMSQ('TS-PILE'!$E$72:$E$91))+IF(SUMSQ('TS-PILE'!$D$72:$D$91)=0,0,'TO HOP NLAN'!F18*'TS-PILE'!$D$72/SUMSQ('TS-PILE'!$D$72:$D$91))),IF('TS-PILE'!$B$73="",1E+99,'TO HOP NLAN'!D18/ncoc+IF(SUMSQ('TS-PILE'!$E$72:$E$91)=0,0,'TO HOP NLAN'!E18*'TS-PILE'!$E$73/SUMSQ('TS-PILE'!$E$72:$E$91))+IF(SUMSQ('TS-PILE'!$D$72:$D$91)=0,0,'TO HOP NLAN'!F18*'TS-PILE'!$D$73/SUMSQ('TS-PILE'!$D$72:$D$91))),IF('TS-PILE'!$B$74="",1E+99,'TO HOP NLAN'!D18/ncoc+IF(SUMSQ('TS-PILE'!$E$72:$E$91)=0,0,'TO HOP NLAN'!E18*'TS-PILE'!$E$74/SUMSQ('TS-PILE'!$E$72:$E$91))+IF(SUMSQ('TS-PILE'!$D$72:$D$91)=0,0,'TO HOP NLAN'!F18*'TS-PILE'!$D$74/SUMSQ('TS-PILE'!$D$72:$D$91))),IF('TS-PILE'!$B$75="",1E+99,'TO HOP NLAN'!D18/ncoc+IF(SUMSQ('TS-PILE'!$E$72:$E$91)=0,0,'TO HOP NLAN'!E18*'TS-PILE'!$E$75/SUMSQ('TS-PILE'!$E$72:$E$91))+IF(SUMSQ('TS-PILE'!$D$72:$D$91)=0,0,'TO HOP NLAN'!F18*'TS-PILE'!$D$75/SUMSQ('TS-PILE'!$D$72:$D$91))),IF('TS-PILE'!$B$76="",1E+99,'TO HOP NLAN'!D18/ncoc+IF(SUMSQ('TS-PILE'!$E$72:$E$91)=0,0,'TO HOP NLAN'!E18*'TS-PILE'!$E$76/SUMSQ('TS-PILE'!$E$72:$E$91))+IF(SUMSQ('TS-PILE'!$D$72:$D$91)=0,0,'TO HOP NLAN'!F18*'TS-PILE'!$D$76/SUMSQ('TS-PILE'!$D$72:$D$91))),IF('TS-PILE'!$B$77="",1E+99,'TO HOP NLAN'!D18/ncoc+IF(SUMSQ('TS-PILE'!$E$72:$E$91)=0,0,'TO HOP NLAN'!E18*'TS-PILE'!$E$77/SUMSQ('TS-PILE'!$E$72:$E$91))+IF(SUMSQ('TS-PILE'!$D$72:$D$91)=0,0,'TO HOP NLAN'!F18*'TS-PILE'!$D$77/SUMSQ('TS-PILE'!$D$72:$D$91))),IF('TS-PILE'!$B$78="",1E+99,'TO HOP NLAN'!D18/ncoc+IF(SUMSQ('TS-PILE'!$E$72:$E$91)=0,0,'TO HOP NLAN'!E18*'TS-PILE'!$E$78/SUMSQ('TS-PILE'!$E$72:$E$91))+IF(SUMSQ('TS-PILE'!$D$72:$D$91)=0,0,'TO HOP NLAN'!F18*'TS-PILE'!$D$78/SUMSQ('TS-PILE'!$D$72:$D$91))),IF('TS-PILE'!$B$79="",1E+99,'TO HOP NLAN'!D18/ncoc+IF(SUMSQ('TS-PILE'!$E$72:$E$91)=0,0,'TO HOP NLAN'!E18*'TS-PILE'!$E$79/SUMSQ('TS-PILE'!$E$72:$E$91))+IF(SUMSQ('TS-PILE'!$D$72:$D$91)=0,0,'TO HOP NLAN'!F18*'TS-PILE'!$D$79/SUMSQ('TS-PILE'!$D$72:$D$91))),IF('TS-PILE'!$B$80="",1E+99,'TO HOP NLAN'!D18/ncoc+IF(SUMSQ('TS-PILE'!$E$72:$E$91)=0,0,'TO HOP NLAN'!E18*'TS-PILE'!$E$80/SUMSQ('TS-PILE'!$E$72:$E$91))+IF(SUMSQ('TS-PILE'!$D$72:$D$91)=0,0,'TO HOP NLAN'!F18*'TS-PILE'!$D$80/SUMSQ('TS-PILE'!$D$72:$D$91))),IF('TS-PILE'!$B$81="",1E+99,'TO HOP NLAN'!D18/ncoc+IF(SUMSQ('TS-PILE'!$E$72:$E$91)=0,0,'TO HOP NLAN'!E18*'TS-PILE'!$E$81/SUMSQ('TS-PILE'!$E$72:$E$91))+IF(SUMSQ('TS-PILE'!$D$72:$D$91)=0,0,'TO HOP NLAN'!F18*'TS-PILE'!$D$81/SUMSQ('TS-PILE'!$D$72:$D$91))),IF('TS-PILE'!$B$82="",1E+99,'TO HOP NLAN'!D18/ncoc+IF(SUMSQ('TS-PILE'!$E$72:$E$91)=0,0,'TO HOP NLAN'!E18*'TS-PILE'!$E$82/SUMSQ('TS-PILE'!$E$72:$E$91))+IF(SUMSQ('TS-PILE'!$D$72:$D$91)=0,0,'TO HOP NLAN'!F18*'TS-PILE'!$D$82/SUMSQ('TS-PILE'!$D$72:$D$91))),IF('TS-PILE'!$B$83="",1E+99,'TO HOP NLAN'!D18/ncoc+IF(SUMSQ('TS-PILE'!$E$72:$E$91)=0,0,'TO HOP NLAN'!E18*'TS-PILE'!$E$83/SUMSQ('TS-PILE'!$E$72:$E$91))+IF(SUMSQ('TS-PILE'!$D$72:$D$91)=0,0,'TO HOP NLAN'!F18*'TS-PILE'!$D$83/SUMSQ('TS-PILE'!$D$72:$D$91))),IF('TS-PILE'!$B$84="",1E+99,'TO HOP NLAN'!D18/ncoc+IF(SUMSQ('TS-PILE'!$E$72:$E$91)=0,0,'TO HOP NLAN'!E18*'TS-PILE'!$E$84/SUMSQ('TS-PILE'!$E$72:$E$91))+IF(SUMSQ('TS-PILE'!$D$72:$D$91)=0,0,'TO HOP NLAN'!F18*'TS-PILE'!$D$84/SUMSQ('TS-PILE'!$D$72:$D$91))),IF('TS-PILE'!$B$85="",1E+99,'TO HOP NLAN'!D18/ncoc+IF(SUMSQ('TS-PILE'!$E$72:$E$91)=0,0,'TO HOP NLAN'!E18*'TS-PILE'!$E$85/SUMSQ('TS-PILE'!$E$72:$E$91))+IF(SUMSQ('TS-PILE'!$D$72:$D$91)=0,0,'TO HOP NLAN'!F18*'TS-PILE'!$D$85/SUMSQ('TS-PILE'!$D$72:$D$91))),IF('TS-PILE'!$B$86="",1E+99,'TO HOP NLAN'!D18/ncoc+IF(SUMSQ('TS-PILE'!$E$72:$E$91)=0,0,'TO HOP NLAN'!E18*'TS-PILE'!$E$86/SUMSQ('TS-PILE'!$E$72:$E$91))+IF(SUMSQ('TS-PILE'!$D$72:$D$91)=0,0,'TO HOP NLAN'!F18*'TS-PILE'!$D$86/SUMSQ('TS-PILE'!$D$72:$D$91))),IF('TS-PILE'!$B$87="",1E+99,'TO HOP NLAN'!D18/ncoc+IF(SUMSQ('TS-PILE'!$E$72:$E$91)=0,0,'TO HOP NLAN'!E18*'TS-PILE'!$E$87/SUMSQ('TS-PILE'!$E$72:$E$91))+IF(SUMSQ('TS-PILE'!$D$72:$D$91)=0,0,'TO HOP NLAN'!F18*'TS-PILE'!$D$87/SUMSQ('TS-PILE'!$D$72:$D$91))),IF('TS-PILE'!$B$88="",1E+99,'TO HOP NLAN'!D18/ncoc+IF(SUMSQ('TS-PILE'!$E$72:$E$91)=0,0,'TO HOP NLAN'!E18*'TS-PILE'!$E$88/SUMSQ('TS-PILE'!$E$72:$E$91))+IF(SUMSQ('TS-PILE'!$D$72:$D$91)=0,0,'TO HOP NLAN'!F18*'TS-PILE'!$D$88/SUMSQ('TS-PILE'!$D$72:$D$91))),IF('TS-PILE'!$B$89="",1E+99,'TO HOP NLAN'!D18/ncoc+IF(SUMSQ('TS-PILE'!$E$72:$E$91)=0,0,'TO HOP NLAN'!E18*'TS-PILE'!$E$89/SUMSQ('TS-PILE'!$E$72:$E$91))+IF(SUMSQ('TS-PILE'!$D$72:$D$91)=0,0,'TO HOP NLAN'!F18*'TS-PILE'!$D$89/SUMSQ('TS-PILE'!$D$72:$D$91))),IF('TS-PILE'!$B$90="",1E+99,'TO HOP NLAN'!D18/ncoc+IF(SUMSQ('TS-PILE'!$E$72:$E$91)=0,0,'TO HOP NLAN'!E18*'TS-PILE'!$E$90/SUMSQ('TS-PILE'!$E$72:$E$91))+IF(SUMSQ('TS-PILE'!$D$72:$D$91)=0,0,'TO HOP NLAN'!F18*'TS-PILE'!$D$90/SUMSQ('TS-PILE'!$D$72:$D$91))),IF('TS-PILE'!$B$91="",1E+99,'TO HOP NLAN'!D18/ncoc+IF(SUMSQ('TS-PILE'!$E$72:$E$91)=0,0,'TO HOP NLAN'!E18*'TS-PILE'!$E$91/SUMSQ('TS-PILE'!$E$72:$E$91))+IF(SUMSQ('TS-PILE'!$D$72:$D$91)=0,0,'TO HOP NLAN'!F18*'TS-PILE'!$D$91/SUMSQ('TS-PILE'!$D$72:$D$91)))))</f>
        <v>0</v>
      </c>
      <c r="E18" s="58">
        <f t="shared" si="0"/>
        <v>-9.9999999999999997E+98</v>
      </c>
      <c r="F18" s="58">
        <f t="shared" si="1"/>
        <v>9.9999999999999997E+98</v>
      </c>
      <c r="G18" s="58">
        <f t="shared" si="2"/>
        <v>-9.9999999999999997E+98</v>
      </c>
      <c r="H18" s="58">
        <f t="shared" si="3"/>
        <v>9.9999999999999997E+98</v>
      </c>
    </row>
    <row r="19" spans="1:8" x14ac:dyDescent="0.3">
      <c r="A19" s="42" t="str">
        <f>'TO HOP NLAN'!A19</f>
        <v/>
      </c>
      <c r="B19" s="42" t="str">
        <f>'TO HOP NLAN'!L19</f>
        <v>SERVICE</v>
      </c>
      <c r="C19" s="58">
        <f>IF(A19="",0,MAX(IF('TS-PILE'!$B$72="",-1E+99,'TO HOP NLAN'!D19/ncoc+IF(SUMSQ('TS-PILE'!$E$72:$E$91)=0,0,'TO HOP NLAN'!E19*'TS-PILE'!$E$72/SUMSQ('TS-PILE'!$E$72:$E$91))+IF(SUMSQ('TS-PILE'!$D$72:$D$91)=0,0,'TO HOP NLAN'!F19*'TS-PILE'!$D$72/SUMSQ('TS-PILE'!$D$72:$D$91))),IF('TS-PILE'!$B$73="",-1E+99,'TO HOP NLAN'!D19/ncoc+IF(SUMSQ('TS-PILE'!$E$72:$E$91)=0,0,'TO HOP NLAN'!E19*'TS-PILE'!$E$73/SUMSQ('TS-PILE'!$E$72:$E$91))+IF(SUMSQ('TS-PILE'!$D$72:$D$91)=0,0,'TO HOP NLAN'!F19*'TS-PILE'!$D$73/SUMSQ('TS-PILE'!$D$72:$D$91))),IF('TS-PILE'!$B$74="",-1E+99,'TO HOP NLAN'!D19/ncoc+IF(SUMSQ('TS-PILE'!$E$72:$E$91)=0,0,'TO HOP NLAN'!E19*'TS-PILE'!$E$74/SUMSQ('TS-PILE'!$E$72:$E$91))+IF(SUMSQ('TS-PILE'!$D$72:$D$91)=0,0,'TO HOP NLAN'!F19*'TS-PILE'!$D$74/SUMSQ('TS-PILE'!$D$72:$D$91))),IF('TS-PILE'!$B$75="",-1E+99,'TO HOP NLAN'!D19/ncoc+IF(SUMSQ('TS-PILE'!$E$72:$E$91)=0,0,'TO HOP NLAN'!E19*'TS-PILE'!$E$75/SUMSQ('TS-PILE'!$E$72:$E$91))+IF(SUMSQ('TS-PILE'!$D$72:$D$91)=0,0,'TO HOP NLAN'!F19*'TS-PILE'!$D$75/SUMSQ('TS-PILE'!$D$72:$D$91))),IF('TS-PILE'!$B$76="",-1E+99,'TO HOP NLAN'!D19/ncoc+IF(SUMSQ('TS-PILE'!$E$72:$E$91)=0,0,'TO HOP NLAN'!E19*'TS-PILE'!$E$76/SUMSQ('TS-PILE'!$E$72:$E$91))+IF(SUMSQ('TS-PILE'!$D$72:$D$91)=0,0,'TO HOP NLAN'!F19*'TS-PILE'!$D$76/SUMSQ('TS-PILE'!$D$72:$D$91))),IF('TS-PILE'!$B$77="",-1E+99,'TO HOP NLAN'!D19/ncoc+IF(SUMSQ('TS-PILE'!$E$72:$E$91)=0,0,'TO HOP NLAN'!E19*'TS-PILE'!$E$77/SUMSQ('TS-PILE'!$E$72:$E$91))+IF(SUMSQ('TS-PILE'!$D$72:$D$91)=0,0,'TO HOP NLAN'!F19*'TS-PILE'!$D$77/SUMSQ('TS-PILE'!$D$72:$D$91))),IF('TS-PILE'!$B$78="",-1E+99,'TO HOP NLAN'!D19/ncoc+IF(SUMSQ('TS-PILE'!$E$72:$E$91)=0,0,'TO HOP NLAN'!E19*'TS-PILE'!$E$78/SUMSQ('TS-PILE'!$E$72:$E$91))+IF(SUMSQ('TS-PILE'!$D$72:$D$91)=0,0,'TO HOP NLAN'!F19*'TS-PILE'!$D$78/SUMSQ('TS-PILE'!$D$72:$D$91))),IF('TS-PILE'!$B$79="",-1E+99,'TO HOP NLAN'!D19/ncoc+IF(SUMSQ('TS-PILE'!$E$72:$E$91)=0,0,'TO HOP NLAN'!E19*'TS-PILE'!$E$79/SUMSQ('TS-PILE'!$E$72:$E$91))+IF(SUMSQ('TS-PILE'!$D$72:$D$91)=0,0,'TO HOP NLAN'!F19*'TS-PILE'!$D$79/SUMSQ('TS-PILE'!$D$72:$D$91))),IF('TS-PILE'!$B$80="",-1E+99,'TO HOP NLAN'!D19/ncoc+IF(SUMSQ('TS-PILE'!$E$72:$E$91)=0,0,'TO HOP NLAN'!E19*'TS-PILE'!$E$80/SUMSQ('TS-PILE'!$E$72:$E$91))+IF(SUMSQ('TS-PILE'!$D$72:$D$91)=0,0,'TO HOP NLAN'!F19*'TS-PILE'!$D$80/SUMSQ('TS-PILE'!$D$72:$D$91))),IF('TS-PILE'!$B$81="",-1E+99,'TO HOP NLAN'!D19/ncoc+IF(SUMSQ('TS-PILE'!$E$72:$E$91)=0,0,'TO HOP NLAN'!E19*'TS-PILE'!$E$81/SUMSQ('TS-PILE'!$E$72:$E$91))+IF(SUMSQ('TS-PILE'!$D$72:$D$91)=0,0,'TO HOP NLAN'!F19*'TS-PILE'!$D$81/SUMSQ('TS-PILE'!$D$72:$D$91))),IF('TS-PILE'!$B$82="",-1E+99,'TO HOP NLAN'!D19/ncoc+IF(SUMSQ('TS-PILE'!$E$72:$E$91)=0,0,'TO HOP NLAN'!E19*'TS-PILE'!$E$82/SUMSQ('TS-PILE'!$E$72:$E$91))+IF(SUMSQ('TS-PILE'!$D$72:$D$91)=0,0,'TO HOP NLAN'!F19*'TS-PILE'!$D$82/SUMSQ('TS-PILE'!$D$72:$D$91))),IF('TS-PILE'!$B$83="",-1E+99,'TO HOP NLAN'!D19/ncoc+IF(SUMSQ('TS-PILE'!$E$72:$E$91)=0,0,'TO HOP NLAN'!E19*'TS-PILE'!$E$83/SUMSQ('TS-PILE'!$E$72:$E$91))+IF(SUMSQ('TS-PILE'!$D$72:$D$91)=0,0,'TO HOP NLAN'!F19*'TS-PILE'!$D$83/SUMSQ('TS-PILE'!$D$72:$D$91))),IF('TS-PILE'!$B$84="",-1E+99,'TO HOP NLAN'!D19/ncoc+IF(SUMSQ('TS-PILE'!$E$72:$E$91)=0,0,'TO HOP NLAN'!E19*'TS-PILE'!$E$84/SUMSQ('TS-PILE'!$E$72:$E$91))+IF(SUMSQ('TS-PILE'!$D$72:$D$91)=0,0,'TO HOP NLAN'!F19*'TS-PILE'!$D$84/SUMSQ('TS-PILE'!$D$72:$D$91))),IF('TS-PILE'!$B$85="",-1E+99,'TO HOP NLAN'!D19/ncoc+IF(SUMSQ('TS-PILE'!$E$72:$E$91)=0,0,'TO HOP NLAN'!E19*'TS-PILE'!$E$85/SUMSQ('TS-PILE'!$E$72:$E$91))+IF(SUMSQ('TS-PILE'!$D$72:$D$91)=0,0,'TO HOP NLAN'!F19*'TS-PILE'!$D$85/SUMSQ('TS-PILE'!$D$72:$D$91))),IF('TS-PILE'!$B$86="",-1E+99,'TO HOP NLAN'!D19/ncoc+IF(SUMSQ('TS-PILE'!$E$72:$E$91)=0,0,'TO HOP NLAN'!E19*'TS-PILE'!$E$86/SUMSQ('TS-PILE'!$E$72:$E$91))+IF(SUMSQ('TS-PILE'!$D$72:$D$91)=0,0,'TO HOP NLAN'!F19*'TS-PILE'!$D$86/SUMSQ('TS-PILE'!$D$72:$D$91))),IF('TS-PILE'!$B$87="",-1E+99,'TO HOP NLAN'!D19/ncoc+IF(SUMSQ('TS-PILE'!$E$72:$E$91)=0,0,'TO HOP NLAN'!E19*'TS-PILE'!$E$87/SUMSQ('TS-PILE'!$E$72:$E$91))+IF(SUMSQ('TS-PILE'!$D$72:$D$91)=0,0,'TO HOP NLAN'!F19*'TS-PILE'!$D$87/SUMSQ('TS-PILE'!$D$72:$D$91))),IF('TS-PILE'!$B$88="",-1E+99,'TO HOP NLAN'!D19/ncoc+IF(SUMSQ('TS-PILE'!$E$72:$E$91)=0,0,'TO HOP NLAN'!E19*'TS-PILE'!$E$88/SUMSQ('TS-PILE'!$E$72:$E$91))+IF(SUMSQ('TS-PILE'!$D$72:$D$91)=0,0,'TO HOP NLAN'!F19*'TS-PILE'!$D$88/SUMSQ('TS-PILE'!$D$72:$D$91))),IF('TS-PILE'!$B$89="",-1E+99,'TO HOP NLAN'!D19/ncoc+IF(SUMSQ('TS-PILE'!$E$72:$E$91)=0,0,'TO HOP NLAN'!E19*'TS-PILE'!$E$89/SUMSQ('TS-PILE'!$E$72:$E$91))+IF(SUMSQ('TS-PILE'!$D$72:$D$91)=0,0,'TO HOP NLAN'!F19*'TS-PILE'!$D$89/SUMSQ('TS-PILE'!$D$72:$D$91))),IF('TS-PILE'!$B$90="",-1E+99,'TO HOP NLAN'!D19/ncoc+IF(SUMSQ('TS-PILE'!$E$72:$E$91)=0,0,'TO HOP NLAN'!E19*'TS-PILE'!$E$90/SUMSQ('TS-PILE'!$E$72:$E$91))+IF(SUMSQ('TS-PILE'!$D$72:$D$91)=0,0,'TO HOP NLAN'!F19*'TS-PILE'!$D$90/SUMSQ('TS-PILE'!$D$72:$D$91))),IF('TS-PILE'!$B$91="",-1E+99,'TO HOP NLAN'!D19/ncoc+IF(SUMSQ('TS-PILE'!$E$72:$E$91)=0,0,'TO HOP NLAN'!E19*'TS-PILE'!$E$91/SUMSQ('TS-PILE'!$E$72:$E$91))+IF(SUMSQ('TS-PILE'!$D$72:$D$91)=0,0,'TO HOP NLAN'!F19*'TS-PILE'!$D$91/SUMSQ('TS-PILE'!$D$72:$D$91)))))</f>
        <v>0</v>
      </c>
      <c r="D19" s="58">
        <f>IF(A19="",0,MIN(IF('TS-PILE'!$B$72="",1E+99,'TO HOP NLAN'!D19/ncoc+IF(SUMSQ('TS-PILE'!$E$72:$E$91)=0,0,'TO HOP NLAN'!E19*'TS-PILE'!$E$72/SUMSQ('TS-PILE'!$E$72:$E$91))+IF(SUMSQ('TS-PILE'!$D$72:$D$91)=0,0,'TO HOP NLAN'!F19*'TS-PILE'!$D$72/SUMSQ('TS-PILE'!$D$72:$D$91))),IF('TS-PILE'!$B$73="",1E+99,'TO HOP NLAN'!D19/ncoc+IF(SUMSQ('TS-PILE'!$E$72:$E$91)=0,0,'TO HOP NLAN'!E19*'TS-PILE'!$E$73/SUMSQ('TS-PILE'!$E$72:$E$91))+IF(SUMSQ('TS-PILE'!$D$72:$D$91)=0,0,'TO HOP NLAN'!F19*'TS-PILE'!$D$73/SUMSQ('TS-PILE'!$D$72:$D$91))),IF('TS-PILE'!$B$74="",1E+99,'TO HOP NLAN'!D19/ncoc+IF(SUMSQ('TS-PILE'!$E$72:$E$91)=0,0,'TO HOP NLAN'!E19*'TS-PILE'!$E$74/SUMSQ('TS-PILE'!$E$72:$E$91))+IF(SUMSQ('TS-PILE'!$D$72:$D$91)=0,0,'TO HOP NLAN'!F19*'TS-PILE'!$D$74/SUMSQ('TS-PILE'!$D$72:$D$91))),IF('TS-PILE'!$B$75="",1E+99,'TO HOP NLAN'!D19/ncoc+IF(SUMSQ('TS-PILE'!$E$72:$E$91)=0,0,'TO HOP NLAN'!E19*'TS-PILE'!$E$75/SUMSQ('TS-PILE'!$E$72:$E$91))+IF(SUMSQ('TS-PILE'!$D$72:$D$91)=0,0,'TO HOP NLAN'!F19*'TS-PILE'!$D$75/SUMSQ('TS-PILE'!$D$72:$D$91))),IF('TS-PILE'!$B$76="",1E+99,'TO HOP NLAN'!D19/ncoc+IF(SUMSQ('TS-PILE'!$E$72:$E$91)=0,0,'TO HOP NLAN'!E19*'TS-PILE'!$E$76/SUMSQ('TS-PILE'!$E$72:$E$91))+IF(SUMSQ('TS-PILE'!$D$72:$D$91)=0,0,'TO HOP NLAN'!F19*'TS-PILE'!$D$76/SUMSQ('TS-PILE'!$D$72:$D$91))),IF('TS-PILE'!$B$77="",1E+99,'TO HOP NLAN'!D19/ncoc+IF(SUMSQ('TS-PILE'!$E$72:$E$91)=0,0,'TO HOP NLAN'!E19*'TS-PILE'!$E$77/SUMSQ('TS-PILE'!$E$72:$E$91))+IF(SUMSQ('TS-PILE'!$D$72:$D$91)=0,0,'TO HOP NLAN'!F19*'TS-PILE'!$D$77/SUMSQ('TS-PILE'!$D$72:$D$91))),IF('TS-PILE'!$B$78="",1E+99,'TO HOP NLAN'!D19/ncoc+IF(SUMSQ('TS-PILE'!$E$72:$E$91)=0,0,'TO HOP NLAN'!E19*'TS-PILE'!$E$78/SUMSQ('TS-PILE'!$E$72:$E$91))+IF(SUMSQ('TS-PILE'!$D$72:$D$91)=0,0,'TO HOP NLAN'!F19*'TS-PILE'!$D$78/SUMSQ('TS-PILE'!$D$72:$D$91))),IF('TS-PILE'!$B$79="",1E+99,'TO HOP NLAN'!D19/ncoc+IF(SUMSQ('TS-PILE'!$E$72:$E$91)=0,0,'TO HOP NLAN'!E19*'TS-PILE'!$E$79/SUMSQ('TS-PILE'!$E$72:$E$91))+IF(SUMSQ('TS-PILE'!$D$72:$D$91)=0,0,'TO HOP NLAN'!F19*'TS-PILE'!$D$79/SUMSQ('TS-PILE'!$D$72:$D$91))),IF('TS-PILE'!$B$80="",1E+99,'TO HOP NLAN'!D19/ncoc+IF(SUMSQ('TS-PILE'!$E$72:$E$91)=0,0,'TO HOP NLAN'!E19*'TS-PILE'!$E$80/SUMSQ('TS-PILE'!$E$72:$E$91))+IF(SUMSQ('TS-PILE'!$D$72:$D$91)=0,0,'TO HOP NLAN'!F19*'TS-PILE'!$D$80/SUMSQ('TS-PILE'!$D$72:$D$91))),IF('TS-PILE'!$B$81="",1E+99,'TO HOP NLAN'!D19/ncoc+IF(SUMSQ('TS-PILE'!$E$72:$E$91)=0,0,'TO HOP NLAN'!E19*'TS-PILE'!$E$81/SUMSQ('TS-PILE'!$E$72:$E$91))+IF(SUMSQ('TS-PILE'!$D$72:$D$91)=0,0,'TO HOP NLAN'!F19*'TS-PILE'!$D$81/SUMSQ('TS-PILE'!$D$72:$D$91))),IF('TS-PILE'!$B$82="",1E+99,'TO HOP NLAN'!D19/ncoc+IF(SUMSQ('TS-PILE'!$E$72:$E$91)=0,0,'TO HOP NLAN'!E19*'TS-PILE'!$E$82/SUMSQ('TS-PILE'!$E$72:$E$91))+IF(SUMSQ('TS-PILE'!$D$72:$D$91)=0,0,'TO HOP NLAN'!F19*'TS-PILE'!$D$82/SUMSQ('TS-PILE'!$D$72:$D$91))),IF('TS-PILE'!$B$83="",1E+99,'TO HOP NLAN'!D19/ncoc+IF(SUMSQ('TS-PILE'!$E$72:$E$91)=0,0,'TO HOP NLAN'!E19*'TS-PILE'!$E$83/SUMSQ('TS-PILE'!$E$72:$E$91))+IF(SUMSQ('TS-PILE'!$D$72:$D$91)=0,0,'TO HOP NLAN'!F19*'TS-PILE'!$D$83/SUMSQ('TS-PILE'!$D$72:$D$91))),IF('TS-PILE'!$B$84="",1E+99,'TO HOP NLAN'!D19/ncoc+IF(SUMSQ('TS-PILE'!$E$72:$E$91)=0,0,'TO HOP NLAN'!E19*'TS-PILE'!$E$84/SUMSQ('TS-PILE'!$E$72:$E$91))+IF(SUMSQ('TS-PILE'!$D$72:$D$91)=0,0,'TO HOP NLAN'!F19*'TS-PILE'!$D$84/SUMSQ('TS-PILE'!$D$72:$D$91))),IF('TS-PILE'!$B$85="",1E+99,'TO HOP NLAN'!D19/ncoc+IF(SUMSQ('TS-PILE'!$E$72:$E$91)=0,0,'TO HOP NLAN'!E19*'TS-PILE'!$E$85/SUMSQ('TS-PILE'!$E$72:$E$91))+IF(SUMSQ('TS-PILE'!$D$72:$D$91)=0,0,'TO HOP NLAN'!F19*'TS-PILE'!$D$85/SUMSQ('TS-PILE'!$D$72:$D$91))),IF('TS-PILE'!$B$86="",1E+99,'TO HOP NLAN'!D19/ncoc+IF(SUMSQ('TS-PILE'!$E$72:$E$91)=0,0,'TO HOP NLAN'!E19*'TS-PILE'!$E$86/SUMSQ('TS-PILE'!$E$72:$E$91))+IF(SUMSQ('TS-PILE'!$D$72:$D$91)=0,0,'TO HOP NLAN'!F19*'TS-PILE'!$D$86/SUMSQ('TS-PILE'!$D$72:$D$91))),IF('TS-PILE'!$B$87="",1E+99,'TO HOP NLAN'!D19/ncoc+IF(SUMSQ('TS-PILE'!$E$72:$E$91)=0,0,'TO HOP NLAN'!E19*'TS-PILE'!$E$87/SUMSQ('TS-PILE'!$E$72:$E$91))+IF(SUMSQ('TS-PILE'!$D$72:$D$91)=0,0,'TO HOP NLAN'!F19*'TS-PILE'!$D$87/SUMSQ('TS-PILE'!$D$72:$D$91))),IF('TS-PILE'!$B$88="",1E+99,'TO HOP NLAN'!D19/ncoc+IF(SUMSQ('TS-PILE'!$E$72:$E$91)=0,0,'TO HOP NLAN'!E19*'TS-PILE'!$E$88/SUMSQ('TS-PILE'!$E$72:$E$91))+IF(SUMSQ('TS-PILE'!$D$72:$D$91)=0,0,'TO HOP NLAN'!F19*'TS-PILE'!$D$88/SUMSQ('TS-PILE'!$D$72:$D$91))),IF('TS-PILE'!$B$89="",1E+99,'TO HOP NLAN'!D19/ncoc+IF(SUMSQ('TS-PILE'!$E$72:$E$91)=0,0,'TO HOP NLAN'!E19*'TS-PILE'!$E$89/SUMSQ('TS-PILE'!$E$72:$E$91))+IF(SUMSQ('TS-PILE'!$D$72:$D$91)=0,0,'TO HOP NLAN'!F19*'TS-PILE'!$D$89/SUMSQ('TS-PILE'!$D$72:$D$91))),IF('TS-PILE'!$B$90="",1E+99,'TO HOP NLAN'!D19/ncoc+IF(SUMSQ('TS-PILE'!$E$72:$E$91)=0,0,'TO HOP NLAN'!E19*'TS-PILE'!$E$90/SUMSQ('TS-PILE'!$E$72:$E$91))+IF(SUMSQ('TS-PILE'!$D$72:$D$91)=0,0,'TO HOP NLAN'!F19*'TS-PILE'!$D$90/SUMSQ('TS-PILE'!$D$72:$D$91))),IF('TS-PILE'!$B$91="",1E+99,'TO HOP NLAN'!D19/ncoc+IF(SUMSQ('TS-PILE'!$E$72:$E$91)=0,0,'TO HOP NLAN'!E19*'TS-PILE'!$E$91/SUMSQ('TS-PILE'!$E$72:$E$91))+IF(SUMSQ('TS-PILE'!$D$72:$D$91)=0,0,'TO HOP NLAN'!F19*'TS-PILE'!$D$91/SUMSQ('TS-PILE'!$D$72:$D$91)))))</f>
        <v>0</v>
      </c>
      <c r="E19" s="58">
        <f t="shared" si="0"/>
        <v>-9.9999999999999997E+98</v>
      </c>
      <c r="F19" s="58">
        <f t="shared" si="1"/>
        <v>9.9999999999999997E+98</v>
      </c>
      <c r="G19" s="58">
        <f t="shared" si="2"/>
        <v>-9.9999999999999997E+98</v>
      </c>
      <c r="H19" s="58">
        <f t="shared" si="3"/>
        <v>9.9999999999999997E+98</v>
      </c>
    </row>
    <row r="20" spans="1:8" x14ac:dyDescent="0.3">
      <c r="A20" s="42" t="str">
        <f>'TO HOP NLAN'!A20</f>
        <v/>
      </c>
      <c r="B20" s="42" t="str">
        <f>'TO HOP NLAN'!L20</f>
        <v>SERVICE</v>
      </c>
      <c r="C20" s="58">
        <f>IF(A20="",0,MAX(IF('TS-PILE'!$B$72="",-1E+99,'TO HOP NLAN'!D20/ncoc+IF(SUMSQ('TS-PILE'!$E$72:$E$91)=0,0,'TO HOP NLAN'!E20*'TS-PILE'!$E$72/SUMSQ('TS-PILE'!$E$72:$E$91))+IF(SUMSQ('TS-PILE'!$D$72:$D$91)=0,0,'TO HOP NLAN'!F20*'TS-PILE'!$D$72/SUMSQ('TS-PILE'!$D$72:$D$91))),IF('TS-PILE'!$B$73="",-1E+99,'TO HOP NLAN'!D20/ncoc+IF(SUMSQ('TS-PILE'!$E$72:$E$91)=0,0,'TO HOP NLAN'!E20*'TS-PILE'!$E$73/SUMSQ('TS-PILE'!$E$72:$E$91))+IF(SUMSQ('TS-PILE'!$D$72:$D$91)=0,0,'TO HOP NLAN'!F20*'TS-PILE'!$D$73/SUMSQ('TS-PILE'!$D$72:$D$91))),IF('TS-PILE'!$B$74="",-1E+99,'TO HOP NLAN'!D20/ncoc+IF(SUMSQ('TS-PILE'!$E$72:$E$91)=0,0,'TO HOP NLAN'!E20*'TS-PILE'!$E$74/SUMSQ('TS-PILE'!$E$72:$E$91))+IF(SUMSQ('TS-PILE'!$D$72:$D$91)=0,0,'TO HOP NLAN'!F20*'TS-PILE'!$D$74/SUMSQ('TS-PILE'!$D$72:$D$91))),IF('TS-PILE'!$B$75="",-1E+99,'TO HOP NLAN'!D20/ncoc+IF(SUMSQ('TS-PILE'!$E$72:$E$91)=0,0,'TO HOP NLAN'!E20*'TS-PILE'!$E$75/SUMSQ('TS-PILE'!$E$72:$E$91))+IF(SUMSQ('TS-PILE'!$D$72:$D$91)=0,0,'TO HOP NLAN'!F20*'TS-PILE'!$D$75/SUMSQ('TS-PILE'!$D$72:$D$91))),IF('TS-PILE'!$B$76="",-1E+99,'TO HOP NLAN'!D20/ncoc+IF(SUMSQ('TS-PILE'!$E$72:$E$91)=0,0,'TO HOP NLAN'!E20*'TS-PILE'!$E$76/SUMSQ('TS-PILE'!$E$72:$E$91))+IF(SUMSQ('TS-PILE'!$D$72:$D$91)=0,0,'TO HOP NLAN'!F20*'TS-PILE'!$D$76/SUMSQ('TS-PILE'!$D$72:$D$91))),IF('TS-PILE'!$B$77="",-1E+99,'TO HOP NLAN'!D20/ncoc+IF(SUMSQ('TS-PILE'!$E$72:$E$91)=0,0,'TO HOP NLAN'!E20*'TS-PILE'!$E$77/SUMSQ('TS-PILE'!$E$72:$E$91))+IF(SUMSQ('TS-PILE'!$D$72:$D$91)=0,0,'TO HOP NLAN'!F20*'TS-PILE'!$D$77/SUMSQ('TS-PILE'!$D$72:$D$91))),IF('TS-PILE'!$B$78="",-1E+99,'TO HOP NLAN'!D20/ncoc+IF(SUMSQ('TS-PILE'!$E$72:$E$91)=0,0,'TO HOP NLAN'!E20*'TS-PILE'!$E$78/SUMSQ('TS-PILE'!$E$72:$E$91))+IF(SUMSQ('TS-PILE'!$D$72:$D$91)=0,0,'TO HOP NLAN'!F20*'TS-PILE'!$D$78/SUMSQ('TS-PILE'!$D$72:$D$91))),IF('TS-PILE'!$B$79="",-1E+99,'TO HOP NLAN'!D20/ncoc+IF(SUMSQ('TS-PILE'!$E$72:$E$91)=0,0,'TO HOP NLAN'!E20*'TS-PILE'!$E$79/SUMSQ('TS-PILE'!$E$72:$E$91))+IF(SUMSQ('TS-PILE'!$D$72:$D$91)=0,0,'TO HOP NLAN'!F20*'TS-PILE'!$D$79/SUMSQ('TS-PILE'!$D$72:$D$91))),IF('TS-PILE'!$B$80="",-1E+99,'TO HOP NLAN'!D20/ncoc+IF(SUMSQ('TS-PILE'!$E$72:$E$91)=0,0,'TO HOP NLAN'!E20*'TS-PILE'!$E$80/SUMSQ('TS-PILE'!$E$72:$E$91))+IF(SUMSQ('TS-PILE'!$D$72:$D$91)=0,0,'TO HOP NLAN'!F20*'TS-PILE'!$D$80/SUMSQ('TS-PILE'!$D$72:$D$91))),IF('TS-PILE'!$B$81="",-1E+99,'TO HOP NLAN'!D20/ncoc+IF(SUMSQ('TS-PILE'!$E$72:$E$91)=0,0,'TO HOP NLAN'!E20*'TS-PILE'!$E$81/SUMSQ('TS-PILE'!$E$72:$E$91))+IF(SUMSQ('TS-PILE'!$D$72:$D$91)=0,0,'TO HOP NLAN'!F20*'TS-PILE'!$D$81/SUMSQ('TS-PILE'!$D$72:$D$91))),IF('TS-PILE'!$B$82="",-1E+99,'TO HOP NLAN'!D20/ncoc+IF(SUMSQ('TS-PILE'!$E$72:$E$91)=0,0,'TO HOP NLAN'!E20*'TS-PILE'!$E$82/SUMSQ('TS-PILE'!$E$72:$E$91))+IF(SUMSQ('TS-PILE'!$D$72:$D$91)=0,0,'TO HOP NLAN'!F20*'TS-PILE'!$D$82/SUMSQ('TS-PILE'!$D$72:$D$91))),IF('TS-PILE'!$B$83="",-1E+99,'TO HOP NLAN'!D20/ncoc+IF(SUMSQ('TS-PILE'!$E$72:$E$91)=0,0,'TO HOP NLAN'!E20*'TS-PILE'!$E$83/SUMSQ('TS-PILE'!$E$72:$E$91))+IF(SUMSQ('TS-PILE'!$D$72:$D$91)=0,0,'TO HOP NLAN'!F20*'TS-PILE'!$D$83/SUMSQ('TS-PILE'!$D$72:$D$91))),IF('TS-PILE'!$B$84="",-1E+99,'TO HOP NLAN'!D20/ncoc+IF(SUMSQ('TS-PILE'!$E$72:$E$91)=0,0,'TO HOP NLAN'!E20*'TS-PILE'!$E$84/SUMSQ('TS-PILE'!$E$72:$E$91))+IF(SUMSQ('TS-PILE'!$D$72:$D$91)=0,0,'TO HOP NLAN'!F20*'TS-PILE'!$D$84/SUMSQ('TS-PILE'!$D$72:$D$91))),IF('TS-PILE'!$B$85="",-1E+99,'TO HOP NLAN'!D20/ncoc+IF(SUMSQ('TS-PILE'!$E$72:$E$91)=0,0,'TO HOP NLAN'!E20*'TS-PILE'!$E$85/SUMSQ('TS-PILE'!$E$72:$E$91))+IF(SUMSQ('TS-PILE'!$D$72:$D$91)=0,0,'TO HOP NLAN'!F20*'TS-PILE'!$D$85/SUMSQ('TS-PILE'!$D$72:$D$91))),IF('TS-PILE'!$B$86="",-1E+99,'TO HOP NLAN'!D20/ncoc+IF(SUMSQ('TS-PILE'!$E$72:$E$91)=0,0,'TO HOP NLAN'!E20*'TS-PILE'!$E$86/SUMSQ('TS-PILE'!$E$72:$E$91))+IF(SUMSQ('TS-PILE'!$D$72:$D$91)=0,0,'TO HOP NLAN'!F20*'TS-PILE'!$D$86/SUMSQ('TS-PILE'!$D$72:$D$91))),IF('TS-PILE'!$B$87="",-1E+99,'TO HOP NLAN'!D20/ncoc+IF(SUMSQ('TS-PILE'!$E$72:$E$91)=0,0,'TO HOP NLAN'!E20*'TS-PILE'!$E$87/SUMSQ('TS-PILE'!$E$72:$E$91))+IF(SUMSQ('TS-PILE'!$D$72:$D$91)=0,0,'TO HOP NLAN'!F20*'TS-PILE'!$D$87/SUMSQ('TS-PILE'!$D$72:$D$91))),IF('TS-PILE'!$B$88="",-1E+99,'TO HOP NLAN'!D20/ncoc+IF(SUMSQ('TS-PILE'!$E$72:$E$91)=0,0,'TO HOP NLAN'!E20*'TS-PILE'!$E$88/SUMSQ('TS-PILE'!$E$72:$E$91))+IF(SUMSQ('TS-PILE'!$D$72:$D$91)=0,0,'TO HOP NLAN'!F20*'TS-PILE'!$D$88/SUMSQ('TS-PILE'!$D$72:$D$91))),IF('TS-PILE'!$B$89="",-1E+99,'TO HOP NLAN'!D20/ncoc+IF(SUMSQ('TS-PILE'!$E$72:$E$91)=0,0,'TO HOP NLAN'!E20*'TS-PILE'!$E$89/SUMSQ('TS-PILE'!$E$72:$E$91))+IF(SUMSQ('TS-PILE'!$D$72:$D$91)=0,0,'TO HOP NLAN'!F20*'TS-PILE'!$D$89/SUMSQ('TS-PILE'!$D$72:$D$91))),IF('TS-PILE'!$B$90="",-1E+99,'TO HOP NLAN'!D20/ncoc+IF(SUMSQ('TS-PILE'!$E$72:$E$91)=0,0,'TO HOP NLAN'!E20*'TS-PILE'!$E$90/SUMSQ('TS-PILE'!$E$72:$E$91))+IF(SUMSQ('TS-PILE'!$D$72:$D$91)=0,0,'TO HOP NLAN'!F20*'TS-PILE'!$D$90/SUMSQ('TS-PILE'!$D$72:$D$91))),IF('TS-PILE'!$B$91="",-1E+99,'TO HOP NLAN'!D20/ncoc+IF(SUMSQ('TS-PILE'!$E$72:$E$91)=0,0,'TO HOP NLAN'!E20*'TS-PILE'!$E$91/SUMSQ('TS-PILE'!$E$72:$E$91))+IF(SUMSQ('TS-PILE'!$D$72:$D$91)=0,0,'TO HOP NLAN'!F20*'TS-PILE'!$D$91/SUMSQ('TS-PILE'!$D$72:$D$91)))))</f>
        <v>0</v>
      </c>
      <c r="D20" s="58">
        <f>IF(A20="",0,MIN(IF('TS-PILE'!$B$72="",1E+99,'TO HOP NLAN'!D20/ncoc+IF(SUMSQ('TS-PILE'!$E$72:$E$91)=0,0,'TO HOP NLAN'!E20*'TS-PILE'!$E$72/SUMSQ('TS-PILE'!$E$72:$E$91))+IF(SUMSQ('TS-PILE'!$D$72:$D$91)=0,0,'TO HOP NLAN'!F20*'TS-PILE'!$D$72/SUMSQ('TS-PILE'!$D$72:$D$91))),IF('TS-PILE'!$B$73="",1E+99,'TO HOP NLAN'!D20/ncoc+IF(SUMSQ('TS-PILE'!$E$72:$E$91)=0,0,'TO HOP NLAN'!E20*'TS-PILE'!$E$73/SUMSQ('TS-PILE'!$E$72:$E$91))+IF(SUMSQ('TS-PILE'!$D$72:$D$91)=0,0,'TO HOP NLAN'!F20*'TS-PILE'!$D$73/SUMSQ('TS-PILE'!$D$72:$D$91))),IF('TS-PILE'!$B$74="",1E+99,'TO HOP NLAN'!D20/ncoc+IF(SUMSQ('TS-PILE'!$E$72:$E$91)=0,0,'TO HOP NLAN'!E20*'TS-PILE'!$E$74/SUMSQ('TS-PILE'!$E$72:$E$91))+IF(SUMSQ('TS-PILE'!$D$72:$D$91)=0,0,'TO HOP NLAN'!F20*'TS-PILE'!$D$74/SUMSQ('TS-PILE'!$D$72:$D$91))),IF('TS-PILE'!$B$75="",1E+99,'TO HOP NLAN'!D20/ncoc+IF(SUMSQ('TS-PILE'!$E$72:$E$91)=0,0,'TO HOP NLAN'!E20*'TS-PILE'!$E$75/SUMSQ('TS-PILE'!$E$72:$E$91))+IF(SUMSQ('TS-PILE'!$D$72:$D$91)=0,0,'TO HOP NLAN'!F20*'TS-PILE'!$D$75/SUMSQ('TS-PILE'!$D$72:$D$91))),IF('TS-PILE'!$B$76="",1E+99,'TO HOP NLAN'!D20/ncoc+IF(SUMSQ('TS-PILE'!$E$72:$E$91)=0,0,'TO HOP NLAN'!E20*'TS-PILE'!$E$76/SUMSQ('TS-PILE'!$E$72:$E$91))+IF(SUMSQ('TS-PILE'!$D$72:$D$91)=0,0,'TO HOP NLAN'!F20*'TS-PILE'!$D$76/SUMSQ('TS-PILE'!$D$72:$D$91))),IF('TS-PILE'!$B$77="",1E+99,'TO HOP NLAN'!D20/ncoc+IF(SUMSQ('TS-PILE'!$E$72:$E$91)=0,0,'TO HOP NLAN'!E20*'TS-PILE'!$E$77/SUMSQ('TS-PILE'!$E$72:$E$91))+IF(SUMSQ('TS-PILE'!$D$72:$D$91)=0,0,'TO HOP NLAN'!F20*'TS-PILE'!$D$77/SUMSQ('TS-PILE'!$D$72:$D$91))),IF('TS-PILE'!$B$78="",1E+99,'TO HOP NLAN'!D20/ncoc+IF(SUMSQ('TS-PILE'!$E$72:$E$91)=0,0,'TO HOP NLAN'!E20*'TS-PILE'!$E$78/SUMSQ('TS-PILE'!$E$72:$E$91))+IF(SUMSQ('TS-PILE'!$D$72:$D$91)=0,0,'TO HOP NLAN'!F20*'TS-PILE'!$D$78/SUMSQ('TS-PILE'!$D$72:$D$91))),IF('TS-PILE'!$B$79="",1E+99,'TO HOP NLAN'!D20/ncoc+IF(SUMSQ('TS-PILE'!$E$72:$E$91)=0,0,'TO HOP NLAN'!E20*'TS-PILE'!$E$79/SUMSQ('TS-PILE'!$E$72:$E$91))+IF(SUMSQ('TS-PILE'!$D$72:$D$91)=0,0,'TO HOP NLAN'!F20*'TS-PILE'!$D$79/SUMSQ('TS-PILE'!$D$72:$D$91))),IF('TS-PILE'!$B$80="",1E+99,'TO HOP NLAN'!D20/ncoc+IF(SUMSQ('TS-PILE'!$E$72:$E$91)=0,0,'TO HOP NLAN'!E20*'TS-PILE'!$E$80/SUMSQ('TS-PILE'!$E$72:$E$91))+IF(SUMSQ('TS-PILE'!$D$72:$D$91)=0,0,'TO HOP NLAN'!F20*'TS-PILE'!$D$80/SUMSQ('TS-PILE'!$D$72:$D$91))),IF('TS-PILE'!$B$81="",1E+99,'TO HOP NLAN'!D20/ncoc+IF(SUMSQ('TS-PILE'!$E$72:$E$91)=0,0,'TO HOP NLAN'!E20*'TS-PILE'!$E$81/SUMSQ('TS-PILE'!$E$72:$E$91))+IF(SUMSQ('TS-PILE'!$D$72:$D$91)=0,0,'TO HOP NLAN'!F20*'TS-PILE'!$D$81/SUMSQ('TS-PILE'!$D$72:$D$91))),IF('TS-PILE'!$B$82="",1E+99,'TO HOP NLAN'!D20/ncoc+IF(SUMSQ('TS-PILE'!$E$72:$E$91)=0,0,'TO HOP NLAN'!E20*'TS-PILE'!$E$82/SUMSQ('TS-PILE'!$E$72:$E$91))+IF(SUMSQ('TS-PILE'!$D$72:$D$91)=0,0,'TO HOP NLAN'!F20*'TS-PILE'!$D$82/SUMSQ('TS-PILE'!$D$72:$D$91))),IF('TS-PILE'!$B$83="",1E+99,'TO HOP NLAN'!D20/ncoc+IF(SUMSQ('TS-PILE'!$E$72:$E$91)=0,0,'TO HOP NLAN'!E20*'TS-PILE'!$E$83/SUMSQ('TS-PILE'!$E$72:$E$91))+IF(SUMSQ('TS-PILE'!$D$72:$D$91)=0,0,'TO HOP NLAN'!F20*'TS-PILE'!$D$83/SUMSQ('TS-PILE'!$D$72:$D$91))),IF('TS-PILE'!$B$84="",1E+99,'TO HOP NLAN'!D20/ncoc+IF(SUMSQ('TS-PILE'!$E$72:$E$91)=0,0,'TO HOP NLAN'!E20*'TS-PILE'!$E$84/SUMSQ('TS-PILE'!$E$72:$E$91))+IF(SUMSQ('TS-PILE'!$D$72:$D$91)=0,0,'TO HOP NLAN'!F20*'TS-PILE'!$D$84/SUMSQ('TS-PILE'!$D$72:$D$91))),IF('TS-PILE'!$B$85="",1E+99,'TO HOP NLAN'!D20/ncoc+IF(SUMSQ('TS-PILE'!$E$72:$E$91)=0,0,'TO HOP NLAN'!E20*'TS-PILE'!$E$85/SUMSQ('TS-PILE'!$E$72:$E$91))+IF(SUMSQ('TS-PILE'!$D$72:$D$91)=0,0,'TO HOP NLAN'!F20*'TS-PILE'!$D$85/SUMSQ('TS-PILE'!$D$72:$D$91))),IF('TS-PILE'!$B$86="",1E+99,'TO HOP NLAN'!D20/ncoc+IF(SUMSQ('TS-PILE'!$E$72:$E$91)=0,0,'TO HOP NLAN'!E20*'TS-PILE'!$E$86/SUMSQ('TS-PILE'!$E$72:$E$91))+IF(SUMSQ('TS-PILE'!$D$72:$D$91)=0,0,'TO HOP NLAN'!F20*'TS-PILE'!$D$86/SUMSQ('TS-PILE'!$D$72:$D$91))),IF('TS-PILE'!$B$87="",1E+99,'TO HOP NLAN'!D20/ncoc+IF(SUMSQ('TS-PILE'!$E$72:$E$91)=0,0,'TO HOP NLAN'!E20*'TS-PILE'!$E$87/SUMSQ('TS-PILE'!$E$72:$E$91))+IF(SUMSQ('TS-PILE'!$D$72:$D$91)=0,0,'TO HOP NLAN'!F20*'TS-PILE'!$D$87/SUMSQ('TS-PILE'!$D$72:$D$91))),IF('TS-PILE'!$B$88="",1E+99,'TO HOP NLAN'!D20/ncoc+IF(SUMSQ('TS-PILE'!$E$72:$E$91)=0,0,'TO HOP NLAN'!E20*'TS-PILE'!$E$88/SUMSQ('TS-PILE'!$E$72:$E$91))+IF(SUMSQ('TS-PILE'!$D$72:$D$91)=0,0,'TO HOP NLAN'!F20*'TS-PILE'!$D$88/SUMSQ('TS-PILE'!$D$72:$D$91))),IF('TS-PILE'!$B$89="",1E+99,'TO HOP NLAN'!D20/ncoc+IF(SUMSQ('TS-PILE'!$E$72:$E$91)=0,0,'TO HOP NLAN'!E20*'TS-PILE'!$E$89/SUMSQ('TS-PILE'!$E$72:$E$91))+IF(SUMSQ('TS-PILE'!$D$72:$D$91)=0,0,'TO HOP NLAN'!F20*'TS-PILE'!$D$89/SUMSQ('TS-PILE'!$D$72:$D$91))),IF('TS-PILE'!$B$90="",1E+99,'TO HOP NLAN'!D20/ncoc+IF(SUMSQ('TS-PILE'!$E$72:$E$91)=0,0,'TO HOP NLAN'!E20*'TS-PILE'!$E$90/SUMSQ('TS-PILE'!$E$72:$E$91))+IF(SUMSQ('TS-PILE'!$D$72:$D$91)=0,0,'TO HOP NLAN'!F20*'TS-PILE'!$D$90/SUMSQ('TS-PILE'!$D$72:$D$91))),IF('TS-PILE'!$B$91="",1E+99,'TO HOP NLAN'!D20/ncoc+IF(SUMSQ('TS-PILE'!$E$72:$E$91)=0,0,'TO HOP NLAN'!E20*'TS-PILE'!$E$91/SUMSQ('TS-PILE'!$E$72:$E$91))+IF(SUMSQ('TS-PILE'!$D$72:$D$91)=0,0,'TO HOP NLAN'!F20*'TS-PILE'!$D$91/SUMSQ('TS-PILE'!$D$72:$D$91)))))</f>
        <v>0</v>
      </c>
      <c r="E20" s="58">
        <f t="shared" si="0"/>
        <v>-9.9999999999999997E+98</v>
      </c>
      <c r="F20" s="58">
        <f t="shared" si="1"/>
        <v>9.9999999999999997E+98</v>
      </c>
      <c r="G20" s="58">
        <f t="shared" si="2"/>
        <v>-9.9999999999999997E+98</v>
      </c>
      <c r="H20" s="58">
        <f t="shared" si="3"/>
        <v>9.9999999999999997E+98</v>
      </c>
    </row>
    <row r="21" spans="1:8" x14ac:dyDescent="0.3">
      <c r="A21" s="42" t="str">
        <f>'TO HOP NLAN'!A21</f>
        <v/>
      </c>
      <c r="B21" s="42" t="str">
        <f>'TO HOP NLAN'!L21</f>
        <v>SERVICE</v>
      </c>
      <c r="C21" s="58">
        <f>IF(A21="",0,MAX(IF('TS-PILE'!$B$72="",-1E+99,'TO HOP NLAN'!D21/ncoc+IF(SUMSQ('TS-PILE'!$E$72:$E$91)=0,0,'TO HOP NLAN'!E21*'TS-PILE'!$E$72/SUMSQ('TS-PILE'!$E$72:$E$91))+IF(SUMSQ('TS-PILE'!$D$72:$D$91)=0,0,'TO HOP NLAN'!F21*'TS-PILE'!$D$72/SUMSQ('TS-PILE'!$D$72:$D$91))),IF('TS-PILE'!$B$73="",-1E+99,'TO HOP NLAN'!D21/ncoc+IF(SUMSQ('TS-PILE'!$E$72:$E$91)=0,0,'TO HOP NLAN'!E21*'TS-PILE'!$E$73/SUMSQ('TS-PILE'!$E$72:$E$91))+IF(SUMSQ('TS-PILE'!$D$72:$D$91)=0,0,'TO HOP NLAN'!F21*'TS-PILE'!$D$73/SUMSQ('TS-PILE'!$D$72:$D$91))),IF('TS-PILE'!$B$74="",-1E+99,'TO HOP NLAN'!D21/ncoc+IF(SUMSQ('TS-PILE'!$E$72:$E$91)=0,0,'TO HOP NLAN'!E21*'TS-PILE'!$E$74/SUMSQ('TS-PILE'!$E$72:$E$91))+IF(SUMSQ('TS-PILE'!$D$72:$D$91)=0,0,'TO HOP NLAN'!F21*'TS-PILE'!$D$74/SUMSQ('TS-PILE'!$D$72:$D$91))),IF('TS-PILE'!$B$75="",-1E+99,'TO HOP NLAN'!D21/ncoc+IF(SUMSQ('TS-PILE'!$E$72:$E$91)=0,0,'TO HOP NLAN'!E21*'TS-PILE'!$E$75/SUMSQ('TS-PILE'!$E$72:$E$91))+IF(SUMSQ('TS-PILE'!$D$72:$D$91)=0,0,'TO HOP NLAN'!F21*'TS-PILE'!$D$75/SUMSQ('TS-PILE'!$D$72:$D$91))),IF('TS-PILE'!$B$76="",-1E+99,'TO HOP NLAN'!D21/ncoc+IF(SUMSQ('TS-PILE'!$E$72:$E$91)=0,0,'TO HOP NLAN'!E21*'TS-PILE'!$E$76/SUMSQ('TS-PILE'!$E$72:$E$91))+IF(SUMSQ('TS-PILE'!$D$72:$D$91)=0,0,'TO HOP NLAN'!F21*'TS-PILE'!$D$76/SUMSQ('TS-PILE'!$D$72:$D$91))),IF('TS-PILE'!$B$77="",-1E+99,'TO HOP NLAN'!D21/ncoc+IF(SUMSQ('TS-PILE'!$E$72:$E$91)=0,0,'TO HOP NLAN'!E21*'TS-PILE'!$E$77/SUMSQ('TS-PILE'!$E$72:$E$91))+IF(SUMSQ('TS-PILE'!$D$72:$D$91)=0,0,'TO HOP NLAN'!F21*'TS-PILE'!$D$77/SUMSQ('TS-PILE'!$D$72:$D$91))),IF('TS-PILE'!$B$78="",-1E+99,'TO HOP NLAN'!D21/ncoc+IF(SUMSQ('TS-PILE'!$E$72:$E$91)=0,0,'TO HOP NLAN'!E21*'TS-PILE'!$E$78/SUMSQ('TS-PILE'!$E$72:$E$91))+IF(SUMSQ('TS-PILE'!$D$72:$D$91)=0,0,'TO HOP NLAN'!F21*'TS-PILE'!$D$78/SUMSQ('TS-PILE'!$D$72:$D$91))),IF('TS-PILE'!$B$79="",-1E+99,'TO HOP NLAN'!D21/ncoc+IF(SUMSQ('TS-PILE'!$E$72:$E$91)=0,0,'TO HOP NLAN'!E21*'TS-PILE'!$E$79/SUMSQ('TS-PILE'!$E$72:$E$91))+IF(SUMSQ('TS-PILE'!$D$72:$D$91)=0,0,'TO HOP NLAN'!F21*'TS-PILE'!$D$79/SUMSQ('TS-PILE'!$D$72:$D$91))),IF('TS-PILE'!$B$80="",-1E+99,'TO HOP NLAN'!D21/ncoc+IF(SUMSQ('TS-PILE'!$E$72:$E$91)=0,0,'TO HOP NLAN'!E21*'TS-PILE'!$E$80/SUMSQ('TS-PILE'!$E$72:$E$91))+IF(SUMSQ('TS-PILE'!$D$72:$D$91)=0,0,'TO HOP NLAN'!F21*'TS-PILE'!$D$80/SUMSQ('TS-PILE'!$D$72:$D$91))),IF('TS-PILE'!$B$81="",-1E+99,'TO HOP NLAN'!D21/ncoc+IF(SUMSQ('TS-PILE'!$E$72:$E$91)=0,0,'TO HOP NLAN'!E21*'TS-PILE'!$E$81/SUMSQ('TS-PILE'!$E$72:$E$91))+IF(SUMSQ('TS-PILE'!$D$72:$D$91)=0,0,'TO HOP NLAN'!F21*'TS-PILE'!$D$81/SUMSQ('TS-PILE'!$D$72:$D$91))),IF('TS-PILE'!$B$82="",-1E+99,'TO HOP NLAN'!D21/ncoc+IF(SUMSQ('TS-PILE'!$E$72:$E$91)=0,0,'TO HOP NLAN'!E21*'TS-PILE'!$E$82/SUMSQ('TS-PILE'!$E$72:$E$91))+IF(SUMSQ('TS-PILE'!$D$72:$D$91)=0,0,'TO HOP NLAN'!F21*'TS-PILE'!$D$82/SUMSQ('TS-PILE'!$D$72:$D$91))),IF('TS-PILE'!$B$83="",-1E+99,'TO HOP NLAN'!D21/ncoc+IF(SUMSQ('TS-PILE'!$E$72:$E$91)=0,0,'TO HOP NLAN'!E21*'TS-PILE'!$E$83/SUMSQ('TS-PILE'!$E$72:$E$91))+IF(SUMSQ('TS-PILE'!$D$72:$D$91)=0,0,'TO HOP NLAN'!F21*'TS-PILE'!$D$83/SUMSQ('TS-PILE'!$D$72:$D$91))),IF('TS-PILE'!$B$84="",-1E+99,'TO HOP NLAN'!D21/ncoc+IF(SUMSQ('TS-PILE'!$E$72:$E$91)=0,0,'TO HOP NLAN'!E21*'TS-PILE'!$E$84/SUMSQ('TS-PILE'!$E$72:$E$91))+IF(SUMSQ('TS-PILE'!$D$72:$D$91)=0,0,'TO HOP NLAN'!F21*'TS-PILE'!$D$84/SUMSQ('TS-PILE'!$D$72:$D$91))),IF('TS-PILE'!$B$85="",-1E+99,'TO HOP NLAN'!D21/ncoc+IF(SUMSQ('TS-PILE'!$E$72:$E$91)=0,0,'TO HOP NLAN'!E21*'TS-PILE'!$E$85/SUMSQ('TS-PILE'!$E$72:$E$91))+IF(SUMSQ('TS-PILE'!$D$72:$D$91)=0,0,'TO HOP NLAN'!F21*'TS-PILE'!$D$85/SUMSQ('TS-PILE'!$D$72:$D$91))),IF('TS-PILE'!$B$86="",-1E+99,'TO HOP NLAN'!D21/ncoc+IF(SUMSQ('TS-PILE'!$E$72:$E$91)=0,0,'TO HOP NLAN'!E21*'TS-PILE'!$E$86/SUMSQ('TS-PILE'!$E$72:$E$91))+IF(SUMSQ('TS-PILE'!$D$72:$D$91)=0,0,'TO HOP NLAN'!F21*'TS-PILE'!$D$86/SUMSQ('TS-PILE'!$D$72:$D$91))),IF('TS-PILE'!$B$87="",-1E+99,'TO HOP NLAN'!D21/ncoc+IF(SUMSQ('TS-PILE'!$E$72:$E$91)=0,0,'TO HOP NLAN'!E21*'TS-PILE'!$E$87/SUMSQ('TS-PILE'!$E$72:$E$91))+IF(SUMSQ('TS-PILE'!$D$72:$D$91)=0,0,'TO HOP NLAN'!F21*'TS-PILE'!$D$87/SUMSQ('TS-PILE'!$D$72:$D$91))),IF('TS-PILE'!$B$88="",-1E+99,'TO HOP NLAN'!D21/ncoc+IF(SUMSQ('TS-PILE'!$E$72:$E$91)=0,0,'TO HOP NLAN'!E21*'TS-PILE'!$E$88/SUMSQ('TS-PILE'!$E$72:$E$91))+IF(SUMSQ('TS-PILE'!$D$72:$D$91)=0,0,'TO HOP NLAN'!F21*'TS-PILE'!$D$88/SUMSQ('TS-PILE'!$D$72:$D$91))),IF('TS-PILE'!$B$89="",-1E+99,'TO HOP NLAN'!D21/ncoc+IF(SUMSQ('TS-PILE'!$E$72:$E$91)=0,0,'TO HOP NLAN'!E21*'TS-PILE'!$E$89/SUMSQ('TS-PILE'!$E$72:$E$91))+IF(SUMSQ('TS-PILE'!$D$72:$D$91)=0,0,'TO HOP NLAN'!F21*'TS-PILE'!$D$89/SUMSQ('TS-PILE'!$D$72:$D$91))),IF('TS-PILE'!$B$90="",-1E+99,'TO HOP NLAN'!D21/ncoc+IF(SUMSQ('TS-PILE'!$E$72:$E$91)=0,0,'TO HOP NLAN'!E21*'TS-PILE'!$E$90/SUMSQ('TS-PILE'!$E$72:$E$91))+IF(SUMSQ('TS-PILE'!$D$72:$D$91)=0,0,'TO HOP NLAN'!F21*'TS-PILE'!$D$90/SUMSQ('TS-PILE'!$D$72:$D$91))),IF('TS-PILE'!$B$91="",-1E+99,'TO HOP NLAN'!D21/ncoc+IF(SUMSQ('TS-PILE'!$E$72:$E$91)=0,0,'TO HOP NLAN'!E21*'TS-PILE'!$E$91/SUMSQ('TS-PILE'!$E$72:$E$91))+IF(SUMSQ('TS-PILE'!$D$72:$D$91)=0,0,'TO HOP NLAN'!F21*'TS-PILE'!$D$91/SUMSQ('TS-PILE'!$D$72:$D$91)))))</f>
        <v>0</v>
      </c>
      <c r="D21" s="58">
        <f>IF(A21="",0,MIN(IF('TS-PILE'!$B$72="",1E+99,'TO HOP NLAN'!D21/ncoc+IF(SUMSQ('TS-PILE'!$E$72:$E$91)=0,0,'TO HOP NLAN'!E21*'TS-PILE'!$E$72/SUMSQ('TS-PILE'!$E$72:$E$91))+IF(SUMSQ('TS-PILE'!$D$72:$D$91)=0,0,'TO HOP NLAN'!F21*'TS-PILE'!$D$72/SUMSQ('TS-PILE'!$D$72:$D$91))),IF('TS-PILE'!$B$73="",1E+99,'TO HOP NLAN'!D21/ncoc+IF(SUMSQ('TS-PILE'!$E$72:$E$91)=0,0,'TO HOP NLAN'!E21*'TS-PILE'!$E$73/SUMSQ('TS-PILE'!$E$72:$E$91))+IF(SUMSQ('TS-PILE'!$D$72:$D$91)=0,0,'TO HOP NLAN'!F21*'TS-PILE'!$D$73/SUMSQ('TS-PILE'!$D$72:$D$91))),IF('TS-PILE'!$B$74="",1E+99,'TO HOP NLAN'!D21/ncoc+IF(SUMSQ('TS-PILE'!$E$72:$E$91)=0,0,'TO HOP NLAN'!E21*'TS-PILE'!$E$74/SUMSQ('TS-PILE'!$E$72:$E$91))+IF(SUMSQ('TS-PILE'!$D$72:$D$91)=0,0,'TO HOP NLAN'!F21*'TS-PILE'!$D$74/SUMSQ('TS-PILE'!$D$72:$D$91))),IF('TS-PILE'!$B$75="",1E+99,'TO HOP NLAN'!D21/ncoc+IF(SUMSQ('TS-PILE'!$E$72:$E$91)=0,0,'TO HOP NLAN'!E21*'TS-PILE'!$E$75/SUMSQ('TS-PILE'!$E$72:$E$91))+IF(SUMSQ('TS-PILE'!$D$72:$D$91)=0,0,'TO HOP NLAN'!F21*'TS-PILE'!$D$75/SUMSQ('TS-PILE'!$D$72:$D$91))),IF('TS-PILE'!$B$76="",1E+99,'TO HOP NLAN'!D21/ncoc+IF(SUMSQ('TS-PILE'!$E$72:$E$91)=0,0,'TO HOP NLAN'!E21*'TS-PILE'!$E$76/SUMSQ('TS-PILE'!$E$72:$E$91))+IF(SUMSQ('TS-PILE'!$D$72:$D$91)=0,0,'TO HOP NLAN'!F21*'TS-PILE'!$D$76/SUMSQ('TS-PILE'!$D$72:$D$91))),IF('TS-PILE'!$B$77="",1E+99,'TO HOP NLAN'!D21/ncoc+IF(SUMSQ('TS-PILE'!$E$72:$E$91)=0,0,'TO HOP NLAN'!E21*'TS-PILE'!$E$77/SUMSQ('TS-PILE'!$E$72:$E$91))+IF(SUMSQ('TS-PILE'!$D$72:$D$91)=0,0,'TO HOP NLAN'!F21*'TS-PILE'!$D$77/SUMSQ('TS-PILE'!$D$72:$D$91))),IF('TS-PILE'!$B$78="",1E+99,'TO HOP NLAN'!D21/ncoc+IF(SUMSQ('TS-PILE'!$E$72:$E$91)=0,0,'TO HOP NLAN'!E21*'TS-PILE'!$E$78/SUMSQ('TS-PILE'!$E$72:$E$91))+IF(SUMSQ('TS-PILE'!$D$72:$D$91)=0,0,'TO HOP NLAN'!F21*'TS-PILE'!$D$78/SUMSQ('TS-PILE'!$D$72:$D$91))),IF('TS-PILE'!$B$79="",1E+99,'TO HOP NLAN'!D21/ncoc+IF(SUMSQ('TS-PILE'!$E$72:$E$91)=0,0,'TO HOP NLAN'!E21*'TS-PILE'!$E$79/SUMSQ('TS-PILE'!$E$72:$E$91))+IF(SUMSQ('TS-PILE'!$D$72:$D$91)=0,0,'TO HOP NLAN'!F21*'TS-PILE'!$D$79/SUMSQ('TS-PILE'!$D$72:$D$91))),IF('TS-PILE'!$B$80="",1E+99,'TO HOP NLAN'!D21/ncoc+IF(SUMSQ('TS-PILE'!$E$72:$E$91)=0,0,'TO HOP NLAN'!E21*'TS-PILE'!$E$80/SUMSQ('TS-PILE'!$E$72:$E$91))+IF(SUMSQ('TS-PILE'!$D$72:$D$91)=0,0,'TO HOP NLAN'!F21*'TS-PILE'!$D$80/SUMSQ('TS-PILE'!$D$72:$D$91))),IF('TS-PILE'!$B$81="",1E+99,'TO HOP NLAN'!D21/ncoc+IF(SUMSQ('TS-PILE'!$E$72:$E$91)=0,0,'TO HOP NLAN'!E21*'TS-PILE'!$E$81/SUMSQ('TS-PILE'!$E$72:$E$91))+IF(SUMSQ('TS-PILE'!$D$72:$D$91)=0,0,'TO HOP NLAN'!F21*'TS-PILE'!$D$81/SUMSQ('TS-PILE'!$D$72:$D$91))),IF('TS-PILE'!$B$82="",1E+99,'TO HOP NLAN'!D21/ncoc+IF(SUMSQ('TS-PILE'!$E$72:$E$91)=0,0,'TO HOP NLAN'!E21*'TS-PILE'!$E$82/SUMSQ('TS-PILE'!$E$72:$E$91))+IF(SUMSQ('TS-PILE'!$D$72:$D$91)=0,0,'TO HOP NLAN'!F21*'TS-PILE'!$D$82/SUMSQ('TS-PILE'!$D$72:$D$91))),IF('TS-PILE'!$B$83="",1E+99,'TO HOP NLAN'!D21/ncoc+IF(SUMSQ('TS-PILE'!$E$72:$E$91)=0,0,'TO HOP NLAN'!E21*'TS-PILE'!$E$83/SUMSQ('TS-PILE'!$E$72:$E$91))+IF(SUMSQ('TS-PILE'!$D$72:$D$91)=0,0,'TO HOP NLAN'!F21*'TS-PILE'!$D$83/SUMSQ('TS-PILE'!$D$72:$D$91))),IF('TS-PILE'!$B$84="",1E+99,'TO HOP NLAN'!D21/ncoc+IF(SUMSQ('TS-PILE'!$E$72:$E$91)=0,0,'TO HOP NLAN'!E21*'TS-PILE'!$E$84/SUMSQ('TS-PILE'!$E$72:$E$91))+IF(SUMSQ('TS-PILE'!$D$72:$D$91)=0,0,'TO HOP NLAN'!F21*'TS-PILE'!$D$84/SUMSQ('TS-PILE'!$D$72:$D$91))),IF('TS-PILE'!$B$85="",1E+99,'TO HOP NLAN'!D21/ncoc+IF(SUMSQ('TS-PILE'!$E$72:$E$91)=0,0,'TO HOP NLAN'!E21*'TS-PILE'!$E$85/SUMSQ('TS-PILE'!$E$72:$E$91))+IF(SUMSQ('TS-PILE'!$D$72:$D$91)=0,0,'TO HOP NLAN'!F21*'TS-PILE'!$D$85/SUMSQ('TS-PILE'!$D$72:$D$91))),IF('TS-PILE'!$B$86="",1E+99,'TO HOP NLAN'!D21/ncoc+IF(SUMSQ('TS-PILE'!$E$72:$E$91)=0,0,'TO HOP NLAN'!E21*'TS-PILE'!$E$86/SUMSQ('TS-PILE'!$E$72:$E$91))+IF(SUMSQ('TS-PILE'!$D$72:$D$91)=0,0,'TO HOP NLAN'!F21*'TS-PILE'!$D$86/SUMSQ('TS-PILE'!$D$72:$D$91))),IF('TS-PILE'!$B$87="",1E+99,'TO HOP NLAN'!D21/ncoc+IF(SUMSQ('TS-PILE'!$E$72:$E$91)=0,0,'TO HOP NLAN'!E21*'TS-PILE'!$E$87/SUMSQ('TS-PILE'!$E$72:$E$91))+IF(SUMSQ('TS-PILE'!$D$72:$D$91)=0,0,'TO HOP NLAN'!F21*'TS-PILE'!$D$87/SUMSQ('TS-PILE'!$D$72:$D$91))),IF('TS-PILE'!$B$88="",1E+99,'TO HOP NLAN'!D21/ncoc+IF(SUMSQ('TS-PILE'!$E$72:$E$91)=0,0,'TO HOP NLAN'!E21*'TS-PILE'!$E$88/SUMSQ('TS-PILE'!$E$72:$E$91))+IF(SUMSQ('TS-PILE'!$D$72:$D$91)=0,0,'TO HOP NLAN'!F21*'TS-PILE'!$D$88/SUMSQ('TS-PILE'!$D$72:$D$91))),IF('TS-PILE'!$B$89="",1E+99,'TO HOP NLAN'!D21/ncoc+IF(SUMSQ('TS-PILE'!$E$72:$E$91)=0,0,'TO HOP NLAN'!E21*'TS-PILE'!$E$89/SUMSQ('TS-PILE'!$E$72:$E$91))+IF(SUMSQ('TS-PILE'!$D$72:$D$91)=0,0,'TO HOP NLAN'!F21*'TS-PILE'!$D$89/SUMSQ('TS-PILE'!$D$72:$D$91))),IF('TS-PILE'!$B$90="",1E+99,'TO HOP NLAN'!D21/ncoc+IF(SUMSQ('TS-PILE'!$E$72:$E$91)=0,0,'TO HOP NLAN'!E21*'TS-PILE'!$E$90/SUMSQ('TS-PILE'!$E$72:$E$91))+IF(SUMSQ('TS-PILE'!$D$72:$D$91)=0,0,'TO HOP NLAN'!F21*'TS-PILE'!$D$90/SUMSQ('TS-PILE'!$D$72:$D$91))),IF('TS-PILE'!$B$91="",1E+99,'TO HOP NLAN'!D21/ncoc+IF(SUMSQ('TS-PILE'!$E$72:$E$91)=0,0,'TO HOP NLAN'!E21*'TS-PILE'!$E$91/SUMSQ('TS-PILE'!$E$72:$E$91))+IF(SUMSQ('TS-PILE'!$D$72:$D$91)=0,0,'TO HOP NLAN'!F21*'TS-PILE'!$D$91/SUMSQ('TS-PILE'!$D$72:$D$91)))))</f>
        <v>0</v>
      </c>
      <c r="E21" s="58">
        <f t="shared" si="0"/>
        <v>-9.9999999999999997E+98</v>
      </c>
      <c r="F21" s="58">
        <f t="shared" si="1"/>
        <v>9.9999999999999997E+98</v>
      </c>
      <c r="G21" s="58">
        <f t="shared" si="2"/>
        <v>-9.9999999999999997E+98</v>
      </c>
      <c r="H21" s="58">
        <f t="shared" si="3"/>
        <v>9.9999999999999997E+98</v>
      </c>
    </row>
    <row r="22" spans="1:8" x14ac:dyDescent="0.3">
      <c r="A22" s="42" t="str">
        <f>'TO HOP NLAN'!A22</f>
        <v/>
      </c>
      <c r="B22" s="42" t="str">
        <f>'TO HOP NLAN'!L22</f>
        <v>SERVICE</v>
      </c>
      <c r="C22" s="58">
        <f>IF(A22="",0,MAX(IF('TS-PILE'!$B$72="",-1E+99,'TO HOP NLAN'!D22/ncoc+IF(SUMSQ('TS-PILE'!$E$72:$E$91)=0,0,'TO HOP NLAN'!E22*'TS-PILE'!$E$72/SUMSQ('TS-PILE'!$E$72:$E$91))+IF(SUMSQ('TS-PILE'!$D$72:$D$91)=0,0,'TO HOP NLAN'!F22*'TS-PILE'!$D$72/SUMSQ('TS-PILE'!$D$72:$D$91))),IF('TS-PILE'!$B$73="",-1E+99,'TO HOP NLAN'!D22/ncoc+IF(SUMSQ('TS-PILE'!$E$72:$E$91)=0,0,'TO HOP NLAN'!E22*'TS-PILE'!$E$73/SUMSQ('TS-PILE'!$E$72:$E$91))+IF(SUMSQ('TS-PILE'!$D$72:$D$91)=0,0,'TO HOP NLAN'!F22*'TS-PILE'!$D$73/SUMSQ('TS-PILE'!$D$72:$D$91))),IF('TS-PILE'!$B$74="",-1E+99,'TO HOP NLAN'!D22/ncoc+IF(SUMSQ('TS-PILE'!$E$72:$E$91)=0,0,'TO HOP NLAN'!E22*'TS-PILE'!$E$74/SUMSQ('TS-PILE'!$E$72:$E$91))+IF(SUMSQ('TS-PILE'!$D$72:$D$91)=0,0,'TO HOP NLAN'!F22*'TS-PILE'!$D$74/SUMSQ('TS-PILE'!$D$72:$D$91))),IF('TS-PILE'!$B$75="",-1E+99,'TO HOP NLAN'!D22/ncoc+IF(SUMSQ('TS-PILE'!$E$72:$E$91)=0,0,'TO HOP NLAN'!E22*'TS-PILE'!$E$75/SUMSQ('TS-PILE'!$E$72:$E$91))+IF(SUMSQ('TS-PILE'!$D$72:$D$91)=0,0,'TO HOP NLAN'!F22*'TS-PILE'!$D$75/SUMSQ('TS-PILE'!$D$72:$D$91))),IF('TS-PILE'!$B$76="",-1E+99,'TO HOP NLAN'!D22/ncoc+IF(SUMSQ('TS-PILE'!$E$72:$E$91)=0,0,'TO HOP NLAN'!E22*'TS-PILE'!$E$76/SUMSQ('TS-PILE'!$E$72:$E$91))+IF(SUMSQ('TS-PILE'!$D$72:$D$91)=0,0,'TO HOP NLAN'!F22*'TS-PILE'!$D$76/SUMSQ('TS-PILE'!$D$72:$D$91))),IF('TS-PILE'!$B$77="",-1E+99,'TO HOP NLAN'!D22/ncoc+IF(SUMSQ('TS-PILE'!$E$72:$E$91)=0,0,'TO HOP NLAN'!E22*'TS-PILE'!$E$77/SUMSQ('TS-PILE'!$E$72:$E$91))+IF(SUMSQ('TS-PILE'!$D$72:$D$91)=0,0,'TO HOP NLAN'!F22*'TS-PILE'!$D$77/SUMSQ('TS-PILE'!$D$72:$D$91))),IF('TS-PILE'!$B$78="",-1E+99,'TO HOP NLAN'!D22/ncoc+IF(SUMSQ('TS-PILE'!$E$72:$E$91)=0,0,'TO HOP NLAN'!E22*'TS-PILE'!$E$78/SUMSQ('TS-PILE'!$E$72:$E$91))+IF(SUMSQ('TS-PILE'!$D$72:$D$91)=0,0,'TO HOP NLAN'!F22*'TS-PILE'!$D$78/SUMSQ('TS-PILE'!$D$72:$D$91))),IF('TS-PILE'!$B$79="",-1E+99,'TO HOP NLAN'!D22/ncoc+IF(SUMSQ('TS-PILE'!$E$72:$E$91)=0,0,'TO HOP NLAN'!E22*'TS-PILE'!$E$79/SUMSQ('TS-PILE'!$E$72:$E$91))+IF(SUMSQ('TS-PILE'!$D$72:$D$91)=0,0,'TO HOP NLAN'!F22*'TS-PILE'!$D$79/SUMSQ('TS-PILE'!$D$72:$D$91))),IF('TS-PILE'!$B$80="",-1E+99,'TO HOP NLAN'!D22/ncoc+IF(SUMSQ('TS-PILE'!$E$72:$E$91)=0,0,'TO HOP NLAN'!E22*'TS-PILE'!$E$80/SUMSQ('TS-PILE'!$E$72:$E$91))+IF(SUMSQ('TS-PILE'!$D$72:$D$91)=0,0,'TO HOP NLAN'!F22*'TS-PILE'!$D$80/SUMSQ('TS-PILE'!$D$72:$D$91))),IF('TS-PILE'!$B$81="",-1E+99,'TO HOP NLAN'!D22/ncoc+IF(SUMSQ('TS-PILE'!$E$72:$E$91)=0,0,'TO HOP NLAN'!E22*'TS-PILE'!$E$81/SUMSQ('TS-PILE'!$E$72:$E$91))+IF(SUMSQ('TS-PILE'!$D$72:$D$91)=0,0,'TO HOP NLAN'!F22*'TS-PILE'!$D$81/SUMSQ('TS-PILE'!$D$72:$D$91))),IF('TS-PILE'!$B$82="",-1E+99,'TO HOP NLAN'!D22/ncoc+IF(SUMSQ('TS-PILE'!$E$72:$E$91)=0,0,'TO HOP NLAN'!E22*'TS-PILE'!$E$82/SUMSQ('TS-PILE'!$E$72:$E$91))+IF(SUMSQ('TS-PILE'!$D$72:$D$91)=0,0,'TO HOP NLAN'!F22*'TS-PILE'!$D$82/SUMSQ('TS-PILE'!$D$72:$D$91))),IF('TS-PILE'!$B$83="",-1E+99,'TO HOP NLAN'!D22/ncoc+IF(SUMSQ('TS-PILE'!$E$72:$E$91)=0,0,'TO HOP NLAN'!E22*'TS-PILE'!$E$83/SUMSQ('TS-PILE'!$E$72:$E$91))+IF(SUMSQ('TS-PILE'!$D$72:$D$91)=0,0,'TO HOP NLAN'!F22*'TS-PILE'!$D$83/SUMSQ('TS-PILE'!$D$72:$D$91))),IF('TS-PILE'!$B$84="",-1E+99,'TO HOP NLAN'!D22/ncoc+IF(SUMSQ('TS-PILE'!$E$72:$E$91)=0,0,'TO HOP NLAN'!E22*'TS-PILE'!$E$84/SUMSQ('TS-PILE'!$E$72:$E$91))+IF(SUMSQ('TS-PILE'!$D$72:$D$91)=0,0,'TO HOP NLAN'!F22*'TS-PILE'!$D$84/SUMSQ('TS-PILE'!$D$72:$D$91))),IF('TS-PILE'!$B$85="",-1E+99,'TO HOP NLAN'!D22/ncoc+IF(SUMSQ('TS-PILE'!$E$72:$E$91)=0,0,'TO HOP NLAN'!E22*'TS-PILE'!$E$85/SUMSQ('TS-PILE'!$E$72:$E$91))+IF(SUMSQ('TS-PILE'!$D$72:$D$91)=0,0,'TO HOP NLAN'!F22*'TS-PILE'!$D$85/SUMSQ('TS-PILE'!$D$72:$D$91))),IF('TS-PILE'!$B$86="",-1E+99,'TO HOP NLAN'!D22/ncoc+IF(SUMSQ('TS-PILE'!$E$72:$E$91)=0,0,'TO HOP NLAN'!E22*'TS-PILE'!$E$86/SUMSQ('TS-PILE'!$E$72:$E$91))+IF(SUMSQ('TS-PILE'!$D$72:$D$91)=0,0,'TO HOP NLAN'!F22*'TS-PILE'!$D$86/SUMSQ('TS-PILE'!$D$72:$D$91))),IF('TS-PILE'!$B$87="",-1E+99,'TO HOP NLAN'!D22/ncoc+IF(SUMSQ('TS-PILE'!$E$72:$E$91)=0,0,'TO HOP NLAN'!E22*'TS-PILE'!$E$87/SUMSQ('TS-PILE'!$E$72:$E$91))+IF(SUMSQ('TS-PILE'!$D$72:$D$91)=0,0,'TO HOP NLAN'!F22*'TS-PILE'!$D$87/SUMSQ('TS-PILE'!$D$72:$D$91))),IF('TS-PILE'!$B$88="",-1E+99,'TO HOP NLAN'!D22/ncoc+IF(SUMSQ('TS-PILE'!$E$72:$E$91)=0,0,'TO HOP NLAN'!E22*'TS-PILE'!$E$88/SUMSQ('TS-PILE'!$E$72:$E$91))+IF(SUMSQ('TS-PILE'!$D$72:$D$91)=0,0,'TO HOP NLAN'!F22*'TS-PILE'!$D$88/SUMSQ('TS-PILE'!$D$72:$D$91))),IF('TS-PILE'!$B$89="",-1E+99,'TO HOP NLAN'!D22/ncoc+IF(SUMSQ('TS-PILE'!$E$72:$E$91)=0,0,'TO HOP NLAN'!E22*'TS-PILE'!$E$89/SUMSQ('TS-PILE'!$E$72:$E$91))+IF(SUMSQ('TS-PILE'!$D$72:$D$91)=0,0,'TO HOP NLAN'!F22*'TS-PILE'!$D$89/SUMSQ('TS-PILE'!$D$72:$D$91))),IF('TS-PILE'!$B$90="",-1E+99,'TO HOP NLAN'!D22/ncoc+IF(SUMSQ('TS-PILE'!$E$72:$E$91)=0,0,'TO HOP NLAN'!E22*'TS-PILE'!$E$90/SUMSQ('TS-PILE'!$E$72:$E$91))+IF(SUMSQ('TS-PILE'!$D$72:$D$91)=0,0,'TO HOP NLAN'!F22*'TS-PILE'!$D$90/SUMSQ('TS-PILE'!$D$72:$D$91))),IF('TS-PILE'!$B$91="",-1E+99,'TO HOP NLAN'!D22/ncoc+IF(SUMSQ('TS-PILE'!$E$72:$E$91)=0,0,'TO HOP NLAN'!E22*'TS-PILE'!$E$91/SUMSQ('TS-PILE'!$E$72:$E$91))+IF(SUMSQ('TS-PILE'!$D$72:$D$91)=0,0,'TO HOP NLAN'!F22*'TS-PILE'!$D$91/SUMSQ('TS-PILE'!$D$72:$D$91)))))</f>
        <v>0</v>
      </c>
      <c r="D22" s="58">
        <f>IF(A22="",0,MIN(IF('TS-PILE'!$B$72="",1E+99,'TO HOP NLAN'!D22/ncoc+IF(SUMSQ('TS-PILE'!$E$72:$E$91)=0,0,'TO HOP NLAN'!E22*'TS-PILE'!$E$72/SUMSQ('TS-PILE'!$E$72:$E$91))+IF(SUMSQ('TS-PILE'!$D$72:$D$91)=0,0,'TO HOP NLAN'!F22*'TS-PILE'!$D$72/SUMSQ('TS-PILE'!$D$72:$D$91))),IF('TS-PILE'!$B$73="",1E+99,'TO HOP NLAN'!D22/ncoc+IF(SUMSQ('TS-PILE'!$E$72:$E$91)=0,0,'TO HOP NLAN'!E22*'TS-PILE'!$E$73/SUMSQ('TS-PILE'!$E$72:$E$91))+IF(SUMSQ('TS-PILE'!$D$72:$D$91)=0,0,'TO HOP NLAN'!F22*'TS-PILE'!$D$73/SUMSQ('TS-PILE'!$D$72:$D$91))),IF('TS-PILE'!$B$74="",1E+99,'TO HOP NLAN'!D22/ncoc+IF(SUMSQ('TS-PILE'!$E$72:$E$91)=0,0,'TO HOP NLAN'!E22*'TS-PILE'!$E$74/SUMSQ('TS-PILE'!$E$72:$E$91))+IF(SUMSQ('TS-PILE'!$D$72:$D$91)=0,0,'TO HOP NLAN'!F22*'TS-PILE'!$D$74/SUMSQ('TS-PILE'!$D$72:$D$91))),IF('TS-PILE'!$B$75="",1E+99,'TO HOP NLAN'!D22/ncoc+IF(SUMSQ('TS-PILE'!$E$72:$E$91)=0,0,'TO HOP NLAN'!E22*'TS-PILE'!$E$75/SUMSQ('TS-PILE'!$E$72:$E$91))+IF(SUMSQ('TS-PILE'!$D$72:$D$91)=0,0,'TO HOP NLAN'!F22*'TS-PILE'!$D$75/SUMSQ('TS-PILE'!$D$72:$D$91))),IF('TS-PILE'!$B$76="",1E+99,'TO HOP NLAN'!D22/ncoc+IF(SUMSQ('TS-PILE'!$E$72:$E$91)=0,0,'TO HOP NLAN'!E22*'TS-PILE'!$E$76/SUMSQ('TS-PILE'!$E$72:$E$91))+IF(SUMSQ('TS-PILE'!$D$72:$D$91)=0,0,'TO HOP NLAN'!F22*'TS-PILE'!$D$76/SUMSQ('TS-PILE'!$D$72:$D$91))),IF('TS-PILE'!$B$77="",1E+99,'TO HOP NLAN'!D22/ncoc+IF(SUMSQ('TS-PILE'!$E$72:$E$91)=0,0,'TO HOP NLAN'!E22*'TS-PILE'!$E$77/SUMSQ('TS-PILE'!$E$72:$E$91))+IF(SUMSQ('TS-PILE'!$D$72:$D$91)=0,0,'TO HOP NLAN'!F22*'TS-PILE'!$D$77/SUMSQ('TS-PILE'!$D$72:$D$91))),IF('TS-PILE'!$B$78="",1E+99,'TO HOP NLAN'!D22/ncoc+IF(SUMSQ('TS-PILE'!$E$72:$E$91)=0,0,'TO HOP NLAN'!E22*'TS-PILE'!$E$78/SUMSQ('TS-PILE'!$E$72:$E$91))+IF(SUMSQ('TS-PILE'!$D$72:$D$91)=0,0,'TO HOP NLAN'!F22*'TS-PILE'!$D$78/SUMSQ('TS-PILE'!$D$72:$D$91))),IF('TS-PILE'!$B$79="",1E+99,'TO HOP NLAN'!D22/ncoc+IF(SUMSQ('TS-PILE'!$E$72:$E$91)=0,0,'TO HOP NLAN'!E22*'TS-PILE'!$E$79/SUMSQ('TS-PILE'!$E$72:$E$91))+IF(SUMSQ('TS-PILE'!$D$72:$D$91)=0,0,'TO HOP NLAN'!F22*'TS-PILE'!$D$79/SUMSQ('TS-PILE'!$D$72:$D$91))),IF('TS-PILE'!$B$80="",1E+99,'TO HOP NLAN'!D22/ncoc+IF(SUMSQ('TS-PILE'!$E$72:$E$91)=0,0,'TO HOP NLAN'!E22*'TS-PILE'!$E$80/SUMSQ('TS-PILE'!$E$72:$E$91))+IF(SUMSQ('TS-PILE'!$D$72:$D$91)=0,0,'TO HOP NLAN'!F22*'TS-PILE'!$D$80/SUMSQ('TS-PILE'!$D$72:$D$91))),IF('TS-PILE'!$B$81="",1E+99,'TO HOP NLAN'!D22/ncoc+IF(SUMSQ('TS-PILE'!$E$72:$E$91)=0,0,'TO HOP NLAN'!E22*'TS-PILE'!$E$81/SUMSQ('TS-PILE'!$E$72:$E$91))+IF(SUMSQ('TS-PILE'!$D$72:$D$91)=0,0,'TO HOP NLAN'!F22*'TS-PILE'!$D$81/SUMSQ('TS-PILE'!$D$72:$D$91))),IF('TS-PILE'!$B$82="",1E+99,'TO HOP NLAN'!D22/ncoc+IF(SUMSQ('TS-PILE'!$E$72:$E$91)=0,0,'TO HOP NLAN'!E22*'TS-PILE'!$E$82/SUMSQ('TS-PILE'!$E$72:$E$91))+IF(SUMSQ('TS-PILE'!$D$72:$D$91)=0,0,'TO HOP NLAN'!F22*'TS-PILE'!$D$82/SUMSQ('TS-PILE'!$D$72:$D$91))),IF('TS-PILE'!$B$83="",1E+99,'TO HOP NLAN'!D22/ncoc+IF(SUMSQ('TS-PILE'!$E$72:$E$91)=0,0,'TO HOP NLAN'!E22*'TS-PILE'!$E$83/SUMSQ('TS-PILE'!$E$72:$E$91))+IF(SUMSQ('TS-PILE'!$D$72:$D$91)=0,0,'TO HOP NLAN'!F22*'TS-PILE'!$D$83/SUMSQ('TS-PILE'!$D$72:$D$91))),IF('TS-PILE'!$B$84="",1E+99,'TO HOP NLAN'!D22/ncoc+IF(SUMSQ('TS-PILE'!$E$72:$E$91)=0,0,'TO HOP NLAN'!E22*'TS-PILE'!$E$84/SUMSQ('TS-PILE'!$E$72:$E$91))+IF(SUMSQ('TS-PILE'!$D$72:$D$91)=0,0,'TO HOP NLAN'!F22*'TS-PILE'!$D$84/SUMSQ('TS-PILE'!$D$72:$D$91))),IF('TS-PILE'!$B$85="",1E+99,'TO HOP NLAN'!D22/ncoc+IF(SUMSQ('TS-PILE'!$E$72:$E$91)=0,0,'TO HOP NLAN'!E22*'TS-PILE'!$E$85/SUMSQ('TS-PILE'!$E$72:$E$91))+IF(SUMSQ('TS-PILE'!$D$72:$D$91)=0,0,'TO HOP NLAN'!F22*'TS-PILE'!$D$85/SUMSQ('TS-PILE'!$D$72:$D$91))),IF('TS-PILE'!$B$86="",1E+99,'TO HOP NLAN'!D22/ncoc+IF(SUMSQ('TS-PILE'!$E$72:$E$91)=0,0,'TO HOP NLAN'!E22*'TS-PILE'!$E$86/SUMSQ('TS-PILE'!$E$72:$E$91))+IF(SUMSQ('TS-PILE'!$D$72:$D$91)=0,0,'TO HOP NLAN'!F22*'TS-PILE'!$D$86/SUMSQ('TS-PILE'!$D$72:$D$91))),IF('TS-PILE'!$B$87="",1E+99,'TO HOP NLAN'!D22/ncoc+IF(SUMSQ('TS-PILE'!$E$72:$E$91)=0,0,'TO HOP NLAN'!E22*'TS-PILE'!$E$87/SUMSQ('TS-PILE'!$E$72:$E$91))+IF(SUMSQ('TS-PILE'!$D$72:$D$91)=0,0,'TO HOP NLAN'!F22*'TS-PILE'!$D$87/SUMSQ('TS-PILE'!$D$72:$D$91))),IF('TS-PILE'!$B$88="",1E+99,'TO HOP NLAN'!D22/ncoc+IF(SUMSQ('TS-PILE'!$E$72:$E$91)=0,0,'TO HOP NLAN'!E22*'TS-PILE'!$E$88/SUMSQ('TS-PILE'!$E$72:$E$91))+IF(SUMSQ('TS-PILE'!$D$72:$D$91)=0,0,'TO HOP NLAN'!F22*'TS-PILE'!$D$88/SUMSQ('TS-PILE'!$D$72:$D$91))),IF('TS-PILE'!$B$89="",1E+99,'TO HOP NLAN'!D22/ncoc+IF(SUMSQ('TS-PILE'!$E$72:$E$91)=0,0,'TO HOP NLAN'!E22*'TS-PILE'!$E$89/SUMSQ('TS-PILE'!$E$72:$E$91))+IF(SUMSQ('TS-PILE'!$D$72:$D$91)=0,0,'TO HOP NLAN'!F22*'TS-PILE'!$D$89/SUMSQ('TS-PILE'!$D$72:$D$91))),IF('TS-PILE'!$B$90="",1E+99,'TO HOP NLAN'!D22/ncoc+IF(SUMSQ('TS-PILE'!$E$72:$E$91)=0,0,'TO HOP NLAN'!E22*'TS-PILE'!$E$90/SUMSQ('TS-PILE'!$E$72:$E$91))+IF(SUMSQ('TS-PILE'!$D$72:$D$91)=0,0,'TO HOP NLAN'!F22*'TS-PILE'!$D$90/SUMSQ('TS-PILE'!$D$72:$D$91))),IF('TS-PILE'!$B$91="",1E+99,'TO HOP NLAN'!D22/ncoc+IF(SUMSQ('TS-PILE'!$E$72:$E$91)=0,0,'TO HOP NLAN'!E22*'TS-PILE'!$E$91/SUMSQ('TS-PILE'!$E$72:$E$91))+IF(SUMSQ('TS-PILE'!$D$72:$D$91)=0,0,'TO HOP NLAN'!F22*'TS-PILE'!$D$91/SUMSQ('TS-PILE'!$D$72:$D$91)))))</f>
        <v>0</v>
      </c>
      <c r="E22" s="58">
        <f t="shared" si="0"/>
        <v>-9.9999999999999997E+98</v>
      </c>
      <c r="F22" s="58">
        <f t="shared" si="1"/>
        <v>9.9999999999999997E+98</v>
      </c>
      <c r="G22" s="58">
        <f t="shared" si="2"/>
        <v>-9.9999999999999997E+98</v>
      </c>
      <c r="H22" s="58">
        <f t="shared" si="3"/>
        <v>9.9999999999999997E+98</v>
      </c>
    </row>
    <row r="23" spans="1:8" x14ac:dyDescent="0.3">
      <c r="A23" s="42" t="str">
        <f>'TO HOP NLAN'!A23</f>
        <v/>
      </c>
      <c r="B23" s="42" t="str">
        <f>'TO HOP NLAN'!L23</f>
        <v>SERVICE</v>
      </c>
      <c r="C23" s="58">
        <f>IF(A23="",0,MAX(IF('TS-PILE'!$B$72="",-1E+99,'TO HOP NLAN'!D23/ncoc+IF(SUMSQ('TS-PILE'!$E$72:$E$91)=0,0,'TO HOP NLAN'!E23*'TS-PILE'!$E$72/SUMSQ('TS-PILE'!$E$72:$E$91))+IF(SUMSQ('TS-PILE'!$D$72:$D$91)=0,0,'TO HOP NLAN'!F23*'TS-PILE'!$D$72/SUMSQ('TS-PILE'!$D$72:$D$91))),IF('TS-PILE'!$B$73="",-1E+99,'TO HOP NLAN'!D23/ncoc+IF(SUMSQ('TS-PILE'!$E$72:$E$91)=0,0,'TO HOP NLAN'!E23*'TS-PILE'!$E$73/SUMSQ('TS-PILE'!$E$72:$E$91))+IF(SUMSQ('TS-PILE'!$D$72:$D$91)=0,0,'TO HOP NLAN'!F23*'TS-PILE'!$D$73/SUMSQ('TS-PILE'!$D$72:$D$91))),IF('TS-PILE'!$B$74="",-1E+99,'TO HOP NLAN'!D23/ncoc+IF(SUMSQ('TS-PILE'!$E$72:$E$91)=0,0,'TO HOP NLAN'!E23*'TS-PILE'!$E$74/SUMSQ('TS-PILE'!$E$72:$E$91))+IF(SUMSQ('TS-PILE'!$D$72:$D$91)=0,0,'TO HOP NLAN'!F23*'TS-PILE'!$D$74/SUMSQ('TS-PILE'!$D$72:$D$91))),IF('TS-PILE'!$B$75="",-1E+99,'TO HOP NLAN'!D23/ncoc+IF(SUMSQ('TS-PILE'!$E$72:$E$91)=0,0,'TO HOP NLAN'!E23*'TS-PILE'!$E$75/SUMSQ('TS-PILE'!$E$72:$E$91))+IF(SUMSQ('TS-PILE'!$D$72:$D$91)=0,0,'TO HOP NLAN'!F23*'TS-PILE'!$D$75/SUMSQ('TS-PILE'!$D$72:$D$91))),IF('TS-PILE'!$B$76="",-1E+99,'TO HOP NLAN'!D23/ncoc+IF(SUMSQ('TS-PILE'!$E$72:$E$91)=0,0,'TO HOP NLAN'!E23*'TS-PILE'!$E$76/SUMSQ('TS-PILE'!$E$72:$E$91))+IF(SUMSQ('TS-PILE'!$D$72:$D$91)=0,0,'TO HOP NLAN'!F23*'TS-PILE'!$D$76/SUMSQ('TS-PILE'!$D$72:$D$91))),IF('TS-PILE'!$B$77="",-1E+99,'TO HOP NLAN'!D23/ncoc+IF(SUMSQ('TS-PILE'!$E$72:$E$91)=0,0,'TO HOP NLAN'!E23*'TS-PILE'!$E$77/SUMSQ('TS-PILE'!$E$72:$E$91))+IF(SUMSQ('TS-PILE'!$D$72:$D$91)=0,0,'TO HOP NLAN'!F23*'TS-PILE'!$D$77/SUMSQ('TS-PILE'!$D$72:$D$91))),IF('TS-PILE'!$B$78="",-1E+99,'TO HOP NLAN'!D23/ncoc+IF(SUMSQ('TS-PILE'!$E$72:$E$91)=0,0,'TO HOP NLAN'!E23*'TS-PILE'!$E$78/SUMSQ('TS-PILE'!$E$72:$E$91))+IF(SUMSQ('TS-PILE'!$D$72:$D$91)=0,0,'TO HOP NLAN'!F23*'TS-PILE'!$D$78/SUMSQ('TS-PILE'!$D$72:$D$91))),IF('TS-PILE'!$B$79="",-1E+99,'TO HOP NLAN'!D23/ncoc+IF(SUMSQ('TS-PILE'!$E$72:$E$91)=0,0,'TO HOP NLAN'!E23*'TS-PILE'!$E$79/SUMSQ('TS-PILE'!$E$72:$E$91))+IF(SUMSQ('TS-PILE'!$D$72:$D$91)=0,0,'TO HOP NLAN'!F23*'TS-PILE'!$D$79/SUMSQ('TS-PILE'!$D$72:$D$91))),IF('TS-PILE'!$B$80="",-1E+99,'TO HOP NLAN'!D23/ncoc+IF(SUMSQ('TS-PILE'!$E$72:$E$91)=0,0,'TO HOP NLAN'!E23*'TS-PILE'!$E$80/SUMSQ('TS-PILE'!$E$72:$E$91))+IF(SUMSQ('TS-PILE'!$D$72:$D$91)=0,0,'TO HOP NLAN'!F23*'TS-PILE'!$D$80/SUMSQ('TS-PILE'!$D$72:$D$91))),IF('TS-PILE'!$B$81="",-1E+99,'TO HOP NLAN'!D23/ncoc+IF(SUMSQ('TS-PILE'!$E$72:$E$91)=0,0,'TO HOP NLAN'!E23*'TS-PILE'!$E$81/SUMSQ('TS-PILE'!$E$72:$E$91))+IF(SUMSQ('TS-PILE'!$D$72:$D$91)=0,0,'TO HOP NLAN'!F23*'TS-PILE'!$D$81/SUMSQ('TS-PILE'!$D$72:$D$91))),IF('TS-PILE'!$B$82="",-1E+99,'TO HOP NLAN'!D23/ncoc+IF(SUMSQ('TS-PILE'!$E$72:$E$91)=0,0,'TO HOP NLAN'!E23*'TS-PILE'!$E$82/SUMSQ('TS-PILE'!$E$72:$E$91))+IF(SUMSQ('TS-PILE'!$D$72:$D$91)=0,0,'TO HOP NLAN'!F23*'TS-PILE'!$D$82/SUMSQ('TS-PILE'!$D$72:$D$91))),IF('TS-PILE'!$B$83="",-1E+99,'TO HOP NLAN'!D23/ncoc+IF(SUMSQ('TS-PILE'!$E$72:$E$91)=0,0,'TO HOP NLAN'!E23*'TS-PILE'!$E$83/SUMSQ('TS-PILE'!$E$72:$E$91))+IF(SUMSQ('TS-PILE'!$D$72:$D$91)=0,0,'TO HOP NLAN'!F23*'TS-PILE'!$D$83/SUMSQ('TS-PILE'!$D$72:$D$91))),IF('TS-PILE'!$B$84="",-1E+99,'TO HOP NLAN'!D23/ncoc+IF(SUMSQ('TS-PILE'!$E$72:$E$91)=0,0,'TO HOP NLAN'!E23*'TS-PILE'!$E$84/SUMSQ('TS-PILE'!$E$72:$E$91))+IF(SUMSQ('TS-PILE'!$D$72:$D$91)=0,0,'TO HOP NLAN'!F23*'TS-PILE'!$D$84/SUMSQ('TS-PILE'!$D$72:$D$91))),IF('TS-PILE'!$B$85="",-1E+99,'TO HOP NLAN'!D23/ncoc+IF(SUMSQ('TS-PILE'!$E$72:$E$91)=0,0,'TO HOP NLAN'!E23*'TS-PILE'!$E$85/SUMSQ('TS-PILE'!$E$72:$E$91))+IF(SUMSQ('TS-PILE'!$D$72:$D$91)=0,0,'TO HOP NLAN'!F23*'TS-PILE'!$D$85/SUMSQ('TS-PILE'!$D$72:$D$91))),IF('TS-PILE'!$B$86="",-1E+99,'TO HOP NLAN'!D23/ncoc+IF(SUMSQ('TS-PILE'!$E$72:$E$91)=0,0,'TO HOP NLAN'!E23*'TS-PILE'!$E$86/SUMSQ('TS-PILE'!$E$72:$E$91))+IF(SUMSQ('TS-PILE'!$D$72:$D$91)=0,0,'TO HOP NLAN'!F23*'TS-PILE'!$D$86/SUMSQ('TS-PILE'!$D$72:$D$91))),IF('TS-PILE'!$B$87="",-1E+99,'TO HOP NLAN'!D23/ncoc+IF(SUMSQ('TS-PILE'!$E$72:$E$91)=0,0,'TO HOP NLAN'!E23*'TS-PILE'!$E$87/SUMSQ('TS-PILE'!$E$72:$E$91))+IF(SUMSQ('TS-PILE'!$D$72:$D$91)=0,0,'TO HOP NLAN'!F23*'TS-PILE'!$D$87/SUMSQ('TS-PILE'!$D$72:$D$91))),IF('TS-PILE'!$B$88="",-1E+99,'TO HOP NLAN'!D23/ncoc+IF(SUMSQ('TS-PILE'!$E$72:$E$91)=0,0,'TO HOP NLAN'!E23*'TS-PILE'!$E$88/SUMSQ('TS-PILE'!$E$72:$E$91))+IF(SUMSQ('TS-PILE'!$D$72:$D$91)=0,0,'TO HOP NLAN'!F23*'TS-PILE'!$D$88/SUMSQ('TS-PILE'!$D$72:$D$91))),IF('TS-PILE'!$B$89="",-1E+99,'TO HOP NLAN'!D23/ncoc+IF(SUMSQ('TS-PILE'!$E$72:$E$91)=0,0,'TO HOP NLAN'!E23*'TS-PILE'!$E$89/SUMSQ('TS-PILE'!$E$72:$E$91))+IF(SUMSQ('TS-PILE'!$D$72:$D$91)=0,0,'TO HOP NLAN'!F23*'TS-PILE'!$D$89/SUMSQ('TS-PILE'!$D$72:$D$91))),IF('TS-PILE'!$B$90="",-1E+99,'TO HOP NLAN'!D23/ncoc+IF(SUMSQ('TS-PILE'!$E$72:$E$91)=0,0,'TO HOP NLAN'!E23*'TS-PILE'!$E$90/SUMSQ('TS-PILE'!$E$72:$E$91))+IF(SUMSQ('TS-PILE'!$D$72:$D$91)=0,0,'TO HOP NLAN'!F23*'TS-PILE'!$D$90/SUMSQ('TS-PILE'!$D$72:$D$91))),IF('TS-PILE'!$B$91="",-1E+99,'TO HOP NLAN'!D23/ncoc+IF(SUMSQ('TS-PILE'!$E$72:$E$91)=0,0,'TO HOP NLAN'!E23*'TS-PILE'!$E$91/SUMSQ('TS-PILE'!$E$72:$E$91))+IF(SUMSQ('TS-PILE'!$D$72:$D$91)=0,0,'TO HOP NLAN'!F23*'TS-PILE'!$D$91/SUMSQ('TS-PILE'!$D$72:$D$91)))))</f>
        <v>0</v>
      </c>
      <c r="D23" s="58">
        <f>IF(A23="",0,MIN(IF('TS-PILE'!$B$72="",1E+99,'TO HOP NLAN'!D23/ncoc+IF(SUMSQ('TS-PILE'!$E$72:$E$91)=0,0,'TO HOP NLAN'!E23*'TS-PILE'!$E$72/SUMSQ('TS-PILE'!$E$72:$E$91))+IF(SUMSQ('TS-PILE'!$D$72:$D$91)=0,0,'TO HOP NLAN'!F23*'TS-PILE'!$D$72/SUMSQ('TS-PILE'!$D$72:$D$91))),IF('TS-PILE'!$B$73="",1E+99,'TO HOP NLAN'!D23/ncoc+IF(SUMSQ('TS-PILE'!$E$72:$E$91)=0,0,'TO HOP NLAN'!E23*'TS-PILE'!$E$73/SUMSQ('TS-PILE'!$E$72:$E$91))+IF(SUMSQ('TS-PILE'!$D$72:$D$91)=0,0,'TO HOP NLAN'!F23*'TS-PILE'!$D$73/SUMSQ('TS-PILE'!$D$72:$D$91))),IF('TS-PILE'!$B$74="",1E+99,'TO HOP NLAN'!D23/ncoc+IF(SUMSQ('TS-PILE'!$E$72:$E$91)=0,0,'TO HOP NLAN'!E23*'TS-PILE'!$E$74/SUMSQ('TS-PILE'!$E$72:$E$91))+IF(SUMSQ('TS-PILE'!$D$72:$D$91)=0,0,'TO HOP NLAN'!F23*'TS-PILE'!$D$74/SUMSQ('TS-PILE'!$D$72:$D$91))),IF('TS-PILE'!$B$75="",1E+99,'TO HOP NLAN'!D23/ncoc+IF(SUMSQ('TS-PILE'!$E$72:$E$91)=0,0,'TO HOP NLAN'!E23*'TS-PILE'!$E$75/SUMSQ('TS-PILE'!$E$72:$E$91))+IF(SUMSQ('TS-PILE'!$D$72:$D$91)=0,0,'TO HOP NLAN'!F23*'TS-PILE'!$D$75/SUMSQ('TS-PILE'!$D$72:$D$91))),IF('TS-PILE'!$B$76="",1E+99,'TO HOP NLAN'!D23/ncoc+IF(SUMSQ('TS-PILE'!$E$72:$E$91)=0,0,'TO HOP NLAN'!E23*'TS-PILE'!$E$76/SUMSQ('TS-PILE'!$E$72:$E$91))+IF(SUMSQ('TS-PILE'!$D$72:$D$91)=0,0,'TO HOP NLAN'!F23*'TS-PILE'!$D$76/SUMSQ('TS-PILE'!$D$72:$D$91))),IF('TS-PILE'!$B$77="",1E+99,'TO HOP NLAN'!D23/ncoc+IF(SUMSQ('TS-PILE'!$E$72:$E$91)=0,0,'TO HOP NLAN'!E23*'TS-PILE'!$E$77/SUMSQ('TS-PILE'!$E$72:$E$91))+IF(SUMSQ('TS-PILE'!$D$72:$D$91)=0,0,'TO HOP NLAN'!F23*'TS-PILE'!$D$77/SUMSQ('TS-PILE'!$D$72:$D$91))),IF('TS-PILE'!$B$78="",1E+99,'TO HOP NLAN'!D23/ncoc+IF(SUMSQ('TS-PILE'!$E$72:$E$91)=0,0,'TO HOP NLAN'!E23*'TS-PILE'!$E$78/SUMSQ('TS-PILE'!$E$72:$E$91))+IF(SUMSQ('TS-PILE'!$D$72:$D$91)=0,0,'TO HOP NLAN'!F23*'TS-PILE'!$D$78/SUMSQ('TS-PILE'!$D$72:$D$91))),IF('TS-PILE'!$B$79="",1E+99,'TO HOP NLAN'!D23/ncoc+IF(SUMSQ('TS-PILE'!$E$72:$E$91)=0,0,'TO HOP NLAN'!E23*'TS-PILE'!$E$79/SUMSQ('TS-PILE'!$E$72:$E$91))+IF(SUMSQ('TS-PILE'!$D$72:$D$91)=0,0,'TO HOP NLAN'!F23*'TS-PILE'!$D$79/SUMSQ('TS-PILE'!$D$72:$D$91))),IF('TS-PILE'!$B$80="",1E+99,'TO HOP NLAN'!D23/ncoc+IF(SUMSQ('TS-PILE'!$E$72:$E$91)=0,0,'TO HOP NLAN'!E23*'TS-PILE'!$E$80/SUMSQ('TS-PILE'!$E$72:$E$91))+IF(SUMSQ('TS-PILE'!$D$72:$D$91)=0,0,'TO HOP NLAN'!F23*'TS-PILE'!$D$80/SUMSQ('TS-PILE'!$D$72:$D$91))),IF('TS-PILE'!$B$81="",1E+99,'TO HOP NLAN'!D23/ncoc+IF(SUMSQ('TS-PILE'!$E$72:$E$91)=0,0,'TO HOP NLAN'!E23*'TS-PILE'!$E$81/SUMSQ('TS-PILE'!$E$72:$E$91))+IF(SUMSQ('TS-PILE'!$D$72:$D$91)=0,0,'TO HOP NLAN'!F23*'TS-PILE'!$D$81/SUMSQ('TS-PILE'!$D$72:$D$91))),IF('TS-PILE'!$B$82="",1E+99,'TO HOP NLAN'!D23/ncoc+IF(SUMSQ('TS-PILE'!$E$72:$E$91)=0,0,'TO HOP NLAN'!E23*'TS-PILE'!$E$82/SUMSQ('TS-PILE'!$E$72:$E$91))+IF(SUMSQ('TS-PILE'!$D$72:$D$91)=0,0,'TO HOP NLAN'!F23*'TS-PILE'!$D$82/SUMSQ('TS-PILE'!$D$72:$D$91))),IF('TS-PILE'!$B$83="",1E+99,'TO HOP NLAN'!D23/ncoc+IF(SUMSQ('TS-PILE'!$E$72:$E$91)=0,0,'TO HOP NLAN'!E23*'TS-PILE'!$E$83/SUMSQ('TS-PILE'!$E$72:$E$91))+IF(SUMSQ('TS-PILE'!$D$72:$D$91)=0,0,'TO HOP NLAN'!F23*'TS-PILE'!$D$83/SUMSQ('TS-PILE'!$D$72:$D$91))),IF('TS-PILE'!$B$84="",1E+99,'TO HOP NLAN'!D23/ncoc+IF(SUMSQ('TS-PILE'!$E$72:$E$91)=0,0,'TO HOP NLAN'!E23*'TS-PILE'!$E$84/SUMSQ('TS-PILE'!$E$72:$E$91))+IF(SUMSQ('TS-PILE'!$D$72:$D$91)=0,0,'TO HOP NLAN'!F23*'TS-PILE'!$D$84/SUMSQ('TS-PILE'!$D$72:$D$91))),IF('TS-PILE'!$B$85="",1E+99,'TO HOP NLAN'!D23/ncoc+IF(SUMSQ('TS-PILE'!$E$72:$E$91)=0,0,'TO HOP NLAN'!E23*'TS-PILE'!$E$85/SUMSQ('TS-PILE'!$E$72:$E$91))+IF(SUMSQ('TS-PILE'!$D$72:$D$91)=0,0,'TO HOP NLAN'!F23*'TS-PILE'!$D$85/SUMSQ('TS-PILE'!$D$72:$D$91))),IF('TS-PILE'!$B$86="",1E+99,'TO HOP NLAN'!D23/ncoc+IF(SUMSQ('TS-PILE'!$E$72:$E$91)=0,0,'TO HOP NLAN'!E23*'TS-PILE'!$E$86/SUMSQ('TS-PILE'!$E$72:$E$91))+IF(SUMSQ('TS-PILE'!$D$72:$D$91)=0,0,'TO HOP NLAN'!F23*'TS-PILE'!$D$86/SUMSQ('TS-PILE'!$D$72:$D$91))),IF('TS-PILE'!$B$87="",1E+99,'TO HOP NLAN'!D23/ncoc+IF(SUMSQ('TS-PILE'!$E$72:$E$91)=0,0,'TO HOP NLAN'!E23*'TS-PILE'!$E$87/SUMSQ('TS-PILE'!$E$72:$E$91))+IF(SUMSQ('TS-PILE'!$D$72:$D$91)=0,0,'TO HOP NLAN'!F23*'TS-PILE'!$D$87/SUMSQ('TS-PILE'!$D$72:$D$91))),IF('TS-PILE'!$B$88="",1E+99,'TO HOP NLAN'!D23/ncoc+IF(SUMSQ('TS-PILE'!$E$72:$E$91)=0,0,'TO HOP NLAN'!E23*'TS-PILE'!$E$88/SUMSQ('TS-PILE'!$E$72:$E$91))+IF(SUMSQ('TS-PILE'!$D$72:$D$91)=0,0,'TO HOP NLAN'!F23*'TS-PILE'!$D$88/SUMSQ('TS-PILE'!$D$72:$D$91))),IF('TS-PILE'!$B$89="",1E+99,'TO HOP NLAN'!D23/ncoc+IF(SUMSQ('TS-PILE'!$E$72:$E$91)=0,0,'TO HOP NLAN'!E23*'TS-PILE'!$E$89/SUMSQ('TS-PILE'!$E$72:$E$91))+IF(SUMSQ('TS-PILE'!$D$72:$D$91)=0,0,'TO HOP NLAN'!F23*'TS-PILE'!$D$89/SUMSQ('TS-PILE'!$D$72:$D$91))),IF('TS-PILE'!$B$90="",1E+99,'TO HOP NLAN'!D23/ncoc+IF(SUMSQ('TS-PILE'!$E$72:$E$91)=0,0,'TO HOP NLAN'!E23*'TS-PILE'!$E$90/SUMSQ('TS-PILE'!$E$72:$E$91))+IF(SUMSQ('TS-PILE'!$D$72:$D$91)=0,0,'TO HOP NLAN'!F23*'TS-PILE'!$D$90/SUMSQ('TS-PILE'!$D$72:$D$91))),IF('TS-PILE'!$B$91="",1E+99,'TO HOP NLAN'!D23/ncoc+IF(SUMSQ('TS-PILE'!$E$72:$E$91)=0,0,'TO HOP NLAN'!E23*'TS-PILE'!$E$91/SUMSQ('TS-PILE'!$E$72:$E$91))+IF(SUMSQ('TS-PILE'!$D$72:$D$91)=0,0,'TO HOP NLAN'!F23*'TS-PILE'!$D$91/SUMSQ('TS-PILE'!$D$72:$D$91)))))</f>
        <v>0</v>
      </c>
      <c r="E23" s="58">
        <f t="shared" si="0"/>
        <v>-9.9999999999999997E+98</v>
      </c>
      <c r="F23" s="58">
        <f t="shared" si="1"/>
        <v>9.9999999999999997E+98</v>
      </c>
      <c r="G23" s="58">
        <f t="shared" si="2"/>
        <v>-9.9999999999999997E+98</v>
      </c>
      <c r="H23" s="58">
        <f t="shared" si="3"/>
        <v>9.9999999999999997E+98</v>
      </c>
    </row>
    <row r="24" spans="1:8" x14ac:dyDescent="0.3">
      <c r="A24" s="42" t="str">
        <f>'TO HOP NLAN'!A24</f>
        <v/>
      </c>
      <c r="B24" s="42" t="str">
        <f>'TO HOP NLAN'!L24</f>
        <v>SERVICE</v>
      </c>
      <c r="C24" s="58">
        <f>IF(A24="",0,MAX(IF('TS-PILE'!$B$72="",-1E+99,'TO HOP NLAN'!D24/ncoc+IF(SUMSQ('TS-PILE'!$E$72:$E$91)=0,0,'TO HOP NLAN'!E24*'TS-PILE'!$E$72/SUMSQ('TS-PILE'!$E$72:$E$91))+IF(SUMSQ('TS-PILE'!$D$72:$D$91)=0,0,'TO HOP NLAN'!F24*'TS-PILE'!$D$72/SUMSQ('TS-PILE'!$D$72:$D$91))),IF('TS-PILE'!$B$73="",-1E+99,'TO HOP NLAN'!D24/ncoc+IF(SUMSQ('TS-PILE'!$E$72:$E$91)=0,0,'TO HOP NLAN'!E24*'TS-PILE'!$E$73/SUMSQ('TS-PILE'!$E$72:$E$91))+IF(SUMSQ('TS-PILE'!$D$72:$D$91)=0,0,'TO HOP NLAN'!F24*'TS-PILE'!$D$73/SUMSQ('TS-PILE'!$D$72:$D$91))),IF('TS-PILE'!$B$74="",-1E+99,'TO HOP NLAN'!D24/ncoc+IF(SUMSQ('TS-PILE'!$E$72:$E$91)=0,0,'TO HOP NLAN'!E24*'TS-PILE'!$E$74/SUMSQ('TS-PILE'!$E$72:$E$91))+IF(SUMSQ('TS-PILE'!$D$72:$D$91)=0,0,'TO HOP NLAN'!F24*'TS-PILE'!$D$74/SUMSQ('TS-PILE'!$D$72:$D$91))),IF('TS-PILE'!$B$75="",-1E+99,'TO HOP NLAN'!D24/ncoc+IF(SUMSQ('TS-PILE'!$E$72:$E$91)=0,0,'TO HOP NLAN'!E24*'TS-PILE'!$E$75/SUMSQ('TS-PILE'!$E$72:$E$91))+IF(SUMSQ('TS-PILE'!$D$72:$D$91)=0,0,'TO HOP NLAN'!F24*'TS-PILE'!$D$75/SUMSQ('TS-PILE'!$D$72:$D$91))),IF('TS-PILE'!$B$76="",-1E+99,'TO HOP NLAN'!D24/ncoc+IF(SUMSQ('TS-PILE'!$E$72:$E$91)=0,0,'TO HOP NLAN'!E24*'TS-PILE'!$E$76/SUMSQ('TS-PILE'!$E$72:$E$91))+IF(SUMSQ('TS-PILE'!$D$72:$D$91)=0,0,'TO HOP NLAN'!F24*'TS-PILE'!$D$76/SUMSQ('TS-PILE'!$D$72:$D$91))),IF('TS-PILE'!$B$77="",-1E+99,'TO HOP NLAN'!D24/ncoc+IF(SUMSQ('TS-PILE'!$E$72:$E$91)=0,0,'TO HOP NLAN'!E24*'TS-PILE'!$E$77/SUMSQ('TS-PILE'!$E$72:$E$91))+IF(SUMSQ('TS-PILE'!$D$72:$D$91)=0,0,'TO HOP NLAN'!F24*'TS-PILE'!$D$77/SUMSQ('TS-PILE'!$D$72:$D$91))),IF('TS-PILE'!$B$78="",-1E+99,'TO HOP NLAN'!D24/ncoc+IF(SUMSQ('TS-PILE'!$E$72:$E$91)=0,0,'TO HOP NLAN'!E24*'TS-PILE'!$E$78/SUMSQ('TS-PILE'!$E$72:$E$91))+IF(SUMSQ('TS-PILE'!$D$72:$D$91)=0,0,'TO HOP NLAN'!F24*'TS-PILE'!$D$78/SUMSQ('TS-PILE'!$D$72:$D$91))),IF('TS-PILE'!$B$79="",-1E+99,'TO HOP NLAN'!D24/ncoc+IF(SUMSQ('TS-PILE'!$E$72:$E$91)=0,0,'TO HOP NLAN'!E24*'TS-PILE'!$E$79/SUMSQ('TS-PILE'!$E$72:$E$91))+IF(SUMSQ('TS-PILE'!$D$72:$D$91)=0,0,'TO HOP NLAN'!F24*'TS-PILE'!$D$79/SUMSQ('TS-PILE'!$D$72:$D$91))),IF('TS-PILE'!$B$80="",-1E+99,'TO HOP NLAN'!D24/ncoc+IF(SUMSQ('TS-PILE'!$E$72:$E$91)=0,0,'TO HOP NLAN'!E24*'TS-PILE'!$E$80/SUMSQ('TS-PILE'!$E$72:$E$91))+IF(SUMSQ('TS-PILE'!$D$72:$D$91)=0,0,'TO HOP NLAN'!F24*'TS-PILE'!$D$80/SUMSQ('TS-PILE'!$D$72:$D$91))),IF('TS-PILE'!$B$81="",-1E+99,'TO HOP NLAN'!D24/ncoc+IF(SUMSQ('TS-PILE'!$E$72:$E$91)=0,0,'TO HOP NLAN'!E24*'TS-PILE'!$E$81/SUMSQ('TS-PILE'!$E$72:$E$91))+IF(SUMSQ('TS-PILE'!$D$72:$D$91)=0,0,'TO HOP NLAN'!F24*'TS-PILE'!$D$81/SUMSQ('TS-PILE'!$D$72:$D$91))),IF('TS-PILE'!$B$82="",-1E+99,'TO HOP NLAN'!D24/ncoc+IF(SUMSQ('TS-PILE'!$E$72:$E$91)=0,0,'TO HOP NLAN'!E24*'TS-PILE'!$E$82/SUMSQ('TS-PILE'!$E$72:$E$91))+IF(SUMSQ('TS-PILE'!$D$72:$D$91)=0,0,'TO HOP NLAN'!F24*'TS-PILE'!$D$82/SUMSQ('TS-PILE'!$D$72:$D$91))),IF('TS-PILE'!$B$83="",-1E+99,'TO HOP NLAN'!D24/ncoc+IF(SUMSQ('TS-PILE'!$E$72:$E$91)=0,0,'TO HOP NLAN'!E24*'TS-PILE'!$E$83/SUMSQ('TS-PILE'!$E$72:$E$91))+IF(SUMSQ('TS-PILE'!$D$72:$D$91)=0,0,'TO HOP NLAN'!F24*'TS-PILE'!$D$83/SUMSQ('TS-PILE'!$D$72:$D$91))),IF('TS-PILE'!$B$84="",-1E+99,'TO HOP NLAN'!D24/ncoc+IF(SUMSQ('TS-PILE'!$E$72:$E$91)=0,0,'TO HOP NLAN'!E24*'TS-PILE'!$E$84/SUMSQ('TS-PILE'!$E$72:$E$91))+IF(SUMSQ('TS-PILE'!$D$72:$D$91)=0,0,'TO HOP NLAN'!F24*'TS-PILE'!$D$84/SUMSQ('TS-PILE'!$D$72:$D$91))),IF('TS-PILE'!$B$85="",-1E+99,'TO HOP NLAN'!D24/ncoc+IF(SUMSQ('TS-PILE'!$E$72:$E$91)=0,0,'TO HOP NLAN'!E24*'TS-PILE'!$E$85/SUMSQ('TS-PILE'!$E$72:$E$91))+IF(SUMSQ('TS-PILE'!$D$72:$D$91)=0,0,'TO HOP NLAN'!F24*'TS-PILE'!$D$85/SUMSQ('TS-PILE'!$D$72:$D$91))),IF('TS-PILE'!$B$86="",-1E+99,'TO HOP NLAN'!D24/ncoc+IF(SUMSQ('TS-PILE'!$E$72:$E$91)=0,0,'TO HOP NLAN'!E24*'TS-PILE'!$E$86/SUMSQ('TS-PILE'!$E$72:$E$91))+IF(SUMSQ('TS-PILE'!$D$72:$D$91)=0,0,'TO HOP NLAN'!F24*'TS-PILE'!$D$86/SUMSQ('TS-PILE'!$D$72:$D$91))),IF('TS-PILE'!$B$87="",-1E+99,'TO HOP NLAN'!D24/ncoc+IF(SUMSQ('TS-PILE'!$E$72:$E$91)=0,0,'TO HOP NLAN'!E24*'TS-PILE'!$E$87/SUMSQ('TS-PILE'!$E$72:$E$91))+IF(SUMSQ('TS-PILE'!$D$72:$D$91)=0,0,'TO HOP NLAN'!F24*'TS-PILE'!$D$87/SUMSQ('TS-PILE'!$D$72:$D$91))),IF('TS-PILE'!$B$88="",-1E+99,'TO HOP NLAN'!D24/ncoc+IF(SUMSQ('TS-PILE'!$E$72:$E$91)=0,0,'TO HOP NLAN'!E24*'TS-PILE'!$E$88/SUMSQ('TS-PILE'!$E$72:$E$91))+IF(SUMSQ('TS-PILE'!$D$72:$D$91)=0,0,'TO HOP NLAN'!F24*'TS-PILE'!$D$88/SUMSQ('TS-PILE'!$D$72:$D$91))),IF('TS-PILE'!$B$89="",-1E+99,'TO HOP NLAN'!D24/ncoc+IF(SUMSQ('TS-PILE'!$E$72:$E$91)=0,0,'TO HOP NLAN'!E24*'TS-PILE'!$E$89/SUMSQ('TS-PILE'!$E$72:$E$91))+IF(SUMSQ('TS-PILE'!$D$72:$D$91)=0,0,'TO HOP NLAN'!F24*'TS-PILE'!$D$89/SUMSQ('TS-PILE'!$D$72:$D$91))),IF('TS-PILE'!$B$90="",-1E+99,'TO HOP NLAN'!D24/ncoc+IF(SUMSQ('TS-PILE'!$E$72:$E$91)=0,0,'TO HOP NLAN'!E24*'TS-PILE'!$E$90/SUMSQ('TS-PILE'!$E$72:$E$91))+IF(SUMSQ('TS-PILE'!$D$72:$D$91)=0,0,'TO HOP NLAN'!F24*'TS-PILE'!$D$90/SUMSQ('TS-PILE'!$D$72:$D$91))),IF('TS-PILE'!$B$91="",-1E+99,'TO HOP NLAN'!D24/ncoc+IF(SUMSQ('TS-PILE'!$E$72:$E$91)=0,0,'TO HOP NLAN'!E24*'TS-PILE'!$E$91/SUMSQ('TS-PILE'!$E$72:$E$91))+IF(SUMSQ('TS-PILE'!$D$72:$D$91)=0,0,'TO HOP NLAN'!F24*'TS-PILE'!$D$91/SUMSQ('TS-PILE'!$D$72:$D$91)))))</f>
        <v>0</v>
      </c>
      <c r="D24" s="58">
        <f>IF(A24="",0,MIN(IF('TS-PILE'!$B$72="",1E+99,'TO HOP NLAN'!D24/ncoc+IF(SUMSQ('TS-PILE'!$E$72:$E$91)=0,0,'TO HOP NLAN'!E24*'TS-PILE'!$E$72/SUMSQ('TS-PILE'!$E$72:$E$91))+IF(SUMSQ('TS-PILE'!$D$72:$D$91)=0,0,'TO HOP NLAN'!F24*'TS-PILE'!$D$72/SUMSQ('TS-PILE'!$D$72:$D$91))),IF('TS-PILE'!$B$73="",1E+99,'TO HOP NLAN'!D24/ncoc+IF(SUMSQ('TS-PILE'!$E$72:$E$91)=0,0,'TO HOP NLAN'!E24*'TS-PILE'!$E$73/SUMSQ('TS-PILE'!$E$72:$E$91))+IF(SUMSQ('TS-PILE'!$D$72:$D$91)=0,0,'TO HOP NLAN'!F24*'TS-PILE'!$D$73/SUMSQ('TS-PILE'!$D$72:$D$91))),IF('TS-PILE'!$B$74="",1E+99,'TO HOP NLAN'!D24/ncoc+IF(SUMSQ('TS-PILE'!$E$72:$E$91)=0,0,'TO HOP NLAN'!E24*'TS-PILE'!$E$74/SUMSQ('TS-PILE'!$E$72:$E$91))+IF(SUMSQ('TS-PILE'!$D$72:$D$91)=0,0,'TO HOP NLAN'!F24*'TS-PILE'!$D$74/SUMSQ('TS-PILE'!$D$72:$D$91))),IF('TS-PILE'!$B$75="",1E+99,'TO HOP NLAN'!D24/ncoc+IF(SUMSQ('TS-PILE'!$E$72:$E$91)=0,0,'TO HOP NLAN'!E24*'TS-PILE'!$E$75/SUMSQ('TS-PILE'!$E$72:$E$91))+IF(SUMSQ('TS-PILE'!$D$72:$D$91)=0,0,'TO HOP NLAN'!F24*'TS-PILE'!$D$75/SUMSQ('TS-PILE'!$D$72:$D$91))),IF('TS-PILE'!$B$76="",1E+99,'TO HOP NLAN'!D24/ncoc+IF(SUMSQ('TS-PILE'!$E$72:$E$91)=0,0,'TO HOP NLAN'!E24*'TS-PILE'!$E$76/SUMSQ('TS-PILE'!$E$72:$E$91))+IF(SUMSQ('TS-PILE'!$D$72:$D$91)=0,0,'TO HOP NLAN'!F24*'TS-PILE'!$D$76/SUMSQ('TS-PILE'!$D$72:$D$91))),IF('TS-PILE'!$B$77="",1E+99,'TO HOP NLAN'!D24/ncoc+IF(SUMSQ('TS-PILE'!$E$72:$E$91)=0,0,'TO HOP NLAN'!E24*'TS-PILE'!$E$77/SUMSQ('TS-PILE'!$E$72:$E$91))+IF(SUMSQ('TS-PILE'!$D$72:$D$91)=0,0,'TO HOP NLAN'!F24*'TS-PILE'!$D$77/SUMSQ('TS-PILE'!$D$72:$D$91))),IF('TS-PILE'!$B$78="",1E+99,'TO HOP NLAN'!D24/ncoc+IF(SUMSQ('TS-PILE'!$E$72:$E$91)=0,0,'TO HOP NLAN'!E24*'TS-PILE'!$E$78/SUMSQ('TS-PILE'!$E$72:$E$91))+IF(SUMSQ('TS-PILE'!$D$72:$D$91)=0,0,'TO HOP NLAN'!F24*'TS-PILE'!$D$78/SUMSQ('TS-PILE'!$D$72:$D$91))),IF('TS-PILE'!$B$79="",1E+99,'TO HOP NLAN'!D24/ncoc+IF(SUMSQ('TS-PILE'!$E$72:$E$91)=0,0,'TO HOP NLAN'!E24*'TS-PILE'!$E$79/SUMSQ('TS-PILE'!$E$72:$E$91))+IF(SUMSQ('TS-PILE'!$D$72:$D$91)=0,0,'TO HOP NLAN'!F24*'TS-PILE'!$D$79/SUMSQ('TS-PILE'!$D$72:$D$91))),IF('TS-PILE'!$B$80="",1E+99,'TO HOP NLAN'!D24/ncoc+IF(SUMSQ('TS-PILE'!$E$72:$E$91)=0,0,'TO HOP NLAN'!E24*'TS-PILE'!$E$80/SUMSQ('TS-PILE'!$E$72:$E$91))+IF(SUMSQ('TS-PILE'!$D$72:$D$91)=0,0,'TO HOP NLAN'!F24*'TS-PILE'!$D$80/SUMSQ('TS-PILE'!$D$72:$D$91))),IF('TS-PILE'!$B$81="",1E+99,'TO HOP NLAN'!D24/ncoc+IF(SUMSQ('TS-PILE'!$E$72:$E$91)=0,0,'TO HOP NLAN'!E24*'TS-PILE'!$E$81/SUMSQ('TS-PILE'!$E$72:$E$91))+IF(SUMSQ('TS-PILE'!$D$72:$D$91)=0,0,'TO HOP NLAN'!F24*'TS-PILE'!$D$81/SUMSQ('TS-PILE'!$D$72:$D$91))),IF('TS-PILE'!$B$82="",1E+99,'TO HOP NLAN'!D24/ncoc+IF(SUMSQ('TS-PILE'!$E$72:$E$91)=0,0,'TO HOP NLAN'!E24*'TS-PILE'!$E$82/SUMSQ('TS-PILE'!$E$72:$E$91))+IF(SUMSQ('TS-PILE'!$D$72:$D$91)=0,0,'TO HOP NLAN'!F24*'TS-PILE'!$D$82/SUMSQ('TS-PILE'!$D$72:$D$91))),IF('TS-PILE'!$B$83="",1E+99,'TO HOP NLAN'!D24/ncoc+IF(SUMSQ('TS-PILE'!$E$72:$E$91)=0,0,'TO HOP NLAN'!E24*'TS-PILE'!$E$83/SUMSQ('TS-PILE'!$E$72:$E$91))+IF(SUMSQ('TS-PILE'!$D$72:$D$91)=0,0,'TO HOP NLAN'!F24*'TS-PILE'!$D$83/SUMSQ('TS-PILE'!$D$72:$D$91))),IF('TS-PILE'!$B$84="",1E+99,'TO HOP NLAN'!D24/ncoc+IF(SUMSQ('TS-PILE'!$E$72:$E$91)=0,0,'TO HOP NLAN'!E24*'TS-PILE'!$E$84/SUMSQ('TS-PILE'!$E$72:$E$91))+IF(SUMSQ('TS-PILE'!$D$72:$D$91)=0,0,'TO HOP NLAN'!F24*'TS-PILE'!$D$84/SUMSQ('TS-PILE'!$D$72:$D$91))),IF('TS-PILE'!$B$85="",1E+99,'TO HOP NLAN'!D24/ncoc+IF(SUMSQ('TS-PILE'!$E$72:$E$91)=0,0,'TO HOP NLAN'!E24*'TS-PILE'!$E$85/SUMSQ('TS-PILE'!$E$72:$E$91))+IF(SUMSQ('TS-PILE'!$D$72:$D$91)=0,0,'TO HOP NLAN'!F24*'TS-PILE'!$D$85/SUMSQ('TS-PILE'!$D$72:$D$91))),IF('TS-PILE'!$B$86="",1E+99,'TO HOP NLAN'!D24/ncoc+IF(SUMSQ('TS-PILE'!$E$72:$E$91)=0,0,'TO HOP NLAN'!E24*'TS-PILE'!$E$86/SUMSQ('TS-PILE'!$E$72:$E$91))+IF(SUMSQ('TS-PILE'!$D$72:$D$91)=0,0,'TO HOP NLAN'!F24*'TS-PILE'!$D$86/SUMSQ('TS-PILE'!$D$72:$D$91))),IF('TS-PILE'!$B$87="",1E+99,'TO HOP NLAN'!D24/ncoc+IF(SUMSQ('TS-PILE'!$E$72:$E$91)=0,0,'TO HOP NLAN'!E24*'TS-PILE'!$E$87/SUMSQ('TS-PILE'!$E$72:$E$91))+IF(SUMSQ('TS-PILE'!$D$72:$D$91)=0,0,'TO HOP NLAN'!F24*'TS-PILE'!$D$87/SUMSQ('TS-PILE'!$D$72:$D$91))),IF('TS-PILE'!$B$88="",1E+99,'TO HOP NLAN'!D24/ncoc+IF(SUMSQ('TS-PILE'!$E$72:$E$91)=0,0,'TO HOP NLAN'!E24*'TS-PILE'!$E$88/SUMSQ('TS-PILE'!$E$72:$E$91))+IF(SUMSQ('TS-PILE'!$D$72:$D$91)=0,0,'TO HOP NLAN'!F24*'TS-PILE'!$D$88/SUMSQ('TS-PILE'!$D$72:$D$91))),IF('TS-PILE'!$B$89="",1E+99,'TO HOP NLAN'!D24/ncoc+IF(SUMSQ('TS-PILE'!$E$72:$E$91)=0,0,'TO HOP NLAN'!E24*'TS-PILE'!$E$89/SUMSQ('TS-PILE'!$E$72:$E$91))+IF(SUMSQ('TS-PILE'!$D$72:$D$91)=0,0,'TO HOP NLAN'!F24*'TS-PILE'!$D$89/SUMSQ('TS-PILE'!$D$72:$D$91))),IF('TS-PILE'!$B$90="",1E+99,'TO HOP NLAN'!D24/ncoc+IF(SUMSQ('TS-PILE'!$E$72:$E$91)=0,0,'TO HOP NLAN'!E24*'TS-PILE'!$E$90/SUMSQ('TS-PILE'!$E$72:$E$91))+IF(SUMSQ('TS-PILE'!$D$72:$D$91)=0,0,'TO HOP NLAN'!F24*'TS-PILE'!$D$90/SUMSQ('TS-PILE'!$D$72:$D$91))),IF('TS-PILE'!$B$91="",1E+99,'TO HOP NLAN'!D24/ncoc+IF(SUMSQ('TS-PILE'!$E$72:$E$91)=0,0,'TO HOP NLAN'!E24*'TS-PILE'!$E$91/SUMSQ('TS-PILE'!$E$72:$E$91))+IF(SUMSQ('TS-PILE'!$D$72:$D$91)=0,0,'TO HOP NLAN'!F24*'TS-PILE'!$D$91/SUMSQ('TS-PILE'!$D$72:$D$91)))))</f>
        <v>0</v>
      </c>
      <c r="E24" s="58">
        <f t="shared" si="0"/>
        <v>-9.9999999999999997E+98</v>
      </c>
      <c r="F24" s="58">
        <f t="shared" si="1"/>
        <v>9.9999999999999997E+98</v>
      </c>
      <c r="G24" s="58">
        <f t="shared" si="2"/>
        <v>-9.9999999999999997E+98</v>
      </c>
      <c r="H24" s="58">
        <f t="shared" si="3"/>
        <v>9.9999999999999997E+98</v>
      </c>
    </row>
    <row r="25" spans="1:8" x14ac:dyDescent="0.3">
      <c r="A25" s="42" t="str">
        <f>'TO HOP NLAN'!A25</f>
        <v/>
      </c>
      <c r="B25" s="42" t="str">
        <f>'TO HOP NLAN'!L25</f>
        <v>SERVICE</v>
      </c>
      <c r="C25" s="58">
        <f>IF(A25="",0,MAX(IF('TS-PILE'!$B$72="",-1E+99,'TO HOP NLAN'!D25/ncoc+IF(SUMSQ('TS-PILE'!$E$72:$E$91)=0,0,'TO HOP NLAN'!E25*'TS-PILE'!$E$72/SUMSQ('TS-PILE'!$E$72:$E$91))+IF(SUMSQ('TS-PILE'!$D$72:$D$91)=0,0,'TO HOP NLAN'!F25*'TS-PILE'!$D$72/SUMSQ('TS-PILE'!$D$72:$D$91))),IF('TS-PILE'!$B$73="",-1E+99,'TO HOP NLAN'!D25/ncoc+IF(SUMSQ('TS-PILE'!$E$72:$E$91)=0,0,'TO HOP NLAN'!E25*'TS-PILE'!$E$73/SUMSQ('TS-PILE'!$E$72:$E$91))+IF(SUMSQ('TS-PILE'!$D$72:$D$91)=0,0,'TO HOP NLAN'!F25*'TS-PILE'!$D$73/SUMSQ('TS-PILE'!$D$72:$D$91))),IF('TS-PILE'!$B$74="",-1E+99,'TO HOP NLAN'!D25/ncoc+IF(SUMSQ('TS-PILE'!$E$72:$E$91)=0,0,'TO HOP NLAN'!E25*'TS-PILE'!$E$74/SUMSQ('TS-PILE'!$E$72:$E$91))+IF(SUMSQ('TS-PILE'!$D$72:$D$91)=0,0,'TO HOP NLAN'!F25*'TS-PILE'!$D$74/SUMSQ('TS-PILE'!$D$72:$D$91))),IF('TS-PILE'!$B$75="",-1E+99,'TO HOP NLAN'!D25/ncoc+IF(SUMSQ('TS-PILE'!$E$72:$E$91)=0,0,'TO HOP NLAN'!E25*'TS-PILE'!$E$75/SUMSQ('TS-PILE'!$E$72:$E$91))+IF(SUMSQ('TS-PILE'!$D$72:$D$91)=0,0,'TO HOP NLAN'!F25*'TS-PILE'!$D$75/SUMSQ('TS-PILE'!$D$72:$D$91))),IF('TS-PILE'!$B$76="",-1E+99,'TO HOP NLAN'!D25/ncoc+IF(SUMSQ('TS-PILE'!$E$72:$E$91)=0,0,'TO HOP NLAN'!E25*'TS-PILE'!$E$76/SUMSQ('TS-PILE'!$E$72:$E$91))+IF(SUMSQ('TS-PILE'!$D$72:$D$91)=0,0,'TO HOP NLAN'!F25*'TS-PILE'!$D$76/SUMSQ('TS-PILE'!$D$72:$D$91))),IF('TS-PILE'!$B$77="",-1E+99,'TO HOP NLAN'!D25/ncoc+IF(SUMSQ('TS-PILE'!$E$72:$E$91)=0,0,'TO HOP NLAN'!E25*'TS-PILE'!$E$77/SUMSQ('TS-PILE'!$E$72:$E$91))+IF(SUMSQ('TS-PILE'!$D$72:$D$91)=0,0,'TO HOP NLAN'!F25*'TS-PILE'!$D$77/SUMSQ('TS-PILE'!$D$72:$D$91))),IF('TS-PILE'!$B$78="",-1E+99,'TO HOP NLAN'!D25/ncoc+IF(SUMSQ('TS-PILE'!$E$72:$E$91)=0,0,'TO HOP NLAN'!E25*'TS-PILE'!$E$78/SUMSQ('TS-PILE'!$E$72:$E$91))+IF(SUMSQ('TS-PILE'!$D$72:$D$91)=0,0,'TO HOP NLAN'!F25*'TS-PILE'!$D$78/SUMSQ('TS-PILE'!$D$72:$D$91))),IF('TS-PILE'!$B$79="",-1E+99,'TO HOP NLAN'!D25/ncoc+IF(SUMSQ('TS-PILE'!$E$72:$E$91)=0,0,'TO HOP NLAN'!E25*'TS-PILE'!$E$79/SUMSQ('TS-PILE'!$E$72:$E$91))+IF(SUMSQ('TS-PILE'!$D$72:$D$91)=0,0,'TO HOP NLAN'!F25*'TS-PILE'!$D$79/SUMSQ('TS-PILE'!$D$72:$D$91))),IF('TS-PILE'!$B$80="",-1E+99,'TO HOP NLAN'!D25/ncoc+IF(SUMSQ('TS-PILE'!$E$72:$E$91)=0,0,'TO HOP NLAN'!E25*'TS-PILE'!$E$80/SUMSQ('TS-PILE'!$E$72:$E$91))+IF(SUMSQ('TS-PILE'!$D$72:$D$91)=0,0,'TO HOP NLAN'!F25*'TS-PILE'!$D$80/SUMSQ('TS-PILE'!$D$72:$D$91))),IF('TS-PILE'!$B$81="",-1E+99,'TO HOP NLAN'!D25/ncoc+IF(SUMSQ('TS-PILE'!$E$72:$E$91)=0,0,'TO HOP NLAN'!E25*'TS-PILE'!$E$81/SUMSQ('TS-PILE'!$E$72:$E$91))+IF(SUMSQ('TS-PILE'!$D$72:$D$91)=0,0,'TO HOP NLAN'!F25*'TS-PILE'!$D$81/SUMSQ('TS-PILE'!$D$72:$D$91))),IF('TS-PILE'!$B$82="",-1E+99,'TO HOP NLAN'!D25/ncoc+IF(SUMSQ('TS-PILE'!$E$72:$E$91)=0,0,'TO HOP NLAN'!E25*'TS-PILE'!$E$82/SUMSQ('TS-PILE'!$E$72:$E$91))+IF(SUMSQ('TS-PILE'!$D$72:$D$91)=0,0,'TO HOP NLAN'!F25*'TS-PILE'!$D$82/SUMSQ('TS-PILE'!$D$72:$D$91))),IF('TS-PILE'!$B$83="",-1E+99,'TO HOP NLAN'!D25/ncoc+IF(SUMSQ('TS-PILE'!$E$72:$E$91)=0,0,'TO HOP NLAN'!E25*'TS-PILE'!$E$83/SUMSQ('TS-PILE'!$E$72:$E$91))+IF(SUMSQ('TS-PILE'!$D$72:$D$91)=0,0,'TO HOP NLAN'!F25*'TS-PILE'!$D$83/SUMSQ('TS-PILE'!$D$72:$D$91))),IF('TS-PILE'!$B$84="",-1E+99,'TO HOP NLAN'!D25/ncoc+IF(SUMSQ('TS-PILE'!$E$72:$E$91)=0,0,'TO HOP NLAN'!E25*'TS-PILE'!$E$84/SUMSQ('TS-PILE'!$E$72:$E$91))+IF(SUMSQ('TS-PILE'!$D$72:$D$91)=0,0,'TO HOP NLAN'!F25*'TS-PILE'!$D$84/SUMSQ('TS-PILE'!$D$72:$D$91))),IF('TS-PILE'!$B$85="",-1E+99,'TO HOP NLAN'!D25/ncoc+IF(SUMSQ('TS-PILE'!$E$72:$E$91)=0,0,'TO HOP NLAN'!E25*'TS-PILE'!$E$85/SUMSQ('TS-PILE'!$E$72:$E$91))+IF(SUMSQ('TS-PILE'!$D$72:$D$91)=0,0,'TO HOP NLAN'!F25*'TS-PILE'!$D$85/SUMSQ('TS-PILE'!$D$72:$D$91))),IF('TS-PILE'!$B$86="",-1E+99,'TO HOP NLAN'!D25/ncoc+IF(SUMSQ('TS-PILE'!$E$72:$E$91)=0,0,'TO HOP NLAN'!E25*'TS-PILE'!$E$86/SUMSQ('TS-PILE'!$E$72:$E$91))+IF(SUMSQ('TS-PILE'!$D$72:$D$91)=0,0,'TO HOP NLAN'!F25*'TS-PILE'!$D$86/SUMSQ('TS-PILE'!$D$72:$D$91))),IF('TS-PILE'!$B$87="",-1E+99,'TO HOP NLAN'!D25/ncoc+IF(SUMSQ('TS-PILE'!$E$72:$E$91)=0,0,'TO HOP NLAN'!E25*'TS-PILE'!$E$87/SUMSQ('TS-PILE'!$E$72:$E$91))+IF(SUMSQ('TS-PILE'!$D$72:$D$91)=0,0,'TO HOP NLAN'!F25*'TS-PILE'!$D$87/SUMSQ('TS-PILE'!$D$72:$D$91))),IF('TS-PILE'!$B$88="",-1E+99,'TO HOP NLAN'!D25/ncoc+IF(SUMSQ('TS-PILE'!$E$72:$E$91)=0,0,'TO HOP NLAN'!E25*'TS-PILE'!$E$88/SUMSQ('TS-PILE'!$E$72:$E$91))+IF(SUMSQ('TS-PILE'!$D$72:$D$91)=0,0,'TO HOP NLAN'!F25*'TS-PILE'!$D$88/SUMSQ('TS-PILE'!$D$72:$D$91))),IF('TS-PILE'!$B$89="",-1E+99,'TO HOP NLAN'!D25/ncoc+IF(SUMSQ('TS-PILE'!$E$72:$E$91)=0,0,'TO HOP NLAN'!E25*'TS-PILE'!$E$89/SUMSQ('TS-PILE'!$E$72:$E$91))+IF(SUMSQ('TS-PILE'!$D$72:$D$91)=0,0,'TO HOP NLAN'!F25*'TS-PILE'!$D$89/SUMSQ('TS-PILE'!$D$72:$D$91))),IF('TS-PILE'!$B$90="",-1E+99,'TO HOP NLAN'!D25/ncoc+IF(SUMSQ('TS-PILE'!$E$72:$E$91)=0,0,'TO HOP NLAN'!E25*'TS-PILE'!$E$90/SUMSQ('TS-PILE'!$E$72:$E$91))+IF(SUMSQ('TS-PILE'!$D$72:$D$91)=0,0,'TO HOP NLAN'!F25*'TS-PILE'!$D$90/SUMSQ('TS-PILE'!$D$72:$D$91))),IF('TS-PILE'!$B$91="",-1E+99,'TO HOP NLAN'!D25/ncoc+IF(SUMSQ('TS-PILE'!$E$72:$E$91)=0,0,'TO HOP NLAN'!E25*'TS-PILE'!$E$91/SUMSQ('TS-PILE'!$E$72:$E$91))+IF(SUMSQ('TS-PILE'!$D$72:$D$91)=0,0,'TO HOP NLAN'!F25*'TS-PILE'!$D$91/SUMSQ('TS-PILE'!$D$72:$D$91)))))</f>
        <v>0</v>
      </c>
      <c r="D25" s="58">
        <f>IF(A25="",0,MIN(IF('TS-PILE'!$B$72="",1E+99,'TO HOP NLAN'!D25/ncoc+IF(SUMSQ('TS-PILE'!$E$72:$E$91)=0,0,'TO HOP NLAN'!E25*'TS-PILE'!$E$72/SUMSQ('TS-PILE'!$E$72:$E$91))+IF(SUMSQ('TS-PILE'!$D$72:$D$91)=0,0,'TO HOP NLAN'!F25*'TS-PILE'!$D$72/SUMSQ('TS-PILE'!$D$72:$D$91))),IF('TS-PILE'!$B$73="",1E+99,'TO HOP NLAN'!D25/ncoc+IF(SUMSQ('TS-PILE'!$E$72:$E$91)=0,0,'TO HOP NLAN'!E25*'TS-PILE'!$E$73/SUMSQ('TS-PILE'!$E$72:$E$91))+IF(SUMSQ('TS-PILE'!$D$72:$D$91)=0,0,'TO HOP NLAN'!F25*'TS-PILE'!$D$73/SUMSQ('TS-PILE'!$D$72:$D$91))),IF('TS-PILE'!$B$74="",1E+99,'TO HOP NLAN'!D25/ncoc+IF(SUMSQ('TS-PILE'!$E$72:$E$91)=0,0,'TO HOP NLAN'!E25*'TS-PILE'!$E$74/SUMSQ('TS-PILE'!$E$72:$E$91))+IF(SUMSQ('TS-PILE'!$D$72:$D$91)=0,0,'TO HOP NLAN'!F25*'TS-PILE'!$D$74/SUMSQ('TS-PILE'!$D$72:$D$91))),IF('TS-PILE'!$B$75="",1E+99,'TO HOP NLAN'!D25/ncoc+IF(SUMSQ('TS-PILE'!$E$72:$E$91)=0,0,'TO HOP NLAN'!E25*'TS-PILE'!$E$75/SUMSQ('TS-PILE'!$E$72:$E$91))+IF(SUMSQ('TS-PILE'!$D$72:$D$91)=0,0,'TO HOP NLAN'!F25*'TS-PILE'!$D$75/SUMSQ('TS-PILE'!$D$72:$D$91))),IF('TS-PILE'!$B$76="",1E+99,'TO HOP NLAN'!D25/ncoc+IF(SUMSQ('TS-PILE'!$E$72:$E$91)=0,0,'TO HOP NLAN'!E25*'TS-PILE'!$E$76/SUMSQ('TS-PILE'!$E$72:$E$91))+IF(SUMSQ('TS-PILE'!$D$72:$D$91)=0,0,'TO HOP NLAN'!F25*'TS-PILE'!$D$76/SUMSQ('TS-PILE'!$D$72:$D$91))),IF('TS-PILE'!$B$77="",1E+99,'TO HOP NLAN'!D25/ncoc+IF(SUMSQ('TS-PILE'!$E$72:$E$91)=0,0,'TO HOP NLAN'!E25*'TS-PILE'!$E$77/SUMSQ('TS-PILE'!$E$72:$E$91))+IF(SUMSQ('TS-PILE'!$D$72:$D$91)=0,0,'TO HOP NLAN'!F25*'TS-PILE'!$D$77/SUMSQ('TS-PILE'!$D$72:$D$91))),IF('TS-PILE'!$B$78="",1E+99,'TO HOP NLAN'!D25/ncoc+IF(SUMSQ('TS-PILE'!$E$72:$E$91)=0,0,'TO HOP NLAN'!E25*'TS-PILE'!$E$78/SUMSQ('TS-PILE'!$E$72:$E$91))+IF(SUMSQ('TS-PILE'!$D$72:$D$91)=0,0,'TO HOP NLAN'!F25*'TS-PILE'!$D$78/SUMSQ('TS-PILE'!$D$72:$D$91))),IF('TS-PILE'!$B$79="",1E+99,'TO HOP NLAN'!D25/ncoc+IF(SUMSQ('TS-PILE'!$E$72:$E$91)=0,0,'TO HOP NLAN'!E25*'TS-PILE'!$E$79/SUMSQ('TS-PILE'!$E$72:$E$91))+IF(SUMSQ('TS-PILE'!$D$72:$D$91)=0,0,'TO HOP NLAN'!F25*'TS-PILE'!$D$79/SUMSQ('TS-PILE'!$D$72:$D$91))),IF('TS-PILE'!$B$80="",1E+99,'TO HOP NLAN'!D25/ncoc+IF(SUMSQ('TS-PILE'!$E$72:$E$91)=0,0,'TO HOP NLAN'!E25*'TS-PILE'!$E$80/SUMSQ('TS-PILE'!$E$72:$E$91))+IF(SUMSQ('TS-PILE'!$D$72:$D$91)=0,0,'TO HOP NLAN'!F25*'TS-PILE'!$D$80/SUMSQ('TS-PILE'!$D$72:$D$91))),IF('TS-PILE'!$B$81="",1E+99,'TO HOP NLAN'!D25/ncoc+IF(SUMSQ('TS-PILE'!$E$72:$E$91)=0,0,'TO HOP NLAN'!E25*'TS-PILE'!$E$81/SUMSQ('TS-PILE'!$E$72:$E$91))+IF(SUMSQ('TS-PILE'!$D$72:$D$91)=0,0,'TO HOP NLAN'!F25*'TS-PILE'!$D$81/SUMSQ('TS-PILE'!$D$72:$D$91))),IF('TS-PILE'!$B$82="",1E+99,'TO HOP NLAN'!D25/ncoc+IF(SUMSQ('TS-PILE'!$E$72:$E$91)=0,0,'TO HOP NLAN'!E25*'TS-PILE'!$E$82/SUMSQ('TS-PILE'!$E$72:$E$91))+IF(SUMSQ('TS-PILE'!$D$72:$D$91)=0,0,'TO HOP NLAN'!F25*'TS-PILE'!$D$82/SUMSQ('TS-PILE'!$D$72:$D$91))),IF('TS-PILE'!$B$83="",1E+99,'TO HOP NLAN'!D25/ncoc+IF(SUMSQ('TS-PILE'!$E$72:$E$91)=0,0,'TO HOP NLAN'!E25*'TS-PILE'!$E$83/SUMSQ('TS-PILE'!$E$72:$E$91))+IF(SUMSQ('TS-PILE'!$D$72:$D$91)=0,0,'TO HOP NLAN'!F25*'TS-PILE'!$D$83/SUMSQ('TS-PILE'!$D$72:$D$91))),IF('TS-PILE'!$B$84="",1E+99,'TO HOP NLAN'!D25/ncoc+IF(SUMSQ('TS-PILE'!$E$72:$E$91)=0,0,'TO HOP NLAN'!E25*'TS-PILE'!$E$84/SUMSQ('TS-PILE'!$E$72:$E$91))+IF(SUMSQ('TS-PILE'!$D$72:$D$91)=0,0,'TO HOP NLAN'!F25*'TS-PILE'!$D$84/SUMSQ('TS-PILE'!$D$72:$D$91))),IF('TS-PILE'!$B$85="",1E+99,'TO HOP NLAN'!D25/ncoc+IF(SUMSQ('TS-PILE'!$E$72:$E$91)=0,0,'TO HOP NLAN'!E25*'TS-PILE'!$E$85/SUMSQ('TS-PILE'!$E$72:$E$91))+IF(SUMSQ('TS-PILE'!$D$72:$D$91)=0,0,'TO HOP NLAN'!F25*'TS-PILE'!$D$85/SUMSQ('TS-PILE'!$D$72:$D$91))),IF('TS-PILE'!$B$86="",1E+99,'TO HOP NLAN'!D25/ncoc+IF(SUMSQ('TS-PILE'!$E$72:$E$91)=0,0,'TO HOP NLAN'!E25*'TS-PILE'!$E$86/SUMSQ('TS-PILE'!$E$72:$E$91))+IF(SUMSQ('TS-PILE'!$D$72:$D$91)=0,0,'TO HOP NLAN'!F25*'TS-PILE'!$D$86/SUMSQ('TS-PILE'!$D$72:$D$91))),IF('TS-PILE'!$B$87="",1E+99,'TO HOP NLAN'!D25/ncoc+IF(SUMSQ('TS-PILE'!$E$72:$E$91)=0,0,'TO HOP NLAN'!E25*'TS-PILE'!$E$87/SUMSQ('TS-PILE'!$E$72:$E$91))+IF(SUMSQ('TS-PILE'!$D$72:$D$91)=0,0,'TO HOP NLAN'!F25*'TS-PILE'!$D$87/SUMSQ('TS-PILE'!$D$72:$D$91))),IF('TS-PILE'!$B$88="",1E+99,'TO HOP NLAN'!D25/ncoc+IF(SUMSQ('TS-PILE'!$E$72:$E$91)=0,0,'TO HOP NLAN'!E25*'TS-PILE'!$E$88/SUMSQ('TS-PILE'!$E$72:$E$91))+IF(SUMSQ('TS-PILE'!$D$72:$D$91)=0,0,'TO HOP NLAN'!F25*'TS-PILE'!$D$88/SUMSQ('TS-PILE'!$D$72:$D$91))),IF('TS-PILE'!$B$89="",1E+99,'TO HOP NLAN'!D25/ncoc+IF(SUMSQ('TS-PILE'!$E$72:$E$91)=0,0,'TO HOP NLAN'!E25*'TS-PILE'!$E$89/SUMSQ('TS-PILE'!$E$72:$E$91))+IF(SUMSQ('TS-PILE'!$D$72:$D$91)=0,0,'TO HOP NLAN'!F25*'TS-PILE'!$D$89/SUMSQ('TS-PILE'!$D$72:$D$91))),IF('TS-PILE'!$B$90="",1E+99,'TO HOP NLAN'!D25/ncoc+IF(SUMSQ('TS-PILE'!$E$72:$E$91)=0,0,'TO HOP NLAN'!E25*'TS-PILE'!$E$90/SUMSQ('TS-PILE'!$E$72:$E$91))+IF(SUMSQ('TS-PILE'!$D$72:$D$91)=0,0,'TO HOP NLAN'!F25*'TS-PILE'!$D$90/SUMSQ('TS-PILE'!$D$72:$D$91))),IF('TS-PILE'!$B$91="",1E+99,'TO HOP NLAN'!D25/ncoc+IF(SUMSQ('TS-PILE'!$E$72:$E$91)=0,0,'TO HOP NLAN'!E25*'TS-PILE'!$E$91/SUMSQ('TS-PILE'!$E$72:$E$91))+IF(SUMSQ('TS-PILE'!$D$72:$D$91)=0,0,'TO HOP NLAN'!F25*'TS-PILE'!$D$91/SUMSQ('TS-PILE'!$D$72:$D$91)))))</f>
        <v>0</v>
      </c>
      <c r="E25" s="58">
        <f t="shared" si="0"/>
        <v>-9.9999999999999997E+98</v>
      </c>
      <c r="F25" s="58">
        <f t="shared" si="1"/>
        <v>9.9999999999999997E+98</v>
      </c>
      <c r="G25" s="58">
        <f t="shared" si="2"/>
        <v>-9.9999999999999997E+98</v>
      </c>
      <c r="H25" s="58">
        <f t="shared" si="3"/>
        <v>9.9999999999999997E+98</v>
      </c>
    </row>
    <row r="26" spans="1:8" x14ac:dyDescent="0.3">
      <c r="A26" s="42" t="str">
        <f>'TO HOP NLAN'!A26</f>
        <v/>
      </c>
      <c r="B26" s="42" t="str">
        <f>'TO HOP NLAN'!L26</f>
        <v>SERVICE</v>
      </c>
      <c r="C26" s="58">
        <f>IF(A26="",0,MAX(IF('TS-PILE'!$B$72="",-1E+99,'TO HOP NLAN'!D26/ncoc+IF(SUMSQ('TS-PILE'!$E$72:$E$91)=0,0,'TO HOP NLAN'!E26*'TS-PILE'!$E$72/SUMSQ('TS-PILE'!$E$72:$E$91))+IF(SUMSQ('TS-PILE'!$D$72:$D$91)=0,0,'TO HOP NLAN'!F26*'TS-PILE'!$D$72/SUMSQ('TS-PILE'!$D$72:$D$91))),IF('TS-PILE'!$B$73="",-1E+99,'TO HOP NLAN'!D26/ncoc+IF(SUMSQ('TS-PILE'!$E$72:$E$91)=0,0,'TO HOP NLAN'!E26*'TS-PILE'!$E$73/SUMSQ('TS-PILE'!$E$72:$E$91))+IF(SUMSQ('TS-PILE'!$D$72:$D$91)=0,0,'TO HOP NLAN'!F26*'TS-PILE'!$D$73/SUMSQ('TS-PILE'!$D$72:$D$91))),IF('TS-PILE'!$B$74="",-1E+99,'TO HOP NLAN'!D26/ncoc+IF(SUMSQ('TS-PILE'!$E$72:$E$91)=0,0,'TO HOP NLAN'!E26*'TS-PILE'!$E$74/SUMSQ('TS-PILE'!$E$72:$E$91))+IF(SUMSQ('TS-PILE'!$D$72:$D$91)=0,0,'TO HOP NLAN'!F26*'TS-PILE'!$D$74/SUMSQ('TS-PILE'!$D$72:$D$91))),IF('TS-PILE'!$B$75="",-1E+99,'TO HOP NLAN'!D26/ncoc+IF(SUMSQ('TS-PILE'!$E$72:$E$91)=0,0,'TO HOP NLAN'!E26*'TS-PILE'!$E$75/SUMSQ('TS-PILE'!$E$72:$E$91))+IF(SUMSQ('TS-PILE'!$D$72:$D$91)=0,0,'TO HOP NLAN'!F26*'TS-PILE'!$D$75/SUMSQ('TS-PILE'!$D$72:$D$91))),IF('TS-PILE'!$B$76="",-1E+99,'TO HOP NLAN'!D26/ncoc+IF(SUMSQ('TS-PILE'!$E$72:$E$91)=0,0,'TO HOP NLAN'!E26*'TS-PILE'!$E$76/SUMSQ('TS-PILE'!$E$72:$E$91))+IF(SUMSQ('TS-PILE'!$D$72:$D$91)=0,0,'TO HOP NLAN'!F26*'TS-PILE'!$D$76/SUMSQ('TS-PILE'!$D$72:$D$91))),IF('TS-PILE'!$B$77="",-1E+99,'TO HOP NLAN'!D26/ncoc+IF(SUMSQ('TS-PILE'!$E$72:$E$91)=0,0,'TO HOP NLAN'!E26*'TS-PILE'!$E$77/SUMSQ('TS-PILE'!$E$72:$E$91))+IF(SUMSQ('TS-PILE'!$D$72:$D$91)=0,0,'TO HOP NLAN'!F26*'TS-PILE'!$D$77/SUMSQ('TS-PILE'!$D$72:$D$91))),IF('TS-PILE'!$B$78="",-1E+99,'TO HOP NLAN'!D26/ncoc+IF(SUMSQ('TS-PILE'!$E$72:$E$91)=0,0,'TO HOP NLAN'!E26*'TS-PILE'!$E$78/SUMSQ('TS-PILE'!$E$72:$E$91))+IF(SUMSQ('TS-PILE'!$D$72:$D$91)=0,0,'TO HOP NLAN'!F26*'TS-PILE'!$D$78/SUMSQ('TS-PILE'!$D$72:$D$91))),IF('TS-PILE'!$B$79="",-1E+99,'TO HOP NLAN'!D26/ncoc+IF(SUMSQ('TS-PILE'!$E$72:$E$91)=0,0,'TO HOP NLAN'!E26*'TS-PILE'!$E$79/SUMSQ('TS-PILE'!$E$72:$E$91))+IF(SUMSQ('TS-PILE'!$D$72:$D$91)=0,0,'TO HOP NLAN'!F26*'TS-PILE'!$D$79/SUMSQ('TS-PILE'!$D$72:$D$91))),IF('TS-PILE'!$B$80="",-1E+99,'TO HOP NLAN'!D26/ncoc+IF(SUMSQ('TS-PILE'!$E$72:$E$91)=0,0,'TO HOP NLAN'!E26*'TS-PILE'!$E$80/SUMSQ('TS-PILE'!$E$72:$E$91))+IF(SUMSQ('TS-PILE'!$D$72:$D$91)=0,0,'TO HOP NLAN'!F26*'TS-PILE'!$D$80/SUMSQ('TS-PILE'!$D$72:$D$91))),IF('TS-PILE'!$B$81="",-1E+99,'TO HOP NLAN'!D26/ncoc+IF(SUMSQ('TS-PILE'!$E$72:$E$91)=0,0,'TO HOP NLAN'!E26*'TS-PILE'!$E$81/SUMSQ('TS-PILE'!$E$72:$E$91))+IF(SUMSQ('TS-PILE'!$D$72:$D$91)=0,0,'TO HOP NLAN'!F26*'TS-PILE'!$D$81/SUMSQ('TS-PILE'!$D$72:$D$91))),IF('TS-PILE'!$B$82="",-1E+99,'TO HOP NLAN'!D26/ncoc+IF(SUMSQ('TS-PILE'!$E$72:$E$91)=0,0,'TO HOP NLAN'!E26*'TS-PILE'!$E$82/SUMSQ('TS-PILE'!$E$72:$E$91))+IF(SUMSQ('TS-PILE'!$D$72:$D$91)=0,0,'TO HOP NLAN'!F26*'TS-PILE'!$D$82/SUMSQ('TS-PILE'!$D$72:$D$91))),IF('TS-PILE'!$B$83="",-1E+99,'TO HOP NLAN'!D26/ncoc+IF(SUMSQ('TS-PILE'!$E$72:$E$91)=0,0,'TO HOP NLAN'!E26*'TS-PILE'!$E$83/SUMSQ('TS-PILE'!$E$72:$E$91))+IF(SUMSQ('TS-PILE'!$D$72:$D$91)=0,0,'TO HOP NLAN'!F26*'TS-PILE'!$D$83/SUMSQ('TS-PILE'!$D$72:$D$91))),IF('TS-PILE'!$B$84="",-1E+99,'TO HOP NLAN'!D26/ncoc+IF(SUMSQ('TS-PILE'!$E$72:$E$91)=0,0,'TO HOP NLAN'!E26*'TS-PILE'!$E$84/SUMSQ('TS-PILE'!$E$72:$E$91))+IF(SUMSQ('TS-PILE'!$D$72:$D$91)=0,0,'TO HOP NLAN'!F26*'TS-PILE'!$D$84/SUMSQ('TS-PILE'!$D$72:$D$91))),IF('TS-PILE'!$B$85="",-1E+99,'TO HOP NLAN'!D26/ncoc+IF(SUMSQ('TS-PILE'!$E$72:$E$91)=0,0,'TO HOP NLAN'!E26*'TS-PILE'!$E$85/SUMSQ('TS-PILE'!$E$72:$E$91))+IF(SUMSQ('TS-PILE'!$D$72:$D$91)=0,0,'TO HOP NLAN'!F26*'TS-PILE'!$D$85/SUMSQ('TS-PILE'!$D$72:$D$91))),IF('TS-PILE'!$B$86="",-1E+99,'TO HOP NLAN'!D26/ncoc+IF(SUMSQ('TS-PILE'!$E$72:$E$91)=0,0,'TO HOP NLAN'!E26*'TS-PILE'!$E$86/SUMSQ('TS-PILE'!$E$72:$E$91))+IF(SUMSQ('TS-PILE'!$D$72:$D$91)=0,0,'TO HOP NLAN'!F26*'TS-PILE'!$D$86/SUMSQ('TS-PILE'!$D$72:$D$91))),IF('TS-PILE'!$B$87="",-1E+99,'TO HOP NLAN'!D26/ncoc+IF(SUMSQ('TS-PILE'!$E$72:$E$91)=0,0,'TO HOP NLAN'!E26*'TS-PILE'!$E$87/SUMSQ('TS-PILE'!$E$72:$E$91))+IF(SUMSQ('TS-PILE'!$D$72:$D$91)=0,0,'TO HOP NLAN'!F26*'TS-PILE'!$D$87/SUMSQ('TS-PILE'!$D$72:$D$91))),IF('TS-PILE'!$B$88="",-1E+99,'TO HOP NLAN'!D26/ncoc+IF(SUMSQ('TS-PILE'!$E$72:$E$91)=0,0,'TO HOP NLAN'!E26*'TS-PILE'!$E$88/SUMSQ('TS-PILE'!$E$72:$E$91))+IF(SUMSQ('TS-PILE'!$D$72:$D$91)=0,0,'TO HOP NLAN'!F26*'TS-PILE'!$D$88/SUMSQ('TS-PILE'!$D$72:$D$91))),IF('TS-PILE'!$B$89="",-1E+99,'TO HOP NLAN'!D26/ncoc+IF(SUMSQ('TS-PILE'!$E$72:$E$91)=0,0,'TO HOP NLAN'!E26*'TS-PILE'!$E$89/SUMSQ('TS-PILE'!$E$72:$E$91))+IF(SUMSQ('TS-PILE'!$D$72:$D$91)=0,0,'TO HOP NLAN'!F26*'TS-PILE'!$D$89/SUMSQ('TS-PILE'!$D$72:$D$91))),IF('TS-PILE'!$B$90="",-1E+99,'TO HOP NLAN'!D26/ncoc+IF(SUMSQ('TS-PILE'!$E$72:$E$91)=0,0,'TO HOP NLAN'!E26*'TS-PILE'!$E$90/SUMSQ('TS-PILE'!$E$72:$E$91))+IF(SUMSQ('TS-PILE'!$D$72:$D$91)=0,0,'TO HOP NLAN'!F26*'TS-PILE'!$D$90/SUMSQ('TS-PILE'!$D$72:$D$91))),IF('TS-PILE'!$B$91="",-1E+99,'TO HOP NLAN'!D26/ncoc+IF(SUMSQ('TS-PILE'!$E$72:$E$91)=0,0,'TO HOP NLAN'!E26*'TS-PILE'!$E$91/SUMSQ('TS-PILE'!$E$72:$E$91))+IF(SUMSQ('TS-PILE'!$D$72:$D$91)=0,0,'TO HOP NLAN'!F26*'TS-PILE'!$D$91/SUMSQ('TS-PILE'!$D$72:$D$91)))))</f>
        <v>0</v>
      </c>
      <c r="D26" s="58">
        <f>IF(A26="",0,MIN(IF('TS-PILE'!$B$72="",1E+99,'TO HOP NLAN'!D26/ncoc+IF(SUMSQ('TS-PILE'!$E$72:$E$91)=0,0,'TO HOP NLAN'!E26*'TS-PILE'!$E$72/SUMSQ('TS-PILE'!$E$72:$E$91))+IF(SUMSQ('TS-PILE'!$D$72:$D$91)=0,0,'TO HOP NLAN'!F26*'TS-PILE'!$D$72/SUMSQ('TS-PILE'!$D$72:$D$91))),IF('TS-PILE'!$B$73="",1E+99,'TO HOP NLAN'!D26/ncoc+IF(SUMSQ('TS-PILE'!$E$72:$E$91)=0,0,'TO HOP NLAN'!E26*'TS-PILE'!$E$73/SUMSQ('TS-PILE'!$E$72:$E$91))+IF(SUMSQ('TS-PILE'!$D$72:$D$91)=0,0,'TO HOP NLAN'!F26*'TS-PILE'!$D$73/SUMSQ('TS-PILE'!$D$72:$D$91))),IF('TS-PILE'!$B$74="",1E+99,'TO HOP NLAN'!D26/ncoc+IF(SUMSQ('TS-PILE'!$E$72:$E$91)=0,0,'TO HOP NLAN'!E26*'TS-PILE'!$E$74/SUMSQ('TS-PILE'!$E$72:$E$91))+IF(SUMSQ('TS-PILE'!$D$72:$D$91)=0,0,'TO HOP NLAN'!F26*'TS-PILE'!$D$74/SUMSQ('TS-PILE'!$D$72:$D$91))),IF('TS-PILE'!$B$75="",1E+99,'TO HOP NLAN'!D26/ncoc+IF(SUMSQ('TS-PILE'!$E$72:$E$91)=0,0,'TO HOP NLAN'!E26*'TS-PILE'!$E$75/SUMSQ('TS-PILE'!$E$72:$E$91))+IF(SUMSQ('TS-PILE'!$D$72:$D$91)=0,0,'TO HOP NLAN'!F26*'TS-PILE'!$D$75/SUMSQ('TS-PILE'!$D$72:$D$91))),IF('TS-PILE'!$B$76="",1E+99,'TO HOP NLAN'!D26/ncoc+IF(SUMSQ('TS-PILE'!$E$72:$E$91)=0,0,'TO HOP NLAN'!E26*'TS-PILE'!$E$76/SUMSQ('TS-PILE'!$E$72:$E$91))+IF(SUMSQ('TS-PILE'!$D$72:$D$91)=0,0,'TO HOP NLAN'!F26*'TS-PILE'!$D$76/SUMSQ('TS-PILE'!$D$72:$D$91))),IF('TS-PILE'!$B$77="",1E+99,'TO HOP NLAN'!D26/ncoc+IF(SUMSQ('TS-PILE'!$E$72:$E$91)=0,0,'TO HOP NLAN'!E26*'TS-PILE'!$E$77/SUMSQ('TS-PILE'!$E$72:$E$91))+IF(SUMSQ('TS-PILE'!$D$72:$D$91)=0,0,'TO HOP NLAN'!F26*'TS-PILE'!$D$77/SUMSQ('TS-PILE'!$D$72:$D$91))),IF('TS-PILE'!$B$78="",1E+99,'TO HOP NLAN'!D26/ncoc+IF(SUMSQ('TS-PILE'!$E$72:$E$91)=0,0,'TO HOP NLAN'!E26*'TS-PILE'!$E$78/SUMSQ('TS-PILE'!$E$72:$E$91))+IF(SUMSQ('TS-PILE'!$D$72:$D$91)=0,0,'TO HOP NLAN'!F26*'TS-PILE'!$D$78/SUMSQ('TS-PILE'!$D$72:$D$91))),IF('TS-PILE'!$B$79="",1E+99,'TO HOP NLAN'!D26/ncoc+IF(SUMSQ('TS-PILE'!$E$72:$E$91)=0,0,'TO HOP NLAN'!E26*'TS-PILE'!$E$79/SUMSQ('TS-PILE'!$E$72:$E$91))+IF(SUMSQ('TS-PILE'!$D$72:$D$91)=0,0,'TO HOP NLAN'!F26*'TS-PILE'!$D$79/SUMSQ('TS-PILE'!$D$72:$D$91))),IF('TS-PILE'!$B$80="",1E+99,'TO HOP NLAN'!D26/ncoc+IF(SUMSQ('TS-PILE'!$E$72:$E$91)=0,0,'TO HOP NLAN'!E26*'TS-PILE'!$E$80/SUMSQ('TS-PILE'!$E$72:$E$91))+IF(SUMSQ('TS-PILE'!$D$72:$D$91)=0,0,'TO HOP NLAN'!F26*'TS-PILE'!$D$80/SUMSQ('TS-PILE'!$D$72:$D$91))),IF('TS-PILE'!$B$81="",1E+99,'TO HOP NLAN'!D26/ncoc+IF(SUMSQ('TS-PILE'!$E$72:$E$91)=0,0,'TO HOP NLAN'!E26*'TS-PILE'!$E$81/SUMSQ('TS-PILE'!$E$72:$E$91))+IF(SUMSQ('TS-PILE'!$D$72:$D$91)=0,0,'TO HOP NLAN'!F26*'TS-PILE'!$D$81/SUMSQ('TS-PILE'!$D$72:$D$91))),IF('TS-PILE'!$B$82="",1E+99,'TO HOP NLAN'!D26/ncoc+IF(SUMSQ('TS-PILE'!$E$72:$E$91)=0,0,'TO HOP NLAN'!E26*'TS-PILE'!$E$82/SUMSQ('TS-PILE'!$E$72:$E$91))+IF(SUMSQ('TS-PILE'!$D$72:$D$91)=0,0,'TO HOP NLAN'!F26*'TS-PILE'!$D$82/SUMSQ('TS-PILE'!$D$72:$D$91))),IF('TS-PILE'!$B$83="",1E+99,'TO HOP NLAN'!D26/ncoc+IF(SUMSQ('TS-PILE'!$E$72:$E$91)=0,0,'TO HOP NLAN'!E26*'TS-PILE'!$E$83/SUMSQ('TS-PILE'!$E$72:$E$91))+IF(SUMSQ('TS-PILE'!$D$72:$D$91)=0,0,'TO HOP NLAN'!F26*'TS-PILE'!$D$83/SUMSQ('TS-PILE'!$D$72:$D$91))),IF('TS-PILE'!$B$84="",1E+99,'TO HOP NLAN'!D26/ncoc+IF(SUMSQ('TS-PILE'!$E$72:$E$91)=0,0,'TO HOP NLAN'!E26*'TS-PILE'!$E$84/SUMSQ('TS-PILE'!$E$72:$E$91))+IF(SUMSQ('TS-PILE'!$D$72:$D$91)=0,0,'TO HOP NLAN'!F26*'TS-PILE'!$D$84/SUMSQ('TS-PILE'!$D$72:$D$91))),IF('TS-PILE'!$B$85="",1E+99,'TO HOP NLAN'!D26/ncoc+IF(SUMSQ('TS-PILE'!$E$72:$E$91)=0,0,'TO HOP NLAN'!E26*'TS-PILE'!$E$85/SUMSQ('TS-PILE'!$E$72:$E$91))+IF(SUMSQ('TS-PILE'!$D$72:$D$91)=0,0,'TO HOP NLAN'!F26*'TS-PILE'!$D$85/SUMSQ('TS-PILE'!$D$72:$D$91))),IF('TS-PILE'!$B$86="",1E+99,'TO HOP NLAN'!D26/ncoc+IF(SUMSQ('TS-PILE'!$E$72:$E$91)=0,0,'TO HOP NLAN'!E26*'TS-PILE'!$E$86/SUMSQ('TS-PILE'!$E$72:$E$91))+IF(SUMSQ('TS-PILE'!$D$72:$D$91)=0,0,'TO HOP NLAN'!F26*'TS-PILE'!$D$86/SUMSQ('TS-PILE'!$D$72:$D$91))),IF('TS-PILE'!$B$87="",1E+99,'TO HOP NLAN'!D26/ncoc+IF(SUMSQ('TS-PILE'!$E$72:$E$91)=0,0,'TO HOP NLAN'!E26*'TS-PILE'!$E$87/SUMSQ('TS-PILE'!$E$72:$E$91))+IF(SUMSQ('TS-PILE'!$D$72:$D$91)=0,0,'TO HOP NLAN'!F26*'TS-PILE'!$D$87/SUMSQ('TS-PILE'!$D$72:$D$91))),IF('TS-PILE'!$B$88="",1E+99,'TO HOP NLAN'!D26/ncoc+IF(SUMSQ('TS-PILE'!$E$72:$E$91)=0,0,'TO HOP NLAN'!E26*'TS-PILE'!$E$88/SUMSQ('TS-PILE'!$E$72:$E$91))+IF(SUMSQ('TS-PILE'!$D$72:$D$91)=0,0,'TO HOP NLAN'!F26*'TS-PILE'!$D$88/SUMSQ('TS-PILE'!$D$72:$D$91))),IF('TS-PILE'!$B$89="",1E+99,'TO HOP NLAN'!D26/ncoc+IF(SUMSQ('TS-PILE'!$E$72:$E$91)=0,0,'TO HOP NLAN'!E26*'TS-PILE'!$E$89/SUMSQ('TS-PILE'!$E$72:$E$91))+IF(SUMSQ('TS-PILE'!$D$72:$D$91)=0,0,'TO HOP NLAN'!F26*'TS-PILE'!$D$89/SUMSQ('TS-PILE'!$D$72:$D$91))),IF('TS-PILE'!$B$90="",1E+99,'TO HOP NLAN'!D26/ncoc+IF(SUMSQ('TS-PILE'!$E$72:$E$91)=0,0,'TO HOP NLAN'!E26*'TS-PILE'!$E$90/SUMSQ('TS-PILE'!$E$72:$E$91))+IF(SUMSQ('TS-PILE'!$D$72:$D$91)=0,0,'TO HOP NLAN'!F26*'TS-PILE'!$D$90/SUMSQ('TS-PILE'!$D$72:$D$91))),IF('TS-PILE'!$B$91="",1E+99,'TO HOP NLAN'!D26/ncoc+IF(SUMSQ('TS-PILE'!$E$72:$E$91)=0,0,'TO HOP NLAN'!E26*'TS-PILE'!$E$91/SUMSQ('TS-PILE'!$E$72:$E$91))+IF(SUMSQ('TS-PILE'!$D$72:$D$91)=0,0,'TO HOP NLAN'!F26*'TS-PILE'!$D$91/SUMSQ('TS-PILE'!$D$72:$D$91)))))</f>
        <v>0</v>
      </c>
      <c r="E26" s="58">
        <f t="shared" si="0"/>
        <v>-9.9999999999999997E+98</v>
      </c>
      <c r="F26" s="58">
        <f t="shared" si="1"/>
        <v>9.9999999999999997E+98</v>
      </c>
      <c r="G26" s="58">
        <f t="shared" si="2"/>
        <v>-9.9999999999999997E+98</v>
      </c>
      <c r="H26" s="58">
        <f t="shared" si="3"/>
        <v>9.9999999999999997E+98</v>
      </c>
    </row>
    <row r="27" spans="1:8" x14ac:dyDescent="0.3">
      <c r="A27" s="42" t="str">
        <f>'TO HOP NLAN'!A27</f>
        <v/>
      </c>
      <c r="B27" s="42" t="str">
        <f>'TO HOP NLAN'!L27</f>
        <v>SERVICE</v>
      </c>
      <c r="C27" s="58">
        <f>IF(A27="",0,MAX(IF('TS-PILE'!$B$72="",-1E+99,'TO HOP NLAN'!D27/ncoc+IF(SUMSQ('TS-PILE'!$E$72:$E$91)=0,0,'TO HOP NLAN'!E27*'TS-PILE'!$E$72/SUMSQ('TS-PILE'!$E$72:$E$91))+IF(SUMSQ('TS-PILE'!$D$72:$D$91)=0,0,'TO HOP NLAN'!F27*'TS-PILE'!$D$72/SUMSQ('TS-PILE'!$D$72:$D$91))),IF('TS-PILE'!$B$73="",-1E+99,'TO HOP NLAN'!D27/ncoc+IF(SUMSQ('TS-PILE'!$E$72:$E$91)=0,0,'TO HOP NLAN'!E27*'TS-PILE'!$E$73/SUMSQ('TS-PILE'!$E$72:$E$91))+IF(SUMSQ('TS-PILE'!$D$72:$D$91)=0,0,'TO HOP NLAN'!F27*'TS-PILE'!$D$73/SUMSQ('TS-PILE'!$D$72:$D$91))),IF('TS-PILE'!$B$74="",-1E+99,'TO HOP NLAN'!D27/ncoc+IF(SUMSQ('TS-PILE'!$E$72:$E$91)=0,0,'TO HOP NLAN'!E27*'TS-PILE'!$E$74/SUMSQ('TS-PILE'!$E$72:$E$91))+IF(SUMSQ('TS-PILE'!$D$72:$D$91)=0,0,'TO HOP NLAN'!F27*'TS-PILE'!$D$74/SUMSQ('TS-PILE'!$D$72:$D$91))),IF('TS-PILE'!$B$75="",-1E+99,'TO HOP NLAN'!D27/ncoc+IF(SUMSQ('TS-PILE'!$E$72:$E$91)=0,0,'TO HOP NLAN'!E27*'TS-PILE'!$E$75/SUMSQ('TS-PILE'!$E$72:$E$91))+IF(SUMSQ('TS-PILE'!$D$72:$D$91)=0,0,'TO HOP NLAN'!F27*'TS-PILE'!$D$75/SUMSQ('TS-PILE'!$D$72:$D$91))),IF('TS-PILE'!$B$76="",-1E+99,'TO HOP NLAN'!D27/ncoc+IF(SUMSQ('TS-PILE'!$E$72:$E$91)=0,0,'TO HOP NLAN'!E27*'TS-PILE'!$E$76/SUMSQ('TS-PILE'!$E$72:$E$91))+IF(SUMSQ('TS-PILE'!$D$72:$D$91)=0,0,'TO HOP NLAN'!F27*'TS-PILE'!$D$76/SUMSQ('TS-PILE'!$D$72:$D$91))),IF('TS-PILE'!$B$77="",-1E+99,'TO HOP NLAN'!D27/ncoc+IF(SUMSQ('TS-PILE'!$E$72:$E$91)=0,0,'TO HOP NLAN'!E27*'TS-PILE'!$E$77/SUMSQ('TS-PILE'!$E$72:$E$91))+IF(SUMSQ('TS-PILE'!$D$72:$D$91)=0,0,'TO HOP NLAN'!F27*'TS-PILE'!$D$77/SUMSQ('TS-PILE'!$D$72:$D$91))),IF('TS-PILE'!$B$78="",-1E+99,'TO HOP NLAN'!D27/ncoc+IF(SUMSQ('TS-PILE'!$E$72:$E$91)=0,0,'TO HOP NLAN'!E27*'TS-PILE'!$E$78/SUMSQ('TS-PILE'!$E$72:$E$91))+IF(SUMSQ('TS-PILE'!$D$72:$D$91)=0,0,'TO HOP NLAN'!F27*'TS-PILE'!$D$78/SUMSQ('TS-PILE'!$D$72:$D$91))),IF('TS-PILE'!$B$79="",-1E+99,'TO HOP NLAN'!D27/ncoc+IF(SUMSQ('TS-PILE'!$E$72:$E$91)=0,0,'TO HOP NLAN'!E27*'TS-PILE'!$E$79/SUMSQ('TS-PILE'!$E$72:$E$91))+IF(SUMSQ('TS-PILE'!$D$72:$D$91)=0,0,'TO HOP NLAN'!F27*'TS-PILE'!$D$79/SUMSQ('TS-PILE'!$D$72:$D$91))),IF('TS-PILE'!$B$80="",-1E+99,'TO HOP NLAN'!D27/ncoc+IF(SUMSQ('TS-PILE'!$E$72:$E$91)=0,0,'TO HOP NLAN'!E27*'TS-PILE'!$E$80/SUMSQ('TS-PILE'!$E$72:$E$91))+IF(SUMSQ('TS-PILE'!$D$72:$D$91)=0,0,'TO HOP NLAN'!F27*'TS-PILE'!$D$80/SUMSQ('TS-PILE'!$D$72:$D$91))),IF('TS-PILE'!$B$81="",-1E+99,'TO HOP NLAN'!D27/ncoc+IF(SUMSQ('TS-PILE'!$E$72:$E$91)=0,0,'TO HOP NLAN'!E27*'TS-PILE'!$E$81/SUMSQ('TS-PILE'!$E$72:$E$91))+IF(SUMSQ('TS-PILE'!$D$72:$D$91)=0,0,'TO HOP NLAN'!F27*'TS-PILE'!$D$81/SUMSQ('TS-PILE'!$D$72:$D$91))),IF('TS-PILE'!$B$82="",-1E+99,'TO HOP NLAN'!D27/ncoc+IF(SUMSQ('TS-PILE'!$E$72:$E$91)=0,0,'TO HOP NLAN'!E27*'TS-PILE'!$E$82/SUMSQ('TS-PILE'!$E$72:$E$91))+IF(SUMSQ('TS-PILE'!$D$72:$D$91)=0,0,'TO HOP NLAN'!F27*'TS-PILE'!$D$82/SUMSQ('TS-PILE'!$D$72:$D$91))),IF('TS-PILE'!$B$83="",-1E+99,'TO HOP NLAN'!D27/ncoc+IF(SUMSQ('TS-PILE'!$E$72:$E$91)=0,0,'TO HOP NLAN'!E27*'TS-PILE'!$E$83/SUMSQ('TS-PILE'!$E$72:$E$91))+IF(SUMSQ('TS-PILE'!$D$72:$D$91)=0,0,'TO HOP NLAN'!F27*'TS-PILE'!$D$83/SUMSQ('TS-PILE'!$D$72:$D$91))),IF('TS-PILE'!$B$84="",-1E+99,'TO HOP NLAN'!D27/ncoc+IF(SUMSQ('TS-PILE'!$E$72:$E$91)=0,0,'TO HOP NLAN'!E27*'TS-PILE'!$E$84/SUMSQ('TS-PILE'!$E$72:$E$91))+IF(SUMSQ('TS-PILE'!$D$72:$D$91)=0,0,'TO HOP NLAN'!F27*'TS-PILE'!$D$84/SUMSQ('TS-PILE'!$D$72:$D$91))),IF('TS-PILE'!$B$85="",-1E+99,'TO HOP NLAN'!D27/ncoc+IF(SUMSQ('TS-PILE'!$E$72:$E$91)=0,0,'TO HOP NLAN'!E27*'TS-PILE'!$E$85/SUMSQ('TS-PILE'!$E$72:$E$91))+IF(SUMSQ('TS-PILE'!$D$72:$D$91)=0,0,'TO HOP NLAN'!F27*'TS-PILE'!$D$85/SUMSQ('TS-PILE'!$D$72:$D$91))),IF('TS-PILE'!$B$86="",-1E+99,'TO HOP NLAN'!D27/ncoc+IF(SUMSQ('TS-PILE'!$E$72:$E$91)=0,0,'TO HOP NLAN'!E27*'TS-PILE'!$E$86/SUMSQ('TS-PILE'!$E$72:$E$91))+IF(SUMSQ('TS-PILE'!$D$72:$D$91)=0,0,'TO HOP NLAN'!F27*'TS-PILE'!$D$86/SUMSQ('TS-PILE'!$D$72:$D$91))),IF('TS-PILE'!$B$87="",-1E+99,'TO HOP NLAN'!D27/ncoc+IF(SUMSQ('TS-PILE'!$E$72:$E$91)=0,0,'TO HOP NLAN'!E27*'TS-PILE'!$E$87/SUMSQ('TS-PILE'!$E$72:$E$91))+IF(SUMSQ('TS-PILE'!$D$72:$D$91)=0,0,'TO HOP NLAN'!F27*'TS-PILE'!$D$87/SUMSQ('TS-PILE'!$D$72:$D$91))),IF('TS-PILE'!$B$88="",-1E+99,'TO HOP NLAN'!D27/ncoc+IF(SUMSQ('TS-PILE'!$E$72:$E$91)=0,0,'TO HOP NLAN'!E27*'TS-PILE'!$E$88/SUMSQ('TS-PILE'!$E$72:$E$91))+IF(SUMSQ('TS-PILE'!$D$72:$D$91)=0,0,'TO HOP NLAN'!F27*'TS-PILE'!$D$88/SUMSQ('TS-PILE'!$D$72:$D$91))),IF('TS-PILE'!$B$89="",-1E+99,'TO HOP NLAN'!D27/ncoc+IF(SUMSQ('TS-PILE'!$E$72:$E$91)=0,0,'TO HOP NLAN'!E27*'TS-PILE'!$E$89/SUMSQ('TS-PILE'!$E$72:$E$91))+IF(SUMSQ('TS-PILE'!$D$72:$D$91)=0,0,'TO HOP NLAN'!F27*'TS-PILE'!$D$89/SUMSQ('TS-PILE'!$D$72:$D$91))),IF('TS-PILE'!$B$90="",-1E+99,'TO HOP NLAN'!D27/ncoc+IF(SUMSQ('TS-PILE'!$E$72:$E$91)=0,0,'TO HOP NLAN'!E27*'TS-PILE'!$E$90/SUMSQ('TS-PILE'!$E$72:$E$91))+IF(SUMSQ('TS-PILE'!$D$72:$D$91)=0,0,'TO HOP NLAN'!F27*'TS-PILE'!$D$90/SUMSQ('TS-PILE'!$D$72:$D$91))),IF('TS-PILE'!$B$91="",-1E+99,'TO HOP NLAN'!D27/ncoc+IF(SUMSQ('TS-PILE'!$E$72:$E$91)=0,0,'TO HOP NLAN'!E27*'TS-PILE'!$E$91/SUMSQ('TS-PILE'!$E$72:$E$91))+IF(SUMSQ('TS-PILE'!$D$72:$D$91)=0,0,'TO HOP NLAN'!F27*'TS-PILE'!$D$91/SUMSQ('TS-PILE'!$D$72:$D$91)))))</f>
        <v>0</v>
      </c>
      <c r="D27" s="58">
        <f>IF(A27="",0,MIN(IF('TS-PILE'!$B$72="",1E+99,'TO HOP NLAN'!D27/ncoc+IF(SUMSQ('TS-PILE'!$E$72:$E$91)=0,0,'TO HOP NLAN'!E27*'TS-PILE'!$E$72/SUMSQ('TS-PILE'!$E$72:$E$91))+IF(SUMSQ('TS-PILE'!$D$72:$D$91)=0,0,'TO HOP NLAN'!F27*'TS-PILE'!$D$72/SUMSQ('TS-PILE'!$D$72:$D$91))),IF('TS-PILE'!$B$73="",1E+99,'TO HOP NLAN'!D27/ncoc+IF(SUMSQ('TS-PILE'!$E$72:$E$91)=0,0,'TO HOP NLAN'!E27*'TS-PILE'!$E$73/SUMSQ('TS-PILE'!$E$72:$E$91))+IF(SUMSQ('TS-PILE'!$D$72:$D$91)=0,0,'TO HOP NLAN'!F27*'TS-PILE'!$D$73/SUMSQ('TS-PILE'!$D$72:$D$91))),IF('TS-PILE'!$B$74="",1E+99,'TO HOP NLAN'!D27/ncoc+IF(SUMSQ('TS-PILE'!$E$72:$E$91)=0,0,'TO HOP NLAN'!E27*'TS-PILE'!$E$74/SUMSQ('TS-PILE'!$E$72:$E$91))+IF(SUMSQ('TS-PILE'!$D$72:$D$91)=0,0,'TO HOP NLAN'!F27*'TS-PILE'!$D$74/SUMSQ('TS-PILE'!$D$72:$D$91))),IF('TS-PILE'!$B$75="",1E+99,'TO HOP NLAN'!D27/ncoc+IF(SUMSQ('TS-PILE'!$E$72:$E$91)=0,0,'TO HOP NLAN'!E27*'TS-PILE'!$E$75/SUMSQ('TS-PILE'!$E$72:$E$91))+IF(SUMSQ('TS-PILE'!$D$72:$D$91)=0,0,'TO HOP NLAN'!F27*'TS-PILE'!$D$75/SUMSQ('TS-PILE'!$D$72:$D$91))),IF('TS-PILE'!$B$76="",1E+99,'TO HOP NLAN'!D27/ncoc+IF(SUMSQ('TS-PILE'!$E$72:$E$91)=0,0,'TO HOP NLAN'!E27*'TS-PILE'!$E$76/SUMSQ('TS-PILE'!$E$72:$E$91))+IF(SUMSQ('TS-PILE'!$D$72:$D$91)=0,0,'TO HOP NLAN'!F27*'TS-PILE'!$D$76/SUMSQ('TS-PILE'!$D$72:$D$91))),IF('TS-PILE'!$B$77="",1E+99,'TO HOP NLAN'!D27/ncoc+IF(SUMSQ('TS-PILE'!$E$72:$E$91)=0,0,'TO HOP NLAN'!E27*'TS-PILE'!$E$77/SUMSQ('TS-PILE'!$E$72:$E$91))+IF(SUMSQ('TS-PILE'!$D$72:$D$91)=0,0,'TO HOP NLAN'!F27*'TS-PILE'!$D$77/SUMSQ('TS-PILE'!$D$72:$D$91))),IF('TS-PILE'!$B$78="",1E+99,'TO HOP NLAN'!D27/ncoc+IF(SUMSQ('TS-PILE'!$E$72:$E$91)=0,0,'TO HOP NLAN'!E27*'TS-PILE'!$E$78/SUMSQ('TS-PILE'!$E$72:$E$91))+IF(SUMSQ('TS-PILE'!$D$72:$D$91)=0,0,'TO HOP NLAN'!F27*'TS-PILE'!$D$78/SUMSQ('TS-PILE'!$D$72:$D$91))),IF('TS-PILE'!$B$79="",1E+99,'TO HOP NLAN'!D27/ncoc+IF(SUMSQ('TS-PILE'!$E$72:$E$91)=0,0,'TO HOP NLAN'!E27*'TS-PILE'!$E$79/SUMSQ('TS-PILE'!$E$72:$E$91))+IF(SUMSQ('TS-PILE'!$D$72:$D$91)=0,0,'TO HOP NLAN'!F27*'TS-PILE'!$D$79/SUMSQ('TS-PILE'!$D$72:$D$91))),IF('TS-PILE'!$B$80="",1E+99,'TO HOP NLAN'!D27/ncoc+IF(SUMSQ('TS-PILE'!$E$72:$E$91)=0,0,'TO HOP NLAN'!E27*'TS-PILE'!$E$80/SUMSQ('TS-PILE'!$E$72:$E$91))+IF(SUMSQ('TS-PILE'!$D$72:$D$91)=0,0,'TO HOP NLAN'!F27*'TS-PILE'!$D$80/SUMSQ('TS-PILE'!$D$72:$D$91))),IF('TS-PILE'!$B$81="",1E+99,'TO HOP NLAN'!D27/ncoc+IF(SUMSQ('TS-PILE'!$E$72:$E$91)=0,0,'TO HOP NLAN'!E27*'TS-PILE'!$E$81/SUMSQ('TS-PILE'!$E$72:$E$91))+IF(SUMSQ('TS-PILE'!$D$72:$D$91)=0,0,'TO HOP NLAN'!F27*'TS-PILE'!$D$81/SUMSQ('TS-PILE'!$D$72:$D$91))),IF('TS-PILE'!$B$82="",1E+99,'TO HOP NLAN'!D27/ncoc+IF(SUMSQ('TS-PILE'!$E$72:$E$91)=0,0,'TO HOP NLAN'!E27*'TS-PILE'!$E$82/SUMSQ('TS-PILE'!$E$72:$E$91))+IF(SUMSQ('TS-PILE'!$D$72:$D$91)=0,0,'TO HOP NLAN'!F27*'TS-PILE'!$D$82/SUMSQ('TS-PILE'!$D$72:$D$91))),IF('TS-PILE'!$B$83="",1E+99,'TO HOP NLAN'!D27/ncoc+IF(SUMSQ('TS-PILE'!$E$72:$E$91)=0,0,'TO HOP NLAN'!E27*'TS-PILE'!$E$83/SUMSQ('TS-PILE'!$E$72:$E$91))+IF(SUMSQ('TS-PILE'!$D$72:$D$91)=0,0,'TO HOP NLAN'!F27*'TS-PILE'!$D$83/SUMSQ('TS-PILE'!$D$72:$D$91))),IF('TS-PILE'!$B$84="",1E+99,'TO HOP NLAN'!D27/ncoc+IF(SUMSQ('TS-PILE'!$E$72:$E$91)=0,0,'TO HOP NLAN'!E27*'TS-PILE'!$E$84/SUMSQ('TS-PILE'!$E$72:$E$91))+IF(SUMSQ('TS-PILE'!$D$72:$D$91)=0,0,'TO HOP NLAN'!F27*'TS-PILE'!$D$84/SUMSQ('TS-PILE'!$D$72:$D$91))),IF('TS-PILE'!$B$85="",1E+99,'TO HOP NLAN'!D27/ncoc+IF(SUMSQ('TS-PILE'!$E$72:$E$91)=0,0,'TO HOP NLAN'!E27*'TS-PILE'!$E$85/SUMSQ('TS-PILE'!$E$72:$E$91))+IF(SUMSQ('TS-PILE'!$D$72:$D$91)=0,0,'TO HOP NLAN'!F27*'TS-PILE'!$D$85/SUMSQ('TS-PILE'!$D$72:$D$91))),IF('TS-PILE'!$B$86="",1E+99,'TO HOP NLAN'!D27/ncoc+IF(SUMSQ('TS-PILE'!$E$72:$E$91)=0,0,'TO HOP NLAN'!E27*'TS-PILE'!$E$86/SUMSQ('TS-PILE'!$E$72:$E$91))+IF(SUMSQ('TS-PILE'!$D$72:$D$91)=0,0,'TO HOP NLAN'!F27*'TS-PILE'!$D$86/SUMSQ('TS-PILE'!$D$72:$D$91))),IF('TS-PILE'!$B$87="",1E+99,'TO HOP NLAN'!D27/ncoc+IF(SUMSQ('TS-PILE'!$E$72:$E$91)=0,0,'TO HOP NLAN'!E27*'TS-PILE'!$E$87/SUMSQ('TS-PILE'!$E$72:$E$91))+IF(SUMSQ('TS-PILE'!$D$72:$D$91)=0,0,'TO HOP NLAN'!F27*'TS-PILE'!$D$87/SUMSQ('TS-PILE'!$D$72:$D$91))),IF('TS-PILE'!$B$88="",1E+99,'TO HOP NLAN'!D27/ncoc+IF(SUMSQ('TS-PILE'!$E$72:$E$91)=0,0,'TO HOP NLAN'!E27*'TS-PILE'!$E$88/SUMSQ('TS-PILE'!$E$72:$E$91))+IF(SUMSQ('TS-PILE'!$D$72:$D$91)=0,0,'TO HOP NLAN'!F27*'TS-PILE'!$D$88/SUMSQ('TS-PILE'!$D$72:$D$91))),IF('TS-PILE'!$B$89="",1E+99,'TO HOP NLAN'!D27/ncoc+IF(SUMSQ('TS-PILE'!$E$72:$E$91)=0,0,'TO HOP NLAN'!E27*'TS-PILE'!$E$89/SUMSQ('TS-PILE'!$E$72:$E$91))+IF(SUMSQ('TS-PILE'!$D$72:$D$91)=0,0,'TO HOP NLAN'!F27*'TS-PILE'!$D$89/SUMSQ('TS-PILE'!$D$72:$D$91))),IF('TS-PILE'!$B$90="",1E+99,'TO HOP NLAN'!D27/ncoc+IF(SUMSQ('TS-PILE'!$E$72:$E$91)=0,0,'TO HOP NLAN'!E27*'TS-PILE'!$E$90/SUMSQ('TS-PILE'!$E$72:$E$91))+IF(SUMSQ('TS-PILE'!$D$72:$D$91)=0,0,'TO HOP NLAN'!F27*'TS-PILE'!$D$90/SUMSQ('TS-PILE'!$D$72:$D$91))),IF('TS-PILE'!$B$91="",1E+99,'TO HOP NLAN'!D27/ncoc+IF(SUMSQ('TS-PILE'!$E$72:$E$91)=0,0,'TO HOP NLAN'!E27*'TS-PILE'!$E$91/SUMSQ('TS-PILE'!$E$72:$E$91))+IF(SUMSQ('TS-PILE'!$D$72:$D$91)=0,0,'TO HOP NLAN'!F27*'TS-PILE'!$D$91/SUMSQ('TS-PILE'!$D$72:$D$91)))))</f>
        <v>0</v>
      </c>
      <c r="E27" s="58">
        <f t="shared" si="0"/>
        <v>-9.9999999999999997E+98</v>
      </c>
      <c r="F27" s="58">
        <f t="shared" si="1"/>
        <v>9.9999999999999997E+98</v>
      </c>
      <c r="G27" s="58">
        <f t="shared" si="2"/>
        <v>-9.9999999999999997E+98</v>
      </c>
      <c r="H27" s="58">
        <f t="shared" si="3"/>
        <v>9.9999999999999997E+98</v>
      </c>
    </row>
    <row r="28" spans="1:8" x14ac:dyDescent="0.3">
      <c r="A28" s="42" t="str">
        <f>'TO HOP NLAN'!A28</f>
        <v/>
      </c>
      <c r="B28" s="42" t="str">
        <f>'TO HOP NLAN'!L28</f>
        <v>SERVICE</v>
      </c>
      <c r="C28" s="58">
        <f>IF(A28="",0,MAX(IF('TS-PILE'!$B$72="",-1E+99,'TO HOP NLAN'!D28/ncoc+IF(SUMSQ('TS-PILE'!$E$72:$E$91)=0,0,'TO HOP NLAN'!E28*'TS-PILE'!$E$72/SUMSQ('TS-PILE'!$E$72:$E$91))+IF(SUMSQ('TS-PILE'!$D$72:$D$91)=0,0,'TO HOP NLAN'!F28*'TS-PILE'!$D$72/SUMSQ('TS-PILE'!$D$72:$D$91))),IF('TS-PILE'!$B$73="",-1E+99,'TO HOP NLAN'!D28/ncoc+IF(SUMSQ('TS-PILE'!$E$72:$E$91)=0,0,'TO HOP NLAN'!E28*'TS-PILE'!$E$73/SUMSQ('TS-PILE'!$E$72:$E$91))+IF(SUMSQ('TS-PILE'!$D$72:$D$91)=0,0,'TO HOP NLAN'!F28*'TS-PILE'!$D$73/SUMSQ('TS-PILE'!$D$72:$D$91))),IF('TS-PILE'!$B$74="",-1E+99,'TO HOP NLAN'!D28/ncoc+IF(SUMSQ('TS-PILE'!$E$72:$E$91)=0,0,'TO HOP NLAN'!E28*'TS-PILE'!$E$74/SUMSQ('TS-PILE'!$E$72:$E$91))+IF(SUMSQ('TS-PILE'!$D$72:$D$91)=0,0,'TO HOP NLAN'!F28*'TS-PILE'!$D$74/SUMSQ('TS-PILE'!$D$72:$D$91))),IF('TS-PILE'!$B$75="",-1E+99,'TO HOP NLAN'!D28/ncoc+IF(SUMSQ('TS-PILE'!$E$72:$E$91)=0,0,'TO HOP NLAN'!E28*'TS-PILE'!$E$75/SUMSQ('TS-PILE'!$E$72:$E$91))+IF(SUMSQ('TS-PILE'!$D$72:$D$91)=0,0,'TO HOP NLAN'!F28*'TS-PILE'!$D$75/SUMSQ('TS-PILE'!$D$72:$D$91))),IF('TS-PILE'!$B$76="",-1E+99,'TO HOP NLAN'!D28/ncoc+IF(SUMSQ('TS-PILE'!$E$72:$E$91)=0,0,'TO HOP NLAN'!E28*'TS-PILE'!$E$76/SUMSQ('TS-PILE'!$E$72:$E$91))+IF(SUMSQ('TS-PILE'!$D$72:$D$91)=0,0,'TO HOP NLAN'!F28*'TS-PILE'!$D$76/SUMSQ('TS-PILE'!$D$72:$D$91))),IF('TS-PILE'!$B$77="",-1E+99,'TO HOP NLAN'!D28/ncoc+IF(SUMSQ('TS-PILE'!$E$72:$E$91)=0,0,'TO HOP NLAN'!E28*'TS-PILE'!$E$77/SUMSQ('TS-PILE'!$E$72:$E$91))+IF(SUMSQ('TS-PILE'!$D$72:$D$91)=0,0,'TO HOP NLAN'!F28*'TS-PILE'!$D$77/SUMSQ('TS-PILE'!$D$72:$D$91))),IF('TS-PILE'!$B$78="",-1E+99,'TO HOP NLAN'!D28/ncoc+IF(SUMSQ('TS-PILE'!$E$72:$E$91)=0,0,'TO HOP NLAN'!E28*'TS-PILE'!$E$78/SUMSQ('TS-PILE'!$E$72:$E$91))+IF(SUMSQ('TS-PILE'!$D$72:$D$91)=0,0,'TO HOP NLAN'!F28*'TS-PILE'!$D$78/SUMSQ('TS-PILE'!$D$72:$D$91))),IF('TS-PILE'!$B$79="",-1E+99,'TO HOP NLAN'!D28/ncoc+IF(SUMSQ('TS-PILE'!$E$72:$E$91)=0,0,'TO HOP NLAN'!E28*'TS-PILE'!$E$79/SUMSQ('TS-PILE'!$E$72:$E$91))+IF(SUMSQ('TS-PILE'!$D$72:$D$91)=0,0,'TO HOP NLAN'!F28*'TS-PILE'!$D$79/SUMSQ('TS-PILE'!$D$72:$D$91))),IF('TS-PILE'!$B$80="",-1E+99,'TO HOP NLAN'!D28/ncoc+IF(SUMSQ('TS-PILE'!$E$72:$E$91)=0,0,'TO HOP NLAN'!E28*'TS-PILE'!$E$80/SUMSQ('TS-PILE'!$E$72:$E$91))+IF(SUMSQ('TS-PILE'!$D$72:$D$91)=0,0,'TO HOP NLAN'!F28*'TS-PILE'!$D$80/SUMSQ('TS-PILE'!$D$72:$D$91))),IF('TS-PILE'!$B$81="",-1E+99,'TO HOP NLAN'!D28/ncoc+IF(SUMSQ('TS-PILE'!$E$72:$E$91)=0,0,'TO HOP NLAN'!E28*'TS-PILE'!$E$81/SUMSQ('TS-PILE'!$E$72:$E$91))+IF(SUMSQ('TS-PILE'!$D$72:$D$91)=0,0,'TO HOP NLAN'!F28*'TS-PILE'!$D$81/SUMSQ('TS-PILE'!$D$72:$D$91))),IF('TS-PILE'!$B$82="",-1E+99,'TO HOP NLAN'!D28/ncoc+IF(SUMSQ('TS-PILE'!$E$72:$E$91)=0,0,'TO HOP NLAN'!E28*'TS-PILE'!$E$82/SUMSQ('TS-PILE'!$E$72:$E$91))+IF(SUMSQ('TS-PILE'!$D$72:$D$91)=0,0,'TO HOP NLAN'!F28*'TS-PILE'!$D$82/SUMSQ('TS-PILE'!$D$72:$D$91))),IF('TS-PILE'!$B$83="",-1E+99,'TO HOP NLAN'!D28/ncoc+IF(SUMSQ('TS-PILE'!$E$72:$E$91)=0,0,'TO HOP NLAN'!E28*'TS-PILE'!$E$83/SUMSQ('TS-PILE'!$E$72:$E$91))+IF(SUMSQ('TS-PILE'!$D$72:$D$91)=0,0,'TO HOP NLAN'!F28*'TS-PILE'!$D$83/SUMSQ('TS-PILE'!$D$72:$D$91))),IF('TS-PILE'!$B$84="",-1E+99,'TO HOP NLAN'!D28/ncoc+IF(SUMSQ('TS-PILE'!$E$72:$E$91)=0,0,'TO HOP NLAN'!E28*'TS-PILE'!$E$84/SUMSQ('TS-PILE'!$E$72:$E$91))+IF(SUMSQ('TS-PILE'!$D$72:$D$91)=0,0,'TO HOP NLAN'!F28*'TS-PILE'!$D$84/SUMSQ('TS-PILE'!$D$72:$D$91))),IF('TS-PILE'!$B$85="",-1E+99,'TO HOP NLAN'!D28/ncoc+IF(SUMSQ('TS-PILE'!$E$72:$E$91)=0,0,'TO HOP NLAN'!E28*'TS-PILE'!$E$85/SUMSQ('TS-PILE'!$E$72:$E$91))+IF(SUMSQ('TS-PILE'!$D$72:$D$91)=0,0,'TO HOP NLAN'!F28*'TS-PILE'!$D$85/SUMSQ('TS-PILE'!$D$72:$D$91))),IF('TS-PILE'!$B$86="",-1E+99,'TO HOP NLAN'!D28/ncoc+IF(SUMSQ('TS-PILE'!$E$72:$E$91)=0,0,'TO HOP NLAN'!E28*'TS-PILE'!$E$86/SUMSQ('TS-PILE'!$E$72:$E$91))+IF(SUMSQ('TS-PILE'!$D$72:$D$91)=0,0,'TO HOP NLAN'!F28*'TS-PILE'!$D$86/SUMSQ('TS-PILE'!$D$72:$D$91))),IF('TS-PILE'!$B$87="",-1E+99,'TO HOP NLAN'!D28/ncoc+IF(SUMSQ('TS-PILE'!$E$72:$E$91)=0,0,'TO HOP NLAN'!E28*'TS-PILE'!$E$87/SUMSQ('TS-PILE'!$E$72:$E$91))+IF(SUMSQ('TS-PILE'!$D$72:$D$91)=0,0,'TO HOP NLAN'!F28*'TS-PILE'!$D$87/SUMSQ('TS-PILE'!$D$72:$D$91))),IF('TS-PILE'!$B$88="",-1E+99,'TO HOP NLAN'!D28/ncoc+IF(SUMSQ('TS-PILE'!$E$72:$E$91)=0,0,'TO HOP NLAN'!E28*'TS-PILE'!$E$88/SUMSQ('TS-PILE'!$E$72:$E$91))+IF(SUMSQ('TS-PILE'!$D$72:$D$91)=0,0,'TO HOP NLAN'!F28*'TS-PILE'!$D$88/SUMSQ('TS-PILE'!$D$72:$D$91))),IF('TS-PILE'!$B$89="",-1E+99,'TO HOP NLAN'!D28/ncoc+IF(SUMSQ('TS-PILE'!$E$72:$E$91)=0,0,'TO HOP NLAN'!E28*'TS-PILE'!$E$89/SUMSQ('TS-PILE'!$E$72:$E$91))+IF(SUMSQ('TS-PILE'!$D$72:$D$91)=0,0,'TO HOP NLAN'!F28*'TS-PILE'!$D$89/SUMSQ('TS-PILE'!$D$72:$D$91))),IF('TS-PILE'!$B$90="",-1E+99,'TO HOP NLAN'!D28/ncoc+IF(SUMSQ('TS-PILE'!$E$72:$E$91)=0,0,'TO HOP NLAN'!E28*'TS-PILE'!$E$90/SUMSQ('TS-PILE'!$E$72:$E$91))+IF(SUMSQ('TS-PILE'!$D$72:$D$91)=0,0,'TO HOP NLAN'!F28*'TS-PILE'!$D$90/SUMSQ('TS-PILE'!$D$72:$D$91))),IF('TS-PILE'!$B$91="",-1E+99,'TO HOP NLAN'!D28/ncoc+IF(SUMSQ('TS-PILE'!$E$72:$E$91)=0,0,'TO HOP NLAN'!E28*'TS-PILE'!$E$91/SUMSQ('TS-PILE'!$E$72:$E$91))+IF(SUMSQ('TS-PILE'!$D$72:$D$91)=0,0,'TO HOP NLAN'!F28*'TS-PILE'!$D$91/SUMSQ('TS-PILE'!$D$72:$D$91)))))</f>
        <v>0</v>
      </c>
      <c r="D28" s="58">
        <f>IF(A28="",0,MIN(IF('TS-PILE'!$B$72="",1E+99,'TO HOP NLAN'!D28/ncoc+IF(SUMSQ('TS-PILE'!$E$72:$E$91)=0,0,'TO HOP NLAN'!E28*'TS-PILE'!$E$72/SUMSQ('TS-PILE'!$E$72:$E$91))+IF(SUMSQ('TS-PILE'!$D$72:$D$91)=0,0,'TO HOP NLAN'!F28*'TS-PILE'!$D$72/SUMSQ('TS-PILE'!$D$72:$D$91))),IF('TS-PILE'!$B$73="",1E+99,'TO HOP NLAN'!D28/ncoc+IF(SUMSQ('TS-PILE'!$E$72:$E$91)=0,0,'TO HOP NLAN'!E28*'TS-PILE'!$E$73/SUMSQ('TS-PILE'!$E$72:$E$91))+IF(SUMSQ('TS-PILE'!$D$72:$D$91)=0,0,'TO HOP NLAN'!F28*'TS-PILE'!$D$73/SUMSQ('TS-PILE'!$D$72:$D$91))),IF('TS-PILE'!$B$74="",1E+99,'TO HOP NLAN'!D28/ncoc+IF(SUMSQ('TS-PILE'!$E$72:$E$91)=0,0,'TO HOP NLAN'!E28*'TS-PILE'!$E$74/SUMSQ('TS-PILE'!$E$72:$E$91))+IF(SUMSQ('TS-PILE'!$D$72:$D$91)=0,0,'TO HOP NLAN'!F28*'TS-PILE'!$D$74/SUMSQ('TS-PILE'!$D$72:$D$91))),IF('TS-PILE'!$B$75="",1E+99,'TO HOP NLAN'!D28/ncoc+IF(SUMSQ('TS-PILE'!$E$72:$E$91)=0,0,'TO HOP NLAN'!E28*'TS-PILE'!$E$75/SUMSQ('TS-PILE'!$E$72:$E$91))+IF(SUMSQ('TS-PILE'!$D$72:$D$91)=0,0,'TO HOP NLAN'!F28*'TS-PILE'!$D$75/SUMSQ('TS-PILE'!$D$72:$D$91))),IF('TS-PILE'!$B$76="",1E+99,'TO HOP NLAN'!D28/ncoc+IF(SUMSQ('TS-PILE'!$E$72:$E$91)=0,0,'TO HOP NLAN'!E28*'TS-PILE'!$E$76/SUMSQ('TS-PILE'!$E$72:$E$91))+IF(SUMSQ('TS-PILE'!$D$72:$D$91)=0,0,'TO HOP NLAN'!F28*'TS-PILE'!$D$76/SUMSQ('TS-PILE'!$D$72:$D$91))),IF('TS-PILE'!$B$77="",1E+99,'TO HOP NLAN'!D28/ncoc+IF(SUMSQ('TS-PILE'!$E$72:$E$91)=0,0,'TO HOP NLAN'!E28*'TS-PILE'!$E$77/SUMSQ('TS-PILE'!$E$72:$E$91))+IF(SUMSQ('TS-PILE'!$D$72:$D$91)=0,0,'TO HOP NLAN'!F28*'TS-PILE'!$D$77/SUMSQ('TS-PILE'!$D$72:$D$91))),IF('TS-PILE'!$B$78="",1E+99,'TO HOP NLAN'!D28/ncoc+IF(SUMSQ('TS-PILE'!$E$72:$E$91)=0,0,'TO HOP NLAN'!E28*'TS-PILE'!$E$78/SUMSQ('TS-PILE'!$E$72:$E$91))+IF(SUMSQ('TS-PILE'!$D$72:$D$91)=0,0,'TO HOP NLAN'!F28*'TS-PILE'!$D$78/SUMSQ('TS-PILE'!$D$72:$D$91))),IF('TS-PILE'!$B$79="",1E+99,'TO HOP NLAN'!D28/ncoc+IF(SUMSQ('TS-PILE'!$E$72:$E$91)=0,0,'TO HOP NLAN'!E28*'TS-PILE'!$E$79/SUMSQ('TS-PILE'!$E$72:$E$91))+IF(SUMSQ('TS-PILE'!$D$72:$D$91)=0,0,'TO HOP NLAN'!F28*'TS-PILE'!$D$79/SUMSQ('TS-PILE'!$D$72:$D$91))),IF('TS-PILE'!$B$80="",1E+99,'TO HOP NLAN'!D28/ncoc+IF(SUMSQ('TS-PILE'!$E$72:$E$91)=0,0,'TO HOP NLAN'!E28*'TS-PILE'!$E$80/SUMSQ('TS-PILE'!$E$72:$E$91))+IF(SUMSQ('TS-PILE'!$D$72:$D$91)=0,0,'TO HOP NLAN'!F28*'TS-PILE'!$D$80/SUMSQ('TS-PILE'!$D$72:$D$91))),IF('TS-PILE'!$B$81="",1E+99,'TO HOP NLAN'!D28/ncoc+IF(SUMSQ('TS-PILE'!$E$72:$E$91)=0,0,'TO HOP NLAN'!E28*'TS-PILE'!$E$81/SUMSQ('TS-PILE'!$E$72:$E$91))+IF(SUMSQ('TS-PILE'!$D$72:$D$91)=0,0,'TO HOP NLAN'!F28*'TS-PILE'!$D$81/SUMSQ('TS-PILE'!$D$72:$D$91))),IF('TS-PILE'!$B$82="",1E+99,'TO HOP NLAN'!D28/ncoc+IF(SUMSQ('TS-PILE'!$E$72:$E$91)=0,0,'TO HOP NLAN'!E28*'TS-PILE'!$E$82/SUMSQ('TS-PILE'!$E$72:$E$91))+IF(SUMSQ('TS-PILE'!$D$72:$D$91)=0,0,'TO HOP NLAN'!F28*'TS-PILE'!$D$82/SUMSQ('TS-PILE'!$D$72:$D$91))),IF('TS-PILE'!$B$83="",1E+99,'TO HOP NLAN'!D28/ncoc+IF(SUMSQ('TS-PILE'!$E$72:$E$91)=0,0,'TO HOP NLAN'!E28*'TS-PILE'!$E$83/SUMSQ('TS-PILE'!$E$72:$E$91))+IF(SUMSQ('TS-PILE'!$D$72:$D$91)=0,0,'TO HOP NLAN'!F28*'TS-PILE'!$D$83/SUMSQ('TS-PILE'!$D$72:$D$91))),IF('TS-PILE'!$B$84="",1E+99,'TO HOP NLAN'!D28/ncoc+IF(SUMSQ('TS-PILE'!$E$72:$E$91)=0,0,'TO HOP NLAN'!E28*'TS-PILE'!$E$84/SUMSQ('TS-PILE'!$E$72:$E$91))+IF(SUMSQ('TS-PILE'!$D$72:$D$91)=0,0,'TO HOP NLAN'!F28*'TS-PILE'!$D$84/SUMSQ('TS-PILE'!$D$72:$D$91))),IF('TS-PILE'!$B$85="",1E+99,'TO HOP NLAN'!D28/ncoc+IF(SUMSQ('TS-PILE'!$E$72:$E$91)=0,0,'TO HOP NLAN'!E28*'TS-PILE'!$E$85/SUMSQ('TS-PILE'!$E$72:$E$91))+IF(SUMSQ('TS-PILE'!$D$72:$D$91)=0,0,'TO HOP NLAN'!F28*'TS-PILE'!$D$85/SUMSQ('TS-PILE'!$D$72:$D$91))),IF('TS-PILE'!$B$86="",1E+99,'TO HOP NLAN'!D28/ncoc+IF(SUMSQ('TS-PILE'!$E$72:$E$91)=0,0,'TO HOP NLAN'!E28*'TS-PILE'!$E$86/SUMSQ('TS-PILE'!$E$72:$E$91))+IF(SUMSQ('TS-PILE'!$D$72:$D$91)=0,0,'TO HOP NLAN'!F28*'TS-PILE'!$D$86/SUMSQ('TS-PILE'!$D$72:$D$91))),IF('TS-PILE'!$B$87="",1E+99,'TO HOP NLAN'!D28/ncoc+IF(SUMSQ('TS-PILE'!$E$72:$E$91)=0,0,'TO HOP NLAN'!E28*'TS-PILE'!$E$87/SUMSQ('TS-PILE'!$E$72:$E$91))+IF(SUMSQ('TS-PILE'!$D$72:$D$91)=0,0,'TO HOP NLAN'!F28*'TS-PILE'!$D$87/SUMSQ('TS-PILE'!$D$72:$D$91))),IF('TS-PILE'!$B$88="",1E+99,'TO HOP NLAN'!D28/ncoc+IF(SUMSQ('TS-PILE'!$E$72:$E$91)=0,0,'TO HOP NLAN'!E28*'TS-PILE'!$E$88/SUMSQ('TS-PILE'!$E$72:$E$91))+IF(SUMSQ('TS-PILE'!$D$72:$D$91)=0,0,'TO HOP NLAN'!F28*'TS-PILE'!$D$88/SUMSQ('TS-PILE'!$D$72:$D$91))),IF('TS-PILE'!$B$89="",1E+99,'TO HOP NLAN'!D28/ncoc+IF(SUMSQ('TS-PILE'!$E$72:$E$91)=0,0,'TO HOP NLAN'!E28*'TS-PILE'!$E$89/SUMSQ('TS-PILE'!$E$72:$E$91))+IF(SUMSQ('TS-PILE'!$D$72:$D$91)=0,0,'TO HOP NLAN'!F28*'TS-PILE'!$D$89/SUMSQ('TS-PILE'!$D$72:$D$91))),IF('TS-PILE'!$B$90="",1E+99,'TO HOP NLAN'!D28/ncoc+IF(SUMSQ('TS-PILE'!$E$72:$E$91)=0,0,'TO HOP NLAN'!E28*'TS-PILE'!$E$90/SUMSQ('TS-PILE'!$E$72:$E$91))+IF(SUMSQ('TS-PILE'!$D$72:$D$91)=0,0,'TO HOP NLAN'!F28*'TS-PILE'!$D$90/SUMSQ('TS-PILE'!$D$72:$D$91))),IF('TS-PILE'!$B$91="",1E+99,'TO HOP NLAN'!D28/ncoc+IF(SUMSQ('TS-PILE'!$E$72:$E$91)=0,0,'TO HOP NLAN'!E28*'TS-PILE'!$E$91/SUMSQ('TS-PILE'!$E$72:$E$91))+IF(SUMSQ('TS-PILE'!$D$72:$D$91)=0,0,'TO HOP NLAN'!F28*'TS-PILE'!$D$91/SUMSQ('TS-PILE'!$D$72:$D$91)))))</f>
        <v>0</v>
      </c>
      <c r="E28" s="58">
        <f t="shared" si="0"/>
        <v>-9.9999999999999997E+98</v>
      </c>
      <c r="F28" s="58">
        <f t="shared" si="1"/>
        <v>9.9999999999999997E+98</v>
      </c>
      <c r="G28" s="58">
        <f t="shared" si="2"/>
        <v>-9.9999999999999997E+98</v>
      </c>
      <c r="H28" s="58">
        <f t="shared" si="3"/>
        <v>9.9999999999999997E+98</v>
      </c>
    </row>
    <row r="29" spans="1:8" x14ac:dyDescent="0.3">
      <c r="A29" s="42" t="str">
        <f>'TO HOP NLAN'!A29</f>
        <v/>
      </c>
      <c r="B29" s="42" t="str">
        <f>'TO HOP NLAN'!L29</f>
        <v>SERVICE</v>
      </c>
      <c r="C29" s="58">
        <f>IF(A29="",0,MAX(IF('TS-PILE'!$B$72="",-1E+99,'TO HOP NLAN'!D29/ncoc+IF(SUMSQ('TS-PILE'!$E$72:$E$91)=0,0,'TO HOP NLAN'!E29*'TS-PILE'!$E$72/SUMSQ('TS-PILE'!$E$72:$E$91))+IF(SUMSQ('TS-PILE'!$D$72:$D$91)=0,0,'TO HOP NLAN'!F29*'TS-PILE'!$D$72/SUMSQ('TS-PILE'!$D$72:$D$91))),IF('TS-PILE'!$B$73="",-1E+99,'TO HOP NLAN'!D29/ncoc+IF(SUMSQ('TS-PILE'!$E$72:$E$91)=0,0,'TO HOP NLAN'!E29*'TS-PILE'!$E$73/SUMSQ('TS-PILE'!$E$72:$E$91))+IF(SUMSQ('TS-PILE'!$D$72:$D$91)=0,0,'TO HOP NLAN'!F29*'TS-PILE'!$D$73/SUMSQ('TS-PILE'!$D$72:$D$91))),IF('TS-PILE'!$B$74="",-1E+99,'TO HOP NLAN'!D29/ncoc+IF(SUMSQ('TS-PILE'!$E$72:$E$91)=0,0,'TO HOP NLAN'!E29*'TS-PILE'!$E$74/SUMSQ('TS-PILE'!$E$72:$E$91))+IF(SUMSQ('TS-PILE'!$D$72:$D$91)=0,0,'TO HOP NLAN'!F29*'TS-PILE'!$D$74/SUMSQ('TS-PILE'!$D$72:$D$91))),IF('TS-PILE'!$B$75="",-1E+99,'TO HOP NLAN'!D29/ncoc+IF(SUMSQ('TS-PILE'!$E$72:$E$91)=0,0,'TO HOP NLAN'!E29*'TS-PILE'!$E$75/SUMSQ('TS-PILE'!$E$72:$E$91))+IF(SUMSQ('TS-PILE'!$D$72:$D$91)=0,0,'TO HOP NLAN'!F29*'TS-PILE'!$D$75/SUMSQ('TS-PILE'!$D$72:$D$91))),IF('TS-PILE'!$B$76="",-1E+99,'TO HOP NLAN'!D29/ncoc+IF(SUMSQ('TS-PILE'!$E$72:$E$91)=0,0,'TO HOP NLAN'!E29*'TS-PILE'!$E$76/SUMSQ('TS-PILE'!$E$72:$E$91))+IF(SUMSQ('TS-PILE'!$D$72:$D$91)=0,0,'TO HOP NLAN'!F29*'TS-PILE'!$D$76/SUMSQ('TS-PILE'!$D$72:$D$91))),IF('TS-PILE'!$B$77="",-1E+99,'TO HOP NLAN'!D29/ncoc+IF(SUMSQ('TS-PILE'!$E$72:$E$91)=0,0,'TO HOP NLAN'!E29*'TS-PILE'!$E$77/SUMSQ('TS-PILE'!$E$72:$E$91))+IF(SUMSQ('TS-PILE'!$D$72:$D$91)=0,0,'TO HOP NLAN'!F29*'TS-PILE'!$D$77/SUMSQ('TS-PILE'!$D$72:$D$91))),IF('TS-PILE'!$B$78="",-1E+99,'TO HOP NLAN'!D29/ncoc+IF(SUMSQ('TS-PILE'!$E$72:$E$91)=0,0,'TO HOP NLAN'!E29*'TS-PILE'!$E$78/SUMSQ('TS-PILE'!$E$72:$E$91))+IF(SUMSQ('TS-PILE'!$D$72:$D$91)=0,0,'TO HOP NLAN'!F29*'TS-PILE'!$D$78/SUMSQ('TS-PILE'!$D$72:$D$91))),IF('TS-PILE'!$B$79="",-1E+99,'TO HOP NLAN'!D29/ncoc+IF(SUMSQ('TS-PILE'!$E$72:$E$91)=0,0,'TO HOP NLAN'!E29*'TS-PILE'!$E$79/SUMSQ('TS-PILE'!$E$72:$E$91))+IF(SUMSQ('TS-PILE'!$D$72:$D$91)=0,0,'TO HOP NLAN'!F29*'TS-PILE'!$D$79/SUMSQ('TS-PILE'!$D$72:$D$91))),IF('TS-PILE'!$B$80="",-1E+99,'TO HOP NLAN'!D29/ncoc+IF(SUMSQ('TS-PILE'!$E$72:$E$91)=0,0,'TO HOP NLAN'!E29*'TS-PILE'!$E$80/SUMSQ('TS-PILE'!$E$72:$E$91))+IF(SUMSQ('TS-PILE'!$D$72:$D$91)=0,0,'TO HOP NLAN'!F29*'TS-PILE'!$D$80/SUMSQ('TS-PILE'!$D$72:$D$91))),IF('TS-PILE'!$B$81="",-1E+99,'TO HOP NLAN'!D29/ncoc+IF(SUMSQ('TS-PILE'!$E$72:$E$91)=0,0,'TO HOP NLAN'!E29*'TS-PILE'!$E$81/SUMSQ('TS-PILE'!$E$72:$E$91))+IF(SUMSQ('TS-PILE'!$D$72:$D$91)=0,0,'TO HOP NLAN'!F29*'TS-PILE'!$D$81/SUMSQ('TS-PILE'!$D$72:$D$91))),IF('TS-PILE'!$B$82="",-1E+99,'TO HOP NLAN'!D29/ncoc+IF(SUMSQ('TS-PILE'!$E$72:$E$91)=0,0,'TO HOP NLAN'!E29*'TS-PILE'!$E$82/SUMSQ('TS-PILE'!$E$72:$E$91))+IF(SUMSQ('TS-PILE'!$D$72:$D$91)=0,0,'TO HOP NLAN'!F29*'TS-PILE'!$D$82/SUMSQ('TS-PILE'!$D$72:$D$91))),IF('TS-PILE'!$B$83="",-1E+99,'TO HOP NLAN'!D29/ncoc+IF(SUMSQ('TS-PILE'!$E$72:$E$91)=0,0,'TO HOP NLAN'!E29*'TS-PILE'!$E$83/SUMSQ('TS-PILE'!$E$72:$E$91))+IF(SUMSQ('TS-PILE'!$D$72:$D$91)=0,0,'TO HOP NLAN'!F29*'TS-PILE'!$D$83/SUMSQ('TS-PILE'!$D$72:$D$91))),IF('TS-PILE'!$B$84="",-1E+99,'TO HOP NLAN'!D29/ncoc+IF(SUMSQ('TS-PILE'!$E$72:$E$91)=0,0,'TO HOP NLAN'!E29*'TS-PILE'!$E$84/SUMSQ('TS-PILE'!$E$72:$E$91))+IF(SUMSQ('TS-PILE'!$D$72:$D$91)=0,0,'TO HOP NLAN'!F29*'TS-PILE'!$D$84/SUMSQ('TS-PILE'!$D$72:$D$91))),IF('TS-PILE'!$B$85="",-1E+99,'TO HOP NLAN'!D29/ncoc+IF(SUMSQ('TS-PILE'!$E$72:$E$91)=0,0,'TO HOP NLAN'!E29*'TS-PILE'!$E$85/SUMSQ('TS-PILE'!$E$72:$E$91))+IF(SUMSQ('TS-PILE'!$D$72:$D$91)=0,0,'TO HOP NLAN'!F29*'TS-PILE'!$D$85/SUMSQ('TS-PILE'!$D$72:$D$91))),IF('TS-PILE'!$B$86="",-1E+99,'TO HOP NLAN'!D29/ncoc+IF(SUMSQ('TS-PILE'!$E$72:$E$91)=0,0,'TO HOP NLAN'!E29*'TS-PILE'!$E$86/SUMSQ('TS-PILE'!$E$72:$E$91))+IF(SUMSQ('TS-PILE'!$D$72:$D$91)=0,0,'TO HOP NLAN'!F29*'TS-PILE'!$D$86/SUMSQ('TS-PILE'!$D$72:$D$91))),IF('TS-PILE'!$B$87="",-1E+99,'TO HOP NLAN'!D29/ncoc+IF(SUMSQ('TS-PILE'!$E$72:$E$91)=0,0,'TO HOP NLAN'!E29*'TS-PILE'!$E$87/SUMSQ('TS-PILE'!$E$72:$E$91))+IF(SUMSQ('TS-PILE'!$D$72:$D$91)=0,0,'TO HOP NLAN'!F29*'TS-PILE'!$D$87/SUMSQ('TS-PILE'!$D$72:$D$91))),IF('TS-PILE'!$B$88="",-1E+99,'TO HOP NLAN'!D29/ncoc+IF(SUMSQ('TS-PILE'!$E$72:$E$91)=0,0,'TO HOP NLAN'!E29*'TS-PILE'!$E$88/SUMSQ('TS-PILE'!$E$72:$E$91))+IF(SUMSQ('TS-PILE'!$D$72:$D$91)=0,0,'TO HOP NLAN'!F29*'TS-PILE'!$D$88/SUMSQ('TS-PILE'!$D$72:$D$91))),IF('TS-PILE'!$B$89="",-1E+99,'TO HOP NLAN'!D29/ncoc+IF(SUMSQ('TS-PILE'!$E$72:$E$91)=0,0,'TO HOP NLAN'!E29*'TS-PILE'!$E$89/SUMSQ('TS-PILE'!$E$72:$E$91))+IF(SUMSQ('TS-PILE'!$D$72:$D$91)=0,0,'TO HOP NLAN'!F29*'TS-PILE'!$D$89/SUMSQ('TS-PILE'!$D$72:$D$91))),IF('TS-PILE'!$B$90="",-1E+99,'TO HOP NLAN'!D29/ncoc+IF(SUMSQ('TS-PILE'!$E$72:$E$91)=0,0,'TO HOP NLAN'!E29*'TS-PILE'!$E$90/SUMSQ('TS-PILE'!$E$72:$E$91))+IF(SUMSQ('TS-PILE'!$D$72:$D$91)=0,0,'TO HOP NLAN'!F29*'TS-PILE'!$D$90/SUMSQ('TS-PILE'!$D$72:$D$91))),IF('TS-PILE'!$B$91="",-1E+99,'TO HOP NLAN'!D29/ncoc+IF(SUMSQ('TS-PILE'!$E$72:$E$91)=0,0,'TO HOP NLAN'!E29*'TS-PILE'!$E$91/SUMSQ('TS-PILE'!$E$72:$E$91))+IF(SUMSQ('TS-PILE'!$D$72:$D$91)=0,0,'TO HOP NLAN'!F29*'TS-PILE'!$D$91/SUMSQ('TS-PILE'!$D$72:$D$91)))))</f>
        <v>0</v>
      </c>
      <c r="D29" s="58">
        <f>IF(A29="",0,MIN(IF('TS-PILE'!$B$72="",1E+99,'TO HOP NLAN'!D29/ncoc+IF(SUMSQ('TS-PILE'!$E$72:$E$91)=0,0,'TO HOP NLAN'!E29*'TS-PILE'!$E$72/SUMSQ('TS-PILE'!$E$72:$E$91))+IF(SUMSQ('TS-PILE'!$D$72:$D$91)=0,0,'TO HOP NLAN'!F29*'TS-PILE'!$D$72/SUMSQ('TS-PILE'!$D$72:$D$91))),IF('TS-PILE'!$B$73="",1E+99,'TO HOP NLAN'!D29/ncoc+IF(SUMSQ('TS-PILE'!$E$72:$E$91)=0,0,'TO HOP NLAN'!E29*'TS-PILE'!$E$73/SUMSQ('TS-PILE'!$E$72:$E$91))+IF(SUMSQ('TS-PILE'!$D$72:$D$91)=0,0,'TO HOP NLAN'!F29*'TS-PILE'!$D$73/SUMSQ('TS-PILE'!$D$72:$D$91))),IF('TS-PILE'!$B$74="",1E+99,'TO HOP NLAN'!D29/ncoc+IF(SUMSQ('TS-PILE'!$E$72:$E$91)=0,0,'TO HOP NLAN'!E29*'TS-PILE'!$E$74/SUMSQ('TS-PILE'!$E$72:$E$91))+IF(SUMSQ('TS-PILE'!$D$72:$D$91)=0,0,'TO HOP NLAN'!F29*'TS-PILE'!$D$74/SUMSQ('TS-PILE'!$D$72:$D$91))),IF('TS-PILE'!$B$75="",1E+99,'TO HOP NLAN'!D29/ncoc+IF(SUMSQ('TS-PILE'!$E$72:$E$91)=0,0,'TO HOP NLAN'!E29*'TS-PILE'!$E$75/SUMSQ('TS-PILE'!$E$72:$E$91))+IF(SUMSQ('TS-PILE'!$D$72:$D$91)=0,0,'TO HOP NLAN'!F29*'TS-PILE'!$D$75/SUMSQ('TS-PILE'!$D$72:$D$91))),IF('TS-PILE'!$B$76="",1E+99,'TO HOP NLAN'!D29/ncoc+IF(SUMSQ('TS-PILE'!$E$72:$E$91)=0,0,'TO HOP NLAN'!E29*'TS-PILE'!$E$76/SUMSQ('TS-PILE'!$E$72:$E$91))+IF(SUMSQ('TS-PILE'!$D$72:$D$91)=0,0,'TO HOP NLAN'!F29*'TS-PILE'!$D$76/SUMSQ('TS-PILE'!$D$72:$D$91))),IF('TS-PILE'!$B$77="",1E+99,'TO HOP NLAN'!D29/ncoc+IF(SUMSQ('TS-PILE'!$E$72:$E$91)=0,0,'TO HOP NLAN'!E29*'TS-PILE'!$E$77/SUMSQ('TS-PILE'!$E$72:$E$91))+IF(SUMSQ('TS-PILE'!$D$72:$D$91)=0,0,'TO HOP NLAN'!F29*'TS-PILE'!$D$77/SUMSQ('TS-PILE'!$D$72:$D$91))),IF('TS-PILE'!$B$78="",1E+99,'TO HOP NLAN'!D29/ncoc+IF(SUMSQ('TS-PILE'!$E$72:$E$91)=0,0,'TO HOP NLAN'!E29*'TS-PILE'!$E$78/SUMSQ('TS-PILE'!$E$72:$E$91))+IF(SUMSQ('TS-PILE'!$D$72:$D$91)=0,0,'TO HOP NLAN'!F29*'TS-PILE'!$D$78/SUMSQ('TS-PILE'!$D$72:$D$91))),IF('TS-PILE'!$B$79="",1E+99,'TO HOP NLAN'!D29/ncoc+IF(SUMSQ('TS-PILE'!$E$72:$E$91)=0,0,'TO HOP NLAN'!E29*'TS-PILE'!$E$79/SUMSQ('TS-PILE'!$E$72:$E$91))+IF(SUMSQ('TS-PILE'!$D$72:$D$91)=0,0,'TO HOP NLAN'!F29*'TS-PILE'!$D$79/SUMSQ('TS-PILE'!$D$72:$D$91))),IF('TS-PILE'!$B$80="",1E+99,'TO HOP NLAN'!D29/ncoc+IF(SUMSQ('TS-PILE'!$E$72:$E$91)=0,0,'TO HOP NLAN'!E29*'TS-PILE'!$E$80/SUMSQ('TS-PILE'!$E$72:$E$91))+IF(SUMSQ('TS-PILE'!$D$72:$D$91)=0,0,'TO HOP NLAN'!F29*'TS-PILE'!$D$80/SUMSQ('TS-PILE'!$D$72:$D$91))),IF('TS-PILE'!$B$81="",1E+99,'TO HOP NLAN'!D29/ncoc+IF(SUMSQ('TS-PILE'!$E$72:$E$91)=0,0,'TO HOP NLAN'!E29*'TS-PILE'!$E$81/SUMSQ('TS-PILE'!$E$72:$E$91))+IF(SUMSQ('TS-PILE'!$D$72:$D$91)=0,0,'TO HOP NLAN'!F29*'TS-PILE'!$D$81/SUMSQ('TS-PILE'!$D$72:$D$91))),IF('TS-PILE'!$B$82="",1E+99,'TO HOP NLAN'!D29/ncoc+IF(SUMSQ('TS-PILE'!$E$72:$E$91)=0,0,'TO HOP NLAN'!E29*'TS-PILE'!$E$82/SUMSQ('TS-PILE'!$E$72:$E$91))+IF(SUMSQ('TS-PILE'!$D$72:$D$91)=0,0,'TO HOP NLAN'!F29*'TS-PILE'!$D$82/SUMSQ('TS-PILE'!$D$72:$D$91))),IF('TS-PILE'!$B$83="",1E+99,'TO HOP NLAN'!D29/ncoc+IF(SUMSQ('TS-PILE'!$E$72:$E$91)=0,0,'TO HOP NLAN'!E29*'TS-PILE'!$E$83/SUMSQ('TS-PILE'!$E$72:$E$91))+IF(SUMSQ('TS-PILE'!$D$72:$D$91)=0,0,'TO HOP NLAN'!F29*'TS-PILE'!$D$83/SUMSQ('TS-PILE'!$D$72:$D$91))),IF('TS-PILE'!$B$84="",1E+99,'TO HOP NLAN'!D29/ncoc+IF(SUMSQ('TS-PILE'!$E$72:$E$91)=0,0,'TO HOP NLAN'!E29*'TS-PILE'!$E$84/SUMSQ('TS-PILE'!$E$72:$E$91))+IF(SUMSQ('TS-PILE'!$D$72:$D$91)=0,0,'TO HOP NLAN'!F29*'TS-PILE'!$D$84/SUMSQ('TS-PILE'!$D$72:$D$91))),IF('TS-PILE'!$B$85="",1E+99,'TO HOP NLAN'!D29/ncoc+IF(SUMSQ('TS-PILE'!$E$72:$E$91)=0,0,'TO HOP NLAN'!E29*'TS-PILE'!$E$85/SUMSQ('TS-PILE'!$E$72:$E$91))+IF(SUMSQ('TS-PILE'!$D$72:$D$91)=0,0,'TO HOP NLAN'!F29*'TS-PILE'!$D$85/SUMSQ('TS-PILE'!$D$72:$D$91))),IF('TS-PILE'!$B$86="",1E+99,'TO HOP NLAN'!D29/ncoc+IF(SUMSQ('TS-PILE'!$E$72:$E$91)=0,0,'TO HOP NLAN'!E29*'TS-PILE'!$E$86/SUMSQ('TS-PILE'!$E$72:$E$91))+IF(SUMSQ('TS-PILE'!$D$72:$D$91)=0,0,'TO HOP NLAN'!F29*'TS-PILE'!$D$86/SUMSQ('TS-PILE'!$D$72:$D$91))),IF('TS-PILE'!$B$87="",1E+99,'TO HOP NLAN'!D29/ncoc+IF(SUMSQ('TS-PILE'!$E$72:$E$91)=0,0,'TO HOP NLAN'!E29*'TS-PILE'!$E$87/SUMSQ('TS-PILE'!$E$72:$E$91))+IF(SUMSQ('TS-PILE'!$D$72:$D$91)=0,0,'TO HOP NLAN'!F29*'TS-PILE'!$D$87/SUMSQ('TS-PILE'!$D$72:$D$91))),IF('TS-PILE'!$B$88="",1E+99,'TO HOP NLAN'!D29/ncoc+IF(SUMSQ('TS-PILE'!$E$72:$E$91)=0,0,'TO HOP NLAN'!E29*'TS-PILE'!$E$88/SUMSQ('TS-PILE'!$E$72:$E$91))+IF(SUMSQ('TS-PILE'!$D$72:$D$91)=0,0,'TO HOP NLAN'!F29*'TS-PILE'!$D$88/SUMSQ('TS-PILE'!$D$72:$D$91))),IF('TS-PILE'!$B$89="",1E+99,'TO HOP NLAN'!D29/ncoc+IF(SUMSQ('TS-PILE'!$E$72:$E$91)=0,0,'TO HOP NLAN'!E29*'TS-PILE'!$E$89/SUMSQ('TS-PILE'!$E$72:$E$91))+IF(SUMSQ('TS-PILE'!$D$72:$D$91)=0,0,'TO HOP NLAN'!F29*'TS-PILE'!$D$89/SUMSQ('TS-PILE'!$D$72:$D$91))),IF('TS-PILE'!$B$90="",1E+99,'TO HOP NLAN'!D29/ncoc+IF(SUMSQ('TS-PILE'!$E$72:$E$91)=0,0,'TO HOP NLAN'!E29*'TS-PILE'!$E$90/SUMSQ('TS-PILE'!$E$72:$E$91))+IF(SUMSQ('TS-PILE'!$D$72:$D$91)=0,0,'TO HOP NLAN'!F29*'TS-PILE'!$D$90/SUMSQ('TS-PILE'!$D$72:$D$91))),IF('TS-PILE'!$B$91="",1E+99,'TO HOP NLAN'!D29/ncoc+IF(SUMSQ('TS-PILE'!$E$72:$E$91)=0,0,'TO HOP NLAN'!E29*'TS-PILE'!$E$91/SUMSQ('TS-PILE'!$E$72:$E$91))+IF(SUMSQ('TS-PILE'!$D$72:$D$91)=0,0,'TO HOP NLAN'!F29*'TS-PILE'!$D$91/SUMSQ('TS-PILE'!$D$72:$D$91)))))</f>
        <v>0</v>
      </c>
      <c r="E29" s="58">
        <f t="shared" si="0"/>
        <v>-9.9999999999999997E+98</v>
      </c>
      <c r="F29" s="58">
        <f t="shared" si="1"/>
        <v>9.9999999999999997E+98</v>
      </c>
      <c r="G29" s="58">
        <f t="shared" si="2"/>
        <v>-9.9999999999999997E+98</v>
      </c>
      <c r="H29" s="58">
        <f t="shared" si="3"/>
        <v>9.9999999999999997E+98</v>
      </c>
    </row>
    <row r="30" spans="1:8" x14ac:dyDescent="0.3">
      <c r="A30" s="42" t="str">
        <f>'TO HOP NLAN'!A30</f>
        <v/>
      </c>
      <c r="B30" s="42" t="str">
        <f>'TO HOP NLAN'!L30</f>
        <v>SERVICE</v>
      </c>
      <c r="C30" s="58">
        <f>IF(A30="",0,MAX(IF('TS-PILE'!$B$72="",-1E+99,'TO HOP NLAN'!D30/ncoc+IF(SUMSQ('TS-PILE'!$E$72:$E$91)=0,0,'TO HOP NLAN'!E30*'TS-PILE'!$E$72/SUMSQ('TS-PILE'!$E$72:$E$91))+IF(SUMSQ('TS-PILE'!$D$72:$D$91)=0,0,'TO HOP NLAN'!F30*'TS-PILE'!$D$72/SUMSQ('TS-PILE'!$D$72:$D$91))),IF('TS-PILE'!$B$73="",-1E+99,'TO HOP NLAN'!D30/ncoc+IF(SUMSQ('TS-PILE'!$E$72:$E$91)=0,0,'TO HOP NLAN'!E30*'TS-PILE'!$E$73/SUMSQ('TS-PILE'!$E$72:$E$91))+IF(SUMSQ('TS-PILE'!$D$72:$D$91)=0,0,'TO HOP NLAN'!F30*'TS-PILE'!$D$73/SUMSQ('TS-PILE'!$D$72:$D$91))),IF('TS-PILE'!$B$74="",-1E+99,'TO HOP NLAN'!D30/ncoc+IF(SUMSQ('TS-PILE'!$E$72:$E$91)=0,0,'TO HOP NLAN'!E30*'TS-PILE'!$E$74/SUMSQ('TS-PILE'!$E$72:$E$91))+IF(SUMSQ('TS-PILE'!$D$72:$D$91)=0,0,'TO HOP NLAN'!F30*'TS-PILE'!$D$74/SUMSQ('TS-PILE'!$D$72:$D$91))),IF('TS-PILE'!$B$75="",-1E+99,'TO HOP NLAN'!D30/ncoc+IF(SUMSQ('TS-PILE'!$E$72:$E$91)=0,0,'TO HOP NLAN'!E30*'TS-PILE'!$E$75/SUMSQ('TS-PILE'!$E$72:$E$91))+IF(SUMSQ('TS-PILE'!$D$72:$D$91)=0,0,'TO HOP NLAN'!F30*'TS-PILE'!$D$75/SUMSQ('TS-PILE'!$D$72:$D$91))),IF('TS-PILE'!$B$76="",-1E+99,'TO HOP NLAN'!D30/ncoc+IF(SUMSQ('TS-PILE'!$E$72:$E$91)=0,0,'TO HOP NLAN'!E30*'TS-PILE'!$E$76/SUMSQ('TS-PILE'!$E$72:$E$91))+IF(SUMSQ('TS-PILE'!$D$72:$D$91)=0,0,'TO HOP NLAN'!F30*'TS-PILE'!$D$76/SUMSQ('TS-PILE'!$D$72:$D$91))),IF('TS-PILE'!$B$77="",-1E+99,'TO HOP NLAN'!D30/ncoc+IF(SUMSQ('TS-PILE'!$E$72:$E$91)=0,0,'TO HOP NLAN'!E30*'TS-PILE'!$E$77/SUMSQ('TS-PILE'!$E$72:$E$91))+IF(SUMSQ('TS-PILE'!$D$72:$D$91)=0,0,'TO HOP NLAN'!F30*'TS-PILE'!$D$77/SUMSQ('TS-PILE'!$D$72:$D$91))),IF('TS-PILE'!$B$78="",-1E+99,'TO HOP NLAN'!D30/ncoc+IF(SUMSQ('TS-PILE'!$E$72:$E$91)=0,0,'TO HOP NLAN'!E30*'TS-PILE'!$E$78/SUMSQ('TS-PILE'!$E$72:$E$91))+IF(SUMSQ('TS-PILE'!$D$72:$D$91)=0,0,'TO HOP NLAN'!F30*'TS-PILE'!$D$78/SUMSQ('TS-PILE'!$D$72:$D$91))),IF('TS-PILE'!$B$79="",-1E+99,'TO HOP NLAN'!D30/ncoc+IF(SUMSQ('TS-PILE'!$E$72:$E$91)=0,0,'TO HOP NLAN'!E30*'TS-PILE'!$E$79/SUMSQ('TS-PILE'!$E$72:$E$91))+IF(SUMSQ('TS-PILE'!$D$72:$D$91)=0,0,'TO HOP NLAN'!F30*'TS-PILE'!$D$79/SUMSQ('TS-PILE'!$D$72:$D$91))),IF('TS-PILE'!$B$80="",-1E+99,'TO HOP NLAN'!D30/ncoc+IF(SUMSQ('TS-PILE'!$E$72:$E$91)=0,0,'TO HOP NLAN'!E30*'TS-PILE'!$E$80/SUMSQ('TS-PILE'!$E$72:$E$91))+IF(SUMSQ('TS-PILE'!$D$72:$D$91)=0,0,'TO HOP NLAN'!F30*'TS-PILE'!$D$80/SUMSQ('TS-PILE'!$D$72:$D$91))),IF('TS-PILE'!$B$81="",-1E+99,'TO HOP NLAN'!D30/ncoc+IF(SUMSQ('TS-PILE'!$E$72:$E$91)=0,0,'TO HOP NLAN'!E30*'TS-PILE'!$E$81/SUMSQ('TS-PILE'!$E$72:$E$91))+IF(SUMSQ('TS-PILE'!$D$72:$D$91)=0,0,'TO HOP NLAN'!F30*'TS-PILE'!$D$81/SUMSQ('TS-PILE'!$D$72:$D$91))),IF('TS-PILE'!$B$82="",-1E+99,'TO HOP NLAN'!D30/ncoc+IF(SUMSQ('TS-PILE'!$E$72:$E$91)=0,0,'TO HOP NLAN'!E30*'TS-PILE'!$E$82/SUMSQ('TS-PILE'!$E$72:$E$91))+IF(SUMSQ('TS-PILE'!$D$72:$D$91)=0,0,'TO HOP NLAN'!F30*'TS-PILE'!$D$82/SUMSQ('TS-PILE'!$D$72:$D$91))),IF('TS-PILE'!$B$83="",-1E+99,'TO HOP NLAN'!D30/ncoc+IF(SUMSQ('TS-PILE'!$E$72:$E$91)=0,0,'TO HOP NLAN'!E30*'TS-PILE'!$E$83/SUMSQ('TS-PILE'!$E$72:$E$91))+IF(SUMSQ('TS-PILE'!$D$72:$D$91)=0,0,'TO HOP NLAN'!F30*'TS-PILE'!$D$83/SUMSQ('TS-PILE'!$D$72:$D$91))),IF('TS-PILE'!$B$84="",-1E+99,'TO HOP NLAN'!D30/ncoc+IF(SUMSQ('TS-PILE'!$E$72:$E$91)=0,0,'TO HOP NLAN'!E30*'TS-PILE'!$E$84/SUMSQ('TS-PILE'!$E$72:$E$91))+IF(SUMSQ('TS-PILE'!$D$72:$D$91)=0,0,'TO HOP NLAN'!F30*'TS-PILE'!$D$84/SUMSQ('TS-PILE'!$D$72:$D$91))),IF('TS-PILE'!$B$85="",-1E+99,'TO HOP NLAN'!D30/ncoc+IF(SUMSQ('TS-PILE'!$E$72:$E$91)=0,0,'TO HOP NLAN'!E30*'TS-PILE'!$E$85/SUMSQ('TS-PILE'!$E$72:$E$91))+IF(SUMSQ('TS-PILE'!$D$72:$D$91)=0,0,'TO HOP NLAN'!F30*'TS-PILE'!$D$85/SUMSQ('TS-PILE'!$D$72:$D$91))),IF('TS-PILE'!$B$86="",-1E+99,'TO HOP NLAN'!D30/ncoc+IF(SUMSQ('TS-PILE'!$E$72:$E$91)=0,0,'TO HOP NLAN'!E30*'TS-PILE'!$E$86/SUMSQ('TS-PILE'!$E$72:$E$91))+IF(SUMSQ('TS-PILE'!$D$72:$D$91)=0,0,'TO HOP NLAN'!F30*'TS-PILE'!$D$86/SUMSQ('TS-PILE'!$D$72:$D$91))),IF('TS-PILE'!$B$87="",-1E+99,'TO HOP NLAN'!D30/ncoc+IF(SUMSQ('TS-PILE'!$E$72:$E$91)=0,0,'TO HOP NLAN'!E30*'TS-PILE'!$E$87/SUMSQ('TS-PILE'!$E$72:$E$91))+IF(SUMSQ('TS-PILE'!$D$72:$D$91)=0,0,'TO HOP NLAN'!F30*'TS-PILE'!$D$87/SUMSQ('TS-PILE'!$D$72:$D$91))),IF('TS-PILE'!$B$88="",-1E+99,'TO HOP NLAN'!D30/ncoc+IF(SUMSQ('TS-PILE'!$E$72:$E$91)=0,0,'TO HOP NLAN'!E30*'TS-PILE'!$E$88/SUMSQ('TS-PILE'!$E$72:$E$91))+IF(SUMSQ('TS-PILE'!$D$72:$D$91)=0,0,'TO HOP NLAN'!F30*'TS-PILE'!$D$88/SUMSQ('TS-PILE'!$D$72:$D$91))),IF('TS-PILE'!$B$89="",-1E+99,'TO HOP NLAN'!D30/ncoc+IF(SUMSQ('TS-PILE'!$E$72:$E$91)=0,0,'TO HOP NLAN'!E30*'TS-PILE'!$E$89/SUMSQ('TS-PILE'!$E$72:$E$91))+IF(SUMSQ('TS-PILE'!$D$72:$D$91)=0,0,'TO HOP NLAN'!F30*'TS-PILE'!$D$89/SUMSQ('TS-PILE'!$D$72:$D$91))),IF('TS-PILE'!$B$90="",-1E+99,'TO HOP NLAN'!D30/ncoc+IF(SUMSQ('TS-PILE'!$E$72:$E$91)=0,0,'TO HOP NLAN'!E30*'TS-PILE'!$E$90/SUMSQ('TS-PILE'!$E$72:$E$91))+IF(SUMSQ('TS-PILE'!$D$72:$D$91)=0,0,'TO HOP NLAN'!F30*'TS-PILE'!$D$90/SUMSQ('TS-PILE'!$D$72:$D$91))),IF('TS-PILE'!$B$91="",-1E+99,'TO HOP NLAN'!D30/ncoc+IF(SUMSQ('TS-PILE'!$E$72:$E$91)=0,0,'TO HOP NLAN'!E30*'TS-PILE'!$E$91/SUMSQ('TS-PILE'!$E$72:$E$91))+IF(SUMSQ('TS-PILE'!$D$72:$D$91)=0,0,'TO HOP NLAN'!F30*'TS-PILE'!$D$91/SUMSQ('TS-PILE'!$D$72:$D$91)))))</f>
        <v>0</v>
      </c>
      <c r="D30" s="58">
        <f>IF(A30="",0,MIN(IF('TS-PILE'!$B$72="",1E+99,'TO HOP NLAN'!D30/ncoc+IF(SUMSQ('TS-PILE'!$E$72:$E$91)=0,0,'TO HOP NLAN'!E30*'TS-PILE'!$E$72/SUMSQ('TS-PILE'!$E$72:$E$91))+IF(SUMSQ('TS-PILE'!$D$72:$D$91)=0,0,'TO HOP NLAN'!F30*'TS-PILE'!$D$72/SUMSQ('TS-PILE'!$D$72:$D$91))),IF('TS-PILE'!$B$73="",1E+99,'TO HOP NLAN'!D30/ncoc+IF(SUMSQ('TS-PILE'!$E$72:$E$91)=0,0,'TO HOP NLAN'!E30*'TS-PILE'!$E$73/SUMSQ('TS-PILE'!$E$72:$E$91))+IF(SUMSQ('TS-PILE'!$D$72:$D$91)=0,0,'TO HOP NLAN'!F30*'TS-PILE'!$D$73/SUMSQ('TS-PILE'!$D$72:$D$91))),IF('TS-PILE'!$B$74="",1E+99,'TO HOP NLAN'!D30/ncoc+IF(SUMSQ('TS-PILE'!$E$72:$E$91)=0,0,'TO HOP NLAN'!E30*'TS-PILE'!$E$74/SUMSQ('TS-PILE'!$E$72:$E$91))+IF(SUMSQ('TS-PILE'!$D$72:$D$91)=0,0,'TO HOP NLAN'!F30*'TS-PILE'!$D$74/SUMSQ('TS-PILE'!$D$72:$D$91))),IF('TS-PILE'!$B$75="",1E+99,'TO HOP NLAN'!D30/ncoc+IF(SUMSQ('TS-PILE'!$E$72:$E$91)=0,0,'TO HOP NLAN'!E30*'TS-PILE'!$E$75/SUMSQ('TS-PILE'!$E$72:$E$91))+IF(SUMSQ('TS-PILE'!$D$72:$D$91)=0,0,'TO HOP NLAN'!F30*'TS-PILE'!$D$75/SUMSQ('TS-PILE'!$D$72:$D$91))),IF('TS-PILE'!$B$76="",1E+99,'TO HOP NLAN'!D30/ncoc+IF(SUMSQ('TS-PILE'!$E$72:$E$91)=0,0,'TO HOP NLAN'!E30*'TS-PILE'!$E$76/SUMSQ('TS-PILE'!$E$72:$E$91))+IF(SUMSQ('TS-PILE'!$D$72:$D$91)=0,0,'TO HOP NLAN'!F30*'TS-PILE'!$D$76/SUMSQ('TS-PILE'!$D$72:$D$91))),IF('TS-PILE'!$B$77="",1E+99,'TO HOP NLAN'!D30/ncoc+IF(SUMSQ('TS-PILE'!$E$72:$E$91)=0,0,'TO HOP NLAN'!E30*'TS-PILE'!$E$77/SUMSQ('TS-PILE'!$E$72:$E$91))+IF(SUMSQ('TS-PILE'!$D$72:$D$91)=0,0,'TO HOP NLAN'!F30*'TS-PILE'!$D$77/SUMSQ('TS-PILE'!$D$72:$D$91))),IF('TS-PILE'!$B$78="",1E+99,'TO HOP NLAN'!D30/ncoc+IF(SUMSQ('TS-PILE'!$E$72:$E$91)=0,0,'TO HOP NLAN'!E30*'TS-PILE'!$E$78/SUMSQ('TS-PILE'!$E$72:$E$91))+IF(SUMSQ('TS-PILE'!$D$72:$D$91)=0,0,'TO HOP NLAN'!F30*'TS-PILE'!$D$78/SUMSQ('TS-PILE'!$D$72:$D$91))),IF('TS-PILE'!$B$79="",1E+99,'TO HOP NLAN'!D30/ncoc+IF(SUMSQ('TS-PILE'!$E$72:$E$91)=0,0,'TO HOP NLAN'!E30*'TS-PILE'!$E$79/SUMSQ('TS-PILE'!$E$72:$E$91))+IF(SUMSQ('TS-PILE'!$D$72:$D$91)=0,0,'TO HOP NLAN'!F30*'TS-PILE'!$D$79/SUMSQ('TS-PILE'!$D$72:$D$91))),IF('TS-PILE'!$B$80="",1E+99,'TO HOP NLAN'!D30/ncoc+IF(SUMSQ('TS-PILE'!$E$72:$E$91)=0,0,'TO HOP NLAN'!E30*'TS-PILE'!$E$80/SUMSQ('TS-PILE'!$E$72:$E$91))+IF(SUMSQ('TS-PILE'!$D$72:$D$91)=0,0,'TO HOP NLAN'!F30*'TS-PILE'!$D$80/SUMSQ('TS-PILE'!$D$72:$D$91))),IF('TS-PILE'!$B$81="",1E+99,'TO HOP NLAN'!D30/ncoc+IF(SUMSQ('TS-PILE'!$E$72:$E$91)=0,0,'TO HOP NLAN'!E30*'TS-PILE'!$E$81/SUMSQ('TS-PILE'!$E$72:$E$91))+IF(SUMSQ('TS-PILE'!$D$72:$D$91)=0,0,'TO HOP NLAN'!F30*'TS-PILE'!$D$81/SUMSQ('TS-PILE'!$D$72:$D$91))),IF('TS-PILE'!$B$82="",1E+99,'TO HOP NLAN'!D30/ncoc+IF(SUMSQ('TS-PILE'!$E$72:$E$91)=0,0,'TO HOP NLAN'!E30*'TS-PILE'!$E$82/SUMSQ('TS-PILE'!$E$72:$E$91))+IF(SUMSQ('TS-PILE'!$D$72:$D$91)=0,0,'TO HOP NLAN'!F30*'TS-PILE'!$D$82/SUMSQ('TS-PILE'!$D$72:$D$91))),IF('TS-PILE'!$B$83="",1E+99,'TO HOP NLAN'!D30/ncoc+IF(SUMSQ('TS-PILE'!$E$72:$E$91)=0,0,'TO HOP NLAN'!E30*'TS-PILE'!$E$83/SUMSQ('TS-PILE'!$E$72:$E$91))+IF(SUMSQ('TS-PILE'!$D$72:$D$91)=0,0,'TO HOP NLAN'!F30*'TS-PILE'!$D$83/SUMSQ('TS-PILE'!$D$72:$D$91))),IF('TS-PILE'!$B$84="",1E+99,'TO HOP NLAN'!D30/ncoc+IF(SUMSQ('TS-PILE'!$E$72:$E$91)=0,0,'TO HOP NLAN'!E30*'TS-PILE'!$E$84/SUMSQ('TS-PILE'!$E$72:$E$91))+IF(SUMSQ('TS-PILE'!$D$72:$D$91)=0,0,'TO HOP NLAN'!F30*'TS-PILE'!$D$84/SUMSQ('TS-PILE'!$D$72:$D$91))),IF('TS-PILE'!$B$85="",1E+99,'TO HOP NLAN'!D30/ncoc+IF(SUMSQ('TS-PILE'!$E$72:$E$91)=0,0,'TO HOP NLAN'!E30*'TS-PILE'!$E$85/SUMSQ('TS-PILE'!$E$72:$E$91))+IF(SUMSQ('TS-PILE'!$D$72:$D$91)=0,0,'TO HOP NLAN'!F30*'TS-PILE'!$D$85/SUMSQ('TS-PILE'!$D$72:$D$91))),IF('TS-PILE'!$B$86="",1E+99,'TO HOP NLAN'!D30/ncoc+IF(SUMSQ('TS-PILE'!$E$72:$E$91)=0,0,'TO HOP NLAN'!E30*'TS-PILE'!$E$86/SUMSQ('TS-PILE'!$E$72:$E$91))+IF(SUMSQ('TS-PILE'!$D$72:$D$91)=0,0,'TO HOP NLAN'!F30*'TS-PILE'!$D$86/SUMSQ('TS-PILE'!$D$72:$D$91))),IF('TS-PILE'!$B$87="",1E+99,'TO HOP NLAN'!D30/ncoc+IF(SUMSQ('TS-PILE'!$E$72:$E$91)=0,0,'TO HOP NLAN'!E30*'TS-PILE'!$E$87/SUMSQ('TS-PILE'!$E$72:$E$91))+IF(SUMSQ('TS-PILE'!$D$72:$D$91)=0,0,'TO HOP NLAN'!F30*'TS-PILE'!$D$87/SUMSQ('TS-PILE'!$D$72:$D$91))),IF('TS-PILE'!$B$88="",1E+99,'TO HOP NLAN'!D30/ncoc+IF(SUMSQ('TS-PILE'!$E$72:$E$91)=0,0,'TO HOP NLAN'!E30*'TS-PILE'!$E$88/SUMSQ('TS-PILE'!$E$72:$E$91))+IF(SUMSQ('TS-PILE'!$D$72:$D$91)=0,0,'TO HOP NLAN'!F30*'TS-PILE'!$D$88/SUMSQ('TS-PILE'!$D$72:$D$91))),IF('TS-PILE'!$B$89="",1E+99,'TO HOP NLAN'!D30/ncoc+IF(SUMSQ('TS-PILE'!$E$72:$E$91)=0,0,'TO HOP NLAN'!E30*'TS-PILE'!$E$89/SUMSQ('TS-PILE'!$E$72:$E$91))+IF(SUMSQ('TS-PILE'!$D$72:$D$91)=0,0,'TO HOP NLAN'!F30*'TS-PILE'!$D$89/SUMSQ('TS-PILE'!$D$72:$D$91))),IF('TS-PILE'!$B$90="",1E+99,'TO HOP NLAN'!D30/ncoc+IF(SUMSQ('TS-PILE'!$E$72:$E$91)=0,0,'TO HOP NLAN'!E30*'TS-PILE'!$E$90/SUMSQ('TS-PILE'!$E$72:$E$91))+IF(SUMSQ('TS-PILE'!$D$72:$D$91)=0,0,'TO HOP NLAN'!F30*'TS-PILE'!$D$90/SUMSQ('TS-PILE'!$D$72:$D$91))),IF('TS-PILE'!$B$91="",1E+99,'TO HOP NLAN'!D30/ncoc+IF(SUMSQ('TS-PILE'!$E$72:$E$91)=0,0,'TO HOP NLAN'!E30*'TS-PILE'!$E$91/SUMSQ('TS-PILE'!$E$72:$E$91))+IF(SUMSQ('TS-PILE'!$D$72:$D$91)=0,0,'TO HOP NLAN'!F30*'TS-PILE'!$D$91/SUMSQ('TS-PILE'!$D$72:$D$91)))))</f>
        <v>0</v>
      </c>
      <c r="E30" s="58">
        <f t="shared" si="0"/>
        <v>-9.9999999999999997E+98</v>
      </c>
      <c r="F30" s="58">
        <f t="shared" si="1"/>
        <v>9.9999999999999997E+98</v>
      </c>
      <c r="G30" s="58">
        <f t="shared" si="2"/>
        <v>-9.9999999999999997E+98</v>
      </c>
      <c r="H30" s="58">
        <f t="shared" si="3"/>
        <v>9.9999999999999997E+98</v>
      </c>
    </row>
    <row r="31" spans="1:8" x14ac:dyDescent="0.3">
      <c r="A31" s="42" t="str">
        <f>'TO HOP NLAN'!A31</f>
        <v/>
      </c>
      <c r="B31" s="42" t="str">
        <f>'TO HOP NLAN'!L31</f>
        <v>SERVICE</v>
      </c>
      <c r="C31" s="58">
        <f>IF(A31="",0,MAX(IF('TS-PILE'!$B$72="",-1E+99,'TO HOP NLAN'!D31/ncoc+IF(SUMSQ('TS-PILE'!$E$72:$E$91)=0,0,'TO HOP NLAN'!E31*'TS-PILE'!$E$72/SUMSQ('TS-PILE'!$E$72:$E$91))+IF(SUMSQ('TS-PILE'!$D$72:$D$91)=0,0,'TO HOP NLAN'!F31*'TS-PILE'!$D$72/SUMSQ('TS-PILE'!$D$72:$D$91))),IF('TS-PILE'!$B$73="",-1E+99,'TO HOP NLAN'!D31/ncoc+IF(SUMSQ('TS-PILE'!$E$72:$E$91)=0,0,'TO HOP NLAN'!E31*'TS-PILE'!$E$73/SUMSQ('TS-PILE'!$E$72:$E$91))+IF(SUMSQ('TS-PILE'!$D$72:$D$91)=0,0,'TO HOP NLAN'!F31*'TS-PILE'!$D$73/SUMSQ('TS-PILE'!$D$72:$D$91))),IF('TS-PILE'!$B$74="",-1E+99,'TO HOP NLAN'!D31/ncoc+IF(SUMSQ('TS-PILE'!$E$72:$E$91)=0,0,'TO HOP NLAN'!E31*'TS-PILE'!$E$74/SUMSQ('TS-PILE'!$E$72:$E$91))+IF(SUMSQ('TS-PILE'!$D$72:$D$91)=0,0,'TO HOP NLAN'!F31*'TS-PILE'!$D$74/SUMSQ('TS-PILE'!$D$72:$D$91))),IF('TS-PILE'!$B$75="",-1E+99,'TO HOP NLAN'!D31/ncoc+IF(SUMSQ('TS-PILE'!$E$72:$E$91)=0,0,'TO HOP NLAN'!E31*'TS-PILE'!$E$75/SUMSQ('TS-PILE'!$E$72:$E$91))+IF(SUMSQ('TS-PILE'!$D$72:$D$91)=0,0,'TO HOP NLAN'!F31*'TS-PILE'!$D$75/SUMSQ('TS-PILE'!$D$72:$D$91))),IF('TS-PILE'!$B$76="",-1E+99,'TO HOP NLAN'!D31/ncoc+IF(SUMSQ('TS-PILE'!$E$72:$E$91)=0,0,'TO HOP NLAN'!E31*'TS-PILE'!$E$76/SUMSQ('TS-PILE'!$E$72:$E$91))+IF(SUMSQ('TS-PILE'!$D$72:$D$91)=0,0,'TO HOP NLAN'!F31*'TS-PILE'!$D$76/SUMSQ('TS-PILE'!$D$72:$D$91))),IF('TS-PILE'!$B$77="",-1E+99,'TO HOP NLAN'!D31/ncoc+IF(SUMSQ('TS-PILE'!$E$72:$E$91)=0,0,'TO HOP NLAN'!E31*'TS-PILE'!$E$77/SUMSQ('TS-PILE'!$E$72:$E$91))+IF(SUMSQ('TS-PILE'!$D$72:$D$91)=0,0,'TO HOP NLAN'!F31*'TS-PILE'!$D$77/SUMSQ('TS-PILE'!$D$72:$D$91))),IF('TS-PILE'!$B$78="",-1E+99,'TO HOP NLAN'!D31/ncoc+IF(SUMSQ('TS-PILE'!$E$72:$E$91)=0,0,'TO HOP NLAN'!E31*'TS-PILE'!$E$78/SUMSQ('TS-PILE'!$E$72:$E$91))+IF(SUMSQ('TS-PILE'!$D$72:$D$91)=0,0,'TO HOP NLAN'!F31*'TS-PILE'!$D$78/SUMSQ('TS-PILE'!$D$72:$D$91))),IF('TS-PILE'!$B$79="",-1E+99,'TO HOP NLAN'!D31/ncoc+IF(SUMSQ('TS-PILE'!$E$72:$E$91)=0,0,'TO HOP NLAN'!E31*'TS-PILE'!$E$79/SUMSQ('TS-PILE'!$E$72:$E$91))+IF(SUMSQ('TS-PILE'!$D$72:$D$91)=0,0,'TO HOP NLAN'!F31*'TS-PILE'!$D$79/SUMSQ('TS-PILE'!$D$72:$D$91))),IF('TS-PILE'!$B$80="",-1E+99,'TO HOP NLAN'!D31/ncoc+IF(SUMSQ('TS-PILE'!$E$72:$E$91)=0,0,'TO HOP NLAN'!E31*'TS-PILE'!$E$80/SUMSQ('TS-PILE'!$E$72:$E$91))+IF(SUMSQ('TS-PILE'!$D$72:$D$91)=0,0,'TO HOP NLAN'!F31*'TS-PILE'!$D$80/SUMSQ('TS-PILE'!$D$72:$D$91))),IF('TS-PILE'!$B$81="",-1E+99,'TO HOP NLAN'!D31/ncoc+IF(SUMSQ('TS-PILE'!$E$72:$E$91)=0,0,'TO HOP NLAN'!E31*'TS-PILE'!$E$81/SUMSQ('TS-PILE'!$E$72:$E$91))+IF(SUMSQ('TS-PILE'!$D$72:$D$91)=0,0,'TO HOP NLAN'!F31*'TS-PILE'!$D$81/SUMSQ('TS-PILE'!$D$72:$D$91))),IF('TS-PILE'!$B$82="",-1E+99,'TO HOP NLAN'!D31/ncoc+IF(SUMSQ('TS-PILE'!$E$72:$E$91)=0,0,'TO HOP NLAN'!E31*'TS-PILE'!$E$82/SUMSQ('TS-PILE'!$E$72:$E$91))+IF(SUMSQ('TS-PILE'!$D$72:$D$91)=0,0,'TO HOP NLAN'!F31*'TS-PILE'!$D$82/SUMSQ('TS-PILE'!$D$72:$D$91))),IF('TS-PILE'!$B$83="",-1E+99,'TO HOP NLAN'!D31/ncoc+IF(SUMSQ('TS-PILE'!$E$72:$E$91)=0,0,'TO HOP NLAN'!E31*'TS-PILE'!$E$83/SUMSQ('TS-PILE'!$E$72:$E$91))+IF(SUMSQ('TS-PILE'!$D$72:$D$91)=0,0,'TO HOP NLAN'!F31*'TS-PILE'!$D$83/SUMSQ('TS-PILE'!$D$72:$D$91))),IF('TS-PILE'!$B$84="",-1E+99,'TO HOP NLAN'!D31/ncoc+IF(SUMSQ('TS-PILE'!$E$72:$E$91)=0,0,'TO HOP NLAN'!E31*'TS-PILE'!$E$84/SUMSQ('TS-PILE'!$E$72:$E$91))+IF(SUMSQ('TS-PILE'!$D$72:$D$91)=0,0,'TO HOP NLAN'!F31*'TS-PILE'!$D$84/SUMSQ('TS-PILE'!$D$72:$D$91))),IF('TS-PILE'!$B$85="",-1E+99,'TO HOP NLAN'!D31/ncoc+IF(SUMSQ('TS-PILE'!$E$72:$E$91)=0,0,'TO HOP NLAN'!E31*'TS-PILE'!$E$85/SUMSQ('TS-PILE'!$E$72:$E$91))+IF(SUMSQ('TS-PILE'!$D$72:$D$91)=0,0,'TO HOP NLAN'!F31*'TS-PILE'!$D$85/SUMSQ('TS-PILE'!$D$72:$D$91))),IF('TS-PILE'!$B$86="",-1E+99,'TO HOP NLAN'!D31/ncoc+IF(SUMSQ('TS-PILE'!$E$72:$E$91)=0,0,'TO HOP NLAN'!E31*'TS-PILE'!$E$86/SUMSQ('TS-PILE'!$E$72:$E$91))+IF(SUMSQ('TS-PILE'!$D$72:$D$91)=0,0,'TO HOP NLAN'!F31*'TS-PILE'!$D$86/SUMSQ('TS-PILE'!$D$72:$D$91))),IF('TS-PILE'!$B$87="",-1E+99,'TO HOP NLAN'!D31/ncoc+IF(SUMSQ('TS-PILE'!$E$72:$E$91)=0,0,'TO HOP NLAN'!E31*'TS-PILE'!$E$87/SUMSQ('TS-PILE'!$E$72:$E$91))+IF(SUMSQ('TS-PILE'!$D$72:$D$91)=0,0,'TO HOP NLAN'!F31*'TS-PILE'!$D$87/SUMSQ('TS-PILE'!$D$72:$D$91))),IF('TS-PILE'!$B$88="",-1E+99,'TO HOP NLAN'!D31/ncoc+IF(SUMSQ('TS-PILE'!$E$72:$E$91)=0,0,'TO HOP NLAN'!E31*'TS-PILE'!$E$88/SUMSQ('TS-PILE'!$E$72:$E$91))+IF(SUMSQ('TS-PILE'!$D$72:$D$91)=0,0,'TO HOP NLAN'!F31*'TS-PILE'!$D$88/SUMSQ('TS-PILE'!$D$72:$D$91))),IF('TS-PILE'!$B$89="",-1E+99,'TO HOP NLAN'!D31/ncoc+IF(SUMSQ('TS-PILE'!$E$72:$E$91)=0,0,'TO HOP NLAN'!E31*'TS-PILE'!$E$89/SUMSQ('TS-PILE'!$E$72:$E$91))+IF(SUMSQ('TS-PILE'!$D$72:$D$91)=0,0,'TO HOP NLAN'!F31*'TS-PILE'!$D$89/SUMSQ('TS-PILE'!$D$72:$D$91))),IF('TS-PILE'!$B$90="",-1E+99,'TO HOP NLAN'!D31/ncoc+IF(SUMSQ('TS-PILE'!$E$72:$E$91)=0,0,'TO HOP NLAN'!E31*'TS-PILE'!$E$90/SUMSQ('TS-PILE'!$E$72:$E$91))+IF(SUMSQ('TS-PILE'!$D$72:$D$91)=0,0,'TO HOP NLAN'!F31*'TS-PILE'!$D$90/SUMSQ('TS-PILE'!$D$72:$D$91))),IF('TS-PILE'!$B$91="",-1E+99,'TO HOP NLAN'!D31/ncoc+IF(SUMSQ('TS-PILE'!$E$72:$E$91)=0,0,'TO HOP NLAN'!E31*'TS-PILE'!$E$91/SUMSQ('TS-PILE'!$E$72:$E$91))+IF(SUMSQ('TS-PILE'!$D$72:$D$91)=0,0,'TO HOP NLAN'!F31*'TS-PILE'!$D$91/SUMSQ('TS-PILE'!$D$72:$D$91)))))</f>
        <v>0</v>
      </c>
      <c r="D31" s="58">
        <f>IF(A31="",0,MIN(IF('TS-PILE'!$B$72="",1E+99,'TO HOP NLAN'!D31/ncoc+IF(SUMSQ('TS-PILE'!$E$72:$E$91)=0,0,'TO HOP NLAN'!E31*'TS-PILE'!$E$72/SUMSQ('TS-PILE'!$E$72:$E$91))+IF(SUMSQ('TS-PILE'!$D$72:$D$91)=0,0,'TO HOP NLAN'!F31*'TS-PILE'!$D$72/SUMSQ('TS-PILE'!$D$72:$D$91))),IF('TS-PILE'!$B$73="",1E+99,'TO HOP NLAN'!D31/ncoc+IF(SUMSQ('TS-PILE'!$E$72:$E$91)=0,0,'TO HOP NLAN'!E31*'TS-PILE'!$E$73/SUMSQ('TS-PILE'!$E$72:$E$91))+IF(SUMSQ('TS-PILE'!$D$72:$D$91)=0,0,'TO HOP NLAN'!F31*'TS-PILE'!$D$73/SUMSQ('TS-PILE'!$D$72:$D$91))),IF('TS-PILE'!$B$74="",1E+99,'TO HOP NLAN'!D31/ncoc+IF(SUMSQ('TS-PILE'!$E$72:$E$91)=0,0,'TO HOP NLAN'!E31*'TS-PILE'!$E$74/SUMSQ('TS-PILE'!$E$72:$E$91))+IF(SUMSQ('TS-PILE'!$D$72:$D$91)=0,0,'TO HOP NLAN'!F31*'TS-PILE'!$D$74/SUMSQ('TS-PILE'!$D$72:$D$91))),IF('TS-PILE'!$B$75="",1E+99,'TO HOP NLAN'!D31/ncoc+IF(SUMSQ('TS-PILE'!$E$72:$E$91)=0,0,'TO HOP NLAN'!E31*'TS-PILE'!$E$75/SUMSQ('TS-PILE'!$E$72:$E$91))+IF(SUMSQ('TS-PILE'!$D$72:$D$91)=0,0,'TO HOP NLAN'!F31*'TS-PILE'!$D$75/SUMSQ('TS-PILE'!$D$72:$D$91))),IF('TS-PILE'!$B$76="",1E+99,'TO HOP NLAN'!D31/ncoc+IF(SUMSQ('TS-PILE'!$E$72:$E$91)=0,0,'TO HOP NLAN'!E31*'TS-PILE'!$E$76/SUMSQ('TS-PILE'!$E$72:$E$91))+IF(SUMSQ('TS-PILE'!$D$72:$D$91)=0,0,'TO HOP NLAN'!F31*'TS-PILE'!$D$76/SUMSQ('TS-PILE'!$D$72:$D$91))),IF('TS-PILE'!$B$77="",1E+99,'TO HOP NLAN'!D31/ncoc+IF(SUMSQ('TS-PILE'!$E$72:$E$91)=0,0,'TO HOP NLAN'!E31*'TS-PILE'!$E$77/SUMSQ('TS-PILE'!$E$72:$E$91))+IF(SUMSQ('TS-PILE'!$D$72:$D$91)=0,0,'TO HOP NLAN'!F31*'TS-PILE'!$D$77/SUMSQ('TS-PILE'!$D$72:$D$91))),IF('TS-PILE'!$B$78="",1E+99,'TO HOP NLAN'!D31/ncoc+IF(SUMSQ('TS-PILE'!$E$72:$E$91)=0,0,'TO HOP NLAN'!E31*'TS-PILE'!$E$78/SUMSQ('TS-PILE'!$E$72:$E$91))+IF(SUMSQ('TS-PILE'!$D$72:$D$91)=0,0,'TO HOP NLAN'!F31*'TS-PILE'!$D$78/SUMSQ('TS-PILE'!$D$72:$D$91))),IF('TS-PILE'!$B$79="",1E+99,'TO HOP NLAN'!D31/ncoc+IF(SUMSQ('TS-PILE'!$E$72:$E$91)=0,0,'TO HOP NLAN'!E31*'TS-PILE'!$E$79/SUMSQ('TS-PILE'!$E$72:$E$91))+IF(SUMSQ('TS-PILE'!$D$72:$D$91)=0,0,'TO HOP NLAN'!F31*'TS-PILE'!$D$79/SUMSQ('TS-PILE'!$D$72:$D$91))),IF('TS-PILE'!$B$80="",1E+99,'TO HOP NLAN'!D31/ncoc+IF(SUMSQ('TS-PILE'!$E$72:$E$91)=0,0,'TO HOP NLAN'!E31*'TS-PILE'!$E$80/SUMSQ('TS-PILE'!$E$72:$E$91))+IF(SUMSQ('TS-PILE'!$D$72:$D$91)=0,0,'TO HOP NLAN'!F31*'TS-PILE'!$D$80/SUMSQ('TS-PILE'!$D$72:$D$91))),IF('TS-PILE'!$B$81="",1E+99,'TO HOP NLAN'!D31/ncoc+IF(SUMSQ('TS-PILE'!$E$72:$E$91)=0,0,'TO HOP NLAN'!E31*'TS-PILE'!$E$81/SUMSQ('TS-PILE'!$E$72:$E$91))+IF(SUMSQ('TS-PILE'!$D$72:$D$91)=0,0,'TO HOP NLAN'!F31*'TS-PILE'!$D$81/SUMSQ('TS-PILE'!$D$72:$D$91))),IF('TS-PILE'!$B$82="",1E+99,'TO HOP NLAN'!D31/ncoc+IF(SUMSQ('TS-PILE'!$E$72:$E$91)=0,0,'TO HOP NLAN'!E31*'TS-PILE'!$E$82/SUMSQ('TS-PILE'!$E$72:$E$91))+IF(SUMSQ('TS-PILE'!$D$72:$D$91)=0,0,'TO HOP NLAN'!F31*'TS-PILE'!$D$82/SUMSQ('TS-PILE'!$D$72:$D$91))),IF('TS-PILE'!$B$83="",1E+99,'TO HOP NLAN'!D31/ncoc+IF(SUMSQ('TS-PILE'!$E$72:$E$91)=0,0,'TO HOP NLAN'!E31*'TS-PILE'!$E$83/SUMSQ('TS-PILE'!$E$72:$E$91))+IF(SUMSQ('TS-PILE'!$D$72:$D$91)=0,0,'TO HOP NLAN'!F31*'TS-PILE'!$D$83/SUMSQ('TS-PILE'!$D$72:$D$91))),IF('TS-PILE'!$B$84="",1E+99,'TO HOP NLAN'!D31/ncoc+IF(SUMSQ('TS-PILE'!$E$72:$E$91)=0,0,'TO HOP NLAN'!E31*'TS-PILE'!$E$84/SUMSQ('TS-PILE'!$E$72:$E$91))+IF(SUMSQ('TS-PILE'!$D$72:$D$91)=0,0,'TO HOP NLAN'!F31*'TS-PILE'!$D$84/SUMSQ('TS-PILE'!$D$72:$D$91))),IF('TS-PILE'!$B$85="",1E+99,'TO HOP NLAN'!D31/ncoc+IF(SUMSQ('TS-PILE'!$E$72:$E$91)=0,0,'TO HOP NLAN'!E31*'TS-PILE'!$E$85/SUMSQ('TS-PILE'!$E$72:$E$91))+IF(SUMSQ('TS-PILE'!$D$72:$D$91)=0,0,'TO HOP NLAN'!F31*'TS-PILE'!$D$85/SUMSQ('TS-PILE'!$D$72:$D$91))),IF('TS-PILE'!$B$86="",1E+99,'TO HOP NLAN'!D31/ncoc+IF(SUMSQ('TS-PILE'!$E$72:$E$91)=0,0,'TO HOP NLAN'!E31*'TS-PILE'!$E$86/SUMSQ('TS-PILE'!$E$72:$E$91))+IF(SUMSQ('TS-PILE'!$D$72:$D$91)=0,0,'TO HOP NLAN'!F31*'TS-PILE'!$D$86/SUMSQ('TS-PILE'!$D$72:$D$91))),IF('TS-PILE'!$B$87="",1E+99,'TO HOP NLAN'!D31/ncoc+IF(SUMSQ('TS-PILE'!$E$72:$E$91)=0,0,'TO HOP NLAN'!E31*'TS-PILE'!$E$87/SUMSQ('TS-PILE'!$E$72:$E$91))+IF(SUMSQ('TS-PILE'!$D$72:$D$91)=0,0,'TO HOP NLAN'!F31*'TS-PILE'!$D$87/SUMSQ('TS-PILE'!$D$72:$D$91))),IF('TS-PILE'!$B$88="",1E+99,'TO HOP NLAN'!D31/ncoc+IF(SUMSQ('TS-PILE'!$E$72:$E$91)=0,0,'TO HOP NLAN'!E31*'TS-PILE'!$E$88/SUMSQ('TS-PILE'!$E$72:$E$91))+IF(SUMSQ('TS-PILE'!$D$72:$D$91)=0,0,'TO HOP NLAN'!F31*'TS-PILE'!$D$88/SUMSQ('TS-PILE'!$D$72:$D$91))),IF('TS-PILE'!$B$89="",1E+99,'TO HOP NLAN'!D31/ncoc+IF(SUMSQ('TS-PILE'!$E$72:$E$91)=0,0,'TO HOP NLAN'!E31*'TS-PILE'!$E$89/SUMSQ('TS-PILE'!$E$72:$E$91))+IF(SUMSQ('TS-PILE'!$D$72:$D$91)=0,0,'TO HOP NLAN'!F31*'TS-PILE'!$D$89/SUMSQ('TS-PILE'!$D$72:$D$91))),IF('TS-PILE'!$B$90="",1E+99,'TO HOP NLAN'!D31/ncoc+IF(SUMSQ('TS-PILE'!$E$72:$E$91)=0,0,'TO HOP NLAN'!E31*'TS-PILE'!$E$90/SUMSQ('TS-PILE'!$E$72:$E$91))+IF(SUMSQ('TS-PILE'!$D$72:$D$91)=0,0,'TO HOP NLAN'!F31*'TS-PILE'!$D$90/SUMSQ('TS-PILE'!$D$72:$D$91))),IF('TS-PILE'!$B$91="",1E+99,'TO HOP NLAN'!D31/ncoc+IF(SUMSQ('TS-PILE'!$E$72:$E$91)=0,0,'TO HOP NLAN'!E31*'TS-PILE'!$E$91/SUMSQ('TS-PILE'!$E$72:$E$91))+IF(SUMSQ('TS-PILE'!$D$72:$D$91)=0,0,'TO HOP NLAN'!F31*'TS-PILE'!$D$91/SUMSQ('TS-PILE'!$D$72:$D$91)))))</f>
        <v>0</v>
      </c>
      <c r="E31" s="58">
        <f t="shared" si="0"/>
        <v>-9.9999999999999997E+98</v>
      </c>
      <c r="F31" s="58">
        <f t="shared" si="1"/>
        <v>9.9999999999999997E+98</v>
      </c>
      <c r="G31" s="58">
        <f t="shared" si="2"/>
        <v>-9.9999999999999997E+98</v>
      </c>
      <c r="H31" s="58">
        <f t="shared" si="3"/>
        <v>9.9999999999999997E+98</v>
      </c>
    </row>
    <row r="32" spans="1:8" x14ac:dyDescent="0.3">
      <c r="A32" s="42" t="str">
        <f>'TO HOP NLAN'!A32</f>
        <v/>
      </c>
      <c r="B32" s="42" t="str">
        <f>'TO HOP NLAN'!L32</f>
        <v>SERVICE</v>
      </c>
      <c r="C32" s="58">
        <f>IF(A32="",0,MAX(IF('TS-PILE'!$B$72="",-1E+99,'TO HOP NLAN'!D32/ncoc+IF(SUMSQ('TS-PILE'!$E$72:$E$91)=0,0,'TO HOP NLAN'!E32*'TS-PILE'!$E$72/SUMSQ('TS-PILE'!$E$72:$E$91))+IF(SUMSQ('TS-PILE'!$D$72:$D$91)=0,0,'TO HOP NLAN'!F32*'TS-PILE'!$D$72/SUMSQ('TS-PILE'!$D$72:$D$91))),IF('TS-PILE'!$B$73="",-1E+99,'TO HOP NLAN'!D32/ncoc+IF(SUMSQ('TS-PILE'!$E$72:$E$91)=0,0,'TO HOP NLAN'!E32*'TS-PILE'!$E$73/SUMSQ('TS-PILE'!$E$72:$E$91))+IF(SUMSQ('TS-PILE'!$D$72:$D$91)=0,0,'TO HOP NLAN'!F32*'TS-PILE'!$D$73/SUMSQ('TS-PILE'!$D$72:$D$91))),IF('TS-PILE'!$B$74="",-1E+99,'TO HOP NLAN'!D32/ncoc+IF(SUMSQ('TS-PILE'!$E$72:$E$91)=0,0,'TO HOP NLAN'!E32*'TS-PILE'!$E$74/SUMSQ('TS-PILE'!$E$72:$E$91))+IF(SUMSQ('TS-PILE'!$D$72:$D$91)=0,0,'TO HOP NLAN'!F32*'TS-PILE'!$D$74/SUMSQ('TS-PILE'!$D$72:$D$91))),IF('TS-PILE'!$B$75="",-1E+99,'TO HOP NLAN'!D32/ncoc+IF(SUMSQ('TS-PILE'!$E$72:$E$91)=0,0,'TO HOP NLAN'!E32*'TS-PILE'!$E$75/SUMSQ('TS-PILE'!$E$72:$E$91))+IF(SUMSQ('TS-PILE'!$D$72:$D$91)=0,0,'TO HOP NLAN'!F32*'TS-PILE'!$D$75/SUMSQ('TS-PILE'!$D$72:$D$91))),IF('TS-PILE'!$B$76="",-1E+99,'TO HOP NLAN'!D32/ncoc+IF(SUMSQ('TS-PILE'!$E$72:$E$91)=0,0,'TO HOP NLAN'!E32*'TS-PILE'!$E$76/SUMSQ('TS-PILE'!$E$72:$E$91))+IF(SUMSQ('TS-PILE'!$D$72:$D$91)=0,0,'TO HOP NLAN'!F32*'TS-PILE'!$D$76/SUMSQ('TS-PILE'!$D$72:$D$91))),IF('TS-PILE'!$B$77="",-1E+99,'TO HOP NLAN'!D32/ncoc+IF(SUMSQ('TS-PILE'!$E$72:$E$91)=0,0,'TO HOP NLAN'!E32*'TS-PILE'!$E$77/SUMSQ('TS-PILE'!$E$72:$E$91))+IF(SUMSQ('TS-PILE'!$D$72:$D$91)=0,0,'TO HOP NLAN'!F32*'TS-PILE'!$D$77/SUMSQ('TS-PILE'!$D$72:$D$91))),IF('TS-PILE'!$B$78="",-1E+99,'TO HOP NLAN'!D32/ncoc+IF(SUMSQ('TS-PILE'!$E$72:$E$91)=0,0,'TO HOP NLAN'!E32*'TS-PILE'!$E$78/SUMSQ('TS-PILE'!$E$72:$E$91))+IF(SUMSQ('TS-PILE'!$D$72:$D$91)=0,0,'TO HOP NLAN'!F32*'TS-PILE'!$D$78/SUMSQ('TS-PILE'!$D$72:$D$91))),IF('TS-PILE'!$B$79="",-1E+99,'TO HOP NLAN'!D32/ncoc+IF(SUMSQ('TS-PILE'!$E$72:$E$91)=0,0,'TO HOP NLAN'!E32*'TS-PILE'!$E$79/SUMSQ('TS-PILE'!$E$72:$E$91))+IF(SUMSQ('TS-PILE'!$D$72:$D$91)=0,0,'TO HOP NLAN'!F32*'TS-PILE'!$D$79/SUMSQ('TS-PILE'!$D$72:$D$91))),IF('TS-PILE'!$B$80="",-1E+99,'TO HOP NLAN'!D32/ncoc+IF(SUMSQ('TS-PILE'!$E$72:$E$91)=0,0,'TO HOP NLAN'!E32*'TS-PILE'!$E$80/SUMSQ('TS-PILE'!$E$72:$E$91))+IF(SUMSQ('TS-PILE'!$D$72:$D$91)=0,0,'TO HOP NLAN'!F32*'TS-PILE'!$D$80/SUMSQ('TS-PILE'!$D$72:$D$91))),IF('TS-PILE'!$B$81="",-1E+99,'TO HOP NLAN'!D32/ncoc+IF(SUMSQ('TS-PILE'!$E$72:$E$91)=0,0,'TO HOP NLAN'!E32*'TS-PILE'!$E$81/SUMSQ('TS-PILE'!$E$72:$E$91))+IF(SUMSQ('TS-PILE'!$D$72:$D$91)=0,0,'TO HOP NLAN'!F32*'TS-PILE'!$D$81/SUMSQ('TS-PILE'!$D$72:$D$91))),IF('TS-PILE'!$B$82="",-1E+99,'TO HOP NLAN'!D32/ncoc+IF(SUMSQ('TS-PILE'!$E$72:$E$91)=0,0,'TO HOP NLAN'!E32*'TS-PILE'!$E$82/SUMSQ('TS-PILE'!$E$72:$E$91))+IF(SUMSQ('TS-PILE'!$D$72:$D$91)=0,0,'TO HOP NLAN'!F32*'TS-PILE'!$D$82/SUMSQ('TS-PILE'!$D$72:$D$91))),IF('TS-PILE'!$B$83="",-1E+99,'TO HOP NLAN'!D32/ncoc+IF(SUMSQ('TS-PILE'!$E$72:$E$91)=0,0,'TO HOP NLAN'!E32*'TS-PILE'!$E$83/SUMSQ('TS-PILE'!$E$72:$E$91))+IF(SUMSQ('TS-PILE'!$D$72:$D$91)=0,0,'TO HOP NLAN'!F32*'TS-PILE'!$D$83/SUMSQ('TS-PILE'!$D$72:$D$91))),IF('TS-PILE'!$B$84="",-1E+99,'TO HOP NLAN'!D32/ncoc+IF(SUMSQ('TS-PILE'!$E$72:$E$91)=0,0,'TO HOP NLAN'!E32*'TS-PILE'!$E$84/SUMSQ('TS-PILE'!$E$72:$E$91))+IF(SUMSQ('TS-PILE'!$D$72:$D$91)=0,0,'TO HOP NLAN'!F32*'TS-PILE'!$D$84/SUMSQ('TS-PILE'!$D$72:$D$91))),IF('TS-PILE'!$B$85="",-1E+99,'TO HOP NLAN'!D32/ncoc+IF(SUMSQ('TS-PILE'!$E$72:$E$91)=0,0,'TO HOP NLAN'!E32*'TS-PILE'!$E$85/SUMSQ('TS-PILE'!$E$72:$E$91))+IF(SUMSQ('TS-PILE'!$D$72:$D$91)=0,0,'TO HOP NLAN'!F32*'TS-PILE'!$D$85/SUMSQ('TS-PILE'!$D$72:$D$91))),IF('TS-PILE'!$B$86="",-1E+99,'TO HOP NLAN'!D32/ncoc+IF(SUMSQ('TS-PILE'!$E$72:$E$91)=0,0,'TO HOP NLAN'!E32*'TS-PILE'!$E$86/SUMSQ('TS-PILE'!$E$72:$E$91))+IF(SUMSQ('TS-PILE'!$D$72:$D$91)=0,0,'TO HOP NLAN'!F32*'TS-PILE'!$D$86/SUMSQ('TS-PILE'!$D$72:$D$91))),IF('TS-PILE'!$B$87="",-1E+99,'TO HOP NLAN'!D32/ncoc+IF(SUMSQ('TS-PILE'!$E$72:$E$91)=0,0,'TO HOP NLAN'!E32*'TS-PILE'!$E$87/SUMSQ('TS-PILE'!$E$72:$E$91))+IF(SUMSQ('TS-PILE'!$D$72:$D$91)=0,0,'TO HOP NLAN'!F32*'TS-PILE'!$D$87/SUMSQ('TS-PILE'!$D$72:$D$91))),IF('TS-PILE'!$B$88="",-1E+99,'TO HOP NLAN'!D32/ncoc+IF(SUMSQ('TS-PILE'!$E$72:$E$91)=0,0,'TO HOP NLAN'!E32*'TS-PILE'!$E$88/SUMSQ('TS-PILE'!$E$72:$E$91))+IF(SUMSQ('TS-PILE'!$D$72:$D$91)=0,0,'TO HOP NLAN'!F32*'TS-PILE'!$D$88/SUMSQ('TS-PILE'!$D$72:$D$91))),IF('TS-PILE'!$B$89="",-1E+99,'TO HOP NLAN'!D32/ncoc+IF(SUMSQ('TS-PILE'!$E$72:$E$91)=0,0,'TO HOP NLAN'!E32*'TS-PILE'!$E$89/SUMSQ('TS-PILE'!$E$72:$E$91))+IF(SUMSQ('TS-PILE'!$D$72:$D$91)=0,0,'TO HOP NLAN'!F32*'TS-PILE'!$D$89/SUMSQ('TS-PILE'!$D$72:$D$91))),IF('TS-PILE'!$B$90="",-1E+99,'TO HOP NLAN'!D32/ncoc+IF(SUMSQ('TS-PILE'!$E$72:$E$91)=0,0,'TO HOP NLAN'!E32*'TS-PILE'!$E$90/SUMSQ('TS-PILE'!$E$72:$E$91))+IF(SUMSQ('TS-PILE'!$D$72:$D$91)=0,0,'TO HOP NLAN'!F32*'TS-PILE'!$D$90/SUMSQ('TS-PILE'!$D$72:$D$91))),IF('TS-PILE'!$B$91="",-1E+99,'TO HOP NLAN'!D32/ncoc+IF(SUMSQ('TS-PILE'!$E$72:$E$91)=0,0,'TO HOP NLAN'!E32*'TS-PILE'!$E$91/SUMSQ('TS-PILE'!$E$72:$E$91))+IF(SUMSQ('TS-PILE'!$D$72:$D$91)=0,0,'TO HOP NLAN'!F32*'TS-PILE'!$D$91/SUMSQ('TS-PILE'!$D$72:$D$91)))))</f>
        <v>0</v>
      </c>
      <c r="D32" s="58">
        <f>IF(A32="",0,MIN(IF('TS-PILE'!$B$72="",1E+99,'TO HOP NLAN'!D32/ncoc+IF(SUMSQ('TS-PILE'!$E$72:$E$91)=0,0,'TO HOP NLAN'!E32*'TS-PILE'!$E$72/SUMSQ('TS-PILE'!$E$72:$E$91))+IF(SUMSQ('TS-PILE'!$D$72:$D$91)=0,0,'TO HOP NLAN'!F32*'TS-PILE'!$D$72/SUMSQ('TS-PILE'!$D$72:$D$91))),IF('TS-PILE'!$B$73="",1E+99,'TO HOP NLAN'!D32/ncoc+IF(SUMSQ('TS-PILE'!$E$72:$E$91)=0,0,'TO HOP NLAN'!E32*'TS-PILE'!$E$73/SUMSQ('TS-PILE'!$E$72:$E$91))+IF(SUMSQ('TS-PILE'!$D$72:$D$91)=0,0,'TO HOP NLAN'!F32*'TS-PILE'!$D$73/SUMSQ('TS-PILE'!$D$72:$D$91))),IF('TS-PILE'!$B$74="",1E+99,'TO HOP NLAN'!D32/ncoc+IF(SUMSQ('TS-PILE'!$E$72:$E$91)=0,0,'TO HOP NLAN'!E32*'TS-PILE'!$E$74/SUMSQ('TS-PILE'!$E$72:$E$91))+IF(SUMSQ('TS-PILE'!$D$72:$D$91)=0,0,'TO HOP NLAN'!F32*'TS-PILE'!$D$74/SUMSQ('TS-PILE'!$D$72:$D$91))),IF('TS-PILE'!$B$75="",1E+99,'TO HOP NLAN'!D32/ncoc+IF(SUMSQ('TS-PILE'!$E$72:$E$91)=0,0,'TO HOP NLAN'!E32*'TS-PILE'!$E$75/SUMSQ('TS-PILE'!$E$72:$E$91))+IF(SUMSQ('TS-PILE'!$D$72:$D$91)=0,0,'TO HOP NLAN'!F32*'TS-PILE'!$D$75/SUMSQ('TS-PILE'!$D$72:$D$91))),IF('TS-PILE'!$B$76="",1E+99,'TO HOP NLAN'!D32/ncoc+IF(SUMSQ('TS-PILE'!$E$72:$E$91)=0,0,'TO HOP NLAN'!E32*'TS-PILE'!$E$76/SUMSQ('TS-PILE'!$E$72:$E$91))+IF(SUMSQ('TS-PILE'!$D$72:$D$91)=0,0,'TO HOP NLAN'!F32*'TS-PILE'!$D$76/SUMSQ('TS-PILE'!$D$72:$D$91))),IF('TS-PILE'!$B$77="",1E+99,'TO HOP NLAN'!D32/ncoc+IF(SUMSQ('TS-PILE'!$E$72:$E$91)=0,0,'TO HOP NLAN'!E32*'TS-PILE'!$E$77/SUMSQ('TS-PILE'!$E$72:$E$91))+IF(SUMSQ('TS-PILE'!$D$72:$D$91)=0,0,'TO HOP NLAN'!F32*'TS-PILE'!$D$77/SUMSQ('TS-PILE'!$D$72:$D$91))),IF('TS-PILE'!$B$78="",1E+99,'TO HOP NLAN'!D32/ncoc+IF(SUMSQ('TS-PILE'!$E$72:$E$91)=0,0,'TO HOP NLAN'!E32*'TS-PILE'!$E$78/SUMSQ('TS-PILE'!$E$72:$E$91))+IF(SUMSQ('TS-PILE'!$D$72:$D$91)=0,0,'TO HOP NLAN'!F32*'TS-PILE'!$D$78/SUMSQ('TS-PILE'!$D$72:$D$91))),IF('TS-PILE'!$B$79="",1E+99,'TO HOP NLAN'!D32/ncoc+IF(SUMSQ('TS-PILE'!$E$72:$E$91)=0,0,'TO HOP NLAN'!E32*'TS-PILE'!$E$79/SUMSQ('TS-PILE'!$E$72:$E$91))+IF(SUMSQ('TS-PILE'!$D$72:$D$91)=0,0,'TO HOP NLAN'!F32*'TS-PILE'!$D$79/SUMSQ('TS-PILE'!$D$72:$D$91))),IF('TS-PILE'!$B$80="",1E+99,'TO HOP NLAN'!D32/ncoc+IF(SUMSQ('TS-PILE'!$E$72:$E$91)=0,0,'TO HOP NLAN'!E32*'TS-PILE'!$E$80/SUMSQ('TS-PILE'!$E$72:$E$91))+IF(SUMSQ('TS-PILE'!$D$72:$D$91)=0,0,'TO HOP NLAN'!F32*'TS-PILE'!$D$80/SUMSQ('TS-PILE'!$D$72:$D$91))),IF('TS-PILE'!$B$81="",1E+99,'TO HOP NLAN'!D32/ncoc+IF(SUMSQ('TS-PILE'!$E$72:$E$91)=0,0,'TO HOP NLAN'!E32*'TS-PILE'!$E$81/SUMSQ('TS-PILE'!$E$72:$E$91))+IF(SUMSQ('TS-PILE'!$D$72:$D$91)=0,0,'TO HOP NLAN'!F32*'TS-PILE'!$D$81/SUMSQ('TS-PILE'!$D$72:$D$91))),IF('TS-PILE'!$B$82="",1E+99,'TO HOP NLAN'!D32/ncoc+IF(SUMSQ('TS-PILE'!$E$72:$E$91)=0,0,'TO HOP NLAN'!E32*'TS-PILE'!$E$82/SUMSQ('TS-PILE'!$E$72:$E$91))+IF(SUMSQ('TS-PILE'!$D$72:$D$91)=0,0,'TO HOP NLAN'!F32*'TS-PILE'!$D$82/SUMSQ('TS-PILE'!$D$72:$D$91))),IF('TS-PILE'!$B$83="",1E+99,'TO HOP NLAN'!D32/ncoc+IF(SUMSQ('TS-PILE'!$E$72:$E$91)=0,0,'TO HOP NLAN'!E32*'TS-PILE'!$E$83/SUMSQ('TS-PILE'!$E$72:$E$91))+IF(SUMSQ('TS-PILE'!$D$72:$D$91)=0,0,'TO HOP NLAN'!F32*'TS-PILE'!$D$83/SUMSQ('TS-PILE'!$D$72:$D$91))),IF('TS-PILE'!$B$84="",1E+99,'TO HOP NLAN'!D32/ncoc+IF(SUMSQ('TS-PILE'!$E$72:$E$91)=0,0,'TO HOP NLAN'!E32*'TS-PILE'!$E$84/SUMSQ('TS-PILE'!$E$72:$E$91))+IF(SUMSQ('TS-PILE'!$D$72:$D$91)=0,0,'TO HOP NLAN'!F32*'TS-PILE'!$D$84/SUMSQ('TS-PILE'!$D$72:$D$91))),IF('TS-PILE'!$B$85="",1E+99,'TO HOP NLAN'!D32/ncoc+IF(SUMSQ('TS-PILE'!$E$72:$E$91)=0,0,'TO HOP NLAN'!E32*'TS-PILE'!$E$85/SUMSQ('TS-PILE'!$E$72:$E$91))+IF(SUMSQ('TS-PILE'!$D$72:$D$91)=0,0,'TO HOP NLAN'!F32*'TS-PILE'!$D$85/SUMSQ('TS-PILE'!$D$72:$D$91))),IF('TS-PILE'!$B$86="",1E+99,'TO HOP NLAN'!D32/ncoc+IF(SUMSQ('TS-PILE'!$E$72:$E$91)=0,0,'TO HOP NLAN'!E32*'TS-PILE'!$E$86/SUMSQ('TS-PILE'!$E$72:$E$91))+IF(SUMSQ('TS-PILE'!$D$72:$D$91)=0,0,'TO HOP NLAN'!F32*'TS-PILE'!$D$86/SUMSQ('TS-PILE'!$D$72:$D$91))),IF('TS-PILE'!$B$87="",1E+99,'TO HOP NLAN'!D32/ncoc+IF(SUMSQ('TS-PILE'!$E$72:$E$91)=0,0,'TO HOP NLAN'!E32*'TS-PILE'!$E$87/SUMSQ('TS-PILE'!$E$72:$E$91))+IF(SUMSQ('TS-PILE'!$D$72:$D$91)=0,0,'TO HOP NLAN'!F32*'TS-PILE'!$D$87/SUMSQ('TS-PILE'!$D$72:$D$91))),IF('TS-PILE'!$B$88="",1E+99,'TO HOP NLAN'!D32/ncoc+IF(SUMSQ('TS-PILE'!$E$72:$E$91)=0,0,'TO HOP NLAN'!E32*'TS-PILE'!$E$88/SUMSQ('TS-PILE'!$E$72:$E$91))+IF(SUMSQ('TS-PILE'!$D$72:$D$91)=0,0,'TO HOP NLAN'!F32*'TS-PILE'!$D$88/SUMSQ('TS-PILE'!$D$72:$D$91))),IF('TS-PILE'!$B$89="",1E+99,'TO HOP NLAN'!D32/ncoc+IF(SUMSQ('TS-PILE'!$E$72:$E$91)=0,0,'TO HOP NLAN'!E32*'TS-PILE'!$E$89/SUMSQ('TS-PILE'!$E$72:$E$91))+IF(SUMSQ('TS-PILE'!$D$72:$D$91)=0,0,'TO HOP NLAN'!F32*'TS-PILE'!$D$89/SUMSQ('TS-PILE'!$D$72:$D$91))),IF('TS-PILE'!$B$90="",1E+99,'TO HOP NLAN'!D32/ncoc+IF(SUMSQ('TS-PILE'!$E$72:$E$91)=0,0,'TO HOP NLAN'!E32*'TS-PILE'!$E$90/SUMSQ('TS-PILE'!$E$72:$E$91))+IF(SUMSQ('TS-PILE'!$D$72:$D$91)=0,0,'TO HOP NLAN'!F32*'TS-PILE'!$D$90/SUMSQ('TS-PILE'!$D$72:$D$91))),IF('TS-PILE'!$B$91="",1E+99,'TO HOP NLAN'!D32/ncoc+IF(SUMSQ('TS-PILE'!$E$72:$E$91)=0,0,'TO HOP NLAN'!E32*'TS-PILE'!$E$91/SUMSQ('TS-PILE'!$E$72:$E$91))+IF(SUMSQ('TS-PILE'!$D$72:$D$91)=0,0,'TO HOP NLAN'!F32*'TS-PILE'!$D$91/SUMSQ('TS-PILE'!$D$72:$D$91)))))</f>
        <v>0</v>
      </c>
      <c r="E32" s="58">
        <f t="shared" si="0"/>
        <v>-9.9999999999999997E+98</v>
      </c>
      <c r="F32" s="58">
        <f t="shared" si="1"/>
        <v>9.9999999999999997E+98</v>
      </c>
      <c r="G32" s="58">
        <f t="shared" si="2"/>
        <v>-9.9999999999999997E+98</v>
      </c>
      <c r="H32" s="58">
        <f t="shared" si="3"/>
        <v>9.9999999999999997E+98</v>
      </c>
    </row>
    <row r="33" spans="1:8" x14ac:dyDescent="0.3">
      <c r="A33" s="42" t="str">
        <f>'TO HOP NLAN'!A33</f>
        <v/>
      </c>
      <c r="B33" s="42" t="str">
        <f>'TO HOP NLAN'!L33</f>
        <v>SERVICE</v>
      </c>
      <c r="C33" s="58">
        <f>IF(A33="",0,MAX(IF('TS-PILE'!$B$72="",-1E+99,'TO HOP NLAN'!D33/ncoc+IF(SUMSQ('TS-PILE'!$E$72:$E$91)=0,0,'TO HOP NLAN'!E33*'TS-PILE'!$E$72/SUMSQ('TS-PILE'!$E$72:$E$91))+IF(SUMSQ('TS-PILE'!$D$72:$D$91)=0,0,'TO HOP NLAN'!F33*'TS-PILE'!$D$72/SUMSQ('TS-PILE'!$D$72:$D$91))),IF('TS-PILE'!$B$73="",-1E+99,'TO HOP NLAN'!D33/ncoc+IF(SUMSQ('TS-PILE'!$E$72:$E$91)=0,0,'TO HOP NLAN'!E33*'TS-PILE'!$E$73/SUMSQ('TS-PILE'!$E$72:$E$91))+IF(SUMSQ('TS-PILE'!$D$72:$D$91)=0,0,'TO HOP NLAN'!F33*'TS-PILE'!$D$73/SUMSQ('TS-PILE'!$D$72:$D$91))),IF('TS-PILE'!$B$74="",-1E+99,'TO HOP NLAN'!D33/ncoc+IF(SUMSQ('TS-PILE'!$E$72:$E$91)=0,0,'TO HOP NLAN'!E33*'TS-PILE'!$E$74/SUMSQ('TS-PILE'!$E$72:$E$91))+IF(SUMSQ('TS-PILE'!$D$72:$D$91)=0,0,'TO HOP NLAN'!F33*'TS-PILE'!$D$74/SUMSQ('TS-PILE'!$D$72:$D$91))),IF('TS-PILE'!$B$75="",-1E+99,'TO HOP NLAN'!D33/ncoc+IF(SUMSQ('TS-PILE'!$E$72:$E$91)=0,0,'TO HOP NLAN'!E33*'TS-PILE'!$E$75/SUMSQ('TS-PILE'!$E$72:$E$91))+IF(SUMSQ('TS-PILE'!$D$72:$D$91)=0,0,'TO HOP NLAN'!F33*'TS-PILE'!$D$75/SUMSQ('TS-PILE'!$D$72:$D$91))),IF('TS-PILE'!$B$76="",-1E+99,'TO HOP NLAN'!D33/ncoc+IF(SUMSQ('TS-PILE'!$E$72:$E$91)=0,0,'TO HOP NLAN'!E33*'TS-PILE'!$E$76/SUMSQ('TS-PILE'!$E$72:$E$91))+IF(SUMSQ('TS-PILE'!$D$72:$D$91)=0,0,'TO HOP NLAN'!F33*'TS-PILE'!$D$76/SUMSQ('TS-PILE'!$D$72:$D$91))),IF('TS-PILE'!$B$77="",-1E+99,'TO HOP NLAN'!D33/ncoc+IF(SUMSQ('TS-PILE'!$E$72:$E$91)=0,0,'TO HOP NLAN'!E33*'TS-PILE'!$E$77/SUMSQ('TS-PILE'!$E$72:$E$91))+IF(SUMSQ('TS-PILE'!$D$72:$D$91)=0,0,'TO HOP NLAN'!F33*'TS-PILE'!$D$77/SUMSQ('TS-PILE'!$D$72:$D$91))),IF('TS-PILE'!$B$78="",-1E+99,'TO HOP NLAN'!D33/ncoc+IF(SUMSQ('TS-PILE'!$E$72:$E$91)=0,0,'TO HOP NLAN'!E33*'TS-PILE'!$E$78/SUMSQ('TS-PILE'!$E$72:$E$91))+IF(SUMSQ('TS-PILE'!$D$72:$D$91)=0,0,'TO HOP NLAN'!F33*'TS-PILE'!$D$78/SUMSQ('TS-PILE'!$D$72:$D$91))),IF('TS-PILE'!$B$79="",-1E+99,'TO HOP NLAN'!D33/ncoc+IF(SUMSQ('TS-PILE'!$E$72:$E$91)=0,0,'TO HOP NLAN'!E33*'TS-PILE'!$E$79/SUMSQ('TS-PILE'!$E$72:$E$91))+IF(SUMSQ('TS-PILE'!$D$72:$D$91)=0,0,'TO HOP NLAN'!F33*'TS-PILE'!$D$79/SUMSQ('TS-PILE'!$D$72:$D$91))),IF('TS-PILE'!$B$80="",-1E+99,'TO HOP NLAN'!D33/ncoc+IF(SUMSQ('TS-PILE'!$E$72:$E$91)=0,0,'TO HOP NLAN'!E33*'TS-PILE'!$E$80/SUMSQ('TS-PILE'!$E$72:$E$91))+IF(SUMSQ('TS-PILE'!$D$72:$D$91)=0,0,'TO HOP NLAN'!F33*'TS-PILE'!$D$80/SUMSQ('TS-PILE'!$D$72:$D$91))),IF('TS-PILE'!$B$81="",-1E+99,'TO HOP NLAN'!D33/ncoc+IF(SUMSQ('TS-PILE'!$E$72:$E$91)=0,0,'TO HOP NLAN'!E33*'TS-PILE'!$E$81/SUMSQ('TS-PILE'!$E$72:$E$91))+IF(SUMSQ('TS-PILE'!$D$72:$D$91)=0,0,'TO HOP NLAN'!F33*'TS-PILE'!$D$81/SUMSQ('TS-PILE'!$D$72:$D$91))),IF('TS-PILE'!$B$82="",-1E+99,'TO HOP NLAN'!D33/ncoc+IF(SUMSQ('TS-PILE'!$E$72:$E$91)=0,0,'TO HOP NLAN'!E33*'TS-PILE'!$E$82/SUMSQ('TS-PILE'!$E$72:$E$91))+IF(SUMSQ('TS-PILE'!$D$72:$D$91)=0,0,'TO HOP NLAN'!F33*'TS-PILE'!$D$82/SUMSQ('TS-PILE'!$D$72:$D$91))),IF('TS-PILE'!$B$83="",-1E+99,'TO HOP NLAN'!D33/ncoc+IF(SUMSQ('TS-PILE'!$E$72:$E$91)=0,0,'TO HOP NLAN'!E33*'TS-PILE'!$E$83/SUMSQ('TS-PILE'!$E$72:$E$91))+IF(SUMSQ('TS-PILE'!$D$72:$D$91)=0,0,'TO HOP NLAN'!F33*'TS-PILE'!$D$83/SUMSQ('TS-PILE'!$D$72:$D$91))),IF('TS-PILE'!$B$84="",-1E+99,'TO HOP NLAN'!D33/ncoc+IF(SUMSQ('TS-PILE'!$E$72:$E$91)=0,0,'TO HOP NLAN'!E33*'TS-PILE'!$E$84/SUMSQ('TS-PILE'!$E$72:$E$91))+IF(SUMSQ('TS-PILE'!$D$72:$D$91)=0,0,'TO HOP NLAN'!F33*'TS-PILE'!$D$84/SUMSQ('TS-PILE'!$D$72:$D$91))),IF('TS-PILE'!$B$85="",-1E+99,'TO HOP NLAN'!D33/ncoc+IF(SUMSQ('TS-PILE'!$E$72:$E$91)=0,0,'TO HOP NLAN'!E33*'TS-PILE'!$E$85/SUMSQ('TS-PILE'!$E$72:$E$91))+IF(SUMSQ('TS-PILE'!$D$72:$D$91)=0,0,'TO HOP NLAN'!F33*'TS-PILE'!$D$85/SUMSQ('TS-PILE'!$D$72:$D$91))),IF('TS-PILE'!$B$86="",-1E+99,'TO HOP NLAN'!D33/ncoc+IF(SUMSQ('TS-PILE'!$E$72:$E$91)=0,0,'TO HOP NLAN'!E33*'TS-PILE'!$E$86/SUMSQ('TS-PILE'!$E$72:$E$91))+IF(SUMSQ('TS-PILE'!$D$72:$D$91)=0,0,'TO HOP NLAN'!F33*'TS-PILE'!$D$86/SUMSQ('TS-PILE'!$D$72:$D$91))),IF('TS-PILE'!$B$87="",-1E+99,'TO HOP NLAN'!D33/ncoc+IF(SUMSQ('TS-PILE'!$E$72:$E$91)=0,0,'TO HOP NLAN'!E33*'TS-PILE'!$E$87/SUMSQ('TS-PILE'!$E$72:$E$91))+IF(SUMSQ('TS-PILE'!$D$72:$D$91)=0,0,'TO HOP NLAN'!F33*'TS-PILE'!$D$87/SUMSQ('TS-PILE'!$D$72:$D$91))),IF('TS-PILE'!$B$88="",-1E+99,'TO HOP NLAN'!D33/ncoc+IF(SUMSQ('TS-PILE'!$E$72:$E$91)=0,0,'TO HOP NLAN'!E33*'TS-PILE'!$E$88/SUMSQ('TS-PILE'!$E$72:$E$91))+IF(SUMSQ('TS-PILE'!$D$72:$D$91)=0,0,'TO HOP NLAN'!F33*'TS-PILE'!$D$88/SUMSQ('TS-PILE'!$D$72:$D$91))),IF('TS-PILE'!$B$89="",-1E+99,'TO HOP NLAN'!D33/ncoc+IF(SUMSQ('TS-PILE'!$E$72:$E$91)=0,0,'TO HOP NLAN'!E33*'TS-PILE'!$E$89/SUMSQ('TS-PILE'!$E$72:$E$91))+IF(SUMSQ('TS-PILE'!$D$72:$D$91)=0,0,'TO HOP NLAN'!F33*'TS-PILE'!$D$89/SUMSQ('TS-PILE'!$D$72:$D$91))),IF('TS-PILE'!$B$90="",-1E+99,'TO HOP NLAN'!D33/ncoc+IF(SUMSQ('TS-PILE'!$E$72:$E$91)=0,0,'TO HOP NLAN'!E33*'TS-PILE'!$E$90/SUMSQ('TS-PILE'!$E$72:$E$91))+IF(SUMSQ('TS-PILE'!$D$72:$D$91)=0,0,'TO HOP NLAN'!F33*'TS-PILE'!$D$90/SUMSQ('TS-PILE'!$D$72:$D$91))),IF('TS-PILE'!$B$91="",-1E+99,'TO HOP NLAN'!D33/ncoc+IF(SUMSQ('TS-PILE'!$E$72:$E$91)=0,0,'TO HOP NLAN'!E33*'TS-PILE'!$E$91/SUMSQ('TS-PILE'!$E$72:$E$91))+IF(SUMSQ('TS-PILE'!$D$72:$D$91)=0,0,'TO HOP NLAN'!F33*'TS-PILE'!$D$91/SUMSQ('TS-PILE'!$D$72:$D$91)))))</f>
        <v>0</v>
      </c>
      <c r="D33" s="58">
        <f>IF(A33="",0,MIN(IF('TS-PILE'!$B$72="",1E+99,'TO HOP NLAN'!D33/ncoc+IF(SUMSQ('TS-PILE'!$E$72:$E$91)=0,0,'TO HOP NLAN'!E33*'TS-PILE'!$E$72/SUMSQ('TS-PILE'!$E$72:$E$91))+IF(SUMSQ('TS-PILE'!$D$72:$D$91)=0,0,'TO HOP NLAN'!F33*'TS-PILE'!$D$72/SUMSQ('TS-PILE'!$D$72:$D$91))),IF('TS-PILE'!$B$73="",1E+99,'TO HOP NLAN'!D33/ncoc+IF(SUMSQ('TS-PILE'!$E$72:$E$91)=0,0,'TO HOP NLAN'!E33*'TS-PILE'!$E$73/SUMSQ('TS-PILE'!$E$72:$E$91))+IF(SUMSQ('TS-PILE'!$D$72:$D$91)=0,0,'TO HOP NLAN'!F33*'TS-PILE'!$D$73/SUMSQ('TS-PILE'!$D$72:$D$91))),IF('TS-PILE'!$B$74="",1E+99,'TO HOP NLAN'!D33/ncoc+IF(SUMSQ('TS-PILE'!$E$72:$E$91)=0,0,'TO HOP NLAN'!E33*'TS-PILE'!$E$74/SUMSQ('TS-PILE'!$E$72:$E$91))+IF(SUMSQ('TS-PILE'!$D$72:$D$91)=0,0,'TO HOP NLAN'!F33*'TS-PILE'!$D$74/SUMSQ('TS-PILE'!$D$72:$D$91))),IF('TS-PILE'!$B$75="",1E+99,'TO HOP NLAN'!D33/ncoc+IF(SUMSQ('TS-PILE'!$E$72:$E$91)=0,0,'TO HOP NLAN'!E33*'TS-PILE'!$E$75/SUMSQ('TS-PILE'!$E$72:$E$91))+IF(SUMSQ('TS-PILE'!$D$72:$D$91)=0,0,'TO HOP NLAN'!F33*'TS-PILE'!$D$75/SUMSQ('TS-PILE'!$D$72:$D$91))),IF('TS-PILE'!$B$76="",1E+99,'TO HOP NLAN'!D33/ncoc+IF(SUMSQ('TS-PILE'!$E$72:$E$91)=0,0,'TO HOP NLAN'!E33*'TS-PILE'!$E$76/SUMSQ('TS-PILE'!$E$72:$E$91))+IF(SUMSQ('TS-PILE'!$D$72:$D$91)=0,0,'TO HOP NLAN'!F33*'TS-PILE'!$D$76/SUMSQ('TS-PILE'!$D$72:$D$91))),IF('TS-PILE'!$B$77="",1E+99,'TO HOP NLAN'!D33/ncoc+IF(SUMSQ('TS-PILE'!$E$72:$E$91)=0,0,'TO HOP NLAN'!E33*'TS-PILE'!$E$77/SUMSQ('TS-PILE'!$E$72:$E$91))+IF(SUMSQ('TS-PILE'!$D$72:$D$91)=0,0,'TO HOP NLAN'!F33*'TS-PILE'!$D$77/SUMSQ('TS-PILE'!$D$72:$D$91))),IF('TS-PILE'!$B$78="",1E+99,'TO HOP NLAN'!D33/ncoc+IF(SUMSQ('TS-PILE'!$E$72:$E$91)=0,0,'TO HOP NLAN'!E33*'TS-PILE'!$E$78/SUMSQ('TS-PILE'!$E$72:$E$91))+IF(SUMSQ('TS-PILE'!$D$72:$D$91)=0,0,'TO HOP NLAN'!F33*'TS-PILE'!$D$78/SUMSQ('TS-PILE'!$D$72:$D$91))),IF('TS-PILE'!$B$79="",1E+99,'TO HOP NLAN'!D33/ncoc+IF(SUMSQ('TS-PILE'!$E$72:$E$91)=0,0,'TO HOP NLAN'!E33*'TS-PILE'!$E$79/SUMSQ('TS-PILE'!$E$72:$E$91))+IF(SUMSQ('TS-PILE'!$D$72:$D$91)=0,0,'TO HOP NLAN'!F33*'TS-PILE'!$D$79/SUMSQ('TS-PILE'!$D$72:$D$91))),IF('TS-PILE'!$B$80="",1E+99,'TO HOP NLAN'!D33/ncoc+IF(SUMSQ('TS-PILE'!$E$72:$E$91)=0,0,'TO HOP NLAN'!E33*'TS-PILE'!$E$80/SUMSQ('TS-PILE'!$E$72:$E$91))+IF(SUMSQ('TS-PILE'!$D$72:$D$91)=0,0,'TO HOP NLAN'!F33*'TS-PILE'!$D$80/SUMSQ('TS-PILE'!$D$72:$D$91))),IF('TS-PILE'!$B$81="",1E+99,'TO HOP NLAN'!D33/ncoc+IF(SUMSQ('TS-PILE'!$E$72:$E$91)=0,0,'TO HOP NLAN'!E33*'TS-PILE'!$E$81/SUMSQ('TS-PILE'!$E$72:$E$91))+IF(SUMSQ('TS-PILE'!$D$72:$D$91)=0,0,'TO HOP NLAN'!F33*'TS-PILE'!$D$81/SUMSQ('TS-PILE'!$D$72:$D$91))),IF('TS-PILE'!$B$82="",1E+99,'TO HOP NLAN'!D33/ncoc+IF(SUMSQ('TS-PILE'!$E$72:$E$91)=0,0,'TO HOP NLAN'!E33*'TS-PILE'!$E$82/SUMSQ('TS-PILE'!$E$72:$E$91))+IF(SUMSQ('TS-PILE'!$D$72:$D$91)=0,0,'TO HOP NLAN'!F33*'TS-PILE'!$D$82/SUMSQ('TS-PILE'!$D$72:$D$91))),IF('TS-PILE'!$B$83="",1E+99,'TO HOP NLAN'!D33/ncoc+IF(SUMSQ('TS-PILE'!$E$72:$E$91)=0,0,'TO HOP NLAN'!E33*'TS-PILE'!$E$83/SUMSQ('TS-PILE'!$E$72:$E$91))+IF(SUMSQ('TS-PILE'!$D$72:$D$91)=0,0,'TO HOP NLAN'!F33*'TS-PILE'!$D$83/SUMSQ('TS-PILE'!$D$72:$D$91))),IF('TS-PILE'!$B$84="",1E+99,'TO HOP NLAN'!D33/ncoc+IF(SUMSQ('TS-PILE'!$E$72:$E$91)=0,0,'TO HOP NLAN'!E33*'TS-PILE'!$E$84/SUMSQ('TS-PILE'!$E$72:$E$91))+IF(SUMSQ('TS-PILE'!$D$72:$D$91)=0,0,'TO HOP NLAN'!F33*'TS-PILE'!$D$84/SUMSQ('TS-PILE'!$D$72:$D$91))),IF('TS-PILE'!$B$85="",1E+99,'TO HOP NLAN'!D33/ncoc+IF(SUMSQ('TS-PILE'!$E$72:$E$91)=0,0,'TO HOP NLAN'!E33*'TS-PILE'!$E$85/SUMSQ('TS-PILE'!$E$72:$E$91))+IF(SUMSQ('TS-PILE'!$D$72:$D$91)=0,0,'TO HOP NLAN'!F33*'TS-PILE'!$D$85/SUMSQ('TS-PILE'!$D$72:$D$91))),IF('TS-PILE'!$B$86="",1E+99,'TO HOP NLAN'!D33/ncoc+IF(SUMSQ('TS-PILE'!$E$72:$E$91)=0,0,'TO HOP NLAN'!E33*'TS-PILE'!$E$86/SUMSQ('TS-PILE'!$E$72:$E$91))+IF(SUMSQ('TS-PILE'!$D$72:$D$91)=0,0,'TO HOP NLAN'!F33*'TS-PILE'!$D$86/SUMSQ('TS-PILE'!$D$72:$D$91))),IF('TS-PILE'!$B$87="",1E+99,'TO HOP NLAN'!D33/ncoc+IF(SUMSQ('TS-PILE'!$E$72:$E$91)=0,0,'TO HOP NLAN'!E33*'TS-PILE'!$E$87/SUMSQ('TS-PILE'!$E$72:$E$91))+IF(SUMSQ('TS-PILE'!$D$72:$D$91)=0,0,'TO HOP NLAN'!F33*'TS-PILE'!$D$87/SUMSQ('TS-PILE'!$D$72:$D$91))),IF('TS-PILE'!$B$88="",1E+99,'TO HOP NLAN'!D33/ncoc+IF(SUMSQ('TS-PILE'!$E$72:$E$91)=0,0,'TO HOP NLAN'!E33*'TS-PILE'!$E$88/SUMSQ('TS-PILE'!$E$72:$E$91))+IF(SUMSQ('TS-PILE'!$D$72:$D$91)=0,0,'TO HOP NLAN'!F33*'TS-PILE'!$D$88/SUMSQ('TS-PILE'!$D$72:$D$91))),IF('TS-PILE'!$B$89="",1E+99,'TO HOP NLAN'!D33/ncoc+IF(SUMSQ('TS-PILE'!$E$72:$E$91)=0,0,'TO HOP NLAN'!E33*'TS-PILE'!$E$89/SUMSQ('TS-PILE'!$E$72:$E$91))+IF(SUMSQ('TS-PILE'!$D$72:$D$91)=0,0,'TO HOP NLAN'!F33*'TS-PILE'!$D$89/SUMSQ('TS-PILE'!$D$72:$D$91))),IF('TS-PILE'!$B$90="",1E+99,'TO HOP NLAN'!D33/ncoc+IF(SUMSQ('TS-PILE'!$E$72:$E$91)=0,0,'TO HOP NLAN'!E33*'TS-PILE'!$E$90/SUMSQ('TS-PILE'!$E$72:$E$91))+IF(SUMSQ('TS-PILE'!$D$72:$D$91)=0,0,'TO HOP NLAN'!F33*'TS-PILE'!$D$90/SUMSQ('TS-PILE'!$D$72:$D$91))),IF('TS-PILE'!$B$91="",1E+99,'TO HOP NLAN'!D33/ncoc+IF(SUMSQ('TS-PILE'!$E$72:$E$91)=0,0,'TO HOP NLAN'!E33*'TS-PILE'!$E$91/SUMSQ('TS-PILE'!$E$72:$E$91))+IF(SUMSQ('TS-PILE'!$D$72:$D$91)=0,0,'TO HOP NLAN'!F33*'TS-PILE'!$D$91/SUMSQ('TS-PILE'!$D$72:$D$91)))))</f>
        <v>0</v>
      </c>
      <c r="E33" s="58">
        <f t="shared" si="0"/>
        <v>-9.9999999999999997E+98</v>
      </c>
      <c r="F33" s="58">
        <f t="shared" si="1"/>
        <v>9.9999999999999997E+98</v>
      </c>
      <c r="G33" s="58">
        <f t="shared" si="2"/>
        <v>-9.9999999999999997E+98</v>
      </c>
      <c r="H33" s="58">
        <f t="shared" si="3"/>
        <v>9.9999999999999997E+98</v>
      </c>
    </row>
    <row r="34" spans="1:8" x14ac:dyDescent="0.3">
      <c r="A34" s="42" t="str">
        <f>'TO HOP NLAN'!A34</f>
        <v/>
      </c>
      <c r="B34" s="42" t="str">
        <f>'TO HOP NLAN'!L34</f>
        <v>SERVICE</v>
      </c>
      <c r="C34" s="58">
        <f>IF(A34="",0,MAX(IF('TS-PILE'!$B$72="",-1E+99,'TO HOP NLAN'!D34/ncoc+IF(SUMSQ('TS-PILE'!$E$72:$E$91)=0,0,'TO HOP NLAN'!E34*'TS-PILE'!$E$72/SUMSQ('TS-PILE'!$E$72:$E$91))+IF(SUMSQ('TS-PILE'!$D$72:$D$91)=0,0,'TO HOP NLAN'!F34*'TS-PILE'!$D$72/SUMSQ('TS-PILE'!$D$72:$D$91))),IF('TS-PILE'!$B$73="",-1E+99,'TO HOP NLAN'!D34/ncoc+IF(SUMSQ('TS-PILE'!$E$72:$E$91)=0,0,'TO HOP NLAN'!E34*'TS-PILE'!$E$73/SUMSQ('TS-PILE'!$E$72:$E$91))+IF(SUMSQ('TS-PILE'!$D$72:$D$91)=0,0,'TO HOP NLAN'!F34*'TS-PILE'!$D$73/SUMSQ('TS-PILE'!$D$72:$D$91))),IF('TS-PILE'!$B$74="",-1E+99,'TO HOP NLAN'!D34/ncoc+IF(SUMSQ('TS-PILE'!$E$72:$E$91)=0,0,'TO HOP NLAN'!E34*'TS-PILE'!$E$74/SUMSQ('TS-PILE'!$E$72:$E$91))+IF(SUMSQ('TS-PILE'!$D$72:$D$91)=0,0,'TO HOP NLAN'!F34*'TS-PILE'!$D$74/SUMSQ('TS-PILE'!$D$72:$D$91))),IF('TS-PILE'!$B$75="",-1E+99,'TO HOP NLAN'!D34/ncoc+IF(SUMSQ('TS-PILE'!$E$72:$E$91)=0,0,'TO HOP NLAN'!E34*'TS-PILE'!$E$75/SUMSQ('TS-PILE'!$E$72:$E$91))+IF(SUMSQ('TS-PILE'!$D$72:$D$91)=0,0,'TO HOP NLAN'!F34*'TS-PILE'!$D$75/SUMSQ('TS-PILE'!$D$72:$D$91))),IF('TS-PILE'!$B$76="",-1E+99,'TO HOP NLAN'!D34/ncoc+IF(SUMSQ('TS-PILE'!$E$72:$E$91)=0,0,'TO HOP NLAN'!E34*'TS-PILE'!$E$76/SUMSQ('TS-PILE'!$E$72:$E$91))+IF(SUMSQ('TS-PILE'!$D$72:$D$91)=0,0,'TO HOP NLAN'!F34*'TS-PILE'!$D$76/SUMSQ('TS-PILE'!$D$72:$D$91))),IF('TS-PILE'!$B$77="",-1E+99,'TO HOP NLAN'!D34/ncoc+IF(SUMSQ('TS-PILE'!$E$72:$E$91)=0,0,'TO HOP NLAN'!E34*'TS-PILE'!$E$77/SUMSQ('TS-PILE'!$E$72:$E$91))+IF(SUMSQ('TS-PILE'!$D$72:$D$91)=0,0,'TO HOP NLAN'!F34*'TS-PILE'!$D$77/SUMSQ('TS-PILE'!$D$72:$D$91))),IF('TS-PILE'!$B$78="",-1E+99,'TO HOP NLAN'!D34/ncoc+IF(SUMSQ('TS-PILE'!$E$72:$E$91)=0,0,'TO HOP NLAN'!E34*'TS-PILE'!$E$78/SUMSQ('TS-PILE'!$E$72:$E$91))+IF(SUMSQ('TS-PILE'!$D$72:$D$91)=0,0,'TO HOP NLAN'!F34*'TS-PILE'!$D$78/SUMSQ('TS-PILE'!$D$72:$D$91))),IF('TS-PILE'!$B$79="",-1E+99,'TO HOP NLAN'!D34/ncoc+IF(SUMSQ('TS-PILE'!$E$72:$E$91)=0,0,'TO HOP NLAN'!E34*'TS-PILE'!$E$79/SUMSQ('TS-PILE'!$E$72:$E$91))+IF(SUMSQ('TS-PILE'!$D$72:$D$91)=0,0,'TO HOP NLAN'!F34*'TS-PILE'!$D$79/SUMSQ('TS-PILE'!$D$72:$D$91))),IF('TS-PILE'!$B$80="",-1E+99,'TO HOP NLAN'!D34/ncoc+IF(SUMSQ('TS-PILE'!$E$72:$E$91)=0,0,'TO HOP NLAN'!E34*'TS-PILE'!$E$80/SUMSQ('TS-PILE'!$E$72:$E$91))+IF(SUMSQ('TS-PILE'!$D$72:$D$91)=0,0,'TO HOP NLAN'!F34*'TS-PILE'!$D$80/SUMSQ('TS-PILE'!$D$72:$D$91))),IF('TS-PILE'!$B$81="",-1E+99,'TO HOP NLAN'!D34/ncoc+IF(SUMSQ('TS-PILE'!$E$72:$E$91)=0,0,'TO HOP NLAN'!E34*'TS-PILE'!$E$81/SUMSQ('TS-PILE'!$E$72:$E$91))+IF(SUMSQ('TS-PILE'!$D$72:$D$91)=0,0,'TO HOP NLAN'!F34*'TS-PILE'!$D$81/SUMSQ('TS-PILE'!$D$72:$D$91))),IF('TS-PILE'!$B$82="",-1E+99,'TO HOP NLAN'!D34/ncoc+IF(SUMSQ('TS-PILE'!$E$72:$E$91)=0,0,'TO HOP NLAN'!E34*'TS-PILE'!$E$82/SUMSQ('TS-PILE'!$E$72:$E$91))+IF(SUMSQ('TS-PILE'!$D$72:$D$91)=0,0,'TO HOP NLAN'!F34*'TS-PILE'!$D$82/SUMSQ('TS-PILE'!$D$72:$D$91))),IF('TS-PILE'!$B$83="",-1E+99,'TO HOP NLAN'!D34/ncoc+IF(SUMSQ('TS-PILE'!$E$72:$E$91)=0,0,'TO HOP NLAN'!E34*'TS-PILE'!$E$83/SUMSQ('TS-PILE'!$E$72:$E$91))+IF(SUMSQ('TS-PILE'!$D$72:$D$91)=0,0,'TO HOP NLAN'!F34*'TS-PILE'!$D$83/SUMSQ('TS-PILE'!$D$72:$D$91))),IF('TS-PILE'!$B$84="",-1E+99,'TO HOP NLAN'!D34/ncoc+IF(SUMSQ('TS-PILE'!$E$72:$E$91)=0,0,'TO HOP NLAN'!E34*'TS-PILE'!$E$84/SUMSQ('TS-PILE'!$E$72:$E$91))+IF(SUMSQ('TS-PILE'!$D$72:$D$91)=0,0,'TO HOP NLAN'!F34*'TS-PILE'!$D$84/SUMSQ('TS-PILE'!$D$72:$D$91))),IF('TS-PILE'!$B$85="",-1E+99,'TO HOP NLAN'!D34/ncoc+IF(SUMSQ('TS-PILE'!$E$72:$E$91)=0,0,'TO HOP NLAN'!E34*'TS-PILE'!$E$85/SUMSQ('TS-PILE'!$E$72:$E$91))+IF(SUMSQ('TS-PILE'!$D$72:$D$91)=0,0,'TO HOP NLAN'!F34*'TS-PILE'!$D$85/SUMSQ('TS-PILE'!$D$72:$D$91))),IF('TS-PILE'!$B$86="",-1E+99,'TO HOP NLAN'!D34/ncoc+IF(SUMSQ('TS-PILE'!$E$72:$E$91)=0,0,'TO HOP NLAN'!E34*'TS-PILE'!$E$86/SUMSQ('TS-PILE'!$E$72:$E$91))+IF(SUMSQ('TS-PILE'!$D$72:$D$91)=0,0,'TO HOP NLAN'!F34*'TS-PILE'!$D$86/SUMSQ('TS-PILE'!$D$72:$D$91))),IF('TS-PILE'!$B$87="",-1E+99,'TO HOP NLAN'!D34/ncoc+IF(SUMSQ('TS-PILE'!$E$72:$E$91)=0,0,'TO HOP NLAN'!E34*'TS-PILE'!$E$87/SUMSQ('TS-PILE'!$E$72:$E$91))+IF(SUMSQ('TS-PILE'!$D$72:$D$91)=0,0,'TO HOP NLAN'!F34*'TS-PILE'!$D$87/SUMSQ('TS-PILE'!$D$72:$D$91))),IF('TS-PILE'!$B$88="",-1E+99,'TO HOP NLAN'!D34/ncoc+IF(SUMSQ('TS-PILE'!$E$72:$E$91)=0,0,'TO HOP NLAN'!E34*'TS-PILE'!$E$88/SUMSQ('TS-PILE'!$E$72:$E$91))+IF(SUMSQ('TS-PILE'!$D$72:$D$91)=0,0,'TO HOP NLAN'!F34*'TS-PILE'!$D$88/SUMSQ('TS-PILE'!$D$72:$D$91))),IF('TS-PILE'!$B$89="",-1E+99,'TO HOP NLAN'!D34/ncoc+IF(SUMSQ('TS-PILE'!$E$72:$E$91)=0,0,'TO HOP NLAN'!E34*'TS-PILE'!$E$89/SUMSQ('TS-PILE'!$E$72:$E$91))+IF(SUMSQ('TS-PILE'!$D$72:$D$91)=0,0,'TO HOP NLAN'!F34*'TS-PILE'!$D$89/SUMSQ('TS-PILE'!$D$72:$D$91))),IF('TS-PILE'!$B$90="",-1E+99,'TO HOP NLAN'!D34/ncoc+IF(SUMSQ('TS-PILE'!$E$72:$E$91)=0,0,'TO HOP NLAN'!E34*'TS-PILE'!$E$90/SUMSQ('TS-PILE'!$E$72:$E$91))+IF(SUMSQ('TS-PILE'!$D$72:$D$91)=0,0,'TO HOP NLAN'!F34*'TS-PILE'!$D$90/SUMSQ('TS-PILE'!$D$72:$D$91))),IF('TS-PILE'!$B$91="",-1E+99,'TO HOP NLAN'!D34/ncoc+IF(SUMSQ('TS-PILE'!$E$72:$E$91)=0,0,'TO HOP NLAN'!E34*'TS-PILE'!$E$91/SUMSQ('TS-PILE'!$E$72:$E$91))+IF(SUMSQ('TS-PILE'!$D$72:$D$91)=0,0,'TO HOP NLAN'!F34*'TS-PILE'!$D$91/SUMSQ('TS-PILE'!$D$72:$D$91)))))</f>
        <v>0</v>
      </c>
      <c r="D34" s="58">
        <f>IF(A34="",0,MIN(IF('TS-PILE'!$B$72="",1E+99,'TO HOP NLAN'!D34/ncoc+IF(SUMSQ('TS-PILE'!$E$72:$E$91)=0,0,'TO HOP NLAN'!E34*'TS-PILE'!$E$72/SUMSQ('TS-PILE'!$E$72:$E$91))+IF(SUMSQ('TS-PILE'!$D$72:$D$91)=0,0,'TO HOP NLAN'!F34*'TS-PILE'!$D$72/SUMSQ('TS-PILE'!$D$72:$D$91))),IF('TS-PILE'!$B$73="",1E+99,'TO HOP NLAN'!D34/ncoc+IF(SUMSQ('TS-PILE'!$E$72:$E$91)=0,0,'TO HOP NLAN'!E34*'TS-PILE'!$E$73/SUMSQ('TS-PILE'!$E$72:$E$91))+IF(SUMSQ('TS-PILE'!$D$72:$D$91)=0,0,'TO HOP NLAN'!F34*'TS-PILE'!$D$73/SUMSQ('TS-PILE'!$D$72:$D$91))),IF('TS-PILE'!$B$74="",1E+99,'TO HOP NLAN'!D34/ncoc+IF(SUMSQ('TS-PILE'!$E$72:$E$91)=0,0,'TO HOP NLAN'!E34*'TS-PILE'!$E$74/SUMSQ('TS-PILE'!$E$72:$E$91))+IF(SUMSQ('TS-PILE'!$D$72:$D$91)=0,0,'TO HOP NLAN'!F34*'TS-PILE'!$D$74/SUMSQ('TS-PILE'!$D$72:$D$91))),IF('TS-PILE'!$B$75="",1E+99,'TO HOP NLAN'!D34/ncoc+IF(SUMSQ('TS-PILE'!$E$72:$E$91)=0,0,'TO HOP NLAN'!E34*'TS-PILE'!$E$75/SUMSQ('TS-PILE'!$E$72:$E$91))+IF(SUMSQ('TS-PILE'!$D$72:$D$91)=0,0,'TO HOP NLAN'!F34*'TS-PILE'!$D$75/SUMSQ('TS-PILE'!$D$72:$D$91))),IF('TS-PILE'!$B$76="",1E+99,'TO HOP NLAN'!D34/ncoc+IF(SUMSQ('TS-PILE'!$E$72:$E$91)=0,0,'TO HOP NLAN'!E34*'TS-PILE'!$E$76/SUMSQ('TS-PILE'!$E$72:$E$91))+IF(SUMSQ('TS-PILE'!$D$72:$D$91)=0,0,'TO HOP NLAN'!F34*'TS-PILE'!$D$76/SUMSQ('TS-PILE'!$D$72:$D$91))),IF('TS-PILE'!$B$77="",1E+99,'TO HOP NLAN'!D34/ncoc+IF(SUMSQ('TS-PILE'!$E$72:$E$91)=0,0,'TO HOP NLAN'!E34*'TS-PILE'!$E$77/SUMSQ('TS-PILE'!$E$72:$E$91))+IF(SUMSQ('TS-PILE'!$D$72:$D$91)=0,0,'TO HOP NLAN'!F34*'TS-PILE'!$D$77/SUMSQ('TS-PILE'!$D$72:$D$91))),IF('TS-PILE'!$B$78="",1E+99,'TO HOP NLAN'!D34/ncoc+IF(SUMSQ('TS-PILE'!$E$72:$E$91)=0,0,'TO HOP NLAN'!E34*'TS-PILE'!$E$78/SUMSQ('TS-PILE'!$E$72:$E$91))+IF(SUMSQ('TS-PILE'!$D$72:$D$91)=0,0,'TO HOP NLAN'!F34*'TS-PILE'!$D$78/SUMSQ('TS-PILE'!$D$72:$D$91))),IF('TS-PILE'!$B$79="",1E+99,'TO HOP NLAN'!D34/ncoc+IF(SUMSQ('TS-PILE'!$E$72:$E$91)=0,0,'TO HOP NLAN'!E34*'TS-PILE'!$E$79/SUMSQ('TS-PILE'!$E$72:$E$91))+IF(SUMSQ('TS-PILE'!$D$72:$D$91)=0,0,'TO HOP NLAN'!F34*'TS-PILE'!$D$79/SUMSQ('TS-PILE'!$D$72:$D$91))),IF('TS-PILE'!$B$80="",1E+99,'TO HOP NLAN'!D34/ncoc+IF(SUMSQ('TS-PILE'!$E$72:$E$91)=0,0,'TO HOP NLAN'!E34*'TS-PILE'!$E$80/SUMSQ('TS-PILE'!$E$72:$E$91))+IF(SUMSQ('TS-PILE'!$D$72:$D$91)=0,0,'TO HOP NLAN'!F34*'TS-PILE'!$D$80/SUMSQ('TS-PILE'!$D$72:$D$91))),IF('TS-PILE'!$B$81="",1E+99,'TO HOP NLAN'!D34/ncoc+IF(SUMSQ('TS-PILE'!$E$72:$E$91)=0,0,'TO HOP NLAN'!E34*'TS-PILE'!$E$81/SUMSQ('TS-PILE'!$E$72:$E$91))+IF(SUMSQ('TS-PILE'!$D$72:$D$91)=0,0,'TO HOP NLAN'!F34*'TS-PILE'!$D$81/SUMSQ('TS-PILE'!$D$72:$D$91))),IF('TS-PILE'!$B$82="",1E+99,'TO HOP NLAN'!D34/ncoc+IF(SUMSQ('TS-PILE'!$E$72:$E$91)=0,0,'TO HOP NLAN'!E34*'TS-PILE'!$E$82/SUMSQ('TS-PILE'!$E$72:$E$91))+IF(SUMSQ('TS-PILE'!$D$72:$D$91)=0,0,'TO HOP NLAN'!F34*'TS-PILE'!$D$82/SUMSQ('TS-PILE'!$D$72:$D$91))),IF('TS-PILE'!$B$83="",1E+99,'TO HOP NLAN'!D34/ncoc+IF(SUMSQ('TS-PILE'!$E$72:$E$91)=0,0,'TO HOP NLAN'!E34*'TS-PILE'!$E$83/SUMSQ('TS-PILE'!$E$72:$E$91))+IF(SUMSQ('TS-PILE'!$D$72:$D$91)=0,0,'TO HOP NLAN'!F34*'TS-PILE'!$D$83/SUMSQ('TS-PILE'!$D$72:$D$91))),IF('TS-PILE'!$B$84="",1E+99,'TO HOP NLAN'!D34/ncoc+IF(SUMSQ('TS-PILE'!$E$72:$E$91)=0,0,'TO HOP NLAN'!E34*'TS-PILE'!$E$84/SUMSQ('TS-PILE'!$E$72:$E$91))+IF(SUMSQ('TS-PILE'!$D$72:$D$91)=0,0,'TO HOP NLAN'!F34*'TS-PILE'!$D$84/SUMSQ('TS-PILE'!$D$72:$D$91))),IF('TS-PILE'!$B$85="",1E+99,'TO HOP NLAN'!D34/ncoc+IF(SUMSQ('TS-PILE'!$E$72:$E$91)=0,0,'TO HOP NLAN'!E34*'TS-PILE'!$E$85/SUMSQ('TS-PILE'!$E$72:$E$91))+IF(SUMSQ('TS-PILE'!$D$72:$D$91)=0,0,'TO HOP NLAN'!F34*'TS-PILE'!$D$85/SUMSQ('TS-PILE'!$D$72:$D$91))),IF('TS-PILE'!$B$86="",1E+99,'TO HOP NLAN'!D34/ncoc+IF(SUMSQ('TS-PILE'!$E$72:$E$91)=0,0,'TO HOP NLAN'!E34*'TS-PILE'!$E$86/SUMSQ('TS-PILE'!$E$72:$E$91))+IF(SUMSQ('TS-PILE'!$D$72:$D$91)=0,0,'TO HOP NLAN'!F34*'TS-PILE'!$D$86/SUMSQ('TS-PILE'!$D$72:$D$91))),IF('TS-PILE'!$B$87="",1E+99,'TO HOP NLAN'!D34/ncoc+IF(SUMSQ('TS-PILE'!$E$72:$E$91)=0,0,'TO HOP NLAN'!E34*'TS-PILE'!$E$87/SUMSQ('TS-PILE'!$E$72:$E$91))+IF(SUMSQ('TS-PILE'!$D$72:$D$91)=0,0,'TO HOP NLAN'!F34*'TS-PILE'!$D$87/SUMSQ('TS-PILE'!$D$72:$D$91))),IF('TS-PILE'!$B$88="",1E+99,'TO HOP NLAN'!D34/ncoc+IF(SUMSQ('TS-PILE'!$E$72:$E$91)=0,0,'TO HOP NLAN'!E34*'TS-PILE'!$E$88/SUMSQ('TS-PILE'!$E$72:$E$91))+IF(SUMSQ('TS-PILE'!$D$72:$D$91)=0,0,'TO HOP NLAN'!F34*'TS-PILE'!$D$88/SUMSQ('TS-PILE'!$D$72:$D$91))),IF('TS-PILE'!$B$89="",1E+99,'TO HOP NLAN'!D34/ncoc+IF(SUMSQ('TS-PILE'!$E$72:$E$91)=0,0,'TO HOP NLAN'!E34*'TS-PILE'!$E$89/SUMSQ('TS-PILE'!$E$72:$E$91))+IF(SUMSQ('TS-PILE'!$D$72:$D$91)=0,0,'TO HOP NLAN'!F34*'TS-PILE'!$D$89/SUMSQ('TS-PILE'!$D$72:$D$91))),IF('TS-PILE'!$B$90="",1E+99,'TO HOP NLAN'!D34/ncoc+IF(SUMSQ('TS-PILE'!$E$72:$E$91)=0,0,'TO HOP NLAN'!E34*'TS-PILE'!$E$90/SUMSQ('TS-PILE'!$E$72:$E$91))+IF(SUMSQ('TS-PILE'!$D$72:$D$91)=0,0,'TO HOP NLAN'!F34*'TS-PILE'!$D$90/SUMSQ('TS-PILE'!$D$72:$D$91))),IF('TS-PILE'!$B$91="",1E+99,'TO HOP NLAN'!D34/ncoc+IF(SUMSQ('TS-PILE'!$E$72:$E$91)=0,0,'TO HOP NLAN'!E34*'TS-PILE'!$E$91/SUMSQ('TS-PILE'!$E$72:$E$91))+IF(SUMSQ('TS-PILE'!$D$72:$D$91)=0,0,'TO HOP NLAN'!F34*'TS-PILE'!$D$91/SUMSQ('TS-PILE'!$D$72:$D$91)))))</f>
        <v>0</v>
      </c>
      <c r="E34" s="58">
        <f t="shared" si="0"/>
        <v>-9.9999999999999997E+98</v>
      </c>
      <c r="F34" s="58">
        <f t="shared" si="1"/>
        <v>9.9999999999999997E+98</v>
      </c>
      <c r="G34" s="58">
        <f t="shared" si="2"/>
        <v>-9.9999999999999997E+98</v>
      </c>
      <c r="H34" s="58">
        <f t="shared" si="3"/>
        <v>9.9999999999999997E+98</v>
      </c>
    </row>
    <row r="35" spans="1:8" x14ac:dyDescent="0.3">
      <c r="A35" s="42" t="str">
        <f>'TO HOP NLAN'!A35</f>
        <v/>
      </c>
      <c r="B35" s="42" t="str">
        <f>'TO HOP NLAN'!L35</f>
        <v>SERVICE</v>
      </c>
      <c r="C35" s="58">
        <f>IF(A35="",0,MAX(IF('TS-PILE'!$B$72="",-1E+99,'TO HOP NLAN'!D35/ncoc+IF(SUMSQ('TS-PILE'!$E$72:$E$91)=0,0,'TO HOP NLAN'!E35*'TS-PILE'!$E$72/SUMSQ('TS-PILE'!$E$72:$E$91))+IF(SUMSQ('TS-PILE'!$D$72:$D$91)=0,0,'TO HOP NLAN'!F35*'TS-PILE'!$D$72/SUMSQ('TS-PILE'!$D$72:$D$91))),IF('TS-PILE'!$B$73="",-1E+99,'TO HOP NLAN'!D35/ncoc+IF(SUMSQ('TS-PILE'!$E$72:$E$91)=0,0,'TO HOP NLAN'!E35*'TS-PILE'!$E$73/SUMSQ('TS-PILE'!$E$72:$E$91))+IF(SUMSQ('TS-PILE'!$D$72:$D$91)=0,0,'TO HOP NLAN'!F35*'TS-PILE'!$D$73/SUMSQ('TS-PILE'!$D$72:$D$91))),IF('TS-PILE'!$B$74="",-1E+99,'TO HOP NLAN'!D35/ncoc+IF(SUMSQ('TS-PILE'!$E$72:$E$91)=0,0,'TO HOP NLAN'!E35*'TS-PILE'!$E$74/SUMSQ('TS-PILE'!$E$72:$E$91))+IF(SUMSQ('TS-PILE'!$D$72:$D$91)=0,0,'TO HOP NLAN'!F35*'TS-PILE'!$D$74/SUMSQ('TS-PILE'!$D$72:$D$91))),IF('TS-PILE'!$B$75="",-1E+99,'TO HOP NLAN'!D35/ncoc+IF(SUMSQ('TS-PILE'!$E$72:$E$91)=0,0,'TO HOP NLAN'!E35*'TS-PILE'!$E$75/SUMSQ('TS-PILE'!$E$72:$E$91))+IF(SUMSQ('TS-PILE'!$D$72:$D$91)=0,0,'TO HOP NLAN'!F35*'TS-PILE'!$D$75/SUMSQ('TS-PILE'!$D$72:$D$91))),IF('TS-PILE'!$B$76="",-1E+99,'TO HOP NLAN'!D35/ncoc+IF(SUMSQ('TS-PILE'!$E$72:$E$91)=0,0,'TO HOP NLAN'!E35*'TS-PILE'!$E$76/SUMSQ('TS-PILE'!$E$72:$E$91))+IF(SUMSQ('TS-PILE'!$D$72:$D$91)=0,0,'TO HOP NLAN'!F35*'TS-PILE'!$D$76/SUMSQ('TS-PILE'!$D$72:$D$91))),IF('TS-PILE'!$B$77="",-1E+99,'TO HOP NLAN'!D35/ncoc+IF(SUMSQ('TS-PILE'!$E$72:$E$91)=0,0,'TO HOP NLAN'!E35*'TS-PILE'!$E$77/SUMSQ('TS-PILE'!$E$72:$E$91))+IF(SUMSQ('TS-PILE'!$D$72:$D$91)=0,0,'TO HOP NLAN'!F35*'TS-PILE'!$D$77/SUMSQ('TS-PILE'!$D$72:$D$91))),IF('TS-PILE'!$B$78="",-1E+99,'TO HOP NLAN'!D35/ncoc+IF(SUMSQ('TS-PILE'!$E$72:$E$91)=0,0,'TO HOP NLAN'!E35*'TS-PILE'!$E$78/SUMSQ('TS-PILE'!$E$72:$E$91))+IF(SUMSQ('TS-PILE'!$D$72:$D$91)=0,0,'TO HOP NLAN'!F35*'TS-PILE'!$D$78/SUMSQ('TS-PILE'!$D$72:$D$91))),IF('TS-PILE'!$B$79="",-1E+99,'TO HOP NLAN'!D35/ncoc+IF(SUMSQ('TS-PILE'!$E$72:$E$91)=0,0,'TO HOP NLAN'!E35*'TS-PILE'!$E$79/SUMSQ('TS-PILE'!$E$72:$E$91))+IF(SUMSQ('TS-PILE'!$D$72:$D$91)=0,0,'TO HOP NLAN'!F35*'TS-PILE'!$D$79/SUMSQ('TS-PILE'!$D$72:$D$91))),IF('TS-PILE'!$B$80="",-1E+99,'TO HOP NLAN'!D35/ncoc+IF(SUMSQ('TS-PILE'!$E$72:$E$91)=0,0,'TO HOP NLAN'!E35*'TS-PILE'!$E$80/SUMSQ('TS-PILE'!$E$72:$E$91))+IF(SUMSQ('TS-PILE'!$D$72:$D$91)=0,0,'TO HOP NLAN'!F35*'TS-PILE'!$D$80/SUMSQ('TS-PILE'!$D$72:$D$91))),IF('TS-PILE'!$B$81="",-1E+99,'TO HOP NLAN'!D35/ncoc+IF(SUMSQ('TS-PILE'!$E$72:$E$91)=0,0,'TO HOP NLAN'!E35*'TS-PILE'!$E$81/SUMSQ('TS-PILE'!$E$72:$E$91))+IF(SUMSQ('TS-PILE'!$D$72:$D$91)=0,0,'TO HOP NLAN'!F35*'TS-PILE'!$D$81/SUMSQ('TS-PILE'!$D$72:$D$91))),IF('TS-PILE'!$B$82="",-1E+99,'TO HOP NLAN'!D35/ncoc+IF(SUMSQ('TS-PILE'!$E$72:$E$91)=0,0,'TO HOP NLAN'!E35*'TS-PILE'!$E$82/SUMSQ('TS-PILE'!$E$72:$E$91))+IF(SUMSQ('TS-PILE'!$D$72:$D$91)=0,0,'TO HOP NLAN'!F35*'TS-PILE'!$D$82/SUMSQ('TS-PILE'!$D$72:$D$91))),IF('TS-PILE'!$B$83="",-1E+99,'TO HOP NLAN'!D35/ncoc+IF(SUMSQ('TS-PILE'!$E$72:$E$91)=0,0,'TO HOP NLAN'!E35*'TS-PILE'!$E$83/SUMSQ('TS-PILE'!$E$72:$E$91))+IF(SUMSQ('TS-PILE'!$D$72:$D$91)=0,0,'TO HOP NLAN'!F35*'TS-PILE'!$D$83/SUMSQ('TS-PILE'!$D$72:$D$91))),IF('TS-PILE'!$B$84="",-1E+99,'TO HOP NLAN'!D35/ncoc+IF(SUMSQ('TS-PILE'!$E$72:$E$91)=0,0,'TO HOP NLAN'!E35*'TS-PILE'!$E$84/SUMSQ('TS-PILE'!$E$72:$E$91))+IF(SUMSQ('TS-PILE'!$D$72:$D$91)=0,0,'TO HOP NLAN'!F35*'TS-PILE'!$D$84/SUMSQ('TS-PILE'!$D$72:$D$91))),IF('TS-PILE'!$B$85="",-1E+99,'TO HOP NLAN'!D35/ncoc+IF(SUMSQ('TS-PILE'!$E$72:$E$91)=0,0,'TO HOP NLAN'!E35*'TS-PILE'!$E$85/SUMSQ('TS-PILE'!$E$72:$E$91))+IF(SUMSQ('TS-PILE'!$D$72:$D$91)=0,0,'TO HOP NLAN'!F35*'TS-PILE'!$D$85/SUMSQ('TS-PILE'!$D$72:$D$91))),IF('TS-PILE'!$B$86="",-1E+99,'TO HOP NLAN'!D35/ncoc+IF(SUMSQ('TS-PILE'!$E$72:$E$91)=0,0,'TO HOP NLAN'!E35*'TS-PILE'!$E$86/SUMSQ('TS-PILE'!$E$72:$E$91))+IF(SUMSQ('TS-PILE'!$D$72:$D$91)=0,0,'TO HOP NLAN'!F35*'TS-PILE'!$D$86/SUMSQ('TS-PILE'!$D$72:$D$91))),IF('TS-PILE'!$B$87="",-1E+99,'TO HOP NLAN'!D35/ncoc+IF(SUMSQ('TS-PILE'!$E$72:$E$91)=0,0,'TO HOP NLAN'!E35*'TS-PILE'!$E$87/SUMSQ('TS-PILE'!$E$72:$E$91))+IF(SUMSQ('TS-PILE'!$D$72:$D$91)=0,0,'TO HOP NLAN'!F35*'TS-PILE'!$D$87/SUMSQ('TS-PILE'!$D$72:$D$91))),IF('TS-PILE'!$B$88="",-1E+99,'TO HOP NLAN'!D35/ncoc+IF(SUMSQ('TS-PILE'!$E$72:$E$91)=0,0,'TO HOP NLAN'!E35*'TS-PILE'!$E$88/SUMSQ('TS-PILE'!$E$72:$E$91))+IF(SUMSQ('TS-PILE'!$D$72:$D$91)=0,0,'TO HOP NLAN'!F35*'TS-PILE'!$D$88/SUMSQ('TS-PILE'!$D$72:$D$91))),IF('TS-PILE'!$B$89="",-1E+99,'TO HOP NLAN'!D35/ncoc+IF(SUMSQ('TS-PILE'!$E$72:$E$91)=0,0,'TO HOP NLAN'!E35*'TS-PILE'!$E$89/SUMSQ('TS-PILE'!$E$72:$E$91))+IF(SUMSQ('TS-PILE'!$D$72:$D$91)=0,0,'TO HOP NLAN'!F35*'TS-PILE'!$D$89/SUMSQ('TS-PILE'!$D$72:$D$91))),IF('TS-PILE'!$B$90="",-1E+99,'TO HOP NLAN'!D35/ncoc+IF(SUMSQ('TS-PILE'!$E$72:$E$91)=0,0,'TO HOP NLAN'!E35*'TS-PILE'!$E$90/SUMSQ('TS-PILE'!$E$72:$E$91))+IF(SUMSQ('TS-PILE'!$D$72:$D$91)=0,0,'TO HOP NLAN'!F35*'TS-PILE'!$D$90/SUMSQ('TS-PILE'!$D$72:$D$91))),IF('TS-PILE'!$B$91="",-1E+99,'TO HOP NLAN'!D35/ncoc+IF(SUMSQ('TS-PILE'!$E$72:$E$91)=0,0,'TO HOP NLAN'!E35*'TS-PILE'!$E$91/SUMSQ('TS-PILE'!$E$72:$E$91))+IF(SUMSQ('TS-PILE'!$D$72:$D$91)=0,0,'TO HOP NLAN'!F35*'TS-PILE'!$D$91/SUMSQ('TS-PILE'!$D$72:$D$91)))))</f>
        <v>0</v>
      </c>
      <c r="D35" s="58">
        <f>IF(A35="",0,MIN(IF('TS-PILE'!$B$72="",1E+99,'TO HOP NLAN'!D35/ncoc+IF(SUMSQ('TS-PILE'!$E$72:$E$91)=0,0,'TO HOP NLAN'!E35*'TS-PILE'!$E$72/SUMSQ('TS-PILE'!$E$72:$E$91))+IF(SUMSQ('TS-PILE'!$D$72:$D$91)=0,0,'TO HOP NLAN'!F35*'TS-PILE'!$D$72/SUMSQ('TS-PILE'!$D$72:$D$91))),IF('TS-PILE'!$B$73="",1E+99,'TO HOP NLAN'!D35/ncoc+IF(SUMSQ('TS-PILE'!$E$72:$E$91)=0,0,'TO HOP NLAN'!E35*'TS-PILE'!$E$73/SUMSQ('TS-PILE'!$E$72:$E$91))+IF(SUMSQ('TS-PILE'!$D$72:$D$91)=0,0,'TO HOP NLAN'!F35*'TS-PILE'!$D$73/SUMSQ('TS-PILE'!$D$72:$D$91))),IF('TS-PILE'!$B$74="",1E+99,'TO HOP NLAN'!D35/ncoc+IF(SUMSQ('TS-PILE'!$E$72:$E$91)=0,0,'TO HOP NLAN'!E35*'TS-PILE'!$E$74/SUMSQ('TS-PILE'!$E$72:$E$91))+IF(SUMSQ('TS-PILE'!$D$72:$D$91)=0,0,'TO HOP NLAN'!F35*'TS-PILE'!$D$74/SUMSQ('TS-PILE'!$D$72:$D$91))),IF('TS-PILE'!$B$75="",1E+99,'TO HOP NLAN'!D35/ncoc+IF(SUMSQ('TS-PILE'!$E$72:$E$91)=0,0,'TO HOP NLAN'!E35*'TS-PILE'!$E$75/SUMSQ('TS-PILE'!$E$72:$E$91))+IF(SUMSQ('TS-PILE'!$D$72:$D$91)=0,0,'TO HOP NLAN'!F35*'TS-PILE'!$D$75/SUMSQ('TS-PILE'!$D$72:$D$91))),IF('TS-PILE'!$B$76="",1E+99,'TO HOP NLAN'!D35/ncoc+IF(SUMSQ('TS-PILE'!$E$72:$E$91)=0,0,'TO HOP NLAN'!E35*'TS-PILE'!$E$76/SUMSQ('TS-PILE'!$E$72:$E$91))+IF(SUMSQ('TS-PILE'!$D$72:$D$91)=0,0,'TO HOP NLAN'!F35*'TS-PILE'!$D$76/SUMSQ('TS-PILE'!$D$72:$D$91))),IF('TS-PILE'!$B$77="",1E+99,'TO HOP NLAN'!D35/ncoc+IF(SUMSQ('TS-PILE'!$E$72:$E$91)=0,0,'TO HOP NLAN'!E35*'TS-PILE'!$E$77/SUMSQ('TS-PILE'!$E$72:$E$91))+IF(SUMSQ('TS-PILE'!$D$72:$D$91)=0,0,'TO HOP NLAN'!F35*'TS-PILE'!$D$77/SUMSQ('TS-PILE'!$D$72:$D$91))),IF('TS-PILE'!$B$78="",1E+99,'TO HOP NLAN'!D35/ncoc+IF(SUMSQ('TS-PILE'!$E$72:$E$91)=0,0,'TO HOP NLAN'!E35*'TS-PILE'!$E$78/SUMSQ('TS-PILE'!$E$72:$E$91))+IF(SUMSQ('TS-PILE'!$D$72:$D$91)=0,0,'TO HOP NLAN'!F35*'TS-PILE'!$D$78/SUMSQ('TS-PILE'!$D$72:$D$91))),IF('TS-PILE'!$B$79="",1E+99,'TO HOP NLAN'!D35/ncoc+IF(SUMSQ('TS-PILE'!$E$72:$E$91)=0,0,'TO HOP NLAN'!E35*'TS-PILE'!$E$79/SUMSQ('TS-PILE'!$E$72:$E$91))+IF(SUMSQ('TS-PILE'!$D$72:$D$91)=0,0,'TO HOP NLAN'!F35*'TS-PILE'!$D$79/SUMSQ('TS-PILE'!$D$72:$D$91))),IF('TS-PILE'!$B$80="",1E+99,'TO HOP NLAN'!D35/ncoc+IF(SUMSQ('TS-PILE'!$E$72:$E$91)=0,0,'TO HOP NLAN'!E35*'TS-PILE'!$E$80/SUMSQ('TS-PILE'!$E$72:$E$91))+IF(SUMSQ('TS-PILE'!$D$72:$D$91)=0,0,'TO HOP NLAN'!F35*'TS-PILE'!$D$80/SUMSQ('TS-PILE'!$D$72:$D$91))),IF('TS-PILE'!$B$81="",1E+99,'TO HOP NLAN'!D35/ncoc+IF(SUMSQ('TS-PILE'!$E$72:$E$91)=0,0,'TO HOP NLAN'!E35*'TS-PILE'!$E$81/SUMSQ('TS-PILE'!$E$72:$E$91))+IF(SUMSQ('TS-PILE'!$D$72:$D$91)=0,0,'TO HOP NLAN'!F35*'TS-PILE'!$D$81/SUMSQ('TS-PILE'!$D$72:$D$91))),IF('TS-PILE'!$B$82="",1E+99,'TO HOP NLAN'!D35/ncoc+IF(SUMSQ('TS-PILE'!$E$72:$E$91)=0,0,'TO HOP NLAN'!E35*'TS-PILE'!$E$82/SUMSQ('TS-PILE'!$E$72:$E$91))+IF(SUMSQ('TS-PILE'!$D$72:$D$91)=0,0,'TO HOP NLAN'!F35*'TS-PILE'!$D$82/SUMSQ('TS-PILE'!$D$72:$D$91))),IF('TS-PILE'!$B$83="",1E+99,'TO HOP NLAN'!D35/ncoc+IF(SUMSQ('TS-PILE'!$E$72:$E$91)=0,0,'TO HOP NLAN'!E35*'TS-PILE'!$E$83/SUMSQ('TS-PILE'!$E$72:$E$91))+IF(SUMSQ('TS-PILE'!$D$72:$D$91)=0,0,'TO HOP NLAN'!F35*'TS-PILE'!$D$83/SUMSQ('TS-PILE'!$D$72:$D$91))),IF('TS-PILE'!$B$84="",1E+99,'TO HOP NLAN'!D35/ncoc+IF(SUMSQ('TS-PILE'!$E$72:$E$91)=0,0,'TO HOP NLAN'!E35*'TS-PILE'!$E$84/SUMSQ('TS-PILE'!$E$72:$E$91))+IF(SUMSQ('TS-PILE'!$D$72:$D$91)=0,0,'TO HOP NLAN'!F35*'TS-PILE'!$D$84/SUMSQ('TS-PILE'!$D$72:$D$91))),IF('TS-PILE'!$B$85="",1E+99,'TO HOP NLAN'!D35/ncoc+IF(SUMSQ('TS-PILE'!$E$72:$E$91)=0,0,'TO HOP NLAN'!E35*'TS-PILE'!$E$85/SUMSQ('TS-PILE'!$E$72:$E$91))+IF(SUMSQ('TS-PILE'!$D$72:$D$91)=0,0,'TO HOP NLAN'!F35*'TS-PILE'!$D$85/SUMSQ('TS-PILE'!$D$72:$D$91))),IF('TS-PILE'!$B$86="",1E+99,'TO HOP NLAN'!D35/ncoc+IF(SUMSQ('TS-PILE'!$E$72:$E$91)=0,0,'TO HOP NLAN'!E35*'TS-PILE'!$E$86/SUMSQ('TS-PILE'!$E$72:$E$91))+IF(SUMSQ('TS-PILE'!$D$72:$D$91)=0,0,'TO HOP NLAN'!F35*'TS-PILE'!$D$86/SUMSQ('TS-PILE'!$D$72:$D$91))),IF('TS-PILE'!$B$87="",1E+99,'TO HOP NLAN'!D35/ncoc+IF(SUMSQ('TS-PILE'!$E$72:$E$91)=0,0,'TO HOP NLAN'!E35*'TS-PILE'!$E$87/SUMSQ('TS-PILE'!$E$72:$E$91))+IF(SUMSQ('TS-PILE'!$D$72:$D$91)=0,0,'TO HOP NLAN'!F35*'TS-PILE'!$D$87/SUMSQ('TS-PILE'!$D$72:$D$91))),IF('TS-PILE'!$B$88="",1E+99,'TO HOP NLAN'!D35/ncoc+IF(SUMSQ('TS-PILE'!$E$72:$E$91)=0,0,'TO HOP NLAN'!E35*'TS-PILE'!$E$88/SUMSQ('TS-PILE'!$E$72:$E$91))+IF(SUMSQ('TS-PILE'!$D$72:$D$91)=0,0,'TO HOP NLAN'!F35*'TS-PILE'!$D$88/SUMSQ('TS-PILE'!$D$72:$D$91))),IF('TS-PILE'!$B$89="",1E+99,'TO HOP NLAN'!D35/ncoc+IF(SUMSQ('TS-PILE'!$E$72:$E$91)=0,0,'TO HOP NLAN'!E35*'TS-PILE'!$E$89/SUMSQ('TS-PILE'!$E$72:$E$91))+IF(SUMSQ('TS-PILE'!$D$72:$D$91)=0,0,'TO HOP NLAN'!F35*'TS-PILE'!$D$89/SUMSQ('TS-PILE'!$D$72:$D$91))),IF('TS-PILE'!$B$90="",1E+99,'TO HOP NLAN'!D35/ncoc+IF(SUMSQ('TS-PILE'!$E$72:$E$91)=0,0,'TO HOP NLAN'!E35*'TS-PILE'!$E$90/SUMSQ('TS-PILE'!$E$72:$E$91))+IF(SUMSQ('TS-PILE'!$D$72:$D$91)=0,0,'TO HOP NLAN'!F35*'TS-PILE'!$D$90/SUMSQ('TS-PILE'!$D$72:$D$91))),IF('TS-PILE'!$B$91="",1E+99,'TO HOP NLAN'!D35/ncoc+IF(SUMSQ('TS-PILE'!$E$72:$E$91)=0,0,'TO HOP NLAN'!E35*'TS-PILE'!$E$91/SUMSQ('TS-PILE'!$E$72:$E$91))+IF(SUMSQ('TS-PILE'!$D$72:$D$91)=0,0,'TO HOP NLAN'!F35*'TS-PILE'!$D$91/SUMSQ('TS-PILE'!$D$72:$D$91)))))</f>
        <v>0</v>
      </c>
      <c r="E35" s="58">
        <f t="shared" si="0"/>
        <v>-9.9999999999999997E+98</v>
      </c>
      <c r="F35" s="58">
        <f t="shared" si="1"/>
        <v>9.9999999999999997E+98</v>
      </c>
      <c r="G35" s="58">
        <f t="shared" si="2"/>
        <v>-9.9999999999999997E+98</v>
      </c>
      <c r="H35" s="58">
        <f t="shared" si="3"/>
        <v>9.9999999999999997E+98</v>
      </c>
    </row>
    <row r="36" spans="1:8" x14ac:dyDescent="0.3">
      <c r="A36" s="42" t="str">
        <f>'TO HOP NLAN'!A36</f>
        <v/>
      </c>
      <c r="B36" s="42" t="str">
        <f>'TO HOP NLAN'!L36</f>
        <v>SERVICE</v>
      </c>
      <c r="C36" s="58">
        <f>IF(A36="",0,MAX(IF('TS-PILE'!$B$72="",-1E+99,'TO HOP NLAN'!D36/ncoc+IF(SUMSQ('TS-PILE'!$E$72:$E$91)=0,0,'TO HOP NLAN'!E36*'TS-PILE'!$E$72/SUMSQ('TS-PILE'!$E$72:$E$91))+IF(SUMSQ('TS-PILE'!$D$72:$D$91)=0,0,'TO HOP NLAN'!F36*'TS-PILE'!$D$72/SUMSQ('TS-PILE'!$D$72:$D$91))),IF('TS-PILE'!$B$73="",-1E+99,'TO HOP NLAN'!D36/ncoc+IF(SUMSQ('TS-PILE'!$E$72:$E$91)=0,0,'TO HOP NLAN'!E36*'TS-PILE'!$E$73/SUMSQ('TS-PILE'!$E$72:$E$91))+IF(SUMSQ('TS-PILE'!$D$72:$D$91)=0,0,'TO HOP NLAN'!F36*'TS-PILE'!$D$73/SUMSQ('TS-PILE'!$D$72:$D$91))),IF('TS-PILE'!$B$74="",-1E+99,'TO HOP NLAN'!D36/ncoc+IF(SUMSQ('TS-PILE'!$E$72:$E$91)=0,0,'TO HOP NLAN'!E36*'TS-PILE'!$E$74/SUMSQ('TS-PILE'!$E$72:$E$91))+IF(SUMSQ('TS-PILE'!$D$72:$D$91)=0,0,'TO HOP NLAN'!F36*'TS-PILE'!$D$74/SUMSQ('TS-PILE'!$D$72:$D$91))),IF('TS-PILE'!$B$75="",-1E+99,'TO HOP NLAN'!D36/ncoc+IF(SUMSQ('TS-PILE'!$E$72:$E$91)=0,0,'TO HOP NLAN'!E36*'TS-PILE'!$E$75/SUMSQ('TS-PILE'!$E$72:$E$91))+IF(SUMSQ('TS-PILE'!$D$72:$D$91)=0,0,'TO HOP NLAN'!F36*'TS-PILE'!$D$75/SUMSQ('TS-PILE'!$D$72:$D$91))),IF('TS-PILE'!$B$76="",-1E+99,'TO HOP NLAN'!D36/ncoc+IF(SUMSQ('TS-PILE'!$E$72:$E$91)=0,0,'TO HOP NLAN'!E36*'TS-PILE'!$E$76/SUMSQ('TS-PILE'!$E$72:$E$91))+IF(SUMSQ('TS-PILE'!$D$72:$D$91)=0,0,'TO HOP NLAN'!F36*'TS-PILE'!$D$76/SUMSQ('TS-PILE'!$D$72:$D$91))),IF('TS-PILE'!$B$77="",-1E+99,'TO HOP NLAN'!D36/ncoc+IF(SUMSQ('TS-PILE'!$E$72:$E$91)=0,0,'TO HOP NLAN'!E36*'TS-PILE'!$E$77/SUMSQ('TS-PILE'!$E$72:$E$91))+IF(SUMSQ('TS-PILE'!$D$72:$D$91)=0,0,'TO HOP NLAN'!F36*'TS-PILE'!$D$77/SUMSQ('TS-PILE'!$D$72:$D$91))),IF('TS-PILE'!$B$78="",-1E+99,'TO HOP NLAN'!D36/ncoc+IF(SUMSQ('TS-PILE'!$E$72:$E$91)=0,0,'TO HOP NLAN'!E36*'TS-PILE'!$E$78/SUMSQ('TS-PILE'!$E$72:$E$91))+IF(SUMSQ('TS-PILE'!$D$72:$D$91)=0,0,'TO HOP NLAN'!F36*'TS-PILE'!$D$78/SUMSQ('TS-PILE'!$D$72:$D$91))),IF('TS-PILE'!$B$79="",-1E+99,'TO HOP NLAN'!D36/ncoc+IF(SUMSQ('TS-PILE'!$E$72:$E$91)=0,0,'TO HOP NLAN'!E36*'TS-PILE'!$E$79/SUMSQ('TS-PILE'!$E$72:$E$91))+IF(SUMSQ('TS-PILE'!$D$72:$D$91)=0,0,'TO HOP NLAN'!F36*'TS-PILE'!$D$79/SUMSQ('TS-PILE'!$D$72:$D$91))),IF('TS-PILE'!$B$80="",-1E+99,'TO HOP NLAN'!D36/ncoc+IF(SUMSQ('TS-PILE'!$E$72:$E$91)=0,0,'TO HOP NLAN'!E36*'TS-PILE'!$E$80/SUMSQ('TS-PILE'!$E$72:$E$91))+IF(SUMSQ('TS-PILE'!$D$72:$D$91)=0,0,'TO HOP NLAN'!F36*'TS-PILE'!$D$80/SUMSQ('TS-PILE'!$D$72:$D$91))),IF('TS-PILE'!$B$81="",-1E+99,'TO HOP NLAN'!D36/ncoc+IF(SUMSQ('TS-PILE'!$E$72:$E$91)=0,0,'TO HOP NLAN'!E36*'TS-PILE'!$E$81/SUMSQ('TS-PILE'!$E$72:$E$91))+IF(SUMSQ('TS-PILE'!$D$72:$D$91)=0,0,'TO HOP NLAN'!F36*'TS-PILE'!$D$81/SUMSQ('TS-PILE'!$D$72:$D$91))),IF('TS-PILE'!$B$82="",-1E+99,'TO HOP NLAN'!D36/ncoc+IF(SUMSQ('TS-PILE'!$E$72:$E$91)=0,0,'TO HOP NLAN'!E36*'TS-PILE'!$E$82/SUMSQ('TS-PILE'!$E$72:$E$91))+IF(SUMSQ('TS-PILE'!$D$72:$D$91)=0,0,'TO HOP NLAN'!F36*'TS-PILE'!$D$82/SUMSQ('TS-PILE'!$D$72:$D$91))),IF('TS-PILE'!$B$83="",-1E+99,'TO HOP NLAN'!D36/ncoc+IF(SUMSQ('TS-PILE'!$E$72:$E$91)=0,0,'TO HOP NLAN'!E36*'TS-PILE'!$E$83/SUMSQ('TS-PILE'!$E$72:$E$91))+IF(SUMSQ('TS-PILE'!$D$72:$D$91)=0,0,'TO HOP NLAN'!F36*'TS-PILE'!$D$83/SUMSQ('TS-PILE'!$D$72:$D$91))),IF('TS-PILE'!$B$84="",-1E+99,'TO HOP NLAN'!D36/ncoc+IF(SUMSQ('TS-PILE'!$E$72:$E$91)=0,0,'TO HOP NLAN'!E36*'TS-PILE'!$E$84/SUMSQ('TS-PILE'!$E$72:$E$91))+IF(SUMSQ('TS-PILE'!$D$72:$D$91)=0,0,'TO HOP NLAN'!F36*'TS-PILE'!$D$84/SUMSQ('TS-PILE'!$D$72:$D$91))),IF('TS-PILE'!$B$85="",-1E+99,'TO HOP NLAN'!D36/ncoc+IF(SUMSQ('TS-PILE'!$E$72:$E$91)=0,0,'TO HOP NLAN'!E36*'TS-PILE'!$E$85/SUMSQ('TS-PILE'!$E$72:$E$91))+IF(SUMSQ('TS-PILE'!$D$72:$D$91)=0,0,'TO HOP NLAN'!F36*'TS-PILE'!$D$85/SUMSQ('TS-PILE'!$D$72:$D$91))),IF('TS-PILE'!$B$86="",-1E+99,'TO HOP NLAN'!D36/ncoc+IF(SUMSQ('TS-PILE'!$E$72:$E$91)=0,0,'TO HOP NLAN'!E36*'TS-PILE'!$E$86/SUMSQ('TS-PILE'!$E$72:$E$91))+IF(SUMSQ('TS-PILE'!$D$72:$D$91)=0,0,'TO HOP NLAN'!F36*'TS-PILE'!$D$86/SUMSQ('TS-PILE'!$D$72:$D$91))),IF('TS-PILE'!$B$87="",-1E+99,'TO HOP NLAN'!D36/ncoc+IF(SUMSQ('TS-PILE'!$E$72:$E$91)=0,0,'TO HOP NLAN'!E36*'TS-PILE'!$E$87/SUMSQ('TS-PILE'!$E$72:$E$91))+IF(SUMSQ('TS-PILE'!$D$72:$D$91)=0,0,'TO HOP NLAN'!F36*'TS-PILE'!$D$87/SUMSQ('TS-PILE'!$D$72:$D$91))),IF('TS-PILE'!$B$88="",-1E+99,'TO HOP NLAN'!D36/ncoc+IF(SUMSQ('TS-PILE'!$E$72:$E$91)=0,0,'TO HOP NLAN'!E36*'TS-PILE'!$E$88/SUMSQ('TS-PILE'!$E$72:$E$91))+IF(SUMSQ('TS-PILE'!$D$72:$D$91)=0,0,'TO HOP NLAN'!F36*'TS-PILE'!$D$88/SUMSQ('TS-PILE'!$D$72:$D$91))),IF('TS-PILE'!$B$89="",-1E+99,'TO HOP NLAN'!D36/ncoc+IF(SUMSQ('TS-PILE'!$E$72:$E$91)=0,0,'TO HOP NLAN'!E36*'TS-PILE'!$E$89/SUMSQ('TS-PILE'!$E$72:$E$91))+IF(SUMSQ('TS-PILE'!$D$72:$D$91)=0,0,'TO HOP NLAN'!F36*'TS-PILE'!$D$89/SUMSQ('TS-PILE'!$D$72:$D$91))),IF('TS-PILE'!$B$90="",-1E+99,'TO HOP NLAN'!D36/ncoc+IF(SUMSQ('TS-PILE'!$E$72:$E$91)=0,0,'TO HOP NLAN'!E36*'TS-PILE'!$E$90/SUMSQ('TS-PILE'!$E$72:$E$91))+IF(SUMSQ('TS-PILE'!$D$72:$D$91)=0,0,'TO HOP NLAN'!F36*'TS-PILE'!$D$90/SUMSQ('TS-PILE'!$D$72:$D$91))),IF('TS-PILE'!$B$91="",-1E+99,'TO HOP NLAN'!D36/ncoc+IF(SUMSQ('TS-PILE'!$E$72:$E$91)=0,0,'TO HOP NLAN'!E36*'TS-PILE'!$E$91/SUMSQ('TS-PILE'!$E$72:$E$91))+IF(SUMSQ('TS-PILE'!$D$72:$D$91)=0,0,'TO HOP NLAN'!F36*'TS-PILE'!$D$91/SUMSQ('TS-PILE'!$D$72:$D$91)))))</f>
        <v>0</v>
      </c>
      <c r="D36" s="58">
        <f>IF(A36="",0,MIN(IF('TS-PILE'!$B$72="",1E+99,'TO HOP NLAN'!D36/ncoc+IF(SUMSQ('TS-PILE'!$E$72:$E$91)=0,0,'TO HOP NLAN'!E36*'TS-PILE'!$E$72/SUMSQ('TS-PILE'!$E$72:$E$91))+IF(SUMSQ('TS-PILE'!$D$72:$D$91)=0,0,'TO HOP NLAN'!F36*'TS-PILE'!$D$72/SUMSQ('TS-PILE'!$D$72:$D$91))),IF('TS-PILE'!$B$73="",1E+99,'TO HOP NLAN'!D36/ncoc+IF(SUMSQ('TS-PILE'!$E$72:$E$91)=0,0,'TO HOP NLAN'!E36*'TS-PILE'!$E$73/SUMSQ('TS-PILE'!$E$72:$E$91))+IF(SUMSQ('TS-PILE'!$D$72:$D$91)=0,0,'TO HOP NLAN'!F36*'TS-PILE'!$D$73/SUMSQ('TS-PILE'!$D$72:$D$91))),IF('TS-PILE'!$B$74="",1E+99,'TO HOP NLAN'!D36/ncoc+IF(SUMSQ('TS-PILE'!$E$72:$E$91)=0,0,'TO HOP NLAN'!E36*'TS-PILE'!$E$74/SUMSQ('TS-PILE'!$E$72:$E$91))+IF(SUMSQ('TS-PILE'!$D$72:$D$91)=0,0,'TO HOP NLAN'!F36*'TS-PILE'!$D$74/SUMSQ('TS-PILE'!$D$72:$D$91))),IF('TS-PILE'!$B$75="",1E+99,'TO HOP NLAN'!D36/ncoc+IF(SUMSQ('TS-PILE'!$E$72:$E$91)=0,0,'TO HOP NLAN'!E36*'TS-PILE'!$E$75/SUMSQ('TS-PILE'!$E$72:$E$91))+IF(SUMSQ('TS-PILE'!$D$72:$D$91)=0,0,'TO HOP NLAN'!F36*'TS-PILE'!$D$75/SUMSQ('TS-PILE'!$D$72:$D$91))),IF('TS-PILE'!$B$76="",1E+99,'TO HOP NLAN'!D36/ncoc+IF(SUMSQ('TS-PILE'!$E$72:$E$91)=0,0,'TO HOP NLAN'!E36*'TS-PILE'!$E$76/SUMSQ('TS-PILE'!$E$72:$E$91))+IF(SUMSQ('TS-PILE'!$D$72:$D$91)=0,0,'TO HOP NLAN'!F36*'TS-PILE'!$D$76/SUMSQ('TS-PILE'!$D$72:$D$91))),IF('TS-PILE'!$B$77="",1E+99,'TO HOP NLAN'!D36/ncoc+IF(SUMSQ('TS-PILE'!$E$72:$E$91)=0,0,'TO HOP NLAN'!E36*'TS-PILE'!$E$77/SUMSQ('TS-PILE'!$E$72:$E$91))+IF(SUMSQ('TS-PILE'!$D$72:$D$91)=0,0,'TO HOP NLAN'!F36*'TS-PILE'!$D$77/SUMSQ('TS-PILE'!$D$72:$D$91))),IF('TS-PILE'!$B$78="",1E+99,'TO HOP NLAN'!D36/ncoc+IF(SUMSQ('TS-PILE'!$E$72:$E$91)=0,0,'TO HOP NLAN'!E36*'TS-PILE'!$E$78/SUMSQ('TS-PILE'!$E$72:$E$91))+IF(SUMSQ('TS-PILE'!$D$72:$D$91)=0,0,'TO HOP NLAN'!F36*'TS-PILE'!$D$78/SUMSQ('TS-PILE'!$D$72:$D$91))),IF('TS-PILE'!$B$79="",1E+99,'TO HOP NLAN'!D36/ncoc+IF(SUMSQ('TS-PILE'!$E$72:$E$91)=0,0,'TO HOP NLAN'!E36*'TS-PILE'!$E$79/SUMSQ('TS-PILE'!$E$72:$E$91))+IF(SUMSQ('TS-PILE'!$D$72:$D$91)=0,0,'TO HOP NLAN'!F36*'TS-PILE'!$D$79/SUMSQ('TS-PILE'!$D$72:$D$91))),IF('TS-PILE'!$B$80="",1E+99,'TO HOP NLAN'!D36/ncoc+IF(SUMSQ('TS-PILE'!$E$72:$E$91)=0,0,'TO HOP NLAN'!E36*'TS-PILE'!$E$80/SUMSQ('TS-PILE'!$E$72:$E$91))+IF(SUMSQ('TS-PILE'!$D$72:$D$91)=0,0,'TO HOP NLAN'!F36*'TS-PILE'!$D$80/SUMSQ('TS-PILE'!$D$72:$D$91))),IF('TS-PILE'!$B$81="",1E+99,'TO HOP NLAN'!D36/ncoc+IF(SUMSQ('TS-PILE'!$E$72:$E$91)=0,0,'TO HOP NLAN'!E36*'TS-PILE'!$E$81/SUMSQ('TS-PILE'!$E$72:$E$91))+IF(SUMSQ('TS-PILE'!$D$72:$D$91)=0,0,'TO HOP NLAN'!F36*'TS-PILE'!$D$81/SUMSQ('TS-PILE'!$D$72:$D$91))),IF('TS-PILE'!$B$82="",1E+99,'TO HOP NLAN'!D36/ncoc+IF(SUMSQ('TS-PILE'!$E$72:$E$91)=0,0,'TO HOP NLAN'!E36*'TS-PILE'!$E$82/SUMSQ('TS-PILE'!$E$72:$E$91))+IF(SUMSQ('TS-PILE'!$D$72:$D$91)=0,0,'TO HOP NLAN'!F36*'TS-PILE'!$D$82/SUMSQ('TS-PILE'!$D$72:$D$91))),IF('TS-PILE'!$B$83="",1E+99,'TO HOP NLAN'!D36/ncoc+IF(SUMSQ('TS-PILE'!$E$72:$E$91)=0,0,'TO HOP NLAN'!E36*'TS-PILE'!$E$83/SUMSQ('TS-PILE'!$E$72:$E$91))+IF(SUMSQ('TS-PILE'!$D$72:$D$91)=0,0,'TO HOP NLAN'!F36*'TS-PILE'!$D$83/SUMSQ('TS-PILE'!$D$72:$D$91))),IF('TS-PILE'!$B$84="",1E+99,'TO HOP NLAN'!D36/ncoc+IF(SUMSQ('TS-PILE'!$E$72:$E$91)=0,0,'TO HOP NLAN'!E36*'TS-PILE'!$E$84/SUMSQ('TS-PILE'!$E$72:$E$91))+IF(SUMSQ('TS-PILE'!$D$72:$D$91)=0,0,'TO HOP NLAN'!F36*'TS-PILE'!$D$84/SUMSQ('TS-PILE'!$D$72:$D$91))),IF('TS-PILE'!$B$85="",1E+99,'TO HOP NLAN'!D36/ncoc+IF(SUMSQ('TS-PILE'!$E$72:$E$91)=0,0,'TO HOP NLAN'!E36*'TS-PILE'!$E$85/SUMSQ('TS-PILE'!$E$72:$E$91))+IF(SUMSQ('TS-PILE'!$D$72:$D$91)=0,0,'TO HOP NLAN'!F36*'TS-PILE'!$D$85/SUMSQ('TS-PILE'!$D$72:$D$91))),IF('TS-PILE'!$B$86="",1E+99,'TO HOP NLAN'!D36/ncoc+IF(SUMSQ('TS-PILE'!$E$72:$E$91)=0,0,'TO HOP NLAN'!E36*'TS-PILE'!$E$86/SUMSQ('TS-PILE'!$E$72:$E$91))+IF(SUMSQ('TS-PILE'!$D$72:$D$91)=0,0,'TO HOP NLAN'!F36*'TS-PILE'!$D$86/SUMSQ('TS-PILE'!$D$72:$D$91))),IF('TS-PILE'!$B$87="",1E+99,'TO HOP NLAN'!D36/ncoc+IF(SUMSQ('TS-PILE'!$E$72:$E$91)=0,0,'TO HOP NLAN'!E36*'TS-PILE'!$E$87/SUMSQ('TS-PILE'!$E$72:$E$91))+IF(SUMSQ('TS-PILE'!$D$72:$D$91)=0,0,'TO HOP NLAN'!F36*'TS-PILE'!$D$87/SUMSQ('TS-PILE'!$D$72:$D$91))),IF('TS-PILE'!$B$88="",1E+99,'TO HOP NLAN'!D36/ncoc+IF(SUMSQ('TS-PILE'!$E$72:$E$91)=0,0,'TO HOP NLAN'!E36*'TS-PILE'!$E$88/SUMSQ('TS-PILE'!$E$72:$E$91))+IF(SUMSQ('TS-PILE'!$D$72:$D$91)=0,0,'TO HOP NLAN'!F36*'TS-PILE'!$D$88/SUMSQ('TS-PILE'!$D$72:$D$91))),IF('TS-PILE'!$B$89="",1E+99,'TO HOP NLAN'!D36/ncoc+IF(SUMSQ('TS-PILE'!$E$72:$E$91)=0,0,'TO HOP NLAN'!E36*'TS-PILE'!$E$89/SUMSQ('TS-PILE'!$E$72:$E$91))+IF(SUMSQ('TS-PILE'!$D$72:$D$91)=0,0,'TO HOP NLAN'!F36*'TS-PILE'!$D$89/SUMSQ('TS-PILE'!$D$72:$D$91))),IF('TS-PILE'!$B$90="",1E+99,'TO HOP NLAN'!D36/ncoc+IF(SUMSQ('TS-PILE'!$E$72:$E$91)=0,0,'TO HOP NLAN'!E36*'TS-PILE'!$E$90/SUMSQ('TS-PILE'!$E$72:$E$91))+IF(SUMSQ('TS-PILE'!$D$72:$D$91)=0,0,'TO HOP NLAN'!F36*'TS-PILE'!$D$90/SUMSQ('TS-PILE'!$D$72:$D$91))),IF('TS-PILE'!$B$91="",1E+99,'TO HOP NLAN'!D36/ncoc+IF(SUMSQ('TS-PILE'!$E$72:$E$91)=0,0,'TO HOP NLAN'!E36*'TS-PILE'!$E$91/SUMSQ('TS-PILE'!$E$72:$E$91))+IF(SUMSQ('TS-PILE'!$D$72:$D$91)=0,0,'TO HOP NLAN'!F36*'TS-PILE'!$D$91/SUMSQ('TS-PILE'!$D$72:$D$91)))))</f>
        <v>0</v>
      </c>
      <c r="E36" s="58">
        <f t="shared" si="0"/>
        <v>-9.9999999999999997E+98</v>
      </c>
      <c r="F36" s="58">
        <f t="shared" si="1"/>
        <v>9.9999999999999997E+98</v>
      </c>
      <c r="G36" s="58">
        <f t="shared" si="2"/>
        <v>-9.9999999999999997E+98</v>
      </c>
      <c r="H36" s="58">
        <f t="shared" si="3"/>
        <v>9.9999999999999997E+98</v>
      </c>
    </row>
    <row r="37" spans="1:8" x14ac:dyDescent="0.3">
      <c r="A37" s="42" t="str">
        <f>'TO HOP NLAN'!A37</f>
        <v/>
      </c>
      <c r="B37" s="42" t="str">
        <f>'TO HOP NLAN'!L37</f>
        <v>SERVICE</v>
      </c>
      <c r="C37" s="58">
        <f>IF(A37="",0,MAX(IF('TS-PILE'!$B$72="",-1E+99,'TO HOP NLAN'!D37/ncoc+IF(SUMSQ('TS-PILE'!$E$72:$E$91)=0,0,'TO HOP NLAN'!E37*'TS-PILE'!$E$72/SUMSQ('TS-PILE'!$E$72:$E$91))+IF(SUMSQ('TS-PILE'!$D$72:$D$91)=0,0,'TO HOP NLAN'!F37*'TS-PILE'!$D$72/SUMSQ('TS-PILE'!$D$72:$D$91))),IF('TS-PILE'!$B$73="",-1E+99,'TO HOP NLAN'!D37/ncoc+IF(SUMSQ('TS-PILE'!$E$72:$E$91)=0,0,'TO HOP NLAN'!E37*'TS-PILE'!$E$73/SUMSQ('TS-PILE'!$E$72:$E$91))+IF(SUMSQ('TS-PILE'!$D$72:$D$91)=0,0,'TO HOP NLAN'!F37*'TS-PILE'!$D$73/SUMSQ('TS-PILE'!$D$72:$D$91))),IF('TS-PILE'!$B$74="",-1E+99,'TO HOP NLAN'!D37/ncoc+IF(SUMSQ('TS-PILE'!$E$72:$E$91)=0,0,'TO HOP NLAN'!E37*'TS-PILE'!$E$74/SUMSQ('TS-PILE'!$E$72:$E$91))+IF(SUMSQ('TS-PILE'!$D$72:$D$91)=0,0,'TO HOP NLAN'!F37*'TS-PILE'!$D$74/SUMSQ('TS-PILE'!$D$72:$D$91))),IF('TS-PILE'!$B$75="",-1E+99,'TO HOP NLAN'!D37/ncoc+IF(SUMSQ('TS-PILE'!$E$72:$E$91)=0,0,'TO HOP NLAN'!E37*'TS-PILE'!$E$75/SUMSQ('TS-PILE'!$E$72:$E$91))+IF(SUMSQ('TS-PILE'!$D$72:$D$91)=0,0,'TO HOP NLAN'!F37*'TS-PILE'!$D$75/SUMSQ('TS-PILE'!$D$72:$D$91))),IF('TS-PILE'!$B$76="",-1E+99,'TO HOP NLAN'!D37/ncoc+IF(SUMSQ('TS-PILE'!$E$72:$E$91)=0,0,'TO HOP NLAN'!E37*'TS-PILE'!$E$76/SUMSQ('TS-PILE'!$E$72:$E$91))+IF(SUMSQ('TS-PILE'!$D$72:$D$91)=0,0,'TO HOP NLAN'!F37*'TS-PILE'!$D$76/SUMSQ('TS-PILE'!$D$72:$D$91))),IF('TS-PILE'!$B$77="",-1E+99,'TO HOP NLAN'!D37/ncoc+IF(SUMSQ('TS-PILE'!$E$72:$E$91)=0,0,'TO HOP NLAN'!E37*'TS-PILE'!$E$77/SUMSQ('TS-PILE'!$E$72:$E$91))+IF(SUMSQ('TS-PILE'!$D$72:$D$91)=0,0,'TO HOP NLAN'!F37*'TS-PILE'!$D$77/SUMSQ('TS-PILE'!$D$72:$D$91))),IF('TS-PILE'!$B$78="",-1E+99,'TO HOP NLAN'!D37/ncoc+IF(SUMSQ('TS-PILE'!$E$72:$E$91)=0,0,'TO HOP NLAN'!E37*'TS-PILE'!$E$78/SUMSQ('TS-PILE'!$E$72:$E$91))+IF(SUMSQ('TS-PILE'!$D$72:$D$91)=0,0,'TO HOP NLAN'!F37*'TS-PILE'!$D$78/SUMSQ('TS-PILE'!$D$72:$D$91))),IF('TS-PILE'!$B$79="",-1E+99,'TO HOP NLAN'!D37/ncoc+IF(SUMSQ('TS-PILE'!$E$72:$E$91)=0,0,'TO HOP NLAN'!E37*'TS-PILE'!$E$79/SUMSQ('TS-PILE'!$E$72:$E$91))+IF(SUMSQ('TS-PILE'!$D$72:$D$91)=0,0,'TO HOP NLAN'!F37*'TS-PILE'!$D$79/SUMSQ('TS-PILE'!$D$72:$D$91))),IF('TS-PILE'!$B$80="",-1E+99,'TO HOP NLAN'!D37/ncoc+IF(SUMSQ('TS-PILE'!$E$72:$E$91)=0,0,'TO HOP NLAN'!E37*'TS-PILE'!$E$80/SUMSQ('TS-PILE'!$E$72:$E$91))+IF(SUMSQ('TS-PILE'!$D$72:$D$91)=0,0,'TO HOP NLAN'!F37*'TS-PILE'!$D$80/SUMSQ('TS-PILE'!$D$72:$D$91))),IF('TS-PILE'!$B$81="",-1E+99,'TO HOP NLAN'!D37/ncoc+IF(SUMSQ('TS-PILE'!$E$72:$E$91)=0,0,'TO HOP NLAN'!E37*'TS-PILE'!$E$81/SUMSQ('TS-PILE'!$E$72:$E$91))+IF(SUMSQ('TS-PILE'!$D$72:$D$91)=0,0,'TO HOP NLAN'!F37*'TS-PILE'!$D$81/SUMSQ('TS-PILE'!$D$72:$D$91))),IF('TS-PILE'!$B$82="",-1E+99,'TO HOP NLAN'!D37/ncoc+IF(SUMSQ('TS-PILE'!$E$72:$E$91)=0,0,'TO HOP NLAN'!E37*'TS-PILE'!$E$82/SUMSQ('TS-PILE'!$E$72:$E$91))+IF(SUMSQ('TS-PILE'!$D$72:$D$91)=0,0,'TO HOP NLAN'!F37*'TS-PILE'!$D$82/SUMSQ('TS-PILE'!$D$72:$D$91))),IF('TS-PILE'!$B$83="",-1E+99,'TO HOP NLAN'!D37/ncoc+IF(SUMSQ('TS-PILE'!$E$72:$E$91)=0,0,'TO HOP NLAN'!E37*'TS-PILE'!$E$83/SUMSQ('TS-PILE'!$E$72:$E$91))+IF(SUMSQ('TS-PILE'!$D$72:$D$91)=0,0,'TO HOP NLAN'!F37*'TS-PILE'!$D$83/SUMSQ('TS-PILE'!$D$72:$D$91))),IF('TS-PILE'!$B$84="",-1E+99,'TO HOP NLAN'!D37/ncoc+IF(SUMSQ('TS-PILE'!$E$72:$E$91)=0,0,'TO HOP NLAN'!E37*'TS-PILE'!$E$84/SUMSQ('TS-PILE'!$E$72:$E$91))+IF(SUMSQ('TS-PILE'!$D$72:$D$91)=0,0,'TO HOP NLAN'!F37*'TS-PILE'!$D$84/SUMSQ('TS-PILE'!$D$72:$D$91))),IF('TS-PILE'!$B$85="",-1E+99,'TO HOP NLAN'!D37/ncoc+IF(SUMSQ('TS-PILE'!$E$72:$E$91)=0,0,'TO HOP NLAN'!E37*'TS-PILE'!$E$85/SUMSQ('TS-PILE'!$E$72:$E$91))+IF(SUMSQ('TS-PILE'!$D$72:$D$91)=0,0,'TO HOP NLAN'!F37*'TS-PILE'!$D$85/SUMSQ('TS-PILE'!$D$72:$D$91))),IF('TS-PILE'!$B$86="",-1E+99,'TO HOP NLAN'!D37/ncoc+IF(SUMSQ('TS-PILE'!$E$72:$E$91)=0,0,'TO HOP NLAN'!E37*'TS-PILE'!$E$86/SUMSQ('TS-PILE'!$E$72:$E$91))+IF(SUMSQ('TS-PILE'!$D$72:$D$91)=0,0,'TO HOP NLAN'!F37*'TS-PILE'!$D$86/SUMSQ('TS-PILE'!$D$72:$D$91))),IF('TS-PILE'!$B$87="",-1E+99,'TO HOP NLAN'!D37/ncoc+IF(SUMSQ('TS-PILE'!$E$72:$E$91)=0,0,'TO HOP NLAN'!E37*'TS-PILE'!$E$87/SUMSQ('TS-PILE'!$E$72:$E$91))+IF(SUMSQ('TS-PILE'!$D$72:$D$91)=0,0,'TO HOP NLAN'!F37*'TS-PILE'!$D$87/SUMSQ('TS-PILE'!$D$72:$D$91))),IF('TS-PILE'!$B$88="",-1E+99,'TO HOP NLAN'!D37/ncoc+IF(SUMSQ('TS-PILE'!$E$72:$E$91)=0,0,'TO HOP NLAN'!E37*'TS-PILE'!$E$88/SUMSQ('TS-PILE'!$E$72:$E$91))+IF(SUMSQ('TS-PILE'!$D$72:$D$91)=0,0,'TO HOP NLAN'!F37*'TS-PILE'!$D$88/SUMSQ('TS-PILE'!$D$72:$D$91))),IF('TS-PILE'!$B$89="",-1E+99,'TO HOP NLAN'!D37/ncoc+IF(SUMSQ('TS-PILE'!$E$72:$E$91)=0,0,'TO HOP NLAN'!E37*'TS-PILE'!$E$89/SUMSQ('TS-PILE'!$E$72:$E$91))+IF(SUMSQ('TS-PILE'!$D$72:$D$91)=0,0,'TO HOP NLAN'!F37*'TS-PILE'!$D$89/SUMSQ('TS-PILE'!$D$72:$D$91))),IF('TS-PILE'!$B$90="",-1E+99,'TO HOP NLAN'!D37/ncoc+IF(SUMSQ('TS-PILE'!$E$72:$E$91)=0,0,'TO HOP NLAN'!E37*'TS-PILE'!$E$90/SUMSQ('TS-PILE'!$E$72:$E$91))+IF(SUMSQ('TS-PILE'!$D$72:$D$91)=0,0,'TO HOP NLAN'!F37*'TS-PILE'!$D$90/SUMSQ('TS-PILE'!$D$72:$D$91))),IF('TS-PILE'!$B$91="",-1E+99,'TO HOP NLAN'!D37/ncoc+IF(SUMSQ('TS-PILE'!$E$72:$E$91)=0,0,'TO HOP NLAN'!E37*'TS-PILE'!$E$91/SUMSQ('TS-PILE'!$E$72:$E$91))+IF(SUMSQ('TS-PILE'!$D$72:$D$91)=0,0,'TO HOP NLAN'!F37*'TS-PILE'!$D$91/SUMSQ('TS-PILE'!$D$72:$D$91)))))</f>
        <v>0</v>
      </c>
      <c r="D37" s="58">
        <f>IF(A37="",0,MIN(IF('TS-PILE'!$B$72="",1E+99,'TO HOP NLAN'!D37/ncoc+IF(SUMSQ('TS-PILE'!$E$72:$E$91)=0,0,'TO HOP NLAN'!E37*'TS-PILE'!$E$72/SUMSQ('TS-PILE'!$E$72:$E$91))+IF(SUMSQ('TS-PILE'!$D$72:$D$91)=0,0,'TO HOP NLAN'!F37*'TS-PILE'!$D$72/SUMSQ('TS-PILE'!$D$72:$D$91))),IF('TS-PILE'!$B$73="",1E+99,'TO HOP NLAN'!D37/ncoc+IF(SUMSQ('TS-PILE'!$E$72:$E$91)=0,0,'TO HOP NLAN'!E37*'TS-PILE'!$E$73/SUMSQ('TS-PILE'!$E$72:$E$91))+IF(SUMSQ('TS-PILE'!$D$72:$D$91)=0,0,'TO HOP NLAN'!F37*'TS-PILE'!$D$73/SUMSQ('TS-PILE'!$D$72:$D$91))),IF('TS-PILE'!$B$74="",1E+99,'TO HOP NLAN'!D37/ncoc+IF(SUMSQ('TS-PILE'!$E$72:$E$91)=0,0,'TO HOP NLAN'!E37*'TS-PILE'!$E$74/SUMSQ('TS-PILE'!$E$72:$E$91))+IF(SUMSQ('TS-PILE'!$D$72:$D$91)=0,0,'TO HOP NLAN'!F37*'TS-PILE'!$D$74/SUMSQ('TS-PILE'!$D$72:$D$91))),IF('TS-PILE'!$B$75="",1E+99,'TO HOP NLAN'!D37/ncoc+IF(SUMSQ('TS-PILE'!$E$72:$E$91)=0,0,'TO HOP NLAN'!E37*'TS-PILE'!$E$75/SUMSQ('TS-PILE'!$E$72:$E$91))+IF(SUMSQ('TS-PILE'!$D$72:$D$91)=0,0,'TO HOP NLAN'!F37*'TS-PILE'!$D$75/SUMSQ('TS-PILE'!$D$72:$D$91))),IF('TS-PILE'!$B$76="",1E+99,'TO HOP NLAN'!D37/ncoc+IF(SUMSQ('TS-PILE'!$E$72:$E$91)=0,0,'TO HOP NLAN'!E37*'TS-PILE'!$E$76/SUMSQ('TS-PILE'!$E$72:$E$91))+IF(SUMSQ('TS-PILE'!$D$72:$D$91)=0,0,'TO HOP NLAN'!F37*'TS-PILE'!$D$76/SUMSQ('TS-PILE'!$D$72:$D$91))),IF('TS-PILE'!$B$77="",1E+99,'TO HOP NLAN'!D37/ncoc+IF(SUMSQ('TS-PILE'!$E$72:$E$91)=0,0,'TO HOP NLAN'!E37*'TS-PILE'!$E$77/SUMSQ('TS-PILE'!$E$72:$E$91))+IF(SUMSQ('TS-PILE'!$D$72:$D$91)=0,0,'TO HOP NLAN'!F37*'TS-PILE'!$D$77/SUMSQ('TS-PILE'!$D$72:$D$91))),IF('TS-PILE'!$B$78="",1E+99,'TO HOP NLAN'!D37/ncoc+IF(SUMSQ('TS-PILE'!$E$72:$E$91)=0,0,'TO HOP NLAN'!E37*'TS-PILE'!$E$78/SUMSQ('TS-PILE'!$E$72:$E$91))+IF(SUMSQ('TS-PILE'!$D$72:$D$91)=0,0,'TO HOP NLAN'!F37*'TS-PILE'!$D$78/SUMSQ('TS-PILE'!$D$72:$D$91))),IF('TS-PILE'!$B$79="",1E+99,'TO HOP NLAN'!D37/ncoc+IF(SUMSQ('TS-PILE'!$E$72:$E$91)=0,0,'TO HOP NLAN'!E37*'TS-PILE'!$E$79/SUMSQ('TS-PILE'!$E$72:$E$91))+IF(SUMSQ('TS-PILE'!$D$72:$D$91)=0,0,'TO HOP NLAN'!F37*'TS-PILE'!$D$79/SUMSQ('TS-PILE'!$D$72:$D$91))),IF('TS-PILE'!$B$80="",1E+99,'TO HOP NLAN'!D37/ncoc+IF(SUMSQ('TS-PILE'!$E$72:$E$91)=0,0,'TO HOP NLAN'!E37*'TS-PILE'!$E$80/SUMSQ('TS-PILE'!$E$72:$E$91))+IF(SUMSQ('TS-PILE'!$D$72:$D$91)=0,0,'TO HOP NLAN'!F37*'TS-PILE'!$D$80/SUMSQ('TS-PILE'!$D$72:$D$91))),IF('TS-PILE'!$B$81="",1E+99,'TO HOP NLAN'!D37/ncoc+IF(SUMSQ('TS-PILE'!$E$72:$E$91)=0,0,'TO HOP NLAN'!E37*'TS-PILE'!$E$81/SUMSQ('TS-PILE'!$E$72:$E$91))+IF(SUMSQ('TS-PILE'!$D$72:$D$91)=0,0,'TO HOP NLAN'!F37*'TS-PILE'!$D$81/SUMSQ('TS-PILE'!$D$72:$D$91))),IF('TS-PILE'!$B$82="",1E+99,'TO HOP NLAN'!D37/ncoc+IF(SUMSQ('TS-PILE'!$E$72:$E$91)=0,0,'TO HOP NLAN'!E37*'TS-PILE'!$E$82/SUMSQ('TS-PILE'!$E$72:$E$91))+IF(SUMSQ('TS-PILE'!$D$72:$D$91)=0,0,'TO HOP NLAN'!F37*'TS-PILE'!$D$82/SUMSQ('TS-PILE'!$D$72:$D$91))),IF('TS-PILE'!$B$83="",1E+99,'TO HOP NLAN'!D37/ncoc+IF(SUMSQ('TS-PILE'!$E$72:$E$91)=0,0,'TO HOP NLAN'!E37*'TS-PILE'!$E$83/SUMSQ('TS-PILE'!$E$72:$E$91))+IF(SUMSQ('TS-PILE'!$D$72:$D$91)=0,0,'TO HOP NLAN'!F37*'TS-PILE'!$D$83/SUMSQ('TS-PILE'!$D$72:$D$91))),IF('TS-PILE'!$B$84="",1E+99,'TO HOP NLAN'!D37/ncoc+IF(SUMSQ('TS-PILE'!$E$72:$E$91)=0,0,'TO HOP NLAN'!E37*'TS-PILE'!$E$84/SUMSQ('TS-PILE'!$E$72:$E$91))+IF(SUMSQ('TS-PILE'!$D$72:$D$91)=0,0,'TO HOP NLAN'!F37*'TS-PILE'!$D$84/SUMSQ('TS-PILE'!$D$72:$D$91))),IF('TS-PILE'!$B$85="",1E+99,'TO HOP NLAN'!D37/ncoc+IF(SUMSQ('TS-PILE'!$E$72:$E$91)=0,0,'TO HOP NLAN'!E37*'TS-PILE'!$E$85/SUMSQ('TS-PILE'!$E$72:$E$91))+IF(SUMSQ('TS-PILE'!$D$72:$D$91)=0,0,'TO HOP NLAN'!F37*'TS-PILE'!$D$85/SUMSQ('TS-PILE'!$D$72:$D$91))),IF('TS-PILE'!$B$86="",1E+99,'TO HOP NLAN'!D37/ncoc+IF(SUMSQ('TS-PILE'!$E$72:$E$91)=0,0,'TO HOP NLAN'!E37*'TS-PILE'!$E$86/SUMSQ('TS-PILE'!$E$72:$E$91))+IF(SUMSQ('TS-PILE'!$D$72:$D$91)=0,0,'TO HOP NLAN'!F37*'TS-PILE'!$D$86/SUMSQ('TS-PILE'!$D$72:$D$91))),IF('TS-PILE'!$B$87="",1E+99,'TO HOP NLAN'!D37/ncoc+IF(SUMSQ('TS-PILE'!$E$72:$E$91)=0,0,'TO HOP NLAN'!E37*'TS-PILE'!$E$87/SUMSQ('TS-PILE'!$E$72:$E$91))+IF(SUMSQ('TS-PILE'!$D$72:$D$91)=0,0,'TO HOP NLAN'!F37*'TS-PILE'!$D$87/SUMSQ('TS-PILE'!$D$72:$D$91))),IF('TS-PILE'!$B$88="",1E+99,'TO HOP NLAN'!D37/ncoc+IF(SUMSQ('TS-PILE'!$E$72:$E$91)=0,0,'TO HOP NLAN'!E37*'TS-PILE'!$E$88/SUMSQ('TS-PILE'!$E$72:$E$91))+IF(SUMSQ('TS-PILE'!$D$72:$D$91)=0,0,'TO HOP NLAN'!F37*'TS-PILE'!$D$88/SUMSQ('TS-PILE'!$D$72:$D$91))),IF('TS-PILE'!$B$89="",1E+99,'TO HOP NLAN'!D37/ncoc+IF(SUMSQ('TS-PILE'!$E$72:$E$91)=0,0,'TO HOP NLAN'!E37*'TS-PILE'!$E$89/SUMSQ('TS-PILE'!$E$72:$E$91))+IF(SUMSQ('TS-PILE'!$D$72:$D$91)=0,0,'TO HOP NLAN'!F37*'TS-PILE'!$D$89/SUMSQ('TS-PILE'!$D$72:$D$91))),IF('TS-PILE'!$B$90="",1E+99,'TO HOP NLAN'!D37/ncoc+IF(SUMSQ('TS-PILE'!$E$72:$E$91)=0,0,'TO HOP NLAN'!E37*'TS-PILE'!$E$90/SUMSQ('TS-PILE'!$E$72:$E$91))+IF(SUMSQ('TS-PILE'!$D$72:$D$91)=0,0,'TO HOP NLAN'!F37*'TS-PILE'!$D$90/SUMSQ('TS-PILE'!$D$72:$D$91))),IF('TS-PILE'!$B$91="",1E+99,'TO HOP NLAN'!D37/ncoc+IF(SUMSQ('TS-PILE'!$E$72:$E$91)=0,0,'TO HOP NLAN'!E37*'TS-PILE'!$E$91/SUMSQ('TS-PILE'!$E$72:$E$91))+IF(SUMSQ('TS-PILE'!$D$72:$D$91)=0,0,'TO HOP NLAN'!F37*'TS-PILE'!$D$91/SUMSQ('TS-PILE'!$D$72:$D$91)))))</f>
        <v>0</v>
      </c>
      <c r="E37" s="58">
        <f t="shared" si="0"/>
        <v>-9.9999999999999997E+98</v>
      </c>
      <c r="F37" s="58">
        <f t="shared" si="1"/>
        <v>9.9999999999999997E+98</v>
      </c>
      <c r="G37" s="58">
        <f t="shared" si="2"/>
        <v>-9.9999999999999997E+98</v>
      </c>
      <c r="H37" s="58">
        <f t="shared" si="3"/>
        <v>9.9999999999999997E+98</v>
      </c>
    </row>
    <row r="38" spans="1:8" x14ac:dyDescent="0.3">
      <c r="A38" s="42" t="str">
        <f>'TO HOP NLAN'!A38</f>
        <v/>
      </c>
      <c r="B38" s="42" t="str">
        <f>'TO HOP NLAN'!L38</f>
        <v>SERVICE</v>
      </c>
      <c r="C38" s="58">
        <f>IF(A38="",0,MAX(IF('TS-PILE'!$B$72="",-1E+99,'TO HOP NLAN'!D38/ncoc+IF(SUMSQ('TS-PILE'!$E$72:$E$91)=0,0,'TO HOP NLAN'!E38*'TS-PILE'!$E$72/SUMSQ('TS-PILE'!$E$72:$E$91))+IF(SUMSQ('TS-PILE'!$D$72:$D$91)=0,0,'TO HOP NLAN'!F38*'TS-PILE'!$D$72/SUMSQ('TS-PILE'!$D$72:$D$91))),IF('TS-PILE'!$B$73="",-1E+99,'TO HOP NLAN'!D38/ncoc+IF(SUMSQ('TS-PILE'!$E$72:$E$91)=0,0,'TO HOP NLAN'!E38*'TS-PILE'!$E$73/SUMSQ('TS-PILE'!$E$72:$E$91))+IF(SUMSQ('TS-PILE'!$D$72:$D$91)=0,0,'TO HOP NLAN'!F38*'TS-PILE'!$D$73/SUMSQ('TS-PILE'!$D$72:$D$91))),IF('TS-PILE'!$B$74="",-1E+99,'TO HOP NLAN'!D38/ncoc+IF(SUMSQ('TS-PILE'!$E$72:$E$91)=0,0,'TO HOP NLAN'!E38*'TS-PILE'!$E$74/SUMSQ('TS-PILE'!$E$72:$E$91))+IF(SUMSQ('TS-PILE'!$D$72:$D$91)=0,0,'TO HOP NLAN'!F38*'TS-PILE'!$D$74/SUMSQ('TS-PILE'!$D$72:$D$91))),IF('TS-PILE'!$B$75="",-1E+99,'TO HOP NLAN'!D38/ncoc+IF(SUMSQ('TS-PILE'!$E$72:$E$91)=0,0,'TO HOP NLAN'!E38*'TS-PILE'!$E$75/SUMSQ('TS-PILE'!$E$72:$E$91))+IF(SUMSQ('TS-PILE'!$D$72:$D$91)=0,0,'TO HOP NLAN'!F38*'TS-PILE'!$D$75/SUMSQ('TS-PILE'!$D$72:$D$91))),IF('TS-PILE'!$B$76="",-1E+99,'TO HOP NLAN'!D38/ncoc+IF(SUMSQ('TS-PILE'!$E$72:$E$91)=0,0,'TO HOP NLAN'!E38*'TS-PILE'!$E$76/SUMSQ('TS-PILE'!$E$72:$E$91))+IF(SUMSQ('TS-PILE'!$D$72:$D$91)=0,0,'TO HOP NLAN'!F38*'TS-PILE'!$D$76/SUMSQ('TS-PILE'!$D$72:$D$91))),IF('TS-PILE'!$B$77="",-1E+99,'TO HOP NLAN'!D38/ncoc+IF(SUMSQ('TS-PILE'!$E$72:$E$91)=0,0,'TO HOP NLAN'!E38*'TS-PILE'!$E$77/SUMSQ('TS-PILE'!$E$72:$E$91))+IF(SUMSQ('TS-PILE'!$D$72:$D$91)=0,0,'TO HOP NLAN'!F38*'TS-PILE'!$D$77/SUMSQ('TS-PILE'!$D$72:$D$91))),IF('TS-PILE'!$B$78="",-1E+99,'TO HOP NLAN'!D38/ncoc+IF(SUMSQ('TS-PILE'!$E$72:$E$91)=0,0,'TO HOP NLAN'!E38*'TS-PILE'!$E$78/SUMSQ('TS-PILE'!$E$72:$E$91))+IF(SUMSQ('TS-PILE'!$D$72:$D$91)=0,0,'TO HOP NLAN'!F38*'TS-PILE'!$D$78/SUMSQ('TS-PILE'!$D$72:$D$91))),IF('TS-PILE'!$B$79="",-1E+99,'TO HOP NLAN'!D38/ncoc+IF(SUMSQ('TS-PILE'!$E$72:$E$91)=0,0,'TO HOP NLAN'!E38*'TS-PILE'!$E$79/SUMSQ('TS-PILE'!$E$72:$E$91))+IF(SUMSQ('TS-PILE'!$D$72:$D$91)=0,0,'TO HOP NLAN'!F38*'TS-PILE'!$D$79/SUMSQ('TS-PILE'!$D$72:$D$91))),IF('TS-PILE'!$B$80="",-1E+99,'TO HOP NLAN'!D38/ncoc+IF(SUMSQ('TS-PILE'!$E$72:$E$91)=0,0,'TO HOP NLAN'!E38*'TS-PILE'!$E$80/SUMSQ('TS-PILE'!$E$72:$E$91))+IF(SUMSQ('TS-PILE'!$D$72:$D$91)=0,0,'TO HOP NLAN'!F38*'TS-PILE'!$D$80/SUMSQ('TS-PILE'!$D$72:$D$91))),IF('TS-PILE'!$B$81="",-1E+99,'TO HOP NLAN'!D38/ncoc+IF(SUMSQ('TS-PILE'!$E$72:$E$91)=0,0,'TO HOP NLAN'!E38*'TS-PILE'!$E$81/SUMSQ('TS-PILE'!$E$72:$E$91))+IF(SUMSQ('TS-PILE'!$D$72:$D$91)=0,0,'TO HOP NLAN'!F38*'TS-PILE'!$D$81/SUMSQ('TS-PILE'!$D$72:$D$91))),IF('TS-PILE'!$B$82="",-1E+99,'TO HOP NLAN'!D38/ncoc+IF(SUMSQ('TS-PILE'!$E$72:$E$91)=0,0,'TO HOP NLAN'!E38*'TS-PILE'!$E$82/SUMSQ('TS-PILE'!$E$72:$E$91))+IF(SUMSQ('TS-PILE'!$D$72:$D$91)=0,0,'TO HOP NLAN'!F38*'TS-PILE'!$D$82/SUMSQ('TS-PILE'!$D$72:$D$91))),IF('TS-PILE'!$B$83="",-1E+99,'TO HOP NLAN'!D38/ncoc+IF(SUMSQ('TS-PILE'!$E$72:$E$91)=0,0,'TO HOP NLAN'!E38*'TS-PILE'!$E$83/SUMSQ('TS-PILE'!$E$72:$E$91))+IF(SUMSQ('TS-PILE'!$D$72:$D$91)=0,0,'TO HOP NLAN'!F38*'TS-PILE'!$D$83/SUMSQ('TS-PILE'!$D$72:$D$91))),IF('TS-PILE'!$B$84="",-1E+99,'TO HOP NLAN'!D38/ncoc+IF(SUMSQ('TS-PILE'!$E$72:$E$91)=0,0,'TO HOP NLAN'!E38*'TS-PILE'!$E$84/SUMSQ('TS-PILE'!$E$72:$E$91))+IF(SUMSQ('TS-PILE'!$D$72:$D$91)=0,0,'TO HOP NLAN'!F38*'TS-PILE'!$D$84/SUMSQ('TS-PILE'!$D$72:$D$91))),IF('TS-PILE'!$B$85="",-1E+99,'TO HOP NLAN'!D38/ncoc+IF(SUMSQ('TS-PILE'!$E$72:$E$91)=0,0,'TO HOP NLAN'!E38*'TS-PILE'!$E$85/SUMSQ('TS-PILE'!$E$72:$E$91))+IF(SUMSQ('TS-PILE'!$D$72:$D$91)=0,0,'TO HOP NLAN'!F38*'TS-PILE'!$D$85/SUMSQ('TS-PILE'!$D$72:$D$91))),IF('TS-PILE'!$B$86="",-1E+99,'TO HOP NLAN'!D38/ncoc+IF(SUMSQ('TS-PILE'!$E$72:$E$91)=0,0,'TO HOP NLAN'!E38*'TS-PILE'!$E$86/SUMSQ('TS-PILE'!$E$72:$E$91))+IF(SUMSQ('TS-PILE'!$D$72:$D$91)=0,0,'TO HOP NLAN'!F38*'TS-PILE'!$D$86/SUMSQ('TS-PILE'!$D$72:$D$91))),IF('TS-PILE'!$B$87="",-1E+99,'TO HOP NLAN'!D38/ncoc+IF(SUMSQ('TS-PILE'!$E$72:$E$91)=0,0,'TO HOP NLAN'!E38*'TS-PILE'!$E$87/SUMSQ('TS-PILE'!$E$72:$E$91))+IF(SUMSQ('TS-PILE'!$D$72:$D$91)=0,0,'TO HOP NLAN'!F38*'TS-PILE'!$D$87/SUMSQ('TS-PILE'!$D$72:$D$91))),IF('TS-PILE'!$B$88="",-1E+99,'TO HOP NLAN'!D38/ncoc+IF(SUMSQ('TS-PILE'!$E$72:$E$91)=0,0,'TO HOP NLAN'!E38*'TS-PILE'!$E$88/SUMSQ('TS-PILE'!$E$72:$E$91))+IF(SUMSQ('TS-PILE'!$D$72:$D$91)=0,0,'TO HOP NLAN'!F38*'TS-PILE'!$D$88/SUMSQ('TS-PILE'!$D$72:$D$91))),IF('TS-PILE'!$B$89="",-1E+99,'TO HOP NLAN'!D38/ncoc+IF(SUMSQ('TS-PILE'!$E$72:$E$91)=0,0,'TO HOP NLAN'!E38*'TS-PILE'!$E$89/SUMSQ('TS-PILE'!$E$72:$E$91))+IF(SUMSQ('TS-PILE'!$D$72:$D$91)=0,0,'TO HOP NLAN'!F38*'TS-PILE'!$D$89/SUMSQ('TS-PILE'!$D$72:$D$91))),IF('TS-PILE'!$B$90="",-1E+99,'TO HOP NLAN'!D38/ncoc+IF(SUMSQ('TS-PILE'!$E$72:$E$91)=0,0,'TO HOP NLAN'!E38*'TS-PILE'!$E$90/SUMSQ('TS-PILE'!$E$72:$E$91))+IF(SUMSQ('TS-PILE'!$D$72:$D$91)=0,0,'TO HOP NLAN'!F38*'TS-PILE'!$D$90/SUMSQ('TS-PILE'!$D$72:$D$91))),IF('TS-PILE'!$B$91="",-1E+99,'TO HOP NLAN'!D38/ncoc+IF(SUMSQ('TS-PILE'!$E$72:$E$91)=0,0,'TO HOP NLAN'!E38*'TS-PILE'!$E$91/SUMSQ('TS-PILE'!$E$72:$E$91))+IF(SUMSQ('TS-PILE'!$D$72:$D$91)=0,0,'TO HOP NLAN'!F38*'TS-PILE'!$D$91/SUMSQ('TS-PILE'!$D$72:$D$91)))))</f>
        <v>0</v>
      </c>
      <c r="D38" s="58">
        <f>IF(A38="",0,MIN(IF('TS-PILE'!$B$72="",1E+99,'TO HOP NLAN'!D38/ncoc+IF(SUMSQ('TS-PILE'!$E$72:$E$91)=0,0,'TO HOP NLAN'!E38*'TS-PILE'!$E$72/SUMSQ('TS-PILE'!$E$72:$E$91))+IF(SUMSQ('TS-PILE'!$D$72:$D$91)=0,0,'TO HOP NLAN'!F38*'TS-PILE'!$D$72/SUMSQ('TS-PILE'!$D$72:$D$91))),IF('TS-PILE'!$B$73="",1E+99,'TO HOP NLAN'!D38/ncoc+IF(SUMSQ('TS-PILE'!$E$72:$E$91)=0,0,'TO HOP NLAN'!E38*'TS-PILE'!$E$73/SUMSQ('TS-PILE'!$E$72:$E$91))+IF(SUMSQ('TS-PILE'!$D$72:$D$91)=0,0,'TO HOP NLAN'!F38*'TS-PILE'!$D$73/SUMSQ('TS-PILE'!$D$72:$D$91))),IF('TS-PILE'!$B$74="",1E+99,'TO HOP NLAN'!D38/ncoc+IF(SUMSQ('TS-PILE'!$E$72:$E$91)=0,0,'TO HOP NLAN'!E38*'TS-PILE'!$E$74/SUMSQ('TS-PILE'!$E$72:$E$91))+IF(SUMSQ('TS-PILE'!$D$72:$D$91)=0,0,'TO HOP NLAN'!F38*'TS-PILE'!$D$74/SUMSQ('TS-PILE'!$D$72:$D$91))),IF('TS-PILE'!$B$75="",1E+99,'TO HOP NLAN'!D38/ncoc+IF(SUMSQ('TS-PILE'!$E$72:$E$91)=0,0,'TO HOP NLAN'!E38*'TS-PILE'!$E$75/SUMSQ('TS-PILE'!$E$72:$E$91))+IF(SUMSQ('TS-PILE'!$D$72:$D$91)=0,0,'TO HOP NLAN'!F38*'TS-PILE'!$D$75/SUMSQ('TS-PILE'!$D$72:$D$91))),IF('TS-PILE'!$B$76="",1E+99,'TO HOP NLAN'!D38/ncoc+IF(SUMSQ('TS-PILE'!$E$72:$E$91)=0,0,'TO HOP NLAN'!E38*'TS-PILE'!$E$76/SUMSQ('TS-PILE'!$E$72:$E$91))+IF(SUMSQ('TS-PILE'!$D$72:$D$91)=0,0,'TO HOP NLAN'!F38*'TS-PILE'!$D$76/SUMSQ('TS-PILE'!$D$72:$D$91))),IF('TS-PILE'!$B$77="",1E+99,'TO HOP NLAN'!D38/ncoc+IF(SUMSQ('TS-PILE'!$E$72:$E$91)=0,0,'TO HOP NLAN'!E38*'TS-PILE'!$E$77/SUMSQ('TS-PILE'!$E$72:$E$91))+IF(SUMSQ('TS-PILE'!$D$72:$D$91)=0,0,'TO HOP NLAN'!F38*'TS-PILE'!$D$77/SUMSQ('TS-PILE'!$D$72:$D$91))),IF('TS-PILE'!$B$78="",1E+99,'TO HOP NLAN'!D38/ncoc+IF(SUMSQ('TS-PILE'!$E$72:$E$91)=0,0,'TO HOP NLAN'!E38*'TS-PILE'!$E$78/SUMSQ('TS-PILE'!$E$72:$E$91))+IF(SUMSQ('TS-PILE'!$D$72:$D$91)=0,0,'TO HOP NLAN'!F38*'TS-PILE'!$D$78/SUMSQ('TS-PILE'!$D$72:$D$91))),IF('TS-PILE'!$B$79="",1E+99,'TO HOP NLAN'!D38/ncoc+IF(SUMSQ('TS-PILE'!$E$72:$E$91)=0,0,'TO HOP NLAN'!E38*'TS-PILE'!$E$79/SUMSQ('TS-PILE'!$E$72:$E$91))+IF(SUMSQ('TS-PILE'!$D$72:$D$91)=0,0,'TO HOP NLAN'!F38*'TS-PILE'!$D$79/SUMSQ('TS-PILE'!$D$72:$D$91))),IF('TS-PILE'!$B$80="",1E+99,'TO HOP NLAN'!D38/ncoc+IF(SUMSQ('TS-PILE'!$E$72:$E$91)=0,0,'TO HOP NLAN'!E38*'TS-PILE'!$E$80/SUMSQ('TS-PILE'!$E$72:$E$91))+IF(SUMSQ('TS-PILE'!$D$72:$D$91)=0,0,'TO HOP NLAN'!F38*'TS-PILE'!$D$80/SUMSQ('TS-PILE'!$D$72:$D$91))),IF('TS-PILE'!$B$81="",1E+99,'TO HOP NLAN'!D38/ncoc+IF(SUMSQ('TS-PILE'!$E$72:$E$91)=0,0,'TO HOP NLAN'!E38*'TS-PILE'!$E$81/SUMSQ('TS-PILE'!$E$72:$E$91))+IF(SUMSQ('TS-PILE'!$D$72:$D$91)=0,0,'TO HOP NLAN'!F38*'TS-PILE'!$D$81/SUMSQ('TS-PILE'!$D$72:$D$91))),IF('TS-PILE'!$B$82="",1E+99,'TO HOP NLAN'!D38/ncoc+IF(SUMSQ('TS-PILE'!$E$72:$E$91)=0,0,'TO HOP NLAN'!E38*'TS-PILE'!$E$82/SUMSQ('TS-PILE'!$E$72:$E$91))+IF(SUMSQ('TS-PILE'!$D$72:$D$91)=0,0,'TO HOP NLAN'!F38*'TS-PILE'!$D$82/SUMSQ('TS-PILE'!$D$72:$D$91))),IF('TS-PILE'!$B$83="",1E+99,'TO HOP NLAN'!D38/ncoc+IF(SUMSQ('TS-PILE'!$E$72:$E$91)=0,0,'TO HOP NLAN'!E38*'TS-PILE'!$E$83/SUMSQ('TS-PILE'!$E$72:$E$91))+IF(SUMSQ('TS-PILE'!$D$72:$D$91)=0,0,'TO HOP NLAN'!F38*'TS-PILE'!$D$83/SUMSQ('TS-PILE'!$D$72:$D$91))),IF('TS-PILE'!$B$84="",1E+99,'TO HOP NLAN'!D38/ncoc+IF(SUMSQ('TS-PILE'!$E$72:$E$91)=0,0,'TO HOP NLAN'!E38*'TS-PILE'!$E$84/SUMSQ('TS-PILE'!$E$72:$E$91))+IF(SUMSQ('TS-PILE'!$D$72:$D$91)=0,0,'TO HOP NLAN'!F38*'TS-PILE'!$D$84/SUMSQ('TS-PILE'!$D$72:$D$91))),IF('TS-PILE'!$B$85="",1E+99,'TO HOP NLAN'!D38/ncoc+IF(SUMSQ('TS-PILE'!$E$72:$E$91)=0,0,'TO HOP NLAN'!E38*'TS-PILE'!$E$85/SUMSQ('TS-PILE'!$E$72:$E$91))+IF(SUMSQ('TS-PILE'!$D$72:$D$91)=0,0,'TO HOP NLAN'!F38*'TS-PILE'!$D$85/SUMSQ('TS-PILE'!$D$72:$D$91))),IF('TS-PILE'!$B$86="",1E+99,'TO HOP NLAN'!D38/ncoc+IF(SUMSQ('TS-PILE'!$E$72:$E$91)=0,0,'TO HOP NLAN'!E38*'TS-PILE'!$E$86/SUMSQ('TS-PILE'!$E$72:$E$91))+IF(SUMSQ('TS-PILE'!$D$72:$D$91)=0,0,'TO HOP NLAN'!F38*'TS-PILE'!$D$86/SUMSQ('TS-PILE'!$D$72:$D$91))),IF('TS-PILE'!$B$87="",1E+99,'TO HOP NLAN'!D38/ncoc+IF(SUMSQ('TS-PILE'!$E$72:$E$91)=0,0,'TO HOP NLAN'!E38*'TS-PILE'!$E$87/SUMSQ('TS-PILE'!$E$72:$E$91))+IF(SUMSQ('TS-PILE'!$D$72:$D$91)=0,0,'TO HOP NLAN'!F38*'TS-PILE'!$D$87/SUMSQ('TS-PILE'!$D$72:$D$91))),IF('TS-PILE'!$B$88="",1E+99,'TO HOP NLAN'!D38/ncoc+IF(SUMSQ('TS-PILE'!$E$72:$E$91)=0,0,'TO HOP NLAN'!E38*'TS-PILE'!$E$88/SUMSQ('TS-PILE'!$E$72:$E$91))+IF(SUMSQ('TS-PILE'!$D$72:$D$91)=0,0,'TO HOP NLAN'!F38*'TS-PILE'!$D$88/SUMSQ('TS-PILE'!$D$72:$D$91))),IF('TS-PILE'!$B$89="",1E+99,'TO HOP NLAN'!D38/ncoc+IF(SUMSQ('TS-PILE'!$E$72:$E$91)=0,0,'TO HOP NLAN'!E38*'TS-PILE'!$E$89/SUMSQ('TS-PILE'!$E$72:$E$91))+IF(SUMSQ('TS-PILE'!$D$72:$D$91)=0,0,'TO HOP NLAN'!F38*'TS-PILE'!$D$89/SUMSQ('TS-PILE'!$D$72:$D$91))),IF('TS-PILE'!$B$90="",1E+99,'TO HOP NLAN'!D38/ncoc+IF(SUMSQ('TS-PILE'!$E$72:$E$91)=0,0,'TO HOP NLAN'!E38*'TS-PILE'!$E$90/SUMSQ('TS-PILE'!$E$72:$E$91))+IF(SUMSQ('TS-PILE'!$D$72:$D$91)=0,0,'TO HOP NLAN'!F38*'TS-PILE'!$D$90/SUMSQ('TS-PILE'!$D$72:$D$91))),IF('TS-PILE'!$B$91="",1E+99,'TO HOP NLAN'!D38/ncoc+IF(SUMSQ('TS-PILE'!$E$72:$E$91)=0,0,'TO HOP NLAN'!E38*'TS-PILE'!$E$91/SUMSQ('TS-PILE'!$E$72:$E$91))+IF(SUMSQ('TS-PILE'!$D$72:$D$91)=0,0,'TO HOP NLAN'!F38*'TS-PILE'!$D$91/SUMSQ('TS-PILE'!$D$72:$D$91)))))</f>
        <v>0</v>
      </c>
      <c r="E38" s="58">
        <f t="shared" si="0"/>
        <v>-9.9999999999999997E+98</v>
      </c>
      <c r="F38" s="58">
        <f t="shared" si="1"/>
        <v>9.9999999999999997E+98</v>
      </c>
      <c r="G38" s="58">
        <f t="shared" si="2"/>
        <v>-9.9999999999999997E+98</v>
      </c>
      <c r="H38" s="58">
        <f t="shared" si="3"/>
        <v>9.9999999999999997E+98</v>
      </c>
    </row>
    <row r="39" spans="1:8" x14ac:dyDescent="0.3">
      <c r="A39" s="42" t="str">
        <f>'TO HOP NLAN'!A39</f>
        <v/>
      </c>
      <c r="B39" s="42" t="str">
        <f>'TO HOP NLAN'!L39</f>
        <v>SERVICE</v>
      </c>
      <c r="C39" s="58">
        <f>IF(A39="",0,MAX(IF('TS-PILE'!$B$72="",-1E+99,'TO HOP NLAN'!D39/ncoc+IF(SUMSQ('TS-PILE'!$E$72:$E$91)=0,0,'TO HOP NLAN'!E39*'TS-PILE'!$E$72/SUMSQ('TS-PILE'!$E$72:$E$91))+IF(SUMSQ('TS-PILE'!$D$72:$D$91)=0,0,'TO HOP NLAN'!F39*'TS-PILE'!$D$72/SUMSQ('TS-PILE'!$D$72:$D$91))),IF('TS-PILE'!$B$73="",-1E+99,'TO HOP NLAN'!D39/ncoc+IF(SUMSQ('TS-PILE'!$E$72:$E$91)=0,0,'TO HOP NLAN'!E39*'TS-PILE'!$E$73/SUMSQ('TS-PILE'!$E$72:$E$91))+IF(SUMSQ('TS-PILE'!$D$72:$D$91)=0,0,'TO HOP NLAN'!F39*'TS-PILE'!$D$73/SUMSQ('TS-PILE'!$D$72:$D$91))),IF('TS-PILE'!$B$74="",-1E+99,'TO HOP NLAN'!D39/ncoc+IF(SUMSQ('TS-PILE'!$E$72:$E$91)=0,0,'TO HOP NLAN'!E39*'TS-PILE'!$E$74/SUMSQ('TS-PILE'!$E$72:$E$91))+IF(SUMSQ('TS-PILE'!$D$72:$D$91)=0,0,'TO HOP NLAN'!F39*'TS-PILE'!$D$74/SUMSQ('TS-PILE'!$D$72:$D$91))),IF('TS-PILE'!$B$75="",-1E+99,'TO HOP NLAN'!D39/ncoc+IF(SUMSQ('TS-PILE'!$E$72:$E$91)=0,0,'TO HOP NLAN'!E39*'TS-PILE'!$E$75/SUMSQ('TS-PILE'!$E$72:$E$91))+IF(SUMSQ('TS-PILE'!$D$72:$D$91)=0,0,'TO HOP NLAN'!F39*'TS-PILE'!$D$75/SUMSQ('TS-PILE'!$D$72:$D$91))),IF('TS-PILE'!$B$76="",-1E+99,'TO HOP NLAN'!D39/ncoc+IF(SUMSQ('TS-PILE'!$E$72:$E$91)=0,0,'TO HOP NLAN'!E39*'TS-PILE'!$E$76/SUMSQ('TS-PILE'!$E$72:$E$91))+IF(SUMSQ('TS-PILE'!$D$72:$D$91)=0,0,'TO HOP NLAN'!F39*'TS-PILE'!$D$76/SUMSQ('TS-PILE'!$D$72:$D$91))),IF('TS-PILE'!$B$77="",-1E+99,'TO HOP NLAN'!D39/ncoc+IF(SUMSQ('TS-PILE'!$E$72:$E$91)=0,0,'TO HOP NLAN'!E39*'TS-PILE'!$E$77/SUMSQ('TS-PILE'!$E$72:$E$91))+IF(SUMSQ('TS-PILE'!$D$72:$D$91)=0,0,'TO HOP NLAN'!F39*'TS-PILE'!$D$77/SUMSQ('TS-PILE'!$D$72:$D$91))),IF('TS-PILE'!$B$78="",-1E+99,'TO HOP NLAN'!D39/ncoc+IF(SUMSQ('TS-PILE'!$E$72:$E$91)=0,0,'TO HOP NLAN'!E39*'TS-PILE'!$E$78/SUMSQ('TS-PILE'!$E$72:$E$91))+IF(SUMSQ('TS-PILE'!$D$72:$D$91)=0,0,'TO HOP NLAN'!F39*'TS-PILE'!$D$78/SUMSQ('TS-PILE'!$D$72:$D$91))),IF('TS-PILE'!$B$79="",-1E+99,'TO HOP NLAN'!D39/ncoc+IF(SUMSQ('TS-PILE'!$E$72:$E$91)=0,0,'TO HOP NLAN'!E39*'TS-PILE'!$E$79/SUMSQ('TS-PILE'!$E$72:$E$91))+IF(SUMSQ('TS-PILE'!$D$72:$D$91)=0,0,'TO HOP NLAN'!F39*'TS-PILE'!$D$79/SUMSQ('TS-PILE'!$D$72:$D$91))),IF('TS-PILE'!$B$80="",-1E+99,'TO HOP NLAN'!D39/ncoc+IF(SUMSQ('TS-PILE'!$E$72:$E$91)=0,0,'TO HOP NLAN'!E39*'TS-PILE'!$E$80/SUMSQ('TS-PILE'!$E$72:$E$91))+IF(SUMSQ('TS-PILE'!$D$72:$D$91)=0,0,'TO HOP NLAN'!F39*'TS-PILE'!$D$80/SUMSQ('TS-PILE'!$D$72:$D$91))),IF('TS-PILE'!$B$81="",-1E+99,'TO HOP NLAN'!D39/ncoc+IF(SUMSQ('TS-PILE'!$E$72:$E$91)=0,0,'TO HOP NLAN'!E39*'TS-PILE'!$E$81/SUMSQ('TS-PILE'!$E$72:$E$91))+IF(SUMSQ('TS-PILE'!$D$72:$D$91)=0,0,'TO HOP NLAN'!F39*'TS-PILE'!$D$81/SUMSQ('TS-PILE'!$D$72:$D$91))),IF('TS-PILE'!$B$82="",-1E+99,'TO HOP NLAN'!D39/ncoc+IF(SUMSQ('TS-PILE'!$E$72:$E$91)=0,0,'TO HOP NLAN'!E39*'TS-PILE'!$E$82/SUMSQ('TS-PILE'!$E$72:$E$91))+IF(SUMSQ('TS-PILE'!$D$72:$D$91)=0,0,'TO HOP NLAN'!F39*'TS-PILE'!$D$82/SUMSQ('TS-PILE'!$D$72:$D$91))),IF('TS-PILE'!$B$83="",-1E+99,'TO HOP NLAN'!D39/ncoc+IF(SUMSQ('TS-PILE'!$E$72:$E$91)=0,0,'TO HOP NLAN'!E39*'TS-PILE'!$E$83/SUMSQ('TS-PILE'!$E$72:$E$91))+IF(SUMSQ('TS-PILE'!$D$72:$D$91)=0,0,'TO HOP NLAN'!F39*'TS-PILE'!$D$83/SUMSQ('TS-PILE'!$D$72:$D$91))),IF('TS-PILE'!$B$84="",-1E+99,'TO HOP NLAN'!D39/ncoc+IF(SUMSQ('TS-PILE'!$E$72:$E$91)=0,0,'TO HOP NLAN'!E39*'TS-PILE'!$E$84/SUMSQ('TS-PILE'!$E$72:$E$91))+IF(SUMSQ('TS-PILE'!$D$72:$D$91)=0,0,'TO HOP NLAN'!F39*'TS-PILE'!$D$84/SUMSQ('TS-PILE'!$D$72:$D$91))),IF('TS-PILE'!$B$85="",-1E+99,'TO HOP NLAN'!D39/ncoc+IF(SUMSQ('TS-PILE'!$E$72:$E$91)=0,0,'TO HOP NLAN'!E39*'TS-PILE'!$E$85/SUMSQ('TS-PILE'!$E$72:$E$91))+IF(SUMSQ('TS-PILE'!$D$72:$D$91)=0,0,'TO HOP NLAN'!F39*'TS-PILE'!$D$85/SUMSQ('TS-PILE'!$D$72:$D$91))),IF('TS-PILE'!$B$86="",-1E+99,'TO HOP NLAN'!D39/ncoc+IF(SUMSQ('TS-PILE'!$E$72:$E$91)=0,0,'TO HOP NLAN'!E39*'TS-PILE'!$E$86/SUMSQ('TS-PILE'!$E$72:$E$91))+IF(SUMSQ('TS-PILE'!$D$72:$D$91)=0,0,'TO HOP NLAN'!F39*'TS-PILE'!$D$86/SUMSQ('TS-PILE'!$D$72:$D$91))),IF('TS-PILE'!$B$87="",-1E+99,'TO HOP NLAN'!D39/ncoc+IF(SUMSQ('TS-PILE'!$E$72:$E$91)=0,0,'TO HOP NLAN'!E39*'TS-PILE'!$E$87/SUMSQ('TS-PILE'!$E$72:$E$91))+IF(SUMSQ('TS-PILE'!$D$72:$D$91)=0,0,'TO HOP NLAN'!F39*'TS-PILE'!$D$87/SUMSQ('TS-PILE'!$D$72:$D$91))),IF('TS-PILE'!$B$88="",-1E+99,'TO HOP NLAN'!D39/ncoc+IF(SUMSQ('TS-PILE'!$E$72:$E$91)=0,0,'TO HOP NLAN'!E39*'TS-PILE'!$E$88/SUMSQ('TS-PILE'!$E$72:$E$91))+IF(SUMSQ('TS-PILE'!$D$72:$D$91)=0,0,'TO HOP NLAN'!F39*'TS-PILE'!$D$88/SUMSQ('TS-PILE'!$D$72:$D$91))),IF('TS-PILE'!$B$89="",-1E+99,'TO HOP NLAN'!D39/ncoc+IF(SUMSQ('TS-PILE'!$E$72:$E$91)=0,0,'TO HOP NLAN'!E39*'TS-PILE'!$E$89/SUMSQ('TS-PILE'!$E$72:$E$91))+IF(SUMSQ('TS-PILE'!$D$72:$D$91)=0,0,'TO HOP NLAN'!F39*'TS-PILE'!$D$89/SUMSQ('TS-PILE'!$D$72:$D$91))),IF('TS-PILE'!$B$90="",-1E+99,'TO HOP NLAN'!D39/ncoc+IF(SUMSQ('TS-PILE'!$E$72:$E$91)=0,0,'TO HOP NLAN'!E39*'TS-PILE'!$E$90/SUMSQ('TS-PILE'!$E$72:$E$91))+IF(SUMSQ('TS-PILE'!$D$72:$D$91)=0,0,'TO HOP NLAN'!F39*'TS-PILE'!$D$90/SUMSQ('TS-PILE'!$D$72:$D$91))),IF('TS-PILE'!$B$91="",-1E+99,'TO HOP NLAN'!D39/ncoc+IF(SUMSQ('TS-PILE'!$E$72:$E$91)=0,0,'TO HOP NLAN'!E39*'TS-PILE'!$E$91/SUMSQ('TS-PILE'!$E$72:$E$91))+IF(SUMSQ('TS-PILE'!$D$72:$D$91)=0,0,'TO HOP NLAN'!F39*'TS-PILE'!$D$91/SUMSQ('TS-PILE'!$D$72:$D$91)))))</f>
        <v>0</v>
      </c>
      <c r="D39" s="58">
        <f>IF(A39="",0,MIN(IF('TS-PILE'!$B$72="",1E+99,'TO HOP NLAN'!D39/ncoc+IF(SUMSQ('TS-PILE'!$E$72:$E$91)=0,0,'TO HOP NLAN'!E39*'TS-PILE'!$E$72/SUMSQ('TS-PILE'!$E$72:$E$91))+IF(SUMSQ('TS-PILE'!$D$72:$D$91)=0,0,'TO HOP NLAN'!F39*'TS-PILE'!$D$72/SUMSQ('TS-PILE'!$D$72:$D$91))),IF('TS-PILE'!$B$73="",1E+99,'TO HOP NLAN'!D39/ncoc+IF(SUMSQ('TS-PILE'!$E$72:$E$91)=0,0,'TO HOP NLAN'!E39*'TS-PILE'!$E$73/SUMSQ('TS-PILE'!$E$72:$E$91))+IF(SUMSQ('TS-PILE'!$D$72:$D$91)=0,0,'TO HOP NLAN'!F39*'TS-PILE'!$D$73/SUMSQ('TS-PILE'!$D$72:$D$91))),IF('TS-PILE'!$B$74="",1E+99,'TO HOP NLAN'!D39/ncoc+IF(SUMSQ('TS-PILE'!$E$72:$E$91)=0,0,'TO HOP NLAN'!E39*'TS-PILE'!$E$74/SUMSQ('TS-PILE'!$E$72:$E$91))+IF(SUMSQ('TS-PILE'!$D$72:$D$91)=0,0,'TO HOP NLAN'!F39*'TS-PILE'!$D$74/SUMSQ('TS-PILE'!$D$72:$D$91))),IF('TS-PILE'!$B$75="",1E+99,'TO HOP NLAN'!D39/ncoc+IF(SUMSQ('TS-PILE'!$E$72:$E$91)=0,0,'TO HOP NLAN'!E39*'TS-PILE'!$E$75/SUMSQ('TS-PILE'!$E$72:$E$91))+IF(SUMSQ('TS-PILE'!$D$72:$D$91)=0,0,'TO HOP NLAN'!F39*'TS-PILE'!$D$75/SUMSQ('TS-PILE'!$D$72:$D$91))),IF('TS-PILE'!$B$76="",1E+99,'TO HOP NLAN'!D39/ncoc+IF(SUMSQ('TS-PILE'!$E$72:$E$91)=0,0,'TO HOP NLAN'!E39*'TS-PILE'!$E$76/SUMSQ('TS-PILE'!$E$72:$E$91))+IF(SUMSQ('TS-PILE'!$D$72:$D$91)=0,0,'TO HOP NLAN'!F39*'TS-PILE'!$D$76/SUMSQ('TS-PILE'!$D$72:$D$91))),IF('TS-PILE'!$B$77="",1E+99,'TO HOP NLAN'!D39/ncoc+IF(SUMSQ('TS-PILE'!$E$72:$E$91)=0,0,'TO HOP NLAN'!E39*'TS-PILE'!$E$77/SUMSQ('TS-PILE'!$E$72:$E$91))+IF(SUMSQ('TS-PILE'!$D$72:$D$91)=0,0,'TO HOP NLAN'!F39*'TS-PILE'!$D$77/SUMSQ('TS-PILE'!$D$72:$D$91))),IF('TS-PILE'!$B$78="",1E+99,'TO HOP NLAN'!D39/ncoc+IF(SUMSQ('TS-PILE'!$E$72:$E$91)=0,0,'TO HOP NLAN'!E39*'TS-PILE'!$E$78/SUMSQ('TS-PILE'!$E$72:$E$91))+IF(SUMSQ('TS-PILE'!$D$72:$D$91)=0,0,'TO HOP NLAN'!F39*'TS-PILE'!$D$78/SUMSQ('TS-PILE'!$D$72:$D$91))),IF('TS-PILE'!$B$79="",1E+99,'TO HOP NLAN'!D39/ncoc+IF(SUMSQ('TS-PILE'!$E$72:$E$91)=0,0,'TO HOP NLAN'!E39*'TS-PILE'!$E$79/SUMSQ('TS-PILE'!$E$72:$E$91))+IF(SUMSQ('TS-PILE'!$D$72:$D$91)=0,0,'TO HOP NLAN'!F39*'TS-PILE'!$D$79/SUMSQ('TS-PILE'!$D$72:$D$91))),IF('TS-PILE'!$B$80="",1E+99,'TO HOP NLAN'!D39/ncoc+IF(SUMSQ('TS-PILE'!$E$72:$E$91)=0,0,'TO HOP NLAN'!E39*'TS-PILE'!$E$80/SUMSQ('TS-PILE'!$E$72:$E$91))+IF(SUMSQ('TS-PILE'!$D$72:$D$91)=0,0,'TO HOP NLAN'!F39*'TS-PILE'!$D$80/SUMSQ('TS-PILE'!$D$72:$D$91))),IF('TS-PILE'!$B$81="",1E+99,'TO HOP NLAN'!D39/ncoc+IF(SUMSQ('TS-PILE'!$E$72:$E$91)=0,0,'TO HOP NLAN'!E39*'TS-PILE'!$E$81/SUMSQ('TS-PILE'!$E$72:$E$91))+IF(SUMSQ('TS-PILE'!$D$72:$D$91)=0,0,'TO HOP NLAN'!F39*'TS-PILE'!$D$81/SUMSQ('TS-PILE'!$D$72:$D$91))),IF('TS-PILE'!$B$82="",1E+99,'TO HOP NLAN'!D39/ncoc+IF(SUMSQ('TS-PILE'!$E$72:$E$91)=0,0,'TO HOP NLAN'!E39*'TS-PILE'!$E$82/SUMSQ('TS-PILE'!$E$72:$E$91))+IF(SUMSQ('TS-PILE'!$D$72:$D$91)=0,0,'TO HOP NLAN'!F39*'TS-PILE'!$D$82/SUMSQ('TS-PILE'!$D$72:$D$91))),IF('TS-PILE'!$B$83="",1E+99,'TO HOP NLAN'!D39/ncoc+IF(SUMSQ('TS-PILE'!$E$72:$E$91)=0,0,'TO HOP NLAN'!E39*'TS-PILE'!$E$83/SUMSQ('TS-PILE'!$E$72:$E$91))+IF(SUMSQ('TS-PILE'!$D$72:$D$91)=0,0,'TO HOP NLAN'!F39*'TS-PILE'!$D$83/SUMSQ('TS-PILE'!$D$72:$D$91))),IF('TS-PILE'!$B$84="",1E+99,'TO HOP NLAN'!D39/ncoc+IF(SUMSQ('TS-PILE'!$E$72:$E$91)=0,0,'TO HOP NLAN'!E39*'TS-PILE'!$E$84/SUMSQ('TS-PILE'!$E$72:$E$91))+IF(SUMSQ('TS-PILE'!$D$72:$D$91)=0,0,'TO HOP NLAN'!F39*'TS-PILE'!$D$84/SUMSQ('TS-PILE'!$D$72:$D$91))),IF('TS-PILE'!$B$85="",1E+99,'TO HOP NLAN'!D39/ncoc+IF(SUMSQ('TS-PILE'!$E$72:$E$91)=0,0,'TO HOP NLAN'!E39*'TS-PILE'!$E$85/SUMSQ('TS-PILE'!$E$72:$E$91))+IF(SUMSQ('TS-PILE'!$D$72:$D$91)=0,0,'TO HOP NLAN'!F39*'TS-PILE'!$D$85/SUMSQ('TS-PILE'!$D$72:$D$91))),IF('TS-PILE'!$B$86="",1E+99,'TO HOP NLAN'!D39/ncoc+IF(SUMSQ('TS-PILE'!$E$72:$E$91)=0,0,'TO HOP NLAN'!E39*'TS-PILE'!$E$86/SUMSQ('TS-PILE'!$E$72:$E$91))+IF(SUMSQ('TS-PILE'!$D$72:$D$91)=0,0,'TO HOP NLAN'!F39*'TS-PILE'!$D$86/SUMSQ('TS-PILE'!$D$72:$D$91))),IF('TS-PILE'!$B$87="",1E+99,'TO HOP NLAN'!D39/ncoc+IF(SUMSQ('TS-PILE'!$E$72:$E$91)=0,0,'TO HOP NLAN'!E39*'TS-PILE'!$E$87/SUMSQ('TS-PILE'!$E$72:$E$91))+IF(SUMSQ('TS-PILE'!$D$72:$D$91)=0,0,'TO HOP NLAN'!F39*'TS-PILE'!$D$87/SUMSQ('TS-PILE'!$D$72:$D$91))),IF('TS-PILE'!$B$88="",1E+99,'TO HOP NLAN'!D39/ncoc+IF(SUMSQ('TS-PILE'!$E$72:$E$91)=0,0,'TO HOP NLAN'!E39*'TS-PILE'!$E$88/SUMSQ('TS-PILE'!$E$72:$E$91))+IF(SUMSQ('TS-PILE'!$D$72:$D$91)=0,0,'TO HOP NLAN'!F39*'TS-PILE'!$D$88/SUMSQ('TS-PILE'!$D$72:$D$91))),IF('TS-PILE'!$B$89="",1E+99,'TO HOP NLAN'!D39/ncoc+IF(SUMSQ('TS-PILE'!$E$72:$E$91)=0,0,'TO HOP NLAN'!E39*'TS-PILE'!$E$89/SUMSQ('TS-PILE'!$E$72:$E$91))+IF(SUMSQ('TS-PILE'!$D$72:$D$91)=0,0,'TO HOP NLAN'!F39*'TS-PILE'!$D$89/SUMSQ('TS-PILE'!$D$72:$D$91))),IF('TS-PILE'!$B$90="",1E+99,'TO HOP NLAN'!D39/ncoc+IF(SUMSQ('TS-PILE'!$E$72:$E$91)=0,0,'TO HOP NLAN'!E39*'TS-PILE'!$E$90/SUMSQ('TS-PILE'!$E$72:$E$91))+IF(SUMSQ('TS-PILE'!$D$72:$D$91)=0,0,'TO HOP NLAN'!F39*'TS-PILE'!$D$90/SUMSQ('TS-PILE'!$D$72:$D$91))),IF('TS-PILE'!$B$91="",1E+99,'TO HOP NLAN'!D39/ncoc+IF(SUMSQ('TS-PILE'!$E$72:$E$91)=0,0,'TO HOP NLAN'!E39*'TS-PILE'!$E$91/SUMSQ('TS-PILE'!$E$72:$E$91))+IF(SUMSQ('TS-PILE'!$D$72:$D$91)=0,0,'TO HOP NLAN'!F39*'TS-PILE'!$D$91/SUMSQ('TS-PILE'!$D$72:$D$91)))))</f>
        <v>0</v>
      </c>
      <c r="E39" s="58">
        <f t="shared" si="0"/>
        <v>-9.9999999999999997E+98</v>
      </c>
      <c r="F39" s="58">
        <f t="shared" si="1"/>
        <v>9.9999999999999997E+98</v>
      </c>
      <c r="G39" s="58">
        <f t="shared" si="2"/>
        <v>-9.9999999999999997E+98</v>
      </c>
      <c r="H39" s="58">
        <f t="shared" si="3"/>
        <v>9.9999999999999997E+98</v>
      </c>
    </row>
    <row r="40" spans="1:8" x14ac:dyDescent="0.3">
      <c r="A40" s="42" t="str">
        <f>'TO HOP NLAN'!A40</f>
        <v/>
      </c>
      <c r="B40" s="42" t="str">
        <f>'TO HOP NLAN'!L40</f>
        <v>SERVICE</v>
      </c>
      <c r="C40" s="58">
        <f>IF(A40="",0,MAX(IF('TS-PILE'!$B$72="",-1E+99,'TO HOP NLAN'!D40/ncoc+IF(SUMSQ('TS-PILE'!$E$72:$E$91)=0,0,'TO HOP NLAN'!E40*'TS-PILE'!$E$72/SUMSQ('TS-PILE'!$E$72:$E$91))+IF(SUMSQ('TS-PILE'!$D$72:$D$91)=0,0,'TO HOP NLAN'!F40*'TS-PILE'!$D$72/SUMSQ('TS-PILE'!$D$72:$D$91))),IF('TS-PILE'!$B$73="",-1E+99,'TO HOP NLAN'!D40/ncoc+IF(SUMSQ('TS-PILE'!$E$72:$E$91)=0,0,'TO HOP NLAN'!E40*'TS-PILE'!$E$73/SUMSQ('TS-PILE'!$E$72:$E$91))+IF(SUMSQ('TS-PILE'!$D$72:$D$91)=0,0,'TO HOP NLAN'!F40*'TS-PILE'!$D$73/SUMSQ('TS-PILE'!$D$72:$D$91))),IF('TS-PILE'!$B$74="",-1E+99,'TO HOP NLAN'!D40/ncoc+IF(SUMSQ('TS-PILE'!$E$72:$E$91)=0,0,'TO HOP NLAN'!E40*'TS-PILE'!$E$74/SUMSQ('TS-PILE'!$E$72:$E$91))+IF(SUMSQ('TS-PILE'!$D$72:$D$91)=0,0,'TO HOP NLAN'!F40*'TS-PILE'!$D$74/SUMSQ('TS-PILE'!$D$72:$D$91))),IF('TS-PILE'!$B$75="",-1E+99,'TO HOP NLAN'!D40/ncoc+IF(SUMSQ('TS-PILE'!$E$72:$E$91)=0,0,'TO HOP NLAN'!E40*'TS-PILE'!$E$75/SUMSQ('TS-PILE'!$E$72:$E$91))+IF(SUMSQ('TS-PILE'!$D$72:$D$91)=0,0,'TO HOP NLAN'!F40*'TS-PILE'!$D$75/SUMSQ('TS-PILE'!$D$72:$D$91))),IF('TS-PILE'!$B$76="",-1E+99,'TO HOP NLAN'!D40/ncoc+IF(SUMSQ('TS-PILE'!$E$72:$E$91)=0,0,'TO HOP NLAN'!E40*'TS-PILE'!$E$76/SUMSQ('TS-PILE'!$E$72:$E$91))+IF(SUMSQ('TS-PILE'!$D$72:$D$91)=0,0,'TO HOP NLAN'!F40*'TS-PILE'!$D$76/SUMSQ('TS-PILE'!$D$72:$D$91))),IF('TS-PILE'!$B$77="",-1E+99,'TO HOP NLAN'!D40/ncoc+IF(SUMSQ('TS-PILE'!$E$72:$E$91)=0,0,'TO HOP NLAN'!E40*'TS-PILE'!$E$77/SUMSQ('TS-PILE'!$E$72:$E$91))+IF(SUMSQ('TS-PILE'!$D$72:$D$91)=0,0,'TO HOP NLAN'!F40*'TS-PILE'!$D$77/SUMSQ('TS-PILE'!$D$72:$D$91))),IF('TS-PILE'!$B$78="",-1E+99,'TO HOP NLAN'!D40/ncoc+IF(SUMSQ('TS-PILE'!$E$72:$E$91)=0,0,'TO HOP NLAN'!E40*'TS-PILE'!$E$78/SUMSQ('TS-PILE'!$E$72:$E$91))+IF(SUMSQ('TS-PILE'!$D$72:$D$91)=0,0,'TO HOP NLAN'!F40*'TS-PILE'!$D$78/SUMSQ('TS-PILE'!$D$72:$D$91))),IF('TS-PILE'!$B$79="",-1E+99,'TO HOP NLAN'!D40/ncoc+IF(SUMSQ('TS-PILE'!$E$72:$E$91)=0,0,'TO HOP NLAN'!E40*'TS-PILE'!$E$79/SUMSQ('TS-PILE'!$E$72:$E$91))+IF(SUMSQ('TS-PILE'!$D$72:$D$91)=0,0,'TO HOP NLAN'!F40*'TS-PILE'!$D$79/SUMSQ('TS-PILE'!$D$72:$D$91))),IF('TS-PILE'!$B$80="",-1E+99,'TO HOP NLAN'!D40/ncoc+IF(SUMSQ('TS-PILE'!$E$72:$E$91)=0,0,'TO HOP NLAN'!E40*'TS-PILE'!$E$80/SUMSQ('TS-PILE'!$E$72:$E$91))+IF(SUMSQ('TS-PILE'!$D$72:$D$91)=0,0,'TO HOP NLAN'!F40*'TS-PILE'!$D$80/SUMSQ('TS-PILE'!$D$72:$D$91))),IF('TS-PILE'!$B$81="",-1E+99,'TO HOP NLAN'!D40/ncoc+IF(SUMSQ('TS-PILE'!$E$72:$E$91)=0,0,'TO HOP NLAN'!E40*'TS-PILE'!$E$81/SUMSQ('TS-PILE'!$E$72:$E$91))+IF(SUMSQ('TS-PILE'!$D$72:$D$91)=0,0,'TO HOP NLAN'!F40*'TS-PILE'!$D$81/SUMSQ('TS-PILE'!$D$72:$D$91))),IF('TS-PILE'!$B$82="",-1E+99,'TO HOP NLAN'!D40/ncoc+IF(SUMSQ('TS-PILE'!$E$72:$E$91)=0,0,'TO HOP NLAN'!E40*'TS-PILE'!$E$82/SUMSQ('TS-PILE'!$E$72:$E$91))+IF(SUMSQ('TS-PILE'!$D$72:$D$91)=0,0,'TO HOP NLAN'!F40*'TS-PILE'!$D$82/SUMSQ('TS-PILE'!$D$72:$D$91))),IF('TS-PILE'!$B$83="",-1E+99,'TO HOP NLAN'!D40/ncoc+IF(SUMSQ('TS-PILE'!$E$72:$E$91)=0,0,'TO HOP NLAN'!E40*'TS-PILE'!$E$83/SUMSQ('TS-PILE'!$E$72:$E$91))+IF(SUMSQ('TS-PILE'!$D$72:$D$91)=0,0,'TO HOP NLAN'!F40*'TS-PILE'!$D$83/SUMSQ('TS-PILE'!$D$72:$D$91))),IF('TS-PILE'!$B$84="",-1E+99,'TO HOP NLAN'!D40/ncoc+IF(SUMSQ('TS-PILE'!$E$72:$E$91)=0,0,'TO HOP NLAN'!E40*'TS-PILE'!$E$84/SUMSQ('TS-PILE'!$E$72:$E$91))+IF(SUMSQ('TS-PILE'!$D$72:$D$91)=0,0,'TO HOP NLAN'!F40*'TS-PILE'!$D$84/SUMSQ('TS-PILE'!$D$72:$D$91))),IF('TS-PILE'!$B$85="",-1E+99,'TO HOP NLAN'!D40/ncoc+IF(SUMSQ('TS-PILE'!$E$72:$E$91)=0,0,'TO HOP NLAN'!E40*'TS-PILE'!$E$85/SUMSQ('TS-PILE'!$E$72:$E$91))+IF(SUMSQ('TS-PILE'!$D$72:$D$91)=0,0,'TO HOP NLAN'!F40*'TS-PILE'!$D$85/SUMSQ('TS-PILE'!$D$72:$D$91))),IF('TS-PILE'!$B$86="",-1E+99,'TO HOP NLAN'!D40/ncoc+IF(SUMSQ('TS-PILE'!$E$72:$E$91)=0,0,'TO HOP NLAN'!E40*'TS-PILE'!$E$86/SUMSQ('TS-PILE'!$E$72:$E$91))+IF(SUMSQ('TS-PILE'!$D$72:$D$91)=0,0,'TO HOP NLAN'!F40*'TS-PILE'!$D$86/SUMSQ('TS-PILE'!$D$72:$D$91))),IF('TS-PILE'!$B$87="",-1E+99,'TO HOP NLAN'!D40/ncoc+IF(SUMSQ('TS-PILE'!$E$72:$E$91)=0,0,'TO HOP NLAN'!E40*'TS-PILE'!$E$87/SUMSQ('TS-PILE'!$E$72:$E$91))+IF(SUMSQ('TS-PILE'!$D$72:$D$91)=0,0,'TO HOP NLAN'!F40*'TS-PILE'!$D$87/SUMSQ('TS-PILE'!$D$72:$D$91))),IF('TS-PILE'!$B$88="",-1E+99,'TO HOP NLAN'!D40/ncoc+IF(SUMSQ('TS-PILE'!$E$72:$E$91)=0,0,'TO HOP NLAN'!E40*'TS-PILE'!$E$88/SUMSQ('TS-PILE'!$E$72:$E$91))+IF(SUMSQ('TS-PILE'!$D$72:$D$91)=0,0,'TO HOP NLAN'!F40*'TS-PILE'!$D$88/SUMSQ('TS-PILE'!$D$72:$D$91))),IF('TS-PILE'!$B$89="",-1E+99,'TO HOP NLAN'!D40/ncoc+IF(SUMSQ('TS-PILE'!$E$72:$E$91)=0,0,'TO HOP NLAN'!E40*'TS-PILE'!$E$89/SUMSQ('TS-PILE'!$E$72:$E$91))+IF(SUMSQ('TS-PILE'!$D$72:$D$91)=0,0,'TO HOP NLAN'!F40*'TS-PILE'!$D$89/SUMSQ('TS-PILE'!$D$72:$D$91))),IF('TS-PILE'!$B$90="",-1E+99,'TO HOP NLAN'!D40/ncoc+IF(SUMSQ('TS-PILE'!$E$72:$E$91)=0,0,'TO HOP NLAN'!E40*'TS-PILE'!$E$90/SUMSQ('TS-PILE'!$E$72:$E$91))+IF(SUMSQ('TS-PILE'!$D$72:$D$91)=0,0,'TO HOP NLAN'!F40*'TS-PILE'!$D$90/SUMSQ('TS-PILE'!$D$72:$D$91))),IF('TS-PILE'!$B$91="",-1E+99,'TO HOP NLAN'!D40/ncoc+IF(SUMSQ('TS-PILE'!$E$72:$E$91)=0,0,'TO HOP NLAN'!E40*'TS-PILE'!$E$91/SUMSQ('TS-PILE'!$E$72:$E$91))+IF(SUMSQ('TS-PILE'!$D$72:$D$91)=0,0,'TO HOP NLAN'!F40*'TS-PILE'!$D$91/SUMSQ('TS-PILE'!$D$72:$D$91)))))</f>
        <v>0</v>
      </c>
      <c r="D40" s="58">
        <f>IF(A40="",0,MIN(IF('TS-PILE'!$B$72="",1E+99,'TO HOP NLAN'!D40/ncoc+IF(SUMSQ('TS-PILE'!$E$72:$E$91)=0,0,'TO HOP NLAN'!E40*'TS-PILE'!$E$72/SUMSQ('TS-PILE'!$E$72:$E$91))+IF(SUMSQ('TS-PILE'!$D$72:$D$91)=0,0,'TO HOP NLAN'!F40*'TS-PILE'!$D$72/SUMSQ('TS-PILE'!$D$72:$D$91))),IF('TS-PILE'!$B$73="",1E+99,'TO HOP NLAN'!D40/ncoc+IF(SUMSQ('TS-PILE'!$E$72:$E$91)=0,0,'TO HOP NLAN'!E40*'TS-PILE'!$E$73/SUMSQ('TS-PILE'!$E$72:$E$91))+IF(SUMSQ('TS-PILE'!$D$72:$D$91)=0,0,'TO HOP NLAN'!F40*'TS-PILE'!$D$73/SUMSQ('TS-PILE'!$D$72:$D$91))),IF('TS-PILE'!$B$74="",1E+99,'TO HOP NLAN'!D40/ncoc+IF(SUMSQ('TS-PILE'!$E$72:$E$91)=0,0,'TO HOP NLAN'!E40*'TS-PILE'!$E$74/SUMSQ('TS-PILE'!$E$72:$E$91))+IF(SUMSQ('TS-PILE'!$D$72:$D$91)=0,0,'TO HOP NLAN'!F40*'TS-PILE'!$D$74/SUMSQ('TS-PILE'!$D$72:$D$91))),IF('TS-PILE'!$B$75="",1E+99,'TO HOP NLAN'!D40/ncoc+IF(SUMSQ('TS-PILE'!$E$72:$E$91)=0,0,'TO HOP NLAN'!E40*'TS-PILE'!$E$75/SUMSQ('TS-PILE'!$E$72:$E$91))+IF(SUMSQ('TS-PILE'!$D$72:$D$91)=0,0,'TO HOP NLAN'!F40*'TS-PILE'!$D$75/SUMSQ('TS-PILE'!$D$72:$D$91))),IF('TS-PILE'!$B$76="",1E+99,'TO HOP NLAN'!D40/ncoc+IF(SUMSQ('TS-PILE'!$E$72:$E$91)=0,0,'TO HOP NLAN'!E40*'TS-PILE'!$E$76/SUMSQ('TS-PILE'!$E$72:$E$91))+IF(SUMSQ('TS-PILE'!$D$72:$D$91)=0,0,'TO HOP NLAN'!F40*'TS-PILE'!$D$76/SUMSQ('TS-PILE'!$D$72:$D$91))),IF('TS-PILE'!$B$77="",1E+99,'TO HOP NLAN'!D40/ncoc+IF(SUMSQ('TS-PILE'!$E$72:$E$91)=0,0,'TO HOP NLAN'!E40*'TS-PILE'!$E$77/SUMSQ('TS-PILE'!$E$72:$E$91))+IF(SUMSQ('TS-PILE'!$D$72:$D$91)=0,0,'TO HOP NLAN'!F40*'TS-PILE'!$D$77/SUMSQ('TS-PILE'!$D$72:$D$91))),IF('TS-PILE'!$B$78="",1E+99,'TO HOP NLAN'!D40/ncoc+IF(SUMSQ('TS-PILE'!$E$72:$E$91)=0,0,'TO HOP NLAN'!E40*'TS-PILE'!$E$78/SUMSQ('TS-PILE'!$E$72:$E$91))+IF(SUMSQ('TS-PILE'!$D$72:$D$91)=0,0,'TO HOP NLAN'!F40*'TS-PILE'!$D$78/SUMSQ('TS-PILE'!$D$72:$D$91))),IF('TS-PILE'!$B$79="",1E+99,'TO HOP NLAN'!D40/ncoc+IF(SUMSQ('TS-PILE'!$E$72:$E$91)=0,0,'TO HOP NLAN'!E40*'TS-PILE'!$E$79/SUMSQ('TS-PILE'!$E$72:$E$91))+IF(SUMSQ('TS-PILE'!$D$72:$D$91)=0,0,'TO HOP NLAN'!F40*'TS-PILE'!$D$79/SUMSQ('TS-PILE'!$D$72:$D$91))),IF('TS-PILE'!$B$80="",1E+99,'TO HOP NLAN'!D40/ncoc+IF(SUMSQ('TS-PILE'!$E$72:$E$91)=0,0,'TO HOP NLAN'!E40*'TS-PILE'!$E$80/SUMSQ('TS-PILE'!$E$72:$E$91))+IF(SUMSQ('TS-PILE'!$D$72:$D$91)=0,0,'TO HOP NLAN'!F40*'TS-PILE'!$D$80/SUMSQ('TS-PILE'!$D$72:$D$91))),IF('TS-PILE'!$B$81="",1E+99,'TO HOP NLAN'!D40/ncoc+IF(SUMSQ('TS-PILE'!$E$72:$E$91)=0,0,'TO HOP NLAN'!E40*'TS-PILE'!$E$81/SUMSQ('TS-PILE'!$E$72:$E$91))+IF(SUMSQ('TS-PILE'!$D$72:$D$91)=0,0,'TO HOP NLAN'!F40*'TS-PILE'!$D$81/SUMSQ('TS-PILE'!$D$72:$D$91))),IF('TS-PILE'!$B$82="",1E+99,'TO HOP NLAN'!D40/ncoc+IF(SUMSQ('TS-PILE'!$E$72:$E$91)=0,0,'TO HOP NLAN'!E40*'TS-PILE'!$E$82/SUMSQ('TS-PILE'!$E$72:$E$91))+IF(SUMSQ('TS-PILE'!$D$72:$D$91)=0,0,'TO HOP NLAN'!F40*'TS-PILE'!$D$82/SUMSQ('TS-PILE'!$D$72:$D$91))),IF('TS-PILE'!$B$83="",1E+99,'TO HOP NLAN'!D40/ncoc+IF(SUMSQ('TS-PILE'!$E$72:$E$91)=0,0,'TO HOP NLAN'!E40*'TS-PILE'!$E$83/SUMSQ('TS-PILE'!$E$72:$E$91))+IF(SUMSQ('TS-PILE'!$D$72:$D$91)=0,0,'TO HOP NLAN'!F40*'TS-PILE'!$D$83/SUMSQ('TS-PILE'!$D$72:$D$91))),IF('TS-PILE'!$B$84="",1E+99,'TO HOP NLAN'!D40/ncoc+IF(SUMSQ('TS-PILE'!$E$72:$E$91)=0,0,'TO HOP NLAN'!E40*'TS-PILE'!$E$84/SUMSQ('TS-PILE'!$E$72:$E$91))+IF(SUMSQ('TS-PILE'!$D$72:$D$91)=0,0,'TO HOP NLAN'!F40*'TS-PILE'!$D$84/SUMSQ('TS-PILE'!$D$72:$D$91))),IF('TS-PILE'!$B$85="",1E+99,'TO HOP NLAN'!D40/ncoc+IF(SUMSQ('TS-PILE'!$E$72:$E$91)=0,0,'TO HOP NLAN'!E40*'TS-PILE'!$E$85/SUMSQ('TS-PILE'!$E$72:$E$91))+IF(SUMSQ('TS-PILE'!$D$72:$D$91)=0,0,'TO HOP NLAN'!F40*'TS-PILE'!$D$85/SUMSQ('TS-PILE'!$D$72:$D$91))),IF('TS-PILE'!$B$86="",1E+99,'TO HOP NLAN'!D40/ncoc+IF(SUMSQ('TS-PILE'!$E$72:$E$91)=0,0,'TO HOP NLAN'!E40*'TS-PILE'!$E$86/SUMSQ('TS-PILE'!$E$72:$E$91))+IF(SUMSQ('TS-PILE'!$D$72:$D$91)=0,0,'TO HOP NLAN'!F40*'TS-PILE'!$D$86/SUMSQ('TS-PILE'!$D$72:$D$91))),IF('TS-PILE'!$B$87="",1E+99,'TO HOP NLAN'!D40/ncoc+IF(SUMSQ('TS-PILE'!$E$72:$E$91)=0,0,'TO HOP NLAN'!E40*'TS-PILE'!$E$87/SUMSQ('TS-PILE'!$E$72:$E$91))+IF(SUMSQ('TS-PILE'!$D$72:$D$91)=0,0,'TO HOP NLAN'!F40*'TS-PILE'!$D$87/SUMSQ('TS-PILE'!$D$72:$D$91))),IF('TS-PILE'!$B$88="",1E+99,'TO HOP NLAN'!D40/ncoc+IF(SUMSQ('TS-PILE'!$E$72:$E$91)=0,0,'TO HOP NLAN'!E40*'TS-PILE'!$E$88/SUMSQ('TS-PILE'!$E$72:$E$91))+IF(SUMSQ('TS-PILE'!$D$72:$D$91)=0,0,'TO HOP NLAN'!F40*'TS-PILE'!$D$88/SUMSQ('TS-PILE'!$D$72:$D$91))),IF('TS-PILE'!$B$89="",1E+99,'TO HOP NLAN'!D40/ncoc+IF(SUMSQ('TS-PILE'!$E$72:$E$91)=0,0,'TO HOP NLAN'!E40*'TS-PILE'!$E$89/SUMSQ('TS-PILE'!$E$72:$E$91))+IF(SUMSQ('TS-PILE'!$D$72:$D$91)=0,0,'TO HOP NLAN'!F40*'TS-PILE'!$D$89/SUMSQ('TS-PILE'!$D$72:$D$91))),IF('TS-PILE'!$B$90="",1E+99,'TO HOP NLAN'!D40/ncoc+IF(SUMSQ('TS-PILE'!$E$72:$E$91)=0,0,'TO HOP NLAN'!E40*'TS-PILE'!$E$90/SUMSQ('TS-PILE'!$E$72:$E$91))+IF(SUMSQ('TS-PILE'!$D$72:$D$91)=0,0,'TO HOP NLAN'!F40*'TS-PILE'!$D$90/SUMSQ('TS-PILE'!$D$72:$D$91))),IF('TS-PILE'!$B$91="",1E+99,'TO HOP NLAN'!D40/ncoc+IF(SUMSQ('TS-PILE'!$E$72:$E$91)=0,0,'TO HOP NLAN'!E40*'TS-PILE'!$E$91/SUMSQ('TS-PILE'!$E$72:$E$91))+IF(SUMSQ('TS-PILE'!$D$72:$D$91)=0,0,'TO HOP NLAN'!F40*'TS-PILE'!$D$91/SUMSQ('TS-PILE'!$D$72:$D$91)))))</f>
        <v>0</v>
      </c>
      <c r="E40" s="58">
        <f t="shared" si="0"/>
        <v>-9.9999999999999997E+98</v>
      </c>
      <c r="F40" s="58">
        <f t="shared" si="1"/>
        <v>9.9999999999999997E+98</v>
      </c>
      <c r="G40" s="58">
        <f t="shared" si="2"/>
        <v>-9.9999999999999997E+98</v>
      </c>
      <c r="H40" s="58">
        <f t="shared" si="3"/>
        <v>9.9999999999999997E+98</v>
      </c>
    </row>
    <row r="41" spans="1:8" x14ac:dyDescent="0.3">
      <c r="A41" s="42" t="str">
        <f>'TO HOP NLAN'!A41</f>
        <v/>
      </c>
      <c r="B41" s="42" t="str">
        <f>'TO HOP NLAN'!L41</f>
        <v>SERVICE</v>
      </c>
      <c r="C41" s="58">
        <f>IF(A41="",0,MAX(IF('TS-PILE'!$B$72="",-1E+99,'TO HOP NLAN'!D41/ncoc+IF(SUMSQ('TS-PILE'!$E$72:$E$91)=0,0,'TO HOP NLAN'!E41*'TS-PILE'!$E$72/SUMSQ('TS-PILE'!$E$72:$E$91))+IF(SUMSQ('TS-PILE'!$D$72:$D$91)=0,0,'TO HOP NLAN'!F41*'TS-PILE'!$D$72/SUMSQ('TS-PILE'!$D$72:$D$91))),IF('TS-PILE'!$B$73="",-1E+99,'TO HOP NLAN'!D41/ncoc+IF(SUMSQ('TS-PILE'!$E$72:$E$91)=0,0,'TO HOP NLAN'!E41*'TS-PILE'!$E$73/SUMSQ('TS-PILE'!$E$72:$E$91))+IF(SUMSQ('TS-PILE'!$D$72:$D$91)=0,0,'TO HOP NLAN'!F41*'TS-PILE'!$D$73/SUMSQ('TS-PILE'!$D$72:$D$91))),IF('TS-PILE'!$B$74="",-1E+99,'TO HOP NLAN'!D41/ncoc+IF(SUMSQ('TS-PILE'!$E$72:$E$91)=0,0,'TO HOP NLAN'!E41*'TS-PILE'!$E$74/SUMSQ('TS-PILE'!$E$72:$E$91))+IF(SUMSQ('TS-PILE'!$D$72:$D$91)=0,0,'TO HOP NLAN'!F41*'TS-PILE'!$D$74/SUMSQ('TS-PILE'!$D$72:$D$91))),IF('TS-PILE'!$B$75="",-1E+99,'TO HOP NLAN'!D41/ncoc+IF(SUMSQ('TS-PILE'!$E$72:$E$91)=0,0,'TO HOP NLAN'!E41*'TS-PILE'!$E$75/SUMSQ('TS-PILE'!$E$72:$E$91))+IF(SUMSQ('TS-PILE'!$D$72:$D$91)=0,0,'TO HOP NLAN'!F41*'TS-PILE'!$D$75/SUMSQ('TS-PILE'!$D$72:$D$91))),IF('TS-PILE'!$B$76="",-1E+99,'TO HOP NLAN'!D41/ncoc+IF(SUMSQ('TS-PILE'!$E$72:$E$91)=0,0,'TO HOP NLAN'!E41*'TS-PILE'!$E$76/SUMSQ('TS-PILE'!$E$72:$E$91))+IF(SUMSQ('TS-PILE'!$D$72:$D$91)=0,0,'TO HOP NLAN'!F41*'TS-PILE'!$D$76/SUMSQ('TS-PILE'!$D$72:$D$91))),IF('TS-PILE'!$B$77="",-1E+99,'TO HOP NLAN'!D41/ncoc+IF(SUMSQ('TS-PILE'!$E$72:$E$91)=0,0,'TO HOP NLAN'!E41*'TS-PILE'!$E$77/SUMSQ('TS-PILE'!$E$72:$E$91))+IF(SUMSQ('TS-PILE'!$D$72:$D$91)=0,0,'TO HOP NLAN'!F41*'TS-PILE'!$D$77/SUMSQ('TS-PILE'!$D$72:$D$91))),IF('TS-PILE'!$B$78="",-1E+99,'TO HOP NLAN'!D41/ncoc+IF(SUMSQ('TS-PILE'!$E$72:$E$91)=0,0,'TO HOP NLAN'!E41*'TS-PILE'!$E$78/SUMSQ('TS-PILE'!$E$72:$E$91))+IF(SUMSQ('TS-PILE'!$D$72:$D$91)=0,0,'TO HOP NLAN'!F41*'TS-PILE'!$D$78/SUMSQ('TS-PILE'!$D$72:$D$91))),IF('TS-PILE'!$B$79="",-1E+99,'TO HOP NLAN'!D41/ncoc+IF(SUMSQ('TS-PILE'!$E$72:$E$91)=0,0,'TO HOP NLAN'!E41*'TS-PILE'!$E$79/SUMSQ('TS-PILE'!$E$72:$E$91))+IF(SUMSQ('TS-PILE'!$D$72:$D$91)=0,0,'TO HOP NLAN'!F41*'TS-PILE'!$D$79/SUMSQ('TS-PILE'!$D$72:$D$91))),IF('TS-PILE'!$B$80="",-1E+99,'TO HOP NLAN'!D41/ncoc+IF(SUMSQ('TS-PILE'!$E$72:$E$91)=0,0,'TO HOP NLAN'!E41*'TS-PILE'!$E$80/SUMSQ('TS-PILE'!$E$72:$E$91))+IF(SUMSQ('TS-PILE'!$D$72:$D$91)=0,0,'TO HOP NLAN'!F41*'TS-PILE'!$D$80/SUMSQ('TS-PILE'!$D$72:$D$91))),IF('TS-PILE'!$B$81="",-1E+99,'TO HOP NLAN'!D41/ncoc+IF(SUMSQ('TS-PILE'!$E$72:$E$91)=0,0,'TO HOP NLAN'!E41*'TS-PILE'!$E$81/SUMSQ('TS-PILE'!$E$72:$E$91))+IF(SUMSQ('TS-PILE'!$D$72:$D$91)=0,0,'TO HOP NLAN'!F41*'TS-PILE'!$D$81/SUMSQ('TS-PILE'!$D$72:$D$91))),IF('TS-PILE'!$B$82="",-1E+99,'TO HOP NLAN'!D41/ncoc+IF(SUMSQ('TS-PILE'!$E$72:$E$91)=0,0,'TO HOP NLAN'!E41*'TS-PILE'!$E$82/SUMSQ('TS-PILE'!$E$72:$E$91))+IF(SUMSQ('TS-PILE'!$D$72:$D$91)=0,0,'TO HOP NLAN'!F41*'TS-PILE'!$D$82/SUMSQ('TS-PILE'!$D$72:$D$91))),IF('TS-PILE'!$B$83="",-1E+99,'TO HOP NLAN'!D41/ncoc+IF(SUMSQ('TS-PILE'!$E$72:$E$91)=0,0,'TO HOP NLAN'!E41*'TS-PILE'!$E$83/SUMSQ('TS-PILE'!$E$72:$E$91))+IF(SUMSQ('TS-PILE'!$D$72:$D$91)=0,0,'TO HOP NLAN'!F41*'TS-PILE'!$D$83/SUMSQ('TS-PILE'!$D$72:$D$91))),IF('TS-PILE'!$B$84="",-1E+99,'TO HOP NLAN'!D41/ncoc+IF(SUMSQ('TS-PILE'!$E$72:$E$91)=0,0,'TO HOP NLAN'!E41*'TS-PILE'!$E$84/SUMSQ('TS-PILE'!$E$72:$E$91))+IF(SUMSQ('TS-PILE'!$D$72:$D$91)=0,0,'TO HOP NLAN'!F41*'TS-PILE'!$D$84/SUMSQ('TS-PILE'!$D$72:$D$91))),IF('TS-PILE'!$B$85="",-1E+99,'TO HOP NLAN'!D41/ncoc+IF(SUMSQ('TS-PILE'!$E$72:$E$91)=0,0,'TO HOP NLAN'!E41*'TS-PILE'!$E$85/SUMSQ('TS-PILE'!$E$72:$E$91))+IF(SUMSQ('TS-PILE'!$D$72:$D$91)=0,0,'TO HOP NLAN'!F41*'TS-PILE'!$D$85/SUMSQ('TS-PILE'!$D$72:$D$91))),IF('TS-PILE'!$B$86="",-1E+99,'TO HOP NLAN'!D41/ncoc+IF(SUMSQ('TS-PILE'!$E$72:$E$91)=0,0,'TO HOP NLAN'!E41*'TS-PILE'!$E$86/SUMSQ('TS-PILE'!$E$72:$E$91))+IF(SUMSQ('TS-PILE'!$D$72:$D$91)=0,0,'TO HOP NLAN'!F41*'TS-PILE'!$D$86/SUMSQ('TS-PILE'!$D$72:$D$91))),IF('TS-PILE'!$B$87="",-1E+99,'TO HOP NLAN'!D41/ncoc+IF(SUMSQ('TS-PILE'!$E$72:$E$91)=0,0,'TO HOP NLAN'!E41*'TS-PILE'!$E$87/SUMSQ('TS-PILE'!$E$72:$E$91))+IF(SUMSQ('TS-PILE'!$D$72:$D$91)=0,0,'TO HOP NLAN'!F41*'TS-PILE'!$D$87/SUMSQ('TS-PILE'!$D$72:$D$91))),IF('TS-PILE'!$B$88="",-1E+99,'TO HOP NLAN'!D41/ncoc+IF(SUMSQ('TS-PILE'!$E$72:$E$91)=0,0,'TO HOP NLAN'!E41*'TS-PILE'!$E$88/SUMSQ('TS-PILE'!$E$72:$E$91))+IF(SUMSQ('TS-PILE'!$D$72:$D$91)=0,0,'TO HOP NLAN'!F41*'TS-PILE'!$D$88/SUMSQ('TS-PILE'!$D$72:$D$91))),IF('TS-PILE'!$B$89="",-1E+99,'TO HOP NLAN'!D41/ncoc+IF(SUMSQ('TS-PILE'!$E$72:$E$91)=0,0,'TO HOP NLAN'!E41*'TS-PILE'!$E$89/SUMSQ('TS-PILE'!$E$72:$E$91))+IF(SUMSQ('TS-PILE'!$D$72:$D$91)=0,0,'TO HOP NLAN'!F41*'TS-PILE'!$D$89/SUMSQ('TS-PILE'!$D$72:$D$91))),IF('TS-PILE'!$B$90="",-1E+99,'TO HOP NLAN'!D41/ncoc+IF(SUMSQ('TS-PILE'!$E$72:$E$91)=0,0,'TO HOP NLAN'!E41*'TS-PILE'!$E$90/SUMSQ('TS-PILE'!$E$72:$E$91))+IF(SUMSQ('TS-PILE'!$D$72:$D$91)=0,0,'TO HOP NLAN'!F41*'TS-PILE'!$D$90/SUMSQ('TS-PILE'!$D$72:$D$91))),IF('TS-PILE'!$B$91="",-1E+99,'TO HOP NLAN'!D41/ncoc+IF(SUMSQ('TS-PILE'!$E$72:$E$91)=0,0,'TO HOP NLAN'!E41*'TS-PILE'!$E$91/SUMSQ('TS-PILE'!$E$72:$E$91))+IF(SUMSQ('TS-PILE'!$D$72:$D$91)=0,0,'TO HOP NLAN'!F41*'TS-PILE'!$D$91/SUMSQ('TS-PILE'!$D$72:$D$91)))))</f>
        <v>0</v>
      </c>
      <c r="D41" s="58">
        <f>IF(A41="",0,MIN(IF('TS-PILE'!$B$72="",1E+99,'TO HOP NLAN'!D41/ncoc+IF(SUMSQ('TS-PILE'!$E$72:$E$91)=0,0,'TO HOP NLAN'!E41*'TS-PILE'!$E$72/SUMSQ('TS-PILE'!$E$72:$E$91))+IF(SUMSQ('TS-PILE'!$D$72:$D$91)=0,0,'TO HOP NLAN'!F41*'TS-PILE'!$D$72/SUMSQ('TS-PILE'!$D$72:$D$91))),IF('TS-PILE'!$B$73="",1E+99,'TO HOP NLAN'!D41/ncoc+IF(SUMSQ('TS-PILE'!$E$72:$E$91)=0,0,'TO HOP NLAN'!E41*'TS-PILE'!$E$73/SUMSQ('TS-PILE'!$E$72:$E$91))+IF(SUMSQ('TS-PILE'!$D$72:$D$91)=0,0,'TO HOP NLAN'!F41*'TS-PILE'!$D$73/SUMSQ('TS-PILE'!$D$72:$D$91))),IF('TS-PILE'!$B$74="",1E+99,'TO HOP NLAN'!D41/ncoc+IF(SUMSQ('TS-PILE'!$E$72:$E$91)=0,0,'TO HOP NLAN'!E41*'TS-PILE'!$E$74/SUMSQ('TS-PILE'!$E$72:$E$91))+IF(SUMSQ('TS-PILE'!$D$72:$D$91)=0,0,'TO HOP NLAN'!F41*'TS-PILE'!$D$74/SUMSQ('TS-PILE'!$D$72:$D$91))),IF('TS-PILE'!$B$75="",1E+99,'TO HOP NLAN'!D41/ncoc+IF(SUMSQ('TS-PILE'!$E$72:$E$91)=0,0,'TO HOP NLAN'!E41*'TS-PILE'!$E$75/SUMSQ('TS-PILE'!$E$72:$E$91))+IF(SUMSQ('TS-PILE'!$D$72:$D$91)=0,0,'TO HOP NLAN'!F41*'TS-PILE'!$D$75/SUMSQ('TS-PILE'!$D$72:$D$91))),IF('TS-PILE'!$B$76="",1E+99,'TO HOP NLAN'!D41/ncoc+IF(SUMSQ('TS-PILE'!$E$72:$E$91)=0,0,'TO HOP NLAN'!E41*'TS-PILE'!$E$76/SUMSQ('TS-PILE'!$E$72:$E$91))+IF(SUMSQ('TS-PILE'!$D$72:$D$91)=0,0,'TO HOP NLAN'!F41*'TS-PILE'!$D$76/SUMSQ('TS-PILE'!$D$72:$D$91))),IF('TS-PILE'!$B$77="",1E+99,'TO HOP NLAN'!D41/ncoc+IF(SUMSQ('TS-PILE'!$E$72:$E$91)=0,0,'TO HOP NLAN'!E41*'TS-PILE'!$E$77/SUMSQ('TS-PILE'!$E$72:$E$91))+IF(SUMSQ('TS-PILE'!$D$72:$D$91)=0,0,'TO HOP NLAN'!F41*'TS-PILE'!$D$77/SUMSQ('TS-PILE'!$D$72:$D$91))),IF('TS-PILE'!$B$78="",1E+99,'TO HOP NLAN'!D41/ncoc+IF(SUMSQ('TS-PILE'!$E$72:$E$91)=0,0,'TO HOP NLAN'!E41*'TS-PILE'!$E$78/SUMSQ('TS-PILE'!$E$72:$E$91))+IF(SUMSQ('TS-PILE'!$D$72:$D$91)=0,0,'TO HOP NLAN'!F41*'TS-PILE'!$D$78/SUMSQ('TS-PILE'!$D$72:$D$91))),IF('TS-PILE'!$B$79="",1E+99,'TO HOP NLAN'!D41/ncoc+IF(SUMSQ('TS-PILE'!$E$72:$E$91)=0,0,'TO HOP NLAN'!E41*'TS-PILE'!$E$79/SUMSQ('TS-PILE'!$E$72:$E$91))+IF(SUMSQ('TS-PILE'!$D$72:$D$91)=0,0,'TO HOP NLAN'!F41*'TS-PILE'!$D$79/SUMSQ('TS-PILE'!$D$72:$D$91))),IF('TS-PILE'!$B$80="",1E+99,'TO HOP NLAN'!D41/ncoc+IF(SUMSQ('TS-PILE'!$E$72:$E$91)=0,0,'TO HOP NLAN'!E41*'TS-PILE'!$E$80/SUMSQ('TS-PILE'!$E$72:$E$91))+IF(SUMSQ('TS-PILE'!$D$72:$D$91)=0,0,'TO HOP NLAN'!F41*'TS-PILE'!$D$80/SUMSQ('TS-PILE'!$D$72:$D$91))),IF('TS-PILE'!$B$81="",1E+99,'TO HOP NLAN'!D41/ncoc+IF(SUMSQ('TS-PILE'!$E$72:$E$91)=0,0,'TO HOP NLAN'!E41*'TS-PILE'!$E$81/SUMSQ('TS-PILE'!$E$72:$E$91))+IF(SUMSQ('TS-PILE'!$D$72:$D$91)=0,0,'TO HOP NLAN'!F41*'TS-PILE'!$D$81/SUMSQ('TS-PILE'!$D$72:$D$91))),IF('TS-PILE'!$B$82="",1E+99,'TO HOP NLAN'!D41/ncoc+IF(SUMSQ('TS-PILE'!$E$72:$E$91)=0,0,'TO HOP NLAN'!E41*'TS-PILE'!$E$82/SUMSQ('TS-PILE'!$E$72:$E$91))+IF(SUMSQ('TS-PILE'!$D$72:$D$91)=0,0,'TO HOP NLAN'!F41*'TS-PILE'!$D$82/SUMSQ('TS-PILE'!$D$72:$D$91))),IF('TS-PILE'!$B$83="",1E+99,'TO HOP NLAN'!D41/ncoc+IF(SUMSQ('TS-PILE'!$E$72:$E$91)=0,0,'TO HOP NLAN'!E41*'TS-PILE'!$E$83/SUMSQ('TS-PILE'!$E$72:$E$91))+IF(SUMSQ('TS-PILE'!$D$72:$D$91)=0,0,'TO HOP NLAN'!F41*'TS-PILE'!$D$83/SUMSQ('TS-PILE'!$D$72:$D$91))),IF('TS-PILE'!$B$84="",1E+99,'TO HOP NLAN'!D41/ncoc+IF(SUMSQ('TS-PILE'!$E$72:$E$91)=0,0,'TO HOP NLAN'!E41*'TS-PILE'!$E$84/SUMSQ('TS-PILE'!$E$72:$E$91))+IF(SUMSQ('TS-PILE'!$D$72:$D$91)=0,0,'TO HOP NLAN'!F41*'TS-PILE'!$D$84/SUMSQ('TS-PILE'!$D$72:$D$91))),IF('TS-PILE'!$B$85="",1E+99,'TO HOP NLAN'!D41/ncoc+IF(SUMSQ('TS-PILE'!$E$72:$E$91)=0,0,'TO HOP NLAN'!E41*'TS-PILE'!$E$85/SUMSQ('TS-PILE'!$E$72:$E$91))+IF(SUMSQ('TS-PILE'!$D$72:$D$91)=0,0,'TO HOP NLAN'!F41*'TS-PILE'!$D$85/SUMSQ('TS-PILE'!$D$72:$D$91))),IF('TS-PILE'!$B$86="",1E+99,'TO HOP NLAN'!D41/ncoc+IF(SUMSQ('TS-PILE'!$E$72:$E$91)=0,0,'TO HOP NLAN'!E41*'TS-PILE'!$E$86/SUMSQ('TS-PILE'!$E$72:$E$91))+IF(SUMSQ('TS-PILE'!$D$72:$D$91)=0,0,'TO HOP NLAN'!F41*'TS-PILE'!$D$86/SUMSQ('TS-PILE'!$D$72:$D$91))),IF('TS-PILE'!$B$87="",1E+99,'TO HOP NLAN'!D41/ncoc+IF(SUMSQ('TS-PILE'!$E$72:$E$91)=0,0,'TO HOP NLAN'!E41*'TS-PILE'!$E$87/SUMSQ('TS-PILE'!$E$72:$E$91))+IF(SUMSQ('TS-PILE'!$D$72:$D$91)=0,0,'TO HOP NLAN'!F41*'TS-PILE'!$D$87/SUMSQ('TS-PILE'!$D$72:$D$91))),IF('TS-PILE'!$B$88="",1E+99,'TO HOP NLAN'!D41/ncoc+IF(SUMSQ('TS-PILE'!$E$72:$E$91)=0,0,'TO HOP NLAN'!E41*'TS-PILE'!$E$88/SUMSQ('TS-PILE'!$E$72:$E$91))+IF(SUMSQ('TS-PILE'!$D$72:$D$91)=0,0,'TO HOP NLAN'!F41*'TS-PILE'!$D$88/SUMSQ('TS-PILE'!$D$72:$D$91))),IF('TS-PILE'!$B$89="",1E+99,'TO HOP NLAN'!D41/ncoc+IF(SUMSQ('TS-PILE'!$E$72:$E$91)=0,0,'TO HOP NLAN'!E41*'TS-PILE'!$E$89/SUMSQ('TS-PILE'!$E$72:$E$91))+IF(SUMSQ('TS-PILE'!$D$72:$D$91)=0,0,'TO HOP NLAN'!F41*'TS-PILE'!$D$89/SUMSQ('TS-PILE'!$D$72:$D$91))),IF('TS-PILE'!$B$90="",1E+99,'TO HOP NLAN'!D41/ncoc+IF(SUMSQ('TS-PILE'!$E$72:$E$91)=0,0,'TO HOP NLAN'!E41*'TS-PILE'!$E$90/SUMSQ('TS-PILE'!$E$72:$E$91))+IF(SUMSQ('TS-PILE'!$D$72:$D$91)=0,0,'TO HOP NLAN'!F41*'TS-PILE'!$D$90/SUMSQ('TS-PILE'!$D$72:$D$91))),IF('TS-PILE'!$B$91="",1E+99,'TO HOP NLAN'!D41/ncoc+IF(SUMSQ('TS-PILE'!$E$72:$E$91)=0,0,'TO HOP NLAN'!E41*'TS-PILE'!$E$91/SUMSQ('TS-PILE'!$E$72:$E$91))+IF(SUMSQ('TS-PILE'!$D$72:$D$91)=0,0,'TO HOP NLAN'!F41*'TS-PILE'!$D$91/SUMSQ('TS-PILE'!$D$72:$D$91)))))</f>
        <v>0</v>
      </c>
      <c r="E41" s="58">
        <f t="shared" si="0"/>
        <v>-9.9999999999999997E+98</v>
      </c>
      <c r="F41" s="58">
        <f t="shared" si="1"/>
        <v>9.9999999999999997E+98</v>
      </c>
      <c r="G41" s="58">
        <f t="shared" si="2"/>
        <v>-9.9999999999999997E+98</v>
      </c>
      <c r="H41" s="58">
        <f t="shared" si="3"/>
        <v>9.9999999999999997E+98</v>
      </c>
    </row>
    <row r="42" spans="1:8" x14ac:dyDescent="0.3">
      <c r="A42" s="42" t="str">
        <f>'TO HOP NLAN'!A42</f>
        <v/>
      </c>
      <c r="B42" s="42" t="str">
        <f>'TO HOP NLAN'!L42</f>
        <v>SERVICE</v>
      </c>
      <c r="C42" s="58">
        <f>IF(A42="",0,MAX(IF('TS-PILE'!$B$72="",-1E+99,'TO HOP NLAN'!D42/ncoc+IF(SUMSQ('TS-PILE'!$E$72:$E$91)=0,0,'TO HOP NLAN'!E42*'TS-PILE'!$E$72/SUMSQ('TS-PILE'!$E$72:$E$91))+IF(SUMSQ('TS-PILE'!$D$72:$D$91)=0,0,'TO HOP NLAN'!F42*'TS-PILE'!$D$72/SUMSQ('TS-PILE'!$D$72:$D$91))),IF('TS-PILE'!$B$73="",-1E+99,'TO HOP NLAN'!D42/ncoc+IF(SUMSQ('TS-PILE'!$E$72:$E$91)=0,0,'TO HOP NLAN'!E42*'TS-PILE'!$E$73/SUMSQ('TS-PILE'!$E$72:$E$91))+IF(SUMSQ('TS-PILE'!$D$72:$D$91)=0,0,'TO HOP NLAN'!F42*'TS-PILE'!$D$73/SUMSQ('TS-PILE'!$D$72:$D$91))),IF('TS-PILE'!$B$74="",-1E+99,'TO HOP NLAN'!D42/ncoc+IF(SUMSQ('TS-PILE'!$E$72:$E$91)=0,0,'TO HOP NLAN'!E42*'TS-PILE'!$E$74/SUMSQ('TS-PILE'!$E$72:$E$91))+IF(SUMSQ('TS-PILE'!$D$72:$D$91)=0,0,'TO HOP NLAN'!F42*'TS-PILE'!$D$74/SUMSQ('TS-PILE'!$D$72:$D$91))),IF('TS-PILE'!$B$75="",-1E+99,'TO HOP NLAN'!D42/ncoc+IF(SUMSQ('TS-PILE'!$E$72:$E$91)=0,0,'TO HOP NLAN'!E42*'TS-PILE'!$E$75/SUMSQ('TS-PILE'!$E$72:$E$91))+IF(SUMSQ('TS-PILE'!$D$72:$D$91)=0,0,'TO HOP NLAN'!F42*'TS-PILE'!$D$75/SUMSQ('TS-PILE'!$D$72:$D$91))),IF('TS-PILE'!$B$76="",-1E+99,'TO HOP NLAN'!D42/ncoc+IF(SUMSQ('TS-PILE'!$E$72:$E$91)=0,0,'TO HOP NLAN'!E42*'TS-PILE'!$E$76/SUMSQ('TS-PILE'!$E$72:$E$91))+IF(SUMSQ('TS-PILE'!$D$72:$D$91)=0,0,'TO HOP NLAN'!F42*'TS-PILE'!$D$76/SUMSQ('TS-PILE'!$D$72:$D$91))),IF('TS-PILE'!$B$77="",-1E+99,'TO HOP NLAN'!D42/ncoc+IF(SUMSQ('TS-PILE'!$E$72:$E$91)=0,0,'TO HOP NLAN'!E42*'TS-PILE'!$E$77/SUMSQ('TS-PILE'!$E$72:$E$91))+IF(SUMSQ('TS-PILE'!$D$72:$D$91)=0,0,'TO HOP NLAN'!F42*'TS-PILE'!$D$77/SUMSQ('TS-PILE'!$D$72:$D$91))),IF('TS-PILE'!$B$78="",-1E+99,'TO HOP NLAN'!D42/ncoc+IF(SUMSQ('TS-PILE'!$E$72:$E$91)=0,0,'TO HOP NLAN'!E42*'TS-PILE'!$E$78/SUMSQ('TS-PILE'!$E$72:$E$91))+IF(SUMSQ('TS-PILE'!$D$72:$D$91)=0,0,'TO HOP NLAN'!F42*'TS-PILE'!$D$78/SUMSQ('TS-PILE'!$D$72:$D$91))),IF('TS-PILE'!$B$79="",-1E+99,'TO HOP NLAN'!D42/ncoc+IF(SUMSQ('TS-PILE'!$E$72:$E$91)=0,0,'TO HOP NLAN'!E42*'TS-PILE'!$E$79/SUMSQ('TS-PILE'!$E$72:$E$91))+IF(SUMSQ('TS-PILE'!$D$72:$D$91)=0,0,'TO HOP NLAN'!F42*'TS-PILE'!$D$79/SUMSQ('TS-PILE'!$D$72:$D$91))),IF('TS-PILE'!$B$80="",-1E+99,'TO HOP NLAN'!D42/ncoc+IF(SUMSQ('TS-PILE'!$E$72:$E$91)=0,0,'TO HOP NLAN'!E42*'TS-PILE'!$E$80/SUMSQ('TS-PILE'!$E$72:$E$91))+IF(SUMSQ('TS-PILE'!$D$72:$D$91)=0,0,'TO HOP NLAN'!F42*'TS-PILE'!$D$80/SUMSQ('TS-PILE'!$D$72:$D$91))),IF('TS-PILE'!$B$81="",-1E+99,'TO HOP NLAN'!D42/ncoc+IF(SUMSQ('TS-PILE'!$E$72:$E$91)=0,0,'TO HOP NLAN'!E42*'TS-PILE'!$E$81/SUMSQ('TS-PILE'!$E$72:$E$91))+IF(SUMSQ('TS-PILE'!$D$72:$D$91)=0,0,'TO HOP NLAN'!F42*'TS-PILE'!$D$81/SUMSQ('TS-PILE'!$D$72:$D$91))),IF('TS-PILE'!$B$82="",-1E+99,'TO HOP NLAN'!D42/ncoc+IF(SUMSQ('TS-PILE'!$E$72:$E$91)=0,0,'TO HOP NLAN'!E42*'TS-PILE'!$E$82/SUMSQ('TS-PILE'!$E$72:$E$91))+IF(SUMSQ('TS-PILE'!$D$72:$D$91)=0,0,'TO HOP NLAN'!F42*'TS-PILE'!$D$82/SUMSQ('TS-PILE'!$D$72:$D$91))),IF('TS-PILE'!$B$83="",-1E+99,'TO HOP NLAN'!D42/ncoc+IF(SUMSQ('TS-PILE'!$E$72:$E$91)=0,0,'TO HOP NLAN'!E42*'TS-PILE'!$E$83/SUMSQ('TS-PILE'!$E$72:$E$91))+IF(SUMSQ('TS-PILE'!$D$72:$D$91)=0,0,'TO HOP NLAN'!F42*'TS-PILE'!$D$83/SUMSQ('TS-PILE'!$D$72:$D$91))),IF('TS-PILE'!$B$84="",-1E+99,'TO HOP NLAN'!D42/ncoc+IF(SUMSQ('TS-PILE'!$E$72:$E$91)=0,0,'TO HOP NLAN'!E42*'TS-PILE'!$E$84/SUMSQ('TS-PILE'!$E$72:$E$91))+IF(SUMSQ('TS-PILE'!$D$72:$D$91)=0,0,'TO HOP NLAN'!F42*'TS-PILE'!$D$84/SUMSQ('TS-PILE'!$D$72:$D$91))),IF('TS-PILE'!$B$85="",-1E+99,'TO HOP NLAN'!D42/ncoc+IF(SUMSQ('TS-PILE'!$E$72:$E$91)=0,0,'TO HOP NLAN'!E42*'TS-PILE'!$E$85/SUMSQ('TS-PILE'!$E$72:$E$91))+IF(SUMSQ('TS-PILE'!$D$72:$D$91)=0,0,'TO HOP NLAN'!F42*'TS-PILE'!$D$85/SUMSQ('TS-PILE'!$D$72:$D$91))),IF('TS-PILE'!$B$86="",-1E+99,'TO HOP NLAN'!D42/ncoc+IF(SUMSQ('TS-PILE'!$E$72:$E$91)=0,0,'TO HOP NLAN'!E42*'TS-PILE'!$E$86/SUMSQ('TS-PILE'!$E$72:$E$91))+IF(SUMSQ('TS-PILE'!$D$72:$D$91)=0,0,'TO HOP NLAN'!F42*'TS-PILE'!$D$86/SUMSQ('TS-PILE'!$D$72:$D$91))),IF('TS-PILE'!$B$87="",-1E+99,'TO HOP NLAN'!D42/ncoc+IF(SUMSQ('TS-PILE'!$E$72:$E$91)=0,0,'TO HOP NLAN'!E42*'TS-PILE'!$E$87/SUMSQ('TS-PILE'!$E$72:$E$91))+IF(SUMSQ('TS-PILE'!$D$72:$D$91)=0,0,'TO HOP NLAN'!F42*'TS-PILE'!$D$87/SUMSQ('TS-PILE'!$D$72:$D$91))),IF('TS-PILE'!$B$88="",-1E+99,'TO HOP NLAN'!D42/ncoc+IF(SUMSQ('TS-PILE'!$E$72:$E$91)=0,0,'TO HOP NLAN'!E42*'TS-PILE'!$E$88/SUMSQ('TS-PILE'!$E$72:$E$91))+IF(SUMSQ('TS-PILE'!$D$72:$D$91)=0,0,'TO HOP NLAN'!F42*'TS-PILE'!$D$88/SUMSQ('TS-PILE'!$D$72:$D$91))),IF('TS-PILE'!$B$89="",-1E+99,'TO HOP NLAN'!D42/ncoc+IF(SUMSQ('TS-PILE'!$E$72:$E$91)=0,0,'TO HOP NLAN'!E42*'TS-PILE'!$E$89/SUMSQ('TS-PILE'!$E$72:$E$91))+IF(SUMSQ('TS-PILE'!$D$72:$D$91)=0,0,'TO HOP NLAN'!F42*'TS-PILE'!$D$89/SUMSQ('TS-PILE'!$D$72:$D$91))),IF('TS-PILE'!$B$90="",-1E+99,'TO HOP NLAN'!D42/ncoc+IF(SUMSQ('TS-PILE'!$E$72:$E$91)=0,0,'TO HOP NLAN'!E42*'TS-PILE'!$E$90/SUMSQ('TS-PILE'!$E$72:$E$91))+IF(SUMSQ('TS-PILE'!$D$72:$D$91)=0,0,'TO HOP NLAN'!F42*'TS-PILE'!$D$90/SUMSQ('TS-PILE'!$D$72:$D$91))),IF('TS-PILE'!$B$91="",-1E+99,'TO HOP NLAN'!D42/ncoc+IF(SUMSQ('TS-PILE'!$E$72:$E$91)=0,0,'TO HOP NLAN'!E42*'TS-PILE'!$E$91/SUMSQ('TS-PILE'!$E$72:$E$91))+IF(SUMSQ('TS-PILE'!$D$72:$D$91)=0,0,'TO HOP NLAN'!F42*'TS-PILE'!$D$91/SUMSQ('TS-PILE'!$D$72:$D$91)))))</f>
        <v>0</v>
      </c>
      <c r="D42" s="58">
        <f>IF(A42="",0,MIN(IF('TS-PILE'!$B$72="",1E+99,'TO HOP NLAN'!D42/ncoc+IF(SUMSQ('TS-PILE'!$E$72:$E$91)=0,0,'TO HOP NLAN'!E42*'TS-PILE'!$E$72/SUMSQ('TS-PILE'!$E$72:$E$91))+IF(SUMSQ('TS-PILE'!$D$72:$D$91)=0,0,'TO HOP NLAN'!F42*'TS-PILE'!$D$72/SUMSQ('TS-PILE'!$D$72:$D$91))),IF('TS-PILE'!$B$73="",1E+99,'TO HOP NLAN'!D42/ncoc+IF(SUMSQ('TS-PILE'!$E$72:$E$91)=0,0,'TO HOP NLAN'!E42*'TS-PILE'!$E$73/SUMSQ('TS-PILE'!$E$72:$E$91))+IF(SUMSQ('TS-PILE'!$D$72:$D$91)=0,0,'TO HOP NLAN'!F42*'TS-PILE'!$D$73/SUMSQ('TS-PILE'!$D$72:$D$91))),IF('TS-PILE'!$B$74="",1E+99,'TO HOP NLAN'!D42/ncoc+IF(SUMSQ('TS-PILE'!$E$72:$E$91)=0,0,'TO HOP NLAN'!E42*'TS-PILE'!$E$74/SUMSQ('TS-PILE'!$E$72:$E$91))+IF(SUMSQ('TS-PILE'!$D$72:$D$91)=0,0,'TO HOP NLAN'!F42*'TS-PILE'!$D$74/SUMSQ('TS-PILE'!$D$72:$D$91))),IF('TS-PILE'!$B$75="",1E+99,'TO HOP NLAN'!D42/ncoc+IF(SUMSQ('TS-PILE'!$E$72:$E$91)=0,0,'TO HOP NLAN'!E42*'TS-PILE'!$E$75/SUMSQ('TS-PILE'!$E$72:$E$91))+IF(SUMSQ('TS-PILE'!$D$72:$D$91)=0,0,'TO HOP NLAN'!F42*'TS-PILE'!$D$75/SUMSQ('TS-PILE'!$D$72:$D$91))),IF('TS-PILE'!$B$76="",1E+99,'TO HOP NLAN'!D42/ncoc+IF(SUMSQ('TS-PILE'!$E$72:$E$91)=0,0,'TO HOP NLAN'!E42*'TS-PILE'!$E$76/SUMSQ('TS-PILE'!$E$72:$E$91))+IF(SUMSQ('TS-PILE'!$D$72:$D$91)=0,0,'TO HOP NLAN'!F42*'TS-PILE'!$D$76/SUMSQ('TS-PILE'!$D$72:$D$91))),IF('TS-PILE'!$B$77="",1E+99,'TO HOP NLAN'!D42/ncoc+IF(SUMSQ('TS-PILE'!$E$72:$E$91)=0,0,'TO HOP NLAN'!E42*'TS-PILE'!$E$77/SUMSQ('TS-PILE'!$E$72:$E$91))+IF(SUMSQ('TS-PILE'!$D$72:$D$91)=0,0,'TO HOP NLAN'!F42*'TS-PILE'!$D$77/SUMSQ('TS-PILE'!$D$72:$D$91))),IF('TS-PILE'!$B$78="",1E+99,'TO HOP NLAN'!D42/ncoc+IF(SUMSQ('TS-PILE'!$E$72:$E$91)=0,0,'TO HOP NLAN'!E42*'TS-PILE'!$E$78/SUMSQ('TS-PILE'!$E$72:$E$91))+IF(SUMSQ('TS-PILE'!$D$72:$D$91)=0,0,'TO HOP NLAN'!F42*'TS-PILE'!$D$78/SUMSQ('TS-PILE'!$D$72:$D$91))),IF('TS-PILE'!$B$79="",1E+99,'TO HOP NLAN'!D42/ncoc+IF(SUMSQ('TS-PILE'!$E$72:$E$91)=0,0,'TO HOP NLAN'!E42*'TS-PILE'!$E$79/SUMSQ('TS-PILE'!$E$72:$E$91))+IF(SUMSQ('TS-PILE'!$D$72:$D$91)=0,0,'TO HOP NLAN'!F42*'TS-PILE'!$D$79/SUMSQ('TS-PILE'!$D$72:$D$91))),IF('TS-PILE'!$B$80="",1E+99,'TO HOP NLAN'!D42/ncoc+IF(SUMSQ('TS-PILE'!$E$72:$E$91)=0,0,'TO HOP NLAN'!E42*'TS-PILE'!$E$80/SUMSQ('TS-PILE'!$E$72:$E$91))+IF(SUMSQ('TS-PILE'!$D$72:$D$91)=0,0,'TO HOP NLAN'!F42*'TS-PILE'!$D$80/SUMSQ('TS-PILE'!$D$72:$D$91))),IF('TS-PILE'!$B$81="",1E+99,'TO HOP NLAN'!D42/ncoc+IF(SUMSQ('TS-PILE'!$E$72:$E$91)=0,0,'TO HOP NLAN'!E42*'TS-PILE'!$E$81/SUMSQ('TS-PILE'!$E$72:$E$91))+IF(SUMSQ('TS-PILE'!$D$72:$D$91)=0,0,'TO HOP NLAN'!F42*'TS-PILE'!$D$81/SUMSQ('TS-PILE'!$D$72:$D$91))),IF('TS-PILE'!$B$82="",1E+99,'TO HOP NLAN'!D42/ncoc+IF(SUMSQ('TS-PILE'!$E$72:$E$91)=0,0,'TO HOP NLAN'!E42*'TS-PILE'!$E$82/SUMSQ('TS-PILE'!$E$72:$E$91))+IF(SUMSQ('TS-PILE'!$D$72:$D$91)=0,0,'TO HOP NLAN'!F42*'TS-PILE'!$D$82/SUMSQ('TS-PILE'!$D$72:$D$91))),IF('TS-PILE'!$B$83="",1E+99,'TO HOP NLAN'!D42/ncoc+IF(SUMSQ('TS-PILE'!$E$72:$E$91)=0,0,'TO HOP NLAN'!E42*'TS-PILE'!$E$83/SUMSQ('TS-PILE'!$E$72:$E$91))+IF(SUMSQ('TS-PILE'!$D$72:$D$91)=0,0,'TO HOP NLAN'!F42*'TS-PILE'!$D$83/SUMSQ('TS-PILE'!$D$72:$D$91))),IF('TS-PILE'!$B$84="",1E+99,'TO HOP NLAN'!D42/ncoc+IF(SUMSQ('TS-PILE'!$E$72:$E$91)=0,0,'TO HOP NLAN'!E42*'TS-PILE'!$E$84/SUMSQ('TS-PILE'!$E$72:$E$91))+IF(SUMSQ('TS-PILE'!$D$72:$D$91)=0,0,'TO HOP NLAN'!F42*'TS-PILE'!$D$84/SUMSQ('TS-PILE'!$D$72:$D$91))),IF('TS-PILE'!$B$85="",1E+99,'TO HOP NLAN'!D42/ncoc+IF(SUMSQ('TS-PILE'!$E$72:$E$91)=0,0,'TO HOP NLAN'!E42*'TS-PILE'!$E$85/SUMSQ('TS-PILE'!$E$72:$E$91))+IF(SUMSQ('TS-PILE'!$D$72:$D$91)=0,0,'TO HOP NLAN'!F42*'TS-PILE'!$D$85/SUMSQ('TS-PILE'!$D$72:$D$91))),IF('TS-PILE'!$B$86="",1E+99,'TO HOP NLAN'!D42/ncoc+IF(SUMSQ('TS-PILE'!$E$72:$E$91)=0,0,'TO HOP NLAN'!E42*'TS-PILE'!$E$86/SUMSQ('TS-PILE'!$E$72:$E$91))+IF(SUMSQ('TS-PILE'!$D$72:$D$91)=0,0,'TO HOP NLAN'!F42*'TS-PILE'!$D$86/SUMSQ('TS-PILE'!$D$72:$D$91))),IF('TS-PILE'!$B$87="",1E+99,'TO HOP NLAN'!D42/ncoc+IF(SUMSQ('TS-PILE'!$E$72:$E$91)=0,0,'TO HOP NLAN'!E42*'TS-PILE'!$E$87/SUMSQ('TS-PILE'!$E$72:$E$91))+IF(SUMSQ('TS-PILE'!$D$72:$D$91)=0,0,'TO HOP NLAN'!F42*'TS-PILE'!$D$87/SUMSQ('TS-PILE'!$D$72:$D$91))),IF('TS-PILE'!$B$88="",1E+99,'TO HOP NLAN'!D42/ncoc+IF(SUMSQ('TS-PILE'!$E$72:$E$91)=0,0,'TO HOP NLAN'!E42*'TS-PILE'!$E$88/SUMSQ('TS-PILE'!$E$72:$E$91))+IF(SUMSQ('TS-PILE'!$D$72:$D$91)=0,0,'TO HOP NLAN'!F42*'TS-PILE'!$D$88/SUMSQ('TS-PILE'!$D$72:$D$91))),IF('TS-PILE'!$B$89="",1E+99,'TO HOP NLAN'!D42/ncoc+IF(SUMSQ('TS-PILE'!$E$72:$E$91)=0,0,'TO HOP NLAN'!E42*'TS-PILE'!$E$89/SUMSQ('TS-PILE'!$E$72:$E$91))+IF(SUMSQ('TS-PILE'!$D$72:$D$91)=0,0,'TO HOP NLAN'!F42*'TS-PILE'!$D$89/SUMSQ('TS-PILE'!$D$72:$D$91))),IF('TS-PILE'!$B$90="",1E+99,'TO HOP NLAN'!D42/ncoc+IF(SUMSQ('TS-PILE'!$E$72:$E$91)=0,0,'TO HOP NLAN'!E42*'TS-PILE'!$E$90/SUMSQ('TS-PILE'!$E$72:$E$91))+IF(SUMSQ('TS-PILE'!$D$72:$D$91)=0,0,'TO HOP NLAN'!F42*'TS-PILE'!$D$90/SUMSQ('TS-PILE'!$D$72:$D$91))),IF('TS-PILE'!$B$91="",1E+99,'TO HOP NLAN'!D42/ncoc+IF(SUMSQ('TS-PILE'!$E$72:$E$91)=0,0,'TO HOP NLAN'!E42*'TS-PILE'!$E$91/SUMSQ('TS-PILE'!$E$72:$E$91))+IF(SUMSQ('TS-PILE'!$D$72:$D$91)=0,0,'TO HOP NLAN'!F42*'TS-PILE'!$D$91/SUMSQ('TS-PILE'!$D$72:$D$91)))))</f>
        <v>0</v>
      </c>
      <c r="E42" s="58">
        <f t="shared" si="0"/>
        <v>-9.9999999999999997E+98</v>
      </c>
      <c r="F42" s="58">
        <f t="shared" si="1"/>
        <v>9.9999999999999997E+98</v>
      </c>
      <c r="G42" s="58">
        <f t="shared" si="2"/>
        <v>-9.9999999999999997E+98</v>
      </c>
      <c r="H42" s="58">
        <f t="shared" si="3"/>
        <v>9.9999999999999997E+98</v>
      </c>
    </row>
    <row r="43" spans="1:8" x14ac:dyDescent="0.3">
      <c r="A43" s="42" t="str">
        <f>'TO HOP NLAN'!A43</f>
        <v/>
      </c>
      <c r="B43" s="42" t="str">
        <f>'TO HOP NLAN'!L43</f>
        <v>SERVICE</v>
      </c>
      <c r="C43" s="58">
        <f>IF(A43="",0,MAX(IF('TS-PILE'!$B$72="",-1E+99,'TO HOP NLAN'!D43/ncoc+IF(SUMSQ('TS-PILE'!$E$72:$E$91)=0,0,'TO HOP NLAN'!E43*'TS-PILE'!$E$72/SUMSQ('TS-PILE'!$E$72:$E$91))+IF(SUMSQ('TS-PILE'!$D$72:$D$91)=0,0,'TO HOP NLAN'!F43*'TS-PILE'!$D$72/SUMSQ('TS-PILE'!$D$72:$D$91))),IF('TS-PILE'!$B$73="",-1E+99,'TO HOP NLAN'!D43/ncoc+IF(SUMSQ('TS-PILE'!$E$72:$E$91)=0,0,'TO HOP NLAN'!E43*'TS-PILE'!$E$73/SUMSQ('TS-PILE'!$E$72:$E$91))+IF(SUMSQ('TS-PILE'!$D$72:$D$91)=0,0,'TO HOP NLAN'!F43*'TS-PILE'!$D$73/SUMSQ('TS-PILE'!$D$72:$D$91))),IF('TS-PILE'!$B$74="",-1E+99,'TO HOP NLAN'!D43/ncoc+IF(SUMSQ('TS-PILE'!$E$72:$E$91)=0,0,'TO HOP NLAN'!E43*'TS-PILE'!$E$74/SUMSQ('TS-PILE'!$E$72:$E$91))+IF(SUMSQ('TS-PILE'!$D$72:$D$91)=0,0,'TO HOP NLAN'!F43*'TS-PILE'!$D$74/SUMSQ('TS-PILE'!$D$72:$D$91))),IF('TS-PILE'!$B$75="",-1E+99,'TO HOP NLAN'!D43/ncoc+IF(SUMSQ('TS-PILE'!$E$72:$E$91)=0,0,'TO HOP NLAN'!E43*'TS-PILE'!$E$75/SUMSQ('TS-PILE'!$E$72:$E$91))+IF(SUMSQ('TS-PILE'!$D$72:$D$91)=0,0,'TO HOP NLAN'!F43*'TS-PILE'!$D$75/SUMSQ('TS-PILE'!$D$72:$D$91))),IF('TS-PILE'!$B$76="",-1E+99,'TO HOP NLAN'!D43/ncoc+IF(SUMSQ('TS-PILE'!$E$72:$E$91)=0,0,'TO HOP NLAN'!E43*'TS-PILE'!$E$76/SUMSQ('TS-PILE'!$E$72:$E$91))+IF(SUMSQ('TS-PILE'!$D$72:$D$91)=0,0,'TO HOP NLAN'!F43*'TS-PILE'!$D$76/SUMSQ('TS-PILE'!$D$72:$D$91))),IF('TS-PILE'!$B$77="",-1E+99,'TO HOP NLAN'!D43/ncoc+IF(SUMSQ('TS-PILE'!$E$72:$E$91)=0,0,'TO HOP NLAN'!E43*'TS-PILE'!$E$77/SUMSQ('TS-PILE'!$E$72:$E$91))+IF(SUMSQ('TS-PILE'!$D$72:$D$91)=0,0,'TO HOP NLAN'!F43*'TS-PILE'!$D$77/SUMSQ('TS-PILE'!$D$72:$D$91))),IF('TS-PILE'!$B$78="",-1E+99,'TO HOP NLAN'!D43/ncoc+IF(SUMSQ('TS-PILE'!$E$72:$E$91)=0,0,'TO HOP NLAN'!E43*'TS-PILE'!$E$78/SUMSQ('TS-PILE'!$E$72:$E$91))+IF(SUMSQ('TS-PILE'!$D$72:$D$91)=0,0,'TO HOP NLAN'!F43*'TS-PILE'!$D$78/SUMSQ('TS-PILE'!$D$72:$D$91))),IF('TS-PILE'!$B$79="",-1E+99,'TO HOP NLAN'!D43/ncoc+IF(SUMSQ('TS-PILE'!$E$72:$E$91)=0,0,'TO HOP NLAN'!E43*'TS-PILE'!$E$79/SUMSQ('TS-PILE'!$E$72:$E$91))+IF(SUMSQ('TS-PILE'!$D$72:$D$91)=0,0,'TO HOP NLAN'!F43*'TS-PILE'!$D$79/SUMSQ('TS-PILE'!$D$72:$D$91))),IF('TS-PILE'!$B$80="",-1E+99,'TO HOP NLAN'!D43/ncoc+IF(SUMSQ('TS-PILE'!$E$72:$E$91)=0,0,'TO HOP NLAN'!E43*'TS-PILE'!$E$80/SUMSQ('TS-PILE'!$E$72:$E$91))+IF(SUMSQ('TS-PILE'!$D$72:$D$91)=0,0,'TO HOP NLAN'!F43*'TS-PILE'!$D$80/SUMSQ('TS-PILE'!$D$72:$D$91))),IF('TS-PILE'!$B$81="",-1E+99,'TO HOP NLAN'!D43/ncoc+IF(SUMSQ('TS-PILE'!$E$72:$E$91)=0,0,'TO HOP NLAN'!E43*'TS-PILE'!$E$81/SUMSQ('TS-PILE'!$E$72:$E$91))+IF(SUMSQ('TS-PILE'!$D$72:$D$91)=0,0,'TO HOP NLAN'!F43*'TS-PILE'!$D$81/SUMSQ('TS-PILE'!$D$72:$D$91))),IF('TS-PILE'!$B$82="",-1E+99,'TO HOP NLAN'!D43/ncoc+IF(SUMSQ('TS-PILE'!$E$72:$E$91)=0,0,'TO HOP NLAN'!E43*'TS-PILE'!$E$82/SUMSQ('TS-PILE'!$E$72:$E$91))+IF(SUMSQ('TS-PILE'!$D$72:$D$91)=0,0,'TO HOP NLAN'!F43*'TS-PILE'!$D$82/SUMSQ('TS-PILE'!$D$72:$D$91))),IF('TS-PILE'!$B$83="",-1E+99,'TO HOP NLAN'!D43/ncoc+IF(SUMSQ('TS-PILE'!$E$72:$E$91)=0,0,'TO HOP NLAN'!E43*'TS-PILE'!$E$83/SUMSQ('TS-PILE'!$E$72:$E$91))+IF(SUMSQ('TS-PILE'!$D$72:$D$91)=0,0,'TO HOP NLAN'!F43*'TS-PILE'!$D$83/SUMSQ('TS-PILE'!$D$72:$D$91))),IF('TS-PILE'!$B$84="",-1E+99,'TO HOP NLAN'!D43/ncoc+IF(SUMSQ('TS-PILE'!$E$72:$E$91)=0,0,'TO HOP NLAN'!E43*'TS-PILE'!$E$84/SUMSQ('TS-PILE'!$E$72:$E$91))+IF(SUMSQ('TS-PILE'!$D$72:$D$91)=0,0,'TO HOP NLAN'!F43*'TS-PILE'!$D$84/SUMSQ('TS-PILE'!$D$72:$D$91))),IF('TS-PILE'!$B$85="",-1E+99,'TO HOP NLAN'!D43/ncoc+IF(SUMSQ('TS-PILE'!$E$72:$E$91)=0,0,'TO HOP NLAN'!E43*'TS-PILE'!$E$85/SUMSQ('TS-PILE'!$E$72:$E$91))+IF(SUMSQ('TS-PILE'!$D$72:$D$91)=0,0,'TO HOP NLAN'!F43*'TS-PILE'!$D$85/SUMSQ('TS-PILE'!$D$72:$D$91))),IF('TS-PILE'!$B$86="",-1E+99,'TO HOP NLAN'!D43/ncoc+IF(SUMSQ('TS-PILE'!$E$72:$E$91)=0,0,'TO HOP NLAN'!E43*'TS-PILE'!$E$86/SUMSQ('TS-PILE'!$E$72:$E$91))+IF(SUMSQ('TS-PILE'!$D$72:$D$91)=0,0,'TO HOP NLAN'!F43*'TS-PILE'!$D$86/SUMSQ('TS-PILE'!$D$72:$D$91))),IF('TS-PILE'!$B$87="",-1E+99,'TO HOP NLAN'!D43/ncoc+IF(SUMSQ('TS-PILE'!$E$72:$E$91)=0,0,'TO HOP NLAN'!E43*'TS-PILE'!$E$87/SUMSQ('TS-PILE'!$E$72:$E$91))+IF(SUMSQ('TS-PILE'!$D$72:$D$91)=0,0,'TO HOP NLAN'!F43*'TS-PILE'!$D$87/SUMSQ('TS-PILE'!$D$72:$D$91))),IF('TS-PILE'!$B$88="",-1E+99,'TO HOP NLAN'!D43/ncoc+IF(SUMSQ('TS-PILE'!$E$72:$E$91)=0,0,'TO HOP NLAN'!E43*'TS-PILE'!$E$88/SUMSQ('TS-PILE'!$E$72:$E$91))+IF(SUMSQ('TS-PILE'!$D$72:$D$91)=0,0,'TO HOP NLAN'!F43*'TS-PILE'!$D$88/SUMSQ('TS-PILE'!$D$72:$D$91))),IF('TS-PILE'!$B$89="",-1E+99,'TO HOP NLAN'!D43/ncoc+IF(SUMSQ('TS-PILE'!$E$72:$E$91)=0,0,'TO HOP NLAN'!E43*'TS-PILE'!$E$89/SUMSQ('TS-PILE'!$E$72:$E$91))+IF(SUMSQ('TS-PILE'!$D$72:$D$91)=0,0,'TO HOP NLAN'!F43*'TS-PILE'!$D$89/SUMSQ('TS-PILE'!$D$72:$D$91))),IF('TS-PILE'!$B$90="",-1E+99,'TO HOP NLAN'!D43/ncoc+IF(SUMSQ('TS-PILE'!$E$72:$E$91)=0,0,'TO HOP NLAN'!E43*'TS-PILE'!$E$90/SUMSQ('TS-PILE'!$E$72:$E$91))+IF(SUMSQ('TS-PILE'!$D$72:$D$91)=0,0,'TO HOP NLAN'!F43*'TS-PILE'!$D$90/SUMSQ('TS-PILE'!$D$72:$D$91))),IF('TS-PILE'!$B$91="",-1E+99,'TO HOP NLAN'!D43/ncoc+IF(SUMSQ('TS-PILE'!$E$72:$E$91)=0,0,'TO HOP NLAN'!E43*'TS-PILE'!$E$91/SUMSQ('TS-PILE'!$E$72:$E$91))+IF(SUMSQ('TS-PILE'!$D$72:$D$91)=0,0,'TO HOP NLAN'!F43*'TS-PILE'!$D$91/SUMSQ('TS-PILE'!$D$72:$D$91)))))</f>
        <v>0</v>
      </c>
      <c r="D43" s="58">
        <f>IF(A43="",0,MIN(IF('TS-PILE'!$B$72="",1E+99,'TO HOP NLAN'!D43/ncoc+IF(SUMSQ('TS-PILE'!$E$72:$E$91)=0,0,'TO HOP NLAN'!E43*'TS-PILE'!$E$72/SUMSQ('TS-PILE'!$E$72:$E$91))+IF(SUMSQ('TS-PILE'!$D$72:$D$91)=0,0,'TO HOP NLAN'!F43*'TS-PILE'!$D$72/SUMSQ('TS-PILE'!$D$72:$D$91))),IF('TS-PILE'!$B$73="",1E+99,'TO HOP NLAN'!D43/ncoc+IF(SUMSQ('TS-PILE'!$E$72:$E$91)=0,0,'TO HOP NLAN'!E43*'TS-PILE'!$E$73/SUMSQ('TS-PILE'!$E$72:$E$91))+IF(SUMSQ('TS-PILE'!$D$72:$D$91)=0,0,'TO HOP NLAN'!F43*'TS-PILE'!$D$73/SUMSQ('TS-PILE'!$D$72:$D$91))),IF('TS-PILE'!$B$74="",1E+99,'TO HOP NLAN'!D43/ncoc+IF(SUMSQ('TS-PILE'!$E$72:$E$91)=0,0,'TO HOP NLAN'!E43*'TS-PILE'!$E$74/SUMSQ('TS-PILE'!$E$72:$E$91))+IF(SUMSQ('TS-PILE'!$D$72:$D$91)=0,0,'TO HOP NLAN'!F43*'TS-PILE'!$D$74/SUMSQ('TS-PILE'!$D$72:$D$91))),IF('TS-PILE'!$B$75="",1E+99,'TO HOP NLAN'!D43/ncoc+IF(SUMSQ('TS-PILE'!$E$72:$E$91)=0,0,'TO HOP NLAN'!E43*'TS-PILE'!$E$75/SUMSQ('TS-PILE'!$E$72:$E$91))+IF(SUMSQ('TS-PILE'!$D$72:$D$91)=0,0,'TO HOP NLAN'!F43*'TS-PILE'!$D$75/SUMSQ('TS-PILE'!$D$72:$D$91))),IF('TS-PILE'!$B$76="",1E+99,'TO HOP NLAN'!D43/ncoc+IF(SUMSQ('TS-PILE'!$E$72:$E$91)=0,0,'TO HOP NLAN'!E43*'TS-PILE'!$E$76/SUMSQ('TS-PILE'!$E$72:$E$91))+IF(SUMSQ('TS-PILE'!$D$72:$D$91)=0,0,'TO HOP NLAN'!F43*'TS-PILE'!$D$76/SUMSQ('TS-PILE'!$D$72:$D$91))),IF('TS-PILE'!$B$77="",1E+99,'TO HOP NLAN'!D43/ncoc+IF(SUMSQ('TS-PILE'!$E$72:$E$91)=0,0,'TO HOP NLAN'!E43*'TS-PILE'!$E$77/SUMSQ('TS-PILE'!$E$72:$E$91))+IF(SUMSQ('TS-PILE'!$D$72:$D$91)=0,0,'TO HOP NLAN'!F43*'TS-PILE'!$D$77/SUMSQ('TS-PILE'!$D$72:$D$91))),IF('TS-PILE'!$B$78="",1E+99,'TO HOP NLAN'!D43/ncoc+IF(SUMSQ('TS-PILE'!$E$72:$E$91)=0,0,'TO HOP NLAN'!E43*'TS-PILE'!$E$78/SUMSQ('TS-PILE'!$E$72:$E$91))+IF(SUMSQ('TS-PILE'!$D$72:$D$91)=0,0,'TO HOP NLAN'!F43*'TS-PILE'!$D$78/SUMSQ('TS-PILE'!$D$72:$D$91))),IF('TS-PILE'!$B$79="",1E+99,'TO HOP NLAN'!D43/ncoc+IF(SUMSQ('TS-PILE'!$E$72:$E$91)=0,0,'TO HOP NLAN'!E43*'TS-PILE'!$E$79/SUMSQ('TS-PILE'!$E$72:$E$91))+IF(SUMSQ('TS-PILE'!$D$72:$D$91)=0,0,'TO HOP NLAN'!F43*'TS-PILE'!$D$79/SUMSQ('TS-PILE'!$D$72:$D$91))),IF('TS-PILE'!$B$80="",1E+99,'TO HOP NLAN'!D43/ncoc+IF(SUMSQ('TS-PILE'!$E$72:$E$91)=0,0,'TO HOP NLAN'!E43*'TS-PILE'!$E$80/SUMSQ('TS-PILE'!$E$72:$E$91))+IF(SUMSQ('TS-PILE'!$D$72:$D$91)=0,0,'TO HOP NLAN'!F43*'TS-PILE'!$D$80/SUMSQ('TS-PILE'!$D$72:$D$91))),IF('TS-PILE'!$B$81="",1E+99,'TO HOP NLAN'!D43/ncoc+IF(SUMSQ('TS-PILE'!$E$72:$E$91)=0,0,'TO HOP NLAN'!E43*'TS-PILE'!$E$81/SUMSQ('TS-PILE'!$E$72:$E$91))+IF(SUMSQ('TS-PILE'!$D$72:$D$91)=0,0,'TO HOP NLAN'!F43*'TS-PILE'!$D$81/SUMSQ('TS-PILE'!$D$72:$D$91))),IF('TS-PILE'!$B$82="",1E+99,'TO HOP NLAN'!D43/ncoc+IF(SUMSQ('TS-PILE'!$E$72:$E$91)=0,0,'TO HOP NLAN'!E43*'TS-PILE'!$E$82/SUMSQ('TS-PILE'!$E$72:$E$91))+IF(SUMSQ('TS-PILE'!$D$72:$D$91)=0,0,'TO HOP NLAN'!F43*'TS-PILE'!$D$82/SUMSQ('TS-PILE'!$D$72:$D$91))),IF('TS-PILE'!$B$83="",1E+99,'TO HOP NLAN'!D43/ncoc+IF(SUMSQ('TS-PILE'!$E$72:$E$91)=0,0,'TO HOP NLAN'!E43*'TS-PILE'!$E$83/SUMSQ('TS-PILE'!$E$72:$E$91))+IF(SUMSQ('TS-PILE'!$D$72:$D$91)=0,0,'TO HOP NLAN'!F43*'TS-PILE'!$D$83/SUMSQ('TS-PILE'!$D$72:$D$91))),IF('TS-PILE'!$B$84="",1E+99,'TO HOP NLAN'!D43/ncoc+IF(SUMSQ('TS-PILE'!$E$72:$E$91)=0,0,'TO HOP NLAN'!E43*'TS-PILE'!$E$84/SUMSQ('TS-PILE'!$E$72:$E$91))+IF(SUMSQ('TS-PILE'!$D$72:$D$91)=0,0,'TO HOP NLAN'!F43*'TS-PILE'!$D$84/SUMSQ('TS-PILE'!$D$72:$D$91))),IF('TS-PILE'!$B$85="",1E+99,'TO HOP NLAN'!D43/ncoc+IF(SUMSQ('TS-PILE'!$E$72:$E$91)=0,0,'TO HOP NLAN'!E43*'TS-PILE'!$E$85/SUMSQ('TS-PILE'!$E$72:$E$91))+IF(SUMSQ('TS-PILE'!$D$72:$D$91)=0,0,'TO HOP NLAN'!F43*'TS-PILE'!$D$85/SUMSQ('TS-PILE'!$D$72:$D$91))),IF('TS-PILE'!$B$86="",1E+99,'TO HOP NLAN'!D43/ncoc+IF(SUMSQ('TS-PILE'!$E$72:$E$91)=0,0,'TO HOP NLAN'!E43*'TS-PILE'!$E$86/SUMSQ('TS-PILE'!$E$72:$E$91))+IF(SUMSQ('TS-PILE'!$D$72:$D$91)=0,0,'TO HOP NLAN'!F43*'TS-PILE'!$D$86/SUMSQ('TS-PILE'!$D$72:$D$91))),IF('TS-PILE'!$B$87="",1E+99,'TO HOP NLAN'!D43/ncoc+IF(SUMSQ('TS-PILE'!$E$72:$E$91)=0,0,'TO HOP NLAN'!E43*'TS-PILE'!$E$87/SUMSQ('TS-PILE'!$E$72:$E$91))+IF(SUMSQ('TS-PILE'!$D$72:$D$91)=0,0,'TO HOP NLAN'!F43*'TS-PILE'!$D$87/SUMSQ('TS-PILE'!$D$72:$D$91))),IF('TS-PILE'!$B$88="",1E+99,'TO HOP NLAN'!D43/ncoc+IF(SUMSQ('TS-PILE'!$E$72:$E$91)=0,0,'TO HOP NLAN'!E43*'TS-PILE'!$E$88/SUMSQ('TS-PILE'!$E$72:$E$91))+IF(SUMSQ('TS-PILE'!$D$72:$D$91)=0,0,'TO HOP NLAN'!F43*'TS-PILE'!$D$88/SUMSQ('TS-PILE'!$D$72:$D$91))),IF('TS-PILE'!$B$89="",1E+99,'TO HOP NLAN'!D43/ncoc+IF(SUMSQ('TS-PILE'!$E$72:$E$91)=0,0,'TO HOP NLAN'!E43*'TS-PILE'!$E$89/SUMSQ('TS-PILE'!$E$72:$E$91))+IF(SUMSQ('TS-PILE'!$D$72:$D$91)=0,0,'TO HOP NLAN'!F43*'TS-PILE'!$D$89/SUMSQ('TS-PILE'!$D$72:$D$91))),IF('TS-PILE'!$B$90="",1E+99,'TO HOP NLAN'!D43/ncoc+IF(SUMSQ('TS-PILE'!$E$72:$E$91)=0,0,'TO HOP NLAN'!E43*'TS-PILE'!$E$90/SUMSQ('TS-PILE'!$E$72:$E$91))+IF(SUMSQ('TS-PILE'!$D$72:$D$91)=0,0,'TO HOP NLAN'!F43*'TS-PILE'!$D$90/SUMSQ('TS-PILE'!$D$72:$D$91))),IF('TS-PILE'!$B$91="",1E+99,'TO HOP NLAN'!D43/ncoc+IF(SUMSQ('TS-PILE'!$E$72:$E$91)=0,0,'TO HOP NLAN'!E43*'TS-PILE'!$E$91/SUMSQ('TS-PILE'!$E$72:$E$91))+IF(SUMSQ('TS-PILE'!$D$72:$D$91)=0,0,'TO HOP NLAN'!F43*'TS-PILE'!$D$91/SUMSQ('TS-PILE'!$D$72:$D$91)))))</f>
        <v>0</v>
      </c>
      <c r="E43" s="58">
        <f t="shared" si="0"/>
        <v>-9.9999999999999997E+98</v>
      </c>
      <c r="F43" s="58">
        <f t="shared" si="1"/>
        <v>9.9999999999999997E+98</v>
      </c>
      <c r="G43" s="58">
        <f t="shared" si="2"/>
        <v>-9.9999999999999997E+98</v>
      </c>
      <c r="H43" s="58">
        <f t="shared" si="3"/>
        <v>9.9999999999999997E+98</v>
      </c>
    </row>
    <row r="44" spans="1:8" x14ac:dyDescent="0.3">
      <c r="A44" s="42" t="str">
        <f>'TO HOP NLAN'!A44</f>
        <v/>
      </c>
      <c r="B44" s="42" t="str">
        <f>'TO HOP NLAN'!L44</f>
        <v>SERVICE</v>
      </c>
      <c r="C44" s="58">
        <f>IF(A44="",0,MAX(IF('TS-PILE'!$B$72="",-1E+99,'TO HOP NLAN'!D44/ncoc+IF(SUMSQ('TS-PILE'!$E$72:$E$91)=0,0,'TO HOP NLAN'!E44*'TS-PILE'!$E$72/SUMSQ('TS-PILE'!$E$72:$E$91))+IF(SUMSQ('TS-PILE'!$D$72:$D$91)=0,0,'TO HOP NLAN'!F44*'TS-PILE'!$D$72/SUMSQ('TS-PILE'!$D$72:$D$91))),IF('TS-PILE'!$B$73="",-1E+99,'TO HOP NLAN'!D44/ncoc+IF(SUMSQ('TS-PILE'!$E$72:$E$91)=0,0,'TO HOP NLAN'!E44*'TS-PILE'!$E$73/SUMSQ('TS-PILE'!$E$72:$E$91))+IF(SUMSQ('TS-PILE'!$D$72:$D$91)=0,0,'TO HOP NLAN'!F44*'TS-PILE'!$D$73/SUMSQ('TS-PILE'!$D$72:$D$91))),IF('TS-PILE'!$B$74="",-1E+99,'TO HOP NLAN'!D44/ncoc+IF(SUMSQ('TS-PILE'!$E$72:$E$91)=0,0,'TO HOP NLAN'!E44*'TS-PILE'!$E$74/SUMSQ('TS-PILE'!$E$72:$E$91))+IF(SUMSQ('TS-PILE'!$D$72:$D$91)=0,0,'TO HOP NLAN'!F44*'TS-PILE'!$D$74/SUMSQ('TS-PILE'!$D$72:$D$91))),IF('TS-PILE'!$B$75="",-1E+99,'TO HOP NLAN'!D44/ncoc+IF(SUMSQ('TS-PILE'!$E$72:$E$91)=0,0,'TO HOP NLAN'!E44*'TS-PILE'!$E$75/SUMSQ('TS-PILE'!$E$72:$E$91))+IF(SUMSQ('TS-PILE'!$D$72:$D$91)=0,0,'TO HOP NLAN'!F44*'TS-PILE'!$D$75/SUMSQ('TS-PILE'!$D$72:$D$91))),IF('TS-PILE'!$B$76="",-1E+99,'TO HOP NLAN'!D44/ncoc+IF(SUMSQ('TS-PILE'!$E$72:$E$91)=0,0,'TO HOP NLAN'!E44*'TS-PILE'!$E$76/SUMSQ('TS-PILE'!$E$72:$E$91))+IF(SUMSQ('TS-PILE'!$D$72:$D$91)=0,0,'TO HOP NLAN'!F44*'TS-PILE'!$D$76/SUMSQ('TS-PILE'!$D$72:$D$91))),IF('TS-PILE'!$B$77="",-1E+99,'TO HOP NLAN'!D44/ncoc+IF(SUMSQ('TS-PILE'!$E$72:$E$91)=0,0,'TO HOP NLAN'!E44*'TS-PILE'!$E$77/SUMSQ('TS-PILE'!$E$72:$E$91))+IF(SUMSQ('TS-PILE'!$D$72:$D$91)=0,0,'TO HOP NLAN'!F44*'TS-PILE'!$D$77/SUMSQ('TS-PILE'!$D$72:$D$91))),IF('TS-PILE'!$B$78="",-1E+99,'TO HOP NLAN'!D44/ncoc+IF(SUMSQ('TS-PILE'!$E$72:$E$91)=0,0,'TO HOP NLAN'!E44*'TS-PILE'!$E$78/SUMSQ('TS-PILE'!$E$72:$E$91))+IF(SUMSQ('TS-PILE'!$D$72:$D$91)=0,0,'TO HOP NLAN'!F44*'TS-PILE'!$D$78/SUMSQ('TS-PILE'!$D$72:$D$91))),IF('TS-PILE'!$B$79="",-1E+99,'TO HOP NLAN'!D44/ncoc+IF(SUMSQ('TS-PILE'!$E$72:$E$91)=0,0,'TO HOP NLAN'!E44*'TS-PILE'!$E$79/SUMSQ('TS-PILE'!$E$72:$E$91))+IF(SUMSQ('TS-PILE'!$D$72:$D$91)=0,0,'TO HOP NLAN'!F44*'TS-PILE'!$D$79/SUMSQ('TS-PILE'!$D$72:$D$91))),IF('TS-PILE'!$B$80="",-1E+99,'TO HOP NLAN'!D44/ncoc+IF(SUMSQ('TS-PILE'!$E$72:$E$91)=0,0,'TO HOP NLAN'!E44*'TS-PILE'!$E$80/SUMSQ('TS-PILE'!$E$72:$E$91))+IF(SUMSQ('TS-PILE'!$D$72:$D$91)=0,0,'TO HOP NLAN'!F44*'TS-PILE'!$D$80/SUMSQ('TS-PILE'!$D$72:$D$91))),IF('TS-PILE'!$B$81="",-1E+99,'TO HOP NLAN'!D44/ncoc+IF(SUMSQ('TS-PILE'!$E$72:$E$91)=0,0,'TO HOP NLAN'!E44*'TS-PILE'!$E$81/SUMSQ('TS-PILE'!$E$72:$E$91))+IF(SUMSQ('TS-PILE'!$D$72:$D$91)=0,0,'TO HOP NLAN'!F44*'TS-PILE'!$D$81/SUMSQ('TS-PILE'!$D$72:$D$91))),IF('TS-PILE'!$B$82="",-1E+99,'TO HOP NLAN'!D44/ncoc+IF(SUMSQ('TS-PILE'!$E$72:$E$91)=0,0,'TO HOP NLAN'!E44*'TS-PILE'!$E$82/SUMSQ('TS-PILE'!$E$72:$E$91))+IF(SUMSQ('TS-PILE'!$D$72:$D$91)=0,0,'TO HOP NLAN'!F44*'TS-PILE'!$D$82/SUMSQ('TS-PILE'!$D$72:$D$91))),IF('TS-PILE'!$B$83="",-1E+99,'TO HOP NLAN'!D44/ncoc+IF(SUMSQ('TS-PILE'!$E$72:$E$91)=0,0,'TO HOP NLAN'!E44*'TS-PILE'!$E$83/SUMSQ('TS-PILE'!$E$72:$E$91))+IF(SUMSQ('TS-PILE'!$D$72:$D$91)=0,0,'TO HOP NLAN'!F44*'TS-PILE'!$D$83/SUMSQ('TS-PILE'!$D$72:$D$91))),IF('TS-PILE'!$B$84="",-1E+99,'TO HOP NLAN'!D44/ncoc+IF(SUMSQ('TS-PILE'!$E$72:$E$91)=0,0,'TO HOP NLAN'!E44*'TS-PILE'!$E$84/SUMSQ('TS-PILE'!$E$72:$E$91))+IF(SUMSQ('TS-PILE'!$D$72:$D$91)=0,0,'TO HOP NLAN'!F44*'TS-PILE'!$D$84/SUMSQ('TS-PILE'!$D$72:$D$91))),IF('TS-PILE'!$B$85="",-1E+99,'TO HOP NLAN'!D44/ncoc+IF(SUMSQ('TS-PILE'!$E$72:$E$91)=0,0,'TO HOP NLAN'!E44*'TS-PILE'!$E$85/SUMSQ('TS-PILE'!$E$72:$E$91))+IF(SUMSQ('TS-PILE'!$D$72:$D$91)=0,0,'TO HOP NLAN'!F44*'TS-PILE'!$D$85/SUMSQ('TS-PILE'!$D$72:$D$91))),IF('TS-PILE'!$B$86="",-1E+99,'TO HOP NLAN'!D44/ncoc+IF(SUMSQ('TS-PILE'!$E$72:$E$91)=0,0,'TO HOP NLAN'!E44*'TS-PILE'!$E$86/SUMSQ('TS-PILE'!$E$72:$E$91))+IF(SUMSQ('TS-PILE'!$D$72:$D$91)=0,0,'TO HOP NLAN'!F44*'TS-PILE'!$D$86/SUMSQ('TS-PILE'!$D$72:$D$91))),IF('TS-PILE'!$B$87="",-1E+99,'TO HOP NLAN'!D44/ncoc+IF(SUMSQ('TS-PILE'!$E$72:$E$91)=0,0,'TO HOP NLAN'!E44*'TS-PILE'!$E$87/SUMSQ('TS-PILE'!$E$72:$E$91))+IF(SUMSQ('TS-PILE'!$D$72:$D$91)=0,0,'TO HOP NLAN'!F44*'TS-PILE'!$D$87/SUMSQ('TS-PILE'!$D$72:$D$91))),IF('TS-PILE'!$B$88="",-1E+99,'TO HOP NLAN'!D44/ncoc+IF(SUMSQ('TS-PILE'!$E$72:$E$91)=0,0,'TO HOP NLAN'!E44*'TS-PILE'!$E$88/SUMSQ('TS-PILE'!$E$72:$E$91))+IF(SUMSQ('TS-PILE'!$D$72:$D$91)=0,0,'TO HOP NLAN'!F44*'TS-PILE'!$D$88/SUMSQ('TS-PILE'!$D$72:$D$91))),IF('TS-PILE'!$B$89="",-1E+99,'TO HOP NLAN'!D44/ncoc+IF(SUMSQ('TS-PILE'!$E$72:$E$91)=0,0,'TO HOP NLAN'!E44*'TS-PILE'!$E$89/SUMSQ('TS-PILE'!$E$72:$E$91))+IF(SUMSQ('TS-PILE'!$D$72:$D$91)=0,0,'TO HOP NLAN'!F44*'TS-PILE'!$D$89/SUMSQ('TS-PILE'!$D$72:$D$91))),IF('TS-PILE'!$B$90="",-1E+99,'TO HOP NLAN'!D44/ncoc+IF(SUMSQ('TS-PILE'!$E$72:$E$91)=0,0,'TO HOP NLAN'!E44*'TS-PILE'!$E$90/SUMSQ('TS-PILE'!$E$72:$E$91))+IF(SUMSQ('TS-PILE'!$D$72:$D$91)=0,0,'TO HOP NLAN'!F44*'TS-PILE'!$D$90/SUMSQ('TS-PILE'!$D$72:$D$91))),IF('TS-PILE'!$B$91="",-1E+99,'TO HOP NLAN'!D44/ncoc+IF(SUMSQ('TS-PILE'!$E$72:$E$91)=0,0,'TO HOP NLAN'!E44*'TS-PILE'!$E$91/SUMSQ('TS-PILE'!$E$72:$E$91))+IF(SUMSQ('TS-PILE'!$D$72:$D$91)=0,0,'TO HOP NLAN'!F44*'TS-PILE'!$D$91/SUMSQ('TS-PILE'!$D$72:$D$91)))))</f>
        <v>0</v>
      </c>
      <c r="D44" s="58">
        <f>IF(A44="",0,MIN(IF('TS-PILE'!$B$72="",1E+99,'TO HOP NLAN'!D44/ncoc+IF(SUMSQ('TS-PILE'!$E$72:$E$91)=0,0,'TO HOP NLAN'!E44*'TS-PILE'!$E$72/SUMSQ('TS-PILE'!$E$72:$E$91))+IF(SUMSQ('TS-PILE'!$D$72:$D$91)=0,0,'TO HOP NLAN'!F44*'TS-PILE'!$D$72/SUMSQ('TS-PILE'!$D$72:$D$91))),IF('TS-PILE'!$B$73="",1E+99,'TO HOP NLAN'!D44/ncoc+IF(SUMSQ('TS-PILE'!$E$72:$E$91)=0,0,'TO HOP NLAN'!E44*'TS-PILE'!$E$73/SUMSQ('TS-PILE'!$E$72:$E$91))+IF(SUMSQ('TS-PILE'!$D$72:$D$91)=0,0,'TO HOP NLAN'!F44*'TS-PILE'!$D$73/SUMSQ('TS-PILE'!$D$72:$D$91))),IF('TS-PILE'!$B$74="",1E+99,'TO HOP NLAN'!D44/ncoc+IF(SUMSQ('TS-PILE'!$E$72:$E$91)=0,0,'TO HOP NLAN'!E44*'TS-PILE'!$E$74/SUMSQ('TS-PILE'!$E$72:$E$91))+IF(SUMSQ('TS-PILE'!$D$72:$D$91)=0,0,'TO HOP NLAN'!F44*'TS-PILE'!$D$74/SUMSQ('TS-PILE'!$D$72:$D$91))),IF('TS-PILE'!$B$75="",1E+99,'TO HOP NLAN'!D44/ncoc+IF(SUMSQ('TS-PILE'!$E$72:$E$91)=0,0,'TO HOP NLAN'!E44*'TS-PILE'!$E$75/SUMSQ('TS-PILE'!$E$72:$E$91))+IF(SUMSQ('TS-PILE'!$D$72:$D$91)=0,0,'TO HOP NLAN'!F44*'TS-PILE'!$D$75/SUMSQ('TS-PILE'!$D$72:$D$91))),IF('TS-PILE'!$B$76="",1E+99,'TO HOP NLAN'!D44/ncoc+IF(SUMSQ('TS-PILE'!$E$72:$E$91)=0,0,'TO HOP NLAN'!E44*'TS-PILE'!$E$76/SUMSQ('TS-PILE'!$E$72:$E$91))+IF(SUMSQ('TS-PILE'!$D$72:$D$91)=0,0,'TO HOP NLAN'!F44*'TS-PILE'!$D$76/SUMSQ('TS-PILE'!$D$72:$D$91))),IF('TS-PILE'!$B$77="",1E+99,'TO HOP NLAN'!D44/ncoc+IF(SUMSQ('TS-PILE'!$E$72:$E$91)=0,0,'TO HOP NLAN'!E44*'TS-PILE'!$E$77/SUMSQ('TS-PILE'!$E$72:$E$91))+IF(SUMSQ('TS-PILE'!$D$72:$D$91)=0,0,'TO HOP NLAN'!F44*'TS-PILE'!$D$77/SUMSQ('TS-PILE'!$D$72:$D$91))),IF('TS-PILE'!$B$78="",1E+99,'TO HOP NLAN'!D44/ncoc+IF(SUMSQ('TS-PILE'!$E$72:$E$91)=0,0,'TO HOP NLAN'!E44*'TS-PILE'!$E$78/SUMSQ('TS-PILE'!$E$72:$E$91))+IF(SUMSQ('TS-PILE'!$D$72:$D$91)=0,0,'TO HOP NLAN'!F44*'TS-PILE'!$D$78/SUMSQ('TS-PILE'!$D$72:$D$91))),IF('TS-PILE'!$B$79="",1E+99,'TO HOP NLAN'!D44/ncoc+IF(SUMSQ('TS-PILE'!$E$72:$E$91)=0,0,'TO HOP NLAN'!E44*'TS-PILE'!$E$79/SUMSQ('TS-PILE'!$E$72:$E$91))+IF(SUMSQ('TS-PILE'!$D$72:$D$91)=0,0,'TO HOP NLAN'!F44*'TS-PILE'!$D$79/SUMSQ('TS-PILE'!$D$72:$D$91))),IF('TS-PILE'!$B$80="",1E+99,'TO HOP NLAN'!D44/ncoc+IF(SUMSQ('TS-PILE'!$E$72:$E$91)=0,0,'TO HOP NLAN'!E44*'TS-PILE'!$E$80/SUMSQ('TS-PILE'!$E$72:$E$91))+IF(SUMSQ('TS-PILE'!$D$72:$D$91)=0,0,'TO HOP NLAN'!F44*'TS-PILE'!$D$80/SUMSQ('TS-PILE'!$D$72:$D$91))),IF('TS-PILE'!$B$81="",1E+99,'TO HOP NLAN'!D44/ncoc+IF(SUMSQ('TS-PILE'!$E$72:$E$91)=0,0,'TO HOP NLAN'!E44*'TS-PILE'!$E$81/SUMSQ('TS-PILE'!$E$72:$E$91))+IF(SUMSQ('TS-PILE'!$D$72:$D$91)=0,0,'TO HOP NLAN'!F44*'TS-PILE'!$D$81/SUMSQ('TS-PILE'!$D$72:$D$91))),IF('TS-PILE'!$B$82="",1E+99,'TO HOP NLAN'!D44/ncoc+IF(SUMSQ('TS-PILE'!$E$72:$E$91)=0,0,'TO HOP NLAN'!E44*'TS-PILE'!$E$82/SUMSQ('TS-PILE'!$E$72:$E$91))+IF(SUMSQ('TS-PILE'!$D$72:$D$91)=0,0,'TO HOP NLAN'!F44*'TS-PILE'!$D$82/SUMSQ('TS-PILE'!$D$72:$D$91))),IF('TS-PILE'!$B$83="",1E+99,'TO HOP NLAN'!D44/ncoc+IF(SUMSQ('TS-PILE'!$E$72:$E$91)=0,0,'TO HOP NLAN'!E44*'TS-PILE'!$E$83/SUMSQ('TS-PILE'!$E$72:$E$91))+IF(SUMSQ('TS-PILE'!$D$72:$D$91)=0,0,'TO HOP NLAN'!F44*'TS-PILE'!$D$83/SUMSQ('TS-PILE'!$D$72:$D$91))),IF('TS-PILE'!$B$84="",1E+99,'TO HOP NLAN'!D44/ncoc+IF(SUMSQ('TS-PILE'!$E$72:$E$91)=0,0,'TO HOP NLAN'!E44*'TS-PILE'!$E$84/SUMSQ('TS-PILE'!$E$72:$E$91))+IF(SUMSQ('TS-PILE'!$D$72:$D$91)=0,0,'TO HOP NLAN'!F44*'TS-PILE'!$D$84/SUMSQ('TS-PILE'!$D$72:$D$91))),IF('TS-PILE'!$B$85="",1E+99,'TO HOP NLAN'!D44/ncoc+IF(SUMSQ('TS-PILE'!$E$72:$E$91)=0,0,'TO HOP NLAN'!E44*'TS-PILE'!$E$85/SUMSQ('TS-PILE'!$E$72:$E$91))+IF(SUMSQ('TS-PILE'!$D$72:$D$91)=0,0,'TO HOP NLAN'!F44*'TS-PILE'!$D$85/SUMSQ('TS-PILE'!$D$72:$D$91))),IF('TS-PILE'!$B$86="",1E+99,'TO HOP NLAN'!D44/ncoc+IF(SUMSQ('TS-PILE'!$E$72:$E$91)=0,0,'TO HOP NLAN'!E44*'TS-PILE'!$E$86/SUMSQ('TS-PILE'!$E$72:$E$91))+IF(SUMSQ('TS-PILE'!$D$72:$D$91)=0,0,'TO HOP NLAN'!F44*'TS-PILE'!$D$86/SUMSQ('TS-PILE'!$D$72:$D$91))),IF('TS-PILE'!$B$87="",1E+99,'TO HOP NLAN'!D44/ncoc+IF(SUMSQ('TS-PILE'!$E$72:$E$91)=0,0,'TO HOP NLAN'!E44*'TS-PILE'!$E$87/SUMSQ('TS-PILE'!$E$72:$E$91))+IF(SUMSQ('TS-PILE'!$D$72:$D$91)=0,0,'TO HOP NLAN'!F44*'TS-PILE'!$D$87/SUMSQ('TS-PILE'!$D$72:$D$91))),IF('TS-PILE'!$B$88="",1E+99,'TO HOP NLAN'!D44/ncoc+IF(SUMSQ('TS-PILE'!$E$72:$E$91)=0,0,'TO HOP NLAN'!E44*'TS-PILE'!$E$88/SUMSQ('TS-PILE'!$E$72:$E$91))+IF(SUMSQ('TS-PILE'!$D$72:$D$91)=0,0,'TO HOP NLAN'!F44*'TS-PILE'!$D$88/SUMSQ('TS-PILE'!$D$72:$D$91))),IF('TS-PILE'!$B$89="",1E+99,'TO HOP NLAN'!D44/ncoc+IF(SUMSQ('TS-PILE'!$E$72:$E$91)=0,0,'TO HOP NLAN'!E44*'TS-PILE'!$E$89/SUMSQ('TS-PILE'!$E$72:$E$91))+IF(SUMSQ('TS-PILE'!$D$72:$D$91)=0,0,'TO HOP NLAN'!F44*'TS-PILE'!$D$89/SUMSQ('TS-PILE'!$D$72:$D$91))),IF('TS-PILE'!$B$90="",1E+99,'TO HOP NLAN'!D44/ncoc+IF(SUMSQ('TS-PILE'!$E$72:$E$91)=0,0,'TO HOP NLAN'!E44*'TS-PILE'!$E$90/SUMSQ('TS-PILE'!$E$72:$E$91))+IF(SUMSQ('TS-PILE'!$D$72:$D$91)=0,0,'TO HOP NLAN'!F44*'TS-PILE'!$D$90/SUMSQ('TS-PILE'!$D$72:$D$91))),IF('TS-PILE'!$B$91="",1E+99,'TO HOP NLAN'!D44/ncoc+IF(SUMSQ('TS-PILE'!$E$72:$E$91)=0,0,'TO HOP NLAN'!E44*'TS-PILE'!$E$91/SUMSQ('TS-PILE'!$E$72:$E$91))+IF(SUMSQ('TS-PILE'!$D$72:$D$91)=0,0,'TO HOP NLAN'!F44*'TS-PILE'!$D$91/SUMSQ('TS-PILE'!$D$72:$D$91)))))</f>
        <v>0</v>
      </c>
      <c r="E44" s="58">
        <f t="shared" si="0"/>
        <v>-9.9999999999999997E+98</v>
      </c>
      <c r="F44" s="58">
        <f t="shared" si="1"/>
        <v>9.9999999999999997E+98</v>
      </c>
      <c r="G44" s="58">
        <f t="shared" si="2"/>
        <v>-9.9999999999999997E+98</v>
      </c>
      <c r="H44" s="58">
        <f t="shared" si="3"/>
        <v>9.9999999999999997E+98</v>
      </c>
    </row>
    <row r="45" spans="1:8" x14ac:dyDescent="0.3">
      <c r="A45" s="42" t="str">
        <f>'TO HOP NLAN'!A45</f>
        <v/>
      </c>
      <c r="B45" s="42" t="str">
        <f>'TO HOP NLAN'!L45</f>
        <v>SERVICE</v>
      </c>
      <c r="C45" s="58">
        <f>IF(A45="",0,MAX(IF('TS-PILE'!$B$72="",-1E+99,'TO HOP NLAN'!D45/ncoc+IF(SUMSQ('TS-PILE'!$E$72:$E$91)=0,0,'TO HOP NLAN'!E45*'TS-PILE'!$E$72/SUMSQ('TS-PILE'!$E$72:$E$91))+IF(SUMSQ('TS-PILE'!$D$72:$D$91)=0,0,'TO HOP NLAN'!F45*'TS-PILE'!$D$72/SUMSQ('TS-PILE'!$D$72:$D$91))),IF('TS-PILE'!$B$73="",-1E+99,'TO HOP NLAN'!D45/ncoc+IF(SUMSQ('TS-PILE'!$E$72:$E$91)=0,0,'TO HOP NLAN'!E45*'TS-PILE'!$E$73/SUMSQ('TS-PILE'!$E$72:$E$91))+IF(SUMSQ('TS-PILE'!$D$72:$D$91)=0,0,'TO HOP NLAN'!F45*'TS-PILE'!$D$73/SUMSQ('TS-PILE'!$D$72:$D$91))),IF('TS-PILE'!$B$74="",-1E+99,'TO HOP NLAN'!D45/ncoc+IF(SUMSQ('TS-PILE'!$E$72:$E$91)=0,0,'TO HOP NLAN'!E45*'TS-PILE'!$E$74/SUMSQ('TS-PILE'!$E$72:$E$91))+IF(SUMSQ('TS-PILE'!$D$72:$D$91)=0,0,'TO HOP NLAN'!F45*'TS-PILE'!$D$74/SUMSQ('TS-PILE'!$D$72:$D$91))),IF('TS-PILE'!$B$75="",-1E+99,'TO HOP NLAN'!D45/ncoc+IF(SUMSQ('TS-PILE'!$E$72:$E$91)=0,0,'TO HOP NLAN'!E45*'TS-PILE'!$E$75/SUMSQ('TS-PILE'!$E$72:$E$91))+IF(SUMSQ('TS-PILE'!$D$72:$D$91)=0,0,'TO HOP NLAN'!F45*'TS-PILE'!$D$75/SUMSQ('TS-PILE'!$D$72:$D$91))),IF('TS-PILE'!$B$76="",-1E+99,'TO HOP NLAN'!D45/ncoc+IF(SUMSQ('TS-PILE'!$E$72:$E$91)=0,0,'TO HOP NLAN'!E45*'TS-PILE'!$E$76/SUMSQ('TS-PILE'!$E$72:$E$91))+IF(SUMSQ('TS-PILE'!$D$72:$D$91)=0,0,'TO HOP NLAN'!F45*'TS-PILE'!$D$76/SUMSQ('TS-PILE'!$D$72:$D$91))),IF('TS-PILE'!$B$77="",-1E+99,'TO HOP NLAN'!D45/ncoc+IF(SUMSQ('TS-PILE'!$E$72:$E$91)=0,0,'TO HOP NLAN'!E45*'TS-PILE'!$E$77/SUMSQ('TS-PILE'!$E$72:$E$91))+IF(SUMSQ('TS-PILE'!$D$72:$D$91)=0,0,'TO HOP NLAN'!F45*'TS-PILE'!$D$77/SUMSQ('TS-PILE'!$D$72:$D$91))),IF('TS-PILE'!$B$78="",-1E+99,'TO HOP NLAN'!D45/ncoc+IF(SUMSQ('TS-PILE'!$E$72:$E$91)=0,0,'TO HOP NLAN'!E45*'TS-PILE'!$E$78/SUMSQ('TS-PILE'!$E$72:$E$91))+IF(SUMSQ('TS-PILE'!$D$72:$D$91)=0,0,'TO HOP NLAN'!F45*'TS-PILE'!$D$78/SUMSQ('TS-PILE'!$D$72:$D$91))),IF('TS-PILE'!$B$79="",-1E+99,'TO HOP NLAN'!D45/ncoc+IF(SUMSQ('TS-PILE'!$E$72:$E$91)=0,0,'TO HOP NLAN'!E45*'TS-PILE'!$E$79/SUMSQ('TS-PILE'!$E$72:$E$91))+IF(SUMSQ('TS-PILE'!$D$72:$D$91)=0,0,'TO HOP NLAN'!F45*'TS-PILE'!$D$79/SUMSQ('TS-PILE'!$D$72:$D$91))),IF('TS-PILE'!$B$80="",-1E+99,'TO HOP NLAN'!D45/ncoc+IF(SUMSQ('TS-PILE'!$E$72:$E$91)=0,0,'TO HOP NLAN'!E45*'TS-PILE'!$E$80/SUMSQ('TS-PILE'!$E$72:$E$91))+IF(SUMSQ('TS-PILE'!$D$72:$D$91)=0,0,'TO HOP NLAN'!F45*'TS-PILE'!$D$80/SUMSQ('TS-PILE'!$D$72:$D$91))),IF('TS-PILE'!$B$81="",-1E+99,'TO HOP NLAN'!D45/ncoc+IF(SUMSQ('TS-PILE'!$E$72:$E$91)=0,0,'TO HOP NLAN'!E45*'TS-PILE'!$E$81/SUMSQ('TS-PILE'!$E$72:$E$91))+IF(SUMSQ('TS-PILE'!$D$72:$D$91)=0,0,'TO HOP NLAN'!F45*'TS-PILE'!$D$81/SUMSQ('TS-PILE'!$D$72:$D$91))),IF('TS-PILE'!$B$82="",-1E+99,'TO HOP NLAN'!D45/ncoc+IF(SUMSQ('TS-PILE'!$E$72:$E$91)=0,0,'TO HOP NLAN'!E45*'TS-PILE'!$E$82/SUMSQ('TS-PILE'!$E$72:$E$91))+IF(SUMSQ('TS-PILE'!$D$72:$D$91)=0,0,'TO HOP NLAN'!F45*'TS-PILE'!$D$82/SUMSQ('TS-PILE'!$D$72:$D$91))),IF('TS-PILE'!$B$83="",-1E+99,'TO HOP NLAN'!D45/ncoc+IF(SUMSQ('TS-PILE'!$E$72:$E$91)=0,0,'TO HOP NLAN'!E45*'TS-PILE'!$E$83/SUMSQ('TS-PILE'!$E$72:$E$91))+IF(SUMSQ('TS-PILE'!$D$72:$D$91)=0,0,'TO HOP NLAN'!F45*'TS-PILE'!$D$83/SUMSQ('TS-PILE'!$D$72:$D$91))),IF('TS-PILE'!$B$84="",-1E+99,'TO HOP NLAN'!D45/ncoc+IF(SUMSQ('TS-PILE'!$E$72:$E$91)=0,0,'TO HOP NLAN'!E45*'TS-PILE'!$E$84/SUMSQ('TS-PILE'!$E$72:$E$91))+IF(SUMSQ('TS-PILE'!$D$72:$D$91)=0,0,'TO HOP NLAN'!F45*'TS-PILE'!$D$84/SUMSQ('TS-PILE'!$D$72:$D$91))),IF('TS-PILE'!$B$85="",-1E+99,'TO HOP NLAN'!D45/ncoc+IF(SUMSQ('TS-PILE'!$E$72:$E$91)=0,0,'TO HOP NLAN'!E45*'TS-PILE'!$E$85/SUMSQ('TS-PILE'!$E$72:$E$91))+IF(SUMSQ('TS-PILE'!$D$72:$D$91)=0,0,'TO HOP NLAN'!F45*'TS-PILE'!$D$85/SUMSQ('TS-PILE'!$D$72:$D$91))),IF('TS-PILE'!$B$86="",-1E+99,'TO HOP NLAN'!D45/ncoc+IF(SUMSQ('TS-PILE'!$E$72:$E$91)=0,0,'TO HOP NLAN'!E45*'TS-PILE'!$E$86/SUMSQ('TS-PILE'!$E$72:$E$91))+IF(SUMSQ('TS-PILE'!$D$72:$D$91)=0,0,'TO HOP NLAN'!F45*'TS-PILE'!$D$86/SUMSQ('TS-PILE'!$D$72:$D$91))),IF('TS-PILE'!$B$87="",-1E+99,'TO HOP NLAN'!D45/ncoc+IF(SUMSQ('TS-PILE'!$E$72:$E$91)=0,0,'TO HOP NLAN'!E45*'TS-PILE'!$E$87/SUMSQ('TS-PILE'!$E$72:$E$91))+IF(SUMSQ('TS-PILE'!$D$72:$D$91)=0,0,'TO HOP NLAN'!F45*'TS-PILE'!$D$87/SUMSQ('TS-PILE'!$D$72:$D$91))),IF('TS-PILE'!$B$88="",-1E+99,'TO HOP NLAN'!D45/ncoc+IF(SUMSQ('TS-PILE'!$E$72:$E$91)=0,0,'TO HOP NLAN'!E45*'TS-PILE'!$E$88/SUMSQ('TS-PILE'!$E$72:$E$91))+IF(SUMSQ('TS-PILE'!$D$72:$D$91)=0,0,'TO HOP NLAN'!F45*'TS-PILE'!$D$88/SUMSQ('TS-PILE'!$D$72:$D$91))),IF('TS-PILE'!$B$89="",-1E+99,'TO HOP NLAN'!D45/ncoc+IF(SUMSQ('TS-PILE'!$E$72:$E$91)=0,0,'TO HOP NLAN'!E45*'TS-PILE'!$E$89/SUMSQ('TS-PILE'!$E$72:$E$91))+IF(SUMSQ('TS-PILE'!$D$72:$D$91)=0,0,'TO HOP NLAN'!F45*'TS-PILE'!$D$89/SUMSQ('TS-PILE'!$D$72:$D$91))),IF('TS-PILE'!$B$90="",-1E+99,'TO HOP NLAN'!D45/ncoc+IF(SUMSQ('TS-PILE'!$E$72:$E$91)=0,0,'TO HOP NLAN'!E45*'TS-PILE'!$E$90/SUMSQ('TS-PILE'!$E$72:$E$91))+IF(SUMSQ('TS-PILE'!$D$72:$D$91)=0,0,'TO HOP NLAN'!F45*'TS-PILE'!$D$90/SUMSQ('TS-PILE'!$D$72:$D$91))),IF('TS-PILE'!$B$91="",-1E+99,'TO HOP NLAN'!D45/ncoc+IF(SUMSQ('TS-PILE'!$E$72:$E$91)=0,0,'TO HOP NLAN'!E45*'TS-PILE'!$E$91/SUMSQ('TS-PILE'!$E$72:$E$91))+IF(SUMSQ('TS-PILE'!$D$72:$D$91)=0,0,'TO HOP NLAN'!F45*'TS-PILE'!$D$91/SUMSQ('TS-PILE'!$D$72:$D$91)))))</f>
        <v>0</v>
      </c>
      <c r="D45" s="58">
        <f>IF(A45="",0,MIN(IF('TS-PILE'!$B$72="",1E+99,'TO HOP NLAN'!D45/ncoc+IF(SUMSQ('TS-PILE'!$E$72:$E$91)=0,0,'TO HOP NLAN'!E45*'TS-PILE'!$E$72/SUMSQ('TS-PILE'!$E$72:$E$91))+IF(SUMSQ('TS-PILE'!$D$72:$D$91)=0,0,'TO HOP NLAN'!F45*'TS-PILE'!$D$72/SUMSQ('TS-PILE'!$D$72:$D$91))),IF('TS-PILE'!$B$73="",1E+99,'TO HOP NLAN'!D45/ncoc+IF(SUMSQ('TS-PILE'!$E$72:$E$91)=0,0,'TO HOP NLAN'!E45*'TS-PILE'!$E$73/SUMSQ('TS-PILE'!$E$72:$E$91))+IF(SUMSQ('TS-PILE'!$D$72:$D$91)=0,0,'TO HOP NLAN'!F45*'TS-PILE'!$D$73/SUMSQ('TS-PILE'!$D$72:$D$91))),IF('TS-PILE'!$B$74="",1E+99,'TO HOP NLAN'!D45/ncoc+IF(SUMSQ('TS-PILE'!$E$72:$E$91)=0,0,'TO HOP NLAN'!E45*'TS-PILE'!$E$74/SUMSQ('TS-PILE'!$E$72:$E$91))+IF(SUMSQ('TS-PILE'!$D$72:$D$91)=0,0,'TO HOP NLAN'!F45*'TS-PILE'!$D$74/SUMSQ('TS-PILE'!$D$72:$D$91))),IF('TS-PILE'!$B$75="",1E+99,'TO HOP NLAN'!D45/ncoc+IF(SUMSQ('TS-PILE'!$E$72:$E$91)=0,0,'TO HOP NLAN'!E45*'TS-PILE'!$E$75/SUMSQ('TS-PILE'!$E$72:$E$91))+IF(SUMSQ('TS-PILE'!$D$72:$D$91)=0,0,'TO HOP NLAN'!F45*'TS-PILE'!$D$75/SUMSQ('TS-PILE'!$D$72:$D$91))),IF('TS-PILE'!$B$76="",1E+99,'TO HOP NLAN'!D45/ncoc+IF(SUMSQ('TS-PILE'!$E$72:$E$91)=0,0,'TO HOP NLAN'!E45*'TS-PILE'!$E$76/SUMSQ('TS-PILE'!$E$72:$E$91))+IF(SUMSQ('TS-PILE'!$D$72:$D$91)=0,0,'TO HOP NLAN'!F45*'TS-PILE'!$D$76/SUMSQ('TS-PILE'!$D$72:$D$91))),IF('TS-PILE'!$B$77="",1E+99,'TO HOP NLAN'!D45/ncoc+IF(SUMSQ('TS-PILE'!$E$72:$E$91)=0,0,'TO HOP NLAN'!E45*'TS-PILE'!$E$77/SUMSQ('TS-PILE'!$E$72:$E$91))+IF(SUMSQ('TS-PILE'!$D$72:$D$91)=0,0,'TO HOP NLAN'!F45*'TS-PILE'!$D$77/SUMSQ('TS-PILE'!$D$72:$D$91))),IF('TS-PILE'!$B$78="",1E+99,'TO HOP NLAN'!D45/ncoc+IF(SUMSQ('TS-PILE'!$E$72:$E$91)=0,0,'TO HOP NLAN'!E45*'TS-PILE'!$E$78/SUMSQ('TS-PILE'!$E$72:$E$91))+IF(SUMSQ('TS-PILE'!$D$72:$D$91)=0,0,'TO HOP NLAN'!F45*'TS-PILE'!$D$78/SUMSQ('TS-PILE'!$D$72:$D$91))),IF('TS-PILE'!$B$79="",1E+99,'TO HOP NLAN'!D45/ncoc+IF(SUMSQ('TS-PILE'!$E$72:$E$91)=0,0,'TO HOP NLAN'!E45*'TS-PILE'!$E$79/SUMSQ('TS-PILE'!$E$72:$E$91))+IF(SUMSQ('TS-PILE'!$D$72:$D$91)=0,0,'TO HOP NLAN'!F45*'TS-PILE'!$D$79/SUMSQ('TS-PILE'!$D$72:$D$91))),IF('TS-PILE'!$B$80="",1E+99,'TO HOP NLAN'!D45/ncoc+IF(SUMSQ('TS-PILE'!$E$72:$E$91)=0,0,'TO HOP NLAN'!E45*'TS-PILE'!$E$80/SUMSQ('TS-PILE'!$E$72:$E$91))+IF(SUMSQ('TS-PILE'!$D$72:$D$91)=0,0,'TO HOP NLAN'!F45*'TS-PILE'!$D$80/SUMSQ('TS-PILE'!$D$72:$D$91))),IF('TS-PILE'!$B$81="",1E+99,'TO HOP NLAN'!D45/ncoc+IF(SUMSQ('TS-PILE'!$E$72:$E$91)=0,0,'TO HOP NLAN'!E45*'TS-PILE'!$E$81/SUMSQ('TS-PILE'!$E$72:$E$91))+IF(SUMSQ('TS-PILE'!$D$72:$D$91)=0,0,'TO HOP NLAN'!F45*'TS-PILE'!$D$81/SUMSQ('TS-PILE'!$D$72:$D$91))),IF('TS-PILE'!$B$82="",1E+99,'TO HOP NLAN'!D45/ncoc+IF(SUMSQ('TS-PILE'!$E$72:$E$91)=0,0,'TO HOP NLAN'!E45*'TS-PILE'!$E$82/SUMSQ('TS-PILE'!$E$72:$E$91))+IF(SUMSQ('TS-PILE'!$D$72:$D$91)=0,0,'TO HOP NLAN'!F45*'TS-PILE'!$D$82/SUMSQ('TS-PILE'!$D$72:$D$91))),IF('TS-PILE'!$B$83="",1E+99,'TO HOP NLAN'!D45/ncoc+IF(SUMSQ('TS-PILE'!$E$72:$E$91)=0,0,'TO HOP NLAN'!E45*'TS-PILE'!$E$83/SUMSQ('TS-PILE'!$E$72:$E$91))+IF(SUMSQ('TS-PILE'!$D$72:$D$91)=0,0,'TO HOP NLAN'!F45*'TS-PILE'!$D$83/SUMSQ('TS-PILE'!$D$72:$D$91))),IF('TS-PILE'!$B$84="",1E+99,'TO HOP NLAN'!D45/ncoc+IF(SUMSQ('TS-PILE'!$E$72:$E$91)=0,0,'TO HOP NLAN'!E45*'TS-PILE'!$E$84/SUMSQ('TS-PILE'!$E$72:$E$91))+IF(SUMSQ('TS-PILE'!$D$72:$D$91)=0,0,'TO HOP NLAN'!F45*'TS-PILE'!$D$84/SUMSQ('TS-PILE'!$D$72:$D$91))),IF('TS-PILE'!$B$85="",1E+99,'TO HOP NLAN'!D45/ncoc+IF(SUMSQ('TS-PILE'!$E$72:$E$91)=0,0,'TO HOP NLAN'!E45*'TS-PILE'!$E$85/SUMSQ('TS-PILE'!$E$72:$E$91))+IF(SUMSQ('TS-PILE'!$D$72:$D$91)=0,0,'TO HOP NLAN'!F45*'TS-PILE'!$D$85/SUMSQ('TS-PILE'!$D$72:$D$91))),IF('TS-PILE'!$B$86="",1E+99,'TO HOP NLAN'!D45/ncoc+IF(SUMSQ('TS-PILE'!$E$72:$E$91)=0,0,'TO HOP NLAN'!E45*'TS-PILE'!$E$86/SUMSQ('TS-PILE'!$E$72:$E$91))+IF(SUMSQ('TS-PILE'!$D$72:$D$91)=0,0,'TO HOP NLAN'!F45*'TS-PILE'!$D$86/SUMSQ('TS-PILE'!$D$72:$D$91))),IF('TS-PILE'!$B$87="",1E+99,'TO HOP NLAN'!D45/ncoc+IF(SUMSQ('TS-PILE'!$E$72:$E$91)=0,0,'TO HOP NLAN'!E45*'TS-PILE'!$E$87/SUMSQ('TS-PILE'!$E$72:$E$91))+IF(SUMSQ('TS-PILE'!$D$72:$D$91)=0,0,'TO HOP NLAN'!F45*'TS-PILE'!$D$87/SUMSQ('TS-PILE'!$D$72:$D$91))),IF('TS-PILE'!$B$88="",1E+99,'TO HOP NLAN'!D45/ncoc+IF(SUMSQ('TS-PILE'!$E$72:$E$91)=0,0,'TO HOP NLAN'!E45*'TS-PILE'!$E$88/SUMSQ('TS-PILE'!$E$72:$E$91))+IF(SUMSQ('TS-PILE'!$D$72:$D$91)=0,0,'TO HOP NLAN'!F45*'TS-PILE'!$D$88/SUMSQ('TS-PILE'!$D$72:$D$91))),IF('TS-PILE'!$B$89="",1E+99,'TO HOP NLAN'!D45/ncoc+IF(SUMSQ('TS-PILE'!$E$72:$E$91)=0,0,'TO HOP NLAN'!E45*'TS-PILE'!$E$89/SUMSQ('TS-PILE'!$E$72:$E$91))+IF(SUMSQ('TS-PILE'!$D$72:$D$91)=0,0,'TO HOP NLAN'!F45*'TS-PILE'!$D$89/SUMSQ('TS-PILE'!$D$72:$D$91))),IF('TS-PILE'!$B$90="",1E+99,'TO HOP NLAN'!D45/ncoc+IF(SUMSQ('TS-PILE'!$E$72:$E$91)=0,0,'TO HOP NLAN'!E45*'TS-PILE'!$E$90/SUMSQ('TS-PILE'!$E$72:$E$91))+IF(SUMSQ('TS-PILE'!$D$72:$D$91)=0,0,'TO HOP NLAN'!F45*'TS-PILE'!$D$90/SUMSQ('TS-PILE'!$D$72:$D$91))),IF('TS-PILE'!$B$91="",1E+99,'TO HOP NLAN'!D45/ncoc+IF(SUMSQ('TS-PILE'!$E$72:$E$91)=0,0,'TO HOP NLAN'!E45*'TS-PILE'!$E$91/SUMSQ('TS-PILE'!$E$72:$E$91))+IF(SUMSQ('TS-PILE'!$D$72:$D$91)=0,0,'TO HOP NLAN'!F45*'TS-PILE'!$D$91/SUMSQ('TS-PILE'!$D$72:$D$91)))))</f>
        <v>0</v>
      </c>
      <c r="E45" s="58">
        <f t="shared" si="0"/>
        <v>-9.9999999999999997E+98</v>
      </c>
      <c r="F45" s="58">
        <f t="shared" si="1"/>
        <v>9.9999999999999997E+98</v>
      </c>
      <c r="G45" s="58">
        <f t="shared" si="2"/>
        <v>-9.9999999999999997E+98</v>
      </c>
      <c r="H45" s="58">
        <f t="shared" si="3"/>
        <v>9.9999999999999997E+98</v>
      </c>
    </row>
    <row r="46" spans="1:8" x14ac:dyDescent="0.3">
      <c r="A46" s="42" t="str">
        <f>'TO HOP NLAN'!A46</f>
        <v/>
      </c>
      <c r="B46" s="42" t="str">
        <f>'TO HOP NLAN'!L46</f>
        <v>SERVICE</v>
      </c>
      <c r="C46" s="58">
        <f>IF(A46="",0,MAX(IF('TS-PILE'!$B$72="",-1E+99,'TO HOP NLAN'!D46/ncoc+IF(SUMSQ('TS-PILE'!$E$72:$E$91)=0,0,'TO HOP NLAN'!E46*'TS-PILE'!$E$72/SUMSQ('TS-PILE'!$E$72:$E$91))+IF(SUMSQ('TS-PILE'!$D$72:$D$91)=0,0,'TO HOP NLAN'!F46*'TS-PILE'!$D$72/SUMSQ('TS-PILE'!$D$72:$D$91))),IF('TS-PILE'!$B$73="",-1E+99,'TO HOP NLAN'!D46/ncoc+IF(SUMSQ('TS-PILE'!$E$72:$E$91)=0,0,'TO HOP NLAN'!E46*'TS-PILE'!$E$73/SUMSQ('TS-PILE'!$E$72:$E$91))+IF(SUMSQ('TS-PILE'!$D$72:$D$91)=0,0,'TO HOP NLAN'!F46*'TS-PILE'!$D$73/SUMSQ('TS-PILE'!$D$72:$D$91))),IF('TS-PILE'!$B$74="",-1E+99,'TO HOP NLAN'!D46/ncoc+IF(SUMSQ('TS-PILE'!$E$72:$E$91)=0,0,'TO HOP NLAN'!E46*'TS-PILE'!$E$74/SUMSQ('TS-PILE'!$E$72:$E$91))+IF(SUMSQ('TS-PILE'!$D$72:$D$91)=0,0,'TO HOP NLAN'!F46*'TS-PILE'!$D$74/SUMSQ('TS-PILE'!$D$72:$D$91))),IF('TS-PILE'!$B$75="",-1E+99,'TO HOP NLAN'!D46/ncoc+IF(SUMSQ('TS-PILE'!$E$72:$E$91)=0,0,'TO HOP NLAN'!E46*'TS-PILE'!$E$75/SUMSQ('TS-PILE'!$E$72:$E$91))+IF(SUMSQ('TS-PILE'!$D$72:$D$91)=0,0,'TO HOP NLAN'!F46*'TS-PILE'!$D$75/SUMSQ('TS-PILE'!$D$72:$D$91))),IF('TS-PILE'!$B$76="",-1E+99,'TO HOP NLAN'!D46/ncoc+IF(SUMSQ('TS-PILE'!$E$72:$E$91)=0,0,'TO HOP NLAN'!E46*'TS-PILE'!$E$76/SUMSQ('TS-PILE'!$E$72:$E$91))+IF(SUMSQ('TS-PILE'!$D$72:$D$91)=0,0,'TO HOP NLAN'!F46*'TS-PILE'!$D$76/SUMSQ('TS-PILE'!$D$72:$D$91))),IF('TS-PILE'!$B$77="",-1E+99,'TO HOP NLAN'!D46/ncoc+IF(SUMSQ('TS-PILE'!$E$72:$E$91)=0,0,'TO HOP NLAN'!E46*'TS-PILE'!$E$77/SUMSQ('TS-PILE'!$E$72:$E$91))+IF(SUMSQ('TS-PILE'!$D$72:$D$91)=0,0,'TO HOP NLAN'!F46*'TS-PILE'!$D$77/SUMSQ('TS-PILE'!$D$72:$D$91))),IF('TS-PILE'!$B$78="",-1E+99,'TO HOP NLAN'!D46/ncoc+IF(SUMSQ('TS-PILE'!$E$72:$E$91)=0,0,'TO HOP NLAN'!E46*'TS-PILE'!$E$78/SUMSQ('TS-PILE'!$E$72:$E$91))+IF(SUMSQ('TS-PILE'!$D$72:$D$91)=0,0,'TO HOP NLAN'!F46*'TS-PILE'!$D$78/SUMSQ('TS-PILE'!$D$72:$D$91))),IF('TS-PILE'!$B$79="",-1E+99,'TO HOP NLAN'!D46/ncoc+IF(SUMSQ('TS-PILE'!$E$72:$E$91)=0,0,'TO HOP NLAN'!E46*'TS-PILE'!$E$79/SUMSQ('TS-PILE'!$E$72:$E$91))+IF(SUMSQ('TS-PILE'!$D$72:$D$91)=0,0,'TO HOP NLAN'!F46*'TS-PILE'!$D$79/SUMSQ('TS-PILE'!$D$72:$D$91))),IF('TS-PILE'!$B$80="",-1E+99,'TO HOP NLAN'!D46/ncoc+IF(SUMSQ('TS-PILE'!$E$72:$E$91)=0,0,'TO HOP NLAN'!E46*'TS-PILE'!$E$80/SUMSQ('TS-PILE'!$E$72:$E$91))+IF(SUMSQ('TS-PILE'!$D$72:$D$91)=0,0,'TO HOP NLAN'!F46*'TS-PILE'!$D$80/SUMSQ('TS-PILE'!$D$72:$D$91))),IF('TS-PILE'!$B$81="",-1E+99,'TO HOP NLAN'!D46/ncoc+IF(SUMSQ('TS-PILE'!$E$72:$E$91)=0,0,'TO HOP NLAN'!E46*'TS-PILE'!$E$81/SUMSQ('TS-PILE'!$E$72:$E$91))+IF(SUMSQ('TS-PILE'!$D$72:$D$91)=0,0,'TO HOP NLAN'!F46*'TS-PILE'!$D$81/SUMSQ('TS-PILE'!$D$72:$D$91))),IF('TS-PILE'!$B$82="",-1E+99,'TO HOP NLAN'!D46/ncoc+IF(SUMSQ('TS-PILE'!$E$72:$E$91)=0,0,'TO HOP NLAN'!E46*'TS-PILE'!$E$82/SUMSQ('TS-PILE'!$E$72:$E$91))+IF(SUMSQ('TS-PILE'!$D$72:$D$91)=0,0,'TO HOP NLAN'!F46*'TS-PILE'!$D$82/SUMSQ('TS-PILE'!$D$72:$D$91))),IF('TS-PILE'!$B$83="",-1E+99,'TO HOP NLAN'!D46/ncoc+IF(SUMSQ('TS-PILE'!$E$72:$E$91)=0,0,'TO HOP NLAN'!E46*'TS-PILE'!$E$83/SUMSQ('TS-PILE'!$E$72:$E$91))+IF(SUMSQ('TS-PILE'!$D$72:$D$91)=0,0,'TO HOP NLAN'!F46*'TS-PILE'!$D$83/SUMSQ('TS-PILE'!$D$72:$D$91))),IF('TS-PILE'!$B$84="",-1E+99,'TO HOP NLAN'!D46/ncoc+IF(SUMSQ('TS-PILE'!$E$72:$E$91)=0,0,'TO HOP NLAN'!E46*'TS-PILE'!$E$84/SUMSQ('TS-PILE'!$E$72:$E$91))+IF(SUMSQ('TS-PILE'!$D$72:$D$91)=0,0,'TO HOP NLAN'!F46*'TS-PILE'!$D$84/SUMSQ('TS-PILE'!$D$72:$D$91))),IF('TS-PILE'!$B$85="",-1E+99,'TO HOP NLAN'!D46/ncoc+IF(SUMSQ('TS-PILE'!$E$72:$E$91)=0,0,'TO HOP NLAN'!E46*'TS-PILE'!$E$85/SUMSQ('TS-PILE'!$E$72:$E$91))+IF(SUMSQ('TS-PILE'!$D$72:$D$91)=0,0,'TO HOP NLAN'!F46*'TS-PILE'!$D$85/SUMSQ('TS-PILE'!$D$72:$D$91))),IF('TS-PILE'!$B$86="",-1E+99,'TO HOP NLAN'!D46/ncoc+IF(SUMSQ('TS-PILE'!$E$72:$E$91)=0,0,'TO HOP NLAN'!E46*'TS-PILE'!$E$86/SUMSQ('TS-PILE'!$E$72:$E$91))+IF(SUMSQ('TS-PILE'!$D$72:$D$91)=0,0,'TO HOP NLAN'!F46*'TS-PILE'!$D$86/SUMSQ('TS-PILE'!$D$72:$D$91))),IF('TS-PILE'!$B$87="",-1E+99,'TO HOP NLAN'!D46/ncoc+IF(SUMSQ('TS-PILE'!$E$72:$E$91)=0,0,'TO HOP NLAN'!E46*'TS-PILE'!$E$87/SUMSQ('TS-PILE'!$E$72:$E$91))+IF(SUMSQ('TS-PILE'!$D$72:$D$91)=0,0,'TO HOP NLAN'!F46*'TS-PILE'!$D$87/SUMSQ('TS-PILE'!$D$72:$D$91))),IF('TS-PILE'!$B$88="",-1E+99,'TO HOP NLAN'!D46/ncoc+IF(SUMSQ('TS-PILE'!$E$72:$E$91)=0,0,'TO HOP NLAN'!E46*'TS-PILE'!$E$88/SUMSQ('TS-PILE'!$E$72:$E$91))+IF(SUMSQ('TS-PILE'!$D$72:$D$91)=0,0,'TO HOP NLAN'!F46*'TS-PILE'!$D$88/SUMSQ('TS-PILE'!$D$72:$D$91))),IF('TS-PILE'!$B$89="",-1E+99,'TO HOP NLAN'!D46/ncoc+IF(SUMSQ('TS-PILE'!$E$72:$E$91)=0,0,'TO HOP NLAN'!E46*'TS-PILE'!$E$89/SUMSQ('TS-PILE'!$E$72:$E$91))+IF(SUMSQ('TS-PILE'!$D$72:$D$91)=0,0,'TO HOP NLAN'!F46*'TS-PILE'!$D$89/SUMSQ('TS-PILE'!$D$72:$D$91))),IF('TS-PILE'!$B$90="",-1E+99,'TO HOP NLAN'!D46/ncoc+IF(SUMSQ('TS-PILE'!$E$72:$E$91)=0,0,'TO HOP NLAN'!E46*'TS-PILE'!$E$90/SUMSQ('TS-PILE'!$E$72:$E$91))+IF(SUMSQ('TS-PILE'!$D$72:$D$91)=0,0,'TO HOP NLAN'!F46*'TS-PILE'!$D$90/SUMSQ('TS-PILE'!$D$72:$D$91))),IF('TS-PILE'!$B$91="",-1E+99,'TO HOP NLAN'!D46/ncoc+IF(SUMSQ('TS-PILE'!$E$72:$E$91)=0,0,'TO HOP NLAN'!E46*'TS-PILE'!$E$91/SUMSQ('TS-PILE'!$E$72:$E$91))+IF(SUMSQ('TS-PILE'!$D$72:$D$91)=0,0,'TO HOP NLAN'!F46*'TS-PILE'!$D$91/SUMSQ('TS-PILE'!$D$72:$D$91)))))</f>
        <v>0</v>
      </c>
      <c r="D46" s="58">
        <f>IF(A46="",0,MIN(IF('TS-PILE'!$B$72="",1E+99,'TO HOP NLAN'!D46/ncoc+IF(SUMSQ('TS-PILE'!$E$72:$E$91)=0,0,'TO HOP NLAN'!E46*'TS-PILE'!$E$72/SUMSQ('TS-PILE'!$E$72:$E$91))+IF(SUMSQ('TS-PILE'!$D$72:$D$91)=0,0,'TO HOP NLAN'!F46*'TS-PILE'!$D$72/SUMSQ('TS-PILE'!$D$72:$D$91))),IF('TS-PILE'!$B$73="",1E+99,'TO HOP NLAN'!D46/ncoc+IF(SUMSQ('TS-PILE'!$E$72:$E$91)=0,0,'TO HOP NLAN'!E46*'TS-PILE'!$E$73/SUMSQ('TS-PILE'!$E$72:$E$91))+IF(SUMSQ('TS-PILE'!$D$72:$D$91)=0,0,'TO HOP NLAN'!F46*'TS-PILE'!$D$73/SUMSQ('TS-PILE'!$D$72:$D$91))),IF('TS-PILE'!$B$74="",1E+99,'TO HOP NLAN'!D46/ncoc+IF(SUMSQ('TS-PILE'!$E$72:$E$91)=0,0,'TO HOP NLAN'!E46*'TS-PILE'!$E$74/SUMSQ('TS-PILE'!$E$72:$E$91))+IF(SUMSQ('TS-PILE'!$D$72:$D$91)=0,0,'TO HOP NLAN'!F46*'TS-PILE'!$D$74/SUMSQ('TS-PILE'!$D$72:$D$91))),IF('TS-PILE'!$B$75="",1E+99,'TO HOP NLAN'!D46/ncoc+IF(SUMSQ('TS-PILE'!$E$72:$E$91)=0,0,'TO HOP NLAN'!E46*'TS-PILE'!$E$75/SUMSQ('TS-PILE'!$E$72:$E$91))+IF(SUMSQ('TS-PILE'!$D$72:$D$91)=0,0,'TO HOP NLAN'!F46*'TS-PILE'!$D$75/SUMSQ('TS-PILE'!$D$72:$D$91))),IF('TS-PILE'!$B$76="",1E+99,'TO HOP NLAN'!D46/ncoc+IF(SUMSQ('TS-PILE'!$E$72:$E$91)=0,0,'TO HOP NLAN'!E46*'TS-PILE'!$E$76/SUMSQ('TS-PILE'!$E$72:$E$91))+IF(SUMSQ('TS-PILE'!$D$72:$D$91)=0,0,'TO HOP NLAN'!F46*'TS-PILE'!$D$76/SUMSQ('TS-PILE'!$D$72:$D$91))),IF('TS-PILE'!$B$77="",1E+99,'TO HOP NLAN'!D46/ncoc+IF(SUMSQ('TS-PILE'!$E$72:$E$91)=0,0,'TO HOP NLAN'!E46*'TS-PILE'!$E$77/SUMSQ('TS-PILE'!$E$72:$E$91))+IF(SUMSQ('TS-PILE'!$D$72:$D$91)=0,0,'TO HOP NLAN'!F46*'TS-PILE'!$D$77/SUMSQ('TS-PILE'!$D$72:$D$91))),IF('TS-PILE'!$B$78="",1E+99,'TO HOP NLAN'!D46/ncoc+IF(SUMSQ('TS-PILE'!$E$72:$E$91)=0,0,'TO HOP NLAN'!E46*'TS-PILE'!$E$78/SUMSQ('TS-PILE'!$E$72:$E$91))+IF(SUMSQ('TS-PILE'!$D$72:$D$91)=0,0,'TO HOP NLAN'!F46*'TS-PILE'!$D$78/SUMSQ('TS-PILE'!$D$72:$D$91))),IF('TS-PILE'!$B$79="",1E+99,'TO HOP NLAN'!D46/ncoc+IF(SUMSQ('TS-PILE'!$E$72:$E$91)=0,0,'TO HOP NLAN'!E46*'TS-PILE'!$E$79/SUMSQ('TS-PILE'!$E$72:$E$91))+IF(SUMSQ('TS-PILE'!$D$72:$D$91)=0,0,'TO HOP NLAN'!F46*'TS-PILE'!$D$79/SUMSQ('TS-PILE'!$D$72:$D$91))),IF('TS-PILE'!$B$80="",1E+99,'TO HOP NLAN'!D46/ncoc+IF(SUMSQ('TS-PILE'!$E$72:$E$91)=0,0,'TO HOP NLAN'!E46*'TS-PILE'!$E$80/SUMSQ('TS-PILE'!$E$72:$E$91))+IF(SUMSQ('TS-PILE'!$D$72:$D$91)=0,0,'TO HOP NLAN'!F46*'TS-PILE'!$D$80/SUMSQ('TS-PILE'!$D$72:$D$91))),IF('TS-PILE'!$B$81="",1E+99,'TO HOP NLAN'!D46/ncoc+IF(SUMSQ('TS-PILE'!$E$72:$E$91)=0,0,'TO HOP NLAN'!E46*'TS-PILE'!$E$81/SUMSQ('TS-PILE'!$E$72:$E$91))+IF(SUMSQ('TS-PILE'!$D$72:$D$91)=0,0,'TO HOP NLAN'!F46*'TS-PILE'!$D$81/SUMSQ('TS-PILE'!$D$72:$D$91))),IF('TS-PILE'!$B$82="",1E+99,'TO HOP NLAN'!D46/ncoc+IF(SUMSQ('TS-PILE'!$E$72:$E$91)=0,0,'TO HOP NLAN'!E46*'TS-PILE'!$E$82/SUMSQ('TS-PILE'!$E$72:$E$91))+IF(SUMSQ('TS-PILE'!$D$72:$D$91)=0,0,'TO HOP NLAN'!F46*'TS-PILE'!$D$82/SUMSQ('TS-PILE'!$D$72:$D$91))),IF('TS-PILE'!$B$83="",1E+99,'TO HOP NLAN'!D46/ncoc+IF(SUMSQ('TS-PILE'!$E$72:$E$91)=0,0,'TO HOP NLAN'!E46*'TS-PILE'!$E$83/SUMSQ('TS-PILE'!$E$72:$E$91))+IF(SUMSQ('TS-PILE'!$D$72:$D$91)=0,0,'TO HOP NLAN'!F46*'TS-PILE'!$D$83/SUMSQ('TS-PILE'!$D$72:$D$91))),IF('TS-PILE'!$B$84="",1E+99,'TO HOP NLAN'!D46/ncoc+IF(SUMSQ('TS-PILE'!$E$72:$E$91)=0,0,'TO HOP NLAN'!E46*'TS-PILE'!$E$84/SUMSQ('TS-PILE'!$E$72:$E$91))+IF(SUMSQ('TS-PILE'!$D$72:$D$91)=0,0,'TO HOP NLAN'!F46*'TS-PILE'!$D$84/SUMSQ('TS-PILE'!$D$72:$D$91))),IF('TS-PILE'!$B$85="",1E+99,'TO HOP NLAN'!D46/ncoc+IF(SUMSQ('TS-PILE'!$E$72:$E$91)=0,0,'TO HOP NLAN'!E46*'TS-PILE'!$E$85/SUMSQ('TS-PILE'!$E$72:$E$91))+IF(SUMSQ('TS-PILE'!$D$72:$D$91)=0,0,'TO HOP NLAN'!F46*'TS-PILE'!$D$85/SUMSQ('TS-PILE'!$D$72:$D$91))),IF('TS-PILE'!$B$86="",1E+99,'TO HOP NLAN'!D46/ncoc+IF(SUMSQ('TS-PILE'!$E$72:$E$91)=0,0,'TO HOP NLAN'!E46*'TS-PILE'!$E$86/SUMSQ('TS-PILE'!$E$72:$E$91))+IF(SUMSQ('TS-PILE'!$D$72:$D$91)=0,0,'TO HOP NLAN'!F46*'TS-PILE'!$D$86/SUMSQ('TS-PILE'!$D$72:$D$91))),IF('TS-PILE'!$B$87="",1E+99,'TO HOP NLAN'!D46/ncoc+IF(SUMSQ('TS-PILE'!$E$72:$E$91)=0,0,'TO HOP NLAN'!E46*'TS-PILE'!$E$87/SUMSQ('TS-PILE'!$E$72:$E$91))+IF(SUMSQ('TS-PILE'!$D$72:$D$91)=0,0,'TO HOP NLAN'!F46*'TS-PILE'!$D$87/SUMSQ('TS-PILE'!$D$72:$D$91))),IF('TS-PILE'!$B$88="",1E+99,'TO HOP NLAN'!D46/ncoc+IF(SUMSQ('TS-PILE'!$E$72:$E$91)=0,0,'TO HOP NLAN'!E46*'TS-PILE'!$E$88/SUMSQ('TS-PILE'!$E$72:$E$91))+IF(SUMSQ('TS-PILE'!$D$72:$D$91)=0,0,'TO HOP NLAN'!F46*'TS-PILE'!$D$88/SUMSQ('TS-PILE'!$D$72:$D$91))),IF('TS-PILE'!$B$89="",1E+99,'TO HOP NLAN'!D46/ncoc+IF(SUMSQ('TS-PILE'!$E$72:$E$91)=0,0,'TO HOP NLAN'!E46*'TS-PILE'!$E$89/SUMSQ('TS-PILE'!$E$72:$E$91))+IF(SUMSQ('TS-PILE'!$D$72:$D$91)=0,0,'TO HOP NLAN'!F46*'TS-PILE'!$D$89/SUMSQ('TS-PILE'!$D$72:$D$91))),IF('TS-PILE'!$B$90="",1E+99,'TO HOP NLAN'!D46/ncoc+IF(SUMSQ('TS-PILE'!$E$72:$E$91)=0,0,'TO HOP NLAN'!E46*'TS-PILE'!$E$90/SUMSQ('TS-PILE'!$E$72:$E$91))+IF(SUMSQ('TS-PILE'!$D$72:$D$91)=0,0,'TO HOP NLAN'!F46*'TS-PILE'!$D$90/SUMSQ('TS-PILE'!$D$72:$D$91))),IF('TS-PILE'!$B$91="",1E+99,'TO HOP NLAN'!D46/ncoc+IF(SUMSQ('TS-PILE'!$E$72:$E$91)=0,0,'TO HOP NLAN'!E46*'TS-PILE'!$E$91/SUMSQ('TS-PILE'!$E$72:$E$91))+IF(SUMSQ('TS-PILE'!$D$72:$D$91)=0,0,'TO HOP NLAN'!F46*'TS-PILE'!$D$91/SUMSQ('TS-PILE'!$D$72:$D$91)))))</f>
        <v>0</v>
      </c>
      <c r="E46" s="58">
        <f t="shared" si="0"/>
        <v>-9.9999999999999997E+98</v>
      </c>
      <c r="F46" s="58">
        <f t="shared" si="1"/>
        <v>9.9999999999999997E+98</v>
      </c>
      <c r="G46" s="58">
        <f t="shared" si="2"/>
        <v>-9.9999999999999997E+98</v>
      </c>
      <c r="H46" s="58">
        <f t="shared" si="3"/>
        <v>9.9999999999999997E+98</v>
      </c>
    </row>
    <row r="47" spans="1:8" x14ac:dyDescent="0.3">
      <c r="A47" s="42" t="str">
        <f>'TO HOP NLAN'!A47</f>
        <v/>
      </c>
      <c r="B47" s="42" t="str">
        <f>'TO HOP NLAN'!L47</f>
        <v>SERVICE</v>
      </c>
      <c r="C47" s="58">
        <f>IF(A47="",0,MAX(IF('TS-PILE'!$B$72="",-1E+99,'TO HOP NLAN'!D47/ncoc+IF(SUMSQ('TS-PILE'!$E$72:$E$91)=0,0,'TO HOP NLAN'!E47*'TS-PILE'!$E$72/SUMSQ('TS-PILE'!$E$72:$E$91))+IF(SUMSQ('TS-PILE'!$D$72:$D$91)=0,0,'TO HOP NLAN'!F47*'TS-PILE'!$D$72/SUMSQ('TS-PILE'!$D$72:$D$91))),IF('TS-PILE'!$B$73="",-1E+99,'TO HOP NLAN'!D47/ncoc+IF(SUMSQ('TS-PILE'!$E$72:$E$91)=0,0,'TO HOP NLAN'!E47*'TS-PILE'!$E$73/SUMSQ('TS-PILE'!$E$72:$E$91))+IF(SUMSQ('TS-PILE'!$D$72:$D$91)=0,0,'TO HOP NLAN'!F47*'TS-PILE'!$D$73/SUMSQ('TS-PILE'!$D$72:$D$91))),IF('TS-PILE'!$B$74="",-1E+99,'TO HOP NLAN'!D47/ncoc+IF(SUMSQ('TS-PILE'!$E$72:$E$91)=0,0,'TO HOP NLAN'!E47*'TS-PILE'!$E$74/SUMSQ('TS-PILE'!$E$72:$E$91))+IF(SUMSQ('TS-PILE'!$D$72:$D$91)=0,0,'TO HOP NLAN'!F47*'TS-PILE'!$D$74/SUMSQ('TS-PILE'!$D$72:$D$91))),IF('TS-PILE'!$B$75="",-1E+99,'TO HOP NLAN'!D47/ncoc+IF(SUMSQ('TS-PILE'!$E$72:$E$91)=0,0,'TO HOP NLAN'!E47*'TS-PILE'!$E$75/SUMSQ('TS-PILE'!$E$72:$E$91))+IF(SUMSQ('TS-PILE'!$D$72:$D$91)=0,0,'TO HOP NLAN'!F47*'TS-PILE'!$D$75/SUMSQ('TS-PILE'!$D$72:$D$91))),IF('TS-PILE'!$B$76="",-1E+99,'TO HOP NLAN'!D47/ncoc+IF(SUMSQ('TS-PILE'!$E$72:$E$91)=0,0,'TO HOP NLAN'!E47*'TS-PILE'!$E$76/SUMSQ('TS-PILE'!$E$72:$E$91))+IF(SUMSQ('TS-PILE'!$D$72:$D$91)=0,0,'TO HOP NLAN'!F47*'TS-PILE'!$D$76/SUMSQ('TS-PILE'!$D$72:$D$91))),IF('TS-PILE'!$B$77="",-1E+99,'TO HOP NLAN'!D47/ncoc+IF(SUMSQ('TS-PILE'!$E$72:$E$91)=0,0,'TO HOP NLAN'!E47*'TS-PILE'!$E$77/SUMSQ('TS-PILE'!$E$72:$E$91))+IF(SUMSQ('TS-PILE'!$D$72:$D$91)=0,0,'TO HOP NLAN'!F47*'TS-PILE'!$D$77/SUMSQ('TS-PILE'!$D$72:$D$91))),IF('TS-PILE'!$B$78="",-1E+99,'TO HOP NLAN'!D47/ncoc+IF(SUMSQ('TS-PILE'!$E$72:$E$91)=0,0,'TO HOP NLAN'!E47*'TS-PILE'!$E$78/SUMSQ('TS-PILE'!$E$72:$E$91))+IF(SUMSQ('TS-PILE'!$D$72:$D$91)=0,0,'TO HOP NLAN'!F47*'TS-PILE'!$D$78/SUMSQ('TS-PILE'!$D$72:$D$91))),IF('TS-PILE'!$B$79="",-1E+99,'TO HOP NLAN'!D47/ncoc+IF(SUMSQ('TS-PILE'!$E$72:$E$91)=0,0,'TO HOP NLAN'!E47*'TS-PILE'!$E$79/SUMSQ('TS-PILE'!$E$72:$E$91))+IF(SUMSQ('TS-PILE'!$D$72:$D$91)=0,0,'TO HOP NLAN'!F47*'TS-PILE'!$D$79/SUMSQ('TS-PILE'!$D$72:$D$91))),IF('TS-PILE'!$B$80="",-1E+99,'TO HOP NLAN'!D47/ncoc+IF(SUMSQ('TS-PILE'!$E$72:$E$91)=0,0,'TO HOP NLAN'!E47*'TS-PILE'!$E$80/SUMSQ('TS-PILE'!$E$72:$E$91))+IF(SUMSQ('TS-PILE'!$D$72:$D$91)=0,0,'TO HOP NLAN'!F47*'TS-PILE'!$D$80/SUMSQ('TS-PILE'!$D$72:$D$91))),IF('TS-PILE'!$B$81="",-1E+99,'TO HOP NLAN'!D47/ncoc+IF(SUMSQ('TS-PILE'!$E$72:$E$91)=0,0,'TO HOP NLAN'!E47*'TS-PILE'!$E$81/SUMSQ('TS-PILE'!$E$72:$E$91))+IF(SUMSQ('TS-PILE'!$D$72:$D$91)=0,0,'TO HOP NLAN'!F47*'TS-PILE'!$D$81/SUMSQ('TS-PILE'!$D$72:$D$91))),IF('TS-PILE'!$B$82="",-1E+99,'TO HOP NLAN'!D47/ncoc+IF(SUMSQ('TS-PILE'!$E$72:$E$91)=0,0,'TO HOP NLAN'!E47*'TS-PILE'!$E$82/SUMSQ('TS-PILE'!$E$72:$E$91))+IF(SUMSQ('TS-PILE'!$D$72:$D$91)=0,0,'TO HOP NLAN'!F47*'TS-PILE'!$D$82/SUMSQ('TS-PILE'!$D$72:$D$91))),IF('TS-PILE'!$B$83="",-1E+99,'TO HOP NLAN'!D47/ncoc+IF(SUMSQ('TS-PILE'!$E$72:$E$91)=0,0,'TO HOP NLAN'!E47*'TS-PILE'!$E$83/SUMSQ('TS-PILE'!$E$72:$E$91))+IF(SUMSQ('TS-PILE'!$D$72:$D$91)=0,0,'TO HOP NLAN'!F47*'TS-PILE'!$D$83/SUMSQ('TS-PILE'!$D$72:$D$91))),IF('TS-PILE'!$B$84="",-1E+99,'TO HOP NLAN'!D47/ncoc+IF(SUMSQ('TS-PILE'!$E$72:$E$91)=0,0,'TO HOP NLAN'!E47*'TS-PILE'!$E$84/SUMSQ('TS-PILE'!$E$72:$E$91))+IF(SUMSQ('TS-PILE'!$D$72:$D$91)=0,0,'TO HOP NLAN'!F47*'TS-PILE'!$D$84/SUMSQ('TS-PILE'!$D$72:$D$91))),IF('TS-PILE'!$B$85="",-1E+99,'TO HOP NLAN'!D47/ncoc+IF(SUMSQ('TS-PILE'!$E$72:$E$91)=0,0,'TO HOP NLAN'!E47*'TS-PILE'!$E$85/SUMSQ('TS-PILE'!$E$72:$E$91))+IF(SUMSQ('TS-PILE'!$D$72:$D$91)=0,0,'TO HOP NLAN'!F47*'TS-PILE'!$D$85/SUMSQ('TS-PILE'!$D$72:$D$91))),IF('TS-PILE'!$B$86="",-1E+99,'TO HOP NLAN'!D47/ncoc+IF(SUMSQ('TS-PILE'!$E$72:$E$91)=0,0,'TO HOP NLAN'!E47*'TS-PILE'!$E$86/SUMSQ('TS-PILE'!$E$72:$E$91))+IF(SUMSQ('TS-PILE'!$D$72:$D$91)=0,0,'TO HOP NLAN'!F47*'TS-PILE'!$D$86/SUMSQ('TS-PILE'!$D$72:$D$91))),IF('TS-PILE'!$B$87="",-1E+99,'TO HOP NLAN'!D47/ncoc+IF(SUMSQ('TS-PILE'!$E$72:$E$91)=0,0,'TO HOP NLAN'!E47*'TS-PILE'!$E$87/SUMSQ('TS-PILE'!$E$72:$E$91))+IF(SUMSQ('TS-PILE'!$D$72:$D$91)=0,0,'TO HOP NLAN'!F47*'TS-PILE'!$D$87/SUMSQ('TS-PILE'!$D$72:$D$91))),IF('TS-PILE'!$B$88="",-1E+99,'TO HOP NLAN'!D47/ncoc+IF(SUMSQ('TS-PILE'!$E$72:$E$91)=0,0,'TO HOP NLAN'!E47*'TS-PILE'!$E$88/SUMSQ('TS-PILE'!$E$72:$E$91))+IF(SUMSQ('TS-PILE'!$D$72:$D$91)=0,0,'TO HOP NLAN'!F47*'TS-PILE'!$D$88/SUMSQ('TS-PILE'!$D$72:$D$91))),IF('TS-PILE'!$B$89="",-1E+99,'TO HOP NLAN'!D47/ncoc+IF(SUMSQ('TS-PILE'!$E$72:$E$91)=0,0,'TO HOP NLAN'!E47*'TS-PILE'!$E$89/SUMSQ('TS-PILE'!$E$72:$E$91))+IF(SUMSQ('TS-PILE'!$D$72:$D$91)=0,0,'TO HOP NLAN'!F47*'TS-PILE'!$D$89/SUMSQ('TS-PILE'!$D$72:$D$91))),IF('TS-PILE'!$B$90="",-1E+99,'TO HOP NLAN'!D47/ncoc+IF(SUMSQ('TS-PILE'!$E$72:$E$91)=0,0,'TO HOP NLAN'!E47*'TS-PILE'!$E$90/SUMSQ('TS-PILE'!$E$72:$E$91))+IF(SUMSQ('TS-PILE'!$D$72:$D$91)=0,0,'TO HOP NLAN'!F47*'TS-PILE'!$D$90/SUMSQ('TS-PILE'!$D$72:$D$91))),IF('TS-PILE'!$B$91="",-1E+99,'TO HOP NLAN'!D47/ncoc+IF(SUMSQ('TS-PILE'!$E$72:$E$91)=0,0,'TO HOP NLAN'!E47*'TS-PILE'!$E$91/SUMSQ('TS-PILE'!$E$72:$E$91))+IF(SUMSQ('TS-PILE'!$D$72:$D$91)=0,0,'TO HOP NLAN'!F47*'TS-PILE'!$D$91/SUMSQ('TS-PILE'!$D$72:$D$91)))))</f>
        <v>0</v>
      </c>
      <c r="D47" s="58">
        <f>IF(A47="",0,MIN(IF('TS-PILE'!$B$72="",1E+99,'TO HOP NLAN'!D47/ncoc+IF(SUMSQ('TS-PILE'!$E$72:$E$91)=0,0,'TO HOP NLAN'!E47*'TS-PILE'!$E$72/SUMSQ('TS-PILE'!$E$72:$E$91))+IF(SUMSQ('TS-PILE'!$D$72:$D$91)=0,0,'TO HOP NLAN'!F47*'TS-PILE'!$D$72/SUMSQ('TS-PILE'!$D$72:$D$91))),IF('TS-PILE'!$B$73="",1E+99,'TO HOP NLAN'!D47/ncoc+IF(SUMSQ('TS-PILE'!$E$72:$E$91)=0,0,'TO HOP NLAN'!E47*'TS-PILE'!$E$73/SUMSQ('TS-PILE'!$E$72:$E$91))+IF(SUMSQ('TS-PILE'!$D$72:$D$91)=0,0,'TO HOP NLAN'!F47*'TS-PILE'!$D$73/SUMSQ('TS-PILE'!$D$72:$D$91))),IF('TS-PILE'!$B$74="",1E+99,'TO HOP NLAN'!D47/ncoc+IF(SUMSQ('TS-PILE'!$E$72:$E$91)=0,0,'TO HOP NLAN'!E47*'TS-PILE'!$E$74/SUMSQ('TS-PILE'!$E$72:$E$91))+IF(SUMSQ('TS-PILE'!$D$72:$D$91)=0,0,'TO HOP NLAN'!F47*'TS-PILE'!$D$74/SUMSQ('TS-PILE'!$D$72:$D$91))),IF('TS-PILE'!$B$75="",1E+99,'TO HOP NLAN'!D47/ncoc+IF(SUMSQ('TS-PILE'!$E$72:$E$91)=0,0,'TO HOP NLAN'!E47*'TS-PILE'!$E$75/SUMSQ('TS-PILE'!$E$72:$E$91))+IF(SUMSQ('TS-PILE'!$D$72:$D$91)=0,0,'TO HOP NLAN'!F47*'TS-PILE'!$D$75/SUMSQ('TS-PILE'!$D$72:$D$91))),IF('TS-PILE'!$B$76="",1E+99,'TO HOP NLAN'!D47/ncoc+IF(SUMSQ('TS-PILE'!$E$72:$E$91)=0,0,'TO HOP NLAN'!E47*'TS-PILE'!$E$76/SUMSQ('TS-PILE'!$E$72:$E$91))+IF(SUMSQ('TS-PILE'!$D$72:$D$91)=0,0,'TO HOP NLAN'!F47*'TS-PILE'!$D$76/SUMSQ('TS-PILE'!$D$72:$D$91))),IF('TS-PILE'!$B$77="",1E+99,'TO HOP NLAN'!D47/ncoc+IF(SUMSQ('TS-PILE'!$E$72:$E$91)=0,0,'TO HOP NLAN'!E47*'TS-PILE'!$E$77/SUMSQ('TS-PILE'!$E$72:$E$91))+IF(SUMSQ('TS-PILE'!$D$72:$D$91)=0,0,'TO HOP NLAN'!F47*'TS-PILE'!$D$77/SUMSQ('TS-PILE'!$D$72:$D$91))),IF('TS-PILE'!$B$78="",1E+99,'TO HOP NLAN'!D47/ncoc+IF(SUMSQ('TS-PILE'!$E$72:$E$91)=0,0,'TO HOP NLAN'!E47*'TS-PILE'!$E$78/SUMSQ('TS-PILE'!$E$72:$E$91))+IF(SUMSQ('TS-PILE'!$D$72:$D$91)=0,0,'TO HOP NLAN'!F47*'TS-PILE'!$D$78/SUMSQ('TS-PILE'!$D$72:$D$91))),IF('TS-PILE'!$B$79="",1E+99,'TO HOP NLAN'!D47/ncoc+IF(SUMSQ('TS-PILE'!$E$72:$E$91)=0,0,'TO HOP NLAN'!E47*'TS-PILE'!$E$79/SUMSQ('TS-PILE'!$E$72:$E$91))+IF(SUMSQ('TS-PILE'!$D$72:$D$91)=0,0,'TO HOP NLAN'!F47*'TS-PILE'!$D$79/SUMSQ('TS-PILE'!$D$72:$D$91))),IF('TS-PILE'!$B$80="",1E+99,'TO HOP NLAN'!D47/ncoc+IF(SUMSQ('TS-PILE'!$E$72:$E$91)=0,0,'TO HOP NLAN'!E47*'TS-PILE'!$E$80/SUMSQ('TS-PILE'!$E$72:$E$91))+IF(SUMSQ('TS-PILE'!$D$72:$D$91)=0,0,'TO HOP NLAN'!F47*'TS-PILE'!$D$80/SUMSQ('TS-PILE'!$D$72:$D$91))),IF('TS-PILE'!$B$81="",1E+99,'TO HOP NLAN'!D47/ncoc+IF(SUMSQ('TS-PILE'!$E$72:$E$91)=0,0,'TO HOP NLAN'!E47*'TS-PILE'!$E$81/SUMSQ('TS-PILE'!$E$72:$E$91))+IF(SUMSQ('TS-PILE'!$D$72:$D$91)=0,0,'TO HOP NLAN'!F47*'TS-PILE'!$D$81/SUMSQ('TS-PILE'!$D$72:$D$91))),IF('TS-PILE'!$B$82="",1E+99,'TO HOP NLAN'!D47/ncoc+IF(SUMSQ('TS-PILE'!$E$72:$E$91)=0,0,'TO HOP NLAN'!E47*'TS-PILE'!$E$82/SUMSQ('TS-PILE'!$E$72:$E$91))+IF(SUMSQ('TS-PILE'!$D$72:$D$91)=0,0,'TO HOP NLAN'!F47*'TS-PILE'!$D$82/SUMSQ('TS-PILE'!$D$72:$D$91))),IF('TS-PILE'!$B$83="",1E+99,'TO HOP NLAN'!D47/ncoc+IF(SUMSQ('TS-PILE'!$E$72:$E$91)=0,0,'TO HOP NLAN'!E47*'TS-PILE'!$E$83/SUMSQ('TS-PILE'!$E$72:$E$91))+IF(SUMSQ('TS-PILE'!$D$72:$D$91)=0,0,'TO HOP NLAN'!F47*'TS-PILE'!$D$83/SUMSQ('TS-PILE'!$D$72:$D$91))),IF('TS-PILE'!$B$84="",1E+99,'TO HOP NLAN'!D47/ncoc+IF(SUMSQ('TS-PILE'!$E$72:$E$91)=0,0,'TO HOP NLAN'!E47*'TS-PILE'!$E$84/SUMSQ('TS-PILE'!$E$72:$E$91))+IF(SUMSQ('TS-PILE'!$D$72:$D$91)=0,0,'TO HOP NLAN'!F47*'TS-PILE'!$D$84/SUMSQ('TS-PILE'!$D$72:$D$91))),IF('TS-PILE'!$B$85="",1E+99,'TO HOP NLAN'!D47/ncoc+IF(SUMSQ('TS-PILE'!$E$72:$E$91)=0,0,'TO HOP NLAN'!E47*'TS-PILE'!$E$85/SUMSQ('TS-PILE'!$E$72:$E$91))+IF(SUMSQ('TS-PILE'!$D$72:$D$91)=0,0,'TO HOP NLAN'!F47*'TS-PILE'!$D$85/SUMSQ('TS-PILE'!$D$72:$D$91))),IF('TS-PILE'!$B$86="",1E+99,'TO HOP NLAN'!D47/ncoc+IF(SUMSQ('TS-PILE'!$E$72:$E$91)=0,0,'TO HOP NLAN'!E47*'TS-PILE'!$E$86/SUMSQ('TS-PILE'!$E$72:$E$91))+IF(SUMSQ('TS-PILE'!$D$72:$D$91)=0,0,'TO HOP NLAN'!F47*'TS-PILE'!$D$86/SUMSQ('TS-PILE'!$D$72:$D$91))),IF('TS-PILE'!$B$87="",1E+99,'TO HOP NLAN'!D47/ncoc+IF(SUMSQ('TS-PILE'!$E$72:$E$91)=0,0,'TO HOP NLAN'!E47*'TS-PILE'!$E$87/SUMSQ('TS-PILE'!$E$72:$E$91))+IF(SUMSQ('TS-PILE'!$D$72:$D$91)=0,0,'TO HOP NLAN'!F47*'TS-PILE'!$D$87/SUMSQ('TS-PILE'!$D$72:$D$91))),IF('TS-PILE'!$B$88="",1E+99,'TO HOP NLAN'!D47/ncoc+IF(SUMSQ('TS-PILE'!$E$72:$E$91)=0,0,'TO HOP NLAN'!E47*'TS-PILE'!$E$88/SUMSQ('TS-PILE'!$E$72:$E$91))+IF(SUMSQ('TS-PILE'!$D$72:$D$91)=0,0,'TO HOP NLAN'!F47*'TS-PILE'!$D$88/SUMSQ('TS-PILE'!$D$72:$D$91))),IF('TS-PILE'!$B$89="",1E+99,'TO HOP NLAN'!D47/ncoc+IF(SUMSQ('TS-PILE'!$E$72:$E$91)=0,0,'TO HOP NLAN'!E47*'TS-PILE'!$E$89/SUMSQ('TS-PILE'!$E$72:$E$91))+IF(SUMSQ('TS-PILE'!$D$72:$D$91)=0,0,'TO HOP NLAN'!F47*'TS-PILE'!$D$89/SUMSQ('TS-PILE'!$D$72:$D$91))),IF('TS-PILE'!$B$90="",1E+99,'TO HOP NLAN'!D47/ncoc+IF(SUMSQ('TS-PILE'!$E$72:$E$91)=0,0,'TO HOP NLAN'!E47*'TS-PILE'!$E$90/SUMSQ('TS-PILE'!$E$72:$E$91))+IF(SUMSQ('TS-PILE'!$D$72:$D$91)=0,0,'TO HOP NLAN'!F47*'TS-PILE'!$D$90/SUMSQ('TS-PILE'!$D$72:$D$91))),IF('TS-PILE'!$B$91="",1E+99,'TO HOP NLAN'!D47/ncoc+IF(SUMSQ('TS-PILE'!$E$72:$E$91)=0,0,'TO HOP NLAN'!E47*'TS-PILE'!$E$91/SUMSQ('TS-PILE'!$E$72:$E$91))+IF(SUMSQ('TS-PILE'!$D$72:$D$91)=0,0,'TO HOP NLAN'!F47*'TS-PILE'!$D$91/SUMSQ('TS-PILE'!$D$72:$D$91)))))</f>
        <v>0</v>
      </c>
      <c r="E47" s="58">
        <f t="shared" si="0"/>
        <v>-9.9999999999999997E+98</v>
      </c>
      <c r="F47" s="58">
        <f t="shared" si="1"/>
        <v>9.9999999999999997E+98</v>
      </c>
      <c r="G47" s="58">
        <f t="shared" si="2"/>
        <v>-9.9999999999999997E+98</v>
      </c>
      <c r="H47" s="58">
        <f t="shared" si="3"/>
        <v>9.9999999999999997E+98</v>
      </c>
    </row>
    <row r="48" spans="1:8" x14ac:dyDescent="0.3">
      <c r="A48" s="42" t="str">
        <f>'TO HOP NLAN'!A48</f>
        <v/>
      </c>
      <c r="B48" s="42" t="str">
        <f>'TO HOP NLAN'!L48</f>
        <v>SERVICE</v>
      </c>
      <c r="C48" s="58">
        <f>IF(A48="",0,MAX(IF('TS-PILE'!$B$72="",-1E+99,'TO HOP NLAN'!D48/ncoc+IF(SUMSQ('TS-PILE'!$E$72:$E$91)=0,0,'TO HOP NLAN'!E48*'TS-PILE'!$E$72/SUMSQ('TS-PILE'!$E$72:$E$91))+IF(SUMSQ('TS-PILE'!$D$72:$D$91)=0,0,'TO HOP NLAN'!F48*'TS-PILE'!$D$72/SUMSQ('TS-PILE'!$D$72:$D$91))),IF('TS-PILE'!$B$73="",-1E+99,'TO HOP NLAN'!D48/ncoc+IF(SUMSQ('TS-PILE'!$E$72:$E$91)=0,0,'TO HOP NLAN'!E48*'TS-PILE'!$E$73/SUMSQ('TS-PILE'!$E$72:$E$91))+IF(SUMSQ('TS-PILE'!$D$72:$D$91)=0,0,'TO HOP NLAN'!F48*'TS-PILE'!$D$73/SUMSQ('TS-PILE'!$D$72:$D$91))),IF('TS-PILE'!$B$74="",-1E+99,'TO HOP NLAN'!D48/ncoc+IF(SUMSQ('TS-PILE'!$E$72:$E$91)=0,0,'TO HOP NLAN'!E48*'TS-PILE'!$E$74/SUMSQ('TS-PILE'!$E$72:$E$91))+IF(SUMSQ('TS-PILE'!$D$72:$D$91)=0,0,'TO HOP NLAN'!F48*'TS-PILE'!$D$74/SUMSQ('TS-PILE'!$D$72:$D$91))),IF('TS-PILE'!$B$75="",-1E+99,'TO HOP NLAN'!D48/ncoc+IF(SUMSQ('TS-PILE'!$E$72:$E$91)=0,0,'TO HOP NLAN'!E48*'TS-PILE'!$E$75/SUMSQ('TS-PILE'!$E$72:$E$91))+IF(SUMSQ('TS-PILE'!$D$72:$D$91)=0,0,'TO HOP NLAN'!F48*'TS-PILE'!$D$75/SUMSQ('TS-PILE'!$D$72:$D$91))),IF('TS-PILE'!$B$76="",-1E+99,'TO HOP NLAN'!D48/ncoc+IF(SUMSQ('TS-PILE'!$E$72:$E$91)=0,0,'TO HOP NLAN'!E48*'TS-PILE'!$E$76/SUMSQ('TS-PILE'!$E$72:$E$91))+IF(SUMSQ('TS-PILE'!$D$72:$D$91)=0,0,'TO HOP NLAN'!F48*'TS-PILE'!$D$76/SUMSQ('TS-PILE'!$D$72:$D$91))),IF('TS-PILE'!$B$77="",-1E+99,'TO HOP NLAN'!D48/ncoc+IF(SUMSQ('TS-PILE'!$E$72:$E$91)=0,0,'TO HOP NLAN'!E48*'TS-PILE'!$E$77/SUMSQ('TS-PILE'!$E$72:$E$91))+IF(SUMSQ('TS-PILE'!$D$72:$D$91)=0,0,'TO HOP NLAN'!F48*'TS-PILE'!$D$77/SUMSQ('TS-PILE'!$D$72:$D$91))),IF('TS-PILE'!$B$78="",-1E+99,'TO HOP NLAN'!D48/ncoc+IF(SUMSQ('TS-PILE'!$E$72:$E$91)=0,0,'TO HOP NLAN'!E48*'TS-PILE'!$E$78/SUMSQ('TS-PILE'!$E$72:$E$91))+IF(SUMSQ('TS-PILE'!$D$72:$D$91)=0,0,'TO HOP NLAN'!F48*'TS-PILE'!$D$78/SUMSQ('TS-PILE'!$D$72:$D$91))),IF('TS-PILE'!$B$79="",-1E+99,'TO HOP NLAN'!D48/ncoc+IF(SUMSQ('TS-PILE'!$E$72:$E$91)=0,0,'TO HOP NLAN'!E48*'TS-PILE'!$E$79/SUMSQ('TS-PILE'!$E$72:$E$91))+IF(SUMSQ('TS-PILE'!$D$72:$D$91)=0,0,'TO HOP NLAN'!F48*'TS-PILE'!$D$79/SUMSQ('TS-PILE'!$D$72:$D$91))),IF('TS-PILE'!$B$80="",-1E+99,'TO HOP NLAN'!D48/ncoc+IF(SUMSQ('TS-PILE'!$E$72:$E$91)=0,0,'TO HOP NLAN'!E48*'TS-PILE'!$E$80/SUMSQ('TS-PILE'!$E$72:$E$91))+IF(SUMSQ('TS-PILE'!$D$72:$D$91)=0,0,'TO HOP NLAN'!F48*'TS-PILE'!$D$80/SUMSQ('TS-PILE'!$D$72:$D$91))),IF('TS-PILE'!$B$81="",-1E+99,'TO HOP NLAN'!D48/ncoc+IF(SUMSQ('TS-PILE'!$E$72:$E$91)=0,0,'TO HOP NLAN'!E48*'TS-PILE'!$E$81/SUMSQ('TS-PILE'!$E$72:$E$91))+IF(SUMSQ('TS-PILE'!$D$72:$D$91)=0,0,'TO HOP NLAN'!F48*'TS-PILE'!$D$81/SUMSQ('TS-PILE'!$D$72:$D$91))),IF('TS-PILE'!$B$82="",-1E+99,'TO HOP NLAN'!D48/ncoc+IF(SUMSQ('TS-PILE'!$E$72:$E$91)=0,0,'TO HOP NLAN'!E48*'TS-PILE'!$E$82/SUMSQ('TS-PILE'!$E$72:$E$91))+IF(SUMSQ('TS-PILE'!$D$72:$D$91)=0,0,'TO HOP NLAN'!F48*'TS-PILE'!$D$82/SUMSQ('TS-PILE'!$D$72:$D$91))),IF('TS-PILE'!$B$83="",-1E+99,'TO HOP NLAN'!D48/ncoc+IF(SUMSQ('TS-PILE'!$E$72:$E$91)=0,0,'TO HOP NLAN'!E48*'TS-PILE'!$E$83/SUMSQ('TS-PILE'!$E$72:$E$91))+IF(SUMSQ('TS-PILE'!$D$72:$D$91)=0,0,'TO HOP NLAN'!F48*'TS-PILE'!$D$83/SUMSQ('TS-PILE'!$D$72:$D$91))),IF('TS-PILE'!$B$84="",-1E+99,'TO HOP NLAN'!D48/ncoc+IF(SUMSQ('TS-PILE'!$E$72:$E$91)=0,0,'TO HOP NLAN'!E48*'TS-PILE'!$E$84/SUMSQ('TS-PILE'!$E$72:$E$91))+IF(SUMSQ('TS-PILE'!$D$72:$D$91)=0,0,'TO HOP NLAN'!F48*'TS-PILE'!$D$84/SUMSQ('TS-PILE'!$D$72:$D$91))),IF('TS-PILE'!$B$85="",-1E+99,'TO HOP NLAN'!D48/ncoc+IF(SUMSQ('TS-PILE'!$E$72:$E$91)=0,0,'TO HOP NLAN'!E48*'TS-PILE'!$E$85/SUMSQ('TS-PILE'!$E$72:$E$91))+IF(SUMSQ('TS-PILE'!$D$72:$D$91)=0,0,'TO HOP NLAN'!F48*'TS-PILE'!$D$85/SUMSQ('TS-PILE'!$D$72:$D$91))),IF('TS-PILE'!$B$86="",-1E+99,'TO HOP NLAN'!D48/ncoc+IF(SUMSQ('TS-PILE'!$E$72:$E$91)=0,0,'TO HOP NLAN'!E48*'TS-PILE'!$E$86/SUMSQ('TS-PILE'!$E$72:$E$91))+IF(SUMSQ('TS-PILE'!$D$72:$D$91)=0,0,'TO HOP NLAN'!F48*'TS-PILE'!$D$86/SUMSQ('TS-PILE'!$D$72:$D$91))),IF('TS-PILE'!$B$87="",-1E+99,'TO HOP NLAN'!D48/ncoc+IF(SUMSQ('TS-PILE'!$E$72:$E$91)=0,0,'TO HOP NLAN'!E48*'TS-PILE'!$E$87/SUMSQ('TS-PILE'!$E$72:$E$91))+IF(SUMSQ('TS-PILE'!$D$72:$D$91)=0,0,'TO HOP NLAN'!F48*'TS-PILE'!$D$87/SUMSQ('TS-PILE'!$D$72:$D$91))),IF('TS-PILE'!$B$88="",-1E+99,'TO HOP NLAN'!D48/ncoc+IF(SUMSQ('TS-PILE'!$E$72:$E$91)=0,0,'TO HOP NLAN'!E48*'TS-PILE'!$E$88/SUMSQ('TS-PILE'!$E$72:$E$91))+IF(SUMSQ('TS-PILE'!$D$72:$D$91)=0,0,'TO HOP NLAN'!F48*'TS-PILE'!$D$88/SUMSQ('TS-PILE'!$D$72:$D$91))),IF('TS-PILE'!$B$89="",-1E+99,'TO HOP NLAN'!D48/ncoc+IF(SUMSQ('TS-PILE'!$E$72:$E$91)=0,0,'TO HOP NLAN'!E48*'TS-PILE'!$E$89/SUMSQ('TS-PILE'!$E$72:$E$91))+IF(SUMSQ('TS-PILE'!$D$72:$D$91)=0,0,'TO HOP NLAN'!F48*'TS-PILE'!$D$89/SUMSQ('TS-PILE'!$D$72:$D$91))),IF('TS-PILE'!$B$90="",-1E+99,'TO HOP NLAN'!D48/ncoc+IF(SUMSQ('TS-PILE'!$E$72:$E$91)=0,0,'TO HOP NLAN'!E48*'TS-PILE'!$E$90/SUMSQ('TS-PILE'!$E$72:$E$91))+IF(SUMSQ('TS-PILE'!$D$72:$D$91)=0,0,'TO HOP NLAN'!F48*'TS-PILE'!$D$90/SUMSQ('TS-PILE'!$D$72:$D$91))),IF('TS-PILE'!$B$91="",-1E+99,'TO HOP NLAN'!D48/ncoc+IF(SUMSQ('TS-PILE'!$E$72:$E$91)=0,0,'TO HOP NLAN'!E48*'TS-PILE'!$E$91/SUMSQ('TS-PILE'!$E$72:$E$91))+IF(SUMSQ('TS-PILE'!$D$72:$D$91)=0,0,'TO HOP NLAN'!F48*'TS-PILE'!$D$91/SUMSQ('TS-PILE'!$D$72:$D$91)))))</f>
        <v>0</v>
      </c>
      <c r="D48" s="58">
        <f>IF(A48="",0,MIN(IF('TS-PILE'!$B$72="",1E+99,'TO HOP NLAN'!D48/ncoc+IF(SUMSQ('TS-PILE'!$E$72:$E$91)=0,0,'TO HOP NLAN'!E48*'TS-PILE'!$E$72/SUMSQ('TS-PILE'!$E$72:$E$91))+IF(SUMSQ('TS-PILE'!$D$72:$D$91)=0,0,'TO HOP NLAN'!F48*'TS-PILE'!$D$72/SUMSQ('TS-PILE'!$D$72:$D$91))),IF('TS-PILE'!$B$73="",1E+99,'TO HOP NLAN'!D48/ncoc+IF(SUMSQ('TS-PILE'!$E$72:$E$91)=0,0,'TO HOP NLAN'!E48*'TS-PILE'!$E$73/SUMSQ('TS-PILE'!$E$72:$E$91))+IF(SUMSQ('TS-PILE'!$D$72:$D$91)=0,0,'TO HOP NLAN'!F48*'TS-PILE'!$D$73/SUMSQ('TS-PILE'!$D$72:$D$91))),IF('TS-PILE'!$B$74="",1E+99,'TO HOP NLAN'!D48/ncoc+IF(SUMSQ('TS-PILE'!$E$72:$E$91)=0,0,'TO HOP NLAN'!E48*'TS-PILE'!$E$74/SUMSQ('TS-PILE'!$E$72:$E$91))+IF(SUMSQ('TS-PILE'!$D$72:$D$91)=0,0,'TO HOP NLAN'!F48*'TS-PILE'!$D$74/SUMSQ('TS-PILE'!$D$72:$D$91))),IF('TS-PILE'!$B$75="",1E+99,'TO HOP NLAN'!D48/ncoc+IF(SUMSQ('TS-PILE'!$E$72:$E$91)=0,0,'TO HOP NLAN'!E48*'TS-PILE'!$E$75/SUMSQ('TS-PILE'!$E$72:$E$91))+IF(SUMSQ('TS-PILE'!$D$72:$D$91)=0,0,'TO HOP NLAN'!F48*'TS-PILE'!$D$75/SUMSQ('TS-PILE'!$D$72:$D$91))),IF('TS-PILE'!$B$76="",1E+99,'TO HOP NLAN'!D48/ncoc+IF(SUMSQ('TS-PILE'!$E$72:$E$91)=0,0,'TO HOP NLAN'!E48*'TS-PILE'!$E$76/SUMSQ('TS-PILE'!$E$72:$E$91))+IF(SUMSQ('TS-PILE'!$D$72:$D$91)=0,0,'TO HOP NLAN'!F48*'TS-PILE'!$D$76/SUMSQ('TS-PILE'!$D$72:$D$91))),IF('TS-PILE'!$B$77="",1E+99,'TO HOP NLAN'!D48/ncoc+IF(SUMSQ('TS-PILE'!$E$72:$E$91)=0,0,'TO HOP NLAN'!E48*'TS-PILE'!$E$77/SUMSQ('TS-PILE'!$E$72:$E$91))+IF(SUMSQ('TS-PILE'!$D$72:$D$91)=0,0,'TO HOP NLAN'!F48*'TS-PILE'!$D$77/SUMSQ('TS-PILE'!$D$72:$D$91))),IF('TS-PILE'!$B$78="",1E+99,'TO HOP NLAN'!D48/ncoc+IF(SUMSQ('TS-PILE'!$E$72:$E$91)=0,0,'TO HOP NLAN'!E48*'TS-PILE'!$E$78/SUMSQ('TS-PILE'!$E$72:$E$91))+IF(SUMSQ('TS-PILE'!$D$72:$D$91)=0,0,'TO HOP NLAN'!F48*'TS-PILE'!$D$78/SUMSQ('TS-PILE'!$D$72:$D$91))),IF('TS-PILE'!$B$79="",1E+99,'TO HOP NLAN'!D48/ncoc+IF(SUMSQ('TS-PILE'!$E$72:$E$91)=0,0,'TO HOP NLAN'!E48*'TS-PILE'!$E$79/SUMSQ('TS-PILE'!$E$72:$E$91))+IF(SUMSQ('TS-PILE'!$D$72:$D$91)=0,0,'TO HOP NLAN'!F48*'TS-PILE'!$D$79/SUMSQ('TS-PILE'!$D$72:$D$91))),IF('TS-PILE'!$B$80="",1E+99,'TO HOP NLAN'!D48/ncoc+IF(SUMSQ('TS-PILE'!$E$72:$E$91)=0,0,'TO HOP NLAN'!E48*'TS-PILE'!$E$80/SUMSQ('TS-PILE'!$E$72:$E$91))+IF(SUMSQ('TS-PILE'!$D$72:$D$91)=0,0,'TO HOP NLAN'!F48*'TS-PILE'!$D$80/SUMSQ('TS-PILE'!$D$72:$D$91))),IF('TS-PILE'!$B$81="",1E+99,'TO HOP NLAN'!D48/ncoc+IF(SUMSQ('TS-PILE'!$E$72:$E$91)=0,0,'TO HOP NLAN'!E48*'TS-PILE'!$E$81/SUMSQ('TS-PILE'!$E$72:$E$91))+IF(SUMSQ('TS-PILE'!$D$72:$D$91)=0,0,'TO HOP NLAN'!F48*'TS-PILE'!$D$81/SUMSQ('TS-PILE'!$D$72:$D$91))),IF('TS-PILE'!$B$82="",1E+99,'TO HOP NLAN'!D48/ncoc+IF(SUMSQ('TS-PILE'!$E$72:$E$91)=0,0,'TO HOP NLAN'!E48*'TS-PILE'!$E$82/SUMSQ('TS-PILE'!$E$72:$E$91))+IF(SUMSQ('TS-PILE'!$D$72:$D$91)=0,0,'TO HOP NLAN'!F48*'TS-PILE'!$D$82/SUMSQ('TS-PILE'!$D$72:$D$91))),IF('TS-PILE'!$B$83="",1E+99,'TO HOP NLAN'!D48/ncoc+IF(SUMSQ('TS-PILE'!$E$72:$E$91)=0,0,'TO HOP NLAN'!E48*'TS-PILE'!$E$83/SUMSQ('TS-PILE'!$E$72:$E$91))+IF(SUMSQ('TS-PILE'!$D$72:$D$91)=0,0,'TO HOP NLAN'!F48*'TS-PILE'!$D$83/SUMSQ('TS-PILE'!$D$72:$D$91))),IF('TS-PILE'!$B$84="",1E+99,'TO HOP NLAN'!D48/ncoc+IF(SUMSQ('TS-PILE'!$E$72:$E$91)=0,0,'TO HOP NLAN'!E48*'TS-PILE'!$E$84/SUMSQ('TS-PILE'!$E$72:$E$91))+IF(SUMSQ('TS-PILE'!$D$72:$D$91)=0,0,'TO HOP NLAN'!F48*'TS-PILE'!$D$84/SUMSQ('TS-PILE'!$D$72:$D$91))),IF('TS-PILE'!$B$85="",1E+99,'TO HOP NLAN'!D48/ncoc+IF(SUMSQ('TS-PILE'!$E$72:$E$91)=0,0,'TO HOP NLAN'!E48*'TS-PILE'!$E$85/SUMSQ('TS-PILE'!$E$72:$E$91))+IF(SUMSQ('TS-PILE'!$D$72:$D$91)=0,0,'TO HOP NLAN'!F48*'TS-PILE'!$D$85/SUMSQ('TS-PILE'!$D$72:$D$91))),IF('TS-PILE'!$B$86="",1E+99,'TO HOP NLAN'!D48/ncoc+IF(SUMSQ('TS-PILE'!$E$72:$E$91)=0,0,'TO HOP NLAN'!E48*'TS-PILE'!$E$86/SUMSQ('TS-PILE'!$E$72:$E$91))+IF(SUMSQ('TS-PILE'!$D$72:$D$91)=0,0,'TO HOP NLAN'!F48*'TS-PILE'!$D$86/SUMSQ('TS-PILE'!$D$72:$D$91))),IF('TS-PILE'!$B$87="",1E+99,'TO HOP NLAN'!D48/ncoc+IF(SUMSQ('TS-PILE'!$E$72:$E$91)=0,0,'TO HOP NLAN'!E48*'TS-PILE'!$E$87/SUMSQ('TS-PILE'!$E$72:$E$91))+IF(SUMSQ('TS-PILE'!$D$72:$D$91)=0,0,'TO HOP NLAN'!F48*'TS-PILE'!$D$87/SUMSQ('TS-PILE'!$D$72:$D$91))),IF('TS-PILE'!$B$88="",1E+99,'TO HOP NLAN'!D48/ncoc+IF(SUMSQ('TS-PILE'!$E$72:$E$91)=0,0,'TO HOP NLAN'!E48*'TS-PILE'!$E$88/SUMSQ('TS-PILE'!$E$72:$E$91))+IF(SUMSQ('TS-PILE'!$D$72:$D$91)=0,0,'TO HOP NLAN'!F48*'TS-PILE'!$D$88/SUMSQ('TS-PILE'!$D$72:$D$91))),IF('TS-PILE'!$B$89="",1E+99,'TO HOP NLAN'!D48/ncoc+IF(SUMSQ('TS-PILE'!$E$72:$E$91)=0,0,'TO HOP NLAN'!E48*'TS-PILE'!$E$89/SUMSQ('TS-PILE'!$E$72:$E$91))+IF(SUMSQ('TS-PILE'!$D$72:$D$91)=0,0,'TO HOP NLAN'!F48*'TS-PILE'!$D$89/SUMSQ('TS-PILE'!$D$72:$D$91))),IF('TS-PILE'!$B$90="",1E+99,'TO HOP NLAN'!D48/ncoc+IF(SUMSQ('TS-PILE'!$E$72:$E$91)=0,0,'TO HOP NLAN'!E48*'TS-PILE'!$E$90/SUMSQ('TS-PILE'!$E$72:$E$91))+IF(SUMSQ('TS-PILE'!$D$72:$D$91)=0,0,'TO HOP NLAN'!F48*'TS-PILE'!$D$90/SUMSQ('TS-PILE'!$D$72:$D$91))),IF('TS-PILE'!$B$91="",1E+99,'TO HOP NLAN'!D48/ncoc+IF(SUMSQ('TS-PILE'!$E$72:$E$91)=0,0,'TO HOP NLAN'!E48*'TS-PILE'!$E$91/SUMSQ('TS-PILE'!$E$72:$E$91))+IF(SUMSQ('TS-PILE'!$D$72:$D$91)=0,0,'TO HOP NLAN'!F48*'TS-PILE'!$D$91/SUMSQ('TS-PILE'!$D$72:$D$91)))))</f>
        <v>0</v>
      </c>
      <c r="E48" s="58">
        <f t="shared" si="0"/>
        <v>-9.9999999999999997E+98</v>
      </c>
      <c r="F48" s="58">
        <f t="shared" si="1"/>
        <v>9.9999999999999997E+98</v>
      </c>
      <c r="G48" s="58">
        <f t="shared" si="2"/>
        <v>-9.9999999999999997E+98</v>
      </c>
      <c r="H48" s="58">
        <f t="shared" si="3"/>
        <v>9.9999999999999997E+98</v>
      </c>
    </row>
    <row r="49" spans="1:8" x14ac:dyDescent="0.3">
      <c r="A49" s="42" t="str">
        <f>'TO HOP NLAN'!A49</f>
        <v/>
      </c>
      <c r="B49" s="42" t="str">
        <f>'TO HOP NLAN'!L49</f>
        <v>SERVICE</v>
      </c>
      <c r="C49" s="58">
        <f>IF(A49="",0,MAX(IF('TS-PILE'!$B$72="",-1E+99,'TO HOP NLAN'!D49/ncoc+IF(SUMSQ('TS-PILE'!$E$72:$E$91)=0,0,'TO HOP NLAN'!E49*'TS-PILE'!$E$72/SUMSQ('TS-PILE'!$E$72:$E$91))+IF(SUMSQ('TS-PILE'!$D$72:$D$91)=0,0,'TO HOP NLAN'!F49*'TS-PILE'!$D$72/SUMSQ('TS-PILE'!$D$72:$D$91))),IF('TS-PILE'!$B$73="",-1E+99,'TO HOP NLAN'!D49/ncoc+IF(SUMSQ('TS-PILE'!$E$72:$E$91)=0,0,'TO HOP NLAN'!E49*'TS-PILE'!$E$73/SUMSQ('TS-PILE'!$E$72:$E$91))+IF(SUMSQ('TS-PILE'!$D$72:$D$91)=0,0,'TO HOP NLAN'!F49*'TS-PILE'!$D$73/SUMSQ('TS-PILE'!$D$72:$D$91))),IF('TS-PILE'!$B$74="",-1E+99,'TO HOP NLAN'!D49/ncoc+IF(SUMSQ('TS-PILE'!$E$72:$E$91)=0,0,'TO HOP NLAN'!E49*'TS-PILE'!$E$74/SUMSQ('TS-PILE'!$E$72:$E$91))+IF(SUMSQ('TS-PILE'!$D$72:$D$91)=0,0,'TO HOP NLAN'!F49*'TS-PILE'!$D$74/SUMSQ('TS-PILE'!$D$72:$D$91))),IF('TS-PILE'!$B$75="",-1E+99,'TO HOP NLAN'!D49/ncoc+IF(SUMSQ('TS-PILE'!$E$72:$E$91)=0,0,'TO HOP NLAN'!E49*'TS-PILE'!$E$75/SUMSQ('TS-PILE'!$E$72:$E$91))+IF(SUMSQ('TS-PILE'!$D$72:$D$91)=0,0,'TO HOP NLAN'!F49*'TS-PILE'!$D$75/SUMSQ('TS-PILE'!$D$72:$D$91))),IF('TS-PILE'!$B$76="",-1E+99,'TO HOP NLAN'!D49/ncoc+IF(SUMSQ('TS-PILE'!$E$72:$E$91)=0,0,'TO HOP NLAN'!E49*'TS-PILE'!$E$76/SUMSQ('TS-PILE'!$E$72:$E$91))+IF(SUMSQ('TS-PILE'!$D$72:$D$91)=0,0,'TO HOP NLAN'!F49*'TS-PILE'!$D$76/SUMSQ('TS-PILE'!$D$72:$D$91))),IF('TS-PILE'!$B$77="",-1E+99,'TO HOP NLAN'!D49/ncoc+IF(SUMSQ('TS-PILE'!$E$72:$E$91)=0,0,'TO HOP NLAN'!E49*'TS-PILE'!$E$77/SUMSQ('TS-PILE'!$E$72:$E$91))+IF(SUMSQ('TS-PILE'!$D$72:$D$91)=0,0,'TO HOP NLAN'!F49*'TS-PILE'!$D$77/SUMSQ('TS-PILE'!$D$72:$D$91))),IF('TS-PILE'!$B$78="",-1E+99,'TO HOP NLAN'!D49/ncoc+IF(SUMSQ('TS-PILE'!$E$72:$E$91)=0,0,'TO HOP NLAN'!E49*'TS-PILE'!$E$78/SUMSQ('TS-PILE'!$E$72:$E$91))+IF(SUMSQ('TS-PILE'!$D$72:$D$91)=0,0,'TO HOP NLAN'!F49*'TS-PILE'!$D$78/SUMSQ('TS-PILE'!$D$72:$D$91))),IF('TS-PILE'!$B$79="",-1E+99,'TO HOP NLAN'!D49/ncoc+IF(SUMSQ('TS-PILE'!$E$72:$E$91)=0,0,'TO HOP NLAN'!E49*'TS-PILE'!$E$79/SUMSQ('TS-PILE'!$E$72:$E$91))+IF(SUMSQ('TS-PILE'!$D$72:$D$91)=0,0,'TO HOP NLAN'!F49*'TS-PILE'!$D$79/SUMSQ('TS-PILE'!$D$72:$D$91))),IF('TS-PILE'!$B$80="",-1E+99,'TO HOP NLAN'!D49/ncoc+IF(SUMSQ('TS-PILE'!$E$72:$E$91)=0,0,'TO HOP NLAN'!E49*'TS-PILE'!$E$80/SUMSQ('TS-PILE'!$E$72:$E$91))+IF(SUMSQ('TS-PILE'!$D$72:$D$91)=0,0,'TO HOP NLAN'!F49*'TS-PILE'!$D$80/SUMSQ('TS-PILE'!$D$72:$D$91))),IF('TS-PILE'!$B$81="",-1E+99,'TO HOP NLAN'!D49/ncoc+IF(SUMSQ('TS-PILE'!$E$72:$E$91)=0,0,'TO HOP NLAN'!E49*'TS-PILE'!$E$81/SUMSQ('TS-PILE'!$E$72:$E$91))+IF(SUMSQ('TS-PILE'!$D$72:$D$91)=0,0,'TO HOP NLAN'!F49*'TS-PILE'!$D$81/SUMSQ('TS-PILE'!$D$72:$D$91))),IF('TS-PILE'!$B$82="",-1E+99,'TO HOP NLAN'!D49/ncoc+IF(SUMSQ('TS-PILE'!$E$72:$E$91)=0,0,'TO HOP NLAN'!E49*'TS-PILE'!$E$82/SUMSQ('TS-PILE'!$E$72:$E$91))+IF(SUMSQ('TS-PILE'!$D$72:$D$91)=0,0,'TO HOP NLAN'!F49*'TS-PILE'!$D$82/SUMSQ('TS-PILE'!$D$72:$D$91))),IF('TS-PILE'!$B$83="",-1E+99,'TO HOP NLAN'!D49/ncoc+IF(SUMSQ('TS-PILE'!$E$72:$E$91)=0,0,'TO HOP NLAN'!E49*'TS-PILE'!$E$83/SUMSQ('TS-PILE'!$E$72:$E$91))+IF(SUMSQ('TS-PILE'!$D$72:$D$91)=0,0,'TO HOP NLAN'!F49*'TS-PILE'!$D$83/SUMSQ('TS-PILE'!$D$72:$D$91))),IF('TS-PILE'!$B$84="",-1E+99,'TO HOP NLAN'!D49/ncoc+IF(SUMSQ('TS-PILE'!$E$72:$E$91)=0,0,'TO HOP NLAN'!E49*'TS-PILE'!$E$84/SUMSQ('TS-PILE'!$E$72:$E$91))+IF(SUMSQ('TS-PILE'!$D$72:$D$91)=0,0,'TO HOP NLAN'!F49*'TS-PILE'!$D$84/SUMSQ('TS-PILE'!$D$72:$D$91))),IF('TS-PILE'!$B$85="",-1E+99,'TO HOP NLAN'!D49/ncoc+IF(SUMSQ('TS-PILE'!$E$72:$E$91)=0,0,'TO HOP NLAN'!E49*'TS-PILE'!$E$85/SUMSQ('TS-PILE'!$E$72:$E$91))+IF(SUMSQ('TS-PILE'!$D$72:$D$91)=0,0,'TO HOP NLAN'!F49*'TS-PILE'!$D$85/SUMSQ('TS-PILE'!$D$72:$D$91))),IF('TS-PILE'!$B$86="",-1E+99,'TO HOP NLAN'!D49/ncoc+IF(SUMSQ('TS-PILE'!$E$72:$E$91)=0,0,'TO HOP NLAN'!E49*'TS-PILE'!$E$86/SUMSQ('TS-PILE'!$E$72:$E$91))+IF(SUMSQ('TS-PILE'!$D$72:$D$91)=0,0,'TO HOP NLAN'!F49*'TS-PILE'!$D$86/SUMSQ('TS-PILE'!$D$72:$D$91))),IF('TS-PILE'!$B$87="",-1E+99,'TO HOP NLAN'!D49/ncoc+IF(SUMSQ('TS-PILE'!$E$72:$E$91)=0,0,'TO HOP NLAN'!E49*'TS-PILE'!$E$87/SUMSQ('TS-PILE'!$E$72:$E$91))+IF(SUMSQ('TS-PILE'!$D$72:$D$91)=0,0,'TO HOP NLAN'!F49*'TS-PILE'!$D$87/SUMSQ('TS-PILE'!$D$72:$D$91))),IF('TS-PILE'!$B$88="",-1E+99,'TO HOP NLAN'!D49/ncoc+IF(SUMSQ('TS-PILE'!$E$72:$E$91)=0,0,'TO HOP NLAN'!E49*'TS-PILE'!$E$88/SUMSQ('TS-PILE'!$E$72:$E$91))+IF(SUMSQ('TS-PILE'!$D$72:$D$91)=0,0,'TO HOP NLAN'!F49*'TS-PILE'!$D$88/SUMSQ('TS-PILE'!$D$72:$D$91))),IF('TS-PILE'!$B$89="",-1E+99,'TO HOP NLAN'!D49/ncoc+IF(SUMSQ('TS-PILE'!$E$72:$E$91)=0,0,'TO HOP NLAN'!E49*'TS-PILE'!$E$89/SUMSQ('TS-PILE'!$E$72:$E$91))+IF(SUMSQ('TS-PILE'!$D$72:$D$91)=0,0,'TO HOP NLAN'!F49*'TS-PILE'!$D$89/SUMSQ('TS-PILE'!$D$72:$D$91))),IF('TS-PILE'!$B$90="",-1E+99,'TO HOP NLAN'!D49/ncoc+IF(SUMSQ('TS-PILE'!$E$72:$E$91)=0,0,'TO HOP NLAN'!E49*'TS-PILE'!$E$90/SUMSQ('TS-PILE'!$E$72:$E$91))+IF(SUMSQ('TS-PILE'!$D$72:$D$91)=0,0,'TO HOP NLAN'!F49*'TS-PILE'!$D$90/SUMSQ('TS-PILE'!$D$72:$D$91))),IF('TS-PILE'!$B$91="",-1E+99,'TO HOP NLAN'!D49/ncoc+IF(SUMSQ('TS-PILE'!$E$72:$E$91)=0,0,'TO HOP NLAN'!E49*'TS-PILE'!$E$91/SUMSQ('TS-PILE'!$E$72:$E$91))+IF(SUMSQ('TS-PILE'!$D$72:$D$91)=0,0,'TO HOP NLAN'!F49*'TS-PILE'!$D$91/SUMSQ('TS-PILE'!$D$72:$D$91)))))</f>
        <v>0</v>
      </c>
      <c r="D49" s="58">
        <f>IF(A49="",0,MIN(IF('TS-PILE'!$B$72="",1E+99,'TO HOP NLAN'!D49/ncoc+IF(SUMSQ('TS-PILE'!$E$72:$E$91)=0,0,'TO HOP NLAN'!E49*'TS-PILE'!$E$72/SUMSQ('TS-PILE'!$E$72:$E$91))+IF(SUMSQ('TS-PILE'!$D$72:$D$91)=0,0,'TO HOP NLAN'!F49*'TS-PILE'!$D$72/SUMSQ('TS-PILE'!$D$72:$D$91))),IF('TS-PILE'!$B$73="",1E+99,'TO HOP NLAN'!D49/ncoc+IF(SUMSQ('TS-PILE'!$E$72:$E$91)=0,0,'TO HOP NLAN'!E49*'TS-PILE'!$E$73/SUMSQ('TS-PILE'!$E$72:$E$91))+IF(SUMSQ('TS-PILE'!$D$72:$D$91)=0,0,'TO HOP NLAN'!F49*'TS-PILE'!$D$73/SUMSQ('TS-PILE'!$D$72:$D$91))),IF('TS-PILE'!$B$74="",1E+99,'TO HOP NLAN'!D49/ncoc+IF(SUMSQ('TS-PILE'!$E$72:$E$91)=0,0,'TO HOP NLAN'!E49*'TS-PILE'!$E$74/SUMSQ('TS-PILE'!$E$72:$E$91))+IF(SUMSQ('TS-PILE'!$D$72:$D$91)=0,0,'TO HOP NLAN'!F49*'TS-PILE'!$D$74/SUMSQ('TS-PILE'!$D$72:$D$91))),IF('TS-PILE'!$B$75="",1E+99,'TO HOP NLAN'!D49/ncoc+IF(SUMSQ('TS-PILE'!$E$72:$E$91)=0,0,'TO HOP NLAN'!E49*'TS-PILE'!$E$75/SUMSQ('TS-PILE'!$E$72:$E$91))+IF(SUMSQ('TS-PILE'!$D$72:$D$91)=0,0,'TO HOP NLAN'!F49*'TS-PILE'!$D$75/SUMSQ('TS-PILE'!$D$72:$D$91))),IF('TS-PILE'!$B$76="",1E+99,'TO HOP NLAN'!D49/ncoc+IF(SUMSQ('TS-PILE'!$E$72:$E$91)=0,0,'TO HOP NLAN'!E49*'TS-PILE'!$E$76/SUMSQ('TS-PILE'!$E$72:$E$91))+IF(SUMSQ('TS-PILE'!$D$72:$D$91)=0,0,'TO HOP NLAN'!F49*'TS-PILE'!$D$76/SUMSQ('TS-PILE'!$D$72:$D$91))),IF('TS-PILE'!$B$77="",1E+99,'TO HOP NLAN'!D49/ncoc+IF(SUMSQ('TS-PILE'!$E$72:$E$91)=0,0,'TO HOP NLAN'!E49*'TS-PILE'!$E$77/SUMSQ('TS-PILE'!$E$72:$E$91))+IF(SUMSQ('TS-PILE'!$D$72:$D$91)=0,0,'TO HOP NLAN'!F49*'TS-PILE'!$D$77/SUMSQ('TS-PILE'!$D$72:$D$91))),IF('TS-PILE'!$B$78="",1E+99,'TO HOP NLAN'!D49/ncoc+IF(SUMSQ('TS-PILE'!$E$72:$E$91)=0,0,'TO HOP NLAN'!E49*'TS-PILE'!$E$78/SUMSQ('TS-PILE'!$E$72:$E$91))+IF(SUMSQ('TS-PILE'!$D$72:$D$91)=0,0,'TO HOP NLAN'!F49*'TS-PILE'!$D$78/SUMSQ('TS-PILE'!$D$72:$D$91))),IF('TS-PILE'!$B$79="",1E+99,'TO HOP NLAN'!D49/ncoc+IF(SUMSQ('TS-PILE'!$E$72:$E$91)=0,0,'TO HOP NLAN'!E49*'TS-PILE'!$E$79/SUMSQ('TS-PILE'!$E$72:$E$91))+IF(SUMSQ('TS-PILE'!$D$72:$D$91)=0,0,'TO HOP NLAN'!F49*'TS-PILE'!$D$79/SUMSQ('TS-PILE'!$D$72:$D$91))),IF('TS-PILE'!$B$80="",1E+99,'TO HOP NLAN'!D49/ncoc+IF(SUMSQ('TS-PILE'!$E$72:$E$91)=0,0,'TO HOP NLAN'!E49*'TS-PILE'!$E$80/SUMSQ('TS-PILE'!$E$72:$E$91))+IF(SUMSQ('TS-PILE'!$D$72:$D$91)=0,0,'TO HOP NLAN'!F49*'TS-PILE'!$D$80/SUMSQ('TS-PILE'!$D$72:$D$91))),IF('TS-PILE'!$B$81="",1E+99,'TO HOP NLAN'!D49/ncoc+IF(SUMSQ('TS-PILE'!$E$72:$E$91)=0,0,'TO HOP NLAN'!E49*'TS-PILE'!$E$81/SUMSQ('TS-PILE'!$E$72:$E$91))+IF(SUMSQ('TS-PILE'!$D$72:$D$91)=0,0,'TO HOP NLAN'!F49*'TS-PILE'!$D$81/SUMSQ('TS-PILE'!$D$72:$D$91))),IF('TS-PILE'!$B$82="",1E+99,'TO HOP NLAN'!D49/ncoc+IF(SUMSQ('TS-PILE'!$E$72:$E$91)=0,0,'TO HOP NLAN'!E49*'TS-PILE'!$E$82/SUMSQ('TS-PILE'!$E$72:$E$91))+IF(SUMSQ('TS-PILE'!$D$72:$D$91)=0,0,'TO HOP NLAN'!F49*'TS-PILE'!$D$82/SUMSQ('TS-PILE'!$D$72:$D$91))),IF('TS-PILE'!$B$83="",1E+99,'TO HOP NLAN'!D49/ncoc+IF(SUMSQ('TS-PILE'!$E$72:$E$91)=0,0,'TO HOP NLAN'!E49*'TS-PILE'!$E$83/SUMSQ('TS-PILE'!$E$72:$E$91))+IF(SUMSQ('TS-PILE'!$D$72:$D$91)=0,0,'TO HOP NLAN'!F49*'TS-PILE'!$D$83/SUMSQ('TS-PILE'!$D$72:$D$91))),IF('TS-PILE'!$B$84="",1E+99,'TO HOP NLAN'!D49/ncoc+IF(SUMSQ('TS-PILE'!$E$72:$E$91)=0,0,'TO HOP NLAN'!E49*'TS-PILE'!$E$84/SUMSQ('TS-PILE'!$E$72:$E$91))+IF(SUMSQ('TS-PILE'!$D$72:$D$91)=0,0,'TO HOP NLAN'!F49*'TS-PILE'!$D$84/SUMSQ('TS-PILE'!$D$72:$D$91))),IF('TS-PILE'!$B$85="",1E+99,'TO HOP NLAN'!D49/ncoc+IF(SUMSQ('TS-PILE'!$E$72:$E$91)=0,0,'TO HOP NLAN'!E49*'TS-PILE'!$E$85/SUMSQ('TS-PILE'!$E$72:$E$91))+IF(SUMSQ('TS-PILE'!$D$72:$D$91)=0,0,'TO HOP NLAN'!F49*'TS-PILE'!$D$85/SUMSQ('TS-PILE'!$D$72:$D$91))),IF('TS-PILE'!$B$86="",1E+99,'TO HOP NLAN'!D49/ncoc+IF(SUMSQ('TS-PILE'!$E$72:$E$91)=0,0,'TO HOP NLAN'!E49*'TS-PILE'!$E$86/SUMSQ('TS-PILE'!$E$72:$E$91))+IF(SUMSQ('TS-PILE'!$D$72:$D$91)=0,0,'TO HOP NLAN'!F49*'TS-PILE'!$D$86/SUMSQ('TS-PILE'!$D$72:$D$91))),IF('TS-PILE'!$B$87="",1E+99,'TO HOP NLAN'!D49/ncoc+IF(SUMSQ('TS-PILE'!$E$72:$E$91)=0,0,'TO HOP NLAN'!E49*'TS-PILE'!$E$87/SUMSQ('TS-PILE'!$E$72:$E$91))+IF(SUMSQ('TS-PILE'!$D$72:$D$91)=0,0,'TO HOP NLAN'!F49*'TS-PILE'!$D$87/SUMSQ('TS-PILE'!$D$72:$D$91))),IF('TS-PILE'!$B$88="",1E+99,'TO HOP NLAN'!D49/ncoc+IF(SUMSQ('TS-PILE'!$E$72:$E$91)=0,0,'TO HOP NLAN'!E49*'TS-PILE'!$E$88/SUMSQ('TS-PILE'!$E$72:$E$91))+IF(SUMSQ('TS-PILE'!$D$72:$D$91)=0,0,'TO HOP NLAN'!F49*'TS-PILE'!$D$88/SUMSQ('TS-PILE'!$D$72:$D$91))),IF('TS-PILE'!$B$89="",1E+99,'TO HOP NLAN'!D49/ncoc+IF(SUMSQ('TS-PILE'!$E$72:$E$91)=0,0,'TO HOP NLAN'!E49*'TS-PILE'!$E$89/SUMSQ('TS-PILE'!$E$72:$E$91))+IF(SUMSQ('TS-PILE'!$D$72:$D$91)=0,0,'TO HOP NLAN'!F49*'TS-PILE'!$D$89/SUMSQ('TS-PILE'!$D$72:$D$91))),IF('TS-PILE'!$B$90="",1E+99,'TO HOP NLAN'!D49/ncoc+IF(SUMSQ('TS-PILE'!$E$72:$E$91)=0,0,'TO HOP NLAN'!E49*'TS-PILE'!$E$90/SUMSQ('TS-PILE'!$E$72:$E$91))+IF(SUMSQ('TS-PILE'!$D$72:$D$91)=0,0,'TO HOP NLAN'!F49*'TS-PILE'!$D$90/SUMSQ('TS-PILE'!$D$72:$D$91))),IF('TS-PILE'!$B$91="",1E+99,'TO HOP NLAN'!D49/ncoc+IF(SUMSQ('TS-PILE'!$E$72:$E$91)=0,0,'TO HOP NLAN'!E49*'TS-PILE'!$E$91/SUMSQ('TS-PILE'!$E$72:$E$91))+IF(SUMSQ('TS-PILE'!$D$72:$D$91)=0,0,'TO HOP NLAN'!F49*'TS-PILE'!$D$91/SUMSQ('TS-PILE'!$D$72:$D$91)))))</f>
        <v>0</v>
      </c>
      <c r="E49" s="58">
        <f t="shared" si="0"/>
        <v>-9.9999999999999997E+98</v>
      </c>
      <c r="F49" s="58">
        <f t="shared" si="1"/>
        <v>9.9999999999999997E+98</v>
      </c>
      <c r="G49" s="58">
        <f t="shared" si="2"/>
        <v>-9.9999999999999997E+98</v>
      </c>
      <c r="H49" s="58">
        <f t="shared" si="3"/>
        <v>9.9999999999999997E+98</v>
      </c>
    </row>
    <row r="50" spans="1:8" x14ac:dyDescent="0.3">
      <c r="A50" s="42" t="str">
        <f>'TO HOP NLAN'!A50</f>
        <v/>
      </c>
      <c r="B50" s="42" t="str">
        <f>'TO HOP NLAN'!L50</f>
        <v>SERVICE</v>
      </c>
      <c r="C50" s="58">
        <f>IF(A50="",0,MAX(IF('TS-PILE'!$B$72="",-1E+99,'TO HOP NLAN'!D50/ncoc+IF(SUMSQ('TS-PILE'!$E$72:$E$91)=0,0,'TO HOP NLAN'!E50*'TS-PILE'!$E$72/SUMSQ('TS-PILE'!$E$72:$E$91))+IF(SUMSQ('TS-PILE'!$D$72:$D$91)=0,0,'TO HOP NLAN'!F50*'TS-PILE'!$D$72/SUMSQ('TS-PILE'!$D$72:$D$91))),IF('TS-PILE'!$B$73="",-1E+99,'TO HOP NLAN'!D50/ncoc+IF(SUMSQ('TS-PILE'!$E$72:$E$91)=0,0,'TO HOP NLAN'!E50*'TS-PILE'!$E$73/SUMSQ('TS-PILE'!$E$72:$E$91))+IF(SUMSQ('TS-PILE'!$D$72:$D$91)=0,0,'TO HOP NLAN'!F50*'TS-PILE'!$D$73/SUMSQ('TS-PILE'!$D$72:$D$91))),IF('TS-PILE'!$B$74="",-1E+99,'TO HOP NLAN'!D50/ncoc+IF(SUMSQ('TS-PILE'!$E$72:$E$91)=0,0,'TO HOP NLAN'!E50*'TS-PILE'!$E$74/SUMSQ('TS-PILE'!$E$72:$E$91))+IF(SUMSQ('TS-PILE'!$D$72:$D$91)=0,0,'TO HOP NLAN'!F50*'TS-PILE'!$D$74/SUMSQ('TS-PILE'!$D$72:$D$91))),IF('TS-PILE'!$B$75="",-1E+99,'TO HOP NLAN'!D50/ncoc+IF(SUMSQ('TS-PILE'!$E$72:$E$91)=0,0,'TO HOP NLAN'!E50*'TS-PILE'!$E$75/SUMSQ('TS-PILE'!$E$72:$E$91))+IF(SUMSQ('TS-PILE'!$D$72:$D$91)=0,0,'TO HOP NLAN'!F50*'TS-PILE'!$D$75/SUMSQ('TS-PILE'!$D$72:$D$91))),IF('TS-PILE'!$B$76="",-1E+99,'TO HOP NLAN'!D50/ncoc+IF(SUMSQ('TS-PILE'!$E$72:$E$91)=0,0,'TO HOP NLAN'!E50*'TS-PILE'!$E$76/SUMSQ('TS-PILE'!$E$72:$E$91))+IF(SUMSQ('TS-PILE'!$D$72:$D$91)=0,0,'TO HOP NLAN'!F50*'TS-PILE'!$D$76/SUMSQ('TS-PILE'!$D$72:$D$91))),IF('TS-PILE'!$B$77="",-1E+99,'TO HOP NLAN'!D50/ncoc+IF(SUMSQ('TS-PILE'!$E$72:$E$91)=0,0,'TO HOP NLAN'!E50*'TS-PILE'!$E$77/SUMSQ('TS-PILE'!$E$72:$E$91))+IF(SUMSQ('TS-PILE'!$D$72:$D$91)=0,0,'TO HOP NLAN'!F50*'TS-PILE'!$D$77/SUMSQ('TS-PILE'!$D$72:$D$91))),IF('TS-PILE'!$B$78="",-1E+99,'TO HOP NLAN'!D50/ncoc+IF(SUMSQ('TS-PILE'!$E$72:$E$91)=0,0,'TO HOP NLAN'!E50*'TS-PILE'!$E$78/SUMSQ('TS-PILE'!$E$72:$E$91))+IF(SUMSQ('TS-PILE'!$D$72:$D$91)=0,0,'TO HOP NLAN'!F50*'TS-PILE'!$D$78/SUMSQ('TS-PILE'!$D$72:$D$91))),IF('TS-PILE'!$B$79="",-1E+99,'TO HOP NLAN'!D50/ncoc+IF(SUMSQ('TS-PILE'!$E$72:$E$91)=0,0,'TO HOP NLAN'!E50*'TS-PILE'!$E$79/SUMSQ('TS-PILE'!$E$72:$E$91))+IF(SUMSQ('TS-PILE'!$D$72:$D$91)=0,0,'TO HOP NLAN'!F50*'TS-PILE'!$D$79/SUMSQ('TS-PILE'!$D$72:$D$91))),IF('TS-PILE'!$B$80="",-1E+99,'TO HOP NLAN'!D50/ncoc+IF(SUMSQ('TS-PILE'!$E$72:$E$91)=0,0,'TO HOP NLAN'!E50*'TS-PILE'!$E$80/SUMSQ('TS-PILE'!$E$72:$E$91))+IF(SUMSQ('TS-PILE'!$D$72:$D$91)=0,0,'TO HOP NLAN'!F50*'TS-PILE'!$D$80/SUMSQ('TS-PILE'!$D$72:$D$91))),IF('TS-PILE'!$B$81="",-1E+99,'TO HOP NLAN'!D50/ncoc+IF(SUMSQ('TS-PILE'!$E$72:$E$91)=0,0,'TO HOP NLAN'!E50*'TS-PILE'!$E$81/SUMSQ('TS-PILE'!$E$72:$E$91))+IF(SUMSQ('TS-PILE'!$D$72:$D$91)=0,0,'TO HOP NLAN'!F50*'TS-PILE'!$D$81/SUMSQ('TS-PILE'!$D$72:$D$91))),IF('TS-PILE'!$B$82="",-1E+99,'TO HOP NLAN'!D50/ncoc+IF(SUMSQ('TS-PILE'!$E$72:$E$91)=0,0,'TO HOP NLAN'!E50*'TS-PILE'!$E$82/SUMSQ('TS-PILE'!$E$72:$E$91))+IF(SUMSQ('TS-PILE'!$D$72:$D$91)=0,0,'TO HOP NLAN'!F50*'TS-PILE'!$D$82/SUMSQ('TS-PILE'!$D$72:$D$91))),IF('TS-PILE'!$B$83="",-1E+99,'TO HOP NLAN'!D50/ncoc+IF(SUMSQ('TS-PILE'!$E$72:$E$91)=0,0,'TO HOP NLAN'!E50*'TS-PILE'!$E$83/SUMSQ('TS-PILE'!$E$72:$E$91))+IF(SUMSQ('TS-PILE'!$D$72:$D$91)=0,0,'TO HOP NLAN'!F50*'TS-PILE'!$D$83/SUMSQ('TS-PILE'!$D$72:$D$91))),IF('TS-PILE'!$B$84="",-1E+99,'TO HOP NLAN'!D50/ncoc+IF(SUMSQ('TS-PILE'!$E$72:$E$91)=0,0,'TO HOP NLAN'!E50*'TS-PILE'!$E$84/SUMSQ('TS-PILE'!$E$72:$E$91))+IF(SUMSQ('TS-PILE'!$D$72:$D$91)=0,0,'TO HOP NLAN'!F50*'TS-PILE'!$D$84/SUMSQ('TS-PILE'!$D$72:$D$91))),IF('TS-PILE'!$B$85="",-1E+99,'TO HOP NLAN'!D50/ncoc+IF(SUMSQ('TS-PILE'!$E$72:$E$91)=0,0,'TO HOP NLAN'!E50*'TS-PILE'!$E$85/SUMSQ('TS-PILE'!$E$72:$E$91))+IF(SUMSQ('TS-PILE'!$D$72:$D$91)=0,0,'TO HOP NLAN'!F50*'TS-PILE'!$D$85/SUMSQ('TS-PILE'!$D$72:$D$91))),IF('TS-PILE'!$B$86="",-1E+99,'TO HOP NLAN'!D50/ncoc+IF(SUMSQ('TS-PILE'!$E$72:$E$91)=0,0,'TO HOP NLAN'!E50*'TS-PILE'!$E$86/SUMSQ('TS-PILE'!$E$72:$E$91))+IF(SUMSQ('TS-PILE'!$D$72:$D$91)=0,0,'TO HOP NLAN'!F50*'TS-PILE'!$D$86/SUMSQ('TS-PILE'!$D$72:$D$91))),IF('TS-PILE'!$B$87="",-1E+99,'TO HOP NLAN'!D50/ncoc+IF(SUMSQ('TS-PILE'!$E$72:$E$91)=0,0,'TO HOP NLAN'!E50*'TS-PILE'!$E$87/SUMSQ('TS-PILE'!$E$72:$E$91))+IF(SUMSQ('TS-PILE'!$D$72:$D$91)=0,0,'TO HOP NLAN'!F50*'TS-PILE'!$D$87/SUMSQ('TS-PILE'!$D$72:$D$91))),IF('TS-PILE'!$B$88="",-1E+99,'TO HOP NLAN'!D50/ncoc+IF(SUMSQ('TS-PILE'!$E$72:$E$91)=0,0,'TO HOP NLAN'!E50*'TS-PILE'!$E$88/SUMSQ('TS-PILE'!$E$72:$E$91))+IF(SUMSQ('TS-PILE'!$D$72:$D$91)=0,0,'TO HOP NLAN'!F50*'TS-PILE'!$D$88/SUMSQ('TS-PILE'!$D$72:$D$91))),IF('TS-PILE'!$B$89="",-1E+99,'TO HOP NLAN'!D50/ncoc+IF(SUMSQ('TS-PILE'!$E$72:$E$91)=0,0,'TO HOP NLAN'!E50*'TS-PILE'!$E$89/SUMSQ('TS-PILE'!$E$72:$E$91))+IF(SUMSQ('TS-PILE'!$D$72:$D$91)=0,0,'TO HOP NLAN'!F50*'TS-PILE'!$D$89/SUMSQ('TS-PILE'!$D$72:$D$91))),IF('TS-PILE'!$B$90="",-1E+99,'TO HOP NLAN'!D50/ncoc+IF(SUMSQ('TS-PILE'!$E$72:$E$91)=0,0,'TO HOP NLAN'!E50*'TS-PILE'!$E$90/SUMSQ('TS-PILE'!$E$72:$E$91))+IF(SUMSQ('TS-PILE'!$D$72:$D$91)=0,0,'TO HOP NLAN'!F50*'TS-PILE'!$D$90/SUMSQ('TS-PILE'!$D$72:$D$91))),IF('TS-PILE'!$B$91="",-1E+99,'TO HOP NLAN'!D50/ncoc+IF(SUMSQ('TS-PILE'!$E$72:$E$91)=0,0,'TO HOP NLAN'!E50*'TS-PILE'!$E$91/SUMSQ('TS-PILE'!$E$72:$E$91))+IF(SUMSQ('TS-PILE'!$D$72:$D$91)=0,0,'TO HOP NLAN'!F50*'TS-PILE'!$D$91/SUMSQ('TS-PILE'!$D$72:$D$91)))))</f>
        <v>0</v>
      </c>
      <c r="D50" s="58">
        <f>IF(A50="",0,MIN(IF('TS-PILE'!$B$72="",1E+99,'TO HOP NLAN'!D50/ncoc+IF(SUMSQ('TS-PILE'!$E$72:$E$91)=0,0,'TO HOP NLAN'!E50*'TS-PILE'!$E$72/SUMSQ('TS-PILE'!$E$72:$E$91))+IF(SUMSQ('TS-PILE'!$D$72:$D$91)=0,0,'TO HOP NLAN'!F50*'TS-PILE'!$D$72/SUMSQ('TS-PILE'!$D$72:$D$91))),IF('TS-PILE'!$B$73="",1E+99,'TO HOP NLAN'!D50/ncoc+IF(SUMSQ('TS-PILE'!$E$72:$E$91)=0,0,'TO HOP NLAN'!E50*'TS-PILE'!$E$73/SUMSQ('TS-PILE'!$E$72:$E$91))+IF(SUMSQ('TS-PILE'!$D$72:$D$91)=0,0,'TO HOP NLAN'!F50*'TS-PILE'!$D$73/SUMSQ('TS-PILE'!$D$72:$D$91))),IF('TS-PILE'!$B$74="",1E+99,'TO HOP NLAN'!D50/ncoc+IF(SUMSQ('TS-PILE'!$E$72:$E$91)=0,0,'TO HOP NLAN'!E50*'TS-PILE'!$E$74/SUMSQ('TS-PILE'!$E$72:$E$91))+IF(SUMSQ('TS-PILE'!$D$72:$D$91)=0,0,'TO HOP NLAN'!F50*'TS-PILE'!$D$74/SUMSQ('TS-PILE'!$D$72:$D$91))),IF('TS-PILE'!$B$75="",1E+99,'TO HOP NLAN'!D50/ncoc+IF(SUMSQ('TS-PILE'!$E$72:$E$91)=0,0,'TO HOP NLAN'!E50*'TS-PILE'!$E$75/SUMSQ('TS-PILE'!$E$72:$E$91))+IF(SUMSQ('TS-PILE'!$D$72:$D$91)=0,0,'TO HOP NLAN'!F50*'TS-PILE'!$D$75/SUMSQ('TS-PILE'!$D$72:$D$91))),IF('TS-PILE'!$B$76="",1E+99,'TO HOP NLAN'!D50/ncoc+IF(SUMSQ('TS-PILE'!$E$72:$E$91)=0,0,'TO HOP NLAN'!E50*'TS-PILE'!$E$76/SUMSQ('TS-PILE'!$E$72:$E$91))+IF(SUMSQ('TS-PILE'!$D$72:$D$91)=0,0,'TO HOP NLAN'!F50*'TS-PILE'!$D$76/SUMSQ('TS-PILE'!$D$72:$D$91))),IF('TS-PILE'!$B$77="",1E+99,'TO HOP NLAN'!D50/ncoc+IF(SUMSQ('TS-PILE'!$E$72:$E$91)=0,0,'TO HOP NLAN'!E50*'TS-PILE'!$E$77/SUMSQ('TS-PILE'!$E$72:$E$91))+IF(SUMSQ('TS-PILE'!$D$72:$D$91)=0,0,'TO HOP NLAN'!F50*'TS-PILE'!$D$77/SUMSQ('TS-PILE'!$D$72:$D$91))),IF('TS-PILE'!$B$78="",1E+99,'TO HOP NLAN'!D50/ncoc+IF(SUMSQ('TS-PILE'!$E$72:$E$91)=0,0,'TO HOP NLAN'!E50*'TS-PILE'!$E$78/SUMSQ('TS-PILE'!$E$72:$E$91))+IF(SUMSQ('TS-PILE'!$D$72:$D$91)=0,0,'TO HOP NLAN'!F50*'TS-PILE'!$D$78/SUMSQ('TS-PILE'!$D$72:$D$91))),IF('TS-PILE'!$B$79="",1E+99,'TO HOP NLAN'!D50/ncoc+IF(SUMSQ('TS-PILE'!$E$72:$E$91)=0,0,'TO HOP NLAN'!E50*'TS-PILE'!$E$79/SUMSQ('TS-PILE'!$E$72:$E$91))+IF(SUMSQ('TS-PILE'!$D$72:$D$91)=0,0,'TO HOP NLAN'!F50*'TS-PILE'!$D$79/SUMSQ('TS-PILE'!$D$72:$D$91))),IF('TS-PILE'!$B$80="",1E+99,'TO HOP NLAN'!D50/ncoc+IF(SUMSQ('TS-PILE'!$E$72:$E$91)=0,0,'TO HOP NLAN'!E50*'TS-PILE'!$E$80/SUMSQ('TS-PILE'!$E$72:$E$91))+IF(SUMSQ('TS-PILE'!$D$72:$D$91)=0,0,'TO HOP NLAN'!F50*'TS-PILE'!$D$80/SUMSQ('TS-PILE'!$D$72:$D$91))),IF('TS-PILE'!$B$81="",1E+99,'TO HOP NLAN'!D50/ncoc+IF(SUMSQ('TS-PILE'!$E$72:$E$91)=0,0,'TO HOP NLAN'!E50*'TS-PILE'!$E$81/SUMSQ('TS-PILE'!$E$72:$E$91))+IF(SUMSQ('TS-PILE'!$D$72:$D$91)=0,0,'TO HOP NLAN'!F50*'TS-PILE'!$D$81/SUMSQ('TS-PILE'!$D$72:$D$91))),IF('TS-PILE'!$B$82="",1E+99,'TO HOP NLAN'!D50/ncoc+IF(SUMSQ('TS-PILE'!$E$72:$E$91)=0,0,'TO HOP NLAN'!E50*'TS-PILE'!$E$82/SUMSQ('TS-PILE'!$E$72:$E$91))+IF(SUMSQ('TS-PILE'!$D$72:$D$91)=0,0,'TO HOP NLAN'!F50*'TS-PILE'!$D$82/SUMSQ('TS-PILE'!$D$72:$D$91))),IF('TS-PILE'!$B$83="",1E+99,'TO HOP NLAN'!D50/ncoc+IF(SUMSQ('TS-PILE'!$E$72:$E$91)=0,0,'TO HOP NLAN'!E50*'TS-PILE'!$E$83/SUMSQ('TS-PILE'!$E$72:$E$91))+IF(SUMSQ('TS-PILE'!$D$72:$D$91)=0,0,'TO HOP NLAN'!F50*'TS-PILE'!$D$83/SUMSQ('TS-PILE'!$D$72:$D$91))),IF('TS-PILE'!$B$84="",1E+99,'TO HOP NLAN'!D50/ncoc+IF(SUMSQ('TS-PILE'!$E$72:$E$91)=0,0,'TO HOP NLAN'!E50*'TS-PILE'!$E$84/SUMSQ('TS-PILE'!$E$72:$E$91))+IF(SUMSQ('TS-PILE'!$D$72:$D$91)=0,0,'TO HOP NLAN'!F50*'TS-PILE'!$D$84/SUMSQ('TS-PILE'!$D$72:$D$91))),IF('TS-PILE'!$B$85="",1E+99,'TO HOP NLAN'!D50/ncoc+IF(SUMSQ('TS-PILE'!$E$72:$E$91)=0,0,'TO HOP NLAN'!E50*'TS-PILE'!$E$85/SUMSQ('TS-PILE'!$E$72:$E$91))+IF(SUMSQ('TS-PILE'!$D$72:$D$91)=0,0,'TO HOP NLAN'!F50*'TS-PILE'!$D$85/SUMSQ('TS-PILE'!$D$72:$D$91))),IF('TS-PILE'!$B$86="",1E+99,'TO HOP NLAN'!D50/ncoc+IF(SUMSQ('TS-PILE'!$E$72:$E$91)=0,0,'TO HOP NLAN'!E50*'TS-PILE'!$E$86/SUMSQ('TS-PILE'!$E$72:$E$91))+IF(SUMSQ('TS-PILE'!$D$72:$D$91)=0,0,'TO HOP NLAN'!F50*'TS-PILE'!$D$86/SUMSQ('TS-PILE'!$D$72:$D$91))),IF('TS-PILE'!$B$87="",1E+99,'TO HOP NLAN'!D50/ncoc+IF(SUMSQ('TS-PILE'!$E$72:$E$91)=0,0,'TO HOP NLAN'!E50*'TS-PILE'!$E$87/SUMSQ('TS-PILE'!$E$72:$E$91))+IF(SUMSQ('TS-PILE'!$D$72:$D$91)=0,0,'TO HOP NLAN'!F50*'TS-PILE'!$D$87/SUMSQ('TS-PILE'!$D$72:$D$91))),IF('TS-PILE'!$B$88="",1E+99,'TO HOP NLAN'!D50/ncoc+IF(SUMSQ('TS-PILE'!$E$72:$E$91)=0,0,'TO HOP NLAN'!E50*'TS-PILE'!$E$88/SUMSQ('TS-PILE'!$E$72:$E$91))+IF(SUMSQ('TS-PILE'!$D$72:$D$91)=0,0,'TO HOP NLAN'!F50*'TS-PILE'!$D$88/SUMSQ('TS-PILE'!$D$72:$D$91))),IF('TS-PILE'!$B$89="",1E+99,'TO HOP NLAN'!D50/ncoc+IF(SUMSQ('TS-PILE'!$E$72:$E$91)=0,0,'TO HOP NLAN'!E50*'TS-PILE'!$E$89/SUMSQ('TS-PILE'!$E$72:$E$91))+IF(SUMSQ('TS-PILE'!$D$72:$D$91)=0,0,'TO HOP NLAN'!F50*'TS-PILE'!$D$89/SUMSQ('TS-PILE'!$D$72:$D$91))),IF('TS-PILE'!$B$90="",1E+99,'TO HOP NLAN'!D50/ncoc+IF(SUMSQ('TS-PILE'!$E$72:$E$91)=0,0,'TO HOP NLAN'!E50*'TS-PILE'!$E$90/SUMSQ('TS-PILE'!$E$72:$E$91))+IF(SUMSQ('TS-PILE'!$D$72:$D$91)=0,0,'TO HOP NLAN'!F50*'TS-PILE'!$D$90/SUMSQ('TS-PILE'!$D$72:$D$91))),IF('TS-PILE'!$B$91="",1E+99,'TO HOP NLAN'!D50/ncoc+IF(SUMSQ('TS-PILE'!$E$72:$E$91)=0,0,'TO HOP NLAN'!E50*'TS-PILE'!$E$91/SUMSQ('TS-PILE'!$E$72:$E$91))+IF(SUMSQ('TS-PILE'!$D$72:$D$91)=0,0,'TO HOP NLAN'!F50*'TS-PILE'!$D$91/SUMSQ('TS-PILE'!$D$72:$D$91)))))</f>
        <v>0</v>
      </c>
      <c r="E50" s="58">
        <f t="shared" si="0"/>
        <v>-9.9999999999999997E+98</v>
      </c>
      <c r="F50" s="58">
        <f t="shared" si="1"/>
        <v>9.9999999999999997E+98</v>
      </c>
      <c r="G50" s="58">
        <f t="shared" si="2"/>
        <v>-9.9999999999999997E+98</v>
      </c>
      <c r="H50" s="58">
        <f t="shared" si="3"/>
        <v>9.9999999999999997E+98</v>
      </c>
    </row>
    <row r="51" spans="1:8" x14ac:dyDescent="0.3">
      <c r="A51" s="42" t="str">
        <f>'TO HOP NLAN'!A51</f>
        <v/>
      </c>
      <c r="B51" s="42" t="str">
        <f>'TO HOP NLAN'!L51</f>
        <v>SERVICE</v>
      </c>
      <c r="C51" s="58">
        <f>IF(A51="",0,MAX(IF('TS-PILE'!$B$72="",-1E+99,'TO HOP NLAN'!D51/ncoc+IF(SUMSQ('TS-PILE'!$E$72:$E$91)=0,0,'TO HOP NLAN'!E51*'TS-PILE'!$E$72/SUMSQ('TS-PILE'!$E$72:$E$91))+IF(SUMSQ('TS-PILE'!$D$72:$D$91)=0,0,'TO HOP NLAN'!F51*'TS-PILE'!$D$72/SUMSQ('TS-PILE'!$D$72:$D$91))),IF('TS-PILE'!$B$73="",-1E+99,'TO HOP NLAN'!D51/ncoc+IF(SUMSQ('TS-PILE'!$E$72:$E$91)=0,0,'TO HOP NLAN'!E51*'TS-PILE'!$E$73/SUMSQ('TS-PILE'!$E$72:$E$91))+IF(SUMSQ('TS-PILE'!$D$72:$D$91)=0,0,'TO HOP NLAN'!F51*'TS-PILE'!$D$73/SUMSQ('TS-PILE'!$D$72:$D$91))),IF('TS-PILE'!$B$74="",-1E+99,'TO HOP NLAN'!D51/ncoc+IF(SUMSQ('TS-PILE'!$E$72:$E$91)=0,0,'TO HOP NLAN'!E51*'TS-PILE'!$E$74/SUMSQ('TS-PILE'!$E$72:$E$91))+IF(SUMSQ('TS-PILE'!$D$72:$D$91)=0,0,'TO HOP NLAN'!F51*'TS-PILE'!$D$74/SUMSQ('TS-PILE'!$D$72:$D$91))),IF('TS-PILE'!$B$75="",-1E+99,'TO HOP NLAN'!D51/ncoc+IF(SUMSQ('TS-PILE'!$E$72:$E$91)=0,0,'TO HOP NLAN'!E51*'TS-PILE'!$E$75/SUMSQ('TS-PILE'!$E$72:$E$91))+IF(SUMSQ('TS-PILE'!$D$72:$D$91)=0,0,'TO HOP NLAN'!F51*'TS-PILE'!$D$75/SUMSQ('TS-PILE'!$D$72:$D$91))),IF('TS-PILE'!$B$76="",-1E+99,'TO HOP NLAN'!D51/ncoc+IF(SUMSQ('TS-PILE'!$E$72:$E$91)=0,0,'TO HOP NLAN'!E51*'TS-PILE'!$E$76/SUMSQ('TS-PILE'!$E$72:$E$91))+IF(SUMSQ('TS-PILE'!$D$72:$D$91)=0,0,'TO HOP NLAN'!F51*'TS-PILE'!$D$76/SUMSQ('TS-PILE'!$D$72:$D$91))),IF('TS-PILE'!$B$77="",-1E+99,'TO HOP NLAN'!D51/ncoc+IF(SUMSQ('TS-PILE'!$E$72:$E$91)=0,0,'TO HOP NLAN'!E51*'TS-PILE'!$E$77/SUMSQ('TS-PILE'!$E$72:$E$91))+IF(SUMSQ('TS-PILE'!$D$72:$D$91)=0,0,'TO HOP NLAN'!F51*'TS-PILE'!$D$77/SUMSQ('TS-PILE'!$D$72:$D$91))),IF('TS-PILE'!$B$78="",-1E+99,'TO HOP NLAN'!D51/ncoc+IF(SUMSQ('TS-PILE'!$E$72:$E$91)=0,0,'TO HOP NLAN'!E51*'TS-PILE'!$E$78/SUMSQ('TS-PILE'!$E$72:$E$91))+IF(SUMSQ('TS-PILE'!$D$72:$D$91)=0,0,'TO HOP NLAN'!F51*'TS-PILE'!$D$78/SUMSQ('TS-PILE'!$D$72:$D$91))),IF('TS-PILE'!$B$79="",-1E+99,'TO HOP NLAN'!D51/ncoc+IF(SUMSQ('TS-PILE'!$E$72:$E$91)=0,0,'TO HOP NLAN'!E51*'TS-PILE'!$E$79/SUMSQ('TS-PILE'!$E$72:$E$91))+IF(SUMSQ('TS-PILE'!$D$72:$D$91)=0,0,'TO HOP NLAN'!F51*'TS-PILE'!$D$79/SUMSQ('TS-PILE'!$D$72:$D$91))),IF('TS-PILE'!$B$80="",-1E+99,'TO HOP NLAN'!D51/ncoc+IF(SUMSQ('TS-PILE'!$E$72:$E$91)=0,0,'TO HOP NLAN'!E51*'TS-PILE'!$E$80/SUMSQ('TS-PILE'!$E$72:$E$91))+IF(SUMSQ('TS-PILE'!$D$72:$D$91)=0,0,'TO HOP NLAN'!F51*'TS-PILE'!$D$80/SUMSQ('TS-PILE'!$D$72:$D$91))),IF('TS-PILE'!$B$81="",-1E+99,'TO HOP NLAN'!D51/ncoc+IF(SUMSQ('TS-PILE'!$E$72:$E$91)=0,0,'TO HOP NLAN'!E51*'TS-PILE'!$E$81/SUMSQ('TS-PILE'!$E$72:$E$91))+IF(SUMSQ('TS-PILE'!$D$72:$D$91)=0,0,'TO HOP NLAN'!F51*'TS-PILE'!$D$81/SUMSQ('TS-PILE'!$D$72:$D$91))),IF('TS-PILE'!$B$82="",-1E+99,'TO HOP NLAN'!D51/ncoc+IF(SUMSQ('TS-PILE'!$E$72:$E$91)=0,0,'TO HOP NLAN'!E51*'TS-PILE'!$E$82/SUMSQ('TS-PILE'!$E$72:$E$91))+IF(SUMSQ('TS-PILE'!$D$72:$D$91)=0,0,'TO HOP NLAN'!F51*'TS-PILE'!$D$82/SUMSQ('TS-PILE'!$D$72:$D$91))),IF('TS-PILE'!$B$83="",-1E+99,'TO HOP NLAN'!D51/ncoc+IF(SUMSQ('TS-PILE'!$E$72:$E$91)=0,0,'TO HOP NLAN'!E51*'TS-PILE'!$E$83/SUMSQ('TS-PILE'!$E$72:$E$91))+IF(SUMSQ('TS-PILE'!$D$72:$D$91)=0,0,'TO HOP NLAN'!F51*'TS-PILE'!$D$83/SUMSQ('TS-PILE'!$D$72:$D$91))),IF('TS-PILE'!$B$84="",-1E+99,'TO HOP NLAN'!D51/ncoc+IF(SUMSQ('TS-PILE'!$E$72:$E$91)=0,0,'TO HOP NLAN'!E51*'TS-PILE'!$E$84/SUMSQ('TS-PILE'!$E$72:$E$91))+IF(SUMSQ('TS-PILE'!$D$72:$D$91)=0,0,'TO HOP NLAN'!F51*'TS-PILE'!$D$84/SUMSQ('TS-PILE'!$D$72:$D$91))),IF('TS-PILE'!$B$85="",-1E+99,'TO HOP NLAN'!D51/ncoc+IF(SUMSQ('TS-PILE'!$E$72:$E$91)=0,0,'TO HOP NLAN'!E51*'TS-PILE'!$E$85/SUMSQ('TS-PILE'!$E$72:$E$91))+IF(SUMSQ('TS-PILE'!$D$72:$D$91)=0,0,'TO HOP NLAN'!F51*'TS-PILE'!$D$85/SUMSQ('TS-PILE'!$D$72:$D$91))),IF('TS-PILE'!$B$86="",-1E+99,'TO HOP NLAN'!D51/ncoc+IF(SUMSQ('TS-PILE'!$E$72:$E$91)=0,0,'TO HOP NLAN'!E51*'TS-PILE'!$E$86/SUMSQ('TS-PILE'!$E$72:$E$91))+IF(SUMSQ('TS-PILE'!$D$72:$D$91)=0,0,'TO HOP NLAN'!F51*'TS-PILE'!$D$86/SUMSQ('TS-PILE'!$D$72:$D$91))),IF('TS-PILE'!$B$87="",-1E+99,'TO HOP NLAN'!D51/ncoc+IF(SUMSQ('TS-PILE'!$E$72:$E$91)=0,0,'TO HOP NLAN'!E51*'TS-PILE'!$E$87/SUMSQ('TS-PILE'!$E$72:$E$91))+IF(SUMSQ('TS-PILE'!$D$72:$D$91)=0,0,'TO HOP NLAN'!F51*'TS-PILE'!$D$87/SUMSQ('TS-PILE'!$D$72:$D$91))),IF('TS-PILE'!$B$88="",-1E+99,'TO HOP NLAN'!D51/ncoc+IF(SUMSQ('TS-PILE'!$E$72:$E$91)=0,0,'TO HOP NLAN'!E51*'TS-PILE'!$E$88/SUMSQ('TS-PILE'!$E$72:$E$91))+IF(SUMSQ('TS-PILE'!$D$72:$D$91)=0,0,'TO HOP NLAN'!F51*'TS-PILE'!$D$88/SUMSQ('TS-PILE'!$D$72:$D$91))),IF('TS-PILE'!$B$89="",-1E+99,'TO HOP NLAN'!D51/ncoc+IF(SUMSQ('TS-PILE'!$E$72:$E$91)=0,0,'TO HOP NLAN'!E51*'TS-PILE'!$E$89/SUMSQ('TS-PILE'!$E$72:$E$91))+IF(SUMSQ('TS-PILE'!$D$72:$D$91)=0,0,'TO HOP NLAN'!F51*'TS-PILE'!$D$89/SUMSQ('TS-PILE'!$D$72:$D$91))),IF('TS-PILE'!$B$90="",-1E+99,'TO HOP NLAN'!D51/ncoc+IF(SUMSQ('TS-PILE'!$E$72:$E$91)=0,0,'TO HOP NLAN'!E51*'TS-PILE'!$E$90/SUMSQ('TS-PILE'!$E$72:$E$91))+IF(SUMSQ('TS-PILE'!$D$72:$D$91)=0,0,'TO HOP NLAN'!F51*'TS-PILE'!$D$90/SUMSQ('TS-PILE'!$D$72:$D$91))),IF('TS-PILE'!$B$91="",-1E+99,'TO HOP NLAN'!D51/ncoc+IF(SUMSQ('TS-PILE'!$E$72:$E$91)=0,0,'TO HOP NLAN'!E51*'TS-PILE'!$E$91/SUMSQ('TS-PILE'!$E$72:$E$91))+IF(SUMSQ('TS-PILE'!$D$72:$D$91)=0,0,'TO HOP NLAN'!F51*'TS-PILE'!$D$91/SUMSQ('TS-PILE'!$D$72:$D$91)))))</f>
        <v>0</v>
      </c>
      <c r="D51" s="58">
        <f>IF(A51="",0,MIN(IF('TS-PILE'!$B$72="",1E+99,'TO HOP NLAN'!D51/ncoc+IF(SUMSQ('TS-PILE'!$E$72:$E$91)=0,0,'TO HOP NLAN'!E51*'TS-PILE'!$E$72/SUMSQ('TS-PILE'!$E$72:$E$91))+IF(SUMSQ('TS-PILE'!$D$72:$D$91)=0,0,'TO HOP NLAN'!F51*'TS-PILE'!$D$72/SUMSQ('TS-PILE'!$D$72:$D$91))),IF('TS-PILE'!$B$73="",1E+99,'TO HOP NLAN'!D51/ncoc+IF(SUMSQ('TS-PILE'!$E$72:$E$91)=0,0,'TO HOP NLAN'!E51*'TS-PILE'!$E$73/SUMSQ('TS-PILE'!$E$72:$E$91))+IF(SUMSQ('TS-PILE'!$D$72:$D$91)=0,0,'TO HOP NLAN'!F51*'TS-PILE'!$D$73/SUMSQ('TS-PILE'!$D$72:$D$91))),IF('TS-PILE'!$B$74="",1E+99,'TO HOP NLAN'!D51/ncoc+IF(SUMSQ('TS-PILE'!$E$72:$E$91)=0,0,'TO HOP NLAN'!E51*'TS-PILE'!$E$74/SUMSQ('TS-PILE'!$E$72:$E$91))+IF(SUMSQ('TS-PILE'!$D$72:$D$91)=0,0,'TO HOP NLAN'!F51*'TS-PILE'!$D$74/SUMSQ('TS-PILE'!$D$72:$D$91))),IF('TS-PILE'!$B$75="",1E+99,'TO HOP NLAN'!D51/ncoc+IF(SUMSQ('TS-PILE'!$E$72:$E$91)=0,0,'TO HOP NLAN'!E51*'TS-PILE'!$E$75/SUMSQ('TS-PILE'!$E$72:$E$91))+IF(SUMSQ('TS-PILE'!$D$72:$D$91)=0,0,'TO HOP NLAN'!F51*'TS-PILE'!$D$75/SUMSQ('TS-PILE'!$D$72:$D$91))),IF('TS-PILE'!$B$76="",1E+99,'TO HOP NLAN'!D51/ncoc+IF(SUMSQ('TS-PILE'!$E$72:$E$91)=0,0,'TO HOP NLAN'!E51*'TS-PILE'!$E$76/SUMSQ('TS-PILE'!$E$72:$E$91))+IF(SUMSQ('TS-PILE'!$D$72:$D$91)=0,0,'TO HOP NLAN'!F51*'TS-PILE'!$D$76/SUMSQ('TS-PILE'!$D$72:$D$91))),IF('TS-PILE'!$B$77="",1E+99,'TO HOP NLAN'!D51/ncoc+IF(SUMSQ('TS-PILE'!$E$72:$E$91)=0,0,'TO HOP NLAN'!E51*'TS-PILE'!$E$77/SUMSQ('TS-PILE'!$E$72:$E$91))+IF(SUMSQ('TS-PILE'!$D$72:$D$91)=0,0,'TO HOP NLAN'!F51*'TS-PILE'!$D$77/SUMSQ('TS-PILE'!$D$72:$D$91))),IF('TS-PILE'!$B$78="",1E+99,'TO HOP NLAN'!D51/ncoc+IF(SUMSQ('TS-PILE'!$E$72:$E$91)=0,0,'TO HOP NLAN'!E51*'TS-PILE'!$E$78/SUMSQ('TS-PILE'!$E$72:$E$91))+IF(SUMSQ('TS-PILE'!$D$72:$D$91)=0,0,'TO HOP NLAN'!F51*'TS-PILE'!$D$78/SUMSQ('TS-PILE'!$D$72:$D$91))),IF('TS-PILE'!$B$79="",1E+99,'TO HOP NLAN'!D51/ncoc+IF(SUMSQ('TS-PILE'!$E$72:$E$91)=0,0,'TO HOP NLAN'!E51*'TS-PILE'!$E$79/SUMSQ('TS-PILE'!$E$72:$E$91))+IF(SUMSQ('TS-PILE'!$D$72:$D$91)=0,0,'TO HOP NLAN'!F51*'TS-PILE'!$D$79/SUMSQ('TS-PILE'!$D$72:$D$91))),IF('TS-PILE'!$B$80="",1E+99,'TO HOP NLAN'!D51/ncoc+IF(SUMSQ('TS-PILE'!$E$72:$E$91)=0,0,'TO HOP NLAN'!E51*'TS-PILE'!$E$80/SUMSQ('TS-PILE'!$E$72:$E$91))+IF(SUMSQ('TS-PILE'!$D$72:$D$91)=0,0,'TO HOP NLAN'!F51*'TS-PILE'!$D$80/SUMSQ('TS-PILE'!$D$72:$D$91))),IF('TS-PILE'!$B$81="",1E+99,'TO HOP NLAN'!D51/ncoc+IF(SUMSQ('TS-PILE'!$E$72:$E$91)=0,0,'TO HOP NLAN'!E51*'TS-PILE'!$E$81/SUMSQ('TS-PILE'!$E$72:$E$91))+IF(SUMSQ('TS-PILE'!$D$72:$D$91)=0,0,'TO HOP NLAN'!F51*'TS-PILE'!$D$81/SUMSQ('TS-PILE'!$D$72:$D$91))),IF('TS-PILE'!$B$82="",1E+99,'TO HOP NLAN'!D51/ncoc+IF(SUMSQ('TS-PILE'!$E$72:$E$91)=0,0,'TO HOP NLAN'!E51*'TS-PILE'!$E$82/SUMSQ('TS-PILE'!$E$72:$E$91))+IF(SUMSQ('TS-PILE'!$D$72:$D$91)=0,0,'TO HOP NLAN'!F51*'TS-PILE'!$D$82/SUMSQ('TS-PILE'!$D$72:$D$91))),IF('TS-PILE'!$B$83="",1E+99,'TO HOP NLAN'!D51/ncoc+IF(SUMSQ('TS-PILE'!$E$72:$E$91)=0,0,'TO HOP NLAN'!E51*'TS-PILE'!$E$83/SUMSQ('TS-PILE'!$E$72:$E$91))+IF(SUMSQ('TS-PILE'!$D$72:$D$91)=0,0,'TO HOP NLAN'!F51*'TS-PILE'!$D$83/SUMSQ('TS-PILE'!$D$72:$D$91))),IF('TS-PILE'!$B$84="",1E+99,'TO HOP NLAN'!D51/ncoc+IF(SUMSQ('TS-PILE'!$E$72:$E$91)=0,0,'TO HOP NLAN'!E51*'TS-PILE'!$E$84/SUMSQ('TS-PILE'!$E$72:$E$91))+IF(SUMSQ('TS-PILE'!$D$72:$D$91)=0,0,'TO HOP NLAN'!F51*'TS-PILE'!$D$84/SUMSQ('TS-PILE'!$D$72:$D$91))),IF('TS-PILE'!$B$85="",1E+99,'TO HOP NLAN'!D51/ncoc+IF(SUMSQ('TS-PILE'!$E$72:$E$91)=0,0,'TO HOP NLAN'!E51*'TS-PILE'!$E$85/SUMSQ('TS-PILE'!$E$72:$E$91))+IF(SUMSQ('TS-PILE'!$D$72:$D$91)=0,0,'TO HOP NLAN'!F51*'TS-PILE'!$D$85/SUMSQ('TS-PILE'!$D$72:$D$91))),IF('TS-PILE'!$B$86="",1E+99,'TO HOP NLAN'!D51/ncoc+IF(SUMSQ('TS-PILE'!$E$72:$E$91)=0,0,'TO HOP NLAN'!E51*'TS-PILE'!$E$86/SUMSQ('TS-PILE'!$E$72:$E$91))+IF(SUMSQ('TS-PILE'!$D$72:$D$91)=0,0,'TO HOP NLAN'!F51*'TS-PILE'!$D$86/SUMSQ('TS-PILE'!$D$72:$D$91))),IF('TS-PILE'!$B$87="",1E+99,'TO HOP NLAN'!D51/ncoc+IF(SUMSQ('TS-PILE'!$E$72:$E$91)=0,0,'TO HOP NLAN'!E51*'TS-PILE'!$E$87/SUMSQ('TS-PILE'!$E$72:$E$91))+IF(SUMSQ('TS-PILE'!$D$72:$D$91)=0,0,'TO HOP NLAN'!F51*'TS-PILE'!$D$87/SUMSQ('TS-PILE'!$D$72:$D$91))),IF('TS-PILE'!$B$88="",1E+99,'TO HOP NLAN'!D51/ncoc+IF(SUMSQ('TS-PILE'!$E$72:$E$91)=0,0,'TO HOP NLAN'!E51*'TS-PILE'!$E$88/SUMSQ('TS-PILE'!$E$72:$E$91))+IF(SUMSQ('TS-PILE'!$D$72:$D$91)=0,0,'TO HOP NLAN'!F51*'TS-PILE'!$D$88/SUMSQ('TS-PILE'!$D$72:$D$91))),IF('TS-PILE'!$B$89="",1E+99,'TO HOP NLAN'!D51/ncoc+IF(SUMSQ('TS-PILE'!$E$72:$E$91)=0,0,'TO HOP NLAN'!E51*'TS-PILE'!$E$89/SUMSQ('TS-PILE'!$E$72:$E$91))+IF(SUMSQ('TS-PILE'!$D$72:$D$91)=0,0,'TO HOP NLAN'!F51*'TS-PILE'!$D$89/SUMSQ('TS-PILE'!$D$72:$D$91))),IF('TS-PILE'!$B$90="",1E+99,'TO HOP NLAN'!D51/ncoc+IF(SUMSQ('TS-PILE'!$E$72:$E$91)=0,0,'TO HOP NLAN'!E51*'TS-PILE'!$E$90/SUMSQ('TS-PILE'!$E$72:$E$91))+IF(SUMSQ('TS-PILE'!$D$72:$D$91)=0,0,'TO HOP NLAN'!F51*'TS-PILE'!$D$90/SUMSQ('TS-PILE'!$D$72:$D$91))),IF('TS-PILE'!$B$91="",1E+99,'TO HOP NLAN'!D51/ncoc+IF(SUMSQ('TS-PILE'!$E$72:$E$91)=0,0,'TO HOP NLAN'!E51*'TS-PILE'!$E$91/SUMSQ('TS-PILE'!$E$72:$E$91))+IF(SUMSQ('TS-PILE'!$D$72:$D$91)=0,0,'TO HOP NLAN'!F51*'TS-PILE'!$D$91/SUMSQ('TS-PILE'!$D$72:$D$91)))))</f>
        <v>0</v>
      </c>
      <c r="E51" s="58">
        <f t="shared" si="0"/>
        <v>-9.9999999999999997E+98</v>
      </c>
      <c r="F51" s="58">
        <f t="shared" si="1"/>
        <v>9.9999999999999997E+98</v>
      </c>
      <c r="G51" s="58">
        <f t="shared" si="2"/>
        <v>-9.9999999999999997E+98</v>
      </c>
      <c r="H51" s="58">
        <f t="shared" si="3"/>
        <v>9.9999999999999997E+98</v>
      </c>
    </row>
    <row r="52" spans="1:8" x14ac:dyDescent="0.3">
      <c r="A52" s="42" t="str">
        <f>'TO HOP NLAN'!A52</f>
        <v/>
      </c>
      <c r="B52" s="42" t="str">
        <f>'TO HOP NLAN'!L52</f>
        <v>SERVICE</v>
      </c>
      <c r="C52" s="58">
        <f>IF(A52="",0,MAX(IF('TS-PILE'!$B$72="",-1E+99,'TO HOP NLAN'!D52/ncoc+IF(SUMSQ('TS-PILE'!$E$72:$E$91)=0,0,'TO HOP NLAN'!E52*'TS-PILE'!$E$72/SUMSQ('TS-PILE'!$E$72:$E$91))+IF(SUMSQ('TS-PILE'!$D$72:$D$91)=0,0,'TO HOP NLAN'!F52*'TS-PILE'!$D$72/SUMSQ('TS-PILE'!$D$72:$D$91))),IF('TS-PILE'!$B$73="",-1E+99,'TO HOP NLAN'!D52/ncoc+IF(SUMSQ('TS-PILE'!$E$72:$E$91)=0,0,'TO HOP NLAN'!E52*'TS-PILE'!$E$73/SUMSQ('TS-PILE'!$E$72:$E$91))+IF(SUMSQ('TS-PILE'!$D$72:$D$91)=0,0,'TO HOP NLAN'!F52*'TS-PILE'!$D$73/SUMSQ('TS-PILE'!$D$72:$D$91))),IF('TS-PILE'!$B$74="",-1E+99,'TO HOP NLAN'!D52/ncoc+IF(SUMSQ('TS-PILE'!$E$72:$E$91)=0,0,'TO HOP NLAN'!E52*'TS-PILE'!$E$74/SUMSQ('TS-PILE'!$E$72:$E$91))+IF(SUMSQ('TS-PILE'!$D$72:$D$91)=0,0,'TO HOP NLAN'!F52*'TS-PILE'!$D$74/SUMSQ('TS-PILE'!$D$72:$D$91))),IF('TS-PILE'!$B$75="",-1E+99,'TO HOP NLAN'!D52/ncoc+IF(SUMSQ('TS-PILE'!$E$72:$E$91)=0,0,'TO HOP NLAN'!E52*'TS-PILE'!$E$75/SUMSQ('TS-PILE'!$E$72:$E$91))+IF(SUMSQ('TS-PILE'!$D$72:$D$91)=0,0,'TO HOP NLAN'!F52*'TS-PILE'!$D$75/SUMSQ('TS-PILE'!$D$72:$D$91))),IF('TS-PILE'!$B$76="",-1E+99,'TO HOP NLAN'!D52/ncoc+IF(SUMSQ('TS-PILE'!$E$72:$E$91)=0,0,'TO HOP NLAN'!E52*'TS-PILE'!$E$76/SUMSQ('TS-PILE'!$E$72:$E$91))+IF(SUMSQ('TS-PILE'!$D$72:$D$91)=0,0,'TO HOP NLAN'!F52*'TS-PILE'!$D$76/SUMSQ('TS-PILE'!$D$72:$D$91))),IF('TS-PILE'!$B$77="",-1E+99,'TO HOP NLAN'!D52/ncoc+IF(SUMSQ('TS-PILE'!$E$72:$E$91)=0,0,'TO HOP NLAN'!E52*'TS-PILE'!$E$77/SUMSQ('TS-PILE'!$E$72:$E$91))+IF(SUMSQ('TS-PILE'!$D$72:$D$91)=0,0,'TO HOP NLAN'!F52*'TS-PILE'!$D$77/SUMSQ('TS-PILE'!$D$72:$D$91))),IF('TS-PILE'!$B$78="",-1E+99,'TO HOP NLAN'!D52/ncoc+IF(SUMSQ('TS-PILE'!$E$72:$E$91)=0,0,'TO HOP NLAN'!E52*'TS-PILE'!$E$78/SUMSQ('TS-PILE'!$E$72:$E$91))+IF(SUMSQ('TS-PILE'!$D$72:$D$91)=0,0,'TO HOP NLAN'!F52*'TS-PILE'!$D$78/SUMSQ('TS-PILE'!$D$72:$D$91))),IF('TS-PILE'!$B$79="",-1E+99,'TO HOP NLAN'!D52/ncoc+IF(SUMSQ('TS-PILE'!$E$72:$E$91)=0,0,'TO HOP NLAN'!E52*'TS-PILE'!$E$79/SUMSQ('TS-PILE'!$E$72:$E$91))+IF(SUMSQ('TS-PILE'!$D$72:$D$91)=0,0,'TO HOP NLAN'!F52*'TS-PILE'!$D$79/SUMSQ('TS-PILE'!$D$72:$D$91))),IF('TS-PILE'!$B$80="",-1E+99,'TO HOP NLAN'!D52/ncoc+IF(SUMSQ('TS-PILE'!$E$72:$E$91)=0,0,'TO HOP NLAN'!E52*'TS-PILE'!$E$80/SUMSQ('TS-PILE'!$E$72:$E$91))+IF(SUMSQ('TS-PILE'!$D$72:$D$91)=0,0,'TO HOP NLAN'!F52*'TS-PILE'!$D$80/SUMSQ('TS-PILE'!$D$72:$D$91))),IF('TS-PILE'!$B$81="",-1E+99,'TO HOP NLAN'!D52/ncoc+IF(SUMSQ('TS-PILE'!$E$72:$E$91)=0,0,'TO HOP NLAN'!E52*'TS-PILE'!$E$81/SUMSQ('TS-PILE'!$E$72:$E$91))+IF(SUMSQ('TS-PILE'!$D$72:$D$91)=0,0,'TO HOP NLAN'!F52*'TS-PILE'!$D$81/SUMSQ('TS-PILE'!$D$72:$D$91))),IF('TS-PILE'!$B$82="",-1E+99,'TO HOP NLAN'!D52/ncoc+IF(SUMSQ('TS-PILE'!$E$72:$E$91)=0,0,'TO HOP NLAN'!E52*'TS-PILE'!$E$82/SUMSQ('TS-PILE'!$E$72:$E$91))+IF(SUMSQ('TS-PILE'!$D$72:$D$91)=0,0,'TO HOP NLAN'!F52*'TS-PILE'!$D$82/SUMSQ('TS-PILE'!$D$72:$D$91))),IF('TS-PILE'!$B$83="",-1E+99,'TO HOP NLAN'!D52/ncoc+IF(SUMSQ('TS-PILE'!$E$72:$E$91)=0,0,'TO HOP NLAN'!E52*'TS-PILE'!$E$83/SUMSQ('TS-PILE'!$E$72:$E$91))+IF(SUMSQ('TS-PILE'!$D$72:$D$91)=0,0,'TO HOP NLAN'!F52*'TS-PILE'!$D$83/SUMSQ('TS-PILE'!$D$72:$D$91))),IF('TS-PILE'!$B$84="",-1E+99,'TO HOP NLAN'!D52/ncoc+IF(SUMSQ('TS-PILE'!$E$72:$E$91)=0,0,'TO HOP NLAN'!E52*'TS-PILE'!$E$84/SUMSQ('TS-PILE'!$E$72:$E$91))+IF(SUMSQ('TS-PILE'!$D$72:$D$91)=0,0,'TO HOP NLAN'!F52*'TS-PILE'!$D$84/SUMSQ('TS-PILE'!$D$72:$D$91))),IF('TS-PILE'!$B$85="",-1E+99,'TO HOP NLAN'!D52/ncoc+IF(SUMSQ('TS-PILE'!$E$72:$E$91)=0,0,'TO HOP NLAN'!E52*'TS-PILE'!$E$85/SUMSQ('TS-PILE'!$E$72:$E$91))+IF(SUMSQ('TS-PILE'!$D$72:$D$91)=0,0,'TO HOP NLAN'!F52*'TS-PILE'!$D$85/SUMSQ('TS-PILE'!$D$72:$D$91))),IF('TS-PILE'!$B$86="",-1E+99,'TO HOP NLAN'!D52/ncoc+IF(SUMSQ('TS-PILE'!$E$72:$E$91)=0,0,'TO HOP NLAN'!E52*'TS-PILE'!$E$86/SUMSQ('TS-PILE'!$E$72:$E$91))+IF(SUMSQ('TS-PILE'!$D$72:$D$91)=0,0,'TO HOP NLAN'!F52*'TS-PILE'!$D$86/SUMSQ('TS-PILE'!$D$72:$D$91))),IF('TS-PILE'!$B$87="",-1E+99,'TO HOP NLAN'!D52/ncoc+IF(SUMSQ('TS-PILE'!$E$72:$E$91)=0,0,'TO HOP NLAN'!E52*'TS-PILE'!$E$87/SUMSQ('TS-PILE'!$E$72:$E$91))+IF(SUMSQ('TS-PILE'!$D$72:$D$91)=0,0,'TO HOP NLAN'!F52*'TS-PILE'!$D$87/SUMSQ('TS-PILE'!$D$72:$D$91))),IF('TS-PILE'!$B$88="",-1E+99,'TO HOP NLAN'!D52/ncoc+IF(SUMSQ('TS-PILE'!$E$72:$E$91)=0,0,'TO HOP NLAN'!E52*'TS-PILE'!$E$88/SUMSQ('TS-PILE'!$E$72:$E$91))+IF(SUMSQ('TS-PILE'!$D$72:$D$91)=0,0,'TO HOP NLAN'!F52*'TS-PILE'!$D$88/SUMSQ('TS-PILE'!$D$72:$D$91))),IF('TS-PILE'!$B$89="",-1E+99,'TO HOP NLAN'!D52/ncoc+IF(SUMSQ('TS-PILE'!$E$72:$E$91)=0,0,'TO HOP NLAN'!E52*'TS-PILE'!$E$89/SUMSQ('TS-PILE'!$E$72:$E$91))+IF(SUMSQ('TS-PILE'!$D$72:$D$91)=0,0,'TO HOP NLAN'!F52*'TS-PILE'!$D$89/SUMSQ('TS-PILE'!$D$72:$D$91))),IF('TS-PILE'!$B$90="",-1E+99,'TO HOP NLAN'!D52/ncoc+IF(SUMSQ('TS-PILE'!$E$72:$E$91)=0,0,'TO HOP NLAN'!E52*'TS-PILE'!$E$90/SUMSQ('TS-PILE'!$E$72:$E$91))+IF(SUMSQ('TS-PILE'!$D$72:$D$91)=0,0,'TO HOP NLAN'!F52*'TS-PILE'!$D$90/SUMSQ('TS-PILE'!$D$72:$D$91))),IF('TS-PILE'!$B$91="",-1E+99,'TO HOP NLAN'!D52/ncoc+IF(SUMSQ('TS-PILE'!$E$72:$E$91)=0,0,'TO HOP NLAN'!E52*'TS-PILE'!$E$91/SUMSQ('TS-PILE'!$E$72:$E$91))+IF(SUMSQ('TS-PILE'!$D$72:$D$91)=0,0,'TO HOP NLAN'!F52*'TS-PILE'!$D$91/SUMSQ('TS-PILE'!$D$72:$D$91)))))</f>
        <v>0</v>
      </c>
      <c r="D52" s="58">
        <f>IF(A52="",0,MIN(IF('TS-PILE'!$B$72="",1E+99,'TO HOP NLAN'!D52/ncoc+IF(SUMSQ('TS-PILE'!$E$72:$E$91)=0,0,'TO HOP NLAN'!E52*'TS-PILE'!$E$72/SUMSQ('TS-PILE'!$E$72:$E$91))+IF(SUMSQ('TS-PILE'!$D$72:$D$91)=0,0,'TO HOP NLAN'!F52*'TS-PILE'!$D$72/SUMSQ('TS-PILE'!$D$72:$D$91))),IF('TS-PILE'!$B$73="",1E+99,'TO HOP NLAN'!D52/ncoc+IF(SUMSQ('TS-PILE'!$E$72:$E$91)=0,0,'TO HOP NLAN'!E52*'TS-PILE'!$E$73/SUMSQ('TS-PILE'!$E$72:$E$91))+IF(SUMSQ('TS-PILE'!$D$72:$D$91)=0,0,'TO HOP NLAN'!F52*'TS-PILE'!$D$73/SUMSQ('TS-PILE'!$D$72:$D$91))),IF('TS-PILE'!$B$74="",1E+99,'TO HOP NLAN'!D52/ncoc+IF(SUMSQ('TS-PILE'!$E$72:$E$91)=0,0,'TO HOP NLAN'!E52*'TS-PILE'!$E$74/SUMSQ('TS-PILE'!$E$72:$E$91))+IF(SUMSQ('TS-PILE'!$D$72:$D$91)=0,0,'TO HOP NLAN'!F52*'TS-PILE'!$D$74/SUMSQ('TS-PILE'!$D$72:$D$91))),IF('TS-PILE'!$B$75="",1E+99,'TO HOP NLAN'!D52/ncoc+IF(SUMSQ('TS-PILE'!$E$72:$E$91)=0,0,'TO HOP NLAN'!E52*'TS-PILE'!$E$75/SUMSQ('TS-PILE'!$E$72:$E$91))+IF(SUMSQ('TS-PILE'!$D$72:$D$91)=0,0,'TO HOP NLAN'!F52*'TS-PILE'!$D$75/SUMSQ('TS-PILE'!$D$72:$D$91))),IF('TS-PILE'!$B$76="",1E+99,'TO HOP NLAN'!D52/ncoc+IF(SUMSQ('TS-PILE'!$E$72:$E$91)=0,0,'TO HOP NLAN'!E52*'TS-PILE'!$E$76/SUMSQ('TS-PILE'!$E$72:$E$91))+IF(SUMSQ('TS-PILE'!$D$72:$D$91)=0,0,'TO HOP NLAN'!F52*'TS-PILE'!$D$76/SUMSQ('TS-PILE'!$D$72:$D$91))),IF('TS-PILE'!$B$77="",1E+99,'TO HOP NLAN'!D52/ncoc+IF(SUMSQ('TS-PILE'!$E$72:$E$91)=0,0,'TO HOP NLAN'!E52*'TS-PILE'!$E$77/SUMSQ('TS-PILE'!$E$72:$E$91))+IF(SUMSQ('TS-PILE'!$D$72:$D$91)=0,0,'TO HOP NLAN'!F52*'TS-PILE'!$D$77/SUMSQ('TS-PILE'!$D$72:$D$91))),IF('TS-PILE'!$B$78="",1E+99,'TO HOP NLAN'!D52/ncoc+IF(SUMSQ('TS-PILE'!$E$72:$E$91)=0,0,'TO HOP NLAN'!E52*'TS-PILE'!$E$78/SUMSQ('TS-PILE'!$E$72:$E$91))+IF(SUMSQ('TS-PILE'!$D$72:$D$91)=0,0,'TO HOP NLAN'!F52*'TS-PILE'!$D$78/SUMSQ('TS-PILE'!$D$72:$D$91))),IF('TS-PILE'!$B$79="",1E+99,'TO HOP NLAN'!D52/ncoc+IF(SUMSQ('TS-PILE'!$E$72:$E$91)=0,0,'TO HOP NLAN'!E52*'TS-PILE'!$E$79/SUMSQ('TS-PILE'!$E$72:$E$91))+IF(SUMSQ('TS-PILE'!$D$72:$D$91)=0,0,'TO HOP NLAN'!F52*'TS-PILE'!$D$79/SUMSQ('TS-PILE'!$D$72:$D$91))),IF('TS-PILE'!$B$80="",1E+99,'TO HOP NLAN'!D52/ncoc+IF(SUMSQ('TS-PILE'!$E$72:$E$91)=0,0,'TO HOP NLAN'!E52*'TS-PILE'!$E$80/SUMSQ('TS-PILE'!$E$72:$E$91))+IF(SUMSQ('TS-PILE'!$D$72:$D$91)=0,0,'TO HOP NLAN'!F52*'TS-PILE'!$D$80/SUMSQ('TS-PILE'!$D$72:$D$91))),IF('TS-PILE'!$B$81="",1E+99,'TO HOP NLAN'!D52/ncoc+IF(SUMSQ('TS-PILE'!$E$72:$E$91)=0,0,'TO HOP NLAN'!E52*'TS-PILE'!$E$81/SUMSQ('TS-PILE'!$E$72:$E$91))+IF(SUMSQ('TS-PILE'!$D$72:$D$91)=0,0,'TO HOP NLAN'!F52*'TS-PILE'!$D$81/SUMSQ('TS-PILE'!$D$72:$D$91))),IF('TS-PILE'!$B$82="",1E+99,'TO HOP NLAN'!D52/ncoc+IF(SUMSQ('TS-PILE'!$E$72:$E$91)=0,0,'TO HOP NLAN'!E52*'TS-PILE'!$E$82/SUMSQ('TS-PILE'!$E$72:$E$91))+IF(SUMSQ('TS-PILE'!$D$72:$D$91)=0,0,'TO HOP NLAN'!F52*'TS-PILE'!$D$82/SUMSQ('TS-PILE'!$D$72:$D$91))),IF('TS-PILE'!$B$83="",1E+99,'TO HOP NLAN'!D52/ncoc+IF(SUMSQ('TS-PILE'!$E$72:$E$91)=0,0,'TO HOP NLAN'!E52*'TS-PILE'!$E$83/SUMSQ('TS-PILE'!$E$72:$E$91))+IF(SUMSQ('TS-PILE'!$D$72:$D$91)=0,0,'TO HOP NLAN'!F52*'TS-PILE'!$D$83/SUMSQ('TS-PILE'!$D$72:$D$91))),IF('TS-PILE'!$B$84="",1E+99,'TO HOP NLAN'!D52/ncoc+IF(SUMSQ('TS-PILE'!$E$72:$E$91)=0,0,'TO HOP NLAN'!E52*'TS-PILE'!$E$84/SUMSQ('TS-PILE'!$E$72:$E$91))+IF(SUMSQ('TS-PILE'!$D$72:$D$91)=0,0,'TO HOP NLAN'!F52*'TS-PILE'!$D$84/SUMSQ('TS-PILE'!$D$72:$D$91))),IF('TS-PILE'!$B$85="",1E+99,'TO HOP NLAN'!D52/ncoc+IF(SUMSQ('TS-PILE'!$E$72:$E$91)=0,0,'TO HOP NLAN'!E52*'TS-PILE'!$E$85/SUMSQ('TS-PILE'!$E$72:$E$91))+IF(SUMSQ('TS-PILE'!$D$72:$D$91)=0,0,'TO HOP NLAN'!F52*'TS-PILE'!$D$85/SUMSQ('TS-PILE'!$D$72:$D$91))),IF('TS-PILE'!$B$86="",1E+99,'TO HOP NLAN'!D52/ncoc+IF(SUMSQ('TS-PILE'!$E$72:$E$91)=0,0,'TO HOP NLAN'!E52*'TS-PILE'!$E$86/SUMSQ('TS-PILE'!$E$72:$E$91))+IF(SUMSQ('TS-PILE'!$D$72:$D$91)=0,0,'TO HOP NLAN'!F52*'TS-PILE'!$D$86/SUMSQ('TS-PILE'!$D$72:$D$91))),IF('TS-PILE'!$B$87="",1E+99,'TO HOP NLAN'!D52/ncoc+IF(SUMSQ('TS-PILE'!$E$72:$E$91)=0,0,'TO HOP NLAN'!E52*'TS-PILE'!$E$87/SUMSQ('TS-PILE'!$E$72:$E$91))+IF(SUMSQ('TS-PILE'!$D$72:$D$91)=0,0,'TO HOP NLAN'!F52*'TS-PILE'!$D$87/SUMSQ('TS-PILE'!$D$72:$D$91))),IF('TS-PILE'!$B$88="",1E+99,'TO HOP NLAN'!D52/ncoc+IF(SUMSQ('TS-PILE'!$E$72:$E$91)=0,0,'TO HOP NLAN'!E52*'TS-PILE'!$E$88/SUMSQ('TS-PILE'!$E$72:$E$91))+IF(SUMSQ('TS-PILE'!$D$72:$D$91)=0,0,'TO HOP NLAN'!F52*'TS-PILE'!$D$88/SUMSQ('TS-PILE'!$D$72:$D$91))),IF('TS-PILE'!$B$89="",1E+99,'TO HOP NLAN'!D52/ncoc+IF(SUMSQ('TS-PILE'!$E$72:$E$91)=0,0,'TO HOP NLAN'!E52*'TS-PILE'!$E$89/SUMSQ('TS-PILE'!$E$72:$E$91))+IF(SUMSQ('TS-PILE'!$D$72:$D$91)=0,0,'TO HOP NLAN'!F52*'TS-PILE'!$D$89/SUMSQ('TS-PILE'!$D$72:$D$91))),IF('TS-PILE'!$B$90="",1E+99,'TO HOP NLAN'!D52/ncoc+IF(SUMSQ('TS-PILE'!$E$72:$E$91)=0,0,'TO HOP NLAN'!E52*'TS-PILE'!$E$90/SUMSQ('TS-PILE'!$E$72:$E$91))+IF(SUMSQ('TS-PILE'!$D$72:$D$91)=0,0,'TO HOP NLAN'!F52*'TS-PILE'!$D$90/SUMSQ('TS-PILE'!$D$72:$D$91))),IF('TS-PILE'!$B$91="",1E+99,'TO HOP NLAN'!D52/ncoc+IF(SUMSQ('TS-PILE'!$E$72:$E$91)=0,0,'TO HOP NLAN'!E52*'TS-PILE'!$E$91/SUMSQ('TS-PILE'!$E$72:$E$91))+IF(SUMSQ('TS-PILE'!$D$72:$D$91)=0,0,'TO HOP NLAN'!F52*'TS-PILE'!$D$91/SUMSQ('TS-PILE'!$D$72:$D$91)))))</f>
        <v>0</v>
      </c>
      <c r="E52" s="58">
        <f t="shared" si="0"/>
        <v>-9.9999999999999997E+98</v>
      </c>
      <c r="F52" s="58">
        <f t="shared" si="1"/>
        <v>9.9999999999999997E+98</v>
      </c>
      <c r="G52" s="58">
        <f t="shared" si="2"/>
        <v>-9.9999999999999997E+98</v>
      </c>
      <c r="H52" s="58">
        <f t="shared" si="3"/>
        <v>9.9999999999999997E+98</v>
      </c>
    </row>
    <row r="53" spans="1:8" x14ac:dyDescent="0.3">
      <c r="A53" s="42" t="str">
        <f>'TO HOP NLAN'!A53</f>
        <v/>
      </c>
      <c r="B53" s="42" t="str">
        <f>'TO HOP NLAN'!L53</f>
        <v>SERVICE</v>
      </c>
      <c r="C53" s="58">
        <f>IF(A53="",0,MAX(IF('TS-PILE'!$B$72="",-1E+99,'TO HOP NLAN'!D53/ncoc+IF(SUMSQ('TS-PILE'!$E$72:$E$91)=0,0,'TO HOP NLAN'!E53*'TS-PILE'!$E$72/SUMSQ('TS-PILE'!$E$72:$E$91))+IF(SUMSQ('TS-PILE'!$D$72:$D$91)=0,0,'TO HOP NLAN'!F53*'TS-PILE'!$D$72/SUMSQ('TS-PILE'!$D$72:$D$91))),IF('TS-PILE'!$B$73="",-1E+99,'TO HOP NLAN'!D53/ncoc+IF(SUMSQ('TS-PILE'!$E$72:$E$91)=0,0,'TO HOP NLAN'!E53*'TS-PILE'!$E$73/SUMSQ('TS-PILE'!$E$72:$E$91))+IF(SUMSQ('TS-PILE'!$D$72:$D$91)=0,0,'TO HOP NLAN'!F53*'TS-PILE'!$D$73/SUMSQ('TS-PILE'!$D$72:$D$91))),IF('TS-PILE'!$B$74="",-1E+99,'TO HOP NLAN'!D53/ncoc+IF(SUMSQ('TS-PILE'!$E$72:$E$91)=0,0,'TO HOP NLAN'!E53*'TS-PILE'!$E$74/SUMSQ('TS-PILE'!$E$72:$E$91))+IF(SUMSQ('TS-PILE'!$D$72:$D$91)=0,0,'TO HOP NLAN'!F53*'TS-PILE'!$D$74/SUMSQ('TS-PILE'!$D$72:$D$91))),IF('TS-PILE'!$B$75="",-1E+99,'TO HOP NLAN'!D53/ncoc+IF(SUMSQ('TS-PILE'!$E$72:$E$91)=0,0,'TO HOP NLAN'!E53*'TS-PILE'!$E$75/SUMSQ('TS-PILE'!$E$72:$E$91))+IF(SUMSQ('TS-PILE'!$D$72:$D$91)=0,0,'TO HOP NLAN'!F53*'TS-PILE'!$D$75/SUMSQ('TS-PILE'!$D$72:$D$91))),IF('TS-PILE'!$B$76="",-1E+99,'TO HOP NLAN'!D53/ncoc+IF(SUMSQ('TS-PILE'!$E$72:$E$91)=0,0,'TO HOP NLAN'!E53*'TS-PILE'!$E$76/SUMSQ('TS-PILE'!$E$72:$E$91))+IF(SUMSQ('TS-PILE'!$D$72:$D$91)=0,0,'TO HOP NLAN'!F53*'TS-PILE'!$D$76/SUMSQ('TS-PILE'!$D$72:$D$91))),IF('TS-PILE'!$B$77="",-1E+99,'TO HOP NLAN'!D53/ncoc+IF(SUMSQ('TS-PILE'!$E$72:$E$91)=0,0,'TO HOP NLAN'!E53*'TS-PILE'!$E$77/SUMSQ('TS-PILE'!$E$72:$E$91))+IF(SUMSQ('TS-PILE'!$D$72:$D$91)=0,0,'TO HOP NLAN'!F53*'TS-PILE'!$D$77/SUMSQ('TS-PILE'!$D$72:$D$91))),IF('TS-PILE'!$B$78="",-1E+99,'TO HOP NLAN'!D53/ncoc+IF(SUMSQ('TS-PILE'!$E$72:$E$91)=0,0,'TO HOP NLAN'!E53*'TS-PILE'!$E$78/SUMSQ('TS-PILE'!$E$72:$E$91))+IF(SUMSQ('TS-PILE'!$D$72:$D$91)=0,0,'TO HOP NLAN'!F53*'TS-PILE'!$D$78/SUMSQ('TS-PILE'!$D$72:$D$91))),IF('TS-PILE'!$B$79="",-1E+99,'TO HOP NLAN'!D53/ncoc+IF(SUMSQ('TS-PILE'!$E$72:$E$91)=0,0,'TO HOP NLAN'!E53*'TS-PILE'!$E$79/SUMSQ('TS-PILE'!$E$72:$E$91))+IF(SUMSQ('TS-PILE'!$D$72:$D$91)=0,0,'TO HOP NLAN'!F53*'TS-PILE'!$D$79/SUMSQ('TS-PILE'!$D$72:$D$91))),IF('TS-PILE'!$B$80="",-1E+99,'TO HOP NLAN'!D53/ncoc+IF(SUMSQ('TS-PILE'!$E$72:$E$91)=0,0,'TO HOP NLAN'!E53*'TS-PILE'!$E$80/SUMSQ('TS-PILE'!$E$72:$E$91))+IF(SUMSQ('TS-PILE'!$D$72:$D$91)=0,0,'TO HOP NLAN'!F53*'TS-PILE'!$D$80/SUMSQ('TS-PILE'!$D$72:$D$91))),IF('TS-PILE'!$B$81="",-1E+99,'TO HOP NLAN'!D53/ncoc+IF(SUMSQ('TS-PILE'!$E$72:$E$91)=0,0,'TO HOP NLAN'!E53*'TS-PILE'!$E$81/SUMSQ('TS-PILE'!$E$72:$E$91))+IF(SUMSQ('TS-PILE'!$D$72:$D$91)=0,0,'TO HOP NLAN'!F53*'TS-PILE'!$D$81/SUMSQ('TS-PILE'!$D$72:$D$91))),IF('TS-PILE'!$B$82="",-1E+99,'TO HOP NLAN'!D53/ncoc+IF(SUMSQ('TS-PILE'!$E$72:$E$91)=0,0,'TO HOP NLAN'!E53*'TS-PILE'!$E$82/SUMSQ('TS-PILE'!$E$72:$E$91))+IF(SUMSQ('TS-PILE'!$D$72:$D$91)=0,0,'TO HOP NLAN'!F53*'TS-PILE'!$D$82/SUMSQ('TS-PILE'!$D$72:$D$91))),IF('TS-PILE'!$B$83="",-1E+99,'TO HOP NLAN'!D53/ncoc+IF(SUMSQ('TS-PILE'!$E$72:$E$91)=0,0,'TO HOP NLAN'!E53*'TS-PILE'!$E$83/SUMSQ('TS-PILE'!$E$72:$E$91))+IF(SUMSQ('TS-PILE'!$D$72:$D$91)=0,0,'TO HOP NLAN'!F53*'TS-PILE'!$D$83/SUMSQ('TS-PILE'!$D$72:$D$91))),IF('TS-PILE'!$B$84="",-1E+99,'TO HOP NLAN'!D53/ncoc+IF(SUMSQ('TS-PILE'!$E$72:$E$91)=0,0,'TO HOP NLAN'!E53*'TS-PILE'!$E$84/SUMSQ('TS-PILE'!$E$72:$E$91))+IF(SUMSQ('TS-PILE'!$D$72:$D$91)=0,0,'TO HOP NLAN'!F53*'TS-PILE'!$D$84/SUMSQ('TS-PILE'!$D$72:$D$91))),IF('TS-PILE'!$B$85="",-1E+99,'TO HOP NLAN'!D53/ncoc+IF(SUMSQ('TS-PILE'!$E$72:$E$91)=0,0,'TO HOP NLAN'!E53*'TS-PILE'!$E$85/SUMSQ('TS-PILE'!$E$72:$E$91))+IF(SUMSQ('TS-PILE'!$D$72:$D$91)=0,0,'TO HOP NLAN'!F53*'TS-PILE'!$D$85/SUMSQ('TS-PILE'!$D$72:$D$91))),IF('TS-PILE'!$B$86="",-1E+99,'TO HOP NLAN'!D53/ncoc+IF(SUMSQ('TS-PILE'!$E$72:$E$91)=0,0,'TO HOP NLAN'!E53*'TS-PILE'!$E$86/SUMSQ('TS-PILE'!$E$72:$E$91))+IF(SUMSQ('TS-PILE'!$D$72:$D$91)=0,0,'TO HOP NLAN'!F53*'TS-PILE'!$D$86/SUMSQ('TS-PILE'!$D$72:$D$91))),IF('TS-PILE'!$B$87="",-1E+99,'TO HOP NLAN'!D53/ncoc+IF(SUMSQ('TS-PILE'!$E$72:$E$91)=0,0,'TO HOP NLAN'!E53*'TS-PILE'!$E$87/SUMSQ('TS-PILE'!$E$72:$E$91))+IF(SUMSQ('TS-PILE'!$D$72:$D$91)=0,0,'TO HOP NLAN'!F53*'TS-PILE'!$D$87/SUMSQ('TS-PILE'!$D$72:$D$91))),IF('TS-PILE'!$B$88="",-1E+99,'TO HOP NLAN'!D53/ncoc+IF(SUMSQ('TS-PILE'!$E$72:$E$91)=0,0,'TO HOP NLAN'!E53*'TS-PILE'!$E$88/SUMSQ('TS-PILE'!$E$72:$E$91))+IF(SUMSQ('TS-PILE'!$D$72:$D$91)=0,0,'TO HOP NLAN'!F53*'TS-PILE'!$D$88/SUMSQ('TS-PILE'!$D$72:$D$91))),IF('TS-PILE'!$B$89="",-1E+99,'TO HOP NLAN'!D53/ncoc+IF(SUMSQ('TS-PILE'!$E$72:$E$91)=0,0,'TO HOP NLAN'!E53*'TS-PILE'!$E$89/SUMSQ('TS-PILE'!$E$72:$E$91))+IF(SUMSQ('TS-PILE'!$D$72:$D$91)=0,0,'TO HOP NLAN'!F53*'TS-PILE'!$D$89/SUMSQ('TS-PILE'!$D$72:$D$91))),IF('TS-PILE'!$B$90="",-1E+99,'TO HOP NLAN'!D53/ncoc+IF(SUMSQ('TS-PILE'!$E$72:$E$91)=0,0,'TO HOP NLAN'!E53*'TS-PILE'!$E$90/SUMSQ('TS-PILE'!$E$72:$E$91))+IF(SUMSQ('TS-PILE'!$D$72:$D$91)=0,0,'TO HOP NLAN'!F53*'TS-PILE'!$D$90/SUMSQ('TS-PILE'!$D$72:$D$91))),IF('TS-PILE'!$B$91="",-1E+99,'TO HOP NLAN'!D53/ncoc+IF(SUMSQ('TS-PILE'!$E$72:$E$91)=0,0,'TO HOP NLAN'!E53*'TS-PILE'!$E$91/SUMSQ('TS-PILE'!$E$72:$E$91))+IF(SUMSQ('TS-PILE'!$D$72:$D$91)=0,0,'TO HOP NLAN'!F53*'TS-PILE'!$D$91/SUMSQ('TS-PILE'!$D$72:$D$91)))))</f>
        <v>0</v>
      </c>
      <c r="D53" s="58">
        <f>IF(A53="",0,MIN(IF('TS-PILE'!$B$72="",1E+99,'TO HOP NLAN'!D53/ncoc+IF(SUMSQ('TS-PILE'!$E$72:$E$91)=0,0,'TO HOP NLAN'!E53*'TS-PILE'!$E$72/SUMSQ('TS-PILE'!$E$72:$E$91))+IF(SUMSQ('TS-PILE'!$D$72:$D$91)=0,0,'TO HOP NLAN'!F53*'TS-PILE'!$D$72/SUMSQ('TS-PILE'!$D$72:$D$91))),IF('TS-PILE'!$B$73="",1E+99,'TO HOP NLAN'!D53/ncoc+IF(SUMSQ('TS-PILE'!$E$72:$E$91)=0,0,'TO HOP NLAN'!E53*'TS-PILE'!$E$73/SUMSQ('TS-PILE'!$E$72:$E$91))+IF(SUMSQ('TS-PILE'!$D$72:$D$91)=0,0,'TO HOP NLAN'!F53*'TS-PILE'!$D$73/SUMSQ('TS-PILE'!$D$72:$D$91))),IF('TS-PILE'!$B$74="",1E+99,'TO HOP NLAN'!D53/ncoc+IF(SUMSQ('TS-PILE'!$E$72:$E$91)=0,0,'TO HOP NLAN'!E53*'TS-PILE'!$E$74/SUMSQ('TS-PILE'!$E$72:$E$91))+IF(SUMSQ('TS-PILE'!$D$72:$D$91)=0,0,'TO HOP NLAN'!F53*'TS-PILE'!$D$74/SUMSQ('TS-PILE'!$D$72:$D$91))),IF('TS-PILE'!$B$75="",1E+99,'TO HOP NLAN'!D53/ncoc+IF(SUMSQ('TS-PILE'!$E$72:$E$91)=0,0,'TO HOP NLAN'!E53*'TS-PILE'!$E$75/SUMSQ('TS-PILE'!$E$72:$E$91))+IF(SUMSQ('TS-PILE'!$D$72:$D$91)=0,0,'TO HOP NLAN'!F53*'TS-PILE'!$D$75/SUMSQ('TS-PILE'!$D$72:$D$91))),IF('TS-PILE'!$B$76="",1E+99,'TO HOP NLAN'!D53/ncoc+IF(SUMSQ('TS-PILE'!$E$72:$E$91)=0,0,'TO HOP NLAN'!E53*'TS-PILE'!$E$76/SUMSQ('TS-PILE'!$E$72:$E$91))+IF(SUMSQ('TS-PILE'!$D$72:$D$91)=0,0,'TO HOP NLAN'!F53*'TS-PILE'!$D$76/SUMSQ('TS-PILE'!$D$72:$D$91))),IF('TS-PILE'!$B$77="",1E+99,'TO HOP NLAN'!D53/ncoc+IF(SUMSQ('TS-PILE'!$E$72:$E$91)=0,0,'TO HOP NLAN'!E53*'TS-PILE'!$E$77/SUMSQ('TS-PILE'!$E$72:$E$91))+IF(SUMSQ('TS-PILE'!$D$72:$D$91)=0,0,'TO HOP NLAN'!F53*'TS-PILE'!$D$77/SUMSQ('TS-PILE'!$D$72:$D$91))),IF('TS-PILE'!$B$78="",1E+99,'TO HOP NLAN'!D53/ncoc+IF(SUMSQ('TS-PILE'!$E$72:$E$91)=0,0,'TO HOP NLAN'!E53*'TS-PILE'!$E$78/SUMSQ('TS-PILE'!$E$72:$E$91))+IF(SUMSQ('TS-PILE'!$D$72:$D$91)=0,0,'TO HOP NLAN'!F53*'TS-PILE'!$D$78/SUMSQ('TS-PILE'!$D$72:$D$91))),IF('TS-PILE'!$B$79="",1E+99,'TO HOP NLAN'!D53/ncoc+IF(SUMSQ('TS-PILE'!$E$72:$E$91)=0,0,'TO HOP NLAN'!E53*'TS-PILE'!$E$79/SUMSQ('TS-PILE'!$E$72:$E$91))+IF(SUMSQ('TS-PILE'!$D$72:$D$91)=0,0,'TO HOP NLAN'!F53*'TS-PILE'!$D$79/SUMSQ('TS-PILE'!$D$72:$D$91))),IF('TS-PILE'!$B$80="",1E+99,'TO HOP NLAN'!D53/ncoc+IF(SUMSQ('TS-PILE'!$E$72:$E$91)=0,0,'TO HOP NLAN'!E53*'TS-PILE'!$E$80/SUMSQ('TS-PILE'!$E$72:$E$91))+IF(SUMSQ('TS-PILE'!$D$72:$D$91)=0,0,'TO HOP NLAN'!F53*'TS-PILE'!$D$80/SUMSQ('TS-PILE'!$D$72:$D$91))),IF('TS-PILE'!$B$81="",1E+99,'TO HOP NLAN'!D53/ncoc+IF(SUMSQ('TS-PILE'!$E$72:$E$91)=0,0,'TO HOP NLAN'!E53*'TS-PILE'!$E$81/SUMSQ('TS-PILE'!$E$72:$E$91))+IF(SUMSQ('TS-PILE'!$D$72:$D$91)=0,0,'TO HOP NLAN'!F53*'TS-PILE'!$D$81/SUMSQ('TS-PILE'!$D$72:$D$91))),IF('TS-PILE'!$B$82="",1E+99,'TO HOP NLAN'!D53/ncoc+IF(SUMSQ('TS-PILE'!$E$72:$E$91)=0,0,'TO HOP NLAN'!E53*'TS-PILE'!$E$82/SUMSQ('TS-PILE'!$E$72:$E$91))+IF(SUMSQ('TS-PILE'!$D$72:$D$91)=0,0,'TO HOP NLAN'!F53*'TS-PILE'!$D$82/SUMSQ('TS-PILE'!$D$72:$D$91))),IF('TS-PILE'!$B$83="",1E+99,'TO HOP NLAN'!D53/ncoc+IF(SUMSQ('TS-PILE'!$E$72:$E$91)=0,0,'TO HOP NLAN'!E53*'TS-PILE'!$E$83/SUMSQ('TS-PILE'!$E$72:$E$91))+IF(SUMSQ('TS-PILE'!$D$72:$D$91)=0,0,'TO HOP NLAN'!F53*'TS-PILE'!$D$83/SUMSQ('TS-PILE'!$D$72:$D$91))),IF('TS-PILE'!$B$84="",1E+99,'TO HOP NLAN'!D53/ncoc+IF(SUMSQ('TS-PILE'!$E$72:$E$91)=0,0,'TO HOP NLAN'!E53*'TS-PILE'!$E$84/SUMSQ('TS-PILE'!$E$72:$E$91))+IF(SUMSQ('TS-PILE'!$D$72:$D$91)=0,0,'TO HOP NLAN'!F53*'TS-PILE'!$D$84/SUMSQ('TS-PILE'!$D$72:$D$91))),IF('TS-PILE'!$B$85="",1E+99,'TO HOP NLAN'!D53/ncoc+IF(SUMSQ('TS-PILE'!$E$72:$E$91)=0,0,'TO HOP NLAN'!E53*'TS-PILE'!$E$85/SUMSQ('TS-PILE'!$E$72:$E$91))+IF(SUMSQ('TS-PILE'!$D$72:$D$91)=0,0,'TO HOP NLAN'!F53*'TS-PILE'!$D$85/SUMSQ('TS-PILE'!$D$72:$D$91))),IF('TS-PILE'!$B$86="",1E+99,'TO HOP NLAN'!D53/ncoc+IF(SUMSQ('TS-PILE'!$E$72:$E$91)=0,0,'TO HOP NLAN'!E53*'TS-PILE'!$E$86/SUMSQ('TS-PILE'!$E$72:$E$91))+IF(SUMSQ('TS-PILE'!$D$72:$D$91)=0,0,'TO HOP NLAN'!F53*'TS-PILE'!$D$86/SUMSQ('TS-PILE'!$D$72:$D$91))),IF('TS-PILE'!$B$87="",1E+99,'TO HOP NLAN'!D53/ncoc+IF(SUMSQ('TS-PILE'!$E$72:$E$91)=0,0,'TO HOP NLAN'!E53*'TS-PILE'!$E$87/SUMSQ('TS-PILE'!$E$72:$E$91))+IF(SUMSQ('TS-PILE'!$D$72:$D$91)=0,0,'TO HOP NLAN'!F53*'TS-PILE'!$D$87/SUMSQ('TS-PILE'!$D$72:$D$91))),IF('TS-PILE'!$B$88="",1E+99,'TO HOP NLAN'!D53/ncoc+IF(SUMSQ('TS-PILE'!$E$72:$E$91)=0,0,'TO HOP NLAN'!E53*'TS-PILE'!$E$88/SUMSQ('TS-PILE'!$E$72:$E$91))+IF(SUMSQ('TS-PILE'!$D$72:$D$91)=0,0,'TO HOP NLAN'!F53*'TS-PILE'!$D$88/SUMSQ('TS-PILE'!$D$72:$D$91))),IF('TS-PILE'!$B$89="",1E+99,'TO HOP NLAN'!D53/ncoc+IF(SUMSQ('TS-PILE'!$E$72:$E$91)=0,0,'TO HOP NLAN'!E53*'TS-PILE'!$E$89/SUMSQ('TS-PILE'!$E$72:$E$91))+IF(SUMSQ('TS-PILE'!$D$72:$D$91)=0,0,'TO HOP NLAN'!F53*'TS-PILE'!$D$89/SUMSQ('TS-PILE'!$D$72:$D$91))),IF('TS-PILE'!$B$90="",1E+99,'TO HOP NLAN'!D53/ncoc+IF(SUMSQ('TS-PILE'!$E$72:$E$91)=0,0,'TO HOP NLAN'!E53*'TS-PILE'!$E$90/SUMSQ('TS-PILE'!$E$72:$E$91))+IF(SUMSQ('TS-PILE'!$D$72:$D$91)=0,0,'TO HOP NLAN'!F53*'TS-PILE'!$D$90/SUMSQ('TS-PILE'!$D$72:$D$91))),IF('TS-PILE'!$B$91="",1E+99,'TO HOP NLAN'!D53/ncoc+IF(SUMSQ('TS-PILE'!$E$72:$E$91)=0,0,'TO HOP NLAN'!E53*'TS-PILE'!$E$91/SUMSQ('TS-PILE'!$E$72:$E$91))+IF(SUMSQ('TS-PILE'!$D$72:$D$91)=0,0,'TO HOP NLAN'!F53*'TS-PILE'!$D$91/SUMSQ('TS-PILE'!$D$72:$D$91)))))</f>
        <v>0</v>
      </c>
      <c r="E53" s="58">
        <f t="shared" si="0"/>
        <v>-9.9999999999999997E+98</v>
      </c>
      <c r="F53" s="58">
        <f t="shared" si="1"/>
        <v>9.9999999999999997E+98</v>
      </c>
      <c r="G53" s="58">
        <f t="shared" si="2"/>
        <v>-9.9999999999999997E+98</v>
      </c>
      <c r="H53" s="58">
        <f t="shared" si="3"/>
        <v>9.9999999999999997E+98</v>
      </c>
    </row>
    <row r="54" spans="1:8" x14ac:dyDescent="0.3">
      <c r="A54" s="42" t="str">
        <f>'TO HOP NLAN'!A54</f>
        <v/>
      </c>
      <c r="B54" s="42" t="str">
        <f>'TO HOP NLAN'!L54</f>
        <v>SERVICE</v>
      </c>
      <c r="C54" s="58">
        <f>IF(A54="",0,MAX(IF('TS-PILE'!$B$72="",-1E+99,'TO HOP NLAN'!D54/ncoc+IF(SUMSQ('TS-PILE'!$E$72:$E$91)=0,0,'TO HOP NLAN'!E54*'TS-PILE'!$E$72/SUMSQ('TS-PILE'!$E$72:$E$91))+IF(SUMSQ('TS-PILE'!$D$72:$D$91)=0,0,'TO HOP NLAN'!F54*'TS-PILE'!$D$72/SUMSQ('TS-PILE'!$D$72:$D$91))),IF('TS-PILE'!$B$73="",-1E+99,'TO HOP NLAN'!D54/ncoc+IF(SUMSQ('TS-PILE'!$E$72:$E$91)=0,0,'TO HOP NLAN'!E54*'TS-PILE'!$E$73/SUMSQ('TS-PILE'!$E$72:$E$91))+IF(SUMSQ('TS-PILE'!$D$72:$D$91)=0,0,'TO HOP NLAN'!F54*'TS-PILE'!$D$73/SUMSQ('TS-PILE'!$D$72:$D$91))),IF('TS-PILE'!$B$74="",-1E+99,'TO HOP NLAN'!D54/ncoc+IF(SUMSQ('TS-PILE'!$E$72:$E$91)=0,0,'TO HOP NLAN'!E54*'TS-PILE'!$E$74/SUMSQ('TS-PILE'!$E$72:$E$91))+IF(SUMSQ('TS-PILE'!$D$72:$D$91)=0,0,'TO HOP NLAN'!F54*'TS-PILE'!$D$74/SUMSQ('TS-PILE'!$D$72:$D$91))),IF('TS-PILE'!$B$75="",-1E+99,'TO HOP NLAN'!D54/ncoc+IF(SUMSQ('TS-PILE'!$E$72:$E$91)=0,0,'TO HOP NLAN'!E54*'TS-PILE'!$E$75/SUMSQ('TS-PILE'!$E$72:$E$91))+IF(SUMSQ('TS-PILE'!$D$72:$D$91)=0,0,'TO HOP NLAN'!F54*'TS-PILE'!$D$75/SUMSQ('TS-PILE'!$D$72:$D$91))),IF('TS-PILE'!$B$76="",-1E+99,'TO HOP NLAN'!D54/ncoc+IF(SUMSQ('TS-PILE'!$E$72:$E$91)=0,0,'TO HOP NLAN'!E54*'TS-PILE'!$E$76/SUMSQ('TS-PILE'!$E$72:$E$91))+IF(SUMSQ('TS-PILE'!$D$72:$D$91)=0,0,'TO HOP NLAN'!F54*'TS-PILE'!$D$76/SUMSQ('TS-PILE'!$D$72:$D$91))),IF('TS-PILE'!$B$77="",-1E+99,'TO HOP NLAN'!D54/ncoc+IF(SUMSQ('TS-PILE'!$E$72:$E$91)=0,0,'TO HOP NLAN'!E54*'TS-PILE'!$E$77/SUMSQ('TS-PILE'!$E$72:$E$91))+IF(SUMSQ('TS-PILE'!$D$72:$D$91)=0,0,'TO HOP NLAN'!F54*'TS-PILE'!$D$77/SUMSQ('TS-PILE'!$D$72:$D$91))),IF('TS-PILE'!$B$78="",-1E+99,'TO HOP NLAN'!D54/ncoc+IF(SUMSQ('TS-PILE'!$E$72:$E$91)=0,0,'TO HOP NLAN'!E54*'TS-PILE'!$E$78/SUMSQ('TS-PILE'!$E$72:$E$91))+IF(SUMSQ('TS-PILE'!$D$72:$D$91)=0,0,'TO HOP NLAN'!F54*'TS-PILE'!$D$78/SUMSQ('TS-PILE'!$D$72:$D$91))),IF('TS-PILE'!$B$79="",-1E+99,'TO HOP NLAN'!D54/ncoc+IF(SUMSQ('TS-PILE'!$E$72:$E$91)=0,0,'TO HOP NLAN'!E54*'TS-PILE'!$E$79/SUMSQ('TS-PILE'!$E$72:$E$91))+IF(SUMSQ('TS-PILE'!$D$72:$D$91)=0,0,'TO HOP NLAN'!F54*'TS-PILE'!$D$79/SUMSQ('TS-PILE'!$D$72:$D$91))),IF('TS-PILE'!$B$80="",-1E+99,'TO HOP NLAN'!D54/ncoc+IF(SUMSQ('TS-PILE'!$E$72:$E$91)=0,0,'TO HOP NLAN'!E54*'TS-PILE'!$E$80/SUMSQ('TS-PILE'!$E$72:$E$91))+IF(SUMSQ('TS-PILE'!$D$72:$D$91)=0,0,'TO HOP NLAN'!F54*'TS-PILE'!$D$80/SUMSQ('TS-PILE'!$D$72:$D$91))),IF('TS-PILE'!$B$81="",-1E+99,'TO HOP NLAN'!D54/ncoc+IF(SUMSQ('TS-PILE'!$E$72:$E$91)=0,0,'TO HOP NLAN'!E54*'TS-PILE'!$E$81/SUMSQ('TS-PILE'!$E$72:$E$91))+IF(SUMSQ('TS-PILE'!$D$72:$D$91)=0,0,'TO HOP NLAN'!F54*'TS-PILE'!$D$81/SUMSQ('TS-PILE'!$D$72:$D$91))),IF('TS-PILE'!$B$82="",-1E+99,'TO HOP NLAN'!D54/ncoc+IF(SUMSQ('TS-PILE'!$E$72:$E$91)=0,0,'TO HOP NLAN'!E54*'TS-PILE'!$E$82/SUMSQ('TS-PILE'!$E$72:$E$91))+IF(SUMSQ('TS-PILE'!$D$72:$D$91)=0,0,'TO HOP NLAN'!F54*'TS-PILE'!$D$82/SUMSQ('TS-PILE'!$D$72:$D$91))),IF('TS-PILE'!$B$83="",-1E+99,'TO HOP NLAN'!D54/ncoc+IF(SUMSQ('TS-PILE'!$E$72:$E$91)=0,0,'TO HOP NLAN'!E54*'TS-PILE'!$E$83/SUMSQ('TS-PILE'!$E$72:$E$91))+IF(SUMSQ('TS-PILE'!$D$72:$D$91)=0,0,'TO HOP NLAN'!F54*'TS-PILE'!$D$83/SUMSQ('TS-PILE'!$D$72:$D$91))),IF('TS-PILE'!$B$84="",-1E+99,'TO HOP NLAN'!D54/ncoc+IF(SUMSQ('TS-PILE'!$E$72:$E$91)=0,0,'TO HOP NLAN'!E54*'TS-PILE'!$E$84/SUMSQ('TS-PILE'!$E$72:$E$91))+IF(SUMSQ('TS-PILE'!$D$72:$D$91)=0,0,'TO HOP NLAN'!F54*'TS-PILE'!$D$84/SUMSQ('TS-PILE'!$D$72:$D$91))),IF('TS-PILE'!$B$85="",-1E+99,'TO HOP NLAN'!D54/ncoc+IF(SUMSQ('TS-PILE'!$E$72:$E$91)=0,0,'TO HOP NLAN'!E54*'TS-PILE'!$E$85/SUMSQ('TS-PILE'!$E$72:$E$91))+IF(SUMSQ('TS-PILE'!$D$72:$D$91)=0,0,'TO HOP NLAN'!F54*'TS-PILE'!$D$85/SUMSQ('TS-PILE'!$D$72:$D$91))),IF('TS-PILE'!$B$86="",-1E+99,'TO HOP NLAN'!D54/ncoc+IF(SUMSQ('TS-PILE'!$E$72:$E$91)=0,0,'TO HOP NLAN'!E54*'TS-PILE'!$E$86/SUMSQ('TS-PILE'!$E$72:$E$91))+IF(SUMSQ('TS-PILE'!$D$72:$D$91)=0,0,'TO HOP NLAN'!F54*'TS-PILE'!$D$86/SUMSQ('TS-PILE'!$D$72:$D$91))),IF('TS-PILE'!$B$87="",-1E+99,'TO HOP NLAN'!D54/ncoc+IF(SUMSQ('TS-PILE'!$E$72:$E$91)=0,0,'TO HOP NLAN'!E54*'TS-PILE'!$E$87/SUMSQ('TS-PILE'!$E$72:$E$91))+IF(SUMSQ('TS-PILE'!$D$72:$D$91)=0,0,'TO HOP NLAN'!F54*'TS-PILE'!$D$87/SUMSQ('TS-PILE'!$D$72:$D$91))),IF('TS-PILE'!$B$88="",-1E+99,'TO HOP NLAN'!D54/ncoc+IF(SUMSQ('TS-PILE'!$E$72:$E$91)=0,0,'TO HOP NLAN'!E54*'TS-PILE'!$E$88/SUMSQ('TS-PILE'!$E$72:$E$91))+IF(SUMSQ('TS-PILE'!$D$72:$D$91)=0,0,'TO HOP NLAN'!F54*'TS-PILE'!$D$88/SUMSQ('TS-PILE'!$D$72:$D$91))),IF('TS-PILE'!$B$89="",-1E+99,'TO HOP NLAN'!D54/ncoc+IF(SUMSQ('TS-PILE'!$E$72:$E$91)=0,0,'TO HOP NLAN'!E54*'TS-PILE'!$E$89/SUMSQ('TS-PILE'!$E$72:$E$91))+IF(SUMSQ('TS-PILE'!$D$72:$D$91)=0,0,'TO HOP NLAN'!F54*'TS-PILE'!$D$89/SUMSQ('TS-PILE'!$D$72:$D$91))),IF('TS-PILE'!$B$90="",-1E+99,'TO HOP NLAN'!D54/ncoc+IF(SUMSQ('TS-PILE'!$E$72:$E$91)=0,0,'TO HOP NLAN'!E54*'TS-PILE'!$E$90/SUMSQ('TS-PILE'!$E$72:$E$91))+IF(SUMSQ('TS-PILE'!$D$72:$D$91)=0,0,'TO HOP NLAN'!F54*'TS-PILE'!$D$90/SUMSQ('TS-PILE'!$D$72:$D$91))),IF('TS-PILE'!$B$91="",-1E+99,'TO HOP NLAN'!D54/ncoc+IF(SUMSQ('TS-PILE'!$E$72:$E$91)=0,0,'TO HOP NLAN'!E54*'TS-PILE'!$E$91/SUMSQ('TS-PILE'!$E$72:$E$91))+IF(SUMSQ('TS-PILE'!$D$72:$D$91)=0,0,'TO HOP NLAN'!F54*'TS-PILE'!$D$91/SUMSQ('TS-PILE'!$D$72:$D$91)))))</f>
        <v>0</v>
      </c>
      <c r="D54" s="58">
        <f>IF(A54="",0,MIN(IF('TS-PILE'!$B$72="",1E+99,'TO HOP NLAN'!D54/ncoc+IF(SUMSQ('TS-PILE'!$E$72:$E$91)=0,0,'TO HOP NLAN'!E54*'TS-PILE'!$E$72/SUMSQ('TS-PILE'!$E$72:$E$91))+IF(SUMSQ('TS-PILE'!$D$72:$D$91)=0,0,'TO HOP NLAN'!F54*'TS-PILE'!$D$72/SUMSQ('TS-PILE'!$D$72:$D$91))),IF('TS-PILE'!$B$73="",1E+99,'TO HOP NLAN'!D54/ncoc+IF(SUMSQ('TS-PILE'!$E$72:$E$91)=0,0,'TO HOP NLAN'!E54*'TS-PILE'!$E$73/SUMSQ('TS-PILE'!$E$72:$E$91))+IF(SUMSQ('TS-PILE'!$D$72:$D$91)=0,0,'TO HOP NLAN'!F54*'TS-PILE'!$D$73/SUMSQ('TS-PILE'!$D$72:$D$91))),IF('TS-PILE'!$B$74="",1E+99,'TO HOP NLAN'!D54/ncoc+IF(SUMSQ('TS-PILE'!$E$72:$E$91)=0,0,'TO HOP NLAN'!E54*'TS-PILE'!$E$74/SUMSQ('TS-PILE'!$E$72:$E$91))+IF(SUMSQ('TS-PILE'!$D$72:$D$91)=0,0,'TO HOP NLAN'!F54*'TS-PILE'!$D$74/SUMSQ('TS-PILE'!$D$72:$D$91))),IF('TS-PILE'!$B$75="",1E+99,'TO HOP NLAN'!D54/ncoc+IF(SUMSQ('TS-PILE'!$E$72:$E$91)=0,0,'TO HOP NLAN'!E54*'TS-PILE'!$E$75/SUMSQ('TS-PILE'!$E$72:$E$91))+IF(SUMSQ('TS-PILE'!$D$72:$D$91)=0,0,'TO HOP NLAN'!F54*'TS-PILE'!$D$75/SUMSQ('TS-PILE'!$D$72:$D$91))),IF('TS-PILE'!$B$76="",1E+99,'TO HOP NLAN'!D54/ncoc+IF(SUMSQ('TS-PILE'!$E$72:$E$91)=0,0,'TO HOP NLAN'!E54*'TS-PILE'!$E$76/SUMSQ('TS-PILE'!$E$72:$E$91))+IF(SUMSQ('TS-PILE'!$D$72:$D$91)=0,0,'TO HOP NLAN'!F54*'TS-PILE'!$D$76/SUMSQ('TS-PILE'!$D$72:$D$91))),IF('TS-PILE'!$B$77="",1E+99,'TO HOP NLAN'!D54/ncoc+IF(SUMSQ('TS-PILE'!$E$72:$E$91)=0,0,'TO HOP NLAN'!E54*'TS-PILE'!$E$77/SUMSQ('TS-PILE'!$E$72:$E$91))+IF(SUMSQ('TS-PILE'!$D$72:$D$91)=0,0,'TO HOP NLAN'!F54*'TS-PILE'!$D$77/SUMSQ('TS-PILE'!$D$72:$D$91))),IF('TS-PILE'!$B$78="",1E+99,'TO HOP NLAN'!D54/ncoc+IF(SUMSQ('TS-PILE'!$E$72:$E$91)=0,0,'TO HOP NLAN'!E54*'TS-PILE'!$E$78/SUMSQ('TS-PILE'!$E$72:$E$91))+IF(SUMSQ('TS-PILE'!$D$72:$D$91)=0,0,'TO HOP NLAN'!F54*'TS-PILE'!$D$78/SUMSQ('TS-PILE'!$D$72:$D$91))),IF('TS-PILE'!$B$79="",1E+99,'TO HOP NLAN'!D54/ncoc+IF(SUMSQ('TS-PILE'!$E$72:$E$91)=0,0,'TO HOP NLAN'!E54*'TS-PILE'!$E$79/SUMSQ('TS-PILE'!$E$72:$E$91))+IF(SUMSQ('TS-PILE'!$D$72:$D$91)=0,0,'TO HOP NLAN'!F54*'TS-PILE'!$D$79/SUMSQ('TS-PILE'!$D$72:$D$91))),IF('TS-PILE'!$B$80="",1E+99,'TO HOP NLAN'!D54/ncoc+IF(SUMSQ('TS-PILE'!$E$72:$E$91)=0,0,'TO HOP NLAN'!E54*'TS-PILE'!$E$80/SUMSQ('TS-PILE'!$E$72:$E$91))+IF(SUMSQ('TS-PILE'!$D$72:$D$91)=0,0,'TO HOP NLAN'!F54*'TS-PILE'!$D$80/SUMSQ('TS-PILE'!$D$72:$D$91))),IF('TS-PILE'!$B$81="",1E+99,'TO HOP NLAN'!D54/ncoc+IF(SUMSQ('TS-PILE'!$E$72:$E$91)=0,0,'TO HOP NLAN'!E54*'TS-PILE'!$E$81/SUMSQ('TS-PILE'!$E$72:$E$91))+IF(SUMSQ('TS-PILE'!$D$72:$D$91)=0,0,'TO HOP NLAN'!F54*'TS-PILE'!$D$81/SUMSQ('TS-PILE'!$D$72:$D$91))),IF('TS-PILE'!$B$82="",1E+99,'TO HOP NLAN'!D54/ncoc+IF(SUMSQ('TS-PILE'!$E$72:$E$91)=0,0,'TO HOP NLAN'!E54*'TS-PILE'!$E$82/SUMSQ('TS-PILE'!$E$72:$E$91))+IF(SUMSQ('TS-PILE'!$D$72:$D$91)=0,0,'TO HOP NLAN'!F54*'TS-PILE'!$D$82/SUMSQ('TS-PILE'!$D$72:$D$91))),IF('TS-PILE'!$B$83="",1E+99,'TO HOP NLAN'!D54/ncoc+IF(SUMSQ('TS-PILE'!$E$72:$E$91)=0,0,'TO HOP NLAN'!E54*'TS-PILE'!$E$83/SUMSQ('TS-PILE'!$E$72:$E$91))+IF(SUMSQ('TS-PILE'!$D$72:$D$91)=0,0,'TO HOP NLAN'!F54*'TS-PILE'!$D$83/SUMSQ('TS-PILE'!$D$72:$D$91))),IF('TS-PILE'!$B$84="",1E+99,'TO HOP NLAN'!D54/ncoc+IF(SUMSQ('TS-PILE'!$E$72:$E$91)=0,0,'TO HOP NLAN'!E54*'TS-PILE'!$E$84/SUMSQ('TS-PILE'!$E$72:$E$91))+IF(SUMSQ('TS-PILE'!$D$72:$D$91)=0,0,'TO HOP NLAN'!F54*'TS-PILE'!$D$84/SUMSQ('TS-PILE'!$D$72:$D$91))),IF('TS-PILE'!$B$85="",1E+99,'TO HOP NLAN'!D54/ncoc+IF(SUMSQ('TS-PILE'!$E$72:$E$91)=0,0,'TO HOP NLAN'!E54*'TS-PILE'!$E$85/SUMSQ('TS-PILE'!$E$72:$E$91))+IF(SUMSQ('TS-PILE'!$D$72:$D$91)=0,0,'TO HOP NLAN'!F54*'TS-PILE'!$D$85/SUMSQ('TS-PILE'!$D$72:$D$91))),IF('TS-PILE'!$B$86="",1E+99,'TO HOP NLAN'!D54/ncoc+IF(SUMSQ('TS-PILE'!$E$72:$E$91)=0,0,'TO HOP NLAN'!E54*'TS-PILE'!$E$86/SUMSQ('TS-PILE'!$E$72:$E$91))+IF(SUMSQ('TS-PILE'!$D$72:$D$91)=0,0,'TO HOP NLAN'!F54*'TS-PILE'!$D$86/SUMSQ('TS-PILE'!$D$72:$D$91))),IF('TS-PILE'!$B$87="",1E+99,'TO HOP NLAN'!D54/ncoc+IF(SUMSQ('TS-PILE'!$E$72:$E$91)=0,0,'TO HOP NLAN'!E54*'TS-PILE'!$E$87/SUMSQ('TS-PILE'!$E$72:$E$91))+IF(SUMSQ('TS-PILE'!$D$72:$D$91)=0,0,'TO HOP NLAN'!F54*'TS-PILE'!$D$87/SUMSQ('TS-PILE'!$D$72:$D$91))),IF('TS-PILE'!$B$88="",1E+99,'TO HOP NLAN'!D54/ncoc+IF(SUMSQ('TS-PILE'!$E$72:$E$91)=0,0,'TO HOP NLAN'!E54*'TS-PILE'!$E$88/SUMSQ('TS-PILE'!$E$72:$E$91))+IF(SUMSQ('TS-PILE'!$D$72:$D$91)=0,0,'TO HOP NLAN'!F54*'TS-PILE'!$D$88/SUMSQ('TS-PILE'!$D$72:$D$91))),IF('TS-PILE'!$B$89="",1E+99,'TO HOP NLAN'!D54/ncoc+IF(SUMSQ('TS-PILE'!$E$72:$E$91)=0,0,'TO HOP NLAN'!E54*'TS-PILE'!$E$89/SUMSQ('TS-PILE'!$E$72:$E$91))+IF(SUMSQ('TS-PILE'!$D$72:$D$91)=0,0,'TO HOP NLAN'!F54*'TS-PILE'!$D$89/SUMSQ('TS-PILE'!$D$72:$D$91))),IF('TS-PILE'!$B$90="",1E+99,'TO HOP NLAN'!D54/ncoc+IF(SUMSQ('TS-PILE'!$E$72:$E$91)=0,0,'TO HOP NLAN'!E54*'TS-PILE'!$E$90/SUMSQ('TS-PILE'!$E$72:$E$91))+IF(SUMSQ('TS-PILE'!$D$72:$D$91)=0,0,'TO HOP NLAN'!F54*'TS-PILE'!$D$90/SUMSQ('TS-PILE'!$D$72:$D$91))),IF('TS-PILE'!$B$91="",1E+99,'TO HOP NLAN'!D54/ncoc+IF(SUMSQ('TS-PILE'!$E$72:$E$91)=0,0,'TO HOP NLAN'!E54*'TS-PILE'!$E$91/SUMSQ('TS-PILE'!$E$72:$E$91))+IF(SUMSQ('TS-PILE'!$D$72:$D$91)=0,0,'TO HOP NLAN'!F54*'TS-PILE'!$D$91/SUMSQ('TS-PILE'!$D$72:$D$91)))))</f>
        <v>0</v>
      </c>
      <c r="E54" s="58">
        <f t="shared" si="0"/>
        <v>-9.9999999999999997E+98</v>
      </c>
      <c r="F54" s="58">
        <f t="shared" si="1"/>
        <v>9.9999999999999997E+98</v>
      </c>
      <c r="G54" s="58">
        <f t="shared" si="2"/>
        <v>-9.9999999999999997E+98</v>
      </c>
      <c r="H54" s="58">
        <f t="shared" si="3"/>
        <v>9.9999999999999997E+98</v>
      </c>
    </row>
    <row r="55" spans="1:8" x14ac:dyDescent="0.3">
      <c r="A55" s="42" t="str">
        <f>'TO HOP NLAN'!A55</f>
        <v/>
      </c>
      <c r="B55" s="42" t="str">
        <f>'TO HOP NLAN'!L55</f>
        <v>SERVICE</v>
      </c>
      <c r="C55" s="58">
        <f>IF(A55="",0,MAX(IF('TS-PILE'!$B$72="",-1E+99,'TO HOP NLAN'!D55/ncoc+IF(SUMSQ('TS-PILE'!$E$72:$E$91)=0,0,'TO HOP NLAN'!E55*'TS-PILE'!$E$72/SUMSQ('TS-PILE'!$E$72:$E$91))+IF(SUMSQ('TS-PILE'!$D$72:$D$91)=0,0,'TO HOP NLAN'!F55*'TS-PILE'!$D$72/SUMSQ('TS-PILE'!$D$72:$D$91))),IF('TS-PILE'!$B$73="",-1E+99,'TO HOP NLAN'!D55/ncoc+IF(SUMSQ('TS-PILE'!$E$72:$E$91)=0,0,'TO HOP NLAN'!E55*'TS-PILE'!$E$73/SUMSQ('TS-PILE'!$E$72:$E$91))+IF(SUMSQ('TS-PILE'!$D$72:$D$91)=0,0,'TO HOP NLAN'!F55*'TS-PILE'!$D$73/SUMSQ('TS-PILE'!$D$72:$D$91))),IF('TS-PILE'!$B$74="",-1E+99,'TO HOP NLAN'!D55/ncoc+IF(SUMSQ('TS-PILE'!$E$72:$E$91)=0,0,'TO HOP NLAN'!E55*'TS-PILE'!$E$74/SUMSQ('TS-PILE'!$E$72:$E$91))+IF(SUMSQ('TS-PILE'!$D$72:$D$91)=0,0,'TO HOP NLAN'!F55*'TS-PILE'!$D$74/SUMSQ('TS-PILE'!$D$72:$D$91))),IF('TS-PILE'!$B$75="",-1E+99,'TO HOP NLAN'!D55/ncoc+IF(SUMSQ('TS-PILE'!$E$72:$E$91)=0,0,'TO HOP NLAN'!E55*'TS-PILE'!$E$75/SUMSQ('TS-PILE'!$E$72:$E$91))+IF(SUMSQ('TS-PILE'!$D$72:$D$91)=0,0,'TO HOP NLAN'!F55*'TS-PILE'!$D$75/SUMSQ('TS-PILE'!$D$72:$D$91))),IF('TS-PILE'!$B$76="",-1E+99,'TO HOP NLAN'!D55/ncoc+IF(SUMSQ('TS-PILE'!$E$72:$E$91)=0,0,'TO HOP NLAN'!E55*'TS-PILE'!$E$76/SUMSQ('TS-PILE'!$E$72:$E$91))+IF(SUMSQ('TS-PILE'!$D$72:$D$91)=0,0,'TO HOP NLAN'!F55*'TS-PILE'!$D$76/SUMSQ('TS-PILE'!$D$72:$D$91))),IF('TS-PILE'!$B$77="",-1E+99,'TO HOP NLAN'!D55/ncoc+IF(SUMSQ('TS-PILE'!$E$72:$E$91)=0,0,'TO HOP NLAN'!E55*'TS-PILE'!$E$77/SUMSQ('TS-PILE'!$E$72:$E$91))+IF(SUMSQ('TS-PILE'!$D$72:$D$91)=0,0,'TO HOP NLAN'!F55*'TS-PILE'!$D$77/SUMSQ('TS-PILE'!$D$72:$D$91))),IF('TS-PILE'!$B$78="",-1E+99,'TO HOP NLAN'!D55/ncoc+IF(SUMSQ('TS-PILE'!$E$72:$E$91)=0,0,'TO HOP NLAN'!E55*'TS-PILE'!$E$78/SUMSQ('TS-PILE'!$E$72:$E$91))+IF(SUMSQ('TS-PILE'!$D$72:$D$91)=0,0,'TO HOP NLAN'!F55*'TS-PILE'!$D$78/SUMSQ('TS-PILE'!$D$72:$D$91))),IF('TS-PILE'!$B$79="",-1E+99,'TO HOP NLAN'!D55/ncoc+IF(SUMSQ('TS-PILE'!$E$72:$E$91)=0,0,'TO HOP NLAN'!E55*'TS-PILE'!$E$79/SUMSQ('TS-PILE'!$E$72:$E$91))+IF(SUMSQ('TS-PILE'!$D$72:$D$91)=0,0,'TO HOP NLAN'!F55*'TS-PILE'!$D$79/SUMSQ('TS-PILE'!$D$72:$D$91))),IF('TS-PILE'!$B$80="",-1E+99,'TO HOP NLAN'!D55/ncoc+IF(SUMSQ('TS-PILE'!$E$72:$E$91)=0,0,'TO HOP NLAN'!E55*'TS-PILE'!$E$80/SUMSQ('TS-PILE'!$E$72:$E$91))+IF(SUMSQ('TS-PILE'!$D$72:$D$91)=0,0,'TO HOP NLAN'!F55*'TS-PILE'!$D$80/SUMSQ('TS-PILE'!$D$72:$D$91))),IF('TS-PILE'!$B$81="",-1E+99,'TO HOP NLAN'!D55/ncoc+IF(SUMSQ('TS-PILE'!$E$72:$E$91)=0,0,'TO HOP NLAN'!E55*'TS-PILE'!$E$81/SUMSQ('TS-PILE'!$E$72:$E$91))+IF(SUMSQ('TS-PILE'!$D$72:$D$91)=0,0,'TO HOP NLAN'!F55*'TS-PILE'!$D$81/SUMSQ('TS-PILE'!$D$72:$D$91))),IF('TS-PILE'!$B$82="",-1E+99,'TO HOP NLAN'!D55/ncoc+IF(SUMSQ('TS-PILE'!$E$72:$E$91)=0,0,'TO HOP NLAN'!E55*'TS-PILE'!$E$82/SUMSQ('TS-PILE'!$E$72:$E$91))+IF(SUMSQ('TS-PILE'!$D$72:$D$91)=0,0,'TO HOP NLAN'!F55*'TS-PILE'!$D$82/SUMSQ('TS-PILE'!$D$72:$D$91))),IF('TS-PILE'!$B$83="",-1E+99,'TO HOP NLAN'!D55/ncoc+IF(SUMSQ('TS-PILE'!$E$72:$E$91)=0,0,'TO HOP NLAN'!E55*'TS-PILE'!$E$83/SUMSQ('TS-PILE'!$E$72:$E$91))+IF(SUMSQ('TS-PILE'!$D$72:$D$91)=0,0,'TO HOP NLAN'!F55*'TS-PILE'!$D$83/SUMSQ('TS-PILE'!$D$72:$D$91))),IF('TS-PILE'!$B$84="",-1E+99,'TO HOP NLAN'!D55/ncoc+IF(SUMSQ('TS-PILE'!$E$72:$E$91)=0,0,'TO HOP NLAN'!E55*'TS-PILE'!$E$84/SUMSQ('TS-PILE'!$E$72:$E$91))+IF(SUMSQ('TS-PILE'!$D$72:$D$91)=0,0,'TO HOP NLAN'!F55*'TS-PILE'!$D$84/SUMSQ('TS-PILE'!$D$72:$D$91))),IF('TS-PILE'!$B$85="",-1E+99,'TO HOP NLAN'!D55/ncoc+IF(SUMSQ('TS-PILE'!$E$72:$E$91)=0,0,'TO HOP NLAN'!E55*'TS-PILE'!$E$85/SUMSQ('TS-PILE'!$E$72:$E$91))+IF(SUMSQ('TS-PILE'!$D$72:$D$91)=0,0,'TO HOP NLAN'!F55*'TS-PILE'!$D$85/SUMSQ('TS-PILE'!$D$72:$D$91))),IF('TS-PILE'!$B$86="",-1E+99,'TO HOP NLAN'!D55/ncoc+IF(SUMSQ('TS-PILE'!$E$72:$E$91)=0,0,'TO HOP NLAN'!E55*'TS-PILE'!$E$86/SUMSQ('TS-PILE'!$E$72:$E$91))+IF(SUMSQ('TS-PILE'!$D$72:$D$91)=0,0,'TO HOP NLAN'!F55*'TS-PILE'!$D$86/SUMSQ('TS-PILE'!$D$72:$D$91))),IF('TS-PILE'!$B$87="",-1E+99,'TO HOP NLAN'!D55/ncoc+IF(SUMSQ('TS-PILE'!$E$72:$E$91)=0,0,'TO HOP NLAN'!E55*'TS-PILE'!$E$87/SUMSQ('TS-PILE'!$E$72:$E$91))+IF(SUMSQ('TS-PILE'!$D$72:$D$91)=0,0,'TO HOP NLAN'!F55*'TS-PILE'!$D$87/SUMSQ('TS-PILE'!$D$72:$D$91))),IF('TS-PILE'!$B$88="",-1E+99,'TO HOP NLAN'!D55/ncoc+IF(SUMSQ('TS-PILE'!$E$72:$E$91)=0,0,'TO HOP NLAN'!E55*'TS-PILE'!$E$88/SUMSQ('TS-PILE'!$E$72:$E$91))+IF(SUMSQ('TS-PILE'!$D$72:$D$91)=0,0,'TO HOP NLAN'!F55*'TS-PILE'!$D$88/SUMSQ('TS-PILE'!$D$72:$D$91))),IF('TS-PILE'!$B$89="",-1E+99,'TO HOP NLAN'!D55/ncoc+IF(SUMSQ('TS-PILE'!$E$72:$E$91)=0,0,'TO HOP NLAN'!E55*'TS-PILE'!$E$89/SUMSQ('TS-PILE'!$E$72:$E$91))+IF(SUMSQ('TS-PILE'!$D$72:$D$91)=0,0,'TO HOP NLAN'!F55*'TS-PILE'!$D$89/SUMSQ('TS-PILE'!$D$72:$D$91))),IF('TS-PILE'!$B$90="",-1E+99,'TO HOP NLAN'!D55/ncoc+IF(SUMSQ('TS-PILE'!$E$72:$E$91)=0,0,'TO HOP NLAN'!E55*'TS-PILE'!$E$90/SUMSQ('TS-PILE'!$E$72:$E$91))+IF(SUMSQ('TS-PILE'!$D$72:$D$91)=0,0,'TO HOP NLAN'!F55*'TS-PILE'!$D$90/SUMSQ('TS-PILE'!$D$72:$D$91))),IF('TS-PILE'!$B$91="",-1E+99,'TO HOP NLAN'!D55/ncoc+IF(SUMSQ('TS-PILE'!$E$72:$E$91)=0,0,'TO HOP NLAN'!E55*'TS-PILE'!$E$91/SUMSQ('TS-PILE'!$E$72:$E$91))+IF(SUMSQ('TS-PILE'!$D$72:$D$91)=0,0,'TO HOP NLAN'!F55*'TS-PILE'!$D$91/SUMSQ('TS-PILE'!$D$72:$D$91)))))</f>
        <v>0</v>
      </c>
      <c r="D55" s="58">
        <f>IF(A55="",0,MIN(IF('TS-PILE'!$B$72="",1E+99,'TO HOP NLAN'!D55/ncoc+IF(SUMSQ('TS-PILE'!$E$72:$E$91)=0,0,'TO HOP NLAN'!E55*'TS-PILE'!$E$72/SUMSQ('TS-PILE'!$E$72:$E$91))+IF(SUMSQ('TS-PILE'!$D$72:$D$91)=0,0,'TO HOP NLAN'!F55*'TS-PILE'!$D$72/SUMSQ('TS-PILE'!$D$72:$D$91))),IF('TS-PILE'!$B$73="",1E+99,'TO HOP NLAN'!D55/ncoc+IF(SUMSQ('TS-PILE'!$E$72:$E$91)=0,0,'TO HOP NLAN'!E55*'TS-PILE'!$E$73/SUMSQ('TS-PILE'!$E$72:$E$91))+IF(SUMSQ('TS-PILE'!$D$72:$D$91)=0,0,'TO HOP NLAN'!F55*'TS-PILE'!$D$73/SUMSQ('TS-PILE'!$D$72:$D$91))),IF('TS-PILE'!$B$74="",1E+99,'TO HOP NLAN'!D55/ncoc+IF(SUMSQ('TS-PILE'!$E$72:$E$91)=0,0,'TO HOP NLAN'!E55*'TS-PILE'!$E$74/SUMSQ('TS-PILE'!$E$72:$E$91))+IF(SUMSQ('TS-PILE'!$D$72:$D$91)=0,0,'TO HOP NLAN'!F55*'TS-PILE'!$D$74/SUMSQ('TS-PILE'!$D$72:$D$91))),IF('TS-PILE'!$B$75="",1E+99,'TO HOP NLAN'!D55/ncoc+IF(SUMSQ('TS-PILE'!$E$72:$E$91)=0,0,'TO HOP NLAN'!E55*'TS-PILE'!$E$75/SUMSQ('TS-PILE'!$E$72:$E$91))+IF(SUMSQ('TS-PILE'!$D$72:$D$91)=0,0,'TO HOP NLAN'!F55*'TS-PILE'!$D$75/SUMSQ('TS-PILE'!$D$72:$D$91))),IF('TS-PILE'!$B$76="",1E+99,'TO HOP NLAN'!D55/ncoc+IF(SUMSQ('TS-PILE'!$E$72:$E$91)=0,0,'TO HOP NLAN'!E55*'TS-PILE'!$E$76/SUMSQ('TS-PILE'!$E$72:$E$91))+IF(SUMSQ('TS-PILE'!$D$72:$D$91)=0,0,'TO HOP NLAN'!F55*'TS-PILE'!$D$76/SUMSQ('TS-PILE'!$D$72:$D$91))),IF('TS-PILE'!$B$77="",1E+99,'TO HOP NLAN'!D55/ncoc+IF(SUMSQ('TS-PILE'!$E$72:$E$91)=0,0,'TO HOP NLAN'!E55*'TS-PILE'!$E$77/SUMSQ('TS-PILE'!$E$72:$E$91))+IF(SUMSQ('TS-PILE'!$D$72:$D$91)=0,0,'TO HOP NLAN'!F55*'TS-PILE'!$D$77/SUMSQ('TS-PILE'!$D$72:$D$91))),IF('TS-PILE'!$B$78="",1E+99,'TO HOP NLAN'!D55/ncoc+IF(SUMSQ('TS-PILE'!$E$72:$E$91)=0,0,'TO HOP NLAN'!E55*'TS-PILE'!$E$78/SUMSQ('TS-PILE'!$E$72:$E$91))+IF(SUMSQ('TS-PILE'!$D$72:$D$91)=0,0,'TO HOP NLAN'!F55*'TS-PILE'!$D$78/SUMSQ('TS-PILE'!$D$72:$D$91))),IF('TS-PILE'!$B$79="",1E+99,'TO HOP NLAN'!D55/ncoc+IF(SUMSQ('TS-PILE'!$E$72:$E$91)=0,0,'TO HOP NLAN'!E55*'TS-PILE'!$E$79/SUMSQ('TS-PILE'!$E$72:$E$91))+IF(SUMSQ('TS-PILE'!$D$72:$D$91)=0,0,'TO HOP NLAN'!F55*'TS-PILE'!$D$79/SUMSQ('TS-PILE'!$D$72:$D$91))),IF('TS-PILE'!$B$80="",1E+99,'TO HOP NLAN'!D55/ncoc+IF(SUMSQ('TS-PILE'!$E$72:$E$91)=0,0,'TO HOP NLAN'!E55*'TS-PILE'!$E$80/SUMSQ('TS-PILE'!$E$72:$E$91))+IF(SUMSQ('TS-PILE'!$D$72:$D$91)=0,0,'TO HOP NLAN'!F55*'TS-PILE'!$D$80/SUMSQ('TS-PILE'!$D$72:$D$91))),IF('TS-PILE'!$B$81="",1E+99,'TO HOP NLAN'!D55/ncoc+IF(SUMSQ('TS-PILE'!$E$72:$E$91)=0,0,'TO HOP NLAN'!E55*'TS-PILE'!$E$81/SUMSQ('TS-PILE'!$E$72:$E$91))+IF(SUMSQ('TS-PILE'!$D$72:$D$91)=0,0,'TO HOP NLAN'!F55*'TS-PILE'!$D$81/SUMSQ('TS-PILE'!$D$72:$D$91))),IF('TS-PILE'!$B$82="",1E+99,'TO HOP NLAN'!D55/ncoc+IF(SUMSQ('TS-PILE'!$E$72:$E$91)=0,0,'TO HOP NLAN'!E55*'TS-PILE'!$E$82/SUMSQ('TS-PILE'!$E$72:$E$91))+IF(SUMSQ('TS-PILE'!$D$72:$D$91)=0,0,'TO HOP NLAN'!F55*'TS-PILE'!$D$82/SUMSQ('TS-PILE'!$D$72:$D$91))),IF('TS-PILE'!$B$83="",1E+99,'TO HOP NLAN'!D55/ncoc+IF(SUMSQ('TS-PILE'!$E$72:$E$91)=0,0,'TO HOP NLAN'!E55*'TS-PILE'!$E$83/SUMSQ('TS-PILE'!$E$72:$E$91))+IF(SUMSQ('TS-PILE'!$D$72:$D$91)=0,0,'TO HOP NLAN'!F55*'TS-PILE'!$D$83/SUMSQ('TS-PILE'!$D$72:$D$91))),IF('TS-PILE'!$B$84="",1E+99,'TO HOP NLAN'!D55/ncoc+IF(SUMSQ('TS-PILE'!$E$72:$E$91)=0,0,'TO HOP NLAN'!E55*'TS-PILE'!$E$84/SUMSQ('TS-PILE'!$E$72:$E$91))+IF(SUMSQ('TS-PILE'!$D$72:$D$91)=0,0,'TO HOP NLAN'!F55*'TS-PILE'!$D$84/SUMSQ('TS-PILE'!$D$72:$D$91))),IF('TS-PILE'!$B$85="",1E+99,'TO HOP NLAN'!D55/ncoc+IF(SUMSQ('TS-PILE'!$E$72:$E$91)=0,0,'TO HOP NLAN'!E55*'TS-PILE'!$E$85/SUMSQ('TS-PILE'!$E$72:$E$91))+IF(SUMSQ('TS-PILE'!$D$72:$D$91)=0,0,'TO HOP NLAN'!F55*'TS-PILE'!$D$85/SUMSQ('TS-PILE'!$D$72:$D$91))),IF('TS-PILE'!$B$86="",1E+99,'TO HOP NLAN'!D55/ncoc+IF(SUMSQ('TS-PILE'!$E$72:$E$91)=0,0,'TO HOP NLAN'!E55*'TS-PILE'!$E$86/SUMSQ('TS-PILE'!$E$72:$E$91))+IF(SUMSQ('TS-PILE'!$D$72:$D$91)=0,0,'TO HOP NLAN'!F55*'TS-PILE'!$D$86/SUMSQ('TS-PILE'!$D$72:$D$91))),IF('TS-PILE'!$B$87="",1E+99,'TO HOP NLAN'!D55/ncoc+IF(SUMSQ('TS-PILE'!$E$72:$E$91)=0,0,'TO HOP NLAN'!E55*'TS-PILE'!$E$87/SUMSQ('TS-PILE'!$E$72:$E$91))+IF(SUMSQ('TS-PILE'!$D$72:$D$91)=0,0,'TO HOP NLAN'!F55*'TS-PILE'!$D$87/SUMSQ('TS-PILE'!$D$72:$D$91))),IF('TS-PILE'!$B$88="",1E+99,'TO HOP NLAN'!D55/ncoc+IF(SUMSQ('TS-PILE'!$E$72:$E$91)=0,0,'TO HOP NLAN'!E55*'TS-PILE'!$E$88/SUMSQ('TS-PILE'!$E$72:$E$91))+IF(SUMSQ('TS-PILE'!$D$72:$D$91)=0,0,'TO HOP NLAN'!F55*'TS-PILE'!$D$88/SUMSQ('TS-PILE'!$D$72:$D$91))),IF('TS-PILE'!$B$89="",1E+99,'TO HOP NLAN'!D55/ncoc+IF(SUMSQ('TS-PILE'!$E$72:$E$91)=0,0,'TO HOP NLAN'!E55*'TS-PILE'!$E$89/SUMSQ('TS-PILE'!$E$72:$E$91))+IF(SUMSQ('TS-PILE'!$D$72:$D$91)=0,0,'TO HOP NLAN'!F55*'TS-PILE'!$D$89/SUMSQ('TS-PILE'!$D$72:$D$91))),IF('TS-PILE'!$B$90="",1E+99,'TO HOP NLAN'!D55/ncoc+IF(SUMSQ('TS-PILE'!$E$72:$E$91)=0,0,'TO HOP NLAN'!E55*'TS-PILE'!$E$90/SUMSQ('TS-PILE'!$E$72:$E$91))+IF(SUMSQ('TS-PILE'!$D$72:$D$91)=0,0,'TO HOP NLAN'!F55*'TS-PILE'!$D$90/SUMSQ('TS-PILE'!$D$72:$D$91))),IF('TS-PILE'!$B$91="",1E+99,'TO HOP NLAN'!D55/ncoc+IF(SUMSQ('TS-PILE'!$E$72:$E$91)=0,0,'TO HOP NLAN'!E55*'TS-PILE'!$E$91/SUMSQ('TS-PILE'!$E$72:$E$91))+IF(SUMSQ('TS-PILE'!$D$72:$D$91)=0,0,'TO HOP NLAN'!F55*'TS-PILE'!$D$91/SUMSQ('TS-PILE'!$D$72:$D$91)))))</f>
        <v>0</v>
      </c>
      <c r="E55" s="58">
        <f t="shared" si="0"/>
        <v>-9.9999999999999997E+98</v>
      </c>
      <c r="F55" s="58">
        <f t="shared" si="1"/>
        <v>9.9999999999999997E+98</v>
      </c>
      <c r="G55" s="58">
        <f t="shared" si="2"/>
        <v>-9.9999999999999997E+98</v>
      </c>
      <c r="H55" s="58">
        <f t="shared" si="3"/>
        <v>9.9999999999999997E+98</v>
      </c>
    </row>
    <row r="56" spans="1:8" x14ac:dyDescent="0.3">
      <c r="A56" s="42" t="str">
        <f>'TO HOP NLAN'!A56</f>
        <v/>
      </c>
      <c r="B56" s="42" t="str">
        <f>'TO HOP NLAN'!L56</f>
        <v>SERVICE</v>
      </c>
      <c r="C56" s="58">
        <f>IF(A56="",0,MAX(IF('TS-PILE'!$B$72="",-1E+99,'TO HOP NLAN'!D56/ncoc+IF(SUMSQ('TS-PILE'!$E$72:$E$91)=0,0,'TO HOP NLAN'!E56*'TS-PILE'!$E$72/SUMSQ('TS-PILE'!$E$72:$E$91))+IF(SUMSQ('TS-PILE'!$D$72:$D$91)=0,0,'TO HOP NLAN'!F56*'TS-PILE'!$D$72/SUMSQ('TS-PILE'!$D$72:$D$91))),IF('TS-PILE'!$B$73="",-1E+99,'TO HOP NLAN'!D56/ncoc+IF(SUMSQ('TS-PILE'!$E$72:$E$91)=0,0,'TO HOP NLAN'!E56*'TS-PILE'!$E$73/SUMSQ('TS-PILE'!$E$72:$E$91))+IF(SUMSQ('TS-PILE'!$D$72:$D$91)=0,0,'TO HOP NLAN'!F56*'TS-PILE'!$D$73/SUMSQ('TS-PILE'!$D$72:$D$91))),IF('TS-PILE'!$B$74="",-1E+99,'TO HOP NLAN'!D56/ncoc+IF(SUMSQ('TS-PILE'!$E$72:$E$91)=0,0,'TO HOP NLAN'!E56*'TS-PILE'!$E$74/SUMSQ('TS-PILE'!$E$72:$E$91))+IF(SUMSQ('TS-PILE'!$D$72:$D$91)=0,0,'TO HOP NLAN'!F56*'TS-PILE'!$D$74/SUMSQ('TS-PILE'!$D$72:$D$91))),IF('TS-PILE'!$B$75="",-1E+99,'TO HOP NLAN'!D56/ncoc+IF(SUMSQ('TS-PILE'!$E$72:$E$91)=0,0,'TO HOP NLAN'!E56*'TS-PILE'!$E$75/SUMSQ('TS-PILE'!$E$72:$E$91))+IF(SUMSQ('TS-PILE'!$D$72:$D$91)=0,0,'TO HOP NLAN'!F56*'TS-PILE'!$D$75/SUMSQ('TS-PILE'!$D$72:$D$91))),IF('TS-PILE'!$B$76="",-1E+99,'TO HOP NLAN'!D56/ncoc+IF(SUMSQ('TS-PILE'!$E$72:$E$91)=0,0,'TO HOP NLAN'!E56*'TS-PILE'!$E$76/SUMSQ('TS-PILE'!$E$72:$E$91))+IF(SUMSQ('TS-PILE'!$D$72:$D$91)=0,0,'TO HOP NLAN'!F56*'TS-PILE'!$D$76/SUMSQ('TS-PILE'!$D$72:$D$91))),IF('TS-PILE'!$B$77="",-1E+99,'TO HOP NLAN'!D56/ncoc+IF(SUMSQ('TS-PILE'!$E$72:$E$91)=0,0,'TO HOP NLAN'!E56*'TS-PILE'!$E$77/SUMSQ('TS-PILE'!$E$72:$E$91))+IF(SUMSQ('TS-PILE'!$D$72:$D$91)=0,0,'TO HOP NLAN'!F56*'TS-PILE'!$D$77/SUMSQ('TS-PILE'!$D$72:$D$91))),IF('TS-PILE'!$B$78="",-1E+99,'TO HOP NLAN'!D56/ncoc+IF(SUMSQ('TS-PILE'!$E$72:$E$91)=0,0,'TO HOP NLAN'!E56*'TS-PILE'!$E$78/SUMSQ('TS-PILE'!$E$72:$E$91))+IF(SUMSQ('TS-PILE'!$D$72:$D$91)=0,0,'TO HOP NLAN'!F56*'TS-PILE'!$D$78/SUMSQ('TS-PILE'!$D$72:$D$91))),IF('TS-PILE'!$B$79="",-1E+99,'TO HOP NLAN'!D56/ncoc+IF(SUMSQ('TS-PILE'!$E$72:$E$91)=0,0,'TO HOP NLAN'!E56*'TS-PILE'!$E$79/SUMSQ('TS-PILE'!$E$72:$E$91))+IF(SUMSQ('TS-PILE'!$D$72:$D$91)=0,0,'TO HOP NLAN'!F56*'TS-PILE'!$D$79/SUMSQ('TS-PILE'!$D$72:$D$91))),IF('TS-PILE'!$B$80="",-1E+99,'TO HOP NLAN'!D56/ncoc+IF(SUMSQ('TS-PILE'!$E$72:$E$91)=0,0,'TO HOP NLAN'!E56*'TS-PILE'!$E$80/SUMSQ('TS-PILE'!$E$72:$E$91))+IF(SUMSQ('TS-PILE'!$D$72:$D$91)=0,0,'TO HOP NLAN'!F56*'TS-PILE'!$D$80/SUMSQ('TS-PILE'!$D$72:$D$91))),IF('TS-PILE'!$B$81="",-1E+99,'TO HOP NLAN'!D56/ncoc+IF(SUMSQ('TS-PILE'!$E$72:$E$91)=0,0,'TO HOP NLAN'!E56*'TS-PILE'!$E$81/SUMSQ('TS-PILE'!$E$72:$E$91))+IF(SUMSQ('TS-PILE'!$D$72:$D$91)=0,0,'TO HOP NLAN'!F56*'TS-PILE'!$D$81/SUMSQ('TS-PILE'!$D$72:$D$91))),IF('TS-PILE'!$B$82="",-1E+99,'TO HOP NLAN'!D56/ncoc+IF(SUMSQ('TS-PILE'!$E$72:$E$91)=0,0,'TO HOP NLAN'!E56*'TS-PILE'!$E$82/SUMSQ('TS-PILE'!$E$72:$E$91))+IF(SUMSQ('TS-PILE'!$D$72:$D$91)=0,0,'TO HOP NLAN'!F56*'TS-PILE'!$D$82/SUMSQ('TS-PILE'!$D$72:$D$91))),IF('TS-PILE'!$B$83="",-1E+99,'TO HOP NLAN'!D56/ncoc+IF(SUMSQ('TS-PILE'!$E$72:$E$91)=0,0,'TO HOP NLAN'!E56*'TS-PILE'!$E$83/SUMSQ('TS-PILE'!$E$72:$E$91))+IF(SUMSQ('TS-PILE'!$D$72:$D$91)=0,0,'TO HOP NLAN'!F56*'TS-PILE'!$D$83/SUMSQ('TS-PILE'!$D$72:$D$91))),IF('TS-PILE'!$B$84="",-1E+99,'TO HOP NLAN'!D56/ncoc+IF(SUMSQ('TS-PILE'!$E$72:$E$91)=0,0,'TO HOP NLAN'!E56*'TS-PILE'!$E$84/SUMSQ('TS-PILE'!$E$72:$E$91))+IF(SUMSQ('TS-PILE'!$D$72:$D$91)=0,0,'TO HOP NLAN'!F56*'TS-PILE'!$D$84/SUMSQ('TS-PILE'!$D$72:$D$91))),IF('TS-PILE'!$B$85="",-1E+99,'TO HOP NLAN'!D56/ncoc+IF(SUMSQ('TS-PILE'!$E$72:$E$91)=0,0,'TO HOP NLAN'!E56*'TS-PILE'!$E$85/SUMSQ('TS-PILE'!$E$72:$E$91))+IF(SUMSQ('TS-PILE'!$D$72:$D$91)=0,0,'TO HOP NLAN'!F56*'TS-PILE'!$D$85/SUMSQ('TS-PILE'!$D$72:$D$91))),IF('TS-PILE'!$B$86="",-1E+99,'TO HOP NLAN'!D56/ncoc+IF(SUMSQ('TS-PILE'!$E$72:$E$91)=0,0,'TO HOP NLAN'!E56*'TS-PILE'!$E$86/SUMSQ('TS-PILE'!$E$72:$E$91))+IF(SUMSQ('TS-PILE'!$D$72:$D$91)=0,0,'TO HOP NLAN'!F56*'TS-PILE'!$D$86/SUMSQ('TS-PILE'!$D$72:$D$91))),IF('TS-PILE'!$B$87="",-1E+99,'TO HOP NLAN'!D56/ncoc+IF(SUMSQ('TS-PILE'!$E$72:$E$91)=0,0,'TO HOP NLAN'!E56*'TS-PILE'!$E$87/SUMSQ('TS-PILE'!$E$72:$E$91))+IF(SUMSQ('TS-PILE'!$D$72:$D$91)=0,0,'TO HOP NLAN'!F56*'TS-PILE'!$D$87/SUMSQ('TS-PILE'!$D$72:$D$91))),IF('TS-PILE'!$B$88="",-1E+99,'TO HOP NLAN'!D56/ncoc+IF(SUMSQ('TS-PILE'!$E$72:$E$91)=0,0,'TO HOP NLAN'!E56*'TS-PILE'!$E$88/SUMSQ('TS-PILE'!$E$72:$E$91))+IF(SUMSQ('TS-PILE'!$D$72:$D$91)=0,0,'TO HOP NLAN'!F56*'TS-PILE'!$D$88/SUMSQ('TS-PILE'!$D$72:$D$91))),IF('TS-PILE'!$B$89="",-1E+99,'TO HOP NLAN'!D56/ncoc+IF(SUMSQ('TS-PILE'!$E$72:$E$91)=0,0,'TO HOP NLAN'!E56*'TS-PILE'!$E$89/SUMSQ('TS-PILE'!$E$72:$E$91))+IF(SUMSQ('TS-PILE'!$D$72:$D$91)=0,0,'TO HOP NLAN'!F56*'TS-PILE'!$D$89/SUMSQ('TS-PILE'!$D$72:$D$91))),IF('TS-PILE'!$B$90="",-1E+99,'TO HOP NLAN'!D56/ncoc+IF(SUMSQ('TS-PILE'!$E$72:$E$91)=0,0,'TO HOP NLAN'!E56*'TS-PILE'!$E$90/SUMSQ('TS-PILE'!$E$72:$E$91))+IF(SUMSQ('TS-PILE'!$D$72:$D$91)=0,0,'TO HOP NLAN'!F56*'TS-PILE'!$D$90/SUMSQ('TS-PILE'!$D$72:$D$91))),IF('TS-PILE'!$B$91="",-1E+99,'TO HOP NLAN'!D56/ncoc+IF(SUMSQ('TS-PILE'!$E$72:$E$91)=0,0,'TO HOP NLAN'!E56*'TS-PILE'!$E$91/SUMSQ('TS-PILE'!$E$72:$E$91))+IF(SUMSQ('TS-PILE'!$D$72:$D$91)=0,0,'TO HOP NLAN'!F56*'TS-PILE'!$D$91/SUMSQ('TS-PILE'!$D$72:$D$91)))))</f>
        <v>0</v>
      </c>
      <c r="D56" s="58">
        <f>IF(A56="",0,MIN(IF('TS-PILE'!$B$72="",1E+99,'TO HOP NLAN'!D56/ncoc+IF(SUMSQ('TS-PILE'!$E$72:$E$91)=0,0,'TO HOP NLAN'!E56*'TS-PILE'!$E$72/SUMSQ('TS-PILE'!$E$72:$E$91))+IF(SUMSQ('TS-PILE'!$D$72:$D$91)=0,0,'TO HOP NLAN'!F56*'TS-PILE'!$D$72/SUMSQ('TS-PILE'!$D$72:$D$91))),IF('TS-PILE'!$B$73="",1E+99,'TO HOP NLAN'!D56/ncoc+IF(SUMSQ('TS-PILE'!$E$72:$E$91)=0,0,'TO HOP NLAN'!E56*'TS-PILE'!$E$73/SUMSQ('TS-PILE'!$E$72:$E$91))+IF(SUMSQ('TS-PILE'!$D$72:$D$91)=0,0,'TO HOP NLAN'!F56*'TS-PILE'!$D$73/SUMSQ('TS-PILE'!$D$72:$D$91))),IF('TS-PILE'!$B$74="",1E+99,'TO HOP NLAN'!D56/ncoc+IF(SUMSQ('TS-PILE'!$E$72:$E$91)=0,0,'TO HOP NLAN'!E56*'TS-PILE'!$E$74/SUMSQ('TS-PILE'!$E$72:$E$91))+IF(SUMSQ('TS-PILE'!$D$72:$D$91)=0,0,'TO HOP NLAN'!F56*'TS-PILE'!$D$74/SUMSQ('TS-PILE'!$D$72:$D$91))),IF('TS-PILE'!$B$75="",1E+99,'TO HOP NLAN'!D56/ncoc+IF(SUMSQ('TS-PILE'!$E$72:$E$91)=0,0,'TO HOP NLAN'!E56*'TS-PILE'!$E$75/SUMSQ('TS-PILE'!$E$72:$E$91))+IF(SUMSQ('TS-PILE'!$D$72:$D$91)=0,0,'TO HOP NLAN'!F56*'TS-PILE'!$D$75/SUMSQ('TS-PILE'!$D$72:$D$91))),IF('TS-PILE'!$B$76="",1E+99,'TO HOP NLAN'!D56/ncoc+IF(SUMSQ('TS-PILE'!$E$72:$E$91)=0,0,'TO HOP NLAN'!E56*'TS-PILE'!$E$76/SUMSQ('TS-PILE'!$E$72:$E$91))+IF(SUMSQ('TS-PILE'!$D$72:$D$91)=0,0,'TO HOP NLAN'!F56*'TS-PILE'!$D$76/SUMSQ('TS-PILE'!$D$72:$D$91))),IF('TS-PILE'!$B$77="",1E+99,'TO HOP NLAN'!D56/ncoc+IF(SUMSQ('TS-PILE'!$E$72:$E$91)=0,0,'TO HOP NLAN'!E56*'TS-PILE'!$E$77/SUMSQ('TS-PILE'!$E$72:$E$91))+IF(SUMSQ('TS-PILE'!$D$72:$D$91)=0,0,'TO HOP NLAN'!F56*'TS-PILE'!$D$77/SUMSQ('TS-PILE'!$D$72:$D$91))),IF('TS-PILE'!$B$78="",1E+99,'TO HOP NLAN'!D56/ncoc+IF(SUMSQ('TS-PILE'!$E$72:$E$91)=0,0,'TO HOP NLAN'!E56*'TS-PILE'!$E$78/SUMSQ('TS-PILE'!$E$72:$E$91))+IF(SUMSQ('TS-PILE'!$D$72:$D$91)=0,0,'TO HOP NLAN'!F56*'TS-PILE'!$D$78/SUMSQ('TS-PILE'!$D$72:$D$91))),IF('TS-PILE'!$B$79="",1E+99,'TO HOP NLAN'!D56/ncoc+IF(SUMSQ('TS-PILE'!$E$72:$E$91)=0,0,'TO HOP NLAN'!E56*'TS-PILE'!$E$79/SUMSQ('TS-PILE'!$E$72:$E$91))+IF(SUMSQ('TS-PILE'!$D$72:$D$91)=0,0,'TO HOP NLAN'!F56*'TS-PILE'!$D$79/SUMSQ('TS-PILE'!$D$72:$D$91))),IF('TS-PILE'!$B$80="",1E+99,'TO HOP NLAN'!D56/ncoc+IF(SUMSQ('TS-PILE'!$E$72:$E$91)=0,0,'TO HOP NLAN'!E56*'TS-PILE'!$E$80/SUMSQ('TS-PILE'!$E$72:$E$91))+IF(SUMSQ('TS-PILE'!$D$72:$D$91)=0,0,'TO HOP NLAN'!F56*'TS-PILE'!$D$80/SUMSQ('TS-PILE'!$D$72:$D$91))),IF('TS-PILE'!$B$81="",1E+99,'TO HOP NLAN'!D56/ncoc+IF(SUMSQ('TS-PILE'!$E$72:$E$91)=0,0,'TO HOP NLAN'!E56*'TS-PILE'!$E$81/SUMSQ('TS-PILE'!$E$72:$E$91))+IF(SUMSQ('TS-PILE'!$D$72:$D$91)=0,0,'TO HOP NLAN'!F56*'TS-PILE'!$D$81/SUMSQ('TS-PILE'!$D$72:$D$91))),IF('TS-PILE'!$B$82="",1E+99,'TO HOP NLAN'!D56/ncoc+IF(SUMSQ('TS-PILE'!$E$72:$E$91)=0,0,'TO HOP NLAN'!E56*'TS-PILE'!$E$82/SUMSQ('TS-PILE'!$E$72:$E$91))+IF(SUMSQ('TS-PILE'!$D$72:$D$91)=0,0,'TO HOP NLAN'!F56*'TS-PILE'!$D$82/SUMSQ('TS-PILE'!$D$72:$D$91))),IF('TS-PILE'!$B$83="",1E+99,'TO HOP NLAN'!D56/ncoc+IF(SUMSQ('TS-PILE'!$E$72:$E$91)=0,0,'TO HOP NLAN'!E56*'TS-PILE'!$E$83/SUMSQ('TS-PILE'!$E$72:$E$91))+IF(SUMSQ('TS-PILE'!$D$72:$D$91)=0,0,'TO HOP NLAN'!F56*'TS-PILE'!$D$83/SUMSQ('TS-PILE'!$D$72:$D$91))),IF('TS-PILE'!$B$84="",1E+99,'TO HOP NLAN'!D56/ncoc+IF(SUMSQ('TS-PILE'!$E$72:$E$91)=0,0,'TO HOP NLAN'!E56*'TS-PILE'!$E$84/SUMSQ('TS-PILE'!$E$72:$E$91))+IF(SUMSQ('TS-PILE'!$D$72:$D$91)=0,0,'TO HOP NLAN'!F56*'TS-PILE'!$D$84/SUMSQ('TS-PILE'!$D$72:$D$91))),IF('TS-PILE'!$B$85="",1E+99,'TO HOP NLAN'!D56/ncoc+IF(SUMSQ('TS-PILE'!$E$72:$E$91)=0,0,'TO HOP NLAN'!E56*'TS-PILE'!$E$85/SUMSQ('TS-PILE'!$E$72:$E$91))+IF(SUMSQ('TS-PILE'!$D$72:$D$91)=0,0,'TO HOP NLAN'!F56*'TS-PILE'!$D$85/SUMSQ('TS-PILE'!$D$72:$D$91))),IF('TS-PILE'!$B$86="",1E+99,'TO HOP NLAN'!D56/ncoc+IF(SUMSQ('TS-PILE'!$E$72:$E$91)=0,0,'TO HOP NLAN'!E56*'TS-PILE'!$E$86/SUMSQ('TS-PILE'!$E$72:$E$91))+IF(SUMSQ('TS-PILE'!$D$72:$D$91)=0,0,'TO HOP NLAN'!F56*'TS-PILE'!$D$86/SUMSQ('TS-PILE'!$D$72:$D$91))),IF('TS-PILE'!$B$87="",1E+99,'TO HOP NLAN'!D56/ncoc+IF(SUMSQ('TS-PILE'!$E$72:$E$91)=0,0,'TO HOP NLAN'!E56*'TS-PILE'!$E$87/SUMSQ('TS-PILE'!$E$72:$E$91))+IF(SUMSQ('TS-PILE'!$D$72:$D$91)=0,0,'TO HOP NLAN'!F56*'TS-PILE'!$D$87/SUMSQ('TS-PILE'!$D$72:$D$91))),IF('TS-PILE'!$B$88="",1E+99,'TO HOP NLAN'!D56/ncoc+IF(SUMSQ('TS-PILE'!$E$72:$E$91)=0,0,'TO HOP NLAN'!E56*'TS-PILE'!$E$88/SUMSQ('TS-PILE'!$E$72:$E$91))+IF(SUMSQ('TS-PILE'!$D$72:$D$91)=0,0,'TO HOP NLAN'!F56*'TS-PILE'!$D$88/SUMSQ('TS-PILE'!$D$72:$D$91))),IF('TS-PILE'!$B$89="",1E+99,'TO HOP NLAN'!D56/ncoc+IF(SUMSQ('TS-PILE'!$E$72:$E$91)=0,0,'TO HOP NLAN'!E56*'TS-PILE'!$E$89/SUMSQ('TS-PILE'!$E$72:$E$91))+IF(SUMSQ('TS-PILE'!$D$72:$D$91)=0,0,'TO HOP NLAN'!F56*'TS-PILE'!$D$89/SUMSQ('TS-PILE'!$D$72:$D$91))),IF('TS-PILE'!$B$90="",1E+99,'TO HOP NLAN'!D56/ncoc+IF(SUMSQ('TS-PILE'!$E$72:$E$91)=0,0,'TO HOP NLAN'!E56*'TS-PILE'!$E$90/SUMSQ('TS-PILE'!$E$72:$E$91))+IF(SUMSQ('TS-PILE'!$D$72:$D$91)=0,0,'TO HOP NLAN'!F56*'TS-PILE'!$D$90/SUMSQ('TS-PILE'!$D$72:$D$91))),IF('TS-PILE'!$B$91="",1E+99,'TO HOP NLAN'!D56/ncoc+IF(SUMSQ('TS-PILE'!$E$72:$E$91)=0,0,'TO HOP NLAN'!E56*'TS-PILE'!$E$91/SUMSQ('TS-PILE'!$E$72:$E$91))+IF(SUMSQ('TS-PILE'!$D$72:$D$91)=0,0,'TO HOP NLAN'!F56*'TS-PILE'!$D$91/SUMSQ('TS-PILE'!$D$72:$D$91)))))</f>
        <v>0</v>
      </c>
      <c r="E56" s="58">
        <f t="shared" si="0"/>
        <v>-9.9999999999999997E+98</v>
      </c>
      <c r="F56" s="58">
        <f t="shared" si="1"/>
        <v>9.9999999999999997E+98</v>
      </c>
      <c r="G56" s="58">
        <f t="shared" si="2"/>
        <v>-9.9999999999999997E+98</v>
      </c>
      <c r="H56" s="58">
        <f t="shared" si="3"/>
        <v>9.9999999999999997E+98</v>
      </c>
    </row>
    <row r="57" spans="1:8" x14ac:dyDescent="0.3">
      <c r="A57" s="42" t="str">
        <f>'TO HOP NLAN'!A57</f>
        <v/>
      </c>
      <c r="B57" s="42" t="str">
        <f>'TO HOP NLAN'!L57</f>
        <v>SERVICE</v>
      </c>
      <c r="C57" s="58">
        <f>IF(A57="",0,MAX(IF('TS-PILE'!$B$72="",-1E+99,'TO HOP NLAN'!D57/ncoc+IF(SUMSQ('TS-PILE'!$E$72:$E$91)=0,0,'TO HOP NLAN'!E57*'TS-PILE'!$E$72/SUMSQ('TS-PILE'!$E$72:$E$91))+IF(SUMSQ('TS-PILE'!$D$72:$D$91)=0,0,'TO HOP NLAN'!F57*'TS-PILE'!$D$72/SUMSQ('TS-PILE'!$D$72:$D$91))),IF('TS-PILE'!$B$73="",-1E+99,'TO HOP NLAN'!D57/ncoc+IF(SUMSQ('TS-PILE'!$E$72:$E$91)=0,0,'TO HOP NLAN'!E57*'TS-PILE'!$E$73/SUMSQ('TS-PILE'!$E$72:$E$91))+IF(SUMSQ('TS-PILE'!$D$72:$D$91)=0,0,'TO HOP NLAN'!F57*'TS-PILE'!$D$73/SUMSQ('TS-PILE'!$D$72:$D$91))),IF('TS-PILE'!$B$74="",-1E+99,'TO HOP NLAN'!D57/ncoc+IF(SUMSQ('TS-PILE'!$E$72:$E$91)=0,0,'TO HOP NLAN'!E57*'TS-PILE'!$E$74/SUMSQ('TS-PILE'!$E$72:$E$91))+IF(SUMSQ('TS-PILE'!$D$72:$D$91)=0,0,'TO HOP NLAN'!F57*'TS-PILE'!$D$74/SUMSQ('TS-PILE'!$D$72:$D$91))),IF('TS-PILE'!$B$75="",-1E+99,'TO HOP NLAN'!D57/ncoc+IF(SUMSQ('TS-PILE'!$E$72:$E$91)=0,0,'TO HOP NLAN'!E57*'TS-PILE'!$E$75/SUMSQ('TS-PILE'!$E$72:$E$91))+IF(SUMSQ('TS-PILE'!$D$72:$D$91)=0,0,'TO HOP NLAN'!F57*'TS-PILE'!$D$75/SUMSQ('TS-PILE'!$D$72:$D$91))),IF('TS-PILE'!$B$76="",-1E+99,'TO HOP NLAN'!D57/ncoc+IF(SUMSQ('TS-PILE'!$E$72:$E$91)=0,0,'TO HOP NLAN'!E57*'TS-PILE'!$E$76/SUMSQ('TS-PILE'!$E$72:$E$91))+IF(SUMSQ('TS-PILE'!$D$72:$D$91)=0,0,'TO HOP NLAN'!F57*'TS-PILE'!$D$76/SUMSQ('TS-PILE'!$D$72:$D$91))),IF('TS-PILE'!$B$77="",-1E+99,'TO HOP NLAN'!D57/ncoc+IF(SUMSQ('TS-PILE'!$E$72:$E$91)=0,0,'TO HOP NLAN'!E57*'TS-PILE'!$E$77/SUMSQ('TS-PILE'!$E$72:$E$91))+IF(SUMSQ('TS-PILE'!$D$72:$D$91)=0,0,'TO HOP NLAN'!F57*'TS-PILE'!$D$77/SUMSQ('TS-PILE'!$D$72:$D$91))),IF('TS-PILE'!$B$78="",-1E+99,'TO HOP NLAN'!D57/ncoc+IF(SUMSQ('TS-PILE'!$E$72:$E$91)=0,0,'TO HOP NLAN'!E57*'TS-PILE'!$E$78/SUMSQ('TS-PILE'!$E$72:$E$91))+IF(SUMSQ('TS-PILE'!$D$72:$D$91)=0,0,'TO HOP NLAN'!F57*'TS-PILE'!$D$78/SUMSQ('TS-PILE'!$D$72:$D$91))),IF('TS-PILE'!$B$79="",-1E+99,'TO HOP NLAN'!D57/ncoc+IF(SUMSQ('TS-PILE'!$E$72:$E$91)=0,0,'TO HOP NLAN'!E57*'TS-PILE'!$E$79/SUMSQ('TS-PILE'!$E$72:$E$91))+IF(SUMSQ('TS-PILE'!$D$72:$D$91)=0,0,'TO HOP NLAN'!F57*'TS-PILE'!$D$79/SUMSQ('TS-PILE'!$D$72:$D$91))),IF('TS-PILE'!$B$80="",-1E+99,'TO HOP NLAN'!D57/ncoc+IF(SUMSQ('TS-PILE'!$E$72:$E$91)=0,0,'TO HOP NLAN'!E57*'TS-PILE'!$E$80/SUMSQ('TS-PILE'!$E$72:$E$91))+IF(SUMSQ('TS-PILE'!$D$72:$D$91)=0,0,'TO HOP NLAN'!F57*'TS-PILE'!$D$80/SUMSQ('TS-PILE'!$D$72:$D$91))),IF('TS-PILE'!$B$81="",-1E+99,'TO HOP NLAN'!D57/ncoc+IF(SUMSQ('TS-PILE'!$E$72:$E$91)=0,0,'TO HOP NLAN'!E57*'TS-PILE'!$E$81/SUMSQ('TS-PILE'!$E$72:$E$91))+IF(SUMSQ('TS-PILE'!$D$72:$D$91)=0,0,'TO HOP NLAN'!F57*'TS-PILE'!$D$81/SUMSQ('TS-PILE'!$D$72:$D$91))),IF('TS-PILE'!$B$82="",-1E+99,'TO HOP NLAN'!D57/ncoc+IF(SUMSQ('TS-PILE'!$E$72:$E$91)=0,0,'TO HOP NLAN'!E57*'TS-PILE'!$E$82/SUMSQ('TS-PILE'!$E$72:$E$91))+IF(SUMSQ('TS-PILE'!$D$72:$D$91)=0,0,'TO HOP NLAN'!F57*'TS-PILE'!$D$82/SUMSQ('TS-PILE'!$D$72:$D$91))),IF('TS-PILE'!$B$83="",-1E+99,'TO HOP NLAN'!D57/ncoc+IF(SUMSQ('TS-PILE'!$E$72:$E$91)=0,0,'TO HOP NLAN'!E57*'TS-PILE'!$E$83/SUMSQ('TS-PILE'!$E$72:$E$91))+IF(SUMSQ('TS-PILE'!$D$72:$D$91)=0,0,'TO HOP NLAN'!F57*'TS-PILE'!$D$83/SUMSQ('TS-PILE'!$D$72:$D$91))),IF('TS-PILE'!$B$84="",-1E+99,'TO HOP NLAN'!D57/ncoc+IF(SUMSQ('TS-PILE'!$E$72:$E$91)=0,0,'TO HOP NLAN'!E57*'TS-PILE'!$E$84/SUMSQ('TS-PILE'!$E$72:$E$91))+IF(SUMSQ('TS-PILE'!$D$72:$D$91)=0,0,'TO HOP NLAN'!F57*'TS-PILE'!$D$84/SUMSQ('TS-PILE'!$D$72:$D$91))),IF('TS-PILE'!$B$85="",-1E+99,'TO HOP NLAN'!D57/ncoc+IF(SUMSQ('TS-PILE'!$E$72:$E$91)=0,0,'TO HOP NLAN'!E57*'TS-PILE'!$E$85/SUMSQ('TS-PILE'!$E$72:$E$91))+IF(SUMSQ('TS-PILE'!$D$72:$D$91)=0,0,'TO HOP NLAN'!F57*'TS-PILE'!$D$85/SUMSQ('TS-PILE'!$D$72:$D$91))),IF('TS-PILE'!$B$86="",-1E+99,'TO HOP NLAN'!D57/ncoc+IF(SUMSQ('TS-PILE'!$E$72:$E$91)=0,0,'TO HOP NLAN'!E57*'TS-PILE'!$E$86/SUMSQ('TS-PILE'!$E$72:$E$91))+IF(SUMSQ('TS-PILE'!$D$72:$D$91)=0,0,'TO HOP NLAN'!F57*'TS-PILE'!$D$86/SUMSQ('TS-PILE'!$D$72:$D$91))),IF('TS-PILE'!$B$87="",-1E+99,'TO HOP NLAN'!D57/ncoc+IF(SUMSQ('TS-PILE'!$E$72:$E$91)=0,0,'TO HOP NLAN'!E57*'TS-PILE'!$E$87/SUMSQ('TS-PILE'!$E$72:$E$91))+IF(SUMSQ('TS-PILE'!$D$72:$D$91)=0,0,'TO HOP NLAN'!F57*'TS-PILE'!$D$87/SUMSQ('TS-PILE'!$D$72:$D$91))),IF('TS-PILE'!$B$88="",-1E+99,'TO HOP NLAN'!D57/ncoc+IF(SUMSQ('TS-PILE'!$E$72:$E$91)=0,0,'TO HOP NLAN'!E57*'TS-PILE'!$E$88/SUMSQ('TS-PILE'!$E$72:$E$91))+IF(SUMSQ('TS-PILE'!$D$72:$D$91)=0,0,'TO HOP NLAN'!F57*'TS-PILE'!$D$88/SUMSQ('TS-PILE'!$D$72:$D$91))),IF('TS-PILE'!$B$89="",-1E+99,'TO HOP NLAN'!D57/ncoc+IF(SUMSQ('TS-PILE'!$E$72:$E$91)=0,0,'TO HOP NLAN'!E57*'TS-PILE'!$E$89/SUMSQ('TS-PILE'!$E$72:$E$91))+IF(SUMSQ('TS-PILE'!$D$72:$D$91)=0,0,'TO HOP NLAN'!F57*'TS-PILE'!$D$89/SUMSQ('TS-PILE'!$D$72:$D$91))),IF('TS-PILE'!$B$90="",-1E+99,'TO HOP NLAN'!D57/ncoc+IF(SUMSQ('TS-PILE'!$E$72:$E$91)=0,0,'TO HOP NLAN'!E57*'TS-PILE'!$E$90/SUMSQ('TS-PILE'!$E$72:$E$91))+IF(SUMSQ('TS-PILE'!$D$72:$D$91)=0,0,'TO HOP NLAN'!F57*'TS-PILE'!$D$90/SUMSQ('TS-PILE'!$D$72:$D$91))),IF('TS-PILE'!$B$91="",-1E+99,'TO HOP NLAN'!D57/ncoc+IF(SUMSQ('TS-PILE'!$E$72:$E$91)=0,0,'TO HOP NLAN'!E57*'TS-PILE'!$E$91/SUMSQ('TS-PILE'!$E$72:$E$91))+IF(SUMSQ('TS-PILE'!$D$72:$D$91)=0,0,'TO HOP NLAN'!F57*'TS-PILE'!$D$91/SUMSQ('TS-PILE'!$D$72:$D$91)))))</f>
        <v>0</v>
      </c>
      <c r="D57" s="58">
        <f>IF(A57="",0,MIN(IF('TS-PILE'!$B$72="",1E+99,'TO HOP NLAN'!D57/ncoc+IF(SUMSQ('TS-PILE'!$E$72:$E$91)=0,0,'TO HOP NLAN'!E57*'TS-PILE'!$E$72/SUMSQ('TS-PILE'!$E$72:$E$91))+IF(SUMSQ('TS-PILE'!$D$72:$D$91)=0,0,'TO HOP NLAN'!F57*'TS-PILE'!$D$72/SUMSQ('TS-PILE'!$D$72:$D$91))),IF('TS-PILE'!$B$73="",1E+99,'TO HOP NLAN'!D57/ncoc+IF(SUMSQ('TS-PILE'!$E$72:$E$91)=0,0,'TO HOP NLAN'!E57*'TS-PILE'!$E$73/SUMSQ('TS-PILE'!$E$72:$E$91))+IF(SUMSQ('TS-PILE'!$D$72:$D$91)=0,0,'TO HOP NLAN'!F57*'TS-PILE'!$D$73/SUMSQ('TS-PILE'!$D$72:$D$91))),IF('TS-PILE'!$B$74="",1E+99,'TO HOP NLAN'!D57/ncoc+IF(SUMSQ('TS-PILE'!$E$72:$E$91)=0,0,'TO HOP NLAN'!E57*'TS-PILE'!$E$74/SUMSQ('TS-PILE'!$E$72:$E$91))+IF(SUMSQ('TS-PILE'!$D$72:$D$91)=0,0,'TO HOP NLAN'!F57*'TS-PILE'!$D$74/SUMSQ('TS-PILE'!$D$72:$D$91))),IF('TS-PILE'!$B$75="",1E+99,'TO HOP NLAN'!D57/ncoc+IF(SUMSQ('TS-PILE'!$E$72:$E$91)=0,0,'TO HOP NLAN'!E57*'TS-PILE'!$E$75/SUMSQ('TS-PILE'!$E$72:$E$91))+IF(SUMSQ('TS-PILE'!$D$72:$D$91)=0,0,'TO HOP NLAN'!F57*'TS-PILE'!$D$75/SUMSQ('TS-PILE'!$D$72:$D$91))),IF('TS-PILE'!$B$76="",1E+99,'TO HOP NLAN'!D57/ncoc+IF(SUMSQ('TS-PILE'!$E$72:$E$91)=0,0,'TO HOP NLAN'!E57*'TS-PILE'!$E$76/SUMSQ('TS-PILE'!$E$72:$E$91))+IF(SUMSQ('TS-PILE'!$D$72:$D$91)=0,0,'TO HOP NLAN'!F57*'TS-PILE'!$D$76/SUMSQ('TS-PILE'!$D$72:$D$91))),IF('TS-PILE'!$B$77="",1E+99,'TO HOP NLAN'!D57/ncoc+IF(SUMSQ('TS-PILE'!$E$72:$E$91)=0,0,'TO HOP NLAN'!E57*'TS-PILE'!$E$77/SUMSQ('TS-PILE'!$E$72:$E$91))+IF(SUMSQ('TS-PILE'!$D$72:$D$91)=0,0,'TO HOP NLAN'!F57*'TS-PILE'!$D$77/SUMSQ('TS-PILE'!$D$72:$D$91))),IF('TS-PILE'!$B$78="",1E+99,'TO HOP NLAN'!D57/ncoc+IF(SUMSQ('TS-PILE'!$E$72:$E$91)=0,0,'TO HOP NLAN'!E57*'TS-PILE'!$E$78/SUMSQ('TS-PILE'!$E$72:$E$91))+IF(SUMSQ('TS-PILE'!$D$72:$D$91)=0,0,'TO HOP NLAN'!F57*'TS-PILE'!$D$78/SUMSQ('TS-PILE'!$D$72:$D$91))),IF('TS-PILE'!$B$79="",1E+99,'TO HOP NLAN'!D57/ncoc+IF(SUMSQ('TS-PILE'!$E$72:$E$91)=0,0,'TO HOP NLAN'!E57*'TS-PILE'!$E$79/SUMSQ('TS-PILE'!$E$72:$E$91))+IF(SUMSQ('TS-PILE'!$D$72:$D$91)=0,0,'TO HOP NLAN'!F57*'TS-PILE'!$D$79/SUMSQ('TS-PILE'!$D$72:$D$91))),IF('TS-PILE'!$B$80="",1E+99,'TO HOP NLAN'!D57/ncoc+IF(SUMSQ('TS-PILE'!$E$72:$E$91)=0,0,'TO HOP NLAN'!E57*'TS-PILE'!$E$80/SUMSQ('TS-PILE'!$E$72:$E$91))+IF(SUMSQ('TS-PILE'!$D$72:$D$91)=0,0,'TO HOP NLAN'!F57*'TS-PILE'!$D$80/SUMSQ('TS-PILE'!$D$72:$D$91))),IF('TS-PILE'!$B$81="",1E+99,'TO HOP NLAN'!D57/ncoc+IF(SUMSQ('TS-PILE'!$E$72:$E$91)=0,0,'TO HOP NLAN'!E57*'TS-PILE'!$E$81/SUMSQ('TS-PILE'!$E$72:$E$91))+IF(SUMSQ('TS-PILE'!$D$72:$D$91)=0,0,'TO HOP NLAN'!F57*'TS-PILE'!$D$81/SUMSQ('TS-PILE'!$D$72:$D$91))),IF('TS-PILE'!$B$82="",1E+99,'TO HOP NLAN'!D57/ncoc+IF(SUMSQ('TS-PILE'!$E$72:$E$91)=0,0,'TO HOP NLAN'!E57*'TS-PILE'!$E$82/SUMSQ('TS-PILE'!$E$72:$E$91))+IF(SUMSQ('TS-PILE'!$D$72:$D$91)=0,0,'TO HOP NLAN'!F57*'TS-PILE'!$D$82/SUMSQ('TS-PILE'!$D$72:$D$91))),IF('TS-PILE'!$B$83="",1E+99,'TO HOP NLAN'!D57/ncoc+IF(SUMSQ('TS-PILE'!$E$72:$E$91)=0,0,'TO HOP NLAN'!E57*'TS-PILE'!$E$83/SUMSQ('TS-PILE'!$E$72:$E$91))+IF(SUMSQ('TS-PILE'!$D$72:$D$91)=0,0,'TO HOP NLAN'!F57*'TS-PILE'!$D$83/SUMSQ('TS-PILE'!$D$72:$D$91))),IF('TS-PILE'!$B$84="",1E+99,'TO HOP NLAN'!D57/ncoc+IF(SUMSQ('TS-PILE'!$E$72:$E$91)=0,0,'TO HOP NLAN'!E57*'TS-PILE'!$E$84/SUMSQ('TS-PILE'!$E$72:$E$91))+IF(SUMSQ('TS-PILE'!$D$72:$D$91)=0,0,'TO HOP NLAN'!F57*'TS-PILE'!$D$84/SUMSQ('TS-PILE'!$D$72:$D$91))),IF('TS-PILE'!$B$85="",1E+99,'TO HOP NLAN'!D57/ncoc+IF(SUMSQ('TS-PILE'!$E$72:$E$91)=0,0,'TO HOP NLAN'!E57*'TS-PILE'!$E$85/SUMSQ('TS-PILE'!$E$72:$E$91))+IF(SUMSQ('TS-PILE'!$D$72:$D$91)=0,0,'TO HOP NLAN'!F57*'TS-PILE'!$D$85/SUMSQ('TS-PILE'!$D$72:$D$91))),IF('TS-PILE'!$B$86="",1E+99,'TO HOP NLAN'!D57/ncoc+IF(SUMSQ('TS-PILE'!$E$72:$E$91)=0,0,'TO HOP NLAN'!E57*'TS-PILE'!$E$86/SUMSQ('TS-PILE'!$E$72:$E$91))+IF(SUMSQ('TS-PILE'!$D$72:$D$91)=0,0,'TO HOP NLAN'!F57*'TS-PILE'!$D$86/SUMSQ('TS-PILE'!$D$72:$D$91))),IF('TS-PILE'!$B$87="",1E+99,'TO HOP NLAN'!D57/ncoc+IF(SUMSQ('TS-PILE'!$E$72:$E$91)=0,0,'TO HOP NLAN'!E57*'TS-PILE'!$E$87/SUMSQ('TS-PILE'!$E$72:$E$91))+IF(SUMSQ('TS-PILE'!$D$72:$D$91)=0,0,'TO HOP NLAN'!F57*'TS-PILE'!$D$87/SUMSQ('TS-PILE'!$D$72:$D$91))),IF('TS-PILE'!$B$88="",1E+99,'TO HOP NLAN'!D57/ncoc+IF(SUMSQ('TS-PILE'!$E$72:$E$91)=0,0,'TO HOP NLAN'!E57*'TS-PILE'!$E$88/SUMSQ('TS-PILE'!$E$72:$E$91))+IF(SUMSQ('TS-PILE'!$D$72:$D$91)=0,0,'TO HOP NLAN'!F57*'TS-PILE'!$D$88/SUMSQ('TS-PILE'!$D$72:$D$91))),IF('TS-PILE'!$B$89="",1E+99,'TO HOP NLAN'!D57/ncoc+IF(SUMSQ('TS-PILE'!$E$72:$E$91)=0,0,'TO HOP NLAN'!E57*'TS-PILE'!$E$89/SUMSQ('TS-PILE'!$E$72:$E$91))+IF(SUMSQ('TS-PILE'!$D$72:$D$91)=0,0,'TO HOP NLAN'!F57*'TS-PILE'!$D$89/SUMSQ('TS-PILE'!$D$72:$D$91))),IF('TS-PILE'!$B$90="",1E+99,'TO HOP NLAN'!D57/ncoc+IF(SUMSQ('TS-PILE'!$E$72:$E$91)=0,0,'TO HOP NLAN'!E57*'TS-PILE'!$E$90/SUMSQ('TS-PILE'!$E$72:$E$91))+IF(SUMSQ('TS-PILE'!$D$72:$D$91)=0,0,'TO HOP NLAN'!F57*'TS-PILE'!$D$90/SUMSQ('TS-PILE'!$D$72:$D$91))),IF('TS-PILE'!$B$91="",1E+99,'TO HOP NLAN'!D57/ncoc+IF(SUMSQ('TS-PILE'!$E$72:$E$91)=0,0,'TO HOP NLAN'!E57*'TS-PILE'!$E$91/SUMSQ('TS-PILE'!$E$72:$E$91))+IF(SUMSQ('TS-PILE'!$D$72:$D$91)=0,0,'TO HOP NLAN'!F57*'TS-PILE'!$D$91/SUMSQ('TS-PILE'!$D$72:$D$91)))))</f>
        <v>0</v>
      </c>
      <c r="E57" s="58">
        <f t="shared" si="0"/>
        <v>-9.9999999999999997E+98</v>
      </c>
      <c r="F57" s="58">
        <f t="shared" si="1"/>
        <v>9.9999999999999997E+98</v>
      </c>
      <c r="G57" s="58">
        <f t="shared" si="2"/>
        <v>-9.9999999999999997E+98</v>
      </c>
      <c r="H57" s="58">
        <f t="shared" si="3"/>
        <v>9.9999999999999997E+98</v>
      </c>
    </row>
    <row r="58" spans="1:8" x14ac:dyDescent="0.3">
      <c r="A58" s="42" t="str">
        <f>'TO HOP NLAN'!A58</f>
        <v/>
      </c>
      <c r="B58" s="42" t="str">
        <f>'TO HOP NLAN'!L58</f>
        <v>SERVICE</v>
      </c>
      <c r="C58" s="58">
        <f>IF(A58="",0,MAX(IF('TS-PILE'!$B$72="",-1E+99,'TO HOP NLAN'!D58/ncoc+IF(SUMSQ('TS-PILE'!$E$72:$E$91)=0,0,'TO HOP NLAN'!E58*'TS-PILE'!$E$72/SUMSQ('TS-PILE'!$E$72:$E$91))+IF(SUMSQ('TS-PILE'!$D$72:$D$91)=0,0,'TO HOP NLAN'!F58*'TS-PILE'!$D$72/SUMSQ('TS-PILE'!$D$72:$D$91))),IF('TS-PILE'!$B$73="",-1E+99,'TO HOP NLAN'!D58/ncoc+IF(SUMSQ('TS-PILE'!$E$72:$E$91)=0,0,'TO HOP NLAN'!E58*'TS-PILE'!$E$73/SUMSQ('TS-PILE'!$E$72:$E$91))+IF(SUMSQ('TS-PILE'!$D$72:$D$91)=0,0,'TO HOP NLAN'!F58*'TS-PILE'!$D$73/SUMSQ('TS-PILE'!$D$72:$D$91))),IF('TS-PILE'!$B$74="",-1E+99,'TO HOP NLAN'!D58/ncoc+IF(SUMSQ('TS-PILE'!$E$72:$E$91)=0,0,'TO HOP NLAN'!E58*'TS-PILE'!$E$74/SUMSQ('TS-PILE'!$E$72:$E$91))+IF(SUMSQ('TS-PILE'!$D$72:$D$91)=0,0,'TO HOP NLAN'!F58*'TS-PILE'!$D$74/SUMSQ('TS-PILE'!$D$72:$D$91))),IF('TS-PILE'!$B$75="",-1E+99,'TO HOP NLAN'!D58/ncoc+IF(SUMSQ('TS-PILE'!$E$72:$E$91)=0,0,'TO HOP NLAN'!E58*'TS-PILE'!$E$75/SUMSQ('TS-PILE'!$E$72:$E$91))+IF(SUMSQ('TS-PILE'!$D$72:$D$91)=0,0,'TO HOP NLAN'!F58*'TS-PILE'!$D$75/SUMSQ('TS-PILE'!$D$72:$D$91))),IF('TS-PILE'!$B$76="",-1E+99,'TO HOP NLAN'!D58/ncoc+IF(SUMSQ('TS-PILE'!$E$72:$E$91)=0,0,'TO HOP NLAN'!E58*'TS-PILE'!$E$76/SUMSQ('TS-PILE'!$E$72:$E$91))+IF(SUMSQ('TS-PILE'!$D$72:$D$91)=0,0,'TO HOP NLAN'!F58*'TS-PILE'!$D$76/SUMSQ('TS-PILE'!$D$72:$D$91))),IF('TS-PILE'!$B$77="",-1E+99,'TO HOP NLAN'!D58/ncoc+IF(SUMSQ('TS-PILE'!$E$72:$E$91)=0,0,'TO HOP NLAN'!E58*'TS-PILE'!$E$77/SUMSQ('TS-PILE'!$E$72:$E$91))+IF(SUMSQ('TS-PILE'!$D$72:$D$91)=0,0,'TO HOP NLAN'!F58*'TS-PILE'!$D$77/SUMSQ('TS-PILE'!$D$72:$D$91))),IF('TS-PILE'!$B$78="",-1E+99,'TO HOP NLAN'!D58/ncoc+IF(SUMSQ('TS-PILE'!$E$72:$E$91)=0,0,'TO HOP NLAN'!E58*'TS-PILE'!$E$78/SUMSQ('TS-PILE'!$E$72:$E$91))+IF(SUMSQ('TS-PILE'!$D$72:$D$91)=0,0,'TO HOP NLAN'!F58*'TS-PILE'!$D$78/SUMSQ('TS-PILE'!$D$72:$D$91))),IF('TS-PILE'!$B$79="",-1E+99,'TO HOP NLAN'!D58/ncoc+IF(SUMSQ('TS-PILE'!$E$72:$E$91)=0,0,'TO HOP NLAN'!E58*'TS-PILE'!$E$79/SUMSQ('TS-PILE'!$E$72:$E$91))+IF(SUMSQ('TS-PILE'!$D$72:$D$91)=0,0,'TO HOP NLAN'!F58*'TS-PILE'!$D$79/SUMSQ('TS-PILE'!$D$72:$D$91))),IF('TS-PILE'!$B$80="",-1E+99,'TO HOP NLAN'!D58/ncoc+IF(SUMSQ('TS-PILE'!$E$72:$E$91)=0,0,'TO HOP NLAN'!E58*'TS-PILE'!$E$80/SUMSQ('TS-PILE'!$E$72:$E$91))+IF(SUMSQ('TS-PILE'!$D$72:$D$91)=0,0,'TO HOP NLAN'!F58*'TS-PILE'!$D$80/SUMSQ('TS-PILE'!$D$72:$D$91))),IF('TS-PILE'!$B$81="",-1E+99,'TO HOP NLAN'!D58/ncoc+IF(SUMSQ('TS-PILE'!$E$72:$E$91)=0,0,'TO HOP NLAN'!E58*'TS-PILE'!$E$81/SUMSQ('TS-PILE'!$E$72:$E$91))+IF(SUMSQ('TS-PILE'!$D$72:$D$91)=0,0,'TO HOP NLAN'!F58*'TS-PILE'!$D$81/SUMSQ('TS-PILE'!$D$72:$D$91))),IF('TS-PILE'!$B$82="",-1E+99,'TO HOP NLAN'!D58/ncoc+IF(SUMSQ('TS-PILE'!$E$72:$E$91)=0,0,'TO HOP NLAN'!E58*'TS-PILE'!$E$82/SUMSQ('TS-PILE'!$E$72:$E$91))+IF(SUMSQ('TS-PILE'!$D$72:$D$91)=0,0,'TO HOP NLAN'!F58*'TS-PILE'!$D$82/SUMSQ('TS-PILE'!$D$72:$D$91))),IF('TS-PILE'!$B$83="",-1E+99,'TO HOP NLAN'!D58/ncoc+IF(SUMSQ('TS-PILE'!$E$72:$E$91)=0,0,'TO HOP NLAN'!E58*'TS-PILE'!$E$83/SUMSQ('TS-PILE'!$E$72:$E$91))+IF(SUMSQ('TS-PILE'!$D$72:$D$91)=0,0,'TO HOP NLAN'!F58*'TS-PILE'!$D$83/SUMSQ('TS-PILE'!$D$72:$D$91))),IF('TS-PILE'!$B$84="",-1E+99,'TO HOP NLAN'!D58/ncoc+IF(SUMSQ('TS-PILE'!$E$72:$E$91)=0,0,'TO HOP NLAN'!E58*'TS-PILE'!$E$84/SUMSQ('TS-PILE'!$E$72:$E$91))+IF(SUMSQ('TS-PILE'!$D$72:$D$91)=0,0,'TO HOP NLAN'!F58*'TS-PILE'!$D$84/SUMSQ('TS-PILE'!$D$72:$D$91))),IF('TS-PILE'!$B$85="",-1E+99,'TO HOP NLAN'!D58/ncoc+IF(SUMSQ('TS-PILE'!$E$72:$E$91)=0,0,'TO HOP NLAN'!E58*'TS-PILE'!$E$85/SUMSQ('TS-PILE'!$E$72:$E$91))+IF(SUMSQ('TS-PILE'!$D$72:$D$91)=0,0,'TO HOP NLAN'!F58*'TS-PILE'!$D$85/SUMSQ('TS-PILE'!$D$72:$D$91))),IF('TS-PILE'!$B$86="",-1E+99,'TO HOP NLAN'!D58/ncoc+IF(SUMSQ('TS-PILE'!$E$72:$E$91)=0,0,'TO HOP NLAN'!E58*'TS-PILE'!$E$86/SUMSQ('TS-PILE'!$E$72:$E$91))+IF(SUMSQ('TS-PILE'!$D$72:$D$91)=0,0,'TO HOP NLAN'!F58*'TS-PILE'!$D$86/SUMSQ('TS-PILE'!$D$72:$D$91))),IF('TS-PILE'!$B$87="",-1E+99,'TO HOP NLAN'!D58/ncoc+IF(SUMSQ('TS-PILE'!$E$72:$E$91)=0,0,'TO HOP NLAN'!E58*'TS-PILE'!$E$87/SUMSQ('TS-PILE'!$E$72:$E$91))+IF(SUMSQ('TS-PILE'!$D$72:$D$91)=0,0,'TO HOP NLAN'!F58*'TS-PILE'!$D$87/SUMSQ('TS-PILE'!$D$72:$D$91))),IF('TS-PILE'!$B$88="",-1E+99,'TO HOP NLAN'!D58/ncoc+IF(SUMSQ('TS-PILE'!$E$72:$E$91)=0,0,'TO HOP NLAN'!E58*'TS-PILE'!$E$88/SUMSQ('TS-PILE'!$E$72:$E$91))+IF(SUMSQ('TS-PILE'!$D$72:$D$91)=0,0,'TO HOP NLAN'!F58*'TS-PILE'!$D$88/SUMSQ('TS-PILE'!$D$72:$D$91))),IF('TS-PILE'!$B$89="",-1E+99,'TO HOP NLAN'!D58/ncoc+IF(SUMSQ('TS-PILE'!$E$72:$E$91)=0,0,'TO HOP NLAN'!E58*'TS-PILE'!$E$89/SUMSQ('TS-PILE'!$E$72:$E$91))+IF(SUMSQ('TS-PILE'!$D$72:$D$91)=0,0,'TO HOP NLAN'!F58*'TS-PILE'!$D$89/SUMSQ('TS-PILE'!$D$72:$D$91))),IF('TS-PILE'!$B$90="",-1E+99,'TO HOP NLAN'!D58/ncoc+IF(SUMSQ('TS-PILE'!$E$72:$E$91)=0,0,'TO HOP NLAN'!E58*'TS-PILE'!$E$90/SUMSQ('TS-PILE'!$E$72:$E$91))+IF(SUMSQ('TS-PILE'!$D$72:$D$91)=0,0,'TO HOP NLAN'!F58*'TS-PILE'!$D$90/SUMSQ('TS-PILE'!$D$72:$D$91))),IF('TS-PILE'!$B$91="",-1E+99,'TO HOP NLAN'!D58/ncoc+IF(SUMSQ('TS-PILE'!$E$72:$E$91)=0,0,'TO HOP NLAN'!E58*'TS-PILE'!$E$91/SUMSQ('TS-PILE'!$E$72:$E$91))+IF(SUMSQ('TS-PILE'!$D$72:$D$91)=0,0,'TO HOP NLAN'!F58*'TS-PILE'!$D$91/SUMSQ('TS-PILE'!$D$72:$D$91)))))</f>
        <v>0</v>
      </c>
      <c r="D58" s="58">
        <f>IF(A58="",0,MIN(IF('TS-PILE'!$B$72="",1E+99,'TO HOP NLAN'!D58/ncoc+IF(SUMSQ('TS-PILE'!$E$72:$E$91)=0,0,'TO HOP NLAN'!E58*'TS-PILE'!$E$72/SUMSQ('TS-PILE'!$E$72:$E$91))+IF(SUMSQ('TS-PILE'!$D$72:$D$91)=0,0,'TO HOP NLAN'!F58*'TS-PILE'!$D$72/SUMSQ('TS-PILE'!$D$72:$D$91))),IF('TS-PILE'!$B$73="",1E+99,'TO HOP NLAN'!D58/ncoc+IF(SUMSQ('TS-PILE'!$E$72:$E$91)=0,0,'TO HOP NLAN'!E58*'TS-PILE'!$E$73/SUMSQ('TS-PILE'!$E$72:$E$91))+IF(SUMSQ('TS-PILE'!$D$72:$D$91)=0,0,'TO HOP NLAN'!F58*'TS-PILE'!$D$73/SUMSQ('TS-PILE'!$D$72:$D$91))),IF('TS-PILE'!$B$74="",1E+99,'TO HOP NLAN'!D58/ncoc+IF(SUMSQ('TS-PILE'!$E$72:$E$91)=0,0,'TO HOP NLAN'!E58*'TS-PILE'!$E$74/SUMSQ('TS-PILE'!$E$72:$E$91))+IF(SUMSQ('TS-PILE'!$D$72:$D$91)=0,0,'TO HOP NLAN'!F58*'TS-PILE'!$D$74/SUMSQ('TS-PILE'!$D$72:$D$91))),IF('TS-PILE'!$B$75="",1E+99,'TO HOP NLAN'!D58/ncoc+IF(SUMSQ('TS-PILE'!$E$72:$E$91)=0,0,'TO HOP NLAN'!E58*'TS-PILE'!$E$75/SUMSQ('TS-PILE'!$E$72:$E$91))+IF(SUMSQ('TS-PILE'!$D$72:$D$91)=0,0,'TO HOP NLAN'!F58*'TS-PILE'!$D$75/SUMSQ('TS-PILE'!$D$72:$D$91))),IF('TS-PILE'!$B$76="",1E+99,'TO HOP NLAN'!D58/ncoc+IF(SUMSQ('TS-PILE'!$E$72:$E$91)=0,0,'TO HOP NLAN'!E58*'TS-PILE'!$E$76/SUMSQ('TS-PILE'!$E$72:$E$91))+IF(SUMSQ('TS-PILE'!$D$72:$D$91)=0,0,'TO HOP NLAN'!F58*'TS-PILE'!$D$76/SUMSQ('TS-PILE'!$D$72:$D$91))),IF('TS-PILE'!$B$77="",1E+99,'TO HOP NLAN'!D58/ncoc+IF(SUMSQ('TS-PILE'!$E$72:$E$91)=0,0,'TO HOP NLAN'!E58*'TS-PILE'!$E$77/SUMSQ('TS-PILE'!$E$72:$E$91))+IF(SUMSQ('TS-PILE'!$D$72:$D$91)=0,0,'TO HOP NLAN'!F58*'TS-PILE'!$D$77/SUMSQ('TS-PILE'!$D$72:$D$91))),IF('TS-PILE'!$B$78="",1E+99,'TO HOP NLAN'!D58/ncoc+IF(SUMSQ('TS-PILE'!$E$72:$E$91)=0,0,'TO HOP NLAN'!E58*'TS-PILE'!$E$78/SUMSQ('TS-PILE'!$E$72:$E$91))+IF(SUMSQ('TS-PILE'!$D$72:$D$91)=0,0,'TO HOP NLAN'!F58*'TS-PILE'!$D$78/SUMSQ('TS-PILE'!$D$72:$D$91))),IF('TS-PILE'!$B$79="",1E+99,'TO HOP NLAN'!D58/ncoc+IF(SUMSQ('TS-PILE'!$E$72:$E$91)=0,0,'TO HOP NLAN'!E58*'TS-PILE'!$E$79/SUMSQ('TS-PILE'!$E$72:$E$91))+IF(SUMSQ('TS-PILE'!$D$72:$D$91)=0,0,'TO HOP NLAN'!F58*'TS-PILE'!$D$79/SUMSQ('TS-PILE'!$D$72:$D$91))),IF('TS-PILE'!$B$80="",1E+99,'TO HOP NLAN'!D58/ncoc+IF(SUMSQ('TS-PILE'!$E$72:$E$91)=0,0,'TO HOP NLAN'!E58*'TS-PILE'!$E$80/SUMSQ('TS-PILE'!$E$72:$E$91))+IF(SUMSQ('TS-PILE'!$D$72:$D$91)=0,0,'TO HOP NLAN'!F58*'TS-PILE'!$D$80/SUMSQ('TS-PILE'!$D$72:$D$91))),IF('TS-PILE'!$B$81="",1E+99,'TO HOP NLAN'!D58/ncoc+IF(SUMSQ('TS-PILE'!$E$72:$E$91)=0,0,'TO HOP NLAN'!E58*'TS-PILE'!$E$81/SUMSQ('TS-PILE'!$E$72:$E$91))+IF(SUMSQ('TS-PILE'!$D$72:$D$91)=0,0,'TO HOP NLAN'!F58*'TS-PILE'!$D$81/SUMSQ('TS-PILE'!$D$72:$D$91))),IF('TS-PILE'!$B$82="",1E+99,'TO HOP NLAN'!D58/ncoc+IF(SUMSQ('TS-PILE'!$E$72:$E$91)=0,0,'TO HOP NLAN'!E58*'TS-PILE'!$E$82/SUMSQ('TS-PILE'!$E$72:$E$91))+IF(SUMSQ('TS-PILE'!$D$72:$D$91)=0,0,'TO HOP NLAN'!F58*'TS-PILE'!$D$82/SUMSQ('TS-PILE'!$D$72:$D$91))),IF('TS-PILE'!$B$83="",1E+99,'TO HOP NLAN'!D58/ncoc+IF(SUMSQ('TS-PILE'!$E$72:$E$91)=0,0,'TO HOP NLAN'!E58*'TS-PILE'!$E$83/SUMSQ('TS-PILE'!$E$72:$E$91))+IF(SUMSQ('TS-PILE'!$D$72:$D$91)=0,0,'TO HOP NLAN'!F58*'TS-PILE'!$D$83/SUMSQ('TS-PILE'!$D$72:$D$91))),IF('TS-PILE'!$B$84="",1E+99,'TO HOP NLAN'!D58/ncoc+IF(SUMSQ('TS-PILE'!$E$72:$E$91)=0,0,'TO HOP NLAN'!E58*'TS-PILE'!$E$84/SUMSQ('TS-PILE'!$E$72:$E$91))+IF(SUMSQ('TS-PILE'!$D$72:$D$91)=0,0,'TO HOP NLAN'!F58*'TS-PILE'!$D$84/SUMSQ('TS-PILE'!$D$72:$D$91))),IF('TS-PILE'!$B$85="",1E+99,'TO HOP NLAN'!D58/ncoc+IF(SUMSQ('TS-PILE'!$E$72:$E$91)=0,0,'TO HOP NLAN'!E58*'TS-PILE'!$E$85/SUMSQ('TS-PILE'!$E$72:$E$91))+IF(SUMSQ('TS-PILE'!$D$72:$D$91)=0,0,'TO HOP NLAN'!F58*'TS-PILE'!$D$85/SUMSQ('TS-PILE'!$D$72:$D$91))),IF('TS-PILE'!$B$86="",1E+99,'TO HOP NLAN'!D58/ncoc+IF(SUMSQ('TS-PILE'!$E$72:$E$91)=0,0,'TO HOP NLAN'!E58*'TS-PILE'!$E$86/SUMSQ('TS-PILE'!$E$72:$E$91))+IF(SUMSQ('TS-PILE'!$D$72:$D$91)=0,0,'TO HOP NLAN'!F58*'TS-PILE'!$D$86/SUMSQ('TS-PILE'!$D$72:$D$91))),IF('TS-PILE'!$B$87="",1E+99,'TO HOP NLAN'!D58/ncoc+IF(SUMSQ('TS-PILE'!$E$72:$E$91)=0,0,'TO HOP NLAN'!E58*'TS-PILE'!$E$87/SUMSQ('TS-PILE'!$E$72:$E$91))+IF(SUMSQ('TS-PILE'!$D$72:$D$91)=0,0,'TO HOP NLAN'!F58*'TS-PILE'!$D$87/SUMSQ('TS-PILE'!$D$72:$D$91))),IF('TS-PILE'!$B$88="",1E+99,'TO HOP NLAN'!D58/ncoc+IF(SUMSQ('TS-PILE'!$E$72:$E$91)=0,0,'TO HOP NLAN'!E58*'TS-PILE'!$E$88/SUMSQ('TS-PILE'!$E$72:$E$91))+IF(SUMSQ('TS-PILE'!$D$72:$D$91)=0,0,'TO HOP NLAN'!F58*'TS-PILE'!$D$88/SUMSQ('TS-PILE'!$D$72:$D$91))),IF('TS-PILE'!$B$89="",1E+99,'TO HOP NLAN'!D58/ncoc+IF(SUMSQ('TS-PILE'!$E$72:$E$91)=0,0,'TO HOP NLAN'!E58*'TS-PILE'!$E$89/SUMSQ('TS-PILE'!$E$72:$E$91))+IF(SUMSQ('TS-PILE'!$D$72:$D$91)=0,0,'TO HOP NLAN'!F58*'TS-PILE'!$D$89/SUMSQ('TS-PILE'!$D$72:$D$91))),IF('TS-PILE'!$B$90="",1E+99,'TO HOP NLAN'!D58/ncoc+IF(SUMSQ('TS-PILE'!$E$72:$E$91)=0,0,'TO HOP NLAN'!E58*'TS-PILE'!$E$90/SUMSQ('TS-PILE'!$E$72:$E$91))+IF(SUMSQ('TS-PILE'!$D$72:$D$91)=0,0,'TO HOP NLAN'!F58*'TS-PILE'!$D$90/SUMSQ('TS-PILE'!$D$72:$D$91))),IF('TS-PILE'!$B$91="",1E+99,'TO HOP NLAN'!D58/ncoc+IF(SUMSQ('TS-PILE'!$E$72:$E$91)=0,0,'TO HOP NLAN'!E58*'TS-PILE'!$E$91/SUMSQ('TS-PILE'!$E$72:$E$91))+IF(SUMSQ('TS-PILE'!$D$72:$D$91)=0,0,'TO HOP NLAN'!F58*'TS-PILE'!$D$91/SUMSQ('TS-PILE'!$D$72:$D$91)))))</f>
        <v>0</v>
      </c>
      <c r="E58" s="58">
        <f t="shared" si="0"/>
        <v>-9.9999999999999997E+98</v>
      </c>
      <c r="F58" s="58">
        <f t="shared" si="1"/>
        <v>9.9999999999999997E+98</v>
      </c>
      <c r="G58" s="58">
        <f t="shared" si="2"/>
        <v>-9.9999999999999997E+98</v>
      </c>
      <c r="H58" s="58">
        <f t="shared" si="3"/>
        <v>9.9999999999999997E+98</v>
      </c>
    </row>
    <row r="59" spans="1:8" x14ac:dyDescent="0.3">
      <c r="A59" s="42" t="str">
        <f>'TO HOP NLAN'!A59</f>
        <v/>
      </c>
      <c r="B59" s="42" t="str">
        <f>'TO HOP NLAN'!L59</f>
        <v>SERVICE</v>
      </c>
      <c r="C59" s="58">
        <f>IF(A59="",0,MAX(IF('TS-PILE'!$B$72="",-1E+99,'TO HOP NLAN'!D59/ncoc+IF(SUMSQ('TS-PILE'!$E$72:$E$91)=0,0,'TO HOP NLAN'!E59*'TS-PILE'!$E$72/SUMSQ('TS-PILE'!$E$72:$E$91))+IF(SUMSQ('TS-PILE'!$D$72:$D$91)=0,0,'TO HOP NLAN'!F59*'TS-PILE'!$D$72/SUMSQ('TS-PILE'!$D$72:$D$91))),IF('TS-PILE'!$B$73="",-1E+99,'TO HOP NLAN'!D59/ncoc+IF(SUMSQ('TS-PILE'!$E$72:$E$91)=0,0,'TO HOP NLAN'!E59*'TS-PILE'!$E$73/SUMSQ('TS-PILE'!$E$72:$E$91))+IF(SUMSQ('TS-PILE'!$D$72:$D$91)=0,0,'TO HOP NLAN'!F59*'TS-PILE'!$D$73/SUMSQ('TS-PILE'!$D$72:$D$91))),IF('TS-PILE'!$B$74="",-1E+99,'TO HOP NLAN'!D59/ncoc+IF(SUMSQ('TS-PILE'!$E$72:$E$91)=0,0,'TO HOP NLAN'!E59*'TS-PILE'!$E$74/SUMSQ('TS-PILE'!$E$72:$E$91))+IF(SUMSQ('TS-PILE'!$D$72:$D$91)=0,0,'TO HOP NLAN'!F59*'TS-PILE'!$D$74/SUMSQ('TS-PILE'!$D$72:$D$91))),IF('TS-PILE'!$B$75="",-1E+99,'TO HOP NLAN'!D59/ncoc+IF(SUMSQ('TS-PILE'!$E$72:$E$91)=0,0,'TO HOP NLAN'!E59*'TS-PILE'!$E$75/SUMSQ('TS-PILE'!$E$72:$E$91))+IF(SUMSQ('TS-PILE'!$D$72:$D$91)=0,0,'TO HOP NLAN'!F59*'TS-PILE'!$D$75/SUMSQ('TS-PILE'!$D$72:$D$91))),IF('TS-PILE'!$B$76="",-1E+99,'TO HOP NLAN'!D59/ncoc+IF(SUMSQ('TS-PILE'!$E$72:$E$91)=0,0,'TO HOP NLAN'!E59*'TS-PILE'!$E$76/SUMSQ('TS-PILE'!$E$72:$E$91))+IF(SUMSQ('TS-PILE'!$D$72:$D$91)=0,0,'TO HOP NLAN'!F59*'TS-PILE'!$D$76/SUMSQ('TS-PILE'!$D$72:$D$91))),IF('TS-PILE'!$B$77="",-1E+99,'TO HOP NLAN'!D59/ncoc+IF(SUMSQ('TS-PILE'!$E$72:$E$91)=0,0,'TO HOP NLAN'!E59*'TS-PILE'!$E$77/SUMSQ('TS-PILE'!$E$72:$E$91))+IF(SUMSQ('TS-PILE'!$D$72:$D$91)=0,0,'TO HOP NLAN'!F59*'TS-PILE'!$D$77/SUMSQ('TS-PILE'!$D$72:$D$91))),IF('TS-PILE'!$B$78="",-1E+99,'TO HOP NLAN'!D59/ncoc+IF(SUMSQ('TS-PILE'!$E$72:$E$91)=0,0,'TO HOP NLAN'!E59*'TS-PILE'!$E$78/SUMSQ('TS-PILE'!$E$72:$E$91))+IF(SUMSQ('TS-PILE'!$D$72:$D$91)=0,0,'TO HOP NLAN'!F59*'TS-PILE'!$D$78/SUMSQ('TS-PILE'!$D$72:$D$91))),IF('TS-PILE'!$B$79="",-1E+99,'TO HOP NLAN'!D59/ncoc+IF(SUMSQ('TS-PILE'!$E$72:$E$91)=0,0,'TO HOP NLAN'!E59*'TS-PILE'!$E$79/SUMSQ('TS-PILE'!$E$72:$E$91))+IF(SUMSQ('TS-PILE'!$D$72:$D$91)=0,0,'TO HOP NLAN'!F59*'TS-PILE'!$D$79/SUMSQ('TS-PILE'!$D$72:$D$91))),IF('TS-PILE'!$B$80="",-1E+99,'TO HOP NLAN'!D59/ncoc+IF(SUMSQ('TS-PILE'!$E$72:$E$91)=0,0,'TO HOP NLAN'!E59*'TS-PILE'!$E$80/SUMSQ('TS-PILE'!$E$72:$E$91))+IF(SUMSQ('TS-PILE'!$D$72:$D$91)=0,0,'TO HOP NLAN'!F59*'TS-PILE'!$D$80/SUMSQ('TS-PILE'!$D$72:$D$91))),IF('TS-PILE'!$B$81="",-1E+99,'TO HOP NLAN'!D59/ncoc+IF(SUMSQ('TS-PILE'!$E$72:$E$91)=0,0,'TO HOP NLAN'!E59*'TS-PILE'!$E$81/SUMSQ('TS-PILE'!$E$72:$E$91))+IF(SUMSQ('TS-PILE'!$D$72:$D$91)=0,0,'TO HOP NLAN'!F59*'TS-PILE'!$D$81/SUMSQ('TS-PILE'!$D$72:$D$91))),IF('TS-PILE'!$B$82="",-1E+99,'TO HOP NLAN'!D59/ncoc+IF(SUMSQ('TS-PILE'!$E$72:$E$91)=0,0,'TO HOP NLAN'!E59*'TS-PILE'!$E$82/SUMSQ('TS-PILE'!$E$72:$E$91))+IF(SUMSQ('TS-PILE'!$D$72:$D$91)=0,0,'TO HOP NLAN'!F59*'TS-PILE'!$D$82/SUMSQ('TS-PILE'!$D$72:$D$91))),IF('TS-PILE'!$B$83="",-1E+99,'TO HOP NLAN'!D59/ncoc+IF(SUMSQ('TS-PILE'!$E$72:$E$91)=0,0,'TO HOP NLAN'!E59*'TS-PILE'!$E$83/SUMSQ('TS-PILE'!$E$72:$E$91))+IF(SUMSQ('TS-PILE'!$D$72:$D$91)=0,0,'TO HOP NLAN'!F59*'TS-PILE'!$D$83/SUMSQ('TS-PILE'!$D$72:$D$91))),IF('TS-PILE'!$B$84="",-1E+99,'TO HOP NLAN'!D59/ncoc+IF(SUMSQ('TS-PILE'!$E$72:$E$91)=0,0,'TO HOP NLAN'!E59*'TS-PILE'!$E$84/SUMSQ('TS-PILE'!$E$72:$E$91))+IF(SUMSQ('TS-PILE'!$D$72:$D$91)=0,0,'TO HOP NLAN'!F59*'TS-PILE'!$D$84/SUMSQ('TS-PILE'!$D$72:$D$91))),IF('TS-PILE'!$B$85="",-1E+99,'TO HOP NLAN'!D59/ncoc+IF(SUMSQ('TS-PILE'!$E$72:$E$91)=0,0,'TO HOP NLAN'!E59*'TS-PILE'!$E$85/SUMSQ('TS-PILE'!$E$72:$E$91))+IF(SUMSQ('TS-PILE'!$D$72:$D$91)=0,0,'TO HOP NLAN'!F59*'TS-PILE'!$D$85/SUMSQ('TS-PILE'!$D$72:$D$91))),IF('TS-PILE'!$B$86="",-1E+99,'TO HOP NLAN'!D59/ncoc+IF(SUMSQ('TS-PILE'!$E$72:$E$91)=0,0,'TO HOP NLAN'!E59*'TS-PILE'!$E$86/SUMSQ('TS-PILE'!$E$72:$E$91))+IF(SUMSQ('TS-PILE'!$D$72:$D$91)=0,0,'TO HOP NLAN'!F59*'TS-PILE'!$D$86/SUMSQ('TS-PILE'!$D$72:$D$91))),IF('TS-PILE'!$B$87="",-1E+99,'TO HOP NLAN'!D59/ncoc+IF(SUMSQ('TS-PILE'!$E$72:$E$91)=0,0,'TO HOP NLAN'!E59*'TS-PILE'!$E$87/SUMSQ('TS-PILE'!$E$72:$E$91))+IF(SUMSQ('TS-PILE'!$D$72:$D$91)=0,0,'TO HOP NLAN'!F59*'TS-PILE'!$D$87/SUMSQ('TS-PILE'!$D$72:$D$91))),IF('TS-PILE'!$B$88="",-1E+99,'TO HOP NLAN'!D59/ncoc+IF(SUMSQ('TS-PILE'!$E$72:$E$91)=0,0,'TO HOP NLAN'!E59*'TS-PILE'!$E$88/SUMSQ('TS-PILE'!$E$72:$E$91))+IF(SUMSQ('TS-PILE'!$D$72:$D$91)=0,0,'TO HOP NLAN'!F59*'TS-PILE'!$D$88/SUMSQ('TS-PILE'!$D$72:$D$91))),IF('TS-PILE'!$B$89="",-1E+99,'TO HOP NLAN'!D59/ncoc+IF(SUMSQ('TS-PILE'!$E$72:$E$91)=0,0,'TO HOP NLAN'!E59*'TS-PILE'!$E$89/SUMSQ('TS-PILE'!$E$72:$E$91))+IF(SUMSQ('TS-PILE'!$D$72:$D$91)=0,0,'TO HOP NLAN'!F59*'TS-PILE'!$D$89/SUMSQ('TS-PILE'!$D$72:$D$91))),IF('TS-PILE'!$B$90="",-1E+99,'TO HOP NLAN'!D59/ncoc+IF(SUMSQ('TS-PILE'!$E$72:$E$91)=0,0,'TO HOP NLAN'!E59*'TS-PILE'!$E$90/SUMSQ('TS-PILE'!$E$72:$E$91))+IF(SUMSQ('TS-PILE'!$D$72:$D$91)=0,0,'TO HOP NLAN'!F59*'TS-PILE'!$D$90/SUMSQ('TS-PILE'!$D$72:$D$91))),IF('TS-PILE'!$B$91="",-1E+99,'TO HOP NLAN'!D59/ncoc+IF(SUMSQ('TS-PILE'!$E$72:$E$91)=0,0,'TO HOP NLAN'!E59*'TS-PILE'!$E$91/SUMSQ('TS-PILE'!$E$72:$E$91))+IF(SUMSQ('TS-PILE'!$D$72:$D$91)=0,0,'TO HOP NLAN'!F59*'TS-PILE'!$D$91/SUMSQ('TS-PILE'!$D$72:$D$91)))))</f>
        <v>0</v>
      </c>
      <c r="D59" s="58">
        <f>IF(A59="",0,MIN(IF('TS-PILE'!$B$72="",1E+99,'TO HOP NLAN'!D59/ncoc+IF(SUMSQ('TS-PILE'!$E$72:$E$91)=0,0,'TO HOP NLAN'!E59*'TS-PILE'!$E$72/SUMSQ('TS-PILE'!$E$72:$E$91))+IF(SUMSQ('TS-PILE'!$D$72:$D$91)=0,0,'TO HOP NLAN'!F59*'TS-PILE'!$D$72/SUMSQ('TS-PILE'!$D$72:$D$91))),IF('TS-PILE'!$B$73="",1E+99,'TO HOP NLAN'!D59/ncoc+IF(SUMSQ('TS-PILE'!$E$72:$E$91)=0,0,'TO HOP NLAN'!E59*'TS-PILE'!$E$73/SUMSQ('TS-PILE'!$E$72:$E$91))+IF(SUMSQ('TS-PILE'!$D$72:$D$91)=0,0,'TO HOP NLAN'!F59*'TS-PILE'!$D$73/SUMSQ('TS-PILE'!$D$72:$D$91))),IF('TS-PILE'!$B$74="",1E+99,'TO HOP NLAN'!D59/ncoc+IF(SUMSQ('TS-PILE'!$E$72:$E$91)=0,0,'TO HOP NLAN'!E59*'TS-PILE'!$E$74/SUMSQ('TS-PILE'!$E$72:$E$91))+IF(SUMSQ('TS-PILE'!$D$72:$D$91)=0,0,'TO HOP NLAN'!F59*'TS-PILE'!$D$74/SUMSQ('TS-PILE'!$D$72:$D$91))),IF('TS-PILE'!$B$75="",1E+99,'TO HOP NLAN'!D59/ncoc+IF(SUMSQ('TS-PILE'!$E$72:$E$91)=0,0,'TO HOP NLAN'!E59*'TS-PILE'!$E$75/SUMSQ('TS-PILE'!$E$72:$E$91))+IF(SUMSQ('TS-PILE'!$D$72:$D$91)=0,0,'TO HOP NLAN'!F59*'TS-PILE'!$D$75/SUMSQ('TS-PILE'!$D$72:$D$91))),IF('TS-PILE'!$B$76="",1E+99,'TO HOP NLAN'!D59/ncoc+IF(SUMSQ('TS-PILE'!$E$72:$E$91)=0,0,'TO HOP NLAN'!E59*'TS-PILE'!$E$76/SUMSQ('TS-PILE'!$E$72:$E$91))+IF(SUMSQ('TS-PILE'!$D$72:$D$91)=0,0,'TO HOP NLAN'!F59*'TS-PILE'!$D$76/SUMSQ('TS-PILE'!$D$72:$D$91))),IF('TS-PILE'!$B$77="",1E+99,'TO HOP NLAN'!D59/ncoc+IF(SUMSQ('TS-PILE'!$E$72:$E$91)=0,0,'TO HOP NLAN'!E59*'TS-PILE'!$E$77/SUMSQ('TS-PILE'!$E$72:$E$91))+IF(SUMSQ('TS-PILE'!$D$72:$D$91)=0,0,'TO HOP NLAN'!F59*'TS-PILE'!$D$77/SUMSQ('TS-PILE'!$D$72:$D$91))),IF('TS-PILE'!$B$78="",1E+99,'TO HOP NLAN'!D59/ncoc+IF(SUMSQ('TS-PILE'!$E$72:$E$91)=0,0,'TO HOP NLAN'!E59*'TS-PILE'!$E$78/SUMSQ('TS-PILE'!$E$72:$E$91))+IF(SUMSQ('TS-PILE'!$D$72:$D$91)=0,0,'TO HOP NLAN'!F59*'TS-PILE'!$D$78/SUMSQ('TS-PILE'!$D$72:$D$91))),IF('TS-PILE'!$B$79="",1E+99,'TO HOP NLAN'!D59/ncoc+IF(SUMSQ('TS-PILE'!$E$72:$E$91)=0,0,'TO HOP NLAN'!E59*'TS-PILE'!$E$79/SUMSQ('TS-PILE'!$E$72:$E$91))+IF(SUMSQ('TS-PILE'!$D$72:$D$91)=0,0,'TO HOP NLAN'!F59*'TS-PILE'!$D$79/SUMSQ('TS-PILE'!$D$72:$D$91))),IF('TS-PILE'!$B$80="",1E+99,'TO HOP NLAN'!D59/ncoc+IF(SUMSQ('TS-PILE'!$E$72:$E$91)=0,0,'TO HOP NLAN'!E59*'TS-PILE'!$E$80/SUMSQ('TS-PILE'!$E$72:$E$91))+IF(SUMSQ('TS-PILE'!$D$72:$D$91)=0,0,'TO HOP NLAN'!F59*'TS-PILE'!$D$80/SUMSQ('TS-PILE'!$D$72:$D$91))),IF('TS-PILE'!$B$81="",1E+99,'TO HOP NLAN'!D59/ncoc+IF(SUMSQ('TS-PILE'!$E$72:$E$91)=0,0,'TO HOP NLAN'!E59*'TS-PILE'!$E$81/SUMSQ('TS-PILE'!$E$72:$E$91))+IF(SUMSQ('TS-PILE'!$D$72:$D$91)=0,0,'TO HOP NLAN'!F59*'TS-PILE'!$D$81/SUMSQ('TS-PILE'!$D$72:$D$91))),IF('TS-PILE'!$B$82="",1E+99,'TO HOP NLAN'!D59/ncoc+IF(SUMSQ('TS-PILE'!$E$72:$E$91)=0,0,'TO HOP NLAN'!E59*'TS-PILE'!$E$82/SUMSQ('TS-PILE'!$E$72:$E$91))+IF(SUMSQ('TS-PILE'!$D$72:$D$91)=0,0,'TO HOP NLAN'!F59*'TS-PILE'!$D$82/SUMSQ('TS-PILE'!$D$72:$D$91))),IF('TS-PILE'!$B$83="",1E+99,'TO HOP NLAN'!D59/ncoc+IF(SUMSQ('TS-PILE'!$E$72:$E$91)=0,0,'TO HOP NLAN'!E59*'TS-PILE'!$E$83/SUMSQ('TS-PILE'!$E$72:$E$91))+IF(SUMSQ('TS-PILE'!$D$72:$D$91)=0,0,'TO HOP NLAN'!F59*'TS-PILE'!$D$83/SUMSQ('TS-PILE'!$D$72:$D$91))),IF('TS-PILE'!$B$84="",1E+99,'TO HOP NLAN'!D59/ncoc+IF(SUMSQ('TS-PILE'!$E$72:$E$91)=0,0,'TO HOP NLAN'!E59*'TS-PILE'!$E$84/SUMSQ('TS-PILE'!$E$72:$E$91))+IF(SUMSQ('TS-PILE'!$D$72:$D$91)=0,0,'TO HOP NLAN'!F59*'TS-PILE'!$D$84/SUMSQ('TS-PILE'!$D$72:$D$91))),IF('TS-PILE'!$B$85="",1E+99,'TO HOP NLAN'!D59/ncoc+IF(SUMSQ('TS-PILE'!$E$72:$E$91)=0,0,'TO HOP NLAN'!E59*'TS-PILE'!$E$85/SUMSQ('TS-PILE'!$E$72:$E$91))+IF(SUMSQ('TS-PILE'!$D$72:$D$91)=0,0,'TO HOP NLAN'!F59*'TS-PILE'!$D$85/SUMSQ('TS-PILE'!$D$72:$D$91))),IF('TS-PILE'!$B$86="",1E+99,'TO HOP NLAN'!D59/ncoc+IF(SUMSQ('TS-PILE'!$E$72:$E$91)=0,0,'TO HOP NLAN'!E59*'TS-PILE'!$E$86/SUMSQ('TS-PILE'!$E$72:$E$91))+IF(SUMSQ('TS-PILE'!$D$72:$D$91)=0,0,'TO HOP NLAN'!F59*'TS-PILE'!$D$86/SUMSQ('TS-PILE'!$D$72:$D$91))),IF('TS-PILE'!$B$87="",1E+99,'TO HOP NLAN'!D59/ncoc+IF(SUMSQ('TS-PILE'!$E$72:$E$91)=0,0,'TO HOP NLAN'!E59*'TS-PILE'!$E$87/SUMSQ('TS-PILE'!$E$72:$E$91))+IF(SUMSQ('TS-PILE'!$D$72:$D$91)=0,0,'TO HOP NLAN'!F59*'TS-PILE'!$D$87/SUMSQ('TS-PILE'!$D$72:$D$91))),IF('TS-PILE'!$B$88="",1E+99,'TO HOP NLAN'!D59/ncoc+IF(SUMSQ('TS-PILE'!$E$72:$E$91)=0,0,'TO HOP NLAN'!E59*'TS-PILE'!$E$88/SUMSQ('TS-PILE'!$E$72:$E$91))+IF(SUMSQ('TS-PILE'!$D$72:$D$91)=0,0,'TO HOP NLAN'!F59*'TS-PILE'!$D$88/SUMSQ('TS-PILE'!$D$72:$D$91))),IF('TS-PILE'!$B$89="",1E+99,'TO HOP NLAN'!D59/ncoc+IF(SUMSQ('TS-PILE'!$E$72:$E$91)=0,0,'TO HOP NLAN'!E59*'TS-PILE'!$E$89/SUMSQ('TS-PILE'!$E$72:$E$91))+IF(SUMSQ('TS-PILE'!$D$72:$D$91)=0,0,'TO HOP NLAN'!F59*'TS-PILE'!$D$89/SUMSQ('TS-PILE'!$D$72:$D$91))),IF('TS-PILE'!$B$90="",1E+99,'TO HOP NLAN'!D59/ncoc+IF(SUMSQ('TS-PILE'!$E$72:$E$91)=0,0,'TO HOP NLAN'!E59*'TS-PILE'!$E$90/SUMSQ('TS-PILE'!$E$72:$E$91))+IF(SUMSQ('TS-PILE'!$D$72:$D$91)=0,0,'TO HOP NLAN'!F59*'TS-PILE'!$D$90/SUMSQ('TS-PILE'!$D$72:$D$91))),IF('TS-PILE'!$B$91="",1E+99,'TO HOP NLAN'!D59/ncoc+IF(SUMSQ('TS-PILE'!$E$72:$E$91)=0,0,'TO HOP NLAN'!E59*'TS-PILE'!$E$91/SUMSQ('TS-PILE'!$E$72:$E$91))+IF(SUMSQ('TS-PILE'!$D$72:$D$91)=0,0,'TO HOP NLAN'!F59*'TS-PILE'!$D$91/SUMSQ('TS-PILE'!$D$72:$D$91)))))</f>
        <v>0</v>
      </c>
      <c r="E59" s="58">
        <f t="shared" si="0"/>
        <v>-9.9999999999999997E+98</v>
      </c>
      <c r="F59" s="58">
        <f t="shared" si="1"/>
        <v>9.9999999999999997E+98</v>
      </c>
      <c r="G59" s="58">
        <f t="shared" si="2"/>
        <v>-9.9999999999999997E+98</v>
      </c>
      <c r="H59" s="58">
        <f t="shared" si="3"/>
        <v>9.9999999999999997E+98</v>
      </c>
    </row>
    <row r="60" spans="1:8" x14ac:dyDescent="0.3">
      <c r="A60" s="42" t="str">
        <f>'TO HOP NLAN'!A60</f>
        <v/>
      </c>
      <c r="B60" s="42" t="str">
        <f>'TO HOP NLAN'!L60</f>
        <v>SERVICE</v>
      </c>
      <c r="C60" s="58">
        <f>IF(A60="",0,MAX(IF('TS-PILE'!$B$72="",-1E+99,'TO HOP NLAN'!D60/ncoc+IF(SUMSQ('TS-PILE'!$E$72:$E$91)=0,0,'TO HOP NLAN'!E60*'TS-PILE'!$E$72/SUMSQ('TS-PILE'!$E$72:$E$91))+IF(SUMSQ('TS-PILE'!$D$72:$D$91)=0,0,'TO HOP NLAN'!F60*'TS-PILE'!$D$72/SUMSQ('TS-PILE'!$D$72:$D$91))),IF('TS-PILE'!$B$73="",-1E+99,'TO HOP NLAN'!D60/ncoc+IF(SUMSQ('TS-PILE'!$E$72:$E$91)=0,0,'TO HOP NLAN'!E60*'TS-PILE'!$E$73/SUMSQ('TS-PILE'!$E$72:$E$91))+IF(SUMSQ('TS-PILE'!$D$72:$D$91)=0,0,'TO HOP NLAN'!F60*'TS-PILE'!$D$73/SUMSQ('TS-PILE'!$D$72:$D$91))),IF('TS-PILE'!$B$74="",-1E+99,'TO HOP NLAN'!D60/ncoc+IF(SUMSQ('TS-PILE'!$E$72:$E$91)=0,0,'TO HOP NLAN'!E60*'TS-PILE'!$E$74/SUMSQ('TS-PILE'!$E$72:$E$91))+IF(SUMSQ('TS-PILE'!$D$72:$D$91)=0,0,'TO HOP NLAN'!F60*'TS-PILE'!$D$74/SUMSQ('TS-PILE'!$D$72:$D$91))),IF('TS-PILE'!$B$75="",-1E+99,'TO HOP NLAN'!D60/ncoc+IF(SUMSQ('TS-PILE'!$E$72:$E$91)=0,0,'TO HOP NLAN'!E60*'TS-PILE'!$E$75/SUMSQ('TS-PILE'!$E$72:$E$91))+IF(SUMSQ('TS-PILE'!$D$72:$D$91)=0,0,'TO HOP NLAN'!F60*'TS-PILE'!$D$75/SUMSQ('TS-PILE'!$D$72:$D$91))),IF('TS-PILE'!$B$76="",-1E+99,'TO HOP NLAN'!D60/ncoc+IF(SUMSQ('TS-PILE'!$E$72:$E$91)=0,0,'TO HOP NLAN'!E60*'TS-PILE'!$E$76/SUMSQ('TS-PILE'!$E$72:$E$91))+IF(SUMSQ('TS-PILE'!$D$72:$D$91)=0,0,'TO HOP NLAN'!F60*'TS-PILE'!$D$76/SUMSQ('TS-PILE'!$D$72:$D$91))),IF('TS-PILE'!$B$77="",-1E+99,'TO HOP NLAN'!D60/ncoc+IF(SUMSQ('TS-PILE'!$E$72:$E$91)=0,0,'TO HOP NLAN'!E60*'TS-PILE'!$E$77/SUMSQ('TS-PILE'!$E$72:$E$91))+IF(SUMSQ('TS-PILE'!$D$72:$D$91)=0,0,'TO HOP NLAN'!F60*'TS-PILE'!$D$77/SUMSQ('TS-PILE'!$D$72:$D$91))),IF('TS-PILE'!$B$78="",-1E+99,'TO HOP NLAN'!D60/ncoc+IF(SUMSQ('TS-PILE'!$E$72:$E$91)=0,0,'TO HOP NLAN'!E60*'TS-PILE'!$E$78/SUMSQ('TS-PILE'!$E$72:$E$91))+IF(SUMSQ('TS-PILE'!$D$72:$D$91)=0,0,'TO HOP NLAN'!F60*'TS-PILE'!$D$78/SUMSQ('TS-PILE'!$D$72:$D$91))),IF('TS-PILE'!$B$79="",-1E+99,'TO HOP NLAN'!D60/ncoc+IF(SUMSQ('TS-PILE'!$E$72:$E$91)=0,0,'TO HOP NLAN'!E60*'TS-PILE'!$E$79/SUMSQ('TS-PILE'!$E$72:$E$91))+IF(SUMSQ('TS-PILE'!$D$72:$D$91)=0,0,'TO HOP NLAN'!F60*'TS-PILE'!$D$79/SUMSQ('TS-PILE'!$D$72:$D$91))),IF('TS-PILE'!$B$80="",-1E+99,'TO HOP NLAN'!D60/ncoc+IF(SUMSQ('TS-PILE'!$E$72:$E$91)=0,0,'TO HOP NLAN'!E60*'TS-PILE'!$E$80/SUMSQ('TS-PILE'!$E$72:$E$91))+IF(SUMSQ('TS-PILE'!$D$72:$D$91)=0,0,'TO HOP NLAN'!F60*'TS-PILE'!$D$80/SUMSQ('TS-PILE'!$D$72:$D$91))),IF('TS-PILE'!$B$81="",-1E+99,'TO HOP NLAN'!D60/ncoc+IF(SUMSQ('TS-PILE'!$E$72:$E$91)=0,0,'TO HOP NLAN'!E60*'TS-PILE'!$E$81/SUMSQ('TS-PILE'!$E$72:$E$91))+IF(SUMSQ('TS-PILE'!$D$72:$D$91)=0,0,'TO HOP NLAN'!F60*'TS-PILE'!$D$81/SUMSQ('TS-PILE'!$D$72:$D$91))),IF('TS-PILE'!$B$82="",-1E+99,'TO HOP NLAN'!D60/ncoc+IF(SUMSQ('TS-PILE'!$E$72:$E$91)=0,0,'TO HOP NLAN'!E60*'TS-PILE'!$E$82/SUMSQ('TS-PILE'!$E$72:$E$91))+IF(SUMSQ('TS-PILE'!$D$72:$D$91)=0,0,'TO HOP NLAN'!F60*'TS-PILE'!$D$82/SUMSQ('TS-PILE'!$D$72:$D$91))),IF('TS-PILE'!$B$83="",-1E+99,'TO HOP NLAN'!D60/ncoc+IF(SUMSQ('TS-PILE'!$E$72:$E$91)=0,0,'TO HOP NLAN'!E60*'TS-PILE'!$E$83/SUMSQ('TS-PILE'!$E$72:$E$91))+IF(SUMSQ('TS-PILE'!$D$72:$D$91)=0,0,'TO HOP NLAN'!F60*'TS-PILE'!$D$83/SUMSQ('TS-PILE'!$D$72:$D$91))),IF('TS-PILE'!$B$84="",-1E+99,'TO HOP NLAN'!D60/ncoc+IF(SUMSQ('TS-PILE'!$E$72:$E$91)=0,0,'TO HOP NLAN'!E60*'TS-PILE'!$E$84/SUMSQ('TS-PILE'!$E$72:$E$91))+IF(SUMSQ('TS-PILE'!$D$72:$D$91)=0,0,'TO HOP NLAN'!F60*'TS-PILE'!$D$84/SUMSQ('TS-PILE'!$D$72:$D$91))),IF('TS-PILE'!$B$85="",-1E+99,'TO HOP NLAN'!D60/ncoc+IF(SUMSQ('TS-PILE'!$E$72:$E$91)=0,0,'TO HOP NLAN'!E60*'TS-PILE'!$E$85/SUMSQ('TS-PILE'!$E$72:$E$91))+IF(SUMSQ('TS-PILE'!$D$72:$D$91)=0,0,'TO HOP NLAN'!F60*'TS-PILE'!$D$85/SUMSQ('TS-PILE'!$D$72:$D$91))),IF('TS-PILE'!$B$86="",-1E+99,'TO HOP NLAN'!D60/ncoc+IF(SUMSQ('TS-PILE'!$E$72:$E$91)=0,0,'TO HOP NLAN'!E60*'TS-PILE'!$E$86/SUMSQ('TS-PILE'!$E$72:$E$91))+IF(SUMSQ('TS-PILE'!$D$72:$D$91)=0,0,'TO HOP NLAN'!F60*'TS-PILE'!$D$86/SUMSQ('TS-PILE'!$D$72:$D$91))),IF('TS-PILE'!$B$87="",-1E+99,'TO HOP NLAN'!D60/ncoc+IF(SUMSQ('TS-PILE'!$E$72:$E$91)=0,0,'TO HOP NLAN'!E60*'TS-PILE'!$E$87/SUMSQ('TS-PILE'!$E$72:$E$91))+IF(SUMSQ('TS-PILE'!$D$72:$D$91)=0,0,'TO HOP NLAN'!F60*'TS-PILE'!$D$87/SUMSQ('TS-PILE'!$D$72:$D$91))),IF('TS-PILE'!$B$88="",-1E+99,'TO HOP NLAN'!D60/ncoc+IF(SUMSQ('TS-PILE'!$E$72:$E$91)=0,0,'TO HOP NLAN'!E60*'TS-PILE'!$E$88/SUMSQ('TS-PILE'!$E$72:$E$91))+IF(SUMSQ('TS-PILE'!$D$72:$D$91)=0,0,'TO HOP NLAN'!F60*'TS-PILE'!$D$88/SUMSQ('TS-PILE'!$D$72:$D$91))),IF('TS-PILE'!$B$89="",-1E+99,'TO HOP NLAN'!D60/ncoc+IF(SUMSQ('TS-PILE'!$E$72:$E$91)=0,0,'TO HOP NLAN'!E60*'TS-PILE'!$E$89/SUMSQ('TS-PILE'!$E$72:$E$91))+IF(SUMSQ('TS-PILE'!$D$72:$D$91)=0,0,'TO HOP NLAN'!F60*'TS-PILE'!$D$89/SUMSQ('TS-PILE'!$D$72:$D$91))),IF('TS-PILE'!$B$90="",-1E+99,'TO HOP NLAN'!D60/ncoc+IF(SUMSQ('TS-PILE'!$E$72:$E$91)=0,0,'TO HOP NLAN'!E60*'TS-PILE'!$E$90/SUMSQ('TS-PILE'!$E$72:$E$91))+IF(SUMSQ('TS-PILE'!$D$72:$D$91)=0,0,'TO HOP NLAN'!F60*'TS-PILE'!$D$90/SUMSQ('TS-PILE'!$D$72:$D$91))),IF('TS-PILE'!$B$91="",-1E+99,'TO HOP NLAN'!D60/ncoc+IF(SUMSQ('TS-PILE'!$E$72:$E$91)=0,0,'TO HOP NLAN'!E60*'TS-PILE'!$E$91/SUMSQ('TS-PILE'!$E$72:$E$91))+IF(SUMSQ('TS-PILE'!$D$72:$D$91)=0,0,'TO HOP NLAN'!F60*'TS-PILE'!$D$91/SUMSQ('TS-PILE'!$D$72:$D$91)))))</f>
        <v>0</v>
      </c>
      <c r="D60" s="58">
        <f>IF(A60="",0,MIN(IF('TS-PILE'!$B$72="",1E+99,'TO HOP NLAN'!D60/ncoc+IF(SUMSQ('TS-PILE'!$E$72:$E$91)=0,0,'TO HOP NLAN'!E60*'TS-PILE'!$E$72/SUMSQ('TS-PILE'!$E$72:$E$91))+IF(SUMSQ('TS-PILE'!$D$72:$D$91)=0,0,'TO HOP NLAN'!F60*'TS-PILE'!$D$72/SUMSQ('TS-PILE'!$D$72:$D$91))),IF('TS-PILE'!$B$73="",1E+99,'TO HOP NLAN'!D60/ncoc+IF(SUMSQ('TS-PILE'!$E$72:$E$91)=0,0,'TO HOP NLAN'!E60*'TS-PILE'!$E$73/SUMSQ('TS-PILE'!$E$72:$E$91))+IF(SUMSQ('TS-PILE'!$D$72:$D$91)=0,0,'TO HOP NLAN'!F60*'TS-PILE'!$D$73/SUMSQ('TS-PILE'!$D$72:$D$91))),IF('TS-PILE'!$B$74="",1E+99,'TO HOP NLAN'!D60/ncoc+IF(SUMSQ('TS-PILE'!$E$72:$E$91)=0,0,'TO HOP NLAN'!E60*'TS-PILE'!$E$74/SUMSQ('TS-PILE'!$E$72:$E$91))+IF(SUMSQ('TS-PILE'!$D$72:$D$91)=0,0,'TO HOP NLAN'!F60*'TS-PILE'!$D$74/SUMSQ('TS-PILE'!$D$72:$D$91))),IF('TS-PILE'!$B$75="",1E+99,'TO HOP NLAN'!D60/ncoc+IF(SUMSQ('TS-PILE'!$E$72:$E$91)=0,0,'TO HOP NLAN'!E60*'TS-PILE'!$E$75/SUMSQ('TS-PILE'!$E$72:$E$91))+IF(SUMSQ('TS-PILE'!$D$72:$D$91)=0,0,'TO HOP NLAN'!F60*'TS-PILE'!$D$75/SUMSQ('TS-PILE'!$D$72:$D$91))),IF('TS-PILE'!$B$76="",1E+99,'TO HOP NLAN'!D60/ncoc+IF(SUMSQ('TS-PILE'!$E$72:$E$91)=0,0,'TO HOP NLAN'!E60*'TS-PILE'!$E$76/SUMSQ('TS-PILE'!$E$72:$E$91))+IF(SUMSQ('TS-PILE'!$D$72:$D$91)=0,0,'TO HOP NLAN'!F60*'TS-PILE'!$D$76/SUMSQ('TS-PILE'!$D$72:$D$91))),IF('TS-PILE'!$B$77="",1E+99,'TO HOP NLAN'!D60/ncoc+IF(SUMSQ('TS-PILE'!$E$72:$E$91)=0,0,'TO HOP NLAN'!E60*'TS-PILE'!$E$77/SUMSQ('TS-PILE'!$E$72:$E$91))+IF(SUMSQ('TS-PILE'!$D$72:$D$91)=0,0,'TO HOP NLAN'!F60*'TS-PILE'!$D$77/SUMSQ('TS-PILE'!$D$72:$D$91))),IF('TS-PILE'!$B$78="",1E+99,'TO HOP NLAN'!D60/ncoc+IF(SUMSQ('TS-PILE'!$E$72:$E$91)=0,0,'TO HOP NLAN'!E60*'TS-PILE'!$E$78/SUMSQ('TS-PILE'!$E$72:$E$91))+IF(SUMSQ('TS-PILE'!$D$72:$D$91)=0,0,'TO HOP NLAN'!F60*'TS-PILE'!$D$78/SUMSQ('TS-PILE'!$D$72:$D$91))),IF('TS-PILE'!$B$79="",1E+99,'TO HOP NLAN'!D60/ncoc+IF(SUMSQ('TS-PILE'!$E$72:$E$91)=0,0,'TO HOP NLAN'!E60*'TS-PILE'!$E$79/SUMSQ('TS-PILE'!$E$72:$E$91))+IF(SUMSQ('TS-PILE'!$D$72:$D$91)=0,0,'TO HOP NLAN'!F60*'TS-PILE'!$D$79/SUMSQ('TS-PILE'!$D$72:$D$91))),IF('TS-PILE'!$B$80="",1E+99,'TO HOP NLAN'!D60/ncoc+IF(SUMSQ('TS-PILE'!$E$72:$E$91)=0,0,'TO HOP NLAN'!E60*'TS-PILE'!$E$80/SUMSQ('TS-PILE'!$E$72:$E$91))+IF(SUMSQ('TS-PILE'!$D$72:$D$91)=0,0,'TO HOP NLAN'!F60*'TS-PILE'!$D$80/SUMSQ('TS-PILE'!$D$72:$D$91))),IF('TS-PILE'!$B$81="",1E+99,'TO HOP NLAN'!D60/ncoc+IF(SUMSQ('TS-PILE'!$E$72:$E$91)=0,0,'TO HOP NLAN'!E60*'TS-PILE'!$E$81/SUMSQ('TS-PILE'!$E$72:$E$91))+IF(SUMSQ('TS-PILE'!$D$72:$D$91)=0,0,'TO HOP NLAN'!F60*'TS-PILE'!$D$81/SUMSQ('TS-PILE'!$D$72:$D$91))),IF('TS-PILE'!$B$82="",1E+99,'TO HOP NLAN'!D60/ncoc+IF(SUMSQ('TS-PILE'!$E$72:$E$91)=0,0,'TO HOP NLAN'!E60*'TS-PILE'!$E$82/SUMSQ('TS-PILE'!$E$72:$E$91))+IF(SUMSQ('TS-PILE'!$D$72:$D$91)=0,0,'TO HOP NLAN'!F60*'TS-PILE'!$D$82/SUMSQ('TS-PILE'!$D$72:$D$91))),IF('TS-PILE'!$B$83="",1E+99,'TO HOP NLAN'!D60/ncoc+IF(SUMSQ('TS-PILE'!$E$72:$E$91)=0,0,'TO HOP NLAN'!E60*'TS-PILE'!$E$83/SUMSQ('TS-PILE'!$E$72:$E$91))+IF(SUMSQ('TS-PILE'!$D$72:$D$91)=0,0,'TO HOP NLAN'!F60*'TS-PILE'!$D$83/SUMSQ('TS-PILE'!$D$72:$D$91))),IF('TS-PILE'!$B$84="",1E+99,'TO HOP NLAN'!D60/ncoc+IF(SUMSQ('TS-PILE'!$E$72:$E$91)=0,0,'TO HOP NLAN'!E60*'TS-PILE'!$E$84/SUMSQ('TS-PILE'!$E$72:$E$91))+IF(SUMSQ('TS-PILE'!$D$72:$D$91)=0,0,'TO HOP NLAN'!F60*'TS-PILE'!$D$84/SUMSQ('TS-PILE'!$D$72:$D$91))),IF('TS-PILE'!$B$85="",1E+99,'TO HOP NLAN'!D60/ncoc+IF(SUMSQ('TS-PILE'!$E$72:$E$91)=0,0,'TO HOP NLAN'!E60*'TS-PILE'!$E$85/SUMSQ('TS-PILE'!$E$72:$E$91))+IF(SUMSQ('TS-PILE'!$D$72:$D$91)=0,0,'TO HOP NLAN'!F60*'TS-PILE'!$D$85/SUMSQ('TS-PILE'!$D$72:$D$91))),IF('TS-PILE'!$B$86="",1E+99,'TO HOP NLAN'!D60/ncoc+IF(SUMSQ('TS-PILE'!$E$72:$E$91)=0,0,'TO HOP NLAN'!E60*'TS-PILE'!$E$86/SUMSQ('TS-PILE'!$E$72:$E$91))+IF(SUMSQ('TS-PILE'!$D$72:$D$91)=0,0,'TO HOP NLAN'!F60*'TS-PILE'!$D$86/SUMSQ('TS-PILE'!$D$72:$D$91))),IF('TS-PILE'!$B$87="",1E+99,'TO HOP NLAN'!D60/ncoc+IF(SUMSQ('TS-PILE'!$E$72:$E$91)=0,0,'TO HOP NLAN'!E60*'TS-PILE'!$E$87/SUMSQ('TS-PILE'!$E$72:$E$91))+IF(SUMSQ('TS-PILE'!$D$72:$D$91)=0,0,'TO HOP NLAN'!F60*'TS-PILE'!$D$87/SUMSQ('TS-PILE'!$D$72:$D$91))),IF('TS-PILE'!$B$88="",1E+99,'TO HOP NLAN'!D60/ncoc+IF(SUMSQ('TS-PILE'!$E$72:$E$91)=0,0,'TO HOP NLAN'!E60*'TS-PILE'!$E$88/SUMSQ('TS-PILE'!$E$72:$E$91))+IF(SUMSQ('TS-PILE'!$D$72:$D$91)=0,0,'TO HOP NLAN'!F60*'TS-PILE'!$D$88/SUMSQ('TS-PILE'!$D$72:$D$91))),IF('TS-PILE'!$B$89="",1E+99,'TO HOP NLAN'!D60/ncoc+IF(SUMSQ('TS-PILE'!$E$72:$E$91)=0,0,'TO HOP NLAN'!E60*'TS-PILE'!$E$89/SUMSQ('TS-PILE'!$E$72:$E$91))+IF(SUMSQ('TS-PILE'!$D$72:$D$91)=0,0,'TO HOP NLAN'!F60*'TS-PILE'!$D$89/SUMSQ('TS-PILE'!$D$72:$D$91))),IF('TS-PILE'!$B$90="",1E+99,'TO HOP NLAN'!D60/ncoc+IF(SUMSQ('TS-PILE'!$E$72:$E$91)=0,0,'TO HOP NLAN'!E60*'TS-PILE'!$E$90/SUMSQ('TS-PILE'!$E$72:$E$91))+IF(SUMSQ('TS-PILE'!$D$72:$D$91)=0,0,'TO HOP NLAN'!F60*'TS-PILE'!$D$90/SUMSQ('TS-PILE'!$D$72:$D$91))),IF('TS-PILE'!$B$91="",1E+99,'TO HOP NLAN'!D60/ncoc+IF(SUMSQ('TS-PILE'!$E$72:$E$91)=0,0,'TO HOP NLAN'!E60*'TS-PILE'!$E$91/SUMSQ('TS-PILE'!$E$72:$E$91))+IF(SUMSQ('TS-PILE'!$D$72:$D$91)=0,0,'TO HOP NLAN'!F60*'TS-PILE'!$D$91/SUMSQ('TS-PILE'!$D$72:$D$91)))))</f>
        <v>0</v>
      </c>
      <c r="E60" s="58">
        <f t="shared" si="0"/>
        <v>-9.9999999999999997E+98</v>
      </c>
      <c r="F60" s="58">
        <f t="shared" si="1"/>
        <v>9.9999999999999997E+98</v>
      </c>
      <c r="G60" s="58">
        <f t="shared" si="2"/>
        <v>-9.9999999999999997E+98</v>
      </c>
      <c r="H60" s="58">
        <f t="shared" si="3"/>
        <v>9.9999999999999997E+98</v>
      </c>
    </row>
    <row r="61" spans="1:8" x14ac:dyDescent="0.3">
      <c r="A61" s="42" t="str">
        <f>'TO HOP NLAN'!A61</f>
        <v/>
      </c>
      <c r="B61" s="42" t="str">
        <f>'TO HOP NLAN'!L61</f>
        <v>SERVICE</v>
      </c>
      <c r="C61" s="58">
        <f>IF(A61="",0,MAX(IF('TS-PILE'!$B$72="",-1E+99,'TO HOP NLAN'!D61/ncoc+IF(SUMSQ('TS-PILE'!$E$72:$E$91)=0,0,'TO HOP NLAN'!E61*'TS-PILE'!$E$72/SUMSQ('TS-PILE'!$E$72:$E$91))+IF(SUMSQ('TS-PILE'!$D$72:$D$91)=0,0,'TO HOP NLAN'!F61*'TS-PILE'!$D$72/SUMSQ('TS-PILE'!$D$72:$D$91))),IF('TS-PILE'!$B$73="",-1E+99,'TO HOP NLAN'!D61/ncoc+IF(SUMSQ('TS-PILE'!$E$72:$E$91)=0,0,'TO HOP NLAN'!E61*'TS-PILE'!$E$73/SUMSQ('TS-PILE'!$E$72:$E$91))+IF(SUMSQ('TS-PILE'!$D$72:$D$91)=0,0,'TO HOP NLAN'!F61*'TS-PILE'!$D$73/SUMSQ('TS-PILE'!$D$72:$D$91))),IF('TS-PILE'!$B$74="",-1E+99,'TO HOP NLAN'!D61/ncoc+IF(SUMSQ('TS-PILE'!$E$72:$E$91)=0,0,'TO HOP NLAN'!E61*'TS-PILE'!$E$74/SUMSQ('TS-PILE'!$E$72:$E$91))+IF(SUMSQ('TS-PILE'!$D$72:$D$91)=0,0,'TO HOP NLAN'!F61*'TS-PILE'!$D$74/SUMSQ('TS-PILE'!$D$72:$D$91))),IF('TS-PILE'!$B$75="",-1E+99,'TO HOP NLAN'!D61/ncoc+IF(SUMSQ('TS-PILE'!$E$72:$E$91)=0,0,'TO HOP NLAN'!E61*'TS-PILE'!$E$75/SUMSQ('TS-PILE'!$E$72:$E$91))+IF(SUMSQ('TS-PILE'!$D$72:$D$91)=0,0,'TO HOP NLAN'!F61*'TS-PILE'!$D$75/SUMSQ('TS-PILE'!$D$72:$D$91))),IF('TS-PILE'!$B$76="",-1E+99,'TO HOP NLAN'!D61/ncoc+IF(SUMSQ('TS-PILE'!$E$72:$E$91)=0,0,'TO HOP NLAN'!E61*'TS-PILE'!$E$76/SUMSQ('TS-PILE'!$E$72:$E$91))+IF(SUMSQ('TS-PILE'!$D$72:$D$91)=0,0,'TO HOP NLAN'!F61*'TS-PILE'!$D$76/SUMSQ('TS-PILE'!$D$72:$D$91))),IF('TS-PILE'!$B$77="",-1E+99,'TO HOP NLAN'!D61/ncoc+IF(SUMSQ('TS-PILE'!$E$72:$E$91)=0,0,'TO HOP NLAN'!E61*'TS-PILE'!$E$77/SUMSQ('TS-PILE'!$E$72:$E$91))+IF(SUMSQ('TS-PILE'!$D$72:$D$91)=0,0,'TO HOP NLAN'!F61*'TS-PILE'!$D$77/SUMSQ('TS-PILE'!$D$72:$D$91))),IF('TS-PILE'!$B$78="",-1E+99,'TO HOP NLAN'!D61/ncoc+IF(SUMSQ('TS-PILE'!$E$72:$E$91)=0,0,'TO HOP NLAN'!E61*'TS-PILE'!$E$78/SUMSQ('TS-PILE'!$E$72:$E$91))+IF(SUMSQ('TS-PILE'!$D$72:$D$91)=0,0,'TO HOP NLAN'!F61*'TS-PILE'!$D$78/SUMSQ('TS-PILE'!$D$72:$D$91))),IF('TS-PILE'!$B$79="",-1E+99,'TO HOP NLAN'!D61/ncoc+IF(SUMSQ('TS-PILE'!$E$72:$E$91)=0,0,'TO HOP NLAN'!E61*'TS-PILE'!$E$79/SUMSQ('TS-PILE'!$E$72:$E$91))+IF(SUMSQ('TS-PILE'!$D$72:$D$91)=0,0,'TO HOP NLAN'!F61*'TS-PILE'!$D$79/SUMSQ('TS-PILE'!$D$72:$D$91))),IF('TS-PILE'!$B$80="",-1E+99,'TO HOP NLAN'!D61/ncoc+IF(SUMSQ('TS-PILE'!$E$72:$E$91)=0,0,'TO HOP NLAN'!E61*'TS-PILE'!$E$80/SUMSQ('TS-PILE'!$E$72:$E$91))+IF(SUMSQ('TS-PILE'!$D$72:$D$91)=0,0,'TO HOP NLAN'!F61*'TS-PILE'!$D$80/SUMSQ('TS-PILE'!$D$72:$D$91))),IF('TS-PILE'!$B$81="",-1E+99,'TO HOP NLAN'!D61/ncoc+IF(SUMSQ('TS-PILE'!$E$72:$E$91)=0,0,'TO HOP NLAN'!E61*'TS-PILE'!$E$81/SUMSQ('TS-PILE'!$E$72:$E$91))+IF(SUMSQ('TS-PILE'!$D$72:$D$91)=0,0,'TO HOP NLAN'!F61*'TS-PILE'!$D$81/SUMSQ('TS-PILE'!$D$72:$D$91))),IF('TS-PILE'!$B$82="",-1E+99,'TO HOP NLAN'!D61/ncoc+IF(SUMSQ('TS-PILE'!$E$72:$E$91)=0,0,'TO HOP NLAN'!E61*'TS-PILE'!$E$82/SUMSQ('TS-PILE'!$E$72:$E$91))+IF(SUMSQ('TS-PILE'!$D$72:$D$91)=0,0,'TO HOP NLAN'!F61*'TS-PILE'!$D$82/SUMSQ('TS-PILE'!$D$72:$D$91))),IF('TS-PILE'!$B$83="",-1E+99,'TO HOP NLAN'!D61/ncoc+IF(SUMSQ('TS-PILE'!$E$72:$E$91)=0,0,'TO HOP NLAN'!E61*'TS-PILE'!$E$83/SUMSQ('TS-PILE'!$E$72:$E$91))+IF(SUMSQ('TS-PILE'!$D$72:$D$91)=0,0,'TO HOP NLAN'!F61*'TS-PILE'!$D$83/SUMSQ('TS-PILE'!$D$72:$D$91))),IF('TS-PILE'!$B$84="",-1E+99,'TO HOP NLAN'!D61/ncoc+IF(SUMSQ('TS-PILE'!$E$72:$E$91)=0,0,'TO HOP NLAN'!E61*'TS-PILE'!$E$84/SUMSQ('TS-PILE'!$E$72:$E$91))+IF(SUMSQ('TS-PILE'!$D$72:$D$91)=0,0,'TO HOP NLAN'!F61*'TS-PILE'!$D$84/SUMSQ('TS-PILE'!$D$72:$D$91))),IF('TS-PILE'!$B$85="",-1E+99,'TO HOP NLAN'!D61/ncoc+IF(SUMSQ('TS-PILE'!$E$72:$E$91)=0,0,'TO HOP NLAN'!E61*'TS-PILE'!$E$85/SUMSQ('TS-PILE'!$E$72:$E$91))+IF(SUMSQ('TS-PILE'!$D$72:$D$91)=0,0,'TO HOP NLAN'!F61*'TS-PILE'!$D$85/SUMSQ('TS-PILE'!$D$72:$D$91))),IF('TS-PILE'!$B$86="",-1E+99,'TO HOP NLAN'!D61/ncoc+IF(SUMSQ('TS-PILE'!$E$72:$E$91)=0,0,'TO HOP NLAN'!E61*'TS-PILE'!$E$86/SUMSQ('TS-PILE'!$E$72:$E$91))+IF(SUMSQ('TS-PILE'!$D$72:$D$91)=0,0,'TO HOP NLAN'!F61*'TS-PILE'!$D$86/SUMSQ('TS-PILE'!$D$72:$D$91))),IF('TS-PILE'!$B$87="",-1E+99,'TO HOP NLAN'!D61/ncoc+IF(SUMSQ('TS-PILE'!$E$72:$E$91)=0,0,'TO HOP NLAN'!E61*'TS-PILE'!$E$87/SUMSQ('TS-PILE'!$E$72:$E$91))+IF(SUMSQ('TS-PILE'!$D$72:$D$91)=0,0,'TO HOP NLAN'!F61*'TS-PILE'!$D$87/SUMSQ('TS-PILE'!$D$72:$D$91))),IF('TS-PILE'!$B$88="",-1E+99,'TO HOP NLAN'!D61/ncoc+IF(SUMSQ('TS-PILE'!$E$72:$E$91)=0,0,'TO HOP NLAN'!E61*'TS-PILE'!$E$88/SUMSQ('TS-PILE'!$E$72:$E$91))+IF(SUMSQ('TS-PILE'!$D$72:$D$91)=0,0,'TO HOP NLAN'!F61*'TS-PILE'!$D$88/SUMSQ('TS-PILE'!$D$72:$D$91))),IF('TS-PILE'!$B$89="",-1E+99,'TO HOP NLAN'!D61/ncoc+IF(SUMSQ('TS-PILE'!$E$72:$E$91)=0,0,'TO HOP NLAN'!E61*'TS-PILE'!$E$89/SUMSQ('TS-PILE'!$E$72:$E$91))+IF(SUMSQ('TS-PILE'!$D$72:$D$91)=0,0,'TO HOP NLAN'!F61*'TS-PILE'!$D$89/SUMSQ('TS-PILE'!$D$72:$D$91))),IF('TS-PILE'!$B$90="",-1E+99,'TO HOP NLAN'!D61/ncoc+IF(SUMSQ('TS-PILE'!$E$72:$E$91)=0,0,'TO HOP NLAN'!E61*'TS-PILE'!$E$90/SUMSQ('TS-PILE'!$E$72:$E$91))+IF(SUMSQ('TS-PILE'!$D$72:$D$91)=0,0,'TO HOP NLAN'!F61*'TS-PILE'!$D$90/SUMSQ('TS-PILE'!$D$72:$D$91))),IF('TS-PILE'!$B$91="",-1E+99,'TO HOP NLAN'!D61/ncoc+IF(SUMSQ('TS-PILE'!$E$72:$E$91)=0,0,'TO HOP NLAN'!E61*'TS-PILE'!$E$91/SUMSQ('TS-PILE'!$E$72:$E$91))+IF(SUMSQ('TS-PILE'!$D$72:$D$91)=0,0,'TO HOP NLAN'!F61*'TS-PILE'!$D$91/SUMSQ('TS-PILE'!$D$72:$D$91)))))</f>
        <v>0</v>
      </c>
      <c r="D61" s="58">
        <f>IF(A61="",0,MIN(IF('TS-PILE'!$B$72="",1E+99,'TO HOP NLAN'!D61/ncoc+IF(SUMSQ('TS-PILE'!$E$72:$E$91)=0,0,'TO HOP NLAN'!E61*'TS-PILE'!$E$72/SUMSQ('TS-PILE'!$E$72:$E$91))+IF(SUMSQ('TS-PILE'!$D$72:$D$91)=0,0,'TO HOP NLAN'!F61*'TS-PILE'!$D$72/SUMSQ('TS-PILE'!$D$72:$D$91))),IF('TS-PILE'!$B$73="",1E+99,'TO HOP NLAN'!D61/ncoc+IF(SUMSQ('TS-PILE'!$E$72:$E$91)=0,0,'TO HOP NLAN'!E61*'TS-PILE'!$E$73/SUMSQ('TS-PILE'!$E$72:$E$91))+IF(SUMSQ('TS-PILE'!$D$72:$D$91)=0,0,'TO HOP NLAN'!F61*'TS-PILE'!$D$73/SUMSQ('TS-PILE'!$D$72:$D$91))),IF('TS-PILE'!$B$74="",1E+99,'TO HOP NLAN'!D61/ncoc+IF(SUMSQ('TS-PILE'!$E$72:$E$91)=0,0,'TO HOP NLAN'!E61*'TS-PILE'!$E$74/SUMSQ('TS-PILE'!$E$72:$E$91))+IF(SUMSQ('TS-PILE'!$D$72:$D$91)=0,0,'TO HOP NLAN'!F61*'TS-PILE'!$D$74/SUMSQ('TS-PILE'!$D$72:$D$91))),IF('TS-PILE'!$B$75="",1E+99,'TO HOP NLAN'!D61/ncoc+IF(SUMSQ('TS-PILE'!$E$72:$E$91)=0,0,'TO HOP NLAN'!E61*'TS-PILE'!$E$75/SUMSQ('TS-PILE'!$E$72:$E$91))+IF(SUMSQ('TS-PILE'!$D$72:$D$91)=0,0,'TO HOP NLAN'!F61*'TS-PILE'!$D$75/SUMSQ('TS-PILE'!$D$72:$D$91))),IF('TS-PILE'!$B$76="",1E+99,'TO HOP NLAN'!D61/ncoc+IF(SUMSQ('TS-PILE'!$E$72:$E$91)=0,0,'TO HOP NLAN'!E61*'TS-PILE'!$E$76/SUMSQ('TS-PILE'!$E$72:$E$91))+IF(SUMSQ('TS-PILE'!$D$72:$D$91)=0,0,'TO HOP NLAN'!F61*'TS-PILE'!$D$76/SUMSQ('TS-PILE'!$D$72:$D$91))),IF('TS-PILE'!$B$77="",1E+99,'TO HOP NLAN'!D61/ncoc+IF(SUMSQ('TS-PILE'!$E$72:$E$91)=0,0,'TO HOP NLAN'!E61*'TS-PILE'!$E$77/SUMSQ('TS-PILE'!$E$72:$E$91))+IF(SUMSQ('TS-PILE'!$D$72:$D$91)=0,0,'TO HOP NLAN'!F61*'TS-PILE'!$D$77/SUMSQ('TS-PILE'!$D$72:$D$91))),IF('TS-PILE'!$B$78="",1E+99,'TO HOP NLAN'!D61/ncoc+IF(SUMSQ('TS-PILE'!$E$72:$E$91)=0,0,'TO HOP NLAN'!E61*'TS-PILE'!$E$78/SUMSQ('TS-PILE'!$E$72:$E$91))+IF(SUMSQ('TS-PILE'!$D$72:$D$91)=0,0,'TO HOP NLAN'!F61*'TS-PILE'!$D$78/SUMSQ('TS-PILE'!$D$72:$D$91))),IF('TS-PILE'!$B$79="",1E+99,'TO HOP NLAN'!D61/ncoc+IF(SUMSQ('TS-PILE'!$E$72:$E$91)=0,0,'TO HOP NLAN'!E61*'TS-PILE'!$E$79/SUMSQ('TS-PILE'!$E$72:$E$91))+IF(SUMSQ('TS-PILE'!$D$72:$D$91)=0,0,'TO HOP NLAN'!F61*'TS-PILE'!$D$79/SUMSQ('TS-PILE'!$D$72:$D$91))),IF('TS-PILE'!$B$80="",1E+99,'TO HOP NLAN'!D61/ncoc+IF(SUMSQ('TS-PILE'!$E$72:$E$91)=0,0,'TO HOP NLAN'!E61*'TS-PILE'!$E$80/SUMSQ('TS-PILE'!$E$72:$E$91))+IF(SUMSQ('TS-PILE'!$D$72:$D$91)=0,0,'TO HOP NLAN'!F61*'TS-PILE'!$D$80/SUMSQ('TS-PILE'!$D$72:$D$91))),IF('TS-PILE'!$B$81="",1E+99,'TO HOP NLAN'!D61/ncoc+IF(SUMSQ('TS-PILE'!$E$72:$E$91)=0,0,'TO HOP NLAN'!E61*'TS-PILE'!$E$81/SUMSQ('TS-PILE'!$E$72:$E$91))+IF(SUMSQ('TS-PILE'!$D$72:$D$91)=0,0,'TO HOP NLAN'!F61*'TS-PILE'!$D$81/SUMSQ('TS-PILE'!$D$72:$D$91))),IF('TS-PILE'!$B$82="",1E+99,'TO HOP NLAN'!D61/ncoc+IF(SUMSQ('TS-PILE'!$E$72:$E$91)=0,0,'TO HOP NLAN'!E61*'TS-PILE'!$E$82/SUMSQ('TS-PILE'!$E$72:$E$91))+IF(SUMSQ('TS-PILE'!$D$72:$D$91)=0,0,'TO HOP NLAN'!F61*'TS-PILE'!$D$82/SUMSQ('TS-PILE'!$D$72:$D$91))),IF('TS-PILE'!$B$83="",1E+99,'TO HOP NLAN'!D61/ncoc+IF(SUMSQ('TS-PILE'!$E$72:$E$91)=0,0,'TO HOP NLAN'!E61*'TS-PILE'!$E$83/SUMSQ('TS-PILE'!$E$72:$E$91))+IF(SUMSQ('TS-PILE'!$D$72:$D$91)=0,0,'TO HOP NLAN'!F61*'TS-PILE'!$D$83/SUMSQ('TS-PILE'!$D$72:$D$91))),IF('TS-PILE'!$B$84="",1E+99,'TO HOP NLAN'!D61/ncoc+IF(SUMSQ('TS-PILE'!$E$72:$E$91)=0,0,'TO HOP NLAN'!E61*'TS-PILE'!$E$84/SUMSQ('TS-PILE'!$E$72:$E$91))+IF(SUMSQ('TS-PILE'!$D$72:$D$91)=0,0,'TO HOP NLAN'!F61*'TS-PILE'!$D$84/SUMSQ('TS-PILE'!$D$72:$D$91))),IF('TS-PILE'!$B$85="",1E+99,'TO HOP NLAN'!D61/ncoc+IF(SUMSQ('TS-PILE'!$E$72:$E$91)=0,0,'TO HOP NLAN'!E61*'TS-PILE'!$E$85/SUMSQ('TS-PILE'!$E$72:$E$91))+IF(SUMSQ('TS-PILE'!$D$72:$D$91)=0,0,'TO HOP NLAN'!F61*'TS-PILE'!$D$85/SUMSQ('TS-PILE'!$D$72:$D$91))),IF('TS-PILE'!$B$86="",1E+99,'TO HOP NLAN'!D61/ncoc+IF(SUMSQ('TS-PILE'!$E$72:$E$91)=0,0,'TO HOP NLAN'!E61*'TS-PILE'!$E$86/SUMSQ('TS-PILE'!$E$72:$E$91))+IF(SUMSQ('TS-PILE'!$D$72:$D$91)=0,0,'TO HOP NLAN'!F61*'TS-PILE'!$D$86/SUMSQ('TS-PILE'!$D$72:$D$91))),IF('TS-PILE'!$B$87="",1E+99,'TO HOP NLAN'!D61/ncoc+IF(SUMSQ('TS-PILE'!$E$72:$E$91)=0,0,'TO HOP NLAN'!E61*'TS-PILE'!$E$87/SUMSQ('TS-PILE'!$E$72:$E$91))+IF(SUMSQ('TS-PILE'!$D$72:$D$91)=0,0,'TO HOP NLAN'!F61*'TS-PILE'!$D$87/SUMSQ('TS-PILE'!$D$72:$D$91))),IF('TS-PILE'!$B$88="",1E+99,'TO HOP NLAN'!D61/ncoc+IF(SUMSQ('TS-PILE'!$E$72:$E$91)=0,0,'TO HOP NLAN'!E61*'TS-PILE'!$E$88/SUMSQ('TS-PILE'!$E$72:$E$91))+IF(SUMSQ('TS-PILE'!$D$72:$D$91)=0,0,'TO HOP NLAN'!F61*'TS-PILE'!$D$88/SUMSQ('TS-PILE'!$D$72:$D$91))),IF('TS-PILE'!$B$89="",1E+99,'TO HOP NLAN'!D61/ncoc+IF(SUMSQ('TS-PILE'!$E$72:$E$91)=0,0,'TO HOP NLAN'!E61*'TS-PILE'!$E$89/SUMSQ('TS-PILE'!$E$72:$E$91))+IF(SUMSQ('TS-PILE'!$D$72:$D$91)=0,0,'TO HOP NLAN'!F61*'TS-PILE'!$D$89/SUMSQ('TS-PILE'!$D$72:$D$91))),IF('TS-PILE'!$B$90="",1E+99,'TO HOP NLAN'!D61/ncoc+IF(SUMSQ('TS-PILE'!$E$72:$E$91)=0,0,'TO HOP NLAN'!E61*'TS-PILE'!$E$90/SUMSQ('TS-PILE'!$E$72:$E$91))+IF(SUMSQ('TS-PILE'!$D$72:$D$91)=0,0,'TO HOP NLAN'!F61*'TS-PILE'!$D$90/SUMSQ('TS-PILE'!$D$72:$D$91))),IF('TS-PILE'!$B$91="",1E+99,'TO HOP NLAN'!D61/ncoc+IF(SUMSQ('TS-PILE'!$E$72:$E$91)=0,0,'TO HOP NLAN'!E61*'TS-PILE'!$E$91/SUMSQ('TS-PILE'!$E$72:$E$91))+IF(SUMSQ('TS-PILE'!$D$72:$D$91)=0,0,'TO HOP NLAN'!F61*'TS-PILE'!$D$91/SUMSQ('TS-PILE'!$D$72:$D$91)))))</f>
        <v>0</v>
      </c>
      <c r="E61" s="58">
        <f t="shared" si="0"/>
        <v>-9.9999999999999997E+98</v>
      </c>
      <c r="F61" s="58">
        <f t="shared" si="1"/>
        <v>9.9999999999999997E+98</v>
      </c>
      <c r="G61" s="58">
        <f t="shared" si="2"/>
        <v>-9.9999999999999997E+98</v>
      </c>
      <c r="H61" s="58">
        <f t="shared" si="3"/>
        <v>9.9999999999999997E+98</v>
      </c>
    </row>
    <row r="62" spans="1:8" x14ac:dyDescent="0.3">
      <c r="A62" s="42" t="str">
        <f>'TO HOP NLAN'!A62</f>
        <v/>
      </c>
      <c r="B62" s="42" t="str">
        <f>'TO HOP NLAN'!L62</f>
        <v>SERVICE</v>
      </c>
      <c r="C62" s="58">
        <f>IF(A62="",0,MAX(IF('TS-PILE'!$B$72="",-1E+99,'TO HOP NLAN'!D62/ncoc+IF(SUMSQ('TS-PILE'!$E$72:$E$91)=0,0,'TO HOP NLAN'!E62*'TS-PILE'!$E$72/SUMSQ('TS-PILE'!$E$72:$E$91))+IF(SUMSQ('TS-PILE'!$D$72:$D$91)=0,0,'TO HOP NLAN'!F62*'TS-PILE'!$D$72/SUMSQ('TS-PILE'!$D$72:$D$91))),IF('TS-PILE'!$B$73="",-1E+99,'TO HOP NLAN'!D62/ncoc+IF(SUMSQ('TS-PILE'!$E$72:$E$91)=0,0,'TO HOP NLAN'!E62*'TS-PILE'!$E$73/SUMSQ('TS-PILE'!$E$72:$E$91))+IF(SUMSQ('TS-PILE'!$D$72:$D$91)=0,0,'TO HOP NLAN'!F62*'TS-PILE'!$D$73/SUMSQ('TS-PILE'!$D$72:$D$91))),IF('TS-PILE'!$B$74="",-1E+99,'TO HOP NLAN'!D62/ncoc+IF(SUMSQ('TS-PILE'!$E$72:$E$91)=0,0,'TO HOP NLAN'!E62*'TS-PILE'!$E$74/SUMSQ('TS-PILE'!$E$72:$E$91))+IF(SUMSQ('TS-PILE'!$D$72:$D$91)=0,0,'TO HOP NLAN'!F62*'TS-PILE'!$D$74/SUMSQ('TS-PILE'!$D$72:$D$91))),IF('TS-PILE'!$B$75="",-1E+99,'TO HOP NLAN'!D62/ncoc+IF(SUMSQ('TS-PILE'!$E$72:$E$91)=0,0,'TO HOP NLAN'!E62*'TS-PILE'!$E$75/SUMSQ('TS-PILE'!$E$72:$E$91))+IF(SUMSQ('TS-PILE'!$D$72:$D$91)=0,0,'TO HOP NLAN'!F62*'TS-PILE'!$D$75/SUMSQ('TS-PILE'!$D$72:$D$91))),IF('TS-PILE'!$B$76="",-1E+99,'TO HOP NLAN'!D62/ncoc+IF(SUMSQ('TS-PILE'!$E$72:$E$91)=0,0,'TO HOP NLAN'!E62*'TS-PILE'!$E$76/SUMSQ('TS-PILE'!$E$72:$E$91))+IF(SUMSQ('TS-PILE'!$D$72:$D$91)=0,0,'TO HOP NLAN'!F62*'TS-PILE'!$D$76/SUMSQ('TS-PILE'!$D$72:$D$91))),IF('TS-PILE'!$B$77="",-1E+99,'TO HOP NLAN'!D62/ncoc+IF(SUMSQ('TS-PILE'!$E$72:$E$91)=0,0,'TO HOP NLAN'!E62*'TS-PILE'!$E$77/SUMSQ('TS-PILE'!$E$72:$E$91))+IF(SUMSQ('TS-PILE'!$D$72:$D$91)=0,0,'TO HOP NLAN'!F62*'TS-PILE'!$D$77/SUMSQ('TS-PILE'!$D$72:$D$91))),IF('TS-PILE'!$B$78="",-1E+99,'TO HOP NLAN'!D62/ncoc+IF(SUMSQ('TS-PILE'!$E$72:$E$91)=0,0,'TO HOP NLAN'!E62*'TS-PILE'!$E$78/SUMSQ('TS-PILE'!$E$72:$E$91))+IF(SUMSQ('TS-PILE'!$D$72:$D$91)=0,0,'TO HOP NLAN'!F62*'TS-PILE'!$D$78/SUMSQ('TS-PILE'!$D$72:$D$91))),IF('TS-PILE'!$B$79="",-1E+99,'TO HOP NLAN'!D62/ncoc+IF(SUMSQ('TS-PILE'!$E$72:$E$91)=0,0,'TO HOP NLAN'!E62*'TS-PILE'!$E$79/SUMSQ('TS-PILE'!$E$72:$E$91))+IF(SUMSQ('TS-PILE'!$D$72:$D$91)=0,0,'TO HOP NLAN'!F62*'TS-PILE'!$D$79/SUMSQ('TS-PILE'!$D$72:$D$91))),IF('TS-PILE'!$B$80="",-1E+99,'TO HOP NLAN'!D62/ncoc+IF(SUMSQ('TS-PILE'!$E$72:$E$91)=0,0,'TO HOP NLAN'!E62*'TS-PILE'!$E$80/SUMSQ('TS-PILE'!$E$72:$E$91))+IF(SUMSQ('TS-PILE'!$D$72:$D$91)=0,0,'TO HOP NLAN'!F62*'TS-PILE'!$D$80/SUMSQ('TS-PILE'!$D$72:$D$91))),IF('TS-PILE'!$B$81="",-1E+99,'TO HOP NLAN'!D62/ncoc+IF(SUMSQ('TS-PILE'!$E$72:$E$91)=0,0,'TO HOP NLAN'!E62*'TS-PILE'!$E$81/SUMSQ('TS-PILE'!$E$72:$E$91))+IF(SUMSQ('TS-PILE'!$D$72:$D$91)=0,0,'TO HOP NLAN'!F62*'TS-PILE'!$D$81/SUMSQ('TS-PILE'!$D$72:$D$91))),IF('TS-PILE'!$B$82="",-1E+99,'TO HOP NLAN'!D62/ncoc+IF(SUMSQ('TS-PILE'!$E$72:$E$91)=0,0,'TO HOP NLAN'!E62*'TS-PILE'!$E$82/SUMSQ('TS-PILE'!$E$72:$E$91))+IF(SUMSQ('TS-PILE'!$D$72:$D$91)=0,0,'TO HOP NLAN'!F62*'TS-PILE'!$D$82/SUMSQ('TS-PILE'!$D$72:$D$91))),IF('TS-PILE'!$B$83="",-1E+99,'TO HOP NLAN'!D62/ncoc+IF(SUMSQ('TS-PILE'!$E$72:$E$91)=0,0,'TO HOP NLAN'!E62*'TS-PILE'!$E$83/SUMSQ('TS-PILE'!$E$72:$E$91))+IF(SUMSQ('TS-PILE'!$D$72:$D$91)=0,0,'TO HOP NLAN'!F62*'TS-PILE'!$D$83/SUMSQ('TS-PILE'!$D$72:$D$91))),IF('TS-PILE'!$B$84="",-1E+99,'TO HOP NLAN'!D62/ncoc+IF(SUMSQ('TS-PILE'!$E$72:$E$91)=0,0,'TO HOP NLAN'!E62*'TS-PILE'!$E$84/SUMSQ('TS-PILE'!$E$72:$E$91))+IF(SUMSQ('TS-PILE'!$D$72:$D$91)=0,0,'TO HOP NLAN'!F62*'TS-PILE'!$D$84/SUMSQ('TS-PILE'!$D$72:$D$91))),IF('TS-PILE'!$B$85="",-1E+99,'TO HOP NLAN'!D62/ncoc+IF(SUMSQ('TS-PILE'!$E$72:$E$91)=0,0,'TO HOP NLAN'!E62*'TS-PILE'!$E$85/SUMSQ('TS-PILE'!$E$72:$E$91))+IF(SUMSQ('TS-PILE'!$D$72:$D$91)=0,0,'TO HOP NLAN'!F62*'TS-PILE'!$D$85/SUMSQ('TS-PILE'!$D$72:$D$91))),IF('TS-PILE'!$B$86="",-1E+99,'TO HOP NLAN'!D62/ncoc+IF(SUMSQ('TS-PILE'!$E$72:$E$91)=0,0,'TO HOP NLAN'!E62*'TS-PILE'!$E$86/SUMSQ('TS-PILE'!$E$72:$E$91))+IF(SUMSQ('TS-PILE'!$D$72:$D$91)=0,0,'TO HOP NLAN'!F62*'TS-PILE'!$D$86/SUMSQ('TS-PILE'!$D$72:$D$91))),IF('TS-PILE'!$B$87="",-1E+99,'TO HOP NLAN'!D62/ncoc+IF(SUMSQ('TS-PILE'!$E$72:$E$91)=0,0,'TO HOP NLAN'!E62*'TS-PILE'!$E$87/SUMSQ('TS-PILE'!$E$72:$E$91))+IF(SUMSQ('TS-PILE'!$D$72:$D$91)=0,0,'TO HOP NLAN'!F62*'TS-PILE'!$D$87/SUMSQ('TS-PILE'!$D$72:$D$91))),IF('TS-PILE'!$B$88="",-1E+99,'TO HOP NLAN'!D62/ncoc+IF(SUMSQ('TS-PILE'!$E$72:$E$91)=0,0,'TO HOP NLAN'!E62*'TS-PILE'!$E$88/SUMSQ('TS-PILE'!$E$72:$E$91))+IF(SUMSQ('TS-PILE'!$D$72:$D$91)=0,0,'TO HOP NLAN'!F62*'TS-PILE'!$D$88/SUMSQ('TS-PILE'!$D$72:$D$91))),IF('TS-PILE'!$B$89="",-1E+99,'TO HOP NLAN'!D62/ncoc+IF(SUMSQ('TS-PILE'!$E$72:$E$91)=0,0,'TO HOP NLAN'!E62*'TS-PILE'!$E$89/SUMSQ('TS-PILE'!$E$72:$E$91))+IF(SUMSQ('TS-PILE'!$D$72:$D$91)=0,0,'TO HOP NLAN'!F62*'TS-PILE'!$D$89/SUMSQ('TS-PILE'!$D$72:$D$91))),IF('TS-PILE'!$B$90="",-1E+99,'TO HOP NLAN'!D62/ncoc+IF(SUMSQ('TS-PILE'!$E$72:$E$91)=0,0,'TO HOP NLAN'!E62*'TS-PILE'!$E$90/SUMSQ('TS-PILE'!$E$72:$E$91))+IF(SUMSQ('TS-PILE'!$D$72:$D$91)=0,0,'TO HOP NLAN'!F62*'TS-PILE'!$D$90/SUMSQ('TS-PILE'!$D$72:$D$91))),IF('TS-PILE'!$B$91="",-1E+99,'TO HOP NLAN'!D62/ncoc+IF(SUMSQ('TS-PILE'!$E$72:$E$91)=0,0,'TO HOP NLAN'!E62*'TS-PILE'!$E$91/SUMSQ('TS-PILE'!$E$72:$E$91))+IF(SUMSQ('TS-PILE'!$D$72:$D$91)=0,0,'TO HOP NLAN'!F62*'TS-PILE'!$D$91/SUMSQ('TS-PILE'!$D$72:$D$91)))))</f>
        <v>0</v>
      </c>
      <c r="D62" s="58">
        <f>IF(A62="",0,MIN(IF('TS-PILE'!$B$72="",1E+99,'TO HOP NLAN'!D62/ncoc+IF(SUMSQ('TS-PILE'!$E$72:$E$91)=0,0,'TO HOP NLAN'!E62*'TS-PILE'!$E$72/SUMSQ('TS-PILE'!$E$72:$E$91))+IF(SUMSQ('TS-PILE'!$D$72:$D$91)=0,0,'TO HOP NLAN'!F62*'TS-PILE'!$D$72/SUMSQ('TS-PILE'!$D$72:$D$91))),IF('TS-PILE'!$B$73="",1E+99,'TO HOP NLAN'!D62/ncoc+IF(SUMSQ('TS-PILE'!$E$72:$E$91)=0,0,'TO HOP NLAN'!E62*'TS-PILE'!$E$73/SUMSQ('TS-PILE'!$E$72:$E$91))+IF(SUMSQ('TS-PILE'!$D$72:$D$91)=0,0,'TO HOP NLAN'!F62*'TS-PILE'!$D$73/SUMSQ('TS-PILE'!$D$72:$D$91))),IF('TS-PILE'!$B$74="",1E+99,'TO HOP NLAN'!D62/ncoc+IF(SUMSQ('TS-PILE'!$E$72:$E$91)=0,0,'TO HOP NLAN'!E62*'TS-PILE'!$E$74/SUMSQ('TS-PILE'!$E$72:$E$91))+IF(SUMSQ('TS-PILE'!$D$72:$D$91)=0,0,'TO HOP NLAN'!F62*'TS-PILE'!$D$74/SUMSQ('TS-PILE'!$D$72:$D$91))),IF('TS-PILE'!$B$75="",1E+99,'TO HOP NLAN'!D62/ncoc+IF(SUMSQ('TS-PILE'!$E$72:$E$91)=0,0,'TO HOP NLAN'!E62*'TS-PILE'!$E$75/SUMSQ('TS-PILE'!$E$72:$E$91))+IF(SUMSQ('TS-PILE'!$D$72:$D$91)=0,0,'TO HOP NLAN'!F62*'TS-PILE'!$D$75/SUMSQ('TS-PILE'!$D$72:$D$91))),IF('TS-PILE'!$B$76="",1E+99,'TO HOP NLAN'!D62/ncoc+IF(SUMSQ('TS-PILE'!$E$72:$E$91)=0,0,'TO HOP NLAN'!E62*'TS-PILE'!$E$76/SUMSQ('TS-PILE'!$E$72:$E$91))+IF(SUMSQ('TS-PILE'!$D$72:$D$91)=0,0,'TO HOP NLAN'!F62*'TS-PILE'!$D$76/SUMSQ('TS-PILE'!$D$72:$D$91))),IF('TS-PILE'!$B$77="",1E+99,'TO HOP NLAN'!D62/ncoc+IF(SUMSQ('TS-PILE'!$E$72:$E$91)=0,0,'TO HOP NLAN'!E62*'TS-PILE'!$E$77/SUMSQ('TS-PILE'!$E$72:$E$91))+IF(SUMSQ('TS-PILE'!$D$72:$D$91)=0,0,'TO HOP NLAN'!F62*'TS-PILE'!$D$77/SUMSQ('TS-PILE'!$D$72:$D$91))),IF('TS-PILE'!$B$78="",1E+99,'TO HOP NLAN'!D62/ncoc+IF(SUMSQ('TS-PILE'!$E$72:$E$91)=0,0,'TO HOP NLAN'!E62*'TS-PILE'!$E$78/SUMSQ('TS-PILE'!$E$72:$E$91))+IF(SUMSQ('TS-PILE'!$D$72:$D$91)=0,0,'TO HOP NLAN'!F62*'TS-PILE'!$D$78/SUMSQ('TS-PILE'!$D$72:$D$91))),IF('TS-PILE'!$B$79="",1E+99,'TO HOP NLAN'!D62/ncoc+IF(SUMSQ('TS-PILE'!$E$72:$E$91)=0,0,'TO HOP NLAN'!E62*'TS-PILE'!$E$79/SUMSQ('TS-PILE'!$E$72:$E$91))+IF(SUMSQ('TS-PILE'!$D$72:$D$91)=0,0,'TO HOP NLAN'!F62*'TS-PILE'!$D$79/SUMSQ('TS-PILE'!$D$72:$D$91))),IF('TS-PILE'!$B$80="",1E+99,'TO HOP NLAN'!D62/ncoc+IF(SUMSQ('TS-PILE'!$E$72:$E$91)=0,0,'TO HOP NLAN'!E62*'TS-PILE'!$E$80/SUMSQ('TS-PILE'!$E$72:$E$91))+IF(SUMSQ('TS-PILE'!$D$72:$D$91)=0,0,'TO HOP NLAN'!F62*'TS-PILE'!$D$80/SUMSQ('TS-PILE'!$D$72:$D$91))),IF('TS-PILE'!$B$81="",1E+99,'TO HOP NLAN'!D62/ncoc+IF(SUMSQ('TS-PILE'!$E$72:$E$91)=0,0,'TO HOP NLAN'!E62*'TS-PILE'!$E$81/SUMSQ('TS-PILE'!$E$72:$E$91))+IF(SUMSQ('TS-PILE'!$D$72:$D$91)=0,0,'TO HOP NLAN'!F62*'TS-PILE'!$D$81/SUMSQ('TS-PILE'!$D$72:$D$91))),IF('TS-PILE'!$B$82="",1E+99,'TO HOP NLAN'!D62/ncoc+IF(SUMSQ('TS-PILE'!$E$72:$E$91)=0,0,'TO HOP NLAN'!E62*'TS-PILE'!$E$82/SUMSQ('TS-PILE'!$E$72:$E$91))+IF(SUMSQ('TS-PILE'!$D$72:$D$91)=0,0,'TO HOP NLAN'!F62*'TS-PILE'!$D$82/SUMSQ('TS-PILE'!$D$72:$D$91))),IF('TS-PILE'!$B$83="",1E+99,'TO HOP NLAN'!D62/ncoc+IF(SUMSQ('TS-PILE'!$E$72:$E$91)=0,0,'TO HOP NLAN'!E62*'TS-PILE'!$E$83/SUMSQ('TS-PILE'!$E$72:$E$91))+IF(SUMSQ('TS-PILE'!$D$72:$D$91)=0,0,'TO HOP NLAN'!F62*'TS-PILE'!$D$83/SUMSQ('TS-PILE'!$D$72:$D$91))),IF('TS-PILE'!$B$84="",1E+99,'TO HOP NLAN'!D62/ncoc+IF(SUMSQ('TS-PILE'!$E$72:$E$91)=0,0,'TO HOP NLAN'!E62*'TS-PILE'!$E$84/SUMSQ('TS-PILE'!$E$72:$E$91))+IF(SUMSQ('TS-PILE'!$D$72:$D$91)=0,0,'TO HOP NLAN'!F62*'TS-PILE'!$D$84/SUMSQ('TS-PILE'!$D$72:$D$91))),IF('TS-PILE'!$B$85="",1E+99,'TO HOP NLAN'!D62/ncoc+IF(SUMSQ('TS-PILE'!$E$72:$E$91)=0,0,'TO HOP NLAN'!E62*'TS-PILE'!$E$85/SUMSQ('TS-PILE'!$E$72:$E$91))+IF(SUMSQ('TS-PILE'!$D$72:$D$91)=0,0,'TO HOP NLAN'!F62*'TS-PILE'!$D$85/SUMSQ('TS-PILE'!$D$72:$D$91))),IF('TS-PILE'!$B$86="",1E+99,'TO HOP NLAN'!D62/ncoc+IF(SUMSQ('TS-PILE'!$E$72:$E$91)=0,0,'TO HOP NLAN'!E62*'TS-PILE'!$E$86/SUMSQ('TS-PILE'!$E$72:$E$91))+IF(SUMSQ('TS-PILE'!$D$72:$D$91)=0,0,'TO HOP NLAN'!F62*'TS-PILE'!$D$86/SUMSQ('TS-PILE'!$D$72:$D$91))),IF('TS-PILE'!$B$87="",1E+99,'TO HOP NLAN'!D62/ncoc+IF(SUMSQ('TS-PILE'!$E$72:$E$91)=0,0,'TO HOP NLAN'!E62*'TS-PILE'!$E$87/SUMSQ('TS-PILE'!$E$72:$E$91))+IF(SUMSQ('TS-PILE'!$D$72:$D$91)=0,0,'TO HOP NLAN'!F62*'TS-PILE'!$D$87/SUMSQ('TS-PILE'!$D$72:$D$91))),IF('TS-PILE'!$B$88="",1E+99,'TO HOP NLAN'!D62/ncoc+IF(SUMSQ('TS-PILE'!$E$72:$E$91)=0,0,'TO HOP NLAN'!E62*'TS-PILE'!$E$88/SUMSQ('TS-PILE'!$E$72:$E$91))+IF(SUMSQ('TS-PILE'!$D$72:$D$91)=0,0,'TO HOP NLAN'!F62*'TS-PILE'!$D$88/SUMSQ('TS-PILE'!$D$72:$D$91))),IF('TS-PILE'!$B$89="",1E+99,'TO HOP NLAN'!D62/ncoc+IF(SUMSQ('TS-PILE'!$E$72:$E$91)=0,0,'TO HOP NLAN'!E62*'TS-PILE'!$E$89/SUMSQ('TS-PILE'!$E$72:$E$91))+IF(SUMSQ('TS-PILE'!$D$72:$D$91)=0,0,'TO HOP NLAN'!F62*'TS-PILE'!$D$89/SUMSQ('TS-PILE'!$D$72:$D$91))),IF('TS-PILE'!$B$90="",1E+99,'TO HOP NLAN'!D62/ncoc+IF(SUMSQ('TS-PILE'!$E$72:$E$91)=0,0,'TO HOP NLAN'!E62*'TS-PILE'!$E$90/SUMSQ('TS-PILE'!$E$72:$E$91))+IF(SUMSQ('TS-PILE'!$D$72:$D$91)=0,0,'TO HOP NLAN'!F62*'TS-PILE'!$D$90/SUMSQ('TS-PILE'!$D$72:$D$91))),IF('TS-PILE'!$B$91="",1E+99,'TO HOP NLAN'!D62/ncoc+IF(SUMSQ('TS-PILE'!$E$72:$E$91)=0,0,'TO HOP NLAN'!E62*'TS-PILE'!$E$91/SUMSQ('TS-PILE'!$E$72:$E$91))+IF(SUMSQ('TS-PILE'!$D$72:$D$91)=0,0,'TO HOP NLAN'!F62*'TS-PILE'!$D$91/SUMSQ('TS-PILE'!$D$72:$D$91)))))</f>
        <v>0</v>
      </c>
      <c r="E62" s="58">
        <f t="shared" si="0"/>
        <v>-9.9999999999999997E+98</v>
      </c>
      <c r="F62" s="58">
        <f t="shared" si="1"/>
        <v>9.9999999999999997E+98</v>
      </c>
      <c r="G62" s="58">
        <f t="shared" si="2"/>
        <v>-9.9999999999999997E+98</v>
      </c>
      <c r="H62" s="58">
        <f t="shared" si="3"/>
        <v>9.9999999999999997E+98</v>
      </c>
    </row>
    <row r="63" spans="1:8" x14ac:dyDescent="0.3">
      <c r="A63" s="42" t="str">
        <f>'TO HOP NLAN'!A63</f>
        <v/>
      </c>
      <c r="B63" s="42" t="str">
        <f>'TO HOP NLAN'!L63</f>
        <v>SERVICE</v>
      </c>
      <c r="C63" s="58">
        <f>IF(A63="",0,MAX(IF('TS-PILE'!$B$72="",-1E+99,'TO HOP NLAN'!D63/ncoc+IF(SUMSQ('TS-PILE'!$E$72:$E$91)=0,0,'TO HOP NLAN'!E63*'TS-PILE'!$E$72/SUMSQ('TS-PILE'!$E$72:$E$91))+IF(SUMSQ('TS-PILE'!$D$72:$D$91)=0,0,'TO HOP NLAN'!F63*'TS-PILE'!$D$72/SUMSQ('TS-PILE'!$D$72:$D$91))),IF('TS-PILE'!$B$73="",-1E+99,'TO HOP NLAN'!D63/ncoc+IF(SUMSQ('TS-PILE'!$E$72:$E$91)=0,0,'TO HOP NLAN'!E63*'TS-PILE'!$E$73/SUMSQ('TS-PILE'!$E$72:$E$91))+IF(SUMSQ('TS-PILE'!$D$72:$D$91)=0,0,'TO HOP NLAN'!F63*'TS-PILE'!$D$73/SUMSQ('TS-PILE'!$D$72:$D$91))),IF('TS-PILE'!$B$74="",-1E+99,'TO HOP NLAN'!D63/ncoc+IF(SUMSQ('TS-PILE'!$E$72:$E$91)=0,0,'TO HOP NLAN'!E63*'TS-PILE'!$E$74/SUMSQ('TS-PILE'!$E$72:$E$91))+IF(SUMSQ('TS-PILE'!$D$72:$D$91)=0,0,'TO HOP NLAN'!F63*'TS-PILE'!$D$74/SUMSQ('TS-PILE'!$D$72:$D$91))),IF('TS-PILE'!$B$75="",-1E+99,'TO HOP NLAN'!D63/ncoc+IF(SUMSQ('TS-PILE'!$E$72:$E$91)=0,0,'TO HOP NLAN'!E63*'TS-PILE'!$E$75/SUMSQ('TS-PILE'!$E$72:$E$91))+IF(SUMSQ('TS-PILE'!$D$72:$D$91)=0,0,'TO HOP NLAN'!F63*'TS-PILE'!$D$75/SUMSQ('TS-PILE'!$D$72:$D$91))),IF('TS-PILE'!$B$76="",-1E+99,'TO HOP NLAN'!D63/ncoc+IF(SUMSQ('TS-PILE'!$E$72:$E$91)=0,0,'TO HOP NLAN'!E63*'TS-PILE'!$E$76/SUMSQ('TS-PILE'!$E$72:$E$91))+IF(SUMSQ('TS-PILE'!$D$72:$D$91)=0,0,'TO HOP NLAN'!F63*'TS-PILE'!$D$76/SUMSQ('TS-PILE'!$D$72:$D$91))),IF('TS-PILE'!$B$77="",-1E+99,'TO HOP NLAN'!D63/ncoc+IF(SUMSQ('TS-PILE'!$E$72:$E$91)=0,0,'TO HOP NLAN'!E63*'TS-PILE'!$E$77/SUMSQ('TS-PILE'!$E$72:$E$91))+IF(SUMSQ('TS-PILE'!$D$72:$D$91)=0,0,'TO HOP NLAN'!F63*'TS-PILE'!$D$77/SUMSQ('TS-PILE'!$D$72:$D$91))),IF('TS-PILE'!$B$78="",-1E+99,'TO HOP NLAN'!D63/ncoc+IF(SUMSQ('TS-PILE'!$E$72:$E$91)=0,0,'TO HOP NLAN'!E63*'TS-PILE'!$E$78/SUMSQ('TS-PILE'!$E$72:$E$91))+IF(SUMSQ('TS-PILE'!$D$72:$D$91)=0,0,'TO HOP NLAN'!F63*'TS-PILE'!$D$78/SUMSQ('TS-PILE'!$D$72:$D$91))),IF('TS-PILE'!$B$79="",-1E+99,'TO HOP NLAN'!D63/ncoc+IF(SUMSQ('TS-PILE'!$E$72:$E$91)=0,0,'TO HOP NLAN'!E63*'TS-PILE'!$E$79/SUMSQ('TS-PILE'!$E$72:$E$91))+IF(SUMSQ('TS-PILE'!$D$72:$D$91)=0,0,'TO HOP NLAN'!F63*'TS-PILE'!$D$79/SUMSQ('TS-PILE'!$D$72:$D$91))),IF('TS-PILE'!$B$80="",-1E+99,'TO HOP NLAN'!D63/ncoc+IF(SUMSQ('TS-PILE'!$E$72:$E$91)=0,0,'TO HOP NLAN'!E63*'TS-PILE'!$E$80/SUMSQ('TS-PILE'!$E$72:$E$91))+IF(SUMSQ('TS-PILE'!$D$72:$D$91)=0,0,'TO HOP NLAN'!F63*'TS-PILE'!$D$80/SUMSQ('TS-PILE'!$D$72:$D$91))),IF('TS-PILE'!$B$81="",-1E+99,'TO HOP NLAN'!D63/ncoc+IF(SUMSQ('TS-PILE'!$E$72:$E$91)=0,0,'TO HOP NLAN'!E63*'TS-PILE'!$E$81/SUMSQ('TS-PILE'!$E$72:$E$91))+IF(SUMSQ('TS-PILE'!$D$72:$D$91)=0,0,'TO HOP NLAN'!F63*'TS-PILE'!$D$81/SUMSQ('TS-PILE'!$D$72:$D$91))),IF('TS-PILE'!$B$82="",-1E+99,'TO HOP NLAN'!D63/ncoc+IF(SUMSQ('TS-PILE'!$E$72:$E$91)=0,0,'TO HOP NLAN'!E63*'TS-PILE'!$E$82/SUMSQ('TS-PILE'!$E$72:$E$91))+IF(SUMSQ('TS-PILE'!$D$72:$D$91)=0,0,'TO HOP NLAN'!F63*'TS-PILE'!$D$82/SUMSQ('TS-PILE'!$D$72:$D$91))),IF('TS-PILE'!$B$83="",-1E+99,'TO HOP NLAN'!D63/ncoc+IF(SUMSQ('TS-PILE'!$E$72:$E$91)=0,0,'TO HOP NLAN'!E63*'TS-PILE'!$E$83/SUMSQ('TS-PILE'!$E$72:$E$91))+IF(SUMSQ('TS-PILE'!$D$72:$D$91)=0,0,'TO HOP NLAN'!F63*'TS-PILE'!$D$83/SUMSQ('TS-PILE'!$D$72:$D$91))),IF('TS-PILE'!$B$84="",-1E+99,'TO HOP NLAN'!D63/ncoc+IF(SUMSQ('TS-PILE'!$E$72:$E$91)=0,0,'TO HOP NLAN'!E63*'TS-PILE'!$E$84/SUMSQ('TS-PILE'!$E$72:$E$91))+IF(SUMSQ('TS-PILE'!$D$72:$D$91)=0,0,'TO HOP NLAN'!F63*'TS-PILE'!$D$84/SUMSQ('TS-PILE'!$D$72:$D$91))),IF('TS-PILE'!$B$85="",-1E+99,'TO HOP NLAN'!D63/ncoc+IF(SUMSQ('TS-PILE'!$E$72:$E$91)=0,0,'TO HOP NLAN'!E63*'TS-PILE'!$E$85/SUMSQ('TS-PILE'!$E$72:$E$91))+IF(SUMSQ('TS-PILE'!$D$72:$D$91)=0,0,'TO HOP NLAN'!F63*'TS-PILE'!$D$85/SUMSQ('TS-PILE'!$D$72:$D$91))),IF('TS-PILE'!$B$86="",-1E+99,'TO HOP NLAN'!D63/ncoc+IF(SUMSQ('TS-PILE'!$E$72:$E$91)=0,0,'TO HOP NLAN'!E63*'TS-PILE'!$E$86/SUMSQ('TS-PILE'!$E$72:$E$91))+IF(SUMSQ('TS-PILE'!$D$72:$D$91)=0,0,'TO HOP NLAN'!F63*'TS-PILE'!$D$86/SUMSQ('TS-PILE'!$D$72:$D$91))),IF('TS-PILE'!$B$87="",-1E+99,'TO HOP NLAN'!D63/ncoc+IF(SUMSQ('TS-PILE'!$E$72:$E$91)=0,0,'TO HOP NLAN'!E63*'TS-PILE'!$E$87/SUMSQ('TS-PILE'!$E$72:$E$91))+IF(SUMSQ('TS-PILE'!$D$72:$D$91)=0,0,'TO HOP NLAN'!F63*'TS-PILE'!$D$87/SUMSQ('TS-PILE'!$D$72:$D$91))),IF('TS-PILE'!$B$88="",-1E+99,'TO HOP NLAN'!D63/ncoc+IF(SUMSQ('TS-PILE'!$E$72:$E$91)=0,0,'TO HOP NLAN'!E63*'TS-PILE'!$E$88/SUMSQ('TS-PILE'!$E$72:$E$91))+IF(SUMSQ('TS-PILE'!$D$72:$D$91)=0,0,'TO HOP NLAN'!F63*'TS-PILE'!$D$88/SUMSQ('TS-PILE'!$D$72:$D$91))),IF('TS-PILE'!$B$89="",-1E+99,'TO HOP NLAN'!D63/ncoc+IF(SUMSQ('TS-PILE'!$E$72:$E$91)=0,0,'TO HOP NLAN'!E63*'TS-PILE'!$E$89/SUMSQ('TS-PILE'!$E$72:$E$91))+IF(SUMSQ('TS-PILE'!$D$72:$D$91)=0,0,'TO HOP NLAN'!F63*'TS-PILE'!$D$89/SUMSQ('TS-PILE'!$D$72:$D$91))),IF('TS-PILE'!$B$90="",-1E+99,'TO HOP NLAN'!D63/ncoc+IF(SUMSQ('TS-PILE'!$E$72:$E$91)=0,0,'TO HOP NLAN'!E63*'TS-PILE'!$E$90/SUMSQ('TS-PILE'!$E$72:$E$91))+IF(SUMSQ('TS-PILE'!$D$72:$D$91)=0,0,'TO HOP NLAN'!F63*'TS-PILE'!$D$90/SUMSQ('TS-PILE'!$D$72:$D$91))),IF('TS-PILE'!$B$91="",-1E+99,'TO HOP NLAN'!D63/ncoc+IF(SUMSQ('TS-PILE'!$E$72:$E$91)=0,0,'TO HOP NLAN'!E63*'TS-PILE'!$E$91/SUMSQ('TS-PILE'!$E$72:$E$91))+IF(SUMSQ('TS-PILE'!$D$72:$D$91)=0,0,'TO HOP NLAN'!F63*'TS-PILE'!$D$91/SUMSQ('TS-PILE'!$D$72:$D$91)))))</f>
        <v>0</v>
      </c>
      <c r="D63" s="58">
        <f>IF(A63="",0,MIN(IF('TS-PILE'!$B$72="",1E+99,'TO HOP NLAN'!D63/ncoc+IF(SUMSQ('TS-PILE'!$E$72:$E$91)=0,0,'TO HOP NLAN'!E63*'TS-PILE'!$E$72/SUMSQ('TS-PILE'!$E$72:$E$91))+IF(SUMSQ('TS-PILE'!$D$72:$D$91)=0,0,'TO HOP NLAN'!F63*'TS-PILE'!$D$72/SUMSQ('TS-PILE'!$D$72:$D$91))),IF('TS-PILE'!$B$73="",1E+99,'TO HOP NLAN'!D63/ncoc+IF(SUMSQ('TS-PILE'!$E$72:$E$91)=0,0,'TO HOP NLAN'!E63*'TS-PILE'!$E$73/SUMSQ('TS-PILE'!$E$72:$E$91))+IF(SUMSQ('TS-PILE'!$D$72:$D$91)=0,0,'TO HOP NLAN'!F63*'TS-PILE'!$D$73/SUMSQ('TS-PILE'!$D$72:$D$91))),IF('TS-PILE'!$B$74="",1E+99,'TO HOP NLAN'!D63/ncoc+IF(SUMSQ('TS-PILE'!$E$72:$E$91)=0,0,'TO HOP NLAN'!E63*'TS-PILE'!$E$74/SUMSQ('TS-PILE'!$E$72:$E$91))+IF(SUMSQ('TS-PILE'!$D$72:$D$91)=0,0,'TO HOP NLAN'!F63*'TS-PILE'!$D$74/SUMSQ('TS-PILE'!$D$72:$D$91))),IF('TS-PILE'!$B$75="",1E+99,'TO HOP NLAN'!D63/ncoc+IF(SUMSQ('TS-PILE'!$E$72:$E$91)=0,0,'TO HOP NLAN'!E63*'TS-PILE'!$E$75/SUMSQ('TS-PILE'!$E$72:$E$91))+IF(SUMSQ('TS-PILE'!$D$72:$D$91)=0,0,'TO HOP NLAN'!F63*'TS-PILE'!$D$75/SUMSQ('TS-PILE'!$D$72:$D$91))),IF('TS-PILE'!$B$76="",1E+99,'TO HOP NLAN'!D63/ncoc+IF(SUMSQ('TS-PILE'!$E$72:$E$91)=0,0,'TO HOP NLAN'!E63*'TS-PILE'!$E$76/SUMSQ('TS-PILE'!$E$72:$E$91))+IF(SUMSQ('TS-PILE'!$D$72:$D$91)=0,0,'TO HOP NLAN'!F63*'TS-PILE'!$D$76/SUMSQ('TS-PILE'!$D$72:$D$91))),IF('TS-PILE'!$B$77="",1E+99,'TO HOP NLAN'!D63/ncoc+IF(SUMSQ('TS-PILE'!$E$72:$E$91)=0,0,'TO HOP NLAN'!E63*'TS-PILE'!$E$77/SUMSQ('TS-PILE'!$E$72:$E$91))+IF(SUMSQ('TS-PILE'!$D$72:$D$91)=0,0,'TO HOP NLAN'!F63*'TS-PILE'!$D$77/SUMSQ('TS-PILE'!$D$72:$D$91))),IF('TS-PILE'!$B$78="",1E+99,'TO HOP NLAN'!D63/ncoc+IF(SUMSQ('TS-PILE'!$E$72:$E$91)=0,0,'TO HOP NLAN'!E63*'TS-PILE'!$E$78/SUMSQ('TS-PILE'!$E$72:$E$91))+IF(SUMSQ('TS-PILE'!$D$72:$D$91)=0,0,'TO HOP NLAN'!F63*'TS-PILE'!$D$78/SUMSQ('TS-PILE'!$D$72:$D$91))),IF('TS-PILE'!$B$79="",1E+99,'TO HOP NLAN'!D63/ncoc+IF(SUMSQ('TS-PILE'!$E$72:$E$91)=0,0,'TO HOP NLAN'!E63*'TS-PILE'!$E$79/SUMSQ('TS-PILE'!$E$72:$E$91))+IF(SUMSQ('TS-PILE'!$D$72:$D$91)=0,0,'TO HOP NLAN'!F63*'TS-PILE'!$D$79/SUMSQ('TS-PILE'!$D$72:$D$91))),IF('TS-PILE'!$B$80="",1E+99,'TO HOP NLAN'!D63/ncoc+IF(SUMSQ('TS-PILE'!$E$72:$E$91)=0,0,'TO HOP NLAN'!E63*'TS-PILE'!$E$80/SUMSQ('TS-PILE'!$E$72:$E$91))+IF(SUMSQ('TS-PILE'!$D$72:$D$91)=0,0,'TO HOP NLAN'!F63*'TS-PILE'!$D$80/SUMSQ('TS-PILE'!$D$72:$D$91))),IF('TS-PILE'!$B$81="",1E+99,'TO HOP NLAN'!D63/ncoc+IF(SUMSQ('TS-PILE'!$E$72:$E$91)=0,0,'TO HOP NLAN'!E63*'TS-PILE'!$E$81/SUMSQ('TS-PILE'!$E$72:$E$91))+IF(SUMSQ('TS-PILE'!$D$72:$D$91)=0,0,'TO HOP NLAN'!F63*'TS-PILE'!$D$81/SUMSQ('TS-PILE'!$D$72:$D$91))),IF('TS-PILE'!$B$82="",1E+99,'TO HOP NLAN'!D63/ncoc+IF(SUMSQ('TS-PILE'!$E$72:$E$91)=0,0,'TO HOP NLAN'!E63*'TS-PILE'!$E$82/SUMSQ('TS-PILE'!$E$72:$E$91))+IF(SUMSQ('TS-PILE'!$D$72:$D$91)=0,0,'TO HOP NLAN'!F63*'TS-PILE'!$D$82/SUMSQ('TS-PILE'!$D$72:$D$91))),IF('TS-PILE'!$B$83="",1E+99,'TO HOP NLAN'!D63/ncoc+IF(SUMSQ('TS-PILE'!$E$72:$E$91)=0,0,'TO HOP NLAN'!E63*'TS-PILE'!$E$83/SUMSQ('TS-PILE'!$E$72:$E$91))+IF(SUMSQ('TS-PILE'!$D$72:$D$91)=0,0,'TO HOP NLAN'!F63*'TS-PILE'!$D$83/SUMSQ('TS-PILE'!$D$72:$D$91))),IF('TS-PILE'!$B$84="",1E+99,'TO HOP NLAN'!D63/ncoc+IF(SUMSQ('TS-PILE'!$E$72:$E$91)=0,0,'TO HOP NLAN'!E63*'TS-PILE'!$E$84/SUMSQ('TS-PILE'!$E$72:$E$91))+IF(SUMSQ('TS-PILE'!$D$72:$D$91)=0,0,'TO HOP NLAN'!F63*'TS-PILE'!$D$84/SUMSQ('TS-PILE'!$D$72:$D$91))),IF('TS-PILE'!$B$85="",1E+99,'TO HOP NLAN'!D63/ncoc+IF(SUMSQ('TS-PILE'!$E$72:$E$91)=0,0,'TO HOP NLAN'!E63*'TS-PILE'!$E$85/SUMSQ('TS-PILE'!$E$72:$E$91))+IF(SUMSQ('TS-PILE'!$D$72:$D$91)=0,0,'TO HOP NLAN'!F63*'TS-PILE'!$D$85/SUMSQ('TS-PILE'!$D$72:$D$91))),IF('TS-PILE'!$B$86="",1E+99,'TO HOP NLAN'!D63/ncoc+IF(SUMSQ('TS-PILE'!$E$72:$E$91)=0,0,'TO HOP NLAN'!E63*'TS-PILE'!$E$86/SUMSQ('TS-PILE'!$E$72:$E$91))+IF(SUMSQ('TS-PILE'!$D$72:$D$91)=0,0,'TO HOP NLAN'!F63*'TS-PILE'!$D$86/SUMSQ('TS-PILE'!$D$72:$D$91))),IF('TS-PILE'!$B$87="",1E+99,'TO HOP NLAN'!D63/ncoc+IF(SUMSQ('TS-PILE'!$E$72:$E$91)=0,0,'TO HOP NLAN'!E63*'TS-PILE'!$E$87/SUMSQ('TS-PILE'!$E$72:$E$91))+IF(SUMSQ('TS-PILE'!$D$72:$D$91)=0,0,'TO HOP NLAN'!F63*'TS-PILE'!$D$87/SUMSQ('TS-PILE'!$D$72:$D$91))),IF('TS-PILE'!$B$88="",1E+99,'TO HOP NLAN'!D63/ncoc+IF(SUMSQ('TS-PILE'!$E$72:$E$91)=0,0,'TO HOP NLAN'!E63*'TS-PILE'!$E$88/SUMSQ('TS-PILE'!$E$72:$E$91))+IF(SUMSQ('TS-PILE'!$D$72:$D$91)=0,0,'TO HOP NLAN'!F63*'TS-PILE'!$D$88/SUMSQ('TS-PILE'!$D$72:$D$91))),IF('TS-PILE'!$B$89="",1E+99,'TO HOP NLAN'!D63/ncoc+IF(SUMSQ('TS-PILE'!$E$72:$E$91)=0,0,'TO HOP NLAN'!E63*'TS-PILE'!$E$89/SUMSQ('TS-PILE'!$E$72:$E$91))+IF(SUMSQ('TS-PILE'!$D$72:$D$91)=0,0,'TO HOP NLAN'!F63*'TS-PILE'!$D$89/SUMSQ('TS-PILE'!$D$72:$D$91))),IF('TS-PILE'!$B$90="",1E+99,'TO HOP NLAN'!D63/ncoc+IF(SUMSQ('TS-PILE'!$E$72:$E$91)=0,0,'TO HOP NLAN'!E63*'TS-PILE'!$E$90/SUMSQ('TS-PILE'!$E$72:$E$91))+IF(SUMSQ('TS-PILE'!$D$72:$D$91)=0,0,'TO HOP NLAN'!F63*'TS-PILE'!$D$90/SUMSQ('TS-PILE'!$D$72:$D$91))),IF('TS-PILE'!$B$91="",1E+99,'TO HOP NLAN'!D63/ncoc+IF(SUMSQ('TS-PILE'!$E$72:$E$91)=0,0,'TO HOP NLAN'!E63*'TS-PILE'!$E$91/SUMSQ('TS-PILE'!$E$72:$E$91))+IF(SUMSQ('TS-PILE'!$D$72:$D$91)=0,0,'TO HOP NLAN'!F63*'TS-PILE'!$D$91/SUMSQ('TS-PILE'!$D$72:$D$91)))))</f>
        <v>0</v>
      </c>
      <c r="E63" s="58">
        <f t="shared" si="0"/>
        <v>-9.9999999999999997E+98</v>
      </c>
      <c r="F63" s="58">
        <f t="shared" si="1"/>
        <v>9.9999999999999997E+98</v>
      </c>
      <c r="G63" s="58">
        <f t="shared" si="2"/>
        <v>-9.9999999999999997E+98</v>
      </c>
      <c r="H63" s="58">
        <f t="shared" si="3"/>
        <v>9.9999999999999997E+98</v>
      </c>
    </row>
    <row r="64" spans="1:8" x14ac:dyDescent="0.3">
      <c r="A64" s="42" t="str">
        <f>'TO HOP NLAN'!A64</f>
        <v/>
      </c>
      <c r="B64" s="42" t="str">
        <f>'TO HOP NLAN'!L64</f>
        <v>SERVICE</v>
      </c>
      <c r="C64" s="58">
        <f>IF(A64="",0,MAX(IF('TS-PILE'!$B$72="",-1E+99,'TO HOP NLAN'!D64/ncoc+IF(SUMSQ('TS-PILE'!$E$72:$E$91)=0,0,'TO HOP NLAN'!E64*'TS-PILE'!$E$72/SUMSQ('TS-PILE'!$E$72:$E$91))+IF(SUMSQ('TS-PILE'!$D$72:$D$91)=0,0,'TO HOP NLAN'!F64*'TS-PILE'!$D$72/SUMSQ('TS-PILE'!$D$72:$D$91))),IF('TS-PILE'!$B$73="",-1E+99,'TO HOP NLAN'!D64/ncoc+IF(SUMSQ('TS-PILE'!$E$72:$E$91)=0,0,'TO HOP NLAN'!E64*'TS-PILE'!$E$73/SUMSQ('TS-PILE'!$E$72:$E$91))+IF(SUMSQ('TS-PILE'!$D$72:$D$91)=0,0,'TO HOP NLAN'!F64*'TS-PILE'!$D$73/SUMSQ('TS-PILE'!$D$72:$D$91))),IF('TS-PILE'!$B$74="",-1E+99,'TO HOP NLAN'!D64/ncoc+IF(SUMSQ('TS-PILE'!$E$72:$E$91)=0,0,'TO HOP NLAN'!E64*'TS-PILE'!$E$74/SUMSQ('TS-PILE'!$E$72:$E$91))+IF(SUMSQ('TS-PILE'!$D$72:$D$91)=0,0,'TO HOP NLAN'!F64*'TS-PILE'!$D$74/SUMSQ('TS-PILE'!$D$72:$D$91))),IF('TS-PILE'!$B$75="",-1E+99,'TO HOP NLAN'!D64/ncoc+IF(SUMSQ('TS-PILE'!$E$72:$E$91)=0,0,'TO HOP NLAN'!E64*'TS-PILE'!$E$75/SUMSQ('TS-PILE'!$E$72:$E$91))+IF(SUMSQ('TS-PILE'!$D$72:$D$91)=0,0,'TO HOP NLAN'!F64*'TS-PILE'!$D$75/SUMSQ('TS-PILE'!$D$72:$D$91))),IF('TS-PILE'!$B$76="",-1E+99,'TO HOP NLAN'!D64/ncoc+IF(SUMSQ('TS-PILE'!$E$72:$E$91)=0,0,'TO HOP NLAN'!E64*'TS-PILE'!$E$76/SUMSQ('TS-PILE'!$E$72:$E$91))+IF(SUMSQ('TS-PILE'!$D$72:$D$91)=0,0,'TO HOP NLAN'!F64*'TS-PILE'!$D$76/SUMSQ('TS-PILE'!$D$72:$D$91))),IF('TS-PILE'!$B$77="",-1E+99,'TO HOP NLAN'!D64/ncoc+IF(SUMSQ('TS-PILE'!$E$72:$E$91)=0,0,'TO HOP NLAN'!E64*'TS-PILE'!$E$77/SUMSQ('TS-PILE'!$E$72:$E$91))+IF(SUMSQ('TS-PILE'!$D$72:$D$91)=0,0,'TO HOP NLAN'!F64*'TS-PILE'!$D$77/SUMSQ('TS-PILE'!$D$72:$D$91))),IF('TS-PILE'!$B$78="",-1E+99,'TO HOP NLAN'!D64/ncoc+IF(SUMSQ('TS-PILE'!$E$72:$E$91)=0,0,'TO HOP NLAN'!E64*'TS-PILE'!$E$78/SUMSQ('TS-PILE'!$E$72:$E$91))+IF(SUMSQ('TS-PILE'!$D$72:$D$91)=0,0,'TO HOP NLAN'!F64*'TS-PILE'!$D$78/SUMSQ('TS-PILE'!$D$72:$D$91))),IF('TS-PILE'!$B$79="",-1E+99,'TO HOP NLAN'!D64/ncoc+IF(SUMSQ('TS-PILE'!$E$72:$E$91)=0,0,'TO HOP NLAN'!E64*'TS-PILE'!$E$79/SUMSQ('TS-PILE'!$E$72:$E$91))+IF(SUMSQ('TS-PILE'!$D$72:$D$91)=0,0,'TO HOP NLAN'!F64*'TS-PILE'!$D$79/SUMSQ('TS-PILE'!$D$72:$D$91))),IF('TS-PILE'!$B$80="",-1E+99,'TO HOP NLAN'!D64/ncoc+IF(SUMSQ('TS-PILE'!$E$72:$E$91)=0,0,'TO HOP NLAN'!E64*'TS-PILE'!$E$80/SUMSQ('TS-PILE'!$E$72:$E$91))+IF(SUMSQ('TS-PILE'!$D$72:$D$91)=0,0,'TO HOP NLAN'!F64*'TS-PILE'!$D$80/SUMSQ('TS-PILE'!$D$72:$D$91))),IF('TS-PILE'!$B$81="",-1E+99,'TO HOP NLAN'!D64/ncoc+IF(SUMSQ('TS-PILE'!$E$72:$E$91)=0,0,'TO HOP NLAN'!E64*'TS-PILE'!$E$81/SUMSQ('TS-PILE'!$E$72:$E$91))+IF(SUMSQ('TS-PILE'!$D$72:$D$91)=0,0,'TO HOP NLAN'!F64*'TS-PILE'!$D$81/SUMSQ('TS-PILE'!$D$72:$D$91))),IF('TS-PILE'!$B$82="",-1E+99,'TO HOP NLAN'!D64/ncoc+IF(SUMSQ('TS-PILE'!$E$72:$E$91)=0,0,'TO HOP NLAN'!E64*'TS-PILE'!$E$82/SUMSQ('TS-PILE'!$E$72:$E$91))+IF(SUMSQ('TS-PILE'!$D$72:$D$91)=0,0,'TO HOP NLAN'!F64*'TS-PILE'!$D$82/SUMSQ('TS-PILE'!$D$72:$D$91))),IF('TS-PILE'!$B$83="",-1E+99,'TO HOP NLAN'!D64/ncoc+IF(SUMSQ('TS-PILE'!$E$72:$E$91)=0,0,'TO HOP NLAN'!E64*'TS-PILE'!$E$83/SUMSQ('TS-PILE'!$E$72:$E$91))+IF(SUMSQ('TS-PILE'!$D$72:$D$91)=0,0,'TO HOP NLAN'!F64*'TS-PILE'!$D$83/SUMSQ('TS-PILE'!$D$72:$D$91))),IF('TS-PILE'!$B$84="",-1E+99,'TO HOP NLAN'!D64/ncoc+IF(SUMSQ('TS-PILE'!$E$72:$E$91)=0,0,'TO HOP NLAN'!E64*'TS-PILE'!$E$84/SUMSQ('TS-PILE'!$E$72:$E$91))+IF(SUMSQ('TS-PILE'!$D$72:$D$91)=0,0,'TO HOP NLAN'!F64*'TS-PILE'!$D$84/SUMSQ('TS-PILE'!$D$72:$D$91))),IF('TS-PILE'!$B$85="",-1E+99,'TO HOP NLAN'!D64/ncoc+IF(SUMSQ('TS-PILE'!$E$72:$E$91)=0,0,'TO HOP NLAN'!E64*'TS-PILE'!$E$85/SUMSQ('TS-PILE'!$E$72:$E$91))+IF(SUMSQ('TS-PILE'!$D$72:$D$91)=0,0,'TO HOP NLAN'!F64*'TS-PILE'!$D$85/SUMSQ('TS-PILE'!$D$72:$D$91))),IF('TS-PILE'!$B$86="",-1E+99,'TO HOP NLAN'!D64/ncoc+IF(SUMSQ('TS-PILE'!$E$72:$E$91)=0,0,'TO HOP NLAN'!E64*'TS-PILE'!$E$86/SUMSQ('TS-PILE'!$E$72:$E$91))+IF(SUMSQ('TS-PILE'!$D$72:$D$91)=0,0,'TO HOP NLAN'!F64*'TS-PILE'!$D$86/SUMSQ('TS-PILE'!$D$72:$D$91))),IF('TS-PILE'!$B$87="",-1E+99,'TO HOP NLAN'!D64/ncoc+IF(SUMSQ('TS-PILE'!$E$72:$E$91)=0,0,'TO HOP NLAN'!E64*'TS-PILE'!$E$87/SUMSQ('TS-PILE'!$E$72:$E$91))+IF(SUMSQ('TS-PILE'!$D$72:$D$91)=0,0,'TO HOP NLAN'!F64*'TS-PILE'!$D$87/SUMSQ('TS-PILE'!$D$72:$D$91))),IF('TS-PILE'!$B$88="",-1E+99,'TO HOP NLAN'!D64/ncoc+IF(SUMSQ('TS-PILE'!$E$72:$E$91)=0,0,'TO HOP NLAN'!E64*'TS-PILE'!$E$88/SUMSQ('TS-PILE'!$E$72:$E$91))+IF(SUMSQ('TS-PILE'!$D$72:$D$91)=0,0,'TO HOP NLAN'!F64*'TS-PILE'!$D$88/SUMSQ('TS-PILE'!$D$72:$D$91))),IF('TS-PILE'!$B$89="",-1E+99,'TO HOP NLAN'!D64/ncoc+IF(SUMSQ('TS-PILE'!$E$72:$E$91)=0,0,'TO HOP NLAN'!E64*'TS-PILE'!$E$89/SUMSQ('TS-PILE'!$E$72:$E$91))+IF(SUMSQ('TS-PILE'!$D$72:$D$91)=0,0,'TO HOP NLAN'!F64*'TS-PILE'!$D$89/SUMSQ('TS-PILE'!$D$72:$D$91))),IF('TS-PILE'!$B$90="",-1E+99,'TO HOP NLAN'!D64/ncoc+IF(SUMSQ('TS-PILE'!$E$72:$E$91)=0,0,'TO HOP NLAN'!E64*'TS-PILE'!$E$90/SUMSQ('TS-PILE'!$E$72:$E$91))+IF(SUMSQ('TS-PILE'!$D$72:$D$91)=0,0,'TO HOP NLAN'!F64*'TS-PILE'!$D$90/SUMSQ('TS-PILE'!$D$72:$D$91))),IF('TS-PILE'!$B$91="",-1E+99,'TO HOP NLAN'!D64/ncoc+IF(SUMSQ('TS-PILE'!$E$72:$E$91)=0,0,'TO HOP NLAN'!E64*'TS-PILE'!$E$91/SUMSQ('TS-PILE'!$E$72:$E$91))+IF(SUMSQ('TS-PILE'!$D$72:$D$91)=0,0,'TO HOP NLAN'!F64*'TS-PILE'!$D$91/SUMSQ('TS-PILE'!$D$72:$D$91)))))</f>
        <v>0</v>
      </c>
      <c r="D64" s="58">
        <f>IF(A64="",0,MIN(IF('TS-PILE'!$B$72="",1E+99,'TO HOP NLAN'!D64/ncoc+IF(SUMSQ('TS-PILE'!$E$72:$E$91)=0,0,'TO HOP NLAN'!E64*'TS-PILE'!$E$72/SUMSQ('TS-PILE'!$E$72:$E$91))+IF(SUMSQ('TS-PILE'!$D$72:$D$91)=0,0,'TO HOP NLAN'!F64*'TS-PILE'!$D$72/SUMSQ('TS-PILE'!$D$72:$D$91))),IF('TS-PILE'!$B$73="",1E+99,'TO HOP NLAN'!D64/ncoc+IF(SUMSQ('TS-PILE'!$E$72:$E$91)=0,0,'TO HOP NLAN'!E64*'TS-PILE'!$E$73/SUMSQ('TS-PILE'!$E$72:$E$91))+IF(SUMSQ('TS-PILE'!$D$72:$D$91)=0,0,'TO HOP NLAN'!F64*'TS-PILE'!$D$73/SUMSQ('TS-PILE'!$D$72:$D$91))),IF('TS-PILE'!$B$74="",1E+99,'TO HOP NLAN'!D64/ncoc+IF(SUMSQ('TS-PILE'!$E$72:$E$91)=0,0,'TO HOP NLAN'!E64*'TS-PILE'!$E$74/SUMSQ('TS-PILE'!$E$72:$E$91))+IF(SUMSQ('TS-PILE'!$D$72:$D$91)=0,0,'TO HOP NLAN'!F64*'TS-PILE'!$D$74/SUMSQ('TS-PILE'!$D$72:$D$91))),IF('TS-PILE'!$B$75="",1E+99,'TO HOP NLAN'!D64/ncoc+IF(SUMSQ('TS-PILE'!$E$72:$E$91)=0,0,'TO HOP NLAN'!E64*'TS-PILE'!$E$75/SUMSQ('TS-PILE'!$E$72:$E$91))+IF(SUMSQ('TS-PILE'!$D$72:$D$91)=0,0,'TO HOP NLAN'!F64*'TS-PILE'!$D$75/SUMSQ('TS-PILE'!$D$72:$D$91))),IF('TS-PILE'!$B$76="",1E+99,'TO HOP NLAN'!D64/ncoc+IF(SUMSQ('TS-PILE'!$E$72:$E$91)=0,0,'TO HOP NLAN'!E64*'TS-PILE'!$E$76/SUMSQ('TS-PILE'!$E$72:$E$91))+IF(SUMSQ('TS-PILE'!$D$72:$D$91)=0,0,'TO HOP NLAN'!F64*'TS-PILE'!$D$76/SUMSQ('TS-PILE'!$D$72:$D$91))),IF('TS-PILE'!$B$77="",1E+99,'TO HOP NLAN'!D64/ncoc+IF(SUMSQ('TS-PILE'!$E$72:$E$91)=0,0,'TO HOP NLAN'!E64*'TS-PILE'!$E$77/SUMSQ('TS-PILE'!$E$72:$E$91))+IF(SUMSQ('TS-PILE'!$D$72:$D$91)=0,0,'TO HOP NLAN'!F64*'TS-PILE'!$D$77/SUMSQ('TS-PILE'!$D$72:$D$91))),IF('TS-PILE'!$B$78="",1E+99,'TO HOP NLAN'!D64/ncoc+IF(SUMSQ('TS-PILE'!$E$72:$E$91)=0,0,'TO HOP NLAN'!E64*'TS-PILE'!$E$78/SUMSQ('TS-PILE'!$E$72:$E$91))+IF(SUMSQ('TS-PILE'!$D$72:$D$91)=0,0,'TO HOP NLAN'!F64*'TS-PILE'!$D$78/SUMSQ('TS-PILE'!$D$72:$D$91))),IF('TS-PILE'!$B$79="",1E+99,'TO HOP NLAN'!D64/ncoc+IF(SUMSQ('TS-PILE'!$E$72:$E$91)=0,0,'TO HOP NLAN'!E64*'TS-PILE'!$E$79/SUMSQ('TS-PILE'!$E$72:$E$91))+IF(SUMSQ('TS-PILE'!$D$72:$D$91)=0,0,'TO HOP NLAN'!F64*'TS-PILE'!$D$79/SUMSQ('TS-PILE'!$D$72:$D$91))),IF('TS-PILE'!$B$80="",1E+99,'TO HOP NLAN'!D64/ncoc+IF(SUMSQ('TS-PILE'!$E$72:$E$91)=0,0,'TO HOP NLAN'!E64*'TS-PILE'!$E$80/SUMSQ('TS-PILE'!$E$72:$E$91))+IF(SUMSQ('TS-PILE'!$D$72:$D$91)=0,0,'TO HOP NLAN'!F64*'TS-PILE'!$D$80/SUMSQ('TS-PILE'!$D$72:$D$91))),IF('TS-PILE'!$B$81="",1E+99,'TO HOP NLAN'!D64/ncoc+IF(SUMSQ('TS-PILE'!$E$72:$E$91)=0,0,'TO HOP NLAN'!E64*'TS-PILE'!$E$81/SUMSQ('TS-PILE'!$E$72:$E$91))+IF(SUMSQ('TS-PILE'!$D$72:$D$91)=0,0,'TO HOP NLAN'!F64*'TS-PILE'!$D$81/SUMSQ('TS-PILE'!$D$72:$D$91))),IF('TS-PILE'!$B$82="",1E+99,'TO HOP NLAN'!D64/ncoc+IF(SUMSQ('TS-PILE'!$E$72:$E$91)=0,0,'TO HOP NLAN'!E64*'TS-PILE'!$E$82/SUMSQ('TS-PILE'!$E$72:$E$91))+IF(SUMSQ('TS-PILE'!$D$72:$D$91)=0,0,'TO HOP NLAN'!F64*'TS-PILE'!$D$82/SUMSQ('TS-PILE'!$D$72:$D$91))),IF('TS-PILE'!$B$83="",1E+99,'TO HOP NLAN'!D64/ncoc+IF(SUMSQ('TS-PILE'!$E$72:$E$91)=0,0,'TO HOP NLAN'!E64*'TS-PILE'!$E$83/SUMSQ('TS-PILE'!$E$72:$E$91))+IF(SUMSQ('TS-PILE'!$D$72:$D$91)=0,0,'TO HOP NLAN'!F64*'TS-PILE'!$D$83/SUMSQ('TS-PILE'!$D$72:$D$91))),IF('TS-PILE'!$B$84="",1E+99,'TO HOP NLAN'!D64/ncoc+IF(SUMSQ('TS-PILE'!$E$72:$E$91)=0,0,'TO HOP NLAN'!E64*'TS-PILE'!$E$84/SUMSQ('TS-PILE'!$E$72:$E$91))+IF(SUMSQ('TS-PILE'!$D$72:$D$91)=0,0,'TO HOP NLAN'!F64*'TS-PILE'!$D$84/SUMSQ('TS-PILE'!$D$72:$D$91))),IF('TS-PILE'!$B$85="",1E+99,'TO HOP NLAN'!D64/ncoc+IF(SUMSQ('TS-PILE'!$E$72:$E$91)=0,0,'TO HOP NLAN'!E64*'TS-PILE'!$E$85/SUMSQ('TS-PILE'!$E$72:$E$91))+IF(SUMSQ('TS-PILE'!$D$72:$D$91)=0,0,'TO HOP NLAN'!F64*'TS-PILE'!$D$85/SUMSQ('TS-PILE'!$D$72:$D$91))),IF('TS-PILE'!$B$86="",1E+99,'TO HOP NLAN'!D64/ncoc+IF(SUMSQ('TS-PILE'!$E$72:$E$91)=0,0,'TO HOP NLAN'!E64*'TS-PILE'!$E$86/SUMSQ('TS-PILE'!$E$72:$E$91))+IF(SUMSQ('TS-PILE'!$D$72:$D$91)=0,0,'TO HOP NLAN'!F64*'TS-PILE'!$D$86/SUMSQ('TS-PILE'!$D$72:$D$91))),IF('TS-PILE'!$B$87="",1E+99,'TO HOP NLAN'!D64/ncoc+IF(SUMSQ('TS-PILE'!$E$72:$E$91)=0,0,'TO HOP NLAN'!E64*'TS-PILE'!$E$87/SUMSQ('TS-PILE'!$E$72:$E$91))+IF(SUMSQ('TS-PILE'!$D$72:$D$91)=0,0,'TO HOP NLAN'!F64*'TS-PILE'!$D$87/SUMSQ('TS-PILE'!$D$72:$D$91))),IF('TS-PILE'!$B$88="",1E+99,'TO HOP NLAN'!D64/ncoc+IF(SUMSQ('TS-PILE'!$E$72:$E$91)=0,0,'TO HOP NLAN'!E64*'TS-PILE'!$E$88/SUMSQ('TS-PILE'!$E$72:$E$91))+IF(SUMSQ('TS-PILE'!$D$72:$D$91)=0,0,'TO HOP NLAN'!F64*'TS-PILE'!$D$88/SUMSQ('TS-PILE'!$D$72:$D$91))),IF('TS-PILE'!$B$89="",1E+99,'TO HOP NLAN'!D64/ncoc+IF(SUMSQ('TS-PILE'!$E$72:$E$91)=0,0,'TO HOP NLAN'!E64*'TS-PILE'!$E$89/SUMSQ('TS-PILE'!$E$72:$E$91))+IF(SUMSQ('TS-PILE'!$D$72:$D$91)=0,0,'TO HOP NLAN'!F64*'TS-PILE'!$D$89/SUMSQ('TS-PILE'!$D$72:$D$91))),IF('TS-PILE'!$B$90="",1E+99,'TO HOP NLAN'!D64/ncoc+IF(SUMSQ('TS-PILE'!$E$72:$E$91)=0,0,'TO HOP NLAN'!E64*'TS-PILE'!$E$90/SUMSQ('TS-PILE'!$E$72:$E$91))+IF(SUMSQ('TS-PILE'!$D$72:$D$91)=0,0,'TO HOP NLAN'!F64*'TS-PILE'!$D$90/SUMSQ('TS-PILE'!$D$72:$D$91))),IF('TS-PILE'!$B$91="",1E+99,'TO HOP NLAN'!D64/ncoc+IF(SUMSQ('TS-PILE'!$E$72:$E$91)=0,0,'TO HOP NLAN'!E64*'TS-PILE'!$E$91/SUMSQ('TS-PILE'!$E$72:$E$91))+IF(SUMSQ('TS-PILE'!$D$72:$D$91)=0,0,'TO HOP NLAN'!F64*'TS-PILE'!$D$91/SUMSQ('TS-PILE'!$D$72:$D$91)))))</f>
        <v>0</v>
      </c>
      <c r="E64" s="58">
        <f t="shared" si="0"/>
        <v>-9.9999999999999997E+98</v>
      </c>
      <c r="F64" s="58">
        <f t="shared" si="1"/>
        <v>9.9999999999999997E+98</v>
      </c>
      <c r="G64" s="58">
        <f t="shared" si="2"/>
        <v>-9.9999999999999997E+98</v>
      </c>
      <c r="H64" s="58">
        <f t="shared" si="3"/>
        <v>9.9999999999999997E+98</v>
      </c>
    </row>
    <row r="65" spans="1:8" x14ac:dyDescent="0.3">
      <c r="A65" s="42" t="str">
        <f>'TO HOP NLAN'!A65</f>
        <v/>
      </c>
      <c r="B65" s="42" t="str">
        <f>'TO HOP NLAN'!L65</f>
        <v>SERVICE</v>
      </c>
      <c r="C65" s="58">
        <f>IF(A65="",0,MAX(IF('TS-PILE'!$B$72="",-1E+99,'TO HOP NLAN'!D65/ncoc+IF(SUMSQ('TS-PILE'!$E$72:$E$91)=0,0,'TO HOP NLAN'!E65*'TS-PILE'!$E$72/SUMSQ('TS-PILE'!$E$72:$E$91))+IF(SUMSQ('TS-PILE'!$D$72:$D$91)=0,0,'TO HOP NLAN'!F65*'TS-PILE'!$D$72/SUMSQ('TS-PILE'!$D$72:$D$91))),IF('TS-PILE'!$B$73="",-1E+99,'TO HOP NLAN'!D65/ncoc+IF(SUMSQ('TS-PILE'!$E$72:$E$91)=0,0,'TO HOP NLAN'!E65*'TS-PILE'!$E$73/SUMSQ('TS-PILE'!$E$72:$E$91))+IF(SUMSQ('TS-PILE'!$D$72:$D$91)=0,0,'TO HOP NLAN'!F65*'TS-PILE'!$D$73/SUMSQ('TS-PILE'!$D$72:$D$91))),IF('TS-PILE'!$B$74="",-1E+99,'TO HOP NLAN'!D65/ncoc+IF(SUMSQ('TS-PILE'!$E$72:$E$91)=0,0,'TO HOP NLAN'!E65*'TS-PILE'!$E$74/SUMSQ('TS-PILE'!$E$72:$E$91))+IF(SUMSQ('TS-PILE'!$D$72:$D$91)=0,0,'TO HOP NLAN'!F65*'TS-PILE'!$D$74/SUMSQ('TS-PILE'!$D$72:$D$91))),IF('TS-PILE'!$B$75="",-1E+99,'TO HOP NLAN'!D65/ncoc+IF(SUMSQ('TS-PILE'!$E$72:$E$91)=0,0,'TO HOP NLAN'!E65*'TS-PILE'!$E$75/SUMSQ('TS-PILE'!$E$72:$E$91))+IF(SUMSQ('TS-PILE'!$D$72:$D$91)=0,0,'TO HOP NLAN'!F65*'TS-PILE'!$D$75/SUMSQ('TS-PILE'!$D$72:$D$91))),IF('TS-PILE'!$B$76="",-1E+99,'TO HOP NLAN'!D65/ncoc+IF(SUMSQ('TS-PILE'!$E$72:$E$91)=0,0,'TO HOP NLAN'!E65*'TS-PILE'!$E$76/SUMSQ('TS-PILE'!$E$72:$E$91))+IF(SUMSQ('TS-PILE'!$D$72:$D$91)=0,0,'TO HOP NLAN'!F65*'TS-PILE'!$D$76/SUMSQ('TS-PILE'!$D$72:$D$91))),IF('TS-PILE'!$B$77="",-1E+99,'TO HOP NLAN'!D65/ncoc+IF(SUMSQ('TS-PILE'!$E$72:$E$91)=0,0,'TO HOP NLAN'!E65*'TS-PILE'!$E$77/SUMSQ('TS-PILE'!$E$72:$E$91))+IF(SUMSQ('TS-PILE'!$D$72:$D$91)=0,0,'TO HOP NLAN'!F65*'TS-PILE'!$D$77/SUMSQ('TS-PILE'!$D$72:$D$91))),IF('TS-PILE'!$B$78="",-1E+99,'TO HOP NLAN'!D65/ncoc+IF(SUMSQ('TS-PILE'!$E$72:$E$91)=0,0,'TO HOP NLAN'!E65*'TS-PILE'!$E$78/SUMSQ('TS-PILE'!$E$72:$E$91))+IF(SUMSQ('TS-PILE'!$D$72:$D$91)=0,0,'TO HOP NLAN'!F65*'TS-PILE'!$D$78/SUMSQ('TS-PILE'!$D$72:$D$91))),IF('TS-PILE'!$B$79="",-1E+99,'TO HOP NLAN'!D65/ncoc+IF(SUMSQ('TS-PILE'!$E$72:$E$91)=0,0,'TO HOP NLAN'!E65*'TS-PILE'!$E$79/SUMSQ('TS-PILE'!$E$72:$E$91))+IF(SUMSQ('TS-PILE'!$D$72:$D$91)=0,0,'TO HOP NLAN'!F65*'TS-PILE'!$D$79/SUMSQ('TS-PILE'!$D$72:$D$91))),IF('TS-PILE'!$B$80="",-1E+99,'TO HOP NLAN'!D65/ncoc+IF(SUMSQ('TS-PILE'!$E$72:$E$91)=0,0,'TO HOP NLAN'!E65*'TS-PILE'!$E$80/SUMSQ('TS-PILE'!$E$72:$E$91))+IF(SUMSQ('TS-PILE'!$D$72:$D$91)=0,0,'TO HOP NLAN'!F65*'TS-PILE'!$D$80/SUMSQ('TS-PILE'!$D$72:$D$91))),IF('TS-PILE'!$B$81="",-1E+99,'TO HOP NLAN'!D65/ncoc+IF(SUMSQ('TS-PILE'!$E$72:$E$91)=0,0,'TO HOP NLAN'!E65*'TS-PILE'!$E$81/SUMSQ('TS-PILE'!$E$72:$E$91))+IF(SUMSQ('TS-PILE'!$D$72:$D$91)=0,0,'TO HOP NLAN'!F65*'TS-PILE'!$D$81/SUMSQ('TS-PILE'!$D$72:$D$91))),IF('TS-PILE'!$B$82="",-1E+99,'TO HOP NLAN'!D65/ncoc+IF(SUMSQ('TS-PILE'!$E$72:$E$91)=0,0,'TO HOP NLAN'!E65*'TS-PILE'!$E$82/SUMSQ('TS-PILE'!$E$72:$E$91))+IF(SUMSQ('TS-PILE'!$D$72:$D$91)=0,0,'TO HOP NLAN'!F65*'TS-PILE'!$D$82/SUMSQ('TS-PILE'!$D$72:$D$91))),IF('TS-PILE'!$B$83="",-1E+99,'TO HOP NLAN'!D65/ncoc+IF(SUMSQ('TS-PILE'!$E$72:$E$91)=0,0,'TO HOP NLAN'!E65*'TS-PILE'!$E$83/SUMSQ('TS-PILE'!$E$72:$E$91))+IF(SUMSQ('TS-PILE'!$D$72:$D$91)=0,0,'TO HOP NLAN'!F65*'TS-PILE'!$D$83/SUMSQ('TS-PILE'!$D$72:$D$91))),IF('TS-PILE'!$B$84="",-1E+99,'TO HOP NLAN'!D65/ncoc+IF(SUMSQ('TS-PILE'!$E$72:$E$91)=0,0,'TO HOP NLAN'!E65*'TS-PILE'!$E$84/SUMSQ('TS-PILE'!$E$72:$E$91))+IF(SUMSQ('TS-PILE'!$D$72:$D$91)=0,0,'TO HOP NLAN'!F65*'TS-PILE'!$D$84/SUMSQ('TS-PILE'!$D$72:$D$91))),IF('TS-PILE'!$B$85="",-1E+99,'TO HOP NLAN'!D65/ncoc+IF(SUMSQ('TS-PILE'!$E$72:$E$91)=0,0,'TO HOP NLAN'!E65*'TS-PILE'!$E$85/SUMSQ('TS-PILE'!$E$72:$E$91))+IF(SUMSQ('TS-PILE'!$D$72:$D$91)=0,0,'TO HOP NLAN'!F65*'TS-PILE'!$D$85/SUMSQ('TS-PILE'!$D$72:$D$91))),IF('TS-PILE'!$B$86="",-1E+99,'TO HOP NLAN'!D65/ncoc+IF(SUMSQ('TS-PILE'!$E$72:$E$91)=0,0,'TO HOP NLAN'!E65*'TS-PILE'!$E$86/SUMSQ('TS-PILE'!$E$72:$E$91))+IF(SUMSQ('TS-PILE'!$D$72:$D$91)=0,0,'TO HOP NLAN'!F65*'TS-PILE'!$D$86/SUMSQ('TS-PILE'!$D$72:$D$91))),IF('TS-PILE'!$B$87="",-1E+99,'TO HOP NLAN'!D65/ncoc+IF(SUMSQ('TS-PILE'!$E$72:$E$91)=0,0,'TO HOP NLAN'!E65*'TS-PILE'!$E$87/SUMSQ('TS-PILE'!$E$72:$E$91))+IF(SUMSQ('TS-PILE'!$D$72:$D$91)=0,0,'TO HOP NLAN'!F65*'TS-PILE'!$D$87/SUMSQ('TS-PILE'!$D$72:$D$91))),IF('TS-PILE'!$B$88="",-1E+99,'TO HOP NLAN'!D65/ncoc+IF(SUMSQ('TS-PILE'!$E$72:$E$91)=0,0,'TO HOP NLAN'!E65*'TS-PILE'!$E$88/SUMSQ('TS-PILE'!$E$72:$E$91))+IF(SUMSQ('TS-PILE'!$D$72:$D$91)=0,0,'TO HOP NLAN'!F65*'TS-PILE'!$D$88/SUMSQ('TS-PILE'!$D$72:$D$91))),IF('TS-PILE'!$B$89="",-1E+99,'TO HOP NLAN'!D65/ncoc+IF(SUMSQ('TS-PILE'!$E$72:$E$91)=0,0,'TO HOP NLAN'!E65*'TS-PILE'!$E$89/SUMSQ('TS-PILE'!$E$72:$E$91))+IF(SUMSQ('TS-PILE'!$D$72:$D$91)=0,0,'TO HOP NLAN'!F65*'TS-PILE'!$D$89/SUMSQ('TS-PILE'!$D$72:$D$91))),IF('TS-PILE'!$B$90="",-1E+99,'TO HOP NLAN'!D65/ncoc+IF(SUMSQ('TS-PILE'!$E$72:$E$91)=0,0,'TO HOP NLAN'!E65*'TS-PILE'!$E$90/SUMSQ('TS-PILE'!$E$72:$E$91))+IF(SUMSQ('TS-PILE'!$D$72:$D$91)=0,0,'TO HOP NLAN'!F65*'TS-PILE'!$D$90/SUMSQ('TS-PILE'!$D$72:$D$91))),IF('TS-PILE'!$B$91="",-1E+99,'TO HOP NLAN'!D65/ncoc+IF(SUMSQ('TS-PILE'!$E$72:$E$91)=0,0,'TO HOP NLAN'!E65*'TS-PILE'!$E$91/SUMSQ('TS-PILE'!$E$72:$E$91))+IF(SUMSQ('TS-PILE'!$D$72:$D$91)=0,0,'TO HOP NLAN'!F65*'TS-PILE'!$D$91/SUMSQ('TS-PILE'!$D$72:$D$91)))))</f>
        <v>0</v>
      </c>
      <c r="D65" s="58">
        <f>IF(A65="",0,MIN(IF('TS-PILE'!$B$72="",1E+99,'TO HOP NLAN'!D65/ncoc+IF(SUMSQ('TS-PILE'!$E$72:$E$91)=0,0,'TO HOP NLAN'!E65*'TS-PILE'!$E$72/SUMSQ('TS-PILE'!$E$72:$E$91))+IF(SUMSQ('TS-PILE'!$D$72:$D$91)=0,0,'TO HOP NLAN'!F65*'TS-PILE'!$D$72/SUMSQ('TS-PILE'!$D$72:$D$91))),IF('TS-PILE'!$B$73="",1E+99,'TO HOP NLAN'!D65/ncoc+IF(SUMSQ('TS-PILE'!$E$72:$E$91)=0,0,'TO HOP NLAN'!E65*'TS-PILE'!$E$73/SUMSQ('TS-PILE'!$E$72:$E$91))+IF(SUMSQ('TS-PILE'!$D$72:$D$91)=0,0,'TO HOP NLAN'!F65*'TS-PILE'!$D$73/SUMSQ('TS-PILE'!$D$72:$D$91))),IF('TS-PILE'!$B$74="",1E+99,'TO HOP NLAN'!D65/ncoc+IF(SUMSQ('TS-PILE'!$E$72:$E$91)=0,0,'TO HOP NLAN'!E65*'TS-PILE'!$E$74/SUMSQ('TS-PILE'!$E$72:$E$91))+IF(SUMSQ('TS-PILE'!$D$72:$D$91)=0,0,'TO HOP NLAN'!F65*'TS-PILE'!$D$74/SUMSQ('TS-PILE'!$D$72:$D$91))),IF('TS-PILE'!$B$75="",1E+99,'TO HOP NLAN'!D65/ncoc+IF(SUMSQ('TS-PILE'!$E$72:$E$91)=0,0,'TO HOP NLAN'!E65*'TS-PILE'!$E$75/SUMSQ('TS-PILE'!$E$72:$E$91))+IF(SUMSQ('TS-PILE'!$D$72:$D$91)=0,0,'TO HOP NLAN'!F65*'TS-PILE'!$D$75/SUMSQ('TS-PILE'!$D$72:$D$91))),IF('TS-PILE'!$B$76="",1E+99,'TO HOP NLAN'!D65/ncoc+IF(SUMSQ('TS-PILE'!$E$72:$E$91)=0,0,'TO HOP NLAN'!E65*'TS-PILE'!$E$76/SUMSQ('TS-PILE'!$E$72:$E$91))+IF(SUMSQ('TS-PILE'!$D$72:$D$91)=0,0,'TO HOP NLAN'!F65*'TS-PILE'!$D$76/SUMSQ('TS-PILE'!$D$72:$D$91))),IF('TS-PILE'!$B$77="",1E+99,'TO HOP NLAN'!D65/ncoc+IF(SUMSQ('TS-PILE'!$E$72:$E$91)=0,0,'TO HOP NLAN'!E65*'TS-PILE'!$E$77/SUMSQ('TS-PILE'!$E$72:$E$91))+IF(SUMSQ('TS-PILE'!$D$72:$D$91)=0,0,'TO HOP NLAN'!F65*'TS-PILE'!$D$77/SUMSQ('TS-PILE'!$D$72:$D$91))),IF('TS-PILE'!$B$78="",1E+99,'TO HOP NLAN'!D65/ncoc+IF(SUMSQ('TS-PILE'!$E$72:$E$91)=0,0,'TO HOP NLAN'!E65*'TS-PILE'!$E$78/SUMSQ('TS-PILE'!$E$72:$E$91))+IF(SUMSQ('TS-PILE'!$D$72:$D$91)=0,0,'TO HOP NLAN'!F65*'TS-PILE'!$D$78/SUMSQ('TS-PILE'!$D$72:$D$91))),IF('TS-PILE'!$B$79="",1E+99,'TO HOP NLAN'!D65/ncoc+IF(SUMSQ('TS-PILE'!$E$72:$E$91)=0,0,'TO HOP NLAN'!E65*'TS-PILE'!$E$79/SUMSQ('TS-PILE'!$E$72:$E$91))+IF(SUMSQ('TS-PILE'!$D$72:$D$91)=0,0,'TO HOP NLAN'!F65*'TS-PILE'!$D$79/SUMSQ('TS-PILE'!$D$72:$D$91))),IF('TS-PILE'!$B$80="",1E+99,'TO HOP NLAN'!D65/ncoc+IF(SUMSQ('TS-PILE'!$E$72:$E$91)=0,0,'TO HOP NLAN'!E65*'TS-PILE'!$E$80/SUMSQ('TS-PILE'!$E$72:$E$91))+IF(SUMSQ('TS-PILE'!$D$72:$D$91)=0,0,'TO HOP NLAN'!F65*'TS-PILE'!$D$80/SUMSQ('TS-PILE'!$D$72:$D$91))),IF('TS-PILE'!$B$81="",1E+99,'TO HOP NLAN'!D65/ncoc+IF(SUMSQ('TS-PILE'!$E$72:$E$91)=0,0,'TO HOP NLAN'!E65*'TS-PILE'!$E$81/SUMSQ('TS-PILE'!$E$72:$E$91))+IF(SUMSQ('TS-PILE'!$D$72:$D$91)=0,0,'TO HOP NLAN'!F65*'TS-PILE'!$D$81/SUMSQ('TS-PILE'!$D$72:$D$91))),IF('TS-PILE'!$B$82="",1E+99,'TO HOP NLAN'!D65/ncoc+IF(SUMSQ('TS-PILE'!$E$72:$E$91)=0,0,'TO HOP NLAN'!E65*'TS-PILE'!$E$82/SUMSQ('TS-PILE'!$E$72:$E$91))+IF(SUMSQ('TS-PILE'!$D$72:$D$91)=0,0,'TO HOP NLAN'!F65*'TS-PILE'!$D$82/SUMSQ('TS-PILE'!$D$72:$D$91))),IF('TS-PILE'!$B$83="",1E+99,'TO HOP NLAN'!D65/ncoc+IF(SUMSQ('TS-PILE'!$E$72:$E$91)=0,0,'TO HOP NLAN'!E65*'TS-PILE'!$E$83/SUMSQ('TS-PILE'!$E$72:$E$91))+IF(SUMSQ('TS-PILE'!$D$72:$D$91)=0,0,'TO HOP NLAN'!F65*'TS-PILE'!$D$83/SUMSQ('TS-PILE'!$D$72:$D$91))),IF('TS-PILE'!$B$84="",1E+99,'TO HOP NLAN'!D65/ncoc+IF(SUMSQ('TS-PILE'!$E$72:$E$91)=0,0,'TO HOP NLAN'!E65*'TS-PILE'!$E$84/SUMSQ('TS-PILE'!$E$72:$E$91))+IF(SUMSQ('TS-PILE'!$D$72:$D$91)=0,0,'TO HOP NLAN'!F65*'TS-PILE'!$D$84/SUMSQ('TS-PILE'!$D$72:$D$91))),IF('TS-PILE'!$B$85="",1E+99,'TO HOP NLAN'!D65/ncoc+IF(SUMSQ('TS-PILE'!$E$72:$E$91)=0,0,'TO HOP NLAN'!E65*'TS-PILE'!$E$85/SUMSQ('TS-PILE'!$E$72:$E$91))+IF(SUMSQ('TS-PILE'!$D$72:$D$91)=0,0,'TO HOP NLAN'!F65*'TS-PILE'!$D$85/SUMSQ('TS-PILE'!$D$72:$D$91))),IF('TS-PILE'!$B$86="",1E+99,'TO HOP NLAN'!D65/ncoc+IF(SUMSQ('TS-PILE'!$E$72:$E$91)=0,0,'TO HOP NLAN'!E65*'TS-PILE'!$E$86/SUMSQ('TS-PILE'!$E$72:$E$91))+IF(SUMSQ('TS-PILE'!$D$72:$D$91)=0,0,'TO HOP NLAN'!F65*'TS-PILE'!$D$86/SUMSQ('TS-PILE'!$D$72:$D$91))),IF('TS-PILE'!$B$87="",1E+99,'TO HOP NLAN'!D65/ncoc+IF(SUMSQ('TS-PILE'!$E$72:$E$91)=0,0,'TO HOP NLAN'!E65*'TS-PILE'!$E$87/SUMSQ('TS-PILE'!$E$72:$E$91))+IF(SUMSQ('TS-PILE'!$D$72:$D$91)=0,0,'TO HOP NLAN'!F65*'TS-PILE'!$D$87/SUMSQ('TS-PILE'!$D$72:$D$91))),IF('TS-PILE'!$B$88="",1E+99,'TO HOP NLAN'!D65/ncoc+IF(SUMSQ('TS-PILE'!$E$72:$E$91)=0,0,'TO HOP NLAN'!E65*'TS-PILE'!$E$88/SUMSQ('TS-PILE'!$E$72:$E$91))+IF(SUMSQ('TS-PILE'!$D$72:$D$91)=0,0,'TO HOP NLAN'!F65*'TS-PILE'!$D$88/SUMSQ('TS-PILE'!$D$72:$D$91))),IF('TS-PILE'!$B$89="",1E+99,'TO HOP NLAN'!D65/ncoc+IF(SUMSQ('TS-PILE'!$E$72:$E$91)=0,0,'TO HOP NLAN'!E65*'TS-PILE'!$E$89/SUMSQ('TS-PILE'!$E$72:$E$91))+IF(SUMSQ('TS-PILE'!$D$72:$D$91)=0,0,'TO HOP NLAN'!F65*'TS-PILE'!$D$89/SUMSQ('TS-PILE'!$D$72:$D$91))),IF('TS-PILE'!$B$90="",1E+99,'TO HOP NLAN'!D65/ncoc+IF(SUMSQ('TS-PILE'!$E$72:$E$91)=0,0,'TO HOP NLAN'!E65*'TS-PILE'!$E$90/SUMSQ('TS-PILE'!$E$72:$E$91))+IF(SUMSQ('TS-PILE'!$D$72:$D$91)=0,0,'TO HOP NLAN'!F65*'TS-PILE'!$D$90/SUMSQ('TS-PILE'!$D$72:$D$91))),IF('TS-PILE'!$B$91="",1E+99,'TO HOP NLAN'!D65/ncoc+IF(SUMSQ('TS-PILE'!$E$72:$E$91)=0,0,'TO HOP NLAN'!E65*'TS-PILE'!$E$91/SUMSQ('TS-PILE'!$E$72:$E$91))+IF(SUMSQ('TS-PILE'!$D$72:$D$91)=0,0,'TO HOP NLAN'!F65*'TS-PILE'!$D$91/SUMSQ('TS-PILE'!$D$72:$D$91)))))</f>
        <v>0</v>
      </c>
      <c r="E65" s="58">
        <f t="shared" si="0"/>
        <v>-9.9999999999999997E+98</v>
      </c>
      <c r="F65" s="58">
        <f t="shared" si="1"/>
        <v>9.9999999999999997E+98</v>
      </c>
      <c r="G65" s="58">
        <f t="shared" si="2"/>
        <v>-9.9999999999999997E+98</v>
      </c>
      <c r="H65" s="58">
        <f t="shared" si="3"/>
        <v>9.9999999999999997E+98</v>
      </c>
    </row>
    <row r="66" spans="1:8" x14ac:dyDescent="0.3">
      <c r="A66" s="42" t="str">
        <f>'TO HOP NLAN'!A66</f>
        <v/>
      </c>
      <c r="B66" s="42" t="str">
        <f>'TO HOP NLAN'!L66</f>
        <v>SERVICE</v>
      </c>
      <c r="C66" s="58">
        <f>IF(A66="",0,MAX(IF('TS-PILE'!$B$72="",-1E+99,'TO HOP NLAN'!D66/ncoc+IF(SUMSQ('TS-PILE'!$E$72:$E$91)=0,0,'TO HOP NLAN'!E66*'TS-PILE'!$E$72/SUMSQ('TS-PILE'!$E$72:$E$91))+IF(SUMSQ('TS-PILE'!$D$72:$D$91)=0,0,'TO HOP NLAN'!F66*'TS-PILE'!$D$72/SUMSQ('TS-PILE'!$D$72:$D$91))),IF('TS-PILE'!$B$73="",-1E+99,'TO HOP NLAN'!D66/ncoc+IF(SUMSQ('TS-PILE'!$E$72:$E$91)=0,0,'TO HOP NLAN'!E66*'TS-PILE'!$E$73/SUMSQ('TS-PILE'!$E$72:$E$91))+IF(SUMSQ('TS-PILE'!$D$72:$D$91)=0,0,'TO HOP NLAN'!F66*'TS-PILE'!$D$73/SUMSQ('TS-PILE'!$D$72:$D$91))),IF('TS-PILE'!$B$74="",-1E+99,'TO HOP NLAN'!D66/ncoc+IF(SUMSQ('TS-PILE'!$E$72:$E$91)=0,0,'TO HOP NLAN'!E66*'TS-PILE'!$E$74/SUMSQ('TS-PILE'!$E$72:$E$91))+IF(SUMSQ('TS-PILE'!$D$72:$D$91)=0,0,'TO HOP NLAN'!F66*'TS-PILE'!$D$74/SUMSQ('TS-PILE'!$D$72:$D$91))),IF('TS-PILE'!$B$75="",-1E+99,'TO HOP NLAN'!D66/ncoc+IF(SUMSQ('TS-PILE'!$E$72:$E$91)=0,0,'TO HOP NLAN'!E66*'TS-PILE'!$E$75/SUMSQ('TS-PILE'!$E$72:$E$91))+IF(SUMSQ('TS-PILE'!$D$72:$D$91)=0,0,'TO HOP NLAN'!F66*'TS-PILE'!$D$75/SUMSQ('TS-PILE'!$D$72:$D$91))),IF('TS-PILE'!$B$76="",-1E+99,'TO HOP NLAN'!D66/ncoc+IF(SUMSQ('TS-PILE'!$E$72:$E$91)=0,0,'TO HOP NLAN'!E66*'TS-PILE'!$E$76/SUMSQ('TS-PILE'!$E$72:$E$91))+IF(SUMSQ('TS-PILE'!$D$72:$D$91)=0,0,'TO HOP NLAN'!F66*'TS-PILE'!$D$76/SUMSQ('TS-PILE'!$D$72:$D$91))),IF('TS-PILE'!$B$77="",-1E+99,'TO HOP NLAN'!D66/ncoc+IF(SUMSQ('TS-PILE'!$E$72:$E$91)=0,0,'TO HOP NLAN'!E66*'TS-PILE'!$E$77/SUMSQ('TS-PILE'!$E$72:$E$91))+IF(SUMSQ('TS-PILE'!$D$72:$D$91)=0,0,'TO HOP NLAN'!F66*'TS-PILE'!$D$77/SUMSQ('TS-PILE'!$D$72:$D$91))),IF('TS-PILE'!$B$78="",-1E+99,'TO HOP NLAN'!D66/ncoc+IF(SUMSQ('TS-PILE'!$E$72:$E$91)=0,0,'TO HOP NLAN'!E66*'TS-PILE'!$E$78/SUMSQ('TS-PILE'!$E$72:$E$91))+IF(SUMSQ('TS-PILE'!$D$72:$D$91)=0,0,'TO HOP NLAN'!F66*'TS-PILE'!$D$78/SUMSQ('TS-PILE'!$D$72:$D$91))),IF('TS-PILE'!$B$79="",-1E+99,'TO HOP NLAN'!D66/ncoc+IF(SUMSQ('TS-PILE'!$E$72:$E$91)=0,0,'TO HOP NLAN'!E66*'TS-PILE'!$E$79/SUMSQ('TS-PILE'!$E$72:$E$91))+IF(SUMSQ('TS-PILE'!$D$72:$D$91)=0,0,'TO HOP NLAN'!F66*'TS-PILE'!$D$79/SUMSQ('TS-PILE'!$D$72:$D$91))),IF('TS-PILE'!$B$80="",-1E+99,'TO HOP NLAN'!D66/ncoc+IF(SUMSQ('TS-PILE'!$E$72:$E$91)=0,0,'TO HOP NLAN'!E66*'TS-PILE'!$E$80/SUMSQ('TS-PILE'!$E$72:$E$91))+IF(SUMSQ('TS-PILE'!$D$72:$D$91)=0,0,'TO HOP NLAN'!F66*'TS-PILE'!$D$80/SUMSQ('TS-PILE'!$D$72:$D$91))),IF('TS-PILE'!$B$81="",-1E+99,'TO HOP NLAN'!D66/ncoc+IF(SUMSQ('TS-PILE'!$E$72:$E$91)=0,0,'TO HOP NLAN'!E66*'TS-PILE'!$E$81/SUMSQ('TS-PILE'!$E$72:$E$91))+IF(SUMSQ('TS-PILE'!$D$72:$D$91)=0,0,'TO HOP NLAN'!F66*'TS-PILE'!$D$81/SUMSQ('TS-PILE'!$D$72:$D$91))),IF('TS-PILE'!$B$82="",-1E+99,'TO HOP NLAN'!D66/ncoc+IF(SUMSQ('TS-PILE'!$E$72:$E$91)=0,0,'TO HOP NLAN'!E66*'TS-PILE'!$E$82/SUMSQ('TS-PILE'!$E$72:$E$91))+IF(SUMSQ('TS-PILE'!$D$72:$D$91)=0,0,'TO HOP NLAN'!F66*'TS-PILE'!$D$82/SUMSQ('TS-PILE'!$D$72:$D$91))),IF('TS-PILE'!$B$83="",-1E+99,'TO HOP NLAN'!D66/ncoc+IF(SUMSQ('TS-PILE'!$E$72:$E$91)=0,0,'TO HOP NLAN'!E66*'TS-PILE'!$E$83/SUMSQ('TS-PILE'!$E$72:$E$91))+IF(SUMSQ('TS-PILE'!$D$72:$D$91)=0,0,'TO HOP NLAN'!F66*'TS-PILE'!$D$83/SUMSQ('TS-PILE'!$D$72:$D$91))),IF('TS-PILE'!$B$84="",-1E+99,'TO HOP NLAN'!D66/ncoc+IF(SUMSQ('TS-PILE'!$E$72:$E$91)=0,0,'TO HOP NLAN'!E66*'TS-PILE'!$E$84/SUMSQ('TS-PILE'!$E$72:$E$91))+IF(SUMSQ('TS-PILE'!$D$72:$D$91)=0,0,'TO HOP NLAN'!F66*'TS-PILE'!$D$84/SUMSQ('TS-PILE'!$D$72:$D$91))),IF('TS-PILE'!$B$85="",-1E+99,'TO HOP NLAN'!D66/ncoc+IF(SUMSQ('TS-PILE'!$E$72:$E$91)=0,0,'TO HOP NLAN'!E66*'TS-PILE'!$E$85/SUMSQ('TS-PILE'!$E$72:$E$91))+IF(SUMSQ('TS-PILE'!$D$72:$D$91)=0,0,'TO HOP NLAN'!F66*'TS-PILE'!$D$85/SUMSQ('TS-PILE'!$D$72:$D$91))),IF('TS-PILE'!$B$86="",-1E+99,'TO HOP NLAN'!D66/ncoc+IF(SUMSQ('TS-PILE'!$E$72:$E$91)=0,0,'TO HOP NLAN'!E66*'TS-PILE'!$E$86/SUMSQ('TS-PILE'!$E$72:$E$91))+IF(SUMSQ('TS-PILE'!$D$72:$D$91)=0,0,'TO HOP NLAN'!F66*'TS-PILE'!$D$86/SUMSQ('TS-PILE'!$D$72:$D$91))),IF('TS-PILE'!$B$87="",-1E+99,'TO HOP NLAN'!D66/ncoc+IF(SUMSQ('TS-PILE'!$E$72:$E$91)=0,0,'TO HOP NLAN'!E66*'TS-PILE'!$E$87/SUMSQ('TS-PILE'!$E$72:$E$91))+IF(SUMSQ('TS-PILE'!$D$72:$D$91)=0,0,'TO HOP NLAN'!F66*'TS-PILE'!$D$87/SUMSQ('TS-PILE'!$D$72:$D$91))),IF('TS-PILE'!$B$88="",-1E+99,'TO HOP NLAN'!D66/ncoc+IF(SUMSQ('TS-PILE'!$E$72:$E$91)=0,0,'TO HOP NLAN'!E66*'TS-PILE'!$E$88/SUMSQ('TS-PILE'!$E$72:$E$91))+IF(SUMSQ('TS-PILE'!$D$72:$D$91)=0,0,'TO HOP NLAN'!F66*'TS-PILE'!$D$88/SUMSQ('TS-PILE'!$D$72:$D$91))),IF('TS-PILE'!$B$89="",-1E+99,'TO HOP NLAN'!D66/ncoc+IF(SUMSQ('TS-PILE'!$E$72:$E$91)=0,0,'TO HOP NLAN'!E66*'TS-PILE'!$E$89/SUMSQ('TS-PILE'!$E$72:$E$91))+IF(SUMSQ('TS-PILE'!$D$72:$D$91)=0,0,'TO HOP NLAN'!F66*'TS-PILE'!$D$89/SUMSQ('TS-PILE'!$D$72:$D$91))),IF('TS-PILE'!$B$90="",-1E+99,'TO HOP NLAN'!D66/ncoc+IF(SUMSQ('TS-PILE'!$E$72:$E$91)=0,0,'TO HOP NLAN'!E66*'TS-PILE'!$E$90/SUMSQ('TS-PILE'!$E$72:$E$91))+IF(SUMSQ('TS-PILE'!$D$72:$D$91)=0,0,'TO HOP NLAN'!F66*'TS-PILE'!$D$90/SUMSQ('TS-PILE'!$D$72:$D$91))),IF('TS-PILE'!$B$91="",-1E+99,'TO HOP NLAN'!D66/ncoc+IF(SUMSQ('TS-PILE'!$E$72:$E$91)=0,0,'TO HOP NLAN'!E66*'TS-PILE'!$E$91/SUMSQ('TS-PILE'!$E$72:$E$91))+IF(SUMSQ('TS-PILE'!$D$72:$D$91)=0,0,'TO HOP NLAN'!F66*'TS-PILE'!$D$91/SUMSQ('TS-PILE'!$D$72:$D$91)))))</f>
        <v>0</v>
      </c>
      <c r="D66" s="58">
        <f>IF(A66="",0,MIN(IF('TS-PILE'!$B$72="",1E+99,'TO HOP NLAN'!D66/ncoc+IF(SUMSQ('TS-PILE'!$E$72:$E$91)=0,0,'TO HOP NLAN'!E66*'TS-PILE'!$E$72/SUMSQ('TS-PILE'!$E$72:$E$91))+IF(SUMSQ('TS-PILE'!$D$72:$D$91)=0,0,'TO HOP NLAN'!F66*'TS-PILE'!$D$72/SUMSQ('TS-PILE'!$D$72:$D$91))),IF('TS-PILE'!$B$73="",1E+99,'TO HOP NLAN'!D66/ncoc+IF(SUMSQ('TS-PILE'!$E$72:$E$91)=0,0,'TO HOP NLAN'!E66*'TS-PILE'!$E$73/SUMSQ('TS-PILE'!$E$72:$E$91))+IF(SUMSQ('TS-PILE'!$D$72:$D$91)=0,0,'TO HOP NLAN'!F66*'TS-PILE'!$D$73/SUMSQ('TS-PILE'!$D$72:$D$91))),IF('TS-PILE'!$B$74="",1E+99,'TO HOP NLAN'!D66/ncoc+IF(SUMSQ('TS-PILE'!$E$72:$E$91)=0,0,'TO HOP NLAN'!E66*'TS-PILE'!$E$74/SUMSQ('TS-PILE'!$E$72:$E$91))+IF(SUMSQ('TS-PILE'!$D$72:$D$91)=0,0,'TO HOP NLAN'!F66*'TS-PILE'!$D$74/SUMSQ('TS-PILE'!$D$72:$D$91))),IF('TS-PILE'!$B$75="",1E+99,'TO HOP NLAN'!D66/ncoc+IF(SUMSQ('TS-PILE'!$E$72:$E$91)=0,0,'TO HOP NLAN'!E66*'TS-PILE'!$E$75/SUMSQ('TS-PILE'!$E$72:$E$91))+IF(SUMSQ('TS-PILE'!$D$72:$D$91)=0,0,'TO HOP NLAN'!F66*'TS-PILE'!$D$75/SUMSQ('TS-PILE'!$D$72:$D$91))),IF('TS-PILE'!$B$76="",1E+99,'TO HOP NLAN'!D66/ncoc+IF(SUMSQ('TS-PILE'!$E$72:$E$91)=0,0,'TO HOP NLAN'!E66*'TS-PILE'!$E$76/SUMSQ('TS-PILE'!$E$72:$E$91))+IF(SUMSQ('TS-PILE'!$D$72:$D$91)=0,0,'TO HOP NLAN'!F66*'TS-PILE'!$D$76/SUMSQ('TS-PILE'!$D$72:$D$91))),IF('TS-PILE'!$B$77="",1E+99,'TO HOP NLAN'!D66/ncoc+IF(SUMSQ('TS-PILE'!$E$72:$E$91)=0,0,'TO HOP NLAN'!E66*'TS-PILE'!$E$77/SUMSQ('TS-PILE'!$E$72:$E$91))+IF(SUMSQ('TS-PILE'!$D$72:$D$91)=0,0,'TO HOP NLAN'!F66*'TS-PILE'!$D$77/SUMSQ('TS-PILE'!$D$72:$D$91))),IF('TS-PILE'!$B$78="",1E+99,'TO HOP NLAN'!D66/ncoc+IF(SUMSQ('TS-PILE'!$E$72:$E$91)=0,0,'TO HOP NLAN'!E66*'TS-PILE'!$E$78/SUMSQ('TS-PILE'!$E$72:$E$91))+IF(SUMSQ('TS-PILE'!$D$72:$D$91)=0,0,'TO HOP NLAN'!F66*'TS-PILE'!$D$78/SUMSQ('TS-PILE'!$D$72:$D$91))),IF('TS-PILE'!$B$79="",1E+99,'TO HOP NLAN'!D66/ncoc+IF(SUMSQ('TS-PILE'!$E$72:$E$91)=0,0,'TO HOP NLAN'!E66*'TS-PILE'!$E$79/SUMSQ('TS-PILE'!$E$72:$E$91))+IF(SUMSQ('TS-PILE'!$D$72:$D$91)=0,0,'TO HOP NLAN'!F66*'TS-PILE'!$D$79/SUMSQ('TS-PILE'!$D$72:$D$91))),IF('TS-PILE'!$B$80="",1E+99,'TO HOP NLAN'!D66/ncoc+IF(SUMSQ('TS-PILE'!$E$72:$E$91)=0,0,'TO HOP NLAN'!E66*'TS-PILE'!$E$80/SUMSQ('TS-PILE'!$E$72:$E$91))+IF(SUMSQ('TS-PILE'!$D$72:$D$91)=0,0,'TO HOP NLAN'!F66*'TS-PILE'!$D$80/SUMSQ('TS-PILE'!$D$72:$D$91))),IF('TS-PILE'!$B$81="",1E+99,'TO HOP NLAN'!D66/ncoc+IF(SUMSQ('TS-PILE'!$E$72:$E$91)=0,0,'TO HOP NLAN'!E66*'TS-PILE'!$E$81/SUMSQ('TS-PILE'!$E$72:$E$91))+IF(SUMSQ('TS-PILE'!$D$72:$D$91)=0,0,'TO HOP NLAN'!F66*'TS-PILE'!$D$81/SUMSQ('TS-PILE'!$D$72:$D$91))),IF('TS-PILE'!$B$82="",1E+99,'TO HOP NLAN'!D66/ncoc+IF(SUMSQ('TS-PILE'!$E$72:$E$91)=0,0,'TO HOP NLAN'!E66*'TS-PILE'!$E$82/SUMSQ('TS-PILE'!$E$72:$E$91))+IF(SUMSQ('TS-PILE'!$D$72:$D$91)=0,0,'TO HOP NLAN'!F66*'TS-PILE'!$D$82/SUMSQ('TS-PILE'!$D$72:$D$91))),IF('TS-PILE'!$B$83="",1E+99,'TO HOP NLAN'!D66/ncoc+IF(SUMSQ('TS-PILE'!$E$72:$E$91)=0,0,'TO HOP NLAN'!E66*'TS-PILE'!$E$83/SUMSQ('TS-PILE'!$E$72:$E$91))+IF(SUMSQ('TS-PILE'!$D$72:$D$91)=0,0,'TO HOP NLAN'!F66*'TS-PILE'!$D$83/SUMSQ('TS-PILE'!$D$72:$D$91))),IF('TS-PILE'!$B$84="",1E+99,'TO HOP NLAN'!D66/ncoc+IF(SUMSQ('TS-PILE'!$E$72:$E$91)=0,0,'TO HOP NLAN'!E66*'TS-PILE'!$E$84/SUMSQ('TS-PILE'!$E$72:$E$91))+IF(SUMSQ('TS-PILE'!$D$72:$D$91)=0,0,'TO HOP NLAN'!F66*'TS-PILE'!$D$84/SUMSQ('TS-PILE'!$D$72:$D$91))),IF('TS-PILE'!$B$85="",1E+99,'TO HOP NLAN'!D66/ncoc+IF(SUMSQ('TS-PILE'!$E$72:$E$91)=0,0,'TO HOP NLAN'!E66*'TS-PILE'!$E$85/SUMSQ('TS-PILE'!$E$72:$E$91))+IF(SUMSQ('TS-PILE'!$D$72:$D$91)=0,0,'TO HOP NLAN'!F66*'TS-PILE'!$D$85/SUMSQ('TS-PILE'!$D$72:$D$91))),IF('TS-PILE'!$B$86="",1E+99,'TO HOP NLAN'!D66/ncoc+IF(SUMSQ('TS-PILE'!$E$72:$E$91)=0,0,'TO HOP NLAN'!E66*'TS-PILE'!$E$86/SUMSQ('TS-PILE'!$E$72:$E$91))+IF(SUMSQ('TS-PILE'!$D$72:$D$91)=0,0,'TO HOP NLAN'!F66*'TS-PILE'!$D$86/SUMSQ('TS-PILE'!$D$72:$D$91))),IF('TS-PILE'!$B$87="",1E+99,'TO HOP NLAN'!D66/ncoc+IF(SUMSQ('TS-PILE'!$E$72:$E$91)=0,0,'TO HOP NLAN'!E66*'TS-PILE'!$E$87/SUMSQ('TS-PILE'!$E$72:$E$91))+IF(SUMSQ('TS-PILE'!$D$72:$D$91)=0,0,'TO HOP NLAN'!F66*'TS-PILE'!$D$87/SUMSQ('TS-PILE'!$D$72:$D$91))),IF('TS-PILE'!$B$88="",1E+99,'TO HOP NLAN'!D66/ncoc+IF(SUMSQ('TS-PILE'!$E$72:$E$91)=0,0,'TO HOP NLAN'!E66*'TS-PILE'!$E$88/SUMSQ('TS-PILE'!$E$72:$E$91))+IF(SUMSQ('TS-PILE'!$D$72:$D$91)=0,0,'TO HOP NLAN'!F66*'TS-PILE'!$D$88/SUMSQ('TS-PILE'!$D$72:$D$91))),IF('TS-PILE'!$B$89="",1E+99,'TO HOP NLAN'!D66/ncoc+IF(SUMSQ('TS-PILE'!$E$72:$E$91)=0,0,'TO HOP NLAN'!E66*'TS-PILE'!$E$89/SUMSQ('TS-PILE'!$E$72:$E$91))+IF(SUMSQ('TS-PILE'!$D$72:$D$91)=0,0,'TO HOP NLAN'!F66*'TS-PILE'!$D$89/SUMSQ('TS-PILE'!$D$72:$D$91))),IF('TS-PILE'!$B$90="",1E+99,'TO HOP NLAN'!D66/ncoc+IF(SUMSQ('TS-PILE'!$E$72:$E$91)=0,0,'TO HOP NLAN'!E66*'TS-PILE'!$E$90/SUMSQ('TS-PILE'!$E$72:$E$91))+IF(SUMSQ('TS-PILE'!$D$72:$D$91)=0,0,'TO HOP NLAN'!F66*'TS-PILE'!$D$90/SUMSQ('TS-PILE'!$D$72:$D$91))),IF('TS-PILE'!$B$91="",1E+99,'TO HOP NLAN'!D66/ncoc+IF(SUMSQ('TS-PILE'!$E$72:$E$91)=0,0,'TO HOP NLAN'!E66*'TS-PILE'!$E$91/SUMSQ('TS-PILE'!$E$72:$E$91))+IF(SUMSQ('TS-PILE'!$D$72:$D$91)=0,0,'TO HOP NLAN'!F66*'TS-PILE'!$D$91/SUMSQ('TS-PILE'!$D$72:$D$91)))))</f>
        <v>0</v>
      </c>
      <c r="E66" s="58">
        <f t="shared" si="0"/>
        <v>-9.9999999999999997E+98</v>
      </c>
      <c r="F66" s="58">
        <f t="shared" si="1"/>
        <v>9.9999999999999997E+98</v>
      </c>
      <c r="G66" s="58">
        <f t="shared" si="2"/>
        <v>-9.9999999999999997E+98</v>
      </c>
      <c r="H66" s="58">
        <f t="shared" si="3"/>
        <v>9.9999999999999997E+98</v>
      </c>
    </row>
    <row r="67" spans="1:8" x14ac:dyDescent="0.3">
      <c r="A67" s="42" t="str">
        <f>'TO HOP NLAN'!A67</f>
        <v/>
      </c>
      <c r="B67" s="42" t="str">
        <f>'TO HOP NLAN'!L67</f>
        <v>SERVICE</v>
      </c>
      <c r="C67" s="58">
        <f>IF(A67="",0,MAX(IF('TS-PILE'!$B$72="",-1E+99,'TO HOP NLAN'!D67/ncoc+IF(SUMSQ('TS-PILE'!$E$72:$E$91)=0,0,'TO HOP NLAN'!E67*'TS-PILE'!$E$72/SUMSQ('TS-PILE'!$E$72:$E$91))+IF(SUMSQ('TS-PILE'!$D$72:$D$91)=0,0,'TO HOP NLAN'!F67*'TS-PILE'!$D$72/SUMSQ('TS-PILE'!$D$72:$D$91))),IF('TS-PILE'!$B$73="",-1E+99,'TO HOP NLAN'!D67/ncoc+IF(SUMSQ('TS-PILE'!$E$72:$E$91)=0,0,'TO HOP NLAN'!E67*'TS-PILE'!$E$73/SUMSQ('TS-PILE'!$E$72:$E$91))+IF(SUMSQ('TS-PILE'!$D$72:$D$91)=0,0,'TO HOP NLAN'!F67*'TS-PILE'!$D$73/SUMSQ('TS-PILE'!$D$72:$D$91))),IF('TS-PILE'!$B$74="",-1E+99,'TO HOP NLAN'!D67/ncoc+IF(SUMSQ('TS-PILE'!$E$72:$E$91)=0,0,'TO HOP NLAN'!E67*'TS-PILE'!$E$74/SUMSQ('TS-PILE'!$E$72:$E$91))+IF(SUMSQ('TS-PILE'!$D$72:$D$91)=0,0,'TO HOP NLAN'!F67*'TS-PILE'!$D$74/SUMSQ('TS-PILE'!$D$72:$D$91))),IF('TS-PILE'!$B$75="",-1E+99,'TO HOP NLAN'!D67/ncoc+IF(SUMSQ('TS-PILE'!$E$72:$E$91)=0,0,'TO HOP NLAN'!E67*'TS-PILE'!$E$75/SUMSQ('TS-PILE'!$E$72:$E$91))+IF(SUMSQ('TS-PILE'!$D$72:$D$91)=0,0,'TO HOP NLAN'!F67*'TS-PILE'!$D$75/SUMSQ('TS-PILE'!$D$72:$D$91))),IF('TS-PILE'!$B$76="",-1E+99,'TO HOP NLAN'!D67/ncoc+IF(SUMSQ('TS-PILE'!$E$72:$E$91)=0,0,'TO HOP NLAN'!E67*'TS-PILE'!$E$76/SUMSQ('TS-PILE'!$E$72:$E$91))+IF(SUMSQ('TS-PILE'!$D$72:$D$91)=0,0,'TO HOP NLAN'!F67*'TS-PILE'!$D$76/SUMSQ('TS-PILE'!$D$72:$D$91))),IF('TS-PILE'!$B$77="",-1E+99,'TO HOP NLAN'!D67/ncoc+IF(SUMSQ('TS-PILE'!$E$72:$E$91)=0,0,'TO HOP NLAN'!E67*'TS-PILE'!$E$77/SUMSQ('TS-PILE'!$E$72:$E$91))+IF(SUMSQ('TS-PILE'!$D$72:$D$91)=0,0,'TO HOP NLAN'!F67*'TS-PILE'!$D$77/SUMSQ('TS-PILE'!$D$72:$D$91))),IF('TS-PILE'!$B$78="",-1E+99,'TO HOP NLAN'!D67/ncoc+IF(SUMSQ('TS-PILE'!$E$72:$E$91)=0,0,'TO HOP NLAN'!E67*'TS-PILE'!$E$78/SUMSQ('TS-PILE'!$E$72:$E$91))+IF(SUMSQ('TS-PILE'!$D$72:$D$91)=0,0,'TO HOP NLAN'!F67*'TS-PILE'!$D$78/SUMSQ('TS-PILE'!$D$72:$D$91))),IF('TS-PILE'!$B$79="",-1E+99,'TO HOP NLAN'!D67/ncoc+IF(SUMSQ('TS-PILE'!$E$72:$E$91)=0,0,'TO HOP NLAN'!E67*'TS-PILE'!$E$79/SUMSQ('TS-PILE'!$E$72:$E$91))+IF(SUMSQ('TS-PILE'!$D$72:$D$91)=0,0,'TO HOP NLAN'!F67*'TS-PILE'!$D$79/SUMSQ('TS-PILE'!$D$72:$D$91))),IF('TS-PILE'!$B$80="",-1E+99,'TO HOP NLAN'!D67/ncoc+IF(SUMSQ('TS-PILE'!$E$72:$E$91)=0,0,'TO HOP NLAN'!E67*'TS-PILE'!$E$80/SUMSQ('TS-PILE'!$E$72:$E$91))+IF(SUMSQ('TS-PILE'!$D$72:$D$91)=0,0,'TO HOP NLAN'!F67*'TS-PILE'!$D$80/SUMSQ('TS-PILE'!$D$72:$D$91))),IF('TS-PILE'!$B$81="",-1E+99,'TO HOP NLAN'!D67/ncoc+IF(SUMSQ('TS-PILE'!$E$72:$E$91)=0,0,'TO HOP NLAN'!E67*'TS-PILE'!$E$81/SUMSQ('TS-PILE'!$E$72:$E$91))+IF(SUMSQ('TS-PILE'!$D$72:$D$91)=0,0,'TO HOP NLAN'!F67*'TS-PILE'!$D$81/SUMSQ('TS-PILE'!$D$72:$D$91))),IF('TS-PILE'!$B$82="",-1E+99,'TO HOP NLAN'!D67/ncoc+IF(SUMSQ('TS-PILE'!$E$72:$E$91)=0,0,'TO HOP NLAN'!E67*'TS-PILE'!$E$82/SUMSQ('TS-PILE'!$E$72:$E$91))+IF(SUMSQ('TS-PILE'!$D$72:$D$91)=0,0,'TO HOP NLAN'!F67*'TS-PILE'!$D$82/SUMSQ('TS-PILE'!$D$72:$D$91))),IF('TS-PILE'!$B$83="",-1E+99,'TO HOP NLAN'!D67/ncoc+IF(SUMSQ('TS-PILE'!$E$72:$E$91)=0,0,'TO HOP NLAN'!E67*'TS-PILE'!$E$83/SUMSQ('TS-PILE'!$E$72:$E$91))+IF(SUMSQ('TS-PILE'!$D$72:$D$91)=0,0,'TO HOP NLAN'!F67*'TS-PILE'!$D$83/SUMSQ('TS-PILE'!$D$72:$D$91))),IF('TS-PILE'!$B$84="",-1E+99,'TO HOP NLAN'!D67/ncoc+IF(SUMSQ('TS-PILE'!$E$72:$E$91)=0,0,'TO HOP NLAN'!E67*'TS-PILE'!$E$84/SUMSQ('TS-PILE'!$E$72:$E$91))+IF(SUMSQ('TS-PILE'!$D$72:$D$91)=0,0,'TO HOP NLAN'!F67*'TS-PILE'!$D$84/SUMSQ('TS-PILE'!$D$72:$D$91))),IF('TS-PILE'!$B$85="",-1E+99,'TO HOP NLAN'!D67/ncoc+IF(SUMSQ('TS-PILE'!$E$72:$E$91)=0,0,'TO HOP NLAN'!E67*'TS-PILE'!$E$85/SUMSQ('TS-PILE'!$E$72:$E$91))+IF(SUMSQ('TS-PILE'!$D$72:$D$91)=0,0,'TO HOP NLAN'!F67*'TS-PILE'!$D$85/SUMSQ('TS-PILE'!$D$72:$D$91))),IF('TS-PILE'!$B$86="",-1E+99,'TO HOP NLAN'!D67/ncoc+IF(SUMSQ('TS-PILE'!$E$72:$E$91)=0,0,'TO HOP NLAN'!E67*'TS-PILE'!$E$86/SUMSQ('TS-PILE'!$E$72:$E$91))+IF(SUMSQ('TS-PILE'!$D$72:$D$91)=0,0,'TO HOP NLAN'!F67*'TS-PILE'!$D$86/SUMSQ('TS-PILE'!$D$72:$D$91))),IF('TS-PILE'!$B$87="",-1E+99,'TO HOP NLAN'!D67/ncoc+IF(SUMSQ('TS-PILE'!$E$72:$E$91)=0,0,'TO HOP NLAN'!E67*'TS-PILE'!$E$87/SUMSQ('TS-PILE'!$E$72:$E$91))+IF(SUMSQ('TS-PILE'!$D$72:$D$91)=0,0,'TO HOP NLAN'!F67*'TS-PILE'!$D$87/SUMSQ('TS-PILE'!$D$72:$D$91))),IF('TS-PILE'!$B$88="",-1E+99,'TO HOP NLAN'!D67/ncoc+IF(SUMSQ('TS-PILE'!$E$72:$E$91)=0,0,'TO HOP NLAN'!E67*'TS-PILE'!$E$88/SUMSQ('TS-PILE'!$E$72:$E$91))+IF(SUMSQ('TS-PILE'!$D$72:$D$91)=0,0,'TO HOP NLAN'!F67*'TS-PILE'!$D$88/SUMSQ('TS-PILE'!$D$72:$D$91))),IF('TS-PILE'!$B$89="",-1E+99,'TO HOP NLAN'!D67/ncoc+IF(SUMSQ('TS-PILE'!$E$72:$E$91)=0,0,'TO HOP NLAN'!E67*'TS-PILE'!$E$89/SUMSQ('TS-PILE'!$E$72:$E$91))+IF(SUMSQ('TS-PILE'!$D$72:$D$91)=0,0,'TO HOP NLAN'!F67*'TS-PILE'!$D$89/SUMSQ('TS-PILE'!$D$72:$D$91))),IF('TS-PILE'!$B$90="",-1E+99,'TO HOP NLAN'!D67/ncoc+IF(SUMSQ('TS-PILE'!$E$72:$E$91)=0,0,'TO HOP NLAN'!E67*'TS-PILE'!$E$90/SUMSQ('TS-PILE'!$E$72:$E$91))+IF(SUMSQ('TS-PILE'!$D$72:$D$91)=0,0,'TO HOP NLAN'!F67*'TS-PILE'!$D$90/SUMSQ('TS-PILE'!$D$72:$D$91))),IF('TS-PILE'!$B$91="",-1E+99,'TO HOP NLAN'!D67/ncoc+IF(SUMSQ('TS-PILE'!$E$72:$E$91)=0,0,'TO HOP NLAN'!E67*'TS-PILE'!$E$91/SUMSQ('TS-PILE'!$E$72:$E$91))+IF(SUMSQ('TS-PILE'!$D$72:$D$91)=0,0,'TO HOP NLAN'!F67*'TS-PILE'!$D$91/SUMSQ('TS-PILE'!$D$72:$D$91)))))</f>
        <v>0</v>
      </c>
      <c r="D67" s="58">
        <f>IF(A67="",0,MIN(IF('TS-PILE'!$B$72="",1E+99,'TO HOP NLAN'!D67/ncoc+IF(SUMSQ('TS-PILE'!$E$72:$E$91)=0,0,'TO HOP NLAN'!E67*'TS-PILE'!$E$72/SUMSQ('TS-PILE'!$E$72:$E$91))+IF(SUMSQ('TS-PILE'!$D$72:$D$91)=0,0,'TO HOP NLAN'!F67*'TS-PILE'!$D$72/SUMSQ('TS-PILE'!$D$72:$D$91))),IF('TS-PILE'!$B$73="",1E+99,'TO HOP NLAN'!D67/ncoc+IF(SUMSQ('TS-PILE'!$E$72:$E$91)=0,0,'TO HOP NLAN'!E67*'TS-PILE'!$E$73/SUMSQ('TS-PILE'!$E$72:$E$91))+IF(SUMSQ('TS-PILE'!$D$72:$D$91)=0,0,'TO HOP NLAN'!F67*'TS-PILE'!$D$73/SUMSQ('TS-PILE'!$D$72:$D$91))),IF('TS-PILE'!$B$74="",1E+99,'TO HOP NLAN'!D67/ncoc+IF(SUMSQ('TS-PILE'!$E$72:$E$91)=0,0,'TO HOP NLAN'!E67*'TS-PILE'!$E$74/SUMSQ('TS-PILE'!$E$72:$E$91))+IF(SUMSQ('TS-PILE'!$D$72:$D$91)=0,0,'TO HOP NLAN'!F67*'TS-PILE'!$D$74/SUMSQ('TS-PILE'!$D$72:$D$91))),IF('TS-PILE'!$B$75="",1E+99,'TO HOP NLAN'!D67/ncoc+IF(SUMSQ('TS-PILE'!$E$72:$E$91)=0,0,'TO HOP NLAN'!E67*'TS-PILE'!$E$75/SUMSQ('TS-PILE'!$E$72:$E$91))+IF(SUMSQ('TS-PILE'!$D$72:$D$91)=0,0,'TO HOP NLAN'!F67*'TS-PILE'!$D$75/SUMSQ('TS-PILE'!$D$72:$D$91))),IF('TS-PILE'!$B$76="",1E+99,'TO HOP NLAN'!D67/ncoc+IF(SUMSQ('TS-PILE'!$E$72:$E$91)=0,0,'TO HOP NLAN'!E67*'TS-PILE'!$E$76/SUMSQ('TS-PILE'!$E$72:$E$91))+IF(SUMSQ('TS-PILE'!$D$72:$D$91)=0,0,'TO HOP NLAN'!F67*'TS-PILE'!$D$76/SUMSQ('TS-PILE'!$D$72:$D$91))),IF('TS-PILE'!$B$77="",1E+99,'TO HOP NLAN'!D67/ncoc+IF(SUMSQ('TS-PILE'!$E$72:$E$91)=0,0,'TO HOP NLAN'!E67*'TS-PILE'!$E$77/SUMSQ('TS-PILE'!$E$72:$E$91))+IF(SUMSQ('TS-PILE'!$D$72:$D$91)=0,0,'TO HOP NLAN'!F67*'TS-PILE'!$D$77/SUMSQ('TS-PILE'!$D$72:$D$91))),IF('TS-PILE'!$B$78="",1E+99,'TO HOP NLAN'!D67/ncoc+IF(SUMSQ('TS-PILE'!$E$72:$E$91)=0,0,'TO HOP NLAN'!E67*'TS-PILE'!$E$78/SUMSQ('TS-PILE'!$E$72:$E$91))+IF(SUMSQ('TS-PILE'!$D$72:$D$91)=0,0,'TO HOP NLAN'!F67*'TS-PILE'!$D$78/SUMSQ('TS-PILE'!$D$72:$D$91))),IF('TS-PILE'!$B$79="",1E+99,'TO HOP NLAN'!D67/ncoc+IF(SUMSQ('TS-PILE'!$E$72:$E$91)=0,0,'TO HOP NLAN'!E67*'TS-PILE'!$E$79/SUMSQ('TS-PILE'!$E$72:$E$91))+IF(SUMSQ('TS-PILE'!$D$72:$D$91)=0,0,'TO HOP NLAN'!F67*'TS-PILE'!$D$79/SUMSQ('TS-PILE'!$D$72:$D$91))),IF('TS-PILE'!$B$80="",1E+99,'TO HOP NLAN'!D67/ncoc+IF(SUMSQ('TS-PILE'!$E$72:$E$91)=0,0,'TO HOP NLAN'!E67*'TS-PILE'!$E$80/SUMSQ('TS-PILE'!$E$72:$E$91))+IF(SUMSQ('TS-PILE'!$D$72:$D$91)=0,0,'TO HOP NLAN'!F67*'TS-PILE'!$D$80/SUMSQ('TS-PILE'!$D$72:$D$91))),IF('TS-PILE'!$B$81="",1E+99,'TO HOP NLAN'!D67/ncoc+IF(SUMSQ('TS-PILE'!$E$72:$E$91)=0,0,'TO HOP NLAN'!E67*'TS-PILE'!$E$81/SUMSQ('TS-PILE'!$E$72:$E$91))+IF(SUMSQ('TS-PILE'!$D$72:$D$91)=0,0,'TO HOP NLAN'!F67*'TS-PILE'!$D$81/SUMSQ('TS-PILE'!$D$72:$D$91))),IF('TS-PILE'!$B$82="",1E+99,'TO HOP NLAN'!D67/ncoc+IF(SUMSQ('TS-PILE'!$E$72:$E$91)=0,0,'TO HOP NLAN'!E67*'TS-PILE'!$E$82/SUMSQ('TS-PILE'!$E$72:$E$91))+IF(SUMSQ('TS-PILE'!$D$72:$D$91)=0,0,'TO HOP NLAN'!F67*'TS-PILE'!$D$82/SUMSQ('TS-PILE'!$D$72:$D$91))),IF('TS-PILE'!$B$83="",1E+99,'TO HOP NLAN'!D67/ncoc+IF(SUMSQ('TS-PILE'!$E$72:$E$91)=0,0,'TO HOP NLAN'!E67*'TS-PILE'!$E$83/SUMSQ('TS-PILE'!$E$72:$E$91))+IF(SUMSQ('TS-PILE'!$D$72:$D$91)=0,0,'TO HOP NLAN'!F67*'TS-PILE'!$D$83/SUMSQ('TS-PILE'!$D$72:$D$91))),IF('TS-PILE'!$B$84="",1E+99,'TO HOP NLAN'!D67/ncoc+IF(SUMSQ('TS-PILE'!$E$72:$E$91)=0,0,'TO HOP NLAN'!E67*'TS-PILE'!$E$84/SUMSQ('TS-PILE'!$E$72:$E$91))+IF(SUMSQ('TS-PILE'!$D$72:$D$91)=0,0,'TO HOP NLAN'!F67*'TS-PILE'!$D$84/SUMSQ('TS-PILE'!$D$72:$D$91))),IF('TS-PILE'!$B$85="",1E+99,'TO HOP NLAN'!D67/ncoc+IF(SUMSQ('TS-PILE'!$E$72:$E$91)=0,0,'TO HOP NLAN'!E67*'TS-PILE'!$E$85/SUMSQ('TS-PILE'!$E$72:$E$91))+IF(SUMSQ('TS-PILE'!$D$72:$D$91)=0,0,'TO HOP NLAN'!F67*'TS-PILE'!$D$85/SUMSQ('TS-PILE'!$D$72:$D$91))),IF('TS-PILE'!$B$86="",1E+99,'TO HOP NLAN'!D67/ncoc+IF(SUMSQ('TS-PILE'!$E$72:$E$91)=0,0,'TO HOP NLAN'!E67*'TS-PILE'!$E$86/SUMSQ('TS-PILE'!$E$72:$E$91))+IF(SUMSQ('TS-PILE'!$D$72:$D$91)=0,0,'TO HOP NLAN'!F67*'TS-PILE'!$D$86/SUMSQ('TS-PILE'!$D$72:$D$91))),IF('TS-PILE'!$B$87="",1E+99,'TO HOP NLAN'!D67/ncoc+IF(SUMSQ('TS-PILE'!$E$72:$E$91)=0,0,'TO HOP NLAN'!E67*'TS-PILE'!$E$87/SUMSQ('TS-PILE'!$E$72:$E$91))+IF(SUMSQ('TS-PILE'!$D$72:$D$91)=0,0,'TO HOP NLAN'!F67*'TS-PILE'!$D$87/SUMSQ('TS-PILE'!$D$72:$D$91))),IF('TS-PILE'!$B$88="",1E+99,'TO HOP NLAN'!D67/ncoc+IF(SUMSQ('TS-PILE'!$E$72:$E$91)=0,0,'TO HOP NLAN'!E67*'TS-PILE'!$E$88/SUMSQ('TS-PILE'!$E$72:$E$91))+IF(SUMSQ('TS-PILE'!$D$72:$D$91)=0,0,'TO HOP NLAN'!F67*'TS-PILE'!$D$88/SUMSQ('TS-PILE'!$D$72:$D$91))),IF('TS-PILE'!$B$89="",1E+99,'TO HOP NLAN'!D67/ncoc+IF(SUMSQ('TS-PILE'!$E$72:$E$91)=0,0,'TO HOP NLAN'!E67*'TS-PILE'!$E$89/SUMSQ('TS-PILE'!$E$72:$E$91))+IF(SUMSQ('TS-PILE'!$D$72:$D$91)=0,0,'TO HOP NLAN'!F67*'TS-PILE'!$D$89/SUMSQ('TS-PILE'!$D$72:$D$91))),IF('TS-PILE'!$B$90="",1E+99,'TO HOP NLAN'!D67/ncoc+IF(SUMSQ('TS-PILE'!$E$72:$E$91)=0,0,'TO HOP NLAN'!E67*'TS-PILE'!$E$90/SUMSQ('TS-PILE'!$E$72:$E$91))+IF(SUMSQ('TS-PILE'!$D$72:$D$91)=0,0,'TO HOP NLAN'!F67*'TS-PILE'!$D$90/SUMSQ('TS-PILE'!$D$72:$D$91))),IF('TS-PILE'!$B$91="",1E+99,'TO HOP NLAN'!D67/ncoc+IF(SUMSQ('TS-PILE'!$E$72:$E$91)=0,0,'TO HOP NLAN'!E67*'TS-PILE'!$E$91/SUMSQ('TS-PILE'!$E$72:$E$91))+IF(SUMSQ('TS-PILE'!$D$72:$D$91)=0,0,'TO HOP NLAN'!F67*'TS-PILE'!$D$91/SUMSQ('TS-PILE'!$D$72:$D$91)))))</f>
        <v>0</v>
      </c>
      <c r="E67" s="58">
        <f t="shared" si="0"/>
        <v>-9.9999999999999997E+98</v>
      </c>
      <c r="F67" s="58">
        <f t="shared" si="1"/>
        <v>9.9999999999999997E+98</v>
      </c>
      <c r="G67" s="58">
        <f t="shared" si="2"/>
        <v>-9.9999999999999997E+98</v>
      </c>
      <c r="H67" s="58">
        <f t="shared" si="3"/>
        <v>9.9999999999999997E+98</v>
      </c>
    </row>
    <row r="68" spans="1:8" x14ac:dyDescent="0.3">
      <c r="A68" s="42" t="str">
        <f>'TO HOP NLAN'!A68</f>
        <v/>
      </c>
      <c r="B68" s="42" t="str">
        <f>'TO HOP NLAN'!L68</f>
        <v>SERVICE</v>
      </c>
      <c r="C68" s="58">
        <f>IF(A68="",0,MAX(IF('TS-PILE'!$B$72="",-1E+99,'TO HOP NLAN'!D68/ncoc+IF(SUMSQ('TS-PILE'!$E$72:$E$91)=0,0,'TO HOP NLAN'!E68*'TS-PILE'!$E$72/SUMSQ('TS-PILE'!$E$72:$E$91))+IF(SUMSQ('TS-PILE'!$D$72:$D$91)=0,0,'TO HOP NLAN'!F68*'TS-PILE'!$D$72/SUMSQ('TS-PILE'!$D$72:$D$91))),IF('TS-PILE'!$B$73="",-1E+99,'TO HOP NLAN'!D68/ncoc+IF(SUMSQ('TS-PILE'!$E$72:$E$91)=0,0,'TO HOP NLAN'!E68*'TS-PILE'!$E$73/SUMSQ('TS-PILE'!$E$72:$E$91))+IF(SUMSQ('TS-PILE'!$D$72:$D$91)=0,0,'TO HOP NLAN'!F68*'TS-PILE'!$D$73/SUMSQ('TS-PILE'!$D$72:$D$91))),IF('TS-PILE'!$B$74="",-1E+99,'TO HOP NLAN'!D68/ncoc+IF(SUMSQ('TS-PILE'!$E$72:$E$91)=0,0,'TO HOP NLAN'!E68*'TS-PILE'!$E$74/SUMSQ('TS-PILE'!$E$72:$E$91))+IF(SUMSQ('TS-PILE'!$D$72:$D$91)=0,0,'TO HOP NLAN'!F68*'TS-PILE'!$D$74/SUMSQ('TS-PILE'!$D$72:$D$91))),IF('TS-PILE'!$B$75="",-1E+99,'TO HOP NLAN'!D68/ncoc+IF(SUMSQ('TS-PILE'!$E$72:$E$91)=0,0,'TO HOP NLAN'!E68*'TS-PILE'!$E$75/SUMSQ('TS-PILE'!$E$72:$E$91))+IF(SUMSQ('TS-PILE'!$D$72:$D$91)=0,0,'TO HOP NLAN'!F68*'TS-PILE'!$D$75/SUMSQ('TS-PILE'!$D$72:$D$91))),IF('TS-PILE'!$B$76="",-1E+99,'TO HOP NLAN'!D68/ncoc+IF(SUMSQ('TS-PILE'!$E$72:$E$91)=0,0,'TO HOP NLAN'!E68*'TS-PILE'!$E$76/SUMSQ('TS-PILE'!$E$72:$E$91))+IF(SUMSQ('TS-PILE'!$D$72:$D$91)=0,0,'TO HOP NLAN'!F68*'TS-PILE'!$D$76/SUMSQ('TS-PILE'!$D$72:$D$91))),IF('TS-PILE'!$B$77="",-1E+99,'TO HOP NLAN'!D68/ncoc+IF(SUMSQ('TS-PILE'!$E$72:$E$91)=0,0,'TO HOP NLAN'!E68*'TS-PILE'!$E$77/SUMSQ('TS-PILE'!$E$72:$E$91))+IF(SUMSQ('TS-PILE'!$D$72:$D$91)=0,0,'TO HOP NLAN'!F68*'TS-PILE'!$D$77/SUMSQ('TS-PILE'!$D$72:$D$91))),IF('TS-PILE'!$B$78="",-1E+99,'TO HOP NLAN'!D68/ncoc+IF(SUMSQ('TS-PILE'!$E$72:$E$91)=0,0,'TO HOP NLAN'!E68*'TS-PILE'!$E$78/SUMSQ('TS-PILE'!$E$72:$E$91))+IF(SUMSQ('TS-PILE'!$D$72:$D$91)=0,0,'TO HOP NLAN'!F68*'TS-PILE'!$D$78/SUMSQ('TS-PILE'!$D$72:$D$91))),IF('TS-PILE'!$B$79="",-1E+99,'TO HOP NLAN'!D68/ncoc+IF(SUMSQ('TS-PILE'!$E$72:$E$91)=0,0,'TO HOP NLAN'!E68*'TS-PILE'!$E$79/SUMSQ('TS-PILE'!$E$72:$E$91))+IF(SUMSQ('TS-PILE'!$D$72:$D$91)=0,0,'TO HOP NLAN'!F68*'TS-PILE'!$D$79/SUMSQ('TS-PILE'!$D$72:$D$91))),IF('TS-PILE'!$B$80="",-1E+99,'TO HOP NLAN'!D68/ncoc+IF(SUMSQ('TS-PILE'!$E$72:$E$91)=0,0,'TO HOP NLAN'!E68*'TS-PILE'!$E$80/SUMSQ('TS-PILE'!$E$72:$E$91))+IF(SUMSQ('TS-PILE'!$D$72:$D$91)=0,0,'TO HOP NLAN'!F68*'TS-PILE'!$D$80/SUMSQ('TS-PILE'!$D$72:$D$91))),IF('TS-PILE'!$B$81="",-1E+99,'TO HOP NLAN'!D68/ncoc+IF(SUMSQ('TS-PILE'!$E$72:$E$91)=0,0,'TO HOP NLAN'!E68*'TS-PILE'!$E$81/SUMSQ('TS-PILE'!$E$72:$E$91))+IF(SUMSQ('TS-PILE'!$D$72:$D$91)=0,0,'TO HOP NLAN'!F68*'TS-PILE'!$D$81/SUMSQ('TS-PILE'!$D$72:$D$91))),IF('TS-PILE'!$B$82="",-1E+99,'TO HOP NLAN'!D68/ncoc+IF(SUMSQ('TS-PILE'!$E$72:$E$91)=0,0,'TO HOP NLAN'!E68*'TS-PILE'!$E$82/SUMSQ('TS-PILE'!$E$72:$E$91))+IF(SUMSQ('TS-PILE'!$D$72:$D$91)=0,0,'TO HOP NLAN'!F68*'TS-PILE'!$D$82/SUMSQ('TS-PILE'!$D$72:$D$91))),IF('TS-PILE'!$B$83="",-1E+99,'TO HOP NLAN'!D68/ncoc+IF(SUMSQ('TS-PILE'!$E$72:$E$91)=0,0,'TO HOP NLAN'!E68*'TS-PILE'!$E$83/SUMSQ('TS-PILE'!$E$72:$E$91))+IF(SUMSQ('TS-PILE'!$D$72:$D$91)=0,0,'TO HOP NLAN'!F68*'TS-PILE'!$D$83/SUMSQ('TS-PILE'!$D$72:$D$91))),IF('TS-PILE'!$B$84="",-1E+99,'TO HOP NLAN'!D68/ncoc+IF(SUMSQ('TS-PILE'!$E$72:$E$91)=0,0,'TO HOP NLAN'!E68*'TS-PILE'!$E$84/SUMSQ('TS-PILE'!$E$72:$E$91))+IF(SUMSQ('TS-PILE'!$D$72:$D$91)=0,0,'TO HOP NLAN'!F68*'TS-PILE'!$D$84/SUMSQ('TS-PILE'!$D$72:$D$91))),IF('TS-PILE'!$B$85="",-1E+99,'TO HOP NLAN'!D68/ncoc+IF(SUMSQ('TS-PILE'!$E$72:$E$91)=0,0,'TO HOP NLAN'!E68*'TS-PILE'!$E$85/SUMSQ('TS-PILE'!$E$72:$E$91))+IF(SUMSQ('TS-PILE'!$D$72:$D$91)=0,0,'TO HOP NLAN'!F68*'TS-PILE'!$D$85/SUMSQ('TS-PILE'!$D$72:$D$91))),IF('TS-PILE'!$B$86="",-1E+99,'TO HOP NLAN'!D68/ncoc+IF(SUMSQ('TS-PILE'!$E$72:$E$91)=0,0,'TO HOP NLAN'!E68*'TS-PILE'!$E$86/SUMSQ('TS-PILE'!$E$72:$E$91))+IF(SUMSQ('TS-PILE'!$D$72:$D$91)=0,0,'TO HOP NLAN'!F68*'TS-PILE'!$D$86/SUMSQ('TS-PILE'!$D$72:$D$91))),IF('TS-PILE'!$B$87="",-1E+99,'TO HOP NLAN'!D68/ncoc+IF(SUMSQ('TS-PILE'!$E$72:$E$91)=0,0,'TO HOP NLAN'!E68*'TS-PILE'!$E$87/SUMSQ('TS-PILE'!$E$72:$E$91))+IF(SUMSQ('TS-PILE'!$D$72:$D$91)=0,0,'TO HOP NLAN'!F68*'TS-PILE'!$D$87/SUMSQ('TS-PILE'!$D$72:$D$91))),IF('TS-PILE'!$B$88="",-1E+99,'TO HOP NLAN'!D68/ncoc+IF(SUMSQ('TS-PILE'!$E$72:$E$91)=0,0,'TO HOP NLAN'!E68*'TS-PILE'!$E$88/SUMSQ('TS-PILE'!$E$72:$E$91))+IF(SUMSQ('TS-PILE'!$D$72:$D$91)=0,0,'TO HOP NLAN'!F68*'TS-PILE'!$D$88/SUMSQ('TS-PILE'!$D$72:$D$91))),IF('TS-PILE'!$B$89="",-1E+99,'TO HOP NLAN'!D68/ncoc+IF(SUMSQ('TS-PILE'!$E$72:$E$91)=0,0,'TO HOP NLAN'!E68*'TS-PILE'!$E$89/SUMSQ('TS-PILE'!$E$72:$E$91))+IF(SUMSQ('TS-PILE'!$D$72:$D$91)=0,0,'TO HOP NLAN'!F68*'TS-PILE'!$D$89/SUMSQ('TS-PILE'!$D$72:$D$91))),IF('TS-PILE'!$B$90="",-1E+99,'TO HOP NLAN'!D68/ncoc+IF(SUMSQ('TS-PILE'!$E$72:$E$91)=0,0,'TO HOP NLAN'!E68*'TS-PILE'!$E$90/SUMSQ('TS-PILE'!$E$72:$E$91))+IF(SUMSQ('TS-PILE'!$D$72:$D$91)=0,0,'TO HOP NLAN'!F68*'TS-PILE'!$D$90/SUMSQ('TS-PILE'!$D$72:$D$91))),IF('TS-PILE'!$B$91="",-1E+99,'TO HOP NLAN'!D68/ncoc+IF(SUMSQ('TS-PILE'!$E$72:$E$91)=0,0,'TO HOP NLAN'!E68*'TS-PILE'!$E$91/SUMSQ('TS-PILE'!$E$72:$E$91))+IF(SUMSQ('TS-PILE'!$D$72:$D$91)=0,0,'TO HOP NLAN'!F68*'TS-PILE'!$D$91/SUMSQ('TS-PILE'!$D$72:$D$91)))))</f>
        <v>0</v>
      </c>
      <c r="D68" s="58">
        <f>IF(A68="",0,MIN(IF('TS-PILE'!$B$72="",1E+99,'TO HOP NLAN'!D68/ncoc+IF(SUMSQ('TS-PILE'!$E$72:$E$91)=0,0,'TO HOP NLAN'!E68*'TS-PILE'!$E$72/SUMSQ('TS-PILE'!$E$72:$E$91))+IF(SUMSQ('TS-PILE'!$D$72:$D$91)=0,0,'TO HOP NLAN'!F68*'TS-PILE'!$D$72/SUMSQ('TS-PILE'!$D$72:$D$91))),IF('TS-PILE'!$B$73="",1E+99,'TO HOP NLAN'!D68/ncoc+IF(SUMSQ('TS-PILE'!$E$72:$E$91)=0,0,'TO HOP NLAN'!E68*'TS-PILE'!$E$73/SUMSQ('TS-PILE'!$E$72:$E$91))+IF(SUMSQ('TS-PILE'!$D$72:$D$91)=0,0,'TO HOP NLAN'!F68*'TS-PILE'!$D$73/SUMSQ('TS-PILE'!$D$72:$D$91))),IF('TS-PILE'!$B$74="",1E+99,'TO HOP NLAN'!D68/ncoc+IF(SUMSQ('TS-PILE'!$E$72:$E$91)=0,0,'TO HOP NLAN'!E68*'TS-PILE'!$E$74/SUMSQ('TS-PILE'!$E$72:$E$91))+IF(SUMSQ('TS-PILE'!$D$72:$D$91)=0,0,'TO HOP NLAN'!F68*'TS-PILE'!$D$74/SUMSQ('TS-PILE'!$D$72:$D$91))),IF('TS-PILE'!$B$75="",1E+99,'TO HOP NLAN'!D68/ncoc+IF(SUMSQ('TS-PILE'!$E$72:$E$91)=0,0,'TO HOP NLAN'!E68*'TS-PILE'!$E$75/SUMSQ('TS-PILE'!$E$72:$E$91))+IF(SUMSQ('TS-PILE'!$D$72:$D$91)=0,0,'TO HOP NLAN'!F68*'TS-PILE'!$D$75/SUMSQ('TS-PILE'!$D$72:$D$91))),IF('TS-PILE'!$B$76="",1E+99,'TO HOP NLAN'!D68/ncoc+IF(SUMSQ('TS-PILE'!$E$72:$E$91)=0,0,'TO HOP NLAN'!E68*'TS-PILE'!$E$76/SUMSQ('TS-PILE'!$E$72:$E$91))+IF(SUMSQ('TS-PILE'!$D$72:$D$91)=0,0,'TO HOP NLAN'!F68*'TS-PILE'!$D$76/SUMSQ('TS-PILE'!$D$72:$D$91))),IF('TS-PILE'!$B$77="",1E+99,'TO HOP NLAN'!D68/ncoc+IF(SUMSQ('TS-PILE'!$E$72:$E$91)=0,0,'TO HOP NLAN'!E68*'TS-PILE'!$E$77/SUMSQ('TS-PILE'!$E$72:$E$91))+IF(SUMSQ('TS-PILE'!$D$72:$D$91)=0,0,'TO HOP NLAN'!F68*'TS-PILE'!$D$77/SUMSQ('TS-PILE'!$D$72:$D$91))),IF('TS-PILE'!$B$78="",1E+99,'TO HOP NLAN'!D68/ncoc+IF(SUMSQ('TS-PILE'!$E$72:$E$91)=0,0,'TO HOP NLAN'!E68*'TS-PILE'!$E$78/SUMSQ('TS-PILE'!$E$72:$E$91))+IF(SUMSQ('TS-PILE'!$D$72:$D$91)=0,0,'TO HOP NLAN'!F68*'TS-PILE'!$D$78/SUMSQ('TS-PILE'!$D$72:$D$91))),IF('TS-PILE'!$B$79="",1E+99,'TO HOP NLAN'!D68/ncoc+IF(SUMSQ('TS-PILE'!$E$72:$E$91)=0,0,'TO HOP NLAN'!E68*'TS-PILE'!$E$79/SUMSQ('TS-PILE'!$E$72:$E$91))+IF(SUMSQ('TS-PILE'!$D$72:$D$91)=0,0,'TO HOP NLAN'!F68*'TS-PILE'!$D$79/SUMSQ('TS-PILE'!$D$72:$D$91))),IF('TS-PILE'!$B$80="",1E+99,'TO HOP NLAN'!D68/ncoc+IF(SUMSQ('TS-PILE'!$E$72:$E$91)=0,0,'TO HOP NLAN'!E68*'TS-PILE'!$E$80/SUMSQ('TS-PILE'!$E$72:$E$91))+IF(SUMSQ('TS-PILE'!$D$72:$D$91)=0,0,'TO HOP NLAN'!F68*'TS-PILE'!$D$80/SUMSQ('TS-PILE'!$D$72:$D$91))),IF('TS-PILE'!$B$81="",1E+99,'TO HOP NLAN'!D68/ncoc+IF(SUMSQ('TS-PILE'!$E$72:$E$91)=0,0,'TO HOP NLAN'!E68*'TS-PILE'!$E$81/SUMSQ('TS-PILE'!$E$72:$E$91))+IF(SUMSQ('TS-PILE'!$D$72:$D$91)=0,0,'TO HOP NLAN'!F68*'TS-PILE'!$D$81/SUMSQ('TS-PILE'!$D$72:$D$91))),IF('TS-PILE'!$B$82="",1E+99,'TO HOP NLAN'!D68/ncoc+IF(SUMSQ('TS-PILE'!$E$72:$E$91)=0,0,'TO HOP NLAN'!E68*'TS-PILE'!$E$82/SUMSQ('TS-PILE'!$E$72:$E$91))+IF(SUMSQ('TS-PILE'!$D$72:$D$91)=0,0,'TO HOP NLAN'!F68*'TS-PILE'!$D$82/SUMSQ('TS-PILE'!$D$72:$D$91))),IF('TS-PILE'!$B$83="",1E+99,'TO HOP NLAN'!D68/ncoc+IF(SUMSQ('TS-PILE'!$E$72:$E$91)=0,0,'TO HOP NLAN'!E68*'TS-PILE'!$E$83/SUMSQ('TS-PILE'!$E$72:$E$91))+IF(SUMSQ('TS-PILE'!$D$72:$D$91)=0,0,'TO HOP NLAN'!F68*'TS-PILE'!$D$83/SUMSQ('TS-PILE'!$D$72:$D$91))),IF('TS-PILE'!$B$84="",1E+99,'TO HOP NLAN'!D68/ncoc+IF(SUMSQ('TS-PILE'!$E$72:$E$91)=0,0,'TO HOP NLAN'!E68*'TS-PILE'!$E$84/SUMSQ('TS-PILE'!$E$72:$E$91))+IF(SUMSQ('TS-PILE'!$D$72:$D$91)=0,0,'TO HOP NLAN'!F68*'TS-PILE'!$D$84/SUMSQ('TS-PILE'!$D$72:$D$91))),IF('TS-PILE'!$B$85="",1E+99,'TO HOP NLAN'!D68/ncoc+IF(SUMSQ('TS-PILE'!$E$72:$E$91)=0,0,'TO HOP NLAN'!E68*'TS-PILE'!$E$85/SUMSQ('TS-PILE'!$E$72:$E$91))+IF(SUMSQ('TS-PILE'!$D$72:$D$91)=0,0,'TO HOP NLAN'!F68*'TS-PILE'!$D$85/SUMSQ('TS-PILE'!$D$72:$D$91))),IF('TS-PILE'!$B$86="",1E+99,'TO HOP NLAN'!D68/ncoc+IF(SUMSQ('TS-PILE'!$E$72:$E$91)=0,0,'TO HOP NLAN'!E68*'TS-PILE'!$E$86/SUMSQ('TS-PILE'!$E$72:$E$91))+IF(SUMSQ('TS-PILE'!$D$72:$D$91)=0,0,'TO HOP NLAN'!F68*'TS-PILE'!$D$86/SUMSQ('TS-PILE'!$D$72:$D$91))),IF('TS-PILE'!$B$87="",1E+99,'TO HOP NLAN'!D68/ncoc+IF(SUMSQ('TS-PILE'!$E$72:$E$91)=0,0,'TO HOP NLAN'!E68*'TS-PILE'!$E$87/SUMSQ('TS-PILE'!$E$72:$E$91))+IF(SUMSQ('TS-PILE'!$D$72:$D$91)=0,0,'TO HOP NLAN'!F68*'TS-PILE'!$D$87/SUMSQ('TS-PILE'!$D$72:$D$91))),IF('TS-PILE'!$B$88="",1E+99,'TO HOP NLAN'!D68/ncoc+IF(SUMSQ('TS-PILE'!$E$72:$E$91)=0,0,'TO HOP NLAN'!E68*'TS-PILE'!$E$88/SUMSQ('TS-PILE'!$E$72:$E$91))+IF(SUMSQ('TS-PILE'!$D$72:$D$91)=0,0,'TO HOP NLAN'!F68*'TS-PILE'!$D$88/SUMSQ('TS-PILE'!$D$72:$D$91))),IF('TS-PILE'!$B$89="",1E+99,'TO HOP NLAN'!D68/ncoc+IF(SUMSQ('TS-PILE'!$E$72:$E$91)=0,0,'TO HOP NLAN'!E68*'TS-PILE'!$E$89/SUMSQ('TS-PILE'!$E$72:$E$91))+IF(SUMSQ('TS-PILE'!$D$72:$D$91)=0,0,'TO HOP NLAN'!F68*'TS-PILE'!$D$89/SUMSQ('TS-PILE'!$D$72:$D$91))),IF('TS-PILE'!$B$90="",1E+99,'TO HOP NLAN'!D68/ncoc+IF(SUMSQ('TS-PILE'!$E$72:$E$91)=0,0,'TO HOP NLAN'!E68*'TS-PILE'!$E$90/SUMSQ('TS-PILE'!$E$72:$E$91))+IF(SUMSQ('TS-PILE'!$D$72:$D$91)=0,0,'TO HOP NLAN'!F68*'TS-PILE'!$D$90/SUMSQ('TS-PILE'!$D$72:$D$91))),IF('TS-PILE'!$B$91="",1E+99,'TO HOP NLAN'!D68/ncoc+IF(SUMSQ('TS-PILE'!$E$72:$E$91)=0,0,'TO HOP NLAN'!E68*'TS-PILE'!$E$91/SUMSQ('TS-PILE'!$E$72:$E$91))+IF(SUMSQ('TS-PILE'!$D$72:$D$91)=0,0,'TO HOP NLAN'!F68*'TS-PILE'!$D$91/SUMSQ('TS-PILE'!$D$72:$D$91)))))</f>
        <v>0</v>
      </c>
      <c r="E68" s="58">
        <f t="shared" si="0"/>
        <v>-9.9999999999999997E+98</v>
      </c>
      <c r="F68" s="58">
        <f t="shared" si="1"/>
        <v>9.9999999999999997E+98</v>
      </c>
      <c r="G68" s="58">
        <f t="shared" si="2"/>
        <v>-9.9999999999999997E+98</v>
      </c>
      <c r="H68" s="58">
        <f t="shared" si="3"/>
        <v>9.9999999999999997E+98</v>
      </c>
    </row>
    <row r="69" spans="1:8" x14ac:dyDescent="0.3">
      <c r="A69" s="42" t="str">
        <f>'TO HOP NLAN'!A69</f>
        <v/>
      </c>
      <c r="B69" s="42" t="str">
        <f>'TO HOP NLAN'!L69</f>
        <v>SERVICE</v>
      </c>
      <c r="C69" s="58">
        <f>IF(A69="",0,MAX(IF('TS-PILE'!$B$72="",-1E+99,'TO HOP NLAN'!D69/ncoc+IF(SUMSQ('TS-PILE'!$E$72:$E$91)=0,0,'TO HOP NLAN'!E69*'TS-PILE'!$E$72/SUMSQ('TS-PILE'!$E$72:$E$91))+IF(SUMSQ('TS-PILE'!$D$72:$D$91)=0,0,'TO HOP NLAN'!F69*'TS-PILE'!$D$72/SUMSQ('TS-PILE'!$D$72:$D$91))),IF('TS-PILE'!$B$73="",-1E+99,'TO HOP NLAN'!D69/ncoc+IF(SUMSQ('TS-PILE'!$E$72:$E$91)=0,0,'TO HOP NLAN'!E69*'TS-PILE'!$E$73/SUMSQ('TS-PILE'!$E$72:$E$91))+IF(SUMSQ('TS-PILE'!$D$72:$D$91)=0,0,'TO HOP NLAN'!F69*'TS-PILE'!$D$73/SUMSQ('TS-PILE'!$D$72:$D$91))),IF('TS-PILE'!$B$74="",-1E+99,'TO HOP NLAN'!D69/ncoc+IF(SUMSQ('TS-PILE'!$E$72:$E$91)=0,0,'TO HOP NLAN'!E69*'TS-PILE'!$E$74/SUMSQ('TS-PILE'!$E$72:$E$91))+IF(SUMSQ('TS-PILE'!$D$72:$D$91)=0,0,'TO HOP NLAN'!F69*'TS-PILE'!$D$74/SUMSQ('TS-PILE'!$D$72:$D$91))),IF('TS-PILE'!$B$75="",-1E+99,'TO HOP NLAN'!D69/ncoc+IF(SUMSQ('TS-PILE'!$E$72:$E$91)=0,0,'TO HOP NLAN'!E69*'TS-PILE'!$E$75/SUMSQ('TS-PILE'!$E$72:$E$91))+IF(SUMSQ('TS-PILE'!$D$72:$D$91)=0,0,'TO HOP NLAN'!F69*'TS-PILE'!$D$75/SUMSQ('TS-PILE'!$D$72:$D$91))),IF('TS-PILE'!$B$76="",-1E+99,'TO HOP NLAN'!D69/ncoc+IF(SUMSQ('TS-PILE'!$E$72:$E$91)=0,0,'TO HOP NLAN'!E69*'TS-PILE'!$E$76/SUMSQ('TS-PILE'!$E$72:$E$91))+IF(SUMSQ('TS-PILE'!$D$72:$D$91)=0,0,'TO HOP NLAN'!F69*'TS-PILE'!$D$76/SUMSQ('TS-PILE'!$D$72:$D$91))),IF('TS-PILE'!$B$77="",-1E+99,'TO HOP NLAN'!D69/ncoc+IF(SUMSQ('TS-PILE'!$E$72:$E$91)=0,0,'TO HOP NLAN'!E69*'TS-PILE'!$E$77/SUMSQ('TS-PILE'!$E$72:$E$91))+IF(SUMSQ('TS-PILE'!$D$72:$D$91)=0,0,'TO HOP NLAN'!F69*'TS-PILE'!$D$77/SUMSQ('TS-PILE'!$D$72:$D$91))),IF('TS-PILE'!$B$78="",-1E+99,'TO HOP NLAN'!D69/ncoc+IF(SUMSQ('TS-PILE'!$E$72:$E$91)=0,0,'TO HOP NLAN'!E69*'TS-PILE'!$E$78/SUMSQ('TS-PILE'!$E$72:$E$91))+IF(SUMSQ('TS-PILE'!$D$72:$D$91)=0,0,'TO HOP NLAN'!F69*'TS-PILE'!$D$78/SUMSQ('TS-PILE'!$D$72:$D$91))),IF('TS-PILE'!$B$79="",-1E+99,'TO HOP NLAN'!D69/ncoc+IF(SUMSQ('TS-PILE'!$E$72:$E$91)=0,0,'TO HOP NLAN'!E69*'TS-PILE'!$E$79/SUMSQ('TS-PILE'!$E$72:$E$91))+IF(SUMSQ('TS-PILE'!$D$72:$D$91)=0,0,'TO HOP NLAN'!F69*'TS-PILE'!$D$79/SUMSQ('TS-PILE'!$D$72:$D$91))),IF('TS-PILE'!$B$80="",-1E+99,'TO HOP NLAN'!D69/ncoc+IF(SUMSQ('TS-PILE'!$E$72:$E$91)=0,0,'TO HOP NLAN'!E69*'TS-PILE'!$E$80/SUMSQ('TS-PILE'!$E$72:$E$91))+IF(SUMSQ('TS-PILE'!$D$72:$D$91)=0,0,'TO HOP NLAN'!F69*'TS-PILE'!$D$80/SUMSQ('TS-PILE'!$D$72:$D$91))),IF('TS-PILE'!$B$81="",-1E+99,'TO HOP NLAN'!D69/ncoc+IF(SUMSQ('TS-PILE'!$E$72:$E$91)=0,0,'TO HOP NLAN'!E69*'TS-PILE'!$E$81/SUMSQ('TS-PILE'!$E$72:$E$91))+IF(SUMSQ('TS-PILE'!$D$72:$D$91)=0,0,'TO HOP NLAN'!F69*'TS-PILE'!$D$81/SUMSQ('TS-PILE'!$D$72:$D$91))),IF('TS-PILE'!$B$82="",-1E+99,'TO HOP NLAN'!D69/ncoc+IF(SUMSQ('TS-PILE'!$E$72:$E$91)=0,0,'TO HOP NLAN'!E69*'TS-PILE'!$E$82/SUMSQ('TS-PILE'!$E$72:$E$91))+IF(SUMSQ('TS-PILE'!$D$72:$D$91)=0,0,'TO HOP NLAN'!F69*'TS-PILE'!$D$82/SUMSQ('TS-PILE'!$D$72:$D$91))),IF('TS-PILE'!$B$83="",-1E+99,'TO HOP NLAN'!D69/ncoc+IF(SUMSQ('TS-PILE'!$E$72:$E$91)=0,0,'TO HOP NLAN'!E69*'TS-PILE'!$E$83/SUMSQ('TS-PILE'!$E$72:$E$91))+IF(SUMSQ('TS-PILE'!$D$72:$D$91)=0,0,'TO HOP NLAN'!F69*'TS-PILE'!$D$83/SUMSQ('TS-PILE'!$D$72:$D$91))),IF('TS-PILE'!$B$84="",-1E+99,'TO HOP NLAN'!D69/ncoc+IF(SUMSQ('TS-PILE'!$E$72:$E$91)=0,0,'TO HOP NLAN'!E69*'TS-PILE'!$E$84/SUMSQ('TS-PILE'!$E$72:$E$91))+IF(SUMSQ('TS-PILE'!$D$72:$D$91)=0,0,'TO HOP NLAN'!F69*'TS-PILE'!$D$84/SUMSQ('TS-PILE'!$D$72:$D$91))),IF('TS-PILE'!$B$85="",-1E+99,'TO HOP NLAN'!D69/ncoc+IF(SUMSQ('TS-PILE'!$E$72:$E$91)=0,0,'TO HOP NLAN'!E69*'TS-PILE'!$E$85/SUMSQ('TS-PILE'!$E$72:$E$91))+IF(SUMSQ('TS-PILE'!$D$72:$D$91)=0,0,'TO HOP NLAN'!F69*'TS-PILE'!$D$85/SUMSQ('TS-PILE'!$D$72:$D$91))),IF('TS-PILE'!$B$86="",-1E+99,'TO HOP NLAN'!D69/ncoc+IF(SUMSQ('TS-PILE'!$E$72:$E$91)=0,0,'TO HOP NLAN'!E69*'TS-PILE'!$E$86/SUMSQ('TS-PILE'!$E$72:$E$91))+IF(SUMSQ('TS-PILE'!$D$72:$D$91)=0,0,'TO HOP NLAN'!F69*'TS-PILE'!$D$86/SUMSQ('TS-PILE'!$D$72:$D$91))),IF('TS-PILE'!$B$87="",-1E+99,'TO HOP NLAN'!D69/ncoc+IF(SUMSQ('TS-PILE'!$E$72:$E$91)=0,0,'TO HOP NLAN'!E69*'TS-PILE'!$E$87/SUMSQ('TS-PILE'!$E$72:$E$91))+IF(SUMSQ('TS-PILE'!$D$72:$D$91)=0,0,'TO HOP NLAN'!F69*'TS-PILE'!$D$87/SUMSQ('TS-PILE'!$D$72:$D$91))),IF('TS-PILE'!$B$88="",-1E+99,'TO HOP NLAN'!D69/ncoc+IF(SUMSQ('TS-PILE'!$E$72:$E$91)=0,0,'TO HOP NLAN'!E69*'TS-PILE'!$E$88/SUMSQ('TS-PILE'!$E$72:$E$91))+IF(SUMSQ('TS-PILE'!$D$72:$D$91)=0,0,'TO HOP NLAN'!F69*'TS-PILE'!$D$88/SUMSQ('TS-PILE'!$D$72:$D$91))),IF('TS-PILE'!$B$89="",-1E+99,'TO HOP NLAN'!D69/ncoc+IF(SUMSQ('TS-PILE'!$E$72:$E$91)=0,0,'TO HOP NLAN'!E69*'TS-PILE'!$E$89/SUMSQ('TS-PILE'!$E$72:$E$91))+IF(SUMSQ('TS-PILE'!$D$72:$D$91)=0,0,'TO HOP NLAN'!F69*'TS-PILE'!$D$89/SUMSQ('TS-PILE'!$D$72:$D$91))),IF('TS-PILE'!$B$90="",-1E+99,'TO HOP NLAN'!D69/ncoc+IF(SUMSQ('TS-PILE'!$E$72:$E$91)=0,0,'TO HOP NLAN'!E69*'TS-PILE'!$E$90/SUMSQ('TS-PILE'!$E$72:$E$91))+IF(SUMSQ('TS-PILE'!$D$72:$D$91)=0,0,'TO HOP NLAN'!F69*'TS-PILE'!$D$90/SUMSQ('TS-PILE'!$D$72:$D$91))),IF('TS-PILE'!$B$91="",-1E+99,'TO HOP NLAN'!D69/ncoc+IF(SUMSQ('TS-PILE'!$E$72:$E$91)=0,0,'TO HOP NLAN'!E69*'TS-PILE'!$E$91/SUMSQ('TS-PILE'!$E$72:$E$91))+IF(SUMSQ('TS-PILE'!$D$72:$D$91)=0,0,'TO HOP NLAN'!F69*'TS-PILE'!$D$91/SUMSQ('TS-PILE'!$D$72:$D$91)))))</f>
        <v>0</v>
      </c>
      <c r="D69" s="58">
        <f>IF(A69="",0,MIN(IF('TS-PILE'!$B$72="",1E+99,'TO HOP NLAN'!D69/ncoc+IF(SUMSQ('TS-PILE'!$E$72:$E$91)=0,0,'TO HOP NLAN'!E69*'TS-PILE'!$E$72/SUMSQ('TS-PILE'!$E$72:$E$91))+IF(SUMSQ('TS-PILE'!$D$72:$D$91)=0,0,'TO HOP NLAN'!F69*'TS-PILE'!$D$72/SUMSQ('TS-PILE'!$D$72:$D$91))),IF('TS-PILE'!$B$73="",1E+99,'TO HOP NLAN'!D69/ncoc+IF(SUMSQ('TS-PILE'!$E$72:$E$91)=0,0,'TO HOP NLAN'!E69*'TS-PILE'!$E$73/SUMSQ('TS-PILE'!$E$72:$E$91))+IF(SUMSQ('TS-PILE'!$D$72:$D$91)=0,0,'TO HOP NLAN'!F69*'TS-PILE'!$D$73/SUMSQ('TS-PILE'!$D$72:$D$91))),IF('TS-PILE'!$B$74="",1E+99,'TO HOP NLAN'!D69/ncoc+IF(SUMSQ('TS-PILE'!$E$72:$E$91)=0,0,'TO HOP NLAN'!E69*'TS-PILE'!$E$74/SUMSQ('TS-PILE'!$E$72:$E$91))+IF(SUMSQ('TS-PILE'!$D$72:$D$91)=0,0,'TO HOP NLAN'!F69*'TS-PILE'!$D$74/SUMSQ('TS-PILE'!$D$72:$D$91))),IF('TS-PILE'!$B$75="",1E+99,'TO HOP NLAN'!D69/ncoc+IF(SUMSQ('TS-PILE'!$E$72:$E$91)=0,0,'TO HOP NLAN'!E69*'TS-PILE'!$E$75/SUMSQ('TS-PILE'!$E$72:$E$91))+IF(SUMSQ('TS-PILE'!$D$72:$D$91)=0,0,'TO HOP NLAN'!F69*'TS-PILE'!$D$75/SUMSQ('TS-PILE'!$D$72:$D$91))),IF('TS-PILE'!$B$76="",1E+99,'TO HOP NLAN'!D69/ncoc+IF(SUMSQ('TS-PILE'!$E$72:$E$91)=0,0,'TO HOP NLAN'!E69*'TS-PILE'!$E$76/SUMSQ('TS-PILE'!$E$72:$E$91))+IF(SUMSQ('TS-PILE'!$D$72:$D$91)=0,0,'TO HOP NLAN'!F69*'TS-PILE'!$D$76/SUMSQ('TS-PILE'!$D$72:$D$91))),IF('TS-PILE'!$B$77="",1E+99,'TO HOP NLAN'!D69/ncoc+IF(SUMSQ('TS-PILE'!$E$72:$E$91)=0,0,'TO HOP NLAN'!E69*'TS-PILE'!$E$77/SUMSQ('TS-PILE'!$E$72:$E$91))+IF(SUMSQ('TS-PILE'!$D$72:$D$91)=0,0,'TO HOP NLAN'!F69*'TS-PILE'!$D$77/SUMSQ('TS-PILE'!$D$72:$D$91))),IF('TS-PILE'!$B$78="",1E+99,'TO HOP NLAN'!D69/ncoc+IF(SUMSQ('TS-PILE'!$E$72:$E$91)=0,0,'TO HOP NLAN'!E69*'TS-PILE'!$E$78/SUMSQ('TS-PILE'!$E$72:$E$91))+IF(SUMSQ('TS-PILE'!$D$72:$D$91)=0,0,'TO HOP NLAN'!F69*'TS-PILE'!$D$78/SUMSQ('TS-PILE'!$D$72:$D$91))),IF('TS-PILE'!$B$79="",1E+99,'TO HOP NLAN'!D69/ncoc+IF(SUMSQ('TS-PILE'!$E$72:$E$91)=0,0,'TO HOP NLAN'!E69*'TS-PILE'!$E$79/SUMSQ('TS-PILE'!$E$72:$E$91))+IF(SUMSQ('TS-PILE'!$D$72:$D$91)=0,0,'TO HOP NLAN'!F69*'TS-PILE'!$D$79/SUMSQ('TS-PILE'!$D$72:$D$91))),IF('TS-PILE'!$B$80="",1E+99,'TO HOP NLAN'!D69/ncoc+IF(SUMSQ('TS-PILE'!$E$72:$E$91)=0,0,'TO HOP NLAN'!E69*'TS-PILE'!$E$80/SUMSQ('TS-PILE'!$E$72:$E$91))+IF(SUMSQ('TS-PILE'!$D$72:$D$91)=0,0,'TO HOP NLAN'!F69*'TS-PILE'!$D$80/SUMSQ('TS-PILE'!$D$72:$D$91))),IF('TS-PILE'!$B$81="",1E+99,'TO HOP NLAN'!D69/ncoc+IF(SUMSQ('TS-PILE'!$E$72:$E$91)=0,0,'TO HOP NLAN'!E69*'TS-PILE'!$E$81/SUMSQ('TS-PILE'!$E$72:$E$91))+IF(SUMSQ('TS-PILE'!$D$72:$D$91)=0,0,'TO HOP NLAN'!F69*'TS-PILE'!$D$81/SUMSQ('TS-PILE'!$D$72:$D$91))),IF('TS-PILE'!$B$82="",1E+99,'TO HOP NLAN'!D69/ncoc+IF(SUMSQ('TS-PILE'!$E$72:$E$91)=0,0,'TO HOP NLAN'!E69*'TS-PILE'!$E$82/SUMSQ('TS-PILE'!$E$72:$E$91))+IF(SUMSQ('TS-PILE'!$D$72:$D$91)=0,0,'TO HOP NLAN'!F69*'TS-PILE'!$D$82/SUMSQ('TS-PILE'!$D$72:$D$91))),IF('TS-PILE'!$B$83="",1E+99,'TO HOP NLAN'!D69/ncoc+IF(SUMSQ('TS-PILE'!$E$72:$E$91)=0,0,'TO HOP NLAN'!E69*'TS-PILE'!$E$83/SUMSQ('TS-PILE'!$E$72:$E$91))+IF(SUMSQ('TS-PILE'!$D$72:$D$91)=0,0,'TO HOP NLAN'!F69*'TS-PILE'!$D$83/SUMSQ('TS-PILE'!$D$72:$D$91))),IF('TS-PILE'!$B$84="",1E+99,'TO HOP NLAN'!D69/ncoc+IF(SUMSQ('TS-PILE'!$E$72:$E$91)=0,0,'TO HOP NLAN'!E69*'TS-PILE'!$E$84/SUMSQ('TS-PILE'!$E$72:$E$91))+IF(SUMSQ('TS-PILE'!$D$72:$D$91)=0,0,'TO HOP NLAN'!F69*'TS-PILE'!$D$84/SUMSQ('TS-PILE'!$D$72:$D$91))),IF('TS-PILE'!$B$85="",1E+99,'TO HOP NLAN'!D69/ncoc+IF(SUMSQ('TS-PILE'!$E$72:$E$91)=0,0,'TO HOP NLAN'!E69*'TS-PILE'!$E$85/SUMSQ('TS-PILE'!$E$72:$E$91))+IF(SUMSQ('TS-PILE'!$D$72:$D$91)=0,0,'TO HOP NLAN'!F69*'TS-PILE'!$D$85/SUMSQ('TS-PILE'!$D$72:$D$91))),IF('TS-PILE'!$B$86="",1E+99,'TO HOP NLAN'!D69/ncoc+IF(SUMSQ('TS-PILE'!$E$72:$E$91)=0,0,'TO HOP NLAN'!E69*'TS-PILE'!$E$86/SUMSQ('TS-PILE'!$E$72:$E$91))+IF(SUMSQ('TS-PILE'!$D$72:$D$91)=0,0,'TO HOP NLAN'!F69*'TS-PILE'!$D$86/SUMSQ('TS-PILE'!$D$72:$D$91))),IF('TS-PILE'!$B$87="",1E+99,'TO HOP NLAN'!D69/ncoc+IF(SUMSQ('TS-PILE'!$E$72:$E$91)=0,0,'TO HOP NLAN'!E69*'TS-PILE'!$E$87/SUMSQ('TS-PILE'!$E$72:$E$91))+IF(SUMSQ('TS-PILE'!$D$72:$D$91)=0,0,'TO HOP NLAN'!F69*'TS-PILE'!$D$87/SUMSQ('TS-PILE'!$D$72:$D$91))),IF('TS-PILE'!$B$88="",1E+99,'TO HOP NLAN'!D69/ncoc+IF(SUMSQ('TS-PILE'!$E$72:$E$91)=0,0,'TO HOP NLAN'!E69*'TS-PILE'!$E$88/SUMSQ('TS-PILE'!$E$72:$E$91))+IF(SUMSQ('TS-PILE'!$D$72:$D$91)=0,0,'TO HOP NLAN'!F69*'TS-PILE'!$D$88/SUMSQ('TS-PILE'!$D$72:$D$91))),IF('TS-PILE'!$B$89="",1E+99,'TO HOP NLAN'!D69/ncoc+IF(SUMSQ('TS-PILE'!$E$72:$E$91)=0,0,'TO HOP NLAN'!E69*'TS-PILE'!$E$89/SUMSQ('TS-PILE'!$E$72:$E$91))+IF(SUMSQ('TS-PILE'!$D$72:$D$91)=0,0,'TO HOP NLAN'!F69*'TS-PILE'!$D$89/SUMSQ('TS-PILE'!$D$72:$D$91))),IF('TS-PILE'!$B$90="",1E+99,'TO HOP NLAN'!D69/ncoc+IF(SUMSQ('TS-PILE'!$E$72:$E$91)=0,0,'TO HOP NLAN'!E69*'TS-PILE'!$E$90/SUMSQ('TS-PILE'!$E$72:$E$91))+IF(SUMSQ('TS-PILE'!$D$72:$D$91)=0,0,'TO HOP NLAN'!F69*'TS-PILE'!$D$90/SUMSQ('TS-PILE'!$D$72:$D$91))),IF('TS-PILE'!$B$91="",1E+99,'TO HOP NLAN'!D69/ncoc+IF(SUMSQ('TS-PILE'!$E$72:$E$91)=0,0,'TO HOP NLAN'!E69*'TS-PILE'!$E$91/SUMSQ('TS-PILE'!$E$72:$E$91))+IF(SUMSQ('TS-PILE'!$D$72:$D$91)=0,0,'TO HOP NLAN'!F69*'TS-PILE'!$D$91/SUMSQ('TS-PILE'!$D$72:$D$91)))))</f>
        <v>0</v>
      </c>
      <c r="E69" s="58">
        <f t="shared" si="0"/>
        <v>-9.9999999999999997E+98</v>
      </c>
      <c r="F69" s="58">
        <f t="shared" si="1"/>
        <v>9.9999999999999997E+98</v>
      </c>
      <c r="G69" s="58">
        <f t="shared" si="2"/>
        <v>-9.9999999999999997E+98</v>
      </c>
      <c r="H69" s="58">
        <f t="shared" si="3"/>
        <v>9.9999999999999997E+98</v>
      </c>
    </row>
    <row r="70" spans="1:8" x14ac:dyDescent="0.3">
      <c r="A70" s="42" t="str">
        <f>'TO HOP NLAN'!A70</f>
        <v/>
      </c>
      <c r="B70" s="42" t="str">
        <f>'TO HOP NLAN'!L70</f>
        <v>SERVICE</v>
      </c>
      <c r="C70" s="58">
        <f>IF(A70="",0,MAX(IF('TS-PILE'!$B$72="",-1E+99,'TO HOP NLAN'!D70/ncoc+IF(SUMSQ('TS-PILE'!$E$72:$E$91)=0,0,'TO HOP NLAN'!E70*'TS-PILE'!$E$72/SUMSQ('TS-PILE'!$E$72:$E$91))+IF(SUMSQ('TS-PILE'!$D$72:$D$91)=0,0,'TO HOP NLAN'!F70*'TS-PILE'!$D$72/SUMSQ('TS-PILE'!$D$72:$D$91))),IF('TS-PILE'!$B$73="",-1E+99,'TO HOP NLAN'!D70/ncoc+IF(SUMSQ('TS-PILE'!$E$72:$E$91)=0,0,'TO HOP NLAN'!E70*'TS-PILE'!$E$73/SUMSQ('TS-PILE'!$E$72:$E$91))+IF(SUMSQ('TS-PILE'!$D$72:$D$91)=0,0,'TO HOP NLAN'!F70*'TS-PILE'!$D$73/SUMSQ('TS-PILE'!$D$72:$D$91))),IF('TS-PILE'!$B$74="",-1E+99,'TO HOP NLAN'!D70/ncoc+IF(SUMSQ('TS-PILE'!$E$72:$E$91)=0,0,'TO HOP NLAN'!E70*'TS-PILE'!$E$74/SUMSQ('TS-PILE'!$E$72:$E$91))+IF(SUMSQ('TS-PILE'!$D$72:$D$91)=0,0,'TO HOP NLAN'!F70*'TS-PILE'!$D$74/SUMSQ('TS-PILE'!$D$72:$D$91))),IF('TS-PILE'!$B$75="",-1E+99,'TO HOP NLAN'!D70/ncoc+IF(SUMSQ('TS-PILE'!$E$72:$E$91)=0,0,'TO HOP NLAN'!E70*'TS-PILE'!$E$75/SUMSQ('TS-PILE'!$E$72:$E$91))+IF(SUMSQ('TS-PILE'!$D$72:$D$91)=0,0,'TO HOP NLAN'!F70*'TS-PILE'!$D$75/SUMSQ('TS-PILE'!$D$72:$D$91))),IF('TS-PILE'!$B$76="",-1E+99,'TO HOP NLAN'!D70/ncoc+IF(SUMSQ('TS-PILE'!$E$72:$E$91)=0,0,'TO HOP NLAN'!E70*'TS-PILE'!$E$76/SUMSQ('TS-PILE'!$E$72:$E$91))+IF(SUMSQ('TS-PILE'!$D$72:$D$91)=0,0,'TO HOP NLAN'!F70*'TS-PILE'!$D$76/SUMSQ('TS-PILE'!$D$72:$D$91))),IF('TS-PILE'!$B$77="",-1E+99,'TO HOP NLAN'!D70/ncoc+IF(SUMSQ('TS-PILE'!$E$72:$E$91)=0,0,'TO HOP NLAN'!E70*'TS-PILE'!$E$77/SUMSQ('TS-PILE'!$E$72:$E$91))+IF(SUMSQ('TS-PILE'!$D$72:$D$91)=0,0,'TO HOP NLAN'!F70*'TS-PILE'!$D$77/SUMSQ('TS-PILE'!$D$72:$D$91))),IF('TS-PILE'!$B$78="",-1E+99,'TO HOP NLAN'!D70/ncoc+IF(SUMSQ('TS-PILE'!$E$72:$E$91)=0,0,'TO HOP NLAN'!E70*'TS-PILE'!$E$78/SUMSQ('TS-PILE'!$E$72:$E$91))+IF(SUMSQ('TS-PILE'!$D$72:$D$91)=0,0,'TO HOP NLAN'!F70*'TS-PILE'!$D$78/SUMSQ('TS-PILE'!$D$72:$D$91))),IF('TS-PILE'!$B$79="",-1E+99,'TO HOP NLAN'!D70/ncoc+IF(SUMSQ('TS-PILE'!$E$72:$E$91)=0,0,'TO HOP NLAN'!E70*'TS-PILE'!$E$79/SUMSQ('TS-PILE'!$E$72:$E$91))+IF(SUMSQ('TS-PILE'!$D$72:$D$91)=0,0,'TO HOP NLAN'!F70*'TS-PILE'!$D$79/SUMSQ('TS-PILE'!$D$72:$D$91))),IF('TS-PILE'!$B$80="",-1E+99,'TO HOP NLAN'!D70/ncoc+IF(SUMSQ('TS-PILE'!$E$72:$E$91)=0,0,'TO HOP NLAN'!E70*'TS-PILE'!$E$80/SUMSQ('TS-PILE'!$E$72:$E$91))+IF(SUMSQ('TS-PILE'!$D$72:$D$91)=0,0,'TO HOP NLAN'!F70*'TS-PILE'!$D$80/SUMSQ('TS-PILE'!$D$72:$D$91))),IF('TS-PILE'!$B$81="",-1E+99,'TO HOP NLAN'!D70/ncoc+IF(SUMSQ('TS-PILE'!$E$72:$E$91)=0,0,'TO HOP NLAN'!E70*'TS-PILE'!$E$81/SUMSQ('TS-PILE'!$E$72:$E$91))+IF(SUMSQ('TS-PILE'!$D$72:$D$91)=0,0,'TO HOP NLAN'!F70*'TS-PILE'!$D$81/SUMSQ('TS-PILE'!$D$72:$D$91))),IF('TS-PILE'!$B$82="",-1E+99,'TO HOP NLAN'!D70/ncoc+IF(SUMSQ('TS-PILE'!$E$72:$E$91)=0,0,'TO HOP NLAN'!E70*'TS-PILE'!$E$82/SUMSQ('TS-PILE'!$E$72:$E$91))+IF(SUMSQ('TS-PILE'!$D$72:$D$91)=0,0,'TO HOP NLAN'!F70*'TS-PILE'!$D$82/SUMSQ('TS-PILE'!$D$72:$D$91))),IF('TS-PILE'!$B$83="",-1E+99,'TO HOP NLAN'!D70/ncoc+IF(SUMSQ('TS-PILE'!$E$72:$E$91)=0,0,'TO HOP NLAN'!E70*'TS-PILE'!$E$83/SUMSQ('TS-PILE'!$E$72:$E$91))+IF(SUMSQ('TS-PILE'!$D$72:$D$91)=0,0,'TO HOP NLAN'!F70*'TS-PILE'!$D$83/SUMSQ('TS-PILE'!$D$72:$D$91))),IF('TS-PILE'!$B$84="",-1E+99,'TO HOP NLAN'!D70/ncoc+IF(SUMSQ('TS-PILE'!$E$72:$E$91)=0,0,'TO HOP NLAN'!E70*'TS-PILE'!$E$84/SUMSQ('TS-PILE'!$E$72:$E$91))+IF(SUMSQ('TS-PILE'!$D$72:$D$91)=0,0,'TO HOP NLAN'!F70*'TS-PILE'!$D$84/SUMSQ('TS-PILE'!$D$72:$D$91))),IF('TS-PILE'!$B$85="",-1E+99,'TO HOP NLAN'!D70/ncoc+IF(SUMSQ('TS-PILE'!$E$72:$E$91)=0,0,'TO HOP NLAN'!E70*'TS-PILE'!$E$85/SUMSQ('TS-PILE'!$E$72:$E$91))+IF(SUMSQ('TS-PILE'!$D$72:$D$91)=0,0,'TO HOP NLAN'!F70*'TS-PILE'!$D$85/SUMSQ('TS-PILE'!$D$72:$D$91))),IF('TS-PILE'!$B$86="",-1E+99,'TO HOP NLAN'!D70/ncoc+IF(SUMSQ('TS-PILE'!$E$72:$E$91)=0,0,'TO HOP NLAN'!E70*'TS-PILE'!$E$86/SUMSQ('TS-PILE'!$E$72:$E$91))+IF(SUMSQ('TS-PILE'!$D$72:$D$91)=0,0,'TO HOP NLAN'!F70*'TS-PILE'!$D$86/SUMSQ('TS-PILE'!$D$72:$D$91))),IF('TS-PILE'!$B$87="",-1E+99,'TO HOP NLAN'!D70/ncoc+IF(SUMSQ('TS-PILE'!$E$72:$E$91)=0,0,'TO HOP NLAN'!E70*'TS-PILE'!$E$87/SUMSQ('TS-PILE'!$E$72:$E$91))+IF(SUMSQ('TS-PILE'!$D$72:$D$91)=0,0,'TO HOP NLAN'!F70*'TS-PILE'!$D$87/SUMSQ('TS-PILE'!$D$72:$D$91))),IF('TS-PILE'!$B$88="",-1E+99,'TO HOP NLAN'!D70/ncoc+IF(SUMSQ('TS-PILE'!$E$72:$E$91)=0,0,'TO HOP NLAN'!E70*'TS-PILE'!$E$88/SUMSQ('TS-PILE'!$E$72:$E$91))+IF(SUMSQ('TS-PILE'!$D$72:$D$91)=0,0,'TO HOP NLAN'!F70*'TS-PILE'!$D$88/SUMSQ('TS-PILE'!$D$72:$D$91))),IF('TS-PILE'!$B$89="",-1E+99,'TO HOP NLAN'!D70/ncoc+IF(SUMSQ('TS-PILE'!$E$72:$E$91)=0,0,'TO HOP NLAN'!E70*'TS-PILE'!$E$89/SUMSQ('TS-PILE'!$E$72:$E$91))+IF(SUMSQ('TS-PILE'!$D$72:$D$91)=0,0,'TO HOP NLAN'!F70*'TS-PILE'!$D$89/SUMSQ('TS-PILE'!$D$72:$D$91))),IF('TS-PILE'!$B$90="",-1E+99,'TO HOP NLAN'!D70/ncoc+IF(SUMSQ('TS-PILE'!$E$72:$E$91)=0,0,'TO HOP NLAN'!E70*'TS-PILE'!$E$90/SUMSQ('TS-PILE'!$E$72:$E$91))+IF(SUMSQ('TS-PILE'!$D$72:$D$91)=0,0,'TO HOP NLAN'!F70*'TS-PILE'!$D$90/SUMSQ('TS-PILE'!$D$72:$D$91))),IF('TS-PILE'!$B$91="",-1E+99,'TO HOP NLAN'!D70/ncoc+IF(SUMSQ('TS-PILE'!$E$72:$E$91)=0,0,'TO HOP NLAN'!E70*'TS-PILE'!$E$91/SUMSQ('TS-PILE'!$E$72:$E$91))+IF(SUMSQ('TS-PILE'!$D$72:$D$91)=0,0,'TO HOP NLAN'!F70*'TS-PILE'!$D$91/SUMSQ('TS-PILE'!$D$72:$D$91)))))</f>
        <v>0</v>
      </c>
      <c r="D70" s="58">
        <f>IF(A70="",0,MIN(IF('TS-PILE'!$B$72="",1E+99,'TO HOP NLAN'!D70/ncoc+IF(SUMSQ('TS-PILE'!$E$72:$E$91)=0,0,'TO HOP NLAN'!E70*'TS-PILE'!$E$72/SUMSQ('TS-PILE'!$E$72:$E$91))+IF(SUMSQ('TS-PILE'!$D$72:$D$91)=0,0,'TO HOP NLAN'!F70*'TS-PILE'!$D$72/SUMSQ('TS-PILE'!$D$72:$D$91))),IF('TS-PILE'!$B$73="",1E+99,'TO HOP NLAN'!D70/ncoc+IF(SUMSQ('TS-PILE'!$E$72:$E$91)=0,0,'TO HOP NLAN'!E70*'TS-PILE'!$E$73/SUMSQ('TS-PILE'!$E$72:$E$91))+IF(SUMSQ('TS-PILE'!$D$72:$D$91)=0,0,'TO HOP NLAN'!F70*'TS-PILE'!$D$73/SUMSQ('TS-PILE'!$D$72:$D$91))),IF('TS-PILE'!$B$74="",1E+99,'TO HOP NLAN'!D70/ncoc+IF(SUMSQ('TS-PILE'!$E$72:$E$91)=0,0,'TO HOP NLAN'!E70*'TS-PILE'!$E$74/SUMSQ('TS-PILE'!$E$72:$E$91))+IF(SUMSQ('TS-PILE'!$D$72:$D$91)=0,0,'TO HOP NLAN'!F70*'TS-PILE'!$D$74/SUMSQ('TS-PILE'!$D$72:$D$91))),IF('TS-PILE'!$B$75="",1E+99,'TO HOP NLAN'!D70/ncoc+IF(SUMSQ('TS-PILE'!$E$72:$E$91)=0,0,'TO HOP NLAN'!E70*'TS-PILE'!$E$75/SUMSQ('TS-PILE'!$E$72:$E$91))+IF(SUMSQ('TS-PILE'!$D$72:$D$91)=0,0,'TO HOP NLAN'!F70*'TS-PILE'!$D$75/SUMSQ('TS-PILE'!$D$72:$D$91))),IF('TS-PILE'!$B$76="",1E+99,'TO HOP NLAN'!D70/ncoc+IF(SUMSQ('TS-PILE'!$E$72:$E$91)=0,0,'TO HOP NLAN'!E70*'TS-PILE'!$E$76/SUMSQ('TS-PILE'!$E$72:$E$91))+IF(SUMSQ('TS-PILE'!$D$72:$D$91)=0,0,'TO HOP NLAN'!F70*'TS-PILE'!$D$76/SUMSQ('TS-PILE'!$D$72:$D$91))),IF('TS-PILE'!$B$77="",1E+99,'TO HOP NLAN'!D70/ncoc+IF(SUMSQ('TS-PILE'!$E$72:$E$91)=0,0,'TO HOP NLAN'!E70*'TS-PILE'!$E$77/SUMSQ('TS-PILE'!$E$72:$E$91))+IF(SUMSQ('TS-PILE'!$D$72:$D$91)=0,0,'TO HOP NLAN'!F70*'TS-PILE'!$D$77/SUMSQ('TS-PILE'!$D$72:$D$91))),IF('TS-PILE'!$B$78="",1E+99,'TO HOP NLAN'!D70/ncoc+IF(SUMSQ('TS-PILE'!$E$72:$E$91)=0,0,'TO HOP NLAN'!E70*'TS-PILE'!$E$78/SUMSQ('TS-PILE'!$E$72:$E$91))+IF(SUMSQ('TS-PILE'!$D$72:$D$91)=0,0,'TO HOP NLAN'!F70*'TS-PILE'!$D$78/SUMSQ('TS-PILE'!$D$72:$D$91))),IF('TS-PILE'!$B$79="",1E+99,'TO HOP NLAN'!D70/ncoc+IF(SUMSQ('TS-PILE'!$E$72:$E$91)=0,0,'TO HOP NLAN'!E70*'TS-PILE'!$E$79/SUMSQ('TS-PILE'!$E$72:$E$91))+IF(SUMSQ('TS-PILE'!$D$72:$D$91)=0,0,'TO HOP NLAN'!F70*'TS-PILE'!$D$79/SUMSQ('TS-PILE'!$D$72:$D$91))),IF('TS-PILE'!$B$80="",1E+99,'TO HOP NLAN'!D70/ncoc+IF(SUMSQ('TS-PILE'!$E$72:$E$91)=0,0,'TO HOP NLAN'!E70*'TS-PILE'!$E$80/SUMSQ('TS-PILE'!$E$72:$E$91))+IF(SUMSQ('TS-PILE'!$D$72:$D$91)=0,0,'TO HOP NLAN'!F70*'TS-PILE'!$D$80/SUMSQ('TS-PILE'!$D$72:$D$91))),IF('TS-PILE'!$B$81="",1E+99,'TO HOP NLAN'!D70/ncoc+IF(SUMSQ('TS-PILE'!$E$72:$E$91)=0,0,'TO HOP NLAN'!E70*'TS-PILE'!$E$81/SUMSQ('TS-PILE'!$E$72:$E$91))+IF(SUMSQ('TS-PILE'!$D$72:$D$91)=0,0,'TO HOP NLAN'!F70*'TS-PILE'!$D$81/SUMSQ('TS-PILE'!$D$72:$D$91))),IF('TS-PILE'!$B$82="",1E+99,'TO HOP NLAN'!D70/ncoc+IF(SUMSQ('TS-PILE'!$E$72:$E$91)=0,0,'TO HOP NLAN'!E70*'TS-PILE'!$E$82/SUMSQ('TS-PILE'!$E$72:$E$91))+IF(SUMSQ('TS-PILE'!$D$72:$D$91)=0,0,'TO HOP NLAN'!F70*'TS-PILE'!$D$82/SUMSQ('TS-PILE'!$D$72:$D$91))),IF('TS-PILE'!$B$83="",1E+99,'TO HOP NLAN'!D70/ncoc+IF(SUMSQ('TS-PILE'!$E$72:$E$91)=0,0,'TO HOP NLAN'!E70*'TS-PILE'!$E$83/SUMSQ('TS-PILE'!$E$72:$E$91))+IF(SUMSQ('TS-PILE'!$D$72:$D$91)=0,0,'TO HOP NLAN'!F70*'TS-PILE'!$D$83/SUMSQ('TS-PILE'!$D$72:$D$91))),IF('TS-PILE'!$B$84="",1E+99,'TO HOP NLAN'!D70/ncoc+IF(SUMSQ('TS-PILE'!$E$72:$E$91)=0,0,'TO HOP NLAN'!E70*'TS-PILE'!$E$84/SUMSQ('TS-PILE'!$E$72:$E$91))+IF(SUMSQ('TS-PILE'!$D$72:$D$91)=0,0,'TO HOP NLAN'!F70*'TS-PILE'!$D$84/SUMSQ('TS-PILE'!$D$72:$D$91))),IF('TS-PILE'!$B$85="",1E+99,'TO HOP NLAN'!D70/ncoc+IF(SUMSQ('TS-PILE'!$E$72:$E$91)=0,0,'TO HOP NLAN'!E70*'TS-PILE'!$E$85/SUMSQ('TS-PILE'!$E$72:$E$91))+IF(SUMSQ('TS-PILE'!$D$72:$D$91)=0,0,'TO HOP NLAN'!F70*'TS-PILE'!$D$85/SUMSQ('TS-PILE'!$D$72:$D$91))),IF('TS-PILE'!$B$86="",1E+99,'TO HOP NLAN'!D70/ncoc+IF(SUMSQ('TS-PILE'!$E$72:$E$91)=0,0,'TO HOP NLAN'!E70*'TS-PILE'!$E$86/SUMSQ('TS-PILE'!$E$72:$E$91))+IF(SUMSQ('TS-PILE'!$D$72:$D$91)=0,0,'TO HOP NLAN'!F70*'TS-PILE'!$D$86/SUMSQ('TS-PILE'!$D$72:$D$91))),IF('TS-PILE'!$B$87="",1E+99,'TO HOP NLAN'!D70/ncoc+IF(SUMSQ('TS-PILE'!$E$72:$E$91)=0,0,'TO HOP NLAN'!E70*'TS-PILE'!$E$87/SUMSQ('TS-PILE'!$E$72:$E$91))+IF(SUMSQ('TS-PILE'!$D$72:$D$91)=0,0,'TO HOP NLAN'!F70*'TS-PILE'!$D$87/SUMSQ('TS-PILE'!$D$72:$D$91))),IF('TS-PILE'!$B$88="",1E+99,'TO HOP NLAN'!D70/ncoc+IF(SUMSQ('TS-PILE'!$E$72:$E$91)=0,0,'TO HOP NLAN'!E70*'TS-PILE'!$E$88/SUMSQ('TS-PILE'!$E$72:$E$91))+IF(SUMSQ('TS-PILE'!$D$72:$D$91)=0,0,'TO HOP NLAN'!F70*'TS-PILE'!$D$88/SUMSQ('TS-PILE'!$D$72:$D$91))),IF('TS-PILE'!$B$89="",1E+99,'TO HOP NLAN'!D70/ncoc+IF(SUMSQ('TS-PILE'!$E$72:$E$91)=0,0,'TO HOP NLAN'!E70*'TS-PILE'!$E$89/SUMSQ('TS-PILE'!$E$72:$E$91))+IF(SUMSQ('TS-PILE'!$D$72:$D$91)=0,0,'TO HOP NLAN'!F70*'TS-PILE'!$D$89/SUMSQ('TS-PILE'!$D$72:$D$91))),IF('TS-PILE'!$B$90="",1E+99,'TO HOP NLAN'!D70/ncoc+IF(SUMSQ('TS-PILE'!$E$72:$E$91)=0,0,'TO HOP NLAN'!E70*'TS-PILE'!$E$90/SUMSQ('TS-PILE'!$E$72:$E$91))+IF(SUMSQ('TS-PILE'!$D$72:$D$91)=0,0,'TO HOP NLAN'!F70*'TS-PILE'!$D$90/SUMSQ('TS-PILE'!$D$72:$D$91))),IF('TS-PILE'!$B$91="",1E+99,'TO HOP NLAN'!D70/ncoc+IF(SUMSQ('TS-PILE'!$E$72:$E$91)=0,0,'TO HOP NLAN'!E70*'TS-PILE'!$E$91/SUMSQ('TS-PILE'!$E$72:$E$91))+IF(SUMSQ('TS-PILE'!$D$72:$D$91)=0,0,'TO HOP NLAN'!F70*'TS-PILE'!$D$91/SUMSQ('TS-PILE'!$D$72:$D$91)))))</f>
        <v>0</v>
      </c>
      <c r="E70" s="58">
        <f t="shared" ref="E70:E133" si="4">IF(AND(A70&lt;&gt;"",B70="SERVICE"),C70,-1E+99)</f>
        <v>-9.9999999999999997E+98</v>
      </c>
      <c r="F70" s="58">
        <f t="shared" ref="F70:F133" si="5">IF(AND(A70&lt;&gt;"",B70="SERVICE"),D70,1E+99)</f>
        <v>9.9999999999999997E+98</v>
      </c>
      <c r="G70" s="58">
        <f t="shared" ref="G70:G133" si="6">IF(AND(A70&lt;&gt;"",B70="STRENGTH"),C70,-1E+99)</f>
        <v>-9.9999999999999997E+98</v>
      </c>
      <c r="H70" s="58">
        <f t="shared" ref="H70:H133" si="7">IF(AND(A70&lt;&gt;"",B70="STRENGTH"),D70,1E+99)</f>
        <v>9.9999999999999997E+98</v>
      </c>
    </row>
    <row r="71" spans="1:8" x14ac:dyDescent="0.3">
      <c r="A71" s="42" t="str">
        <f>'TO HOP NLAN'!A71</f>
        <v/>
      </c>
      <c r="B71" s="42" t="str">
        <f>'TO HOP NLAN'!L71</f>
        <v>SERVICE</v>
      </c>
      <c r="C71" s="58">
        <f>IF(A71="",0,MAX(IF('TS-PILE'!$B$72="",-1E+99,'TO HOP NLAN'!D71/ncoc+IF(SUMSQ('TS-PILE'!$E$72:$E$91)=0,0,'TO HOP NLAN'!E71*'TS-PILE'!$E$72/SUMSQ('TS-PILE'!$E$72:$E$91))+IF(SUMSQ('TS-PILE'!$D$72:$D$91)=0,0,'TO HOP NLAN'!F71*'TS-PILE'!$D$72/SUMSQ('TS-PILE'!$D$72:$D$91))),IF('TS-PILE'!$B$73="",-1E+99,'TO HOP NLAN'!D71/ncoc+IF(SUMSQ('TS-PILE'!$E$72:$E$91)=0,0,'TO HOP NLAN'!E71*'TS-PILE'!$E$73/SUMSQ('TS-PILE'!$E$72:$E$91))+IF(SUMSQ('TS-PILE'!$D$72:$D$91)=0,0,'TO HOP NLAN'!F71*'TS-PILE'!$D$73/SUMSQ('TS-PILE'!$D$72:$D$91))),IF('TS-PILE'!$B$74="",-1E+99,'TO HOP NLAN'!D71/ncoc+IF(SUMSQ('TS-PILE'!$E$72:$E$91)=0,0,'TO HOP NLAN'!E71*'TS-PILE'!$E$74/SUMSQ('TS-PILE'!$E$72:$E$91))+IF(SUMSQ('TS-PILE'!$D$72:$D$91)=0,0,'TO HOP NLAN'!F71*'TS-PILE'!$D$74/SUMSQ('TS-PILE'!$D$72:$D$91))),IF('TS-PILE'!$B$75="",-1E+99,'TO HOP NLAN'!D71/ncoc+IF(SUMSQ('TS-PILE'!$E$72:$E$91)=0,0,'TO HOP NLAN'!E71*'TS-PILE'!$E$75/SUMSQ('TS-PILE'!$E$72:$E$91))+IF(SUMSQ('TS-PILE'!$D$72:$D$91)=0,0,'TO HOP NLAN'!F71*'TS-PILE'!$D$75/SUMSQ('TS-PILE'!$D$72:$D$91))),IF('TS-PILE'!$B$76="",-1E+99,'TO HOP NLAN'!D71/ncoc+IF(SUMSQ('TS-PILE'!$E$72:$E$91)=0,0,'TO HOP NLAN'!E71*'TS-PILE'!$E$76/SUMSQ('TS-PILE'!$E$72:$E$91))+IF(SUMSQ('TS-PILE'!$D$72:$D$91)=0,0,'TO HOP NLAN'!F71*'TS-PILE'!$D$76/SUMSQ('TS-PILE'!$D$72:$D$91))),IF('TS-PILE'!$B$77="",-1E+99,'TO HOP NLAN'!D71/ncoc+IF(SUMSQ('TS-PILE'!$E$72:$E$91)=0,0,'TO HOP NLAN'!E71*'TS-PILE'!$E$77/SUMSQ('TS-PILE'!$E$72:$E$91))+IF(SUMSQ('TS-PILE'!$D$72:$D$91)=0,0,'TO HOP NLAN'!F71*'TS-PILE'!$D$77/SUMSQ('TS-PILE'!$D$72:$D$91))),IF('TS-PILE'!$B$78="",-1E+99,'TO HOP NLAN'!D71/ncoc+IF(SUMSQ('TS-PILE'!$E$72:$E$91)=0,0,'TO HOP NLAN'!E71*'TS-PILE'!$E$78/SUMSQ('TS-PILE'!$E$72:$E$91))+IF(SUMSQ('TS-PILE'!$D$72:$D$91)=0,0,'TO HOP NLAN'!F71*'TS-PILE'!$D$78/SUMSQ('TS-PILE'!$D$72:$D$91))),IF('TS-PILE'!$B$79="",-1E+99,'TO HOP NLAN'!D71/ncoc+IF(SUMSQ('TS-PILE'!$E$72:$E$91)=0,0,'TO HOP NLAN'!E71*'TS-PILE'!$E$79/SUMSQ('TS-PILE'!$E$72:$E$91))+IF(SUMSQ('TS-PILE'!$D$72:$D$91)=0,0,'TO HOP NLAN'!F71*'TS-PILE'!$D$79/SUMSQ('TS-PILE'!$D$72:$D$91))),IF('TS-PILE'!$B$80="",-1E+99,'TO HOP NLAN'!D71/ncoc+IF(SUMSQ('TS-PILE'!$E$72:$E$91)=0,0,'TO HOP NLAN'!E71*'TS-PILE'!$E$80/SUMSQ('TS-PILE'!$E$72:$E$91))+IF(SUMSQ('TS-PILE'!$D$72:$D$91)=0,0,'TO HOP NLAN'!F71*'TS-PILE'!$D$80/SUMSQ('TS-PILE'!$D$72:$D$91))),IF('TS-PILE'!$B$81="",-1E+99,'TO HOP NLAN'!D71/ncoc+IF(SUMSQ('TS-PILE'!$E$72:$E$91)=0,0,'TO HOP NLAN'!E71*'TS-PILE'!$E$81/SUMSQ('TS-PILE'!$E$72:$E$91))+IF(SUMSQ('TS-PILE'!$D$72:$D$91)=0,0,'TO HOP NLAN'!F71*'TS-PILE'!$D$81/SUMSQ('TS-PILE'!$D$72:$D$91))),IF('TS-PILE'!$B$82="",-1E+99,'TO HOP NLAN'!D71/ncoc+IF(SUMSQ('TS-PILE'!$E$72:$E$91)=0,0,'TO HOP NLAN'!E71*'TS-PILE'!$E$82/SUMSQ('TS-PILE'!$E$72:$E$91))+IF(SUMSQ('TS-PILE'!$D$72:$D$91)=0,0,'TO HOP NLAN'!F71*'TS-PILE'!$D$82/SUMSQ('TS-PILE'!$D$72:$D$91))),IF('TS-PILE'!$B$83="",-1E+99,'TO HOP NLAN'!D71/ncoc+IF(SUMSQ('TS-PILE'!$E$72:$E$91)=0,0,'TO HOP NLAN'!E71*'TS-PILE'!$E$83/SUMSQ('TS-PILE'!$E$72:$E$91))+IF(SUMSQ('TS-PILE'!$D$72:$D$91)=0,0,'TO HOP NLAN'!F71*'TS-PILE'!$D$83/SUMSQ('TS-PILE'!$D$72:$D$91))),IF('TS-PILE'!$B$84="",-1E+99,'TO HOP NLAN'!D71/ncoc+IF(SUMSQ('TS-PILE'!$E$72:$E$91)=0,0,'TO HOP NLAN'!E71*'TS-PILE'!$E$84/SUMSQ('TS-PILE'!$E$72:$E$91))+IF(SUMSQ('TS-PILE'!$D$72:$D$91)=0,0,'TO HOP NLAN'!F71*'TS-PILE'!$D$84/SUMSQ('TS-PILE'!$D$72:$D$91))),IF('TS-PILE'!$B$85="",-1E+99,'TO HOP NLAN'!D71/ncoc+IF(SUMSQ('TS-PILE'!$E$72:$E$91)=0,0,'TO HOP NLAN'!E71*'TS-PILE'!$E$85/SUMSQ('TS-PILE'!$E$72:$E$91))+IF(SUMSQ('TS-PILE'!$D$72:$D$91)=0,0,'TO HOP NLAN'!F71*'TS-PILE'!$D$85/SUMSQ('TS-PILE'!$D$72:$D$91))),IF('TS-PILE'!$B$86="",-1E+99,'TO HOP NLAN'!D71/ncoc+IF(SUMSQ('TS-PILE'!$E$72:$E$91)=0,0,'TO HOP NLAN'!E71*'TS-PILE'!$E$86/SUMSQ('TS-PILE'!$E$72:$E$91))+IF(SUMSQ('TS-PILE'!$D$72:$D$91)=0,0,'TO HOP NLAN'!F71*'TS-PILE'!$D$86/SUMSQ('TS-PILE'!$D$72:$D$91))),IF('TS-PILE'!$B$87="",-1E+99,'TO HOP NLAN'!D71/ncoc+IF(SUMSQ('TS-PILE'!$E$72:$E$91)=0,0,'TO HOP NLAN'!E71*'TS-PILE'!$E$87/SUMSQ('TS-PILE'!$E$72:$E$91))+IF(SUMSQ('TS-PILE'!$D$72:$D$91)=0,0,'TO HOP NLAN'!F71*'TS-PILE'!$D$87/SUMSQ('TS-PILE'!$D$72:$D$91))),IF('TS-PILE'!$B$88="",-1E+99,'TO HOP NLAN'!D71/ncoc+IF(SUMSQ('TS-PILE'!$E$72:$E$91)=0,0,'TO HOP NLAN'!E71*'TS-PILE'!$E$88/SUMSQ('TS-PILE'!$E$72:$E$91))+IF(SUMSQ('TS-PILE'!$D$72:$D$91)=0,0,'TO HOP NLAN'!F71*'TS-PILE'!$D$88/SUMSQ('TS-PILE'!$D$72:$D$91))),IF('TS-PILE'!$B$89="",-1E+99,'TO HOP NLAN'!D71/ncoc+IF(SUMSQ('TS-PILE'!$E$72:$E$91)=0,0,'TO HOP NLAN'!E71*'TS-PILE'!$E$89/SUMSQ('TS-PILE'!$E$72:$E$91))+IF(SUMSQ('TS-PILE'!$D$72:$D$91)=0,0,'TO HOP NLAN'!F71*'TS-PILE'!$D$89/SUMSQ('TS-PILE'!$D$72:$D$91))),IF('TS-PILE'!$B$90="",-1E+99,'TO HOP NLAN'!D71/ncoc+IF(SUMSQ('TS-PILE'!$E$72:$E$91)=0,0,'TO HOP NLAN'!E71*'TS-PILE'!$E$90/SUMSQ('TS-PILE'!$E$72:$E$91))+IF(SUMSQ('TS-PILE'!$D$72:$D$91)=0,0,'TO HOP NLAN'!F71*'TS-PILE'!$D$90/SUMSQ('TS-PILE'!$D$72:$D$91))),IF('TS-PILE'!$B$91="",-1E+99,'TO HOP NLAN'!D71/ncoc+IF(SUMSQ('TS-PILE'!$E$72:$E$91)=0,0,'TO HOP NLAN'!E71*'TS-PILE'!$E$91/SUMSQ('TS-PILE'!$E$72:$E$91))+IF(SUMSQ('TS-PILE'!$D$72:$D$91)=0,0,'TO HOP NLAN'!F71*'TS-PILE'!$D$91/SUMSQ('TS-PILE'!$D$72:$D$91)))))</f>
        <v>0</v>
      </c>
      <c r="D71" s="58">
        <f>IF(A71="",0,MIN(IF('TS-PILE'!$B$72="",1E+99,'TO HOP NLAN'!D71/ncoc+IF(SUMSQ('TS-PILE'!$E$72:$E$91)=0,0,'TO HOP NLAN'!E71*'TS-PILE'!$E$72/SUMSQ('TS-PILE'!$E$72:$E$91))+IF(SUMSQ('TS-PILE'!$D$72:$D$91)=0,0,'TO HOP NLAN'!F71*'TS-PILE'!$D$72/SUMSQ('TS-PILE'!$D$72:$D$91))),IF('TS-PILE'!$B$73="",1E+99,'TO HOP NLAN'!D71/ncoc+IF(SUMSQ('TS-PILE'!$E$72:$E$91)=0,0,'TO HOP NLAN'!E71*'TS-PILE'!$E$73/SUMSQ('TS-PILE'!$E$72:$E$91))+IF(SUMSQ('TS-PILE'!$D$72:$D$91)=0,0,'TO HOP NLAN'!F71*'TS-PILE'!$D$73/SUMSQ('TS-PILE'!$D$72:$D$91))),IF('TS-PILE'!$B$74="",1E+99,'TO HOP NLAN'!D71/ncoc+IF(SUMSQ('TS-PILE'!$E$72:$E$91)=0,0,'TO HOP NLAN'!E71*'TS-PILE'!$E$74/SUMSQ('TS-PILE'!$E$72:$E$91))+IF(SUMSQ('TS-PILE'!$D$72:$D$91)=0,0,'TO HOP NLAN'!F71*'TS-PILE'!$D$74/SUMSQ('TS-PILE'!$D$72:$D$91))),IF('TS-PILE'!$B$75="",1E+99,'TO HOP NLAN'!D71/ncoc+IF(SUMSQ('TS-PILE'!$E$72:$E$91)=0,0,'TO HOP NLAN'!E71*'TS-PILE'!$E$75/SUMSQ('TS-PILE'!$E$72:$E$91))+IF(SUMSQ('TS-PILE'!$D$72:$D$91)=0,0,'TO HOP NLAN'!F71*'TS-PILE'!$D$75/SUMSQ('TS-PILE'!$D$72:$D$91))),IF('TS-PILE'!$B$76="",1E+99,'TO HOP NLAN'!D71/ncoc+IF(SUMSQ('TS-PILE'!$E$72:$E$91)=0,0,'TO HOP NLAN'!E71*'TS-PILE'!$E$76/SUMSQ('TS-PILE'!$E$72:$E$91))+IF(SUMSQ('TS-PILE'!$D$72:$D$91)=0,0,'TO HOP NLAN'!F71*'TS-PILE'!$D$76/SUMSQ('TS-PILE'!$D$72:$D$91))),IF('TS-PILE'!$B$77="",1E+99,'TO HOP NLAN'!D71/ncoc+IF(SUMSQ('TS-PILE'!$E$72:$E$91)=0,0,'TO HOP NLAN'!E71*'TS-PILE'!$E$77/SUMSQ('TS-PILE'!$E$72:$E$91))+IF(SUMSQ('TS-PILE'!$D$72:$D$91)=0,0,'TO HOP NLAN'!F71*'TS-PILE'!$D$77/SUMSQ('TS-PILE'!$D$72:$D$91))),IF('TS-PILE'!$B$78="",1E+99,'TO HOP NLAN'!D71/ncoc+IF(SUMSQ('TS-PILE'!$E$72:$E$91)=0,0,'TO HOP NLAN'!E71*'TS-PILE'!$E$78/SUMSQ('TS-PILE'!$E$72:$E$91))+IF(SUMSQ('TS-PILE'!$D$72:$D$91)=0,0,'TO HOP NLAN'!F71*'TS-PILE'!$D$78/SUMSQ('TS-PILE'!$D$72:$D$91))),IF('TS-PILE'!$B$79="",1E+99,'TO HOP NLAN'!D71/ncoc+IF(SUMSQ('TS-PILE'!$E$72:$E$91)=0,0,'TO HOP NLAN'!E71*'TS-PILE'!$E$79/SUMSQ('TS-PILE'!$E$72:$E$91))+IF(SUMSQ('TS-PILE'!$D$72:$D$91)=0,0,'TO HOP NLAN'!F71*'TS-PILE'!$D$79/SUMSQ('TS-PILE'!$D$72:$D$91))),IF('TS-PILE'!$B$80="",1E+99,'TO HOP NLAN'!D71/ncoc+IF(SUMSQ('TS-PILE'!$E$72:$E$91)=0,0,'TO HOP NLAN'!E71*'TS-PILE'!$E$80/SUMSQ('TS-PILE'!$E$72:$E$91))+IF(SUMSQ('TS-PILE'!$D$72:$D$91)=0,0,'TO HOP NLAN'!F71*'TS-PILE'!$D$80/SUMSQ('TS-PILE'!$D$72:$D$91))),IF('TS-PILE'!$B$81="",1E+99,'TO HOP NLAN'!D71/ncoc+IF(SUMSQ('TS-PILE'!$E$72:$E$91)=0,0,'TO HOP NLAN'!E71*'TS-PILE'!$E$81/SUMSQ('TS-PILE'!$E$72:$E$91))+IF(SUMSQ('TS-PILE'!$D$72:$D$91)=0,0,'TO HOP NLAN'!F71*'TS-PILE'!$D$81/SUMSQ('TS-PILE'!$D$72:$D$91))),IF('TS-PILE'!$B$82="",1E+99,'TO HOP NLAN'!D71/ncoc+IF(SUMSQ('TS-PILE'!$E$72:$E$91)=0,0,'TO HOP NLAN'!E71*'TS-PILE'!$E$82/SUMSQ('TS-PILE'!$E$72:$E$91))+IF(SUMSQ('TS-PILE'!$D$72:$D$91)=0,0,'TO HOP NLAN'!F71*'TS-PILE'!$D$82/SUMSQ('TS-PILE'!$D$72:$D$91))),IF('TS-PILE'!$B$83="",1E+99,'TO HOP NLAN'!D71/ncoc+IF(SUMSQ('TS-PILE'!$E$72:$E$91)=0,0,'TO HOP NLAN'!E71*'TS-PILE'!$E$83/SUMSQ('TS-PILE'!$E$72:$E$91))+IF(SUMSQ('TS-PILE'!$D$72:$D$91)=0,0,'TO HOP NLAN'!F71*'TS-PILE'!$D$83/SUMSQ('TS-PILE'!$D$72:$D$91))),IF('TS-PILE'!$B$84="",1E+99,'TO HOP NLAN'!D71/ncoc+IF(SUMSQ('TS-PILE'!$E$72:$E$91)=0,0,'TO HOP NLAN'!E71*'TS-PILE'!$E$84/SUMSQ('TS-PILE'!$E$72:$E$91))+IF(SUMSQ('TS-PILE'!$D$72:$D$91)=0,0,'TO HOP NLAN'!F71*'TS-PILE'!$D$84/SUMSQ('TS-PILE'!$D$72:$D$91))),IF('TS-PILE'!$B$85="",1E+99,'TO HOP NLAN'!D71/ncoc+IF(SUMSQ('TS-PILE'!$E$72:$E$91)=0,0,'TO HOP NLAN'!E71*'TS-PILE'!$E$85/SUMSQ('TS-PILE'!$E$72:$E$91))+IF(SUMSQ('TS-PILE'!$D$72:$D$91)=0,0,'TO HOP NLAN'!F71*'TS-PILE'!$D$85/SUMSQ('TS-PILE'!$D$72:$D$91))),IF('TS-PILE'!$B$86="",1E+99,'TO HOP NLAN'!D71/ncoc+IF(SUMSQ('TS-PILE'!$E$72:$E$91)=0,0,'TO HOP NLAN'!E71*'TS-PILE'!$E$86/SUMSQ('TS-PILE'!$E$72:$E$91))+IF(SUMSQ('TS-PILE'!$D$72:$D$91)=0,0,'TO HOP NLAN'!F71*'TS-PILE'!$D$86/SUMSQ('TS-PILE'!$D$72:$D$91))),IF('TS-PILE'!$B$87="",1E+99,'TO HOP NLAN'!D71/ncoc+IF(SUMSQ('TS-PILE'!$E$72:$E$91)=0,0,'TO HOP NLAN'!E71*'TS-PILE'!$E$87/SUMSQ('TS-PILE'!$E$72:$E$91))+IF(SUMSQ('TS-PILE'!$D$72:$D$91)=0,0,'TO HOP NLAN'!F71*'TS-PILE'!$D$87/SUMSQ('TS-PILE'!$D$72:$D$91))),IF('TS-PILE'!$B$88="",1E+99,'TO HOP NLAN'!D71/ncoc+IF(SUMSQ('TS-PILE'!$E$72:$E$91)=0,0,'TO HOP NLAN'!E71*'TS-PILE'!$E$88/SUMSQ('TS-PILE'!$E$72:$E$91))+IF(SUMSQ('TS-PILE'!$D$72:$D$91)=0,0,'TO HOP NLAN'!F71*'TS-PILE'!$D$88/SUMSQ('TS-PILE'!$D$72:$D$91))),IF('TS-PILE'!$B$89="",1E+99,'TO HOP NLAN'!D71/ncoc+IF(SUMSQ('TS-PILE'!$E$72:$E$91)=0,0,'TO HOP NLAN'!E71*'TS-PILE'!$E$89/SUMSQ('TS-PILE'!$E$72:$E$91))+IF(SUMSQ('TS-PILE'!$D$72:$D$91)=0,0,'TO HOP NLAN'!F71*'TS-PILE'!$D$89/SUMSQ('TS-PILE'!$D$72:$D$91))),IF('TS-PILE'!$B$90="",1E+99,'TO HOP NLAN'!D71/ncoc+IF(SUMSQ('TS-PILE'!$E$72:$E$91)=0,0,'TO HOP NLAN'!E71*'TS-PILE'!$E$90/SUMSQ('TS-PILE'!$E$72:$E$91))+IF(SUMSQ('TS-PILE'!$D$72:$D$91)=0,0,'TO HOP NLAN'!F71*'TS-PILE'!$D$90/SUMSQ('TS-PILE'!$D$72:$D$91))),IF('TS-PILE'!$B$91="",1E+99,'TO HOP NLAN'!D71/ncoc+IF(SUMSQ('TS-PILE'!$E$72:$E$91)=0,0,'TO HOP NLAN'!E71*'TS-PILE'!$E$91/SUMSQ('TS-PILE'!$E$72:$E$91))+IF(SUMSQ('TS-PILE'!$D$72:$D$91)=0,0,'TO HOP NLAN'!F71*'TS-PILE'!$D$91/SUMSQ('TS-PILE'!$D$72:$D$91)))))</f>
        <v>0</v>
      </c>
      <c r="E71" s="58">
        <f t="shared" si="4"/>
        <v>-9.9999999999999997E+98</v>
      </c>
      <c r="F71" s="58">
        <f t="shared" si="5"/>
        <v>9.9999999999999997E+98</v>
      </c>
      <c r="G71" s="58">
        <f t="shared" si="6"/>
        <v>-9.9999999999999997E+98</v>
      </c>
      <c r="H71" s="58">
        <f t="shared" si="7"/>
        <v>9.9999999999999997E+98</v>
      </c>
    </row>
    <row r="72" spans="1:8" x14ac:dyDescent="0.3">
      <c r="A72" s="42" t="str">
        <f>'TO HOP NLAN'!A72</f>
        <v/>
      </c>
      <c r="B72" s="42" t="str">
        <f>'TO HOP NLAN'!L72</f>
        <v>SERVICE</v>
      </c>
      <c r="C72" s="58">
        <f>IF(A72="",0,MAX(IF('TS-PILE'!$B$72="",-1E+99,'TO HOP NLAN'!D72/ncoc+IF(SUMSQ('TS-PILE'!$E$72:$E$91)=0,0,'TO HOP NLAN'!E72*'TS-PILE'!$E$72/SUMSQ('TS-PILE'!$E$72:$E$91))+IF(SUMSQ('TS-PILE'!$D$72:$D$91)=0,0,'TO HOP NLAN'!F72*'TS-PILE'!$D$72/SUMSQ('TS-PILE'!$D$72:$D$91))),IF('TS-PILE'!$B$73="",-1E+99,'TO HOP NLAN'!D72/ncoc+IF(SUMSQ('TS-PILE'!$E$72:$E$91)=0,0,'TO HOP NLAN'!E72*'TS-PILE'!$E$73/SUMSQ('TS-PILE'!$E$72:$E$91))+IF(SUMSQ('TS-PILE'!$D$72:$D$91)=0,0,'TO HOP NLAN'!F72*'TS-PILE'!$D$73/SUMSQ('TS-PILE'!$D$72:$D$91))),IF('TS-PILE'!$B$74="",-1E+99,'TO HOP NLAN'!D72/ncoc+IF(SUMSQ('TS-PILE'!$E$72:$E$91)=0,0,'TO HOP NLAN'!E72*'TS-PILE'!$E$74/SUMSQ('TS-PILE'!$E$72:$E$91))+IF(SUMSQ('TS-PILE'!$D$72:$D$91)=0,0,'TO HOP NLAN'!F72*'TS-PILE'!$D$74/SUMSQ('TS-PILE'!$D$72:$D$91))),IF('TS-PILE'!$B$75="",-1E+99,'TO HOP NLAN'!D72/ncoc+IF(SUMSQ('TS-PILE'!$E$72:$E$91)=0,0,'TO HOP NLAN'!E72*'TS-PILE'!$E$75/SUMSQ('TS-PILE'!$E$72:$E$91))+IF(SUMSQ('TS-PILE'!$D$72:$D$91)=0,0,'TO HOP NLAN'!F72*'TS-PILE'!$D$75/SUMSQ('TS-PILE'!$D$72:$D$91))),IF('TS-PILE'!$B$76="",-1E+99,'TO HOP NLAN'!D72/ncoc+IF(SUMSQ('TS-PILE'!$E$72:$E$91)=0,0,'TO HOP NLAN'!E72*'TS-PILE'!$E$76/SUMSQ('TS-PILE'!$E$72:$E$91))+IF(SUMSQ('TS-PILE'!$D$72:$D$91)=0,0,'TO HOP NLAN'!F72*'TS-PILE'!$D$76/SUMSQ('TS-PILE'!$D$72:$D$91))),IF('TS-PILE'!$B$77="",-1E+99,'TO HOP NLAN'!D72/ncoc+IF(SUMSQ('TS-PILE'!$E$72:$E$91)=0,0,'TO HOP NLAN'!E72*'TS-PILE'!$E$77/SUMSQ('TS-PILE'!$E$72:$E$91))+IF(SUMSQ('TS-PILE'!$D$72:$D$91)=0,0,'TO HOP NLAN'!F72*'TS-PILE'!$D$77/SUMSQ('TS-PILE'!$D$72:$D$91))),IF('TS-PILE'!$B$78="",-1E+99,'TO HOP NLAN'!D72/ncoc+IF(SUMSQ('TS-PILE'!$E$72:$E$91)=0,0,'TO HOP NLAN'!E72*'TS-PILE'!$E$78/SUMSQ('TS-PILE'!$E$72:$E$91))+IF(SUMSQ('TS-PILE'!$D$72:$D$91)=0,0,'TO HOP NLAN'!F72*'TS-PILE'!$D$78/SUMSQ('TS-PILE'!$D$72:$D$91))),IF('TS-PILE'!$B$79="",-1E+99,'TO HOP NLAN'!D72/ncoc+IF(SUMSQ('TS-PILE'!$E$72:$E$91)=0,0,'TO HOP NLAN'!E72*'TS-PILE'!$E$79/SUMSQ('TS-PILE'!$E$72:$E$91))+IF(SUMSQ('TS-PILE'!$D$72:$D$91)=0,0,'TO HOP NLAN'!F72*'TS-PILE'!$D$79/SUMSQ('TS-PILE'!$D$72:$D$91))),IF('TS-PILE'!$B$80="",-1E+99,'TO HOP NLAN'!D72/ncoc+IF(SUMSQ('TS-PILE'!$E$72:$E$91)=0,0,'TO HOP NLAN'!E72*'TS-PILE'!$E$80/SUMSQ('TS-PILE'!$E$72:$E$91))+IF(SUMSQ('TS-PILE'!$D$72:$D$91)=0,0,'TO HOP NLAN'!F72*'TS-PILE'!$D$80/SUMSQ('TS-PILE'!$D$72:$D$91))),IF('TS-PILE'!$B$81="",-1E+99,'TO HOP NLAN'!D72/ncoc+IF(SUMSQ('TS-PILE'!$E$72:$E$91)=0,0,'TO HOP NLAN'!E72*'TS-PILE'!$E$81/SUMSQ('TS-PILE'!$E$72:$E$91))+IF(SUMSQ('TS-PILE'!$D$72:$D$91)=0,0,'TO HOP NLAN'!F72*'TS-PILE'!$D$81/SUMSQ('TS-PILE'!$D$72:$D$91))),IF('TS-PILE'!$B$82="",-1E+99,'TO HOP NLAN'!D72/ncoc+IF(SUMSQ('TS-PILE'!$E$72:$E$91)=0,0,'TO HOP NLAN'!E72*'TS-PILE'!$E$82/SUMSQ('TS-PILE'!$E$72:$E$91))+IF(SUMSQ('TS-PILE'!$D$72:$D$91)=0,0,'TO HOP NLAN'!F72*'TS-PILE'!$D$82/SUMSQ('TS-PILE'!$D$72:$D$91))),IF('TS-PILE'!$B$83="",-1E+99,'TO HOP NLAN'!D72/ncoc+IF(SUMSQ('TS-PILE'!$E$72:$E$91)=0,0,'TO HOP NLAN'!E72*'TS-PILE'!$E$83/SUMSQ('TS-PILE'!$E$72:$E$91))+IF(SUMSQ('TS-PILE'!$D$72:$D$91)=0,0,'TO HOP NLAN'!F72*'TS-PILE'!$D$83/SUMSQ('TS-PILE'!$D$72:$D$91))),IF('TS-PILE'!$B$84="",-1E+99,'TO HOP NLAN'!D72/ncoc+IF(SUMSQ('TS-PILE'!$E$72:$E$91)=0,0,'TO HOP NLAN'!E72*'TS-PILE'!$E$84/SUMSQ('TS-PILE'!$E$72:$E$91))+IF(SUMSQ('TS-PILE'!$D$72:$D$91)=0,0,'TO HOP NLAN'!F72*'TS-PILE'!$D$84/SUMSQ('TS-PILE'!$D$72:$D$91))),IF('TS-PILE'!$B$85="",-1E+99,'TO HOP NLAN'!D72/ncoc+IF(SUMSQ('TS-PILE'!$E$72:$E$91)=0,0,'TO HOP NLAN'!E72*'TS-PILE'!$E$85/SUMSQ('TS-PILE'!$E$72:$E$91))+IF(SUMSQ('TS-PILE'!$D$72:$D$91)=0,0,'TO HOP NLAN'!F72*'TS-PILE'!$D$85/SUMSQ('TS-PILE'!$D$72:$D$91))),IF('TS-PILE'!$B$86="",-1E+99,'TO HOP NLAN'!D72/ncoc+IF(SUMSQ('TS-PILE'!$E$72:$E$91)=0,0,'TO HOP NLAN'!E72*'TS-PILE'!$E$86/SUMSQ('TS-PILE'!$E$72:$E$91))+IF(SUMSQ('TS-PILE'!$D$72:$D$91)=0,0,'TO HOP NLAN'!F72*'TS-PILE'!$D$86/SUMSQ('TS-PILE'!$D$72:$D$91))),IF('TS-PILE'!$B$87="",-1E+99,'TO HOP NLAN'!D72/ncoc+IF(SUMSQ('TS-PILE'!$E$72:$E$91)=0,0,'TO HOP NLAN'!E72*'TS-PILE'!$E$87/SUMSQ('TS-PILE'!$E$72:$E$91))+IF(SUMSQ('TS-PILE'!$D$72:$D$91)=0,0,'TO HOP NLAN'!F72*'TS-PILE'!$D$87/SUMSQ('TS-PILE'!$D$72:$D$91))),IF('TS-PILE'!$B$88="",-1E+99,'TO HOP NLAN'!D72/ncoc+IF(SUMSQ('TS-PILE'!$E$72:$E$91)=0,0,'TO HOP NLAN'!E72*'TS-PILE'!$E$88/SUMSQ('TS-PILE'!$E$72:$E$91))+IF(SUMSQ('TS-PILE'!$D$72:$D$91)=0,0,'TO HOP NLAN'!F72*'TS-PILE'!$D$88/SUMSQ('TS-PILE'!$D$72:$D$91))),IF('TS-PILE'!$B$89="",-1E+99,'TO HOP NLAN'!D72/ncoc+IF(SUMSQ('TS-PILE'!$E$72:$E$91)=0,0,'TO HOP NLAN'!E72*'TS-PILE'!$E$89/SUMSQ('TS-PILE'!$E$72:$E$91))+IF(SUMSQ('TS-PILE'!$D$72:$D$91)=0,0,'TO HOP NLAN'!F72*'TS-PILE'!$D$89/SUMSQ('TS-PILE'!$D$72:$D$91))),IF('TS-PILE'!$B$90="",-1E+99,'TO HOP NLAN'!D72/ncoc+IF(SUMSQ('TS-PILE'!$E$72:$E$91)=0,0,'TO HOP NLAN'!E72*'TS-PILE'!$E$90/SUMSQ('TS-PILE'!$E$72:$E$91))+IF(SUMSQ('TS-PILE'!$D$72:$D$91)=0,0,'TO HOP NLAN'!F72*'TS-PILE'!$D$90/SUMSQ('TS-PILE'!$D$72:$D$91))),IF('TS-PILE'!$B$91="",-1E+99,'TO HOP NLAN'!D72/ncoc+IF(SUMSQ('TS-PILE'!$E$72:$E$91)=0,0,'TO HOP NLAN'!E72*'TS-PILE'!$E$91/SUMSQ('TS-PILE'!$E$72:$E$91))+IF(SUMSQ('TS-PILE'!$D$72:$D$91)=0,0,'TO HOP NLAN'!F72*'TS-PILE'!$D$91/SUMSQ('TS-PILE'!$D$72:$D$91)))))</f>
        <v>0</v>
      </c>
      <c r="D72" s="58">
        <f>IF(A72="",0,MIN(IF('TS-PILE'!$B$72="",1E+99,'TO HOP NLAN'!D72/ncoc+IF(SUMSQ('TS-PILE'!$E$72:$E$91)=0,0,'TO HOP NLAN'!E72*'TS-PILE'!$E$72/SUMSQ('TS-PILE'!$E$72:$E$91))+IF(SUMSQ('TS-PILE'!$D$72:$D$91)=0,0,'TO HOP NLAN'!F72*'TS-PILE'!$D$72/SUMSQ('TS-PILE'!$D$72:$D$91))),IF('TS-PILE'!$B$73="",1E+99,'TO HOP NLAN'!D72/ncoc+IF(SUMSQ('TS-PILE'!$E$72:$E$91)=0,0,'TO HOP NLAN'!E72*'TS-PILE'!$E$73/SUMSQ('TS-PILE'!$E$72:$E$91))+IF(SUMSQ('TS-PILE'!$D$72:$D$91)=0,0,'TO HOP NLAN'!F72*'TS-PILE'!$D$73/SUMSQ('TS-PILE'!$D$72:$D$91))),IF('TS-PILE'!$B$74="",1E+99,'TO HOP NLAN'!D72/ncoc+IF(SUMSQ('TS-PILE'!$E$72:$E$91)=0,0,'TO HOP NLAN'!E72*'TS-PILE'!$E$74/SUMSQ('TS-PILE'!$E$72:$E$91))+IF(SUMSQ('TS-PILE'!$D$72:$D$91)=0,0,'TO HOP NLAN'!F72*'TS-PILE'!$D$74/SUMSQ('TS-PILE'!$D$72:$D$91))),IF('TS-PILE'!$B$75="",1E+99,'TO HOP NLAN'!D72/ncoc+IF(SUMSQ('TS-PILE'!$E$72:$E$91)=0,0,'TO HOP NLAN'!E72*'TS-PILE'!$E$75/SUMSQ('TS-PILE'!$E$72:$E$91))+IF(SUMSQ('TS-PILE'!$D$72:$D$91)=0,0,'TO HOP NLAN'!F72*'TS-PILE'!$D$75/SUMSQ('TS-PILE'!$D$72:$D$91))),IF('TS-PILE'!$B$76="",1E+99,'TO HOP NLAN'!D72/ncoc+IF(SUMSQ('TS-PILE'!$E$72:$E$91)=0,0,'TO HOP NLAN'!E72*'TS-PILE'!$E$76/SUMSQ('TS-PILE'!$E$72:$E$91))+IF(SUMSQ('TS-PILE'!$D$72:$D$91)=0,0,'TO HOP NLAN'!F72*'TS-PILE'!$D$76/SUMSQ('TS-PILE'!$D$72:$D$91))),IF('TS-PILE'!$B$77="",1E+99,'TO HOP NLAN'!D72/ncoc+IF(SUMSQ('TS-PILE'!$E$72:$E$91)=0,0,'TO HOP NLAN'!E72*'TS-PILE'!$E$77/SUMSQ('TS-PILE'!$E$72:$E$91))+IF(SUMSQ('TS-PILE'!$D$72:$D$91)=0,0,'TO HOP NLAN'!F72*'TS-PILE'!$D$77/SUMSQ('TS-PILE'!$D$72:$D$91))),IF('TS-PILE'!$B$78="",1E+99,'TO HOP NLAN'!D72/ncoc+IF(SUMSQ('TS-PILE'!$E$72:$E$91)=0,0,'TO HOP NLAN'!E72*'TS-PILE'!$E$78/SUMSQ('TS-PILE'!$E$72:$E$91))+IF(SUMSQ('TS-PILE'!$D$72:$D$91)=0,0,'TO HOP NLAN'!F72*'TS-PILE'!$D$78/SUMSQ('TS-PILE'!$D$72:$D$91))),IF('TS-PILE'!$B$79="",1E+99,'TO HOP NLAN'!D72/ncoc+IF(SUMSQ('TS-PILE'!$E$72:$E$91)=0,0,'TO HOP NLAN'!E72*'TS-PILE'!$E$79/SUMSQ('TS-PILE'!$E$72:$E$91))+IF(SUMSQ('TS-PILE'!$D$72:$D$91)=0,0,'TO HOP NLAN'!F72*'TS-PILE'!$D$79/SUMSQ('TS-PILE'!$D$72:$D$91))),IF('TS-PILE'!$B$80="",1E+99,'TO HOP NLAN'!D72/ncoc+IF(SUMSQ('TS-PILE'!$E$72:$E$91)=0,0,'TO HOP NLAN'!E72*'TS-PILE'!$E$80/SUMSQ('TS-PILE'!$E$72:$E$91))+IF(SUMSQ('TS-PILE'!$D$72:$D$91)=0,0,'TO HOP NLAN'!F72*'TS-PILE'!$D$80/SUMSQ('TS-PILE'!$D$72:$D$91))),IF('TS-PILE'!$B$81="",1E+99,'TO HOP NLAN'!D72/ncoc+IF(SUMSQ('TS-PILE'!$E$72:$E$91)=0,0,'TO HOP NLAN'!E72*'TS-PILE'!$E$81/SUMSQ('TS-PILE'!$E$72:$E$91))+IF(SUMSQ('TS-PILE'!$D$72:$D$91)=0,0,'TO HOP NLAN'!F72*'TS-PILE'!$D$81/SUMSQ('TS-PILE'!$D$72:$D$91))),IF('TS-PILE'!$B$82="",1E+99,'TO HOP NLAN'!D72/ncoc+IF(SUMSQ('TS-PILE'!$E$72:$E$91)=0,0,'TO HOP NLAN'!E72*'TS-PILE'!$E$82/SUMSQ('TS-PILE'!$E$72:$E$91))+IF(SUMSQ('TS-PILE'!$D$72:$D$91)=0,0,'TO HOP NLAN'!F72*'TS-PILE'!$D$82/SUMSQ('TS-PILE'!$D$72:$D$91))),IF('TS-PILE'!$B$83="",1E+99,'TO HOP NLAN'!D72/ncoc+IF(SUMSQ('TS-PILE'!$E$72:$E$91)=0,0,'TO HOP NLAN'!E72*'TS-PILE'!$E$83/SUMSQ('TS-PILE'!$E$72:$E$91))+IF(SUMSQ('TS-PILE'!$D$72:$D$91)=0,0,'TO HOP NLAN'!F72*'TS-PILE'!$D$83/SUMSQ('TS-PILE'!$D$72:$D$91))),IF('TS-PILE'!$B$84="",1E+99,'TO HOP NLAN'!D72/ncoc+IF(SUMSQ('TS-PILE'!$E$72:$E$91)=0,0,'TO HOP NLAN'!E72*'TS-PILE'!$E$84/SUMSQ('TS-PILE'!$E$72:$E$91))+IF(SUMSQ('TS-PILE'!$D$72:$D$91)=0,0,'TO HOP NLAN'!F72*'TS-PILE'!$D$84/SUMSQ('TS-PILE'!$D$72:$D$91))),IF('TS-PILE'!$B$85="",1E+99,'TO HOP NLAN'!D72/ncoc+IF(SUMSQ('TS-PILE'!$E$72:$E$91)=0,0,'TO HOP NLAN'!E72*'TS-PILE'!$E$85/SUMSQ('TS-PILE'!$E$72:$E$91))+IF(SUMSQ('TS-PILE'!$D$72:$D$91)=0,0,'TO HOP NLAN'!F72*'TS-PILE'!$D$85/SUMSQ('TS-PILE'!$D$72:$D$91))),IF('TS-PILE'!$B$86="",1E+99,'TO HOP NLAN'!D72/ncoc+IF(SUMSQ('TS-PILE'!$E$72:$E$91)=0,0,'TO HOP NLAN'!E72*'TS-PILE'!$E$86/SUMSQ('TS-PILE'!$E$72:$E$91))+IF(SUMSQ('TS-PILE'!$D$72:$D$91)=0,0,'TO HOP NLAN'!F72*'TS-PILE'!$D$86/SUMSQ('TS-PILE'!$D$72:$D$91))),IF('TS-PILE'!$B$87="",1E+99,'TO HOP NLAN'!D72/ncoc+IF(SUMSQ('TS-PILE'!$E$72:$E$91)=0,0,'TO HOP NLAN'!E72*'TS-PILE'!$E$87/SUMSQ('TS-PILE'!$E$72:$E$91))+IF(SUMSQ('TS-PILE'!$D$72:$D$91)=0,0,'TO HOP NLAN'!F72*'TS-PILE'!$D$87/SUMSQ('TS-PILE'!$D$72:$D$91))),IF('TS-PILE'!$B$88="",1E+99,'TO HOP NLAN'!D72/ncoc+IF(SUMSQ('TS-PILE'!$E$72:$E$91)=0,0,'TO HOP NLAN'!E72*'TS-PILE'!$E$88/SUMSQ('TS-PILE'!$E$72:$E$91))+IF(SUMSQ('TS-PILE'!$D$72:$D$91)=0,0,'TO HOP NLAN'!F72*'TS-PILE'!$D$88/SUMSQ('TS-PILE'!$D$72:$D$91))),IF('TS-PILE'!$B$89="",1E+99,'TO HOP NLAN'!D72/ncoc+IF(SUMSQ('TS-PILE'!$E$72:$E$91)=0,0,'TO HOP NLAN'!E72*'TS-PILE'!$E$89/SUMSQ('TS-PILE'!$E$72:$E$91))+IF(SUMSQ('TS-PILE'!$D$72:$D$91)=0,0,'TO HOP NLAN'!F72*'TS-PILE'!$D$89/SUMSQ('TS-PILE'!$D$72:$D$91))),IF('TS-PILE'!$B$90="",1E+99,'TO HOP NLAN'!D72/ncoc+IF(SUMSQ('TS-PILE'!$E$72:$E$91)=0,0,'TO HOP NLAN'!E72*'TS-PILE'!$E$90/SUMSQ('TS-PILE'!$E$72:$E$91))+IF(SUMSQ('TS-PILE'!$D$72:$D$91)=0,0,'TO HOP NLAN'!F72*'TS-PILE'!$D$90/SUMSQ('TS-PILE'!$D$72:$D$91))),IF('TS-PILE'!$B$91="",1E+99,'TO HOP NLAN'!D72/ncoc+IF(SUMSQ('TS-PILE'!$E$72:$E$91)=0,0,'TO HOP NLAN'!E72*'TS-PILE'!$E$91/SUMSQ('TS-PILE'!$E$72:$E$91))+IF(SUMSQ('TS-PILE'!$D$72:$D$91)=0,0,'TO HOP NLAN'!F72*'TS-PILE'!$D$91/SUMSQ('TS-PILE'!$D$72:$D$91)))))</f>
        <v>0</v>
      </c>
      <c r="E72" s="58">
        <f t="shared" si="4"/>
        <v>-9.9999999999999997E+98</v>
      </c>
      <c r="F72" s="58">
        <f t="shared" si="5"/>
        <v>9.9999999999999997E+98</v>
      </c>
      <c r="G72" s="58">
        <f t="shared" si="6"/>
        <v>-9.9999999999999997E+98</v>
      </c>
      <c r="H72" s="58">
        <f t="shared" si="7"/>
        <v>9.9999999999999997E+98</v>
      </c>
    </row>
    <row r="73" spans="1:8" x14ac:dyDescent="0.3">
      <c r="A73" s="42" t="str">
        <f>'TO HOP NLAN'!A73</f>
        <v/>
      </c>
      <c r="B73" s="42" t="str">
        <f>'TO HOP NLAN'!L73</f>
        <v>SERVICE</v>
      </c>
      <c r="C73" s="58">
        <f>IF(A73="",0,MAX(IF('TS-PILE'!$B$72="",-1E+99,'TO HOP NLAN'!D73/ncoc+IF(SUMSQ('TS-PILE'!$E$72:$E$91)=0,0,'TO HOP NLAN'!E73*'TS-PILE'!$E$72/SUMSQ('TS-PILE'!$E$72:$E$91))+IF(SUMSQ('TS-PILE'!$D$72:$D$91)=0,0,'TO HOP NLAN'!F73*'TS-PILE'!$D$72/SUMSQ('TS-PILE'!$D$72:$D$91))),IF('TS-PILE'!$B$73="",-1E+99,'TO HOP NLAN'!D73/ncoc+IF(SUMSQ('TS-PILE'!$E$72:$E$91)=0,0,'TO HOP NLAN'!E73*'TS-PILE'!$E$73/SUMSQ('TS-PILE'!$E$72:$E$91))+IF(SUMSQ('TS-PILE'!$D$72:$D$91)=0,0,'TO HOP NLAN'!F73*'TS-PILE'!$D$73/SUMSQ('TS-PILE'!$D$72:$D$91))),IF('TS-PILE'!$B$74="",-1E+99,'TO HOP NLAN'!D73/ncoc+IF(SUMSQ('TS-PILE'!$E$72:$E$91)=0,0,'TO HOP NLAN'!E73*'TS-PILE'!$E$74/SUMSQ('TS-PILE'!$E$72:$E$91))+IF(SUMSQ('TS-PILE'!$D$72:$D$91)=0,0,'TO HOP NLAN'!F73*'TS-PILE'!$D$74/SUMSQ('TS-PILE'!$D$72:$D$91))),IF('TS-PILE'!$B$75="",-1E+99,'TO HOP NLAN'!D73/ncoc+IF(SUMSQ('TS-PILE'!$E$72:$E$91)=0,0,'TO HOP NLAN'!E73*'TS-PILE'!$E$75/SUMSQ('TS-PILE'!$E$72:$E$91))+IF(SUMSQ('TS-PILE'!$D$72:$D$91)=0,0,'TO HOP NLAN'!F73*'TS-PILE'!$D$75/SUMSQ('TS-PILE'!$D$72:$D$91))),IF('TS-PILE'!$B$76="",-1E+99,'TO HOP NLAN'!D73/ncoc+IF(SUMSQ('TS-PILE'!$E$72:$E$91)=0,0,'TO HOP NLAN'!E73*'TS-PILE'!$E$76/SUMSQ('TS-PILE'!$E$72:$E$91))+IF(SUMSQ('TS-PILE'!$D$72:$D$91)=0,0,'TO HOP NLAN'!F73*'TS-PILE'!$D$76/SUMSQ('TS-PILE'!$D$72:$D$91))),IF('TS-PILE'!$B$77="",-1E+99,'TO HOP NLAN'!D73/ncoc+IF(SUMSQ('TS-PILE'!$E$72:$E$91)=0,0,'TO HOP NLAN'!E73*'TS-PILE'!$E$77/SUMSQ('TS-PILE'!$E$72:$E$91))+IF(SUMSQ('TS-PILE'!$D$72:$D$91)=0,0,'TO HOP NLAN'!F73*'TS-PILE'!$D$77/SUMSQ('TS-PILE'!$D$72:$D$91))),IF('TS-PILE'!$B$78="",-1E+99,'TO HOP NLAN'!D73/ncoc+IF(SUMSQ('TS-PILE'!$E$72:$E$91)=0,0,'TO HOP NLAN'!E73*'TS-PILE'!$E$78/SUMSQ('TS-PILE'!$E$72:$E$91))+IF(SUMSQ('TS-PILE'!$D$72:$D$91)=0,0,'TO HOP NLAN'!F73*'TS-PILE'!$D$78/SUMSQ('TS-PILE'!$D$72:$D$91))),IF('TS-PILE'!$B$79="",-1E+99,'TO HOP NLAN'!D73/ncoc+IF(SUMSQ('TS-PILE'!$E$72:$E$91)=0,0,'TO HOP NLAN'!E73*'TS-PILE'!$E$79/SUMSQ('TS-PILE'!$E$72:$E$91))+IF(SUMSQ('TS-PILE'!$D$72:$D$91)=0,0,'TO HOP NLAN'!F73*'TS-PILE'!$D$79/SUMSQ('TS-PILE'!$D$72:$D$91))),IF('TS-PILE'!$B$80="",-1E+99,'TO HOP NLAN'!D73/ncoc+IF(SUMSQ('TS-PILE'!$E$72:$E$91)=0,0,'TO HOP NLAN'!E73*'TS-PILE'!$E$80/SUMSQ('TS-PILE'!$E$72:$E$91))+IF(SUMSQ('TS-PILE'!$D$72:$D$91)=0,0,'TO HOP NLAN'!F73*'TS-PILE'!$D$80/SUMSQ('TS-PILE'!$D$72:$D$91))),IF('TS-PILE'!$B$81="",-1E+99,'TO HOP NLAN'!D73/ncoc+IF(SUMSQ('TS-PILE'!$E$72:$E$91)=0,0,'TO HOP NLAN'!E73*'TS-PILE'!$E$81/SUMSQ('TS-PILE'!$E$72:$E$91))+IF(SUMSQ('TS-PILE'!$D$72:$D$91)=0,0,'TO HOP NLAN'!F73*'TS-PILE'!$D$81/SUMSQ('TS-PILE'!$D$72:$D$91))),IF('TS-PILE'!$B$82="",-1E+99,'TO HOP NLAN'!D73/ncoc+IF(SUMSQ('TS-PILE'!$E$72:$E$91)=0,0,'TO HOP NLAN'!E73*'TS-PILE'!$E$82/SUMSQ('TS-PILE'!$E$72:$E$91))+IF(SUMSQ('TS-PILE'!$D$72:$D$91)=0,0,'TO HOP NLAN'!F73*'TS-PILE'!$D$82/SUMSQ('TS-PILE'!$D$72:$D$91))),IF('TS-PILE'!$B$83="",-1E+99,'TO HOP NLAN'!D73/ncoc+IF(SUMSQ('TS-PILE'!$E$72:$E$91)=0,0,'TO HOP NLAN'!E73*'TS-PILE'!$E$83/SUMSQ('TS-PILE'!$E$72:$E$91))+IF(SUMSQ('TS-PILE'!$D$72:$D$91)=0,0,'TO HOP NLAN'!F73*'TS-PILE'!$D$83/SUMSQ('TS-PILE'!$D$72:$D$91))),IF('TS-PILE'!$B$84="",-1E+99,'TO HOP NLAN'!D73/ncoc+IF(SUMSQ('TS-PILE'!$E$72:$E$91)=0,0,'TO HOP NLAN'!E73*'TS-PILE'!$E$84/SUMSQ('TS-PILE'!$E$72:$E$91))+IF(SUMSQ('TS-PILE'!$D$72:$D$91)=0,0,'TO HOP NLAN'!F73*'TS-PILE'!$D$84/SUMSQ('TS-PILE'!$D$72:$D$91))),IF('TS-PILE'!$B$85="",-1E+99,'TO HOP NLAN'!D73/ncoc+IF(SUMSQ('TS-PILE'!$E$72:$E$91)=0,0,'TO HOP NLAN'!E73*'TS-PILE'!$E$85/SUMSQ('TS-PILE'!$E$72:$E$91))+IF(SUMSQ('TS-PILE'!$D$72:$D$91)=0,0,'TO HOP NLAN'!F73*'TS-PILE'!$D$85/SUMSQ('TS-PILE'!$D$72:$D$91))),IF('TS-PILE'!$B$86="",-1E+99,'TO HOP NLAN'!D73/ncoc+IF(SUMSQ('TS-PILE'!$E$72:$E$91)=0,0,'TO HOP NLAN'!E73*'TS-PILE'!$E$86/SUMSQ('TS-PILE'!$E$72:$E$91))+IF(SUMSQ('TS-PILE'!$D$72:$D$91)=0,0,'TO HOP NLAN'!F73*'TS-PILE'!$D$86/SUMSQ('TS-PILE'!$D$72:$D$91))),IF('TS-PILE'!$B$87="",-1E+99,'TO HOP NLAN'!D73/ncoc+IF(SUMSQ('TS-PILE'!$E$72:$E$91)=0,0,'TO HOP NLAN'!E73*'TS-PILE'!$E$87/SUMSQ('TS-PILE'!$E$72:$E$91))+IF(SUMSQ('TS-PILE'!$D$72:$D$91)=0,0,'TO HOP NLAN'!F73*'TS-PILE'!$D$87/SUMSQ('TS-PILE'!$D$72:$D$91))),IF('TS-PILE'!$B$88="",-1E+99,'TO HOP NLAN'!D73/ncoc+IF(SUMSQ('TS-PILE'!$E$72:$E$91)=0,0,'TO HOP NLAN'!E73*'TS-PILE'!$E$88/SUMSQ('TS-PILE'!$E$72:$E$91))+IF(SUMSQ('TS-PILE'!$D$72:$D$91)=0,0,'TO HOP NLAN'!F73*'TS-PILE'!$D$88/SUMSQ('TS-PILE'!$D$72:$D$91))),IF('TS-PILE'!$B$89="",-1E+99,'TO HOP NLAN'!D73/ncoc+IF(SUMSQ('TS-PILE'!$E$72:$E$91)=0,0,'TO HOP NLAN'!E73*'TS-PILE'!$E$89/SUMSQ('TS-PILE'!$E$72:$E$91))+IF(SUMSQ('TS-PILE'!$D$72:$D$91)=0,0,'TO HOP NLAN'!F73*'TS-PILE'!$D$89/SUMSQ('TS-PILE'!$D$72:$D$91))),IF('TS-PILE'!$B$90="",-1E+99,'TO HOP NLAN'!D73/ncoc+IF(SUMSQ('TS-PILE'!$E$72:$E$91)=0,0,'TO HOP NLAN'!E73*'TS-PILE'!$E$90/SUMSQ('TS-PILE'!$E$72:$E$91))+IF(SUMSQ('TS-PILE'!$D$72:$D$91)=0,0,'TO HOP NLAN'!F73*'TS-PILE'!$D$90/SUMSQ('TS-PILE'!$D$72:$D$91))),IF('TS-PILE'!$B$91="",-1E+99,'TO HOP NLAN'!D73/ncoc+IF(SUMSQ('TS-PILE'!$E$72:$E$91)=0,0,'TO HOP NLAN'!E73*'TS-PILE'!$E$91/SUMSQ('TS-PILE'!$E$72:$E$91))+IF(SUMSQ('TS-PILE'!$D$72:$D$91)=0,0,'TO HOP NLAN'!F73*'TS-PILE'!$D$91/SUMSQ('TS-PILE'!$D$72:$D$91)))))</f>
        <v>0</v>
      </c>
      <c r="D73" s="58">
        <f>IF(A73="",0,MIN(IF('TS-PILE'!$B$72="",1E+99,'TO HOP NLAN'!D73/ncoc+IF(SUMSQ('TS-PILE'!$E$72:$E$91)=0,0,'TO HOP NLAN'!E73*'TS-PILE'!$E$72/SUMSQ('TS-PILE'!$E$72:$E$91))+IF(SUMSQ('TS-PILE'!$D$72:$D$91)=0,0,'TO HOP NLAN'!F73*'TS-PILE'!$D$72/SUMSQ('TS-PILE'!$D$72:$D$91))),IF('TS-PILE'!$B$73="",1E+99,'TO HOP NLAN'!D73/ncoc+IF(SUMSQ('TS-PILE'!$E$72:$E$91)=0,0,'TO HOP NLAN'!E73*'TS-PILE'!$E$73/SUMSQ('TS-PILE'!$E$72:$E$91))+IF(SUMSQ('TS-PILE'!$D$72:$D$91)=0,0,'TO HOP NLAN'!F73*'TS-PILE'!$D$73/SUMSQ('TS-PILE'!$D$72:$D$91))),IF('TS-PILE'!$B$74="",1E+99,'TO HOP NLAN'!D73/ncoc+IF(SUMSQ('TS-PILE'!$E$72:$E$91)=0,0,'TO HOP NLAN'!E73*'TS-PILE'!$E$74/SUMSQ('TS-PILE'!$E$72:$E$91))+IF(SUMSQ('TS-PILE'!$D$72:$D$91)=0,0,'TO HOP NLAN'!F73*'TS-PILE'!$D$74/SUMSQ('TS-PILE'!$D$72:$D$91))),IF('TS-PILE'!$B$75="",1E+99,'TO HOP NLAN'!D73/ncoc+IF(SUMSQ('TS-PILE'!$E$72:$E$91)=0,0,'TO HOP NLAN'!E73*'TS-PILE'!$E$75/SUMSQ('TS-PILE'!$E$72:$E$91))+IF(SUMSQ('TS-PILE'!$D$72:$D$91)=0,0,'TO HOP NLAN'!F73*'TS-PILE'!$D$75/SUMSQ('TS-PILE'!$D$72:$D$91))),IF('TS-PILE'!$B$76="",1E+99,'TO HOP NLAN'!D73/ncoc+IF(SUMSQ('TS-PILE'!$E$72:$E$91)=0,0,'TO HOP NLAN'!E73*'TS-PILE'!$E$76/SUMSQ('TS-PILE'!$E$72:$E$91))+IF(SUMSQ('TS-PILE'!$D$72:$D$91)=0,0,'TO HOP NLAN'!F73*'TS-PILE'!$D$76/SUMSQ('TS-PILE'!$D$72:$D$91))),IF('TS-PILE'!$B$77="",1E+99,'TO HOP NLAN'!D73/ncoc+IF(SUMSQ('TS-PILE'!$E$72:$E$91)=0,0,'TO HOP NLAN'!E73*'TS-PILE'!$E$77/SUMSQ('TS-PILE'!$E$72:$E$91))+IF(SUMSQ('TS-PILE'!$D$72:$D$91)=0,0,'TO HOP NLAN'!F73*'TS-PILE'!$D$77/SUMSQ('TS-PILE'!$D$72:$D$91))),IF('TS-PILE'!$B$78="",1E+99,'TO HOP NLAN'!D73/ncoc+IF(SUMSQ('TS-PILE'!$E$72:$E$91)=0,0,'TO HOP NLAN'!E73*'TS-PILE'!$E$78/SUMSQ('TS-PILE'!$E$72:$E$91))+IF(SUMSQ('TS-PILE'!$D$72:$D$91)=0,0,'TO HOP NLAN'!F73*'TS-PILE'!$D$78/SUMSQ('TS-PILE'!$D$72:$D$91))),IF('TS-PILE'!$B$79="",1E+99,'TO HOP NLAN'!D73/ncoc+IF(SUMSQ('TS-PILE'!$E$72:$E$91)=0,0,'TO HOP NLAN'!E73*'TS-PILE'!$E$79/SUMSQ('TS-PILE'!$E$72:$E$91))+IF(SUMSQ('TS-PILE'!$D$72:$D$91)=0,0,'TO HOP NLAN'!F73*'TS-PILE'!$D$79/SUMSQ('TS-PILE'!$D$72:$D$91))),IF('TS-PILE'!$B$80="",1E+99,'TO HOP NLAN'!D73/ncoc+IF(SUMSQ('TS-PILE'!$E$72:$E$91)=0,0,'TO HOP NLAN'!E73*'TS-PILE'!$E$80/SUMSQ('TS-PILE'!$E$72:$E$91))+IF(SUMSQ('TS-PILE'!$D$72:$D$91)=0,0,'TO HOP NLAN'!F73*'TS-PILE'!$D$80/SUMSQ('TS-PILE'!$D$72:$D$91))),IF('TS-PILE'!$B$81="",1E+99,'TO HOP NLAN'!D73/ncoc+IF(SUMSQ('TS-PILE'!$E$72:$E$91)=0,0,'TO HOP NLAN'!E73*'TS-PILE'!$E$81/SUMSQ('TS-PILE'!$E$72:$E$91))+IF(SUMSQ('TS-PILE'!$D$72:$D$91)=0,0,'TO HOP NLAN'!F73*'TS-PILE'!$D$81/SUMSQ('TS-PILE'!$D$72:$D$91))),IF('TS-PILE'!$B$82="",1E+99,'TO HOP NLAN'!D73/ncoc+IF(SUMSQ('TS-PILE'!$E$72:$E$91)=0,0,'TO HOP NLAN'!E73*'TS-PILE'!$E$82/SUMSQ('TS-PILE'!$E$72:$E$91))+IF(SUMSQ('TS-PILE'!$D$72:$D$91)=0,0,'TO HOP NLAN'!F73*'TS-PILE'!$D$82/SUMSQ('TS-PILE'!$D$72:$D$91))),IF('TS-PILE'!$B$83="",1E+99,'TO HOP NLAN'!D73/ncoc+IF(SUMSQ('TS-PILE'!$E$72:$E$91)=0,0,'TO HOP NLAN'!E73*'TS-PILE'!$E$83/SUMSQ('TS-PILE'!$E$72:$E$91))+IF(SUMSQ('TS-PILE'!$D$72:$D$91)=0,0,'TO HOP NLAN'!F73*'TS-PILE'!$D$83/SUMSQ('TS-PILE'!$D$72:$D$91))),IF('TS-PILE'!$B$84="",1E+99,'TO HOP NLAN'!D73/ncoc+IF(SUMSQ('TS-PILE'!$E$72:$E$91)=0,0,'TO HOP NLAN'!E73*'TS-PILE'!$E$84/SUMSQ('TS-PILE'!$E$72:$E$91))+IF(SUMSQ('TS-PILE'!$D$72:$D$91)=0,0,'TO HOP NLAN'!F73*'TS-PILE'!$D$84/SUMSQ('TS-PILE'!$D$72:$D$91))),IF('TS-PILE'!$B$85="",1E+99,'TO HOP NLAN'!D73/ncoc+IF(SUMSQ('TS-PILE'!$E$72:$E$91)=0,0,'TO HOP NLAN'!E73*'TS-PILE'!$E$85/SUMSQ('TS-PILE'!$E$72:$E$91))+IF(SUMSQ('TS-PILE'!$D$72:$D$91)=0,0,'TO HOP NLAN'!F73*'TS-PILE'!$D$85/SUMSQ('TS-PILE'!$D$72:$D$91))),IF('TS-PILE'!$B$86="",1E+99,'TO HOP NLAN'!D73/ncoc+IF(SUMSQ('TS-PILE'!$E$72:$E$91)=0,0,'TO HOP NLAN'!E73*'TS-PILE'!$E$86/SUMSQ('TS-PILE'!$E$72:$E$91))+IF(SUMSQ('TS-PILE'!$D$72:$D$91)=0,0,'TO HOP NLAN'!F73*'TS-PILE'!$D$86/SUMSQ('TS-PILE'!$D$72:$D$91))),IF('TS-PILE'!$B$87="",1E+99,'TO HOP NLAN'!D73/ncoc+IF(SUMSQ('TS-PILE'!$E$72:$E$91)=0,0,'TO HOP NLAN'!E73*'TS-PILE'!$E$87/SUMSQ('TS-PILE'!$E$72:$E$91))+IF(SUMSQ('TS-PILE'!$D$72:$D$91)=0,0,'TO HOP NLAN'!F73*'TS-PILE'!$D$87/SUMSQ('TS-PILE'!$D$72:$D$91))),IF('TS-PILE'!$B$88="",1E+99,'TO HOP NLAN'!D73/ncoc+IF(SUMSQ('TS-PILE'!$E$72:$E$91)=0,0,'TO HOP NLAN'!E73*'TS-PILE'!$E$88/SUMSQ('TS-PILE'!$E$72:$E$91))+IF(SUMSQ('TS-PILE'!$D$72:$D$91)=0,0,'TO HOP NLAN'!F73*'TS-PILE'!$D$88/SUMSQ('TS-PILE'!$D$72:$D$91))),IF('TS-PILE'!$B$89="",1E+99,'TO HOP NLAN'!D73/ncoc+IF(SUMSQ('TS-PILE'!$E$72:$E$91)=0,0,'TO HOP NLAN'!E73*'TS-PILE'!$E$89/SUMSQ('TS-PILE'!$E$72:$E$91))+IF(SUMSQ('TS-PILE'!$D$72:$D$91)=0,0,'TO HOP NLAN'!F73*'TS-PILE'!$D$89/SUMSQ('TS-PILE'!$D$72:$D$91))),IF('TS-PILE'!$B$90="",1E+99,'TO HOP NLAN'!D73/ncoc+IF(SUMSQ('TS-PILE'!$E$72:$E$91)=0,0,'TO HOP NLAN'!E73*'TS-PILE'!$E$90/SUMSQ('TS-PILE'!$E$72:$E$91))+IF(SUMSQ('TS-PILE'!$D$72:$D$91)=0,0,'TO HOP NLAN'!F73*'TS-PILE'!$D$90/SUMSQ('TS-PILE'!$D$72:$D$91))),IF('TS-PILE'!$B$91="",1E+99,'TO HOP NLAN'!D73/ncoc+IF(SUMSQ('TS-PILE'!$E$72:$E$91)=0,0,'TO HOP NLAN'!E73*'TS-PILE'!$E$91/SUMSQ('TS-PILE'!$E$72:$E$91))+IF(SUMSQ('TS-PILE'!$D$72:$D$91)=0,0,'TO HOP NLAN'!F73*'TS-PILE'!$D$91/SUMSQ('TS-PILE'!$D$72:$D$91)))))</f>
        <v>0</v>
      </c>
      <c r="E73" s="58">
        <f t="shared" si="4"/>
        <v>-9.9999999999999997E+98</v>
      </c>
      <c r="F73" s="58">
        <f t="shared" si="5"/>
        <v>9.9999999999999997E+98</v>
      </c>
      <c r="G73" s="58">
        <f t="shared" si="6"/>
        <v>-9.9999999999999997E+98</v>
      </c>
      <c r="H73" s="58">
        <f t="shared" si="7"/>
        <v>9.9999999999999997E+98</v>
      </c>
    </row>
    <row r="74" spans="1:8" x14ac:dyDescent="0.3">
      <c r="A74" s="42" t="str">
        <f>'TO HOP NLAN'!A74</f>
        <v/>
      </c>
      <c r="B74" s="42" t="str">
        <f>'TO HOP NLAN'!L74</f>
        <v>SERVICE</v>
      </c>
      <c r="C74" s="58">
        <f>IF(A74="",0,MAX(IF('TS-PILE'!$B$72="",-1E+99,'TO HOP NLAN'!D74/ncoc+IF(SUMSQ('TS-PILE'!$E$72:$E$91)=0,0,'TO HOP NLAN'!E74*'TS-PILE'!$E$72/SUMSQ('TS-PILE'!$E$72:$E$91))+IF(SUMSQ('TS-PILE'!$D$72:$D$91)=0,0,'TO HOP NLAN'!F74*'TS-PILE'!$D$72/SUMSQ('TS-PILE'!$D$72:$D$91))),IF('TS-PILE'!$B$73="",-1E+99,'TO HOP NLAN'!D74/ncoc+IF(SUMSQ('TS-PILE'!$E$72:$E$91)=0,0,'TO HOP NLAN'!E74*'TS-PILE'!$E$73/SUMSQ('TS-PILE'!$E$72:$E$91))+IF(SUMSQ('TS-PILE'!$D$72:$D$91)=0,0,'TO HOP NLAN'!F74*'TS-PILE'!$D$73/SUMSQ('TS-PILE'!$D$72:$D$91))),IF('TS-PILE'!$B$74="",-1E+99,'TO HOP NLAN'!D74/ncoc+IF(SUMSQ('TS-PILE'!$E$72:$E$91)=0,0,'TO HOP NLAN'!E74*'TS-PILE'!$E$74/SUMSQ('TS-PILE'!$E$72:$E$91))+IF(SUMSQ('TS-PILE'!$D$72:$D$91)=0,0,'TO HOP NLAN'!F74*'TS-PILE'!$D$74/SUMSQ('TS-PILE'!$D$72:$D$91))),IF('TS-PILE'!$B$75="",-1E+99,'TO HOP NLAN'!D74/ncoc+IF(SUMSQ('TS-PILE'!$E$72:$E$91)=0,0,'TO HOP NLAN'!E74*'TS-PILE'!$E$75/SUMSQ('TS-PILE'!$E$72:$E$91))+IF(SUMSQ('TS-PILE'!$D$72:$D$91)=0,0,'TO HOP NLAN'!F74*'TS-PILE'!$D$75/SUMSQ('TS-PILE'!$D$72:$D$91))),IF('TS-PILE'!$B$76="",-1E+99,'TO HOP NLAN'!D74/ncoc+IF(SUMSQ('TS-PILE'!$E$72:$E$91)=0,0,'TO HOP NLAN'!E74*'TS-PILE'!$E$76/SUMSQ('TS-PILE'!$E$72:$E$91))+IF(SUMSQ('TS-PILE'!$D$72:$D$91)=0,0,'TO HOP NLAN'!F74*'TS-PILE'!$D$76/SUMSQ('TS-PILE'!$D$72:$D$91))),IF('TS-PILE'!$B$77="",-1E+99,'TO HOP NLAN'!D74/ncoc+IF(SUMSQ('TS-PILE'!$E$72:$E$91)=0,0,'TO HOP NLAN'!E74*'TS-PILE'!$E$77/SUMSQ('TS-PILE'!$E$72:$E$91))+IF(SUMSQ('TS-PILE'!$D$72:$D$91)=0,0,'TO HOP NLAN'!F74*'TS-PILE'!$D$77/SUMSQ('TS-PILE'!$D$72:$D$91))),IF('TS-PILE'!$B$78="",-1E+99,'TO HOP NLAN'!D74/ncoc+IF(SUMSQ('TS-PILE'!$E$72:$E$91)=0,0,'TO HOP NLAN'!E74*'TS-PILE'!$E$78/SUMSQ('TS-PILE'!$E$72:$E$91))+IF(SUMSQ('TS-PILE'!$D$72:$D$91)=0,0,'TO HOP NLAN'!F74*'TS-PILE'!$D$78/SUMSQ('TS-PILE'!$D$72:$D$91))),IF('TS-PILE'!$B$79="",-1E+99,'TO HOP NLAN'!D74/ncoc+IF(SUMSQ('TS-PILE'!$E$72:$E$91)=0,0,'TO HOP NLAN'!E74*'TS-PILE'!$E$79/SUMSQ('TS-PILE'!$E$72:$E$91))+IF(SUMSQ('TS-PILE'!$D$72:$D$91)=0,0,'TO HOP NLAN'!F74*'TS-PILE'!$D$79/SUMSQ('TS-PILE'!$D$72:$D$91))),IF('TS-PILE'!$B$80="",-1E+99,'TO HOP NLAN'!D74/ncoc+IF(SUMSQ('TS-PILE'!$E$72:$E$91)=0,0,'TO HOP NLAN'!E74*'TS-PILE'!$E$80/SUMSQ('TS-PILE'!$E$72:$E$91))+IF(SUMSQ('TS-PILE'!$D$72:$D$91)=0,0,'TO HOP NLAN'!F74*'TS-PILE'!$D$80/SUMSQ('TS-PILE'!$D$72:$D$91))),IF('TS-PILE'!$B$81="",-1E+99,'TO HOP NLAN'!D74/ncoc+IF(SUMSQ('TS-PILE'!$E$72:$E$91)=0,0,'TO HOP NLAN'!E74*'TS-PILE'!$E$81/SUMSQ('TS-PILE'!$E$72:$E$91))+IF(SUMSQ('TS-PILE'!$D$72:$D$91)=0,0,'TO HOP NLAN'!F74*'TS-PILE'!$D$81/SUMSQ('TS-PILE'!$D$72:$D$91))),IF('TS-PILE'!$B$82="",-1E+99,'TO HOP NLAN'!D74/ncoc+IF(SUMSQ('TS-PILE'!$E$72:$E$91)=0,0,'TO HOP NLAN'!E74*'TS-PILE'!$E$82/SUMSQ('TS-PILE'!$E$72:$E$91))+IF(SUMSQ('TS-PILE'!$D$72:$D$91)=0,0,'TO HOP NLAN'!F74*'TS-PILE'!$D$82/SUMSQ('TS-PILE'!$D$72:$D$91))),IF('TS-PILE'!$B$83="",-1E+99,'TO HOP NLAN'!D74/ncoc+IF(SUMSQ('TS-PILE'!$E$72:$E$91)=0,0,'TO HOP NLAN'!E74*'TS-PILE'!$E$83/SUMSQ('TS-PILE'!$E$72:$E$91))+IF(SUMSQ('TS-PILE'!$D$72:$D$91)=0,0,'TO HOP NLAN'!F74*'TS-PILE'!$D$83/SUMSQ('TS-PILE'!$D$72:$D$91))),IF('TS-PILE'!$B$84="",-1E+99,'TO HOP NLAN'!D74/ncoc+IF(SUMSQ('TS-PILE'!$E$72:$E$91)=0,0,'TO HOP NLAN'!E74*'TS-PILE'!$E$84/SUMSQ('TS-PILE'!$E$72:$E$91))+IF(SUMSQ('TS-PILE'!$D$72:$D$91)=0,0,'TO HOP NLAN'!F74*'TS-PILE'!$D$84/SUMSQ('TS-PILE'!$D$72:$D$91))),IF('TS-PILE'!$B$85="",-1E+99,'TO HOP NLAN'!D74/ncoc+IF(SUMSQ('TS-PILE'!$E$72:$E$91)=0,0,'TO HOP NLAN'!E74*'TS-PILE'!$E$85/SUMSQ('TS-PILE'!$E$72:$E$91))+IF(SUMSQ('TS-PILE'!$D$72:$D$91)=0,0,'TO HOP NLAN'!F74*'TS-PILE'!$D$85/SUMSQ('TS-PILE'!$D$72:$D$91))),IF('TS-PILE'!$B$86="",-1E+99,'TO HOP NLAN'!D74/ncoc+IF(SUMSQ('TS-PILE'!$E$72:$E$91)=0,0,'TO HOP NLAN'!E74*'TS-PILE'!$E$86/SUMSQ('TS-PILE'!$E$72:$E$91))+IF(SUMSQ('TS-PILE'!$D$72:$D$91)=0,0,'TO HOP NLAN'!F74*'TS-PILE'!$D$86/SUMSQ('TS-PILE'!$D$72:$D$91))),IF('TS-PILE'!$B$87="",-1E+99,'TO HOP NLAN'!D74/ncoc+IF(SUMSQ('TS-PILE'!$E$72:$E$91)=0,0,'TO HOP NLAN'!E74*'TS-PILE'!$E$87/SUMSQ('TS-PILE'!$E$72:$E$91))+IF(SUMSQ('TS-PILE'!$D$72:$D$91)=0,0,'TO HOP NLAN'!F74*'TS-PILE'!$D$87/SUMSQ('TS-PILE'!$D$72:$D$91))),IF('TS-PILE'!$B$88="",-1E+99,'TO HOP NLAN'!D74/ncoc+IF(SUMSQ('TS-PILE'!$E$72:$E$91)=0,0,'TO HOP NLAN'!E74*'TS-PILE'!$E$88/SUMSQ('TS-PILE'!$E$72:$E$91))+IF(SUMSQ('TS-PILE'!$D$72:$D$91)=0,0,'TO HOP NLAN'!F74*'TS-PILE'!$D$88/SUMSQ('TS-PILE'!$D$72:$D$91))),IF('TS-PILE'!$B$89="",-1E+99,'TO HOP NLAN'!D74/ncoc+IF(SUMSQ('TS-PILE'!$E$72:$E$91)=0,0,'TO HOP NLAN'!E74*'TS-PILE'!$E$89/SUMSQ('TS-PILE'!$E$72:$E$91))+IF(SUMSQ('TS-PILE'!$D$72:$D$91)=0,0,'TO HOP NLAN'!F74*'TS-PILE'!$D$89/SUMSQ('TS-PILE'!$D$72:$D$91))),IF('TS-PILE'!$B$90="",-1E+99,'TO HOP NLAN'!D74/ncoc+IF(SUMSQ('TS-PILE'!$E$72:$E$91)=0,0,'TO HOP NLAN'!E74*'TS-PILE'!$E$90/SUMSQ('TS-PILE'!$E$72:$E$91))+IF(SUMSQ('TS-PILE'!$D$72:$D$91)=0,0,'TO HOP NLAN'!F74*'TS-PILE'!$D$90/SUMSQ('TS-PILE'!$D$72:$D$91))),IF('TS-PILE'!$B$91="",-1E+99,'TO HOP NLAN'!D74/ncoc+IF(SUMSQ('TS-PILE'!$E$72:$E$91)=0,0,'TO HOP NLAN'!E74*'TS-PILE'!$E$91/SUMSQ('TS-PILE'!$E$72:$E$91))+IF(SUMSQ('TS-PILE'!$D$72:$D$91)=0,0,'TO HOP NLAN'!F74*'TS-PILE'!$D$91/SUMSQ('TS-PILE'!$D$72:$D$91)))))</f>
        <v>0</v>
      </c>
      <c r="D74" s="58">
        <f>IF(A74="",0,MIN(IF('TS-PILE'!$B$72="",1E+99,'TO HOP NLAN'!D74/ncoc+IF(SUMSQ('TS-PILE'!$E$72:$E$91)=0,0,'TO HOP NLAN'!E74*'TS-PILE'!$E$72/SUMSQ('TS-PILE'!$E$72:$E$91))+IF(SUMSQ('TS-PILE'!$D$72:$D$91)=0,0,'TO HOP NLAN'!F74*'TS-PILE'!$D$72/SUMSQ('TS-PILE'!$D$72:$D$91))),IF('TS-PILE'!$B$73="",1E+99,'TO HOP NLAN'!D74/ncoc+IF(SUMSQ('TS-PILE'!$E$72:$E$91)=0,0,'TO HOP NLAN'!E74*'TS-PILE'!$E$73/SUMSQ('TS-PILE'!$E$72:$E$91))+IF(SUMSQ('TS-PILE'!$D$72:$D$91)=0,0,'TO HOP NLAN'!F74*'TS-PILE'!$D$73/SUMSQ('TS-PILE'!$D$72:$D$91))),IF('TS-PILE'!$B$74="",1E+99,'TO HOP NLAN'!D74/ncoc+IF(SUMSQ('TS-PILE'!$E$72:$E$91)=0,0,'TO HOP NLAN'!E74*'TS-PILE'!$E$74/SUMSQ('TS-PILE'!$E$72:$E$91))+IF(SUMSQ('TS-PILE'!$D$72:$D$91)=0,0,'TO HOP NLAN'!F74*'TS-PILE'!$D$74/SUMSQ('TS-PILE'!$D$72:$D$91))),IF('TS-PILE'!$B$75="",1E+99,'TO HOP NLAN'!D74/ncoc+IF(SUMSQ('TS-PILE'!$E$72:$E$91)=0,0,'TO HOP NLAN'!E74*'TS-PILE'!$E$75/SUMSQ('TS-PILE'!$E$72:$E$91))+IF(SUMSQ('TS-PILE'!$D$72:$D$91)=0,0,'TO HOP NLAN'!F74*'TS-PILE'!$D$75/SUMSQ('TS-PILE'!$D$72:$D$91))),IF('TS-PILE'!$B$76="",1E+99,'TO HOP NLAN'!D74/ncoc+IF(SUMSQ('TS-PILE'!$E$72:$E$91)=0,0,'TO HOP NLAN'!E74*'TS-PILE'!$E$76/SUMSQ('TS-PILE'!$E$72:$E$91))+IF(SUMSQ('TS-PILE'!$D$72:$D$91)=0,0,'TO HOP NLAN'!F74*'TS-PILE'!$D$76/SUMSQ('TS-PILE'!$D$72:$D$91))),IF('TS-PILE'!$B$77="",1E+99,'TO HOP NLAN'!D74/ncoc+IF(SUMSQ('TS-PILE'!$E$72:$E$91)=0,0,'TO HOP NLAN'!E74*'TS-PILE'!$E$77/SUMSQ('TS-PILE'!$E$72:$E$91))+IF(SUMSQ('TS-PILE'!$D$72:$D$91)=0,0,'TO HOP NLAN'!F74*'TS-PILE'!$D$77/SUMSQ('TS-PILE'!$D$72:$D$91))),IF('TS-PILE'!$B$78="",1E+99,'TO HOP NLAN'!D74/ncoc+IF(SUMSQ('TS-PILE'!$E$72:$E$91)=0,0,'TO HOP NLAN'!E74*'TS-PILE'!$E$78/SUMSQ('TS-PILE'!$E$72:$E$91))+IF(SUMSQ('TS-PILE'!$D$72:$D$91)=0,0,'TO HOP NLAN'!F74*'TS-PILE'!$D$78/SUMSQ('TS-PILE'!$D$72:$D$91))),IF('TS-PILE'!$B$79="",1E+99,'TO HOP NLAN'!D74/ncoc+IF(SUMSQ('TS-PILE'!$E$72:$E$91)=0,0,'TO HOP NLAN'!E74*'TS-PILE'!$E$79/SUMSQ('TS-PILE'!$E$72:$E$91))+IF(SUMSQ('TS-PILE'!$D$72:$D$91)=0,0,'TO HOP NLAN'!F74*'TS-PILE'!$D$79/SUMSQ('TS-PILE'!$D$72:$D$91))),IF('TS-PILE'!$B$80="",1E+99,'TO HOP NLAN'!D74/ncoc+IF(SUMSQ('TS-PILE'!$E$72:$E$91)=0,0,'TO HOP NLAN'!E74*'TS-PILE'!$E$80/SUMSQ('TS-PILE'!$E$72:$E$91))+IF(SUMSQ('TS-PILE'!$D$72:$D$91)=0,0,'TO HOP NLAN'!F74*'TS-PILE'!$D$80/SUMSQ('TS-PILE'!$D$72:$D$91))),IF('TS-PILE'!$B$81="",1E+99,'TO HOP NLAN'!D74/ncoc+IF(SUMSQ('TS-PILE'!$E$72:$E$91)=0,0,'TO HOP NLAN'!E74*'TS-PILE'!$E$81/SUMSQ('TS-PILE'!$E$72:$E$91))+IF(SUMSQ('TS-PILE'!$D$72:$D$91)=0,0,'TO HOP NLAN'!F74*'TS-PILE'!$D$81/SUMSQ('TS-PILE'!$D$72:$D$91))),IF('TS-PILE'!$B$82="",1E+99,'TO HOP NLAN'!D74/ncoc+IF(SUMSQ('TS-PILE'!$E$72:$E$91)=0,0,'TO HOP NLAN'!E74*'TS-PILE'!$E$82/SUMSQ('TS-PILE'!$E$72:$E$91))+IF(SUMSQ('TS-PILE'!$D$72:$D$91)=0,0,'TO HOP NLAN'!F74*'TS-PILE'!$D$82/SUMSQ('TS-PILE'!$D$72:$D$91))),IF('TS-PILE'!$B$83="",1E+99,'TO HOP NLAN'!D74/ncoc+IF(SUMSQ('TS-PILE'!$E$72:$E$91)=0,0,'TO HOP NLAN'!E74*'TS-PILE'!$E$83/SUMSQ('TS-PILE'!$E$72:$E$91))+IF(SUMSQ('TS-PILE'!$D$72:$D$91)=0,0,'TO HOP NLAN'!F74*'TS-PILE'!$D$83/SUMSQ('TS-PILE'!$D$72:$D$91))),IF('TS-PILE'!$B$84="",1E+99,'TO HOP NLAN'!D74/ncoc+IF(SUMSQ('TS-PILE'!$E$72:$E$91)=0,0,'TO HOP NLAN'!E74*'TS-PILE'!$E$84/SUMSQ('TS-PILE'!$E$72:$E$91))+IF(SUMSQ('TS-PILE'!$D$72:$D$91)=0,0,'TO HOP NLAN'!F74*'TS-PILE'!$D$84/SUMSQ('TS-PILE'!$D$72:$D$91))),IF('TS-PILE'!$B$85="",1E+99,'TO HOP NLAN'!D74/ncoc+IF(SUMSQ('TS-PILE'!$E$72:$E$91)=0,0,'TO HOP NLAN'!E74*'TS-PILE'!$E$85/SUMSQ('TS-PILE'!$E$72:$E$91))+IF(SUMSQ('TS-PILE'!$D$72:$D$91)=0,0,'TO HOP NLAN'!F74*'TS-PILE'!$D$85/SUMSQ('TS-PILE'!$D$72:$D$91))),IF('TS-PILE'!$B$86="",1E+99,'TO HOP NLAN'!D74/ncoc+IF(SUMSQ('TS-PILE'!$E$72:$E$91)=0,0,'TO HOP NLAN'!E74*'TS-PILE'!$E$86/SUMSQ('TS-PILE'!$E$72:$E$91))+IF(SUMSQ('TS-PILE'!$D$72:$D$91)=0,0,'TO HOP NLAN'!F74*'TS-PILE'!$D$86/SUMSQ('TS-PILE'!$D$72:$D$91))),IF('TS-PILE'!$B$87="",1E+99,'TO HOP NLAN'!D74/ncoc+IF(SUMSQ('TS-PILE'!$E$72:$E$91)=0,0,'TO HOP NLAN'!E74*'TS-PILE'!$E$87/SUMSQ('TS-PILE'!$E$72:$E$91))+IF(SUMSQ('TS-PILE'!$D$72:$D$91)=0,0,'TO HOP NLAN'!F74*'TS-PILE'!$D$87/SUMSQ('TS-PILE'!$D$72:$D$91))),IF('TS-PILE'!$B$88="",1E+99,'TO HOP NLAN'!D74/ncoc+IF(SUMSQ('TS-PILE'!$E$72:$E$91)=0,0,'TO HOP NLAN'!E74*'TS-PILE'!$E$88/SUMSQ('TS-PILE'!$E$72:$E$91))+IF(SUMSQ('TS-PILE'!$D$72:$D$91)=0,0,'TO HOP NLAN'!F74*'TS-PILE'!$D$88/SUMSQ('TS-PILE'!$D$72:$D$91))),IF('TS-PILE'!$B$89="",1E+99,'TO HOP NLAN'!D74/ncoc+IF(SUMSQ('TS-PILE'!$E$72:$E$91)=0,0,'TO HOP NLAN'!E74*'TS-PILE'!$E$89/SUMSQ('TS-PILE'!$E$72:$E$91))+IF(SUMSQ('TS-PILE'!$D$72:$D$91)=0,0,'TO HOP NLAN'!F74*'TS-PILE'!$D$89/SUMSQ('TS-PILE'!$D$72:$D$91))),IF('TS-PILE'!$B$90="",1E+99,'TO HOP NLAN'!D74/ncoc+IF(SUMSQ('TS-PILE'!$E$72:$E$91)=0,0,'TO HOP NLAN'!E74*'TS-PILE'!$E$90/SUMSQ('TS-PILE'!$E$72:$E$91))+IF(SUMSQ('TS-PILE'!$D$72:$D$91)=0,0,'TO HOP NLAN'!F74*'TS-PILE'!$D$90/SUMSQ('TS-PILE'!$D$72:$D$91))),IF('TS-PILE'!$B$91="",1E+99,'TO HOP NLAN'!D74/ncoc+IF(SUMSQ('TS-PILE'!$E$72:$E$91)=0,0,'TO HOP NLAN'!E74*'TS-PILE'!$E$91/SUMSQ('TS-PILE'!$E$72:$E$91))+IF(SUMSQ('TS-PILE'!$D$72:$D$91)=0,0,'TO HOP NLAN'!F74*'TS-PILE'!$D$91/SUMSQ('TS-PILE'!$D$72:$D$91)))))</f>
        <v>0</v>
      </c>
      <c r="E74" s="58">
        <f t="shared" si="4"/>
        <v>-9.9999999999999997E+98</v>
      </c>
      <c r="F74" s="58">
        <f t="shared" si="5"/>
        <v>9.9999999999999997E+98</v>
      </c>
      <c r="G74" s="58">
        <f t="shared" si="6"/>
        <v>-9.9999999999999997E+98</v>
      </c>
      <c r="H74" s="58">
        <f t="shared" si="7"/>
        <v>9.9999999999999997E+98</v>
      </c>
    </row>
    <row r="75" spans="1:8" x14ac:dyDescent="0.3">
      <c r="A75" s="42" t="str">
        <f>'TO HOP NLAN'!A75</f>
        <v/>
      </c>
      <c r="B75" s="42" t="str">
        <f>'TO HOP NLAN'!L75</f>
        <v>SERVICE</v>
      </c>
      <c r="C75" s="58">
        <f>IF(A75="",0,MAX(IF('TS-PILE'!$B$72="",-1E+99,'TO HOP NLAN'!D75/ncoc+IF(SUMSQ('TS-PILE'!$E$72:$E$91)=0,0,'TO HOP NLAN'!E75*'TS-PILE'!$E$72/SUMSQ('TS-PILE'!$E$72:$E$91))+IF(SUMSQ('TS-PILE'!$D$72:$D$91)=0,0,'TO HOP NLAN'!F75*'TS-PILE'!$D$72/SUMSQ('TS-PILE'!$D$72:$D$91))),IF('TS-PILE'!$B$73="",-1E+99,'TO HOP NLAN'!D75/ncoc+IF(SUMSQ('TS-PILE'!$E$72:$E$91)=0,0,'TO HOP NLAN'!E75*'TS-PILE'!$E$73/SUMSQ('TS-PILE'!$E$72:$E$91))+IF(SUMSQ('TS-PILE'!$D$72:$D$91)=0,0,'TO HOP NLAN'!F75*'TS-PILE'!$D$73/SUMSQ('TS-PILE'!$D$72:$D$91))),IF('TS-PILE'!$B$74="",-1E+99,'TO HOP NLAN'!D75/ncoc+IF(SUMSQ('TS-PILE'!$E$72:$E$91)=0,0,'TO HOP NLAN'!E75*'TS-PILE'!$E$74/SUMSQ('TS-PILE'!$E$72:$E$91))+IF(SUMSQ('TS-PILE'!$D$72:$D$91)=0,0,'TO HOP NLAN'!F75*'TS-PILE'!$D$74/SUMSQ('TS-PILE'!$D$72:$D$91))),IF('TS-PILE'!$B$75="",-1E+99,'TO HOP NLAN'!D75/ncoc+IF(SUMSQ('TS-PILE'!$E$72:$E$91)=0,0,'TO HOP NLAN'!E75*'TS-PILE'!$E$75/SUMSQ('TS-PILE'!$E$72:$E$91))+IF(SUMSQ('TS-PILE'!$D$72:$D$91)=0,0,'TO HOP NLAN'!F75*'TS-PILE'!$D$75/SUMSQ('TS-PILE'!$D$72:$D$91))),IF('TS-PILE'!$B$76="",-1E+99,'TO HOP NLAN'!D75/ncoc+IF(SUMSQ('TS-PILE'!$E$72:$E$91)=0,0,'TO HOP NLAN'!E75*'TS-PILE'!$E$76/SUMSQ('TS-PILE'!$E$72:$E$91))+IF(SUMSQ('TS-PILE'!$D$72:$D$91)=0,0,'TO HOP NLAN'!F75*'TS-PILE'!$D$76/SUMSQ('TS-PILE'!$D$72:$D$91))),IF('TS-PILE'!$B$77="",-1E+99,'TO HOP NLAN'!D75/ncoc+IF(SUMSQ('TS-PILE'!$E$72:$E$91)=0,0,'TO HOP NLAN'!E75*'TS-PILE'!$E$77/SUMSQ('TS-PILE'!$E$72:$E$91))+IF(SUMSQ('TS-PILE'!$D$72:$D$91)=0,0,'TO HOP NLAN'!F75*'TS-PILE'!$D$77/SUMSQ('TS-PILE'!$D$72:$D$91))),IF('TS-PILE'!$B$78="",-1E+99,'TO HOP NLAN'!D75/ncoc+IF(SUMSQ('TS-PILE'!$E$72:$E$91)=0,0,'TO HOP NLAN'!E75*'TS-PILE'!$E$78/SUMSQ('TS-PILE'!$E$72:$E$91))+IF(SUMSQ('TS-PILE'!$D$72:$D$91)=0,0,'TO HOP NLAN'!F75*'TS-PILE'!$D$78/SUMSQ('TS-PILE'!$D$72:$D$91))),IF('TS-PILE'!$B$79="",-1E+99,'TO HOP NLAN'!D75/ncoc+IF(SUMSQ('TS-PILE'!$E$72:$E$91)=0,0,'TO HOP NLAN'!E75*'TS-PILE'!$E$79/SUMSQ('TS-PILE'!$E$72:$E$91))+IF(SUMSQ('TS-PILE'!$D$72:$D$91)=0,0,'TO HOP NLAN'!F75*'TS-PILE'!$D$79/SUMSQ('TS-PILE'!$D$72:$D$91))),IF('TS-PILE'!$B$80="",-1E+99,'TO HOP NLAN'!D75/ncoc+IF(SUMSQ('TS-PILE'!$E$72:$E$91)=0,0,'TO HOP NLAN'!E75*'TS-PILE'!$E$80/SUMSQ('TS-PILE'!$E$72:$E$91))+IF(SUMSQ('TS-PILE'!$D$72:$D$91)=0,0,'TO HOP NLAN'!F75*'TS-PILE'!$D$80/SUMSQ('TS-PILE'!$D$72:$D$91))),IF('TS-PILE'!$B$81="",-1E+99,'TO HOP NLAN'!D75/ncoc+IF(SUMSQ('TS-PILE'!$E$72:$E$91)=0,0,'TO HOP NLAN'!E75*'TS-PILE'!$E$81/SUMSQ('TS-PILE'!$E$72:$E$91))+IF(SUMSQ('TS-PILE'!$D$72:$D$91)=0,0,'TO HOP NLAN'!F75*'TS-PILE'!$D$81/SUMSQ('TS-PILE'!$D$72:$D$91))),IF('TS-PILE'!$B$82="",-1E+99,'TO HOP NLAN'!D75/ncoc+IF(SUMSQ('TS-PILE'!$E$72:$E$91)=0,0,'TO HOP NLAN'!E75*'TS-PILE'!$E$82/SUMSQ('TS-PILE'!$E$72:$E$91))+IF(SUMSQ('TS-PILE'!$D$72:$D$91)=0,0,'TO HOP NLAN'!F75*'TS-PILE'!$D$82/SUMSQ('TS-PILE'!$D$72:$D$91))),IF('TS-PILE'!$B$83="",-1E+99,'TO HOP NLAN'!D75/ncoc+IF(SUMSQ('TS-PILE'!$E$72:$E$91)=0,0,'TO HOP NLAN'!E75*'TS-PILE'!$E$83/SUMSQ('TS-PILE'!$E$72:$E$91))+IF(SUMSQ('TS-PILE'!$D$72:$D$91)=0,0,'TO HOP NLAN'!F75*'TS-PILE'!$D$83/SUMSQ('TS-PILE'!$D$72:$D$91))),IF('TS-PILE'!$B$84="",-1E+99,'TO HOP NLAN'!D75/ncoc+IF(SUMSQ('TS-PILE'!$E$72:$E$91)=0,0,'TO HOP NLAN'!E75*'TS-PILE'!$E$84/SUMSQ('TS-PILE'!$E$72:$E$91))+IF(SUMSQ('TS-PILE'!$D$72:$D$91)=0,0,'TO HOP NLAN'!F75*'TS-PILE'!$D$84/SUMSQ('TS-PILE'!$D$72:$D$91))),IF('TS-PILE'!$B$85="",-1E+99,'TO HOP NLAN'!D75/ncoc+IF(SUMSQ('TS-PILE'!$E$72:$E$91)=0,0,'TO HOP NLAN'!E75*'TS-PILE'!$E$85/SUMSQ('TS-PILE'!$E$72:$E$91))+IF(SUMSQ('TS-PILE'!$D$72:$D$91)=0,0,'TO HOP NLAN'!F75*'TS-PILE'!$D$85/SUMSQ('TS-PILE'!$D$72:$D$91))),IF('TS-PILE'!$B$86="",-1E+99,'TO HOP NLAN'!D75/ncoc+IF(SUMSQ('TS-PILE'!$E$72:$E$91)=0,0,'TO HOP NLAN'!E75*'TS-PILE'!$E$86/SUMSQ('TS-PILE'!$E$72:$E$91))+IF(SUMSQ('TS-PILE'!$D$72:$D$91)=0,0,'TO HOP NLAN'!F75*'TS-PILE'!$D$86/SUMSQ('TS-PILE'!$D$72:$D$91))),IF('TS-PILE'!$B$87="",-1E+99,'TO HOP NLAN'!D75/ncoc+IF(SUMSQ('TS-PILE'!$E$72:$E$91)=0,0,'TO HOP NLAN'!E75*'TS-PILE'!$E$87/SUMSQ('TS-PILE'!$E$72:$E$91))+IF(SUMSQ('TS-PILE'!$D$72:$D$91)=0,0,'TO HOP NLAN'!F75*'TS-PILE'!$D$87/SUMSQ('TS-PILE'!$D$72:$D$91))),IF('TS-PILE'!$B$88="",-1E+99,'TO HOP NLAN'!D75/ncoc+IF(SUMSQ('TS-PILE'!$E$72:$E$91)=0,0,'TO HOP NLAN'!E75*'TS-PILE'!$E$88/SUMSQ('TS-PILE'!$E$72:$E$91))+IF(SUMSQ('TS-PILE'!$D$72:$D$91)=0,0,'TO HOP NLAN'!F75*'TS-PILE'!$D$88/SUMSQ('TS-PILE'!$D$72:$D$91))),IF('TS-PILE'!$B$89="",-1E+99,'TO HOP NLAN'!D75/ncoc+IF(SUMSQ('TS-PILE'!$E$72:$E$91)=0,0,'TO HOP NLAN'!E75*'TS-PILE'!$E$89/SUMSQ('TS-PILE'!$E$72:$E$91))+IF(SUMSQ('TS-PILE'!$D$72:$D$91)=0,0,'TO HOP NLAN'!F75*'TS-PILE'!$D$89/SUMSQ('TS-PILE'!$D$72:$D$91))),IF('TS-PILE'!$B$90="",-1E+99,'TO HOP NLAN'!D75/ncoc+IF(SUMSQ('TS-PILE'!$E$72:$E$91)=0,0,'TO HOP NLAN'!E75*'TS-PILE'!$E$90/SUMSQ('TS-PILE'!$E$72:$E$91))+IF(SUMSQ('TS-PILE'!$D$72:$D$91)=0,0,'TO HOP NLAN'!F75*'TS-PILE'!$D$90/SUMSQ('TS-PILE'!$D$72:$D$91))),IF('TS-PILE'!$B$91="",-1E+99,'TO HOP NLAN'!D75/ncoc+IF(SUMSQ('TS-PILE'!$E$72:$E$91)=0,0,'TO HOP NLAN'!E75*'TS-PILE'!$E$91/SUMSQ('TS-PILE'!$E$72:$E$91))+IF(SUMSQ('TS-PILE'!$D$72:$D$91)=0,0,'TO HOP NLAN'!F75*'TS-PILE'!$D$91/SUMSQ('TS-PILE'!$D$72:$D$91)))))</f>
        <v>0</v>
      </c>
      <c r="D75" s="58">
        <f>IF(A75="",0,MIN(IF('TS-PILE'!$B$72="",1E+99,'TO HOP NLAN'!D75/ncoc+IF(SUMSQ('TS-PILE'!$E$72:$E$91)=0,0,'TO HOP NLAN'!E75*'TS-PILE'!$E$72/SUMSQ('TS-PILE'!$E$72:$E$91))+IF(SUMSQ('TS-PILE'!$D$72:$D$91)=0,0,'TO HOP NLAN'!F75*'TS-PILE'!$D$72/SUMSQ('TS-PILE'!$D$72:$D$91))),IF('TS-PILE'!$B$73="",1E+99,'TO HOP NLAN'!D75/ncoc+IF(SUMSQ('TS-PILE'!$E$72:$E$91)=0,0,'TO HOP NLAN'!E75*'TS-PILE'!$E$73/SUMSQ('TS-PILE'!$E$72:$E$91))+IF(SUMSQ('TS-PILE'!$D$72:$D$91)=0,0,'TO HOP NLAN'!F75*'TS-PILE'!$D$73/SUMSQ('TS-PILE'!$D$72:$D$91))),IF('TS-PILE'!$B$74="",1E+99,'TO HOP NLAN'!D75/ncoc+IF(SUMSQ('TS-PILE'!$E$72:$E$91)=0,0,'TO HOP NLAN'!E75*'TS-PILE'!$E$74/SUMSQ('TS-PILE'!$E$72:$E$91))+IF(SUMSQ('TS-PILE'!$D$72:$D$91)=0,0,'TO HOP NLAN'!F75*'TS-PILE'!$D$74/SUMSQ('TS-PILE'!$D$72:$D$91))),IF('TS-PILE'!$B$75="",1E+99,'TO HOP NLAN'!D75/ncoc+IF(SUMSQ('TS-PILE'!$E$72:$E$91)=0,0,'TO HOP NLAN'!E75*'TS-PILE'!$E$75/SUMSQ('TS-PILE'!$E$72:$E$91))+IF(SUMSQ('TS-PILE'!$D$72:$D$91)=0,0,'TO HOP NLAN'!F75*'TS-PILE'!$D$75/SUMSQ('TS-PILE'!$D$72:$D$91))),IF('TS-PILE'!$B$76="",1E+99,'TO HOP NLAN'!D75/ncoc+IF(SUMSQ('TS-PILE'!$E$72:$E$91)=0,0,'TO HOP NLAN'!E75*'TS-PILE'!$E$76/SUMSQ('TS-PILE'!$E$72:$E$91))+IF(SUMSQ('TS-PILE'!$D$72:$D$91)=0,0,'TO HOP NLAN'!F75*'TS-PILE'!$D$76/SUMSQ('TS-PILE'!$D$72:$D$91))),IF('TS-PILE'!$B$77="",1E+99,'TO HOP NLAN'!D75/ncoc+IF(SUMSQ('TS-PILE'!$E$72:$E$91)=0,0,'TO HOP NLAN'!E75*'TS-PILE'!$E$77/SUMSQ('TS-PILE'!$E$72:$E$91))+IF(SUMSQ('TS-PILE'!$D$72:$D$91)=0,0,'TO HOP NLAN'!F75*'TS-PILE'!$D$77/SUMSQ('TS-PILE'!$D$72:$D$91))),IF('TS-PILE'!$B$78="",1E+99,'TO HOP NLAN'!D75/ncoc+IF(SUMSQ('TS-PILE'!$E$72:$E$91)=0,0,'TO HOP NLAN'!E75*'TS-PILE'!$E$78/SUMSQ('TS-PILE'!$E$72:$E$91))+IF(SUMSQ('TS-PILE'!$D$72:$D$91)=0,0,'TO HOP NLAN'!F75*'TS-PILE'!$D$78/SUMSQ('TS-PILE'!$D$72:$D$91))),IF('TS-PILE'!$B$79="",1E+99,'TO HOP NLAN'!D75/ncoc+IF(SUMSQ('TS-PILE'!$E$72:$E$91)=0,0,'TO HOP NLAN'!E75*'TS-PILE'!$E$79/SUMSQ('TS-PILE'!$E$72:$E$91))+IF(SUMSQ('TS-PILE'!$D$72:$D$91)=0,0,'TO HOP NLAN'!F75*'TS-PILE'!$D$79/SUMSQ('TS-PILE'!$D$72:$D$91))),IF('TS-PILE'!$B$80="",1E+99,'TO HOP NLAN'!D75/ncoc+IF(SUMSQ('TS-PILE'!$E$72:$E$91)=0,0,'TO HOP NLAN'!E75*'TS-PILE'!$E$80/SUMSQ('TS-PILE'!$E$72:$E$91))+IF(SUMSQ('TS-PILE'!$D$72:$D$91)=0,0,'TO HOP NLAN'!F75*'TS-PILE'!$D$80/SUMSQ('TS-PILE'!$D$72:$D$91))),IF('TS-PILE'!$B$81="",1E+99,'TO HOP NLAN'!D75/ncoc+IF(SUMSQ('TS-PILE'!$E$72:$E$91)=0,0,'TO HOP NLAN'!E75*'TS-PILE'!$E$81/SUMSQ('TS-PILE'!$E$72:$E$91))+IF(SUMSQ('TS-PILE'!$D$72:$D$91)=0,0,'TO HOP NLAN'!F75*'TS-PILE'!$D$81/SUMSQ('TS-PILE'!$D$72:$D$91))),IF('TS-PILE'!$B$82="",1E+99,'TO HOP NLAN'!D75/ncoc+IF(SUMSQ('TS-PILE'!$E$72:$E$91)=0,0,'TO HOP NLAN'!E75*'TS-PILE'!$E$82/SUMSQ('TS-PILE'!$E$72:$E$91))+IF(SUMSQ('TS-PILE'!$D$72:$D$91)=0,0,'TO HOP NLAN'!F75*'TS-PILE'!$D$82/SUMSQ('TS-PILE'!$D$72:$D$91))),IF('TS-PILE'!$B$83="",1E+99,'TO HOP NLAN'!D75/ncoc+IF(SUMSQ('TS-PILE'!$E$72:$E$91)=0,0,'TO HOP NLAN'!E75*'TS-PILE'!$E$83/SUMSQ('TS-PILE'!$E$72:$E$91))+IF(SUMSQ('TS-PILE'!$D$72:$D$91)=0,0,'TO HOP NLAN'!F75*'TS-PILE'!$D$83/SUMSQ('TS-PILE'!$D$72:$D$91))),IF('TS-PILE'!$B$84="",1E+99,'TO HOP NLAN'!D75/ncoc+IF(SUMSQ('TS-PILE'!$E$72:$E$91)=0,0,'TO HOP NLAN'!E75*'TS-PILE'!$E$84/SUMSQ('TS-PILE'!$E$72:$E$91))+IF(SUMSQ('TS-PILE'!$D$72:$D$91)=0,0,'TO HOP NLAN'!F75*'TS-PILE'!$D$84/SUMSQ('TS-PILE'!$D$72:$D$91))),IF('TS-PILE'!$B$85="",1E+99,'TO HOP NLAN'!D75/ncoc+IF(SUMSQ('TS-PILE'!$E$72:$E$91)=0,0,'TO HOP NLAN'!E75*'TS-PILE'!$E$85/SUMSQ('TS-PILE'!$E$72:$E$91))+IF(SUMSQ('TS-PILE'!$D$72:$D$91)=0,0,'TO HOP NLAN'!F75*'TS-PILE'!$D$85/SUMSQ('TS-PILE'!$D$72:$D$91))),IF('TS-PILE'!$B$86="",1E+99,'TO HOP NLAN'!D75/ncoc+IF(SUMSQ('TS-PILE'!$E$72:$E$91)=0,0,'TO HOP NLAN'!E75*'TS-PILE'!$E$86/SUMSQ('TS-PILE'!$E$72:$E$91))+IF(SUMSQ('TS-PILE'!$D$72:$D$91)=0,0,'TO HOP NLAN'!F75*'TS-PILE'!$D$86/SUMSQ('TS-PILE'!$D$72:$D$91))),IF('TS-PILE'!$B$87="",1E+99,'TO HOP NLAN'!D75/ncoc+IF(SUMSQ('TS-PILE'!$E$72:$E$91)=0,0,'TO HOP NLAN'!E75*'TS-PILE'!$E$87/SUMSQ('TS-PILE'!$E$72:$E$91))+IF(SUMSQ('TS-PILE'!$D$72:$D$91)=0,0,'TO HOP NLAN'!F75*'TS-PILE'!$D$87/SUMSQ('TS-PILE'!$D$72:$D$91))),IF('TS-PILE'!$B$88="",1E+99,'TO HOP NLAN'!D75/ncoc+IF(SUMSQ('TS-PILE'!$E$72:$E$91)=0,0,'TO HOP NLAN'!E75*'TS-PILE'!$E$88/SUMSQ('TS-PILE'!$E$72:$E$91))+IF(SUMSQ('TS-PILE'!$D$72:$D$91)=0,0,'TO HOP NLAN'!F75*'TS-PILE'!$D$88/SUMSQ('TS-PILE'!$D$72:$D$91))),IF('TS-PILE'!$B$89="",1E+99,'TO HOP NLAN'!D75/ncoc+IF(SUMSQ('TS-PILE'!$E$72:$E$91)=0,0,'TO HOP NLAN'!E75*'TS-PILE'!$E$89/SUMSQ('TS-PILE'!$E$72:$E$91))+IF(SUMSQ('TS-PILE'!$D$72:$D$91)=0,0,'TO HOP NLAN'!F75*'TS-PILE'!$D$89/SUMSQ('TS-PILE'!$D$72:$D$91))),IF('TS-PILE'!$B$90="",1E+99,'TO HOP NLAN'!D75/ncoc+IF(SUMSQ('TS-PILE'!$E$72:$E$91)=0,0,'TO HOP NLAN'!E75*'TS-PILE'!$E$90/SUMSQ('TS-PILE'!$E$72:$E$91))+IF(SUMSQ('TS-PILE'!$D$72:$D$91)=0,0,'TO HOP NLAN'!F75*'TS-PILE'!$D$90/SUMSQ('TS-PILE'!$D$72:$D$91))),IF('TS-PILE'!$B$91="",1E+99,'TO HOP NLAN'!D75/ncoc+IF(SUMSQ('TS-PILE'!$E$72:$E$91)=0,0,'TO HOP NLAN'!E75*'TS-PILE'!$E$91/SUMSQ('TS-PILE'!$E$72:$E$91))+IF(SUMSQ('TS-PILE'!$D$72:$D$91)=0,0,'TO HOP NLAN'!F75*'TS-PILE'!$D$91/SUMSQ('TS-PILE'!$D$72:$D$91)))))</f>
        <v>0</v>
      </c>
      <c r="E75" s="58">
        <f t="shared" si="4"/>
        <v>-9.9999999999999997E+98</v>
      </c>
      <c r="F75" s="58">
        <f t="shared" si="5"/>
        <v>9.9999999999999997E+98</v>
      </c>
      <c r="G75" s="58">
        <f t="shared" si="6"/>
        <v>-9.9999999999999997E+98</v>
      </c>
      <c r="H75" s="58">
        <f t="shared" si="7"/>
        <v>9.9999999999999997E+98</v>
      </c>
    </row>
    <row r="76" spans="1:8" x14ac:dyDescent="0.3">
      <c r="A76" s="42" t="str">
        <f>'TO HOP NLAN'!A76</f>
        <v/>
      </c>
      <c r="B76" s="42" t="str">
        <f>'TO HOP NLAN'!L76</f>
        <v>SERVICE</v>
      </c>
      <c r="C76" s="58">
        <f>IF(A76="",0,MAX(IF('TS-PILE'!$B$72="",-1E+99,'TO HOP NLAN'!D76/ncoc+IF(SUMSQ('TS-PILE'!$E$72:$E$91)=0,0,'TO HOP NLAN'!E76*'TS-PILE'!$E$72/SUMSQ('TS-PILE'!$E$72:$E$91))+IF(SUMSQ('TS-PILE'!$D$72:$D$91)=0,0,'TO HOP NLAN'!F76*'TS-PILE'!$D$72/SUMSQ('TS-PILE'!$D$72:$D$91))),IF('TS-PILE'!$B$73="",-1E+99,'TO HOP NLAN'!D76/ncoc+IF(SUMSQ('TS-PILE'!$E$72:$E$91)=0,0,'TO HOP NLAN'!E76*'TS-PILE'!$E$73/SUMSQ('TS-PILE'!$E$72:$E$91))+IF(SUMSQ('TS-PILE'!$D$72:$D$91)=0,0,'TO HOP NLAN'!F76*'TS-PILE'!$D$73/SUMSQ('TS-PILE'!$D$72:$D$91))),IF('TS-PILE'!$B$74="",-1E+99,'TO HOP NLAN'!D76/ncoc+IF(SUMSQ('TS-PILE'!$E$72:$E$91)=0,0,'TO HOP NLAN'!E76*'TS-PILE'!$E$74/SUMSQ('TS-PILE'!$E$72:$E$91))+IF(SUMSQ('TS-PILE'!$D$72:$D$91)=0,0,'TO HOP NLAN'!F76*'TS-PILE'!$D$74/SUMSQ('TS-PILE'!$D$72:$D$91))),IF('TS-PILE'!$B$75="",-1E+99,'TO HOP NLAN'!D76/ncoc+IF(SUMSQ('TS-PILE'!$E$72:$E$91)=0,0,'TO HOP NLAN'!E76*'TS-PILE'!$E$75/SUMSQ('TS-PILE'!$E$72:$E$91))+IF(SUMSQ('TS-PILE'!$D$72:$D$91)=0,0,'TO HOP NLAN'!F76*'TS-PILE'!$D$75/SUMSQ('TS-PILE'!$D$72:$D$91))),IF('TS-PILE'!$B$76="",-1E+99,'TO HOP NLAN'!D76/ncoc+IF(SUMSQ('TS-PILE'!$E$72:$E$91)=0,0,'TO HOP NLAN'!E76*'TS-PILE'!$E$76/SUMSQ('TS-PILE'!$E$72:$E$91))+IF(SUMSQ('TS-PILE'!$D$72:$D$91)=0,0,'TO HOP NLAN'!F76*'TS-PILE'!$D$76/SUMSQ('TS-PILE'!$D$72:$D$91))),IF('TS-PILE'!$B$77="",-1E+99,'TO HOP NLAN'!D76/ncoc+IF(SUMSQ('TS-PILE'!$E$72:$E$91)=0,0,'TO HOP NLAN'!E76*'TS-PILE'!$E$77/SUMSQ('TS-PILE'!$E$72:$E$91))+IF(SUMSQ('TS-PILE'!$D$72:$D$91)=0,0,'TO HOP NLAN'!F76*'TS-PILE'!$D$77/SUMSQ('TS-PILE'!$D$72:$D$91))),IF('TS-PILE'!$B$78="",-1E+99,'TO HOP NLAN'!D76/ncoc+IF(SUMSQ('TS-PILE'!$E$72:$E$91)=0,0,'TO HOP NLAN'!E76*'TS-PILE'!$E$78/SUMSQ('TS-PILE'!$E$72:$E$91))+IF(SUMSQ('TS-PILE'!$D$72:$D$91)=0,0,'TO HOP NLAN'!F76*'TS-PILE'!$D$78/SUMSQ('TS-PILE'!$D$72:$D$91))),IF('TS-PILE'!$B$79="",-1E+99,'TO HOP NLAN'!D76/ncoc+IF(SUMSQ('TS-PILE'!$E$72:$E$91)=0,0,'TO HOP NLAN'!E76*'TS-PILE'!$E$79/SUMSQ('TS-PILE'!$E$72:$E$91))+IF(SUMSQ('TS-PILE'!$D$72:$D$91)=0,0,'TO HOP NLAN'!F76*'TS-PILE'!$D$79/SUMSQ('TS-PILE'!$D$72:$D$91))),IF('TS-PILE'!$B$80="",-1E+99,'TO HOP NLAN'!D76/ncoc+IF(SUMSQ('TS-PILE'!$E$72:$E$91)=0,0,'TO HOP NLAN'!E76*'TS-PILE'!$E$80/SUMSQ('TS-PILE'!$E$72:$E$91))+IF(SUMSQ('TS-PILE'!$D$72:$D$91)=0,0,'TO HOP NLAN'!F76*'TS-PILE'!$D$80/SUMSQ('TS-PILE'!$D$72:$D$91))),IF('TS-PILE'!$B$81="",-1E+99,'TO HOP NLAN'!D76/ncoc+IF(SUMSQ('TS-PILE'!$E$72:$E$91)=0,0,'TO HOP NLAN'!E76*'TS-PILE'!$E$81/SUMSQ('TS-PILE'!$E$72:$E$91))+IF(SUMSQ('TS-PILE'!$D$72:$D$91)=0,0,'TO HOP NLAN'!F76*'TS-PILE'!$D$81/SUMSQ('TS-PILE'!$D$72:$D$91))),IF('TS-PILE'!$B$82="",-1E+99,'TO HOP NLAN'!D76/ncoc+IF(SUMSQ('TS-PILE'!$E$72:$E$91)=0,0,'TO HOP NLAN'!E76*'TS-PILE'!$E$82/SUMSQ('TS-PILE'!$E$72:$E$91))+IF(SUMSQ('TS-PILE'!$D$72:$D$91)=0,0,'TO HOP NLAN'!F76*'TS-PILE'!$D$82/SUMSQ('TS-PILE'!$D$72:$D$91))),IF('TS-PILE'!$B$83="",-1E+99,'TO HOP NLAN'!D76/ncoc+IF(SUMSQ('TS-PILE'!$E$72:$E$91)=0,0,'TO HOP NLAN'!E76*'TS-PILE'!$E$83/SUMSQ('TS-PILE'!$E$72:$E$91))+IF(SUMSQ('TS-PILE'!$D$72:$D$91)=0,0,'TO HOP NLAN'!F76*'TS-PILE'!$D$83/SUMSQ('TS-PILE'!$D$72:$D$91))),IF('TS-PILE'!$B$84="",-1E+99,'TO HOP NLAN'!D76/ncoc+IF(SUMSQ('TS-PILE'!$E$72:$E$91)=0,0,'TO HOP NLAN'!E76*'TS-PILE'!$E$84/SUMSQ('TS-PILE'!$E$72:$E$91))+IF(SUMSQ('TS-PILE'!$D$72:$D$91)=0,0,'TO HOP NLAN'!F76*'TS-PILE'!$D$84/SUMSQ('TS-PILE'!$D$72:$D$91))),IF('TS-PILE'!$B$85="",-1E+99,'TO HOP NLAN'!D76/ncoc+IF(SUMSQ('TS-PILE'!$E$72:$E$91)=0,0,'TO HOP NLAN'!E76*'TS-PILE'!$E$85/SUMSQ('TS-PILE'!$E$72:$E$91))+IF(SUMSQ('TS-PILE'!$D$72:$D$91)=0,0,'TO HOP NLAN'!F76*'TS-PILE'!$D$85/SUMSQ('TS-PILE'!$D$72:$D$91))),IF('TS-PILE'!$B$86="",-1E+99,'TO HOP NLAN'!D76/ncoc+IF(SUMSQ('TS-PILE'!$E$72:$E$91)=0,0,'TO HOP NLAN'!E76*'TS-PILE'!$E$86/SUMSQ('TS-PILE'!$E$72:$E$91))+IF(SUMSQ('TS-PILE'!$D$72:$D$91)=0,0,'TO HOP NLAN'!F76*'TS-PILE'!$D$86/SUMSQ('TS-PILE'!$D$72:$D$91))),IF('TS-PILE'!$B$87="",-1E+99,'TO HOP NLAN'!D76/ncoc+IF(SUMSQ('TS-PILE'!$E$72:$E$91)=0,0,'TO HOP NLAN'!E76*'TS-PILE'!$E$87/SUMSQ('TS-PILE'!$E$72:$E$91))+IF(SUMSQ('TS-PILE'!$D$72:$D$91)=0,0,'TO HOP NLAN'!F76*'TS-PILE'!$D$87/SUMSQ('TS-PILE'!$D$72:$D$91))),IF('TS-PILE'!$B$88="",-1E+99,'TO HOP NLAN'!D76/ncoc+IF(SUMSQ('TS-PILE'!$E$72:$E$91)=0,0,'TO HOP NLAN'!E76*'TS-PILE'!$E$88/SUMSQ('TS-PILE'!$E$72:$E$91))+IF(SUMSQ('TS-PILE'!$D$72:$D$91)=0,0,'TO HOP NLAN'!F76*'TS-PILE'!$D$88/SUMSQ('TS-PILE'!$D$72:$D$91))),IF('TS-PILE'!$B$89="",-1E+99,'TO HOP NLAN'!D76/ncoc+IF(SUMSQ('TS-PILE'!$E$72:$E$91)=0,0,'TO HOP NLAN'!E76*'TS-PILE'!$E$89/SUMSQ('TS-PILE'!$E$72:$E$91))+IF(SUMSQ('TS-PILE'!$D$72:$D$91)=0,0,'TO HOP NLAN'!F76*'TS-PILE'!$D$89/SUMSQ('TS-PILE'!$D$72:$D$91))),IF('TS-PILE'!$B$90="",-1E+99,'TO HOP NLAN'!D76/ncoc+IF(SUMSQ('TS-PILE'!$E$72:$E$91)=0,0,'TO HOP NLAN'!E76*'TS-PILE'!$E$90/SUMSQ('TS-PILE'!$E$72:$E$91))+IF(SUMSQ('TS-PILE'!$D$72:$D$91)=0,0,'TO HOP NLAN'!F76*'TS-PILE'!$D$90/SUMSQ('TS-PILE'!$D$72:$D$91))),IF('TS-PILE'!$B$91="",-1E+99,'TO HOP NLAN'!D76/ncoc+IF(SUMSQ('TS-PILE'!$E$72:$E$91)=0,0,'TO HOP NLAN'!E76*'TS-PILE'!$E$91/SUMSQ('TS-PILE'!$E$72:$E$91))+IF(SUMSQ('TS-PILE'!$D$72:$D$91)=0,0,'TO HOP NLAN'!F76*'TS-PILE'!$D$91/SUMSQ('TS-PILE'!$D$72:$D$91)))))</f>
        <v>0</v>
      </c>
      <c r="D76" s="58">
        <f>IF(A76="",0,MIN(IF('TS-PILE'!$B$72="",1E+99,'TO HOP NLAN'!D76/ncoc+IF(SUMSQ('TS-PILE'!$E$72:$E$91)=0,0,'TO HOP NLAN'!E76*'TS-PILE'!$E$72/SUMSQ('TS-PILE'!$E$72:$E$91))+IF(SUMSQ('TS-PILE'!$D$72:$D$91)=0,0,'TO HOP NLAN'!F76*'TS-PILE'!$D$72/SUMSQ('TS-PILE'!$D$72:$D$91))),IF('TS-PILE'!$B$73="",1E+99,'TO HOP NLAN'!D76/ncoc+IF(SUMSQ('TS-PILE'!$E$72:$E$91)=0,0,'TO HOP NLAN'!E76*'TS-PILE'!$E$73/SUMSQ('TS-PILE'!$E$72:$E$91))+IF(SUMSQ('TS-PILE'!$D$72:$D$91)=0,0,'TO HOP NLAN'!F76*'TS-PILE'!$D$73/SUMSQ('TS-PILE'!$D$72:$D$91))),IF('TS-PILE'!$B$74="",1E+99,'TO HOP NLAN'!D76/ncoc+IF(SUMSQ('TS-PILE'!$E$72:$E$91)=0,0,'TO HOP NLAN'!E76*'TS-PILE'!$E$74/SUMSQ('TS-PILE'!$E$72:$E$91))+IF(SUMSQ('TS-PILE'!$D$72:$D$91)=0,0,'TO HOP NLAN'!F76*'TS-PILE'!$D$74/SUMSQ('TS-PILE'!$D$72:$D$91))),IF('TS-PILE'!$B$75="",1E+99,'TO HOP NLAN'!D76/ncoc+IF(SUMSQ('TS-PILE'!$E$72:$E$91)=0,0,'TO HOP NLAN'!E76*'TS-PILE'!$E$75/SUMSQ('TS-PILE'!$E$72:$E$91))+IF(SUMSQ('TS-PILE'!$D$72:$D$91)=0,0,'TO HOP NLAN'!F76*'TS-PILE'!$D$75/SUMSQ('TS-PILE'!$D$72:$D$91))),IF('TS-PILE'!$B$76="",1E+99,'TO HOP NLAN'!D76/ncoc+IF(SUMSQ('TS-PILE'!$E$72:$E$91)=0,0,'TO HOP NLAN'!E76*'TS-PILE'!$E$76/SUMSQ('TS-PILE'!$E$72:$E$91))+IF(SUMSQ('TS-PILE'!$D$72:$D$91)=0,0,'TO HOP NLAN'!F76*'TS-PILE'!$D$76/SUMSQ('TS-PILE'!$D$72:$D$91))),IF('TS-PILE'!$B$77="",1E+99,'TO HOP NLAN'!D76/ncoc+IF(SUMSQ('TS-PILE'!$E$72:$E$91)=0,0,'TO HOP NLAN'!E76*'TS-PILE'!$E$77/SUMSQ('TS-PILE'!$E$72:$E$91))+IF(SUMSQ('TS-PILE'!$D$72:$D$91)=0,0,'TO HOP NLAN'!F76*'TS-PILE'!$D$77/SUMSQ('TS-PILE'!$D$72:$D$91))),IF('TS-PILE'!$B$78="",1E+99,'TO HOP NLAN'!D76/ncoc+IF(SUMSQ('TS-PILE'!$E$72:$E$91)=0,0,'TO HOP NLAN'!E76*'TS-PILE'!$E$78/SUMSQ('TS-PILE'!$E$72:$E$91))+IF(SUMSQ('TS-PILE'!$D$72:$D$91)=0,0,'TO HOP NLAN'!F76*'TS-PILE'!$D$78/SUMSQ('TS-PILE'!$D$72:$D$91))),IF('TS-PILE'!$B$79="",1E+99,'TO HOP NLAN'!D76/ncoc+IF(SUMSQ('TS-PILE'!$E$72:$E$91)=0,0,'TO HOP NLAN'!E76*'TS-PILE'!$E$79/SUMSQ('TS-PILE'!$E$72:$E$91))+IF(SUMSQ('TS-PILE'!$D$72:$D$91)=0,0,'TO HOP NLAN'!F76*'TS-PILE'!$D$79/SUMSQ('TS-PILE'!$D$72:$D$91))),IF('TS-PILE'!$B$80="",1E+99,'TO HOP NLAN'!D76/ncoc+IF(SUMSQ('TS-PILE'!$E$72:$E$91)=0,0,'TO HOP NLAN'!E76*'TS-PILE'!$E$80/SUMSQ('TS-PILE'!$E$72:$E$91))+IF(SUMSQ('TS-PILE'!$D$72:$D$91)=0,0,'TO HOP NLAN'!F76*'TS-PILE'!$D$80/SUMSQ('TS-PILE'!$D$72:$D$91))),IF('TS-PILE'!$B$81="",1E+99,'TO HOP NLAN'!D76/ncoc+IF(SUMSQ('TS-PILE'!$E$72:$E$91)=0,0,'TO HOP NLAN'!E76*'TS-PILE'!$E$81/SUMSQ('TS-PILE'!$E$72:$E$91))+IF(SUMSQ('TS-PILE'!$D$72:$D$91)=0,0,'TO HOP NLAN'!F76*'TS-PILE'!$D$81/SUMSQ('TS-PILE'!$D$72:$D$91))),IF('TS-PILE'!$B$82="",1E+99,'TO HOP NLAN'!D76/ncoc+IF(SUMSQ('TS-PILE'!$E$72:$E$91)=0,0,'TO HOP NLAN'!E76*'TS-PILE'!$E$82/SUMSQ('TS-PILE'!$E$72:$E$91))+IF(SUMSQ('TS-PILE'!$D$72:$D$91)=0,0,'TO HOP NLAN'!F76*'TS-PILE'!$D$82/SUMSQ('TS-PILE'!$D$72:$D$91))),IF('TS-PILE'!$B$83="",1E+99,'TO HOP NLAN'!D76/ncoc+IF(SUMSQ('TS-PILE'!$E$72:$E$91)=0,0,'TO HOP NLAN'!E76*'TS-PILE'!$E$83/SUMSQ('TS-PILE'!$E$72:$E$91))+IF(SUMSQ('TS-PILE'!$D$72:$D$91)=0,0,'TO HOP NLAN'!F76*'TS-PILE'!$D$83/SUMSQ('TS-PILE'!$D$72:$D$91))),IF('TS-PILE'!$B$84="",1E+99,'TO HOP NLAN'!D76/ncoc+IF(SUMSQ('TS-PILE'!$E$72:$E$91)=0,0,'TO HOP NLAN'!E76*'TS-PILE'!$E$84/SUMSQ('TS-PILE'!$E$72:$E$91))+IF(SUMSQ('TS-PILE'!$D$72:$D$91)=0,0,'TO HOP NLAN'!F76*'TS-PILE'!$D$84/SUMSQ('TS-PILE'!$D$72:$D$91))),IF('TS-PILE'!$B$85="",1E+99,'TO HOP NLAN'!D76/ncoc+IF(SUMSQ('TS-PILE'!$E$72:$E$91)=0,0,'TO HOP NLAN'!E76*'TS-PILE'!$E$85/SUMSQ('TS-PILE'!$E$72:$E$91))+IF(SUMSQ('TS-PILE'!$D$72:$D$91)=0,0,'TO HOP NLAN'!F76*'TS-PILE'!$D$85/SUMSQ('TS-PILE'!$D$72:$D$91))),IF('TS-PILE'!$B$86="",1E+99,'TO HOP NLAN'!D76/ncoc+IF(SUMSQ('TS-PILE'!$E$72:$E$91)=0,0,'TO HOP NLAN'!E76*'TS-PILE'!$E$86/SUMSQ('TS-PILE'!$E$72:$E$91))+IF(SUMSQ('TS-PILE'!$D$72:$D$91)=0,0,'TO HOP NLAN'!F76*'TS-PILE'!$D$86/SUMSQ('TS-PILE'!$D$72:$D$91))),IF('TS-PILE'!$B$87="",1E+99,'TO HOP NLAN'!D76/ncoc+IF(SUMSQ('TS-PILE'!$E$72:$E$91)=0,0,'TO HOP NLAN'!E76*'TS-PILE'!$E$87/SUMSQ('TS-PILE'!$E$72:$E$91))+IF(SUMSQ('TS-PILE'!$D$72:$D$91)=0,0,'TO HOP NLAN'!F76*'TS-PILE'!$D$87/SUMSQ('TS-PILE'!$D$72:$D$91))),IF('TS-PILE'!$B$88="",1E+99,'TO HOP NLAN'!D76/ncoc+IF(SUMSQ('TS-PILE'!$E$72:$E$91)=0,0,'TO HOP NLAN'!E76*'TS-PILE'!$E$88/SUMSQ('TS-PILE'!$E$72:$E$91))+IF(SUMSQ('TS-PILE'!$D$72:$D$91)=0,0,'TO HOP NLAN'!F76*'TS-PILE'!$D$88/SUMSQ('TS-PILE'!$D$72:$D$91))),IF('TS-PILE'!$B$89="",1E+99,'TO HOP NLAN'!D76/ncoc+IF(SUMSQ('TS-PILE'!$E$72:$E$91)=0,0,'TO HOP NLAN'!E76*'TS-PILE'!$E$89/SUMSQ('TS-PILE'!$E$72:$E$91))+IF(SUMSQ('TS-PILE'!$D$72:$D$91)=0,0,'TO HOP NLAN'!F76*'TS-PILE'!$D$89/SUMSQ('TS-PILE'!$D$72:$D$91))),IF('TS-PILE'!$B$90="",1E+99,'TO HOP NLAN'!D76/ncoc+IF(SUMSQ('TS-PILE'!$E$72:$E$91)=0,0,'TO HOP NLAN'!E76*'TS-PILE'!$E$90/SUMSQ('TS-PILE'!$E$72:$E$91))+IF(SUMSQ('TS-PILE'!$D$72:$D$91)=0,0,'TO HOP NLAN'!F76*'TS-PILE'!$D$90/SUMSQ('TS-PILE'!$D$72:$D$91))),IF('TS-PILE'!$B$91="",1E+99,'TO HOP NLAN'!D76/ncoc+IF(SUMSQ('TS-PILE'!$E$72:$E$91)=0,0,'TO HOP NLAN'!E76*'TS-PILE'!$E$91/SUMSQ('TS-PILE'!$E$72:$E$91))+IF(SUMSQ('TS-PILE'!$D$72:$D$91)=0,0,'TO HOP NLAN'!F76*'TS-PILE'!$D$91/SUMSQ('TS-PILE'!$D$72:$D$91)))))</f>
        <v>0</v>
      </c>
      <c r="E76" s="58">
        <f t="shared" si="4"/>
        <v>-9.9999999999999997E+98</v>
      </c>
      <c r="F76" s="58">
        <f t="shared" si="5"/>
        <v>9.9999999999999997E+98</v>
      </c>
      <c r="G76" s="58">
        <f t="shared" si="6"/>
        <v>-9.9999999999999997E+98</v>
      </c>
      <c r="H76" s="58">
        <f t="shared" si="7"/>
        <v>9.9999999999999997E+98</v>
      </c>
    </row>
    <row r="77" spans="1:8" x14ac:dyDescent="0.3">
      <c r="A77" s="42" t="str">
        <f>'TO HOP NLAN'!A77</f>
        <v/>
      </c>
      <c r="B77" s="42" t="str">
        <f>'TO HOP NLAN'!L77</f>
        <v>SERVICE</v>
      </c>
      <c r="C77" s="58">
        <f>IF(A77="",0,MAX(IF('TS-PILE'!$B$72="",-1E+99,'TO HOP NLAN'!D77/ncoc+IF(SUMSQ('TS-PILE'!$E$72:$E$91)=0,0,'TO HOP NLAN'!E77*'TS-PILE'!$E$72/SUMSQ('TS-PILE'!$E$72:$E$91))+IF(SUMSQ('TS-PILE'!$D$72:$D$91)=0,0,'TO HOP NLAN'!F77*'TS-PILE'!$D$72/SUMSQ('TS-PILE'!$D$72:$D$91))),IF('TS-PILE'!$B$73="",-1E+99,'TO HOP NLAN'!D77/ncoc+IF(SUMSQ('TS-PILE'!$E$72:$E$91)=0,0,'TO HOP NLAN'!E77*'TS-PILE'!$E$73/SUMSQ('TS-PILE'!$E$72:$E$91))+IF(SUMSQ('TS-PILE'!$D$72:$D$91)=0,0,'TO HOP NLAN'!F77*'TS-PILE'!$D$73/SUMSQ('TS-PILE'!$D$72:$D$91))),IF('TS-PILE'!$B$74="",-1E+99,'TO HOP NLAN'!D77/ncoc+IF(SUMSQ('TS-PILE'!$E$72:$E$91)=0,0,'TO HOP NLAN'!E77*'TS-PILE'!$E$74/SUMSQ('TS-PILE'!$E$72:$E$91))+IF(SUMSQ('TS-PILE'!$D$72:$D$91)=0,0,'TO HOP NLAN'!F77*'TS-PILE'!$D$74/SUMSQ('TS-PILE'!$D$72:$D$91))),IF('TS-PILE'!$B$75="",-1E+99,'TO HOP NLAN'!D77/ncoc+IF(SUMSQ('TS-PILE'!$E$72:$E$91)=0,0,'TO HOP NLAN'!E77*'TS-PILE'!$E$75/SUMSQ('TS-PILE'!$E$72:$E$91))+IF(SUMSQ('TS-PILE'!$D$72:$D$91)=0,0,'TO HOP NLAN'!F77*'TS-PILE'!$D$75/SUMSQ('TS-PILE'!$D$72:$D$91))),IF('TS-PILE'!$B$76="",-1E+99,'TO HOP NLAN'!D77/ncoc+IF(SUMSQ('TS-PILE'!$E$72:$E$91)=0,0,'TO HOP NLAN'!E77*'TS-PILE'!$E$76/SUMSQ('TS-PILE'!$E$72:$E$91))+IF(SUMSQ('TS-PILE'!$D$72:$D$91)=0,0,'TO HOP NLAN'!F77*'TS-PILE'!$D$76/SUMSQ('TS-PILE'!$D$72:$D$91))),IF('TS-PILE'!$B$77="",-1E+99,'TO HOP NLAN'!D77/ncoc+IF(SUMSQ('TS-PILE'!$E$72:$E$91)=0,0,'TO HOP NLAN'!E77*'TS-PILE'!$E$77/SUMSQ('TS-PILE'!$E$72:$E$91))+IF(SUMSQ('TS-PILE'!$D$72:$D$91)=0,0,'TO HOP NLAN'!F77*'TS-PILE'!$D$77/SUMSQ('TS-PILE'!$D$72:$D$91))),IF('TS-PILE'!$B$78="",-1E+99,'TO HOP NLAN'!D77/ncoc+IF(SUMSQ('TS-PILE'!$E$72:$E$91)=0,0,'TO HOP NLAN'!E77*'TS-PILE'!$E$78/SUMSQ('TS-PILE'!$E$72:$E$91))+IF(SUMSQ('TS-PILE'!$D$72:$D$91)=0,0,'TO HOP NLAN'!F77*'TS-PILE'!$D$78/SUMSQ('TS-PILE'!$D$72:$D$91))),IF('TS-PILE'!$B$79="",-1E+99,'TO HOP NLAN'!D77/ncoc+IF(SUMSQ('TS-PILE'!$E$72:$E$91)=0,0,'TO HOP NLAN'!E77*'TS-PILE'!$E$79/SUMSQ('TS-PILE'!$E$72:$E$91))+IF(SUMSQ('TS-PILE'!$D$72:$D$91)=0,0,'TO HOP NLAN'!F77*'TS-PILE'!$D$79/SUMSQ('TS-PILE'!$D$72:$D$91))),IF('TS-PILE'!$B$80="",-1E+99,'TO HOP NLAN'!D77/ncoc+IF(SUMSQ('TS-PILE'!$E$72:$E$91)=0,0,'TO HOP NLAN'!E77*'TS-PILE'!$E$80/SUMSQ('TS-PILE'!$E$72:$E$91))+IF(SUMSQ('TS-PILE'!$D$72:$D$91)=0,0,'TO HOP NLAN'!F77*'TS-PILE'!$D$80/SUMSQ('TS-PILE'!$D$72:$D$91))),IF('TS-PILE'!$B$81="",-1E+99,'TO HOP NLAN'!D77/ncoc+IF(SUMSQ('TS-PILE'!$E$72:$E$91)=0,0,'TO HOP NLAN'!E77*'TS-PILE'!$E$81/SUMSQ('TS-PILE'!$E$72:$E$91))+IF(SUMSQ('TS-PILE'!$D$72:$D$91)=0,0,'TO HOP NLAN'!F77*'TS-PILE'!$D$81/SUMSQ('TS-PILE'!$D$72:$D$91))),IF('TS-PILE'!$B$82="",-1E+99,'TO HOP NLAN'!D77/ncoc+IF(SUMSQ('TS-PILE'!$E$72:$E$91)=0,0,'TO HOP NLAN'!E77*'TS-PILE'!$E$82/SUMSQ('TS-PILE'!$E$72:$E$91))+IF(SUMSQ('TS-PILE'!$D$72:$D$91)=0,0,'TO HOP NLAN'!F77*'TS-PILE'!$D$82/SUMSQ('TS-PILE'!$D$72:$D$91))),IF('TS-PILE'!$B$83="",-1E+99,'TO HOP NLAN'!D77/ncoc+IF(SUMSQ('TS-PILE'!$E$72:$E$91)=0,0,'TO HOP NLAN'!E77*'TS-PILE'!$E$83/SUMSQ('TS-PILE'!$E$72:$E$91))+IF(SUMSQ('TS-PILE'!$D$72:$D$91)=0,0,'TO HOP NLAN'!F77*'TS-PILE'!$D$83/SUMSQ('TS-PILE'!$D$72:$D$91))),IF('TS-PILE'!$B$84="",-1E+99,'TO HOP NLAN'!D77/ncoc+IF(SUMSQ('TS-PILE'!$E$72:$E$91)=0,0,'TO HOP NLAN'!E77*'TS-PILE'!$E$84/SUMSQ('TS-PILE'!$E$72:$E$91))+IF(SUMSQ('TS-PILE'!$D$72:$D$91)=0,0,'TO HOP NLAN'!F77*'TS-PILE'!$D$84/SUMSQ('TS-PILE'!$D$72:$D$91))),IF('TS-PILE'!$B$85="",-1E+99,'TO HOP NLAN'!D77/ncoc+IF(SUMSQ('TS-PILE'!$E$72:$E$91)=0,0,'TO HOP NLAN'!E77*'TS-PILE'!$E$85/SUMSQ('TS-PILE'!$E$72:$E$91))+IF(SUMSQ('TS-PILE'!$D$72:$D$91)=0,0,'TO HOP NLAN'!F77*'TS-PILE'!$D$85/SUMSQ('TS-PILE'!$D$72:$D$91))),IF('TS-PILE'!$B$86="",-1E+99,'TO HOP NLAN'!D77/ncoc+IF(SUMSQ('TS-PILE'!$E$72:$E$91)=0,0,'TO HOP NLAN'!E77*'TS-PILE'!$E$86/SUMSQ('TS-PILE'!$E$72:$E$91))+IF(SUMSQ('TS-PILE'!$D$72:$D$91)=0,0,'TO HOP NLAN'!F77*'TS-PILE'!$D$86/SUMSQ('TS-PILE'!$D$72:$D$91))),IF('TS-PILE'!$B$87="",-1E+99,'TO HOP NLAN'!D77/ncoc+IF(SUMSQ('TS-PILE'!$E$72:$E$91)=0,0,'TO HOP NLAN'!E77*'TS-PILE'!$E$87/SUMSQ('TS-PILE'!$E$72:$E$91))+IF(SUMSQ('TS-PILE'!$D$72:$D$91)=0,0,'TO HOP NLAN'!F77*'TS-PILE'!$D$87/SUMSQ('TS-PILE'!$D$72:$D$91))),IF('TS-PILE'!$B$88="",-1E+99,'TO HOP NLAN'!D77/ncoc+IF(SUMSQ('TS-PILE'!$E$72:$E$91)=0,0,'TO HOP NLAN'!E77*'TS-PILE'!$E$88/SUMSQ('TS-PILE'!$E$72:$E$91))+IF(SUMSQ('TS-PILE'!$D$72:$D$91)=0,0,'TO HOP NLAN'!F77*'TS-PILE'!$D$88/SUMSQ('TS-PILE'!$D$72:$D$91))),IF('TS-PILE'!$B$89="",-1E+99,'TO HOP NLAN'!D77/ncoc+IF(SUMSQ('TS-PILE'!$E$72:$E$91)=0,0,'TO HOP NLAN'!E77*'TS-PILE'!$E$89/SUMSQ('TS-PILE'!$E$72:$E$91))+IF(SUMSQ('TS-PILE'!$D$72:$D$91)=0,0,'TO HOP NLAN'!F77*'TS-PILE'!$D$89/SUMSQ('TS-PILE'!$D$72:$D$91))),IF('TS-PILE'!$B$90="",-1E+99,'TO HOP NLAN'!D77/ncoc+IF(SUMSQ('TS-PILE'!$E$72:$E$91)=0,0,'TO HOP NLAN'!E77*'TS-PILE'!$E$90/SUMSQ('TS-PILE'!$E$72:$E$91))+IF(SUMSQ('TS-PILE'!$D$72:$D$91)=0,0,'TO HOP NLAN'!F77*'TS-PILE'!$D$90/SUMSQ('TS-PILE'!$D$72:$D$91))),IF('TS-PILE'!$B$91="",-1E+99,'TO HOP NLAN'!D77/ncoc+IF(SUMSQ('TS-PILE'!$E$72:$E$91)=0,0,'TO HOP NLAN'!E77*'TS-PILE'!$E$91/SUMSQ('TS-PILE'!$E$72:$E$91))+IF(SUMSQ('TS-PILE'!$D$72:$D$91)=0,0,'TO HOP NLAN'!F77*'TS-PILE'!$D$91/SUMSQ('TS-PILE'!$D$72:$D$91)))))</f>
        <v>0</v>
      </c>
      <c r="D77" s="58">
        <f>IF(A77="",0,MIN(IF('TS-PILE'!$B$72="",1E+99,'TO HOP NLAN'!D77/ncoc+IF(SUMSQ('TS-PILE'!$E$72:$E$91)=0,0,'TO HOP NLAN'!E77*'TS-PILE'!$E$72/SUMSQ('TS-PILE'!$E$72:$E$91))+IF(SUMSQ('TS-PILE'!$D$72:$D$91)=0,0,'TO HOP NLAN'!F77*'TS-PILE'!$D$72/SUMSQ('TS-PILE'!$D$72:$D$91))),IF('TS-PILE'!$B$73="",1E+99,'TO HOP NLAN'!D77/ncoc+IF(SUMSQ('TS-PILE'!$E$72:$E$91)=0,0,'TO HOP NLAN'!E77*'TS-PILE'!$E$73/SUMSQ('TS-PILE'!$E$72:$E$91))+IF(SUMSQ('TS-PILE'!$D$72:$D$91)=0,0,'TO HOP NLAN'!F77*'TS-PILE'!$D$73/SUMSQ('TS-PILE'!$D$72:$D$91))),IF('TS-PILE'!$B$74="",1E+99,'TO HOP NLAN'!D77/ncoc+IF(SUMSQ('TS-PILE'!$E$72:$E$91)=0,0,'TO HOP NLAN'!E77*'TS-PILE'!$E$74/SUMSQ('TS-PILE'!$E$72:$E$91))+IF(SUMSQ('TS-PILE'!$D$72:$D$91)=0,0,'TO HOP NLAN'!F77*'TS-PILE'!$D$74/SUMSQ('TS-PILE'!$D$72:$D$91))),IF('TS-PILE'!$B$75="",1E+99,'TO HOP NLAN'!D77/ncoc+IF(SUMSQ('TS-PILE'!$E$72:$E$91)=0,0,'TO HOP NLAN'!E77*'TS-PILE'!$E$75/SUMSQ('TS-PILE'!$E$72:$E$91))+IF(SUMSQ('TS-PILE'!$D$72:$D$91)=0,0,'TO HOP NLAN'!F77*'TS-PILE'!$D$75/SUMSQ('TS-PILE'!$D$72:$D$91))),IF('TS-PILE'!$B$76="",1E+99,'TO HOP NLAN'!D77/ncoc+IF(SUMSQ('TS-PILE'!$E$72:$E$91)=0,0,'TO HOP NLAN'!E77*'TS-PILE'!$E$76/SUMSQ('TS-PILE'!$E$72:$E$91))+IF(SUMSQ('TS-PILE'!$D$72:$D$91)=0,0,'TO HOP NLAN'!F77*'TS-PILE'!$D$76/SUMSQ('TS-PILE'!$D$72:$D$91))),IF('TS-PILE'!$B$77="",1E+99,'TO HOP NLAN'!D77/ncoc+IF(SUMSQ('TS-PILE'!$E$72:$E$91)=0,0,'TO HOP NLAN'!E77*'TS-PILE'!$E$77/SUMSQ('TS-PILE'!$E$72:$E$91))+IF(SUMSQ('TS-PILE'!$D$72:$D$91)=0,0,'TO HOP NLAN'!F77*'TS-PILE'!$D$77/SUMSQ('TS-PILE'!$D$72:$D$91))),IF('TS-PILE'!$B$78="",1E+99,'TO HOP NLAN'!D77/ncoc+IF(SUMSQ('TS-PILE'!$E$72:$E$91)=0,0,'TO HOP NLAN'!E77*'TS-PILE'!$E$78/SUMSQ('TS-PILE'!$E$72:$E$91))+IF(SUMSQ('TS-PILE'!$D$72:$D$91)=0,0,'TO HOP NLAN'!F77*'TS-PILE'!$D$78/SUMSQ('TS-PILE'!$D$72:$D$91))),IF('TS-PILE'!$B$79="",1E+99,'TO HOP NLAN'!D77/ncoc+IF(SUMSQ('TS-PILE'!$E$72:$E$91)=0,0,'TO HOP NLAN'!E77*'TS-PILE'!$E$79/SUMSQ('TS-PILE'!$E$72:$E$91))+IF(SUMSQ('TS-PILE'!$D$72:$D$91)=0,0,'TO HOP NLAN'!F77*'TS-PILE'!$D$79/SUMSQ('TS-PILE'!$D$72:$D$91))),IF('TS-PILE'!$B$80="",1E+99,'TO HOP NLAN'!D77/ncoc+IF(SUMSQ('TS-PILE'!$E$72:$E$91)=0,0,'TO HOP NLAN'!E77*'TS-PILE'!$E$80/SUMSQ('TS-PILE'!$E$72:$E$91))+IF(SUMSQ('TS-PILE'!$D$72:$D$91)=0,0,'TO HOP NLAN'!F77*'TS-PILE'!$D$80/SUMSQ('TS-PILE'!$D$72:$D$91))),IF('TS-PILE'!$B$81="",1E+99,'TO HOP NLAN'!D77/ncoc+IF(SUMSQ('TS-PILE'!$E$72:$E$91)=0,0,'TO HOP NLAN'!E77*'TS-PILE'!$E$81/SUMSQ('TS-PILE'!$E$72:$E$91))+IF(SUMSQ('TS-PILE'!$D$72:$D$91)=0,0,'TO HOP NLAN'!F77*'TS-PILE'!$D$81/SUMSQ('TS-PILE'!$D$72:$D$91))),IF('TS-PILE'!$B$82="",1E+99,'TO HOP NLAN'!D77/ncoc+IF(SUMSQ('TS-PILE'!$E$72:$E$91)=0,0,'TO HOP NLAN'!E77*'TS-PILE'!$E$82/SUMSQ('TS-PILE'!$E$72:$E$91))+IF(SUMSQ('TS-PILE'!$D$72:$D$91)=0,0,'TO HOP NLAN'!F77*'TS-PILE'!$D$82/SUMSQ('TS-PILE'!$D$72:$D$91))),IF('TS-PILE'!$B$83="",1E+99,'TO HOP NLAN'!D77/ncoc+IF(SUMSQ('TS-PILE'!$E$72:$E$91)=0,0,'TO HOP NLAN'!E77*'TS-PILE'!$E$83/SUMSQ('TS-PILE'!$E$72:$E$91))+IF(SUMSQ('TS-PILE'!$D$72:$D$91)=0,0,'TO HOP NLAN'!F77*'TS-PILE'!$D$83/SUMSQ('TS-PILE'!$D$72:$D$91))),IF('TS-PILE'!$B$84="",1E+99,'TO HOP NLAN'!D77/ncoc+IF(SUMSQ('TS-PILE'!$E$72:$E$91)=0,0,'TO HOP NLAN'!E77*'TS-PILE'!$E$84/SUMSQ('TS-PILE'!$E$72:$E$91))+IF(SUMSQ('TS-PILE'!$D$72:$D$91)=0,0,'TO HOP NLAN'!F77*'TS-PILE'!$D$84/SUMSQ('TS-PILE'!$D$72:$D$91))),IF('TS-PILE'!$B$85="",1E+99,'TO HOP NLAN'!D77/ncoc+IF(SUMSQ('TS-PILE'!$E$72:$E$91)=0,0,'TO HOP NLAN'!E77*'TS-PILE'!$E$85/SUMSQ('TS-PILE'!$E$72:$E$91))+IF(SUMSQ('TS-PILE'!$D$72:$D$91)=0,0,'TO HOP NLAN'!F77*'TS-PILE'!$D$85/SUMSQ('TS-PILE'!$D$72:$D$91))),IF('TS-PILE'!$B$86="",1E+99,'TO HOP NLAN'!D77/ncoc+IF(SUMSQ('TS-PILE'!$E$72:$E$91)=0,0,'TO HOP NLAN'!E77*'TS-PILE'!$E$86/SUMSQ('TS-PILE'!$E$72:$E$91))+IF(SUMSQ('TS-PILE'!$D$72:$D$91)=0,0,'TO HOP NLAN'!F77*'TS-PILE'!$D$86/SUMSQ('TS-PILE'!$D$72:$D$91))),IF('TS-PILE'!$B$87="",1E+99,'TO HOP NLAN'!D77/ncoc+IF(SUMSQ('TS-PILE'!$E$72:$E$91)=0,0,'TO HOP NLAN'!E77*'TS-PILE'!$E$87/SUMSQ('TS-PILE'!$E$72:$E$91))+IF(SUMSQ('TS-PILE'!$D$72:$D$91)=0,0,'TO HOP NLAN'!F77*'TS-PILE'!$D$87/SUMSQ('TS-PILE'!$D$72:$D$91))),IF('TS-PILE'!$B$88="",1E+99,'TO HOP NLAN'!D77/ncoc+IF(SUMSQ('TS-PILE'!$E$72:$E$91)=0,0,'TO HOP NLAN'!E77*'TS-PILE'!$E$88/SUMSQ('TS-PILE'!$E$72:$E$91))+IF(SUMSQ('TS-PILE'!$D$72:$D$91)=0,0,'TO HOP NLAN'!F77*'TS-PILE'!$D$88/SUMSQ('TS-PILE'!$D$72:$D$91))),IF('TS-PILE'!$B$89="",1E+99,'TO HOP NLAN'!D77/ncoc+IF(SUMSQ('TS-PILE'!$E$72:$E$91)=0,0,'TO HOP NLAN'!E77*'TS-PILE'!$E$89/SUMSQ('TS-PILE'!$E$72:$E$91))+IF(SUMSQ('TS-PILE'!$D$72:$D$91)=0,0,'TO HOP NLAN'!F77*'TS-PILE'!$D$89/SUMSQ('TS-PILE'!$D$72:$D$91))),IF('TS-PILE'!$B$90="",1E+99,'TO HOP NLAN'!D77/ncoc+IF(SUMSQ('TS-PILE'!$E$72:$E$91)=0,0,'TO HOP NLAN'!E77*'TS-PILE'!$E$90/SUMSQ('TS-PILE'!$E$72:$E$91))+IF(SUMSQ('TS-PILE'!$D$72:$D$91)=0,0,'TO HOP NLAN'!F77*'TS-PILE'!$D$90/SUMSQ('TS-PILE'!$D$72:$D$91))),IF('TS-PILE'!$B$91="",1E+99,'TO HOP NLAN'!D77/ncoc+IF(SUMSQ('TS-PILE'!$E$72:$E$91)=0,0,'TO HOP NLAN'!E77*'TS-PILE'!$E$91/SUMSQ('TS-PILE'!$E$72:$E$91))+IF(SUMSQ('TS-PILE'!$D$72:$D$91)=0,0,'TO HOP NLAN'!F77*'TS-PILE'!$D$91/SUMSQ('TS-PILE'!$D$72:$D$91)))))</f>
        <v>0</v>
      </c>
      <c r="E77" s="58">
        <f t="shared" si="4"/>
        <v>-9.9999999999999997E+98</v>
      </c>
      <c r="F77" s="58">
        <f t="shared" si="5"/>
        <v>9.9999999999999997E+98</v>
      </c>
      <c r="G77" s="58">
        <f t="shared" si="6"/>
        <v>-9.9999999999999997E+98</v>
      </c>
      <c r="H77" s="58">
        <f t="shared" si="7"/>
        <v>9.9999999999999997E+98</v>
      </c>
    </row>
    <row r="78" spans="1:8" x14ac:dyDescent="0.3">
      <c r="A78" s="42" t="str">
        <f>'TO HOP NLAN'!A78</f>
        <v/>
      </c>
      <c r="B78" s="42" t="str">
        <f>'TO HOP NLAN'!L78</f>
        <v>SERVICE</v>
      </c>
      <c r="C78" s="58">
        <f>IF(A78="",0,MAX(IF('TS-PILE'!$B$72="",-1E+99,'TO HOP NLAN'!D78/ncoc+IF(SUMSQ('TS-PILE'!$E$72:$E$91)=0,0,'TO HOP NLAN'!E78*'TS-PILE'!$E$72/SUMSQ('TS-PILE'!$E$72:$E$91))+IF(SUMSQ('TS-PILE'!$D$72:$D$91)=0,0,'TO HOP NLAN'!F78*'TS-PILE'!$D$72/SUMSQ('TS-PILE'!$D$72:$D$91))),IF('TS-PILE'!$B$73="",-1E+99,'TO HOP NLAN'!D78/ncoc+IF(SUMSQ('TS-PILE'!$E$72:$E$91)=0,0,'TO HOP NLAN'!E78*'TS-PILE'!$E$73/SUMSQ('TS-PILE'!$E$72:$E$91))+IF(SUMSQ('TS-PILE'!$D$72:$D$91)=0,0,'TO HOP NLAN'!F78*'TS-PILE'!$D$73/SUMSQ('TS-PILE'!$D$72:$D$91))),IF('TS-PILE'!$B$74="",-1E+99,'TO HOP NLAN'!D78/ncoc+IF(SUMSQ('TS-PILE'!$E$72:$E$91)=0,0,'TO HOP NLAN'!E78*'TS-PILE'!$E$74/SUMSQ('TS-PILE'!$E$72:$E$91))+IF(SUMSQ('TS-PILE'!$D$72:$D$91)=0,0,'TO HOP NLAN'!F78*'TS-PILE'!$D$74/SUMSQ('TS-PILE'!$D$72:$D$91))),IF('TS-PILE'!$B$75="",-1E+99,'TO HOP NLAN'!D78/ncoc+IF(SUMSQ('TS-PILE'!$E$72:$E$91)=0,0,'TO HOP NLAN'!E78*'TS-PILE'!$E$75/SUMSQ('TS-PILE'!$E$72:$E$91))+IF(SUMSQ('TS-PILE'!$D$72:$D$91)=0,0,'TO HOP NLAN'!F78*'TS-PILE'!$D$75/SUMSQ('TS-PILE'!$D$72:$D$91))),IF('TS-PILE'!$B$76="",-1E+99,'TO HOP NLAN'!D78/ncoc+IF(SUMSQ('TS-PILE'!$E$72:$E$91)=0,0,'TO HOP NLAN'!E78*'TS-PILE'!$E$76/SUMSQ('TS-PILE'!$E$72:$E$91))+IF(SUMSQ('TS-PILE'!$D$72:$D$91)=0,0,'TO HOP NLAN'!F78*'TS-PILE'!$D$76/SUMSQ('TS-PILE'!$D$72:$D$91))),IF('TS-PILE'!$B$77="",-1E+99,'TO HOP NLAN'!D78/ncoc+IF(SUMSQ('TS-PILE'!$E$72:$E$91)=0,0,'TO HOP NLAN'!E78*'TS-PILE'!$E$77/SUMSQ('TS-PILE'!$E$72:$E$91))+IF(SUMSQ('TS-PILE'!$D$72:$D$91)=0,0,'TO HOP NLAN'!F78*'TS-PILE'!$D$77/SUMSQ('TS-PILE'!$D$72:$D$91))),IF('TS-PILE'!$B$78="",-1E+99,'TO HOP NLAN'!D78/ncoc+IF(SUMSQ('TS-PILE'!$E$72:$E$91)=0,0,'TO HOP NLAN'!E78*'TS-PILE'!$E$78/SUMSQ('TS-PILE'!$E$72:$E$91))+IF(SUMSQ('TS-PILE'!$D$72:$D$91)=0,0,'TO HOP NLAN'!F78*'TS-PILE'!$D$78/SUMSQ('TS-PILE'!$D$72:$D$91))),IF('TS-PILE'!$B$79="",-1E+99,'TO HOP NLAN'!D78/ncoc+IF(SUMSQ('TS-PILE'!$E$72:$E$91)=0,0,'TO HOP NLAN'!E78*'TS-PILE'!$E$79/SUMSQ('TS-PILE'!$E$72:$E$91))+IF(SUMSQ('TS-PILE'!$D$72:$D$91)=0,0,'TO HOP NLAN'!F78*'TS-PILE'!$D$79/SUMSQ('TS-PILE'!$D$72:$D$91))),IF('TS-PILE'!$B$80="",-1E+99,'TO HOP NLAN'!D78/ncoc+IF(SUMSQ('TS-PILE'!$E$72:$E$91)=0,0,'TO HOP NLAN'!E78*'TS-PILE'!$E$80/SUMSQ('TS-PILE'!$E$72:$E$91))+IF(SUMSQ('TS-PILE'!$D$72:$D$91)=0,0,'TO HOP NLAN'!F78*'TS-PILE'!$D$80/SUMSQ('TS-PILE'!$D$72:$D$91))),IF('TS-PILE'!$B$81="",-1E+99,'TO HOP NLAN'!D78/ncoc+IF(SUMSQ('TS-PILE'!$E$72:$E$91)=0,0,'TO HOP NLAN'!E78*'TS-PILE'!$E$81/SUMSQ('TS-PILE'!$E$72:$E$91))+IF(SUMSQ('TS-PILE'!$D$72:$D$91)=0,0,'TO HOP NLAN'!F78*'TS-PILE'!$D$81/SUMSQ('TS-PILE'!$D$72:$D$91))),IF('TS-PILE'!$B$82="",-1E+99,'TO HOP NLAN'!D78/ncoc+IF(SUMSQ('TS-PILE'!$E$72:$E$91)=0,0,'TO HOP NLAN'!E78*'TS-PILE'!$E$82/SUMSQ('TS-PILE'!$E$72:$E$91))+IF(SUMSQ('TS-PILE'!$D$72:$D$91)=0,0,'TO HOP NLAN'!F78*'TS-PILE'!$D$82/SUMSQ('TS-PILE'!$D$72:$D$91))),IF('TS-PILE'!$B$83="",-1E+99,'TO HOP NLAN'!D78/ncoc+IF(SUMSQ('TS-PILE'!$E$72:$E$91)=0,0,'TO HOP NLAN'!E78*'TS-PILE'!$E$83/SUMSQ('TS-PILE'!$E$72:$E$91))+IF(SUMSQ('TS-PILE'!$D$72:$D$91)=0,0,'TO HOP NLAN'!F78*'TS-PILE'!$D$83/SUMSQ('TS-PILE'!$D$72:$D$91))),IF('TS-PILE'!$B$84="",-1E+99,'TO HOP NLAN'!D78/ncoc+IF(SUMSQ('TS-PILE'!$E$72:$E$91)=0,0,'TO HOP NLAN'!E78*'TS-PILE'!$E$84/SUMSQ('TS-PILE'!$E$72:$E$91))+IF(SUMSQ('TS-PILE'!$D$72:$D$91)=0,0,'TO HOP NLAN'!F78*'TS-PILE'!$D$84/SUMSQ('TS-PILE'!$D$72:$D$91))),IF('TS-PILE'!$B$85="",-1E+99,'TO HOP NLAN'!D78/ncoc+IF(SUMSQ('TS-PILE'!$E$72:$E$91)=0,0,'TO HOP NLAN'!E78*'TS-PILE'!$E$85/SUMSQ('TS-PILE'!$E$72:$E$91))+IF(SUMSQ('TS-PILE'!$D$72:$D$91)=0,0,'TO HOP NLAN'!F78*'TS-PILE'!$D$85/SUMSQ('TS-PILE'!$D$72:$D$91))),IF('TS-PILE'!$B$86="",-1E+99,'TO HOP NLAN'!D78/ncoc+IF(SUMSQ('TS-PILE'!$E$72:$E$91)=0,0,'TO HOP NLAN'!E78*'TS-PILE'!$E$86/SUMSQ('TS-PILE'!$E$72:$E$91))+IF(SUMSQ('TS-PILE'!$D$72:$D$91)=0,0,'TO HOP NLAN'!F78*'TS-PILE'!$D$86/SUMSQ('TS-PILE'!$D$72:$D$91))),IF('TS-PILE'!$B$87="",-1E+99,'TO HOP NLAN'!D78/ncoc+IF(SUMSQ('TS-PILE'!$E$72:$E$91)=0,0,'TO HOP NLAN'!E78*'TS-PILE'!$E$87/SUMSQ('TS-PILE'!$E$72:$E$91))+IF(SUMSQ('TS-PILE'!$D$72:$D$91)=0,0,'TO HOP NLAN'!F78*'TS-PILE'!$D$87/SUMSQ('TS-PILE'!$D$72:$D$91))),IF('TS-PILE'!$B$88="",-1E+99,'TO HOP NLAN'!D78/ncoc+IF(SUMSQ('TS-PILE'!$E$72:$E$91)=0,0,'TO HOP NLAN'!E78*'TS-PILE'!$E$88/SUMSQ('TS-PILE'!$E$72:$E$91))+IF(SUMSQ('TS-PILE'!$D$72:$D$91)=0,0,'TO HOP NLAN'!F78*'TS-PILE'!$D$88/SUMSQ('TS-PILE'!$D$72:$D$91))),IF('TS-PILE'!$B$89="",-1E+99,'TO HOP NLAN'!D78/ncoc+IF(SUMSQ('TS-PILE'!$E$72:$E$91)=0,0,'TO HOP NLAN'!E78*'TS-PILE'!$E$89/SUMSQ('TS-PILE'!$E$72:$E$91))+IF(SUMSQ('TS-PILE'!$D$72:$D$91)=0,0,'TO HOP NLAN'!F78*'TS-PILE'!$D$89/SUMSQ('TS-PILE'!$D$72:$D$91))),IF('TS-PILE'!$B$90="",-1E+99,'TO HOP NLAN'!D78/ncoc+IF(SUMSQ('TS-PILE'!$E$72:$E$91)=0,0,'TO HOP NLAN'!E78*'TS-PILE'!$E$90/SUMSQ('TS-PILE'!$E$72:$E$91))+IF(SUMSQ('TS-PILE'!$D$72:$D$91)=0,0,'TO HOP NLAN'!F78*'TS-PILE'!$D$90/SUMSQ('TS-PILE'!$D$72:$D$91))),IF('TS-PILE'!$B$91="",-1E+99,'TO HOP NLAN'!D78/ncoc+IF(SUMSQ('TS-PILE'!$E$72:$E$91)=0,0,'TO HOP NLAN'!E78*'TS-PILE'!$E$91/SUMSQ('TS-PILE'!$E$72:$E$91))+IF(SUMSQ('TS-PILE'!$D$72:$D$91)=0,0,'TO HOP NLAN'!F78*'TS-PILE'!$D$91/SUMSQ('TS-PILE'!$D$72:$D$91)))))</f>
        <v>0</v>
      </c>
      <c r="D78" s="58">
        <f>IF(A78="",0,MIN(IF('TS-PILE'!$B$72="",1E+99,'TO HOP NLAN'!D78/ncoc+IF(SUMSQ('TS-PILE'!$E$72:$E$91)=0,0,'TO HOP NLAN'!E78*'TS-PILE'!$E$72/SUMSQ('TS-PILE'!$E$72:$E$91))+IF(SUMSQ('TS-PILE'!$D$72:$D$91)=0,0,'TO HOP NLAN'!F78*'TS-PILE'!$D$72/SUMSQ('TS-PILE'!$D$72:$D$91))),IF('TS-PILE'!$B$73="",1E+99,'TO HOP NLAN'!D78/ncoc+IF(SUMSQ('TS-PILE'!$E$72:$E$91)=0,0,'TO HOP NLAN'!E78*'TS-PILE'!$E$73/SUMSQ('TS-PILE'!$E$72:$E$91))+IF(SUMSQ('TS-PILE'!$D$72:$D$91)=0,0,'TO HOP NLAN'!F78*'TS-PILE'!$D$73/SUMSQ('TS-PILE'!$D$72:$D$91))),IF('TS-PILE'!$B$74="",1E+99,'TO HOP NLAN'!D78/ncoc+IF(SUMSQ('TS-PILE'!$E$72:$E$91)=0,0,'TO HOP NLAN'!E78*'TS-PILE'!$E$74/SUMSQ('TS-PILE'!$E$72:$E$91))+IF(SUMSQ('TS-PILE'!$D$72:$D$91)=0,0,'TO HOP NLAN'!F78*'TS-PILE'!$D$74/SUMSQ('TS-PILE'!$D$72:$D$91))),IF('TS-PILE'!$B$75="",1E+99,'TO HOP NLAN'!D78/ncoc+IF(SUMSQ('TS-PILE'!$E$72:$E$91)=0,0,'TO HOP NLAN'!E78*'TS-PILE'!$E$75/SUMSQ('TS-PILE'!$E$72:$E$91))+IF(SUMSQ('TS-PILE'!$D$72:$D$91)=0,0,'TO HOP NLAN'!F78*'TS-PILE'!$D$75/SUMSQ('TS-PILE'!$D$72:$D$91))),IF('TS-PILE'!$B$76="",1E+99,'TO HOP NLAN'!D78/ncoc+IF(SUMSQ('TS-PILE'!$E$72:$E$91)=0,0,'TO HOP NLAN'!E78*'TS-PILE'!$E$76/SUMSQ('TS-PILE'!$E$72:$E$91))+IF(SUMSQ('TS-PILE'!$D$72:$D$91)=0,0,'TO HOP NLAN'!F78*'TS-PILE'!$D$76/SUMSQ('TS-PILE'!$D$72:$D$91))),IF('TS-PILE'!$B$77="",1E+99,'TO HOP NLAN'!D78/ncoc+IF(SUMSQ('TS-PILE'!$E$72:$E$91)=0,0,'TO HOP NLAN'!E78*'TS-PILE'!$E$77/SUMSQ('TS-PILE'!$E$72:$E$91))+IF(SUMSQ('TS-PILE'!$D$72:$D$91)=0,0,'TO HOP NLAN'!F78*'TS-PILE'!$D$77/SUMSQ('TS-PILE'!$D$72:$D$91))),IF('TS-PILE'!$B$78="",1E+99,'TO HOP NLAN'!D78/ncoc+IF(SUMSQ('TS-PILE'!$E$72:$E$91)=0,0,'TO HOP NLAN'!E78*'TS-PILE'!$E$78/SUMSQ('TS-PILE'!$E$72:$E$91))+IF(SUMSQ('TS-PILE'!$D$72:$D$91)=0,0,'TO HOP NLAN'!F78*'TS-PILE'!$D$78/SUMSQ('TS-PILE'!$D$72:$D$91))),IF('TS-PILE'!$B$79="",1E+99,'TO HOP NLAN'!D78/ncoc+IF(SUMSQ('TS-PILE'!$E$72:$E$91)=0,0,'TO HOP NLAN'!E78*'TS-PILE'!$E$79/SUMSQ('TS-PILE'!$E$72:$E$91))+IF(SUMSQ('TS-PILE'!$D$72:$D$91)=0,0,'TO HOP NLAN'!F78*'TS-PILE'!$D$79/SUMSQ('TS-PILE'!$D$72:$D$91))),IF('TS-PILE'!$B$80="",1E+99,'TO HOP NLAN'!D78/ncoc+IF(SUMSQ('TS-PILE'!$E$72:$E$91)=0,0,'TO HOP NLAN'!E78*'TS-PILE'!$E$80/SUMSQ('TS-PILE'!$E$72:$E$91))+IF(SUMSQ('TS-PILE'!$D$72:$D$91)=0,0,'TO HOP NLAN'!F78*'TS-PILE'!$D$80/SUMSQ('TS-PILE'!$D$72:$D$91))),IF('TS-PILE'!$B$81="",1E+99,'TO HOP NLAN'!D78/ncoc+IF(SUMSQ('TS-PILE'!$E$72:$E$91)=0,0,'TO HOP NLAN'!E78*'TS-PILE'!$E$81/SUMSQ('TS-PILE'!$E$72:$E$91))+IF(SUMSQ('TS-PILE'!$D$72:$D$91)=0,0,'TO HOP NLAN'!F78*'TS-PILE'!$D$81/SUMSQ('TS-PILE'!$D$72:$D$91))),IF('TS-PILE'!$B$82="",1E+99,'TO HOP NLAN'!D78/ncoc+IF(SUMSQ('TS-PILE'!$E$72:$E$91)=0,0,'TO HOP NLAN'!E78*'TS-PILE'!$E$82/SUMSQ('TS-PILE'!$E$72:$E$91))+IF(SUMSQ('TS-PILE'!$D$72:$D$91)=0,0,'TO HOP NLAN'!F78*'TS-PILE'!$D$82/SUMSQ('TS-PILE'!$D$72:$D$91))),IF('TS-PILE'!$B$83="",1E+99,'TO HOP NLAN'!D78/ncoc+IF(SUMSQ('TS-PILE'!$E$72:$E$91)=0,0,'TO HOP NLAN'!E78*'TS-PILE'!$E$83/SUMSQ('TS-PILE'!$E$72:$E$91))+IF(SUMSQ('TS-PILE'!$D$72:$D$91)=0,0,'TO HOP NLAN'!F78*'TS-PILE'!$D$83/SUMSQ('TS-PILE'!$D$72:$D$91))),IF('TS-PILE'!$B$84="",1E+99,'TO HOP NLAN'!D78/ncoc+IF(SUMSQ('TS-PILE'!$E$72:$E$91)=0,0,'TO HOP NLAN'!E78*'TS-PILE'!$E$84/SUMSQ('TS-PILE'!$E$72:$E$91))+IF(SUMSQ('TS-PILE'!$D$72:$D$91)=0,0,'TO HOP NLAN'!F78*'TS-PILE'!$D$84/SUMSQ('TS-PILE'!$D$72:$D$91))),IF('TS-PILE'!$B$85="",1E+99,'TO HOP NLAN'!D78/ncoc+IF(SUMSQ('TS-PILE'!$E$72:$E$91)=0,0,'TO HOP NLAN'!E78*'TS-PILE'!$E$85/SUMSQ('TS-PILE'!$E$72:$E$91))+IF(SUMSQ('TS-PILE'!$D$72:$D$91)=0,0,'TO HOP NLAN'!F78*'TS-PILE'!$D$85/SUMSQ('TS-PILE'!$D$72:$D$91))),IF('TS-PILE'!$B$86="",1E+99,'TO HOP NLAN'!D78/ncoc+IF(SUMSQ('TS-PILE'!$E$72:$E$91)=0,0,'TO HOP NLAN'!E78*'TS-PILE'!$E$86/SUMSQ('TS-PILE'!$E$72:$E$91))+IF(SUMSQ('TS-PILE'!$D$72:$D$91)=0,0,'TO HOP NLAN'!F78*'TS-PILE'!$D$86/SUMSQ('TS-PILE'!$D$72:$D$91))),IF('TS-PILE'!$B$87="",1E+99,'TO HOP NLAN'!D78/ncoc+IF(SUMSQ('TS-PILE'!$E$72:$E$91)=0,0,'TO HOP NLAN'!E78*'TS-PILE'!$E$87/SUMSQ('TS-PILE'!$E$72:$E$91))+IF(SUMSQ('TS-PILE'!$D$72:$D$91)=0,0,'TO HOP NLAN'!F78*'TS-PILE'!$D$87/SUMSQ('TS-PILE'!$D$72:$D$91))),IF('TS-PILE'!$B$88="",1E+99,'TO HOP NLAN'!D78/ncoc+IF(SUMSQ('TS-PILE'!$E$72:$E$91)=0,0,'TO HOP NLAN'!E78*'TS-PILE'!$E$88/SUMSQ('TS-PILE'!$E$72:$E$91))+IF(SUMSQ('TS-PILE'!$D$72:$D$91)=0,0,'TO HOP NLAN'!F78*'TS-PILE'!$D$88/SUMSQ('TS-PILE'!$D$72:$D$91))),IF('TS-PILE'!$B$89="",1E+99,'TO HOP NLAN'!D78/ncoc+IF(SUMSQ('TS-PILE'!$E$72:$E$91)=0,0,'TO HOP NLAN'!E78*'TS-PILE'!$E$89/SUMSQ('TS-PILE'!$E$72:$E$91))+IF(SUMSQ('TS-PILE'!$D$72:$D$91)=0,0,'TO HOP NLAN'!F78*'TS-PILE'!$D$89/SUMSQ('TS-PILE'!$D$72:$D$91))),IF('TS-PILE'!$B$90="",1E+99,'TO HOP NLAN'!D78/ncoc+IF(SUMSQ('TS-PILE'!$E$72:$E$91)=0,0,'TO HOP NLAN'!E78*'TS-PILE'!$E$90/SUMSQ('TS-PILE'!$E$72:$E$91))+IF(SUMSQ('TS-PILE'!$D$72:$D$91)=0,0,'TO HOP NLAN'!F78*'TS-PILE'!$D$90/SUMSQ('TS-PILE'!$D$72:$D$91))),IF('TS-PILE'!$B$91="",1E+99,'TO HOP NLAN'!D78/ncoc+IF(SUMSQ('TS-PILE'!$E$72:$E$91)=0,0,'TO HOP NLAN'!E78*'TS-PILE'!$E$91/SUMSQ('TS-PILE'!$E$72:$E$91))+IF(SUMSQ('TS-PILE'!$D$72:$D$91)=0,0,'TO HOP NLAN'!F78*'TS-PILE'!$D$91/SUMSQ('TS-PILE'!$D$72:$D$91)))))</f>
        <v>0</v>
      </c>
      <c r="E78" s="58">
        <f t="shared" si="4"/>
        <v>-9.9999999999999997E+98</v>
      </c>
      <c r="F78" s="58">
        <f t="shared" si="5"/>
        <v>9.9999999999999997E+98</v>
      </c>
      <c r="G78" s="58">
        <f t="shared" si="6"/>
        <v>-9.9999999999999997E+98</v>
      </c>
      <c r="H78" s="58">
        <f t="shared" si="7"/>
        <v>9.9999999999999997E+98</v>
      </c>
    </row>
    <row r="79" spans="1:8" x14ac:dyDescent="0.3">
      <c r="A79" s="42" t="str">
        <f>'TO HOP NLAN'!A79</f>
        <v/>
      </c>
      <c r="B79" s="42" t="str">
        <f>'TO HOP NLAN'!L79</f>
        <v>SERVICE</v>
      </c>
      <c r="C79" s="58">
        <f>IF(A79="",0,MAX(IF('TS-PILE'!$B$72="",-1E+99,'TO HOP NLAN'!D79/ncoc+IF(SUMSQ('TS-PILE'!$E$72:$E$91)=0,0,'TO HOP NLAN'!E79*'TS-PILE'!$E$72/SUMSQ('TS-PILE'!$E$72:$E$91))+IF(SUMSQ('TS-PILE'!$D$72:$D$91)=0,0,'TO HOP NLAN'!F79*'TS-PILE'!$D$72/SUMSQ('TS-PILE'!$D$72:$D$91))),IF('TS-PILE'!$B$73="",-1E+99,'TO HOP NLAN'!D79/ncoc+IF(SUMSQ('TS-PILE'!$E$72:$E$91)=0,0,'TO HOP NLAN'!E79*'TS-PILE'!$E$73/SUMSQ('TS-PILE'!$E$72:$E$91))+IF(SUMSQ('TS-PILE'!$D$72:$D$91)=0,0,'TO HOP NLAN'!F79*'TS-PILE'!$D$73/SUMSQ('TS-PILE'!$D$72:$D$91))),IF('TS-PILE'!$B$74="",-1E+99,'TO HOP NLAN'!D79/ncoc+IF(SUMSQ('TS-PILE'!$E$72:$E$91)=0,0,'TO HOP NLAN'!E79*'TS-PILE'!$E$74/SUMSQ('TS-PILE'!$E$72:$E$91))+IF(SUMSQ('TS-PILE'!$D$72:$D$91)=0,0,'TO HOP NLAN'!F79*'TS-PILE'!$D$74/SUMSQ('TS-PILE'!$D$72:$D$91))),IF('TS-PILE'!$B$75="",-1E+99,'TO HOP NLAN'!D79/ncoc+IF(SUMSQ('TS-PILE'!$E$72:$E$91)=0,0,'TO HOP NLAN'!E79*'TS-PILE'!$E$75/SUMSQ('TS-PILE'!$E$72:$E$91))+IF(SUMSQ('TS-PILE'!$D$72:$D$91)=0,0,'TO HOP NLAN'!F79*'TS-PILE'!$D$75/SUMSQ('TS-PILE'!$D$72:$D$91))),IF('TS-PILE'!$B$76="",-1E+99,'TO HOP NLAN'!D79/ncoc+IF(SUMSQ('TS-PILE'!$E$72:$E$91)=0,0,'TO HOP NLAN'!E79*'TS-PILE'!$E$76/SUMSQ('TS-PILE'!$E$72:$E$91))+IF(SUMSQ('TS-PILE'!$D$72:$D$91)=0,0,'TO HOP NLAN'!F79*'TS-PILE'!$D$76/SUMSQ('TS-PILE'!$D$72:$D$91))),IF('TS-PILE'!$B$77="",-1E+99,'TO HOP NLAN'!D79/ncoc+IF(SUMSQ('TS-PILE'!$E$72:$E$91)=0,0,'TO HOP NLAN'!E79*'TS-PILE'!$E$77/SUMSQ('TS-PILE'!$E$72:$E$91))+IF(SUMSQ('TS-PILE'!$D$72:$D$91)=0,0,'TO HOP NLAN'!F79*'TS-PILE'!$D$77/SUMSQ('TS-PILE'!$D$72:$D$91))),IF('TS-PILE'!$B$78="",-1E+99,'TO HOP NLAN'!D79/ncoc+IF(SUMSQ('TS-PILE'!$E$72:$E$91)=0,0,'TO HOP NLAN'!E79*'TS-PILE'!$E$78/SUMSQ('TS-PILE'!$E$72:$E$91))+IF(SUMSQ('TS-PILE'!$D$72:$D$91)=0,0,'TO HOP NLAN'!F79*'TS-PILE'!$D$78/SUMSQ('TS-PILE'!$D$72:$D$91))),IF('TS-PILE'!$B$79="",-1E+99,'TO HOP NLAN'!D79/ncoc+IF(SUMSQ('TS-PILE'!$E$72:$E$91)=0,0,'TO HOP NLAN'!E79*'TS-PILE'!$E$79/SUMSQ('TS-PILE'!$E$72:$E$91))+IF(SUMSQ('TS-PILE'!$D$72:$D$91)=0,0,'TO HOP NLAN'!F79*'TS-PILE'!$D$79/SUMSQ('TS-PILE'!$D$72:$D$91))),IF('TS-PILE'!$B$80="",-1E+99,'TO HOP NLAN'!D79/ncoc+IF(SUMSQ('TS-PILE'!$E$72:$E$91)=0,0,'TO HOP NLAN'!E79*'TS-PILE'!$E$80/SUMSQ('TS-PILE'!$E$72:$E$91))+IF(SUMSQ('TS-PILE'!$D$72:$D$91)=0,0,'TO HOP NLAN'!F79*'TS-PILE'!$D$80/SUMSQ('TS-PILE'!$D$72:$D$91))),IF('TS-PILE'!$B$81="",-1E+99,'TO HOP NLAN'!D79/ncoc+IF(SUMSQ('TS-PILE'!$E$72:$E$91)=0,0,'TO HOP NLAN'!E79*'TS-PILE'!$E$81/SUMSQ('TS-PILE'!$E$72:$E$91))+IF(SUMSQ('TS-PILE'!$D$72:$D$91)=0,0,'TO HOP NLAN'!F79*'TS-PILE'!$D$81/SUMSQ('TS-PILE'!$D$72:$D$91))),IF('TS-PILE'!$B$82="",-1E+99,'TO HOP NLAN'!D79/ncoc+IF(SUMSQ('TS-PILE'!$E$72:$E$91)=0,0,'TO HOP NLAN'!E79*'TS-PILE'!$E$82/SUMSQ('TS-PILE'!$E$72:$E$91))+IF(SUMSQ('TS-PILE'!$D$72:$D$91)=0,0,'TO HOP NLAN'!F79*'TS-PILE'!$D$82/SUMSQ('TS-PILE'!$D$72:$D$91))),IF('TS-PILE'!$B$83="",-1E+99,'TO HOP NLAN'!D79/ncoc+IF(SUMSQ('TS-PILE'!$E$72:$E$91)=0,0,'TO HOP NLAN'!E79*'TS-PILE'!$E$83/SUMSQ('TS-PILE'!$E$72:$E$91))+IF(SUMSQ('TS-PILE'!$D$72:$D$91)=0,0,'TO HOP NLAN'!F79*'TS-PILE'!$D$83/SUMSQ('TS-PILE'!$D$72:$D$91))),IF('TS-PILE'!$B$84="",-1E+99,'TO HOP NLAN'!D79/ncoc+IF(SUMSQ('TS-PILE'!$E$72:$E$91)=0,0,'TO HOP NLAN'!E79*'TS-PILE'!$E$84/SUMSQ('TS-PILE'!$E$72:$E$91))+IF(SUMSQ('TS-PILE'!$D$72:$D$91)=0,0,'TO HOP NLAN'!F79*'TS-PILE'!$D$84/SUMSQ('TS-PILE'!$D$72:$D$91))),IF('TS-PILE'!$B$85="",-1E+99,'TO HOP NLAN'!D79/ncoc+IF(SUMSQ('TS-PILE'!$E$72:$E$91)=0,0,'TO HOP NLAN'!E79*'TS-PILE'!$E$85/SUMSQ('TS-PILE'!$E$72:$E$91))+IF(SUMSQ('TS-PILE'!$D$72:$D$91)=0,0,'TO HOP NLAN'!F79*'TS-PILE'!$D$85/SUMSQ('TS-PILE'!$D$72:$D$91))),IF('TS-PILE'!$B$86="",-1E+99,'TO HOP NLAN'!D79/ncoc+IF(SUMSQ('TS-PILE'!$E$72:$E$91)=0,0,'TO HOP NLAN'!E79*'TS-PILE'!$E$86/SUMSQ('TS-PILE'!$E$72:$E$91))+IF(SUMSQ('TS-PILE'!$D$72:$D$91)=0,0,'TO HOP NLAN'!F79*'TS-PILE'!$D$86/SUMSQ('TS-PILE'!$D$72:$D$91))),IF('TS-PILE'!$B$87="",-1E+99,'TO HOP NLAN'!D79/ncoc+IF(SUMSQ('TS-PILE'!$E$72:$E$91)=0,0,'TO HOP NLAN'!E79*'TS-PILE'!$E$87/SUMSQ('TS-PILE'!$E$72:$E$91))+IF(SUMSQ('TS-PILE'!$D$72:$D$91)=0,0,'TO HOP NLAN'!F79*'TS-PILE'!$D$87/SUMSQ('TS-PILE'!$D$72:$D$91))),IF('TS-PILE'!$B$88="",-1E+99,'TO HOP NLAN'!D79/ncoc+IF(SUMSQ('TS-PILE'!$E$72:$E$91)=0,0,'TO HOP NLAN'!E79*'TS-PILE'!$E$88/SUMSQ('TS-PILE'!$E$72:$E$91))+IF(SUMSQ('TS-PILE'!$D$72:$D$91)=0,0,'TO HOP NLAN'!F79*'TS-PILE'!$D$88/SUMSQ('TS-PILE'!$D$72:$D$91))),IF('TS-PILE'!$B$89="",-1E+99,'TO HOP NLAN'!D79/ncoc+IF(SUMSQ('TS-PILE'!$E$72:$E$91)=0,0,'TO HOP NLAN'!E79*'TS-PILE'!$E$89/SUMSQ('TS-PILE'!$E$72:$E$91))+IF(SUMSQ('TS-PILE'!$D$72:$D$91)=0,0,'TO HOP NLAN'!F79*'TS-PILE'!$D$89/SUMSQ('TS-PILE'!$D$72:$D$91))),IF('TS-PILE'!$B$90="",-1E+99,'TO HOP NLAN'!D79/ncoc+IF(SUMSQ('TS-PILE'!$E$72:$E$91)=0,0,'TO HOP NLAN'!E79*'TS-PILE'!$E$90/SUMSQ('TS-PILE'!$E$72:$E$91))+IF(SUMSQ('TS-PILE'!$D$72:$D$91)=0,0,'TO HOP NLAN'!F79*'TS-PILE'!$D$90/SUMSQ('TS-PILE'!$D$72:$D$91))),IF('TS-PILE'!$B$91="",-1E+99,'TO HOP NLAN'!D79/ncoc+IF(SUMSQ('TS-PILE'!$E$72:$E$91)=0,0,'TO HOP NLAN'!E79*'TS-PILE'!$E$91/SUMSQ('TS-PILE'!$E$72:$E$91))+IF(SUMSQ('TS-PILE'!$D$72:$D$91)=0,0,'TO HOP NLAN'!F79*'TS-PILE'!$D$91/SUMSQ('TS-PILE'!$D$72:$D$91)))))</f>
        <v>0</v>
      </c>
      <c r="D79" s="58">
        <f>IF(A79="",0,MIN(IF('TS-PILE'!$B$72="",1E+99,'TO HOP NLAN'!D79/ncoc+IF(SUMSQ('TS-PILE'!$E$72:$E$91)=0,0,'TO HOP NLAN'!E79*'TS-PILE'!$E$72/SUMSQ('TS-PILE'!$E$72:$E$91))+IF(SUMSQ('TS-PILE'!$D$72:$D$91)=0,0,'TO HOP NLAN'!F79*'TS-PILE'!$D$72/SUMSQ('TS-PILE'!$D$72:$D$91))),IF('TS-PILE'!$B$73="",1E+99,'TO HOP NLAN'!D79/ncoc+IF(SUMSQ('TS-PILE'!$E$72:$E$91)=0,0,'TO HOP NLAN'!E79*'TS-PILE'!$E$73/SUMSQ('TS-PILE'!$E$72:$E$91))+IF(SUMSQ('TS-PILE'!$D$72:$D$91)=0,0,'TO HOP NLAN'!F79*'TS-PILE'!$D$73/SUMSQ('TS-PILE'!$D$72:$D$91))),IF('TS-PILE'!$B$74="",1E+99,'TO HOP NLAN'!D79/ncoc+IF(SUMSQ('TS-PILE'!$E$72:$E$91)=0,0,'TO HOP NLAN'!E79*'TS-PILE'!$E$74/SUMSQ('TS-PILE'!$E$72:$E$91))+IF(SUMSQ('TS-PILE'!$D$72:$D$91)=0,0,'TO HOP NLAN'!F79*'TS-PILE'!$D$74/SUMSQ('TS-PILE'!$D$72:$D$91))),IF('TS-PILE'!$B$75="",1E+99,'TO HOP NLAN'!D79/ncoc+IF(SUMSQ('TS-PILE'!$E$72:$E$91)=0,0,'TO HOP NLAN'!E79*'TS-PILE'!$E$75/SUMSQ('TS-PILE'!$E$72:$E$91))+IF(SUMSQ('TS-PILE'!$D$72:$D$91)=0,0,'TO HOP NLAN'!F79*'TS-PILE'!$D$75/SUMSQ('TS-PILE'!$D$72:$D$91))),IF('TS-PILE'!$B$76="",1E+99,'TO HOP NLAN'!D79/ncoc+IF(SUMSQ('TS-PILE'!$E$72:$E$91)=0,0,'TO HOP NLAN'!E79*'TS-PILE'!$E$76/SUMSQ('TS-PILE'!$E$72:$E$91))+IF(SUMSQ('TS-PILE'!$D$72:$D$91)=0,0,'TO HOP NLAN'!F79*'TS-PILE'!$D$76/SUMSQ('TS-PILE'!$D$72:$D$91))),IF('TS-PILE'!$B$77="",1E+99,'TO HOP NLAN'!D79/ncoc+IF(SUMSQ('TS-PILE'!$E$72:$E$91)=0,0,'TO HOP NLAN'!E79*'TS-PILE'!$E$77/SUMSQ('TS-PILE'!$E$72:$E$91))+IF(SUMSQ('TS-PILE'!$D$72:$D$91)=0,0,'TO HOP NLAN'!F79*'TS-PILE'!$D$77/SUMSQ('TS-PILE'!$D$72:$D$91))),IF('TS-PILE'!$B$78="",1E+99,'TO HOP NLAN'!D79/ncoc+IF(SUMSQ('TS-PILE'!$E$72:$E$91)=0,0,'TO HOP NLAN'!E79*'TS-PILE'!$E$78/SUMSQ('TS-PILE'!$E$72:$E$91))+IF(SUMSQ('TS-PILE'!$D$72:$D$91)=0,0,'TO HOP NLAN'!F79*'TS-PILE'!$D$78/SUMSQ('TS-PILE'!$D$72:$D$91))),IF('TS-PILE'!$B$79="",1E+99,'TO HOP NLAN'!D79/ncoc+IF(SUMSQ('TS-PILE'!$E$72:$E$91)=0,0,'TO HOP NLAN'!E79*'TS-PILE'!$E$79/SUMSQ('TS-PILE'!$E$72:$E$91))+IF(SUMSQ('TS-PILE'!$D$72:$D$91)=0,0,'TO HOP NLAN'!F79*'TS-PILE'!$D$79/SUMSQ('TS-PILE'!$D$72:$D$91))),IF('TS-PILE'!$B$80="",1E+99,'TO HOP NLAN'!D79/ncoc+IF(SUMSQ('TS-PILE'!$E$72:$E$91)=0,0,'TO HOP NLAN'!E79*'TS-PILE'!$E$80/SUMSQ('TS-PILE'!$E$72:$E$91))+IF(SUMSQ('TS-PILE'!$D$72:$D$91)=0,0,'TO HOP NLAN'!F79*'TS-PILE'!$D$80/SUMSQ('TS-PILE'!$D$72:$D$91))),IF('TS-PILE'!$B$81="",1E+99,'TO HOP NLAN'!D79/ncoc+IF(SUMSQ('TS-PILE'!$E$72:$E$91)=0,0,'TO HOP NLAN'!E79*'TS-PILE'!$E$81/SUMSQ('TS-PILE'!$E$72:$E$91))+IF(SUMSQ('TS-PILE'!$D$72:$D$91)=0,0,'TO HOP NLAN'!F79*'TS-PILE'!$D$81/SUMSQ('TS-PILE'!$D$72:$D$91))),IF('TS-PILE'!$B$82="",1E+99,'TO HOP NLAN'!D79/ncoc+IF(SUMSQ('TS-PILE'!$E$72:$E$91)=0,0,'TO HOP NLAN'!E79*'TS-PILE'!$E$82/SUMSQ('TS-PILE'!$E$72:$E$91))+IF(SUMSQ('TS-PILE'!$D$72:$D$91)=0,0,'TO HOP NLAN'!F79*'TS-PILE'!$D$82/SUMSQ('TS-PILE'!$D$72:$D$91))),IF('TS-PILE'!$B$83="",1E+99,'TO HOP NLAN'!D79/ncoc+IF(SUMSQ('TS-PILE'!$E$72:$E$91)=0,0,'TO HOP NLAN'!E79*'TS-PILE'!$E$83/SUMSQ('TS-PILE'!$E$72:$E$91))+IF(SUMSQ('TS-PILE'!$D$72:$D$91)=0,0,'TO HOP NLAN'!F79*'TS-PILE'!$D$83/SUMSQ('TS-PILE'!$D$72:$D$91))),IF('TS-PILE'!$B$84="",1E+99,'TO HOP NLAN'!D79/ncoc+IF(SUMSQ('TS-PILE'!$E$72:$E$91)=0,0,'TO HOP NLAN'!E79*'TS-PILE'!$E$84/SUMSQ('TS-PILE'!$E$72:$E$91))+IF(SUMSQ('TS-PILE'!$D$72:$D$91)=0,0,'TO HOP NLAN'!F79*'TS-PILE'!$D$84/SUMSQ('TS-PILE'!$D$72:$D$91))),IF('TS-PILE'!$B$85="",1E+99,'TO HOP NLAN'!D79/ncoc+IF(SUMSQ('TS-PILE'!$E$72:$E$91)=0,0,'TO HOP NLAN'!E79*'TS-PILE'!$E$85/SUMSQ('TS-PILE'!$E$72:$E$91))+IF(SUMSQ('TS-PILE'!$D$72:$D$91)=0,0,'TO HOP NLAN'!F79*'TS-PILE'!$D$85/SUMSQ('TS-PILE'!$D$72:$D$91))),IF('TS-PILE'!$B$86="",1E+99,'TO HOP NLAN'!D79/ncoc+IF(SUMSQ('TS-PILE'!$E$72:$E$91)=0,0,'TO HOP NLAN'!E79*'TS-PILE'!$E$86/SUMSQ('TS-PILE'!$E$72:$E$91))+IF(SUMSQ('TS-PILE'!$D$72:$D$91)=0,0,'TO HOP NLAN'!F79*'TS-PILE'!$D$86/SUMSQ('TS-PILE'!$D$72:$D$91))),IF('TS-PILE'!$B$87="",1E+99,'TO HOP NLAN'!D79/ncoc+IF(SUMSQ('TS-PILE'!$E$72:$E$91)=0,0,'TO HOP NLAN'!E79*'TS-PILE'!$E$87/SUMSQ('TS-PILE'!$E$72:$E$91))+IF(SUMSQ('TS-PILE'!$D$72:$D$91)=0,0,'TO HOP NLAN'!F79*'TS-PILE'!$D$87/SUMSQ('TS-PILE'!$D$72:$D$91))),IF('TS-PILE'!$B$88="",1E+99,'TO HOP NLAN'!D79/ncoc+IF(SUMSQ('TS-PILE'!$E$72:$E$91)=0,0,'TO HOP NLAN'!E79*'TS-PILE'!$E$88/SUMSQ('TS-PILE'!$E$72:$E$91))+IF(SUMSQ('TS-PILE'!$D$72:$D$91)=0,0,'TO HOP NLAN'!F79*'TS-PILE'!$D$88/SUMSQ('TS-PILE'!$D$72:$D$91))),IF('TS-PILE'!$B$89="",1E+99,'TO HOP NLAN'!D79/ncoc+IF(SUMSQ('TS-PILE'!$E$72:$E$91)=0,0,'TO HOP NLAN'!E79*'TS-PILE'!$E$89/SUMSQ('TS-PILE'!$E$72:$E$91))+IF(SUMSQ('TS-PILE'!$D$72:$D$91)=0,0,'TO HOP NLAN'!F79*'TS-PILE'!$D$89/SUMSQ('TS-PILE'!$D$72:$D$91))),IF('TS-PILE'!$B$90="",1E+99,'TO HOP NLAN'!D79/ncoc+IF(SUMSQ('TS-PILE'!$E$72:$E$91)=0,0,'TO HOP NLAN'!E79*'TS-PILE'!$E$90/SUMSQ('TS-PILE'!$E$72:$E$91))+IF(SUMSQ('TS-PILE'!$D$72:$D$91)=0,0,'TO HOP NLAN'!F79*'TS-PILE'!$D$90/SUMSQ('TS-PILE'!$D$72:$D$91))),IF('TS-PILE'!$B$91="",1E+99,'TO HOP NLAN'!D79/ncoc+IF(SUMSQ('TS-PILE'!$E$72:$E$91)=0,0,'TO HOP NLAN'!E79*'TS-PILE'!$E$91/SUMSQ('TS-PILE'!$E$72:$E$91))+IF(SUMSQ('TS-PILE'!$D$72:$D$91)=0,0,'TO HOP NLAN'!F79*'TS-PILE'!$D$91/SUMSQ('TS-PILE'!$D$72:$D$91)))))</f>
        <v>0</v>
      </c>
      <c r="E79" s="58">
        <f t="shared" si="4"/>
        <v>-9.9999999999999997E+98</v>
      </c>
      <c r="F79" s="58">
        <f t="shared" si="5"/>
        <v>9.9999999999999997E+98</v>
      </c>
      <c r="G79" s="58">
        <f t="shared" si="6"/>
        <v>-9.9999999999999997E+98</v>
      </c>
      <c r="H79" s="58">
        <f t="shared" si="7"/>
        <v>9.9999999999999997E+98</v>
      </c>
    </row>
    <row r="80" spans="1:8" x14ac:dyDescent="0.3">
      <c r="A80" s="42" t="str">
        <f>'TO HOP NLAN'!A80</f>
        <v/>
      </c>
      <c r="B80" s="42" t="str">
        <f>'TO HOP NLAN'!L80</f>
        <v>SERVICE</v>
      </c>
      <c r="C80" s="58">
        <f>IF(A80="",0,MAX(IF('TS-PILE'!$B$72="",-1E+99,'TO HOP NLAN'!D80/ncoc+IF(SUMSQ('TS-PILE'!$E$72:$E$91)=0,0,'TO HOP NLAN'!E80*'TS-PILE'!$E$72/SUMSQ('TS-PILE'!$E$72:$E$91))+IF(SUMSQ('TS-PILE'!$D$72:$D$91)=0,0,'TO HOP NLAN'!F80*'TS-PILE'!$D$72/SUMSQ('TS-PILE'!$D$72:$D$91))),IF('TS-PILE'!$B$73="",-1E+99,'TO HOP NLAN'!D80/ncoc+IF(SUMSQ('TS-PILE'!$E$72:$E$91)=0,0,'TO HOP NLAN'!E80*'TS-PILE'!$E$73/SUMSQ('TS-PILE'!$E$72:$E$91))+IF(SUMSQ('TS-PILE'!$D$72:$D$91)=0,0,'TO HOP NLAN'!F80*'TS-PILE'!$D$73/SUMSQ('TS-PILE'!$D$72:$D$91))),IF('TS-PILE'!$B$74="",-1E+99,'TO HOP NLAN'!D80/ncoc+IF(SUMSQ('TS-PILE'!$E$72:$E$91)=0,0,'TO HOP NLAN'!E80*'TS-PILE'!$E$74/SUMSQ('TS-PILE'!$E$72:$E$91))+IF(SUMSQ('TS-PILE'!$D$72:$D$91)=0,0,'TO HOP NLAN'!F80*'TS-PILE'!$D$74/SUMSQ('TS-PILE'!$D$72:$D$91))),IF('TS-PILE'!$B$75="",-1E+99,'TO HOP NLAN'!D80/ncoc+IF(SUMSQ('TS-PILE'!$E$72:$E$91)=0,0,'TO HOP NLAN'!E80*'TS-PILE'!$E$75/SUMSQ('TS-PILE'!$E$72:$E$91))+IF(SUMSQ('TS-PILE'!$D$72:$D$91)=0,0,'TO HOP NLAN'!F80*'TS-PILE'!$D$75/SUMSQ('TS-PILE'!$D$72:$D$91))),IF('TS-PILE'!$B$76="",-1E+99,'TO HOP NLAN'!D80/ncoc+IF(SUMSQ('TS-PILE'!$E$72:$E$91)=0,0,'TO HOP NLAN'!E80*'TS-PILE'!$E$76/SUMSQ('TS-PILE'!$E$72:$E$91))+IF(SUMSQ('TS-PILE'!$D$72:$D$91)=0,0,'TO HOP NLAN'!F80*'TS-PILE'!$D$76/SUMSQ('TS-PILE'!$D$72:$D$91))),IF('TS-PILE'!$B$77="",-1E+99,'TO HOP NLAN'!D80/ncoc+IF(SUMSQ('TS-PILE'!$E$72:$E$91)=0,0,'TO HOP NLAN'!E80*'TS-PILE'!$E$77/SUMSQ('TS-PILE'!$E$72:$E$91))+IF(SUMSQ('TS-PILE'!$D$72:$D$91)=0,0,'TO HOP NLAN'!F80*'TS-PILE'!$D$77/SUMSQ('TS-PILE'!$D$72:$D$91))),IF('TS-PILE'!$B$78="",-1E+99,'TO HOP NLAN'!D80/ncoc+IF(SUMSQ('TS-PILE'!$E$72:$E$91)=0,0,'TO HOP NLAN'!E80*'TS-PILE'!$E$78/SUMSQ('TS-PILE'!$E$72:$E$91))+IF(SUMSQ('TS-PILE'!$D$72:$D$91)=0,0,'TO HOP NLAN'!F80*'TS-PILE'!$D$78/SUMSQ('TS-PILE'!$D$72:$D$91))),IF('TS-PILE'!$B$79="",-1E+99,'TO HOP NLAN'!D80/ncoc+IF(SUMSQ('TS-PILE'!$E$72:$E$91)=0,0,'TO HOP NLAN'!E80*'TS-PILE'!$E$79/SUMSQ('TS-PILE'!$E$72:$E$91))+IF(SUMSQ('TS-PILE'!$D$72:$D$91)=0,0,'TO HOP NLAN'!F80*'TS-PILE'!$D$79/SUMSQ('TS-PILE'!$D$72:$D$91))),IF('TS-PILE'!$B$80="",-1E+99,'TO HOP NLAN'!D80/ncoc+IF(SUMSQ('TS-PILE'!$E$72:$E$91)=0,0,'TO HOP NLAN'!E80*'TS-PILE'!$E$80/SUMSQ('TS-PILE'!$E$72:$E$91))+IF(SUMSQ('TS-PILE'!$D$72:$D$91)=0,0,'TO HOP NLAN'!F80*'TS-PILE'!$D$80/SUMSQ('TS-PILE'!$D$72:$D$91))),IF('TS-PILE'!$B$81="",-1E+99,'TO HOP NLAN'!D80/ncoc+IF(SUMSQ('TS-PILE'!$E$72:$E$91)=0,0,'TO HOP NLAN'!E80*'TS-PILE'!$E$81/SUMSQ('TS-PILE'!$E$72:$E$91))+IF(SUMSQ('TS-PILE'!$D$72:$D$91)=0,0,'TO HOP NLAN'!F80*'TS-PILE'!$D$81/SUMSQ('TS-PILE'!$D$72:$D$91))),IF('TS-PILE'!$B$82="",-1E+99,'TO HOP NLAN'!D80/ncoc+IF(SUMSQ('TS-PILE'!$E$72:$E$91)=0,0,'TO HOP NLAN'!E80*'TS-PILE'!$E$82/SUMSQ('TS-PILE'!$E$72:$E$91))+IF(SUMSQ('TS-PILE'!$D$72:$D$91)=0,0,'TO HOP NLAN'!F80*'TS-PILE'!$D$82/SUMSQ('TS-PILE'!$D$72:$D$91))),IF('TS-PILE'!$B$83="",-1E+99,'TO HOP NLAN'!D80/ncoc+IF(SUMSQ('TS-PILE'!$E$72:$E$91)=0,0,'TO HOP NLAN'!E80*'TS-PILE'!$E$83/SUMSQ('TS-PILE'!$E$72:$E$91))+IF(SUMSQ('TS-PILE'!$D$72:$D$91)=0,0,'TO HOP NLAN'!F80*'TS-PILE'!$D$83/SUMSQ('TS-PILE'!$D$72:$D$91))),IF('TS-PILE'!$B$84="",-1E+99,'TO HOP NLAN'!D80/ncoc+IF(SUMSQ('TS-PILE'!$E$72:$E$91)=0,0,'TO HOP NLAN'!E80*'TS-PILE'!$E$84/SUMSQ('TS-PILE'!$E$72:$E$91))+IF(SUMSQ('TS-PILE'!$D$72:$D$91)=0,0,'TO HOP NLAN'!F80*'TS-PILE'!$D$84/SUMSQ('TS-PILE'!$D$72:$D$91))),IF('TS-PILE'!$B$85="",-1E+99,'TO HOP NLAN'!D80/ncoc+IF(SUMSQ('TS-PILE'!$E$72:$E$91)=0,0,'TO HOP NLAN'!E80*'TS-PILE'!$E$85/SUMSQ('TS-PILE'!$E$72:$E$91))+IF(SUMSQ('TS-PILE'!$D$72:$D$91)=0,0,'TO HOP NLAN'!F80*'TS-PILE'!$D$85/SUMSQ('TS-PILE'!$D$72:$D$91))),IF('TS-PILE'!$B$86="",-1E+99,'TO HOP NLAN'!D80/ncoc+IF(SUMSQ('TS-PILE'!$E$72:$E$91)=0,0,'TO HOP NLAN'!E80*'TS-PILE'!$E$86/SUMSQ('TS-PILE'!$E$72:$E$91))+IF(SUMSQ('TS-PILE'!$D$72:$D$91)=0,0,'TO HOP NLAN'!F80*'TS-PILE'!$D$86/SUMSQ('TS-PILE'!$D$72:$D$91))),IF('TS-PILE'!$B$87="",-1E+99,'TO HOP NLAN'!D80/ncoc+IF(SUMSQ('TS-PILE'!$E$72:$E$91)=0,0,'TO HOP NLAN'!E80*'TS-PILE'!$E$87/SUMSQ('TS-PILE'!$E$72:$E$91))+IF(SUMSQ('TS-PILE'!$D$72:$D$91)=0,0,'TO HOP NLAN'!F80*'TS-PILE'!$D$87/SUMSQ('TS-PILE'!$D$72:$D$91))),IF('TS-PILE'!$B$88="",-1E+99,'TO HOP NLAN'!D80/ncoc+IF(SUMSQ('TS-PILE'!$E$72:$E$91)=0,0,'TO HOP NLAN'!E80*'TS-PILE'!$E$88/SUMSQ('TS-PILE'!$E$72:$E$91))+IF(SUMSQ('TS-PILE'!$D$72:$D$91)=0,0,'TO HOP NLAN'!F80*'TS-PILE'!$D$88/SUMSQ('TS-PILE'!$D$72:$D$91))),IF('TS-PILE'!$B$89="",-1E+99,'TO HOP NLAN'!D80/ncoc+IF(SUMSQ('TS-PILE'!$E$72:$E$91)=0,0,'TO HOP NLAN'!E80*'TS-PILE'!$E$89/SUMSQ('TS-PILE'!$E$72:$E$91))+IF(SUMSQ('TS-PILE'!$D$72:$D$91)=0,0,'TO HOP NLAN'!F80*'TS-PILE'!$D$89/SUMSQ('TS-PILE'!$D$72:$D$91))),IF('TS-PILE'!$B$90="",-1E+99,'TO HOP NLAN'!D80/ncoc+IF(SUMSQ('TS-PILE'!$E$72:$E$91)=0,0,'TO HOP NLAN'!E80*'TS-PILE'!$E$90/SUMSQ('TS-PILE'!$E$72:$E$91))+IF(SUMSQ('TS-PILE'!$D$72:$D$91)=0,0,'TO HOP NLAN'!F80*'TS-PILE'!$D$90/SUMSQ('TS-PILE'!$D$72:$D$91))),IF('TS-PILE'!$B$91="",-1E+99,'TO HOP NLAN'!D80/ncoc+IF(SUMSQ('TS-PILE'!$E$72:$E$91)=0,0,'TO HOP NLAN'!E80*'TS-PILE'!$E$91/SUMSQ('TS-PILE'!$E$72:$E$91))+IF(SUMSQ('TS-PILE'!$D$72:$D$91)=0,0,'TO HOP NLAN'!F80*'TS-PILE'!$D$91/SUMSQ('TS-PILE'!$D$72:$D$91)))))</f>
        <v>0</v>
      </c>
      <c r="D80" s="58">
        <f>IF(A80="",0,MIN(IF('TS-PILE'!$B$72="",1E+99,'TO HOP NLAN'!D80/ncoc+IF(SUMSQ('TS-PILE'!$E$72:$E$91)=0,0,'TO HOP NLAN'!E80*'TS-PILE'!$E$72/SUMSQ('TS-PILE'!$E$72:$E$91))+IF(SUMSQ('TS-PILE'!$D$72:$D$91)=0,0,'TO HOP NLAN'!F80*'TS-PILE'!$D$72/SUMSQ('TS-PILE'!$D$72:$D$91))),IF('TS-PILE'!$B$73="",1E+99,'TO HOP NLAN'!D80/ncoc+IF(SUMSQ('TS-PILE'!$E$72:$E$91)=0,0,'TO HOP NLAN'!E80*'TS-PILE'!$E$73/SUMSQ('TS-PILE'!$E$72:$E$91))+IF(SUMSQ('TS-PILE'!$D$72:$D$91)=0,0,'TO HOP NLAN'!F80*'TS-PILE'!$D$73/SUMSQ('TS-PILE'!$D$72:$D$91))),IF('TS-PILE'!$B$74="",1E+99,'TO HOP NLAN'!D80/ncoc+IF(SUMSQ('TS-PILE'!$E$72:$E$91)=0,0,'TO HOP NLAN'!E80*'TS-PILE'!$E$74/SUMSQ('TS-PILE'!$E$72:$E$91))+IF(SUMSQ('TS-PILE'!$D$72:$D$91)=0,0,'TO HOP NLAN'!F80*'TS-PILE'!$D$74/SUMSQ('TS-PILE'!$D$72:$D$91))),IF('TS-PILE'!$B$75="",1E+99,'TO HOP NLAN'!D80/ncoc+IF(SUMSQ('TS-PILE'!$E$72:$E$91)=0,0,'TO HOP NLAN'!E80*'TS-PILE'!$E$75/SUMSQ('TS-PILE'!$E$72:$E$91))+IF(SUMSQ('TS-PILE'!$D$72:$D$91)=0,0,'TO HOP NLAN'!F80*'TS-PILE'!$D$75/SUMSQ('TS-PILE'!$D$72:$D$91))),IF('TS-PILE'!$B$76="",1E+99,'TO HOP NLAN'!D80/ncoc+IF(SUMSQ('TS-PILE'!$E$72:$E$91)=0,0,'TO HOP NLAN'!E80*'TS-PILE'!$E$76/SUMSQ('TS-PILE'!$E$72:$E$91))+IF(SUMSQ('TS-PILE'!$D$72:$D$91)=0,0,'TO HOP NLAN'!F80*'TS-PILE'!$D$76/SUMSQ('TS-PILE'!$D$72:$D$91))),IF('TS-PILE'!$B$77="",1E+99,'TO HOP NLAN'!D80/ncoc+IF(SUMSQ('TS-PILE'!$E$72:$E$91)=0,0,'TO HOP NLAN'!E80*'TS-PILE'!$E$77/SUMSQ('TS-PILE'!$E$72:$E$91))+IF(SUMSQ('TS-PILE'!$D$72:$D$91)=0,0,'TO HOP NLAN'!F80*'TS-PILE'!$D$77/SUMSQ('TS-PILE'!$D$72:$D$91))),IF('TS-PILE'!$B$78="",1E+99,'TO HOP NLAN'!D80/ncoc+IF(SUMSQ('TS-PILE'!$E$72:$E$91)=0,0,'TO HOP NLAN'!E80*'TS-PILE'!$E$78/SUMSQ('TS-PILE'!$E$72:$E$91))+IF(SUMSQ('TS-PILE'!$D$72:$D$91)=0,0,'TO HOP NLAN'!F80*'TS-PILE'!$D$78/SUMSQ('TS-PILE'!$D$72:$D$91))),IF('TS-PILE'!$B$79="",1E+99,'TO HOP NLAN'!D80/ncoc+IF(SUMSQ('TS-PILE'!$E$72:$E$91)=0,0,'TO HOP NLAN'!E80*'TS-PILE'!$E$79/SUMSQ('TS-PILE'!$E$72:$E$91))+IF(SUMSQ('TS-PILE'!$D$72:$D$91)=0,0,'TO HOP NLAN'!F80*'TS-PILE'!$D$79/SUMSQ('TS-PILE'!$D$72:$D$91))),IF('TS-PILE'!$B$80="",1E+99,'TO HOP NLAN'!D80/ncoc+IF(SUMSQ('TS-PILE'!$E$72:$E$91)=0,0,'TO HOP NLAN'!E80*'TS-PILE'!$E$80/SUMSQ('TS-PILE'!$E$72:$E$91))+IF(SUMSQ('TS-PILE'!$D$72:$D$91)=0,0,'TO HOP NLAN'!F80*'TS-PILE'!$D$80/SUMSQ('TS-PILE'!$D$72:$D$91))),IF('TS-PILE'!$B$81="",1E+99,'TO HOP NLAN'!D80/ncoc+IF(SUMSQ('TS-PILE'!$E$72:$E$91)=0,0,'TO HOP NLAN'!E80*'TS-PILE'!$E$81/SUMSQ('TS-PILE'!$E$72:$E$91))+IF(SUMSQ('TS-PILE'!$D$72:$D$91)=0,0,'TO HOP NLAN'!F80*'TS-PILE'!$D$81/SUMSQ('TS-PILE'!$D$72:$D$91))),IF('TS-PILE'!$B$82="",1E+99,'TO HOP NLAN'!D80/ncoc+IF(SUMSQ('TS-PILE'!$E$72:$E$91)=0,0,'TO HOP NLAN'!E80*'TS-PILE'!$E$82/SUMSQ('TS-PILE'!$E$72:$E$91))+IF(SUMSQ('TS-PILE'!$D$72:$D$91)=0,0,'TO HOP NLAN'!F80*'TS-PILE'!$D$82/SUMSQ('TS-PILE'!$D$72:$D$91))),IF('TS-PILE'!$B$83="",1E+99,'TO HOP NLAN'!D80/ncoc+IF(SUMSQ('TS-PILE'!$E$72:$E$91)=0,0,'TO HOP NLAN'!E80*'TS-PILE'!$E$83/SUMSQ('TS-PILE'!$E$72:$E$91))+IF(SUMSQ('TS-PILE'!$D$72:$D$91)=0,0,'TO HOP NLAN'!F80*'TS-PILE'!$D$83/SUMSQ('TS-PILE'!$D$72:$D$91))),IF('TS-PILE'!$B$84="",1E+99,'TO HOP NLAN'!D80/ncoc+IF(SUMSQ('TS-PILE'!$E$72:$E$91)=0,0,'TO HOP NLAN'!E80*'TS-PILE'!$E$84/SUMSQ('TS-PILE'!$E$72:$E$91))+IF(SUMSQ('TS-PILE'!$D$72:$D$91)=0,0,'TO HOP NLAN'!F80*'TS-PILE'!$D$84/SUMSQ('TS-PILE'!$D$72:$D$91))),IF('TS-PILE'!$B$85="",1E+99,'TO HOP NLAN'!D80/ncoc+IF(SUMSQ('TS-PILE'!$E$72:$E$91)=0,0,'TO HOP NLAN'!E80*'TS-PILE'!$E$85/SUMSQ('TS-PILE'!$E$72:$E$91))+IF(SUMSQ('TS-PILE'!$D$72:$D$91)=0,0,'TO HOP NLAN'!F80*'TS-PILE'!$D$85/SUMSQ('TS-PILE'!$D$72:$D$91))),IF('TS-PILE'!$B$86="",1E+99,'TO HOP NLAN'!D80/ncoc+IF(SUMSQ('TS-PILE'!$E$72:$E$91)=0,0,'TO HOP NLAN'!E80*'TS-PILE'!$E$86/SUMSQ('TS-PILE'!$E$72:$E$91))+IF(SUMSQ('TS-PILE'!$D$72:$D$91)=0,0,'TO HOP NLAN'!F80*'TS-PILE'!$D$86/SUMSQ('TS-PILE'!$D$72:$D$91))),IF('TS-PILE'!$B$87="",1E+99,'TO HOP NLAN'!D80/ncoc+IF(SUMSQ('TS-PILE'!$E$72:$E$91)=0,0,'TO HOP NLAN'!E80*'TS-PILE'!$E$87/SUMSQ('TS-PILE'!$E$72:$E$91))+IF(SUMSQ('TS-PILE'!$D$72:$D$91)=0,0,'TO HOP NLAN'!F80*'TS-PILE'!$D$87/SUMSQ('TS-PILE'!$D$72:$D$91))),IF('TS-PILE'!$B$88="",1E+99,'TO HOP NLAN'!D80/ncoc+IF(SUMSQ('TS-PILE'!$E$72:$E$91)=0,0,'TO HOP NLAN'!E80*'TS-PILE'!$E$88/SUMSQ('TS-PILE'!$E$72:$E$91))+IF(SUMSQ('TS-PILE'!$D$72:$D$91)=0,0,'TO HOP NLAN'!F80*'TS-PILE'!$D$88/SUMSQ('TS-PILE'!$D$72:$D$91))),IF('TS-PILE'!$B$89="",1E+99,'TO HOP NLAN'!D80/ncoc+IF(SUMSQ('TS-PILE'!$E$72:$E$91)=0,0,'TO HOP NLAN'!E80*'TS-PILE'!$E$89/SUMSQ('TS-PILE'!$E$72:$E$91))+IF(SUMSQ('TS-PILE'!$D$72:$D$91)=0,0,'TO HOP NLAN'!F80*'TS-PILE'!$D$89/SUMSQ('TS-PILE'!$D$72:$D$91))),IF('TS-PILE'!$B$90="",1E+99,'TO HOP NLAN'!D80/ncoc+IF(SUMSQ('TS-PILE'!$E$72:$E$91)=0,0,'TO HOP NLAN'!E80*'TS-PILE'!$E$90/SUMSQ('TS-PILE'!$E$72:$E$91))+IF(SUMSQ('TS-PILE'!$D$72:$D$91)=0,0,'TO HOP NLAN'!F80*'TS-PILE'!$D$90/SUMSQ('TS-PILE'!$D$72:$D$91))),IF('TS-PILE'!$B$91="",1E+99,'TO HOP NLAN'!D80/ncoc+IF(SUMSQ('TS-PILE'!$E$72:$E$91)=0,0,'TO HOP NLAN'!E80*'TS-PILE'!$E$91/SUMSQ('TS-PILE'!$E$72:$E$91))+IF(SUMSQ('TS-PILE'!$D$72:$D$91)=0,0,'TO HOP NLAN'!F80*'TS-PILE'!$D$91/SUMSQ('TS-PILE'!$D$72:$D$91)))))</f>
        <v>0</v>
      </c>
      <c r="E80" s="58">
        <f t="shared" si="4"/>
        <v>-9.9999999999999997E+98</v>
      </c>
      <c r="F80" s="58">
        <f t="shared" si="5"/>
        <v>9.9999999999999997E+98</v>
      </c>
      <c r="G80" s="58">
        <f t="shared" si="6"/>
        <v>-9.9999999999999997E+98</v>
      </c>
      <c r="H80" s="58">
        <f t="shared" si="7"/>
        <v>9.9999999999999997E+98</v>
      </c>
    </row>
    <row r="81" spans="1:8" x14ac:dyDescent="0.3">
      <c r="A81" s="42" t="str">
        <f>'TO HOP NLAN'!A81</f>
        <v/>
      </c>
      <c r="B81" s="42" t="str">
        <f>'TO HOP NLAN'!L81</f>
        <v>SERVICE</v>
      </c>
      <c r="C81" s="58">
        <f>IF(A81="",0,MAX(IF('TS-PILE'!$B$72="",-1E+99,'TO HOP NLAN'!D81/ncoc+IF(SUMSQ('TS-PILE'!$E$72:$E$91)=0,0,'TO HOP NLAN'!E81*'TS-PILE'!$E$72/SUMSQ('TS-PILE'!$E$72:$E$91))+IF(SUMSQ('TS-PILE'!$D$72:$D$91)=0,0,'TO HOP NLAN'!F81*'TS-PILE'!$D$72/SUMSQ('TS-PILE'!$D$72:$D$91))),IF('TS-PILE'!$B$73="",-1E+99,'TO HOP NLAN'!D81/ncoc+IF(SUMSQ('TS-PILE'!$E$72:$E$91)=0,0,'TO HOP NLAN'!E81*'TS-PILE'!$E$73/SUMSQ('TS-PILE'!$E$72:$E$91))+IF(SUMSQ('TS-PILE'!$D$72:$D$91)=0,0,'TO HOP NLAN'!F81*'TS-PILE'!$D$73/SUMSQ('TS-PILE'!$D$72:$D$91))),IF('TS-PILE'!$B$74="",-1E+99,'TO HOP NLAN'!D81/ncoc+IF(SUMSQ('TS-PILE'!$E$72:$E$91)=0,0,'TO HOP NLAN'!E81*'TS-PILE'!$E$74/SUMSQ('TS-PILE'!$E$72:$E$91))+IF(SUMSQ('TS-PILE'!$D$72:$D$91)=0,0,'TO HOP NLAN'!F81*'TS-PILE'!$D$74/SUMSQ('TS-PILE'!$D$72:$D$91))),IF('TS-PILE'!$B$75="",-1E+99,'TO HOP NLAN'!D81/ncoc+IF(SUMSQ('TS-PILE'!$E$72:$E$91)=0,0,'TO HOP NLAN'!E81*'TS-PILE'!$E$75/SUMSQ('TS-PILE'!$E$72:$E$91))+IF(SUMSQ('TS-PILE'!$D$72:$D$91)=0,0,'TO HOP NLAN'!F81*'TS-PILE'!$D$75/SUMSQ('TS-PILE'!$D$72:$D$91))),IF('TS-PILE'!$B$76="",-1E+99,'TO HOP NLAN'!D81/ncoc+IF(SUMSQ('TS-PILE'!$E$72:$E$91)=0,0,'TO HOP NLAN'!E81*'TS-PILE'!$E$76/SUMSQ('TS-PILE'!$E$72:$E$91))+IF(SUMSQ('TS-PILE'!$D$72:$D$91)=0,0,'TO HOP NLAN'!F81*'TS-PILE'!$D$76/SUMSQ('TS-PILE'!$D$72:$D$91))),IF('TS-PILE'!$B$77="",-1E+99,'TO HOP NLAN'!D81/ncoc+IF(SUMSQ('TS-PILE'!$E$72:$E$91)=0,0,'TO HOP NLAN'!E81*'TS-PILE'!$E$77/SUMSQ('TS-PILE'!$E$72:$E$91))+IF(SUMSQ('TS-PILE'!$D$72:$D$91)=0,0,'TO HOP NLAN'!F81*'TS-PILE'!$D$77/SUMSQ('TS-PILE'!$D$72:$D$91))),IF('TS-PILE'!$B$78="",-1E+99,'TO HOP NLAN'!D81/ncoc+IF(SUMSQ('TS-PILE'!$E$72:$E$91)=0,0,'TO HOP NLAN'!E81*'TS-PILE'!$E$78/SUMSQ('TS-PILE'!$E$72:$E$91))+IF(SUMSQ('TS-PILE'!$D$72:$D$91)=0,0,'TO HOP NLAN'!F81*'TS-PILE'!$D$78/SUMSQ('TS-PILE'!$D$72:$D$91))),IF('TS-PILE'!$B$79="",-1E+99,'TO HOP NLAN'!D81/ncoc+IF(SUMSQ('TS-PILE'!$E$72:$E$91)=0,0,'TO HOP NLAN'!E81*'TS-PILE'!$E$79/SUMSQ('TS-PILE'!$E$72:$E$91))+IF(SUMSQ('TS-PILE'!$D$72:$D$91)=0,0,'TO HOP NLAN'!F81*'TS-PILE'!$D$79/SUMSQ('TS-PILE'!$D$72:$D$91))),IF('TS-PILE'!$B$80="",-1E+99,'TO HOP NLAN'!D81/ncoc+IF(SUMSQ('TS-PILE'!$E$72:$E$91)=0,0,'TO HOP NLAN'!E81*'TS-PILE'!$E$80/SUMSQ('TS-PILE'!$E$72:$E$91))+IF(SUMSQ('TS-PILE'!$D$72:$D$91)=0,0,'TO HOP NLAN'!F81*'TS-PILE'!$D$80/SUMSQ('TS-PILE'!$D$72:$D$91))),IF('TS-PILE'!$B$81="",-1E+99,'TO HOP NLAN'!D81/ncoc+IF(SUMSQ('TS-PILE'!$E$72:$E$91)=0,0,'TO HOP NLAN'!E81*'TS-PILE'!$E$81/SUMSQ('TS-PILE'!$E$72:$E$91))+IF(SUMSQ('TS-PILE'!$D$72:$D$91)=0,0,'TO HOP NLAN'!F81*'TS-PILE'!$D$81/SUMSQ('TS-PILE'!$D$72:$D$91))),IF('TS-PILE'!$B$82="",-1E+99,'TO HOP NLAN'!D81/ncoc+IF(SUMSQ('TS-PILE'!$E$72:$E$91)=0,0,'TO HOP NLAN'!E81*'TS-PILE'!$E$82/SUMSQ('TS-PILE'!$E$72:$E$91))+IF(SUMSQ('TS-PILE'!$D$72:$D$91)=0,0,'TO HOP NLAN'!F81*'TS-PILE'!$D$82/SUMSQ('TS-PILE'!$D$72:$D$91))),IF('TS-PILE'!$B$83="",-1E+99,'TO HOP NLAN'!D81/ncoc+IF(SUMSQ('TS-PILE'!$E$72:$E$91)=0,0,'TO HOP NLAN'!E81*'TS-PILE'!$E$83/SUMSQ('TS-PILE'!$E$72:$E$91))+IF(SUMSQ('TS-PILE'!$D$72:$D$91)=0,0,'TO HOP NLAN'!F81*'TS-PILE'!$D$83/SUMSQ('TS-PILE'!$D$72:$D$91))),IF('TS-PILE'!$B$84="",-1E+99,'TO HOP NLAN'!D81/ncoc+IF(SUMSQ('TS-PILE'!$E$72:$E$91)=0,0,'TO HOP NLAN'!E81*'TS-PILE'!$E$84/SUMSQ('TS-PILE'!$E$72:$E$91))+IF(SUMSQ('TS-PILE'!$D$72:$D$91)=0,0,'TO HOP NLAN'!F81*'TS-PILE'!$D$84/SUMSQ('TS-PILE'!$D$72:$D$91))),IF('TS-PILE'!$B$85="",-1E+99,'TO HOP NLAN'!D81/ncoc+IF(SUMSQ('TS-PILE'!$E$72:$E$91)=0,0,'TO HOP NLAN'!E81*'TS-PILE'!$E$85/SUMSQ('TS-PILE'!$E$72:$E$91))+IF(SUMSQ('TS-PILE'!$D$72:$D$91)=0,0,'TO HOP NLAN'!F81*'TS-PILE'!$D$85/SUMSQ('TS-PILE'!$D$72:$D$91))),IF('TS-PILE'!$B$86="",-1E+99,'TO HOP NLAN'!D81/ncoc+IF(SUMSQ('TS-PILE'!$E$72:$E$91)=0,0,'TO HOP NLAN'!E81*'TS-PILE'!$E$86/SUMSQ('TS-PILE'!$E$72:$E$91))+IF(SUMSQ('TS-PILE'!$D$72:$D$91)=0,0,'TO HOP NLAN'!F81*'TS-PILE'!$D$86/SUMSQ('TS-PILE'!$D$72:$D$91))),IF('TS-PILE'!$B$87="",-1E+99,'TO HOP NLAN'!D81/ncoc+IF(SUMSQ('TS-PILE'!$E$72:$E$91)=0,0,'TO HOP NLAN'!E81*'TS-PILE'!$E$87/SUMSQ('TS-PILE'!$E$72:$E$91))+IF(SUMSQ('TS-PILE'!$D$72:$D$91)=0,0,'TO HOP NLAN'!F81*'TS-PILE'!$D$87/SUMSQ('TS-PILE'!$D$72:$D$91))),IF('TS-PILE'!$B$88="",-1E+99,'TO HOP NLAN'!D81/ncoc+IF(SUMSQ('TS-PILE'!$E$72:$E$91)=0,0,'TO HOP NLAN'!E81*'TS-PILE'!$E$88/SUMSQ('TS-PILE'!$E$72:$E$91))+IF(SUMSQ('TS-PILE'!$D$72:$D$91)=0,0,'TO HOP NLAN'!F81*'TS-PILE'!$D$88/SUMSQ('TS-PILE'!$D$72:$D$91))),IF('TS-PILE'!$B$89="",-1E+99,'TO HOP NLAN'!D81/ncoc+IF(SUMSQ('TS-PILE'!$E$72:$E$91)=0,0,'TO HOP NLAN'!E81*'TS-PILE'!$E$89/SUMSQ('TS-PILE'!$E$72:$E$91))+IF(SUMSQ('TS-PILE'!$D$72:$D$91)=0,0,'TO HOP NLAN'!F81*'TS-PILE'!$D$89/SUMSQ('TS-PILE'!$D$72:$D$91))),IF('TS-PILE'!$B$90="",-1E+99,'TO HOP NLAN'!D81/ncoc+IF(SUMSQ('TS-PILE'!$E$72:$E$91)=0,0,'TO HOP NLAN'!E81*'TS-PILE'!$E$90/SUMSQ('TS-PILE'!$E$72:$E$91))+IF(SUMSQ('TS-PILE'!$D$72:$D$91)=0,0,'TO HOP NLAN'!F81*'TS-PILE'!$D$90/SUMSQ('TS-PILE'!$D$72:$D$91))),IF('TS-PILE'!$B$91="",-1E+99,'TO HOP NLAN'!D81/ncoc+IF(SUMSQ('TS-PILE'!$E$72:$E$91)=0,0,'TO HOP NLAN'!E81*'TS-PILE'!$E$91/SUMSQ('TS-PILE'!$E$72:$E$91))+IF(SUMSQ('TS-PILE'!$D$72:$D$91)=0,0,'TO HOP NLAN'!F81*'TS-PILE'!$D$91/SUMSQ('TS-PILE'!$D$72:$D$91)))))</f>
        <v>0</v>
      </c>
      <c r="D81" s="58">
        <f>IF(A81="",0,MIN(IF('TS-PILE'!$B$72="",1E+99,'TO HOP NLAN'!D81/ncoc+IF(SUMSQ('TS-PILE'!$E$72:$E$91)=0,0,'TO HOP NLAN'!E81*'TS-PILE'!$E$72/SUMSQ('TS-PILE'!$E$72:$E$91))+IF(SUMSQ('TS-PILE'!$D$72:$D$91)=0,0,'TO HOP NLAN'!F81*'TS-PILE'!$D$72/SUMSQ('TS-PILE'!$D$72:$D$91))),IF('TS-PILE'!$B$73="",1E+99,'TO HOP NLAN'!D81/ncoc+IF(SUMSQ('TS-PILE'!$E$72:$E$91)=0,0,'TO HOP NLAN'!E81*'TS-PILE'!$E$73/SUMSQ('TS-PILE'!$E$72:$E$91))+IF(SUMSQ('TS-PILE'!$D$72:$D$91)=0,0,'TO HOP NLAN'!F81*'TS-PILE'!$D$73/SUMSQ('TS-PILE'!$D$72:$D$91))),IF('TS-PILE'!$B$74="",1E+99,'TO HOP NLAN'!D81/ncoc+IF(SUMSQ('TS-PILE'!$E$72:$E$91)=0,0,'TO HOP NLAN'!E81*'TS-PILE'!$E$74/SUMSQ('TS-PILE'!$E$72:$E$91))+IF(SUMSQ('TS-PILE'!$D$72:$D$91)=0,0,'TO HOP NLAN'!F81*'TS-PILE'!$D$74/SUMSQ('TS-PILE'!$D$72:$D$91))),IF('TS-PILE'!$B$75="",1E+99,'TO HOP NLAN'!D81/ncoc+IF(SUMSQ('TS-PILE'!$E$72:$E$91)=0,0,'TO HOP NLAN'!E81*'TS-PILE'!$E$75/SUMSQ('TS-PILE'!$E$72:$E$91))+IF(SUMSQ('TS-PILE'!$D$72:$D$91)=0,0,'TO HOP NLAN'!F81*'TS-PILE'!$D$75/SUMSQ('TS-PILE'!$D$72:$D$91))),IF('TS-PILE'!$B$76="",1E+99,'TO HOP NLAN'!D81/ncoc+IF(SUMSQ('TS-PILE'!$E$72:$E$91)=0,0,'TO HOP NLAN'!E81*'TS-PILE'!$E$76/SUMSQ('TS-PILE'!$E$72:$E$91))+IF(SUMSQ('TS-PILE'!$D$72:$D$91)=0,0,'TO HOP NLAN'!F81*'TS-PILE'!$D$76/SUMSQ('TS-PILE'!$D$72:$D$91))),IF('TS-PILE'!$B$77="",1E+99,'TO HOP NLAN'!D81/ncoc+IF(SUMSQ('TS-PILE'!$E$72:$E$91)=0,0,'TO HOP NLAN'!E81*'TS-PILE'!$E$77/SUMSQ('TS-PILE'!$E$72:$E$91))+IF(SUMSQ('TS-PILE'!$D$72:$D$91)=0,0,'TO HOP NLAN'!F81*'TS-PILE'!$D$77/SUMSQ('TS-PILE'!$D$72:$D$91))),IF('TS-PILE'!$B$78="",1E+99,'TO HOP NLAN'!D81/ncoc+IF(SUMSQ('TS-PILE'!$E$72:$E$91)=0,0,'TO HOP NLAN'!E81*'TS-PILE'!$E$78/SUMSQ('TS-PILE'!$E$72:$E$91))+IF(SUMSQ('TS-PILE'!$D$72:$D$91)=0,0,'TO HOP NLAN'!F81*'TS-PILE'!$D$78/SUMSQ('TS-PILE'!$D$72:$D$91))),IF('TS-PILE'!$B$79="",1E+99,'TO HOP NLAN'!D81/ncoc+IF(SUMSQ('TS-PILE'!$E$72:$E$91)=0,0,'TO HOP NLAN'!E81*'TS-PILE'!$E$79/SUMSQ('TS-PILE'!$E$72:$E$91))+IF(SUMSQ('TS-PILE'!$D$72:$D$91)=0,0,'TO HOP NLAN'!F81*'TS-PILE'!$D$79/SUMSQ('TS-PILE'!$D$72:$D$91))),IF('TS-PILE'!$B$80="",1E+99,'TO HOP NLAN'!D81/ncoc+IF(SUMSQ('TS-PILE'!$E$72:$E$91)=0,0,'TO HOP NLAN'!E81*'TS-PILE'!$E$80/SUMSQ('TS-PILE'!$E$72:$E$91))+IF(SUMSQ('TS-PILE'!$D$72:$D$91)=0,0,'TO HOP NLAN'!F81*'TS-PILE'!$D$80/SUMSQ('TS-PILE'!$D$72:$D$91))),IF('TS-PILE'!$B$81="",1E+99,'TO HOP NLAN'!D81/ncoc+IF(SUMSQ('TS-PILE'!$E$72:$E$91)=0,0,'TO HOP NLAN'!E81*'TS-PILE'!$E$81/SUMSQ('TS-PILE'!$E$72:$E$91))+IF(SUMSQ('TS-PILE'!$D$72:$D$91)=0,0,'TO HOP NLAN'!F81*'TS-PILE'!$D$81/SUMSQ('TS-PILE'!$D$72:$D$91))),IF('TS-PILE'!$B$82="",1E+99,'TO HOP NLAN'!D81/ncoc+IF(SUMSQ('TS-PILE'!$E$72:$E$91)=0,0,'TO HOP NLAN'!E81*'TS-PILE'!$E$82/SUMSQ('TS-PILE'!$E$72:$E$91))+IF(SUMSQ('TS-PILE'!$D$72:$D$91)=0,0,'TO HOP NLAN'!F81*'TS-PILE'!$D$82/SUMSQ('TS-PILE'!$D$72:$D$91))),IF('TS-PILE'!$B$83="",1E+99,'TO HOP NLAN'!D81/ncoc+IF(SUMSQ('TS-PILE'!$E$72:$E$91)=0,0,'TO HOP NLAN'!E81*'TS-PILE'!$E$83/SUMSQ('TS-PILE'!$E$72:$E$91))+IF(SUMSQ('TS-PILE'!$D$72:$D$91)=0,0,'TO HOP NLAN'!F81*'TS-PILE'!$D$83/SUMSQ('TS-PILE'!$D$72:$D$91))),IF('TS-PILE'!$B$84="",1E+99,'TO HOP NLAN'!D81/ncoc+IF(SUMSQ('TS-PILE'!$E$72:$E$91)=0,0,'TO HOP NLAN'!E81*'TS-PILE'!$E$84/SUMSQ('TS-PILE'!$E$72:$E$91))+IF(SUMSQ('TS-PILE'!$D$72:$D$91)=0,0,'TO HOP NLAN'!F81*'TS-PILE'!$D$84/SUMSQ('TS-PILE'!$D$72:$D$91))),IF('TS-PILE'!$B$85="",1E+99,'TO HOP NLAN'!D81/ncoc+IF(SUMSQ('TS-PILE'!$E$72:$E$91)=0,0,'TO HOP NLAN'!E81*'TS-PILE'!$E$85/SUMSQ('TS-PILE'!$E$72:$E$91))+IF(SUMSQ('TS-PILE'!$D$72:$D$91)=0,0,'TO HOP NLAN'!F81*'TS-PILE'!$D$85/SUMSQ('TS-PILE'!$D$72:$D$91))),IF('TS-PILE'!$B$86="",1E+99,'TO HOP NLAN'!D81/ncoc+IF(SUMSQ('TS-PILE'!$E$72:$E$91)=0,0,'TO HOP NLAN'!E81*'TS-PILE'!$E$86/SUMSQ('TS-PILE'!$E$72:$E$91))+IF(SUMSQ('TS-PILE'!$D$72:$D$91)=0,0,'TO HOP NLAN'!F81*'TS-PILE'!$D$86/SUMSQ('TS-PILE'!$D$72:$D$91))),IF('TS-PILE'!$B$87="",1E+99,'TO HOP NLAN'!D81/ncoc+IF(SUMSQ('TS-PILE'!$E$72:$E$91)=0,0,'TO HOP NLAN'!E81*'TS-PILE'!$E$87/SUMSQ('TS-PILE'!$E$72:$E$91))+IF(SUMSQ('TS-PILE'!$D$72:$D$91)=0,0,'TO HOP NLAN'!F81*'TS-PILE'!$D$87/SUMSQ('TS-PILE'!$D$72:$D$91))),IF('TS-PILE'!$B$88="",1E+99,'TO HOP NLAN'!D81/ncoc+IF(SUMSQ('TS-PILE'!$E$72:$E$91)=0,0,'TO HOP NLAN'!E81*'TS-PILE'!$E$88/SUMSQ('TS-PILE'!$E$72:$E$91))+IF(SUMSQ('TS-PILE'!$D$72:$D$91)=0,0,'TO HOP NLAN'!F81*'TS-PILE'!$D$88/SUMSQ('TS-PILE'!$D$72:$D$91))),IF('TS-PILE'!$B$89="",1E+99,'TO HOP NLAN'!D81/ncoc+IF(SUMSQ('TS-PILE'!$E$72:$E$91)=0,0,'TO HOP NLAN'!E81*'TS-PILE'!$E$89/SUMSQ('TS-PILE'!$E$72:$E$91))+IF(SUMSQ('TS-PILE'!$D$72:$D$91)=0,0,'TO HOP NLAN'!F81*'TS-PILE'!$D$89/SUMSQ('TS-PILE'!$D$72:$D$91))),IF('TS-PILE'!$B$90="",1E+99,'TO HOP NLAN'!D81/ncoc+IF(SUMSQ('TS-PILE'!$E$72:$E$91)=0,0,'TO HOP NLAN'!E81*'TS-PILE'!$E$90/SUMSQ('TS-PILE'!$E$72:$E$91))+IF(SUMSQ('TS-PILE'!$D$72:$D$91)=0,0,'TO HOP NLAN'!F81*'TS-PILE'!$D$90/SUMSQ('TS-PILE'!$D$72:$D$91))),IF('TS-PILE'!$B$91="",1E+99,'TO HOP NLAN'!D81/ncoc+IF(SUMSQ('TS-PILE'!$E$72:$E$91)=0,0,'TO HOP NLAN'!E81*'TS-PILE'!$E$91/SUMSQ('TS-PILE'!$E$72:$E$91))+IF(SUMSQ('TS-PILE'!$D$72:$D$91)=0,0,'TO HOP NLAN'!F81*'TS-PILE'!$D$91/SUMSQ('TS-PILE'!$D$72:$D$91)))))</f>
        <v>0</v>
      </c>
      <c r="E81" s="58">
        <f t="shared" si="4"/>
        <v>-9.9999999999999997E+98</v>
      </c>
      <c r="F81" s="58">
        <f t="shared" si="5"/>
        <v>9.9999999999999997E+98</v>
      </c>
      <c r="G81" s="58">
        <f t="shared" si="6"/>
        <v>-9.9999999999999997E+98</v>
      </c>
      <c r="H81" s="58">
        <f t="shared" si="7"/>
        <v>9.9999999999999997E+98</v>
      </c>
    </row>
    <row r="82" spans="1:8" x14ac:dyDescent="0.3">
      <c r="A82" s="42" t="str">
        <f>'TO HOP NLAN'!A82</f>
        <v/>
      </c>
      <c r="B82" s="42" t="str">
        <f>'TO HOP NLAN'!L82</f>
        <v>SERVICE</v>
      </c>
      <c r="C82" s="58">
        <f>IF(A82="",0,MAX(IF('TS-PILE'!$B$72="",-1E+99,'TO HOP NLAN'!D82/ncoc+IF(SUMSQ('TS-PILE'!$E$72:$E$91)=0,0,'TO HOP NLAN'!E82*'TS-PILE'!$E$72/SUMSQ('TS-PILE'!$E$72:$E$91))+IF(SUMSQ('TS-PILE'!$D$72:$D$91)=0,0,'TO HOP NLAN'!F82*'TS-PILE'!$D$72/SUMSQ('TS-PILE'!$D$72:$D$91))),IF('TS-PILE'!$B$73="",-1E+99,'TO HOP NLAN'!D82/ncoc+IF(SUMSQ('TS-PILE'!$E$72:$E$91)=0,0,'TO HOP NLAN'!E82*'TS-PILE'!$E$73/SUMSQ('TS-PILE'!$E$72:$E$91))+IF(SUMSQ('TS-PILE'!$D$72:$D$91)=0,0,'TO HOP NLAN'!F82*'TS-PILE'!$D$73/SUMSQ('TS-PILE'!$D$72:$D$91))),IF('TS-PILE'!$B$74="",-1E+99,'TO HOP NLAN'!D82/ncoc+IF(SUMSQ('TS-PILE'!$E$72:$E$91)=0,0,'TO HOP NLAN'!E82*'TS-PILE'!$E$74/SUMSQ('TS-PILE'!$E$72:$E$91))+IF(SUMSQ('TS-PILE'!$D$72:$D$91)=0,0,'TO HOP NLAN'!F82*'TS-PILE'!$D$74/SUMSQ('TS-PILE'!$D$72:$D$91))),IF('TS-PILE'!$B$75="",-1E+99,'TO HOP NLAN'!D82/ncoc+IF(SUMSQ('TS-PILE'!$E$72:$E$91)=0,0,'TO HOP NLAN'!E82*'TS-PILE'!$E$75/SUMSQ('TS-PILE'!$E$72:$E$91))+IF(SUMSQ('TS-PILE'!$D$72:$D$91)=0,0,'TO HOP NLAN'!F82*'TS-PILE'!$D$75/SUMSQ('TS-PILE'!$D$72:$D$91))),IF('TS-PILE'!$B$76="",-1E+99,'TO HOP NLAN'!D82/ncoc+IF(SUMSQ('TS-PILE'!$E$72:$E$91)=0,0,'TO HOP NLAN'!E82*'TS-PILE'!$E$76/SUMSQ('TS-PILE'!$E$72:$E$91))+IF(SUMSQ('TS-PILE'!$D$72:$D$91)=0,0,'TO HOP NLAN'!F82*'TS-PILE'!$D$76/SUMSQ('TS-PILE'!$D$72:$D$91))),IF('TS-PILE'!$B$77="",-1E+99,'TO HOP NLAN'!D82/ncoc+IF(SUMSQ('TS-PILE'!$E$72:$E$91)=0,0,'TO HOP NLAN'!E82*'TS-PILE'!$E$77/SUMSQ('TS-PILE'!$E$72:$E$91))+IF(SUMSQ('TS-PILE'!$D$72:$D$91)=0,0,'TO HOP NLAN'!F82*'TS-PILE'!$D$77/SUMSQ('TS-PILE'!$D$72:$D$91))),IF('TS-PILE'!$B$78="",-1E+99,'TO HOP NLAN'!D82/ncoc+IF(SUMSQ('TS-PILE'!$E$72:$E$91)=0,0,'TO HOP NLAN'!E82*'TS-PILE'!$E$78/SUMSQ('TS-PILE'!$E$72:$E$91))+IF(SUMSQ('TS-PILE'!$D$72:$D$91)=0,0,'TO HOP NLAN'!F82*'TS-PILE'!$D$78/SUMSQ('TS-PILE'!$D$72:$D$91))),IF('TS-PILE'!$B$79="",-1E+99,'TO HOP NLAN'!D82/ncoc+IF(SUMSQ('TS-PILE'!$E$72:$E$91)=0,0,'TO HOP NLAN'!E82*'TS-PILE'!$E$79/SUMSQ('TS-PILE'!$E$72:$E$91))+IF(SUMSQ('TS-PILE'!$D$72:$D$91)=0,0,'TO HOP NLAN'!F82*'TS-PILE'!$D$79/SUMSQ('TS-PILE'!$D$72:$D$91))),IF('TS-PILE'!$B$80="",-1E+99,'TO HOP NLAN'!D82/ncoc+IF(SUMSQ('TS-PILE'!$E$72:$E$91)=0,0,'TO HOP NLAN'!E82*'TS-PILE'!$E$80/SUMSQ('TS-PILE'!$E$72:$E$91))+IF(SUMSQ('TS-PILE'!$D$72:$D$91)=0,0,'TO HOP NLAN'!F82*'TS-PILE'!$D$80/SUMSQ('TS-PILE'!$D$72:$D$91))),IF('TS-PILE'!$B$81="",-1E+99,'TO HOP NLAN'!D82/ncoc+IF(SUMSQ('TS-PILE'!$E$72:$E$91)=0,0,'TO HOP NLAN'!E82*'TS-PILE'!$E$81/SUMSQ('TS-PILE'!$E$72:$E$91))+IF(SUMSQ('TS-PILE'!$D$72:$D$91)=0,0,'TO HOP NLAN'!F82*'TS-PILE'!$D$81/SUMSQ('TS-PILE'!$D$72:$D$91))),IF('TS-PILE'!$B$82="",-1E+99,'TO HOP NLAN'!D82/ncoc+IF(SUMSQ('TS-PILE'!$E$72:$E$91)=0,0,'TO HOP NLAN'!E82*'TS-PILE'!$E$82/SUMSQ('TS-PILE'!$E$72:$E$91))+IF(SUMSQ('TS-PILE'!$D$72:$D$91)=0,0,'TO HOP NLAN'!F82*'TS-PILE'!$D$82/SUMSQ('TS-PILE'!$D$72:$D$91))),IF('TS-PILE'!$B$83="",-1E+99,'TO HOP NLAN'!D82/ncoc+IF(SUMSQ('TS-PILE'!$E$72:$E$91)=0,0,'TO HOP NLAN'!E82*'TS-PILE'!$E$83/SUMSQ('TS-PILE'!$E$72:$E$91))+IF(SUMSQ('TS-PILE'!$D$72:$D$91)=0,0,'TO HOP NLAN'!F82*'TS-PILE'!$D$83/SUMSQ('TS-PILE'!$D$72:$D$91))),IF('TS-PILE'!$B$84="",-1E+99,'TO HOP NLAN'!D82/ncoc+IF(SUMSQ('TS-PILE'!$E$72:$E$91)=0,0,'TO HOP NLAN'!E82*'TS-PILE'!$E$84/SUMSQ('TS-PILE'!$E$72:$E$91))+IF(SUMSQ('TS-PILE'!$D$72:$D$91)=0,0,'TO HOP NLAN'!F82*'TS-PILE'!$D$84/SUMSQ('TS-PILE'!$D$72:$D$91))),IF('TS-PILE'!$B$85="",-1E+99,'TO HOP NLAN'!D82/ncoc+IF(SUMSQ('TS-PILE'!$E$72:$E$91)=0,0,'TO HOP NLAN'!E82*'TS-PILE'!$E$85/SUMSQ('TS-PILE'!$E$72:$E$91))+IF(SUMSQ('TS-PILE'!$D$72:$D$91)=0,0,'TO HOP NLAN'!F82*'TS-PILE'!$D$85/SUMSQ('TS-PILE'!$D$72:$D$91))),IF('TS-PILE'!$B$86="",-1E+99,'TO HOP NLAN'!D82/ncoc+IF(SUMSQ('TS-PILE'!$E$72:$E$91)=0,0,'TO HOP NLAN'!E82*'TS-PILE'!$E$86/SUMSQ('TS-PILE'!$E$72:$E$91))+IF(SUMSQ('TS-PILE'!$D$72:$D$91)=0,0,'TO HOP NLAN'!F82*'TS-PILE'!$D$86/SUMSQ('TS-PILE'!$D$72:$D$91))),IF('TS-PILE'!$B$87="",-1E+99,'TO HOP NLAN'!D82/ncoc+IF(SUMSQ('TS-PILE'!$E$72:$E$91)=0,0,'TO HOP NLAN'!E82*'TS-PILE'!$E$87/SUMSQ('TS-PILE'!$E$72:$E$91))+IF(SUMSQ('TS-PILE'!$D$72:$D$91)=0,0,'TO HOP NLAN'!F82*'TS-PILE'!$D$87/SUMSQ('TS-PILE'!$D$72:$D$91))),IF('TS-PILE'!$B$88="",-1E+99,'TO HOP NLAN'!D82/ncoc+IF(SUMSQ('TS-PILE'!$E$72:$E$91)=0,0,'TO HOP NLAN'!E82*'TS-PILE'!$E$88/SUMSQ('TS-PILE'!$E$72:$E$91))+IF(SUMSQ('TS-PILE'!$D$72:$D$91)=0,0,'TO HOP NLAN'!F82*'TS-PILE'!$D$88/SUMSQ('TS-PILE'!$D$72:$D$91))),IF('TS-PILE'!$B$89="",-1E+99,'TO HOP NLAN'!D82/ncoc+IF(SUMSQ('TS-PILE'!$E$72:$E$91)=0,0,'TO HOP NLAN'!E82*'TS-PILE'!$E$89/SUMSQ('TS-PILE'!$E$72:$E$91))+IF(SUMSQ('TS-PILE'!$D$72:$D$91)=0,0,'TO HOP NLAN'!F82*'TS-PILE'!$D$89/SUMSQ('TS-PILE'!$D$72:$D$91))),IF('TS-PILE'!$B$90="",-1E+99,'TO HOP NLAN'!D82/ncoc+IF(SUMSQ('TS-PILE'!$E$72:$E$91)=0,0,'TO HOP NLAN'!E82*'TS-PILE'!$E$90/SUMSQ('TS-PILE'!$E$72:$E$91))+IF(SUMSQ('TS-PILE'!$D$72:$D$91)=0,0,'TO HOP NLAN'!F82*'TS-PILE'!$D$90/SUMSQ('TS-PILE'!$D$72:$D$91))),IF('TS-PILE'!$B$91="",-1E+99,'TO HOP NLAN'!D82/ncoc+IF(SUMSQ('TS-PILE'!$E$72:$E$91)=0,0,'TO HOP NLAN'!E82*'TS-PILE'!$E$91/SUMSQ('TS-PILE'!$E$72:$E$91))+IF(SUMSQ('TS-PILE'!$D$72:$D$91)=0,0,'TO HOP NLAN'!F82*'TS-PILE'!$D$91/SUMSQ('TS-PILE'!$D$72:$D$91)))))</f>
        <v>0</v>
      </c>
      <c r="D82" s="58">
        <f>IF(A82="",0,MIN(IF('TS-PILE'!$B$72="",1E+99,'TO HOP NLAN'!D82/ncoc+IF(SUMSQ('TS-PILE'!$E$72:$E$91)=0,0,'TO HOP NLAN'!E82*'TS-PILE'!$E$72/SUMSQ('TS-PILE'!$E$72:$E$91))+IF(SUMSQ('TS-PILE'!$D$72:$D$91)=0,0,'TO HOP NLAN'!F82*'TS-PILE'!$D$72/SUMSQ('TS-PILE'!$D$72:$D$91))),IF('TS-PILE'!$B$73="",1E+99,'TO HOP NLAN'!D82/ncoc+IF(SUMSQ('TS-PILE'!$E$72:$E$91)=0,0,'TO HOP NLAN'!E82*'TS-PILE'!$E$73/SUMSQ('TS-PILE'!$E$72:$E$91))+IF(SUMSQ('TS-PILE'!$D$72:$D$91)=0,0,'TO HOP NLAN'!F82*'TS-PILE'!$D$73/SUMSQ('TS-PILE'!$D$72:$D$91))),IF('TS-PILE'!$B$74="",1E+99,'TO HOP NLAN'!D82/ncoc+IF(SUMSQ('TS-PILE'!$E$72:$E$91)=0,0,'TO HOP NLAN'!E82*'TS-PILE'!$E$74/SUMSQ('TS-PILE'!$E$72:$E$91))+IF(SUMSQ('TS-PILE'!$D$72:$D$91)=0,0,'TO HOP NLAN'!F82*'TS-PILE'!$D$74/SUMSQ('TS-PILE'!$D$72:$D$91))),IF('TS-PILE'!$B$75="",1E+99,'TO HOP NLAN'!D82/ncoc+IF(SUMSQ('TS-PILE'!$E$72:$E$91)=0,0,'TO HOP NLAN'!E82*'TS-PILE'!$E$75/SUMSQ('TS-PILE'!$E$72:$E$91))+IF(SUMSQ('TS-PILE'!$D$72:$D$91)=0,0,'TO HOP NLAN'!F82*'TS-PILE'!$D$75/SUMSQ('TS-PILE'!$D$72:$D$91))),IF('TS-PILE'!$B$76="",1E+99,'TO HOP NLAN'!D82/ncoc+IF(SUMSQ('TS-PILE'!$E$72:$E$91)=0,0,'TO HOP NLAN'!E82*'TS-PILE'!$E$76/SUMSQ('TS-PILE'!$E$72:$E$91))+IF(SUMSQ('TS-PILE'!$D$72:$D$91)=0,0,'TO HOP NLAN'!F82*'TS-PILE'!$D$76/SUMSQ('TS-PILE'!$D$72:$D$91))),IF('TS-PILE'!$B$77="",1E+99,'TO HOP NLAN'!D82/ncoc+IF(SUMSQ('TS-PILE'!$E$72:$E$91)=0,0,'TO HOP NLAN'!E82*'TS-PILE'!$E$77/SUMSQ('TS-PILE'!$E$72:$E$91))+IF(SUMSQ('TS-PILE'!$D$72:$D$91)=0,0,'TO HOP NLAN'!F82*'TS-PILE'!$D$77/SUMSQ('TS-PILE'!$D$72:$D$91))),IF('TS-PILE'!$B$78="",1E+99,'TO HOP NLAN'!D82/ncoc+IF(SUMSQ('TS-PILE'!$E$72:$E$91)=0,0,'TO HOP NLAN'!E82*'TS-PILE'!$E$78/SUMSQ('TS-PILE'!$E$72:$E$91))+IF(SUMSQ('TS-PILE'!$D$72:$D$91)=0,0,'TO HOP NLAN'!F82*'TS-PILE'!$D$78/SUMSQ('TS-PILE'!$D$72:$D$91))),IF('TS-PILE'!$B$79="",1E+99,'TO HOP NLAN'!D82/ncoc+IF(SUMSQ('TS-PILE'!$E$72:$E$91)=0,0,'TO HOP NLAN'!E82*'TS-PILE'!$E$79/SUMSQ('TS-PILE'!$E$72:$E$91))+IF(SUMSQ('TS-PILE'!$D$72:$D$91)=0,0,'TO HOP NLAN'!F82*'TS-PILE'!$D$79/SUMSQ('TS-PILE'!$D$72:$D$91))),IF('TS-PILE'!$B$80="",1E+99,'TO HOP NLAN'!D82/ncoc+IF(SUMSQ('TS-PILE'!$E$72:$E$91)=0,0,'TO HOP NLAN'!E82*'TS-PILE'!$E$80/SUMSQ('TS-PILE'!$E$72:$E$91))+IF(SUMSQ('TS-PILE'!$D$72:$D$91)=0,0,'TO HOP NLAN'!F82*'TS-PILE'!$D$80/SUMSQ('TS-PILE'!$D$72:$D$91))),IF('TS-PILE'!$B$81="",1E+99,'TO HOP NLAN'!D82/ncoc+IF(SUMSQ('TS-PILE'!$E$72:$E$91)=0,0,'TO HOP NLAN'!E82*'TS-PILE'!$E$81/SUMSQ('TS-PILE'!$E$72:$E$91))+IF(SUMSQ('TS-PILE'!$D$72:$D$91)=0,0,'TO HOP NLAN'!F82*'TS-PILE'!$D$81/SUMSQ('TS-PILE'!$D$72:$D$91))),IF('TS-PILE'!$B$82="",1E+99,'TO HOP NLAN'!D82/ncoc+IF(SUMSQ('TS-PILE'!$E$72:$E$91)=0,0,'TO HOP NLAN'!E82*'TS-PILE'!$E$82/SUMSQ('TS-PILE'!$E$72:$E$91))+IF(SUMSQ('TS-PILE'!$D$72:$D$91)=0,0,'TO HOP NLAN'!F82*'TS-PILE'!$D$82/SUMSQ('TS-PILE'!$D$72:$D$91))),IF('TS-PILE'!$B$83="",1E+99,'TO HOP NLAN'!D82/ncoc+IF(SUMSQ('TS-PILE'!$E$72:$E$91)=0,0,'TO HOP NLAN'!E82*'TS-PILE'!$E$83/SUMSQ('TS-PILE'!$E$72:$E$91))+IF(SUMSQ('TS-PILE'!$D$72:$D$91)=0,0,'TO HOP NLAN'!F82*'TS-PILE'!$D$83/SUMSQ('TS-PILE'!$D$72:$D$91))),IF('TS-PILE'!$B$84="",1E+99,'TO HOP NLAN'!D82/ncoc+IF(SUMSQ('TS-PILE'!$E$72:$E$91)=0,0,'TO HOP NLAN'!E82*'TS-PILE'!$E$84/SUMSQ('TS-PILE'!$E$72:$E$91))+IF(SUMSQ('TS-PILE'!$D$72:$D$91)=0,0,'TO HOP NLAN'!F82*'TS-PILE'!$D$84/SUMSQ('TS-PILE'!$D$72:$D$91))),IF('TS-PILE'!$B$85="",1E+99,'TO HOP NLAN'!D82/ncoc+IF(SUMSQ('TS-PILE'!$E$72:$E$91)=0,0,'TO HOP NLAN'!E82*'TS-PILE'!$E$85/SUMSQ('TS-PILE'!$E$72:$E$91))+IF(SUMSQ('TS-PILE'!$D$72:$D$91)=0,0,'TO HOP NLAN'!F82*'TS-PILE'!$D$85/SUMSQ('TS-PILE'!$D$72:$D$91))),IF('TS-PILE'!$B$86="",1E+99,'TO HOP NLAN'!D82/ncoc+IF(SUMSQ('TS-PILE'!$E$72:$E$91)=0,0,'TO HOP NLAN'!E82*'TS-PILE'!$E$86/SUMSQ('TS-PILE'!$E$72:$E$91))+IF(SUMSQ('TS-PILE'!$D$72:$D$91)=0,0,'TO HOP NLAN'!F82*'TS-PILE'!$D$86/SUMSQ('TS-PILE'!$D$72:$D$91))),IF('TS-PILE'!$B$87="",1E+99,'TO HOP NLAN'!D82/ncoc+IF(SUMSQ('TS-PILE'!$E$72:$E$91)=0,0,'TO HOP NLAN'!E82*'TS-PILE'!$E$87/SUMSQ('TS-PILE'!$E$72:$E$91))+IF(SUMSQ('TS-PILE'!$D$72:$D$91)=0,0,'TO HOP NLAN'!F82*'TS-PILE'!$D$87/SUMSQ('TS-PILE'!$D$72:$D$91))),IF('TS-PILE'!$B$88="",1E+99,'TO HOP NLAN'!D82/ncoc+IF(SUMSQ('TS-PILE'!$E$72:$E$91)=0,0,'TO HOP NLAN'!E82*'TS-PILE'!$E$88/SUMSQ('TS-PILE'!$E$72:$E$91))+IF(SUMSQ('TS-PILE'!$D$72:$D$91)=0,0,'TO HOP NLAN'!F82*'TS-PILE'!$D$88/SUMSQ('TS-PILE'!$D$72:$D$91))),IF('TS-PILE'!$B$89="",1E+99,'TO HOP NLAN'!D82/ncoc+IF(SUMSQ('TS-PILE'!$E$72:$E$91)=0,0,'TO HOP NLAN'!E82*'TS-PILE'!$E$89/SUMSQ('TS-PILE'!$E$72:$E$91))+IF(SUMSQ('TS-PILE'!$D$72:$D$91)=0,0,'TO HOP NLAN'!F82*'TS-PILE'!$D$89/SUMSQ('TS-PILE'!$D$72:$D$91))),IF('TS-PILE'!$B$90="",1E+99,'TO HOP NLAN'!D82/ncoc+IF(SUMSQ('TS-PILE'!$E$72:$E$91)=0,0,'TO HOP NLAN'!E82*'TS-PILE'!$E$90/SUMSQ('TS-PILE'!$E$72:$E$91))+IF(SUMSQ('TS-PILE'!$D$72:$D$91)=0,0,'TO HOP NLAN'!F82*'TS-PILE'!$D$90/SUMSQ('TS-PILE'!$D$72:$D$91))),IF('TS-PILE'!$B$91="",1E+99,'TO HOP NLAN'!D82/ncoc+IF(SUMSQ('TS-PILE'!$E$72:$E$91)=0,0,'TO HOP NLAN'!E82*'TS-PILE'!$E$91/SUMSQ('TS-PILE'!$E$72:$E$91))+IF(SUMSQ('TS-PILE'!$D$72:$D$91)=0,0,'TO HOP NLAN'!F82*'TS-PILE'!$D$91/SUMSQ('TS-PILE'!$D$72:$D$91)))))</f>
        <v>0</v>
      </c>
      <c r="E82" s="58">
        <f t="shared" si="4"/>
        <v>-9.9999999999999997E+98</v>
      </c>
      <c r="F82" s="58">
        <f t="shared" si="5"/>
        <v>9.9999999999999997E+98</v>
      </c>
      <c r="G82" s="58">
        <f t="shared" si="6"/>
        <v>-9.9999999999999997E+98</v>
      </c>
      <c r="H82" s="58">
        <f t="shared" si="7"/>
        <v>9.9999999999999997E+98</v>
      </c>
    </row>
    <row r="83" spans="1:8" x14ac:dyDescent="0.3">
      <c r="A83" s="42" t="str">
        <f>'TO HOP NLAN'!A83</f>
        <v/>
      </c>
      <c r="B83" s="42" t="str">
        <f>'TO HOP NLAN'!L83</f>
        <v>SERVICE</v>
      </c>
      <c r="C83" s="58">
        <f>IF(A83="",0,MAX(IF('TS-PILE'!$B$72="",-1E+99,'TO HOP NLAN'!D83/ncoc+IF(SUMSQ('TS-PILE'!$E$72:$E$91)=0,0,'TO HOP NLAN'!E83*'TS-PILE'!$E$72/SUMSQ('TS-PILE'!$E$72:$E$91))+IF(SUMSQ('TS-PILE'!$D$72:$D$91)=0,0,'TO HOP NLAN'!F83*'TS-PILE'!$D$72/SUMSQ('TS-PILE'!$D$72:$D$91))),IF('TS-PILE'!$B$73="",-1E+99,'TO HOP NLAN'!D83/ncoc+IF(SUMSQ('TS-PILE'!$E$72:$E$91)=0,0,'TO HOP NLAN'!E83*'TS-PILE'!$E$73/SUMSQ('TS-PILE'!$E$72:$E$91))+IF(SUMSQ('TS-PILE'!$D$72:$D$91)=0,0,'TO HOP NLAN'!F83*'TS-PILE'!$D$73/SUMSQ('TS-PILE'!$D$72:$D$91))),IF('TS-PILE'!$B$74="",-1E+99,'TO HOP NLAN'!D83/ncoc+IF(SUMSQ('TS-PILE'!$E$72:$E$91)=0,0,'TO HOP NLAN'!E83*'TS-PILE'!$E$74/SUMSQ('TS-PILE'!$E$72:$E$91))+IF(SUMSQ('TS-PILE'!$D$72:$D$91)=0,0,'TO HOP NLAN'!F83*'TS-PILE'!$D$74/SUMSQ('TS-PILE'!$D$72:$D$91))),IF('TS-PILE'!$B$75="",-1E+99,'TO HOP NLAN'!D83/ncoc+IF(SUMSQ('TS-PILE'!$E$72:$E$91)=0,0,'TO HOP NLAN'!E83*'TS-PILE'!$E$75/SUMSQ('TS-PILE'!$E$72:$E$91))+IF(SUMSQ('TS-PILE'!$D$72:$D$91)=0,0,'TO HOP NLAN'!F83*'TS-PILE'!$D$75/SUMSQ('TS-PILE'!$D$72:$D$91))),IF('TS-PILE'!$B$76="",-1E+99,'TO HOP NLAN'!D83/ncoc+IF(SUMSQ('TS-PILE'!$E$72:$E$91)=0,0,'TO HOP NLAN'!E83*'TS-PILE'!$E$76/SUMSQ('TS-PILE'!$E$72:$E$91))+IF(SUMSQ('TS-PILE'!$D$72:$D$91)=0,0,'TO HOP NLAN'!F83*'TS-PILE'!$D$76/SUMSQ('TS-PILE'!$D$72:$D$91))),IF('TS-PILE'!$B$77="",-1E+99,'TO HOP NLAN'!D83/ncoc+IF(SUMSQ('TS-PILE'!$E$72:$E$91)=0,0,'TO HOP NLAN'!E83*'TS-PILE'!$E$77/SUMSQ('TS-PILE'!$E$72:$E$91))+IF(SUMSQ('TS-PILE'!$D$72:$D$91)=0,0,'TO HOP NLAN'!F83*'TS-PILE'!$D$77/SUMSQ('TS-PILE'!$D$72:$D$91))),IF('TS-PILE'!$B$78="",-1E+99,'TO HOP NLAN'!D83/ncoc+IF(SUMSQ('TS-PILE'!$E$72:$E$91)=0,0,'TO HOP NLAN'!E83*'TS-PILE'!$E$78/SUMSQ('TS-PILE'!$E$72:$E$91))+IF(SUMSQ('TS-PILE'!$D$72:$D$91)=0,0,'TO HOP NLAN'!F83*'TS-PILE'!$D$78/SUMSQ('TS-PILE'!$D$72:$D$91))),IF('TS-PILE'!$B$79="",-1E+99,'TO HOP NLAN'!D83/ncoc+IF(SUMSQ('TS-PILE'!$E$72:$E$91)=0,0,'TO HOP NLAN'!E83*'TS-PILE'!$E$79/SUMSQ('TS-PILE'!$E$72:$E$91))+IF(SUMSQ('TS-PILE'!$D$72:$D$91)=0,0,'TO HOP NLAN'!F83*'TS-PILE'!$D$79/SUMSQ('TS-PILE'!$D$72:$D$91))),IF('TS-PILE'!$B$80="",-1E+99,'TO HOP NLAN'!D83/ncoc+IF(SUMSQ('TS-PILE'!$E$72:$E$91)=0,0,'TO HOP NLAN'!E83*'TS-PILE'!$E$80/SUMSQ('TS-PILE'!$E$72:$E$91))+IF(SUMSQ('TS-PILE'!$D$72:$D$91)=0,0,'TO HOP NLAN'!F83*'TS-PILE'!$D$80/SUMSQ('TS-PILE'!$D$72:$D$91))),IF('TS-PILE'!$B$81="",-1E+99,'TO HOP NLAN'!D83/ncoc+IF(SUMSQ('TS-PILE'!$E$72:$E$91)=0,0,'TO HOP NLAN'!E83*'TS-PILE'!$E$81/SUMSQ('TS-PILE'!$E$72:$E$91))+IF(SUMSQ('TS-PILE'!$D$72:$D$91)=0,0,'TO HOP NLAN'!F83*'TS-PILE'!$D$81/SUMSQ('TS-PILE'!$D$72:$D$91))),IF('TS-PILE'!$B$82="",-1E+99,'TO HOP NLAN'!D83/ncoc+IF(SUMSQ('TS-PILE'!$E$72:$E$91)=0,0,'TO HOP NLAN'!E83*'TS-PILE'!$E$82/SUMSQ('TS-PILE'!$E$72:$E$91))+IF(SUMSQ('TS-PILE'!$D$72:$D$91)=0,0,'TO HOP NLAN'!F83*'TS-PILE'!$D$82/SUMSQ('TS-PILE'!$D$72:$D$91))),IF('TS-PILE'!$B$83="",-1E+99,'TO HOP NLAN'!D83/ncoc+IF(SUMSQ('TS-PILE'!$E$72:$E$91)=0,0,'TO HOP NLAN'!E83*'TS-PILE'!$E$83/SUMSQ('TS-PILE'!$E$72:$E$91))+IF(SUMSQ('TS-PILE'!$D$72:$D$91)=0,0,'TO HOP NLAN'!F83*'TS-PILE'!$D$83/SUMSQ('TS-PILE'!$D$72:$D$91))),IF('TS-PILE'!$B$84="",-1E+99,'TO HOP NLAN'!D83/ncoc+IF(SUMSQ('TS-PILE'!$E$72:$E$91)=0,0,'TO HOP NLAN'!E83*'TS-PILE'!$E$84/SUMSQ('TS-PILE'!$E$72:$E$91))+IF(SUMSQ('TS-PILE'!$D$72:$D$91)=0,0,'TO HOP NLAN'!F83*'TS-PILE'!$D$84/SUMSQ('TS-PILE'!$D$72:$D$91))),IF('TS-PILE'!$B$85="",-1E+99,'TO HOP NLAN'!D83/ncoc+IF(SUMSQ('TS-PILE'!$E$72:$E$91)=0,0,'TO HOP NLAN'!E83*'TS-PILE'!$E$85/SUMSQ('TS-PILE'!$E$72:$E$91))+IF(SUMSQ('TS-PILE'!$D$72:$D$91)=0,0,'TO HOP NLAN'!F83*'TS-PILE'!$D$85/SUMSQ('TS-PILE'!$D$72:$D$91))),IF('TS-PILE'!$B$86="",-1E+99,'TO HOP NLAN'!D83/ncoc+IF(SUMSQ('TS-PILE'!$E$72:$E$91)=0,0,'TO HOP NLAN'!E83*'TS-PILE'!$E$86/SUMSQ('TS-PILE'!$E$72:$E$91))+IF(SUMSQ('TS-PILE'!$D$72:$D$91)=0,0,'TO HOP NLAN'!F83*'TS-PILE'!$D$86/SUMSQ('TS-PILE'!$D$72:$D$91))),IF('TS-PILE'!$B$87="",-1E+99,'TO HOP NLAN'!D83/ncoc+IF(SUMSQ('TS-PILE'!$E$72:$E$91)=0,0,'TO HOP NLAN'!E83*'TS-PILE'!$E$87/SUMSQ('TS-PILE'!$E$72:$E$91))+IF(SUMSQ('TS-PILE'!$D$72:$D$91)=0,0,'TO HOP NLAN'!F83*'TS-PILE'!$D$87/SUMSQ('TS-PILE'!$D$72:$D$91))),IF('TS-PILE'!$B$88="",-1E+99,'TO HOP NLAN'!D83/ncoc+IF(SUMSQ('TS-PILE'!$E$72:$E$91)=0,0,'TO HOP NLAN'!E83*'TS-PILE'!$E$88/SUMSQ('TS-PILE'!$E$72:$E$91))+IF(SUMSQ('TS-PILE'!$D$72:$D$91)=0,0,'TO HOP NLAN'!F83*'TS-PILE'!$D$88/SUMSQ('TS-PILE'!$D$72:$D$91))),IF('TS-PILE'!$B$89="",-1E+99,'TO HOP NLAN'!D83/ncoc+IF(SUMSQ('TS-PILE'!$E$72:$E$91)=0,0,'TO HOP NLAN'!E83*'TS-PILE'!$E$89/SUMSQ('TS-PILE'!$E$72:$E$91))+IF(SUMSQ('TS-PILE'!$D$72:$D$91)=0,0,'TO HOP NLAN'!F83*'TS-PILE'!$D$89/SUMSQ('TS-PILE'!$D$72:$D$91))),IF('TS-PILE'!$B$90="",-1E+99,'TO HOP NLAN'!D83/ncoc+IF(SUMSQ('TS-PILE'!$E$72:$E$91)=0,0,'TO HOP NLAN'!E83*'TS-PILE'!$E$90/SUMSQ('TS-PILE'!$E$72:$E$91))+IF(SUMSQ('TS-PILE'!$D$72:$D$91)=0,0,'TO HOP NLAN'!F83*'TS-PILE'!$D$90/SUMSQ('TS-PILE'!$D$72:$D$91))),IF('TS-PILE'!$B$91="",-1E+99,'TO HOP NLAN'!D83/ncoc+IF(SUMSQ('TS-PILE'!$E$72:$E$91)=0,0,'TO HOP NLAN'!E83*'TS-PILE'!$E$91/SUMSQ('TS-PILE'!$E$72:$E$91))+IF(SUMSQ('TS-PILE'!$D$72:$D$91)=0,0,'TO HOP NLAN'!F83*'TS-PILE'!$D$91/SUMSQ('TS-PILE'!$D$72:$D$91)))))</f>
        <v>0</v>
      </c>
      <c r="D83" s="58">
        <f>IF(A83="",0,MIN(IF('TS-PILE'!$B$72="",1E+99,'TO HOP NLAN'!D83/ncoc+IF(SUMSQ('TS-PILE'!$E$72:$E$91)=0,0,'TO HOP NLAN'!E83*'TS-PILE'!$E$72/SUMSQ('TS-PILE'!$E$72:$E$91))+IF(SUMSQ('TS-PILE'!$D$72:$D$91)=0,0,'TO HOP NLAN'!F83*'TS-PILE'!$D$72/SUMSQ('TS-PILE'!$D$72:$D$91))),IF('TS-PILE'!$B$73="",1E+99,'TO HOP NLAN'!D83/ncoc+IF(SUMSQ('TS-PILE'!$E$72:$E$91)=0,0,'TO HOP NLAN'!E83*'TS-PILE'!$E$73/SUMSQ('TS-PILE'!$E$72:$E$91))+IF(SUMSQ('TS-PILE'!$D$72:$D$91)=0,0,'TO HOP NLAN'!F83*'TS-PILE'!$D$73/SUMSQ('TS-PILE'!$D$72:$D$91))),IF('TS-PILE'!$B$74="",1E+99,'TO HOP NLAN'!D83/ncoc+IF(SUMSQ('TS-PILE'!$E$72:$E$91)=0,0,'TO HOP NLAN'!E83*'TS-PILE'!$E$74/SUMSQ('TS-PILE'!$E$72:$E$91))+IF(SUMSQ('TS-PILE'!$D$72:$D$91)=0,0,'TO HOP NLAN'!F83*'TS-PILE'!$D$74/SUMSQ('TS-PILE'!$D$72:$D$91))),IF('TS-PILE'!$B$75="",1E+99,'TO HOP NLAN'!D83/ncoc+IF(SUMSQ('TS-PILE'!$E$72:$E$91)=0,0,'TO HOP NLAN'!E83*'TS-PILE'!$E$75/SUMSQ('TS-PILE'!$E$72:$E$91))+IF(SUMSQ('TS-PILE'!$D$72:$D$91)=0,0,'TO HOP NLAN'!F83*'TS-PILE'!$D$75/SUMSQ('TS-PILE'!$D$72:$D$91))),IF('TS-PILE'!$B$76="",1E+99,'TO HOP NLAN'!D83/ncoc+IF(SUMSQ('TS-PILE'!$E$72:$E$91)=0,0,'TO HOP NLAN'!E83*'TS-PILE'!$E$76/SUMSQ('TS-PILE'!$E$72:$E$91))+IF(SUMSQ('TS-PILE'!$D$72:$D$91)=0,0,'TO HOP NLAN'!F83*'TS-PILE'!$D$76/SUMSQ('TS-PILE'!$D$72:$D$91))),IF('TS-PILE'!$B$77="",1E+99,'TO HOP NLAN'!D83/ncoc+IF(SUMSQ('TS-PILE'!$E$72:$E$91)=0,0,'TO HOP NLAN'!E83*'TS-PILE'!$E$77/SUMSQ('TS-PILE'!$E$72:$E$91))+IF(SUMSQ('TS-PILE'!$D$72:$D$91)=0,0,'TO HOP NLAN'!F83*'TS-PILE'!$D$77/SUMSQ('TS-PILE'!$D$72:$D$91))),IF('TS-PILE'!$B$78="",1E+99,'TO HOP NLAN'!D83/ncoc+IF(SUMSQ('TS-PILE'!$E$72:$E$91)=0,0,'TO HOP NLAN'!E83*'TS-PILE'!$E$78/SUMSQ('TS-PILE'!$E$72:$E$91))+IF(SUMSQ('TS-PILE'!$D$72:$D$91)=0,0,'TO HOP NLAN'!F83*'TS-PILE'!$D$78/SUMSQ('TS-PILE'!$D$72:$D$91))),IF('TS-PILE'!$B$79="",1E+99,'TO HOP NLAN'!D83/ncoc+IF(SUMSQ('TS-PILE'!$E$72:$E$91)=0,0,'TO HOP NLAN'!E83*'TS-PILE'!$E$79/SUMSQ('TS-PILE'!$E$72:$E$91))+IF(SUMSQ('TS-PILE'!$D$72:$D$91)=0,0,'TO HOP NLAN'!F83*'TS-PILE'!$D$79/SUMSQ('TS-PILE'!$D$72:$D$91))),IF('TS-PILE'!$B$80="",1E+99,'TO HOP NLAN'!D83/ncoc+IF(SUMSQ('TS-PILE'!$E$72:$E$91)=0,0,'TO HOP NLAN'!E83*'TS-PILE'!$E$80/SUMSQ('TS-PILE'!$E$72:$E$91))+IF(SUMSQ('TS-PILE'!$D$72:$D$91)=0,0,'TO HOP NLAN'!F83*'TS-PILE'!$D$80/SUMSQ('TS-PILE'!$D$72:$D$91))),IF('TS-PILE'!$B$81="",1E+99,'TO HOP NLAN'!D83/ncoc+IF(SUMSQ('TS-PILE'!$E$72:$E$91)=0,0,'TO HOP NLAN'!E83*'TS-PILE'!$E$81/SUMSQ('TS-PILE'!$E$72:$E$91))+IF(SUMSQ('TS-PILE'!$D$72:$D$91)=0,0,'TO HOP NLAN'!F83*'TS-PILE'!$D$81/SUMSQ('TS-PILE'!$D$72:$D$91))),IF('TS-PILE'!$B$82="",1E+99,'TO HOP NLAN'!D83/ncoc+IF(SUMSQ('TS-PILE'!$E$72:$E$91)=0,0,'TO HOP NLAN'!E83*'TS-PILE'!$E$82/SUMSQ('TS-PILE'!$E$72:$E$91))+IF(SUMSQ('TS-PILE'!$D$72:$D$91)=0,0,'TO HOP NLAN'!F83*'TS-PILE'!$D$82/SUMSQ('TS-PILE'!$D$72:$D$91))),IF('TS-PILE'!$B$83="",1E+99,'TO HOP NLAN'!D83/ncoc+IF(SUMSQ('TS-PILE'!$E$72:$E$91)=0,0,'TO HOP NLAN'!E83*'TS-PILE'!$E$83/SUMSQ('TS-PILE'!$E$72:$E$91))+IF(SUMSQ('TS-PILE'!$D$72:$D$91)=0,0,'TO HOP NLAN'!F83*'TS-PILE'!$D$83/SUMSQ('TS-PILE'!$D$72:$D$91))),IF('TS-PILE'!$B$84="",1E+99,'TO HOP NLAN'!D83/ncoc+IF(SUMSQ('TS-PILE'!$E$72:$E$91)=0,0,'TO HOP NLAN'!E83*'TS-PILE'!$E$84/SUMSQ('TS-PILE'!$E$72:$E$91))+IF(SUMSQ('TS-PILE'!$D$72:$D$91)=0,0,'TO HOP NLAN'!F83*'TS-PILE'!$D$84/SUMSQ('TS-PILE'!$D$72:$D$91))),IF('TS-PILE'!$B$85="",1E+99,'TO HOP NLAN'!D83/ncoc+IF(SUMSQ('TS-PILE'!$E$72:$E$91)=0,0,'TO HOP NLAN'!E83*'TS-PILE'!$E$85/SUMSQ('TS-PILE'!$E$72:$E$91))+IF(SUMSQ('TS-PILE'!$D$72:$D$91)=0,0,'TO HOP NLAN'!F83*'TS-PILE'!$D$85/SUMSQ('TS-PILE'!$D$72:$D$91))),IF('TS-PILE'!$B$86="",1E+99,'TO HOP NLAN'!D83/ncoc+IF(SUMSQ('TS-PILE'!$E$72:$E$91)=0,0,'TO HOP NLAN'!E83*'TS-PILE'!$E$86/SUMSQ('TS-PILE'!$E$72:$E$91))+IF(SUMSQ('TS-PILE'!$D$72:$D$91)=0,0,'TO HOP NLAN'!F83*'TS-PILE'!$D$86/SUMSQ('TS-PILE'!$D$72:$D$91))),IF('TS-PILE'!$B$87="",1E+99,'TO HOP NLAN'!D83/ncoc+IF(SUMSQ('TS-PILE'!$E$72:$E$91)=0,0,'TO HOP NLAN'!E83*'TS-PILE'!$E$87/SUMSQ('TS-PILE'!$E$72:$E$91))+IF(SUMSQ('TS-PILE'!$D$72:$D$91)=0,0,'TO HOP NLAN'!F83*'TS-PILE'!$D$87/SUMSQ('TS-PILE'!$D$72:$D$91))),IF('TS-PILE'!$B$88="",1E+99,'TO HOP NLAN'!D83/ncoc+IF(SUMSQ('TS-PILE'!$E$72:$E$91)=0,0,'TO HOP NLAN'!E83*'TS-PILE'!$E$88/SUMSQ('TS-PILE'!$E$72:$E$91))+IF(SUMSQ('TS-PILE'!$D$72:$D$91)=0,0,'TO HOP NLAN'!F83*'TS-PILE'!$D$88/SUMSQ('TS-PILE'!$D$72:$D$91))),IF('TS-PILE'!$B$89="",1E+99,'TO HOP NLAN'!D83/ncoc+IF(SUMSQ('TS-PILE'!$E$72:$E$91)=0,0,'TO HOP NLAN'!E83*'TS-PILE'!$E$89/SUMSQ('TS-PILE'!$E$72:$E$91))+IF(SUMSQ('TS-PILE'!$D$72:$D$91)=0,0,'TO HOP NLAN'!F83*'TS-PILE'!$D$89/SUMSQ('TS-PILE'!$D$72:$D$91))),IF('TS-PILE'!$B$90="",1E+99,'TO HOP NLAN'!D83/ncoc+IF(SUMSQ('TS-PILE'!$E$72:$E$91)=0,0,'TO HOP NLAN'!E83*'TS-PILE'!$E$90/SUMSQ('TS-PILE'!$E$72:$E$91))+IF(SUMSQ('TS-PILE'!$D$72:$D$91)=0,0,'TO HOP NLAN'!F83*'TS-PILE'!$D$90/SUMSQ('TS-PILE'!$D$72:$D$91))),IF('TS-PILE'!$B$91="",1E+99,'TO HOP NLAN'!D83/ncoc+IF(SUMSQ('TS-PILE'!$E$72:$E$91)=0,0,'TO HOP NLAN'!E83*'TS-PILE'!$E$91/SUMSQ('TS-PILE'!$E$72:$E$91))+IF(SUMSQ('TS-PILE'!$D$72:$D$91)=0,0,'TO HOP NLAN'!F83*'TS-PILE'!$D$91/SUMSQ('TS-PILE'!$D$72:$D$91)))))</f>
        <v>0</v>
      </c>
      <c r="E83" s="58">
        <f t="shared" si="4"/>
        <v>-9.9999999999999997E+98</v>
      </c>
      <c r="F83" s="58">
        <f t="shared" si="5"/>
        <v>9.9999999999999997E+98</v>
      </c>
      <c r="G83" s="58">
        <f t="shared" si="6"/>
        <v>-9.9999999999999997E+98</v>
      </c>
      <c r="H83" s="58">
        <f t="shared" si="7"/>
        <v>9.9999999999999997E+98</v>
      </c>
    </row>
    <row r="84" spans="1:8" x14ac:dyDescent="0.3">
      <c r="A84" s="42" t="str">
        <f>'TO HOP NLAN'!A84</f>
        <v/>
      </c>
      <c r="B84" s="42" t="str">
        <f>'TO HOP NLAN'!L84</f>
        <v>SERVICE</v>
      </c>
      <c r="C84" s="58">
        <f>IF(A84="",0,MAX(IF('TS-PILE'!$B$72="",-1E+99,'TO HOP NLAN'!D84/ncoc+IF(SUMSQ('TS-PILE'!$E$72:$E$91)=0,0,'TO HOP NLAN'!E84*'TS-PILE'!$E$72/SUMSQ('TS-PILE'!$E$72:$E$91))+IF(SUMSQ('TS-PILE'!$D$72:$D$91)=0,0,'TO HOP NLAN'!F84*'TS-PILE'!$D$72/SUMSQ('TS-PILE'!$D$72:$D$91))),IF('TS-PILE'!$B$73="",-1E+99,'TO HOP NLAN'!D84/ncoc+IF(SUMSQ('TS-PILE'!$E$72:$E$91)=0,0,'TO HOP NLAN'!E84*'TS-PILE'!$E$73/SUMSQ('TS-PILE'!$E$72:$E$91))+IF(SUMSQ('TS-PILE'!$D$72:$D$91)=0,0,'TO HOP NLAN'!F84*'TS-PILE'!$D$73/SUMSQ('TS-PILE'!$D$72:$D$91))),IF('TS-PILE'!$B$74="",-1E+99,'TO HOP NLAN'!D84/ncoc+IF(SUMSQ('TS-PILE'!$E$72:$E$91)=0,0,'TO HOP NLAN'!E84*'TS-PILE'!$E$74/SUMSQ('TS-PILE'!$E$72:$E$91))+IF(SUMSQ('TS-PILE'!$D$72:$D$91)=0,0,'TO HOP NLAN'!F84*'TS-PILE'!$D$74/SUMSQ('TS-PILE'!$D$72:$D$91))),IF('TS-PILE'!$B$75="",-1E+99,'TO HOP NLAN'!D84/ncoc+IF(SUMSQ('TS-PILE'!$E$72:$E$91)=0,0,'TO HOP NLAN'!E84*'TS-PILE'!$E$75/SUMSQ('TS-PILE'!$E$72:$E$91))+IF(SUMSQ('TS-PILE'!$D$72:$D$91)=0,0,'TO HOP NLAN'!F84*'TS-PILE'!$D$75/SUMSQ('TS-PILE'!$D$72:$D$91))),IF('TS-PILE'!$B$76="",-1E+99,'TO HOP NLAN'!D84/ncoc+IF(SUMSQ('TS-PILE'!$E$72:$E$91)=0,0,'TO HOP NLAN'!E84*'TS-PILE'!$E$76/SUMSQ('TS-PILE'!$E$72:$E$91))+IF(SUMSQ('TS-PILE'!$D$72:$D$91)=0,0,'TO HOP NLAN'!F84*'TS-PILE'!$D$76/SUMSQ('TS-PILE'!$D$72:$D$91))),IF('TS-PILE'!$B$77="",-1E+99,'TO HOP NLAN'!D84/ncoc+IF(SUMSQ('TS-PILE'!$E$72:$E$91)=0,0,'TO HOP NLAN'!E84*'TS-PILE'!$E$77/SUMSQ('TS-PILE'!$E$72:$E$91))+IF(SUMSQ('TS-PILE'!$D$72:$D$91)=0,0,'TO HOP NLAN'!F84*'TS-PILE'!$D$77/SUMSQ('TS-PILE'!$D$72:$D$91))),IF('TS-PILE'!$B$78="",-1E+99,'TO HOP NLAN'!D84/ncoc+IF(SUMSQ('TS-PILE'!$E$72:$E$91)=0,0,'TO HOP NLAN'!E84*'TS-PILE'!$E$78/SUMSQ('TS-PILE'!$E$72:$E$91))+IF(SUMSQ('TS-PILE'!$D$72:$D$91)=0,0,'TO HOP NLAN'!F84*'TS-PILE'!$D$78/SUMSQ('TS-PILE'!$D$72:$D$91))),IF('TS-PILE'!$B$79="",-1E+99,'TO HOP NLAN'!D84/ncoc+IF(SUMSQ('TS-PILE'!$E$72:$E$91)=0,0,'TO HOP NLAN'!E84*'TS-PILE'!$E$79/SUMSQ('TS-PILE'!$E$72:$E$91))+IF(SUMSQ('TS-PILE'!$D$72:$D$91)=0,0,'TO HOP NLAN'!F84*'TS-PILE'!$D$79/SUMSQ('TS-PILE'!$D$72:$D$91))),IF('TS-PILE'!$B$80="",-1E+99,'TO HOP NLAN'!D84/ncoc+IF(SUMSQ('TS-PILE'!$E$72:$E$91)=0,0,'TO HOP NLAN'!E84*'TS-PILE'!$E$80/SUMSQ('TS-PILE'!$E$72:$E$91))+IF(SUMSQ('TS-PILE'!$D$72:$D$91)=0,0,'TO HOP NLAN'!F84*'TS-PILE'!$D$80/SUMSQ('TS-PILE'!$D$72:$D$91))),IF('TS-PILE'!$B$81="",-1E+99,'TO HOP NLAN'!D84/ncoc+IF(SUMSQ('TS-PILE'!$E$72:$E$91)=0,0,'TO HOP NLAN'!E84*'TS-PILE'!$E$81/SUMSQ('TS-PILE'!$E$72:$E$91))+IF(SUMSQ('TS-PILE'!$D$72:$D$91)=0,0,'TO HOP NLAN'!F84*'TS-PILE'!$D$81/SUMSQ('TS-PILE'!$D$72:$D$91))),IF('TS-PILE'!$B$82="",-1E+99,'TO HOP NLAN'!D84/ncoc+IF(SUMSQ('TS-PILE'!$E$72:$E$91)=0,0,'TO HOP NLAN'!E84*'TS-PILE'!$E$82/SUMSQ('TS-PILE'!$E$72:$E$91))+IF(SUMSQ('TS-PILE'!$D$72:$D$91)=0,0,'TO HOP NLAN'!F84*'TS-PILE'!$D$82/SUMSQ('TS-PILE'!$D$72:$D$91))),IF('TS-PILE'!$B$83="",-1E+99,'TO HOP NLAN'!D84/ncoc+IF(SUMSQ('TS-PILE'!$E$72:$E$91)=0,0,'TO HOP NLAN'!E84*'TS-PILE'!$E$83/SUMSQ('TS-PILE'!$E$72:$E$91))+IF(SUMSQ('TS-PILE'!$D$72:$D$91)=0,0,'TO HOP NLAN'!F84*'TS-PILE'!$D$83/SUMSQ('TS-PILE'!$D$72:$D$91))),IF('TS-PILE'!$B$84="",-1E+99,'TO HOP NLAN'!D84/ncoc+IF(SUMSQ('TS-PILE'!$E$72:$E$91)=0,0,'TO HOP NLAN'!E84*'TS-PILE'!$E$84/SUMSQ('TS-PILE'!$E$72:$E$91))+IF(SUMSQ('TS-PILE'!$D$72:$D$91)=0,0,'TO HOP NLAN'!F84*'TS-PILE'!$D$84/SUMSQ('TS-PILE'!$D$72:$D$91))),IF('TS-PILE'!$B$85="",-1E+99,'TO HOP NLAN'!D84/ncoc+IF(SUMSQ('TS-PILE'!$E$72:$E$91)=0,0,'TO HOP NLAN'!E84*'TS-PILE'!$E$85/SUMSQ('TS-PILE'!$E$72:$E$91))+IF(SUMSQ('TS-PILE'!$D$72:$D$91)=0,0,'TO HOP NLAN'!F84*'TS-PILE'!$D$85/SUMSQ('TS-PILE'!$D$72:$D$91))),IF('TS-PILE'!$B$86="",-1E+99,'TO HOP NLAN'!D84/ncoc+IF(SUMSQ('TS-PILE'!$E$72:$E$91)=0,0,'TO HOP NLAN'!E84*'TS-PILE'!$E$86/SUMSQ('TS-PILE'!$E$72:$E$91))+IF(SUMSQ('TS-PILE'!$D$72:$D$91)=0,0,'TO HOP NLAN'!F84*'TS-PILE'!$D$86/SUMSQ('TS-PILE'!$D$72:$D$91))),IF('TS-PILE'!$B$87="",-1E+99,'TO HOP NLAN'!D84/ncoc+IF(SUMSQ('TS-PILE'!$E$72:$E$91)=0,0,'TO HOP NLAN'!E84*'TS-PILE'!$E$87/SUMSQ('TS-PILE'!$E$72:$E$91))+IF(SUMSQ('TS-PILE'!$D$72:$D$91)=0,0,'TO HOP NLAN'!F84*'TS-PILE'!$D$87/SUMSQ('TS-PILE'!$D$72:$D$91))),IF('TS-PILE'!$B$88="",-1E+99,'TO HOP NLAN'!D84/ncoc+IF(SUMSQ('TS-PILE'!$E$72:$E$91)=0,0,'TO HOP NLAN'!E84*'TS-PILE'!$E$88/SUMSQ('TS-PILE'!$E$72:$E$91))+IF(SUMSQ('TS-PILE'!$D$72:$D$91)=0,0,'TO HOP NLAN'!F84*'TS-PILE'!$D$88/SUMSQ('TS-PILE'!$D$72:$D$91))),IF('TS-PILE'!$B$89="",-1E+99,'TO HOP NLAN'!D84/ncoc+IF(SUMSQ('TS-PILE'!$E$72:$E$91)=0,0,'TO HOP NLAN'!E84*'TS-PILE'!$E$89/SUMSQ('TS-PILE'!$E$72:$E$91))+IF(SUMSQ('TS-PILE'!$D$72:$D$91)=0,0,'TO HOP NLAN'!F84*'TS-PILE'!$D$89/SUMSQ('TS-PILE'!$D$72:$D$91))),IF('TS-PILE'!$B$90="",-1E+99,'TO HOP NLAN'!D84/ncoc+IF(SUMSQ('TS-PILE'!$E$72:$E$91)=0,0,'TO HOP NLAN'!E84*'TS-PILE'!$E$90/SUMSQ('TS-PILE'!$E$72:$E$91))+IF(SUMSQ('TS-PILE'!$D$72:$D$91)=0,0,'TO HOP NLAN'!F84*'TS-PILE'!$D$90/SUMSQ('TS-PILE'!$D$72:$D$91))),IF('TS-PILE'!$B$91="",-1E+99,'TO HOP NLAN'!D84/ncoc+IF(SUMSQ('TS-PILE'!$E$72:$E$91)=0,0,'TO HOP NLAN'!E84*'TS-PILE'!$E$91/SUMSQ('TS-PILE'!$E$72:$E$91))+IF(SUMSQ('TS-PILE'!$D$72:$D$91)=0,0,'TO HOP NLAN'!F84*'TS-PILE'!$D$91/SUMSQ('TS-PILE'!$D$72:$D$91)))))</f>
        <v>0</v>
      </c>
      <c r="D84" s="58">
        <f>IF(A84="",0,MIN(IF('TS-PILE'!$B$72="",1E+99,'TO HOP NLAN'!D84/ncoc+IF(SUMSQ('TS-PILE'!$E$72:$E$91)=0,0,'TO HOP NLAN'!E84*'TS-PILE'!$E$72/SUMSQ('TS-PILE'!$E$72:$E$91))+IF(SUMSQ('TS-PILE'!$D$72:$D$91)=0,0,'TO HOP NLAN'!F84*'TS-PILE'!$D$72/SUMSQ('TS-PILE'!$D$72:$D$91))),IF('TS-PILE'!$B$73="",1E+99,'TO HOP NLAN'!D84/ncoc+IF(SUMSQ('TS-PILE'!$E$72:$E$91)=0,0,'TO HOP NLAN'!E84*'TS-PILE'!$E$73/SUMSQ('TS-PILE'!$E$72:$E$91))+IF(SUMSQ('TS-PILE'!$D$72:$D$91)=0,0,'TO HOP NLAN'!F84*'TS-PILE'!$D$73/SUMSQ('TS-PILE'!$D$72:$D$91))),IF('TS-PILE'!$B$74="",1E+99,'TO HOP NLAN'!D84/ncoc+IF(SUMSQ('TS-PILE'!$E$72:$E$91)=0,0,'TO HOP NLAN'!E84*'TS-PILE'!$E$74/SUMSQ('TS-PILE'!$E$72:$E$91))+IF(SUMSQ('TS-PILE'!$D$72:$D$91)=0,0,'TO HOP NLAN'!F84*'TS-PILE'!$D$74/SUMSQ('TS-PILE'!$D$72:$D$91))),IF('TS-PILE'!$B$75="",1E+99,'TO HOP NLAN'!D84/ncoc+IF(SUMSQ('TS-PILE'!$E$72:$E$91)=0,0,'TO HOP NLAN'!E84*'TS-PILE'!$E$75/SUMSQ('TS-PILE'!$E$72:$E$91))+IF(SUMSQ('TS-PILE'!$D$72:$D$91)=0,0,'TO HOP NLAN'!F84*'TS-PILE'!$D$75/SUMSQ('TS-PILE'!$D$72:$D$91))),IF('TS-PILE'!$B$76="",1E+99,'TO HOP NLAN'!D84/ncoc+IF(SUMSQ('TS-PILE'!$E$72:$E$91)=0,0,'TO HOP NLAN'!E84*'TS-PILE'!$E$76/SUMSQ('TS-PILE'!$E$72:$E$91))+IF(SUMSQ('TS-PILE'!$D$72:$D$91)=0,0,'TO HOP NLAN'!F84*'TS-PILE'!$D$76/SUMSQ('TS-PILE'!$D$72:$D$91))),IF('TS-PILE'!$B$77="",1E+99,'TO HOP NLAN'!D84/ncoc+IF(SUMSQ('TS-PILE'!$E$72:$E$91)=0,0,'TO HOP NLAN'!E84*'TS-PILE'!$E$77/SUMSQ('TS-PILE'!$E$72:$E$91))+IF(SUMSQ('TS-PILE'!$D$72:$D$91)=0,0,'TO HOP NLAN'!F84*'TS-PILE'!$D$77/SUMSQ('TS-PILE'!$D$72:$D$91))),IF('TS-PILE'!$B$78="",1E+99,'TO HOP NLAN'!D84/ncoc+IF(SUMSQ('TS-PILE'!$E$72:$E$91)=0,0,'TO HOP NLAN'!E84*'TS-PILE'!$E$78/SUMSQ('TS-PILE'!$E$72:$E$91))+IF(SUMSQ('TS-PILE'!$D$72:$D$91)=0,0,'TO HOP NLAN'!F84*'TS-PILE'!$D$78/SUMSQ('TS-PILE'!$D$72:$D$91))),IF('TS-PILE'!$B$79="",1E+99,'TO HOP NLAN'!D84/ncoc+IF(SUMSQ('TS-PILE'!$E$72:$E$91)=0,0,'TO HOP NLAN'!E84*'TS-PILE'!$E$79/SUMSQ('TS-PILE'!$E$72:$E$91))+IF(SUMSQ('TS-PILE'!$D$72:$D$91)=0,0,'TO HOP NLAN'!F84*'TS-PILE'!$D$79/SUMSQ('TS-PILE'!$D$72:$D$91))),IF('TS-PILE'!$B$80="",1E+99,'TO HOP NLAN'!D84/ncoc+IF(SUMSQ('TS-PILE'!$E$72:$E$91)=0,0,'TO HOP NLAN'!E84*'TS-PILE'!$E$80/SUMSQ('TS-PILE'!$E$72:$E$91))+IF(SUMSQ('TS-PILE'!$D$72:$D$91)=0,0,'TO HOP NLAN'!F84*'TS-PILE'!$D$80/SUMSQ('TS-PILE'!$D$72:$D$91))),IF('TS-PILE'!$B$81="",1E+99,'TO HOP NLAN'!D84/ncoc+IF(SUMSQ('TS-PILE'!$E$72:$E$91)=0,0,'TO HOP NLAN'!E84*'TS-PILE'!$E$81/SUMSQ('TS-PILE'!$E$72:$E$91))+IF(SUMSQ('TS-PILE'!$D$72:$D$91)=0,0,'TO HOP NLAN'!F84*'TS-PILE'!$D$81/SUMSQ('TS-PILE'!$D$72:$D$91))),IF('TS-PILE'!$B$82="",1E+99,'TO HOP NLAN'!D84/ncoc+IF(SUMSQ('TS-PILE'!$E$72:$E$91)=0,0,'TO HOP NLAN'!E84*'TS-PILE'!$E$82/SUMSQ('TS-PILE'!$E$72:$E$91))+IF(SUMSQ('TS-PILE'!$D$72:$D$91)=0,0,'TO HOP NLAN'!F84*'TS-PILE'!$D$82/SUMSQ('TS-PILE'!$D$72:$D$91))),IF('TS-PILE'!$B$83="",1E+99,'TO HOP NLAN'!D84/ncoc+IF(SUMSQ('TS-PILE'!$E$72:$E$91)=0,0,'TO HOP NLAN'!E84*'TS-PILE'!$E$83/SUMSQ('TS-PILE'!$E$72:$E$91))+IF(SUMSQ('TS-PILE'!$D$72:$D$91)=0,0,'TO HOP NLAN'!F84*'TS-PILE'!$D$83/SUMSQ('TS-PILE'!$D$72:$D$91))),IF('TS-PILE'!$B$84="",1E+99,'TO HOP NLAN'!D84/ncoc+IF(SUMSQ('TS-PILE'!$E$72:$E$91)=0,0,'TO HOP NLAN'!E84*'TS-PILE'!$E$84/SUMSQ('TS-PILE'!$E$72:$E$91))+IF(SUMSQ('TS-PILE'!$D$72:$D$91)=0,0,'TO HOP NLAN'!F84*'TS-PILE'!$D$84/SUMSQ('TS-PILE'!$D$72:$D$91))),IF('TS-PILE'!$B$85="",1E+99,'TO HOP NLAN'!D84/ncoc+IF(SUMSQ('TS-PILE'!$E$72:$E$91)=0,0,'TO HOP NLAN'!E84*'TS-PILE'!$E$85/SUMSQ('TS-PILE'!$E$72:$E$91))+IF(SUMSQ('TS-PILE'!$D$72:$D$91)=0,0,'TO HOP NLAN'!F84*'TS-PILE'!$D$85/SUMSQ('TS-PILE'!$D$72:$D$91))),IF('TS-PILE'!$B$86="",1E+99,'TO HOP NLAN'!D84/ncoc+IF(SUMSQ('TS-PILE'!$E$72:$E$91)=0,0,'TO HOP NLAN'!E84*'TS-PILE'!$E$86/SUMSQ('TS-PILE'!$E$72:$E$91))+IF(SUMSQ('TS-PILE'!$D$72:$D$91)=0,0,'TO HOP NLAN'!F84*'TS-PILE'!$D$86/SUMSQ('TS-PILE'!$D$72:$D$91))),IF('TS-PILE'!$B$87="",1E+99,'TO HOP NLAN'!D84/ncoc+IF(SUMSQ('TS-PILE'!$E$72:$E$91)=0,0,'TO HOP NLAN'!E84*'TS-PILE'!$E$87/SUMSQ('TS-PILE'!$E$72:$E$91))+IF(SUMSQ('TS-PILE'!$D$72:$D$91)=0,0,'TO HOP NLAN'!F84*'TS-PILE'!$D$87/SUMSQ('TS-PILE'!$D$72:$D$91))),IF('TS-PILE'!$B$88="",1E+99,'TO HOP NLAN'!D84/ncoc+IF(SUMSQ('TS-PILE'!$E$72:$E$91)=0,0,'TO HOP NLAN'!E84*'TS-PILE'!$E$88/SUMSQ('TS-PILE'!$E$72:$E$91))+IF(SUMSQ('TS-PILE'!$D$72:$D$91)=0,0,'TO HOP NLAN'!F84*'TS-PILE'!$D$88/SUMSQ('TS-PILE'!$D$72:$D$91))),IF('TS-PILE'!$B$89="",1E+99,'TO HOP NLAN'!D84/ncoc+IF(SUMSQ('TS-PILE'!$E$72:$E$91)=0,0,'TO HOP NLAN'!E84*'TS-PILE'!$E$89/SUMSQ('TS-PILE'!$E$72:$E$91))+IF(SUMSQ('TS-PILE'!$D$72:$D$91)=0,0,'TO HOP NLAN'!F84*'TS-PILE'!$D$89/SUMSQ('TS-PILE'!$D$72:$D$91))),IF('TS-PILE'!$B$90="",1E+99,'TO HOP NLAN'!D84/ncoc+IF(SUMSQ('TS-PILE'!$E$72:$E$91)=0,0,'TO HOP NLAN'!E84*'TS-PILE'!$E$90/SUMSQ('TS-PILE'!$E$72:$E$91))+IF(SUMSQ('TS-PILE'!$D$72:$D$91)=0,0,'TO HOP NLAN'!F84*'TS-PILE'!$D$90/SUMSQ('TS-PILE'!$D$72:$D$91))),IF('TS-PILE'!$B$91="",1E+99,'TO HOP NLAN'!D84/ncoc+IF(SUMSQ('TS-PILE'!$E$72:$E$91)=0,0,'TO HOP NLAN'!E84*'TS-PILE'!$E$91/SUMSQ('TS-PILE'!$E$72:$E$91))+IF(SUMSQ('TS-PILE'!$D$72:$D$91)=0,0,'TO HOP NLAN'!F84*'TS-PILE'!$D$91/SUMSQ('TS-PILE'!$D$72:$D$91)))))</f>
        <v>0</v>
      </c>
      <c r="E84" s="58">
        <f t="shared" si="4"/>
        <v>-9.9999999999999997E+98</v>
      </c>
      <c r="F84" s="58">
        <f t="shared" si="5"/>
        <v>9.9999999999999997E+98</v>
      </c>
      <c r="G84" s="58">
        <f t="shared" si="6"/>
        <v>-9.9999999999999997E+98</v>
      </c>
      <c r="H84" s="58">
        <f t="shared" si="7"/>
        <v>9.9999999999999997E+98</v>
      </c>
    </row>
    <row r="85" spans="1:8" x14ac:dyDescent="0.3">
      <c r="A85" s="42" t="str">
        <f>'TO HOP NLAN'!A85</f>
        <v/>
      </c>
      <c r="B85" s="42" t="str">
        <f>'TO HOP NLAN'!L85</f>
        <v>SERVICE</v>
      </c>
      <c r="C85" s="58">
        <f>IF(A85="",0,MAX(IF('TS-PILE'!$B$72="",-1E+99,'TO HOP NLAN'!D85/ncoc+IF(SUMSQ('TS-PILE'!$E$72:$E$91)=0,0,'TO HOP NLAN'!E85*'TS-PILE'!$E$72/SUMSQ('TS-PILE'!$E$72:$E$91))+IF(SUMSQ('TS-PILE'!$D$72:$D$91)=0,0,'TO HOP NLAN'!F85*'TS-PILE'!$D$72/SUMSQ('TS-PILE'!$D$72:$D$91))),IF('TS-PILE'!$B$73="",-1E+99,'TO HOP NLAN'!D85/ncoc+IF(SUMSQ('TS-PILE'!$E$72:$E$91)=0,0,'TO HOP NLAN'!E85*'TS-PILE'!$E$73/SUMSQ('TS-PILE'!$E$72:$E$91))+IF(SUMSQ('TS-PILE'!$D$72:$D$91)=0,0,'TO HOP NLAN'!F85*'TS-PILE'!$D$73/SUMSQ('TS-PILE'!$D$72:$D$91))),IF('TS-PILE'!$B$74="",-1E+99,'TO HOP NLAN'!D85/ncoc+IF(SUMSQ('TS-PILE'!$E$72:$E$91)=0,0,'TO HOP NLAN'!E85*'TS-PILE'!$E$74/SUMSQ('TS-PILE'!$E$72:$E$91))+IF(SUMSQ('TS-PILE'!$D$72:$D$91)=0,0,'TO HOP NLAN'!F85*'TS-PILE'!$D$74/SUMSQ('TS-PILE'!$D$72:$D$91))),IF('TS-PILE'!$B$75="",-1E+99,'TO HOP NLAN'!D85/ncoc+IF(SUMSQ('TS-PILE'!$E$72:$E$91)=0,0,'TO HOP NLAN'!E85*'TS-PILE'!$E$75/SUMSQ('TS-PILE'!$E$72:$E$91))+IF(SUMSQ('TS-PILE'!$D$72:$D$91)=0,0,'TO HOP NLAN'!F85*'TS-PILE'!$D$75/SUMSQ('TS-PILE'!$D$72:$D$91))),IF('TS-PILE'!$B$76="",-1E+99,'TO HOP NLAN'!D85/ncoc+IF(SUMSQ('TS-PILE'!$E$72:$E$91)=0,0,'TO HOP NLAN'!E85*'TS-PILE'!$E$76/SUMSQ('TS-PILE'!$E$72:$E$91))+IF(SUMSQ('TS-PILE'!$D$72:$D$91)=0,0,'TO HOP NLAN'!F85*'TS-PILE'!$D$76/SUMSQ('TS-PILE'!$D$72:$D$91))),IF('TS-PILE'!$B$77="",-1E+99,'TO HOP NLAN'!D85/ncoc+IF(SUMSQ('TS-PILE'!$E$72:$E$91)=0,0,'TO HOP NLAN'!E85*'TS-PILE'!$E$77/SUMSQ('TS-PILE'!$E$72:$E$91))+IF(SUMSQ('TS-PILE'!$D$72:$D$91)=0,0,'TO HOP NLAN'!F85*'TS-PILE'!$D$77/SUMSQ('TS-PILE'!$D$72:$D$91))),IF('TS-PILE'!$B$78="",-1E+99,'TO HOP NLAN'!D85/ncoc+IF(SUMSQ('TS-PILE'!$E$72:$E$91)=0,0,'TO HOP NLAN'!E85*'TS-PILE'!$E$78/SUMSQ('TS-PILE'!$E$72:$E$91))+IF(SUMSQ('TS-PILE'!$D$72:$D$91)=0,0,'TO HOP NLAN'!F85*'TS-PILE'!$D$78/SUMSQ('TS-PILE'!$D$72:$D$91))),IF('TS-PILE'!$B$79="",-1E+99,'TO HOP NLAN'!D85/ncoc+IF(SUMSQ('TS-PILE'!$E$72:$E$91)=0,0,'TO HOP NLAN'!E85*'TS-PILE'!$E$79/SUMSQ('TS-PILE'!$E$72:$E$91))+IF(SUMSQ('TS-PILE'!$D$72:$D$91)=0,0,'TO HOP NLAN'!F85*'TS-PILE'!$D$79/SUMSQ('TS-PILE'!$D$72:$D$91))),IF('TS-PILE'!$B$80="",-1E+99,'TO HOP NLAN'!D85/ncoc+IF(SUMSQ('TS-PILE'!$E$72:$E$91)=0,0,'TO HOP NLAN'!E85*'TS-PILE'!$E$80/SUMSQ('TS-PILE'!$E$72:$E$91))+IF(SUMSQ('TS-PILE'!$D$72:$D$91)=0,0,'TO HOP NLAN'!F85*'TS-PILE'!$D$80/SUMSQ('TS-PILE'!$D$72:$D$91))),IF('TS-PILE'!$B$81="",-1E+99,'TO HOP NLAN'!D85/ncoc+IF(SUMSQ('TS-PILE'!$E$72:$E$91)=0,0,'TO HOP NLAN'!E85*'TS-PILE'!$E$81/SUMSQ('TS-PILE'!$E$72:$E$91))+IF(SUMSQ('TS-PILE'!$D$72:$D$91)=0,0,'TO HOP NLAN'!F85*'TS-PILE'!$D$81/SUMSQ('TS-PILE'!$D$72:$D$91))),IF('TS-PILE'!$B$82="",-1E+99,'TO HOP NLAN'!D85/ncoc+IF(SUMSQ('TS-PILE'!$E$72:$E$91)=0,0,'TO HOP NLAN'!E85*'TS-PILE'!$E$82/SUMSQ('TS-PILE'!$E$72:$E$91))+IF(SUMSQ('TS-PILE'!$D$72:$D$91)=0,0,'TO HOP NLAN'!F85*'TS-PILE'!$D$82/SUMSQ('TS-PILE'!$D$72:$D$91))),IF('TS-PILE'!$B$83="",-1E+99,'TO HOP NLAN'!D85/ncoc+IF(SUMSQ('TS-PILE'!$E$72:$E$91)=0,0,'TO HOP NLAN'!E85*'TS-PILE'!$E$83/SUMSQ('TS-PILE'!$E$72:$E$91))+IF(SUMSQ('TS-PILE'!$D$72:$D$91)=0,0,'TO HOP NLAN'!F85*'TS-PILE'!$D$83/SUMSQ('TS-PILE'!$D$72:$D$91))),IF('TS-PILE'!$B$84="",-1E+99,'TO HOP NLAN'!D85/ncoc+IF(SUMSQ('TS-PILE'!$E$72:$E$91)=0,0,'TO HOP NLAN'!E85*'TS-PILE'!$E$84/SUMSQ('TS-PILE'!$E$72:$E$91))+IF(SUMSQ('TS-PILE'!$D$72:$D$91)=0,0,'TO HOP NLAN'!F85*'TS-PILE'!$D$84/SUMSQ('TS-PILE'!$D$72:$D$91))),IF('TS-PILE'!$B$85="",-1E+99,'TO HOP NLAN'!D85/ncoc+IF(SUMSQ('TS-PILE'!$E$72:$E$91)=0,0,'TO HOP NLAN'!E85*'TS-PILE'!$E$85/SUMSQ('TS-PILE'!$E$72:$E$91))+IF(SUMSQ('TS-PILE'!$D$72:$D$91)=0,0,'TO HOP NLAN'!F85*'TS-PILE'!$D$85/SUMSQ('TS-PILE'!$D$72:$D$91))),IF('TS-PILE'!$B$86="",-1E+99,'TO HOP NLAN'!D85/ncoc+IF(SUMSQ('TS-PILE'!$E$72:$E$91)=0,0,'TO HOP NLAN'!E85*'TS-PILE'!$E$86/SUMSQ('TS-PILE'!$E$72:$E$91))+IF(SUMSQ('TS-PILE'!$D$72:$D$91)=0,0,'TO HOP NLAN'!F85*'TS-PILE'!$D$86/SUMSQ('TS-PILE'!$D$72:$D$91))),IF('TS-PILE'!$B$87="",-1E+99,'TO HOP NLAN'!D85/ncoc+IF(SUMSQ('TS-PILE'!$E$72:$E$91)=0,0,'TO HOP NLAN'!E85*'TS-PILE'!$E$87/SUMSQ('TS-PILE'!$E$72:$E$91))+IF(SUMSQ('TS-PILE'!$D$72:$D$91)=0,0,'TO HOP NLAN'!F85*'TS-PILE'!$D$87/SUMSQ('TS-PILE'!$D$72:$D$91))),IF('TS-PILE'!$B$88="",-1E+99,'TO HOP NLAN'!D85/ncoc+IF(SUMSQ('TS-PILE'!$E$72:$E$91)=0,0,'TO HOP NLAN'!E85*'TS-PILE'!$E$88/SUMSQ('TS-PILE'!$E$72:$E$91))+IF(SUMSQ('TS-PILE'!$D$72:$D$91)=0,0,'TO HOP NLAN'!F85*'TS-PILE'!$D$88/SUMSQ('TS-PILE'!$D$72:$D$91))),IF('TS-PILE'!$B$89="",-1E+99,'TO HOP NLAN'!D85/ncoc+IF(SUMSQ('TS-PILE'!$E$72:$E$91)=0,0,'TO HOP NLAN'!E85*'TS-PILE'!$E$89/SUMSQ('TS-PILE'!$E$72:$E$91))+IF(SUMSQ('TS-PILE'!$D$72:$D$91)=0,0,'TO HOP NLAN'!F85*'TS-PILE'!$D$89/SUMSQ('TS-PILE'!$D$72:$D$91))),IF('TS-PILE'!$B$90="",-1E+99,'TO HOP NLAN'!D85/ncoc+IF(SUMSQ('TS-PILE'!$E$72:$E$91)=0,0,'TO HOP NLAN'!E85*'TS-PILE'!$E$90/SUMSQ('TS-PILE'!$E$72:$E$91))+IF(SUMSQ('TS-PILE'!$D$72:$D$91)=0,0,'TO HOP NLAN'!F85*'TS-PILE'!$D$90/SUMSQ('TS-PILE'!$D$72:$D$91))),IF('TS-PILE'!$B$91="",-1E+99,'TO HOP NLAN'!D85/ncoc+IF(SUMSQ('TS-PILE'!$E$72:$E$91)=0,0,'TO HOP NLAN'!E85*'TS-PILE'!$E$91/SUMSQ('TS-PILE'!$E$72:$E$91))+IF(SUMSQ('TS-PILE'!$D$72:$D$91)=0,0,'TO HOP NLAN'!F85*'TS-PILE'!$D$91/SUMSQ('TS-PILE'!$D$72:$D$91)))))</f>
        <v>0</v>
      </c>
      <c r="D85" s="58">
        <f>IF(A85="",0,MIN(IF('TS-PILE'!$B$72="",1E+99,'TO HOP NLAN'!D85/ncoc+IF(SUMSQ('TS-PILE'!$E$72:$E$91)=0,0,'TO HOP NLAN'!E85*'TS-PILE'!$E$72/SUMSQ('TS-PILE'!$E$72:$E$91))+IF(SUMSQ('TS-PILE'!$D$72:$D$91)=0,0,'TO HOP NLAN'!F85*'TS-PILE'!$D$72/SUMSQ('TS-PILE'!$D$72:$D$91))),IF('TS-PILE'!$B$73="",1E+99,'TO HOP NLAN'!D85/ncoc+IF(SUMSQ('TS-PILE'!$E$72:$E$91)=0,0,'TO HOP NLAN'!E85*'TS-PILE'!$E$73/SUMSQ('TS-PILE'!$E$72:$E$91))+IF(SUMSQ('TS-PILE'!$D$72:$D$91)=0,0,'TO HOP NLAN'!F85*'TS-PILE'!$D$73/SUMSQ('TS-PILE'!$D$72:$D$91))),IF('TS-PILE'!$B$74="",1E+99,'TO HOP NLAN'!D85/ncoc+IF(SUMSQ('TS-PILE'!$E$72:$E$91)=0,0,'TO HOP NLAN'!E85*'TS-PILE'!$E$74/SUMSQ('TS-PILE'!$E$72:$E$91))+IF(SUMSQ('TS-PILE'!$D$72:$D$91)=0,0,'TO HOP NLAN'!F85*'TS-PILE'!$D$74/SUMSQ('TS-PILE'!$D$72:$D$91))),IF('TS-PILE'!$B$75="",1E+99,'TO HOP NLAN'!D85/ncoc+IF(SUMSQ('TS-PILE'!$E$72:$E$91)=0,0,'TO HOP NLAN'!E85*'TS-PILE'!$E$75/SUMSQ('TS-PILE'!$E$72:$E$91))+IF(SUMSQ('TS-PILE'!$D$72:$D$91)=0,0,'TO HOP NLAN'!F85*'TS-PILE'!$D$75/SUMSQ('TS-PILE'!$D$72:$D$91))),IF('TS-PILE'!$B$76="",1E+99,'TO HOP NLAN'!D85/ncoc+IF(SUMSQ('TS-PILE'!$E$72:$E$91)=0,0,'TO HOP NLAN'!E85*'TS-PILE'!$E$76/SUMSQ('TS-PILE'!$E$72:$E$91))+IF(SUMSQ('TS-PILE'!$D$72:$D$91)=0,0,'TO HOP NLAN'!F85*'TS-PILE'!$D$76/SUMSQ('TS-PILE'!$D$72:$D$91))),IF('TS-PILE'!$B$77="",1E+99,'TO HOP NLAN'!D85/ncoc+IF(SUMSQ('TS-PILE'!$E$72:$E$91)=0,0,'TO HOP NLAN'!E85*'TS-PILE'!$E$77/SUMSQ('TS-PILE'!$E$72:$E$91))+IF(SUMSQ('TS-PILE'!$D$72:$D$91)=0,0,'TO HOP NLAN'!F85*'TS-PILE'!$D$77/SUMSQ('TS-PILE'!$D$72:$D$91))),IF('TS-PILE'!$B$78="",1E+99,'TO HOP NLAN'!D85/ncoc+IF(SUMSQ('TS-PILE'!$E$72:$E$91)=0,0,'TO HOP NLAN'!E85*'TS-PILE'!$E$78/SUMSQ('TS-PILE'!$E$72:$E$91))+IF(SUMSQ('TS-PILE'!$D$72:$D$91)=0,0,'TO HOP NLAN'!F85*'TS-PILE'!$D$78/SUMSQ('TS-PILE'!$D$72:$D$91))),IF('TS-PILE'!$B$79="",1E+99,'TO HOP NLAN'!D85/ncoc+IF(SUMSQ('TS-PILE'!$E$72:$E$91)=0,0,'TO HOP NLAN'!E85*'TS-PILE'!$E$79/SUMSQ('TS-PILE'!$E$72:$E$91))+IF(SUMSQ('TS-PILE'!$D$72:$D$91)=0,0,'TO HOP NLAN'!F85*'TS-PILE'!$D$79/SUMSQ('TS-PILE'!$D$72:$D$91))),IF('TS-PILE'!$B$80="",1E+99,'TO HOP NLAN'!D85/ncoc+IF(SUMSQ('TS-PILE'!$E$72:$E$91)=0,0,'TO HOP NLAN'!E85*'TS-PILE'!$E$80/SUMSQ('TS-PILE'!$E$72:$E$91))+IF(SUMSQ('TS-PILE'!$D$72:$D$91)=0,0,'TO HOP NLAN'!F85*'TS-PILE'!$D$80/SUMSQ('TS-PILE'!$D$72:$D$91))),IF('TS-PILE'!$B$81="",1E+99,'TO HOP NLAN'!D85/ncoc+IF(SUMSQ('TS-PILE'!$E$72:$E$91)=0,0,'TO HOP NLAN'!E85*'TS-PILE'!$E$81/SUMSQ('TS-PILE'!$E$72:$E$91))+IF(SUMSQ('TS-PILE'!$D$72:$D$91)=0,0,'TO HOP NLAN'!F85*'TS-PILE'!$D$81/SUMSQ('TS-PILE'!$D$72:$D$91))),IF('TS-PILE'!$B$82="",1E+99,'TO HOP NLAN'!D85/ncoc+IF(SUMSQ('TS-PILE'!$E$72:$E$91)=0,0,'TO HOP NLAN'!E85*'TS-PILE'!$E$82/SUMSQ('TS-PILE'!$E$72:$E$91))+IF(SUMSQ('TS-PILE'!$D$72:$D$91)=0,0,'TO HOP NLAN'!F85*'TS-PILE'!$D$82/SUMSQ('TS-PILE'!$D$72:$D$91))),IF('TS-PILE'!$B$83="",1E+99,'TO HOP NLAN'!D85/ncoc+IF(SUMSQ('TS-PILE'!$E$72:$E$91)=0,0,'TO HOP NLAN'!E85*'TS-PILE'!$E$83/SUMSQ('TS-PILE'!$E$72:$E$91))+IF(SUMSQ('TS-PILE'!$D$72:$D$91)=0,0,'TO HOP NLAN'!F85*'TS-PILE'!$D$83/SUMSQ('TS-PILE'!$D$72:$D$91))),IF('TS-PILE'!$B$84="",1E+99,'TO HOP NLAN'!D85/ncoc+IF(SUMSQ('TS-PILE'!$E$72:$E$91)=0,0,'TO HOP NLAN'!E85*'TS-PILE'!$E$84/SUMSQ('TS-PILE'!$E$72:$E$91))+IF(SUMSQ('TS-PILE'!$D$72:$D$91)=0,0,'TO HOP NLAN'!F85*'TS-PILE'!$D$84/SUMSQ('TS-PILE'!$D$72:$D$91))),IF('TS-PILE'!$B$85="",1E+99,'TO HOP NLAN'!D85/ncoc+IF(SUMSQ('TS-PILE'!$E$72:$E$91)=0,0,'TO HOP NLAN'!E85*'TS-PILE'!$E$85/SUMSQ('TS-PILE'!$E$72:$E$91))+IF(SUMSQ('TS-PILE'!$D$72:$D$91)=0,0,'TO HOP NLAN'!F85*'TS-PILE'!$D$85/SUMSQ('TS-PILE'!$D$72:$D$91))),IF('TS-PILE'!$B$86="",1E+99,'TO HOP NLAN'!D85/ncoc+IF(SUMSQ('TS-PILE'!$E$72:$E$91)=0,0,'TO HOP NLAN'!E85*'TS-PILE'!$E$86/SUMSQ('TS-PILE'!$E$72:$E$91))+IF(SUMSQ('TS-PILE'!$D$72:$D$91)=0,0,'TO HOP NLAN'!F85*'TS-PILE'!$D$86/SUMSQ('TS-PILE'!$D$72:$D$91))),IF('TS-PILE'!$B$87="",1E+99,'TO HOP NLAN'!D85/ncoc+IF(SUMSQ('TS-PILE'!$E$72:$E$91)=0,0,'TO HOP NLAN'!E85*'TS-PILE'!$E$87/SUMSQ('TS-PILE'!$E$72:$E$91))+IF(SUMSQ('TS-PILE'!$D$72:$D$91)=0,0,'TO HOP NLAN'!F85*'TS-PILE'!$D$87/SUMSQ('TS-PILE'!$D$72:$D$91))),IF('TS-PILE'!$B$88="",1E+99,'TO HOP NLAN'!D85/ncoc+IF(SUMSQ('TS-PILE'!$E$72:$E$91)=0,0,'TO HOP NLAN'!E85*'TS-PILE'!$E$88/SUMSQ('TS-PILE'!$E$72:$E$91))+IF(SUMSQ('TS-PILE'!$D$72:$D$91)=0,0,'TO HOP NLAN'!F85*'TS-PILE'!$D$88/SUMSQ('TS-PILE'!$D$72:$D$91))),IF('TS-PILE'!$B$89="",1E+99,'TO HOP NLAN'!D85/ncoc+IF(SUMSQ('TS-PILE'!$E$72:$E$91)=0,0,'TO HOP NLAN'!E85*'TS-PILE'!$E$89/SUMSQ('TS-PILE'!$E$72:$E$91))+IF(SUMSQ('TS-PILE'!$D$72:$D$91)=0,0,'TO HOP NLAN'!F85*'TS-PILE'!$D$89/SUMSQ('TS-PILE'!$D$72:$D$91))),IF('TS-PILE'!$B$90="",1E+99,'TO HOP NLAN'!D85/ncoc+IF(SUMSQ('TS-PILE'!$E$72:$E$91)=0,0,'TO HOP NLAN'!E85*'TS-PILE'!$E$90/SUMSQ('TS-PILE'!$E$72:$E$91))+IF(SUMSQ('TS-PILE'!$D$72:$D$91)=0,0,'TO HOP NLAN'!F85*'TS-PILE'!$D$90/SUMSQ('TS-PILE'!$D$72:$D$91))),IF('TS-PILE'!$B$91="",1E+99,'TO HOP NLAN'!D85/ncoc+IF(SUMSQ('TS-PILE'!$E$72:$E$91)=0,0,'TO HOP NLAN'!E85*'TS-PILE'!$E$91/SUMSQ('TS-PILE'!$E$72:$E$91))+IF(SUMSQ('TS-PILE'!$D$72:$D$91)=0,0,'TO HOP NLAN'!F85*'TS-PILE'!$D$91/SUMSQ('TS-PILE'!$D$72:$D$91)))))</f>
        <v>0</v>
      </c>
      <c r="E85" s="58">
        <f t="shared" si="4"/>
        <v>-9.9999999999999997E+98</v>
      </c>
      <c r="F85" s="58">
        <f t="shared" si="5"/>
        <v>9.9999999999999997E+98</v>
      </c>
      <c r="G85" s="58">
        <f t="shared" si="6"/>
        <v>-9.9999999999999997E+98</v>
      </c>
      <c r="H85" s="58">
        <f t="shared" si="7"/>
        <v>9.9999999999999997E+98</v>
      </c>
    </row>
    <row r="86" spans="1:8" x14ac:dyDescent="0.3">
      <c r="A86" s="42" t="str">
        <f>'TO HOP NLAN'!A86</f>
        <v/>
      </c>
      <c r="B86" s="42" t="str">
        <f>'TO HOP NLAN'!L86</f>
        <v>SERVICE</v>
      </c>
      <c r="C86" s="58">
        <f>IF(A86="",0,MAX(IF('TS-PILE'!$B$72="",-1E+99,'TO HOP NLAN'!D86/ncoc+IF(SUMSQ('TS-PILE'!$E$72:$E$91)=0,0,'TO HOP NLAN'!E86*'TS-PILE'!$E$72/SUMSQ('TS-PILE'!$E$72:$E$91))+IF(SUMSQ('TS-PILE'!$D$72:$D$91)=0,0,'TO HOP NLAN'!F86*'TS-PILE'!$D$72/SUMSQ('TS-PILE'!$D$72:$D$91))),IF('TS-PILE'!$B$73="",-1E+99,'TO HOP NLAN'!D86/ncoc+IF(SUMSQ('TS-PILE'!$E$72:$E$91)=0,0,'TO HOP NLAN'!E86*'TS-PILE'!$E$73/SUMSQ('TS-PILE'!$E$72:$E$91))+IF(SUMSQ('TS-PILE'!$D$72:$D$91)=0,0,'TO HOP NLAN'!F86*'TS-PILE'!$D$73/SUMSQ('TS-PILE'!$D$72:$D$91))),IF('TS-PILE'!$B$74="",-1E+99,'TO HOP NLAN'!D86/ncoc+IF(SUMSQ('TS-PILE'!$E$72:$E$91)=0,0,'TO HOP NLAN'!E86*'TS-PILE'!$E$74/SUMSQ('TS-PILE'!$E$72:$E$91))+IF(SUMSQ('TS-PILE'!$D$72:$D$91)=0,0,'TO HOP NLAN'!F86*'TS-PILE'!$D$74/SUMSQ('TS-PILE'!$D$72:$D$91))),IF('TS-PILE'!$B$75="",-1E+99,'TO HOP NLAN'!D86/ncoc+IF(SUMSQ('TS-PILE'!$E$72:$E$91)=0,0,'TO HOP NLAN'!E86*'TS-PILE'!$E$75/SUMSQ('TS-PILE'!$E$72:$E$91))+IF(SUMSQ('TS-PILE'!$D$72:$D$91)=0,0,'TO HOP NLAN'!F86*'TS-PILE'!$D$75/SUMSQ('TS-PILE'!$D$72:$D$91))),IF('TS-PILE'!$B$76="",-1E+99,'TO HOP NLAN'!D86/ncoc+IF(SUMSQ('TS-PILE'!$E$72:$E$91)=0,0,'TO HOP NLAN'!E86*'TS-PILE'!$E$76/SUMSQ('TS-PILE'!$E$72:$E$91))+IF(SUMSQ('TS-PILE'!$D$72:$D$91)=0,0,'TO HOP NLAN'!F86*'TS-PILE'!$D$76/SUMSQ('TS-PILE'!$D$72:$D$91))),IF('TS-PILE'!$B$77="",-1E+99,'TO HOP NLAN'!D86/ncoc+IF(SUMSQ('TS-PILE'!$E$72:$E$91)=0,0,'TO HOP NLAN'!E86*'TS-PILE'!$E$77/SUMSQ('TS-PILE'!$E$72:$E$91))+IF(SUMSQ('TS-PILE'!$D$72:$D$91)=0,0,'TO HOP NLAN'!F86*'TS-PILE'!$D$77/SUMSQ('TS-PILE'!$D$72:$D$91))),IF('TS-PILE'!$B$78="",-1E+99,'TO HOP NLAN'!D86/ncoc+IF(SUMSQ('TS-PILE'!$E$72:$E$91)=0,0,'TO HOP NLAN'!E86*'TS-PILE'!$E$78/SUMSQ('TS-PILE'!$E$72:$E$91))+IF(SUMSQ('TS-PILE'!$D$72:$D$91)=0,0,'TO HOP NLAN'!F86*'TS-PILE'!$D$78/SUMSQ('TS-PILE'!$D$72:$D$91))),IF('TS-PILE'!$B$79="",-1E+99,'TO HOP NLAN'!D86/ncoc+IF(SUMSQ('TS-PILE'!$E$72:$E$91)=0,0,'TO HOP NLAN'!E86*'TS-PILE'!$E$79/SUMSQ('TS-PILE'!$E$72:$E$91))+IF(SUMSQ('TS-PILE'!$D$72:$D$91)=0,0,'TO HOP NLAN'!F86*'TS-PILE'!$D$79/SUMSQ('TS-PILE'!$D$72:$D$91))),IF('TS-PILE'!$B$80="",-1E+99,'TO HOP NLAN'!D86/ncoc+IF(SUMSQ('TS-PILE'!$E$72:$E$91)=0,0,'TO HOP NLAN'!E86*'TS-PILE'!$E$80/SUMSQ('TS-PILE'!$E$72:$E$91))+IF(SUMSQ('TS-PILE'!$D$72:$D$91)=0,0,'TO HOP NLAN'!F86*'TS-PILE'!$D$80/SUMSQ('TS-PILE'!$D$72:$D$91))),IF('TS-PILE'!$B$81="",-1E+99,'TO HOP NLAN'!D86/ncoc+IF(SUMSQ('TS-PILE'!$E$72:$E$91)=0,0,'TO HOP NLAN'!E86*'TS-PILE'!$E$81/SUMSQ('TS-PILE'!$E$72:$E$91))+IF(SUMSQ('TS-PILE'!$D$72:$D$91)=0,0,'TO HOP NLAN'!F86*'TS-PILE'!$D$81/SUMSQ('TS-PILE'!$D$72:$D$91))),IF('TS-PILE'!$B$82="",-1E+99,'TO HOP NLAN'!D86/ncoc+IF(SUMSQ('TS-PILE'!$E$72:$E$91)=0,0,'TO HOP NLAN'!E86*'TS-PILE'!$E$82/SUMSQ('TS-PILE'!$E$72:$E$91))+IF(SUMSQ('TS-PILE'!$D$72:$D$91)=0,0,'TO HOP NLAN'!F86*'TS-PILE'!$D$82/SUMSQ('TS-PILE'!$D$72:$D$91))),IF('TS-PILE'!$B$83="",-1E+99,'TO HOP NLAN'!D86/ncoc+IF(SUMSQ('TS-PILE'!$E$72:$E$91)=0,0,'TO HOP NLAN'!E86*'TS-PILE'!$E$83/SUMSQ('TS-PILE'!$E$72:$E$91))+IF(SUMSQ('TS-PILE'!$D$72:$D$91)=0,0,'TO HOP NLAN'!F86*'TS-PILE'!$D$83/SUMSQ('TS-PILE'!$D$72:$D$91))),IF('TS-PILE'!$B$84="",-1E+99,'TO HOP NLAN'!D86/ncoc+IF(SUMSQ('TS-PILE'!$E$72:$E$91)=0,0,'TO HOP NLAN'!E86*'TS-PILE'!$E$84/SUMSQ('TS-PILE'!$E$72:$E$91))+IF(SUMSQ('TS-PILE'!$D$72:$D$91)=0,0,'TO HOP NLAN'!F86*'TS-PILE'!$D$84/SUMSQ('TS-PILE'!$D$72:$D$91))),IF('TS-PILE'!$B$85="",-1E+99,'TO HOP NLAN'!D86/ncoc+IF(SUMSQ('TS-PILE'!$E$72:$E$91)=0,0,'TO HOP NLAN'!E86*'TS-PILE'!$E$85/SUMSQ('TS-PILE'!$E$72:$E$91))+IF(SUMSQ('TS-PILE'!$D$72:$D$91)=0,0,'TO HOP NLAN'!F86*'TS-PILE'!$D$85/SUMSQ('TS-PILE'!$D$72:$D$91))),IF('TS-PILE'!$B$86="",-1E+99,'TO HOP NLAN'!D86/ncoc+IF(SUMSQ('TS-PILE'!$E$72:$E$91)=0,0,'TO HOP NLAN'!E86*'TS-PILE'!$E$86/SUMSQ('TS-PILE'!$E$72:$E$91))+IF(SUMSQ('TS-PILE'!$D$72:$D$91)=0,0,'TO HOP NLAN'!F86*'TS-PILE'!$D$86/SUMSQ('TS-PILE'!$D$72:$D$91))),IF('TS-PILE'!$B$87="",-1E+99,'TO HOP NLAN'!D86/ncoc+IF(SUMSQ('TS-PILE'!$E$72:$E$91)=0,0,'TO HOP NLAN'!E86*'TS-PILE'!$E$87/SUMSQ('TS-PILE'!$E$72:$E$91))+IF(SUMSQ('TS-PILE'!$D$72:$D$91)=0,0,'TO HOP NLAN'!F86*'TS-PILE'!$D$87/SUMSQ('TS-PILE'!$D$72:$D$91))),IF('TS-PILE'!$B$88="",-1E+99,'TO HOP NLAN'!D86/ncoc+IF(SUMSQ('TS-PILE'!$E$72:$E$91)=0,0,'TO HOP NLAN'!E86*'TS-PILE'!$E$88/SUMSQ('TS-PILE'!$E$72:$E$91))+IF(SUMSQ('TS-PILE'!$D$72:$D$91)=0,0,'TO HOP NLAN'!F86*'TS-PILE'!$D$88/SUMSQ('TS-PILE'!$D$72:$D$91))),IF('TS-PILE'!$B$89="",-1E+99,'TO HOP NLAN'!D86/ncoc+IF(SUMSQ('TS-PILE'!$E$72:$E$91)=0,0,'TO HOP NLAN'!E86*'TS-PILE'!$E$89/SUMSQ('TS-PILE'!$E$72:$E$91))+IF(SUMSQ('TS-PILE'!$D$72:$D$91)=0,0,'TO HOP NLAN'!F86*'TS-PILE'!$D$89/SUMSQ('TS-PILE'!$D$72:$D$91))),IF('TS-PILE'!$B$90="",-1E+99,'TO HOP NLAN'!D86/ncoc+IF(SUMSQ('TS-PILE'!$E$72:$E$91)=0,0,'TO HOP NLAN'!E86*'TS-PILE'!$E$90/SUMSQ('TS-PILE'!$E$72:$E$91))+IF(SUMSQ('TS-PILE'!$D$72:$D$91)=0,0,'TO HOP NLAN'!F86*'TS-PILE'!$D$90/SUMSQ('TS-PILE'!$D$72:$D$91))),IF('TS-PILE'!$B$91="",-1E+99,'TO HOP NLAN'!D86/ncoc+IF(SUMSQ('TS-PILE'!$E$72:$E$91)=0,0,'TO HOP NLAN'!E86*'TS-PILE'!$E$91/SUMSQ('TS-PILE'!$E$72:$E$91))+IF(SUMSQ('TS-PILE'!$D$72:$D$91)=0,0,'TO HOP NLAN'!F86*'TS-PILE'!$D$91/SUMSQ('TS-PILE'!$D$72:$D$91)))))</f>
        <v>0</v>
      </c>
      <c r="D86" s="58">
        <f>IF(A86="",0,MIN(IF('TS-PILE'!$B$72="",1E+99,'TO HOP NLAN'!D86/ncoc+IF(SUMSQ('TS-PILE'!$E$72:$E$91)=0,0,'TO HOP NLAN'!E86*'TS-PILE'!$E$72/SUMSQ('TS-PILE'!$E$72:$E$91))+IF(SUMSQ('TS-PILE'!$D$72:$D$91)=0,0,'TO HOP NLAN'!F86*'TS-PILE'!$D$72/SUMSQ('TS-PILE'!$D$72:$D$91))),IF('TS-PILE'!$B$73="",1E+99,'TO HOP NLAN'!D86/ncoc+IF(SUMSQ('TS-PILE'!$E$72:$E$91)=0,0,'TO HOP NLAN'!E86*'TS-PILE'!$E$73/SUMSQ('TS-PILE'!$E$72:$E$91))+IF(SUMSQ('TS-PILE'!$D$72:$D$91)=0,0,'TO HOP NLAN'!F86*'TS-PILE'!$D$73/SUMSQ('TS-PILE'!$D$72:$D$91))),IF('TS-PILE'!$B$74="",1E+99,'TO HOP NLAN'!D86/ncoc+IF(SUMSQ('TS-PILE'!$E$72:$E$91)=0,0,'TO HOP NLAN'!E86*'TS-PILE'!$E$74/SUMSQ('TS-PILE'!$E$72:$E$91))+IF(SUMSQ('TS-PILE'!$D$72:$D$91)=0,0,'TO HOP NLAN'!F86*'TS-PILE'!$D$74/SUMSQ('TS-PILE'!$D$72:$D$91))),IF('TS-PILE'!$B$75="",1E+99,'TO HOP NLAN'!D86/ncoc+IF(SUMSQ('TS-PILE'!$E$72:$E$91)=0,0,'TO HOP NLAN'!E86*'TS-PILE'!$E$75/SUMSQ('TS-PILE'!$E$72:$E$91))+IF(SUMSQ('TS-PILE'!$D$72:$D$91)=0,0,'TO HOP NLAN'!F86*'TS-PILE'!$D$75/SUMSQ('TS-PILE'!$D$72:$D$91))),IF('TS-PILE'!$B$76="",1E+99,'TO HOP NLAN'!D86/ncoc+IF(SUMSQ('TS-PILE'!$E$72:$E$91)=0,0,'TO HOP NLAN'!E86*'TS-PILE'!$E$76/SUMSQ('TS-PILE'!$E$72:$E$91))+IF(SUMSQ('TS-PILE'!$D$72:$D$91)=0,0,'TO HOP NLAN'!F86*'TS-PILE'!$D$76/SUMSQ('TS-PILE'!$D$72:$D$91))),IF('TS-PILE'!$B$77="",1E+99,'TO HOP NLAN'!D86/ncoc+IF(SUMSQ('TS-PILE'!$E$72:$E$91)=0,0,'TO HOP NLAN'!E86*'TS-PILE'!$E$77/SUMSQ('TS-PILE'!$E$72:$E$91))+IF(SUMSQ('TS-PILE'!$D$72:$D$91)=0,0,'TO HOP NLAN'!F86*'TS-PILE'!$D$77/SUMSQ('TS-PILE'!$D$72:$D$91))),IF('TS-PILE'!$B$78="",1E+99,'TO HOP NLAN'!D86/ncoc+IF(SUMSQ('TS-PILE'!$E$72:$E$91)=0,0,'TO HOP NLAN'!E86*'TS-PILE'!$E$78/SUMSQ('TS-PILE'!$E$72:$E$91))+IF(SUMSQ('TS-PILE'!$D$72:$D$91)=0,0,'TO HOP NLAN'!F86*'TS-PILE'!$D$78/SUMSQ('TS-PILE'!$D$72:$D$91))),IF('TS-PILE'!$B$79="",1E+99,'TO HOP NLAN'!D86/ncoc+IF(SUMSQ('TS-PILE'!$E$72:$E$91)=0,0,'TO HOP NLAN'!E86*'TS-PILE'!$E$79/SUMSQ('TS-PILE'!$E$72:$E$91))+IF(SUMSQ('TS-PILE'!$D$72:$D$91)=0,0,'TO HOP NLAN'!F86*'TS-PILE'!$D$79/SUMSQ('TS-PILE'!$D$72:$D$91))),IF('TS-PILE'!$B$80="",1E+99,'TO HOP NLAN'!D86/ncoc+IF(SUMSQ('TS-PILE'!$E$72:$E$91)=0,0,'TO HOP NLAN'!E86*'TS-PILE'!$E$80/SUMSQ('TS-PILE'!$E$72:$E$91))+IF(SUMSQ('TS-PILE'!$D$72:$D$91)=0,0,'TO HOP NLAN'!F86*'TS-PILE'!$D$80/SUMSQ('TS-PILE'!$D$72:$D$91))),IF('TS-PILE'!$B$81="",1E+99,'TO HOP NLAN'!D86/ncoc+IF(SUMSQ('TS-PILE'!$E$72:$E$91)=0,0,'TO HOP NLAN'!E86*'TS-PILE'!$E$81/SUMSQ('TS-PILE'!$E$72:$E$91))+IF(SUMSQ('TS-PILE'!$D$72:$D$91)=0,0,'TO HOP NLAN'!F86*'TS-PILE'!$D$81/SUMSQ('TS-PILE'!$D$72:$D$91))),IF('TS-PILE'!$B$82="",1E+99,'TO HOP NLAN'!D86/ncoc+IF(SUMSQ('TS-PILE'!$E$72:$E$91)=0,0,'TO HOP NLAN'!E86*'TS-PILE'!$E$82/SUMSQ('TS-PILE'!$E$72:$E$91))+IF(SUMSQ('TS-PILE'!$D$72:$D$91)=0,0,'TO HOP NLAN'!F86*'TS-PILE'!$D$82/SUMSQ('TS-PILE'!$D$72:$D$91))),IF('TS-PILE'!$B$83="",1E+99,'TO HOP NLAN'!D86/ncoc+IF(SUMSQ('TS-PILE'!$E$72:$E$91)=0,0,'TO HOP NLAN'!E86*'TS-PILE'!$E$83/SUMSQ('TS-PILE'!$E$72:$E$91))+IF(SUMSQ('TS-PILE'!$D$72:$D$91)=0,0,'TO HOP NLAN'!F86*'TS-PILE'!$D$83/SUMSQ('TS-PILE'!$D$72:$D$91))),IF('TS-PILE'!$B$84="",1E+99,'TO HOP NLAN'!D86/ncoc+IF(SUMSQ('TS-PILE'!$E$72:$E$91)=0,0,'TO HOP NLAN'!E86*'TS-PILE'!$E$84/SUMSQ('TS-PILE'!$E$72:$E$91))+IF(SUMSQ('TS-PILE'!$D$72:$D$91)=0,0,'TO HOP NLAN'!F86*'TS-PILE'!$D$84/SUMSQ('TS-PILE'!$D$72:$D$91))),IF('TS-PILE'!$B$85="",1E+99,'TO HOP NLAN'!D86/ncoc+IF(SUMSQ('TS-PILE'!$E$72:$E$91)=0,0,'TO HOP NLAN'!E86*'TS-PILE'!$E$85/SUMSQ('TS-PILE'!$E$72:$E$91))+IF(SUMSQ('TS-PILE'!$D$72:$D$91)=0,0,'TO HOP NLAN'!F86*'TS-PILE'!$D$85/SUMSQ('TS-PILE'!$D$72:$D$91))),IF('TS-PILE'!$B$86="",1E+99,'TO HOP NLAN'!D86/ncoc+IF(SUMSQ('TS-PILE'!$E$72:$E$91)=0,0,'TO HOP NLAN'!E86*'TS-PILE'!$E$86/SUMSQ('TS-PILE'!$E$72:$E$91))+IF(SUMSQ('TS-PILE'!$D$72:$D$91)=0,0,'TO HOP NLAN'!F86*'TS-PILE'!$D$86/SUMSQ('TS-PILE'!$D$72:$D$91))),IF('TS-PILE'!$B$87="",1E+99,'TO HOP NLAN'!D86/ncoc+IF(SUMSQ('TS-PILE'!$E$72:$E$91)=0,0,'TO HOP NLAN'!E86*'TS-PILE'!$E$87/SUMSQ('TS-PILE'!$E$72:$E$91))+IF(SUMSQ('TS-PILE'!$D$72:$D$91)=0,0,'TO HOP NLAN'!F86*'TS-PILE'!$D$87/SUMSQ('TS-PILE'!$D$72:$D$91))),IF('TS-PILE'!$B$88="",1E+99,'TO HOP NLAN'!D86/ncoc+IF(SUMSQ('TS-PILE'!$E$72:$E$91)=0,0,'TO HOP NLAN'!E86*'TS-PILE'!$E$88/SUMSQ('TS-PILE'!$E$72:$E$91))+IF(SUMSQ('TS-PILE'!$D$72:$D$91)=0,0,'TO HOP NLAN'!F86*'TS-PILE'!$D$88/SUMSQ('TS-PILE'!$D$72:$D$91))),IF('TS-PILE'!$B$89="",1E+99,'TO HOP NLAN'!D86/ncoc+IF(SUMSQ('TS-PILE'!$E$72:$E$91)=0,0,'TO HOP NLAN'!E86*'TS-PILE'!$E$89/SUMSQ('TS-PILE'!$E$72:$E$91))+IF(SUMSQ('TS-PILE'!$D$72:$D$91)=0,0,'TO HOP NLAN'!F86*'TS-PILE'!$D$89/SUMSQ('TS-PILE'!$D$72:$D$91))),IF('TS-PILE'!$B$90="",1E+99,'TO HOP NLAN'!D86/ncoc+IF(SUMSQ('TS-PILE'!$E$72:$E$91)=0,0,'TO HOP NLAN'!E86*'TS-PILE'!$E$90/SUMSQ('TS-PILE'!$E$72:$E$91))+IF(SUMSQ('TS-PILE'!$D$72:$D$91)=0,0,'TO HOP NLAN'!F86*'TS-PILE'!$D$90/SUMSQ('TS-PILE'!$D$72:$D$91))),IF('TS-PILE'!$B$91="",1E+99,'TO HOP NLAN'!D86/ncoc+IF(SUMSQ('TS-PILE'!$E$72:$E$91)=0,0,'TO HOP NLAN'!E86*'TS-PILE'!$E$91/SUMSQ('TS-PILE'!$E$72:$E$91))+IF(SUMSQ('TS-PILE'!$D$72:$D$91)=0,0,'TO HOP NLAN'!F86*'TS-PILE'!$D$91/SUMSQ('TS-PILE'!$D$72:$D$91)))))</f>
        <v>0</v>
      </c>
      <c r="E86" s="58">
        <f t="shared" si="4"/>
        <v>-9.9999999999999997E+98</v>
      </c>
      <c r="F86" s="58">
        <f t="shared" si="5"/>
        <v>9.9999999999999997E+98</v>
      </c>
      <c r="G86" s="58">
        <f t="shared" si="6"/>
        <v>-9.9999999999999997E+98</v>
      </c>
      <c r="H86" s="58">
        <f t="shared" si="7"/>
        <v>9.9999999999999997E+98</v>
      </c>
    </row>
    <row r="87" spans="1:8" x14ac:dyDescent="0.3">
      <c r="A87" s="42" t="str">
        <f>'TO HOP NLAN'!A87</f>
        <v/>
      </c>
      <c r="B87" s="42" t="str">
        <f>'TO HOP NLAN'!L87</f>
        <v>SERVICE</v>
      </c>
      <c r="C87" s="58">
        <f>IF(A87="",0,MAX(IF('TS-PILE'!$B$72="",-1E+99,'TO HOP NLAN'!D87/ncoc+IF(SUMSQ('TS-PILE'!$E$72:$E$91)=0,0,'TO HOP NLAN'!E87*'TS-PILE'!$E$72/SUMSQ('TS-PILE'!$E$72:$E$91))+IF(SUMSQ('TS-PILE'!$D$72:$D$91)=0,0,'TO HOP NLAN'!F87*'TS-PILE'!$D$72/SUMSQ('TS-PILE'!$D$72:$D$91))),IF('TS-PILE'!$B$73="",-1E+99,'TO HOP NLAN'!D87/ncoc+IF(SUMSQ('TS-PILE'!$E$72:$E$91)=0,0,'TO HOP NLAN'!E87*'TS-PILE'!$E$73/SUMSQ('TS-PILE'!$E$72:$E$91))+IF(SUMSQ('TS-PILE'!$D$72:$D$91)=0,0,'TO HOP NLAN'!F87*'TS-PILE'!$D$73/SUMSQ('TS-PILE'!$D$72:$D$91))),IF('TS-PILE'!$B$74="",-1E+99,'TO HOP NLAN'!D87/ncoc+IF(SUMSQ('TS-PILE'!$E$72:$E$91)=0,0,'TO HOP NLAN'!E87*'TS-PILE'!$E$74/SUMSQ('TS-PILE'!$E$72:$E$91))+IF(SUMSQ('TS-PILE'!$D$72:$D$91)=0,0,'TO HOP NLAN'!F87*'TS-PILE'!$D$74/SUMSQ('TS-PILE'!$D$72:$D$91))),IF('TS-PILE'!$B$75="",-1E+99,'TO HOP NLAN'!D87/ncoc+IF(SUMSQ('TS-PILE'!$E$72:$E$91)=0,0,'TO HOP NLAN'!E87*'TS-PILE'!$E$75/SUMSQ('TS-PILE'!$E$72:$E$91))+IF(SUMSQ('TS-PILE'!$D$72:$D$91)=0,0,'TO HOP NLAN'!F87*'TS-PILE'!$D$75/SUMSQ('TS-PILE'!$D$72:$D$91))),IF('TS-PILE'!$B$76="",-1E+99,'TO HOP NLAN'!D87/ncoc+IF(SUMSQ('TS-PILE'!$E$72:$E$91)=0,0,'TO HOP NLAN'!E87*'TS-PILE'!$E$76/SUMSQ('TS-PILE'!$E$72:$E$91))+IF(SUMSQ('TS-PILE'!$D$72:$D$91)=0,0,'TO HOP NLAN'!F87*'TS-PILE'!$D$76/SUMSQ('TS-PILE'!$D$72:$D$91))),IF('TS-PILE'!$B$77="",-1E+99,'TO HOP NLAN'!D87/ncoc+IF(SUMSQ('TS-PILE'!$E$72:$E$91)=0,0,'TO HOP NLAN'!E87*'TS-PILE'!$E$77/SUMSQ('TS-PILE'!$E$72:$E$91))+IF(SUMSQ('TS-PILE'!$D$72:$D$91)=0,0,'TO HOP NLAN'!F87*'TS-PILE'!$D$77/SUMSQ('TS-PILE'!$D$72:$D$91))),IF('TS-PILE'!$B$78="",-1E+99,'TO HOP NLAN'!D87/ncoc+IF(SUMSQ('TS-PILE'!$E$72:$E$91)=0,0,'TO HOP NLAN'!E87*'TS-PILE'!$E$78/SUMSQ('TS-PILE'!$E$72:$E$91))+IF(SUMSQ('TS-PILE'!$D$72:$D$91)=0,0,'TO HOP NLAN'!F87*'TS-PILE'!$D$78/SUMSQ('TS-PILE'!$D$72:$D$91))),IF('TS-PILE'!$B$79="",-1E+99,'TO HOP NLAN'!D87/ncoc+IF(SUMSQ('TS-PILE'!$E$72:$E$91)=0,0,'TO HOP NLAN'!E87*'TS-PILE'!$E$79/SUMSQ('TS-PILE'!$E$72:$E$91))+IF(SUMSQ('TS-PILE'!$D$72:$D$91)=0,0,'TO HOP NLAN'!F87*'TS-PILE'!$D$79/SUMSQ('TS-PILE'!$D$72:$D$91))),IF('TS-PILE'!$B$80="",-1E+99,'TO HOP NLAN'!D87/ncoc+IF(SUMSQ('TS-PILE'!$E$72:$E$91)=0,0,'TO HOP NLAN'!E87*'TS-PILE'!$E$80/SUMSQ('TS-PILE'!$E$72:$E$91))+IF(SUMSQ('TS-PILE'!$D$72:$D$91)=0,0,'TO HOP NLAN'!F87*'TS-PILE'!$D$80/SUMSQ('TS-PILE'!$D$72:$D$91))),IF('TS-PILE'!$B$81="",-1E+99,'TO HOP NLAN'!D87/ncoc+IF(SUMSQ('TS-PILE'!$E$72:$E$91)=0,0,'TO HOP NLAN'!E87*'TS-PILE'!$E$81/SUMSQ('TS-PILE'!$E$72:$E$91))+IF(SUMSQ('TS-PILE'!$D$72:$D$91)=0,0,'TO HOP NLAN'!F87*'TS-PILE'!$D$81/SUMSQ('TS-PILE'!$D$72:$D$91))),IF('TS-PILE'!$B$82="",-1E+99,'TO HOP NLAN'!D87/ncoc+IF(SUMSQ('TS-PILE'!$E$72:$E$91)=0,0,'TO HOP NLAN'!E87*'TS-PILE'!$E$82/SUMSQ('TS-PILE'!$E$72:$E$91))+IF(SUMSQ('TS-PILE'!$D$72:$D$91)=0,0,'TO HOP NLAN'!F87*'TS-PILE'!$D$82/SUMSQ('TS-PILE'!$D$72:$D$91))),IF('TS-PILE'!$B$83="",-1E+99,'TO HOP NLAN'!D87/ncoc+IF(SUMSQ('TS-PILE'!$E$72:$E$91)=0,0,'TO HOP NLAN'!E87*'TS-PILE'!$E$83/SUMSQ('TS-PILE'!$E$72:$E$91))+IF(SUMSQ('TS-PILE'!$D$72:$D$91)=0,0,'TO HOP NLAN'!F87*'TS-PILE'!$D$83/SUMSQ('TS-PILE'!$D$72:$D$91))),IF('TS-PILE'!$B$84="",-1E+99,'TO HOP NLAN'!D87/ncoc+IF(SUMSQ('TS-PILE'!$E$72:$E$91)=0,0,'TO HOP NLAN'!E87*'TS-PILE'!$E$84/SUMSQ('TS-PILE'!$E$72:$E$91))+IF(SUMSQ('TS-PILE'!$D$72:$D$91)=0,0,'TO HOP NLAN'!F87*'TS-PILE'!$D$84/SUMSQ('TS-PILE'!$D$72:$D$91))),IF('TS-PILE'!$B$85="",-1E+99,'TO HOP NLAN'!D87/ncoc+IF(SUMSQ('TS-PILE'!$E$72:$E$91)=0,0,'TO HOP NLAN'!E87*'TS-PILE'!$E$85/SUMSQ('TS-PILE'!$E$72:$E$91))+IF(SUMSQ('TS-PILE'!$D$72:$D$91)=0,0,'TO HOP NLAN'!F87*'TS-PILE'!$D$85/SUMSQ('TS-PILE'!$D$72:$D$91))),IF('TS-PILE'!$B$86="",-1E+99,'TO HOP NLAN'!D87/ncoc+IF(SUMSQ('TS-PILE'!$E$72:$E$91)=0,0,'TO HOP NLAN'!E87*'TS-PILE'!$E$86/SUMSQ('TS-PILE'!$E$72:$E$91))+IF(SUMSQ('TS-PILE'!$D$72:$D$91)=0,0,'TO HOP NLAN'!F87*'TS-PILE'!$D$86/SUMSQ('TS-PILE'!$D$72:$D$91))),IF('TS-PILE'!$B$87="",-1E+99,'TO HOP NLAN'!D87/ncoc+IF(SUMSQ('TS-PILE'!$E$72:$E$91)=0,0,'TO HOP NLAN'!E87*'TS-PILE'!$E$87/SUMSQ('TS-PILE'!$E$72:$E$91))+IF(SUMSQ('TS-PILE'!$D$72:$D$91)=0,0,'TO HOP NLAN'!F87*'TS-PILE'!$D$87/SUMSQ('TS-PILE'!$D$72:$D$91))),IF('TS-PILE'!$B$88="",-1E+99,'TO HOP NLAN'!D87/ncoc+IF(SUMSQ('TS-PILE'!$E$72:$E$91)=0,0,'TO HOP NLAN'!E87*'TS-PILE'!$E$88/SUMSQ('TS-PILE'!$E$72:$E$91))+IF(SUMSQ('TS-PILE'!$D$72:$D$91)=0,0,'TO HOP NLAN'!F87*'TS-PILE'!$D$88/SUMSQ('TS-PILE'!$D$72:$D$91))),IF('TS-PILE'!$B$89="",-1E+99,'TO HOP NLAN'!D87/ncoc+IF(SUMSQ('TS-PILE'!$E$72:$E$91)=0,0,'TO HOP NLAN'!E87*'TS-PILE'!$E$89/SUMSQ('TS-PILE'!$E$72:$E$91))+IF(SUMSQ('TS-PILE'!$D$72:$D$91)=0,0,'TO HOP NLAN'!F87*'TS-PILE'!$D$89/SUMSQ('TS-PILE'!$D$72:$D$91))),IF('TS-PILE'!$B$90="",-1E+99,'TO HOP NLAN'!D87/ncoc+IF(SUMSQ('TS-PILE'!$E$72:$E$91)=0,0,'TO HOP NLAN'!E87*'TS-PILE'!$E$90/SUMSQ('TS-PILE'!$E$72:$E$91))+IF(SUMSQ('TS-PILE'!$D$72:$D$91)=0,0,'TO HOP NLAN'!F87*'TS-PILE'!$D$90/SUMSQ('TS-PILE'!$D$72:$D$91))),IF('TS-PILE'!$B$91="",-1E+99,'TO HOP NLAN'!D87/ncoc+IF(SUMSQ('TS-PILE'!$E$72:$E$91)=0,0,'TO HOP NLAN'!E87*'TS-PILE'!$E$91/SUMSQ('TS-PILE'!$E$72:$E$91))+IF(SUMSQ('TS-PILE'!$D$72:$D$91)=0,0,'TO HOP NLAN'!F87*'TS-PILE'!$D$91/SUMSQ('TS-PILE'!$D$72:$D$91)))))</f>
        <v>0</v>
      </c>
      <c r="D87" s="58">
        <f>IF(A87="",0,MIN(IF('TS-PILE'!$B$72="",1E+99,'TO HOP NLAN'!D87/ncoc+IF(SUMSQ('TS-PILE'!$E$72:$E$91)=0,0,'TO HOP NLAN'!E87*'TS-PILE'!$E$72/SUMSQ('TS-PILE'!$E$72:$E$91))+IF(SUMSQ('TS-PILE'!$D$72:$D$91)=0,0,'TO HOP NLAN'!F87*'TS-PILE'!$D$72/SUMSQ('TS-PILE'!$D$72:$D$91))),IF('TS-PILE'!$B$73="",1E+99,'TO HOP NLAN'!D87/ncoc+IF(SUMSQ('TS-PILE'!$E$72:$E$91)=0,0,'TO HOP NLAN'!E87*'TS-PILE'!$E$73/SUMSQ('TS-PILE'!$E$72:$E$91))+IF(SUMSQ('TS-PILE'!$D$72:$D$91)=0,0,'TO HOP NLAN'!F87*'TS-PILE'!$D$73/SUMSQ('TS-PILE'!$D$72:$D$91))),IF('TS-PILE'!$B$74="",1E+99,'TO HOP NLAN'!D87/ncoc+IF(SUMSQ('TS-PILE'!$E$72:$E$91)=0,0,'TO HOP NLAN'!E87*'TS-PILE'!$E$74/SUMSQ('TS-PILE'!$E$72:$E$91))+IF(SUMSQ('TS-PILE'!$D$72:$D$91)=0,0,'TO HOP NLAN'!F87*'TS-PILE'!$D$74/SUMSQ('TS-PILE'!$D$72:$D$91))),IF('TS-PILE'!$B$75="",1E+99,'TO HOP NLAN'!D87/ncoc+IF(SUMSQ('TS-PILE'!$E$72:$E$91)=0,0,'TO HOP NLAN'!E87*'TS-PILE'!$E$75/SUMSQ('TS-PILE'!$E$72:$E$91))+IF(SUMSQ('TS-PILE'!$D$72:$D$91)=0,0,'TO HOP NLAN'!F87*'TS-PILE'!$D$75/SUMSQ('TS-PILE'!$D$72:$D$91))),IF('TS-PILE'!$B$76="",1E+99,'TO HOP NLAN'!D87/ncoc+IF(SUMSQ('TS-PILE'!$E$72:$E$91)=0,0,'TO HOP NLAN'!E87*'TS-PILE'!$E$76/SUMSQ('TS-PILE'!$E$72:$E$91))+IF(SUMSQ('TS-PILE'!$D$72:$D$91)=0,0,'TO HOP NLAN'!F87*'TS-PILE'!$D$76/SUMSQ('TS-PILE'!$D$72:$D$91))),IF('TS-PILE'!$B$77="",1E+99,'TO HOP NLAN'!D87/ncoc+IF(SUMSQ('TS-PILE'!$E$72:$E$91)=0,0,'TO HOP NLAN'!E87*'TS-PILE'!$E$77/SUMSQ('TS-PILE'!$E$72:$E$91))+IF(SUMSQ('TS-PILE'!$D$72:$D$91)=0,0,'TO HOP NLAN'!F87*'TS-PILE'!$D$77/SUMSQ('TS-PILE'!$D$72:$D$91))),IF('TS-PILE'!$B$78="",1E+99,'TO HOP NLAN'!D87/ncoc+IF(SUMSQ('TS-PILE'!$E$72:$E$91)=0,0,'TO HOP NLAN'!E87*'TS-PILE'!$E$78/SUMSQ('TS-PILE'!$E$72:$E$91))+IF(SUMSQ('TS-PILE'!$D$72:$D$91)=0,0,'TO HOP NLAN'!F87*'TS-PILE'!$D$78/SUMSQ('TS-PILE'!$D$72:$D$91))),IF('TS-PILE'!$B$79="",1E+99,'TO HOP NLAN'!D87/ncoc+IF(SUMSQ('TS-PILE'!$E$72:$E$91)=0,0,'TO HOP NLAN'!E87*'TS-PILE'!$E$79/SUMSQ('TS-PILE'!$E$72:$E$91))+IF(SUMSQ('TS-PILE'!$D$72:$D$91)=0,0,'TO HOP NLAN'!F87*'TS-PILE'!$D$79/SUMSQ('TS-PILE'!$D$72:$D$91))),IF('TS-PILE'!$B$80="",1E+99,'TO HOP NLAN'!D87/ncoc+IF(SUMSQ('TS-PILE'!$E$72:$E$91)=0,0,'TO HOP NLAN'!E87*'TS-PILE'!$E$80/SUMSQ('TS-PILE'!$E$72:$E$91))+IF(SUMSQ('TS-PILE'!$D$72:$D$91)=0,0,'TO HOP NLAN'!F87*'TS-PILE'!$D$80/SUMSQ('TS-PILE'!$D$72:$D$91))),IF('TS-PILE'!$B$81="",1E+99,'TO HOP NLAN'!D87/ncoc+IF(SUMSQ('TS-PILE'!$E$72:$E$91)=0,0,'TO HOP NLAN'!E87*'TS-PILE'!$E$81/SUMSQ('TS-PILE'!$E$72:$E$91))+IF(SUMSQ('TS-PILE'!$D$72:$D$91)=0,0,'TO HOP NLAN'!F87*'TS-PILE'!$D$81/SUMSQ('TS-PILE'!$D$72:$D$91))),IF('TS-PILE'!$B$82="",1E+99,'TO HOP NLAN'!D87/ncoc+IF(SUMSQ('TS-PILE'!$E$72:$E$91)=0,0,'TO HOP NLAN'!E87*'TS-PILE'!$E$82/SUMSQ('TS-PILE'!$E$72:$E$91))+IF(SUMSQ('TS-PILE'!$D$72:$D$91)=0,0,'TO HOP NLAN'!F87*'TS-PILE'!$D$82/SUMSQ('TS-PILE'!$D$72:$D$91))),IF('TS-PILE'!$B$83="",1E+99,'TO HOP NLAN'!D87/ncoc+IF(SUMSQ('TS-PILE'!$E$72:$E$91)=0,0,'TO HOP NLAN'!E87*'TS-PILE'!$E$83/SUMSQ('TS-PILE'!$E$72:$E$91))+IF(SUMSQ('TS-PILE'!$D$72:$D$91)=0,0,'TO HOP NLAN'!F87*'TS-PILE'!$D$83/SUMSQ('TS-PILE'!$D$72:$D$91))),IF('TS-PILE'!$B$84="",1E+99,'TO HOP NLAN'!D87/ncoc+IF(SUMSQ('TS-PILE'!$E$72:$E$91)=0,0,'TO HOP NLAN'!E87*'TS-PILE'!$E$84/SUMSQ('TS-PILE'!$E$72:$E$91))+IF(SUMSQ('TS-PILE'!$D$72:$D$91)=0,0,'TO HOP NLAN'!F87*'TS-PILE'!$D$84/SUMSQ('TS-PILE'!$D$72:$D$91))),IF('TS-PILE'!$B$85="",1E+99,'TO HOP NLAN'!D87/ncoc+IF(SUMSQ('TS-PILE'!$E$72:$E$91)=0,0,'TO HOP NLAN'!E87*'TS-PILE'!$E$85/SUMSQ('TS-PILE'!$E$72:$E$91))+IF(SUMSQ('TS-PILE'!$D$72:$D$91)=0,0,'TO HOP NLAN'!F87*'TS-PILE'!$D$85/SUMSQ('TS-PILE'!$D$72:$D$91))),IF('TS-PILE'!$B$86="",1E+99,'TO HOP NLAN'!D87/ncoc+IF(SUMSQ('TS-PILE'!$E$72:$E$91)=0,0,'TO HOP NLAN'!E87*'TS-PILE'!$E$86/SUMSQ('TS-PILE'!$E$72:$E$91))+IF(SUMSQ('TS-PILE'!$D$72:$D$91)=0,0,'TO HOP NLAN'!F87*'TS-PILE'!$D$86/SUMSQ('TS-PILE'!$D$72:$D$91))),IF('TS-PILE'!$B$87="",1E+99,'TO HOP NLAN'!D87/ncoc+IF(SUMSQ('TS-PILE'!$E$72:$E$91)=0,0,'TO HOP NLAN'!E87*'TS-PILE'!$E$87/SUMSQ('TS-PILE'!$E$72:$E$91))+IF(SUMSQ('TS-PILE'!$D$72:$D$91)=0,0,'TO HOP NLAN'!F87*'TS-PILE'!$D$87/SUMSQ('TS-PILE'!$D$72:$D$91))),IF('TS-PILE'!$B$88="",1E+99,'TO HOP NLAN'!D87/ncoc+IF(SUMSQ('TS-PILE'!$E$72:$E$91)=0,0,'TO HOP NLAN'!E87*'TS-PILE'!$E$88/SUMSQ('TS-PILE'!$E$72:$E$91))+IF(SUMSQ('TS-PILE'!$D$72:$D$91)=0,0,'TO HOP NLAN'!F87*'TS-PILE'!$D$88/SUMSQ('TS-PILE'!$D$72:$D$91))),IF('TS-PILE'!$B$89="",1E+99,'TO HOP NLAN'!D87/ncoc+IF(SUMSQ('TS-PILE'!$E$72:$E$91)=0,0,'TO HOP NLAN'!E87*'TS-PILE'!$E$89/SUMSQ('TS-PILE'!$E$72:$E$91))+IF(SUMSQ('TS-PILE'!$D$72:$D$91)=0,0,'TO HOP NLAN'!F87*'TS-PILE'!$D$89/SUMSQ('TS-PILE'!$D$72:$D$91))),IF('TS-PILE'!$B$90="",1E+99,'TO HOP NLAN'!D87/ncoc+IF(SUMSQ('TS-PILE'!$E$72:$E$91)=0,0,'TO HOP NLAN'!E87*'TS-PILE'!$E$90/SUMSQ('TS-PILE'!$E$72:$E$91))+IF(SUMSQ('TS-PILE'!$D$72:$D$91)=0,0,'TO HOP NLAN'!F87*'TS-PILE'!$D$90/SUMSQ('TS-PILE'!$D$72:$D$91))),IF('TS-PILE'!$B$91="",1E+99,'TO HOP NLAN'!D87/ncoc+IF(SUMSQ('TS-PILE'!$E$72:$E$91)=0,0,'TO HOP NLAN'!E87*'TS-PILE'!$E$91/SUMSQ('TS-PILE'!$E$72:$E$91))+IF(SUMSQ('TS-PILE'!$D$72:$D$91)=0,0,'TO HOP NLAN'!F87*'TS-PILE'!$D$91/SUMSQ('TS-PILE'!$D$72:$D$91)))))</f>
        <v>0</v>
      </c>
      <c r="E87" s="58">
        <f t="shared" si="4"/>
        <v>-9.9999999999999997E+98</v>
      </c>
      <c r="F87" s="58">
        <f t="shared" si="5"/>
        <v>9.9999999999999997E+98</v>
      </c>
      <c r="G87" s="58">
        <f t="shared" si="6"/>
        <v>-9.9999999999999997E+98</v>
      </c>
      <c r="H87" s="58">
        <f t="shared" si="7"/>
        <v>9.9999999999999997E+98</v>
      </c>
    </row>
    <row r="88" spans="1:8" x14ac:dyDescent="0.3">
      <c r="A88" s="42" t="str">
        <f>'TO HOP NLAN'!A88</f>
        <v/>
      </c>
      <c r="B88" s="42" t="str">
        <f>'TO HOP NLAN'!L88</f>
        <v>SERVICE</v>
      </c>
      <c r="C88" s="58">
        <f>IF(A88="",0,MAX(IF('TS-PILE'!$B$72="",-1E+99,'TO HOP NLAN'!D88/ncoc+IF(SUMSQ('TS-PILE'!$E$72:$E$91)=0,0,'TO HOP NLAN'!E88*'TS-PILE'!$E$72/SUMSQ('TS-PILE'!$E$72:$E$91))+IF(SUMSQ('TS-PILE'!$D$72:$D$91)=0,0,'TO HOP NLAN'!F88*'TS-PILE'!$D$72/SUMSQ('TS-PILE'!$D$72:$D$91))),IF('TS-PILE'!$B$73="",-1E+99,'TO HOP NLAN'!D88/ncoc+IF(SUMSQ('TS-PILE'!$E$72:$E$91)=0,0,'TO HOP NLAN'!E88*'TS-PILE'!$E$73/SUMSQ('TS-PILE'!$E$72:$E$91))+IF(SUMSQ('TS-PILE'!$D$72:$D$91)=0,0,'TO HOP NLAN'!F88*'TS-PILE'!$D$73/SUMSQ('TS-PILE'!$D$72:$D$91))),IF('TS-PILE'!$B$74="",-1E+99,'TO HOP NLAN'!D88/ncoc+IF(SUMSQ('TS-PILE'!$E$72:$E$91)=0,0,'TO HOP NLAN'!E88*'TS-PILE'!$E$74/SUMSQ('TS-PILE'!$E$72:$E$91))+IF(SUMSQ('TS-PILE'!$D$72:$D$91)=0,0,'TO HOP NLAN'!F88*'TS-PILE'!$D$74/SUMSQ('TS-PILE'!$D$72:$D$91))),IF('TS-PILE'!$B$75="",-1E+99,'TO HOP NLAN'!D88/ncoc+IF(SUMSQ('TS-PILE'!$E$72:$E$91)=0,0,'TO HOP NLAN'!E88*'TS-PILE'!$E$75/SUMSQ('TS-PILE'!$E$72:$E$91))+IF(SUMSQ('TS-PILE'!$D$72:$D$91)=0,0,'TO HOP NLAN'!F88*'TS-PILE'!$D$75/SUMSQ('TS-PILE'!$D$72:$D$91))),IF('TS-PILE'!$B$76="",-1E+99,'TO HOP NLAN'!D88/ncoc+IF(SUMSQ('TS-PILE'!$E$72:$E$91)=0,0,'TO HOP NLAN'!E88*'TS-PILE'!$E$76/SUMSQ('TS-PILE'!$E$72:$E$91))+IF(SUMSQ('TS-PILE'!$D$72:$D$91)=0,0,'TO HOP NLAN'!F88*'TS-PILE'!$D$76/SUMSQ('TS-PILE'!$D$72:$D$91))),IF('TS-PILE'!$B$77="",-1E+99,'TO HOP NLAN'!D88/ncoc+IF(SUMSQ('TS-PILE'!$E$72:$E$91)=0,0,'TO HOP NLAN'!E88*'TS-PILE'!$E$77/SUMSQ('TS-PILE'!$E$72:$E$91))+IF(SUMSQ('TS-PILE'!$D$72:$D$91)=0,0,'TO HOP NLAN'!F88*'TS-PILE'!$D$77/SUMSQ('TS-PILE'!$D$72:$D$91))),IF('TS-PILE'!$B$78="",-1E+99,'TO HOP NLAN'!D88/ncoc+IF(SUMSQ('TS-PILE'!$E$72:$E$91)=0,0,'TO HOP NLAN'!E88*'TS-PILE'!$E$78/SUMSQ('TS-PILE'!$E$72:$E$91))+IF(SUMSQ('TS-PILE'!$D$72:$D$91)=0,0,'TO HOP NLAN'!F88*'TS-PILE'!$D$78/SUMSQ('TS-PILE'!$D$72:$D$91))),IF('TS-PILE'!$B$79="",-1E+99,'TO HOP NLAN'!D88/ncoc+IF(SUMSQ('TS-PILE'!$E$72:$E$91)=0,0,'TO HOP NLAN'!E88*'TS-PILE'!$E$79/SUMSQ('TS-PILE'!$E$72:$E$91))+IF(SUMSQ('TS-PILE'!$D$72:$D$91)=0,0,'TO HOP NLAN'!F88*'TS-PILE'!$D$79/SUMSQ('TS-PILE'!$D$72:$D$91))),IF('TS-PILE'!$B$80="",-1E+99,'TO HOP NLAN'!D88/ncoc+IF(SUMSQ('TS-PILE'!$E$72:$E$91)=0,0,'TO HOP NLAN'!E88*'TS-PILE'!$E$80/SUMSQ('TS-PILE'!$E$72:$E$91))+IF(SUMSQ('TS-PILE'!$D$72:$D$91)=0,0,'TO HOP NLAN'!F88*'TS-PILE'!$D$80/SUMSQ('TS-PILE'!$D$72:$D$91))),IF('TS-PILE'!$B$81="",-1E+99,'TO HOP NLAN'!D88/ncoc+IF(SUMSQ('TS-PILE'!$E$72:$E$91)=0,0,'TO HOP NLAN'!E88*'TS-PILE'!$E$81/SUMSQ('TS-PILE'!$E$72:$E$91))+IF(SUMSQ('TS-PILE'!$D$72:$D$91)=0,0,'TO HOP NLAN'!F88*'TS-PILE'!$D$81/SUMSQ('TS-PILE'!$D$72:$D$91))),IF('TS-PILE'!$B$82="",-1E+99,'TO HOP NLAN'!D88/ncoc+IF(SUMSQ('TS-PILE'!$E$72:$E$91)=0,0,'TO HOP NLAN'!E88*'TS-PILE'!$E$82/SUMSQ('TS-PILE'!$E$72:$E$91))+IF(SUMSQ('TS-PILE'!$D$72:$D$91)=0,0,'TO HOP NLAN'!F88*'TS-PILE'!$D$82/SUMSQ('TS-PILE'!$D$72:$D$91))),IF('TS-PILE'!$B$83="",-1E+99,'TO HOP NLAN'!D88/ncoc+IF(SUMSQ('TS-PILE'!$E$72:$E$91)=0,0,'TO HOP NLAN'!E88*'TS-PILE'!$E$83/SUMSQ('TS-PILE'!$E$72:$E$91))+IF(SUMSQ('TS-PILE'!$D$72:$D$91)=0,0,'TO HOP NLAN'!F88*'TS-PILE'!$D$83/SUMSQ('TS-PILE'!$D$72:$D$91))),IF('TS-PILE'!$B$84="",-1E+99,'TO HOP NLAN'!D88/ncoc+IF(SUMSQ('TS-PILE'!$E$72:$E$91)=0,0,'TO HOP NLAN'!E88*'TS-PILE'!$E$84/SUMSQ('TS-PILE'!$E$72:$E$91))+IF(SUMSQ('TS-PILE'!$D$72:$D$91)=0,0,'TO HOP NLAN'!F88*'TS-PILE'!$D$84/SUMSQ('TS-PILE'!$D$72:$D$91))),IF('TS-PILE'!$B$85="",-1E+99,'TO HOP NLAN'!D88/ncoc+IF(SUMSQ('TS-PILE'!$E$72:$E$91)=0,0,'TO HOP NLAN'!E88*'TS-PILE'!$E$85/SUMSQ('TS-PILE'!$E$72:$E$91))+IF(SUMSQ('TS-PILE'!$D$72:$D$91)=0,0,'TO HOP NLAN'!F88*'TS-PILE'!$D$85/SUMSQ('TS-PILE'!$D$72:$D$91))),IF('TS-PILE'!$B$86="",-1E+99,'TO HOP NLAN'!D88/ncoc+IF(SUMSQ('TS-PILE'!$E$72:$E$91)=0,0,'TO HOP NLAN'!E88*'TS-PILE'!$E$86/SUMSQ('TS-PILE'!$E$72:$E$91))+IF(SUMSQ('TS-PILE'!$D$72:$D$91)=0,0,'TO HOP NLAN'!F88*'TS-PILE'!$D$86/SUMSQ('TS-PILE'!$D$72:$D$91))),IF('TS-PILE'!$B$87="",-1E+99,'TO HOP NLAN'!D88/ncoc+IF(SUMSQ('TS-PILE'!$E$72:$E$91)=0,0,'TO HOP NLAN'!E88*'TS-PILE'!$E$87/SUMSQ('TS-PILE'!$E$72:$E$91))+IF(SUMSQ('TS-PILE'!$D$72:$D$91)=0,0,'TO HOP NLAN'!F88*'TS-PILE'!$D$87/SUMSQ('TS-PILE'!$D$72:$D$91))),IF('TS-PILE'!$B$88="",-1E+99,'TO HOP NLAN'!D88/ncoc+IF(SUMSQ('TS-PILE'!$E$72:$E$91)=0,0,'TO HOP NLAN'!E88*'TS-PILE'!$E$88/SUMSQ('TS-PILE'!$E$72:$E$91))+IF(SUMSQ('TS-PILE'!$D$72:$D$91)=0,0,'TO HOP NLAN'!F88*'TS-PILE'!$D$88/SUMSQ('TS-PILE'!$D$72:$D$91))),IF('TS-PILE'!$B$89="",-1E+99,'TO HOP NLAN'!D88/ncoc+IF(SUMSQ('TS-PILE'!$E$72:$E$91)=0,0,'TO HOP NLAN'!E88*'TS-PILE'!$E$89/SUMSQ('TS-PILE'!$E$72:$E$91))+IF(SUMSQ('TS-PILE'!$D$72:$D$91)=0,0,'TO HOP NLAN'!F88*'TS-PILE'!$D$89/SUMSQ('TS-PILE'!$D$72:$D$91))),IF('TS-PILE'!$B$90="",-1E+99,'TO HOP NLAN'!D88/ncoc+IF(SUMSQ('TS-PILE'!$E$72:$E$91)=0,0,'TO HOP NLAN'!E88*'TS-PILE'!$E$90/SUMSQ('TS-PILE'!$E$72:$E$91))+IF(SUMSQ('TS-PILE'!$D$72:$D$91)=0,0,'TO HOP NLAN'!F88*'TS-PILE'!$D$90/SUMSQ('TS-PILE'!$D$72:$D$91))),IF('TS-PILE'!$B$91="",-1E+99,'TO HOP NLAN'!D88/ncoc+IF(SUMSQ('TS-PILE'!$E$72:$E$91)=0,0,'TO HOP NLAN'!E88*'TS-PILE'!$E$91/SUMSQ('TS-PILE'!$E$72:$E$91))+IF(SUMSQ('TS-PILE'!$D$72:$D$91)=0,0,'TO HOP NLAN'!F88*'TS-PILE'!$D$91/SUMSQ('TS-PILE'!$D$72:$D$91)))))</f>
        <v>0</v>
      </c>
      <c r="D88" s="58">
        <f>IF(A88="",0,MIN(IF('TS-PILE'!$B$72="",1E+99,'TO HOP NLAN'!D88/ncoc+IF(SUMSQ('TS-PILE'!$E$72:$E$91)=0,0,'TO HOP NLAN'!E88*'TS-PILE'!$E$72/SUMSQ('TS-PILE'!$E$72:$E$91))+IF(SUMSQ('TS-PILE'!$D$72:$D$91)=0,0,'TO HOP NLAN'!F88*'TS-PILE'!$D$72/SUMSQ('TS-PILE'!$D$72:$D$91))),IF('TS-PILE'!$B$73="",1E+99,'TO HOP NLAN'!D88/ncoc+IF(SUMSQ('TS-PILE'!$E$72:$E$91)=0,0,'TO HOP NLAN'!E88*'TS-PILE'!$E$73/SUMSQ('TS-PILE'!$E$72:$E$91))+IF(SUMSQ('TS-PILE'!$D$72:$D$91)=0,0,'TO HOP NLAN'!F88*'TS-PILE'!$D$73/SUMSQ('TS-PILE'!$D$72:$D$91))),IF('TS-PILE'!$B$74="",1E+99,'TO HOP NLAN'!D88/ncoc+IF(SUMSQ('TS-PILE'!$E$72:$E$91)=0,0,'TO HOP NLAN'!E88*'TS-PILE'!$E$74/SUMSQ('TS-PILE'!$E$72:$E$91))+IF(SUMSQ('TS-PILE'!$D$72:$D$91)=0,0,'TO HOP NLAN'!F88*'TS-PILE'!$D$74/SUMSQ('TS-PILE'!$D$72:$D$91))),IF('TS-PILE'!$B$75="",1E+99,'TO HOP NLAN'!D88/ncoc+IF(SUMSQ('TS-PILE'!$E$72:$E$91)=0,0,'TO HOP NLAN'!E88*'TS-PILE'!$E$75/SUMSQ('TS-PILE'!$E$72:$E$91))+IF(SUMSQ('TS-PILE'!$D$72:$D$91)=0,0,'TO HOP NLAN'!F88*'TS-PILE'!$D$75/SUMSQ('TS-PILE'!$D$72:$D$91))),IF('TS-PILE'!$B$76="",1E+99,'TO HOP NLAN'!D88/ncoc+IF(SUMSQ('TS-PILE'!$E$72:$E$91)=0,0,'TO HOP NLAN'!E88*'TS-PILE'!$E$76/SUMSQ('TS-PILE'!$E$72:$E$91))+IF(SUMSQ('TS-PILE'!$D$72:$D$91)=0,0,'TO HOP NLAN'!F88*'TS-PILE'!$D$76/SUMSQ('TS-PILE'!$D$72:$D$91))),IF('TS-PILE'!$B$77="",1E+99,'TO HOP NLAN'!D88/ncoc+IF(SUMSQ('TS-PILE'!$E$72:$E$91)=0,0,'TO HOP NLAN'!E88*'TS-PILE'!$E$77/SUMSQ('TS-PILE'!$E$72:$E$91))+IF(SUMSQ('TS-PILE'!$D$72:$D$91)=0,0,'TO HOP NLAN'!F88*'TS-PILE'!$D$77/SUMSQ('TS-PILE'!$D$72:$D$91))),IF('TS-PILE'!$B$78="",1E+99,'TO HOP NLAN'!D88/ncoc+IF(SUMSQ('TS-PILE'!$E$72:$E$91)=0,0,'TO HOP NLAN'!E88*'TS-PILE'!$E$78/SUMSQ('TS-PILE'!$E$72:$E$91))+IF(SUMSQ('TS-PILE'!$D$72:$D$91)=0,0,'TO HOP NLAN'!F88*'TS-PILE'!$D$78/SUMSQ('TS-PILE'!$D$72:$D$91))),IF('TS-PILE'!$B$79="",1E+99,'TO HOP NLAN'!D88/ncoc+IF(SUMSQ('TS-PILE'!$E$72:$E$91)=0,0,'TO HOP NLAN'!E88*'TS-PILE'!$E$79/SUMSQ('TS-PILE'!$E$72:$E$91))+IF(SUMSQ('TS-PILE'!$D$72:$D$91)=0,0,'TO HOP NLAN'!F88*'TS-PILE'!$D$79/SUMSQ('TS-PILE'!$D$72:$D$91))),IF('TS-PILE'!$B$80="",1E+99,'TO HOP NLAN'!D88/ncoc+IF(SUMSQ('TS-PILE'!$E$72:$E$91)=0,0,'TO HOP NLAN'!E88*'TS-PILE'!$E$80/SUMSQ('TS-PILE'!$E$72:$E$91))+IF(SUMSQ('TS-PILE'!$D$72:$D$91)=0,0,'TO HOP NLAN'!F88*'TS-PILE'!$D$80/SUMSQ('TS-PILE'!$D$72:$D$91))),IF('TS-PILE'!$B$81="",1E+99,'TO HOP NLAN'!D88/ncoc+IF(SUMSQ('TS-PILE'!$E$72:$E$91)=0,0,'TO HOP NLAN'!E88*'TS-PILE'!$E$81/SUMSQ('TS-PILE'!$E$72:$E$91))+IF(SUMSQ('TS-PILE'!$D$72:$D$91)=0,0,'TO HOP NLAN'!F88*'TS-PILE'!$D$81/SUMSQ('TS-PILE'!$D$72:$D$91))),IF('TS-PILE'!$B$82="",1E+99,'TO HOP NLAN'!D88/ncoc+IF(SUMSQ('TS-PILE'!$E$72:$E$91)=0,0,'TO HOP NLAN'!E88*'TS-PILE'!$E$82/SUMSQ('TS-PILE'!$E$72:$E$91))+IF(SUMSQ('TS-PILE'!$D$72:$D$91)=0,0,'TO HOP NLAN'!F88*'TS-PILE'!$D$82/SUMSQ('TS-PILE'!$D$72:$D$91))),IF('TS-PILE'!$B$83="",1E+99,'TO HOP NLAN'!D88/ncoc+IF(SUMSQ('TS-PILE'!$E$72:$E$91)=0,0,'TO HOP NLAN'!E88*'TS-PILE'!$E$83/SUMSQ('TS-PILE'!$E$72:$E$91))+IF(SUMSQ('TS-PILE'!$D$72:$D$91)=0,0,'TO HOP NLAN'!F88*'TS-PILE'!$D$83/SUMSQ('TS-PILE'!$D$72:$D$91))),IF('TS-PILE'!$B$84="",1E+99,'TO HOP NLAN'!D88/ncoc+IF(SUMSQ('TS-PILE'!$E$72:$E$91)=0,0,'TO HOP NLAN'!E88*'TS-PILE'!$E$84/SUMSQ('TS-PILE'!$E$72:$E$91))+IF(SUMSQ('TS-PILE'!$D$72:$D$91)=0,0,'TO HOP NLAN'!F88*'TS-PILE'!$D$84/SUMSQ('TS-PILE'!$D$72:$D$91))),IF('TS-PILE'!$B$85="",1E+99,'TO HOP NLAN'!D88/ncoc+IF(SUMSQ('TS-PILE'!$E$72:$E$91)=0,0,'TO HOP NLAN'!E88*'TS-PILE'!$E$85/SUMSQ('TS-PILE'!$E$72:$E$91))+IF(SUMSQ('TS-PILE'!$D$72:$D$91)=0,0,'TO HOP NLAN'!F88*'TS-PILE'!$D$85/SUMSQ('TS-PILE'!$D$72:$D$91))),IF('TS-PILE'!$B$86="",1E+99,'TO HOP NLAN'!D88/ncoc+IF(SUMSQ('TS-PILE'!$E$72:$E$91)=0,0,'TO HOP NLAN'!E88*'TS-PILE'!$E$86/SUMSQ('TS-PILE'!$E$72:$E$91))+IF(SUMSQ('TS-PILE'!$D$72:$D$91)=0,0,'TO HOP NLAN'!F88*'TS-PILE'!$D$86/SUMSQ('TS-PILE'!$D$72:$D$91))),IF('TS-PILE'!$B$87="",1E+99,'TO HOP NLAN'!D88/ncoc+IF(SUMSQ('TS-PILE'!$E$72:$E$91)=0,0,'TO HOP NLAN'!E88*'TS-PILE'!$E$87/SUMSQ('TS-PILE'!$E$72:$E$91))+IF(SUMSQ('TS-PILE'!$D$72:$D$91)=0,0,'TO HOP NLAN'!F88*'TS-PILE'!$D$87/SUMSQ('TS-PILE'!$D$72:$D$91))),IF('TS-PILE'!$B$88="",1E+99,'TO HOP NLAN'!D88/ncoc+IF(SUMSQ('TS-PILE'!$E$72:$E$91)=0,0,'TO HOP NLAN'!E88*'TS-PILE'!$E$88/SUMSQ('TS-PILE'!$E$72:$E$91))+IF(SUMSQ('TS-PILE'!$D$72:$D$91)=0,0,'TO HOP NLAN'!F88*'TS-PILE'!$D$88/SUMSQ('TS-PILE'!$D$72:$D$91))),IF('TS-PILE'!$B$89="",1E+99,'TO HOP NLAN'!D88/ncoc+IF(SUMSQ('TS-PILE'!$E$72:$E$91)=0,0,'TO HOP NLAN'!E88*'TS-PILE'!$E$89/SUMSQ('TS-PILE'!$E$72:$E$91))+IF(SUMSQ('TS-PILE'!$D$72:$D$91)=0,0,'TO HOP NLAN'!F88*'TS-PILE'!$D$89/SUMSQ('TS-PILE'!$D$72:$D$91))),IF('TS-PILE'!$B$90="",1E+99,'TO HOP NLAN'!D88/ncoc+IF(SUMSQ('TS-PILE'!$E$72:$E$91)=0,0,'TO HOP NLAN'!E88*'TS-PILE'!$E$90/SUMSQ('TS-PILE'!$E$72:$E$91))+IF(SUMSQ('TS-PILE'!$D$72:$D$91)=0,0,'TO HOP NLAN'!F88*'TS-PILE'!$D$90/SUMSQ('TS-PILE'!$D$72:$D$91))),IF('TS-PILE'!$B$91="",1E+99,'TO HOP NLAN'!D88/ncoc+IF(SUMSQ('TS-PILE'!$E$72:$E$91)=0,0,'TO HOP NLAN'!E88*'TS-PILE'!$E$91/SUMSQ('TS-PILE'!$E$72:$E$91))+IF(SUMSQ('TS-PILE'!$D$72:$D$91)=0,0,'TO HOP NLAN'!F88*'TS-PILE'!$D$91/SUMSQ('TS-PILE'!$D$72:$D$91)))))</f>
        <v>0</v>
      </c>
      <c r="E88" s="58">
        <f t="shared" si="4"/>
        <v>-9.9999999999999997E+98</v>
      </c>
      <c r="F88" s="58">
        <f t="shared" si="5"/>
        <v>9.9999999999999997E+98</v>
      </c>
      <c r="G88" s="58">
        <f t="shared" si="6"/>
        <v>-9.9999999999999997E+98</v>
      </c>
      <c r="H88" s="58">
        <f t="shared" si="7"/>
        <v>9.9999999999999997E+98</v>
      </c>
    </row>
    <row r="89" spans="1:8" x14ac:dyDescent="0.3">
      <c r="A89" s="42" t="str">
        <f>'TO HOP NLAN'!A89</f>
        <v/>
      </c>
      <c r="B89" s="42" t="str">
        <f>'TO HOP NLAN'!L89</f>
        <v>SERVICE</v>
      </c>
      <c r="C89" s="58">
        <f>IF(A89="",0,MAX(IF('TS-PILE'!$B$72="",-1E+99,'TO HOP NLAN'!D89/ncoc+IF(SUMSQ('TS-PILE'!$E$72:$E$91)=0,0,'TO HOP NLAN'!E89*'TS-PILE'!$E$72/SUMSQ('TS-PILE'!$E$72:$E$91))+IF(SUMSQ('TS-PILE'!$D$72:$D$91)=0,0,'TO HOP NLAN'!F89*'TS-PILE'!$D$72/SUMSQ('TS-PILE'!$D$72:$D$91))),IF('TS-PILE'!$B$73="",-1E+99,'TO HOP NLAN'!D89/ncoc+IF(SUMSQ('TS-PILE'!$E$72:$E$91)=0,0,'TO HOP NLAN'!E89*'TS-PILE'!$E$73/SUMSQ('TS-PILE'!$E$72:$E$91))+IF(SUMSQ('TS-PILE'!$D$72:$D$91)=0,0,'TO HOP NLAN'!F89*'TS-PILE'!$D$73/SUMSQ('TS-PILE'!$D$72:$D$91))),IF('TS-PILE'!$B$74="",-1E+99,'TO HOP NLAN'!D89/ncoc+IF(SUMSQ('TS-PILE'!$E$72:$E$91)=0,0,'TO HOP NLAN'!E89*'TS-PILE'!$E$74/SUMSQ('TS-PILE'!$E$72:$E$91))+IF(SUMSQ('TS-PILE'!$D$72:$D$91)=0,0,'TO HOP NLAN'!F89*'TS-PILE'!$D$74/SUMSQ('TS-PILE'!$D$72:$D$91))),IF('TS-PILE'!$B$75="",-1E+99,'TO HOP NLAN'!D89/ncoc+IF(SUMSQ('TS-PILE'!$E$72:$E$91)=0,0,'TO HOP NLAN'!E89*'TS-PILE'!$E$75/SUMSQ('TS-PILE'!$E$72:$E$91))+IF(SUMSQ('TS-PILE'!$D$72:$D$91)=0,0,'TO HOP NLAN'!F89*'TS-PILE'!$D$75/SUMSQ('TS-PILE'!$D$72:$D$91))),IF('TS-PILE'!$B$76="",-1E+99,'TO HOP NLAN'!D89/ncoc+IF(SUMSQ('TS-PILE'!$E$72:$E$91)=0,0,'TO HOP NLAN'!E89*'TS-PILE'!$E$76/SUMSQ('TS-PILE'!$E$72:$E$91))+IF(SUMSQ('TS-PILE'!$D$72:$D$91)=0,0,'TO HOP NLAN'!F89*'TS-PILE'!$D$76/SUMSQ('TS-PILE'!$D$72:$D$91))),IF('TS-PILE'!$B$77="",-1E+99,'TO HOP NLAN'!D89/ncoc+IF(SUMSQ('TS-PILE'!$E$72:$E$91)=0,0,'TO HOP NLAN'!E89*'TS-PILE'!$E$77/SUMSQ('TS-PILE'!$E$72:$E$91))+IF(SUMSQ('TS-PILE'!$D$72:$D$91)=0,0,'TO HOP NLAN'!F89*'TS-PILE'!$D$77/SUMSQ('TS-PILE'!$D$72:$D$91))),IF('TS-PILE'!$B$78="",-1E+99,'TO HOP NLAN'!D89/ncoc+IF(SUMSQ('TS-PILE'!$E$72:$E$91)=0,0,'TO HOP NLAN'!E89*'TS-PILE'!$E$78/SUMSQ('TS-PILE'!$E$72:$E$91))+IF(SUMSQ('TS-PILE'!$D$72:$D$91)=0,0,'TO HOP NLAN'!F89*'TS-PILE'!$D$78/SUMSQ('TS-PILE'!$D$72:$D$91))),IF('TS-PILE'!$B$79="",-1E+99,'TO HOP NLAN'!D89/ncoc+IF(SUMSQ('TS-PILE'!$E$72:$E$91)=0,0,'TO HOP NLAN'!E89*'TS-PILE'!$E$79/SUMSQ('TS-PILE'!$E$72:$E$91))+IF(SUMSQ('TS-PILE'!$D$72:$D$91)=0,0,'TO HOP NLAN'!F89*'TS-PILE'!$D$79/SUMSQ('TS-PILE'!$D$72:$D$91))),IF('TS-PILE'!$B$80="",-1E+99,'TO HOP NLAN'!D89/ncoc+IF(SUMSQ('TS-PILE'!$E$72:$E$91)=0,0,'TO HOP NLAN'!E89*'TS-PILE'!$E$80/SUMSQ('TS-PILE'!$E$72:$E$91))+IF(SUMSQ('TS-PILE'!$D$72:$D$91)=0,0,'TO HOP NLAN'!F89*'TS-PILE'!$D$80/SUMSQ('TS-PILE'!$D$72:$D$91))),IF('TS-PILE'!$B$81="",-1E+99,'TO HOP NLAN'!D89/ncoc+IF(SUMSQ('TS-PILE'!$E$72:$E$91)=0,0,'TO HOP NLAN'!E89*'TS-PILE'!$E$81/SUMSQ('TS-PILE'!$E$72:$E$91))+IF(SUMSQ('TS-PILE'!$D$72:$D$91)=0,0,'TO HOP NLAN'!F89*'TS-PILE'!$D$81/SUMSQ('TS-PILE'!$D$72:$D$91))),IF('TS-PILE'!$B$82="",-1E+99,'TO HOP NLAN'!D89/ncoc+IF(SUMSQ('TS-PILE'!$E$72:$E$91)=0,0,'TO HOP NLAN'!E89*'TS-PILE'!$E$82/SUMSQ('TS-PILE'!$E$72:$E$91))+IF(SUMSQ('TS-PILE'!$D$72:$D$91)=0,0,'TO HOP NLAN'!F89*'TS-PILE'!$D$82/SUMSQ('TS-PILE'!$D$72:$D$91))),IF('TS-PILE'!$B$83="",-1E+99,'TO HOP NLAN'!D89/ncoc+IF(SUMSQ('TS-PILE'!$E$72:$E$91)=0,0,'TO HOP NLAN'!E89*'TS-PILE'!$E$83/SUMSQ('TS-PILE'!$E$72:$E$91))+IF(SUMSQ('TS-PILE'!$D$72:$D$91)=0,0,'TO HOP NLAN'!F89*'TS-PILE'!$D$83/SUMSQ('TS-PILE'!$D$72:$D$91))),IF('TS-PILE'!$B$84="",-1E+99,'TO HOP NLAN'!D89/ncoc+IF(SUMSQ('TS-PILE'!$E$72:$E$91)=0,0,'TO HOP NLAN'!E89*'TS-PILE'!$E$84/SUMSQ('TS-PILE'!$E$72:$E$91))+IF(SUMSQ('TS-PILE'!$D$72:$D$91)=0,0,'TO HOP NLAN'!F89*'TS-PILE'!$D$84/SUMSQ('TS-PILE'!$D$72:$D$91))),IF('TS-PILE'!$B$85="",-1E+99,'TO HOP NLAN'!D89/ncoc+IF(SUMSQ('TS-PILE'!$E$72:$E$91)=0,0,'TO HOP NLAN'!E89*'TS-PILE'!$E$85/SUMSQ('TS-PILE'!$E$72:$E$91))+IF(SUMSQ('TS-PILE'!$D$72:$D$91)=0,0,'TO HOP NLAN'!F89*'TS-PILE'!$D$85/SUMSQ('TS-PILE'!$D$72:$D$91))),IF('TS-PILE'!$B$86="",-1E+99,'TO HOP NLAN'!D89/ncoc+IF(SUMSQ('TS-PILE'!$E$72:$E$91)=0,0,'TO HOP NLAN'!E89*'TS-PILE'!$E$86/SUMSQ('TS-PILE'!$E$72:$E$91))+IF(SUMSQ('TS-PILE'!$D$72:$D$91)=0,0,'TO HOP NLAN'!F89*'TS-PILE'!$D$86/SUMSQ('TS-PILE'!$D$72:$D$91))),IF('TS-PILE'!$B$87="",-1E+99,'TO HOP NLAN'!D89/ncoc+IF(SUMSQ('TS-PILE'!$E$72:$E$91)=0,0,'TO HOP NLAN'!E89*'TS-PILE'!$E$87/SUMSQ('TS-PILE'!$E$72:$E$91))+IF(SUMSQ('TS-PILE'!$D$72:$D$91)=0,0,'TO HOP NLAN'!F89*'TS-PILE'!$D$87/SUMSQ('TS-PILE'!$D$72:$D$91))),IF('TS-PILE'!$B$88="",-1E+99,'TO HOP NLAN'!D89/ncoc+IF(SUMSQ('TS-PILE'!$E$72:$E$91)=0,0,'TO HOP NLAN'!E89*'TS-PILE'!$E$88/SUMSQ('TS-PILE'!$E$72:$E$91))+IF(SUMSQ('TS-PILE'!$D$72:$D$91)=0,0,'TO HOP NLAN'!F89*'TS-PILE'!$D$88/SUMSQ('TS-PILE'!$D$72:$D$91))),IF('TS-PILE'!$B$89="",-1E+99,'TO HOP NLAN'!D89/ncoc+IF(SUMSQ('TS-PILE'!$E$72:$E$91)=0,0,'TO HOP NLAN'!E89*'TS-PILE'!$E$89/SUMSQ('TS-PILE'!$E$72:$E$91))+IF(SUMSQ('TS-PILE'!$D$72:$D$91)=0,0,'TO HOP NLAN'!F89*'TS-PILE'!$D$89/SUMSQ('TS-PILE'!$D$72:$D$91))),IF('TS-PILE'!$B$90="",-1E+99,'TO HOP NLAN'!D89/ncoc+IF(SUMSQ('TS-PILE'!$E$72:$E$91)=0,0,'TO HOP NLAN'!E89*'TS-PILE'!$E$90/SUMSQ('TS-PILE'!$E$72:$E$91))+IF(SUMSQ('TS-PILE'!$D$72:$D$91)=0,0,'TO HOP NLAN'!F89*'TS-PILE'!$D$90/SUMSQ('TS-PILE'!$D$72:$D$91))),IF('TS-PILE'!$B$91="",-1E+99,'TO HOP NLAN'!D89/ncoc+IF(SUMSQ('TS-PILE'!$E$72:$E$91)=0,0,'TO HOP NLAN'!E89*'TS-PILE'!$E$91/SUMSQ('TS-PILE'!$E$72:$E$91))+IF(SUMSQ('TS-PILE'!$D$72:$D$91)=0,0,'TO HOP NLAN'!F89*'TS-PILE'!$D$91/SUMSQ('TS-PILE'!$D$72:$D$91)))))</f>
        <v>0</v>
      </c>
      <c r="D89" s="58">
        <f>IF(A89="",0,MIN(IF('TS-PILE'!$B$72="",1E+99,'TO HOP NLAN'!D89/ncoc+IF(SUMSQ('TS-PILE'!$E$72:$E$91)=0,0,'TO HOP NLAN'!E89*'TS-PILE'!$E$72/SUMSQ('TS-PILE'!$E$72:$E$91))+IF(SUMSQ('TS-PILE'!$D$72:$D$91)=0,0,'TO HOP NLAN'!F89*'TS-PILE'!$D$72/SUMSQ('TS-PILE'!$D$72:$D$91))),IF('TS-PILE'!$B$73="",1E+99,'TO HOP NLAN'!D89/ncoc+IF(SUMSQ('TS-PILE'!$E$72:$E$91)=0,0,'TO HOP NLAN'!E89*'TS-PILE'!$E$73/SUMSQ('TS-PILE'!$E$72:$E$91))+IF(SUMSQ('TS-PILE'!$D$72:$D$91)=0,0,'TO HOP NLAN'!F89*'TS-PILE'!$D$73/SUMSQ('TS-PILE'!$D$72:$D$91))),IF('TS-PILE'!$B$74="",1E+99,'TO HOP NLAN'!D89/ncoc+IF(SUMSQ('TS-PILE'!$E$72:$E$91)=0,0,'TO HOP NLAN'!E89*'TS-PILE'!$E$74/SUMSQ('TS-PILE'!$E$72:$E$91))+IF(SUMSQ('TS-PILE'!$D$72:$D$91)=0,0,'TO HOP NLAN'!F89*'TS-PILE'!$D$74/SUMSQ('TS-PILE'!$D$72:$D$91))),IF('TS-PILE'!$B$75="",1E+99,'TO HOP NLAN'!D89/ncoc+IF(SUMSQ('TS-PILE'!$E$72:$E$91)=0,0,'TO HOP NLAN'!E89*'TS-PILE'!$E$75/SUMSQ('TS-PILE'!$E$72:$E$91))+IF(SUMSQ('TS-PILE'!$D$72:$D$91)=0,0,'TO HOP NLAN'!F89*'TS-PILE'!$D$75/SUMSQ('TS-PILE'!$D$72:$D$91))),IF('TS-PILE'!$B$76="",1E+99,'TO HOP NLAN'!D89/ncoc+IF(SUMSQ('TS-PILE'!$E$72:$E$91)=0,0,'TO HOP NLAN'!E89*'TS-PILE'!$E$76/SUMSQ('TS-PILE'!$E$72:$E$91))+IF(SUMSQ('TS-PILE'!$D$72:$D$91)=0,0,'TO HOP NLAN'!F89*'TS-PILE'!$D$76/SUMSQ('TS-PILE'!$D$72:$D$91))),IF('TS-PILE'!$B$77="",1E+99,'TO HOP NLAN'!D89/ncoc+IF(SUMSQ('TS-PILE'!$E$72:$E$91)=0,0,'TO HOP NLAN'!E89*'TS-PILE'!$E$77/SUMSQ('TS-PILE'!$E$72:$E$91))+IF(SUMSQ('TS-PILE'!$D$72:$D$91)=0,0,'TO HOP NLAN'!F89*'TS-PILE'!$D$77/SUMSQ('TS-PILE'!$D$72:$D$91))),IF('TS-PILE'!$B$78="",1E+99,'TO HOP NLAN'!D89/ncoc+IF(SUMSQ('TS-PILE'!$E$72:$E$91)=0,0,'TO HOP NLAN'!E89*'TS-PILE'!$E$78/SUMSQ('TS-PILE'!$E$72:$E$91))+IF(SUMSQ('TS-PILE'!$D$72:$D$91)=0,0,'TO HOP NLAN'!F89*'TS-PILE'!$D$78/SUMSQ('TS-PILE'!$D$72:$D$91))),IF('TS-PILE'!$B$79="",1E+99,'TO HOP NLAN'!D89/ncoc+IF(SUMSQ('TS-PILE'!$E$72:$E$91)=0,0,'TO HOP NLAN'!E89*'TS-PILE'!$E$79/SUMSQ('TS-PILE'!$E$72:$E$91))+IF(SUMSQ('TS-PILE'!$D$72:$D$91)=0,0,'TO HOP NLAN'!F89*'TS-PILE'!$D$79/SUMSQ('TS-PILE'!$D$72:$D$91))),IF('TS-PILE'!$B$80="",1E+99,'TO HOP NLAN'!D89/ncoc+IF(SUMSQ('TS-PILE'!$E$72:$E$91)=0,0,'TO HOP NLAN'!E89*'TS-PILE'!$E$80/SUMSQ('TS-PILE'!$E$72:$E$91))+IF(SUMSQ('TS-PILE'!$D$72:$D$91)=0,0,'TO HOP NLAN'!F89*'TS-PILE'!$D$80/SUMSQ('TS-PILE'!$D$72:$D$91))),IF('TS-PILE'!$B$81="",1E+99,'TO HOP NLAN'!D89/ncoc+IF(SUMSQ('TS-PILE'!$E$72:$E$91)=0,0,'TO HOP NLAN'!E89*'TS-PILE'!$E$81/SUMSQ('TS-PILE'!$E$72:$E$91))+IF(SUMSQ('TS-PILE'!$D$72:$D$91)=0,0,'TO HOP NLAN'!F89*'TS-PILE'!$D$81/SUMSQ('TS-PILE'!$D$72:$D$91))),IF('TS-PILE'!$B$82="",1E+99,'TO HOP NLAN'!D89/ncoc+IF(SUMSQ('TS-PILE'!$E$72:$E$91)=0,0,'TO HOP NLAN'!E89*'TS-PILE'!$E$82/SUMSQ('TS-PILE'!$E$72:$E$91))+IF(SUMSQ('TS-PILE'!$D$72:$D$91)=0,0,'TO HOP NLAN'!F89*'TS-PILE'!$D$82/SUMSQ('TS-PILE'!$D$72:$D$91))),IF('TS-PILE'!$B$83="",1E+99,'TO HOP NLAN'!D89/ncoc+IF(SUMSQ('TS-PILE'!$E$72:$E$91)=0,0,'TO HOP NLAN'!E89*'TS-PILE'!$E$83/SUMSQ('TS-PILE'!$E$72:$E$91))+IF(SUMSQ('TS-PILE'!$D$72:$D$91)=0,0,'TO HOP NLAN'!F89*'TS-PILE'!$D$83/SUMSQ('TS-PILE'!$D$72:$D$91))),IF('TS-PILE'!$B$84="",1E+99,'TO HOP NLAN'!D89/ncoc+IF(SUMSQ('TS-PILE'!$E$72:$E$91)=0,0,'TO HOP NLAN'!E89*'TS-PILE'!$E$84/SUMSQ('TS-PILE'!$E$72:$E$91))+IF(SUMSQ('TS-PILE'!$D$72:$D$91)=0,0,'TO HOP NLAN'!F89*'TS-PILE'!$D$84/SUMSQ('TS-PILE'!$D$72:$D$91))),IF('TS-PILE'!$B$85="",1E+99,'TO HOP NLAN'!D89/ncoc+IF(SUMSQ('TS-PILE'!$E$72:$E$91)=0,0,'TO HOP NLAN'!E89*'TS-PILE'!$E$85/SUMSQ('TS-PILE'!$E$72:$E$91))+IF(SUMSQ('TS-PILE'!$D$72:$D$91)=0,0,'TO HOP NLAN'!F89*'TS-PILE'!$D$85/SUMSQ('TS-PILE'!$D$72:$D$91))),IF('TS-PILE'!$B$86="",1E+99,'TO HOP NLAN'!D89/ncoc+IF(SUMSQ('TS-PILE'!$E$72:$E$91)=0,0,'TO HOP NLAN'!E89*'TS-PILE'!$E$86/SUMSQ('TS-PILE'!$E$72:$E$91))+IF(SUMSQ('TS-PILE'!$D$72:$D$91)=0,0,'TO HOP NLAN'!F89*'TS-PILE'!$D$86/SUMSQ('TS-PILE'!$D$72:$D$91))),IF('TS-PILE'!$B$87="",1E+99,'TO HOP NLAN'!D89/ncoc+IF(SUMSQ('TS-PILE'!$E$72:$E$91)=0,0,'TO HOP NLAN'!E89*'TS-PILE'!$E$87/SUMSQ('TS-PILE'!$E$72:$E$91))+IF(SUMSQ('TS-PILE'!$D$72:$D$91)=0,0,'TO HOP NLAN'!F89*'TS-PILE'!$D$87/SUMSQ('TS-PILE'!$D$72:$D$91))),IF('TS-PILE'!$B$88="",1E+99,'TO HOP NLAN'!D89/ncoc+IF(SUMSQ('TS-PILE'!$E$72:$E$91)=0,0,'TO HOP NLAN'!E89*'TS-PILE'!$E$88/SUMSQ('TS-PILE'!$E$72:$E$91))+IF(SUMSQ('TS-PILE'!$D$72:$D$91)=0,0,'TO HOP NLAN'!F89*'TS-PILE'!$D$88/SUMSQ('TS-PILE'!$D$72:$D$91))),IF('TS-PILE'!$B$89="",1E+99,'TO HOP NLAN'!D89/ncoc+IF(SUMSQ('TS-PILE'!$E$72:$E$91)=0,0,'TO HOP NLAN'!E89*'TS-PILE'!$E$89/SUMSQ('TS-PILE'!$E$72:$E$91))+IF(SUMSQ('TS-PILE'!$D$72:$D$91)=0,0,'TO HOP NLAN'!F89*'TS-PILE'!$D$89/SUMSQ('TS-PILE'!$D$72:$D$91))),IF('TS-PILE'!$B$90="",1E+99,'TO HOP NLAN'!D89/ncoc+IF(SUMSQ('TS-PILE'!$E$72:$E$91)=0,0,'TO HOP NLAN'!E89*'TS-PILE'!$E$90/SUMSQ('TS-PILE'!$E$72:$E$91))+IF(SUMSQ('TS-PILE'!$D$72:$D$91)=0,0,'TO HOP NLAN'!F89*'TS-PILE'!$D$90/SUMSQ('TS-PILE'!$D$72:$D$91))),IF('TS-PILE'!$B$91="",1E+99,'TO HOP NLAN'!D89/ncoc+IF(SUMSQ('TS-PILE'!$E$72:$E$91)=0,0,'TO HOP NLAN'!E89*'TS-PILE'!$E$91/SUMSQ('TS-PILE'!$E$72:$E$91))+IF(SUMSQ('TS-PILE'!$D$72:$D$91)=0,0,'TO HOP NLAN'!F89*'TS-PILE'!$D$91/SUMSQ('TS-PILE'!$D$72:$D$91)))))</f>
        <v>0</v>
      </c>
      <c r="E89" s="58">
        <f t="shared" si="4"/>
        <v>-9.9999999999999997E+98</v>
      </c>
      <c r="F89" s="58">
        <f t="shared" si="5"/>
        <v>9.9999999999999997E+98</v>
      </c>
      <c r="G89" s="58">
        <f t="shared" si="6"/>
        <v>-9.9999999999999997E+98</v>
      </c>
      <c r="H89" s="58">
        <f t="shared" si="7"/>
        <v>9.9999999999999997E+98</v>
      </c>
    </row>
    <row r="90" spans="1:8" x14ac:dyDescent="0.3">
      <c r="A90" s="42" t="str">
        <f>'TO HOP NLAN'!A90</f>
        <v/>
      </c>
      <c r="B90" s="42" t="str">
        <f>'TO HOP NLAN'!L90</f>
        <v>SERVICE</v>
      </c>
      <c r="C90" s="58">
        <f>IF(A90="",0,MAX(IF('TS-PILE'!$B$72="",-1E+99,'TO HOP NLAN'!D90/ncoc+IF(SUMSQ('TS-PILE'!$E$72:$E$91)=0,0,'TO HOP NLAN'!E90*'TS-PILE'!$E$72/SUMSQ('TS-PILE'!$E$72:$E$91))+IF(SUMSQ('TS-PILE'!$D$72:$D$91)=0,0,'TO HOP NLAN'!F90*'TS-PILE'!$D$72/SUMSQ('TS-PILE'!$D$72:$D$91))),IF('TS-PILE'!$B$73="",-1E+99,'TO HOP NLAN'!D90/ncoc+IF(SUMSQ('TS-PILE'!$E$72:$E$91)=0,0,'TO HOP NLAN'!E90*'TS-PILE'!$E$73/SUMSQ('TS-PILE'!$E$72:$E$91))+IF(SUMSQ('TS-PILE'!$D$72:$D$91)=0,0,'TO HOP NLAN'!F90*'TS-PILE'!$D$73/SUMSQ('TS-PILE'!$D$72:$D$91))),IF('TS-PILE'!$B$74="",-1E+99,'TO HOP NLAN'!D90/ncoc+IF(SUMSQ('TS-PILE'!$E$72:$E$91)=0,0,'TO HOP NLAN'!E90*'TS-PILE'!$E$74/SUMSQ('TS-PILE'!$E$72:$E$91))+IF(SUMSQ('TS-PILE'!$D$72:$D$91)=0,0,'TO HOP NLAN'!F90*'TS-PILE'!$D$74/SUMSQ('TS-PILE'!$D$72:$D$91))),IF('TS-PILE'!$B$75="",-1E+99,'TO HOP NLAN'!D90/ncoc+IF(SUMSQ('TS-PILE'!$E$72:$E$91)=0,0,'TO HOP NLAN'!E90*'TS-PILE'!$E$75/SUMSQ('TS-PILE'!$E$72:$E$91))+IF(SUMSQ('TS-PILE'!$D$72:$D$91)=0,0,'TO HOP NLAN'!F90*'TS-PILE'!$D$75/SUMSQ('TS-PILE'!$D$72:$D$91))),IF('TS-PILE'!$B$76="",-1E+99,'TO HOP NLAN'!D90/ncoc+IF(SUMSQ('TS-PILE'!$E$72:$E$91)=0,0,'TO HOP NLAN'!E90*'TS-PILE'!$E$76/SUMSQ('TS-PILE'!$E$72:$E$91))+IF(SUMSQ('TS-PILE'!$D$72:$D$91)=0,0,'TO HOP NLAN'!F90*'TS-PILE'!$D$76/SUMSQ('TS-PILE'!$D$72:$D$91))),IF('TS-PILE'!$B$77="",-1E+99,'TO HOP NLAN'!D90/ncoc+IF(SUMSQ('TS-PILE'!$E$72:$E$91)=0,0,'TO HOP NLAN'!E90*'TS-PILE'!$E$77/SUMSQ('TS-PILE'!$E$72:$E$91))+IF(SUMSQ('TS-PILE'!$D$72:$D$91)=0,0,'TO HOP NLAN'!F90*'TS-PILE'!$D$77/SUMSQ('TS-PILE'!$D$72:$D$91))),IF('TS-PILE'!$B$78="",-1E+99,'TO HOP NLAN'!D90/ncoc+IF(SUMSQ('TS-PILE'!$E$72:$E$91)=0,0,'TO HOP NLAN'!E90*'TS-PILE'!$E$78/SUMSQ('TS-PILE'!$E$72:$E$91))+IF(SUMSQ('TS-PILE'!$D$72:$D$91)=0,0,'TO HOP NLAN'!F90*'TS-PILE'!$D$78/SUMSQ('TS-PILE'!$D$72:$D$91))),IF('TS-PILE'!$B$79="",-1E+99,'TO HOP NLAN'!D90/ncoc+IF(SUMSQ('TS-PILE'!$E$72:$E$91)=0,0,'TO HOP NLAN'!E90*'TS-PILE'!$E$79/SUMSQ('TS-PILE'!$E$72:$E$91))+IF(SUMSQ('TS-PILE'!$D$72:$D$91)=0,0,'TO HOP NLAN'!F90*'TS-PILE'!$D$79/SUMSQ('TS-PILE'!$D$72:$D$91))),IF('TS-PILE'!$B$80="",-1E+99,'TO HOP NLAN'!D90/ncoc+IF(SUMSQ('TS-PILE'!$E$72:$E$91)=0,0,'TO HOP NLAN'!E90*'TS-PILE'!$E$80/SUMSQ('TS-PILE'!$E$72:$E$91))+IF(SUMSQ('TS-PILE'!$D$72:$D$91)=0,0,'TO HOP NLAN'!F90*'TS-PILE'!$D$80/SUMSQ('TS-PILE'!$D$72:$D$91))),IF('TS-PILE'!$B$81="",-1E+99,'TO HOP NLAN'!D90/ncoc+IF(SUMSQ('TS-PILE'!$E$72:$E$91)=0,0,'TO HOP NLAN'!E90*'TS-PILE'!$E$81/SUMSQ('TS-PILE'!$E$72:$E$91))+IF(SUMSQ('TS-PILE'!$D$72:$D$91)=0,0,'TO HOP NLAN'!F90*'TS-PILE'!$D$81/SUMSQ('TS-PILE'!$D$72:$D$91))),IF('TS-PILE'!$B$82="",-1E+99,'TO HOP NLAN'!D90/ncoc+IF(SUMSQ('TS-PILE'!$E$72:$E$91)=0,0,'TO HOP NLAN'!E90*'TS-PILE'!$E$82/SUMSQ('TS-PILE'!$E$72:$E$91))+IF(SUMSQ('TS-PILE'!$D$72:$D$91)=0,0,'TO HOP NLAN'!F90*'TS-PILE'!$D$82/SUMSQ('TS-PILE'!$D$72:$D$91))),IF('TS-PILE'!$B$83="",-1E+99,'TO HOP NLAN'!D90/ncoc+IF(SUMSQ('TS-PILE'!$E$72:$E$91)=0,0,'TO HOP NLAN'!E90*'TS-PILE'!$E$83/SUMSQ('TS-PILE'!$E$72:$E$91))+IF(SUMSQ('TS-PILE'!$D$72:$D$91)=0,0,'TO HOP NLAN'!F90*'TS-PILE'!$D$83/SUMSQ('TS-PILE'!$D$72:$D$91))),IF('TS-PILE'!$B$84="",-1E+99,'TO HOP NLAN'!D90/ncoc+IF(SUMSQ('TS-PILE'!$E$72:$E$91)=0,0,'TO HOP NLAN'!E90*'TS-PILE'!$E$84/SUMSQ('TS-PILE'!$E$72:$E$91))+IF(SUMSQ('TS-PILE'!$D$72:$D$91)=0,0,'TO HOP NLAN'!F90*'TS-PILE'!$D$84/SUMSQ('TS-PILE'!$D$72:$D$91))),IF('TS-PILE'!$B$85="",-1E+99,'TO HOP NLAN'!D90/ncoc+IF(SUMSQ('TS-PILE'!$E$72:$E$91)=0,0,'TO HOP NLAN'!E90*'TS-PILE'!$E$85/SUMSQ('TS-PILE'!$E$72:$E$91))+IF(SUMSQ('TS-PILE'!$D$72:$D$91)=0,0,'TO HOP NLAN'!F90*'TS-PILE'!$D$85/SUMSQ('TS-PILE'!$D$72:$D$91))),IF('TS-PILE'!$B$86="",-1E+99,'TO HOP NLAN'!D90/ncoc+IF(SUMSQ('TS-PILE'!$E$72:$E$91)=0,0,'TO HOP NLAN'!E90*'TS-PILE'!$E$86/SUMSQ('TS-PILE'!$E$72:$E$91))+IF(SUMSQ('TS-PILE'!$D$72:$D$91)=0,0,'TO HOP NLAN'!F90*'TS-PILE'!$D$86/SUMSQ('TS-PILE'!$D$72:$D$91))),IF('TS-PILE'!$B$87="",-1E+99,'TO HOP NLAN'!D90/ncoc+IF(SUMSQ('TS-PILE'!$E$72:$E$91)=0,0,'TO HOP NLAN'!E90*'TS-PILE'!$E$87/SUMSQ('TS-PILE'!$E$72:$E$91))+IF(SUMSQ('TS-PILE'!$D$72:$D$91)=0,0,'TO HOP NLAN'!F90*'TS-PILE'!$D$87/SUMSQ('TS-PILE'!$D$72:$D$91))),IF('TS-PILE'!$B$88="",-1E+99,'TO HOP NLAN'!D90/ncoc+IF(SUMSQ('TS-PILE'!$E$72:$E$91)=0,0,'TO HOP NLAN'!E90*'TS-PILE'!$E$88/SUMSQ('TS-PILE'!$E$72:$E$91))+IF(SUMSQ('TS-PILE'!$D$72:$D$91)=0,0,'TO HOP NLAN'!F90*'TS-PILE'!$D$88/SUMSQ('TS-PILE'!$D$72:$D$91))),IF('TS-PILE'!$B$89="",-1E+99,'TO HOP NLAN'!D90/ncoc+IF(SUMSQ('TS-PILE'!$E$72:$E$91)=0,0,'TO HOP NLAN'!E90*'TS-PILE'!$E$89/SUMSQ('TS-PILE'!$E$72:$E$91))+IF(SUMSQ('TS-PILE'!$D$72:$D$91)=0,0,'TO HOP NLAN'!F90*'TS-PILE'!$D$89/SUMSQ('TS-PILE'!$D$72:$D$91))),IF('TS-PILE'!$B$90="",-1E+99,'TO HOP NLAN'!D90/ncoc+IF(SUMSQ('TS-PILE'!$E$72:$E$91)=0,0,'TO HOP NLAN'!E90*'TS-PILE'!$E$90/SUMSQ('TS-PILE'!$E$72:$E$91))+IF(SUMSQ('TS-PILE'!$D$72:$D$91)=0,0,'TO HOP NLAN'!F90*'TS-PILE'!$D$90/SUMSQ('TS-PILE'!$D$72:$D$91))),IF('TS-PILE'!$B$91="",-1E+99,'TO HOP NLAN'!D90/ncoc+IF(SUMSQ('TS-PILE'!$E$72:$E$91)=0,0,'TO HOP NLAN'!E90*'TS-PILE'!$E$91/SUMSQ('TS-PILE'!$E$72:$E$91))+IF(SUMSQ('TS-PILE'!$D$72:$D$91)=0,0,'TO HOP NLAN'!F90*'TS-PILE'!$D$91/SUMSQ('TS-PILE'!$D$72:$D$91)))))</f>
        <v>0</v>
      </c>
      <c r="D90" s="58">
        <f>IF(A90="",0,MIN(IF('TS-PILE'!$B$72="",1E+99,'TO HOP NLAN'!D90/ncoc+IF(SUMSQ('TS-PILE'!$E$72:$E$91)=0,0,'TO HOP NLAN'!E90*'TS-PILE'!$E$72/SUMSQ('TS-PILE'!$E$72:$E$91))+IF(SUMSQ('TS-PILE'!$D$72:$D$91)=0,0,'TO HOP NLAN'!F90*'TS-PILE'!$D$72/SUMSQ('TS-PILE'!$D$72:$D$91))),IF('TS-PILE'!$B$73="",1E+99,'TO HOP NLAN'!D90/ncoc+IF(SUMSQ('TS-PILE'!$E$72:$E$91)=0,0,'TO HOP NLAN'!E90*'TS-PILE'!$E$73/SUMSQ('TS-PILE'!$E$72:$E$91))+IF(SUMSQ('TS-PILE'!$D$72:$D$91)=0,0,'TO HOP NLAN'!F90*'TS-PILE'!$D$73/SUMSQ('TS-PILE'!$D$72:$D$91))),IF('TS-PILE'!$B$74="",1E+99,'TO HOP NLAN'!D90/ncoc+IF(SUMSQ('TS-PILE'!$E$72:$E$91)=0,0,'TO HOP NLAN'!E90*'TS-PILE'!$E$74/SUMSQ('TS-PILE'!$E$72:$E$91))+IF(SUMSQ('TS-PILE'!$D$72:$D$91)=0,0,'TO HOP NLAN'!F90*'TS-PILE'!$D$74/SUMSQ('TS-PILE'!$D$72:$D$91))),IF('TS-PILE'!$B$75="",1E+99,'TO HOP NLAN'!D90/ncoc+IF(SUMSQ('TS-PILE'!$E$72:$E$91)=0,0,'TO HOP NLAN'!E90*'TS-PILE'!$E$75/SUMSQ('TS-PILE'!$E$72:$E$91))+IF(SUMSQ('TS-PILE'!$D$72:$D$91)=0,0,'TO HOP NLAN'!F90*'TS-PILE'!$D$75/SUMSQ('TS-PILE'!$D$72:$D$91))),IF('TS-PILE'!$B$76="",1E+99,'TO HOP NLAN'!D90/ncoc+IF(SUMSQ('TS-PILE'!$E$72:$E$91)=0,0,'TO HOP NLAN'!E90*'TS-PILE'!$E$76/SUMSQ('TS-PILE'!$E$72:$E$91))+IF(SUMSQ('TS-PILE'!$D$72:$D$91)=0,0,'TO HOP NLAN'!F90*'TS-PILE'!$D$76/SUMSQ('TS-PILE'!$D$72:$D$91))),IF('TS-PILE'!$B$77="",1E+99,'TO HOP NLAN'!D90/ncoc+IF(SUMSQ('TS-PILE'!$E$72:$E$91)=0,0,'TO HOP NLAN'!E90*'TS-PILE'!$E$77/SUMSQ('TS-PILE'!$E$72:$E$91))+IF(SUMSQ('TS-PILE'!$D$72:$D$91)=0,0,'TO HOP NLAN'!F90*'TS-PILE'!$D$77/SUMSQ('TS-PILE'!$D$72:$D$91))),IF('TS-PILE'!$B$78="",1E+99,'TO HOP NLAN'!D90/ncoc+IF(SUMSQ('TS-PILE'!$E$72:$E$91)=0,0,'TO HOP NLAN'!E90*'TS-PILE'!$E$78/SUMSQ('TS-PILE'!$E$72:$E$91))+IF(SUMSQ('TS-PILE'!$D$72:$D$91)=0,0,'TO HOP NLAN'!F90*'TS-PILE'!$D$78/SUMSQ('TS-PILE'!$D$72:$D$91))),IF('TS-PILE'!$B$79="",1E+99,'TO HOP NLAN'!D90/ncoc+IF(SUMSQ('TS-PILE'!$E$72:$E$91)=0,0,'TO HOP NLAN'!E90*'TS-PILE'!$E$79/SUMSQ('TS-PILE'!$E$72:$E$91))+IF(SUMSQ('TS-PILE'!$D$72:$D$91)=0,0,'TO HOP NLAN'!F90*'TS-PILE'!$D$79/SUMSQ('TS-PILE'!$D$72:$D$91))),IF('TS-PILE'!$B$80="",1E+99,'TO HOP NLAN'!D90/ncoc+IF(SUMSQ('TS-PILE'!$E$72:$E$91)=0,0,'TO HOP NLAN'!E90*'TS-PILE'!$E$80/SUMSQ('TS-PILE'!$E$72:$E$91))+IF(SUMSQ('TS-PILE'!$D$72:$D$91)=0,0,'TO HOP NLAN'!F90*'TS-PILE'!$D$80/SUMSQ('TS-PILE'!$D$72:$D$91))),IF('TS-PILE'!$B$81="",1E+99,'TO HOP NLAN'!D90/ncoc+IF(SUMSQ('TS-PILE'!$E$72:$E$91)=0,0,'TO HOP NLAN'!E90*'TS-PILE'!$E$81/SUMSQ('TS-PILE'!$E$72:$E$91))+IF(SUMSQ('TS-PILE'!$D$72:$D$91)=0,0,'TO HOP NLAN'!F90*'TS-PILE'!$D$81/SUMSQ('TS-PILE'!$D$72:$D$91))),IF('TS-PILE'!$B$82="",1E+99,'TO HOP NLAN'!D90/ncoc+IF(SUMSQ('TS-PILE'!$E$72:$E$91)=0,0,'TO HOP NLAN'!E90*'TS-PILE'!$E$82/SUMSQ('TS-PILE'!$E$72:$E$91))+IF(SUMSQ('TS-PILE'!$D$72:$D$91)=0,0,'TO HOP NLAN'!F90*'TS-PILE'!$D$82/SUMSQ('TS-PILE'!$D$72:$D$91))),IF('TS-PILE'!$B$83="",1E+99,'TO HOP NLAN'!D90/ncoc+IF(SUMSQ('TS-PILE'!$E$72:$E$91)=0,0,'TO HOP NLAN'!E90*'TS-PILE'!$E$83/SUMSQ('TS-PILE'!$E$72:$E$91))+IF(SUMSQ('TS-PILE'!$D$72:$D$91)=0,0,'TO HOP NLAN'!F90*'TS-PILE'!$D$83/SUMSQ('TS-PILE'!$D$72:$D$91))),IF('TS-PILE'!$B$84="",1E+99,'TO HOP NLAN'!D90/ncoc+IF(SUMSQ('TS-PILE'!$E$72:$E$91)=0,0,'TO HOP NLAN'!E90*'TS-PILE'!$E$84/SUMSQ('TS-PILE'!$E$72:$E$91))+IF(SUMSQ('TS-PILE'!$D$72:$D$91)=0,0,'TO HOP NLAN'!F90*'TS-PILE'!$D$84/SUMSQ('TS-PILE'!$D$72:$D$91))),IF('TS-PILE'!$B$85="",1E+99,'TO HOP NLAN'!D90/ncoc+IF(SUMSQ('TS-PILE'!$E$72:$E$91)=0,0,'TO HOP NLAN'!E90*'TS-PILE'!$E$85/SUMSQ('TS-PILE'!$E$72:$E$91))+IF(SUMSQ('TS-PILE'!$D$72:$D$91)=0,0,'TO HOP NLAN'!F90*'TS-PILE'!$D$85/SUMSQ('TS-PILE'!$D$72:$D$91))),IF('TS-PILE'!$B$86="",1E+99,'TO HOP NLAN'!D90/ncoc+IF(SUMSQ('TS-PILE'!$E$72:$E$91)=0,0,'TO HOP NLAN'!E90*'TS-PILE'!$E$86/SUMSQ('TS-PILE'!$E$72:$E$91))+IF(SUMSQ('TS-PILE'!$D$72:$D$91)=0,0,'TO HOP NLAN'!F90*'TS-PILE'!$D$86/SUMSQ('TS-PILE'!$D$72:$D$91))),IF('TS-PILE'!$B$87="",1E+99,'TO HOP NLAN'!D90/ncoc+IF(SUMSQ('TS-PILE'!$E$72:$E$91)=0,0,'TO HOP NLAN'!E90*'TS-PILE'!$E$87/SUMSQ('TS-PILE'!$E$72:$E$91))+IF(SUMSQ('TS-PILE'!$D$72:$D$91)=0,0,'TO HOP NLAN'!F90*'TS-PILE'!$D$87/SUMSQ('TS-PILE'!$D$72:$D$91))),IF('TS-PILE'!$B$88="",1E+99,'TO HOP NLAN'!D90/ncoc+IF(SUMSQ('TS-PILE'!$E$72:$E$91)=0,0,'TO HOP NLAN'!E90*'TS-PILE'!$E$88/SUMSQ('TS-PILE'!$E$72:$E$91))+IF(SUMSQ('TS-PILE'!$D$72:$D$91)=0,0,'TO HOP NLAN'!F90*'TS-PILE'!$D$88/SUMSQ('TS-PILE'!$D$72:$D$91))),IF('TS-PILE'!$B$89="",1E+99,'TO HOP NLAN'!D90/ncoc+IF(SUMSQ('TS-PILE'!$E$72:$E$91)=0,0,'TO HOP NLAN'!E90*'TS-PILE'!$E$89/SUMSQ('TS-PILE'!$E$72:$E$91))+IF(SUMSQ('TS-PILE'!$D$72:$D$91)=0,0,'TO HOP NLAN'!F90*'TS-PILE'!$D$89/SUMSQ('TS-PILE'!$D$72:$D$91))),IF('TS-PILE'!$B$90="",1E+99,'TO HOP NLAN'!D90/ncoc+IF(SUMSQ('TS-PILE'!$E$72:$E$91)=0,0,'TO HOP NLAN'!E90*'TS-PILE'!$E$90/SUMSQ('TS-PILE'!$E$72:$E$91))+IF(SUMSQ('TS-PILE'!$D$72:$D$91)=0,0,'TO HOP NLAN'!F90*'TS-PILE'!$D$90/SUMSQ('TS-PILE'!$D$72:$D$91))),IF('TS-PILE'!$B$91="",1E+99,'TO HOP NLAN'!D90/ncoc+IF(SUMSQ('TS-PILE'!$E$72:$E$91)=0,0,'TO HOP NLAN'!E90*'TS-PILE'!$E$91/SUMSQ('TS-PILE'!$E$72:$E$91))+IF(SUMSQ('TS-PILE'!$D$72:$D$91)=0,0,'TO HOP NLAN'!F90*'TS-PILE'!$D$91/SUMSQ('TS-PILE'!$D$72:$D$91)))))</f>
        <v>0</v>
      </c>
      <c r="E90" s="58">
        <f t="shared" si="4"/>
        <v>-9.9999999999999997E+98</v>
      </c>
      <c r="F90" s="58">
        <f t="shared" si="5"/>
        <v>9.9999999999999997E+98</v>
      </c>
      <c r="G90" s="58">
        <f t="shared" si="6"/>
        <v>-9.9999999999999997E+98</v>
      </c>
      <c r="H90" s="58">
        <f t="shared" si="7"/>
        <v>9.9999999999999997E+98</v>
      </c>
    </row>
    <row r="91" spans="1:8" x14ac:dyDescent="0.3">
      <c r="A91" s="42" t="str">
        <f>'TO HOP NLAN'!A91</f>
        <v/>
      </c>
      <c r="B91" s="42" t="str">
        <f>'TO HOP NLAN'!L91</f>
        <v>SERVICE</v>
      </c>
      <c r="C91" s="58">
        <f>IF(A91="",0,MAX(IF('TS-PILE'!$B$72="",-1E+99,'TO HOP NLAN'!D91/ncoc+IF(SUMSQ('TS-PILE'!$E$72:$E$91)=0,0,'TO HOP NLAN'!E91*'TS-PILE'!$E$72/SUMSQ('TS-PILE'!$E$72:$E$91))+IF(SUMSQ('TS-PILE'!$D$72:$D$91)=0,0,'TO HOP NLAN'!F91*'TS-PILE'!$D$72/SUMSQ('TS-PILE'!$D$72:$D$91))),IF('TS-PILE'!$B$73="",-1E+99,'TO HOP NLAN'!D91/ncoc+IF(SUMSQ('TS-PILE'!$E$72:$E$91)=0,0,'TO HOP NLAN'!E91*'TS-PILE'!$E$73/SUMSQ('TS-PILE'!$E$72:$E$91))+IF(SUMSQ('TS-PILE'!$D$72:$D$91)=0,0,'TO HOP NLAN'!F91*'TS-PILE'!$D$73/SUMSQ('TS-PILE'!$D$72:$D$91))),IF('TS-PILE'!$B$74="",-1E+99,'TO HOP NLAN'!D91/ncoc+IF(SUMSQ('TS-PILE'!$E$72:$E$91)=0,0,'TO HOP NLAN'!E91*'TS-PILE'!$E$74/SUMSQ('TS-PILE'!$E$72:$E$91))+IF(SUMSQ('TS-PILE'!$D$72:$D$91)=0,0,'TO HOP NLAN'!F91*'TS-PILE'!$D$74/SUMSQ('TS-PILE'!$D$72:$D$91))),IF('TS-PILE'!$B$75="",-1E+99,'TO HOP NLAN'!D91/ncoc+IF(SUMSQ('TS-PILE'!$E$72:$E$91)=0,0,'TO HOP NLAN'!E91*'TS-PILE'!$E$75/SUMSQ('TS-PILE'!$E$72:$E$91))+IF(SUMSQ('TS-PILE'!$D$72:$D$91)=0,0,'TO HOP NLAN'!F91*'TS-PILE'!$D$75/SUMSQ('TS-PILE'!$D$72:$D$91))),IF('TS-PILE'!$B$76="",-1E+99,'TO HOP NLAN'!D91/ncoc+IF(SUMSQ('TS-PILE'!$E$72:$E$91)=0,0,'TO HOP NLAN'!E91*'TS-PILE'!$E$76/SUMSQ('TS-PILE'!$E$72:$E$91))+IF(SUMSQ('TS-PILE'!$D$72:$D$91)=0,0,'TO HOP NLAN'!F91*'TS-PILE'!$D$76/SUMSQ('TS-PILE'!$D$72:$D$91))),IF('TS-PILE'!$B$77="",-1E+99,'TO HOP NLAN'!D91/ncoc+IF(SUMSQ('TS-PILE'!$E$72:$E$91)=0,0,'TO HOP NLAN'!E91*'TS-PILE'!$E$77/SUMSQ('TS-PILE'!$E$72:$E$91))+IF(SUMSQ('TS-PILE'!$D$72:$D$91)=0,0,'TO HOP NLAN'!F91*'TS-PILE'!$D$77/SUMSQ('TS-PILE'!$D$72:$D$91))),IF('TS-PILE'!$B$78="",-1E+99,'TO HOP NLAN'!D91/ncoc+IF(SUMSQ('TS-PILE'!$E$72:$E$91)=0,0,'TO HOP NLAN'!E91*'TS-PILE'!$E$78/SUMSQ('TS-PILE'!$E$72:$E$91))+IF(SUMSQ('TS-PILE'!$D$72:$D$91)=0,0,'TO HOP NLAN'!F91*'TS-PILE'!$D$78/SUMSQ('TS-PILE'!$D$72:$D$91))),IF('TS-PILE'!$B$79="",-1E+99,'TO HOP NLAN'!D91/ncoc+IF(SUMSQ('TS-PILE'!$E$72:$E$91)=0,0,'TO HOP NLAN'!E91*'TS-PILE'!$E$79/SUMSQ('TS-PILE'!$E$72:$E$91))+IF(SUMSQ('TS-PILE'!$D$72:$D$91)=0,0,'TO HOP NLAN'!F91*'TS-PILE'!$D$79/SUMSQ('TS-PILE'!$D$72:$D$91))),IF('TS-PILE'!$B$80="",-1E+99,'TO HOP NLAN'!D91/ncoc+IF(SUMSQ('TS-PILE'!$E$72:$E$91)=0,0,'TO HOP NLAN'!E91*'TS-PILE'!$E$80/SUMSQ('TS-PILE'!$E$72:$E$91))+IF(SUMSQ('TS-PILE'!$D$72:$D$91)=0,0,'TO HOP NLAN'!F91*'TS-PILE'!$D$80/SUMSQ('TS-PILE'!$D$72:$D$91))),IF('TS-PILE'!$B$81="",-1E+99,'TO HOP NLAN'!D91/ncoc+IF(SUMSQ('TS-PILE'!$E$72:$E$91)=0,0,'TO HOP NLAN'!E91*'TS-PILE'!$E$81/SUMSQ('TS-PILE'!$E$72:$E$91))+IF(SUMSQ('TS-PILE'!$D$72:$D$91)=0,0,'TO HOP NLAN'!F91*'TS-PILE'!$D$81/SUMSQ('TS-PILE'!$D$72:$D$91))),IF('TS-PILE'!$B$82="",-1E+99,'TO HOP NLAN'!D91/ncoc+IF(SUMSQ('TS-PILE'!$E$72:$E$91)=0,0,'TO HOP NLAN'!E91*'TS-PILE'!$E$82/SUMSQ('TS-PILE'!$E$72:$E$91))+IF(SUMSQ('TS-PILE'!$D$72:$D$91)=0,0,'TO HOP NLAN'!F91*'TS-PILE'!$D$82/SUMSQ('TS-PILE'!$D$72:$D$91))),IF('TS-PILE'!$B$83="",-1E+99,'TO HOP NLAN'!D91/ncoc+IF(SUMSQ('TS-PILE'!$E$72:$E$91)=0,0,'TO HOP NLAN'!E91*'TS-PILE'!$E$83/SUMSQ('TS-PILE'!$E$72:$E$91))+IF(SUMSQ('TS-PILE'!$D$72:$D$91)=0,0,'TO HOP NLAN'!F91*'TS-PILE'!$D$83/SUMSQ('TS-PILE'!$D$72:$D$91))),IF('TS-PILE'!$B$84="",-1E+99,'TO HOP NLAN'!D91/ncoc+IF(SUMSQ('TS-PILE'!$E$72:$E$91)=0,0,'TO HOP NLAN'!E91*'TS-PILE'!$E$84/SUMSQ('TS-PILE'!$E$72:$E$91))+IF(SUMSQ('TS-PILE'!$D$72:$D$91)=0,0,'TO HOP NLAN'!F91*'TS-PILE'!$D$84/SUMSQ('TS-PILE'!$D$72:$D$91))),IF('TS-PILE'!$B$85="",-1E+99,'TO HOP NLAN'!D91/ncoc+IF(SUMSQ('TS-PILE'!$E$72:$E$91)=0,0,'TO HOP NLAN'!E91*'TS-PILE'!$E$85/SUMSQ('TS-PILE'!$E$72:$E$91))+IF(SUMSQ('TS-PILE'!$D$72:$D$91)=0,0,'TO HOP NLAN'!F91*'TS-PILE'!$D$85/SUMSQ('TS-PILE'!$D$72:$D$91))),IF('TS-PILE'!$B$86="",-1E+99,'TO HOP NLAN'!D91/ncoc+IF(SUMSQ('TS-PILE'!$E$72:$E$91)=0,0,'TO HOP NLAN'!E91*'TS-PILE'!$E$86/SUMSQ('TS-PILE'!$E$72:$E$91))+IF(SUMSQ('TS-PILE'!$D$72:$D$91)=0,0,'TO HOP NLAN'!F91*'TS-PILE'!$D$86/SUMSQ('TS-PILE'!$D$72:$D$91))),IF('TS-PILE'!$B$87="",-1E+99,'TO HOP NLAN'!D91/ncoc+IF(SUMSQ('TS-PILE'!$E$72:$E$91)=0,0,'TO HOP NLAN'!E91*'TS-PILE'!$E$87/SUMSQ('TS-PILE'!$E$72:$E$91))+IF(SUMSQ('TS-PILE'!$D$72:$D$91)=0,0,'TO HOP NLAN'!F91*'TS-PILE'!$D$87/SUMSQ('TS-PILE'!$D$72:$D$91))),IF('TS-PILE'!$B$88="",-1E+99,'TO HOP NLAN'!D91/ncoc+IF(SUMSQ('TS-PILE'!$E$72:$E$91)=0,0,'TO HOP NLAN'!E91*'TS-PILE'!$E$88/SUMSQ('TS-PILE'!$E$72:$E$91))+IF(SUMSQ('TS-PILE'!$D$72:$D$91)=0,0,'TO HOP NLAN'!F91*'TS-PILE'!$D$88/SUMSQ('TS-PILE'!$D$72:$D$91))),IF('TS-PILE'!$B$89="",-1E+99,'TO HOP NLAN'!D91/ncoc+IF(SUMSQ('TS-PILE'!$E$72:$E$91)=0,0,'TO HOP NLAN'!E91*'TS-PILE'!$E$89/SUMSQ('TS-PILE'!$E$72:$E$91))+IF(SUMSQ('TS-PILE'!$D$72:$D$91)=0,0,'TO HOP NLAN'!F91*'TS-PILE'!$D$89/SUMSQ('TS-PILE'!$D$72:$D$91))),IF('TS-PILE'!$B$90="",-1E+99,'TO HOP NLAN'!D91/ncoc+IF(SUMSQ('TS-PILE'!$E$72:$E$91)=0,0,'TO HOP NLAN'!E91*'TS-PILE'!$E$90/SUMSQ('TS-PILE'!$E$72:$E$91))+IF(SUMSQ('TS-PILE'!$D$72:$D$91)=0,0,'TO HOP NLAN'!F91*'TS-PILE'!$D$90/SUMSQ('TS-PILE'!$D$72:$D$91))),IF('TS-PILE'!$B$91="",-1E+99,'TO HOP NLAN'!D91/ncoc+IF(SUMSQ('TS-PILE'!$E$72:$E$91)=0,0,'TO HOP NLAN'!E91*'TS-PILE'!$E$91/SUMSQ('TS-PILE'!$E$72:$E$91))+IF(SUMSQ('TS-PILE'!$D$72:$D$91)=0,0,'TO HOP NLAN'!F91*'TS-PILE'!$D$91/SUMSQ('TS-PILE'!$D$72:$D$91)))))</f>
        <v>0</v>
      </c>
      <c r="D91" s="58">
        <f>IF(A91="",0,MIN(IF('TS-PILE'!$B$72="",1E+99,'TO HOP NLAN'!D91/ncoc+IF(SUMSQ('TS-PILE'!$E$72:$E$91)=0,0,'TO HOP NLAN'!E91*'TS-PILE'!$E$72/SUMSQ('TS-PILE'!$E$72:$E$91))+IF(SUMSQ('TS-PILE'!$D$72:$D$91)=0,0,'TO HOP NLAN'!F91*'TS-PILE'!$D$72/SUMSQ('TS-PILE'!$D$72:$D$91))),IF('TS-PILE'!$B$73="",1E+99,'TO HOP NLAN'!D91/ncoc+IF(SUMSQ('TS-PILE'!$E$72:$E$91)=0,0,'TO HOP NLAN'!E91*'TS-PILE'!$E$73/SUMSQ('TS-PILE'!$E$72:$E$91))+IF(SUMSQ('TS-PILE'!$D$72:$D$91)=0,0,'TO HOP NLAN'!F91*'TS-PILE'!$D$73/SUMSQ('TS-PILE'!$D$72:$D$91))),IF('TS-PILE'!$B$74="",1E+99,'TO HOP NLAN'!D91/ncoc+IF(SUMSQ('TS-PILE'!$E$72:$E$91)=0,0,'TO HOP NLAN'!E91*'TS-PILE'!$E$74/SUMSQ('TS-PILE'!$E$72:$E$91))+IF(SUMSQ('TS-PILE'!$D$72:$D$91)=0,0,'TO HOP NLAN'!F91*'TS-PILE'!$D$74/SUMSQ('TS-PILE'!$D$72:$D$91))),IF('TS-PILE'!$B$75="",1E+99,'TO HOP NLAN'!D91/ncoc+IF(SUMSQ('TS-PILE'!$E$72:$E$91)=0,0,'TO HOP NLAN'!E91*'TS-PILE'!$E$75/SUMSQ('TS-PILE'!$E$72:$E$91))+IF(SUMSQ('TS-PILE'!$D$72:$D$91)=0,0,'TO HOP NLAN'!F91*'TS-PILE'!$D$75/SUMSQ('TS-PILE'!$D$72:$D$91))),IF('TS-PILE'!$B$76="",1E+99,'TO HOP NLAN'!D91/ncoc+IF(SUMSQ('TS-PILE'!$E$72:$E$91)=0,0,'TO HOP NLAN'!E91*'TS-PILE'!$E$76/SUMSQ('TS-PILE'!$E$72:$E$91))+IF(SUMSQ('TS-PILE'!$D$72:$D$91)=0,0,'TO HOP NLAN'!F91*'TS-PILE'!$D$76/SUMSQ('TS-PILE'!$D$72:$D$91))),IF('TS-PILE'!$B$77="",1E+99,'TO HOP NLAN'!D91/ncoc+IF(SUMSQ('TS-PILE'!$E$72:$E$91)=0,0,'TO HOP NLAN'!E91*'TS-PILE'!$E$77/SUMSQ('TS-PILE'!$E$72:$E$91))+IF(SUMSQ('TS-PILE'!$D$72:$D$91)=0,0,'TO HOP NLAN'!F91*'TS-PILE'!$D$77/SUMSQ('TS-PILE'!$D$72:$D$91))),IF('TS-PILE'!$B$78="",1E+99,'TO HOP NLAN'!D91/ncoc+IF(SUMSQ('TS-PILE'!$E$72:$E$91)=0,0,'TO HOP NLAN'!E91*'TS-PILE'!$E$78/SUMSQ('TS-PILE'!$E$72:$E$91))+IF(SUMSQ('TS-PILE'!$D$72:$D$91)=0,0,'TO HOP NLAN'!F91*'TS-PILE'!$D$78/SUMSQ('TS-PILE'!$D$72:$D$91))),IF('TS-PILE'!$B$79="",1E+99,'TO HOP NLAN'!D91/ncoc+IF(SUMSQ('TS-PILE'!$E$72:$E$91)=0,0,'TO HOP NLAN'!E91*'TS-PILE'!$E$79/SUMSQ('TS-PILE'!$E$72:$E$91))+IF(SUMSQ('TS-PILE'!$D$72:$D$91)=0,0,'TO HOP NLAN'!F91*'TS-PILE'!$D$79/SUMSQ('TS-PILE'!$D$72:$D$91))),IF('TS-PILE'!$B$80="",1E+99,'TO HOP NLAN'!D91/ncoc+IF(SUMSQ('TS-PILE'!$E$72:$E$91)=0,0,'TO HOP NLAN'!E91*'TS-PILE'!$E$80/SUMSQ('TS-PILE'!$E$72:$E$91))+IF(SUMSQ('TS-PILE'!$D$72:$D$91)=0,0,'TO HOP NLAN'!F91*'TS-PILE'!$D$80/SUMSQ('TS-PILE'!$D$72:$D$91))),IF('TS-PILE'!$B$81="",1E+99,'TO HOP NLAN'!D91/ncoc+IF(SUMSQ('TS-PILE'!$E$72:$E$91)=0,0,'TO HOP NLAN'!E91*'TS-PILE'!$E$81/SUMSQ('TS-PILE'!$E$72:$E$91))+IF(SUMSQ('TS-PILE'!$D$72:$D$91)=0,0,'TO HOP NLAN'!F91*'TS-PILE'!$D$81/SUMSQ('TS-PILE'!$D$72:$D$91))),IF('TS-PILE'!$B$82="",1E+99,'TO HOP NLAN'!D91/ncoc+IF(SUMSQ('TS-PILE'!$E$72:$E$91)=0,0,'TO HOP NLAN'!E91*'TS-PILE'!$E$82/SUMSQ('TS-PILE'!$E$72:$E$91))+IF(SUMSQ('TS-PILE'!$D$72:$D$91)=0,0,'TO HOP NLAN'!F91*'TS-PILE'!$D$82/SUMSQ('TS-PILE'!$D$72:$D$91))),IF('TS-PILE'!$B$83="",1E+99,'TO HOP NLAN'!D91/ncoc+IF(SUMSQ('TS-PILE'!$E$72:$E$91)=0,0,'TO HOP NLAN'!E91*'TS-PILE'!$E$83/SUMSQ('TS-PILE'!$E$72:$E$91))+IF(SUMSQ('TS-PILE'!$D$72:$D$91)=0,0,'TO HOP NLAN'!F91*'TS-PILE'!$D$83/SUMSQ('TS-PILE'!$D$72:$D$91))),IF('TS-PILE'!$B$84="",1E+99,'TO HOP NLAN'!D91/ncoc+IF(SUMSQ('TS-PILE'!$E$72:$E$91)=0,0,'TO HOP NLAN'!E91*'TS-PILE'!$E$84/SUMSQ('TS-PILE'!$E$72:$E$91))+IF(SUMSQ('TS-PILE'!$D$72:$D$91)=0,0,'TO HOP NLAN'!F91*'TS-PILE'!$D$84/SUMSQ('TS-PILE'!$D$72:$D$91))),IF('TS-PILE'!$B$85="",1E+99,'TO HOP NLAN'!D91/ncoc+IF(SUMSQ('TS-PILE'!$E$72:$E$91)=0,0,'TO HOP NLAN'!E91*'TS-PILE'!$E$85/SUMSQ('TS-PILE'!$E$72:$E$91))+IF(SUMSQ('TS-PILE'!$D$72:$D$91)=0,0,'TO HOP NLAN'!F91*'TS-PILE'!$D$85/SUMSQ('TS-PILE'!$D$72:$D$91))),IF('TS-PILE'!$B$86="",1E+99,'TO HOP NLAN'!D91/ncoc+IF(SUMSQ('TS-PILE'!$E$72:$E$91)=0,0,'TO HOP NLAN'!E91*'TS-PILE'!$E$86/SUMSQ('TS-PILE'!$E$72:$E$91))+IF(SUMSQ('TS-PILE'!$D$72:$D$91)=0,0,'TO HOP NLAN'!F91*'TS-PILE'!$D$86/SUMSQ('TS-PILE'!$D$72:$D$91))),IF('TS-PILE'!$B$87="",1E+99,'TO HOP NLAN'!D91/ncoc+IF(SUMSQ('TS-PILE'!$E$72:$E$91)=0,0,'TO HOP NLAN'!E91*'TS-PILE'!$E$87/SUMSQ('TS-PILE'!$E$72:$E$91))+IF(SUMSQ('TS-PILE'!$D$72:$D$91)=0,0,'TO HOP NLAN'!F91*'TS-PILE'!$D$87/SUMSQ('TS-PILE'!$D$72:$D$91))),IF('TS-PILE'!$B$88="",1E+99,'TO HOP NLAN'!D91/ncoc+IF(SUMSQ('TS-PILE'!$E$72:$E$91)=0,0,'TO HOP NLAN'!E91*'TS-PILE'!$E$88/SUMSQ('TS-PILE'!$E$72:$E$91))+IF(SUMSQ('TS-PILE'!$D$72:$D$91)=0,0,'TO HOP NLAN'!F91*'TS-PILE'!$D$88/SUMSQ('TS-PILE'!$D$72:$D$91))),IF('TS-PILE'!$B$89="",1E+99,'TO HOP NLAN'!D91/ncoc+IF(SUMSQ('TS-PILE'!$E$72:$E$91)=0,0,'TO HOP NLAN'!E91*'TS-PILE'!$E$89/SUMSQ('TS-PILE'!$E$72:$E$91))+IF(SUMSQ('TS-PILE'!$D$72:$D$91)=0,0,'TO HOP NLAN'!F91*'TS-PILE'!$D$89/SUMSQ('TS-PILE'!$D$72:$D$91))),IF('TS-PILE'!$B$90="",1E+99,'TO HOP NLAN'!D91/ncoc+IF(SUMSQ('TS-PILE'!$E$72:$E$91)=0,0,'TO HOP NLAN'!E91*'TS-PILE'!$E$90/SUMSQ('TS-PILE'!$E$72:$E$91))+IF(SUMSQ('TS-PILE'!$D$72:$D$91)=0,0,'TO HOP NLAN'!F91*'TS-PILE'!$D$90/SUMSQ('TS-PILE'!$D$72:$D$91))),IF('TS-PILE'!$B$91="",1E+99,'TO HOP NLAN'!D91/ncoc+IF(SUMSQ('TS-PILE'!$E$72:$E$91)=0,0,'TO HOP NLAN'!E91*'TS-PILE'!$E$91/SUMSQ('TS-PILE'!$E$72:$E$91))+IF(SUMSQ('TS-PILE'!$D$72:$D$91)=0,0,'TO HOP NLAN'!F91*'TS-PILE'!$D$91/SUMSQ('TS-PILE'!$D$72:$D$91)))))</f>
        <v>0</v>
      </c>
      <c r="E91" s="58">
        <f t="shared" si="4"/>
        <v>-9.9999999999999997E+98</v>
      </c>
      <c r="F91" s="58">
        <f t="shared" si="5"/>
        <v>9.9999999999999997E+98</v>
      </c>
      <c r="G91" s="58">
        <f t="shared" si="6"/>
        <v>-9.9999999999999997E+98</v>
      </c>
      <c r="H91" s="58">
        <f t="shared" si="7"/>
        <v>9.9999999999999997E+98</v>
      </c>
    </row>
    <row r="92" spans="1:8" x14ac:dyDescent="0.3">
      <c r="A92" s="42" t="str">
        <f>'TO HOP NLAN'!A92</f>
        <v/>
      </c>
      <c r="B92" s="42" t="str">
        <f>'TO HOP NLAN'!L92</f>
        <v>SERVICE</v>
      </c>
      <c r="C92" s="58">
        <f>IF(A92="",0,MAX(IF('TS-PILE'!$B$72="",-1E+99,'TO HOP NLAN'!D92/ncoc+IF(SUMSQ('TS-PILE'!$E$72:$E$91)=0,0,'TO HOP NLAN'!E92*'TS-PILE'!$E$72/SUMSQ('TS-PILE'!$E$72:$E$91))+IF(SUMSQ('TS-PILE'!$D$72:$D$91)=0,0,'TO HOP NLAN'!F92*'TS-PILE'!$D$72/SUMSQ('TS-PILE'!$D$72:$D$91))),IF('TS-PILE'!$B$73="",-1E+99,'TO HOP NLAN'!D92/ncoc+IF(SUMSQ('TS-PILE'!$E$72:$E$91)=0,0,'TO HOP NLAN'!E92*'TS-PILE'!$E$73/SUMSQ('TS-PILE'!$E$72:$E$91))+IF(SUMSQ('TS-PILE'!$D$72:$D$91)=0,0,'TO HOP NLAN'!F92*'TS-PILE'!$D$73/SUMSQ('TS-PILE'!$D$72:$D$91))),IF('TS-PILE'!$B$74="",-1E+99,'TO HOP NLAN'!D92/ncoc+IF(SUMSQ('TS-PILE'!$E$72:$E$91)=0,0,'TO HOP NLAN'!E92*'TS-PILE'!$E$74/SUMSQ('TS-PILE'!$E$72:$E$91))+IF(SUMSQ('TS-PILE'!$D$72:$D$91)=0,0,'TO HOP NLAN'!F92*'TS-PILE'!$D$74/SUMSQ('TS-PILE'!$D$72:$D$91))),IF('TS-PILE'!$B$75="",-1E+99,'TO HOP NLAN'!D92/ncoc+IF(SUMSQ('TS-PILE'!$E$72:$E$91)=0,0,'TO HOP NLAN'!E92*'TS-PILE'!$E$75/SUMSQ('TS-PILE'!$E$72:$E$91))+IF(SUMSQ('TS-PILE'!$D$72:$D$91)=0,0,'TO HOP NLAN'!F92*'TS-PILE'!$D$75/SUMSQ('TS-PILE'!$D$72:$D$91))),IF('TS-PILE'!$B$76="",-1E+99,'TO HOP NLAN'!D92/ncoc+IF(SUMSQ('TS-PILE'!$E$72:$E$91)=0,0,'TO HOP NLAN'!E92*'TS-PILE'!$E$76/SUMSQ('TS-PILE'!$E$72:$E$91))+IF(SUMSQ('TS-PILE'!$D$72:$D$91)=0,0,'TO HOP NLAN'!F92*'TS-PILE'!$D$76/SUMSQ('TS-PILE'!$D$72:$D$91))),IF('TS-PILE'!$B$77="",-1E+99,'TO HOP NLAN'!D92/ncoc+IF(SUMSQ('TS-PILE'!$E$72:$E$91)=0,0,'TO HOP NLAN'!E92*'TS-PILE'!$E$77/SUMSQ('TS-PILE'!$E$72:$E$91))+IF(SUMSQ('TS-PILE'!$D$72:$D$91)=0,0,'TO HOP NLAN'!F92*'TS-PILE'!$D$77/SUMSQ('TS-PILE'!$D$72:$D$91))),IF('TS-PILE'!$B$78="",-1E+99,'TO HOP NLAN'!D92/ncoc+IF(SUMSQ('TS-PILE'!$E$72:$E$91)=0,0,'TO HOP NLAN'!E92*'TS-PILE'!$E$78/SUMSQ('TS-PILE'!$E$72:$E$91))+IF(SUMSQ('TS-PILE'!$D$72:$D$91)=0,0,'TO HOP NLAN'!F92*'TS-PILE'!$D$78/SUMSQ('TS-PILE'!$D$72:$D$91))),IF('TS-PILE'!$B$79="",-1E+99,'TO HOP NLAN'!D92/ncoc+IF(SUMSQ('TS-PILE'!$E$72:$E$91)=0,0,'TO HOP NLAN'!E92*'TS-PILE'!$E$79/SUMSQ('TS-PILE'!$E$72:$E$91))+IF(SUMSQ('TS-PILE'!$D$72:$D$91)=0,0,'TO HOP NLAN'!F92*'TS-PILE'!$D$79/SUMSQ('TS-PILE'!$D$72:$D$91))),IF('TS-PILE'!$B$80="",-1E+99,'TO HOP NLAN'!D92/ncoc+IF(SUMSQ('TS-PILE'!$E$72:$E$91)=0,0,'TO HOP NLAN'!E92*'TS-PILE'!$E$80/SUMSQ('TS-PILE'!$E$72:$E$91))+IF(SUMSQ('TS-PILE'!$D$72:$D$91)=0,0,'TO HOP NLAN'!F92*'TS-PILE'!$D$80/SUMSQ('TS-PILE'!$D$72:$D$91))),IF('TS-PILE'!$B$81="",-1E+99,'TO HOP NLAN'!D92/ncoc+IF(SUMSQ('TS-PILE'!$E$72:$E$91)=0,0,'TO HOP NLAN'!E92*'TS-PILE'!$E$81/SUMSQ('TS-PILE'!$E$72:$E$91))+IF(SUMSQ('TS-PILE'!$D$72:$D$91)=0,0,'TO HOP NLAN'!F92*'TS-PILE'!$D$81/SUMSQ('TS-PILE'!$D$72:$D$91))),IF('TS-PILE'!$B$82="",-1E+99,'TO HOP NLAN'!D92/ncoc+IF(SUMSQ('TS-PILE'!$E$72:$E$91)=0,0,'TO HOP NLAN'!E92*'TS-PILE'!$E$82/SUMSQ('TS-PILE'!$E$72:$E$91))+IF(SUMSQ('TS-PILE'!$D$72:$D$91)=0,0,'TO HOP NLAN'!F92*'TS-PILE'!$D$82/SUMSQ('TS-PILE'!$D$72:$D$91))),IF('TS-PILE'!$B$83="",-1E+99,'TO HOP NLAN'!D92/ncoc+IF(SUMSQ('TS-PILE'!$E$72:$E$91)=0,0,'TO HOP NLAN'!E92*'TS-PILE'!$E$83/SUMSQ('TS-PILE'!$E$72:$E$91))+IF(SUMSQ('TS-PILE'!$D$72:$D$91)=0,0,'TO HOP NLAN'!F92*'TS-PILE'!$D$83/SUMSQ('TS-PILE'!$D$72:$D$91))),IF('TS-PILE'!$B$84="",-1E+99,'TO HOP NLAN'!D92/ncoc+IF(SUMSQ('TS-PILE'!$E$72:$E$91)=0,0,'TO HOP NLAN'!E92*'TS-PILE'!$E$84/SUMSQ('TS-PILE'!$E$72:$E$91))+IF(SUMSQ('TS-PILE'!$D$72:$D$91)=0,0,'TO HOP NLAN'!F92*'TS-PILE'!$D$84/SUMSQ('TS-PILE'!$D$72:$D$91))),IF('TS-PILE'!$B$85="",-1E+99,'TO HOP NLAN'!D92/ncoc+IF(SUMSQ('TS-PILE'!$E$72:$E$91)=0,0,'TO HOP NLAN'!E92*'TS-PILE'!$E$85/SUMSQ('TS-PILE'!$E$72:$E$91))+IF(SUMSQ('TS-PILE'!$D$72:$D$91)=0,0,'TO HOP NLAN'!F92*'TS-PILE'!$D$85/SUMSQ('TS-PILE'!$D$72:$D$91))),IF('TS-PILE'!$B$86="",-1E+99,'TO HOP NLAN'!D92/ncoc+IF(SUMSQ('TS-PILE'!$E$72:$E$91)=0,0,'TO HOP NLAN'!E92*'TS-PILE'!$E$86/SUMSQ('TS-PILE'!$E$72:$E$91))+IF(SUMSQ('TS-PILE'!$D$72:$D$91)=0,0,'TO HOP NLAN'!F92*'TS-PILE'!$D$86/SUMSQ('TS-PILE'!$D$72:$D$91))),IF('TS-PILE'!$B$87="",-1E+99,'TO HOP NLAN'!D92/ncoc+IF(SUMSQ('TS-PILE'!$E$72:$E$91)=0,0,'TO HOP NLAN'!E92*'TS-PILE'!$E$87/SUMSQ('TS-PILE'!$E$72:$E$91))+IF(SUMSQ('TS-PILE'!$D$72:$D$91)=0,0,'TO HOP NLAN'!F92*'TS-PILE'!$D$87/SUMSQ('TS-PILE'!$D$72:$D$91))),IF('TS-PILE'!$B$88="",-1E+99,'TO HOP NLAN'!D92/ncoc+IF(SUMSQ('TS-PILE'!$E$72:$E$91)=0,0,'TO HOP NLAN'!E92*'TS-PILE'!$E$88/SUMSQ('TS-PILE'!$E$72:$E$91))+IF(SUMSQ('TS-PILE'!$D$72:$D$91)=0,0,'TO HOP NLAN'!F92*'TS-PILE'!$D$88/SUMSQ('TS-PILE'!$D$72:$D$91))),IF('TS-PILE'!$B$89="",-1E+99,'TO HOP NLAN'!D92/ncoc+IF(SUMSQ('TS-PILE'!$E$72:$E$91)=0,0,'TO HOP NLAN'!E92*'TS-PILE'!$E$89/SUMSQ('TS-PILE'!$E$72:$E$91))+IF(SUMSQ('TS-PILE'!$D$72:$D$91)=0,0,'TO HOP NLAN'!F92*'TS-PILE'!$D$89/SUMSQ('TS-PILE'!$D$72:$D$91))),IF('TS-PILE'!$B$90="",-1E+99,'TO HOP NLAN'!D92/ncoc+IF(SUMSQ('TS-PILE'!$E$72:$E$91)=0,0,'TO HOP NLAN'!E92*'TS-PILE'!$E$90/SUMSQ('TS-PILE'!$E$72:$E$91))+IF(SUMSQ('TS-PILE'!$D$72:$D$91)=0,0,'TO HOP NLAN'!F92*'TS-PILE'!$D$90/SUMSQ('TS-PILE'!$D$72:$D$91))),IF('TS-PILE'!$B$91="",-1E+99,'TO HOP NLAN'!D92/ncoc+IF(SUMSQ('TS-PILE'!$E$72:$E$91)=0,0,'TO HOP NLAN'!E92*'TS-PILE'!$E$91/SUMSQ('TS-PILE'!$E$72:$E$91))+IF(SUMSQ('TS-PILE'!$D$72:$D$91)=0,0,'TO HOP NLAN'!F92*'TS-PILE'!$D$91/SUMSQ('TS-PILE'!$D$72:$D$91)))))</f>
        <v>0</v>
      </c>
      <c r="D92" s="58">
        <f>IF(A92="",0,MIN(IF('TS-PILE'!$B$72="",1E+99,'TO HOP NLAN'!D92/ncoc+IF(SUMSQ('TS-PILE'!$E$72:$E$91)=0,0,'TO HOP NLAN'!E92*'TS-PILE'!$E$72/SUMSQ('TS-PILE'!$E$72:$E$91))+IF(SUMSQ('TS-PILE'!$D$72:$D$91)=0,0,'TO HOP NLAN'!F92*'TS-PILE'!$D$72/SUMSQ('TS-PILE'!$D$72:$D$91))),IF('TS-PILE'!$B$73="",1E+99,'TO HOP NLAN'!D92/ncoc+IF(SUMSQ('TS-PILE'!$E$72:$E$91)=0,0,'TO HOP NLAN'!E92*'TS-PILE'!$E$73/SUMSQ('TS-PILE'!$E$72:$E$91))+IF(SUMSQ('TS-PILE'!$D$72:$D$91)=0,0,'TO HOP NLAN'!F92*'TS-PILE'!$D$73/SUMSQ('TS-PILE'!$D$72:$D$91))),IF('TS-PILE'!$B$74="",1E+99,'TO HOP NLAN'!D92/ncoc+IF(SUMSQ('TS-PILE'!$E$72:$E$91)=0,0,'TO HOP NLAN'!E92*'TS-PILE'!$E$74/SUMSQ('TS-PILE'!$E$72:$E$91))+IF(SUMSQ('TS-PILE'!$D$72:$D$91)=0,0,'TO HOP NLAN'!F92*'TS-PILE'!$D$74/SUMSQ('TS-PILE'!$D$72:$D$91))),IF('TS-PILE'!$B$75="",1E+99,'TO HOP NLAN'!D92/ncoc+IF(SUMSQ('TS-PILE'!$E$72:$E$91)=0,0,'TO HOP NLAN'!E92*'TS-PILE'!$E$75/SUMSQ('TS-PILE'!$E$72:$E$91))+IF(SUMSQ('TS-PILE'!$D$72:$D$91)=0,0,'TO HOP NLAN'!F92*'TS-PILE'!$D$75/SUMSQ('TS-PILE'!$D$72:$D$91))),IF('TS-PILE'!$B$76="",1E+99,'TO HOP NLAN'!D92/ncoc+IF(SUMSQ('TS-PILE'!$E$72:$E$91)=0,0,'TO HOP NLAN'!E92*'TS-PILE'!$E$76/SUMSQ('TS-PILE'!$E$72:$E$91))+IF(SUMSQ('TS-PILE'!$D$72:$D$91)=0,0,'TO HOP NLAN'!F92*'TS-PILE'!$D$76/SUMSQ('TS-PILE'!$D$72:$D$91))),IF('TS-PILE'!$B$77="",1E+99,'TO HOP NLAN'!D92/ncoc+IF(SUMSQ('TS-PILE'!$E$72:$E$91)=0,0,'TO HOP NLAN'!E92*'TS-PILE'!$E$77/SUMSQ('TS-PILE'!$E$72:$E$91))+IF(SUMSQ('TS-PILE'!$D$72:$D$91)=0,0,'TO HOP NLAN'!F92*'TS-PILE'!$D$77/SUMSQ('TS-PILE'!$D$72:$D$91))),IF('TS-PILE'!$B$78="",1E+99,'TO HOP NLAN'!D92/ncoc+IF(SUMSQ('TS-PILE'!$E$72:$E$91)=0,0,'TO HOP NLAN'!E92*'TS-PILE'!$E$78/SUMSQ('TS-PILE'!$E$72:$E$91))+IF(SUMSQ('TS-PILE'!$D$72:$D$91)=0,0,'TO HOP NLAN'!F92*'TS-PILE'!$D$78/SUMSQ('TS-PILE'!$D$72:$D$91))),IF('TS-PILE'!$B$79="",1E+99,'TO HOP NLAN'!D92/ncoc+IF(SUMSQ('TS-PILE'!$E$72:$E$91)=0,0,'TO HOP NLAN'!E92*'TS-PILE'!$E$79/SUMSQ('TS-PILE'!$E$72:$E$91))+IF(SUMSQ('TS-PILE'!$D$72:$D$91)=0,0,'TO HOP NLAN'!F92*'TS-PILE'!$D$79/SUMSQ('TS-PILE'!$D$72:$D$91))),IF('TS-PILE'!$B$80="",1E+99,'TO HOP NLAN'!D92/ncoc+IF(SUMSQ('TS-PILE'!$E$72:$E$91)=0,0,'TO HOP NLAN'!E92*'TS-PILE'!$E$80/SUMSQ('TS-PILE'!$E$72:$E$91))+IF(SUMSQ('TS-PILE'!$D$72:$D$91)=0,0,'TO HOP NLAN'!F92*'TS-PILE'!$D$80/SUMSQ('TS-PILE'!$D$72:$D$91))),IF('TS-PILE'!$B$81="",1E+99,'TO HOP NLAN'!D92/ncoc+IF(SUMSQ('TS-PILE'!$E$72:$E$91)=0,0,'TO HOP NLAN'!E92*'TS-PILE'!$E$81/SUMSQ('TS-PILE'!$E$72:$E$91))+IF(SUMSQ('TS-PILE'!$D$72:$D$91)=0,0,'TO HOP NLAN'!F92*'TS-PILE'!$D$81/SUMSQ('TS-PILE'!$D$72:$D$91))),IF('TS-PILE'!$B$82="",1E+99,'TO HOP NLAN'!D92/ncoc+IF(SUMSQ('TS-PILE'!$E$72:$E$91)=0,0,'TO HOP NLAN'!E92*'TS-PILE'!$E$82/SUMSQ('TS-PILE'!$E$72:$E$91))+IF(SUMSQ('TS-PILE'!$D$72:$D$91)=0,0,'TO HOP NLAN'!F92*'TS-PILE'!$D$82/SUMSQ('TS-PILE'!$D$72:$D$91))),IF('TS-PILE'!$B$83="",1E+99,'TO HOP NLAN'!D92/ncoc+IF(SUMSQ('TS-PILE'!$E$72:$E$91)=0,0,'TO HOP NLAN'!E92*'TS-PILE'!$E$83/SUMSQ('TS-PILE'!$E$72:$E$91))+IF(SUMSQ('TS-PILE'!$D$72:$D$91)=0,0,'TO HOP NLAN'!F92*'TS-PILE'!$D$83/SUMSQ('TS-PILE'!$D$72:$D$91))),IF('TS-PILE'!$B$84="",1E+99,'TO HOP NLAN'!D92/ncoc+IF(SUMSQ('TS-PILE'!$E$72:$E$91)=0,0,'TO HOP NLAN'!E92*'TS-PILE'!$E$84/SUMSQ('TS-PILE'!$E$72:$E$91))+IF(SUMSQ('TS-PILE'!$D$72:$D$91)=0,0,'TO HOP NLAN'!F92*'TS-PILE'!$D$84/SUMSQ('TS-PILE'!$D$72:$D$91))),IF('TS-PILE'!$B$85="",1E+99,'TO HOP NLAN'!D92/ncoc+IF(SUMSQ('TS-PILE'!$E$72:$E$91)=0,0,'TO HOP NLAN'!E92*'TS-PILE'!$E$85/SUMSQ('TS-PILE'!$E$72:$E$91))+IF(SUMSQ('TS-PILE'!$D$72:$D$91)=0,0,'TO HOP NLAN'!F92*'TS-PILE'!$D$85/SUMSQ('TS-PILE'!$D$72:$D$91))),IF('TS-PILE'!$B$86="",1E+99,'TO HOP NLAN'!D92/ncoc+IF(SUMSQ('TS-PILE'!$E$72:$E$91)=0,0,'TO HOP NLAN'!E92*'TS-PILE'!$E$86/SUMSQ('TS-PILE'!$E$72:$E$91))+IF(SUMSQ('TS-PILE'!$D$72:$D$91)=0,0,'TO HOP NLAN'!F92*'TS-PILE'!$D$86/SUMSQ('TS-PILE'!$D$72:$D$91))),IF('TS-PILE'!$B$87="",1E+99,'TO HOP NLAN'!D92/ncoc+IF(SUMSQ('TS-PILE'!$E$72:$E$91)=0,0,'TO HOP NLAN'!E92*'TS-PILE'!$E$87/SUMSQ('TS-PILE'!$E$72:$E$91))+IF(SUMSQ('TS-PILE'!$D$72:$D$91)=0,0,'TO HOP NLAN'!F92*'TS-PILE'!$D$87/SUMSQ('TS-PILE'!$D$72:$D$91))),IF('TS-PILE'!$B$88="",1E+99,'TO HOP NLAN'!D92/ncoc+IF(SUMSQ('TS-PILE'!$E$72:$E$91)=0,0,'TO HOP NLAN'!E92*'TS-PILE'!$E$88/SUMSQ('TS-PILE'!$E$72:$E$91))+IF(SUMSQ('TS-PILE'!$D$72:$D$91)=0,0,'TO HOP NLAN'!F92*'TS-PILE'!$D$88/SUMSQ('TS-PILE'!$D$72:$D$91))),IF('TS-PILE'!$B$89="",1E+99,'TO HOP NLAN'!D92/ncoc+IF(SUMSQ('TS-PILE'!$E$72:$E$91)=0,0,'TO HOP NLAN'!E92*'TS-PILE'!$E$89/SUMSQ('TS-PILE'!$E$72:$E$91))+IF(SUMSQ('TS-PILE'!$D$72:$D$91)=0,0,'TO HOP NLAN'!F92*'TS-PILE'!$D$89/SUMSQ('TS-PILE'!$D$72:$D$91))),IF('TS-PILE'!$B$90="",1E+99,'TO HOP NLAN'!D92/ncoc+IF(SUMSQ('TS-PILE'!$E$72:$E$91)=0,0,'TO HOP NLAN'!E92*'TS-PILE'!$E$90/SUMSQ('TS-PILE'!$E$72:$E$91))+IF(SUMSQ('TS-PILE'!$D$72:$D$91)=0,0,'TO HOP NLAN'!F92*'TS-PILE'!$D$90/SUMSQ('TS-PILE'!$D$72:$D$91))),IF('TS-PILE'!$B$91="",1E+99,'TO HOP NLAN'!D92/ncoc+IF(SUMSQ('TS-PILE'!$E$72:$E$91)=0,0,'TO HOP NLAN'!E92*'TS-PILE'!$E$91/SUMSQ('TS-PILE'!$E$72:$E$91))+IF(SUMSQ('TS-PILE'!$D$72:$D$91)=0,0,'TO HOP NLAN'!F92*'TS-PILE'!$D$91/SUMSQ('TS-PILE'!$D$72:$D$91)))))</f>
        <v>0</v>
      </c>
      <c r="E92" s="58">
        <f t="shared" si="4"/>
        <v>-9.9999999999999997E+98</v>
      </c>
      <c r="F92" s="58">
        <f t="shared" si="5"/>
        <v>9.9999999999999997E+98</v>
      </c>
      <c r="G92" s="58">
        <f t="shared" si="6"/>
        <v>-9.9999999999999997E+98</v>
      </c>
      <c r="H92" s="58">
        <f t="shared" si="7"/>
        <v>9.9999999999999997E+98</v>
      </c>
    </row>
    <row r="93" spans="1:8" x14ac:dyDescent="0.3">
      <c r="A93" s="42" t="str">
        <f>'TO HOP NLAN'!A93</f>
        <v/>
      </c>
      <c r="B93" s="42" t="str">
        <f>'TO HOP NLAN'!L93</f>
        <v>SERVICE</v>
      </c>
      <c r="C93" s="58">
        <f>IF(A93="",0,MAX(IF('TS-PILE'!$B$72="",-1E+99,'TO HOP NLAN'!D93/ncoc+IF(SUMSQ('TS-PILE'!$E$72:$E$91)=0,0,'TO HOP NLAN'!E93*'TS-PILE'!$E$72/SUMSQ('TS-PILE'!$E$72:$E$91))+IF(SUMSQ('TS-PILE'!$D$72:$D$91)=0,0,'TO HOP NLAN'!F93*'TS-PILE'!$D$72/SUMSQ('TS-PILE'!$D$72:$D$91))),IF('TS-PILE'!$B$73="",-1E+99,'TO HOP NLAN'!D93/ncoc+IF(SUMSQ('TS-PILE'!$E$72:$E$91)=0,0,'TO HOP NLAN'!E93*'TS-PILE'!$E$73/SUMSQ('TS-PILE'!$E$72:$E$91))+IF(SUMSQ('TS-PILE'!$D$72:$D$91)=0,0,'TO HOP NLAN'!F93*'TS-PILE'!$D$73/SUMSQ('TS-PILE'!$D$72:$D$91))),IF('TS-PILE'!$B$74="",-1E+99,'TO HOP NLAN'!D93/ncoc+IF(SUMSQ('TS-PILE'!$E$72:$E$91)=0,0,'TO HOP NLAN'!E93*'TS-PILE'!$E$74/SUMSQ('TS-PILE'!$E$72:$E$91))+IF(SUMSQ('TS-PILE'!$D$72:$D$91)=0,0,'TO HOP NLAN'!F93*'TS-PILE'!$D$74/SUMSQ('TS-PILE'!$D$72:$D$91))),IF('TS-PILE'!$B$75="",-1E+99,'TO HOP NLAN'!D93/ncoc+IF(SUMSQ('TS-PILE'!$E$72:$E$91)=0,0,'TO HOP NLAN'!E93*'TS-PILE'!$E$75/SUMSQ('TS-PILE'!$E$72:$E$91))+IF(SUMSQ('TS-PILE'!$D$72:$D$91)=0,0,'TO HOP NLAN'!F93*'TS-PILE'!$D$75/SUMSQ('TS-PILE'!$D$72:$D$91))),IF('TS-PILE'!$B$76="",-1E+99,'TO HOP NLAN'!D93/ncoc+IF(SUMSQ('TS-PILE'!$E$72:$E$91)=0,0,'TO HOP NLAN'!E93*'TS-PILE'!$E$76/SUMSQ('TS-PILE'!$E$72:$E$91))+IF(SUMSQ('TS-PILE'!$D$72:$D$91)=0,0,'TO HOP NLAN'!F93*'TS-PILE'!$D$76/SUMSQ('TS-PILE'!$D$72:$D$91))),IF('TS-PILE'!$B$77="",-1E+99,'TO HOP NLAN'!D93/ncoc+IF(SUMSQ('TS-PILE'!$E$72:$E$91)=0,0,'TO HOP NLAN'!E93*'TS-PILE'!$E$77/SUMSQ('TS-PILE'!$E$72:$E$91))+IF(SUMSQ('TS-PILE'!$D$72:$D$91)=0,0,'TO HOP NLAN'!F93*'TS-PILE'!$D$77/SUMSQ('TS-PILE'!$D$72:$D$91))),IF('TS-PILE'!$B$78="",-1E+99,'TO HOP NLAN'!D93/ncoc+IF(SUMSQ('TS-PILE'!$E$72:$E$91)=0,0,'TO HOP NLAN'!E93*'TS-PILE'!$E$78/SUMSQ('TS-PILE'!$E$72:$E$91))+IF(SUMSQ('TS-PILE'!$D$72:$D$91)=0,0,'TO HOP NLAN'!F93*'TS-PILE'!$D$78/SUMSQ('TS-PILE'!$D$72:$D$91))),IF('TS-PILE'!$B$79="",-1E+99,'TO HOP NLAN'!D93/ncoc+IF(SUMSQ('TS-PILE'!$E$72:$E$91)=0,0,'TO HOP NLAN'!E93*'TS-PILE'!$E$79/SUMSQ('TS-PILE'!$E$72:$E$91))+IF(SUMSQ('TS-PILE'!$D$72:$D$91)=0,0,'TO HOP NLAN'!F93*'TS-PILE'!$D$79/SUMSQ('TS-PILE'!$D$72:$D$91))),IF('TS-PILE'!$B$80="",-1E+99,'TO HOP NLAN'!D93/ncoc+IF(SUMSQ('TS-PILE'!$E$72:$E$91)=0,0,'TO HOP NLAN'!E93*'TS-PILE'!$E$80/SUMSQ('TS-PILE'!$E$72:$E$91))+IF(SUMSQ('TS-PILE'!$D$72:$D$91)=0,0,'TO HOP NLAN'!F93*'TS-PILE'!$D$80/SUMSQ('TS-PILE'!$D$72:$D$91))),IF('TS-PILE'!$B$81="",-1E+99,'TO HOP NLAN'!D93/ncoc+IF(SUMSQ('TS-PILE'!$E$72:$E$91)=0,0,'TO HOP NLAN'!E93*'TS-PILE'!$E$81/SUMSQ('TS-PILE'!$E$72:$E$91))+IF(SUMSQ('TS-PILE'!$D$72:$D$91)=0,0,'TO HOP NLAN'!F93*'TS-PILE'!$D$81/SUMSQ('TS-PILE'!$D$72:$D$91))),IF('TS-PILE'!$B$82="",-1E+99,'TO HOP NLAN'!D93/ncoc+IF(SUMSQ('TS-PILE'!$E$72:$E$91)=0,0,'TO HOP NLAN'!E93*'TS-PILE'!$E$82/SUMSQ('TS-PILE'!$E$72:$E$91))+IF(SUMSQ('TS-PILE'!$D$72:$D$91)=0,0,'TO HOP NLAN'!F93*'TS-PILE'!$D$82/SUMSQ('TS-PILE'!$D$72:$D$91))),IF('TS-PILE'!$B$83="",-1E+99,'TO HOP NLAN'!D93/ncoc+IF(SUMSQ('TS-PILE'!$E$72:$E$91)=0,0,'TO HOP NLAN'!E93*'TS-PILE'!$E$83/SUMSQ('TS-PILE'!$E$72:$E$91))+IF(SUMSQ('TS-PILE'!$D$72:$D$91)=0,0,'TO HOP NLAN'!F93*'TS-PILE'!$D$83/SUMSQ('TS-PILE'!$D$72:$D$91))),IF('TS-PILE'!$B$84="",-1E+99,'TO HOP NLAN'!D93/ncoc+IF(SUMSQ('TS-PILE'!$E$72:$E$91)=0,0,'TO HOP NLAN'!E93*'TS-PILE'!$E$84/SUMSQ('TS-PILE'!$E$72:$E$91))+IF(SUMSQ('TS-PILE'!$D$72:$D$91)=0,0,'TO HOP NLAN'!F93*'TS-PILE'!$D$84/SUMSQ('TS-PILE'!$D$72:$D$91))),IF('TS-PILE'!$B$85="",-1E+99,'TO HOP NLAN'!D93/ncoc+IF(SUMSQ('TS-PILE'!$E$72:$E$91)=0,0,'TO HOP NLAN'!E93*'TS-PILE'!$E$85/SUMSQ('TS-PILE'!$E$72:$E$91))+IF(SUMSQ('TS-PILE'!$D$72:$D$91)=0,0,'TO HOP NLAN'!F93*'TS-PILE'!$D$85/SUMSQ('TS-PILE'!$D$72:$D$91))),IF('TS-PILE'!$B$86="",-1E+99,'TO HOP NLAN'!D93/ncoc+IF(SUMSQ('TS-PILE'!$E$72:$E$91)=0,0,'TO HOP NLAN'!E93*'TS-PILE'!$E$86/SUMSQ('TS-PILE'!$E$72:$E$91))+IF(SUMSQ('TS-PILE'!$D$72:$D$91)=0,0,'TO HOP NLAN'!F93*'TS-PILE'!$D$86/SUMSQ('TS-PILE'!$D$72:$D$91))),IF('TS-PILE'!$B$87="",-1E+99,'TO HOP NLAN'!D93/ncoc+IF(SUMSQ('TS-PILE'!$E$72:$E$91)=0,0,'TO HOP NLAN'!E93*'TS-PILE'!$E$87/SUMSQ('TS-PILE'!$E$72:$E$91))+IF(SUMSQ('TS-PILE'!$D$72:$D$91)=0,0,'TO HOP NLAN'!F93*'TS-PILE'!$D$87/SUMSQ('TS-PILE'!$D$72:$D$91))),IF('TS-PILE'!$B$88="",-1E+99,'TO HOP NLAN'!D93/ncoc+IF(SUMSQ('TS-PILE'!$E$72:$E$91)=0,0,'TO HOP NLAN'!E93*'TS-PILE'!$E$88/SUMSQ('TS-PILE'!$E$72:$E$91))+IF(SUMSQ('TS-PILE'!$D$72:$D$91)=0,0,'TO HOP NLAN'!F93*'TS-PILE'!$D$88/SUMSQ('TS-PILE'!$D$72:$D$91))),IF('TS-PILE'!$B$89="",-1E+99,'TO HOP NLAN'!D93/ncoc+IF(SUMSQ('TS-PILE'!$E$72:$E$91)=0,0,'TO HOP NLAN'!E93*'TS-PILE'!$E$89/SUMSQ('TS-PILE'!$E$72:$E$91))+IF(SUMSQ('TS-PILE'!$D$72:$D$91)=0,0,'TO HOP NLAN'!F93*'TS-PILE'!$D$89/SUMSQ('TS-PILE'!$D$72:$D$91))),IF('TS-PILE'!$B$90="",-1E+99,'TO HOP NLAN'!D93/ncoc+IF(SUMSQ('TS-PILE'!$E$72:$E$91)=0,0,'TO HOP NLAN'!E93*'TS-PILE'!$E$90/SUMSQ('TS-PILE'!$E$72:$E$91))+IF(SUMSQ('TS-PILE'!$D$72:$D$91)=0,0,'TO HOP NLAN'!F93*'TS-PILE'!$D$90/SUMSQ('TS-PILE'!$D$72:$D$91))),IF('TS-PILE'!$B$91="",-1E+99,'TO HOP NLAN'!D93/ncoc+IF(SUMSQ('TS-PILE'!$E$72:$E$91)=0,0,'TO HOP NLAN'!E93*'TS-PILE'!$E$91/SUMSQ('TS-PILE'!$E$72:$E$91))+IF(SUMSQ('TS-PILE'!$D$72:$D$91)=0,0,'TO HOP NLAN'!F93*'TS-PILE'!$D$91/SUMSQ('TS-PILE'!$D$72:$D$91)))))</f>
        <v>0</v>
      </c>
      <c r="D93" s="58">
        <f>IF(A93="",0,MIN(IF('TS-PILE'!$B$72="",1E+99,'TO HOP NLAN'!D93/ncoc+IF(SUMSQ('TS-PILE'!$E$72:$E$91)=0,0,'TO HOP NLAN'!E93*'TS-PILE'!$E$72/SUMSQ('TS-PILE'!$E$72:$E$91))+IF(SUMSQ('TS-PILE'!$D$72:$D$91)=0,0,'TO HOP NLAN'!F93*'TS-PILE'!$D$72/SUMSQ('TS-PILE'!$D$72:$D$91))),IF('TS-PILE'!$B$73="",1E+99,'TO HOP NLAN'!D93/ncoc+IF(SUMSQ('TS-PILE'!$E$72:$E$91)=0,0,'TO HOP NLAN'!E93*'TS-PILE'!$E$73/SUMSQ('TS-PILE'!$E$72:$E$91))+IF(SUMSQ('TS-PILE'!$D$72:$D$91)=0,0,'TO HOP NLAN'!F93*'TS-PILE'!$D$73/SUMSQ('TS-PILE'!$D$72:$D$91))),IF('TS-PILE'!$B$74="",1E+99,'TO HOP NLAN'!D93/ncoc+IF(SUMSQ('TS-PILE'!$E$72:$E$91)=0,0,'TO HOP NLAN'!E93*'TS-PILE'!$E$74/SUMSQ('TS-PILE'!$E$72:$E$91))+IF(SUMSQ('TS-PILE'!$D$72:$D$91)=0,0,'TO HOP NLAN'!F93*'TS-PILE'!$D$74/SUMSQ('TS-PILE'!$D$72:$D$91))),IF('TS-PILE'!$B$75="",1E+99,'TO HOP NLAN'!D93/ncoc+IF(SUMSQ('TS-PILE'!$E$72:$E$91)=0,0,'TO HOP NLAN'!E93*'TS-PILE'!$E$75/SUMSQ('TS-PILE'!$E$72:$E$91))+IF(SUMSQ('TS-PILE'!$D$72:$D$91)=0,0,'TO HOP NLAN'!F93*'TS-PILE'!$D$75/SUMSQ('TS-PILE'!$D$72:$D$91))),IF('TS-PILE'!$B$76="",1E+99,'TO HOP NLAN'!D93/ncoc+IF(SUMSQ('TS-PILE'!$E$72:$E$91)=0,0,'TO HOP NLAN'!E93*'TS-PILE'!$E$76/SUMSQ('TS-PILE'!$E$72:$E$91))+IF(SUMSQ('TS-PILE'!$D$72:$D$91)=0,0,'TO HOP NLAN'!F93*'TS-PILE'!$D$76/SUMSQ('TS-PILE'!$D$72:$D$91))),IF('TS-PILE'!$B$77="",1E+99,'TO HOP NLAN'!D93/ncoc+IF(SUMSQ('TS-PILE'!$E$72:$E$91)=0,0,'TO HOP NLAN'!E93*'TS-PILE'!$E$77/SUMSQ('TS-PILE'!$E$72:$E$91))+IF(SUMSQ('TS-PILE'!$D$72:$D$91)=0,0,'TO HOP NLAN'!F93*'TS-PILE'!$D$77/SUMSQ('TS-PILE'!$D$72:$D$91))),IF('TS-PILE'!$B$78="",1E+99,'TO HOP NLAN'!D93/ncoc+IF(SUMSQ('TS-PILE'!$E$72:$E$91)=0,0,'TO HOP NLAN'!E93*'TS-PILE'!$E$78/SUMSQ('TS-PILE'!$E$72:$E$91))+IF(SUMSQ('TS-PILE'!$D$72:$D$91)=0,0,'TO HOP NLAN'!F93*'TS-PILE'!$D$78/SUMSQ('TS-PILE'!$D$72:$D$91))),IF('TS-PILE'!$B$79="",1E+99,'TO HOP NLAN'!D93/ncoc+IF(SUMSQ('TS-PILE'!$E$72:$E$91)=0,0,'TO HOP NLAN'!E93*'TS-PILE'!$E$79/SUMSQ('TS-PILE'!$E$72:$E$91))+IF(SUMSQ('TS-PILE'!$D$72:$D$91)=0,0,'TO HOP NLAN'!F93*'TS-PILE'!$D$79/SUMSQ('TS-PILE'!$D$72:$D$91))),IF('TS-PILE'!$B$80="",1E+99,'TO HOP NLAN'!D93/ncoc+IF(SUMSQ('TS-PILE'!$E$72:$E$91)=0,0,'TO HOP NLAN'!E93*'TS-PILE'!$E$80/SUMSQ('TS-PILE'!$E$72:$E$91))+IF(SUMSQ('TS-PILE'!$D$72:$D$91)=0,0,'TO HOP NLAN'!F93*'TS-PILE'!$D$80/SUMSQ('TS-PILE'!$D$72:$D$91))),IF('TS-PILE'!$B$81="",1E+99,'TO HOP NLAN'!D93/ncoc+IF(SUMSQ('TS-PILE'!$E$72:$E$91)=0,0,'TO HOP NLAN'!E93*'TS-PILE'!$E$81/SUMSQ('TS-PILE'!$E$72:$E$91))+IF(SUMSQ('TS-PILE'!$D$72:$D$91)=0,0,'TO HOP NLAN'!F93*'TS-PILE'!$D$81/SUMSQ('TS-PILE'!$D$72:$D$91))),IF('TS-PILE'!$B$82="",1E+99,'TO HOP NLAN'!D93/ncoc+IF(SUMSQ('TS-PILE'!$E$72:$E$91)=0,0,'TO HOP NLAN'!E93*'TS-PILE'!$E$82/SUMSQ('TS-PILE'!$E$72:$E$91))+IF(SUMSQ('TS-PILE'!$D$72:$D$91)=0,0,'TO HOP NLAN'!F93*'TS-PILE'!$D$82/SUMSQ('TS-PILE'!$D$72:$D$91))),IF('TS-PILE'!$B$83="",1E+99,'TO HOP NLAN'!D93/ncoc+IF(SUMSQ('TS-PILE'!$E$72:$E$91)=0,0,'TO HOP NLAN'!E93*'TS-PILE'!$E$83/SUMSQ('TS-PILE'!$E$72:$E$91))+IF(SUMSQ('TS-PILE'!$D$72:$D$91)=0,0,'TO HOP NLAN'!F93*'TS-PILE'!$D$83/SUMSQ('TS-PILE'!$D$72:$D$91))),IF('TS-PILE'!$B$84="",1E+99,'TO HOP NLAN'!D93/ncoc+IF(SUMSQ('TS-PILE'!$E$72:$E$91)=0,0,'TO HOP NLAN'!E93*'TS-PILE'!$E$84/SUMSQ('TS-PILE'!$E$72:$E$91))+IF(SUMSQ('TS-PILE'!$D$72:$D$91)=0,0,'TO HOP NLAN'!F93*'TS-PILE'!$D$84/SUMSQ('TS-PILE'!$D$72:$D$91))),IF('TS-PILE'!$B$85="",1E+99,'TO HOP NLAN'!D93/ncoc+IF(SUMSQ('TS-PILE'!$E$72:$E$91)=0,0,'TO HOP NLAN'!E93*'TS-PILE'!$E$85/SUMSQ('TS-PILE'!$E$72:$E$91))+IF(SUMSQ('TS-PILE'!$D$72:$D$91)=0,0,'TO HOP NLAN'!F93*'TS-PILE'!$D$85/SUMSQ('TS-PILE'!$D$72:$D$91))),IF('TS-PILE'!$B$86="",1E+99,'TO HOP NLAN'!D93/ncoc+IF(SUMSQ('TS-PILE'!$E$72:$E$91)=0,0,'TO HOP NLAN'!E93*'TS-PILE'!$E$86/SUMSQ('TS-PILE'!$E$72:$E$91))+IF(SUMSQ('TS-PILE'!$D$72:$D$91)=0,0,'TO HOP NLAN'!F93*'TS-PILE'!$D$86/SUMSQ('TS-PILE'!$D$72:$D$91))),IF('TS-PILE'!$B$87="",1E+99,'TO HOP NLAN'!D93/ncoc+IF(SUMSQ('TS-PILE'!$E$72:$E$91)=0,0,'TO HOP NLAN'!E93*'TS-PILE'!$E$87/SUMSQ('TS-PILE'!$E$72:$E$91))+IF(SUMSQ('TS-PILE'!$D$72:$D$91)=0,0,'TO HOP NLAN'!F93*'TS-PILE'!$D$87/SUMSQ('TS-PILE'!$D$72:$D$91))),IF('TS-PILE'!$B$88="",1E+99,'TO HOP NLAN'!D93/ncoc+IF(SUMSQ('TS-PILE'!$E$72:$E$91)=0,0,'TO HOP NLAN'!E93*'TS-PILE'!$E$88/SUMSQ('TS-PILE'!$E$72:$E$91))+IF(SUMSQ('TS-PILE'!$D$72:$D$91)=0,0,'TO HOP NLAN'!F93*'TS-PILE'!$D$88/SUMSQ('TS-PILE'!$D$72:$D$91))),IF('TS-PILE'!$B$89="",1E+99,'TO HOP NLAN'!D93/ncoc+IF(SUMSQ('TS-PILE'!$E$72:$E$91)=0,0,'TO HOP NLAN'!E93*'TS-PILE'!$E$89/SUMSQ('TS-PILE'!$E$72:$E$91))+IF(SUMSQ('TS-PILE'!$D$72:$D$91)=0,0,'TO HOP NLAN'!F93*'TS-PILE'!$D$89/SUMSQ('TS-PILE'!$D$72:$D$91))),IF('TS-PILE'!$B$90="",1E+99,'TO HOP NLAN'!D93/ncoc+IF(SUMSQ('TS-PILE'!$E$72:$E$91)=0,0,'TO HOP NLAN'!E93*'TS-PILE'!$E$90/SUMSQ('TS-PILE'!$E$72:$E$91))+IF(SUMSQ('TS-PILE'!$D$72:$D$91)=0,0,'TO HOP NLAN'!F93*'TS-PILE'!$D$90/SUMSQ('TS-PILE'!$D$72:$D$91))),IF('TS-PILE'!$B$91="",1E+99,'TO HOP NLAN'!D93/ncoc+IF(SUMSQ('TS-PILE'!$E$72:$E$91)=0,0,'TO HOP NLAN'!E93*'TS-PILE'!$E$91/SUMSQ('TS-PILE'!$E$72:$E$91))+IF(SUMSQ('TS-PILE'!$D$72:$D$91)=0,0,'TO HOP NLAN'!F93*'TS-PILE'!$D$91/SUMSQ('TS-PILE'!$D$72:$D$91)))))</f>
        <v>0</v>
      </c>
      <c r="E93" s="58">
        <f t="shared" si="4"/>
        <v>-9.9999999999999997E+98</v>
      </c>
      <c r="F93" s="58">
        <f t="shared" si="5"/>
        <v>9.9999999999999997E+98</v>
      </c>
      <c r="G93" s="58">
        <f t="shared" si="6"/>
        <v>-9.9999999999999997E+98</v>
      </c>
      <c r="H93" s="58">
        <f t="shared" si="7"/>
        <v>9.9999999999999997E+98</v>
      </c>
    </row>
    <row r="94" spans="1:8" x14ac:dyDescent="0.3">
      <c r="A94" s="42" t="str">
        <f>'TO HOP NLAN'!A94</f>
        <v/>
      </c>
      <c r="B94" s="42" t="str">
        <f>'TO HOP NLAN'!L94</f>
        <v>SERVICE</v>
      </c>
      <c r="C94" s="58">
        <f>IF(A94="",0,MAX(IF('TS-PILE'!$B$72="",-1E+99,'TO HOP NLAN'!D94/ncoc+IF(SUMSQ('TS-PILE'!$E$72:$E$91)=0,0,'TO HOP NLAN'!E94*'TS-PILE'!$E$72/SUMSQ('TS-PILE'!$E$72:$E$91))+IF(SUMSQ('TS-PILE'!$D$72:$D$91)=0,0,'TO HOP NLAN'!F94*'TS-PILE'!$D$72/SUMSQ('TS-PILE'!$D$72:$D$91))),IF('TS-PILE'!$B$73="",-1E+99,'TO HOP NLAN'!D94/ncoc+IF(SUMSQ('TS-PILE'!$E$72:$E$91)=0,0,'TO HOP NLAN'!E94*'TS-PILE'!$E$73/SUMSQ('TS-PILE'!$E$72:$E$91))+IF(SUMSQ('TS-PILE'!$D$72:$D$91)=0,0,'TO HOP NLAN'!F94*'TS-PILE'!$D$73/SUMSQ('TS-PILE'!$D$72:$D$91))),IF('TS-PILE'!$B$74="",-1E+99,'TO HOP NLAN'!D94/ncoc+IF(SUMSQ('TS-PILE'!$E$72:$E$91)=0,0,'TO HOP NLAN'!E94*'TS-PILE'!$E$74/SUMSQ('TS-PILE'!$E$72:$E$91))+IF(SUMSQ('TS-PILE'!$D$72:$D$91)=0,0,'TO HOP NLAN'!F94*'TS-PILE'!$D$74/SUMSQ('TS-PILE'!$D$72:$D$91))),IF('TS-PILE'!$B$75="",-1E+99,'TO HOP NLAN'!D94/ncoc+IF(SUMSQ('TS-PILE'!$E$72:$E$91)=0,0,'TO HOP NLAN'!E94*'TS-PILE'!$E$75/SUMSQ('TS-PILE'!$E$72:$E$91))+IF(SUMSQ('TS-PILE'!$D$72:$D$91)=0,0,'TO HOP NLAN'!F94*'TS-PILE'!$D$75/SUMSQ('TS-PILE'!$D$72:$D$91))),IF('TS-PILE'!$B$76="",-1E+99,'TO HOP NLAN'!D94/ncoc+IF(SUMSQ('TS-PILE'!$E$72:$E$91)=0,0,'TO HOP NLAN'!E94*'TS-PILE'!$E$76/SUMSQ('TS-PILE'!$E$72:$E$91))+IF(SUMSQ('TS-PILE'!$D$72:$D$91)=0,0,'TO HOP NLAN'!F94*'TS-PILE'!$D$76/SUMSQ('TS-PILE'!$D$72:$D$91))),IF('TS-PILE'!$B$77="",-1E+99,'TO HOP NLAN'!D94/ncoc+IF(SUMSQ('TS-PILE'!$E$72:$E$91)=0,0,'TO HOP NLAN'!E94*'TS-PILE'!$E$77/SUMSQ('TS-PILE'!$E$72:$E$91))+IF(SUMSQ('TS-PILE'!$D$72:$D$91)=0,0,'TO HOP NLAN'!F94*'TS-PILE'!$D$77/SUMSQ('TS-PILE'!$D$72:$D$91))),IF('TS-PILE'!$B$78="",-1E+99,'TO HOP NLAN'!D94/ncoc+IF(SUMSQ('TS-PILE'!$E$72:$E$91)=0,0,'TO HOP NLAN'!E94*'TS-PILE'!$E$78/SUMSQ('TS-PILE'!$E$72:$E$91))+IF(SUMSQ('TS-PILE'!$D$72:$D$91)=0,0,'TO HOP NLAN'!F94*'TS-PILE'!$D$78/SUMSQ('TS-PILE'!$D$72:$D$91))),IF('TS-PILE'!$B$79="",-1E+99,'TO HOP NLAN'!D94/ncoc+IF(SUMSQ('TS-PILE'!$E$72:$E$91)=0,0,'TO HOP NLAN'!E94*'TS-PILE'!$E$79/SUMSQ('TS-PILE'!$E$72:$E$91))+IF(SUMSQ('TS-PILE'!$D$72:$D$91)=0,0,'TO HOP NLAN'!F94*'TS-PILE'!$D$79/SUMSQ('TS-PILE'!$D$72:$D$91))),IF('TS-PILE'!$B$80="",-1E+99,'TO HOP NLAN'!D94/ncoc+IF(SUMSQ('TS-PILE'!$E$72:$E$91)=0,0,'TO HOP NLAN'!E94*'TS-PILE'!$E$80/SUMSQ('TS-PILE'!$E$72:$E$91))+IF(SUMSQ('TS-PILE'!$D$72:$D$91)=0,0,'TO HOP NLAN'!F94*'TS-PILE'!$D$80/SUMSQ('TS-PILE'!$D$72:$D$91))),IF('TS-PILE'!$B$81="",-1E+99,'TO HOP NLAN'!D94/ncoc+IF(SUMSQ('TS-PILE'!$E$72:$E$91)=0,0,'TO HOP NLAN'!E94*'TS-PILE'!$E$81/SUMSQ('TS-PILE'!$E$72:$E$91))+IF(SUMSQ('TS-PILE'!$D$72:$D$91)=0,0,'TO HOP NLAN'!F94*'TS-PILE'!$D$81/SUMSQ('TS-PILE'!$D$72:$D$91))),IF('TS-PILE'!$B$82="",-1E+99,'TO HOP NLAN'!D94/ncoc+IF(SUMSQ('TS-PILE'!$E$72:$E$91)=0,0,'TO HOP NLAN'!E94*'TS-PILE'!$E$82/SUMSQ('TS-PILE'!$E$72:$E$91))+IF(SUMSQ('TS-PILE'!$D$72:$D$91)=0,0,'TO HOP NLAN'!F94*'TS-PILE'!$D$82/SUMSQ('TS-PILE'!$D$72:$D$91))),IF('TS-PILE'!$B$83="",-1E+99,'TO HOP NLAN'!D94/ncoc+IF(SUMSQ('TS-PILE'!$E$72:$E$91)=0,0,'TO HOP NLAN'!E94*'TS-PILE'!$E$83/SUMSQ('TS-PILE'!$E$72:$E$91))+IF(SUMSQ('TS-PILE'!$D$72:$D$91)=0,0,'TO HOP NLAN'!F94*'TS-PILE'!$D$83/SUMSQ('TS-PILE'!$D$72:$D$91))),IF('TS-PILE'!$B$84="",-1E+99,'TO HOP NLAN'!D94/ncoc+IF(SUMSQ('TS-PILE'!$E$72:$E$91)=0,0,'TO HOP NLAN'!E94*'TS-PILE'!$E$84/SUMSQ('TS-PILE'!$E$72:$E$91))+IF(SUMSQ('TS-PILE'!$D$72:$D$91)=0,0,'TO HOP NLAN'!F94*'TS-PILE'!$D$84/SUMSQ('TS-PILE'!$D$72:$D$91))),IF('TS-PILE'!$B$85="",-1E+99,'TO HOP NLAN'!D94/ncoc+IF(SUMSQ('TS-PILE'!$E$72:$E$91)=0,0,'TO HOP NLAN'!E94*'TS-PILE'!$E$85/SUMSQ('TS-PILE'!$E$72:$E$91))+IF(SUMSQ('TS-PILE'!$D$72:$D$91)=0,0,'TO HOP NLAN'!F94*'TS-PILE'!$D$85/SUMSQ('TS-PILE'!$D$72:$D$91))),IF('TS-PILE'!$B$86="",-1E+99,'TO HOP NLAN'!D94/ncoc+IF(SUMSQ('TS-PILE'!$E$72:$E$91)=0,0,'TO HOP NLAN'!E94*'TS-PILE'!$E$86/SUMSQ('TS-PILE'!$E$72:$E$91))+IF(SUMSQ('TS-PILE'!$D$72:$D$91)=0,0,'TO HOP NLAN'!F94*'TS-PILE'!$D$86/SUMSQ('TS-PILE'!$D$72:$D$91))),IF('TS-PILE'!$B$87="",-1E+99,'TO HOP NLAN'!D94/ncoc+IF(SUMSQ('TS-PILE'!$E$72:$E$91)=0,0,'TO HOP NLAN'!E94*'TS-PILE'!$E$87/SUMSQ('TS-PILE'!$E$72:$E$91))+IF(SUMSQ('TS-PILE'!$D$72:$D$91)=0,0,'TO HOP NLAN'!F94*'TS-PILE'!$D$87/SUMSQ('TS-PILE'!$D$72:$D$91))),IF('TS-PILE'!$B$88="",-1E+99,'TO HOP NLAN'!D94/ncoc+IF(SUMSQ('TS-PILE'!$E$72:$E$91)=0,0,'TO HOP NLAN'!E94*'TS-PILE'!$E$88/SUMSQ('TS-PILE'!$E$72:$E$91))+IF(SUMSQ('TS-PILE'!$D$72:$D$91)=0,0,'TO HOP NLAN'!F94*'TS-PILE'!$D$88/SUMSQ('TS-PILE'!$D$72:$D$91))),IF('TS-PILE'!$B$89="",-1E+99,'TO HOP NLAN'!D94/ncoc+IF(SUMSQ('TS-PILE'!$E$72:$E$91)=0,0,'TO HOP NLAN'!E94*'TS-PILE'!$E$89/SUMSQ('TS-PILE'!$E$72:$E$91))+IF(SUMSQ('TS-PILE'!$D$72:$D$91)=0,0,'TO HOP NLAN'!F94*'TS-PILE'!$D$89/SUMSQ('TS-PILE'!$D$72:$D$91))),IF('TS-PILE'!$B$90="",-1E+99,'TO HOP NLAN'!D94/ncoc+IF(SUMSQ('TS-PILE'!$E$72:$E$91)=0,0,'TO HOP NLAN'!E94*'TS-PILE'!$E$90/SUMSQ('TS-PILE'!$E$72:$E$91))+IF(SUMSQ('TS-PILE'!$D$72:$D$91)=0,0,'TO HOP NLAN'!F94*'TS-PILE'!$D$90/SUMSQ('TS-PILE'!$D$72:$D$91))),IF('TS-PILE'!$B$91="",-1E+99,'TO HOP NLAN'!D94/ncoc+IF(SUMSQ('TS-PILE'!$E$72:$E$91)=0,0,'TO HOP NLAN'!E94*'TS-PILE'!$E$91/SUMSQ('TS-PILE'!$E$72:$E$91))+IF(SUMSQ('TS-PILE'!$D$72:$D$91)=0,0,'TO HOP NLAN'!F94*'TS-PILE'!$D$91/SUMSQ('TS-PILE'!$D$72:$D$91)))))</f>
        <v>0</v>
      </c>
      <c r="D94" s="58">
        <f>IF(A94="",0,MIN(IF('TS-PILE'!$B$72="",1E+99,'TO HOP NLAN'!D94/ncoc+IF(SUMSQ('TS-PILE'!$E$72:$E$91)=0,0,'TO HOP NLAN'!E94*'TS-PILE'!$E$72/SUMSQ('TS-PILE'!$E$72:$E$91))+IF(SUMSQ('TS-PILE'!$D$72:$D$91)=0,0,'TO HOP NLAN'!F94*'TS-PILE'!$D$72/SUMSQ('TS-PILE'!$D$72:$D$91))),IF('TS-PILE'!$B$73="",1E+99,'TO HOP NLAN'!D94/ncoc+IF(SUMSQ('TS-PILE'!$E$72:$E$91)=0,0,'TO HOP NLAN'!E94*'TS-PILE'!$E$73/SUMSQ('TS-PILE'!$E$72:$E$91))+IF(SUMSQ('TS-PILE'!$D$72:$D$91)=0,0,'TO HOP NLAN'!F94*'TS-PILE'!$D$73/SUMSQ('TS-PILE'!$D$72:$D$91))),IF('TS-PILE'!$B$74="",1E+99,'TO HOP NLAN'!D94/ncoc+IF(SUMSQ('TS-PILE'!$E$72:$E$91)=0,0,'TO HOP NLAN'!E94*'TS-PILE'!$E$74/SUMSQ('TS-PILE'!$E$72:$E$91))+IF(SUMSQ('TS-PILE'!$D$72:$D$91)=0,0,'TO HOP NLAN'!F94*'TS-PILE'!$D$74/SUMSQ('TS-PILE'!$D$72:$D$91))),IF('TS-PILE'!$B$75="",1E+99,'TO HOP NLAN'!D94/ncoc+IF(SUMSQ('TS-PILE'!$E$72:$E$91)=0,0,'TO HOP NLAN'!E94*'TS-PILE'!$E$75/SUMSQ('TS-PILE'!$E$72:$E$91))+IF(SUMSQ('TS-PILE'!$D$72:$D$91)=0,0,'TO HOP NLAN'!F94*'TS-PILE'!$D$75/SUMSQ('TS-PILE'!$D$72:$D$91))),IF('TS-PILE'!$B$76="",1E+99,'TO HOP NLAN'!D94/ncoc+IF(SUMSQ('TS-PILE'!$E$72:$E$91)=0,0,'TO HOP NLAN'!E94*'TS-PILE'!$E$76/SUMSQ('TS-PILE'!$E$72:$E$91))+IF(SUMSQ('TS-PILE'!$D$72:$D$91)=0,0,'TO HOP NLAN'!F94*'TS-PILE'!$D$76/SUMSQ('TS-PILE'!$D$72:$D$91))),IF('TS-PILE'!$B$77="",1E+99,'TO HOP NLAN'!D94/ncoc+IF(SUMSQ('TS-PILE'!$E$72:$E$91)=0,0,'TO HOP NLAN'!E94*'TS-PILE'!$E$77/SUMSQ('TS-PILE'!$E$72:$E$91))+IF(SUMSQ('TS-PILE'!$D$72:$D$91)=0,0,'TO HOP NLAN'!F94*'TS-PILE'!$D$77/SUMSQ('TS-PILE'!$D$72:$D$91))),IF('TS-PILE'!$B$78="",1E+99,'TO HOP NLAN'!D94/ncoc+IF(SUMSQ('TS-PILE'!$E$72:$E$91)=0,0,'TO HOP NLAN'!E94*'TS-PILE'!$E$78/SUMSQ('TS-PILE'!$E$72:$E$91))+IF(SUMSQ('TS-PILE'!$D$72:$D$91)=0,0,'TO HOP NLAN'!F94*'TS-PILE'!$D$78/SUMSQ('TS-PILE'!$D$72:$D$91))),IF('TS-PILE'!$B$79="",1E+99,'TO HOP NLAN'!D94/ncoc+IF(SUMSQ('TS-PILE'!$E$72:$E$91)=0,0,'TO HOP NLAN'!E94*'TS-PILE'!$E$79/SUMSQ('TS-PILE'!$E$72:$E$91))+IF(SUMSQ('TS-PILE'!$D$72:$D$91)=0,0,'TO HOP NLAN'!F94*'TS-PILE'!$D$79/SUMSQ('TS-PILE'!$D$72:$D$91))),IF('TS-PILE'!$B$80="",1E+99,'TO HOP NLAN'!D94/ncoc+IF(SUMSQ('TS-PILE'!$E$72:$E$91)=0,0,'TO HOP NLAN'!E94*'TS-PILE'!$E$80/SUMSQ('TS-PILE'!$E$72:$E$91))+IF(SUMSQ('TS-PILE'!$D$72:$D$91)=0,0,'TO HOP NLAN'!F94*'TS-PILE'!$D$80/SUMSQ('TS-PILE'!$D$72:$D$91))),IF('TS-PILE'!$B$81="",1E+99,'TO HOP NLAN'!D94/ncoc+IF(SUMSQ('TS-PILE'!$E$72:$E$91)=0,0,'TO HOP NLAN'!E94*'TS-PILE'!$E$81/SUMSQ('TS-PILE'!$E$72:$E$91))+IF(SUMSQ('TS-PILE'!$D$72:$D$91)=0,0,'TO HOP NLAN'!F94*'TS-PILE'!$D$81/SUMSQ('TS-PILE'!$D$72:$D$91))),IF('TS-PILE'!$B$82="",1E+99,'TO HOP NLAN'!D94/ncoc+IF(SUMSQ('TS-PILE'!$E$72:$E$91)=0,0,'TO HOP NLAN'!E94*'TS-PILE'!$E$82/SUMSQ('TS-PILE'!$E$72:$E$91))+IF(SUMSQ('TS-PILE'!$D$72:$D$91)=0,0,'TO HOP NLAN'!F94*'TS-PILE'!$D$82/SUMSQ('TS-PILE'!$D$72:$D$91))),IF('TS-PILE'!$B$83="",1E+99,'TO HOP NLAN'!D94/ncoc+IF(SUMSQ('TS-PILE'!$E$72:$E$91)=0,0,'TO HOP NLAN'!E94*'TS-PILE'!$E$83/SUMSQ('TS-PILE'!$E$72:$E$91))+IF(SUMSQ('TS-PILE'!$D$72:$D$91)=0,0,'TO HOP NLAN'!F94*'TS-PILE'!$D$83/SUMSQ('TS-PILE'!$D$72:$D$91))),IF('TS-PILE'!$B$84="",1E+99,'TO HOP NLAN'!D94/ncoc+IF(SUMSQ('TS-PILE'!$E$72:$E$91)=0,0,'TO HOP NLAN'!E94*'TS-PILE'!$E$84/SUMSQ('TS-PILE'!$E$72:$E$91))+IF(SUMSQ('TS-PILE'!$D$72:$D$91)=0,0,'TO HOP NLAN'!F94*'TS-PILE'!$D$84/SUMSQ('TS-PILE'!$D$72:$D$91))),IF('TS-PILE'!$B$85="",1E+99,'TO HOP NLAN'!D94/ncoc+IF(SUMSQ('TS-PILE'!$E$72:$E$91)=0,0,'TO HOP NLAN'!E94*'TS-PILE'!$E$85/SUMSQ('TS-PILE'!$E$72:$E$91))+IF(SUMSQ('TS-PILE'!$D$72:$D$91)=0,0,'TO HOP NLAN'!F94*'TS-PILE'!$D$85/SUMSQ('TS-PILE'!$D$72:$D$91))),IF('TS-PILE'!$B$86="",1E+99,'TO HOP NLAN'!D94/ncoc+IF(SUMSQ('TS-PILE'!$E$72:$E$91)=0,0,'TO HOP NLAN'!E94*'TS-PILE'!$E$86/SUMSQ('TS-PILE'!$E$72:$E$91))+IF(SUMSQ('TS-PILE'!$D$72:$D$91)=0,0,'TO HOP NLAN'!F94*'TS-PILE'!$D$86/SUMSQ('TS-PILE'!$D$72:$D$91))),IF('TS-PILE'!$B$87="",1E+99,'TO HOP NLAN'!D94/ncoc+IF(SUMSQ('TS-PILE'!$E$72:$E$91)=0,0,'TO HOP NLAN'!E94*'TS-PILE'!$E$87/SUMSQ('TS-PILE'!$E$72:$E$91))+IF(SUMSQ('TS-PILE'!$D$72:$D$91)=0,0,'TO HOP NLAN'!F94*'TS-PILE'!$D$87/SUMSQ('TS-PILE'!$D$72:$D$91))),IF('TS-PILE'!$B$88="",1E+99,'TO HOP NLAN'!D94/ncoc+IF(SUMSQ('TS-PILE'!$E$72:$E$91)=0,0,'TO HOP NLAN'!E94*'TS-PILE'!$E$88/SUMSQ('TS-PILE'!$E$72:$E$91))+IF(SUMSQ('TS-PILE'!$D$72:$D$91)=0,0,'TO HOP NLAN'!F94*'TS-PILE'!$D$88/SUMSQ('TS-PILE'!$D$72:$D$91))),IF('TS-PILE'!$B$89="",1E+99,'TO HOP NLAN'!D94/ncoc+IF(SUMSQ('TS-PILE'!$E$72:$E$91)=0,0,'TO HOP NLAN'!E94*'TS-PILE'!$E$89/SUMSQ('TS-PILE'!$E$72:$E$91))+IF(SUMSQ('TS-PILE'!$D$72:$D$91)=0,0,'TO HOP NLAN'!F94*'TS-PILE'!$D$89/SUMSQ('TS-PILE'!$D$72:$D$91))),IF('TS-PILE'!$B$90="",1E+99,'TO HOP NLAN'!D94/ncoc+IF(SUMSQ('TS-PILE'!$E$72:$E$91)=0,0,'TO HOP NLAN'!E94*'TS-PILE'!$E$90/SUMSQ('TS-PILE'!$E$72:$E$91))+IF(SUMSQ('TS-PILE'!$D$72:$D$91)=0,0,'TO HOP NLAN'!F94*'TS-PILE'!$D$90/SUMSQ('TS-PILE'!$D$72:$D$91))),IF('TS-PILE'!$B$91="",1E+99,'TO HOP NLAN'!D94/ncoc+IF(SUMSQ('TS-PILE'!$E$72:$E$91)=0,0,'TO HOP NLAN'!E94*'TS-PILE'!$E$91/SUMSQ('TS-PILE'!$E$72:$E$91))+IF(SUMSQ('TS-PILE'!$D$72:$D$91)=0,0,'TO HOP NLAN'!F94*'TS-PILE'!$D$91/SUMSQ('TS-PILE'!$D$72:$D$91)))))</f>
        <v>0</v>
      </c>
      <c r="E94" s="58">
        <f t="shared" si="4"/>
        <v>-9.9999999999999997E+98</v>
      </c>
      <c r="F94" s="58">
        <f t="shared" si="5"/>
        <v>9.9999999999999997E+98</v>
      </c>
      <c r="G94" s="58">
        <f t="shared" si="6"/>
        <v>-9.9999999999999997E+98</v>
      </c>
      <c r="H94" s="58">
        <f t="shared" si="7"/>
        <v>9.9999999999999997E+98</v>
      </c>
    </row>
    <row r="95" spans="1:8" x14ac:dyDescent="0.3">
      <c r="A95" s="42" t="str">
        <f>'TO HOP NLAN'!A95</f>
        <v/>
      </c>
      <c r="B95" s="42" t="str">
        <f>'TO HOP NLAN'!L95</f>
        <v>SERVICE</v>
      </c>
      <c r="C95" s="58">
        <f>IF(A95="",0,MAX(IF('TS-PILE'!$B$72="",-1E+99,'TO HOP NLAN'!D95/ncoc+IF(SUMSQ('TS-PILE'!$E$72:$E$91)=0,0,'TO HOP NLAN'!E95*'TS-PILE'!$E$72/SUMSQ('TS-PILE'!$E$72:$E$91))+IF(SUMSQ('TS-PILE'!$D$72:$D$91)=0,0,'TO HOP NLAN'!F95*'TS-PILE'!$D$72/SUMSQ('TS-PILE'!$D$72:$D$91))),IF('TS-PILE'!$B$73="",-1E+99,'TO HOP NLAN'!D95/ncoc+IF(SUMSQ('TS-PILE'!$E$72:$E$91)=0,0,'TO HOP NLAN'!E95*'TS-PILE'!$E$73/SUMSQ('TS-PILE'!$E$72:$E$91))+IF(SUMSQ('TS-PILE'!$D$72:$D$91)=0,0,'TO HOP NLAN'!F95*'TS-PILE'!$D$73/SUMSQ('TS-PILE'!$D$72:$D$91))),IF('TS-PILE'!$B$74="",-1E+99,'TO HOP NLAN'!D95/ncoc+IF(SUMSQ('TS-PILE'!$E$72:$E$91)=0,0,'TO HOP NLAN'!E95*'TS-PILE'!$E$74/SUMSQ('TS-PILE'!$E$72:$E$91))+IF(SUMSQ('TS-PILE'!$D$72:$D$91)=0,0,'TO HOP NLAN'!F95*'TS-PILE'!$D$74/SUMSQ('TS-PILE'!$D$72:$D$91))),IF('TS-PILE'!$B$75="",-1E+99,'TO HOP NLAN'!D95/ncoc+IF(SUMSQ('TS-PILE'!$E$72:$E$91)=0,0,'TO HOP NLAN'!E95*'TS-PILE'!$E$75/SUMSQ('TS-PILE'!$E$72:$E$91))+IF(SUMSQ('TS-PILE'!$D$72:$D$91)=0,0,'TO HOP NLAN'!F95*'TS-PILE'!$D$75/SUMSQ('TS-PILE'!$D$72:$D$91))),IF('TS-PILE'!$B$76="",-1E+99,'TO HOP NLAN'!D95/ncoc+IF(SUMSQ('TS-PILE'!$E$72:$E$91)=0,0,'TO HOP NLAN'!E95*'TS-PILE'!$E$76/SUMSQ('TS-PILE'!$E$72:$E$91))+IF(SUMSQ('TS-PILE'!$D$72:$D$91)=0,0,'TO HOP NLAN'!F95*'TS-PILE'!$D$76/SUMSQ('TS-PILE'!$D$72:$D$91))),IF('TS-PILE'!$B$77="",-1E+99,'TO HOP NLAN'!D95/ncoc+IF(SUMSQ('TS-PILE'!$E$72:$E$91)=0,0,'TO HOP NLAN'!E95*'TS-PILE'!$E$77/SUMSQ('TS-PILE'!$E$72:$E$91))+IF(SUMSQ('TS-PILE'!$D$72:$D$91)=0,0,'TO HOP NLAN'!F95*'TS-PILE'!$D$77/SUMSQ('TS-PILE'!$D$72:$D$91))),IF('TS-PILE'!$B$78="",-1E+99,'TO HOP NLAN'!D95/ncoc+IF(SUMSQ('TS-PILE'!$E$72:$E$91)=0,0,'TO HOP NLAN'!E95*'TS-PILE'!$E$78/SUMSQ('TS-PILE'!$E$72:$E$91))+IF(SUMSQ('TS-PILE'!$D$72:$D$91)=0,0,'TO HOP NLAN'!F95*'TS-PILE'!$D$78/SUMSQ('TS-PILE'!$D$72:$D$91))),IF('TS-PILE'!$B$79="",-1E+99,'TO HOP NLAN'!D95/ncoc+IF(SUMSQ('TS-PILE'!$E$72:$E$91)=0,0,'TO HOP NLAN'!E95*'TS-PILE'!$E$79/SUMSQ('TS-PILE'!$E$72:$E$91))+IF(SUMSQ('TS-PILE'!$D$72:$D$91)=0,0,'TO HOP NLAN'!F95*'TS-PILE'!$D$79/SUMSQ('TS-PILE'!$D$72:$D$91))),IF('TS-PILE'!$B$80="",-1E+99,'TO HOP NLAN'!D95/ncoc+IF(SUMSQ('TS-PILE'!$E$72:$E$91)=0,0,'TO HOP NLAN'!E95*'TS-PILE'!$E$80/SUMSQ('TS-PILE'!$E$72:$E$91))+IF(SUMSQ('TS-PILE'!$D$72:$D$91)=0,0,'TO HOP NLAN'!F95*'TS-PILE'!$D$80/SUMSQ('TS-PILE'!$D$72:$D$91))),IF('TS-PILE'!$B$81="",-1E+99,'TO HOP NLAN'!D95/ncoc+IF(SUMSQ('TS-PILE'!$E$72:$E$91)=0,0,'TO HOP NLAN'!E95*'TS-PILE'!$E$81/SUMSQ('TS-PILE'!$E$72:$E$91))+IF(SUMSQ('TS-PILE'!$D$72:$D$91)=0,0,'TO HOP NLAN'!F95*'TS-PILE'!$D$81/SUMSQ('TS-PILE'!$D$72:$D$91))),IF('TS-PILE'!$B$82="",-1E+99,'TO HOP NLAN'!D95/ncoc+IF(SUMSQ('TS-PILE'!$E$72:$E$91)=0,0,'TO HOP NLAN'!E95*'TS-PILE'!$E$82/SUMSQ('TS-PILE'!$E$72:$E$91))+IF(SUMSQ('TS-PILE'!$D$72:$D$91)=0,0,'TO HOP NLAN'!F95*'TS-PILE'!$D$82/SUMSQ('TS-PILE'!$D$72:$D$91))),IF('TS-PILE'!$B$83="",-1E+99,'TO HOP NLAN'!D95/ncoc+IF(SUMSQ('TS-PILE'!$E$72:$E$91)=0,0,'TO HOP NLAN'!E95*'TS-PILE'!$E$83/SUMSQ('TS-PILE'!$E$72:$E$91))+IF(SUMSQ('TS-PILE'!$D$72:$D$91)=0,0,'TO HOP NLAN'!F95*'TS-PILE'!$D$83/SUMSQ('TS-PILE'!$D$72:$D$91))),IF('TS-PILE'!$B$84="",-1E+99,'TO HOP NLAN'!D95/ncoc+IF(SUMSQ('TS-PILE'!$E$72:$E$91)=0,0,'TO HOP NLAN'!E95*'TS-PILE'!$E$84/SUMSQ('TS-PILE'!$E$72:$E$91))+IF(SUMSQ('TS-PILE'!$D$72:$D$91)=0,0,'TO HOP NLAN'!F95*'TS-PILE'!$D$84/SUMSQ('TS-PILE'!$D$72:$D$91))),IF('TS-PILE'!$B$85="",-1E+99,'TO HOP NLAN'!D95/ncoc+IF(SUMSQ('TS-PILE'!$E$72:$E$91)=0,0,'TO HOP NLAN'!E95*'TS-PILE'!$E$85/SUMSQ('TS-PILE'!$E$72:$E$91))+IF(SUMSQ('TS-PILE'!$D$72:$D$91)=0,0,'TO HOP NLAN'!F95*'TS-PILE'!$D$85/SUMSQ('TS-PILE'!$D$72:$D$91))),IF('TS-PILE'!$B$86="",-1E+99,'TO HOP NLAN'!D95/ncoc+IF(SUMSQ('TS-PILE'!$E$72:$E$91)=0,0,'TO HOP NLAN'!E95*'TS-PILE'!$E$86/SUMSQ('TS-PILE'!$E$72:$E$91))+IF(SUMSQ('TS-PILE'!$D$72:$D$91)=0,0,'TO HOP NLAN'!F95*'TS-PILE'!$D$86/SUMSQ('TS-PILE'!$D$72:$D$91))),IF('TS-PILE'!$B$87="",-1E+99,'TO HOP NLAN'!D95/ncoc+IF(SUMSQ('TS-PILE'!$E$72:$E$91)=0,0,'TO HOP NLAN'!E95*'TS-PILE'!$E$87/SUMSQ('TS-PILE'!$E$72:$E$91))+IF(SUMSQ('TS-PILE'!$D$72:$D$91)=0,0,'TO HOP NLAN'!F95*'TS-PILE'!$D$87/SUMSQ('TS-PILE'!$D$72:$D$91))),IF('TS-PILE'!$B$88="",-1E+99,'TO HOP NLAN'!D95/ncoc+IF(SUMSQ('TS-PILE'!$E$72:$E$91)=0,0,'TO HOP NLAN'!E95*'TS-PILE'!$E$88/SUMSQ('TS-PILE'!$E$72:$E$91))+IF(SUMSQ('TS-PILE'!$D$72:$D$91)=0,0,'TO HOP NLAN'!F95*'TS-PILE'!$D$88/SUMSQ('TS-PILE'!$D$72:$D$91))),IF('TS-PILE'!$B$89="",-1E+99,'TO HOP NLAN'!D95/ncoc+IF(SUMSQ('TS-PILE'!$E$72:$E$91)=0,0,'TO HOP NLAN'!E95*'TS-PILE'!$E$89/SUMSQ('TS-PILE'!$E$72:$E$91))+IF(SUMSQ('TS-PILE'!$D$72:$D$91)=0,0,'TO HOP NLAN'!F95*'TS-PILE'!$D$89/SUMSQ('TS-PILE'!$D$72:$D$91))),IF('TS-PILE'!$B$90="",-1E+99,'TO HOP NLAN'!D95/ncoc+IF(SUMSQ('TS-PILE'!$E$72:$E$91)=0,0,'TO HOP NLAN'!E95*'TS-PILE'!$E$90/SUMSQ('TS-PILE'!$E$72:$E$91))+IF(SUMSQ('TS-PILE'!$D$72:$D$91)=0,0,'TO HOP NLAN'!F95*'TS-PILE'!$D$90/SUMSQ('TS-PILE'!$D$72:$D$91))),IF('TS-PILE'!$B$91="",-1E+99,'TO HOP NLAN'!D95/ncoc+IF(SUMSQ('TS-PILE'!$E$72:$E$91)=0,0,'TO HOP NLAN'!E95*'TS-PILE'!$E$91/SUMSQ('TS-PILE'!$E$72:$E$91))+IF(SUMSQ('TS-PILE'!$D$72:$D$91)=0,0,'TO HOP NLAN'!F95*'TS-PILE'!$D$91/SUMSQ('TS-PILE'!$D$72:$D$91)))))</f>
        <v>0</v>
      </c>
      <c r="D95" s="58">
        <f>IF(A95="",0,MIN(IF('TS-PILE'!$B$72="",1E+99,'TO HOP NLAN'!D95/ncoc+IF(SUMSQ('TS-PILE'!$E$72:$E$91)=0,0,'TO HOP NLAN'!E95*'TS-PILE'!$E$72/SUMSQ('TS-PILE'!$E$72:$E$91))+IF(SUMSQ('TS-PILE'!$D$72:$D$91)=0,0,'TO HOP NLAN'!F95*'TS-PILE'!$D$72/SUMSQ('TS-PILE'!$D$72:$D$91))),IF('TS-PILE'!$B$73="",1E+99,'TO HOP NLAN'!D95/ncoc+IF(SUMSQ('TS-PILE'!$E$72:$E$91)=0,0,'TO HOP NLAN'!E95*'TS-PILE'!$E$73/SUMSQ('TS-PILE'!$E$72:$E$91))+IF(SUMSQ('TS-PILE'!$D$72:$D$91)=0,0,'TO HOP NLAN'!F95*'TS-PILE'!$D$73/SUMSQ('TS-PILE'!$D$72:$D$91))),IF('TS-PILE'!$B$74="",1E+99,'TO HOP NLAN'!D95/ncoc+IF(SUMSQ('TS-PILE'!$E$72:$E$91)=0,0,'TO HOP NLAN'!E95*'TS-PILE'!$E$74/SUMSQ('TS-PILE'!$E$72:$E$91))+IF(SUMSQ('TS-PILE'!$D$72:$D$91)=0,0,'TO HOP NLAN'!F95*'TS-PILE'!$D$74/SUMSQ('TS-PILE'!$D$72:$D$91))),IF('TS-PILE'!$B$75="",1E+99,'TO HOP NLAN'!D95/ncoc+IF(SUMSQ('TS-PILE'!$E$72:$E$91)=0,0,'TO HOP NLAN'!E95*'TS-PILE'!$E$75/SUMSQ('TS-PILE'!$E$72:$E$91))+IF(SUMSQ('TS-PILE'!$D$72:$D$91)=0,0,'TO HOP NLAN'!F95*'TS-PILE'!$D$75/SUMSQ('TS-PILE'!$D$72:$D$91))),IF('TS-PILE'!$B$76="",1E+99,'TO HOP NLAN'!D95/ncoc+IF(SUMSQ('TS-PILE'!$E$72:$E$91)=0,0,'TO HOP NLAN'!E95*'TS-PILE'!$E$76/SUMSQ('TS-PILE'!$E$72:$E$91))+IF(SUMSQ('TS-PILE'!$D$72:$D$91)=0,0,'TO HOP NLAN'!F95*'TS-PILE'!$D$76/SUMSQ('TS-PILE'!$D$72:$D$91))),IF('TS-PILE'!$B$77="",1E+99,'TO HOP NLAN'!D95/ncoc+IF(SUMSQ('TS-PILE'!$E$72:$E$91)=0,0,'TO HOP NLAN'!E95*'TS-PILE'!$E$77/SUMSQ('TS-PILE'!$E$72:$E$91))+IF(SUMSQ('TS-PILE'!$D$72:$D$91)=0,0,'TO HOP NLAN'!F95*'TS-PILE'!$D$77/SUMSQ('TS-PILE'!$D$72:$D$91))),IF('TS-PILE'!$B$78="",1E+99,'TO HOP NLAN'!D95/ncoc+IF(SUMSQ('TS-PILE'!$E$72:$E$91)=0,0,'TO HOP NLAN'!E95*'TS-PILE'!$E$78/SUMSQ('TS-PILE'!$E$72:$E$91))+IF(SUMSQ('TS-PILE'!$D$72:$D$91)=0,0,'TO HOP NLAN'!F95*'TS-PILE'!$D$78/SUMSQ('TS-PILE'!$D$72:$D$91))),IF('TS-PILE'!$B$79="",1E+99,'TO HOP NLAN'!D95/ncoc+IF(SUMSQ('TS-PILE'!$E$72:$E$91)=0,0,'TO HOP NLAN'!E95*'TS-PILE'!$E$79/SUMSQ('TS-PILE'!$E$72:$E$91))+IF(SUMSQ('TS-PILE'!$D$72:$D$91)=0,0,'TO HOP NLAN'!F95*'TS-PILE'!$D$79/SUMSQ('TS-PILE'!$D$72:$D$91))),IF('TS-PILE'!$B$80="",1E+99,'TO HOP NLAN'!D95/ncoc+IF(SUMSQ('TS-PILE'!$E$72:$E$91)=0,0,'TO HOP NLAN'!E95*'TS-PILE'!$E$80/SUMSQ('TS-PILE'!$E$72:$E$91))+IF(SUMSQ('TS-PILE'!$D$72:$D$91)=0,0,'TO HOP NLAN'!F95*'TS-PILE'!$D$80/SUMSQ('TS-PILE'!$D$72:$D$91))),IF('TS-PILE'!$B$81="",1E+99,'TO HOP NLAN'!D95/ncoc+IF(SUMSQ('TS-PILE'!$E$72:$E$91)=0,0,'TO HOP NLAN'!E95*'TS-PILE'!$E$81/SUMSQ('TS-PILE'!$E$72:$E$91))+IF(SUMSQ('TS-PILE'!$D$72:$D$91)=0,0,'TO HOP NLAN'!F95*'TS-PILE'!$D$81/SUMSQ('TS-PILE'!$D$72:$D$91))),IF('TS-PILE'!$B$82="",1E+99,'TO HOP NLAN'!D95/ncoc+IF(SUMSQ('TS-PILE'!$E$72:$E$91)=0,0,'TO HOP NLAN'!E95*'TS-PILE'!$E$82/SUMSQ('TS-PILE'!$E$72:$E$91))+IF(SUMSQ('TS-PILE'!$D$72:$D$91)=0,0,'TO HOP NLAN'!F95*'TS-PILE'!$D$82/SUMSQ('TS-PILE'!$D$72:$D$91))),IF('TS-PILE'!$B$83="",1E+99,'TO HOP NLAN'!D95/ncoc+IF(SUMSQ('TS-PILE'!$E$72:$E$91)=0,0,'TO HOP NLAN'!E95*'TS-PILE'!$E$83/SUMSQ('TS-PILE'!$E$72:$E$91))+IF(SUMSQ('TS-PILE'!$D$72:$D$91)=0,0,'TO HOP NLAN'!F95*'TS-PILE'!$D$83/SUMSQ('TS-PILE'!$D$72:$D$91))),IF('TS-PILE'!$B$84="",1E+99,'TO HOP NLAN'!D95/ncoc+IF(SUMSQ('TS-PILE'!$E$72:$E$91)=0,0,'TO HOP NLAN'!E95*'TS-PILE'!$E$84/SUMSQ('TS-PILE'!$E$72:$E$91))+IF(SUMSQ('TS-PILE'!$D$72:$D$91)=0,0,'TO HOP NLAN'!F95*'TS-PILE'!$D$84/SUMSQ('TS-PILE'!$D$72:$D$91))),IF('TS-PILE'!$B$85="",1E+99,'TO HOP NLAN'!D95/ncoc+IF(SUMSQ('TS-PILE'!$E$72:$E$91)=0,0,'TO HOP NLAN'!E95*'TS-PILE'!$E$85/SUMSQ('TS-PILE'!$E$72:$E$91))+IF(SUMSQ('TS-PILE'!$D$72:$D$91)=0,0,'TO HOP NLAN'!F95*'TS-PILE'!$D$85/SUMSQ('TS-PILE'!$D$72:$D$91))),IF('TS-PILE'!$B$86="",1E+99,'TO HOP NLAN'!D95/ncoc+IF(SUMSQ('TS-PILE'!$E$72:$E$91)=0,0,'TO HOP NLAN'!E95*'TS-PILE'!$E$86/SUMSQ('TS-PILE'!$E$72:$E$91))+IF(SUMSQ('TS-PILE'!$D$72:$D$91)=0,0,'TO HOP NLAN'!F95*'TS-PILE'!$D$86/SUMSQ('TS-PILE'!$D$72:$D$91))),IF('TS-PILE'!$B$87="",1E+99,'TO HOP NLAN'!D95/ncoc+IF(SUMSQ('TS-PILE'!$E$72:$E$91)=0,0,'TO HOP NLAN'!E95*'TS-PILE'!$E$87/SUMSQ('TS-PILE'!$E$72:$E$91))+IF(SUMSQ('TS-PILE'!$D$72:$D$91)=0,0,'TO HOP NLAN'!F95*'TS-PILE'!$D$87/SUMSQ('TS-PILE'!$D$72:$D$91))),IF('TS-PILE'!$B$88="",1E+99,'TO HOP NLAN'!D95/ncoc+IF(SUMSQ('TS-PILE'!$E$72:$E$91)=0,0,'TO HOP NLAN'!E95*'TS-PILE'!$E$88/SUMSQ('TS-PILE'!$E$72:$E$91))+IF(SUMSQ('TS-PILE'!$D$72:$D$91)=0,0,'TO HOP NLAN'!F95*'TS-PILE'!$D$88/SUMSQ('TS-PILE'!$D$72:$D$91))),IF('TS-PILE'!$B$89="",1E+99,'TO HOP NLAN'!D95/ncoc+IF(SUMSQ('TS-PILE'!$E$72:$E$91)=0,0,'TO HOP NLAN'!E95*'TS-PILE'!$E$89/SUMSQ('TS-PILE'!$E$72:$E$91))+IF(SUMSQ('TS-PILE'!$D$72:$D$91)=0,0,'TO HOP NLAN'!F95*'TS-PILE'!$D$89/SUMSQ('TS-PILE'!$D$72:$D$91))),IF('TS-PILE'!$B$90="",1E+99,'TO HOP NLAN'!D95/ncoc+IF(SUMSQ('TS-PILE'!$E$72:$E$91)=0,0,'TO HOP NLAN'!E95*'TS-PILE'!$E$90/SUMSQ('TS-PILE'!$E$72:$E$91))+IF(SUMSQ('TS-PILE'!$D$72:$D$91)=0,0,'TO HOP NLAN'!F95*'TS-PILE'!$D$90/SUMSQ('TS-PILE'!$D$72:$D$91))),IF('TS-PILE'!$B$91="",1E+99,'TO HOP NLAN'!D95/ncoc+IF(SUMSQ('TS-PILE'!$E$72:$E$91)=0,0,'TO HOP NLAN'!E95*'TS-PILE'!$E$91/SUMSQ('TS-PILE'!$E$72:$E$91))+IF(SUMSQ('TS-PILE'!$D$72:$D$91)=0,0,'TO HOP NLAN'!F95*'TS-PILE'!$D$91/SUMSQ('TS-PILE'!$D$72:$D$91)))))</f>
        <v>0</v>
      </c>
      <c r="E95" s="58">
        <f t="shared" si="4"/>
        <v>-9.9999999999999997E+98</v>
      </c>
      <c r="F95" s="58">
        <f t="shared" si="5"/>
        <v>9.9999999999999997E+98</v>
      </c>
      <c r="G95" s="58">
        <f t="shared" si="6"/>
        <v>-9.9999999999999997E+98</v>
      </c>
      <c r="H95" s="58">
        <f t="shared" si="7"/>
        <v>9.9999999999999997E+98</v>
      </c>
    </row>
    <row r="96" spans="1:8" x14ac:dyDescent="0.3">
      <c r="A96" s="42" t="str">
        <f>'TO HOP NLAN'!A96</f>
        <v/>
      </c>
      <c r="B96" s="42" t="str">
        <f>'TO HOP NLAN'!L96</f>
        <v>SERVICE</v>
      </c>
      <c r="C96" s="58">
        <f>IF(A96="",0,MAX(IF('TS-PILE'!$B$72="",-1E+99,'TO HOP NLAN'!D96/ncoc+IF(SUMSQ('TS-PILE'!$E$72:$E$91)=0,0,'TO HOP NLAN'!E96*'TS-PILE'!$E$72/SUMSQ('TS-PILE'!$E$72:$E$91))+IF(SUMSQ('TS-PILE'!$D$72:$D$91)=0,0,'TO HOP NLAN'!F96*'TS-PILE'!$D$72/SUMSQ('TS-PILE'!$D$72:$D$91))),IF('TS-PILE'!$B$73="",-1E+99,'TO HOP NLAN'!D96/ncoc+IF(SUMSQ('TS-PILE'!$E$72:$E$91)=0,0,'TO HOP NLAN'!E96*'TS-PILE'!$E$73/SUMSQ('TS-PILE'!$E$72:$E$91))+IF(SUMSQ('TS-PILE'!$D$72:$D$91)=0,0,'TO HOP NLAN'!F96*'TS-PILE'!$D$73/SUMSQ('TS-PILE'!$D$72:$D$91))),IF('TS-PILE'!$B$74="",-1E+99,'TO HOP NLAN'!D96/ncoc+IF(SUMSQ('TS-PILE'!$E$72:$E$91)=0,0,'TO HOP NLAN'!E96*'TS-PILE'!$E$74/SUMSQ('TS-PILE'!$E$72:$E$91))+IF(SUMSQ('TS-PILE'!$D$72:$D$91)=0,0,'TO HOP NLAN'!F96*'TS-PILE'!$D$74/SUMSQ('TS-PILE'!$D$72:$D$91))),IF('TS-PILE'!$B$75="",-1E+99,'TO HOP NLAN'!D96/ncoc+IF(SUMSQ('TS-PILE'!$E$72:$E$91)=0,0,'TO HOP NLAN'!E96*'TS-PILE'!$E$75/SUMSQ('TS-PILE'!$E$72:$E$91))+IF(SUMSQ('TS-PILE'!$D$72:$D$91)=0,0,'TO HOP NLAN'!F96*'TS-PILE'!$D$75/SUMSQ('TS-PILE'!$D$72:$D$91))),IF('TS-PILE'!$B$76="",-1E+99,'TO HOP NLAN'!D96/ncoc+IF(SUMSQ('TS-PILE'!$E$72:$E$91)=0,0,'TO HOP NLAN'!E96*'TS-PILE'!$E$76/SUMSQ('TS-PILE'!$E$72:$E$91))+IF(SUMSQ('TS-PILE'!$D$72:$D$91)=0,0,'TO HOP NLAN'!F96*'TS-PILE'!$D$76/SUMSQ('TS-PILE'!$D$72:$D$91))),IF('TS-PILE'!$B$77="",-1E+99,'TO HOP NLAN'!D96/ncoc+IF(SUMSQ('TS-PILE'!$E$72:$E$91)=0,0,'TO HOP NLAN'!E96*'TS-PILE'!$E$77/SUMSQ('TS-PILE'!$E$72:$E$91))+IF(SUMSQ('TS-PILE'!$D$72:$D$91)=0,0,'TO HOP NLAN'!F96*'TS-PILE'!$D$77/SUMSQ('TS-PILE'!$D$72:$D$91))),IF('TS-PILE'!$B$78="",-1E+99,'TO HOP NLAN'!D96/ncoc+IF(SUMSQ('TS-PILE'!$E$72:$E$91)=0,0,'TO HOP NLAN'!E96*'TS-PILE'!$E$78/SUMSQ('TS-PILE'!$E$72:$E$91))+IF(SUMSQ('TS-PILE'!$D$72:$D$91)=0,0,'TO HOP NLAN'!F96*'TS-PILE'!$D$78/SUMSQ('TS-PILE'!$D$72:$D$91))),IF('TS-PILE'!$B$79="",-1E+99,'TO HOP NLAN'!D96/ncoc+IF(SUMSQ('TS-PILE'!$E$72:$E$91)=0,0,'TO HOP NLAN'!E96*'TS-PILE'!$E$79/SUMSQ('TS-PILE'!$E$72:$E$91))+IF(SUMSQ('TS-PILE'!$D$72:$D$91)=0,0,'TO HOP NLAN'!F96*'TS-PILE'!$D$79/SUMSQ('TS-PILE'!$D$72:$D$91))),IF('TS-PILE'!$B$80="",-1E+99,'TO HOP NLAN'!D96/ncoc+IF(SUMSQ('TS-PILE'!$E$72:$E$91)=0,0,'TO HOP NLAN'!E96*'TS-PILE'!$E$80/SUMSQ('TS-PILE'!$E$72:$E$91))+IF(SUMSQ('TS-PILE'!$D$72:$D$91)=0,0,'TO HOP NLAN'!F96*'TS-PILE'!$D$80/SUMSQ('TS-PILE'!$D$72:$D$91))),IF('TS-PILE'!$B$81="",-1E+99,'TO HOP NLAN'!D96/ncoc+IF(SUMSQ('TS-PILE'!$E$72:$E$91)=0,0,'TO HOP NLAN'!E96*'TS-PILE'!$E$81/SUMSQ('TS-PILE'!$E$72:$E$91))+IF(SUMSQ('TS-PILE'!$D$72:$D$91)=0,0,'TO HOP NLAN'!F96*'TS-PILE'!$D$81/SUMSQ('TS-PILE'!$D$72:$D$91))),IF('TS-PILE'!$B$82="",-1E+99,'TO HOP NLAN'!D96/ncoc+IF(SUMSQ('TS-PILE'!$E$72:$E$91)=0,0,'TO HOP NLAN'!E96*'TS-PILE'!$E$82/SUMSQ('TS-PILE'!$E$72:$E$91))+IF(SUMSQ('TS-PILE'!$D$72:$D$91)=0,0,'TO HOP NLAN'!F96*'TS-PILE'!$D$82/SUMSQ('TS-PILE'!$D$72:$D$91))),IF('TS-PILE'!$B$83="",-1E+99,'TO HOP NLAN'!D96/ncoc+IF(SUMSQ('TS-PILE'!$E$72:$E$91)=0,0,'TO HOP NLAN'!E96*'TS-PILE'!$E$83/SUMSQ('TS-PILE'!$E$72:$E$91))+IF(SUMSQ('TS-PILE'!$D$72:$D$91)=0,0,'TO HOP NLAN'!F96*'TS-PILE'!$D$83/SUMSQ('TS-PILE'!$D$72:$D$91))),IF('TS-PILE'!$B$84="",-1E+99,'TO HOP NLAN'!D96/ncoc+IF(SUMSQ('TS-PILE'!$E$72:$E$91)=0,0,'TO HOP NLAN'!E96*'TS-PILE'!$E$84/SUMSQ('TS-PILE'!$E$72:$E$91))+IF(SUMSQ('TS-PILE'!$D$72:$D$91)=0,0,'TO HOP NLAN'!F96*'TS-PILE'!$D$84/SUMSQ('TS-PILE'!$D$72:$D$91))),IF('TS-PILE'!$B$85="",-1E+99,'TO HOP NLAN'!D96/ncoc+IF(SUMSQ('TS-PILE'!$E$72:$E$91)=0,0,'TO HOP NLAN'!E96*'TS-PILE'!$E$85/SUMSQ('TS-PILE'!$E$72:$E$91))+IF(SUMSQ('TS-PILE'!$D$72:$D$91)=0,0,'TO HOP NLAN'!F96*'TS-PILE'!$D$85/SUMSQ('TS-PILE'!$D$72:$D$91))),IF('TS-PILE'!$B$86="",-1E+99,'TO HOP NLAN'!D96/ncoc+IF(SUMSQ('TS-PILE'!$E$72:$E$91)=0,0,'TO HOP NLAN'!E96*'TS-PILE'!$E$86/SUMSQ('TS-PILE'!$E$72:$E$91))+IF(SUMSQ('TS-PILE'!$D$72:$D$91)=0,0,'TO HOP NLAN'!F96*'TS-PILE'!$D$86/SUMSQ('TS-PILE'!$D$72:$D$91))),IF('TS-PILE'!$B$87="",-1E+99,'TO HOP NLAN'!D96/ncoc+IF(SUMSQ('TS-PILE'!$E$72:$E$91)=0,0,'TO HOP NLAN'!E96*'TS-PILE'!$E$87/SUMSQ('TS-PILE'!$E$72:$E$91))+IF(SUMSQ('TS-PILE'!$D$72:$D$91)=0,0,'TO HOP NLAN'!F96*'TS-PILE'!$D$87/SUMSQ('TS-PILE'!$D$72:$D$91))),IF('TS-PILE'!$B$88="",-1E+99,'TO HOP NLAN'!D96/ncoc+IF(SUMSQ('TS-PILE'!$E$72:$E$91)=0,0,'TO HOP NLAN'!E96*'TS-PILE'!$E$88/SUMSQ('TS-PILE'!$E$72:$E$91))+IF(SUMSQ('TS-PILE'!$D$72:$D$91)=0,0,'TO HOP NLAN'!F96*'TS-PILE'!$D$88/SUMSQ('TS-PILE'!$D$72:$D$91))),IF('TS-PILE'!$B$89="",-1E+99,'TO HOP NLAN'!D96/ncoc+IF(SUMSQ('TS-PILE'!$E$72:$E$91)=0,0,'TO HOP NLAN'!E96*'TS-PILE'!$E$89/SUMSQ('TS-PILE'!$E$72:$E$91))+IF(SUMSQ('TS-PILE'!$D$72:$D$91)=0,0,'TO HOP NLAN'!F96*'TS-PILE'!$D$89/SUMSQ('TS-PILE'!$D$72:$D$91))),IF('TS-PILE'!$B$90="",-1E+99,'TO HOP NLAN'!D96/ncoc+IF(SUMSQ('TS-PILE'!$E$72:$E$91)=0,0,'TO HOP NLAN'!E96*'TS-PILE'!$E$90/SUMSQ('TS-PILE'!$E$72:$E$91))+IF(SUMSQ('TS-PILE'!$D$72:$D$91)=0,0,'TO HOP NLAN'!F96*'TS-PILE'!$D$90/SUMSQ('TS-PILE'!$D$72:$D$91))),IF('TS-PILE'!$B$91="",-1E+99,'TO HOP NLAN'!D96/ncoc+IF(SUMSQ('TS-PILE'!$E$72:$E$91)=0,0,'TO HOP NLAN'!E96*'TS-PILE'!$E$91/SUMSQ('TS-PILE'!$E$72:$E$91))+IF(SUMSQ('TS-PILE'!$D$72:$D$91)=0,0,'TO HOP NLAN'!F96*'TS-PILE'!$D$91/SUMSQ('TS-PILE'!$D$72:$D$91)))))</f>
        <v>0</v>
      </c>
      <c r="D96" s="58">
        <f>IF(A96="",0,MIN(IF('TS-PILE'!$B$72="",1E+99,'TO HOP NLAN'!D96/ncoc+IF(SUMSQ('TS-PILE'!$E$72:$E$91)=0,0,'TO HOP NLAN'!E96*'TS-PILE'!$E$72/SUMSQ('TS-PILE'!$E$72:$E$91))+IF(SUMSQ('TS-PILE'!$D$72:$D$91)=0,0,'TO HOP NLAN'!F96*'TS-PILE'!$D$72/SUMSQ('TS-PILE'!$D$72:$D$91))),IF('TS-PILE'!$B$73="",1E+99,'TO HOP NLAN'!D96/ncoc+IF(SUMSQ('TS-PILE'!$E$72:$E$91)=0,0,'TO HOP NLAN'!E96*'TS-PILE'!$E$73/SUMSQ('TS-PILE'!$E$72:$E$91))+IF(SUMSQ('TS-PILE'!$D$72:$D$91)=0,0,'TO HOP NLAN'!F96*'TS-PILE'!$D$73/SUMSQ('TS-PILE'!$D$72:$D$91))),IF('TS-PILE'!$B$74="",1E+99,'TO HOP NLAN'!D96/ncoc+IF(SUMSQ('TS-PILE'!$E$72:$E$91)=0,0,'TO HOP NLAN'!E96*'TS-PILE'!$E$74/SUMSQ('TS-PILE'!$E$72:$E$91))+IF(SUMSQ('TS-PILE'!$D$72:$D$91)=0,0,'TO HOP NLAN'!F96*'TS-PILE'!$D$74/SUMSQ('TS-PILE'!$D$72:$D$91))),IF('TS-PILE'!$B$75="",1E+99,'TO HOP NLAN'!D96/ncoc+IF(SUMSQ('TS-PILE'!$E$72:$E$91)=0,0,'TO HOP NLAN'!E96*'TS-PILE'!$E$75/SUMSQ('TS-PILE'!$E$72:$E$91))+IF(SUMSQ('TS-PILE'!$D$72:$D$91)=0,0,'TO HOP NLAN'!F96*'TS-PILE'!$D$75/SUMSQ('TS-PILE'!$D$72:$D$91))),IF('TS-PILE'!$B$76="",1E+99,'TO HOP NLAN'!D96/ncoc+IF(SUMSQ('TS-PILE'!$E$72:$E$91)=0,0,'TO HOP NLAN'!E96*'TS-PILE'!$E$76/SUMSQ('TS-PILE'!$E$72:$E$91))+IF(SUMSQ('TS-PILE'!$D$72:$D$91)=0,0,'TO HOP NLAN'!F96*'TS-PILE'!$D$76/SUMSQ('TS-PILE'!$D$72:$D$91))),IF('TS-PILE'!$B$77="",1E+99,'TO HOP NLAN'!D96/ncoc+IF(SUMSQ('TS-PILE'!$E$72:$E$91)=0,0,'TO HOP NLAN'!E96*'TS-PILE'!$E$77/SUMSQ('TS-PILE'!$E$72:$E$91))+IF(SUMSQ('TS-PILE'!$D$72:$D$91)=0,0,'TO HOP NLAN'!F96*'TS-PILE'!$D$77/SUMSQ('TS-PILE'!$D$72:$D$91))),IF('TS-PILE'!$B$78="",1E+99,'TO HOP NLAN'!D96/ncoc+IF(SUMSQ('TS-PILE'!$E$72:$E$91)=0,0,'TO HOP NLAN'!E96*'TS-PILE'!$E$78/SUMSQ('TS-PILE'!$E$72:$E$91))+IF(SUMSQ('TS-PILE'!$D$72:$D$91)=0,0,'TO HOP NLAN'!F96*'TS-PILE'!$D$78/SUMSQ('TS-PILE'!$D$72:$D$91))),IF('TS-PILE'!$B$79="",1E+99,'TO HOP NLAN'!D96/ncoc+IF(SUMSQ('TS-PILE'!$E$72:$E$91)=0,0,'TO HOP NLAN'!E96*'TS-PILE'!$E$79/SUMSQ('TS-PILE'!$E$72:$E$91))+IF(SUMSQ('TS-PILE'!$D$72:$D$91)=0,0,'TO HOP NLAN'!F96*'TS-PILE'!$D$79/SUMSQ('TS-PILE'!$D$72:$D$91))),IF('TS-PILE'!$B$80="",1E+99,'TO HOP NLAN'!D96/ncoc+IF(SUMSQ('TS-PILE'!$E$72:$E$91)=0,0,'TO HOP NLAN'!E96*'TS-PILE'!$E$80/SUMSQ('TS-PILE'!$E$72:$E$91))+IF(SUMSQ('TS-PILE'!$D$72:$D$91)=0,0,'TO HOP NLAN'!F96*'TS-PILE'!$D$80/SUMSQ('TS-PILE'!$D$72:$D$91))),IF('TS-PILE'!$B$81="",1E+99,'TO HOP NLAN'!D96/ncoc+IF(SUMSQ('TS-PILE'!$E$72:$E$91)=0,0,'TO HOP NLAN'!E96*'TS-PILE'!$E$81/SUMSQ('TS-PILE'!$E$72:$E$91))+IF(SUMSQ('TS-PILE'!$D$72:$D$91)=0,0,'TO HOP NLAN'!F96*'TS-PILE'!$D$81/SUMSQ('TS-PILE'!$D$72:$D$91))),IF('TS-PILE'!$B$82="",1E+99,'TO HOP NLAN'!D96/ncoc+IF(SUMSQ('TS-PILE'!$E$72:$E$91)=0,0,'TO HOP NLAN'!E96*'TS-PILE'!$E$82/SUMSQ('TS-PILE'!$E$72:$E$91))+IF(SUMSQ('TS-PILE'!$D$72:$D$91)=0,0,'TO HOP NLAN'!F96*'TS-PILE'!$D$82/SUMSQ('TS-PILE'!$D$72:$D$91))),IF('TS-PILE'!$B$83="",1E+99,'TO HOP NLAN'!D96/ncoc+IF(SUMSQ('TS-PILE'!$E$72:$E$91)=0,0,'TO HOP NLAN'!E96*'TS-PILE'!$E$83/SUMSQ('TS-PILE'!$E$72:$E$91))+IF(SUMSQ('TS-PILE'!$D$72:$D$91)=0,0,'TO HOP NLAN'!F96*'TS-PILE'!$D$83/SUMSQ('TS-PILE'!$D$72:$D$91))),IF('TS-PILE'!$B$84="",1E+99,'TO HOP NLAN'!D96/ncoc+IF(SUMSQ('TS-PILE'!$E$72:$E$91)=0,0,'TO HOP NLAN'!E96*'TS-PILE'!$E$84/SUMSQ('TS-PILE'!$E$72:$E$91))+IF(SUMSQ('TS-PILE'!$D$72:$D$91)=0,0,'TO HOP NLAN'!F96*'TS-PILE'!$D$84/SUMSQ('TS-PILE'!$D$72:$D$91))),IF('TS-PILE'!$B$85="",1E+99,'TO HOP NLAN'!D96/ncoc+IF(SUMSQ('TS-PILE'!$E$72:$E$91)=0,0,'TO HOP NLAN'!E96*'TS-PILE'!$E$85/SUMSQ('TS-PILE'!$E$72:$E$91))+IF(SUMSQ('TS-PILE'!$D$72:$D$91)=0,0,'TO HOP NLAN'!F96*'TS-PILE'!$D$85/SUMSQ('TS-PILE'!$D$72:$D$91))),IF('TS-PILE'!$B$86="",1E+99,'TO HOP NLAN'!D96/ncoc+IF(SUMSQ('TS-PILE'!$E$72:$E$91)=0,0,'TO HOP NLAN'!E96*'TS-PILE'!$E$86/SUMSQ('TS-PILE'!$E$72:$E$91))+IF(SUMSQ('TS-PILE'!$D$72:$D$91)=0,0,'TO HOP NLAN'!F96*'TS-PILE'!$D$86/SUMSQ('TS-PILE'!$D$72:$D$91))),IF('TS-PILE'!$B$87="",1E+99,'TO HOP NLAN'!D96/ncoc+IF(SUMSQ('TS-PILE'!$E$72:$E$91)=0,0,'TO HOP NLAN'!E96*'TS-PILE'!$E$87/SUMSQ('TS-PILE'!$E$72:$E$91))+IF(SUMSQ('TS-PILE'!$D$72:$D$91)=0,0,'TO HOP NLAN'!F96*'TS-PILE'!$D$87/SUMSQ('TS-PILE'!$D$72:$D$91))),IF('TS-PILE'!$B$88="",1E+99,'TO HOP NLAN'!D96/ncoc+IF(SUMSQ('TS-PILE'!$E$72:$E$91)=0,0,'TO HOP NLAN'!E96*'TS-PILE'!$E$88/SUMSQ('TS-PILE'!$E$72:$E$91))+IF(SUMSQ('TS-PILE'!$D$72:$D$91)=0,0,'TO HOP NLAN'!F96*'TS-PILE'!$D$88/SUMSQ('TS-PILE'!$D$72:$D$91))),IF('TS-PILE'!$B$89="",1E+99,'TO HOP NLAN'!D96/ncoc+IF(SUMSQ('TS-PILE'!$E$72:$E$91)=0,0,'TO HOP NLAN'!E96*'TS-PILE'!$E$89/SUMSQ('TS-PILE'!$E$72:$E$91))+IF(SUMSQ('TS-PILE'!$D$72:$D$91)=0,0,'TO HOP NLAN'!F96*'TS-PILE'!$D$89/SUMSQ('TS-PILE'!$D$72:$D$91))),IF('TS-PILE'!$B$90="",1E+99,'TO HOP NLAN'!D96/ncoc+IF(SUMSQ('TS-PILE'!$E$72:$E$91)=0,0,'TO HOP NLAN'!E96*'TS-PILE'!$E$90/SUMSQ('TS-PILE'!$E$72:$E$91))+IF(SUMSQ('TS-PILE'!$D$72:$D$91)=0,0,'TO HOP NLAN'!F96*'TS-PILE'!$D$90/SUMSQ('TS-PILE'!$D$72:$D$91))),IF('TS-PILE'!$B$91="",1E+99,'TO HOP NLAN'!D96/ncoc+IF(SUMSQ('TS-PILE'!$E$72:$E$91)=0,0,'TO HOP NLAN'!E96*'TS-PILE'!$E$91/SUMSQ('TS-PILE'!$E$72:$E$91))+IF(SUMSQ('TS-PILE'!$D$72:$D$91)=0,0,'TO HOP NLAN'!F96*'TS-PILE'!$D$91/SUMSQ('TS-PILE'!$D$72:$D$91)))))</f>
        <v>0</v>
      </c>
      <c r="E96" s="58">
        <f t="shared" si="4"/>
        <v>-9.9999999999999997E+98</v>
      </c>
      <c r="F96" s="58">
        <f t="shared" si="5"/>
        <v>9.9999999999999997E+98</v>
      </c>
      <c r="G96" s="58">
        <f t="shared" si="6"/>
        <v>-9.9999999999999997E+98</v>
      </c>
      <c r="H96" s="58">
        <f t="shared" si="7"/>
        <v>9.9999999999999997E+98</v>
      </c>
    </row>
    <row r="97" spans="1:8" x14ac:dyDescent="0.3">
      <c r="A97" s="42" t="str">
        <f>'TO HOP NLAN'!A97</f>
        <v/>
      </c>
      <c r="B97" s="42" t="str">
        <f>'TO HOP NLAN'!L97</f>
        <v>SERVICE</v>
      </c>
      <c r="C97" s="58">
        <f>IF(A97="",0,MAX(IF('TS-PILE'!$B$72="",-1E+99,'TO HOP NLAN'!D97/ncoc+IF(SUMSQ('TS-PILE'!$E$72:$E$91)=0,0,'TO HOP NLAN'!E97*'TS-PILE'!$E$72/SUMSQ('TS-PILE'!$E$72:$E$91))+IF(SUMSQ('TS-PILE'!$D$72:$D$91)=0,0,'TO HOP NLAN'!F97*'TS-PILE'!$D$72/SUMSQ('TS-PILE'!$D$72:$D$91))),IF('TS-PILE'!$B$73="",-1E+99,'TO HOP NLAN'!D97/ncoc+IF(SUMSQ('TS-PILE'!$E$72:$E$91)=0,0,'TO HOP NLAN'!E97*'TS-PILE'!$E$73/SUMSQ('TS-PILE'!$E$72:$E$91))+IF(SUMSQ('TS-PILE'!$D$72:$D$91)=0,0,'TO HOP NLAN'!F97*'TS-PILE'!$D$73/SUMSQ('TS-PILE'!$D$72:$D$91))),IF('TS-PILE'!$B$74="",-1E+99,'TO HOP NLAN'!D97/ncoc+IF(SUMSQ('TS-PILE'!$E$72:$E$91)=0,0,'TO HOP NLAN'!E97*'TS-PILE'!$E$74/SUMSQ('TS-PILE'!$E$72:$E$91))+IF(SUMSQ('TS-PILE'!$D$72:$D$91)=0,0,'TO HOP NLAN'!F97*'TS-PILE'!$D$74/SUMSQ('TS-PILE'!$D$72:$D$91))),IF('TS-PILE'!$B$75="",-1E+99,'TO HOP NLAN'!D97/ncoc+IF(SUMSQ('TS-PILE'!$E$72:$E$91)=0,0,'TO HOP NLAN'!E97*'TS-PILE'!$E$75/SUMSQ('TS-PILE'!$E$72:$E$91))+IF(SUMSQ('TS-PILE'!$D$72:$D$91)=0,0,'TO HOP NLAN'!F97*'TS-PILE'!$D$75/SUMSQ('TS-PILE'!$D$72:$D$91))),IF('TS-PILE'!$B$76="",-1E+99,'TO HOP NLAN'!D97/ncoc+IF(SUMSQ('TS-PILE'!$E$72:$E$91)=0,0,'TO HOP NLAN'!E97*'TS-PILE'!$E$76/SUMSQ('TS-PILE'!$E$72:$E$91))+IF(SUMSQ('TS-PILE'!$D$72:$D$91)=0,0,'TO HOP NLAN'!F97*'TS-PILE'!$D$76/SUMSQ('TS-PILE'!$D$72:$D$91))),IF('TS-PILE'!$B$77="",-1E+99,'TO HOP NLAN'!D97/ncoc+IF(SUMSQ('TS-PILE'!$E$72:$E$91)=0,0,'TO HOP NLAN'!E97*'TS-PILE'!$E$77/SUMSQ('TS-PILE'!$E$72:$E$91))+IF(SUMSQ('TS-PILE'!$D$72:$D$91)=0,0,'TO HOP NLAN'!F97*'TS-PILE'!$D$77/SUMSQ('TS-PILE'!$D$72:$D$91))),IF('TS-PILE'!$B$78="",-1E+99,'TO HOP NLAN'!D97/ncoc+IF(SUMSQ('TS-PILE'!$E$72:$E$91)=0,0,'TO HOP NLAN'!E97*'TS-PILE'!$E$78/SUMSQ('TS-PILE'!$E$72:$E$91))+IF(SUMSQ('TS-PILE'!$D$72:$D$91)=0,0,'TO HOP NLAN'!F97*'TS-PILE'!$D$78/SUMSQ('TS-PILE'!$D$72:$D$91))),IF('TS-PILE'!$B$79="",-1E+99,'TO HOP NLAN'!D97/ncoc+IF(SUMSQ('TS-PILE'!$E$72:$E$91)=0,0,'TO HOP NLAN'!E97*'TS-PILE'!$E$79/SUMSQ('TS-PILE'!$E$72:$E$91))+IF(SUMSQ('TS-PILE'!$D$72:$D$91)=0,0,'TO HOP NLAN'!F97*'TS-PILE'!$D$79/SUMSQ('TS-PILE'!$D$72:$D$91))),IF('TS-PILE'!$B$80="",-1E+99,'TO HOP NLAN'!D97/ncoc+IF(SUMSQ('TS-PILE'!$E$72:$E$91)=0,0,'TO HOP NLAN'!E97*'TS-PILE'!$E$80/SUMSQ('TS-PILE'!$E$72:$E$91))+IF(SUMSQ('TS-PILE'!$D$72:$D$91)=0,0,'TO HOP NLAN'!F97*'TS-PILE'!$D$80/SUMSQ('TS-PILE'!$D$72:$D$91))),IF('TS-PILE'!$B$81="",-1E+99,'TO HOP NLAN'!D97/ncoc+IF(SUMSQ('TS-PILE'!$E$72:$E$91)=0,0,'TO HOP NLAN'!E97*'TS-PILE'!$E$81/SUMSQ('TS-PILE'!$E$72:$E$91))+IF(SUMSQ('TS-PILE'!$D$72:$D$91)=0,0,'TO HOP NLAN'!F97*'TS-PILE'!$D$81/SUMSQ('TS-PILE'!$D$72:$D$91))),IF('TS-PILE'!$B$82="",-1E+99,'TO HOP NLAN'!D97/ncoc+IF(SUMSQ('TS-PILE'!$E$72:$E$91)=0,0,'TO HOP NLAN'!E97*'TS-PILE'!$E$82/SUMSQ('TS-PILE'!$E$72:$E$91))+IF(SUMSQ('TS-PILE'!$D$72:$D$91)=0,0,'TO HOP NLAN'!F97*'TS-PILE'!$D$82/SUMSQ('TS-PILE'!$D$72:$D$91))),IF('TS-PILE'!$B$83="",-1E+99,'TO HOP NLAN'!D97/ncoc+IF(SUMSQ('TS-PILE'!$E$72:$E$91)=0,0,'TO HOP NLAN'!E97*'TS-PILE'!$E$83/SUMSQ('TS-PILE'!$E$72:$E$91))+IF(SUMSQ('TS-PILE'!$D$72:$D$91)=0,0,'TO HOP NLAN'!F97*'TS-PILE'!$D$83/SUMSQ('TS-PILE'!$D$72:$D$91))),IF('TS-PILE'!$B$84="",-1E+99,'TO HOP NLAN'!D97/ncoc+IF(SUMSQ('TS-PILE'!$E$72:$E$91)=0,0,'TO HOP NLAN'!E97*'TS-PILE'!$E$84/SUMSQ('TS-PILE'!$E$72:$E$91))+IF(SUMSQ('TS-PILE'!$D$72:$D$91)=0,0,'TO HOP NLAN'!F97*'TS-PILE'!$D$84/SUMSQ('TS-PILE'!$D$72:$D$91))),IF('TS-PILE'!$B$85="",-1E+99,'TO HOP NLAN'!D97/ncoc+IF(SUMSQ('TS-PILE'!$E$72:$E$91)=0,0,'TO HOP NLAN'!E97*'TS-PILE'!$E$85/SUMSQ('TS-PILE'!$E$72:$E$91))+IF(SUMSQ('TS-PILE'!$D$72:$D$91)=0,0,'TO HOP NLAN'!F97*'TS-PILE'!$D$85/SUMSQ('TS-PILE'!$D$72:$D$91))),IF('TS-PILE'!$B$86="",-1E+99,'TO HOP NLAN'!D97/ncoc+IF(SUMSQ('TS-PILE'!$E$72:$E$91)=0,0,'TO HOP NLAN'!E97*'TS-PILE'!$E$86/SUMSQ('TS-PILE'!$E$72:$E$91))+IF(SUMSQ('TS-PILE'!$D$72:$D$91)=0,0,'TO HOP NLAN'!F97*'TS-PILE'!$D$86/SUMSQ('TS-PILE'!$D$72:$D$91))),IF('TS-PILE'!$B$87="",-1E+99,'TO HOP NLAN'!D97/ncoc+IF(SUMSQ('TS-PILE'!$E$72:$E$91)=0,0,'TO HOP NLAN'!E97*'TS-PILE'!$E$87/SUMSQ('TS-PILE'!$E$72:$E$91))+IF(SUMSQ('TS-PILE'!$D$72:$D$91)=0,0,'TO HOP NLAN'!F97*'TS-PILE'!$D$87/SUMSQ('TS-PILE'!$D$72:$D$91))),IF('TS-PILE'!$B$88="",-1E+99,'TO HOP NLAN'!D97/ncoc+IF(SUMSQ('TS-PILE'!$E$72:$E$91)=0,0,'TO HOP NLAN'!E97*'TS-PILE'!$E$88/SUMSQ('TS-PILE'!$E$72:$E$91))+IF(SUMSQ('TS-PILE'!$D$72:$D$91)=0,0,'TO HOP NLAN'!F97*'TS-PILE'!$D$88/SUMSQ('TS-PILE'!$D$72:$D$91))),IF('TS-PILE'!$B$89="",-1E+99,'TO HOP NLAN'!D97/ncoc+IF(SUMSQ('TS-PILE'!$E$72:$E$91)=0,0,'TO HOP NLAN'!E97*'TS-PILE'!$E$89/SUMSQ('TS-PILE'!$E$72:$E$91))+IF(SUMSQ('TS-PILE'!$D$72:$D$91)=0,0,'TO HOP NLAN'!F97*'TS-PILE'!$D$89/SUMSQ('TS-PILE'!$D$72:$D$91))),IF('TS-PILE'!$B$90="",-1E+99,'TO HOP NLAN'!D97/ncoc+IF(SUMSQ('TS-PILE'!$E$72:$E$91)=0,0,'TO HOP NLAN'!E97*'TS-PILE'!$E$90/SUMSQ('TS-PILE'!$E$72:$E$91))+IF(SUMSQ('TS-PILE'!$D$72:$D$91)=0,0,'TO HOP NLAN'!F97*'TS-PILE'!$D$90/SUMSQ('TS-PILE'!$D$72:$D$91))),IF('TS-PILE'!$B$91="",-1E+99,'TO HOP NLAN'!D97/ncoc+IF(SUMSQ('TS-PILE'!$E$72:$E$91)=0,0,'TO HOP NLAN'!E97*'TS-PILE'!$E$91/SUMSQ('TS-PILE'!$E$72:$E$91))+IF(SUMSQ('TS-PILE'!$D$72:$D$91)=0,0,'TO HOP NLAN'!F97*'TS-PILE'!$D$91/SUMSQ('TS-PILE'!$D$72:$D$91)))))</f>
        <v>0</v>
      </c>
      <c r="D97" s="58">
        <f>IF(A97="",0,MIN(IF('TS-PILE'!$B$72="",1E+99,'TO HOP NLAN'!D97/ncoc+IF(SUMSQ('TS-PILE'!$E$72:$E$91)=0,0,'TO HOP NLAN'!E97*'TS-PILE'!$E$72/SUMSQ('TS-PILE'!$E$72:$E$91))+IF(SUMSQ('TS-PILE'!$D$72:$D$91)=0,0,'TO HOP NLAN'!F97*'TS-PILE'!$D$72/SUMSQ('TS-PILE'!$D$72:$D$91))),IF('TS-PILE'!$B$73="",1E+99,'TO HOP NLAN'!D97/ncoc+IF(SUMSQ('TS-PILE'!$E$72:$E$91)=0,0,'TO HOP NLAN'!E97*'TS-PILE'!$E$73/SUMSQ('TS-PILE'!$E$72:$E$91))+IF(SUMSQ('TS-PILE'!$D$72:$D$91)=0,0,'TO HOP NLAN'!F97*'TS-PILE'!$D$73/SUMSQ('TS-PILE'!$D$72:$D$91))),IF('TS-PILE'!$B$74="",1E+99,'TO HOP NLAN'!D97/ncoc+IF(SUMSQ('TS-PILE'!$E$72:$E$91)=0,0,'TO HOP NLAN'!E97*'TS-PILE'!$E$74/SUMSQ('TS-PILE'!$E$72:$E$91))+IF(SUMSQ('TS-PILE'!$D$72:$D$91)=0,0,'TO HOP NLAN'!F97*'TS-PILE'!$D$74/SUMSQ('TS-PILE'!$D$72:$D$91))),IF('TS-PILE'!$B$75="",1E+99,'TO HOP NLAN'!D97/ncoc+IF(SUMSQ('TS-PILE'!$E$72:$E$91)=0,0,'TO HOP NLAN'!E97*'TS-PILE'!$E$75/SUMSQ('TS-PILE'!$E$72:$E$91))+IF(SUMSQ('TS-PILE'!$D$72:$D$91)=0,0,'TO HOP NLAN'!F97*'TS-PILE'!$D$75/SUMSQ('TS-PILE'!$D$72:$D$91))),IF('TS-PILE'!$B$76="",1E+99,'TO HOP NLAN'!D97/ncoc+IF(SUMSQ('TS-PILE'!$E$72:$E$91)=0,0,'TO HOP NLAN'!E97*'TS-PILE'!$E$76/SUMSQ('TS-PILE'!$E$72:$E$91))+IF(SUMSQ('TS-PILE'!$D$72:$D$91)=0,0,'TO HOP NLAN'!F97*'TS-PILE'!$D$76/SUMSQ('TS-PILE'!$D$72:$D$91))),IF('TS-PILE'!$B$77="",1E+99,'TO HOP NLAN'!D97/ncoc+IF(SUMSQ('TS-PILE'!$E$72:$E$91)=0,0,'TO HOP NLAN'!E97*'TS-PILE'!$E$77/SUMSQ('TS-PILE'!$E$72:$E$91))+IF(SUMSQ('TS-PILE'!$D$72:$D$91)=0,0,'TO HOP NLAN'!F97*'TS-PILE'!$D$77/SUMSQ('TS-PILE'!$D$72:$D$91))),IF('TS-PILE'!$B$78="",1E+99,'TO HOP NLAN'!D97/ncoc+IF(SUMSQ('TS-PILE'!$E$72:$E$91)=0,0,'TO HOP NLAN'!E97*'TS-PILE'!$E$78/SUMSQ('TS-PILE'!$E$72:$E$91))+IF(SUMSQ('TS-PILE'!$D$72:$D$91)=0,0,'TO HOP NLAN'!F97*'TS-PILE'!$D$78/SUMSQ('TS-PILE'!$D$72:$D$91))),IF('TS-PILE'!$B$79="",1E+99,'TO HOP NLAN'!D97/ncoc+IF(SUMSQ('TS-PILE'!$E$72:$E$91)=0,0,'TO HOP NLAN'!E97*'TS-PILE'!$E$79/SUMSQ('TS-PILE'!$E$72:$E$91))+IF(SUMSQ('TS-PILE'!$D$72:$D$91)=0,0,'TO HOP NLAN'!F97*'TS-PILE'!$D$79/SUMSQ('TS-PILE'!$D$72:$D$91))),IF('TS-PILE'!$B$80="",1E+99,'TO HOP NLAN'!D97/ncoc+IF(SUMSQ('TS-PILE'!$E$72:$E$91)=0,0,'TO HOP NLAN'!E97*'TS-PILE'!$E$80/SUMSQ('TS-PILE'!$E$72:$E$91))+IF(SUMSQ('TS-PILE'!$D$72:$D$91)=0,0,'TO HOP NLAN'!F97*'TS-PILE'!$D$80/SUMSQ('TS-PILE'!$D$72:$D$91))),IF('TS-PILE'!$B$81="",1E+99,'TO HOP NLAN'!D97/ncoc+IF(SUMSQ('TS-PILE'!$E$72:$E$91)=0,0,'TO HOP NLAN'!E97*'TS-PILE'!$E$81/SUMSQ('TS-PILE'!$E$72:$E$91))+IF(SUMSQ('TS-PILE'!$D$72:$D$91)=0,0,'TO HOP NLAN'!F97*'TS-PILE'!$D$81/SUMSQ('TS-PILE'!$D$72:$D$91))),IF('TS-PILE'!$B$82="",1E+99,'TO HOP NLAN'!D97/ncoc+IF(SUMSQ('TS-PILE'!$E$72:$E$91)=0,0,'TO HOP NLAN'!E97*'TS-PILE'!$E$82/SUMSQ('TS-PILE'!$E$72:$E$91))+IF(SUMSQ('TS-PILE'!$D$72:$D$91)=0,0,'TO HOP NLAN'!F97*'TS-PILE'!$D$82/SUMSQ('TS-PILE'!$D$72:$D$91))),IF('TS-PILE'!$B$83="",1E+99,'TO HOP NLAN'!D97/ncoc+IF(SUMSQ('TS-PILE'!$E$72:$E$91)=0,0,'TO HOP NLAN'!E97*'TS-PILE'!$E$83/SUMSQ('TS-PILE'!$E$72:$E$91))+IF(SUMSQ('TS-PILE'!$D$72:$D$91)=0,0,'TO HOP NLAN'!F97*'TS-PILE'!$D$83/SUMSQ('TS-PILE'!$D$72:$D$91))),IF('TS-PILE'!$B$84="",1E+99,'TO HOP NLAN'!D97/ncoc+IF(SUMSQ('TS-PILE'!$E$72:$E$91)=0,0,'TO HOP NLAN'!E97*'TS-PILE'!$E$84/SUMSQ('TS-PILE'!$E$72:$E$91))+IF(SUMSQ('TS-PILE'!$D$72:$D$91)=0,0,'TO HOP NLAN'!F97*'TS-PILE'!$D$84/SUMSQ('TS-PILE'!$D$72:$D$91))),IF('TS-PILE'!$B$85="",1E+99,'TO HOP NLAN'!D97/ncoc+IF(SUMSQ('TS-PILE'!$E$72:$E$91)=0,0,'TO HOP NLAN'!E97*'TS-PILE'!$E$85/SUMSQ('TS-PILE'!$E$72:$E$91))+IF(SUMSQ('TS-PILE'!$D$72:$D$91)=0,0,'TO HOP NLAN'!F97*'TS-PILE'!$D$85/SUMSQ('TS-PILE'!$D$72:$D$91))),IF('TS-PILE'!$B$86="",1E+99,'TO HOP NLAN'!D97/ncoc+IF(SUMSQ('TS-PILE'!$E$72:$E$91)=0,0,'TO HOP NLAN'!E97*'TS-PILE'!$E$86/SUMSQ('TS-PILE'!$E$72:$E$91))+IF(SUMSQ('TS-PILE'!$D$72:$D$91)=0,0,'TO HOP NLAN'!F97*'TS-PILE'!$D$86/SUMSQ('TS-PILE'!$D$72:$D$91))),IF('TS-PILE'!$B$87="",1E+99,'TO HOP NLAN'!D97/ncoc+IF(SUMSQ('TS-PILE'!$E$72:$E$91)=0,0,'TO HOP NLAN'!E97*'TS-PILE'!$E$87/SUMSQ('TS-PILE'!$E$72:$E$91))+IF(SUMSQ('TS-PILE'!$D$72:$D$91)=0,0,'TO HOP NLAN'!F97*'TS-PILE'!$D$87/SUMSQ('TS-PILE'!$D$72:$D$91))),IF('TS-PILE'!$B$88="",1E+99,'TO HOP NLAN'!D97/ncoc+IF(SUMSQ('TS-PILE'!$E$72:$E$91)=0,0,'TO HOP NLAN'!E97*'TS-PILE'!$E$88/SUMSQ('TS-PILE'!$E$72:$E$91))+IF(SUMSQ('TS-PILE'!$D$72:$D$91)=0,0,'TO HOP NLAN'!F97*'TS-PILE'!$D$88/SUMSQ('TS-PILE'!$D$72:$D$91))),IF('TS-PILE'!$B$89="",1E+99,'TO HOP NLAN'!D97/ncoc+IF(SUMSQ('TS-PILE'!$E$72:$E$91)=0,0,'TO HOP NLAN'!E97*'TS-PILE'!$E$89/SUMSQ('TS-PILE'!$E$72:$E$91))+IF(SUMSQ('TS-PILE'!$D$72:$D$91)=0,0,'TO HOP NLAN'!F97*'TS-PILE'!$D$89/SUMSQ('TS-PILE'!$D$72:$D$91))),IF('TS-PILE'!$B$90="",1E+99,'TO HOP NLAN'!D97/ncoc+IF(SUMSQ('TS-PILE'!$E$72:$E$91)=0,0,'TO HOP NLAN'!E97*'TS-PILE'!$E$90/SUMSQ('TS-PILE'!$E$72:$E$91))+IF(SUMSQ('TS-PILE'!$D$72:$D$91)=0,0,'TO HOP NLAN'!F97*'TS-PILE'!$D$90/SUMSQ('TS-PILE'!$D$72:$D$91))),IF('TS-PILE'!$B$91="",1E+99,'TO HOP NLAN'!D97/ncoc+IF(SUMSQ('TS-PILE'!$E$72:$E$91)=0,0,'TO HOP NLAN'!E97*'TS-PILE'!$E$91/SUMSQ('TS-PILE'!$E$72:$E$91))+IF(SUMSQ('TS-PILE'!$D$72:$D$91)=0,0,'TO HOP NLAN'!F97*'TS-PILE'!$D$91/SUMSQ('TS-PILE'!$D$72:$D$91)))))</f>
        <v>0</v>
      </c>
      <c r="E97" s="58">
        <f t="shared" si="4"/>
        <v>-9.9999999999999997E+98</v>
      </c>
      <c r="F97" s="58">
        <f t="shared" si="5"/>
        <v>9.9999999999999997E+98</v>
      </c>
      <c r="G97" s="58">
        <f t="shared" si="6"/>
        <v>-9.9999999999999997E+98</v>
      </c>
      <c r="H97" s="58">
        <f t="shared" si="7"/>
        <v>9.9999999999999997E+98</v>
      </c>
    </row>
    <row r="98" spans="1:8" x14ac:dyDescent="0.3">
      <c r="A98" s="42" t="str">
        <f>'TO HOP NLAN'!A98</f>
        <v/>
      </c>
      <c r="B98" s="42" t="str">
        <f>'TO HOP NLAN'!L98</f>
        <v>SERVICE</v>
      </c>
      <c r="C98" s="58">
        <f>IF(A98="",0,MAX(IF('TS-PILE'!$B$72="",-1E+99,'TO HOP NLAN'!D98/ncoc+IF(SUMSQ('TS-PILE'!$E$72:$E$91)=0,0,'TO HOP NLAN'!E98*'TS-PILE'!$E$72/SUMSQ('TS-PILE'!$E$72:$E$91))+IF(SUMSQ('TS-PILE'!$D$72:$D$91)=0,0,'TO HOP NLAN'!F98*'TS-PILE'!$D$72/SUMSQ('TS-PILE'!$D$72:$D$91))),IF('TS-PILE'!$B$73="",-1E+99,'TO HOP NLAN'!D98/ncoc+IF(SUMSQ('TS-PILE'!$E$72:$E$91)=0,0,'TO HOP NLAN'!E98*'TS-PILE'!$E$73/SUMSQ('TS-PILE'!$E$72:$E$91))+IF(SUMSQ('TS-PILE'!$D$72:$D$91)=0,0,'TO HOP NLAN'!F98*'TS-PILE'!$D$73/SUMSQ('TS-PILE'!$D$72:$D$91))),IF('TS-PILE'!$B$74="",-1E+99,'TO HOP NLAN'!D98/ncoc+IF(SUMSQ('TS-PILE'!$E$72:$E$91)=0,0,'TO HOP NLAN'!E98*'TS-PILE'!$E$74/SUMSQ('TS-PILE'!$E$72:$E$91))+IF(SUMSQ('TS-PILE'!$D$72:$D$91)=0,0,'TO HOP NLAN'!F98*'TS-PILE'!$D$74/SUMSQ('TS-PILE'!$D$72:$D$91))),IF('TS-PILE'!$B$75="",-1E+99,'TO HOP NLAN'!D98/ncoc+IF(SUMSQ('TS-PILE'!$E$72:$E$91)=0,0,'TO HOP NLAN'!E98*'TS-PILE'!$E$75/SUMSQ('TS-PILE'!$E$72:$E$91))+IF(SUMSQ('TS-PILE'!$D$72:$D$91)=0,0,'TO HOP NLAN'!F98*'TS-PILE'!$D$75/SUMSQ('TS-PILE'!$D$72:$D$91))),IF('TS-PILE'!$B$76="",-1E+99,'TO HOP NLAN'!D98/ncoc+IF(SUMSQ('TS-PILE'!$E$72:$E$91)=0,0,'TO HOP NLAN'!E98*'TS-PILE'!$E$76/SUMSQ('TS-PILE'!$E$72:$E$91))+IF(SUMSQ('TS-PILE'!$D$72:$D$91)=0,0,'TO HOP NLAN'!F98*'TS-PILE'!$D$76/SUMSQ('TS-PILE'!$D$72:$D$91))),IF('TS-PILE'!$B$77="",-1E+99,'TO HOP NLAN'!D98/ncoc+IF(SUMSQ('TS-PILE'!$E$72:$E$91)=0,0,'TO HOP NLAN'!E98*'TS-PILE'!$E$77/SUMSQ('TS-PILE'!$E$72:$E$91))+IF(SUMSQ('TS-PILE'!$D$72:$D$91)=0,0,'TO HOP NLAN'!F98*'TS-PILE'!$D$77/SUMSQ('TS-PILE'!$D$72:$D$91))),IF('TS-PILE'!$B$78="",-1E+99,'TO HOP NLAN'!D98/ncoc+IF(SUMSQ('TS-PILE'!$E$72:$E$91)=0,0,'TO HOP NLAN'!E98*'TS-PILE'!$E$78/SUMSQ('TS-PILE'!$E$72:$E$91))+IF(SUMSQ('TS-PILE'!$D$72:$D$91)=0,0,'TO HOP NLAN'!F98*'TS-PILE'!$D$78/SUMSQ('TS-PILE'!$D$72:$D$91))),IF('TS-PILE'!$B$79="",-1E+99,'TO HOP NLAN'!D98/ncoc+IF(SUMSQ('TS-PILE'!$E$72:$E$91)=0,0,'TO HOP NLAN'!E98*'TS-PILE'!$E$79/SUMSQ('TS-PILE'!$E$72:$E$91))+IF(SUMSQ('TS-PILE'!$D$72:$D$91)=0,0,'TO HOP NLAN'!F98*'TS-PILE'!$D$79/SUMSQ('TS-PILE'!$D$72:$D$91))),IF('TS-PILE'!$B$80="",-1E+99,'TO HOP NLAN'!D98/ncoc+IF(SUMSQ('TS-PILE'!$E$72:$E$91)=0,0,'TO HOP NLAN'!E98*'TS-PILE'!$E$80/SUMSQ('TS-PILE'!$E$72:$E$91))+IF(SUMSQ('TS-PILE'!$D$72:$D$91)=0,0,'TO HOP NLAN'!F98*'TS-PILE'!$D$80/SUMSQ('TS-PILE'!$D$72:$D$91))),IF('TS-PILE'!$B$81="",-1E+99,'TO HOP NLAN'!D98/ncoc+IF(SUMSQ('TS-PILE'!$E$72:$E$91)=0,0,'TO HOP NLAN'!E98*'TS-PILE'!$E$81/SUMSQ('TS-PILE'!$E$72:$E$91))+IF(SUMSQ('TS-PILE'!$D$72:$D$91)=0,0,'TO HOP NLAN'!F98*'TS-PILE'!$D$81/SUMSQ('TS-PILE'!$D$72:$D$91))),IF('TS-PILE'!$B$82="",-1E+99,'TO HOP NLAN'!D98/ncoc+IF(SUMSQ('TS-PILE'!$E$72:$E$91)=0,0,'TO HOP NLAN'!E98*'TS-PILE'!$E$82/SUMSQ('TS-PILE'!$E$72:$E$91))+IF(SUMSQ('TS-PILE'!$D$72:$D$91)=0,0,'TO HOP NLAN'!F98*'TS-PILE'!$D$82/SUMSQ('TS-PILE'!$D$72:$D$91))),IF('TS-PILE'!$B$83="",-1E+99,'TO HOP NLAN'!D98/ncoc+IF(SUMSQ('TS-PILE'!$E$72:$E$91)=0,0,'TO HOP NLAN'!E98*'TS-PILE'!$E$83/SUMSQ('TS-PILE'!$E$72:$E$91))+IF(SUMSQ('TS-PILE'!$D$72:$D$91)=0,0,'TO HOP NLAN'!F98*'TS-PILE'!$D$83/SUMSQ('TS-PILE'!$D$72:$D$91))),IF('TS-PILE'!$B$84="",-1E+99,'TO HOP NLAN'!D98/ncoc+IF(SUMSQ('TS-PILE'!$E$72:$E$91)=0,0,'TO HOP NLAN'!E98*'TS-PILE'!$E$84/SUMSQ('TS-PILE'!$E$72:$E$91))+IF(SUMSQ('TS-PILE'!$D$72:$D$91)=0,0,'TO HOP NLAN'!F98*'TS-PILE'!$D$84/SUMSQ('TS-PILE'!$D$72:$D$91))),IF('TS-PILE'!$B$85="",-1E+99,'TO HOP NLAN'!D98/ncoc+IF(SUMSQ('TS-PILE'!$E$72:$E$91)=0,0,'TO HOP NLAN'!E98*'TS-PILE'!$E$85/SUMSQ('TS-PILE'!$E$72:$E$91))+IF(SUMSQ('TS-PILE'!$D$72:$D$91)=0,0,'TO HOP NLAN'!F98*'TS-PILE'!$D$85/SUMSQ('TS-PILE'!$D$72:$D$91))),IF('TS-PILE'!$B$86="",-1E+99,'TO HOP NLAN'!D98/ncoc+IF(SUMSQ('TS-PILE'!$E$72:$E$91)=0,0,'TO HOP NLAN'!E98*'TS-PILE'!$E$86/SUMSQ('TS-PILE'!$E$72:$E$91))+IF(SUMSQ('TS-PILE'!$D$72:$D$91)=0,0,'TO HOP NLAN'!F98*'TS-PILE'!$D$86/SUMSQ('TS-PILE'!$D$72:$D$91))),IF('TS-PILE'!$B$87="",-1E+99,'TO HOP NLAN'!D98/ncoc+IF(SUMSQ('TS-PILE'!$E$72:$E$91)=0,0,'TO HOP NLAN'!E98*'TS-PILE'!$E$87/SUMSQ('TS-PILE'!$E$72:$E$91))+IF(SUMSQ('TS-PILE'!$D$72:$D$91)=0,0,'TO HOP NLAN'!F98*'TS-PILE'!$D$87/SUMSQ('TS-PILE'!$D$72:$D$91))),IF('TS-PILE'!$B$88="",-1E+99,'TO HOP NLAN'!D98/ncoc+IF(SUMSQ('TS-PILE'!$E$72:$E$91)=0,0,'TO HOP NLAN'!E98*'TS-PILE'!$E$88/SUMSQ('TS-PILE'!$E$72:$E$91))+IF(SUMSQ('TS-PILE'!$D$72:$D$91)=0,0,'TO HOP NLAN'!F98*'TS-PILE'!$D$88/SUMSQ('TS-PILE'!$D$72:$D$91))),IF('TS-PILE'!$B$89="",-1E+99,'TO HOP NLAN'!D98/ncoc+IF(SUMSQ('TS-PILE'!$E$72:$E$91)=0,0,'TO HOP NLAN'!E98*'TS-PILE'!$E$89/SUMSQ('TS-PILE'!$E$72:$E$91))+IF(SUMSQ('TS-PILE'!$D$72:$D$91)=0,0,'TO HOP NLAN'!F98*'TS-PILE'!$D$89/SUMSQ('TS-PILE'!$D$72:$D$91))),IF('TS-PILE'!$B$90="",-1E+99,'TO HOP NLAN'!D98/ncoc+IF(SUMSQ('TS-PILE'!$E$72:$E$91)=0,0,'TO HOP NLAN'!E98*'TS-PILE'!$E$90/SUMSQ('TS-PILE'!$E$72:$E$91))+IF(SUMSQ('TS-PILE'!$D$72:$D$91)=0,0,'TO HOP NLAN'!F98*'TS-PILE'!$D$90/SUMSQ('TS-PILE'!$D$72:$D$91))),IF('TS-PILE'!$B$91="",-1E+99,'TO HOP NLAN'!D98/ncoc+IF(SUMSQ('TS-PILE'!$E$72:$E$91)=0,0,'TO HOP NLAN'!E98*'TS-PILE'!$E$91/SUMSQ('TS-PILE'!$E$72:$E$91))+IF(SUMSQ('TS-PILE'!$D$72:$D$91)=0,0,'TO HOP NLAN'!F98*'TS-PILE'!$D$91/SUMSQ('TS-PILE'!$D$72:$D$91)))))</f>
        <v>0</v>
      </c>
      <c r="D98" s="58">
        <f>IF(A98="",0,MIN(IF('TS-PILE'!$B$72="",1E+99,'TO HOP NLAN'!D98/ncoc+IF(SUMSQ('TS-PILE'!$E$72:$E$91)=0,0,'TO HOP NLAN'!E98*'TS-PILE'!$E$72/SUMSQ('TS-PILE'!$E$72:$E$91))+IF(SUMSQ('TS-PILE'!$D$72:$D$91)=0,0,'TO HOP NLAN'!F98*'TS-PILE'!$D$72/SUMSQ('TS-PILE'!$D$72:$D$91))),IF('TS-PILE'!$B$73="",1E+99,'TO HOP NLAN'!D98/ncoc+IF(SUMSQ('TS-PILE'!$E$72:$E$91)=0,0,'TO HOP NLAN'!E98*'TS-PILE'!$E$73/SUMSQ('TS-PILE'!$E$72:$E$91))+IF(SUMSQ('TS-PILE'!$D$72:$D$91)=0,0,'TO HOP NLAN'!F98*'TS-PILE'!$D$73/SUMSQ('TS-PILE'!$D$72:$D$91))),IF('TS-PILE'!$B$74="",1E+99,'TO HOP NLAN'!D98/ncoc+IF(SUMSQ('TS-PILE'!$E$72:$E$91)=0,0,'TO HOP NLAN'!E98*'TS-PILE'!$E$74/SUMSQ('TS-PILE'!$E$72:$E$91))+IF(SUMSQ('TS-PILE'!$D$72:$D$91)=0,0,'TO HOP NLAN'!F98*'TS-PILE'!$D$74/SUMSQ('TS-PILE'!$D$72:$D$91))),IF('TS-PILE'!$B$75="",1E+99,'TO HOP NLAN'!D98/ncoc+IF(SUMSQ('TS-PILE'!$E$72:$E$91)=0,0,'TO HOP NLAN'!E98*'TS-PILE'!$E$75/SUMSQ('TS-PILE'!$E$72:$E$91))+IF(SUMSQ('TS-PILE'!$D$72:$D$91)=0,0,'TO HOP NLAN'!F98*'TS-PILE'!$D$75/SUMSQ('TS-PILE'!$D$72:$D$91))),IF('TS-PILE'!$B$76="",1E+99,'TO HOP NLAN'!D98/ncoc+IF(SUMSQ('TS-PILE'!$E$72:$E$91)=0,0,'TO HOP NLAN'!E98*'TS-PILE'!$E$76/SUMSQ('TS-PILE'!$E$72:$E$91))+IF(SUMSQ('TS-PILE'!$D$72:$D$91)=0,0,'TO HOP NLAN'!F98*'TS-PILE'!$D$76/SUMSQ('TS-PILE'!$D$72:$D$91))),IF('TS-PILE'!$B$77="",1E+99,'TO HOP NLAN'!D98/ncoc+IF(SUMSQ('TS-PILE'!$E$72:$E$91)=0,0,'TO HOP NLAN'!E98*'TS-PILE'!$E$77/SUMSQ('TS-PILE'!$E$72:$E$91))+IF(SUMSQ('TS-PILE'!$D$72:$D$91)=0,0,'TO HOP NLAN'!F98*'TS-PILE'!$D$77/SUMSQ('TS-PILE'!$D$72:$D$91))),IF('TS-PILE'!$B$78="",1E+99,'TO HOP NLAN'!D98/ncoc+IF(SUMSQ('TS-PILE'!$E$72:$E$91)=0,0,'TO HOP NLAN'!E98*'TS-PILE'!$E$78/SUMSQ('TS-PILE'!$E$72:$E$91))+IF(SUMSQ('TS-PILE'!$D$72:$D$91)=0,0,'TO HOP NLAN'!F98*'TS-PILE'!$D$78/SUMSQ('TS-PILE'!$D$72:$D$91))),IF('TS-PILE'!$B$79="",1E+99,'TO HOP NLAN'!D98/ncoc+IF(SUMSQ('TS-PILE'!$E$72:$E$91)=0,0,'TO HOP NLAN'!E98*'TS-PILE'!$E$79/SUMSQ('TS-PILE'!$E$72:$E$91))+IF(SUMSQ('TS-PILE'!$D$72:$D$91)=0,0,'TO HOP NLAN'!F98*'TS-PILE'!$D$79/SUMSQ('TS-PILE'!$D$72:$D$91))),IF('TS-PILE'!$B$80="",1E+99,'TO HOP NLAN'!D98/ncoc+IF(SUMSQ('TS-PILE'!$E$72:$E$91)=0,0,'TO HOP NLAN'!E98*'TS-PILE'!$E$80/SUMSQ('TS-PILE'!$E$72:$E$91))+IF(SUMSQ('TS-PILE'!$D$72:$D$91)=0,0,'TO HOP NLAN'!F98*'TS-PILE'!$D$80/SUMSQ('TS-PILE'!$D$72:$D$91))),IF('TS-PILE'!$B$81="",1E+99,'TO HOP NLAN'!D98/ncoc+IF(SUMSQ('TS-PILE'!$E$72:$E$91)=0,0,'TO HOP NLAN'!E98*'TS-PILE'!$E$81/SUMSQ('TS-PILE'!$E$72:$E$91))+IF(SUMSQ('TS-PILE'!$D$72:$D$91)=0,0,'TO HOP NLAN'!F98*'TS-PILE'!$D$81/SUMSQ('TS-PILE'!$D$72:$D$91))),IF('TS-PILE'!$B$82="",1E+99,'TO HOP NLAN'!D98/ncoc+IF(SUMSQ('TS-PILE'!$E$72:$E$91)=0,0,'TO HOP NLAN'!E98*'TS-PILE'!$E$82/SUMSQ('TS-PILE'!$E$72:$E$91))+IF(SUMSQ('TS-PILE'!$D$72:$D$91)=0,0,'TO HOP NLAN'!F98*'TS-PILE'!$D$82/SUMSQ('TS-PILE'!$D$72:$D$91))),IF('TS-PILE'!$B$83="",1E+99,'TO HOP NLAN'!D98/ncoc+IF(SUMSQ('TS-PILE'!$E$72:$E$91)=0,0,'TO HOP NLAN'!E98*'TS-PILE'!$E$83/SUMSQ('TS-PILE'!$E$72:$E$91))+IF(SUMSQ('TS-PILE'!$D$72:$D$91)=0,0,'TO HOP NLAN'!F98*'TS-PILE'!$D$83/SUMSQ('TS-PILE'!$D$72:$D$91))),IF('TS-PILE'!$B$84="",1E+99,'TO HOP NLAN'!D98/ncoc+IF(SUMSQ('TS-PILE'!$E$72:$E$91)=0,0,'TO HOP NLAN'!E98*'TS-PILE'!$E$84/SUMSQ('TS-PILE'!$E$72:$E$91))+IF(SUMSQ('TS-PILE'!$D$72:$D$91)=0,0,'TO HOP NLAN'!F98*'TS-PILE'!$D$84/SUMSQ('TS-PILE'!$D$72:$D$91))),IF('TS-PILE'!$B$85="",1E+99,'TO HOP NLAN'!D98/ncoc+IF(SUMSQ('TS-PILE'!$E$72:$E$91)=0,0,'TO HOP NLAN'!E98*'TS-PILE'!$E$85/SUMSQ('TS-PILE'!$E$72:$E$91))+IF(SUMSQ('TS-PILE'!$D$72:$D$91)=0,0,'TO HOP NLAN'!F98*'TS-PILE'!$D$85/SUMSQ('TS-PILE'!$D$72:$D$91))),IF('TS-PILE'!$B$86="",1E+99,'TO HOP NLAN'!D98/ncoc+IF(SUMSQ('TS-PILE'!$E$72:$E$91)=0,0,'TO HOP NLAN'!E98*'TS-PILE'!$E$86/SUMSQ('TS-PILE'!$E$72:$E$91))+IF(SUMSQ('TS-PILE'!$D$72:$D$91)=0,0,'TO HOP NLAN'!F98*'TS-PILE'!$D$86/SUMSQ('TS-PILE'!$D$72:$D$91))),IF('TS-PILE'!$B$87="",1E+99,'TO HOP NLAN'!D98/ncoc+IF(SUMSQ('TS-PILE'!$E$72:$E$91)=0,0,'TO HOP NLAN'!E98*'TS-PILE'!$E$87/SUMSQ('TS-PILE'!$E$72:$E$91))+IF(SUMSQ('TS-PILE'!$D$72:$D$91)=0,0,'TO HOP NLAN'!F98*'TS-PILE'!$D$87/SUMSQ('TS-PILE'!$D$72:$D$91))),IF('TS-PILE'!$B$88="",1E+99,'TO HOP NLAN'!D98/ncoc+IF(SUMSQ('TS-PILE'!$E$72:$E$91)=0,0,'TO HOP NLAN'!E98*'TS-PILE'!$E$88/SUMSQ('TS-PILE'!$E$72:$E$91))+IF(SUMSQ('TS-PILE'!$D$72:$D$91)=0,0,'TO HOP NLAN'!F98*'TS-PILE'!$D$88/SUMSQ('TS-PILE'!$D$72:$D$91))),IF('TS-PILE'!$B$89="",1E+99,'TO HOP NLAN'!D98/ncoc+IF(SUMSQ('TS-PILE'!$E$72:$E$91)=0,0,'TO HOP NLAN'!E98*'TS-PILE'!$E$89/SUMSQ('TS-PILE'!$E$72:$E$91))+IF(SUMSQ('TS-PILE'!$D$72:$D$91)=0,0,'TO HOP NLAN'!F98*'TS-PILE'!$D$89/SUMSQ('TS-PILE'!$D$72:$D$91))),IF('TS-PILE'!$B$90="",1E+99,'TO HOP NLAN'!D98/ncoc+IF(SUMSQ('TS-PILE'!$E$72:$E$91)=0,0,'TO HOP NLAN'!E98*'TS-PILE'!$E$90/SUMSQ('TS-PILE'!$E$72:$E$91))+IF(SUMSQ('TS-PILE'!$D$72:$D$91)=0,0,'TO HOP NLAN'!F98*'TS-PILE'!$D$90/SUMSQ('TS-PILE'!$D$72:$D$91))),IF('TS-PILE'!$B$91="",1E+99,'TO HOP NLAN'!D98/ncoc+IF(SUMSQ('TS-PILE'!$E$72:$E$91)=0,0,'TO HOP NLAN'!E98*'TS-PILE'!$E$91/SUMSQ('TS-PILE'!$E$72:$E$91))+IF(SUMSQ('TS-PILE'!$D$72:$D$91)=0,0,'TO HOP NLAN'!F98*'TS-PILE'!$D$91/SUMSQ('TS-PILE'!$D$72:$D$91)))))</f>
        <v>0</v>
      </c>
      <c r="E98" s="58">
        <f t="shared" si="4"/>
        <v>-9.9999999999999997E+98</v>
      </c>
      <c r="F98" s="58">
        <f t="shared" si="5"/>
        <v>9.9999999999999997E+98</v>
      </c>
      <c r="G98" s="58">
        <f t="shared" si="6"/>
        <v>-9.9999999999999997E+98</v>
      </c>
      <c r="H98" s="58">
        <f t="shared" si="7"/>
        <v>9.9999999999999997E+98</v>
      </c>
    </row>
    <row r="99" spans="1:8" x14ac:dyDescent="0.3">
      <c r="A99" s="42" t="str">
        <f>'TO HOP NLAN'!A99</f>
        <v/>
      </c>
      <c r="B99" s="42" t="str">
        <f>'TO HOP NLAN'!L99</f>
        <v>SERVICE</v>
      </c>
      <c r="C99" s="58">
        <f>IF(A99="",0,MAX(IF('TS-PILE'!$B$72="",-1E+99,'TO HOP NLAN'!D99/ncoc+IF(SUMSQ('TS-PILE'!$E$72:$E$91)=0,0,'TO HOP NLAN'!E99*'TS-PILE'!$E$72/SUMSQ('TS-PILE'!$E$72:$E$91))+IF(SUMSQ('TS-PILE'!$D$72:$D$91)=0,0,'TO HOP NLAN'!F99*'TS-PILE'!$D$72/SUMSQ('TS-PILE'!$D$72:$D$91))),IF('TS-PILE'!$B$73="",-1E+99,'TO HOP NLAN'!D99/ncoc+IF(SUMSQ('TS-PILE'!$E$72:$E$91)=0,0,'TO HOP NLAN'!E99*'TS-PILE'!$E$73/SUMSQ('TS-PILE'!$E$72:$E$91))+IF(SUMSQ('TS-PILE'!$D$72:$D$91)=0,0,'TO HOP NLAN'!F99*'TS-PILE'!$D$73/SUMSQ('TS-PILE'!$D$72:$D$91))),IF('TS-PILE'!$B$74="",-1E+99,'TO HOP NLAN'!D99/ncoc+IF(SUMSQ('TS-PILE'!$E$72:$E$91)=0,0,'TO HOP NLAN'!E99*'TS-PILE'!$E$74/SUMSQ('TS-PILE'!$E$72:$E$91))+IF(SUMSQ('TS-PILE'!$D$72:$D$91)=0,0,'TO HOP NLAN'!F99*'TS-PILE'!$D$74/SUMSQ('TS-PILE'!$D$72:$D$91))),IF('TS-PILE'!$B$75="",-1E+99,'TO HOP NLAN'!D99/ncoc+IF(SUMSQ('TS-PILE'!$E$72:$E$91)=0,0,'TO HOP NLAN'!E99*'TS-PILE'!$E$75/SUMSQ('TS-PILE'!$E$72:$E$91))+IF(SUMSQ('TS-PILE'!$D$72:$D$91)=0,0,'TO HOP NLAN'!F99*'TS-PILE'!$D$75/SUMSQ('TS-PILE'!$D$72:$D$91))),IF('TS-PILE'!$B$76="",-1E+99,'TO HOP NLAN'!D99/ncoc+IF(SUMSQ('TS-PILE'!$E$72:$E$91)=0,0,'TO HOP NLAN'!E99*'TS-PILE'!$E$76/SUMSQ('TS-PILE'!$E$72:$E$91))+IF(SUMSQ('TS-PILE'!$D$72:$D$91)=0,0,'TO HOP NLAN'!F99*'TS-PILE'!$D$76/SUMSQ('TS-PILE'!$D$72:$D$91))),IF('TS-PILE'!$B$77="",-1E+99,'TO HOP NLAN'!D99/ncoc+IF(SUMSQ('TS-PILE'!$E$72:$E$91)=0,0,'TO HOP NLAN'!E99*'TS-PILE'!$E$77/SUMSQ('TS-PILE'!$E$72:$E$91))+IF(SUMSQ('TS-PILE'!$D$72:$D$91)=0,0,'TO HOP NLAN'!F99*'TS-PILE'!$D$77/SUMSQ('TS-PILE'!$D$72:$D$91))),IF('TS-PILE'!$B$78="",-1E+99,'TO HOP NLAN'!D99/ncoc+IF(SUMSQ('TS-PILE'!$E$72:$E$91)=0,0,'TO HOP NLAN'!E99*'TS-PILE'!$E$78/SUMSQ('TS-PILE'!$E$72:$E$91))+IF(SUMSQ('TS-PILE'!$D$72:$D$91)=0,0,'TO HOP NLAN'!F99*'TS-PILE'!$D$78/SUMSQ('TS-PILE'!$D$72:$D$91))),IF('TS-PILE'!$B$79="",-1E+99,'TO HOP NLAN'!D99/ncoc+IF(SUMSQ('TS-PILE'!$E$72:$E$91)=0,0,'TO HOP NLAN'!E99*'TS-PILE'!$E$79/SUMSQ('TS-PILE'!$E$72:$E$91))+IF(SUMSQ('TS-PILE'!$D$72:$D$91)=0,0,'TO HOP NLAN'!F99*'TS-PILE'!$D$79/SUMSQ('TS-PILE'!$D$72:$D$91))),IF('TS-PILE'!$B$80="",-1E+99,'TO HOP NLAN'!D99/ncoc+IF(SUMSQ('TS-PILE'!$E$72:$E$91)=0,0,'TO HOP NLAN'!E99*'TS-PILE'!$E$80/SUMSQ('TS-PILE'!$E$72:$E$91))+IF(SUMSQ('TS-PILE'!$D$72:$D$91)=0,0,'TO HOP NLAN'!F99*'TS-PILE'!$D$80/SUMSQ('TS-PILE'!$D$72:$D$91))),IF('TS-PILE'!$B$81="",-1E+99,'TO HOP NLAN'!D99/ncoc+IF(SUMSQ('TS-PILE'!$E$72:$E$91)=0,0,'TO HOP NLAN'!E99*'TS-PILE'!$E$81/SUMSQ('TS-PILE'!$E$72:$E$91))+IF(SUMSQ('TS-PILE'!$D$72:$D$91)=0,0,'TO HOP NLAN'!F99*'TS-PILE'!$D$81/SUMSQ('TS-PILE'!$D$72:$D$91))),IF('TS-PILE'!$B$82="",-1E+99,'TO HOP NLAN'!D99/ncoc+IF(SUMSQ('TS-PILE'!$E$72:$E$91)=0,0,'TO HOP NLAN'!E99*'TS-PILE'!$E$82/SUMSQ('TS-PILE'!$E$72:$E$91))+IF(SUMSQ('TS-PILE'!$D$72:$D$91)=0,0,'TO HOP NLAN'!F99*'TS-PILE'!$D$82/SUMSQ('TS-PILE'!$D$72:$D$91))),IF('TS-PILE'!$B$83="",-1E+99,'TO HOP NLAN'!D99/ncoc+IF(SUMSQ('TS-PILE'!$E$72:$E$91)=0,0,'TO HOP NLAN'!E99*'TS-PILE'!$E$83/SUMSQ('TS-PILE'!$E$72:$E$91))+IF(SUMSQ('TS-PILE'!$D$72:$D$91)=0,0,'TO HOP NLAN'!F99*'TS-PILE'!$D$83/SUMSQ('TS-PILE'!$D$72:$D$91))),IF('TS-PILE'!$B$84="",-1E+99,'TO HOP NLAN'!D99/ncoc+IF(SUMSQ('TS-PILE'!$E$72:$E$91)=0,0,'TO HOP NLAN'!E99*'TS-PILE'!$E$84/SUMSQ('TS-PILE'!$E$72:$E$91))+IF(SUMSQ('TS-PILE'!$D$72:$D$91)=0,0,'TO HOP NLAN'!F99*'TS-PILE'!$D$84/SUMSQ('TS-PILE'!$D$72:$D$91))),IF('TS-PILE'!$B$85="",-1E+99,'TO HOP NLAN'!D99/ncoc+IF(SUMSQ('TS-PILE'!$E$72:$E$91)=0,0,'TO HOP NLAN'!E99*'TS-PILE'!$E$85/SUMSQ('TS-PILE'!$E$72:$E$91))+IF(SUMSQ('TS-PILE'!$D$72:$D$91)=0,0,'TO HOP NLAN'!F99*'TS-PILE'!$D$85/SUMSQ('TS-PILE'!$D$72:$D$91))),IF('TS-PILE'!$B$86="",-1E+99,'TO HOP NLAN'!D99/ncoc+IF(SUMSQ('TS-PILE'!$E$72:$E$91)=0,0,'TO HOP NLAN'!E99*'TS-PILE'!$E$86/SUMSQ('TS-PILE'!$E$72:$E$91))+IF(SUMSQ('TS-PILE'!$D$72:$D$91)=0,0,'TO HOP NLAN'!F99*'TS-PILE'!$D$86/SUMSQ('TS-PILE'!$D$72:$D$91))),IF('TS-PILE'!$B$87="",-1E+99,'TO HOP NLAN'!D99/ncoc+IF(SUMSQ('TS-PILE'!$E$72:$E$91)=0,0,'TO HOP NLAN'!E99*'TS-PILE'!$E$87/SUMSQ('TS-PILE'!$E$72:$E$91))+IF(SUMSQ('TS-PILE'!$D$72:$D$91)=0,0,'TO HOP NLAN'!F99*'TS-PILE'!$D$87/SUMSQ('TS-PILE'!$D$72:$D$91))),IF('TS-PILE'!$B$88="",-1E+99,'TO HOP NLAN'!D99/ncoc+IF(SUMSQ('TS-PILE'!$E$72:$E$91)=0,0,'TO HOP NLAN'!E99*'TS-PILE'!$E$88/SUMSQ('TS-PILE'!$E$72:$E$91))+IF(SUMSQ('TS-PILE'!$D$72:$D$91)=0,0,'TO HOP NLAN'!F99*'TS-PILE'!$D$88/SUMSQ('TS-PILE'!$D$72:$D$91))),IF('TS-PILE'!$B$89="",-1E+99,'TO HOP NLAN'!D99/ncoc+IF(SUMSQ('TS-PILE'!$E$72:$E$91)=0,0,'TO HOP NLAN'!E99*'TS-PILE'!$E$89/SUMSQ('TS-PILE'!$E$72:$E$91))+IF(SUMSQ('TS-PILE'!$D$72:$D$91)=0,0,'TO HOP NLAN'!F99*'TS-PILE'!$D$89/SUMSQ('TS-PILE'!$D$72:$D$91))),IF('TS-PILE'!$B$90="",-1E+99,'TO HOP NLAN'!D99/ncoc+IF(SUMSQ('TS-PILE'!$E$72:$E$91)=0,0,'TO HOP NLAN'!E99*'TS-PILE'!$E$90/SUMSQ('TS-PILE'!$E$72:$E$91))+IF(SUMSQ('TS-PILE'!$D$72:$D$91)=0,0,'TO HOP NLAN'!F99*'TS-PILE'!$D$90/SUMSQ('TS-PILE'!$D$72:$D$91))),IF('TS-PILE'!$B$91="",-1E+99,'TO HOP NLAN'!D99/ncoc+IF(SUMSQ('TS-PILE'!$E$72:$E$91)=0,0,'TO HOP NLAN'!E99*'TS-PILE'!$E$91/SUMSQ('TS-PILE'!$E$72:$E$91))+IF(SUMSQ('TS-PILE'!$D$72:$D$91)=0,0,'TO HOP NLAN'!F99*'TS-PILE'!$D$91/SUMSQ('TS-PILE'!$D$72:$D$91)))))</f>
        <v>0</v>
      </c>
      <c r="D99" s="58">
        <f>IF(A99="",0,MIN(IF('TS-PILE'!$B$72="",1E+99,'TO HOP NLAN'!D99/ncoc+IF(SUMSQ('TS-PILE'!$E$72:$E$91)=0,0,'TO HOP NLAN'!E99*'TS-PILE'!$E$72/SUMSQ('TS-PILE'!$E$72:$E$91))+IF(SUMSQ('TS-PILE'!$D$72:$D$91)=0,0,'TO HOP NLAN'!F99*'TS-PILE'!$D$72/SUMSQ('TS-PILE'!$D$72:$D$91))),IF('TS-PILE'!$B$73="",1E+99,'TO HOP NLAN'!D99/ncoc+IF(SUMSQ('TS-PILE'!$E$72:$E$91)=0,0,'TO HOP NLAN'!E99*'TS-PILE'!$E$73/SUMSQ('TS-PILE'!$E$72:$E$91))+IF(SUMSQ('TS-PILE'!$D$72:$D$91)=0,0,'TO HOP NLAN'!F99*'TS-PILE'!$D$73/SUMSQ('TS-PILE'!$D$72:$D$91))),IF('TS-PILE'!$B$74="",1E+99,'TO HOP NLAN'!D99/ncoc+IF(SUMSQ('TS-PILE'!$E$72:$E$91)=0,0,'TO HOP NLAN'!E99*'TS-PILE'!$E$74/SUMSQ('TS-PILE'!$E$72:$E$91))+IF(SUMSQ('TS-PILE'!$D$72:$D$91)=0,0,'TO HOP NLAN'!F99*'TS-PILE'!$D$74/SUMSQ('TS-PILE'!$D$72:$D$91))),IF('TS-PILE'!$B$75="",1E+99,'TO HOP NLAN'!D99/ncoc+IF(SUMSQ('TS-PILE'!$E$72:$E$91)=0,0,'TO HOP NLAN'!E99*'TS-PILE'!$E$75/SUMSQ('TS-PILE'!$E$72:$E$91))+IF(SUMSQ('TS-PILE'!$D$72:$D$91)=0,0,'TO HOP NLAN'!F99*'TS-PILE'!$D$75/SUMSQ('TS-PILE'!$D$72:$D$91))),IF('TS-PILE'!$B$76="",1E+99,'TO HOP NLAN'!D99/ncoc+IF(SUMSQ('TS-PILE'!$E$72:$E$91)=0,0,'TO HOP NLAN'!E99*'TS-PILE'!$E$76/SUMSQ('TS-PILE'!$E$72:$E$91))+IF(SUMSQ('TS-PILE'!$D$72:$D$91)=0,0,'TO HOP NLAN'!F99*'TS-PILE'!$D$76/SUMSQ('TS-PILE'!$D$72:$D$91))),IF('TS-PILE'!$B$77="",1E+99,'TO HOP NLAN'!D99/ncoc+IF(SUMSQ('TS-PILE'!$E$72:$E$91)=0,0,'TO HOP NLAN'!E99*'TS-PILE'!$E$77/SUMSQ('TS-PILE'!$E$72:$E$91))+IF(SUMSQ('TS-PILE'!$D$72:$D$91)=0,0,'TO HOP NLAN'!F99*'TS-PILE'!$D$77/SUMSQ('TS-PILE'!$D$72:$D$91))),IF('TS-PILE'!$B$78="",1E+99,'TO HOP NLAN'!D99/ncoc+IF(SUMSQ('TS-PILE'!$E$72:$E$91)=0,0,'TO HOP NLAN'!E99*'TS-PILE'!$E$78/SUMSQ('TS-PILE'!$E$72:$E$91))+IF(SUMSQ('TS-PILE'!$D$72:$D$91)=0,0,'TO HOP NLAN'!F99*'TS-PILE'!$D$78/SUMSQ('TS-PILE'!$D$72:$D$91))),IF('TS-PILE'!$B$79="",1E+99,'TO HOP NLAN'!D99/ncoc+IF(SUMSQ('TS-PILE'!$E$72:$E$91)=0,0,'TO HOP NLAN'!E99*'TS-PILE'!$E$79/SUMSQ('TS-PILE'!$E$72:$E$91))+IF(SUMSQ('TS-PILE'!$D$72:$D$91)=0,0,'TO HOP NLAN'!F99*'TS-PILE'!$D$79/SUMSQ('TS-PILE'!$D$72:$D$91))),IF('TS-PILE'!$B$80="",1E+99,'TO HOP NLAN'!D99/ncoc+IF(SUMSQ('TS-PILE'!$E$72:$E$91)=0,0,'TO HOP NLAN'!E99*'TS-PILE'!$E$80/SUMSQ('TS-PILE'!$E$72:$E$91))+IF(SUMSQ('TS-PILE'!$D$72:$D$91)=0,0,'TO HOP NLAN'!F99*'TS-PILE'!$D$80/SUMSQ('TS-PILE'!$D$72:$D$91))),IF('TS-PILE'!$B$81="",1E+99,'TO HOP NLAN'!D99/ncoc+IF(SUMSQ('TS-PILE'!$E$72:$E$91)=0,0,'TO HOP NLAN'!E99*'TS-PILE'!$E$81/SUMSQ('TS-PILE'!$E$72:$E$91))+IF(SUMSQ('TS-PILE'!$D$72:$D$91)=0,0,'TO HOP NLAN'!F99*'TS-PILE'!$D$81/SUMSQ('TS-PILE'!$D$72:$D$91))),IF('TS-PILE'!$B$82="",1E+99,'TO HOP NLAN'!D99/ncoc+IF(SUMSQ('TS-PILE'!$E$72:$E$91)=0,0,'TO HOP NLAN'!E99*'TS-PILE'!$E$82/SUMSQ('TS-PILE'!$E$72:$E$91))+IF(SUMSQ('TS-PILE'!$D$72:$D$91)=0,0,'TO HOP NLAN'!F99*'TS-PILE'!$D$82/SUMSQ('TS-PILE'!$D$72:$D$91))),IF('TS-PILE'!$B$83="",1E+99,'TO HOP NLAN'!D99/ncoc+IF(SUMSQ('TS-PILE'!$E$72:$E$91)=0,0,'TO HOP NLAN'!E99*'TS-PILE'!$E$83/SUMSQ('TS-PILE'!$E$72:$E$91))+IF(SUMSQ('TS-PILE'!$D$72:$D$91)=0,0,'TO HOP NLAN'!F99*'TS-PILE'!$D$83/SUMSQ('TS-PILE'!$D$72:$D$91))),IF('TS-PILE'!$B$84="",1E+99,'TO HOP NLAN'!D99/ncoc+IF(SUMSQ('TS-PILE'!$E$72:$E$91)=0,0,'TO HOP NLAN'!E99*'TS-PILE'!$E$84/SUMSQ('TS-PILE'!$E$72:$E$91))+IF(SUMSQ('TS-PILE'!$D$72:$D$91)=0,0,'TO HOP NLAN'!F99*'TS-PILE'!$D$84/SUMSQ('TS-PILE'!$D$72:$D$91))),IF('TS-PILE'!$B$85="",1E+99,'TO HOP NLAN'!D99/ncoc+IF(SUMSQ('TS-PILE'!$E$72:$E$91)=0,0,'TO HOP NLAN'!E99*'TS-PILE'!$E$85/SUMSQ('TS-PILE'!$E$72:$E$91))+IF(SUMSQ('TS-PILE'!$D$72:$D$91)=0,0,'TO HOP NLAN'!F99*'TS-PILE'!$D$85/SUMSQ('TS-PILE'!$D$72:$D$91))),IF('TS-PILE'!$B$86="",1E+99,'TO HOP NLAN'!D99/ncoc+IF(SUMSQ('TS-PILE'!$E$72:$E$91)=0,0,'TO HOP NLAN'!E99*'TS-PILE'!$E$86/SUMSQ('TS-PILE'!$E$72:$E$91))+IF(SUMSQ('TS-PILE'!$D$72:$D$91)=0,0,'TO HOP NLAN'!F99*'TS-PILE'!$D$86/SUMSQ('TS-PILE'!$D$72:$D$91))),IF('TS-PILE'!$B$87="",1E+99,'TO HOP NLAN'!D99/ncoc+IF(SUMSQ('TS-PILE'!$E$72:$E$91)=0,0,'TO HOP NLAN'!E99*'TS-PILE'!$E$87/SUMSQ('TS-PILE'!$E$72:$E$91))+IF(SUMSQ('TS-PILE'!$D$72:$D$91)=0,0,'TO HOP NLAN'!F99*'TS-PILE'!$D$87/SUMSQ('TS-PILE'!$D$72:$D$91))),IF('TS-PILE'!$B$88="",1E+99,'TO HOP NLAN'!D99/ncoc+IF(SUMSQ('TS-PILE'!$E$72:$E$91)=0,0,'TO HOP NLAN'!E99*'TS-PILE'!$E$88/SUMSQ('TS-PILE'!$E$72:$E$91))+IF(SUMSQ('TS-PILE'!$D$72:$D$91)=0,0,'TO HOP NLAN'!F99*'TS-PILE'!$D$88/SUMSQ('TS-PILE'!$D$72:$D$91))),IF('TS-PILE'!$B$89="",1E+99,'TO HOP NLAN'!D99/ncoc+IF(SUMSQ('TS-PILE'!$E$72:$E$91)=0,0,'TO HOP NLAN'!E99*'TS-PILE'!$E$89/SUMSQ('TS-PILE'!$E$72:$E$91))+IF(SUMSQ('TS-PILE'!$D$72:$D$91)=0,0,'TO HOP NLAN'!F99*'TS-PILE'!$D$89/SUMSQ('TS-PILE'!$D$72:$D$91))),IF('TS-PILE'!$B$90="",1E+99,'TO HOP NLAN'!D99/ncoc+IF(SUMSQ('TS-PILE'!$E$72:$E$91)=0,0,'TO HOP NLAN'!E99*'TS-PILE'!$E$90/SUMSQ('TS-PILE'!$E$72:$E$91))+IF(SUMSQ('TS-PILE'!$D$72:$D$91)=0,0,'TO HOP NLAN'!F99*'TS-PILE'!$D$90/SUMSQ('TS-PILE'!$D$72:$D$91))),IF('TS-PILE'!$B$91="",1E+99,'TO HOP NLAN'!D99/ncoc+IF(SUMSQ('TS-PILE'!$E$72:$E$91)=0,0,'TO HOP NLAN'!E99*'TS-PILE'!$E$91/SUMSQ('TS-PILE'!$E$72:$E$91))+IF(SUMSQ('TS-PILE'!$D$72:$D$91)=0,0,'TO HOP NLAN'!F99*'TS-PILE'!$D$91/SUMSQ('TS-PILE'!$D$72:$D$91)))))</f>
        <v>0</v>
      </c>
      <c r="E99" s="58">
        <f t="shared" si="4"/>
        <v>-9.9999999999999997E+98</v>
      </c>
      <c r="F99" s="58">
        <f t="shared" si="5"/>
        <v>9.9999999999999997E+98</v>
      </c>
      <c r="G99" s="58">
        <f t="shared" si="6"/>
        <v>-9.9999999999999997E+98</v>
      </c>
      <c r="H99" s="58">
        <f t="shared" si="7"/>
        <v>9.9999999999999997E+98</v>
      </c>
    </row>
    <row r="100" spans="1:8" x14ac:dyDescent="0.3">
      <c r="A100" s="42" t="str">
        <f>'TO HOP NLAN'!A100</f>
        <v/>
      </c>
      <c r="B100" s="42" t="str">
        <f>'TO HOP NLAN'!L100</f>
        <v>SERVICE</v>
      </c>
      <c r="C100" s="58">
        <f>IF(A100="",0,MAX(IF('TS-PILE'!$B$72="",-1E+99,'TO HOP NLAN'!D100/ncoc+IF(SUMSQ('TS-PILE'!$E$72:$E$91)=0,0,'TO HOP NLAN'!E100*'TS-PILE'!$E$72/SUMSQ('TS-PILE'!$E$72:$E$91))+IF(SUMSQ('TS-PILE'!$D$72:$D$91)=0,0,'TO HOP NLAN'!F100*'TS-PILE'!$D$72/SUMSQ('TS-PILE'!$D$72:$D$91))),IF('TS-PILE'!$B$73="",-1E+99,'TO HOP NLAN'!D100/ncoc+IF(SUMSQ('TS-PILE'!$E$72:$E$91)=0,0,'TO HOP NLAN'!E100*'TS-PILE'!$E$73/SUMSQ('TS-PILE'!$E$72:$E$91))+IF(SUMSQ('TS-PILE'!$D$72:$D$91)=0,0,'TO HOP NLAN'!F100*'TS-PILE'!$D$73/SUMSQ('TS-PILE'!$D$72:$D$91))),IF('TS-PILE'!$B$74="",-1E+99,'TO HOP NLAN'!D100/ncoc+IF(SUMSQ('TS-PILE'!$E$72:$E$91)=0,0,'TO HOP NLAN'!E100*'TS-PILE'!$E$74/SUMSQ('TS-PILE'!$E$72:$E$91))+IF(SUMSQ('TS-PILE'!$D$72:$D$91)=0,0,'TO HOP NLAN'!F100*'TS-PILE'!$D$74/SUMSQ('TS-PILE'!$D$72:$D$91))),IF('TS-PILE'!$B$75="",-1E+99,'TO HOP NLAN'!D100/ncoc+IF(SUMSQ('TS-PILE'!$E$72:$E$91)=0,0,'TO HOP NLAN'!E100*'TS-PILE'!$E$75/SUMSQ('TS-PILE'!$E$72:$E$91))+IF(SUMSQ('TS-PILE'!$D$72:$D$91)=0,0,'TO HOP NLAN'!F100*'TS-PILE'!$D$75/SUMSQ('TS-PILE'!$D$72:$D$91))),IF('TS-PILE'!$B$76="",-1E+99,'TO HOP NLAN'!D100/ncoc+IF(SUMSQ('TS-PILE'!$E$72:$E$91)=0,0,'TO HOP NLAN'!E100*'TS-PILE'!$E$76/SUMSQ('TS-PILE'!$E$72:$E$91))+IF(SUMSQ('TS-PILE'!$D$72:$D$91)=0,0,'TO HOP NLAN'!F100*'TS-PILE'!$D$76/SUMSQ('TS-PILE'!$D$72:$D$91))),IF('TS-PILE'!$B$77="",-1E+99,'TO HOP NLAN'!D100/ncoc+IF(SUMSQ('TS-PILE'!$E$72:$E$91)=0,0,'TO HOP NLAN'!E100*'TS-PILE'!$E$77/SUMSQ('TS-PILE'!$E$72:$E$91))+IF(SUMSQ('TS-PILE'!$D$72:$D$91)=0,0,'TO HOP NLAN'!F100*'TS-PILE'!$D$77/SUMSQ('TS-PILE'!$D$72:$D$91))),IF('TS-PILE'!$B$78="",-1E+99,'TO HOP NLAN'!D100/ncoc+IF(SUMSQ('TS-PILE'!$E$72:$E$91)=0,0,'TO HOP NLAN'!E100*'TS-PILE'!$E$78/SUMSQ('TS-PILE'!$E$72:$E$91))+IF(SUMSQ('TS-PILE'!$D$72:$D$91)=0,0,'TO HOP NLAN'!F100*'TS-PILE'!$D$78/SUMSQ('TS-PILE'!$D$72:$D$91))),IF('TS-PILE'!$B$79="",-1E+99,'TO HOP NLAN'!D100/ncoc+IF(SUMSQ('TS-PILE'!$E$72:$E$91)=0,0,'TO HOP NLAN'!E100*'TS-PILE'!$E$79/SUMSQ('TS-PILE'!$E$72:$E$91))+IF(SUMSQ('TS-PILE'!$D$72:$D$91)=0,0,'TO HOP NLAN'!F100*'TS-PILE'!$D$79/SUMSQ('TS-PILE'!$D$72:$D$91))),IF('TS-PILE'!$B$80="",-1E+99,'TO HOP NLAN'!D100/ncoc+IF(SUMSQ('TS-PILE'!$E$72:$E$91)=0,0,'TO HOP NLAN'!E100*'TS-PILE'!$E$80/SUMSQ('TS-PILE'!$E$72:$E$91))+IF(SUMSQ('TS-PILE'!$D$72:$D$91)=0,0,'TO HOP NLAN'!F100*'TS-PILE'!$D$80/SUMSQ('TS-PILE'!$D$72:$D$91))),IF('TS-PILE'!$B$81="",-1E+99,'TO HOP NLAN'!D100/ncoc+IF(SUMSQ('TS-PILE'!$E$72:$E$91)=0,0,'TO HOP NLAN'!E100*'TS-PILE'!$E$81/SUMSQ('TS-PILE'!$E$72:$E$91))+IF(SUMSQ('TS-PILE'!$D$72:$D$91)=0,0,'TO HOP NLAN'!F100*'TS-PILE'!$D$81/SUMSQ('TS-PILE'!$D$72:$D$91))),IF('TS-PILE'!$B$82="",-1E+99,'TO HOP NLAN'!D100/ncoc+IF(SUMSQ('TS-PILE'!$E$72:$E$91)=0,0,'TO HOP NLAN'!E100*'TS-PILE'!$E$82/SUMSQ('TS-PILE'!$E$72:$E$91))+IF(SUMSQ('TS-PILE'!$D$72:$D$91)=0,0,'TO HOP NLAN'!F100*'TS-PILE'!$D$82/SUMSQ('TS-PILE'!$D$72:$D$91))),IF('TS-PILE'!$B$83="",-1E+99,'TO HOP NLAN'!D100/ncoc+IF(SUMSQ('TS-PILE'!$E$72:$E$91)=0,0,'TO HOP NLAN'!E100*'TS-PILE'!$E$83/SUMSQ('TS-PILE'!$E$72:$E$91))+IF(SUMSQ('TS-PILE'!$D$72:$D$91)=0,0,'TO HOP NLAN'!F100*'TS-PILE'!$D$83/SUMSQ('TS-PILE'!$D$72:$D$91))),IF('TS-PILE'!$B$84="",-1E+99,'TO HOP NLAN'!D100/ncoc+IF(SUMSQ('TS-PILE'!$E$72:$E$91)=0,0,'TO HOP NLAN'!E100*'TS-PILE'!$E$84/SUMSQ('TS-PILE'!$E$72:$E$91))+IF(SUMSQ('TS-PILE'!$D$72:$D$91)=0,0,'TO HOP NLAN'!F100*'TS-PILE'!$D$84/SUMSQ('TS-PILE'!$D$72:$D$91))),IF('TS-PILE'!$B$85="",-1E+99,'TO HOP NLAN'!D100/ncoc+IF(SUMSQ('TS-PILE'!$E$72:$E$91)=0,0,'TO HOP NLAN'!E100*'TS-PILE'!$E$85/SUMSQ('TS-PILE'!$E$72:$E$91))+IF(SUMSQ('TS-PILE'!$D$72:$D$91)=0,0,'TO HOP NLAN'!F100*'TS-PILE'!$D$85/SUMSQ('TS-PILE'!$D$72:$D$91))),IF('TS-PILE'!$B$86="",-1E+99,'TO HOP NLAN'!D100/ncoc+IF(SUMSQ('TS-PILE'!$E$72:$E$91)=0,0,'TO HOP NLAN'!E100*'TS-PILE'!$E$86/SUMSQ('TS-PILE'!$E$72:$E$91))+IF(SUMSQ('TS-PILE'!$D$72:$D$91)=0,0,'TO HOP NLAN'!F100*'TS-PILE'!$D$86/SUMSQ('TS-PILE'!$D$72:$D$91))),IF('TS-PILE'!$B$87="",-1E+99,'TO HOP NLAN'!D100/ncoc+IF(SUMSQ('TS-PILE'!$E$72:$E$91)=0,0,'TO HOP NLAN'!E100*'TS-PILE'!$E$87/SUMSQ('TS-PILE'!$E$72:$E$91))+IF(SUMSQ('TS-PILE'!$D$72:$D$91)=0,0,'TO HOP NLAN'!F100*'TS-PILE'!$D$87/SUMSQ('TS-PILE'!$D$72:$D$91))),IF('TS-PILE'!$B$88="",-1E+99,'TO HOP NLAN'!D100/ncoc+IF(SUMSQ('TS-PILE'!$E$72:$E$91)=0,0,'TO HOP NLAN'!E100*'TS-PILE'!$E$88/SUMSQ('TS-PILE'!$E$72:$E$91))+IF(SUMSQ('TS-PILE'!$D$72:$D$91)=0,0,'TO HOP NLAN'!F100*'TS-PILE'!$D$88/SUMSQ('TS-PILE'!$D$72:$D$91))),IF('TS-PILE'!$B$89="",-1E+99,'TO HOP NLAN'!D100/ncoc+IF(SUMSQ('TS-PILE'!$E$72:$E$91)=0,0,'TO HOP NLAN'!E100*'TS-PILE'!$E$89/SUMSQ('TS-PILE'!$E$72:$E$91))+IF(SUMSQ('TS-PILE'!$D$72:$D$91)=0,0,'TO HOP NLAN'!F100*'TS-PILE'!$D$89/SUMSQ('TS-PILE'!$D$72:$D$91))),IF('TS-PILE'!$B$90="",-1E+99,'TO HOP NLAN'!D100/ncoc+IF(SUMSQ('TS-PILE'!$E$72:$E$91)=0,0,'TO HOP NLAN'!E100*'TS-PILE'!$E$90/SUMSQ('TS-PILE'!$E$72:$E$91))+IF(SUMSQ('TS-PILE'!$D$72:$D$91)=0,0,'TO HOP NLAN'!F100*'TS-PILE'!$D$90/SUMSQ('TS-PILE'!$D$72:$D$91))),IF('TS-PILE'!$B$91="",-1E+99,'TO HOP NLAN'!D100/ncoc+IF(SUMSQ('TS-PILE'!$E$72:$E$91)=0,0,'TO HOP NLAN'!E100*'TS-PILE'!$E$91/SUMSQ('TS-PILE'!$E$72:$E$91))+IF(SUMSQ('TS-PILE'!$D$72:$D$91)=0,0,'TO HOP NLAN'!F100*'TS-PILE'!$D$91/SUMSQ('TS-PILE'!$D$72:$D$91)))))</f>
        <v>0</v>
      </c>
      <c r="D100" s="58">
        <f>IF(A100="",0,MIN(IF('TS-PILE'!$B$72="",1E+99,'TO HOP NLAN'!D100/ncoc+IF(SUMSQ('TS-PILE'!$E$72:$E$91)=0,0,'TO HOP NLAN'!E100*'TS-PILE'!$E$72/SUMSQ('TS-PILE'!$E$72:$E$91))+IF(SUMSQ('TS-PILE'!$D$72:$D$91)=0,0,'TO HOP NLAN'!F100*'TS-PILE'!$D$72/SUMSQ('TS-PILE'!$D$72:$D$91))),IF('TS-PILE'!$B$73="",1E+99,'TO HOP NLAN'!D100/ncoc+IF(SUMSQ('TS-PILE'!$E$72:$E$91)=0,0,'TO HOP NLAN'!E100*'TS-PILE'!$E$73/SUMSQ('TS-PILE'!$E$72:$E$91))+IF(SUMSQ('TS-PILE'!$D$72:$D$91)=0,0,'TO HOP NLAN'!F100*'TS-PILE'!$D$73/SUMSQ('TS-PILE'!$D$72:$D$91))),IF('TS-PILE'!$B$74="",1E+99,'TO HOP NLAN'!D100/ncoc+IF(SUMSQ('TS-PILE'!$E$72:$E$91)=0,0,'TO HOP NLAN'!E100*'TS-PILE'!$E$74/SUMSQ('TS-PILE'!$E$72:$E$91))+IF(SUMSQ('TS-PILE'!$D$72:$D$91)=0,0,'TO HOP NLAN'!F100*'TS-PILE'!$D$74/SUMSQ('TS-PILE'!$D$72:$D$91))),IF('TS-PILE'!$B$75="",1E+99,'TO HOP NLAN'!D100/ncoc+IF(SUMSQ('TS-PILE'!$E$72:$E$91)=0,0,'TO HOP NLAN'!E100*'TS-PILE'!$E$75/SUMSQ('TS-PILE'!$E$72:$E$91))+IF(SUMSQ('TS-PILE'!$D$72:$D$91)=0,0,'TO HOP NLAN'!F100*'TS-PILE'!$D$75/SUMSQ('TS-PILE'!$D$72:$D$91))),IF('TS-PILE'!$B$76="",1E+99,'TO HOP NLAN'!D100/ncoc+IF(SUMSQ('TS-PILE'!$E$72:$E$91)=0,0,'TO HOP NLAN'!E100*'TS-PILE'!$E$76/SUMSQ('TS-PILE'!$E$72:$E$91))+IF(SUMSQ('TS-PILE'!$D$72:$D$91)=0,0,'TO HOP NLAN'!F100*'TS-PILE'!$D$76/SUMSQ('TS-PILE'!$D$72:$D$91))),IF('TS-PILE'!$B$77="",1E+99,'TO HOP NLAN'!D100/ncoc+IF(SUMSQ('TS-PILE'!$E$72:$E$91)=0,0,'TO HOP NLAN'!E100*'TS-PILE'!$E$77/SUMSQ('TS-PILE'!$E$72:$E$91))+IF(SUMSQ('TS-PILE'!$D$72:$D$91)=0,0,'TO HOP NLAN'!F100*'TS-PILE'!$D$77/SUMSQ('TS-PILE'!$D$72:$D$91))),IF('TS-PILE'!$B$78="",1E+99,'TO HOP NLAN'!D100/ncoc+IF(SUMSQ('TS-PILE'!$E$72:$E$91)=0,0,'TO HOP NLAN'!E100*'TS-PILE'!$E$78/SUMSQ('TS-PILE'!$E$72:$E$91))+IF(SUMSQ('TS-PILE'!$D$72:$D$91)=0,0,'TO HOP NLAN'!F100*'TS-PILE'!$D$78/SUMSQ('TS-PILE'!$D$72:$D$91))),IF('TS-PILE'!$B$79="",1E+99,'TO HOP NLAN'!D100/ncoc+IF(SUMSQ('TS-PILE'!$E$72:$E$91)=0,0,'TO HOP NLAN'!E100*'TS-PILE'!$E$79/SUMSQ('TS-PILE'!$E$72:$E$91))+IF(SUMSQ('TS-PILE'!$D$72:$D$91)=0,0,'TO HOP NLAN'!F100*'TS-PILE'!$D$79/SUMSQ('TS-PILE'!$D$72:$D$91))),IF('TS-PILE'!$B$80="",1E+99,'TO HOP NLAN'!D100/ncoc+IF(SUMSQ('TS-PILE'!$E$72:$E$91)=0,0,'TO HOP NLAN'!E100*'TS-PILE'!$E$80/SUMSQ('TS-PILE'!$E$72:$E$91))+IF(SUMSQ('TS-PILE'!$D$72:$D$91)=0,0,'TO HOP NLAN'!F100*'TS-PILE'!$D$80/SUMSQ('TS-PILE'!$D$72:$D$91))),IF('TS-PILE'!$B$81="",1E+99,'TO HOP NLAN'!D100/ncoc+IF(SUMSQ('TS-PILE'!$E$72:$E$91)=0,0,'TO HOP NLAN'!E100*'TS-PILE'!$E$81/SUMSQ('TS-PILE'!$E$72:$E$91))+IF(SUMSQ('TS-PILE'!$D$72:$D$91)=0,0,'TO HOP NLAN'!F100*'TS-PILE'!$D$81/SUMSQ('TS-PILE'!$D$72:$D$91))),IF('TS-PILE'!$B$82="",1E+99,'TO HOP NLAN'!D100/ncoc+IF(SUMSQ('TS-PILE'!$E$72:$E$91)=0,0,'TO HOP NLAN'!E100*'TS-PILE'!$E$82/SUMSQ('TS-PILE'!$E$72:$E$91))+IF(SUMSQ('TS-PILE'!$D$72:$D$91)=0,0,'TO HOP NLAN'!F100*'TS-PILE'!$D$82/SUMSQ('TS-PILE'!$D$72:$D$91))),IF('TS-PILE'!$B$83="",1E+99,'TO HOP NLAN'!D100/ncoc+IF(SUMSQ('TS-PILE'!$E$72:$E$91)=0,0,'TO HOP NLAN'!E100*'TS-PILE'!$E$83/SUMSQ('TS-PILE'!$E$72:$E$91))+IF(SUMSQ('TS-PILE'!$D$72:$D$91)=0,0,'TO HOP NLAN'!F100*'TS-PILE'!$D$83/SUMSQ('TS-PILE'!$D$72:$D$91))),IF('TS-PILE'!$B$84="",1E+99,'TO HOP NLAN'!D100/ncoc+IF(SUMSQ('TS-PILE'!$E$72:$E$91)=0,0,'TO HOP NLAN'!E100*'TS-PILE'!$E$84/SUMSQ('TS-PILE'!$E$72:$E$91))+IF(SUMSQ('TS-PILE'!$D$72:$D$91)=0,0,'TO HOP NLAN'!F100*'TS-PILE'!$D$84/SUMSQ('TS-PILE'!$D$72:$D$91))),IF('TS-PILE'!$B$85="",1E+99,'TO HOP NLAN'!D100/ncoc+IF(SUMSQ('TS-PILE'!$E$72:$E$91)=0,0,'TO HOP NLAN'!E100*'TS-PILE'!$E$85/SUMSQ('TS-PILE'!$E$72:$E$91))+IF(SUMSQ('TS-PILE'!$D$72:$D$91)=0,0,'TO HOP NLAN'!F100*'TS-PILE'!$D$85/SUMSQ('TS-PILE'!$D$72:$D$91))),IF('TS-PILE'!$B$86="",1E+99,'TO HOP NLAN'!D100/ncoc+IF(SUMSQ('TS-PILE'!$E$72:$E$91)=0,0,'TO HOP NLAN'!E100*'TS-PILE'!$E$86/SUMSQ('TS-PILE'!$E$72:$E$91))+IF(SUMSQ('TS-PILE'!$D$72:$D$91)=0,0,'TO HOP NLAN'!F100*'TS-PILE'!$D$86/SUMSQ('TS-PILE'!$D$72:$D$91))),IF('TS-PILE'!$B$87="",1E+99,'TO HOP NLAN'!D100/ncoc+IF(SUMSQ('TS-PILE'!$E$72:$E$91)=0,0,'TO HOP NLAN'!E100*'TS-PILE'!$E$87/SUMSQ('TS-PILE'!$E$72:$E$91))+IF(SUMSQ('TS-PILE'!$D$72:$D$91)=0,0,'TO HOP NLAN'!F100*'TS-PILE'!$D$87/SUMSQ('TS-PILE'!$D$72:$D$91))),IF('TS-PILE'!$B$88="",1E+99,'TO HOP NLAN'!D100/ncoc+IF(SUMSQ('TS-PILE'!$E$72:$E$91)=0,0,'TO HOP NLAN'!E100*'TS-PILE'!$E$88/SUMSQ('TS-PILE'!$E$72:$E$91))+IF(SUMSQ('TS-PILE'!$D$72:$D$91)=0,0,'TO HOP NLAN'!F100*'TS-PILE'!$D$88/SUMSQ('TS-PILE'!$D$72:$D$91))),IF('TS-PILE'!$B$89="",1E+99,'TO HOP NLAN'!D100/ncoc+IF(SUMSQ('TS-PILE'!$E$72:$E$91)=0,0,'TO HOP NLAN'!E100*'TS-PILE'!$E$89/SUMSQ('TS-PILE'!$E$72:$E$91))+IF(SUMSQ('TS-PILE'!$D$72:$D$91)=0,0,'TO HOP NLAN'!F100*'TS-PILE'!$D$89/SUMSQ('TS-PILE'!$D$72:$D$91))),IF('TS-PILE'!$B$90="",1E+99,'TO HOP NLAN'!D100/ncoc+IF(SUMSQ('TS-PILE'!$E$72:$E$91)=0,0,'TO HOP NLAN'!E100*'TS-PILE'!$E$90/SUMSQ('TS-PILE'!$E$72:$E$91))+IF(SUMSQ('TS-PILE'!$D$72:$D$91)=0,0,'TO HOP NLAN'!F100*'TS-PILE'!$D$90/SUMSQ('TS-PILE'!$D$72:$D$91))),IF('TS-PILE'!$B$91="",1E+99,'TO HOP NLAN'!D100/ncoc+IF(SUMSQ('TS-PILE'!$E$72:$E$91)=0,0,'TO HOP NLAN'!E100*'TS-PILE'!$E$91/SUMSQ('TS-PILE'!$E$72:$E$91))+IF(SUMSQ('TS-PILE'!$D$72:$D$91)=0,0,'TO HOP NLAN'!F100*'TS-PILE'!$D$91/SUMSQ('TS-PILE'!$D$72:$D$91)))))</f>
        <v>0</v>
      </c>
      <c r="E100" s="58">
        <f t="shared" si="4"/>
        <v>-9.9999999999999997E+98</v>
      </c>
      <c r="F100" s="58">
        <f t="shared" si="5"/>
        <v>9.9999999999999997E+98</v>
      </c>
      <c r="G100" s="58">
        <f t="shared" si="6"/>
        <v>-9.9999999999999997E+98</v>
      </c>
      <c r="H100" s="58">
        <f t="shared" si="7"/>
        <v>9.9999999999999997E+98</v>
      </c>
    </row>
    <row r="101" spans="1:8" x14ac:dyDescent="0.3">
      <c r="A101" s="42" t="str">
        <f>'TO HOP NLAN'!A101</f>
        <v/>
      </c>
      <c r="B101" s="42" t="str">
        <f>'TO HOP NLAN'!L101</f>
        <v>SERVICE</v>
      </c>
      <c r="C101" s="58">
        <f>IF(A101="",0,MAX(IF('TS-PILE'!$B$72="",-1E+99,'TO HOP NLAN'!D101/ncoc+IF(SUMSQ('TS-PILE'!$E$72:$E$91)=0,0,'TO HOP NLAN'!E101*'TS-PILE'!$E$72/SUMSQ('TS-PILE'!$E$72:$E$91))+IF(SUMSQ('TS-PILE'!$D$72:$D$91)=0,0,'TO HOP NLAN'!F101*'TS-PILE'!$D$72/SUMSQ('TS-PILE'!$D$72:$D$91))),IF('TS-PILE'!$B$73="",-1E+99,'TO HOP NLAN'!D101/ncoc+IF(SUMSQ('TS-PILE'!$E$72:$E$91)=0,0,'TO HOP NLAN'!E101*'TS-PILE'!$E$73/SUMSQ('TS-PILE'!$E$72:$E$91))+IF(SUMSQ('TS-PILE'!$D$72:$D$91)=0,0,'TO HOP NLAN'!F101*'TS-PILE'!$D$73/SUMSQ('TS-PILE'!$D$72:$D$91))),IF('TS-PILE'!$B$74="",-1E+99,'TO HOP NLAN'!D101/ncoc+IF(SUMSQ('TS-PILE'!$E$72:$E$91)=0,0,'TO HOP NLAN'!E101*'TS-PILE'!$E$74/SUMSQ('TS-PILE'!$E$72:$E$91))+IF(SUMSQ('TS-PILE'!$D$72:$D$91)=0,0,'TO HOP NLAN'!F101*'TS-PILE'!$D$74/SUMSQ('TS-PILE'!$D$72:$D$91))),IF('TS-PILE'!$B$75="",-1E+99,'TO HOP NLAN'!D101/ncoc+IF(SUMSQ('TS-PILE'!$E$72:$E$91)=0,0,'TO HOP NLAN'!E101*'TS-PILE'!$E$75/SUMSQ('TS-PILE'!$E$72:$E$91))+IF(SUMSQ('TS-PILE'!$D$72:$D$91)=0,0,'TO HOP NLAN'!F101*'TS-PILE'!$D$75/SUMSQ('TS-PILE'!$D$72:$D$91))),IF('TS-PILE'!$B$76="",-1E+99,'TO HOP NLAN'!D101/ncoc+IF(SUMSQ('TS-PILE'!$E$72:$E$91)=0,0,'TO HOP NLAN'!E101*'TS-PILE'!$E$76/SUMSQ('TS-PILE'!$E$72:$E$91))+IF(SUMSQ('TS-PILE'!$D$72:$D$91)=0,0,'TO HOP NLAN'!F101*'TS-PILE'!$D$76/SUMSQ('TS-PILE'!$D$72:$D$91))),IF('TS-PILE'!$B$77="",-1E+99,'TO HOP NLAN'!D101/ncoc+IF(SUMSQ('TS-PILE'!$E$72:$E$91)=0,0,'TO HOP NLAN'!E101*'TS-PILE'!$E$77/SUMSQ('TS-PILE'!$E$72:$E$91))+IF(SUMSQ('TS-PILE'!$D$72:$D$91)=0,0,'TO HOP NLAN'!F101*'TS-PILE'!$D$77/SUMSQ('TS-PILE'!$D$72:$D$91))),IF('TS-PILE'!$B$78="",-1E+99,'TO HOP NLAN'!D101/ncoc+IF(SUMSQ('TS-PILE'!$E$72:$E$91)=0,0,'TO HOP NLAN'!E101*'TS-PILE'!$E$78/SUMSQ('TS-PILE'!$E$72:$E$91))+IF(SUMSQ('TS-PILE'!$D$72:$D$91)=0,0,'TO HOP NLAN'!F101*'TS-PILE'!$D$78/SUMSQ('TS-PILE'!$D$72:$D$91))),IF('TS-PILE'!$B$79="",-1E+99,'TO HOP NLAN'!D101/ncoc+IF(SUMSQ('TS-PILE'!$E$72:$E$91)=0,0,'TO HOP NLAN'!E101*'TS-PILE'!$E$79/SUMSQ('TS-PILE'!$E$72:$E$91))+IF(SUMSQ('TS-PILE'!$D$72:$D$91)=0,0,'TO HOP NLAN'!F101*'TS-PILE'!$D$79/SUMSQ('TS-PILE'!$D$72:$D$91))),IF('TS-PILE'!$B$80="",-1E+99,'TO HOP NLAN'!D101/ncoc+IF(SUMSQ('TS-PILE'!$E$72:$E$91)=0,0,'TO HOP NLAN'!E101*'TS-PILE'!$E$80/SUMSQ('TS-PILE'!$E$72:$E$91))+IF(SUMSQ('TS-PILE'!$D$72:$D$91)=0,0,'TO HOP NLAN'!F101*'TS-PILE'!$D$80/SUMSQ('TS-PILE'!$D$72:$D$91))),IF('TS-PILE'!$B$81="",-1E+99,'TO HOP NLAN'!D101/ncoc+IF(SUMSQ('TS-PILE'!$E$72:$E$91)=0,0,'TO HOP NLAN'!E101*'TS-PILE'!$E$81/SUMSQ('TS-PILE'!$E$72:$E$91))+IF(SUMSQ('TS-PILE'!$D$72:$D$91)=0,0,'TO HOP NLAN'!F101*'TS-PILE'!$D$81/SUMSQ('TS-PILE'!$D$72:$D$91))),IF('TS-PILE'!$B$82="",-1E+99,'TO HOP NLAN'!D101/ncoc+IF(SUMSQ('TS-PILE'!$E$72:$E$91)=0,0,'TO HOP NLAN'!E101*'TS-PILE'!$E$82/SUMSQ('TS-PILE'!$E$72:$E$91))+IF(SUMSQ('TS-PILE'!$D$72:$D$91)=0,0,'TO HOP NLAN'!F101*'TS-PILE'!$D$82/SUMSQ('TS-PILE'!$D$72:$D$91))),IF('TS-PILE'!$B$83="",-1E+99,'TO HOP NLAN'!D101/ncoc+IF(SUMSQ('TS-PILE'!$E$72:$E$91)=0,0,'TO HOP NLAN'!E101*'TS-PILE'!$E$83/SUMSQ('TS-PILE'!$E$72:$E$91))+IF(SUMSQ('TS-PILE'!$D$72:$D$91)=0,0,'TO HOP NLAN'!F101*'TS-PILE'!$D$83/SUMSQ('TS-PILE'!$D$72:$D$91))),IF('TS-PILE'!$B$84="",-1E+99,'TO HOP NLAN'!D101/ncoc+IF(SUMSQ('TS-PILE'!$E$72:$E$91)=0,0,'TO HOP NLAN'!E101*'TS-PILE'!$E$84/SUMSQ('TS-PILE'!$E$72:$E$91))+IF(SUMSQ('TS-PILE'!$D$72:$D$91)=0,0,'TO HOP NLAN'!F101*'TS-PILE'!$D$84/SUMSQ('TS-PILE'!$D$72:$D$91))),IF('TS-PILE'!$B$85="",-1E+99,'TO HOP NLAN'!D101/ncoc+IF(SUMSQ('TS-PILE'!$E$72:$E$91)=0,0,'TO HOP NLAN'!E101*'TS-PILE'!$E$85/SUMSQ('TS-PILE'!$E$72:$E$91))+IF(SUMSQ('TS-PILE'!$D$72:$D$91)=0,0,'TO HOP NLAN'!F101*'TS-PILE'!$D$85/SUMSQ('TS-PILE'!$D$72:$D$91))),IF('TS-PILE'!$B$86="",-1E+99,'TO HOP NLAN'!D101/ncoc+IF(SUMSQ('TS-PILE'!$E$72:$E$91)=0,0,'TO HOP NLAN'!E101*'TS-PILE'!$E$86/SUMSQ('TS-PILE'!$E$72:$E$91))+IF(SUMSQ('TS-PILE'!$D$72:$D$91)=0,0,'TO HOP NLAN'!F101*'TS-PILE'!$D$86/SUMSQ('TS-PILE'!$D$72:$D$91))),IF('TS-PILE'!$B$87="",-1E+99,'TO HOP NLAN'!D101/ncoc+IF(SUMSQ('TS-PILE'!$E$72:$E$91)=0,0,'TO HOP NLAN'!E101*'TS-PILE'!$E$87/SUMSQ('TS-PILE'!$E$72:$E$91))+IF(SUMSQ('TS-PILE'!$D$72:$D$91)=0,0,'TO HOP NLAN'!F101*'TS-PILE'!$D$87/SUMSQ('TS-PILE'!$D$72:$D$91))),IF('TS-PILE'!$B$88="",-1E+99,'TO HOP NLAN'!D101/ncoc+IF(SUMSQ('TS-PILE'!$E$72:$E$91)=0,0,'TO HOP NLAN'!E101*'TS-PILE'!$E$88/SUMSQ('TS-PILE'!$E$72:$E$91))+IF(SUMSQ('TS-PILE'!$D$72:$D$91)=0,0,'TO HOP NLAN'!F101*'TS-PILE'!$D$88/SUMSQ('TS-PILE'!$D$72:$D$91))),IF('TS-PILE'!$B$89="",-1E+99,'TO HOP NLAN'!D101/ncoc+IF(SUMSQ('TS-PILE'!$E$72:$E$91)=0,0,'TO HOP NLAN'!E101*'TS-PILE'!$E$89/SUMSQ('TS-PILE'!$E$72:$E$91))+IF(SUMSQ('TS-PILE'!$D$72:$D$91)=0,0,'TO HOP NLAN'!F101*'TS-PILE'!$D$89/SUMSQ('TS-PILE'!$D$72:$D$91))),IF('TS-PILE'!$B$90="",-1E+99,'TO HOP NLAN'!D101/ncoc+IF(SUMSQ('TS-PILE'!$E$72:$E$91)=0,0,'TO HOP NLAN'!E101*'TS-PILE'!$E$90/SUMSQ('TS-PILE'!$E$72:$E$91))+IF(SUMSQ('TS-PILE'!$D$72:$D$91)=0,0,'TO HOP NLAN'!F101*'TS-PILE'!$D$90/SUMSQ('TS-PILE'!$D$72:$D$91))),IF('TS-PILE'!$B$91="",-1E+99,'TO HOP NLAN'!D101/ncoc+IF(SUMSQ('TS-PILE'!$E$72:$E$91)=0,0,'TO HOP NLAN'!E101*'TS-PILE'!$E$91/SUMSQ('TS-PILE'!$E$72:$E$91))+IF(SUMSQ('TS-PILE'!$D$72:$D$91)=0,0,'TO HOP NLAN'!F101*'TS-PILE'!$D$91/SUMSQ('TS-PILE'!$D$72:$D$91)))))</f>
        <v>0</v>
      </c>
      <c r="D101" s="58">
        <f>IF(A101="",0,MIN(IF('TS-PILE'!$B$72="",1E+99,'TO HOP NLAN'!D101/ncoc+IF(SUMSQ('TS-PILE'!$E$72:$E$91)=0,0,'TO HOP NLAN'!E101*'TS-PILE'!$E$72/SUMSQ('TS-PILE'!$E$72:$E$91))+IF(SUMSQ('TS-PILE'!$D$72:$D$91)=0,0,'TO HOP NLAN'!F101*'TS-PILE'!$D$72/SUMSQ('TS-PILE'!$D$72:$D$91))),IF('TS-PILE'!$B$73="",1E+99,'TO HOP NLAN'!D101/ncoc+IF(SUMSQ('TS-PILE'!$E$72:$E$91)=0,0,'TO HOP NLAN'!E101*'TS-PILE'!$E$73/SUMSQ('TS-PILE'!$E$72:$E$91))+IF(SUMSQ('TS-PILE'!$D$72:$D$91)=0,0,'TO HOP NLAN'!F101*'TS-PILE'!$D$73/SUMSQ('TS-PILE'!$D$72:$D$91))),IF('TS-PILE'!$B$74="",1E+99,'TO HOP NLAN'!D101/ncoc+IF(SUMSQ('TS-PILE'!$E$72:$E$91)=0,0,'TO HOP NLAN'!E101*'TS-PILE'!$E$74/SUMSQ('TS-PILE'!$E$72:$E$91))+IF(SUMSQ('TS-PILE'!$D$72:$D$91)=0,0,'TO HOP NLAN'!F101*'TS-PILE'!$D$74/SUMSQ('TS-PILE'!$D$72:$D$91))),IF('TS-PILE'!$B$75="",1E+99,'TO HOP NLAN'!D101/ncoc+IF(SUMSQ('TS-PILE'!$E$72:$E$91)=0,0,'TO HOP NLAN'!E101*'TS-PILE'!$E$75/SUMSQ('TS-PILE'!$E$72:$E$91))+IF(SUMSQ('TS-PILE'!$D$72:$D$91)=0,0,'TO HOP NLAN'!F101*'TS-PILE'!$D$75/SUMSQ('TS-PILE'!$D$72:$D$91))),IF('TS-PILE'!$B$76="",1E+99,'TO HOP NLAN'!D101/ncoc+IF(SUMSQ('TS-PILE'!$E$72:$E$91)=0,0,'TO HOP NLAN'!E101*'TS-PILE'!$E$76/SUMSQ('TS-PILE'!$E$72:$E$91))+IF(SUMSQ('TS-PILE'!$D$72:$D$91)=0,0,'TO HOP NLAN'!F101*'TS-PILE'!$D$76/SUMSQ('TS-PILE'!$D$72:$D$91))),IF('TS-PILE'!$B$77="",1E+99,'TO HOP NLAN'!D101/ncoc+IF(SUMSQ('TS-PILE'!$E$72:$E$91)=0,0,'TO HOP NLAN'!E101*'TS-PILE'!$E$77/SUMSQ('TS-PILE'!$E$72:$E$91))+IF(SUMSQ('TS-PILE'!$D$72:$D$91)=0,0,'TO HOP NLAN'!F101*'TS-PILE'!$D$77/SUMSQ('TS-PILE'!$D$72:$D$91))),IF('TS-PILE'!$B$78="",1E+99,'TO HOP NLAN'!D101/ncoc+IF(SUMSQ('TS-PILE'!$E$72:$E$91)=0,0,'TO HOP NLAN'!E101*'TS-PILE'!$E$78/SUMSQ('TS-PILE'!$E$72:$E$91))+IF(SUMSQ('TS-PILE'!$D$72:$D$91)=0,0,'TO HOP NLAN'!F101*'TS-PILE'!$D$78/SUMSQ('TS-PILE'!$D$72:$D$91))),IF('TS-PILE'!$B$79="",1E+99,'TO HOP NLAN'!D101/ncoc+IF(SUMSQ('TS-PILE'!$E$72:$E$91)=0,0,'TO HOP NLAN'!E101*'TS-PILE'!$E$79/SUMSQ('TS-PILE'!$E$72:$E$91))+IF(SUMSQ('TS-PILE'!$D$72:$D$91)=0,0,'TO HOP NLAN'!F101*'TS-PILE'!$D$79/SUMSQ('TS-PILE'!$D$72:$D$91))),IF('TS-PILE'!$B$80="",1E+99,'TO HOP NLAN'!D101/ncoc+IF(SUMSQ('TS-PILE'!$E$72:$E$91)=0,0,'TO HOP NLAN'!E101*'TS-PILE'!$E$80/SUMSQ('TS-PILE'!$E$72:$E$91))+IF(SUMSQ('TS-PILE'!$D$72:$D$91)=0,0,'TO HOP NLAN'!F101*'TS-PILE'!$D$80/SUMSQ('TS-PILE'!$D$72:$D$91))),IF('TS-PILE'!$B$81="",1E+99,'TO HOP NLAN'!D101/ncoc+IF(SUMSQ('TS-PILE'!$E$72:$E$91)=0,0,'TO HOP NLAN'!E101*'TS-PILE'!$E$81/SUMSQ('TS-PILE'!$E$72:$E$91))+IF(SUMSQ('TS-PILE'!$D$72:$D$91)=0,0,'TO HOP NLAN'!F101*'TS-PILE'!$D$81/SUMSQ('TS-PILE'!$D$72:$D$91))),IF('TS-PILE'!$B$82="",1E+99,'TO HOP NLAN'!D101/ncoc+IF(SUMSQ('TS-PILE'!$E$72:$E$91)=0,0,'TO HOP NLAN'!E101*'TS-PILE'!$E$82/SUMSQ('TS-PILE'!$E$72:$E$91))+IF(SUMSQ('TS-PILE'!$D$72:$D$91)=0,0,'TO HOP NLAN'!F101*'TS-PILE'!$D$82/SUMSQ('TS-PILE'!$D$72:$D$91))),IF('TS-PILE'!$B$83="",1E+99,'TO HOP NLAN'!D101/ncoc+IF(SUMSQ('TS-PILE'!$E$72:$E$91)=0,0,'TO HOP NLAN'!E101*'TS-PILE'!$E$83/SUMSQ('TS-PILE'!$E$72:$E$91))+IF(SUMSQ('TS-PILE'!$D$72:$D$91)=0,0,'TO HOP NLAN'!F101*'TS-PILE'!$D$83/SUMSQ('TS-PILE'!$D$72:$D$91))),IF('TS-PILE'!$B$84="",1E+99,'TO HOP NLAN'!D101/ncoc+IF(SUMSQ('TS-PILE'!$E$72:$E$91)=0,0,'TO HOP NLAN'!E101*'TS-PILE'!$E$84/SUMSQ('TS-PILE'!$E$72:$E$91))+IF(SUMSQ('TS-PILE'!$D$72:$D$91)=0,0,'TO HOP NLAN'!F101*'TS-PILE'!$D$84/SUMSQ('TS-PILE'!$D$72:$D$91))),IF('TS-PILE'!$B$85="",1E+99,'TO HOP NLAN'!D101/ncoc+IF(SUMSQ('TS-PILE'!$E$72:$E$91)=0,0,'TO HOP NLAN'!E101*'TS-PILE'!$E$85/SUMSQ('TS-PILE'!$E$72:$E$91))+IF(SUMSQ('TS-PILE'!$D$72:$D$91)=0,0,'TO HOP NLAN'!F101*'TS-PILE'!$D$85/SUMSQ('TS-PILE'!$D$72:$D$91))),IF('TS-PILE'!$B$86="",1E+99,'TO HOP NLAN'!D101/ncoc+IF(SUMSQ('TS-PILE'!$E$72:$E$91)=0,0,'TO HOP NLAN'!E101*'TS-PILE'!$E$86/SUMSQ('TS-PILE'!$E$72:$E$91))+IF(SUMSQ('TS-PILE'!$D$72:$D$91)=0,0,'TO HOP NLAN'!F101*'TS-PILE'!$D$86/SUMSQ('TS-PILE'!$D$72:$D$91))),IF('TS-PILE'!$B$87="",1E+99,'TO HOP NLAN'!D101/ncoc+IF(SUMSQ('TS-PILE'!$E$72:$E$91)=0,0,'TO HOP NLAN'!E101*'TS-PILE'!$E$87/SUMSQ('TS-PILE'!$E$72:$E$91))+IF(SUMSQ('TS-PILE'!$D$72:$D$91)=0,0,'TO HOP NLAN'!F101*'TS-PILE'!$D$87/SUMSQ('TS-PILE'!$D$72:$D$91))),IF('TS-PILE'!$B$88="",1E+99,'TO HOP NLAN'!D101/ncoc+IF(SUMSQ('TS-PILE'!$E$72:$E$91)=0,0,'TO HOP NLAN'!E101*'TS-PILE'!$E$88/SUMSQ('TS-PILE'!$E$72:$E$91))+IF(SUMSQ('TS-PILE'!$D$72:$D$91)=0,0,'TO HOP NLAN'!F101*'TS-PILE'!$D$88/SUMSQ('TS-PILE'!$D$72:$D$91))),IF('TS-PILE'!$B$89="",1E+99,'TO HOP NLAN'!D101/ncoc+IF(SUMSQ('TS-PILE'!$E$72:$E$91)=0,0,'TO HOP NLAN'!E101*'TS-PILE'!$E$89/SUMSQ('TS-PILE'!$E$72:$E$91))+IF(SUMSQ('TS-PILE'!$D$72:$D$91)=0,0,'TO HOP NLAN'!F101*'TS-PILE'!$D$89/SUMSQ('TS-PILE'!$D$72:$D$91))),IF('TS-PILE'!$B$90="",1E+99,'TO HOP NLAN'!D101/ncoc+IF(SUMSQ('TS-PILE'!$E$72:$E$91)=0,0,'TO HOP NLAN'!E101*'TS-PILE'!$E$90/SUMSQ('TS-PILE'!$E$72:$E$91))+IF(SUMSQ('TS-PILE'!$D$72:$D$91)=0,0,'TO HOP NLAN'!F101*'TS-PILE'!$D$90/SUMSQ('TS-PILE'!$D$72:$D$91))),IF('TS-PILE'!$B$91="",1E+99,'TO HOP NLAN'!D101/ncoc+IF(SUMSQ('TS-PILE'!$E$72:$E$91)=0,0,'TO HOP NLAN'!E101*'TS-PILE'!$E$91/SUMSQ('TS-PILE'!$E$72:$E$91))+IF(SUMSQ('TS-PILE'!$D$72:$D$91)=0,0,'TO HOP NLAN'!F101*'TS-PILE'!$D$91/SUMSQ('TS-PILE'!$D$72:$D$91)))))</f>
        <v>0</v>
      </c>
      <c r="E101" s="58">
        <f t="shared" si="4"/>
        <v>-9.9999999999999997E+98</v>
      </c>
      <c r="F101" s="58">
        <f t="shared" si="5"/>
        <v>9.9999999999999997E+98</v>
      </c>
      <c r="G101" s="58">
        <f t="shared" si="6"/>
        <v>-9.9999999999999997E+98</v>
      </c>
      <c r="H101" s="58">
        <f t="shared" si="7"/>
        <v>9.9999999999999997E+98</v>
      </c>
    </row>
    <row r="102" spans="1:8" x14ac:dyDescent="0.3">
      <c r="A102" s="42" t="str">
        <f>'TO HOP NLAN'!A102</f>
        <v/>
      </c>
      <c r="B102" s="42" t="str">
        <f>'TO HOP NLAN'!L102</f>
        <v>SERVICE</v>
      </c>
      <c r="C102" s="58">
        <f>IF(A102="",0,MAX(IF('TS-PILE'!$B$72="",-1E+99,'TO HOP NLAN'!D102/ncoc+IF(SUMSQ('TS-PILE'!$E$72:$E$91)=0,0,'TO HOP NLAN'!E102*'TS-PILE'!$E$72/SUMSQ('TS-PILE'!$E$72:$E$91))+IF(SUMSQ('TS-PILE'!$D$72:$D$91)=0,0,'TO HOP NLAN'!F102*'TS-PILE'!$D$72/SUMSQ('TS-PILE'!$D$72:$D$91))),IF('TS-PILE'!$B$73="",-1E+99,'TO HOP NLAN'!D102/ncoc+IF(SUMSQ('TS-PILE'!$E$72:$E$91)=0,0,'TO HOP NLAN'!E102*'TS-PILE'!$E$73/SUMSQ('TS-PILE'!$E$72:$E$91))+IF(SUMSQ('TS-PILE'!$D$72:$D$91)=0,0,'TO HOP NLAN'!F102*'TS-PILE'!$D$73/SUMSQ('TS-PILE'!$D$72:$D$91))),IF('TS-PILE'!$B$74="",-1E+99,'TO HOP NLAN'!D102/ncoc+IF(SUMSQ('TS-PILE'!$E$72:$E$91)=0,0,'TO HOP NLAN'!E102*'TS-PILE'!$E$74/SUMSQ('TS-PILE'!$E$72:$E$91))+IF(SUMSQ('TS-PILE'!$D$72:$D$91)=0,0,'TO HOP NLAN'!F102*'TS-PILE'!$D$74/SUMSQ('TS-PILE'!$D$72:$D$91))),IF('TS-PILE'!$B$75="",-1E+99,'TO HOP NLAN'!D102/ncoc+IF(SUMSQ('TS-PILE'!$E$72:$E$91)=0,0,'TO HOP NLAN'!E102*'TS-PILE'!$E$75/SUMSQ('TS-PILE'!$E$72:$E$91))+IF(SUMSQ('TS-PILE'!$D$72:$D$91)=0,0,'TO HOP NLAN'!F102*'TS-PILE'!$D$75/SUMSQ('TS-PILE'!$D$72:$D$91))),IF('TS-PILE'!$B$76="",-1E+99,'TO HOP NLAN'!D102/ncoc+IF(SUMSQ('TS-PILE'!$E$72:$E$91)=0,0,'TO HOP NLAN'!E102*'TS-PILE'!$E$76/SUMSQ('TS-PILE'!$E$72:$E$91))+IF(SUMSQ('TS-PILE'!$D$72:$D$91)=0,0,'TO HOP NLAN'!F102*'TS-PILE'!$D$76/SUMSQ('TS-PILE'!$D$72:$D$91))),IF('TS-PILE'!$B$77="",-1E+99,'TO HOP NLAN'!D102/ncoc+IF(SUMSQ('TS-PILE'!$E$72:$E$91)=0,0,'TO HOP NLAN'!E102*'TS-PILE'!$E$77/SUMSQ('TS-PILE'!$E$72:$E$91))+IF(SUMSQ('TS-PILE'!$D$72:$D$91)=0,0,'TO HOP NLAN'!F102*'TS-PILE'!$D$77/SUMSQ('TS-PILE'!$D$72:$D$91))),IF('TS-PILE'!$B$78="",-1E+99,'TO HOP NLAN'!D102/ncoc+IF(SUMSQ('TS-PILE'!$E$72:$E$91)=0,0,'TO HOP NLAN'!E102*'TS-PILE'!$E$78/SUMSQ('TS-PILE'!$E$72:$E$91))+IF(SUMSQ('TS-PILE'!$D$72:$D$91)=0,0,'TO HOP NLAN'!F102*'TS-PILE'!$D$78/SUMSQ('TS-PILE'!$D$72:$D$91))),IF('TS-PILE'!$B$79="",-1E+99,'TO HOP NLAN'!D102/ncoc+IF(SUMSQ('TS-PILE'!$E$72:$E$91)=0,0,'TO HOP NLAN'!E102*'TS-PILE'!$E$79/SUMSQ('TS-PILE'!$E$72:$E$91))+IF(SUMSQ('TS-PILE'!$D$72:$D$91)=0,0,'TO HOP NLAN'!F102*'TS-PILE'!$D$79/SUMSQ('TS-PILE'!$D$72:$D$91))),IF('TS-PILE'!$B$80="",-1E+99,'TO HOP NLAN'!D102/ncoc+IF(SUMSQ('TS-PILE'!$E$72:$E$91)=0,0,'TO HOP NLAN'!E102*'TS-PILE'!$E$80/SUMSQ('TS-PILE'!$E$72:$E$91))+IF(SUMSQ('TS-PILE'!$D$72:$D$91)=0,0,'TO HOP NLAN'!F102*'TS-PILE'!$D$80/SUMSQ('TS-PILE'!$D$72:$D$91))),IF('TS-PILE'!$B$81="",-1E+99,'TO HOP NLAN'!D102/ncoc+IF(SUMSQ('TS-PILE'!$E$72:$E$91)=0,0,'TO HOP NLAN'!E102*'TS-PILE'!$E$81/SUMSQ('TS-PILE'!$E$72:$E$91))+IF(SUMSQ('TS-PILE'!$D$72:$D$91)=0,0,'TO HOP NLAN'!F102*'TS-PILE'!$D$81/SUMSQ('TS-PILE'!$D$72:$D$91))),IF('TS-PILE'!$B$82="",-1E+99,'TO HOP NLAN'!D102/ncoc+IF(SUMSQ('TS-PILE'!$E$72:$E$91)=0,0,'TO HOP NLAN'!E102*'TS-PILE'!$E$82/SUMSQ('TS-PILE'!$E$72:$E$91))+IF(SUMSQ('TS-PILE'!$D$72:$D$91)=0,0,'TO HOP NLAN'!F102*'TS-PILE'!$D$82/SUMSQ('TS-PILE'!$D$72:$D$91))),IF('TS-PILE'!$B$83="",-1E+99,'TO HOP NLAN'!D102/ncoc+IF(SUMSQ('TS-PILE'!$E$72:$E$91)=0,0,'TO HOP NLAN'!E102*'TS-PILE'!$E$83/SUMSQ('TS-PILE'!$E$72:$E$91))+IF(SUMSQ('TS-PILE'!$D$72:$D$91)=0,0,'TO HOP NLAN'!F102*'TS-PILE'!$D$83/SUMSQ('TS-PILE'!$D$72:$D$91))),IF('TS-PILE'!$B$84="",-1E+99,'TO HOP NLAN'!D102/ncoc+IF(SUMSQ('TS-PILE'!$E$72:$E$91)=0,0,'TO HOP NLAN'!E102*'TS-PILE'!$E$84/SUMSQ('TS-PILE'!$E$72:$E$91))+IF(SUMSQ('TS-PILE'!$D$72:$D$91)=0,0,'TO HOP NLAN'!F102*'TS-PILE'!$D$84/SUMSQ('TS-PILE'!$D$72:$D$91))),IF('TS-PILE'!$B$85="",-1E+99,'TO HOP NLAN'!D102/ncoc+IF(SUMSQ('TS-PILE'!$E$72:$E$91)=0,0,'TO HOP NLAN'!E102*'TS-PILE'!$E$85/SUMSQ('TS-PILE'!$E$72:$E$91))+IF(SUMSQ('TS-PILE'!$D$72:$D$91)=0,0,'TO HOP NLAN'!F102*'TS-PILE'!$D$85/SUMSQ('TS-PILE'!$D$72:$D$91))),IF('TS-PILE'!$B$86="",-1E+99,'TO HOP NLAN'!D102/ncoc+IF(SUMSQ('TS-PILE'!$E$72:$E$91)=0,0,'TO HOP NLAN'!E102*'TS-PILE'!$E$86/SUMSQ('TS-PILE'!$E$72:$E$91))+IF(SUMSQ('TS-PILE'!$D$72:$D$91)=0,0,'TO HOP NLAN'!F102*'TS-PILE'!$D$86/SUMSQ('TS-PILE'!$D$72:$D$91))),IF('TS-PILE'!$B$87="",-1E+99,'TO HOP NLAN'!D102/ncoc+IF(SUMSQ('TS-PILE'!$E$72:$E$91)=0,0,'TO HOP NLAN'!E102*'TS-PILE'!$E$87/SUMSQ('TS-PILE'!$E$72:$E$91))+IF(SUMSQ('TS-PILE'!$D$72:$D$91)=0,0,'TO HOP NLAN'!F102*'TS-PILE'!$D$87/SUMSQ('TS-PILE'!$D$72:$D$91))),IF('TS-PILE'!$B$88="",-1E+99,'TO HOP NLAN'!D102/ncoc+IF(SUMSQ('TS-PILE'!$E$72:$E$91)=0,0,'TO HOP NLAN'!E102*'TS-PILE'!$E$88/SUMSQ('TS-PILE'!$E$72:$E$91))+IF(SUMSQ('TS-PILE'!$D$72:$D$91)=0,0,'TO HOP NLAN'!F102*'TS-PILE'!$D$88/SUMSQ('TS-PILE'!$D$72:$D$91))),IF('TS-PILE'!$B$89="",-1E+99,'TO HOP NLAN'!D102/ncoc+IF(SUMSQ('TS-PILE'!$E$72:$E$91)=0,0,'TO HOP NLAN'!E102*'TS-PILE'!$E$89/SUMSQ('TS-PILE'!$E$72:$E$91))+IF(SUMSQ('TS-PILE'!$D$72:$D$91)=0,0,'TO HOP NLAN'!F102*'TS-PILE'!$D$89/SUMSQ('TS-PILE'!$D$72:$D$91))),IF('TS-PILE'!$B$90="",-1E+99,'TO HOP NLAN'!D102/ncoc+IF(SUMSQ('TS-PILE'!$E$72:$E$91)=0,0,'TO HOP NLAN'!E102*'TS-PILE'!$E$90/SUMSQ('TS-PILE'!$E$72:$E$91))+IF(SUMSQ('TS-PILE'!$D$72:$D$91)=0,0,'TO HOP NLAN'!F102*'TS-PILE'!$D$90/SUMSQ('TS-PILE'!$D$72:$D$91))),IF('TS-PILE'!$B$91="",-1E+99,'TO HOP NLAN'!D102/ncoc+IF(SUMSQ('TS-PILE'!$E$72:$E$91)=0,0,'TO HOP NLAN'!E102*'TS-PILE'!$E$91/SUMSQ('TS-PILE'!$E$72:$E$91))+IF(SUMSQ('TS-PILE'!$D$72:$D$91)=0,0,'TO HOP NLAN'!F102*'TS-PILE'!$D$91/SUMSQ('TS-PILE'!$D$72:$D$91)))))</f>
        <v>0</v>
      </c>
      <c r="D102" s="58">
        <f>IF(A102="",0,MIN(IF('TS-PILE'!$B$72="",1E+99,'TO HOP NLAN'!D102/ncoc+IF(SUMSQ('TS-PILE'!$E$72:$E$91)=0,0,'TO HOP NLAN'!E102*'TS-PILE'!$E$72/SUMSQ('TS-PILE'!$E$72:$E$91))+IF(SUMSQ('TS-PILE'!$D$72:$D$91)=0,0,'TO HOP NLAN'!F102*'TS-PILE'!$D$72/SUMSQ('TS-PILE'!$D$72:$D$91))),IF('TS-PILE'!$B$73="",1E+99,'TO HOP NLAN'!D102/ncoc+IF(SUMSQ('TS-PILE'!$E$72:$E$91)=0,0,'TO HOP NLAN'!E102*'TS-PILE'!$E$73/SUMSQ('TS-PILE'!$E$72:$E$91))+IF(SUMSQ('TS-PILE'!$D$72:$D$91)=0,0,'TO HOP NLAN'!F102*'TS-PILE'!$D$73/SUMSQ('TS-PILE'!$D$72:$D$91))),IF('TS-PILE'!$B$74="",1E+99,'TO HOP NLAN'!D102/ncoc+IF(SUMSQ('TS-PILE'!$E$72:$E$91)=0,0,'TO HOP NLAN'!E102*'TS-PILE'!$E$74/SUMSQ('TS-PILE'!$E$72:$E$91))+IF(SUMSQ('TS-PILE'!$D$72:$D$91)=0,0,'TO HOP NLAN'!F102*'TS-PILE'!$D$74/SUMSQ('TS-PILE'!$D$72:$D$91))),IF('TS-PILE'!$B$75="",1E+99,'TO HOP NLAN'!D102/ncoc+IF(SUMSQ('TS-PILE'!$E$72:$E$91)=0,0,'TO HOP NLAN'!E102*'TS-PILE'!$E$75/SUMSQ('TS-PILE'!$E$72:$E$91))+IF(SUMSQ('TS-PILE'!$D$72:$D$91)=0,0,'TO HOP NLAN'!F102*'TS-PILE'!$D$75/SUMSQ('TS-PILE'!$D$72:$D$91))),IF('TS-PILE'!$B$76="",1E+99,'TO HOP NLAN'!D102/ncoc+IF(SUMSQ('TS-PILE'!$E$72:$E$91)=0,0,'TO HOP NLAN'!E102*'TS-PILE'!$E$76/SUMSQ('TS-PILE'!$E$72:$E$91))+IF(SUMSQ('TS-PILE'!$D$72:$D$91)=0,0,'TO HOP NLAN'!F102*'TS-PILE'!$D$76/SUMSQ('TS-PILE'!$D$72:$D$91))),IF('TS-PILE'!$B$77="",1E+99,'TO HOP NLAN'!D102/ncoc+IF(SUMSQ('TS-PILE'!$E$72:$E$91)=0,0,'TO HOP NLAN'!E102*'TS-PILE'!$E$77/SUMSQ('TS-PILE'!$E$72:$E$91))+IF(SUMSQ('TS-PILE'!$D$72:$D$91)=0,0,'TO HOP NLAN'!F102*'TS-PILE'!$D$77/SUMSQ('TS-PILE'!$D$72:$D$91))),IF('TS-PILE'!$B$78="",1E+99,'TO HOP NLAN'!D102/ncoc+IF(SUMSQ('TS-PILE'!$E$72:$E$91)=0,0,'TO HOP NLAN'!E102*'TS-PILE'!$E$78/SUMSQ('TS-PILE'!$E$72:$E$91))+IF(SUMSQ('TS-PILE'!$D$72:$D$91)=0,0,'TO HOP NLAN'!F102*'TS-PILE'!$D$78/SUMSQ('TS-PILE'!$D$72:$D$91))),IF('TS-PILE'!$B$79="",1E+99,'TO HOP NLAN'!D102/ncoc+IF(SUMSQ('TS-PILE'!$E$72:$E$91)=0,0,'TO HOP NLAN'!E102*'TS-PILE'!$E$79/SUMSQ('TS-PILE'!$E$72:$E$91))+IF(SUMSQ('TS-PILE'!$D$72:$D$91)=0,0,'TO HOP NLAN'!F102*'TS-PILE'!$D$79/SUMSQ('TS-PILE'!$D$72:$D$91))),IF('TS-PILE'!$B$80="",1E+99,'TO HOP NLAN'!D102/ncoc+IF(SUMSQ('TS-PILE'!$E$72:$E$91)=0,0,'TO HOP NLAN'!E102*'TS-PILE'!$E$80/SUMSQ('TS-PILE'!$E$72:$E$91))+IF(SUMSQ('TS-PILE'!$D$72:$D$91)=0,0,'TO HOP NLAN'!F102*'TS-PILE'!$D$80/SUMSQ('TS-PILE'!$D$72:$D$91))),IF('TS-PILE'!$B$81="",1E+99,'TO HOP NLAN'!D102/ncoc+IF(SUMSQ('TS-PILE'!$E$72:$E$91)=0,0,'TO HOP NLAN'!E102*'TS-PILE'!$E$81/SUMSQ('TS-PILE'!$E$72:$E$91))+IF(SUMSQ('TS-PILE'!$D$72:$D$91)=0,0,'TO HOP NLAN'!F102*'TS-PILE'!$D$81/SUMSQ('TS-PILE'!$D$72:$D$91))),IF('TS-PILE'!$B$82="",1E+99,'TO HOP NLAN'!D102/ncoc+IF(SUMSQ('TS-PILE'!$E$72:$E$91)=0,0,'TO HOP NLAN'!E102*'TS-PILE'!$E$82/SUMSQ('TS-PILE'!$E$72:$E$91))+IF(SUMSQ('TS-PILE'!$D$72:$D$91)=0,0,'TO HOP NLAN'!F102*'TS-PILE'!$D$82/SUMSQ('TS-PILE'!$D$72:$D$91))),IF('TS-PILE'!$B$83="",1E+99,'TO HOP NLAN'!D102/ncoc+IF(SUMSQ('TS-PILE'!$E$72:$E$91)=0,0,'TO HOP NLAN'!E102*'TS-PILE'!$E$83/SUMSQ('TS-PILE'!$E$72:$E$91))+IF(SUMSQ('TS-PILE'!$D$72:$D$91)=0,0,'TO HOP NLAN'!F102*'TS-PILE'!$D$83/SUMSQ('TS-PILE'!$D$72:$D$91))),IF('TS-PILE'!$B$84="",1E+99,'TO HOP NLAN'!D102/ncoc+IF(SUMSQ('TS-PILE'!$E$72:$E$91)=0,0,'TO HOP NLAN'!E102*'TS-PILE'!$E$84/SUMSQ('TS-PILE'!$E$72:$E$91))+IF(SUMSQ('TS-PILE'!$D$72:$D$91)=0,0,'TO HOP NLAN'!F102*'TS-PILE'!$D$84/SUMSQ('TS-PILE'!$D$72:$D$91))),IF('TS-PILE'!$B$85="",1E+99,'TO HOP NLAN'!D102/ncoc+IF(SUMSQ('TS-PILE'!$E$72:$E$91)=0,0,'TO HOP NLAN'!E102*'TS-PILE'!$E$85/SUMSQ('TS-PILE'!$E$72:$E$91))+IF(SUMSQ('TS-PILE'!$D$72:$D$91)=0,0,'TO HOP NLAN'!F102*'TS-PILE'!$D$85/SUMSQ('TS-PILE'!$D$72:$D$91))),IF('TS-PILE'!$B$86="",1E+99,'TO HOP NLAN'!D102/ncoc+IF(SUMSQ('TS-PILE'!$E$72:$E$91)=0,0,'TO HOP NLAN'!E102*'TS-PILE'!$E$86/SUMSQ('TS-PILE'!$E$72:$E$91))+IF(SUMSQ('TS-PILE'!$D$72:$D$91)=0,0,'TO HOP NLAN'!F102*'TS-PILE'!$D$86/SUMSQ('TS-PILE'!$D$72:$D$91))),IF('TS-PILE'!$B$87="",1E+99,'TO HOP NLAN'!D102/ncoc+IF(SUMSQ('TS-PILE'!$E$72:$E$91)=0,0,'TO HOP NLAN'!E102*'TS-PILE'!$E$87/SUMSQ('TS-PILE'!$E$72:$E$91))+IF(SUMSQ('TS-PILE'!$D$72:$D$91)=0,0,'TO HOP NLAN'!F102*'TS-PILE'!$D$87/SUMSQ('TS-PILE'!$D$72:$D$91))),IF('TS-PILE'!$B$88="",1E+99,'TO HOP NLAN'!D102/ncoc+IF(SUMSQ('TS-PILE'!$E$72:$E$91)=0,0,'TO HOP NLAN'!E102*'TS-PILE'!$E$88/SUMSQ('TS-PILE'!$E$72:$E$91))+IF(SUMSQ('TS-PILE'!$D$72:$D$91)=0,0,'TO HOP NLAN'!F102*'TS-PILE'!$D$88/SUMSQ('TS-PILE'!$D$72:$D$91))),IF('TS-PILE'!$B$89="",1E+99,'TO HOP NLAN'!D102/ncoc+IF(SUMSQ('TS-PILE'!$E$72:$E$91)=0,0,'TO HOP NLAN'!E102*'TS-PILE'!$E$89/SUMSQ('TS-PILE'!$E$72:$E$91))+IF(SUMSQ('TS-PILE'!$D$72:$D$91)=0,0,'TO HOP NLAN'!F102*'TS-PILE'!$D$89/SUMSQ('TS-PILE'!$D$72:$D$91))),IF('TS-PILE'!$B$90="",1E+99,'TO HOP NLAN'!D102/ncoc+IF(SUMSQ('TS-PILE'!$E$72:$E$91)=0,0,'TO HOP NLAN'!E102*'TS-PILE'!$E$90/SUMSQ('TS-PILE'!$E$72:$E$91))+IF(SUMSQ('TS-PILE'!$D$72:$D$91)=0,0,'TO HOP NLAN'!F102*'TS-PILE'!$D$90/SUMSQ('TS-PILE'!$D$72:$D$91))),IF('TS-PILE'!$B$91="",1E+99,'TO HOP NLAN'!D102/ncoc+IF(SUMSQ('TS-PILE'!$E$72:$E$91)=0,0,'TO HOP NLAN'!E102*'TS-PILE'!$E$91/SUMSQ('TS-PILE'!$E$72:$E$91))+IF(SUMSQ('TS-PILE'!$D$72:$D$91)=0,0,'TO HOP NLAN'!F102*'TS-PILE'!$D$91/SUMSQ('TS-PILE'!$D$72:$D$91)))))</f>
        <v>0</v>
      </c>
      <c r="E102" s="58">
        <f t="shared" si="4"/>
        <v>-9.9999999999999997E+98</v>
      </c>
      <c r="F102" s="58">
        <f t="shared" si="5"/>
        <v>9.9999999999999997E+98</v>
      </c>
      <c r="G102" s="58">
        <f t="shared" si="6"/>
        <v>-9.9999999999999997E+98</v>
      </c>
      <c r="H102" s="58">
        <f t="shared" si="7"/>
        <v>9.9999999999999997E+98</v>
      </c>
    </row>
    <row r="103" spans="1:8" x14ac:dyDescent="0.3">
      <c r="A103" s="42" t="str">
        <f>'TO HOP NLAN'!A103</f>
        <v/>
      </c>
      <c r="B103" s="42" t="str">
        <f>'TO HOP NLAN'!L103</f>
        <v>SERVICE</v>
      </c>
      <c r="C103" s="58">
        <f>IF(A103="",0,MAX(IF('TS-PILE'!$B$72="",-1E+99,'TO HOP NLAN'!D103/ncoc+IF(SUMSQ('TS-PILE'!$E$72:$E$91)=0,0,'TO HOP NLAN'!E103*'TS-PILE'!$E$72/SUMSQ('TS-PILE'!$E$72:$E$91))+IF(SUMSQ('TS-PILE'!$D$72:$D$91)=0,0,'TO HOP NLAN'!F103*'TS-PILE'!$D$72/SUMSQ('TS-PILE'!$D$72:$D$91))),IF('TS-PILE'!$B$73="",-1E+99,'TO HOP NLAN'!D103/ncoc+IF(SUMSQ('TS-PILE'!$E$72:$E$91)=0,0,'TO HOP NLAN'!E103*'TS-PILE'!$E$73/SUMSQ('TS-PILE'!$E$72:$E$91))+IF(SUMSQ('TS-PILE'!$D$72:$D$91)=0,0,'TO HOP NLAN'!F103*'TS-PILE'!$D$73/SUMSQ('TS-PILE'!$D$72:$D$91))),IF('TS-PILE'!$B$74="",-1E+99,'TO HOP NLAN'!D103/ncoc+IF(SUMSQ('TS-PILE'!$E$72:$E$91)=0,0,'TO HOP NLAN'!E103*'TS-PILE'!$E$74/SUMSQ('TS-PILE'!$E$72:$E$91))+IF(SUMSQ('TS-PILE'!$D$72:$D$91)=0,0,'TO HOP NLAN'!F103*'TS-PILE'!$D$74/SUMSQ('TS-PILE'!$D$72:$D$91))),IF('TS-PILE'!$B$75="",-1E+99,'TO HOP NLAN'!D103/ncoc+IF(SUMSQ('TS-PILE'!$E$72:$E$91)=0,0,'TO HOP NLAN'!E103*'TS-PILE'!$E$75/SUMSQ('TS-PILE'!$E$72:$E$91))+IF(SUMSQ('TS-PILE'!$D$72:$D$91)=0,0,'TO HOP NLAN'!F103*'TS-PILE'!$D$75/SUMSQ('TS-PILE'!$D$72:$D$91))),IF('TS-PILE'!$B$76="",-1E+99,'TO HOP NLAN'!D103/ncoc+IF(SUMSQ('TS-PILE'!$E$72:$E$91)=0,0,'TO HOP NLAN'!E103*'TS-PILE'!$E$76/SUMSQ('TS-PILE'!$E$72:$E$91))+IF(SUMSQ('TS-PILE'!$D$72:$D$91)=0,0,'TO HOP NLAN'!F103*'TS-PILE'!$D$76/SUMSQ('TS-PILE'!$D$72:$D$91))),IF('TS-PILE'!$B$77="",-1E+99,'TO HOP NLAN'!D103/ncoc+IF(SUMSQ('TS-PILE'!$E$72:$E$91)=0,0,'TO HOP NLAN'!E103*'TS-PILE'!$E$77/SUMSQ('TS-PILE'!$E$72:$E$91))+IF(SUMSQ('TS-PILE'!$D$72:$D$91)=0,0,'TO HOP NLAN'!F103*'TS-PILE'!$D$77/SUMSQ('TS-PILE'!$D$72:$D$91))),IF('TS-PILE'!$B$78="",-1E+99,'TO HOP NLAN'!D103/ncoc+IF(SUMSQ('TS-PILE'!$E$72:$E$91)=0,0,'TO HOP NLAN'!E103*'TS-PILE'!$E$78/SUMSQ('TS-PILE'!$E$72:$E$91))+IF(SUMSQ('TS-PILE'!$D$72:$D$91)=0,0,'TO HOP NLAN'!F103*'TS-PILE'!$D$78/SUMSQ('TS-PILE'!$D$72:$D$91))),IF('TS-PILE'!$B$79="",-1E+99,'TO HOP NLAN'!D103/ncoc+IF(SUMSQ('TS-PILE'!$E$72:$E$91)=0,0,'TO HOP NLAN'!E103*'TS-PILE'!$E$79/SUMSQ('TS-PILE'!$E$72:$E$91))+IF(SUMSQ('TS-PILE'!$D$72:$D$91)=0,0,'TO HOP NLAN'!F103*'TS-PILE'!$D$79/SUMSQ('TS-PILE'!$D$72:$D$91))),IF('TS-PILE'!$B$80="",-1E+99,'TO HOP NLAN'!D103/ncoc+IF(SUMSQ('TS-PILE'!$E$72:$E$91)=0,0,'TO HOP NLAN'!E103*'TS-PILE'!$E$80/SUMSQ('TS-PILE'!$E$72:$E$91))+IF(SUMSQ('TS-PILE'!$D$72:$D$91)=0,0,'TO HOP NLAN'!F103*'TS-PILE'!$D$80/SUMSQ('TS-PILE'!$D$72:$D$91))),IF('TS-PILE'!$B$81="",-1E+99,'TO HOP NLAN'!D103/ncoc+IF(SUMSQ('TS-PILE'!$E$72:$E$91)=0,0,'TO HOP NLAN'!E103*'TS-PILE'!$E$81/SUMSQ('TS-PILE'!$E$72:$E$91))+IF(SUMSQ('TS-PILE'!$D$72:$D$91)=0,0,'TO HOP NLAN'!F103*'TS-PILE'!$D$81/SUMSQ('TS-PILE'!$D$72:$D$91))),IF('TS-PILE'!$B$82="",-1E+99,'TO HOP NLAN'!D103/ncoc+IF(SUMSQ('TS-PILE'!$E$72:$E$91)=0,0,'TO HOP NLAN'!E103*'TS-PILE'!$E$82/SUMSQ('TS-PILE'!$E$72:$E$91))+IF(SUMSQ('TS-PILE'!$D$72:$D$91)=0,0,'TO HOP NLAN'!F103*'TS-PILE'!$D$82/SUMSQ('TS-PILE'!$D$72:$D$91))),IF('TS-PILE'!$B$83="",-1E+99,'TO HOP NLAN'!D103/ncoc+IF(SUMSQ('TS-PILE'!$E$72:$E$91)=0,0,'TO HOP NLAN'!E103*'TS-PILE'!$E$83/SUMSQ('TS-PILE'!$E$72:$E$91))+IF(SUMSQ('TS-PILE'!$D$72:$D$91)=0,0,'TO HOP NLAN'!F103*'TS-PILE'!$D$83/SUMSQ('TS-PILE'!$D$72:$D$91))),IF('TS-PILE'!$B$84="",-1E+99,'TO HOP NLAN'!D103/ncoc+IF(SUMSQ('TS-PILE'!$E$72:$E$91)=0,0,'TO HOP NLAN'!E103*'TS-PILE'!$E$84/SUMSQ('TS-PILE'!$E$72:$E$91))+IF(SUMSQ('TS-PILE'!$D$72:$D$91)=0,0,'TO HOP NLAN'!F103*'TS-PILE'!$D$84/SUMSQ('TS-PILE'!$D$72:$D$91))),IF('TS-PILE'!$B$85="",-1E+99,'TO HOP NLAN'!D103/ncoc+IF(SUMSQ('TS-PILE'!$E$72:$E$91)=0,0,'TO HOP NLAN'!E103*'TS-PILE'!$E$85/SUMSQ('TS-PILE'!$E$72:$E$91))+IF(SUMSQ('TS-PILE'!$D$72:$D$91)=0,0,'TO HOP NLAN'!F103*'TS-PILE'!$D$85/SUMSQ('TS-PILE'!$D$72:$D$91))),IF('TS-PILE'!$B$86="",-1E+99,'TO HOP NLAN'!D103/ncoc+IF(SUMSQ('TS-PILE'!$E$72:$E$91)=0,0,'TO HOP NLAN'!E103*'TS-PILE'!$E$86/SUMSQ('TS-PILE'!$E$72:$E$91))+IF(SUMSQ('TS-PILE'!$D$72:$D$91)=0,0,'TO HOP NLAN'!F103*'TS-PILE'!$D$86/SUMSQ('TS-PILE'!$D$72:$D$91))),IF('TS-PILE'!$B$87="",-1E+99,'TO HOP NLAN'!D103/ncoc+IF(SUMSQ('TS-PILE'!$E$72:$E$91)=0,0,'TO HOP NLAN'!E103*'TS-PILE'!$E$87/SUMSQ('TS-PILE'!$E$72:$E$91))+IF(SUMSQ('TS-PILE'!$D$72:$D$91)=0,0,'TO HOP NLAN'!F103*'TS-PILE'!$D$87/SUMSQ('TS-PILE'!$D$72:$D$91))),IF('TS-PILE'!$B$88="",-1E+99,'TO HOP NLAN'!D103/ncoc+IF(SUMSQ('TS-PILE'!$E$72:$E$91)=0,0,'TO HOP NLAN'!E103*'TS-PILE'!$E$88/SUMSQ('TS-PILE'!$E$72:$E$91))+IF(SUMSQ('TS-PILE'!$D$72:$D$91)=0,0,'TO HOP NLAN'!F103*'TS-PILE'!$D$88/SUMSQ('TS-PILE'!$D$72:$D$91))),IF('TS-PILE'!$B$89="",-1E+99,'TO HOP NLAN'!D103/ncoc+IF(SUMSQ('TS-PILE'!$E$72:$E$91)=0,0,'TO HOP NLAN'!E103*'TS-PILE'!$E$89/SUMSQ('TS-PILE'!$E$72:$E$91))+IF(SUMSQ('TS-PILE'!$D$72:$D$91)=0,0,'TO HOP NLAN'!F103*'TS-PILE'!$D$89/SUMSQ('TS-PILE'!$D$72:$D$91))),IF('TS-PILE'!$B$90="",-1E+99,'TO HOP NLAN'!D103/ncoc+IF(SUMSQ('TS-PILE'!$E$72:$E$91)=0,0,'TO HOP NLAN'!E103*'TS-PILE'!$E$90/SUMSQ('TS-PILE'!$E$72:$E$91))+IF(SUMSQ('TS-PILE'!$D$72:$D$91)=0,0,'TO HOP NLAN'!F103*'TS-PILE'!$D$90/SUMSQ('TS-PILE'!$D$72:$D$91))),IF('TS-PILE'!$B$91="",-1E+99,'TO HOP NLAN'!D103/ncoc+IF(SUMSQ('TS-PILE'!$E$72:$E$91)=0,0,'TO HOP NLAN'!E103*'TS-PILE'!$E$91/SUMSQ('TS-PILE'!$E$72:$E$91))+IF(SUMSQ('TS-PILE'!$D$72:$D$91)=0,0,'TO HOP NLAN'!F103*'TS-PILE'!$D$91/SUMSQ('TS-PILE'!$D$72:$D$91)))))</f>
        <v>0</v>
      </c>
      <c r="D103" s="58">
        <f>IF(A103="",0,MIN(IF('TS-PILE'!$B$72="",1E+99,'TO HOP NLAN'!D103/ncoc+IF(SUMSQ('TS-PILE'!$E$72:$E$91)=0,0,'TO HOP NLAN'!E103*'TS-PILE'!$E$72/SUMSQ('TS-PILE'!$E$72:$E$91))+IF(SUMSQ('TS-PILE'!$D$72:$D$91)=0,0,'TO HOP NLAN'!F103*'TS-PILE'!$D$72/SUMSQ('TS-PILE'!$D$72:$D$91))),IF('TS-PILE'!$B$73="",1E+99,'TO HOP NLAN'!D103/ncoc+IF(SUMSQ('TS-PILE'!$E$72:$E$91)=0,0,'TO HOP NLAN'!E103*'TS-PILE'!$E$73/SUMSQ('TS-PILE'!$E$72:$E$91))+IF(SUMSQ('TS-PILE'!$D$72:$D$91)=0,0,'TO HOP NLAN'!F103*'TS-PILE'!$D$73/SUMSQ('TS-PILE'!$D$72:$D$91))),IF('TS-PILE'!$B$74="",1E+99,'TO HOP NLAN'!D103/ncoc+IF(SUMSQ('TS-PILE'!$E$72:$E$91)=0,0,'TO HOP NLAN'!E103*'TS-PILE'!$E$74/SUMSQ('TS-PILE'!$E$72:$E$91))+IF(SUMSQ('TS-PILE'!$D$72:$D$91)=0,0,'TO HOP NLAN'!F103*'TS-PILE'!$D$74/SUMSQ('TS-PILE'!$D$72:$D$91))),IF('TS-PILE'!$B$75="",1E+99,'TO HOP NLAN'!D103/ncoc+IF(SUMSQ('TS-PILE'!$E$72:$E$91)=0,0,'TO HOP NLAN'!E103*'TS-PILE'!$E$75/SUMSQ('TS-PILE'!$E$72:$E$91))+IF(SUMSQ('TS-PILE'!$D$72:$D$91)=0,0,'TO HOP NLAN'!F103*'TS-PILE'!$D$75/SUMSQ('TS-PILE'!$D$72:$D$91))),IF('TS-PILE'!$B$76="",1E+99,'TO HOP NLAN'!D103/ncoc+IF(SUMSQ('TS-PILE'!$E$72:$E$91)=0,0,'TO HOP NLAN'!E103*'TS-PILE'!$E$76/SUMSQ('TS-PILE'!$E$72:$E$91))+IF(SUMSQ('TS-PILE'!$D$72:$D$91)=0,0,'TO HOP NLAN'!F103*'TS-PILE'!$D$76/SUMSQ('TS-PILE'!$D$72:$D$91))),IF('TS-PILE'!$B$77="",1E+99,'TO HOP NLAN'!D103/ncoc+IF(SUMSQ('TS-PILE'!$E$72:$E$91)=0,0,'TO HOP NLAN'!E103*'TS-PILE'!$E$77/SUMSQ('TS-PILE'!$E$72:$E$91))+IF(SUMSQ('TS-PILE'!$D$72:$D$91)=0,0,'TO HOP NLAN'!F103*'TS-PILE'!$D$77/SUMSQ('TS-PILE'!$D$72:$D$91))),IF('TS-PILE'!$B$78="",1E+99,'TO HOP NLAN'!D103/ncoc+IF(SUMSQ('TS-PILE'!$E$72:$E$91)=0,0,'TO HOP NLAN'!E103*'TS-PILE'!$E$78/SUMSQ('TS-PILE'!$E$72:$E$91))+IF(SUMSQ('TS-PILE'!$D$72:$D$91)=0,0,'TO HOP NLAN'!F103*'TS-PILE'!$D$78/SUMSQ('TS-PILE'!$D$72:$D$91))),IF('TS-PILE'!$B$79="",1E+99,'TO HOP NLAN'!D103/ncoc+IF(SUMSQ('TS-PILE'!$E$72:$E$91)=0,0,'TO HOP NLAN'!E103*'TS-PILE'!$E$79/SUMSQ('TS-PILE'!$E$72:$E$91))+IF(SUMSQ('TS-PILE'!$D$72:$D$91)=0,0,'TO HOP NLAN'!F103*'TS-PILE'!$D$79/SUMSQ('TS-PILE'!$D$72:$D$91))),IF('TS-PILE'!$B$80="",1E+99,'TO HOP NLAN'!D103/ncoc+IF(SUMSQ('TS-PILE'!$E$72:$E$91)=0,0,'TO HOP NLAN'!E103*'TS-PILE'!$E$80/SUMSQ('TS-PILE'!$E$72:$E$91))+IF(SUMSQ('TS-PILE'!$D$72:$D$91)=0,0,'TO HOP NLAN'!F103*'TS-PILE'!$D$80/SUMSQ('TS-PILE'!$D$72:$D$91))),IF('TS-PILE'!$B$81="",1E+99,'TO HOP NLAN'!D103/ncoc+IF(SUMSQ('TS-PILE'!$E$72:$E$91)=0,0,'TO HOP NLAN'!E103*'TS-PILE'!$E$81/SUMSQ('TS-PILE'!$E$72:$E$91))+IF(SUMSQ('TS-PILE'!$D$72:$D$91)=0,0,'TO HOP NLAN'!F103*'TS-PILE'!$D$81/SUMSQ('TS-PILE'!$D$72:$D$91))),IF('TS-PILE'!$B$82="",1E+99,'TO HOP NLAN'!D103/ncoc+IF(SUMSQ('TS-PILE'!$E$72:$E$91)=0,0,'TO HOP NLAN'!E103*'TS-PILE'!$E$82/SUMSQ('TS-PILE'!$E$72:$E$91))+IF(SUMSQ('TS-PILE'!$D$72:$D$91)=0,0,'TO HOP NLAN'!F103*'TS-PILE'!$D$82/SUMSQ('TS-PILE'!$D$72:$D$91))),IF('TS-PILE'!$B$83="",1E+99,'TO HOP NLAN'!D103/ncoc+IF(SUMSQ('TS-PILE'!$E$72:$E$91)=0,0,'TO HOP NLAN'!E103*'TS-PILE'!$E$83/SUMSQ('TS-PILE'!$E$72:$E$91))+IF(SUMSQ('TS-PILE'!$D$72:$D$91)=0,0,'TO HOP NLAN'!F103*'TS-PILE'!$D$83/SUMSQ('TS-PILE'!$D$72:$D$91))),IF('TS-PILE'!$B$84="",1E+99,'TO HOP NLAN'!D103/ncoc+IF(SUMSQ('TS-PILE'!$E$72:$E$91)=0,0,'TO HOP NLAN'!E103*'TS-PILE'!$E$84/SUMSQ('TS-PILE'!$E$72:$E$91))+IF(SUMSQ('TS-PILE'!$D$72:$D$91)=0,0,'TO HOP NLAN'!F103*'TS-PILE'!$D$84/SUMSQ('TS-PILE'!$D$72:$D$91))),IF('TS-PILE'!$B$85="",1E+99,'TO HOP NLAN'!D103/ncoc+IF(SUMSQ('TS-PILE'!$E$72:$E$91)=0,0,'TO HOP NLAN'!E103*'TS-PILE'!$E$85/SUMSQ('TS-PILE'!$E$72:$E$91))+IF(SUMSQ('TS-PILE'!$D$72:$D$91)=0,0,'TO HOP NLAN'!F103*'TS-PILE'!$D$85/SUMSQ('TS-PILE'!$D$72:$D$91))),IF('TS-PILE'!$B$86="",1E+99,'TO HOP NLAN'!D103/ncoc+IF(SUMSQ('TS-PILE'!$E$72:$E$91)=0,0,'TO HOP NLAN'!E103*'TS-PILE'!$E$86/SUMSQ('TS-PILE'!$E$72:$E$91))+IF(SUMSQ('TS-PILE'!$D$72:$D$91)=0,0,'TO HOP NLAN'!F103*'TS-PILE'!$D$86/SUMSQ('TS-PILE'!$D$72:$D$91))),IF('TS-PILE'!$B$87="",1E+99,'TO HOP NLAN'!D103/ncoc+IF(SUMSQ('TS-PILE'!$E$72:$E$91)=0,0,'TO HOP NLAN'!E103*'TS-PILE'!$E$87/SUMSQ('TS-PILE'!$E$72:$E$91))+IF(SUMSQ('TS-PILE'!$D$72:$D$91)=0,0,'TO HOP NLAN'!F103*'TS-PILE'!$D$87/SUMSQ('TS-PILE'!$D$72:$D$91))),IF('TS-PILE'!$B$88="",1E+99,'TO HOP NLAN'!D103/ncoc+IF(SUMSQ('TS-PILE'!$E$72:$E$91)=0,0,'TO HOP NLAN'!E103*'TS-PILE'!$E$88/SUMSQ('TS-PILE'!$E$72:$E$91))+IF(SUMSQ('TS-PILE'!$D$72:$D$91)=0,0,'TO HOP NLAN'!F103*'TS-PILE'!$D$88/SUMSQ('TS-PILE'!$D$72:$D$91))),IF('TS-PILE'!$B$89="",1E+99,'TO HOP NLAN'!D103/ncoc+IF(SUMSQ('TS-PILE'!$E$72:$E$91)=0,0,'TO HOP NLAN'!E103*'TS-PILE'!$E$89/SUMSQ('TS-PILE'!$E$72:$E$91))+IF(SUMSQ('TS-PILE'!$D$72:$D$91)=0,0,'TO HOP NLAN'!F103*'TS-PILE'!$D$89/SUMSQ('TS-PILE'!$D$72:$D$91))),IF('TS-PILE'!$B$90="",1E+99,'TO HOP NLAN'!D103/ncoc+IF(SUMSQ('TS-PILE'!$E$72:$E$91)=0,0,'TO HOP NLAN'!E103*'TS-PILE'!$E$90/SUMSQ('TS-PILE'!$E$72:$E$91))+IF(SUMSQ('TS-PILE'!$D$72:$D$91)=0,0,'TO HOP NLAN'!F103*'TS-PILE'!$D$90/SUMSQ('TS-PILE'!$D$72:$D$91))),IF('TS-PILE'!$B$91="",1E+99,'TO HOP NLAN'!D103/ncoc+IF(SUMSQ('TS-PILE'!$E$72:$E$91)=0,0,'TO HOP NLAN'!E103*'TS-PILE'!$E$91/SUMSQ('TS-PILE'!$E$72:$E$91))+IF(SUMSQ('TS-PILE'!$D$72:$D$91)=0,0,'TO HOP NLAN'!F103*'TS-PILE'!$D$91/SUMSQ('TS-PILE'!$D$72:$D$91)))))</f>
        <v>0</v>
      </c>
      <c r="E103" s="58">
        <f t="shared" si="4"/>
        <v>-9.9999999999999997E+98</v>
      </c>
      <c r="F103" s="58">
        <f t="shared" si="5"/>
        <v>9.9999999999999997E+98</v>
      </c>
      <c r="G103" s="58">
        <f t="shared" si="6"/>
        <v>-9.9999999999999997E+98</v>
      </c>
      <c r="H103" s="58">
        <f t="shared" si="7"/>
        <v>9.9999999999999997E+98</v>
      </c>
    </row>
    <row r="104" spans="1:8" x14ac:dyDescent="0.3">
      <c r="A104" s="42" t="str">
        <f>'TO HOP NLAN'!A104</f>
        <v/>
      </c>
      <c r="B104" s="42" t="str">
        <f>'TO HOP NLAN'!L104</f>
        <v>SERVICE</v>
      </c>
      <c r="C104" s="58">
        <f>IF(A104="",0,MAX(IF('TS-PILE'!$B$72="",-1E+99,'TO HOP NLAN'!D104/ncoc+IF(SUMSQ('TS-PILE'!$E$72:$E$91)=0,0,'TO HOP NLAN'!E104*'TS-PILE'!$E$72/SUMSQ('TS-PILE'!$E$72:$E$91))+IF(SUMSQ('TS-PILE'!$D$72:$D$91)=0,0,'TO HOP NLAN'!F104*'TS-PILE'!$D$72/SUMSQ('TS-PILE'!$D$72:$D$91))),IF('TS-PILE'!$B$73="",-1E+99,'TO HOP NLAN'!D104/ncoc+IF(SUMSQ('TS-PILE'!$E$72:$E$91)=0,0,'TO HOP NLAN'!E104*'TS-PILE'!$E$73/SUMSQ('TS-PILE'!$E$72:$E$91))+IF(SUMSQ('TS-PILE'!$D$72:$D$91)=0,0,'TO HOP NLAN'!F104*'TS-PILE'!$D$73/SUMSQ('TS-PILE'!$D$72:$D$91))),IF('TS-PILE'!$B$74="",-1E+99,'TO HOP NLAN'!D104/ncoc+IF(SUMSQ('TS-PILE'!$E$72:$E$91)=0,0,'TO HOP NLAN'!E104*'TS-PILE'!$E$74/SUMSQ('TS-PILE'!$E$72:$E$91))+IF(SUMSQ('TS-PILE'!$D$72:$D$91)=0,0,'TO HOP NLAN'!F104*'TS-PILE'!$D$74/SUMSQ('TS-PILE'!$D$72:$D$91))),IF('TS-PILE'!$B$75="",-1E+99,'TO HOP NLAN'!D104/ncoc+IF(SUMSQ('TS-PILE'!$E$72:$E$91)=0,0,'TO HOP NLAN'!E104*'TS-PILE'!$E$75/SUMSQ('TS-PILE'!$E$72:$E$91))+IF(SUMSQ('TS-PILE'!$D$72:$D$91)=0,0,'TO HOP NLAN'!F104*'TS-PILE'!$D$75/SUMSQ('TS-PILE'!$D$72:$D$91))),IF('TS-PILE'!$B$76="",-1E+99,'TO HOP NLAN'!D104/ncoc+IF(SUMSQ('TS-PILE'!$E$72:$E$91)=0,0,'TO HOP NLAN'!E104*'TS-PILE'!$E$76/SUMSQ('TS-PILE'!$E$72:$E$91))+IF(SUMSQ('TS-PILE'!$D$72:$D$91)=0,0,'TO HOP NLAN'!F104*'TS-PILE'!$D$76/SUMSQ('TS-PILE'!$D$72:$D$91))),IF('TS-PILE'!$B$77="",-1E+99,'TO HOP NLAN'!D104/ncoc+IF(SUMSQ('TS-PILE'!$E$72:$E$91)=0,0,'TO HOP NLAN'!E104*'TS-PILE'!$E$77/SUMSQ('TS-PILE'!$E$72:$E$91))+IF(SUMSQ('TS-PILE'!$D$72:$D$91)=0,0,'TO HOP NLAN'!F104*'TS-PILE'!$D$77/SUMSQ('TS-PILE'!$D$72:$D$91))),IF('TS-PILE'!$B$78="",-1E+99,'TO HOP NLAN'!D104/ncoc+IF(SUMSQ('TS-PILE'!$E$72:$E$91)=0,0,'TO HOP NLAN'!E104*'TS-PILE'!$E$78/SUMSQ('TS-PILE'!$E$72:$E$91))+IF(SUMSQ('TS-PILE'!$D$72:$D$91)=0,0,'TO HOP NLAN'!F104*'TS-PILE'!$D$78/SUMSQ('TS-PILE'!$D$72:$D$91))),IF('TS-PILE'!$B$79="",-1E+99,'TO HOP NLAN'!D104/ncoc+IF(SUMSQ('TS-PILE'!$E$72:$E$91)=0,0,'TO HOP NLAN'!E104*'TS-PILE'!$E$79/SUMSQ('TS-PILE'!$E$72:$E$91))+IF(SUMSQ('TS-PILE'!$D$72:$D$91)=0,0,'TO HOP NLAN'!F104*'TS-PILE'!$D$79/SUMSQ('TS-PILE'!$D$72:$D$91))),IF('TS-PILE'!$B$80="",-1E+99,'TO HOP NLAN'!D104/ncoc+IF(SUMSQ('TS-PILE'!$E$72:$E$91)=0,0,'TO HOP NLAN'!E104*'TS-PILE'!$E$80/SUMSQ('TS-PILE'!$E$72:$E$91))+IF(SUMSQ('TS-PILE'!$D$72:$D$91)=0,0,'TO HOP NLAN'!F104*'TS-PILE'!$D$80/SUMSQ('TS-PILE'!$D$72:$D$91))),IF('TS-PILE'!$B$81="",-1E+99,'TO HOP NLAN'!D104/ncoc+IF(SUMSQ('TS-PILE'!$E$72:$E$91)=0,0,'TO HOP NLAN'!E104*'TS-PILE'!$E$81/SUMSQ('TS-PILE'!$E$72:$E$91))+IF(SUMSQ('TS-PILE'!$D$72:$D$91)=0,0,'TO HOP NLAN'!F104*'TS-PILE'!$D$81/SUMSQ('TS-PILE'!$D$72:$D$91))),IF('TS-PILE'!$B$82="",-1E+99,'TO HOP NLAN'!D104/ncoc+IF(SUMSQ('TS-PILE'!$E$72:$E$91)=0,0,'TO HOP NLAN'!E104*'TS-PILE'!$E$82/SUMSQ('TS-PILE'!$E$72:$E$91))+IF(SUMSQ('TS-PILE'!$D$72:$D$91)=0,0,'TO HOP NLAN'!F104*'TS-PILE'!$D$82/SUMSQ('TS-PILE'!$D$72:$D$91))),IF('TS-PILE'!$B$83="",-1E+99,'TO HOP NLAN'!D104/ncoc+IF(SUMSQ('TS-PILE'!$E$72:$E$91)=0,0,'TO HOP NLAN'!E104*'TS-PILE'!$E$83/SUMSQ('TS-PILE'!$E$72:$E$91))+IF(SUMSQ('TS-PILE'!$D$72:$D$91)=0,0,'TO HOP NLAN'!F104*'TS-PILE'!$D$83/SUMSQ('TS-PILE'!$D$72:$D$91))),IF('TS-PILE'!$B$84="",-1E+99,'TO HOP NLAN'!D104/ncoc+IF(SUMSQ('TS-PILE'!$E$72:$E$91)=0,0,'TO HOP NLAN'!E104*'TS-PILE'!$E$84/SUMSQ('TS-PILE'!$E$72:$E$91))+IF(SUMSQ('TS-PILE'!$D$72:$D$91)=0,0,'TO HOP NLAN'!F104*'TS-PILE'!$D$84/SUMSQ('TS-PILE'!$D$72:$D$91))),IF('TS-PILE'!$B$85="",-1E+99,'TO HOP NLAN'!D104/ncoc+IF(SUMSQ('TS-PILE'!$E$72:$E$91)=0,0,'TO HOP NLAN'!E104*'TS-PILE'!$E$85/SUMSQ('TS-PILE'!$E$72:$E$91))+IF(SUMSQ('TS-PILE'!$D$72:$D$91)=0,0,'TO HOP NLAN'!F104*'TS-PILE'!$D$85/SUMSQ('TS-PILE'!$D$72:$D$91))),IF('TS-PILE'!$B$86="",-1E+99,'TO HOP NLAN'!D104/ncoc+IF(SUMSQ('TS-PILE'!$E$72:$E$91)=0,0,'TO HOP NLAN'!E104*'TS-PILE'!$E$86/SUMSQ('TS-PILE'!$E$72:$E$91))+IF(SUMSQ('TS-PILE'!$D$72:$D$91)=0,0,'TO HOP NLAN'!F104*'TS-PILE'!$D$86/SUMSQ('TS-PILE'!$D$72:$D$91))),IF('TS-PILE'!$B$87="",-1E+99,'TO HOP NLAN'!D104/ncoc+IF(SUMSQ('TS-PILE'!$E$72:$E$91)=0,0,'TO HOP NLAN'!E104*'TS-PILE'!$E$87/SUMSQ('TS-PILE'!$E$72:$E$91))+IF(SUMSQ('TS-PILE'!$D$72:$D$91)=0,0,'TO HOP NLAN'!F104*'TS-PILE'!$D$87/SUMSQ('TS-PILE'!$D$72:$D$91))),IF('TS-PILE'!$B$88="",-1E+99,'TO HOP NLAN'!D104/ncoc+IF(SUMSQ('TS-PILE'!$E$72:$E$91)=0,0,'TO HOP NLAN'!E104*'TS-PILE'!$E$88/SUMSQ('TS-PILE'!$E$72:$E$91))+IF(SUMSQ('TS-PILE'!$D$72:$D$91)=0,0,'TO HOP NLAN'!F104*'TS-PILE'!$D$88/SUMSQ('TS-PILE'!$D$72:$D$91))),IF('TS-PILE'!$B$89="",-1E+99,'TO HOP NLAN'!D104/ncoc+IF(SUMSQ('TS-PILE'!$E$72:$E$91)=0,0,'TO HOP NLAN'!E104*'TS-PILE'!$E$89/SUMSQ('TS-PILE'!$E$72:$E$91))+IF(SUMSQ('TS-PILE'!$D$72:$D$91)=0,0,'TO HOP NLAN'!F104*'TS-PILE'!$D$89/SUMSQ('TS-PILE'!$D$72:$D$91))),IF('TS-PILE'!$B$90="",-1E+99,'TO HOP NLAN'!D104/ncoc+IF(SUMSQ('TS-PILE'!$E$72:$E$91)=0,0,'TO HOP NLAN'!E104*'TS-PILE'!$E$90/SUMSQ('TS-PILE'!$E$72:$E$91))+IF(SUMSQ('TS-PILE'!$D$72:$D$91)=0,0,'TO HOP NLAN'!F104*'TS-PILE'!$D$90/SUMSQ('TS-PILE'!$D$72:$D$91))),IF('TS-PILE'!$B$91="",-1E+99,'TO HOP NLAN'!D104/ncoc+IF(SUMSQ('TS-PILE'!$E$72:$E$91)=0,0,'TO HOP NLAN'!E104*'TS-PILE'!$E$91/SUMSQ('TS-PILE'!$E$72:$E$91))+IF(SUMSQ('TS-PILE'!$D$72:$D$91)=0,0,'TO HOP NLAN'!F104*'TS-PILE'!$D$91/SUMSQ('TS-PILE'!$D$72:$D$91)))))</f>
        <v>0</v>
      </c>
      <c r="D104" s="58">
        <f>IF(A104="",0,MIN(IF('TS-PILE'!$B$72="",1E+99,'TO HOP NLAN'!D104/ncoc+IF(SUMSQ('TS-PILE'!$E$72:$E$91)=0,0,'TO HOP NLAN'!E104*'TS-PILE'!$E$72/SUMSQ('TS-PILE'!$E$72:$E$91))+IF(SUMSQ('TS-PILE'!$D$72:$D$91)=0,0,'TO HOP NLAN'!F104*'TS-PILE'!$D$72/SUMSQ('TS-PILE'!$D$72:$D$91))),IF('TS-PILE'!$B$73="",1E+99,'TO HOP NLAN'!D104/ncoc+IF(SUMSQ('TS-PILE'!$E$72:$E$91)=0,0,'TO HOP NLAN'!E104*'TS-PILE'!$E$73/SUMSQ('TS-PILE'!$E$72:$E$91))+IF(SUMSQ('TS-PILE'!$D$72:$D$91)=0,0,'TO HOP NLAN'!F104*'TS-PILE'!$D$73/SUMSQ('TS-PILE'!$D$72:$D$91))),IF('TS-PILE'!$B$74="",1E+99,'TO HOP NLAN'!D104/ncoc+IF(SUMSQ('TS-PILE'!$E$72:$E$91)=0,0,'TO HOP NLAN'!E104*'TS-PILE'!$E$74/SUMSQ('TS-PILE'!$E$72:$E$91))+IF(SUMSQ('TS-PILE'!$D$72:$D$91)=0,0,'TO HOP NLAN'!F104*'TS-PILE'!$D$74/SUMSQ('TS-PILE'!$D$72:$D$91))),IF('TS-PILE'!$B$75="",1E+99,'TO HOP NLAN'!D104/ncoc+IF(SUMSQ('TS-PILE'!$E$72:$E$91)=0,0,'TO HOP NLAN'!E104*'TS-PILE'!$E$75/SUMSQ('TS-PILE'!$E$72:$E$91))+IF(SUMSQ('TS-PILE'!$D$72:$D$91)=0,0,'TO HOP NLAN'!F104*'TS-PILE'!$D$75/SUMSQ('TS-PILE'!$D$72:$D$91))),IF('TS-PILE'!$B$76="",1E+99,'TO HOP NLAN'!D104/ncoc+IF(SUMSQ('TS-PILE'!$E$72:$E$91)=0,0,'TO HOP NLAN'!E104*'TS-PILE'!$E$76/SUMSQ('TS-PILE'!$E$72:$E$91))+IF(SUMSQ('TS-PILE'!$D$72:$D$91)=0,0,'TO HOP NLAN'!F104*'TS-PILE'!$D$76/SUMSQ('TS-PILE'!$D$72:$D$91))),IF('TS-PILE'!$B$77="",1E+99,'TO HOP NLAN'!D104/ncoc+IF(SUMSQ('TS-PILE'!$E$72:$E$91)=0,0,'TO HOP NLAN'!E104*'TS-PILE'!$E$77/SUMSQ('TS-PILE'!$E$72:$E$91))+IF(SUMSQ('TS-PILE'!$D$72:$D$91)=0,0,'TO HOP NLAN'!F104*'TS-PILE'!$D$77/SUMSQ('TS-PILE'!$D$72:$D$91))),IF('TS-PILE'!$B$78="",1E+99,'TO HOP NLAN'!D104/ncoc+IF(SUMSQ('TS-PILE'!$E$72:$E$91)=0,0,'TO HOP NLAN'!E104*'TS-PILE'!$E$78/SUMSQ('TS-PILE'!$E$72:$E$91))+IF(SUMSQ('TS-PILE'!$D$72:$D$91)=0,0,'TO HOP NLAN'!F104*'TS-PILE'!$D$78/SUMSQ('TS-PILE'!$D$72:$D$91))),IF('TS-PILE'!$B$79="",1E+99,'TO HOP NLAN'!D104/ncoc+IF(SUMSQ('TS-PILE'!$E$72:$E$91)=0,0,'TO HOP NLAN'!E104*'TS-PILE'!$E$79/SUMSQ('TS-PILE'!$E$72:$E$91))+IF(SUMSQ('TS-PILE'!$D$72:$D$91)=0,0,'TO HOP NLAN'!F104*'TS-PILE'!$D$79/SUMSQ('TS-PILE'!$D$72:$D$91))),IF('TS-PILE'!$B$80="",1E+99,'TO HOP NLAN'!D104/ncoc+IF(SUMSQ('TS-PILE'!$E$72:$E$91)=0,0,'TO HOP NLAN'!E104*'TS-PILE'!$E$80/SUMSQ('TS-PILE'!$E$72:$E$91))+IF(SUMSQ('TS-PILE'!$D$72:$D$91)=0,0,'TO HOP NLAN'!F104*'TS-PILE'!$D$80/SUMSQ('TS-PILE'!$D$72:$D$91))),IF('TS-PILE'!$B$81="",1E+99,'TO HOP NLAN'!D104/ncoc+IF(SUMSQ('TS-PILE'!$E$72:$E$91)=0,0,'TO HOP NLAN'!E104*'TS-PILE'!$E$81/SUMSQ('TS-PILE'!$E$72:$E$91))+IF(SUMSQ('TS-PILE'!$D$72:$D$91)=0,0,'TO HOP NLAN'!F104*'TS-PILE'!$D$81/SUMSQ('TS-PILE'!$D$72:$D$91))),IF('TS-PILE'!$B$82="",1E+99,'TO HOP NLAN'!D104/ncoc+IF(SUMSQ('TS-PILE'!$E$72:$E$91)=0,0,'TO HOP NLAN'!E104*'TS-PILE'!$E$82/SUMSQ('TS-PILE'!$E$72:$E$91))+IF(SUMSQ('TS-PILE'!$D$72:$D$91)=0,0,'TO HOP NLAN'!F104*'TS-PILE'!$D$82/SUMSQ('TS-PILE'!$D$72:$D$91))),IF('TS-PILE'!$B$83="",1E+99,'TO HOP NLAN'!D104/ncoc+IF(SUMSQ('TS-PILE'!$E$72:$E$91)=0,0,'TO HOP NLAN'!E104*'TS-PILE'!$E$83/SUMSQ('TS-PILE'!$E$72:$E$91))+IF(SUMSQ('TS-PILE'!$D$72:$D$91)=0,0,'TO HOP NLAN'!F104*'TS-PILE'!$D$83/SUMSQ('TS-PILE'!$D$72:$D$91))),IF('TS-PILE'!$B$84="",1E+99,'TO HOP NLAN'!D104/ncoc+IF(SUMSQ('TS-PILE'!$E$72:$E$91)=0,0,'TO HOP NLAN'!E104*'TS-PILE'!$E$84/SUMSQ('TS-PILE'!$E$72:$E$91))+IF(SUMSQ('TS-PILE'!$D$72:$D$91)=0,0,'TO HOP NLAN'!F104*'TS-PILE'!$D$84/SUMSQ('TS-PILE'!$D$72:$D$91))),IF('TS-PILE'!$B$85="",1E+99,'TO HOP NLAN'!D104/ncoc+IF(SUMSQ('TS-PILE'!$E$72:$E$91)=0,0,'TO HOP NLAN'!E104*'TS-PILE'!$E$85/SUMSQ('TS-PILE'!$E$72:$E$91))+IF(SUMSQ('TS-PILE'!$D$72:$D$91)=0,0,'TO HOP NLAN'!F104*'TS-PILE'!$D$85/SUMSQ('TS-PILE'!$D$72:$D$91))),IF('TS-PILE'!$B$86="",1E+99,'TO HOP NLAN'!D104/ncoc+IF(SUMSQ('TS-PILE'!$E$72:$E$91)=0,0,'TO HOP NLAN'!E104*'TS-PILE'!$E$86/SUMSQ('TS-PILE'!$E$72:$E$91))+IF(SUMSQ('TS-PILE'!$D$72:$D$91)=0,0,'TO HOP NLAN'!F104*'TS-PILE'!$D$86/SUMSQ('TS-PILE'!$D$72:$D$91))),IF('TS-PILE'!$B$87="",1E+99,'TO HOP NLAN'!D104/ncoc+IF(SUMSQ('TS-PILE'!$E$72:$E$91)=0,0,'TO HOP NLAN'!E104*'TS-PILE'!$E$87/SUMSQ('TS-PILE'!$E$72:$E$91))+IF(SUMSQ('TS-PILE'!$D$72:$D$91)=0,0,'TO HOP NLAN'!F104*'TS-PILE'!$D$87/SUMSQ('TS-PILE'!$D$72:$D$91))),IF('TS-PILE'!$B$88="",1E+99,'TO HOP NLAN'!D104/ncoc+IF(SUMSQ('TS-PILE'!$E$72:$E$91)=0,0,'TO HOP NLAN'!E104*'TS-PILE'!$E$88/SUMSQ('TS-PILE'!$E$72:$E$91))+IF(SUMSQ('TS-PILE'!$D$72:$D$91)=0,0,'TO HOP NLAN'!F104*'TS-PILE'!$D$88/SUMSQ('TS-PILE'!$D$72:$D$91))),IF('TS-PILE'!$B$89="",1E+99,'TO HOP NLAN'!D104/ncoc+IF(SUMSQ('TS-PILE'!$E$72:$E$91)=0,0,'TO HOP NLAN'!E104*'TS-PILE'!$E$89/SUMSQ('TS-PILE'!$E$72:$E$91))+IF(SUMSQ('TS-PILE'!$D$72:$D$91)=0,0,'TO HOP NLAN'!F104*'TS-PILE'!$D$89/SUMSQ('TS-PILE'!$D$72:$D$91))),IF('TS-PILE'!$B$90="",1E+99,'TO HOP NLAN'!D104/ncoc+IF(SUMSQ('TS-PILE'!$E$72:$E$91)=0,0,'TO HOP NLAN'!E104*'TS-PILE'!$E$90/SUMSQ('TS-PILE'!$E$72:$E$91))+IF(SUMSQ('TS-PILE'!$D$72:$D$91)=0,0,'TO HOP NLAN'!F104*'TS-PILE'!$D$90/SUMSQ('TS-PILE'!$D$72:$D$91))),IF('TS-PILE'!$B$91="",1E+99,'TO HOP NLAN'!D104/ncoc+IF(SUMSQ('TS-PILE'!$E$72:$E$91)=0,0,'TO HOP NLAN'!E104*'TS-PILE'!$E$91/SUMSQ('TS-PILE'!$E$72:$E$91))+IF(SUMSQ('TS-PILE'!$D$72:$D$91)=0,0,'TO HOP NLAN'!F104*'TS-PILE'!$D$91/SUMSQ('TS-PILE'!$D$72:$D$91)))))</f>
        <v>0</v>
      </c>
      <c r="E104" s="58">
        <f t="shared" si="4"/>
        <v>-9.9999999999999997E+98</v>
      </c>
      <c r="F104" s="58">
        <f t="shared" si="5"/>
        <v>9.9999999999999997E+98</v>
      </c>
      <c r="G104" s="58">
        <f t="shared" si="6"/>
        <v>-9.9999999999999997E+98</v>
      </c>
      <c r="H104" s="58">
        <f t="shared" si="7"/>
        <v>9.9999999999999997E+98</v>
      </c>
    </row>
    <row r="105" spans="1:8" x14ac:dyDescent="0.3">
      <c r="A105" s="42" t="str">
        <f>'TO HOP NLAN'!A105</f>
        <v/>
      </c>
      <c r="B105" s="42" t="str">
        <f>'TO HOP NLAN'!L105</f>
        <v>SERVICE</v>
      </c>
      <c r="C105" s="58">
        <f>IF(A105="",0,MAX(IF('TS-PILE'!$B$72="",-1E+99,'TO HOP NLAN'!D105/ncoc+IF(SUMSQ('TS-PILE'!$E$72:$E$91)=0,0,'TO HOP NLAN'!E105*'TS-PILE'!$E$72/SUMSQ('TS-PILE'!$E$72:$E$91))+IF(SUMSQ('TS-PILE'!$D$72:$D$91)=0,0,'TO HOP NLAN'!F105*'TS-PILE'!$D$72/SUMSQ('TS-PILE'!$D$72:$D$91))),IF('TS-PILE'!$B$73="",-1E+99,'TO HOP NLAN'!D105/ncoc+IF(SUMSQ('TS-PILE'!$E$72:$E$91)=0,0,'TO HOP NLAN'!E105*'TS-PILE'!$E$73/SUMSQ('TS-PILE'!$E$72:$E$91))+IF(SUMSQ('TS-PILE'!$D$72:$D$91)=0,0,'TO HOP NLAN'!F105*'TS-PILE'!$D$73/SUMSQ('TS-PILE'!$D$72:$D$91))),IF('TS-PILE'!$B$74="",-1E+99,'TO HOP NLAN'!D105/ncoc+IF(SUMSQ('TS-PILE'!$E$72:$E$91)=0,0,'TO HOP NLAN'!E105*'TS-PILE'!$E$74/SUMSQ('TS-PILE'!$E$72:$E$91))+IF(SUMSQ('TS-PILE'!$D$72:$D$91)=0,0,'TO HOP NLAN'!F105*'TS-PILE'!$D$74/SUMSQ('TS-PILE'!$D$72:$D$91))),IF('TS-PILE'!$B$75="",-1E+99,'TO HOP NLAN'!D105/ncoc+IF(SUMSQ('TS-PILE'!$E$72:$E$91)=0,0,'TO HOP NLAN'!E105*'TS-PILE'!$E$75/SUMSQ('TS-PILE'!$E$72:$E$91))+IF(SUMSQ('TS-PILE'!$D$72:$D$91)=0,0,'TO HOP NLAN'!F105*'TS-PILE'!$D$75/SUMSQ('TS-PILE'!$D$72:$D$91))),IF('TS-PILE'!$B$76="",-1E+99,'TO HOP NLAN'!D105/ncoc+IF(SUMSQ('TS-PILE'!$E$72:$E$91)=0,0,'TO HOP NLAN'!E105*'TS-PILE'!$E$76/SUMSQ('TS-PILE'!$E$72:$E$91))+IF(SUMSQ('TS-PILE'!$D$72:$D$91)=0,0,'TO HOP NLAN'!F105*'TS-PILE'!$D$76/SUMSQ('TS-PILE'!$D$72:$D$91))),IF('TS-PILE'!$B$77="",-1E+99,'TO HOP NLAN'!D105/ncoc+IF(SUMSQ('TS-PILE'!$E$72:$E$91)=0,0,'TO HOP NLAN'!E105*'TS-PILE'!$E$77/SUMSQ('TS-PILE'!$E$72:$E$91))+IF(SUMSQ('TS-PILE'!$D$72:$D$91)=0,0,'TO HOP NLAN'!F105*'TS-PILE'!$D$77/SUMSQ('TS-PILE'!$D$72:$D$91))),IF('TS-PILE'!$B$78="",-1E+99,'TO HOP NLAN'!D105/ncoc+IF(SUMSQ('TS-PILE'!$E$72:$E$91)=0,0,'TO HOP NLAN'!E105*'TS-PILE'!$E$78/SUMSQ('TS-PILE'!$E$72:$E$91))+IF(SUMSQ('TS-PILE'!$D$72:$D$91)=0,0,'TO HOP NLAN'!F105*'TS-PILE'!$D$78/SUMSQ('TS-PILE'!$D$72:$D$91))),IF('TS-PILE'!$B$79="",-1E+99,'TO HOP NLAN'!D105/ncoc+IF(SUMSQ('TS-PILE'!$E$72:$E$91)=0,0,'TO HOP NLAN'!E105*'TS-PILE'!$E$79/SUMSQ('TS-PILE'!$E$72:$E$91))+IF(SUMSQ('TS-PILE'!$D$72:$D$91)=0,0,'TO HOP NLAN'!F105*'TS-PILE'!$D$79/SUMSQ('TS-PILE'!$D$72:$D$91))),IF('TS-PILE'!$B$80="",-1E+99,'TO HOP NLAN'!D105/ncoc+IF(SUMSQ('TS-PILE'!$E$72:$E$91)=0,0,'TO HOP NLAN'!E105*'TS-PILE'!$E$80/SUMSQ('TS-PILE'!$E$72:$E$91))+IF(SUMSQ('TS-PILE'!$D$72:$D$91)=0,0,'TO HOP NLAN'!F105*'TS-PILE'!$D$80/SUMSQ('TS-PILE'!$D$72:$D$91))),IF('TS-PILE'!$B$81="",-1E+99,'TO HOP NLAN'!D105/ncoc+IF(SUMSQ('TS-PILE'!$E$72:$E$91)=0,0,'TO HOP NLAN'!E105*'TS-PILE'!$E$81/SUMSQ('TS-PILE'!$E$72:$E$91))+IF(SUMSQ('TS-PILE'!$D$72:$D$91)=0,0,'TO HOP NLAN'!F105*'TS-PILE'!$D$81/SUMSQ('TS-PILE'!$D$72:$D$91))),IF('TS-PILE'!$B$82="",-1E+99,'TO HOP NLAN'!D105/ncoc+IF(SUMSQ('TS-PILE'!$E$72:$E$91)=0,0,'TO HOP NLAN'!E105*'TS-PILE'!$E$82/SUMSQ('TS-PILE'!$E$72:$E$91))+IF(SUMSQ('TS-PILE'!$D$72:$D$91)=0,0,'TO HOP NLAN'!F105*'TS-PILE'!$D$82/SUMSQ('TS-PILE'!$D$72:$D$91))),IF('TS-PILE'!$B$83="",-1E+99,'TO HOP NLAN'!D105/ncoc+IF(SUMSQ('TS-PILE'!$E$72:$E$91)=0,0,'TO HOP NLAN'!E105*'TS-PILE'!$E$83/SUMSQ('TS-PILE'!$E$72:$E$91))+IF(SUMSQ('TS-PILE'!$D$72:$D$91)=0,0,'TO HOP NLAN'!F105*'TS-PILE'!$D$83/SUMSQ('TS-PILE'!$D$72:$D$91))),IF('TS-PILE'!$B$84="",-1E+99,'TO HOP NLAN'!D105/ncoc+IF(SUMSQ('TS-PILE'!$E$72:$E$91)=0,0,'TO HOP NLAN'!E105*'TS-PILE'!$E$84/SUMSQ('TS-PILE'!$E$72:$E$91))+IF(SUMSQ('TS-PILE'!$D$72:$D$91)=0,0,'TO HOP NLAN'!F105*'TS-PILE'!$D$84/SUMSQ('TS-PILE'!$D$72:$D$91))),IF('TS-PILE'!$B$85="",-1E+99,'TO HOP NLAN'!D105/ncoc+IF(SUMSQ('TS-PILE'!$E$72:$E$91)=0,0,'TO HOP NLAN'!E105*'TS-PILE'!$E$85/SUMSQ('TS-PILE'!$E$72:$E$91))+IF(SUMSQ('TS-PILE'!$D$72:$D$91)=0,0,'TO HOP NLAN'!F105*'TS-PILE'!$D$85/SUMSQ('TS-PILE'!$D$72:$D$91))),IF('TS-PILE'!$B$86="",-1E+99,'TO HOP NLAN'!D105/ncoc+IF(SUMSQ('TS-PILE'!$E$72:$E$91)=0,0,'TO HOP NLAN'!E105*'TS-PILE'!$E$86/SUMSQ('TS-PILE'!$E$72:$E$91))+IF(SUMSQ('TS-PILE'!$D$72:$D$91)=0,0,'TO HOP NLAN'!F105*'TS-PILE'!$D$86/SUMSQ('TS-PILE'!$D$72:$D$91))),IF('TS-PILE'!$B$87="",-1E+99,'TO HOP NLAN'!D105/ncoc+IF(SUMSQ('TS-PILE'!$E$72:$E$91)=0,0,'TO HOP NLAN'!E105*'TS-PILE'!$E$87/SUMSQ('TS-PILE'!$E$72:$E$91))+IF(SUMSQ('TS-PILE'!$D$72:$D$91)=0,0,'TO HOP NLAN'!F105*'TS-PILE'!$D$87/SUMSQ('TS-PILE'!$D$72:$D$91))),IF('TS-PILE'!$B$88="",-1E+99,'TO HOP NLAN'!D105/ncoc+IF(SUMSQ('TS-PILE'!$E$72:$E$91)=0,0,'TO HOP NLAN'!E105*'TS-PILE'!$E$88/SUMSQ('TS-PILE'!$E$72:$E$91))+IF(SUMSQ('TS-PILE'!$D$72:$D$91)=0,0,'TO HOP NLAN'!F105*'TS-PILE'!$D$88/SUMSQ('TS-PILE'!$D$72:$D$91))),IF('TS-PILE'!$B$89="",-1E+99,'TO HOP NLAN'!D105/ncoc+IF(SUMSQ('TS-PILE'!$E$72:$E$91)=0,0,'TO HOP NLAN'!E105*'TS-PILE'!$E$89/SUMSQ('TS-PILE'!$E$72:$E$91))+IF(SUMSQ('TS-PILE'!$D$72:$D$91)=0,0,'TO HOP NLAN'!F105*'TS-PILE'!$D$89/SUMSQ('TS-PILE'!$D$72:$D$91))),IF('TS-PILE'!$B$90="",-1E+99,'TO HOP NLAN'!D105/ncoc+IF(SUMSQ('TS-PILE'!$E$72:$E$91)=0,0,'TO HOP NLAN'!E105*'TS-PILE'!$E$90/SUMSQ('TS-PILE'!$E$72:$E$91))+IF(SUMSQ('TS-PILE'!$D$72:$D$91)=0,0,'TO HOP NLAN'!F105*'TS-PILE'!$D$90/SUMSQ('TS-PILE'!$D$72:$D$91))),IF('TS-PILE'!$B$91="",-1E+99,'TO HOP NLAN'!D105/ncoc+IF(SUMSQ('TS-PILE'!$E$72:$E$91)=0,0,'TO HOP NLAN'!E105*'TS-PILE'!$E$91/SUMSQ('TS-PILE'!$E$72:$E$91))+IF(SUMSQ('TS-PILE'!$D$72:$D$91)=0,0,'TO HOP NLAN'!F105*'TS-PILE'!$D$91/SUMSQ('TS-PILE'!$D$72:$D$91)))))</f>
        <v>0</v>
      </c>
      <c r="D105" s="58">
        <f>IF(A105="",0,MIN(IF('TS-PILE'!$B$72="",1E+99,'TO HOP NLAN'!D105/ncoc+IF(SUMSQ('TS-PILE'!$E$72:$E$91)=0,0,'TO HOP NLAN'!E105*'TS-PILE'!$E$72/SUMSQ('TS-PILE'!$E$72:$E$91))+IF(SUMSQ('TS-PILE'!$D$72:$D$91)=0,0,'TO HOP NLAN'!F105*'TS-PILE'!$D$72/SUMSQ('TS-PILE'!$D$72:$D$91))),IF('TS-PILE'!$B$73="",1E+99,'TO HOP NLAN'!D105/ncoc+IF(SUMSQ('TS-PILE'!$E$72:$E$91)=0,0,'TO HOP NLAN'!E105*'TS-PILE'!$E$73/SUMSQ('TS-PILE'!$E$72:$E$91))+IF(SUMSQ('TS-PILE'!$D$72:$D$91)=0,0,'TO HOP NLAN'!F105*'TS-PILE'!$D$73/SUMSQ('TS-PILE'!$D$72:$D$91))),IF('TS-PILE'!$B$74="",1E+99,'TO HOP NLAN'!D105/ncoc+IF(SUMSQ('TS-PILE'!$E$72:$E$91)=0,0,'TO HOP NLAN'!E105*'TS-PILE'!$E$74/SUMSQ('TS-PILE'!$E$72:$E$91))+IF(SUMSQ('TS-PILE'!$D$72:$D$91)=0,0,'TO HOP NLAN'!F105*'TS-PILE'!$D$74/SUMSQ('TS-PILE'!$D$72:$D$91))),IF('TS-PILE'!$B$75="",1E+99,'TO HOP NLAN'!D105/ncoc+IF(SUMSQ('TS-PILE'!$E$72:$E$91)=0,0,'TO HOP NLAN'!E105*'TS-PILE'!$E$75/SUMSQ('TS-PILE'!$E$72:$E$91))+IF(SUMSQ('TS-PILE'!$D$72:$D$91)=0,0,'TO HOP NLAN'!F105*'TS-PILE'!$D$75/SUMSQ('TS-PILE'!$D$72:$D$91))),IF('TS-PILE'!$B$76="",1E+99,'TO HOP NLAN'!D105/ncoc+IF(SUMSQ('TS-PILE'!$E$72:$E$91)=0,0,'TO HOP NLAN'!E105*'TS-PILE'!$E$76/SUMSQ('TS-PILE'!$E$72:$E$91))+IF(SUMSQ('TS-PILE'!$D$72:$D$91)=0,0,'TO HOP NLAN'!F105*'TS-PILE'!$D$76/SUMSQ('TS-PILE'!$D$72:$D$91))),IF('TS-PILE'!$B$77="",1E+99,'TO HOP NLAN'!D105/ncoc+IF(SUMSQ('TS-PILE'!$E$72:$E$91)=0,0,'TO HOP NLAN'!E105*'TS-PILE'!$E$77/SUMSQ('TS-PILE'!$E$72:$E$91))+IF(SUMSQ('TS-PILE'!$D$72:$D$91)=0,0,'TO HOP NLAN'!F105*'TS-PILE'!$D$77/SUMSQ('TS-PILE'!$D$72:$D$91))),IF('TS-PILE'!$B$78="",1E+99,'TO HOP NLAN'!D105/ncoc+IF(SUMSQ('TS-PILE'!$E$72:$E$91)=0,0,'TO HOP NLAN'!E105*'TS-PILE'!$E$78/SUMSQ('TS-PILE'!$E$72:$E$91))+IF(SUMSQ('TS-PILE'!$D$72:$D$91)=0,0,'TO HOP NLAN'!F105*'TS-PILE'!$D$78/SUMSQ('TS-PILE'!$D$72:$D$91))),IF('TS-PILE'!$B$79="",1E+99,'TO HOP NLAN'!D105/ncoc+IF(SUMSQ('TS-PILE'!$E$72:$E$91)=0,0,'TO HOP NLAN'!E105*'TS-PILE'!$E$79/SUMSQ('TS-PILE'!$E$72:$E$91))+IF(SUMSQ('TS-PILE'!$D$72:$D$91)=0,0,'TO HOP NLAN'!F105*'TS-PILE'!$D$79/SUMSQ('TS-PILE'!$D$72:$D$91))),IF('TS-PILE'!$B$80="",1E+99,'TO HOP NLAN'!D105/ncoc+IF(SUMSQ('TS-PILE'!$E$72:$E$91)=0,0,'TO HOP NLAN'!E105*'TS-PILE'!$E$80/SUMSQ('TS-PILE'!$E$72:$E$91))+IF(SUMSQ('TS-PILE'!$D$72:$D$91)=0,0,'TO HOP NLAN'!F105*'TS-PILE'!$D$80/SUMSQ('TS-PILE'!$D$72:$D$91))),IF('TS-PILE'!$B$81="",1E+99,'TO HOP NLAN'!D105/ncoc+IF(SUMSQ('TS-PILE'!$E$72:$E$91)=0,0,'TO HOP NLAN'!E105*'TS-PILE'!$E$81/SUMSQ('TS-PILE'!$E$72:$E$91))+IF(SUMSQ('TS-PILE'!$D$72:$D$91)=0,0,'TO HOP NLAN'!F105*'TS-PILE'!$D$81/SUMSQ('TS-PILE'!$D$72:$D$91))),IF('TS-PILE'!$B$82="",1E+99,'TO HOP NLAN'!D105/ncoc+IF(SUMSQ('TS-PILE'!$E$72:$E$91)=0,0,'TO HOP NLAN'!E105*'TS-PILE'!$E$82/SUMSQ('TS-PILE'!$E$72:$E$91))+IF(SUMSQ('TS-PILE'!$D$72:$D$91)=0,0,'TO HOP NLAN'!F105*'TS-PILE'!$D$82/SUMSQ('TS-PILE'!$D$72:$D$91))),IF('TS-PILE'!$B$83="",1E+99,'TO HOP NLAN'!D105/ncoc+IF(SUMSQ('TS-PILE'!$E$72:$E$91)=0,0,'TO HOP NLAN'!E105*'TS-PILE'!$E$83/SUMSQ('TS-PILE'!$E$72:$E$91))+IF(SUMSQ('TS-PILE'!$D$72:$D$91)=0,0,'TO HOP NLAN'!F105*'TS-PILE'!$D$83/SUMSQ('TS-PILE'!$D$72:$D$91))),IF('TS-PILE'!$B$84="",1E+99,'TO HOP NLAN'!D105/ncoc+IF(SUMSQ('TS-PILE'!$E$72:$E$91)=0,0,'TO HOP NLAN'!E105*'TS-PILE'!$E$84/SUMSQ('TS-PILE'!$E$72:$E$91))+IF(SUMSQ('TS-PILE'!$D$72:$D$91)=0,0,'TO HOP NLAN'!F105*'TS-PILE'!$D$84/SUMSQ('TS-PILE'!$D$72:$D$91))),IF('TS-PILE'!$B$85="",1E+99,'TO HOP NLAN'!D105/ncoc+IF(SUMSQ('TS-PILE'!$E$72:$E$91)=0,0,'TO HOP NLAN'!E105*'TS-PILE'!$E$85/SUMSQ('TS-PILE'!$E$72:$E$91))+IF(SUMSQ('TS-PILE'!$D$72:$D$91)=0,0,'TO HOP NLAN'!F105*'TS-PILE'!$D$85/SUMSQ('TS-PILE'!$D$72:$D$91))),IF('TS-PILE'!$B$86="",1E+99,'TO HOP NLAN'!D105/ncoc+IF(SUMSQ('TS-PILE'!$E$72:$E$91)=0,0,'TO HOP NLAN'!E105*'TS-PILE'!$E$86/SUMSQ('TS-PILE'!$E$72:$E$91))+IF(SUMSQ('TS-PILE'!$D$72:$D$91)=0,0,'TO HOP NLAN'!F105*'TS-PILE'!$D$86/SUMSQ('TS-PILE'!$D$72:$D$91))),IF('TS-PILE'!$B$87="",1E+99,'TO HOP NLAN'!D105/ncoc+IF(SUMSQ('TS-PILE'!$E$72:$E$91)=0,0,'TO HOP NLAN'!E105*'TS-PILE'!$E$87/SUMSQ('TS-PILE'!$E$72:$E$91))+IF(SUMSQ('TS-PILE'!$D$72:$D$91)=0,0,'TO HOP NLAN'!F105*'TS-PILE'!$D$87/SUMSQ('TS-PILE'!$D$72:$D$91))),IF('TS-PILE'!$B$88="",1E+99,'TO HOP NLAN'!D105/ncoc+IF(SUMSQ('TS-PILE'!$E$72:$E$91)=0,0,'TO HOP NLAN'!E105*'TS-PILE'!$E$88/SUMSQ('TS-PILE'!$E$72:$E$91))+IF(SUMSQ('TS-PILE'!$D$72:$D$91)=0,0,'TO HOP NLAN'!F105*'TS-PILE'!$D$88/SUMSQ('TS-PILE'!$D$72:$D$91))),IF('TS-PILE'!$B$89="",1E+99,'TO HOP NLAN'!D105/ncoc+IF(SUMSQ('TS-PILE'!$E$72:$E$91)=0,0,'TO HOP NLAN'!E105*'TS-PILE'!$E$89/SUMSQ('TS-PILE'!$E$72:$E$91))+IF(SUMSQ('TS-PILE'!$D$72:$D$91)=0,0,'TO HOP NLAN'!F105*'TS-PILE'!$D$89/SUMSQ('TS-PILE'!$D$72:$D$91))),IF('TS-PILE'!$B$90="",1E+99,'TO HOP NLAN'!D105/ncoc+IF(SUMSQ('TS-PILE'!$E$72:$E$91)=0,0,'TO HOP NLAN'!E105*'TS-PILE'!$E$90/SUMSQ('TS-PILE'!$E$72:$E$91))+IF(SUMSQ('TS-PILE'!$D$72:$D$91)=0,0,'TO HOP NLAN'!F105*'TS-PILE'!$D$90/SUMSQ('TS-PILE'!$D$72:$D$91))),IF('TS-PILE'!$B$91="",1E+99,'TO HOP NLAN'!D105/ncoc+IF(SUMSQ('TS-PILE'!$E$72:$E$91)=0,0,'TO HOP NLAN'!E105*'TS-PILE'!$E$91/SUMSQ('TS-PILE'!$E$72:$E$91))+IF(SUMSQ('TS-PILE'!$D$72:$D$91)=0,0,'TO HOP NLAN'!F105*'TS-PILE'!$D$91/SUMSQ('TS-PILE'!$D$72:$D$91)))))</f>
        <v>0</v>
      </c>
      <c r="E105" s="58">
        <f t="shared" si="4"/>
        <v>-9.9999999999999997E+98</v>
      </c>
      <c r="F105" s="58">
        <f t="shared" si="5"/>
        <v>9.9999999999999997E+98</v>
      </c>
      <c r="G105" s="58">
        <f t="shared" si="6"/>
        <v>-9.9999999999999997E+98</v>
      </c>
      <c r="H105" s="58">
        <f t="shared" si="7"/>
        <v>9.9999999999999997E+98</v>
      </c>
    </row>
    <row r="106" spans="1:8" x14ac:dyDescent="0.3">
      <c r="A106" s="42" t="str">
        <f>'TO HOP NLAN'!A106</f>
        <v/>
      </c>
      <c r="B106" s="42" t="str">
        <f>'TO HOP NLAN'!L106</f>
        <v>SERVICE</v>
      </c>
      <c r="C106" s="58">
        <f>IF(A106="",0,MAX(IF('TS-PILE'!$B$72="",-1E+99,'TO HOP NLAN'!D106/ncoc+IF(SUMSQ('TS-PILE'!$E$72:$E$91)=0,0,'TO HOP NLAN'!E106*'TS-PILE'!$E$72/SUMSQ('TS-PILE'!$E$72:$E$91))+IF(SUMSQ('TS-PILE'!$D$72:$D$91)=0,0,'TO HOP NLAN'!F106*'TS-PILE'!$D$72/SUMSQ('TS-PILE'!$D$72:$D$91))),IF('TS-PILE'!$B$73="",-1E+99,'TO HOP NLAN'!D106/ncoc+IF(SUMSQ('TS-PILE'!$E$72:$E$91)=0,0,'TO HOP NLAN'!E106*'TS-PILE'!$E$73/SUMSQ('TS-PILE'!$E$72:$E$91))+IF(SUMSQ('TS-PILE'!$D$72:$D$91)=0,0,'TO HOP NLAN'!F106*'TS-PILE'!$D$73/SUMSQ('TS-PILE'!$D$72:$D$91))),IF('TS-PILE'!$B$74="",-1E+99,'TO HOP NLAN'!D106/ncoc+IF(SUMSQ('TS-PILE'!$E$72:$E$91)=0,0,'TO HOP NLAN'!E106*'TS-PILE'!$E$74/SUMSQ('TS-PILE'!$E$72:$E$91))+IF(SUMSQ('TS-PILE'!$D$72:$D$91)=0,0,'TO HOP NLAN'!F106*'TS-PILE'!$D$74/SUMSQ('TS-PILE'!$D$72:$D$91))),IF('TS-PILE'!$B$75="",-1E+99,'TO HOP NLAN'!D106/ncoc+IF(SUMSQ('TS-PILE'!$E$72:$E$91)=0,0,'TO HOP NLAN'!E106*'TS-PILE'!$E$75/SUMSQ('TS-PILE'!$E$72:$E$91))+IF(SUMSQ('TS-PILE'!$D$72:$D$91)=0,0,'TO HOP NLAN'!F106*'TS-PILE'!$D$75/SUMSQ('TS-PILE'!$D$72:$D$91))),IF('TS-PILE'!$B$76="",-1E+99,'TO HOP NLAN'!D106/ncoc+IF(SUMSQ('TS-PILE'!$E$72:$E$91)=0,0,'TO HOP NLAN'!E106*'TS-PILE'!$E$76/SUMSQ('TS-PILE'!$E$72:$E$91))+IF(SUMSQ('TS-PILE'!$D$72:$D$91)=0,0,'TO HOP NLAN'!F106*'TS-PILE'!$D$76/SUMSQ('TS-PILE'!$D$72:$D$91))),IF('TS-PILE'!$B$77="",-1E+99,'TO HOP NLAN'!D106/ncoc+IF(SUMSQ('TS-PILE'!$E$72:$E$91)=0,0,'TO HOP NLAN'!E106*'TS-PILE'!$E$77/SUMSQ('TS-PILE'!$E$72:$E$91))+IF(SUMSQ('TS-PILE'!$D$72:$D$91)=0,0,'TO HOP NLAN'!F106*'TS-PILE'!$D$77/SUMSQ('TS-PILE'!$D$72:$D$91))),IF('TS-PILE'!$B$78="",-1E+99,'TO HOP NLAN'!D106/ncoc+IF(SUMSQ('TS-PILE'!$E$72:$E$91)=0,0,'TO HOP NLAN'!E106*'TS-PILE'!$E$78/SUMSQ('TS-PILE'!$E$72:$E$91))+IF(SUMSQ('TS-PILE'!$D$72:$D$91)=0,0,'TO HOP NLAN'!F106*'TS-PILE'!$D$78/SUMSQ('TS-PILE'!$D$72:$D$91))),IF('TS-PILE'!$B$79="",-1E+99,'TO HOP NLAN'!D106/ncoc+IF(SUMSQ('TS-PILE'!$E$72:$E$91)=0,0,'TO HOP NLAN'!E106*'TS-PILE'!$E$79/SUMSQ('TS-PILE'!$E$72:$E$91))+IF(SUMSQ('TS-PILE'!$D$72:$D$91)=0,0,'TO HOP NLAN'!F106*'TS-PILE'!$D$79/SUMSQ('TS-PILE'!$D$72:$D$91))),IF('TS-PILE'!$B$80="",-1E+99,'TO HOP NLAN'!D106/ncoc+IF(SUMSQ('TS-PILE'!$E$72:$E$91)=0,0,'TO HOP NLAN'!E106*'TS-PILE'!$E$80/SUMSQ('TS-PILE'!$E$72:$E$91))+IF(SUMSQ('TS-PILE'!$D$72:$D$91)=0,0,'TO HOP NLAN'!F106*'TS-PILE'!$D$80/SUMSQ('TS-PILE'!$D$72:$D$91))),IF('TS-PILE'!$B$81="",-1E+99,'TO HOP NLAN'!D106/ncoc+IF(SUMSQ('TS-PILE'!$E$72:$E$91)=0,0,'TO HOP NLAN'!E106*'TS-PILE'!$E$81/SUMSQ('TS-PILE'!$E$72:$E$91))+IF(SUMSQ('TS-PILE'!$D$72:$D$91)=0,0,'TO HOP NLAN'!F106*'TS-PILE'!$D$81/SUMSQ('TS-PILE'!$D$72:$D$91))),IF('TS-PILE'!$B$82="",-1E+99,'TO HOP NLAN'!D106/ncoc+IF(SUMSQ('TS-PILE'!$E$72:$E$91)=0,0,'TO HOP NLAN'!E106*'TS-PILE'!$E$82/SUMSQ('TS-PILE'!$E$72:$E$91))+IF(SUMSQ('TS-PILE'!$D$72:$D$91)=0,0,'TO HOP NLAN'!F106*'TS-PILE'!$D$82/SUMSQ('TS-PILE'!$D$72:$D$91))),IF('TS-PILE'!$B$83="",-1E+99,'TO HOP NLAN'!D106/ncoc+IF(SUMSQ('TS-PILE'!$E$72:$E$91)=0,0,'TO HOP NLAN'!E106*'TS-PILE'!$E$83/SUMSQ('TS-PILE'!$E$72:$E$91))+IF(SUMSQ('TS-PILE'!$D$72:$D$91)=0,0,'TO HOP NLAN'!F106*'TS-PILE'!$D$83/SUMSQ('TS-PILE'!$D$72:$D$91))),IF('TS-PILE'!$B$84="",-1E+99,'TO HOP NLAN'!D106/ncoc+IF(SUMSQ('TS-PILE'!$E$72:$E$91)=0,0,'TO HOP NLAN'!E106*'TS-PILE'!$E$84/SUMSQ('TS-PILE'!$E$72:$E$91))+IF(SUMSQ('TS-PILE'!$D$72:$D$91)=0,0,'TO HOP NLAN'!F106*'TS-PILE'!$D$84/SUMSQ('TS-PILE'!$D$72:$D$91))),IF('TS-PILE'!$B$85="",-1E+99,'TO HOP NLAN'!D106/ncoc+IF(SUMSQ('TS-PILE'!$E$72:$E$91)=0,0,'TO HOP NLAN'!E106*'TS-PILE'!$E$85/SUMSQ('TS-PILE'!$E$72:$E$91))+IF(SUMSQ('TS-PILE'!$D$72:$D$91)=0,0,'TO HOP NLAN'!F106*'TS-PILE'!$D$85/SUMSQ('TS-PILE'!$D$72:$D$91))),IF('TS-PILE'!$B$86="",-1E+99,'TO HOP NLAN'!D106/ncoc+IF(SUMSQ('TS-PILE'!$E$72:$E$91)=0,0,'TO HOP NLAN'!E106*'TS-PILE'!$E$86/SUMSQ('TS-PILE'!$E$72:$E$91))+IF(SUMSQ('TS-PILE'!$D$72:$D$91)=0,0,'TO HOP NLAN'!F106*'TS-PILE'!$D$86/SUMSQ('TS-PILE'!$D$72:$D$91))),IF('TS-PILE'!$B$87="",-1E+99,'TO HOP NLAN'!D106/ncoc+IF(SUMSQ('TS-PILE'!$E$72:$E$91)=0,0,'TO HOP NLAN'!E106*'TS-PILE'!$E$87/SUMSQ('TS-PILE'!$E$72:$E$91))+IF(SUMSQ('TS-PILE'!$D$72:$D$91)=0,0,'TO HOP NLAN'!F106*'TS-PILE'!$D$87/SUMSQ('TS-PILE'!$D$72:$D$91))),IF('TS-PILE'!$B$88="",-1E+99,'TO HOP NLAN'!D106/ncoc+IF(SUMSQ('TS-PILE'!$E$72:$E$91)=0,0,'TO HOP NLAN'!E106*'TS-PILE'!$E$88/SUMSQ('TS-PILE'!$E$72:$E$91))+IF(SUMSQ('TS-PILE'!$D$72:$D$91)=0,0,'TO HOP NLAN'!F106*'TS-PILE'!$D$88/SUMSQ('TS-PILE'!$D$72:$D$91))),IF('TS-PILE'!$B$89="",-1E+99,'TO HOP NLAN'!D106/ncoc+IF(SUMSQ('TS-PILE'!$E$72:$E$91)=0,0,'TO HOP NLAN'!E106*'TS-PILE'!$E$89/SUMSQ('TS-PILE'!$E$72:$E$91))+IF(SUMSQ('TS-PILE'!$D$72:$D$91)=0,0,'TO HOP NLAN'!F106*'TS-PILE'!$D$89/SUMSQ('TS-PILE'!$D$72:$D$91))),IF('TS-PILE'!$B$90="",-1E+99,'TO HOP NLAN'!D106/ncoc+IF(SUMSQ('TS-PILE'!$E$72:$E$91)=0,0,'TO HOP NLAN'!E106*'TS-PILE'!$E$90/SUMSQ('TS-PILE'!$E$72:$E$91))+IF(SUMSQ('TS-PILE'!$D$72:$D$91)=0,0,'TO HOP NLAN'!F106*'TS-PILE'!$D$90/SUMSQ('TS-PILE'!$D$72:$D$91))),IF('TS-PILE'!$B$91="",-1E+99,'TO HOP NLAN'!D106/ncoc+IF(SUMSQ('TS-PILE'!$E$72:$E$91)=0,0,'TO HOP NLAN'!E106*'TS-PILE'!$E$91/SUMSQ('TS-PILE'!$E$72:$E$91))+IF(SUMSQ('TS-PILE'!$D$72:$D$91)=0,0,'TO HOP NLAN'!F106*'TS-PILE'!$D$91/SUMSQ('TS-PILE'!$D$72:$D$91)))))</f>
        <v>0</v>
      </c>
      <c r="D106" s="58">
        <f>IF(A106="",0,MIN(IF('TS-PILE'!$B$72="",1E+99,'TO HOP NLAN'!D106/ncoc+IF(SUMSQ('TS-PILE'!$E$72:$E$91)=0,0,'TO HOP NLAN'!E106*'TS-PILE'!$E$72/SUMSQ('TS-PILE'!$E$72:$E$91))+IF(SUMSQ('TS-PILE'!$D$72:$D$91)=0,0,'TO HOP NLAN'!F106*'TS-PILE'!$D$72/SUMSQ('TS-PILE'!$D$72:$D$91))),IF('TS-PILE'!$B$73="",1E+99,'TO HOP NLAN'!D106/ncoc+IF(SUMSQ('TS-PILE'!$E$72:$E$91)=0,0,'TO HOP NLAN'!E106*'TS-PILE'!$E$73/SUMSQ('TS-PILE'!$E$72:$E$91))+IF(SUMSQ('TS-PILE'!$D$72:$D$91)=0,0,'TO HOP NLAN'!F106*'TS-PILE'!$D$73/SUMSQ('TS-PILE'!$D$72:$D$91))),IF('TS-PILE'!$B$74="",1E+99,'TO HOP NLAN'!D106/ncoc+IF(SUMSQ('TS-PILE'!$E$72:$E$91)=0,0,'TO HOP NLAN'!E106*'TS-PILE'!$E$74/SUMSQ('TS-PILE'!$E$72:$E$91))+IF(SUMSQ('TS-PILE'!$D$72:$D$91)=0,0,'TO HOP NLAN'!F106*'TS-PILE'!$D$74/SUMSQ('TS-PILE'!$D$72:$D$91))),IF('TS-PILE'!$B$75="",1E+99,'TO HOP NLAN'!D106/ncoc+IF(SUMSQ('TS-PILE'!$E$72:$E$91)=0,0,'TO HOP NLAN'!E106*'TS-PILE'!$E$75/SUMSQ('TS-PILE'!$E$72:$E$91))+IF(SUMSQ('TS-PILE'!$D$72:$D$91)=0,0,'TO HOP NLAN'!F106*'TS-PILE'!$D$75/SUMSQ('TS-PILE'!$D$72:$D$91))),IF('TS-PILE'!$B$76="",1E+99,'TO HOP NLAN'!D106/ncoc+IF(SUMSQ('TS-PILE'!$E$72:$E$91)=0,0,'TO HOP NLAN'!E106*'TS-PILE'!$E$76/SUMSQ('TS-PILE'!$E$72:$E$91))+IF(SUMSQ('TS-PILE'!$D$72:$D$91)=0,0,'TO HOP NLAN'!F106*'TS-PILE'!$D$76/SUMSQ('TS-PILE'!$D$72:$D$91))),IF('TS-PILE'!$B$77="",1E+99,'TO HOP NLAN'!D106/ncoc+IF(SUMSQ('TS-PILE'!$E$72:$E$91)=0,0,'TO HOP NLAN'!E106*'TS-PILE'!$E$77/SUMSQ('TS-PILE'!$E$72:$E$91))+IF(SUMSQ('TS-PILE'!$D$72:$D$91)=0,0,'TO HOP NLAN'!F106*'TS-PILE'!$D$77/SUMSQ('TS-PILE'!$D$72:$D$91))),IF('TS-PILE'!$B$78="",1E+99,'TO HOP NLAN'!D106/ncoc+IF(SUMSQ('TS-PILE'!$E$72:$E$91)=0,0,'TO HOP NLAN'!E106*'TS-PILE'!$E$78/SUMSQ('TS-PILE'!$E$72:$E$91))+IF(SUMSQ('TS-PILE'!$D$72:$D$91)=0,0,'TO HOP NLAN'!F106*'TS-PILE'!$D$78/SUMSQ('TS-PILE'!$D$72:$D$91))),IF('TS-PILE'!$B$79="",1E+99,'TO HOP NLAN'!D106/ncoc+IF(SUMSQ('TS-PILE'!$E$72:$E$91)=0,0,'TO HOP NLAN'!E106*'TS-PILE'!$E$79/SUMSQ('TS-PILE'!$E$72:$E$91))+IF(SUMSQ('TS-PILE'!$D$72:$D$91)=0,0,'TO HOP NLAN'!F106*'TS-PILE'!$D$79/SUMSQ('TS-PILE'!$D$72:$D$91))),IF('TS-PILE'!$B$80="",1E+99,'TO HOP NLAN'!D106/ncoc+IF(SUMSQ('TS-PILE'!$E$72:$E$91)=0,0,'TO HOP NLAN'!E106*'TS-PILE'!$E$80/SUMSQ('TS-PILE'!$E$72:$E$91))+IF(SUMSQ('TS-PILE'!$D$72:$D$91)=0,0,'TO HOP NLAN'!F106*'TS-PILE'!$D$80/SUMSQ('TS-PILE'!$D$72:$D$91))),IF('TS-PILE'!$B$81="",1E+99,'TO HOP NLAN'!D106/ncoc+IF(SUMSQ('TS-PILE'!$E$72:$E$91)=0,0,'TO HOP NLAN'!E106*'TS-PILE'!$E$81/SUMSQ('TS-PILE'!$E$72:$E$91))+IF(SUMSQ('TS-PILE'!$D$72:$D$91)=0,0,'TO HOP NLAN'!F106*'TS-PILE'!$D$81/SUMSQ('TS-PILE'!$D$72:$D$91))),IF('TS-PILE'!$B$82="",1E+99,'TO HOP NLAN'!D106/ncoc+IF(SUMSQ('TS-PILE'!$E$72:$E$91)=0,0,'TO HOP NLAN'!E106*'TS-PILE'!$E$82/SUMSQ('TS-PILE'!$E$72:$E$91))+IF(SUMSQ('TS-PILE'!$D$72:$D$91)=0,0,'TO HOP NLAN'!F106*'TS-PILE'!$D$82/SUMSQ('TS-PILE'!$D$72:$D$91))),IF('TS-PILE'!$B$83="",1E+99,'TO HOP NLAN'!D106/ncoc+IF(SUMSQ('TS-PILE'!$E$72:$E$91)=0,0,'TO HOP NLAN'!E106*'TS-PILE'!$E$83/SUMSQ('TS-PILE'!$E$72:$E$91))+IF(SUMSQ('TS-PILE'!$D$72:$D$91)=0,0,'TO HOP NLAN'!F106*'TS-PILE'!$D$83/SUMSQ('TS-PILE'!$D$72:$D$91))),IF('TS-PILE'!$B$84="",1E+99,'TO HOP NLAN'!D106/ncoc+IF(SUMSQ('TS-PILE'!$E$72:$E$91)=0,0,'TO HOP NLAN'!E106*'TS-PILE'!$E$84/SUMSQ('TS-PILE'!$E$72:$E$91))+IF(SUMSQ('TS-PILE'!$D$72:$D$91)=0,0,'TO HOP NLAN'!F106*'TS-PILE'!$D$84/SUMSQ('TS-PILE'!$D$72:$D$91))),IF('TS-PILE'!$B$85="",1E+99,'TO HOP NLAN'!D106/ncoc+IF(SUMSQ('TS-PILE'!$E$72:$E$91)=0,0,'TO HOP NLAN'!E106*'TS-PILE'!$E$85/SUMSQ('TS-PILE'!$E$72:$E$91))+IF(SUMSQ('TS-PILE'!$D$72:$D$91)=0,0,'TO HOP NLAN'!F106*'TS-PILE'!$D$85/SUMSQ('TS-PILE'!$D$72:$D$91))),IF('TS-PILE'!$B$86="",1E+99,'TO HOP NLAN'!D106/ncoc+IF(SUMSQ('TS-PILE'!$E$72:$E$91)=0,0,'TO HOP NLAN'!E106*'TS-PILE'!$E$86/SUMSQ('TS-PILE'!$E$72:$E$91))+IF(SUMSQ('TS-PILE'!$D$72:$D$91)=0,0,'TO HOP NLAN'!F106*'TS-PILE'!$D$86/SUMSQ('TS-PILE'!$D$72:$D$91))),IF('TS-PILE'!$B$87="",1E+99,'TO HOP NLAN'!D106/ncoc+IF(SUMSQ('TS-PILE'!$E$72:$E$91)=0,0,'TO HOP NLAN'!E106*'TS-PILE'!$E$87/SUMSQ('TS-PILE'!$E$72:$E$91))+IF(SUMSQ('TS-PILE'!$D$72:$D$91)=0,0,'TO HOP NLAN'!F106*'TS-PILE'!$D$87/SUMSQ('TS-PILE'!$D$72:$D$91))),IF('TS-PILE'!$B$88="",1E+99,'TO HOP NLAN'!D106/ncoc+IF(SUMSQ('TS-PILE'!$E$72:$E$91)=0,0,'TO HOP NLAN'!E106*'TS-PILE'!$E$88/SUMSQ('TS-PILE'!$E$72:$E$91))+IF(SUMSQ('TS-PILE'!$D$72:$D$91)=0,0,'TO HOP NLAN'!F106*'TS-PILE'!$D$88/SUMSQ('TS-PILE'!$D$72:$D$91))),IF('TS-PILE'!$B$89="",1E+99,'TO HOP NLAN'!D106/ncoc+IF(SUMSQ('TS-PILE'!$E$72:$E$91)=0,0,'TO HOP NLAN'!E106*'TS-PILE'!$E$89/SUMSQ('TS-PILE'!$E$72:$E$91))+IF(SUMSQ('TS-PILE'!$D$72:$D$91)=0,0,'TO HOP NLAN'!F106*'TS-PILE'!$D$89/SUMSQ('TS-PILE'!$D$72:$D$91))),IF('TS-PILE'!$B$90="",1E+99,'TO HOP NLAN'!D106/ncoc+IF(SUMSQ('TS-PILE'!$E$72:$E$91)=0,0,'TO HOP NLAN'!E106*'TS-PILE'!$E$90/SUMSQ('TS-PILE'!$E$72:$E$91))+IF(SUMSQ('TS-PILE'!$D$72:$D$91)=0,0,'TO HOP NLAN'!F106*'TS-PILE'!$D$90/SUMSQ('TS-PILE'!$D$72:$D$91))),IF('TS-PILE'!$B$91="",1E+99,'TO HOP NLAN'!D106/ncoc+IF(SUMSQ('TS-PILE'!$E$72:$E$91)=0,0,'TO HOP NLAN'!E106*'TS-PILE'!$E$91/SUMSQ('TS-PILE'!$E$72:$E$91))+IF(SUMSQ('TS-PILE'!$D$72:$D$91)=0,0,'TO HOP NLAN'!F106*'TS-PILE'!$D$91/SUMSQ('TS-PILE'!$D$72:$D$91)))))</f>
        <v>0</v>
      </c>
      <c r="E106" s="58">
        <f t="shared" si="4"/>
        <v>-9.9999999999999997E+98</v>
      </c>
      <c r="F106" s="58">
        <f t="shared" si="5"/>
        <v>9.9999999999999997E+98</v>
      </c>
      <c r="G106" s="58">
        <f t="shared" si="6"/>
        <v>-9.9999999999999997E+98</v>
      </c>
      <c r="H106" s="58">
        <f t="shared" si="7"/>
        <v>9.9999999999999997E+98</v>
      </c>
    </row>
    <row r="107" spans="1:8" x14ac:dyDescent="0.3">
      <c r="A107" s="42" t="str">
        <f>'TO HOP NLAN'!A107</f>
        <v/>
      </c>
      <c r="B107" s="42" t="str">
        <f>'TO HOP NLAN'!L107</f>
        <v>SERVICE</v>
      </c>
      <c r="C107" s="58">
        <f>IF(A107="",0,MAX(IF('TS-PILE'!$B$72="",-1E+99,'TO HOP NLAN'!D107/ncoc+IF(SUMSQ('TS-PILE'!$E$72:$E$91)=0,0,'TO HOP NLAN'!E107*'TS-PILE'!$E$72/SUMSQ('TS-PILE'!$E$72:$E$91))+IF(SUMSQ('TS-PILE'!$D$72:$D$91)=0,0,'TO HOP NLAN'!F107*'TS-PILE'!$D$72/SUMSQ('TS-PILE'!$D$72:$D$91))),IF('TS-PILE'!$B$73="",-1E+99,'TO HOP NLAN'!D107/ncoc+IF(SUMSQ('TS-PILE'!$E$72:$E$91)=0,0,'TO HOP NLAN'!E107*'TS-PILE'!$E$73/SUMSQ('TS-PILE'!$E$72:$E$91))+IF(SUMSQ('TS-PILE'!$D$72:$D$91)=0,0,'TO HOP NLAN'!F107*'TS-PILE'!$D$73/SUMSQ('TS-PILE'!$D$72:$D$91))),IF('TS-PILE'!$B$74="",-1E+99,'TO HOP NLAN'!D107/ncoc+IF(SUMSQ('TS-PILE'!$E$72:$E$91)=0,0,'TO HOP NLAN'!E107*'TS-PILE'!$E$74/SUMSQ('TS-PILE'!$E$72:$E$91))+IF(SUMSQ('TS-PILE'!$D$72:$D$91)=0,0,'TO HOP NLAN'!F107*'TS-PILE'!$D$74/SUMSQ('TS-PILE'!$D$72:$D$91))),IF('TS-PILE'!$B$75="",-1E+99,'TO HOP NLAN'!D107/ncoc+IF(SUMSQ('TS-PILE'!$E$72:$E$91)=0,0,'TO HOP NLAN'!E107*'TS-PILE'!$E$75/SUMSQ('TS-PILE'!$E$72:$E$91))+IF(SUMSQ('TS-PILE'!$D$72:$D$91)=0,0,'TO HOP NLAN'!F107*'TS-PILE'!$D$75/SUMSQ('TS-PILE'!$D$72:$D$91))),IF('TS-PILE'!$B$76="",-1E+99,'TO HOP NLAN'!D107/ncoc+IF(SUMSQ('TS-PILE'!$E$72:$E$91)=0,0,'TO HOP NLAN'!E107*'TS-PILE'!$E$76/SUMSQ('TS-PILE'!$E$72:$E$91))+IF(SUMSQ('TS-PILE'!$D$72:$D$91)=0,0,'TO HOP NLAN'!F107*'TS-PILE'!$D$76/SUMSQ('TS-PILE'!$D$72:$D$91))),IF('TS-PILE'!$B$77="",-1E+99,'TO HOP NLAN'!D107/ncoc+IF(SUMSQ('TS-PILE'!$E$72:$E$91)=0,0,'TO HOP NLAN'!E107*'TS-PILE'!$E$77/SUMSQ('TS-PILE'!$E$72:$E$91))+IF(SUMSQ('TS-PILE'!$D$72:$D$91)=0,0,'TO HOP NLAN'!F107*'TS-PILE'!$D$77/SUMSQ('TS-PILE'!$D$72:$D$91))),IF('TS-PILE'!$B$78="",-1E+99,'TO HOP NLAN'!D107/ncoc+IF(SUMSQ('TS-PILE'!$E$72:$E$91)=0,0,'TO HOP NLAN'!E107*'TS-PILE'!$E$78/SUMSQ('TS-PILE'!$E$72:$E$91))+IF(SUMSQ('TS-PILE'!$D$72:$D$91)=0,0,'TO HOP NLAN'!F107*'TS-PILE'!$D$78/SUMSQ('TS-PILE'!$D$72:$D$91))),IF('TS-PILE'!$B$79="",-1E+99,'TO HOP NLAN'!D107/ncoc+IF(SUMSQ('TS-PILE'!$E$72:$E$91)=0,0,'TO HOP NLAN'!E107*'TS-PILE'!$E$79/SUMSQ('TS-PILE'!$E$72:$E$91))+IF(SUMSQ('TS-PILE'!$D$72:$D$91)=0,0,'TO HOP NLAN'!F107*'TS-PILE'!$D$79/SUMSQ('TS-PILE'!$D$72:$D$91))),IF('TS-PILE'!$B$80="",-1E+99,'TO HOP NLAN'!D107/ncoc+IF(SUMSQ('TS-PILE'!$E$72:$E$91)=0,0,'TO HOP NLAN'!E107*'TS-PILE'!$E$80/SUMSQ('TS-PILE'!$E$72:$E$91))+IF(SUMSQ('TS-PILE'!$D$72:$D$91)=0,0,'TO HOP NLAN'!F107*'TS-PILE'!$D$80/SUMSQ('TS-PILE'!$D$72:$D$91))),IF('TS-PILE'!$B$81="",-1E+99,'TO HOP NLAN'!D107/ncoc+IF(SUMSQ('TS-PILE'!$E$72:$E$91)=0,0,'TO HOP NLAN'!E107*'TS-PILE'!$E$81/SUMSQ('TS-PILE'!$E$72:$E$91))+IF(SUMSQ('TS-PILE'!$D$72:$D$91)=0,0,'TO HOP NLAN'!F107*'TS-PILE'!$D$81/SUMSQ('TS-PILE'!$D$72:$D$91))),IF('TS-PILE'!$B$82="",-1E+99,'TO HOP NLAN'!D107/ncoc+IF(SUMSQ('TS-PILE'!$E$72:$E$91)=0,0,'TO HOP NLAN'!E107*'TS-PILE'!$E$82/SUMSQ('TS-PILE'!$E$72:$E$91))+IF(SUMSQ('TS-PILE'!$D$72:$D$91)=0,0,'TO HOP NLAN'!F107*'TS-PILE'!$D$82/SUMSQ('TS-PILE'!$D$72:$D$91))),IF('TS-PILE'!$B$83="",-1E+99,'TO HOP NLAN'!D107/ncoc+IF(SUMSQ('TS-PILE'!$E$72:$E$91)=0,0,'TO HOP NLAN'!E107*'TS-PILE'!$E$83/SUMSQ('TS-PILE'!$E$72:$E$91))+IF(SUMSQ('TS-PILE'!$D$72:$D$91)=0,0,'TO HOP NLAN'!F107*'TS-PILE'!$D$83/SUMSQ('TS-PILE'!$D$72:$D$91))),IF('TS-PILE'!$B$84="",-1E+99,'TO HOP NLAN'!D107/ncoc+IF(SUMSQ('TS-PILE'!$E$72:$E$91)=0,0,'TO HOP NLAN'!E107*'TS-PILE'!$E$84/SUMSQ('TS-PILE'!$E$72:$E$91))+IF(SUMSQ('TS-PILE'!$D$72:$D$91)=0,0,'TO HOP NLAN'!F107*'TS-PILE'!$D$84/SUMSQ('TS-PILE'!$D$72:$D$91))),IF('TS-PILE'!$B$85="",-1E+99,'TO HOP NLAN'!D107/ncoc+IF(SUMSQ('TS-PILE'!$E$72:$E$91)=0,0,'TO HOP NLAN'!E107*'TS-PILE'!$E$85/SUMSQ('TS-PILE'!$E$72:$E$91))+IF(SUMSQ('TS-PILE'!$D$72:$D$91)=0,0,'TO HOP NLAN'!F107*'TS-PILE'!$D$85/SUMSQ('TS-PILE'!$D$72:$D$91))),IF('TS-PILE'!$B$86="",-1E+99,'TO HOP NLAN'!D107/ncoc+IF(SUMSQ('TS-PILE'!$E$72:$E$91)=0,0,'TO HOP NLAN'!E107*'TS-PILE'!$E$86/SUMSQ('TS-PILE'!$E$72:$E$91))+IF(SUMSQ('TS-PILE'!$D$72:$D$91)=0,0,'TO HOP NLAN'!F107*'TS-PILE'!$D$86/SUMSQ('TS-PILE'!$D$72:$D$91))),IF('TS-PILE'!$B$87="",-1E+99,'TO HOP NLAN'!D107/ncoc+IF(SUMSQ('TS-PILE'!$E$72:$E$91)=0,0,'TO HOP NLAN'!E107*'TS-PILE'!$E$87/SUMSQ('TS-PILE'!$E$72:$E$91))+IF(SUMSQ('TS-PILE'!$D$72:$D$91)=0,0,'TO HOP NLAN'!F107*'TS-PILE'!$D$87/SUMSQ('TS-PILE'!$D$72:$D$91))),IF('TS-PILE'!$B$88="",-1E+99,'TO HOP NLAN'!D107/ncoc+IF(SUMSQ('TS-PILE'!$E$72:$E$91)=0,0,'TO HOP NLAN'!E107*'TS-PILE'!$E$88/SUMSQ('TS-PILE'!$E$72:$E$91))+IF(SUMSQ('TS-PILE'!$D$72:$D$91)=0,0,'TO HOP NLAN'!F107*'TS-PILE'!$D$88/SUMSQ('TS-PILE'!$D$72:$D$91))),IF('TS-PILE'!$B$89="",-1E+99,'TO HOP NLAN'!D107/ncoc+IF(SUMSQ('TS-PILE'!$E$72:$E$91)=0,0,'TO HOP NLAN'!E107*'TS-PILE'!$E$89/SUMSQ('TS-PILE'!$E$72:$E$91))+IF(SUMSQ('TS-PILE'!$D$72:$D$91)=0,0,'TO HOP NLAN'!F107*'TS-PILE'!$D$89/SUMSQ('TS-PILE'!$D$72:$D$91))),IF('TS-PILE'!$B$90="",-1E+99,'TO HOP NLAN'!D107/ncoc+IF(SUMSQ('TS-PILE'!$E$72:$E$91)=0,0,'TO HOP NLAN'!E107*'TS-PILE'!$E$90/SUMSQ('TS-PILE'!$E$72:$E$91))+IF(SUMSQ('TS-PILE'!$D$72:$D$91)=0,0,'TO HOP NLAN'!F107*'TS-PILE'!$D$90/SUMSQ('TS-PILE'!$D$72:$D$91))),IF('TS-PILE'!$B$91="",-1E+99,'TO HOP NLAN'!D107/ncoc+IF(SUMSQ('TS-PILE'!$E$72:$E$91)=0,0,'TO HOP NLAN'!E107*'TS-PILE'!$E$91/SUMSQ('TS-PILE'!$E$72:$E$91))+IF(SUMSQ('TS-PILE'!$D$72:$D$91)=0,0,'TO HOP NLAN'!F107*'TS-PILE'!$D$91/SUMSQ('TS-PILE'!$D$72:$D$91)))))</f>
        <v>0</v>
      </c>
      <c r="D107" s="58">
        <f>IF(A107="",0,MIN(IF('TS-PILE'!$B$72="",1E+99,'TO HOP NLAN'!D107/ncoc+IF(SUMSQ('TS-PILE'!$E$72:$E$91)=0,0,'TO HOP NLAN'!E107*'TS-PILE'!$E$72/SUMSQ('TS-PILE'!$E$72:$E$91))+IF(SUMSQ('TS-PILE'!$D$72:$D$91)=0,0,'TO HOP NLAN'!F107*'TS-PILE'!$D$72/SUMSQ('TS-PILE'!$D$72:$D$91))),IF('TS-PILE'!$B$73="",1E+99,'TO HOP NLAN'!D107/ncoc+IF(SUMSQ('TS-PILE'!$E$72:$E$91)=0,0,'TO HOP NLAN'!E107*'TS-PILE'!$E$73/SUMSQ('TS-PILE'!$E$72:$E$91))+IF(SUMSQ('TS-PILE'!$D$72:$D$91)=0,0,'TO HOP NLAN'!F107*'TS-PILE'!$D$73/SUMSQ('TS-PILE'!$D$72:$D$91))),IF('TS-PILE'!$B$74="",1E+99,'TO HOP NLAN'!D107/ncoc+IF(SUMSQ('TS-PILE'!$E$72:$E$91)=0,0,'TO HOP NLAN'!E107*'TS-PILE'!$E$74/SUMSQ('TS-PILE'!$E$72:$E$91))+IF(SUMSQ('TS-PILE'!$D$72:$D$91)=0,0,'TO HOP NLAN'!F107*'TS-PILE'!$D$74/SUMSQ('TS-PILE'!$D$72:$D$91))),IF('TS-PILE'!$B$75="",1E+99,'TO HOP NLAN'!D107/ncoc+IF(SUMSQ('TS-PILE'!$E$72:$E$91)=0,0,'TO HOP NLAN'!E107*'TS-PILE'!$E$75/SUMSQ('TS-PILE'!$E$72:$E$91))+IF(SUMSQ('TS-PILE'!$D$72:$D$91)=0,0,'TO HOP NLAN'!F107*'TS-PILE'!$D$75/SUMSQ('TS-PILE'!$D$72:$D$91))),IF('TS-PILE'!$B$76="",1E+99,'TO HOP NLAN'!D107/ncoc+IF(SUMSQ('TS-PILE'!$E$72:$E$91)=0,0,'TO HOP NLAN'!E107*'TS-PILE'!$E$76/SUMSQ('TS-PILE'!$E$72:$E$91))+IF(SUMSQ('TS-PILE'!$D$72:$D$91)=0,0,'TO HOP NLAN'!F107*'TS-PILE'!$D$76/SUMSQ('TS-PILE'!$D$72:$D$91))),IF('TS-PILE'!$B$77="",1E+99,'TO HOP NLAN'!D107/ncoc+IF(SUMSQ('TS-PILE'!$E$72:$E$91)=0,0,'TO HOP NLAN'!E107*'TS-PILE'!$E$77/SUMSQ('TS-PILE'!$E$72:$E$91))+IF(SUMSQ('TS-PILE'!$D$72:$D$91)=0,0,'TO HOP NLAN'!F107*'TS-PILE'!$D$77/SUMSQ('TS-PILE'!$D$72:$D$91))),IF('TS-PILE'!$B$78="",1E+99,'TO HOP NLAN'!D107/ncoc+IF(SUMSQ('TS-PILE'!$E$72:$E$91)=0,0,'TO HOP NLAN'!E107*'TS-PILE'!$E$78/SUMSQ('TS-PILE'!$E$72:$E$91))+IF(SUMSQ('TS-PILE'!$D$72:$D$91)=0,0,'TO HOP NLAN'!F107*'TS-PILE'!$D$78/SUMSQ('TS-PILE'!$D$72:$D$91))),IF('TS-PILE'!$B$79="",1E+99,'TO HOP NLAN'!D107/ncoc+IF(SUMSQ('TS-PILE'!$E$72:$E$91)=0,0,'TO HOP NLAN'!E107*'TS-PILE'!$E$79/SUMSQ('TS-PILE'!$E$72:$E$91))+IF(SUMSQ('TS-PILE'!$D$72:$D$91)=0,0,'TO HOP NLAN'!F107*'TS-PILE'!$D$79/SUMSQ('TS-PILE'!$D$72:$D$91))),IF('TS-PILE'!$B$80="",1E+99,'TO HOP NLAN'!D107/ncoc+IF(SUMSQ('TS-PILE'!$E$72:$E$91)=0,0,'TO HOP NLAN'!E107*'TS-PILE'!$E$80/SUMSQ('TS-PILE'!$E$72:$E$91))+IF(SUMSQ('TS-PILE'!$D$72:$D$91)=0,0,'TO HOP NLAN'!F107*'TS-PILE'!$D$80/SUMSQ('TS-PILE'!$D$72:$D$91))),IF('TS-PILE'!$B$81="",1E+99,'TO HOP NLAN'!D107/ncoc+IF(SUMSQ('TS-PILE'!$E$72:$E$91)=0,0,'TO HOP NLAN'!E107*'TS-PILE'!$E$81/SUMSQ('TS-PILE'!$E$72:$E$91))+IF(SUMSQ('TS-PILE'!$D$72:$D$91)=0,0,'TO HOP NLAN'!F107*'TS-PILE'!$D$81/SUMSQ('TS-PILE'!$D$72:$D$91))),IF('TS-PILE'!$B$82="",1E+99,'TO HOP NLAN'!D107/ncoc+IF(SUMSQ('TS-PILE'!$E$72:$E$91)=0,0,'TO HOP NLAN'!E107*'TS-PILE'!$E$82/SUMSQ('TS-PILE'!$E$72:$E$91))+IF(SUMSQ('TS-PILE'!$D$72:$D$91)=0,0,'TO HOP NLAN'!F107*'TS-PILE'!$D$82/SUMSQ('TS-PILE'!$D$72:$D$91))),IF('TS-PILE'!$B$83="",1E+99,'TO HOP NLAN'!D107/ncoc+IF(SUMSQ('TS-PILE'!$E$72:$E$91)=0,0,'TO HOP NLAN'!E107*'TS-PILE'!$E$83/SUMSQ('TS-PILE'!$E$72:$E$91))+IF(SUMSQ('TS-PILE'!$D$72:$D$91)=0,0,'TO HOP NLAN'!F107*'TS-PILE'!$D$83/SUMSQ('TS-PILE'!$D$72:$D$91))),IF('TS-PILE'!$B$84="",1E+99,'TO HOP NLAN'!D107/ncoc+IF(SUMSQ('TS-PILE'!$E$72:$E$91)=0,0,'TO HOP NLAN'!E107*'TS-PILE'!$E$84/SUMSQ('TS-PILE'!$E$72:$E$91))+IF(SUMSQ('TS-PILE'!$D$72:$D$91)=0,0,'TO HOP NLAN'!F107*'TS-PILE'!$D$84/SUMSQ('TS-PILE'!$D$72:$D$91))),IF('TS-PILE'!$B$85="",1E+99,'TO HOP NLAN'!D107/ncoc+IF(SUMSQ('TS-PILE'!$E$72:$E$91)=0,0,'TO HOP NLAN'!E107*'TS-PILE'!$E$85/SUMSQ('TS-PILE'!$E$72:$E$91))+IF(SUMSQ('TS-PILE'!$D$72:$D$91)=0,0,'TO HOP NLAN'!F107*'TS-PILE'!$D$85/SUMSQ('TS-PILE'!$D$72:$D$91))),IF('TS-PILE'!$B$86="",1E+99,'TO HOP NLAN'!D107/ncoc+IF(SUMSQ('TS-PILE'!$E$72:$E$91)=0,0,'TO HOP NLAN'!E107*'TS-PILE'!$E$86/SUMSQ('TS-PILE'!$E$72:$E$91))+IF(SUMSQ('TS-PILE'!$D$72:$D$91)=0,0,'TO HOP NLAN'!F107*'TS-PILE'!$D$86/SUMSQ('TS-PILE'!$D$72:$D$91))),IF('TS-PILE'!$B$87="",1E+99,'TO HOP NLAN'!D107/ncoc+IF(SUMSQ('TS-PILE'!$E$72:$E$91)=0,0,'TO HOP NLAN'!E107*'TS-PILE'!$E$87/SUMSQ('TS-PILE'!$E$72:$E$91))+IF(SUMSQ('TS-PILE'!$D$72:$D$91)=0,0,'TO HOP NLAN'!F107*'TS-PILE'!$D$87/SUMSQ('TS-PILE'!$D$72:$D$91))),IF('TS-PILE'!$B$88="",1E+99,'TO HOP NLAN'!D107/ncoc+IF(SUMSQ('TS-PILE'!$E$72:$E$91)=0,0,'TO HOP NLAN'!E107*'TS-PILE'!$E$88/SUMSQ('TS-PILE'!$E$72:$E$91))+IF(SUMSQ('TS-PILE'!$D$72:$D$91)=0,0,'TO HOP NLAN'!F107*'TS-PILE'!$D$88/SUMSQ('TS-PILE'!$D$72:$D$91))),IF('TS-PILE'!$B$89="",1E+99,'TO HOP NLAN'!D107/ncoc+IF(SUMSQ('TS-PILE'!$E$72:$E$91)=0,0,'TO HOP NLAN'!E107*'TS-PILE'!$E$89/SUMSQ('TS-PILE'!$E$72:$E$91))+IF(SUMSQ('TS-PILE'!$D$72:$D$91)=0,0,'TO HOP NLAN'!F107*'TS-PILE'!$D$89/SUMSQ('TS-PILE'!$D$72:$D$91))),IF('TS-PILE'!$B$90="",1E+99,'TO HOP NLAN'!D107/ncoc+IF(SUMSQ('TS-PILE'!$E$72:$E$91)=0,0,'TO HOP NLAN'!E107*'TS-PILE'!$E$90/SUMSQ('TS-PILE'!$E$72:$E$91))+IF(SUMSQ('TS-PILE'!$D$72:$D$91)=0,0,'TO HOP NLAN'!F107*'TS-PILE'!$D$90/SUMSQ('TS-PILE'!$D$72:$D$91))),IF('TS-PILE'!$B$91="",1E+99,'TO HOP NLAN'!D107/ncoc+IF(SUMSQ('TS-PILE'!$E$72:$E$91)=0,0,'TO HOP NLAN'!E107*'TS-PILE'!$E$91/SUMSQ('TS-PILE'!$E$72:$E$91))+IF(SUMSQ('TS-PILE'!$D$72:$D$91)=0,0,'TO HOP NLAN'!F107*'TS-PILE'!$D$91/SUMSQ('TS-PILE'!$D$72:$D$91)))))</f>
        <v>0</v>
      </c>
      <c r="E107" s="58">
        <f t="shared" si="4"/>
        <v>-9.9999999999999997E+98</v>
      </c>
      <c r="F107" s="58">
        <f t="shared" si="5"/>
        <v>9.9999999999999997E+98</v>
      </c>
      <c r="G107" s="58">
        <f t="shared" si="6"/>
        <v>-9.9999999999999997E+98</v>
      </c>
      <c r="H107" s="58">
        <f t="shared" si="7"/>
        <v>9.9999999999999997E+98</v>
      </c>
    </row>
    <row r="108" spans="1:8" x14ac:dyDescent="0.3">
      <c r="A108" s="42" t="str">
        <f>'TO HOP NLAN'!A108</f>
        <v/>
      </c>
      <c r="B108" s="42" t="str">
        <f>'TO HOP NLAN'!L108</f>
        <v>STRENGTH</v>
      </c>
      <c r="C108" s="58">
        <f>IF(A108="",0,MAX(IF('TS-PILE'!$B$72="",-1E+99,'TO HOP NLAN'!D108/ncoc+IF(SUMSQ('TS-PILE'!$E$72:$E$91)=0,0,'TO HOP NLAN'!E108*'TS-PILE'!$E$72/SUMSQ('TS-PILE'!$E$72:$E$91))+IF(SUMSQ('TS-PILE'!$D$72:$D$91)=0,0,'TO HOP NLAN'!F108*'TS-PILE'!$D$72/SUMSQ('TS-PILE'!$D$72:$D$91))),IF('TS-PILE'!$B$73="",-1E+99,'TO HOP NLAN'!D108/ncoc+IF(SUMSQ('TS-PILE'!$E$72:$E$91)=0,0,'TO HOP NLAN'!E108*'TS-PILE'!$E$73/SUMSQ('TS-PILE'!$E$72:$E$91))+IF(SUMSQ('TS-PILE'!$D$72:$D$91)=0,0,'TO HOP NLAN'!F108*'TS-PILE'!$D$73/SUMSQ('TS-PILE'!$D$72:$D$91))),IF('TS-PILE'!$B$74="",-1E+99,'TO HOP NLAN'!D108/ncoc+IF(SUMSQ('TS-PILE'!$E$72:$E$91)=0,0,'TO HOP NLAN'!E108*'TS-PILE'!$E$74/SUMSQ('TS-PILE'!$E$72:$E$91))+IF(SUMSQ('TS-PILE'!$D$72:$D$91)=0,0,'TO HOP NLAN'!F108*'TS-PILE'!$D$74/SUMSQ('TS-PILE'!$D$72:$D$91))),IF('TS-PILE'!$B$75="",-1E+99,'TO HOP NLAN'!D108/ncoc+IF(SUMSQ('TS-PILE'!$E$72:$E$91)=0,0,'TO HOP NLAN'!E108*'TS-PILE'!$E$75/SUMSQ('TS-PILE'!$E$72:$E$91))+IF(SUMSQ('TS-PILE'!$D$72:$D$91)=0,0,'TO HOP NLAN'!F108*'TS-PILE'!$D$75/SUMSQ('TS-PILE'!$D$72:$D$91))),IF('TS-PILE'!$B$76="",-1E+99,'TO HOP NLAN'!D108/ncoc+IF(SUMSQ('TS-PILE'!$E$72:$E$91)=0,0,'TO HOP NLAN'!E108*'TS-PILE'!$E$76/SUMSQ('TS-PILE'!$E$72:$E$91))+IF(SUMSQ('TS-PILE'!$D$72:$D$91)=0,0,'TO HOP NLAN'!F108*'TS-PILE'!$D$76/SUMSQ('TS-PILE'!$D$72:$D$91))),IF('TS-PILE'!$B$77="",-1E+99,'TO HOP NLAN'!D108/ncoc+IF(SUMSQ('TS-PILE'!$E$72:$E$91)=0,0,'TO HOP NLAN'!E108*'TS-PILE'!$E$77/SUMSQ('TS-PILE'!$E$72:$E$91))+IF(SUMSQ('TS-PILE'!$D$72:$D$91)=0,0,'TO HOP NLAN'!F108*'TS-PILE'!$D$77/SUMSQ('TS-PILE'!$D$72:$D$91))),IF('TS-PILE'!$B$78="",-1E+99,'TO HOP NLAN'!D108/ncoc+IF(SUMSQ('TS-PILE'!$E$72:$E$91)=0,0,'TO HOP NLAN'!E108*'TS-PILE'!$E$78/SUMSQ('TS-PILE'!$E$72:$E$91))+IF(SUMSQ('TS-PILE'!$D$72:$D$91)=0,0,'TO HOP NLAN'!F108*'TS-PILE'!$D$78/SUMSQ('TS-PILE'!$D$72:$D$91))),IF('TS-PILE'!$B$79="",-1E+99,'TO HOP NLAN'!D108/ncoc+IF(SUMSQ('TS-PILE'!$E$72:$E$91)=0,0,'TO HOP NLAN'!E108*'TS-PILE'!$E$79/SUMSQ('TS-PILE'!$E$72:$E$91))+IF(SUMSQ('TS-PILE'!$D$72:$D$91)=0,0,'TO HOP NLAN'!F108*'TS-PILE'!$D$79/SUMSQ('TS-PILE'!$D$72:$D$91))),IF('TS-PILE'!$B$80="",-1E+99,'TO HOP NLAN'!D108/ncoc+IF(SUMSQ('TS-PILE'!$E$72:$E$91)=0,0,'TO HOP NLAN'!E108*'TS-PILE'!$E$80/SUMSQ('TS-PILE'!$E$72:$E$91))+IF(SUMSQ('TS-PILE'!$D$72:$D$91)=0,0,'TO HOP NLAN'!F108*'TS-PILE'!$D$80/SUMSQ('TS-PILE'!$D$72:$D$91))),IF('TS-PILE'!$B$81="",-1E+99,'TO HOP NLAN'!D108/ncoc+IF(SUMSQ('TS-PILE'!$E$72:$E$91)=0,0,'TO HOP NLAN'!E108*'TS-PILE'!$E$81/SUMSQ('TS-PILE'!$E$72:$E$91))+IF(SUMSQ('TS-PILE'!$D$72:$D$91)=0,0,'TO HOP NLAN'!F108*'TS-PILE'!$D$81/SUMSQ('TS-PILE'!$D$72:$D$91))),IF('TS-PILE'!$B$82="",-1E+99,'TO HOP NLAN'!D108/ncoc+IF(SUMSQ('TS-PILE'!$E$72:$E$91)=0,0,'TO HOP NLAN'!E108*'TS-PILE'!$E$82/SUMSQ('TS-PILE'!$E$72:$E$91))+IF(SUMSQ('TS-PILE'!$D$72:$D$91)=0,0,'TO HOP NLAN'!F108*'TS-PILE'!$D$82/SUMSQ('TS-PILE'!$D$72:$D$91))),IF('TS-PILE'!$B$83="",-1E+99,'TO HOP NLAN'!D108/ncoc+IF(SUMSQ('TS-PILE'!$E$72:$E$91)=0,0,'TO HOP NLAN'!E108*'TS-PILE'!$E$83/SUMSQ('TS-PILE'!$E$72:$E$91))+IF(SUMSQ('TS-PILE'!$D$72:$D$91)=0,0,'TO HOP NLAN'!F108*'TS-PILE'!$D$83/SUMSQ('TS-PILE'!$D$72:$D$91))),IF('TS-PILE'!$B$84="",-1E+99,'TO HOP NLAN'!D108/ncoc+IF(SUMSQ('TS-PILE'!$E$72:$E$91)=0,0,'TO HOP NLAN'!E108*'TS-PILE'!$E$84/SUMSQ('TS-PILE'!$E$72:$E$91))+IF(SUMSQ('TS-PILE'!$D$72:$D$91)=0,0,'TO HOP NLAN'!F108*'TS-PILE'!$D$84/SUMSQ('TS-PILE'!$D$72:$D$91))),IF('TS-PILE'!$B$85="",-1E+99,'TO HOP NLAN'!D108/ncoc+IF(SUMSQ('TS-PILE'!$E$72:$E$91)=0,0,'TO HOP NLAN'!E108*'TS-PILE'!$E$85/SUMSQ('TS-PILE'!$E$72:$E$91))+IF(SUMSQ('TS-PILE'!$D$72:$D$91)=0,0,'TO HOP NLAN'!F108*'TS-PILE'!$D$85/SUMSQ('TS-PILE'!$D$72:$D$91))),IF('TS-PILE'!$B$86="",-1E+99,'TO HOP NLAN'!D108/ncoc+IF(SUMSQ('TS-PILE'!$E$72:$E$91)=0,0,'TO HOP NLAN'!E108*'TS-PILE'!$E$86/SUMSQ('TS-PILE'!$E$72:$E$91))+IF(SUMSQ('TS-PILE'!$D$72:$D$91)=0,0,'TO HOP NLAN'!F108*'TS-PILE'!$D$86/SUMSQ('TS-PILE'!$D$72:$D$91))),IF('TS-PILE'!$B$87="",-1E+99,'TO HOP NLAN'!D108/ncoc+IF(SUMSQ('TS-PILE'!$E$72:$E$91)=0,0,'TO HOP NLAN'!E108*'TS-PILE'!$E$87/SUMSQ('TS-PILE'!$E$72:$E$91))+IF(SUMSQ('TS-PILE'!$D$72:$D$91)=0,0,'TO HOP NLAN'!F108*'TS-PILE'!$D$87/SUMSQ('TS-PILE'!$D$72:$D$91))),IF('TS-PILE'!$B$88="",-1E+99,'TO HOP NLAN'!D108/ncoc+IF(SUMSQ('TS-PILE'!$E$72:$E$91)=0,0,'TO HOP NLAN'!E108*'TS-PILE'!$E$88/SUMSQ('TS-PILE'!$E$72:$E$91))+IF(SUMSQ('TS-PILE'!$D$72:$D$91)=0,0,'TO HOP NLAN'!F108*'TS-PILE'!$D$88/SUMSQ('TS-PILE'!$D$72:$D$91))),IF('TS-PILE'!$B$89="",-1E+99,'TO HOP NLAN'!D108/ncoc+IF(SUMSQ('TS-PILE'!$E$72:$E$91)=0,0,'TO HOP NLAN'!E108*'TS-PILE'!$E$89/SUMSQ('TS-PILE'!$E$72:$E$91))+IF(SUMSQ('TS-PILE'!$D$72:$D$91)=0,0,'TO HOP NLAN'!F108*'TS-PILE'!$D$89/SUMSQ('TS-PILE'!$D$72:$D$91))),IF('TS-PILE'!$B$90="",-1E+99,'TO HOP NLAN'!D108/ncoc+IF(SUMSQ('TS-PILE'!$E$72:$E$91)=0,0,'TO HOP NLAN'!E108*'TS-PILE'!$E$90/SUMSQ('TS-PILE'!$E$72:$E$91))+IF(SUMSQ('TS-PILE'!$D$72:$D$91)=0,0,'TO HOP NLAN'!F108*'TS-PILE'!$D$90/SUMSQ('TS-PILE'!$D$72:$D$91))),IF('TS-PILE'!$B$91="",-1E+99,'TO HOP NLAN'!D108/ncoc+IF(SUMSQ('TS-PILE'!$E$72:$E$91)=0,0,'TO HOP NLAN'!E108*'TS-PILE'!$E$91/SUMSQ('TS-PILE'!$E$72:$E$91))+IF(SUMSQ('TS-PILE'!$D$72:$D$91)=0,0,'TO HOP NLAN'!F108*'TS-PILE'!$D$91/SUMSQ('TS-PILE'!$D$72:$D$91)))))</f>
        <v>0</v>
      </c>
      <c r="D108" s="58">
        <f>IF(A108="",0,MIN(IF('TS-PILE'!$B$72="",1E+99,'TO HOP NLAN'!D108/ncoc+IF(SUMSQ('TS-PILE'!$E$72:$E$91)=0,0,'TO HOP NLAN'!E108*'TS-PILE'!$E$72/SUMSQ('TS-PILE'!$E$72:$E$91))+IF(SUMSQ('TS-PILE'!$D$72:$D$91)=0,0,'TO HOP NLAN'!F108*'TS-PILE'!$D$72/SUMSQ('TS-PILE'!$D$72:$D$91))),IF('TS-PILE'!$B$73="",1E+99,'TO HOP NLAN'!D108/ncoc+IF(SUMSQ('TS-PILE'!$E$72:$E$91)=0,0,'TO HOP NLAN'!E108*'TS-PILE'!$E$73/SUMSQ('TS-PILE'!$E$72:$E$91))+IF(SUMSQ('TS-PILE'!$D$72:$D$91)=0,0,'TO HOP NLAN'!F108*'TS-PILE'!$D$73/SUMSQ('TS-PILE'!$D$72:$D$91))),IF('TS-PILE'!$B$74="",1E+99,'TO HOP NLAN'!D108/ncoc+IF(SUMSQ('TS-PILE'!$E$72:$E$91)=0,0,'TO HOP NLAN'!E108*'TS-PILE'!$E$74/SUMSQ('TS-PILE'!$E$72:$E$91))+IF(SUMSQ('TS-PILE'!$D$72:$D$91)=0,0,'TO HOP NLAN'!F108*'TS-PILE'!$D$74/SUMSQ('TS-PILE'!$D$72:$D$91))),IF('TS-PILE'!$B$75="",1E+99,'TO HOP NLAN'!D108/ncoc+IF(SUMSQ('TS-PILE'!$E$72:$E$91)=0,0,'TO HOP NLAN'!E108*'TS-PILE'!$E$75/SUMSQ('TS-PILE'!$E$72:$E$91))+IF(SUMSQ('TS-PILE'!$D$72:$D$91)=0,0,'TO HOP NLAN'!F108*'TS-PILE'!$D$75/SUMSQ('TS-PILE'!$D$72:$D$91))),IF('TS-PILE'!$B$76="",1E+99,'TO HOP NLAN'!D108/ncoc+IF(SUMSQ('TS-PILE'!$E$72:$E$91)=0,0,'TO HOP NLAN'!E108*'TS-PILE'!$E$76/SUMSQ('TS-PILE'!$E$72:$E$91))+IF(SUMSQ('TS-PILE'!$D$72:$D$91)=0,0,'TO HOP NLAN'!F108*'TS-PILE'!$D$76/SUMSQ('TS-PILE'!$D$72:$D$91))),IF('TS-PILE'!$B$77="",1E+99,'TO HOP NLAN'!D108/ncoc+IF(SUMSQ('TS-PILE'!$E$72:$E$91)=0,0,'TO HOP NLAN'!E108*'TS-PILE'!$E$77/SUMSQ('TS-PILE'!$E$72:$E$91))+IF(SUMSQ('TS-PILE'!$D$72:$D$91)=0,0,'TO HOP NLAN'!F108*'TS-PILE'!$D$77/SUMSQ('TS-PILE'!$D$72:$D$91))),IF('TS-PILE'!$B$78="",1E+99,'TO HOP NLAN'!D108/ncoc+IF(SUMSQ('TS-PILE'!$E$72:$E$91)=0,0,'TO HOP NLAN'!E108*'TS-PILE'!$E$78/SUMSQ('TS-PILE'!$E$72:$E$91))+IF(SUMSQ('TS-PILE'!$D$72:$D$91)=0,0,'TO HOP NLAN'!F108*'TS-PILE'!$D$78/SUMSQ('TS-PILE'!$D$72:$D$91))),IF('TS-PILE'!$B$79="",1E+99,'TO HOP NLAN'!D108/ncoc+IF(SUMSQ('TS-PILE'!$E$72:$E$91)=0,0,'TO HOP NLAN'!E108*'TS-PILE'!$E$79/SUMSQ('TS-PILE'!$E$72:$E$91))+IF(SUMSQ('TS-PILE'!$D$72:$D$91)=0,0,'TO HOP NLAN'!F108*'TS-PILE'!$D$79/SUMSQ('TS-PILE'!$D$72:$D$91))),IF('TS-PILE'!$B$80="",1E+99,'TO HOP NLAN'!D108/ncoc+IF(SUMSQ('TS-PILE'!$E$72:$E$91)=0,0,'TO HOP NLAN'!E108*'TS-PILE'!$E$80/SUMSQ('TS-PILE'!$E$72:$E$91))+IF(SUMSQ('TS-PILE'!$D$72:$D$91)=0,0,'TO HOP NLAN'!F108*'TS-PILE'!$D$80/SUMSQ('TS-PILE'!$D$72:$D$91))),IF('TS-PILE'!$B$81="",1E+99,'TO HOP NLAN'!D108/ncoc+IF(SUMSQ('TS-PILE'!$E$72:$E$91)=0,0,'TO HOP NLAN'!E108*'TS-PILE'!$E$81/SUMSQ('TS-PILE'!$E$72:$E$91))+IF(SUMSQ('TS-PILE'!$D$72:$D$91)=0,0,'TO HOP NLAN'!F108*'TS-PILE'!$D$81/SUMSQ('TS-PILE'!$D$72:$D$91))),IF('TS-PILE'!$B$82="",1E+99,'TO HOP NLAN'!D108/ncoc+IF(SUMSQ('TS-PILE'!$E$72:$E$91)=0,0,'TO HOP NLAN'!E108*'TS-PILE'!$E$82/SUMSQ('TS-PILE'!$E$72:$E$91))+IF(SUMSQ('TS-PILE'!$D$72:$D$91)=0,0,'TO HOP NLAN'!F108*'TS-PILE'!$D$82/SUMSQ('TS-PILE'!$D$72:$D$91))),IF('TS-PILE'!$B$83="",1E+99,'TO HOP NLAN'!D108/ncoc+IF(SUMSQ('TS-PILE'!$E$72:$E$91)=0,0,'TO HOP NLAN'!E108*'TS-PILE'!$E$83/SUMSQ('TS-PILE'!$E$72:$E$91))+IF(SUMSQ('TS-PILE'!$D$72:$D$91)=0,0,'TO HOP NLAN'!F108*'TS-PILE'!$D$83/SUMSQ('TS-PILE'!$D$72:$D$91))),IF('TS-PILE'!$B$84="",1E+99,'TO HOP NLAN'!D108/ncoc+IF(SUMSQ('TS-PILE'!$E$72:$E$91)=0,0,'TO HOP NLAN'!E108*'TS-PILE'!$E$84/SUMSQ('TS-PILE'!$E$72:$E$91))+IF(SUMSQ('TS-PILE'!$D$72:$D$91)=0,0,'TO HOP NLAN'!F108*'TS-PILE'!$D$84/SUMSQ('TS-PILE'!$D$72:$D$91))),IF('TS-PILE'!$B$85="",1E+99,'TO HOP NLAN'!D108/ncoc+IF(SUMSQ('TS-PILE'!$E$72:$E$91)=0,0,'TO HOP NLAN'!E108*'TS-PILE'!$E$85/SUMSQ('TS-PILE'!$E$72:$E$91))+IF(SUMSQ('TS-PILE'!$D$72:$D$91)=0,0,'TO HOP NLAN'!F108*'TS-PILE'!$D$85/SUMSQ('TS-PILE'!$D$72:$D$91))),IF('TS-PILE'!$B$86="",1E+99,'TO HOP NLAN'!D108/ncoc+IF(SUMSQ('TS-PILE'!$E$72:$E$91)=0,0,'TO HOP NLAN'!E108*'TS-PILE'!$E$86/SUMSQ('TS-PILE'!$E$72:$E$91))+IF(SUMSQ('TS-PILE'!$D$72:$D$91)=0,0,'TO HOP NLAN'!F108*'TS-PILE'!$D$86/SUMSQ('TS-PILE'!$D$72:$D$91))),IF('TS-PILE'!$B$87="",1E+99,'TO HOP NLAN'!D108/ncoc+IF(SUMSQ('TS-PILE'!$E$72:$E$91)=0,0,'TO HOP NLAN'!E108*'TS-PILE'!$E$87/SUMSQ('TS-PILE'!$E$72:$E$91))+IF(SUMSQ('TS-PILE'!$D$72:$D$91)=0,0,'TO HOP NLAN'!F108*'TS-PILE'!$D$87/SUMSQ('TS-PILE'!$D$72:$D$91))),IF('TS-PILE'!$B$88="",1E+99,'TO HOP NLAN'!D108/ncoc+IF(SUMSQ('TS-PILE'!$E$72:$E$91)=0,0,'TO HOP NLAN'!E108*'TS-PILE'!$E$88/SUMSQ('TS-PILE'!$E$72:$E$91))+IF(SUMSQ('TS-PILE'!$D$72:$D$91)=0,0,'TO HOP NLAN'!F108*'TS-PILE'!$D$88/SUMSQ('TS-PILE'!$D$72:$D$91))),IF('TS-PILE'!$B$89="",1E+99,'TO HOP NLAN'!D108/ncoc+IF(SUMSQ('TS-PILE'!$E$72:$E$91)=0,0,'TO HOP NLAN'!E108*'TS-PILE'!$E$89/SUMSQ('TS-PILE'!$E$72:$E$91))+IF(SUMSQ('TS-PILE'!$D$72:$D$91)=0,0,'TO HOP NLAN'!F108*'TS-PILE'!$D$89/SUMSQ('TS-PILE'!$D$72:$D$91))),IF('TS-PILE'!$B$90="",1E+99,'TO HOP NLAN'!D108/ncoc+IF(SUMSQ('TS-PILE'!$E$72:$E$91)=0,0,'TO HOP NLAN'!E108*'TS-PILE'!$E$90/SUMSQ('TS-PILE'!$E$72:$E$91))+IF(SUMSQ('TS-PILE'!$D$72:$D$91)=0,0,'TO HOP NLAN'!F108*'TS-PILE'!$D$90/SUMSQ('TS-PILE'!$D$72:$D$91))),IF('TS-PILE'!$B$91="",1E+99,'TO HOP NLAN'!D108/ncoc+IF(SUMSQ('TS-PILE'!$E$72:$E$91)=0,0,'TO HOP NLAN'!E108*'TS-PILE'!$E$91/SUMSQ('TS-PILE'!$E$72:$E$91))+IF(SUMSQ('TS-PILE'!$D$72:$D$91)=0,0,'TO HOP NLAN'!F108*'TS-PILE'!$D$91/SUMSQ('TS-PILE'!$D$72:$D$91)))))</f>
        <v>0</v>
      </c>
      <c r="E108" s="58">
        <f t="shared" si="4"/>
        <v>-9.9999999999999997E+98</v>
      </c>
      <c r="F108" s="58">
        <f t="shared" si="5"/>
        <v>9.9999999999999997E+98</v>
      </c>
      <c r="G108" s="58">
        <f t="shared" si="6"/>
        <v>-9.9999999999999997E+98</v>
      </c>
      <c r="H108" s="58">
        <f t="shared" si="7"/>
        <v>9.9999999999999997E+98</v>
      </c>
    </row>
    <row r="109" spans="1:8" x14ac:dyDescent="0.3">
      <c r="A109" s="42" t="str">
        <f>'TO HOP NLAN'!A109</f>
        <v/>
      </c>
      <c r="B109" s="42" t="str">
        <f>'TO HOP NLAN'!L109</f>
        <v>STRENGTH</v>
      </c>
      <c r="C109" s="58">
        <f>IF(A109="",0,MAX(IF('TS-PILE'!$B$72="",-1E+99,'TO HOP NLAN'!D109/ncoc+IF(SUMSQ('TS-PILE'!$E$72:$E$91)=0,0,'TO HOP NLAN'!E109*'TS-PILE'!$E$72/SUMSQ('TS-PILE'!$E$72:$E$91))+IF(SUMSQ('TS-PILE'!$D$72:$D$91)=0,0,'TO HOP NLAN'!F109*'TS-PILE'!$D$72/SUMSQ('TS-PILE'!$D$72:$D$91))),IF('TS-PILE'!$B$73="",-1E+99,'TO HOP NLAN'!D109/ncoc+IF(SUMSQ('TS-PILE'!$E$72:$E$91)=0,0,'TO HOP NLAN'!E109*'TS-PILE'!$E$73/SUMSQ('TS-PILE'!$E$72:$E$91))+IF(SUMSQ('TS-PILE'!$D$72:$D$91)=0,0,'TO HOP NLAN'!F109*'TS-PILE'!$D$73/SUMSQ('TS-PILE'!$D$72:$D$91))),IF('TS-PILE'!$B$74="",-1E+99,'TO HOP NLAN'!D109/ncoc+IF(SUMSQ('TS-PILE'!$E$72:$E$91)=0,0,'TO HOP NLAN'!E109*'TS-PILE'!$E$74/SUMSQ('TS-PILE'!$E$72:$E$91))+IF(SUMSQ('TS-PILE'!$D$72:$D$91)=0,0,'TO HOP NLAN'!F109*'TS-PILE'!$D$74/SUMSQ('TS-PILE'!$D$72:$D$91))),IF('TS-PILE'!$B$75="",-1E+99,'TO HOP NLAN'!D109/ncoc+IF(SUMSQ('TS-PILE'!$E$72:$E$91)=0,0,'TO HOP NLAN'!E109*'TS-PILE'!$E$75/SUMSQ('TS-PILE'!$E$72:$E$91))+IF(SUMSQ('TS-PILE'!$D$72:$D$91)=0,0,'TO HOP NLAN'!F109*'TS-PILE'!$D$75/SUMSQ('TS-PILE'!$D$72:$D$91))),IF('TS-PILE'!$B$76="",-1E+99,'TO HOP NLAN'!D109/ncoc+IF(SUMSQ('TS-PILE'!$E$72:$E$91)=0,0,'TO HOP NLAN'!E109*'TS-PILE'!$E$76/SUMSQ('TS-PILE'!$E$72:$E$91))+IF(SUMSQ('TS-PILE'!$D$72:$D$91)=0,0,'TO HOP NLAN'!F109*'TS-PILE'!$D$76/SUMSQ('TS-PILE'!$D$72:$D$91))),IF('TS-PILE'!$B$77="",-1E+99,'TO HOP NLAN'!D109/ncoc+IF(SUMSQ('TS-PILE'!$E$72:$E$91)=0,0,'TO HOP NLAN'!E109*'TS-PILE'!$E$77/SUMSQ('TS-PILE'!$E$72:$E$91))+IF(SUMSQ('TS-PILE'!$D$72:$D$91)=0,0,'TO HOP NLAN'!F109*'TS-PILE'!$D$77/SUMSQ('TS-PILE'!$D$72:$D$91))),IF('TS-PILE'!$B$78="",-1E+99,'TO HOP NLAN'!D109/ncoc+IF(SUMSQ('TS-PILE'!$E$72:$E$91)=0,0,'TO HOP NLAN'!E109*'TS-PILE'!$E$78/SUMSQ('TS-PILE'!$E$72:$E$91))+IF(SUMSQ('TS-PILE'!$D$72:$D$91)=0,0,'TO HOP NLAN'!F109*'TS-PILE'!$D$78/SUMSQ('TS-PILE'!$D$72:$D$91))),IF('TS-PILE'!$B$79="",-1E+99,'TO HOP NLAN'!D109/ncoc+IF(SUMSQ('TS-PILE'!$E$72:$E$91)=0,0,'TO HOP NLAN'!E109*'TS-PILE'!$E$79/SUMSQ('TS-PILE'!$E$72:$E$91))+IF(SUMSQ('TS-PILE'!$D$72:$D$91)=0,0,'TO HOP NLAN'!F109*'TS-PILE'!$D$79/SUMSQ('TS-PILE'!$D$72:$D$91))),IF('TS-PILE'!$B$80="",-1E+99,'TO HOP NLAN'!D109/ncoc+IF(SUMSQ('TS-PILE'!$E$72:$E$91)=0,0,'TO HOP NLAN'!E109*'TS-PILE'!$E$80/SUMSQ('TS-PILE'!$E$72:$E$91))+IF(SUMSQ('TS-PILE'!$D$72:$D$91)=0,0,'TO HOP NLAN'!F109*'TS-PILE'!$D$80/SUMSQ('TS-PILE'!$D$72:$D$91))),IF('TS-PILE'!$B$81="",-1E+99,'TO HOP NLAN'!D109/ncoc+IF(SUMSQ('TS-PILE'!$E$72:$E$91)=0,0,'TO HOP NLAN'!E109*'TS-PILE'!$E$81/SUMSQ('TS-PILE'!$E$72:$E$91))+IF(SUMSQ('TS-PILE'!$D$72:$D$91)=0,0,'TO HOP NLAN'!F109*'TS-PILE'!$D$81/SUMSQ('TS-PILE'!$D$72:$D$91))),IF('TS-PILE'!$B$82="",-1E+99,'TO HOP NLAN'!D109/ncoc+IF(SUMSQ('TS-PILE'!$E$72:$E$91)=0,0,'TO HOP NLAN'!E109*'TS-PILE'!$E$82/SUMSQ('TS-PILE'!$E$72:$E$91))+IF(SUMSQ('TS-PILE'!$D$72:$D$91)=0,0,'TO HOP NLAN'!F109*'TS-PILE'!$D$82/SUMSQ('TS-PILE'!$D$72:$D$91))),IF('TS-PILE'!$B$83="",-1E+99,'TO HOP NLAN'!D109/ncoc+IF(SUMSQ('TS-PILE'!$E$72:$E$91)=0,0,'TO HOP NLAN'!E109*'TS-PILE'!$E$83/SUMSQ('TS-PILE'!$E$72:$E$91))+IF(SUMSQ('TS-PILE'!$D$72:$D$91)=0,0,'TO HOP NLAN'!F109*'TS-PILE'!$D$83/SUMSQ('TS-PILE'!$D$72:$D$91))),IF('TS-PILE'!$B$84="",-1E+99,'TO HOP NLAN'!D109/ncoc+IF(SUMSQ('TS-PILE'!$E$72:$E$91)=0,0,'TO HOP NLAN'!E109*'TS-PILE'!$E$84/SUMSQ('TS-PILE'!$E$72:$E$91))+IF(SUMSQ('TS-PILE'!$D$72:$D$91)=0,0,'TO HOP NLAN'!F109*'TS-PILE'!$D$84/SUMSQ('TS-PILE'!$D$72:$D$91))),IF('TS-PILE'!$B$85="",-1E+99,'TO HOP NLAN'!D109/ncoc+IF(SUMSQ('TS-PILE'!$E$72:$E$91)=0,0,'TO HOP NLAN'!E109*'TS-PILE'!$E$85/SUMSQ('TS-PILE'!$E$72:$E$91))+IF(SUMSQ('TS-PILE'!$D$72:$D$91)=0,0,'TO HOP NLAN'!F109*'TS-PILE'!$D$85/SUMSQ('TS-PILE'!$D$72:$D$91))),IF('TS-PILE'!$B$86="",-1E+99,'TO HOP NLAN'!D109/ncoc+IF(SUMSQ('TS-PILE'!$E$72:$E$91)=0,0,'TO HOP NLAN'!E109*'TS-PILE'!$E$86/SUMSQ('TS-PILE'!$E$72:$E$91))+IF(SUMSQ('TS-PILE'!$D$72:$D$91)=0,0,'TO HOP NLAN'!F109*'TS-PILE'!$D$86/SUMSQ('TS-PILE'!$D$72:$D$91))),IF('TS-PILE'!$B$87="",-1E+99,'TO HOP NLAN'!D109/ncoc+IF(SUMSQ('TS-PILE'!$E$72:$E$91)=0,0,'TO HOP NLAN'!E109*'TS-PILE'!$E$87/SUMSQ('TS-PILE'!$E$72:$E$91))+IF(SUMSQ('TS-PILE'!$D$72:$D$91)=0,0,'TO HOP NLAN'!F109*'TS-PILE'!$D$87/SUMSQ('TS-PILE'!$D$72:$D$91))),IF('TS-PILE'!$B$88="",-1E+99,'TO HOP NLAN'!D109/ncoc+IF(SUMSQ('TS-PILE'!$E$72:$E$91)=0,0,'TO HOP NLAN'!E109*'TS-PILE'!$E$88/SUMSQ('TS-PILE'!$E$72:$E$91))+IF(SUMSQ('TS-PILE'!$D$72:$D$91)=0,0,'TO HOP NLAN'!F109*'TS-PILE'!$D$88/SUMSQ('TS-PILE'!$D$72:$D$91))),IF('TS-PILE'!$B$89="",-1E+99,'TO HOP NLAN'!D109/ncoc+IF(SUMSQ('TS-PILE'!$E$72:$E$91)=0,0,'TO HOP NLAN'!E109*'TS-PILE'!$E$89/SUMSQ('TS-PILE'!$E$72:$E$91))+IF(SUMSQ('TS-PILE'!$D$72:$D$91)=0,0,'TO HOP NLAN'!F109*'TS-PILE'!$D$89/SUMSQ('TS-PILE'!$D$72:$D$91))),IF('TS-PILE'!$B$90="",-1E+99,'TO HOP NLAN'!D109/ncoc+IF(SUMSQ('TS-PILE'!$E$72:$E$91)=0,0,'TO HOP NLAN'!E109*'TS-PILE'!$E$90/SUMSQ('TS-PILE'!$E$72:$E$91))+IF(SUMSQ('TS-PILE'!$D$72:$D$91)=0,0,'TO HOP NLAN'!F109*'TS-PILE'!$D$90/SUMSQ('TS-PILE'!$D$72:$D$91))),IF('TS-PILE'!$B$91="",-1E+99,'TO HOP NLAN'!D109/ncoc+IF(SUMSQ('TS-PILE'!$E$72:$E$91)=0,0,'TO HOP NLAN'!E109*'TS-PILE'!$E$91/SUMSQ('TS-PILE'!$E$72:$E$91))+IF(SUMSQ('TS-PILE'!$D$72:$D$91)=0,0,'TO HOP NLAN'!F109*'TS-PILE'!$D$91/SUMSQ('TS-PILE'!$D$72:$D$91)))))</f>
        <v>0</v>
      </c>
      <c r="D109" s="58">
        <f>IF(A109="",0,MIN(IF('TS-PILE'!$B$72="",1E+99,'TO HOP NLAN'!D109/ncoc+IF(SUMSQ('TS-PILE'!$E$72:$E$91)=0,0,'TO HOP NLAN'!E109*'TS-PILE'!$E$72/SUMSQ('TS-PILE'!$E$72:$E$91))+IF(SUMSQ('TS-PILE'!$D$72:$D$91)=0,0,'TO HOP NLAN'!F109*'TS-PILE'!$D$72/SUMSQ('TS-PILE'!$D$72:$D$91))),IF('TS-PILE'!$B$73="",1E+99,'TO HOP NLAN'!D109/ncoc+IF(SUMSQ('TS-PILE'!$E$72:$E$91)=0,0,'TO HOP NLAN'!E109*'TS-PILE'!$E$73/SUMSQ('TS-PILE'!$E$72:$E$91))+IF(SUMSQ('TS-PILE'!$D$72:$D$91)=0,0,'TO HOP NLAN'!F109*'TS-PILE'!$D$73/SUMSQ('TS-PILE'!$D$72:$D$91))),IF('TS-PILE'!$B$74="",1E+99,'TO HOP NLAN'!D109/ncoc+IF(SUMSQ('TS-PILE'!$E$72:$E$91)=0,0,'TO HOP NLAN'!E109*'TS-PILE'!$E$74/SUMSQ('TS-PILE'!$E$72:$E$91))+IF(SUMSQ('TS-PILE'!$D$72:$D$91)=0,0,'TO HOP NLAN'!F109*'TS-PILE'!$D$74/SUMSQ('TS-PILE'!$D$72:$D$91))),IF('TS-PILE'!$B$75="",1E+99,'TO HOP NLAN'!D109/ncoc+IF(SUMSQ('TS-PILE'!$E$72:$E$91)=0,0,'TO HOP NLAN'!E109*'TS-PILE'!$E$75/SUMSQ('TS-PILE'!$E$72:$E$91))+IF(SUMSQ('TS-PILE'!$D$72:$D$91)=0,0,'TO HOP NLAN'!F109*'TS-PILE'!$D$75/SUMSQ('TS-PILE'!$D$72:$D$91))),IF('TS-PILE'!$B$76="",1E+99,'TO HOP NLAN'!D109/ncoc+IF(SUMSQ('TS-PILE'!$E$72:$E$91)=0,0,'TO HOP NLAN'!E109*'TS-PILE'!$E$76/SUMSQ('TS-PILE'!$E$72:$E$91))+IF(SUMSQ('TS-PILE'!$D$72:$D$91)=0,0,'TO HOP NLAN'!F109*'TS-PILE'!$D$76/SUMSQ('TS-PILE'!$D$72:$D$91))),IF('TS-PILE'!$B$77="",1E+99,'TO HOP NLAN'!D109/ncoc+IF(SUMSQ('TS-PILE'!$E$72:$E$91)=0,0,'TO HOP NLAN'!E109*'TS-PILE'!$E$77/SUMSQ('TS-PILE'!$E$72:$E$91))+IF(SUMSQ('TS-PILE'!$D$72:$D$91)=0,0,'TO HOP NLAN'!F109*'TS-PILE'!$D$77/SUMSQ('TS-PILE'!$D$72:$D$91))),IF('TS-PILE'!$B$78="",1E+99,'TO HOP NLAN'!D109/ncoc+IF(SUMSQ('TS-PILE'!$E$72:$E$91)=0,0,'TO HOP NLAN'!E109*'TS-PILE'!$E$78/SUMSQ('TS-PILE'!$E$72:$E$91))+IF(SUMSQ('TS-PILE'!$D$72:$D$91)=0,0,'TO HOP NLAN'!F109*'TS-PILE'!$D$78/SUMSQ('TS-PILE'!$D$72:$D$91))),IF('TS-PILE'!$B$79="",1E+99,'TO HOP NLAN'!D109/ncoc+IF(SUMSQ('TS-PILE'!$E$72:$E$91)=0,0,'TO HOP NLAN'!E109*'TS-PILE'!$E$79/SUMSQ('TS-PILE'!$E$72:$E$91))+IF(SUMSQ('TS-PILE'!$D$72:$D$91)=0,0,'TO HOP NLAN'!F109*'TS-PILE'!$D$79/SUMSQ('TS-PILE'!$D$72:$D$91))),IF('TS-PILE'!$B$80="",1E+99,'TO HOP NLAN'!D109/ncoc+IF(SUMSQ('TS-PILE'!$E$72:$E$91)=0,0,'TO HOP NLAN'!E109*'TS-PILE'!$E$80/SUMSQ('TS-PILE'!$E$72:$E$91))+IF(SUMSQ('TS-PILE'!$D$72:$D$91)=0,0,'TO HOP NLAN'!F109*'TS-PILE'!$D$80/SUMSQ('TS-PILE'!$D$72:$D$91))),IF('TS-PILE'!$B$81="",1E+99,'TO HOP NLAN'!D109/ncoc+IF(SUMSQ('TS-PILE'!$E$72:$E$91)=0,0,'TO HOP NLAN'!E109*'TS-PILE'!$E$81/SUMSQ('TS-PILE'!$E$72:$E$91))+IF(SUMSQ('TS-PILE'!$D$72:$D$91)=0,0,'TO HOP NLAN'!F109*'TS-PILE'!$D$81/SUMSQ('TS-PILE'!$D$72:$D$91))),IF('TS-PILE'!$B$82="",1E+99,'TO HOP NLAN'!D109/ncoc+IF(SUMSQ('TS-PILE'!$E$72:$E$91)=0,0,'TO HOP NLAN'!E109*'TS-PILE'!$E$82/SUMSQ('TS-PILE'!$E$72:$E$91))+IF(SUMSQ('TS-PILE'!$D$72:$D$91)=0,0,'TO HOP NLAN'!F109*'TS-PILE'!$D$82/SUMSQ('TS-PILE'!$D$72:$D$91))),IF('TS-PILE'!$B$83="",1E+99,'TO HOP NLAN'!D109/ncoc+IF(SUMSQ('TS-PILE'!$E$72:$E$91)=0,0,'TO HOP NLAN'!E109*'TS-PILE'!$E$83/SUMSQ('TS-PILE'!$E$72:$E$91))+IF(SUMSQ('TS-PILE'!$D$72:$D$91)=0,0,'TO HOP NLAN'!F109*'TS-PILE'!$D$83/SUMSQ('TS-PILE'!$D$72:$D$91))),IF('TS-PILE'!$B$84="",1E+99,'TO HOP NLAN'!D109/ncoc+IF(SUMSQ('TS-PILE'!$E$72:$E$91)=0,0,'TO HOP NLAN'!E109*'TS-PILE'!$E$84/SUMSQ('TS-PILE'!$E$72:$E$91))+IF(SUMSQ('TS-PILE'!$D$72:$D$91)=0,0,'TO HOP NLAN'!F109*'TS-PILE'!$D$84/SUMSQ('TS-PILE'!$D$72:$D$91))),IF('TS-PILE'!$B$85="",1E+99,'TO HOP NLAN'!D109/ncoc+IF(SUMSQ('TS-PILE'!$E$72:$E$91)=0,0,'TO HOP NLAN'!E109*'TS-PILE'!$E$85/SUMSQ('TS-PILE'!$E$72:$E$91))+IF(SUMSQ('TS-PILE'!$D$72:$D$91)=0,0,'TO HOP NLAN'!F109*'TS-PILE'!$D$85/SUMSQ('TS-PILE'!$D$72:$D$91))),IF('TS-PILE'!$B$86="",1E+99,'TO HOP NLAN'!D109/ncoc+IF(SUMSQ('TS-PILE'!$E$72:$E$91)=0,0,'TO HOP NLAN'!E109*'TS-PILE'!$E$86/SUMSQ('TS-PILE'!$E$72:$E$91))+IF(SUMSQ('TS-PILE'!$D$72:$D$91)=0,0,'TO HOP NLAN'!F109*'TS-PILE'!$D$86/SUMSQ('TS-PILE'!$D$72:$D$91))),IF('TS-PILE'!$B$87="",1E+99,'TO HOP NLAN'!D109/ncoc+IF(SUMSQ('TS-PILE'!$E$72:$E$91)=0,0,'TO HOP NLAN'!E109*'TS-PILE'!$E$87/SUMSQ('TS-PILE'!$E$72:$E$91))+IF(SUMSQ('TS-PILE'!$D$72:$D$91)=0,0,'TO HOP NLAN'!F109*'TS-PILE'!$D$87/SUMSQ('TS-PILE'!$D$72:$D$91))),IF('TS-PILE'!$B$88="",1E+99,'TO HOP NLAN'!D109/ncoc+IF(SUMSQ('TS-PILE'!$E$72:$E$91)=0,0,'TO HOP NLAN'!E109*'TS-PILE'!$E$88/SUMSQ('TS-PILE'!$E$72:$E$91))+IF(SUMSQ('TS-PILE'!$D$72:$D$91)=0,0,'TO HOP NLAN'!F109*'TS-PILE'!$D$88/SUMSQ('TS-PILE'!$D$72:$D$91))),IF('TS-PILE'!$B$89="",1E+99,'TO HOP NLAN'!D109/ncoc+IF(SUMSQ('TS-PILE'!$E$72:$E$91)=0,0,'TO HOP NLAN'!E109*'TS-PILE'!$E$89/SUMSQ('TS-PILE'!$E$72:$E$91))+IF(SUMSQ('TS-PILE'!$D$72:$D$91)=0,0,'TO HOP NLAN'!F109*'TS-PILE'!$D$89/SUMSQ('TS-PILE'!$D$72:$D$91))),IF('TS-PILE'!$B$90="",1E+99,'TO HOP NLAN'!D109/ncoc+IF(SUMSQ('TS-PILE'!$E$72:$E$91)=0,0,'TO HOP NLAN'!E109*'TS-PILE'!$E$90/SUMSQ('TS-PILE'!$E$72:$E$91))+IF(SUMSQ('TS-PILE'!$D$72:$D$91)=0,0,'TO HOP NLAN'!F109*'TS-PILE'!$D$90/SUMSQ('TS-PILE'!$D$72:$D$91))),IF('TS-PILE'!$B$91="",1E+99,'TO HOP NLAN'!D109/ncoc+IF(SUMSQ('TS-PILE'!$E$72:$E$91)=0,0,'TO HOP NLAN'!E109*'TS-PILE'!$E$91/SUMSQ('TS-PILE'!$E$72:$E$91))+IF(SUMSQ('TS-PILE'!$D$72:$D$91)=0,0,'TO HOP NLAN'!F109*'TS-PILE'!$D$91/SUMSQ('TS-PILE'!$D$72:$D$91)))))</f>
        <v>0</v>
      </c>
      <c r="E109" s="58">
        <f t="shared" si="4"/>
        <v>-9.9999999999999997E+98</v>
      </c>
      <c r="F109" s="58">
        <f t="shared" si="5"/>
        <v>9.9999999999999997E+98</v>
      </c>
      <c r="G109" s="58">
        <f t="shared" si="6"/>
        <v>-9.9999999999999997E+98</v>
      </c>
      <c r="H109" s="58">
        <f t="shared" si="7"/>
        <v>9.9999999999999997E+98</v>
      </c>
    </row>
    <row r="110" spans="1:8" x14ac:dyDescent="0.3">
      <c r="A110" s="42" t="str">
        <f>'TO HOP NLAN'!A110</f>
        <v/>
      </c>
      <c r="B110" s="42" t="str">
        <f>'TO HOP NLAN'!L110</f>
        <v>STRENGTH</v>
      </c>
      <c r="C110" s="58">
        <f>IF(A110="",0,MAX(IF('TS-PILE'!$B$72="",-1E+99,'TO HOP NLAN'!D110/ncoc+IF(SUMSQ('TS-PILE'!$E$72:$E$91)=0,0,'TO HOP NLAN'!E110*'TS-PILE'!$E$72/SUMSQ('TS-PILE'!$E$72:$E$91))+IF(SUMSQ('TS-PILE'!$D$72:$D$91)=0,0,'TO HOP NLAN'!F110*'TS-PILE'!$D$72/SUMSQ('TS-PILE'!$D$72:$D$91))),IF('TS-PILE'!$B$73="",-1E+99,'TO HOP NLAN'!D110/ncoc+IF(SUMSQ('TS-PILE'!$E$72:$E$91)=0,0,'TO HOP NLAN'!E110*'TS-PILE'!$E$73/SUMSQ('TS-PILE'!$E$72:$E$91))+IF(SUMSQ('TS-PILE'!$D$72:$D$91)=0,0,'TO HOP NLAN'!F110*'TS-PILE'!$D$73/SUMSQ('TS-PILE'!$D$72:$D$91))),IF('TS-PILE'!$B$74="",-1E+99,'TO HOP NLAN'!D110/ncoc+IF(SUMSQ('TS-PILE'!$E$72:$E$91)=0,0,'TO HOP NLAN'!E110*'TS-PILE'!$E$74/SUMSQ('TS-PILE'!$E$72:$E$91))+IF(SUMSQ('TS-PILE'!$D$72:$D$91)=0,0,'TO HOP NLAN'!F110*'TS-PILE'!$D$74/SUMSQ('TS-PILE'!$D$72:$D$91))),IF('TS-PILE'!$B$75="",-1E+99,'TO HOP NLAN'!D110/ncoc+IF(SUMSQ('TS-PILE'!$E$72:$E$91)=0,0,'TO HOP NLAN'!E110*'TS-PILE'!$E$75/SUMSQ('TS-PILE'!$E$72:$E$91))+IF(SUMSQ('TS-PILE'!$D$72:$D$91)=0,0,'TO HOP NLAN'!F110*'TS-PILE'!$D$75/SUMSQ('TS-PILE'!$D$72:$D$91))),IF('TS-PILE'!$B$76="",-1E+99,'TO HOP NLAN'!D110/ncoc+IF(SUMSQ('TS-PILE'!$E$72:$E$91)=0,0,'TO HOP NLAN'!E110*'TS-PILE'!$E$76/SUMSQ('TS-PILE'!$E$72:$E$91))+IF(SUMSQ('TS-PILE'!$D$72:$D$91)=0,0,'TO HOP NLAN'!F110*'TS-PILE'!$D$76/SUMSQ('TS-PILE'!$D$72:$D$91))),IF('TS-PILE'!$B$77="",-1E+99,'TO HOP NLAN'!D110/ncoc+IF(SUMSQ('TS-PILE'!$E$72:$E$91)=0,0,'TO HOP NLAN'!E110*'TS-PILE'!$E$77/SUMSQ('TS-PILE'!$E$72:$E$91))+IF(SUMSQ('TS-PILE'!$D$72:$D$91)=0,0,'TO HOP NLAN'!F110*'TS-PILE'!$D$77/SUMSQ('TS-PILE'!$D$72:$D$91))),IF('TS-PILE'!$B$78="",-1E+99,'TO HOP NLAN'!D110/ncoc+IF(SUMSQ('TS-PILE'!$E$72:$E$91)=0,0,'TO HOP NLAN'!E110*'TS-PILE'!$E$78/SUMSQ('TS-PILE'!$E$72:$E$91))+IF(SUMSQ('TS-PILE'!$D$72:$D$91)=0,0,'TO HOP NLAN'!F110*'TS-PILE'!$D$78/SUMSQ('TS-PILE'!$D$72:$D$91))),IF('TS-PILE'!$B$79="",-1E+99,'TO HOP NLAN'!D110/ncoc+IF(SUMSQ('TS-PILE'!$E$72:$E$91)=0,0,'TO HOP NLAN'!E110*'TS-PILE'!$E$79/SUMSQ('TS-PILE'!$E$72:$E$91))+IF(SUMSQ('TS-PILE'!$D$72:$D$91)=0,0,'TO HOP NLAN'!F110*'TS-PILE'!$D$79/SUMSQ('TS-PILE'!$D$72:$D$91))),IF('TS-PILE'!$B$80="",-1E+99,'TO HOP NLAN'!D110/ncoc+IF(SUMSQ('TS-PILE'!$E$72:$E$91)=0,0,'TO HOP NLAN'!E110*'TS-PILE'!$E$80/SUMSQ('TS-PILE'!$E$72:$E$91))+IF(SUMSQ('TS-PILE'!$D$72:$D$91)=0,0,'TO HOP NLAN'!F110*'TS-PILE'!$D$80/SUMSQ('TS-PILE'!$D$72:$D$91))),IF('TS-PILE'!$B$81="",-1E+99,'TO HOP NLAN'!D110/ncoc+IF(SUMSQ('TS-PILE'!$E$72:$E$91)=0,0,'TO HOP NLAN'!E110*'TS-PILE'!$E$81/SUMSQ('TS-PILE'!$E$72:$E$91))+IF(SUMSQ('TS-PILE'!$D$72:$D$91)=0,0,'TO HOP NLAN'!F110*'TS-PILE'!$D$81/SUMSQ('TS-PILE'!$D$72:$D$91))),IF('TS-PILE'!$B$82="",-1E+99,'TO HOP NLAN'!D110/ncoc+IF(SUMSQ('TS-PILE'!$E$72:$E$91)=0,0,'TO HOP NLAN'!E110*'TS-PILE'!$E$82/SUMSQ('TS-PILE'!$E$72:$E$91))+IF(SUMSQ('TS-PILE'!$D$72:$D$91)=0,0,'TO HOP NLAN'!F110*'TS-PILE'!$D$82/SUMSQ('TS-PILE'!$D$72:$D$91))),IF('TS-PILE'!$B$83="",-1E+99,'TO HOP NLAN'!D110/ncoc+IF(SUMSQ('TS-PILE'!$E$72:$E$91)=0,0,'TO HOP NLAN'!E110*'TS-PILE'!$E$83/SUMSQ('TS-PILE'!$E$72:$E$91))+IF(SUMSQ('TS-PILE'!$D$72:$D$91)=0,0,'TO HOP NLAN'!F110*'TS-PILE'!$D$83/SUMSQ('TS-PILE'!$D$72:$D$91))),IF('TS-PILE'!$B$84="",-1E+99,'TO HOP NLAN'!D110/ncoc+IF(SUMSQ('TS-PILE'!$E$72:$E$91)=0,0,'TO HOP NLAN'!E110*'TS-PILE'!$E$84/SUMSQ('TS-PILE'!$E$72:$E$91))+IF(SUMSQ('TS-PILE'!$D$72:$D$91)=0,0,'TO HOP NLAN'!F110*'TS-PILE'!$D$84/SUMSQ('TS-PILE'!$D$72:$D$91))),IF('TS-PILE'!$B$85="",-1E+99,'TO HOP NLAN'!D110/ncoc+IF(SUMSQ('TS-PILE'!$E$72:$E$91)=0,0,'TO HOP NLAN'!E110*'TS-PILE'!$E$85/SUMSQ('TS-PILE'!$E$72:$E$91))+IF(SUMSQ('TS-PILE'!$D$72:$D$91)=0,0,'TO HOP NLAN'!F110*'TS-PILE'!$D$85/SUMSQ('TS-PILE'!$D$72:$D$91))),IF('TS-PILE'!$B$86="",-1E+99,'TO HOP NLAN'!D110/ncoc+IF(SUMSQ('TS-PILE'!$E$72:$E$91)=0,0,'TO HOP NLAN'!E110*'TS-PILE'!$E$86/SUMSQ('TS-PILE'!$E$72:$E$91))+IF(SUMSQ('TS-PILE'!$D$72:$D$91)=0,0,'TO HOP NLAN'!F110*'TS-PILE'!$D$86/SUMSQ('TS-PILE'!$D$72:$D$91))),IF('TS-PILE'!$B$87="",-1E+99,'TO HOP NLAN'!D110/ncoc+IF(SUMSQ('TS-PILE'!$E$72:$E$91)=0,0,'TO HOP NLAN'!E110*'TS-PILE'!$E$87/SUMSQ('TS-PILE'!$E$72:$E$91))+IF(SUMSQ('TS-PILE'!$D$72:$D$91)=0,0,'TO HOP NLAN'!F110*'TS-PILE'!$D$87/SUMSQ('TS-PILE'!$D$72:$D$91))),IF('TS-PILE'!$B$88="",-1E+99,'TO HOP NLAN'!D110/ncoc+IF(SUMSQ('TS-PILE'!$E$72:$E$91)=0,0,'TO HOP NLAN'!E110*'TS-PILE'!$E$88/SUMSQ('TS-PILE'!$E$72:$E$91))+IF(SUMSQ('TS-PILE'!$D$72:$D$91)=0,0,'TO HOP NLAN'!F110*'TS-PILE'!$D$88/SUMSQ('TS-PILE'!$D$72:$D$91))),IF('TS-PILE'!$B$89="",-1E+99,'TO HOP NLAN'!D110/ncoc+IF(SUMSQ('TS-PILE'!$E$72:$E$91)=0,0,'TO HOP NLAN'!E110*'TS-PILE'!$E$89/SUMSQ('TS-PILE'!$E$72:$E$91))+IF(SUMSQ('TS-PILE'!$D$72:$D$91)=0,0,'TO HOP NLAN'!F110*'TS-PILE'!$D$89/SUMSQ('TS-PILE'!$D$72:$D$91))),IF('TS-PILE'!$B$90="",-1E+99,'TO HOP NLAN'!D110/ncoc+IF(SUMSQ('TS-PILE'!$E$72:$E$91)=0,0,'TO HOP NLAN'!E110*'TS-PILE'!$E$90/SUMSQ('TS-PILE'!$E$72:$E$91))+IF(SUMSQ('TS-PILE'!$D$72:$D$91)=0,0,'TO HOP NLAN'!F110*'TS-PILE'!$D$90/SUMSQ('TS-PILE'!$D$72:$D$91))),IF('TS-PILE'!$B$91="",-1E+99,'TO HOP NLAN'!D110/ncoc+IF(SUMSQ('TS-PILE'!$E$72:$E$91)=0,0,'TO HOP NLAN'!E110*'TS-PILE'!$E$91/SUMSQ('TS-PILE'!$E$72:$E$91))+IF(SUMSQ('TS-PILE'!$D$72:$D$91)=0,0,'TO HOP NLAN'!F110*'TS-PILE'!$D$91/SUMSQ('TS-PILE'!$D$72:$D$91)))))</f>
        <v>0</v>
      </c>
      <c r="D110" s="58">
        <f>IF(A110="",0,MIN(IF('TS-PILE'!$B$72="",1E+99,'TO HOP NLAN'!D110/ncoc+IF(SUMSQ('TS-PILE'!$E$72:$E$91)=0,0,'TO HOP NLAN'!E110*'TS-PILE'!$E$72/SUMSQ('TS-PILE'!$E$72:$E$91))+IF(SUMSQ('TS-PILE'!$D$72:$D$91)=0,0,'TO HOP NLAN'!F110*'TS-PILE'!$D$72/SUMSQ('TS-PILE'!$D$72:$D$91))),IF('TS-PILE'!$B$73="",1E+99,'TO HOP NLAN'!D110/ncoc+IF(SUMSQ('TS-PILE'!$E$72:$E$91)=0,0,'TO HOP NLAN'!E110*'TS-PILE'!$E$73/SUMSQ('TS-PILE'!$E$72:$E$91))+IF(SUMSQ('TS-PILE'!$D$72:$D$91)=0,0,'TO HOP NLAN'!F110*'TS-PILE'!$D$73/SUMSQ('TS-PILE'!$D$72:$D$91))),IF('TS-PILE'!$B$74="",1E+99,'TO HOP NLAN'!D110/ncoc+IF(SUMSQ('TS-PILE'!$E$72:$E$91)=0,0,'TO HOP NLAN'!E110*'TS-PILE'!$E$74/SUMSQ('TS-PILE'!$E$72:$E$91))+IF(SUMSQ('TS-PILE'!$D$72:$D$91)=0,0,'TO HOP NLAN'!F110*'TS-PILE'!$D$74/SUMSQ('TS-PILE'!$D$72:$D$91))),IF('TS-PILE'!$B$75="",1E+99,'TO HOP NLAN'!D110/ncoc+IF(SUMSQ('TS-PILE'!$E$72:$E$91)=0,0,'TO HOP NLAN'!E110*'TS-PILE'!$E$75/SUMSQ('TS-PILE'!$E$72:$E$91))+IF(SUMSQ('TS-PILE'!$D$72:$D$91)=0,0,'TO HOP NLAN'!F110*'TS-PILE'!$D$75/SUMSQ('TS-PILE'!$D$72:$D$91))),IF('TS-PILE'!$B$76="",1E+99,'TO HOP NLAN'!D110/ncoc+IF(SUMSQ('TS-PILE'!$E$72:$E$91)=0,0,'TO HOP NLAN'!E110*'TS-PILE'!$E$76/SUMSQ('TS-PILE'!$E$72:$E$91))+IF(SUMSQ('TS-PILE'!$D$72:$D$91)=0,0,'TO HOP NLAN'!F110*'TS-PILE'!$D$76/SUMSQ('TS-PILE'!$D$72:$D$91))),IF('TS-PILE'!$B$77="",1E+99,'TO HOP NLAN'!D110/ncoc+IF(SUMSQ('TS-PILE'!$E$72:$E$91)=0,0,'TO HOP NLAN'!E110*'TS-PILE'!$E$77/SUMSQ('TS-PILE'!$E$72:$E$91))+IF(SUMSQ('TS-PILE'!$D$72:$D$91)=0,0,'TO HOP NLAN'!F110*'TS-PILE'!$D$77/SUMSQ('TS-PILE'!$D$72:$D$91))),IF('TS-PILE'!$B$78="",1E+99,'TO HOP NLAN'!D110/ncoc+IF(SUMSQ('TS-PILE'!$E$72:$E$91)=0,0,'TO HOP NLAN'!E110*'TS-PILE'!$E$78/SUMSQ('TS-PILE'!$E$72:$E$91))+IF(SUMSQ('TS-PILE'!$D$72:$D$91)=0,0,'TO HOP NLAN'!F110*'TS-PILE'!$D$78/SUMSQ('TS-PILE'!$D$72:$D$91))),IF('TS-PILE'!$B$79="",1E+99,'TO HOP NLAN'!D110/ncoc+IF(SUMSQ('TS-PILE'!$E$72:$E$91)=0,0,'TO HOP NLAN'!E110*'TS-PILE'!$E$79/SUMSQ('TS-PILE'!$E$72:$E$91))+IF(SUMSQ('TS-PILE'!$D$72:$D$91)=0,0,'TO HOP NLAN'!F110*'TS-PILE'!$D$79/SUMSQ('TS-PILE'!$D$72:$D$91))),IF('TS-PILE'!$B$80="",1E+99,'TO HOP NLAN'!D110/ncoc+IF(SUMSQ('TS-PILE'!$E$72:$E$91)=0,0,'TO HOP NLAN'!E110*'TS-PILE'!$E$80/SUMSQ('TS-PILE'!$E$72:$E$91))+IF(SUMSQ('TS-PILE'!$D$72:$D$91)=0,0,'TO HOP NLAN'!F110*'TS-PILE'!$D$80/SUMSQ('TS-PILE'!$D$72:$D$91))),IF('TS-PILE'!$B$81="",1E+99,'TO HOP NLAN'!D110/ncoc+IF(SUMSQ('TS-PILE'!$E$72:$E$91)=0,0,'TO HOP NLAN'!E110*'TS-PILE'!$E$81/SUMSQ('TS-PILE'!$E$72:$E$91))+IF(SUMSQ('TS-PILE'!$D$72:$D$91)=0,0,'TO HOP NLAN'!F110*'TS-PILE'!$D$81/SUMSQ('TS-PILE'!$D$72:$D$91))),IF('TS-PILE'!$B$82="",1E+99,'TO HOP NLAN'!D110/ncoc+IF(SUMSQ('TS-PILE'!$E$72:$E$91)=0,0,'TO HOP NLAN'!E110*'TS-PILE'!$E$82/SUMSQ('TS-PILE'!$E$72:$E$91))+IF(SUMSQ('TS-PILE'!$D$72:$D$91)=0,0,'TO HOP NLAN'!F110*'TS-PILE'!$D$82/SUMSQ('TS-PILE'!$D$72:$D$91))),IF('TS-PILE'!$B$83="",1E+99,'TO HOP NLAN'!D110/ncoc+IF(SUMSQ('TS-PILE'!$E$72:$E$91)=0,0,'TO HOP NLAN'!E110*'TS-PILE'!$E$83/SUMSQ('TS-PILE'!$E$72:$E$91))+IF(SUMSQ('TS-PILE'!$D$72:$D$91)=0,0,'TO HOP NLAN'!F110*'TS-PILE'!$D$83/SUMSQ('TS-PILE'!$D$72:$D$91))),IF('TS-PILE'!$B$84="",1E+99,'TO HOP NLAN'!D110/ncoc+IF(SUMSQ('TS-PILE'!$E$72:$E$91)=0,0,'TO HOP NLAN'!E110*'TS-PILE'!$E$84/SUMSQ('TS-PILE'!$E$72:$E$91))+IF(SUMSQ('TS-PILE'!$D$72:$D$91)=0,0,'TO HOP NLAN'!F110*'TS-PILE'!$D$84/SUMSQ('TS-PILE'!$D$72:$D$91))),IF('TS-PILE'!$B$85="",1E+99,'TO HOP NLAN'!D110/ncoc+IF(SUMSQ('TS-PILE'!$E$72:$E$91)=0,0,'TO HOP NLAN'!E110*'TS-PILE'!$E$85/SUMSQ('TS-PILE'!$E$72:$E$91))+IF(SUMSQ('TS-PILE'!$D$72:$D$91)=0,0,'TO HOP NLAN'!F110*'TS-PILE'!$D$85/SUMSQ('TS-PILE'!$D$72:$D$91))),IF('TS-PILE'!$B$86="",1E+99,'TO HOP NLAN'!D110/ncoc+IF(SUMSQ('TS-PILE'!$E$72:$E$91)=0,0,'TO HOP NLAN'!E110*'TS-PILE'!$E$86/SUMSQ('TS-PILE'!$E$72:$E$91))+IF(SUMSQ('TS-PILE'!$D$72:$D$91)=0,0,'TO HOP NLAN'!F110*'TS-PILE'!$D$86/SUMSQ('TS-PILE'!$D$72:$D$91))),IF('TS-PILE'!$B$87="",1E+99,'TO HOP NLAN'!D110/ncoc+IF(SUMSQ('TS-PILE'!$E$72:$E$91)=0,0,'TO HOP NLAN'!E110*'TS-PILE'!$E$87/SUMSQ('TS-PILE'!$E$72:$E$91))+IF(SUMSQ('TS-PILE'!$D$72:$D$91)=0,0,'TO HOP NLAN'!F110*'TS-PILE'!$D$87/SUMSQ('TS-PILE'!$D$72:$D$91))),IF('TS-PILE'!$B$88="",1E+99,'TO HOP NLAN'!D110/ncoc+IF(SUMSQ('TS-PILE'!$E$72:$E$91)=0,0,'TO HOP NLAN'!E110*'TS-PILE'!$E$88/SUMSQ('TS-PILE'!$E$72:$E$91))+IF(SUMSQ('TS-PILE'!$D$72:$D$91)=0,0,'TO HOP NLAN'!F110*'TS-PILE'!$D$88/SUMSQ('TS-PILE'!$D$72:$D$91))),IF('TS-PILE'!$B$89="",1E+99,'TO HOP NLAN'!D110/ncoc+IF(SUMSQ('TS-PILE'!$E$72:$E$91)=0,0,'TO HOP NLAN'!E110*'TS-PILE'!$E$89/SUMSQ('TS-PILE'!$E$72:$E$91))+IF(SUMSQ('TS-PILE'!$D$72:$D$91)=0,0,'TO HOP NLAN'!F110*'TS-PILE'!$D$89/SUMSQ('TS-PILE'!$D$72:$D$91))),IF('TS-PILE'!$B$90="",1E+99,'TO HOP NLAN'!D110/ncoc+IF(SUMSQ('TS-PILE'!$E$72:$E$91)=0,0,'TO HOP NLAN'!E110*'TS-PILE'!$E$90/SUMSQ('TS-PILE'!$E$72:$E$91))+IF(SUMSQ('TS-PILE'!$D$72:$D$91)=0,0,'TO HOP NLAN'!F110*'TS-PILE'!$D$90/SUMSQ('TS-PILE'!$D$72:$D$91))),IF('TS-PILE'!$B$91="",1E+99,'TO HOP NLAN'!D110/ncoc+IF(SUMSQ('TS-PILE'!$E$72:$E$91)=0,0,'TO HOP NLAN'!E110*'TS-PILE'!$E$91/SUMSQ('TS-PILE'!$E$72:$E$91))+IF(SUMSQ('TS-PILE'!$D$72:$D$91)=0,0,'TO HOP NLAN'!F110*'TS-PILE'!$D$91/SUMSQ('TS-PILE'!$D$72:$D$91)))))</f>
        <v>0</v>
      </c>
      <c r="E110" s="58">
        <f t="shared" si="4"/>
        <v>-9.9999999999999997E+98</v>
      </c>
      <c r="F110" s="58">
        <f t="shared" si="5"/>
        <v>9.9999999999999997E+98</v>
      </c>
      <c r="G110" s="58">
        <f t="shared" si="6"/>
        <v>-9.9999999999999997E+98</v>
      </c>
      <c r="H110" s="58">
        <f t="shared" si="7"/>
        <v>9.9999999999999997E+98</v>
      </c>
    </row>
    <row r="111" spans="1:8" x14ac:dyDescent="0.3">
      <c r="A111" s="42" t="str">
        <f>'TO HOP NLAN'!A111</f>
        <v/>
      </c>
      <c r="B111" s="42" t="str">
        <f>'TO HOP NLAN'!L111</f>
        <v>STRENGTH</v>
      </c>
      <c r="C111" s="58">
        <f>IF(A111="",0,MAX(IF('TS-PILE'!$B$72="",-1E+99,'TO HOP NLAN'!D111/ncoc+IF(SUMSQ('TS-PILE'!$E$72:$E$91)=0,0,'TO HOP NLAN'!E111*'TS-PILE'!$E$72/SUMSQ('TS-PILE'!$E$72:$E$91))+IF(SUMSQ('TS-PILE'!$D$72:$D$91)=0,0,'TO HOP NLAN'!F111*'TS-PILE'!$D$72/SUMSQ('TS-PILE'!$D$72:$D$91))),IF('TS-PILE'!$B$73="",-1E+99,'TO HOP NLAN'!D111/ncoc+IF(SUMSQ('TS-PILE'!$E$72:$E$91)=0,0,'TO HOP NLAN'!E111*'TS-PILE'!$E$73/SUMSQ('TS-PILE'!$E$72:$E$91))+IF(SUMSQ('TS-PILE'!$D$72:$D$91)=0,0,'TO HOP NLAN'!F111*'TS-PILE'!$D$73/SUMSQ('TS-PILE'!$D$72:$D$91))),IF('TS-PILE'!$B$74="",-1E+99,'TO HOP NLAN'!D111/ncoc+IF(SUMSQ('TS-PILE'!$E$72:$E$91)=0,0,'TO HOP NLAN'!E111*'TS-PILE'!$E$74/SUMSQ('TS-PILE'!$E$72:$E$91))+IF(SUMSQ('TS-PILE'!$D$72:$D$91)=0,0,'TO HOP NLAN'!F111*'TS-PILE'!$D$74/SUMSQ('TS-PILE'!$D$72:$D$91))),IF('TS-PILE'!$B$75="",-1E+99,'TO HOP NLAN'!D111/ncoc+IF(SUMSQ('TS-PILE'!$E$72:$E$91)=0,0,'TO HOP NLAN'!E111*'TS-PILE'!$E$75/SUMSQ('TS-PILE'!$E$72:$E$91))+IF(SUMSQ('TS-PILE'!$D$72:$D$91)=0,0,'TO HOP NLAN'!F111*'TS-PILE'!$D$75/SUMSQ('TS-PILE'!$D$72:$D$91))),IF('TS-PILE'!$B$76="",-1E+99,'TO HOP NLAN'!D111/ncoc+IF(SUMSQ('TS-PILE'!$E$72:$E$91)=0,0,'TO HOP NLAN'!E111*'TS-PILE'!$E$76/SUMSQ('TS-PILE'!$E$72:$E$91))+IF(SUMSQ('TS-PILE'!$D$72:$D$91)=0,0,'TO HOP NLAN'!F111*'TS-PILE'!$D$76/SUMSQ('TS-PILE'!$D$72:$D$91))),IF('TS-PILE'!$B$77="",-1E+99,'TO HOP NLAN'!D111/ncoc+IF(SUMSQ('TS-PILE'!$E$72:$E$91)=0,0,'TO HOP NLAN'!E111*'TS-PILE'!$E$77/SUMSQ('TS-PILE'!$E$72:$E$91))+IF(SUMSQ('TS-PILE'!$D$72:$D$91)=0,0,'TO HOP NLAN'!F111*'TS-PILE'!$D$77/SUMSQ('TS-PILE'!$D$72:$D$91))),IF('TS-PILE'!$B$78="",-1E+99,'TO HOP NLAN'!D111/ncoc+IF(SUMSQ('TS-PILE'!$E$72:$E$91)=0,0,'TO HOP NLAN'!E111*'TS-PILE'!$E$78/SUMSQ('TS-PILE'!$E$72:$E$91))+IF(SUMSQ('TS-PILE'!$D$72:$D$91)=0,0,'TO HOP NLAN'!F111*'TS-PILE'!$D$78/SUMSQ('TS-PILE'!$D$72:$D$91))),IF('TS-PILE'!$B$79="",-1E+99,'TO HOP NLAN'!D111/ncoc+IF(SUMSQ('TS-PILE'!$E$72:$E$91)=0,0,'TO HOP NLAN'!E111*'TS-PILE'!$E$79/SUMSQ('TS-PILE'!$E$72:$E$91))+IF(SUMSQ('TS-PILE'!$D$72:$D$91)=0,0,'TO HOP NLAN'!F111*'TS-PILE'!$D$79/SUMSQ('TS-PILE'!$D$72:$D$91))),IF('TS-PILE'!$B$80="",-1E+99,'TO HOP NLAN'!D111/ncoc+IF(SUMSQ('TS-PILE'!$E$72:$E$91)=0,0,'TO HOP NLAN'!E111*'TS-PILE'!$E$80/SUMSQ('TS-PILE'!$E$72:$E$91))+IF(SUMSQ('TS-PILE'!$D$72:$D$91)=0,0,'TO HOP NLAN'!F111*'TS-PILE'!$D$80/SUMSQ('TS-PILE'!$D$72:$D$91))),IF('TS-PILE'!$B$81="",-1E+99,'TO HOP NLAN'!D111/ncoc+IF(SUMSQ('TS-PILE'!$E$72:$E$91)=0,0,'TO HOP NLAN'!E111*'TS-PILE'!$E$81/SUMSQ('TS-PILE'!$E$72:$E$91))+IF(SUMSQ('TS-PILE'!$D$72:$D$91)=0,0,'TO HOP NLAN'!F111*'TS-PILE'!$D$81/SUMSQ('TS-PILE'!$D$72:$D$91))),IF('TS-PILE'!$B$82="",-1E+99,'TO HOP NLAN'!D111/ncoc+IF(SUMSQ('TS-PILE'!$E$72:$E$91)=0,0,'TO HOP NLAN'!E111*'TS-PILE'!$E$82/SUMSQ('TS-PILE'!$E$72:$E$91))+IF(SUMSQ('TS-PILE'!$D$72:$D$91)=0,0,'TO HOP NLAN'!F111*'TS-PILE'!$D$82/SUMSQ('TS-PILE'!$D$72:$D$91))),IF('TS-PILE'!$B$83="",-1E+99,'TO HOP NLAN'!D111/ncoc+IF(SUMSQ('TS-PILE'!$E$72:$E$91)=0,0,'TO HOP NLAN'!E111*'TS-PILE'!$E$83/SUMSQ('TS-PILE'!$E$72:$E$91))+IF(SUMSQ('TS-PILE'!$D$72:$D$91)=0,0,'TO HOP NLAN'!F111*'TS-PILE'!$D$83/SUMSQ('TS-PILE'!$D$72:$D$91))),IF('TS-PILE'!$B$84="",-1E+99,'TO HOP NLAN'!D111/ncoc+IF(SUMSQ('TS-PILE'!$E$72:$E$91)=0,0,'TO HOP NLAN'!E111*'TS-PILE'!$E$84/SUMSQ('TS-PILE'!$E$72:$E$91))+IF(SUMSQ('TS-PILE'!$D$72:$D$91)=0,0,'TO HOP NLAN'!F111*'TS-PILE'!$D$84/SUMSQ('TS-PILE'!$D$72:$D$91))),IF('TS-PILE'!$B$85="",-1E+99,'TO HOP NLAN'!D111/ncoc+IF(SUMSQ('TS-PILE'!$E$72:$E$91)=0,0,'TO HOP NLAN'!E111*'TS-PILE'!$E$85/SUMSQ('TS-PILE'!$E$72:$E$91))+IF(SUMSQ('TS-PILE'!$D$72:$D$91)=0,0,'TO HOP NLAN'!F111*'TS-PILE'!$D$85/SUMSQ('TS-PILE'!$D$72:$D$91))),IF('TS-PILE'!$B$86="",-1E+99,'TO HOP NLAN'!D111/ncoc+IF(SUMSQ('TS-PILE'!$E$72:$E$91)=0,0,'TO HOP NLAN'!E111*'TS-PILE'!$E$86/SUMSQ('TS-PILE'!$E$72:$E$91))+IF(SUMSQ('TS-PILE'!$D$72:$D$91)=0,0,'TO HOP NLAN'!F111*'TS-PILE'!$D$86/SUMSQ('TS-PILE'!$D$72:$D$91))),IF('TS-PILE'!$B$87="",-1E+99,'TO HOP NLAN'!D111/ncoc+IF(SUMSQ('TS-PILE'!$E$72:$E$91)=0,0,'TO HOP NLAN'!E111*'TS-PILE'!$E$87/SUMSQ('TS-PILE'!$E$72:$E$91))+IF(SUMSQ('TS-PILE'!$D$72:$D$91)=0,0,'TO HOP NLAN'!F111*'TS-PILE'!$D$87/SUMSQ('TS-PILE'!$D$72:$D$91))),IF('TS-PILE'!$B$88="",-1E+99,'TO HOP NLAN'!D111/ncoc+IF(SUMSQ('TS-PILE'!$E$72:$E$91)=0,0,'TO HOP NLAN'!E111*'TS-PILE'!$E$88/SUMSQ('TS-PILE'!$E$72:$E$91))+IF(SUMSQ('TS-PILE'!$D$72:$D$91)=0,0,'TO HOP NLAN'!F111*'TS-PILE'!$D$88/SUMSQ('TS-PILE'!$D$72:$D$91))),IF('TS-PILE'!$B$89="",-1E+99,'TO HOP NLAN'!D111/ncoc+IF(SUMSQ('TS-PILE'!$E$72:$E$91)=0,0,'TO HOP NLAN'!E111*'TS-PILE'!$E$89/SUMSQ('TS-PILE'!$E$72:$E$91))+IF(SUMSQ('TS-PILE'!$D$72:$D$91)=0,0,'TO HOP NLAN'!F111*'TS-PILE'!$D$89/SUMSQ('TS-PILE'!$D$72:$D$91))),IF('TS-PILE'!$B$90="",-1E+99,'TO HOP NLAN'!D111/ncoc+IF(SUMSQ('TS-PILE'!$E$72:$E$91)=0,0,'TO HOP NLAN'!E111*'TS-PILE'!$E$90/SUMSQ('TS-PILE'!$E$72:$E$91))+IF(SUMSQ('TS-PILE'!$D$72:$D$91)=0,0,'TO HOP NLAN'!F111*'TS-PILE'!$D$90/SUMSQ('TS-PILE'!$D$72:$D$91))),IF('TS-PILE'!$B$91="",-1E+99,'TO HOP NLAN'!D111/ncoc+IF(SUMSQ('TS-PILE'!$E$72:$E$91)=0,0,'TO HOP NLAN'!E111*'TS-PILE'!$E$91/SUMSQ('TS-PILE'!$E$72:$E$91))+IF(SUMSQ('TS-PILE'!$D$72:$D$91)=0,0,'TO HOP NLAN'!F111*'TS-PILE'!$D$91/SUMSQ('TS-PILE'!$D$72:$D$91)))))</f>
        <v>0</v>
      </c>
      <c r="D111" s="58">
        <f>IF(A111="",0,MIN(IF('TS-PILE'!$B$72="",1E+99,'TO HOP NLAN'!D111/ncoc+IF(SUMSQ('TS-PILE'!$E$72:$E$91)=0,0,'TO HOP NLAN'!E111*'TS-PILE'!$E$72/SUMSQ('TS-PILE'!$E$72:$E$91))+IF(SUMSQ('TS-PILE'!$D$72:$D$91)=0,0,'TO HOP NLAN'!F111*'TS-PILE'!$D$72/SUMSQ('TS-PILE'!$D$72:$D$91))),IF('TS-PILE'!$B$73="",1E+99,'TO HOP NLAN'!D111/ncoc+IF(SUMSQ('TS-PILE'!$E$72:$E$91)=0,0,'TO HOP NLAN'!E111*'TS-PILE'!$E$73/SUMSQ('TS-PILE'!$E$72:$E$91))+IF(SUMSQ('TS-PILE'!$D$72:$D$91)=0,0,'TO HOP NLAN'!F111*'TS-PILE'!$D$73/SUMSQ('TS-PILE'!$D$72:$D$91))),IF('TS-PILE'!$B$74="",1E+99,'TO HOP NLAN'!D111/ncoc+IF(SUMSQ('TS-PILE'!$E$72:$E$91)=0,0,'TO HOP NLAN'!E111*'TS-PILE'!$E$74/SUMSQ('TS-PILE'!$E$72:$E$91))+IF(SUMSQ('TS-PILE'!$D$72:$D$91)=0,0,'TO HOP NLAN'!F111*'TS-PILE'!$D$74/SUMSQ('TS-PILE'!$D$72:$D$91))),IF('TS-PILE'!$B$75="",1E+99,'TO HOP NLAN'!D111/ncoc+IF(SUMSQ('TS-PILE'!$E$72:$E$91)=0,0,'TO HOP NLAN'!E111*'TS-PILE'!$E$75/SUMSQ('TS-PILE'!$E$72:$E$91))+IF(SUMSQ('TS-PILE'!$D$72:$D$91)=0,0,'TO HOP NLAN'!F111*'TS-PILE'!$D$75/SUMSQ('TS-PILE'!$D$72:$D$91))),IF('TS-PILE'!$B$76="",1E+99,'TO HOP NLAN'!D111/ncoc+IF(SUMSQ('TS-PILE'!$E$72:$E$91)=0,0,'TO HOP NLAN'!E111*'TS-PILE'!$E$76/SUMSQ('TS-PILE'!$E$72:$E$91))+IF(SUMSQ('TS-PILE'!$D$72:$D$91)=0,0,'TO HOP NLAN'!F111*'TS-PILE'!$D$76/SUMSQ('TS-PILE'!$D$72:$D$91))),IF('TS-PILE'!$B$77="",1E+99,'TO HOP NLAN'!D111/ncoc+IF(SUMSQ('TS-PILE'!$E$72:$E$91)=0,0,'TO HOP NLAN'!E111*'TS-PILE'!$E$77/SUMSQ('TS-PILE'!$E$72:$E$91))+IF(SUMSQ('TS-PILE'!$D$72:$D$91)=0,0,'TO HOP NLAN'!F111*'TS-PILE'!$D$77/SUMSQ('TS-PILE'!$D$72:$D$91))),IF('TS-PILE'!$B$78="",1E+99,'TO HOP NLAN'!D111/ncoc+IF(SUMSQ('TS-PILE'!$E$72:$E$91)=0,0,'TO HOP NLAN'!E111*'TS-PILE'!$E$78/SUMSQ('TS-PILE'!$E$72:$E$91))+IF(SUMSQ('TS-PILE'!$D$72:$D$91)=0,0,'TO HOP NLAN'!F111*'TS-PILE'!$D$78/SUMSQ('TS-PILE'!$D$72:$D$91))),IF('TS-PILE'!$B$79="",1E+99,'TO HOP NLAN'!D111/ncoc+IF(SUMSQ('TS-PILE'!$E$72:$E$91)=0,0,'TO HOP NLAN'!E111*'TS-PILE'!$E$79/SUMSQ('TS-PILE'!$E$72:$E$91))+IF(SUMSQ('TS-PILE'!$D$72:$D$91)=0,0,'TO HOP NLAN'!F111*'TS-PILE'!$D$79/SUMSQ('TS-PILE'!$D$72:$D$91))),IF('TS-PILE'!$B$80="",1E+99,'TO HOP NLAN'!D111/ncoc+IF(SUMSQ('TS-PILE'!$E$72:$E$91)=0,0,'TO HOP NLAN'!E111*'TS-PILE'!$E$80/SUMSQ('TS-PILE'!$E$72:$E$91))+IF(SUMSQ('TS-PILE'!$D$72:$D$91)=0,0,'TO HOP NLAN'!F111*'TS-PILE'!$D$80/SUMSQ('TS-PILE'!$D$72:$D$91))),IF('TS-PILE'!$B$81="",1E+99,'TO HOP NLAN'!D111/ncoc+IF(SUMSQ('TS-PILE'!$E$72:$E$91)=0,0,'TO HOP NLAN'!E111*'TS-PILE'!$E$81/SUMSQ('TS-PILE'!$E$72:$E$91))+IF(SUMSQ('TS-PILE'!$D$72:$D$91)=0,0,'TO HOP NLAN'!F111*'TS-PILE'!$D$81/SUMSQ('TS-PILE'!$D$72:$D$91))),IF('TS-PILE'!$B$82="",1E+99,'TO HOP NLAN'!D111/ncoc+IF(SUMSQ('TS-PILE'!$E$72:$E$91)=0,0,'TO HOP NLAN'!E111*'TS-PILE'!$E$82/SUMSQ('TS-PILE'!$E$72:$E$91))+IF(SUMSQ('TS-PILE'!$D$72:$D$91)=0,0,'TO HOP NLAN'!F111*'TS-PILE'!$D$82/SUMSQ('TS-PILE'!$D$72:$D$91))),IF('TS-PILE'!$B$83="",1E+99,'TO HOP NLAN'!D111/ncoc+IF(SUMSQ('TS-PILE'!$E$72:$E$91)=0,0,'TO HOP NLAN'!E111*'TS-PILE'!$E$83/SUMSQ('TS-PILE'!$E$72:$E$91))+IF(SUMSQ('TS-PILE'!$D$72:$D$91)=0,0,'TO HOP NLAN'!F111*'TS-PILE'!$D$83/SUMSQ('TS-PILE'!$D$72:$D$91))),IF('TS-PILE'!$B$84="",1E+99,'TO HOP NLAN'!D111/ncoc+IF(SUMSQ('TS-PILE'!$E$72:$E$91)=0,0,'TO HOP NLAN'!E111*'TS-PILE'!$E$84/SUMSQ('TS-PILE'!$E$72:$E$91))+IF(SUMSQ('TS-PILE'!$D$72:$D$91)=0,0,'TO HOP NLAN'!F111*'TS-PILE'!$D$84/SUMSQ('TS-PILE'!$D$72:$D$91))),IF('TS-PILE'!$B$85="",1E+99,'TO HOP NLAN'!D111/ncoc+IF(SUMSQ('TS-PILE'!$E$72:$E$91)=0,0,'TO HOP NLAN'!E111*'TS-PILE'!$E$85/SUMSQ('TS-PILE'!$E$72:$E$91))+IF(SUMSQ('TS-PILE'!$D$72:$D$91)=0,0,'TO HOP NLAN'!F111*'TS-PILE'!$D$85/SUMSQ('TS-PILE'!$D$72:$D$91))),IF('TS-PILE'!$B$86="",1E+99,'TO HOP NLAN'!D111/ncoc+IF(SUMSQ('TS-PILE'!$E$72:$E$91)=0,0,'TO HOP NLAN'!E111*'TS-PILE'!$E$86/SUMSQ('TS-PILE'!$E$72:$E$91))+IF(SUMSQ('TS-PILE'!$D$72:$D$91)=0,0,'TO HOP NLAN'!F111*'TS-PILE'!$D$86/SUMSQ('TS-PILE'!$D$72:$D$91))),IF('TS-PILE'!$B$87="",1E+99,'TO HOP NLAN'!D111/ncoc+IF(SUMSQ('TS-PILE'!$E$72:$E$91)=0,0,'TO HOP NLAN'!E111*'TS-PILE'!$E$87/SUMSQ('TS-PILE'!$E$72:$E$91))+IF(SUMSQ('TS-PILE'!$D$72:$D$91)=0,0,'TO HOP NLAN'!F111*'TS-PILE'!$D$87/SUMSQ('TS-PILE'!$D$72:$D$91))),IF('TS-PILE'!$B$88="",1E+99,'TO HOP NLAN'!D111/ncoc+IF(SUMSQ('TS-PILE'!$E$72:$E$91)=0,0,'TO HOP NLAN'!E111*'TS-PILE'!$E$88/SUMSQ('TS-PILE'!$E$72:$E$91))+IF(SUMSQ('TS-PILE'!$D$72:$D$91)=0,0,'TO HOP NLAN'!F111*'TS-PILE'!$D$88/SUMSQ('TS-PILE'!$D$72:$D$91))),IF('TS-PILE'!$B$89="",1E+99,'TO HOP NLAN'!D111/ncoc+IF(SUMSQ('TS-PILE'!$E$72:$E$91)=0,0,'TO HOP NLAN'!E111*'TS-PILE'!$E$89/SUMSQ('TS-PILE'!$E$72:$E$91))+IF(SUMSQ('TS-PILE'!$D$72:$D$91)=0,0,'TO HOP NLAN'!F111*'TS-PILE'!$D$89/SUMSQ('TS-PILE'!$D$72:$D$91))),IF('TS-PILE'!$B$90="",1E+99,'TO HOP NLAN'!D111/ncoc+IF(SUMSQ('TS-PILE'!$E$72:$E$91)=0,0,'TO HOP NLAN'!E111*'TS-PILE'!$E$90/SUMSQ('TS-PILE'!$E$72:$E$91))+IF(SUMSQ('TS-PILE'!$D$72:$D$91)=0,0,'TO HOP NLAN'!F111*'TS-PILE'!$D$90/SUMSQ('TS-PILE'!$D$72:$D$91))),IF('TS-PILE'!$B$91="",1E+99,'TO HOP NLAN'!D111/ncoc+IF(SUMSQ('TS-PILE'!$E$72:$E$91)=0,0,'TO HOP NLAN'!E111*'TS-PILE'!$E$91/SUMSQ('TS-PILE'!$E$72:$E$91))+IF(SUMSQ('TS-PILE'!$D$72:$D$91)=0,0,'TO HOP NLAN'!F111*'TS-PILE'!$D$91/SUMSQ('TS-PILE'!$D$72:$D$91)))))</f>
        <v>0</v>
      </c>
      <c r="E111" s="58">
        <f t="shared" si="4"/>
        <v>-9.9999999999999997E+98</v>
      </c>
      <c r="F111" s="58">
        <f t="shared" si="5"/>
        <v>9.9999999999999997E+98</v>
      </c>
      <c r="G111" s="58">
        <f t="shared" si="6"/>
        <v>-9.9999999999999997E+98</v>
      </c>
      <c r="H111" s="58">
        <f t="shared" si="7"/>
        <v>9.9999999999999997E+98</v>
      </c>
    </row>
    <row r="112" spans="1:8" x14ac:dyDescent="0.3">
      <c r="A112" s="42" t="str">
        <f>'TO HOP NLAN'!A112</f>
        <v/>
      </c>
      <c r="B112" s="42" t="str">
        <f>'TO HOP NLAN'!L112</f>
        <v>STRENGTH</v>
      </c>
      <c r="C112" s="58">
        <f>IF(A112="",0,MAX(IF('TS-PILE'!$B$72="",-1E+99,'TO HOP NLAN'!D112/ncoc+IF(SUMSQ('TS-PILE'!$E$72:$E$91)=0,0,'TO HOP NLAN'!E112*'TS-PILE'!$E$72/SUMSQ('TS-PILE'!$E$72:$E$91))+IF(SUMSQ('TS-PILE'!$D$72:$D$91)=0,0,'TO HOP NLAN'!F112*'TS-PILE'!$D$72/SUMSQ('TS-PILE'!$D$72:$D$91))),IF('TS-PILE'!$B$73="",-1E+99,'TO HOP NLAN'!D112/ncoc+IF(SUMSQ('TS-PILE'!$E$72:$E$91)=0,0,'TO HOP NLAN'!E112*'TS-PILE'!$E$73/SUMSQ('TS-PILE'!$E$72:$E$91))+IF(SUMSQ('TS-PILE'!$D$72:$D$91)=0,0,'TO HOP NLAN'!F112*'TS-PILE'!$D$73/SUMSQ('TS-PILE'!$D$72:$D$91))),IF('TS-PILE'!$B$74="",-1E+99,'TO HOP NLAN'!D112/ncoc+IF(SUMSQ('TS-PILE'!$E$72:$E$91)=0,0,'TO HOP NLAN'!E112*'TS-PILE'!$E$74/SUMSQ('TS-PILE'!$E$72:$E$91))+IF(SUMSQ('TS-PILE'!$D$72:$D$91)=0,0,'TO HOP NLAN'!F112*'TS-PILE'!$D$74/SUMSQ('TS-PILE'!$D$72:$D$91))),IF('TS-PILE'!$B$75="",-1E+99,'TO HOP NLAN'!D112/ncoc+IF(SUMSQ('TS-PILE'!$E$72:$E$91)=0,0,'TO HOP NLAN'!E112*'TS-PILE'!$E$75/SUMSQ('TS-PILE'!$E$72:$E$91))+IF(SUMSQ('TS-PILE'!$D$72:$D$91)=0,0,'TO HOP NLAN'!F112*'TS-PILE'!$D$75/SUMSQ('TS-PILE'!$D$72:$D$91))),IF('TS-PILE'!$B$76="",-1E+99,'TO HOP NLAN'!D112/ncoc+IF(SUMSQ('TS-PILE'!$E$72:$E$91)=0,0,'TO HOP NLAN'!E112*'TS-PILE'!$E$76/SUMSQ('TS-PILE'!$E$72:$E$91))+IF(SUMSQ('TS-PILE'!$D$72:$D$91)=0,0,'TO HOP NLAN'!F112*'TS-PILE'!$D$76/SUMSQ('TS-PILE'!$D$72:$D$91))),IF('TS-PILE'!$B$77="",-1E+99,'TO HOP NLAN'!D112/ncoc+IF(SUMSQ('TS-PILE'!$E$72:$E$91)=0,0,'TO HOP NLAN'!E112*'TS-PILE'!$E$77/SUMSQ('TS-PILE'!$E$72:$E$91))+IF(SUMSQ('TS-PILE'!$D$72:$D$91)=0,0,'TO HOP NLAN'!F112*'TS-PILE'!$D$77/SUMSQ('TS-PILE'!$D$72:$D$91))),IF('TS-PILE'!$B$78="",-1E+99,'TO HOP NLAN'!D112/ncoc+IF(SUMSQ('TS-PILE'!$E$72:$E$91)=0,0,'TO HOP NLAN'!E112*'TS-PILE'!$E$78/SUMSQ('TS-PILE'!$E$72:$E$91))+IF(SUMSQ('TS-PILE'!$D$72:$D$91)=0,0,'TO HOP NLAN'!F112*'TS-PILE'!$D$78/SUMSQ('TS-PILE'!$D$72:$D$91))),IF('TS-PILE'!$B$79="",-1E+99,'TO HOP NLAN'!D112/ncoc+IF(SUMSQ('TS-PILE'!$E$72:$E$91)=0,0,'TO HOP NLAN'!E112*'TS-PILE'!$E$79/SUMSQ('TS-PILE'!$E$72:$E$91))+IF(SUMSQ('TS-PILE'!$D$72:$D$91)=0,0,'TO HOP NLAN'!F112*'TS-PILE'!$D$79/SUMSQ('TS-PILE'!$D$72:$D$91))),IF('TS-PILE'!$B$80="",-1E+99,'TO HOP NLAN'!D112/ncoc+IF(SUMSQ('TS-PILE'!$E$72:$E$91)=0,0,'TO HOP NLAN'!E112*'TS-PILE'!$E$80/SUMSQ('TS-PILE'!$E$72:$E$91))+IF(SUMSQ('TS-PILE'!$D$72:$D$91)=0,0,'TO HOP NLAN'!F112*'TS-PILE'!$D$80/SUMSQ('TS-PILE'!$D$72:$D$91))),IF('TS-PILE'!$B$81="",-1E+99,'TO HOP NLAN'!D112/ncoc+IF(SUMSQ('TS-PILE'!$E$72:$E$91)=0,0,'TO HOP NLAN'!E112*'TS-PILE'!$E$81/SUMSQ('TS-PILE'!$E$72:$E$91))+IF(SUMSQ('TS-PILE'!$D$72:$D$91)=0,0,'TO HOP NLAN'!F112*'TS-PILE'!$D$81/SUMSQ('TS-PILE'!$D$72:$D$91))),IF('TS-PILE'!$B$82="",-1E+99,'TO HOP NLAN'!D112/ncoc+IF(SUMSQ('TS-PILE'!$E$72:$E$91)=0,0,'TO HOP NLAN'!E112*'TS-PILE'!$E$82/SUMSQ('TS-PILE'!$E$72:$E$91))+IF(SUMSQ('TS-PILE'!$D$72:$D$91)=0,0,'TO HOP NLAN'!F112*'TS-PILE'!$D$82/SUMSQ('TS-PILE'!$D$72:$D$91))),IF('TS-PILE'!$B$83="",-1E+99,'TO HOP NLAN'!D112/ncoc+IF(SUMSQ('TS-PILE'!$E$72:$E$91)=0,0,'TO HOP NLAN'!E112*'TS-PILE'!$E$83/SUMSQ('TS-PILE'!$E$72:$E$91))+IF(SUMSQ('TS-PILE'!$D$72:$D$91)=0,0,'TO HOP NLAN'!F112*'TS-PILE'!$D$83/SUMSQ('TS-PILE'!$D$72:$D$91))),IF('TS-PILE'!$B$84="",-1E+99,'TO HOP NLAN'!D112/ncoc+IF(SUMSQ('TS-PILE'!$E$72:$E$91)=0,0,'TO HOP NLAN'!E112*'TS-PILE'!$E$84/SUMSQ('TS-PILE'!$E$72:$E$91))+IF(SUMSQ('TS-PILE'!$D$72:$D$91)=0,0,'TO HOP NLAN'!F112*'TS-PILE'!$D$84/SUMSQ('TS-PILE'!$D$72:$D$91))),IF('TS-PILE'!$B$85="",-1E+99,'TO HOP NLAN'!D112/ncoc+IF(SUMSQ('TS-PILE'!$E$72:$E$91)=0,0,'TO HOP NLAN'!E112*'TS-PILE'!$E$85/SUMSQ('TS-PILE'!$E$72:$E$91))+IF(SUMSQ('TS-PILE'!$D$72:$D$91)=0,0,'TO HOP NLAN'!F112*'TS-PILE'!$D$85/SUMSQ('TS-PILE'!$D$72:$D$91))),IF('TS-PILE'!$B$86="",-1E+99,'TO HOP NLAN'!D112/ncoc+IF(SUMSQ('TS-PILE'!$E$72:$E$91)=0,0,'TO HOP NLAN'!E112*'TS-PILE'!$E$86/SUMSQ('TS-PILE'!$E$72:$E$91))+IF(SUMSQ('TS-PILE'!$D$72:$D$91)=0,0,'TO HOP NLAN'!F112*'TS-PILE'!$D$86/SUMSQ('TS-PILE'!$D$72:$D$91))),IF('TS-PILE'!$B$87="",-1E+99,'TO HOP NLAN'!D112/ncoc+IF(SUMSQ('TS-PILE'!$E$72:$E$91)=0,0,'TO HOP NLAN'!E112*'TS-PILE'!$E$87/SUMSQ('TS-PILE'!$E$72:$E$91))+IF(SUMSQ('TS-PILE'!$D$72:$D$91)=0,0,'TO HOP NLAN'!F112*'TS-PILE'!$D$87/SUMSQ('TS-PILE'!$D$72:$D$91))),IF('TS-PILE'!$B$88="",-1E+99,'TO HOP NLAN'!D112/ncoc+IF(SUMSQ('TS-PILE'!$E$72:$E$91)=0,0,'TO HOP NLAN'!E112*'TS-PILE'!$E$88/SUMSQ('TS-PILE'!$E$72:$E$91))+IF(SUMSQ('TS-PILE'!$D$72:$D$91)=0,0,'TO HOP NLAN'!F112*'TS-PILE'!$D$88/SUMSQ('TS-PILE'!$D$72:$D$91))),IF('TS-PILE'!$B$89="",-1E+99,'TO HOP NLAN'!D112/ncoc+IF(SUMSQ('TS-PILE'!$E$72:$E$91)=0,0,'TO HOP NLAN'!E112*'TS-PILE'!$E$89/SUMSQ('TS-PILE'!$E$72:$E$91))+IF(SUMSQ('TS-PILE'!$D$72:$D$91)=0,0,'TO HOP NLAN'!F112*'TS-PILE'!$D$89/SUMSQ('TS-PILE'!$D$72:$D$91))),IF('TS-PILE'!$B$90="",-1E+99,'TO HOP NLAN'!D112/ncoc+IF(SUMSQ('TS-PILE'!$E$72:$E$91)=0,0,'TO HOP NLAN'!E112*'TS-PILE'!$E$90/SUMSQ('TS-PILE'!$E$72:$E$91))+IF(SUMSQ('TS-PILE'!$D$72:$D$91)=0,0,'TO HOP NLAN'!F112*'TS-PILE'!$D$90/SUMSQ('TS-PILE'!$D$72:$D$91))),IF('TS-PILE'!$B$91="",-1E+99,'TO HOP NLAN'!D112/ncoc+IF(SUMSQ('TS-PILE'!$E$72:$E$91)=0,0,'TO HOP NLAN'!E112*'TS-PILE'!$E$91/SUMSQ('TS-PILE'!$E$72:$E$91))+IF(SUMSQ('TS-PILE'!$D$72:$D$91)=0,0,'TO HOP NLAN'!F112*'TS-PILE'!$D$91/SUMSQ('TS-PILE'!$D$72:$D$91)))))</f>
        <v>0</v>
      </c>
      <c r="D112" s="58">
        <f>IF(A112="",0,MIN(IF('TS-PILE'!$B$72="",1E+99,'TO HOP NLAN'!D112/ncoc+IF(SUMSQ('TS-PILE'!$E$72:$E$91)=0,0,'TO HOP NLAN'!E112*'TS-PILE'!$E$72/SUMSQ('TS-PILE'!$E$72:$E$91))+IF(SUMSQ('TS-PILE'!$D$72:$D$91)=0,0,'TO HOP NLAN'!F112*'TS-PILE'!$D$72/SUMSQ('TS-PILE'!$D$72:$D$91))),IF('TS-PILE'!$B$73="",1E+99,'TO HOP NLAN'!D112/ncoc+IF(SUMSQ('TS-PILE'!$E$72:$E$91)=0,0,'TO HOP NLAN'!E112*'TS-PILE'!$E$73/SUMSQ('TS-PILE'!$E$72:$E$91))+IF(SUMSQ('TS-PILE'!$D$72:$D$91)=0,0,'TO HOP NLAN'!F112*'TS-PILE'!$D$73/SUMSQ('TS-PILE'!$D$72:$D$91))),IF('TS-PILE'!$B$74="",1E+99,'TO HOP NLAN'!D112/ncoc+IF(SUMSQ('TS-PILE'!$E$72:$E$91)=0,0,'TO HOP NLAN'!E112*'TS-PILE'!$E$74/SUMSQ('TS-PILE'!$E$72:$E$91))+IF(SUMSQ('TS-PILE'!$D$72:$D$91)=0,0,'TO HOP NLAN'!F112*'TS-PILE'!$D$74/SUMSQ('TS-PILE'!$D$72:$D$91))),IF('TS-PILE'!$B$75="",1E+99,'TO HOP NLAN'!D112/ncoc+IF(SUMSQ('TS-PILE'!$E$72:$E$91)=0,0,'TO HOP NLAN'!E112*'TS-PILE'!$E$75/SUMSQ('TS-PILE'!$E$72:$E$91))+IF(SUMSQ('TS-PILE'!$D$72:$D$91)=0,0,'TO HOP NLAN'!F112*'TS-PILE'!$D$75/SUMSQ('TS-PILE'!$D$72:$D$91))),IF('TS-PILE'!$B$76="",1E+99,'TO HOP NLAN'!D112/ncoc+IF(SUMSQ('TS-PILE'!$E$72:$E$91)=0,0,'TO HOP NLAN'!E112*'TS-PILE'!$E$76/SUMSQ('TS-PILE'!$E$72:$E$91))+IF(SUMSQ('TS-PILE'!$D$72:$D$91)=0,0,'TO HOP NLAN'!F112*'TS-PILE'!$D$76/SUMSQ('TS-PILE'!$D$72:$D$91))),IF('TS-PILE'!$B$77="",1E+99,'TO HOP NLAN'!D112/ncoc+IF(SUMSQ('TS-PILE'!$E$72:$E$91)=0,0,'TO HOP NLAN'!E112*'TS-PILE'!$E$77/SUMSQ('TS-PILE'!$E$72:$E$91))+IF(SUMSQ('TS-PILE'!$D$72:$D$91)=0,0,'TO HOP NLAN'!F112*'TS-PILE'!$D$77/SUMSQ('TS-PILE'!$D$72:$D$91))),IF('TS-PILE'!$B$78="",1E+99,'TO HOP NLAN'!D112/ncoc+IF(SUMSQ('TS-PILE'!$E$72:$E$91)=0,0,'TO HOP NLAN'!E112*'TS-PILE'!$E$78/SUMSQ('TS-PILE'!$E$72:$E$91))+IF(SUMSQ('TS-PILE'!$D$72:$D$91)=0,0,'TO HOP NLAN'!F112*'TS-PILE'!$D$78/SUMSQ('TS-PILE'!$D$72:$D$91))),IF('TS-PILE'!$B$79="",1E+99,'TO HOP NLAN'!D112/ncoc+IF(SUMSQ('TS-PILE'!$E$72:$E$91)=0,0,'TO HOP NLAN'!E112*'TS-PILE'!$E$79/SUMSQ('TS-PILE'!$E$72:$E$91))+IF(SUMSQ('TS-PILE'!$D$72:$D$91)=0,0,'TO HOP NLAN'!F112*'TS-PILE'!$D$79/SUMSQ('TS-PILE'!$D$72:$D$91))),IF('TS-PILE'!$B$80="",1E+99,'TO HOP NLAN'!D112/ncoc+IF(SUMSQ('TS-PILE'!$E$72:$E$91)=0,0,'TO HOP NLAN'!E112*'TS-PILE'!$E$80/SUMSQ('TS-PILE'!$E$72:$E$91))+IF(SUMSQ('TS-PILE'!$D$72:$D$91)=0,0,'TO HOP NLAN'!F112*'TS-PILE'!$D$80/SUMSQ('TS-PILE'!$D$72:$D$91))),IF('TS-PILE'!$B$81="",1E+99,'TO HOP NLAN'!D112/ncoc+IF(SUMSQ('TS-PILE'!$E$72:$E$91)=0,0,'TO HOP NLAN'!E112*'TS-PILE'!$E$81/SUMSQ('TS-PILE'!$E$72:$E$91))+IF(SUMSQ('TS-PILE'!$D$72:$D$91)=0,0,'TO HOP NLAN'!F112*'TS-PILE'!$D$81/SUMSQ('TS-PILE'!$D$72:$D$91))),IF('TS-PILE'!$B$82="",1E+99,'TO HOP NLAN'!D112/ncoc+IF(SUMSQ('TS-PILE'!$E$72:$E$91)=0,0,'TO HOP NLAN'!E112*'TS-PILE'!$E$82/SUMSQ('TS-PILE'!$E$72:$E$91))+IF(SUMSQ('TS-PILE'!$D$72:$D$91)=0,0,'TO HOP NLAN'!F112*'TS-PILE'!$D$82/SUMSQ('TS-PILE'!$D$72:$D$91))),IF('TS-PILE'!$B$83="",1E+99,'TO HOP NLAN'!D112/ncoc+IF(SUMSQ('TS-PILE'!$E$72:$E$91)=0,0,'TO HOP NLAN'!E112*'TS-PILE'!$E$83/SUMSQ('TS-PILE'!$E$72:$E$91))+IF(SUMSQ('TS-PILE'!$D$72:$D$91)=0,0,'TO HOP NLAN'!F112*'TS-PILE'!$D$83/SUMSQ('TS-PILE'!$D$72:$D$91))),IF('TS-PILE'!$B$84="",1E+99,'TO HOP NLAN'!D112/ncoc+IF(SUMSQ('TS-PILE'!$E$72:$E$91)=0,0,'TO HOP NLAN'!E112*'TS-PILE'!$E$84/SUMSQ('TS-PILE'!$E$72:$E$91))+IF(SUMSQ('TS-PILE'!$D$72:$D$91)=0,0,'TO HOP NLAN'!F112*'TS-PILE'!$D$84/SUMSQ('TS-PILE'!$D$72:$D$91))),IF('TS-PILE'!$B$85="",1E+99,'TO HOP NLAN'!D112/ncoc+IF(SUMSQ('TS-PILE'!$E$72:$E$91)=0,0,'TO HOP NLAN'!E112*'TS-PILE'!$E$85/SUMSQ('TS-PILE'!$E$72:$E$91))+IF(SUMSQ('TS-PILE'!$D$72:$D$91)=0,0,'TO HOP NLAN'!F112*'TS-PILE'!$D$85/SUMSQ('TS-PILE'!$D$72:$D$91))),IF('TS-PILE'!$B$86="",1E+99,'TO HOP NLAN'!D112/ncoc+IF(SUMSQ('TS-PILE'!$E$72:$E$91)=0,0,'TO HOP NLAN'!E112*'TS-PILE'!$E$86/SUMSQ('TS-PILE'!$E$72:$E$91))+IF(SUMSQ('TS-PILE'!$D$72:$D$91)=0,0,'TO HOP NLAN'!F112*'TS-PILE'!$D$86/SUMSQ('TS-PILE'!$D$72:$D$91))),IF('TS-PILE'!$B$87="",1E+99,'TO HOP NLAN'!D112/ncoc+IF(SUMSQ('TS-PILE'!$E$72:$E$91)=0,0,'TO HOP NLAN'!E112*'TS-PILE'!$E$87/SUMSQ('TS-PILE'!$E$72:$E$91))+IF(SUMSQ('TS-PILE'!$D$72:$D$91)=0,0,'TO HOP NLAN'!F112*'TS-PILE'!$D$87/SUMSQ('TS-PILE'!$D$72:$D$91))),IF('TS-PILE'!$B$88="",1E+99,'TO HOP NLAN'!D112/ncoc+IF(SUMSQ('TS-PILE'!$E$72:$E$91)=0,0,'TO HOP NLAN'!E112*'TS-PILE'!$E$88/SUMSQ('TS-PILE'!$E$72:$E$91))+IF(SUMSQ('TS-PILE'!$D$72:$D$91)=0,0,'TO HOP NLAN'!F112*'TS-PILE'!$D$88/SUMSQ('TS-PILE'!$D$72:$D$91))),IF('TS-PILE'!$B$89="",1E+99,'TO HOP NLAN'!D112/ncoc+IF(SUMSQ('TS-PILE'!$E$72:$E$91)=0,0,'TO HOP NLAN'!E112*'TS-PILE'!$E$89/SUMSQ('TS-PILE'!$E$72:$E$91))+IF(SUMSQ('TS-PILE'!$D$72:$D$91)=0,0,'TO HOP NLAN'!F112*'TS-PILE'!$D$89/SUMSQ('TS-PILE'!$D$72:$D$91))),IF('TS-PILE'!$B$90="",1E+99,'TO HOP NLAN'!D112/ncoc+IF(SUMSQ('TS-PILE'!$E$72:$E$91)=0,0,'TO HOP NLAN'!E112*'TS-PILE'!$E$90/SUMSQ('TS-PILE'!$E$72:$E$91))+IF(SUMSQ('TS-PILE'!$D$72:$D$91)=0,0,'TO HOP NLAN'!F112*'TS-PILE'!$D$90/SUMSQ('TS-PILE'!$D$72:$D$91))),IF('TS-PILE'!$B$91="",1E+99,'TO HOP NLAN'!D112/ncoc+IF(SUMSQ('TS-PILE'!$E$72:$E$91)=0,0,'TO HOP NLAN'!E112*'TS-PILE'!$E$91/SUMSQ('TS-PILE'!$E$72:$E$91))+IF(SUMSQ('TS-PILE'!$D$72:$D$91)=0,0,'TO HOP NLAN'!F112*'TS-PILE'!$D$91/SUMSQ('TS-PILE'!$D$72:$D$91)))))</f>
        <v>0</v>
      </c>
      <c r="E112" s="58">
        <f t="shared" si="4"/>
        <v>-9.9999999999999997E+98</v>
      </c>
      <c r="F112" s="58">
        <f t="shared" si="5"/>
        <v>9.9999999999999997E+98</v>
      </c>
      <c r="G112" s="58">
        <f t="shared" si="6"/>
        <v>-9.9999999999999997E+98</v>
      </c>
      <c r="H112" s="58">
        <f t="shared" si="7"/>
        <v>9.9999999999999997E+98</v>
      </c>
    </row>
    <row r="113" spans="1:8" x14ac:dyDescent="0.3">
      <c r="A113" s="42" t="str">
        <f>'TO HOP NLAN'!A113</f>
        <v/>
      </c>
      <c r="B113" s="42" t="str">
        <f>'TO HOP NLAN'!L113</f>
        <v>STRENGTH</v>
      </c>
      <c r="C113" s="58">
        <f>IF(A113="",0,MAX(IF('TS-PILE'!$B$72="",-1E+99,'TO HOP NLAN'!D113/ncoc+IF(SUMSQ('TS-PILE'!$E$72:$E$91)=0,0,'TO HOP NLAN'!E113*'TS-PILE'!$E$72/SUMSQ('TS-PILE'!$E$72:$E$91))+IF(SUMSQ('TS-PILE'!$D$72:$D$91)=0,0,'TO HOP NLAN'!F113*'TS-PILE'!$D$72/SUMSQ('TS-PILE'!$D$72:$D$91))),IF('TS-PILE'!$B$73="",-1E+99,'TO HOP NLAN'!D113/ncoc+IF(SUMSQ('TS-PILE'!$E$72:$E$91)=0,0,'TO HOP NLAN'!E113*'TS-PILE'!$E$73/SUMSQ('TS-PILE'!$E$72:$E$91))+IF(SUMSQ('TS-PILE'!$D$72:$D$91)=0,0,'TO HOP NLAN'!F113*'TS-PILE'!$D$73/SUMSQ('TS-PILE'!$D$72:$D$91))),IF('TS-PILE'!$B$74="",-1E+99,'TO HOP NLAN'!D113/ncoc+IF(SUMSQ('TS-PILE'!$E$72:$E$91)=0,0,'TO HOP NLAN'!E113*'TS-PILE'!$E$74/SUMSQ('TS-PILE'!$E$72:$E$91))+IF(SUMSQ('TS-PILE'!$D$72:$D$91)=0,0,'TO HOP NLAN'!F113*'TS-PILE'!$D$74/SUMSQ('TS-PILE'!$D$72:$D$91))),IF('TS-PILE'!$B$75="",-1E+99,'TO HOP NLAN'!D113/ncoc+IF(SUMSQ('TS-PILE'!$E$72:$E$91)=0,0,'TO HOP NLAN'!E113*'TS-PILE'!$E$75/SUMSQ('TS-PILE'!$E$72:$E$91))+IF(SUMSQ('TS-PILE'!$D$72:$D$91)=0,0,'TO HOP NLAN'!F113*'TS-PILE'!$D$75/SUMSQ('TS-PILE'!$D$72:$D$91))),IF('TS-PILE'!$B$76="",-1E+99,'TO HOP NLAN'!D113/ncoc+IF(SUMSQ('TS-PILE'!$E$72:$E$91)=0,0,'TO HOP NLAN'!E113*'TS-PILE'!$E$76/SUMSQ('TS-PILE'!$E$72:$E$91))+IF(SUMSQ('TS-PILE'!$D$72:$D$91)=0,0,'TO HOP NLAN'!F113*'TS-PILE'!$D$76/SUMSQ('TS-PILE'!$D$72:$D$91))),IF('TS-PILE'!$B$77="",-1E+99,'TO HOP NLAN'!D113/ncoc+IF(SUMSQ('TS-PILE'!$E$72:$E$91)=0,0,'TO HOP NLAN'!E113*'TS-PILE'!$E$77/SUMSQ('TS-PILE'!$E$72:$E$91))+IF(SUMSQ('TS-PILE'!$D$72:$D$91)=0,0,'TO HOP NLAN'!F113*'TS-PILE'!$D$77/SUMSQ('TS-PILE'!$D$72:$D$91))),IF('TS-PILE'!$B$78="",-1E+99,'TO HOP NLAN'!D113/ncoc+IF(SUMSQ('TS-PILE'!$E$72:$E$91)=0,0,'TO HOP NLAN'!E113*'TS-PILE'!$E$78/SUMSQ('TS-PILE'!$E$72:$E$91))+IF(SUMSQ('TS-PILE'!$D$72:$D$91)=0,0,'TO HOP NLAN'!F113*'TS-PILE'!$D$78/SUMSQ('TS-PILE'!$D$72:$D$91))),IF('TS-PILE'!$B$79="",-1E+99,'TO HOP NLAN'!D113/ncoc+IF(SUMSQ('TS-PILE'!$E$72:$E$91)=0,0,'TO HOP NLAN'!E113*'TS-PILE'!$E$79/SUMSQ('TS-PILE'!$E$72:$E$91))+IF(SUMSQ('TS-PILE'!$D$72:$D$91)=0,0,'TO HOP NLAN'!F113*'TS-PILE'!$D$79/SUMSQ('TS-PILE'!$D$72:$D$91))),IF('TS-PILE'!$B$80="",-1E+99,'TO HOP NLAN'!D113/ncoc+IF(SUMSQ('TS-PILE'!$E$72:$E$91)=0,0,'TO HOP NLAN'!E113*'TS-PILE'!$E$80/SUMSQ('TS-PILE'!$E$72:$E$91))+IF(SUMSQ('TS-PILE'!$D$72:$D$91)=0,0,'TO HOP NLAN'!F113*'TS-PILE'!$D$80/SUMSQ('TS-PILE'!$D$72:$D$91))),IF('TS-PILE'!$B$81="",-1E+99,'TO HOP NLAN'!D113/ncoc+IF(SUMSQ('TS-PILE'!$E$72:$E$91)=0,0,'TO HOP NLAN'!E113*'TS-PILE'!$E$81/SUMSQ('TS-PILE'!$E$72:$E$91))+IF(SUMSQ('TS-PILE'!$D$72:$D$91)=0,0,'TO HOP NLAN'!F113*'TS-PILE'!$D$81/SUMSQ('TS-PILE'!$D$72:$D$91))),IF('TS-PILE'!$B$82="",-1E+99,'TO HOP NLAN'!D113/ncoc+IF(SUMSQ('TS-PILE'!$E$72:$E$91)=0,0,'TO HOP NLAN'!E113*'TS-PILE'!$E$82/SUMSQ('TS-PILE'!$E$72:$E$91))+IF(SUMSQ('TS-PILE'!$D$72:$D$91)=0,0,'TO HOP NLAN'!F113*'TS-PILE'!$D$82/SUMSQ('TS-PILE'!$D$72:$D$91))),IF('TS-PILE'!$B$83="",-1E+99,'TO HOP NLAN'!D113/ncoc+IF(SUMSQ('TS-PILE'!$E$72:$E$91)=0,0,'TO HOP NLAN'!E113*'TS-PILE'!$E$83/SUMSQ('TS-PILE'!$E$72:$E$91))+IF(SUMSQ('TS-PILE'!$D$72:$D$91)=0,0,'TO HOP NLAN'!F113*'TS-PILE'!$D$83/SUMSQ('TS-PILE'!$D$72:$D$91))),IF('TS-PILE'!$B$84="",-1E+99,'TO HOP NLAN'!D113/ncoc+IF(SUMSQ('TS-PILE'!$E$72:$E$91)=0,0,'TO HOP NLAN'!E113*'TS-PILE'!$E$84/SUMSQ('TS-PILE'!$E$72:$E$91))+IF(SUMSQ('TS-PILE'!$D$72:$D$91)=0,0,'TO HOP NLAN'!F113*'TS-PILE'!$D$84/SUMSQ('TS-PILE'!$D$72:$D$91))),IF('TS-PILE'!$B$85="",-1E+99,'TO HOP NLAN'!D113/ncoc+IF(SUMSQ('TS-PILE'!$E$72:$E$91)=0,0,'TO HOP NLAN'!E113*'TS-PILE'!$E$85/SUMSQ('TS-PILE'!$E$72:$E$91))+IF(SUMSQ('TS-PILE'!$D$72:$D$91)=0,0,'TO HOP NLAN'!F113*'TS-PILE'!$D$85/SUMSQ('TS-PILE'!$D$72:$D$91))),IF('TS-PILE'!$B$86="",-1E+99,'TO HOP NLAN'!D113/ncoc+IF(SUMSQ('TS-PILE'!$E$72:$E$91)=0,0,'TO HOP NLAN'!E113*'TS-PILE'!$E$86/SUMSQ('TS-PILE'!$E$72:$E$91))+IF(SUMSQ('TS-PILE'!$D$72:$D$91)=0,0,'TO HOP NLAN'!F113*'TS-PILE'!$D$86/SUMSQ('TS-PILE'!$D$72:$D$91))),IF('TS-PILE'!$B$87="",-1E+99,'TO HOP NLAN'!D113/ncoc+IF(SUMSQ('TS-PILE'!$E$72:$E$91)=0,0,'TO HOP NLAN'!E113*'TS-PILE'!$E$87/SUMSQ('TS-PILE'!$E$72:$E$91))+IF(SUMSQ('TS-PILE'!$D$72:$D$91)=0,0,'TO HOP NLAN'!F113*'TS-PILE'!$D$87/SUMSQ('TS-PILE'!$D$72:$D$91))),IF('TS-PILE'!$B$88="",-1E+99,'TO HOP NLAN'!D113/ncoc+IF(SUMSQ('TS-PILE'!$E$72:$E$91)=0,0,'TO HOP NLAN'!E113*'TS-PILE'!$E$88/SUMSQ('TS-PILE'!$E$72:$E$91))+IF(SUMSQ('TS-PILE'!$D$72:$D$91)=0,0,'TO HOP NLAN'!F113*'TS-PILE'!$D$88/SUMSQ('TS-PILE'!$D$72:$D$91))),IF('TS-PILE'!$B$89="",-1E+99,'TO HOP NLAN'!D113/ncoc+IF(SUMSQ('TS-PILE'!$E$72:$E$91)=0,0,'TO HOP NLAN'!E113*'TS-PILE'!$E$89/SUMSQ('TS-PILE'!$E$72:$E$91))+IF(SUMSQ('TS-PILE'!$D$72:$D$91)=0,0,'TO HOP NLAN'!F113*'TS-PILE'!$D$89/SUMSQ('TS-PILE'!$D$72:$D$91))),IF('TS-PILE'!$B$90="",-1E+99,'TO HOP NLAN'!D113/ncoc+IF(SUMSQ('TS-PILE'!$E$72:$E$91)=0,0,'TO HOP NLAN'!E113*'TS-PILE'!$E$90/SUMSQ('TS-PILE'!$E$72:$E$91))+IF(SUMSQ('TS-PILE'!$D$72:$D$91)=0,0,'TO HOP NLAN'!F113*'TS-PILE'!$D$90/SUMSQ('TS-PILE'!$D$72:$D$91))),IF('TS-PILE'!$B$91="",-1E+99,'TO HOP NLAN'!D113/ncoc+IF(SUMSQ('TS-PILE'!$E$72:$E$91)=0,0,'TO HOP NLAN'!E113*'TS-PILE'!$E$91/SUMSQ('TS-PILE'!$E$72:$E$91))+IF(SUMSQ('TS-PILE'!$D$72:$D$91)=0,0,'TO HOP NLAN'!F113*'TS-PILE'!$D$91/SUMSQ('TS-PILE'!$D$72:$D$91)))))</f>
        <v>0</v>
      </c>
      <c r="D113" s="58">
        <f>IF(A113="",0,MIN(IF('TS-PILE'!$B$72="",1E+99,'TO HOP NLAN'!D113/ncoc+IF(SUMSQ('TS-PILE'!$E$72:$E$91)=0,0,'TO HOP NLAN'!E113*'TS-PILE'!$E$72/SUMSQ('TS-PILE'!$E$72:$E$91))+IF(SUMSQ('TS-PILE'!$D$72:$D$91)=0,0,'TO HOP NLAN'!F113*'TS-PILE'!$D$72/SUMSQ('TS-PILE'!$D$72:$D$91))),IF('TS-PILE'!$B$73="",1E+99,'TO HOP NLAN'!D113/ncoc+IF(SUMSQ('TS-PILE'!$E$72:$E$91)=0,0,'TO HOP NLAN'!E113*'TS-PILE'!$E$73/SUMSQ('TS-PILE'!$E$72:$E$91))+IF(SUMSQ('TS-PILE'!$D$72:$D$91)=0,0,'TO HOP NLAN'!F113*'TS-PILE'!$D$73/SUMSQ('TS-PILE'!$D$72:$D$91))),IF('TS-PILE'!$B$74="",1E+99,'TO HOP NLAN'!D113/ncoc+IF(SUMSQ('TS-PILE'!$E$72:$E$91)=0,0,'TO HOP NLAN'!E113*'TS-PILE'!$E$74/SUMSQ('TS-PILE'!$E$72:$E$91))+IF(SUMSQ('TS-PILE'!$D$72:$D$91)=0,0,'TO HOP NLAN'!F113*'TS-PILE'!$D$74/SUMSQ('TS-PILE'!$D$72:$D$91))),IF('TS-PILE'!$B$75="",1E+99,'TO HOP NLAN'!D113/ncoc+IF(SUMSQ('TS-PILE'!$E$72:$E$91)=0,0,'TO HOP NLAN'!E113*'TS-PILE'!$E$75/SUMSQ('TS-PILE'!$E$72:$E$91))+IF(SUMSQ('TS-PILE'!$D$72:$D$91)=0,0,'TO HOP NLAN'!F113*'TS-PILE'!$D$75/SUMSQ('TS-PILE'!$D$72:$D$91))),IF('TS-PILE'!$B$76="",1E+99,'TO HOP NLAN'!D113/ncoc+IF(SUMSQ('TS-PILE'!$E$72:$E$91)=0,0,'TO HOP NLAN'!E113*'TS-PILE'!$E$76/SUMSQ('TS-PILE'!$E$72:$E$91))+IF(SUMSQ('TS-PILE'!$D$72:$D$91)=0,0,'TO HOP NLAN'!F113*'TS-PILE'!$D$76/SUMSQ('TS-PILE'!$D$72:$D$91))),IF('TS-PILE'!$B$77="",1E+99,'TO HOP NLAN'!D113/ncoc+IF(SUMSQ('TS-PILE'!$E$72:$E$91)=0,0,'TO HOP NLAN'!E113*'TS-PILE'!$E$77/SUMSQ('TS-PILE'!$E$72:$E$91))+IF(SUMSQ('TS-PILE'!$D$72:$D$91)=0,0,'TO HOP NLAN'!F113*'TS-PILE'!$D$77/SUMSQ('TS-PILE'!$D$72:$D$91))),IF('TS-PILE'!$B$78="",1E+99,'TO HOP NLAN'!D113/ncoc+IF(SUMSQ('TS-PILE'!$E$72:$E$91)=0,0,'TO HOP NLAN'!E113*'TS-PILE'!$E$78/SUMSQ('TS-PILE'!$E$72:$E$91))+IF(SUMSQ('TS-PILE'!$D$72:$D$91)=0,0,'TO HOP NLAN'!F113*'TS-PILE'!$D$78/SUMSQ('TS-PILE'!$D$72:$D$91))),IF('TS-PILE'!$B$79="",1E+99,'TO HOP NLAN'!D113/ncoc+IF(SUMSQ('TS-PILE'!$E$72:$E$91)=0,0,'TO HOP NLAN'!E113*'TS-PILE'!$E$79/SUMSQ('TS-PILE'!$E$72:$E$91))+IF(SUMSQ('TS-PILE'!$D$72:$D$91)=0,0,'TO HOP NLAN'!F113*'TS-PILE'!$D$79/SUMSQ('TS-PILE'!$D$72:$D$91))),IF('TS-PILE'!$B$80="",1E+99,'TO HOP NLAN'!D113/ncoc+IF(SUMSQ('TS-PILE'!$E$72:$E$91)=0,0,'TO HOP NLAN'!E113*'TS-PILE'!$E$80/SUMSQ('TS-PILE'!$E$72:$E$91))+IF(SUMSQ('TS-PILE'!$D$72:$D$91)=0,0,'TO HOP NLAN'!F113*'TS-PILE'!$D$80/SUMSQ('TS-PILE'!$D$72:$D$91))),IF('TS-PILE'!$B$81="",1E+99,'TO HOP NLAN'!D113/ncoc+IF(SUMSQ('TS-PILE'!$E$72:$E$91)=0,0,'TO HOP NLAN'!E113*'TS-PILE'!$E$81/SUMSQ('TS-PILE'!$E$72:$E$91))+IF(SUMSQ('TS-PILE'!$D$72:$D$91)=0,0,'TO HOP NLAN'!F113*'TS-PILE'!$D$81/SUMSQ('TS-PILE'!$D$72:$D$91))),IF('TS-PILE'!$B$82="",1E+99,'TO HOP NLAN'!D113/ncoc+IF(SUMSQ('TS-PILE'!$E$72:$E$91)=0,0,'TO HOP NLAN'!E113*'TS-PILE'!$E$82/SUMSQ('TS-PILE'!$E$72:$E$91))+IF(SUMSQ('TS-PILE'!$D$72:$D$91)=0,0,'TO HOP NLAN'!F113*'TS-PILE'!$D$82/SUMSQ('TS-PILE'!$D$72:$D$91))),IF('TS-PILE'!$B$83="",1E+99,'TO HOP NLAN'!D113/ncoc+IF(SUMSQ('TS-PILE'!$E$72:$E$91)=0,0,'TO HOP NLAN'!E113*'TS-PILE'!$E$83/SUMSQ('TS-PILE'!$E$72:$E$91))+IF(SUMSQ('TS-PILE'!$D$72:$D$91)=0,0,'TO HOP NLAN'!F113*'TS-PILE'!$D$83/SUMSQ('TS-PILE'!$D$72:$D$91))),IF('TS-PILE'!$B$84="",1E+99,'TO HOP NLAN'!D113/ncoc+IF(SUMSQ('TS-PILE'!$E$72:$E$91)=0,0,'TO HOP NLAN'!E113*'TS-PILE'!$E$84/SUMSQ('TS-PILE'!$E$72:$E$91))+IF(SUMSQ('TS-PILE'!$D$72:$D$91)=0,0,'TO HOP NLAN'!F113*'TS-PILE'!$D$84/SUMSQ('TS-PILE'!$D$72:$D$91))),IF('TS-PILE'!$B$85="",1E+99,'TO HOP NLAN'!D113/ncoc+IF(SUMSQ('TS-PILE'!$E$72:$E$91)=0,0,'TO HOP NLAN'!E113*'TS-PILE'!$E$85/SUMSQ('TS-PILE'!$E$72:$E$91))+IF(SUMSQ('TS-PILE'!$D$72:$D$91)=0,0,'TO HOP NLAN'!F113*'TS-PILE'!$D$85/SUMSQ('TS-PILE'!$D$72:$D$91))),IF('TS-PILE'!$B$86="",1E+99,'TO HOP NLAN'!D113/ncoc+IF(SUMSQ('TS-PILE'!$E$72:$E$91)=0,0,'TO HOP NLAN'!E113*'TS-PILE'!$E$86/SUMSQ('TS-PILE'!$E$72:$E$91))+IF(SUMSQ('TS-PILE'!$D$72:$D$91)=0,0,'TO HOP NLAN'!F113*'TS-PILE'!$D$86/SUMSQ('TS-PILE'!$D$72:$D$91))),IF('TS-PILE'!$B$87="",1E+99,'TO HOP NLAN'!D113/ncoc+IF(SUMSQ('TS-PILE'!$E$72:$E$91)=0,0,'TO HOP NLAN'!E113*'TS-PILE'!$E$87/SUMSQ('TS-PILE'!$E$72:$E$91))+IF(SUMSQ('TS-PILE'!$D$72:$D$91)=0,0,'TO HOP NLAN'!F113*'TS-PILE'!$D$87/SUMSQ('TS-PILE'!$D$72:$D$91))),IF('TS-PILE'!$B$88="",1E+99,'TO HOP NLAN'!D113/ncoc+IF(SUMSQ('TS-PILE'!$E$72:$E$91)=0,0,'TO HOP NLAN'!E113*'TS-PILE'!$E$88/SUMSQ('TS-PILE'!$E$72:$E$91))+IF(SUMSQ('TS-PILE'!$D$72:$D$91)=0,0,'TO HOP NLAN'!F113*'TS-PILE'!$D$88/SUMSQ('TS-PILE'!$D$72:$D$91))),IF('TS-PILE'!$B$89="",1E+99,'TO HOP NLAN'!D113/ncoc+IF(SUMSQ('TS-PILE'!$E$72:$E$91)=0,0,'TO HOP NLAN'!E113*'TS-PILE'!$E$89/SUMSQ('TS-PILE'!$E$72:$E$91))+IF(SUMSQ('TS-PILE'!$D$72:$D$91)=0,0,'TO HOP NLAN'!F113*'TS-PILE'!$D$89/SUMSQ('TS-PILE'!$D$72:$D$91))),IF('TS-PILE'!$B$90="",1E+99,'TO HOP NLAN'!D113/ncoc+IF(SUMSQ('TS-PILE'!$E$72:$E$91)=0,0,'TO HOP NLAN'!E113*'TS-PILE'!$E$90/SUMSQ('TS-PILE'!$E$72:$E$91))+IF(SUMSQ('TS-PILE'!$D$72:$D$91)=0,0,'TO HOP NLAN'!F113*'TS-PILE'!$D$90/SUMSQ('TS-PILE'!$D$72:$D$91))),IF('TS-PILE'!$B$91="",1E+99,'TO HOP NLAN'!D113/ncoc+IF(SUMSQ('TS-PILE'!$E$72:$E$91)=0,0,'TO HOP NLAN'!E113*'TS-PILE'!$E$91/SUMSQ('TS-PILE'!$E$72:$E$91))+IF(SUMSQ('TS-PILE'!$D$72:$D$91)=0,0,'TO HOP NLAN'!F113*'TS-PILE'!$D$91/SUMSQ('TS-PILE'!$D$72:$D$91)))))</f>
        <v>0</v>
      </c>
      <c r="E113" s="58">
        <f t="shared" si="4"/>
        <v>-9.9999999999999997E+98</v>
      </c>
      <c r="F113" s="58">
        <f t="shared" si="5"/>
        <v>9.9999999999999997E+98</v>
      </c>
      <c r="G113" s="58">
        <f t="shared" si="6"/>
        <v>-9.9999999999999997E+98</v>
      </c>
      <c r="H113" s="58">
        <f t="shared" si="7"/>
        <v>9.9999999999999997E+98</v>
      </c>
    </row>
    <row r="114" spans="1:8" x14ac:dyDescent="0.3">
      <c r="A114" s="42" t="str">
        <f>'TO HOP NLAN'!A114</f>
        <v/>
      </c>
      <c r="B114" s="42" t="str">
        <f>'TO HOP NLAN'!L114</f>
        <v>STRENGTH</v>
      </c>
      <c r="C114" s="58">
        <f>IF(A114="",0,MAX(IF('TS-PILE'!$B$72="",-1E+99,'TO HOP NLAN'!D114/ncoc+IF(SUMSQ('TS-PILE'!$E$72:$E$91)=0,0,'TO HOP NLAN'!E114*'TS-PILE'!$E$72/SUMSQ('TS-PILE'!$E$72:$E$91))+IF(SUMSQ('TS-PILE'!$D$72:$D$91)=0,0,'TO HOP NLAN'!F114*'TS-PILE'!$D$72/SUMSQ('TS-PILE'!$D$72:$D$91))),IF('TS-PILE'!$B$73="",-1E+99,'TO HOP NLAN'!D114/ncoc+IF(SUMSQ('TS-PILE'!$E$72:$E$91)=0,0,'TO HOP NLAN'!E114*'TS-PILE'!$E$73/SUMSQ('TS-PILE'!$E$72:$E$91))+IF(SUMSQ('TS-PILE'!$D$72:$D$91)=0,0,'TO HOP NLAN'!F114*'TS-PILE'!$D$73/SUMSQ('TS-PILE'!$D$72:$D$91))),IF('TS-PILE'!$B$74="",-1E+99,'TO HOP NLAN'!D114/ncoc+IF(SUMSQ('TS-PILE'!$E$72:$E$91)=0,0,'TO HOP NLAN'!E114*'TS-PILE'!$E$74/SUMSQ('TS-PILE'!$E$72:$E$91))+IF(SUMSQ('TS-PILE'!$D$72:$D$91)=0,0,'TO HOP NLAN'!F114*'TS-PILE'!$D$74/SUMSQ('TS-PILE'!$D$72:$D$91))),IF('TS-PILE'!$B$75="",-1E+99,'TO HOP NLAN'!D114/ncoc+IF(SUMSQ('TS-PILE'!$E$72:$E$91)=0,0,'TO HOP NLAN'!E114*'TS-PILE'!$E$75/SUMSQ('TS-PILE'!$E$72:$E$91))+IF(SUMSQ('TS-PILE'!$D$72:$D$91)=0,0,'TO HOP NLAN'!F114*'TS-PILE'!$D$75/SUMSQ('TS-PILE'!$D$72:$D$91))),IF('TS-PILE'!$B$76="",-1E+99,'TO HOP NLAN'!D114/ncoc+IF(SUMSQ('TS-PILE'!$E$72:$E$91)=0,0,'TO HOP NLAN'!E114*'TS-PILE'!$E$76/SUMSQ('TS-PILE'!$E$72:$E$91))+IF(SUMSQ('TS-PILE'!$D$72:$D$91)=0,0,'TO HOP NLAN'!F114*'TS-PILE'!$D$76/SUMSQ('TS-PILE'!$D$72:$D$91))),IF('TS-PILE'!$B$77="",-1E+99,'TO HOP NLAN'!D114/ncoc+IF(SUMSQ('TS-PILE'!$E$72:$E$91)=0,0,'TO HOP NLAN'!E114*'TS-PILE'!$E$77/SUMSQ('TS-PILE'!$E$72:$E$91))+IF(SUMSQ('TS-PILE'!$D$72:$D$91)=0,0,'TO HOP NLAN'!F114*'TS-PILE'!$D$77/SUMSQ('TS-PILE'!$D$72:$D$91))),IF('TS-PILE'!$B$78="",-1E+99,'TO HOP NLAN'!D114/ncoc+IF(SUMSQ('TS-PILE'!$E$72:$E$91)=0,0,'TO HOP NLAN'!E114*'TS-PILE'!$E$78/SUMSQ('TS-PILE'!$E$72:$E$91))+IF(SUMSQ('TS-PILE'!$D$72:$D$91)=0,0,'TO HOP NLAN'!F114*'TS-PILE'!$D$78/SUMSQ('TS-PILE'!$D$72:$D$91))),IF('TS-PILE'!$B$79="",-1E+99,'TO HOP NLAN'!D114/ncoc+IF(SUMSQ('TS-PILE'!$E$72:$E$91)=0,0,'TO HOP NLAN'!E114*'TS-PILE'!$E$79/SUMSQ('TS-PILE'!$E$72:$E$91))+IF(SUMSQ('TS-PILE'!$D$72:$D$91)=0,0,'TO HOP NLAN'!F114*'TS-PILE'!$D$79/SUMSQ('TS-PILE'!$D$72:$D$91))),IF('TS-PILE'!$B$80="",-1E+99,'TO HOP NLAN'!D114/ncoc+IF(SUMSQ('TS-PILE'!$E$72:$E$91)=0,0,'TO HOP NLAN'!E114*'TS-PILE'!$E$80/SUMSQ('TS-PILE'!$E$72:$E$91))+IF(SUMSQ('TS-PILE'!$D$72:$D$91)=0,0,'TO HOP NLAN'!F114*'TS-PILE'!$D$80/SUMSQ('TS-PILE'!$D$72:$D$91))),IF('TS-PILE'!$B$81="",-1E+99,'TO HOP NLAN'!D114/ncoc+IF(SUMSQ('TS-PILE'!$E$72:$E$91)=0,0,'TO HOP NLAN'!E114*'TS-PILE'!$E$81/SUMSQ('TS-PILE'!$E$72:$E$91))+IF(SUMSQ('TS-PILE'!$D$72:$D$91)=0,0,'TO HOP NLAN'!F114*'TS-PILE'!$D$81/SUMSQ('TS-PILE'!$D$72:$D$91))),IF('TS-PILE'!$B$82="",-1E+99,'TO HOP NLAN'!D114/ncoc+IF(SUMSQ('TS-PILE'!$E$72:$E$91)=0,0,'TO HOP NLAN'!E114*'TS-PILE'!$E$82/SUMSQ('TS-PILE'!$E$72:$E$91))+IF(SUMSQ('TS-PILE'!$D$72:$D$91)=0,0,'TO HOP NLAN'!F114*'TS-PILE'!$D$82/SUMSQ('TS-PILE'!$D$72:$D$91))),IF('TS-PILE'!$B$83="",-1E+99,'TO HOP NLAN'!D114/ncoc+IF(SUMSQ('TS-PILE'!$E$72:$E$91)=0,0,'TO HOP NLAN'!E114*'TS-PILE'!$E$83/SUMSQ('TS-PILE'!$E$72:$E$91))+IF(SUMSQ('TS-PILE'!$D$72:$D$91)=0,0,'TO HOP NLAN'!F114*'TS-PILE'!$D$83/SUMSQ('TS-PILE'!$D$72:$D$91))),IF('TS-PILE'!$B$84="",-1E+99,'TO HOP NLAN'!D114/ncoc+IF(SUMSQ('TS-PILE'!$E$72:$E$91)=0,0,'TO HOP NLAN'!E114*'TS-PILE'!$E$84/SUMSQ('TS-PILE'!$E$72:$E$91))+IF(SUMSQ('TS-PILE'!$D$72:$D$91)=0,0,'TO HOP NLAN'!F114*'TS-PILE'!$D$84/SUMSQ('TS-PILE'!$D$72:$D$91))),IF('TS-PILE'!$B$85="",-1E+99,'TO HOP NLAN'!D114/ncoc+IF(SUMSQ('TS-PILE'!$E$72:$E$91)=0,0,'TO HOP NLAN'!E114*'TS-PILE'!$E$85/SUMSQ('TS-PILE'!$E$72:$E$91))+IF(SUMSQ('TS-PILE'!$D$72:$D$91)=0,0,'TO HOP NLAN'!F114*'TS-PILE'!$D$85/SUMSQ('TS-PILE'!$D$72:$D$91))),IF('TS-PILE'!$B$86="",-1E+99,'TO HOP NLAN'!D114/ncoc+IF(SUMSQ('TS-PILE'!$E$72:$E$91)=0,0,'TO HOP NLAN'!E114*'TS-PILE'!$E$86/SUMSQ('TS-PILE'!$E$72:$E$91))+IF(SUMSQ('TS-PILE'!$D$72:$D$91)=0,0,'TO HOP NLAN'!F114*'TS-PILE'!$D$86/SUMSQ('TS-PILE'!$D$72:$D$91))),IF('TS-PILE'!$B$87="",-1E+99,'TO HOP NLAN'!D114/ncoc+IF(SUMSQ('TS-PILE'!$E$72:$E$91)=0,0,'TO HOP NLAN'!E114*'TS-PILE'!$E$87/SUMSQ('TS-PILE'!$E$72:$E$91))+IF(SUMSQ('TS-PILE'!$D$72:$D$91)=0,0,'TO HOP NLAN'!F114*'TS-PILE'!$D$87/SUMSQ('TS-PILE'!$D$72:$D$91))),IF('TS-PILE'!$B$88="",-1E+99,'TO HOP NLAN'!D114/ncoc+IF(SUMSQ('TS-PILE'!$E$72:$E$91)=0,0,'TO HOP NLAN'!E114*'TS-PILE'!$E$88/SUMSQ('TS-PILE'!$E$72:$E$91))+IF(SUMSQ('TS-PILE'!$D$72:$D$91)=0,0,'TO HOP NLAN'!F114*'TS-PILE'!$D$88/SUMSQ('TS-PILE'!$D$72:$D$91))),IF('TS-PILE'!$B$89="",-1E+99,'TO HOP NLAN'!D114/ncoc+IF(SUMSQ('TS-PILE'!$E$72:$E$91)=0,0,'TO HOP NLAN'!E114*'TS-PILE'!$E$89/SUMSQ('TS-PILE'!$E$72:$E$91))+IF(SUMSQ('TS-PILE'!$D$72:$D$91)=0,0,'TO HOP NLAN'!F114*'TS-PILE'!$D$89/SUMSQ('TS-PILE'!$D$72:$D$91))),IF('TS-PILE'!$B$90="",-1E+99,'TO HOP NLAN'!D114/ncoc+IF(SUMSQ('TS-PILE'!$E$72:$E$91)=0,0,'TO HOP NLAN'!E114*'TS-PILE'!$E$90/SUMSQ('TS-PILE'!$E$72:$E$91))+IF(SUMSQ('TS-PILE'!$D$72:$D$91)=0,0,'TO HOP NLAN'!F114*'TS-PILE'!$D$90/SUMSQ('TS-PILE'!$D$72:$D$91))),IF('TS-PILE'!$B$91="",-1E+99,'TO HOP NLAN'!D114/ncoc+IF(SUMSQ('TS-PILE'!$E$72:$E$91)=0,0,'TO HOP NLAN'!E114*'TS-PILE'!$E$91/SUMSQ('TS-PILE'!$E$72:$E$91))+IF(SUMSQ('TS-PILE'!$D$72:$D$91)=0,0,'TO HOP NLAN'!F114*'TS-PILE'!$D$91/SUMSQ('TS-PILE'!$D$72:$D$91)))))</f>
        <v>0</v>
      </c>
      <c r="D114" s="58">
        <f>IF(A114="",0,MIN(IF('TS-PILE'!$B$72="",1E+99,'TO HOP NLAN'!D114/ncoc+IF(SUMSQ('TS-PILE'!$E$72:$E$91)=0,0,'TO HOP NLAN'!E114*'TS-PILE'!$E$72/SUMSQ('TS-PILE'!$E$72:$E$91))+IF(SUMSQ('TS-PILE'!$D$72:$D$91)=0,0,'TO HOP NLAN'!F114*'TS-PILE'!$D$72/SUMSQ('TS-PILE'!$D$72:$D$91))),IF('TS-PILE'!$B$73="",1E+99,'TO HOP NLAN'!D114/ncoc+IF(SUMSQ('TS-PILE'!$E$72:$E$91)=0,0,'TO HOP NLAN'!E114*'TS-PILE'!$E$73/SUMSQ('TS-PILE'!$E$72:$E$91))+IF(SUMSQ('TS-PILE'!$D$72:$D$91)=0,0,'TO HOP NLAN'!F114*'TS-PILE'!$D$73/SUMSQ('TS-PILE'!$D$72:$D$91))),IF('TS-PILE'!$B$74="",1E+99,'TO HOP NLAN'!D114/ncoc+IF(SUMSQ('TS-PILE'!$E$72:$E$91)=0,0,'TO HOP NLAN'!E114*'TS-PILE'!$E$74/SUMSQ('TS-PILE'!$E$72:$E$91))+IF(SUMSQ('TS-PILE'!$D$72:$D$91)=0,0,'TO HOP NLAN'!F114*'TS-PILE'!$D$74/SUMSQ('TS-PILE'!$D$72:$D$91))),IF('TS-PILE'!$B$75="",1E+99,'TO HOP NLAN'!D114/ncoc+IF(SUMSQ('TS-PILE'!$E$72:$E$91)=0,0,'TO HOP NLAN'!E114*'TS-PILE'!$E$75/SUMSQ('TS-PILE'!$E$72:$E$91))+IF(SUMSQ('TS-PILE'!$D$72:$D$91)=0,0,'TO HOP NLAN'!F114*'TS-PILE'!$D$75/SUMSQ('TS-PILE'!$D$72:$D$91))),IF('TS-PILE'!$B$76="",1E+99,'TO HOP NLAN'!D114/ncoc+IF(SUMSQ('TS-PILE'!$E$72:$E$91)=0,0,'TO HOP NLAN'!E114*'TS-PILE'!$E$76/SUMSQ('TS-PILE'!$E$72:$E$91))+IF(SUMSQ('TS-PILE'!$D$72:$D$91)=0,0,'TO HOP NLAN'!F114*'TS-PILE'!$D$76/SUMSQ('TS-PILE'!$D$72:$D$91))),IF('TS-PILE'!$B$77="",1E+99,'TO HOP NLAN'!D114/ncoc+IF(SUMSQ('TS-PILE'!$E$72:$E$91)=0,0,'TO HOP NLAN'!E114*'TS-PILE'!$E$77/SUMSQ('TS-PILE'!$E$72:$E$91))+IF(SUMSQ('TS-PILE'!$D$72:$D$91)=0,0,'TO HOP NLAN'!F114*'TS-PILE'!$D$77/SUMSQ('TS-PILE'!$D$72:$D$91))),IF('TS-PILE'!$B$78="",1E+99,'TO HOP NLAN'!D114/ncoc+IF(SUMSQ('TS-PILE'!$E$72:$E$91)=0,0,'TO HOP NLAN'!E114*'TS-PILE'!$E$78/SUMSQ('TS-PILE'!$E$72:$E$91))+IF(SUMSQ('TS-PILE'!$D$72:$D$91)=0,0,'TO HOP NLAN'!F114*'TS-PILE'!$D$78/SUMSQ('TS-PILE'!$D$72:$D$91))),IF('TS-PILE'!$B$79="",1E+99,'TO HOP NLAN'!D114/ncoc+IF(SUMSQ('TS-PILE'!$E$72:$E$91)=0,0,'TO HOP NLAN'!E114*'TS-PILE'!$E$79/SUMSQ('TS-PILE'!$E$72:$E$91))+IF(SUMSQ('TS-PILE'!$D$72:$D$91)=0,0,'TO HOP NLAN'!F114*'TS-PILE'!$D$79/SUMSQ('TS-PILE'!$D$72:$D$91))),IF('TS-PILE'!$B$80="",1E+99,'TO HOP NLAN'!D114/ncoc+IF(SUMSQ('TS-PILE'!$E$72:$E$91)=0,0,'TO HOP NLAN'!E114*'TS-PILE'!$E$80/SUMSQ('TS-PILE'!$E$72:$E$91))+IF(SUMSQ('TS-PILE'!$D$72:$D$91)=0,0,'TO HOP NLAN'!F114*'TS-PILE'!$D$80/SUMSQ('TS-PILE'!$D$72:$D$91))),IF('TS-PILE'!$B$81="",1E+99,'TO HOP NLAN'!D114/ncoc+IF(SUMSQ('TS-PILE'!$E$72:$E$91)=0,0,'TO HOP NLAN'!E114*'TS-PILE'!$E$81/SUMSQ('TS-PILE'!$E$72:$E$91))+IF(SUMSQ('TS-PILE'!$D$72:$D$91)=0,0,'TO HOP NLAN'!F114*'TS-PILE'!$D$81/SUMSQ('TS-PILE'!$D$72:$D$91))),IF('TS-PILE'!$B$82="",1E+99,'TO HOP NLAN'!D114/ncoc+IF(SUMSQ('TS-PILE'!$E$72:$E$91)=0,0,'TO HOP NLAN'!E114*'TS-PILE'!$E$82/SUMSQ('TS-PILE'!$E$72:$E$91))+IF(SUMSQ('TS-PILE'!$D$72:$D$91)=0,0,'TO HOP NLAN'!F114*'TS-PILE'!$D$82/SUMSQ('TS-PILE'!$D$72:$D$91))),IF('TS-PILE'!$B$83="",1E+99,'TO HOP NLAN'!D114/ncoc+IF(SUMSQ('TS-PILE'!$E$72:$E$91)=0,0,'TO HOP NLAN'!E114*'TS-PILE'!$E$83/SUMSQ('TS-PILE'!$E$72:$E$91))+IF(SUMSQ('TS-PILE'!$D$72:$D$91)=0,0,'TO HOP NLAN'!F114*'TS-PILE'!$D$83/SUMSQ('TS-PILE'!$D$72:$D$91))),IF('TS-PILE'!$B$84="",1E+99,'TO HOP NLAN'!D114/ncoc+IF(SUMSQ('TS-PILE'!$E$72:$E$91)=0,0,'TO HOP NLAN'!E114*'TS-PILE'!$E$84/SUMSQ('TS-PILE'!$E$72:$E$91))+IF(SUMSQ('TS-PILE'!$D$72:$D$91)=0,0,'TO HOP NLAN'!F114*'TS-PILE'!$D$84/SUMSQ('TS-PILE'!$D$72:$D$91))),IF('TS-PILE'!$B$85="",1E+99,'TO HOP NLAN'!D114/ncoc+IF(SUMSQ('TS-PILE'!$E$72:$E$91)=0,0,'TO HOP NLAN'!E114*'TS-PILE'!$E$85/SUMSQ('TS-PILE'!$E$72:$E$91))+IF(SUMSQ('TS-PILE'!$D$72:$D$91)=0,0,'TO HOP NLAN'!F114*'TS-PILE'!$D$85/SUMSQ('TS-PILE'!$D$72:$D$91))),IF('TS-PILE'!$B$86="",1E+99,'TO HOP NLAN'!D114/ncoc+IF(SUMSQ('TS-PILE'!$E$72:$E$91)=0,0,'TO HOP NLAN'!E114*'TS-PILE'!$E$86/SUMSQ('TS-PILE'!$E$72:$E$91))+IF(SUMSQ('TS-PILE'!$D$72:$D$91)=0,0,'TO HOP NLAN'!F114*'TS-PILE'!$D$86/SUMSQ('TS-PILE'!$D$72:$D$91))),IF('TS-PILE'!$B$87="",1E+99,'TO HOP NLAN'!D114/ncoc+IF(SUMSQ('TS-PILE'!$E$72:$E$91)=0,0,'TO HOP NLAN'!E114*'TS-PILE'!$E$87/SUMSQ('TS-PILE'!$E$72:$E$91))+IF(SUMSQ('TS-PILE'!$D$72:$D$91)=0,0,'TO HOP NLAN'!F114*'TS-PILE'!$D$87/SUMSQ('TS-PILE'!$D$72:$D$91))),IF('TS-PILE'!$B$88="",1E+99,'TO HOP NLAN'!D114/ncoc+IF(SUMSQ('TS-PILE'!$E$72:$E$91)=0,0,'TO HOP NLAN'!E114*'TS-PILE'!$E$88/SUMSQ('TS-PILE'!$E$72:$E$91))+IF(SUMSQ('TS-PILE'!$D$72:$D$91)=0,0,'TO HOP NLAN'!F114*'TS-PILE'!$D$88/SUMSQ('TS-PILE'!$D$72:$D$91))),IF('TS-PILE'!$B$89="",1E+99,'TO HOP NLAN'!D114/ncoc+IF(SUMSQ('TS-PILE'!$E$72:$E$91)=0,0,'TO HOP NLAN'!E114*'TS-PILE'!$E$89/SUMSQ('TS-PILE'!$E$72:$E$91))+IF(SUMSQ('TS-PILE'!$D$72:$D$91)=0,0,'TO HOP NLAN'!F114*'TS-PILE'!$D$89/SUMSQ('TS-PILE'!$D$72:$D$91))),IF('TS-PILE'!$B$90="",1E+99,'TO HOP NLAN'!D114/ncoc+IF(SUMSQ('TS-PILE'!$E$72:$E$91)=0,0,'TO HOP NLAN'!E114*'TS-PILE'!$E$90/SUMSQ('TS-PILE'!$E$72:$E$91))+IF(SUMSQ('TS-PILE'!$D$72:$D$91)=0,0,'TO HOP NLAN'!F114*'TS-PILE'!$D$90/SUMSQ('TS-PILE'!$D$72:$D$91))),IF('TS-PILE'!$B$91="",1E+99,'TO HOP NLAN'!D114/ncoc+IF(SUMSQ('TS-PILE'!$E$72:$E$91)=0,0,'TO HOP NLAN'!E114*'TS-PILE'!$E$91/SUMSQ('TS-PILE'!$E$72:$E$91))+IF(SUMSQ('TS-PILE'!$D$72:$D$91)=0,0,'TO HOP NLAN'!F114*'TS-PILE'!$D$91/SUMSQ('TS-PILE'!$D$72:$D$91)))))</f>
        <v>0</v>
      </c>
      <c r="E114" s="58">
        <f t="shared" si="4"/>
        <v>-9.9999999999999997E+98</v>
      </c>
      <c r="F114" s="58">
        <f t="shared" si="5"/>
        <v>9.9999999999999997E+98</v>
      </c>
      <c r="G114" s="58">
        <f t="shared" si="6"/>
        <v>-9.9999999999999997E+98</v>
      </c>
      <c r="H114" s="58">
        <f t="shared" si="7"/>
        <v>9.9999999999999997E+98</v>
      </c>
    </row>
    <row r="115" spans="1:8" x14ac:dyDescent="0.3">
      <c r="A115" s="42" t="str">
        <f>'TO HOP NLAN'!A115</f>
        <v/>
      </c>
      <c r="B115" s="42" t="str">
        <f>'TO HOP NLAN'!L115</f>
        <v>STRENGTH</v>
      </c>
      <c r="C115" s="58">
        <f>IF(A115="",0,MAX(IF('TS-PILE'!$B$72="",-1E+99,'TO HOP NLAN'!D115/ncoc+IF(SUMSQ('TS-PILE'!$E$72:$E$91)=0,0,'TO HOP NLAN'!E115*'TS-PILE'!$E$72/SUMSQ('TS-PILE'!$E$72:$E$91))+IF(SUMSQ('TS-PILE'!$D$72:$D$91)=0,0,'TO HOP NLAN'!F115*'TS-PILE'!$D$72/SUMSQ('TS-PILE'!$D$72:$D$91))),IF('TS-PILE'!$B$73="",-1E+99,'TO HOP NLAN'!D115/ncoc+IF(SUMSQ('TS-PILE'!$E$72:$E$91)=0,0,'TO HOP NLAN'!E115*'TS-PILE'!$E$73/SUMSQ('TS-PILE'!$E$72:$E$91))+IF(SUMSQ('TS-PILE'!$D$72:$D$91)=0,0,'TO HOP NLAN'!F115*'TS-PILE'!$D$73/SUMSQ('TS-PILE'!$D$72:$D$91))),IF('TS-PILE'!$B$74="",-1E+99,'TO HOP NLAN'!D115/ncoc+IF(SUMSQ('TS-PILE'!$E$72:$E$91)=0,0,'TO HOP NLAN'!E115*'TS-PILE'!$E$74/SUMSQ('TS-PILE'!$E$72:$E$91))+IF(SUMSQ('TS-PILE'!$D$72:$D$91)=0,0,'TO HOP NLAN'!F115*'TS-PILE'!$D$74/SUMSQ('TS-PILE'!$D$72:$D$91))),IF('TS-PILE'!$B$75="",-1E+99,'TO HOP NLAN'!D115/ncoc+IF(SUMSQ('TS-PILE'!$E$72:$E$91)=0,0,'TO HOP NLAN'!E115*'TS-PILE'!$E$75/SUMSQ('TS-PILE'!$E$72:$E$91))+IF(SUMSQ('TS-PILE'!$D$72:$D$91)=0,0,'TO HOP NLAN'!F115*'TS-PILE'!$D$75/SUMSQ('TS-PILE'!$D$72:$D$91))),IF('TS-PILE'!$B$76="",-1E+99,'TO HOP NLAN'!D115/ncoc+IF(SUMSQ('TS-PILE'!$E$72:$E$91)=0,0,'TO HOP NLAN'!E115*'TS-PILE'!$E$76/SUMSQ('TS-PILE'!$E$72:$E$91))+IF(SUMSQ('TS-PILE'!$D$72:$D$91)=0,0,'TO HOP NLAN'!F115*'TS-PILE'!$D$76/SUMSQ('TS-PILE'!$D$72:$D$91))),IF('TS-PILE'!$B$77="",-1E+99,'TO HOP NLAN'!D115/ncoc+IF(SUMSQ('TS-PILE'!$E$72:$E$91)=0,0,'TO HOP NLAN'!E115*'TS-PILE'!$E$77/SUMSQ('TS-PILE'!$E$72:$E$91))+IF(SUMSQ('TS-PILE'!$D$72:$D$91)=0,0,'TO HOP NLAN'!F115*'TS-PILE'!$D$77/SUMSQ('TS-PILE'!$D$72:$D$91))),IF('TS-PILE'!$B$78="",-1E+99,'TO HOP NLAN'!D115/ncoc+IF(SUMSQ('TS-PILE'!$E$72:$E$91)=0,0,'TO HOP NLAN'!E115*'TS-PILE'!$E$78/SUMSQ('TS-PILE'!$E$72:$E$91))+IF(SUMSQ('TS-PILE'!$D$72:$D$91)=0,0,'TO HOP NLAN'!F115*'TS-PILE'!$D$78/SUMSQ('TS-PILE'!$D$72:$D$91))),IF('TS-PILE'!$B$79="",-1E+99,'TO HOP NLAN'!D115/ncoc+IF(SUMSQ('TS-PILE'!$E$72:$E$91)=0,0,'TO HOP NLAN'!E115*'TS-PILE'!$E$79/SUMSQ('TS-PILE'!$E$72:$E$91))+IF(SUMSQ('TS-PILE'!$D$72:$D$91)=0,0,'TO HOP NLAN'!F115*'TS-PILE'!$D$79/SUMSQ('TS-PILE'!$D$72:$D$91))),IF('TS-PILE'!$B$80="",-1E+99,'TO HOP NLAN'!D115/ncoc+IF(SUMSQ('TS-PILE'!$E$72:$E$91)=0,0,'TO HOP NLAN'!E115*'TS-PILE'!$E$80/SUMSQ('TS-PILE'!$E$72:$E$91))+IF(SUMSQ('TS-PILE'!$D$72:$D$91)=0,0,'TO HOP NLAN'!F115*'TS-PILE'!$D$80/SUMSQ('TS-PILE'!$D$72:$D$91))),IF('TS-PILE'!$B$81="",-1E+99,'TO HOP NLAN'!D115/ncoc+IF(SUMSQ('TS-PILE'!$E$72:$E$91)=0,0,'TO HOP NLAN'!E115*'TS-PILE'!$E$81/SUMSQ('TS-PILE'!$E$72:$E$91))+IF(SUMSQ('TS-PILE'!$D$72:$D$91)=0,0,'TO HOP NLAN'!F115*'TS-PILE'!$D$81/SUMSQ('TS-PILE'!$D$72:$D$91))),IF('TS-PILE'!$B$82="",-1E+99,'TO HOP NLAN'!D115/ncoc+IF(SUMSQ('TS-PILE'!$E$72:$E$91)=0,0,'TO HOP NLAN'!E115*'TS-PILE'!$E$82/SUMSQ('TS-PILE'!$E$72:$E$91))+IF(SUMSQ('TS-PILE'!$D$72:$D$91)=0,0,'TO HOP NLAN'!F115*'TS-PILE'!$D$82/SUMSQ('TS-PILE'!$D$72:$D$91))),IF('TS-PILE'!$B$83="",-1E+99,'TO HOP NLAN'!D115/ncoc+IF(SUMSQ('TS-PILE'!$E$72:$E$91)=0,0,'TO HOP NLAN'!E115*'TS-PILE'!$E$83/SUMSQ('TS-PILE'!$E$72:$E$91))+IF(SUMSQ('TS-PILE'!$D$72:$D$91)=0,0,'TO HOP NLAN'!F115*'TS-PILE'!$D$83/SUMSQ('TS-PILE'!$D$72:$D$91))),IF('TS-PILE'!$B$84="",-1E+99,'TO HOP NLAN'!D115/ncoc+IF(SUMSQ('TS-PILE'!$E$72:$E$91)=0,0,'TO HOP NLAN'!E115*'TS-PILE'!$E$84/SUMSQ('TS-PILE'!$E$72:$E$91))+IF(SUMSQ('TS-PILE'!$D$72:$D$91)=0,0,'TO HOP NLAN'!F115*'TS-PILE'!$D$84/SUMSQ('TS-PILE'!$D$72:$D$91))),IF('TS-PILE'!$B$85="",-1E+99,'TO HOP NLAN'!D115/ncoc+IF(SUMSQ('TS-PILE'!$E$72:$E$91)=0,0,'TO HOP NLAN'!E115*'TS-PILE'!$E$85/SUMSQ('TS-PILE'!$E$72:$E$91))+IF(SUMSQ('TS-PILE'!$D$72:$D$91)=0,0,'TO HOP NLAN'!F115*'TS-PILE'!$D$85/SUMSQ('TS-PILE'!$D$72:$D$91))),IF('TS-PILE'!$B$86="",-1E+99,'TO HOP NLAN'!D115/ncoc+IF(SUMSQ('TS-PILE'!$E$72:$E$91)=0,0,'TO HOP NLAN'!E115*'TS-PILE'!$E$86/SUMSQ('TS-PILE'!$E$72:$E$91))+IF(SUMSQ('TS-PILE'!$D$72:$D$91)=0,0,'TO HOP NLAN'!F115*'TS-PILE'!$D$86/SUMSQ('TS-PILE'!$D$72:$D$91))),IF('TS-PILE'!$B$87="",-1E+99,'TO HOP NLAN'!D115/ncoc+IF(SUMSQ('TS-PILE'!$E$72:$E$91)=0,0,'TO HOP NLAN'!E115*'TS-PILE'!$E$87/SUMSQ('TS-PILE'!$E$72:$E$91))+IF(SUMSQ('TS-PILE'!$D$72:$D$91)=0,0,'TO HOP NLAN'!F115*'TS-PILE'!$D$87/SUMSQ('TS-PILE'!$D$72:$D$91))),IF('TS-PILE'!$B$88="",-1E+99,'TO HOP NLAN'!D115/ncoc+IF(SUMSQ('TS-PILE'!$E$72:$E$91)=0,0,'TO HOP NLAN'!E115*'TS-PILE'!$E$88/SUMSQ('TS-PILE'!$E$72:$E$91))+IF(SUMSQ('TS-PILE'!$D$72:$D$91)=0,0,'TO HOP NLAN'!F115*'TS-PILE'!$D$88/SUMSQ('TS-PILE'!$D$72:$D$91))),IF('TS-PILE'!$B$89="",-1E+99,'TO HOP NLAN'!D115/ncoc+IF(SUMSQ('TS-PILE'!$E$72:$E$91)=0,0,'TO HOP NLAN'!E115*'TS-PILE'!$E$89/SUMSQ('TS-PILE'!$E$72:$E$91))+IF(SUMSQ('TS-PILE'!$D$72:$D$91)=0,0,'TO HOP NLAN'!F115*'TS-PILE'!$D$89/SUMSQ('TS-PILE'!$D$72:$D$91))),IF('TS-PILE'!$B$90="",-1E+99,'TO HOP NLAN'!D115/ncoc+IF(SUMSQ('TS-PILE'!$E$72:$E$91)=0,0,'TO HOP NLAN'!E115*'TS-PILE'!$E$90/SUMSQ('TS-PILE'!$E$72:$E$91))+IF(SUMSQ('TS-PILE'!$D$72:$D$91)=0,0,'TO HOP NLAN'!F115*'TS-PILE'!$D$90/SUMSQ('TS-PILE'!$D$72:$D$91))),IF('TS-PILE'!$B$91="",-1E+99,'TO HOP NLAN'!D115/ncoc+IF(SUMSQ('TS-PILE'!$E$72:$E$91)=0,0,'TO HOP NLAN'!E115*'TS-PILE'!$E$91/SUMSQ('TS-PILE'!$E$72:$E$91))+IF(SUMSQ('TS-PILE'!$D$72:$D$91)=0,0,'TO HOP NLAN'!F115*'TS-PILE'!$D$91/SUMSQ('TS-PILE'!$D$72:$D$91)))))</f>
        <v>0</v>
      </c>
      <c r="D115" s="58">
        <f>IF(A115="",0,MIN(IF('TS-PILE'!$B$72="",1E+99,'TO HOP NLAN'!D115/ncoc+IF(SUMSQ('TS-PILE'!$E$72:$E$91)=0,0,'TO HOP NLAN'!E115*'TS-PILE'!$E$72/SUMSQ('TS-PILE'!$E$72:$E$91))+IF(SUMSQ('TS-PILE'!$D$72:$D$91)=0,0,'TO HOP NLAN'!F115*'TS-PILE'!$D$72/SUMSQ('TS-PILE'!$D$72:$D$91))),IF('TS-PILE'!$B$73="",1E+99,'TO HOP NLAN'!D115/ncoc+IF(SUMSQ('TS-PILE'!$E$72:$E$91)=0,0,'TO HOP NLAN'!E115*'TS-PILE'!$E$73/SUMSQ('TS-PILE'!$E$72:$E$91))+IF(SUMSQ('TS-PILE'!$D$72:$D$91)=0,0,'TO HOP NLAN'!F115*'TS-PILE'!$D$73/SUMSQ('TS-PILE'!$D$72:$D$91))),IF('TS-PILE'!$B$74="",1E+99,'TO HOP NLAN'!D115/ncoc+IF(SUMSQ('TS-PILE'!$E$72:$E$91)=0,0,'TO HOP NLAN'!E115*'TS-PILE'!$E$74/SUMSQ('TS-PILE'!$E$72:$E$91))+IF(SUMSQ('TS-PILE'!$D$72:$D$91)=0,0,'TO HOP NLAN'!F115*'TS-PILE'!$D$74/SUMSQ('TS-PILE'!$D$72:$D$91))),IF('TS-PILE'!$B$75="",1E+99,'TO HOP NLAN'!D115/ncoc+IF(SUMSQ('TS-PILE'!$E$72:$E$91)=0,0,'TO HOP NLAN'!E115*'TS-PILE'!$E$75/SUMSQ('TS-PILE'!$E$72:$E$91))+IF(SUMSQ('TS-PILE'!$D$72:$D$91)=0,0,'TO HOP NLAN'!F115*'TS-PILE'!$D$75/SUMSQ('TS-PILE'!$D$72:$D$91))),IF('TS-PILE'!$B$76="",1E+99,'TO HOP NLAN'!D115/ncoc+IF(SUMSQ('TS-PILE'!$E$72:$E$91)=0,0,'TO HOP NLAN'!E115*'TS-PILE'!$E$76/SUMSQ('TS-PILE'!$E$72:$E$91))+IF(SUMSQ('TS-PILE'!$D$72:$D$91)=0,0,'TO HOP NLAN'!F115*'TS-PILE'!$D$76/SUMSQ('TS-PILE'!$D$72:$D$91))),IF('TS-PILE'!$B$77="",1E+99,'TO HOP NLAN'!D115/ncoc+IF(SUMSQ('TS-PILE'!$E$72:$E$91)=0,0,'TO HOP NLAN'!E115*'TS-PILE'!$E$77/SUMSQ('TS-PILE'!$E$72:$E$91))+IF(SUMSQ('TS-PILE'!$D$72:$D$91)=0,0,'TO HOP NLAN'!F115*'TS-PILE'!$D$77/SUMSQ('TS-PILE'!$D$72:$D$91))),IF('TS-PILE'!$B$78="",1E+99,'TO HOP NLAN'!D115/ncoc+IF(SUMSQ('TS-PILE'!$E$72:$E$91)=0,0,'TO HOP NLAN'!E115*'TS-PILE'!$E$78/SUMSQ('TS-PILE'!$E$72:$E$91))+IF(SUMSQ('TS-PILE'!$D$72:$D$91)=0,0,'TO HOP NLAN'!F115*'TS-PILE'!$D$78/SUMSQ('TS-PILE'!$D$72:$D$91))),IF('TS-PILE'!$B$79="",1E+99,'TO HOP NLAN'!D115/ncoc+IF(SUMSQ('TS-PILE'!$E$72:$E$91)=0,0,'TO HOP NLAN'!E115*'TS-PILE'!$E$79/SUMSQ('TS-PILE'!$E$72:$E$91))+IF(SUMSQ('TS-PILE'!$D$72:$D$91)=0,0,'TO HOP NLAN'!F115*'TS-PILE'!$D$79/SUMSQ('TS-PILE'!$D$72:$D$91))),IF('TS-PILE'!$B$80="",1E+99,'TO HOP NLAN'!D115/ncoc+IF(SUMSQ('TS-PILE'!$E$72:$E$91)=0,0,'TO HOP NLAN'!E115*'TS-PILE'!$E$80/SUMSQ('TS-PILE'!$E$72:$E$91))+IF(SUMSQ('TS-PILE'!$D$72:$D$91)=0,0,'TO HOP NLAN'!F115*'TS-PILE'!$D$80/SUMSQ('TS-PILE'!$D$72:$D$91))),IF('TS-PILE'!$B$81="",1E+99,'TO HOP NLAN'!D115/ncoc+IF(SUMSQ('TS-PILE'!$E$72:$E$91)=0,0,'TO HOP NLAN'!E115*'TS-PILE'!$E$81/SUMSQ('TS-PILE'!$E$72:$E$91))+IF(SUMSQ('TS-PILE'!$D$72:$D$91)=0,0,'TO HOP NLAN'!F115*'TS-PILE'!$D$81/SUMSQ('TS-PILE'!$D$72:$D$91))),IF('TS-PILE'!$B$82="",1E+99,'TO HOP NLAN'!D115/ncoc+IF(SUMSQ('TS-PILE'!$E$72:$E$91)=0,0,'TO HOP NLAN'!E115*'TS-PILE'!$E$82/SUMSQ('TS-PILE'!$E$72:$E$91))+IF(SUMSQ('TS-PILE'!$D$72:$D$91)=0,0,'TO HOP NLAN'!F115*'TS-PILE'!$D$82/SUMSQ('TS-PILE'!$D$72:$D$91))),IF('TS-PILE'!$B$83="",1E+99,'TO HOP NLAN'!D115/ncoc+IF(SUMSQ('TS-PILE'!$E$72:$E$91)=0,0,'TO HOP NLAN'!E115*'TS-PILE'!$E$83/SUMSQ('TS-PILE'!$E$72:$E$91))+IF(SUMSQ('TS-PILE'!$D$72:$D$91)=0,0,'TO HOP NLAN'!F115*'TS-PILE'!$D$83/SUMSQ('TS-PILE'!$D$72:$D$91))),IF('TS-PILE'!$B$84="",1E+99,'TO HOP NLAN'!D115/ncoc+IF(SUMSQ('TS-PILE'!$E$72:$E$91)=0,0,'TO HOP NLAN'!E115*'TS-PILE'!$E$84/SUMSQ('TS-PILE'!$E$72:$E$91))+IF(SUMSQ('TS-PILE'!$D$72:$D$91)=0,0,'TO HOP NLAN'!F115*'TS-PILE'!$D$84/SUMSQ('TS-PILE'!$D$72:$D$91))),IF('TS-PILE'!$B$85="",1E+99,'TO HOP NLAN'!D115/ncoc+IF(SUMSQ('TS-PILE'!$E$72:$E$91)=0,0,'TO HOP NLAN'!E115*'TS-PILE'!$E$85/SUMSQ('TS-PILE'!$E$72:$E$91))+IF(SUMSQ('TS-PILE'!$D$72:$D$91)=0,0,'TO HOP NLAN'!F115*'TS-PILE'!$D$85/SUMSQ('TS-PILE'!$D$72:$D$91))),IF('TS-PILE'!$B$86="",1E+99,'TO HOP NLAN'!D115/ncoc+IF(SUMSQ('TS-PILE'!$E$72:$E$91)=0,0,'TO HOP NLAN'!E115*'TS-PILE'!$E$86/SUMSQ('TS-PILE'!$E$72:$E$91))+IF(SUMSQ('TS-PILE'!$D$72:$D$91)=0,0,'TO HOP NLAN'!F115*'TS-PILE'!$D$86/SUMSQ('TS-PILE'!$D$72:$D$91))),IF('TS-PILE'!$B$87="",1E+99,'TO HOP NLAN'!D115/ncoc+IF(SUMSQ('TS-PILE'!$E$72:$E$91)=0,0,'TO HOP NLAN'!E115*'TS-PILE'!$E$87/SUMSQ('TS-PILE'!$E$72:$E$91))+IF(SUMSQ('TS-PILE'!$D$72:$D$91)=0,0,'TO HOP NLAN'!F115*'TS-PILE'!$D$87/SUMSQ('TS-PILE'!$D$72:$D$91))),IF('TS-PILE'!$B$88="",1E+99,'TO HOP NLAN'!D115/ncoc+IF(SUMSQ('TS-PILE'!$E$72:$E$91)=0,0,'TO HOP NLAN'!E115*'TS-PILE'!$E$88/SUMSQ('TS-PILE'!$E$72:$E$91))+IF(SUMSQ('TS-PILE'!$D$72:$D$91)=0,0,'TO HOP NLAN'!F115*'TS-PILE'!$D$88/SUMSQ('TS-PILE'!$D$72:$D$91))),IF('TS-PILE'!$B$89="",1E+99,'TO HOP NLAN'!D115/ncoc+IF(SUMSQ('TS-PILE'!$E$72:$E$91)=0,0,'TO HOP NLAN'!E115*'TS-PILE'!$E$89/SUMSQ('TS-PILE'!$E$72:$E$91))+IF(SUMSQ('TS-PILE'!$D$72:$D$91)=0,0,'TO HOP NLAN'!F115*'TS-PILE'!$D$89/SUMSQ('TS-PILE'!$D$72:$D$91))),IF('TS-PILE'!$B$90="",1E+99,'TO HOP NLAN'!D115/ncoc+IF(SUMSQ('TS-PILE'!$E$72:$E$91)=0,0,'TO HOP NLAN'!E115*'TS-PILE'!$E$90/SUMSQ('TS-PILE'!$E$72:$E$91))+IF(SUMSQ('TS-PILE'!$D$72:$D$91)=0,0,'TO HOP NLAN'!F115*'TS-PILE'!$D$90/SUMSQ('TS-PILE'!$D$72:$D$91))),IF('TS-PILE'!$B$91="",1E+99,'TO HOP NLAN'!D115/ncoc+IF(SUMSQ('TS-PILE'!$E$72:$E$91)=0,0,'TO HOP NLAN'!E115*'TS-PILE'!$E$91/SUMSQ('TS-PILE'!$E$72:$E$91))+IF(SUMSQ('TS-PILE'!$D$72:$D$91)=0,0,'TO HOP NLAN'!F115*'TS-PILE'!$D$91/SUMSQ('TS-PILE'!$D$72:$D$91)))))</f>
        <v>0</v>
      </c>
      <c r="E115" s="58">
        <f t="shared" si="4"/>
        <v>-9.9999999999999997E+98</v>
      </c>
      <c r="F115" s="58">
        <f t="shared" si="5"/>
        <v>9.9999999999999997E+98</v>
      </c>
      <c r="G115" s="58">
        <f t="shared" si="6"/>
        <v>-9.9999999999999997E+98</v>
      </c>
      <c r="H115" s="58">
        <f t="shared" si="7"/>
        <v>9.9999999999999997E+98</v>
      </c>
    </row>
    <row r="116" spans="1:8" x14ac:dyDescent="0.3">
      <c r="A116" s="42" t="str">
        <f>'TO HOP NLAN'!A116</f>
        <v/>
      </c>
      <c r="B116" s="42" t="str">
        <f>'TO HOP NLAN'!L116</f>
        <v>STRENGTH</v>
      </c>
      <c r="C116" s="58">
        <f>IF(A116="",0,MAX(IF('TS-PILE'!$B$72="",-1E+99,'TO HOP NLAN'!D116/ncoc+IF(SUMSQ('TS-PILE'!$E$72:$E$91)=0,0,'TO HOP NLAN'!E116*'TS-PILE'!$E$72/SUMSQ('TS-PILE'!$E$72:$E$91))+IF(SUMSQ('TS-PILE'!$D$72:$D$91)=0,0,'TO HOP NLAN'!F116*'TS-PILE'!$D$72/SUMSQ('TS-PILE'!$D$72:$D$91))),IF('TS-PILE'!$B$73="",-1E+99,'TO HOP NLAN'!D116/ncoc+IF(SUMSQ('TS-PILE'!$E$72:$E$91)=0,0,'TO HOP NLAN'!E116*'TS-PILE'!$E$73/SUMSQ('TS-PILE'!$E$72:$E$91))+IF(SUMSQ('TS-PILE'!$D$72:$D$91)=0,0,'TO HOP NLAN'!F116*'TS-PILE'!$D$73/SUMSQ('TS-PILE'!$D$72:$D$91))),IF('TS-PILE'!$B$74="",-1E+99,'TO HOP NLAN'!D116/ncoc+IF(SUMSQ('TS-PILE'!$E$72:$E$91)=0,0,'TO HOP NLAN'!E116*'TS-PILE'!$E$74/SUMSQ('TS-PILE'!$E$72:$E$91))+IF(SUMSQ('TS-PILE'!$D$72:$D$91)=0,0,'TO HOP NLAN'!F116*'TS-PILE'!$D$74/SUMSQ('TS-PILE'!$D$72:$D$91))),IF('TS-PILE'!$B$75="",-1E+99,'TO HOP NLAN'!D116/ncoc+IF(SUMSQ('TS-PILE'!$E$72:$E$91)=0,0,'TO HOP NLAN'!E116*'TS-PILE'!$E$75/SUMSQ('TS-PILE'!$E$72:$E$91))+IF(SUMSQ('TS-PILE'!$D$72:$D$91)=0,0,'TO HOP NLAN'!F116*'TS-PILE'!$D$75/SUMSQ('TS-PILE'!$D$72:$D$91))),IF('TS-PILE'!$B$76="",-1E+99,'TO HOP NLAN'!D116/ncoc+IF(SUMSQ('TS-PILE'!$E$72:$E$91)=0,0,'TO HOP NLAN'!E116*'TS-PILE'!$E$76/SUMSQ('TS-PILE'!$E$72:$E$91))+IF(SUMSQ('TS-PILE'!$D$72:$D$91)=0,0,'TO HOP NLAN'!F116*'TS-PILE'!$D$76/SUMSQ('TS-PILE'!$D$72:$D$91))),IF('TS-PILE'!$B$77="",-1E+99,'TO HOP NLAN'!D116/ncoc+IF(SUMSQ('TS-PILE'!$E$72:$E$91)=0,0,'TO HOP NLAN'!E116*'TS-PILE'!$E$77/SUMSQ('TS-PILE'!$E$72:$E$91))+IF(SUMSQ('TS-PILE'!$D$72:$D$91)=0,0,'TO HOP NLAN'!F116*'TS-PILE'!$D$77/SUMSQ('TS-PILE'!$D$72:$D$91))),IF('TS-PILE'!$B$78="",-1E+99,'TO HOP NLAN'!D116/ncoc+IF(SUMSQ('TS-PILE'!$E$72:$E$91)=0,0,'TO HOP NLAN'!E116*'TS-PILE'!$E$78/SUMSQ('TS-PILE'!$E$72:$E$91))+IF(SUMSQ('TS-PILE'!$D$72:$D$91)=0,0,'TO HOP NLAN'!F116*'TS-PILE'!$D$78/SUMSQ('TS-PILE'!$D$72:$D$91))),IF('TS-PILE'!$B$79="",-1E+99,'TO HOP NLAN'!D116/ncoc+IF(SUMSQ('TS-PILE'!$E$72:$E$91)=0,0,'TO HOP NLAN'!E116*'TS-PILE'!$E$79/SUMSQ('TS-PILE'!$E$72:$E$91))+IF(SUMSQ('TS-PILE'!$D$72:$D$91)=0,0,'TO HOP NLAN'!F116*'TS-PILE'!$D$79/SUMSQ('TS-PILE'!$D$72:$D$91))),IF('TS-PILE'!$B$80="",-1E+99,'TO HOP NLAN'!D116/ncoc+IF(SUMSQ('TS-PILE'!$E$72:$E$91)=0,0,'TO HOP NLAN'!E116*'TS-PILE'!$E$80/SUMSQ('TS-PILE'!$E$72:$E$91))+IF(SUMSQ('TS-PILE'!$D$72:$D$91)=0,0,'TO HOP NLAN'!F116*'TS-PILE'!$D$80/SUMSQ('TS-PILE'!$D$72:$D$91))),IF('TS-PILE'!$B$81="",-1E+99,'TO HOP NLAN'!D116/ncoc+IF(SUMSQ('TS-PILE'!$E$72:$E$91)=0,0,'TO HOP NLAN'!E116*'TS-PILE'!$E$81/SUMSQ('TS-PILE'!$E$72:$E$91))+IF(SUMSQ('TS-PILE'!$D$72:$D$91)=0,0,'TO HOP NLAN'!F116*'TS-PILE'!$D$81/SUMSQ('TS-PILE'!$D$72:$D$91))),IF('TS-PILE'!$B$82="",-1E+99,'TO HOP NLAN'!D116/ncoc+IF(SUMSQ('TS-PILE'!$E$72:$E$91)=0,0,'TO HOP NLAN'!E116*'TS-PILE'!$E$82/SUMSQ('TS-PILE'!$E$72:$E$91))+IF(SUMSQ('TS-PILE'!$D$72:$D$91)=0,0,'TO HOP NLAN'!F116*'TS-PILE'!$D$82/SUMSQ('TS-PILE'!$D$72:$D$91))),IF('TS-PILE'!$B$83="",-1E+99,'TO HOP NLAN'!D116/ncoc+IF(SUMSQ('TS-PILE'!$E$72:$E$91)=0,0,'TO HOP NLAN'!E116*'TS-PILE'!$E$83/SUMSQ('TS-PILE'!$E$72:$E$91))+IF(SUMSQ('TS-PILE'!$D$72:$D$91)=0,0,'TO HOP NLAN'!F116*'TS-PILE'!$D$83/SUMSQ('TS-PILE'!$D$72:$D$91))),IF('TS-PILE'!$B$84="",-1E+99,'TO HOP NLAN'!D116/ncoc+IF(SUMSQ('TS-PILE'!$E$72:$E$91)=0,0,'TO HOP NLAN'!E116*'TS-PILE'!$E$84/SUMSQ('TS-PILE'!$E$72:$E$91))+IF(SUMSQ('TS-PILE'!$D$72:$D$91)=0,0,'TO HOP NLAN'!F116*'TS-PILE'!$D$84/SUMSQ('TS-PILE'!$D$72:$D$91))),IF('TS-PILE'!$B$85="",-1E+99,'TO HOP NLAN'!D116/ncoc+IF(SUMSQ('TS-PILE'!$E$72:$E$91)=0,0,'TO HOP NLAN'!E116*'TS-PILE'!$E$85/SUMSQ('TS-PILE'!$E$72:$E$91))+IF(SUMSQ('TS-PILE'!$D$72:$D$91)=0,0,'TO HOP NLAN'!F116*'TS-PILE'!$D$85/SUMSQ('TS-PILE'!$D$72:$D$91))),IF('TS-PILE'!$B$86="",-1E+99,'TO HOP NLAN'!D116/ncoc+IF(SUMSQ('TS-PILE'!$E$72:$E$91)=0,0,'TO HOP NLAN'!E116*'TS-PILE'!$E$86/SUMSQ('TS-PILE'!$E$72:$E$91))+IF(SUMSQ('TS-PILE'!$D$72:$D$91)=0,0,'TO HOP NLAN'!F116*'TS-PILE'!$D$86/SUMSQ('TS-PILE'!$D$72:$D$91))),IF('TS-PILE'!$B$87="",-1E+99,'TO HOP NLAN'!D116/ncoc+IF(SUMSQ('TS-PILE'!$E$72:$E$91)=0,0,'TO HOP NLAN'!E116*'TS-PILE'!$E$87/SUMSQ('TS-PILE'!$E$72:$E$91))+IF(SUMSQ('TS-PILE'!$D$72:$D$91)=0,0,'TO HOP NLAN'!F116*'TS-PILE'!$D$87/SUMSQ('TS-PILE'!$D$72:$D$91))),IF('TS-PILE'!$B$88="",-1E+99,'TO HOP NLAN'!D116/ncoc+IF(SUMSQ('TS-PILE'!$E$72:$E$91)=0,0,'TO HOP NLAN'!E116*'TS-PILE'!$E$88/SUMSQ('TS-PILE'!$E$72:$E$91))+IF(SUMSQ('TS-PILE'!$D$72:$D$91)=0,0,'TO HOP NLAN'!F116*'TS-PILE'!$D$88/SUMSQ('TS-PILE'!$D$72:$D$91))),IF('TS-PILE'!$B$89="",-1E+99,'TO HOP NLAN'!D116/ncoc+IF(SUMSQ('TS-PILE'!$E$72:$E$91)=0,0,'TO HOP NLAN'!E116*'TS-PILE'!$E$89/SUMSQ('TS-PILE'!$E$72:$E$91))+IF(SUMSQ('TS-PILE'!$D$72:$D$91)=0,0,'TO HOP NLAN'!F116*'TS-PILE'!$D$89/SUMSQ('TS-PILE'!$D$72:$D$91))),IF('TS-PILE'!$B$90="",-1E+99,'TO HOP NLAN'!D116/ncoc+IF(SUMSQ('TS-PILE'!$E$72:$E$91)=0,0,'TO HOP NLAN'!E116*'TS-PILE'!$E$90/SUMSQ('TS-PILE'!$E$72:$E$91))+IF(SUMSQ('TS-PILE'!$D$72:$D$91)=0,0,'TO HOP NLAN'!F116*'TS-PILE'!$D$90/SUMSQ('TS-PILE'!$D$72:$D$91))),IF('TS-PILE'!$B$91="",-1E+99,'TO HOP NLAN'!D116/ncoc+IF(SUMSQ('TS-PILE'!$E$72:$E$91)=0,0,'TO HOP NLAN'!E116*'TS-PILE'!$E$91/SUMSQ('TS-PILE'!$E$72:$E$91))+IF(SUMSQ('TS-PILE'!$D$72:$D$91)=0,0,'TO HOP NLAN'!F116*'TS-PILE'!$D$91/SUMSQ('TS-PILE'!$D$72:$D$91)))))</f>
        <v>0</v>
      </c>
      <c r="D116" s="58">
        <f>IF(A116="",0,MIN(IF('TS-PILE'!$B$72="",1E+99,'TO HOP NLAN'!D116/ncoc+IF(SUMSQ('TS-PILE'!$E$72:$E$91)=0,0,'TO HOP NLAN'!E116*'TS-PILE'!$E$72/SUMSQ('TS-PILE'!$E$72:$E$91))+IF(SUMSQ('TS-PILE'!$D$72:$D$91)=0,0,'TO HOP NLAN'!F116*'TS-PILE'!$D$72/SUMSQ('TS-PILE'!$D$72:$D$91))),IF('TS-PILE'!$B$73="",1E+99,'TO HOP NLAN'!D116/ncoc+IF(SUMSQ('TS-PILE'!$E$72:$E$91)=0,0,'TO HOP NLAN'!E116*'TS-PILE'!$E$73/SUMSQ('TS-PILE'!$E$72:$E$91))+IF(SUMSQ('TS-PILE'!$D$72:$D$91)=0,0,'TO HOP NLAN'!F116*'TS-PILE'!$D$73/SUMSQ('TS-PILE'!$D$72:$D$91))),IF('TS-PILE'!$B$74="",1E+99,'TO HOP NLAN'!D116/ncoc+IF(SUMSQ('TS-PILE'!$E$72:$E$91)=0,0,'TO HOP NLAN'!E116*'TS-PILE'!$E$74/SUMSQ('TS-PILE'!$E$72:$E$91))+IF(SUMSQ('TS-PILE'!$D$72:$D$91)=0,0,'TO HOP NLAN'!F116*'TS-PILE'!$D$74/SUMSQ('TS-PILE'!$D$72:$D$91))),IF('TS-PILE'!$B$75="",1E+99,'TO HOP NLAN'!D116/ncoc+IF(SUMSQ('TS-PILE'!$E$72:$E$91)=0,0,'TO HOP NLAN'!E116*'TS-PILE'!$E$75/SUMSQ('TS-PILE'!$E$72:$E$91))+IF(SUMSQ('TS-PILE'!$D$72:$D$91)=0,0,'TO HOP NLAN'!F116*'TS-PILE'!$D$75/SUMSQ('TS-PILE'!$D$72:$D$91))),IF('TS-PILE'!$B$76="",1E+99,'TO HOP NLAN'!D116/ncoc+IF(SUMSQ('TS-PILE'!$E$72:$E$91)=0,0,'TO HOP NLAN'!E116*'TS-PILE'!$E$76/SUMSQ('TS-PILE'!$E$72:$E$91))+IF(SUMSQ('TS-PILE'!$D$72:$D$91)=0,0,'TO HOP NLAN'!F116*'TS-PILE'!$D$76/SUMSQ('TS-PILE'!$D$72:$D$91))),IF('TS-PILE'!$B$77="",1E+99,'TO HOP NLAN'!D116/ncoc+IF(SUMSQ('TS-PILE'!$E$72:$E$91)=0,0,'TO HOP NLAN'!E116*'TS-PILE'!$E$77/SUMSQ('TS-PILE'!$E$72:$E$91))+IF(SUMSQ('TS-PILE'!$D$72:$D$91)=0,0,'TO HOP NLAN'!F116*'TS-PILE'!$D$77/SUMSQ('TS-PILE'!$D$72:$D$91))),IF('TS-PILE'!$B$78="",1E+99,'TO HOP NLAN'!D116/ncoc+IF(SUMSQ('TS-PILE'!$E$72:$E$91)=0,0,'TO HOP NLAN'!E116*'TS-PILE'!$E$78/SUMSQ('TS-PILE'!$E$72:$E$91))+IF(SUMSQ('TS-PILE'!$D$72:$D$91)=0,0,'TO HOP NLAN'!F116*'TS-PILE'!$D$78/SUMSQ('TS-PILE'!$D$72:$D$91))),IF('TS-PILE'!$B$79="",1E+99,'TO HOP NLAN'!D116/ncoc+IF(SUMSQ('TS-PILE'!$E$72:$E$91)=0,0,'TO HOP NLAN'!E116*'TS-PILE'!$E$79/SUMSQ('TS-PILE'!$E$72:$E$91))+IF(SUMSQ('TS-PILE'!$D$72:$D$91)=0,0,'TO HOP NLAN'!F116*'TS-PILE'!$D$79/SUMSQ('TS-PILE'!$D$72:$D$91))),IF('TS-PILE'!$B$80="",1E+99,'TO HOP NLAN'!D116/ncoc+IF(SUMSQ('TS-PILE'!$E$72:$E$91)=0,0,'TO HOP NLAN'!E116*'TS-PILE'!$E$80/SUMSQ('TS-PILE'!$E$72:$E$91))+IF(SUMSQ('TS-PILE'!$D$72:$D$91)=0,0,'TO HOP NLAN'!F116*'TS-PILE'!$D$80/SUMSQ('TS-PILE'!$D$72:$D$91))),IF('TS-PILE'!$B$81="",1E+99,'TO HOP NLAN'!D116/ncoc+IF(SUMSQ('TS-PILE'!$E$72:$E$91)=0,0,'TO HOP NLAN'!E116*'TS-PILE'!$E$81/SUMSQ('TS-PILE'!$E$72:$E$91))+IF(SUMSQ('TS-PILE'!$D$72:$D$91)=0,0,'TO HOP NLAN'!F116*'TS-PILE'!$D$81/SUMSQ('TS-PILE'!$D$72:$D$91))),IF('TS-PILE'!$B$82="",1E+99,'TO HOP NLAN'!D116/ncoc+IF(SUMSQ('TS-PILE'!$E$72:$E$91)=0,0,'TO HOP NLAN'!E116*'TS-PILE'!$E$82/SUMSQ('TS-PILE'!$E$72:$E$91))+IF(SUMSQ('TS-PILE'!$D$72:$D$91)=0,0,'TO HOP NLAN'!F116*'TS-PILE'!$D$82/SUMSQ('TS-PILE'!$D$72:$D$91))),IF('TS-PILE'!$B$83="",1E+99,'TO HOP NLAN'!D116/ncoc+IF(SUMSQ('TS-PILE'!$E$72:$E$91)=0,0,'TO HOP NLAN'!E116*'TS-PILE'!$E$83/SUMSQ('TS-PILE'!$E$72:$E$91))+IF(SUMSQ('TS-PILE'!$D$72:$D$91)=0,0,'TO HOP NLAN'!F116*'TS-PILE'!$D$83/SUMSQ('TS-PILE'!$D$72:$D$91))),IF('TS-PILE'!$B$84="",1E+99,'TO HOP NLAN'!D116/ncoc+IF(SUMSQ('TS-PILE'!$E$72:$E$91)=0,0,'TO HOP NLAN'!E116*'TS-PILE'!$E$84/SUMSQ('TS-PILE'!$E$72:$E$91))+IF(SUMSQ('TS-PILE'!$D$72:$D$91)=0,0,'TO HOP NLAN'!F116*'TS-PILE'!$D$84/SUMSQ('TS-PILE'!$D$72:$D$91))),IF('TS-PILE'!$B$85="",1E+99,'TO HOP NLAN'!D116/ncoc+IF(SUMSQ('TS-PILE'!$E$72:$E$91)=0,0,'TO HOP NLAN'!E116*'TS-PILE'!$E$85/SUMSQ('TS-PILE'!$E$72:$E$91))+IF(SUMSQ('TS-PILE'!$D$72:$D$91)=0,0,'TO HOP NLAN'!F116*'TS-PILE'!$D$85/SUMSQ('TS-PILE'!$D$72:$D$91))),IF('TS-PILE'!$B$86="",1E+99,'TO HOP NLAN'!D116/ncoc+IF(SUMSQ('TS-PILE'!$E$72:$E$91)=0,0,'TO HOP NLAN'!E116*'TS-PILE'!$E$86/SUMSQ('TS-PILE'!$E$72:$E$91))+IF(SUMSQ('TS-PILE'!$D$72:$D$91)=0,0,'TO HOP NLAN'!F116*'TS-PILE'!$D$86/SUMSQ('TS-PILE'!$D$72:$D$91))),IF('TS-PILE'!$B$87="",1E+99,'TO HOP NLAN'!D116/ncoc+IF(SUMSQ('TS-PILE'!$E$72:$E$91)=0,0,'TO HOP NLAN'!E116*'TS-PILE'!$E$87/SUMSQ('TS-PILE'!$E$72:$E$91))+IF(SUMSQ('TS-PILE'!$D$72:$D$91)=0,0,'TO HOP NLAN'!F116*'TS-PILE'!$D$87/SUMSQ('TS-PILE'!$D$72:$D$91))),IF('TS-PILE'!$B$88="",1E+99,'TO HOP NLAN'!D116/ncoc+IF(SUMSQ('TS-PILE'!$E$72:$E$91)=0,0,'TO HOP NLAN'!E116*'TS-PILE'!$E$88/SUMSQ('TS-PILE'!$E$72:$E$91))+IF(SUMSQ('TS-PILE'!$D$72:$D$91)=0,0,'TO HOP NLAN'!F116*'TS-PILE'!$D$88/SUMSQ('TS-PILE'!$D$72:$D$91))),IF('TS-PILE'!$B$89="",1E+99,'TO HOP NLAN'!D116/ncoc+IF(SUMSQ('TS-PILE'!$E$72:$E$91)=0,0,'TO HOP NLAN'!E116*'TS-PILE'!$E$89/SUMSQ('TS-PILE'!$E$72:$E$91))+IF(SUMSQ('TS-PILE'!$D$72:$D$91)=0,0,'TO HOP NLAN'!F116*'TS-PILE'!$D$89/SUMSQ('TS-PILE'!$D$72:$D$91))),IF('TS-PILE'!$B$90="",1E+99,'TO HOP NLAN'!D116/ncoc+IF(SUMSQ('TS-PILE'!$E$72:$E$91)=0,0,'TO HOP NLAN'!E116*'TS-PILE'!$E$90/SUMSQ('TS-PILE'!$E$72:$E$91))+IF(SUMSQ('TS-PILE'!$D$72:$D$91)=0,0,'TO HOP NLAN'!F116*'TS-PILE'!$D$90/SUMSQ('TS-PILE'!$D$72:$D$91))),IF('TS-PILE'!$B$91="",1E+99,'TO HOP NLAN'!D116/ncoc+IF(SUMSQ('TS-PILE'!$E$72:$E$91)=0,0,'TO HOP NLAN'!E116*'TS-PILE'!$E$91/SUMSQ('TS-PILE'!$E$72:$E$91))+IF(SUMSQ('TS-PILE'!$D$72:$D$91)=0,0,'TO HOP NLAN'!F116*'TS-PILE'!$D$91/SUMSQ('TS-PILE'!$D$72:$D$91)))))</f>
        <v>0</v>
      </c>
      <c r="E116" s="58">
        <f t="shared" si="4"/>
        <v>-9.9999999999999997E+98</v>
      </c>
      <c r="F116" s="58">
        <f t="shared" si="5"/>
        <v>9.9999999999999997E+98</v>
      </c>
      <c r="G116" s="58">
        <f t="shared" si="6"/>
        <v>-9.9999999999999997E+98</v>
      </c>
      <c r="H116" s="58">
        <f t="shared" si="7"/>
        <v>9.9999999999999997E+98</v>
      </c>
    </row>
    <row r="117" spans="1:8" x14ac:dyDescent="0.3">
      <c r="A117" s="42" t="str">
        <f>'TO HOP NLAN'!A117</f>
        <v/>
      </c>
      <c r="B117" s="42" t="str">
        <f>'TO HOP NLAN'!L117</f>
        <v>STRENGTH</v>
      </c>
      <c r="C117" s="58">
        <f>IF(A117="",0,MAX(IF('TS-PILE'!$B$72="",-1E+99,'TO HOP NLAN'!D117/ncoc+IF(SUMSQ('TS-PILE'!$E$72:$E$91)=0,0,'TO HOP NLAN'!E117*'TS-PILE'!$E$72/SUMSQ('TS-PILE'!$E$72:$E$91))+IF(SUMSQ('TS-PILE'!$D$72:$D$91)=0,0,'TO HOP NLAN'!F117*'TS-PILE'!$D$72/SUMSQ('TS-PILE'!$D$72:$D$91))),IF('TS-PILE'!$B$73="",-1E+99,'TO HOP NLAN'!D117/ncoc+IF(SUMSQ('TS-PILE'!$E$72:$E$91)=0,0,'TO HOP NLAN'!E117*'TS-PILE'!$E$73/SUMSQ('TS-PILE'!$E$72:$E$91))+IF(SUMSQ('TS-PILE'!$D$72:$D$91)=0,0,'TO HOP NLAN'!F117*'TS-PILE'!$D$73/SUMSQ('TS-PILE'!$D$72:$D$91))),IF('TS-PILE'!$B$74="",-1E+99,'TO HOP NLAN'!D117/ncoc+IF(SUMSQ('TS-PILE'!$E$72:$E$91)=0,0,'TO HOP NLAN'!E117*'TS-PILE'!$E$74/SUMSQ('TS-PILE'!$E$72:$E$91))+IF(SUMSQ('TS-PILE'!$D$72:$D$91)=0,0,'TO HOP NLAN'!F117*'TS-PILE'!$D$74/SUMSQ('TS-PILE'!$D$72:$D$91))),IF('TS-PILE'!$B$75="",-1E+99,'TO HOP NLAN'!D117/ncoc+IF(SUMSQ('TS-PILE'!$E$72:$E$91)=0,0,'TO HOP NLAN'!E117*'TS-PILE'!$E$75/SUMSQ('TS-PILE'!$E$72:$E$91))+IF(SUMSQ('TS-PILE'!$D$72:$D$91)=0,0,'TO HOP NLAN'!F117*'TS-PILE'!$D$75/SUMSQ('TS-PILE'!$D$72:$D$91))),IF('TS-PILE'!$B$76="",-1E+99,'TO HOP NLAN'!D117/ncoc+IF(SUMSQ('TS-PILE'!$E$72:$E$91)=0,0,'TO HOP NLAN'!E117*'TS-PILE'!$E$76/SUMSQ('TS-PILE'!$E$72:$E$91))+IF(SUMSQ('TS-PILE'!$D$72:$D$91)=0,0,'TO HOP NLAN'!F117*'TS-PILE'!$D$76/SUMSQ('TS-PILE'!$D$72:$D$91))),IF('TS-PILE'!$B$77="",-1E+99,'TO HOP NLAN'!D117/ncoc+IF(SUMSQ('TS-PILE'!$E$72:$E$91)=0,0,'TO HOP NLAN'!E117*'TS-PILE'!$E$77/SUMSQ('TS-PILE'!$E$72:$E$91))+IF(SUMSQ('TS-PILE'!$D$72:$D$91)=0,0,'TO HOP NLAN'!F117*'TS-PILE'!$D$77/SUMSQ('TS-PILE'!$D$72:$D$91))),IF('TS-PILE'!$B$78="",-1E+99,'TO HOP NLAN'!D117/ncoc+IF(SUMSQ('TS-PILE'!$E$72:$E$91)=0,0,'TO HOP NLAN'!E117*'TS-PILE'!$E$78/SUMSQ('TS-PILE'!$E$72:$E$91))+IF(SUMSQ('TS-PILE'!$D$72:$D$91)=0,0,'TO HOP NLAN'!F117*'TS-PILE'!$D$78/SUMSQ('TS-PILE'!$D$72:$D$91))),IF('TS-PILE'!$B$79="",-1E+99,'TO HOP NLAN'!D117/ncoc+IF(SUMSQ('TS-PILE'!$E$72:$E$91)=0,0,'TO HOP NLAN'!E117*'TS-PILE'!$E$79/SUMSQ('TS-PILE'!$E$72:$E$91))+IF(SUMSQ('TS-PILE'!$D$72:$D$91)=0,0,'TO HOP NLAN'!F117*'TS-PILE'!$D$79/SUMSQ('TS-PILE'!$D$72:$D$91))),IF('TS-PILE'!$B$80="",-1E+99,'TO HOP NLAN'!D117/ncoc+IF(SUMSQ('TS-PILE'!$E$72:$E$91)=0,0,'TO HOP NLAN'!E117*'TS-PILE'!$E$80/SUMSQ('TS-PILE'!$E$72:$E$91))+IF(SUMSQ('TS-PILE'!$D$72:$D$91)=0,0,'TO HOP NLAN'!F117*'TS-PILE'!$D$80/SUMSQ('TS-PILE'!$D$72:$D$91))),IF('TS-PILE'!$B$81="",-1E+99,'TO HOP NLAN'!D117/ncoc+IF(SUMSQ('TS-PILE'!$E$72:$E$91)=0,0,'TO HOP NLAN'!E117*'TS-PILE'!$E$81/SUMSQ('TS-PILE'!$E$72:$E$91))+IF(SUMSQ('TS-PILE'!$D$72:$D$91)=0,0,'TO HOP NLAN'!F117*'TS-PILE'!$D$81/SUMSQ('TS-PILE'!$D$72:$D$91))),IF('TS-PILE'!$B$82="",-1E+99,'TO HOP NLAN'!D117/ncoc+IF(SUMSQ('TS-PILE'!$E$72:$E$91)=0,0,'TO HOP NLAN'!E117*'TS-PILE'!$E$82/SUMSQ('TS-PILE'!$E$72:$E$91))+IF(SUMSQ('TS-PILE'!$D$72:$D$91)=0,0,'TO HOP NLAN'!F117*'TS-PILE'!$D$82/SUMSQ('TS-PILE'!$D$72:$D$91))),IF('TS-PILE'!$B$83="",-1E+99,'TO HOP NLAN'!D117/ncoc+IF(SUMSQ('TS-PILE'!$E$72:$E$91)=0,0,'TO HOP NLAN'!E117*'TS-PILE'!$E$83/SUMSQ('TS-PILE'!$E$72:$E$91))+IF(SUMSQ('TS-PILE'!$D$72:$D$91)=0,0,'TO HOP NLAN'!F117*'TS-PILE'!$D$83/SUMSQ('TS-PILE'!$D$72:$D$91))),IF('TS-PILE'!$B$84="",-1E+99,'TO HOP NLAN'!D117/ncoc+IF(SUMSQ('TS-PILE'!$E$72:$E$91)=0,0,'TO HOP NLAN'!E117*'TS-PILE'!$E$84/SUMSQ('TS-PILE'!$E$72:$E$91))+IF(SUMSQ('TS-PILE'!$D$72:$D$91)=0,0,'TO HOP NLAN'!F117*'TS-PILE'!$D$84/SUMSQ('TS-PILE'!$D$72:$D$91))),IF('TS-PILE'!$B$85="",-1E+99,'TO HOP NLAN'!D117/ncoc+IF(SUMSQ('TS-PILE'!$E$72:$E$91)=0,0,'TO HOP NLAN'!E117*'TS-PILE'!$E$85/SUMSQ('TS-PILE'!$E$72:$E$91))+IF(SUMSQ('TS-PILE'!$D$72:$D$91)=0,0,'TO HOP NLAN'!F117*'TS-PILE'!$D$85/SUMSQ('TS-PILE'!$D$72:$D$91))),IF('TS-PILE'!$B$86="",-1E+99,'TO HOP NLAN'!D117/ncoc+IF(SUMSQ('TS-PILE'!$E$72:$E$91)=0,0,'TO HOP NLAN'!E117*'TS-PILE'!$E$86/SUMSQ('TS-PILE'!$E$72:$E$91))+IF(SUMSQ('TS-PILE'!$D$72:$D$91)=0,0,'TO HOP NLAN'!F117*'TS-PILE'!$D$86/SUMSQ('TS-PILE'!$D$72:$D$91))),IF('TS-PILE'!$B$87="",-1E+99,'TO HOP NLAN'!D117/ncoc+IF(SUMSQ('TS-PILE'!$E$72:$E$91)=0,0,'TO HOP NLAN'!E117*'TS-PILE'!$E$87/SUMSQ('TS-PILE'!$E$72:$E$91))+IF(SUMSQ('TS-PILE'!$D$72:$D$91)=0,0,'TO HOP NLAN'!F117*'TS-PILE'!$D$87/SUMSQ('TS-PILE'!$D$72:$D$91))),IF('TS-PILE'!$B$88="",-1E+99,'TO HOP NLAN'!D117/ncoc+IF(SUMSQ('TS-PILE'!$E$72:$E$91)=0,0,'TO HOP NLAN'!E117*'TS-PILE'!$E$88/SUMSQ('TS-PILE'!$E$72:$E$91))+IF(SUMSQ('TS-PILE'!$D$72:$D$91)=0,0,'TO HOP NLAN'!F117*'TS-PILE'!$D$88/SUMSQ('TS-PILE'!$D$72:$D$91))),IF('TS-PILE'!$B$89="",-1E+99,'TO HOP NLAN'!D117/ncoc+IF(SUMSQ('TS-PILE'!$E$72:$E$91)=0,0,'TO HOP NLAN'!E117*'TS-PILE'!$E$89/SUMSQ('TS-PILE'!$E$72:$E$91))+IF(SUMSQ('TS-PILE'!$D$72:$D$91)=0,0,'TO HOP NLAN'!F117*'TS-PILE'!$D$89/SUMSQ('TS-PILE'!$D$72:$D$91))),IF('TS-PILE'!$B$90="",-1E+99,'TO HOP NLAN'!D117/ncoc+IF(SUMSQ('TS-PILE'!$E$72:$E$91)=0,0,'TO HOP NLAN'!E117*'TS-PILE'!$E$90/SUMSQ('TS-PILE'!$E$72:$E$91))+IF(SUMSQ('TS-PILE'!$D$72:$D$91)=0,0,'TO HOP NLAN'!F117*'TS-PILE'!$D$90/SUMSQ('TS-PILE'!$D$72:$D$91))),IF('TS-PILE'!$B$91="",-1E+99,'TO HOP NLAN'!D117/ncoc+IF(SUMSQ('TS-PILE'!$E$72:$E$91)=0,0,'TO HOP NLAN'!E117*'TS-PILE'!$E$91/SUMSQ('TS-PILE'!$E$72:$E$91))+IF(SUMSQ('TS-PILE'!$D$72:$D$91)=0,0,'TO HOP NLAN'!F117*'TS-PILE'!$D$91/SUMSQ('TS-PILE'!$D$72:$D$91)))))</f>
        <v>0</v>
      </c>
      <c r="D117" s="58">
        <f>IF(A117="",0,MIN(IF('TS-PILE'!$B$72="",1E+99,'TO HOP NLAN'!D117/ncoc+IF(SUMSQ('TS-PILE'!$E$72:$E$91)=0,0,'TO HOP NLAN'!E117*'TS-PILE'!$E$72/SUMSQ('TS-PILE'!$E$72:$E$91))+IF(SUMSQ('TS-PILE'!$D$72:$D$91)=0,0,'TO HOP NLAN'!F117*'TS-PILE'!$D$72/SUMSQ('TS-PILE'!$D$72:$D$91))),IF('TS-PILE'!$B$73="",1E+99,'TO HOP NLAN'!D117/ncoc+IF(SUMSQ('TS-PILE'!$E$72:$E$91)=0,0,'TO HOP NLAN'!E117*'TS-PILE'!$E$73/SUMSQ('TS-PILE'!$E$72:$E$91))+IF(SUMSQ('TS-PILE'!$D$72:$D$91)=0,0,'TO HOP NLAN'!F117*'TS-PILE'!$D$73/SUMSQ('TS-PILE'!$D$72:$D$91))),IF('TS-PILE'!$B$74="",1E+99,'TO HOP NLAN'!D117/ncoc+IF(SUMSQ('TS-PILE'!$E$72:$E$91)=0,0,'TO HOP NLAN'!E117*'TS-PILE'!$E$74/SUMSQ('TS-PILE'!$E$72:$E$91))+IF(SUMSQ('TS-PILE'!$D$72:$D$91)=0,0,'TO HOP NLAN'!F117*'TS-PILE'!$D$74/SUMSQ('TS-PILE'!$D$72:$D$91))),IF('TS-PILE'!$B$75="",1E+99,'TO HOP NLAN'!D117/ncoc+IF(SUMSQ('TS-PILE'!$E$72:$E$91)=0,0,'TO HOP NLAN'!E117*'TS-PILE'!$E$75/SUMSQ('TS-PILE'!$E$72:$E$91))+IF(SUMSQ('TS-PILE'!$D$72:$D$91)=0,0,'TO HOP NLAN'!F117*'TS-PILE'!$D$75/SUMSQ('TS-PILE'!$D$72:$D$91))),IF('TS-PILE'!$B$76="",1E+99,'TO HOP NLAN'!D117/ncoc+IF(SUMSQ('TS-PILE'!$E$72:$E$91)=0,0,'TO HOP NLAN'!E117*'TS-PILE'!$E$76/SUMSQ('TS-PILE'!$E$72:$E$91))+IF(SUMSQ('TS-PILE'!$D$72:$D$91)=0,0,'TO HOP NLAN'!F117*'TS-PILE'!$D$76/SUMSQ('TS-PILE'!$D$72:$D$91))),IF('TS-PILE'!$B$77="",1E+99,'TO HOP NLAN'!D117/ncoc+IF(SUMSQ('TS-PILE'!$E$72:$E$91)=0,0,'TO HOP NLAN'!E117*'TS-PILE'!$E$77/SUMSQ('TS-PILE'!$E$72:$E$91))+IF(SUMSQ('TS-PILE'!$D$72:$D$91)=0,0,'TO HOP NLAN'!F117*'TS-PILE'!$D$77/SUMSQ('TS-PILE'!$D$72:$D$91))),IF('TS-PILE'!$B$78="",1E+99,'TO HOP NLAN'!D117/ncoc+IF(SUMSQ('TS-PILE'!$E$72:$E$91)=0,0,'TO HOP NLAN'!E117*'TS-PILE'!$E$78/SUMSQ('TS-PILE'!$E$72:$E$91))+IF(SUMSQ('TS-PILE'!$D$72:$D$91)=0,0,'TO HOP NLAN'!F117*'TS-PILE'!$D$78/SUMSQ('TS-PILE'!$D$72:$D$91))),IF('TS-PILE'!$B$79="",1E+99,'TO HOP NLAN'!D117/ncoc+IF(SUMSQ('TS-PILE'!$E$72:$E$91)=0,0,'TO HOP NLAN'!E117*'TS-PILE'!$E$79/SUMSQ('TS-PILE'!$E$72:$E$91))+IF(SUMSQ('TS-PILE'!$D$72:$D$91)=0,0,'TO HOP NLAN'!F117*'TS-PILE'!$D$79/SUMSQ('TS-PILE'!$D$72:$D$91))),IF('TS-PILE'!$B$80="",1E+99,'TO HOP NLAN'!D117/ncoc+IF(SUMSQ('TS-PILE'!$E$72:$E$91)=0,0,'TO HOP NLAN'!E117*'TS-PILE'!$E$80/SUMSQ('TS-PILE'!$E$72:$E$91))+IF(SUMSQ('TS-PILE'!$D$72:$D$91)=0,0,'TO HOP NLAN'!F117*'TS-PILE'!$D$80/SUMSQ('TS-PILE'!$D$72:$D$91))),IF('TS-PILE'!$B$81="",1E+99,'TO HOP NLAN'!D117/ncoc+IF(SUMSQ('TS-PILE'!$E$72:$E$91)=0,0,'TO HOP NLAN'!E117*'TS-PILE'!$E$81/SUMSQ('TS-PILE'!$E$72:$E$91))+IF(SUMSQ('TS-PILE'!$D$72:$D$91)=0,0,'TO HOP NLAN'!F117*'TS-PILE'!$D$81/SUMSQ('TS-PILE'!$D$72:$D$91))),IF('TS-PILE'!$B$82="",1E+99,'TO HOP NLAN'!D117/ncoc+IF(SUMSQ('TS-PILE'!$E$72:$E$91)=0,0,'TO HOP NLAN'!E117*'TS-PILE'!$E$82/SUMSQ('TS-PILE'!$E$72:$E$91))+IF(SUMSQ('TS-PILE'!$D$72:$D$91)=0,0,'TO HOP NLAN'!F117*'TS-PILE'!$D$82/SUMSQ('TS-PILE'!$D$72:$D$91))),IF('TS-PILE'!$B$83="",1E+99,'TO HOP NLAN'!D117/ncoc+IF(SUMSQ('TS-PILE'!$E$72:$E$91)=0,0,'TO HOP NLAN'!E117*'TS-PILE'!$E$83/SUMSQ('TS-PILE'!$E$72:$E$91))+IF(SUMSQ('TS-PILE'!$D$72:$D$91)=0,0,'TO HOP NLAN'!F117*'TS-PILE'!$D$83/SUMSQ('TS-PILE'!$D$72:$D$91))),IF('TS-PILE'!$B$84="",1E+99,'TO HOP NLAN'!D117/ncoc+IF(SUMSQ('TS-PILE'!$E$72:$E$91)=0,0,'TO HOP NLAN'!E117*'TS-PILE'!$E$84/SUMSQ('TS-PILE'!$E$72:$E$91))+IF(SUMSQ('TS-PILE'!$D$72:$D$91)=0,0,'TO HOP NLAN'!F117*'TS-PILE'!$D$84/SUMSQ('TS-PILE'!$D$72:$D$91))),IF('TS-PILE'!$B$85="",1E+99,'TO HOP NLAN'!D117/ncoc+IF(SUMSQ('TS-PILE'!$E$72:$E$91)=0,0,'TO HOP NLAN'!E117*'TS-PILE'!$E$85/SUMSQ('TS-PILE'!$E$72:$E$91))+IF(SUMSQ('TS-PILE'!$D$72:$D$91)=0,0,'TO HOP NLAN'!F117*'TS-PILE'!$D$85/SUMSQ('TS-PILE'!$D$72:$D$91))),IF('TS-PILE'!$B$86="",1E+99,'TO HOP NLAN'!D117/ncoc+IF(SUMSQ('TS-PILE'!$E$72:$E$91)=0,0,'TO HOP NLAN'!E117*'TS-PILE'!$E$86/SUMSQ('TS-PILE'!$E$72:$E$91))+IF(SUMSQ('TS-PILE'!$D$72:$D$91)=0,0,'TO HOP NLAN'!F117*'TS-PILE'!$D$86/SUMSQ('TS-PILE'!$D$72:$D$91))),IF('TS-PILE'!$B$87="",1E+99,'TO HOP NLAN'!D117/ncoc+IF(SUMSQ('TS-PILE'!$E$72:$E$91)=0,0,'TO HOP NLAN'!E117*'TS-PILE'!$E$87/SUMSQ('TS-PILE'!$E$72:$E$91))+IF(SUMSQ('TS-PILE'!$D$72:$D$91)=0,0,'TO HOP NLAN'!F117*'TS-PILE'!$D$87/SUMSQ('TS-PILE'!$D$72:$D$91))),IF('TS-PILE'!$B$88="",1E+99,'TO HOP NLAN'!D117/ncoc+IF(SUMSQ('TS-PILE'!$E$72:$E$91)=0,0,'TO HOP NLAN'!E117*'TS-PILE'!$E$88/SUMSQ('TS-PILE'!$E$72:$E$91))+IF(SUMSQ('TS-PILE'!$D$72:$D$91)=0,0,'TO HOP NLAN'!F117*'TS-PILE'!$D$88/SUMSQ('TS-PILE'!$D$72:$D$91))),IF('TS-PILE'!$B$89="",1E+99,'TO HOP NLAN'!D117/ncoc+IF(SUMSQ('TS-PILE'!$E$72:$E$91)=0,0,'TO HOP NLAN'!E117*'TS-PILE'!$E$89/SUMSQ('TS-PILE'!$E$72:$E$91))+IF(SUMSQ('TS-PILE'!$D$72:$D$91)=0,0,'TO HOP NLAN'!F117*'TS-PILE'!$D$89/SUMSQ('TS-PILE'!$D$72:$D$91))),IF('TS-PILE'!$B$90="",1E+99,'TO HOP NLAN'!D117/ncoc+IF(SUMSQ('TS-PILE'!$E$72:$E$91)=0,0,'TO HOP NLAN'!E117*'TS-PILE'!$E$90/SUMSQ('TS-PILE'!$E$72:$E$91))+IF(SUMSQ('TS-PILE'!$D$72:$D$91)=0,0,'TO HOP NLAN'!F117*'TS-PILE'!$D$90/SUMSQ('TS-PILE'!$D$72:$D$91))),IF('TS-PILE'!$B$91="",1E+99,'TO HOP NLAN'!D117/ncoc+IF(SUMSQ('TS-PILE'!$E$72:$E$91)=0,0,'TO HOP NLAN'!E117*'TS-PILE'!$E$91/SUMSQ('TS-PILE'!$E$72:$E$91))+IF(SUMSQ('TS-PILE'!$D$72:$D$91)=0,0,'TO HOP NLAN'!F117*'TS-PILE'!$D$91/SUMSQ('TS-PILE'!$D$72:$D$91)))))</f>
        <v>0</v>
      </c>
      <c r="E117" s="58">
        <f t="shared" si="4"/>
        <v>-9.9999999999999997E+98</v>
      </c>
      <c r="F117" s="58">
        <f t="shared" si="5"/>
        <v>9.9999999999999997E+98</v>
      </c>
      <c r="G117" s="58">
        <f t="shared" si="6"/>
        <v>-9.9999999999999997E+98</v>
      </c>
      <c r="H117" s="58">
        <f t="shared" si="7"/>
        <v>9.9999999999999997E+98</v>
      </c>
    </row>
    <row r="118" spans="1:8" x14ac:dyDescent="0.3">
      <c r="A118" s="42" t="str">
        <f>'TO HOP NLAN'!A118</f>
        <v/>
      </c>
      <c r="B118" s="42" t="str">
        <f>'TO HOP NLAN'!L118</f>
        <v>STRENGTH</v>
      </c>
      <c r="C118" s="58">
        <f>IF(A118="",0,MAX(IF('TS-PILE'!$B$72="",-1E+99,'TO HOP NLAN'!D118/ncoc+IF(SUMSQ('TS-PILE'!$E$72:$E$91)=0,0,'TO HOP NLAN'!E118*'TS-PILE'!$E$72/SUMSQ('TS-PILE'!$E$72:$E$91))+IF(SUMSQ('TS-PILE'!$D$72:$D$91)=0,0,'TO HOP NLAN'!F118*'TS-PILE'!$D$72/SUMSQ('TS-PILE'!$D$72:$D$91))),IF('TS-PILE'!$B$73="",-1E+99,'TO HOP NLAN'!D118/ncoc+IF(SUMSQ('TS-PILE'!$E$72:$E$91)=0,0,'TO HOP NLAN'!E118*'TS-PILE'!$E$73/SUMSQ('TS-PILE'!$E$72:$E$91))+IF(SUMSQ('TS-PILE'!$D$72:$D$91)=0,0,'TO HOP NLAN'!F118*'TS-PILE'!$D$73/SUMSQ('TS-PILE'!$D$72:$D$91))),IF('TS-PILE'!$B$74="",-1E+99,'TO HOP NLAN'!D118/ncoc+IF(SUMSQ('TS-PILE'!$E$72:$E$91)=0,0,'TO HOP NLAN'!E118*'TS-PILE'!$E$74/SUMSQ('TS-PILE'!$E$72:$E$91))+IF(SUMSQ('TS-PILE'!$D$72:$D$91)=0,0,'TO HOP NLAN'!F118*'TS-PILE'!$D$74/SUMSQ('TS-PILE'!$D$72:$D$91))),IF('TS-PILE'!$B$75="",-1E+99,'TO HOP NLAN'!D118/ncoc+IF(SUMSQ('TS-PILE'!$E$72:$E$91)=0,0,'TO HOP NLAN'!E118*'TS-PILE'!$E$75/SUMSQ('TS-PILE'!$E$72:$E$91))+IF(SUMSQ('TS-PILE'!$D$72:$D$91)=0,0,'TO HOP NLAN'!F118*'TS-PILE'!$D$75/SUMSQ('TS-PILE'!$D$72:$D$91))),IF('TS-PILE'!$B$76="",-1E+99,'TO HOP NLAN'!D118/ncoc+IF(SUMSQ('TS-PILE'!$E$72:$E$91)=0,0,'TO HOP NLAN'!E118*'TS-PILE'!$E$76/SUMSQ('TS-PILE'!$E$72:$E$91))+IF(SUMSQ('TS-PILE'!$D$72:$D$91)=0,0,'TO HOP NLAN'!F118*'TS-PILE'!$D$76/SUMSQ('TS-PILE'!$D$72:$D$91))),IF('TS-PILE'!$B$77="",-1E+99,'TO HOP NLAN'!D118/ncoc+IF(SUMSQ('TS-PILE'!$E$72:$E$91)=0,0,'TO HOP NLAN'!E118*'TS-PILE'!$E$77/SUMSQ('TS-PILE'!$E$72:$E$91))+IF(SUMSQ('TS-PILE'!$D$72:$D$91)=0,0,'TO HOP NLAN'!F118*'TS-PILE'!$D$77/SUMSQ('TS-PILE'!$D$72:$D$91))),IF('TS-PILE'!$B$78="",-1E+99,'TO HOP NLAN'!D118/ncoc+IF(SUMSQ('TS-PILE'!$E$72:$E$91)=0,0,'TO HOP NLAN'!E118*'TS-PILE'!$E$78/SUMSQ('TS-PILE'!$E$72:$E$91))+IF(SUMSQ('TS-PILE'!$D$72:$D$91)=0,0,'TO HOP NLAN'!F118*'TS-PILE'!$D$78/SUMSQ('TS-PILE'!$D$72:$D$91))),IF('TS-PILE'!$B$79="",-1E+99,'TO HOP NLAN'!D118/ncoc+IF(SUMSQ('TS-PILE'!$E$72:$E$91)=0,0,'TO HOP NLAN'!E118*'TS-PILE'!$E$79/SUMSQ('TS-PILE'!$E$72:$E$91))+IF(SUMSQ('TS-PILE'!$D$72:$D$91)=0,0,'TO HOP NLAN'!F118*'TS-PILE'!$D$79/SUMSQ('TS-PILE'!$D$72:$D$91))),IF('TS-PILE'!$B$80="",-1E+99,'TO HOP NLAN'!D118/ncoc+IF(SUMSQ('TS-PILE'!$E$72:$E$91)=0,0,'TO HOP NLAN'!E118*'TS-PILE'!$E$80/SUMSQ('TS-PILE'!$E$72:$E$91))+IF(SUMSQ('TS-PILE'!$D$72:$D$91)=0,0,'TO HOP NLAN'!F118*'TS-PILE'!$D$80/SUMSQ('TS-PILE'!$D$72:$D$91))),IF('TS-PILE'!$B$81="",-1E+99,'TO HOP NLAN'!D118/ncoc+IF(SUMSQ('TS-PILE'!$E$72:$E$91)=0,0,'TO HOP NLAN'!E118*'TS-PILE'!$E$81/SUMSQ('TS-PILE'!$E$72:$E$91))+IF(SUMSQ('TS-PILE'!$D$72:$D$91)=0,0,'TO HOP NLAN'!F118*'TS-PILE'!$D$81/SUMSQ('TS-PILE'!$D$72:$D$91))),IF('TS-PILE'!$B$82="",-1E+99,'TO HOP NLAN'!D118/ncoc+IF(SUMSQ('TS-PILE'!$E$72:$E$91)=0,0,'TO HOP NLAN'!E118*'TS-PILE'!$E$82/SUMSQ('TS-PILE'!$E$72:$E$91))+IF(SUMSQ('TS-PILE'!$D$72:$D$91)=0,0,'TO HOP NLAN'!F118*'TS-PILE'!$D$82/SUMSQ('TS-PILE'!$D$72:$D$91))),IF('TS-PILE'!$B$83="",-1E+99,'TO HOP NLAN'!D118/ncoc+IF(SUMSQ('TS-PILE'!$E$72:$E$91)=0,0,'TO HOP NLAN'!E118*'TS-PILE'!$E$83/SUMSQ('TS-PILE'!$E$72:$E$91))+IF(SUMSQ('TS-PILE'!$D$72:$D$91)=0,0,'TO HOP NLAN'!F118*'TS-PILE'!$D$83/SUMSQ('TS-PILE'!$D$72:$D$91))),IF('TS-PILE'!$B$84="",-1E+99,'TO HOP NLAN'!D118/ncoc+IF(SUMSQ('TS-PILE'!$E$72:$E$91)=0,0,'TO HOP NLAN'!E118*'TS-PILE'!$E$84/SUMSQ('TS-PILE'!$E$72:$E$91))+IF(SUMSQ('TS-PILE'!$D$72:$D$91)=0,0,'TO HOP NLAN'!F118*'TS-PILE'!$D$84/SUMSQ('TS-PILE'!$D$72:$D$91))),IF('TS-PILE'!$B$85="",-1E+99,'TO HOP NLAN'!D118/ncoc+IF(SUMSQ('TS-PILE'!$E$72:$E$91)=0,0,'TO HOP NLAN'!E118*'TS-PILE'!$E$85/SUMSQ('TS-PILE'!$E$72:$E$91))+IF(SUMSQ('TS-PILE'!$D$72:$D$91)=0,0,'TO HOP NLAN'!F118*'TS-PILE'!$D$85/SUMSQ('TS-PILE'!$D$72:$D$91))),IF('TS-PILE'!$B$86="",-1E+99,'TO HOP NLAN'!D118/ncoc+IF(SUMSQ('TS-PILE'!$E$72:$E$91)=0,0,'TO HOP NLAN'!E118*'TS-PILE'!$E$86/SUMSQ('TS-PILE'!$E$72:$E$91))+IF(SUMSQ('TS-PILE'!$D$72:$D$91)=0,0,'TO HOP NLAN'!F118*'TS-PILE'!$D$86/SUMSQ('TS-PILE'!$D$72:$D$91))),IF('TS-PILE'!$B$87="",-1E+99,'TO HOP NLAN'!D118/ncoc+IF(SUMSQ('TS-PILE'!$E$72:$E$91)=0,0,'TO HOP NLAN'!E118*'TS-PILE'!$E$87/SUMSQ('TS-PILE'!$E$72:$E$91))+IF(SUMSQ('TS-PILE'!$D$72:$D$91)=0,0,'TO HOP NLAN'!F118*'TS-PILE'!$D$87/SUMSQ('TS-PILE'!$D$72:$D$91))),IF('TS-PILE'!$B$88="",-1E+99,'TO HOP NLAN'!D118/ncoc+IF(SUMSQ('TS-PILE'!$E$72:$E$91)=0,0,'TO HOP NLAN'!E118*'TS-PILE'!$E$88/SUMSQ('TS-PILE'!$E$72:$E$91))+IF(SUMSQ('TS-PILE'!$D$72:$D$91)=0,0,'TO HOP NLAN'!F118*'TS-PILE'!$D$88/SUMSQ('TS-PILE'!$D$72:$D$91))),IF('TS-PILE'!$B$89="",-1E+99,'TO HOP NLAN'!D118/ncoc+IF(SUMSQ('TS-PILE'!$E$72:$E$91)=0,0,'TO HOP NLAN'!E118*'TS-PILE'!$E$89/SUMSQ('TS-PILE'!$E$72:$E$91))+IF(SUMSQ('TS-PILE'!$D$72:$D$91)=0,0,'TO HOP NLAN'!F118*'TS-PILE'!$D$89/SUMSQ('TS-PILE'!$D$72:$D$91))),IF('TS-PILE'!$B$90="",-1E+99,'TO HOP NLAN'!D118/ncoc+IF(SUMSQ('TS-PILE'!$E$72:$E$91)=0,0,'TO HOP NLAN'!E118*'TS-PILE'!$E$90/SUMSQ('TS-PILE'!$E$72:$E$91))+IF(SUMSQ('TS-PILE'!$D$72:$D$91)=0,0,'TO HOP NLAN'!F118*'TS-PILE'!$D$90/SUMSQ('TS-PILE'!$D$72:$D$91))),IF('TS-PILE'!$B$91="",-1E+99,'TO HOP NLAN'!D118/ncoc+IF(SUMSQ('TS-PILE'!$E$72:$E$91)=0,0,'TO HOP NLAN'!E118*'TS-PILE'!$E$91/SUMSQ('TS-PILE'!$E$72:$E$91))+IF(SUMSQ('TS-PILE'!$D$72:$D$91)=0,0,'TO HOP NLAN'!F118*'TS-PILE'!$D$91/SUMSQ('TS-PILE'!$D$72:$D$91)))))</f>
        <v>0</v>
      </c>
      <c r="D118" s="58">
        <f>IF(A118="",0,MIN(IF('TS-PILE'!$B$72="",1E+99,'TO HOP NLAN'!D118/ncoc+IF(SUMSQ('TS-PILE'!$E$72:$E$91)=0,0,'TO HOP NLAN'!E118*'TS-PILE'!$E$72/SUMSQ('TS-PILE'!$E$72:$E$91))+IF(SUMSQ('TS-PILE'!$D$72:$D$91)=0,0,'TO HOP NLAN'!F118*'TS-PILE'!$D$72/SUMSQ('TS-PILE'!$D$72:$D$91))),IF('TS-PILE'!$B$73="",1E+99,'TO HOP NLAN'!D118/ncoc+IF(SUMSQ('TS-PILE'!$E$72:$E$91)=0,0,'TO HOP NLAN'!E118*'TS-PILE'!$E$73/SUMSQ('TS-PILE'!$E$72:$E$91))+IF(SUMSQ('TS-PILE'!$D$72:$D$91)=0,0,'TO HOP NLAN'!F118*'TS-PILE'!$D$73/SUMSQ('TS-PILE'!$D$72:$D$91))),IF('TS-PILE'!$B$74="",1E+99,'TO HOP NLAN'!D118/ncoc+IF(SUMSQ('TS-PILE'!$E$72:$E$91)=0,0,'TO HOP NLAN'!E118*'TS-PILE'!$E$74/SUMSQ('TS-PILE'!$E$72:$E$91))+IF(SUMSQ('TS-PILE'!$D$72:$D$91)=0,0,'TO HOP NLAN'!F118*'TS-PILE'!$D$74/SUMSQ('TS-PILE'!$D$72:$D$91))),IF('TS-PILE'!$B$75="",1E+99,'TO HOP NLAN'!D118/ncoc+IF(SUMSQ('TS-PILE'!$E$72:$E$91)=0,0,'TO HOP NLAN'!E118*'TS-PILE'!$E$75/SUMSQ('TS-PILE'!$E$72:$E$91))+IF(SUMSQ('TS-PILE'!$D$72:$D$91)=0,0,'TO HOP NLAN'!F118*'TS-PILE'!$D$75/SUMSQ('TS-PILE'!$D$72:$D$91))),IF('TS-PILE'!$B$76="",1E+99,'TO HOP NLAN'!D118/ncoc+IF(SUMSQ('TS-PILE'!$E$72:$E$91)=0,0,'TO HOP NLAN'!E118*'TS-PILE'!$E$76/SUMSQ('TS-PILE'!$E$72:$E$91))+IF(SUMSQ('TS-PILE'!$D$72:$D$91)=0,0,'TO HOP NLAN'!F118*'TS-PILE'!$D$76/SUMSQ('TS-PILE'!$D$72:$D$91))),IF('TS-PILE'!$B$77="",1E+99,'TO HOP NLAN'!D118/ncoc+IF(SUMSQ('TS-PILE'!$E$72:$E$91)=0,0,'TO HOP NLAN'!E118*'TS-PILE'!$E$77/SUMSQ('TS-PILE'!$E$72:$E$91))+IF(SUMSQ('TS-PILE'!$D$72:$D$91)=0,0,'TO HOP NLAN'!F118*'TS-PILE'!$D$77/SUMSQ('TS-PILE'!$D$72:$D$91))),IF('TS-PILE'!$B$78="",1E+99,'TO HOP NLAN'!D118/ncoc+IF(SUMSQ('TS-PILE'!$E$72:$E$91)=0,0,'TO HOP NLAN'!E118*'TS-PILE'!$E$78/SUMSQ('TS-PILE'!$E$72:$E$91))+IF(SUMSQ('TS-PILE'!$D$72:$D$91)=0,0,'TO HOP NLAN'!F118*'TS-PILE'!$D$78/SUMSQ('TS-PILE'!$D$72:$D$91))),IF('TS-PILE'!$B$79="",1E+99,'TO HOP NLAN'!D118/ncoc+IF(SUMSQ('TS-PILE'!$E$72:$E$91)=0,0,'TO HOP NLAN'!E118*'TS-PILE'!$E$79/SUMSQ('TS-PILE'!$E$72:$E$91))+IF(SUMSQ('TS-PILE'!$D$72:$D$91)=0,0,'TO HOP NLAN'!F118*'TS-PILE'!$D$79/SUMSQ('TS-PILE'!$D$72:$D$91))),IF('TS-PILE'!$B$80="",1E+99,'TO HOP NLAN'!D118/ncoc+IF(SUMSQ('TS-PILE'!$E$72:$E$91)=0,0,'TO HOP NLAN'!E118*'TS-PILE'!$E$80/SUMSQ('TS-PILE'!$E$72:$E$91))+IF(SUMSQ('TS-PILE'!$D$72:$D$91)=0,0,'TO HOP NLAN'!F118*'TS-PILE'!$D$80/SUMSQ('TS-PILE'!$D$72:$D$91))),IF('TS-PILE'!$B$81="",1E+99,'TO HOP NLAN'!D118/ncoc+IF(SUMSQ('TS-PILE'!$E$72:$E$91)=0,0,'TO HOP NLAN'!E118*'TS-PILE'!$E$81/SUMSQ('TS-PILE'!$E$72:$E$91))+IF(SUMSQ('TS-PILE'!$D$72:$D$91)=0,0,'TO HOP NLAN'!F118*'TS-PILE'!$D$81/SUMSQ('TS-PILE'!$D$72:$D$91))),IF('TS-PILE'!$B$82="",1E+99,'TO HOP NLAN'!D118/ncoc+IF(SUMSQ('TS-PILE'!$E$72:$E$91)=0,0,'TO HOP NLAN'!E118*'TS-PILE'!$E$82/SUMSQ('TS-PILE'!$E$72:$E$91))+IF(SUMSQ('TS-PILE'!$D$72:$D$91)=0,0,'TO HOP NLAN'!F118*'TS-PILE'!$D$82/SUMSQ('TS-PILE'!$D$72:$D$91))),IF('TS-PILE'!$B$83="",1E+99,'TO HOP NLAN'!D118/ncoc+IF(SUMSQ('TS-PILE'!$E$72:$E$91)=0,0,'TO HOP NLAN'!E118*'TS-PILE'!$E$83/SUMSQ('TS-PILE'!$E$72:$E$91))+IF(SUMSQ('TS-PILE'!$D$72:$D$91)=0,0,'TO HOP NLAN'!F118*'TS-PILE'!$D$83/SUMSQ('TS-PILE'!$D$72:$D$91))),IF('TS-PILE'!$B$84="",1E+99,'TO HOP NLAN'!D118/ncoc+IF(SUMSQ('TS-PILE'!$E$72:$E$91)=0,0,'TO HOP NLAN'!E118*'TS-PILE'!$E$84/SUMSQ('TS-PILE'!$E$72:$E$91))+IF(SUMSQ('TS-PILE'!$D$72:$D$91)=0,0,'TO HOP NLAN'!F118*'TS-PILE'!$D$84/SUMSQ('TS-PILE'!$D$72:$D$91))),IF('TS-PILE'!$B$85="",1E+99,'TO HOP NLAN'!D118/ncoc+IF(SUMSQ('TS-PILE'!$E$72:$E$91)=0,0,'TO HOP NLAN'!E118*'TS-PILE'!$E$85/SUMSQ('TS-PILE'!$E$72:$E$91))+IF(SUMSQ('TS-PILE'!$D$72:$D$91)=0,0,'TO HOP NLAN'!F118*'TS-PILE'!$D$85/SUMSQ('TS-PILE'!$D$72:$D$91))),IF('TS-PILE'!$B$86="",1E+99,'TO HOP NLAN'!D118/ncoc+IF(SUMSQ('TS-PILE'!$E$72:$E$91)=0,0,'TO HOP NLAN'!E118*'TS-PILE'!$E$86/SUMSQ('TS-PILE'!$E$72:$E$91))+IF(SUMSQ('TS-PILE'!$D$72:$D$91)=0,0,'TO HOP NLAN'!F118*'TS-PILE'!$D$86/SUMSQ('TS-PILE'!$D$72:$D$91))),IF('TS-PILE'!$B$87="",1E+99,'TO HOP NLAN'!D118/ncoc+IF(SUMSQ('TS-PILE'!$E$72:$E$91)=0,0,'TO HOP NLAN'!E118*'TS-PILE'!$E$87/SUMSQ('TS-PILE'!$E$72:$E$91))+IF(SUMSQ('TS-PILE'!$D$72:$D$91)=0,0,'TO HOP NLAN'!F118*'TS-PILE'!$D$87/SUMSQ('TS-PILE'!$D$72:$D$91))),IF('TS-PILE'!$B$88="",1E+99,'TO HOP NLAN'!D118/ncoc+IF(SUMSQ('TS-PILE'!$E$72:$E$91)=0,0,'TO HOP NLAN'!E118*'TS-PILE'!$E$88/SUMSQ('TS-PILE'!$E$72:$E$91))+IF(SUMSQ('TS-PILE'!$D$72:$D$91)=0,0,'TO HOP NLAN'!F118*'TS-PILE'!$D$88/SUMSQ('TS-PILE'!$D$72:$D$91))),IF('TS-PILE'!$B$89="",1E+99,'TO HOP NLAN'!D118/ncoc+IF(SUMSQ('TS-PILE'!$E$72:$E$91)=0,0,'TO HOP NLAN'!E118*'TS-PILE'!$E$89/SUMSQ('TS-PILE'!$E$72:$E$91))+IF(SUMSQ('TS-PILE'!$D$72:$D$91)=0,0,'TO HOP NLAN'!F118*'TS-PILE'!$D$89/SUMSQ('TS-PILE'!$D$72:$D$91))),IF('TS-PILE'!$B$90="",1E+99,'TO HOP NLAN'!D118/ncoc+IF(SUMSQ('TS-PILE'!$E$72:$E$91)=0,0,'TO HOP NLAN'!E118*'TS-PILE'!$E$90/SUMSQ('TS-PILE'!$E$72:$E$91))+IF(SUMSQ('TS-PILE'!$D$72:$D$91)=0,0,'TO HOP NLAN'!F118*'TS-PILE'!$D$90/SUMSQ('TS-PILE'!$D$72:$D$91))),IF('TS-PILE'!$B$91="",1E+99,'TO HOP NLAN'!D118/ncoc+IF(SUMSQ('TS-PILE'!$E$72:$E$91)=0,0,'TO HOP NLAN'!E118*'TS-PILE'!$E$91/SUMSQ('TS-PILE'!$E$72:$E$91))+IF(SUMSQ('TS-PILE'!$D$72:$D$91)=0,0,'TO HOP NLAN'!F118*'TS-PILE'!$D$91/SUMSQ('TS-PILE'!$D$72:$D$91)))))</f>
        <v>0</v>
      </c>
      <c r="E118" s="58">
        <f t="shared" si="4"/>
        <v>-9.9999999999999997E+98</v>
      </c>
      <c r="F118" s="58">
        <f t="shared" si="5"/>
        <v>9.9999999999999997E+98</v>
      </c>
      <c r="G118" s="58">
        <f t="shared" si="6"/>
        <v>-9.9999999999999997E+98</v>
      </c>
      <c r="H118" s="58">
        <f t="shared" si="7"/>
        <v>9.9999999999999997E+98</v>
      </c>
    </row>
    <row r="119" spans="1:8" x14ac:dyDescent="0.3">
      <c r="A119" s="42" t="str">
        <f>'TO HOP NLAN'!A119</f>
        <v/>
      </c>
      <c r="B119" s="42" t="str">
        <f>'TO HOP NLAN'!L119</f>
        <v>STRENGTH</v>
      </c>
      <c r="C119" s="58">
        <f>IF(A119="",0,MAX(IF('TS-PILE'!$B$72="",-1E+99,'TO HOP NLAN'!D119/ncoc+IF(SUMSQ('TS-PILE'!$E$72:$E$91)=0,0,'TO HOP NLAN'!E119*'TS-PILE'!$E$72/SUMSQ('TS-PILE'!$E$72:$E$91))+IF(SUMSQ('TS-PILE'!$D$72:$D$91)=0,0,'TO HOP NLAN'!F119*'TS-PILE'!$D$72/SUMSQ('TS-PILE'!$D$72:$D$91))),IF('TS-PILE'!$B$73="",-1E+99,'TO HOP NLAN'!D119/ncoc+IF(SUMSQ('TS-PILE'!$E$72:$E$91)=0,0,'TO HOP NLAN'!E119*'TS-PILE'!$E$73/SUMSQ('TS-PILE'!$E$72:$E$91))+IF(SUMSQ('TS-PILE'!$D$72:$D$91)=0,0,'TO HOP NLAN'!F119*'TS-PILE'!$D$73/SUMSQ('TS-PILE'!$D$72:$D$91))),IF('TS-PILE'!$B$74="",-1E+99,'TO HOP NLAN'!D119/ncoc+IF(SUMSQ('TS-PILE'!$E$72:$E$91)=0,0,'TO HOP NLAN'!E119*'TS-PILE'!$E$74/SUMSQ('TS-PILE'!$E$72:$E$91))+IF(SUMSQ('TS-PILE'!$D$72:$D$91)=0,0,'TO HOP NLAN'!F119*'TS-PILE'!$D$74/SUMSQ('TS-PILE'!$D$72:$D$91))),IF('TS-PILE'!$B$75="",-1E+99,'TO HOP NLAN'!D119/ncoc+IF(SUMSQ('TS-PILE'!$E$72:$E$91)=0,0,'TO HOP NLAN'!E119*'TS-PILE'!$E$75/SUMSQ('TS-PILE'!$E$72:$E$91))+IF(SUMSQ('TS-PILE'!$D$72:$D$91)=0,0,'TO HOP NLAN'!F119*'TS-PILE'!$D$75/SUMSQ('TS-PILE'!$D$72:$D$91))),IF('TS-PILE'!$B$76="",-1E+99,'TO HOP NLAN'!D119/ncoc+IF(SUMSQ('TS-PILE'!$E$72:$E$91)=0,0,'TO HOP NLAN'!E119*'TS-PILE'!$E$76/SUMSQ('TS-PILE'!$E$72:$E$91))+IF(SUMSQ('TS-PILE'!$D$72:$D$91)=0,0,'TO HOP NLAN'!F119*'TS-PILE'!$D$76/SUMSQ('TS-PILE'!$D$72:$D$91))),IF('TS-PILE'!$B$77="",-1E+99,'TO HOP NLAN'!D119/ncoc+IF(SUMSQ('TS-PILE'!$E$72:$E$91)=0,0,'TO HOP NLAN'!E119*'TS-PILE'!$E$77/SUMSQ('TS-PILE'!$E$72:$E$91))+IF(SUMSQ('TS-PILE'!$D$72:$D$91)=0,0,'TO HOP NLAN'!F119*'TS-PILE'!$D$77/SUMSQ('TS-PILE'!$D$72:$D$91))),IF('TS-PILE'!$B$78="",-1E+99,'TO HOP NLAN'!D119/ncoc+IF(SUMSQ('TS-PILE'!$E$72:$E$91)=0,0,'TO HOP NLAN'!E119*'TS-PILE'!$E$78/SUMSQ('TS-PILE'!$E$72:$E$91))+IF(SUMSQ('TS-PILE'!$D$72:$D$91)=0,0,'TO HOP NLAN'!F119*'TS-PILE'!$D$78/SUMSQ('TS-PILE'!$D$72:$D$91))),IF('TS-PILE'!$B$79="",-1E+99,'TO HOP NLAN'!D119/ncoc+IF(SUMSQ('TS-PILE'!$E$72:$E$91)=0,0,'TO HOP NLAN'!E119*'TS-PILE'!$E$79/SUMSQ('TS-PILE'!$E$72:$E$91))+IF(SUMSQ('TS-PILE'!$D$72:$D$91)=0,0,'TO HOP NLAN'!F119*'TS-PILE'!$D$79/SUMSQ('TS-PILE'!$D$72:$D$91))),IF('TS-PILE'!$B$80="",-1E+99,'TO HOP NLAN'!D119/ncoc+IF(SUMSQ('TS-PILE'!$E$72:$E$91)=0,0,'TO HOP NLAN'!E119*'TS-PILE'!$E$80/SUMSQ('TS-PILE'!$E$72:$E$91))+IF(SUMSQ('TS-PILE'!$D$72:$D$91)=0,0,'TO HOP NLAN'!F119*'TS-PILE'!$D$80/SUMSQ('TS-PILE'!$D$72:$D$91))),IF('TS-PILE'!$B$81="",-1E+99,'TO HOP NLAN'!D119/ncoc+IF(SUMSQ('TS-PILE'!$E$72:$E$91)=0,0,'TO HOP NLAN'!E119*'TS-PILE'!$E$81/SUMSQ('TS-PILE'!$E$72:$E$91))+IF(SUMSQ('TS-PILE'!$D$72:$D$91)=0,0,'TO HOP NLAN'!F119*'TS-PILE'!$D$81/SUMSQ('TS-PILE'!$D$72:$D$91))),IF('TS-PILE'!$B$82="",-1E+99,'TO HOP NLAN'!D119/ncoc+IF(SUMSQ('TS-PILE'!$E$72:$E$91)=0,0,'TO HOP NLAN'!E119*'TS-PILE'!$E$82/SUMSQ('TS-PILE'!$E$72:$E$91))+IF(SUMSQ('TS-PILE'!$D$72:$D$91)=0,0,'TO HOP NLAN'!F119*'TS-PILE'!$D$82/SUMSQ('TS-PILE'!$D$72:$D$91))),IF('TS-PILE'!$B$83="",-1E+99,'TO HOP NLAN'!D119/ncoc+IF(SUMSQ('TS-PILE'!$E$72:$E$91)=0,0,'TO HOP NLAN'!E119*'TS-PILE'!$E$83/SUMSQ('TS-PILE'!$E$72:$E$91))+IF(SUMSQ('TS-PILE'!$D$72:$D$91)=0,0,'TO HOP NLAN'!F119*'TS-PILE'!$D$83/SUMSQ('TS-PILE'!$D$72:$D$91))),IF('TS-PILE'!$B$84="",-1E+99,'TO HOP NLAN'!D119/ncoc+IF(SUMSQ('TS-PILE'!$E$72:$E$91)=0,0,'TO HOP NLAN'!E119*'TS-PILE'!$E$84/SUMSQ('TS-PILE'!$E$72:$E$91))+IF(SUMSQ('TS-PILE'!$D$72:$D$91)=0,0,'TO HOP NLAN'!F119*'TS-PILE'!$D$84/SUMSQ('TS-PILE'!$D$72:$D$91))),IF('TS-PILE'!$B$85="",-1E+99,'TO HOP NLAN'!D119/ncoc+IF(SUMSQ('TS-PILE'!$E$72:$E$91)=0,0,'TO HOP NLAN'!E119*'TS-PILE'!$E$85/SUMSQ('TS-PILE'!$E$72:$E$91))+IF(SUMSQ('TS-PILE'!$D$72:$D$91)=0,0,'TO HOP NLAN'!F119*'TS-PILE'!$D$85/SUMSQ('TS-PILE'!$D$72:$D$91))),IF('TS-PILE'!$B$86="",-1E+99,'TO HOP NLAN'!D119/ncoc+IF(SUMSQ('TS-PILE'!$E$72:$E$91)=0,0,'TO HOP NLAN'!E119*'TS-PILE'!$E$86/SUMSQ('TS-PILE'!$E$72:$E$91))+IF(SUMSQ('TS-PILE'!$D$72:$D$91)=0,0,'TO HOP NLAN'!F119*'TS-PILE'!$D$86/SUMSQ('TS-PILE'!$D$72:$D$91))),IF('TS-PILE'!$B$87="",-1E+99,'TO HOP NLAN'!D119/ncoc+IF(SUMSQ('TS-PILE'!$E$72:$E$91)=0,0,'TO HOP NLAN'!E119*'TS-PILE'!$E$87/SUMSQ('TS-PILE'!$E$72:$E$91))+IF(SUMSQ('TS-PILE'!$D$72:$D$91)=0,0,'TO HOP NLAN'!F119*'TS-PILE'!$D$87/SUMSQ('TS-PILE'!$D$72:$D$91))),IF('TS-PILE'!$B$88="",-1E+99,'TO HOP NLAN'!D119/ncoc+IF(SUMSQ('TS-PILE'!$E$72:$E$91)=0,0,'TO HOP NLAN'!E119*'TS-PILE'!$E$88/SUMSQ('TS-PILE'!$E$72:$E$91))+IF(SUMSQ('TS-PILE'!$D$72:$D$91)=0,0,'TO HOP NLAN'!F119*'TS-PILE'!$D$88/SUMSQ('TS-PILE'!$D$72:$D$91))),IF('TS-PILE'!$B$89="",-1E+99,'TO HOP NLAN'!D119/ncoc+IF(SUMSQ('TS-PILE'!$E$72:$E$91)=0,0,'TO HOP NLAN'!E119*'TS-PILE'!$E$89/SUMSQ('TS-PILE'!$E$72:$E$91))+IF(SUMSQ('TS-PILE'!$D$72:$D$91)=0,0,'TO HOP NLAN'!F119*'TS-PILE'!$D$89/SUMSQ('TS-PILE'!$D$72:$D$91))),IF('TS-PILE'!$B$90="",-1E+99,'TO HOP NLAN'!D119/ncoc+IF(SUMSQ('TS-PILE'!$E$72:$E$91)=0,0,'TO HOP NLAN'!E119*'TS-PILE'!$E$90/SUMSQ('TS-PILE'!$E$72:$E$91))+IF(SUMSQ('TS-PILE'!$D$72:$D$91)=0,0,'TO HOP NLAN'!F119*'TS-PILE'!$D$90/SUMSQ('TS-PILE'!$D$72:$D$91))),IF('TS-PILE'!$B$91="",-1E+99,'TO HOP NLAN'!D119/ncoc+IF(SUMSQ('TS-PILE'!$E$72:$E$91)=0,0,'TO HOP NLAN'!E119*'TS-PILE'!$E$91/SUMSQ('TS-PILE'!$E$72:$E$91))+IF(SUMSQ('TS-PILE'!$D$72:$D$91)=0,0,'TO HOP NLAN'!F119*'TS-PILE'!$D$91/SUMSQ('TS-PILE'!$D$72:$D$91)))))</f>
        <v>0</v>
      </c>
      <c r="D119" s="58">
        <f>IF(A119="",0,MIN(IF('TS-PILE'!$B$72="",1E+99,'TO HOP NLAN'!D119/ncoc+IF(SUMSQ('TS-PILE'!$E$72:$E$91)=0,0,'TO HOP NLAN'!E119*'TS-PILE'!$E$72/SUMSQ('TS-PILE'!$E$72:$E$91))+IF(SUMSQ('TS-PILE'!$D$72:$D$91)=0,0,'TO HOP NLAN'!F119*'TS-PILE'!$D$72/SUMSQ('TS-PILE'!$D$72:$D$91))),IF('TS-PILE'!$B$73="",1E+99,'TO HOP NLAN'!D119/ncoc+IF(SUMSQ('TS-PILE'!$E$72:$E$91)=0,0,'TO HOP NLAN'!E119*'TS-PILE'!$E$73/SUMSQ('TS-PILE'!$E$72:$E$91))+IF(SUMSQ('TS-PILE'!$D$72:$D$91)=0,0,'TO HOP NLAN'!F119*'TS-PILE'!$D$73/SUMSQ('TS-PILE'!$D$72:$D$91))),IF('TS-PILE'!$B$74="",1E+99,'TO HOP NLAN'!D119/ncoc+IF(SUMSQ('TS-PILE'!$E$72:$E$91)=0,0,'TO HOP NLAN'!E119*'TS-PILE'!$E$74/SUMSQ('TS-PILE'!$E$72:$E$91))+IF(SUMSQ('TS-PILE'!$D$72:$D$91)=0,0,'TO HOP NLAN'!F119*'TS-PILE'!$D$74/SUMSQ('TS-PILE'!$D$72:$D$91))),IF('TS-PILE'!$B$75="",1E+99,'TO HOP NLAN'!D119/ncoc+IF(SUMSQ('TS-PILE'!$E$72:$E$91)=0,0,'TO HOP NLAN'!E119*'TS-PILE'!$E$75/SUMSQ('TS-PILE'!$E$72:$E$91))+IF(SUMSQ('TS-PILE'!$D$72:$D$91)=0,0,'TO HOP NLAN'!F119*'TS-PILE'!$D$75/SUMSQ('TS-PILE'!$D$72:$D$91))),IF('TS-PILE'!$B$76="",1E+99,'TO HOP NLAN'!D119/ncoc+IF(SUMSQ('TS-PILE'!$E$72:$E$91)=0,0,'TO HOP NLAN'!E119*'TS-PILE'!$E$76/SUMSQ('TS-PILE'!$E$72:$E$91))+IF(SUMSQ('TS-PILE'!$D$72:$D$91)=0,0,'TO HOP NLAN'!F119*'TS-PILE'!$D$76/SUMSQ('TS-PILE'!$D$72:$D$91))),IF('TS-PILE'!$B$77="",1E+99,'TO HOP NLAN'!D119/ncoc+IF(SUMSQ('TS-PILE'!$E$72:$E$91)=0,0,'TO HOP NLAN'!E119*'TS-PILE'!$E$77/SUMSQ('TS-PILE'!$E$72:$E$91))+IF(SUMSQ('TS-PILE'!$D$72:$D$91)=0,0,'TO HOP NLAN'!F119*'TS-PILE'!$D$77/SUMSQ('TS-PILE'!$D$72:$D$91))),IF('TS-PILE'!$B$78="",1E+99,'TO HOP NLAN'!D119/ncoc+IF(SUMSQ('TS-PILE'!$E$72:$E$91)=0,0,'TO HOP NLAN'!E119*'TS-PILE'!$E$78/SUMSQ('TS-PILE'!$E$72:$E$91))+IF(SUMSQ('TS-PILE'!$D$72:$D$91)=0,0,'TO HOP NLAN'!F119*'TS-PILE'!$D$78/SUMSQ('TS-PILE'!$D$72:$D$91))),IF('TS-PILE'!$B$79="",1E+99,'TO HOP NLAN'!D119/ncoc+IF(SUMSQ('TS-PILE'!$E$72:$E$91)=0,0,'TO HOP NLAN'!E119*'TS-PILE'!$E$79/SUMSQ('TS-PILE'!$E$72:$E$91))+IF(SUMSQ('TS-PILE'!$D$72:$D$91)=0,0,'TO HOP NLAN'!F119*'TS-PILE'!$D$79/SUMSQ('TS-PILE'!$D$72:$D$91))),IF('TS-PILE'!$B$80="",1E+99,'TO HOP NLAN'!D119/ncoc+IF(SUMSQ('TS-PILE'!$E$72:$E$91)=0,0,'TO HOP NLAN'!E119*'TS-PILE'!$E$80/SUMSQ('TS-PILE'!$E$72:$E$91))+IF(SUMSQ('TS-PILE'!$D$72:$D$91)=0,0,'TO HOP NLAN'!F119*'TS-PILE'!$D$80/SUMSQ('TS-PILE'!$D$72:$D$91))),IF('TS-PILE'!$B$81="",1E+99,'TO HOP NLAN'!D119/ncoc+IF(SUMSQ('TS-PILE'!$E$72:$E$91)=0,0,'TO HOP NLAN'!E119*'TS-PILE'!$E$81/SUMSQ('TS-PILE'!$E$72:$E$91))+IF(SUMSQ('TS-PILE'!$D$72:$D$91)=0,0,'TO HOP NLAN'!F119*'TS-PILE'!$D$81/SUMSQ('TS-PILE'!$D$72:$D$91))),IF('TS-PILE'!$B$82="",1E+99,'TO HOP NLAN'!D119/ncoc+IF(SUMSQ('TS-PILE'!$E$72:$E$91)=0,0,'TO HOP NLAN'!E119*'TS-PILE'!$E$82/SUMSQ('TS-PILE'!$E$72:$E$91))+IF(SUMSQ('TS-PILE'!$D$72:$D$91)=0,0,'TO HOP NLAN'!F119*'TS-PILE'!$D$82/SUMSQ('TS-PILE'!$D$72:$D$91))),IF('TS-PILE'!$B$83="",1E+99,'TO HOP NLAN'!D119/ncoc+IF(SUMSQ('TS-PILE'!$E$72:$E$91)=0,0,'TO HOP NLAN'!E119*'TS-PILE'!$E$83/SUMSQ('TS-PILE'!$E$72:$E$91))+IF(SUMSQ('TS-PILE'!$D$72:$D$91)=0,0,'TO HOP NLAN'!F119*'TS-PILE'!$D$83/SUMSQ('TS-PILE'!$D$72:$D$91))),IF('TS-PILE'!$B$84="",1E+99,'TO HOP NLAN'!D119/ncoc+IF(SUMSQ('TS-PILE'!$E$72:$E$91)=0,0,'TO HOP NLAN'!E119*'TS-PILE'!$E$84/SUMSQ('TS-PILE'!$E$72:$E$91))+IF(SUMSQ('TS-PILE'!$D$72:$D$91)=0,0,'TO HOP NLAN'!F119*'TS-PILE'!$D$84/SUMSQ('TS-PILE'!$D$72:$D$91))),IF('TS-PILE'!$B$85="",1E+99,'TO HOP NLAN'!D119/ncoc+IF(SUMSQ('TS-PILE'!$E$72:$E$91)=0,0,'TO HOP NLAN'!E119*'TS-PILE'!$E$85/SUMSQ('TS-PILE'!$E$72:$E$91))+IF(SUMSQ('TS-PILE'!$D$72:$D$91)=0,0,'TO HOP NLAN'!F119*'TS-PILE'!$D$85/SUMSQ('TS-PILE'!$D$72:$D$91))),IF('TS-PILE'!$B$86="",1E+99,'TO HOP NLAN'!D119/ncoc+IF(SUMSQ('TS-PILE'!$E$72:$E$91)=0,0,'TO HOP NLAN'!E119*'TS-PILE'!$E$86/SUMSQ('TS-PILE'!$E$72:$E$91))+IF(SUMSQ('TS-PILE'!$D$72:$D$91)=0,0,'TO HOP NLAN'!F119*'TS-PILE'!$D$86/SUMSQ('TS-PILE'!$D$72:$D$91))),IF('TS-PILE'!$B$87="",1E+99,'TO HOP NLAN'!D119/ncoc+IF(SUMSQ('TS-PILE'!$E$72:$E$91)=0,0,'TO HOP NLAN'!E119*'TS-PILE'!$E$87/SUMSQ('TS-PILE'!$E$72:$E$91))+IF(SUMSQ('TS-PILE'!$D$72:$D$91)=0,0,'TO HOP NLAN'!F119*'TS-PILE'!$D$87/SUMSQ('TS-PILE'!$D$72:$D$91))),IF('TS-PILE'!$B$88="",1E+99,'TO HOP NLAN'!D119/ncoc+IF(SUMSQ('TS-PILE'!$E$72:$E$91)=0,0,'TO HOP NLAN'!E119*'TS-PILE'!$E$88/SUMSQ('TS-PILE'!$E$72:$E$91))+IF(SUMSQ('TS-PILE'!$D$72:$D$91)=0,0,'TO HOP NLAN'!F119*'TS-PILE'!$D$88/SUMSQ('TS-PILE'!$D$72:$D$91))),IF('TS-PILE'!$B$89="",1E+99,'TO HOP NLAN'!D119/ncoc+IF(SUMSQ('TS-PILE'!$E$72:$E$91)=0,0,'TO HOP NLAN'!E119*'TS-PILE'!$E$89/SUMSQ('TS-PILE'!$E$72:$E$91))+IF(SUMSQ('TS-PILE'!$D$72:$D$91)=0,0,'TO HOP NLAN'!F119*'TS-PILE'!$D$89/SUMSQ('TS-PILE'!$D$72:$D$91))),IF('TS-PILE'!$B$90="",1E+99,'TO HOP NLAN'!D119/ncoc+IF(SUMSQ('TS-PILE'!$E$72:$E$91)=0,0,'TO HOP NLAN'!E119*'TS-PILE'!$E$90/SUMSQ('TS-PILE'!$E$72:$E$91))+IF(SUMSQ('TS-PILE'!$D$72:$D$91)=0,0,'TO HOP NLAN'!F119*'TS-PILE'!$D$90/SUMSQ('TS-PILE'!$D$72:$D$91))),IF('TS-PILE'!$B$91="",1E+99,'TO HOP NLAN'!D119/ncoc+IF(SUMSQ('TS-PILE'!$E$72:$E$91)=0,0,'TO HOP NLAN'!E119*'TS-PILE'!$E$91/SUMSQ('TS-PILE'!$E$72:$E$91))+IF(SUMSQ('TS-PILE'!$D$72:$D$91)=0,0,'TO HOP NLAN'!F119*'TS-PILE'!$D$91/SUMSQ('TS-PILE'!$D$72:$D$91)))))</f>
        <v>0</v>
      </c>
      <c r="E119" s="58">
        <f t="shared" si="4"/>
        <v>-9.9999999999999997E+98</v>
      </c>
      <c r="F119" s="58">
        <f t="shared" si="5"/>
        <v>9.9999999999999997E+98</v>
      </c>
      <c r="G119" s="58">
        <f t="shared" si="6"/>
        <v>-9.9999999999999997E+98</v>
      </c>
      <c r="H119" s="58">
        <f t="shared" si="7"/>
        <v>9.9999999999999997E+98</v>
      </c>
    </row>
    <row r="120" spans="1:8" x14ac:dyDescent="0.3">
      <c r="A120" s="42" t="str">
        <f>'TO HOP NLAN'!A120</f>
        <v/>
      </c>
      <c r="B120" s="42" t="str">
        <f>'TO HOP NLAN'!L120</f>
        <v>STRENGTH</v>
      </c>
      <c r="C120" s="58">
        <f>IF(A120="",0,MAX(IF('TS-PILE'!$B$72="",-1E+99,'TO HOP NLAN'!D120/ncoc+IF(SUMSQ('TS-PILE'!$E$72:$E$91)=0,0,'TO HOP NLAN'!E120*'TS-PILE'!$E$72/SUMSQ('TS-PILE'!$E$72:$E$91))+IF(SUMSQ('TS-PILE'!$D$72:$D$91)=0,0,'TO HOP NLAN'!F120*'TS-PILE'!$D$72/SUMSQ('TS-PILE'!$D$72:$D$91))),IF('TS-PILE'!$B$73="",-1E+99,'TO HOP NLAN'!D120/ncoc+IF(SUMSQ('TS-PILE'!$E$72:$E$91)=0,0,'TO HOP NLAN'!E120*'TS-PILE'!$E$73/SUMSQ('TS-PILE'!$E$72:$E$91))+IF(SUMSQ('TS-PILE'!$D$72:$D$91)=0,0,'TO HOP NLAN'!F120*'TS-PILE'!$D$73/SUMSQ('TS-PILE'!$D$72:$D$91))),IF('TS-PILE'!$B$74="",-1E+99,'TO HOP NLAN'!D120/ncoc+IF(SUMSQ('TS-PILE'!$E$72:$E$91)=0,0,'TO HOP NLAN'!E120*'TS-PILE'!$E$74/SUMSQ('TS-PILE'!$E$72:$E$91))+IF(SUMSQ('TS-PILE'!$D$72:$D$91)=0,0,'TO HOP NLAN'!F120*'TS-PILE'!$D$74/SUMSQ('TS-PILE'!$D$72:$D$91))),IF('TS-PILE'!$B$75="",-1E+99,'TO HOP NLAN'!D120/ncoc+IF(SUMSQ('TS-PILE'!$E$72:$E$91)=0,0,'TO HOP NLAN'!E120*'TS-PILE'!$E$75/SUMSQ('TS-PILE'!$E$72:$E$91))+IF(SUMSQ('TS-PILE'!$D$72:$D$91)=0,0,'TO HOP NLAN'!F120*'TS-PILE'!$D$75/SUMSQ('TS-PILE'!$D$72:$D$91))),IF('TS-PILE'!$B$76="",-1E+99,'TO HOP NLAN'!D120/ncoc+IF(SUMSQ('TS-PILE'!$E$72:$E$91)=0,0,'TO HOP NLAN'!E120*'TS-PILE'!$E$76/SUMSQ('TS-PILE'!$E$72:$E$91))+IF(SUMSQ('TS-PILE'!$D$72:$D$91)=0,0,'TO HOP NLAN'!F120*'TS-PILE'!$D$76/SUMSQ('TS-PILE'!$D$72:$D$91))),IF('TS-PILE'!$B$77="",-1E+99,'TO HOP NLAN'!D120/ncoc+IF(SUMSQ('TS-PILE'!$E$72:$E$91)=0,0,'TO HOP NLAN'!E120*'TS-PILE'!$E$77/SUMSQ('TS-PILE'!$E$72:$E$91))+IF(SUMSQ('TS-PILE'!$D$72:$D$91)=0,0,'TO HOP NLAN'!F120*'TS-PILE'!$D$77/SUMSQ('TS-PILE'!$D$72:$D$91))),IF('TS-PILE'!$B$78="",-1E+99,'TO HOP NLAN'!D120/ncoc+IF(SUMSQ('TS-PILE'!$E$72:$E$91)=0,0,'TO HOP NLAN'!E120*'TS-PILE'!$E$78/SUMSQ('TS-PILE'!$E$72:$E$91))+IF(SUMSQ('TS-PILE'!$D$72:$D$91)=0,0,'TO HOP NLAN'!F120*'TS-PILE'!$D$78/SUMSQ('TS-PILE'!$D$72:$D$91))),IF('TS-PILE'!$B$79="",-1E+99,'TO HOP NLAN'!D120/ncoc+IF(SUMSQ('TS-PILE'!$E$72:$E$91)=0,0,'TO HOP NLAN'!E120*'TS-PILE'!$E$79/SUMSQ('TS-PILE'!$E$72:$E$91))+IF(SUMSQ('TS-PILE'!$D$72:$D$91)=0,0,'TO HOP NLAN'!F120*'TS-PILE'!$D$79/SUMSQ('TS-PILE'!$D$72:$D$91))),IF('TS-PILE'!$B$80="",-1E+99,'TO HOP NLAN'!D120/ncoc+IF(SUMSQ('TS-PILE'!$E$72:$E$91)=0,0,'TO HOP NLAN'!E120*'TS-PILE'!$E$80/SUMSQ('TS-PILE'!$E$72:$E$91))+IF(SUMSQ('TS-PILE'!$D$72:$D$91)=0,0,'TO HOP NLAN'!F120*'TS-PILE'!$D$80/SUMSQ('TS-PILE'!$D$72:$D$91))),IF('TS-PILE'!$B$81="",-1E+99,'TO HOP NLAN'!D120/ncoc+IF(SUMSQ('TS-PILE'!$E$72:$E$91)=0,0,'TO HOP NLAN'!E120*'TS-PILE'!$E$81/SUMSQ('TS-PILE'!$E$72:$E$91))+IF(SUMSQ('TS-PILE'!$D$72:$D$91)=0,0,'TO HOP NLAN'!F120*'TS-PILE'!$D$81/SUMSQ('TS-PILE'!$D$72:$D$91))),IF('TS-PILE'!$B$82="",-1E+99,'TO HOP NLAN'!D120/ncoc+IF(SUMSQ('TS-PILE'!$E$72:$E$91)=0,0,'TO HOP NLAN'!E120*'TS-PILE'!$E$82/SUMSQ('TS-PILE'!$E$72:$E$91))+IF(SUMSQ('TS-PILE'!$D$72:$D$91)=0,0,'TO HOP NLAN'!F120*'TS-PILE'!$D$82/SUMSQ('TS-PILE'!$D$72:$D$91))),IF('TS-PILE'!$B$83="",-1E+99,'TO HOP NLAN'!D120/ncoc+IF(SUMSQ('TS-PILE'!$E$72:$E$91)=0,0,'TO HOP NLAN'!E120*'TS-PILE'!$E$83/SUMSQ('TS-PILE'!$E$72:$E$91))+IF(SUMSQ('TS-PILE'!$D$72:$D$91)=0,0,'TO HOP NLAN'!F120*'TS-PILE'!$D$83/SUMSQ('TS-PILE'!$D$72:$D$91))),IF('TS-PILE'!$B$84="",-1E+99,'TO HOP NLAN'!D120/ncoc+IF(SUMSQ('TS-PILE'!$E$72:$E$91)=0,0,'TO HOP NLAN'!E120*'TS-PILE'!$E$84/SUMSQ('TS-PILE'!$E$72:$E$91))+IF(SUMSQ('TS-PILE'!$D$72:$D$91)=0,0,'TO HOP NLAN'!F120*'TS-PILE'!$D$84/SUMSQ('TS-PILE'!$D$72:$D$91))),IF('TS-PILE'!$B$85="",-1E+99,'TO HOP NLAN'!D120/ncoc+IF(SUMSQ('TS-PILE'!$E$72:$E$91)=0,0,'TO HOP NLAN'!E120*'TS-PILE'!$E$85/SUMSQ('TS-PILE'!$E$72:$E$91))+IF(SUMSQ('TS-PILE'!$D$72:$D$91)=0,0,'TO HOP NLAN'!F120*'TS-PILE'!$D$85/SUMSQ('TS-PILE'!$D$72:$D$91))),IF('TS-PILE'!$B$86="",-1E+99,'TO HOP NLAN'!D120/ncoc+IF(SUMSQ('TS-PILE'!$E$72:$E$91)=0,0,'TO HOP NLAN'!E120*'TS-PILE'!$E$86/SUMSQ('TS-PILE'!$E$72:$E$91))+IF(SUMSQ('TS-PILE'!$D$72:$D$91)=0,0,'TO HOP NLAN'!F120*'TS-PILE'!$D$86/SUMSQ('TS-PILE'!$D$72:$D$91))),IF('TS-PILE'!$B$87="",-1E+99,'TO HOP NLAN'!D120/ncoc+IF(SUMSQ('TS-PILE'!$E$72:$E$91)=0,0,'TO HOP NLAN'!E120*'TS-PILE'!$E$87/SUMSQ('TS-PILE'!$E$72:$E$91))+IF(SUMSQ('TS-PILE'!$D$72:$D$91)=0,0,'TO HOP NLAN'!F120*'TS-PILE'!$D$87/SUMSQ('TS-PILE'!$D$72:$D$91))),IF('TS-PILE'!$B$88="",-1E+99,'TO HOP NLAN'!D120/ncoc+IF(SUMSQ('TS-PILE'!$E$72:$E$91)=0,0,'TO HOP NLAN'!E120*'TS-PILE'!$E$88/SUMSQ('TS-PILE'!$E$72:$E$91))+IF(SUMSQ('TS-PILE'!$D$72:$D$91)=0,0,'TO HOP NLAN'!F120*'TS-PILE'!$D$88/SUMSQ('TS-PILE'!$D$72:$D$91))),IF('TS-PILE'!$B$89="",-1E+99,'TO HOP NLAN'!D120/ncoc+IF(SUMSQ('TS-PILE'!$E$72:$E$91)=0,0,'TO HOP NLAN'!E120*'TS-PILE'!$E$89/SUMSQ('TS-PILE'!$E$72:$E$91))+IF(SUMSQ('TS-PILE'!$D$72:$D$91)=0,0,'TO HOP NLAN'!F120*'TS-PILE'!$D$89/SUMSQ('TS-PILE'!$D$72:$D$91))),IF('TS-PILE'!$B$90="",-1E+99,'TO HOP NLAN'!D120/ncoc+IF(SUMSQ('TS-PILE'!$E$72:$E$91)=0,0,'TO HOP NLAN'!E120*'TS-PILE'!$E$90/SUMSQ('TS-PILE'!$E$72:$E$91))+IF(SUMSQ('TS-PILE'!$D$72:$D$91)=0,0,'TO HOP NLAN'!F120*'TS-PILE'!$D$90/SUMSQ('TS-PILE'!$D$72:$D$91))),IF('TS-PILE'!$B$91="",-1E+99,'TO HOP NLAN'!D120/ncoc+IF(SUMSQ('TS-PILE'!$E$72:$E$91)=0,0,'TO HOP NLAN'!E120*'TS-PILE'!$E$91/SUMSQ('TS-PILE'!$E$72:$E$91))+IF(SUMSQ('TS-PILE'!$D$72:$D$91)=0,0,'TO HOP NLAN'!F120*'TS-PILE'!$D$91/SUMSQ('TS-PILE'!$D$72:$D$91)))))</f>
        <v>0</v>
      </c>
      <c r="D120" s="58">
        <f>IF(A120="",0,MIN(IF('TS-PILE'!$B$72="",1E+99,'TO HOP NLAN'!D120/ncoc+IF(SUMSQ('TS-PILE'!$E$72:$E$91)=0,0,'TO HOP NLAN'!E120*'TS-PILE'!$E$72/SUMSQ('TS-PILE'!$E$72:$E$91))+IF(SUMSQ('TS-PILE'!$D$72:$D$91)=0,0,'TO HOP NLAN'!F120*'TS-PILE'!$D$72/SUMSQ('TS-PILE'!$D$72:$D$91))),IF('TS-PILE'!$B$73="",1E+99,'TO HOP NLAN'!D120/ncoc+IF(SUMSQ('TS-PILE'!$E$72:$E$91)=0,0,'TO HOP NLAN'!E120*'TS-PILE'!$E$73/SUMSQ('TS-PILE'!$E$72:$E$91))+IF(SUMSQ('TS-PILE'!$D$72:$D$91)=0,0,'TO HOP NLAN'!F120*'TS-PILE'!$D$73/SUMSQ('TS-PILE'!$D$72:$D$91))),IF('TS-PILE'!$B$74="",1E+99,'TO HOP NLAN'!D120/ncoc+IF(SUMSQ('TS-PILE'!$E$72:$E$91)=0,0,'TO HOP NLAN'!E120*'TS-PILE'!$E$74/SUMSQ('TS-PILE'!$E$72:$E$91))+IF(SUMSQ('TS-PILE'!$D$72:$D$91)=0,0,'TO HOP NLAN'!F120*'TS-PILE'!$D$74/SUMSQ('TS-PILE'!$D$72:$D$91))),IF('TS-PILE'!$B$75="",1E+99,'TO HOP NLAN'!D120/ncoc+IF(SUMSQ('TS-PILE'!$E$72:$E$91)=0,0,'TO HOP NLAN'!E120*'TS-PILE'!$E$75/SUMSQ('TS-PILE'!$E$72:$E$91))+IF(SUMSQ('TS-PILE'!$D$72:$D$91)=0,0,'TO HOP NLAN'!F120*'TS-PILE'!$D$75/SUMSQ('TS-PILE'!$D$72:$D$91))),IF('TS-PILE'!$B$76="",1E+99,'TO HOP NLAN'!D120/ncoc+IF(SUMSQ('TS-PILE'!$E$72:$E$91)=0,0,'TO HOP NLAN'!E120*'TS-PILE'!$E$76/SUMSQ('TS-PILE'!$E$72:$E$91))+IF(SUMSQ('TS-PILE'!$D$72:$D$91)=0,0,'TO HOP NLAN'!F120*'TS-PILE'!$D$76/SUMSQ('TS-PILE'!$D$72:$D$91))),IF('TS-PILE'!$B$77="",1E+99,'TO HOP NLAN'!D120/ncoc+IF(SUMSQ('TS-PILE'!$E$72:$E$91)=0,0,'TO HOP NLAN'!E120*'TS-PILE'!$E$77/SUMSQ('TS-PILE'!$E$72:$E$91))+IF(SUMSQ('TS-PILE'!$D$72:$D$91)=0,0,'TO HOP NLAN'!F120*'TS-PILE'!$D$77/SUMSQ('TS-PILE'!$D$72:$D$91))),IF('TS-PILE'!$B$78="",1E+99,'TO HOP NLAN'!D120/ncoc+IF(SUMSQ('TS-PILE'!$E$72:$E$91)=0,0,'TO HOP NLAN'!E120*'TS-PILE'!$E$78/SUMSQ('TS-PILE'!$E$72:$E$91))+IF(SUMSQ('TS-PILE'!$D$72:$D$91)=0,0,'TO HOP NLAN'!F120*'TS-PILE'!$D$78/SUMSQ('TS-PILE'!$D$72:$D$91))),IF('TS-PILE'!$B$79="",1E+99,'TO HOP NLAN'!D120/ncoc+IF(SUMSQ('TS-PILE'!$E$72:$E$91)=0,0,'TO HOP NLAN'!E120*'TS-PILE'!$E$79/SUMSQ('TS-PILE'!$E$72:$E$91))+IF(SUMSQ('TS-PILE'!$D$72:$D$91)=0,0,'TO HOP NLAN'!F120*'TS-PILE'!$D$79/SUMSQ('TS-PILE'!$D$72:$D$91))),IF('TS-PILE'!$B$80="",1E+99,'TO HOP NLAN'!D120/ncoc+IF(SUMSQ('TS-PILE'!$E$72:$E$91)=0,0,'TO HOP NLAN'!E120*'TS-PILE'!$E$80/SUMSQ('TS-PILE'!$E$72:$E$91))+IF(SUMSQ('TS-PILE'!$D$72:$D$91)=0,0,'TO HOP NLAN'!F120*'TS-PILE'!$D$80/SUMSQ('TS-PILE'!$D$72:$D$91))),IF('TS-PILE'!$B$81="",1E+99,'TO HOP NLAN'!D120/ncoc+IF(SUMSQ('TS-PILE'!$E$72:$E$91)=0,0,'TO HOP NLAN'!E120*'TS-PILE'!$E$81/SUMSQ('TS-PILE'!$E$72:$E$91))+IF(SUMSQ('TS-PILE'!$D$72:$D$91)=0,0,'TO HOP NLAN'!F120*'TS-PILE'!$D$81/SUMSQ('TS-PILE'!$D$72:$D$91))),IF('TS-PILE'!$B$82="",1E+99,'TO HOP NLAN'!D120/ncoc+IF(SUMSQ('TS-PILE'!$E$72:$E$91)=0,0,'TO HOP NLAN'!E120*'TS-PILE'!$E$82/SUMSQ('TS-PILE'!$E$72:$E$91))+IF(SUMSQ('TS-PILE'!$D$72:$D$91)=0,0,'TO HOP NLAN'!F120*'TS-PILE'!$D$82/SUMSQ('TS-PILE'!$D$72:$D$91))),IF('TS-PILE'!$B$83="",1E+99,'TO HOP NLAN'!D120/ncoc+IF(SUMSQ('TS-PILE'!$E$72:$E$91)=0,0,'TO HOP NLAN'!E120*'TS-PILE'!$E$83/SUMSQ('TS-PILE'!$E$72:$E$91))+IF(SUMSQ('TS-PILE'!$D$72:$D$91)=0,0,'TO HOP NLAN'!F120*'TS-PILE'!$D$83/SUMSQ('TS-PILE'!$D$72:$D$91))),IF('TS-PILE'!$B$84="",1E+99,'TO HOP NLAN'!D120/ncoc+IF(SUMSQ('TS-PILE'!$E$72:$E$91)=0,0,'TO HOP NLAN'!E120*'TS-PILE'!$E$84/SUMSQ('TS-PILE'!$E$72:$E$91))+IF(SUMSQ('TS-PILE'!$D$72:$D$91)=0,0,'TO HOP NLAN'!F120*'TS-PILE'!$D$84/SUMSQ('TS-PILE'!$D$72:$D$91))),IF('TS-PILE'!$B$85="",1E+99,'TO HOP NLAN'!D120/ncoc+IF(SUMSQ('TS-PILE'!$E$72:$E$91)=0,0,'TO HOP NLAN'!E120*'TS-PILE'!$E$85/SUMSQ('TS-PILE'!$E$72:$E$91))+IF(SUMSQ('TS-PILE'!$D$72:$D$91)=0,0,'TO HOP NLAN'!F120*'TS-PILE'!$D$85/SUMSQ('TS-PILE'!$D$72:$D$91))),IF('TS-PILE'!$B$86="",1E+99,'TO HOP NLAN'!D120/ncoc+IF(SUMSQ('TS-PILE'!$E$72:$E$91)=0,0,'TO HOP NLAN'!E120*'TS-PILE'!$E$86/SUMSQ('TS-PILE'!$E$72:$E$91))+IF(SUMSQ('TS-PILE'!$D$72:$D$91)=0,0,'TO HOP NLAN'!F120*'TS-PILE'!$D$86/SUMSQ('TS-PILE'!$D$72:$D$91))),IF('TS-PILE'!$B$87="",1E+99,'TO HOP NLAN'!D120/ncoc+IF(SUMSQ('TS-PILE'!$E$72:$E$91)=0,0,'TO HOP NLAN'!E120*'TS-PILE'!$E$87/SUMSQ('TS-PILE'!$E$72:$E$91))+IF(SUMSQ('TS-PILE'!$D$72:$D$91)=0,0,'TO HOP NLAN'!F120*'TS-PILE'!$D$87/SUMSQ('TS-PILE'!$D$72:$D$91))),IF('TS-PILE'!$B$88="",1E+99,'TO HOP NLAN'!D120/ncoc+IF(SUMSQ('TS-PILE'!$E$72:$E$91)=0,0,'TO HOP NLAN'!E120*'TS-PILE'!$E$88/SUMSQ('TS-PILE'!$E$72:$E$91))+IF(SUMSQ('TS-PILE'!$D$72:$D$91)=0,0,'TO HOP NLAN'!F120*'TS-PILE'!$D$88/SUMSQ('TS-PILE'!$D$72:$D$91))),IF('TS-PILE'!$B$89="",1E+99,'TO HOP NLAN'!D120/ncoc+IF(SUMSQ('TS-PILE'!$E$72:$E$91)=0,0,'TO HOP NLAN'!E120*'TS-PILE'!$E$89/SUMSQ('TS-PILE'!$E$72:$E$91))+IF(SUMSQ('TS-PILE'!$D$72:$D$91)=0,0,'TO HOP NLAN'!F120*'TS-PILE'!$D$89/SUMSQ('TS-PILE'!$D$72:$D$91))),IF('TS-PILE'!$B$90="",1E+99,'TO HOP NLAN'!D120/ncoc+IF(SUMSQ('TS-PILE'!$E$72:$E$91)=0,0,'TO HOP NLAN'!E120*'TS-PILE'!$E$90/SUMSQ('TS-PILE'!$E$72:$E$91))+IF(SUMSQ('TS-PILE'!$D$72:$D$91)=0,0,'TO HOP NLAN'!F120*'TS-PILE'!$D$90/SUMSQ('TS-PILE'!$D$72:$D$91))),IF('TS-PILE'!$B$91="",1E+99,'TO HOP NLAN'!D120/ncoc+IF(SUMSQ('TS-PILE'!$E$72:$E$91)=0,0,'TO HOP NLAN'!E120*'TS-PILE'!$E$91/SUMSQ('TS-PILE'!$E$72:$E$91))+IF(SUMSQ('TS-PILE'!$D$72:$D$91)=0,0,'TO HOP NLAN'!F120*'TS-PILE'!$D$91/SUMSQ('TS-PILE'!$D$72:$D$91)))))</f>
        <v>0</v>
      </c>
      <c r="E120" s="58">
        <f t="shared" si="4"/>
        <v>-9.9999999999999997E+98</v>
      </c>
      <c r="F120" s="58">
        <f t="shared" si="5"/>
        <v>9.9999999999999997E+98</v>
      </c>
      <c r="G120" s="58">
        <f t="shared" si="6"/>
        <v>-9.9999999999999997E+98</v>
      </c>
      <c r="H120" s="58">
        <f t="shared" si="7"/>
        <v>9.9999999999999997E+98</v>
      </c>
    </row>
    <row r="121" spans="1:8" x14ac:dyDescent="0.3">
      <c r="A121" s="42" t="str">
        <f>'TO HOP NLAN'!A121</f>
        <v/>
      </c>
      <c r="B121" s="42" t="str">
        <f>'TO HOP NLAN'!L121</f>
        <v>STRENGTH</v>
      </c>
      <c r="C121" s="58">
        <f>IF(A121="",0,MAX(IF('TS-PILE'!$B$72="",-1E+99,'TO HOP NLAN'!D121/ncoc+IF(SUMSQ('TS-PILE'!$E$72:$E$91)=0,0,'TO HOP NLAN'!E121*'TS-PILE'!$E$72/SUMSQ('TS-PILE'!$E$72:$E$91))+IF(SUMSQ('TS-PILE'!$D$72:$D$91)=0,0,'TO HOP NLAN'!F121*'TS-PILE'!$D$72/SUMSQ('TS-PILE'!$D$72:$D$91))),IF('TS-PILE'!$B$73="",-1E+99,'TO HOP NLAN'!D121/ncoc+IF(SUMSQ('TS-PILE'!$E$72:$E$91)=0,0,'TO HOP NLAN'!E121*'TS-PILE'!$E$73/SUMSQ('TS-PILE'!$E$72:$E$91))+IF(SUMSQ('TS-PILE'!$D$72:$D$91)=0,0,'TO HOP NLAN'!F121*'TS-PILE'!$D$73/SUMSQ('TS-PILE'!$D$72:$D$91))),IF('TS-PILE'!$B$74="",-1E+99,'TO HOP NLAN'!D121/ncoc+IF(SUMSQ('TS-PILE'!$E$72:$E$91)=0,0,'TO HOP NLAN'!E121*'TS-PILE'!$E$74/SUMSQ('TS-PILE'!$E$72:$E$91))+IF(SUMSQ('TS-PILE'!$D$72:$D$91)=0,0,'TO HOP NLAN'!F121*'TS-PILE'!$D$74/SUMSQ('TS-PILE'!$D$72:$D$91))),IF('TS-PILE'!$B$75="",-1E+99,'TO HOP NLAN'!D121/ncoc+IF(SUMSQ('TS-PILE'!$E$72:$E$91)=0,0,'TO HOP NLAN'!E121*'TS-PILE'!$E$75/SUMSQ('TS-PILE'!$E$72:$E$91))+IF(SUMSQ('TS-PILE'!$D$72:$D$91)=0,0,'TO HOP NLAN'!F121*'TS-PILE'!$D$75/SUMSQ('TS-PILE'!$D$72:$D$91))),IF('TS-PILE'!$B$76="",-1E+99,'TO HOP NLAN'!D121/ncoc+IF(SUMSQ('TS-PILE'!$E$72:$E$91)=0,0,'TO HOP NLAN'!E121*'TS-PILE'!$E$76/SUMSQ('TS-PILE'!$E$72:$E$91))+IF(SUMSQ('TS-PILE'!$D$72:$D$91)=0,0,'TO HOP NLAN'!F121*'TS-PILE'!$D$76/SUMSQ('TS-PILE'!$D$72:$D$91))),IF('TS-PILE'!$B$77="",-1E+99,'TO HOP NLAN'!D121/ncoc+IF(SUMSQ('TS-PILE'!$E$72:$E$91)=0,0,'TO HOP NLAN'!E121*'TS-PILE'!$E$77/SUMSQ('TS-PILE'!$E$72:$E$91))+IF(SUMSQ('TS-PILE'!$D$72:$D$91)=0,0,'TO HOP NLAN'!F121*'TS-PILE'!$D$77/SUMSQ('TS-PILE'!$D$72:$D$91))),IF('TS-PILE'!$B$78="",-1E+99,'TO HOP NLAN'!D121/ncoc+IF(SUMSQ('TS-PILE'!$E$72:$E$91)=0,0,'TO HOP NLAN'!E121*'TS-PILE'!$E$78/SUMSQ('TS-PILE'!$E$72:$E$91))+IF(SUMSQ('TS-PILE'!$D$72:$D$91)=0,0,'TO HOP NLAN'!F121*'TS-PILE'!$D$78/SUMSQ('TS-PILE'!$D$72:$D$91))),IF('TS-PILE'!$B$79="",-1E+99,'TO HOP NLAN'!D121/ncoc+IF(SUMSQ('TS-PILE'!$E$72:$E$91)=0,0,'TO HOP NLAN'!E121*'TS-PILE'!$E$79/SUMSQ('TS-PILE'!$E$72:$E$91))+IF(SUMSQ('TS-PILE'!$D$72:$D$91)=0,0,'TO HOP NLAN'!F121*'TS-PILE'!$D$79/SUMSQ('TS-PILE'!$D$72:$D$91))),IF('TS-PILE'!$B$80="",-1E+99,'TO HOP NLAN'!D121/ncoc+IF(SUMSQ('TS-PILE'!$E$72:$E$91)=0,0,'TO HOP NLAN'!E121*'TS-PILE'!$E$80/SUMSQ('TS-PILE'!$E$72:$E$91))+IF(SUMSQ('TS-PILE'!$D$72:$D$91)=0,0,'TO HOP NLAN'!F121*'TS-PILE'!$D$80/SUMSQ('TS-PILE'!$D$72:$D$91))),IF('TS-PILE'!$B$81="",-1E+99,'TO HOP NLAN'!D121/ncoc+IF(SUMSQ('TS-PILE'!$E$72:$E$91)=0,0,'TO HOP NLAN'!E121*'TS-PILE'!$E$81/SUMSQ('TS-PILE'!$E$72:$E$91))+IF(SUMSQ('TS-PILE'!$D$72:$D$91)=0,0,'TO HOP NLAN'!F121*'TS-PILE'!$D$81/SUMSQ('TS-PILE'!$D$72:$D$91))),IF('TS-PILE'!$B$82="",-1E+99,'TO HOP NLAN'!D121/ncoc+IF(SUMSQ('TS-PILE'!$E$72:$E$91)=0,0,'TO HOP NLAN'!E121*'TS-PILE'!$E$82/SUMSQ('TS-PILE'!$E$72:$E$91))+IF(SUMSQ('TS-PILE'!$D$72:$D$91)=0,0,'TO HOP NLAN'!F121*'TS-PILE'!$D$82/SUMSQ('TS-PILE'!$D$72:$D$91))),IF('TS-PILE'!$B$83="",-1E+99,'TO HOP NLAN'!D121/ncoc+IF(SUMSQ('TS-PILE'!$E$72:$E$91)=0,0,'TO HOP NLAN'!E121*'TS-PILE'!$E$83/SUMSQ('TS-PILE'!$E$72:$E$91))+IF(SUMSQ('TS-PILE'!$D$72:$D$91)=0,0,'TO HOP NLAN'!F121*'TS-PILE'!$D$83/SUMSQ('TS-PILE'!$D$72:$D$91))),IF('TS-PILE'!$B$84="",-1E+99,'TO HOP NLAN'!D121/ncoc+IF(SUMSQ('TS-PILE'!$E$72:$E$91)=0,0,'TO HOP NLAN'!E121*'TS-PILE'!$E$84/SUMSQ('TS-PILE'!$E$72:$E$91))+IF(SUMSQ('TS-PILE'!$D$72:$D$91)=0,0,'TO HOP NLAN'!F121*'TS-PILE'!$D$84/SUMSQ('TS-PILE'!$D$72:$D$91))),IF('TS-PILE'!$B$85="",-1E+99,'TO HOP NLAN'!D121/ncoc+IF(SUMSQ('TS-PILE'!$E$72:$E$91)=0,0,'TO HOP NLAN'!E121*'TS-PILE'!$E$85/SUMSQ('TS-PILE'!$E$72:$E$91))+IF(SUMSQ('TS-PILE'!$D$72:$D$91)=0,0,'TO HOP NLAN'!F121*'TS-PILE'!$D$85/SUMSQ('TS-PILE'!$D$72:$D$91))),IF('TS-PILE'!$B$86="",-1E+99,'TO HOP NLAN'!D121/ncoc+IF(SUMSQ('TS-PILE'!$E$72:$E$91)=0,0,'TO HOP NLAN'!E121*'TS-PILE'!$E$86/SUMSQ('TS-PILE'!$E$72:$E$91))+IF(SUMSQ('TS-PILE'!$D$72:$D$91)=0,0,'TO HOP NLAN'!F121*'TS-PILE'!$D$86/SUMSQ('TS-PILE'!$D$72:$D$91))),IF('TS-PILE'!$B$87="",-1E+99,'TO HOP NLAN'!D121/ncoc+IF(SUMSQ('TS-PILE'!$E$72:$E$91)=0,0,'TO HOP NLAN'!E121*'TS-PILE'!$E$87/SUMSQ('TS-PILE'!$E$72:$E$91))+IF(SUMSQ('TS-PILE'!$D$72:$D$91)=0,0,'TO HOP NLAN'!F121*'TS-PILE'!$D$87/SUMSQ('TS-PILE'!$D$72:$D$91))),IF('TS-PILE'!$B$88="",-1E+99,'TO HOP NLAN'!D121/ncoc+IF(SUMSQ('TS-PILE'!$E$72:$E$91)=0,0,'TO HOP NLAN'!E121*'TS-PILE'!$E$88/SUMSQ('TS-PILE'!$E$72:$E$91))+IF(SUMSQ('TS-PILE'!$D$72:$D$91)=0,0,'TO HOP NLAN'!F121*'TS-PILE'!$D$88/SUMSQ('TS-PILE'!$D$72:$D$91))),IF('TS-PILE'!$B$89="",-1E+99,'TO HOP NLAN'!D121/ncoc+IF(SUMSQ('TS-PILE'!$E$72:$E$91)=0,0,'TO HOP NLAN'!E121*'TS-PILE'!$E$89/SUMSQ('TS-PILE'!$E$72:$E$91))+IF(SUMSQ('TS-PILE'!$D$72:$D$91)=0,0,'TO HOP NLAN'!F121*'TS-PILE'!$D$89/SUMSQ('TS-PILE'!$D$72:$D$91))),IF('TS-PILE'!$B$90="",-1E+99,'TO HOP NLAN'!D121/ncoc+IF(SUMSQ('TS-PILE'!$E$72:$E$91)=0,0,'TO HOP NLAN'!E121*'TS-PILE'!$E$90/SUMSQ('TS-PILE'!$E$72:$E$91))+IF(SUMSQ('TS-PILE'!$D$72:$D$91)=0,0,'TO HOP NLAN'!F121*'TS-PILE'!$D$90/SUMSQ('TS-PILE'!$D$72:$D$91))),IF('TS-PILE'!$B$91="",-1E+99,'TO HOP NLAN'!D121/ncoc+IF(SUMSQ('TS-PILE'!$E$72:$E$91)=0,0,'TO HOP NLAN'!E121*'TS-PILE'!$E$91/SUMSQ('TS-PILE'!$E$72:$E$91))+IF(SUMSQ('TS-PILE'!$D$72:$D$91)=0,0,'TO HOP NLAN'!F121*'TS-PILE'!$D$91/SUMSQ('TS-PILE'!$D$72:$D$91)))))</f>
        <v>0</v>
      </c>
      <c r="D121" s="58">
        <f>IF(A121="",0,MIN(IF('TS-PILE'!$B$72="",1E+99,'TO HOP NLAN'!D121/ncoc+IF(SUMSQ('TS-PILE'!$E$72:$E$91)=0,0,'TO HOP NLAN'!E121*'TS-PILE'!$E$72/SUMSQ('TS-PILE'!$E$72:$E$91))+IF(SUMSQ('TS-PILE'!$D$72:$D$91)=0,0,'TO HOP NLAN'!F121*'TS-PILE'!$D$72/SUMSQ('TS-PILE'!$D$72:$D$91))),IF('TS-PILE'!$B$73="",1E+99,'TO HOP NLAN'!D121/ncoc+IF(SUMSQ('TS-PILE'!$E$72:$E$91)=0,0,'TO HOP NLAN'!E121*'TS-PILE'!$E$73/SUMSQ('TS-PILE'!$E$72:$E$91))+IF(SUMSQ('TS-PILE'!$D$72:$D$91)=0,0,'TO HOP NLAN'!F121*'TS-PILE'!$D$73/SUMSQ('TS-PILE'!$D$72:$D$91))),IF('TS-PILE'!$B$74="",1E+99,'TO HOP NLAN'!D121/ncoc+IF(SUMSQ('TS-PILE'!$E$72:$E$91)=0,0,'TO HOP NLAN'!E121*'TS-PILE'!$E$74/SUMSQ('TS-PILE'!$E$72:$E$91))+IF(SUMSQ('TS-PILE'!$D$72:$D$91)=0,0,'TO HOP NLAN'!F121*'TS-PILE'!$D$74/SUMSQ('TS-PILE'!$D$72:$D$91))),IF('TS-PILE'!$B$75="",1E+99,'TO HOP NLAN'!D121/ncoc+IF(SUMSQ('TS-PILE'!$E$72:$E$91)=0,0,'TO HOP NLAN'!E121*'TS-PILE'!$E$75/SUMSQ('TS-PILE'!$E$72:$E$91))+IF(SUMSQ('TS-PILE'!$D$72:$D$91)=0,0,'TO HOP NLAN'!F121*'TS-PILE'!$D$75/SUMSQ('TS-PILE'!$D$72:$D$91))),IF('TS-PILE'!$B$76="",1E+99,'TO HOP NLAN'!D121/ncoc+IF(SUMSQ('TS-PILE'!$E$72:$E$91)=0,0,'TO HOP NLAN'!E121*'TS-PILE'!$E$76/SUMSQ('TS-PILE'!$E$72:$E$91))+IF(SUMSQ('TS-PILE'!$D$72:$D$91)=0,0,'TO HOP NLAN'!F121*'TS-PILE'!$D$76/SUMSQ('TS-PILE'!$D$72:$D$91))),IF('TS-PILE'!$B$77="",1E+99,'TO HOP NLAN'!D121/ncoc+IF(SUMSQ('TS-PILE'!$E$72:$E$91)=0,0,'TO HOP NLAN'!E121*'TS-PILE'!$E$77/SUMSQ('TS-PILE'!$E$72:$E$91))+IF(SUMSQ('TS-PILE'!$D$72:$D$91)=0,0,'TO HOP NLAN'!F121*'TS-PILE'!$D$77/SUMSQ('TS-PILE'!$D$72:$D$91))),IF('TS-PILE'!$B$78="",1E+99,'TO HOP NLAN'!D121/ncoc+IF(SUMSQ('TS-PILE'!$E$72:$E$91)=0,0,'TO HOP NLAN'!E121*'TS-PILE'!$E$78/SUMSQ('TS-PILE'!$E$72:$E$91))+IF(SUMSQ('TS-PILE'!$D$72:$D$91)=0,0,'TO HOP NLAN'!F121*'TS-PILE'!$D$78/SUMSQ('TS-PILE'!$D$72:$D$91))),IF('TS-PILE'!$B$79="",1E+99,'TO HOP NLAN'!D121/ncoc+IF(SUMSQ('TS-PILE'!$E$72:$E$91)=0,0,'TO HOP NLAN'!E121*'TS-PILE'!$E$79/SUMSQ('TS-PILE'!$E$72:$E$91))+IF(SUMSQ('TS-PILE'!$D$72:$D$91)=0,0,'TO HOP NLAN'!F121*'TS-PILE'!$D$79/SUMSQ('TS-PILE'!$D$72:$D$91))),IF('TS-PILE'!$B$80="",1E+99,'TO HOP NLAN'!D121/ncoc+IF(SUMSQ('TS-PILE'!$E$72:$E$91)=0,0,'TO HOP NLAN'!E121*'TS-PILE'!$E$80/SUMSQ('TS-PILE'!$E$72:$E$91))+IF(SUMSQ('TS-PILE'!$D$72:$D$91)=0,0,'TO HOP NLAN'!F121*'TS-PILE'!$D$80/SUMSQ('TS-PILE'!$D$72:$D$91))),IF('TS-PILE'!$B$81="",1E+99,'TO HOP NLAN'!D121/ncoc+IF(SUMSQ('TS-PILE'!$E$72:$E$91)=0,0,'TO HOP NLAN'!E121*'TS-PILE'!$E$81/SUMSQ('TS-PILE'!$E$72:$E$91))+IF(SUMSQ('TS-PILE'!$D$72:$D$91)=0,0,'TO HOP NLAN'!F121*'TS-PILE'!$D$81/SUMSQ('TS-PILE'!$D$72:$D$91))),IF('TS-PILE'!$B$82="",1E+99,'TO HOP NLAN'!D121/ncoc+IF(SUMSQ('TS-PILE'!$E$72:$E$91)=0,0,'TO HOP NLAN'!E121*'TS-PILE'!$E$82/SUMSQ('TS-PILE'!$E$72:$E$91))+IF(SUMSQ('TS-PILE'!$D$72:$D$91)=0,0,'TO HOP NLAN'!F121*'TS-PILE'!$D$82/SUMSQ('TS-PILE'!$D$72:$D$91))),IF('TS-PILE'!$B$83="",1E+99,'TO HOP NLAN'!D121/ncoc+IF(SUMSQ('TS-PILE'!$E$72:$E$91)=0,0,'TO HOP NLAN'!E121*'TS-PILE'!$E$83/SUMSQ('TS-PILE'!$E$72:$E$91))+IF(SUMSQ('TS-PILE'!$D$72:$D$91)=0,0,'TO HOP NLAN'!F121*'TS-PILE'!$D$83/SUMSQ('TS-PILE'!$D$72:$D$91))),IF('TS-PILE'!$B$84="",1E+99,'TO HOP NLAN'!D121/ncoc+IF(SUMSQ('TS-PILE'!$E$72:$E$91)=0,0,'TO HOP NLAN'!E121*'TS-PILE'!$E$84/SUMSQ('TS-PILE'!$E$72:$E$91))+IF(SUMSQ('TS-PILE'!$D$72:$D$91)=0,0,'TO HOP NLAN'!F121*'TS-PILE'!$D$84/SUMSQ('TS-PILE'!$D$72:$D$91))),IF('TS-PILE'!$B$85="",1E+99,'TO HOP NLAN'!D121/ncoc+IF(SUMSQ('TS-PILE'!$E$72:$E$91)=0,0,'TO HOP NLAN'!E121*'TS-PILE'!$E$85/SUMSQ('TS-PILE'!$E$72:$E$91))+IF(SUMSQ('TS-PILE'!$D$72:$D$91)=0,0,'TO HOP NLAN'!F121*'TS-PILE'!$D$85/SUMSQ('TS-PILE'!$D$72:$D$91))),IF('TS-PILE'!$B$86="",1E+99,'TO HOP NLAN'!D121/ncoc+IF(SUMSQ('TS-PILE'!$E$72:$E$91)=0,0,'TO HOP NLAN'!E121*'TS-PILE'!$E$86/SUMSQ('TS-PILE'!$E$72:$E$91))+IF(SUMSQ('TS-PILE'!$D$72:$D$91)=0,0,'TO HOP NLAN'!F121*'TS-PILE'!$D$86/SUMSQ('TS-PILE'!$D$72:$D$91))),IF('TS-PILE'!$B$87="",1E+99,'TO HOP NLAN'!D121/ncoc+IF(SUMSQ('TS-PILE'!$E$72:$E$91)=0,0,'TO HOP NLAN'!E121*'TS-PILE'!$E$87/SUMSQ('TS-PILE'!$E$72:$E$91))+IF(SUMSQ('TS-PILE'!$D$72:$D$91)=0,0,'TO HOP NLAN'!F121*'TS-PILE'!$D$87/SUMSQ('TS-PILE'!$D$72:$D$91))),IF('TS-PILE'!$B$88="",1E+99,'TO HOP NLAN'!D121/ncoc+IF(SUMSQ('TS-PILE'!$E$72:$E$91)=0,0,'TO HOP NLAN'!E121*'TS-PILE'!$E$88/SUMSQ('TS-PILE'!$E$72:$E$91))+IF(SUMSQ('TS-PILE'!$D$72:$D$91)=0,0,'TO HOP NLAN'!F121*'TS-PILE'!$D$88/SUMSQ('TS-PILE'!$D$72:$D$91))),IF('TS-PILE'!$B$89="",1E+99,'TO HOP NLAN'!D121/ncoc+IF(SUMSQ('TS-PILE'!$E$72:$E$91)=0,0,'TO HOP NLAN'!E121*'TS-PILE'!$E$89/SUMSQ('TS-PILE'!$E$72:$E$91))+IF(SUMSQ('TS-PILE'!$D$72:$D$91)=0,0,'TO HOP NLAN'!F121*'TS-PILE'!$D$89/SUMSQ('TS-PILE'!$D$72:$D$91))),IF('TS-PILE'!$B$90="",1E+99,'TO HOP NLAN'!D121/ncoc+IF(SUMSQ('TS-PILE'!$E$72:$E$91)=0,0,'TO HOP NLAN'!E121*'TS-PILE'!$E$90/SUMSQ('TS-PILE'!$E$72:$E$91))+IF(SUMSQ('TS-PILE'!$D$72:$D$91)=0,0,'TO HOP NLAN'!F121*'TS-PILE'!$D$90/SUMSQ('TS-PILE'!$D$72:$D$91))),IF('TS-PILE'!$B$91="",1E+99,'TO HOP NLAN'!D121/ncoc+IF(SUMSQ('TS-PILE'!$E$72:$E$91)=0,0,'TO HOP NLAN'!E121*'TS-PILE'!$E$91/SUMSQ('TS-PILE'!$E$72:$E$91))+IF(SUMSQ('TS-PILE'!$D$72:$D$91)=0,0,'TO HOP NLAN'!F121*'TS-PILE'!$D$91/SUMSQ('TS-PILE'!$D$72:$D$91)))))</f>
        <v>0</v>
      </c>
      <c r="E121" s="58">
        <f t="shared" si="4"/>
        <v>-9.9999999999999997E+98</v>
      </c>
      <c r="F121" s="58">
        <f t="shared" si="5"/>
        <v>9.9999999999999997E+98</v>
      </c>
      <c r="G121" s="58">
        <f t="shared" si="6"/>
        <v>-9.9999999999999997E+98</v>
      </c>
      <c r="H121" s="58">
        <f t="shared" si="7"/>
        <v>9.9999999999999997E+98</v>
      </c>
    </row>
    <row r="122" spans="1:8" x14ac:dyDescent="0.3">
      <c r="A122" s="42" t="str">
        <f>'TO HOP NLAN'!A122</f>
        <v/>
      </c>
      <c r="B122" s="42" t="str">
        <f>'TO HOP NLAN'!L122</f>
        <v>STRENGTH</v>
      </c>
      <c r="C122" s="58">
        <f>IF(A122="",0,MAX(IF('TS-PILE'!$B$72="",-1E+99,'TO HOP NLAN'!D122/ncoc+IF(SUMSQ('TS-PILE'!$E$72:$E$91)=0,0,'TO HOP NLAN'!E122*'TS-PILE'!$E$72/SUMSQ('TS-PILE'!$E$72:$E$91))+IF(SUMSQ('TS-PILE'!$D$72:$D$91)=0,0,'TO HOP NLAN'!F122*'TS-PILE'!$D$72/SUMSQ('TS-PILE'!$D$72:$D$91))),IF('TS-PILE'!$B$73="",-1E+99,'TO HOP NLAN'!D122/ncoc+IF(SUMSQ('TS-PILE'!$E$72:$E$91)=0,0,'TO HOP NLAN'!E122*'TS-PILE'!$E$73/SUMSQ('TS-PILE'!$E$72:$E$91))+IF(SUMSQ('TS-PILE'!$D$72:$D$91)=0,0,'TO HOP NLAN'!F122*'TS-PILE'!$D$73/SUMSQ('TS-PILE'!$D$72:$D$91))),IF('TS-PILE'!$B$74="",-1E+99,'TO HOP NLAN'!D122/ncoc+IF(SUMSQ('TS-PILE'!$E$72:$E$91)=0,0,'TO HOP NLAN'!E122*'TS-PILE'!$E$74/SUMSQ('TS-PILE'!$E$72:$E$91))+IF(SUMSQ('TS-PILE'!$D$72:$D$91)=0,0,'TO HOP NLAN'!F122*'TS-PILE'!$D$74/SUMSQ('TS-PILE'!$D$72:$D$91))),IF('TS-PILE'!$B$75="",-1E+99,'TO HOP NLAN'!D122/ncoc+IF(SUMSQ('TS-PILE'!$E$72:$E$91)=0,0,'TO HOP NLAN'!E122*'TS-PILE'!$E$75/SUMSQ('TS-PILE'!$E$72:$E$91))+IF(SUMSQ('TS-PILE'!$D$72:$D$91)=0,0,'TO HOP NLAN'!F122*'TS-PILE'!$D$75/SUMSQ('TS-PILE'!$D$72:$D$91))),IF('TS-PILE'!$B$76="",-1E+99,'TO HOP NLAN'!D122/ncoc+IF(SUMSQ('TS-PILE'!$E$72:$E$91)=0,0,'TO HOP NLAN'!E122*'TS-PILE'!$E$76/SUMSQ('TS-PILE'!$E$72:$E$91))+IF(SUMSQ('TS-PILE'!$D$72:$D$91)=0,0,'TO HOP NLAN'!F122*'TS-PILE'!$D$76/SUMSQ('TS-PILE'!$D$72:$D$91))),IF('TS-PILE'!$B$77="",-1E+99,'TO HOP NLAN'!D122/ncoc+IF(SUMSQ('TS-PILE'!$E$72:$E$91)=0,0,'TO HOP NLAN'!E122*'TS-PILE'!$E$77/SUMSQ('TS-PILE'!$E$72:$E$91))+IF(SUMSQ('TS-PILE'!$D$72:$D$91)=0,0,'TO HOP NLAN'!F122*'TS-PILE'!$D$77/SUMSQ('TS-PILE'!$D$72:$D$91))),IF('TS-PILE'!$B$78="",-1E+99,'TO HOP NLAN'!D122/ncoc+IF(SUMSQ('TS-PILE'!$E$72:$E$91)=0,0,'TO HOP NLAN'!E122*'TS-PILE'!$E$78/SUMSQ('TS-PILE'!$E$72:$E$91))+IF(SUMSQ('TS-PILE'!$D$72:$D$91)=0,0,'TO HOP NLAN'!F122*'TS-PILE'!$D$78/SUMSQ('TS-PILE'!$D$72:$D$91))),IF('TS-PILE'!$B$79="",-1E+99,'TO HOP NLAN'!D122/ncoc+IF(SUMSQ('TS-PILE'!$E$72:$E$91)=0,0,'TO HOP NLAN'!E122*'TS-PILE'!$E$79/SUMSQ('TS-PILE'!$E$72:$E$91))+IF(SUMSQ('TS-PILE'!$D$72:$D$91)=0,0,'TO HOP NLAN'!F122*'TS-PILE'!$D$79/SUMSQ('TS-PILE'!$D$72:$D$91))),IF('TS-PILE'!$B$80="",-1E+99,'TO HOP NLAN'!D122/ncoc+IF(SUMSQ('TS-PILE'!$E$72:$E$91)=0,0,'TO HOP NLAN'!E122*'TS-PILE'!$E$80/SUMSQ('TS-PILE'!$E$72:$E$91))+IF(SUMSQ('TS-PILE'!$D$72:$D$91)=0,0,'TO HOP NLAN'!F122*'TS-PILE'!$D$80/SUMSQ('TS-PILE'!$D$72:$D$91))),IF('TS-PILE'!$B$81="",-1E+99,'TO HOP NLAN'!D122/ncoc+IF(SUMSQ('TS-PILE'!$E$72:$E$91)=0,0,'TO HOP NLAN'!E122*'TS-PILE'!$E$81/SUMSQ('TS-PILE'!$E$72:$E$91))+IF(SUMSQ('TS-PILE'!$D$72:$D$91)=0,0,'TO HOP NLAN'!F122*'TS-PILE'!$D$81/SUMSQ('TS-PILE'!$D$72:$D$91))),IF('TS-PILE'!$B$82="",-1E+99,'TO HOP NLAN'!D122/ncoc+IF(SUMSQ('TS-PILE'!$E$72:$E$91)=0,0,'TO HOP NLAN'!E122*'TS-PILE'!$E$82/SUMSQ('TS-PILE'!$E$72:$E$91))+IF(SUMSQ('TS-PILE'!$D$72:$D$91)=0,0,'TO HOP NLAN'!F122*'TS-PILE'!$D$82/SUMSQ('TS-PILE'!$D$72:$D$91))),IF('TS-PILE'!$B$83="",-1E+99,'TO HOP NLAN'!D122/ncoc+IF(SUMSQ('TS-PILE'!$E$72:$E$91)=0,0,'TO HOP NLAN'!E122*'TS-PILE'!$E$83/SUMSQ('TS-PILE'!$E$72:$E$91))+IF(SUMSQ('TS-PILE'!$D$72:$D$91)=0,0,'TO HOP NLAN'!F122*'TS-PILE'!$D$83/SUMSQ('TS-PILE'!$D$72:$D$91))),IF('TS-PILE'!$B$84="",-1E+99,'TO HOP NLAN'!D122/ncoc+IF(SUMSQ('TS-PILE'!$E$72:$E$91)=0,0,'TO HOP NLAN'!E122*'TS-PILE'!$E$84/SUMSQ('TS-PILE'!$E$72:$E$91))+IF(SUMSQ('TS-PILE'!$D$72:$D$91)=0,0,'TO HOP NLAN'!F122*'TS-PILE'!$D$84/SUMSQ('TS-PILE'!$D$72:$D$91))),IF('TS-PILE'!$B$85="",-1E+99,'TO HOP NLAN'!D122/ncoc+IF(SUMSQ('TS-PILE'!$E$72:$E$91)=0,0,'TO HOP NLAN'!E122*'TS-PILE'!$E$85/SUMSQ('TS-PILE'!$E$72:$E$91))+IF(SUMSQ('TS-PILE'!$D$72:$D$91)=0,0,'TO HOP NLAN'!F122*'TS-PILE'!$D$85/SUMSQ('TS-PILE'!$D$72:$D$91))),IF('TS-PILE'!$B$86="",-1E+99,'TO HOP NLAN'!D122/ncoc+IF(SUMSQ('TS-PILE'!$E$72:$E$91)=0,0,'TO HOP NLAN'!E122*'TS-PILE'!$E$86/SUMSQ('TS-PILE'!$E$72:$E$91))+IF(SUMSQ('TS-PILE'!$D$72:$D$91)=0,0,'TO HOP NLAN'!F122*'TS-PILE'!$D$86/SUMSQ('TS-PILE'!$D$72:$D$91))),IF('TS-PILE'!$B$87="",-1E+99,'TO HOP NLAN'!D122/ncoc+IF(SUMSQ('TS-PILE'!$E$72:$E$91)=0,0,'TO HOP NLAN'!E122*'TS-PILE'!$E$87/SUMSQ('TS-PILE'!$E$72:$E$91))+IF(SUMSQ('TS-PILE'!$D$72:$D$91)=0,0,'TO HOP NLAN'!F122*'TS-PILE'!$D$87/SUMSQ('TS-PILE'!$D$72:$D$91))),IF('TS-PILE'!$B$88="",-1E+99,'TO HOP NLAN'!D122/ncoc+IF(SUMSQ('TS-PILE'!$E$72:$E$91)=0,0,'TO HOP NLAN'!E122*'TS-PILE'!$E$88/SUMSQ('TS-PILE'!$E$72:$E$91))+IF(SUMSQ('TS-PILE'!$D$72:$D$91)=0,0,'TO HOP NLAN'!F122*'TS-PILE'!$D$88/SUMSQ('TS-PILE'!$D$72:$D$91))),IF('TS-PILE'!$B$89="",-1E+99,'TO HOP NLAN'!D122/ncoc+IF(SUMSQ('TS-PILE'!$E$72:$E$91)=0,0,'TO HOP NLAN'!E122*'TS-PILE'!$E$89/SUMSQ('TS-PILE'!$E$72:$E$91))+IF(SUMSQ('TS-PILE'!$D$72:$D$91)=0,0,'TO HOP NLAN'!F122*'TS-PILE'!$D$89/SUMSQ('TS-PILE'!$D$72:$D$91))),IF('TS-PILE'!$B$90="",-1E+99,'TO HOP NLAN'!D122/ncoc+IF(SUMSQ('TS-PILE'!$E$72:$E$91)=0,0,'TO HOP NLAN'!E122*'TS-PILE'!$E$90/SUMSQ('TS-PILE'!$E$72:$E$91))+IF(SUMSQ('TS-PILE'!$D$72:$D$91)=0,0,'TO HOP NLAN'!F122*'TS-PILE'!$D$90/SUMSQ('TS-PILE'!$D$72:$D$91))),IF('TS-PILE'!$B$91="",-1E+99,'TO HOP NLAN'!D122/ncoc+IF(SUMSQ('TS-PILE'!$E$72:$E$91)=0,0,'TO HOP NLAN'!E122*'TS-PILE'!$E$91/SUMSQ('TS-PILE'!$E$72:$E$91))+IF(SUMSQ('TS-PILE'!$D$72:$D$91)=0,0,'TO HOP NLAN'!F122*'TS-PILE'!$D$91/SUMSQ('TS-PILE'!$D$72:$D$91)))))</f>
        <v>0</v>
      </c>
      <c r="D122" s="58">
        <f>IF(A122="",0,MIN(IF('TS-PILE'!$B$72="",1E+99,'TO HOP NLAN'!D122/ncoc+IF(SUMSQ('TS-PILE'!$E$72:$E$91)=0,0,'TO HOP NLAN'!E122*'TS-PILE'!$E$72/SUMSQ('TS-PILE'!$E$72:$E$91))+IF(SUMSQ('TS-PILE'!$D$72:$D$91)=0,0,'TO HOP NLAN'!F122*'TS-PILE'!$D$72/SUMSQ('TS-PILE'!$D$72:$D$91))),IF('TS-PILE'!$B$73="",1E+99,'TO HOP NLAN'!D122/ncoc+IF(SUMSQ('TS-PILE'!$E$72:$E$91)=0,0,'TO HOP NLAN'!E122*'TS-PILE'!$E$73/SUMSQ('TS-PILE'!$E$72:$E$91))+IF(SUMSQ('TS-PILE'!$D$72:$D$91)=0,0,'TO HOP NLAN'!F122*'TS-PILE'!$D$73/SUMSQ('TS-PILE'!$D$72:$D$91))),IF('TS-PILE'!$B$74="",1E+99,'TO HOP NLAN'!D122/ncoc+IF(SUMSQ('TS-PILE'!$E$72:$E$91)=0,0,'TO HOP NLAN'!E122*'TS-PILE'!$E$74/SUMSQ('TS-PILE'!$E$72:$E$91))+IF(SUMSQ('TS-PILE'!$D$72:$D$91)=0,0,'TO HOP NLAN'!F122*'TS-PILE'!$D$74/SUMSQ('TS-PILE'!$D$72:$D$91))),IF('TS-PILE'!$B$75="",1E+99,'TO HOP NLAN'!D122/ncoc+IF(SUMSQ('TS-PILE'!$E$72:$E$91)=0,0,'TO HOP NLAN'!E122*'TS-PILE'!$E$75/SUMSQ('TS-PILE'!$E$72:$E$91))+IF(SUMSQ('TS-PILE'!$D$72:$D$91)=0,0,'TO HOP NLAN'!F122*'TS-PILE'!$D$75/SUMSQ('TS-PILE'!$D$72:$D$91))),IF('TS-PILE'!$B$76="",1E+99,'TO HOP NLAN'!D122/ncoc+IF(SUMSQ('TS-PILE'!$E$72:$E$91)=0,0,'TO HOP NLAN'!E122*'TS-PILE'!$E$76/SUMSQ('TS-PILE'!$E$72:$E$91))+IF(SUMSQ('TS-PILE'!$D$72:$D$91)=0,0,'TO HOP NLAN'!F122*'TS-PILE'!$D$76/SUMSQ('TS-PILE'!$D$72:$D$91))),IF('TS-PILE'!$B$77="",1E+99,'TO HOP NLAN'!D122/ncoc+IF(SUMSQ('TS-PILE'!$E$72:$E$91)=0,0,'TO HOP NLAN'!E122*'TS-PILE'!$E$77/SUMSQ('TS-PILE'!$E$72:$E$91))+IF(SUMSQ('TS-PILE'!$D$72:$D$91)=0,0,'TO HOP NLAN'!F122*'TS-PILE'!$D$77/SUMSQ('TS-PILE'!$D$72:$D$91))),IF('TS-PILE'!$B$78="",1E+99,'TO HOP NLAN'!D122/ncoc+IF(SUMSQ('TS-PILE'!$E$72:$E$91)=0,0,'TO HOP NLAN'!E122*'TS-PILE'!$E$78/SUMSQ('TS-PILE'!$E$72:$E$91))+IF(SUMSQ('TS-PILE'!$D$72:$D$91)=0,0,'TO HOP NLAN'!F122*'TS-PILE'!$D$78/SUMSQ('TS-PILE'!$D$72:$D$91))),IF('TS-PILE'!$B$79="",1E+99,'TO HOP NLAN'!D122/ncoc+IF(SUMSQ('TS-PILE'!$E$72:$E$91)=0,0,'TO HOP NLAN'!E122*'TS-PILE'!$E$79/SUMSQ('TS-PILE'!$E$72:$E$91))+IF(SUMSQ('TS-PILE'!$D$72:$D$91)=0,0,'TO HOP NLAN'!F122*'TS-PILE'!$D$79/SUMSQ('TS-PILE'!$D$72:$D$91))),IF('TS-PILE'!$B$80="",1E+99,'TO HOP NLAN'!D122/ncoc+IF(SUMSQ('TS-PILE'!$E$72:$E$91)=0,0,'TO HOP NLAN'!E122*'TS-PILE'!$E$80/SUMSQ('TS-PILE'!$E$72:$E$91))+IF(SUMSQ('TS-PILE'!$D$72:$D$91)=0,0,'TO HOP NLAN'!F122*'TS-PILE'!$D$80/SUMSQ('TS-PILE'!$D$72:$D$91))),IF('TS-PILE'!$B$81="",1E+99,'TO HOP NLAN'!D122/ncoc+IF(SUMSQ('TS-PILE'!$E$72:$E$91)=0,0,'TO HOP NLAN'!E122*'TS-PILE'!$E$81/SUMSQ('TS-PILE'!$E$72:$E$91))+IF(SUMSQ('TS-PILE'!$D$72:$D$91)=0,0,'TO HOP NLAN'!F122*'TS-PILE'!$D$81/SUMSQ('TS-PILE'!$D$72:$D$91))),IF('TS-PILE'!$B$82="",1E+99,'TO HOP NLAN'!D122/ncoc+IF(SUMSQ('TS-PILE'!$E$72:$E$91)=0,0,'TO HOP NLAN'!E122*'TS-PILE'!$E$82/SUMSQ('TS-PILE'!$E$72:$E$91))+IF(SUMSQ('TS-PILE'!$D$72:$D$91)=0,0,'TO HOP NLAN'!F122*'TS-PILE'!$D$82/SUMSQ('TS-PILE'!$D$72:$D$91))),IF('TS-PILE'!$B$83="",1E+99,'TO HOP NLAN'!D122/ncoc+IF(SUMSQ('TS-PILE'!$E$72:$E$91)=0,0,'TO HOP NLAN'!E122*'TS-PILE'!$E$83/SUMSQ('TS-PILE'!$E$72:$E$91))+IF(SUMSQ('TS-PILE'!$D$72:$D$91)=0,0,'TO HOP NLAN'!F122*'TS-PILE'!$D$83/SUMSQ('TS-PILE'!$D$72:$D$91))),IF('TS-PILE'!$B$84="",1E+99,'TO HOP NLAN'!D122/ncoc+IF(SUMSQ('TS-PILE'!$E$72:$E$91)=0,0,'TO HOP NLAN'!E122*'TS-PILE'!$E$84/SUMSQ('TS-PILE'!$E$72:$E$91))+IF(SUMSQ('TS-PILE'!$D$72:$D$91)=0,0,'TO HOP NLAN'!F122*'TS-PILE'!$D$84/SUMSQ('TS-PILE'!$D$72:$D$91))),IF('TS-PILE'!$B$85="",1E+99,'TO HOP NLAN'!D122/ncoc+IF(SUMSQ('TS-PILE'!$E$72:$E$91)=0,0,'TO HOP NLAN'!E122*'TS-PILE'!$E$85/SUMSQ('TS-PILE'!$E$72:$E$91))+IF(SUMSQ('TS-PILE'!$D$72:$D$91)=0,0,'TO HOP NLAN'!F122*'TS-PILE'!$D$85/SUMSQ('TS-PILE'!$D$72:$D$91))),IF('TS-PILE'!$B$86="",1E+99,'TO HOP NLAN'!D122/ncoc+IF(SUMSQ('TS-PILE'!$E$72:$E$91)=0,0,'TO HOP NLAN'!E122*'TS-PILE'!$E$86/SUMSQ('TS-PILE'!$E$72:$E$91))+IF(SUMSQ('TS-PILE'!$D$72:$D$91)=0,0,'TO HOP NLAN'!F122*'TS-PILE'!$D$86/SUMSQ('TS-PILE'!$D$72:$D$91))),IF('TS-PILE'!$B$87="",1E+99,'TO HOP NLAN'!D122/ncoc+IF(SUMSQ('TS-PILE'!$E$72:$E$91)=0,0,'TO HOP NLAN'!E122*'TS-PILE'!$E$87/SUMSQ('TS-PILE'!$E$72:$E$91))+IF(SUMSQ('TS-PILE'!$D$72:$D$91)=0,0,'TO HOP NLAN'!F122*'TS-PILE'!$D$87/SUMSQ('TS-PILE'!$D$72:$D$91))),IF('TS-PILE'!$B$88="",1E+99,'TO HOP NLAN'!D122/ncoc+IF(SUMSQ('TS-PILE'!$E$72:$E$91)=0,0,'TO HOP NLAN'!E122*'TS-PILE'!$E$88/SUMSQ('TS-PILE'!$E$72:$E$91))+IF(SUMSQ('TS-PILE'!$D$72:$D$91)=0,0,'TO HOP NLAN'!F122*'TS-PILE'!$D$88/SUMSQ('TS-PILE'!$D$72:$D$91))),IF('TS-PILE'!$B$89="",1E+99,'TO HOP NLAN'!D122/ncoc+IF(SUMSQ('TS-PILE'!$E$72:$E$91)=0,0,'TO HOP NLAN'!E122*'TS-PILE'!$E$89/SUMSQ('TS-PILE'!$E$72:$E$91))+IF(SUMSQ('TS-PILE'!$D$72:$D$91)=0,0,'TO HOP NLAN'!F122*'TS-PILE'!$D$89/SUMSQ('TS-PILE'!$D$72:$D$91))),IF('TS-PILE'!$B$90="",1E+99,'TO HOP NLAN'!D122/ncoc+IF(SUMSQ('TS-PILE'!$E$72:$E$91)=0,0,'TO HOP NLAN'!E122*'TS-PILE'!$E$90/SUMSQ('TS-PILE'!$E$72:$E$91))+IF(SUMSQ('TS-PILE'!$D$72:$D$91)=0,0,'TO HOP NLAN'!F122*'TS-PILE'!$D$90/SUMSQ('TS-PILE'!$D$72:$D$91))),IF('TS-PILE'!$B$91="",1E+99,'TO HOP NLAN'!D122/ncoc+IF(SUMSQ('TS-PILE'!$E$72:$E$91)=0,0,'TO HOP NLAN'!E122*'TS-PILE'!$E$91/SUMSQ('TS-PILE'!$E$72:$E$91))+IF(SUMSQ('TS-PILE'!$D$72:$D$91)=0,0,'TO HOP NLAN'!F122*'TS-PILE'!$D$91/SUMSQ('TS-PILE'!$D$72:$D$91)))))</f>
        <v>0</v>
      </c>
      <c r="E122" s="58">
        <f t="shared" si="4"/>
        <v>-9.9999999999999997E+98</v>
      </c>
      <c r="F122" s="58">
        <f t="shared" si="5"/>
        <v>9.9999999999999997E+98</v>
      </c>
      <c r="G122" s="58">
        <f t="shared" si="6"/>
        <v>-9.9999999999999997E+98</v>
      </c>
      <c r="H122" s="58">
        <f t="shared" si="7"/>
        <v>9.9999999999999997E+98</v>
      </c>
    </row>
    <row r="123" spans="1:8" x14ac:dyDescent="0.3">
      <c r="A123" s="42" t="str">
        <f>'TO HOP NLAN'!A123</f>
        <v/>
      </c>
      <c r="B123" s="42" t="str">
        <f>'TO HOP NLAN'!L123</f>
        <v>STRENGTH</v>
      </c>
      <c r="C123" s="58">
        <f>IF(A123="",0,MAX(IF('TS-PILE'!$B$72="",-1E+99,'TO HOP NLAN'!D123/ncoc+IF(SUMSQ('TS-PILE'!$E$72:$E$91)=0,0,'TO HOP NLAN'!E123*'TS-PILE'!$E$72/SUMSQ('TS-PILE'!$E$72:$E$91))+IF(SUMSQ('TS-PILE'!$D$72:$D$91)=0,0,'TO HOP NLAN'!F123*'TS-PILE'!$D$72/SUMSQ('TS-PILE'!$D$72:$D$91))),IF('TS-PILE'!$B$73="",-1E+99,'TO HOP NLAN'!D123/ncoc+IF(SUMSQ('TS-PILE'!$E$72:$E$91)=0,0,'TO HOP NLAN'!E123*'TS-PILE'!$E$73/SUMSQ('TS-PILE'!$E$72:$E$91))+IF(SUMSQ('TS-PILE'!$D$72:$D$91)=0,0,'TO HOP NLAN'!F123*'TS-PILE'!$D$73/SUMSQ('TS-PILE'!$D$72:$D$91))),IF('TS-PILE'!$B$74="",-1E+99,'TO HOP NLAN'!D123/ncoc+IF(SUMSQ('TS-PILE'!$E$72:$E$91)=0,0,'TO HOP NLAN'!E123*'TS-PILE'!$E$74/SUMSQ('TS-PILE'!$E$72:$E$91))+IF(SUMSQ('TS-PILE'!$D$72:$D$91)=0,0,'TO HOP NLAN'!F123*'TS-PILE'!$D$74/SUMSQ('TS-PILE'!$D$72:$D$91))),IF('TS-PILE'!$B$75="",-1E+99,'TO HOP NLAN'!D123/ncoc+IF(SUMSQ('TS-PILE'!$E$72:$E$91)=0,0,'TO HOP NLAN'!E123*'TS-PILE'!$E$75/SUMSQ('TS-PILE'!$E$72:$E$91))+IF(SUMSQ('TS-PILE'!$D$72:$D$91)=0,0,'TO HOP NLAN'!F123*'TS-PILE'!$D$75/SUMSQ('TS-PILE'!$D$72:$D$91))),IF('TS-PILE'!$B$76="",-1E+99,'TO HOP NLAN'!D123/ncoc+IF(SUMSQ('TS-PILE'!$E$72:$E$91)=0,0,'TO HOP NLAN'!E123*'TS-PILE'!$E$76/SUMSQ('TS-PILE'!$E$72:$E$91))+IF(SUMSQ('TS-PILE'!$D$72:$D$91)=0,0,'TO HOP NLAN'!F123*'TS-PILE'!$D$76/SUMSQ('TS-PILE'!$D$72:$D$91))),IF('TS-PILE'!$B$77="",-1E+99,'TO HOP NLAN'!D123/ncoc+IF(SUMSQ('TS-PILE'!$E$72:$E$91)=0,0,'TO HOP NLAN'!E123*'TS-PILE'!$E$77/SUMSQ('TS-PILE'!$E$72:$E$91))+IF(SUMSQ('TS-PILE'!$D$72:$D$91)=0,0,'TO HOP NLAN'!F123*'TS-PILE'!$D$77/SUMSQ('TS-PILE'!$D$72:$D$91))),IF('TS-PILE'!$B$78="",-1E+99,'TO HOP NLAN'!D123/ncoc+IF(SUMSQ('TS-PILE'!$E$72:$E$91)=0,0,'TO HOP NLAN'!E123*'TS-PILE'!$E$78/SUMSQ('TS-PILE'!$E$72:$E$91))+IF(SUMSQ('TS-PILE'!$D$72:$D$91)=0,0,'TO HOP NLAN'!F123*'TS-PILE'!$D$78/SUMSQ('TS-PILE'!$D$72:$D$91))),IF('TS-PILE'!$B$79="",-1E+99,'TO HOP NLAN'!D123/ncoc+IF(SUMSQ('TS-PILE'!$E$72:$E$91)=0,0,'TO HOP NLAN'!E123*'TS-PILE'!$E$79/SUMSQ('TS-PILE'!$E$72:$E$91))+IF(SUMSQ('TS-PILE'!$D$72:$D$91)=0,0,'TO HOP NLAN'!F123*'TS-PILE'!$D$79/SUMSQ('TS-PILE'!$D$72:$D$91))),IF('TS-PILE'!$B$80="",-1E+99,'TO HOP NLAN'!D123/ncoc+IF(SUMSQ('TS-PILE'!$E$72:$E$91)=0,0,'TO HOP NLAN'!E123*'TS-PILE'!$E$80/SUMSQ('TS-PILE'!$E$72:$E$91))+IF(SUMSQ('TS-PILE'!$D$72:$D$91)=0,0,'TO HOP NLAN'!F123*'TS-PILE'!$D$80/SUMSQ('TS-PILE'!$D$72:$D$91))),IF('TS-PILE'!$B$81="",-1E+99,'TO HOP NLAN'!D123/ncoc+IF(SUMSQ('TS-PILE'!$E$72:$E$91)=0,0,'TO HOP NLAN'!E123*'TS-PILE'!$E$81/SUMSQ('TS-PILE'!$E$72:$E$91))+IF(SUMSQ('TS-PILE'!$D$72:$D$91)=0,0,'TO HOP NLAN'!F123*'TS-PILE'!$D$81/SUMSQ('TS-PILE'!$D$72:$D$91))),IF('TS-PILE'!$B$82="",-1E+99,'TO HOP NLAN'!D123/ncoc+IF(SUMSQ('TS-PILE'!$E$72:$E$91)=0,0,'TO HOP NLAN'!E123*'TS-PILE'!$E$82/SUMSQ('TS-PILE'!$E$72:$E$91))+IF(SUMSQ('TS-PILE'!$D$72:$D$91)=0,0,'TO HOP NLAN'!F123*'TS-PILE'!$D$82/SUMSQ('TS-PILE'!$D$72:$D$91))),IF('TS-PILE'!$B$83="",-1E+99,'TO HOP NLAN'!D123/ncoc+IF(SUMSQ('TS-PILE'!$E$72:$E$91)=0,0,'TO HOP NLAN'!E123*'TS-PILE'!$E$83/SUMSQ('TS-PILE'!$E$72:$E$91))+IF(SUMSQ('TS-PILE'!$D$72:$D$91)=0,0,'TO HOP NLAN'!F123*'TS-PILE'!$D$83/SUMSQ('TS-PILE'!$D$72:$D$91))),IF('TS-PILE'!$B$84="",-1E+99,'TO HOP NLAN'!D123/ncoc+IF(SUMSQ('TS-PILE'!$E$72:$E$91)=0,0,'TO HOP NLAN'!E123*'TS-PILE'!$E$84/SUMSQ('TS-PILE'!$E$72:$E$91))+IF(SUMSQ('TS-PILE'!$D$72:$D$91)=0,0,'TO HOP NLAN'!F123*'TS-PILE'!$D$84/SUMSQ('TS-PILE'!$D$72:$D$91))),IF('TS-PILE'!$B$85="",-1E+99,'TO HOP NLAN'!D123/ncoc+IF(SUMSQ('TS-PILE'!$E$72:$E$91)=0,0,'TO HOP NLAN'!E123*'TS-PILE'!$E$85/SUMSQ('TS-PILE'!$E$72:$E$91))+IF(SUMSQ('TS-PILE'!$D$72:$D$91)=0,0,'TO HOP NLAN'!F123*'TS-PILE'!$D$85/SUMSQ('TS-PILE'!$D$72:$D$91))),IF('TS-PILE'!$B$86="",-1E+99,'TO HOP NLAN'!D123/ncoc+IF(SUMSQ('TS-PILE'!$E$72:$E$91)=0,0,'TO HOP NLAN'!E123*'TS-PILE'!$E$86/SUMSQ('TS-PILE'!$E$72:$E$91))+IF(SUMSQ('TS-PILE'!$D$72:$D$91)=0,0,'TO HOP NLAN'!F123*'TS-PILE'!$D$86/SUMSQ('TS-PILE'!$D$72:$D$91))),IF('TS-PILE'!$B$87="",-1E+99,'TO HOP NLAN'!D123/ncoc+IF(SUMSQ('TS-PILE'!$E$72:$E$91)=0,0,'TO HOP NLAN'!E123*'TS-PILE'!$E$87/SUMSQ('TS-PILE'!$E$72:$E$91))+IF(SUMSQ('TS-PILE'!$D$72:$D$91)=0,0,'TO HOP NLAN'!F123*'TS-PILE'!$D$87/SUMSQ('TS-PILE'!$D$72:$D$91))),IF('TS-PILE'!$B$88="",-1E+99,'TO HOP NLAN'!D123/ncoc+IF(SUMSQ('TS-PILE'!$E$72:$E$91)=0,0,'TO HOP NLAN'!E123*'TS-PILE'!$E$88/SUMSQ('TS-PILE'!$E$72:$E$91))+IF(SUMSQ('TS-PILE'!$D$72:$D$91)=0,0,'TO HOP NLAN'!F123*'TS-PILE'!$D$88/SUMSQ('TS-PILE'!$D$72:$D$91))),IF('TS-PILE'!$B$89="",-1E+99,'TO HOP NLAN'!D123/ncoc+IF(SUMSQ('TS-PILE'!$E$72:$E$91)=0,0,'TO HOP NLAN'!E123*'TS-PILE'!$E$89/SUMSQ('TS-PILE'!$E$72:$E$91))+IF(SUMSQ('TS-PILE'!$D$72:$D$91)=0,0,'TO HOP NLAN'!F123*'TS-PILE'!$D$89/SUMSQ('TS-PILE'!$D$72:$D$91))),IF('TS-PILE'!$B$90="",-1E+99,'TO HOP NLAN'!D123/ncoc+IF(SUMSQ('TS-PILE'!$E$72:$E$91)=0,0,'TO HOP NLAN'!E123*'TS-PILE'!$E$90/SUMSQ('TS-PILE'!$E$72:$E$91))+IF(SUMSQ('TS-PILE'!$D$72:$D$91)=0,0,'TO HOP NLAN'!F123*'TS-PILE'!$D$90/SUMSQ('TS-PILE'!$D$72:$D$91))),IF('TS-PILE'!$B$91="",-1E+99,'TO HOP NLAN'!D123/ncoc+IF(SUMSQ('TS-PILE'!$E$72:$E$91)=0,0,'TO HOP NLAN'!E123*'TS-PILE'!$E$91/SUMSQ('TS-PILE'!$E$72:$E$91))+IF(SUMSQ('TS-PILE'!$D$72:$D$91)=0,0,'TO HOP NLAN'!F123*'TS-PILE'!$D$91/SUMSQ('TS-PILE'!$D$72:$D$91)))))</f>
        <v>0</v>
      </c>
      <c r="D123" s="58">
        <f>IF(A123="",0,MIN(IF('TS-PILE'!$B$72="",1E+99,'TO HOP NLAN'!D123/ncoc+IF(SUMSQ('TS-PILE'!$E$72:$E$91)=0,0,'TO HOP NLAN'!E123*'TS-PILE'!$E$72/SUMSQ('TS-PILE'!$E$72:$E$91))+IF(SUMSQ('TS-PILE'!$D$72:$D$91)=0,0,'TO HOP NLAN'!F123*'TS-PILE'!$D$72/SUMSQ('TS-PILE'!$D$72:$D$91))),IF('TS-PILE'!$B$73="",1E+99,'TO HOP NLAN'!D123/ncoc+IF(SUMSQ('TS-PILE'!$E$72:$E$91)=0,0,'TO HOP NLAN'!E123*'TS-PILE'!$E$73/SUMSQ('TS-PILE'!$E$72:$E$91))+IF(SUMSQ('TS-PILE'!$D$72:$D$91)=0,0,'TO HOP NLAN'!F123*'TS-PILE'!$D$73/SUMSQ('TS-PILE'!$D$72:$D$91))),IF('TS-PILE'!$B$74="",1E+99,'TO HOP NLAN'!D123/ncoc+IF(SUMSQ('TS-PILE'!$E$72:$E$91)=0,0,'TO HOP NLAN'!E123*'TS-PILE'!$E$74/SUMSQ('TS-PILE'!$E$72:$E$91))+IF(SUMSQ('TS-PILE'!$D$72:$D$91)=0,0,'TO HOP NLAN'!F123*'TS-PILE'!$D$74/SUMSQ('TS-PILE'!$D$72:$D$91))),IF('TS-PILE'!$B$75="",1E+99,'TO HOP NLAN'!D123/ncoc+IF(SUMSQ('TS-PILE'!$E$72:$E$91)=0,0,'TO HOP NLAN'!E123*'TS-PILE'!$E$75/SUMSQ('TS-PILE'!$E$72:$E$91))+IF(SUMSQ('TS-PILE'!$D$72:$D$91)=0,0,'TO HOP NLAN'!F123*'TS-PILE'!$D$75/SUMSQ('TS-PILE'!$D$72:$D$91))),IF('TS-PILE'!$B$76="",1E+99,'TO HOP NLAN'!D123/ncoc+IF(SUMSQ('TS-PILE'!$E$72:$E$91)=0,0,'TO HOP NLAN'!E123*'TS-PILE'!$E$76/SUMSQ('TS-PILE'!$E$72:$E$91))+IF(SUMSQ('TS-PILE'!$D$72:$D$91)=0,0,'TO HOP NLAN'!F123*'TS-PILE'!$D$76/SUMSQ('TS-PILE'!$D$72:$D$91))),IF('TS-PILE'!$B$77="",1E+99,'TO HOP NLAN'!D123/ncoc+IF(SUMSQ('TS-PILE'!$E$72:$E$91)=0,0,'TO HOP NLAN'!E123*'TS-PILE'!$E$77/SUMSQ('TS-PILE'!$E$72:$E$91))+IF(SUMSQ('TS-PILE'!$D$72:$D$91)=0,0,'TO HOP NLAN'!F123*'TS-PILE'!$D$77/SUMSQ('TS-PILE'!$D$72:$D$91))),IF('TS-PILE'!$B$78="",1E+99,'TO HOP NLAN'!D123/ncoc+IF(SUMSQ('TS-PILE'!$E$72:$E$91)=0,0,'TO HOP NLAN'!E123*'TS-PILE'!$E$78/SUMSQ('TS-PILE'!$E$72:$E$91))+IF(SUMSQ('TS-PILE'!$D$72:$D$91)=0,0,'TO HOP NLAN'!F123*'TS-PILE'!$D$78/SUMSQ('TS-PILE'!$D$72:$D$91))),IF('TS-PILE'!$B$79="",1E+99,'TO HOP NLAN'!D123/ncoc+IF(SUMSQ('TS-PILE'!$E$72:$E$91)=0,0,'TO HOP NLAN'!E123*'TS-PILE'!$E$79/SUMSQ('TS-PILE'!$E$72:$E$91))+IF(SUMSQ('TS-PILE'!$D$72:$D$91)=0,0,'TO HOP NLAN'!F123*'TS-PILE'!$D$79/SUMSQ('TS-PILE'!$D$72:$D$91))),IF('TS-PILE'!$B$80="",1E+99,'TO HOP NLAN'!D123/ncoc+IF(SUMSQ('TS-PILE'!$E$72:$E$91)=0,0,'TO HOP NLAN'!E123*'TS-PILE'!$E$80/SUMSQ('TS-PILE'!$E$72:$E$91))+IF(SUMSQ('TS-PILE'!$D$72:$D$91)=0,0,'TO HOP NLAN'!F123*'TS-PILE'!$D$80/SUMSQ('TS-PILE'!$D$72:$D$91))),IF('TS-PILE'!$B$81="",1E+99,'TO HOP NLAN'!D123/ncoc+IF(SUMSQ('TS-PILE'!$E$72:$E$91)=0,0,'TO HOP NLAN'!E123*'TS-PILE'!$E$81/SUMSQ('TS-PILE'!$E$72:$E$91))+IF(SUMSQ('TS-PILE'!$D$72:$D$91)=0,0,'TO HOP NLAN'!F123*'TS-PILE'!$D$81/SUMSQ('TS-PILE'!$D$72:$D$91))),IF('TS-PILE'!$B$82="",1E+99,'TO HOP NLAN'!D123/ncoc+IF(SUMSQ('TS-PILE'!$E$72:$E$91)=0,0,'TO HOP NLAN'!E123*'TS-PILE'!$E$82/SUMSQ('TS-PILE'!$E$72:$E$91))+IF(SUMSQ('TS-PILE'!$D$72:$D$91)=0,0,'TO HOP NLAN'!F123*'TS-PILE'!$D$82/SUMSQ('TS-PILE'!$D$72:$D$91))),IF('TS-PILE'!$B$83="",1E+99,'TO HOP NLAN'!D123/ncoc+IF(SUMSQ('TS-PILE'!$E$72:$E$91)=0,0,'TO HOP NLAN'!E123*'TS-PILE'!$E$83/SUMSQ('TS-PILE'!$E$72:$E$91))+IF(SUMSQ('TS-PILE'!$D$72:$D$91)=0,0,'TO HOP NLAN'!F123*'TS-PILE'!$D$83/SUMSQ('TS-PILE'!$D$72:$D$91))),IF('TS-PILE'!$B$84="",1E+99,'TO HOP NLAN'!D123/ncoc+IF(SUMSQ('TS-PILE'!$E$72:$E$91)=0,0,'TO HOP NLAN'!E123*'TS-PILE'!$E$84/SUMSQ('TS-PILE'!$E$72:$E$91))+IF(SUMSQ('TS-PILE'!$D$72:$D$91)=0,0,'TO HOP NLAN'!F123*'TS-PILE'!$D$84/SUMSQ('TS-PILE'!$D$72:$D$91))),IF('TS-PILE'!$B$85="",1E+99,'TO HOP NLAN'!D123/ncoc+IF(SUMSQ('TS-PILE'!$E$72:$E$91)=0,0,'TO HOP NLAN'!E123*'TS-PILE'!$E$85/SUMSQ('TS-PILE'!$E$72:$E$91))+IF(SUMSQ('TS-PILE'!$D$72:$D$91)=0,0,'TO HOP NLAN'!F123*'TS-PILE'!$D$85/SUMSQ('TS-PILE'!$D$72:$D$91))),IF('TS-PILE'!$B$86="",1E+99,'TO HOP NLAN'!D123/ncoc+IF(SUMSQ('TS-PILE'!$E$72:$E$91)=0,0,'TO HOP NLAN'!E123*'TS-PILE'!$E$86/SUMSQ('TS-PILE'!$E$72:$E$91))+IF(SUMSQ('TS-PILE'!$D$72:$D$91)=0,0,'TO HOP NLAN'!F123*'TS-PILE'!$D$86/SUMSQ('TS-PILE'!$D$72:$D$91))),IF('TS-PILE'!$B$87="",1E+99,'TO HOP NLAN'!D123/ncoc+IF(SUMSQ('TS-PILE'!$E$72:$E$91)=0,0,'TO HOP NLAN'!E123*'TS-PILE'!$E$87/SUMSQ('TS-PILE'!$E$72:$E$91))+IF(SUMSQ('TS-PILE'!$D$72:$D$91)=0,0,'TO HOP NLAN'!F123*'TS-PILE'!$D$87/SUMSQ('TS-PILE'!$D$72:$D$91))),IF('TS-PILE'!$B$88="",1E+99,'TO HOP NLAN'!D123/ncoc+IF(SUMSQ('TS-PILE'!$E$72:$E$91)=0,0,'TO HOP NLAN'!E123*'TS-PILE'!$E$88/SUMSQ('TS-PILE'!$E$72:$E$91))+IF(SUMSQ('TS-PILE'!$D$72:$D$91)=0,0,'TO HOP NLAN'!F123*'TS-PILE'!$D$88/SUMSQ('TS-PILE'!$D$72:$D$91))),IF('TS-PILE'!$B$89="",1E+99,'TO HOP NLAN'!D123/ncoc+IF(SUMSQ('TS-PILE'!$E$72:$E$91)=0,0,'TO HOP NLAN'!E123*'TS-PILE'!$E$89/SUMSQ('TS-PILE'!$E$72:$E$91))+IF(SUMSQ('TS-PILE'!$D$72:$D$91)=0,0,'TO HOP NLAN'!F123*'TS-PILE'!$D$89/SUMSQ('TS-PILE'!$D$72:$D$91))),IF('TS-PILE'!$B$90="",1E+99,'TO HOP NLAN'!D123/ncoc+IF(SUMSQ('TS-PILE'!$E$72:$E$91)=0,0,'TO HOP NLAN'!E123*'TS-PILE'!$E$90/SUMSQ('TS-PILE'!$E$72:$E$91))+IF(SUMSQ('TS-PILE'!$D$72:$D$91)=0,0,'TO HOP NLAN'!F123*'TS-PILE'!$D$90/SUMSQ('TS-PILE'!$D$72:$D$91))),IF('TS-PILE'!$B$91="",1E+99,'TO HOP NLAN'!D123/ncoc+IF(SUMSQ('TS-PILE'!$E$72:$E$91)=0,0,'TO HOP NLAN'!E123*'TS-PILE'!$E$91/SUMSQ('TS-PILE'!$E$72:$E$91))+IF(SUMSQ('TS-PILE'!$D$72:$D$91)=0,0,'TO HOP NLAN'!F123*'TS-PILE'!$D$91/SUMSQ('TS-PILE'!$D$72:$D$91)))))</f>
        <v>0</v>
      </c>
      <c r="E123" s="58">
        <f t="shared" si="4"/>
        <v>-9.9999999999999997E+98</v>
      </c>
      <c r="F123" s="58">
        <f t="shared" si="5"/>
        <v>9.9999999999999997E+98</v>
      </c>
      <c r="G123" s="58">
        <f t="shared" si="6"/>
        <v>-9.9999999999999997E+98</v>
      </c>
      <c r="H123" s="58">
        <f t="shared" si="7"/>
        <v>9.9999999999999997E+98</v>
      </c>
    </row>
    <row r="124" spans="1:8" x14ac:dyDescent="0.3">
      <c r="A124" s="42" t="str">
        <f>'TO HOP NLAN'!A124</f>
        <v/>
      </c>
      <c r="B124" s="42" t="str">
        <f>'TO HOP NLAN'!L124</f>
        <v>STRENGTH</v>
      </c>
      <c r="C124" s="58">
        <f>IF(A124="",0,MAX(IF('TS-PILE'!$B$72="",-1E+99,'TO HOP NLAN'!D124/ncoc+IF(SUMSQ('TS-PILE'!$E$72:$E$91)=0,0,'TO HOP NLAN'!E124*'TS-PILE'!$E$72/SUMSQ('TS-PILE'!$E$72:$E$91))+IF(SUMSQ('TS-PILE'!$D$72:$D$91)=0,0,'TO HOP NLAN'!F124*'TS-PILE'!$D$72/SUMSQ('TS-PILE'!$D$72:$D$91))),IF('TS-PILE'!$B$73="",-1E+99,'TO HOP NLAN'!D124/ncoc+IF(SUMSQ('TS-PILE'!$E$72:$E$91)=0,0,'TO HOP NLAN'!E124*'TS-PILE'!$E$73/SUMSQ('TS-PILE'!$E$72:$E$91))+IF(SUMSQ('TS-PILE'!$D$72:$D$91)=0,0,'TO HOP NLAN'!F124*'TS-PILE'!$D$73/SUMSQ('TS-PILE'!$D$72:$D$91))),IF('TS-PILE'!$B$74="",-1E+99,'TO HOP NLAN'!D124/ncoc+IF(SUMSQ('TS-PILE'!$E$72:$E$91)=0,0,'TO HOP NLAN'!E124*'TS-PILE'!$E$74/SUMSQ('TS-PILE'!$E$72:$E$91))+IF(SUMSQ('TS-PILE'!$D$72:$D$91)=0,0,'TO HOP NLAN'!F124*'TS-PILE'!$D$74/SUMSQ('TS-PILE'!$D$72:$D$91))),IF('TS-PILE'!$B$75="",-1E+99,'TO HOP NLAN'!D124/ncoc+IF(SUMSQ('TS-PILE'!$E$72:$E$91)=0,0,'TO HOP NLAN'!E124*'TS-PILE'!$E$75/SUMSQ('TS-PILE'!$E$72:$E$91))+IF(SUMSQ('TS-PILE'!$D$72:$D$91)=0,0,'TO HOP NLAN'!F124*'TS-PILE'!$D$75/SUMSQ('TS-PILE'!$D$72:$D$91))),IF('TS-PILE'!$B$76="",-1E+99,'TO HOP NLAN'!D124/ncoc+IF(SUMSQ('TS-PILE'!$E$72:$E$91)=0,0,'TO HOP NLAN'!E124*'TS-PILE'!$E$76/SUMSQ('TS-PILE'!$E$72:$E$91))+IF(SUMSQ('TS-PILE'!$D$72:$D$91)=0,0,'TO HOP NLAN'!F124*'TS-PILE'!$D$76/SUMSQ('TS-PILE'!$D$72:$D$91))),IF('TS-PILE'!$B$77="",-1E+99,'TO HOP NLAN'!D124/ncoc+IF(SUMSQ('TS-PILE'!$E$72:$E$91)=0,0,'TO HOP NLAN'!E124*'TS-PILE'!$E$77/SUMSQ('TS-PILE'!$E$72:$E$91))+IF(SUMSQ('TS-PILE'!$D$72:$D$91)=0,0,'TO HOP NLAN'!F124*'TS-PILE'!$D$77/SUMSQ('TS-PILE'!$D$72:$D$91))),IF('TS-PILE'!$B$78="",-1E+99,'TO HOP NLAN'!D124/ncoc+IF(SUMSQ('TS-PILE'!$E$72:$E$91)=0,0,'TO HOP NLAN'!E124*'TS-PILE'!$E$78/SUMSQ('TS-PILE'!$E$72:$E$91))+IF(SUMSQ('TS-PILE'!$D$72:$D$91)=0,0,'TO HOP NLAN'!F124*'TS-PILE'!$D$78/SUMSQ('TS-PILE'!$D$72:$D$91))),IF('TS-PILE'!$B$79="",-1E+99,'TO HOP NLAN'!D124/ncoc+IF(SUMSQ('TS-PILE'!$E$72:$E$91)=0,0,'TO HOP NLAN'!E124*'TS-PILE'!$E$79/SUMSQ('TS-PILE'!$E$72:$E$91))+IF(SUMSQ('TS-PILE'!$D$72:$D$91)=0,0,'TO HOP NLAN'!F124*'TS-PILE'!$D$79/SUMSQ('TS-PILE'!$D$72:$D$91))),IF('TS-PILE'!$B$80="",-1E+99,'TO HOP NLAN'!D124/ncoc+IF(SUMSQ('TS-PILE'!$E$72:$E$91)=0,0,'TO HOP NLAN'!E124*'TS-PILE'!$E$80/SUMSQ('TS-PILE'!$E$72:$E$91))+IF(SUMSQ('TS-PILE'!$D$72:$D$91)=0,0,'TO HOP NLAN'!F124*'TS-PILE'!$D$80/SUMSQ('TS-PILE'!$D$72:$D$91))),IF('TS-PILE'!$B$81="",-1E+99,'TO HOP NLAN'!D124/ncoc+IF(SUMSQ('TS-PILE'!$E$72:$E$91)=0,0,'TO HOP NLAN'!E124*'TS-PILE'!$E$81/SUMSQ('TS-PILE'!$E$72:$E$91))+IF(SUMSQ('TS-PILE'!$D$72:$D$91)=0,0,'TO HOP NLAN'!F124*'TS-PILE'!$D$81/SUMSQ('TS-PILE'!$D$72:$D$91))),IF('TS-PILE'!$B$82="",-1E+99,'TO HOP NLAN'!D124/ncoc+IF(SUMSQ('TS-PILE'!$E$72:$E$91)=0,0,'TO HOP NLAN'!E124*'TS-PILE'!$E$82/SUMSQ('TS-PILE'!$E$72:$E$91))+IF(SUMSQ('TS-PILE'!$D$72:$D$91)=0,0,'TO HOP NLAN'!F124*'TS-PILE'!$D$82/SUMSQ('TS-PILE'!$D$72:$D$91))),IF('TS-PILE'!$B$83="",-1E+99,'TO HOP NLAN'!D124/ncoc+IF(SUMSQ('TS-PILE'!$E$72:$E$91)=0,0,'TO HOP NLAN'!E124*'TS-PILE'!$E$83/SUMSQ('TS-PILE'!$E$72:$E$91))+IF(SUMSQ('TS-PILE'!$D$72:$D$91)=0,0,'TO HOP NLAN'!F124*'TS-PILE'!$D$83/SUMSQ('TS-PILE'!$D$72:$D$91))),IF('TS-PILE'!$B$84="",-1E+99,'TO HOP NLAN'!D124/ncoc+IF(SUMSQ('TS-PILE'!$E$72:$E$91)=0,0,'TO HOP NLAN'!E124*'TS-PILE'!$E$84/SUMSQ('TS-PILE'!$E$72:$E$91))+IF(SUMSQ('TS-PILE'!$D$72:$D$91)=0,0,'TO HOP NLAN'!F124*'TS-PILE'!$D$84/SUMSQ('TS-PILE'!$D$72:$D$91))),IF('TS-PILE'!$B$85="",-1E+99,'TO HOP NLAN'!D124/ncoc+IF(SUMSQ('TS-PILE'!$E$72:$E$91)=0,0,'TO HOP NLAN'!E124*'TS-PILE'!$E$85/SUMSQ('TS-PILE'!$E$72:$E$91))+IF(SUMSQ('TS-PILE'!$D$72:$D$91)=0,0,'TO HOP NLAN'!F124*'TS-PILE'!$D$85/SUMSQ('TS-PILE'!$D$72:$D$91))),IF('TS-PILE'!$B$86="",-1E+99,'TO HOP NLAN'!D124/ncoc+IF(SUMSQ('TS-PILE'!$E$72:$E$91)=0,0,'TO HOP NLAN'!E124*'TS-PILE'!$E$86/SUMSQ('TS-PILE'!$E$72:$E$91))+IF(SUMSQ('TS-PILE'!$D$72:$D$91)=0,0,'TO HOP NLAN'!F124*'TS-PILE'!$D$86/SUMSQ('TS-PILE'!$D$72:$D$91))),IF('TS-PILE'!$B$87="",-1E+99,'TO HOP NLAN'!D124/ncoc+IF(SUMSQ('TS-PILE'!$E$72:$E$91)=0,0,'TO HOP NLAN'!E124*'TS-PILE'!$E$87/SUMSQ('TS-PILE'!$E$72:$E$91))+IF(SUMSQ('TS-PILE'!$D$72:$D$91)=0,0,'TO HOP NLAN'!F124*'TS-PILE'!$D$87/SUMSQ('TS-PILE'!$D$72:$D$91))),IF('TS-PILE'!$B$88="",-1E+99,'TO HOP NLAN'!D124/ncoc+IF(SUMSQ('TS-PILE'!$E$72:$E$91)=0,0,'TO HOP NLAN'!E124*'TS-PILE'!$E$88/SUMSQ('TS-PILE'!$E$72:$E$91))+IF(SUMSQ('TS-PILE'!$D$72:$D$91)=0,0,'TO HOP NLAN'!F124*'TS-PILE'!$D$88/SUMSQ('TS-PILE'!$D$72:$D$91))),IF('TS-PILE'!$B$89="",-1E+99,'TO HOP NLAN'!D124/ncoc+IF(SUMSQ('TS-PILE'!$E$72:$E$91)=0,0,'TO HOP NLAN'!E124*'TS-PILE'!$E$89/SUMSQ('TS-PILE'!$E$72:$E$91))+IF(SUMSQ('TS-PILE'!$D$72:$D$91)=0,0,'TO HOP NLAN'!F124*'TS-PILE'!$D$89/SUMSQ('TS-PILE'!$D$72:$D$91))),IF('TS-PILE'!$B$90="",-1E+99,'TO HOP NLAN'!D124/ncoc+IF(SUMSQ('TS-PILE'!$E$72:$E$91)=0,0,'TO HOP NLAN'!E124*'TS-PILE'!$E$90/SUMSQ('TS-PILE'!$E$72:$E$91))+IF(SUMSQ('TS-PILE'!$D$72:$D$91)=0,0,'TO HOP NLAN'!F124*'TS-PILE'!$D$90/SUMSQ('TS-PILE'!$D$72:$D$91))),IF('TS-PILE'!$B$91="",-1E+99,'TO HOP NLAN'!D124/ncoc+IF(SUMSQ('TS-PILE'!$E$72:$E$91)=0,0,'TO HOP NLAN'!E124*'TS-PILE'!$E$91/SUMSQ('TS-PILE'!$E$72:$E$91))+IF(SUMSQ('TS-PILE'!$D$72:$D$91)=0,0,'TO HOP NLAN'!F124*'TS-PILE'!$D$91/SUMSQ('TS-PILE'!$D$72:$D$91)))))</f>
        <v>0</v>
      </c>
      <c r="D124" s="58">
        <f>IF(A124="",0,MIN(IF('TS-PILE'!$B$72="",1E+99,'TO HOP NLAN'!D124/ncoc+IF(SUMSQ('TS-PILE'!$E$72:$E$91)=0,0,'TO HOP NLAN'!E124*'TS-PILE'!$E$72/SUMSQ('TS-PILE'!$E$72:$E$91))+IF(SUMSQ('TS-PILE'!$D$72:$D$91)=0,0,'TO HOP NLAN'!F124*'TS-PILE'!$D$72/SUMSQ('TS-PILE'!$D$72:$D$91))),IF('TS-PILE'!$B$73="",1E+99,'TO HOP NLAN'!D124/ncoc+IF(SUMSQ('TS-PILE'!$E$72:$E$91)=0,0,'TO HOP NLAN'!E124*'TS-PILE'!$E$73/SUMSQ('TS-PILE'!$E$72:$E$91))+IF(SUMSQ('TS-PILE'!$D$72:$D$91)=0,0,'TO HOP NLAN'!F124*'TS-PILE'!$D$73/SUMSQ('TS-PILE'!$D$72:$D$91))),IF('TS-PILE'!$B$74="",1E+99,'TO HOP NLAN'!D124/ncoc+IF(SUMSQ('TS-PILE'!$E$72:$E$91)=0,0,'TO HOP NLAN'!E124*'TS-PILE'!$E$74/SUMSQ('TS-PILE'!$E$72:$E$91))+IF(SUMSQ('TS-PILE'!$D$72:$D$91)=0,0,'TO HOP NLAN'!F124*'TS-PILE'!$D$74/SUMSQ('TS-PILE'!$D$72:$D$91))),IF('TS-PILE'!$B$75="",1E+99,'TO HOP NLAN'!D124/ncoc+IF(SUMSQ('TS-PILE'!$E$72:$E$91)=0,0,'TO HOP NLAN'!E124*'TS-PILE'!$E$75/SUMSQ('TS-PILE'!$E$72:$E$91))+IF(SUMSQ('TS-PILE'!$D$72:$D$91)=0,0,'TO HOP NLAN'!F124*'TS-PILE'!$D$75/SUMSQ('TS-PILE'!$D$72:$D$91))),IF('TS-PILE'!$B$76="",1E+99,'TO HOP NLAN'!D124/ncoc+IF(SUMSQ('TS-PILE'!$E$72:$E$91)=0,0,'TO HOP NLAN'!E124*'TS-PILE'!$E$76/SUMSQ('TS-PILE'!$E$72:$E$91))+IF(SUMSQ('TS-PILE'!$D$72:$D$91)=0,0,'TO HOP NLAN'!F124*'TS-PILE'!$D$76/SUMSQ('TS-PILE'!$D$72:$D$91))),IF('TS-PILE'!$B$77="",1E+99,'TO HOP NLAN'!D124/ncoc+IF(SUMSQ('TS-PILE'!$E$72:$E$91)=0,0,'TO HOP NLAN'!E124*'TS-PILE'!$E$77/SUMSQ('TS-PILE'!$E$72:$E$91))+IF(SUMSQ('TS-PILE'!$D$72:$D$91)=0,0,'TO HOP NLAN'!F124*'TS-PILE'!$D$77/SUMSQ('TS-PILE'!$D$72:$D$91))),IF('TS-PILE'!$B$78="",1E+99,'TO HOP NLAN'!D124/ncoc+IF(SUMSQ('TS-PILE'!$E$72:$E$91)=0,0,'TO HOP NLAN'!E124*'TS-PILE'!$E$78/SUMSQ('TS-PILE'!$E$72:$E$91))+IF(SUMSQ('TS-PILE'!$D$72:$D$91)=0,0,'TO HOP NLAN'!F124*'TS-PILE'!$D$78/SUMSQ('TS-PILE'!$D$72:$D$91))),IF('TS-PILE'!$B$79="",1E+99,'TO HOP NLAN'!D124/ncoc+IF(SUMSQ('TS-PILE'!$E$72:$E$91)=0,0,'TO HOP NLAN'!E124*'TS-PILE'!$E$79/SUMSQ('TS-PILE'!$E$72:$E$91))+IF(SUMSQ('TS-PILE'!$D$72:$D$91)=0,0,'TO HOP NLAN'!F124*'TS-PILE'!$D$79/SUMSQ('TS-PILE'!$D$72:$D$91))),IF('TS-PILE'!$B$80="",1E+99,'TO HOP NLAN'!D124/ncoc+IF(SUMSQ('TS-PILE'!$E$72:$E$91)=0,0,'TO HOP NLAN'!E124*'TS-PILE'!$E$80/SUMSQ('TS-PILE'!$E$72:$E$91))+IF(SUMSQ('TS-PILE'!$D$72:$D$91)=0,0,'TO HOP NLAN'!F124*'TS-PILE'!$D$80/SUMSQ('TS-PILE'!$D$72:$D$91))),IF('TS-PILE'!$B$81="",1E+99,'TO HOP NLAN'!D124/ncoc+IF(SUMSQ('TS-PILE'!$E$72:$E$91)=0,0,'TO HOP NLAN'!E124*'TS-PILE'!$E$81/SUMSQ('TS-PILE'!$E$72:$E$91))+IF(SUMSQ('TS-PILE'!$D$72:$D$91)=0,0,'TO HOP NLAN'!F124*'TS-PILE'!$D$81/SUMSQ('TS-PILE'!$D$72:$D$91))),IF('TS-PILE'!$B$82="",1E+99,'TO HOP NLAN'!D124/ncoc+IF(SUMSQ('TS-PILE'!$E$72:$E$91)=0,0,'TO HOP NLAN'!E124*'TS-PILE'!$E$82/SUMSQ('TS-PILE'!$E$72:$E$91))+IF(SUMSQ('TS-PILE'!$D$72:$D$91)=0,0,'TO HOP NLAN'!F124*'TS-PILE'!$D$82/SUMSQ('TS-PILE'!$D$72:$D$91))),IF('TS-PILE'!$B$83="",1E+99,'TO HOP NLAN'!D124/ncoc+IF(SUMSQ('TS-PILE'!$E$72:$E$91)=0,0,'TO HOP NLAN'!E124*'TS-PILE'!$E$83/SUMSQ('TS-PILE'!$E$72:$E$91))+IF(SUMSQ('TS-PILE'!$D$72:$D$91)=0,0,'TO HOP NLAN'!F124*'TS-PILE'!$D$83/SUMSQ('TS-PILE'!$D$72:$D$91))),IF('TS-PILE'!$B$84="",1E+99,'TO HOP NLAN'!D124/ncoc+IF(SUMSQ('TS-PILE'!$E$72:$E$91)=0,0,'TO HOP NLAN'!E124*'TS-PILE'!$E$84/SUMSQ('TS-PILE'!$E$72:$E$91))+IF(SUMSQ('TS-PILE'!$D$72:$D$91)=0,0,'TO HOP NLAN'!F124*'TS-PILE'!$D$84/SUMSQ('TS-PILE'!$D$72:$D$91))),IF('TS-PILE'!$B$85="",1E+99,'TO HOP NLAN'!D124/ncoc+IF(SUMSQ('TS-PILE'!$E$72:$E$91)=0,0,'TO HOP NLAN'!E124*'TS-PILE'!$E$85/SUMSQ('TS-PILE'!$E$72:$E$91))+IF(SUMSQ('TS-PILE'!$D$72:$D$91)=0,0,'TO HOP NLAN'!F124*'TS-PILE'!$D$85/SUMSQ('TS-PILE'!$D$72:$D$91))),IF('TS-PILE'!$B$86="",1E+99,'TO HOP NLAN'!D124/ncoc+IF(SUMSQ('TS-PILE'!$E$72:$E$91)=0,0,'TO HOP NLAN'!E124*'TS-PILE'!$E$86/SUMSQ('TS-PILE'!$E$72:$E$91))+IF(SUMSQ('TS-PILE'!$D$72:$D$91)=0,0,'TO HOP NLAN'!F124*'TS-PILE'!$D$86/SUMSQ('TS-PILE'!$D$72:$D$91))),IF('TS-PILE'!$B$87="",1E+99,'TO HOP NLAN'!D124/ncoc+IF(SUMSQ('TS-PILE'!$E$72:$E$91)=0,0,'TO HOP NLAN'!E124*'TS-PILE'!$E$87/SUMSQ('TS-PILE'!$E$72:$E$91))+IF(SUMSQ('TS-PILE'!$D$72:$D$91)=0,0,'TO HOP NLAN'!F124*'TS-PILE'!$D$87/SUMSQ('TS-PILE'!$D$72:$D$91))),IF('TS-PILE'!$B$88="",1E+99,'TO HOP NLAN'!D124/ncoc+IF(SUMSQ('TS-PILE'!$E$72:$E$91)=0,0,'TO HOP NLAN'!E124*'TS-PILE'!$E$88/SUMSQ('TS-PILE'!$E$72:$E$91))+IF(SUMSQ('TS-PILE'!$D$72:$D$91)=0,0,'TO HOP NLAN'!F124*'TS-PILE'!$D$88/SUMSQ('TS-PILE'!$D$72:$D$91))),IF('TS-PILE'!$B$89="",1E+99,'TO HOP NLAN'!D124/ncoc+IF(SUMSQ('TS-PILE'!$E$72:$E$91)=0,0,'TO HOP NLAN'!E124*'TS-PILE'!$E$89/SUMSQ('TS-PILE'!$E$72:$E$91))+IF(SUMSQ('TS-PILE'!$D$72:$D$91)=0,0,'TO HOP NLAN'!F124*'TS-PILE'!$D$89/SUMSQ('TS-PILE'!$D$72:$D$91))),IF('TS-PILE'!$B$90="",1E+99,'TO HOP NLAN'!D124/ncoc+IF(SUMSQ('TS-PILE'!$E$72:$E$91)=0,0,'TO HOP NLAN'!E124*'TS-PILE'!$E$90/SUMSQ('TS-PILE'!$E$72:$E$91))+IF(SUMSQ('TS-PILE'!$D$72:$D$91)=0,0,'TO HOP NLAN'!F124*'TS-PILE'!$D$90/SUMSQ('TS-PILE'!$D$72:$D$91))),IF('TS-PILE'!$B$91="",1E+99,'TO HOP NLAN'!D124/ncoc+IF(SUMSQ('TS-PILE'!$E$72:$E$91)=0,0,'TO HOP NLAN'!E124*'TS-PILE'!$E$91/SUMSQ('TS-PILE'!$E$72:$E$91))+IF(SUMSQ('TS-PILE'!$D$72:$D$91)=0,0,'TO HOP NLAN'!F124*'TS-PILE'!$D$91/SUMSQ('TS-PILE'!$D$72:$D$91)))))</f>
        <v>0</v>
      </c>
      <c r="E124" s="58">
        <f t="shared" si="4"/>
        <v>-9.9999999999999997E+98</v>
      </c>
      <c r="F124" s="58">
        <f t="shared" si="5"/>
        <v>9.9999999999999997E+98</v>
      </c>
      <c r="G124" s="58">
        <f t="shared" si="6"/>
        <v>-9.9999999999999997E+98</v>
      </c>
      <c r="H124" s="58">
        <f t="shared" si="7"/>
        <v>9.9999999999999997E+98</v>
      </c>
    </row>
    <row r="125" spans="1:8" x14ac:dyDescent="0.3">
      <c r="A125" s="42" t="str">
        <f>'TO HOP NLAN'!A125</f>
        <v/>
      </c>
      <c r="B125" s="42" t="str">
        <f>'TO HOP NLAN'!L125</f>
        <v>STRENGTH</v>
      </c>
      <c r="C125" s="58">
        <f>IF(A125="",0,MAX(IF('TS-PILE'!$B$72="",-1E+99,'TO HOP NLAN'!D125/ncoc+IF(SUMSQ('TS-PILE'!$E$72:$E$91)=0,0,'TO HOP NLAN'!E125*'TS-PILE'!$E$72/SUMSQ('TS-PILE'!$E$72:$E$91))+IF(SUMSQ('TS-PILE'!$D$72:$D$91)=0,0,'TO HOP NLAN'!F125*'TS-PILE'!$D$72/SUMSQ('TS-PILE'!$D$72:$D$91))),IF('TS-PILE'!$B$73="",-1E+99,'TO HOP NLAN'!D125/ncoc+IF(SUMSQ('TS-PILE'!$E$72:$E$91)=0,0,'TO HOP NLAN'!E125*'TS-PILE'!$E$73/SUMSQ('TS-PILE'!$E$72:$E$91))+IF(SUMSQ('TS-PILE'!$D$72:$D$91)=0,0,'TO HOP NLAN'!F125*'TS-PILE'!$D$73/SUMSQ('TS-PILE'!$D$72:$D$91))),IF('TS-PILE'!$B$74="",-1E+99,'TO HOP NLAN'!D125/ncoc+IF(SUMSQ('TS-PILE'!$E$72:$E$91)=0,0,'TO HOP NLAN'!E125*'TS-PILE'!$E$74/SUMSQ('TS-PILE'!$E$72:$E$91))+IF(SUMSQ('TS-PILE'!$D$72:$D$91)=0,0,'TO HOP NLAN'!F125*'TS-PILE'!$D$74/SUMSQ('TS-PILE'!$D$72:$D$91))),IF('TS-PILE'!$B$75="",-1E+99,'TO HOP NLAN'!D125/ncoc+IF(SUMSQ('TS-PILE'!$E$72:$E$91)=0,0,'TO HOP NLAN'!E125*'TS-PILE'!$E$75/SUMSQ('TS-PILE'!$E$72:$E$91))+IF(SUMSQ('TS-PILE'!$D$72:$D$91)=0,0,'TO HOP NLAN'!F125*'TS-PILE'!$D$75/SUMSQ('TS-PILE'!$D$72:$D$91))),IF('TS-PILE'!$B$76="",-1E+99,'TO HOP NLAN'!D125/ncoc+IF(SUMSQ('TS-PILE'!$E$72:$E$91)=0,0,'TO HOP NLAN'!E125*'TS-PILE'!$E$76/SUMSQ('TS-PILE'!$E$72:$E$91))+IF(SUMSQ('TS-PILE'!$D$72:$D$91)=0,0,'TO HOP NLAN'!F125*'TS-PILE'!$D$76/SUMSQ('TS-PILE'!$D$72:$D$91))),IF('TS-PILE'!$B$77="",-1E+99,'TO HOP NLAN'!D125/ncoc+IF(SUMSQ('TS-PILE'!$E$72:$E$91)=0,0,'TO HOP NLAN'!E125*'TS-PILE'!$E$77/SUMSQ('TS-PILE'!$E$72:$E$91))+IF(SUMSQ('TS-PILE'!$D$72:$D$91)=0,0,'TO HOP NLAN'!F125*'TS-PILE'!$D$77/SUMSQ('TS-PILE'!$D$72:$D$91))),IF('TS-PILE'!$B$78="",-1E+99,'TO HOP NLAN'!D125/ncoc+IF(SUMSQ('TS-PILE'!$E$72:$E$91)=0,0,'TO HOP NLAN'!E125*'TS-PILE'!$E$78/SUMSQ('TS-PILE'!$E$72:$E$91))+IF(SUMSQ('TS-PILE'!$D$72:$D$91)=0,0,'TO HOP NLAN'!F125*'TS-PILE'!$D$78/SUMSQ('TS-PILE'!$D$72:$D$91))),IF('TS-PILE'!$B$79="",-1E+99,'TO HOP NLAN'!D125/ncoc+IF(SUMSQ('TS-PILE'!$E$72:$E$91)=0,0,'TO HOP NLAN'!E125*'TS-PILE'!$E$79/SUMSQ('TS-PILE'!$E$72:$E$91))+IF(SUMSQ('TS-PILE'!$D$72:$D$91)=0,0,'TO HOP NLAN'!F125*'TS-PILE'!$D$79/SUMSQ('TS-PILE'!$D$72:$D$91))),IF('TS-PILE'!$B$80="",-1E+99,'TO HOP NLAN'!D125/ncoc+IF(SUMSQ('TS-PILE'!$E$72:$E$91)=0,0,'TO HOP NLAN'!E125*'TS-PILE'!$E$80/SUMSQ('TS-PILE'!$E$72:$E$91))+IF(SUMSQ('TS-PILE'!$D$72:$D$91)=0,0,'TO HOP NLAN'!F125*'TS-PILE'!$D$80/SUMSQ('TS-PILE'!$D$72:$D$91))),IF('TS-PILE'!$B$81="",-1E+99,'TO HOP NLAN'!D125/ncoc+IF(SUMSQ('TS-PILE'!$E$72:$E$91)=0,0,'TO HOP NLAN'!E125*'TS-PILE'!$E$81/SUMSQ('TS-PILE'!$E$72:$E$91))+IF(SUMSQ('TS-PILE'!$D$72:$D$91)=0,0,'TO HOP NLAN'!F125*'TS-PILE'!$D$81/SUMSQ('TS-PILE'!$D$72:$D$91))),IF('TS-PILE'!$B$82="",-1E+99,'TO HOP NLAN'!D125/ncoc+IF(SUMSQ('TS-PILE'!$E$72:$E$91)=0,0,'TO HOP NLAN'!E125*'TS-PILE'!$E$82/SUMSQ('TS-PILE'!$E$72:$E$91))+IF(SUMSQ('TS-PILE'!$D$72:$D$91)=0,0,'TO HOP NLAN'!F125*'TS-PILE'!$D$82/SUMSQ('TS-PILE'!$D$72:$D$91))),IF('TS-PILE'!$B$83="",-1E+99,'TO HOP NLAN'!D125/ncoc+IF(SUMSQ('TS-PILE'!$E$72:$E$91)=0,0,'TO HOP NLAN'!E125*'TS-PILE'!$E$83/SUMSQ('TS-PILE'!$E$72:$E$91))+IF(SUMSQ('TS-PILE'!$D$72:$D$91)=0,0,'TO HOP NLAN'!F125*'TS-PILE'!$D$83/SUMSQ('TS-PILE'!$D$72:$D$91))),IF('TS-PILE'!$B$84="",-1E+99,'TO HOP NLAN'!D125/ncoc+IF(SUMSQ('TS-PILE'!$E$72:$E$91)=0,0,'TO HOP NLAN'!E125*'TS-PILE'!$E$84/SUMSQ('TS-PILE'!$E$72:$E$91))+IF(SUMSQ('TS-PILE'!$D$72:$D$91)=0,0,'TO HOP NLAN'!F125*'TS-PILE'!$D$84/SUMSQ('TS-PILE'!$D$72:$D$91))),IF('TS-PILE'!$B$85="",-1E+99,'TO HOP NLAN'!D125/ncoc+IF(SUMSQ('TS-PILE'!$E$72:$E$91)=0,0,'TO HOP NLAN'!E125*'TS-PILE'!$E$85/SUMSQ('TS-PILE'!$E$72:$E$91))+IF(SUMSQ('TS-PILE'!$D$72:$D$91)=0,0,'TO HOP NLAN'!F125*'TS-PILE'!$D$85/SUMSQ('TS-PILE'!$D$72:$D$91))),IF('TS-PILE'!$B$86="",-1E+99,'TO HOP NLAN'!D125/ncoc+IF(SUMSQ('TS-PILE'!$E$72:$E$91)=0,0,'TO HOP NLAN'!E125*'TS-PILE'!$E$86/SUMSQ('TS-PILE'!$E$72:$E$91))+IF(SUMSQ('TS-PILE'!$D$72:$D$91)=0,0,'TO HOP NLAN'!F125*'TS-PILE'!$D$86/SUMSQ('TS-PILE'!$D$72:$D$91))),IF('TS-PILE'!$B$87="",-1E+99,'TO HOP NLAN'!D125/ncoc+IF(SUMSQ('TS-PILE'!$E$72:$E$91)=0,0,'TO HOP NLAN'!E125*'TS-PILE'!$E$87/SUMSQ('TS-PILE'!$E$72:$E$91))+IF(SUMSQ('TS-PILE'!$D$72:$D$91)=0,0,'TO HOP NLAN'!F125*'TS-PILE'!$D$87/SUMSQ('TS-PILE'!$D$72:$D$91))),IF('TS-PILE'!$B$88="",-1E+99,'TO HOP NLAN'!D125/ncoc+IF(SUMSQ('TS-PILE'!$E$72:$E$91)=0,0,'TO HOP NLAN'!E125*'TS-PILE'!$E$88/SUMSQ('TS-PILE'!$E$72:$E$91))+IF(SUMSQ('TS-PILE'!$D$72:$D$91)=0,0,'TO HOP NLAN'!F125*'TS-PILE'!$D$88/SUMSQ('TS-PILE'!$D$72:$D$91))),IF('TS-PILE'!$B$89="",-1E+99,'TO HOP NLAN'!D125/ncoc+IF(SUMSQ('TS-PILE'!$E$72:$E$91)=0,0,'TO HOP NLAN'!E125*'TS-PILE'!$E$89/SUMSQ('TS-PILE'!$E$72:$E$91))+IF(SUMSQ('TS-PILE'!$D$72:$D$91)=0,0,'TO HOP NLAN'!F125*'TS-PILE'!$D$89/SUMSQ('TS-PILE'!$D$72:$D$91))),IF('TS-PILE'!$B$90="",-1E+99,'TO HOP NLAN'!D125/ncoc+IF(SUMSQ('TS-PILE'!$E$72:$E$91)=0,0,'TO HOP NLAN'!E125*'TS-PILE'!$E$90/SUMSQ('TS-PILE'!$E$72:$E$91))+IF(SUMSQ('TS-PILE'!$D$72:$D$91)=0,0,'TO HOP NLAN'!F125*'TS-PILE'!$D$90/SUMSQ('TS-PILE'!$D$72:$D$91))),IF('TS-PILE'!$B$91="",-1E+99,'TO HOP NLAN'!D125/ncoc+IF(SUMSQ('TS-PILE'!$E$72:$E$91)=0,0,'TO HOP NLAN'!E125*'TS-PILE'!$E$91/SUMSQ('TS-PILE'!$E$72:$E$91))+IF(SUMSQ('TS-PILE'!$D$72:$D$91)=0,0,'TO HOP NLAN'!F125*'TS-PILE'!$D$91/SUMSQ('TS-PILE'!$D$72:$D$91)))))</f>
        <v>0</v>
      </c>
      <c r="D125" s="58">
        <f>IF(A125="",0,MIN(IF('TS-PILE'!$B$72="",1E+99,'TO HOP NLAN'!D125/ncoc+IF(SUMSQ('TS-PILE'!$E$72:$E$91)=0,0,'TO HOP NLAN'!E125*'TS-PILE'!$E$72/SUMSQ('TS-PILE'!$E$72:$E$91))+IF(SUMSQ('TS-PILE'!$D$72:$D$91)=0,0,'TO HOP NLAN'!F125*'TS-PILE'!$D$72/SUMSQ('TS-PILE'!$D$72:$D$91))),IF('TS-PILE'!$B$73="",1E+99,'TO HOP NLAN'!D125/ncoc+IF(SUMSQ('TS-PILE'!$E$72:$E$91)=0,0,'TO HOP NLAN'!E125*'TS-PILE'!$E$73/SUMSQ('TS-PILE'!$E$72:$E$91))+IF(SUMSQ('TS-PILE'!$D$72:$D$91)=0,0,'TO HOP NLAN'!F125*'TS-PILE'!$D$73/SUMSQ('TS-PILE'!$D$72:$D$91))),IF('TS-PILE'!$B$74="",1E+99,'TO HOP NLAN'!D125/ncoc+IF(SUMSQ('TS-PILE'!$E$72:$E$91)=0,0,'TO HOP NLAN'!E125*'TS-PILE'!$E$74/SUMSQ('TS-PILE'!$E$72:$E$91))+IF(SUMSQ('TS-PILE'!$D$72:$D$91)=0,0,'TO HOP NLAN'!F125*'TS-PILE'!$D$74/SUMSQ('TS-PILE'!$D$72:$D$91))),IF('TS-PILE'!$B$75="",1E+99,'TO HOP NLAN'!D125/ncoc+IF(SUMSQ('TS-PILE'!$E$72:$E$91)=0,0,'TO HOP NLAN'!E125*'TS-PILE'!$E$75/SUMSQ('TS-PILE'!$E$72:$E$91))+IF(SUMSQ('TS-PILE'!$D$72:$D$91)=0,0,'TO HOP NLAN'!F125*'TS-PILE'!$D$75/SUMSQ('TS-PILE'!$D$72:$D$91))),IF('TS-PILE'!$B$76="",1E+99,'TO HOP NLAN'!D125/ncoc+IF(SUMSQ('TS-PILE'!$E$72:$E$91)=0,0,'TO HOP NLAN'!E125*'TS-PILE'!$E$76/SUMSQ('TS-PILE'!$E$72:$E$91))+IF(SUMSQ('TS-PILE'!$D$72:$D$91)=0,0,'TO HOP NLAN'!F125*'TS-PILE'!$D$76/SUMSQ('TS-PILE'!$D$72:$D$91))),IF('TS-PILE'!$B$77="",1E+99,'TO HOP NLAN'!D125/ncoc+IF(SUMSQ('TS-PILE'!$E$72:$E$91)=0,0,'TO HOP NLAN'!E125*'TS-PILE'!$E$77/SUMSQ('TS-PILE'!$E$72:$E$91))+IF(SUMSQ('TS-PILE'!$D$72:$D$91)=0,0,'TO HOP NLAN'!F125*'TS-PILE'!$D$77/SUMSQ('TS-PILE'!$D$72:$D$91))),IF('TS-PILE'!$B$78="",1E+99,'TO HOP NLAN'!D125/ncoc+IF(SUMSQ('TS-PILE'!$E$72:$E$91)=0,0,'TO HOP NLAN'!E125*'TS-PILE'!$E$78/SUMSQ('TS-PILE'!$E$72:$E$91))+IF(SUMSQ('TS-PILE'!$D$72:$D$91)=0,0,'TO HOP NLAN'!F125*'TS-PILE'!$D$78/SUMSQ('TS-PILE'!$D$72:$D$91))),IF('TS-PILE'!$B$79="",1E+99,'TO HOP NLAN'!D125/ncoc+IF(SUMSQ('TS-PILE'!$E$72:$E$91)=0,0,'TO HOP NLAN'!E125*'TS-PILE'!$E$79/SUMSQ('TS-PILE'!$E$72:$E$91))+IF(SUMSQ('TS-PILE'!$D$72:$D$91)=0,0,'TO HOP NLAN'!F125*'TS-PILE'!$D$79/SUMSQ('TS-PILE'!$D$72:$D$91))),IF('TS-PILE'!$B$80="",1E+99,'TO HOP NLAN'!D125/ncoc+IF(SUMSQ('TS-PILE'!$E$72:$E$91)=0,0,'TO HOP NLAN'!E125*'TS-PILE'!$E$80/SUMSQ('TS-PILE'!$E$72:$E$91))+IF(SUMSQ('TS-PILE'!$D$72:$D$91)=0,0,'TO HOP NLAN'!F125*'TS-PILE'!$D$80/SUMSQ('TS-PILE'!$D$72:$D$91))),IF('TS-PILE'!$B$81="",1E+99,'TO HOP NLAN'!D125/ncoc+IF(SUMSQ('TS-PILE'!$E$72:$E$91)=0,0,'TO HOP NLAN'!E125*'TS-PILE'!$E$81/SUMSQ('TS-PILE'!$E$72:$E$91))+IF(SUMSQ('TS-PILE'!$D$72:$D$91)=0,0,'TO HOP NLAN'!F125*'TS-PILE'!$D$81/SUMSQ('TS-PILE'!$D$72:$D$91))),IF('TS-PILE'!$B$82="",1E+99,'TO HOP NLAN'!D125/ncoc+IF(SUMSQ('TS-PILE'!$E$72:$E$91)=0,0,'TO HOP NLAN'!E125*'TS-PILE'!$E$82/SUMSQ('TS-PILE'!$E$72:$E$91))+IF(SUMSQ('TS-PILE'!$D$72:$D$91)=0,0,'TO HOP NLAN'!F125*'TS-PILE'!$D$82/SUMSQ('TS-PILE'!$D$72:$D$91))),IF('TS-PILE'!$B$83="",1E+99,'TO HOP NLAN'!D125/ncoc+IF(SUMSQ('TS-PILE'!$E$72:$E$91)=0,0,'TO HOP NLAN'!E125*'TS-PILE'!$E$83/SUMSQ('TS-PILE'!$E$72:$E$91))+IF(SUMSQ('TS-PILE'!$D$72:$D$91)=0,0,'TO HOP NLAN'!F125*'TS-PILE'!$D$83/SUMSQ('TS-PILE'!$D$72:$D$91))),IF('TS-PILE'!$B$84="",1E+99,'TO HOP NLAN'!D125/ncoc+IF(SUMSQ('TS-PILE'!$E$72:$E$91)=0,0,'TO HOP NLAN'!E125*'TS-PILE'!$E$84/SUMSQ('TS-PILE'!$E$72:$E$91))+IF(SUMSQ('TS-PILE'!$D$72:$D$91)=0,0,'TO HOP NLAN'!F125*'TS-PILE'!$D$84/SUMSQ('TS-PILE'!$D$72:$D$91))),IF('TS-PILE'!$B$85="",1E+99,'TO HOP NLAN'!D125/ncoc+IF(SUMSQ('TS-PILE'!$E$72:$E$91)=0,0,'TO HOP NLAN'!E125*'TS-PILE'!$E$85/SUMSQ('TS-PILE'!$E$72:$E$91))+IF(SUMSQ('TS-PILE'!$D$72:$D$91)=0,0,'TO HOP NLAN'!F125*'TS-PILE'!$D$85/SUMSQ('TS-PILE'!$D$72:$D$91))),IF('TS-PILE'!$B$86="",1E+99,'TO HOP NLAN'!D125/ncoc+IF(SUMSQ('TS-PILE'!$E$72:$E$91)=0,0,'TO HOP NLAN'!E125*'TS-PILE'!$E$86/SUMSQ('TS-PILE'!$E$72:$E$91))+IF(SUMSQ('TS-PILE'!$D$72:$D$91)=0,0,'TO HOP NLAN'!F125*'TS-PILE'!$D$86/SUMSQ('TS-PILE'!$D$72:$D$91))),IF('TS-PILE'!$B$87="",1E+99,'TO HOP NLAN'!D125/ncoc+IF(SUMSQ('TS-PILE'!$E$72:$E$91)=0,0,'TO HOP NLAN'!E125*'TS-PILE'!$E$87/SUMSQ('TS-PILE'!$E$72:$E$91))+IF(SUMSQ('TS-PILE'!$D$72:$D$91)=0,0,'TO HOP NLAN'!F125*'TS-PILE'!$D$87/SUMSQ('TS-PILE'!$D$72:$D$91))),IF('TS-PILE'!$B$88="",1E+99,'TO HOP NLAN'!D125/ncoc+IF(SUMSQ('TS-PILE'!$E$72:$E$91)=0,0,'TO HOP NLAN'!E125*'TS-PILE'!$E$88/SUMSQ('TS-PILE'!$E$72:$E$91))+IF(SUMSQ('TS-PILE'!$D$72:$D$91)=0,0,'TO HOP NLAN'!F125*'TS-PILE'!$D$88/SUMSQ('TS-PILE'!$D$72:$D$91))),IF('TS-PILE'!$B$89="",1E+99,'TO HOP NLAN'!D125/ncoc+IF(SUMSQ('TS-PILE'!$E$72:$E$91)=0,0,'TO HOP NLAN'!E125*'TS-PILE'!$E$89/SUMSQ('TS-PILE'!$E$72:$E$91))+IF(SUMSQ('TS-PILE'!$D$72:$D$91)=0,0,'TO HOP NLAN'!F125*'TS-PILE'!$D$89/SUMSQ('TS-PILE'!$D$72:$D$91))),IF('TS-PILE'!$B$90="",1E+99,'TO HOP NLAN'!D125/ncoc+IF(SUMSQ('TS-PILE'!$E$72:$E$91)=0,0,'TO HOP NLAN'!E125*'TS-PILE'!$E$90/SUMSQ('TS-PILE'!$E$72:$E$91))+IF(SUMSQ('TS-PILE'!$D$72:$D$91)=0,0,'TO HOP NLAN'!F125*'TS-PILE'!$D$90/SUMSQ('TS-PILE'!$D$72:$D$91))),IF('TS-PILE'!$B$91="",1E+99,'TO HOP NLAN'!D125/ncoc+IF(SUMSQ('TS-PILE'!$E$72:$E$91)=0,0,'TO HOP NLAN'!E125*'TS-PILE'!$E$91/SUMSQ('TS-PILE'!$E$72:$E$91))+IF(SUMSQ('TS-PILE'!$D$72:$D$91)=0,0,'TO HOP NLAN'!F125*'TS-PILE'!$D$91/SUMSQ('TS-PILE'!$D$72:$D$91)))))</f>
        <v>0</v>
      </c>
      <c r="E125" s="58">
        <f t="shared" si="4"/>
        <v>-9.9999999999999997E+98</v>
      </c>
      <c r="F125" s="58">
        <f t="shared" si="5"/>
        <v>9.9999999999999997E+98</v>
      </c>
      <c r="G125" s="58">
        <f t="shared" si="6"/>
        <v>-9.9999999999999997E+98</v>
      </c>
      <c r="H125" s="58">
        <f t="shared" si="7"/>
        <v>9.9999999999999997E+98</v>
      </c>
    </row>
    <row r="126" spans="1:8" x14ac:dyDescent="0.3">
      <c r="A126" s="42" t="str">
        <f>'TO HOP NLAN'!A126</f>
        <v/>
      </c>
      <c r="B126" s="42" t="str">
        <f>'TO HOP NLAN'!L126</f>
        <v>STRENGTH</v>
      </c>
      <c r="C126" s="58">
        <f>IF(A126="",0,MAX(IF('TS-PILE'!$B$72="",-1E+99,'TO HOP NLAN'!D126/ncoc+IF(SUMSQ('TS-PILE'!$E$72:$E$91)=0,0,'TO HOP NLAN'!E126*'TS-PILE'!$E$72/SUMSQ('TS-PILE'!$E$72:$E$91))+IF(SUMSQ('TS-PILE'!$D$72:$D$91)=0,0,'TO HOP NLAN'!F126*'TS-PILE'!$D$72/SUMSQ('TS-PILE'!$D$72:$D$91))),IF('TS-PILE'!$B$73="",-1E+99,'TO HOP NLAN'!D126/ncoc+IF(SUMSQ('TS-PILE'!$E$72:$E$91)=0,0,'TO HOP NLAN'!E126*'TS-PILE'!$E$73/SUMSQ('TS-PILE'!$E$72:$E$91))+IF(SUMSQ('TS-PILE'!$D$72:$D$91)=0,0,'TO HOP NLAN'!F126*'TS-PILE'!$D$73/SUMSQ('TS-PILE'!$D$72:$D$91))),IF('TS-PILE'!$B$74="",-1E+99,'TO HOP NLAN'!D126/ncoc+IF(SUMSQ('TS-PILE'!$E$72:$E$91)=0,0,'TO HOP NLAN'!E126*'TS-PILE'!$E$74/SUMSQ('TS-PILE'!$E$72:$E$91))+IF(SUMSQ('TS-PILE'!$D$72:$D$91)=0,0,'TO HOP NLAN'!F126*'TS-PILE'!$D$74/SUMSQ('TS-PILE'!$D$72:$D$91))),IF('TS-PILE'!$B$75="",-1E+99,'TO HOP NLAN'!D126/ncoc+IF(SUMSQ('TS-PILE'!$E$72:$E$91)=0,0,'TO HOP NLAN'!E126*'TS-PILE'!$E$75/SUMSQ('TS-PILE'!$E$72:$E$91))+IF(SUMSQ('TS-PILE'!$D$72:$D$91)=0,0,'TO HOP NLAN'!F126*'TS-PILE'!$D$75/SUMSQ('TS-PILE'!$D$72:$D$91))),IF('TS-PILE'!$B$76="",-1E+99,'TO HOP NLAN'!D126/ncoc+IF(SUMSQ('TS-PILE'!$E$72:$E$91)=0,0,'TO HOP NLAN'!E126*'TS-PILE'!$E$76/SUMSQ('TS-PILE'!$E$72:$E$91))+IF(SUMSQ('TS-PILE'!$D$72:$D$91)=0,0,'TO HOP NLAN'!F126*'TS-PILE'!$D$76/SUMSQ('TS-PILE'!$D$72:$D$91))),IF('TS-PILE'!$B$77="",-1E+99,'TO HOP NLAN'!D126/ncoc+IF(SUMSQ('TS-PILE'!$E$72:$E$91)=0,0,'TO HOP NLAN'!E126*'TS-PILE'!$E$77/SUMSQ('TS-PILE'!$E$72:$E$91))+IF(SUMSQ('TS-PILE'!$D$72:$D$91)=0,0,'TO HOP NLAN'!F126*'TS-PILE'!$D$77/SUMSQ('TS-PILE'!$D$72:$D$91))),IF('TS-PILE'!$B$78="",-1E+99,'TO HOP NLAN'!D126/ncoc+IF(SUMSQ('TS-PILE'!$E$72:$E$91)=0,0,'TO HOP NLAN'!E126*'TS-PILE'!$E$78/SUMSQ('TS-PILE'!$E$72:$E$91))+IF(SUMSQ('TS-PILE'!$D$72:$D$91)=0,0,'TO HOP NLAN'!F126*'TS-PILE'!$D$78/SUMSQ('TS-PILE'!$D$72:$D$91))),IF('TS-PILE'!$B$79="",-1E+99,'TO HOP NLAN'!D126/ncoc+IF(SUMSQ('TS-PILE'!$E$72:$E$91)=0,0,'TO HOP NLAN'!E126*'TS-PILE'!$E$79/SUMSQ('TS-PILE'!$E$72:$E$91))+IF(SUMSQ('TS-PILE'!$D$72:$D$91)=0,0,'TO HOP NLAN'!F126*'TS-PILE'!$D$79/SUMSQ('TS-PILE'!$D$72:$D$91))),IF('TS-PILE'!$B$80="",-1E+99,'TO HOP NLAN'!D126/ncoc+IF(SUMSQ('TS-PILE'!$E$72:$E$91)=0,0,'TO HOP NLAN'!E126*'TS-PILE'!$E$80/SUMSQ('TS-PILE'!$E$72:$E$91))+IF(SUMSQ('TS-PILE'!$D$72:$D$91)=0,0,'TO HOP NLAN'!F126*'TS-PILE'!$D$80/SUMSQ('TS-PILE'!$D$72:$D$91))),IF('TS-PILE'!$B$81="",-1E+99,'TO HOP NLAN'!D126/ncoc+IF(SUMSQ('TS-PILE'!$E$72:$E$91)=0,0,'TO HOP NLAN'!E126*'TS-PILE'!$E$81/SUMSQ('TS-PILE'!$E$72:$E$91))+IF(SUMSQ('TS-PILE'!$D$72:$D$91)=0,0,'TO HOP NLAN'!F126*'TS-PILE'!$D$81/SUMSQ('TS-PILE'!$D$72:$D$91))),IF('TS-PILE'!$B$82="",-1E+99,'TO HOP NLAN'!D126/ncoc+IF(SUMSQ('TS-PILE'!$E$72:$E$91)=0,0,'TO HOP NLAN'!E126*'TS-PILE'!$E$82/SUMSQ('TS-PILE'!$E$72:$E$91))+IF(SUMSQ('TS-PILE'!$D$72:$D$91)=0,0,'TO HOP NLAN'!F126*'TS-PILE'!$D$82/SUMSQ('TS-PILE'!$D$72:$D$91))),IF('TS-PILE'!$B$83="",-1E+99,'TO HOP NLAN'!D126/ncoc+IF(SUMSQ('TS-PILE'!$E$72:$E$91)=0,0,'TO HOP NLAN'!E126*'TS-PILE'!$E$83/SUMSQ('TS-PILE'!$E$72:$E$91))+IF(SUMSQ('TS-PILE'!$D$72:$D$91)=0,0,'TO HOP NLAN'!F126*'TS-PILE'!$D$83/SUMSQ('TS-PILE'!$D$72:$D$91))),IF('TS-PILE'!$B$84="",-1E+99,'TO HOP NLAN'!D126/ncoc+IF(SUMSQ('TS-PILE'!$E$72:$E$91)=0,0,'TO HOP NLAN'!E126*'TS-PILE'!$E$84/SUMSQ('TS-PILE'!$E$72:$E$91))+IF(SUMSQ('TS-PILE'!$D$72:$D$91)=0,0,'TO HOP NLAN'!F126*'TS-PILE'!$D$84/SUMSQ('TS-PILE'!$D$72:$D$91))),IF('TS-PILE'!$B$85="",-1E+99,'TO HOP NLAN'!D126/ncoc+IF(SUMSQ('TS-PILE'!$E$72:$E$91)=0,0,'TO HOP NLAN'!E126*'TS-PILE'!$E$85/SUMSQ('TS-PILE'!$E$72:$E$91))+IF(SUMSQ('TS-PILE'!$D$72:$D$91)=0,0,'TO HOP NLAN'!F126*'TS-PILE'!$D$85/SUMSQ('TS-PILE'!$D$72:$D$91))),IF('TS-PILE'!$B$86="",-1E+99,'TO HOP NLAN'!D126/ncoc+IF(SUMSQ('TS-PILE'!$E$72:$E$91)=0,0,'TO HOP NLAN'!E126*'TS-PILE'!$E$86/SUMSQ('TS-PILE'!$E$72:$E$91))+IF(SUMSQ('TS-PILE'!$D$72:$D$91)=0,0,'TO HOP NLAN'!F126*'TS-PILE'!$D$86/SUMSQ('TS-PILE'!$D$72:$D$91))),IF('TS-PILE'!$B$87="",-1E+99,'TO HOP NLAN'!D126/ncoc+IF(SUMSQ('TS-PILE'!$E$72:$E$91)=0,0,'TO HOP NLAN'!E126*'TS-PILE'!$E$87/SUMSQ('TS-PILE'!$E$72:$E$91))+IF(SUMSQ('TS-PILE'!$D$72:$D$91)=0,0,'TO HOP NLAN'!F126*'TS-PILE'!$D$87/SUMSQ('TS-PILE'!$D$72:$D$91))),IF('TS-PILE'!$B$88="",-1E+99,'TO HOP NLAN'!D126/ncoc+IF(SUMSQ('TS-PILE'!$E$72:$E$91)=0,0,'TO HOP NLAN'!E126*'TS-PILE'!$E$88/SUMSQ('TS-PILE'!$E$72:$E$91))+IF(SUMSQ('TS-PILE'!$D$72:$D$91)=0,0,'TO HOP NLAN'!F126*'TS-PILE'!$D$88/SUMSQ('TS-PILE'!$D$72:$D$91))),IF('TS-PILE'!$B$89="",-1E+99,'TO HOP NLAN'!D126/ncoc+IF(SUMSQ('TS-PILE'!$E$72:$E$91)=0,0,'TO HOP NLAN'!E126*'TS-PILE'!$E$89/SUMSQ('TS-PILE'!$E$72:$E$91))+IF(SUMSQ('TS-PILE'!$D$72:$D$91)=0,0,'TO HOP NLAN'!F126*'TS-PILE'!$D$89/SUMSQ('TS-PILE'!$D$72:$D$91))),IF('TS-PILE'!$B$90="",-1E+99,'TO HOP NLAN'!D126/ncoc+IF(SUMSQ('TS-PILE'!$E$72:$E$91)=0,0,'TO HOP NLAN'!E126*'TS-PILE'!$E$90/SUMSQ('TS-PILE'!$E$72:$E$91))+IF(SUMSQ('TS-PILE'!$D$72:$D$91)=0,0,'TO HOP NLAN'!F126*'TS-PILE'!$D$90/SUMSQ('TS-PILE'!$D$72:$D$91))),IF('TS-PILE'!$B$91="",-1E+99,'TO HOP NLAN'!D126/ncoc+IF(SUMSQ('TS-PILE'!$E$72:$E$91)=0,0,'TO HOP NLAN'!E126*'TS-PILE'!$E$91/SUMSQ('TS-PILE'!$E$72:$E$91))+IF(SUMSQ('TS-PILE'!$D$72:$D$91)=0,0,'TO HOP NLAN'!F126*'TS-PILE'!$D$91/SUMSQ('TS-PILE'!$D$72:$D$91)))))</f>
        <v>0</v>
      </c>
      <c r="D126" s="58">
        <f>IF(A126="",0,MIN(IF('TS-PILE'!$B$72="",1E+99,'TO HOP NLAN'!D126/ncoc+IF(SUMSQ('TS-PILE'!$E$72:$E$91)=0,0,'TO HOP NLAN'!E126*'TS-PILE'!$E$72/SUMSQ('TS-PILE'!$E$72:$E$91))+IF(SUMSQ('TS-PILE'!$D$72:$D$91)=0,0,'TO HOP NLAN'!F126*'TS-PILE'!$D$72/SUMSQ('TS-PILE'!$D$72:$D$91))),IF('TS-PILE'!$B$73="",1E+99,'TO HOP NLAN'!D126/ncoc+IF(SUMSQ('TS-PILE'!$E$72:$E$91)=0,0,'TO HOP NLAN'!E126*'TS-PILE'!$E$73/SUMSQ('TS-PILE'!$E$72:$E$91))+IF(SUMSQ('TS-PILE'!$D$72:$D$91)=0,0,'TO HOP NLAN'!F126*'TS-PILE'!$D$73/SUMSQ('TS-PILE'!$D$72:$D$91))),IF('TS-PILE'!$B$74="",1E+99,'TO HOP NLAN'!D126/ncoc+IF(SUMSQ('TS-PILE'!$E$72:$E$91)=0,0,'TO HOP NLAN'!E126*'TS-PILE'!$E$74/SUMSQ('TS-PILE'!$E$72:$E$91))+IF(SUMSQ('TS-PILE'!$D$72:$D$91)=0,0,'TO HOP NLAN'!F126*'TS-PILE'!$D$74/SUMSQ('TS-PILE'!$D$72:$D$91))),IF('TS-PILE'!$B$75="",1E+99,'TO HOP NLAN'!D126/ncoc+IF(SUMSQ('TS-PILE'!$E$72:$E$91)=0,0,'TO HOP NLAN'!E126*'TS-PILE'!$E$75/SUMSQ('TS-PILE'!$E$72:$E$91))+IF(SUMSQ('TS-PILE'!$D$72:$D$91)=0,0,'TO HOP NLAN'!F126*'TS-PILE'!$D$75/SUMSQ('TS-PILE'!$D$72:$D$91))),IF('TS-PILE'!$B$76="",1E+99,'TO HOP NLAN'!D126/ncoc+IF(SUMSQ('TS-PILE'!$E$72:$E$91)=0,0,'TO HOP NLAN'!E126*'TS-PILE'!$E$76/SUMSQ('TS-PILE'!$E$72:$E$91))+IF(SUMSQ('TS-PILE'!$D$72:$D$91)=0,0,'TO HOP NLAN'!F126*'TS-PILE'!$D$76/SUMSQ('TS-PILE'!$D$72:$D$91))),IF('TS-PILE'!$B$77="",1E+99,'TO HOP NLAN'!D126/ncoc+IF(SUMSQ('TS-PILE'!$E$72:$E$91)=0,0,'TO HOP NLAN'!E126*'TS-PILE'!$E$77/SUMSQ('TS-PILE'!$E$72:$E$91))+IF(SUMSQ('TS-PILE'!$D$72:$D$91)=0,0,'TO HOP NLAN'!F126*'TS-PILE'!$D$77/SUMSQ('TS-PILE'!$D$72:$D$91))),IF('TS-PILE'!$B$78="",1E+99,'TO HOP NLAN'!D126/ncoc+IF(SUMSQ('TS-PILE'!$E$72:$E$91)=0,0,'TO HOP NLAN'!E126*'TS-PILE'!$E$78/SUMSQ('TS-PILE'!$E$72:$E$91))+IF(SUMSQ('TS-PILE'!$D$72:$D$91)=0,0,'TO HOP NLAN'!F126*'TS-PILE'!$D$78/SUMSQ('TS-PILE'!$D$72:$D$91))),IF('TS-PILE'!$B$79="",1E+99,'TO HOP NLAN'!D126/ncoc+IF(SUMSQ('TS-PILE'!$E$72:$E$91)=0,0,'TO HOP NLAN'!E126*'TS-PILE'!$E$79/SUMSQ('TS-PILE'!$E$72:$E$91))+IF(SUMSQ('TS-PILE'!$D$72:$D$91)=0,0,'TO HOP NLAN'!F126*'TS-PILE'!$D$79/SUMSQ('TS-PILE'!$D$72:$D$91))),IF('TS-PILE'!$B$80="",1E+99,'TO HOP NLAN'!D126/ncoc+IF(SUMSQ('TS-PILE'!$E$72:$E$91)=0,0,'TO HOP NLAN'!E126*'TS-PILE'!$E$80/SUMSQ('TS-PILE'!$E$72:$E$91))+IF(SUMSQ('TS-PILE'!$D$72:$D$91)=0,0,'TO HOP NLAN'!F126*'TS-PILE'!$D$80/SUMSQ('TS-PILE'!$D$72:$D$91))),IF('TS-PILE'!$B$81="",1E+99,'TO HOP NLAN'!D126/ncoc+IF(SUMSQ('TS-PILE'!$E$72:$E$91)=0,0,'TO HOP NLAN'!E126*'TS-PILE'!$E$81/SUMSQ('TS-PILE'!$E$72:$E$91))+IF(SUMSQ('TS-PILE'!$D$72:$D$91)=0,0,'TO HOP NLAN'!F126*'TS-PILE'!$D$81/SUMSQ('TS-PILE'!$D$72:$D$91))),IF('TS-PILE'!$B$82="",1E+99,'TO HOP NLAN'!D126/ncoc+IF(SUMSQ('TS-PILE'!$E$72:$E$91)=0,0,'TO HOP NLAN'!E126*'TS-PILE'!$E$82/SUMSQ('TS-PILE'!$E$72:$E$91))+IF(SUMSQ('TS-PILE'!$D$72:$D$91)=0,0,'TO HOP NLAN'!F126*'TS-PILE'!$D$82/SUMSQ('TS-PILE'!$D$72:$D$91))),IF('TS-PILE'!$B$83="",1E+99,'TO HOP NLAN'!D126/ncoc+IF(SUMSQ('TS-PILE'!$E$72:$E$91)=0,0,'TO HOP NLAN'!E126*'TS-PILE'!$E$83/SUMSQ('TS-PILE'!$E$72:$E$91))+IF(SUMSQ('TS-PILE'!$D$72:$D$91)=0,0,'TO HOP NLAN'!F126*'TS-PILE'!$D$83/SUMSQ('TS-PILE'!$D$72:$D$91))),IF('TS-PILE'!$B$84="",1E+99,'TO HOP NLAN'!D126/ncoc+IF(SUMSQ('TS-PILE'!$E$72:$E$91)=0,0,'TO HOP NLAN'!E126*'TS-PILE'!$E$84/SUMSQ('TS-PILE'!$E$72:$E$91))+IF(SUMSQ('TS-PILE'!$D$72:$D$91)=0,0,'TO HOP NLAN'!F126*'TS-PILE'!$D$84/SUMSQ('TS-PILE'!$D$72:$D$91))),IF('TS-PILE'!$B$85="",1E+99,'TO HOP NLAN'!D126/ncoc+IF(SUMSQ('TS-PILE'!$E$72:$E$91)=0,0,'TO HOP NLAN'!E126*'TS-PILE'!$E$85/SUMSQ('TS-PILE'!$E$72:$E$91))+IF(SUMSQ('TS-PILE'!$D$72:$D$91)=0,0,'TO HOP NLAN'!F126*'TS-PILE'!$D$85/SUMSQ('TS-PILE'!$D$72:$D$91))),IF('TS-PILE'!$B$86="",1E+99,'TO HOP NLAN'!D126/ncoc+IF(SUMSQ('TS-PILE'!$E$72:$E$91)=0,0,'TO HOP NLAN'!E126*'TS-PILE'!$E$86/SUMSQ('TS-PILE'!$E$72:$E$91))+IF(SUMSQ('TS-PILE'!$D$72:$D$91)=0,0,'TO HOP NLAN'!F126*'TS-PILE'!$D$86/SUMSQ('TS-PILE'!$D$72:$D$91))),IF('TS-PILE'!$B$87="",1E+99,'TO HOP NLAN'!D126/ncoc+IF(SUMSQ('TS-PILE'!$E$72:$E$91)=0,0,'TO HOP NLAN'!E126*'TS-PILE'!$E$87/SUMSQ('TS-PILE'!$E$72:$E$91))+IF(SUMSQ('TS-PILE'!$D$72:$D$91)=0,0,'TO HOP NLAN'!F126*'TS-PILE'!$D$87/SUMSQ('TS-PILE'!$D$72:$D$91))),IF('TS-PILE'!$B$88="",1E+99,'TO HOP NLAN'!D126/ncoc+IF(SUMSQ('TS-PILE'!$E$72:$E$91)=0,0,'TO HOP NLAN'!E126*'TS-PILE'!$E$88/SUMSQ('TS-PILE'!$E$72:$E$91))+IF(SUMSQ('TS-PILE'!$D$72:$D$91)=0,0,'TO HOP NLAN'!F126*'TS-PILE'!$D$88/SUMSQ('TS-PILE'!$D$72:$D$91))),IF('TS-PILE'!$B$89="",1E+99,'TO HOP NLAN'!D126/ncoc+IF(SUMSQ('TS-PILE'!$E$72:$E$91)=0,0,'TO HOP NLAN'!E126*'TS-PILE'!$E$89/SUMSQ('TS-PILE'!$E$72:$E$91))+IF(SUMSQ('TS-PILE'!$D$72:$D$91)=0,0,'TO HOP NLAN'!F126*'TS-PILE'!$D$89/SUMSQ('TS-PILE'!$D$72:$D$91))),IF('TS-PILE'!$B$90="",1E+99,'TO HOP NLAN'!D126/ncoc+IF(SUMSQ('TS-PILE'!$E$72:$E$91)=0,0,'TO HOP NLAN'!E126*'TS-PILE'!$E$90/SUMSQ('TS-PILE'!$E$72:$E$91))+IF(SUMSQ('TS-PILE'!$D$72:$D$91)=0,0,'TO HOP NLAN'!F126*'TS-PILE'!$D$90/SUMSQ('TS-PILE'!$D$72:$D$91))),IF('TS-PILE'!$B$91="",1E+99,'TO HOP NLAN'!D126/ncoc+IF(SUMSQ('TS-PILE'!$E$72:$E$91)=0,0,'TO HOP NLAN'!E126*'TS-PILE'!$E$91/SUMSQ('TS-PILE'!$E$72:$E$91))+IF(SUMSQ('TS-PILE'!$D$72:$D$91)=0,0,'TO HOP NLAN'!F126*'TS-PILE'!$D$91/SUMSQ('TS-PILE'!$D$72:$D$91)))))</f>
        <v>0</v>
      </c>
      <c r="E126" s="58">
        <f t="shared" si="4"/>
        <v>-9.9999999999999997E+98</v>
      </c>
      <c r="F126" s="58">
        <f t="shared" si="5"/>
        <v>9.9999999999999997E+98</v>
      </c>
      <c r="G126" s="58">
        <f t="shared" si="6"/>
        <v>-9.9999999999999997E+98</v>
      </c>
      <c r="H126" s="58">
        <f t="shared" si="7"/>
        <v>9.9999999999999997E+98</v>
      </c>
    </row>
    <row r="127" spans="1:8" x14ac:dyDescent="0.3">
      <c r="A127" s="42" t="str">
        <f>'TO HOP NLAN'!A127</f>
        <v/>
      </c>
      <c r="B127" s="42" t="str">
        <f>'TO HOP NLAN'!L127</f>
        <v>STRENGTH</v>
      </c>
      <c r="C127" s="58">
        <f>IF(A127="",0,MAX(IF('TS-PILE'!$B$72="",-1E+99,'TO HOP NLAN'!D127/ncoc+IF(SUMSQ('TS-PILE'!$E$72:$E$91)=0,0,'TO HOP NLAN'!E127*'TS-PILE'!$E$72/SUMSQ('TS-PILE'!$E$72:$E$91))+IF(SUMSQ('TS-PILE'!$D$72:$D$91)=0,0,'TO HOP NLAN'!F127*'TS-PILE'!$D$72/SUMSQ('TS-PILE'!$D$72:$D$91))),IF('TS-PILE'!$B$73="",-1E+99,'TO HOP NLAN'!D127/ncoc+IF(SUMSQ('TS-PILE'!$E$72:$E$91)=0,0,'TO HOP NLAN'!E127*'TS-PILE'!$E$73/SUMSQ('TS-PILE'!$E$72:$E$91))+IF(SUMSQ('TS-PILE'!$D$72:$D$91)=0,0,'TO HOP NLAN'!F127*'TS-PILE'!$D$73/SUMSQ('TS-PILE'!$D$72:$D$91))),IF('TS-PILE'!$B$74="",-1E+99,'TO HOP NLAN'!D127/ncoc+IF(SUMSQ('TS-PILE'!$E$72:$E$91)=0,0,'TO HOP NLAN'!E127*'TS-PILE'!$E$74/SUMSQ('TS-PILE'!$E$72:$E$91))+IF(SUMSQ('TS-PILE'!$D$72:$D$91)=0,0,'TO HOP NLAN'!F127*'TS-PILE'!$D$74/SUMSQ('TS-PILE'!$D$72:$D$91))),IF('TS-PILE'!$B$75="",-1E+99,'TO HOP NLAN'!D127/ncoc+IF(SUMSQ('TS-PILE'!$E$72:$E$91)=0,0,'TO HOP NLAN'!E127*'TS-PILE'!$E$75/SUMSQ('TS-PILE'!$E$72:$E$91))+IF(SUMSQ('TS-PILE'!$D$72:$D$91)=0,0,'TO HOP NLAN'!F127*'TS-PILE'!$D$75/SUMSQ('TS-PILE'!$D$72:$D$91))),IF('TS-PILE'!$B$76="",-1E+99,'TO HOP NLAN'!D127/ncoc+IF(SUMSQ('TS-PILE'!$E$72:$E$91)=0,0,'TO HOP NLAN'!E127*'TS-PILE'!$E$76/SUMSQ('TS-PILE'!$E$72:$E$91))+IF(SUMSQ('TS-PILE'!$D$72:$D$91)=0,0,'TO HOP NLAN'!F127*'TS-PILE'!$D$76/SUMSQ('TS-PILE'!$D$72:$D$91))),IF('TS-PILE'!$B$77="",-1E+99,'TO HOP NLAN'!D127/ncoc+IF(SUMSQ('TS-PILE'!$E$72:$E$91)=0,0,'TO HOP NLAN'!E127*'TS-PILE'!$E$77/SUMSQ('TS-PILE'!$E$72:$E$91))+IF(SUMSQ('TS-PILE'!$D$72:$D$91)=0,0,'TO HOP NLAN'!F127*'TS-PILE'!$D$77/SUMSQ('TS-PILE'!$D$72:$D$91))),IF('TS-PILE'!$B$78="",-1E+99,'TO HOP NLAN'!D127/ncoc+IF(SUMSQ('TS-PILE'!$E$72:$E$91)=0,0,'TO HOP NLAN'!E127*'TS-PILE'!$E$78/SUMSQ('TS-PILE'!$E$72:$E$91))+IF(SUMSQ('TS-PILE'!$D$72:$D$91)=0,0,'TO HOP NLAN'!F127*'TS-PILE'!$D$78/SUMSQ('TS-PILE'!$D$72:$D$91))),IF('TS-PILE'!$B$79="",-1E+99,'TO HOP NLAN'!D127/ncoc+IF(SUMSQ('TS-PILE'!$E$72:$E$91)=0,0,'TO HOP NLAN'!E127*'TS-PILE'!$E$79/SUMSQ('TS-PILE'!$E$72:$E$91))+IF(SUMSQ('TS-PILE'!$D$72:$D$91)=0,0,'TO HOP NLAN'!F127*'TS-PILE'!$D$79/SUMSQ('TS-PILE'!$D$72:$D$91))),IF('TS-PILE'!$B$80="",-1E+99,'TO HOP NLAN'!D127/ncoc+IF(SUMSQ('TS-PILE'!$E$72:$E$91)=0,0,'TO HOP NLAN'!E127*'TS-PILE'!$E$80/SUMSQ('TS-PILE'!$E$72:$E$91))+IF(SUMSQ('TS-PILE'!$D$72:$D$91)=0,0,'TO HOP NLAN'!F127*'TS-PILE'!$D$80/SUMSQ('TS-PILE'!$D$72:$D$91))),IF('TS-PILE'!$B$81="",-1E+99,'TO HOP NLAN'!D127/ncoc+IF(SUMSQ('TS-PILE'!$E$72:$E$91)=0,0,'TO HOP NLAN'!E127*'TS-PILE'!$E$81/SUMSQ('TS-PILE'!$E$72:$E$91))+IF(SUMSQ('TS-PILE'!$D$72:$D$91)=0,0,'TO HOP NLAN'!F127*'TS-PILE'!$D$81/SUMSQ('TS-PILE'!$D$72:$D$91))),IF('TS-PILE'!$B$82="",-1E+99,'TO HOP NLAN'!D127/ncoc+IF(SUMSQ('TS-PILE'!$E$72:$E$91)=0,0,'TO HOP NLAN'!E127*'TS-PILE'!$E$82/SUMSQ('TS-PILE'!$E$72:$E$91))+IF(SUMSQ('TS-PILE'!$D$72:$D$91)=0,0,'TO HOP NLAN'!F127*'TS-PILE'!$D$82/SUMSQ('TS-PILE'!$D$72:$D$91))),IF('TS-PILE'!$B$83="",-1E+99,'TO HOP NLAN'!D127/ncoc+IF(SUMSQ('TS-PILE'!$E$72:$E$91)=0,0,'TO HOP NLAN'!E127*'TS-PILE'!$E$83/SUMSQ('TS-PILE'!$E$72:$E$91))+IF(SUMSQ('TS-PILE'!$D$72:$D$91)=0,0,'TO HOP NLAN'!F127*'TS-PILE'!$D$83/SUMSQ('TS-PILE'!$D$72:$D$91))),IF('TS-PILE'!$B$84="",-1E+99,'TO HOP NLAN'!D127/ncoc+IF(SUMSQ('TS-PILE'!$E$72:$E$91)=0,0,'TO HOP NLAN'!E127*'TS-PILE'!$E$84/SUMSQ('TS-PILE'!$E$72:$E$91))+IF(SUMSQ('TS-PILE'!$D$72:$D$91)=0,0,'TO HOP NLAN'!F127*'TS-PILE'!$D$84/SUMSQ('TS-PILE'!$D$72:$D$91))),IF('TS-PILE'!$B$85="",-1E+99,'TO HOP NLAN'!D127/ncoc+IF(SUMSQ('TS-PILE'!$E$72:$E$91)=0,0,'TO HOP NLAN'!E127*'TS-PILE'!$E$85/SUMSQ('TS-PILE'!$E$72:$E$91))+IF(SUMSQ('TS-PILE'!$D$72:$D$91)=0,0,'TO HOP NLAN'!F127*'TS-PILE'!$D$85/SUMSQ('TS-PILE'!$D$72:$D$91))),IF('TS-PILE'!$B$86="",-1E+99,'TO HOP NLAN'!D127/ncoc+IF(SUMSQ('TS-PILE'!$E$72:$E$91)=0,0,'TO HOP NLAN'!E127*'TS-PILE'!$E$86/SUMSQ('TS-PILE'!$E$72:$E$91))+IF(SUMSQ('TS-PILE'!$D$72:$D$91)=0,0,'TO HOP NLAN'!F127*'TS-PILE'!$D$86/SUMSQ('TS-PILE'!$D$72:$D$91))),IF('TS-PILE'!$B$87="",-1E+99,'TO HOP NLAN'!D127/ncoc+IF(SUMSQ('TS-PILE'!$E$72:$E$91)=0,0,'TO HOP NLAN'!E127*'TS-PILE'!$E$87/SUMSQ('TS-PILE'!$E$72:$E$91))+IF(SUMSQ('TS-PILE'!$D$72:$D$91)=0,0,'TO HOP NLAN'!F127*'TS-PILE'!$D$87/SUMSQ('TS-PILE'!$D$72:$D$91))),IF('TS-PILE'!$B$88="",-1E+99,'TO HOP NLAN'!D127/ncoc+IF(SUMSQ('TS-PILE'!$E$72:$E$91)=0,0,'TO HOP NLAN'!E127*'TS-PILE'!$E$88/SUMSQ('TS-PILE'!$E$72:$E$91))+IF(SUMSQ('TS-PILE'!$D$72:$D$91)=0,0,'TO HOP NLAN'!F127*'TS-PILE'!$D$88/SUMSQ('TS-PILE'!$D$72:$D$91))),IF('TS-PILE'!$B$89="",-1E+99,'TO HOP NLAN'!D127/ncoc+IF(SUMSQ('TS-PILE'!$E$72:$E$91)=0,0,'TO HOP NLAN'!E127*'TS-PILE'!$E$89/SUMSQ('TS-PILE'!$E$72:$E$91))+IF(SUMSQ('TS-PILE'!$D$72:$D$91)=0,0,'TO HOP NLAN'!F127*'TS-PILE'!$D$89/SUMSQ('TS-PILE'!$D$72:$D$91))),IF('TS-PILE'!$B$90="",-1E+99,'TO HOP NLAN'!D127/ncoc+IF(SUMSQ('TS-PILE'!$E$72:$E$91)=0,0,'TO HOP NLAN'!E127*'TS-PILE'!$E$90/SUMSQ('TS-PILE'!$E$72:$E$91))+IF(SUMSQ('TS-PILE'!$D$72:$D$91)=0,0,'TO HOP NLAN'!F127*'TS-PILE'!$D$90/SUMSQ('TS-PILE'!$D$72:$D$91))),IF('TS-PILE'!$B$91="",-1E+99,'TO HOP NLAN'!D127/ncoc+IF(SUMSQ('TS-PILE'!$E$72:$E$91)=0,0,'TO HOP NLAN'!E127*'TS-PILE'!$E$91/SUMSQ('TS-PILE'!$E$72:$E$91))+IF(SUMSQ('TS-PILE'!$D$72:$D$91)=0,0,'TO HOP NLAN'!F127*'TS-PILE'!$D$91/SUMSQ('TS-PILE'!$D$72:$D$91)))))</f>
        <v>0</v>
      </c>
      <c r="D127" s="58">
        <f>IF(A127="",0,MIN(IF('TS-PILE'!$B$72="",1E+99,'TO HOP NLAN'!D127/ncoc+IF(SUMSQ('TS-PILE'!$E$72:$E$91)=0,0,'TO HOP NLAN'!E127*'TS-PILE'!$E$72/SUMSQ('TS-PILE'!$E$72:$E$91))+IF(SUMSQ('TS-PILE'!$D$72:$D$91)=0,0,'TO HOP NLAN'!F127*'TS-PILE'!$D$72/SUMSQ('TS-PILE'!$D$72:$D$91))),IF('TS-PILE'!$B$73="",1E+99,'TO HOP NLAN'!D127/ncoc+IF(SUMSQ('TS-PILE'!$E$72:$E$91)=0,0,'TO HOP NLAN'!E127*'TS-PILE'!$E$73/SUMSQ('TS-PILE'!$E$72:$E$91))+IF(SUMSQ('TS-PILE'!$D$72:$D$91)=0,0,'TO HOP NLAN'!F127*'TS-PILE'!$D$73/SUMSQ('TS-PILE'!$D$72:$D$91))),IF('TS-PILE'!$B$74="",1E+99,'TO HOP NLAN'!D127/ncoc+IF(SUMSQ('TS-PILE'!$E$72:$E$91)=0,0,'TO HOP NLAN'!E127*'TS-PILE'!$E$74/SUMSQ('TS-PILE'!$E$72:$E$91))+IF(SUMSQ('TS-PILE'!$D$72:$D$91)=0,0,'TO HOP NLAN'!F127*'TS-PILE'!$D$74/SUMSQ('TS-PILE'!$D$72:$D$91))),IF('TS-PILE'!$B$75="",1E+99,'TO HOP NLAN'!D127/ncoc+IF(SUMSQ('TS-PILE'!$E$72:$E$91)=0,0,'TO HOP NLAN'!E127*'TS-PILE'!$E$75/SUMSQ('TS-PILE'!$E$72:$E$91))+IF(SUMSQ('TS-PILE'!$D$72:$D$91)=0,0,'TO HOP NLAN'!F127*'TS-PILE'!$D$75/SUMSQ('TS-PILE'!$D$72:$D$91))),IF('TS-PILE'!$B$76="",1E+99,'TO HOP NLAN'!D127/ncoc+IF(SUMSQ('TS-PILE'!$E$72:$E$91)=0,0,'TO HOP NLAN'!E127*'TS-PILE'!$E$76/SUMSQ('TS-PILE'!$E$72:$E$91))+IF(SUMSQ('TS-PILE'!$D$72:$D$91)=0,0,'TO HOP NLAN'!F127*'TS-PILE'!$D$76/SUMSQ('TS-PILE'!$D$72:$D$91))),IF('TS-PILE'!$B$77="",1E+99,'TO HOP NLAN'!D127/ncoc+IF(SUMSQ('TS-PILE'!$E$72:$E$91)=0,0,'TO HOP NLAN'!E127*'TS-PILE'!$E$77/SUMSQ('TS-PILE'!$E$72:$E$91))+IF(SUMSQ('TS-PILE'!$D$72:$D$91)=0,0,'TO HOP NLAN'!F127*'TS-PILE'!$D$77/SUMSQ('TS-PILE'!$D$72:$D$91))),IF('TS-PILE'!$B$78="",1E+99,'TO HOP NLAN'!D127/ncoc+IF(SUMSQ('TS-PILE'!$E$72:$E$91)=0,0,'TO HOP NLAN'!E127*'TS-PILE'!$E$78/SUMSQ('TS-PILE'!$E$72:$E$91))+IF(SUMSQ('TS-PILE'!$D$72:$D$91)=0,0,'TO HOP NLAN'!F127*'TS-PILE'!$D$78/SUMSQ('TS-PILE'!$D$72:$D$91))),IF('TS-PILE'!$B$79="",1E+99,'TO HOP NLAN'!D127/ncoc+IF(SUMSQ('TS-PILE'!$E$72:$E$91)=0,0,'TO HOP NLAN'!E127*'TS-PILE'!$E$79/SUMSQ('TS-PILE'!$E$72:$E$91))+IF(SUMSQ('TS-PILE'!$D$72:$D$91)=0,0,'TO HOP NLAN'!F127*'TS-PILE'!$D$79/SUMSQ('TS-PILE'!$D$72:$D$91))),IF('TS-PILE'!$B$80="",1E+99,'TO HOP NLAN'!D127/ncoc+IF(SUMSQ('TS-PILE'!$E$72:$E$91)=0,0,'TO HOP NLAN'!E127*'TS-PILE'!$E$80/SUMSQ('TS-PILE'!$E$72:$E$91))+IF(SUMSQ('TS-PILE'!$D$72:$D$91)=0,0,'TO HOP NLAN'!F127*'TS-PILE'!$D$80/SUMSQ('TS-PILE'!$D$72:$D$91))),IF('TS-PILE'!$B$81="",1E+99,'TO HOP NLAN'!D127/ncoc+IF(SUMSQ('TS-PILE'!$E$72:$E$91)=0,0,'TO HOP NLAN'!E127*'TS-PILE'!$E$81/SUMSQ('TS-PILE'!$E$72:$E$91))+IF(SUMSQ('TS-PILE'!$D$72:$D$91)=0,0,'TO HOP NLAN'!F127*'TS-PILE'!$D$81/SUMSQ('TS-PILE'!$D$72:$D$91))),IF('TS-PILE'!$B$82="",1E+99,'TO HOP NLAN'!D127/ncoc+IF(SUMSQ('TS-PILE'!$E$72:$E$91)=0,0,'TO HOP NLAN'!E127*'TS-PILE'!$E$82/SUMSQ('TS-PILE'!$E$72:$E$91))+IF(SUMSQ('TS-PILE'!$D$72:$D$91)=0,0,'TO HOP NLAN'!F127*'TS-PILE'!$D$82/SUMSQ('TS-PILE'!$D$72:$D$91))),IF('TS-PILE'!$B$83="",1E+99,'TO HOP NLAN'!D127/ncoc+IF(SUMSQ('TS-PILE'!$E$72:$E$91)=0,0,'TO HOP NLAN'!E127*'TS-PILE'!$E$83/SUMSQ('TS-PILE'!$E$72:$E$91))+IF(SUMSQ('TS-PILE'!$D$72:$D$91)=0,0,'TO HOP NLAN'!F127*'TS-PILE'!$D$83/SUMSQ('TS-PILE'!$D$72:$D$91))),IF('TS-PILE'!$B$84="",1E+99,'TO HOP NLAN'!D127/ncoc+IF(SUMSQ('TS-PILE'!$E$72:$E$91)=0,0,'TO HOP NLAN'!E127*'TS-PILE'!$E$84/SUMSQ('TS-PILE'!$E$72:$E$91))+IF(SUMSQ('TS-PILE'!$D$72:$D$91)=0,0,'TO HOP NLAN'!F127*'TS-PILE'!$D$84/SUMSQ('TS-PILE'!$D$72:$D$91))),IF('TS-PILE'!$B$85="",1E+99,'TO HOP NLAN'!D127/ncoc+IF(SUMSQ('TS-PILE'!$E$72:$E$91)=0,0,'TO HOP NLAN'!E127*'TS-PILE'!$E$85/SUMSQ('TS-PILE'!$E$72:$E$91))+IF(SUMSQ('TS-PILE'!$D$72:$D$91)=0,0,'TO HOP NLAN'!F127*'TS-PILE'!$D$85/SUMSQ('TS-PILE'!$D$72:$D$91))),IF('TS-PILE'!$B$86="",1E+99,'TO HOP NLAN'!D127/ncoc+IF(SUMSQ('TS-PILE'!$E$72:$E$91)=0,0,'TO HOP NLAN'!E127*'TS-PILE'!$E$86/SUMSQ('TS-PILE'!$E$72:$E$91))+IF(SUMSQ('TS-PILE'!$D$72:$D$91)=0,0,'TO HOP NLAN'!F127*'TS-PILE'!$D$86/SUMSQ('TS-PILE'!$D$72:$D$91))),IF('TS-PILE'!$B$87="",1E+99,'TO HOP NLAN'!D127/ncoc+IF(SUMSQ('TS-PILE'!$E$72:$E$91)=0,0,'TO HOP NLAN'!E127*'TS-PILE'!$E$87/SUMSQ('TS-PILE'!$E$72:$E$91))+IF(SUMSQ('TS-PILE'!$D$72:$D$91)=0,0,'TO HOP NLAN'!F127*'TS-PILE'!$D$87/SUMSQ('TS-PILE'!$D$72:$D$91))),IF('TS-PILE'!$B$88="",1E+99,'TO HOP NLAN'!D127/ncoc+IF(SUMSQ('TS-PILE'!$E$72:$E$91)=0,0,'TO HOP NLAN'!E127*'TS-PILE'!$E$88/SUMSQ('TS-PILE'!$E$72:$E$91))+IF(SUMSQ('TS-PILE'!$D$72:$D$91)=0,0,'TO HOP NLAN'!F127*'TS-PILE'!$D$88/SUMSQ('TS-PILE'!$D$72:$D$91))),IF('TS-PILE'!$B$89="",1E+99,'TO HOP NLAN'!D127/ncoc+IF(SUMSQ('TS-PILE'!$E$72:$E$91)=0,0,'TO HOP NLAN'!E127*'TS-PILE'!$E$89/SUMSQ('TS-PILE'!$E$72:$E$91))+IF(SUMSQ('TS-PILE'!$D$72:$D$91)=0,0,'TO HOP NLAN'!F127*'TS-PILE'!$D$89/SUMSQ('TS-PILE'!$D$72:$D$91))),IF('TS-PILE'!$B$90="",1E+99,'TO HOP NLAN'!D127/ncoc+IF(SUMSQ('TS-PILE'!$E$72:$E$91)=0,0,'TO HOP NLAN'!E127*'TS-PILE'!$E$90/SUMSQ('TS-PILE'!$E$72:$E$91))+IF(SUMSQ('TS-PILE'!$D$72:$D$91)=0,0,'TO HOP NLAN'!F127*'TS-PILE'!$D$90/SUMSQ('TS-PILE'!$D$72:$D$91))),IF('TS-PILE'!$B$91="",1E+99,'TO HOP NLAN'!D127/ncoc+IF(SUMSQ('TS-PILE'!$E$72:$E$91)=0,0,'TO HOP NLAN'!E127*'TS-PILE'!$E$91/SUMSQ('TS-PILE'!$E$72:$E$91))+IF(SUMSQ('TS-PILE'!$D$72:$D$91)=0,0,'TO HOP NLAN'!F127*'TS-PILE'!$D$91/SUMSQ('TS-PILE'!$D$72:$D$91)))))</f>
        <v>0</v>
      </c>
      <c r="E127" s="58">
        <f t="shared" si="4"/>
        <v>-9.9999999999999997E+98</v>
      </c>
      <c r="F127" s="58">
        <f t="shared" si="5"/>
        <v>9.9999999999999997E+98</v>
      </c>
      <c r="G127" s="58">
        <f t="shared" si="6"/>
        <v>-9.9999999999999997E+98</v>
      </c>
      <c r="H127" s="58">
        <f t="shared" si="7"/>
        <v>9.9999999999999997E+98</v>
      </c>
    </row>
    <row r="128" spans="1:8" x14ac:dyDescent="0.3">
      <c r="A128" s="42" t="str">
        <f>'TO HOP NLAN'!A128</f>
        <v/>
      </c>
      <c r="B128" s="42" t="str">
        <f>'TO HOP NLAN'!L128</f>
        <v>STRENGTH</v>
      </c>
      <c r="C128" s="58">
        <f>IF(A128="",0,MAX(IF('TS-PILE'!$B$72="",-1E+99,'TO HOP NLAN'!D128/ncoc+IF(SUMSQ('TS-PILE'!$E$72:$E$91)=0,0,'TO HOP NLAN'!E128*'TS-PILE'!$E$72/SUMSQ('TS-PILE'!$E$72:$E$91))+IF(SUMSQ('TS-PILE'!$D$72:$D$91)=0,0,'TO HOP NLAN'!F128*'TS-PILE'!$D$72/SUMSQ('TS-PILE'!$D$72:$D$91))),IF('TS-PILE'!$B$73="",-1E+99,'TO HOP NLAN'!D128/ncoc+IF(SUMSQ('TS-PILE'!$E$72:$E$91)=0,0,'TO HOP NLAN'!E128*'TS-PILE'!$E$73/SUMSQ('TS-PILE'!$E$72:$E$91))+IF(SUMSQ('TS-PILE'!$D$72:$D$91)=0,0,'TO HOP NLAN'!F128*'TS-PILE'!$D$73/SUMSQ('TS-PILE'!$D$72:$D$91))),IF('TS-PILE'!$B$74="",-1E+99,'TO HOP NLAN'!D128/ncoc+IF(SUMSQ('TS-PILE'!$E$72:$E$91)=0,0,'TO HOP NLAN'!E128*'TS-PILE'!$E$74/SUMSQ('TS-PILE'!$E$72:$E$91))+IF(SUMSQ('TS-PILE'!$D$72:$D$91)=0,0,'TO HOP NLAN'!F128*'TS-PILE'!$D$74/SUMSQ('TS-PILE'!$D$72:$D$91))),IF('TS-PILE'!$B$75="",-1E+99,'TO HOP NLAN'!D128/ncoc+IF(SUMSQ('TS-PILE'!$E$72:$E$91)=0,0,'TO HOP NLAN'!E128*'TS-PILE'!$E$75/SUMSQ('TS-PILE'!$E$72:$E$91))+IF(SUMSQ('TS-PILE'!$D$72:$D$91)=0,0,'TO HOP NLAN'!F128*'TS-PILE'!$D$75/SUMSQ('TS-PILE'!$D$72:$D$91))),IF('TS-PILE'!$B$76="",-1E+99,'TO HOP NLAN'!D128/ncoc+IF(SUMSQ('TS-PILE'!$E$72:$E$91)=0,0,'TO HOP NLAN'!E128*'TS-PILE'!$E$76/SUMSQ('TS-PILE'!$E$72:$E$91))+IF(SUMSQ('TS-PILE'!$D$72:$D$91)=0,0,'TO HOP NLAN'!F128*'TS-PILE'!$D$76/SUMSQ('TS-PILE'!$D$72:$D$91))),IF('TS-PILE'!$B$77="",-1E+99,'TO HOP NLAN'!D128/ncoc+IF(SUMSQ('TS-PILE'!$E$72:$E$91)=0,0,'TO HOP NLAN'!E128*'TS-PILE'!$E$77/SUMSQ('TS-PILE'!$E$72:$E$91))+IF(SUMSQ('TS-PILE'!$D$72:$D$91)=0,0,'TO HOP NLAN'!F128*'TS-PILE'!$D$77/SUMSQ('TS-PILE'!$D$72:$D$91))),IF('TS-PILE'!$B$78="",-1E+99,'TO HOP NLAN'!D128/ncoc+IF(SUMSQ('TS-PILE'!$E$72:$E$91)=0,0,'TO HOP NLAN'!E128*'TS-PILE'!$E$78/SUMSQ('TS-PILE'!$E$72:$E$91))+IF(SUMSQ('TS-PILE'!$D$72:$D$91)=0,0,'TO HOP NLAN'!F128*'TS-PILE'!$D$78/SUMSQ('TS-PILE'!$D$72:$D$91))),IF('TS-PILE'!$B$79="",-1E+99,'TO HOP NLAN'!D128/ncoc+IF(SUMSQ('TS-PILE'!$E$72:$E$91)=0,0,'TO HOP NLAN'!E128*'TS-PILE'!$E$79/SUMSQ('TS-PILE'!$E$72:$E$91))+IF(SUMSQ('TS-PILE'!$D$72:$D$91)=0,0,'TO HOP NLAN'!F128*'TS-PILE'!$D$79/SUMSQ('TS-PILE'!$D$72:$D$91))),IF('TS-PILE'!$B$80="",-1E+99,'TO HOP NLAN'!D128/ncoc+IF(SUMSQ('TS-PILE'!$E$72:$E$91)=0,0,'TO HOP NLAN'!E128*'TS-PILE'!$E$80/SUMSQ('TS-PILE'!$E$72:$E$91))+IF(SUMSQ('TS-PILE'!$D$72:$D$91)=0,0,'TO HOP NLAN'!F128*'TS-PILE'!$D$80/SUMSQ('TS-PILE'!$D$72:$D$91))),IF('TS-PILE'!$B$81="",-1E+99,'TO HOP NLAN'!D128/ncoc+IF(SUMSQ('TS-PILE'!$E$72:$E$91)=0,0,'TO HOP NLAN'!E128*'TS-PILE'!$E$81/SUMSQ('TS-PILE'!$E$72:$E$91))+IF(SUMSQ('TS-PILE'!$D$72:$D$91)=0,0,'TO HOP NLAN'!F128*'TS-PILE'!$D$81/SUMSQ('TS-PILE'!$D$72:$D$91))),IF('TS-PILE'!$B$82="",-1E+99,'TO HOP NLAN'!D128/ncoc+IF(SUMSQ('TS-PILE'!$E$72:$E$91)=0,0,'TO HOP NLAN'!E128*'TS-PILE'!$E$82/SUMSQ('TS-PILE'!$E$72:$E$91))+IF(SUMSQ('TS-PILE'!$D$72:$D$91)=0,0,'TO HOP NLAN'!F128*'TS-PILE'!$D$82/SUMSQ('TS-PILE'!$D$72:$D$91))),IF('TS-PILE'!$B$83="",-1E+99,'TO HOP NLAN'!D128/ncoc+IF(SUMSQ('TS-PILE'!$E$72:$E$91)=0,0,'TO HOP NLAN'!E128*'TS-PILE'!$E$83/SUMSQ('TS-PILE'!$E$72:$E$91))+IF(SUMSQ('TS-PILE'!$D$72:$D$91)=0,0,'TO HOP NLAN'!F128*'TS-PILE'!$D$83/SUMSQ('TS-PILE'!$D$72:$D$91))),IF('TS-PILE'!$B$84="",-1E+99,'TO HOP NLAN'!D128/ncoc+IF(SUMSQ('TS-PILE'!$E$72:$E$91)=0,0,'TO HOP NLAN'!E128*'TS-PILE'!$E$84/SUMSQ('TS-PILE'!$E$72:$E$91))+IF(SUMSQ('TS-PILE'!$D$72:$D$91)=0,0,'TO HOP NLAN'!F128*'TS-PILE'!$D$84/SUMSQ('TS-PILE'!$D$72:$D$91))),IF('TS-PILE'!$B$85="",-1E+99,'TO HOP NLAN'!D128/ncoc+IF(SUMSQ('TS-PILE'!$E$72:$E$91)=0,0,'TO HOP NLAN'!E128*'TS-PILE'!$E$85/SUMSQ('TS-PILE'!$E$72:$E$91))+IF(SUMSQ('TS-PILE'!$D$72:$D$91)=0,0,'TO HOP NLAN'!F128*'TS-PILE'!$D$85/SUMSQ('TS-PILE'!$D$72:$D$91))),IF('TS-PILE'!$B$86="",-1E+99,'TO HOP NLAN'!D128/ncoc+IF(SUMSQ('TS-PILE'!$E$72:$E$91)=0,0,'TO HOP NLAN'!E128*'TS-PILE'!$E$86/SUMSQ('TS-PILE'!$E$72:$E$91))+IF(SUMSQ('TS-PILE'!$D$72:$D$91)=0,0,'TO HOP NLAN'!F128*'TS-PILE'!$D$86/SUMSQ('TS-PILE'!$D$72:$D$91))),IF('TS-PILE'!$B$87="",-1E+99,'TO HOP NLAN'!D128/ncoc+IF(SUMSQ('TS-PILE'!$E$72:$E$91)=0,0,'TO HOP NLAN'!E128*'TS-PILE'!$E$87/SUMSQ('TS-PILE'!$E$72:$E$91))+IF(SUMSQ('TS-PILE'!$D$72:$D$91)=0,0,'TO HOP NLAN'!F128*'TS-PILE'!$D$87/SUMSQ('TS-PILE'!$D$72:$D$91))),IF('TS-PILE'!$B$88="",-1E+99,'TO HOP NLAN'!D128/ncoc+IF(SUMSQ('TS-PILE'!$E$72:$E$91)=0,0,'TO HOP NLAN'!E128*'TS-PILE'!$E$88/SUMSQ('TS-PILE'!$E$72:$E$91))+IF(SUMSQ('TS-PILE'!$D$72:$D$91)=0,0,'TO HOP NLAN'!F128*'TS-PILE'!$D$88/SUMSQ('TS-PILE'!$D$72:$D$91))),IF('TS-PILE'!$B$89="",-1E+99,'TO HOP NLAN'!D128/ncoc+IF(SUMSQ('TS-PILE'!$E$72:$E$91)=0,0,'TO HOP NLAN'!E128*'TS-PILE'!$E$89/SUMSQ('TS-PILE'!$E$72:$E$91))+IF(SUMSQ('TS-PILE'!$D$72:$D$91)=0,0,'TO HOP NLAN'!F128*'TS-PILE'!$D$89/SUMSQ('TS-PILE'!$D$72:$D$91))),IF('TS-PILE'!$B$90="",-1E+99,'TO HOP NLAN'!D128/ncoc+IF(SUMSQ('TS-PILE'!$E$72:$E$91)=0,0,'TO HOP NLAN'!E128*'TS-PILE'!$E$90/SUMSQ('TS-PILE'!$E$72:$E$91))+IF(SUMSQ('TS-PILE'!$D$72:$D$91)=0,0,'TO HOP NLAN'!F128*'TS-PILE'!$D$90/SUMSQ('TS-PILE'!$D$72:$D$91))),IF('TS-PILE'!$B$91="",-1E+99,'TO HOP NLAN'!D128/ncoc+IF(SUMSQ('TS-PILE'!$E$72:$E$91)=0,0,'TO HOP NLAN'!E128*'TS-PILE'!$E$91/SUMSQ('TS-PILE'!$E$72:$E$91))+IF(SUMSQ('TS-PILE'!$D$72:$D$91)=0,0,'TO HOP NLAN'!F128*'TS-PILE'!$D$91/SUMSQ('TS-PILE'!$D$72:$D$91)))))</f>
        <v>0</v>
      </c>
      <c r="D128" s="58">
        <f>IF(A128="",0,MIN(IF('TS-PILE'!$B$72="",1E+99,'TO HOP NLAN'!D128/ncoc+IF(SUMSQ('TS-PILE'!$E$72:$E$91)=0,0,'TO HOP NLAN'!E128*'TS-PILE'!$E$72/SUMSQ('TS-PILE'!$E$72:$E$91))+IF(SUMSQ('TS-PILE'!$D$72:$D$91)=0,0,'TO HOP NLAN'!F128*'TS-PILE'!$D$72/SUMSQ('TS-PILE'!$D$72:$D$91))),IF('TS-PILE'!$B$73="",1E+99,'TO HOP NLAN'!D128/ncoc+IF(SUMSQ('TS-PILE'!$E$72:$E$91)=0,0,'TO HOP NLAN'!E128*'TS-PILE'!$E$73/SUMSQ('TS-PILE'!$E$72:$E$91))+IF(SUMSQ('TS-PILE'!$D$72:$D$91)=0,0,'TO HOP NLAN'!F128*'TS-PILE'!$D$73/SUMSQ('TS-PILE'!$D$72:$D$91))),IF('TS-PILE'!$B$74="",1E+99,'TO HOP NLAN'!D128/ncoc+IF(SUMSQ('TS-PILE'!$E$72:$E$91)=0,0,'TO HOP NLAN'!E128*'TS-PILE'!$E$74/SUMSQ('TS-PILE'!$E$72:$E$91))+IF(SUMSQ('TS-PILE'!$D$72:$D$91)=0,0,'TO HOP NLAN'!F128*'TS-PILE'!$D$74/SUMSQ('TS-PILE'!$D$72:$D$91))),IF('TS-PILE'!$B$75="",1E+99,'TO HOP NLAN'!D128/ncoc+IF(SUMSQ('TS-PILE'!$E$72:$E$91)=0,0,'TO HOP NLAN'!E128*'TS-PILE'!$E$75/SUMSQ('TS-PILE'!$E$72:$E$91))+IF(SUMSQ('TS-PILE'!$D$72:$D$91)=0,0,'TO HOP NLAN'!F128*'TS-PILE'!$D$75/SUMSQ('TS-PILE'!$D$72:$D$91))),IF('TS-PILE'!$B$76="",1E+99,'TO HOP NLAN'!D128/ncoc+IF(SUMSQ('TS-PILE'!$E$72:$E$91)=0,0,'TO HOP NLAN'!E128*'TS-PILE'!$E$76/SUMSQ('TS-PILE'!$E$72:$E$91))+IF(SUMSQ('TS-PILE'!$D$72:$D$91)=0,0,'TO HOP NLAN'!F128*'TS-PILE'!$D$76/SUMSQ('TS-PILE'!$D$72:$D$91))),IF('TS-PILE'!$B$77="",1E+99,'TO HOP NLAN'!D128/ncoc+IF(SUMSQ('TS-PILE'!$E$72:$E$91)=0,0,'TO HOP NLAN'!E128*'TS-PILE'!$E$77/SUMSQ('TS-PILE'!$E$72:$E$91))+IF(SUMSQ('TS-PILE'!$D$72:$D$91)=0,0,'TO HOP NLAN'!F128*'TS-PILE'!$D$77/SUMSQ('TS-PILE'!$D$72:$D$91))),IF('TS-PILE'!$B$78="",1E+99,'TO HOP NLAN'!D128/ncoc+IF(SUMSQ('TS-PILE'!$E$72:$E$91)=0,0,'TO HOP NLAN'!E128*'TS-PILE'!$E$78/SUMSQ('TS-PILE'!$E$72:$E$91))+IF(SUMSQ('TS-PILE'!$D$72:$D$91)=0,0,'TO HOP NLAN'!F128*'TS-PILE'!$D$78/SUMSQ('TS-PILE'!$D$72:$D$91))),IF('TS-PILE'!$B$79="",1E+99,'TO HOP NLAN'!D128/ncoc+IF(SUMSQ('TS-PILE'!$E$72:$E$91)=0,0,'TO HOP NLAN'!E128*'TS-PILE'!$E$79/SUMSQ('TS-PILE'!$E$72:$E$91))+IF(SUMSQ('TS-PILE'!$D$72:$D$91)=0,0,'TO HOP NLAN'!F128*'TS-PILE'!$D$79/SUMSQ('TS-PILE'!$D$72:$D$91))),IF('TS-PILE'!$B$80="",1E+99,'TO HOP NLAN'!D128/ncoc+IF(SUMSQ('TS-PILE'!$E$72:$E$91)=0,0,'TO HOP NLAN'!E128*'TS-PILE'!$E$80/SUMSQ('TS-PILE'!$E$72:$E$91))+IF(SUMSQ('TS-PILE'!$D$72:$D$91)=0,0,'TO HOP NLAN'!F128*'TS-PILE'!$D$80/SUMSQ('TS-PILE'!$D$72:$D$91))),IF('TS-PILE'!$B$81="",1E+99,'TO HOP NLAN'!D128/ncoc+IF(SUMSQ('TS-PILE'!$E$72:$E$91)=0,0,'TO HOP NLAN'!E128*'TS-PILE'!$E$81/SUMSQ('TS-PILE'!$E$72:$E$91))+IF(SUMSQ('TS-PILE'!$D$72:$D$91)=0,0,'TO HOP NLAN'!F128*'TS-PILE'!$D$81/SUMSQ('TS-PILE'!$D$72:$D$91))),IF('TS-PILE'!$B$82="",1E+99,'TO HOP NLAN'!D128/ncoc+IF(SUMSQ('TS-PILE'!$E$72:$E$91)=0,0,'TO HOP NLAN'!E128*'TS-PILE'!$E$82/SUMSQ('TS-PILE'!$E$72:$E$91))+IF(SUMSQ('TS-PILE'!$D$72:$D$91)=0,0,'TO HOP NLAN'!F128*'TS-PILE'!$D$82/SUMSQ('TS-PILE'!$D$72:$D$91))),IF('TS-PILE'!$B$83="",1E+99,'TO HOP NLAN'!D128/ncoc+IF(SUMSQ('TS-PILE'!$E$72:$E$91)=0,0,'TO HOP NLAN'!E128*'TS-PILE'!$E$83/SUMSQ('TS-PILE'!$E$72:$E$91))+IF(SUMSQ('TS-PILE'!$D$72:$D$91)=0,0,'TO HOP NLAN'!F128*'TS-PILE'!$D$83/SUMSQ('TS-PILE'!$D$72:$D$91))),IF('TS-PILE'!$B$84="",1E+99,'TO HOP NLAN'!D128/ncoc+IF(SUMSQ('TS-PILE'!$E$72:$E$91)=0,0,'TO HOP NLAN'!E128*'TS-PILE'!$E$84/SUMSQ('TS-PILE'!$E$72:$E$91))+IF(SUMSQ('TS-PILE'!$D$72:$D$91)=0,0,'TO HOP NLAN'!F128*'TS-PILE'!$D$84/SUMSQ('TS-PILE'!$D$72:$D$91))),IF('TS-PILE'!$B$85="",1E+99,'TO HOP NLAN'!D128/ncoc+IF(SUMSQ('TS-PILE'!$E$72:$E$91)=0,0,'TO HOP NLAN'!E128*'TS-PILE'!$E$85/SUMSQ('TS-PILE'!$E$72:$E$91))+IF(SUMSQ('TS-PILE'!$D$72:$D$91)=0,0,'TO HOP NLAN'!F128*'TS-PILE'!$D$85/SUMSQ('TS-PILE'!$D$72:$D$91))),IF('TS-PILE'!$B$86="",1E+99,'TO HOP NLAN'!D128/ncoc+IF(SUMSQ('TS-PILE'!$E$72:$E$91)=0,0,'TO HOP NLAN'!E128*'TS-PILE'!$E$86/SUMSQ('TS-PILE'!$E$72:$E$91))+IF(SUMSQ('TS-PILE'!$D$72:$D$91)=0,0,'TO HOP NLAN'!F128*'TS-PILE'!$D$86/SUMSQ('TS-PILE'!$D$72:$D$91))),IF('TS-PILE'!$B$87="",1E+99,'TO HOP NLAN'!D128/ncoc+IF(SUMSQ('TS-PILE'!$E$72:$E$91)=0,0,'TO HOP NLAN'!E128*'TS-PILE'!$E$87/SUMSQ('TS-PILE'!$E$72:$E$91))+IF(SUMSQ('TS-PILE'!$D$72:$D$91)=0,0,'TO HOP NLAN'!F128*'TS-PILE'!$D$87/SUMSQ('TS-PILE'!$D$72:$D$91))),IF('TS-PILE'!$B$88="",1E+99,'TO HOP NLAN'!D128/ncoc+IF(SUMSQ('TS-PILE'!$E$72:$E$91)=0,0,'TO HOP NLAN'!E128*'TS-PILE'!$E$88/SUMSQ('TS-PILE'!$E$72:$E$91))+IF(SUMSQ('TS-PILE'!$D$72:$D$91)=0,0,'TO HOP NLAN'!F128*'TS-PILE'!$D$88/SUMSQ('TS-PILE'!$D$72:$D$91))),IF('TS-PILE'!$B$89="",1E+99,'TO HOP NLAN'!D128/ncoc+IF(SUMSQ('TS-PILE'!$E$72:$E$91)=0,0,'TO HOP NLAN'!E128*'TS-PILE'!$E$89/SUMSQ('TS-PILE'!$E$72:$E$91))+IF(SUMSQ('TS-PILE'!$D$72:$D$91)=0,0,'TO HOP NLAN'!F128*'TS-PILE'!$D$89/SUMSQ('TS-PILE'!$D$72:$D$91))),IF('TS-PILE'!$B$90="",1E+99,'TO HOP NLAN'!D128/ncoc+IF(SUMSQ('TS-PILE'!$E$72:$E$91)=0,0,'TO HOP NLAN'!E128*'TS-PILE'!$E$90/SUMSQ('TS-PILE'!$E$72:$E$91))+IF(SUMSQ('TS-PILE'!$D$72:$D$91)=0,0,'TO HOP NLAN'!F128*'TS-PILE'!$D$90/SUMSQ('TS-PILE'!$D$72:$D$91))),IF('TS-PILE'!$B$91="",1E+99,'TO HOP NLAN'!D128/ncoc+IF(SUMSQ('TS-PILE'!$E$72:$E$91)=0,0,'TO HOP NLAN'!E128*'TS-PILE'!$E$91/SUMSQ('TS-PILE'!$E$72:$E$91))+IF(SUMSQ('TS-PILE'!$D$72:$D$91)=0,0,'TO HOP NLAN'!F128*'TS-PILE'!$D$91/SUMSQ('TS-PILE'!$D$72:$D$91)))))</f>
        <v>0</v>
      </c>
      <c r="E128" s="58">
        <f t="shared" si="4"/>
        <v>-9.9999999999999997E+98</v>
      </c>
      <c r="F128" s="58">
        <f t="shared" si="5"/>
        <v>9.9999999999999997E+98</v>
      </c>
      <c r="G128" s="58">
        <f t="shared" si="6"/>
        <v>-9.9999999999999997E+98</v>
      </c>
      <c r="H128" s="58">
        <f t="shared" si="7"/>
        <v>9.9999999999999997E+98</v>
      </c>
    </row>
    <row r="129" spans="1:8" x14ac:dyDescent="0.3">
      <c r="A129" s="42" t="str">
        <f>'TO HOP NLAN'!A129</f>
        <v/>
      </c>
      <c r="B129" s="42" t="str">
        <f>'TO HOP NLAN'!L129</f>
        <v>STRENGTH</v>
      </c>
      <c r="C129" s="58">
        <f>IF(A129="",0,MAX(IF('TS-PILE'!$B$72="",-1E+99,'TO HOP NLAN'!D129/ncoc+IF(SUMSQ('TS-PILE'!$E$72:$E$91)=0,0,'TO HOP NLAN'!E129*'TS-PILE'!$E$72/SUMSQ('TS-PILE'!$E$72:$E$91))+IF(SUMSQ('TS-PILE'!$D$72:$D$91)=0,0,'TO HOP NLAN'!F129*'TS-PILE'!$D$72/SUMSQ('TS-PILE'!$D$72:$D$91))),IF('TS-PILE'!$B$73="",-1E+99,'TO HOP NLAN'!D129/ncoc+IF(SUMSQ('TS-PILE'!$E$72:$E$91)=0,0,'TO HOP NLAN'!E129*'TS-PILE'!$E$73/SUMSQ('TS-PILE'!$E$72:$E$91))+IF(SUMSQ('TS-PILE'!$D$72:$D$91)=0,0,'TO HOP NLAN'!F129*'TS-PILE'!$D$73/SUMSQ('TS-PILE'!$D$72:$D$91))),IF('TS-PILE'!$B$74="",-1E+99,'TO HOP NLAN'!D129/ncoc+IF(SUMSQ('TS-PILE'!$E$72:$E$91)=0,0,'TO HOP NLAN'!E129*'TS-PILE'!$E$74/SUMSQ('TS-PILE'!$E$72:$E$91))+IF(SUMSQ('TS-PILE'!$D$72:$D$91)=0,0,'TO HOP NLAN'!F129*'TS-PILE'!$D$74/SUMSQ('TS-PILE'!$D$72:$D$91))),IF('TS-PILE'!$B$75="",-1E+99,'TO HOP NLAN'!D129/ncoc+IF(SUMSQ('TS-PILE'!$E$72:$E$91)=0,0,'TO HOP NLAN'!E129*'TS-PILE'!$E$75/SUMSQ('TS-PILE'!$E$72:$E$91))+IF(SUMSQ('TS-PILE'!$D$72:$D$91)=0,0,'TO HOP NLAN'!F129*'TS-PILE'!$D$75/SUMSQ('TS-PILE'!$D$72:$D$91))),IF('TS-PILE'!$B$76="",-1E+99,'TO HOP NLAN'!D129/ncoc+IF(SUMSQ('TS-PILE'!$E$72:$E$91)=0,0,'TO HOP NLAN'!E129*'TS-PILE'!$E$76/SUMSQ('TS-PILE'!$E$72:$E$91))+IF(SUMSQ('TS-PILE'!$D$72:$D$91)=0,0,'TO HOP NLAN'!F129*'TS-PILE'!$D$76/SUMSQ('TS-PILE'!$D$72:$D$91))),IF('TS-PILE'!$B$77="",-1E+99,'TO HOP NLAN'!D129/ncoc+IF(SUMSQ('TS-PILE'!$E$72:$E$91)=0,0,'TO HOP NLAN'!E129*'TS-PILE'!$E$77/SUMSQ('TS-PILE'!$E$72:$E$91))+IF(SUMSQ('TS-PILE'!$D$72:$D$91)=0,0,'TO HOP NLAN'!F129*'TS-PILE'!$D$77/SUMSQ('TS-PILE'!$D$72:$D$91))),IF('TS-PILE'!$B$78="",-1E+99,'TO HOP NLAN'!D129/ncoc+IF(SUMSQ('TS-PILE'!$E$72:$E$91)=0,0,'TO HOP NLAN'!E129*'TS-PILE'!$E$78/SUMSQ('TS-PILE'!$E$72:$E$91))+IF(SUMSQ('TS-PILE'!$D$72:$D$91)=0,0,'TO HOP NLAN'!F129*'TS-PILE'!$D$78/SUMSQ('TS-PILE'!$D$72:$D$91))),IF('TS-PILE'!$B$79="",-1E+99,'TO HOP NLAN'!D129/ncoc+IF(SUMSQ('TS-PILE'!$E$72:$E$91)=0,0,'TO HOP NLAN'!E129*'TS-PILE'!$E$79/SUMSQ('TS-PILE'!$E$72:$E$91))+IF(SUMSQ('TS-PILE'!$D$72:$D$91)=0,0,'TO HOP NLAN'!F129*'TS-PILE'!$D$79/SUMSQ('TS-PILE'!$D$72:$D$91))),IF('TS-PILE'!$B$80="",-1E+99,'TO HOP NLAN'!D129/ncoc+IF(SUMSQ('TS-PILE'!$E$72:$E$91)=0,0,'TO HOP NLAN'!E129*'TS-PILE'!$E$80/SUMSQ('TS-PILE'!$E$72:$E$91))+IF(SUMSQ('TS-PILE'!$D$72:$D$91)=0,0,'TO HOP NLAN'!F129*'TS-PILE'!$D$80/SUMSQ('TS-PILE'!$D$72:$D$91))),IF('TS-PILE'!$B$81="",-1E+99,'TO HOP NLAN'!D129/ncoc+IF(SUMSQ('TS-PILE'!$E$72:$E$91)=0,0,'TO HOP NLAN'!E129*'TS-PILE'!$E$81/SUMSQ('TS-PILE'!$E$72:$E$91))+IF(SUMSQ('TS-PILE'!$D$72:$D$91)=0,0,'TO HOP NLAN'!F129*'TS-PILE'!$D$81/SUMSQ('TS-PILE'!$D$72:$D$91))),IF('TS-PILE'!$B$82="",-1E+99,'TO HOP NLAN'!D129/ncoc+IF(SUMSQ('TS-PILE'!$E$72:$E$91)=0,0,'TO HOP NLAN'!E129*'TS-PILE'!$E$82/SUMSQ('TS-PILE'!$E$72:$E$91))+IF(SUMSQ('TS-PILE'!$D$72:$D$91)=0,0,'TO HOP NLAN'!F129*'TS-PILE'!$D$82/SUMSQ('TS-PILE'!$D$72:$D$91))),IF('TS-PILE'!$B$83="",-1E+99,'TO HOP NLAN'!D129/ncoc+IF(SUMSQ('TS-PILE'!$E$72:$E$91)=0,0,'TO HOP NLAN'!E129*'TS-PILE'!$E$83/SUMSQ('TS-PILE'!$E$72:$E$91))+IF(SUMSQ('TS-PILE'!$D$72:$D$91)=0,0,'TO HOP NLAN'!F129*'TS-PILE'!$D$83/SUMSQ('TS-PILE'!$D$72:$D$91))),IF('TS-PILE'!$B$84="",-1E+99,'TO HOP NLAN'!D129/ncoc+IF(SUMSQ('TS-PILE'!$E$72:$E$91)=0,0,'TO HOP NLAN'!E129*'TS-PILE'!$E$84/SUMSQ('TS-PILE'!$E$72:$E$91))+IF(SUMSQ('TS-PILE'!$D$72:$D$91)=0,0,'TO HOP NLAN'!F129*'TS-PILE'!$D$84/SUMSQ('TS-PILE'!$D$72:$D$91))),IF('TS-PILE'!$B$85="",-1E+99,'TO HOP NLAN'!D129/ncoc+IF(SUMSQ('TS-PILE'!$E$72:$E$91)=0,0,'TO HOP NLAN'!E129*'TS-PILE'!$E$85/SUMSQ('TS-PILE'!$E$72:$E$91))+IF(SUMSQ('TS-PILE'!$D$72:$D$91)=0,0,'TO HOP NLAN'!F129*'TS-PILE'!$D$85/SUMSQ('TS-PILE'!$D$72:$D$91))),IF('TS-PILE'!$B$86="",-1E+99,'TO HOP NLAN'!D129/ncoc+IF(SUMSQ('TS-PILE'!$E$72:$E$91)=0,0,'TO HOP NLAN'!E129*'TS-PILE'!$E$86/SUMSQ('TS-PILE'!$E$72:$E$91))+IF(SUMSQ('TS-PILE'!$D$72:$D$91)=0,0,'TO HOP NLAN'!F129*'TS-PILE'!$D$86/SUMSQ('TS-PILE'!$D$72:$D$91))),IF('TS-PILE'!$B$87="",-1E+99,'TO HOP NLAN'!D129/ncoc+IF(SUMSQ('TS-PILE'!$E$72:$E$91)=0,0,'TO HOP NLAN'!E129*'TS-PILE'!$E$87/SUMSQ('TS-PILE'!$E$72:$E$91))+IF(SUMSQ('TS-PILE'!$D$72:$D$91)=0,0,'TO HOP NLAN'!F129*'TS-PILE'!$D$87/SUMSQ('TS-PILE'!$D$72:$D$91))),IF('TS-PILE'!$B$88="",-1E+99,'TO HOP NLAN'!D129/ncoc+IF(SUMSQ('TS-PILE'!$E$72:$E$91)=0,0,'TO HOP NLAN'!E129*'TS-PILE'!$E$88/SUMSQ('TS-PILE'!$E$72:$E$91))+IF(SUMSQ('TS-PILE'!$D$72:$D$91)=0,0,'TO HOP NLAN'!F129*'TS-PILE'!$D$88/SUMSQ('TS-PILE'!$D$72:$D$91))),IF('TS-PILE'!$B$89="",-1E+99,'TO HOP NLAN'!D129/ncoc+IF(SUMSQ('TS-PILE'!$E$72:$E$91)=0,0,'TO HOP NLAN'!E129*'TS-PILE'!$E$89/SUMSQ('TS-PILE'!$E$72:$E$91))+IF(SUMSQ('TS-PILE'!$D$72:$D$91)=0,0,'TO HOP NLAN'!F129*'TS-PILE'!$D$89/SUMSQ('TS-PILE'!$D$72:$D$91))),IF('TS-PILE'!$B$90="",-1E+99,'TO HOP NLAN'!D129/ncoc+IF(SUMSQ('TS-PILE'!$E$72:$E$91)=0,0,'TO HOP NLAN'!E129*'TS-PILE'!$E$90/SUMSQ('TS-PILE'!$E$72:$E$91))+IF(SUMSQ('TS-PILE'!$D$72:$D$91)=0,0,'TO HOP NLAN'!F129*'TS-PILE'!$D$90/SUMSQ('TS-PILE'!$D$72:$D$91))),IF('TS-PILE'!$B$91="",-1E+99,'TO HOP NLAN'!D129/ncoc+IF(SUMSQ('TS-PILE'!$E$72:$E$91)=0,0,'TO HOP NLAN'!E129*'TS-PILE'!$E$91/SUMSQ('TS-PILE'!$E$72:$E$91))+IF(SUMSQ('TS-PILE'!$D$72:$D$91)=0,0,'TO HOP NLAN'!F129*'TS-PILE'!$D$91/SUMSQ('TS-PILE'!$D$72:$D$91)))))</f>
        <v>0</v>
      </c>
      <c r="D129" s="58">
        <f>IF(A129="",0,MIN(IF('TS-PILE'!$B$72="",1E+99,'TO HOP NLAN'!D129/ncoc+IF(SUMSQ('TS-PILE'!$E$72:$E$91)=0,0,'TO HOP NLAN'!E129*'TS-PILE'!$E$72/SUMSQ('TS-PILE'!$E$72:$E$91))+IF(SUMSQ('TS-PILE'!$D$72:$D$91)=0,0,'TO HOP NLAN'!F129*'TS-PILE'!$D$72/SUMSQ('TS-PILE'!$D$72:$D$91))),IF('TS-PILE'!$B$73="",1E+99,'TO HOP NLAN'!D129/ncoc+IF(SUMSQ('TS-PILE'!$E$72:$E$91)=0,0,'TO HOP NLAN'!E129*'TS-PILE'!$E$73/SUMSQ('TS-PILE'!$E$72:$E$91))+IF(SUMSQ('TS-PILE'!$D$72:$D$91)=0,0,'TO HOP NLAN'!F129*'TS-PILE'!$D$73/SUMSQ('TS-PILE'!$D$72:$D$91))),IF('TS-PILE'!$B$74="",1E+99,'TO HOP NLAN'!D129/ncoc+IF(SUMSQ('TS-PILE'!$E$72:$E$91)=0,0,'TO HOP NLAN'!E129*'TS-PILE'!$E$74/SUMSQ('TS-PILE'!$E$72:$E$91))+IF(SUMSQ('TS-PILE'!$D$72:$D$91)=0,0,'TO HOP NLAN'!F129*'TS-PILE'!$D$74/SUMSQ('TS-PILE'!$D$72:$D$91))),IF('TS-PILE'!$B$75="",1E+99,'TO HOP NLAN'!D129/ncoc+IF(SUMSQ('TS-PILE'!$E$72:$E$91)=0,0,'TO HOP NLAN'!E129*'TS-PILE'!$E$75/SUMSQ('TS-PILE'!$E$72:$E$91))+IF(SUMSQ('TS-PILE'!$D$72:$D$91)=0,0,'TO HOP NLAN'!F129*'TS-PILE'!$D$75/SUMSQ('TS-PILE'!$D$72:$D$91))),IF('TS-PILE'!$B$76="",1E+99,'TO HOP NLAN'!D129/ncoc+IF(SUMSQ('TS-PILE'!$E$72:$E$91)=0,0,'TO HOP NLAN'!E129*'TS-PILE'!$E$76/SUMSQ('TS-PILE'!$E$72:$E$91))+IF(SUMSQ('TS-PILE'!$D$72:$D$91)=0,0,'TO HOP NLAN'!F129*'TS-PILE'!$D$76/SUMSQ('TS-PILE'!$D$72:$D$91))),IF('TS-PILE'!$B$77="",1E+99,'TO HOP NLAN'!D129/ncoc+IF(SUMSQ('TS-PILE'!$E$72:$E$91)=0,0,'TO HOP NLAN'!E129*'TS-PILE'!$E$77/SUMSQ('TS-PILE'!$E$72:$E$91))+IF(SUMSQ('TS-PILE'!$D$72:$D$91)=0,0,'TO HOP NLAN'!F129*'TS-PILE'!$D$77/SUMSQ('TS-PILE'!$D$72:$D$91))),IF('TS-PILE'!$B$78="",1E+99,'TO HOP NLAN'!D129/ncoc+IF(SUMSQ('TS-PILE'!$E$72:$E$91)=0,0,'TO HOP NLAN'!E129*'TS-PILE'!$E$78/SUMSQ('TS-PILE'!$E$72:$E$91))+IF(SUMSQ('TS-PILE'!$D$72:$D$91)=0,0,'TO HOP NLAN'!F129*'TS-PILE'!$D$78/SUMSQ('TS-PILE'!$D$72:$D$91))),IF('TS-PILE'!$B$79="",1E+99,'TO HOP NLAN'!D129/ncoc+IF(SUMSQ('TS-PILE'!$E$72:$E$91)=0,0,'TO HOP NLAN'!E129*'TS-PILE'!$E$79/SUMSQ('TS-PILE'!$E$72:$E$91))+IF(SUMSQ('TS-PILE'!$D$72:$D$91)=0,0,'TO HOP NLAN'!F129*'TS-PILE'!$D$79/SUMSQ('TS-PILE'!$D$72:$D$91))),IF('TS-PILE'!$B$80="",1E+99,'TO HOP NLAN'!D129/ncoc+IF(SUMSQ('TS-PILE'!$E$72:$E$91)=0,0,'TO HOP NLAN'!E129*'TS-PILE'!$E$80/SUMSQ('TS-PILE'!$E$72:$E$91))+IF(SUMSQ('TS-PILE'!$D$72:$D$91)=0,0,'TO HOP NLAN'!F129*'TS-PILE'!$D$80/SUMSQ('TS-PILE'!$D$72:$D$91))),IF('TS-PILE'!$B$81="",1E+99,'TO HOP NLAN'!D129/ncoc+IF(SUMSQ('TS-PILE'!$E$72:$E$91)=0,0,'TO HOP NLAN'!E129*'TS-PILE'!$E$81/SUMSQ('TS-PILE'!$E$72:$E$91))+IF(SUMSQ('TS-PILE'!$D$72:$D$91)=0,0,'TO HOP NLAN'!F129*'TS-PILE'!$D$81/SUMSQ('TS-PILE'!$D$72:$D$91))),IF('TS-PILE'!$B$82="",1E+99,'TO HOP NLAN'!D129/ncoc+IF(SUMSQ('TS-PILE'!$E$72:$E$91)=0,0,'TO HOP NLAN'!E129*'TS-PILE'!$E$82/SUMSQ('TS-PILE'!$E$72:$E$91))+IF(SUMSQ('TS-PILE'!$D$72:$D$91)=0,0,'TO HOP NLAN'!F129*'TS-PILE'!$D$82/SUMSQ('TS-PILE'!$D$72:$D$91))),IF('TS-PILE'!$B$83="",1E+99,'TO HOP NLAN'!D129/ncoc+IF(SUMSQ('TS-PILE'!$E$72:$E$91)=0,0,'TO HOP NLAN'!E129*'TS-PILE'!$E$83/SUMSQ('TS-PILE'!$E$72:$E$91))+IF(SUMSQ('TS-PILE'!$D$72:$D$91)=0,0,'TO HOP NLAN'!F129*'TS-PILE'!$D$83/SUMSQ('TS-PILE'!$D$72:$D$91))),IF('TS-PILE'!$B$84="",1E+99,'TO HOP NLAN'!D129/ncoc+IF(SUMSQ('TS-PILE'!$E$72:$E$91)=0,0,'TO HOP NLAN'!E129*'TS-PILE'!$E$84/SUMSQ('TS-PILE'!$E$72:$E$91))+IF(SUMSQ('TS-PILE'!$D$72:$D$91)=0,0,'TO HOP NLAN'!F129*'TS-PILE'!$D$84/SUMSQ('TS-PILE'!$D$72:$D$91))),IF('TS-PILE'!$B$85="",1E+99,'TO HOP NLAN'!D129/ncoc+IF(SUMSQ('TS-PILE'!$E$72:$E$91)=0,0,'TO HOP NLAN'!E129*'TS-PILE'!$E$85/SUMSQ('TS-PILE'!$E$72:$E$91))+IF(SUMSQ('TS-PILE'!$D$72:$D$91)=0,0,'TO HOP NLAN'!F129*'TS-PILE'!$D$85/SUMSQ('TS-PILE'!$D$72:$D$91))),IF('TS-PILE'!$B$86="",1E+99,'TO HOP NLAN'!D129/ncoc+IF(SUMSQ('TS-PILE'!$E$72:$E$91)=0,0,'TO HOP NLAN'!E129*'TS-PILE'!$E$86/SUMSQ('TS-PILE'!$E$72:$E$91))+IF(SUMSQ('TS-PILE'!$D$72:$D$91)=0,0,'TO HOP NLAN'!F129*'TS-PILE'!$D$86/SUMSQ('TS-PILE'!$D$72:$D$91))),IF('TS-PILE'!$B$87="",1E+99,'TO HOP NLAN'!D129/ncoc+IF(SUMSQ('TS-PILE'!$E$72:$E$91)=0,0,'TO HOP NLAN'!E129*'TS-PILE'!$E$87/SUMSQ('TS-PILE'!$E$72:$E$91))+IF(SUMSQ('TS-PILE'!$D$72:$D$91)=0,0,'TO HOP NLAN'!F129*'TS-PILE'!$D$87/SUMSQ('TS-PILE'!$D$72:$D$91))),IF('TS-PILE'!$B$88="",1E+99,'TO HOP NLAN'!D129/ncoc+IF(SUMSQ('TS-PILE'!$E$72:$E$91)=0,0,'TO HOP NLAN'!E129*'TS-PILE'!$E$88/SUMSQ('TS-PILE'!$E$72:$E$91))+IF(SUMSQ('TS-PILE'!$D$72:$D$91)=0,0,'TO HOP NLAN'!F129*'TS-PILE'!$D$88/SUMSQ('TS-PILE'!$D$72:$D$91))),IF('TS-PILE'!$B$89="",1E+99,'TO HOP NLAN'!D129/ncoc+IF(SUMSQ('TS-PILE'!$E$72:$E$91)=0,0,'TO HOP NLAN'!E129*'TS-PILE'!$E$89/SUMSQ('TS-PILE'!$E$72:$E$91))+IF(SUMSQ('TS-PILE'!$D$72:$D$91)=0,0,'TO HOP NLAN'!F129*'TS-PILE'!$D$89/SUMSQ('TS-PILE'!$D$72:$D$91))),IF('TS-PILE'!$B$90="",1E+99,'TO HOP NLAN'!D129/ncoc+IF(SUMSQ('TS-PILE'!$E$72:$E$91)=0,0,'TO HOP NLAN'!E129*'TS-PILE'!$E$90/SUMSQ('TS-PILE'!$E$72:$E$91))+IF(SUMSQ('TS-PILE'!$D$72:$D$91)=0,0,'TO HOP NLAN'!F129*'TS-PILE'!$D$90/SUMSQ('TS-PILE'!$D$72:$D$91))),IF('TS-PILE'!$B$91="",1E+99,'TO HOP NLAN'!D129/ncoc+IF(SUMSQ('TS-PILE'!$E$72:$E$91)=0,0,'TO HOP NLAN'!E129*'TS-PILE'!$E$91/SUMSQ('TS-PILE'!$E$72:$E$91))+IF(SUMSQ('TS-PILE'!$D$72:$D$91)=0,0,'TO HOP NLAN'!F129*'TS-PILE'!$D$91/SUMSQ('TS-PILE'!$D$72:$D$91)))))</f>
        <v>0</v>
      </c>
      <c r="E129" s="58">
        <f t="shared" si="4"/>
        <v>-9.9999999999999997E+98</v>
      </c>
      <c r="F129" s="58">
        <f t="shared" si="5"/>
        <v>9.9999999999999997E+98</v>
      </c>
      <c r="G129" s="58">
        <f t="shared" si="6"/>
        <v>-9.9999999999999997E+98</v>
      </c>
      <c r="H129" s="58">
        <f t="shared" si="7"/>
        <v>9.9999999999999997E+98</v>
      </c>
    </row>
    <row r="130" spans="1:8" x14ac:dyDescent="0.3">
      <c r="A130" s="42" t="str">
        <f>'TO HOP NLAN'!A130</f>
        <v/>
      </c>
      <c r="B130" s="42" t="str">
        <f>'TO HOP NLAN'!L130</f>
        <v>STRENGTH</v>
      </c>
      <c r="C130" s="58">
        <f>IF(A130="",0,MAX(IF('TS-PILE'!$B$72="",-1E+99,'TO HOP NLAN'!D130/ncoc+IF(SUMSQ('TS-PILE'!$E$72:$E$91)=0,0,'TO HOP NLAN'!E130*'TS-PILE'!$E$72/SUMSQ('TS-PILE'!$E$72:$E$91))+IF(SUMSQ('TS-PILE'!$D$72:$D$91)=0,0,'TO HOP NLAN'!F130*'TS-PILE'!$D$72/SUMSQ('TS-PILE'!$D$72:$D$91))),IF('TS-PILE'!$B$73="",-1E+99,'TO HOP NLAN'!D130/ncoc+IF(SUMSQ('TS-PILE'!$E$72:$E$91)=0,0,'TO HOP NLAN'!E130*'TS-PILE'!$E$73/SUMSQ('TS-PILE'!$E$72:$E$91))+IF(SUMSQ('TS-PILE'!$D$72:$D$91)=0,0,'TO HOP NLAN'!F130*'TS-PILE'!$D$73/SUMSQ('TS-PILE'!$D$72:$D$91))),IF('TS-PILE'!$B$74="",-1E+99,'TO HOP NLAN'!D130/ncoc+IF(SUMSQ('TS-PILE'!$E$72:$E$91)=0,0,'TO HOP NLAN'!E130*'TS-PILE'!$E$74/SUMSQ('TS-PILE'!$E$72:$E$91))+IF(SUMSQ('TS-PILE'!$D$72:$D$91)=0,0,'TO HOP NLAN'!F130*'TS-PILE'!$D$74/SUMSQ('TS-PILE'!$D$72:$D$91))),IF('TS-PILE'!$B$75="",-1E+99,'TO HOP NLAN'!D130/ncoc+IF(SUMSQ('TS-PILE'!$E$72:$E$91)=0,0,'TO HOP NLAN'!E130*'TS-PILE'!$E$75/SUMSQ('TS-PILE'!$E$72:$E$91))+IF(SUMSQ('TS-PILE'!$D$72:$D$91)=0,0,'TO HOP NLAN'!F130*'TS-PILE'!$D$75/SUMSQ('TS-PILE'!$D$72:$D$91))),IF('TS-PILE'!$B$76="",-1E+99,'TO HOP NLAN'!D130/ncoc+IF(SUMSQ('TS-PILE'!$E$72:$E$91)=0,0,'TO HOP NLAN'!E130*'TS-PILE'!$E$76/SUMSQ('TS-PILE'!$E$72:$E$91))+IF(SUMSQ('TS-PILE'!$D$72:$D$91)=0,0,'TO HOP NLAN'!F130*'TS-PILE'!$D$76/SUMSQ('TS-PILE'!$D$72:$D$91))),IF('TS-PILE'!$B$77="",-1E+99,'TO HOP NLAN'!D130/ncoc+IF(SUMSQ('TS-PILE'!$E$72:$E$91)=0,0,'TO HOP NLAN'!E130*'TS-PILE'!$E$77/SUMSQ('TS-PILE'!$E$72:$E$91))+IF(SUMSQ('TS-PILE'!$D$72:$D$91)=0,0,'TO HOP NLAN'!F130*'TS-PILE'!$D$77/SUMSQ('TS-PILE'!$D$72:$D$91))),IF('TS-PILE'!$B$78="",-1E+99,'TO HOP NLAN'!D130/ncoc+IF(SUMSQ('TS-PILE'!$E$72:$E$91)=0,0,'TO HOP NLAN'!E130*'TS-PILE'!$E$78/SUMSQ('TS-PILE'!$E$72:$E$91))+IF(SUMSQ('TS-PILE'!$D$72:$D$91)=0,0,'TO HOP NLAN'!F130*'TS-PILE'!$D$78/SUMSQ('TS-PILE'!$D$72:$D$91))),IF('TS-PILE'!$B$79="",-1E+99,'TO HOP NLAN'!D130/ncoc+IF(SUMSQ('TS-PILE'!$E$72:$E$91)=0,0,'TO HOP NLAN'!E130*'TS-PILE'!$E$79/SUMSQ('TS-PILE'!$E$72:$E$91))+IF(SUMSQ('TS-PILE'!$D$72:$D$91)=0,0,'TO HOP NLAN'!F130*'TS-PILE'!$D$79/SUMSQ('TS-PILE'!$D$72:$D$91))),IF('TS-PILE'!$B$80="",-1E+99,'TO HOP NLAN'!D130/ncoc+IF(SUMSQ('TS-PILE'!$E$72:$E$91)=0,0,'TO HOP NLAN'!E130*'TS-PILE'!$E$80/SUMSQ('TS-PILE'!$E$72:$E$91))+IF(SUMSQ('TS-PILE'!$D$72:$D$91)=0,0,'TO HOP NLAN'!F130*'TS-PILE'!$D$80/SUMSQ('TS-PILE'!$D$72:$D$91))),IF('TS-PILE'!$B$81="",-1E+99,'TO HOP NLAN'!D130/ncoc+IF(SUMSQ('TS-PILE'!$E$72:$E$91)=0,0,'TO HOP NLAN'!E130*'TS-PILE'!$E$81/SUMSQ('TS-PILE'!$E$72:$E$91))+IF(SUMSQ('TS-PILE'!$D$72:$D$91)=0,0,'TO HOP NLAN'!F130*'TS-PILE'!$D$81/SUMSQ('TS-PILE'!$D$72:$D$91))),IF('TS-PILE'!$B$82="",-1E+99,'TO HOP NLAN'!D130/ncoc+IF(SUMSQ('TS-PILE'!$E$72:$E$91)=0,0,'TO HOP NLAN'!E130*'TS-PILE'!$E$82/SUMSQ('TS-PILE'!$E$72:$E$91))+IF(SUMSQ('TS-PILE'!$D$72:$D$91)=0,0,'TO HOP NLAN'!F130*'TS-PILE'!$D$82/SUMSQ('TS-PILE'!$D$72:$D$91))),IF('TS-PILE'!$B$83="",-1E+99,'TO HOP NLAN'!D130/ncoc+IF(SUMSQ('TS-PILE'!$E$72:$E$91)=0,0,'TO HOP NLAN'!E130*'TS-PILE'!$E$83/SUMSQ('TS-PILE'!$E$72:$E$91))+IF(SUMSQ('TS-PILE'!$D$72:$D$91)=0,0,'TO HOP NLAN'!F130*'TS-PILE'!$D$83/SUMSQ('TS-PILE'!$D$72:$D$91))),IF('TS-PILE'!$B$84="",-1E+99,'TO HOP NLAN'!D130/ncoc+IF(SUMSQ('TS-PILE'!$E$72:$E$91)=0,0,'TO HOP NLAN'!E130*'TS-PILE'!$E$84/SUMSQ('TS-PILE'!$E$72:$E$91))+IF(SUMSQ('TS-PILE'!$D$72:$D$91)=0,0,'TO HOP NLAN'!F130*'TS-PILE'!$D$84/SUMSQ('TS-PILE'!$D$72:$D$91))),IF('TS-PILE'!$B$85="",-1E+99,'TO HOP NLAN'!D130/ncoc+IF(SUMSQ('TS-PILE'!$E$72:$E$91)=0,0,'TO HOP NLAN'!E130*'TS-PILE'!$E$85/SUMSQ('TS-PILE'!$E$72:$E$91))+IF(SUMSQ('TS-PILE'!$D$72:$D$91)=0,0,'TO HOP NLAN'!F130*'TS-PILE'!$D$85/SUMSQ('TS-PILE'!$D$72:$D$91))),IF('TS-PILE'!$B$86="",-1E+99,'TO HOP NLAN'!D130/ncoc+IF(SUMSQ('TS-PILE'!$E$72:$E$91)=0,0,'TO HOP NLAN'!E130*'TS-PILE'!$E$86/SUMSQ('TS-PILE'!$E$72:$E$91))+IF(SUMSQ('TS-PILE'!$D$72:$D$91)=0,0,'TO HOP NLAN'!F130*'TS-PILE'!$D$86/SUMSQ('TS-PILE'!$D$72:$D$91))),IF('TS-PILE'!$B$87="",-1E+99,'TO HOP NLAN'!D130/ncoc+IF(SUMSQ('TS-PILE'!$E$72:$E$91)=0,0,'TO HOP NLAN'!E130*'TS-PILE'!$E$87/SUMSQ('TS-PILE'!$E$72:$E$91))+IF(SUMSQ('TS-PILE'!$D$72:$D$91)=0,0,'TO HOP NLAN'!F130*'TS-PILE'!$D$87/SUMSQ('TS-PILE'!$D$72:$D$91))),IF('TS-PILE'!$B$88="",-1E+99,'TO HOP NLAN'!D130/ncoc+IF(SUMSQ('TS-PILE'!$E$72:$E$91)=0,0,'TO HOP NLAN'!E130*'TS-PILE'!$E$88/SUMSQ('TS-PILE'!$E$72:$E$91))+IF(SUMSQ('TS-PILE'!$D$72:$D$91)=0,0,'TO HOP NLAN'!F130*'TS-PILE'!$D$88/SUMSQ('TS-PILE'!$D$72:$D$91))),IF('TS-PILE'!$B$89="",-1E+99,'TO HOP NLAN'!D130/ncoc+IF(SUMSQ('TS-PILE'!$E$72:$E$91)=0,0,'TO HOP NLAN'!E130*'TS-PILE'!$E$89/SUMSQ('TS-PILE'!$E$72:$E$91))+IF(SUMSQ('TS-PILE'!$D$72:$D$91)=0,0,'TO HOP NLAN'!F130*'TS-PILE'!$D$89/SUMSQ('TS-PILE'!$D$72:$D$91))),IF('TS-PILE'!$B$90="",-1E+99,'TO HOP NLAN'!D130/ncoc+IF(SUMSQ('TS-PILE'!$E$72:$E$91)=0,0,'TO HOP NLAN'!E130*'TS-PILE'!$E$90/SUMSQ('TS-PILE'!$E$72:$E$91))+IF(SUMSQ('TS-PILE'!$D$72:$D$91)=0,0,'TO HOP NLAN'!F130*'TS-PILE'!$D$90/SUMSQ('TS-PILE'!$D$72:$D$91))),IF('TS-PILE'!$B$91="",-1E+99,'TO HOP NLAN'!D130/ncoc+IF(SUMSQ('TS-PILE'!$E$72:$E$91)=0,0,'TO HOP NLAN'!E130*'TS-PILE'!$E$91/SUMSQ('TS-PILE'!$E$72:$E$91))+IF(SUMSQ('TS-PILE'!$D$72:$D$91)=0,0,'TO HOP NLAN'!F130*'TS-PILE'!$D$91/SUMSQ('TS-PILE'!$D$72:$D$91)))))</f>
        <v>0</v>
      </c>
      <c r="D130" s="58">
        <f>IF(A130="",0,MIN(IF('TS-PILE'!$B$72="",1E+99,'TO HOP NLAN'!D130/ncoc+IF(SUMSQ('TS-PILE'!$E$72:$E$91)=0,0,'TO HOP NLAN'!E130*'TS-PILE'!$E$72/SUMSQ('TS-PILE'!$E$72:$E$91))+IF(SUMSQ('TS-PILE'!$D$72:$D$91)=0,0,'TO HOP NLAN'!F130*'TS-PILE'!$D$72/SUMSQ('TS-PILE'!$D$72:$D$91))),IF('TS-PILE'!$B$73="",1E+99,'TO HOP NLAN'!D130/ncoc+IF(SUMSQ('TS-PILE'!$E$72:$E$91)=0,0,'TO HOP NLAN'!E130*'TS-PILE'!$E$73/SUMSQ('TS-PILE'!$E$72:$E$91))+IF(SUMSQ('TS-PILE'!$D$72:$D$91)=0,0,'TO HOP NLAN'!F130*'TS-PILE'!$D$73/SUMSQ('TS-PILE'!$D$72:$D$91))),IF('TS-PILE'!$B$74="",1E+99,'TO HOP NLAN'!D130/ncoc+IF(SUMSQ('TS-PILE'!$E$72:$E$91)=0,0,'TO HOP NLAN'!E130*'TS-PILE'!$E$74/SUMSQ('TS-PILE'!$E$72:$E$91))+IF(SUMSQ('TS-PILE'!$D$72:$D$91)=0,0,'TO HOP NLAN'!F130*'TS-PILE'!$D$74/SUMSQ('TS-PILE'!$D$72:$D$91))),IF('TS-PILE'!$B$75="",1E+99,'TO HOP NLAN'!D130/ncoc+IF(SUMSQ('TS-PILE'!$E$72:$E$91)=0,0,'TO HOP NLAN'!E130*'TS-PILE'!$E$75/SUMSQ('TS-PILE'!$E$72:$E$91))+IF(SUMSQ('TS-PILE'!$D$72:$D$91)=0,0,'TO HOP NLAN'!F130*'TS-PILE'!$D$75/SUMSQ('TS-PILE'!$D$72:$D$91))),IF('TS-PILE'!$B$76="",1E+99,'TO HOP NLAN'!D130/ncoc+IF(SUMSQ('TS-PILE'!$E$72:$E$91)=0,0,'TO HOP NLAN'!E130*'TS-PILE'!$E$76/SUMSQ('TS-PILE'!$E$72:$E$91))+IF(SUMSQ('TS-PILE'!$D$72:$D$91)=0,0,'TO HOP NLAN'!F130*'TS-PILE'!$D$76/SUMSQ('TS-PILE'!$D$72:$D$91))),IF('TS-PILE'!$B$77="",1E+99,'TO HOP NLAN'!D130/ncoc+IF(SUMSQ('TS-PILE'!$E$72:$E$91)=0,0,'TO HOP NLAN'!E130*'TS-PILE'!$E$77/SUMSQ('TS-PILE'!$E$72:$E$91))+IF(SUMSQ('TS-PILE'!$D$72:$D$91)=0,0,'TO HOP NLAN'!F130*'TS-PILE'!$D$77/SUMSQ('TS-PILE'!$D$72:$D$91))),IF('TS-PILE'!$B$78="",1E+99,'TO HOP NLAN'!D130/ncoc+IF(SUMSQ('TS-PILE'!$E$72:$E$91)=0,0,'TO HOP NLAN'!E130*'TS-PILE'!$E$78/SUMSQ('TS-PILE'!$E$72:$E$91))+IF(SUMSQ('TS-PILE'!$D$72:$D$91)=0,0,'TO HOP NLAN'!F130*'TS-PILE'!$D$78/SUMSQ('TS-PILE'!$D$72:$D$91))),IF('TS-PILE'!$B$79="",1E+99,'TO HOP NLAN'!D130/ncoc+IF(SUMSQ('TS-PILE'!$E$72:$E$91)=0,0,'TO HOP NLAN'!E130*'TS-PILE'!$E$79/SUMSQ('TS-PILE'!$E$72:$E$91))+IF(SUMSQ('TS-PILE'!$D$72:$D$91)=0,0,'TO HOP NLAN'!F130*'TS-PILE'!$D$79/SUMSQ('TS-PILE'!$D$72:$D$91))),IF('TS-PILE'!$B$80="",1E+99,'TO HOP NLAN'!D130/ncoc+IF(SUMSQ('TS-PILE'!$E$72:$E$91)=0,0,'TO HOP NLAN'!E130*'TS-PILE'!$E$80/SUMSQ('TS-PILE'!$E$72:$E$91))+IF(SUMSQ('TS-PILE'!$D$72:$D$91)=0,0,'TO HOP NLAN'!F130*'TS-PILE'!$D$80/SUMSQ('TS-PILE'!$D$72:$D$91))),IF('TS-PILE'!$B$81="",1E+99,'TO HOP NLAN'!D130/ncoc+IF(SUMSQ('TS-PILE'!$E$72:$E$91)=0,0,'TO HOP NLAN'!E130*'TS-PILE'!$E$81/SUMSQ('TS-PILE'!$E$72:$E$91))+IF(SUMSQ('TS-PILE'!$D$72:$D$91)=0,0,'TO HOP NLAN'!F130*'TS-PILE'!$D$81/SUMSQ('TS-PILE'!$D$72:$D$91))),IF('TS-PILE'!$B$82="",1E+99,'TO HOP NLAN'!D130/ncoc+IF(SUMSQ('TS-PILE'!$E$72:$E$91)=0,0,'TO HOP NLAN'!E130*'TS-PILE'!$E$82/SUMSQ('TS-PILE'!$E$72:$E$91))+IF(SUMSQ('TS-PILE'!$D$72:$D$91)=0,0,'TO HOP NLAN'!F130*'TS-PILE'!$D$82/SUMSQ('TS-PILE'!$D$72:$D$91))),IF('TS-PILE'!$B$83="",1E+99,'TO HOP NLAN'!D130/ncoc+IF(SUMSQ('TS-PILE'!$E$72:$E$91)=0,0,'TO HOP NLAN'!E130*'TS-PILE'!$E$83/SUMSQ('TS-PILE'!$E$72:$E$91))+IF(SUMSQ('TS-PILE'!$D$72:$D$91)=0,0,'TO HOP NLAN'!F130*'TS-PILE'!$D$83/SUMSQ('TS-PILE'!$D$72:$D$91))),IF('TS-PILE'!$B$84="",1E+99,'TO HOP NLAN'!D130/ncoc+IF(SUMSQ('TS-PILE'!$E$72:$E$91)=0,0,'TO HOP NLAN'!E130*'TS-PILE'!$E$84/SUMSQ('TS-PILE'!$E$72:$E$91))+IF(SUMSQ('TS-PILE'!$D$72:$D$91)=0,0,'TO HOP NLAN'!F130*'TS-PILE'!$D$84/SUMSQ('TS-PILE'!$D$72:$D$91))),IF('TS-PILE'!$B$85="",1E+99,'TO HOP NLAN'!D130/ncoc+IF(SUMSQ('TS-PILE'!$E$72:$E$91)=0,0,'TO HOP NLAN'!E130*'TS-PILE'!$E$85/SUMSQ('TS-PILE'!$E$72:$E$91))+IF(SUMSQ('TS-PILE'!$D$72:$D$91)=0,0,'TO HOP NLAN'!F130*'TS-PILE'!$D$85/SUMSQ('TS-PILE'!$D$72:$D$91))),IF('TS-PILE'!$B$86="",1E+99,'TO HOP NLAN'!D130/ncoc+IF(SUMSQ('TS-PILE'!$E$72:$E$91)=0,0,'TO HOP NLAN'!E130*'TS-PILE'!$E$86/SUMSQ('TS-PILE'!$E$72:$E$91))+IF(SUMSQ('TS-PILE'!$D$72:$D$91)=0,0,'TO HOP NLAN'!F130*'TS-PILE'!$D$86/SUMSQ('TS-PILE'!$D$72:$D$91))),IF('TS-PILE'!$B$87="",1E+99,'TO HOP NLAN'!D130/ncoc+IF(SUMSQ('TS-PILE'!$E$72:$E$91)=0,0,'TO HOP NLAN'!E130*'TS-PILE'!$E$87/SUMSQ('TS-PILE'!$E$72:$E$91))+IF(SUMSQ('TS-PILE'!$D$72:$D$91)=0,0,'TO HOP NLAN'!F130*'TS-PILE'!$D$87/SUMSQ('TS-PILE'!$D$72:$D$91))),IF('TS-PILE'!$B$88="",1E+99,'TO HOP NLAN'!D130/ncoc+IF(SUMSQ('TS-PILE'!$E$72:$E$91)=0,0,'TO HOP NLAN'!E130*'TS-PILE'!$E$88/SUMSQ('TS-PILE'!$E$72:$E$91))+IF(SUMSQ('TS-PILE'!$D$72:$D$91)=0,0,'TO HOP NLAN'!F130*'TS-PILE'!$D$88/SUMSQ('TS-PILE'!$D$72:$D$91))),IF('TS-PILE'!$B$89="",1E+99,'TO HOP NLAN'!D130/ncoc+IF(SUMSQ('TS-PILE'!$E$72:$E$91)=0,0,'TO HOP NLAN'!E130*'TS-PILE'!$E$89/SUMSQ('TS-PILE'!$E$72:$E$91))+IF(SUMSQ('TS-PILE'!$D$72:$D$91)=0,0,'TO HOP NLAN'!F130*'TS-PILE'!$D$89/SUMSQ('TS-PILE'!$D$72:$D$91))),IF('TS-PILE'!$B$90="",1E+99,'TO HOP NLAN'!D130/ncoc+IF(SUMSQ('TS-PILE'!$E$72:$E$91)=0,0,'TO HOP NLAN'!E130*'TS-PILE'!$E$90/SUMSQ('TS-PILE'!$E$72:$E$91))+IF(SUMSQ('TS-PILE'!$D$72:$D$91)=0,0,'TO HOP NLAN'!F130*'TS-PILE'!$D$90/SUMSQ('TS-PILE'!$D$72:$D$91))),IF('TS-PILE'!$B$91="",1E+99,'TO HOP NLAN'!D130/ncoc+IF(SUMSQ('TS-PILE'!$E$72:$E$91)=0,0,'TO HOP NLAN'!E130*'TS-PILE'!$E$91/SUMSQ('TS-PILE'!$E$72:$E$91))+IF(SUMSQ('TS-PILE'!$D$72:$D$91)=0,0,'TO HOP NLAN'!F130*'TS-PILE'!$D$91/SUMSQ('TS-PILE'!$D$72:$D$91)))))</f>
        <v>0</v>
      </c>
      <c r="E130" s="58">
        <f t="shared" si="4"/>
        <v>-9.9999999999999997E+98</v>
      </c>
      <c r="F130" s="58">
        <f t="shared" si="5"/>
        <v>9.9999999999999997E+98</v>
      </c>
      <c r="G130" s="58">
        <f t="shared" si="6"/>
        <v>-9.9999999999999997E+98</v>
      </c>
      <c r="H130" s="58">
        <f t="shared" si="7"/>
        <v>9.9999999999999997E+98</v>
      </c>
    </row>
    <row r="131" spans="1:8" x14ac:dyDescent="0.3">
      <c r="A131" s="42" t="str">
        <f>'TO HOP NLAN'!A131</f>
        <v/>
      </c>
      <c r="B131" s="42" t="str">
        <f>'TO HOP NLAN'!L131</f>
        <v>STRENGTH</v>
      </c>
      <c r="C131" s="58">
        <f>IF(A131="",0,MAX(IF('TS-PILE'!$B$72="",-1E+99,'TO HOP NLAN'!D131/ncoc+IF(SUMSQ('TS-PILE'!$E$72:$E$91)=0,0,'TO HOP NLAN'!E131*'TS-PILE'!$E$72/SUMSQ('TS-PILE'!$E$72:$E$91))+IF(SUMSQ('TS-PILE'!$D$72:$D$91)=0,0,'TO HOP NLAN'!F131*'TS-PILE'!$D$72/SUMSQ('TS-PILE'!$D$72:$D$91))),IF('TS-PILE'!$B$73="",-1E+99,'TO HOP NLAN'!D131/ncoc+IF(SUMSQ('TS-PILE'!$E$72:$E$91)=0,0,'TO HOP NLAN'!E131*'TS-PILE'!$E$73/SUMSQ('TS-PILE'!$E$72:$E$91))+IF(SUMSQ('TS-PILE'!$D$72:$D$91)=0,0,'TO HOP NLAN'!F131*'TS-PILE'!$D$73/SUMSQ('TS-PILE'!$D$72:$D$91))),IF('TS-PILE'!$B$74="",-1E+99,'TO HOP NLAN'!D131/ncoc+IF(SUMSQ('TS-PILE'!$E$72:$E$91)=0,0,'TO HOP NLAN'!E131*'TS-PILE'!$E$74/SUMSQ('TS-PILE'!$E$72:$E$91))+IF(SUMSQ('TS-PILE'!$D$72:$D$91)=0,0,'TO HOP NLAN'!F131*'TS-PILE'!$D$74/SUMSQ('TS-PILE'!$D$72:$D$91))),IF('TS-PILE'!$B$75="",-1E+99,'TO HOP NLAN'!D131/ncoc+IF(SUMSQ('TS-PILE'!$E$72:$E$91)=0,0,'TO HOP NLAN'!E131*'TS-PILE'!$E$75/SUMSQ('TS-PILE'!$E$72:$E$91))+IF(SUMSQ('TS-PILE'!$D$72:$D$91)=0,0,'TO HOP NLAN'!F131*'TS-PILE'!$D$75/SUMSQ('TS-PILE'!$D$72:$D$91))),IF('TS-PILE'!$B$76="",-1E+99,'TO HOP NLAN'!D131/ncoc+IF(SUMSQ('TS-PILE'!$E$72:$E$91)=0,0,'TO HOP NLAN'!E131*'TS-PILE'!$E$76/SUMSQ('TS-PILE'!$E$72:$E$91))+IF(SUMSQ('TS-PILE'!$D$72:$D$91)=0,0,'TO HOP NLAN'!F131*'TS-PILE'!$D$76/SUMSQ('TS-PILE'!$D$72:$D$91))),IF('TS-PILE'!$B$77="",-1E+99,'TO HOP NLAN'!D131/ncoc+IF(SUMSQ('TS-PILE'!$E$72:$E$91)=0,0,'TO HOP NLAN'!E131*'TS-PILE'!$E$77/SUMSQ('TS-PILE'!$E$72:$E$91))+IF(SUMSQ('TS-PILE'!$D$72:$D$91)=0,0,'TO HOP NLAN'!F131*'TS-PILE'!$D$77/SUMSQ('TS-PILE'!$D$72:$D$91))),IF('TS-PILE'!$B$78="",-1E+99,'TO HOP NLAN'!D131/ncoc+IF(SUMSQ('TS-PILE'!$E$72:$E$91)=0,0,'TO HOP NLAN'!E131*'TS-PILE'!$E$78/SUMSQ('TS-PILE'!$E$72:$E$91))+IF(SUMSQ('TS-PILE'!$D$72:$D$91)=0,0,'TO HOP NLAN'!F131*'TS-PILE'!$D$78/SUMSQ('TS-PILE'!$D$72:$D$91))),IF('TS-PILE'!$B$79="",-1E+99,'TO HOP NLAN'!D131/ncoc+IF(SUMSQ('TS-PILE'!$E$72:$E$91)=0,0,'TO HOP NLAN'!E131*'TS-PILE'!$E$79/SUMSQ('TS-PILE'!$E$72:$E$91))+IF(SUMSQ('TS-PILE'!$D$72:$D$91)=0,0,'TO HOP NLAN'!F131*'TS-PILE'!$D$79/SUMSQ('TS-PILE'!$D$72:$D$91))),IF('TS-PILE'!$B$80="",-1E+99,'TO HOP NLAN'!D131/ncoc+IF(SUMSQ('TS-PILE'!$E$72:$E$91)=0,0,'TO HOP NLAN'!E131*'TS-PILE'!$E$80/SUMSQ('TS-PILE'!$E$72:$E$91))+IF(SUMSQ('TS-PILE'!$D$72:$D$91)=0,0,'TO HOP NLAN'!F131*'TS-PILE'!$D$80/SUMSQ('TS-PILE'!$D$72:$D$91))),IF('TS-PILE'!$B$81="",-1E+99,'TO HOP NLAN'!D131/ncoc+IF(SUMSQ('TS-PILE'!$E$72:$E$91)=0,0,'TO HOP NLAN'!E131*'TS-PILE'!$E$81/SUMSQ('TS-PILE'!$E$72:$E$91))+IF(SUMSQ('TS-PILE'!$D$72:$D$91)=0,0,'TO HOP NLAN'!F131*'TS-PILE'!$D$81/SUMSQ('TS-PILE'!$D$72:$D$91))),IF('TS-PILE'!$B$82="",-1E+99,'TO HOP NLAN'!D131/ncoc+IF(SUMSQ('TS-PILE'!$E$72:$E$91)=0,0,'TO HOP NLAN'!E131*'TS-PILE'!$E$82/SUMSQ('TS-PILE'!$E$72:$E$91))+IF(SUMSQ('TS-PILE'!$D$72:$D$91)=0,0,'TO HOP NLAN'!F131*'TS-PILE'!$D$82/SUMSQ('TS-PILE'!$D$72:$D$91))),IF('TS-PILE'!$B$83="",-1E+99,'TO HOP NLAN'!D131/ncoc+IF(SUMSQ('TS-PILE'!$E$72:$E$91)=0,0,'TO HOP NLAN'!E131*'TS-PILE'!$E$83/SUMSQ('TS-PILE'!$E$72:$E$91))+IF(SUMSQ('TS-PILE'!$D$72:$D$91)=0,0,'TO HOP NLAN'!F131*'TS-PILE'!$D$83/SUMSQ('TS-PILE'!$D$72:$D$91))),IF('TS-PILE'!$B$84="",-1E+99,'TO HOP NLAN'!D131/ncoc+IF(SUMSQ('TS-PILE'!$E$72:$E$91)=0,0,'TO HOP NLAN'!E131*'TS-PILE'!$E$84/SUMSQ('TS-PILE'!$E$72:$E$91))+IF(SUMSQ('TS-PILE'!$D$72:$D$91)=0,0,'TO HOP NLAN'!F131*'TS-PILE'!$D$84/SUMSQ('TS-PILE'!$D$72:$D$91))),IF('TS-PILE'!$B$85="",-1E+99,'TO HOP NLAN'!D131/ncoc+IF(SUMSQ('TS-PILE'!$E$72:$E$91)=0,0,'TO HOP NLAN'!E131*'TS-PILE'!$E$85/SUMSQ('TS-PILE'!$E$72:$E$91))+IF(SUMSQ('TS-PILE'!$D$72:$D$91)=0,0,'TO HOP NLAN'!F131*'TS-PILE'!$D$85/SUMSQ('TS-PILE'!$D$72:$D$91))),IF('TS-PILE'!$B$86="",-1E+99,'TO HOP NLAN'!D131/ncoc+IF(SUMSQ('TS-PILE'!$E$72:$E$91)=0,0,'TO HOP NLAN'!E131*'TS-PILE'!$E$86/SUMSQ('TS-PILE'!$E$72:$E$91))+IF(SUMSQ('TS-PILE'!$D$72:$D$91)=0,0,'TO HOP NLAN'!F131*'TS-PILE'!$D$86/SUMSQ('TS-PILE'!$D$72:$D$91))),IF('TS-PILE'!$B$87="",-1E+99,'TO HOP NLAN'!D131/ncoc+IF(SUMSQ('TS-PILE'!$E$72:$E$91)=0,0,'TO HOP NLAN'!E131*'TS-PILE'!$E$87/SUMSQ('TS-PILE'!$E$72:$E$91))+IF(SUMSQ('TS-PILE'!$D$72:$D$91)=0,0,'TO HOP NLAN'!F131*'TS-PILE'!$D$87/SUMSQ('TS-PILE'!$D$72:$D$91))),IF('TS-PILE'!$B$88="",-1E+99,'TO HOP NLAN'!D131/ncoc+IF(SUMSQ('TS-PILE'!$E$72:$E$91)=0,0,'TO HOP NLAN'!E131*'TS-PILE'!$E$88/SUMSQ('TS-PILE'!$E$72:$E$91))+IF(SUMSQ('TS-PILE'!$D$72:$D$91)=0,0,'TO HOP NLAN'!F131*'TS-PILE'!$D$88/SUMSQ('TS-PILE'!$D$72:$D$91))),IF('TS-PILE'!$B$89="",-1E+99,'TO HOP NLAN'!D131/ncoc+IF(SUMSQ('TS-PILE'!$E$72:$E$91)=0,0,'TO HOP NLAN'!E131*'TS-PILE'!$E$89/SUMSQ('TS-PILE'!$E$72:$E$91))+IF(SUMSQ('TS-PILE'!$D$72:$D$91)=0,0,'TO HOP NLAN'!F131*'TS-PILE'!$D$89/SUMSQ('TS-PILE'!$D$72:$D$91))),IF('TS-PILE'!$B$90="",-1E+99,'TO HOP NLAN'!D131/ncoc+IF(SUMSQ('TS-PILE'!$E$72:$E$91)=0,0,'TO HOP NLAN'!E131*'TS-PILE'!$E$90/SUMSQ('TS-PILE'!$E$72:$E$91))+IF(SUMSQ('TS-PILE'!$D$72:$D$91)=0,0,'TO HOP NLAN'!F131*'TS-PILE'!$D$90/SUMSQ('TS-PILE'!$D$72:$D$91))),IF('TS-PILE'!$B$91="",-1E+99,'TO HOP NLAN'!D131/ncoc+IF(SUMSQ('TS-PILE'!$E$72:$E$91)=0,0,'TO HOP NLAN'!E131*'TS-PILE'!$E$91/SUMSQ('TS-PILE'!$E$72:$E$91))+IF(SUMSQ('TS-PILE'!$D$72:$D$91)=0,0,'TO HOP NLAN'!F131*'TS-PILE'!$D$91/SUMSQ('TS-PILE'!$D$72:$D$91)))))</f>
        <v>0</v>
      </c>
      <c r="D131" s="58">
        <f>IF(A131="",0,MIN(IF('TS-PILE'!$B$72="",1E+99,'TO HOP NLAN'!D131/ncoc+IF(SUMSQ('TS-PILE'!$E$72:$E$91)=0,0,'TO HOP NLAN'!E131*'TS-PILE'!$E$72/SUMSQ('TS-PILE'!$E$72:$E$91))+IF(SUMSQ('TS-PILE'!$D$72:$D$91)=0,0,'TO HOP NLAN'!F131*'TS-PILE'!$D$72/SUMSQ('TS-PILE'!$D$72:$D$91))),IF('TS-PILE'!$B$73="",1E+99,'TO HOP NLAN'!D131/ncoc+IF(SUMSQ('TS-PILE'!$E$72:$E$91)=0,0,'TO HOP NLAN'!E131*'TS-PILE'!$E$73/SUMSQ('TS-PILE'!$E$72:$E$91))+IF(SUMSQ('TS-PILE'!$D$72:$D$91)=0,0,'TO HOP NLAN'!F131*'TS-PILE'!$D$73/SUMSQ('TS-PILE'!$D$72:$D$91))),IF('TS-PILE'!$B$74="",1E+99,'TO HOP NLAN'!D131/ncoc+IF(SUMSQ('TS-PILE'!$E$72:$E$91)=0,0,'TO HOP NLAN'!E131*'TS-PILE'!$E$74/SUMSQ('TS-PILE'!$E$72:$E$91))+IF(SUMSQ('TS-PILE'!$D$72:$D$91)=0,0,'TO HOP NLAN'!F131*'TS-PILE'!$D$74/SUMSQ('TS-PILE'!$D$72:$D$91))),IF('TS-PILE'!$B$75="",1E+99,'TO HOP NLAN'!D131/ncoc+IF(SUMSQ('TS-PILE'!$E$72:$E$91)=0,0,'TO HOP NLAN'!E131*'TS-PILE'!$E$75/SUMSQ('TS-PILE'!$E$72:$E$91))+IF(SUMSQ('TS-PILE'!$D$72:$D$91)=0,0,'TO HOP NLAN'!F131*'TS-PILE'!$D$75/SUMSQ('TS-PILE'!$D$72:$D$91))),IF('TS-PILE'!$B$76="",1E+99,'TO HOP NLAN'!D131/ncoc+IF(SUMSQ('TS-PILE'!$E$72:$E$91)=0,0,'TO HOP NLAN'!E131*'TS-PILE'!$E$76/SUMSQ('TS-PILE'!$E$72:$E$91))+IF(SUMSQ('TS-PILE'!$D$72:$D$91)=0,0,'TO HOP NLAN'!F131*'TS-PILE'!$D$76/SUMSQ('TS-PILE'!$D$72:$D$91))),IF('TS-PILE'!$B$77="",1E+99,'TO HOP NLAN'!D131/ncoc+IF(SUMSQ('TS-PILE'!$E$72:$E$91)=0,0,'TO HOP NLAN'!E131*'TS-PILE'!$E$77/SUMSQ('TS-PILE'!$E$72:$E$91))+IF(SUMSQ('TS-PILE'!$D$72:$D$91)=0,0,'TO HOP NLAN'!F131*'TS-PILE'!$D$77/SUMSQ('TS-PILE'!$D$72:$D$91))),IF('TS-PILE'!$B$78="",1E+99,'TO HOP NLAN'!D131/ncoc+IF(SUMSQ('TS-PILE'!$E$72:$E$91)=0,0,'TO HOP NLAN'!E131*'TS-PILE'!$E$78/SUMSQ('TS-PILE'!$E$72:$E$91))+IF(SUMSQ('TS-PILE'!$D$72:$D$91)=0,0,'TO HOP NLAN'!F131*'TS-PILE'!$D$78/SUMSQ('TS-PILE'!$D$72:$D$91))),IF('TS-PILE'!$B$79="",1E+99,'TO HOP NLAN'!D131/ncoc+IF(SUMSQ('TS-PILE'!$E$72:$E$91)=0,0,'TO HOP NLAN'!E131*'TS-PILE'!$E$79/SUMSQ('TS-PILE'!$E$72:$E$91))+IF(SUMSQ('TS-PILE'!$D$72:$D$91)=0,0,'TO HOP NLAN'!F131*'TS-PILE'!$D$79/SUMSQ('TS-PILE'!$D$72:$D$91))),IF('TS-PILE'!$B$80="",1E+99,'TO HOP NLAN'!D131/ncoc+IF(SUMSQ('TS-PILE'!$E$72:$E$91)=0,0,'TO HOP NLAN'!E131*'TS-PILE'!$E$80/SUMSQ('TS-PILE'!$E$72:$E$91))+IF(SUMSQ('TS-PILE'!$D$72:$D$91)=0,0,'TO HOP NLAN'!F131*'TS-PILE'!$D$80/SUMSQ('TS-PILE'!$D$72:$D$91))),IF('TS-PILE'!$B$81="",1E+99,'TO HOP NLAN'!D131/ncoc+IF(SUMSQ('TS-PILE'!$E$72:$E$91)=0,0,'TO HOP NLAN'!E131*'TS-PILE'!$E$81/SUMSQ('TS-PILE'!$E$72:$E$91))+IF(SUMSQ('TS-PILE'!$D$72:$D$91)=0,0,'TO HOP NLAN'!F131*'TS-PILE'!$D$81/SUMSQ('TS-PILE'!$D$72:$D$91))),IF('TS-PILE'!$B$82="",1E+99,'TO HOP NLAN'!D131/ncoc+IF(SUMSQ('TS-PILE'!$E$72:$E$91)=0,0,'TO HOP NLAN'!E131*'TS-PILE'!$E$82/SUMSQ('TS-PILE'!$E$72:$E$91))+IF(SUMSQ('TS-PILE'!$D$72:$D$91)=0,0,'TO HOP NLAN'!F131*'TS-PILE'!$D$82/SUMSQ('TS-PILE'!$D$72:$D$91))),IF('TS-PILE'!$B$83="",1E+99,'TO HOP NLAN'!D131/ncoc+IF(SUMSQ('TS-PILE'!$E$72:$E$91)=0,0,'TO HOP NLAN'!E131*'TS-PILE'!$E$83/SUMSQ('TS-PILE'!$E$72:$E$91))+IF(SUMSQ('TS-PILE'!$D$72:$D$91)=0,0,'TO HOP NLAN'!F131*'TS-PILE'!$D$83/SUMSQ('TS-PILE'!$D$72:$D$91))),IF('TS-PILE'!$B$84="",1E+99,'TO HOP NLAN'!D131/ncoc+IF(SUMSQ('TS-PILE'!$E$72:$E$91)=0,0,'TO HOP NLAN'!E131*'TS-PILE'!$E$84/SUMSQ('TS-PILE'!$E$72:$E$91))+IF(SUMSQ('TS-PILE'!$D$72:$D$91)=0,0,'TO HOP NLAN'!F131*'TS-PILE'!$D$84/SUMSQ('TS-PILE'!$D$72:$D$91))),IF('TS-PILE'!$B$85="",1E+99,'TO HOP NLAN'!D131/ncoc+IF(SUMSQ('TS-PILE'!$E$72:$E$91)=0,0,'TO HOP NLAN'!E131*'TS-PILE'!$E$85/SUMSQ('TS-PILE'!$E$72:$E$91))+IF(SUMSQ('TS-PILE'!$D$72:$D$91)=0,0,'TO HOP NLAN'!F131*'TS-PILE'!$D$85/SUMSQ('TS-PILE'!$D$72:$D$91))),IF('TS-PILE'!$B$86="",1E+99,'TO HOP NLAN'!D131/ncoc+IF(SUMSQ('TS-PILE'!$E$72:$E$91)=0,0,'TO HOP NLAN'!E131*'TS-PILE'!$E$86/SUMSQ('TS-PILE'!$E$72:$E$91))+IF(SUMSQ('TS-PILE'!$D$72:$D$91)=0,0,'TO HOP NLAN'!F131*'TS-PILE'!$D$86/SUMSQ('TS-PILE'!$D$72:$D$91))),IF('TS-PILE'!$B$87="",1E+99,'TO HOP NLAN'!D131/ncoc+IF(SUMSQ('TS-PILE'!$E$72:$E$91)=0,0,'TO HOP NLAN'!E131*'TS-PILE'!$E$87/SUMSQ('TS-PILE'!$E$72:$E$91))+IF(SUMSQ('TS-PILE'!$D$72:$D$91)=0,0,'TO HOP NLAN'!F131*'TS-PILE'!$D$87/SUMSQ('TS-PILE'!$D$72:$D$91))),IF('TS-PILE'!$B$88="",1E+99,'TO HOP NLAN'!D131/ncoc+IF(SUMSQ('TS-PILE'!$E$72:$E$91)=0,0,'TO HOP NLAN'!E131*'TS-PILE'!$E$88/SUMSQ('TS-PILE'!$E$72:$E$91))+IF(SUMSQ('TS-PILE'!$D$72:$D$91)=0,0,'TO HOP NLAN'!F131*'TS-PILE'!$D$88/SUMSQ('TS-PILE'!$D$72:$D$91))),IF('TS-PILE'!$B$89="",1E+99,'TO HOP NLAN'!D131/ncoc+IF(SUMSQ('TS-PILE'!$E$72:$E$91)=0,0,'TO HOP NLAN'!E131*'TS-PILE'!$E$89/SUMSQ('TS-PILE'!$E$72:$E$91))+IF(SUMSQ('TS-PILE'!$D$72:$D$91)=0,0,'TO HOP NLAN'!F131*'TS-PILE'!$D$89/SUMSQ('TS-PILE'!$D$72:$D$91))),IF('TS-PILE'!$B$90="",1E+99,'TO HOP NLAN'!D131/ncoc+IF(SUMSQ('TS-PILE'!$E$72:$E$91)=0,0,'TO HOP NLAN'!E131*'TS-PILE'!$E$90/SUMSQ('TS-PILE'!$E$72:$E$91))+IF(SUMSQ('TS-PILE'!$D$72:$D$91)=0,0,'TO HOP NLAN'!F131*'TS-PILE'!$D$90/SUMSQ('TS-PILE'!$D$72:$D$91))),IF('TS-PILE'!$B$91="",1E+99,'TO HOP NLAN'!D131/ncoc+IF(SUMSQ('TS-PILE'!$E$72:$E$91)=0,0,'TO HOP NLAN'!E131*'TS-PILE'!$E$91/SUMSQ('TS-PILE'!$E$72:$E$91))+IF(SUMSQ('TS-PILE'!$D$72:$D$91)=0,0,'TO HOP NLAN'!F131*'TS-PILE'!$D$91/SUMSQ('TS-PILE'!$D$72:$D$91)))))</f>
        <v>0</v>
      </c>
      <c r="E131" s="58">
        <f t="shared" si="4"/>
        <v>-9.9999999999999997E+98</v>
      </c>
      <c r="F131" s="58">
        <f t="shared" si="5"/>
        <v>9.9999999999999997E+98</v>
      </c>
      <c r="G131" s="58">
        <f t="shared" si="6"/>
        <v>-9.9999999999999997E+98</v>
      </c>
      <c r="H131" s="58">
        <f t="shared" si="7"/>
        <v>9.9999999999999997E+98</v>
      </c>
    </row>
    <row r="132" spans="1:8" x14ac:dyDescent="0.3">
      <c r="A132" s="42" t="str">
        <f>'TO HOP NLAN'!A132</f>
        <v/>
      </c>
      <c r="B132" s="42" t="str">
        <f>'TO HOP NLAN'!L132</f>
        <v>STRENGTH</v>
      </c>
      <c r="C132" s="58">
        <f>IF(A132="",0,MAX(IF('TS-PILE'!$B$72="",-1E+99,'TO HOP NLAN'!D132/ncoc+IF(SUMSQ('TS-PILE'!$E$72:$E$91)=0,0,'TO HOP NLAN'!E132*'TS-PILE'!$E$72/SUMSQ('TS-PILE'!$E$72:$E$91))+IF(SUMSQ('TS-PILE'!$D$72:$D$91)=0,0,'TO HOP NLAN'!F132*'TS-PILE'!$D$72/SUMSQ('TS-PILE'!$D$72:$D$91))),IF('TS-PILE'!$B$73="",-1E+99,'TO HOP NLAN'!D132/ncoc+IF(SUMSQ('TS-PILE'!$E$72:$E$91)=0,0,'TO HOP NLAN'!E132*'TS-PILE'!$E$73/SUMSQ('TS-PILE'!$E$72:$E$91))+IF(SUMSQ('TS-PILE'!$D$72:$D$91)=0,0,'TO HOP NLAN'!F132*'TS-PILE'!$D$73/SUMSQ('TS-PILE'!$D$72:$D$91))),IF('TS-PILE'!$B$74="",-1E+99,'TO HOP NLAN'!D132/ncoc+IF(SUMSQ('TS-PILE'!$E$72:$E$91)=0,0,'TO HOP NLAN'!E132*'TS-PILE'!$E$74/SUMSQ('TS-PILE'!$E$72:$E$91))+IF(SUMSQ('TS-PILE'!$D$72:$D$91)=0,0,'TO HOP NLAN'!F132*'TS-PILE'!$D$74/SUMSQ('TS-PILE'!$D$72:$D$91))),IF('TS-PILE'!$B$75="",-1E+99,'TO HOP NLAN'!D132/ncoc+IF(SUMSQ('TS-PILE'!$E$72:$E$91)=0,0,'TO HOP NLAN'!E132*'TS-PILE'!$E$75/SUMSQ('TS-PILE'!$E$72:$E$91))+IF(SUMSQ('TS-PILE'!$D$72:$D$91)=0,0,'TO HOP NLAN'!F132*'TS-PILE'!$D$75/SUMSQ('TS-PILE'!$D$72:$D$91))),IF('TS-PILE'!$B$76="",-1E+99,'TO HOP NLAN'!D132/ncoc+IF(SUMSQ('TS-PILE'!$E$72:$E$91)=0,0,'TO HOP NLAN'!E132*'TS-PILE'!$E$76/SUMSQ('TS-PILE'!$E$72:$E$91))+IF(SUMSQ('TS-PILE'!$D$72:$D$91)=0,0,'TO HOP NLAN'!F132*'TS-PILE'!$D$76/SUMSQ('TS-PILE'!$D$72:$D$91))),IF('TS-PILE'!$B$77="",-1E+99,'TO HOP NLAN'!D132/ncoc+IF(SUMSQ('TS-PILE'!$E$72:$E$91)=0,0,'TO HOP NLAN'!E132*'TS-PILE'!$E$77/SUMSQ('TS-PILE'!$E$72:$E$91))+IF(SUMSQ('TS-PILE'!$D$72:$D$91)=0,0,'TO HOP NLAN'!F132*'TS-PILE'!$D$77/SUMSQ('TS-PILE'!$D$72:$D$91))),IF('TS-PILE'!$B$78="",-1E+99,'TO HOP NLAN'!D132/ncoc+IF(SUMSQ('TS-PILE'!$E$72:$E$91)=0,0,'TO HOP NLAN'!E132*'TS-PILE'!$E$78/SUMSQ('TS-PILE'!$E$72:$E$91))+IF(SUMSQ('TS-PILE'!$D$72:$D$91)=0,0,'TO HOP NLAN'!F132*'TS-PILE'!$D$78/SUMSQ('TS-PILE'!$D$72:$D$91))),IF('TS-PILE'!$B$79="",-1E+99,'TO HOP NLAN'!D132/ncoc+IF(SUMSQ('TS-PILE'!$E$72:$E$91)=0,0,'TO HOP NLAN'!E132*'TS-PILE'!$E$79/SUMSQ('TS-PILE'!$E$72:$E$91))+IF(SUMSQ('TS-PILE'!$D$72:$D$91)=0,0,'TO HOP NLAN'!F132*'TS-PILE'!$D$79/SUMSQ('TS-PILE'!$D$72:$D$91))),IF('TS-PILE'!$B$80="",-1E+99,'TO HOP NLAN'!D132/ncoc+IF(SUMSQ('TS-PILE'!$E$72:$E$91)=0,0,'TO HOP NLAN'!E132*'TS-PILE'!$E$80/SUMSQ('TS-PILE'!$E$72:$E$91))+IF(SUMSQ('TS-PILE'!$D$72:$D$91)=0,0,'TO HOP NLAN'!F132*'TS-PILE'!$D$80/SUMSQ('TS-PILE'!$D$72:$D$91))),IF('TS-PILE'!$B$81="",-1E+99,'TO HOP NLAN'!D132/ncoc+IF(SUMSQ('TS-PILE'!$E$72:$E$91)=0,0,'TO HOP NLAN'!E132*'TS-PILE'!$E$81/SUMSQ('TS-PILE'!$E$72:$E$91))+IF(SUMSQ('TS-PILE'!$D$72:$D$91)=0,0,'TO HOP NLAN'!F132*'TS-PILE'!$D$81/SUMSQ('TS-PILE'!$D$72:$D$91))),IF('TS-PILE'!$B$82="",-1E+99,'TO HOP NLAN'!D132/ncoc+IF(SUMSQ('TS-PILE'!$E$72:$E$91)=0,0,'TO HOP NLAN'!E132*'TS-PILE'!$E$82/SUMSQ('TS-PILE'!$E$72:$E$91))+IF(SUMSQ('TS-PILE'!$D$72:$D$91)=0,0,'TO HOP NLAN'!F132*'TS-PILE'!$D$82/SUMSQ('TS-PILE'!$D$72:$D$91))),IF('TS-PILE'!$B$83="",-1E+99,'TO HOP NLAN'!D132/ncoc+IF(SUMSQ('TS-PILE'!$E$72:$E$91)=0,0,'TO HOP NLAN'!E132*'TS-PILE'!$E$83/SUMSQ('TS-PILE'!$E$72:$E$91))+IF(SUMSQ('TS-PILE'!$D$72:$D$91)=0,0,'TO HOP NLAN'!F132*'TS-PILE'!$D$83/SUMSQ('TS-PILE'!$D$72:$D$91))),IF('TS-PILE'!$B$84="",-1E+99,'TO HOP NLAN'!D132/ncoc+IF(SUMSQ('TS-PILE'!$E$72:$E$91)=0,0,'TO HOP NLAN'!E132*'TS-PILE'!$E$84/SUMSQ('TS-PILE'!$E$72:$E$91))+IF(SUMSQ('TS-PILE'!$D$72:$D$91)=0,0,'TO HOP NLAN'!F132*'TS-PILE'!$D$84/SUMSQ('TS-PILE'!$D$72:$D$91))),IF('TS-PILE'!$B$85="",-1E+99,'TO HOP NLAN'!D132/ncoc+IF(SUMSQ('TS-PILE'!$E$72:$E$91)=0,0,'TO HOP NLAN'!E132*'TS-PILE'!$E$85/SUMSQ('TS-PILE'!$E$72:$E$91))+IF(SUMSQ('TS-PILE'!$D$72:$D$91)=0,0,'TO HOP NLAN'!F132*'TS-PILE'!$D$85/SUMSQ('TS-PILE'!$D$72:$D$91))),IF('TS-PILE'!$B$86="",-1E+99,'TO HOP NLAN'!D132/ncoc+IF(SUMSQ('TS-PILE'!$E$72:$E$91)=0,0,'TO HOP NLAN'!E132*'TS-PILE'!$E$86/SUMSQ('TS-PILE'!$E$72:$E$91))+IF(SUMSQ('TS-PILE'!$D$72:$D$91)=0,0,'TO HOP NLAN'!F132*'TS-PILE'!$D$86/SUMSQ('TS-PILE'!$D$72:$D$91))),IF('TS-PILE'!$B$87="",-1E+99,'TO HOP NLAN'!D132/ncoc+IF(SUMSQ('TS-PILE'!$E$72:$E$91)=0,0,'TO HOP NLAN'!E132*'TS-PILE'!$E$87/SUMSQ('TS-PILE'!$E$72:$E$91))+IF(SUMSQ('TS-PILE'!$D$72:$D$91)=0,0,'TO HOP NLAN'!F132*'TS-PILE'!$D$87/SUMSQ('TS-PILE'!$D$72:$D$91))),IF('TS-PILE'!$B$88="",-1E+99,'TO HOP NLAN'!D132/ncoc+IF(SUMSQ('TS-PILE'!$E$72:$E$91)=0,0,'TO HOP NLAN'!E132*'TS-PILE'!$E$88/SUMSQ('TS-PILE'!$E$72:$E$91))+IF(SUMSQ('TS-PILE'!$D$72:$D$91)=0,0,'TO HOP NLAN'!F132*'TS-PILE'!$D$88/SUMSQ('TS-PILE'!$D$72:$D$91))),IF('TS-PILE'!$B$89="",-1E+99,'TO HOP NLAN'!D132/ncoc+IF(SUMSQ('TS-PILE'!$E$72:$E$91)=0,0,'TO HOP NLAN'!E132*'TS-PILE'!$E$89/SUMSQ('TS-PILE'!$E$72:$E$91))+IF(SUMSQ('TS-PILE'!$D$72:$D$91)=0,0,'TO HOP NLAN'!F132*'TS-PILE'!$D$89/SUMSQ('TS-PILE'!$D$72:$D$91))),IF('TS-PILE'!$B$90="",-1E+99,'TO HOP NLAN'!D132/ncoc+IF(SUMSQ('TS-PILE'!$E$72:$E$91)=0,0,'TO HOP NLAN'!E132*'TS-PILE'!$E$90/SUMSQ('TS-PILE'!$E$72:$E$91))+IF(SUMSQ('TS-PILE'!$D$72:$D$91)=0,0,'TO HOP NLAN'!F132*'TS-PILE'!$D$90/SUMSQ('TS-PILE'!$D$72:$D$91))),IF('TS-PILE'!$B$91="",-1E+99,'TO HOP NLAN'!D132/ncoc+IF(SUMSQ('TS-PILE'!$E$72:$E$91)=0,0,'TO HOP NLAN'!E132*'TS-PILE'!$E$91/SUMSQ('TS-PILE'!$E$72:$E$91))+IF(SUMSQ('TS-PILE'!$D$72:$D$91)=0,0,'TO HOP NLAN'!F132*'TS-PILE'!$D$91/SUMSQ('TS-PILE'!$D$72:$D$91)))))</f>
        <v>0</v>
      </c>
      <c r="D132" s="58">
        <f>IF(A132="",0,MIN(IF('TS-PILE'!$B$72="",1E+99,'TO HOP NLAN'!D132/ncoc+IF(SUMSQ('TS-PILE'!$E$72:$E$91)=0,0,'TO HOP NLAN'!E132*'TS-PILE'!$E$72/SUMSQ('TS-PILE'!$E$72:$E$91))+IF(SUMSQ('TS-PILE'!$D$72:$D$91)=0,0,'TO HOP NLAN'!F132*'TS-PILE'!$D$72/SUMSQ('TS-PILE'!$D$72:$D$91))),IF('TS-PILE'!$B$73="",1E+99,'TO HOP NLAN'!D132/ncoc+IF(SUMSQ('TS-PILE'!$E$72:$E$91)=0,0,'TO HOP NLAN'!E132*'TS-PILE'!$E$73/SUMSQ('TS-PILE'!$E$72:$E$91))+IF(SUMSQ('TS-PILE'!$D$72:$D$91)=0,0,'TO HOP NLAN'!F132*'TS-PILE'!$D$73/SUMSQ('TS-PILE'!$D$72:$D$91))),IF('TS-PILE'!$B$74="",1E+99,'TO HOP NLAN'!D132/ncoc+IF(SUMSQ('TS-PILE'!$E$72:$E$91)=0,0,'TO HOP NLAN'!E132*'TS-PILE'!$E$74/SUMSQ('TS-PILE'!$E$72:$E$91))+IF(SUMSQ('TS-PILE'!$D$72:$D$91)=0,0,'TO HOP NLAN'!F132*'TS-PILE'!$D$74/SUMSQ('TS-PILE'!$D$72:$D$91))),IF('TS-PILE'!$B$75="",1E+99,'TO HOP NLAN'!D132/ncoc+IF(SUMSQ('TS-PILE'!$E$72:$E$91)=0,0,'TO HOP NLAN'!E132*'TS-PILE'!$E$75/SUMSQ('TS-PILE'!$E$72:$E$91))+IF(SUMSQ('TS-PILE'!$D$72:$D$91)=0,0,'TO HOP NLAN'!F132*'TS-PILE'!$D$75/SUMSQ('TS-PILE'!$D$72:$D$91))),IF('TS-PILE'!$B$76="",1E+99,'TO HOP NLAN'!D132/ncoc+IF(SUMSQ('TS-PILE'!$E$72:$E$91)=0,0,'TO HOP NLAN'!E132*'TS-PILE'!$E$76/SUMSQ('TS-PILE'!$E$72:$E$91))+IF(SUMSQ('TS-PILE'!$D$72:$D$91)=0,0,'TO HOP NLAN'!F132*'TS-PILE'!$D$76/SUMSQ('TS-PILE'!$D$72:$D$91))),IF('TS-PILE'!$B$77="",1E+99,'TO HOP NLAN'!D132/ncoc+IF(SUMSQ('TS-PILE'!$E$72:$E$91)=0,0,'TO HOP NLAN'!E132*'TS-PILE'!$E$77/SUMSQ('TS-PILE'!$E$72:$E$91))+IF(SUMSQ('TS-PILE'!$D$72:$D$91)=0,0,'TO HOP NLAN'!F132*'TS-PILE'!$D$77/SUMSQ('TS-PILE'!$D$72:$D$91))),IF('TS-PILE'!$B$78="",1E+99,'TO HOP NLAN'!D132/ncoc+IF(SUMSQ('TS-PILE'!$E$72:$E$91)=0,0,'TO HOP NLAN'!E132*'TS-PILE'!$E$78/SUMSQ('TS-PILE'!$E$72:$E$91))+IF(SUMSQ('TS-PILE'!$D$72:$D$91)=0,0,'TO HOP NLAN'!F132*'TS-PILE'!$D$78/SUMSQ('TS-PILE'!$D$72:$D$91))),IF('TS-PILE'!$B$79="",1E+99,'TO HOP NLAN'!D132/ncoc+IF(SUMSQ('TS-PILE'!$E$72:$E$91)=0,0,'TO HOP NLAN'!E132*'TS-PILE'!$E$79/SUMSQ('TS-PILE'!$E$72:$E$91))+IF(SUMSQ('TS-PILE'!$D$72:$D$91)=0,0,'TO HOP NLAN'!F132*'TS-PILE'!$D$79/SUMSQ('TS-PILE'!$D$72:$D$91))),IF('TS-PILE'!$B$80="",1E+99,'TO HOP NLAN'!D132/ncoc+IF(SUMSQ('TS-PILE'!$E$72:$E$91)=0,0,'TO HOP NLAN'!E132*'TS-PILE'!$E$80/SUMSQ('TS-PILE'!$E$72:$E$91))+IF(SUMSQ('TS-PILE'!$D$72:$D$91)=0,0,'TO HOP NLAN'!F132*'TS-PILE'!$D$80/SUMSQ('TS-PILE'!$D$72:$D$91))),IF('TS-PILE'!$B$81="",1E+99,'TO HOP NLAN'!D132/ncoc+IF(SUMSQ('TS-PILE'!$E$72:$E$91)=0,0,'TO HOP NLAN'!E132*'TS-PILE'!$E$81/SUMSQ('TS-PILE'!$E$72:$E$91))+IF(SUMSQ('TS-PILE'!$D$72:$D$91)=0,0,'TO HOP NLAN'!F132*'TS-PILE'!$D$81/SUMSQ('TS-PILE'!$D$72:$D$91))),IF('TS-PILE'!$B$82="",1E+99,'TO HOP NLAN'!D132/ncoc+IF(SUMSQ('TS-PILE'!$E$72:$E$91)=0,0,'TO HOP NLAN'!E132*'TS-PILE'!$E$82/SUMSQ('TS-PILE'!$E$72:$E$91))+IF(SUMSQ('TS-PILE'!$D$72:$D$91)=0,0,'TO HOP NLAN'!F132*'TS-PILE'!$D$82/SUMSQ('TS-PILE'!$D$72:$D$91))),IF('TS-PILE'!$B$83="",1E+99,'TO HOP NLAN'!D132/ncoc+IF(SUMSQ('TS-PILE'!$E$72:$E$91)=0,0,'TO HOP NLAN'!E132*'TS-PILE'!$E$83/SUMSQ('TS-PILE'!$E$72:$E$91))+IF(SUMSQ('TS-PILE'!$D$72:$D$91)=0,0,'TO HOP NLAN'!F132*'TS-PILE'!$D$83/SUMSQ('TS-PILE'!$D$72:$D$91))),IF('TS-PILE'!$B$84="",1E+99,'TO HOP NLAN'!D132/ncoc+IF(SUMSQ('TS-PILE'!$E$72:$E$91)=0,0,'TO HOP NLAN'!E132*'TS-PILE'!$E$84/SUMSQ('TS-PILE'!$E$72:$E$91))+IF(SUMSQ('TS-PILE'!$D$72:$D$91)=0,0,'TO HOP NLAN'!F132*'TS-PILE'!$D$84/SUMSQ('TS-PILE'!$D$72:$D$91))),IF('TS-PILE'!$B$85="",1E+99,'TO HOP NLAN'!D132/ncoc+IF(SUMSQ('TS-PILE'!$E$72:$E$91)=0,0,'TO HOP NLAN'!E132*'TS-PILE'!$E$85/SUMSQ('TS-PILE'!$E$72:$E$91))+IF(SUMSQ('TS-PILE'!$D$72:$D$91)=0,0,'TO HOP NLAN'!F132*'TS-PILE'!$D$85/SUMSQ('TS-PILE'!$D$72:$D$91))),IF('TS-PILE'!$B$86="",1E+99,'TO HOP NLAN'!D132/ncoc+IF(SUMSQ('TS-PILE'!$E$72:$E$91)=0,0,'TO HOP NLAN'!E132*'TS-PILE'!$E$86/SUMSQ('TS-PILE'!$E$72:$E$91))+IF(SUMSQ('TS-PILE'!$D$72:$D$91)=0,0,'TO HOP NLAN'!F132*'TS-PILE'!$D$86/SUMSQ('TS-PILE'!$D$72:$D$91))),IF('TS-PILE'!$B$87="",1E+99,'TO HOP NLAN'!D132/ncoc+IF(SUMSQ('TS-PILE'!$E$72:$E$91)=0,0,'TO HOP NLAN'!E132*'TS-PILE'!$E$87/SUMSQ('TS-PILE'!$E$72:$E$91))+IF(SUMSQ('TS-PILE'!$D$72:$D$91)=0,0,'TO HOP NLAN'!F132*'TS-PILE'!$D$87/SUMSQ('TS-PILE'!$D$72:$D$91))),IF('TS-PILE'!$B$88="",1E+99,'TO HOP NLAN'!D132/ncoc+IF(SUMSQ('TS-PILE'!$E$72:$E$91)=0,0,'TO HOP NLAN'!E132*'TS-PILE'!$E$88/SUMSQ('TS-PILE'!$E$72:$E$91))+IF(SUMSQ('TS-PILE'!$D$72:$D$91)=0,0,'TO HOP NLAN'!F132*'TS-PILE'!$D$88/SUMSQ('TS-PILE'!$D$72:$D$91))),IF('TS-PILE'!$B$89="",1E+99,'TO HOP NLAN'!D132/ncoc+IF(SUMSQ('TS-PILE'!$E$72:$E$91)=0,0,'TO HOP NLAN'!E132*'TS-PILE'!$E$89/SUMSQ('TS-PILE'!$E$72:$E$91))+IF(SUMSQ('TS-PILE'!$D$72:$D$91)=0,0,'TO HOP NLAN'!F132*'TS-PILE'!$D$89/SUMSQ('TS-PILE'!$D$72:$D$91))),IF('TS-PILE'!$B$90="",1E+99,'TO HOP NLAN'!D132/ncoc+IF(SUMSQ('TS-PILE'!$E$72:$E$91)=0,0,'TO HOP NLAN'!E132*'TS-PILE'!$E$90/SUMSQ('TS-PILE'!$E$72:$E$91))+IF(SUMSQ('TS-PILE'!$D$72:$D$91)=0,0,'TO HOP NLAN'!F132*'TS-PILE'!$D$90/SUMSQ('TS-PILE'!$D$72:$D$91))),IF('TS-PILE'!$B$91="",1E+99,'TO HOP NLAN'!D132/ncoc+IF(SUMSQ('TS-PILE'!$E$72:$E$91)=0,0,'TO HOP NLAN'!E132*'TS-PILE'!$E$91/SUMSQ('TS-PILE'!$E$72:$E$91))+IF(SUMSQ('TS-PILE'!$D$72:$D$91)=0,0,'TO HOP NLAN'!F132*'TS-PILE'!$D$91/SUMSQ('TS-PILE'!$D$72:$D$91)))))</f>
        <v>0</v>
      </c>
      <c r="E132" s="58">
        <f t="shared" si="4"/>
        <v>-9.9999999999999997E+98</v>
      </c>
      <c r="F132" s="58">
        <f t="shared" si="5"/>
        <v>9.9999999999999997E+98</v>
      </c>
      <c r="G132" s="58">
        <f t="shared" si="6"/>
        <v>-9.9999999999999997E+98</v>
      </c>
      <c r="H132" s="58">
        <f t="shared" si="7"/>
        <v>9.9999999999999997E+98</v>
      </c>
    </row>
    <row r="133" spans="1:8" x14ac:dyDescent="0.3">
      <c r="A133" s="42" t="str">
        <f>'TO HOP NLAN'!A133</f>
        <v/>
      </c>
      <c r="B133" s="42" t="str">
        <f>'TO HOP NLAN'!L133</f>
        <v>STRENGTH</v>
      </c>
      <c r="C133" s="58">
        <f>IF(A133="",0,MAX(IF('TS-PILE'!$B$72="",-1E+99,'TO HOP NLAN'!D133/ncoc+IF(SUMSQ('TS-PILE'!$E$72:$E$91)=0,0,'TO HOP NLAN'!E133*'TS-PILE'!$E$72/SUMSQ('TS-PILE'!$E$72:$E$91))+IF(SUMSQ('TS-PILE'!$D$72:$D$91)=0,0,'TO HOP NLAN'!F133*'TS-PILE'!$D$72/SUMSQ('TS-PILE'!$D$72:$D$91))),IF('TS-PILE'!$B$73="",-1E+99,'TO HOP NLAN'!D133/ncoc+IF(SUMSQ('TS-PILE'!$E$72:$E$91)=0,0,'TO HOP NLAN'!E133*'TS-PILE'!$E$73/SUMSQ('TS-PILE'!$E$72:$E$91))+IF(SUMSQ('TS-PILE'!$D$72:$D$91)=0,0,'TO HOP NLAN'!F133*'TS-PILE'!$D$73/SUMSQ('TS-PILE'!$D$72:$D$91))),IF('TS-PILE'!$B$74="",-1E+99,'TO HOP NLAN'!D133/ncoc+IF(SUMSQ('TS-PILE'!$E$72:$E$91)=0,0,'TO HOP NLAN'!E133*'TS-PILE'!$E$74/SUMSQ('TS-PILE'!$E$72:$E$91))+IF(SUMSQ('TS-PILE'!$D$72:$D$91)=0,0,'TO HOP NLAN'!F133*'TS-PILE'!$D$74/SUMSQ('TS-PILE'!$D$72:$D$91))),IF('TS-PILE'!$B$75="",-1E+99,'TO HOP NLAN'!D133/ncoc+IF(SUMSQ('TS-PILE'!$E$72:$E$91)=0,0,'TO HOP NLAN'!E133*'TS-PILE'!$E$75/SUMSQ('TS-PILE'!$E$72:$E$91))+IF(SUMSQ('TS-PILE'!$D$72:$D$91)=0,0,'TO HOP NLAN'!F133*'TS-PILE'!$D$75/SUMSQ('TS-PILE'!$D$72:$D$91))),IF('TS-PILE'!$B$76="",-1E+99,'TO HOP NLAN'!D133/ncoc+IF(SUMSQ('TS-PILE'!$E$72:$E$91)=0,0,'TO HOP NLAN'!E133*'TS-PILE'!$E$76/SUMSQ('TS-PILE'!$E$72:$E$91))+IF(SUMSQ('TS-PILE'!$D$72:$D$91)=0,0,'TO HOP NLAN'!F133*'TS-PILE'!$D$76/SUMSQ('TS-PILE'!$D$72:$D$91))),IF('TS-PILE'!$B$77="",-1E+99,'TO HOP NLAN'!D133/ncoc+IF(SUMSQ('TS-PILE'!$E$72:$E$91)=0,0,'TO HOP NLAN'!E133*'TS-PILE'!$E$77/SUMSQ('TS-PILE'!$E$72:$E$91))+IF(SUMSQ('TS-PILE'!$D$72:$D$91)=0,0,'TO HOP NLAN'!F133*'TS-PILE'!$D$77/SUMSQ('TS-PILE'!$D$72:$D$91))),IF('TS-PILE'!$B$78="",-1E+99,'TO HOP NLAN'!D133/ncoc+IF(SUMSQ('TS-PILE'!$E$72:$E$91)=0,0,'TO HOP NLAN'!E133*'TS-PILE'!$E$78/SUMSQ('TS-PILE'!$E$72:$E$91))+IF(SUMSQ('TS-PILE'!$D$72:$D$91)=0,0,'TO HOP NLAN'!F133*'TS-PILE'!$D$78/SUMSQ('TS-PILE'!$D$72:$D$91))),IF('TS-PILE'!$B$79="",-1E+99,'TO HOP NLAN'!D133/ncoc+IF(SUMSQ('TS-PILE'!$E$72:$E$91)=0,0,'TO HOP NLAN'!E133*'TS-PILE'!$E$79/SUMSQ('TS-PILE'!$E$72:$E$91))+IF(SUMSQ('TS-PILE'!$D$72:$D$91)=0,0,'TO HOP NLAN'!F133*'TS-PILE'!$D$79/SUMSQ('TS-PILE'!$D$72:$D$91))),IF('TS-PILE'!$B$80="",-1E+99,'TO HOP NLAN'!D133/ncoc+IF(SUMSQ('TS-PILE'!$E$72:$E$91)=0,0,'TO HOP NLAN'!E133*'TS-PILE'!$E$80/SUMSQ('TS-PILE'!$E$72:$E$91))+IF(SUMSQ('TS-PILE'!$D$72:$D$91)=0,0,'TO HOP NLAN'!F133*'TS-PILE'!$D$80/SUMSQ('TS-PILE'!$D$72:$D$91))),IF('TS-PILE'!$B$81="",-1E+99,'TO HOP NLAN'!D133/ncoc+IF(SUMSQ('TS-PILE'!$E$72:$E$91)=0,0,'TO HOP NLAN'!E133*'TS-PILE'!$E$81/SUMSQ('TS-PILE'!$E$72:$E$91))+IF(SUMSQ('TS-PILE'!$D$72:$D$91)=0,0,'TO HOP NLAN'!F133*'TS-PILE'!$D$81/SUMSQ('TS-PILE'!$D$72:$D$91))),IF('TS-PILE'!$B$82="",-1E+99,'TO HOP NLAN'!D133/ncoc+IF(SUMSQ('TS-PILE'!$E$72:$E$91)=0,0,'TO HOP NLAN'!E133*'TS-PILE'!$E$82/SUMSQ('TS-PILE'!$E$72:$E$91))+IF(SUMSQ('TS-PILE'!$D$72:$D$91)=0,0,'TO HOP NLAN'!F133*'TS-PILE'!$D$82/SUMSQ('TS-PILE'!$D$72:$D$91))),IF('TS-PILE'!$B$83="",-1E+99,'TO HOP NLAN'!D133/ncoc+IF(SUMSQ('TS-PILE'!$E$72:$E$91)=0,0,'TO HOP NLAN'!E133*'TS-PILE'!$E$83/SUMSQ('TS-PILE'!$E$72:$E$91))+IF(SUMSQ('TS-PILE'!$D$72:$D$91)=0,0,'TO HOP NLAN'!F133*'TS-PILE'!$D$83/SUMSQ('TS-PILE'!$D$72:$D$91))),IF('TS-PILE'!$B$84="",-1E+99,'TO HOP NLAN'!D133/ncoc+IF(SUMSQ('TS-PILE'!$E$72:$E$91)=0,0,'TO HOP NLAN'!E133*'TS-PILE'!$E$84/SUMSQ('TS-PILE'!$E$72:$E$91))+IF(SUMSQ('TS-PILE'!$D$72:$D$91)=0,0,'TO HOP NLAN'!F133*'TS-PILE'!$D$84/SUMSQ('TS-PILE'!$D$72:$D$91))),IF('TS-PILE'!$B$85="",-1E+99,'TO HOP NLAN'!D133/ncoc+IF(SUMSQ('TS-PILE'!$E$72:$E$91)=0,0,'TO HOP NLAN'!E133*'TS-PILE'!$E$85/SUMSQ('TS-PILE'!$E$72:$E$91))+IF(SUMSQ('TS-PILE'!$D$72:$D$91)=0,0,'TO HOP NLAN'!F133*'TS-PILE'!$D$85/SUMSQ('TS-PILE'!$D$72:$D$91))),IF('TS-PILE'!$B$86="",-1E+99,'TO HOP NLAN'!D133/ncoc+IF(SUMSQ('TS-PILE'!$E$72:$E$91)=0,0,'TO HOP NLAN'!E133*'TS-PILE'!$E$86/SUMSQ('TS-PILE'!$E$72:$E$91))+IF(SUMSQ('TS-PILE'!$D$72:$D$91)=0,0,'TO HOP NLAN'!F133*'TS-PILE'!$D$86/SUMSQ('TS-PILE'!$D$72:$D$91))),IF('TS-PILE'!$B$87="",-1E+99,'TO HOP NLAN'!D133/ncoc+IF(SUMSQ('TS-PILE'!$E$72:$E$91)=0,0,'TO HOP NLAN'!E133*'TS-PILE'!$E$87/SUMSQ('TS-PILE'!$E$72:$E$91))+IF(SUMSQ('TS-PILE'!$D$72:$D$91)=0,0,'TO HOP NLAN'!F133*'TS-PILE'!$D$87/SUMSQ('TS-PILE'!$D$72:$D$91))),IF('TS-PILE'!$B$88="",-1E+99,'TO HOP NLAN'!D133/ncoc+IF(SUMSQ('TS-PILE'!$E$72:$E$91)=0,0,'TO HOP NLAN'!E133*'TS-PILE'!$E$88/SUMSQ('TS-PILE'!$E$72:$E$91))+IF(SUMSQ('TS-PILE'!$D$72:$D$91)=0,0,'TO HOP NLAN'!F133*'TS-PILE'!$D$88/SUMSQ('TS-PILE'!$D$72:$D$91))),IF('TS-PILE'!$B$89="",-1E+99,'TO HOP NLAN'!D133/ncoc+IF(SUMSQ('TS-PILE'!$E$72:$E$91)=0,0,'TO HOP NLAN'!E133*'TS-PILE'!$E$89/SUMSQ('TS-PILE'!$E$72:$E$91))+IF(SUMSQ('TS-PILE'!$D$72:$D$91)=0,0,'TO HOP NLAN'!F133*'TS-PILE'!$D$89/SUMSQ('TS-PILE'!$D$72:$D$91))),IF('TS-PILE'!$B$90="",-1E+99,'TO HOP NLAN'!D133/ncoc+IF(SUMSQ('TS-PILE'!$E$72:$E$91)=0,0,'TO HOP NLAN'!E133*'TS-PILE'!$E$90/SUMSQ('TS-PILE'!$E$72:$E$91))+IF(SUMSQ('TS-PILE'!$D$72:$D$91)=0,0,'TO HOP NLAN'!F133*'TS-PILE'!$D$90/SUMSQ('TS-PILE'!$D$72:$D$91))),IF('TS-PILE'!$B$91="",-1E+99,'TO HOP NLAN'!D133/ncoc+IF(SUMSQ('TS-PILE'!$E$72:$E$91)=0,0,'TO HOP NLAN'!E133*'TS-PILE'!$E$91/SUMSQ('TS-PILE'!$E$72:$E$91))+IF(SUMSQ('TS-PILE'!$D$72:$D$91)=0,0,'TO HOP NLAN'!F133*'TS-PILE'!$D$91/SUMSQ('TS-PILE'!$D$72:$D$91)))))</f>
        <v>0</v>
      </c>
      <c r="D133" s="58">
        <f>IF(A133="",0,MIN(IF('TS-PILE'!$B$72="",1E+99,'TO HOP NLAN'!D133/ncoc+IF(SUMSQ('TS-PILE'!$E$72:$E$91)=0,0,'TO HOP NLAN'!E133*'TS-PILE'!$E$72/SUMSQ('TS-PILE'!$E$72:$E$91))+IF(SUMSQ('TS-PILE'!$D$72:$D$91)=0,0,'TO HOP NLAN'!F133*'TS-PILE'!$D$72/SUMSQ('TS-PILE'!$D$72:$D$91))),IF('TS-PILE'!$B$73="",1E+99,'TO HOP NLAN'!D133/ncoc+IF(SUMSQ('TS-PILE'!$E$72:$E$91)=0,0,'TO HOP NLAN'!E133*'TS-PILE'!$E$73/SUMSQ('TS-PILE'!$E$72:$E$91))+IF(SUMSQ('TS-PILE'!$D$72:$D$91)=0,0,'TO HOP NLAN'!F133*'TS-PILE'!$D$73/SUMSQ('TS-PILE'!$D$72:$D$91))),IF('TS-PILE'!$B$74="",1E+99,'TO HOP NLAN'!D133/ncoc+IF(SUMSQ('TS-PILE'!$E$72:$E$91)=0,0,'TO HOP NLAN'!E133*'TS-PILE'!$E$74/SUMSQ('TS-PILE'!$E$72:$E$91))+IF(SUMSQ('TS-PILE'!$D$72:$D$91)=0,0,'TO HOP NLAN'!F133*'TS-PILE'!$D$74/SUMSQ('TS-PILE'!$D$72:$D$91))),IF('TS-PILE'!$B$75="",1E+99,'TO HOP NLAN'!D133/ncoc+IF(SUMSQ('TS-PILE'!$E$72:$E$91)=0,0,'TO HOP NLAN'!E133*'TS-PILE'!$E$75/SUMSQ('TS-PILE'!$E$72:$E$91))+IF(SUMSQ('TS-PILE'!$D$72:$D$91)=0,0,'TO HOP NLAN'!F133*'TS-PILE'!$D$75/SUMSQ('TS-PILE'!$D$72:$D$91))),IF('TS-PILE'!$B$76="",1E+99,'TO HOP NLAN'!D133/ncoc+IF(SUMSQ('TS-PILE'!$E$72:$E$91)=0,0,'TO HOP NLAN'!E133*'TS-PILE'!$E$76/SUMSQ('TS-PILE'!$E$72:$E$91))+IF(SUMSQ('TS-PILE'!$D$72:$D$91)=0,0,'TO HOP NLAN'!F133*'TS-PILE'!$D$76/SUMSQ('TS-PILE'!$D$72:$D$91))),IF('TS-PILE'!$B$77="",1E+99,'TO HOP NLAN'!D133/ncoc+IF(SUMSQ('TS-PILE'!$E$72:$E$91)=0,0,'TO HOP NLAN'!E133*'TS-PILE'!$E$77/SUMSQ('TS-PILE'!$E$72:$E$91))+IF(SUMSQ('TS-PILE'!$D$72:$D$91)=0,0,'TO HOP NLAN'!F133*'TS-PILE'!$D$77/SUMSQ('TS-PILE'!$D$72:$D$91))),IF('TS-PILE'!$B$78="",1E+99,'TO HOP NLAN'!D133/ncoc+IF(SUMSQ('TS-PILE'!$E$72:$E$91)=0,0,'TO HOP NLAN'!E133*'TS-PILE'!$E$78/SUMSQ('TS-PILE'!$E$72:$E$91))+IF(SUMSQ('TS-PILE'!$D$72:$D$91)=0,0,'TO HOP NLAN'!F133*'TS-PILE'!$D$78/SUMSQ('TS-PILE'!$D$72:$D$91))),IF('TS-PILE'!$B$79="",1E+99,'TO HOP NLAN'!D133/ncoc+IF(SUMSQ('TS-PILE'!$E$72:$E$91)=0,0,'TO HOP NLAN'!E133*'TS-PILE'!$E$79/SUMSQ('TS-PILE'!$E$72:$E$91))+IF(SUMSQ('TS-PILE'!$D$72:$D$91)=0,0,'TO HOP NLAN'!F133*'TS-PILE'!$D$79/SUMSQ('TS-PILE'!$D$72:$D$91))),IF('TS-PILE'!$B$80="",1E+99,'TO HOP NLAN'!D133/ncoc+IF(SUMSQ('TS-PILE'!$E$72:$E$91)=0,0,'TO HOP NLAN'!E133*'TS-PILE'!$E$80/SUMSQ('TS-PILE'!$E$72:$E$91))+IF(SUMSQ('TS-PILE'!$D$72:$D$91)=0,0,'TO HOP NLAN'!F133*'TS-PILE'!$D$80/SUMSQ('TS-PILE'!$D$72:$D$91))),IF('TS-PILE'!$B$81="",1E+99,'TO HOP NLAN'!D133/ncoc+IF(SUMSQ('TS-PILE'!$E$72:$E$91)=0,0,'TO HOP NLAN'!E133*'TS-PILE'!$E$81/SUMSQ('TS-PILE'!$E$72:$E$91))+IF(SUMSQ('TS-PILE'!$D$72:$D$91)=0,0,'TO HOP NLAN'!F133*'TS-PILE'!$D$81/SUMSQ('TS-PILE'!$D$72:$D$91))),IF('TS-PILE'!$B$82="",1E+99,'TO HOP NLAN'!D133/ncoc+IF(SUMSQ('TS-PILE'!$E$72:$E$91)=0,0,'TO HOP NLAN'!E133*'TS-PILE'!$E$82/SUMSQ('TS-PILE'!$E$72:$E$91))+IF(SUMSQ('TS-PILE'!$D$72:$D$91)=0,0,'TO HOP NLAN'!F133*'TS-PILE'!$D$82/SUMSQ('TS-PILE'!$D$72:$D$91))),IF('TS-PILE'!$B$83="",1E+99,'TO HOP NLAN'!D133/ncoc+IF(SUMSQ('TS-PILE'!$E$72:$E$91)=0,0,'TO HOP NLAN'!E133*'TS-PILE'!$E$83/SUMSQ('TS-PILE'!$E$72:$E$91))+IF(SUMSQ('TS-PILE'!$D$72:$D$91)=0,0,'TO HOP NLAN'!F133*'TS-PILE'!$D$83/SUMSQ('TS-PILE'!$D$72:$D$91))),IF('TS-PILE'!$B$84="",1E+99,'TO HOP NLAN'!D133/ncoc+IF(SUMSQ('TS-PILE'!$E$72:$E$91)=0,0,'TO HOP NLAN'!E133*'TS-PILE'!$E$84/SUMSQ('TS-PILE'!$E$72:$E$91))+IF(SUMSQ('TS-PILE'!$D$72:$D$91)=0,0,'TO HOP NLAN'!F133*'TS-PILE'!$D$84/SUMSQ('TS-PILE'!$D$72:$D$91))),IF('TS-PILE'!$B$85="",1E+99,'TO HOP NLAN'!D133/ncoc+IF(SUMSQ('TS-PILE'!$E$72:$E$91)=0,0,'TO HOP NLAN'!E133*'TS-PILE'!$E$85/SUMSQ('TS-PILE'!$E$72:$E$91))+IF(SUMSQ('TS-PILE'!$D$72:$D$91)=0,0,'TO HOP NLAN'!F133*'TS-PILE'!$D$85/SUMSQ('TS-PILE'!$D$72:$D$91))),IF('TS-PILE'!$B$86="",1E+99,'TO HOP NLAN'!D133/ncoc+IF(SUMSQ('TS-PILE'!$E$72:$E$91)=0,0,'TO HOP NLAN'!E133*'TS-PILE'!$E$86/SUMSQ('TS-PILE'!$E$72:$E$91))+IF(SUMSQ('TS-PILE'!$D$72:$D$91)=0,0,'TO HOP NLAN'!F133*'TS-PILE'!$D$86/SUMSQ('TS-PILE'!$D$72:$D$91))),IF('TS-PILE'!$B$87="",1E+99,'TO HOP NLAN'!D133/ncoc+IF(SUMSQ('TS-PILE'!$E$72:$E$91)=0,0,'TO HOP NLAN'!E133*'TS-PILE'!$E$87/SUMSQ('TS-PILE'!$E$72:$E$91))+IF(SUMSQ('TS-PILE'!$D$72:$D$91)=0,0,'TO HOP NLAN'!F133*'TS-PILE'!$D$87/SUMSQ('TS-PILE'!$D$72:$D$91))),IF('TS-PILE'!$B$88="",1E+99,'TO HOP NLAN'!D133/ncoc+IF(SUMSQ('TS-PILE'!$E$72:$E$91)=0,0,'TO HOP NLAN'!E133*'TS-PILE'!$E$88/SUMSQ('TS-PILE'!$E$72:$E$91))+IF(SUMSQ('TS-PILE'!$D$72:$D$91)=0,0,'TO HOP NLAN'!F133*'TS-PILE'!$D$88/SUMSQ('TS-PILE'!$D$72:$D$91))),IF('TS-PILE'!$B$89="",1E+99,'TO HOP NLAN'!D133/ncoc+IF(SUMSQ('TS-PILE'!$E$72:$E$91)=0,0,'TO HOP NLAN'!E133*'TS-PILE'!$E$89/SUMSQ('TS-PILE'!$E$72:$E$91))+IF(SUMSQ('TS-PILE'!$D$72:$D$91)=0,0,'TO HOP NLAN'!F133*'TS-PILE'!$D$89/SUMSQ('TS-PILE'!$D$72:$D$91))),IF('TS-PILE'!$B$90="",1E+99,'TO HOP NLAN'!D133/ncoc+IF(SUMSQ('TS-PILE'!$E$72:$E$91)=0,0,'TO HOP NLAN'!E133*'TS-PILE'!$E$90/SUMSQ('TS-PILE'!$E$72:$E$91))+IF(SUMSQ('TS-PILE'!$D$72:$D$91)=0,0,'TO HOP NLAN'!F133*'TS-PILE'!$D$90/SUMSQ('TS-PILE'!$D$72:$D$91))),IF('TS-PILE'!$B$91="",1E+99,'TO HOP NLAN'!D133/ncoc+IF(SUMSQ('TS-PILE'!$E$72:$E$91)=0,0,'TO HOP NLAN'!E133*'TS-PILE'!$E$91/SUMSQ('TS-PILE'!$E$72:$E$91))+IF(SUMSQ('TS-PILE'!$D$72:$D$91)=0,0,'TO HOP NLAN'!F133*'TS-PILE'!$D$91/SUMSQ('TS-PILE'!$D$72:$D$91)))))</f>
        <v>0</v>
      </c>
      <c r="E133" s="58">
        <f t="shared" si="4"/>
        <v>-9.9999999999999997E+98</v>
      </c>
      <c r="F133" s="58">
        <f t="shared" si="5"/>
        <v>9.9999999999999997E+98</v>
      </c>
      <c r="G133" s="58">
        <f t="shared" si="6"/>
        <v>-9.9999999999999997E+98</v>
      </c>
      <c r="H133" s="58">
        <f t="shared" si="7"/>
        <v>9.9999999999999997E+98</v>
      </c>
    </row>
    <row r="134" spans="1:8" x14ac:dyDescent="0.3">
      <c r="A134" s="42" t="str">
        <f>'TO HOP NLAN'!A134</f>
        <v/>
      </c>
      <c r="B134" s="42" t="str">
        <f>'TO HOP NLAN'!L134</f>
        <v>STRENGTH</v>
      </c>
      <c r="C134" s="58">
        <f>IF(A134="",0,MAX(IF('TS-PILE'!$B$72="",-1E+99,'TO HOP NLAN'!D134/ncoc+IF(SUMSQ('TS-PILE'!$E$72:$E$91)=0,0,'TO HOP NLAN'!E134*'TS-PILE'!$E$72/SUMSQ('TS-PILE'!$E$72:$E$91))+IF(SUMSQ('TS-PILE'!$D$72:$D$91)=0,0,'TO HOP NLAN'!F134*'TS-PILE'!$D$72/SUMSQ('TS-PILE'!$D$72:$D$91))),IF('TS-PILE'!$B$73="",-1E+99,'TO HOP NLAN'!D134/ncoc+IF(SUMSQ('TS-PILE'!$E$72:$E$91)=0,0,'TO HOP NLAN'!E134*'TS-PILE'!$E$73/SUMSQ('TS-PILE'!$E$72:$E$91))+IF(SUMSQ('TS-PILE'!$D$72:$D$91)=0,0,'TO HOP NLAN'!F134*'TS-PILE'!$D$73/SUMSQ('TS-PILE'!$D$72:$D$91))),IF('TS-PILE'!$B$74="",-1E+99,'TO HOP NLAN'!D134/ncoc+IF(SUMSQ('TS-PILE'!$E$72:$E$91)=0,0,'TO HOP NLAN'!E134*'TS-PILE'!$E$74/SUMSQ('TS-PILE'!$E$72:$E$91))+IF(SUMSQ('TS-PILE'!$D$72:$D$91)=0,0,'TO HOP NLAN'!F134*'TS-PILE'!$D$74/SUMSQ('TS-PILE'!$D$72:$D$91))),IF('TS-PILE'!$B$75="",-1E+99,'TO HOP NLAN'!D134/ncoc+IF(SUMSQ('TS-PILE'!$E$72:$E$91)=0,0,'TO HOP NLAN'!E134*'TS-PILE'!$E$75/SUMSQ('TS-PILE'!$E$72:$E$91))+IF(SUMSQ('TS-PILE'!$D$72:$D$91)=0,0,'TO HOP NLAN'!F134*'TS-PILE'!$D$75/SUMSQ('TS-PILE'!$D$72:$D$91))),IF('TS-PILE'!$B$76="",-1E+99,'TO HOP NLAN'!D134/ncoc+IF(SUMSQ('TS-PILE'!$E$72:$E$91)=0,0,'TO HOP NLAN'!E134*'TS-PILE'!$E$76/SUMSQ('TS-PILE'!$E$72:$E$91))+IF(SUMSQ('TS-PILE'!$D$72:$D$91)=0,0,'TO HOP NLAN'!F134*'TS-PILE'!$D$76/SUMSQ('TS-PILE'!$D$72:$D$91))),IF('TS-PILE'!$B$77="",-1E+99,'TO HOP NLAN'!D134/ncoc+IF(SUMSQ('TS-PILE'!$E$72:$E$91)=0,0,'TO HOP NLAN'!E134*'TS-PILE'!$E$77/SUMSQ('TS-PILE'!$E$72:$E$91))+IF(SUMSQ('TS-PILE'!$D$72:$D$91)=0,0,'TO HOP NLAN'!F134*'TS-PILE'!$D$77/SUMSQ('TS-PILE'!$D$72:$D$91))),IF('TS-PILE'!$B$78="",-1E+99,'TO HOP NLAN'!D134/ncoc+IF(SUMSQ('TS-PILE'!$E$72:$E$91)=0,0,'TO HOP NLAN'!E134*'TS-PILE'!$E$78/SUMSQ('TS-PILE'!$E$72:$E$91))+IF(SUMSQ('TS-PILE'!$D$72:$D$91)=0,0,'TO HOP NLAN'!F134*'TS-PILE'!$D$78/SUMSQ('TS-PILE'!$D$72:$D$91))),IF('TS-PILE'!$B$79="",-1E+99,'TO HOP NLAN'!D134/ncoc+IF(SUMSQ('TS-PILE'!$E$72:$E$91)=0,0,'TO HOP NLAN'!E134*'TS-PILE'!$E$79/SUMSQ('TS-PILE'!$E$72:$E$91))+IF(SUMSQ('TS-PILE'!$D$72:$D$91)=0,0,'TO HOP NLAN'!F134*'TS-PILE'!$D$79/SUMSQ('TS-PILE'!$D$72:$D$91))),IF('TS-PILE'!$B$80="",-1E+99,'TO HOP NLAN'!D134/ncoc+IF(SUMSQ('TS-PILE'!$E$72:$E$91)=0,0,'TO HOP NLAN'!E134*'TS-PILE'!$E$80/SUMSQ('TS-PILE'!$E$72:$E$91))+IF(SUMSQ('TS-PILE'!$D$72:$D$91)=0,0,'TO HOP NLAN'!F134*'TS-PILE'!$D$80/SUMSQ('TS-PILE'!$D$72:$D$91))),IF('TS-PILE'!$B$81="",-1E+99,'TO HOP NLAN'!D134/ncoc+IF(SUMSQ('TS-PILE'!$E$72:$E$91)=0,0,'TO HOP NLAN'!E134*'TS-PILE'!$E$81/SUMSQ('TS-PILE'!$E$72:$E$91))+IF(SUMSQ('TS-PILE'!$D$72:$D$91)=0,0,'TO HOP NLAN'!F134*'TS-PILE'!$D$81/SUMSQ('TS-PILE'!$D$72:$D$91))),IF('TS-PILE'!$B$82="",-1E+99,'TO HOP NLAN'!D134/ncoc+IF(SUMSQ('TS-PILE'!$E$72:$E$91)=0,0,'TO HOP NLAN'!E134*'TS-PILE'!$E$82/SUMSQ('TS-PILE'!$E$72:$E$91))+IF(SUMSQ('TS-PILE'!$D$72:$D$91)=0,0,'TO HOP NLAN'!F134*'TS-PILE'!$D$82/SUMSQ('TS-PILE'!$D$72:$D$91))),IF('TS-PILE'!$B$83="",-1E+99,'TO HOP NLAN'!D134/ncoc+IF(SUMSQ('TS-PILE'!$E$72:$E$91)=0,0,'TO HOP NLAN'!E134*'TS-PILE'!$E$83/SUMSQ('TS-PILE'!$E$72:$E$91))+IF(SUMSQ('TS-PILE'!$D$72:$D$91)=0,0,'TO HOP NLAN'!F134*'TS-PILE'!$D$83/SUMSQ('TS-PILE'!$D$72:$D$91))),IF('TS-PILE'!$B$84="",-1E+99,'TO HOP NLAN'!D134/ncoc+IF(SUMSQ('TS-PILE'!$E$72:$E$91)=0,0,'TO HOP NLAN'!E134*'TS-PILE'!$E$84/SUMSQ('TS-PILE'!$E$72:$E$91))+IF(SUMSQ('TS-PILE'!$D$72:$D$91)=0,0,'TO HOP NLAN'!F134*'TS-PILE'!$D$84/SUMSQ('TS-PILE'!$D$72:$D$91))),IF('TS-PILE'!$B$85="",-1E+99,'TO HOP NLAN'!D134/ncoc+IF(SUMSQ('TS-PILE'!$E$72:$E$91)=0,0,'TO HOP NLAN'!E134*'TS-PILE'!$E$85/SUMSQ('TS-PILE'!$E$72:$E$91))+IF(SUMSQ('TS-PILE'!$D$72:$D$91)=0,0,'TO HOP NLAN'!F134*'TS-PILE'!$D$85/SUMSQ('TS-PILE'!$D$72:$D$91))),IF('TS-PILE'!$B$86="",-1E+99,'TO HOP NLAN'!D134/ncoc+IF(SUMSQ('TS-PILE'!$E$72:$E$91)=0,0,'TO HOP NLAN'!E134*'TS-PILE'!$E$86/SUMSQ('TS-PILE'!$E$72:$E$91))+IF(SUMSQ('TS-PILE'!$D$72:$D$91)=0,0,'TO HOP NLAN'!F134*'TS-PILE'!$D$86/SUMSQ('TS-PILE'!$D$72:$D$91))),IF('TS-PILE'!$B$87="",-1E+99,'TO HOP NLAN'!D134/ncoc+IF(SUMSQ('TS-PILE'!$E$72:$E$91)=0,0,'TO HOP NLAN'!E134*'TS-PILE'!$E$87/SUMSQ('TS-PILE'!$E$72:$E$91))+IF(SUMSQ('TS-PILE'!$D$72:$D$91)=0,0,'TO HOP NLAN'!F134*'TS-PILE'!$D$87/SUMSQ('TS-PILE'!$D$72:$D$91))),IF('TS-PILE'!$B$88="",-1E+99,'TO HOP NLAN'!D134/ncoc+IF(SUMSQ('TS-PILE'!$E$72:$E$91)=0,0,'TO HOP NLAN'!E134*'TS-PILE'!$E$88/SUMSQ('TS-PILE'!$E$72:$E$91))+IF(SUMSQ('TS-PILE'!$D$72:$D$91)=0,0,'TO HOP NLAN'!F134*'TS-PILE'!$D$88/SUMSQ('TS-PILE'!$D$72:$D$91))),IF('TS-PILE'!$B$89="",-1E+99,'TO HOP NLAN'!D134/ncoc+IF(SUMSQ('TS-PILE'!$E$72:$E$91)=0,0,'TO HOP NLAN'!E134*'TS-PILE'!$E$89/SUMSQ('TS-PILE'!$E$72:$E$91))+IF(SUMSQ('TS-PILE'!$D$72:$D$91)=0,0,'TO HOP NLAN'!F134*'TS-PILE'!$D$89/SUMSQ('TS-PILE'!$D$72:$D$91))),IF('TS-PILE'!$B$90="",-1E+99,'TO HOP NLAN'!D134/ncoc+IF(SUMSQ('TS-PILE'!$E$72:$E$91)=0,0,'TO HOP NLAN'!E134*'TS-PILE'!$E$90/SUMSQ('TS-PILE'!$E$72:$E$91))+IF(SUMSQ('TS-PILE'!$D$72:$D$91)=0,0,'TO HOP NLAN'!F134*'TS-PILE'!$D$90/SUMSQ('TS-PILE'!$D$72:$D$91))),IF('TS-PILE'!$B$91="",-1E+99,'TO HOP NLAN'!D134/ncoc+IF(SUMSQ('TS-PILE'!$E$72:$E$91)=0,0,'TO HOP NLAN'!E134*'TS-PILE'!$E$91/SUMSQ('TS-PILE'!$E$72:$E$91))+IF(SUMSQ('TS-PILE'!$D$72:$D$91)=0,0,'TO HOP NLAN'!F134*'TS-PILE'!$D$91/SUMSQ('TS-PILE'!$D$72:$D$91)))))</f>
        <v>0</v>
      </c>
      <c r="D134" s="58">
        <f>IF(A134="",0,MIN(IF('TS-PILE'!$B$72="",1E+99,'TO HOP NLAN'!D134/ncoc+IF(SUMSQ('TS-PILE'!$E$72:$E$91)=0,0,'TO HOP NLAN'!E134*'TS-PILE'!$E$72/SUMSQ('TS-PILE'!$E$72:$E$91))+IF(SUMSQ('TS-PILE'!$D$72:$D$91)=0,0,'TO HOP NLAN'!F134*'TS-PILE'!$D$72/SUMSQ('TS-PILE'!$D$72:$D$91))),IF('TS-PILE'!$B$73="",1E+99,'TO HOP NLAN'!D134/ncoc+IF(SUMSQ('TS-PILE'!$E$72:$E$91)=0,0,'TO HOP NLAN'!E134*'TS-PILE'!$E$73/SUMSQ('TS-PILE'!$E$72:$E$91))+IF(SUMSQ('TS-PILE'!$D$72:$D$91)=0,0,'TO HOP NLAN'!F134*'TS-PILE'!$D$73/SUMSQ('TS-PILE'!$D$72:$D$91))),IF('TS-PILE'!$B$74="",1E+99,'TO HOP NLAN'!D134/ncoc+IF(SUMSQ('TS-PILE'!$E$72:$E$91)=0,0,'TO HOP NLAN'!E134*'TS-PILE'!$E$74/SUMSQ('TS-PILE'!$E$72:$E$91))+IF(SUMSQ('TS-PILE'!$D$72:$D$91)=0,0,'TO HOP NLAN'!F134*'TS-PILE'!$D$74/SUMSQ('TS-PILE'!$D$72:$D$91))),IF('TS-PILE'!$B$75="",1E+99,'TO HOP NLAN'!D134/ncoc+IF(SUMSQ('TS-PILE'!$E$72:$E$91)=0,0,'TO HOP NLAN'!E134*'TS-PILE'!$E$75/SUMSQ('TS-PILE'!$E$72:$E$91))+IF(SUMSQ('TS-PILE'!$D$72:$D$91)=0,0,'TO HOP NLAN'!F134*'TS-PILE'!$D$75/SUMSQ('TS-PILE'!$D$72:$D$91))),IF('TS-PILE'!$B$76="",1E+99,'TO HOP NLAN'!D134/ncoc+IF(SUMSQ('TS-PILE'!$E$72:$E$91)=0,0,'TO HOP NLAN'!E134*'TS-PILE'!$E$76/SUMSQ('TS-PILE'!$E$72:$E$91))+IF(SUMSQ('TS-PILE'!$D$72:$D$91)=0,0,'TO HOP NLAN'!F134*'TS-PILE'!$D$76/SUMSQ('TS-PILE'!$D$72:$D$91))),IF('TS-PILE'!$B$77="",1E+99,'TO HOP NLAN'!D134/ncoc+IF(SUMSQ('TS-PILE'!$E$72:$E$91)=0,0,'TO HOP NLAN'!E134*'TS-PILE'!$E$77/SUMSQ('TS-PILE'!$E$72:$E$91))+IF(SUMSQ('TS-PILE'!$D$72:$D$91)=0,0,'TO HOP NLAN'!F134*'TS-PILE'!$D$77/SUMSQ('TS-PILE'!$D$72:$D$91))),IF('TS-PILE'!$B$78="",1E+99,'TO HOP NLAN'!D134/ncoc+IF(SUMSQ('TS-PILE'!$E$72:$E$91)=0,0,'TO HOP NLAN'!E134*'TS-PILE'!$E$78/SUMSQ('TS-PILE'!$E$72:$E$91))+IF(SUMSQ('TS-PILE'!$D$72:$D$91)=0,0,'TO HOP NLAN'!F134*'TS-PILE'!$D$78/SUMSQ('TS-PILE'!$D$72:$D$91))),IF('TS-PILE'!$B$79="",1E+99,'TO HOP NLAN'!D134/ncoc+IF(SUMSQ('TS-PILE'!$E$72:$E$91)=0,0,'TO HOP NLAN'!E134*'TS-PILE'!$E$79/SUMSQ('TS-PILE'!$E$72:$E$91))+IF(SUMSQ('TS-PILE'!$D$72:$D$91)=0,0,'TO HOP NLAN'!F134*'TS-PILE'!$D$79/SUMSQ('TS-PILE'!$D$72:$D$91))),IF('TS-PILE'!$B$80="",1E+99,'TO HOP NLAN'!D134/ncoc+IF(SUMSQ('TS-PILE'!$E$72:$E$91)=0,0,'TO HOP NLAN'!E134*'TS-PILE'!$E$80/SUMSQ('TS-PILE'!$E$72:$E$91))+IF(SUMSQ('TS-PILE'!$D$72:$D$91)=0,0,'TO HOP NLAN'!F134*'TS-PILE'!$D$80/SUMSQ('TS-PILE'!$D$72:$D$91))),IF('TS-PILE'!$B$81="",1E+99,'TO HOP NLAN'!D134/ncoc+IF(SUMSQ('TS-PILE'!$E$72:$E$91)=0,0,'TO HOP NLAN'!E134*'TS-PILE'!$E$81/SUMSQ('TS-PILE'!$E$72:$E$91))+IF(SUMSQ('TS-PILE'!$D$72:$D$91)=0,0,'TO HOP NLAN'!F134*'TS-PILE'!$D$81/SUMSQ('TS-PILE'!$D$72:$D$91))),IF('TS-PILE'!$B$82="",1E+99,'TO HOP NLAN'!D134/ncoc+IF(SUMSQ('TS-PILE'!$E$72:$E$91)=0,0,'TO HOP NLAN'!E134*'TS-PILE'!$E$82/SUMSQ('TS-PILE'!$E$72:$E$91))+IF(SUMSQ('TS-PILE'!$D$72:$D$91)=0,0,'TO HOP NLAN'!F134*'TS-PILE'!$D$82/SUMSQ('TS-PILE'!$D$72:$D$91))),IF('TS-PILE'!$B$83="",1E+99,'TO HOP NLAN'!D134/ncoc+IF(SUMSQ('TS-PILE'!$E$72:$E$91)=0,0,'TO HOP NLAN'!E134*'TS-PILE'!$E$83/SUMSQ('TS-PILE'!$E$72:$E$91))+IF(SUMSQ('TS-PILE'!$D$72:$D$91)=0,0,'TO HOP NLAN'!F134*'TS-PILE'!$D$83/SUMSQ('TS-PILE'!$D$72:$D$91))),IF('TS-PILE'!$B$84="",1E+99,'TO HOP NLAN'!D134/ncoc+IF(SUMSQ('TS-PILE'!$E$72:$E$91)=0,0,'TO HOP NLAN'!E134*'TS-PILE'!$E$84/SUMSQ('TS-PILE'!$E$72:$E$91))+IF(SUMSQ('TS-PILE'!$D$72:$D$91)=0,0,'TO HOP NLAN'!F134*'TS-PILE'!$D$84/SUMSQ('TS-PILE'!$D$72:$D$91))),IF('TS-PILE'!$B$85="",1E+99,'TO HOP NLAN'!D134/ncoc+IF(SUMSQ('TS-PILE'!$E$72:$E$91)=0,0,'TO HOP NLAN'!E134*'TS-PILE'!$E$85/SUMSQ('TS-PILE'!$E$72:$E$91))+IF(SUMSQ('TS-PILE'!$D$72:$D$91)=0,0,'TO HOP NLAN'!F134*'TS-PILE'!$D$85/SUMSQ('TS-PILE'!$D$72:$D$91))),IF('TS-PILE'!$B$86="",1E+99,'TO HOP NLAN'!D134/ncoc+IF(SUMSQ('TS-PILE'!$E$72:$E$91)=0,0,'TO HOP NLAN'!E134*'TS-PILE'!$E$86/SUMSQ('TS-PILE'!$E$72:$E$91))+IF(SUMSQ('TS-PILE'!$D$72:$D$91)=0,0,'TO HOP NLAN'!F134*'TS-PILE'!$D$86/SUMSQ('TS-PILE'!$D$72:$D$91))),IF('TS-PILE'!$B$87="",1E+99,'TO HOP NLAN'!D134/ncoc+IF(SUMSQ('TS-PILE'!$E$72:$E$91)=0,0,'TO HOP NLAN'!E134*'TS-PILE'!$E$87/SUMSQ('TS-PILE'!$E$72:$E$91))+IF(SUMSQ('TS-PILE'!$D$72:$D$91)=0,0,'TO HOP NLAN'!F134*'TS-PILE'!$D$87/SUMSQ('TS-PILE'!$D$72:$D$91))),IF('TS-PILE'!$B$88="",1E+99,'TO HOP NLAN'!D134/ncoc+IF(SUMSQ('TS-PILE'!$E$72:$E$91)=0,0,'TO HOP NLAN'!E134*'TS-PILE'!$E$88/SUMSQ('TS-PILE'!$E$72:$E$91))+IF(SUMSQ('TS-PILE'!$D$72:$D$91)=0,0,'TO HOP NLAN'!F134*'TS-PILE'!$D$88/SUMSQ('TS-PILE'!$D$72:$D$91))),IF('TS-PILE'!$B$89="",1E+99,'TO HOP NLAN'!D134/ncoc+IF(SUMSQ('TS-PILE'!$E$72:$E$91)=0,0,'TO HOP NLAN'!E134*'TS-PILE'!$E$89/SUMSQ('TS-PILE'!$E$72:$E$91))+IF(SUMSQ('TS-PILE'!$D$72:$D$91)=0,0,'TO HOP NLAN'!F134*'TS-PILE'!$D$89/SUMSQ('TS-PILE'!$D$72:$D$91))),IF('TS-PILE'!$B$90="",1E+99,'TO HOP NLAN'!D134/ncoc+IF(SUMSQ('TS-PILE'!$E$72:$E$91)=0,0,'TO HOP NLAN'!E134*'TS-PILE'!$E$90/SUMSQ('TS-PILE'!$E$72:$E$91))+IF(SUMSQ('TS-PILE'!$D$72:$D$91)=0,0,'TO HOP NLAN'!F134*'TS-PILE'!$D$90/SUMSQ('TS-PILE'!$D$72:$D$91))),IF('TS-PILE'!$B$91="",1E+99,'TO HOP NLAN'!D134/ncoc+IF(SUMSQ('TS-PILE'!$E$72:$E$91)=0,0,'TO HOP NLAN'!E134*'TS-PILE'!$E$91/SUMSQ('TS-PILE'!$E$72:$E$91))+IF(SUMSQ('TS-PILE'!$D$72:$D$91)=0,0,'TO HOP NLAN'!F134*'TS-PILE'!$D$91/SUMSQ('TS-PILE'!$D$72:$D$91)))))</f>
        <v>0</v>
      </c>
      <c r="E134" s="58">
        <f t="shared" ref="E134:E197" si="8">IF(AND(A134&lt;&gt;"",B134="SERVICE"),C134,-1E+99)</f>
        <v>-9.9999999999999997E+98</v>
      </c>
      <c r="F134" s="58">
        <f t="shared" ref="F134:F197" si="9">IF(AND(A134&lt;&gt;"",B134="SERVICE"),D134,1E+99)</f>
        <v>9.9999999999999997E+98</v>
      </c>
      <c r="G134" s="58">
        <f t="shared" ref="G134:G197" si="10">IF(AND(A134&lt;&gt;"",B134="STRENGTH"),C134,-1E+99)</f>
        <v>-9.9999999999999997E+98</v>
      </c>
      <c r="H134" s="58">
        <f t="shared" ref="H134:H197" si="11">IF(AND(A134&lt;&gt;"",B134="STRENGTH"),D134,1E+99)</f>
        <v>9.9999999999999997E+98</v>
      </c>
    </row>
    <row r="135" spans="1:8" x14ac:dyDescent="0.3">
      <c r="A135" s="42" t="str">
        <f>'TO HOP NLAN'!A135</f>
        <v/>
      </c>
      <c r="B135" s="42" t="str">
        <f>'TO HOP NLAN'!L135</f>
        <v>STRENGTH</v>
      </c>
      <c r="C135" s="58">
        <f>IF(A135="",0,MAX(IF('TS-PILE'!$B$72="",-1E+99,'TO HOP NLAN'!D135/ncoc+IF(SUMSQ('TS-PILE'!$E$72:$E$91)=0,0,'TO HOP NLAN'!E135*'TS-PILE'!$E$72/SUMSQ('TS-PILE'!$E$72:$E$91))+IF(SUMSQ('TS-PILE'!$D$72:$D$91)=0,0,'TO HOP NLAN'!F135*'TS-PILE'!$D$72/SUMSQ('TS-PILE'!$D$72:$D$91))),IF('TS-PILE'!$B$73="",-1E+99,'TO HOP NLAN'!D135/ncoc+IF(SUMSQ('TS-PILE'!$E$72:$E$91)=0,0,'TO HOP NLAN'!E135*'TS-PILE'!$E$73/SUMSQ('TS-PILE'!$E$72:$E$91))+IF(SUMSQ('TS-PILE'!$D$72:$D$91)=0,0,'TO HOP NLAN'!F135*'TS-PILE'!$D$73/SUMSQ('TS-PILE'!$D$72:$D$91))),IF('TS-PILE'!$B$74="",-1E+99,'TO HOP NLAN'!D135/ncoc+IF(SUMSQ('TS-PILE'!$E$72:$E$91)=0,0,'TO HOP NLAN'!E135*'TS-PILE'!$E$74/SUMSQ('TS-PILE'!$E$72:$E$91))+IF(SUMSQ('TS-PILE'!$D$72:$D$91)=0,0,'TO HOP NLAN'!F135*'TS-PILE'!$D$74/SUMSQ('TS-PILE'!$D$72:$D$91))),IF('TS-PILE'!$B$75="",-1E+99,'TO HOP NLAN'!D135/ncoc+IF(SUMSQ('TS-PILE'!$E$72:$E$91)=0,0,'TO HOP NLAN'!E135*'TS-PILE'!$E$75/SUMSQ('TS-PILE'!$E$72:$E$91))+IF(SUMSQ('TS-PILE'!$D$72:$D$91)=0,0,'TO HOP NLAN'!F135*'TS-PILE'!$D$75/SUMSQ('TS-PILE'!$D$72:$D$91))),IF('TS-PILE'!$B$76="",-1E+99,'TO HOP NLAN'!D135/ncoc+IF(SUMSQ('TS-PILE'!$E$72:$E$91)=0,0,'TO HOP NLAN'!E135*'TS-PILE'!$E$76/SUMSQ('TS-PILE'!$E$72:$E$91))+IF(SUMSQ('TS-PILE'!$D$72:$D$91)=0,0,'TO HOP NLAN'!F135*'TS-PILE'!$D$76/SUMSQ('TS-PILE'!$D$72:$D$91))),IF('TS-PILE'!$B$77="",-1E+99,'TO HOP NLAN'!D135/ncoc+IF(SUMSQ('TS-PILE'!$E$72:$E$91)=0,0,'TO HOP NLAN'!E135*'TS-PILE'!$E$77/SUMSQ('TS-PILE'!$E$72:$E$91))+IF(SUMSQ('TS-PILE'!$D$72:$D$91)=0,0,'TO HOP NLAN'!F135*'TS-PILE'!$D$77/SUMSQ('TS-PILE'!$D$72:$D$91))),IF('TS-PILE'!$B$78="",-1E+99,'TO HOP NLAN'!D135/ncoc+IF(SUMSQ('TS-PILE'!$E$72:$E$91)=0,0,'TO HOP NLAN'!E135*'TS-PILE'!$E$78/SUMSQ('TS-PILE'!$E$72:$E$91))+IF(SUMSQ('TS-PILE'!$D$72:$D$91)=0,0,'TO HOP NLAN'!F135*'TS-PILE'!$D$78/SUMSQ('TS-PILE'!$D$72:$D$91))),IF('TS-PILE'!$B$79="",-1E+99,'TO HOP NLAN'!D135/ncoc+IF(SUMSQ('TS-PILE'!$E$72:$E$91)=0,0,'TO HOP NLAN'!E135*'TS-PILE'!$E$79/SUMSQ('TS-PILE'!$E$72:$E$91))+IF(SUMSQ('TS-PILE'!$D$72:$D$91)=0,0,'TO HOP NLAN'!F135*'TS-PILE'!$D$79/SUMSQ('TS-PILE'!$D$72:$D$91))),IF('TS-PILE'!$B$80="",-1E+99,'TO HOP NLAN'!D135/ncoc+IF(SUMSQ('TS-PILE'!$E$72:$E$91)=0,0,'TO HOP NLAN'!E135*'TS-PILE'!$E$80/SUMSQ('TS-PILE'!$E$72:$E$91))+IF(SUMSQ('TS-PILE'!$D$72:$D$91)=0,0,'TO HOP NLAN'!F135*'TS-PILE'!$D$80/SUMSQ('TS-PILE'!$D$72:$D$91))),IF('TS-PILE'!$B$81="",-1E+99,'TO HOP NLAN'!D135/ncoc+IF(SUMSQ('TS-PILE'!$E$72:$E$91)=0,0,'TO HOP NLAN'!E135*'TS-PILE'!$E$81/SUMSQ('TS-PILE'!$E$72:$E$91))+IF(SUMSQ('TS-PILE'!$D$72:$D$91)=0,0,'TO HOP NLAN'!F135*'TS-PILE'!$D$81/SUMSQ('TS-PILE'!$D$72:$D$91))),IF('TS-PILE'!$B$82="",-1E+99,'TO HOP NLAN'!D135/ncoc+IF(SUMSQ('TS-PILE'!$E$72:$E$91)=0,0,'TO HOP NLAN'!E135*'TS-PILE'!$E$82/SUMSQ('TS-PILE'!$E$72:$E$91))+IF(SUMSQ('TS-PILE'!$D$72:$D$91)=0,0,'TO HOP NLAN'!F135*'TS-PILE'!$D$82/SUMSQ('TS-PILE'!$D$72:$D$91))),IF('TS-PILE'!$B$83="",-1E+99,'TO HOP NLAN'!D135/ncoc+IF(SUMSQ('TS-PILE'!$E$72:$E$91)=0,0,'TO HOP NLAN'!E135*'TS-PILE'!$E$83/SUMSQ('TS-PILE'!$E$72:$E$91))+IF(SUMSQ('TS-PILE'!$D$72:$D$91)=0,0,'TO HOP NLAN'!F135*'TS-PILE'!$D$83/SUMSQ('TS-PILE'!$D$72:$D$91))),IF('TS-PILE'!$B$84="",-1E+99,'TO HOP NLAN'!D135/ncoc+IF(SUMSQ('TS-PILE'!$E$72:$E$91)=0,0,'TO HOP NLAN'!E135*'TS-PILE'!$E$84/SUMSQ('TS-PILE'!$E$72:$E$91))+IF(SUMSQ('TS-PILE'!$D$72:$D$91)=0,0,'TO HOP NLAN'!F135*'TS-PILE'!$D$84/SUMSQ('TS-PILE'!$D$72:$D$91))),IF('TS-PILE'!$B$85="",-1E+99,'TO HOP NLAN'!D135/ncoc+IF(SUMSQ('TS-PILE'!$E$72:$E$91)=0,0,'TO HOP NLAN'!E135*'TS-PILE'!$E$85/SUMSQ('TS-PILE'!$E$72:$E$91))+IF(SUMSQ('TS-PILE'!$D$72:$D$91)=0,0,'TO HOP NLAN'!F135*'TS-PILE'!$D$85/SUMSQ('TS-PILE'!$D$72:$D$91))),IF('TS-PILE'!$B$86="",-1E+99,'TO HOP NLAN'!D135/ncoc+IF(SUMSQ('TS-PILE'!$E$72:$E$91)=0,0,'TO HOP NLAN'!E135*'TS-PILE'!$E$86/SUMSQ('TS-PILE'!$E$72:$E$91))+IF(SUMSQ('TS-PILE'!$D$72:$D$91)=0,0,'TO HOP NLAN'!F135*'TS-PILE'!$D$86/SUMSQ('TS-PILE'!$D$72:$D$91))),IF('TS-PILE'!$B$87="",-1E+99,'TO HOP NLAN'!D135/ncoc+IF(SUMSQ('TS-PILE'!$E$72:$E$91)=0,0,'TO HOP NLAN'!E135*'TS-PILE'!$E$87/SUMSQ('TS-PILE'!$E$72:$E$91))+IF(SUMSQ('TS-PILE'!$D$72:$D$91)=0,0,'TO HOP NLAN'!F135*'TS-PILE'!$D$87/SUMSQ('TS-PILE'!$D$72:$D$91))),IF('TS-PILE'!$B$88="",-1E+99,'TO HOP NLAN'!D135/ncoc+IF(SUMSQ('TS-PILE'!$E$72:$E$91)=0,0,'TO HOP NLAN'!E135*'TS-PILE'!$E$88/SUMSQ('TS-PILE'!$E$72:$E$91))+IF(SUMSQ('TS-PILE'!$D$72:$D$91)=0,0,'TO HOP NLAN'!F135*'TS-PILE'!$D$88/SUMSQ('TS-PILE'!$D$72:$D$91))),IF('TS-PILE'!$B$89="",-1E+99,'TO HOP NLAN'!D135/ncoc+IF(SUMSQ('TS-PILE'!$E$72:$E$91)=0,0,'TO HOP NLAN'!E135*'TS-PILE'!$E$89/SUMSQ('TS-PILE'!$E$72:$E$91))+IF(SUMSQ('TS-PILE'!$D$72:$D$91)=0,0,'TO HOP NLAN'!F135*'TS-PILE'!$D$89/SUMSQ('TS-PILE'!$D$72:$D$91))),IF('TS-PILE'!$B$90="",-1E+99,'TO HOP NLAN'!D135/ncoc+IF(SUMSQ('TS-PILE'!$E$72:$E$91)=0,0,'TO HOP NLAN'!E135*'TS-PILE'!$E$90/SUMSQ('TS-PILE'!$E$72:$E$91))+IF(SUMSQ('TS-PILE'!$D$72:$D$91)=0,0,'TO HOP NLAN'!F135*'TS-PILE'!$D$90/SUMSQ('TS-PILE'!$D$72:$D$91))),IF('TS-PILE'!$B$91="",-1E+99,'TO HOP NLAN'!D135/ncoc+IF(SUMSQ('TS-PILE'!$E$72:$E$91)=0,0,'TO HOP NLAN'!E135*'TS-PILE'!$E$91/SUMSQ('TS-PILE'!$E$72:$E$91))+IF(SUMSQ('TS-PILE'!$D$72:$D$91)=0,0,'TO HOP NLAN'!F135*'TS-PILE'!$D$91/SUMSQ('TS-PILE'!$D$72:$D$91)))))</f>
        <v>0</v>
      </c>
      <c r="D135" s="58">
        <f>IF(A135="",0,MIN(IF('TS-PILE'!$B$72="",1E+99,'TO HOP NLAN'!D135/ncoc+IF(SUMSQ('TS-PILE'!$E$72:$E$91)=0,0,'TO HOP NLAN'!E135*'TS-PILE'!$E$72/SUMSQ('TS-PILE'!$E$72:$E$91))+IF(SUMSQ('TS-PILE'!$D$72:$D$91)=0,0,'TO HOP NLAN'!F135*'TS-PILE'!$D$72/SUMSQ('TS-PILE'!$D$72:$D$91))),IF('TS-PILE'!$B$73="",1E+99,'TO HOP NLAN'!D135/ncoc+IF(SUMSQ('TS-PILE'!$E$72:$E$91)=0,0,'TO HOP NLAN'!E135*'TS-PILE'!$E$73/SUMSQ('TS-PILE'!$E$72:$E$91))+IF(SUMSQ('TS-PILE'!$D$72:$D$91)=0,0,'TO HOP NLAN'!F135*'TS-PILE'!$D$73/SUMSQ('TS-PILE'!$D$72:$D$91))),IF('TS-PILE'!$B$74="",1E+99,'TO HOP NLAN'!D135/ncoc+IF(SUMSQ('TS-PILE'!$E$72:$E$91)=0,0,'TO HOP NLAN'!E135*'TS-PILE'!$E$74/SUMSQ('TS-PILE'!$E$72:$E$91))+IF(SUMSQ('TS-PILE'!$D$72:$D$91)=0,0,'TO HOP NLAN'!F135*'TS-PILE'!$D$74/SUMSQ('TS-PILE'!$D$72:$D$91))),IF('TS-PILE'!$B$75="",1E+99,'TO HOP NLAN'!D135/ncoc+IF(SUMSQ('TS-PILE'!$E$72:$E$91)=0,0,'TO HOP NLAN'!E135*'TS-PILE'!$E$75/SUMSQ('TS-PILE'!$E$72:$E$91))+IF(SUMSQ('TS-PILE'!$D$72:$D$91)=0,0,'TO HOP NLAN'!F135*'TS-PILE'!$D$75/SUMSQ('TS-PILE'!$D$72:$D$91))),IF('TS-PILE'!$B$76="",1E+99,'TO HOP NLAN'!D135/ncoc+IF(SUMSQ('TS-PILE'!$E$72:$E$91)=0,0,'TO HOP NLAN'!E135*'TS-PILE'!$E$76/SUMSQ('TS-PILE'!$E$72:$E$91))+IF(SUMSQ('TS-PILE'!$D$72:$D$91)=0,0,'TO HOP NLAN'!F135*'TS-PILE'!$D$76/SUMSQ('TS-PILE'!$D$72:$D$91))),IF('TS-PILE'!$B$77="",1E+99,'TO HOP NLAN'!D135/ncoc+IF(SUMSQ('TS-PILE'!$E$72:$E$91)=0,0,'TO HOP NLAN'!E135*'TS-PILE'!$E$77/SUMSQ('TS-PILE'!$E$72:$E$91))+IF(SUMSQ('TS-PILE'!$D$72:$D$91)=0,0,'TO HOP NLAN'!F135*'TS-PILE'!$D$77/SUMSQ('TS-PILE'!$D$72:$D$91))),IF('TS-PILE'!$B$78="",1E+99,'TO HOP NLAN'!D135/ncoc+IF(SUMSQ('TS-PILE'!$E$72:$E$91)=0,0,'TO HOP NLAN'!E135*'TS-PILE'!$E$78/SUMSQ('TS-PILE'!$E$72:$E$91))+IF(SUMSQ('TS-PILE'!$D$72:$D$91)=0,0,'TO HOP NLAN'!F135*'TS-PILE'!$D$78/SUMSQ('TS-PILE'!$D$72:$D$91))),IF('TS-PILE'!$B$79="",1E+99,'TO HOP NLAN'!D135/ncoc+IF(SUMSQ('TS-PILE'!$E$72:$E$91)=0,0,'TO HOP NLAN'!E135*'TS-PILE'!$E$79/SUMSQ('TS-PILE'!$E$72:$E$91))+IF(SUMSQ('TS-PILE'!$D$72:$D$91)=0,0,'TO HOP NLAN'!F135*'TS-PILE'!$D$79/SUMSQ('TS-PILE'!$D$72:$D$91))),IF('TS-PILE'!$B$80="",1E+99,'TO HOP NLAN'!D135/ncoc+IF(SUMSQ('TS-PILE'!$E$72:$E$91)=0,0,'TO HOP NLAN'!E135*'TS-PILE'!$E$80/SUMSQ('TS-PILE'!$E$72:$E$91))+IF(SUMSQ('TS-PILE'!$D$72:$D$91)=0,0,'TO HOP NLAN'!F135*'TS-PILE'!$D$80/SUMSQ('TS-PILE'!$D$72:$D$91))),IF('TS-PILE'!$B$81="",1E+99,'TO HOP NLAN'!D135/ncoc+IF(SUMSQ('TS-PILE'!$E$72:$E$91)=0,0,'TO HOP NLAN'!E135*'TS-PILE'!$E$81/SUMSQ('TS-PILE'!$E$72:$E$91))+IF(SUMSQ('TS-PILE'!$D$72:$D$91)=0,0,'TO HOP NLAN'!F135*'TS-PILE'!$D$81/SUMSQ('TS-PILE'!$D$72:$D$91))),IF('TS-PILE'!$B$82="",1E+99,'TO HOP NLAN'!D135/ncoc+IF(SUMSQ('TS-PILE'!$E$72:$E$91)=0,0,'TO HOP NLAN'!E135*'TS-PILE'!$E$82/SUMSQ('TS-PILE'!$E$72:$E$91))+IF(SUMSQ('TS-PILE'!$D$72:$D$91)=0,0,'TO HOP NLAN'!F135*'TS-PILE'!$D$82/SUMSQ('TS-PILE'!$D$72:$D$91))),IF('TS-PILE'!$B$83="",1E+99,'TO HOP NLAN'!D135/ncoc+IF(SUMSQ('TS-PILE'!$E$72:$E$91)=0,0,'TO HOP NLAN'!E135*'TS-PILE'!$E$83/SUMSQ('TS-PILE'!$E$72:$E$91))+IF(SUMSQ('TS-PILE'!$D$72:$D$91)=0,0,'TO HOP NLAN'!F135*'TS-PILE'!$D$83/SUMSQ('TS-PILE'!$D$72:$D$91))),IF('TS-PILE'!$B$84="",1E+99,'TO HOP NLAN'!D135/ncoc+IF(SUMSQ('TS-PILE'!$E$72:$E$91)=0,0,'TO HOP NLAN'!E135*'TS-PILE'!$E$84/SUMSQ('TS-PILE'!$E$72:$E$91))+IF(SUMSQ('TS-PILE'!$D$72:$D$91)=0,0,'TO HOP NLAN'!F135*'TS-PILE'!$D$84/SUMSQ('TS-PILE'!$D$72:$D$91))),IF('TS-PILE'!$B$85="",1E+99,'TO HOP NLAN'!D135/ncoc+IF(SUMSQ('TS-PILE'!$E$72:$E$91)=0,0,'TO HOP NLAN'!E135*'TS-PILE'!$E$85/SUMSQ('TS-PILE'!$E$72:$E$91))+IF(SUMSQ('TS-PILE'!$D$72:$D$91)=0,0,'TO HOP NLAN'!F135*'TS-PILE'!$D$85/SUMSQ('TS-PILE'!$D$72:$D$91))),IF('TS-PILE'!$B$86="",1E+99,'TO HOP NLAN'!D135/ncoc+IF(SUMSQ('TS-PILE'!$E$72:$E$91)=0,0,'TO HOP NLAN'!E135*'TS-PILE'!$E$86/SUMSQ('TS-PILE'!$E$72:$E$91))+IF(SUMSQ('TS-PILE'!$D$72:$D$91)=0,0,'TO HOP NLAN'!F135*'TS-PILE'!$D$86/SUMSQ('TS-PILE'!$D$72:$D$91))),IF('TS-PILE'!$B$87="",1E+99,'TO HOP NLAN'!D135/ncoc+IF(SUMSQ('TS-PILE'!$E$72:$E$91)=0,0,'TO HOP NLAN'!E135*'TS-PILE'!$E$87/SUMSQ('TS-PILE'!$E$72:$E$91))+IF(SUMSQ('TS-PILE'!$D$72:$D$91)=0,0,'TO HOP NLAN'!F135*'TS-PILE'!$D$87/SUMSQ('TS-PILE'!$D$72:$D$91))),IF('TS-PILE'!$B$88="",1E+99,'TO HOP NLAN'!D135/ncoc+IF(SUMSQ('TS-PILE'!$E$72:$E$91)=0,0,'TO HOP NLAN'!E135*'TS-PILE'!$E$88/SUMSQ('TS-PILE'!$E$72:$E$91))+IF(SUMSQ('TS-PILE'!$D$72:$D$91)=0,0,'TO HOP NLAN'!F135*'TS-PILE'!$D$88/SUMSQ('TS-PILE'!$D$72:$D$91))),IF('TS-PILE'!$B$89="",1E+99,'TO HOP NLAN'!D135/ncoc+IF(SUMSQ('TS-PILE'!$E$72:$E$91)=0,0,'TO HOP NLAN'!E135*'TS-PILE'!$E$89/SUMSQ('TS-PILE'!$E$72:$E$91))+IF(SUMSQ('TS-PILE'!$D$72:$D$91)=0,0,'TO HOP NLAN'!F135*'TS-PILE'!$D$89/SUMSQ('TS-PILE'!$D$72:$D$91))),IF('TS-PILE'!$B$90="",1E+99,'TO HOP NLAN'!D135/ncoc+IF(SUMSQ('TS-PILE'!$E$72:$E$91)=0,0,'TO HOP NLAN'!E135*'TS-PILE'!$E$90/SUMSQ('TS-PILE'!$E$72:$E$91))+IF(SUMSQ('TS-PILE'!$D$72:$D$91)=0,0,'TO HOP NLAN'!F135*'TS-PILE'!$D$90/SUMSQ('TS-PILE'!$D$72:$D$91))),IF('TS-PILE'!$B$91="",1E+99,'TO HOP NLAN'!D135/ncoc+IF(SUMSQ('TS-PILE'!$E$72:$E$91)=0,0,'TO HOP NLAN'!E135*'TS-PILE'!$E$91/SUMSQ('TS-PILE'!$E$72:$E$91))+IF(SUMSQ('TS-PILE'!$D$72:$D$91)=0,0,'TO HOP NLAN'!F135*'TS-PILE'!$D$91/SUMSQ('TS-PILE'!$D$72:$D$91)))))</f>
        <v>0</v>
      </c>
      <c r="E135" s="58">
        <f t="shared" si="8"/>
        <v>-9.9999999999999997E+98</v>
      </c>
      <c r="F135" s="58">
        <f t="shared" si="9"/>
        <v>9.9999999999999997E+98</v>
      </c>
      <c r="G135" s="58">
        <f t="shared" si="10"/>
        <v>-9.9999999999999997E+98</v>
      </c>
      <c r="H135" s="58">
        <f t="shared" si="11"/>
        <v>9.9999999999999997E+98</v>
      </c>
    </row>
    <row r="136" spans="1:8" x14ac:dyDescent="0.3">
      <c r="A136" s="42" t="str">
        <f>'TO HOP NLAN'!A136</f>
        <v/>
      </c>
      <c r="B136" s="42" t="str">
        <f>'TO HOP NLAN'!L136</f>
        <v>STRENGTH</v>
      </c>
      <c r="C136" s="58">
        <f>IF(A136="",0,MAX(IF('TS-PILE'!$B$72="",-1E+99,'TO HOP NLAN'!D136/ncoc+IF(SUMSQ('TS-PILE'!$E$72:$E$91)=0,0,'TO HOP NLAN'!E136*'TS-PILE'!$E$72/SUMSQ('TS-PILE'!$E$72:$E$91))+IF(SUMSQ('TS-PILE'!$D$72:$D$91)=0,0,'TO HOP NLAN'!F136*'TS-PILE'!$D$72/SUMSQ('TS-PILE'!$D$72:$D$91))),IF('TS-PILE'!$B$73="",-1E+99,'TO HOP NLAN'!D136/ncoc+IF(SUMSQ('TS-PILE'!$E$72:$E$91)=0,0,'TO HOP NLAN'!E136*'TS-PILE'!$E$73/SUMSQ('TS-PILE'!$E$72:$E$91))+IF(SUMSQ('TS-PILE'!$D$72:$D$91)=0,0,'TO HOP NLAN'!F136*'TS-PILE'!$D$73/SUMSQ('TS-PILE'!$D$72:$D$91))),IF('TS-PILE'!$B$74="",-1E+99,'TO HOP NLAN'!D136/ncoc+IF(SUMSQ('TS-PILE'!$E$72:$E$91)=0,0,'TO HOP NLAN'!E136*'TS-PILE'!$E$74/SUMSQ('TS-PILE'!$E$72:$E$91))+IF(SUMSQ('TS-PILE'!$D$72:$D$91)=0,0,'TO HOP NLAN'!F136*'TS-PILE'!$D$74/SUMSQ('TS-PILE'!$D$72:$D$91))),IF('TS-PILE'!$B$75="",-1E+99,'TO HOP NLAN'!D136/ncoc+IF(SUMSQ('TS-PILE'!$E$72:$E$91)=0,0,'TO HOP NLAN'!E136*'TS-PILE'!$E$75/SUMSQ('TS-PILE'!$E$72:$E$91))+IF(SUMSQ('TS-PILE'!$D$72:$D$91)=0,0,'TO HOP NLAN'!F136*'TS-PILE'!$D$75/SUMSQ('TS-PILE'!$D$72:$D$91))),IF('TS-PILE'!$B$76="",-1E+99,'TO HOP NLAN'!D136/ncoc+IF(SUMSQ('TS-PILE'!$E$72:$E$91)=0,0,'TO HOP NLAN'!E136*'TS-PILE'!$E$76/SUMSQ('TS-PILE'!$E$72:$E$91))+IF(SUMSQ('TS-PILE'!$D$72:$D$91)=0,0,'TO HOP NLAN'!F136*'TS-PILE'!$D$76/SUMSQ('TS-PILE'!$D$72:$D$91))),IF('TS-PILE'!$B$77="",-1E+99,'TO HOP NLAN'!D136/ncoc+IF(SUMSQ('TS-PILE'!$E$72:$E$91)=0,0,'TO HOP NLAN'!E136*'TS-PILE'!$E$77/SUMSQ('TS-PILE'!$E$72:$E$91))+IF(SUMSQ('TS-PILE'!$D$72:$D$91)=0,0,'TO HOP NLAN'!F136*'TS-PILE'!$D$77/SUMSQ('TS-PILE'!$D$72:$D$91))),IF('TS-PILE'!$B$78="",-1E+99,'TO HOP NLAN'!D136/ncoc+IF(SUMSQ('TS-PILE'!$E$72:$E$91)=0,0,'TO HOP NLAN'!E136*'TS-PILE'!$E$78/SUMSQ('TS-PILE'!$E$72:$E$91))+IF(SUMSQ('TS-PILE'!$D$72:$D$91)=0,0,'TO HOP NLAN'!F136*'TS-PILE'!$D$78/SUMSQ('TS-PILE'!$D$72:$D$91))),IF('TS-PILE'!$B$79="",-1E+99,'TO HOP NLAN'!D136/ncoc+IF(SUMSQ('TS-PILE'!$E$72:$E$91)=0,0,'TO HOP NLAN'!E136*'TS-PILE'!$E$79/SUMSQ('TS-PILE'!$E$72:$E$91))+IF(SUMSQ('TS-PILE'!$D$72:$D$91)=0,0,'TO HOP NLAN'!F136*'TS-PILE'!$D$79/SUMSQ('TS-PILE'!$D$72:$D$91))),IF('TS-PILE'!$B$80="",-1E+99,'TO HOP NLAN'!D136/ncoc+IF(SUMSQ('TS-PILE'!$E$72:$E$91)=0,0,'TO HOP NLAN'!E136*'TS-PILE'!$E$80/SUMSQ('TS-PILE'!$E$72:$E$91))+IF(SUMSQ('TS-PILE'!$D$72:$D$91)=0,0,'TO HOP NLAN'!F136*'TS-PILE'!$D$80/SUMSQ('TS-PILE'!$D$72:$D$91))),IF('TS-PILE'!$B$81="",-1E+99,'TO HOP NLAN'!D136/ncoc+IF(SUMSQ('TS-PILE'!$E$72:$E$91)=0,0,'TO HOP NLAN'!E136*'TS-PILE'!$E$81/SUMSQ('TS-PILE'!$E$72:$E$91))+IF(SUMSQ('TS-PILE'!$D$72:$D$91)=0,0,'TO HOP NLAN'!F136*'TS-PILE'!$D$81/SUMSQ('TS-PILE'!$D$72:$D$91))),IF('TS-PILE'!$B$82="",-1E+99,'TO HOP NLAN'!D136/ncoc+IF(SUMSQ('TS-PILE'!$E$72:$E$91)=0,0,'TO HOP NLAN'!E136*'TS-PILE'!$E$82/SUMSQ('TS-PILE'!$E$72:$E$91))+IF(SUMSQ('TS-PILE'!$D$72:$D$91)=0,0,'TO HOP NLAN'!F136*'TS-PILE'!$D$82/SUMSQ('TS-PILE'!$D$72:$D$91))),IF('TS-PILE'!$B$83="",-1E+99,'TO HOP NLAN'!D136/ncoc+IF(SUMSQ('TS-PILE'!$E$72:$E$91)=0,0,'TO HOP NLAN'!E136*'TS-PILE'!$E$83/SUMSQ('TS-PILE'!$E$72:$E$91))+IF(SUMSQ('TS-PILE'!$D$72:$D$91)=0,0,'TO HOP NLAN'!F136*'TS-PILE'!$D$83/SUMSQ('TS-PILE'!$D$72:$D$91))),IF('TS-PILE'!$B$84="",-1E+99,'TO HOP NLAN'!D136/ncoc+IF(SUMSQ('TS-PILE'!$E$72:$E$91)=0,0,'TO HOP NLAN'!E136*'TS-PILE'!$E$84/SUMSQ('TS-PILE'!$E$72:$E$91))+IF(SUMSQ('TS-PILE'!$D$72:$D$91)=0,0,'TO HOP NLAN'!F136*'TS-PILE'!$D$84/SUMSQ('TS-PILE'!$D$72:$D$91))),IF('TS-PILE'!$B$85="",-1E+99,'TO HOP NLAN'!D136/ncoc+IF(SUMSQ('TS-PILE'!$E$72:$E$91)=0,0,'TO HOP NLAN'!E136*'TS-PILE'!$E$85/SUMSQ('TS-PILE'!$E$72:$E$91))+IF(SUMSQ('TS-PILE'!$D$72:$D$91)=0,0,'TO HOP NLAN'!F136*'TS-PILE'!$D$85/SUMSQ('TS-PILE'!$D$72:$D$91))),IF('TS-PILE'!$B$86="",-1E+99,'TO HOP NLAN'!D136/ncoc+IF(SUMSQ('TS-PILE'!$E$72:$E$91)=0,0,'TO HOP NLAN'!E136*'TS-PILE'!$E$86/SUMSQ('TS-PILE'!$E$72:$E$91))+IF(SUMSQ('TS-PILE'!$D$72:$D$91)=0,0,'TO HOP NLAN'!F136*'TS-PILE'!$D$86/SUMSQ('TS-PILE'!$D$72:$D$91))),IF('TS-PILE'!$B$87="",-1E+99,'TO HOP NLAN'!D136/ncoc+IF(SUMSQ('TS-PILE'!$E$72:$E$91)=0,0,'TO HOP NLAN'!E136*'TS-PILE'!$E$87/SUMSQ('TS-PILE'!$E$72:$E$91))+IF(SUMSQ('TS-PILE'!$D$72:$D$91)=0,0,'TO HOP NLAN'!F136*'TS-PILE'!$D$87/SUMSQ('TS-PILE'!$D$72:$D$91))),IF('TS-PILE'!$B$88="",-1E+99,'TO HOP NLAN'!D136/ncoc+IF(SUMSQ('TS-PILE'!$E$72:$E$91)=0,0,'TO HOP NLAN'!E136*'TS-PILE'!$E$88/SUMSQ('TS-PILE'!$E$72:$E$91))+IF(SUMSQ('TS-PILE'!$D$72:$D$91)=0,0,'TO HOP NLAN'!F136*'TS-PILE'!$D$88/SUMSQ('TS-PILE'!$D$72:$D$91))),IF('TS-PILE'!$B$89="",-1E+99,'TO HOP NLAN'!D136/ncoc+IF(SUMSQ('TS-PILE'!$E$72:$E$91)=0,0,'TO HOP NLAN'!E136*'TS-PILE'!$E$89/SUMSQ('TS-PILE'!$E$72:$E$91))+IF(SUMSQ('TS-PILE'!$D$72:$D$91)=0,0,'TO HOP NLAN'!F136*'TS-PILE'!$D$89/SUMSQ('TS-PILE'!$D$72:$D$91))),IF('TS-PILE'!$B$90="",-1E+99,'TO HOP NLAN'!D136/ncoc+IF(SUMSQ('TS-PILE'!$E$72:$E$91)=0,0,'TO HOP NLAN'!E136*'TS-PILE'!$E$90/SUMSQ('TS-PILE'!$E$72:$E$91))+IF(SUMSQ('TS-PILE'!$D$72:$D$91)=0,0,'TO HOP NLAN'!F136*'TS-PILE'!$D$90/SUMSQ('TS-PILE'!$D$72:$D$91))),IF('TS-PILE'!$B$91="",-1E+99,'TO HOP NLAN'!D136/ncoc+IF(SUMSQ('TS-PILE'!$E$72:$E$91)=0,0,'TO HOP NLAN'!E136*'TS-PILE'!$E$91/SUMSQ('TS-PILE'!$E$72:$E$91))+IF(SUMSQ('TS-PILE'!$D$72:$D$91)=0,0,'TO HOP NLAN'!F136*'TS-PILE'!$D$91/SUMSQ('TS-PILE'!$D$72:$D$91)))))</f>
        <v>0</v>
      </c>
      <c r="D136" s="58">
        <f>IF(A136="",0,MIN(IF('TS-PILE'!$B$72="",1E+99,'TO HOP NLAN'!D136/ncoc+IF(SUMSQ('TS-PILE'!$E$72:$E$91)=0,0,'TO HOP NLAN'!E136*'TS-PILE'!$E$72/SUMSQ('TS-PILE'!$E$72:$E$91))+IF(SUMSQ('TS-PILE'!$D$72:$D$91)=0,0,'TO HOP NLAN'!F136*'TS-PILE'!$D$72/SUMSQ('TS-PILE'!$D$72:$D$91))),IF('TS-PILE'!$B$73="",1E+99,'TO HOP NLAN'!D136/ncoc+IF(SUMSQ('TS-PILE'!$E$72:$E$91)=0,0,'TO HOP NLAN'!E136*'TS-PILE'!$E$73/SUMSQ('TS-PILE'!$E$72:$E$91))+IF(SUMSQ('TS-PILE'!$D$72:$D$91)=0,0,'TO HOP NLAN'!F136*'TS-PILE'!$D$73/SUMSQ('TS-PILE'!$D$72:$D$91))),IF('TS-PILE'!$B$74="",1E+99,'TO HOP NLAN'!D136/ncoc+IF(SUMSQ('TS-PILE'!$E$72:$E$91)=0,0,'TO HOP NLAN'!E136*'TS-PILE'!$E$74/SUMSQ('TS-PILE'!$E$72:$E$91))+IF(SUMSQ('TS-PILE'!$D$72:$D$91)=0,0,'TO HOP NLAN'!F136*'TS-PILE'!$D$74/SUMSQ('TS-PILE'!$D$72:$D$91))),IF('TS-PILE'!$B$75="",1E+99,'TO HOP NLAN'!D136/ncoc+IF(SUMSQ('TS-PILE'!$E$72:$E$91)=0,0,'TO HOP NLAN'!E136*'TS-PILE'!$E$75/SUMSQ('TS-PILE'!$E$72:$E$91))+IF(SUMSQ('TS-PILE'!$D$72:$D$91)=0,0,'TO HOP NLAN'!F136*'TS-PILE'!$D$75/SUMSQ('TS-PILE'!$D$72:$D$91))),IF('TS-PILE'!$B$76="",1E+99,'TO HOP NLAN'!D136/ncoc+IF(SUMSQ('TS-PILE'!$E$72:$E$91)=0,0,'TO HOP NLAN'!E136*'TS-PILE'!$E$76/SUMSQ('TS-PILE'!$E$72:$E$91))+IF(SUMSQ('TS-PILE'!$D$72:$D$91)=0,0,'TO HOP NLAN'!F136*'TS-PILE'!$D$76/SUMSQ('TS-PILE'!$D$72:$D$91))),IF('TS-PILE'!$B$77="",1E+99,'TO HOP NLAN'!D136/ncoc+IF(SUMSQ('TS-PILE'!$E$72:$E$91)=0,0,'TO HOP NLAN'!E136*'TS-PILE'!$E$77/SUMSQ('TS-PILE'!$E$72:$E$91))+IF(SUMSQ('TS-PILE'!$D$72:$D$91)=0,0,'TO HOP NLAN'!F136*'TS-PILE'!$D$77/SUMSQ('TS-PILE'!$D$72:$D$91))),IF('TS-PILE'!$B$78="",1E+99,'TO HOP NLAN'!D136/ncoc+IF(SUMSQ('TS-PILE'!$E$72:$E$91)=0,0,'TO HOP NLAN'!E136*'TS-PILE'!$E$78/SUMSQ('TS-PILE'!$E$72:$E$91))+IF(SUMSQ('TS-PILE'!$D$72:$D$91)=0,0,'TO HOP NLAN'!F136*'TS-PILE'!$D$78/SUMSQ('TS-PILE'!$D$72:$D$91))),IF('TS-PILE'!$B$79="",1E+99,'TO HOP NLAN'!D136/ncoc+IF(SUMSQ('TS-PILE'!$E$72:$E$91)=0,0,'TO HOP NLAN'!E136*'TS-PILE'!$E$79/SUMSQ('TS-PILE'!$E$72:$E$91))+IF(SUMSQ('TS-PILE'!$D$72:$D$91)=0,0,'TO HOP NLAN'!F136*'TS-PILE'!$D$79/SUMSQ('TS-PILE'!$D$72:$D$91))),IF('TS-PILE'!$B$80="",1E+99,'TO HOP NLAN'!D136/ncoc+IF(SUMSQ('TS-PILE'!$E$72:$E$91)=0,0,'TO HOP NLAN'!E136*'TS-PILE'!$E$80/SUMSQ('TS-PILE'!$E$72:$E$91))+IF(SUMSQ('TS-PILE'!$D$72:$D$91)=0,0,'TO HOP NLAN'!F136*'TS-PILE'!$D$80/SUMSQ('TS-PILE'!$D$72:$D$91))),IF('TS-PILE'!$B$81="",1E+99,'TO HOP NLAN'!D136/ncoc+IF(SUMSQ('TS-PILE'!$E$72:$E$91)=0,0,'TO HOP NLAN'!E136*'TS-PILE'!$E$81/SUMSQ('TS-PILE'!$E$72:$E$91))+IF(SUMSQ('TS-PILE'!$D$72:$D$91)=0,0,'TO HOP NLAN'!F136*'TS-PILE'!$D$81/SUMSQ('TS-PILE'!$D$72:$D$91))),IF('TS-PILE'!$B$82="",1E+99,'TO HOP NLAN'!D136/ncoc+IF(SUMSQ('TS-PILE'!$E$72:$E$91)=0,0,'TO HOP NLAN'!E136*'TS-PILE'!$E$82/SUMSQ('TS-PILE'!$E$72:$E$91))+IF(SUMSQ('TS-PILE'!$D$72:$D$91)=0,0,'TO HOP NLAN'!F136*'TS-PILE'!$D$82/SUMSQ('TS-PILE'!$D$72:$D$91))),IF('TS-PILE'!$B$83="",1E+99,'TO HOP NLAN'!D136/ncoc+IF(SUMSQ('TS-PILE'!$E$72:$E$91)=0,0,'TO HOP NLAN'!E136*'TS-PILE'!$E$83/SUMSQ('TS-PILE'!$E$72:$E$91))+IF(SUMSQ('TS-PILE'!$D$72:$D$91)=0,0,'TO HOP NLAN'!F136*'TS-PILE'!$D$83/SUMSQ('TS-PILE'!$D$72:$D$91))),IF('TS-PILE'!$B$84="",1E+99,'TO HOP NLAN'!D136/ncoc+IF(SUMSQ('TS-PILE'!$E$72:$E$91)=0,0,'TO HOP NLAN'!E136*'TS-PILE'!$E$84/SUMSQ('TS-PILE'!$E$72:$E$91))+IF(SUMSQ('TS-PILE'!$D$72:$D$91)=0,0,'TO HOP NLAN'!F136*'TS-PILE'!$D$84/SUMSQ('TS-PILE'!$D$72:$D$91))),IF('TS-PILE'!$B$85="",1E+99,'TO HOP NLAN'!D136/ncoc+IF(SUMSQ('TS-PILE'!$E$72:$E$91)=0,0,'TO HOP NLAN'!E136*'TS-PILE'!$E$85/SUMSQ('TS-PILE'!$E$72:$E$91))+IF(SUMSQ('TS-PILE'!$D$72:$D$91)=0,0,'TO HOP NLAN'!F136*'TS-PILE'!$D$85/SUMSQ('TS-PILE'!$D$72:$D$91))),IF('TS-PILE'!$B$86="",1E+99,'TO HOP NLAN'!D136/ncoc+IF(SUMSQ('TS-PILE'!$E$72:$E$91)=0,0,'TO HOP NLAN'!E136*'TS-PILE'!$E$86/SUMSQ('TS-PILE'!$E$72:$E$91))+IF(SUMSQ('TS-PILE'!$D$72:$D$91)=0,0,'TO HOP NLAN'!F136*'TS-PILE'!$D$86/SUMSQ('TS-PILE'!$D$72:$D$91))),IF('TS-PILE'!$B$87="",1E+99,'TO HOP NLAN'!D136/ncoc+IF(SUMSQ('TS-PILE'!$E$72:$E$91)=0,0,'TO HOP NLAN'!E136*'TS-PILE'!$E$87/SUMSQ('TS-PILE'!$E$72:$E$91))+IF(SUMSQ('TS-PILE'!$D$72:$D$91)=0,0,'TO HOP NLAN'!F136*'TS-PILE'!$D$87/SUMSQ('TS-PILE'!$D$72:$D$91))),IF('TS-PILE'!$B$88="",1E+99,'TO HOP NLAN'!D136/ncoc+IF(SUMSQ('TS-PILE'!$E$72:$E$91)=0,0,'TO HOP NLAN'!E136*'TS-PILE'!$E$88/SUMSQ('TS-PILE'!$E$72:$E$91))+IF(SUMSQ('TS-PILE'!$D$72:$D$91)=0,0,'TO HOP NLAN'!F136*'TS-PILE'!$D$88/SUMSQ('TS-PILE'!$D$72:$D$91))),IF('TS-PILE'!$B$89="",1E+99,'TO HOP NLAN'!D136/ncoc+IF(SUMSQ('TS-PILE'!$E$72:$E$91)=0,0,'TO HOP NLAN'!E136*'TS-PILE'!$E$89/SUMSQ('TS-PILE'!$E$72:$E$91))+IF(SUMSQ('TS-PILE'!$D$72:$D$91)=0,0,'TO HOP NLAN'!F136*'TS-PILE'!$D$89/SUMSQ('TS-PILE'!$D$72:$D$91))),IF('TS-PILE'!$B$90="",1E+99,'TO HOP NLAN'!D136/ncoc+IF(SUMSQ('TS-PILE'!$E$72:$E$91)=0,0,'TO HOP NLAN'!E136*'TS-PILE'!$E$90/SUMSQ('TS-PILE'!$E$72:$E$91))+IF(SUMSQ('TS-PILE'!$D$72:$D$91)=0,0,'TO HOP NLAN'!F136*'TS-PILE'!$D$90/SUMSQ('TS-PILE'!$D$72:$D$91))),IF('TS-PILE'!$B$91="",1E+99,'TO HOP NLAN'!D136/ncoc+IF(SUMSQ('TS-PILE'!$E$72:$E$91)=0,0,'TO HOP NLAN'!E136*'TS-PILE'!$E$91/SUMSQ('TS-PILE'!$E$72:$E$91))+IF(SUMSQ('TS-PILE'!$D$72:$D$91)=0,0,'TO HOP NLAN'!F136*'TS-PILE'!$D$91/SUMSQ('TS-PILE'!$D$72:$D$91)))))</f>
        <v>0</v>
      </c>
      <c r="E136" s="58">
        <f t="shared" si="8"/>
        <v>-9.9999999999999997E+98</v>
      </c>
      <c r="F136" s="58">
        <f t="shared" si="9"/>
        <v>9.9999999999999997E+98</v>
      </c>
      <c r="G136" s="58">
        <f t="shared" si="10"/>
        <v>-9.9999999999999997E+98</v>
      </c>
      <c r="H136" s="58">
        <f t="shared" si="11"/>
        <v>9.9999999999999997E+98</v>
      </c>
    </row>
    <row r="137" spans="1:8" x14ac:dyDescent="0.3">
      <c r="A137" s="42" t="str">
        <f>'TO HOP NLAN'!A137</f>
        <v/>
      </c>
      <c r="B137" s="42" t="str">
        <f>'TO HOP NLAN'!L137</f>
        <v>STRENGTH</v>
      </c>
      <c r="C137" s="58">
        <f>IF(A137="",0,MAX(IF('TS-PILE'!$B$72="",-1E+99,'TO HOP NLAN'!D137/ncoc+IF(SUMSQ('TS-PILE'!$E$72:$E$91)=0,0,'TO HOP NLAN'!E137*'TS-PILE'!$E$72/SUMSQ('TS-PILE'!$E$72:$E$91))+IF(SUMSQ('TS-PILE'!$D$72:$D$91)=0,0,'TO HOP NLAN'!F137*'TS-PILE'!$D$72/SUMSQ('TS-PILE'!$D$72:$D$91))),IF('TS-PILE'!$B$73="",-1E+99,'TO HOP NLAN'!D137/ncoc+IF(SUMSQ('TS-PILE'!$E$72:$E$91)=0,0,'TO HOP NLAN'!E137*'TS-PILE'!$E$73/SUMSQ('TS-PILE'!$E$72:$E$91))+IF(SUMSQ('TS-PILE'!$D$72:$D$91)=0,0,'TO HOP NLAN'!F137*'TS-PILE'!$D$73/SUMSQ('TS-PILE'!$D$72:$D$91))),IF('TS-PILE'!$B$74="",-1E+99,'TO HOP NLAN'!D137/ncoc+IF(SUMSQ('TS-PILE'!$E$72:$E$91)=0,0,'TO HOP NLAN'!E137*'TS-PILE'!$E$74/SUMSQ('TS-PILE'!$E$72:$E$91))+IF(SUMSQ('TS-PILE'!$D$72:$D$91)=0,0,'TO HOP NLAN'!F137*'TS-PILE'!$D$74/SUMSQ('TS-PILE'!$D$72:$D$91))),IF('TS-PILE'!$B$75="",-1E+99,'TO HOP NLAN'!D137/ncoc+IF(SUMSQ('TS-PILE'!$E$72:$E$91)=0,0,'TO HOP NLAN'!E137*'TS-PILE'!$E$75/SUMSQ('TS-PILE'!$E$72:$E$91))+IF(SUMSQ('TS-PILE'!$D$72:$D$91)=0,0,'TO HOP NLAN'!F137*'TS-PILE'!$D$75/SUMSQ('TS-PILE'!$D$72:$D$91))),IF('TS-PILE'!$B$76="",-1E+99,'TO HOP NLAN'!D137/ncoc+IF(SUMSQ('TS-PILE'!$E$72:$E$91)=0,0,'TO HOP NLAN'!E137*'TS-PILE'!$E$76/SUMSQ('TS-PILE'!$E$72:$E$91))+IF(SUMSQ('TS-PILE'!$D$72:$D$91)=0,0,'TO HOP NLAN'!F137*'TS-PILE'!$D$76/SUMSQ('TS-PILE'!$D$72:$D$91))),IF('TS-PILE'!$B$77="",-1E+99,'TO HOP NLAN'!D137/ncoc+IF(SUMSQ('TS-PILE'!$E$72:$E$91)=0,0,'TO HOP NLAN'!E137*'TS-PILE'!$E$77/SUMSQ('TS-PILE'!$E$72:$E$91))+IF(SUMSQ('TS-PILE'!$D$72:$D$91)=0,0,'TO HOP NLAN'!F137*'TS-PILE'!$D$77/SUMSQ('TS-PILE'!$D$72:$D$91))),IF('TS-PILE'!$B$78="",-1E+99,'TO HOP NLAN'!D137/ncoc+IF(SUMSQ('TS-PILE'!$E$72:$E$91)=0,0,'TO HOP NLAN'!E137*'TS-PILE'!$E$78/SUMSQ('TS-PILE'!$E$72:$E$91))+IF(SUMSQ('TS-PILE'!$D$72:$D$91)=0,0,'TO HOP NLAN'!F137*'TS-PILE'!$D$78/SUMSQ('TS-PILE'!$D$72:$D$91))),IF('TS-PILE'!$B$79="",-1E+99,'TO HOP NLAN'!D137/ncoc+IF(SUMSQ('TS-PILE'!$E$72:$E$91)=0,0,'TO HOP NLAN'!E137*'TS-PILE'!$E$79/SUMSQ('TS-PILE'!$E$72:$E$91))+IF(SUMSQ('TS-PILE'!$D$72:$D$91)=0,0,'TO HOP NLAN'!F137*'TS-PILE'!$D$79/SUMSQ('TS-PILE'!$D$72:$D$91))),IF('TS-PILE'!$B$80="",-1E+99,'TO HOP NLAN'!D137/ncoc+IF(SUMSQ('TS-PILE'!$E$72:$E$91)=0,0,'TO HOP NLAN'!E137*'TS-PILE'!$E$80/SUMSQ('TS-PILE'!$E$72:$E$91))+IF(SUMSQ('TS-PILE'!$D$72:$D$91)=0,0,'TO HOP NLAN'!F137*'TS-PILE'!$D$80/SUMSQ('TS-PILE'!$D$72:$D$91))),IF('TS-PILE'!$B$81="",-1E+99,'TO HOP NLAN'!D137/ncoc+IF(SUMSQ('TS-PILE'!$E$72:$E$91)=0,0,'TO HOP NLAN'!E137*'TS-PILE'!$E$81/SUMSQ('TS-PILE'!$E$72:$E$91))+IF(SUMSQ('TS-PILE'!$D$72:$D$91)=0,0,'TO HOP NLAN'!F137*'TS-PILE'!$D$81/SUMSQ('TS-PILE'!$D$72:$D$91))),IF('TS-PILE'!$B$82="",-1E+99,'TO HOP NLAN'!D137/ncoc+IF(SUMSQ('TS-PILE'!$E$72:$E$91)=0,0,'TO HOP NLAN'!E137*'TS-PILE'!$E$82/SUMSQ('TS-PILE'!$E$72:$E$91))+IF(SUMSQ('TS-PILE'!$D$72:$D$91)=0,0,'TO HOP NLAN'!F137*'TS-PILE'!$D$82/SUMSQ('TS-PILE'!$D$72:$D$91))),IF('TS-PILE'!$B$83="",-1E+99,'TO HOP NLAN'!D137/ncoc+IF(SUMSQ('TS-PILE'!$E$72:$E$91)=0,0,'TO HOP NLAN'!E137*'TS-PILE'!$E$83/SUMSQ('TS-PILE'!$E$72:$E$91))+IF(SUMSQ('TS-PILE'!$D$72:$D$91)=0,0,'TO HOP NLAN'!F137*'TS-PILE'!$D$83/SUMSQ('TS-PILE'!$D$72:$D$91))),IF('TS-PILE'!$B$84="",-1E+99,'TO HOP NLAN'!D137/ncoc+IF(SUMSQ('TS-PILE'!$E$72:$E$91)=0,0,'TO HOP NLAN'!E137*'TS-PILE'!$E$84/SUMSQ('TS-PILE'!$E$72:$E$91))+IF(SUMSQ('TS-PILE'!$D$72:$D$91)=0,0,'TO HOP NLAN'!F137*'TS-PILE'!$D$84/SUMSQ('TS-PILE'!$D$72:$D$91))),IF('TS-PILE'!$B$85="",-1E+99,'TO HOP NLAN'!D137/ncoc+IF(SUMSQ('TS-PILE'!$E$72:$E$91)=0,0,'TO HOP NLAN'!E137*'TS-PILE'!$E$85/SUMSQ('TS-PILE'!$E$72:$E$91))+IF(SUMSQ('TS-PILE'!$D$72:$D$91)=0,0,'TO HOP NLAN'!F137*'TS-PILE'!$D$85/SUMSQ('TS-PILE'!$D$72:$D$91))),IF('TS-PILE'!$B$86="",-1E+99,'TO HOP NLAN'!D137/ncoc+IF(SUMSQ('TS-PILE'!$E$72:$E$91)=0,0,'TO HOP NLAN'!E137*'TS-PILE'!$E$86/SUMSQ('TS-PILE'!$E$72:$E$91))+IF(SUMSQ('TS-PILE'!$D$72:$D$91)=0,0,'TO HOP NLAN'!F137*'TS-PILE'!$D$86/SUMSQ('TS-PILE'!$D$72:$D$91))),IF('TS-PILE'!$B$87="",-1E+99,'TO HOP NLAN'!D137/ncoc+IF(SUMSQ('TS-PILE'!$E$72:$E$91)=0,0,'TO HOP NLAN'!E137*'TS-PILE'!$E$87/SUMSQ('TS-PILE'!$E$72:$E$91))+IF(SUMSQ('TS-PILE'!$D$72:$D$91)=0,0,'TO HOP NLAN'!F137*'TS-PILE'!$D$87/SUMSQ('TS-PILE'!$D$72:$D$91))),IF('TS-PILE'!$B$88="",-1E+99,'TO HOP NLAN'!D137/ncoc+IF(SUMSQ('TS-PILE'!$E$72:$E$91)=0,0,'TO HOP NLAN'!E137*'TS-PILE'!$E$88/SUMSQ('TS-PILE'!$E$72:$E$91))+IF(SUMSQ('TS-PILE'!$D$72:$D$91)=0,0,'TO HOP NLAN'!F137*'TS-PILE'!$D$88/SUMSQ('TS-PILE'!$D$72:$D$91))),IF('TS-PILE'!$B$89="",-1E+99,'TO HOP NLAN'!D137/ncoc+IF(SUMSQ('TS-PILE'!$E$72:$E$91)=0,0,'TO HOP NLAN'!E137*'TS-PILE'!$E$89/SUMSQ('TS-PILE'!$E$72:$E$91))+IF(SUMSQ('TS-PILE'!$D$72:$D$91)=0,0,'TO HOP NLAN'!F137*'TS-PILE'!$D$89/SUMSQ('TS-PILE'!$D$72:$D$91))),IF('TS-PILE'!$B$90="",-1E+99,'TO HOP NLAN'!D137/ncoc+IF(SUMSQ('TS-PILE'!$E$72:$E$91)=0,0,'TO HOP NLAN'!E137*'TS-PILE'!$E$90/SUMSQ('TS-PILE'!$E$72:$E$91))+IF(SUMSQ('TS-PILE'!$D$72:$D$91)=0,0,'TO HOP NLAN'!F137*'TS-PILE'!$D$90/SUMSQ('TS-PILE'!$D$72:$D$91))),IF('TS-PILE'!$B$91="",-1E+99,'TO HOP NLAN'!D137/ncoc+IF(SUMSQ('TS-PILE'!$E$72:$E$91)=0,0,'TO HOP NLAN'!E137*'TS-PILE'!$E$91/SUMSQ('TS-PILE'!$E$72:$E$91))+IF(SUMSQ('TS-PILE'!$D$72:$D$91)=0,0,'TO HOP NLAN'!F137*'TS-PILE'!$D$91/SUMSQ('TS-PILE'!$D$72:$D$91)))))</f>
        <v>0</v>
      </c>
      <c r="D137" s="58">
        <f>IF(A137="",0,MIN(IF('TS-PILE'!$B$72="",1E+99,'TO HOP NLAN'!D137/ncoc+IF(SUMSQ('TS-PILE'!$E$72:$E$91)=0,0,'TO HOP NLAN'!E137*'TS-PILE'!$E$72/SUMSQ('TS-PILE'!$E$72:$E$91))+IF(SUMSQ('TS-PILE'!$D$72:$D$91)=0,0,'TO HOP NLAN'!F137*'TS-PILE'!$D$72/SUMSQ('TS-PILE'!$D$72:$D$91))),IF('TS-PILE'!$B$73="",1E+99,'TO HOP NLAN'!D137/ncoc+IF(SUMSQ('TS-PILE'!$E$72:$E$91)=0,0,'TO HOP NLAN'!E137*'TS-PILE'!$E$73/SUMSQ('TS-PILE'!$E$72:$E$91))+IF(SUMSQ('TS-PILE'!$D$72:$D$91)=0,0,'TO HOP NLAN'!F137*'TS-PILE'!$D$73/SUMSQ('TS-PILE'!$D$72:$D$91))),IF('TS-PILE'!$B$74="",1E+99,'TO HOP NLAN'!D137/ncoc+IF(SUMSQ('TS-PILE'!$E$72:$E$91)=0,0,'TO HOP NLAN'!E137*'TS-PILE'!$E$74/SUMSQ('TS-PILE'!$E$72:$E$91))+IF(SUMSQ('TS-PILE'!$D$72:$D$91)=0,0,'TO HOP NLAN'!F137*'TS-PILE'!$D$74/SUMSQ('TS-PILE'!$D$72:$D$91))),IF('TS-PILE'!$B$75="",1E+99,'TO HOP NLAN'!D137/ncoc+IF(SUMSQ('TS-PILE'!$E$72:$E$91)=0,0,'TO HOP NLAN'!E137*'TS-PILE'!$E$75/SUMSQ('TS-PILE'!$E$72:$E$91))+IF(SUMSQ('TS-PILE'!$D$72:$D$91)=0,0,'TO HOP NLAN'!F137*'TS-PILE'!$D$75/SUMSQ('TS-PILE'!$D$72:$D$91))),IF('TS-PILE'!$B$76="",1E+99,'TO HOP NLAN'!D137/ncoc+IF(SUMSQ('TS-PILE'!$E$72:$E$91)=0,0,'TO HOP NLAN'!E137*'TS-PILE'!$E$76/SUMSQ('TS-PILE'!$E$72:$E$91))+IF(SUMSQ('TS-PILE'!$D$72:$D$91)=0,0,'TO HOP NLAN'!F137*'TS-PILE'!$D$76/SUMSQ('TS-PILE'!$D$72:$D$91))),IF('TS-PILE'!$B$77="",1E+99,'TO HOP NLAN'!D137/ncoc+IF(SUMSQ('TS-PILE'!$E$72:$E$91)=0,0,'TO HOP NLAN'!E137*'TS-PILE'!$E$77/SUMSQ('TS-PILE'!$E$72:$E$91))+IF(SUMSQ('TS-PILE'!$D$72:$D$91)=0,0,'TO HOP NLAN'!F137*'TS-PILE'!$D$77/SUMSQ('TS-PILE'!$D$72:$D$91))),IF('TS-PILE'!$B$78="",1E+99,'TO HOP NLAN'!D137/ncoc+IF(SUMSQ('TS-PILE'!$E$72:$E$91)=0,0,'TO HOP NLAN'!E137*'TS-PILE'!$E$78/SUMSQ('TS-PILE'!$E$72:$E$91))+IF(SUMSQ('TS-PILE'!$D$72:$D$91)=0,0,'TO HOP NLAN'!F137*'TS-PILE'!$D$78/SUMSQ('TS-PILE'!$D$72:$D$91))),IF('TS-PILE'!$B$79="",1E+99,'TO HOP NLAN'!D137/ncoc+IF(SUMSQ('TS-PILE'!$E$72:$E$91)=0,0,'TO HOP NLAN'!E137*'TS-PILE'!$E$79/SUMSQ('TS-PILE'!$E$72:$E$91))+IF(SUMSQ('TS-PILE'!$D$72:$D$91)=0,0,'TO HOP NLAN'!F137*'TS-PILE'!$D$79/SUMSQ('TS-PILE'!$D$72:$D$91))),IF('TS-PILE'!$B$80="",1E+99,'TO HOP NLAN'!D137/ncoc+IF(SUMSQ('TS-PILE'!$E$72:$E$91)=0,0,'TO HOP NLAN'!E137*'TS-PILE'!$E$80/SUMSQ('TS-PILE'!$E$72:$E$91))+IF(SUMSQ('TS-PILE'!$D$72:$D$91)=0,0,'TO HOP NLAN'!F137*'TS-PILE'!$D$80/SUMSQ('TS-PILE'!$D$72:$D$91))),IF('TS-PILE'!$B$81="",1E+99,'TO HOP NLAN'!D137/ncoc+IF(SUMSQ('TS-PILE'!$E$72:$E$91)=0,0,'TO HOP NLAN'!E137*'TS-PILE'!$E$81/SUMSQ('TS-PILE'!$E$72:$E$91))+IF(SUMSQ('TS-PILE'!$D$72:$D$91)=0,0,'TO HOP NLAN'!F137*'TS-PILE'!$D$81/SUMSQ('TS-PILE'!$D$72:$D$91))),IF('TS-PILE'!$B$82="",1E+99,'TO HOP NLAN'!D137/ncoc+IF(SUMSQ('TS-PILE'!$E$72:$E$91)=0,0,'TO HOP NLAN'!E137*'TS-PILE'!$E$82/SUMSQ('TS-PILE'!$E$72:$E$91))+IF(SUMSQ('TS-PILE'!$D$72:$D$91)=0,0,'TO HOP NLAN'!F137*'TS-PILE'!$D$82/SUMSQ('TS-PILE'!$D$72:$D$91))),IF('TS-PILE'!$B$83="",1E+99,'TO HOP NLAN'!D137/ncoc+IF(SUMSQ('TS-PILE'!$E$72:$E$91)=0,0,'TO HOP NLAN'!E137*'TS-PILE'!$E$83/SUMSQ('TS-PILE'!$E$72:$E$91))+IF(SUMSQ('TS-PILE'!$D$72:$D$91)=0,0,'TO HOP NLAN'!F137*'TS-PILE'!$D$83/SUMSQ('TS-PILE'!$D$72:$D$91))),IF('TS-PILE'!$B$84="",1E+99,'TO HOP NLAN'!D137/ncoc+IF(SUMSQ('TS-PILE'!$E$72:$E$91)=0,0,'TO HOP NLAN'!E137*'TS-PILE'!$E$84/SUMSQ('TS-PILE'!$E$72:$E$91))+IF(SUMSQ('TS-PILE'!$D$72:$D$91)=0,0,'TO HOP NLAN'!F137*'TS-PILE'!$D$84/SUMSQ('TS-PILE'!$D$72:$D$91))),IF('TS-PILE'!$B$85="",1E+99,'TO HOP NLAN'!D137/ncoc+IF(SUMSQ('TS-PILE'!$E$72:$E$91)=0,0,'TO HOP NLAN'!E137*'TS-PILE'!$E$85/SUMSQ('TS-PILE'!$E$72:$E$91))+IF(SUMSQ('TS-PILE'!$D$72:$D$91)=0,0,'TO HOP NLAN'!F137*'TS-PILE'!$D$85/SUMSQ('TS-PILE'!$D$72:$D$91))),IF('TS-PILE'!$B$86="",1E+99,'TO HOP NLAN'!D137/ncoc+IF(SUMSQ('TS-PILE'!$E$72:$E$91)=0,0,'TO HOP NLAN'!E137*'TS-PILE'!$E$86/SUMSQ('TS-PILE'!$E$72:$E$91))+IF(SUMSQ('TS-PILE'!$D$72:$D$91)=0,0,'TO HOP NLAN'!F137*'TS-PILE'!$D$86/SUMSQ('TS-PILE'!$D$72:$D$91))),IF('TS-PILE'!$B$87="",1E+99,'TO HOP NLAN'!D137/ncoc+IF(SUMSQ('TS-PILE'!$E$72:$E$91)=0,0,'TO HOP NLAN'!E137*'TS-PILE'!$E$87/SUMSQ('TS-PILE'!$E$72:$E$91))+IF(SUMSQ('TS-PILE'!$D$72:$D$91)=0,0,'TO HOP NLAN'!F137*'TS-PILE'!$D$87/SUMSQ('TS-PILE'!$D$72:$D$91))),IF('TS-PILE'!$B$88="",1E+99,'TO HOP NLAN'!D137/ncoc+IF(SUMSQ('TS-PILE'!$E$72:$E$91)=0,0,'TO HOP NLAN'!E137*'TS-PILE'!$E$88/SUMSQ('TS-PILE'!$E$72:$E$91))+IF(SUMSQ('TS-PILE'!$D$72:$D$91)=0,0,'TO HOP NLAN'!F137*'TS-PILE'!$D$88/SUMSQ('TS-PILE'!$D$72:$D$91))),IF('TS-PILE'!$B$89="",1E+99,'TO HOP NLAN'!D137/ncoc+IF(SUMSQ('TS-PILE'!$E$72:$E$91)=0,0,'TO HOP NLAN'!E137*'TS-PILE'!$E$89/SUMSQ('TS-PILE'!$E$72:$E$91))+IF(SUMSQ('TS-PILE'!$D$72:$D$91)=0,0,'TO HOP NLAN'!F137*'TS-PILE'!$D$89/SUMSQ('TS-PILE'!$D$72:$D$91))),IF('TS-PILE'!$B$90="",1E+99,'TO HOP NLAN'!D137/ncoc+IF(SUMSQ('TS-PILE'!$E$72:$E$91)=0,0,'TO HOP NLAN'!E137*'TS-PILE'!$E$90/SUMSQ('TS-PILE'!$E$72:$E$91))+IF(SUMSQ('TS-PILE'!$D$72:$D$91)=0,0,'TO HOP NLAN'!F137*'TS-PILE'!$D$90/SUMSQ('TS-PILE'!$D$72:$D$91))),IF('TS-PILE'!$B$91="",1E+99,'TO HOP NLAN'!D137/ncoc+IF(SUMSQ('TS-PILE'!$E$72:$E$91)=0,0,'TO HOP NLAN'!E137*'TS-PILE'!$E$91/SUMSQ('TS-PILE'!$E$72:$E$91))+IF(SUMSQ('TS-PILE'!$D$72:$D$91)=0,0,'TO HOP NLAN'!F137*'TS-PILE'!$D$91/SUMSQ('TS-PILE'!$D$72:$D$91)))))</f>
        <v>0</v>
      </c>
      <c r="E137" s="58">
        <f t="shared" si="8"/>
        <v>-9.9999999999999997E+98</v>
      </c>
      <c r="F137" s="58">
        <f t="shared" si="9"/>
        <v>9.9999999999999997E+98</v>
      </c>
      <c r="G137" s="58">
        <f t="shared" si="10"/>
        <v>-9.9999999999999997E+98</v>
      </c>
      <c r="H137" s="58">
        <f t="shared" si="11"/>
        <v>9.9999999999999997E+98</v>
      </c>
    </row>
    <row r="138" spans="1:8" x14ac:dyDescent="0.3">
      <c r="A138" s="42" t="str">
        <f>'TO HOP NLAN'!A138</f>
        <v/>
      </c>
      <c r="B138" s="42" t="str">
        <f>'TO HOP NLAN'!L138</f>
        <v>STRENGTH</v>
      </c>
      <c r="C138" s="58">
        <f>IF(A138="",0,MAX(IF('TS-PILE'!$B$72="",-1E+99,'TO HOP NLAN'!D138/ncoc+IF(SUMSQ('TS-PILE'!$E$72:$E$91)=0,0,'TO HOP NLAN'!E138*'TS-PILE'!$E$72/SUMSQ('TS-PILE'!$E$72:$E$91))+IF(SUMSQ('TS-PILE'!$D$72:$D$91)=0,0,'TO HOP NLAN'!F138*'TS-PILE'!$D$72/SUMSQ('TS-PILE'!$D$72:$D$91))),IF('TS-PILE'!$B$73="",-1E+99,'TO HOP NLAN'!D138/ncoc+IF(SUMSQ('TS-PILE'!$E$72:$E$91)=0,0,'TO HOP NLAN'!E138*'TS-PILE'!$E$73/SUMSQ('TS-PILE'!$E$72:$E$91))+IF(SUMSQ('TS-PILE'!$D$72:$D$91)=0,0,'TO HOP NLAN'!F138*'TS-PILE'!$D$73/SUMSQ('TS-PILE'!$D$72:$D$91))),IF('TS-PILE'!$B$74="",-1E+99,'TO HOP NLAN'!D138/ncoc+IF(SUMSQ('TS-PILE'!$E$72:$E$91)=0,0,'TO HOP NLAN'!E138*'TS-PILE'!$E$74/SUMSQ('TS-PILE'!$E$72:$E$91))+IF(SUMSQ('TS-PILE'!$D$72:$D$91)=0,0,'TO HOP NLAN'!F138*'TS-PILE'!$D$74/SUMSQ('TS-PILE'!$D$72:$D$91))),IF('TS-PILE'!$B$75="",-1E+99,'TO HOP NLAN'!D138/ncoc+IF(SUMSQ('TS-PILE'!$E$72:$E$91)=0,0,'TO HOP NLAN'!E138*'TS-PILE'!$E$75/SUMSQ('TS-PILE'!$E$72:$E$91))+IF(SUMSQ('TS-PILE'!$D$72:$D$91)=0,0,'TO HOP NLAN'!F138*'TS-PILE'!$D$75/SUMSQ('TS-PILE'!$D$72:$D$91))),IF('TS-PILE'!$B$76="",-1E+99,'TO HOP NLAN'!D138/ncoc+IF(SUMSQ('TS-PILE'!$E$72:$E$91)=0,0,'TO HOP NLAN'!E138*'TS-PILE'!$E$76/SUMSQ('TS-PILE'!$E$72:$E$91))+IF(SUMSQ('TS-PILE'!$D$72:$D$91)=0,0,'TO HOP NLAN'!F138*'TS-PILE'!$D$76/SUMSQ('TS-PILE'!$D$72:$D$91))),IF('TS-PILE'!$B$77="",-1E+99,'TO HOP NLAN'!D138/ncoc+IF(SUMSQ('TS-PILE'!$E$72:$E$91)=0,0,'TO HOP NLAN'!E138*'TS-PILE'!$E$77/SUMSQ('TS-PILE'!$E$72:$E$91))+IF(SUMSQ('TS-PILE'!$D$72:$D$91)=0,0,'TO HOP NLAN'!F138*'TS-PILE'!$D$77/SUMSQ('TS-PILE'!$D$72:$D$91))),IF('TS-PILE'!$B$78="",-1E+99,'TO HOP NLAN'!D138/ncoc+IF(SUMSQ('TS-PILE'!$E$72:$E$91)=0,0,'TO HOP NLAN'!E138*'TS-PILE'!$E$78/SUMSQ('TS-PILE'!$E$72:$E$91))+IF(SUMSQ('TS-PILE'!$D$72:$D$91)=0,0,'TO HOP NLAN'!F138*'TS-PILE'!$D$78/SUMSQ('TS-PILE'!$D$72:$D$91))),IF('TS-PILE'!$B$79="",-1E+99,'TO HOP NLAN'!D138/ncoc+IF(SUMSQ('TS-PILE'!$E$72:$E$91)=0,0,'TO HOP NLAN'!E138*'TS-PILE'!$E$79/SUMSQ('TS-PILE'!$E$72:$E$91))+IF(SUMSQ('TS-PILE'!$D$72:$D$91)=0,0,'TO HOP NLAN'!F138*'TS-PILE'!$D$79/SUMSQ('TS-PILE'!$D$72:$D$91))),IF('TS-PILE'!$B$80="",-1E+99,'TO HOP NLAN'!D138/ncoc+IF(SUMSQ('TS-PILE'!$E$72:$E$91)=0,0,'TO HOP NLAN'!E138*'TS-PILE'!$E$80/SUMSQ('TS-PILE'!$E$72:$E$91))+IF(SUMSQ('TS-PILE'!$D$72:$D$91)=0,0,'TO HOP NLAN'!F138*'TS-PILE'!$D$80/SUMSQ('TS-PILE'!$D$72:$D$91))),IF('TS-PILE'!$B$81="",-1E+99,'TO HOP NLAN'!D138/ncoc+IF(SUMSQ('TS-PILE'!$E$72:$E$91)=0,0,'TO HOP NLAN'!E138*'TS-PILE'!$E$81/SUMSQ('TS-PILE'!$E$72:$E$91))+IF(SUMSQ('TS-PILE'!$D$72:$D$91)=0,0,'TO HOP NLAN'!F138*'TS-PILE'!$D$81/SUMSQ('TS-PILE'!$D$72:$D$91))),IF('TS-PILE'!$B$82="",-1E+99,'TO HOP NLAN'!D138/ncoc+IF(SUMSQ('TS-PILE'!$E$72:$E$91)=0,0,'TO HOP NLAN'!E138*'TS-PILE'!$E$82/SUMSQ('TS-PILE'!$E$72:$E$91))+IF(SUMSQ('TS-PILE'!$D$72:$D$91)=0,0,'TO HOP NLAN'!F138*'TS-PILE'!$D$82/SUMSQ('TS-PILE'!$D$72:$D$91))),IF('TS-PILE'!$B$83="",-1E+99,'TO HOP NLAN'!D138/ncoc+IF(SUMSQ('TS-PILE'!$E$72:$E$91)=0,0,'TO HOP NLAN'!E138*'TS-PILE'!$E$83/SUMSQ('TS-PILE'!$E$72:$E$91))+IF(SUMSQ('TS-PILE'!$D$72:$D$91)=0,0,'TO HOP NLAN'!F138*'TS-PILE'!$D$83/SUMSQ('TS-PILE'!$D$72:$D$91))),IF('TS-PILE'!$B$84="",-1E+99,'TO HOP NLAN'!D138/ncoc+IF(SUMSQ('TS-PILE'!$E$72:$E$91)=0,0,'TO HOP NLAN'!E138*'TS-PILE'!$E$84/SUMSQ('TS-PILE'!$E$72:$E$91))+IF(SUMSQ('TS-PILE'!$D$72:$D$91)=0,0,'TO HOP NLAN'!F138*'TS-PILE'!$D$84/SUMSQ('TS-PILE'!$D$72:$D$91))),IF('TS-PILE'!$B$85="",-1E+99,'TO HOP NLAN'!D138/ncoc+IF(SUMSQ('TS-PILE'!$E$72:$E$91)=0,0,'TO HOP NLAN'!E138*'TS-PILE'!$E$85/SUMSQ('TS-PILE'!$E$72:$E$91))+IF(SUMSQ('TS-PILE'!$D$72:$D$91)=0,0,'TO HOP NLAN'!F138*'TS-PILE'!$D$85/SUMSQ('TS-PILE'!$D$72:$D$91))),IF('TS-PILE'!$B$86="",-1E+99,'TO HOP NLAN'!D138/ncoc+IF(SUMSQ('TS-PILE'!$E$72:$E$91)=0,0,'TO HOP NLAN'!E138*'TS-PILE'!$E$86/SUMSQ('TS-PILE'!$E$72:$E$91))+IF(SUMSQ('TS-PILE'!$D$72:$D$91)=0,0,'TO HOP NLAN'!F138*'TS-PILE'!$D$86/SUMSQ('TS-PILE'!$D$72:$D$91))),IF('TS-PILE'!$B$87="",-1E+99,'TO HOP NLAN'!D138/ncoc+IF(SUMSQ('TS-PILE'!$E$72:$E$91)=0,0,'TO HOP NLAN'!E138*'TS-PILE'!$E$87/SUMSQ('TS-PILE'!$E$72:$E$91))+IF(SUMSQ('TS-PILE'!$D$72:$D$91)=0,0,'TO HOP NLAN'!F138*'TS-PILE'!$D$87/SUMSQ('TS-PILE'!$D$72:$D$91))),IF('TS-PILE'!$B$88="",-1E+99,'TO HOP NLAN'!D138/ncoc+IF(SUMSQ('TS-PILE'!$E$72:$E$91)=0,0,'TO HOP NLAN'!E138*'TS-PILE'!$E$88/SUMSQ('TS-PILE'!$E$72:$E$91))+IF(SUMSQ('TS-PILE'!$D$72:$D$91)=0,0,'TO HOP NLAN'!F138*'TS-PILE'!$D$88/SUMSQ('TS-PILE'!$D$72:$D$91))),IF('TS-PILE'!$B$89="",-1E+99,'TO HOP NLAN'!D138/ncoc+IF(SUMSQ('TS-PILE'!$E$72:$E$91)=0,0,'TO HOP NLAN'!E138*'TS-PILE'!$E$89/SUMSQ('TS-PILE'!$E$72:$E$91))+IF(SUMSQ('TS-PILE'!$D$72:$D$91)=0,0,'TO HOP NLAN'!F138*'TS-PILE'!$D$89/SUMSQ('TS-PILE'!$D$72:$D$91))),IF('TS-PILE'!$B$90="",-1E+99,'TO HOP NLAN'!D138/ncoc+IF(SUMSQ('TS-PILE'!$E$72:$E$91)=0,0,'TO HOP NLAN'!E138*'TS-PILE'!$E$90/SUMSQ('TS-PILE'!$E$72:$E$91))+IF(SUMSQ('TS-PILE'!$D$72:$D$91)=0,0,'TO HOP NLAN'!F138*'TS-PILE'!$D$90/SUMSQ('TS-PILE'!$D$72:$D$91))),IF('TS-PILE'!$B$91="",-1E+99,'TO HOP NLAN'!D138/ncoc+IF(SUMSQ('TS-PILE'!$E$72:$E$91)=0,0,'TO HOP NLAN'!E138*'TS-PILE'!$E$91/SUMSQ('TS-PILE'!$E$72:$E$91))+IF(SUMSQ('TS-PILE'!$D$72:$D$91)=0,0,'TO HOP NLAN'!F138*'TS-PILE'!$D$91/SUMSQ('TS-PILE'!$D$72:$D$91)))))</f>
        <v>0</v>
      </c>
      <c r="D138" s="58">
        <f>IF(A138="",0,MIN(IF('TS-PILE'!$B$72="",1E+99,'TO HOP NLAN'!D138/ncoc+IF(SUMSQ('TS-PILE'!$E$72:$E$91)=0,0,'TO HOP NLAN'!E138*'TS-PILE'!$E$72/SUMSQ('TS-PILE'!$E$72:$E$91))+IF(SUMSQ('TS-PILE'!$D$72:$D$91)=0,0,'TO HOP NLAN'!F138*'TS-PILE'!$D$72/SUMSQ('TS-PILE'!$D$72:$D$91))),IF('TS-PILE'!$B$73="",1E+99,'TO HOP NLAN'!D138/ncoc+IF(SUMSQ('TS-PILE'!$E$72:$E$91)=0,0,'TO HOP NLAN'!E138*'TS-PILE'!$E$73/SUMSQ('TS-PILE'!$E$72:$E$91))+IF(SUMSQ('TS-PILE'!$D$72:$D$91)=0,0,'TO HOP NLAN'!F138*'TS-PILE'!$D$73/SUMSQ('TS-PILE'!$D$72:$D$91))),IF('TS-PILE'!$B$74="",1E+99,'TO HOP NLAN'!D138/ncoc+IF(SUMSQ('TS-PILE'!$E$72:$E$91)=0,0,'TO HOP NLAN'!E138*'TS-PILE'!$E$74/SUMSQ('TS-PILE'!$E$72:$E$91))+IF(SUMSQ('TS-PILE'!$D$72:$D$91)=0,0,'TO HOP NLAN'!F138*'TS-PILE'!$D$74/SUMSQ('TS-PILE'!$D$72:$D$91))),IF('TS-PILE'!$B$75="",1E+99,'TO HOP NLAN'!D138/ncoc+IF(SUMSQ('TS-PILE'!$E$72:$E$91)=0,0,'TO HOP NLAN'!E138*'TS-PILE'!$E$75/SUMSQ('TS-PILE'!$E$72:$E$91))+IF(SUMSQ('TS-PILE'!$D$72:$D$91)=0,0,'TO HOP NLAN'!F138*'TS-PILE'!$D$75/SUMSQ('TS-PILE'!$D$72:$D$91))),IF('TS-PILE'!$B$76="",1E+99,'TO HOP NLAN'!D138/ncoc+IF(SUMSQ('TS-PILE'!$E$72:$E$91)=0,0,'TO HOP NLAN'!E138*'TS-PILE'!$E$76/SUMSQ('TS-PILE'!$E$72:$E$91))+IF(SUMSQ('TS-PILE'!$D$72:$D$91)=0,0,'TO HOP NLAN'!F138*'TS-PILE'!$D$76/SUMSQ('TS-PILE'!$D$72:$D$91))),IF('TS-PILE'!$B$77="",1E+99,'TO HOP NLAN'!D138/ncoc+IF(SUMSQ('TS-PILE'!$E$72:$E$91)=0,0,'TO HOP NLAN'!E138*'TS-PILE'!$E$77/SUMSQ('TS-PILE'!$E$72:$E$91))+IF(SUMSQ('TS-PILE'!$D$72:$D$91)=0,0,'TO HOP NLAN'!F138*'TS-PILE'!$D$77/SUMSQ('TS-PILE'!$D$72:$D$91))),IF('TS-PILE'!$B$78="",1E+99,'TO HOP NLAN'!D138/ncoc+IF(SUMSQ('TS-PILE'!$E$72:$E$91)=0,0,'TO HOP NLAN'!E138*'TS-PILE'!$E$78/SUMSQ('TS-PILE'!$E$72:$E$91))+IF(SUMSQ('TS-PILE'!$D$72:$D$91)=0,0,'TO HOP NLAN'!F138*'TS-PILE'!$D$78/SUMSQ('TS-PILE'!$D$72:$D$91))),IF('TS-PILE'!$B$79="",1E+99,'TO HOP NLAN'!D138/ncoc+IF(SUMSQ('TS-PILE'!$E$72:$E$91)=0,0,'TO HOP NLAN'!E138*'TS-PILE'!$E$79/SUMSQ('TS-PILE'!$E$72:$E$91))+IF(SUMSQ('TS-PILE'!$D$72:$D$91)=0,0,'TO HOP NLAN'!F138*'TS-PILE'!$D$79/SUMSQ('TS-PILE'!$D$72:$D$91))),IF('TS-PILE'!$B$80="",1E+99,'TO HOP NLAN'!D138/ncoc+IF(SUMSQ('TS-PILE'!$E$72:$E$91)=0,0,'TO HOP NLAN'!E138*'TS-PILE'!$E$80/SUMSQ('TS-PILE'!$E$72:$E$91))+IF(SUMSQ('TS-PILE'!$D$72:$D$91)=0,0,'TO HOP NLAN'!F138*'TS-PILE'!$D$80/SUMSQ('TS-PILE'!$D$72:$D$91))),IF('TS-PILE'!$B$81="",1E+99,'TO HOP NLAN'!D138/ncoc+IF(SUMSQ('TS-PILE'!$E$72:$E$91)=0,0,'TO HOP NLAN'!E138*'TS-PILE'!$E$81/SUMSQ('TS-PILE'!$E$72:$E$91))+IF(SUMSQ('TS-PILE'!$D$72:$D$91)=0,0,'TO HOP NLAN'!F138*'TS-PILE'!$D$81/SUMSQ('TS-PILE'!$D$72:$D$91))),IF('TS-PILE'!$B$82="",1E+99,'TO HOP NLAN'!D138/ncoc+IF(SUMSQ('TS-PILE'!$E$72:$E$91)=0,0,'TO HOP NLAN'!E138*'TS-PILE'!$E$82/SUMSQ('TS-PILE'!$E$72:$E$91))+IF(SUMSQ('TS-PILE'!$D$72:$D$91)=0,0,'TO HOP NLAN'!F138*'TS-PILE'!$D$82/SUMSQ('TS-PILE'!$D$72:$D$91))),IF('TS-PILE'!$B$83="",1E+99,'TO HOP NLAN'!D138/ncoc+IF(SUMSQ('TS-PILE'!$E$72:$E$91)=0,0,'TO HOP NLAN'!E138*'TS-PILE'!$E$83/SUMSQ('TS-PILE'!$E$72:$E$91))+IF(SUMSQ('TS-PILE'!$D$72:$D$91)=0,0,'TO HOP NLAN'!F138*'TS-PILE'!$D$83/SUMSQ('TS-PILE'!$D$72:$D$91))),IF('TS-PILE'!$B$84="",1E+99,'TO HOP NLAN'!D138/ncoc+IF(SUMSQ('TS-PILE'!$E$72:$E$91)=0,0,'TO HOP NLAN'!E138*'TS-PILE'!$E$84/SUMSQ('TS-PILE'!$E$72:$E$91))+IF(SUMSQ('TS-PILE'!$D$72:$D$91)=0,0,'TO HOP NLAN'!F138*'TS-PILE'!$D$84/SUMSQ('TS-PILE'!$D$72:$D$91))),IF('TS-PILE'!$B$85="",1E+99,'TO HOP NLAN'!D138/ncoc+IF(SUMSQ('TS-PILE'!$E$72:$E$91)=0,0,'TO HOP NLAN'!E138*'TS-PILE'!$E$85/SUMSQ('TS-PILE'!$E$72:$E$91))+IF(SUMSQ('TS-PILE'!$D$72:$D$91)=0,0,'TO HOP NLAN'!F138*'TS-PILE'!$D$85/SUMSQ('TS-PILE'!$D$72:$D$91))),IF('TS-PILE'!$B$86="",1E+99,'TO HOP NLAN'!D138/ncoc+IF(SUMSQ('TS-PILE'!$E$72:$E$91)=0,0,'TO HOP NLAN'!E138*'TS-PILE'!$E$86/SUMSQ('TS-PILE'!$E$72:$E$91))+IF(SUMSQ('TS-PILE'!$D$72:$D$91)=0,0,'TO HOP NLAN'!F138*'TS-PILE'!$D$86/SUMSQ('TS-PILE'!$D$72:$D$91))),IF('TS-PILE'!$B$87="",1E+99,'TO HOP NLAN'!D138/ncoc+IF(SUMSQ('TS-PILE'!$E$72:$E$91)=0,0,'TO HOP NLAN'!E138*'TS-PILE'!$E$87/SUMSQ('TS-PILE'!$E$72:$E$91))+IF(SUMSQ('TS-PILE'!$D$72:$D$91)=0,0,'TO HOP NLAN'!F138*'TS-PILE'!$D$87/SUMSQ('TS-PILE'!$D$72:$D$91))),IF('TS-PILE'!$B$88="",1E+99,'TO HOP NLAN'!D138/ncoc+IF(SUMSQ('TS-PILE'!$E$72:$E$91)=0,0,'TO HOP NLAN'!E138*'TS-PILE'!$E$88/SUMSQ('TS-PILE'!$E$72:$E$91))+IF(SUMSQ('TS-PILE'!$D$72:$D$91)=0,0,'TO HOP NLAN'!F138*'TS-PILE'!$D$88/SUMSQ('TS-PILE'!$D$72:$D$91))),IF('TS-PILE'!$B$89="",1E+99,'TO HOP NLAN'!D138/ncoc+IF(SUMSQ('TS-PILE'!$E$72:$E$91)=0,0,'TO HOP NLAN'!E138*'TS-PILE'!$E$89/SUMSQ('TS-PILE'!$E$72:$E$91))+IF(SUMSQ('TS-PILE'!$D$72:$D$91)=0,0,'TO HOP NLAN'!F138*'TS-PILE'!$D$89/SUMSQ('TS-PILE'!$D$72:$D$91))),IF('TS-PILE'!$B$90="",1E+99,'TO HOP NLAN'!D138/ncoc+IF(SUMSQ('TS-PILE'!$E$72:$E$91)=0,0,'TO HOP NLAN'!E138*'TS-PILE'!$E$90/SUMSQ('TS-PILE'!$E$72:$E$91))+IF(SUMSQ('TS-PILE'!$D$72:$D$91)=0,0,'TO HOP NLAN'!F138*'TS-PILE'!$D$90/SUMSQ('TS-PILE'!$D$72:$D$91))),IF('TS-PILE'!$B$91="",1E+99,'TO HOP NLAN'!D138/ncoc+IF(SUMSQ('TS-PILE'!$E$72:$E$91)=0,0,'TO HOP NLAN'!E138*'TS-PILE'!$E$91/SUMSQ('TS-PILE'!$E$72:$E$91))+IF(SUMSQ('TS-PILE'!$D$72:$D$91)=0,0,'TO HOP NLAN'!F138*'TS-PILE'!$D$91/SUMSQ('TS-PILE'!$D$72:$D$91)))))</f>
        <v>0</v>
      </c>
      <c r="E138" s="58">
        <f t="shared" si="8"/>
        <v>-9.9999999999999997E+98</v>
      </c>
      <c r="F138" s="58">
        <f t="shared" si="9"/>
        <v>9.9999999999999997E+98</v>
      </c>
      <c r="G138" s="58">
        <f t="shared" si="10"/>
        <v>-9.9999999999999997E+98</v>
      </c>
      <c r="H138" s="58">
        <f t="shared" si="11"/>
        <v>9.9999999999999997E+98</v>
      </c>
    </row>
    <row r="139" spans="1:8" x14ac:dyDescent="0.3">
      <c r="A139" s="42" t="str">
        <f>'TO HOP NLAN'!A139</f>
        <v/>
      </c>
      <c r="B139" s="42" t="str">
        <f>'TO HOP NLAN'!L139</f>
        <v>STRENGTH</v>
      </c>
      <c r="C139" s="58">
        <f>IF(A139="",0,MAX(IF('TS-PILE'!$B$72="",-1E+99,'TO HOP NLAN'!D139/ncoc+IF(SUMSQ('TS-PILE'!$E$72:$E$91)=0,0,'TO HOP NLAN'!E139*'TS-PILE'!$E$72/SUMSQ('TS-PILE'!$E$72:$E$91))+IF(SUMSQ('TS-PILE'!$D$72:$D$91)=0,0,'TO HOP NLAN'!F139*'TS-PILE'!$D$72/SUMSQ('TS-PILE'!$D$72:$D$91))),IF('TS-PILE'!$B$73="",-1E+99,'TO HOP NLAN'!D139/ncoc+IF(SUMSQ('TS-PILE'!$E$72:$E$91)=0,0,'TO HOP NLAN'!E139*'TS-PILE'!$E$73/SUMSQ('TS-PILE'!$E$72:$E$91))+IF(SUMSQ('TS-PILE'!$D$72:$D$91)=0,0,'TO HOP NLAN'!F139*'TS-PILE'!$D$73/SUMSQ('TS-PILE'!$D$72:$D$91))),IF('TS-PILE'!$B$74="",-1E+99,'TO HOP NLAN'!D139/ncoc+IF(SUMSQ('TS-PILE'!$E$72:$E$91)=0,0,'TO HOP NLAN'!E139*'TS-PILE'!$E$74/SUMSQ('TS-PILE'!$E$72:$E$91))+IF(SUMSQ('TS-PILE'!$D$72:$D$91)=0,0,'TO HOP NLAN'!F139*'TS-PILE'!$D$74/SUMSQ('TS-PILE'!$D$72:$D$91))),IF('TS-PILE'!$B$75="",-1E+99,'TO HOP NLAN'!D139/ncoc+IF(SUMSQ('TS-PILE'!$E$72:$E$91)=0,0,'TO HOP NLAN'!E139*'TS-PILE'!$E$75/SUMSQ('TS-PILE'!$E$72:$E$91))+IF(SUMSQ('TS-PILE'!$D$72:$D$91)=0,0,'TO HOP NLAN'!F139*'TS-PILE'!$D$75/SUMSQ('TS-PILE'!$D$72:$D$91))),IF('TS-PILE'!$B$76="",-1E+99,'TO HOP NLAN'!D139/ncoc+IF(SUMSQ('TS-PILE'!$E$72:$E$91)=0,0,'TO HOP NLAN'!E139*'TS-PILE'!$E$76/SUMSQ('TS-PILE'!$E$72:$E$91))+IF(SUMSQ('TS-PILE'!$D$72:$D$91)=0,0,'TO HOP NLAN'!F139*'TS-PILE'!$D$76/SUMSQ('TS-PILE'!$D$72:$D$91))),IF('TS-PILE'!$B$77="",-1E+99,'TO HOP NLAN'!D139/ncoc+IF(SUMSQ('TS-PILE'!$E$72:$E$91)=0,0,'TO HOP NLAN'!E139*'TS-PILE'!$E$77/SUMSQ('TS-PILE'!$E$72:$E$91))+IF(SUMSQ('TS-PILE'!$D$72:$D$91)=0,0,'TO HOP NLAN'!F139*'TS-PILE'!$D$77/SUMSQ('TS-PILE'!$D$72:$D$91))),IF('TS-PILE'!$B$78="",-1E+99,'TO HOP NLAN'!D139/ncoc+IF(SUMSQ('TS-PILE'!$E$72:$E$91)=0,0,'TO HOP NLAN'!E139*'TS-PILE'!$E$78/SUMSQ('TS-PILE'!$E$72:$E$91))+IF(SUMSQ('TS-PILE'!$D$72:$D$91)=0,0,'TO HOP NLAN'!F139*'TS-PILE'!$D$78/SUMSQ('TS-PILE'!$D$72:$D$91))),IF('TS-PILE'!$B$79="",-1E+99,'TO HOP NLAN'!D139/ncoc+IF(SUMSQ('TS-PILE'!$E$72:$E$91)=0,0,'TO HOP NLAN'!E139*'TS-PILE'!$E$79/SUMSQ('TS-PILE'!$E$72:$E$91))+IF(SUMSQ('TS-PILE'!$D$72:$D$91)=0,0,'TO HOP NLAN'!F139*'TS-PILE'!$D$79/SUMSQ('TS-PILE'!$D$72:$D$91))),IF('TS-PILE'!$B$80="",-1E+99,'TO HOP NLAN'!D139/ncoc+IF(SUMSQ('TS-PILE'!$E$72:$E$91)=0,0,'TO HOP NLAN'!E139*'TS-PILE'!$E$80/SUMSQ('TS-PILE'!$E$72:$E$91))+IF(SUMSQ('TS-PILE'!$D$72:$D$91)=0,0,'TO HOP NLAN'!F139*'TS-PILE'!$D$80/SUMSQ('TS-PILE'!$D$72:$D$91))),IF('TS-PILE'!$B$81="",-1E+99,'TO HOP NLAN'!D139/ncoc+IF(SUMSQ('TS-PILE'!$E$72:$E$91)=0,0,'TO HOP NLAN'!E139*'TS-PILE'!$E$81/SUMSQ('TS-PILE'!$E$72:$E$91))+IF(SUMSQ('TS-PILE'!$D$72:$D$91)=0,0,'TO HOP NLAN'!F139*'TS-PILE'!$D$81/SUMSQ('TS-PILE'!$D$72:$D$91))),IF('TS-PILE'!$B$82="",-1E+99,'TO HOP NLAN'!D139/ncoc+IF(SUMSQ('TS-PILE'!$E$72:$E$91)=0,0,'TO HOP NLAN'!E139*'TS-PILE'!$E$82/SUMSQ('TS-PILE'!$E$72:$E$91))+IF(SUMSQ('TS-PILE'!$D$72:$D$91)=0,0,'TO HOP NLAN'!F139*'TS-PILE'!$D$82/SUMSQ('TS-PILE'!$D$72:$D$91))),IF('TS-PILE'!$B$83="",-1E+99,'TO HOP NLAN'!D139/ncoc+IF(SUMSQ('TS-PILE'!$E$72:$E$91)=0,0,'TO HOP NLAN'!E139*'TS-PILE'!$E$83/SUMSQ('TS-PILE'!$E$72:$E$91))+IF(SUMSQ('TS-PILE'!$D$72:$D$91)=0,0,'TO HOP NLAN'!F139*'TS-PILE'!$D$83/SUMSQ('TS-PILE'!$D$72:$D$91))),IF('TS-PILE'!$B$84="",-1E+99,'TO HOP NLAN'!D139/ncoc+IF(SUMSQ('TS-PILE'!$E$72:$E$91)=0,0,'TO HOP NLAN'!E139*'TS-PILE'!$E$84/SUMSQ('TS-PILE'!$E$72:$E$91))+IF(SUMSQ('TS-PILE'!$D$72:$D$91)=0,0,'TO HOP NLAN'!F139*'TS-PILE'!$D$84/SUMSQ('TS-PILE'!$D$72:$D$91))),IF('TS-PILE'!$B$85="",-1E+99,'TO HOP NLAN'!D139/ncoc+IF(SUMSQ('TS-PILE'!$E$72:$E$91)=0,0,'TO HOP NLAN'!E139*'TS-PILE'!$E$85/SUMSQ('TS-PILE'!$E$72:$E$91))+IF(SUMSQ('TS-PILE'!$D$72:$D$91)=0,0,'TO HOP NLAN'!F139*'TS-PILE'!$D$85/SUMSQ('TS-PILE'!$D$72:$D$91))),IF('TS-PILE'!$B$86="",-1E+99,'TO HOP NLAN'!D139/ncoc+IF(SUMSQ('TS-PILE'!$E$72:$E$91)=0,0,'TO HOP NLAN'!E139*'TS-PILE'!$E$86/SUMSQ('TS-PILE'!$E$72:$E$91))+IF(SUMSQ('TS-PILE'!$D$72:$D$91)=0,0,'TO HOP NLAN'!F139*'TS-PILE'!$D$86/SUMSQ('TS-PILE'!$D$72:$D$91))),IF('TS-PILE'!$B$87="",-1E+99,'TO HOP NLAN'!D139/ncoc+IF(SUMSQ('TS-PILE'!$E$72:$E$91)=0,0,'TO HOP NLAN'!E139*'TS-PILE'!$E$87/SUMSQ('TS-PILE'!$E$72:$E$91))+IF(SUMSQ('TS-PILE'!$D$72:$D$91)=0,0,'TO HOP NLAN'!F139*'TS-PILE'!$D$87/SUMSQ('TS-PILE'!$D$72:$D$91))),IF('TS-PILE'!$B$88="",-1E+99,'TO HOP NLAN'!D139/ncoc+IF(SUMSQ('TS-PILE'!$E$72:$E$91)=0,0,'TO HOP NLAN'!E139*'TS-PILE'!$E$88/SUMSQ('TS-PILE'!$E$72:$E$91))+IF(SUMSQ('TS-PILE'!$D$72:$D$91)=0,0,'TO HOP NLAN'!F139*'TS-PILE'!$D$88/SUMSQ('TS-PILE'!$D$72:$D$91))),IF('TS-PILE'!$B$89="",-1E+99,'TO HOP NLAN'!D139/ncoc+IF(SUMSQ('TS-PILE'!$E$72:$E$91)=0,0,'TO HOP NLAN'!E139*'TS-PILE'!$E$89/SUMSQ('TS-PILE'!$E$72:$E$91))+IF(SUMSQ('TS-PILE'!$D$72:$D$91)=0,0,'TO HOP NLAN'!F139*'TS-PILE'!$D$89/SUMSQ('TS-PILE'!$D$72:$D$91))),IF('TS-PILE'!$B$90="",-1E+99,'TO HOP NLAN'!D139/ncoc+IF(SUMSQ('TS-PILE'!$E$72:$E$91)=0,0,'TO HOP NLAN'!E139*'TS-PILE'!$E$90/SUMSQ('TS-PILE'!$E$72:$E$91))+IF(SUMSQ('TS-PILE'!$D$72:$D$91)=0,0,'TO HOP NLAN'!F139*'TS-PILE'!$D$90/SUMSQ('TS-PILE'!$D$72:$D$91))),IF('TS-PILE'!$B$91="",-1E+99,'TO HOP NLAN'!D139/ncoc+IF(SUMSQ('TS-PILE'!$E$72:$E$91)=0,0,'TO HOP NLAN'!E139*'TS-PILE'!$E$91/SUMSQ('TS-PILE'!$E$72:$E$91))+IF(SUMSQ('TS-PILE'!$D$72:$D$91)=0,0,'TO HOP NLAN'!F139*'TS-PILE'!$D$91/SUMSQ('TS-PILE'!$D$72:$D$91)))))</f>
        <v>0</v>
      </c>
      <c r="D139" s="58">
        <f>IF(A139="",0,MIN(IF('TS-PILE'!$B$72="",1E+99,'TO HOP NLAN'!D139/ncoc+IF(SUMSQ('TS-PILE'!$E$72:$E$91)=0,0,'TO HOP NLAN'!E139*'TS-PILE'!$E$72/SUMSQ('TS-PILE'!$E$72:$E$91))+IF(SUMSQ('TS-PILE'!$D$72:$D$91)=0,0,'TO HOP NLAN'!F139*'TS-PILE'!$D$72/SUMSQ('TS-PILE'!$D$72:$D$91))),IF('TS-PILE'!$B$73="",1E+99,'TO HOP NLAN'!D139/ncoc+IF(SUMSQ('TS-PILE'!$E$72:$E$91)=0,0,'TO HOP NLAN'!E139*'TS-PILE'!$E$73/SUMSQ('TS-PILE'!$E$72:$E$91))+IF(SUMSQ('TS-PILE'!$D$72:$D$91)=0,0,'TO HOP NLAN'!F139*'TS-PILE'!$D$73/SUMSQ('TS-PILE'!$D$72:$D$91))),IF('TS-PILE'!$B$74="",1E+99,'TO HOP NLAN'!D139/ncoc+IF(SUMSQ('TS-PILE'!$E$72:$E$91)=0,0,'TO HOP NLAN'!E139*'TS-PILE'!$E$74/SUMSQ('TS-PILE'!$E$72:$E$91))+IF(SUMSQ('TS-PILE'!$D$72:$D$91)=0,0,'TO HOP NLAN'!F139*'TS-PILE'!$D$74/SUMSQ('TS-PILE'!$D$72:$D$91))),IF('TS-PILE'!$B$75="",1E+99,'TO HOP NLAN'!D139/ncoc+IF(SUMSQ('TS-PILE'!$E$72:$E$91)=0,0,'TO HOP NLAN'!E139*'TS-PILE'!$E$75/SUMSQ('TS-PILE'!$E$72:$E$91))+IF(SUMSQ('TS-PILE'!$D$72:$D$91)=0,0,'TO HOP NLAN'!F139*'TS-PILE'!$D$75/SUMSQ('TS-PILE'!$D$72:$D$91))),IF('TS-PILE'!$B$76="",1E+99,'TO HOP NLAN'!D139/ncoc+IF(SUMSQ('TS-PILE'!$E$72:$E$91)=0,0,'TO HOP NLAN'!E139*'TS-PILE'!$E$76/SUMSQ('TS-PILE'!$E$72:$E$91))+IF(SUMSQ('TS-PILE'!$D$72:$D$91)=0,0,'TO HOP NLAN'!F139*'TS-PILE'!$D$76/SUMSQ('TS-PILE'!$D$72:$D$91))),IF('TS-PILE'!$B$77="",1E+99,'TO HOP NLAN'!D139/ncoc+IF(SUMSQ('TS-PILE'!$E$72:$E$91)=0,0,'TO HOP NLAN'!E139*'TS-PILE'!$E$77/SUMSQ('TS-PILE'!$E$72:$E$91))+IF(SUMSQ('TS-PILE'!$D$72:$D$91)=0,0,'TO HOP NLAN'!F139*'TS-PILE'!$D$77/SUMSQ('TS-PILE'!$D$72:$D$91))),IF('TS-PILE'!$B$78="",1E+99,'TO HOP NLAN'!D139/ncoc+IF(SUMSQ('TS-PILE'!$E$72:$E$91)=0,0,'TO HOP NLAN'!E139*'TS-PILE'!$E$78/SUMSQ('TS-PILE'!$E$72:$E$91))+IF(SUMSQ('TS-PILE'!$D$72:$D$91)=0,0,'TO HOP NLAN'!F139*'TS-PILE'!$D$78/SUMSQ('TS-PILE'!$D$72:$D$91))),IF('TS-PILE'!$B$79="",1E+99,'TO HOP NLAN'!D139/ncoc+IF(SUMSQ('TS-PILE'!$E$72:$E$91)=0,0,'TO HOP NLAN'!E139*'TS-PILE'!$E$79/SUMSQ('TS-PILE'!$E$72:$E$91))+IF(SUMSQ('TS-PILE'!$D$72:$D$91)=0,0,'TO HOP NLAN'!F139*'TS-PILE'!$D$79/SUMSQ('TS-PILE'!$D$72:$D$91))),IF('TS-PILE'!$B$80="",1E+99,'TO HOP NLAN'!D139/ncoc+IF(SUMSQ('TS-PILE'!$E$72:$E$91)=0,0,'TO HOP NLAN'!E139*'TS-PILE'!$E$80/SUMSQ('TS-PILE'!$E$72:$E$91))+IF(SUMSQ('TS-PILE'!$D$72:$D$91)=0,0,'TO HOP NLAN'!F139*'TS-PILE'!$D$80/SUMSQ('TS-PILE'!$D$72:$D$91))),IF('TS-PILE'!$B$81="",1E+99,'TO HOP NLAN'!D139/ncoc+IF(SUMSQ('TS-PILE'!$E$72:$E$91)=0,0,'TO HOP NLAN'!E139*'TS-PILE'!$E$81/SUMSQ('TS-PILE'!$E$72:$E$91))+IF(SUMSQ('TS-PILE'!$D$72:$D$91)=0,0,'TO HOP NLAN'!F139*'TS-PILE'!$D$81/SUMSQ('TS-PILE'!$D$72:$D$91))),IF('TS-PILE'!$B$82="",1E+99,'TO HOP NLAN'!D139/ncoc+IF(SUMSQ('TS-PILE'!$E$72:$E$91)=0,0,'TO HOP NLAN'!E139*'TS-PILE'!$E$82/SUMSQ('TS-PILE'!$E$72:$E$91))+IF(SUMSQ('TS-PILE'!$D$72:$D$91)=0,0,'TO HOP NLAN'!F139*'TS-PILE'!$D$82/SUMSQ('TS-PILE'!$D$72:$D$91))),IF('TS-PILE'!$B$83="",1E+99,'TO HOP NLAN'!D139/ncoc+IF(SUMSQ('TS-PILE'!$E$72:$E$91)=0,0,'TO HOP NLAN'!E139*'TS-PILE'!$E$83/SUMSQ('TS-PILE'!$E$72:$E$91))+IF(SUMSQ('TS-PILE'!$D$72:$D$91)=0,0,'TO HOP NLAN'!F139*'TS-PILE'!$D$83/SUMSQ('TS-PILE'!$D$72:$D$91))),IF('TS-PILE'!$B$84="",1E+99,'TO HOP NLAN'!D139/ncoc+IF(SUMSQ('TS-PILE'!$E$72:$E$91)=0,0,'TO HOP NLAN'!E139*'TS-PILE'!$E$84/SUMSQ('TS-PILE'!$E$72:$E$91))+IF(SUMSQ('TS-PILE'!$D$72:$D$91)=0,0,'TO HOP NLAN'!F139*'TS-PILE'!$D$84/SUMSQ('TS-PILE'!$D$72:$D$91))),IF('TS-PILE'!$B$85="",1E+99,'TO HOP NLAN'!D139/ncoc+IF(SUMSQ('TS-PILE'!$E$72:$E$91)=0,0,'TO HOP NLAN'!E139*'TS-PILE'!$E$85/SUMSQ('TS-PILE'!$E$72:$E$91))+IF(SUMSQ('TS-PILE'!$D$72:$D$91)=0,0,'TO HOP NLAN'!F139*'TS-PILE'!$D$85/SUMSQ('TS-PILE'!$D$72:$D$91))),IF('TS-PILE'!$B$86="",1E+99,'TO HOP NLAN'!D139/ncoc+IF(SUMSQ('TS-PILE'!$E$72:$E$91)=0,0,'TO HOP NLAN'!E139*'TS-PILE'!$E$86/SUMSQ('TS-PILE'!$E$72:$E$91))+IF(SUMSQ('TS-PILE'!$D$72:$D$91)=0,0,'TO HOP NLAN'!F139*'TS-PILE'!$D$86/SUMSQ('TS-PILE'!$D$72:$D$91))),IF('TS-PILE'!$B$87="",1E+99,'TO HOP NLAN'!D139/ncoc+IF(SUMSQ('TS-PILE'!$E$72:$E$91)=0,0,'TO HOP NLAN'!E139*'TS-PILE'!$E$87/SUMSQ('TS-PILE'!$E$72:$E$91))+IF(SUMSQ('TS-PILE'!$D$72:$D$91)=0,0,'TO HOP NLAN'!F139*'TS-PILE'!$D$87/SUMSQ('TS-PILE'!$D$72:$D$91))),IF('TS-PILE'!$B$88="",1E+99,'TO HOP NLAN'!D139/ncoc+IF(SUMSQ('TS-PILE'!$E$72:$E$91)=0,0,'TO HOP NLAN'!E139*'TS-PILE'!$E$88/SUMSQ('TS-PILE'!$E$72:$E$91))+IF(SUMSQ('TS-PILE'!$D$72:$D$91)=0,0,'TO HOP NLAN'!F139*'TS-PILE'!$D$88/SUMSQ('TS-PILE'!$D$72:$D$91))),IF('TS-PILE'!$B$89="",1E+99,'TO HOP NLAN'!D139/ncoc+IF(SUMSQ('TS-PILE'!$E$72:$E$91)=0,0,'TO HOP NLAN'!E139*'TS-PILE'!$E$89/SUMSQ('TS-PILE'!$E$72:$E$91))+IF(SUMSQ('TS-PILE'!$D$72:$D$91)=0,0,'TO HOP NLAN'!F139*'TS-PILE'!$D$89/SUMSQ('TS-PILE'!$D$72:$D$91))),IF('TS-PILE'!$B$90="",1E+99,'TO HOP NLAN'!D139/ncoc+IF(SUMSQ('TS-PILE'!$E$72:$E$91)=0,0,'TO HOP NLAN'!E139*'TS-PILE'!$E$90/SUMSQ('TS-PILE'!$E$72:$E$91))+IF(SUMSQ('TS-PILE'!$D$72:$D$91)=0,0,'TO HOP NLAN'!F139*'TS-PILE'!$D$90/SUMSQ('TS-PILE'!$D$72:$D$91))),IF('TS-PILE'!$B$91="",1E+99,'TO HOP NLAN'!D139/ncoc+IF(SUMSQ('TS-PILE'!$E$72:$E$91)=0,0,'TO HOP NLAN'!E139*'TS-PILE'!$E$91/SUMSQ('TS-PILE'!$E$72:$E$91))+IF(SUMSQ('TS-PILE'!$D$72:$D$91)=0,0,'TO HOP NLAN'!F139*'TS-PILE'!$D$91/SUMSQ('TS-PILE'!$D$72:$D$91)))))</f>
        <v>0</v>
      </c>
      <c r="E139" s="58">
        <f t="shared" si="8"/>
        <v>-9.9999999999999997E+98</v>
      </c>
      <c r="F139" s="58">
        <f t="shared" si="9"/>
        <v>9.9999999999999997E+98</v>
      </c>
      <c r="G139" s="58">
        <f t="shared" si="10"/>
        <v>-9.9999999999999997E+98</v>
      </c>
      <c r="H139" s="58">
        <f t="shared" si="11"/>
        <v>9.9999999999999997E+98</v>
      </c>
    </row>
    <row r="140" spans="1:8" x14ac:dyDescent="0.3">
      <c r="A140" s="42" t="str">
        <f>'TO HOP NLAN'!A140</f>
        <v/>
      </c>
      <c r="B140" s="42" t="str">
        <f>'TO HOP NLAN'!L140</f>
        <v>STRENGTH</v>
      </c>
      <c r="C140" s="58">
        <f>IF(A140="",0,MAX(IF('TS-PILE'!$B$72="",-1E+99,'TO HOP NLAN'!D140/ncoc+IF(SUMSQ('TS-PILE'!$E$72:$E$91)=0,0,'TO HOP NLAN'!E140*'TS-PILE'!$E$72/SUMSQ('TS-PILE'!$E$72:$E$91))+IF(SUMSQ('TS-PILE'!$D$72:$D$91)=0,0,'TO HOP NLAN'!F140*'TS-PILE'!$D$72/SUMSQ('TS-PILE'!$D$72:$D$91))),IF('TS-PILE'!$B$73="",-1E+99,'TO HOP NLAN'!D140/ncoc+IF(SUMSQ('TS-PILE'!$E$72:$E$91)=0,0,'TO HOP NLAN'!E140*'TS-PILE'!$E$73/SUMSQ('TS-PILE'!$E$72:$E$91))+IF(SUMSQ('TS-PILE'!$D$72:$D$91)=0,0,'TO HOP NLAN'!F140*'TS-PILE'!$D$73/SUMSQ('TS-PILE'!$D$72:$D$91))),IF('TS-PILE'!$B$74="",-1E+99,'TO HOP NLAN'!D140/ncoc+IF(SUMSQ('TS-PILE'!$E$72:$E$91)=0,0,'TO HOP NLAN'!E140*'TS-PILE'!$E$74/SUMSQ('TS-PILE'!$E$72:$E$91))+IF(SUMSQ('TS-PILE'!$D$72:$D$91)=0,0,'TO HOP NLAN'!F140*'TS-PILE'!$D$74/SUMSQ('TS-PILE'!$D$72:$D$91))),IF('TS-PILE'!$B$75="",-1E+99,'TO HOP NLAN'!D140/ncoc+IF(SUMSQ('TS-PILE'!$E$72:$E$91)=0,0,'TO HOP NLAN'!E140*'TS-PILE'!$E$75/SUMSQ('TS-PILE'!$E$72:$E$91))+IF(SUMSQ('TS-PILE'!$D$72:$D$91)=0,0,'TO HOP NLAN'!F140*'TS-PILE'!$D$75/SUMSQ('TS-PILE'!$D$72:$D$91))),IF('TS-PILE'!$B$76="",-1E+99,'TO HOP NLAN'!D140/ncoc+IF(SUMSQ('TS-PILE'!$E$72:$E$91)=0,0,'TO HOP NLAN'!E140*'TS-PILE'!$E$76/SUMSQ('TS-PILE'!$E$72:$E$91))+IF(SUMSQ('TS-PILE'!$D$72:$D$91)=0,0,'TO HOP NLAN'!F140*'TS-PILE'!$D$76/SUMSQ('TS-PILE'!$D$72:$D$91))),IF('TS-PILE'!$B$77="",-1E+99,'TO HOP NLAN'!D140/ncoc+IF(SUMSQ('TS-PILE'!$E$72:$E$91)=0,0,'TO HOP NLAN'!E140*'TS-PILE'!$E$77/SUMSQ('TS-PILE'!$E$72:$E$91))+IF(SUMSQ('TS-PILE'!$D$72:$D$91)=0,0,'TO HOP NLAN'!F140*'TS-PILE'!$D$77/SUMSQ('TS-PILE'!$D$72:$D$91))),IF('TS-PILE'!$B$78="",-1E+99,'TO HOP NLAN'!D140/ncoc+IF(SUMSQ('TS-PILE'!$E$72:$E$91)=0,0,'TO HOP NLAN'!E140*'TS-PILE'!$E$78/SUMSQ('TS-PILE'!$E$72:$E$91))+IF(SUMSQ('TS-PILE'!$D$72:$D$91)=0,0,'TO HOP NLAN'!F140*'TS-PILE'!$D$78/SUMSQ('TS-PILE'!$D$72:$D$91))),IF('TS-PILE'!$B$79="",-1E+99,'TO HOP NLAN'!D140/ncoc+IF(SUMSQ('TS-PILE'!$E$72:$E$91)=0,0,'TO HOP NLAN'!E140*'TS-PILE'!$E$79/SUMSQ('TS-PILE'!$E$72:$E$91))+IF(SUMSQ('TS-PILE'!$D$72:$D$91)=0,0,'TO HOP NLAN'!F140*'TS-PILE'!$D$79/SUMSQ('TS-PILE'!$D$72:$D$91))),IF('TS-PILE'!$B$80="",-1E+99,'TO HOP NLAN'!D140/ncoc+IF(SUMSQ('TS-PILE'!$E$72:$E$91)=0,0,'TO HOP NLAN'!E140*'TS-PILE'!$E$80/SUMSQ('TS-PILE'!$E$72:$E$91))+IF(SUMSQ('TS-PILE'!$D$72:$D$91)=0,0,'TO HOP NLAN'!F140*'TS-PILE'!$D$80/SUMSQ('TS-PILE'!$D$72:$D$91))),IF('TS-PILE'!$B$81="",-1E+99,'TO HOP NLAN'!D140/ncoc+IF(SUMSQ('TS-PILE'!$E$72:$E$91)=0,0,'TO HOP NLAN'!E140*'TS-PILE'!$E$81/SUMSQ('TS-PILE'!$E$72:$E$91))+IF(SUMSQ('TS-PILE'!$D$72:$D$91)=0,0,'TO HOP NLAN'!F140*'TS-PILE'!$D$81/SUMSQ('TS-PILE'!$D$72:$D$91))),IF('TS-PILE'!$B$82="",-1E+99,'TO HOP NLAN'!D140/ncoc+IF(SUMSQ('TS-PILE'!$E$72:$E$91)=0,0,'TO HOP NLAN'!E140*'TS-PILE'!$E$82/SUMSQ('TS-PILE'!$E$72:$E$91))+IF(SUMSQ('TS-PILE'!$D$72:$D$91)=0,0,'TO HOP NLAN'!F140*'TS-PILE'!$D$82/SUMSQ('TS-PILE'!$D$72:$D$91))),IF('TS-PILE'!$B$83="",-1E+99,'TO HOP NLAN'!D140/ncoc+IF(SUMSQ('TS-PILE'!$E$72:$E$91)=0,0,'TO HOP NLAN'!E140*'TS-PILE'!$E$83/SUMSQ('TS-PILE'!$E$72:$E$91))+IF(SUMSQ('TS-PILE'!$D$72:$D$91)=0,0,'TO HOP NLAN'!F140*'TS-PILE'!$D$83/SUMSQ('TS-PILE'!$D$72:$D$91))),IF('TS-PILE'!$B$84="",-1E+99,'TO HOP NLAN'!D140/ncoc+IF(SUMSQ('TS-PILE'!$E$72:$E$91)=0,0,'TO HOP NLAN'!E140*'TS-PILE'!$E$84/SUMSQ('TS-PILE'!$E$72:$E$91))+IF(SUMSQ('TS-PILE'!$D$72:$D$91)=0,0,'TO HOP NLAN'!F140*'TS-PILE'!$D$84/SUMSQ('TS-PILE'!$D$72:$D$91))),IF('TS-PILE'!$B$85="",-1E+99,'TO HOP NLAN'!D140/ncoc+IF(SUMSQ('TS-PILE'!$E$72:$E$91)=0,0,'TO HOP NLAN'!E140*'TS-PILE'!$E$85/SUMSQ('TS-PILE'!$E$72:$E$91))+IF(SUMSQ('TS-PILE'!$D$72:$D$91)=0,0,'TO HOP NLAN'!F140*'TS-PILE'!$D$85/SUMSQ('TS-PILE'!$D$72:$D$91))),IF('TS-PILE'!$B$86="",-1E+99,'TO HOP NLAN'!D140/ncoc+IF(SUMSQ('TS-PILE'!$E$72:$E$91)=0,0,'TO HOP NLAN'!E140*'TS-PILE'!$E$86/SUMSQ('TS-PILE'!$E$72:$E$91))+IF(SUMSQ('TS-PILE'!$D$72:$D$91)=0,0,'TO HOP NLAN'!F140*'TS-PILE'!$D$86/SUMSQ('TS-PILE'!$D$72:$D$91))),IF('TS-PILE'!$B$87="",-1E+99,'TO HOP NLAN'!D140/ncoc+IF(SUMSQ('TS-PILE'!$E$72:$E$91)=0,0,'TO HOP NLAN'!E140*'TS-PILE'!$E$87/SUMSQ('TS-PILE'!$E$72:$E$91))+IF(SUMSQ('TS-PILE'!$D$72:$D$91)=0,0,'TO HOP NLAN'!F140*'TS-PILE'!$D$87/SUMSQ('TS-PILE'!$D$72:$D$91))),IF('TS-PILE'!$B$88="",-1E+99,'TO HOP NLAN'!D140/ncoc+IF(SUMSQ('TS-PILE'!$E$72:$E$91)=0,0,'TO HOP NLAN'!E140*'TS-PILE'!$E$88/SUMSQ('TS-PILE'!$E$72:$E$91))+IF(SUMSQ('TS-PILE'!$D$72:$D$91)=0,0,'TO HOP NLAN'!F140*'TS-PILE'!$D$88/SUMSQ('TS-PILE'!$D$72:$D$91))),IF('TS-PILE'!$B$89="",-1E+99,'TO HOP NLAN'!D140/ncoc+IF(SUMSQ('TS-PILE'!$E$72:$E$91)=0,0,'TO HOP NLAN'!E140*'TS-PILE'!$E$89/SUMSQ('TS-PILE'!$E$72:$E$91))+IF(SUMSQ('TS-PILE'!$D$72:$D$91)=0,0,'TO HOP NLAN'!F140*'TS-PILE'!$D$89/SUMSQ('TS-PILE'!$D$72:$D$91))),IF('TS-PILE'!$B$90="",-1E+99,'TO HOP NLAN'!D140/ncoc+IF(SUMSQ('TS-PILE'!$E$72:$E$91)=0,0,'TO HOP NLAN'!E140*'TS-PILE'!$E$90/SUMSQ('TS-PILE'!$E$72:$E$91))+IF(SUMSQ('TS-PILE'!$D$72:$D$91)=0,0,'TO HOP NLAN'!F140*'TS-PILE'!$D$90/SUMSQ('TS-PILE'!$D$72:$D$91))),IF('TS-PILE'!$B$91="",-1E+99,'TO HOP NLAN'!D140/ncoc+IF(SUMSQ('TS-PILE'!$E$72:$E$91)=0,0,'TO HOP NLAN'!E140*'TS-PILE'!$E$91/SUMSQ('TS-PILE'!$E$72:$E$91))+IF(SUMSQ('TS-PILE'!$D$72:$D$91)=0,0,'TO HOP NLAN'!F140*'TS-PILE'!$D$91/SUMSQ('TS-PILE'!$D$72:$D$91)))))</f>
        <v>0</v>
      </c>
      <c r="D140" s="58">
        <f>IF(A140="",0,MIN(IF('TS-PILE'!$B$72="",1E+99,'TO HOP NLAN'!D140/ncoc+IF(SUMSQ('TS-PILE'!$E$72:$E$91)=0,0,'TO HOP NLAN'!E140*'TS-PILE'!$E$72/SUMSQ('TS-PILE'!$E$72:$E$91))+IF(SUMSQ('TS-PILE'!$D$72:$D$91)=0,0,'TO HOP NLAN'!F140*'TS-PILE'!$D$72/SUMSQ('TS-PILE'!$D$72:$D$91))),IF('TS-PILE'!$B$73="",1E+99,'TO HOP NLAN'!D140/ncoc+IF(SUMSQ('TS-PILE'!$E$72:$E$91)=0,0,'TO HOP NLAN'!E140*'TS-PILE'!$E$73/SUMSQ('TS-PILE'!$E$72:$E$91))+IF(SUMSQ('TS-PILE'!$D$72:$D$91)=0,0,'TO HOP NLAN'!F140*'TS-PILE'!$D$73/SUMSQ('TS-PILE'!$D$72:$D$91))),IF('TS-PILE'!$B$74="",1E+99,'TO HOP NLAN'!D140/ncoc+IF(SUMSQ('TS-PILE'!$E$72:$E$91)=0,0,'TO HOP NLAN'!E140*'TS-PILE'!$E$74/SUMSQ('TS-PILE'!$E$72:$E$91))+IF(SUMSQ('TS-PILE'!$D$72:$D$91)=0,0,'TO HOP NLAN'!F140*'TS-PILE'!$D$74/SUMSQ('TS-PILE'!$D$72:$D$91))),IF('TS-PILE'!$B$75="",1E+99,'TO HOP NLAN'!D140/ncoc+IF(SUMSQ('TS-PILE'!$E$72:$E$91)=0,0,'TO HOP NLAN'!E140*'TS-PILE'!$E$75/SUMSQ('TS-PILE'!$E$72:$E$91))+IF(SUMSQ('TS-PILE'!$D$72:$D$91)=0,0,'TO HOP NLAN'!F140*'TS-PILE'!$D$75/SUMSQ('TS-PILE'!$D$72:$D$91))),IF('TS-PILE'!$B$76="",1E+99,'TO HOP NLAN'!D140/ncoc+IF(SUMSQ('TS-PILE'!$E$72:$E$91)=0,0,'TO HOP NLAN'!E140*'TS-PILE'!$E$76/SUMSQ('TS-PILE'!$E$72:$E$91))+IF(SUMSQ('TS-PILE'!$D$72:$D$91)=0,0,'TO HOP NLAN'!F140*'TS-PILE'!$D$76/SUMSQ('TS-PILE'!$D$72:$D$91))),IF('TS-PILE'!$B$77="",1E+99,'TO HOP NLAN'!D140/ncoc+IF(SUMSQ('TS-PILE'!$E$72:$E$91)=0,0,'TO HOP NLAN'!E140*'TS-PILE'!$E$77/SUMSQ('TS-PILE'!$E$72:$E$91))+IF(SUMSQ('TS-PILE'!$D$72:$D$91)=0,0,'TO HOP NLAN'!F140*'TS-PILE'!$D$77/SUMSQ('TS-PILE'!$D$72:$D$91))),IF('TS-PILE'!$B$78="",1E+99,'TO HOP NLAN'!D140/ncoc+IF(SUMSQ('TS-PILE'!$E$72:$E$91)=0,0,'TO HOP NLAN'!E140*'TS-PILE'!$E$78/SUMSQ('TS-PILE'!$E$72:$E$91))+IF(SUMSQ('TS-PILE'!$D$72:$D$91)=0,0,'TO HOP NLAN'!F140*'TS-PILE'!$D$78/SUMSQ('TS-PILE'!$D$72:$D$91))),IF('TS-PILE'!$B$79="",1E+99,'TO HOP NLAN'!D140/ncoc+IF(SUMSQ('TS-PILE'!$E$72:$E$91)=0,0,'TO HOP NLAN'!E140*'TS-PILE'!$E$79/SUMSQ('TS-PILE'!$E$72:$E$91))+IF(SUMSQ('TS-PILE'!$D$72:$D$91)=0,0,'TO HOP NLAN'!F140*'TS-PILE'!$D$79/SUMSQ('TS-PILE'!$D$72:$D$91))),IF('TS-PILE'!$B$80="",1E+99,'TO HOP NLAN'!D140/ncoc+IF(SUMSQ('TS-PILE'!$E$72:$E$91)=0,0,'TO HOP NLAN'!E140*'TS-PILE'!$E$80/SUMSQ('TS-PILE'!$E$72:$E$91))+IF(SUMSQ('TS-PILE'!$D$72:$D$91)=0,0,'TO HOP NLAN'!F140*'TS-PILE'!$D$80/SUMSQ('TS-PILE'!$D$72:$D$91))),IF('TS-PILE'!$B$81="",1E+99,'TO HOP NLAN'!D140/ncoc+IF(SUMSQ('TS-PILE'!$E$72:$E$91)=0,0,'TO HOP NLAN'!E140*'TS-PILE'!$E$81/SUMSQ('TS-PILE'!$E$72:$E$91))+IF(SUMSQ('TS-PILE'!$D$72:$D$91)=0,0,'TO HOP NLAN'!F140*'TS-PILE'!$D$81/SUMSQ('TS-PILE'!$D$72:$D$91))),IF('TS-PILE'!$B$82="",1E+99,'TO HOP NLAN'!D140/ncoc+IF(SUMSQ('TS-PILE'!$E$72:$E$91)=0,0,'TO HOP NLAN'!E140*'TS-PILE'!$E$82/SUMSQ('TS-PILE'!$E$72:$E$91))+IF(SUMSQ('TS-PILE'!$D$72:$D$91)=0,0,'TO HOP NLAN'!F140*'TS-PILE'!$D$82/SUMSQ('TS-PILE'!$D$72:$D$91))),IF('TS-PILE'!$B$83="",1E+99,'TO HOP NLAN'!D140/ncoc+IF(SUMSQ('TS-PILE'!$E$72:$E$91)=0,0,'TO HOP NLAN'!E140*'TS-PILE'!$E$83/SUMSQ('TS-PILE'!$E$72:$E$91))+IF(SUMSQ('TS-PILE'!$D$72:$D$91)=0,0,'TO HOP NLAN'!F140*'TS-PILE'!$D$83/SUMSQ('TS-PILE'!$D$72:$D$91))),IF('TS-PILE'!$B$84="",1E+99,'TO HOP NLAN'!D140/ncoc+IF(SUMSQ('TS-PILE'!$E$72:$E$91)=0,0,'TO HOP NLAN'!E140*'TS-PILE'!$E$84/SUMSQ('TS-PILE'!$E$72:$E$91))+IF(SUMSQ('TS-PILE'!$D$72:$D$91)=0,0,'TO HOP NLAN'!F140*'TS-PILE'!$D$84/SUMSQ('TS-PILE'!$D$72:$D$91))),IF('TS-PILE'!$B$85="",1E+99,'TO HOP NLAN'!D140/ncoc+IF(SUMSQ('TS-PILE'!$E$72:$E$91)=0,0,'TO HOP NLAN'!E140*'TS-PILE'!$E$85/SUMSQ('TS-PILE'!$E$72:$E$91))+IF(SUMSQ('TS-PILE'!$D$72:$D$91)=0,0,'TO HOP NLAN'!F140*'TS-PILE'!$D$85/SUMSQ('TS-PILE'!$D$72:$D$91))),IF('TS-PILE'!$B$86="",1E+99,'TO HOP NLAN'!D140/ncoc+IF(SUMSQ('TS-PILE'!$E$72:$E$91)=0,0,'TO HOP NLAN'!E140*'TS-PILE'!$E$86/SUMSQ('TS-PILE'!$E$72:$E$91))+IF(SUMSQ('TS-PILE'!$D$72:$D$91)=0,0,'TO HOP NLAN'!F140*'TS-PILE'!$D$86/SUMSQ('TS-PILE'!$D$72:$D$91))),IF('TS-PILE'!$B$87="",1E+99,'TO HOP NLAN'!D140/ncoc+IF(SUMSQ('TS-PILE'!$E$72:$E$91)=0,0,'TO HOP NLAN'!E140*'TS-PILE'!$E$87/SUMSQ('TS-PILE'!$E$72:$E$91))+IF(SUMSQ('TS-PILE'!$D$72:$D$91)=0,0,'TO HOP NLAN'!F140*'TS-PILE'!$D$87/SUMSQ('TS-PILE'!$D$72:$D$91))),IF('TS-PILE'!$B$88="",1E+99,'TO HOP NLAN'!D140/ncoc+IF(SUMSQ('TS-PILE'!$E$72:$E$91)=0,0,'TO HOP NLAN'!E140*'TS-PILE'!$E$88/SUMSQ('TS-PILE'!$E$72:$E$91))+IF(SUMSQ('TS-PILE'!$D$72:$D$91)=0,0,'TO HOP NLAN'!F140*'TS-PILE'!$D$88/SUMSQ('TS-PILE'!$D$72:$D$91))),IF('TS-PILE'!$B$89="",1E+99,'TO HOP NLAN'!D140/ncoc+IF(SUMSQ('TS-PILE'!$E$72:$E$91)=0,0,'TO HOP NLAN'!E140*'TS-PILE'!$E$89/SUMSQ('TS-PILE'!$E$72:$E$91))+IF(SUMSQ('TS-PILE'!$D$72:$D$91)=0,0,'TO HOP NLAN'!F140*'TS-PILE'!$D$89/SUMSQ('TS-PILE'!$D$72:$D$91))),IF('TS-PILE'!$B$90="",1E+99,'TO HOP NLAN'!D140/ncoc+IF(SUMSQ('TS-PILE'!$E$72:$E$91)=0,0,'TO HOP NLAN'!E140*'TS-PILE'!$E$90/SUMSQ('TS-PILE'!$E$72:$E$91))+IF(SUMSQ('TS-PILE'!$D$72:$D$91)=0,0,'TO HOP NLAN'!F140*'TS-PILE'!$D$90/SUMSQ('TS-PILE'!$D$72:$D$91))),IF('TS-PILE'!$B$91="",1E+99,'TO HOP NLAN'!D140/ncoc+IF(SUMSQ('TS-PILE'!$E$72:$E$91)=0,0,'TO HOP NLAN'!E140*'TS-PILE'!$E$91/SUMSQ('TS-PILE'!$E$72:$E$91))+IF(SUMSQ('TS-PILE'!$D$72:$D$91)=0,0,'TO HOP NLAN'!F140*'TS-PILE'!$D$91/SUMSQ('TS-PILE'!$D$72:$D$91)))))</f>
        <v>0</v>
      </c>
      <c r="E140" s="58">
        <f t="shared" si="8"/>
        <v>-9.9999999999999997E+98</v>
      </c>
      <c r="F140" s="58">
        <f t="shared" si="9"/>
        <v>9.9999999999999997E+98</v>
      </c>
      <c r="G140" s="58">
        <f t="shared" si="10"/>
        <v>-9.9999999999999997E+98</v>
      </c>
      <c r="H140" s="58">
        <f t="shared" si="11"/>
        <v>9.9999999999999997E+98</v>
      </c>
    </row>
    <row r="141" spans="1:8" x14ac:dyDescent="0.3">
      <c r="A141" s="42" t="str">
        <f>'TO HOP NLAN'!A141</f>
        <v/>
      </c>
      <c r="B141" s="42" t="str">
        <f>'TO HOP NLAN'!L141</f>
        <v>STRENGTH</v>
      </c>
      <c r="C141" s="58">
        <f>IF(A141="",0,MAX(IF('TS-PILE'!$B$72="",-1E+99,'TO HOP NLAN'!D141/ncoc+IF(SUMSQ('TS-PILE'!$E$72:$E$91)=0,0,'TO HOP NLAN'!E141*'TS-PILE'!$E$72/SUMSQ('TS-PILE'!$E$72:$E$91))+IF(SUMSQ('TS-PILE'!$D$72:$D$91)=0,0,'TO HOP NLAN'!F141*'TS-PILE'!$D$72/SUMSQ('TS-PILE'!$D$72:$D$91))),IF('TS-PILE'!$B$73="",-1E+99,'TO HOP NLAN'!D141/ncoc+IF(SUMSQ('TS-PILE'!$E$72:$E$91)=0,0,'TO HOP NLAN'!E141*'TS-PILE'!$E$73/SUMSQ('TS-PILE'!$E$72:$E$91))+IF(SUMSQ('TS-PILE'!$D$72:$D$91)=0,0,'TO HOP NLAN'!F141*'TS-PILE'!$D$73/SUMSQ('TS-PILE'!$D$72:$D$91))),IF('TS-PILE'!$B$74="",-1E+99,'TO HOP NLAN'!D141/ncoc+IF(SUMSQ('TS-PILE'!$E$72:$E$91)=0,0,'TO HOP NLAN'!E141*'TS-PILE'!$E$74/SUMSQ('TS-PILE'!$E$72:$E$91))+IF(SUMSQ('TS-PILE'!$D$72:$D$91)=0,0,'TO HOP NLAN'!F141*'TS-PILE'!$D$74/SUMSQ('TS-PILE'!$D$72:$D$91))),IF('TS-PILE'!$B$75="",-1E+99,'TO HOP NLAN'!D141/ncoc+IF(SUMSQ('TS-PILE'!$E$72:$E$91)=0,0,'TO HOP NLAN'!E141*'TS-PILE'!$E$75/SUMSQ('TS-PILE'!$E$72:$E$91))+IF(SUMSQ('TS-PILE'!$D$72:$D$91)=0,0,'TO HOP NLAN'!F141*'TS-PILE'!$D$75/SUMSQ('TS-PILE'!$D$72:$D$91))),IF('TS-PILE'!$B$76="",-1E+99,'TO HOP NLAN'!D141/ncoc+IF(SUMSQ('TS-PILE'!$E$72:$E$91)=0,0,'TO HOP NLAN'!E141*'TS-PILE'!$E$76/SUMSQ('TS-PILE'!$E$72:$E$91))+IF(SUMSQ('TS-PILE'!$D$72:$D$91)=0,0,'TO HOP NLAN'!F141*'TS-PILE'!$D$76/SUMSQ('TS-PILE'!$D$72:$D$91))),IF('TS-PILE'!$B$77="",-1E+99,'TO HOP NLAN'!D141/ncoc+IF(SUMSQ('TS-PILE'!$E$72:$E$91)=0,0,'TO HOP NLAN'!E141*'TS-PILE'!$E$77/SUMSQ('TS-PILE'!$E$72:$E$91))+IF(SUMSQ('TS-PILE'!$D$72:$D$91)=0,0,'TO HOP NLAN'!F141*'TS-PILE'!$D$77/SUMSQ('TS-PILE'!$D$72:$D$91))),IF('TS-PILE'!$B$78="",-1E+99,'TO HOP NLAN'!D141/ncoc+IF(SUMSQ('TS-PILE'!$E$72:$E$91)=0,0,'TO HOP NLAN'!E141*'TS-PILE'!$E$78/SUMSQ('TS-PILE'!$E$72:$E$91))+IF(SUMSQ('TS-PILE'!$D$72:$D$91)=0,0,'TO HOP NLAN'!F141*'TS-PILE'!$D$78/SUMSQ('TS-PILE'!$D$72:$D$91))),IF('TS-PILE'!$B$79="",-1E+99,'TO HOP NLAN'!D141/ncoc+IF(SUMSQ('TS-PILE'!$E$72:$E$91)=0,0,'TO HOP NLAN'!E141*'TS-PILE'!$E$79/SUMSQ('TS-PILE'!$E$72:$E$91))+IF(SUMSQ('TS-PILE'!$D$72:$D$91)=0,0,'TO HOP NLAN'!F141*'TS-PILE'!$D$79/SUMSQ('TS-PILE'!$D$72:$D$91))),IF('TS-PILE'!$B$80="",-1E+99,'TO HOP NLAN'!D141/ncoc+IF(SUMSQ('TS-PILE'!$E$72:$E$91)=0,0,'TO HOP NLAN'!E141*'TS-PILE'!$E$80/SUMSQ('TS-PILE'!$E$72:$E$91))+IF(SUMSQ('TS-PILE'!$D$72:$D$91)=0,0,'TO HOP NLAN'!F141*'TS-PILE'!$D$80/SUMSQ('TS-PILE'!$D$72:$D$91))),IF('TS-PILE'!$B$81="",-1E+99,'TO HOP NLAN'!D141/ncoc+IF(SUMSQ('TS-PILE'!$E$72:$E$91)=0,0,'TO HOP NLAN'!E141*'TS-PILE'!$E$81/SUMSQ('TS-PILE'!$E$72:$E$91))+IF(SUMSQ('TS-PILE'!$D$72:$D$91)=0,0,'TO HOP NLAN'!F141*'TS-PILE'!$D$81/SUMSQ('TS-PILE'!$D$72:$D$91))),IF('TS-PILE'!$B$82="",-1E+99,'TO HOP NLAN'!D141/ncoc+IF(SUMSQ('TS-PILE'!$E$72:$E$91)=0,0,'TO HOP NLAN'!E141*'TS-PILE'!$E$82/SUMSQ('TS-PILE'!$E$72:$E$91))+IF(SUMSQ('TS-PILE'!$D$72:$D$91)=0,0,'TO HOP NLAN'!F141*'TS-PILE'!$D$82/SUMSQ('TS-PILE'!$D$72:$D$91))),IF('TS-PILE'!$B$83="",-1E+99,'TO HOP NLAN'!D141/ncoc+IF(SUMSQ('TS-PILE'!$E$72:$E$91)=0,0,'TO HOP NLAN'!E141*'TS-PILE'!$E$83/SUMSQ('TS-PILE'!$E$72:$E$91))+IF(SUMSQ('TS-PILE'!$D$72:$D$91)=0,0,'TO HOP NLAN'!F141*'TS-PILE'!$D$83/SUMSQ('TS-PILE'!$D$72:$D$91))),IF('TS-PILE'!$B$84="",-1E+99,'TO HOP NLAN'!D141/ncoc+IF(SUMSQ('TS-PILE'!$E$72:$E$91)=0,0,'TO HOP NLAN'!E141*'TS-PILE'!$E$84/SUMSQ('TS-PILE'!$E$72:$E$91))+IF(SUMSQ('TS-PILE'!$D$72:$D$91)=0,0,'TO HOP NLAN'!F141*'TS-PILE'!$D$84/SUMSQ('TS-PILE'!$D$72:$D$91))),IF('TS-PILE'!$B$85="",-1E+99,'TO HOP NLAN'!D141/ncoc+IF(SUMSQ('TS-PILE'!$E$72:$E$91)=0,0,'TO HOP NLAN'!E141*'TS-PILE'!$E$85/SUMSQ('TS-PILE'!$E$72:$E$91))+IF(SUMSQ('TS-PILE'!$D$72:$D$91)=0,0,'TO HOP NLAN'!F141*'TS-PILE'!$D$85/SUMSQ('TS-PILE'!$D$72:$D$91))),IF('TS-PILE'!$B$86="",-1E+99,'TO HOP NLAN'!D141/ncoc+IF(SUMSQ('TS-PILE'!$E$72:$E$91)=0,0,'TO HOP NLAN'!E141*'TS-PILE'!$E$86/SUMSQ('TS-PILE'!$E$72:$E$91))+IF(SUMSQ('TS-PILE'!$D$72:$D$91)=0,0,'TO HOP NLAN'!F141*'TS-PILE'!$D$86/SUMSQ('TS-PILE'!$D$72:$D$91))),IF('TS-PILE'!$B$87="",-1E+99,'TO HOP NLAN'!D141/ncoc+IF(SUMSQ('TS-PILE'!$E$72:$E$91)=0,0,'TO HOP NLAN'!E141*'TS-PILE'!$E$87/SUMSQ('TS-PILE'!$E$72:$E$91))+IF(SUMSQ('TS-PILE'!$D$72:$D$91)=0,0,'TO HOP NLAN'!F141*'TS-PILE'!$D$87/SUMSQ('TS-PILE'!$D$72:$D$91))),IF('TS-PILE'!$B$88="",-1E+99,'TO HOP NLAN'!D141/ncoc+IF(SUMSQ('TS-PILE'!$E$72:$E$91)=0,0,'TO HOP NLAN'!E141*'TS-PILE'!$E$88/SUMSQ('TS-PILE'!$E$72:$E$91))+IF(SUMSQ('TS-PILE'!$D$72:$D$91)=0,0,'TO HOP NLAN'!F141*'TS-PILE'!$D$88/SUMSQ('TS-PILE'!$D$72:$D$91))),IF('TS-PILE'!$B$89="",-1E+99,'TO HOP NLAN'!D141/ncoc+IF(SUMSQ('TS-PILE'!$E$72:$E$91)=0,0,'TO HOP NLAN'!E141*'TS-PILE'!$E$89/SUMSQ('TS-PILE'!$E$72:$E$91))+IF(SUMSQ('TS-PILE'!$D$72:$D$91)=0,0,'TO HOP NLAN'!F141*'TS-PILE'!$D$89/SUMSQ('TS-PILE'!$D$72:$D$91))),IF('TS-PILE'!$B$90="",-1E+99,'TO HOP NLAN'!D141/ncoc+IF(SUMSQ('TS-PILE'!$E$72:$E$91)=0,0,'TO HOP NLAN'!E141*'TS-PILE'!$E$90/SUMSQ('TS-PILE'!$E$72:$E$91))+IF(SUMSQ('TS-PILE'!$D$72:$D$91)=0,0,'TO HOP NLAN'!F141*'TS-PILE'!$D$90/SUMSQ('TS-PILE'!$D$72:$D$91))),IF('TS-PILE'!$B$91="",-1E+99,'TO HOP NLAN'!D141/ncoc+IF(SUMSQ('TS-PILE'!$E$72:$E$91)=0,0,'TO HOP NLAN'!E141*'TS-PILE'!$E$91/SUMSQ('TS-PILE'!$E$72:$E$91))+IF(SUMSQ('TS-PILE'!$D$72:$D$91)=0,0,'TO HOP NLAN'!F141*'TS-PILE'!$D$91/SUMSQ('TS-PILE'!$D$72:$D$91)))))</f>
        <v>0</v>
      </c>
      <c r="D141" s="58">
        <f>IF(A141="",0,MIN(IF('TS-PILE'!$B$72="",1E+99,'TO HOP NLAN'!D141/ncoc+IF(SUMSQ('TS-PILE'!$E$72:$E$91)=0,0,'TO HOP NLAN'!E141*'TS-PILE'!$E$72/SUMSQ('TS-PILE'!$E$72:$E$91))+IF(SUMSQ('TS-PILE'!$D$72:$D$91)=0,0,'TO HOP NLAN'!F141*'TS-PILE'!$D$72/SUMSQ('TS-PILE'!$D$72:$D$91))),IF('TS-PILE'!$B$73="",1E+99,'TO HOP NLAN'!D141/ncoc+IF(SUMSQ('TS-PILE'!$E$72:$E$91)=0,0,'TO HOP NLAN'!E141*'TS-PILE'!$E$73/SUMSQ('TS-PILE'!$E$72:$E$91))+IF(SUMSQ('TS-PILE'!$D$72:$D$91)=0,0,'TO HOP NLAN'!F141*'TS-PILE'!$D$73/SUMSQ('TS-PILE'!$D$72:$D$91))),IF('TS-PILE'!$B$74="",1E+99,'TO HOP NLAN'!D141/ncoc+IF(SUMSQ('TS-PILE'!$E$72:$E$91)=0,0,'TO HOP NLAN'!E141*'TS-PILE'!$E$74/SUMSQ('TS-PILE'!$E$72:$E$91))+IF(SUMSQ('TS-PILE'!$D$72:$D$91)=0,0,'TO HOP NLAN'!F141*'TS-PILE'!$D$74/SUMSQ('TS-PILE'!$D$72:$D$91))),IF('TS-PILE'!$B$75="",1E+99,'TO HOP NLAN'!D141/ncoc+IF(SUMSQ('TS-PILE'!$E$72:$E$91)=0,0,'TO HOP NLAN'!E141*'TS-PILE'!$E$75/SUMSQ('TS-PILE'!$E$72:$E$91))+IF(SUMSQ('TS-PILE'!$D$72:$D$91)=0,0,'TO HOP NLAN'!F141*'TS-PILE'!$D$75/SUMSQ('TS-PILE'!$D$72:$D$91))),IF('TS-PILE'!$B$76="",1E+99,'TO HOP NLAN'!D141/ncoc+IF(SUMSQ('TS-PILE'!$E$72:$E$91)=0,0,'TO HOP NLAN'!E141*'TS-PILE'!$E$76/SUMSQ('TS-PILE'!$E$72:$E$91))+IF(SUMSQ('TS-PILE'!$D$72:$D$91)=0,0,'TO HOP NLAN'!F141*'TS-PILE'!$D$76/SUMSQ('TS-PILE'!$D$72:$D$91))),IF('TS-PILE'!$B$77="",1E+99,'TO HOP NLAN'!D141/ncoc+IF(SUMSQ('TS-PILE'!$E$72:$E$91)=0,0,'TO HOP NLAN'!E141*'TS-PILE'!$E$77/SUMSQ('TS-PILE'!$E$72:$E$91))+IF(SUMSQ('TS-PILE'!$D$72:$D$91)=0,0,'TO HOP NLAN'!F141*'TS-PILE'!$D$77/SUMSQ('TS-PILE'!$D$72:$D$91))),IF('TS-PILE'!$B$78="",1E+99,'TO HOP NLAN'!D141/ncoc+IF(SUMSQ('TS-PILE'!$E$72:$E$91)=0,0,'TO HOP NLAN'!E141*'TS-PILE'!$E$78/SUMSQ('TS-PILE'!$E$72:$E$91))+IF(SUMSQ('TS-PILE'!$D$72:$D$91)=0,0,'TO HOP NLAN'!F141*'TS-PILE'!$D$78/SUMSQ('TS-PILE'!$D$72:$D$91))),IF('TS-PILE'!$B$79="",1E+99,'TO HOP NLAN'!D141/ncoc+IF(SUMSQ('TS-PILE'!$E$72:$E$91)=0,0,'TO HOP NLAN'!E141*'TS-PILE'!$E$79/SUMSQ('TS-PILE'!$E$72:$E$91))+IF(SUMSQ('TS-PILE'!$D$72:$D$91)=0,0,'TO HOP NLAN'!F141*'TS-PILE'!$D$79/SUMSQ('TS-PILE'!$D$72:$D$91))),IF('TS-PILE'!$B$80="",1E+99,'TO HOP NLAN'!D141/ncoc+IF(SUMSQ('TS-PILE'!$E$72:$E$91)=0,0,'TO HOP NLAN'!E141*'TS-PILE'!$E$80/SUMSQ('TS-PILE'!$E$72:$E$91))+IF(SUMSQ('TS-PILE'!$D$72:$D$91)=0,0,'TO HOP NLAN'!F141*'TS-PILE'!$D$80/SUMSQ('TS-PILE'!$D$72:$D$91))),IF('TS-PILE'!$B$81="",1E+99,'TO HOP NLAN'!D141/ncoc+IF(SUMSQ('TS-PILE'!$E$72:$E$91)=0,0,'TO HOP NLAN'!E141*'TS-PILE'!$E$81/SUMSQ('TS-PILE'!$E$72:$E$91))+IF(SUMSQ('TS-PILE'!$D$72:$D$91)=0,0,'TO HOP NLAN'!F141*'TS-PILE'!$D$81/SUMSQ('TS-PILE'!$D$72:$D$91))),IF('TS-PILE'!$B$82="",1E+99,'TO HOP NLAN'!D141/ncoc+IF(SUMSQ('TS-PILE'!$E$72:$E$91)=0,0,'TO HOP NLAN'!E141*'TS-PILE'!$E$82/SUMSQ('TS-PILE'!$E$72:$E$91))+IF(SUMSQ('TS-PILE'!$D$72:$D$91)=0,0,'TO HOP NLAN'!F141*'TS-PILE'!$D$82/SUMSQ('TS-PILE'!$D$72:$D$91))),IF('TS-PILE'!$B$83="",1E+99,'TO HOP NLAN'!D141/ncoc+IF(SUMSQ('TS-PILE'!$E$72:$E$91)=0,0,'TO HOP NLAN'!E141*'TS-PILE'!$E$83/SUMSQ('TS-PILE'!$E$72:$E$91))+IF(SUMSQ('TS-PILE'!$D$72:$D$91)=0,0,'TO HOP NLAN'!F141*'TS-PILE'!$D$83/SUMSQ('TS-PILE'!$D$72:$D$91))),IF('TS-PILE'!$B$84="",1E+99,'TO HOP NLAN'!D141/ncoc+IF(SUMSQ('TS-PILE'!$E$72:$E$91)=0,0,'TO HOP NLAN'!E141*'TS-PILE'!$E$84/SUMSQ('TS-PILE'!$E$72:$E$91))+IF(SUMSQ('TS-PILE'!$D$72:$D$91)=0,0,'TO HOP NLAN'!F141*'TS-PILE'!$D$84/SUMSQ('TS-PILE'!$D$72:$D$91))),IF('TS-PILE'!$B$85="",1E+99,'TO HOP NLAN'!D141/ncoc+IF(SUMSQ('TS-PILE'!$E$72:$E$91)=0,0,'TO HOP NLAN'!E141*'TS-PILE'!$E$85/SUMSQ('TS-PILE'!$E$72:$E$91))+IF(SUMSQ('TS-PILE'!$D$72:$D$91)=0,0,'TO HOP NLAN'!F141*'TS-PILE'!$D$85/SUMSQ('TS-PILE'!$D$72:$D$91))),IF('TS-PILE'!$B$86="",1E+99,'TO HOP NLAN'!D141/ncoc+IF(SUMSQ('TS-PILE'!$E$72:$E$91)=0,0,'TO HOP NLAN'!E141*'TS-PILE'!$E$86/SUMSQ('TS-PILE'!$E$72:$E$91))+IF(SUMSQ('TS-PILE'!$D$72:$D$91)=0,0,'TO HOP NLAN'!F141*'TS-PILE'!$D$86/SUMSQ('TS-PILE'!$D$72:$D$91))),IF('TS-PILE'!$B$87="",1E+99,'TO HOP NLAN'!D141/ncoc+IF(SUMSQ('TS-PILE'!$E$72:$E$91)=0,0,'TO HOP NLAN'!E141*'TS-PILE'!$E$87/SUMSQ('TS-PILE'!$E$72:$E$91))+IF(SUMSQ('TS-PILE'!$D$72:$D$91)=0,0,'TO HOP NLAN'!F141*'TS-PILE'!$D$87/SUMSQ('TS-PILE'!$D$72:$D$91))),IF('TS-PILE'!$B$88="",1E+99,'TO HOP NLAN'!D141/ncoc+IF(SUMSQ('TS-PILE'!$E$72:$E$91)=0,0,'TO HOP NLAN'!E141*'TS-PILE'!$E$88/SUMSQ('TS-PILE'!$E$72:$E$91))+IF(SUMSQ('TS-PILE'!$D$72:$D$91)=0,0,'TO HOP NLAN'!F141*'TS-PILE'!$D$88/SUMSQ('TS-PILE'!$D$72:$D$91))),IF('TS-PILE'!$B$89="",1E+99,'TO HOP NLAN'!D141/ncoc+IF(SUMSQ('TS-PILE'!$E$72:$E$91)=0,0,'TO HOP NLAN'!E141*'TS-PILE'!$E$89/SUMSQ('TS-PILE'!$E$72:$E$91))+IF(SUMSQ('TS-PILE'!$D$72:$D$91)=0,0,'TO HOP NLAN'!F141*'TS-PILE'!$D$89/SUMSQ('TS-PILE'!$D$72:$D$91))),IF('TS-PILE'!$B$90="",1E+99,'TO HOP NLAN'!D141/ncoc+IF(SUMSQ('TS-PILE'!$E$72:$E$91)=0,0,'TO HOP NLAN'!E141*'TS-PILE'!$E$90/SUMSQ('TS-PILE'!$E$72:$E$91))+IF(SUMSQ('TS-PILE'!$D$72:$D$91)=0,0,'TO HOP NLAN'!F141*'TS-PILE'!$D$90/SUMSQ('TS-PILE'!$D$72:$D$91))),IF('TS-PILE'!$B$91="",1E+99,'TO HOP NLAN'!D141/ncoc+IF(SUMSQ('TS-PILE'!$E$72:$E$91)=0,0,'TO HOP NLAN'!E141*'TS-PILE'!$E$91/SUMSQ('TS-PILE'!$E$72:$E$91))+IF(SUMSQ('TS-PILE'!$D$72:$D$91)=0,0,'TO HOP NLAN'!F141*'TS-PILE'!$D$91/SUMSQ('TS-PILE'!$D$72:$D$91)))))</f>
        <v>0</v>
      </c>
      <c r="E141" s="58">
        <f t="shared" si="8"/>
        <v>-9.9999999999999997E+98</v>
      </c>
      <c r="F141" s="58">
        <f t="shared" si="9"/>
        <v>9.9999999999999997E+98</v>
      </c>
      <c r="G141" s="58">
        <f t="shared" si="10"/>
        <v>-9.9999999999999997E+98</v>
      </c>
      <c r="H141" s="58">
        <f t="shared" si="11"/>
        <v>9.9999999999999997E+98</v>
      </c>
    </row>
    <row r="142" spans="1:8" x14ac:dyDescent="0.3">
      <c r="A142" s="42" t="str">
        <f>'TO HOP NLAN'!A142</f>
        <v/>
      </c>
      <c r="B142" s="42" t="str">
        <f>'TO HOP NLAN'!L142</f>
        <v>STRENGTH</v>
      </c>
      <c r="C142" s="58">
        <f>IF(A142="",0,MAX(IF('TS-PILE'!$B$72="",-1E+99,'TO HOP NLAN'!D142/ncoc+IF(SUMSQ('TS-PILE'!$E$72:$E$91)=0,0,'TO HOP NLAN'!E142*'TS-PILE'!$E$72/SUMSQ('TS-PILE'!$E$72:$E$91))+IF(SUMSQ('TS-PILE'!$D$72:$D$91)=0,0,'TO HOP NLAN'!F142*'TS-PILE'!$D$72/SUMSQ('TS-PILE'!$D$72:$D$91))),IF('TS-PILE'!$B$73="",-1E+99,'TO HOP NLAN'!D142/ncoc+IF(SUMSQ('TS-PILE'!$E$72:$E$91)=0,0,'TO HOP NLAN'!E142*'TS-PILE'!$E$73/SUMSQ('TS-PILE'!$E$72:$E$91))+IF(SUMSQ('TS-PILE'!$D$72:$D$91)=0,0,'TO HOP NLAN'!F142*'TS-PILE'!$D$73/SUMSQ('TS-PILE'!$D$72:$D$91))),IF('TS-PILE'!$B$74="",-1E+99,'TO HOP NLAN'!D142/ncoc+IF(SUMSQ('TS-PILE'!$E$72:$E$91)=0,0,'TO HOP NLAN'!E142*'TS-PILE'!$E$74/SUMSQ('TS-PILE'!$E$72:$E$91))+IF(SUMSQ('TS-PILE'!$D$72:$D$91)=0,0,'TO HOP NLAN'!F142*'TS-PILE'!$D$74/SUMSQ('TS-PILE'!$D$72:$D$91))),IF('TS-PILE'!$B$75="",-1E+99,'TO HOP NLAN'!D142/ncoc+IF(SUMSQ('TS-PILE'!$E$72:$E$91)=0,0,'TO HOP NLAN'!E142*'TS-PILE'!$E$75/SUMSQ('TS-PILE'!$E$72:$E$91))+IF(SUMSQ('TS-PILE'!$D$72:$D$91)=0,0,'TO HOP NLAN'!F142*'TS-PILE'!$D$75/SUMSQ('TS-PILE'!$D$72:$D$91))),IF('TS-PILE'!$B$76="",-1E+99,'TO HOP NLAN'!D142/ncoc+IF(SUMSQ('TS-PILE'!$E$72:$E$91)=0,0,'TO HOP NLAN'!E142*'TS-PILE'!$E$76/SUMSQ('TS-PILE'!$E$72:$E$91))+IF(SUMSQ('TS-PILE'!$D$72:$D$91)=0,0,'TO HOP NLAN'!F142*'TS-PILE'!$D$76/SUMSQ('TS-PILE'!$D$72:$D$91))),IF('TS-PILE'!$B$77="",-1E+99,'TO HOP NLAN'!D142/ncoc+IF(SUMSQ('TS-PILE'!$E$72:$E$91)=0,0,'TO HOP NLAN'!E142*'TS-PILE'!$E$77/SUMSQ('TS-PILE'!$E$72:$E$91))+IF(SUMSQ('TS-PILE'!$D$72:$D$91)=0,0,'TO HOP NLAN'!F142*'TS-PILE'!$D$77/SUMSQ('TS-PILE'!$D$72:$D$91))),IF('TS-PILE'!$B$78="",-1E+99,'TO HOP NLAN'!D142/ncoc+IF(SUMSQ('TS-PILE'!$E$72:$E$91)=0,0,'TO HOP NLAN'!E142*'TS-PILE'!$E$78/SUMSQ('TS-PILE'!$E$72:$E$91))+IF(SUMSQ('TS-PILE'!$D$72:$D$91)=0,0,'TO HOP NLAN'!F142*'TS-PILE'!$D$78/SUMSQ('TS-PILE'!$D$72:$D$91))),IF('TS-PILE'!$B$79="",-1E+99,'TO HOP NLAN'!D142/ncoc+IF(SUMSQ('TS-PILE'!$E$72:$E$91)=0,0,'TO HOP NLAN'!E142*'TS-PILE'!$E$79/SUMSQ('TS-PILE'!$E$72:$E$91))+IF(SUMSQ('TS-PILE'!$D$72:$D$91)=0,0,'TO HOP NLAN'!F142*'TS-PILE'!$D$79/SUMSQ('TS-PILE'!$D$72:$D$91))),IF('TS-PILE'!$B$80="",-1E+99,'TO HOP NLAN'!D142/ncoc+IF(SUMSQ('TS-PILE'!$E$72:$E$91)=0,0,'TO HOP NLAN'!E142*'TS-PILE'!$E$80/SUMSQ('TS-PILE'!$E$72:$E$91))+IF(SUMSQ('TS-PILE'!$D$72:$D$91)=0,0,'TO HOP NLAN'!F142*'TS-PILE'!$D$80/SUMSQ('TS-PILE'!$D$72:$D$91))),IF('TS-PILE'!$B$81="",-1E+99,'TO HOP NLAN'!D142/ncoc+IF(SUMSQ('TS-PILE'!$E$72:$E$91)=0,0,'TO HOP NLAN'!E142*'TS-PILE'!$E$81/SUMSQ('TS-PILE'!$E$72:$E$91))+IF(SUMSQ('TS-PILE'!$D$72:$D$91)=0,0,'TO HOP NLAN'!F142*'TS-PILE'!$D$81/SUMSQ('TS-PILE'!$D$72:$D$91))),IF('TS-PILE'!$B$82="",-1E+99,'TO HOP NLAN'!D142/ncoc+IF(SUMSQ('TS-PILE'!$E$72:$E$91)=0,0,'TO HOP NLAN'!E142*'TS-PILE'!$E$82/SUMSQ('TS-PILE'!$E$72:$E$91))+IF(SUMSQ('TS-PILE'!$D$72:$D$91)=0,0,'TO HOP NLAN'!F142*'TS-PILE'!$D$82/SUMSQ('TS-PILE'!$D$72:$D$91))),IF('TS-PILE'!$B$83="",-1E+99,'TO HOP NLAN'!D142/ncoc+IF(SUMSQ('TS-PILE'!$E$72:$E$91)=0,0,'TO HOP NLAN'!E142*'TS-PILE'!$E$83/SUMSQ('TS-PILE'!$E$72:$E$91))+IF(SUMSQ('TS-PILE'!$D$72:$D$91)=0,0,'TO HOP NLAN'!F142*'TS-PILE'!$D$83/SUMSQ('TS-PILE'!$D$72:$D$91))),IF('TS-PILE'!$B$84="",-1E+99,'TO HOP NLAN'!D142/ncoc+IF(SUMSQ('TS-PILE'!$E$72:$E$91)=0,0,'TO HOP NLAN'!E142*'TS-PILE'!$E$84/SUMSQ('TS-PILE'!$E$72:$E$91))+IF(SUMSQ('TS-PILE'!$D$72:$D$91)=0,0,'TO HOP NLAN'!F142*'TS-PILE'!$D$84/SUMSQ('TS-PILE'!$D$72:$D$91))),IF('TS-PILE'!$B$85="",-1E+99,'TO HOP NLAN'!D142/ncoc+IF(SUMSQ('TS-PILE'!$E$72:$E$91)=0,0,'TO HOP NLAN'!E142*'TS-PILE'!$E$85/SUMSQ('TS-PILE'!$E$72:$E$91))+IF(SUMSQ('TS-PILE'!$D$72:$D$91)=0,0,'TO HOP NLAN'!F142*'TS-PILE'!$D$85/SUMSQ('TS-PILE'!$D$72:$D$91))),IF('TS-PILE'!$B$86="",-1E+99,'TO HOP NLAN'!D142/ncoc+IF(SUMSQ('TS-PILE'!$E$72:$E$91)=0,0,'TO HOP NLAN'!E142*'TS-PILE'!$E$86/SUMSQ('TS-PILE'!$E$72:$E$91))+IF(SUMSQ('TS-PILE'!$D$72:$D$91)=0,0,'TO HOP NLAN'!F142*'TS-PILE'!$D$86/SUMSQ('TS-PILE'!$D$72:$D$91))),IF('TS-PILE'!$B$87="",-1E+99,'TO HOP NLAN'!D142/ncoc+IF(SUMSQ('TS-PILE'!$E$72:$E$91)=0,0,'TO HOP NLAN'!E142*'TS-PILE'!$E$87/SUMSQ('TS-PILE'!$E$72:$E$91))+IF(SUMSQ('TS-PILE'!$D$72:$D$91)=0,0,'TO HOP NLAN'!F142*'TS-PILE'!$D$87/SUMSQ('TS-PILE'!$D$72:$D$91))),IF('TS-PILE'!$B$88="",-1E+99,'TO HOP NLAN'!D142/ncoc+IF(SUMSQ('TS-PILE'!$E$72:$E$91)=0,0,'TO HOP NLAN'!E142*'TS-PILE'!$E$88/SUMSQ('TS-PILE'!$E$72:$E$91))+IF(SUMSQ('TS-PILE'!$D$72:$D$91)=0,0,'TO HOP NLAN'!F142*'TS-PILE'!$D$88/SUMSQ('TS-PILE'!$D$72:$D$91))),IF('TS-PILE'!$B$89="",-1E+99,'TO HOP NLAN'!D142/ncoc+IF(SUMSQ('TS-PILE'!$E$72:$E$91)=0,0,'TO HOP NLAN'!E142*'TS-PILE'!$E$89/SUMSQ('TS-PILE'!$E$72:$E$91))+IF(SUMSQ('TS-PILE'!$D$72:$D$91)=0,0,'TO HOP NLAN'!F142*'TS-PILE'!$D$89/SUMSQ('TS-PILE'!$D$72:$D$91))),IF('TS-PILE'!$B$90="",-1E+99,'TO HOP NLAN'!D142/ncoc+IF(SUMSQ('TS-PILE'!$E$72:$E$91)=0,0,'TO HOP NLAN'!E142*'TS-PILE'!$E$90/SUMSQ('TS-PILE'!$E$72:$E$91))+IF(SUMSQ('TS-PILE'!$D$72:$D$91)=0,0,'TO HOP NLAN'!F142*'TS-PILE'!$D$90/SUMSQ('TS-PILE'!$D$72:$D$91))),IF('TS-PILE'!$B$91="",-1E+99,'TO HOP NLAN'!D142/ncoc+IF(SUMSQ('TS-PILE'!$E$72:$E$91)=0,0,'TO HOP NLAN'!E142*'TS-PILE'!$E$91/SUMSQ('TS-PILE'!$E$72:$E$91))+IF(SUMSQ('TS-PILE'!$D$72:$D$91)=0,0,'TO HOP NLAN'!F142*'TS-PILE'!$D$91/SUMSQ('TS-PILE'!$D$72:$D$91)))))</f>
        <v>0</v>
      </c>
      <c r="D142" s="58">
        <f>IF(A142="",0,MIN(IF('TS-PILE'!$B$72="",1E+99,'TO HOP NLAN'!D142/ncoc+IF(SUMSQ('TS-PILE'!$E$72:$E$91)=0,0,'TO HOP NLAN'!E142*'TS-PILE'!$E$72/SUMSQ('TS-PILE'!$E$72:$E$91))+IF(SUMSQ('TS-PILE'!$D$72:$D$91)=0,0,'TO HOP NLAN'!F142*'TS-PILE'!$D$72/SUMSQ('TS-PILE'!$D$72:$D$91))),IF('TS-PILE'!$B$73="",1E+99,'TO HOP NLAN'!D142/ncoc+IF(SUMSQ('TS-PILE'!$E$72:$E$91)=0,0,'TO HOP NLAN'!E142*'TS-PILE'!$E$73/SUMSQ('TS-PILE'!$E$72:$E$91))+IF(SUMSQ('TS-PILE'!$D$72:$D$91)=0,0,'TO HOP NLAN'!F142*'TS-PILE'!$D$73/SUMSQ('TS-PILE'!$D$72:$D$91))),IF('TS-PILE'!$B$74="",1E+99,'TO HOP NLAN'!D142/ncoc+IF(SUMSQ('TS-PILE'!$E$72:$E$91)=0,0,'TO HOP NLAN'!E142*'TS-PILE'!$E$74/SUMSQ('TS-PILE'!$E$72:$E$91))+IF(SUMSQ('TS-PILE'!$D$72:$D$91)=0,0,'TO HOP NLAN'!F142*'TS-PILE'!$D$74/SUMSQ('TS-PILE'!$D$72:$D$91))),IF('TS-PILE'!$B$75="",1E+99,'TO HOP NLAN'!D142/ncoc+IF(SUMSQ('TS-PILE'!$E$72:$E$91)=0,0,'TO HOP NLAN'!E142*'TS-PILE'!$E$75/SUMSQ('TS-PILE'!$E$72:$E$91))+IF(SUMSQ('TS-PILE'!$D$72:$D$91)=0,0,'TO HOP NLAN'!F142*'TS-PILE'!$D$75/SUMSQ('TS-PILE'!$D$72:$D$91))),IF('TS-PILE'!$B$76="",1E+99,'TO HOP NLAN'!D142/ncoc+IF(SUMSQ('TS-PILE'!$E$72:$E$91)=0,0,'TO HOP NLAN'!E142*'TS-PILE'!$E$76/SUMSQ('TS-PILE'!$E$72:$E$91))+IF(SUMSQ('TS-PILE'!$D$72:$D$91)=0,0,'TO HOP NLAN'!F142*'TS-PILE'!$D$76/SUMSQ('TS-PILE'!$D$72:$D$91))),IF('TS-PILE'!$B$77="",1E+99,'TO HOP NLAN'!D142/ncoc+IF(SUMSQ('TS-PILE'!$E$72:$E$91)=0,0,'TO HOP NLAN'!E142*'TS-PILE'!$E$77/SUMSQ('TS-PILE'!$E$72:$E$91))+IF(SUMSQ('TS-PILE'!$D$72:$D$91)=0,0,'TO HOP NLAN'!F142*'TS-PILE'!$D$77/SUMSQ('TS-PILE'!$D$72:$D$91))),IF('TS-PILE'!$B$78="",1E+99,'TO HOP NLAN'!D142/ncoc+IF(SUMSQ('TS-PILE'!$E$72:$E$91)=0,0,'TO HOP NLAN'!E142*'TS-PILE'!$E$78/SUMSQ('TS-PILE'!$E$72:$E$91))+IF(SUMSQ('TS-PILE'!$D$72:$D$91)=0,0,'TO HOP NLAN'!F142*'TS-PILE'!$D$78/SUMSQ('TS-PILE'!$D$72:$D$91))),IF('TS-PILE'!$B$79="",1E+99,'TO HOP NLAN'!D142/ncoc+IF(SUMSQ('TS-PILE'!$E$72:$E$91)=0,0,'TO HOP NLAN'!E142*'TS-PILE'!$E$79/SUMSQ('TS-PILE'!$E$72:$E$91))+IF(SUMSQ('TS-PILE'!$D$72:$D$91)=0,0,'TO HOP NLAN'!F142*'TS-PILE'!$D$79/SUMSQ('TS-PILE'!$D$72:$D$91))),IF('TS-PILE'!$B$80="",1E+99,'TO HOP NLAN'!D142/ncoc+IF(SUMSQ('TS-PILE'!$E$72:$E$91)=0,0,'TO HOP NLAN'!E142*'TS-PILE'!$E$80/SUMSQ('TS-PILE'!$E$72:$E$91))+IF(SUMSQ('TS-PILE'!$D$72:$D$91)=0,0,'TO HOP NLAN'!F142*'TS-PILE'!$D$80/SUMSQ('TS-PILE'!$D$72:$D$91))),IF('TS-PILE'!$B$81="",1E+99,'TO HOP NLAN'!D142/ncoc+IF(SUMSQ('TS-PILE'!$E$72:$E$91)=0,0,'TO HOP NLAN'!E142*'TS-PILE'!$E$81/SUMSQ('TS-PILE'!$E$72:$E$91))+IF(SUMSQ('TS-PILE'!$D$72:$D$91)=0,0,'TO HOP NLAN'!F142*'TS-PILE'!$D$81/SUMSQ('TS-PILE'!$D$72:$D$91))),IF('TS-PILE'!$B$82="",1E+99,'TO HOP NLAN'!D142/ncoc+IF(SUMSQ('TS-PILE'!$E$72:$E$91)=0,0,'TO HOP NLAN'!E142*'TS-PILE'!$E$82/SUMSQ('TS-PILE'!$E$72:$E$91))+IF(SUMSQ('TS-PILE'!$D$72:$D$91)=0,0,'TO HOP NLAN'!F142*'TS-PILE'!$D$82/SUMSQ('TS-PILE'!$D$72:$D$91))),IF('TS-PILE'!$B$83="",1E+99,'TO HOP NLAN'!D142/ncoc+IF(SUMSQ('TS-PILE'!$E$72:$E$91)=0,0,'TO HOP NLAN'!E142*'TS-PILE'!$E$83/SUMSQ('TS-PILE'!$E$72:$E$91))+IF(SUMSQ('TS-PILE'!$D$72:$D$91)=0,0,'TO HOP NLAN'!F142*'TS-PILE'!$D$83/SUMSQ('TS-PILE'!$D$72:$D$91))),IF('TS-PILE'!$B$84="",1E+99,'TO HOP NLAN'!D142/ncoc+IF(SUMSQ('TS-PILE'!$E$72:$E$91)=0,0,'TO HOP NLAN'!E142*'TS-PILE'!$E$84/SUMSQ('TS-PILE'!$E$72:$E$91))+IF(SUMSQ('TS-PILE'!$D$72:$D$91)=0,0,'TO HOP NLAN'!F142*'TS-PILE'!$D$84/SUMSQ('TS-PILE'!$D$72:$D$91))),IF('TS-PILE'!$B$85="",1E+99,'TO HOP NLAN'!D142/ncoc+IF(SUMSQ('TS-PILE'!$E$72:$E$91)=0,0,'TO HOP NLAN'!E142*'TS-PILE'!$E$85/SUMSQ('TS-PILE'!$E$72:$E$91))+IF(SUMSQ('TS-PILE'!$D$72:$D$91)=0,0,'TO HOP NLAN'!F142*'TS-PILE'!$D$85/SUMSQ('TS-PILE'!$D$72:$D$91))),IF('TS-PILE'!$B$86="",1E+99,'TO HOP NLAN'!D142/ncoc+IF(SUMSQ('TS-PILE'!$E$72:$E$91)=0,0,'TO HOP NLAN'!E142*'TS-PILE'!$E$86/SUMSQ('TS-PILE'!$E$72:$E$91))+IF(SUMSQ('TS-PILE'!$D$72:$D$91)=0,0,'TO HOP NLAN'!F142*'TS-PILE'!$D$86/SUMSQ('TS-PILE'!$D$72:$D$91))),IF('TS-PILE'!$B$87="",1E+99,'TO HOP NLAN'!D142/ncoc+IF(SUMSQ('TS-PILE'!$E$72:$E$91)=0,0,'TO HOP NLAN'!E142*'TS-PILE'!$E$87/SUMSQ('TS-PILE'!$E$72:$E$91))+IF(SUMSQ('TS-PILE'!$D$72:$D$91)=0,0,'TO HOP NLAN'!F142*'TS-PILE'!$D$87/SUMSQ('TS-PILE'!$D$72:$D$91))),IF('TS-PILE'!$B$88="",1E+99,'TO HOP NLAN'!D142/ncoc+IF(SUMSQ('TS-PILE'!$E$72:$E$91)=0,0,'TO HOP NLAN'!E142*'TS-PILE'!$E$88/SUMSQ('TS-PILE'!$E$72:$E$91))+IF(SUMSQ('TS-PILE'!$D$72:$D$91)=0,0,'TO HOP NLAN'!F142*'TS-PILE'!$D$88/SUMSQ('TS-PILE'!$D$72:$D$91))),IF('TS-PILE'!$B$89="",1E+99,'TO HOP NLAN'!D142/ncoc+IF(SUMSQ('TS-PILE'!$E$72:$E$91)=0,0,'TO HOP NLAN'!E142*'TS-PILE'!$E$89/SUMSQ('TS-PILE'!$E$72:$E$91))+IF(SUMSQ('TS-PILE'!$D$72:$D$91)=0,0,'TO HOP NLAN'!F142*'TS-PILE'!$D$89/SUMSQ('TS-PILE'!$D$72:$D$91))),IF('TS-PILE'!$B$90="",1E+99,'TO HOP NLAN'!D142/ncoc+IF(SUMSQ('TS-PILE'!$E$72:$E$91)=0,0,'TO HOP NLAN'!E142*'TS-PILE'!$E$90/SUMSQ('TS-PILE'!$E$72:$E$91))+IF(SUMSQ('TS-PILE'!$D$72:$D$91)=0,0,'TO HOP NLAN'!F142*'TS-PILE'!$D$90/SUMSQ('TS-PILE'!$D$72:$D$91))),IF('TS-PILE'!$B$91="",1E+99,'TO HOP NLAN'!D142/ncoc+IF(SUMSQ('TS-PILE'!$E$72:$E$91)=0,0,'TO HOP NLAN'!E142*'TS-PILE'!$E$91/SUMSQ('TS-PILE'!$E$72:$E$91))+IF(SUMSQ('TS-PILE'!$D$72:$D$91)=0,0,'TO HOP NLAN'!F142*'TS-PILE'!$D$91/SUMSQ('TS-PILE'!$D$72:$D$91)))))</f>
        <v>0</v>
      </c>
      <c r="E142" s="58">
        <f t="shared" si="8"/>
        <v>-9.9999999999999997E+98</v>
      </c>
      <c r="F142" s="58">
        <f t="shared" si="9"/>
        <v>9.9999999999999997E+98</v>
      </c>
      <c r="G142" s="58">
        <f t="shared" si="10"/>
        <v>-9.9999999999999997E+98</v>
      </c>
      <c r="H142" s="58">
        <f t="shared" si="11"/>
        <v>9.9999999999999997E+98</v>
      </c>
    </row>
    <row r="143" spans="1:8" x14ac:dyDescent="0.3">
      <c r="A143" s="42" t="str">
        <f>'TO HOP NLAN'!A143</f>
        <v/>
      </c>
      <c r="B143" s="42" t="str">
        <f>'TO HOP NLAN'!L143</f>
        <v>STRENGTH</v>
      </c>
      <c r="C143" s="58">
        <f>IF(A143="",0,MAX(IF('TS-PILE'!$B$72="",-1E+99,'TO HOP NLAN'!D143/ncoc+IF(SUMSQ('TS-PILE'!$E$72:$E$91)=0,0,'TO HOP NLAN'!E143*'TS-PILE'!$E$72/SUMSQ('TS-PILE'!$E$72:$E$91))+IF(SUMSQ('TS-PILE'!$D$72:$D$91)=0,0,'TO HOP NLAN'!F143*'TS-PILE'!$D$72/SUMSQ('TS-PILE'!$D$72:$D$91))),IF('TS-PILE'!$B$73="",-1E+99,'TO HOP NLAN'!D143/ncoc+IF(SUMSQ('TS-PILE'!$E$72:$E$91)=0,0,'TO HOP NLAN'!E143*'TS-PILE'!$E$73/SUMSQ('TS-PILE'!$E$72:$E$91))+IF(SUMSQ('TS-PILE'!$D$72:$D$91)=0,0,'TO HOP NLAN'!F143*'TS-PILE'!$D$73/SUMSQ('TS-PILE'!$D$72:$D$91))),IF('TS-PILE'!$B$74="",-1E+99,'TO HOP NLAN'!D143/ncoc+IF(SUMSQ('TS-PILE'!$E$72:$E$91)=0,0,'TO HOP NLAN'!E143*'TS-PILE'!$E$74/SUMSQ('TS-PILE'!$E$72:$E$91))+IF(SUMSQ('TS-PILE'!$D$72:$D$91)=0,0,'TO HOP NLAN'!F143*'TS-PILE'!$D$74/SUMSQ('TS-PILE'!$D$72:$D$91))),IF('TS-PILE'!$B$75="",-1E+99,'TO HOP NLAN'!D143/ncoc+IF(SUMSQ('TS-PILE'!$E$72:$E$91)=0,0,'TO HOP NLAN'!E143*'TS-PILE'!$E$75/SUMSQ('TS-PILE'!$E$72:$E$91))+IF(SUMSQ('TS-PILE'!$D$72:$D$91)=0,0,'TO HOP NLAN'!F143*'TS-PILE'!$D$75/SUMSQ('TS-PILE'!$D$72:$D$91))),IF('TS-PILE'!$B$76="",-1E+99,'TO HOP NLAN'!D143/ncoc+IF(SUMSQ('TS-PILE'!$E$72:$E$91)=0,0,'TO HOP NLAN'!E143*'TS-PILE'!$E$76/SUMSQ('TS-PILE'!$E$72:$E$91))+IF(SUMSQ('TS-PILE'!$D$72:$D$91)=0,0,'TO HOP NLAN'!F143*'TS-PILE'!$D$76/SUMSQ('TS-PILE'!$D$72:$D$91))),IF('TS-PILE'!$B$77="",-1E+99,'TO HOP NLAN'!D143/ncoc+IF(SUMSQ('TS-PILE'!$E$72:$E$91)=0,0,'TO HOP NLAN'!E143*'TS-PILE'!$E$77/SUMSQ('TS-PILE'!$E$72:$E$91))+IF(SUMSQ('TS-PILE'!$D$72:$D$91)=0,0,'TO HOP NLAN'!F143*'TS-PILE'!$D$77/SUMSQ('TS-PILE'!$D$72:$D$91))),IF('TS-PILE'!$B$78="",-1E+99,'TO HOP NLAN'!D143/ncoc+IF(SUMSQ('TS-PILE'!$E$72:$E$91)=0,0,'TO HOP NLAN'!E143*'TS-PILE'!$E$78/SUMSQ('TS-PILE'!$E$72:$E$91))+IF(SUMSQ('TS-PILE'!$D$72:$D$91)=0,0,'TO HOP NLAN'!F143*'TS-PILE'!$D$78/SUMSQ('TS-PILE'!$D$72:$D$91))),IF('TS-PILE'!$B$79="",-1E+99,'TO HOP NLAN'!D143/ncoc+IF(SUMSQ('TS-PILE'!$E$72:$E$91)=0,0,'TO HOP NLAN'!E143*'TS-PILE'!$E$79/SUMSQ('TS-PILE'!$E$72:$E$91))+IF(SUMSQ('TS-PILE'!$D$72:$D$91)=0,0,'TO HOP NLAN'!F143*'TS-PILE'!$D$79/SUMSQ('TS-PILE'!$D$72:$D$91))),IF('TS-PILE'!$B$80="",-1E+99,'TO HOP NLAN'!D143/ncoc+IF(SUMSQ('TS-PILE'!$E$72:$E$91)=0,0,'TO HOP NLAN'!E143*'TS-PILE'!$E$80/SUMSQ('TS-PILE'!$E$72:$E$91))+IF(SUMSQ('TS-PILE'!$D$72:$D$91)=0,0,'TO HOP NLAN'!F143*'TS-PILE'!$D$80/SUMSQ('TS-PILE'!$D$72:$D$91))),IF('TS-PILE'!$B$81="",-1E+99,'TO HOP NLAN'!D143/ncoc+IF(SUMSQ('TS-PILE'!$E$72:$E$91)=0,0,'TO HOP NLAN'!E143*'TS-PILE'!$E$81/SUMSQ('TS-PILE'!$E$72:$E$91))+IF(SUMSQ('TS-PILE'!$D$72:$D$91)=0,0,'TO HOP NLAN'!F143*'TS-PILE'!$D$81/SUMSQ('TS-PILE'!$D$72:$D$91))),IF('TS-PILE'!$B$82="",-1E+99,'TO HOP NLAN'!D143/ncoc+IF(SUMSQ('TS-PILE'!$E$72:$E$91)=0,0,'TO HOP NLAN'!E143*'TS-PILE'!$E$82/SUMSQ('TS-PILE'!$E$72:$E$91))+IF(SUMSQ('TS-PILE'!$D$72:$D$91)=0,0,'TO HOP NLAN'!F143*'TS-PILE'!$D$82/SUMSQ('TS-PILE'!$D$72:$D$91))),IF('TS-PILE'!$B$83="",-1E+99,'TO HOP NLAN'!D143/ncoc+IF(SUMSQ('TS-PILE'!$E$72:$E$91)=0,0,'TO HOP NLAN'!E143*'TS-PILE'!$E$83/SUMSQ('TS-PILE'!$E$72:$E$91))+IF(SUMSQ('TS-PILE'!$D$72:$D$91)=0,0,'TO HOP NLAN'!F143*'TS-PILE'!$D$83/SUMSQ('TS-PILE'!$D$72:$D$91))),IF('TS-PILE'!$B$84="",-1E+99,'TO HOP NLAN'!D143/ncoc+IF(SUMSQ('TS-PILE'!$E$72:$E$91)=0,0,'TO HOP NLAN'!E143*'TS-PILE'!$E$84/SUMSQ('TS-PILE'!$E$72:$E$91))+IF(SUMSQ('TS-PILE'!$D$72:$D$91)=0,0,'TO HOP NLAN'!F143*'TS-PILE'!$D$84/SUMSQ('TS-PILE'!$D$72:$D$91))),IF('TS-PILE'!$B$85="",-1E+99,'TO HOP NLAN'!D143/ncoc+IF(SUMSQ('TS-PILE'!$E$72:$E$91)=0,0,'TO HOP NLAN'!E143*'TS-PILE'!$E$85/SUMSQ('TS-PILE'!$E$72:$E$91))+IF(SUMSQ('TS-PILE'!$D$72:$D$91)=0,0,'TO HOP NLAN'!F143*'TS-PILE'!$D$85/SUMSQ('TS-PILE'!$D$72:$D$91))),IF('TS-PILE'!$B$86="",-1E+99,'TO HOP NLAN'!D143/ncoc+IF(SUMSQ('TS-PILE'!$E$72:$E$91)=0,0,'TO HOP NLAN'!E143*'TS-PILE'!$E$86/SUMSQ('TS-PILE'!$E$72:$E$91))+IF(SUMSQ('TS-PILE'!$D$72:$D$91)=0,0,'TO HOP NLAN'!F143*'TS-PILE'!$D$86/SUMSQ('TS-PILE'!$D$72:$D$91))),IF('TS-PILE'!$B$87="",-1E+99,'TO HOP NLAN'!D143/ncoc+IF(SUMSQ('TS-PILE'!$E$72:$E$91)=0,0,'TO HOP NLAN'!E143*'TS-PILE'!$E$87/SUMSQ('TS-PILE'!$E$72:$E$91))+IF(SUMSQ('TS-PILE'!$D$72:$D$91)=0,0,'TO HOP NLAN'!F143*'TS-PILE'!$D$87/SUMSQ('TS-PILE'!$D$72:$D$91))),IF('TS-PILE'!$B$88="",-1E+99,'TO HOP NLAN'!D143/ncoc+IF(SUMSQ('TS-PILE'!$E$72:$E$91)=0,0,'TO HOP NLAN'!E143*'TS-PILE'!$E$88/SUMSQ('TS-PILE'!$E$72:$E$91))+IF(SUMSQ('TS-PILE'!$D$72:$D$91)=0,0,'TO HOP NLAN'!F143*'TS-PILE'!$D$88/SUMSQ('TS-PILE'!$D$72:$D$91))),IF('TS-PILE'!$B$89="",-1E+99,'TO HOP NLAN'!D143/ncoc+IF(SUMSQ('TS-PILE'!$E$72:$E$91)=0,0,'TO HOP NLAN'!E143*'TS-PILE'!$E$89/SUMSQ('TS-PILE'!$E$72:$E$91))+IF(SUMSQ('TS-PILE'!$D$72:$D$91)=0,0,'TO HOP NLAN'!F143*'TS-PILE'!$D$89/SUMSQ('TS-PILE'!$D$72:$D$91))),IF('TS-PILE'!$B$90="",-1E+99,'TO HOP NLAN'!D143/ncoc+IF(SUMSQ('TS-PILE'!$E$72:$E$91)=0,0,'TO HOP NLAN'!E143*'TS-PILE'!$E$90/SUMSQ('TS-PILE'!$E$72:$E$91))+IF(SUMSQ('TS-PILE'!$D$72:$D$91)=0,0,'TO HOP NLAN'!F143*'TS-PILE'!$D$90/SUMSQ('TS-PILE'!$D$72:$D$91))),IF('TS-PILE'!$B$91="",-1E+99,'TO HOP NLAN'!D143/ncoc+IF(SUMSQ('TS-PILE'!$E$72:$E$91)=0,0,'TO HOP NLAN'!E143*'TS-PILE'!$E$91/SUMSQ('TS-PILE'!$E$72:$E$91))+IF(SUMSQ('TS-PILE'!$D$72:$D$91)=0,0,'TO HOP NLAN'!F143*'TS-PILE'!$D$91/SUMSQ('TS-PILE'!$D$72:$D$91)))))</f>
        <v>0</v>
      </c>
      <c r="D143" s="58">
        <f>IF(A143="",0,MIN(IF('TS-PILE'!$B$72="",1E+99,'TO HOP NLAN'!D143/ncoc+IF(SUMSQ('TS-PILE'!$E$72:$E$91)=0,0,'TO HOP NLAN'!E143*'TS-PILE'!$E$72/SUMSQ('TS-PILE'!$E$72:$E$91))+IF(SUMSQ('TS-PILE'!$D$72:$D$91)=0,0,'TO HOP NLAN'!F143*'TS-PILE'!$D$72/SUMSQ('TS-PILE'!$D$72:$D$91))),IF('TS-PILE'!$B$73="",1E+99,'TO HOP NLAN'!D143/ncoc+IF(SUMSQ('TS-PILE'!$E$72:$E$91)=0,0,'TO HOP NLAN'!E143*'TS-PILE'!$E$73/SUMSQ('TS-PILE'!$E$72:$E$91))+IF(SUMSQ('TS-PILE'!$D$72:$D$91)=0,0,'TO HOP NLAN'!F143*'TS-PILE'!$D$73/SUMSQ('TS-PILE'!$D$72:$D$91))),IF('TS-PILE'!$B$74="",1E+99,'TO HOP NLAN'!D143/ncoc+IF(SUMSQ('TS-PILE'!$E$72:$E$91)=0,0,'TO HOP NLAN'!E143*'TS-PILE'!$E$74/SUMSQ('TS-PILE'!$E$72:$E$91))+IF(SUMSQ('TS-PILE'!$D$72:$D$91)=0,0,'TO HOP NLAN'!F143*'TS-PILE'!$D$74/SUMSQ('TS-PILE'!$D$72:$D$91))),IF('TS-PILE'!$B$75="",1E+99,'TO HOP NLAN'!D143/ncoc+IF(SUMSQ('TS-PILE'!$E$72:$E$91)=0,0,'TO HOP NLAN'!E143*'TS-PILE'!$E$75/SUMSQ('TS-PILE'!$E$72:$E$91))+IF(SUMSQ('TS-PILE'!$D$72:$D$91)=0,0,'TO HOP NLAN'!F143*'TS-PILE'!$D$75/SUMSQ('TS-PILE'!$D$72:$D$91))),IF('TS-PILE'!$B$76="",1E+99,'TO HOP NLAN'!D143/ncoc+IF(SUMSQ('TS-PILE'!$E$72:$E$91)=0,0,'TO HOP NLAN'!E143*'TS-PILE'!$E$76/SUMSQ('TS-PILE'!$E$72:$E$91))+IF(SUMSQ('TS-PILE'!$D$72:$D$91)=0,0,'TO HOP NLAN'!F143*'TS-PILE'!$D$76/SUMSQ('TS-PILE'!$D$72:$D$91))),IF('TS-PILE'!$B$77="",1E+99,'TO HOP NLAN'!D143/ncoc+IF(SUMSQ('TS-PILE'!$E$72:$E$91)=0,0,'TO HOP NLAN'!E143*'TS-PILE'!$E$77/SUMSQ('TS-PILE'!$E$72:$E$91))+IF(SUMSQ('TS-PILE'!$D$72:$D$91)=0,0,'TO HOP NLAN'!F143*'TS-PILE'!$D$77/SUMSQ('TS-PILE'!$D$72:$D$91))),IF('TS-PILE'!$B$78="",1E+99,'TO HOP NLAN'!D143/ncoc+IF(SUMSQ('TS-PILE'!$E$72:$E$91)=0,0,'TO HOP NLAN'!E143*'TS-PILE'!$E$78/SUMSQ('TS-PILE'!$E$72:$E$91))+IF(SUMSQ('TS-PILE'!$D$72:$D$91)=0,0,'TO HOP NLAN'!F143*'TS-PILE'!$D$78/SUMSQ('TS-PILE'!$D$72:$D$91))),IF('TS-PILE'!$B$79="",1E+99,'TO HOP NLAN'!D143/ncoc+IF(SUMSQ('TS-PILE'!$E$72:$E$91)=0,0,'TO HOP NLAN'!E143*'TS-PILE'!$E$79/SUMSQ('TS-PILE'!$E$72:$E$91))+IF(SUMSQ('TS-PILE'!$D$72:$D$91)=0,0,'TO HOP NLAN'!F143*'TS-PILE'!$D$79/SUMSQ('TS-PILE'!$D$72:$D$91))),IF('TS-PILE'!$B$80="",1E+99,'TO HOP NLAN'!D143/ncoc+IF(SUMSQ('TS-PILE'!$E$72:$E$91)=0,0,'TO HOP NLAN'!E143*'TS-PILE'!$E$80/SUMSQ('TS-PILE'!$E$72:$E$91))+IF(SUMSQ('TS-PILE'!$D$72:$D$91)=0,0,'TO HOP NLAN'!F143*'TS-PILE'!$D$80/SUMSQ('TS-PILE'!$D$72:$D$91))),IF('TS-PILE'!$B$81="",1E+99,'TO HOP NLAN'!D143/ncoc+IF(SUMSQ('TS-PILE'!$E$72:$E$91)=0,0,'TO HOP NLAN'!E143*'TS-PILE'!$E$81/SUMSQ('TS-PILE'!$E$72:$E$91))+IF(SUMSQ('TS-PILE'!$D$72:$D$91)=0,0,'TO HOP NLAN'!F143*'TS-PILE'!$D$81/SUMSQ('TS-PILE'!$D$72:$D$91))),IF('TS-PILE'!$B$82="",1E+99,'TO HOP NLAN'!D143/ncoc+IF(SUMSQ('TS-PILE'!$E$72:$E$91)=0,0,'TO HOP NLAN'!E143*'TS-PILE'!$E$82/SUMSQ('TS-PILE'!$E$72:$E$91))+IF(SUMSQ('TS-PILE'!$D$72:$D$91)=0,0,'TO HOP NLAN'!F143*'TS-PILE'!$D$82/SUMSQ('TS-PILE'!$D$72:$D$91))),IF('TS-PILE'!$B$83="",1E+99,'TO HOP NLAN'!D143/ncoc+IF(SUMSQ('TS-PILE'!$E$72:$E$91)=0,0,'TO HOP NLAN'!E143*'TS-PILE'!$E$83/SUMSQ('TS-PILE'!$E$72:$E$91))+IF(SUMSQ('TS-PILE'!$D$72:$D$91)=0,0,'TO HOP NLAN'!F143*'TS-PILE'!$D$83/SUMSQ('TS-PILE'!$D$72:$D$91))),IF('TS-PILE'!$B$84="",1E+99,'TO HOP NLAN'!D143/ncoc+IF(SUMSQ('TS-PILE'!$E$72:$E$91)=0,0,'TO HOP NLAN'!E143*'TS-PILE'!$E$84/SUMSQ('TS-PILE'!$E$72:$E$91))+IF(SUMSQ('TS-PILE'!$D$72:$D$91)=0,0,'TO HOP NLAN'!F143*'TS-PILE'!$D$84/SUMSQ('TS-PILE'!$D$72:$D$91))),IF('TS-PILE'!$B$85="",1E+99,'TO HOP NLAN'!D143/ncoc+IF(SUMSQ('TS-PILE'!$E$72:$E$91)=0,0,'TO HOP NLAN'!E143*'TS-PILE'!$E$85/SUMSQ('TS-PILE'!$E$72:$E$91))+IF(SUMSQ('TS-PILE'!$D$72:$D$91)=0,0,'TO HOP NLAN'!F143*'TS-PILE'!$D$85/SUMSQ('TS-PILE'!$D$72:$D$91))),IF('TS-PILE'!$B$86="",1E+99,'TO HOP NLAN'!D143/ncoc+IF(SUMSQ('TS-PILE'!$E$72:$E$91)=0,0,'TO HOP NLAN'!E143*'TS-PILE'!$E$86/SUMSQ('TS-PILE'!$E$72:$E$91))+IF(SUMSQ('TS-PILE'!$D$72:$D$91)=0,0,'TO HOP NLAN'!F143*'TS-PILE'!$D$86/SUMSQ('TS-PILE'!$D$72:$D$91))),IF('TS-PILE'!$B$87="",1E+99,'TO HOP NLAN'!D143/ncoc+IF(SUMSQ('TS-PILE'!$E$72:$E$91)=0,0,'TO HOP NLAN'!E143*'TS-PILE'!$E$87/SUMSQ('TS-PILE'!$E$72:$E$91))+IF(SUMSQ('TS-PILE'!$D$72:$D$91)=0,0,'TO HOP NLAN'!F143*'TS-PILE'!$D$87/SUMSQ('TS-PILE'!$D$72:$D$91))),IF('TS-PILE'!$B$88="",1E+99,'TO HOP NLAN'!D143/ncoc+IF(SUMSQ('TS-PILE'!$E$72:$E$91)=0,0,'TO HOP NLAN'!E143*'TS-PILE'!$E$88/SUMSQ('TS-PILE'!$E$72:$E$91))+IF(SUMSQ('TS-PILE'!$D$72:$D$91)=0,0,'TO HOP NLAN'!F143*'TS-PILE'!$D$88/SUMSQ('TS-PILE'!$D$72:$D$91))),IF('TS-PILE'!$B$89="",1E+99,'TO HOP NLAN'!D143/ncoc+IF(SUMSQ('TS-PILE'!$E$72:$E$91)=0,0,'TO HOP NLAN'!E143*'TS-PILE'!$E$89/SUMSQ('TS-PILE'!$E$72:$E$91))+IF(SUMSQ('TS-PILE'!$D$72:$D$91)=0,0,'TO HOP NLAN'!F143*'TS-PILE'!$D$89/SUMSQ('TS-PILE'!$D$72:$D$91))),IF('TS-PILE'!$B$90="",1E+99,'TO HOP NLAN'!D143/ncoc+IF(SUMSQ('TS-PILE'!$E$72:$E$91)=0,0,'TO HOP NLAN'!E143*'TS-PILE'!$E$90/SUMSQ('TS-PILE'!$E$72:$E$91))+IF(SUMSQ('TS-PILE'!$D$72:$D$91)=0,0,'TO HOP NLAN'!F143*'TS-PILE'!$D$90/SUMSQ('TS-PILE'!$D$72:$D$91))),IF('TS-PILE'!$B$91="",1E+99,'TO HOP NLAN'!D143/ncoc+IF(SUMSQ('TS-PILE'!$E$72:$E$91)=0,0,'TO HOP NLAN'!E143*'TS-PILE'!$E$91/SUMSQ('TS-PILE'!$E$72:$E$91))+IF(SUMSQ('TS-PILE'!$D$72:$D$91)=0,0,'TO HOP NLAN'!F143*'TS-PILE'!$D$91/SUMSQ('TS-PILE'!$D$72:$D$91)))))</f>
        <v>0</v>
      </c>
      <c r="E143" s="58">
        <f t="shared" si="8"/>
        <v>-9.9999999999999997E+98</v>
      </c>
      <c r="F143" s="58">
        <f t="shared" si="9"/>
        <v>9.9999999999999997E+98</v>
      </c>
      <c r="G143" s="58">
        <f t="shared" si="10"/>
        <v>-9.9999999999999997E+98</v>
      </c>
      <c r="H143" s="58">
        <f t="shared" si="11"/>
        <v>9.9999999999999997E+98</v>
      </c>
    </row>
    <row r="144" spans="1:8" x14ac:dyDescent="0.3">
      <c r="A144" s="42" t="str">
        <f>'TO HOP NLAN'!A144</f>
        <v/>
      </c>
      <c r="B144" s="42" t="str">
        <f>'TO HOP NLAN'!L144</f>
        <v>STRENGTH</v>
      </c>
      <c r="C144" s="58">
        <f>IF(A144="",0,MAX(IF('TS-PILE'!$B$72="",-1E+99,'TO HOP NLAN'!D144/ncoc+IF(SUMSQ('TS-PILE'!$E$72:$E$91)=0,0,'TO HOP NLAN'!E144*'TS-PILE'!$E$72/SUMSQ('TS-PILE'!$E$72:$E$91))+IF(SUMSQ('TS-PILE'!$D$72:$D$91)=0,0,'TO HOP NLAN'!F144*'TS-PILE'!$D$72/SUMSQ('TS-PILE'!$D$72:$D$91))),IF('TS-PILE'!$B$73="",-1E+99,'TO HOP NLAN'!D144/ncoc+IF(SUMSQ('TS-PILE'!$E$72:$E$91)=0,0,'TO HOP NLAN'!E144*'TS-PILE'!$E$73/SUMSQ('TS-PILE'!$E$72:$E$91))+IF(SUMSQ('TS-PILE'!$D$72:$D$91)=0,0,'TO HOP NLAN'!F144*'TS-PILE'!$D$73/SUMSQ('TS-PILE'!$D$72:$D$91))),IF('TS-PILE'!$B$74="",-1E+99,'TO HOP NLAN'!D144/ncoc+IF(SUMSQ('TS-PILE'!$E$72:$E$91)=0,0,'TO HOP NLAN'!E144*'TS-PILE'!$E$74/SUMSQ('TS-PILE'!$E$72:$E$91))+IF(SUMSQ('TS-PILE'!$D$72:$D$91)=0,0,'TO HOP NLAN'!F144*'TS-PILE'!$D$74/SUMSQ('TS-PILE'!$D$72:$D$91))),IF('TS-PILE'!$B$75="",-1E+99,'TO HOP NLAN'!D144/ncoc+IF(SUMSQ('TS-PILE'!$E$72:$E$91)=0,0,'TO HOP NLAN'!E144*'TS-PILE'!$E$75/SUMSQ('TS-PILE'!$E$72:$E$91))+IF(SUMSQ('TS-PILE'!$D$72:$D$91)=0,0,'TO HOP NLAN'!F144*'TS-PILE'!$D$75/SUMSQ('TS-PILE'!$D$72:$D$91))),IF('TS-PILE'!$B$76="",-1E+99,'TO HOP NLAN'!D144/ncoc+IF(SUMSQ('TS-PILE'!$E$72:$E$91)=0,0,'TO HOP NLAN'!E144*'TS-PILE'!$E$76/SUMSQ('TS-PILE'!$E$72:$E$91))+IF(SUMSQ('TS-PILE'!$D$72:$D$91)=0,0,'TO HOP NLAN'!F144*'TS-PILE'!$D$76/SUMSQ('TS-PILE'!$D$72:$D$91))),IF('TS-PILE'!$B$77="",-1E+99,'TO HOP NLAN'!D144/ncoc+IF(SUMSQ('TS-PILE'!$E$72:$E$91)=0,0,'TO HOP NLAN'!E144*'TS-PILE'!$E$77/SUMSQ('TS-PILE'!$E$72:$E$91))+IF(SUMSQ('TS-PILE'!$D$72:$D$91)=0,0,'TO HOP NLAN'!F144*'TS-PILE'!$D$77/SUMSQ('TS-PILE'!$D$72:$D$91))),IF('TS-PILE'!$B$78="",-1E+99,'TO HOP NLAN'!D144/ncoc+IF(SUMSQ('TS-PILE'!$E$72:$E$91)=0,0,'TO HOP NLAN'!E144*'TS-PILE'!$E$78/SUMSQ('TS-PILE'!$E$72:$E$91))+IF(SUMSQ('TS-PILE'!$D$72:$D$91)=0,0,'TO HOP NLAN'!F144*'TS-PILE'!$D$78/SUMSQ('TS-PILE'!$D$72:$D$91))),IF('TS-PILE'!$B$79="",-1E+99,'TO HOP NLAN'!D144/ncoc+IF(SUMSQ('TS-PILE'!$E$72:$E$91)=0,0,'TO HOP NLAN'!E144*'TS-PILE'!$E$79/SUMSQ('TS-PILE'!$E$72:$E$91))+IF(SUMSQ('TS-PILE'!$D$72:$D$91)=0,0,'TO HOP NLAN'!F144*'TS-PILE'!$D$79/SUMSQ('TS-PILE'!$D$72:$D$91))),IF('TS-PILE'!$B$80="",-1E+99,'TO HOP NLAN'!D144/ncoc+IF(SUMSQ('TS-PILE'!$E$72:$E$91)=0,0,'TO HOP NLAN'!E144*'TS-PILE'!$E$80/SUMSQ('TS-PILE'!$E$72:$E$91))+IF(SUMSQ('TS-PILE'!$D$72:$D$91)=0,0,'TO HOP NLAN'!F144*'TS-PILE'!$D$80/SUMSQ('TS-PILE'!$D$72:$D$91))),IF('TS-PILE'!$B$81="",-1E+99,'TO HOP NLAN'!D144/ncoc+IF(SUMSQ('TS-PILE'!$E$72:$E$91)=0,0,'TO HOP NLAN'!E144*'TS-PILE'!$E$81/SUMSQ('TS-PILE'!$E$72:$E$91))+IF(SUMSQ('TS-PILE'!$D$72:$D$91)=0,0,'TO HOP NLAN'!F144*'TS-PILE'!$D$81/SUMSQ('TS-PILE'!$D$72:$D$91))),IF('TS-PILE'!$B$82="",-1E+99,'TO HOP NLAN'!D144/ncoc+IF(SUMSQ('TS-PILE'!$E$72:$E$91)=0,0,'TO HOP NLAN'!E144*'TS-PILE'!$E$82/SUMSQ('TS-PILE'!$E$72:$E$91))+IF(SUMSQ('TS-PILE'!$D$72:$D$91)=0,0,'TO HOP NLAN'!F144*'TS-PILE'!$D$82/SUMSQ('TS-PILE'!$D$72:$D$91))),IF('TS-PILE'!$B$83="",-1E+99,'TO HOP NLAN'!D144/ncoc+IF(SUMSQ('TS-PILE'!$E$72:$E$91)=0,0,'TO HOP NLAN'!E144*'TS-PILE'!$E$83/SUMSQ('TS-PILE'!$E$72:$E$91))+IF(SUMSQ('TS-PILE'!$D$72:$D$91)=0,0,'TO HOP NLAN'!F144*'TS-PILE'!$D$83/SUMSQ('TS-PILE'!$D$72:$D$91))),IF('TS-PILE'!$B$84="",-1E+99,'TO HOP NLAN'!D144/ncoc+IF(SUMSQ('TS-PILE'!$E$72:$E$91)=0,0,'TO HOP NLAN'!E144*'TS-PILE'!$E$84/SUMSQ('TS-PILE'!$E$72:$E$91))+IF(SUMSQ('TS-PILE'!$D$72:$D$91)=0,0,'TO HOP NLAN'!F144*'TS-PILE'!$D$84/SUMSQ('TS-PILE'!$D$72:$D$91))),IF('TS-PILE'!$B$85="",-1E+99,'TO HOP NLAN'!D144/ncoc+IF(SUMSQ('TS-PILE'!$E$72:$E$91)=0,0,'TO HOP NLAN'!E144*'TS-PILE'!$E$85/SUMSQ('TS-PILE'!$E$72:$E$91))+IF(SUMSQ('TS-PILE'!$D$72:$D$91)=0,0,'TO HOP NLAN'!F144*'TS-PILE'!$D$85/SUMSQ('TS-PILE'!$D$72:$D$91))),IF('TS-PILE'!$B$86="",-1E+99,'TO HOP NLAN'!D144/ncoc+IF(SUMSQ('TS-PILE'!$E$72:$E$91)=0,0,'TO HOP NLAN'!E144*'TS-PILE'!$E$86/SUMSQ('TS-PILE'!$E$72:$E$91))+IF(SUMSQ('TS-PILE'!$D$72:$D$91)=0,0,'TO HOP NLAN'!F144*'TS-PILE'!$D$86/SUMSQ('TS-PILE'!$D$72:$D$91))),IF('TS-PILE'!$B$87="",-1E+99,'TO HOP NLAN'!D144/ncoc+IF(SUMSQ('TS-PILE'!$E$72:$E$91)=0,0,'TO HOP NLAN'!E144*'TS-PILE'!$E$87/SUMSQ('TS-PILE'!$E$72:$E$91))+IF(SUMSQ('TS-PILE'!$D$72:$D$91)=0,0,'TO HOP NLAN'!F144*'TS-PILE'!$D$87/SUMSQ('TS-PILE'!$D$72:$D$91))),IF('TS-PILE'!$B$88="",-1E+99,'TO HOP NLAN'!D144/ncoc+IF(SUMSQ('TS-PILE'!$E$72:$E$91)=0,0,'TO HOP NLAN'!E144*'TS-PILE'!$E$88/SUMSQ('TS-PILE'!$E$72:$E$91))+IF(SUMSQ('TS-PILE'!$D$72:$D$91)=0,0,'TO HOP NLAN'!F144*'TS-PILE'!$D$88/SUMSQ('TS-PILE'!$D$72:$D$91))),IF('TS-PILE'!$B$89="",-1E+99,'TO HOP NLAN'!D144/ncoc+IF(SUMSQ('TS-PILE'!$E$72:$E$91)=0,0,'TO HOP NLAN'!E144*'TS-PILE'!$E$89/SUMSQ('TS-PILE'!$E$72:$E$91))+IF(SUMSQ('TS-PILE'!$D$72:$D$91)=0,0,'TO HOP NLAN'!F144*'TS-PILE'!$D$89/SUMSQ('TS-PILE'!$D$72:$D$91))),IF('TS-PILE'!$B$90="",-1E+99,'TO HOP NLAN'!D144/ncoc+IF(SUMSQ('TS-PILE'!$E$72:$E$91)=0,0,'TO HOP NLAN'!E144*'TS-PILE'!$E$90/SUMSQ('TS-PILE'!$E$72:$E$91))+IF(SUMSQ('TS-PILE'!$D$72:$D$91)=0,0,'TO HOP NLAN'!F144*'TS-PILE'!$D$90/SUMSQ('TS-PILE'!$D$72:$D$91))),IF('TS-PILE'!$B$91="",-1E+99,'TO HOP NLAN'!D144/ncoc+IF(SUMSQ('TS-PILE'!$E$72:$E$91)=0,0,'TO HOP NLAN'!E144*'TS-PILE'!$E$91/SUMSQ('TS-PILE'!$E$72:$E$91))+IF(SUMSQ('TS-PILE'!$D$72:$D$91)=0,0,'TO HOP NLAN'!F144*'TS-PILE'!$D$91/SUMSQ('TS-PILE'!$D$72:$D$91)))))</f>
        <v>0</v>
      </c>
      <c r="D144" s="58">
        <f>IF(A144="",0,MIN(IF('TS-PILE'!$B$72="",1E+99,'TO HOP NLAN'!D144/ncoc+IF(SUMSQ('TS-PILE'!$E$72:$E$91)=0,0,'TO HOP NLAN'!E144*'TS-PILE'!$E$72/SUMSQ('TS-PILE'!$E$72:$E$91))+IF(SUMSQ('TS-PILE'!$D$72:$D$91)=0,0,'TO HOP NLAN'!F144*'TS-PILE'!$D$72/SUMSQ('TS-PILE'!$D$72:$D$91))),IF('TS-PILE'!$B$73="",1E+99,'TO HOP NLAN'!D144/ncoc+IF(SUMSQ('TS-PILE'!$E$72:$E$91)=0,0,'TO HOP NLAN'!E144*'TS-PILE'!$E$73/SUMSQ('TS-PILE'!$E$72:$E$91))+IF(SUMSQ('TS-PILE'!$D$72:$D$91)=0,0,'TO HOP NLAN'!F144*'TS-PILE'!$D$73/SUMSQ('TS-PILE'!$D$72:$D$91))),IF('TS-PILE'!$B$74="",1E+99,'TO HOP NLAN'!D144/ncoc+IF(SUMSQ('TS-PILE'!$E$72:$E$91)=0,0,'TO HOP NLAN'!E144*'TS-PILE'!$E$74/SUMSQ('TS-PILE'!$E$72:$E$91))+IF(SUMSQ('TS-PILE'!$D$72:$D$91)=0,0,'TO HOP NLAN'!F144*'TS-PILE'!$D$74/SUMSQ('TS-PILE'!$D$72:$D$91))),IF('TS-PILE'!$B$75="",1E+99,'TO HOP NLAN'!D144/ncoc+IF(SUMSQ('TS-PILE'!$E$72:$E$91)=0,0,'TO HOP NLAN'!E144*'TS-PILE'!$E$75/SUMSQ('TS-PILE'!$E$72:$E$91))+IF(SUMSQ('TS-PILE'!$D$72:$D$91)=0,0,'TO HOP NLAN'!F144*'TS-PILE'!$D$75/SUMSQ('TS-PILE'!$D$72:$D$91))),IF('TS-PILE'!$B$76="",1E+99,'TO HOP NLAN'!D144/ncoc+IF(SUMSQ('TS-PILE'!$E$72:$E$91)=0,0,'TO HOP NLAN'!E144*'TS-PILE'!$E$76/SUMSQ('TS-PILE'!$E$72:$E$91))+IF(SUMSQ('TS-PILE'!$D$72:$D$91)=0,0,'TO HOP NLAN'!F144*'TS-PILE'!$D$76/SUMSQ('TS-PILE'!$D$72:$D$91))),IF('TS-PILE'!$B$77="",1E+99,'TO HOP NLAN'!D144/ncoc+IF(SUMSQ('TS-PILE'!$E$72:$E$91)=0,0,'TO HOP NLAN'!E144*'TS-PILE'!$E$77/SUMSQ('TS-PILE'!$E$72:$E$91))+IF(SUMSQ('TS-PILE'!$D$72:$D$91)=0,0,'TO HOP NLAN'!F144*'TS-PILE'!$D$77/SUMSQ('TS-PILE'!$D$72:$D$91))),IF('TS-PILE'!$B$78="",1E+99,'TO HOP NLAN'!D144/ncoc+IF(SUMSQ('TS-PILE'!$E$72:$E$91)=0,0,'TO HOP NLAN'!E144*'TS-PILE'!$E$78/SUMSQ('TS-PILE'!$E$72:$E$91))+IF(SUMSQ('TS-PILE'!$D$72:$D$91)=0,0,'TO HOP NLAN'!F144*'TS-PILE'!$D$78/SUMSQ('TS-PILE'!$D$72:$D$91))),IF('TS-PILE'!$B$79="",1E+99,'TO HOP NLAN'!D144/ncoc+IF(SUMSQ('TS-PILE'!$E$72:$E$91)=0,0,'TO HOP NLAN'!E144*'TS-PILE'!$E$79/SUMSQ('TS-PILE'!$E$72:$E$91))+IF(SUMSQ('TS-PILE'!$D$72:$D$91)=0,0,'TO HOP NLAN'!F144*'TS-PILE'!$D$79/SUMSQ('TS-PILE'!$D$72:$D$91))),IF('TS-PILE'!$B$80="",1E+99,'TO HOP NLAN'!D144/ncoc+IF(SUMSQ('TS-PILE'!$E$72:$E$91)=0,0,'TO HOP NLAN'!E144*'TS-PILE'!$E$80/SUMSQ('TS-PILE'!$E$72:$E$91))+IF(SUMSQ('TS-PILE'!$D$72:$D$91)=0,0,'TO HOP NLAN'!F144*'TS-PILE'!$D$80/SUMSQ('TS-PILE'!$D$72:$D$91))),IF('TS-PILE'!$B$81="",1E+99,'TO HOP NLAN'!D144/ncoc+IF(SUMSQ('TS-PILE'!$E$72:$E$91)=0,0,'TO HOP NLAN'!E144*'TS-PILE'!$E$81/SUMSQ('TS-PILE'!$E$72:$E$91))+IF(SUMSQ('TS-PILE'!$D$72:$D$91)=0,0,'TO HOP NLAN'!F144*'TS-PILE'!$D$81/SUMSQ('TS-PILE'!$D$72:$D$91))),IF('TS-PILE'!$B$82="",1E+99,'TO HOP NLAN'!D144/ncoc+IF(SUMSQ('TS-PILE'!$E$72:$E$91)=0,0,'TO HOP NLAN'!E144*'TS-PILE'!$E$82/SUMSQ('TS-PILE'!$E$72:$E$91))+IF(SUMSQ('TS-PILE'!$D$72:$D$91)=0,0,'TO HOP NLAN'!F144*'TS-PILE'!$D$82/SUMSQ('TS-PILE'!$D$72:$D$91))),IF('TS-PILE'!$B$83="",1E+99,'TO HOP NLAN'!D144/ncoc+IF(SUMSQ('TS-PILE'!$E$72:$E$91)=0,0,'TO HOP NLAN'!E144*'TS-PILE'!$E$83/SUMSQ('TS-PILE'!$E$72:$E$91))+IF(SUMSQ('TS-PILE'!$D$72:$D$91)=0,0,'TO HOP NLAN'!F144*'TS-PILE'!$D$83/SUMSQ('TS-PILE'!$D$72:$D$91))),IF('TS-PILE'!$B$84="",1E+99,'TO HOP NLAN'!D144/ncoc+IF(SUMSQ('TS-PILE'!$E$72:$E$91)=0,0,'TO HOP NLAN'!E144*'TS-PILE'!$E$84/SUMSQ('TS-PILE'!$E$72:$E$91))+IF(SUMSQ('TS-PILE'!$D$72:$D$91)=0,0,'TO HOP NLAN'!F144*'TS-PILE'!$D$84/SUMSQ('TS-PILE'!$D$72:$D$91))),IF('TS-PILE'!$B$85="",1E+99,'TO HOP NLAN'!D144/ncoc+IF(SUMSQ('TS-PILE'!$E$72:$E$91)=0,0,'TO HOP NLAN'!E144*'TS-PILE'!$E$85/SUMSQ('TS-PILE'!$E$72:$E$91))+IF(SUMSQ('TS-PILE'!$D$72:$D$91)=0,0,'TO HOP NLAN'!F144*'TS-PILE'!$D$85/SUMSQ('TS-PILE'!$D$72:$D$91))),IF('TS-PILE'!$B$86="",1E+99,'TO HOP NLAN'!D144/ncoc+IF(SUMSQ('TS-PILE'!$E$72:$E$91)=0,0,'TO HOP NLAN'!E144*'TS-PILE'!$E$86/SUMSQ('TS-PILE'!$E$72:$E$91))+IF(SUMSQ('TS-PILE'!$D$72:$D$91)=0,0,'TO HOP NLAN'!F144*'TS-PILE'!$D$86/SUMSQ('TS-PILE'!$D$72:$D$91))),IF('TS-PILE'!$B$87="",1E+99,'TO HOP NLAN'!D144/ncoc+IF(SUMSQ('TS-PILE'!$E$72:$E$91)=0,0,'TO HOP NLAN'!E144*'TS-PILE'!$E$87/SUMSQ('TS-PILE'!$E$72:$E$91))+IF(SUMSQ('TS-PILE'!$D$72:$D$91)=0,0,'TO HOP NLAN'!F144*'TS-PILE'!$D$87/SUMSQ('TS-PILE'!$D$72:$D$91))),IF('TS-PILE'!$B$88="",1E+99,'TO HOP NLAN'!D144/ncoc+IF(SUMSQ('TS-PILE'!$E$72:$E$91)=0,0,'TO HOP NLAN'!E144*'TS-PILE'!$E$88/SUMSQ('TS-PILE'!$E$72:$E$91))+IF(SUMSQ('TS-PILE'!$D$72:$D$91)=0,0,'TO HOP NLAN'!F144*'TS-PILE'!$D$88/SUMSQ('TS-PILE'!$D$72:$D$91))),IF('TS-PILE'!$B$89="",1E+99,'TO HOP NLAN'!D144/ncoc+IF(SUMSQ('TS-PILE'!$E$72:$E$91)=0,0,'TO HOP NLAN'!E144*'TS-PILE'!$E$89/SUMSQ('TS-PILE'!$E$72:$E$91))+IF(SUMSQ('TS-PILE'!$D$72:$D$91)=0,0,'TO HOP NLAN'!F144*'TS-PILE'!$D$89/SUMSQ('TS-PILE'!$D$72:$D$91))),IF('TS-PILE'!$B$90="",1E+99,'TO HOP NLAN'!D144/ncoc+IF(SUMSQ('TS-PILE'!$E$72:$E$91)=0,0,'TO HOP NLAN'!E144*'TS-PILE'!$E$90/SUMSQ('TS-PILE'!$E$72:$E$91))+IF(SUMSQ('TS-PILE'!$D$72:$D$91)=0,0,'TO HOP NLAN'!F144*'TS-PILE'!$D$90/SUMSQ('TS-PILE'!$D$72:$D$91))),IF('TS-PILE'!$B$91="",1E+99,'TO HOP NLAN'!D144/ncoc+IF(SUMSQ('TS-PILE'!$E$72:$E$91)=0,0,'TO HOP NLAN'!E144*'TS-PILE'!$E$91/SUMSQ('TS-PILE'!$E$72:$E$91))+IF(SUMSQ('TS-PILE'!$D$72:$D$91)=0,0,'TO HOP NLAN'!F144*'TS-PILE'!$D$91/SUMSQ('TS-PILE'!$D$72:$D$91)))))</f>
        <v>0</v>
      </c>
      <c r="E144" s="58">
        <f t="shared" si="8"/>
        <v>-9.9999999999999997E+98</v>
      </c>
      <c r="F144" s="58">
        <f t="shared" si="9"/>
        <v>9.9999999999999997E+98</v>
      </c>
      <c r="G144" s="58">
        <f t="shared" si="10"/>
        <v>-9.9999999999999997E+98</v>
      </c>
      <c r="H144" s="58">
        <f t="shared" si="11"/>
        <v>9.9999999999999997E+98</v>
      </c>
    </row>
    <row r="145" spans="1:8" x14ac:dyDescent="0.3">
      <c r="A145" s="42" t="str">
        <f>'TO HOP NLAN'!A145</f>
        <v/>
      </c>
      <c r="B145" s="42" t="str">
        <f>'TO HOP NLAN'!L145</f>
        <v>STRENGTH</v>
      </c>
      <c r="C145" s="58">
        <f>IF(A145="",0,MAX(IF('TS-PILE'!$B$72="",-1E+99,'TO HOP NLAN'!D145/ncoc+IF(SUMSQ('TS-PILE'!$E$72:$E$91)=0,0,'TO HOP NLAN'!E145*'TS-PILE'!$E$72/SUMSQ('TS-PILE'!$E$72:$E$91))+IF(SUMSQ('TS-PILE'!$D$72:$D$91)=0,0,'TO HOP NLAN'!F145*'TS-PILE'!$D$72/SUMSQ('TS-PILE'!$D$72:$D$91))),IF('TS-PILE'!$B$73="",-1E+99,'TO HOP NLAN'!D145/ncoc+IF(SUMSQ('TS-PILE'!$E$72:$E$91)=0,0,'TO HOP NLAN'!E145*'TS-PILE'!$E$73/SUMSQ('TS-PILE'!$E$72:$E$91))+IF(SUMSQ('TS-PILE'!$D$72:$D$91)=0,0,'TO HOP NLAN'!F145*'TS-PILE'!$D$73/SUMSQ('TS-PILE'!$D$72:$D$91))),IF('TS-PILE'!$B$74="",-1E+99,'TO HOP NLAN'!D145/ncoc+IF(SUMSQ('TS-PILE'!$E$72:$E$91)=0,0,'TO HOP NLAN'!E145*'TS-PILE'!$E$74/SUMSQ('TS-PILE'!$E$72:$E$91))+IF(SUMSQ('TS-PILE'!$D$72:$D$91)=0,0,'TO HOP NLAN'!F145*'TS-PILE'!$D$74/SUMSQ('TS-PILE'!$D$72:$D$91))),IF('TS-PILE'!$B$75="",-1E+99,'TO HOP NLAN'!D145/ncoc+IF(SUMSQ('TS-PILE'!$E$72:$E$91)=0,0,'TO HOP NLAN'!E145*'TS-PILE'!$E$75/SUMSQ('TS-PILE'!$E$72:$E$91))+IF(SUMSQ('TS-PILE'!$D$72:$D$91)=0,0,'TO HOP NLAN'!F145*'TS-PILE'!$D$75/SUMSQ('TS-PILE'!$D$72:$D$91))),IF('TS-PILE'!$B$76="",-1E+99,'TO HOP NLAN'!D145/ncoc+IF(SUMSQ('TS-PILE'!$E$72:$E$91)=0,0,'TO HOP NLAN'!E145*'TS-PILE'!$E$76/SUMSQ('TS-PILE'!$E$72:$E$91))+IF(SUMSQ('TS-PILE'!$D$72:$D$91)=0,0,'TO HOP NLAN'!F145*'TS-PILE'!$D$76/SUMSQ('TS-PILE'!$D$72:$D$91))),IF('TS-PILE'!$B$77="",-1E+99,'TO HOP NLAN'!D145/ncoc+IF(SUMSQ('TS-PILE'!$E$72:$E$91)=0,0,'TO HOP NLAN'!E145*'TS-PILE'!$E$77/SUMSQ('TS-PILE'!$E$72:$E$91))+IF(SUMSQ('TS-PILE'!$D$72:$D$91)=0,0,'TO HOP NLAN'!F145*'TS-PILE'!$D$77/SUMSQ('TS-PILE'!$D$72:$D$91))),IF('TS-PILE'!$B$78="",-1E+99,'TO HOP NLAN'!D145/ncoc+IF(SUMSQ('TS-PILE'!$E$72:$E$91)=0,0,'TO HOP NLAN'!E145*'TS-PILE'!$E$78/SUMSQ('TS-PILE'!$E$72:$E$91))+IF(SUMSQ('TS-PILE'!$D$72:$D$91)=0,0,'TO HOP NLAN'!F145*'TS-PILE'!$D$78/SUMSQ('TS-PILE'!$D$72:$D$91))),IF('TS-PILE'!$B$79="",-1E+99,'TO HOP NLAN'!D145/ncoc+IF(SUMSQ('TS-PILE'!$E$72:$E$91)=0,0,'TO HOP NLAN'!E145*'TS-PILE'!$E$79/SUMSQ('TS-PILE'!$E$72:$E$91))+IF(SUMSQ('TS-PILE'!$D$72:$D$91)=0,0,'TO HOP NLAN'!F145*'TS-PILE'!$D$79/SUMSQ('TS-PILE'!$D$72:$D$91))),IF('TS-PILE'!$B$80="",-1E+99,'TO HOP NLAN'!D145/ncoc+IF(SUMSQ('TS-PILE'!$E$72:$E$91)=0,0,'TO HOP NLAN'!E145*'TS-PILE'!$E$80/SUMSQ('TS-PILE'!$E$72:$E$91))+IF(SUMSQ('TS-PILE'!$D$72:$D$91)=0,0,'TO HOP NLAN'!F145*'TS-PILE'!$D$80/SUMSQ('TS-PILE'!$D$72:$D$91))),IF('TS-PILE'!$B$81="",-1E+99,'TO HOP NLAN'!D145/ncoc+IF(SUMSQ('TS-PILE'!$E$72:$E$91)=0,0,'TO HOP NLAN'!E145*'TS-PILE'!$E$81/SUMSQ('TS-PILE'!$E$72:$E$91))+IF(SUMSQ('TS-PILE'!$D$72:$D$91)=0,0,'TO HOP NLAN'!F145*'TS-PILE'!$D$81/SUMSQ('TS-PILE'!$D$72:$D$91))),IF('TS-PILE'!$B$82="",-1E+99,'TO HOP NLAN'!D145/ncoc+IF(SUMSQ('TS-PILE'!$E$72:$E$91)=0,0,'TO HOP NLAN'!E145*'TS-PILE'!$E$82/SUMSQ('TS-PILE'!$E$72:$E$91))+IF(SUMSQ('TS-PILE'!$D$72:$D$91)=0,0,'TO HOP NLAN'!F145*'TS-PILE'!$D$82/SUMSQ('TS-PILE'!$D$72:$D$91))),IF('TS-PILE'!$B$83="",-1E+99,'TO HOP NLAN'!D145/ncoc+IF(SUMSQ('TS-PILE'!$E$72:$E$91)=0,0,'TO HOP NLAN'!E145*'TS-PILE'!$E$83/SUMSQ('TS-PILE'!$E$72:$E$91))+IF(SUMSQ('TS-PILE'!$D$72:$D$91)=0,0,'TO HOP NLAN'!F145*'TS-PILE'!$D$83/SUMSQ('TS-PILE'!$D$72:$D$91))),IF('TS-PILE'!$B$84="",-1E+99,'TO HOP NLAN'!D145/ncoc+IF(SUMSQ('TS-PILE'!$E$72:$E$91)=0,0,'TO HOP NLAN'!E145*'TS-PILE'!$E$84/SUMSQ('TS-PILE'!$E$72:$E$91))+IF(SUMSQ('TS-PILE'!$D$72:$D$91)=0,0,'TO HOP NLAN'!F145*'TS-PILE'!$D$84/SUMSQ('TS-PILE'!$D$72:$D$91))),IF('TS-PILE'!$B$85="",-1E+99,'TO HOP NLAN'!D145/ncoc+IF(SUMSQ('TS-PILE'!$E$72:$E$91)=0,0,'TO HOP NLAN'!E145*'TS-PILE'!$E$85/SUMSQ('TS-PILE'!$E$72:$E$91))+IF(SUMSQ('TS-PILE'!$D$72:$D$91)=0,0,'TO HOP NLAN'!F145*'TS-PILE'!$D$85/SUMSQ('TS-PILE'!$D$72:$D$91))),IF('TS-PILE'!$B$86="",-1E+99,'TO HOP NLAN'!D145/ncoc+IF(SUMSQ('TS-PILE'!$E$72:$E$91)=0,0,'TO HOP NLAN'!E145*'TS-PILE'!$E$86/SUMSQ('TS-PILE'!$E$72:$E$91))+IF(SUMSQ('TS-PILE'!$D$72:$D$91)=0,0,'TO HOP NLAN'!F145*'TS-PILE'!$D$86/SUMSQ('TS-PILE'!$D$72:$D$91))),IF('TS-PILE'!$B$87="",-1E+99,'TO HOP NLAN'!D145/ncoc+IF(SUMSQ('TS-PILE'!$E$72:$E$91)=0,0,'TO HOP NLAN'!E145*'TS-PILE'!$E$87/SUMSQ('TS-PILE'!$E$72:$E$91))+IF(SUMSQ('TS-PILE'!$D$72:$D$91)=0,0,'TO HOP NLAN'!F145*'TS-PILE'!$D$87/SUMSQ('TS-PILE'!$D$72:$D$91))),IF('TS-PILE'!$B$88="",-1E+99,'TO HOP NLAN'!D145/ncoc+IF(SUMSQ('TS-PILE'!$E$72:$E$91)=0,0,'TO HOP NLAN'!E145*'TS-PILE'!$E$88/SUMSQ('TS-PILE'!$E$72:$E$91))+IF(SUMSQ('TS-PILE'!$D$72:$D$91)=0,0,'TO HOP NLAN'!F145*'TS-PILE'!$D$88/SUMSQ('TS-PILE'!$D$72:$D$91))),IF('TS-PILE'!$B$89="",-1E+99,'TO HOP NLAN'!D145/ncoc+IF(SUMSQ('TS-PILE'!$E$72:$E$91)=0,0,'TO HOP NLAN'!E145*'TS-PILE'!$E$89/SUMSQ('TS-PILE'!$E$72:$E$91))+IF(SUMSQ('TS-PILE'!$D$72:$D$91)=0,0,'TO HOP NLAN'!F145*'TS-PILE'!$D$89/SUMSQ('TS-PILE'!$D$72:$D$91))),IF('TS-PILE'!$B$90="",-1E+99,'TO HOP NLAN'!D145/ncoc+IF(SUMSQ('TS-PILE'!$E$72:$E$91)=0,0,'TO HOP NLAN'!E145*'TS-PILE'!$E$90/SUMSQ('TS-PILE'!$E$72:$E$91))+IF(SUMSQ('TS-PILE'!$D$72:$D$91)=0,0,'TO HOP NLAN'!F145*'TS-PILE'!$D$90/SUMSQ('TS-PILE'!$D$72:$D$91))),IF('TS-PILE'!$B$91="",-1E+99,'TO HOP NLAN'!D145/ncoc+IF(SUMSQ('TS-PILE'!$E$72:$E$91)=0,0,'TO HOP NLAN'!E145*'TS-PILE'!$E$91/SUMSQ('TS-PILE'!$E$72:$E$91))+IF(SUMSQ('TS-PILE'!$D$72:$D$91)=0,0,'TO HOP NLAN'!F145*'TS-PILE'!$D$91/SUMSQ('TS-PILE'!$D$72:$D$91)))))</f>
        <v>0</v>
      </c>
      <c r="D145" s="58">
        <f>IF(A145="",0,MIN(IF('TS-PILE'!$B$72="",1E+99,'TO HOP NLAN'!D145/ncoc+IF(SUMSQ('TS-PILE'!$E$72:$E$91)=0,0,'TO HOP NLAN'!E145*'TS-PILE'!$E$72/SUMSQ('TS-PILE'!$E$72:$E$91))+IF(SUMSQ('TS-PILE'!$D$72:$D$91)=0,0,'TO HOP NLAN'!F145*'TS-PILE'!$D$72/SUMSQ('TS-PILE'!$D$72:$D$91))),IF('TS-PILE'!$B$73="",1E+99,'TO HOP NLAN'!D145/ncoc+IF(SUMSQ('TS-PILE'!$E$72:$E$91)=0,0,'TO HOP NLAN'!E145*'TS-PILE'!$E$73/SUMSQ('TS-PILE'!$E$72:$E$91))+IF(SUMSQ('TS-PILE'!$D$72:$D$91)=0,0,'TO HOP NLAN'!F145*'TS-PILE'!$D$73/SUMSQ('TS-PILE'!$D$72:$D$91))),IF('TS-PILE'!$B$74="",1E+99,'TO HOP NLAN'!D145/ncoc+IF(SUMSQ('TS-PILE'!$E$72:$E$91)=0,0,'TO HOP NLAN'!E145*'TS-PILE'!$E$74/SUMSQ('TS-PILE'!$E$72:$E$91))+IF(SUMSQ('TS-PILE'!$D$72:$D$91)=0,0,'TO HOP NLAN'!F145*'TS-PILE'!$D$74/SUMSQ('TS-PILE'!$D$72:$D$91))),IF('TS-PILE'!$B$75="",1E+99,'TO HOP NLAN'!D145/ncoc+IF(SUMSQ('TS-PILE'!$E$72:$E$91)=0,0,'TO HOP NLAN'!E145*'TS-PILE'!$E$75/SUMSQ('TS-PILE'!$E$72:$E$91))+IF(SUMSQ('TS-PILE'!$D$72:$D$91)=0,0,'TO HOP NLAN'!F145*'TS-PILE'!$D$75/SUMSQ('TS-PILE'!$D$72:$D$91))),IF('TS-PILE'!$B$76="",1E+99,'TO HOP NLAN'!D145/ncoc+IF(SUMSQ('TS-PILE'!$E$72:$E$91)=0,0,'TO HOP NLAN'!E145*'TS-PILE'!$E$76/SUMSQ('TS-PILE'!$E$72:$E$91))+IF(SUMSQ('TS-PILE'!$D$72:$D$91)=0,0,'TO HOP NLAN'!F145*'TS-PILE'!$D$76/SUMSQ('TS-PILE'!$D$72:$D$91))),IF('TS-PILE'!$B$77="",1E+99,'TO HOP NLAN'!D145/ncoc+IF(SUMSQ('TS-PILE'!$E$72:$E$91)=0,0,'TO HOP NLAN'!E145*'TS-PILE'!$E$77/SUMSQ('TS-PILE'!$E$72:$E$91))+IF(SUMSQ('TS-PILE'!$D$72:$D$91)=0,0,'TO HOP NLAN'!F145*'TS-PILE'!$D$77/SUMSQ('TS-PILE'!$D$72:$D$91))),IF('TS-PILE'!$B$78="",1E+99,'TO HOP NLAN'!D145/ncoc+IF(SUMSQ('TS-PILE'!$E$72:$E$91)=0,0,'TO HOP NLAN'!E145*'TS-PILE'!$E$78/SUMSQ('TS-PILE'!$E$72:$E$91))+IF(SUMSQ('TS-PILE'!$D$72:$D$91)=0,0,'TO HOP NLAN'!F145*'TS-PILE'!$D$78/SUMSQ('TS-PILE'!$D$72:$D$91))),IF('TS-PILE'!$B$79="",1E+99,'TO HOP NLAN'!D145/ncoc+IF(SUMSQ('TS-PILE'!$E$72:$E$91)=0,0,'TO HOP NLAN'!E145*'TS-PILE'!$E$79/SUMSQ('TS-PILE'!$E$72:$E$91))+IF(SUMSQ('TS-PILE'!$D$72:$D$91)=0,0,'TO HOP NLAN'!F145*'TS-PILE'!$D$79/SUMSQ('TS-PILE'!$D$72:$D$91))),IF('TS-PILE'!$B$80="",1E+99,'TO HOP NLAN'!D145/ncoc+IF(SUMSQ('TS-PILE'!$E$72:$E$91)=0,0,'TO HOP NLAN'!E145*'TS-PILE'!$E$80/SUMSQ('TS-PILE'!$E$72:$E$91))+IF(SUMSQ('TS-PILE'!$D$72:$D$91)=0,0,'TO HOP NLAN'!F145*'TS-PILE'!$D$80/SUMSQ('TS-PILE'!$D$72:$D$91))),IF('TS-PILE'!$B$81="",1E+99,'TO HOP NLAN'!D145/ncoc+IF(SUMSQ('TS-PILE'!$E$72:$E$91)=0,0,'TO HOP NLAN'!E145*'TS-PILE'!$E$81/SUMSQ('TS-PILE'!$E$72:$E$91))+IF(SUMSQ('TS-PILE'!$D$72:$D$91)=0,0,'TO HOP NLAN'!F145*'TS-PILE'!$D$81/SUMSQ('TS-PILE'!$D$72:$D$91))),IF('TS-PILE'!$B$82="",1E+99,'TO HOP NLAN'!D145/ncoc+IF(SUMSQ('TS-PILE'!$E$72:$E$91)=0,0,'TO HOP NLAN'!E145*'TS-PILE'!$E$82/SUMSQ('TS-PILE'!$E$72:$E$91))+IF(SUMSQ('TS-PILE'!$D$72:$D$91)=0,0,'TO HOP NLAN'!F145*'TS-PILE'!$D$82/SUMSQ('TS-PILE'!$D$72:$D$91))),IF('TS-PILE'!$B$83="",1E+99,'TO HOP NLAN'!D145/ncoc+IF(SUMSQ('TS-PILE'!$E$72:$E$91)=0,0,'TO HOP NLAN'!E145*'TS-PILE'!$E$83/SUMSQ('TS-PILE'!$E$72:$E$91))+IF(SUMSQ('TS-PILE'!$D$72:$D$91)=0,0,'TO HOP NLAN'!F145*'TS-PILE'!$D$83/SUMSQ('TS-PILE'!$D$72:$D$91))),IF('TS-PILE'!$B$84="",1E+99,'TO HOP NLAN'!D145/ncoc+IF(SUMSQ('TS-PILE'!$E$72:$E$91)=0,0,'TO HOP NLAN'!E145*'TS-PILE'!$E$84/SUMSQ('TS-PILE'!$E$72:$E$91))+IF(SUMSQ('TS-PILE'!$D$72:$D$91)=0,0,'TO HOP NLAN'!F145*'TS-PILE'!$D$84/SUMSQ('TS-PILE'!$D$72:$D$91))),IF('TS-PILE'!$B$85="",1E+99,'TO HOP NLAN'!D145/ncoc+IF(SUMSQ('TS-PILE'!$E$72:$E$91)=0,0,'TO HOP NLAN'!E145*'TS-PILE'!$E$85/SUMSQ('TS-PILE'!$E$72:$E$91))+IF(SUMSQ('TS-PILE'!$D$72:$D$91)=0,0,'TO HOP NLAN'!F145*'TS-PILE'!$D$85/SUMSQ('TS-PILE'!$D$72:$D$91))),IF('TS-PILE'!$B$86="",1E+99,'TO HOP NLAN'!D145/ncoc+IF(SUMSQ('TS-PILE'!$E$72:$E$91)=0,0,'TO HOP NLAN'!E145*'TS-PILE'!$E$86/SUMSQ('TS-PILE'!$E$72:$E$91))+IF(SUMSQ('TS-PILE'!$D$72:$D$91)=0,0,'TO HOP NLAN'!F145*'TS-PILE'!$D$86/SUMSQ('TS-PILE'!$D$72:$D$91))),IF('TS-PILE'!$B$87="",1E+99,'TO HOP NLAN'!D145/ncoc+IF(SUMSQ('TS-PILE'!$E$72:$E$91)=0,0,'TO HOP NLAN'!E145*'TS-PILE'!$E$87/SUMSQ('TS-PILE'!$E$72:$E$91))+IF(SUMSQ('TS-PILE'!$D$72:$D$91)=0,0,'TO HOP NLAN'!F145*'TS-PILE'!$D$87/SUMSQ('TS-PILE'!$D$72:$D$91))),IF('TS-PILE'!$B$88="",1E+99,'TO HOP NLAN'!D145/ncoc+IF(SUMSQ('TS-PILE'!$E$72:$E$91)=0,0,'TO HOP NLAN'!E145*'TS-PILE'!$E$88/SUMSQ('TS-PILE'!$E$72:$E$91))+IF(SUMSQ('TS-PILE'!$D$72:$D$91)=0,0,'TO HOP NLAN'!F145*'TS-PILE'!$D$88/SUMSQ('TS-PILE'!$D$72:$D$91))),IF('TS-PILE'!$B$89="",1E+99,'TO HOP NLAN'!D145/ncoc+IF(SUMSQ('TS-PILE'!$E$72:$E$91)=0,0,'TO HOP NLAN'!E145*'TS-PILE'!$E$89/SUMSQ('TS-PILE'!$E$72:$E$91))+IF(SUMSQ('TS-PILE'!$D$72:$D$91)=0,0,'TO HOP NLAN'!F145*'TS-PILE'!$D$89/SUMSQ('TS-PILE'!$D$72:$D$91))),IF('TS-PILE'!$B$90="",1E+99,'TO HOP NLAN'!D145/ncoc+IF(SUMSQ('TS-PILE'!$E$72:$E$91)=0,0,'TO HOP NLAN'!E145*'TS-PILE'!$E$90/SUMSQ('TS-PILE'!$E$72:$E$91))+IF(SUMSQ('TS-PILE'!$D$72:$D$91)=0,0,'TO HOP NLAN'!F145*'TS-PILE'!$D$90/SUMSQ('TS-PILE'!$D$72:$D$91))),IF('TS-PILE'!$B$91="",1E+99,'TO HOP NLAN'!D145/ncoc+IF(SUMSQ('TS-PILE'!$E$72:$E$91)=0,0,'TO HOP NLAN'!E145*'TS-PILE'!$E$91/SUMSQ('TS-PILE'!$E$72:$E$91))+IF(SUMSQ('TS-PILE'!$D$72:$D$91)=0,0,'TO HOP NLAN'!F145*'TS-PILE'!$D$91/SUMSQ('TS-PILE'!$D$72:$D$91)))))</f>
        <v>0</v>
      </c>
      <c r="E145" s="58">
        <f t="shared" si="8"/>
        <v>-9.9999999999999997E+98</v>
      </c>
      <c r="F145" s="58">
        <f t="shared" si="9"/>
        <v>9.9999999999999997E+98</v>
      </c>
      <c r="G145" s="58">
        <f t="shared" si="10"/>
        <v>-9.9999999999999997E+98</v>
      </c>
      <c r="H145" s="58">
        <f t="shared" si="11"/>
        <v>9.9999999999999997E+98</v>
      </c>
    </row>
    <row r="146" spans="1:8" x14ac:dyDescent="0.3">
      <c r="A146" s="42" t="str">
        <f>'TO HOP NLAN'!A146</f>
        <v/>
      </c>
      <c r="B146" s="42" t="str">
        <f>'TO HOP NLAN'!L146</f>
        <v>STRENGTH</v>
      </c>
      <c r="C146" s="58">
        <f>IF(A146="",0,MAX(IF('TS-PILE'!$B$72="",-1E+99,'TO HOP NLAN'!D146/ncoc+IF(SUMSQ('TS-PILE'!$E$72:$E$91)=0,0,'TO HOP NLAN'!E146*'TS-PILE'!$E$72/SUMSQ('TS-PILE'!$E$72:$E$91))+IF(SUMSQ('TS-PILE'!$D$72:$D$91)=0,0,'TO HOP NLAN'!F146*'TS-PILE'!$D$72/SUMSQ('TS-PILE'!$D$72:$D$91))),IF('TS-PILE'!$B$73="",-1E+99,'TO HOP NLAN'!D146/ncoc+IF(SUMSQ('TS-PILE'!$E$72:$E$91)=0,0,'TO HOP NLAN'!E146*'TS-PILE'!$E$73/SUMSQ('TS-PILE'!$E$72:$E$91))+IF(SUMSQ('TS-PILE'!$D$72:$D$91)=0,0,'TO HOP NLAN'!F146*'TS-PILE'!$D$73/SUMSQ('TS-PILE'!$D$72:$D$91))),IF('TS-PILE'!$B$74="",-1E+99,'TO HOP NLAN'!D146/ncoc+IF(SUMSQ('TS-PILE'!$E$72:$E$91)=0,0,'TO HOP NLAN'!E146*'TS-PILE'!$E$74/SUMSQ('TS-PILE'!$E$72:$E$91))+IF(SUMSQ('TS-PILE'!$D$72:$D$91)=0,0,'TO HOP NLAN'!F146*'TS-PILE'!$D$74/SUMSQ('TS-PILE'!$D$72:$D$91))),IF('TS-PILE'!$B$75="",-1E+99,'TO HOP NLAN'!D146/ncoc+IF(SUMSQ('TS-PILE'!$E$72:$E$91)=0,0,'TO HOP NLAN'!E146*'TS-PILE'!$E$75/SUMSQ('TS-PILE'!$E$72:$E$91))+IF(SUMSQ('TS-PILE'!$D$72:$D$91)=0,0,'TO HOP NLAN'!F146*'TS-PILE'!$D$75/SUMSQ('TS-PILE'!$D$72:$D$91))),IF('TS-PILE'!$B$76="",-1E+99,'TO HOP NLAN'!D146/ncoc+IF(SUMSQ('TS-PILE'!$E$72:$E$91)=0,0,'TO HOP NLAN'!E146*'TS-PILE'!$E$76/SUMSQ('TS-PILE'!$E$72:$E$91))+IF(SUMSQ('TS-PILE'!$D$72:$D$91)=0,0,'TO HOP NLAN'!F146*'TS-PILE'!$D$76/SUMSQ('TS-PILE'!$D$72:$D$91))),IF('TS-PILE'!$B$77="",-1E+99,'TO HOP NLAN'!D146/ncoc+IF(SUMSQ('TS-PILE'!$E$72:$E$91)=0,0,'TO HOP NLAN'!E146*'TS-PILE'!$E$77/SUMSQ('TS-PILE'!$E$72:$E$91))+IF(SUMSQ('TS-PILE'!$D$72:$D$91)=0,0,'TO HOP NLAN'!F146*'TS-PILE'!$D$77/SUMSQ('TS-PILE'!$D$72:$D$91))),IF('TS-PILE'!$B$78="",-1E+99,'TO HOP NLAN'!D146/ncoc+IF(SUMSQ('TS-PILE'!$E$72:$E$91)=0,0,'TO HOP NLAN'!E146*'TS-PILE'!$E$78/SUMSQ('TS-PILE'!$E$72:$E$91))+IF(SUMSQ('TS-PILE'!$D$72:$D$91)=0,0,'TO HOP NLAN'!F146*'TS-PILE'!$D$78/SUMSQ('TS-PILE'!$D$72:$D$91))),IF('TS-PILE'!$B$79="",-1E+99,'TO HOP NLAN'!D146/ncoc+IF(SUMSQ('TS-PILE'!$E$72:$E$91)=0,0,'TO HOP NLAN'!E146*'TS-PILE'!$E$79/SUMSQ('TS-PILE'!$E$72:$E$91))+IF(SUMSQ('TS-PILE'!$D$72:$D$91)=0,0,'TO HOP NLAN'!F146*'TS-PILE'!$D$79/SUMSQ('TS-PILE'!$D$72:$D$91))),IF('TS-PILE'!$B$80="",-1E+99,'TO HOP NLAN'!D146/ncoc+IF(SUMSQ('TS-PILE'!$E$72:$E$91)=0,0,'TO HOP NLAN'!E146*'TS-PILE'!$E$80/SUMSQ('TS-PILE'!$E$72:$E$91))+IF(SUMSQ('TS-PILE'!$D$72:$D$91)=0,0,'TO HOP NLAN'!F146*'TS-PILE'!$D$80/SUMSQ('TS-PILE'!$D$72:$D$91))),IF('TS-PILE'!$B$81="",-1E+99,'TO HOP NLAN'!D146/ncoc+IF(SUMSQ('TS-PILE'!$E$72:$E$91)=0,0,'TO HOP NLAN'!E146*'TS-PILE'!$E$81/SUMSQ('TS-PILE'!$E$72:$E$91))+IF(SUMSQ('TS-PILE'!$D$72:$D$91)=0,0,'TO HOP NLAN'!F146*'TS-PILE'!$D$81/SUMSQ('TS-PILE'!$D$72:$D$91))),IF('TS-PILE'!$B$82="",-1E+99,'TO HOP NLAN'!D146/ncoc+IF(SUMSQ('TS-PILE'!$E$72:$E$91)=0,0,'TO HOP NLAN'!E146*'TS-PILE'!$E$82/SUMSQ('TS-PILE'!$E$72:$E$91))+IF(SUMSQ('TS-PILE'!$D$72:$D$91)=0,0,'TO HOP NLAN'!F146*'TS-PILE'!$D$82/SUMSQ('TS-PILE'!$D$72:$D$91))),IF('TS-PILE'!$B$83="",-1E+99,'TO HOP NLAN'!D146/ncoc+IF(SUMSQ('TS-PILE'!$E$72:$E$91)=0,0,'TO HOP NLAN'!E146*'TS-PILE'!$E$83/SUMSQ('TS-PILE'!$E$72:$E$91))+IF(SUMSQ('TS-PILE'!$D$72:$D$91)=0,0,'TO HOP NLAN'!F146*'TS-PILE'!$D$83/SUMSQ('TS-PILE'!$D$72:$D$91))),IF('TS-PILE'!$B$84="",-1E+99,'TO HOP NLAN'!D146/ncoc+IF(SUMSQ('TS-PILE'!$E$72:$E$91)=0,0,'TO HOP NLAN'!E146*'TS-PILE'!$E$84/SUMSQ('TS-PILE'!$E$72:$E$91))+IF(SUMSQ('TS-PILE'!$D$72:$D$91)=0,0,'TO HOP NLAN'!F146*'TS-PILE'!$D$84/SUMSQ('TS-PILE'!$D$72:$D$91))),IF('TS-PILE'!$B$85="",-1E+99,'TO HOP NLAN'!D146/ncoc+IF(SUMSQ('TS-PILE'!$E$72:$E$91)=0,0,'TO HOP NLAN'!E146*'TS-PILE'!$E$85/SUMSQ('TS-PILE'!$E$72:$E$91))+IF(SUMSQ('TS-PILE'!$D$72:$D$91)=0,0,'TO HOP NLAN'!F146*'TS-PILE'!$D$85/SUMSQ('TS-PILE'!$D$72:$D$91))),IF('TS-PILE'!$B$86="",-1E+99,'TO HOP NLAN'!D146/ncoc+IF(SUMSQ('TS-PILE'!$E$72:$E$91)=0,0,'TO HOP NLAN'!E146*'TS-PILE'!$E$86/SUMSQ('TS-PILE'!$E$72:$E$91))+IF(SUMSQ('TS-PILE'!$D$72:$D$91)=0,0,'TO HOP NLAN'!F146*'TS-PILE'!$D$86/SUMSQ('TS-PILE'!$D$72:$D$91))),IF('TS-PILE'!$B$87="",-1E+99,'TO HOP NLAN'!D146/ncoc+IF(SUMSQ('TS-PILE'!$E$72:$E$91)=0,0,'TO HOP NLAN'!E146*'TS-PILE'!$E$87/SUMSQ('TS-PILE'!$E$72:$E$91))+IF(SUMSQ('TS-PILE'!$D$72:$D$91)=0,0,'TO HOP NLAN'!F146*'TS-PILE'!$D$87/SUMSQ('TS-PILE'!$D$72:$D$91))),IF('TS-PILE'!$B$88="",-1E+99,'TO HOP NLAN'!D146/ncoc+IF(SUMSQ('TS-PILE'!$E$72:$E$91)=0,0,'TO HOP NLAN'!E146*'TS-PILE'!$E$88/SUMSQ('TS-PILE'!$E$72:$E$91))+IF(SUMSQ('TS-PILE'!$D$72:$D$91)=0,0,'TO HOP NLAN'!F146*'TS-PILE'!$D$88/SUMSQ('TS-PILE'!$D$72:$D$91))),IF('TS-PILE'!$B$89="",-1E+99,'TO HOP NLAN'!D146/ncoc+IF(SUMSQ('TS-PILE'!$E$72:$E$91)=0,0,'TO HOP NLAN'!E146*'TS-PILE'!$E$89/SUMSQ('TS-PILE'!$E$72:$E$91))+IF(SUMSQ('TS-PILE'!$D$72:$D$91)=0,0,'TO HOP NLAN'!F146*'TS-PILE'!$D$89/SUMSQ('TS-PILE'!$D$72:$D$91))),IF('TS-PILE'!$B$90="",-1E+99,'TO HOP NLAN'!D146/ncoc+IF(SUMSQ('TS-PILE'!$E$72:$E$91)=0,0,'TO HOP NLAN'!E146*'TS-PILE'!$E$90/SUMSQ('TS-PILE'!$E$72:$E$91))+IF(SUMSQ('TS-PILE'!$D$72:$D$91)=0,0,'TO HOP NLAN'!F146*'TS-PILE'!$D$90/SUMSQ('TS-PILE'!$D$72:$D$91))),IF('TS-PILE'!$B$91="",-1E+99,'TO HOP NLAN'!D146/ncoc+IF(SUMSQ('TS-PILE'!$E$72:$E$91)=0,0,'TO HOP NLAN'!E146*'TS-PILE'!$E$91/SUMSQ('TS-PILE'!$E$72:$E$91))+IF(SUMSQ('TS-PILE'!$D$72:$D$91)=0,0,'TO HOP NLAN'!F146*'TS-PILE'!$D$91/SUMSQ('TS-PILE'!$D$72:$D$91)))))</f>
        <v>0</v>
      </c>
      <c r="D146" s="58">
        <f>IF(A146="",0,MIN(IF('TS-PILE'!$B$72="",1E+99,'TO HOP NLAN'!D146/ncoc+IF(SUMSQ('TS-PILE'!$E$72:$E$91)=0,0,'TO HOP NLAN'!E146*'TS-PILE'!$E$72/SUMSQ('TS-PILE'!$E$72:$E$91))+IF(SUMSQ('TS-PILE'!$D$72:$D$91)=0,0,'TO HOP NLAN'!F146*'TS-PILE'!$D$72/SUMSQ('TS-PILE'!$D$72:$D$91))),IF('TS-PILE'!$B$73="",1E+99,'TO HOP NLAN'!D146/ncoc+IF(SUMSQ('TS-PILE'!$E$72:$E$91)=0,0,'TO HOP NLAN'!E146*'TS-PILE'!$E$73/SUMSQ('TS-PILE'!$E$72:$E$91))+IF(SUMSQ('TS-PILE'!$D$72:$D$91)=0,0,'TO HOP NLAN'!F146*'TS-PILE'!$D$73/SUMSQ('TS-PILE'!$D$72:$D$91))),IF('TS-PILE'!$B$74="",1E+99,'TO HOP NLAN'!D146/ncoc+IF(SUMSQ('TS-PILE'!$E$72:$E$91)=0,0,'TO HOP NLAN'!E146*'TS-PILE'!$E$74/SUMSQ('TS-PILE'!$E$72:$E$91))+IF(SUMSQ('TS-PILE'!$D$72:$D$91)=0,0,'TO HOP NLAN'!F146*'TS-PILE'!$D$74/SUMSQ('TS-PILE'!$D$72:$D$91))),IF('TS-PILE'!$B$75="",1E+99,'TO HOP NLAN'!D146/ncoc+IF(SUMSQ('TS-PILE'!$E$72:$E$91)=0,0,'TO HOP NLAN'!E146*'TS-PILE'!$E$75/SUMSQ('TS-PILE'!$E$72:$E$91))+IF(SUMSQ('TS-PILE'!$D$72:$D$91)=0,0,'TO HOP NLAN'!F146*'TS-PILE'!$D$75/SUMSQ('TS-PILE'!$D$72:$D$91))),IF('TS-PILE'!$B$76="",1E+99,'TO HOP NLAN'!D146/ncoc+IF(SUMSQ('TS-PILE'!$E$72:$E$91)=0,0,'TO HOP NLAN'!E146*'TS-PILE'!$E$76/SUMSQ('TS-PILE'!$E$72:$E$91))+IF(SUMSQ('TS-PILE'!$D$72:$D$91)=0,0,'TO HOP NLAN'!F146*'TS-PILE'!$D$76/SUMSQ('TS-PILE'!$D$72:$D$91))),IF('TS-PILE'!$B$77="",1E+99,'TO HOP NLAN'!D146/ncoc+IF(SUMSQ('TS-PILE'!$E$72:$E$91)=0,0,'TO HOP NLAN'!E146*'TS-PILE'!$E$77/SUMSQ('TS-PILE'!$E$72:$E$91))+IF(SUMSQ('TS-PILE'!$D$72:$D$91)=0,0,'TO HOP NLAN'!F146*'TS-PILE'!$D$77/SUMSQ('TS-PILE'!$D$72:$D$91))),IF('TS-PILE'!$B$78="",1E+99,'TO HOP NLAN'!D146/ncoc+IF(SUMSQ('TS-PILE'!$E$72:$E$91)=0,0,'TO HOP NLAN'!E146*'TS-PILE'!$E$78/SUMSQ('TS-PILE'!$E$72:$E$91))+IF(SUMSQ('TS-PILE'!$D$72:$D$91)=0,0,'TO HOP NLAN'!F146*'TS-PILE'!$D$78/SUMSQ('TS-PILE'!$D$72:$D$91))),IF('TS-PILE'!$B$79="",1E+99,'TO HOP NLAN'!D146/ncoc+IF(SUMSQ('TS-PILE'!$E$72:$E$91)=0,0,'TO HOP NLAN'!E146*'TS-PILE'!$E$79/SUMSQ('TS-PILE'!$E$72:$E$91))+IF(SUMSQ('TS-PILE'!$D$72:$D$91)=0,0,'TO HOP NLAN'!F146*'TS-PILE'!$D$79/SUMSQ('TS-PILE'!$D$72:$D$91))),IF('TS-PILE'!$B$80="",1E+99,'TO HOP NLAN'!D146/ncoc+IF(SUMSQ('TS-PILE'!$E$72:$E$91)=0,0,'TO HOP NLAN'!E146*'TS-PILE'!$E$80/SUMSQ('TS-PILE'!$E$72:$E$91))+IF(SUMSQ('TS-PILE'!$D$72:$D$91)=0,0,'TO HOP NLAN'!F146*'TS-PILE'!$D$80/SUMSQ('TS-PILE'!$D$72:$D$91))),IF('TS-PILE'!$B$81="",1E+99,'TO HOP NLAN'!D146/ncoc+IF(SUMSQ('TS-PILE'!$E$72:$E$91)=0,0,'TO HOP NLAN'!E146*'TS-PILE'!$E$81/SUMSQ('TS-PILE'!$E$72:$E$91))+IF(SUMSQ('TS-PILE'!$D$72:$D$91)=0,0,'TO HOP NLAN'!F146*'TS-PILE'!$D$81/SUMSQ('TS-PILE'!$D$72:$D$91))),IF('TS-PILE'!$B$82="",1E+99,'TO HOP NLAN'!D146/ncoc+IF(SUMSQ('TS-PILE'!$E$72:$E$91)=0,0,'TO HOP NLAN'!E146*'TS-PILE'!$E$82/SUMSQ('TS-PILE'!$E$72:$E$91))+IF(SUMSQ('TS-PILE'!$D$72:$D$91)=0,0,'TO HOP NLAN'!F146*'TS-PILE'!$D$82/SUMSQ('TS-PILE'!$D$72:$D$91))),IF('TS-PILE'!$B$83="",1E+99,'TO HOP NLAN'!D146/ncoc+IF(SUMSQ('TS-PILE'!$E$72:$E$91)=0,0,'TO HOP NLAN'!E146*'TS-PILE'!$E$83/SUMSQ('TS-PILE'!$E$72:$E$91))+IF(SUMSQ('TS-PILE'!$D$72:$D$91)=0,0,'TO HOP NLAN'!F146*'TS-PILE'!$D$83/SUMSQ('TS-PILE'!$D$72:$D$91))),IF('TS-PILE'!$B$84="",1E+99,'TO HOP NLAN'!D146/ncoc+IF(SUMSQ('TS-PILE'!$E$72:$E$91)=0,0,'TO HOP NLAN'!E146*'TS-PILE'!$E$84/SUMSQ('TS-PILE'!$E$72:$E$91))+IF(SUMSQ('TS-PILE'!$D$72:$D$91)=0,0,'TO HOP NLAN'!F146*'TS-PILE'!$D$84/SUMSQ('TS-PILE'!$D$72:$D$91))),IF('TS-PILE'!$B$85="",1E+99,'TO HOP NLAN'!D146/ncoc+IF(SUMSQ('TS-PILE'!$E$72:$E$91)=0,0,'TO HOP NLAN'!E146*'TS-PILE'!$E$85/SUMSQ('TS-PILE'!$E$72:$E$91))+IF(SUMSQ('TS-PILE'!$D$72:$D$91)=0,0,'TO HOP NLAN'!F146*'TS-PILE'!$D$85/SUMSQ('TS-PILE'!$D$72:$D$91))),IF('TS-PILE'!$B$86="",1E+99,'TO HOP NLAN'!D146/ncoc+IF(SUMSQ('TS-PILE'!$E$72:$E$91)=0,0,'TO HOP NLAN'!E146*'TS-PILE'!$E$86/SUMSQ('TS-PILE'!$E$72:$E$91))+IF(SUMSQ('TS-PILE'!$D$72:$D$91)=0,0,'TO HOP NLAN'!F146*'TS-PILE'!$D$86/SUMSQ('TS-PILE'!$D$72:$D$91))),IF('TS-PILE'!$B$87="",1E+99,'TO HOP NLAN'!D146/ncoc+IF(SUMSQ('TS-PILE'!$E$72:$E$91)=0,0,'TO HOP NLAN'!E146*'TS-PILE'!$E$87/SUMSQ('TS-PILE'!$E$72:$E$91))+IF(SUMSQ('TS-PILE'!$D$72:$D$91)=0,0,'TO HOP NLAN'!F146*'TS-PILE'!$D$87/SUMSQ('TS-PILE'!$D$72:$D$91))),IF('TS-PILE'!$B$88="",1E+99,'TO HOP NLAN'!D146/ncoc+IF(SUMSQ('TS-PILE'!$E$72:$E$91)=0,0,'TO HOP NLAN'!E146*'TS-PILE'!$E$88/SUMSQ('TS-PILE'!$E$72:$E$91))+IF(SUMSQ('TS-PILE'!$D$72:$D$91)=0,0,'TO HOP NLAN'!F146*'TS-PILE'!$D$88/SUMSQ('TS-PILE'!$D$72:$D$91))),IF('TS-PILE'!$B$89="",1E+99,'TO HOP NLAN'!D146/ncoc+IF(SUMSQ('TS-PILE'!$E$72:$E$91)=0,0,'TO HOP NLAN'!E146*'TS-PILE'!$E$89/SUMSQ('TS-PILE'!$E$72:$E$91))+IF(SUMSQ('TS-PILE'!$D$72:$D$91)=0,0,'TO HOP NLAN'!F146*'TS-PILE'!$D$89/SUMSQ('TS-PILE'!$D$72:$D$91))),IF('TS-PILE'!$B$90="",1E+99,'TO HOP NLAN'!D146/ncoc+IF(SUMSQ('TS-PILE'!$E$72:$E$91)=0,0,'TO HOP NLAN'!E146*'TS-PILE'!$E$90/SUMSQ('TS-PILE'!$E$72:$E$91))+IF(SUMSQ('TS-PILE'!$D$72:$D$91)=0,0,'TO HOP NLAN'!F146*'TS-PILE'!$D$90/SUMSQ('TS-PILE'!$D$72:$D$91))),IF('TS-PILE'!$B$91="",1E+99,'TO HOP NLAN'!D146/ncoc+IF(SUMSQ('TS-PILE'!$E$72:$E$91)=0,0,'TO HOP NLAN'!E146*'TS-PILE'!$E$91/SUMSQ('TS-PILE'!$E$72:$E$91))+IF(SUMSQ('TS-PILE'!$D$72:$D$91)=0,0,'TO HOP NLAN'!F146*'TS-PILE'!$D$91/SUMSQ('TS-PILE'!$D$72:$D$91)))))</f>
        <v>0</v>
      </c>
      <c r="E146" s="58">
        <f t="shared" si="8"/>
        <v>-9.9999999999999997E+98</v>
      </c>
      <c r="F146" s="58">
        <f t="shared" si="9"/>
        <v>9.9999999999999997E+98</v>
      </c>
      <c r="G146" s="58">
        <f t="shared" si="10"/>
        <v>-9.9999999999999997E+98</v>
      </c>
      <c r="H146" s="58">
        <f t="shared" si="11"/>
        <v>9.9999999999999997E+98</v>
      </c>
    </row>
    <row r="147" spans="1:8" x14ac:dyDescent="0.3">
      <c r="A147" s="42" t="str">
        <f>'TO HOP NLAN'!A147</f>
        <v/>
      </c>
      <c r="B147" s="42" t="str">
        <f>'TO HOP NLAN'!L147</f>
        <v>STRENGTH</v>
      </c>
      <c r="C147" s="58">
        <f>IF(A147="",0,MAX(IF('TS-PILE'!$B$72="",-1E+99,'TO HOP NLAN'!D147/ncoc+IF(SUMSQ('TS-PILE'!$E$72:$E$91)=0,0,'TO HOP NLAN'!E147*'TS-PILE'!$E$72/SUMSQ('TS-PILE'!$E$72:$E$91))+IF(SUMSQ('TS-PILE'!$D$72:$D$91)=0,0,'TO HOP NLAN'!F147*'TS-PILE'!$D$72/SUMSQ('TS-PILE'!$D$72:$D$91))),IF('TS-PILE'!$B$73="",-1E+99,'TO HOP NLAN'!D147/ncoc+IF(SUMSQ('TS-PILE'!$E$72:$E$91)=0,0,'TO HOP NLAN'!E147*'TS-PILE'!$E$73/SUMSQ('TS-PILE'!$E$72:$E$91))+IF(SUMSQ('TS-PILE'!$D$72:$D$91)=0,0,'TO HOP NLAN'!F147*'TS-PILE'!$D$73/SUMSQ('TS-PILE'!$D$72:$D$91))),IF('TS-PILE'!$B$74="",-1E+99,'TO HOP NLAN'!D147/ncoc+IF(SUMSQ('TS-PILE'!$E$72:$E$91)=0,0,'TO HOP NLAN'!E147*'TS-PILE'!$E$74/SUMSQ('TS-PILE'!$E$72:$E$91))+IF(SUMSQ('TS-PILE'!$D$72:$D$91)=0,0,'TO HOP NLAN'!F147*'TS-PILE'!$D$74/SUMSQ('TS-PILE'!$D$72:$D$91))),IF('TS-PILE'!$B$75="",-1E+99,'TO HOP NLAN'!D147/ncoc+IF(SUMSQ('TS-PILE'!$E$72:$E$91)=0,0,'TO HOP NLAN'!E147*'TS-PILE'!$E$75/SUMSQ('TS-PILE'!$E$72:$E$91))+IF(SUMSQ('TS-PILE'!$D$72:$D$91)=0,0,'TO HOP NLAN'!F147*'TS-PILE'!$D$75/SUMSQ('TS-PILE'!$D$72:$D$91))),IF('TS-PILE'!$B$76="",-1E+99,'TO HOP NLAN'!D147/ncoc+IF(SUMSQ('TS-PILE'!$E$72:$E$91)=0,0,'TO HOP NLAN'!E147*'TS-PILE'!$E$76/SUMSQ('TS-PILE'!$E$72:$E$91))+IF(SUMSQ('TS-PILE'!$D$72:$D$91)=0,0,'TO HOP NLAN'!F147*'TS-PILE'!$D$76/SUMSQ('TS-PILE'!$D$72:$D$91))),IF('TS-PILE'!$B$77="",-1E+99,'TO HOP NLAN'!D147/ncoc+IF(SUMSQ('TS-PILE'!$E$72:$E$91)=0,0,'TO HOP NLAN'!E147*'TS-PILE'!$E$77/SUMSQ('TS-PILE'!$E$72:$E$91))+IF(SUMSQ('TS-PILE'!$D$72:$D$91)=0,0,'TO HOP NLAN'!F147*'TS-PILE'!$D$77/SUMSQ('TS-PILE'!$D$72:$D$91))),IF('TS-PILE'!$B$78="",-1E+99,'TO HOP NLAN'!D147/ncoc+IF(SUMSQ('TS-PILE'!$E$72:$E$91)=0,0,'TO HOP NLAN'!E147*'TS-PILE'!$E$78/SUMSQ('TS-PILE'!$E$72:$E$91))+IF(SUMSQ('TS-PILE'!$D$72:$D$91)=0,0,'TO HOP NLAN'!F147*'TS-PILE'!$D$78/SUMSQ('TS-PILE'!$D$72:$D$91))),IF('TS-PILE'!$B$79="",-1E+99,'TO HOP NLAN'!D147/ncoc+IF(SUMSQ('TS-PILE'!$E$72:$E$91)=0,0,'TO HOP NLAN'!E147*'TS-PILE'!$E$79/SUMSQ('TS-PILE'!$E$72:$E$91))+IF(SUMSQ('TS-PILE'!$D$72:$D$91)=0,0,'TO HOP NLAN'!F147*'TS-PILE'!$D$79/SUMSQ('TS-PILE'!$D$72:$D$91))),IF('TS-PILE'!$B$80="",-1E+99,'TO HOP NLAN'!D147/ncoc+IF(SUMSQ('TS-PILE'!$E$72:$E$91)=0,0,'TO HOP NLAN'!E147*'TS-PILE'!$E$80/SUMSQ('TS-PILE'!$E$72:$E$91))+IF(SUMSQ('TS-PILE'!$D$72:$D$91)=0,0,'TO HOP NLAN'!F147*'TS-PILE'!$D$80/SUMSQ('TS-PILE'!$D$72:$D$91))),IF('TS-PILE'!$B$81="",-1E+99,'TO HOP NLAN'!D147/ncoc+IF(SUMSQ('TS-PILE'!$E$72:$E$91)=0,0,'TO HOP NLAN'!E147*'TS-PILE'!$E$81/SUMSQ('TS-PILE'!$E$72:$E$91))+IF(SUMSQ('TS-PILE'!$D$72:$D$91)=0,0,'TO HOP NLAN'!F147*'TS-PILE'!$D$81/SUMSQ('TS-PILE'!$D$72:$D$91))),IF('TS-PILE'!$B$82="",-1E+99,'TO HOP NLAN'!D147/ncoc+IF(SUMSQ('TS-PILE'!$E$72:$E$91)=0,0,'TO HOP NLAN'!E147*'TS-PILE'!$E$82/SUMSQ('TS-PILE'!$E$72:$E$91))+IF(SUMSQ('TS-PILE'!$D$72:$D$91)=0,0,'TO HOP NLAN'!F147*'TS-PILE'!$D$82/SUMSQ('TS-PILE'!$D$72:$D$91))),IF('TS-PILE'!$B$83="",-1E+99,'TO HOP NLAN'!D147/ncoc+IF(SUMSQ('TS-PILE'!$E$72:$E$91)=0,0,'TO HOP NLAN'!E147*'TS-PILE'!$E$83/SUMSQ('TS-PILE'!$E$72:$E$91))+IF(SUMSQ('TS-PILE'!$D$72:$D$91)=0,0,'TO HOP NLAN'!F147*'TS-PILE'!$D$83/SUMSQ('TS-PILE'!$D$72:$D$91))),IF('TS-PILE'!$B$84="",-1E+99,'TO HOP NLAN'!D147/ncoc+IF(SUMSQ('TS-PILE'!$E$72:$E$91)=0,0,'TO HOP NLAN'!E147*'TS-PILE'!$E$84/SUMSQ('TS-PILE'!$E$72:$E$91))+IF(SUMSQ('TS-PILE'!$D$72:$D$91)=0,0,'TO HOP NLAN'!F147*'TS-PILE'!$D$84/SUMSQ('TS-PILE'!$D$72:$D$91))),IF('TS-PILE'!$B$85="",-1E+99,'TO HOP NLAN'!D147/ncoc+IF(SUMSQ('TS-PILE'!$E$72:$E$91)=0,0,'TO HOP NLAN'!E147*'TS-PILE'!$E$85/SUMSQ('TS-PILE'!$E$72:$E$91))+IF(SUMSQ('TS-PILE'!$D$72:$D$91)=0,0,'TO HOP NLAN'!F147*'TS-PILE'!$D$85/SUMSQ('TS-PILE'!$D$72:$D$91))),IF('TS-PILE'!$B$86="",-1E+99,'TO HOP NLAN'!D147/ncoc+IF(SUMSQ('TS-PILE'!$E$72:$E$91)=0,0,'TO HOP NLAN'!E147*'TS-PILE'!$E$86/SUMSQ('TS-PILE'!$E$72:$E$91))+IF(SUMSQ('TS-PILE'!$D$72:$D$91)=0,0,'TO HOP NLAN'!F147*'TS-PILE'!$D$86/SUMSQ('TS-PILE'!$D$72:$D$91))),IF('TS-PILE'!$B$87="",-1E+99,'TO HOP NLAN'!D147/ncoc+IF(SUMSQ('TS-PILE'!$E$72:$E$91)=0,0,'TO HOP NLAN'!E147*'TS-PILE'!$E$87/SUMSQ('TS-PILE'!$E$72:$E$91))+IF(SUMSQ('TS-PILE'!$D$72:$D$91)=0,0,'TO HOP NLAN'!F147*'TS-PILE'!$D$87/SUMSQ('TS-PILE'!$D$72:$D$91))),IF('TS-PILE'!$B$88="",-1E+99,'TO HOP NLAN'!D147/ncoc+IF(SUMSQ('TS-PILE'!$E$72:$E$91)=0,0,'TO HOP NLAN'!E147*'TS-PILE'!$E$88/SUMSQ('TS-PILE'!$E$72:$E$91))+IF(SUMSQ('TS-PILE'!$D$72:$D$91)=0,0,'TO HOP NLAN'!F147*'TS-PILE'!$D$88/SUMSQ('TS-PILE'!$D$72:$D$91))),IF('TS-PILE'!$B$89="",-1E+99,'TO HOP NLAN'!D147/ncoc+IF(SUMSQ('TS-PILE'!$E$72:$E$91)=0,0,'TO HOP NLAN'!E147*'TS-PILE'!$E$89/SUMSQ('TS-PILE'!$E$72:$E$91))+IF(SUMSQ('TS-PILE'!$D$72:$D$91)=0,0,'TO HOP NLAN'!F147*'TS-PILE'!$D$89/SUMSQ('TS-PILE'!$D$72:$D$91))),IF('TS-PILE'!$B$90="",-1E+99,'TO HOP NLAN'!D147/ncoc+IF(SUMSQ('TS-PILE'!$E$72:$E$91)=0,0,'TO HOP NLAN'!E147*'TS-PILE'!$E$90/SUMSQ('TS-PILE'!$E$72:$E$91))+IF(SUMSQ('TS-PILE'!$D$72:$D$91)=0,0,'TO HOP NLAN'!F147*'TS-PILE'!$D$90/SUMSQ('TS-PILE'!$D$72:$D$91))),IF('TS-PILE'!$B$91="",-1E+99,'TO HOP NLAN'!D147/ncoc+IF(SUMSQ('TS-PILE'!$E$72:$E$91)=0,0,'TO HOP NLAN'!E147*'TS-PILE'!$E$91/SUMSQ('TS-PILE'!$E$72:$E$91))+IF(SUMSQ('TS-PILE'!$D$72:$D$91)=0,0,'TO HOP NLAN'!F147*'TS-PILE'!$D$91/SUMSQ('TS-PILE'!$D$72:$D$91)))))</f>
        <v>0</v>
      </c>
      <c r="D147" s="58">
        <f>IF(A147="",0,MIN(IF('TS-PILE'!$B$72="",1E+99,'TO HOP NLAN'!D147/ncoc+IF(SUMSQ('TS-PILE'!$E$72:$E$91)=0,0,'TO HOP NLAN'!E147*'TS-PILE'!$E$72/SUMSQ('TS-PILE'!$E$72:$E$91))+IF(SUMSQ('TS-PILE'!$D$72:$D$91)=0,0,'TO HOP NLAN'!F147*'TS-PILE'!$D$72/SUMSQ('TS-PILE'!$D$72:$D$91))),IF('TS-PILE'!$B$73="",1E+99,'TO HOP NLAN'!D147/ncoc+IF(SUMSQ('TS-PILE'!$E$72:$E$91)=0,0,'TO HOP NLAN'!E147*'TS-PILE'!$E$73/SUMSQ('TS-PILE'!$E$72:$E$91))+IF(SUMSQ('TS-PILE'!$D$72:$D$91)=0,0,'TO HOP NLAN'!F147*'TS-PILE'!$D$73/SUMSQ('TS-PILE'!$D$72:$D$91))),IF('TS-PILE'!$B$74="",1E+99,'TO HOP NLAN'!D147/ncoc+IF(SUMSQ('TS-PILE'!$E$72:$E$91)=0,0,'TO HOP NLAN'!E147*'TS-PILE'!$E$74/SUMSQ('TS-PILE'!$E$72:$E$91))+IF(SUMSQ('TS-PILE'!$D$72:$D$91)=0,0,'TO HOP NLAN'!F147*'TS-PILE'!$D$74/SUMSQ('TS-PILE'!$D$72:$D$91))),IF('TS-PILE'!$B$75="",1E+99,'TO HOP NLAN'!D147/ncoc+IF(SUMSQ('TS-PILE'!$E$72:$E$91)=0,0,'TO HOP NLAN'!E147*'TS-PILE'!$E$75/SUMSQ('TS-PILE'!$E$72:$E$91))+IF(SUMSQ('TS-PILE'!$D$72:$D$91)=0,0,'TO HOP NLAN'!F147*'TS-PILE'!$D$75/SUMSQ('TS-PILE'!$D$72:$D$91))),IF('TS-PILE'!$B$76="",1E+99,'TO HOP NLAN'!D147/ncoc+IF(SUMSQ('TS-PILE'!$E$72:$E$91)=0,0,'TO HOP NLAN'!E147*'TS-PILE'!$E$76/SUMSQ('TS-PILE'!$E$72:$E$91))+IF(SUMSQ('TS-PILE'!$D$72:$D$91)=0,0,'TO HOP NLAN'!F147*'TS-PILE'!$D$76/SUMSQ('TS-PILE'!$D$72:$D$91))),IF('TS-PILE'!$B$77="",1E+99,'TO HOP NLAN'!D147/ncoc+IF(SUMSQ('TS-PILE'!$E$72:$E$91)=0,0,'TO HOP NLAN'!E147*'TS-PILE'!$E$77/SUMSQ('TS-PILE'!$E$72:$E$91))+IF(SUMSQ('TS-PILE'!$D$72:$D$91)=0,0,'TO HOP NLAN'!F147*'TS-PILE'!$D$77/SUMSQ('TS-PILE'!$D$72:$D$91))),IF('TS-PILE'!$B$78="",1E+99,'TO HOP NLAN'!D147/ncoc+IF(SUMSQ('TS-PILE'!$E$72:$E$91)=0,0,'TO HOP NLAN'!E147*'TS-PILE'!$E$78/SUMSQ('TS-PILE'!$E$72:$E$91))+IF(SUMSQ('TS-PILE'!$D$72:$D$91)=0,0,'TO HOP NLAN'!F147*'TS-PILE'!$D$78/SUMSQ('TS-PILE'!$D$72:$D$91))),IF('TS-PILE'!$B$79="",1E+99,'TO HOP NLAN'!D147/ncoc+IF(SUMSQ('TS-PILE'!$E$72:$E$91)=0,0,'TO HOP NLAN'!E147*'TS-PILE'!$E$79/SUMSQ('TS-PILE'!$E$72:$E$91))+IF(SUMSQ('TS-PILE'!$D$72:$D$91)=0,0,'TO HOP NLAN'!F147*'TS-PILE'!$D$79/SUMSQ('TS-PILE'!$D$72:$D$91))),IF('TS-PILE'!$B$80="",1E+99,'TO HOP NLAN'!D147/ncoc+IF(SUMSQ('TS-PILE'!$E$72:$E$91)=0,0,'TO HOP NLAN'!E147*'TS-PILE'!$E$80/SUMSQ('TS-PILE'!$E$72:$E$91))+IF(SUMSQ('TS-PILE'!$D$72:$D$91)=0,0,'TO HOP NLAN'!F147*'TS-PILE'!$D$80/SUMSQ('TS-PILE'!$D$72:$D$91))),IF('TS-PILE'!$B$81="",1E+99,'TO HOP NLAN'!D147/ncoc+IF(SUMSQ('TS-PILE'!$E$72:$E$91)=0,0,'TO HOP NLAN'!E147*'TS-PILE'!$E$81/SUMSQ('TS-PILE'!$E$72:$E$91))+IF(SUMSQ('TS-PILE'!$D$72:$D$91)=0,0,'TO HOP NLAN'!F147*'TS-PILE'!$D$81/SUMSQ('TS-PILE'!$D$72:$D$91))),IF('TS-PILE'!$B$82="",1E+99,'TO HOP NLAN'!D147/ncoc+IF(SUMSQ('TS-PILE'!$E$72:$E$91)=0,0,'TO HOP NLAN'!E147*'TS-PILE'!$E$82/SUMSQ('TS-PILE'!$E$72:$E$91))+IF(SUMSQ('TS-PILE'!$D$72:$D$91)=0,0,'TO HOP NLAN'!F147*'TS-PILE'!$D$82/SUMSQ('TS-PILE'!$D$72:$D$91))),IF('TS-PILE'!$B$83="",1E+99,'TO HOP NLAN'!D147/ncoc+IF(SUMSQ('TS-PILE'!$E$72:$E$91)=0,0,'TO HOP NLAN'!E147*'TS-PILE'!$E$83/SUMSQ('TS-PILE'!$E$72:$E$91))+IF(SUMSQ('TS-PILE'!$D$72:$D$91)=0,0,'TO HOP NLAN'!F147*'TS-PILE'!$D$83/SUMSQ('TS-PILE'!$D$72:$D$91))),IF('TS-PILE'!$B$84="",1E+99,'TO HOP NLAN'!D147/ncoc+IF(SUMSQ('TS-PILE'!$E$72:$E$91)=0,0,'TO HOP NLAN'!E147*'TS-PILE'!$E$84/SUMSQ('TS-PILE'!$E$72:$E$91))+IF(SUMSQ('TS-PILE'!$D$72:$D$91)=0,0,'TO HOP NLAN'!F147*'TS-PILE'!$D$84/SUMSQ('TS-PILE'!$D$72:$D$91))),IF('TS-PILE'!$B$85="",1E+99,'TO HOP NLAN'!D147/ncoc+IF(SUMSQ('TS-PILE'!$E$72:$E$91)=0,0,'TO HOP NLAN'!E147*'TS-PILE'!$E$85/SUMSQ('TS-PILE'!$E$72:$E$91))+IF(SUMSQ('TS-PILE'!$D$72:$D$91)=0,0,'TO HOP NLAN'!F147*'TS-PILE'!$D$85/SUMSQ('TS-PILE'!$D$72:$D$91))),IF('TS-PILE'!$B$86="",1E+99,'TO HOP NLAN'!D147/ncoc+IF(SUMSQ('TS-PILE'!$E$72:$E$91)=0,0,'TO HOP NLAN'!E147*'TS-PILE'!$E$86/SUMSQ('TS-PILE'!$E$72:$E$91))+IF(SUMSQ('TS-PILE'!$D$72:$D$91)=0,0,'TO HOP NLAN'!F147*'TS-PILE'!$D$86/SUMSQ('TS-PILE'!$D$72:$D$91))),IF('TS-PILE'!$B$87="",1E+99,'TO HOP NLAN'!D147/ncoc+IF(SUMSQ('TS-PILE'!$E$72:$E$91)=0,0,'TO HOP NLAN'!E147*'TS-PILE'!$E$87/SUMSQ('TS-PILE'!$E$72:$E$91))+IF(SUMSQ('TS-PILE'!$D$72:$D$91)=0,0,'TO HOP NLAN'!F147*'TS-PILE'!$D$87/SUMSQ('TS-PILE'!$D$72:$D$91))),IF('TS-PILE'!$B$88="",1E+99,'TO HOP NLAN'!D147/ncoc+IF(SUMSQ('TS-PILE'!$E$72:$E$91)=0,0,'TO HOP NLAN'!E147*'TS-PILE'!$E$88/SUMSQ('TS-PILE'!$E$72:$E$91))+IF(SUMSQ('TS-PILE'!$D$72:$D$91)=0,0,'TO HOP NLAN'!F147*'TS-PILE'!$D$88/SUMSQ('TS-PILE'!$D$72:$D$91))),IF('TS-PILE'!$B$89="",1E+99,'TO HOP NLAN'!D147/ncoc+IF(SUMSQ('TS-PILE'!$E$72:$E$91)=0,0,'TO HOP NLAN'!E147*'TS-PILE'!$E$89/SUMSQ('TS-PILE'!$E$72:$E$91))+IF(SUMSQ('TS-PILE'!$D$72:$D$91)=0,0,'TO HOP NLAN'!F147*'TS-PILE'!$D$89/SUMSQ('TS-PILE'!$D$72:$D$91))),IF('TS-PILE'!$B$90="",1E+99,'TO HOP NLAN'!D147/ncoc+IF(SUMSQ('TS-PILE'!$E$72:$E$91)=0,0,'TO HOP NLAN'!E147*'TS-PILE'!$E$90/SUMSQ('TS-PILE'!$E$72:$E$91))+IF(SUMSQ('TS-PILE'!$D$72:$D$91)=0,0,'TO HOP NLAN'!F147*'TS-PILE'!$D$90/SUMSQ('TS-PILE'!$D$72:$D$91))),IF('TS-PILE'!$B$91="",1E+99,'TO HOP NLAN'!D147/ncoc+IF(SUMSQ('TS-PILE'!$E$72:$E$91)=0,0,'TO HOP NLAN'!E147*'TS-PILE'!$E$91/SUMSQ('TS-PILE'!$E$72:$E$91))+IF(SUMSQ('TS-PILE'!$D$72:$D$91)=0,0,'TO HOP NLAN'!F147*'TS-PILE'!$D$91/SUMSQ('TS-PILE'!$D$72:$D$91)))))</f>
        <v>0</v>
      </c>
      <c r="E147" s="58">
        <f t="shared" si="8"/>
        <v>-9.9999999999999997E+98</v>
      </c>
      <c r="F147" s="58">
        <f t="shared" si="9"/>
        <v>9.9999999999999997E+98</v>
      </c>
      <c r="G147" s="58">
        <f t="shared" si="10"/>
        <v>-9.9999999999999997E+98</v>
      </c>
      <c r="H147" s="58">
        <f t="shared" si="11"/>
        <v>9.9999999999999997E+98</v>
      </c>
    </row>
    <row r="148" spans="1:8" x14ac:dyDescent="0.3">
      <c r="A148" s="42" t="str">
        <f>'TO HOP NLAN'!A148</f>
        <v/>
      </c>
      <c r="B148" s="42" t="str">
        <f>'TO HOP NLAN'!L148</f>
        <v>STRENGTH</v>
      </c>
      <c r="C148" s="58">
        <f>IF(A148="",0,MAX(IF('TS-PILE'!$B$72="",-1E+99,'TO HOP NLAN'!D148/ncoc+IF(SUMSQ('TS-PILE'!$E$72:$E$91)=0,0,'TO HOP NLAN'!E148*'TS-PILE'!$E$72/SUMSQ('TS-PILE'!$E$72:$E$91))+IF(SUMSQ('TS-PILE'!$D$72:$D$91)=0,0,'TO HOP NLAN'!F148*'TS-PILE'!$D$72/SUMSQ('TS-PILE'!$D$72:$D$91))),IF('TS-PILE'!$B$73="",-1E+99,'TO HOP NLAN'!D148/ncoc+IF(SUMSQ('TS-PILE'!$E$72:$E$91)=0,0,'TO HOP NLAN'!E148*'TS-PILE'!$E$73/SUMSQ('TS-PILE'!$E$72:$E$91))+IF(SUMSQ('TS-PILE'!$D$72:$D$91)=0,0,'TO HOP NLAN'!F148*'TS-PILE'!$D$73/SUMSQ('TS-PILE'!$D$72:$D$91))),IF('TS-PILE'!$B$74="",-1E+99,'TO HOP NLAN'!D148/ncoc+IF(SUMSQ('TS-PILE'!$E$72:$E$91)=0,0,'TO HOP NLAN'!E148*'TS-PILE'!$E$74/SUMSQ('TS-PILE'!$E$72:$E$91))+IF(SUMSQ('TS-PILE'!$D$72:$D$91)=0,0,'TO HOP NLAN'!F148*'TS-PILE'!$D$74/SUMSQ('TS-PILE'!$D$72:$D$91))),IF('TS-PILE'!$B$75="",-1E+99,'TO HOP NLAN'!D148/ncoc+IF(SUMSQ('TS-PILE'!$E$72:$E$91)=0,0,'TO HOP NLAN'!E148*'TS-PILE'!$E$75/SUMSQ('TS-PILE'!$E$72:$E$91))+IF(SUMSQ('TS-PILE'!$D$72:$D$91)=0,0,'TO HOP NLAN'!F148*'TS-PILE'!$D$75/SUMSQ('TS-PILE'!$D$72:$D$91))),IF('TS-PILE'!$B$76="",-1E+99,'TO HOP NLAN'!D148/ncoc+IF(SUMSQ('TS-PILE'!$E$72:$E$91)=0,0,'TO HOP NLAN'!E148*'TS-PILE'!$E$76/SUMSQ('TS-PILE'!$E$72:$E$91))+IF(SUMSQ('TS-PILE'!$D$72:$D$91)=0,0,'TO HOP NLAN'!F148*'TS-PILE'!$D$76/SUMSQ('TS-PILE'!$D$72:$D$91))),IF('TS-PILE'!$B$77="",-1E+99,'TO HOP NLAN'!D148/ncoc+IF(SUMSQ('TS-PILE'!$E$72:$E$91)=0,0,'TO HOP NLAN'!E148*'TS-PILE'!$E$77/SUMSQ('TS-PILE'!$E$72:$E$91))+IF(SUMSQ('TS-PILE'!$D$72:$D$91)=0,0,'TO HOP NLAN'!F148*'TS-PILE'!$D$77/SUMSQ('TS-PILE'!$D$72:$D$91))),IF('TS-PILE'!$B$78="",-1E+99,'TO HOP NLAN'!D148/ncoc+IF(SUMSQ('TS-PILE'!$E$72:$E$91)=0,0,'TO HOP NLAN'!E148*'TS-PILE'!$E$78/SUMSQ('TS-PILE'!$E$72:$E$91))+IF(SUMSQ('TS-PILE'!$D$72:$D$91)=0,0,'TO HOP NLAN'!F148*'TS-PILE'!$D$78/SUMSQ('TS-PILE'!$D$72:$D$91))),IF('TS-PILE'!$B$79="",-1E+99,'TO HOP NLAN'!D148/ncoc+IF(SUMSQ('TS-PILE'!$E$72:$E$91)=0,0,'TO HOP NLAN'!E148*'TS-PILE'!$E$79/SUMSQ('TS-PILE'!$E$72:$E$91))+IF(SUMSQ('TS-PILE'!$D$72:$D$91)=0,0,'TO HOP NLAN'!F148*'TS-PILE'!$D$79/SUMSQ('TS-PILE'!$D$72:$D$91))),IF('TS-PILE'!$B$80="",-1E+99,'TO HOP NLAN'!D148/ncoc+IF(SUMSQ('TS-PILE'!$E$72:$E$91)=0,0,'TO HOP NLAN'!E148*'TS-PILE'!$E$80/SUMSQ('TS-PILE'!$E$72:$E$91))+IF(SUMSQ('TS-PILE'!$D$72:$D$91)=0,0,'TO HOP NLAN'!F148*'TS-PILE'!$D$80/SUMSQ('TS-PILE'!$D$72:$D$91))),IF('TS-PILE'!$B$81="",-1E+99,'TO HOP NLAN'!D148/ncoc+IF(SUMSQ('TS-PILE'!$E$72:$E$91)=0,0,'TO HOP NLAN'!E148*'TS-PILE'!$E$81/SUMSQ('TS-PILE'!$E$72:$E$91))+IF(SUMSQ('TS-PILE'!$D$72:$D$91)=0,0,'TO HOP NLAN'!F148*'TS-PILE'!$D$81/SUMSQ('TS-PILE'!$D$72:$D$91))),IF('TS-PILE'!$B$82="",-1E+99,'TO HOP NLAN'!D148/ncoc+IF(SUMSQ('TS-PILE'!$E$72:$E$91)=0,0,'TO HOP NLAN'!E148*'TS-PILE'!$E$82/SUMSQ('TS-PILE'!$E$72:$E$91))+IF(SUMSQ('TS-PILE'!$D$72:$D$91)=0,0,'TO HOP NLAN'!F148*'TS-PILE'!$D$82/SUMSQ('TS-PILE'!$D$72:$D$91))),IF('TS-PILE'!$B$83="",-1E+99,'TO HOP NLAN'!D148/ncoc+IF(SUMSQ('TS-PILE'!$E$72:$E$91)=0,0,'TO HOP NLAN'!E148*'TS-PILE'!$E$83/SUMSQ('TS-PILE'!$E$72:$E$91))+IF(SUMSQ('TS-PILE'!$D$72:$D$91)=0,0,'TO HOP NLAN'!F148*'TS-PILE'!$D$83/SUMSQ('TS-PILE'!$D$72:$D$91))),IF('TS-PILE'!$B$84="",-1E+99,'TO HOP NLAN'!D148/ncoc+IF(SUMSQ('TS-PILE'!$E$72:$E$91)=0,0,'TO HOP NLAN'!E148*'TS-PILE'!$E$84/SUMSQ('TS-PILE'!$E$72:$E$91))+IF(SUMSQ('TS-PILE'!$D$72:$D$91)=0,0,'TO HOP NLAN'!F148*'TS-PILE'!$D$84/SUMSQ('TS-PILE'!$D$72:$D$91))),IF('TS-PILE'!$B$85="",-1E+99,'TO HOP NLAN'!D148/ncoc+IF(SUMSQ('TS-PILE'!$E$72:$E$91)=0,0,'TO HOP NLAN'!E148*'TS-PILE'!$E$85/SUMSQ('TS-PILE'!$E$72:$E$91))+IF(SUMSQ('TS-PILE'!$D$72:$D$91)=0,0,'TO HOP NLAN'!F148*'TS-PILE'!$D$85/SUMSQ('TS-PILE'!$D$72:$D$91))),IF('TS-PILE'!$B$86="",-1E+99,'TO HOP NLAN'!D148/ncoc+IF(SUMSQ('TS-PILE'!$E$72:$E$91)=0,0,'TO HOP NLAN'!E148*'TS-PILE'!$E$86/SUMSQ('TS-PILE'!$E$72:$E$91))+IF(SUMSQ('TS-PILE'!$D$72:$D$91)=0,0,'TO HOP NLAN'!F148*'TS-PILE'!$D$86/SUMSQ('TS-PILE'!$D$72:$D$91))),IF('TS-PILE'!$B$87="",-1E+99,'TO HOP NLAN'!D148/ncoc+IF(SUMSQ('TS-PILE'!$E$72:$E$91)=0,0,'TO HOP NLAN'!E148*'TS-PILE'!$E$87/SUMSQ('TS-PILE'!$E$72:$E$91))+IF(SUMSQ('TS-PILE'!$D$72:$D$91)=0,0,'TO HOP NLAN'!F148*'TS-PILE'!$D$87/SUMSQ('TS-PILE'!$D$72:$D$91))),IF('TS-PILE'!$B$88="",-1E+99,'TO HOP NLAN'!D148/ncoc+IF(SUMSQ('TS-PILE'!$E$72:$E$91)=0,0,'TO HOP NLAN'!E148*'TS-PILE'!$E$88/SUMSQ('TS-PILE'!$E$72:$E$91))+IF(SUMSQ('TS-PILE'!$D$72:$D$91)=0,0,'TO HOP NLAN'!F148*'TS-PILE'!$D$88/SUMSQ('TS-PILE'!$D$72:$D$91))),IF('TS-PILE'!$B$89="",-1E+99,'TO HOP NLAN'!D148/ncoc+IF(SUMSQ('TS-PILE'!$E$72:$E$91)=0,0,'TO HOP NLAN'!E148*'TS-PILE'!$E$89/SUMSQ('TS-PILE'!$E$72:$E$91))+IF(SUMSQ('TS-PILE'!$D$72:$D$91)=0,0,'TO HOP NLAN'!F148*'TS-PILE'!$D$89/SUMSQ('TS-PILE'!$D$72:$D$91))),IF('TS-PILE'!$B$90="",-1E+99,'TO HOP NLAN'!D148/ncoc+IF(SUMSQ('TS-PILE'!$E$72:$E$91)=0,0,'TO HOP NLAN'!E148*'TS-PILE'!$E$90/SUMSQ('TS-PILE'!$E$72:$E$91))+IF(SUMSQ('TS-PILE'!$D$72:$D$91)=0,0,'TO HOP NLAN'!F148*'TS-PILE'!$D$90/SUMSQ('TS-PILE'!$D$72:$D$91))),IF('TS-PILE'!$B$91="",-1E+99,'TO HOP NLAN'!D148/ncoc+IF(SUMSQ('TS-PILE'!$E$72:$E$91)=0,0,'TO HOP NLAN'!E148*'TS-PILE'!$E$91/SUMSQ('TS-PILE'!$E$72:$E$91))+IF(SUMSQ('TS-PILE'!$D$72:$D$91)=0,0,'TO HOP NLAN'!F148*'TS-PILE'!$D$91/SUMSQ('TS-PILE'!$D$72:$D$91)))))</f>
        <v>0</v>
      </c>
      <c r="D148" s="58">
        <f>IF(A148="",0,MIN(IF('TS-PILE'!$B$72="",1E+99,'TO HOP NLAN'!D148/ncoc+IF(SUMSQ('TS-PILE'!$E$72:$E$91)=0,0,'TO HOP NLAN'!E148*'TS-PILE'!$E$72/SUMSQ('TS-PILE'!$E$72:$E$91))+IF(SUMSQ('TS-PILE'!$D$72:$D$91)=0,0,'TO HOP NLAN'!F148*'TS-PILE'!$D$72/SUMSQ('TS-PILE'!$D$72:$D$91))),IF('TS-PILE'!$B$73="",1E+99,'TO HOP NLAN'!D148/ncoc+IF(SUMSQ('TS-PILE'!$E$72:$E$91)=0,0,'TO HOP NLAN'!E148*'TS-PILE'!$E$73/SUMSQ('TS-PILE'!$E$72:$E$91))+IF(SUMSQ('TS-PILE'!$D$72:$D$91)=0,0,'TO HOP NLAN'!F148*'TS-PILE'!$D$73/SUMSQ('TS-PILE'!$D$72:$D$91))),IF('TS-PILE'!$B$74="",1E+99,'TO HOP NLAN'!D148/ncoc+IF(SUMSQ('TS-PILE'!$E$72:$E$91)=0,0,'TO HOP NLAN'!E148*'TS-PILE'!$E$74/SUMSQ('TS-PILE'!$E$72:$E$91))+IF(SUMSQ('TS-PILE'!$D$72:$D$91)=0,0,'TO HOP NLAN'!F148*'TS-PILE'!$D$74/SUMSQ('TS-PILE'!$D$72:$D$91))),IF('TS-PILE'!$B$75="",1E+99,'TO HOP NLAN'!D148/ncoc+IF(SUMSQ('TS-PILE'!$E$72:$E$91)=0,0,'TO HOP NLAN'!E148*'TS-PILE'!$E$75/SUMSQ('TS-PILE'!$E$72:$E$91))+IF(SUMSQ('TS-PILE'!$D$72:$D$91)=0,0,'TO HOP NLAN'!F148*'TS-PILE'!$D$75/SUMSQ('TS-PILE'!$D$72:$D$91))),IF('TS-PILE'!$B$76="",1E+99,'TO HOP NLAN'!D148/ncoc+IF(SUMSQ('TS-PILE'!$E$72:$E$91)=0,0,'TO HOP NLAN'!E148*'TS-PILE'!$E$76/SUMSQ('TS-PILE'!$E$72:$E$91))+IF(SUMSQ('TS-PILE'!$D$72:$D$91)=0,0,'TO HOP NLAN'!F148*'TS-PILE'!$D$76/SUMSQ('TS-PILE'!$D$72:$D$91))),IF('TS-PILE'!$B$77="",1E+99,'TO HOP NLAN'!D148/ncoc+IF(SUMSQ('TS-PILE'!$E$72:$E$91)=0,0,'TO HOP NLAN'!E148*'TS-PILE'!$E$77/SUMSQ('TS-PILE'!$E$72:$E$91))+IF(SUMSQ('TS-PILE'!$D$72:$D$91)=0,0,'TO HOP NLAN'!F148*'TS-PILE'!$D$77/SUMSQ('TS-PILE'!$D$72:$D$91))),IF('TS-PILE'!$B$78="",1E+99,'TO HOP NLAN'!D148/ncoc+IF(SUMSQ('TS-PILE'!$E$72:$E$91)=0,0,'TO HOP NLAN'!E148*'TS-PILE'!$E$78/SUMSQ('TS-PILE'!$E$72:$E$91))+IF(SUMSQ('TS-PILE'!$D$72:$D$91)=0,0,'TO HOP NLAN'!F148*'TS-PILE'!$D$78/SUMSQ('TS-PILE'!$D$72:$D$91))),IF('TS-PILE'!$B$79="",1E+99,'TO HOP NLAN'!D148/ncoc+IF(SUMSQ('TS-PILE'!$E$72:$E$91)=0,0,'TO HOP NLAN'!E148*'TS-PILE'!$E$79/SUMSQ('TS-PILE'!$E$72:$E$91))+IF(SUMSQ('TS-PILE'!$D$72:$D$91)=0,0,'TO HOP NLAN'!F148*'TS-PILE'!$D$79/SUMSQ('TS-PILE'!$D$72:$D$91))),IF('TS-PILE'!$B$80="",1E+99,'TO HOP NLAN'!D148/ncoc+IF(SUMSQ('TS-PILE'!$E$72:$E$91)=0,0,'TO HOP NLAN'!E148*'TS-PILE'!$E$80/SUMSQ('TS-PILE'!$E$72:$E$91))+IF(SUMSQ('TS-PILE'!$D$72:$D$91)=0,0,'TO HOP NLAN'!F148*'TS-PILE'!$D$80/SUMSQ('TS-PILE'!$D$72:$D$91))),IF('TS-PILE'!$B$81="",1E+99,'TO HOP NLAN'!D148/ncoc+IF(SUMSQ('TS-PILE'!$E$72:$E$91)=0,0,'TO HOP NLAN'!E148*'TS-PILE'!$E$81/SUMSQ('TS-PILE'!$E$72:$E$91))+IF(SUMSQ('TS-PILE'!$D$72:$D$91)=0,0,'TO HOP NLAN'!F148*'TS-PILE'!$D$81/SUMSQ('TS-PILE'!$D$72:$D$91))),IF('TS-PILE'!$B$82="",1E+99,'TO HOP NLAN'!D148/ncoc+IF(SUMSQ('TS-PILE'!$E$72:$E$91)=0,0,'TO HOP NLAN'!E148*'TS-PILE'!$E$82/SUMSQ('TS-PILE'!$E$72:$E$91))+IF(SUMSQ('TS-PILE'!$D$72:$D$91)=0,0,'TO HOP NLAN'!F148*'TS-PILE'!$D$82/SUMSQ('TS-PILE'!$D$72:$D$91))),IF('TS-PILE'!$B$83="",1E+99,'TO HOP NLAN'!D148/ncoc+IF(SUMSQ('TS-PILE'!$E$72:$E$91)=0,0,'TO HOP NLAN'!E148*'TS-PILE'!$E$83/SUMSQ('TS-PILE'!$E$72:$E$91))+IF(SUMSQ('TS-PILE'!$D$72:$D$91)=0,0,'TO HOP NLAN'!F148*'TS-PILE'!$D$83/SUMSQ('TS-PILE'!$D$72:$D$91))),IF('TS-PILE'!$B$84="",1E+99,'TO HOP NLAN'!D148/ncoc+IF(SUMSQ('TS-PILE'!$E$72:$E$91)=0,0,'TO HOP NLAN'!E148*'TS-PILE'!$E$84/SUMSQ('TS-PILE'!$E$72:$E$91))+IF(SUMSQ('TS-PILE'!$D$72:$D$91)=0,0,'TO HOP NLAN'!F148*'TS-PILE'!$D$84/SUMSQ('TS-PILE'!$D$72:$D$91))),IF('TS-PILE'!$B$85="",1E+99,'TO HOP NLAN'!D148/ncoc+IF(SUMSQ('TS-PILE'!$E$72:$E$91)=0,0,'TO HOP NLAN'!E148*'TS-PILE'!$E$85/SUMSQ('TS-PILE'!$E$72:$E$91))+IF(SUMSQ('TS-PILE'!$D$72:$D$91)=0,0,'TO HOP NLAN'!F148*'TS-PILE'!$D$85/SUMSQ('TS-PILE'!$D$72:$D$91))),IF('TS-PILE'!$B$86="",1E+99,'TO HOP NLAN'!D148/ncoc+IF(SUMSQ('TS-PILE'!$E$72:$E$91)=0,0,'TO HOP NLAN'!E148*'TS-PILE'!$E$86/SUMSQ('TS-PILE'!$E$72:$E$91))+IF(SUMSQ('TS-PILE'!$D$72:$D$91)=0,0,'TO HOP NLAN'!F148*'TS-PILE'!$D$86/SUMSQ('TS-PILE'!$D$72:$D$91))),IF('TS-PILE'!$B$87="",1E+99,'TO HOP NLAN'!D148/ncoc+IF(SUMSQ('TS-PILE'!$E$72:$E$91)=0,0,'TO HOP NLAN'!E148*'TS-PILE'!$E$87/SUMSQ('TS-PILE'!$E$72:$E$91))+IF(SUMSQ('TS-PILE'!$D$72:$D$91)=0,0,'TO HOP NLAN'!F148*'TS-PILE'!$D$87/SUMSQ('TS-PILE'!$D$72:$D$91))),IF('TS-PILE'!$B$88="",1E+99,'TO HOP NLAN'!D148/ncoc+IF(SUMSQ('TS-PILE'!$E$72:$E$91)=0,0,'TO HOP NLAN'!E148*'TS-PILE'!$E$88/SUMSQ('TS-PILE'!$E$72:$E$91))+IF(SUMSQ('TS-PILE'!$D$72:$D$91)=0,0,'TO HOP NLAN'!F148*'TS-PILE'!$D$88/SUMSQ('TS-PILE'!$D$72:$D$91))),IF('TS-PILE'!$B$89="",1E+99,'TO HOP NLAN'!D148/ncoc+IF(SUMSQ('TS-PILE'!$E$72:$E$91)=0,0,'TO HOP NLAN'!E148*'TS-PILE'!$E$89/SUMSQ('TS-PILE'!$E$72:$E$91))+IF(SUMSQ('TS-PILE'!$D$72:$D$91)=0,0,'TO HOP NLAN'!F148*'TS-PILE'!$D$89/SUMSQ('TS-PILE'!$D$72:$D$91))),IF('TS-PILE'!$B$90="",1E+99,'TO HOP NLAN'!D148/ncoc+IF(SUMSQ('TS-PILE'!$E$72:$E$91)=0,0,'TO HOP NLAN'!E148*'TS-PILE'!$E$90/SUMSQ('TS-PILE'!$E$72:$E$91))+IF(SUMSQ('TS-PILE'!$D$72:$D$91)=0,0,'TO HOP NLAN'!F148*'TS-PILE'!$D$90/SUMSQ('TS-PILE'!$D$72:$D$91))),IF('TS-PILE'!$B$91="",1E+99,'TO HOP NLAN'!D148/ncoc+IF(SUMSQ('TS-PILE'!$E$72:$E$91)=0,0,'TO HOP NLAN'!E148*'TS-PILE'!$E$91/SUMSQ('TS-PILE'!$E$72:$E$91))+IF(SUMSQ('TS-PILE'!$D$72:$D$91)=0,0,'TO HOP NLAN'!F148*'TS-PILE'!$D$91/SUMSQ('TS-PILE'!$D$72:$D$91)))))</f>
        <v>0</v>
      </c>
      <c r="E148" s="58">
        <f t="shared" si="8"/>
        <v>-9.9999999999999997E+98</v>
      </c>
      <c r="F148" s="58">
        <f t="shared" si="9"/>
        <v>9.9999999999999997E+98</v>
      </c>
      <c r="G148" s="58">
        <f t="shared" si="10"/>
        <v>-9.9999999999999997E+98</v>
      </c>
      <c r="H148" s="58">
        <f t="shared" si="11"/>
        <v>9.9999999999999997E+98</v>
      </c>
    </row>
    <row r="149" spans="1:8" x14ac:dyDescent="0.3">
      <c r="A149" s="42" t="str">
        <f>'TO HOP NLAN'!A149</f>
        <v/>
      </c>
      <c r="B149" s="42" t="str">
        <f>'TO HOP NLAN'!L149</f>
        <v>STRENGTH</v>
      </c>
      <c r="C149" s="58">
        <f>IF(A149="",0,MAX(IF('TS-PILE'!$B$72="",-1E+99,'TO HOP NLAN'!D149/ncoc+IF(SUMSQ('TS-PILE'!$E$72:$E$91)=0,0,'TO HOP NLAN'!E149*'TS-PILE'!$E$72/SUMSQ('TS-PILE'!$E$72:$E$91))+IF(SUMSQ('TS-PILE'!$D$72:$D$91)=0,0,'TO HOP NLAN'!F149*'TS-PILE'!$D$72/SUMSQ('TS-PILE'!$D$72:$D$91))),IF('TS-PILE'!$B$73="",-1E+99,'TO HOP NLAN'!D149/ncoc+IF(SUMSQ('TS-PILE'!$E$72:$E$91)=0,0,'TO HOP NLAN'!E149*'TS-PILE'!$E$73/SUMSQ('TS-PILE'!$E$72:$E$91))+IF(SUMSQ('TS-PILE'!$D$72:$D$91)=0,0,'TO HOP NLAN'!F149*'TS-PILE'!$D$73/SUMSQ('TS-PILE'!$D$72:$D$91))),IF('TS-PILE'!$B$74="",-1E+99,'TO HOP NLAN'!D149/ncoc+IF(SUMSQ('TS-PILE'!$E$72:$E$91)=0,0,'TO HOP NLAN'!E149*'TS-PILE'!$E$74/SUMSQ('TS-PILE'!$E$72:$E$91))+IF(SUMSQ('TS-PILE'!$D$72:$D$91)=0,0,'TO HOP NLAN'!F149*'TS-PILE'!$D$74/SUMSQ('TS-PILE'!$D$72:$D$91))),IF('TS-PILE'!$B$75="",-1E+99,'TO HOP NLAN'!D149/ncoc+IF(SUMSQ('TS-PILE'!$E$72:$E$91)=0,0,'TO HOP NLAN'!E149*'TS-PILE'!$E$75/SUMSQ('TS-PILE'!$E$72:$E$91))+IF(SUMSQ('TS-PILE'!$D$72:$D$91)=0,0,'TO HOP NLAN'!F149*'TS-PILE'!$D$75/SUMSQ('TS-PILE'!$D$72:$D$91))),IF('TS-PILE'!$B$76="",-1E+99,'TO HOP NLAN'!D149/ncoc+IF(SUMSQ('TS-PILE'!$E$72:$E$91)=0,0,'TO HOP NLAN'!E149*'TS-PILE'!$E$76/SUMSQ('TS-PILE'!$E$72:$E$91))+IF(SUMSQ('TS-PILE'!$D$72:$D$91)=0,0,'TO HOP NLAN'!F149*'TS-PILE'!$D$76/SUMSQ('TS-PILE'!$D$72:$D$91))),IF('TS-PILE'!$B$77="",-1E+99,'TO HOP NLAN'!D149/ncoc+IF(SUMSQ('TS-PILE'!$E$72:$E$91)=0,0,'TO HOP NLAN'!E149*'TS-PILE'!$E$77/SUMSQ('TS-PILE'!$E$72:$E$91))+IF(SUMSQ('TS-PILE'!$D$72:$D$91)=0,0,'TO HOP NLAN'!F149*'TS-PILE'!$D$77/SUMSQ('TS-PILE'!$D$72:$D$91))),IF('TS-PILE'!$B$78="",-1E+99,'TO HOP NLAN'!D149/ncoc+IF(SUMSQ('TS-PILE'!$E$72:$E$91)=0,0,'TO HOP NLAN'!E149*'TS-PILE'!$E$78/SUMSQ('TS-PILE'!$E$72:$E$91))+IF(SUMSQ('TS-PILE'!$D$72:$D$91)=0,0,'TO HOP NLAN'!F149*'TS-PILE'!$D$78/SUMSQ('TS-PILE'!$D$72:$D$91))),IF('TS-PILE'!$B$79="",-1E+99,'TO HOP NLAN'!D149/ncoc+IF(SUMSQ('TS-PILE'!$E$72:$E$91)=0,0,'TO HOP NLAN'!E149*'TS-PILE'!$E$79/SUMSQ('TS-PILE'!$E$72:$E$91))+IF(SUMSQ('TS-PILE'!$D$72:$D$91)=0,0,'TO HOP NLAN'!F149*'TS-PILE'!$D$79/SUMSQ('TS-PILE'!$D$72:$D$91))),IF('TS-PILE'!$B$80="",-1E+99,'TO HOP NLAN'!D149/ncoc+IF(SUMSQ('TS-PILE'!$E$72:$E$91)=0,0,'TO HOP NLAN'!E149*'TS-PILE'!$E$80/SUMSQ('TS-PILE'!$E$72:$E$91))+IF(SUMSQ('TS-PILE'!$D$72:$D$91)=0,0,'TO HOP NLAN'!F149*'TS-PILE'!$D$80/SUMSQ('TS-PILE'!$D$72:$D$91))),IF('TS-PILE'!$B$81="",-1E+99,'TO HOP NLAN'!D149/ncoc+IF(SUMSQ('TS-PILE'!$E$72:$E$91)=0,0,'TO HOP NLAN'!E149*'TS-PILE'!$E$81/SUMSQ('TS-PILE'!$E$72:$E$91))+IF(SUMSQ('TS-PILE'!$D$72:$D$91)=0,0,'TO HOP NLAN'!F149*'TS-PILE'!$D$81/SUMSQ('TS-PILE'!$D$72:$D$91))),IF('TS-PILE'!$B$82="",-1E+99,'TO HOP NLAN'!D149/ncoc+IF(SUMSQ('TS-PILE'!$E$72:$E$91)=0,0,'TO HOP NLAN'!E149*'TS-PILE'!$E$82/SUMSQ('TS-PILE'!$E$72:$E$91))+IF(SUMSQ('TS-PILE'!$D$72:$D$91)=0,0,'TO HOP NLAN'!F149*'TS-PILE'!$D$82/SUMSQ('TS-PILE'!$D$72:$D$91))),IF('TS-PILE'!$B$83="",-1E+99,'TO HOP NLAN'!D149/ncoc+IF(SUMSQ('TS-PILE'!$E$72:$E$91)=0,0,'TO HOP NLAN'!E149*'TS-PILE'!$E$83/SUMSQ('TS-PILE'!$E$72:$E$91))+IF(SUMSQ('TS-PILE'!$D$72:$D$91)=0,0,'TO HOP NLAN'!F149*'TS-PILE'!$D$83/SUMSQ('TS-PILE'!$D$72:$D$91))),IF('TS-PILE'!$B$84="",-1E+99,'TO HOP NLAN'!D149/ncoc+IF(SUMSQ('TS-PILE'!$E$72:$E$91)=0,0,'TO HOP NLAN'!E149*'TS-PILE'!$E$84/SUMSQ('TS-PILE'!$E$72:$E$91))+IF(SUMSQ('TS-PILE'!$D$72:$D$91)=0,0,'TO HOP NLAN'!F149*'TS-PILE'!$D$84/SUMSQ('TS-PILE'!$D$72:$D$91))),IF('TS-PILE'!$B$85="",-1E+99,'TO HOP NLAN'!D149/ncoc+IF(SUMSQ('TS-PILE'!$E$72:$E$91)=0,0,'TO HOP NLAN'!E149*'TS-PILE'!$E$85/SUMSQ('TS-PILE'!$E$72:$E$91))+IF(SUMSQ('TS-PILE'!$D$72:$D$91)=0,0,'TO HOP NLAN'!F149*'TS-PILE'!$D$85/SUMSQ('TS-PILE'!$D$72:$D$91))),IF('TS-PILE'!$B$86="",-1E+99,'TO HOP NLAN'!D149/ncoc+IF(SUMSQ('TS-PILE'!$E$72:$E$91)=0,0,'TO HOP NLAN'!E149*'TS-PILE'!$E$86/SUMSQ('TS-PILE'!$E$72:$E$91))+IF(SUMSQ('TS-PILE'!$D$72:$D$91)=0,0,'TO HOP NLAN'!F149*'TS-PILE'!$D$86/SUMSQ('TS-PILE'!$D$72:$D$91))),IF('TS-PILE'!$B$87="",-1E+99,'TO HOP NLAN'!D149/ncoc+IF(SUMSQ('TS-PILE'!$E$72:$E$91)=0,0,'TO HOP NLAN'!E149*'TS-PILE'!$E$87/SUMSQ('TS-PILE'!$E$72:$E$91))+IF(SUMSQ('TS-PILE'!$D$72:$D$91)=0,0,'TO HOP NLAN'!F149*'TS-PILE'!$D$87/SUMSQ('TS-PILE'!$D$72:$D$91))),IF('TS-PILE'!$B$88="",-1E+99,'TO HOP NLAN'!D149/ncoc+IF(SUMSQ('TS-PILE'!$E$72:$E$91)=0,0,'TO HOP NLAN'!E149*'TS-PILE'!$E$88/SUMSQ('TS-PILE'!$E$72:$E$91))+IF(SUMSQ('TS-PILE'!$D$72:$D$91)=0,0,'TO HOP NLAN'!F149*'TS-PILE'!$D$88/SUMSQ('TS-PILE'!$D$72:$D$91))),IF('TS-PILE'!$B$89="",-1E+99,'TO HOP NLAN'!D149/ncoc+IF(SUMSQ('TS-PILE'!$E$72:$E$91)=0,0,'TO HOP NLAN'!E149*'TS-PILE'!$E$89/SUMSQ('TS-PILE'!$E$72:$E$91))+IF(SUMSQ('TS-PILE'!$D$72:$D$91)=0,0,'TO HOP NLAN'!F149*'TS-PILE'!$D$89/SUMSQ('TS-PILE'!$D$72:$D$91))),IF('TS-PILE'!$B$90="",-1E+99,'TO HOP NLAN'!D149/ncoc+IF(SUMSQ('TS-PILE'!$E$72:$E$91)=0,0,'TO HOP NLAN'!E149*'TS-PILE'!$E$90/SUMSQ('TS-PILE'!$E$72:$E$91))+IF(SUMSQ('TS-PILE'!$D$72:$D$91)=0,0,'TO HOP NLAN'!F149*'TS-PILE'!$D$90/SUMSQ('TS-PILE'!$D$72:$D$91))),IF('TS-PILE'!$B$91="",-1E+99,'TO HOP NLAN'!D149/ncoc+IF(SUMSQ('TS-PILE'!$E$72:$E$91)=0,0,'TO HOP NLAN'!E149*'TS-PILE'!$E$91/SUMSQ('TS-PILE'!$E$72:$E$91))+IF(SUMSQ('TS-PILE'!$D$72:$D$91)=0,0,'TO HOP NLAN'!F149*'TS-PILE'!$D$91/SUMSQ('TS-PILE'!$D$72:$D$91)))))</f>
        <v>0</v>
      </c>
      <c r="D149" s="58">
        <f>IF(A149="",0,MIN(IF('TS-PILE'!$B$72="",1E+99,'TO HOP NLAN'!D149/ncoc+IF(SUMSQ('TS-PILE'!$E$72:$E$91)=0,0,'TO HOP NLAN'!E149*'TS-PILE'!$E$72/SUMSQ('TS-PILE'!$E$72:$E$91))+IF(SUMSQ('TS-PILE'!$D$72:$D$91)=0,0,'TO HOP NLAN'!F149*'TS-PILE'!$D$72/SUMSQ('TS-PILE'!$D$72:$D$91))),IF('TS-PILE'!$B$73="",1E+99,'TO HOP NLAN'!D149/ncoc+IF(SUMSQ('TS-PILE'!$E$72:$E$91)=0,0,'TO HOP NLAN'!E149*'TS-PILE'!$E$73/SUMSQ('TS-PILE'!$E$72:$E$91))+IF(SUMSQ('TS-PILE'!$D$72:$D$91)=0,0,'TO HOP NLAN'!F149*'TS-PILE'!$D$73/SUMSQ('TS-PILE'!$D$72:$D$91))),IF('TS-PILE'!$B$74="",1E+99,'TO HOP NLAN'!D149/ncoc+IF(SUMSQ('TS-PILE'!$E$72:$E$91)=0,0,'TO HOP NLAN'!E149*'TS-PILE'!$E$74/SUMSQ('TS-PILE'!$E$72:$E$91))+IF(SUMSQ('TS-PILE'!$D$72:$D$91)=0,0,'TO HOP NLAN'!F149*'TS-PILE'!$D$74/SUMSQ('TS-PILE'!$D$72:$D$91))),IF('TS-PILE'!$B$75="",1E+99,'TO HOP NLAN'!D149/ncoc+IF(SUMSQ('TS-PILE'!$E$72:$E$91)=0,0,'TO HOP NLAN'!E149*'TS-PILE'!$E$75/SUMSQ('TS-PILE'!$E$72:$E$91))+IF(SUMSQ('TS-PILE'!$D$72:$D$91)=0,0,'TO HOP NLAN'!F149*'TS-PILE'!$D$75/SUMSQ('TS-PILE'!$D$72:$D$91))),IF('TS-PILE'!$B$76="",1E+99,'TO HOP NLAN'!D149/ncoc+IF(SUMSQ('TS-PILE'!$E$72:$E$91)=0,0,'TO HOP NLAN'!E149*'TS-PILE'!$E$76/SUMSQ('TS-PILE'!$E$72:$E$91))+IF(SUMSQ('TS-PILE'!$D$72:$D$91)=0,0,'TO HOP NLAN'!F149*'TS-PILE'!$D$76/SUMSQ('TS-PILE'!$D$72:$D$91))),IF('TS-PILE'!$B$77="",1E+99,'TO HOP NLAN'!D149/ncoc+IF(SUMSQ('TS-PILE'!$E$72:$E$91)=0,0,'TO HOP NLAN'!E149*'TS-PILE'!$E$77/SUMSQ('TS-PILE'!$E$72:$E$91))+IF(SUMSQ('TS-PILE'!$D$72:$D$91)=0,0,'TO HOP NLAN'!F149*'TS-PILE'!$D$77/SUMSQ('TS-PILE'!$D$72:$D$91))),IF('TS-PILE'!$B$78="",1E+99,'TO HOP NLAN'!D149/ncoc+IF(SUMSQ('TS-PILE'!$E$72:$E$91)=0,0,'TO HOP NLAN'!E149*'TS-PILE'!$E$78/SUMSQ('TS-PILE'!$E$72:$E$91))+IF(SUMSQ('TS-PILE'!$D$72:$D$91)=0,0,'TO HOP NLAN'!F149*'TS-PILE'!$D$78/SUMSQ('TS-PILE'!$D$72:$D$91))),IF('TS-PILE'!$B$79="",1E+99,'TO HOP NLAN'!D149/ncoc+IF(SUMSQ('TS-PILE'!$E$72:$E$91)=0,0,'TO HOP NLAN'!E149*'TS-PILE'!$E$79/SUMSQ('TS-PILE'!$E$72:$E$91))+IF(SUMSQ('TS-PILE'!$D$72:$D$91)=0,0,'TO HOP NLAN'!F149*'TS-PILE'!$D$79/SUMSQ('TS-PILE'!$D$72:$D$91))),IF('TS-PILE'!$B$80="",1E+99,'TO HOP NLAN'!D149/ncoc+IF(SUMSQ('TS-PILE'!$E$72:$E$91)=0,0,'TO HOP NLAN'!E149*'TS-PILE'!$E$80/SUMSQ('TS-PILE'!$E$72:$E$91))+IF(SUMSQ('TS-PILE'!$D$72:$D$91)=0,0,'TO HOP NLAN'!F149*'TS-PILE'!$D$80/SUMSQ('TS-PILE'!$D$72:$D$91))),IF('TS-PILE'!$B$81="",1E+99,'TO HOP NLAN'!D149/ncoc+IF(SUMSQ('TS-PILE'!$E$72:$E$91)=0,0,'TO HOP NLAN'!E149*'TS-PILE'!$E$81/SUMSQ('TS-PILE'!$E$72:$E$91))+IF(SUMSQ('TS-PILE'!$D$72:$D$91)=0,0,'TO HOP NLAN'!F149*'TS-PILE'!$D$81/SUMSQ('TS-PILE'!$D$72:$D$91))),IF('TS-PILE'!$B$82="",1E+99,'TO HOP NLAN'!D149/ncoc+IF(SUMSQ('TS-PILE'!$E$72:$E$91)=0,0,'TO HOP NLAN'!E149*'TS-PILE'!$E$82/SUMSQ('TS-PILE'!$E$72:$E$91))+IF(SUMSQ('TS-PILE'!$D$72:$D$91)=0,0,'TO HOP NLAN'!F149*'TS-PILE'!$D$82/SUMSQ('TS-PILE'!$D$72:$D$91))),IF('TS-PILE'!$B$83="",1E+99,'TO HOP NLAN'!D149/ncoc+IF(SUMSQ('TS-PILE'!$E$72:$E$91)=0,0,'TO HOP NLAN'!E149*'TS-PILE'!$E$83/SUMSQ('TS-PILE'!$E$72:$E$91))+IF(SUMSQ('TS-PILE'!$D$72:$D$91)=0,0,'TO HOP NLAN'!F149*'TS-PILE'!$D$83/SUMSQ('TS-PILE'!$D$72:$D$91))),IF('TS-PILE'!$B$84="",1E+99,'TO HOP NLAN'!D149/ncoc+IF(SUMSQ('TS-PILE'!$E$72:$E$91)=0,0,'TO HOP NLAN'!E149*'TS-PILE'!$E$84/SUMSQ('TS-PILE'!$E$72:$E$91))+IF(SUMSQ('TS-PILE'!$D$72:$D$91)=0,0,'TO HOP NLAN'!F149*'TS-PILE'!$D$84/SUMSQ('TS-PILE'!$D$72:$D$91))),IF('TS-PILE'!$B$85="",1E+99,'TO HOP NLAN'!D149/ncoc+IF(SUMSQ('TS-PILE'!$E$72:$E$91)=0,0,'TO HOP NLAN'!E149*'TS-PILE'!$E$85/SUMSQ('TS-PILE'!$E$72:$E$91))+IF(SUMSQ('TS-PILE'!$D$72:$D$91)=0,0,'TO HOP NLAN'!F149*'TS-PILE'!$D$85/SUMSQ('TS-PILE'!$D$72:$D$91))),IF('TS-PILE'!$B$86="",1E+99,'TO HOP NLAN'!D149/ncoc+IF(SUMSQ('TS-PILE'!$E$72:$E$91)=0,0,'TO HOP NLAN'!E149*'TS-PILE'!$E$86/SUMSQ('TS-PILE'!$E$72:$E$91))+IF(SUMSQ('TS-PILE'!$D$72:$D$91)=0,0,'TO HOP NLAN'!F149*'TS-PILE'!$D$86/SUMSQ('TS-PILE'!$D$72:$D$91))),IF('TS-PILE'!$B$87="",1E+99,'TO HOP NLAN'!D149/ncoc+IF(SUMSQ('TS-PILE'!$E$72:$E$91)=0,0,'TO HOP NLAN'!E149*'TS-PILE'!$E$87/SUMSQ('TS-PILE'!$E$72:$E$91))+IF(SUMSQ('TS-PILE'!$D$72:$D$91)=0,0,'TO HOP NLAN'!F149*'TS-PILE'!$D$87/SUMSQ('TS-PILE'!$D$72:$D$91))),IF('TS-PILE'!$B$88="",1E+99,'TO HOP NLAN'!D149/ncoc+IF(SUMSQ('TS-PILE'!$E$72:$E$91)=0,0,'TO HOP NLAN'!E149*'TS-PILE'!$E$88/SUMSQ('TS-PILE'!$E$72:$E$91))+IF(SUMSQ('TS-PILE'!$D$72:$D$91)=0,0,'TO HOP NLAN'!F149*'TS-PILE'!$D$88/SUMSQ('TS-PILE'!$D$72:$D$91))),IF('TS-PILE'!$B$89="",1E+99,'TO HOP NLAN'!D149/ncoc+IF(SUMSQ('TS-PILE'!$E$72:$E$91)=0,0,'TO HOP NLAN'!E149*'TS-PILE'!$E$89/SUMSQ('TS-PILE'!$E$72:$E$91))+IF(SUMSQ('TS-PILE'!$D$72:$D$91)=0,0,'TO HOP NLAN'!F149*'TS-PILE'!$D$89/SUMSQ('TS-PILE'!$D$72:$D$91))),IF('TS-PILE'!$B$90="",1E+99,'TO HOP NLAN'!D149/ncoc+IF(SUMSQ('TS-PILE'!$E$72:$E$91)=0,0,'TO HOP NLAN'!E149*'TS-PILE'!$E$90/SUMSQ('TS-PILE'!$E$72:$E$91))+IF(SUMSQ('TS-PILE'!$D$72:$D$91)=0,0,'TO HOP NLAN'!F149*'TS-PILE'!$D$90/SUMSQ('TS-PILE'!$D$72:$D$91))),IF('TS-PILE'!$B$91="",1E+99,'TO HOP NLAN'!D149/ncoc+IF(SUMSQ('TS-PILE'!$E$72:$E$91)=0,0,'TO HOP NLAN'!E149*'TS-PILE'!$E$91/SUMSQ('TS-PILE'!$E$72:$E$91))+IF(SUMSQ('TS-PILE'!$D$72:$D$91)=0,0,'TO HOP NLAN'!F149*'TS-PILE'!$D$91/SUMSQ('TS-PILE'!$D$72:$D$91)))))</f>
        <v>0</v>
      </c>
      <c r="E149" s="58">
        <f t="shared" si="8"/>
        <v>-9.9999999999999997E+98</v>
      </c>
      <c r="F149" s="58">
        <f t="shared" si="9"/>
        <v>9.9999999999999997E+98</v>
      </c>
      <c r="G149" s="58">
        <f t="shared" si="10"/>
        <v>-9.9999999999999997E+98</v>
      </c>
      <c r="H149" s="58">
        <f t="shared" si="11"/>
        <v>9.9999999999999997E+98</v>
      </c>
    </row>
    <row r="150" spans="1:8" x14ac:dyDescent="0.3">
      <c r="A150" s="42" t="str">
        <f>'TO HOP NLAN'!A150</f>
        <v/>
      </c>
      <c r="B150" s="42" t="str">
        <f>'TO HOP NLAN'!L150</f>
        <v>STRENGTH</v>
      </c>
      <c r="C150" s="58">
        <f>IF(A150="",0,MAX(IF('TS-PILE'!$B$72="",-1E+99,'TO HOP NLAN'!D150/ncoc+IF(SUMSQ('TS-PILE'!$E$72:$E$91)=0,0,'TO HOP NLAN'!E150*'TS-PILE'!$E$72/SUMSQ('TS-PILE'!$E$72:$E$91))+IF(SUMSQ('TS-PILE'!$D$72:$D$91)=0,0,'TO HOP NLAN'!F150*'TS-PILE'!$D$72/SUMSQ('TS-PILE'!$D$72:$D$91))),IF('TS-PILE'!$B$73="",-1E+99,'TO HOP NLAN'!D150/ncoc+IF(SUMSQ('TS-PILE'!$E$72:$E$91)=0,0,'TO HOP NLAN'!E150*'TS-PILE'!$E$73/SUMSQ('TS-PILE'!$E$72:$E$91))+IF(SUMSQ('TS-PILE'!$D$72:$D$91)=0,0,'TO HOP NLAN'!F150*'TS-PILE'!$D$73/SUMSQ('TS-PILE'!$D$72:$D$91))),IF('TS-PILE'!$B$74="",-1E+99,'TO HOP NLAN'!D150/ncoc+IF(SUMSQ('TS-PILE'!$E$72:$E$91)=0,0,'TO HOP NLAN'!E150*'TS-PILE'!$E$74/SUMSQ('TS-PILE'!$E$72:$E$91))+IF(SUMSQ('TS-PILE'!$D$72:$D$91)=0,0,'TO HOP NLAN'!F150*'TS-PILE'!$D$74/SUMSQ('TS-PILE'!$D$72:$D$91))),IF('TS-PILE'!$B$75="",-1E+99,'TO HOP NLAN'!D150/ncoc+IF(SUMSQ('TS-PILE'!$E$72:$E$91)=0,0,'TO HOP NLAN'!E150*'TS-PILE'!$E$75/SUMSQ('TS-PILE'!$E$72:$E$91))+IF(SUMSQ('TS-PILE'!$D$72:$D$91)=0,0,'TO HOP NLAN'!F150*'TS-PILE'!$D$75/SUMSQ('TS-PILE'!$D$72:$D$91))),IF('TS-PILE'!$B$76="",-1E+99,'TO HOP NLAN'!D150/ncoc+IF(SUMSQ('TS-PILE'!$E$72:$E$91)=0,0,'TO HOP NLAN'!E150*'TS-PILE'!$E$76/SUMSQ('TS-PILE'!$E$72:$E$91))+IF(SUMSQ('TS-PILE'!$D$72:$D$91)=0,0,'TO HOP NLAN'!F150*'TS-PILE'!$D$76/SUMSQ('TS-PILE'!$D$72:$D$91))),IF('TS-PILE'!$B$77="",-1E+99,'TO HOP NLAN'!D150/ncoc+IF(SUMSQ('TS-PILE'!$E$72:$E$91)=0,0,'TO HOP NLAN'!E150*'TS-PILE'!$E$77/SUMSQ('TS-PILE'!$E$72:$E$91))+IF(SUMSQ('TS-PILE'!$D$72:$D$91)=0,0,'TO HOP NLAN'!F150*'TS-PILE'!$D$77/SUMSQ('TS-PILE'!$D$72:$D$91))),IF('TS-PILE'!$B$78="",-1E+99,'TO HOP NLAN'!D150/ncoc+IF(SUMSQ('TS-PILE'!$E$72:$E$91)=0,0,'TO HOP NLAN'!E150*'TS-PILE'!$E$78/SUMSQ('TS-PILE'!$E$72:$E$91))+IF(SUMSQ('TS-PILE'!$D$72:$D$91)=0,0,'TO HOP NLAN'!F150*'TS-PILE'!$D$78/SUMSQ('TS-PILE'!$D$72:$D$91))),IF('TS-PILE'!$B$79="",-1E+99,'TO HOP NLAN'!D150/ncoc+IF(SUMSQ('TS-PILE'!$E$72:$E$91)=0,0,'TO HOP NLAN'!E150*'TS-PILE'!$E$79/SUMSQ('TS-PILE'!$E$72:$E$91))+IF(SUMSQ('TS-PILE'!$D$72:$D$91)=0,0,'TO HOP NLAN'!F150*'TS-PILE'!$D$79/SUMSQ('TS-PILE'!$D$72:$D$91))),IF('TS-PILE'!$B$80="",-1E+99,'TO HOP NLAN'!D150/ncoc+IF(SUMSQ('TS-PILE'!$E$72:$E$91)=0,0,'TO HOP NLAN'!E150*'TS-PILE'!$E$80/SUMSQ('TS-PILE'!$E$72:$E$91))+IF(SUMSQ('TS-PILE'!$D$72:$D$91)=0,0,'TO HOP NLAN'!F150*'TS-PILE'!$D$80/SUMSQ('TS-PILE'!$D$72:$D$91))),IF('TS-PILE'!$B$81="",-1E+99,'TO HOP NLAN'!D150/ncoc+IF(SUMSQ('TS-PILE'!$E$72:$E$91)=0,0,'TO HOP NLAN'!E150*'TS-PILE'!$E$81/SUMSQ('TS-PILE'!$E$72:$E$91))+IF(SUMSQ('TS-PILE'!$D$72:$D$91)=0,0,'TO HOP NLAN'!F150*'TS-PILE'!$D$81/SUMSQ('TS-PILE'!$D$72:$D$91))),IF('TS-PILE'!$B$82="",-1E+99,'TO HOP NLAN'!D150/ncoc+IF(SUMSQ('TS-PILE'!$E$72:$E$91)=0,0,'TO HOP NLAN'!E150*'TS-PILE'!$E$82/SUMSQ('TS-PILE'!$E$72:$E$91))+IF(SUMSQ('TS-PILE'!$D$72:$D$91)=0,0,'TO HOP NLAN'!F150*'TS-PILE'!$D$82/SUMSQ('TS-PILE'!$D$72:$D$91))),IF('TS-PILE'!$B$83="",-1E+99,'TO HOP NLAN'!D150/ncoc+IF(SUMSQ('TS-PILE'!$E$72:$E$91)=0,0,'TO HOP NLAN'!E150*'TS-PILE'!$E$83/SUMSQ('TS-PILE'!$E$72:$E$91))+IF(SUMSQ('TS-PILE'!$D$72:$D$91)=0,0,'TO HOP NLAN'!F150*'TS-PILE'!$D$83/SUMSQ('TS-PILE'!$D$72:$D$91))),IF('TS-PILE'!$B$84="",-1E+99,'TO HOP NLAN'!D150/ncoc+IF(SUMSQ('TS-PILE'!$E$72:$E$91)=0,0,'TO HOP NLAN'!E150*'TS-PILE'!$E$84/SUMSQ('TS-PILE'!$E$72:$E$91))+IF(SUMSQ('TS-PILE'!$D$72:$D$91)=0,0,'TO HOP NLAN'!F150*'TS-PILE'!$D$84/SUMSQ('TS-PILE'!$D$72:$D$91))),IF('TS-PILE'!$B$85="",-1E+99,'TO HOP NLAN'!D150/ncoc+IF(SUMSQ('TS-PILE'!$E$72:$E$91)=0,0,'TO HOP NLAN'!E150*'TS-PILE'!$E$85/SUMSQ('TS-PILE'!$E$72:$E$91))+IF(SUMSQ('TS-PILE'!$D$72:$D$91)=0,0,'TO HOP NLAN'!F150*'TS-PILE'!$D$85/SUMSQ('TS-PILE'!$D$72:$D$91))),IF('TS-PILE'!$B$86="",-1E+99,'TO HOP NLAN'!D150/ncoc+IF(SUMSQ('TS-PILE'!$E$72:$E$91)=0,0,'TO HOP NLAN'!E150*'TS-PILE'!$E$86/SUMSQ('TS-PILE'!$E$72:$E$91))+IF(SUMSQ('TS-PILE'!$D$72:$D$91)=0,0,'TO HOP NLAN'!F150*'TS-PILE'!$D$86/SUMSQ('TS-PILE'!$D$72:$D$91))),IF('TS-PILE'!$B$87="",-1E+99,'TO HOP NLAN'!D150/ncoc+IF(SUMSQ('TS-PILE'!$E$72:$E$91)=0,0,'TO HOP NLAN'!E150*'TS-PILE'!$E$87/SUMSQ('TS-PILE'!$E$72:$E$91))+IF(SUMSQ('TS-PILE'!$D$72:$D$91)=0,0,'TO HOP NLAN'!F150*'TS-PILE'!$D$87/SUMSQ('TS-PILE'!$D$72:$D$91))),IF('TS-PILE'!$B$88="",-1E+99,'TO HOP NLAN'!D150/ncoc+IF(SUMSQ('TS-PILE'!$E$72:$E$91)=0,0,'TO HOP NLAN'!E150*'TS-PILE'!$E$88/SUMSQ('TS-PILE'!$E$72:$E$91))+IF(SUMSQ('TS-PILE'!$D$72:$D$91)=0,0,'TO HOP NLAN'!F150*'TS-PILE'!$D$88/SUMSQ('TS-PILE'!$D$72:$D$91))),IF('TS-PILE'!$B$89="",-1E+99,'TO HOP NLAN'!D150/ncoc+IF(SUMSQ('TS-PILE'!$E$72:$E$91)=0,0,'TO HOP NLAN'!E150*'TS-PILE'!$E$89/SUMSQ('TS-PILE'!$E$72:$E$91))+IF(SUMSQ('TS-PILE'!$D$72:$D$91)=0,0,'TO HOP NLAN'!F150*'TS-PILE'!$D$89/SUMSQ('TS-PILE'!$D$72:$D$91))),IF('TS-PILE'!$B$90="",-1E+99,'TO HOP NLAN'!D150/ncoc+IF(SUMSQ('TS-PILE'!$E$72:$E$91)=0,0,'TO HOP NLAN'!E150*'TS-PILE'!$E$90/SUMSQ('TS-PILE'!$E$72:$E$91))+IF(SUMSQ('TS-PILE'!$D$72:$D$91)=0,0,'TO HOP NLAN'!F150*'TS-PILE'!$D$90/SUMSQ('TS-PILE'!$D$72:$D$91))),IF('TS-PILE'!$B$91="",-1E+99,'TO HOP NLAN'!D150/ncoc+IF(SUMSQ('TS-PILE'!$E$72:$E$91)=0,0,'TO HOP NLAN'!E150*'TS-PILE'!$E$91/SUMSQ('TS-PILE'!$E$72:$E$91))+IF(SUMSQ('TS-PILE'!$D$72:$D$91)=0,0,'TO HOP NLAN'!F150*'TS-PILE'!$D$91/SUMSQ('TS-PILE'!$D$72:$D$91)))))</f>
        <v>0</v>
      </c>
      <c r="D150" s="58">
        <f>IF(A150="",0,MIN(IF('TS-PILE'!$B$72="",1E+99,'TO HOP NLAN'!D150/ncoc+IF(SUMSQ('TS-PILE'!$E$72:$E$91)=0,0,'TO HOP NLAN'!E150*'TS-PILE'!$E$72/SUMSQ('TS-PILE'!$E$72:$E$91))+IF(SUMSQ('TS-PILE'!$D$72:$D$91)=0,0,'TO HOP NLAN'!F150*'TS-PILE'!$D$72/SUMSQ('TS-PILE'!$D$72:$D$91))),IF('TS-PILE'!$B$73="",1E+99,'TO HOP NLAN'!D150/ncoc+IF(SUMSQ('TS-PILE'!$E$72:$E$91)=0,0,'TO HOP NLAN'!E150*'TS-PILE'!$E$73/SUMSQ('TS-PILE'!$E$72:$E$91))+IF(SUMSQ('TS-PILE'!$D$72:$D$91)=0,0,'TO HOP NLAN'!F150*'TS-PILE'!$D$73/SUMSQ('TS-PILE'!$D$72:$D$91))),IF('TS-PILE'!$B$74="",1E+99,'TO HOP NLAN'!D150/ncoc+IF(SUMSQ('TS-PILE'!$E$72:$E$91)=0,0,'TO HOP NLAN'!E150*'TS-PILE'!$E$74/SUMSQ('TS-PILE'!$E$72:$E$91))+IF(SUMSQ('TS-PILE'!$D$72:$D$91)=0,0,'TO HOP NLAN'!F150*'TS-PILE'!$D$74/SUMSQ('TS-PILE'!$D$72:$D$91))),IF('TS-PILE'!$B$75="",1E+99,'TO HOP NLAN'!D150/ncoc+IF(SUMSQ('TS-PILE'!$E$72:$E$91)=0,0,'TO HOP NLAN'!E150*'TS-PILE'!$E$75/SUMSQ('TS-PILE'!$E$72:$E$91))+IF(SUMSQ('TS-PILE'!$D$72:$D$91)=0,0,'TO HOP NLAN'!F150*'TS-PILE'!$D$75/SUMSQ('TS-PILE'!$D$72:$D$91))),IF('TS-PILE'!$B$76="",1E+99,'TO HOP NLAN'!D150/ncoc+IF(SUMSQ('TS-PILE'!$E$72:$E$91)=0,0,'TO HOP NLAN'!E150*'TS-PILE'!$E$76/SUMSQ('TS-PILE'!$E$72:$E$91))+IF(SUMSQ('TS-PILE'!$D$72:$D$91)=0,0,'TO HOP NLAN'!F150*'TS-PILE'!$D$76/SUMSQ('TS-PILE'!$D$72:$D$91))),IF('TS-PILE'!$B$77="",1E+99,'TO HOP NLAN'!D150/ncoc+IF(SUMSQ('TS-PILE'!$E$72:$E$91)=0,0,'TO HOP NLAN'!E150*'TS-PILE'!$E$77/SUMSQ('TS-PILE'!$E$72:$E$91))+IF(SUMSQ('TS-PILE'!$D$72:$D$91)=0,0,'TO HOP NLAN'!F150*'TS-PILE'!$D$77/SUMSQ('TS-PILE'!$D$72:$D$91))),IF('TS-PILE'!$B$78="",1E+99,'TO HOP NLAN'!D150/ncoc+IF(SUMSQ('TS-PILE'!$E$72:$E$91)=0,0,'TO HOP NLAN'!E150*'TS-PILE'!$E$78/SUMSQ('TS-PILE'!$E$72:$E$91))+IF(SUMSQ('TS-PILE'!$D$72:$D$91)=0,0,'TO HOP NLAN'!F150*'TS-PILE'!$D$78/SUMSQ('TS-PILE'!$D$72:$D$91))),IF('TS-PILE'!$B$79="",1E+99,'TO HOP NLAN'!D150/ncoc+IF(SUMSQ('TS-PILE'!$E$72:$E$91)=0,0,'TO HOP NLAN'!E150*'TS-PILE'!$E$79/SUMSQ('TS-PILE'!$E$72:$E$91))+IF(SUMSQ('TS-PILE'!$D$72:$D$91)=0,0,'TO HOP NLAN'!F150*'TS-PILE'!$D$79/SUMSQ('TS-PILE'!$D$72:$D$91))),IF('TS-PILE'!$B$80="",1E+99,'TO HOP NLAN'!D150/ncoc+IF(SUMSQ('TS-PILE'!$E$72:$E$91)=0,0,'TO HOP NLAN'!E150*'TS-PILE'!$E$80/SUMSQ('TS-PILE'!$E$72:$E$91))+IF(SUMSQ('TS-PILE'!$D$72:$D$91)=0,0,'TO HOP NLAN'!F150*'TS-PILE'!$D$80/SUMSQ('TS-PILE'!$D$72:$D$91))),IF('TS-PILE'!$B$81="",1E+99,'TO HOP NLAN'!D150/ncoc+IF(SUMSQ('TS-PILE'!$E$72:$E$91)=0,0,'TO HOP NLAN'!E150*'TS-PILE'!$E$81/SUMSQ('TS-PILE'!$E$72:$E$91))+IF(SUMSQ('TS-PILE'!$D$72:$D$91)=0,0,'TO HOP NLAN'!F150*'TS-PILE'!$D$81/SUMSQ('TS-PILE'!$D$72:$D$91))),IF('TS-PILE'!$B$82="",1E+99,'TO HOP NLAN'!D150/ncoc+IF(SUMSQ('TS-PILE'!$E$72:$E$91)=0,0,'TO HOP NLAN'!E150*'TS-PILE'!$E$82/SUMSQ('TS-PILE'!$E$72:$E$91))+IF(SUMSQ('TS-PILE'!$D$72:$D$91)=0,0,'TO HOP NLAN'!F150*'TS-PILE'!$D$82/SUMSQ('TS-PILE'!$D$72:$D$91))),IF('TS-PILE'!$B$83="",1E+99,'TO HOP NLAN'!D150/ncoc+IF(SUMSQ('TS-PILE'!$E$72:$E$91)=0,0,'TO HOP NLAN'!E150*'TS-PILE'!$E$83/SUMSQ('TS-PILE'!$E$72:$E$91))+IF(SUMSQ('TS-PILE'!$D$72:$D$91)=0,0,'TO HOP NLAN'!F150*'TS-PILE'!$D$83/SUMSQ('TS-PILE'!$D$72:$D$91))),IF('TS-PILE'!$B$84="",1E+99,'TO HOP NLAN'!D150/ncoc+IF(SUMSQ('TS-PILE'!$E$72:$E$91)=0,0,'TO HOP NLAN'!E150*'TS-PILE'!$E$84/SUMSQ('TS-PILE'!$E$72:$E$91))+IF(SUMSQ('TS-PILE'!$D$72:$D$91)=0,0,'TO HOP NLAN'!F150*'TS-PILE'!$D$84/SUMSQ('TS-PILE'!$D$72:$D$91))),IF('TS-PILE'!$B$85="",1E+99,'TO HOP NLAN'!D150/ncoc+IF(SUMSQ('TS-PILE'!$E$72:$E$91)=0,0,'TO HOP NLAN'!E150*'TS-PILE'!$E$85/SUMSQ('TS-PILE'!$E$72:$E$91))+IF(SUMSQ('TS-PILE'!$D$72:$D$91)=0,0,'TO HOP NLAN'!F150*'TS-PILE'!$D$85/SUMSQ('TS-PILE'!$D$72:$D$91))),IF('TS-PILE'!$B$86="",1E+99,'TO HOP NLAN'!D150/ncoc+IF(SUMSQ('TS-PILE'!$E$72:$E$91)=0,0,'TO HOP NLAN'!E150*'TS-PILE'!$E$86/SUMSQ('TS-PILE'!$E$72:$E$91))+IF(SUMSQ('TS-PILE'!$D$72:$D$91)=0,0,'TO HOP NLAN'!F150*'TS-PILE'!$D$86/SUMSQ('TS-PILE'!$D$72:$D$91))),IF('TS-PILE'!$B$87="",1E+99,'TO HOP NLAN'!D150/ncoc+IF(SUMSQ('TS-PILE'!$E$72:$E$91)=0,0,'TO HOP NLAN'!E150*'TS-PILE'!$E$87/SUMSQ('TS-PILE'!$E$72:$E$91))+IF(SUMSQ('TS-PILE'!$D$72:$D$91)=0,0,'TO HOP NLAN'!F150*'TS-PILE'!$D$87/SUMSQ('TS-PILE'!$D$72:$D$91))),IF('TS-PILE'!$B$88="",1E+99,'TO HOP NLAN'!D150/ncoc+IF(SUMSQ('TS-PILE'!$E$72:$E$91)=0,0,'TO HOP NLAN'!E150*'TS-PILE'!$E$88/SUMSQ('TS-PILE'!$E$72:$E$91))+IF(SUMSQ('TS-PILE'!$D$72:$D$91)=0,0,'TO HOP NLAN'!F150*'TS-PILE'!$D$88/SUMSQ('TS-PILE'!$D$72:$D$91))),IF('TS-PILE'!$B$89="",1E+99,'TO HOP NLAN'!D150/ncoc+IF(SUMSQ('TS-PILE'!$E$72:$E$91)=0,0,'TO HOP NLAN'!E150*'TS-PILE'!$E$89/SUMSQ('TS-PILE'!$E$72:$E$91))+IF(SUMSQ('TS-PILE'!$D$72:$D$91)=0,0,'TO HOP NLAN'!F150*'TS-PILE'!$D$89/SUMSQ('TS-PILE'!$D$72:$D$91))),IF('TS-PILE'!$B$90="",1E+99,'TO HOP NLAN'!D150/ncoc+IF(SUMSQ('TS-PILE'!$E$72:$E$91)=0,0,'TO HOP NLAN'!E150*'TS-PILE'!$E$90/SUMSQ('TS-PILE'!$E$72:$E$91))+IF(SUMSQ('TS-PILE'!$D$72:$D$91)=0,0,'TO HOP NLAN'!F150*'TS-PILE'!$D$90/SUMSQ('TS-PILE'!$D$72:$D$91))),IF('TS-PILE'!$B$91="",1E+99,'TO HOP NLAN'!D150/ncoc+IF(SUMSQ('TS-PILE'!$E$72:$E$91)=0,0,'TO HOP NLAN'!E150*'TS-PILE'!$E$91/SUMSQ('TS-PILE'!$E$72:$E$91))+IF(SUMSQ('TS-PILE'!$D$72:$D$91)=0,0,'TO HOP NLAN'!F150*'TS-PILE'!$D$91/SUMSQ('TS-PILE'!$D$72:$D$91)))))</f>
        <v>0</v>
      </c>
      <c r="E150" s="58">
        <f t="shared" si="8"/>
        <v>-9.9999999999999997E+98</v>
      </c>
      <c r="F150" s="58">
        <f t="shared" si="9"/>
        <v>9.9999999999999997E+98</v>
      </c>
      <c r="G150" s="58">
        <f t="shared" si="10"/>
        <v>-9.9999999999999997E+98</v>
      </c>
      <c r="H150" s="58">
        <f t="shared" si="11"/>
        <v>9.9999999999999997E+98</v>
      </c>
    </row>
    <row r="151" spans="1:8" x14ac:dyDescent="0.3">
      <c r="A151" s="42" t="str">
        <f>'TO HOP NLAN'!A151</f>
        <v/>
      </c>
      <c r="B151" s="42" t="str">
        <f>'TO HOP NLAN'!L151</f>
        <v>STRENGTH</v>
      </c>
      <c r="C151" s="58">
        <f>IF(A151="",0,MAX(IF('TS-PILE'!$B$72="",-1E+99,'TO HOP NLAN'!D151/ncoc+IF(SUMSQ('TS-PILE'!$E$72:$E$91)=0,0,'TO HOP NLAN'!E151*'TS-PILE'!$E$72/SUMSQ('TS-PILE'!$E$72:$E$91))+IF(SUMSQ('TS-PILE'!$D$72:$D$91)=0,0,'TO HOP NLAN'!F151*'TS-PILE'!$D$72/SUMSQ('TS-PILE'!$D$72:$D$91))),IF('TS-PILE'!$B$73="",-1E+99,'TO HOP NLAN'!D151/ncoc+IF(SUMSQ('TS-PILE'!$E$72:$E$91)=0,0,'TO HOP NLAN'!E151*'TS-PILE'!$E$73/SUMSQ('TS-PILE'!$E$72:$E$91))+IF(SUMSQ('TS-PILE'!$D$72:$D$91)=0,0,'TO HOP NLAN'!F151*'TS-PILE'!$D$73/SUMSQ('TS-PILE'!$D$72:$D$91))),IF('TS-PILE'!$B$74="",-1E+99,'TO HOP NLAN'!D151/ncoc+IF(SUMSQ('TS-PILE'!$E$72:$E$91)=0,0,'TO HOP NLAN'!E151*'TS-PILE'!$E$74/SUMSQ('TS-PILE'!$E$72:$E$91))+IF(SUMSQ('TS-PILE'!$D$72:$D$91)=0,0,'TO HOP NLAN'!F151*'TS-PILE'!$D$74/SUMSQ('TS-PILE'!$D$72:$D$91))),IF('TS-PILE'!$B$75="",-1E+99,'TO HOP NLAN'!D151/ncoc+IF(SUMSQ('TS-PILE'!$E$72:$E$91)=0,0,'TO HOP NLAN'!E151*'TS-PILE'!$E$75/SUMSQ('TS-PILE'!$E$72:$E$91))+IF(SUMSQ('TS-PILE'!$D$72:$D$91)=0,0,'TO HOP NLAN'!F151*'TS-PILE'!$D$75/SUMSQ('TS-PILE'!$D$72:$D$91))),IF('TS-PILE'!$B$76="",-1E+99,'TO HOP NLAN'!D151/ncoc+IF(SUMSQ('TS-PILE'!$E$72:$E$91)=0,0,'TO HOP NLAN'!E151*'TS-PILE'!$E$76/SUMSQ('TS-PILE'!$E$72:$E$91))+IF(SUMSQ('TS-PILE'!$D$72:$D$91)=0,0,'TO HOP NLAN'!F151*'TS-PILE'!$D$76/SUMSQ('TS-PILE'!$D$72:$D$91))),IF('TS-PILE'!$B$77="",-1E+99,'TO HOP NLAN'!D151/ncoc+IF(SUMSQ('TS-PILE'!$E$72:$E$91)=0,0,'TO HOP NLAN'!E151*'TS-PILE'!$E$77/SUMSQ('TS-PILE'!$E$72:$E$91))+IF(SUMSQ('TS-PILE'!$D$72:$D$91)=0,0,'TO HOP NLAN'!F151*'TS-PILE'!$D$77/SUMSQ('TS-PILE'!$D$72:$D$91))),IF('TS-PILE'!$B$78="",-1E+99,'TO HOP NLAN'!D151/ncoc+IF(SUMSQ('TS-PILE'!$E$72:$E$91)=0,0,'TO HOP NLAN'!E151*'TS-PILE'!$E$78/SUMSQ('TS-PILE'!$E$72:$E$91))+IF(SUMSQ('TS-PILE'!$D$72:$D$91)=0,0,'TO HOP NLAN'!F151*'TS-PILE'!$D$78/SUMSQ('TS-PILE'!$D$72:$D$91))),IF('TS-PILE'!$B$79="",-1E+99,'TO HOP NLAN'!D151/ncoc+IF(SUMSQ('TS-PILE'!$E$72:$E$91)=0,0,'TO HOP NLAN'!E151*'TS-PILE'!$E$79/SUMSQ('TS-PILE'!$E$72:$E$91))+IF(SUMSQ('TS-PILE'!$D$72:$D$91)=0,0,'TO HOP NLAN'!F151*'TS-PILE'!$D$79/SUMSQ('TS-PILE'!$D$72:$D$91))),IF('TS-PILE'!$B$80="",-1E+99,'TO HOP NLAN'!D151/ncoc+IF(SUMSQ('TS-PILE'!$E$72:$E$91)=0,0,'TO HOP NLAN'!E151*'TS-PILE'!$E$80/SUMSQ('TS-PILE'!$E$72:$E$91))+IF(SUMSQ('TS-PILE'!$D$72:$D$91)=0,0,'TO HOP NLAN'!F151*'TS-PILE'!$D$80/SUMSQ('TS-PILE'!$D$72:$D$91))),IF('TS-PILE'!$B$81="",-1E+99,'TO HOP NLAN'!D151/ncoc+IF(SUMSQ('TS-PILE'!$E$72:$E$91)=0,0,'TO HOP NLAN'!E151*'TS-PILE'!$E$81/SUMSQ('TS-PILE'!$E$72:$E$91))+IF(SUMSQ('TS-PILE'!$D$72:$D$91)=0,0,'TO HOP NLAN'!F151*'TS-PILE'!$D$81/SUMSQ('TS-PILE'!$D$72:$D$91))),IF('TS-PILE'!$B$82="",-1E+99,'TO HOP NLAN'!D151/ncoc+IF(SUMSQ('TS-PILE'!$E$72:$E$91)=0,0,'TO HOP NLAN'!E151*'TS-PILE'!$E$82/SUMSQ('TS-PILE'!$E$72:$E$91))+IF(SUMSQ('TS-PILE'!$D$72:$D$91)=0,0,'TO HOP NLAN'!F151*'TS-PILE'!$D$82/SUMSQ('TS-PILE'!$D$72:$D$91))),IF('TS-PILE'!$B$83="",-1E+99,'TO HOP NLAN'!D151/ncoc+IF(SUMSQ('TS-PILE'!$E$72:$E$91)=0,0,'TO HOP NLAN'!E151*'TS-PILE'!$E$83/SUMSQ('TS-PILE'!$E$72:$E$91))+IF(SUMSQ('TS-PILE'!$D$72:$D$91)=0,0,'TO HOP NLAN'!F151*'TS-PILE'!$D$83/SUMSQ('TS-PILE'!$D$72:$D$91))),IF('TS-PILE'!$B$84="",-1E+99,'TO HOP NLAN'!D151/ncoc+IF(SUMSQ('TS-PILE'!$E$72:$E$91)=0,0,'TO HOP NLAN'!E151*'TS-PILE'!$E$84/SUMSQ('TS-PILE'!$E$72:$E$91))+IF(SUMSQ('TS-PILE'!$D$72:$D$91)=0,0,'TO HOP NLAN'!F151*'TS-PILE'!$D$84/SUMSQ('TS-PILE'!$D$72:$D$91))),IF('TS-PILE'!$B$85="",-1E+99,'TO HOP NLAN'!D151/ncoc+IF(SUMSQ('TS-PILE'!$E$72:$E$91)=0,0,'TO HOP NLAN'!E151*'TS-PILE'!$E$85/SUMSQ('TS-PILE'!$E$72:$E$91))+IF(SUMSQ('TS-PILE'!$D$72:$D$91)=0,0,'TO HOP NLAN'!F151*'TS-PILE'!$D$85/SUMSQ('TS-PILE'!$D$72:$D$91))),IF('TS-PILE'!$B$86="",-1E+99,'TO HOP NLAN'!D151/ncoc+IF(SUMSQ('TS-PILE'!$E$72:$E$91)=0,0,'TO HOP NLAN'!E151*'TS-PILE'!$E$86/SUMSQ('TS-PILE'!$E$72:$E$91))+IF(SUMSQ('TS-PILE'!$D$72:$D$91)=0,0,'TO HOP NLAN'!F151*'TS-PILE'!$D$86/SUMSQ('TS-PILE'!$D$72:$D$91))),IF('TS-PILE'!$B$87="",-1E+99,'TO HOP NLAN'!D151/ncoc+IF(SUMSQ('TS-PILE'!$E$72:$E$91)=0,0,'TO HOP NLAN'!E151*'TS-PILE'!$E$87/SUMSQ('TS-PILE'!$E$72:$E$91))+IF(SUMSQ('TS-PILE'!$D$72:$D$91)=0,0,'TO HOP NLAN'!F151*'TS-PILE'!$D$87/SUMSQ('TS-PILE'!$D$72:$D$91))),IF('TS-PILE'!$B$88="",-1E+99,'TO HOP NLAN'!D151/ncoc+IF(SUMSQ('TS-PILE'!$E$72:$E$91)=0,0,'TO HOP NLAN'!E151*'TS-PILE'!$E$88/SUMSQ('TS-PILE'!$E$72:$E$91))+IF(SUMSQ('TS-PILE'!$D$72:$D$91)=0,0,'TO HOP NLAN'!F151*'TS-PILE'!$D$88/SUMSQ('TS-PILE'!$D$72:$D$91))),IF('TS-PILE'!$B$89="",-1E+99,'TO HOP NLAN'!D151/ncoc+IF(SUMSQ('TS-PILE'!$E$72:$E$91)=0,0,'TO HOP NLAN'!E151*'TS-PILE'!$E$89/SUMSQ('TS-PILE'!$E$72:$E$91))+IF(SUMSQ('TS-PILE'!$D$72:$D$91)=0,0,'TO HOP NLAN'!F151*'TS-PILE'!$D$89/SUMSQ('TS-PILE'!$D$72:$D$91))),IF('TS-PILE'!$B$90="",-1E+99,'TO HOP NLAN'!D151/ncoc+IF(SUMSQ('TS-PILE'!$E$72:$E$91)=0,0,'TO HOP NLAN'!E151*'TS-PILE'!$E$90/SUMSQ('TS-PILE'!$E$72:$E$91))+IF(SUMSQ('TS-PILE'!$D$72:$D$91)=0,0,'TO HOP NLAN'!F151*'TS-PILE'!$D$90/SUMSQ('TS-PILE'!$D$72:$D$91))),IF('TS-PILE'!$B$91="",-1E+99,'TO HOP NLAN'!D151/ncoc+IF(SUMSQ('TS-PILE'!$E$72:$E$91)=0,0,'TO HOP NLAN'!E151*'TS-PILE'!$E$91/SUMSQ('TS-PILE'!$E$72:$E$91))+IF(SUMSQ('TS-PILE'!$D$72:$D$91)=0,0,'TO HOP NLAN'!F151*'TS-PILE'!$D$91/SUMSQ('TS-PILE'!$D$72:$D$91)))))</f>
        <v>0</v>
      </c>
      <c r="D151" s="58">
        <f>IF(A151="",0,MIN(IF('TS-PILE'!$B$72="",1E+99,'TO HOP NLAN'!D151/ncoc+IF(SUMSQ('TS-PILE'!$E$72:$E$91)=0,0,'TO HOP NLAN'!E151*'TS-PILE'!$E$72/SUMSQ('TS-PILE'!$E$72:$E$91))+IF(SUMSQ('TS-PILE'!$D$72:$D$91)=0,0,'TO HOP NLAN'!F151*'TS-PILE'!$D$72/SUMSQ('TS-PILE'!$D$72:$D$91))),IF('TS-PILE'!$B$73="",1E+99,'TO HOP NLAN'!D151/ncoc+IF(SUMSQ('TS-PILE'!$E$72:$E$91)=0,0,'TO HOP NLAN'!E151*'TS-PILE'!$E$73/SUMSQ('TS-PILE'!$E$72:$E$91))+IF(SUMSQ('TS-PILE'!$D$72:$D$91)=0,0,'TO HOP NLAN'!F151*'TS-PILE'!$D$73/SUMSQ('TS-PILE'!$D$72:$D$91))),IF('TS-PILE'!$B$74="",1E+99,'TO HOP NLAN'!D151/ncoc+IF(SUMSQ('TS-PILE'!$E$72:$E$91)=0,0,'TO HOP NLAN'!E151*'TS-PILE'!$E$74/SUMSQ('TS-PILE'!$E$72:$E$91))+IF(SUMSQ('TS-PILE'!$D$72:$D$91)=0,0,'TO HOP NLAN'!F151*'TS-PILE'!$D$74/SUMSQ('TS-PILE'!$D$72:$D$91))),IF('TS-PILE'!$B$75="",1E+99,'TO HOP NLAN'!D151/ncoc+IF(SUMSQ('TS-PILE'!$E$72:$E$91)=0,0,'TO HOP NLAN'!E151*'TS-PILE'!$E$75/SUMSQ('TS-PILE'!$E$72:$E$91))+IF(SUMSQ('TS-PILE'!$D$72:$D$91)=0,0,'TO HOP NLAN'!F151*'TS-PILE'!$D$75/SUMSQ('TS-PILE'!$D$72:$D$91))),IF('TS-PILE'!$B$76="",1E+99,'TO HOP NLAN'!D151/ncoc+IF(SUMSQ('TS-PILE'!$E$72:$E$91)=0,0,'TO HOP NLAN'!E151*'TS-PILE'!$E$76/SUMSQ('TS-PILE'!$E$72:$E$91))+IF(SUMSQ('TS-PILE'!$D$72:$D$91)=0,0,'TO HOP NLAN'!F151*'TS-PILE'!$D$76/SUMSQ('TS-PILE'!$D$72:$D$91))),IF('TS-PILE'!$B$77="",1E+99,'TO HOP NLAN'!D151/ncoc+IF(SUMSQ('TS-PILE'!$E$72:$E$91)=0,0,'TO HOP NLAN'!E151*'TS-PILE'!$E$77/SUMSQ('TS-PILE'!$E$72:$E$91))+IF(SUMSQ('TS-PILE'!$D$72:$D$91)=0,0,'TO HOP NLAN'!F151*'TS-PILE'!$D$77/SUMSQ('TS-PILE'!$D$72:$D$91))),IF('TS-PILE'!$B$78="",1E+99,'TO HOP NLAN'!D151/ncoc+IF(SUMSQ('TS-PILE'!$E$72:$E$91)=0,0,'TO HOP NLAN'!E151*'TS-PILE'!$E$78/SUMSQ('TS-PILE'!$E$72:$E$91))+IF(SUMSQ('TS-PILE'!$D$72:$D$91)=0,0,'TO HOP NLAN'!F151*'TS-PILE'!$D$78/SUMSQ('TS-PILE'!$D$72:$D$91))),IF('TS-PILE'!$B$79="",1E+99,'TO HOP NLAN'!D151/ncoc+IF(SUMSQ('TS-PILE'!$E$72:$E$91)=0,0,'TO HOP NLAN'!E151*'TS-PILE'!$E$79/SUMSQ('TS-PILE'!$E$72:$E$91))+IF(SUMSQ('TS-PILE'!$D$72:$D$91)=0,0,'TO HOP NLAN'!F151*'TS-PILE'!$D$79/SUMSQ('TS-PILE'!$D$72:$D$91))),IF('TS-PILE'!$B$80="",1E+99,'TO HOP NLAN'!D151/ncoc+IF(SUMSQ('TS-PILE'!$E$72:$E$91)=0,0,'TO HOP NLAN'!E151*'TS-PILE'!$E$80/SUMSQ('TS-PILE'!$E$72:$E$91))+IF(SUMSQ('TS-PILE'!$D$72:$D$91)=0,0,'TO HOP NLAN'!F151*'TS-PILE'!$D$80/SUMSQ('TS-PILE'!$D$72:$D$91))),IF('TS-PILE'!$B$81="",1E+99,'TO HOP NLAN'!D151/ncoc+IF(SUMSQ('TS-PILE'!$E$72:$E$91)=0,0,'TO HOP NLAN'!E151*'TS-PILE'!$E$81/SUMSQ('TS-PILE'!$E$72:$E$91))+IF(SUMSQ('TS-PILE'!$D$72:$D$91)=0,0,'TO HOP NLAN'!F151*'TS-PILE'!$D$81/SUMSQ('TS-PILE'!$D$72:$D$91))),IF('TS-PILE'!$B$82="",1E+99,'TO HOP NLAN'!D151/ncoc+IF(SUMSQ('TS-PILE'!$E$72:$E$91)=0,0,'TO HOP NLAN'!E151*'TS-PILE'!$E$82/SUMSQ('TS-PILE'!$E$72:$E$91))+IF(SUMSQ('TS-PILE'!$D$72:$D$91)=0,0,'TO HOP NLAN'!F151*'TS-PILE'!$D$82/SUMSQ('TS-PILE'!$D$72:$D$91))),IF('TS-PILE'!$B$83="",1E+99,'TO HOP NLAN'!D151/ncoc+IF(SUMSQ('TS-PILE'!$E$72:$E$91)=0,0,'TO HOP NLAN'!E151*'TS-PILE'!$E$83/SUMSQ('TS-PILE'!$E$72:$E$91))+IF(SUMSQ('TS-PILE'!$D$72:$D$91)=0,0,'TO HOP NLAN'!F151*'TS-PILE'!$D$83/SUMSQ('TS-PILE'!$D$72:$D$91))),IF('TS-PILE'!$B$84="",1E+99,'TO HOP NLAN'!D151/ncoc+IF(SUMSQ('TS-PILE'!$E$72:$E$91)=0,0,'TO HOP NLAN'!E151*'TS-PILE'!$E$84/SUMSQ('TS-PILE'!$E$72:$E$91))+IF(SUMSQ('TS-PILE'!$D$72:$D$91)=0,0,'TO HOP NLAN'!F151*'TS-PILE'!$D$84/SUMSQ('TS-PILE'!$D$72:$D$91))),IF('TS-PILE'!$B$85="",1E+99,'TO HOP NLAN'!D151/ncoc+IF(SUMSQ('TS-PILE'!$E$72:$E$91)=0,0,'TO HOP NLAN'!E151*'TS-PILE'!$E$85/SUMSQ('TS-PILE'!$E$72:$E$91))+IF(SUMSQ('TS-PILE'!$D$72:$D$91)=0,0,'TO HOP NLAN'!F151*'TS-PILE'!$D$85/SUMSQ('TS-PILE'!$D$72:$D$91))),IF('TS-PILE'!$B$86="",1E+99,'TO HOP NLAN'!D151/ncoc+IF(SUMSQ('TS-PILE'!$E$72:$E$91)=0,0,'TO HOP NLAN'!E151*'TS-PILE'!$E$86/SUMSQ('TS-PILE'!$E$72:$E$91))+IF(SUMSQ('TS-PILE'!$D$72:$D$91)=0,0,'TO HOP NLAN'!F151*'TS-PILE'!$D$86/SUMSQ('TS-PILE'!$D$72:$D$91))),IF('TS-PILE'!$B$87="",1E+99,'TO HOP NLAN'!D151/ncoc+IF(SUMSQ('TS-PILE'!$E$72:$E$91)=0,0,'TO HOP NLAN'!E151*'TS-PILE'!$E$87/SUMSQ('TS-PILE'!$E$72:$E$91))+IF(SUMSQ('TS-PILE'!$D$72:$D$91)=0,0,'TO HOP NLAN'!F151*'TS-PILE'!$D$87/SUMSQ('TS-PILE'!$D$72:$D$91))),IF('TS-PILE'!$B$88="",1E+99,'TO HOP NLAN'!D151/ncoc+IF(SUMSQ('TS-PILE'!$E$72:$E$91)=0,0,'TO HOP NLAN'!E151*'TS-PILE'!$E$88/SUMSQ('TS-PILE'!$E$72:$E$91))+IF(SUMSQ('TS-PILE'!$D$72:$D$91)=0,0,'TO HOP NLAN'!F151*'TS-PILE'!$D$88/SUMSQ('TS-PILE'!$D$72:$D$91))),IF('TS-PILE'!$B$89="",1E+99,'TO HOP NLAN'!D151/ncoc+IF(SUMSQ('TS-PILE'!$E$72:$E$91)=0,0,'TO HOP NLAN'!E151*'TS-PILE'!$E$89/SUMSQ('TS-PILE'!$E$72:$E$91))+IF(SUMSQ('TS-PILE'!$D$72:$D$91)=0,0,'TO HOP NLAN'!F151*'TS-PILE'!$D$89/SUMSQ('TS-PILE'!$D$72:$D$91))),IF('TS-PILE'!$B$90="",1E+99,'TO HOP NLAN'!D151/ncoc+IF(SUMSQ('TS-PILE'!$E$72:$E$91)=0,0,'TO HOP NLAN'!E151*'TS-PILE'!$E$90/SUMSQ('TS-PILE'!$E$72:$E$91))+IF(SUMSQ('TS-PILE'!$D$72:$D$91)=0,0,'TO HOP NLAN'!F151*'TS-PILE'!$D$90/SUMSQ('TS-PILE'!$D$72:$D$91))),IF('TS-PILE'!$B$91="",1E+99,'TO HOP NLAN'!D151/ncoc+IF(SUMSQ('TS-PILE'!$E$72:$E$91)=0,0,'TO HOP NLAN'!E151*'TS-PILE'!$E$91/SUMSQ('TS-PILE'!$E$72:$E$91))+IF(SUMSQ('TS-PILE'!$D$72:$D$91)=0,0,'TO HOP NLAN'!F151*'TS-PILE'!$D$91/SUMSQ('TS-PILE'!$D$72:$D$91)))))</f>
        <v>0</v>
      </c>
      <c r="E151" s="58">
        <f t="shared" si="8"/>
        <v>-9.9999999999999997E+98</v>
      </c>
      <c r="F151" s="58">
        <f t="shared" si="9"/>
        <v>9.9999999999999997E+98</v>
      </c>
      <c r="G151" s="58">
        <f t="shared" si="10"/>
        <v>-9.9999999999999997E+98</v>
      </c>
      <c r="H151" s="58">
        <f t="shared" si="11"/>
        <v>9.9999999999999997E+98</v>
      </c>
    </row>
    <row r="152" spans="1:8" x14ac:dyDescent="0.3">
      <c r="A152" s="42" t="str">
        <f>'TO HOP NLAN'!A152</f>
        <v/>
      </c>
      <c r="B152" s="42" t="str">
        <f>'TO HOP NLAN'!L152</f>
        <v>STRENGTH</v>
      </c>
      <c r="C152" s="58">
        <f>IF(A152="",0,MAX(IF('TS-PILE'!$B$72="",-1E+99,'TO HOP NLAN'!D152/ncoc+IF(SUMSQ('TS-PILE'!$E$72:$E$91)=0,0,'TO HOP NLAN'!E152*'TS-PILE'!$E$72/SUMSQ('TS-PILE'!$E$72:$E$91))+IF(SUMSQ('TS-PILE'!$D$72:$D$91)=0,0,'TO HOP NLAN'!F152*'TS-PILE'!$D$72/SUMSQ('TS-PILE'!$D$72:$D$91))),IF('TS-PILE'!$B$73="",-1E+99,'TO HOP NLAN'!D152/ncoc+IF(SUMSQ('TS-PILE'!$E$72:$E$91)=0,0,'TO HOP NLAN'!E152*'TS-PILE'!$E$73/SUMSQ('TS-PILE'!$E$72:$E$91))+IF(SUMSQ('TS-PILE'!$D$72:$D$91)=0,0,'TO HOP NLAN'!F152*'TS-PILE'!$D$73/SUMSQ('TS-PILE'!$D$72:$D$91))),IF('TS-PILE'!$B$74="",-1E+99,'TO HOP NLAN'!D152/ncoc+IF(SUMSQ('TS-PILE'!$E$72:$E$91)=0,0,'TO HOP NLAN'!E152*'TS-PILE'!$E$74/SUMSQ('TS-PILE'!$E$72:$E$91))+IF(SUMSQ('TS-PILE'!$D$72:$D$91)=0,0,'TO HOP NLAN'!F152*'TS-PILE'!$D$74/SUMSQ('TS-PILE'!$D$72:$D$91))),IF('TS-PILE'!$B$75="",-1E+99,'TO HOP NLAN'!D152/ncoc+IF(SUMSQ('TS-PILE'!$E$72:$E$91)=0,0,'TO HOP NLAN'!E152*'TS-PILE'!$E$75/SUMSQ('TS-PILE'!$E$72:$E$91))+IF(SUMSQ('TS-PILE'!$D$72:$D$91)=0,0,'TO HOP NLAN'!F152*'TS-PILE'!$D$75/SUMSQ('TS-PILE'!$D$72:$D$91))),IF('TS-PILE'!$B$76="",-1E+99,'TO HOP NLAN'!D152/ncoc+IF(SUMSQ('TS-PILE'!$E$72:$E$91)=0,0,'TO HOP NLAN'!E152*'TS-PILE'!$E$76/SUMSQ('TS-PILE'!$E$72:$E$91))+IF(SUMSQ('TS-PILE'!$D$72:$D$91)=0,0,'TO HOP NLAN'!F152*'TS-PILE'!$D$76/SUMSQ('TS-PILE'!$D$72:$D$91))),IF('TS-PILE'!$B$77="",-1E+99,'TO HOP NLAN'!D152/ncoc+IF(SUMSQ('TS-PILE'!$E$72:$E$91)=0,0,'TO HOP NLAN'!E152*'TS-PILE'!$E$77/SUMSQ('TS-PILE'!$E$72:$E$91))+IF(SUMSQ('TS-PILE'!$D$72:$D$91)=0,0,'TO HOP NLAN'!F152*'TS-PILE'!$D$77/SUMSQ('TS-PILE'!$D$72:$D$91))),IF('TS-PILE'!$B$78="",-1E+99,'TO HOP NLAN'!D152/ncoc+IF(SUMSQ('TS-PILE'!$E$72:$E$91)=0,0,'TO HOP NLAN'!E152*'TS-PILE'!$E$78/SUMSQ('TS-PILE'!$E$72:$E$91))+IF(SUMSQ('TS-PILE'!$D$72:$D$91)=0,0,'TO HOP NLAN'!F152*'TS-PILE'!$D$78/SUMSQ('TS-PILE'!$D$72:$D$91))),IF('TS-PILE'!$B$79="",-1E+99,'TO HOP NLAN'!D152/ncoc+IF(SUMSQ('TS-PILE'!$E$72:$E$91)=0,0,'TO HOP NLAN'!E152*'TS-PILE'!$E$79/SUMSQ('TS-PILE'!$E$72:$E$91))+IF(SUMSQ('TS-PILE'!$D$72:$D$91)=0,0,'TO HOP NLAN'!F152*'TS-PILE'!$D$79/SUMSQ('TS-PILE'!$D$72:$D$91))),IF('TS-PILE'!$B$80="",-1E+99,'TO HOP NLAN'!D152/ncoc+IF(SUMSQ('TS-PILE'!$E$72:$E$91)=0,0,'TO HOP NLAN'!E152*'TS-PILE'!$E$80/SUMSQ('TS-PILE'!$E$72:$E$91))+IF(SUMSQ('TS-PILE'!$D$72:$D$91)=0,0,'TO HOP NLAN'!F152*'TS-PILE'!$D$80/SUMSQ('TS-PILE'!$D$72:$D$91))),IF('TS-PILE'!$B$81="",-1E+99,'TO HOP NLAN'!D152/ncoc+IF(SUMSQ('TS-PILE'!$E$72:$E$91)=0,0,'TO HOP NLAN'!E152*'TS-PILE'!$E$81/SUMSQ('TS-PILE'!$E$72:$E$91))+IF(SUMSQ('TS-PILE'!$D$72:$D$91)=0,0,'TO HOP NLAN'!F152*'TS-PILE'!$D$81/SUMSQ('TS-PILE'!$D$72:$D$91))),IF('TS-PILE'!$B$82="",-1E+99,'TO HOP NLAN'!D152/ncoc+IF(SUMSQ('TS-PILE'!$E$72:$E$91)=0,0,'TO HOP NLAN'!E152*'TS-PILE'!$E$82/SUMSQ('TS-PILE'!$E$72:$E$91))+IF(SUMSQ('TS-PILE'!$D$72:$D$91)=0,0,'TO HOP NLAN'!F152*'TS-PILE'!$D$82/SUMSQ('TS-PILE'!$D$72:$D$91))),IF('TS-PILE'!$B$83="",-1E+99,'TO HOP NLAN'!D152/ncoc+IF(SUMSQ('TS-PILE'!$E$72:$E$91)=0,0,'TO HOP NLAN'!E152*'TS-PILE'!$E$83/SUMSQ('TS-PILE'!$E$72:$E$91))+IF(SUMSQ('TS-PILE'!$D$72:$D$91)=0,0,'TO HOP NLAN'!F152*'TS-PILE'!$D$83/SUMSQ('TS-PILE'!$D$72:$D$91))),IF('TS-PILE'!$B$84="",-1E+99,'TO HOP NLAN'!D152/ncoc+IF(SUMSQ('TS-PILE'!$E$72:$E$91)=0,0,'TO HOP NLAN'!E152*'TS-PILE'!$E$84/SUMSQ('TS-PILE'!$E$72:$E$91))+IF(SUMSQ('TS-PILE'!$D$72:$D$91)=0,0,'TO HOP NLAN'!F152*'TS-PILE'!$D$84/SUMSQ('TS-PILE'!$D$72:$D$91))),IF('TS-PILE'!$B$85="",-1E+99,'TO HOP NLAN'!D152/ncoc+IF(SUMSQ('TS-PILE'!$E$72:$E$91)=0,0,'TO HOP NLAN'!E152*'TS-PILE'!$E$85/SUMSQ('TS-PILE'!$E$72:$E$91))+IF(SUMSQ('TS-PILE'!$D$72:$D$91)=0,0,'TO HOP NLAN'!F152*'TS-PILE'!$D$85/SUMSQ('TS-PILE'!$D$72:$D$91))),IF('TS-PILE'!$B$86="",-1E+99,'TO HOP NLAN'!D152/ncoc+IF(SUMSQ('TS-PILE'!$E$72:$E$91)=0,0,'TO HOP NLAN'!E152*'TS-PILE'!$E$86/SUMSQ('TS-PILE'!$E$72:$E$91))+IF(SUMSQ('TS-PILE'!$D$72:$D$91)=0,0,'TO HOP NLAN'!F152*'TS-PILE'!$D$86/SUMSQ('TS-PILE'!$D$72:$D$91))),IF('TS-PILE'!$B$87="",-1E+99,'TO HOP NLAN'!D152/ncoc+IF(SUMSQ('TS-PILE'!$E$72:$E$91)=0,0,'TO HOP NLAN'!E152*'TS-PILE'!$E$87/SUMSQ('TS-PILE'!$E$72:$E$91))+IF(SUMSQ('TS-PILE'!$D$72:$D$91)=0,0,'TO HOP NLAN'!F152*'TS-PILE'!$D$87/SUMSQ('TS-PILE'!$D$72:$D$91))),IF('TS-PILE'!$B$88="",-1E+99,'TO HOP NLAN'!D152/ncoc+IF(SUMSQ('TS-PILE'!$E$72:$E$91)=0,0,'TO HOP NLAN'!E152*'TS-PILE'!$E$88/SUMSQ('TS-PILE'!$E$72:$E$91))+IF(SUMSQ('TS-PILE'!$D$72:$D$91)=0,0,'TO HOP NLAN'!F152*'TS-PILE'!$D$88/SUMSQ('TS-PILE'!$D$72:$D$91))),IF('TS-PILE'!$B$89="",-1E+99,'TO HOP NLAN'!D152/ncoc+IF(SUMSQ('TS-PILE'!$E$72:$E$91)=0,0,'TO HOP NLAN'!E152*'TS-PILE'!$E$89/SUMSQ('TS-PILE'!$E$72:$E$91))+IF(SUMSQ('TS-PILE'!$D$72:$D$91)=0,0,'TO HOP NLAN'!F152*'TS-PILE'!$D$89/SUMSQ('TS-PILE'!$D$72:$D$91))),IF('TS-PILE'!$B$90="",-1E+99,'TO HOP NLAN'!D152/ncoc+IF(SUMSQ('TS-PILE'!$E$72:$E$91)=0,0,'TO HOP NLAN'!E152*'TS-PILE'!$E$90/SUMSQ('TS-PILE'!$E$72:$E$91))+IF(SUMSQ('TS-PILE'!$D$72:$D$91)=0,0,'TO HOP NLAN'!F152*'TS-PILE'!$D$90/SUMSQ('TS-PILE'!$D$72:$D$91))),IF('TS-PILE'!$B$91="",-1E+99,'TO HOP NLAN'!D152/ncoc+IF(SUMSQ('TS-PILE'!$E$72:$E$91)=0,0,'TO HOP NLAN'!E152*'TS-PILE'!$E$91/SUMSQ('TS-PILE'!$E$72:$E$91))+IF(SUMSQ('TS-PILE'!$D$72:$D$91)=0,0,'TO HOP NLAN'!F152*'TS-PILE'!$D$91/SUMSQ('TS-PILE'!$D$72:$D$91)))))</f>
        <v>0</v>
      </c>
      <c r="D152" s="58">
        <f>IF(A152="",0,MIN(IF('TS-PILE'!$B$72="",1E+99,'TO HOP NLAN'!D152/ncoc+IF(SUMSQ('TS-PILE'!$E$72:$E$91)=0,0,'TO HOP NLAN'!E152*'TS-PILE'!$E$72/SUMSQ('TS-PILE'!$E$72:$E$91))+IF(SUMSQ('TS-PILE'!$D$72:$D$91)=0,0,'TO HOP NLAN'!F152*'TS-PILE'!$D$72/SUMSQ('TS-PILE'!$D$72:$D$91))),IF('TS-PILE'!$B$73="",1E+99,'TO HOP NLAN'!D152/ncoc+IF(SUMSQ('TS-PILE'!$E$72:$E$91)=0,0,'TO HOP NLAN'!E152*'TS-PILE'!$E$73/SUMSQ('TS-PILE'!$E$72:$E$91))+IF(SUMSQ('TS-PILE'!$D$72:$D$91)=0,0,'TO HOP NLAN'!F152*'TS-PILE'!$D$73/SUMSQ('TS-PILE'!$D$72:$D$91))),IF('TS-PILE'!$B$74="",1E+99,'TO HOP NLAN'!D152/ncoc+IF(SUMSQ('TS-PILE'!$E$72:$E$91)=0,0,'TO HOP NLAN'!E152*'TS-PILE'!$E$74/SUMSQ('TS-PILE'!$E$72:$E$91))+IF(SUMSQ('TS-PILE'!$D$72:$D$91)=0,0,'TO HOP NLAN'!F152*'TS-PILE'!$D$74/SUMSQ('TS-PILE'!$D$72:$D$91))),IF('TS-PILE'!$B$75="",1E+99,'TO HOP NLAN'!D152/ncoc+IF(SUMSQ('TS-PILE'!$E$72:$E$91)=0,0,'TO HOP NLAN'!E152*'TS-PILE'!$E$75/SUMSQ('TS-PILE'!$E$72:$E$91))+IF(SUMSQ('TS-PILE'!$D$72:$D$91)=0,0,'TO HOP NLAN'!F152*'TS-PILE'!$D$75/SUMSQ('TS-PILE'!$D$72:$D$91))),IF('TS-PILE'!$B$76="",1E+99,'TO HOP NLAN'!D152/ncoc+IF(SUMSQ('TS-PILE'!$E$72:$E$91)=0,0,'TO HOP NLAN'!E152*'TS-PILE'!$E$76/SUMSQ('TS-PILE'!$E$72:$E$91))+IF(SUMSQ('TS-PILE'!$D$72:$D$91)=0,0,'TO HOP NLAN'!F152*'TS-PILE'!$D$76/SUMSQ('TS-PILE'!$D$72:$D$91))),IF('TS-PILE'!$B$77="",1E+99,'TO HOP NLAN'!D152/ncoc+IF(SUMSQ('TS-PILE'!$E$72:$E$91)=0,0,'TO HOP NLAN'!E152*'TS-PILE'!$E$77/SUMSQ('TS-PILE'!$E$72:$E$91))+IF(SUMSQ('TS-PILE'!$D$72:$D$91)=0,0,'TO HOP NLAN'!F152*'TS-PILE'!$D$77/SUMSQ('TS-PILE'!$D$72:$D$91))),IF('TS-PILE'!$B$78="",1E+99,'TO HOP NLAN'!D152/ncoc+IF(SUMSQ('TS-PILE'!$E$72:$E$91)=0,0,'TO HOP NLAN'!E152*'TS-PILE'!$E$78/SUMSQ('TS-PILE'!$E$72:$E$91))+IF(SUMSQ('TS-PILE'!$D$72:$D$91)=0,0,'TO HOP NLAN'!F152*'TS-PILE'!$D$78/SUMSQ('TS-PILE'!$D$72:$D$91))),IF('TS-PILE'!$B$79="",1E+99,'TO HOP NLAN'!D152/ncoc+IF(SUMSQ('TS-PILE'!$E$72:$E$91)=0,0,'TO HOP NLAN'!E152*'TS-PILE'!$E$79/SUMSQ('TS-PILE'!$E$72:$E$91))+IF(SUMSQ('TS-PILE'!$D$72:$D$91)=0,0,'TO HOP NLAN'!F152*'TS-PILE'!$D$79/SUMSQ('TS-PILE'!$D$72:$D$91))),IF('TS-PILE'!$B$80="",1E+99,'TO HOP NLAN'!D152/ncoc+IF(SUMSQ('TS-PILE'!$E$72:$E$91)=0,0,'TO HOP NLAN'!E152*'TS-PILE'!$E$80/SUMSQ('TS-PILE'!$E$72:$E$91))+IF(SUMSQ('TS-PILE'!$D$72:$D$91)=0,0,'TO HOP NLAN'!F152*'TS-PILE'!$D$80/SUMSQ('TS-PILE'!$D$72:$D$91))),IF('TS-PILE'!$B$81="",1E+99,'TO HOP NLAN'!D152/ncoc+IF(SUMSQ('TS-PILE'!$E$72:$E$91)=0,0,'TO HOP NLAN'!E152*'TS-PILE'!$E$81/SUMSQ('TS-PILE'!$E$72:$E$91))+IF(SUMSQ('TS-PILE'!$D$72:$D$91)=0,0,'TO HOP NLAN'!F152*'TS-PILE'!$D$81/SUMSQ('TS-PILE'!$D$72:$D$91))),IF('TS-PILE'!$B$82="",1E+99,'TO HOP NLAN'!D152/ncoc+IF(SUMSQ('TS-PILE'!$E$72:$E$91)=0,0,'TO HOP NLAN'!E152*'TS-PILE'!$E$82/SUMSQ('TS-PILE'!$E$72:$E$91))+IF(SUMSQ('TS-PILE'!$D$72:$D$91)=0,0,'TO HOP NLAN'!F152*'TS-PILE'!$D$82/SUMSQ('TS-PILE'!$D$72:$D$91))),IF('TS-PILE'!$B$83="",1E+99,'TO HOP NLAN'!D152/ncoc+IF(SUMSQ('TS-PILE'!$E$72:$E$91)=0,0,'TO HOP NLAN'!E152*'TS-PILE'!$E$83/SUMSQ('TS-PILE'!$E$72:$E$91))+IF(SUMSQ('TS-PILE'!$D$72:$D$91)=0,0,'TO HOP NLAN'!F152*'TS-PILE'!$D$83/SUMSQ('TS-PILE'!$D$72:$D$91))),IF('TS-PILE'!$B$84="",1E+99,'TO HOP NLAN'!D152/ncoc+IF(SUMSQ('TS-PILE'!$E$72:$E$91)=0,0,'TO HOP NLAN'!E152*'TS-PILE'!$E$84/SUMSQ('TS-PILE'!$E$72:$E$91))+IF(SUMSQ('TS-PILE'!$D$72:$D$91)=0,0,'TO HOP NLAN'!F152*'TS-PILE'!$D$84/SUMSQ('TS-PILE'!$D$72:$D$91))),IF('TS-PILE'!$B$85="",1E+99,'TO HOP NLAN'!D152/ncoc+IF(SUMSQ('TS-PILE'!$E$72:$E$91)=0,0,'TO HOP NLAN'!E152*'TS-PILE'!$E$85/SUMSQ('TS-PILE'!$E$72:$E$91))+IF(SUMSQ('TS-PILE'!$D$72:$D$91)=0,0,'TO HOP NLAN'!F152*'TS-PILE'!$D$85/SUMSQ('TS-PILE'!$D$72:$D$91))),IF('TS-PILE'!$B$86="",1E+99,'TO HOP NLAN'!D152/ncoc+IF(SUMSQ('TS-PILE'!$E$72:$E$91)=0,0,'TO HOP NLAN'!E152*'TS-PILE'!$E$86/SUMSQ('TS-PILE'!$E$72:$E$91))+IF(SUMSQ('TS-PILE'!$D$72:$D$91)=0,0,'TO HOP NLAN'!F152*'TS-PILE'!$D$86/SUMSQ('TS-PILE'!$D$72:$D$91))),IF('TS-PILE'!$B$87="",1E+99,'TO HOP NLAN'!D152/ncoc+IF(SUMSQ('TS-PILE'!$E$72:$E$91)=0,0,'TO HOP NLAN'!E152*'TS-PILE'!$E$87/SUMSQ('TS-PILE'!$E$72:$E$91))+IF(SUMSQ('TS-PILE'!$D$72:$D$91)=0,0,'TO HOP NLAN'!F152*'TS-PILE'!$D$87/SUMSQ('TS-PILE'!$D$72:$D$91))),IF('TS-PILE'!$B$88="",1E+99,'TO HOP NLAN'!D152/ncoc+IF(SUMSQ('TS-PILE'!$E$72:$E$91)=0,0,'TO HOP NLAN'!E152*'TS-PILE'!$E$88/SUMSQ('TS-PILE'!$E$72:$E$91))+IF(SUMSQ('TS-PILE'!$D$72:$D$91)=0,0,'TO HOP NLAN'!F152*'TS-PILE'!$D$88/SUMSQ('TS-PILE'!$D$72:$D$91))),IF('TS-PILE'!$B$89="",1E+99,'TO HOP NLAN'!D152/ncoc+IF(SUMSQ('TS-PILE'!$E$72:$E$91)=0,0,'TO HOP NLAN'!E152*'TS-PILE'!$E$89/SUMSQ('TS-PILE'!$E$72:$E$91))+IF(SUMSQ('TS-PILE'!$D$72:$D$91)=0,0,'TO HOP NLAN'!F152*'TS-PILE'!$D$89/SUMSQ('TS-PILE'!$D$72:$D$91))),IF('TS-PILE'!$B$90="",1E+99,'TO HOP NLAN'!D152/ncoc+IF(SUMSQ('TS-PILE'!$E$72:$E$91)=0,0,'TO HOP NLAN'!E152*'TS-PILE'!$E$90/SUMSQ('TS-PILE'!$E$72:$E$91))+IF(SUMSQ('TS-PILE'!$D$72:$D$91)=0,0,'TO HOP NLAN'!F152*'TS-PILE'!$D$90/SUMSQ('TS-PILE'!$D$72:$D$91))),IF('TS-PILE'!$B$91="",1E+99,'TO HOP NLAN'!D152/ncoc+IF(SUMSQ('TS-PILE'!$E$72:$E$91)=0,0,'TO HOP NLAN'!E152*'TS-PILE'!$E$91/SUMSQ('TS-PILE'!$E$72:$E$91))+IF(SUMSQ('TS-PILE'!$D$72:$D$91)=0,0,'TO HOP NLAN'!F152*'TS-PILE'!$D$91/SUMSQ('TS-PILE'!$D$72:$D$91)))))</f>
        <v>0</v>
      </c>
      <c r="E152" s="58">
        <f t="shared" si="8"/>
        <v>-9.9999999999999997E+98</v>
      </c>
      <c r="F152" s="58">
        <f t="shared" si="9"/>
        <v>9.9999999999999997E+98</v>
      </c>
      <c r="G152" s="58">
        <f t="shared" si="10"/>
        <v>-9.9999999999999997E+98</v>
      </c>
      <c r="H152" s="58">
        <f t="shared" si="11"/>
        <v>9.9999999999999997E+98</v>
      </c>
    </row>
    <row r="153" spans="1:8" x14ac:dyDescent="0.3">
      <c r="A153" s="42" t="str">
        <f>'TO HOP NLAN'!A153</f>
        <v/>
      </c>
      <c r="B153" s="42" t="str">
        <f>'TO HOP NLAN'!L153</f>
        <v>STRENGTH</v>
      </c>
      <c r="C153" s="58">
        <f>IF(A153="",0,MAX(IF('TS-PILE'!$B$72="",-1E+99,'TO HOP NLAN'!D153/ncoc+IF(SUMSQ('TS-PILE'!$E$72:$E$91)=0,0,'TO HOP NLAN'!E153*'TS-PILE'!$E$72/SUMSQ('TS-PILE'!$E$72:$E$91))+IF(SUMSQ('TS-PILE'!$D$72:$D$91)=0,0,'TO HOP NLAN'!F153*'TS-PILE'!$D$72/SUMSQ('TS-PILE'!$D$72:$D$91))),IF('TS-PILE'!$B$73="",-1E+99,'TO HOP NLAN'!D153/ncoc+IF(SUMSQ('TS-PILE'!$E$72:$E$91)=0,0,'TO HOP NLAN'!E153*'TS-PILE'!$E$73/SUMSQ('TS-PILE'!$E$72:$E$91))+IF(SUMSQ('TS-PILE'!$D$72:$D$91)=0,0,'TO HOP NLAN'!F153*'TS-PILE'!$D$73/SUMSQ('TS-PILE'!$D$72:$D$91))),IF('TS-PILE'!$B$74="",-1E+99,'TO HOP NLAN'!D153/ncoc+IF(SUMSQ('TS-PILE'!$E$72:$E$91)=0,0,'TO HOP NLAN'!E153*'TS-PILE'!$E$74/SUMSQ('TS-PILE'!$E$72:$E$91))+IF(SUMSQ('TS-PILE'!$D$72:$D$91)=0,0,'TO HOP NLAN'!F153*'TS-PILE'!$D$74/SUMSQ('TS-PILE'!$D$72:$D$91))),IF('TS-PILE'!$B$75="",-1E+99,'TO HOP NLAN'!D153/ncoc+IF(SUMSQ('TS-PILE'!$E$72:$E$91)=0,0,'TO HOP NLAN'!E153*'TS-PILE'!$E$75/SUMSQ('TS-PILE'!$E$72:$E$91))+IF(SUMSQ('TS-PILE'!$D$72:$D$91)=0,0,'TO HOP NLAN'!F153*'TS-PILE'!$D$75/SUMSQ('TS-PILE'!$D$72:$D$91))),IF('TS-PILE'!$B$76="",-1E+99,'TO HOP NLAN'!D153/ncoc+IF(SUMSQ('TS-PILE'!$E$72:$E$91)=0,0,'TO HOP NLAN'!E153*'TS-PILE'!$E$76/SUMSQ('TS-PILE'!$E$72:$E$91))+IF(SUMSQ('TS-PILE'!$D$72:$D$91)=0,0,'TO HOP NLAN'!F153*'TS-PILE'!$D$76/SUMSQ('TS-PILE'!$D$72:$D$91))),IF('TS-PILE'!$B$77="",-1E+99,'TO HOP NLAN'!D153/ncoc+IF(SUMSQ('TS-PILE'!$E$72:$E$91)=0,0,'TO HOP NLAN'!E153*'TS-PILE'!$E$77/SUMSQ('TS-PILE'!$E$72:$E$91))+IF(SUMSQ('TS-PILE'!$D$72:$D$91)=0,0,'TO HOP NLAN'!F153*'TS-PILE'!$D$77/SUMSQ('TS-PILE'!$D$72:$D$91))),IF('TS-PILE'!$B$78="",-1E+99,'TO HOP NLAN'!D153/ncoc+IF(SUMSQ('TS-PILE'!$E$72:$E$91)=0,0,'TO HOP NLAN'!E153*'TS-PILE'!$E$78/SUMSQ('TS-PILE'!$E$72:$E$91))+IF(SUMSQ('TS-PILE'!$D$72:$D$91)=0,0,'TO HOP NLAN'!F153*'TS-PILE'!$D$78/SUMSQ('TS-PILE'!$D$72:$D$91))),IF('TS-PILE'!$B$79="",-1E+99,'TO HOP NLAN'!D153/ncoc+IF(SUMSQ('TS-PILE'!$E$72:$E$91)=0,0,'TO HOP NLAN'!E153*'TS-PILE'!$E$79/SUMSQ('TS-PILE'!$E$72:$E$91))+IF(SUMSQ('TS-PILE'!$D$72:$D$91)=0,0,'TO HOP NLAN'!F153*'TS-PILE'!$D$79/SUMSQ('TS-PILE'!$D$72:$D$91))),IF('TS-PILE'!$B$80="",-1E+99,'TO HOP NLAN'!D153/ncoc+IF(SUMSQ('TS-PILE'!$E$72:$E$91)=0,0,'TO HOP NLAN'!E153*'TS-PILE'!$E$80/SUMSQ('TS-PILE'!$E$72:$E$91))+IF(SUMSQ('TS-PILE'!$D$72:$D$91)=0,0,'TO HOP NLAN'!F153*'TS-PILE'!$D$80/SUMSQ('TS-PILE'!$D$72:$D$91))),IF('TS-PILE'!$B$81="",-1E+99,'TO HOP NLAN'!D153/ncoc+IF(SUMSQ('TS-PILE'!$E$72:$E$91)=0,0,'TO HOP NLAN'!E153*'TS-PILE'!$E$81/SUMSQ('TS-PILE'!$E$72:$E$91))+IF(SUMSQ('TS-PILE'!$D$72:$D$91)=0,0,'TO HOP NLAN'!F153*'TS-PILE'!$D$81/SUMSQ('TS-PILE'!$D$72:$D$91))),IF('TS-PILE'!$B$82="",-1E+99,'TO HOP NLAN'!D153/ncoc+IF(SUMSQ('TS-PILE'!$E$72:$E$91)=0,0,'TO HOP NLAN'!E153*'TS-PILE'!$E$82/SUMSQ('TS-PILE'!$E$72:$E$91))+IF(SUMSQ('TS-PILE'!$D$72:$D$91)=0,0,'TO HOP NLAN'!F153*'TS-PILE'!$D$82/SUMSQ('TS-PILE'!$D$72:$D$91))),IF('TS-PILE'!$B$83="",-1E+99,'TO HOP NLAN'!D153/ncoc+IF(SUMSQ('TS-PILE'!$E$72:$E$91)=0,0,'TO HOP NLAN'!E153*'TS-PILE'!$E$83/SUMSQ('TS-PILE'!$E$72:$E$91))+IF(SUMSQ('TS-PILE'!$D$72:$D$91)=0,0,'TO HOP NLAN'!F153*'TS-PILE'!$D$83/SUMSQ('TS-PILE'!$D$72:$D$91))),IF('TS-PILE'!$B$84="",-1E+99,'TO HOP NLAN'!D153/ncoc+IF(SUMSQ('TS-PILE'!$E$72:$E$91)=0,0,'TO HOP NLAN'!E153*'TS-PILE'!$E$84/SUMSQ('TS-PILE'!$E$72:$E$91))+IF(SUMSQ('TS-PILE'!$D$72:$D$91)=0,0,'TO HOP NLAN'!F153*'TS-PILE'!$D$84/SUMSQ('TS-PILE'!$D$72:$D$91))),IF('TS-PILE'!$B$85="",-1E+99,'TO HOP NLAN'!D153/ncoc+IF(SUMSQ('TS-PILE'!$E$72:$E$91)=0,0,'TO HOP NLAN'!E153*'TS-PILE'!$E$85/SUMSQ('TS-PILE'!$E$72:$E$91))+IF(SUMSQ('TS-PILE'!$D$72:$D$91)=0,0,'TO HOP NLAN'!F153*'TS-PILE'!$D$85/SUMSQ('TS-PILE'!$D$72:$D$91))),IF('TS-PILE'!$B$86="",-1E+99,'TO HOP NLAN'!D153/ncoc+IF(SUMSQ('TS-PILE'!$E$72:$E$91)=0,0,'TO HOP NLAN'!E153*'TS-PILE'!$E$86/SUMSQ('TS-PILE'!$E$72:$E$91))+IF(SUMSQ('TS-PILE'!$D$72:$D$91)=0,0,'TO HOP NLAN'!F153*'TS-PILE'!$D$86/SUMSQ('TS-PILE'!$D$72:$D$91))),IF('TS-PILE'!$B$87="",-1E+99,'TO HOP NLAN'!D153/ncoc+IF(SUMSQ('TS-PILE'!$E$72:$E$91)=0,0,'TO HOP NLAN'!E153*'TS-PILE'!$E$87/SUMSQ('TS-PILE'!$E$72:$E$91))+IF(SUMSQ('TS-PILE'!$D$72:$D$91)=0,0,'TO HOP NLAN'!F153*'TS-PILE'!$D$87/SUMSQ('TS-PILE'!$D$72:$D$91))),IF('TS-PILE'!$B$88="",-1E+99,'TO HOP NLAN'!D153/ncoc+IF(SUMSQ('TS-PILE'!$E$72:$E$91)=0,0,'TO HOP NLAN'!E153*'TS-PILE'!$E$88/SUMSQ('TS-PILE'!$E$72:$E$91))+IF(SUMSQ('TS-PILE'!$D$72:$D$91)=0,0,'TO HOP NLAN'!F153*'TS-PILE'!$D$88/SUMSQ('TS-PILE'!$D$72:$D$91))),IF('TS-PILE'!$B$89="",-1E+99,'TO HOP NLAN'!D153/ncoc+IF(SUMSQ('TS-PILE'!$E$72:$E$91)=0,0,'TO HOP NLAN'!E153*'TS-PILE'!$E$89/SUMSQ('TS-PILE'!$E$72:$E$91))+IF(SUMSQ('TS-PILE'!$D$72:$D$91)=0,0,'TO HOP NLAN'!F153*'TS-PILE'!$D$89/SUMSQ('TS-PILE'!$D$72:$D$91))),IF('TS-PILE'!$B$90="",-1E+99,'TO HOP NLAN'!D153/ncoc+IF(SUMSQ('TS-PILE'!$E$72:$E$91)=0,0,'TO HOP NLAN'!E153*'TS-PILE'!$E$90/SUMSQ('TS-PILE'!$E$72:$E$91))+IF(SUMSQ('TS-PILE'!$D$72:$D$91)=0,0,'TO HOP NLAN'!F153*'TS-PILE'!$D$90/SUMSQ('TS-PILE'!$D$72:$D$91))),IF('TS-PILE'!$B$91="",-1E+99,'TO HOP NLAN'!D153/ncoc+IF(SUMSQ('TS-PILE'!$E$72:$E$91)=0,0,'TO HOP NLAN'!E153*'TS-PILE'!$E$91/SUMSQ('TS-PILE'!$E$72:$E$91))+IF(SUMSQ('TS-PILE'!$D$72:$D$91)=0,0,'TO HOP NLAN'!F153*'TS-PILE'!$D$91/SUMSQ('TS-PILE'!$D$72:$D$91)))))</f>
        <v>0</v>
      </c>
      <c r="D153" s="58">
        <f>IF(A153="",0,MIN(IF('TS-PILE'!$B$72="",1E+99,'TO HOP NLAN'!D153/ncoc+IF(SUMSQ('TS-PILE'!$E$72:$E$91)=0,0,'TO HOP NLAN'!E153*'TS-PILE'!$E$72/SUMSQ('TS-PILE'!$E$72:$E$91))+IF(SUMSQ('TS-PILE'!$D$72:$D$91)=0,0,'TO HOP NLAN'!F153*'TS-PILE'!$D$72/SUMSQ('TS-PILE'!$D$72:$D$91))),IF('TS-PILE'!$B$73="",1E+99,'TO HOP NLAN'!D153/ncoc+IF(SUMSQ('TS-PILE'!$E$72:$E$91)=0,0,'TO HOP NLAN'!E153*'TS-PILE'!$E$73/SUMSQ('TS-PILE'!$E$72:$E$91))+IF(SUMSQ('TS-PILE'!$D$72:$D$91)=0,0,'TO HOP NLAN'!F153*'TS-PILE'!$D$73/SUMSQ('TS-PILE'!$D$72:$D$91))),IF('TS-PILE'!$B$74="",1E+99,'TO HOP NLAN'!D153/ncoc+IF(SUMSQ('TS-PILE'!$E$72:$E$91)=0,0,'TO HOP NLAN'!E153*'TS-PILE'!$E$74/SUMSQ('TS-PILE'!$E$72:$E$91))+IF(SUMSQ('TS-PILE'!$D$72:$D$91)=0,0,'TO HOP NLAN'!F153*'TS-PILE'!$D$74/SUMSQ('TS-PILE'!$D$72:$D$91))),IF('TS-PILE'!$B$75="",1E+99,'TO HOP NLAN'!D153/ncoc+IF(SUMSQ('TS-PILE'!$E$72:$E$91)=0,0,'TO HOP NLAN'!E153*'TS-PILE'!$E$75/SUMSQ('TS-PILE'!$E$72:$E$91))+IF(SUMSQ('TS-PILE'!$D$72:$D$91)=0,0,'TO HOP NLAN'!F153*'TS-PILE'!$D$75/SUMSQ('TS-PILE'!$D$72:$D$91))),IF('TS-PILE'!$B$76="",1E+99,'TO HOP NLAN'!D153/ncoc+IF(SUMSQ('TS-PILE'!$E$72:$E$91)=0,0,'TO HOP NLAN'!E153*'TS-PILE'!$E$76/SUMSQ('TS-PILE'!$E$72:$E$91))+IF(SUMSQ('TS-PILE'!$D$72:$D$91)=0,0,'TO HOP NLAN'!F153*'TS-PILE'!$D$76/SUMSQ('TS-PILE'!$D$72:$D$91))),IF('TS-PILE'!$B$77="",1E+99,'TO HOP NLAN'!D153/ncoc+IF(SUMSQ('TS-PILE'!$E$72:$E$91)=0,0,'TO HOP NLAN'!E153*'TS-PILE'!$E$77/SUMSQ('TS-PILE'!$E$72:$E$91))+IF(SUMSQ('TS-PILE'!$D$72:$D$91)=0,0,'TO HOP NLAN'!F153*'TS-PILE'!$D$77/SUMSQ('TS-PILE'!$D$72:$D$91))),IF('TS-PILE'!$B$78="",1E+99,'TO HOP NLAN'!D153/ncoc+IF(SUMSQ('TS-PILE'!$E$72:$E$91)=0,0,'TO HOP NLAN'!E153*'TS-PILE'!$E$78/SUMSQ('TS-PILE'!$E$72:$E$91))+IF(SUMSQ('TS-PILE'!$D$72:$D$91)=0,0,'TO HOP NLAN'!F153*'TS-PILE'!$D$78/SUMSQ('TS-PILE'!$D$72:$D$91))),IF('TS-PILE'!$B$79="",1E+99,'TO HOP NLAN'!D153/ncoc+IF(SUMSQ('TS-PILE'!$E$72:$E$91)=0,0,'TO HOP NLAN'!E153*'TS-PILE'!$E$79/SUMSQ('TS-PILE'!$E$72:$E$91))+IF(SUMSQ('TS-PILE'!$D$72:$D$91)=0,0,'TO HOP NLAN'!F153*'TS-PILE'!$D$79/SUMSQ('TS-PILE'!$D$72:$D$91))),IF('TS-PILE'!$B$80="",1E+99,'TO HOP NLAN'!D153/ncoc+IF(SUMSQ('TS-PILE'!$E$72:$E$91)=0,0,'TO HOP NLAN'!E153*'TS-PILE'!$E$80/SUMSQ('TS-PILE'!$E$72:$E$91))+IF(SUMSQ('TS-PILE'!$D$72:$D$91)=0,0,'TO HOP NLAN'!F153*'TS-PILE'!$D$80/SUMSQ('TS-PILE'!$D$72:$D$91))),IF('TS-PILE'!$B$81="",1E+99,'TO HOP NLAN'!D153/ncoc+IF(SUMSQ('TS-PILE'!$E$72:$E$91)=0,0,'TO HOP NLAN'!E153*'TS-PILE'!$E$81/SUMSQ('TS-PILE'!$E$72:$E$91))+IF(SUMSQ('TS-PILE'!$D$72:$D$91)=0,0,'TO HOP NLAN'!F153*'TS-PILE'!$D$81/SUMSQ('TS-PILE'!$D$72:$D$91))),IF('TS-PILE'!$B$82="",1E+99,'TO HOP NLAN'!D153/ncoc+IF(SUMSQ('TS-PILE'!$E$72:$E$91)=0,0,'TO HOP NLAN'!E153*'TS-PILE'!$E$82/SUMSQ('TS-PILE'!$E$72:$E$91))+IF(SUMSQ('TS-PILE'!$D$72:$D$91)=0,0,'TO HOP NLAN'!F153*'TS-PILE'!$D$82/SUMSQ('TS-PILE'!$D$72:$D$91))),IF('TS-PILE'!$B$83="",1E+99,'TO HOP NLAN'!D153/ncoc+IF(SUMSQ('TS-PILE'!$E$72:$E$91)=0,0,'TO HOP NLAN'!E153*'TS-PILE'!$E$83/SUMSQ('TS-PILE'!$E$72:$E$91))+IF(SUMSQ('TS-PILE'!$D$72:$D$91)=0,0,'TO HOP NLAN'!F153*'TS-PILE'!$D$83/SUMSQ('TS-PILE'!$D$72:$D$91))),IF('TS-PILE'!$B$84="",1E+99,'TO HOP NLAN'!D153/ncoc+IF(SUMSQ('TS-PILE'!$E$72:$E$91)=0,0,'TO HOP NLAN'!E153*'TS-PILE'!$E$84/SUMSQ('TS-PILE'!$E$72:$E$91))+IF(SUMSQ('TS-PILE'!$D$72:$D$91)=0,0,'TO HOP NLAN'!F153*'TS-PILE'!$D$84/SUMSQ('TS-PILE'!$D$72:$D$91))),IF('TS-PILE'!$B$85="",1E+99,'TO HOP NLAN'!D153/ncoc+IF(SUMSQ('TS-PILE'!$E$72:$E$91)=0,0,'TO HOP NLAN'!E153*'TS-PILE'!$E$85/SUMSQ('TS-PILE'!$E$72:$E$91))+IF(SUMSQ('TS-PILE'!$D$72:$D$91)=0,0,'TO HOP NLAN'!F153*'TS-PILE'!$D$85/SUMSQ('TS-PILE'!$D$72:$D$91))),IF('TS-PILE'!$B$86="",1E+99,'TO HOP NLAN'!D153/ncoc+IF(SUMSQ('TS-PILE'!$E$72:$E$91)=0,0,'TO HOP NLAN'!E153*'TS-PILE'!$E$86/SUMSQ('TS-PILE'!$E$72:$E$91))+IF(SUMSQ('TS-PILE'!$D$72:$D$91)=0,0,'TO HOP NLAN'!F153*'TS-PILE'!$D$86/SUMSQ('TS-PILE'!$D$72:$D$91))),IF('TS-PILE'!$B$87="",1E+99,'TO HOP NLAN'!D153/ncoc+IF(SUMSQ('TS-PILE'!$E$72:$E$91)=0,0,'TO HOP NLAN'!E153*'TS-PILE'!$E$87/SUMSQ('TS-PILE'!$E$72:$E$91))+IF(SUMSQ('TS-PILE'!$D$72:$D$91)=0,0,'TO HOP NLAN'!F153*'TS-PILE'!$D$87/SUMSQ('TS-PILE'!$D$72:$D$91))),IF('TS-PILE'!$B$88="",1E+99,'TO HOP NLAN'!D153/ncoc+IF(SUMSQ('TS-PILE'!$E$72:$E$91)=0,0,'TO HOP NLAN'!E153*'TS-PILE'!$E$88/SUMSQ('TS-PILE'!$E$72:$E$91))+IF(SUMSQ('TS-PILE'!$D$72:$D$91)=0,0,'TO HOP NLAN'!F153*'TS-PILE'!$D$88/SUMSQ('TS-PILE'!$D$72:$D$91))),IF('TS-PILE'!$B$89="",1E+99,'TO HOP NLAN'!D153/ncoc+IF(SUMSQ('TS-PILE'!$E$72:$E$91)=0,0,'TO HOP NLAN'!E153*'TS-PILE'!$E$89/SUMSQ('TS-PILE'!$E$72:$E$91))+IF(SUMSQ('TS-PILE'!$D$72:$D$91)=0,0,'TO HOP NLAN'!F153*'TS-PILE'!$D$89/SUMSQ('TS-PILE'!$D$72:$D$91))),IF('TS-PILE'!$B$90="",1E+99,'TO HOP NLAN'!D153/ncoc+IF(SUMSQ('TS-PILE'!$E$72:$E$91)=0,0,'TO HOP NLAN'!E153*'TS-PILE'!$E$90/SUMSQ('TS-PILE'!$E$72:$E$91))+IF(SUMSQ('TS-PILE'!$D$72:$D$91)=0,0,'TO HOP NLAN'!F153*'TS-PILE'!$D$90/SUMSQ('TS-PILE'!$D$72:$D$91))),IF('TS-PILE'!$B$91="",1E+99,'TO HOP NLAN'!D153/ncoc+IF(SUMSQ('TS-PILE'!$E$72:$E$91)=0,0,'TO HOP NLAN'!E153*'TS-PILE'!$E$91/SUMSQ('TS-PILE'!$E$72:$E$91))+IF(SUMSQ('TS-PILE'!$D$72:$D$91)=0,0,'TO HOP NLAN'!F153*'TS-PILE'!$D$91/SUMSQ('TS-PILE'!$D$72:$D$91)))))</f>
        <v>0</v>
      </c>
      <c r="E153" s="58">
        <f t="shared" si="8"/>
        <v>-9.9999999999999997E+98</v>
      </c>
      <c r="F153" s="58">
        <f t="shared" si="9"/>
        <v>9.9999999999999997E+98</v>
      </c>
      <c r="G153" s="58">
        <f t="shared" si="10"/>
        <v>-9.9999999999999997E+98</v>
      </c>
      <c r="H153" s="58">
        <f t="shared" si="11"/>
        <v>9.9999999999999997E+98</v>
      </c>
    </row>
    <row r="154" spans="1:8" x14ac:dyDescent="0.3">
      <c r="A154" s="42" t="str">
        <f>'TO HOP NLAN'!A154</f>
        <v/>
      </c>
      <c r="B154" s="42" t="str">
        <f>'TO HOP NLAN'!L154</f>
        <v>STRENGTH</v>
      </c>
      <c r="C154" s="58">
        <f>IF(A154="",0,MAX(IF('TS-PILE'!$B$72="",-1E+99,'TO HOP NLAN'!D154/ncoc+IF(SUMSQ('TS-PILE'!$E$72:$E$91)=0,0,'TO HOP NLAN'!E154*'TS-PILE'!$E$72/SUMSQ('TS-PILE'!$E$72:$E$91))+IF(SUMSQ('TS-PILE'!$D$72:$D$91)=0,0,'TO HOP NLAN'!F154*'TS-PILE'!$D$72/SUMSQ('TS-PILE'!$D$72:$D$91))),IF('TS-PILE'!$B$73="",-1E+99,'TO HOP NLAN'!D154/ncoc+IF(SUMSQ('TS-PILE'!$E$72:$E$91)=0,0,'TO HOP NLAN'!E154*'TS-PILE'!$E$73/SUMSQ('TS-PILE'!$E$72:$E$91))+IF(SUMSQ('TS-PILE'!$D$72:$D$91)=0,0,'TO HOP NLAN'!F154*'TS-PILE'!$D$73/SUMSQ('TS-PILE'!$D$72:$D$91))),IF('TS-PILE'!$B$74="",-1E+99,'TO HOP NLAN'!D154/ncoc+IF(SUMSQ('TS-PILE'!$E$72:$E$91)=0,0,'TO HOP NLAN'!E154*'TS-PILE'!$E$74/SUMSQ('TS-PILE'!$E$72:$E$91))+IF(SUMSQ('TS-PILE'!$D$72:$D$91)=0,0,'TO HOP NLAN'!F154*'TS-PILE'!$D$74/SUMSQ('TS-PILE'!$D$72:$D$91))),IF('TS-PILE'!$B$75="",-1E+99,'TO HOP NLAN'!D154/ncoc+IF(SUMSQ('TS-PILE'!$E$72:$E$91)=0,0,'TO HOP NLAN'!E154*'TS-PILE'!$E$75/SUMSQ('TS-PILE'!$E$72:$E$91))+IF(SUMSQ('TS-PILE'!$D$72:$D$91)=0,0,'TO HOP NLAN'!F154*'TS-PILE'!$D$75/SUMSQ('TS-PILE'!$D$72:$D$91))),IF('TS-PILE'!$B$76="",-1E+99,'TO HOP NLAN'!D154/ncoc+IF(SUMSQ('TS-PILE'!$E$72:$E$91)=0,0,'TO HOP NLAN'!E154*'TS-PILE'!$E$76/SUMSQ('TS-PILE'!$E$72:$E$91))+IF(SUMSQ('TS-PILE'!$D$72:$D$91)=0,0,'TO HOP NLAN'!F154*'TS-PILE'!$D$76/SUMSQ('TS-PILE'!$D$72:$D$91))),IF('TS-PILE'!$B$77="",-1E+99,'TO HOP NLAN'!D154/ncoc+IF(SUMSQ('TS-PILE'!$E$72:$E$91)=0,0,'TO HOP NLAN'!E154*'TS-PILE'!$E$77/SUMSQ('TS-PILE'!$E$72:$E$91))+IF(SUMSQ('TS-PILE'!$D$72:$D$91)=0,0,'TO HOP NLAN'!F154*'TS-PILE'!$D$77/SUMSQ('TS-PILE'!$D$72:$D$91))),IF('TS-PILE'!$B$78="",-1E+99,'TO HOP NLAN'!D154/ncoc+IF(SUMSQ('TS-PILE'!$E$72:$E$91)=0,0,'TO HOP NLAN'!E154*'TS-PILE'!$E$78/SUMSQ('TS-PILE'!$E$72:$E$91))+IF(SUMSQ('TS-PILE'!$D$72:$D$91)=0,0,'TO HOP NLAN'!F154*'TS-PILE'!$D$78/SUMSQ('TS-PILE'!$D$72:$D$91))),IF('TS-PILE'!$B$79="",-1E+99,'TO HOP NLAN'!D154/ncoc+IF(SUMSQ('TS-PILE'!$E$72:$E$91)=0,0,'TO HOP NLAN'!E154*'TS-PILE'!$E$79/SUMSQ('TS-PILE'!$E$72:$E$91))+IF(SUMSQ('TS-PILE'!$D$72:$D$91)=0,0,'TO HOP NLAN'!F154*'TS-PILE'!$D$79/SUMSQ('TS-PILE'!$D$72:$D$91))),IF('TS-PILE'!$B$80="",-1E+99,'TO HOP NLAN'!D154/ncoc+IF(SUMSQ('TS-PILE'!$E$72:$E$91)=0,0,'TO HOP NLAN'!E154*'TS-PILE'!$E$80/SUMSQ('TS-PILE'!$E$72:$E$91))+IF(SUMSQ('TS-PILE'!$D$72:$D$91)=0,0,'TO HOP NLAN'!F154*'TS-PILE'!$D$80/SUMSQ('TS-PILE'!$D$72:$D$91))),IF('TS-PILE'!$B$81="",-1E+99,'TO HOP NLAN'!D154/ncoc+IF(SUMSQ('TS-PILE'!$E$72:$E$91)=0,0,'TO HOP NLAN'!E154*'TS-PILE'!$E$81/SUMSQ('TS-PILE'!$E$72:$E$91))+IF(SUMSQ('TS-PILE'!$D$72:$D$91)=0,0,'TO HOP NLAN'!F154*'TS-PILE'!$D$81/SUMSQ('TS-PILE'!$D$72:$D$91))),IF('TS-PILE'!$B$82="",-1E+99,'TO HOP NLAN'!D154/ncoc+IF(SUMSQ('TS-PILE'!$E$72:$E$91)=0,0,'TO HOP NLAN'!E154*'TS-PILE'!$E$82/SUMSQ('TS-PILE'!$E$72:$E$91))+IF(SUMSQ('TS-PILE'!$D$72:$D$91)=0,0,'TO HOP NLAN'!F154*'TS-PILE'!$D$82/SUMSQ('TS-PILE'!$D$72:$D$91))),IF('TS-PILE'!$B$83="",-1E+99,'TO HOP NLAN'!D154/ncoc+IF(SUMSQ('TS-PILE'!$E$72:$E$91)=0,0,'TO HOP NLAN'!E154*'TS-PILE'!$E$83/SUMSQ('TS-PILE'!$E$72:$E$91))+IF(SUMSQ('TS-PILE'!$D$72:$D$91)=0,0,'TO HOP NLAN'!F154*'TS-PILE'!$D$83/SUMSQ('TS-PILE'!$D$72:$D$91))),IF('TS-PILE'!$B$84="",-1E+99,'TO HOP NLAN'!D154/ncoc+IF(SUMSQ('TS-PILE'!$E$72:$E$91)=0,0,'TO HOP NLAN'!E154*'TS-PILE'!$E$84/SUMSQ('TS-PILE'!$E$72:$E$91))+IF(SUMSQ('TS-PILE'!$D$72:$D$91)=0,0,'TO HOP NLAN'!F154*'TS-PILE'!$D$84/SUMSQ('TS-PILE'!$D$72:$D$91))),IF('TS-PILE'!$B$85="",-1E+99,'TO HOP NLAN'!D154/ncoc+IF(SUMSQ('TS-PILE'!$E$72:$E$91)=0,0,'TO HOP NLAN'!E154*'TS-PILE'!$E$85/SUMSQ('TS-PILE'!$E$72:$E$91))+IF(SUMSQ('TS-PILE'!$D$72:$D$91)=0,0,'TO HOP NLAN'!F154*'TS-PILE'!$D$85/SUMSQ('TS-PILE'!$D$72:$D$91))),IF('TS-PILE'!$B$86="",-1E+99,'TO HOP NLAN'!D154/ncoc+IF(SUMSQ('TS-PILE'!$E$72:$E$91)=0,0,'TO HOP NLAN'!E154*'TS-PILE'!$E$86/SUMSQ('TS-PILE'!$E$72:$E$91))+IF(SUMSQ('TS-PILE'!$D$72:$D$91)=0,0,'TO HOP NLAN'!F154*'TS-PILE'!$D$86/SUMSQ('TS-PILE'!$D$72:$D$91))),IF('TS-PILE'!$B$87="",-1E+99,'TO HOP NLAN'!D154/ncoc+IF(SUMSQ('TS-PILE'!$E$72:$E$91)=0,0,'TO HOP NLAN'!E154*'TS-PILE'!$E$87/SUMSQ('TS-PILE'!$E$72:$E$91))+IF(SUMSQ('TS-PILE'!$D$72:$D$91)=0,0,'TO HOP NLAN'!F154*'TS-PILE'!$D$87/SUMSQ('TS-PILE'!$D$72:$D$91))),IF('TS-PILE'!$B$88="",-1E+99,'TO HOP NLAN'!D154/ncoc+IF(SUMSQ('TS-PILE'!$E$72:$E$91)=0,0,'TO HOP NLAN'!E154*'TS-PILE'!$E$88/SUMSQ('TS-PILE'!$E$72:$E$91))+IF(SUMSQ('TS-PILE'!$D$72:$D$91)=0,0,'TO HOP NLAN'!F154*'TS-PILE'!$D$88/SUMSQ('TS-PILE'!$D$72:$D$91))),IF('TS-PILE'!$B$89="",-1E+99,'TO HOP NLAN'!D154/ncoc+IF(SUMSQ('TS-PILE'!$E$72:$E$91)=0,0,'TO HOP NLAN'!E154*'TS-PILE'!$E$89/SUMSQ('TS-PILE'!$E$72:$E$91))+IF(SUMSQ('TS-PILE'!$D$72:$D$91)=0,0,'TO HOP NLAN'!F154*'TS-PILE'!$D$89/SUMSQ('TS-PILE'!$D$72:$D$91))),IF('TS-PILE'!$B$90="",-1E+99,'TO HOP NLAN'!D154/ncoc+IF(SUMSQ('TS-PILE'!$E$72:$E$91)=0,0,'TO HOP NLAN'!E154*'TS-PILE'!$E$90/SUMSQ('TS-PILE'!$E$72:$E$91))+IF(SUMSQ('TS-PILE'!$D$72:$D$91)=0,0,'TO HOP NLAN'!F154*'TS-PILE'!$D$90/SUMSQ('TS-PILE'!$D$72:$D$91))),IF('TS-PILE'!$B$91="",-1E+99,'TO HOP NLAN'!D154/ncoc+IF(SUMSQ('TS-PILE'!$E$72:$E$91)=0,0,'TO HOP NLAN'!E154*'TS-PILE'!$E$91/SUMSQ('TS-PILE'!$E$72:$E$91))+IF(SUMSQ('TS-PILE'!$D$72:$D$91)=0,0,'TO HOP NLAN'!F154*'TS-PILE'!$D$91/SUMSQ('TS-PILE'!$D$72:$D$91)))))</f>
        <v>0</v>
      </c>
      <c r="D154" s="58">
        <f>IF(A154="",0,MIN(IF('TS-PILE'!$B$72="",1E+99,'TO HOP NLAN'!D154/ncoc+IF(SUMSQ('TS-PILE'!$E$72:$E$91)=0,0,'TO HOP NLAN'!E154*'TS-PILE'!$E$72/SUMSQ('TS-PILE'!$E$72:$E$91))+IF(SUMSQ('TS-PILE'!$D$72:$D$91)=0,0,'TO HOP NLAN'!F154*'TS-PILE'!$D$72/SUMSQ('TS-PILE'!$D$72:$D$91))),IF('TS-PILE'!$B$73="",1E+99,'TO HOP NLAN'!D154/ncoc+IF(SUMSQ('TS-PILE'!$E$72:$E$91)=0,0,'TO HOP NLAN'!E154*'TS-PILE'!$E$73/SUMSQ('TS-PILE'!$E$72:$E$91))+IF(SUMSQ('TS-PILE'!$D$72:$D$91)=0,0,'TO HOP NLAN'!F154*'TS-PILE'!$D$73/SUMSQ('TS-PILE'!$D$72:$D$91))),IF('TS-PILE'!$B$74="",1E+99,'TO HOP NLAN'!D154/ncoc+IF(SUMSQ('TS-PILE'!$E$72:$E$91)=0,0,'TO HOP NLAN'!E154*'TS-PILE'!$E$74/SUMSQ('TS-PILE'!$E$72:$E$91))+IF(SUMSQ('TS-PILE'!$D$72:$D$91)=0,0,'TO HOP NLAN'!F154*'TS-PILE'!$D$74/SUMSQ('TS-PILE'!$D$72:$D$91))),IF('TS-PILE'!$B$75="",1E+99,'TO HOP NLAN'!D154/ncoc+IF(SUMSQ('TS-PILE'!$E$72:$E$91)=0,0,'TO HOP NLAN'!E154*'TS-PILE'!$E$75/SUMSQ('TS-PILE'!$E$72:$E$91))+IF(SUMSQ('TS-PILE'!$D$72:$D$91)=0,0,'TO HOP NLAN'!F154*'TS-PILE'!$D$75/SUMSQ('TS-PILE'!$D$72:$D$91))),IF('TS-PILE'!$B$76="",1E+99,'TO HOP NLAN'!D154/ncoc+IF(SUMSQ('TS-PILE'!$E$72:$E$91)=0,0,'TO HOP NLAN'!E154*'TS-PILE'!$E$76/SUMSQ('TS-PILE'!$E$72:$E$91))+IF(SUMSQ('TS-PILE'!$D$72:$D$91)=0,0,'TO HOP NLAN'!F154*'TS-PILE'!$D$76/SUMSQ('TS-PILE'!$D$72:$D$91))),IF('TS-PILE'!$B$77="",1E+99,'TO HOP NLAN'!D154/ncoc+IF(SUMSQ('TS-PILE'!$E$72:$E$91)=0,0,'TO HOP NLAN'!E154*'TS-PILE'!$E$77/SUMSQ('TS-PILE'!$E$72:$E$91))+IF(SUMSQ('TS-PILE'!$D$72:$D$91)=0,0,'TO HOP NLAN'!F154*'TS-PILE'!$D$77/SUMSQ('TS-PILE'!$D$72:$D$91))),IF('TS-PILE'!$B$78="",1E+99,'TO HOP NLAN'!D154/ncoc+IF(SUMSQ('TS-PILE'!$E$72:$E$91)=0,0,'TO HOP NLAN'!E154*'TS-PILE'!$E$78/SUMSQ('TS-PILE'!$E$72:$E$91))+IF(SUMSQ('TS-PILE'!$D$72:$D$91)=0,0,'TO HOP NLAN'!F154*'TS-PILE'!$D$78/SUMSQ('TS-PILE'!$D$72:$D$91))),IF('TS-PILE'!$B$79="",1E+99,'TO HOP NLAN'!D154/ncoc+IF(SUMSQ('TS-PILE'!$E$72:$E$91)=0,0,'TO HOP NLAN'!E154*'TS-PILE'!$E$79/SUMSQ('TS-PILE'!$E$72:$E$91))+IF(SUMSQ('TS-PILE'!$D$72:$D$91)=0,0,'TO HOP NLAN'!F154*'TS-PILE'!$D$79/SUMSQ('TS-PILE'!$D$72:$D$91))),IF('TS-PILE'!$B$80="",1E+99,'TO HOP NLAN'!D154/ncoc+IF(SUMSQ('TS-PILE'!$E$72:$E$91)=0,0,'TO HOP NLAN'!E154*'TS-PILE'!$E$80/SUMSQ('TS-PILE'!$E$72:$E$91))+IF(SUMSQ('TS-PILE'!$D$72:$D$91)=0,0,'TO HOP NLAN'!F154*'TS-PILE'!$D$80/SUMSQ('TS-PILE'!$D$72:$D$91))),IF('TS-PILE'!$B$81="",1E+99,'TO HOP NLAN'!D154/ncoc+IF(SUMSQ('TS-PILE'!$E$72:$E$91)=0,0,'TO HOP NLAN'!E154*'TS-PILE'!$E$81/SUMSQ('TS-PILE'!$E$72:$E$91))+IF(SUMSQ('TS-PILE'!$D$72:$D$91)=0,0,'TO HOP NLAN'!F154*'TS-PILE'!$D$81/SUMSQ('TS-PILE'!$D$72:$D$91))),IF('TS-PILE'!$B$82="",1E+99,'TO HOP NLAN'!D154/ncoc+IF(SUMSQ('TS-PILE'!$E$72:$E$91)=0,0,'TO HOP NLAN'!E154*'TS-PILE'!$E$82/SUMSQ('TS-PILE'!$E$72:$E$91))+IF(SUMSQ('TS-PILE'!$D$72:$D$91)=0,0,'TO HOP NLAN'!F154*'TS-PILE'!$D$82/SUMSQ('TS-PILE'!$D$72:$D$91))),IF('TS-PILE'!$B$83="",1E+99,'TO HOP NLAN'!D154/ncoc+IF(SUMSQ('TS-PILE'!$E$72:$E$91)=0,0,'TO HOP NLAN'!E154*'TS-PILE'!$E$83/SUMSQ('TS-PILE'!$E$72:$E$91))+IF(SUMSQ('TS-PILE'!$D$72:$D$91)=0,0,'TO HOP NLAN'!F154*'TS-PILE'!$D$83/SUMSQ('TS-PILE'!$D$72:$D$91))),IF('TS-PILE'!$B$84="",1E+99,'TO HOP NLAN'!D154/ncoc+IF(SUMSQ('TS-PILE'!$E$72:$E$91)=0,0,'TO HOP NLAN'!E154*'TS-PILE'!$E$84/SUMSQ('TS-PILE'!$E$72:$E$91))+IF(SUMSQ('TS-PILE'!$D$72:$D$91)=0,0,'TO HOP NLAN'!F154*'TS-PILE'!$D$84/SUMSQ('TS-PILE'!$D$72:$D$91))),IF('TS-PILE'!$B$85="",1E+99,'TO HOP NLAN'!D154/ncoc+IF(SUMSQ('TS-PILE'!$E$72:$E$91)=0,0,'TO HOP NLAN'!E154*'TS-PILE'!$E$85/SUMSQ('TS-PILE'!$E$72:$E$91))+IF(SUMSQ('TS-PILE'!$D$72:$D$91)=0,0,'TO HOP NLAN'!F154*'TS-PILE'!$D$85/SUMSQ('TS-PILE'!$D$72:$D$91))),IF('TS-PILE'!$B$86="",1E+99,'TO HOP NLAN'!D154/ncoc+IF(SUMSQ('TS-PILE'!$E$72:$E$91)=0,0,'TO HOP NLAN'!E154*'TS-PILE'!$E$86/SUMSQ('TS-PILE'!$E$72:$E$91))+IF(SUMSQ('TS-PILE'!$D$72:$D$91)=0,0,'TO HOP NLAN'!F154*'TS-PILE'!$D$86/SUMSQ('TS-PILE'!$D$72:$D$91))),IF('TS-PILE'!$B$87="",1E+99,'TO HOP NLAN'!D154/ncoc+IF(SUMSQ('TS-PILE'!$E$72:$E$91)=0,0,'TO HOP NLAN'!E154*'TS-PILE'!$E$87/SUMSQ('TS-PILE'!$E$72:$E$91))+IF(SUMSQ('TS-PILE'!$D$72:$D$91)=0,0,'TO HOP NLAN'!F154*'TS-PILE'!$D$87/SUMSQ('TS-PILE'!$D$72:$D$91))),IF('TS-PILE'!$B$88="",1E+99,'TO HOP NLAN'!D154/ncoc+IF(SUMSQ('TS-PILE'!$E$72:$E$91)=0,0,'TO HOP NLAN'!E154*'TS-PILE'!$E$88/SUMSQ('TS-PILE'!$E$72:$E$91))+IF(SUMSQ('TS-PILE'!$D$72:$D$91)=0,0,'TO HOP NLAN'!F154*'TS-PILE'!$D$88/SUMSQ('TS-PILE'!$D$72:$D$91))),IF('TS-PILE'!$B$89="",1E+99,'TO HOP NLAN'!D154/ncoc+IF(SUMSQ('TS-PILE'!$E$72:$E$91)=0,0,'TO HOP NLAN'!E154*'TS-PILE'!$E$89/SUMSQ('TS-PILE'!$E$72:$E$91))+IF(SUMSQ('TS-PILE'!$D$72:$D$91)=0,0,'TO HOP NLAN'!F154*'TS-PILE'!$D$89/SUMSQ('TS-PILE'!$D$72:$D$91))),IF('TS-PILE'!$B$90="",1E+99,'TO HOP NLAN'!D154/ncoc+IF(SUMSQ('TS-PILE'!$E$72:$E$91)=0,0,'TO HOP NLAN'!E154*'TS-PILE'!$E$90/SUMSQ('TS-PILE'!$E$72:$E$91))+IF(SUMSQ('TS-PILE'!$D$72:$D$91)=0,0,'TO HOP NLAN'!F154*'TS-PILE'!$D$90/SUMSQ('TS-PILE'!$D$72:$D$91))),IF('TS-PILE'!$B$91="",1E+99,'TO HOP NLAN'!D154/ncoc+IF(SUMSQ('TS-PILE'!$E$72:$E$91)=0,0,'TO HOP NLAN'!E154*'TS-PILE'!$E$91/SUMSQ('TS-PILE'!$E$72:$E$91))+IF(SUMSQ('TS-PILE'!$D$72:$D$91)=0,0,'TO HOP NLAN'!F154*'TS-PILE'!$D$91/SUMSQ('TS-PILE'!$D$72:$D$91)))))</f>
        <v>0</v>
      </c>
      <c r="E154" s="58">
        <f t="shared" si="8"/>
        <v>-9.9999999999999997E+98</v>
      </c>
      <c r="F154" s="58">
        <f t="shared" si="9"/>
        <v>9.9999999999999997E+98</v>
      </c>
      <c r="G154" s="58">
        <f t="shared" si="10"/>
        <v>-9.9999999999999997E+98</v>
      </c>
      <c r="H154" s="58">
        <f t="shared" si="11"/>
        <v>9.9999999999999997E+98</v>
      </c>
    </row>
    <row r="155" spans="1:8" x14ac:dyDescent="0.3">
      <c r="A155" s="42" t="str">
        <f>'TO HOP NLAN'!A155</f>
        <v/>
      </c>
      <c r="B155" s="42" t="str">
        <f>'TO HOP NLAN'!L155</f>
        <v>STRENGTH</v>
      </c>
      <c r="C155" s="58">
        <f>IF(A155="",0,MAX(IF('TS-PILE'!$B$72="",-1E+99,'TO HOP NLAN'!D155/ncoc+IF(SUMSQ('TS-PILE'!$E$72:$E$91)=0,0,'TO HOP NLAN'!E155*'TS-PILE'!$E$72/SUMSQ('TS-PILE'!$E$72:$E$91))+IF(SUMSQ('TS-PILE'!$D$72:$D$91)=0,0,'TO HOP NLAN'!F155*'TS-PILE'!$D$72/SUMSQ('TS-PILE'!$D$72:$D$91))),IF('TS-PILE'!$B$73="",-1E+99,'TO HOP NLAN'!D155/ncoc+IF(SUMSQ('TS-PILE'!$E$72:$E$91)=0,0,'TO HOP NLAN'!E155*'TS-PILE'!$E$73/SUMSQ('TS-PILE'!$E$72:$E$91))+IF(SUMSQ('TS-PILE'!$D$72:$D$91)=0,0,'TO HOP NLAN'!F155*'TS-PILE'!$D$73/SUMSQ('TS-PILE'!$D$72:$D$91))),IF('TS-PILE'!$B$74="",-1E+99,'TO HOP NLAN'!D155/ncoc+IF(SUMSQ('TS-PILE'!$E$72:$E$91)=0,0,'TO HOP NLAN'!E155*'TS-PILE'!$E$74/SUMSQ('TS-PILE'!$E$72:$E$91))+IF(SUMSQ('TS-PILE'!$D$72:$D$91)=0,0,'TO HOP NLAN'!F155*'TS-PILE'!$D$74/SUMSQ('TS-PILE'!$D$72:$D$91))),IF('TS-PILE'!$B$75="",-1E+99,'TO HOP NLAN'!D155/ncoc+IF(SUMSQ('TS-PILE'!$E$72:$E$91)=0,0,'TO HOP NLAN'!E155*'TS-PILE'!$E$75/SUMSQ('TS-PILE'!$E$72:$E$91))+IF(SUMSQ('TS-PILE'!$D$72:$D$91)=0,0,'TO HOP NLAN'!F155*'TS-PILE'!$D$75/SUMSQ('TS-PILE'!$D$72:$D$91))),IF('TS-PILE'!$B$76="",-1E+99,'TO HOP NLAN'!D155/ncoc+IF(SUMSQ('TS-PILE'!$E$72:$E$91)=0,0,'TO HOP NLAN'!E155*'TS-PILE'!$E$76/SUMSQ('TS-PILE'!$E$72:$E$91))+IF(SUMSQ('TS-PILE'!$D$72:$D$91)=0,0,'TO HOP NLAN'!F155*'TS-PILE'!$D$76/SUMSQ('TS-PILE'!$D$72:$D$91))),IF('TS-PILE'!$B$77="",-1E+99,'TO HOP NLAN'!D155/ncoc+IF(SUMSQ('TS-PILE'!$E$72:$E$91)=0,0,'TO HOP NLAN'!E155*'TS-PILE'!$E$77/SUMSQ('TS-PILE'!$E$72:$E$91))+IF(SUMSQ('TS-PILE'!$D$72:$D$91)=0,0,'TO HOP NLAN'!F155*'TS-PILE'!$D$77/SUMSQ('TS-PILE'!$D$72:$D$91))),IF('TS-PILE'!$B$78="",-1E+99,'TO HOP NLAN'!D155/ncoc+IF(SUMSQ('TS-PILE'!$E$72:$E$91)=0,0,'TO HOP NLAN'!E155*'TS-PILE'!$E$78/SUMSQ('TS-PILE'!$E$72:$E$91))+IF(SUMSQ('TS-PILE'!$D$72:$D$91)=0,0,'TO HOP NLAN'!F155*'TS-PILE'!$D$78/SUMSQ('TS-PILE'!$D$72:$D$91))),IF('TS-PILE'!$B$79="",-1E+99,'TO HOP NLAN'!D155/ncoc+IF(SUMSQ('TS-PILE'!$E$72:$E$91)=0,0,'TO HOP NLAN'!E155*'TS-PILE'!$E$79/SUMSQ('TS-PILE'!$E$72:$E$91))+IF(SUMSQ('TS-PILE'!$D$72:$D$91)=0,0,'TO HOP NLAN'!F155*'TS-PILE'!$D$79/SUMSQ('TS-PILE'!$D$72:$D$91))),IF('TS-PILE'!$B$80="",-1E+99,'TO HOP NLAN'!D155/ncoc+IF(SUMSQ('TS-PILE'!$E$72:$E$91)=0,0,'TO HOP NLAN'!E155*'TS-PILE'!$E$80/SUMSQ('TS-PILE'!$E$72:$E$91))+IF(SUMSQ('TS-PILE'!$D$72:$D$91)=0,0,'TO HOP NLAN'!F155*'TS-PILE'!$D$80/SUMSQ('TS-PILE'!$D$72:$D$91))),IF('TS-PILE'!$B$81="",-1E+99,'TO HOP NLAN'!D155/ncoc+IF(SUMSQ('TS-PILE'!$E$72:$E$91)=0,0,'TO HOP NLAN'!E155*'TS-PILE'!$E$81/SUMSQ('TS-PILE'!$E$72:$E$91))+IF(SUMSQ('TS-PILE'!$D$72:$D$91)=0,0,'TO HOP NLAN'!F155*'TS-PILE'!$D$81/SUMSQ('TS-PILE'!$D$72:$D$91))),IF('TS-PILE'!$B$82="",-1E+99,'TO HOP NLAN'!D155/ncoc+IF(SUMSQ('TS-PILE'!$E$72:$E$91)=0,0,'TO HOP NLAN'!E155*'TS-PILE'!$E$82/SUMSQ('TS-PILE'!$E$72:$E$91))+IF(SUMSQ('TS-PILE'!$D$72:$D$91)=0,0,'TO HOP NLAN'!F155*'TS-PILE'!$D$82/SUMSQ('TS-PILE'!$D$72:$D$91))),IF('TS-PILE'!$B$83="",-1E+99,'TO HOP NLAN'!D155/ncoc+IF(SUMSQ('TS-PILE'!$E$72:$E$91)=0,0,'TO HOP NLAN'!E155*'TS-PILE'!$E$83/SUMSQ('TS-PILE'!$E$72:$E$91))+IF(SUMSQ('TS-PILE'!$D$72:$D$91)=0,0,'TO HOP NLAN'!F155*'TS-PILE'!$D$83/SUMSQ('TS-PILE'!$D$72:$D$91))),IF('TS-PILE'!$B$84="",-1E+99,'TO HOP NLAN'!D155/ncoc+IF(SUMSQ('TS-PILE'!$E$72:$E$91)=0,0,'TO HOP NLAN'!E155*'TS-PILE'!$E$84/SUMSQ('TS-PILE'!$E$72:$E$91))+IF(SUMSQ('TS-PILE'!$D$72:$D$91)=0,0,'TO HOP NLAN'!F155*'TS-PILE'!$D$84/SUMSQ('TS-PILE'!$D$72:$D$91))),IF('TS-PILE'!$B$85="",-1E+99,'TO HOP NLAN'!D155/ncoc+IF(SUMSQ('TS-PILE'!$E$72:$E$91)=0,0,'TO HOP NLAN'!E155*'TS-PILE'!$E$85/SUMSQ('TS-PILE'!$E$72:$E$91))+IF(SUMSQ('TS-PILE'!$D$72:$D$91)=0,0,'TO HOP NLAN'!F155*'TS-PILE'!$D$85/SUMSQ('TS-PILE'!$D$72:$D$91))),IF('TS-PILE'!$B$86="",-1E+99,'TO HOP NLAN'!D155/ncoc+IF(SUMSQ('TS-PILE'!$E$72:$E$91)=0,0,'TO HOP NLAN'!E155*'TS-PILE'!$E$86/SUMSQ('TS-PILE'!$E$72:$E$91))+IF(SUMSQ('TS-PILE'!$D$72:$D$91)=0,0,'TO HOP NLAN'!F155*'TS-PILE'!$D$86/SUMSQ('TS-PILE'!$D$72:$D$91))),IF('TS-PILE'!$B$87="",-1E+99,'TO HOP NLAN'!D155/ncoc+IF(SUMSQ('TS-PILE'!$E$72:$E$91)=0,0,'TO HOP NLAN'!E155*'TS-PILE'!$E$87/SUMSQ('TS-PILE'!$E$72:$E$91))+IF(SUMSQ('TS-PILE'!$D$72:$D$91)=0,0,'TO HOP NLAN'!F155*'TS-PILE'!$D$87/SUMSQ('TS-PILE'!$D$72:$D$91))),IF('TS-PILE'!$B$88="",-1E+99,'TO HOP NLAN'!D155/ncoc+IF(SUMSQ('TS-PILE'!$E$72:$E$91)=0,0,'TO HOP NLAN'!E155*'TS-PILE'!$E$88/SUMSQ('TS-PILE'!$E$72:$E$91))+IF(SUMSQ('TS-PILE'!$D$72:$D$91)=0,0,'TO HOP NLAN'!F155*'TS-PILE'!$D$88/SUMSQ('TS-PILE'!$D$72:$D$91))),IF('TS-PILE'!$B$89="",-1E+99,'TO HOP NLAN'!D155/ncoc+IF(SUMSQ('TS-PILE'!$E$72:$E$91)=0,0,'TO HOP NLAN'!E155*'TS-PILE'!$E$89/SUMSQ('TS-PILE'!$E$72:$E$91))+IF(SUMSQ('TS-PILE'!$D$72:$D$91)=0,0,'TO HOP NLAN'!F155*'TS-PILE'!$D$89/SUMSQ('TS-PILE'!$D$72:$D$91))),IF('TS-PILE'!$B$90="",-1E+99,'TO HOP NLAN'!D155/ncoc+IF(SUMSQ('TS-PILE'!$E$72:$E$91)=0,0,'TO HOP NLAN'!E155*'TS-PILE'!$E$90/SUMSQ('TS-PILE'!$E$72:$E$91))+IF(SUMSQ('TS-PILE'!$D$72:$D$91)=0,0,'TO HOP NLAN'!F155*'TS-PILE'!$D$90/SUMSQ('TS-PILE'!$D$72:$D$91))),IF('TS-PILE'!$B$91="",-1E+99,'TO HOP NLAN'!D155/ncoc+IF(SUMSQ('TS-PILE'!$E$72:$E$91)=0,0,'TO HOP NLAN'!E155*'TS-PILE'!$E$91/SUMSQ('TS-PILE'!$E$72:$E$91))+IF(SUMSQ('TS-PILE'!$D$72:$D$91)=0,0,'TO HOP NLAN'!F155*'TS-PILE'!$D$91/SUMSQ('TS-PILE'!$D$72:$D$91)))))</f>
        <v>0</v>
      </c>
      <c r="D155" s="58">
        <f>IF(A155="",0,MIN(IF('TS-PILE'!$B$72="",1E+99,'TO HOP NLAN'!D155/ncoc+IF(SUMSQ('TS-PILE'!$E$72:$E$91)=0,0,'TO HOP NLAN'!E155*'TS-PILE'!$E$72/SUMSQ('TS-PILE'!$E$72:$E$91))+IF(SUMSQ('TS-PILE'!$D$72:$D$91)=0,0,'TO HOP NLAN'!F155*'TS-PILE'!$D$72/SUMSQ('TS-PILE'!$D$72:$D$91))),IF('TS-PILE'!$B$73="",1E+99,'TO HOP NLAN'!D155/ncoc+IF(SUMSQ('TS-PILE'!$E$72:$E$91)=0,0,'TO HOP NLAN'!E155*'TS-PILE'!$E$73/SUMSQ('TS-PILE'!$E$72:$E$91))+IF(SUMSQ('TS-PILE'!$D$72:$D$91)=0,0,'TO HOP NLAN'!F155*'TS-PILE'!$D$73/SUMSQ('TS-PILE'!$D$72:$D$91))),IF('TS-PILE'!$B$74="",1E+99,'TO HOP NLAN'!D155/ncoc+IF(SUMSQ('TS-PILE'!$E$72:$E$91)=0,0,'TO HOP NLAN'!E155*'TS-PILE'!$E$74/SUMSQ('TS-PILE'!$E$72:$E$91))+IF(SUMSQ('TS-PILE'!$D$72:$D$91)=0,0,'TO HOP NLAN'!F155*'TS-PILE'!$D$74/SUMSQ('TS-PILE'!$D$72:$D$91))),IF('TS-PILE'!$B$75="",1E+99,'TO HOP NLAN'!D155/ncoc+IF(SUMSQ('TS-PILE'!$E$72:$E$91)=0,0,'TO HOP NLAN'!E155*'TS-PILE'!$E$75/SUMSQ('TS-PILE'!$E$72:$E$91))+IF(SUMSQ('TS-PILE'!$D$72:$D$91)=0,0,'TO HOP NLAN'!F155*'TS-PILE'!$D$75/SUMSQ('TS-PILE'!$D$72:$D$91))),IF('TS-PILE'!$B$76="",1E+99,'TO HOP NLAN'!D155/ncoc+IF(SUMSQ('TS-PILE'!$E$72:$E$91)=0,0,'TO HOP NLAN'!E155*'TS-PILE'!$E$76/SUMSQ('TS-PILE'!$E$72:$E$91))+IF(SUMSQ('TS-PILE'!$D$72:$D$91)=0,0,'TO HOP NLAN'!F155*'TS-PILE'!$D$76/SUMSQ('TS-PILE'!$D$72:$D$91))),IF('TS-PILE'!$B$77="",1E+99,'TO HOP NLAN'!D155/ncoc+IF(SUMSQ('TS-PILE'!$E$72:$E$91)=0,0,'TO HOP NLAN'!E155*'TS-PILE'!$E$77/SUMSQ('TS-PILE'!$E$72:$E$91))+IF(SUMSQ('TS-PILE'!$D$72:$D$91)=0,0,'TO HOP NLAN'!F155*'TS-PILE'!$D$77/SUMSQ('TS-PILE'!$D$72:$D$91))),IF('TS-PILE'!$B$78="",1E+99,'TO HOP NLAN'!D155/ncoc+IF(SUMSQ('TS-PILE'!$E$72:$E$91)=0,0,'TO HOP NLAN'!E155*'TS-PILE'!$E$78/SUMSQ('TS-PILE'!$E$72:$E$91))+IF(SUMSQ('TS-PILE'!$D$72:$D$91)=0,0,'TO HOP NLAN'!F155*'TS-PILE'!$D$78/SUMSQ('TS-PILE'!$D$72:$D$91))),IF('TS-PILE'!$B$79="",1E+99,'TO HOP NLAN'!D155/ncoc+IF(SUMSQ('TS-PILE'!$E$72:$E$91)=0,0,'TO HOP NLAN'!E155*'TS-PILE'!$E$79/SUMSQ('TS-PILE'!$E$72:$E$91))+IF(SUMSQ('TS-PILE'!$D$72:$D$91)=0,0,'TO HOP NLAN'!F155*'TS-PILE'!$D$79/SUMSQ('TS-PILE'!$D$72:$D$91))),IF('TS-PILE'!$B$80="",1E+99,'TO HOP NLAN'!D155/ncoc+IF(SUMSQ('TS-PILE'!$E$72:$E$91)=0,0,'TO HOP NLAN'!E155*'TS-PILE'!$E$80/SUMSQ('TS-PILE'!$E$72:$E$91))+IF(SUMSQ('TS-PILE'!$D$72:$D$91)=0,0,'TO HOP NLAN'!F155*'TS-PILE'!$D$80/SUMSQ('TS-PILE'!$D$72:$D$91))),IF('TS-PILE'!$B$81="",1E+99,'TO HOP NLAN'!D155/ncoc+IF(SUMSQ('TS-PILE'!$E$72:$E$91)=0,0,'TO HOP NLAN'!E155*'TS-PILE'!$E$81/SUMSQ('TS-PILE'!$E$72:$E$91))+IF(SUMSQ('TS-PILE'!$D$72:$D$91)=0,0,'TO HOP NLAN'!F155*'TS-PILE'!$D$81/SUMSQ('TS-PILE'!$D$72:$D$91))),IF('TS-PILE'!$B$82="",1E+99,'TO HOP NLAN'!D155/ncoc+IF(SUMSQ('TS-PILE'!$E$72:$E$91)=0,0,'TO HOP NLAN'!E155*'TS-PILE'!$E$82/SUMSQ('TS-PILE'!$E$72:$E$91))+IF(SUMSQ('TS-PILE'!$D$72:$D$91)=0,0,'TO HOP NLAN'!F155*'TS-PILE'!$D$82/SUMSQ('TS-PILE'!$D$72:$D$91))),IF('TS-PILE'!$B$83="",1E+99,'TO HOP NLAN'!D155/ncoc+IF(SUMSQ('TS-PILE'!$E$72:$E$91)=0,0,'TO HOP NLAN'!E155*'TS-PILE'!$E$83/SUMSQ('TS-PILE'!$E$72:$E$91))+IF(SUMSQ('TS-PILE'!$D$72:$D$91)=0,0,'TO HOP NLAN'!F155*'TS-PILE'!$D$83/SUMSQ('TS-PILE'!$D$72:$D$91))),IF('TS-PILE'!$B$84="",1E+99,'TO HOP NLAN'!D155/ncoc+IF(SUMSQ('TS-PILE'!$E$72:$E$91)=0,0,'TO HOP NLAN'!E155*'TS-PILE'!$E$84/SUMSQ('TS-PILE'!$E$72:$E$91))+IF(SUMSQ('TS-PILE'!$D$72:$D$91)=0,0,'TO HOP NLAN'!F155*'TS-PILE'!$D$84/SUMSQ('TS-PILE'!$D$72:$D$91))),IF('TS-PILE'!$B$85="",1E+99,'TO HOP NLAN'!D155/ncoc+IF(SUMSQ('TS-PILE'!$E$72:$E$91)=0,0,'TO HOP NLAN'!E155*'TS-PILE'!$E$85/SUMSQ('TS-PILE'!$E$72:$E$91))+IF(SUMSQ('TS-PILE'!$D$72:$D$91)=0,0,'TO HOP NLAN'!F155*'TS-PILE'!$D$85/SUMSQ('TS-PILE'!$D$72:$D$91))),IF('TS-PILE'!$B$86="",1E+99,'TO HOP NLAN'!D155/ncoc+IF(SUMSQ('TS-PILE'!$E$72:$E$91)=0,0,'TO HOP NLAN'!E155*'TS-PILE'!$E$86/SUMSQ('TS-PILE'!$E$72:$E$91))+IF(SUMSQ('TS-PILE'!$D$72:$D$91)=0,0,'TO HOP NLAN'!F155*'TS-PILE'!$D$86/SUMSQ('TS-PILE'!$D$72:$D$91))),IF('TS-PILE'!$B$87="",1E+99,'TO HOP NLAN'!D155/ncoc+IF(SUMSQ('TS-PILE'!$E$72:$E$91)=0,0,'TO HOP NLAN'!E155*'TS-PILE'!$E$87/SUMSQ('TS-PILE'!$E$72:$E$91))+IF(SUMSQ('TS-PILE'!$D$72:$D$91)=0,0,'TO HOP NLAN'!F155*'TS-PILE'!$D$87/SUMSQ('TS-PILE'!$D$72:$D$91))),IF('TS-PILE'!$B$88="",1E+99,'TO HOP NLAN'!D155/ncoc+IF(SUMSQ('TS-PILE'!$E$72:$E$91)=0,0,'TO HOP NLAN'!E155*'TS-PILE'!$E$88/SUMSQ('TS-PILE'!$E$72:$E$91))+IF(SUMSQ('TS-PILE'!$D$72:$D$91)=0,0,'TO HOP NLAN'!F155*'TS-PILE'!$D$88/SUMSQ('TS-PILE'!$D$72:$D$91))),IF('TS-PILE'!$B$89="",1E+99,'TO HOP NLAN'!D155/ncoc+IF(SUMSQ('TS-PILE'!$E$72:$E$91)=0,0,'TO HOP NLAN'!E155*'TS-PILE'!$E$89/SUMSQ('TS-PILE'!$E$72:$E$91))+IF(SUMSQ('TS-PILE'!$D$72:$D$91)=0,0,'TO HOP NLAN'!F155*'TS-PILE'!$D$89/SUMSQ('TS-PILE'!$D$72:$D$91))),IF('TS-PILE'!$B$90="",1E+99,'TO HOP NLAN'!D155/ncoc+IF(SUMSQ('TS-PILE'!$E$72:$E$91)=0,0,'TO HOP NLAN'!E155*'TS-PILE'!$E$90/SUMSQ('TS-PILE'!$E$72:$E$91))+IF(SUMSQ('TS-PILE'!$D$72:$D$91)=0,0,'TO HOP NLAN'!F155*'TS-PILE'!$D$90/SUMSQ('TS-PILE'!$D$72:$D$91))),IF('TS-PILE'!$B$91="",1E+99,'TO HOP NLAN'!D155/ncoc+IF(SUMSQ('TS-PILE'!$E$72:$E$91)=0,0,'TO HOP NLAN'!E155*'TS-PILE'!$E$91/SUMSQ('TS-PILE'!$E$72:$E$91))+IF(SUMSQ('TS-PILE'!$D$72:$D$91)=0,0,'TO HOP NLAN'!F155*'TS-PILE'!$D$91/SUMSQ('TS-PILE'!$D$72:$D$91)))))</f>
        <v>0</v>
      </c>
      <c r="E155" s="58">
        <f t="shared" si="8"/>
        <v>-9.9999999999999997E+98</v>
      </c>
      <c r="F155" s="58">
        <f t="shared" si="9"/>
        <v>9.9999999999999997E+98</v>
      </c>
      <c r="G155" s="58">
        <f t="shared" si="10"/>
        <v>-9.9999999999999997E+98</v>
      </c>
      <c r="H155" s="58">
        <f t="shared" si="11"/>
        <v>9.9999999999999997E+98</v>
      </c>
    </row>
    <row r="156" spans="1:8" x14ac:dyDescent="0.3">
      <c r="A156" s="42" t="str">
        <f>'TO HOP NLAN'!A156</f>
        <v/>
      </c>
      <c r="B156" s="42" t="str">
        <f>'TO HOP NLAN'!L156</f>
        <v>STRENGTH</v>
      </c>
      <c r="C156" s="58">
        <f>IF(A156="",0,MAX(IF('TS-PILE'!$B$72="",-1E+99,'TO HOP NLAN'!D156/ncoc+IF(SUMSQ('TS-PILE'!$E$72:$E$91)=0,0,'TO HOP NLAN'!E156*'TS-PILE'!$E$72/SUMSQ('TS-PILE'!$E$72:$E$91))+IF(SUMSQ('TS-PILE'!$D$72:$D$91)=0,0,'TO HOP NLAN'!F156*'TS-PILE'!$D$72/SUMSQ('TS-PILE'!$D$72:$D$91))),IF('TS-PILE'!$B$73="",-1E+99,'TO HOP NLAN'!D156/ncoc+IF(SUMSQ('TS-PILE'!$E$72:$E$91)=0,0,'TO HOP NLAN'!E156*'TS-PILE'!$E$73/SUMSQ('TS-PILE'!$E$72:$E$91))+IF(SUMSQ('TS-PILE'!$D$72:$D$91)=0,0,'TO HOP NLAN'!F156*'TS-PILE'!$D$73/SUMSQ('TS-PILE'!$D$72:$D$91))),IF('TS-PILE'!$B$74="",-1E+99,'TO HOP NLAN'!D156/ncoc+IF(SUMSQ('TS-PILE'!$E$72:$E$91)=0,0,'TO HOP NLAN'!E156*'TS-PILE'!$E$74/SUMSQ('TS-PILE'!$E$72:$E$91))+IF(SUMSQ('TS-PILE'!$D$72:$D$91)=0,0,'TO HOP NLAN'!F156*'TS-PILE'!$D$74/SUMSQ('TS-PILE'!$D$72:$D$91))),IF('TS-PILE'!$B$75="",-1E+99,'TO HOP NLAN'!D156/ncoc+IF(SUMSQ('TS-PILE'!$E$72:$E$91)=0,0,'TO HOP NLAN'!E156*'TS-PILE'!$E$75/SUMSQ('TS-PILE'!$E$72:$E$91))+IF(SUMSQ('TS-PILE'!$D$72:$D$91)=0,0,'TO HOP NLAN'!F156*'TS-PILE'!$D$75/SUMSQ('TS-PILE'!$D$72:$D$91))),IF('TS-PILE'!$B$76="",-1E+99,'TO HOP NLAN'!D156/ncoc+IF(SUMSQ('TS-PILE'!$E$72:$E$91)=0,0,'TO HOP NLAN'!E156*'TS-PILE'!$E$76/SUMSQ('TS-PILE'!$E$72:$E$91))+IF(SUMSQ('TS-PILE'!$D$72:$D$91)=0,0,'TO HOP NLAN'!F156*'TS-PILE'!$D$76/SUMSQ('TS-PILE'!$D$72:$D$91))),IF('TS-PILE'!$B$77="",-1E+99,'TO HOP NLAN'!D156/ncoc+IF(SUMSQ('TS-PILE'!$E$72:$E$91)=0,0,'TO HOP NLAN'!E156*'TS-PILE'!$E$77/SUMSQ('TS-PILE'!$E$72:$E$91))+IF(SUMSQ('TS-PILE'!$D$72:$D$91)=0,0,'TO HOP NLAN'!F156*'TS-PILE'!$D$77/SUMSQ('TS-PILE'!$D$72:$D$91))),IF('TS-PILE'!$B$78="",-1E+99,'TO HOP NLAN'!D156/ncoc+IF(SUMSQ('TS-PILE'!$E$72:$E$91)=0,0,'TO HOP NLAN'!E156*'TS-PILE'!$E$78/SUMSQ('TS-PILE'!$E$72:$E$91))+IF(SUMSQ('TS-PILE'!$D$72:$D$91)=0,0,'TO HOP NLAN'!F156*'TS-PILE'!$D$78/SUMSQ('TS-PILE'!$D$72:$D$91))),IF('TS-PILE'!$B$79="",-1E+99,'TO HOP NLAN'!D156/ncoc+IF(SUMSQ('TS-PILE'!$E$72:$E$91)=0,0,'TO HOP NLAN'!E156*'TS-PILE'!$E$79/SUMSQ('TS-PILE'!$E$72:$E$91))+IF(SUMSQ('TS-PILE'!$D$72:$D$91)=0,0,'TO HOP NLAN'!F156*'TS-PILE'!$D$79/SUMSQ('TS-PILE'!$D$72:$D$91))),IF('TS-PILE'!$B$80="",-1E+99,'TO HOP NLAN'!D156/ncoc+IF(SUMSQ('TS-PILE'!$E$72:$E$91)=0,0,'TO HOP NLAN'!E156*'TS-PILE'!$E$80/SUMSQ('TS-PILE'!$E$72:$E$91))+IF(SUMSQ('TS-PILE'!$D$72:$D$91)=0,0,'TO HOP NLAN'!F156*'TS-PILE'!$D$80/SUMSQ('TS-PILE'!$D$72:$D$91))),IF('TS-PILE'!$B$81="",-1E+99,'TO HOP NLAN'!D156/ncoc+IF(SUMSQ('TS-PILE'!$E$72:$E$91)=0,0,'TO HOP NLAN'!E156*'TS-PILE'!$E$81/SUMSQ('TS-PILE'!$E$72:$E$91))+IF(SUMSQ('TS-PILE'!$D$72:$D$91)=0,0,'TO HOP NLAN'!F156*'TS-PILE'!$D$81/SUMSQ('TS-PILE'!$D$72:$D$91))),IF('TS-PILE'!$B$82="",-1E+99,'TO HOP NLAN'!D156/ncoc+IF(SUMSQ('TS-PILE'!$E$72:$E$91)=0,0,'TO HOP NLAN'!E156*'TS-PILE'!$E$82/SUMSQ('TS-PILE'!$E$72:$E$91))+IF(SUMSQ('TS-PILE'!$D$72:$D$91)=0,0,'TO HOP NLAN'!F156*'TS-PILE'!$D$82/SUMSQ('TS-PILE'!$D$72:$D$91))),IF('TS-PILE'!$B$83="",-1E+99,'TO HOP NLAN'!D156/ncoc+IF(SUMSQ('TS-PILE'!$E$72:$E$91)=0,0,'TO HOP NLAN'!E156*'TS-PILE'!$E$83/SUMSQ('TS-PILE'!$E$72:$E$91))+IF(SUMSQ('TS-PILE'!$D$72:$D$91)=0,0,'TO HOP NLAN'!F156*'TS-PILE'!$D$83/SUMSQ('TS-PILE'!$D$72:$D$91))),IF('TS-PILE'!$B$84="",-1E+99,'TO HOP NLAN'!D156/ncoc+IF(SUMSQ('TS-PILE'!$E$72:$E$91)=0,0,'TO HOP NLAN'!E156*'TS-PILE'!$E$84/SUMSQ('TS-PILE'!$E$72:$E$91))+IF(SUMSQ('TS-PILE'!$D$72:$D$91)=0,0,'TO HOP NLAN'!F156*'TS-PILE'!$D$84/SUMSQ('TS-PILE'!$D$72:$D$91))),IF('TS-PILE'!$B$85="",-1E+99,'TO HOP NLAN'!D156/ncoc+IF(SUMSQ('TS-PILE'!$E$72:$E$91)=0,0,'TO HOP NLAN'!E156*'TS-PILE'!$E$85/SUMSQ('TS-PILE'!$E$72:$E$91))+IF(SUMSQ('TS-PILE'!$D$72:$D$91)=0,0,'TO HOP NLAN'!F156*'TS-PILE'!$D$85/SUMSQ('TS-PILE'!$D$72:$D$91))),IF('TS-PILE'!$B$86="",-1E+99,'TO HOP NLAN'!D156/ncoc+IF(SUMSQ('TS-PILE'!$E$72:$E$91)=0,0,'TO HOP NLAN'!E156*'TS-PILE'!$E$86/SUMSQ('TS-PILE'!$E$72:$E$91))+IF(SUMSQ('TS-PILE'!$D$72:$D$91)=0,0,'TO HOP NLAN'!F156*'TS-PILE'!$D$86/SUMSQ('TS-PILE'!$D$72:$D$91))),IF('TS-PILE'!$B$87="",-1E+99,'TO HOP NLAN'!D156/ncoc+IF(SUMSQ('TS-PILE'!$E$72:$E$91)=0,0,'TO HOP NLAN'!E156*'TS-PILE'!$E$87/SUMSQ('TS-PILE'!$E$72:$E$91))+IF(SUMSQ('TS-PILE'!$D$72:$D$91)=0,0,'TO HOP NLAN'!F156*'TS-PILE'!$D$87/SUMSQ('TS-PILE'!$D$72:$D$91))),IF('TS-PILE'!$B$88="",-1E+99,'TO HOP NLAN'!D156/ncoc+IF(SUMSQ('TS-PILE'!$E$72:$E$91)=0,0,'TO HOP NLAN'!E156*'TS-PILE'!$E$88/SUMSQ('TS-PILE'!$E$72:$E$91))+IF(SUMSQ('TS-PILE'!$D$72:$D$91)=0,0,'TO HOP NLAN'!F156*'TS-PILE'!$D$88/SUMSQ('TS-PILE'!$D$72:$D$91))),IF('TS-PILE'!$B$89="",-1E+99,'TO HOP NLAN'!D156/ncoc+IF(SUMSQ('TS-PILE'!$E$72:$E$91)=0,0,'TO HOP NLAN'!E156*'TS-PILE'!$E$89/SUMSQ('TS-PILE'!$E$72:$E$91))+IF(SUMSQ('TS-PILE'!$D$72:$D$91)=0,0,'TO HOP NLAN'!F156*'TS-PILE'!$D$89/SUMSQ('TS-PILE'!$D$72:$D$91))),IF('TS-PILE'!$B$90="",-1E+99,'TO HOP NLAN'!D156/ncoc+IF(SUMSQ('TS-PILE'!$E$72:$E$91)=0,0,'TO HOP NLAN'!E156*'TS-PILE'!$E$90/SUMSQ('TS-PILE'!$E$72:$E$91))+IF(SUMSQ('TS-PILE'!$D$72:$D$91)=0,0,'TO HOP NLAN'!F156*'TS-PILE'!$D$90/SUMSQ('TS-PILE'!$D$72:$D$91))),IF('TS-PILE'!$B$91="",-1E+99,'TO HOP NLAN'!D156/ncoc+IF(SUMSQ('TS-PILE'!$E$72:$E$91)=0,0,'TO HOP NLAN'!E156*'TS-PILE'!$E$91/SUMSQ('TS-PILE'!$E$72:$E$91))+IF(SUMSQ('TS-PILE'!$D$72:$D$91)=0,0,'TO HOP NLAN'!F156*'TS-PILE'!$D$91/SUMSQ('TS-PILE'!$D$72:$D$91)))))</f>
        <v>0</v>
      </c>
      <c r="D156" s="58">
        <f>IF(A156="",0,MIN(IF('TS-PILE'!$B$72="",1E+99,'TO HOP NLAN'!D156/ncoc+IF(SUMSQ('TS-PILE'!$E$72:$E$91)=0,0,'TO HOP NLAN'!E156*'TS-PILE'!$E$72/SUMSQ('TS-PILE'!$E$72:$E$91))+IF(SUMSQ('TS-PILE'!$D$72:$D$91)=0,0,'TO HOP NLAN'!F156*'TS-PILE'!$D$72/SUMSQ('TS-PILE'!$D$72:$D$91))),IF('TS-PILE'!$B$73="",1E+99,'TO HOP NLAN'!D156/ncoc+IF(SUMSQ('TS-PILE'!$E$72:$E$91)=0,0,'TO HOP NLAN'!E156*'TS-PILE'!$E$73/SUMSQ('TS-PILE'!$E$72:$E$91))+IF(SUMSQ('TS-PILE'!$D$72:$D$91)=0,0,'TO HOP NLAN'!F156*'TS-PILE'!$D$73/SUMSQ('TS-PILE'!$D$72:$D$91))),IF('TS-PILE'!$B$74="",1E+99,'TO HOP NLAN'!D156/ncoc+IF(SUMSQ('TS-PILE'!$E$72:$E$91)=0,0,'TO HOP NLAN'!E156*'TS-PILE'!$E$74/SUMSQ('TS-PILE'!$E$72:$E$91))+IF(SUMSQ('TS-PILE'!$D$72:$D$91)=0,0,'TO HOP NLAN'!F156*'TS-PILE'!$D$74/SUMSQ('TS-PILE'!$D$72:$D$91))),IF('TS-PILE'!$B$75="",1E+99,'TO HOP NLAN'!D156/ncoc+IF(SUMSQ('TS-PILE'!$E$72:$E$91)=0,0,'TO HOP NLAN'!E156*'TS-PILE'!$E$75/SUMSQ('TS-PILE'!$E$72:$E$91))+IF(SUMSQ('TS-PILE'!$D$72:$D$91)=0,0,'TO HOP NLAN'!F156*'TS-PILE'!$D$75/SUMSQ('TS-PILE'!$D$72:$D$91))),IF('TS-PILE'!$B$76="",1E+99,'TO HOP NLAN'!D156/ncoc+IF(SUMSQ('TS-PILE'!$E$72:$E$91)=0,0,'TO HOP NLAN'!E156*'TS-PILE'!$E$76/SUMSQ('TS-PILE'!$E$72:$E$91))+IF(SUMSQ('TS-PILE'!$D$72:$D$91)=0,0,'TO HOP NLAN'!F156*'TS-PILE'!$D$76/SUMSQ('TS-PILE'!$D$72:$D$91))),IF('TS-PILE'!$B$77="",1E+99,'TO HOP NLAN'!D156/ncoc+IF(SUMSQ('TS-PILE'!$E$72:$E$91)=0,0,'TO HOP NLAN'!E156*'TS-PILE'!$E$77/SUMSQ('TS-PILE'!$E$72:$E$91))+IF(SUMSQ('TS-PILE'!$D$72:$D$91)=0,0,'TO HOP NLAN'!F156*'TS-PILE'!$D$77/SUMSQ('TS-PILE'!$D$72:$D$91))),IF('TS-PILE'!$B$78="",1E+99,'TO HOP NLAN'!D156/ncoc+IF(SUMSQ('TS-PILE'!$E$72:$E$91)=0,0,'TO HOP NLAN'!E156*'TS-PILE'!$E$78/SUMSQ('TS-PILE'!$E$72:$E$91))+IF(SUMSQ('TS-PILE'!$D$72:$D$91)=0,0,'TO HOP NLAN'!F156*'TS-PILE'!$D$78/SUMSQ('TS-PILE'!$D$72:$D$91))),IF('TS-PILE'!$B$79="",1E+99,'TO HOP NLAN'!D156/ncoc+IF(SUMSQ('TS-PILE'!$E$72:$E$91)=0,0,'TO HOP NLAN'!E156*'TS-PILE'!$E$79/SUMSQ('TS-PILE'!$E$72:$E$91))+IF(SUMSQ('TS-PILE'!$D$72:$D$91)=0,0,'TO HOP NLAN'!F156*'TS-PILE'!$D$79/SUMSQ('TS-PILE'!$D$72:$D$91))),IF('TS-PILE'!$B$80="",1E+99,'TO HOP NLAN'!D156/ncoc+IF(SUMSQ('TS-PILE'!$E$72:$E$91)=0,0,'TO HOP NLAN'!E156*'TS-PILE'!$E$80/SUMSQ('TS-PILE'!$E$72:$E$91))+IF(SUMSQ('TS-PILE'!$D$72:$D$91)=0,0,'TO HOP NLAN'!F156*'TS-PILE'!$D$80/SUMSQ('TS-PILE'!$D$72:$D$91))),IF('TS-PILE'!$B$81="",1E+99,'TO HOP NLAN'!D156/ncoc+IF(SUMSQ('TS-PILE'!$E$72:$E$91)=0,0,'TO HOP NLAN'!E156*'TS-PILE'!$E$81/SUMSQ('TS-PILE'!$E$72:$E$91))+IF(SUMSQ('TS-PILE'!$D$72:$D$91)=0,0,'TO HOP NLAN'!F156*'TS-PILE'!$D$81/SUMSQ('TS-PILE'!$D$72:$D$91))),IF('TS-PILE'!$B$82="",1E+99,'TO HOP NLAN'!D156/ncoc+IF(SUMSQ('TS-PILE'!$E$72:$E$91)=0,0,'TO HOP NLAN'!E156*'TS-PILE'!$E$82/SUMSQ('TS-PILE'!$E$72:$E$91))+IF(SUMSQ('TS-PILE'!$D$72:$D$91)=0,0,'TO HOP NLAN'!F156*'TS-PILE'!$D$82/SUMSQ('TS-PILE'!$D$72:$D$91))),IF('TS-PILE'!$B$83="",1E+99,'TO HOP NLAN'!D156/ncoc+IF(SUMSQ('TS-PILE'!$E$72:$E$91)=0,0,'TO HOP NLAN'!E156*'TS-PILE'!$E$83/SUMSQ('TS-PILE'!$E$72:$E$91))+IF(SUMSQ('TS-PILE'!$D$72:$D$91)=0,0,'TO HOP NLAN'!F156*'TS-PILE'!$D$83/SUMSQ('TS-PILE'!$D$72:$D$91))),IF('TS-PILE'!$B$84="",1E+99,'TO HOP NLAN'!D156/ncoc+IF(SUMSQ('TS-PILE'!$E$72:$E$91)=0,0,'TO HOP NLAN'!E156*'TS-PILE'!$E$84/SUMSQ('TS-PILE'!$E$72:$E$91))+IF(SUMSQ('TS-PILE'!$D$72:$D$91)=0,0,'TO HOP NLAN'!F156*'TS-PILE'!$D$84/SUMSQ('TS-PILE'!$D$72:$D$91))),IF('TS-PILE'!$B$85="",1E+99,'TO HOP NLAN'!D156/ncoc+IF(SUMSQ('TS-PILE'!$E$72:$E$91)=0,0,'TO HOP NLAN'!E156*'TS-PILE'!$E$85/SUMSQ('TS-PILE'!$E$72:$E$91))+IF(SUMSQ('TS-PILE'!$D$72:$D$91)=0,0,'TO HOP NLAN'!F156*'TS-PILE'!$D$85/SUMSQ('TS-PILE'!$D$72:$D$91))),IF('TS-PILE'!$B$86="",1E+99,'TO HOP NLAN'!D156/ncoc+IF(SUMSQ('TS-PILE'!$E$72:$E$91)=0,0,'TO HOP NLAN'!E156*'TS-PILE'!$E$86/SUMSQ('TS-PILE'!$E$72:$E$91))+IF(SUMSQ('TS-PILE'!$D$72:$D$91)=0,0,'TO HOP NLAN'!F156*'TS-PILE'!$D$86/SUMSQ('TS-PILE'!$D$72:$D$91))),IF('TS-PILE'!$B$87="",1E+99,'TO HOP NLAN'!D156/ncoc+IF(SUMSQ('TS-PILE'!$E$72:$E$91)=0,0,'TO HOP NLAN'!E156*'TS-PILE'!$E$87/SUMSQ('TS-PILE'!$E$72:$E$91))+IF(SUMSQ('TS-PILE'!$D$72:$D$91)=0,0,'TO HOP NLAN'!F156*'TS-PILE'!$D$87/SUMSQ('TS-PILE'!$D$72:$D$91))),IF('TS-PILE'!$B$88="",1E+99,'TO HOP NLAN'!D156/ncoc+IF(SUMSQ('TS-PILE'!$E$72:$E$91)=0,0,'TO HOP NLAN'!E156*'TS-PILE'!$E$88/SUMSQ('TS-PILE'!$E$72:$E$91))+IF(SUMSQ('TS-PILE'!$D$72:$D$91)=0,0,'TO HOP NLAN'!F156*'TS-PILE'!$D$88/SUMSQ('TS-PILE'!$D$72:$D$91))),IF('TS-PILE'!$B$89="",1E+99,'TO HOP NLAN'!D156/ncoc+IF(SUMSQ('TS-PILE'!$E$72:$E$91)=0,0,'TO HOP NLAN'!E156*'TS-PILE'!$E$89/SUMSQ('TS-PILE'!$E$72:$E$91))+IF(SUMSQ('TS-PILE'!$D$72:$D$91)=0,0,'TO HOP NLAN'!F156*'TS-PILE'!$D$89/SUMSQ('TS-PILE'!$D$72:$D$91))),IF('TS-PILE'!$B$90="",1E+99,'TO HOP NLAN'!D156/ncoc+IF(SUMSQ('TS-PILE'!$E$72:$E$91)=0,0,'TO HOP NLAN'!E156*'TS-PILE'!$E$90/SUMSQ('TS-PILE'!$E$72:$E$91))+IF(SUMSQ('TS-PILE'!$D$72:$D$91)=0,0,'TO HOP NLAN'!F156*'TS-PILE'!$D$90/SUMSQ('TS-PILE'!$D$72:$D$91))),IF('TS-PILE'!$B$91="",1E+99,'TO HOP NLAN'!D156/ncoc+IF(SUMSQ('TS-PILE'!$E$72:$E$91)=0,0,'TO HOP NLAN'!E156*'TS-PILE'!$E$91/SUMSQ('TS-PILE'!$E$72:$E$91))+IF(SUMSQ('TS-PILE'!$D$72:$D$91)=0,0,'TO HOP NLAN'!F156*'TS-PILE'!$D$91/SUMSQ('TS-PILE'!$D$72:$D$91)))))</f>
        <v>0</v>
      </c>
      <c r="E156" s="58">
        <f t="shared" si="8"/>
        <v>-9.9999999999999997E+98</v>
      </c>
      <c r="F156" s="58">
        <f t="shared" si="9"/>
        <v>9.9999999999999997E+98</v>
      </c>
      <c r="G156" s="58">
        <f t="shared" si="10"/>
        <v>-9.9999999999999997E+98</v>
      </c>
      <c r="H156" s="58">
        <f t="shared" si="11"/>
        <v>9.9999999999999997E+98</v>
      </c>
    </row>
    <row r="157" spans="1:8" x14ac:dyDescent="0.3">
      <c r="A157" s="42" t="str">
        <f>'TO HOP NLAN'!A157</f>
        <v/>
      </c>
      <c r="B157" s="42" t="str">
        <f>'TO HOP NLAN'!L157</f>
        <v>STRENGTH</v>
      </c>
      <c r="C157" s="58">
        <f>IF(A157="",0,MAX(IF('TS-PILE'!$B$72="",-1E+99,'TO HOP NLAN'!D157/ncoc+IF(SUMSQ('TS-PILE'!$E$72:$E$91)=0,0,'TO HOP NLAN'!E157*'TS-PILE'!$E$72/SUMSQ('TS-PILE'!$E$72:$E$91))+IF(SUMSQ('TS-PILE'!$D$72:$D$91)=0,0,'TO HOP NLAN'!F157*'TS-PILE'!$D$72/SUMSQ('TS-PILE'!$D$72:$D$91))),IF('TS-PILE'!$B$73="",-1E+99,'TO HOP NLAN'!D157/ncoc+IF(SUMSQ('TS-PILE'!$E$72:$E$91)=0,0,'TO HOP NLAN'!E157*'TS-PILE'!$E$73/SUMSQ('TS-PILE'!$E$72:$E$91))+IF(SUMSQ('TS-PILE'!$D$72:$D$91)=0,0,'TO HOP NLAN'!F157*'TS-PILE'!$D$73/SUMSQ('TS-PILE'!$D$72:$D$91))),IF('TS-PILE'!$B$74="",-1E+99,'TO HOP NLAN'!D157/ncoc+IF(SUMSQ('TS-PILE'!$E$72:$E$91)=0,0,'TO HOP NLAN'!E157*'TS-PILE'!$E$74/SUMSQ('TS-PILE'!$E$72:$E$91))+IF(SUMSQ('TS-PILE'!$D$72:$D$91)=0,0,'TO HOP NLAN'!F157*'TS-PILE'!$D$74/SUMSQ('TS-PILE'!$D$72:$D$91))),IF('TS-PILE'!$B$75="",-1E+99,'TO HOP NLAN'!D157/ncoc+IF(SUMSQ('TS-PILE'!$E$72:$E$91)=0,0,'TO HOP NLAN'!E157*'TS-PILE'!$E$75/SUMSQ('TS-PILE'!$E$72:$E$91))+IF(SUMSQ('TS-PILE'!$D$72:$D$91)=0,0,'TO HOP NLAN'!F157*'TS-PILE'!$D$75/SUMSQ('TS-PILE'!$D$72:$D$91))),IF('TS-PILE'!$B$76="",-1E+99,'TO HOP NLAN'!D157/ncoc+IF(SUMSQ('TS-PILE'!$E$72:$E$91)=0,0,'TO HOP NLAN'!E157*'TS-PILE'!$E$76/SUMSQ('TS-PILE'!$E$72:$E$91))+IF(SUMSQ('TS-PILE'!$D$72:$D$91)=0,0,'TO HOP NLAN'!F157*'TS-PILE'!$D$76/SUMSQ('TS-PILE'!$D$72:$D$91))),IF('TS-PILE'!$B$77="",-1E+99,'TO HOP NLAN'!D157/ncoc+IF(SUMSQ('TS-PILE'!$E$72:$E$91)=0,0,'TO HOP NLAN'!E157*'TS-PILE'!$E$77/SUMSQ('TS-PILE'!$E$72:$E$91))+IF(SUMSQ('TS-PILE'!$D$72:$D$91)=0,0,'TO HOP NLAN'!F157*'TS-PILE'!$D$77/SUMSQ('TS-PILE'!$D$72:$D$91))),IF('TS-PILE'!$B$78="",-1E+99,'TO HOP NLAN'!D157/ncoc+IF(SUMSQ('TS-PILE'!$E$72:$E$91)=0,0,'TO HOP NLAN'!E157*'TS-PILE'!$E$78/SUMSQ('TS-PILE'!$E$72:$E$91))+IF(SUMSQ('TS-PILE'!$D$72:$D$91)=0,0,'TO HOP NLAN'!F157*'TS-PILE'!$D$78/SUMSQ('TS-PILE'!$D$72:$D$91))),IF('TS-PILE'!$B$79="",-1E+99,'TO HOP NLAN'!D157/ncoc+IF(SUMSQ('TS-PILE'!$E$72:$E$91)=0,0,'TO HOP NLAN'!E157*'TS-PILE'!$E$79/SUMSQ('TS-PILE'!$E$72:$E$91))+IF(SUMSQ('TS-PILE'!$D$72:$D$91)=0,0,'TO HOP NLAN'!F157*'TS-PILE'!$D$79/SUMSQ('TS-PILE'!$D$72:$D$91))),IF('TS-PILE'!$B$80="",-1E+99,'TO HOP NLAN'!D157/ncoc+IF(SUMSQ('TS-PILE'!$E$72:$E$91)=0,0,'TO HOP NLAN'!E157*'TS-PILE'!$E$80/SUMSQ('TS-PILE'!$E$72:$E$91))+IF(SUMSQ('TS-PILE'!$D$72:$D$91)=0,0,'TO HOP NLAN'!F157*'TS-PILE'!$D$80/SUMSQ('TS-PILE'!$D$72:$D$91))),IF('TS-PILE'!$B$81="",-1E+99,'TO HOP NLAN'!D157/ncoc+IF(SUMSQ('TS-PILE'!$E$72:$E$91)=0,0,'TO HOP NLAN'!E157*'TS-PILE'!$E$81/SUMSQ('TS-PILE'!$E$72:$E$91))+IF(SUMSQ('TS-PILE'!$D$72:$D$91)=0,0,'TO HOP NLAN'!F157*'TS-PILE'!$D$81/SUMSQ('TS-PILE'!$D$72:$D$91))),IF('TS-PILE'!$B$82="",-1E+99,'TO HOP NLAN'!D157/ncoc+IF(SUMSQ('TS-PILE'!$E$72:$E$91)=0,0,'TO HOP NLAN'!E157*'TS-PILE'!$E$82/SUMSQ('TS-PILE'!$E$72:$E$91))+IF(SUMSQ('TS-PILE'!$D$72:$D$91)=0,0,'TO HOP NLAN'!F157*'TS-PILE'!$D$82/SUMSQ('TS-PILE'!$D$72:$D$91))),IF('TS-PILE'!$B$83="",-1E+99,'TO HOP NLAN'!D157/ncoc+IF(SUMSQ('TS-PILE'!$E$72:$E$91)=0,0,'TO HOP NLAN'!E157*'TS-PILE'!$E$83/SUMSQ('TS-PILE'!$E$72:$E$91))+IF(SUMSQ('TS-PILE'!$D$72:$D$91)=0,0,'TO HOP NLAN'!F157*'TS-PILE'!$D$83/SUMSQ('TS-PILE'!$D$72:$D$91))),IF('TS-PILE'!$B$84="",-1E+99,'TO HOP NLAN'!D157/ncoc+IF(SUMSQ('TS-PILE'!$E$72:$E$91)=0,0,'TO HOP NLAN'!E157*'TS-PILE'!$E$84/SUMSQ('TS-PILE'!$E$72:$E$91))+IF(SUMSQ('TS-PILE'!$D$72:$D$91)=0,0,'TO HOP NLAN'!F157*'TS-PILE'!$D$84/SUMSQ('TS-PILE'!$D$72:$D$91))),IF('TS-PILE'!$B$85="",-1E+99,'TO HOP NLAN'!D157/ncoc+IF(SUMSQ('TS-PILE'!$E$72:$E$91)=0,0,'TO HOP NLAN'!E157*'TS-PILE'!$E$85/SUMSQ('TS-PILE'!$E$72:$E$91))+IF(SUMSQ('TS-PILE'!$D$72:$D$91)=0,0,'TO HOP NLAN'!F157*'TS-PILE'!$D$85/SUMSQ('TS-PILE'!$D$72:$D$91))),IF('TS-PILE'!$B$86="",-1E+99,'TO HOP NLAN'!D157/ncoc+IF(SUMSQ('TS-PILE'!$E$72:$E$91)=0,0,'TO HOP NLAN'!E157*'TS-PILE'!$E$86/SUMSQ('TS-PILE'!$E$72:$E$91))+IF(SUMSQ('TS-PILE'!$D$72:$D$91)=0,0,'TO HOP NLAN'!F157*'TS-PILE'!$D$86/SUMSQ('TS-PILE'!$D$72:$D$91))),IF('TS-PILE'!$B$87="",-1E+99,'TO HOP NLAN'!D157/ncoc+IF(SUMSQ('TS-PILE'!$E$72:$E$91)=0,0,'TO HOP NLAN'!E157*'TS-PILE'!$E$87/SUMSQ('TS-PILE'!$E$72:$E$91))+IF(SUMSQ('TS-PILE'!$D$72:$D$91)=0,0,'TO HOP NLAN'!F157*'TS-PILE'!$D$87/SUMSQ('TS-PILE'!$D$72:$D$91))),IF('TS-PILE'!$B$88="",-1E+99,'TO HOP NLAN'!D157/ncoc+IF(SUMSQ('TS-PILE'!$E$72:$E$91)=0,0,'TO HOP NLAN'!E157*'TS-PILE'!$E$88/SUMSQ('TS-PILE'!$E$72:$E$91))+IF(SUMSQ('TS-PILE'!$D$72:$D$91)=0,0,'TO HOP NLAN'!F157*'TS-PILE'!$D$88/SUMSQ('TS-PILE'!$D$72:$D$91))),IF('TS-PILE'!$B$89="",-1E+99,'TO HOP NLAN'!D157/ncoc+IF(SUMSQ('TS-PILE'!$E$72:$E$91)=0,0,'TO HOP NLAN'!E157*'TS-PILE'!$E$89/SUMSQ('TS-PILE'!$E$72:$E$91))+IF(SUMSQ('TS-PILE'!$D$72:$D$91)=0,0,'TO HOP NLAN'!F157*'TS-PILE'!$D$89/SUMSQ('TS-PILE'!$D$72:$D$91))),IF('TS-PILE'!$B$90="",-1E+99,'TO HOP NLAN'!D157/ncoc+IF(SUMSQ('TS-PILE'!$E$72:$E$91)=0,0,'TO HOP NLAN'!E157*'TS-PILE'!$E$90/SUMSQ('TS-PILE'!$E$72:$E$91))+IF(SUMSQ('TS-PILE'!$D$72:$D$91)=0,0,'TO HOP NLAN'!F157*'TS-PILE'!$D$90/SUMSQ('TS-PILE'!$D$72:$D$91))),IF('TS-PILE'!$B$91="",-1E+99,'TO HOP NLAN'!D157/ncoc+IF(SUMSQ('TS-PILE'!$E$72:$E$91)=0,0,'TO HOP NLAN'!E157*'TS-PILE'!$E$91/SUMSQ('TS-PILE'!$E$72:$E$91))+IF(SUMSQ('TS-PILE'!$D$72:$D$91)=0,0,'TO HOP NLAN'!F157*'TS-PILE'!$D$91/SUMSQ('TS-PILE'!$D$72:$D$91)))))</f>
        <v>0</v>
      </c>
      <c r="D157" s="58">
        <f>IF(A157="",0,MIN(IF('TS-PILE'!$B$72="",1E+99,'TO HOP NLAN'!D157/ncoc+IF(SUMSQ('TS-PILE'!$E$72:$E$91)=0,0,'TO HOP NLAN'!E157*'TS-PILE'!$E$72/SUMSQ('TS-PILE'!$E$72:$E$91))+IF(SUMSQ('TS-PILE'!$D$72:$D$91)=0,0,'TO HOP NLAN'!F157*'TS-PILE'!$D$72/SUMSQ('TS-PILE'!$D$72:$D$91))),IF('TS-PILE'!$B$73="",1E+99,'TO HOP NLAN'!D157/ncoc+IF(SUMSQ('TS-PILE'!$E$72:$E$91)=0,0,'TO HOP NLAN'!E157*'TS-PILE'!$E$73/SUMSQ('TS-PILE'!$E$72:$E$91))+IF(SUMSQ('TS-PILE'!$D$72:$D$91)=0,0,'TO HOP NLAN'!F157*'TS-PILE'!$D$73/SUMSQ('TS-PILE'!$D$72:$D$91))),IF('TS-PILE'!$B$74="",1E+99,'TO HOP NLAN'!D157/ncoc+IF(SUMSQ('TS-PILE'!$E$72:$E$91)=0,0,'TO HOP NLAN'!E157*'TS-PILE'!$E$74/SUMSQ('TS-PILE'!$E$72:$E$91))+IF(SUMSQ('TS-PILE'!$D$72:$D$91)=0,0,'TO HOP NLAN'!F157*'TS-PILE'!$D$74/SUMSQ('TS-PILE'!$D$72:$D$91))),IF('TS-PILE'!$B$75="",1E+99,'TO HOP NLAN'!D157/ncoc+IF(SUMSQ('TS-PILE'!$E$72:$E$91)=0,0,'TO HOP NLAN'!E157*'TS-PILE'!$E$75/SUMSQ('TS-PILE'!$E$72:$E$91))+IF(SUMSQ('TS-PILE'!$D$72:$D$91)=0,0,'TO HOP NLAN'!F157*'TS-PILE'!$D$75/SUMSQ('TS-PILE'!$D$72:$D$91))),IF('TS-PILE'!$B$76="",1E+99,'TO HOP NLAN'!D157/ncoc+IF(SUMSQ('TS-PILE'!$E$72:$E$91)=0,0,'TO HOP NLAN'!E157*'TS-PILE'!$E$76/SUMSQ('TS-PILE'!$E$72:$E$91))+IF(SUMSQ('TS-PILE'!$D$72:$D$91)=0,0,'TO HOP NLAN'!F157*'TS-PILE'!$D$76/SUMSQ('TS-PILE'!$D$72:$D$91))),IF('TS-PILE'!$B$77="",1E+99,'TO HOP NLAN'!D157/ncoc+IF(SUMSQ('TS-PILE'!$E$72:$E$91)=0,0,'TO HOP NLAN'!E157*'TS-PILE'!$E$77/SUMSQ('TS-PILE'!$E$72:$E$91))+IF(SUMSQ('TS-PILE'!$D$72:$D$91)=0,0,'TO HOP NLAN'!F157*'TS-PILE'!$D$77/SUMSQ('TS-PILE'!$D$72:$D$91))),IF('TS-PILE'!$B$78="",1E+99,'TO HOP NLAN'!D157/ncoc+IF(SUMSQ('TS-PILE'!$E$72:$E$91)=0,0,'TO HOP NLAN'!E157*'TS-PILE'!$E$78/SUMSQ('TS-PILE'!$E$72:$E$91))+IF(SUMSQ('TS-PILE'!$D$72:$D$91)=0,0,'TO HOP NLAN'!F157*'TS-PILE'!$D$78/SUMSQ('TS-PILE'!$D$72:$D$91))),IF('TS-PILE'!$B$79="",1E+99,'TO HOP NLAN'!D157/ncoc+IF(SUMSQ('TS-PILE'!$E$72:$E$91)=0,0,'TO HOP NLAN'!E157*'TS-PILE'!$E$79/SUMSQ('TS-PILE'!$E$72:$E$91))+IF(SUMSQ('TS-PILE'!$D$72:$D$91)=0,0,'TO HOP NLAN'!F157*'TS-PILE'!$D$79/SUMSQ('TS-PILE'!$D$72:$D$91))),IF('TS-PILE'!$B$80="",1E+99,'TO HOP NLAN'!D157/ncoc+IF(SUMSQ('TS-PILE'!$E$72:$E$91)=0,0,'TO HOP NLAN'!E157*'TS-PILE'!$E$80/SUMSQ('TS-PILE'!$E$72:$E$91))+IF(SUMSQ('TS-PILE'!$D$72:$D$91)=0,0,'TO HOP NLAN'!F157*'TS-PILE'!$D$80/SUMSQ('TS-PILE'!$D$72:$D$91))),IF('TS-PILE'!$B$81="",1E+99,'TO HOP NLAN'!D157/ncoc+IF(SUMSQ('TS-PILE'!$E$72:$E$91)=0,0,'TO HOP NLAN'!E157*'TS-PILE'!$E$81/SUMSQ('TS-PILE'!$E$72:$E$91))+IF(SUMSQ('TS-PILE'!$D$72:$D$91)=0,0,'TO HOP NLAN'!F157*'TS-PILE'!$D$81/SUMSQ('TS-PILE'!$D$72:$D$91))),IF('TS-PILE'!$B$82="",1E+99,'TO HOP NLAN'!D157/ncoc+IF(SUMSQ('TS-PILE'!$E$72:$E$91)=0,0,'TO HOP NLAN'!E157*'TS-PILE'!$E$82/SUMSQ('TS-PILE'!$E$72:$E$91))+IF(SUMSQ('TS-PILE'!$D$72:$D$91)=0,0,'TO HOP NLAN'!F157*'TS-PILE'!$D$82/SUMSQ('TS-PILE'!$D$72:$D$91))),IF('TS-PILE'!$B$83="",1E+99,'TO HOP NLAN'!D157/ncoc+IF(SUMSQ('TS-PILE'!$E$72:$E$91)=0,0,'TO HOP NLAN'!E157*'TS-PILE'!$E$83/SUMSQ('TS-PILE'!$E$72:$E$91))+IF(SUMSQ('TS-PILE'!$D$72:$D$91)=0,0,'TO HOP NLAN'!F157*'TS-PILE'!$D$83/SUMSQ('TS-PILE'!$D$72:$D$91))),IF('TS-PILE'!$B$84="",1E+99,'TO HOP NLAN'!D157/ncoc+IF(SUMSQ('TS-PILE'!$E$72:$E$91)=0,0,'TO HOP NLAN'!E157*'TS-PILE'!$E$84/SUMSQ('TS-PILE'!$E$72:$E$91))+IF(SUMSQ('TS-PILE'!$D$72:$D$91)=0,0,'TO HOP NLAN'!F157*'TS-PILE'!$D$84/SUMSQ('TS-PILE'!$D$72:$D$91))),IF('TS-PILE'!$B$85="",1E+99,'TO HOP NLAN'!D157/ncoc+IF(SUMSQ('TS-PILE'!$E$72:$E$91)=0,0,'TO HOP NLAN'!E157*'TS-PILE'!$E$85/SUMSQ('TS-PILE'!$E$72:$E$91))+IF(SUMSQ('TS-PILE'!$D$72:$D$91)=0,0,'TO HOP NLAN'!F157*'TS-PILE'!$D$85/SUMSQ('TS-PILE'!$D$72:$D$91))),IF('TS-PILE'!$B$86="",1E+99,'TO HOP NLAN'!D157/ncoc+IF(SUMSQ('TS-PILE'!$E$72:$E$91)=0,0,'TO HOP NLAN'!E157*'TS-PILE'!$E$86/SUMSQ('TS-PILE'!$E$72:$E$91))+IF(SUMSQ('TS-PILE'!$D$72:$D$91)=0,0,'TO HOP NLAN'!F157*'TS-PILE'!$D$86/SUMSQ('TS-PILE'!$D$72:$D$91))),IF('TS-PILE'!$B$87="",1E+99,'TO HOP NLAN'!D157/ncoc+IF(SUMSQ('TS-PILE'!$E$72:$E$91)=0,0,'TO HOP NLAN'!E157*'TS-PILE'!$E$87/SUMSQ('TS-PILE'!$E$72:$E$91))+IF(SUMSQ('TS-PILE'!$D$72:$D$91)=0,0,'TO HOP NLAN'!F157*'TS-PILE'!$D$87/SUMSQ('TS-PILE'!$D$72:$D$91))),IF('TS-PILE'!$B$88="",1E+99,'TO HOP NLAN'!D157/ncoc+IF(SUMSQ('TS-PILE'!$E$72:$E$91)=0,0,'TO HOP NLAN'!E157*'TS-PILE'!$E$88/SUMSQ('TS-PILE'!$E$72:$E$91))+IF(SUMSQ('TS-PILE'!$D$72:$D$91)=0,0,'TO HOP NLAN'!F157*'TS-PILE'!$D$88/SUMSQ('TS-PILE'!$D$72:$D$91))),IF('TS-PILE'!$B$89="",1E+99,'TO HOP NLAN'!D157/ncoc+IF(SUMSQ('TS-PILE'!$E$72:$E$91)=0,0,'TO HOP NLAN'!E157*'TS-PILE'!$E$89/SUMSQ('TS-PILE'!$E$72:$E$91))+IF(SUMSQ('TS-PILE'!$D$72:$D$91)=0,0,'TO HOP NLAN'!F157*'TS-PILE'!$D$89/SUMSQ('TS-PILE'!$D$72:$D$91))),IF('TS-PILE'!$B$90="",1E+99,'TO HOP NLAN'!D157/ncoc+IF(SUMSQ('TS-PILE'!$E$72:$E$91)=0,0,'TO HOP NLAN'!E157*'TS-PILE'!$E$90/SUMSQ('TS-PILE'!$E$72:$E$91))+IF(SUMSQ('TS-PILE'!$D$72:$D$91)=0,0,'TO HOP NLAN'!F157*'TS-PILE'!$D$90/SUMSQ('TS-PILE'!$D$72:$D$91))),IF('TS-PILE'!$B$91="",1E+99,'TO HOP NLAN'!D157/ncoc+IF(SUMSQ('TS-PILE'!$E$72:$E$91)=0,0,'TO HOP NLAN'!E157*'TS-PILE'!$E$91/SUMSQ('TS-PILE'!$E$72:$E$91))+IF(SUMSQ('TS-PILE'!$D$72:$D$91)=0,0,'TO HOP NLAN'!F157*'TS-PILE'!$D$91/SUMSQ('TS-PILE'!$D$72:$D$91)))))</f>
        <v>0</v>
      </c>
      <c r="E157" s="58">
        <f t="shared" si="8"/>
        <v>-9.9999999999999997E+98</v>
      </c>
      <c r="F157" s="58">
        <f t="shared" si="9"/>
        <v>9.9999999999999997E+98</v>
      </c>
      <c r="G157" s="58">
        <f t="shared" si="10"/>
        <v>-9.9999999999999997E+98</v>
      </c>
      <c r="H157" s="58">
        <f t="shared" si="11"/>
        <v>9.9999999999999997E+98</v>
      </c>
    </row>
    <row r="158" spans="1:8" x14ac:dyDescent="0.3">
      <c r="A158" s="42" t="str">
        <f>'TO HOP NLAN'!A158</f>
        <v/>
      </c>
      <c r="B158" s="42" t="str">
        <f>'TO HOP NLAN'!L158</f>
        <v>STRENGTH</v>
      </c>
      <c r="C158" s="58">
        <f>IF(A158="",0,MAX(IF('TS-PILE'!$B$72="",-1E+99,'TO HOP NLAN'!D158/ncoc+IF(SUMSQ('TS-PILE'!$E$72:$E$91)=0,0,'TO HOP NLAN'!E158*'TS-PILE'!$E$72/SUMSQ('TS-PILE'!$E$72:$E$91))+IF(SUMSQ('TS-PILE'!$D$72:$D$91)=0,0,'TO HOP NLAN'!F158*'TS-PILE'!$D$72/SUMSQ('TS-PILE'!$D$72:$D$91))),IF('TS-PILE'!$B$73="",-1E+99,'TO HOP NLAN'!D158/ncoc+IF(SUMSQ('TS-PILE'!$E$72:$E$91)=0,0,'TO HOP NLAN'!E158*'TS-PILE'!$E$73/SUMSQ('TS-PILE'!$E$72:$E$91))+IF(SUMSQ('TS-PILE'!$D$72:$D$91)=0,0,'TO HOP NLAN'!F158*'TS-PILE'!$D$73/SUMSQ('TS-PILE'!$D$72:$D$91))),IF('TS-PILE'!$B$74="",-1E+99,'TO HOP NLAN'!D158/ncoc+IF(SUMSQ('TS-PILE'!$E$72:$E$91)=0,0,'TO HOP NLAN'!E158*'TS-PILE'!$E$74/SUMSQ('TS-PILE'!$E$72:$E$91))+IF(SUMSQ('TS-PILE'!$D$72:$D$91)=0,0,'TO HOP NLAN'!F158*'TS-PILE'!$D$74/SUMSQ('TS-PILE'!$D$72:$D$91))),IF('TS-PILE'!$B$75="",-1E+99,'TO HOP NLAN'!D158/ncoc+IF(SUMSQ('TS-PILE'!$E$72:$E$91)=0,0,'TO HOP NLAN'!E158*'TS-PILE'!$E$75/SUMSQ('TS-PILE'!$E$72:$E$91))+IF(SUMSQ('TS-PILE'!$D$72:$D$91)=0,0,'TO HOP NLAN'!F158*'TS-PILE'!$D$75/SUMSQ('TS-PILE'!$D$72:$D$91))),IF('TS-PILE'!$B$76="",-1E+99,'TO HOP NLAN'!D158/ncoc+IF(SUMSQ('TS-PILE'!$E$72:$E$91)=0,0,'TO HOP NLAN'!E158*'TS-PILE'!$E$76/SUMSQ('TS-PILE'!$E$72:$E$91))+IF(SUMSQ('TS-PILE'!$D$72:$D$91)=0,0,'TO HOP NLAN'!F158*'TS-PILE'!$D$76/SUMSQ('TS-PILE'!$D$72:$D$91))),IF('TS-PILE'!$B$77="",-1E+99,'TO HOP NLAN'!D158/ncoc+IF(SUMSQ('TS-PILE'!$E$72:$E$91)=0,0,'TO HOP NLAN'!E158*'TS-PILE'!$E$77/SUMSQ('TS-PILE'!$E$72:$E$91))+IF(SUMSQ('TS-PILE'!$D$72:$D$91)=0,0,'TO HOP NLAN'!F158*'TS-PILE'!$D$77/SUMSQ('TS-PILE'!$D$72:$D$91))),IF('TS-PILE'!$B$78="",-1E+99,'TO HOP NLAN'!D158/ncoc+IF(SUMSQ('TS-PILE'!$E$72:$E$91)=0,0,'TO HOP NLAN'!E158*'TS-PILE'!$E$78/SUMSQ('TS-PILE'!$E$72:$E$91))+IF(SUMSQ('TS-PILE'!$D$72:$D$91)=0,0,'TO HOP NLAN'!F158*'TS-PILE'!$D$78/SUMSQ('TS-PILE'!$D$72:$D$91))),IF('TS-PILE'!$B$79="",-1E+99,'TO HOP NLAN'!D158/ncoc+IF(SUMSQ('TS-PILE'!$E$72:$E$91)=0,0,'TO HOP NLAN'!E158*'TS-PILE'!$E$79/SUMSQ('TS-PILE'!$E$72:$E$91))+IF(SUMSQ('TS-PILE'!$D$72:$D$91)=0,0,'TO HOP NLAN'!F158*'TS-PILE'!$D$79/SUMSQ('TS-PILE'!$D$72:$D$91))),IF('TS-PILE'!$B$80="",-1E+99,'TO HOP NLAN'!D158/ncoc+IF(SUMSQ('TS-PILE'!$E$72:$E$91)=0,0,'TO HOP NLAN'!E158*'TS-PILE'!$E$80/SUMSQ('TS-PILE'!$E$72:$E$91))+IF(SUMSQ('TS-PILE'!$D$72:$D$91)=0,0,'TO HOP NLAN'!F158*'TS-PILE'!$D$80/SUMSQ('TS-PILE'!$D$72:$D$91))),IF('TS-PILE'!$B$81="",-1E+99,'TO HOP NLAN'!D158/ncoc+IF(SUMSQ('TS-PILE'!$E$72:$E$91)=0,0,'TO HOP NLAN'!E158*'TS-PILE'!$E$81/SUMSQ('TS-PILE'!$E$72:$E$91))+IF(SUMSQ('TS-PILE'!$D$72:$D$91)=0,0,'TO HOP NLAN'!F158*'TS-PILE'!$D$81/SUMSQ('TS-PILE'!$D$72:$D$91))),IF('TS-PILE'!$B$82="",-1E+99,'TO HOP NLAN'!D158/ncoc+IF(SUMSQ('TS-PILE'!$E$72:$E$91)=0,0,'TO HOP NLAN'!E158*'TS-PILE'!$E$82/SUMSQ('TS-PILE'!$E$72:$E$91))+IF(SUMSQ('TS-PILE'!$D$72:$D$91)=0,0,'TO HOP NLAN'!F158*'TS-PILE'!$D$82/SUMSQ('TS-PILE'!$D$72:$D$91))),IF('TS-PILE'!$B$83="",-1E+99,'TO HOP NLAN'!D158/ncoc+IF(SUMSQ('TS-PILE'!$E$72:$E$91)=0,0,'TO HOP NLAN'!E158*'TS-PILE'!$E$83/SUMSQ('TS-PILE'!$E$72:$E$91))+IF(SUMSQ('TS-PILE'!$D$72:$D$91)=0,0,'TO HOP NLAN'!F158*'TS-PILE'!$D$83/SUMSQ('TS-PILE'!$D$72:$D$91))),IF('TS-PILE'!$B$84="",-1E+99,'TO HOP NLAN'!D158/ncoc+IF(SUMSQ('TS-PILE'!$E$72:$E$91)=0,0,'TO HOP NLAN'!E158*'TS-PILE'!$E$84/SUMSQ('TS-PILE'!$E$72:$E$91))+IF(SUMSQ('TS-PILE'!$D$72:$D$91)=0,0,'TO HOP NLAN'!F158*'TS-PILE'!$D$84/SUMSQ('TS-PILE'!$D$72:$D$91))),IF('TS-PILE'!$B$85="",-1E+99,'TO HOP NLAN'!D158/ncoc+IF(SUMSQ('TS-PILE'!$E$72:$E$91)=0,0,'TO HOP NLAN'!E158*'TS-PILE'!$E$85/SUMSQ('TS-PILE'!$E$72:$E$91))+IF(SUMSQ('TS-PILE'!$D$72:$D$91)=0,0,'TO HOP NLAN'!F158*'TS-PILE'!$D$85/SUMSQ('TS-PILE'!$D$72:$D$91))),IF('TS-PILE'!$B$86="",-1E+99,'TO HOP NLAN'!D158/ncoc+IF(SUMSQ('TS-PILE'!$E$72:$E$91)=0,0,'TO HOP NLAN'!E158*'TS-PILE'!$E$86/SUMSQ('TS-PILE'!$E$72:$E$91))+IF(SUMSQ('TS-PILE'!$D$72:$D$91)=0,0,'TO HOP NLAN'!F158*'TS-PILE'!$D$86/SUMSQ('TS-PILE'!$D$72:$D$91))),IF('TS-PILE'!$B$87="",-1E+99,'TO HOP NLAN'!D158/ncoc+IF(SUMSQ('TS-PILE'!$E$72:$E$91)=0,0,'TO HOP NLAN'!E158*'TS-PILE'!$E$87/SUMSQ('TS-PILE'!$E$72:$E$91))+IF(SUMSQ('TS-PILE'!$D$72:$D$91)=0,0,'TO HOP NLAN'!F158*'TS-PILE'!$D$87/SUMSQ('TS-PILE'!$D$72:$D$91))),IF('TS-PILE'!$B$88="",-1E+99,'TO HOP NLAN'!D158/ncoc+IF(SUMSQ('TS-PILE'!$E$72:$E$91)=0,0,'TO HOP NLAN'!E158*'TS-PILE'!$E$88/SUMSQ('TS-PILE'!$E$72:$E$91))+IF(SUMSQ('TS-PILE'!$D$72:$D$91)=0,0,'TO HOP NLAN'!F158*'TS-PILE'!$D$88/SUMSQ('TS-PILE'!$D$72:$D$91))),IF('TS-PILE'!$B$89="",-1E+99,'TO HOP NLAN'!D158/ncoc+IF(SUMSQ('TS-PILE'!$E$72:$E$91)=0,0,'TO HOP NLAN'!E158*'TS-PILE'!$E$89/SUMSQ('TS-PILE'!$E$72:$E$91))+IF(SUMSQ('TS-PILE'!$D$72:$D$91)=0,0,'TO HOP NLAN'!F158*'TS-PILE'!$D$89/SUMSQ('TS-PILE'!$D$72:$D$91))),IF('TS-PILE'!$B$90="",-1E+99,'TO HOP NLAN'!D158/ncoc+IF(SUMSQ('TS-PILE'!$E$72:$E$91)=0,0,'TO HOP NLAN'!E158*'TS-PILE'!$E$90/SUMSQ('TS-PILE'!$E$72:$E$91))+IF(SUMSQ('TS-PILE'!$D$72:$D$91)=0,0,'TO HOP NLAN'!F158*'TS-PILE'!$D$90/SUMSQ('TS-PILE'!$D$72:$D$91))),IF('TS-PILE'!$B$91="",-1E+99,'TO HOP NLAN'!D158/ncoc+IF(SUMSQ('TS-PILE'!$E$72:$E$91)=0,0,'TO HOP NLAN'!E158*'TS-PILE'!$E$91/SUMSQ('TS-PILE'!$E$72:$E$91))+IF(SUMSQ('TS-PILE'!$D$72:$D$91)=0,0,'TO HOP NLAN'!F158*'TS-PILE'!$D$91/SUMSQ('TS-PILE'!$D$72:$D$91)))))</f>
        <v>0</v>
      </c>
      <c r="D158" s="58">
        <f>IF(A158="",0,MIN(IF('TS-PILE'!$B$72="",1E+99,'TO HOP NLAN'!D158/ncoc+IF(SUMSQ('TS-PILE'!$E$72:$E$91)=0,0,'TO HOP NLAN'!E158*'TS-PILE'!$E$72/SUMSQ('TS-PILE'!$E$72:$E$91))+IF(SUMSQ('TS-PILE'!$D$72:$D$91)=0,0,'TO HOP NLAN'!F158*'TS-PILE'!$D$72/SUMSQ('TS-PILE'!$D$72:$D$91))),IF('TS-PILE'!$B$73="",1E+99,'TO HOP NLAN'!D158/ncoc+IF(SUMSQ('TS-PILE'!$E$72:$E$91)=0,0,'TO HOP NLAN'!E158*'TS-PILE'!$E$73/SUMSQ('TS-PILE'!$E$72:$E$91))+IF(SUMSQ('TS-PILE'!$D$72:$D$91)=0,0,'TO HOP NLAN'!F158*'TS-PILE'!$D$73/SUMSQ('TS-PILE'!$D$72:$D$91))),IF('TS-PILE'!$B$74="",1E+99,'TO HOP NLAN'!D158/ncoc+IF(SUMSQ('TS-PILE'!$E$72:$E$91)=0,0,'TO HOP NLAN'!E158*'TS-PILE'!$E$74/SUMSQ('TS-PILE'!$E$72:$E$91))+IF(SUMSQ('TS-PILE'!$D$72:$D$91)=0,0,'TO HOP NLAN'!F158*'TS-PILE'!$D$74/SUMSQ('TS-PILE'!$D$72:$D$91))),IF('TS-PILE'!$B$75="",1E+99,'TO HOP NLAN'!D158/ncoc+IF(SUMSQ('TS-PILE'!$E$72:$E$91)=0,0,'TO HOP NLAN'!E158*'TS-PILE'!$E$75/SUMSQ('TS-PILE'!$E$72:$E$91))+IF(SUMSQ('TS-PILE'!$D$72:$D$91)=0,0,'TO HOP NLAN'!F158*'TS-PILE'!$D$75/SUMSQ('TS-PILE'!$D$72:$D$91))),IF('TS-PILE'!$B$76="",1E+99,'TO HOP NLAN'!D158/ncoc+IF(SUMSQ('TS-PILE'!$E$72:$E$91)=0,0,'TO HOP NLAN'!E158*'TS-PILE'!$E$76/SUMSQ('TS-PILE'!$E$72:$E$91))+IF(SUMSQ('TS-PILE'!$D$72:$D$91)=0,0,'TO HOP NLAN'!F158*'TS-PILE'!$D$76/SUMSQ('TS-PILE'!$D$72:$D$91))),IF('TS-PILE'!$B$77="",1E+99,'TO HOP NLAN'!D158/ncoc+IF(SUMSQ('TS-PILE'!$E$72:$E$91)=0,0,'TO HOP NLAN'!E158*'TS-PILE'!$E$77/SUMSQ('TS-PILE'!$E$72:$E$91))+IF(SUMSQ('TS-PILE'!$D$72:$D$91)=0,0,'TO HOP NLAN'!F158*'TS-PILE'!$D$77/SUMSQ('TS-PILE'!$D$72:$D$91))),IF('TS-PILE'!$B$78="",1E+99,'TO HOP NLAN'!D158/ncoc+IF(SUMSQ('TS-PILE'!$E$72:$E$91)=0,0,'TO HOP NLAN'!E158*'TS-PILE'!$E$78/SUMSQ('TS-PILE'!$E$72:$E$91))+IF(SUMSQ('TS-PILE'!$D$72:$D$91)=0,0,'TO HOP NLAN'!F158*'TS-PILE'!$D$78/SUMSQ('TS-PILE'!$D$72:$D$91))),IF('TS-PILE'!$B$79="",1E+99,'TO HOP NLAN'!D158/ncoc+IF(SUMSQ('TS-PILE'!$E$72:$E$91)=0,0,'TO HOP NLAN'!E158*'TS-PILE'!$E$79/SUMSQ('TS-PILE'!$E$72:$E$91))+IF(SUMSQ('TS-PILE'!$D$72:$D$91)=0,0,'TO HOP NLAN'!F158*'TS-PILE'!$D$79/SUMSQ('TS-PILE'!$D$72:$D$91))),IF('TS-PILE'!$B$80="",1E+99,'TO HOP NLAN'!D158/ncoc+IF(SUMSQ('TS-PILE'!$E$72:$E$91)=0,0,'TO HOP NLAN'!E158*'TS-PILE'!$E$80/SUMSQ('TS-PILE'!$E$72:$E$91))+IF(SUMSQ('TS-PILE'!$D$72:$D$91)=0,0,'TO HOP NLAN'!F158*'TS-PILE'!$D$80/SUMSQ('TS-PILE'!$D$72:$D$91))),IF('TS-PILE'!$B$81="",1E+99,'TO HOP NLAN'!D158/ncoc+IF(SUMSQ('TS-PILE'!$E$72:$E$91)=0,0,'TO HOP NLAN'!E158*'TS-PILE'!$E$81/SUMSQ('TS-PILE'!$E$72:$E$91))+IF(SUMSQ('TS-PILE'!$D$72:$D$91)=0,0,'TO HOP NLAN'!F158*'TS-PILE'!$D$81/SUMSQ('TS-PILE'!$D$72:$D$91))),IF('TS-PILE'!$B$82="",1E+99,'TO HOP NLAN'!D158/ncoc+IF(SUMSQ('TS-PILE'!$E$72:$E$91)=0,0,'TO HOP NLAN'!E158*'TS-PILE'!$E$82/SUMSQ('TS-PILE'!$E$72:$E$91))+IF(SUMSQ('TS-PILE'!$D$72:$D$91)=0,0,'TO HOP NLAN'!F158*'TS-PILE'!$D$82/SUMSQ('TS-PILE'!$D$72:$D$91))),IF('TS-PILE'!$B$83="",1E+99,'TO HOP NLAN'!D158/ncoc+IF(SUMSQ('TS-PILE'!$E$72:$E$91)=0,0,'TO HOP NLAN'!E158*'TS-PILE'!$E$83/SUMSQ('TS-PILE'!$E$72:$E$91))+IF(SUMSQ('TS-PILE'!$D$72:$D$91)=0,0,'TO HOP NLAN'!F158*'TS-PILE'!$D$83/SUMSQ('TS-PILE'!$D$72:$D$91))),IF('TS-PILE'!$B$84="",1E+99,'TO HOP NLAN'!D158/ncoc+IF(SUMSQ('TS-PILE'!$E$72:$E$91)=0,0,'TO HOP NLAN'!E158*'TS-PILE'!$E$84/SUMSQ('TS-PILE'!$E$72:$E$91))+IF(SUMSQ('TS-PILE'!$D$72:$D$91)=0,0,'TO HOP NLAN'!F158*'TS-PILE'!$D$84/SUMSQ('TS-PILE'!$D$72:$D$91))),IF('TS-PILE'!$B$85="",1E+99,'TO HOP NLAN'!D158/ncoc+IF(SUMSQ('TS-PILE'!$E$72:$E$91)=0,0,'TO HOP NLAN'!E158*'TS-PILE'!$E$85/SUMSQ('TS-PILE'!$E$72:$E$91))+IF(SUMSQ('TS-PILE'!$D$72:$D$91)=0,0,'TO HOP NLAN'!F158*'TS-PILE'!$D$85/SUMSQ('TS-PILE'!$D$72:$D$91))),IF('TS-PILE'!$B$86="",1E+99,'TO HOP NLAN'!D158/ncoc+IF(SUMSQ('TS-PILE'!$E$72:$E$91)=0,0,'TO HOP NLAN'!E158*'TS-PILE'!$E$86/SUMSQ('TS-PILE'!$E$72:$E$91))+IF(SUMSQ('TS-PILE'!$D$72:$D$91)=0,0,'TO HOP NLAN'!F158*'TS-PILE'!$D$86/SUMSQ('TS-PILE'!$D$72:$D$91))),IF('TS-PILE'!$B$87="",1E+99,'TO HOP NLAN'!D158/ncoc+IF(SUMSQ('TS-PILE'!$E$72:$E$91)=0,0,'TO HOP NLAN'!E158*'TS-PILE'!$E$87/SUMSQ('TS-PILE'!$E$72:$E$91))+IF(SUMSQ('TS-PILE'!$D$72:$D$91)=0,0,'TO HOP NLAN'!F158*'TS-PILE'!$D$87/SUMSQ('TS-PILE'!$D$72:$D$91))),IF('TS-PILE'!$B$88="",1E+99,'TO HOP NLAN'!D158/ncoc+IF(SUMSQ('TS-PILE'!$E$72:$E$91)=0,0,'TO HOP NLAN'!E158*'TS-PILE'!$E$88/SUMSQ('TS-PILE'!$E$72:$E$91))+IF(SUMSQ('TS-PILE'!$D$72:$D$91)=0,0,'TO HOP NLAN'!F158*'TS-PILE'!$D$88/SUMSQ('TS-PILE'!$D$72:$D$91))),IF('TS-PILE'!$B$89="",1E+99,'TO HOP NLAN'!D158/ncoc+IF(SUMSQ('TS-PILE'!$E$72:$E$91)=0,0,'TO HOP NLAN'!E158*'TS-PILE'!$E$89/SUMSQ('TS-PILE'!$E$72:$E$91))+IF(SUMSQ('TS-PILE'!$D$72:$D$91)=0,0,'TO HOP NLAN'!F158*'TS-PILE'!$D$89/SUMSQ('TS-PILE'!$D$72:$D$91))),IF('TS-PILE'!$B$90="",1E+99,'TO HOP NLAN'!D158/ncoc+IF(SUMSQ('TS-PILE'!$E$72:$E$91)=0,0,'TO HOP NLAN'!E158*'TS-PILE'!$E$90/SUMSQ('TS-PILE'!$E$72:$E$91))+IF(SUMSQ('TS-PILE'!$D$72:$D$91)=0,0,'TO HOP NLAN'!F158*'TS-PILE'!$D$90/SUMSQ('TS-PILE'!$D$72:$D$91))),IF('TS-PILE'!$B$91="",1E+99,'TO HOP NLAN'!D158/ncoc+IF(SUMSQ('TS-PILE'!$E$72:$E$91)=0,0,'TO HOP NLAN'!E158*'TS-PILE'!$E$91/SUMSQ('TS-PILE'!$E$72:$E$91))+IF(SUMSQ('TS-PILE'!$D$72:$D$91)=0,0,'TO HOP NLAN'!F158*'TS-PILE'!$D$91/SUMSQ('TS-PILE'!$D$72:$D$91)))))</f>
        <v>0</v>
      </c>
      <c r="E158" s="58">
        <f t="shared" si="8"/>
        <v>-9.9999999999999997E+98</v>
      </c>
      <c r="F158" s="58">
        <f t="shared" si="9"/>
        <v>9.9999999999999997E+98</v>
      </c>
      <c r="G158" s="58">
        <f t="shared" si="10"/>
        <v>-9.9999999999999997E+98</v>
      </c>
      <c r="H158" s="58">
        <f t="shared" si="11"/>
        <v>9.9999999999999997E+98</v>
      </c>
    </row>
    <row r="159" spans="1:8" x14ac:dyDescent="0.3">
      <c r="A159" s="42" t="str">
        <f>'TO HOP NLAN'!A159</f>
        <v/>
      </c>
      <c r="B159" s="42" t="str">
        <f>'TO HOP NLAN'!L159</f>
        <v>STRENGTH</v>
      </c>
      <c r="C159" s="58">
        <f>IF(A159="",0,MAX(IF('TS-PILE'!$B$72="",-1E+99,'TO HOP NLAN'!D159/ncoc+IF(SUMSQ('TS-PILE'!$E$72:$E$91)=0,0,'TO HOP NLAN'!E159*'TS-PILE'!$E$72/SUMSQ('TS-PILE'!$E$72:$E$91))+IF(SUMSQ('TS-PILE'!$D$72:$D$91)=0,0,'TO HOP NLAN'!F159*'TS-PILE'!$D$72/SUMSQ('TS-PILE'!$D$72:$D$91))),IF('TS-PILE'!$B$73="",-1E+99,'TO HOP NLAN'!D159/ncoc+IF(SUMSQ('TS-PILE'!$E$72:$E$91)=0,0,'TO HOP NLAN'!E159*'TS-PILE'!$E$73/SUMSQ('TS-PILE'!$E$72:$E$91))+IF(SUMSQ('TS-PILE'!$D$72:$D$91)=0,0,'TO HOP NLAN'!F159*'TS-PILE'!$D$73/SUMSQ('TS-PILE'!$D$72:$D$91))),IF('TS-PILE'!$B$74="",-1E+99,'TO HOP NLAN'!D159/ncoc+IF(SUMSQ('TS-PILE'!$E$72:$E$91)=0,0,'TO HOP NLAN'!E159*'TS-PILE'!$E$74/SUMSQ('TS-PILE'!$E$72:$E$91))+IF(SUMSQ('TS-PILE'!$D$72:$D$91)=0,0,'TO HOP NLAN'!F159*'TS-PILE'!$D$74/SUMSQ('TS-PILE'!$D$72:$D$91))),IF('TS-PILE'!$B$75="",-1E+99,'TO HOP NLAN'!D159/ncoc+IF(SUMSQ('TS-PILE'!$E$72:$E$91)=0,0,'TO HOP NLAN'!E159*'TS-PILE'!$E$75/SUMSQ('TS-PILE'!$E$72:$E$91))+IF(SUMSQ('TS-PILE'!$D$72:$D$91)=0,0,'TO HOP NLAN'!F159*'TS-PILE'!$D$75/SUMSQ('TS-PILE'!$D$72:$D$91))),IF('TS-PILE'!$B$76="",-1E+99,'TO HOP NLAN'!D159/ncoc+IF(SUMSQ('TS-PILE'!$E$72:$E$91)=0,0,'TO HOP NLAN'!E159*'TS-PILE'!$E$76/SUMSQ('TS-PILE'!$E$72:$E$91))+IF(SUMSQ('TS-PILE'!$D$72:$D$91)=0,0,'TO HOP NLAN'!F159*'TS-PILE'!$D$76/SUMSQ('TS-PILE'!$D$72:$D$91))),IF('TS-PILE'!$B$77="",-1E+99,'TO HOP NLAN'!D159/ncoc+IF(SUMSQ('TS-PILE'!$E$72:$E$91)=0,0,'TO HOP NLAN'!E159*'TS-PILE'!$E$77/SUMSQ('TS-PILE'!$E$72:$E$91))+IF(SUMSQ('TS-PILE'!$D$72:$D$91)=0,0,'TO HOP NLAN'!F159*'TS-PILE'!$D$77/SUMSQ('TS-PILE'!$D$72:$D$91))),IF('TS-PILE'!$B$78="",-1E+99,'TO HOP NLAN'!D159/ncoc+IF(SUMSQ('TS-PILE'!$E$72:$E$91)=0,0,'TO HOP NLAN'!E159*'TS-PILE'!$E$78/SUMSQ('TS-PILE'!$E$72:$E$91))+IF(SUMSQ('TS-PILE'!$D$72:$D$91)=0,0,'TO HOP NLAN'!F159*'TS-PILE'!$D$78/SUMSQ('TS-PILE'!$D$72:$D$91))),IF('TS-PILE'!$B$79="",-1E+99,'TO HOP NLAN'!D159/ncoc+IF(SUMSQ('TS-PILE'!$E$72:$E$91)=0,0,'TO HOP NLAN'!E159*'TS-PILE'!$E$79/SUMSQ('TS-PILE'!$E$72:$E$91))+IF(SUMSQ('TS-PILE'!$D$72:$D$91)=0,0,'TO HOP NLAN'!F159*'TS-PILE'!$D$79/SUMSQ('TS-PILE'!$D$72:$D$91))),IF('TS-PILE'!$B$80="",-1E+99,'TO HOP NLAN'!D159/ncoc+IF(SUMSQ('TS-PILE'!$E$72:$E$91)=0,0,'TO HOP NLAN'!E159*'TS-PILE'!$E$80/SUMSQ('TS-PILE'!$E$72:$E$91))+IF(SUMSQ('TS-PILE'!$D$72:$D$91)=0,0,'TO HOP NLAN'!F159*'TS-PILE'!$D$80/SUMSQ('TS-PILE'!$D$72:$D$91))),IF('TS-PILE'!$B$81="",-1E+99,'TO HOP NLAN'!D159/ncoc+IF(SUMSQ('TS-PILE'!$E$72:$E$91)=0,0,'TO HOP NLAN'!E159*'TS-PILE'!$E$81/SUMSQ('TS-PILE'!$E$72:$E$91))+IF(SUMSQ('TS-PILE'!$D$72:$D$91)=0,0,'TO HOP NLAN'!F159*'TS-PILE'!$D$81/SUMSQ('TS-PILE'!$D$72:$D$91))),IF('TS-PILE'!$B$82="",-1E+99,'TO HOP NLAN'!D159/ncoc+IF(SUMSQ('TS-PILE'!$E$72:$E$91)=0,0,'TO HOP NLAN'!E159*'TS-PILE'!$E$82/SUMSQ('TS-PILE'!$E$72:$E$91))+IF(SUMSQ('TS-PILE'!$D$72:$D$91)=0,0,'TO HOP NLAN'!F159*'TS-PILE'!$D$82/SUMSQ('TS-PILE'!$D$72:$D$91))),IF('TS-PILE'!$B$83="",-1E+99,'TO HOP NLAN'!D159/ncoc+IF(SUMSQ('TS-PILE'!$E$72:$E$91)=0,0,'TO HOP NLAN'!E159*'TS-PILE'!$E$83/SUMSQ('TS-PILE'!$E$72:$E$91))+IF(SUMSQ('TS-PILE'!$D$72:$D$91)=0,0,'TO HOP NLAN'!F159*'TS-PILE'!$D$83/SUMSQ('TS-PILE'!$D$72:$D$91))),IF('TS-PILE'!$B$84="",-1E+99,'TO HOP NLAN'!D159/ncoc+IF(SUMSQ('TS-PILE'!$E$72:$E$91)=0,0,'TO HOP NLAN'!E159*'TS-PILE'!$E$84/SUMSQ('TS-PILE'!$E$72:$E$91))+IF(SUMSQ('TS-PILE'!$D$72:$D$91)=0,0,'TO HOP NLAN'!F159*'TS-PILE'!$D$84/SUMSQ('TS-PILE'!$D$72:$D$91))),IF('TS-PILE'!$B$85="",-1E+99,'TO HOP NLAN'!D159/ncoc+IF(SUMSQ('TS-PILE'!$E$72:$E$91)=0,0,'TO HOP NLAN'!E159*'TS-PILE'!$E$85/SUMSQ('TS-PILE'!$E$72:$E$91))+IF(SUMSQ('TS-PILE'!$D$72:$D$91)=0,0,'TO HOP NLAN'!F159*'TS-PILE'!$D$85/SUMSQ('TS-PILE'!$D$72:$D$91))),IF('TS-PILE'!$B$86="",-1E+99,'TO HOP NLAN'!D159/ncoc+IF(SUMSQ('TS-PILE'!$E$72:$E$91)=0,0,'TO HOP NLAN'!E159*'TS-PILE'!$E$86/SUMSQ('TS-PILE'!$E$72:$E$91))+IF(SUMSQ('TS-PILE'!$D$72:$D$91)=0,0,'TO HOP NLAN'!F159*'TS-PILE'!$D$86/SUMSQ('TS-PILE'!$D$72:$D$91))),IF('TS-PILE'!$B$87="",-1E+99,'TO HOP NLAN'!D159/ncoc+IF(SUMSQ('TS-PILE'!$E$72:$E$91)=0,0,'TO HOP NLAN'!E159*'TS-PILE'!$E$87/SUMSQ('TS-PILE'!$E$72:$E$91))+IF(SUMSQ('TS-PILE'!$D$72:$D$91)=0,0,'TO HOP NLAN'!F159*'TS-PILE'!$D$87/SUMSQ('TS-PILE'!$D$72:$D$91))),IF('TS-PILE'!$B$88="",-1E+99,'TO HOP NLAN'!D159/ncoc+IF(SUMSQ('TS-PILE'!$E$72:$E$91)=0,0,'TO HOP NLAN'!E159*'TS-PILE'!$E$88/SUMSQ('TS-PILE'!$E$72:$E$91))+IF(SUMSQ('TS-PILE'!$D$72:$D$91)=0,0,'TO HOP NLAN'!F159*'TS-PILE'!$D$88/SUMSQ('TS-PILE'!$D$72:$D$91))),IF('TS-PILE'!$B$89="",-1E+99,'TO HOP NLAN'!D159/ncoc+IF(SUMSQ('TS-PILE'!$E$72:$E$91)=0,0,'TO HOP NLAN'!E159*'TS-PILE'!$E$89/SUMSQ('TS-PILE'!$E$72:$E$91))+IF(SUMSQ('TS-PILE'!$D$72:$D$91)=0,0,'TO HOP NLAN'!F159*'TS-PILE'!$D$89/SUMSQ('TS-PILE'!$D$72:$D$91))),IF('TS-PILE'!$B$90="",-1E+99,'TO HOP NLAN'!D159/ncoc+IF(SUMSQ('TS-PILE'!$E$72:$E$91)=0,0,'TO HOP NLAN'!E159*'TS-PILE'!$E$90/SUMSQ('TS-PILE'!$E$72:$E$91))+IF(SUMSQ('TS-PILE'!$D$72:$D$91)=0,0,'TO HOP NLAN'!F159*'TS-PILE'!$D$90/SUMSQ('TS-PILE'!$D$72:$D$91))),IF('TS-PILE'!$B$91="",-1E+99,'TO HOP NLAN'!D159/ncoc+IF(SUMSQ('TS-PILE'!$E$72:$E$91)=0,0,'TO HOP NLAN'!E159*'TS-PILE'!$E$91/SUMSQ('TS-PILE'!$E$72:$E$91))+IF(SUMSQ('TS-PILE'!$D$72:$D$91)=0,0,'TO HOP NLAN'!F159*'TS-PILE'!$D$91/SUMSQ('TS-PILE'!$D$72:$D$91)))))</f>
        <v>0</v>
      </c>
      <c r="D159" s="58">
        <f>IF(A159="",0,MIN(IF('TS-PILE'!$B$72="",1E+99,'TO HOP NLAN'!D159/ncoc+IF(SUMSQ('TS-PILE'!$E$72:$E$91)=0,0,'TO HOP NLAN'!E159*'TS-PILE'!$E$72/SUMSQ('TS-PILE'!$E$72:$E$91))+IF(SUMSQ('TS-PILE'!$D$72:$D$91)=0,0,'TO HOP NLAN'!F159*'TS-PILE'!$D$72/SUMSQ('TS-PILE'!$D$72:$D$91))),IF('TS-PILE'!$B$73="",1E+99,'TO HOP NLAN'!D159/ncoc+IF(SUMSQ('TS-PILE'!$E$72:$E$91)=0,0,'TO HOP NLAN'!E159*'TS-PILE'!$E$73/SUMSQ('TS-PILE'!$E$72:$E$91))+IF(SUMSQ('TS-PILE'!$D$72:$D$91)=0,0,'TO HOP NLAN'!F159*'TS-PILE'!$D$73/SUMSQ('TS-PILE'!$D$72:$D$91))),IF('TS-PILE'!$B$74="",1E+99,'TO HOP NLAN'!D159/ncoc+IF(SUMSQ('TS-PILE'!$E$72:$E$91)=0,0,'TO HOP NLAN'!E159*'TS-PILE'!$E$74/SUMSQ('TS-PILE'!$E$72:$E$91))+IF(SUMSQ('TS-PILE'!$D$72:$D$91)=0,0,'TO HOP NLAN'!F159*'TS-PILE'!$D$74/SUMSQ('TS-PILE'!$D$72:$D$91))),IF('TS-PILE'!$B$75="",1E+99,'TO HOP NLAN'!D159/ncoc+IF(SUMSQ('TS-PILE'!$E$72:$E$91)=0,0,'TO HOP NLAN'!E159*'TS-PILE'!$E$75/SUMSQ('TS-PILE'!$E$72:$E$91))+IF(SUMSQ('TS-PILE'!$D$72:$D$91)=0,0,'TO HOP NLAN'!F159*'TS-PILE'!$D$75/SUMSQ('TS-PILE'!$D$72:$D$91))),IF('TS-PILE'!$B$76="",1E+99,'TO HOP NLAN'!D159/ncoc+IF(SUMSQ('TS-PILE'!$E$72:$E$91)=0,0,'TO HOP NLAN'!E159*'TS-PILE'!$E$76/SUMSQ('TS-PILE'!$E$72:$E$91))+IF(SUMSQ('TS-PILE'!$D$72:$D$91)=0,0,'TO HOP NLAN'!F159*'TS-PILE'!$D$76/SUMSQ('TS-PILE'!$D$72:$D$91))),IF('TS-PILE'!$B$77="",1E+99,'TO HOP NLAN'!D159/ncoc+IF(SUMSQ('TS-PILE'!$E$72:$E$91)=0,0,'TO HOP NLAN'!E159*'TS-PILE'!$E$77/SUMSQ('TS-PILE'!$E$72:$E$91))+IF(SUMSQ('TS-PILE'!$D$72:$D$91)=0,0,'TO HOP NLAN'!F159*'TS-PILE'!$D$77/SUMSQ('TS-PILE'!$D$72:$D$91))),IF('TS-PILE'!$B$78="",1E+99,'TO HOP NLAN'!D159/ncoc+IF(SUMSQ('TS-PILE'!$E$72:$E$91)=0,0,'TO HOP NLAN'!E159*'TS-PILE'!$E$78/SUMSQ('TS-PILE'!$E$72:$E$91))+IF(SUMSQ('TS-PILE'!$D$72:$D$91)=0,0,'TO HOP NLAN'!F159*'TS-PILE'!$D$78/SUMSQ('TS-PILE'!$D$72:$D$91))),IF('TS-PILE'!$B$79="",1E+99,'TO HOP NLAN'!D159/ncoc+IF(SUMSQ('TS-PILE'!$E$72:$E$91)=0,0,'TO HOP NLAN'!E159*'TS-PILE'!$E$79/SUMSQ('TS-PILE'!$E$72:$E$91))+IF(SUMSQ('TS-PILE'!$D$72:$D$91)=0,0,'TO HOP NLAN'!F159*'TS-PILE'!$D$79/SUMSQ('TS-PILE'!$D$72:$D$91))),IF('TS-PILE'!$B$80="",1E+99,'TO HOP NLAN'!D159/ncoc+IF(SUMSQ('TS-PILE'!$E$72:$E$91)=0,0,'TO HOP NLAN'!E159*'TS-PILE'!$E$80/SUMSQ('TS-PILE'!$E$72:$E$91))+IF(SUMSQ('TS-PILE'!$D$72:$D$91)=0,0,'TO HOP NLAN'!F159*'TS-PILE'!$D$80/SUMSQ('TS-PILE'!$D$72:$D$91))),IF('TS-PILE'!$B$81="",1E+99,'TO HOP NLAN'!D159/ncoc+IF(SUMSQ('TS-PILE'!$E$72:$E$91)=0,0,'TO HOP NLAN'!E159*'TS-PILE'!$E$81/SUMSQ('TS-PILE'!$E$72:$E$91))+IF(SUMSQ('TS-PILE'!$D$72:$D$91)=0,0,'TO HOP NLAN'!F159*'TS-PILE'!$D$81/SUMSQ('TS-PILE'!$D$72:$D$91))),IF('TS-PILE'!$B$82="",1E+99,'TO HOP NLAN'!D159/ncoc+IF(SUMSQ('TS-PILE'!$E$72:$E$91)=0,0,'TO HOP NLAN'!E159*'TS-PILE'!$E$82/SUMSQ('TS-PILE'!$E$72:$E$91))+IF(SUMSQ('TS-PILE'!$D$72:$D$91)=0,0,'TO HOP NLAN'!F159*'TS-PILE'!$D$82/SUMSQ('TS-PILE'!$D$72:$D$91))),IF('TS-PILE'!$B$83="",1E+99,'TO HOP NLAN'!D159/ncoc+IF(SUMSQ('TS-PILE'!$E$72:$E$91)=0,0,'TO HOP NLAN'!E159*'TS-PILE'!$E$83/SUMSQ('TS-PILE'!$E$72:$E$91))+IF(SUMSQ('TS-PILE'!$D$72:$D$91)=0,0,'TO HOP NLAN'!F159*'TS-PILE'!$D$83/SUMSQ('TS-PILE'!$D$72:$D$91))),IF('TS-PILE'!$B$84="",1E+99,'TO HOP NLAN'!D159/ncoc+IF(SUMSQ('TS-PILE'!$E$72:$E$91)=0,0,'TO HOP NLAN'!E159*'TS-PILE'!$E$84/SUMSQ('TS-PILE'!$E$72:$E$91))+IF(SUMSQ('TS-PILE'!$D$72:$D$91)=0,0,'TO HOP NLAN'!F159*'TS-PILE'!$D$84/SUMSQ('TS-PILE'!$D$72:$D$91))),IF('TS-PILE'!$B$85="",1E+99,'TO HOP NLAN'!D159/ncoc+IF(SUMSQ('TS-PILE'!$E$72:$E$91)=0,0,'TO HOP NLAN'!E159*'TS-PILE'!$E$85/SUMSQ('TS-PILE'!$E$72:$E$91))+IF(SUMSQ('TS-PILE'!$D$72:$D$91)=0,0,'TO HOP NLAN'!F159*'TS-PILE'!$D$85/SUMSQ('TS-PILE'!$D$72:$D$91))),IF('TS-PILE'!$B$86="",1E+99,'TO HOP NLAN'!D159/ncoc+IF(SUMSQ('TS-PILE'!$E$72:$E$91)=0,0,'TO HOP NLAN'!E159*'TS-PILE'!$E$86/SUMSQ('TS-PILE'!$E$72:$E$91))+IF(SUMSQ('TS-PILE'!$D$72:$D$91)=0,0,'TO HOP NLAN'!F159*'TS-PILE'!$D$86/SUMSQ('TS-PILE'!$D$72:$D$91))),IF('TS-PILE'!$B$87="",1E+99,'TO HOP NLAN'!D159/ncoc+IF(SUMSQ('TS-PILE'!$E$72:$E$91)=0,0,'TO HOP NLAN'!E159*'TS-PILE'!$E$87/SUMSQ('TS-PILE'!$E$72:$E$91))+IF(SUMSQ('TS-PILE'!$D$72:$D$91)=0,0,'TO HOP NLAN'!F159*'TS-PILE'!$D$87/SUMSQ('TS-PILE'!$D$72:$D$91))),IF('TS-PILE'!$B$88="",1E+99,'TO HOP NLAN'!D159/ncoc+IF(SUMSQ('TS-PILE'!$E$72:$E$91)=0,0,'TO HOP NLAN'!E159*'TS-PILE'!$E$88/SUMSQ('TS-PILE'!$E$72:$E$91))+IF(SUMSQ('TS-PILE'!$D$72:$D$91)=0,0,'TO HOP NLAN'!F159*'TS-PILE'!$D$88/SUMSQ('TS-PILE'!$D$72:$D$91))),IF('TS-PILE'!$B$89="",1E+99,'TO HOP NLAN'!D159/ncoc+IF(SUMSQ('TS-PILE'!$E$72:$E$91)=0,0,'TO HOP NLAN'!E159*'TS-PILE'!$E$89/SUMSQ('TS-PILE'!$E$72:$E$91))+IF(SUMSQ('TS-PILE'!$D$72:$D$91)=0,0,'TO HOP NLAN'!F159*'TS-PILE'!$D$89/SUMSQ('TS-PILE'!$D$72:$D$91))),IF('TS-PILE'!$B$90="",1E+99,'TO HOP NLAN'!D159/ncoc+IF(SUMSQ('TS-PILE'!$E$72:$E$91)=0,0,'TO HOP NLAN'!E159*'TS-PILE'!$E$90/SUMSQ('TS-PILE'!$E$72:$E$91))+IF(SUMSQ('TS-PILE'!$D$72:$D$91)=0,0,'TO HOP NLAN'!F159*'TS-PILE'!$D$90/SUMSQ('TS-PILE'!$D$72:$D$91))),IF('TS-PILE'!$B$91="",1E+99,'TO HOP NLAN'!D159/ncoc+IF(SUMSQ('TS-PILE'!$E$72:$E$91)=0,0,'TO HOP NLAN'!E159*'TS-PILE'!$E$91/SUMSQ('TS-PILE'!$E$72:$E$91))+IF(SUMSQ('TS-PILE'!$D$72:$D$91)=0,0,'TO HOP NLAN'!F159*'TS-PILE'!$D$91/SUMSQ('TS-PILE'!$D$72:$D$91)))))</f>
        <v>0</v>
      </c>
      <c r="E159" s="58">
        <f t="shared" si="8"/>
        <v>-9.9999999999999997E+98</v>
      </c>
      <c r="F159" s="58">
        <f t="shared" si="9"/>
        <v>9.9999999999999997E+98</v>
      </c>
      <c r="G159" s="58">
        <f t="shared" si="10"/>
        <v>-9.9999999999999997E+98</v>
      </c>
      <c r="H159" s="58">
        <f t="shared" si="11"/>
        <v>9.9999999999999997E+98</v>
      </c>
    </row>
    <row r="160" spans="1:8" x14ac:dyDescent="0.3">
      <c r="A160" s="42" t="str">
        <f>'TO HOP NLAN'!A160</f>
        <v/>
      </c>
      <c r="B160" s="42" t="str">
        <f>'TO HOP NLAN'!L160</f>
        <v>STRENGTH</v>
      </c>
      <c r="C160" s="58">
        <f>IF(A160="",0,MAX(IF('TS-PILE'!$B$72="",-1E+99,'TO HOP NLAN'!D160/ncoc+IF(SUMSQ('TS-PILE'!$E$72:$E$91)=0,0,'TO HOP NLAN'!E160*'TS-PILE'!$E$72/SUMSQ('TS-PILE'!$E$72:$E$91))+IF(SUMSQ('TS-PILE'!$D$72:$D$91)=0,0,'TO HOP NLAN'!F160*'TS-PILE'!$D$72/SUMSQ('TS-PILE'!$D$72:$D$91))),IF('TS-PILE'!$B$73="",-1E+99,'TO HOP NLAN'!D160/ncoc+IF(SUMSQ('TS-PILE'!$E$72:$E$91)=0,0,'TO HOP NLAN'!E160*'TS-PILE'!$E$73/SUMSQ('TS-PILE'!$E$72:$E$91))+IF(SUMSQ('TS-PILE'!$D$72:$D$91)=0,0,'TO HOP NLAN'!F160*'TS-PILE'!$D$73/SUMSQ('TS-PILE'!$D$72:$D$91))),IF('TS-PILE'!$B$74="",-1E+99,'TO HOP NLAN'!D160/ncoc+IF(SUMSQ('TS-PILE'!$E$72:$E$91)=0,0,'TO HOP NLAN'!E160*'TS-PILE'!$E$74/SUMSQ('TS-PILE'!$E$72:$E$91))+IF(SUMSQ('TS-PILE'!$D$72:$D$91)=0,0,'TO HOP NLAN'!F160*'TS-PILE'!$D$74/SUMSQ('TS-PILE'!$D$72:$D$91))),IF('TS-PILE'!$B$75="",-1E+99,'TO HOP NLAN'!D160/ncoc+IF(SUMSQ('TS-PILE'!$E$72:$E$91)=0,0,'TO HOP NLAN'!E160*'TS-PILE'!$E$75/SUMSQ('TS-PILE'!$E$72:$E$91))+IF(SUMSQ('TS-PILE'!$D$72:$D$91)=0,0,'TO HOP NLAN'!F160*'TS-PILE'!$D$75/SUMSQ('TS-PILE'!$D$72:$D$91))),IF('TS-PILE'!$B$76="",-1E+99,'TO HOP NLAN'!D160/ncoc+IF(SUMSQ('TS-PILE'!$E$72:$E$91)=0,0,'TO HOP NLAN'!E160*'TS-PILE'!$E$76/SUMSQ('TS-PILE'!$E$72:$E$91))+IF(SUMSQ('TS-PILE'!$D$72:$D$91)=0,0,'TO HOP NLAN'!F160*'TS-PILE'!$D$76/SUMSQ('TS-PILE'!$D$72:$D$91))),IF('TS-PILE'!$B$77="",-1E+99,'TO HOP NLAN'!D160/ncoc+IF(SUMSQ('TS-PILE'!$E$72:$E$91)=0,0,'TO HOP NLAN'!E160*'TS-PILE'!$E$77/SUMSQ('TS-PILE'!$E$72:$E$91))+IF(SUMSQ('TS-PILE'!$D$72:$D$91)=0,0,'TO HOP NLAN'!F160*'TS-PILE'!$D$77/SUMSQ('TS-PILE'!$D$72:$D$91))),IF('TS-PILE'!$B$78="",-1E+99,'TO HOP NLAN'!D160/ncoc+IF(SUMSQ('TS-PILE'!$E$72:$E$91)=0,0,'TO HOP NLAN'!E160*'TS-PILE'!$E$78/SUMSQ('TS-PILE'!$E$72:$E$91))+IF(SUMSQ('TS-PILE'!$D$72:$D$91)=0,0,'TO HOP NLAN'!F160*'TS-PILE'!$D$78/SUMSQ('TS-PILE'!$D$72:$D$91))),IF('TS-PILE'!$B$79="",-1E+99,'TO HOP NLAN'!D160/ncoc+IF(SUMSQ('TS-PILE'!$E$72:$E$91)=0,0,'TO HOP NLAN'!E160*'TS-PILE'!$E$79/SUMSQ('TS-PILE'!$E$72:$E$91))+IF(SUMSQ('TS-PILE'!$D$72:$D$91)=0,0,'TO HOP NLAN'!F160*'TS-PILE'!$D$79/SUMSQ('TS-PILE'!$D$72:$D$91))),IF('TS-PILE'!$B$80="",-1E+99,'TO HOP NLAN'!D160/ncoc+IF(SUMSQ('TS-PILE'!$E$72:$E$91)=0,0,'TO HOP NLAN'!E160*'TS-PILE'!$E$80/SUMSQ('TS-PILE'!$E$72:$E$91))+IF(SUMSQ('TS-PILE'!$D$72:$D$91)=0,0,'TO HOP NLAN'!F160*'TS-PILE'!$D$80/SUMSQ('TS-PILE'!$D$72:$D$91))),IF('TS-PILE'!$B$81="",-1E+99,'TO HOP NLAN'!D160/ncoc+IF(SUMSQ('TS-PILE'!$E$72:$E$91)=0,0,'TO HOP NLAN'!E160*'TS-PILE'!$E$81/SUMSQ('TS-PILE'!$E$72:$E$91))+IF(SUMSQ('TS-PILE'!$D$72:$D$91)=0,0,'TO HOP NLAN'!F160*'TS-PILE'!$D$81/SUMSQ('TS-PILE'!$D$72:$D$91))),IF('TS-PILE'!$B$82="",-1E+99,'TO HOP NLAN'!D160/ncoc+IF(SUMSQ('TS-PILE'!$E$72:$E$91)=0,0,'TO HOP NLAN'!E160*'TS-PILE'!$E$82/SUMSQ('TS-PILE'!$E$72:$E$91))+IF(SUMSQ('TS-PILE'!$D$72:$D$91)=0,0,'TO HOP NLAN'!F160*'TS-PILE'!$D$82/SUMSQ('TS-PILE'!$D$72:$D$91))),IF('TS-PILE'!$B$83="",-1E+99,'TO HOP NLAN'!D160/ncoc+IF(SUMSQ('TS-PILE'!$E$72:$E$91)=0,0,'TO HOP NLAN'!E160*'TS-PILE'!$E$83/SUMSQ('TS-PILE'!$E$72:$E$91))+IF(SUMSQ('TS-PILE'!$D$72:$D$91)=0,0,'TO HOP NLAN'!F160*'TS-PILE'!$D$83/SUMSQ('TS-PILE'!$D$72:$D$91))),IF('TS-PILE'!$B$84="",-1E+99,'TO HOP NLAN'!D160/ncoc+IF(SUMSQ('TS-PILE'!$E$72:$E$91)=0,0,'TO HOP NLAN'!E160*'TS-PILE'!$E$84/SUMSQ('TS-PILE'!$E$72:$E$91))+IF(SUMSQ('TS-PILE'!$D$72:$D$91)=0,0,'TO HOP NLAN'!F160*'TS-PILE'!$D$84/SUMSQ('TS-PILE'!$D$72:$D$91))),IF('TS-PILE'!$B$85="",-1E+99,'TO HOP NLAN'!D160/ncoc+IF(SUMSQ('TS-PILE'!$E$72:$E$91)=0,0,'TO HOP NLAN'!E160*'TS-PILE'!$E$85/SUMSQ('TS-PILE'!$E$72:$E$91))+IF(SUMSQ('TS-PILE'!$D$72:$D$91)=0,0,'TO HOP NLAN'!F160*'TS-PILE'!$D$85/SUMSQ('TS-PILE'!$D$72:$D$91))),IF('TS-PILE'!$B$86="",-1E+99,'TO HOP NLAN'!D160/ncoc+IF(SUMSQ('TS-PILE'!$E$72:$E$91)=0,0,'TO HOP NLAN'!E160*'TS-PILE'!$E$86/SUMSQ('TS-PILE'!$E$72:$E$91))+IF(SUMSQ('TS-PILE'!$D$72:$D$91)=0,0,'TO HOP NLAN'!F160*'TS-PILE'!$D$86/SUMSQ('TS-PILE'!$D$72:$D$91))),IF('TS-PILE'!$B$87="",-1E+99,'TO HOP NLAN'!D160/ncoc+IF(SUMSQ('TS-PILE'!$E$72:$E$91)=0,0,'TO HOP NLAN'!E160*'TS-PILE'!$E$87/SUMSQ('TS-PILE'!$E$72:$E$91))+IF(SUMSQ('TS-PILE'!$D$72:$D$91)=0,0,'TO HOP NLAN'!F160*'TS-PILE'!$D$87/SUMSQ('TS-PILE'!$D$72:$D$91))),IF('TS-PILE'!$B$88="",-1E+99,'TO HOP NLAN'!D160/ncoc+IF(SUMSQ('TS-PILE'!$E$72:$E$91)=0,0,'TO HOP NLAN'!E160*'TS-PILE'!$E$88/SUMSQ('TS-PILE'!$E$72:$E$91))+IF(SUMSQ('TS-PILE'!$D$72:$D$91)=0,0,'TO HOP NLAN'!F160*'TS-PILE'!$D$88/SUMSQ('TS-PILE'!$D$72:$D$91))),IF('TS-PILE'!$B$89="",-1E+99,'TO HOP NLAN'!D160/ncoc+IF(SUMSQ('TS-PILE'!$E$72:$E$91)=0,0,'TO HOP NLAN'!E160*'TS-PILE'!$E$89/SUMSQ('TS-PILE'!$E$72:$E$91))+IF(SUMSQ('TS-PILE'!$D$72:$D$91)=0,0,'TO HOP NLAN'!F160*'TS-PILE'!$D$89/SUMSQ('TS-PILE'!$D$72:$D$91))),IF('TS-PILE'!$B$90="",-1E+99,'TO HOP NLAN'!D160/ncoc+IF(SUMSQ('TS-PILE'!$E$72:$E$91)=0,0,'TO HOP NLAN'!E160*'TS-PILE'!$E$90/SUMSQ('TS-PILE'!$E$72:$E$91))+IF(SUMSQ('TS-PILE'!$D$72:$D$91)=0,0,'TO HOP NLAN'!F160*'TS-PILE'!$D$90/SUMSQ('TS-PILE'!$D$72:$D$91))),IF('TS-PILE'!$B$91="",-1E+99,'TO HOP NLAN'!D160/ncoc+IF(SUMSQ('TS-PILE'!$E$72:$E$91)=0,0,'TO HOP NLAN'!E160*'TS-PILE'!$E$91/SUMSQ('TS-PILE'!$E$72:$E$91))+IF(SUMSQ('TS-PILE'!$D$72:$D$91)=0,0,'TO HOP NLAN'!F160*'TS-PILE'!$D$91/SUMSQ('TS-PILE'!$D$72:$D$91)))))</f>
        <v>0</v>
      </c>
      <c r="D160" s="58">
        <f>IF(A160="",0,MIN(IF('TS-PILE'!$B$72="",1E+99,'TO HOP NLAN'!D160/ncoc+IF(SUMSQ('TS-PILE'!$E$72:$E$91)=0,0,'TO HOP NLAN'!E160*'TS-PILE'!$E$72/SUMSQ('TS-PILE'!$E$72:$E$91))+IF(SUMSQ('TS-PILE'!$D$72:$D$91)=0,0,'TO HOP NLAN'!F160*'TS-PILE'!$D$72/SUMSQ('TS-PILE'!$D$72:$D$91))),IF('TS-PILE'!$B$73="",1E+99,'TO HOP NLAN'!D160/ncoc+IF(SUMSQ('TS-PILE'!$E$72:$E$91)=0,0,'TO HOP NLAN'!E160*'TS-PILE'!$E$73/SUMSQ('TS-PILE'!$E$72:$E$91))+IF(SUMSQ('TS-PILE'!$D$72:$D$91)=0,0,'TO HOP NLAN'!F160*'TS-PILE'!$D$73/SUMSQ('TS-PILE'!$D$72:$D$91))),IF('TS-PILE'!$B$74="",1E+99,'TO HOP NLAN'!D160/ncoc+IF(SUMSQ('TS-PILE'!$E$72:$E$91)=0,0,'TO HOP NLAN'!E160*'TS-PILE'!$E$74/SUMSQ('TS-PILE'!$E$72:$E$91))+IF(SUMSQ('TS-PILE'!$D$72:$D$91)=0,0,'TO HOP NLAN'!F160*'TS-PILE'!$D$74/SUMSQ('TS-PILE'!$D$72:$D$91))),IF('TS-PILE'!$B$75="",1E+99,'TO HOP NLAN'!D160/ncoc+IF(SUMSQ('TS-PILE'!$E$72:$E$91)=0,0,'TO HOP NLAN'!E160*'TS-PILE'!$E$75/SUMSQ('TS-PILE'!$E$72:$E$91))+IF(SUMSQ('TS-PILE'!$D$72:$D$91)=0,0,'TO HOP NLAN'!F160*'TS-PILE'!$D$75/SUMSQ('TS-PILE'!$D$72:$D$91))),IF('TS-PILE'!$B$76="",1E+99,'TO HOP NLAN'!D160/ncoc+IF(SUMSQ('TS-PILE'!$E$72:$E$91)=0,0,'TO HOP NLAN'!E160*'TS-PILE'!$E$76/SUMSQ('TS-PILE'!$E$72:$E$91))+IF(SUMSQ('TS-PILE'!$D$72:$D$91)=0,0,'TO HOP NLAN'!F160*'TS-PILE'!$D$76/SUMSQ('TS-PILE'!$D$72:$D$91))),IF('TS-PILE'!$B$77="",1E+99,'TO HOP NLAN'!D160/ncoc+IF(SUMSQ('TS-PILE'!$E$72:$E$91)=0,0,'TO HOP NLAN'!E160*'TS-PILE'!$E$77/SUMSQ('TS-PILE'!$E$72:$E$91))+IF(SUMSQ('TS-PILE'!$D$72:$D$91)=0,0,'TO HOP NLAN'!F160*'TS-PILE'!$D$77/SUMSQ('TS-PILE'!$D$72:$D$91))),IF('TS-PILE'!$B$78="",1E+99,'TO HOP NLAN'!D160/ncoc+IF(SUMSQ('TS-PILE'!$E$72:$E$91)=0,0,'TO HOP NLAN'!E160*'TS-PILE'!$E$78/SUMSQ('TS-PILE'!$E$72:$E$91))+IF(SUMSQ('TS-PILE'!$D$72:$D$91)=0,0,'TO HOP NLAN'!F160*'TS-PILE'!$D$78/SUMSQ('TS-PILE'!$D$72:$D$91))),IF('TS-PILE'!$B$79="",1E+99,'TO HOP NLAN'!D160/ncoc+IF(SUMSQ('TS-PILE'!$E$72:$E$91)=0,0,'TO HOP NLAN'!E160*'TS-PILE'!$E$79/SUMSQ('TS-PILE'!$E$72:$E$91))+IF(SUMSQ('TS-PILE'!$D$72:$D$91)=0,0,'TO HOP NLAN'!F160*'TS-PILE'!$D$79/SUMSQ('TS-PILE'!$D$72:$D$91))),IF('TS-PILE'!$B$80="",1E+99,'TO HOP NLAN'!D160/ncoc+IF(SUMSQ('TS-PILE'!$E$72:$E$91)=0,0,'TO HOP NLAN'!E160*'TS-PILE'!$E$80/SUMSQ('TS-PILE'!$E$72:$E$91))+IF(SUMSQ('TS-PILE'!$D$72:$D$91)=0,0,'TO HOP NLAN'!F160*'TS-PILE'!$D$80/SUMSQ('TS-PILE'!$D$72:$D$91))),IF('TS-PILE'!$B$81="",1E+99,'TO HOP NLAN'!D160/ncoc+IF(SUMSQ('TS-PILE'!$E$72:$E$91)=0,0,'TO HOP NLAN'!E160*'TS-PILE'!$E$81/SUMSQ('TS-PILE'!$E$72:$E$91))+IF(SUMSQ('TS-PILE'!$D$72:$D$91)=0,0,'TO HOP NLAN'!F160*'TS-PILE'!$D$81/SUMSQ('TS-PILE'!$D$72:$D$91))),IF('TS-PILE'!$B$82="",1E+99,'TO HOP NLAN'!D160/ncoc+IF(SUMSQ('TS-PILE'!$E$72:$E$91)=0,0,'TO HOP NLAN'!E160*'TS-PILE'!$E$82/SUMSQ('TS-PILE'!$E$72:$E$91))+IF(SUMSQ('TS-PILE'!$D$72:$D$91)=0,0,'TO HOP NLAN'!F160*'TS-PILE'!$D$82/SUMSQ('TS-PILE'!$D$72:$D$91))),IF('TS-PILE'!$B$83="",1E+99,'TO HOP NLAN'!D160/ncoc+IF(SUMSQ('TS-PILE'!$E$72:$E$91)=0,0,'TO HOP NLAN'!E160*'TS-PILE'!$E$83/SUMSQ('TS-PILE'!$E$72:$E$91))+IF(SUMSQ('TS-PILE'!$D$72:$D$91)=0,0,'TO HOP NLAN'!F160*'TS-PILE'!$D$83/SUMSQ('TS-PILE'!$D$72:$D$91))),IF('TS-PILE'!$B$84="",1E+99,'TO HOP NLAN'!D160/ncoc+IF(SUMSQ('TS-PILE'!$E$72:$E$91)=0,0,'TO HOP NLAN'!E160*'TS-PILE'!$E$84/SUMSQ('TS-PILE'!$E$72:$E$91))+IF(SUMSQ('TS-PILE'!$D$72:$D$91)=0,0,'TO HOP NLAN'!F160*'TS-PILE'!$D$84/SUMSQ('TS-PILE'!$D$72:$D$91))),IF('TS-PILE'!$B$85="",1E+99,'TO HOP NLAN'!D160/ncoc+IF(SUMSQ('TS-PILE'!$E$72:$E$91)=0,0,'TO HOP NLAN'!E160*'TS-PILE'!$E$85/SUMSQ('TS-PILE'!$E$72:$E$91))+IF(SUMSQ('TS-PILE'!$D$72:$D$91)=0,0,'TO HOP NLAN'!F160*'TS-PILE'!$D$85/SUMSQ('TS-PILE'!$D$72:$D$91))),IF('TS-PILE'!$B$86="",1E+99,'TO HOP NLAN'!D160/ncoc+IF(SUMSQ('TS-PILE'!$E$72:$E$91)=0,0,'TO HOP NLAN'!E160*'TS-PILE'!$E$86/SUMSQ('TS-PILE'!$E$72:$E$91))+IF(SUMSQ('TS-PILE'!$D$72:$D$91)=0,0,'TO HOP NLAN'!F160*'TS-PILE'!$D$86/SUMSQ('TS-PILE'!$D$72:$D$91))),IF('TS-PILE'!$B$87="",1E+99,'TO HOP NLAN'!D160/ncoc+IF(SUMSQ('TS-PILE'!$E$72:$E$91)=0,0,'TO HOP NLAN'!E160*'TS-PILE'!$E$87/SUMSQ('TS-PILE'!$E$72:$E$91))+IF(SUMSQ('TS-PILE'!$D$72:$D$91)=0,0,'TO HOP NLAN'!F160*'TS-PILE'!$D$87/SUMSQ('TS-PILE'!$D$72:$D$91))),IF('TS-PILE'!$B$88="",1E+99,'TO HOP NLAN'!D160/ncoc+IF(SUMSQ('TS-PILE'!$E$72:$E$91)=0,0,'TO HOP NLAN'!E160*'TS-PILE'!$E$88/SUMSQ('TS-PILE'!$E$72:$E$91))+IF(SUMSQ('TS-PILE'!$D$72:$D$91)=0,0,'TO HOP NLAN'!F160*'TS-PILE'!$D$88/SUMSQ('TS-PILE'!$D$72:$D$91))),IF('TS-PILE'!$B$89="",1E+99,'TO HOP NLAN'!D160/ncoc+IF(SUMSQ('TS-PILE'!$E$72:$E$91)=0,0,'TO HOP NLAN'!E160*'TS-PILE'!$E$89/SUMSQ('TS-PILE'!$E$72:$E$91))+IF(SUMSQ('TS-PILE'!$D$72:$D$91)=0,0,'TO HOP NLAN'!F160*'TS-PILE'!$D$89/SUMSQ('TS-PILE'!$D$72:$D$91))),IF('TS-PILE'!$B$90="",1E+99,'TO HOP NLAN'!D160/ncoc+IF(SUMSQ('TS-PILE'!$E$72:$E$91)=0,0,'TO HOP NLAN'!E160*'TS-PILE'!$E$90/SUMSQ('TS-PILE'!$E$72:$E$91))+IF(SUMSQ('TS-PILE'!$D$72:$D$91)=0,0,'TO HOP NLAN'!F160*'TS-PILE'!$D$90/SUMSQ('TS-PILE'!$D$72:$D$91))),IF('TS-PILE'!$B$91="",1E+99,'TO HOP NLAN'!D160/ncoc+IF(SUMSQ('TS-PILE'!$E$72:$E$91)=0,0,'TO HOP NLAN'!E160*'TS-PILE'!$E$91/SUMSQ('TS-PILE'!$E$72:$E$91))+IF(SUMSQ('TS-PILE'!$D$72:$D$91)=0,0,'TO HOP NLAN'!F160*'TS-PILE'!$D$91/SUMSQ('TS-PILE'!$D$72:$D$91)))))</f>
        <v>0</v>
      </c>
      <c r="E160" s="58">
        <f t="shared" si="8"/>
        <v>-9.9999999999999997E+98</v>
      </c>
      <c r="F160" s="58">
        <f t="shared" si="9"/>
        <v>9.9999999999999997E+98</v>
      </c>
      <c r="G160" s="58">
        <f t="shared" si="10"/>
        <v>-9.9999999999999997E+98</v>
      </c>
      <c r="H160" s="58">
        <f t="shared" si="11"/>
        <v>9.9999999999999997E+98</v>
      </c>
    </row>
    <row r="161" spans="1:8" x14ac:dyDescent="0.3">
      <c r="A161" s="42" t="str">
        <f>'TO HOP NLAN'!A161</f>
        <v/>
      </c>
      <c r="B161" s="42" t="str">
        <f>'TO HOP NLAN'!L161</f>
        <v>STRENGTH</v>
      </c>
      <c r="C161" s="58">
        <f>IF(A161="",0,MAX(IF('TS-PILE'!$B$72="",-1E+99,'TO HOP NLAN'!D161/ncoc+IF(SUMSQ('TS-PILE'!$E$72:$E$91)=0,0,'TO HOP NLAN'!E161*'TS-PILE'!$E$72/SUMSQ('TS-PILE'!$E$72:$E$91))+IF(SUMSQ('TS-PILE'!$D$72:$D$91)=0,0,'TO HOP NLAN'!F161*'TS-PILE'!$D$72/SUMSQ('TS-PILE'!$D$72:$D$91))),IF('TS-PILE'!$B$73="",-1E+99,'TO HOP NLAN'!D161/ncoc+IF(SUMSQ('TS-PILE'!$E$72:$E$91)=0,0,'TO HOP NLAN'!E161*'TS-PILE'!$E$73/SUMSQ('TS-PILE'!$E$72:$E$91))+IF(SUMSQ('TS-PILE'!$D$72:$D$91)=0,0,'TO HOP NLAN'!F161*'TS-PILE'!$D$73/SUMSQ('TS-PILE'!$D$72:$D$91))),IF('TS-PILE'!$B$74="",-1E+99,'TO HOP NLAN'!D161/ncoc+IF(SUMSQ('TS-PILE'!$E$72:$E$91)=0,0,'TO HOP NLAN'!E161*'TS-PILE'!$E$74/SUMSQ('TS-PILE'!$E$72:$E$91))+IF(SUMSQ('TS-PILE'!$D$72:$D$91)=0,0,'TO HOP NLAN'!F161*'TS-PILE'!$D$74/SUMSQ('TS-PILE'!$D$72:$D$91))),IF('TS-PILE'!$B$75="",-1E+99,'TO HOP NLAN'!D161/ncoc+IF(SUMSQ('TS-PILE'!$E$72:$E$91)=0,0,'TO HOP NLAN'!E161*'TS-PILE'!$E$75/SUMSQ('TS-PILE'!$E$72:$E$91))+IF(SUMSQ('TS-PILE'!$D$72:$D$91)=0,0,'TO HOP NLAN'!F161*'TS-PILE'!$D$75/SUMSQ('TS-PILE'!$D$72:$D$91))),IF('TS-PILE'!$B$76="",-1E+99,'TO HOP NLAN'!D161/ncoc+IF(SUMSQ('TS-PILE'!$E$72:$E$91)=0,0,'TO HOP NLAN'!E161*'TS-PILE'!$E$76/SUMSQ('TS-PILE'!$E$72:$E$91))+IF(SUMSQ('TS-PILE'!$D$72:$D$91)=0,0,'TO HOP NLAN'!F161*'TS-PILE'!$D$76/SUMSQ('TS-PILE'!$D$72:$D$91))),IF('TS-PILE'!$B$77="",-1E+99,'TO HOP NLAN'!D161/ncoc+IF(SUMSQ('TS-PILE'!$E$72:$E$91)=0,0,'TO HOP NLAN'!E161*'TS-PILE'!$E$77/SUMSQ('TS-PILE'!$E$72:$E$91))+IF(SUMSQ('TS-PILE'!$D$72:$D$91)=0,0,'TO HOP NLAN'!F161*'TS-PILE'!$D$77/SUMSQ('TS-PILE'!$D$72:$D$91))),IF('TS-PILE'!$B$78="",-1E+99,'TO HOP NLAN'!D161/ncoc+IF(SUMSQ('TS-PILE'!$E$72:$E$91)=0,0,'TO HOP NLAN'!E161*'TS-PILE'!$E$78/SUMSQ('TS-PILE'!$E$72:$E$91))+IF(SUMSQ('TS-PILE'!$D$72:$D$91)=0,0,'TO HOP NLAN'!F161*'TS-PILE'!$D$78/SUMSQ('TS-PILE'!$D$72:$D$91))),IF('TS-PILE'!$B$79="",-1E+99,'TO HOP NLAN'!D161/ncoc+IF(SUMSQ('TS-PILE'!$E$72:$E$91)=0,0,'TO HOP NLAN'!E161*'TS-PILE'!$E$79/SUMSQ('TS-PILE'!$E$72:$E$91))+IF(SUMSQ('TS-PILE'!$D$72:$D$91)=0,0,'TO HOP NLAN'!F161*'TS-PILE'!$D$79/SUMSQ('TS-PILE'!$D$72:$D$91))),IF('TS-PILE'!$B$80="",-1E+99,'TO HOP NLAN'!D161/ncoc+IF(SUMSQ('TS-PILE'!$E$72:$E$91)=0,0,'TO HOP NLAN'!E161*'TS-PILE'!$E$80/SUMSQ('TS-PILE'!$E$72:$E$91))+IF(SUMSQ('TS-PILE'!$D$72:$D$91)=0,0,'TO HOP NLAN'!F161*'TS-PILE'!$D$80/SUMSQ('TS-PILE'!$D$72:$D$91))),IF('TS-PILE'!$B$81="",-1E+99,'TO HOP NLAN'!D161/ncoc+IF(SUMSQ('TS-PILE'!$E$72:$E$91)=0,0,'TO HOP NLAN'!E161*'TS-PILE'!$E$81/SUMSQ('TS-PILE'!$E$72:$E$91))+IF(SUMSQ('TS-PILE'!$D$72:$D$91)=0,0,'TO HOP NLAN'!F161*'TS-PILE'!$D$81/SUMSQ('TS-PILE'!$D$72:$D$91))),IF('TS-PILE'!$B$82="",-1E+99,'TO HOP NLAN'!D161/ncoc+IF(SUMSQ('TS-PILE'!$E$72:$E$91)=0,0,'TO HOP NLAN'!E161*'TS-PILE'!$E$82/SUMSQ('TS-PILE'!$E$72:$E$91))+IF(SUMSQ('TS-PILE'!$D$72:$D$91)=0,0,'TO HOP NLAN'!F161*'TS-PILE'!$D$82/SUMSQ('TS-PILE'!$D$72:$D$91))),IF('TS-PILE'!$B$83="",-1E+99,'TO HOP NLAN'!D161/ncoc+IF(SUMSQ('TS-PILE'!$E$72:$E$91)=0,0,'TO HOP NLAN'!E161*'TS-PILE'!$E$83/SUMSQ('TS-PILE'!$E$72:$E$91))+IF(SUMSQ('TS-PILE'!$D$72:$D$91)=0,0,'TO HOP NLAN'!F161*'TS-PILE'!$D$83/SUMSQ('TS-PILE'!$D$72:$D$91))),IF('TS-PILE'!$B$84="",-1E+99,'TO HOP NLAN'!D161/ncoc+IF(SUMSQ('TS-PILE'!$E$72:$E$91)=0,0,'TO HOP NLAN'!E161*'TS-PILE'!$E$84/SUMSQ('TS-PILE'!$E$72:$E$91))+IF(SUMSQ('TS-PILE'!$D$72:$D$91)=0,0,'TO HOP NLAN'!F161*'TS-PILE'!$D$84/SUMSQ('TS-PILE'!$D$72:$D$91))),IF('TS-PILE'!$B$85="",-1E+99,'TO HOP NLAN'!D161/ncoc+IF(SUMSQ('TS-PILE'!$E$72:$E$91)=0,0,'TO HOP NLAN'!E161*'TS-PILE'!$E$85/SUMSQ('TS-PILE'!$E$72:$E$91))+IF(SUMSQ('TS-PILE'!$D$72:$D$91)=0,0,'TO HOP NLAN'!F161*'TS-PILE'!$D$85/SUMSQ('TS-PILE'!$D$72:$D$91))),IF('TS-PILE'!$B$86="",-1E+99,'TO HOP NLAN'!D161/ncoc+IF(SUMSQ('TS-PILE'!$E$72:$E$91)=0,0,'TO HOP NLAN'!E161*'TS-PILE'!$E$86/SUMSQ('TS-PILE'!$E$72:$E$91))+IF(SUMSQ('TS-PILE'!$D$72:$D$91)=0,0,'TO HOP NLAN'!F161*'TS-PILE'!$D$86/SUMSQ('TS-PILE'!$D$72:$D$91))),IF('TS-PILE'!$B$87="",-1E+99,'TO HOP NLAN'!D161/ncoc+IF(SUMSQ('TS-PILE'!$E$72:$E$91)=0,0,'TO HOP NLAN'!E161*'TS-PILE'!$E$87/SUMSQ('TS-PILE'!$E$72:$E$91))+IF(SUMSQ('TS-PILE'!$D$72:$D$91)=0,0,'TO HOP NLAN'!F161*'TS-PILE'!$D$87/SUMSQ('TS-PILE'!$D$72:$D$91))),IF('TS-PILE'!$B$88="",-1E+99,'TO HOP NLAN'!D161/ncoc+IF(SUMSQ('TS-PILE'!$E$72:$E$91)=0,0,'TO HOP NLAN'!E161*'TS-PILE'!$E$88/SUMSQ('TS-PILE'!$E$72:$E$91))+IF(SUMSQ('TS-PILE'!$D$72:$D$91)=0,0,'TO HOP NLAN'!F161*'TS-PILE'!$D$88/SUMSQ('TS-PILE'!$D$72:$D$91))),IF('TS-PILE'!$B$89="",-1E+99,'TO HOP NLAN'!D161/ncoc+IF(SUMSQ('TS-PILE'!$E$72:$E$91)=0,0,'TO HOP NLAN'!E161*'TS-PILE'!$E$89/SUMSQ('TS-PILE'!$E$72:$E$91))+IF(SUMSQ('TS-PILE'!$D$72:$D$91)=0,0,'TO HOP NLAN'!F161*'TS-PILE'!$D$89/SUMSQ('TS-PILE'!$D$72:$D$91))),IF('TS-PILE'!$B$90="",-1E+99,'TO HOP NLAN'!D161/ncoc+IF(SUMSQ('TS-PILE'!$E$72:$E$91)=0,0,'TO HOP NLAN'!E161*'TS-PILE'!$E$90/SUMSQ('TS-PILE'!$E$72:$E$91))+IF(SUMSQ('TS-PILE'!$D$72:$D$91)=0,0,'TO HOP NLAN'!F161*'TS-PILE'!$D$90/SUMSQ('TS-PILE'!$D$72:$D$91))),IF('TS-PILE'!$B$91="",-1E+99,'TO HOP NLAN'!D161/ncoc+IF(SUMSQ('TS-PILE'!$E$72:$E$91)=0,0,'TO HOP NLAN'!E161*'TS-PILE'!$E$91/SUMSQ('TS-PILE'!$E$72:$E$91))+IF(SUMSQ('TS-PILE'!$D$72:$D$91)=0,0,'TO HOP NLAN'!F161*'TS-PILE'!$D$91/SUMSQ('TS-PILE'!$D$72:$D$91)))))</f>
        <v>0</v>
      </c>
      <c r="D161" s="58">
        <f>IF(A161="",0,MIN(IF('TS-PILE'!$B$72="",1E+99,'TO HOP NLAN'!D161/ncoc+IF(SUMSQ('TS-PILE'!$E$72:$E$91)=0,0,'TO HOP NLAN'!E161*'TS-PILE'!$E$72/SUMSQ('TS-PILE'!$E$72:$E$91))+IF(SUMSQ('TS-PILE'!$D$72:$D$91)=0,0,'TO HOP NLAN'!F161*'TS-PILE'!$D$72/SUMSQ('TS-PILE'!$D$72:$D$91))),IF('TS-PILE'!$B$73="",1E+99,'TO HOP NLAN'!D161/ncoc+IF(SUMSQ('TS-PILE'!$E$72:$E$91)=0,0,'TO HOP NLAN'!E161*'TS-PILE'!$E$73/SUMSQ('TS-PILE'!$E$72:$E$91))+IF(SUMSQ('TS-PILE'!$D$72:$D$91)=0,0,'TO HOP NLAN'!F161*'TS-PILE'!$D$73/SUMSQ('TS-PILE'!$D$72:$D$91))),IF('TS-PILE'!$B$74="",1E+99,'TO HOP NLAN'!D161/ncoc+IF(SUMSQ('TS-PILE'!$E$72:$E$91)=0,0,'TO HOP NLAN'!E161*'TS-PILE'!$E$74/SUMSQ('TS-PILE'!$E$72:$E$91))+IF(SUMSQ('TS-PILE'!$D$72:$D$91)=0,0,'TO HOP NLAN'!F161*'TS-PILE'!$D$74/SUMSQ('TS-PILE'!$D$72:$D$91))),IF('TS-PILE'!$B$75="",1E+99,'TO HOP NLAN'!D161/ncoc+IF(SUMSQ('TS-PILE'!$E$72:$E$91)=0,0,'TO HOP NLAN'!E161*'TS-PILE'!$E$75/SUMSQ('TS-PILE'!$E$72:$E$91))+IF(SUMSQ('TS-PILE'!$D$72:$D$91)=0,0,'TO HOP NLAN'!F161*'TS-PILE'!$D$75/SUMSQ('TS-PILE'!$D$72:$D$91))),IF('TS-PILE'!$B$76="",1E+99,'TO HOP NLAN'!D161/ncoc+IF(SUMSQ('TS-PILE'!$E$72:$E$91)=0,0,'TO HOP NLAN'!E161*'TS-PILE'!$E$76/SUMSQ('TS-PILE'!$E$72:$E$91))+IF(SUMSQ('TS-PILE'!$D$72:$D$91)=0,0,'TO HOP NLAN'!F161*'TS-PILE'!$D$76/SUMSQ('TS-PILE'!$D$72:$D$91))),IF('TS-PILE'!$B$77="",1E+99,'TO HOP NLAN'!D161/ncoc+IF(SUMSQ('TS-PILE'!$E$72:$E$91)=0,0,'TO HOP NLAN'!E161*'TS-PILE'!$E$77/SUMSQ('TS-PILE'!$E$72:$E$91))+IF(SUMSQ('TS-PILE'!$D$72:$D$91)=0,0,'TO HOP NLAN'!F161*'TS-PILE'!$D$77/SUMSQ('TS-PILE'!$D$72:$D$91))),IF('TS-PILE'!$B$78="",1E+99,'TO HOP NLAN'!D161/ncoc+IF(SUMSQ('TS-PILE'!$E$72:$E$91)=0,0,'TO HOP NLAN'!E161*'TS-PILE'!$E$78/SUMSQ('TS-PILE'!$E$72:$E$91))+IF(SUMSQ('TS-PILE'!$D$72:$D$91)=0,0,'TO HOP NLAN'!F161*'TS-PILE'!$D$78/SUMSQ('TS-PILE'!$D$72:$D$91))),IF('TS-PILE'!$B$79="",1E+99,'TO HOP NLAN'!D161/ncoc+IF(SUMSQ('TS-PILE'!$E$72:$E$91)=0,0,'TO HOP NLAN'!E161*'TS-PILE'!$E$79/SUMSQ('TS-PILE'!$E$72:$E$91))+IF(SUMSQ('TS-PILE'!$D$72:$D$91)=0,0,'TO HOP NLAN'!F161*'TS-PILE'!$D$79/SUMSQ('TS-PILE'!$D$72:$D$91))),IF('TS-PILE'!$B$80="",1E+99,'TO HOP NLAN'!D161/ncoc+IF(SUMSQ('TS-PILE'!$E$72:$E$91)=0,0,'TO HOP NLAN'!E161*'TS-PILE'!$E$80/SUMSQ('TS-PILE'!$E$72:$E$91))+IF(SUMSQ('TS-PILE'!$D$72:$D$91)=0,0,'TO HOP NLAN'!F161*'TS-PILE'!$D$80/SUMSQ('TS-PILE'!$D$72:$D$91))),IF('TS-PILE'!$B$81="",1E+99,'TO HOP NLAN'!D161/ncoc+IF(SUMSQ('TS-PILE'!$E$72:$E$91)=0,0,'TO HOP NLAN'!E161*'TS-PILE'!$E$81/SUMSQ('TS-PILE'!$E$72:$E$91))+IF(SUMSQ('TS-PILE'!$D$72:$D$91)=0,0,'TO HOP NLAN'!F161*'TS-PILE'!$D$81/SUMSQ('TS-PILE'!$D$72:$D$91))),IF('TS-PILE'!$B$82="",1E+99,'TO HOP NLAN'!D161/ncoc+IF(SUMSQ('TS-PILE'!$E$72:$E$91)=0,0,'TO HOP NLAN'!E161*'TS-PILE'!$E$82/SUMSQ('TS-PILE'!$E$72:$E$91))+IF(SUMSQ('TS-PILE'!$D$72:$D$91)=0,0,'TO HOP NLAN'!F161*'TS-PILE'!$D$82/SUMSQ('TS-PILE'!$D$72:$D$91))),IF('TS-PILE'!$B$83="",1E+99,'TO HOP NLAN'!D161/ncoc+IF(SUMSQ('TS-PILE'!$E$72:$E$91)=0,0,'TO HOP NLAN'!E161*'TS-PILE'!$E$83/SUMSQ('TS-PILE'!$E$72:$E$91))+IF(SUMSQ('TS-PILE'!$D$72:$D$91)=0,0,'TO HOP NLAN'!F161*'TS-PILE'!$D$83/SUMSQ('TS-PILE'!$D$72:$D$91))),IF('TS-PILE'!$B$84="",1E+99,'TO HOP NLAN'!D161/ncoc+IF(SUMSQ('TS-PILE'!$E$72:$E$91)=0,0,'TO HOP NLAN'!E161*'TS-PILE'!$E$84/SUMSQ('TS-PILE'!$E$72:$E$91))+IF(SUMSQ('TS-PILE'!$D$72:$D$91)=0,0,'TO HOP NLAN'!F161*'TS-PILE'!$D$84/SUMSQ('TS-PILE'!$D$72:$D$91))),IF('TS-PILE'!$B$85="",1E+99,'TO HOP NLAN'!D161/ncoc+IF(SUMSQ('TS-PILE'!$E$72:$E$91)=0,0,'TO HOP NLAN'!E161*'TS-PILE'!$E$85/SUMSQ('TS-PILE'!$E$72:$E$91))+IF(SUMSQ('TS-PILE'!$D$72:$D$91)=0,0,'TO HOP NLAN'!F161*'TS-PILE'!$D$85/SUMSQ('TS-PILE'!$D$72:$D$91))),IF('TS-PILE'!$B$86="",1E+99,'TO HOP NLAN'!D161/ncoc+IF(SUMSQ('TS-PILE'!$E$72:$E$91)=0,0,'TO HOP NLAN'!E161*'TS-PILE'!$E$86/SUMSQ('TS-PILE'!$E$72:$E$91))+IF(SUMSQ('TS-PILE'!$D$72:$D$91)=0,0,'TO HOP NLAN'!F161*'TS-PILE'!$D$86/SUMSQ('TS-PILE'!$D$72:$D$91))),IF('TS-PILE'!$B$87="",1E+99,'TO HOP NLAN'!D161/ncoc+IF(SUMSQ('TS-PILE'!$E$72:$E$91)=0,0,'TO HOP NLAN'!E161*'TS-PILE'!$E$87/SUMSQ('TS-PILE'!$E$72:$E$91))+IF(SUMSQ('TS-PILE'!$D$72:$D$91)=0,0,'TO HOP NLAN'!F161*'TS-PILE'!$D$87/SUMSQ('TS-PILE'!$D$72:$D$91))),IF('TS-PILE'!$B$88="",1E+99,'TO HOP NLAN'!D161/ncoc+IF(SUMSQ('TS-PILE'!$E$72:$E$91)=0,0,'TO HOP NLAN'!E161*'TS-PILE'!$E$88/SUMSQ('TS-PILE'!$E$72:$E$91))+IF(SUMSQ('TS-PILE'!$D$72:$D$91)=0,0,'TO HOP NLAN'!F161*'TS-PILE'!$D$88/SUMSQ('TS-PILE'!$D$72:$D$91))),IF('TS-PILE'!$B$89="",1E+99,'TO HOP NLAN'!D161/ncoc+IF(SUMSQ('TS-PILE'!$E$72:$E$91)=0,0,'TO HOP NLAN'!E161*'TS-PILE'!$E$89/SUMSQ('TS-PILE'!$E$72:$E$91))+IF(SUMSQ('TS-PILE'!$D$72:$D$91)=0,0,'TO HOP NLAN'!F161*'TS-PILE'!$D$89/SUMSQ('TS-PILE'!$D$72:$D$91))),IF('TS-PILE'!$B$90="",1E+99,'TO HOP NLAN'!D161/ncoc+IF(SUMSQ('TS-PILE'!$E$72:$E$91)=0,0,'TO HOP NLAN'!E161*'TS-PILE'!$E$90/SUMSQ('TS-PILE'!$E$72:$E$91))+IF(SUMSQ('TS-PILE'!$D$72:$D$91)=0,0,'TO HOP NLAN'!F161*'TS-PILE'!$D$90/SUMSQ('TS-PILE'!$D$72:$D$91))),IF('TS-PILE'!$B$91="",1E+99,'TO HOP NLAN'!D161/ncoc+IF(SUMSQ('TS-PILE'!$E$72:$E$91)=0,0,'TO HOP NLAN'!E161*'TS-PILE'!$E$91/SUMSQ('TS-PILE'!$E$72:$E$91))+IF(SUMSQ('TS-PILE'!$D$72:$D$91)=0,0,'TO HOP NLAN'!F161*'TS-PILE'!$D$91/SUMSQ('TS-PILE'!$D$72:$D$91)))))</f>
        <v>0</v>
      </c>
      <c r="E161" s="58">
        <f t="shared" si="8"/>
        <v>-9.9999999999999997E+98</v>
      </c>
      <c r="F161" s="58">
        <f t="shared" si="9"/>
        <v>9.9999999999999997E+98</v>
      </c>
      <c r="G161" s="58">
        <f t="shared" si="10"/>
        <v>-9.9999999999999997E+98</v>
      </c>
      <c r="H161" s="58">
        <f t="shared" si="11"/>
        <v>9.9999999999999997E+98</v>
      </c>
    </row>
    <row r="162" spans="1:8" x14ac:dyDescent="0.3">
      <c r="A162" s="42" t="str">
        <f>'TO HOP NLAN'!A162</f>
        <v/>
      </c>
      <c r="B162" s="42" t="str">
        <f>'TO HOP NLAN'!L162</f>
        <v>STRENGTH</v>
      </c>
      <c r="C162" s="58">
        <f>IF(A162="",0,MAX(IF('TS-PILE'!$B$72="",-1E+99,'TO HOP NLAN'!D162/ncoc+IF(SUMSQ('TS-PILE'!$E$72:$E$91)=0,0,'TO HOP NLAN'!E162*'TS-PILE'!$E$72/SUMSQ('TS-PILE'!$E$72:$E$91))+IF(SUMSQ('TS-PILE'!$D$72:$D$91)=0,0,'TO HOP NLAN'!F162*'TS-PILE'!$D$72/SUMSQ('TS-PILE'!$D$72:$D$91))),IF('TS-PILE'!$B$73="",-1E+99,'TO HOP NLAN'!D162/ncoc+IF(SUMSQ('TS-PILE'!$E$72:$E$91)=0,0,'TO HOP NLAN'!E162*'TS-PILE'!$E$73/SUMSQ('TS-PILE'!$E$72:$E$91))+IF(SUMSQ('TS-PILE'!$D$72:$D$91)=0,0,'TO HOP NLAN'!F162*'TS-PILE'!$D$73/SUMSQ('TS-PILE'!$D$72:$D$91))),IF('TS-PILE'!$B$74="",-1E+99,'TO HOP NLAN'!D162/ncoc+IF(SUMSQ('TS-PILE'!$E$72:$E$91)=0,0,'TO HOP NLAN'!E162*'TS-PILE'!$E$74/SUMSQ('TS-PILE'!$E$72:$E$91))+IF(SUMSQ('TS-PILE'!$D$72:$D$91)=0,0,'TO HOP NLAN'!F162*'TS-PILE'!$D$74/SUMSQ('TS-PILE'!$D$72:$D$91))),IF('TS-PILE'!$B$75="",-1E+99,'TO HOP NLAN'!D162/ncoc+IF(SUMSQ('TS-PILE'!$E$72:$E$91)=0,0,'TO HOP NLAN'!E162*'TS-PILE'!$E$75/SUMSQ('TS-PILE'!$E$72:$E$91))+IF(SUMSQ('TS-PILE'!$D$72:$D$91)=0,0,'TO HOP NLAN'!F162*'TS-PILE'!$D$75/SUMSQ('TS-PILE'!$D$72:$D$91))),IF('TS-PILE'!$B$76="",-1E+99,'TO HOP NLAN'!D162/ncoc+IF(SUMSQ('TS-PILE'!$E$72:$E$91)=0,0,'TO HOP NLAN'!E162*'TS-PILE'!$E$76/SUMSQ('TS-PILE'!$E$72:$E$91))+IF(SUMSQ('TS-PILE'!$D$72:$D$91)=0,0,'TO HOP NLAN'!F162*'TS-PILE'!$D$76/SUMSQ('TS-PILE'!$D$72:$D$91))),IF('TS-PILE'!$B$77="",-1E+99,'TO HOP NLAN'!D162/ncoc+IF(SUMSQ('TS-PILE'!$E$72:$E$91)=0,0,'TO HOP NLAN'!E162*'TS-PILE'!$E$77/SUMSQ('TS-PILE'!$E$72:$E$91))+IF(SUMSQ('TS-PILE'!$D$72:$D$91)=0,0,'TO HOP NLAN'!F162*'TS-PILE'!$D$77/SUMSQ('TS-PILE'!$D$72:$D$91))),IF('TS-PILE'!$B$78="",-1E+99,'TO HOP NLAN'!D162/ncoc+IF(SUMSQ('TS-PILE'!$E$72:$E$91)=0,0,'TO HOP NLAN'!E162*'TS-PILE'!$E$78/SUMSQ('TS-PILE'!$E$72:$E$91))+IF(SUMSQ('TS-PILE'!$D$72:$D$91)=0,0,'TO HOP NLAN'!F162*'TS-PILE'!$D$78/SUMSQ('TS-PILE'!$D$72:$D$91))),IF('TS-PILE'!$B$79="",-1E+99,'TO HOP NLAN'!D162/ncoc+IF(SUMSQ('TS-PILE'!$E$72:$E$91)=0,0,'TO HOP NLAN'!E162*'TS-PILE'!$E$79/SUMSQ('TS-PILE'!$E$72:$E$91))+IF(SUMSQ('TS-PILE'!$D$72:$D$91)=0,0,'TO HOP NLAN'!F162*'TS-PILE'!$D$79/SUMSQ('TS-PILE'!$D$72:$D$91))),IF('TS-PILE'!$B$80="",-1E+99,'TO HOP NLAN'!D162/ncoc+IF(SUMSQ('TS-PILE'!$E$72:$E$91)=0,0,'TO HOP NLAN'!E162*'TS-PILE'!$E$80/SUMSQ('TS-PILE'!$E$72:$E$91))+IF(SUMSQ('TS-PILE'!$D$72:$D$91)=0,0,'TO HOP NLAN'!F162*'TS-PILE'!$D$80/SUMSQ('TS-PILE'!$D$72:$D$91))),IF('TS-PILE'!$B$81="",-1E+99,'TO HOP NLAN'!D162/ncoc+IF(SUMSQ('TS-PILE'!$E$72:$E$91)=0,0,'TO HOP NLAN'!E162*'TS-PILE'!$E$81/SUMSQ('TS-PILE'!$E$72:$E$91))+IF(SUMSQ('TS-PILE'!$D$72:$D$91)=0,0,'TO HOP NLAN'!F162*'TS-PILE'!$D$81/SUMSQ('TS-PILE'!$D$72:$D$91))),IF('TS-PILE'!$B$82="",-1E+99,'TO HOP NLAN'!D162/ncoc+IF(SUMSQ('TS-PILE'!$E$72:$E$91)=0,0,'TO HOP NLAN'!E162*'TS-PILE'!$E$82/SUMSQ('TS-PILE'!$E$72:$E$91))+IF(SUMSQ('TS-PILE'!$D$72:$D$91)=0,0,'TO HOP NLAN'!F162*'TS-PILE'!$D$82/SUMSQ('TS-PILE'!$D$72:$D$91))),IF('TS-PILE'!$B$83="",-1E+99,'TO HOP NLAN'!D162/ncoc+IF(SUMSQ('TS-PILE'!$E$72:$E$91)=0,0,'TO HOP NLAN'!E162*'TS-PILE'!$E$83/SUMSQ('TS-PILE'!$E$72:$E$91))+IF(SUMSQ('TS-PILE'!$D$72:$D$91)=0,0,'TO HOP NLAN'!F162*'TS-PILE'!$D$83/SUMSQ('TS-PILE'!$D$72:$D$91))),IF('TS-PILE'!$B$84="",-1E+99,'TO HOP NLAN'!D162/ncoc+IF(SUMSQ('TS-PILE'!$E$72:$E$91)=0,0,'TO HOP NLAN'!E162*'TS-PILE'!$E$84/SUMSQ('TS-PILE'!$E$72:$E$91))+IF(SUMSQ('TS-PILE'!$D$72:$D$91)=0,0,'TO HOP NLAN'!F162*'TS-PILE'!$D$84/SUMSQ('TS-PILE'!$D$72:$D$91))),IF('TS-PILE'!$B$85="",-1E+99,'TO HOP NLAN'!D162/ncoc+IF(SUMSQ('TS-PILE'!$E$72:$E$91)=0,0,'TO HOP NLAN'!E162*'TS-PILE'!$E$85/SUMSQ('TS-PILE'!$E$72:$E$91))+IF(SUMSQ('TS-PILE'!$D$72:$D$91)=0,0,'TO HOP NLAN'!F162*'TS-PILE'!$D$85/SUMSQ('TS-PILE'!$D$72:$D$91))),IF('TS-PILE'!$B$86="",-1E+99,'TO HOP NLAN'!D162/ncoc+IF(SUMSQ('TS-PILE'!$E$72:$E$91)=0,0,'TO HOP NLAN'!E162*'TS-PILE'!$E$86/SUMSQ('TS-PILE'!$E$72:$E$91))+IF(SUMSQ('TS-PILE'!$D$72:$D$91)=0,0,'TO HOP NLAN'!F162*'TS-PILE'!$D$86/SUMSQ('TS-PILE'!$D$72:$D$91))),IF('TS-PILE'!$B$87="",-1E+99,'TO HOP NLAN'!D162/ncoc+IF(SUMSQ('TS-PILE'!$E$72:$E$91)=0,0,'TO HOP NLAN'!E162*'TS-PILE'!$E$87/SUMSQ('TS-PILE'!$E$72:$E$91))+IF(SUMSQ('TS-PILE'!$D$72:$D$91)=0,0,'TO HOP NLAN'!F162*'TS-PILE'!$D$87/SUMSQ('TS-PILE'!$D$72:$D$91))),IF('TS-PILE'!$B$88="",-1E+99,'TO HOP NLAN'!D162/ncoc+IF(SUMSQ('TS-PILE'!$E$72:$E$91)=0,0,'TO HOP NLAN'!E162*'TS-PILE'!$E$88/SUMSQ('TS-PILE'!$E$72:$E$91))+IF(SUMSQ('TS-PILE'!$D$72:$D$91)=0,0,'TO HOP NLAN'!F162*'TS-PILE'!$D$88/SUMSQ('TS-PILE'!$D$72:$D$91))),IF('TS-PILE'!$B$89="",-1E+99,'TO HOP NLAN'!D162/ncoc+IF(SUMSQ('TS-PILE'!$E$72:$E$91)=0,0,'TO HOP NLAN'!E162*'TS-PILE'!$E$89/SUMSQ('TS-PILE'!$E$72:$E$91))+IF(SUMSQ('TS-PILE'!$D$72:$D$91)=0,0,'TO HOP NLAN'!F162*'TS-PILE'!$D$89/SUMSQ('TS-PILE'!$D$72:$D$91))),IF('TS-PILE'!$B$90="",-1E+99,'TO HOP NLAN'!D162/ncoc+IF(SUMSQ('TS-PILE'!$E$72:$E$91)=0,0,'TO HOP NLAN'!E162*'TS-PILE'!$E$90/SUMSQ('TS-PILE'!$E$72:$E$91))+IF(SUMSQ('TS-PILE'!$D$72:$D$91)=0,0,'TO HOP NLAN'!F162*'TS-PILE'!$D$90/SUMSQ('TS-PILE'!$D$72:$D$91))),IF('TS-PILE'!$B$91="",-1E+99,'TO HOP NLAN'!D162/ncoc+IF(SUMSQ('TS-PILE'!$E$72:$E$91)=0,0,'TO HOP NLAN'!E162*'TS-PILE'!$E$91/SUMSQ('TS-PILE'!$E$72:$E$91))+IF(SUMSQ('TS-PILE'!$D$72:$D$91)=0,0,'TO HOP NLAN'!F162*'TS-PILE'!$D$91/SUMSQ('TS-PILE'!$D$72:$D$91)))))</f>
        <v>0</v>
      </c>
      <c r="D162" s="58">
        <f>IF(A162="",0,MIN(IF('TS-PILE'!$B$72="",1E+99,'TO HOP NLAN'!D162/ncoc+IF(SUMSQ('TS-PILE'!$E$72:$E$91)=0,0,'TO HOP NLAN'!E162*'TS-PILE'!$E$72/SUMSQ('TS-PILE'!$E$72:$E$91))+IF(SUMSQ('TS-PILE'!$D$72:$D$91)=0,0,'TO HOP NLAN'!F162*'TS-PILE'!$D$72/SUMSQ('TS-PILE'!$D$72:$D$91))),IF('TS-PILE'!$B$73="",1E+99,'TO HOP NLAN'!D162/ncoc+IF(SUMSQ('TS-PILE'!$E$72:$E$91)=0,0,'TO HOP NLAN'!E162*'TS-PILE'!$E$73/SUMSQ('TS-PILE'!$E$72:$E$91))+IF(SUMSQ('TS-PILE'!$D$72:$D$91)=0,0,'TO HOP NLAN'!F162*'TS-PILE'!$D$73/SUMSQ('TS-PILE'!$D$72:$D$91))),IF('TS-PILE'!$B$74="",1E+99,'TO HOP NLAN'!D162/ncoc+IF(SUMSQ('TS-PILE'!$E$72:$E$91)=0,0,'TO HOP NLAN'!E162*'TS-PILE'!$E$74/SUMSQ('TS-PILE'!$E$72:$E$91))+IF(SUMSQ('TS-PILE'!$D$72:$D$91)=0,0,'TO HOP NLAN'!F162*'TS-PILE'!$D$74/SUMSQ('TS-PILE'!$D$72:$D$91))),IF('TS-PILE'!$B$75="",1E+99,'TO HOP NLAN'!D162/ncoc+IF(SUMSQ('TS-PILE'!$E$72:$E$91)=0,0,'TO HOP NLAN'!E162*'TS-PILE'!$E$75/SUMSQ('TS-PILE'!$E$72:$E$91))+IF(SUMSQ('TS-PILE'!$D$72:$D$91)=0,0,'TO HOP NLAN'!F162*'TS-PILE'!$D$75/SUMSQ('TS-PILE'!$D$72:$D$91))),IF('TS-PILE'!$B$76="",1E+99,'TO HOP NLAN'!D162/ncoc+IF(SUMSQ('TS-PILE'!$E$72:$E$91)=0,0,'TO HOP NLAN'!E162*'TS-PILE'!$E$76/SUMSQ('TS-PILE'!$E$72:$E$91))+IF(SUMSQ('TS-PILE'!$D$72:$D$91)=0,0,'TO HOP NLAN'!F162*'TS-PILE'!$D$76/SUMSQ('TS-PILE'!$D$72:$D$91))),IF('TS-PILE'!$B$77="",1E+99,'TO HOP NLAN'!D162/ncoc+IF(SUMSQ('TS-PILE'!$E$72:$E$91)=0,0,'TO HOP NLAN'!E162*'TS-PILE'!$E$77/SUMSQ('TS-PILE'!$E$72:$E$91))+IF(SUMSQ('TS-PILE'!$D$72:$D$91)=0,0,'TO HOP NLAN'!F162*'TS-PILE'!$D$77/SUMSQ('TS-PILE'!$D$72:$D$91))),IF('TS-PILE'!$B$78="",1E+99,'TO HOP NLAN'!D162/ncoc+IF(SUMSQ('TS-PILE'!$E$72:$E$91)=0,0,'TO HOP NLAN'!E162*'TS-PILE'!$E$78/SUMSQ('TS-PILE'!$E$72:$E$91))+IF(SUMSQ('TS-PILE'!$D$72:$D$91)=0,0,'TO HOP NLAN'!F162*'TS-PILE'!$D$78/SUMSQ('TS-PILE'!$D$72:$D$91))),IF('TS-PILE'!$B$79="",1E+99,'TO HOP NLAN'!D162/ncoc+IF(SUMSQ('TS-PILE'!$E$72:$E$91)=0,0,'TO HOP NLAN'!E162*'TS-PILE'!$E$79/SUMSQ('TS-PILE'!$E$72:$E$91))+IF(SUMSQ('TS-PILE'!$D$72:$D$91)=0,0,'TO HOP NLAN'!F162*'TS-PILE'!$D$79/SUMSQ('TS-PILE'!$D$72:$D$91))),IF('TS-PILE'!$B$80="",1E+99,'TO HOP NLAN'!D162/ncoc+IF(SUMSQ('TS-PILE'!$E$72:$E$91)=0,0,'TO HOP NLAN'!E162*'TS-PILE'!$E$80/SUMSQ('TS-PILE'!$E$72:$E$91))+IF(SUMSQ('TS-PILE'!$D$72:$D$91)=0,0,'TO HOP NLAN'!F162*'TS-PILE'!$D$80/SUMSQ('TS-PILE'!$D$72:$D$91))),IF('TS-PILE'!$B$81="",1E+99,'TO HOP NLAN'!D162/ncoc+IF(SUMSQ('TS-PILE'!$E$72:$E$91)=0,0,'TO HOP NLAN'!E162*'TS-PILE'!$E$81/SUMSQ('TS-PILE'!$E$72:$E$91))+IF(SUMSQ('TS-PILE'!$D$72:$D$91)=0,0,'TO HOP NLAN'!F162*'TS-PILE'!$D$81/SUMSQ('TS-PILE'!$D$72:$D$91))),IF('TS-PILE'!$B$82="",1E+99,'TO HOP NLAN'!D162/ncoc+IF(SUMSQ('TS-PILE'!$E$72:$E$91)=0,0,'TO HOP NLAN'!E162*'TS-PILE'!$E$82/SUMSQ('TS-PILE'!$E$72:$E$91))+IF(SUMSQ('TS-PILE'!$D$72:$D$91)=0,0,'TO HOP NLAN'!F162*'TS-PILE'!$D$82/SUMSQ('TS-PILE'!$D$72:$D$91))),IF('TS-PILE'!$B$83="",1E+99,'TO HOP NLAN'!D162/ncoc+IF(SUMSQ('TS-PILE'!$E$72:$E$91)=0,0,'TO HOP NLAN'!E162*'TS-PILE'!$E$83/SUMSQ('TS-PILE'!$E$72:$E$91))+IF(SUMSQ('TS-PILE'!$D$72:$D$91)=0,0,'TO HOP NLAN'!F162*'TS-PILE'!$D$83/SUMSQ('TS-PILE'!$D$72:$D$91))),IF('TS-PILE'!$B$84="",1E+99,'TO HOP NLAN'!D162/ncoc+IF(SUMSQ('TS-PILE'!$E$72:$E$91)=0,0,'TO HOP NLAN'!E162*'TS-PILE'!$E$84/SUMSQ('TS-PILE'!$E$72:$E$91))+IF(SUMSQ('TS-PILE'!$D$72:$D$91)=0,0,'TO HOP NLAN'!F162*'TS-PILE'!$D$84/SUMSQ('TS-PILE'!$D$72:$D$91))),IF('TS-PILE'!$B$85="",1E+99,'TO HOP NLAN'!D162/ncoc+IF(SUMSQ('TS-PILE'!$E$72:$E$91)=0,0,'TO HOP NLAN'!E162*'TS-PILE'!$E$85/SUMSQ('TS-PILE'!$E$72:$E$91))+IF(SUMSQ('TS-PILE'!$D$72:$D$91)=0,0,'TO HOP NLAN'!F162*'TS-PILE'!$D$85/SUMSQ('TS-PILE'!$D$72:$D$91))),IF('TS-PILE'!$B$86="",1E+99,'TO HOP NLAN'!D162/ncoc+IF(SUMSQ('TS-PILE'!$E$72:$E$91)=0,0,'TO HOP NLAN'!E162*'TS-PILE'!$E$86/SUMSQ('TS-PILE'!$E$72:$E$91))+IF(SUMSQ('TS-PILE'!$D$72:$D$91)=0,0,'TO HOP NLAN'!F162*'TS-PILE'!$D$86/SUMSQ('TS-PILE'!$D$72:$D$91))),IF('TS-PILE'!$B$87="",1E+99,'TO HOP NLAN'!D162/ncoc+IF(SUMSQ('TS-PILE'!$E$72:$E$91)=0,0,'TO HOP NLAN'!E162*'TS-PILE'!$E$87/SUMSQ('TS-PILE'!$E$72:$E$91))+IF(SUMSQ('TS-PILE'!$D$72:$D$91)=0,0,'TO HOP NLAN'!F162*'TS-PILE'!$D$87/SUMSQ('TS-PILE'!$D$72:$D$91))),IF('TS-PILE'!$B$88="",1E+99,'TO HOP NLAN'!D162/ncoc+IF(SUMSQ('TS-PILE'!$E$72:$E$91)=0,0,'TO HOP NLAN'!E162*'TS-PILE'!$E$88/SUMSQ('TS-PILE'!$E$72:$E$91))+IF(SUMSQ('TS-PILE'!$D$72:$D$91)=0,0,'TO HOP NLAN'!F162*'TS-PILE'!$D$88/SUMSQ('TS-PILE'!$D$72:$D$91))),IF('TS-PILE'!$B$89="",1E+99,'TO HOP NLAN'!D162/ncoc+IF(SUMSQ('TS-PILE'!$E$72:$E$91)=0,0,'TO HOP NLAN'!E162*'TS-PILE'!$E$89/SUMSQ('TS-PILE'!$E$72:$E$91))+IF(SUMSQ('TS-PILE'!$D$72:$D$91)=0,0,'TO HOP NLAN'!F162*'TS-PILE'!$D$89/SUMSQ('TS-PILE'!$D$72:$D$91))),IF('TS-PILE'!$B$90="",1E+99,'TO HOP NLAN'!D162/ncoc+IF(SUMSQ('TS-PILE'!$E$72:$E$91)=0,0,'TO HOP NLAN'!E162*'TS-PILE'!$E$90/SUMSQ('TS-PILE'!$E$72:$E$91))+IF(SUMSQ('TS-PILE'!$D$72:$D$91)=0,0,'TO HOP NLAN'!F162*'TS-PILE'!$D$90/SUMSQ('TS-PILE'!$D$72:$D$91))),IF('TS-PILE'!$B$91="",1E+99,'TO HOP NLAN'!D162/ncoc+IF(SUMSQ('TS-PILE'!$E$72:$E$91)=0,0,'TO HOP NLAN'!E162*'TS-PILE'!$E$91/SUMSQ('TS-PILE'!$E$72:$E$91))+IF(SUMSQ('TS-PILE'!$D$72:$D$91)=0,0,'TO HOP NLAN'!F162*'TS-PILE'!$D$91/SUMSQ('TS-PILE'!$D$72:$D$91)))))</f>
        <v>0</v>
      </c>
      <c r="E162" s="58">
        <f t="shared" si="8"/>
        <v>-9.9999999999999997E+98</v>
      </c>
      <c r="F162" s="58">
        <f t="shared" si="9"/>
        <v>9.9999999999999997E+98</v>
      </c>
      <c r="G162" s="58">
        <f t="shared" si="10"/>
        <v>-9.9999999999999997E+98</v>
      </c>
      <c r="H162" s="58">
        <f t="shared" si="11"/>
        <v>9.9999999999999997E+98</v>
      </c>
    </row>
    <row r="163" spans="1:8" x14ac:dyDescent="0.3">
      <c r="A163" s="42" t="str">
        <f>'TO HOP NLAN'!A163</f>
        <v/>
      </c>
      <c r="B163" s="42" t="str">
        <f>'TO HOP NLAN'!L163</f>
        <v>STRENGTH</v>
      </c>
      <c r="C163" s="58">
        <f>IF(A163="",0,MAX(IF('TS-PILE'!$B$72="",-1E+99,'TO HOP NLAN'!D163/ncoc+IF(SUMSQ('TS-PILE'!$E$72:$E$91)=0,0,'TO HOP NLAN'!E163*'TS-PILE'!$E$72/SUMSQ('TS-PILE'!$E$72:$E$91))+IF(SUMSQ('TS-PILE'!$D$72:$D$91)=0,0,'TO HOP NLAN'!F163*'TS-PILE'!$D$72/SUMSQ('TS-PILE'!$D$72:$D$91))),IF('TS-PILE'!$B$73="",-1E+99,'TO HOP NLAN'!D163/ncoc+IF(SUMSQ('TS-PILE'!$E$72:$E$91)=0,0,'TO HOP NLAN'!E163*'TS-PILE'!$E$73/SUMSQ('TS-PILE'!$E$72:$E$91))+IF(SUMSQ('TS-PILE'!$D$72:$D$91)=0,0,'TO HOP NLAN'!F163*'TS-PILE'!$D$73/SUMSQ('TS-PILE'!$D$72:$D$91))),IF('TS-PILE'!$B$74="",-1E+99,'TO HOP NLAN'!D163/ncoc+IF(SUMSQ('TS-PILE'!$E$72:$E$91)=0,0,'TO HOP NLAN'!E163*'TS-PILE'!$E$74/SUMSQ('TS-PILE'!$E$72:$E$91))+IF(SUMSQ('TS-PILE'!$D$72:$D$91)=0,0,'TO HOP NLAN'!F163*'TS-PILE'!$D$74/SUMSQ('TS-PILE'!$D$72:$D$91))),IF('TS-PILE'!$B$75="",-1E+99,'TO HOP NLAN'!D163/ncoc+IF(SUMSQ('TS-PILE'!$E$72:$E$91)=0,0,'TO HOP NLAN'!E163*'TS-PILE'!$E$75/SUMSQ('TS-PILE'!$E$72:$E$91))+IF(SUMSQ('TS-PILE'!$D$72:$D$91)=0,0,'TO HOP NLAN'!F163*'TS-PILE'!$D$75/SUMSQ('TS-PILE'!$D$72:$D$91))),IF('TS-PILE'!$B$76="",-1E+99,'TO HOP NLAN'!D163/ncoc+IF(SUMSQ('TS-PILE'!$E$72:$E$91)=0,0,'TO HOP NLAN'!E163*'TS-PILE'!$E$76/SUMSQ('TS-PILE'!$E$72:$E$91))+IF(SUMSQ('TS-PILE'!$D$72:$D$91)=0,0,'TO HOP NLAN'!F163*'TS-PILE'!$D$76/SUMSQ('TS-PILE'!$D$72:$D$91))),IF('TS-PILE'!$B$77="",-1E+99,'TO HOP NLAN'!D163/ncoc+IF(SUMSQ('TS-PILE'!$E$72:$E$91)=0,0,'TO HOP NLAN'!E163*'TS-PILE'!$E$77/SUMSQ('TS-PILE'!$E$72:$E$91))+IF(SUMSQ('TS-PILE'!$D$72:$D$91)=0,0,'TO HOP NLAN'!F163*'TS-PILE'!$D$77/SUMSQ('TS-PILE'!$D$72:$D$91))),IF('TS-PILE'!$B$78="",-1E+99,'TO HOP NLAN'!D163/ncoc+IF(SUMSQ('TS-PILE'!$E$72:$E$91)=0,0,'TO HOP NLAN'!E163*'TS-PILE'!$E$78/SUMSQ('TS-PILE'!$E$72:$E$91))+IF(SUMSQ('TS-PILE'!$D$72:$D$91)=0,0,'TO HOP NLAN'!F163*'TS-PILE'!$D$78/SUMSQ('TS-PILE'!$D$72:$D$91))),IF('TS-PILE'!$B$79="",-1E+99,'TO HOP NLAN'!D163/ncoc+IF(SUMSQ('TS-PILE'!$E$72:$E$91)=0,0,'TO HOP NLAN'!E163*'TS-PILE'!$E$79/SUMSQ('TS-PILE'!$E$72:$E$91))+IF(SUMSQ('TS-PILE'!$D$72:$D$91)=0,0,'TO HOP NLAN'!F163*'TS-PILE'!$D$79/SUMSQ('TS-PILE'!$D$72:$D$91))),IF('TS-PILE'!$B$80="",-1E+99,'TO HOP NLAN'!D163/ncoc+IF(SUMSQ('TS-PILE'!$E$72:$E$91)=0,0,'TO HOP NLAN'!E163*'TS-PILE'!$E$80/SUMSQ('TS-PILE'!$E$72:$E$91))+IF(SUMSQ('TS-PILE'!$D$72:$D$91)=0,0,'TO HOP NLAN'!F163*'TS-PILE'!$D$80/SUMSQ('TS-PILE'!$D$72:$D$91))),IF('TS-PILE'!$B$81="",-1E+99,'TO HOP NLAN'!D163/ncoc+IF(SUMSQ('TS-PILE'!$E$72:$E$91)=0,0,'TO HOP NLAN'!E163*'TS-PILE'!$E$81/SUMSQ('TS-PILE'!$E$72:$E$91))+IF(SUMSQ('TS-PILE'!$D$72:$D$91)=0,0,'TO HOP NLAN'!F163*'TS-PILE'!$D$81/SUMSQ('TS-PILE'!$D$72:$D$91))),IF('TS-PILE'!$B$82="",-1E+99,'TO HOP NLAN'!D163/ncoc+IF(SUMSQ('TS-PILE'!$E$72:$E$91)=0,0,'TO HOP NLAN'!E163*'TS-PILE'!$E$82/SUMSQ('TS-PILE'!$E$72:$E$91))+IF(SUMSQ('TS-PILE'!$D$72:$D$91)=0,0,'TO HOP NLAN'!F163*'TS-PILE'!$D$82/SUMSQ('TS-PILE'!$D$72:$D$91))),IF('TS-PILE'!$B$83="",-1E+99,'TO HOP NLAN'!D163/ncoc+IF(SUMSQ('TS-PILE'!$E$72:$E$91)=0,0,'TO HOP NLAN'!E163*'TS-PILE'!$E$83/SUMSQ('TS-PILE'!$E$72:$E$91))+IF(SUMSQ('TS-PILE'!$D$72:$D$91)=0,0,'TO HOP NLAN'!F163*'TS-PILE'!$D$83/SUMSQ('TS-PILE'!$D$72:$D$91))),IF('TS-PILE'!$B$84="",-1E+99,'TO HOP NLAN'!D163/ncoc+IF(SUMSQ('TS-PILE'!$E$72:$E$91)=0,0,'TO HOP NLAN'!E163*'TS-PILE'!$E$84/SUMSQ('TS-PILE'!$E$72:$E$91))+IF(SUMSQ('TS-PILE'!$D$72:$D$91)=0,0,'TO HOP NLAN'!F163*'TS-PILE'!$D$84/SUMSQ('TS-PILE'!$D$72:$D$91))),IF('TS-PILE'!$B$85="",-1E+99,'TO HOP NLAN'!D163/ncoc+IF(SUMSQ('TS-PILE'!$E$72:$E$91)=0,0,'TO HOP NLAN'!E163*'TS-PILE'!$E$85/SUMSQ('TS-PILE'!$E$72:$E$91))+IF(SUMSQ('TS-PILE'!$D$72:$D$91)=0,0,'TO HOP NLAN'!F163*'TS-PILE'!$D$85/SUMSQ('TS-PILE'!$D$72:$D$91))),IF('TS-PILE'!$B$86="",-1E+99,'TO HOP NLAN'!D163/ncoc+IF(SUMSQ('TS-PILE'!$E$72:$E$91)=0,0,'TO HOP NLAN'!E163*'TS-PILE'!$E$86/SUMSQ('TS-PILE'!$E$72:$E$91))+IF(SUMSQ('TS-PILE'!$D$72:$D$91)=0,0,'TO HOP NLAN'!F163*'TS-PILE'!$D$86/SUMSQ('TS-PILE'!$D$72:$D$91))),IF('TS-PILE'!$B$87="",-1E+99,'TO HOP NLAN'!D163/ncoc+IF(SUMSQ('TS-PILE'!$E$72:$E$91)=0,0,'TO HOP NLAN'!E163*'TS-PILE'!$E$87/SUMSQ('TS-PILE'!$E$72:$E$91))+IF(SUMSQ('TS-PILE'!$D$72:$D$91)=0,0,'TO HOP NLAN'!F163*'TS-PILE'!$D$87/SUMSQ('TS-PILE'!$D$72:$D$91))),IF('TS-PILE'!$B$88="",-1E+99,'TO HOP NLAN'!D163/ncoc+IF(SUMSQ('TS-PILE'!$E$72:$E$91)=0,0,'TO HOP NLAN'!E163*'TS-PILE'!$E$88/SUMSQ('TS-PILE'!$E$72:$E$91))+IF(SUMSQ('TS-PILE'!$D$72:$D$91)=0,0,'TO HOP NLAN'!F163*'TS-PILE'!$D$88/SUMSQ('TS-PILE'!$D$72:$D$91))),IF('TS-PILE'!$B$89="",-1E+99,'TO HOP NLAN'!D163/ncoc+IF(SUMSQ('TS-PILE'!$E$72:$E$91)=0,0,'TO HOP NLAN'!E163*'TS-PILE'!$E$89/SUMSQ('TS-PILE'!$E$72:$E$91))+IF(SUMSQ('TS-PILE'!$D$72:$D$91)=0,0,'TO HOP NLAN'!F163*'TS-PILE'!$D$89/SUMSQ('TS-PILE'!$D$72:$D$91))),IF('TS-PILE'!$B$90="",-1E+99,'TO HOP NLAN'!D163/ncoc+IF(SUMSQ('TS-PILE'!$E$72:$E$91)=0,0,'TO HOP NLAN'!E163*'TS-PILE'!$E$90/SUMSQ('TS-PILE'!$E$72:$E$91))+IF(SUMSQ('TS-PILE'!$D$72:$D$91)=0,0,'TO HOP NLAN'!F163*'TS-PILE'!$D$90/SUMSQ('TS-PILE'!$D$72:$D$91))),IF('TS-PILE'!$B$91="",-1E+99,'TO HOP NLAN'!D163/ncoc+IF(SUMSQ('TS-PILE'!$E$72:$E$91)=0,0,'TO HOP NLAN'!E163*'TS-PILE'!$E$91/SUMSQ('TS-PILE'!$E$72:$E$91))+IF(SUMSQ('TS-PILE'!$D$72:$D$91)=0,0,'TO HOP NLAN'!F163*'TS-PILE'!$D$91/SUMSQ('TS-PILE'!$D$72:$D$91)))))</f>
        <v>0</v>
      </c>
      <c r="D163" s="58">
        <f>IF(A163="",0,MIN(IF('TS-PILE'!$B$72="",1E+99,'TO HOP NLAN'!D163/ncoc+IF(SUMSQ('TS-PILE'!$E$72:$E$91)=0,0,'TO HOP NLAN'!E163*'TS-PILE'!$E$72/SUMSQ('TS-PILE'!$E$72:$E$91))+IF(SUMSQ('TS-PILE'!$D$72:$D$91)=0,0,'TO HOP NLAN'!F163*'TS-PILE'!$D$72/SUMSQ('TS-PILE'!$D$72:$D$91))),IF('TS-PILE'!$B$73="",1E+99,'TO HOP NLAN'!D163/ncoc+IF(SUMSQ('TS-PILE'!$E$72:$E$91)=0,0,'TO HOP NLAN'!E163*'TS-PILE'!$E$73/SUMSQ('TS-PILE'!$E$72:$E$91))+IF(SUMSQ('TS-PILE'!$D$72:$D$91)=0,0,'TO HOP NLAN'!F163*'TS-PILE'!$D$73/SUMSQ('TS-PILE'!$D$72:$D$91))),IF('TS-PILE'!$B$74="",1E+99,'TO HOP NLAN'!D163/ncoc+IF(SUMSQ('TS-PILE'!$E$72:$E$91)=0,0,'TO HOP NLAN'!E163*'TS-PILE'!$E$74/SUMSQ('TS-PILE'!$E$72:$E$91))+IF(SUMSQ('TS-PILE'!$D$72:$D$91)=0,0,'TO HOP NLAN'!F163*'TS-PILE'!$D$74/SUMSQ('TS-PILE'!$D$72:$D$91))),IF('TS-PILE'!$B$75="",1E+99,'TO HOP NLAN'!D163/ncoc+IF(SUMSQ('TS-PILE'!$E$72:$E$91)=0,0,'TO HOP NLAN'!E163*'TS-PILE'!$E$75/SUMSQ('TS-PILE'!$E$72:$E$91))+IF(SUMSQ('TS-PILE'!$D$72:$D$91)=0,0,'TO HOP NLAN'!F163*'TS-PILE'!$D$75/SUMSQ('TS-PILE'!$D$72:$D$91))),IF('TS-PILE'!$B$76="",1E+99,'TO HOP NLAN'!D163/ncoc+IF(SUMSQ('TS-PILE'!$E$72:$E$91)=0,0,'TO HOP NLAN'!E163*'TS-PILE'!$E$76/SUMSQ('TS-PILE'!$E$72:$E$91))+IF(SUMSQ('TS-PILE'!$D$72:$D$91)=0,0,'TO HOP NLAN'!F163*'TS-PILE'!$D$76/SUMSQ('TS-PILE'!$D$72:$D$91))),IF('TS-PILE'!$B$77="",1E+99,'TO HOP NLAN'!D163/ncoc+IF(SUMSQ('TS-PILE'!$E$72:$E$91)=0,0,'TO HOP NLAN'!E163*'TS-PILE'!$E$77/SUMSQ('TS-PILE'!$E$72:$E$91))+IF(SUMSQ('TS-PILE'!$D$72:$D$91)=0,0,'TO HOP NLAN'!F163*'TS-PILE'!$D$77/SUMSQ('TS-PILE'!$D$72:$D$91))),IF('TS-PILE'!$B$78="",1E+99,'TO HOP NLAN'!D163/ncoc+IF(SUMSQ('TS-PILE'!$E$72:$E$91)=0,0,'TO HOP NLAN'!E163*'TS-PILE'!$E$78/SUMSQ('TS-PILE'!$E$72:$E$91))+IF(SUMSQ('TS-PILE'!$D$72:$D$91)=0,0,'TO HOP NLAN'!F163*'TS-PILE'!$D$78/SUMSQ('TS-PILE'!$D$72:$D$91))),IF('TS-PILE'!$B$79="",1E+99,'TO HOP NLAN'!D163/ncoc+IF(SUMSQ('TS-PILE'!$E$72:$E$91)=0,0,'TO HOP NLAN'!E163*'TS-PILE'!$E$79/SUMSQ('TS-PILE'!$E$72:$E$91))+IF(SUMSQ('TS-PILE'!$D$72:$D$91)=0,0,'TO HOP NLAN'!F163*'TS-PILE'!$D$79/SUMSQ('TS-PILE'!$D$72:$D$91))),IF('TS-PILE'!$B$80="",1E+99,'TO HOP NLAN'!D163/ncoc+IF(SUMSQ('TS-PILE'!$E$72:$E$91)=0,0,'TO HOP NLAN'!E163*'TS-PILE'!$E$80/SUMSQ('TS-PILE'!$E$72:$E$91))+IF(SUMSQ('TS-PILE'!$D$72:$D$91)=0,0,'TO HOP NLAN'!F163*'TS-PILE'!$D$80/SUMSQ('TS-PILE'!$D$72:$D$91))),IF('TS-PILE'!$B$81="",1E+99,'TO HOP NLAN'!D163/ncoc+IF(SUMSQ('TS-PILE'!$E$72:$E$91)=0,0,'TO HOP NLAN'!E163*'TS-PILE'!$E$81/SUMSQ('TS-PILE'!$E$72:$E$91))+IF(SUMSQ('TS-PILE'!$D$72:$D$91)=0,0,'TO HOP NLAN'!F163*'TS-PILE'!$D$81/SUMSQ('TS-PILE'!$D$72:$D$91))),IF('TS-PILE'!$B$82="",1E+99,'TO HOP NLAN'!D163/ncoc+IF(SUMSQ('TS-PILE'!$E$72:$E$91)=0,0,'TO HOP NLAN'!E163*'TS-PILE'!$E$82/SUMSQ('TS-PILE'!$E$72:$E$91))+IF(SUMSQ('TS-PILE'!$D$72:$D$91)=0,0,'TO HOP NLAN'!F163*'TS-PILE'!$D$82/SUMSQ('TS-PILE'!$D$72:$D$91))),IF('TS-PILE'!$B$83="",1E+99,'TO HOP NLAN'!D163/ncoc+IF(SUMSQ('TS-PILE'!$E$72:$E$91)=0,0,'TO HOP NLAN'!E163*'TS-PILE'!$E$83/SUMSQ('TS-PILE'!$E$72:$E$91))+IF(SUMSQ('TS-PILE'!$D$72:$D$91)=0,0,'TO HOP NLAN'!F163*'TS-PILE'!$D$83/SUMSQ('TS-PILE'!$D$72:$D$91))),IF('TS-PILE'!$B$84="",1E+99,'TO HOP NLAN'!D163/ncoc+IF(SUMSQ('TS-PILE'!$E$72:$E$91)=0,0,'TO HOP NLAN'!E163*'TS-PILE'!$E$84/SUMSQ('TS-PILE'!$E$72:$E$91))+IF(SUMSQ('TS-PILE'!$D$72:$D$91)=0,0,'TO HOP NLAN'!F163*'TS-PILE'!$D$84/SUMSQ('TS-PILE'!$D$72:$D$91))),IF('TS-PILE'!$B$85="",1E+99,'TO HOP NLAN'!D163/ncoc+IF(SUMSQ('TS-PILE'!$E$72:$E$91)=0,0,'TO HOP NLAN'!E163*'TS-PILE'!$E$85/SUMSQ('TS-PILE'!$E$72:$E$91))+IF(SUMSQ('TS-PILE'!$D$72:$D$91)=0,0,'TO HOP NLAN'!F163*'TS-PILE'!$D$85/SUMSQ('TS-PILE'!$D$72:$D$91))),IF('TS-PILE'!$B$86="",1E+99,'TO HOP NLAN'!D163/ncoc+IF(SUMSQ('TS-PILE'!$E$72:$E$91)=0,0,'TO HOP NLAN'!E163*'TS-PILE'!$E$86/SUMSQ('TS-PILE'!$E$72:$E$91))+IF(SUMSQ('TS-PILE'!$D$72:$D$91)=0,0,'TO HOP NLAN'!F163*'TS-PILE'!$D$86/SUMSQ('TS-PILE'!$D$72:$D$91))),IF('TS-PILE'!$B$87="",1E+99,'TO HOP NLAN'!D163/ncoc+IF(SUMSQ('TS-PILE'!$E$72:$E$91)=0,0,'TO HOP NLAN'!E163*'TS-PILE'!$E$87/SUMSQ('TS-PILE'!$E$72:$E$91))+IF(SUMSQ('TS-PILE'!$D$72:$D$91)=0,0,'TO HOP NLAN'!F163*'TS-PILE'!$D$87/SUMSQ('TS-PILE'!$D$72:$D$91))),IF('TS-PILE'!$B$88="",1E+99,'TO HOP NLAN'!D163/ncoc+IF(SUMSQ('TS-PILE'!$E$72:$E$91)=0,0,'TO HOP NLAN'!E163*'TS-PILE'!$E$88/SUMSQ('TS-PILE'!$E$72:$E$91))+IF(SUMSQ('TS-PILE'!$D$72:$D$91)=0,0,'TO HOP NLAN'!F163*'TS-PILE'!$D$88/SUMSQ('TS-PILE'!$D$72:$D$91))),IF('TS-PILE'!$B$89="",1E+99,'TO HOP NLAN'!D163/ncoc+IF(SUMSQ('TS-PILE'!$E$72:$E$91)=0,0,'TO HOP NLAN'!E163*'TS-PILE'!$E$89/SUMSQ('TS-PILE'!$E$72:$E$91))+IF(SUMSQ('TS-PILE'!$D$72:$D$91)=0,0,'TO HOP NLAN'!F163*'TS-PILE'!$D$89/SUMSQ('TS-PILE'!$D$72:$D$91))),IF('TS-PILE'!$B$90="",1E+99,'TO HOP NLAN'!D163/ncoc+IF(SUMSQ('TS-PILE'!$E$72:$E$91)=0,0,'TO HOP NLAN'!E163*'TS-PILE'!$E$90/SUMSQ('TS-PILE'!$E$72:$E$91))+IF(SUMSQ('TS-PILE'!$D$72:$D$91)=0,0,'TO HOP NLAN'!F163*'TS-PILE'!$D$90/SUMSQ('TS-PILE'!$D$72:$D$91))),IF('TS-PILE'!$B$91="",1E+99,'TO HOP NLAN'!D163/ncoc+IF(SUMSQ('TS-PILE'!$E$72:$E$91)=0,0,'TO HOP NLAN'!E163*'TS-PILE'!$E$91/SUMSQ('TS-PILE'!$E$72:$E$91))+IF(SUMSQ('TS-PILE'!$D$72:$D$91)=0,0,'TO HOP NLAN'!F163*'TS-PILE'!$D$91/SUMSQ('TS-PILE'!$D$72:$D$91)))))</f>
        <v>0</v>
      </c>
      <c r="E163" s="58">
        <f t="shared" si="8"/>
        <v>-9.9999999999999997E+98</v>
      </c>
      <c r="F163" s="58">
        <f t="shared" si="9"/>
        <v>9.9999999999999997E+98</v>
      </c>
      <c r="G163" s="58">
        <f t="shared" si="10"/>
        <v>-9.9999999999999997E+98</v>
      </c>
      <c r="H163" s="58">
        <f t="shared" si="11"/>
        <v>9.9999999999999997E+98</v>
      </c>
    </row>
    <row r="164" spans="1:8" x14ac:dyDescent="0.3">
      <c r="A164" s="42" t="str">
        <f>'TO HOP NLAN'!A164</f>
        <v/>
      </c>
      <c r="B164" s="42" t="str">
        <f>'TO HOP NLAN'!L164</f>
        <v>STRENGTH</v>
      </c>
      <c r="C164" s="58">
        <f>IF(A164="",0,MAX(IF('TS-PILE'!$B$72="",-1E+99,'TO HOP NLAN'!D164/ncoc+IF(SUMSQ('TS-PILE'!$E$72:$E$91)=0,0,'TO HOP NLAN'!E164*'TS-PILE'!$E$72/SUMSQ('TS-PILE'!$E$72:$E$91))+IF(SUMSQ('TS-PILE'!$D$72:$D$91)=0,0,'TO HOP NLAN'!F164*'TS-PILE'!$D$72/SUMSQ('TS-PILE'!$D$72:$D$91))),IF('TS-PILE'!$B$73="",-1E+99,'TO HOP NLAN'!D164/ncoc+IF(SUMSQ('TS-PILE'!$E$72:$E$91)=0,0,'TO HOP NLAN'!E164*'TS-PILE'!$E$73/SUMSQ('TS-PILE'!$E$72:$E$91))+IF(SUMSQ('TS-PILE'!$D$72:$D$91)=0,0,'TO HOP NLAN'!F164*'TS-PILE'!$D$73/SUMSQ('TS-PILE'!$D$72:$D$91))),IF('TS-PILE'!$B$74="",-1E+99,'TO HOP NLAN'!D164/ncoc+IF(SUMSQ('TS-PILE'!$E$72:$E$91)=0,0,'TO HOP NLAN'!E164*'TS-PILE'!$E$74/SUMSQ('TS-PILE'!$E$72:$E$91))+IF(SUMSQ('TS-PILE'!$D$72:$D$91)=0,0,'TO HOP NLAN'!F164*'TS-PILE'!$D$74/SUMSQ('TS-PILE'!$D$72:$D$91))),IF('TS-PILE'!$B$75="",-1E+99,'TO HOP NLAN'!D164/ncoc+IF(SUMSQ('TS-PILE'!$E$72:$E$91)=0,0,'TO HOP NLAN'!E164*'TS-PILE'!$E$75/SUMSQ('TS-PILE'!$E$72:$E$91))+IF(SUMSQ('TS-PILE'!$D$72:$D$91)=0,0,'TO HOP NLAN'!F164*'TS-PILE'!$D$75/SUMSQ('TS-PILE'!$D$72:$D$91))),IF('TS-PILE'!$B$76="",-1E+99,'TO HOP NLAN'!D164/ncoc+IF(SUMSQ('TS-PILE'!$E$72:$E$91)=0,0,'TO HOP NLAN'!E164*'TS-PILE'!$E$76/SUMSQ('TS-PILE'!$E$72:$E$91))+IF(SUMSQ('TS-PILE'!$D$72:$D$91)=0,0,'TO HOP NLAN'!F164*'TS-PILE'!$D$76/SUMSQ('TS-PILE'!$D$72:$D$91))),IF('TS-PILE'!$B$77="",-1E+99,'TO HOP NLAN'!D164/ncoc+IF(SUMSQ('TS-PILE'!$E$72:$E$91)=0,0,'TO HOP NLAN'!E164*'TS-PILE'!$E$77/SUMSQ('TS-PILE'!$E$72:$E$91))+IF(SUMSQ('TS-PILE'!$D$72:$D$91)=0,0,'TO HOP NLAN'!F164*'TS-PILE'!$D$77/SUMSQ('TS-PILE'!$D$72:$D$91))),IF('TS-PILE'!$B$78="",-1E+99,'TO HOP NLAN'!D164/ncoc+IF(SUMSQ('TS-PILE'!$E$72:$E$91)=0,0,'TO HOP NLAN'!E164*'TS-PILE'!$E$78/SUMSQ('TS-PILE'!$E$72:$E$91))+IF(SUMSQ('TS-PILE'!$D$72:$D$91)=0,0,'TO HOP NLAN'!F164*'TS-PILE'!$D$78/SUMSQ('TS-PILE'!$D$72:$D$91))),IF('TS-PILE'!$B$79="",-1E+99,'TO HOP NLAN'!D164/ncoc+IF(SUMSQ('TS-PILE'!$E$72:$E$91)=0,0,'TO HOP NLAN'!E164*'TS-PILE'!$E$79/SUMSQ('TS-PILE'!$E$72:$E$91))+IF(SUMSQ('TS-PILE'!$D$72:$D$91)=0,0,'TO HOP NLAN'!F164*'TS-PILE'!$D$79/SUMSQ('TS-PILE'!$D$72:$D$91))),IF('TS-PILE'!$B$80="",-1E+99,'TO HOP NLAN'!D164/ncoc+IF(SUMSQ('TS-PILE'!$E$72:$E$91)=0,0,'TO HOP NLAN'!E164*'TS-PILE'!$E$80/SUMSQ('TS-PILE'!$E$72:$E$91))+IF(SUMSQ('TS-PILE'!$D$72:$D$91)=0,0,'TO HOP NLAN'!F164*'TS-PILE'!$D$80/SUMSQ('TS-PILE'!$D$72:$D$91))),IF('TS-PILE'!$B$81="",-1E+99,'TO HOP NLAN'!D164/ncoc+IF(SUMSQ('TS-PILE'!$E$72:$E$91)=0,0,'TO HOP NLAN'!E164*'TS-PILE'!$E$81/SUMSQ('TS-PILE'!$E$72:$E$91))+IF(SUMSQ('TS-PILE'!$D$72:$D$91)=0,0,'TO HOP NLAN'!F164*'TS-PILE'!$D$81/SUMSQ('TS-PILE'!$D$72:$D$91))),IF('TS-PILE'!$B$82="",-1E+99,'TO HOP NLAN'!D164/ncoc+IF(SUMSQ('TS-PILE'!$E$72:$E$91)=0,0,'TO HOP NLAN'!E164*'TS-PILE'!$E$82/SUMSQ('TS-PILE'!$E$72:$E$91))+IF(SUMSQ('TS-PILE'!$D$72:$D$91)=0,0,'TO HOP NLAN'!F164*'TS-PILE'!$D$82/SUMSQ('TS-PILE'!$D$72:$D$91))),IF('TS-PILE'!$B$83="",-1E+99,'TO HOP NLAN'!D164/ncoc+IF(SUMSQ('TS-PILE'!$E$72:$E$91)=0,0,'TO HOP NLAN'!E164*'TS-PILE'!$E$83/SUMSQ('TS-PILE'!$E$72:$E$91))+IF(SUMSQ('TS-PILE'!$D$72:$D$91)=0,0,'TO HOP NLAN'!F164*'TS-PILE'!$D$83/SUMSQ('TS-PILE'!$D$72:$D$91))),IF('TS-PILE'!$B$84="",-1E+99,'TO HOP NLAN'!D164/ncoc+IF(SUMSQ('TS-PILE'!$E$72:$E$91)=0,0,'TO HOP NLAN'!E164*'TS-PILE'!$E$84/SUMSQ('TS-PILE'!$E$72:$E$91))+IF(SUMSQ('TS-PILE'!$D$72:$D$91)=0,0,'TO HOP NLAN'!F164*'TS-PILE'!$D$84/SUMSQ('TS-PILE'!$D$72:$D$91))),IF('TS-PILE'!$B$85="",-1E+99,'TO HOP NLAN'!D164/ncoc+IF(SUMSQ('TS-PILE'!$E$72:$E$91)=0,0,'TO HOP NLAN'!E164*'TS-PILE'!$E$85/SUMSQ('TS-PILE'!$E$72:$E$91))+IF(SUMSQ('TS-PILE'!$D$72:$D$91)=0,0,'TO HOP NLAN'!F164*'TS-PILE'!$D$85/SUMSQ('TS-PILE'!$D$72:$D$91))),IF('TS-PILE'!$B$86="",-1E+99,'TO HOP NLAN'!D164/ncoc+IF(SUMSQ('TS-PILE'!$E$72:$E$91)=0,0,'TO HOP NLAN'!E164*'TS-PILE'!$E$86/SUMSQ('TS-PILE'!$E$72:$E$91))+IF(SUMSQ('TS-PILE'!$D$72:$D$91)=0,0,'TO HOP NLAN'!F164*'TS-PILE'!$D$86/SUMSQ('TS-PILE'!$D$72:$D$91))),IF('TS-PILE'!$B$87="",-1E+99,'TO HOP NLAN'!D164/ncoc+IF(SUMSQ('TS-PILE'!$E$72:$E$91)=0,0,'TO HOP NLAN'!E164*'TS-PILE'!$E$87/SUMSQ('TS-PILE'!$E$72:$E$91))+IF(SUMSQ('TS-PILE'!$D$72:$D$91)=0,0,'TO HOP NLAN'!F164*'TS-PILE'!$D$87/SUMSQ('TS-PILE'!$D$72:$D$91))),IF('TS-PILE'!$B$88="",-1E+99,'TO HOP NLAN'!D164/ncoc+IF(SUMSQ('TS-PILE'!$E$72:$E$91)=0,0,'TO HOP NLAN'!E164*'TS-PILE'!$E$88/SUMSQ('TS-PILE'!$E$72:$E$91))+IF(SUMSQ('TS-PILE'!$D$72:$D$91)=0,0,'TO HOP NLAN'!F164*'TS-PILE'!$D$88/SUMSQ('TS-PILE'!$D$72:$D$91))),IF('TS-PILE'!$B$89="",-1E+99,'TO HOP NLAN'!D164/ncoc+IF(SUMSQ('TS-PILE'!$E$72:$E$91)=0,0,'TO HOP NLAN'!E164*'TS-PILE'!$E$89/SUMSQ('TS-PILE'!$E$72:$E$91))+IF(SUMSQ('TS-PILE'!$D$72:$D$91)=0,0,'TO HOP NLAN'!F164*'TS-PILE'!$D$89/SUMSQ('TS-PILE'!$D$72:$D$91))),IF('TS-PILE'!$B$90="",-1E+99,'TO HOP NLAN'!D164/ncoc+IF(SUMSQ('TS-PILE'!$E$72:$E$91)=0,0,'TO HOP NLAN'!E164*'TS-PILE'!$E$90/SUMSQ('TS-PILE'!$E$72:$E$91))+IF(SUMSQ('TS-PILE'!$D$72:$D$91)=0,0,'TO HOP NLAN'!F164*'TS-PILE'!$D$90/SUMSQ('TS-PILE'!$D$72:$D$91))),IF('TS-PILE'!$B$91="",-1E+99,'TO HOP NLAN'!D164/ncoc+IF(SUMSQ('TS-PILE'!$E$72:$E$91)=0,0,'TO HOP NLAN'!E164*'TS-PILE'!$E$91/SUMSQ('TS-PILE'!$E$72:$E$91))+IF(SUMSQ('TS-PILE'!$D$72:$D$91)=0,0,'TO HOP NLAN'!F164*'TS-PILE'!$D$91/SUMSQ('TS-PILE'!$D$72:$D$91)))))</f>
        <v>0</v>
      </c>
      <c r="D164" s="58">
        <f>IF(A164="",0,MIN(IF('TS-PILE'!$B$72="",1E+99,'TO HOP NLAN'!D164/ncoc+IF(SUMSQ('TS-PILE'!$E$72:$E$91)=0,0,'TO HOP NLAN'!E164*'TS-PILE'!$E$72/SUMSQ('TS-PILE'!$E$72:$E$91))+IF(SUMSQ('TS-PILE'!$D$72:$D$91)=0,0,'TO HOP NLAN'!F164*'TS-PILE'!$D$72/SUMSQ('TS-PILE'!$D$72:$D$91))),IF('TS-PILE'!$B$73="",1E+99,'TO HOP NLAN'!D164/ncoc+IF(SUMSQ('TS-PILE'!$E$72:$E$91)=0,0,'TO HOP NLAN'!E164*'TS-PILE'!$E$73/SUMSQ('TS-PILE'!$E$72:$E$91))+IF(SUMSQ('TS-PILE'!$D$72:$D$91)=0,0,'TO HOP NLAN'!F164*'TS-PILE'!$D$73/SUMSQ('TS-PILE'!$D$72:$D$91))),IF('TS-PILE'!$B$74="",1E+99,'TO HOP NLAN'!D164/ncoc+IF(SUMSQ('TS-PILE'!$E$72:$E$91)=0,0,'TO HOP NLAN'!E164*'TS-PILE'!$E$74/SUMSQ('TS-PILE'!$E$72:$E$91))+IF(SUMSQ('TS-PILE'!$D$72:$D$91)=0,0,'TO HOP NLAN'!F164*'TS-PILE'!$D$74/SUMSQ('TS-PILE'!$D$72:$D$91))),IF('TS-PILE'!$B$75="",1E+99,'TO HOP NLAN'!D164/ncoc+IF(SUMSQ('TS-PILE'!$E$72:$E$91)=0,0,'TO HOP NLAN'!E164*'TS-PILE'!$E$75/SUMSQ('TS-PILE'!$E$72:$E$91))+IF(SUMSQ('TS-PILE'!$D$72:$D$91)=0,0,'TO HOP NLAN'!F164*'TS-PILE'!$D$75/SUMSQ('TS-PILE'!$D$72:$D$91))),IF('TS-PILE'!$B$76="",1E+99,'TO HOP NLAN'!D164/ncoc+IF(SUMSQ('TS-PILE'!$E$72:$E$91)=0,0,'TO HOP NLAN'!E164*'TS-PILE'!$E$76/SUMSQ('TS-PILE'!$E$72:$E$91))+IF(SUMSQ('TS-PILE'!$D$72:$D$91)=0,0,'TO HOP NLAN'!F164*'TS-PILE'!$D$76/SUMSQ('TS-PILE'!$D$72:$D$91))),IF('TS-PILE'!$B$77="",1E+99,'TO HOP NLAN'!D164/ncoc+IF(SUMSQ('TS-PILE'!$E$72:$E$91)=0,0,'TO HOP NLAN'!E164*'TS-PILE'!$E$77/SUMSQ('TS-PILE'!$E$72:$E$91))+IF(SUMSQ('TS-PILE'!$D$72:$D$91)=0,0,'TO HOP NLAN'!F164*'TS-PILE'!$D$77/SUMSQ('TS-PILE'!$D$72:$D$91))),IF('TS-PILE'!$B$78="",1E+99,'TO HOP NLAN'!D164/ncoc+IF(SUMSQ('TS-PILE'!$E$72:$E$91)=0,0,'TO HOP NLAN'!E164*'TS-PILE'!$E$78/SUMSQ('TS-PILE'!$E$72:$E$91))+IF(SUMSQ('TS-PILE'!$D$72:$D$91)=0,0,'TO HOP NLAN'!F164*'TS-PILE'!$D$78/SUMSQ('TS-PILE'!$D$72:$D$91))),IF('TS-PILE'!$B$79="",1E+99,'TO HOP NLAN'!D164/ncoc+IF(SUMSQ('TS-PILE'!$E$72:$E$91)=0,0,'TO HOP NLAN'!E164*'TS-PILE'!$E$79/SUMSQ('TS-PILE'!$E$72:$E$91))+IF(SUMSQ('TS-PILE'!$D$72:$D$91)=0,0,'TO HOP NLAN'!F164*'TS-PILE'!$D$79/SUMSQ('TS-PILE'!$D$72:$D$91))),IF('TS-PILE'!$B$80="",1E+99,'TO HOP NLAN'!D164/ncoc+IF(SUMSQ('TS-PILE'!$E$72:$E$91)=0,0,'TO HOP NLAN'!E164*'TS-PILE'!$E$80/SUMSQ('TS-PILE'!$E$72:$E$91))+IF(SUMSQ('TS-PILE'!$D$72:$D$91)=0,0,'TO HOP NLAN'!F164*'TS-PILE'!$D$80/SUMSQ('TS-PILE'!$D$72:$D$91))),IF('TS-PILE'!$B$81="",1E+99,'TO HOP NLAN'!D164/ncoc+IF(SUMSQ('TS-PILE'!$E$72:$E$91)=0,0,'TO HOP NLAN'!E164*'TS-PILE'!$E$81/SUMSQ('TS-PILE'!$E$72:$E$91))+IF(SUMSQ('TS-PILE'!$D$72:$D$91)=0,0,'TO HOP NLAN'!F164*'TS-PILE'!$D$81/SUMSQ('TS-PILE'!$D$72:$D$91))),IF('TS-PILE'!$B$82="",1E+99,'TO HOP NLAN'!D164/ncoc+IF(SUMSQ('TS-PILE'!$E$72:$E$91)=0,0,'TO HOP NLAN'!E164*'TS-PILE'!$E$82/SUMSQ('TS-PILE'!$E$72:$E$91))+IF(SUMSQ('TS-PILE'!$D$72:$D$91)=0,0,'TO HOP NLAN'!F164*'TS-PILE'!$D$82/SUMSQ('TS-PILE'!$D$72:$D$91))),IF('TS-PILE'!$B$83="",1E+99,'TO HOP NLAN'!D164/ncoc+IF(SUMSQ('TS-PILE'!$E$72:$E$91)=0,0,'TO HOP NLAN'!E164*'TS-PILE'!$E$83/SUMSQ('TS-PILE'!$E$72:$E$91))+IF(SUMSQ('TS-PILE'!$D$72:$D$91)=0,0,'TO HOP NLAN'!F164*'TS-PILE'!$D$83/SUMSQ('TS-PILE'!$D$72:$D$91))),IF('TS-PILE'!$B$84="",1E+99,'TO HOP NLAN'!D164/ncoc+IF(SUMSQ('TS-PILE'!$E$72:$E$91)=0,0,'TO HOP NLAN'!E164*'TS-PILE'!$E$84/SUMSQ('TS-PILE'!$E$72:$E$91))+IF(SUMSQ('TS-PILE'!$D$72:$D$91)=0,0,'TO HOP NLAN'!F164*'TS-PILE'!$D$84/SUMSQ('TS-PILE'!$D$72:$D$91))),IF('TS-PILE'!$B$85="",1E+99,'TO HOP NLAN'!D164/ncoc+IF(SUMSQ('TS-PILE'!$E$72:$E$91)=0,0,'TO HOP NLAN'!E164*'TS-PILE'!$E$85/SUMSQ('TS-PILE'!$E$72:$E$91))+IF(SUMSQ('TS-PILE'!$D$72:$D$91)=0,0,'TO HOP NLAN'!F164*'TS-PILE'!$D$85/SUMSQ('TS-PILE'!$D$72:$D$91))),IF('TS-PILE'!$B$86="",1E+99,'TO HOP NLAN'!D164/ncoc+IF(SUMSQ('TS-PILE'!$E$72:$E$91)=0,0,'TO HOP NLAN'!E164*'TS-PILE'!$E$86/SUMSQ('TS-PILE'!$E$72:$E$91))+IF(SUMSQ('TS-PILE'!$D$72:$D$91)=0,0,'TO HOP NLAN'!F164*'TS-PILE'!$D$86/SUMSQ('TS-PILE'!$D$72:$D$91))),IF('TS-PILE'!$B$87="",1E+99,'TO HOP NLAN'!D164/ncoc+IF(SUMSQ('TS-PILE'!$E$72:$E$91)=0,0,'TO HOP NLAN'!E164*'TS-PILE'!$E$87/SUMSQ('TS-PILE'!$E$72:$E$91))+IF(SUMSQ('TS-PILE'!$D$72:$D$91)=0,0,'TO HOP NLAN'!F164*'TS-PILE'!$D$87/SUMSQ('TS-PILE'!$D$72:$D$91))),IF('TS-PILE'!$B$88="",1E+99,'TO HOP NLAN'!D164/ncoc+IF(SUMSQ('TS-PILE'!$E$72:$E$91)=0,0,'TO HOP NLAN'!E164*'TS-PILE'!$E$88/SUMSQ('TS-PILE'!$E$72:$E$91))+IF(SUMSQ('TS-PILE'!$D$72:$D$91)=0,0,'TO HOP NLAN'!F164*'TS-PILE'!$D$88/SUMSQ('TS-PILE'!$D$72:$D$91))),IF('TS-PILE'!$B$89="",1E+99,'TO HOP NLAN'!D164/ncoc+IF(SUMSQ('TS-PILE'!$E$72:$E$91)=0,0,'TO HOP NLAN'!E164*'TS-PILE'!$E$89/SUMSQ('TS-PILE'!$E$72:$E$91))+IF(SUMSQ('TS-PILE'!$D$72:$D$91)=0,0,'TO HOP NLAN'!F164*'TS-PILE'!$D$89/SUMSQ('TS-PILE'!$D$72:$D$91))),IF('TS-PILE'!$B$90="",1E+99,'TO HOP NLAN'!D164/ncoc+IF(SUMSQ('TS-PILE'!$E$72:$E$91)=0,0,'TO HOP NLAN'!E164*'TS-PILE'!$E$90/SUMSQ('TS-PILE'!$E$72:$E$91))+IF(SUMSQ('TS-PILE'!$D$72:$D$91)=0,0,'TO HOP NLAN'!F164*'TS-PILE'!$D$90/SUMSQ('TS-PILE'!$D$72:$D$91))),IF('TS-PILE'!$B$91="",1E+99,'TO HOP NLAN'!D164/ncoc+IF(SUMSQ('TS-PILE'!$E$72:$E$91)=0,0,'TO HOP NLAN'!E164*'TS-PILE'!$E$91/SUMSQ('TS-PILE'!$E$72:$E$91))+IF(SUMSQ('TS-PILE'!$D$72:$D$91)=0,0,'TO HOP NLAN'!F164*'TS-PILE'!$D$91/SUMSQ('TS-PILE'!$D$72:$D$91)))))</f>
        <v>0</v>
      </c>
      <c r="E164" s="58">
        <f t="shared" si="8"/>
        <v>-9.9999999999999997E+98</v>
      </c>
      <c r="F164" s="58">
        <f t="shared" si="9"/>
        <v>9.9999999999999997E+98</v>
      </c>
      <c r="G164" s="58">
        <f t="shared" si="10"/>
        <v>-9.9999999999999997E+98</v>
      </c>
      <c r="H164" s="58">
        <f t="shared" si="11"/>
        <v>9.9999999999999997E+98</v>
      </c>
    </row>
    <row r="165" spans="1:8" x14ac:dyDescent="0.3">
      <c r="A165" s="42" t="str">
        <f>'TO HOP NLAN'!A165</f>
        <v/>
      </c>
      <c r="B165" s="42" t="str">
        <f>'TO HOP NLAN'!L165</f>
        <v>STRENGTH</v>
      </c>
      <c r="C165" s="58">
        <f>IF(A165="",0,MAX(IF('TS-PILE'!$B$72="",-1E+99,'TO HOP NLAN'!D165/ncoc+IF(SUMSQ('TS-PILE'!$E$72:$E$91)=0,0,'TO HOP NLAN'!E165*'TS-PILE'!$E$72/SUMSQ('TS-PILE'!$E$72:$E$91))+IF(SUMSQ('TS-PILE'!$D$72:$D$91)=0,0,'TO HOP NLAN'!F165*'TS-PILE'!$D$72/SUMSQ('TS-PILE'!$D$72:$D$91))),IF('TS-PILE'!$B$73="",-1E+99,'TO HOP NLAN'!D165/ncoc+IF(SUMSQ('TS-PILE'!$E$72:$E$91)=0,0,'TO HOP NLAN'!E165*'TS-PILE'!$E$73/SUMSQ('TS-PILE'!$E$72:$E$91))+IF(SUMSQ('TS-PILE'!$D$72:$D$91)=0,0,'TO HOP NLAN'!F165*'TS-PILE'!$D$73/SUMSQ('TS-PILE'!$D$72:$D$91))),IF('TS-PILE'!$B$74="",-1E+99,'TO HOP NLAN'!D165/ncoc+IF(SUMSQ('TS-PILE'!$E$72:$E$91)=0,0,'TO HOP NLAN'!E165*'TS-PILE'!$E$74/SUMSQ('TS-PILE'!$E$72:$E$91))+IF(SUMSQ('TS-PILE'!$D$72:$D$91)=0,0,'TO HOP NLAN'!F165*'TS-PILE'!$D$74/SUMSQ('TS-PILE'!$D$72:$D$91))),IF('TS-PILE'!$B$75="",-1E+99,'TO HOP NLAN'!D165/ncoc+IF(SUMSQ('TS-PILE'!$E$72:$E$91)=0,0,'TO HOP NLAN'!E165*'TS-PILE'!$E$75/SUMSQ('TS-PILE'!$E$72:$E$91))+IF(SUMSQ('TS-PILE'!$D$72:$D$91)=0,0,'TO HOP NLAN'!F165*'TS-PILE'!$D$75/SUMSQ('TS-PILE'!$D$72:$D$91))),IF('TS-PILE'!$B$76="",-1E+99,'TO HOP NLAN'!D165/ncoc+IF(SUMSQ('TS-PILE'!$E$72:$E$91)=0,0,'TO HOP NLAN'!E165*'TS-PILE'!$E$76/SUMSQ('TS-PILE'!$E$72:$E$91))+IF(SUMSQ('TS-PILE'!$D$72:$D$91)=0,0,'TO HOP NLAN'!F165*'TS-PILE'!$D$76/SUMSQ('TS-PILE'!$D$72:$D$91))),IF('TS-PILE'!$B$77="",-1E+99,'TO HOP NLAN'!D165/ncoc+IF(SUMSQ('TS-PILE'!$E$72:$E$91)=0,0,'TO HOP NLAN'!E165*'TS-PILE'!$E$77/SUMSQ('TS-PILE'!$E$72:$E$91))+IF(SUMSQ('TS-PILE'!$D$72:$D$91)=0,0,'TO HOP NLAN'!F165*'TS-PILE'!$D$77/SUMSQ('TS-PILE'!$D$72:$D$91))),IF('TS-PILE'!$B$78="",-1E+99,'TO HOP NLAN'!D165/ncoc+IF(SUMSQ('TS-PILE'!$E$72:$E$91)=0,0,'TO HOP NLAN'!E165*'TS-PILE'!$E$78/SUMSQ('TS-PILE'!$E$72:$E$91))+IF(SUMSQ('TS-PILE'!$D$72:$D$91)=0,0,'TO HOP NLAN'!F165*'TS-PILE'!$D$78/SUMSQ('TS-PILE'!$D$72:$D$91))),IF('TS-PILE'!$B$79="",-1E+99,'TO HOP NLAN'!D165/ncoc+IF(SUMSQ('TS-PILE'!$E$72:$E$91)=0,0,'TO HOP NLAN'!E165*'TS-PILE'!$E$79/SUMSQ('TS-PILE'!$E$72:$E$91))+IF(SUMSQ('TS-PILE'!$D$72:$D$91)=0,0,'TO HOP NLAN'!F165*'TS-PILE'!$D$79/SUMSQ('TS-PILE'!$D$72:$D$91))),IF('TS-PILE'!$B$80="",-1E+99,'TO HOP NLAN'!D165/ncoc+IF(SUMSQ('TS-PILE'!$E$72:$E$91)=0,0,'TO HOP NLAN'!E165*'TS-PILE'!$E$80/SUMSQ('TS-PILE'!$E$72:$E$91))+IF(SUMSQ('TS-PILE'!$D$72:$D$91)=0,0,'TO HOP NLAN'!F165*'TS-PILE'!$D$80/SUMSQ('TS-PILE'!$D$72:$D$91))),IF('TS-PILE'!$B$81="",-1E+99,'TO HOP NLAN'!D165/ncoc+IF(SUMSQ('TS-PILE'!$E$72:$E$91)=0,0,'TO HOP NLAN'!E165*'TS-PILE'!$E$81/SUMSQ('TS-PILE'!$E$72:$E$91))+IF(SUMSQ('TS-PILE'!$D$72:$D$91)=0,0,'TO HOP NLAN'!F165*'TS-PILE'!$D$81/SUMSQ('TS-PILE'!$D$72:$D$91))),IF('TS-PILE'!$B$82="",-1E+99,'TO HOP NLAN'!D165/ncoc+IF(SUMSQ('TS-PILE'!$E$72:$E$91)=0,0,'TO HOP NLAN'!E165*'TS-PILE'!$E$82/SUMSQ('TS-PILE'!$E$72:$E$91))+IF(SUMSQ('TS-PILE'!$D$72:$D$91)=0,0,'TO HOP NLAN'!F165*'TS-PILE'!$D$82/SUMSQ('TS-PILE'!$D$72:$D$91))),IF('TS-PILE'!$B$83="",-1E+99,'TO HOP NLAN'!D165/ncoc+IF(SUMSQ('TS-PILE'!$E$72:$E$91)=0,0,'TO HOP NLAN'!E165*'TS-PILE'!$E$83/SUMSQ('TS-PILE'!$E$72:$E$91))+IF(SUMSQ('TS-PILE'!$D$72:$D$91)=0,0,'TO HOP NLAN'!F165*'TS-PILE'!$D$83/SUMSQ('TS-PILE'!$D$72:$D$91))),IF('TS-PILE'!$B$84="",-1E+99,'TO HOP NLAN'!D165/ncoc+IF(SUMSQ('TS-PILE'!$E$72:$E$91)=0,0,'TO HOP NLAN'!E165*'TS-PILE'!$E$84/SUMSQ('TS-PILE'!$E$72:$E$91))+IF(SUMSQ('TS-PILE'!$D$72:$D$91)=0,0,'TO HOP NLAN'!F165*'TS-PILE'!$D$84/SUMSQ('TS-PILE'!$D$72:$D$91))),IF('TS-PILE'!$B$85="",-1E+99,'TO HOP NLAN'!D165/ncoc+IF(SUMSQ('TS-PILE'!$E$72:$E$91)=0,0,'TO HOP NLAN'!E165*'TS-PILE'!$E$85/SUMSQ('TS-PILE'!$E$72:$E$91))+IF(SUMSQ('TS-PILE'!$D$72:$D$91)=0,0,'TO HOP NLAN'!F165*'TS-PILE'!$D$85/SUMSQ('TS-PILE'!$D$72:$D$91))),IF('TS-PILE'!$B$86="",-1E+99,'TO HOP NLAN'!D165/ncoc+IF(SUMSQ('TS-PILE'!$E$72:$E$91)=0,0,'TO HOP NLAN'!E165*'TS-PILE'!$E$86/SUMSQ('TS-PILE'!$E$72:$E$91))+IF(SUMSQ('TS-PILE'!$D$72:$D$91)=0,0,'TO HOP NLAN'!F165*'TS-PILE'!$D$86/SUMSQ('TS-PILE'!$D$72:$D$91))),IF('TS-PILE'!$B$87="",-1E+99,'TO HOP NLAN'!D165/ncoc+IF(SUMSQ('TS-PILE'!$E$72:$E$91)=0,0,'TO HOP NLAN'!E165*'TS-PILE'!$E$87/SUMSQ('TS-PILE'!$E$72:$E$91))+IF(SUMSQ('TS-PILE'!$D$72:$D$91)=0,0,'TO HOP NLAN'!F165*'TS-PILE'!$D$87/SUMSQ('TS-PILE'!$D$72:$D$91))),IF('TS-PILE'!$B$88="",-1E+99,'TO HOP NLAN'!D165/ncoc+IF(SUMSQ('TS-PILE'!$E$72:$E$91)=0,0,'TO HOP NLAN'!E165*'TS-PILE'!$E$88/SUMSQ('TS-PILE'!$E$72:$E$91))+IF(SUMSQ('TS-PILE'!$D$72:$D$91)=0,0,'TO HOP NLAN'!F165*'TS-PILE'!$D$88/SUMSQ('TS-PILE'!$D$72:$D$91))),IF('TS-PILE'!$B$89="",-1E+99,'TO HOP NLAN'!D165/ncoc+IF(SUMSQ('TS-PILE'!$E$72:$E$91)=0,0,'TO HOP NLAN'!E165*'TS-PILE'!$E$89/SUMSQ('TS-PILE'!$E$72:$E$91))+IF(SUMSQ('TS-PILE'!$D$72:$D$91)=0,0,'TO HOP NLAN'!F165*'TS-PILE'!$D$89/SUMSQ('TS-PILE'!$D$72:$D$91))),IF('TS-PILE'!$B$90="",-1E+99,'TO HOP NLAN'!D165/ncoc+IF(SUMSQ('TS-PILE'!$E$72:$E$91)=0,0,'TO HOP NLAN'!E165*'TS-PILE'!$E$90/SUMSQ('TS-PILE'!$E$72:$E$91))+IF(SUMSQ('TS-PILE'!$D$72:$D$91)=0,0,'TO HOP NLAN'!F165*'TS-PILE'!$D$90/SUMSQ('TS-PILE'!$D$72:$D$91))),IF('TS-PILE'!$B$91="",-1E+99,'TO HOP NLAN'!D165/ncoc+IF(SUMSQ('TS-PILE'!$E$72:$E$91)=0,0,'TO HOP NLAN'!E165*'TS-PILE'!$E$91/SUMSQ('TS-PILE'!$E$72:$E$91))+IF(SUMSQ('TS-PILE'!$D$72:$D$91)=0,0,'TO HOP NLAN'!F165*'TS-PILE'!$D$91/SUMSQ('TS-PILE'!$D$72:$D$91)))))</f>
        <v>0</v>
      </c>
      <c r="D165" s="58">
        <f>IF(A165="",0,MIN(IF('TS-PILE'!$B$72="",1E+99,'TO HOP NLAN'!D165/ncoc+IF(SUMSQ('TS-PILE'!$E$72:$E$91)=0,0,'TO HOP NLAN'!E165*'TS-PILE'!$E$72/SUMSQ('TS-PILE'!$E$72:$E$91))+IF(SUMSQ('TS-PILE'!$D$72:$D$91)=0,0,'TO HOP NLAN'!F165*'TS-PILE'!$D$72/SUMSQ('TS-PILE'!$D$72:$D$91))),IF('TS-PILE'!$B$73="",1E+99,'TO HOP NLAN'!D165/ncoc+IF(SUMSQ('TS-PILE'!$E$72:$E$91)=0,0,'TO HOP NLAN'!E165*'TS-PILE'!$E$73/SUMSQ('TS-PILE'!$E$72:$E$91))+IF(SUMSQ('TS-PILE'!$D$72:$D$91)=0,0,'TO HOP NLAN'!F165*'TS-PILE'!$D$73/SUMSQ('TS-PILE'!$D$72:$D$91))),IF('TS-PILE'!$B$74="",1E+99,'TO HOP NLAN'!D165/ncoc+IF(SUMSQ('TS-PILE'!$E$72:$E$91)=0,0,'TO HOP NLAN'!E165*'TS-PILE'!$E$74/SUMSQ('TS-PILE'!$E$72:$E$91))+IF(SUMSQ('TS-PILE'!$D$72:$D$91)=0,0,'TO HOP NLAN'!F165*'TS-PILE'!$D$74/SUMSQ('TS-PILE'!$D$72:$D$91))),IF('TS-PILE'!$B$75="",1E+99,'TO HOP NLAN'!D165/ncoc+IF(SUMSQ('TS-PILE'!$E$72:$E$91)=0,0,'TO HOP NLAN'!E165*'TS-PILE'!$E$75/SUMSQ('TS-PILE'!$E$72:$E$91))+IF(SUMSQ('TS-PILE'!$D$72:$D$91)=0,0,'TO HOP NLAN'!F165*'TS-PILE'!$D$75/SUMSQ('TS-PILE'!$D$72:$D$91))),IF('TS-PILE'!$B$76="",1E+99,'TO HOP NLAN'!D165/ncoc+IF(SUMSQ('TS-PILE'!$E$72:$E$91)=0,0,'TO HOP NLAN'!E165*'TS-PILE'!$E$76/SUMSQ('TS-PILE'!$E$72:$E$91))+IF(SUMSQ('TS-PILE'!$D$72:$D$91)=0,0,'TO HOP NLAN'!F165*'TS-PILE'!$D$76/SUMSQ('TS-PILE'!$D$72:$D$91))),IF('TS-PILE'!$B$77="",1E+99,'TO HOP NLAN'!D165/ncoc+IF(SUMSQ('TS-PILE'!$E$72:$E$91)=0,0,'TO HOP NLAN'!E165*'TS-PILE'!$E$77/SUMSQ('TS-PILE'!$E$72:$E$91))+IF(SUMSQ('TS-PILE'!$D$72:$D$91)=0,0,'TO HOP NLAN'!F165*'TS-PILE'!$D$77/SUMSQ('TS-PILE'!$D$72:$D$91))),IF('TS-PILE'!$B$78="",1E+99,'TO HOP NLAN'!D165/ncoc+IF(SUMSQ('TS-PILE'!$E$72:$E$91)=0,0,'TO HOP NLAN'!E165*'TS-PILE'!$E$78/SUMSQ('TS-PILE'!$E$72:$E$91))+IF(SUMSQ('TS-PILE'!$D$72:$D$91)=0,0,'TO HOP NLAN'!F165*'TS-PILE'!$D$78/SUMSQ('TS-PILE'!$D$72:$D$91))),IF('TS-PILE'!$B$79="",1E+99,'TO HOP NLAN'!D165/ncoc+IF(SUMSQ('TS-PILE'!$E$72:$E$91)=0,0,'TO HOP NLAN'!E165*'TS-PILE'!$E$79/SUMSQ('TS-PILE'!$E$72:$E$91))+IF(SUMSQ('TS-PILE'!$D$72:$D$91)=0,0,'TO HOP NLAN'!F165*'TS-PILE'!$D$79/SUMSQ('TS-PILE'!$D$72:$D$91))),IF('TS-PILE'!$B$80="",1E+99,'TO HOP NLAN'!D165/ncoc+IF(SUMSQ('TS-PILE'!$E$72:$E$91)=0,0,'TO HOP NLAN'!E165*'TS-PILE'!$E$80/SUMSQ('TS-PILE'!$E$72:$E$91))+IF(SUMSQ('TS-PILE'!$D$72:$D$91)=0,0,'TO HOP NLAN'!F165*'TS-PILE'!$D$80/SUMSQ('TS-PILE'!$D$72:$D$91))),IF('TS-PILE'!$B$81="",1E+99,'TO HOP NLAN'!D165/ncoc+IF(SUMSQ('TS-PILE'!$E$72:$E$91)=0,0,'TO HOP NLAN'!E165*'TS-PILE'!$E$81/SUMSQ('TS-PILE'!$E$72:$E$91))+IF(SUMSQ('TS-PILE'!$D$72:$D$91)=0,0,'TO HOP NLAN'!F165*'TS-PILE'!$D$81/SUMSQ('TS-PILE'!$D$72:$D$91))),IF('TS-PILE'!$B$82="",1E+99,'TO HOP NLAN'!D165/ncoc+IF(SUMSQ('TS-PILE'!$E$72:$E$91)=0,0,'TO HOP NLAN'!E165*'TS-PILE'!$E$82/SUMSQ('TS-PILE'!$E$72:$E$91))+IF(SUMSQ('TS-PILE'!$D$72:$D$91)=0,0,'TO HOP NLAN'!F165*'TS-PILE'!$D$82/SUMSQ('TS-PILE'!$D$72:$D$91))),IF('TS-PILE'!$B$83="",1E+99,'TO HOP NLAN'!D165/ncoc+IF(SUMSQ('TS-PILE'!$E$72:$E$91)=0,0,'TO HOP NLAN'!E165*'TS-PILE'!$E$83/SUMSQ('TS-PILE'!$E$72:$E$91))+IF(SUMSQ('TS-PILE'!$D$72:$D$91)=0,0,'TO HOP NLAN'!F165*'TS-PILE'!$D$83/SUMSQ('TS-PILE'!$D$72:$D$91))),IF('TS-PILE'!$B$84="",1E+99,'TO HOP NLAN'!D165/ncoc+IF(SUMSQ('TS-PILE'!$E$72:$E$91)=0,0,'TO HOP NLAN'!E165*'TS-PILE'!$E$84/SUMSQ('TS-PILE'!$E$72:$E$91))+IF(SUMSQ('TS-PILE'!$D$72:$D$91)=0,0,'TO HOP NLAN'!F165*'TS-PILE'!$D$84/SUMSQ('TS-PILE'!$D$72:$D$91))),IF('TS-PILE'!$B$85="",1E+99,'TO HOP NLAN'!D165/ncoc+IF(SUMSQ('TS-PILE'!$E$72:$E$91)=0,0,'TO HOP NLAN'!E165*'TS-PILE'!$E$85/SUMSQ('TS-PILE'!$E$72:$E$91))+IF(SUMSQ('TS-PILE'!$D$72:$D$91)=0,0,'TO HOP NLAN'!F165*'TS-PILE'!$D$85/SUMSQ('TS-PILE'!$D$72:$D$91))),IF('TS-PILE'!$B$86="",1E+99,'TO HOP NLAN'!D165/ncoc+IF(SUMSQ('TS-PILE'!$E$72:$E$91)=0,0,'TO HOP NLAN'!E165*'TS-PILE'!$E$86/SUMSQ('TS-PILE'!$E$72:$E$91))+IF(SUMSQ('TS-PILE'!$D$72:$D$91)=0,0,'TO HOP NLAN'!F165*'TS-PILE'!$D$86/SUMSQ('TS-PILE'!$D$72:$D$91))),IF('TS-PILE'!$B$87="",1E+99,'TO HOP NLAN'!D165/ncoc+IF(SUMSQ('TS-PILE'!$E$72:$E$91)=0,0,'TO HOP NLAN'!E165*'TS-PILE'!$E$87/SUMSQ('TS-PILE'!$E$72:$E$91))+IF(SUMSQ('TS-PILE'!$D$72:$D$91)=0,0,'TO HOP NLAN'!F165*'TS-PILE'!$D$87/SUMSQ('TS-PILE'!$D$72:$D$91))),IF('TS-PILE'!$B$88="",1E+99,'TO HOP NLAN'!D165/ncoc+IF(SUMSQ('TS-PILE'!$E$72:$E$91)=0,0,'TO HOP NLAN'!E165*'TS-PILE'!$E$88/SUMSQ('TS-PILE'!$E$72:$E$91))+IF(SUMSQ('TS-PILE'!$D$72:$D$91)=0,0,'TO HOP NLAN'!F165*'TS-PILE'!$D$88/SUMSQ('TS-PILE'!$D$72:$D$91))),IF('TS-PILE'!$B$89="",1E+99,'TO HOP NLAN'!D165/ncoc+IF(SUMSQ('TS-PILE'!$E$72:$E$91)=0,0,'TO HOP NLAN'!E165*'TS-PILE'!$E$89/SUMSQ('TS-PILE'!$E$72:$E$91))+IF(SUMSQ('TS-PILE'!$D$72:$D$91)=0,0,'TO HOP NLAN'!F165*'TS-PILE'!$D$89/SUMSQ('TS-PILE'!$D$72:$D$91))),IF('TS-PILE'!$B$90="",1E+99,'TO HOP NLAN'!D165/ncoc+IF(SUMSQ('TS-PILE'!$E$72:$E$91)=0,0,'TO HOP NLAN'!E165*'TS-PILE'!$E$90/SUMSQ('TS-PILE'!$E$72:$E$91))+IF(SUMSQ('TS-PILE'!$D$72:$D$91)=0,0,'TO HOP NLAN'!F165*'TS-PILE'!$D$90/SUMSQ('TS-PILE'!$D$72:$D$91))),IF('TS-PILE'!$B$91="",1E+99,'TO HOP NLAN'!D165/ncoc+IF(SUMSQ('TS-PILE'!$E$72:$E$91)=0,0,'TO HOP NLAN'!E165*'TS-PILE'!$E$91/SUMSQ('TS-PILE'!$E$72:$E$91))+IF(SUMSQ('TS-PILE'!$D$72:$D$91)=0,0,'TO HOP NLAN'!F165*'TS-PILE'!$D$91/SUMSQ('TS-PILE'!$D$72:$D$91)))))</f>
        <v>0</v>
      </c>
      <c r="E165" s="58">
        <f t="shared" si="8"/>
        <v>-9.9999999999999997E+98</v>
      </c>
      <c r="F165" s="58">
        <f t="shared" si="9"/>
        <v>9.9999999999999997E+98</v>
      </c>
      <c r="G165" s="58">
        <f t="shared" si="10"/>
        <v>-9.9999999999999997E+98</v>
      </c>
      <c r="H165" s="58">
        <f t="shared" si="11"/>
        <v>9.9999999999999997E+98</v>
      </c>
    </row>
    <row r="166" spans="1:8" x14ac:dyDescent="0.3">
      <c r="A166" s="42" t="str">
        <f>'TO HOP NLAN'!A166</f>
        <v/>
      </c>
      <c r="B166" s="42" t="str">
        <f>'TO HOP NLAN'!L166</f>
        <v>STRENGTH</v>
      </c>
      <c r="C166" s="58">
        <f>IF(A166="",0,MAX(IF('TS-PILE'!$B$72="",-1E+99,'TO HOP NLAN'!D166/ncoc+IF(SUMSQ('TS-PILE'!$E$72:$E$91)=0,0,'TO HOP NLAN'!E166*'TS-PILE'!$E$72/SUMSQ('TS-PILE'!$E$72:$E$91))+IF(SUMSQ('TS-PILE'!$D$72:$D$91)=0,0,'TO HOP NLAN'!F166*'TS-PILE'!$D$72/SUMSQ('TS-PILE'!$D$72:$D$91))),IF('TS-PILE'!$B$73="",-1E+99,'TO HOP NLAN'!D166/ncoc+IF(SUMSQ('TS-PILE'!$E$72:$E$91)=0,0,'TO HOP NLAN'!E166*'TS-PILE'!$E$73/SUMSQ('TS-PILE'!$E$72:$E$91))+IF(SUMSQ('TS-PILE'!$D$72:$D$91)=0,0,'TO HOP NLAN'!F166*'TS-PILE'!$D$73/SUMSQ('TS-PILE'!$D$72:$D$91))),IF('TS-PILE'!$B$74="",-1E+99,'TO HOP NLAN'!D166/ncoc+IF(SUMSQ('TS-PILE'!$E$72:$E$91)=0,0,'TO HOP NLAN'!E166*'TS-PILE'!$E$74/SUMSQ('TS-PILE'!$E$72:$E$91))+IF(SUMSQ('TS-PILE'!$D$72:$D$91)=0,0,'TO HOP NLAN'!F166*'TS-PILE'!$D$74/SUMSQ('TS-PILE'!$D$72:$D$91))),IF('TS-PILE'!$B$75="",-1E+99,'TO HOP NLAN'!D166/ncoc+IF(SUMSQ('TS-PILE'!$E$72:$E$91)=0,0,'TO HOP NLAN'!E166*'TS-PILE'!$E$75/SUMSQ('TS-PILE'!$E$72:$E$91))+IF(SUMSQ('TS-PILE'!$D$72:$D$91)=0,0,'TO HOP NLAN'!F166*'TS-PILE'!$D$75/SUMSQ('TS-PILE'!$D$72:$D$91))),IF('TS-PILE'!$B$76="",-1E+99,'TO HOP NLAN'!D166/ncoc+IF(SUMSQ('TS-PILE'!$E$72:$E$91)=0,0,'TO HOP NLAN'!E166*'TS-PILE'!$E$76/SUMSQ('TS-PILE'!$E$72:$E$91))+IF(SUMSQ('TS-PILE'!$D$72:$D$91)=0,0,'TO HOP NLAN'!F166*'TS-PILE'!$D$76/SUMSQ('TS-PILE'!$D$72:$D$91))),IF('TS-PILE'!$B$77="",-1E+99,'TO HOP NLAN'!D166/ncoc+IF(SUMSQ('TS-PILE'!$E$72:$E$91)=0,0,'TO HOP NLAN'!E166*'TS-PILE'!$E$77/SUMSQ('TS-PILE'!$E$72:$E$91))+IF(SUMSQ('TS-PILE'!$D$72:$D$91)=0,0,'TO HOP NLAN'!F166*'TS-PILE'!$D$77/SUMSQ('TS-PILE'!$D$72:$D$91))),IF('TS-PILE'!$B$78="",-1E+99,'TO HOP NLAN'!D166/ncoc+IF(SUMSQ('TS-PILE'!$E$72:$E$91)=0,0,'TO HOP NLAN'!E166*'TS-PILE'!$E$78/SUMSQ('TS-PILE'!$E$72:$E$91))+IF(SUMSQ('TS-PILE'!$D$72:$D$91)=0,0,'TO HOP NLAN'!F166*'TS-PILE'!$D$78/SUMSQ('TS-PILE'!$D$72:$D$91))),IF('TS-PILE'!$B$79="",-1E+99,'TO HOP NLAN'!D166/ncoc+IF(SUMSQ('TS-PILE'!$E$72:$E$91)=0,0,'TO HOP NLAN'!E166*'TS-PILE'!$E$79/SUMSQ('TS-PILE'!$E$72:$E$91))+IF(SUMSQ('TS-PILE'!$D$72:$D$91)=0,0,'TO HOP NLAN'!F166*'TS-PILE'!$D$79/SUMSQ('TS-PILE'!$D$72:$D$91))),IF('TS-PILE'!$B$80="",-1E+99,'TO HOP NLAN'!D166/ncoc+IF(SUMSQ('TS-PILE'!$E$72:$E$91)=0,0,'TO HOP NLAN'!E166*'TS-PILE'!$E$80/SUMSQ('TS-PILE'!$E$72:$E$91))+IF(SUMSQ('TS-PILE'!$D$72:$D$91)=0,0,'TO HOP NLAN'!F166*'TS-PILE'!$D$80/SUMSQ('TS-PILE'!$D$72:$D$91))),IF('TS-PILE'!$B$81="",-1E+99,'TO HOP NLAN'!D166/ncoc+IF(SUMSQ('TS-PILE'!$E$72:$E$91)=0,0,'TO HOP NLAN'!E166*'TS-PILE'!$E$81/SUMSQ('TS-PILE'!$E$72:$E$91))+IF(SUMSQ('TS-PILE'!$D$72:$D$91)=0,0,'TO HOP NLAN'!F166*'TS-PILE'!$D$81/SUMSQ('TS-PILE'!$D$72:$D$91))),IF('TS-PILE'!$B$82="",-1E+99,'TO HOP NLAN'!D166/ncoc+IF(SUMSQ('TS-PILE'!$E$72:$E$91)=0,0,'TO HOP NLAN'!E166*'TS-PILE'!$E$82/SUMSQ('TS-PILE'!$E$72:$E$91))+IF(SUMSQ('TS-PILE'!$D$72:$D$91)=0,0,'TO HOP NLAN'!F166*'TS-PILE'!$D$82/SUMSQ('TS-PILE'!$D$72:$D$91))),IF('TS-PILE'!$B$83="",-1E+99,'TO HOP NLAN'!D166/ncoc+IF(SUMSQ('TS-PILE'!$E$72:$E$91)=0,0,'TO HOP NLAN'!E166*'TS-PILE'!$E$83/SUMSQ('TS-PILE'!$E$72:$E$91))+IF(SUMSQ('TS-PILE'!$D$72:$D$91)=0,0,'TO HOP NLAN'!F166*'TS-PILE'!$D$83/SUMSQ('TS-PILE'!$D$72:$D$91))),IF('TS-PILE'!$B$84="",-1E+99,'TO HOP NLAN'!D166/ncoc+IF(SUMSQ('TS-PILE'!$E$72:$E$91)=0,0,'TO HOP NLAN'!E166*'TS-PILE'!$E$84/SUMSQ('TS-PILE'!$E$72:$E$91))+IF(SUMSQ('TS-PILE'!$D$72:$D$91)=0,0,'TO HOP NLAN'!F166*'TS-PILE'!$D$84/SUMSQ('TS-PILE'!$D$72:$D$91))),IF('TS-PILE'!$B$85="",-1E+99,'TO HOP NLAN'!D166/ncoc+IF(SUMSQ('TS-PILE'!$E$72:$E$91)=0,0,'TO HOP NLAN'!E166*'TS-PILE'!$E$85/SUMSQ('TS-PILE'!$E$72:$E$91))+IF(SUMSQ('TS-PILE'!$D$72:$D$91)=0,0,'TO HOP NLAN'!F166*'TS-PILE'!$D$85/SUMSQ('TS-PILE'!$D$72:$D$91))),IF('TS-PILE'!$B$86="",-1E+99,'TO HOP NLAN'!D166/ncoc+IF(SUMSQ('TS-PILE'!$E$72:$E$91)=0,0,'TO HOP NLAN'!E166*'TS-PILE'!$E$86/SUMSQ('TS-PILE'!$E$72:$E$91))+IF(SUMSQ('TS-PILE'!$D$72:$D$91)=0,0,'TO HOP NLAN'!F166*'TS-PILE'!$D$86/SUMSQ('TS-PILE'!$D$72:$D$91))),IF('TS-PILE'!$B$87="",-1E+99,'TO HOP NLAN'!D166/ncoc+IF(SUMSQ('TS-PILE'!$E$72:$E$91)=0,0,'TO HOP NLAN'!E166*'TS-PILE'!$E$87/SUMSQ('TS-PILE'!$E$72:$E$91))+IF(SUMSQ('TS-PILE'!$D$72:$D$91)=0,0,'TO HOP NLAN'!F166*'TS-PILE'!$D$87/SUMSQ('TS-PILE'!$D$72:$D$91))),IF('TS-PILE'!$B$88="",-1E+99,'TO HOP NLAN'!D166/ncoc+IF(SUMSQ('TS-PILE'!$E$72:$E$91)=0,0,'TO HOP NLAN'!E166*'TS-PILE'!$E$88/SUMSQ('TS-PILE'!$E$72:$E$91))+IF(SUMSQ('TS-PILE'!$D$72:$D$91)=0,0,'TO HOP NLAN'!F166*'TS-PILE'!$D$88/SUMSQ('TS-PILE'!$D$72:$D$91))),IF('TS-PILE'!$B$89="",-1E+99,'TO HOP NLAN'!D166/ncoc+IF(SUMSQ('TS-PILE'!$E$72:$E$91)=0,0,'TO HOP NLAN'!E166*'TS-PILE'!$E$89/SUMSQ('TS-PILE'!$E$72:$E$91))+IF(SUMSQ('TS-PILE'!$D$72:$D$91)=0,0,'TO HOP NLAN'!F166*'TS-PILE'!$D$89/SUMSQ('TS-PILE'!$D$72:$D$91))),IF('TS-PILE'!$B$90="",-1E+99,'TO HOP NLAN'!D166/ncoc+IF(SUMSQ('TS-PILE'!$E$72:$E$91)=0,0,'TO HOP NLAN'!E166*'TS-PILE'!$E$90/SUMSQ('TS-PILE'!$E$72:$E$91))+IF(SUMSQ('TS-PILE'!$D$72:$D$91)=0,0,'TO HOP NLAN'!F166*'TS-PILE'!$D$90/SUMSQ('TS-PILE'!$D$72:$D$91))),IF('TS-PILE'!$B$91="",-1E+99,'TO HOP NLAN'!D166/ncoc+IF(SUMSQ('TS-PILE'!$E$72:$E$91)=0,0,'TO HOP NLAN'!E166*'TS-PILE'!$E$91/SUMSQ('TS-PILE'!$E$72:$E$91))+IF(SUMSQ('TS-PILE'!$D$72:$D$91)=0,0,'TO HOP NLAN'!F166*'TS-PILE'!$D$91/SUMSQ('TS-PILE'!$D$72:$D$91)))))</f>
        <v>0</v>
      </c>
      <c r="D166" s="58">
        <f>IF(A166="",0,MIN(IF('TS-PILE'!$B$72="",1E+99,'TO HOP NLAN'!D166/ncoc+IF(SUMSQ('TS-PILE'!$E$72:$E$91)=0,0,'TO HOP NLAN'!E166*'TS-PILE'!$E$72/SUMSQ('TS-PILE'!$E$72:$E$91))+IF(SUMSQ('TS-PILE'!$D$72:$D$91)=0,0,'TO HOP NLAN'!F166*'TS-PILE'!$D$72/SUMSQ('TS-PILE'!$D$72:$D$91))),IF('TS-PILE'!$B$73="",1E+99,'TO HOP NLAN'!D166/ncoc+IF(SUMSQ('TS-PILE'!$E$72:$E$91)=0,0,'TO HOP NLAN'!E166*'TS-PILE'!$E$73/SUMSQ('TS-PILE'!$E$72:$E$91))+IF(SUMSQ('TS-PILE'!$D$72:$D$91)=0,0,'TO HOP NLAN'!F166*'TS-PILE'!$D$73/SUMSQ('TS-PILE'!$D$72:$D$91))),IF('TS-PILE'!$B$74="",1E+99,'TO HOP NLAN'!D166/ncoc+IF(SUMSQ('TS-PILE'!$E$72:$E$91)=0,0,'TO HOP NLAN'!E166*'TS-PILE'!$E$74/SUMSQ('TS-PILE'!$E$72:$E$91))+IF(SUMSQ('TS-PILE'!$D$72:$D$91)=0,0,'TO HOP NLAN'!F166*'TS-PILE'!$D$74/SUMSQ('TS-PILE'!$D$72:$D$91))),IF('TS-PILE'!$B$75="",1E+99,'TO HOP NLAN'!D166/ncoc+IF(SUMSQ('TS-PILE'!$E$72:$E$91)=0,0,'TO HOP NLAN'!E166*'TS-PILE'!$E$75/SUMSQ('TS-PILE'!$E$72:$E$91))+IF(SUMSQ('TS-PILE'!$D$72:$D$91)=0,0,'TO HOP NLAN'!F166*'TS-PILE'!$D$75/SUMSQ('TS-PILE'!$D$72:$D$91))),IF('TS-PILE'!$B$76="",1E+99,'TO HOP NLAN'!D166/ncoc+IF(SUMSQ('TS-PILE'!$E$72:$E$91)=0,0,'TO HOP NLAN'!E166*'TS-PILE'!$E$76/SUMSQ('TS-PILE'!$E$72:$E$91))+IF(SUMSQ('TS-PILE'!$D$72:$D$91)=0,0,'TO HOP NLAN'!F166*'TS-PILE'!$D$76/SUMSQ('TS-PILE'!$D$72:$D$91))),IF('TS-PILE'!$B$77="",1E+99,'TO HOP NLAN'!D166/ncoc+IF(SUMSQ('TS-PILE'!$E$72:$E$91)=0,0,'TO HOP NLAN'!E166*'TS-PILE'!$E$77/SUMSQ('TS-PILE'!$E$72:$E$91))+IF(SUMSQ('TS-PILE'!$D$72:$D$91)=0,0,'TO HOP NLAN'!F166*'TS-PILE'!$D$77/SUMSQ('TS-PILE'!$D$72:$D$91))),IF('TS-PILE'!$B$78="",1E+99,'TO HOP NLAN'!D166/ncoc+IF(SUMSQ('TS-PILE'!$E$72:$E$91)=0,0,'TO HOP NLAN'!E166*'TS-PILE'!$E$78/SUMSQ('TS-PILE'!$E$72:$E$91))+IF(SUMSQ('TS-PILE'!$D$72:$D$91)=0,0,'TO HOP NLAN'!F166*'TS-PILE'!$D$78/SUMSQ('TS-PILE'!$D$72:$D$91))),IF('TS-PILE'!$B$79="",1E+99,'TO HOP NLAN'!D166/ncoc+IF(SUMSQ('TS-PILE'!$E$72:$E$91)=0,0,'TO HOP NLAN'!E166*'TS-PILE'!$E$79/SUMSQ('TS-PILE'!$E$72:$E$91))+IF(SUMSQ('TS-PILE'!$D$72:$D$91)=0,0,'TO HOP NLAN'!F166*'TS-PILE'!$D$79/SUMSQ('TS-PILE'!$D$72:$D$91))),IF('TS-PILE'!$B$80="",1E+99,'TO HOP NLAN'!D166/ncoc+IF(SUMSQ('TS-PILE'!$E$72:$E$91)=0,0,'TO HOP NLAN'!E166*'TS-PILE'!$E$80/SUMSQ('TS-PILE'!$E$72:$E$91))+IF(SUMSQ('TS-PILE'!$D$72:$D$91)=0,0,'TO HOP NLAN'!F166*'TS-PILE'!$D$80/SUMSQ('TS-PILE'!$D$72:$D$91))),IF('TS-PILE'!$B$81="",1E+99,'TO HOP NLAN'!D166/ncoc+IF(SUMSQ('TS-PILE'!$E$72:$E$91)=0,0,'TO HOP NLAN'!E166*'TS-PILE'!$E$81/SUMSQ('TS-PILE'!$E$72:$E$91))+IF(SUMSQ('TS-PILE'!$D$72:$D$91)=0,0,'TO HOP NLAN'!F166*'TS-PILE'!$D$81/SUMSQ('TS-PILE'!$D$72:$D$91))),IF('TS-PILE'!$B$82="",1E+99,'TO HOP NLAN'!D166/ncoc+IF(SUMSQ('TS-PILE'!$E$72:$E$91)=0,0,'TO HOP NLAN'!E166*'TS-PILE'!$E$82/SUMSQ('TS-PILE'!$E$72:$E$91))+IF(SUMSQ('TS-PILE'!$D$72:$D$91)=0,0,'TO HOP NLAN'!F166*'TS-PILE'!$D$82/SUMSQ('TS-PILE'!$D$72:$D$91))),IF('TS-PILE'!$B$83="",1E+99,'TO HOP NLAN'!D166/ncoc+IF(SUMSQ('TS-PILE'!$E$72:$E$91)=0,0,'TO HOP NLAN'!E166*'TS-PILE'!$E$83/SUMSQ('TS-PILE'!$E$72:$E$91))+IF(SUMSQ('TS-PILE'!$D$72:$D$91)=0,0,'TO HOP NLAN'!F166*'TS-PILE'!$D$83/SUMSQ('TS-PILE'!$D$72:$D$91))),IF('TS-PILE'!$B$84="",1E+99,'TO HOP NLAN'!D166/ncoc+IF(SUMSQ('TS-PILE'!$E$72:$E$91)=0,0,'TO HOP NLAN'!E166*'TS-PILE'!$E$84/SUMSQ('TS-PILE'!$E$72:$E$91))+IF(SUMSQ('TS-PILE'!$D$72:$D$91)=0,0,'TO HOP NLAN'!F166*'TS-PILE'!$D$84/SUMSQ('TS-PILE'!$D$72:$D$91))),IF('TS-PILE'!$B$85="",1E+99,'TO HOP NLAN'!D166/ncoc+IF(SUMSQ('TS-PILE'!$E$72:$E$91)=0,0,'TO HOP NLAN'!E166*'TS-PILE'!$E$85/SUMSQ('TS-PILE'!$E$72:$E$91))+IF(SUMSQ('TS-PILE'!$D$72:$D$91)=0,0,'TO HOP NLAN'!F166*'TS-PILE'!$D$85/SUMSQ('TS-PILE'!$D$72:$D$91))),IF('TS-PILE'!$B$86="",1E+99,'TO HOP NLAN'!D166/ncoc+IF(SUMSQ('TS-PILE'!$E$72:$E$91)=0,0,'TO HOP NLAN'!E166*'TS-PILE'!$E$86/SUMSQ('TS-PILE'!$E$72:$E$91))+IF(SUMSQ('TS-PILE'!$D$72:$D$91)=0,0,'TO HOP NLAN'!F166*'TS-PILE'!$D$86/SUMSQ('TS-PILE'!$D$72:$D$91))),IF('TS-PILE'!$B$87="",1E+99,'TO HOP NLAN'!D166/ncoc+IF(SUMSQ('TS-PILE'!$E$72:$E$91)=0,0,'TO HOP NLAN'!E166*'TS-PILE'!$E$87/SUMSQ('TS-PILE'!$E$72:$E$91))+IF(SUMSQ('TS-PILE'!$D$72:$D$91)=0,0,'TO HOP NLAN'!F166*'TS-PILE'!$D$87/SUMSQ('TS-PILE'!$D$72:$D$91))),IF('TS-PILE'!$B$88="",1E+99,'TO HOP NLAN'!D166/ncoc+IF(SUMSQ('TS-PILE'!$E$72:$E$91)=0,0,'TO HOP NLAN'!E166*'TS-PILE'!$E$88/SUMSQ('TS-PILE'!$E$72:$E$91))+IF(SUMSQ('TS-PILE'!$D$72:$D$91)=0,0,'TO HOP NLAN'!F166*'TS-PILE'!$D$88/SUMSQ('TS-PILE'!$D$72:$D$91))),IF('TS-PILE'!$B$89="",1E+99,'TO HOP NLAN'!D166/ncoc+IF(SUMSQ('TS-PILE'!$E$72:$E$91)=0,0,'TO HOP NLAN'!E166*'TS-PILE'!$E$89/SUMSQ('TS-PILE'!$E$72:$E$91))+IF(SUMSQ('TS-PILE'!$D$72:$D$91)=0,0,'TO HOP NLAN'!F166*'TS-PILE'!$D$89/SUMSQ('TS-PILE'!$D$72:$D$91))),IF('TS-PILE'!$B$90="",1E+99,'TO HOP NLAN'!D166/ncoc+IF(SUMSQ('TS-PILE'!$E$72:$E$91)=0,0,'TO HOP NLAN'!E166*'TS-PILE'!$E$90/SUMSQ('TS-PILE'!$E$72:$E$91))+IF(SUMSQ('TS-PILE'!$D$72:$D$91)=0,0,'TO HOP NLAN'!F166*'TS-PILE'!$D$90/SUMSQ('TS-PILE'!$D$72:$D$91))),IF('TS-PILE'!$B$91="",1E+99,'TO HOP NLAN'!D166/ncoc+IF(SUMSQ('TS-PILE'!$E$72:$E$91)=0,0,'TO HOP NLAN'!E166*'TS-PILE'!$E$91/SUMSQ('TS-PILE'!$E$72:$E$91))+IF(SUMSQ('TS-PILE'!$D$72:$D$91)=0,0,'TO HOP NLAN'!F166*'TS-PILE'!$D$91/SUMSQ('TS-PILE'!$D$72:$D$91)))))</f>
        <v>0</v>
      </c>
      <c r="E166" s="58">
        <f t="shared" si="8"/>
        <v>-9.9999999999999997E+98</v>
      </c>
      <c r="F166" s="58">
        <f t="shared" si="9"/>
        <v>9.9999999999999997E+98</v>
      </c>
      <c r="G166" s="58">
        <f t="shared" si="10"/>
        <v>-9.9999999999999997E+98</v>
      </c>
      <c r="H166" s="58">
        <f t="shared" si="11"/>
        <v>9.9999999999999997E+98</v>
      </c>
    </row>
    <row r="167" spans="1:8" x14ac:dyDescent="0.3">
      <c r="A167" s="42" t="str">
        <f>'TO HOP NLAN'!A167</f>
        <v/>
      </c>
      <c r="B167" s="42" t="str">
        <f>'TO HOP NLAN'!L167</f>
        <v>STRENGTH</v>
      </c>
      <c r="C167" s="58">
        <f>IF(A167="",0,MAX(IF('TS-PILE'!$B$72="",-1E+99,'TO HOP NLAN'!D167/ncoc+IF(SUMSQ('TS-PILE'!$E$72:$E$91)=0,0,'TO HOP NLAN'!E167*'TS-PILE'!$E$72/SUMSQ('TS-PILE'!$E$72:$E$91))+IF(SUMSQ('TS-PILE'!$D$72:$D$91)=0,0,'TO HOP NLAN'!F167*'TS-PILE'!$D$72/SUMSQ('TS-PILE'!$D$72:$D$91))),IF('TS-PILE'!$B$73="",-1E+99,'TO HOP NLAN'!D167/ncoc+IF(SUMSQ('TS-PILE'!$E$72:$E$91)=0,0,'TO HOP NLAN'!E167*'TS-PILE'!$E$73/SUMSQ('TS-PILE'!$E$72:$E$91))+IF(SUMSQ('TS-PILE'!$D$72:$D$91)=0,0,'TO HOP NLAN'!F167*'TS-PILE'!$D$73/SUMSQ('TS-PILE'!$D$72:$D$91))),IF('TS-PILE'!$B$74="",-1E+99,'TO HOP NLAN'!D167/ncoc+IF(SUMSQ('TS-PILE'!$E$72:$E$91)=0,0,'TO HOP NLAN'!E167*'TS-PILE'!$E$74/SUMSQ('TS-PILE'!$E$72:$E$91))+IF(SUMSQ('TS-PILE'!$D$72:$D$91)=0,0,'TO HOP NLAN'!F167*'TS-PILE'!$D$74/SUMSQ('TS-PILE'!$D$72:$D$91))),IF('TS-PILE'!$B$75="",-1E+99,'TO HOP NLAN'!D167/ncoc+IF(SUMSQ('TS-PILE'!$E$72:$E$91)=0,0,'TO HOP NLAN'!E167*'TS-PILE'!$E$75/SUMSQ('TS-PILE'!$E$72:$E$91))+IF(SUMSQ('TS-PILE'!$D$72:$D$91)=0,0,'TO HOP NLAN'!F167*'TS-PILE'!$D$75/SUMSQ('TS-PILE'!$D$72:$D$91))),IF('TS-PILE'!$B$76="",-1E+99,'TO HOP NLAN'!D167/ncoc+IF(SUMSQ('TS-PILE'!$E$72:$E$91)=0,0,'TO HOP NLAN'!E167*'TS-PILE'!$E$76/SUMSQ('TS-PILE'!$E$72:$E$91))+IF(SUMSQ('TS-PILE'!$D$72:$D$91)=0,0,'TO HOP NLAN'!F167*'TS-PILE'!$D$76/SUMSQ('TS-PILE'!$D$72:$D$91))),IF('TS-PILE'!$B$77="",-1E+99,'TO HOP NLAN'!D167/ncoc+IF(SUMSQ('TS-PILE'!$E$72:$E$91)=0,0,'TO HOP NLAN'!E167*'TS-PILE'!$E$77/SUMSQ('TS-PILE'!$E$72:$E$91))+IF(SUMSQ('TS-PILE'!$D$72:$D$91)=0,0,'TO HOP NLAN'!F167*'TS-PILE'!$D$77/SUMSQ('TS-PILE'!$D$72:$D$91))),IF('TS-PILE'!$B$78="",-1E+99,'TO HOP NLAN'!D167/ncoc+IF(SUMSQ('TS-PILE'!$E$72:$E$91)=0,0,'TO HOP NLAN'!E167*'TS-PILE'!$E$78/SUMSQ('TS-PILE'!$E$72:$E$91))+IF(SUMSQ('TS-PILE'!$D$72:$D$91)=0,0,'TO HOP NLAN'!F167*'TS-PILE'!$D$78/SUMSQ('TS-PILE'!$D$72:$D$91))),IF('TS-PILE'!$B$79="",-1E+99,'TO HOP NLAN'!D167/ncoc+IF(SUMSQ('TS-PILE'!$E$72:$E$91)=0,0,'TO HOP NLAN'!E167*'TS-PILE'!$E$79/SUMSQ('TS-PILE'!$E$72:$E$91))+IF(SUMSQ('TS-PILE'!$D$72:$D$91)=0,0,'TO HOP NLAN'!F167*'TS-PILE'!$D$79/SUMSQ('TS-PILE'!$D$72:$D$91))),IF('TS-PILE'!$B$80="",-1E+99,'TO HOP NLAN'!D167/ncoc+IF(SUMSQ('TS-PILE'!$E$72:$E$91)=0,0,'TO HOP NLAN'!E167*'TS-PILE'!$E$80/SUMSQ('TS-PILE'!$E$72:$E$91))+IF(SUMSQ('TS-PILE'!$D$72:$D$91)=0,0,'TO HOP NLAN'!F167*'TS-PILE'!$D$80/SUMSQ('TS-PILE'!$D$72:$D$91))),IF('TS-PILE'!$B$81="",-1E+99,'TO HOP NLAN'!D167/ncoc+IF(SUMSQ('TS-PILE'!$E$72:$E$91)=0,0,'TO HOP NLAN'!E167*'TS-PILE'!$E$81/SUMSQ('TS-PILE'!$E$72:$E$91))+IF(SUMSQ('TS-PILE'!$D$72:$D$91)=0,0,'TO HOP NLAN'!F167*'TS-PILE'!$D$81/SUMSQ('TS-PILE'!$D$72:$D$91))),IF('TS-PILE'!$B$82="",-1E+99,'TO HOP NLAN'!D167/ncoc+IF(SUMSQ('TS-PILE'!$E$72:$E$91)=0,0,'TO HOP NLAN'!E167*'TS-PILE'!$E$82/SUMSQ('TS-PILE'!$E$72:$E$91))+IF(SUMSQ('TS-PILE'!$D$72:$D$91)=0,0,'TO HOP NLAN'!F167*'TS-PILE'!$D$82/SUMSQ('TS-PILE'!$D$72:$D$91))),IF('TS-PILE'!$B$83="",-1E+99,'TO HOP NLAN'!D167/ncoc+IF(SUMSQ('TS-PILE'!$E$72:$E$91)=0,0,'TO HOP NLAN'!E167*'TS-PILE'!$E$83/SUMSQ('TS-PILE'!$E$72:$E$91))+IF(SUMSQ('TS-PILE'!$D$72:$D$91)=0,0,'TO HOP NLAN'!F167*'TS-PILE'!$D$83/SUMSQ('TS-PILE'!$D$72:$D$91))),IF('TS-PILE'!$B$84="",-1E+99,'TO HOP NLAN'!D167/ncoc+IF(SUMSQ('TS-PILE'!$E$72:$E$91)=0,0,'TO HOP NLAN'!E167*'TS-PILE'!$E$84/SUMSQ('TS-PILE'!$E$72:$E$91))+IF(SUMSQ('TS-PILE'!$D$72:$D$91)=0,0,'TO HOP NLAN'!F167*'TS-PILE'!$D$84/SUMSQ('TS-PILE'!$D$72:$D$91))),IF('TS-PILE'!$B$85="",-1E+99,'TO HOP NLAN'!D167/ncoc+IF(SUMSQ('TS-PILE'!$E$72:$E$91)=0,0,'TO HOP NLAN'!E167*'TS-PILE'!$E$85/SUMSQ('TS-PILE'!$E$72:$E$91))+IF(SUMSQ('TS-PILE'!$D$72:$D$91)=0,0,'TO HOP NLAN'!F167*'TS-PILE'!$D$85/SUMSQ('TS-PILE'!$D$72:$D$91))),IF('TS-PILE'!$B$86="",-1E+99,'TO HOP NLAN'!D167/ncoc+IF(SUMSQ('TS-PILE'!$E$72:$E$91)=0,0,'TO HOP NLAN'!E167*'TS-PILE'!$E$86/SUMSQ('TS-PILE'!$E$72:$E$91))+IF(SUMSQ('TS-PILE'!$D$72:$D$91)=0,0,'TO HOP NLAN'!F167*'TS-PILE'!$D$86/SUMSQ('TS-PILE'!$D$72:$D$91))),IF('TS-PILE'!$B$87="",-1E+99,'TO HOP NLAN'!D167/ncoc+IF(SUMSQ('TS-PILE'!$E$72:$E$91)=0,0,'TO HOP NLAN'!E167*'TS-PILE'!$E$87/SUMSQ('TS-PILE'!$E$72:$E$91))+IF(SUMSQ('TS-PILE'!$D$72:$D$91)=0,0,'TO HOP NLAN'!F167*'TS-PILE'!$D$87/SUMSQ('TS-PILE'!$D$72:$D$91))),IF('TS-PILE'!$B$88="",-1E+99,'TO HOP NLAN'!D167/ncoc+IF(SUMSQ('TS-PILE'!$E$72:$E$91)=0,0,'TO HOP NLAN'!E167*'TS-PILE'!$E$88/SUMSQ('TS-PILE'!$E$72:$E$91))+IF(SUMSQ('TS-PILE'!$D$72:$D$91)=0,0,'TO HOP NLAN'!F167*'TS-PILE'!$D$88/SUMSQ('TS-PILE'!$D$72:$D$91))),IF('TS-PILE'!$B$89="",-1E+99,'TO HOP NLAN'!D167/ncoc+IF(SUMSQ('TS-PILE'!$E$72:$E$91)=0,0,'TO HOP NLAN'!E167*'TS-PILE'!$E$89/SUMSQ('TS-PILE'!$E$72:$E$91))+IF(SUMSQ('TS-PILE'!$D$72:$D$91)=0,0,'TO HOP NLAN'!F167*'TS-PILE'!$D$89/SUMSQ('TS-PILE'!$D$72:$D$91))),IF('TS-PILE'!$B$90="",-1E+99,'TO HOP NLAN'!D167/ncoc+IF(SUMSQ('TS-PILE'!$E$72:$E$91)=0,0,'TO HOP NLAN'!E167*'TS-PILE'!$E$90/SUMSQ('TS-PILE'!$E$72:$E$91))+IF(SUMSQ('TS-PILE'!$D$72:$D$91)=0,0,'TO HOP NLAN'!F167*'TS-PILE'!$D$90/SUMSQ('TS-PILE'!$D$72:$D$91))),IF('TS-PILE'!$B$91="",-1E+99,'TO HOP NLAN'!D167/ncoc+IF(SUMSQ('TS-PILE'!$E$72:$E$91)=0,0,'TO HOP NLAN'!E167*'TS-PILE'!$E$91/SUMSQ('TS-PILE'!$E$72:$E$91))+IF(SUMSQ('TS-PILE'!$D$72:$D$91)=0,0,'TO HOP NLAN'!F167*'TS-PILE'!$D$91/SUMSQ('TS-PILE'!$D$72:$D$91)))))</f>
        <v>0</v>
      </c>
      <c r="D167" s="58">
        <f>IF(A167="",0,MIN(IF('TS-PILE'!$B$72="",1E+99,'TO HOP NLAN'!D167/ncoc+IF(SUMSQ('TS-PILE'!$E$72:$E$91)=0,0,'TO HOP NLAN'!E167*'TS-PILE'!$E$72/SUMSQ('TS-PILE'!$E$72:$E$91))+IF(SUMSQ('TS-PILE'!$D$72:$D$91)=0,0,'TO HOP NLAN'!F167*'TS-PILE'!$D$72/SUMSQ('TS-PILE'!$D$72:$D$91))),IF('TS-PILE'!$B$73="",1E+99,'TO HOP NLAN'!D167/ncoc+IF(SUMSQ('TS-PILE'!$E$72:$E$91)=0,0,'TO HOP NLAN'!E167*'TS-PILE'!$E$73/SUMSQ('TS-PILE'!$E$72:$E$91))+IF(SUMSQ('TS-PILE'!$D$72:$D$91)=0,0,'TO HOP NLAN'!F167*'TS-PILE'!$D$73/SUMSQ('TS-PILE'!$D$72:$D$91))),IF('TS-PILE'!$B$74="",1E+99,'TO HOP NLAN'!D167/ncoc+IF(SUMSQ('TS-PILE'!$E$72:$E$91)=0,0,'TO HOP NLAN'!E167*'TS-PILE'!$E$74/SUMSQ('TS-PILE'!$E$72:$E$91))+IF(SUMSQ('TS-PILE'!$D$72:$D$91)=0,0,'TO HOP NLAN'!F167*'TS-PILE'!$D$74/SUMSQ('TS-PILE'!$D$72:$D$91))),IF('TS-PILE'!$B$75="",1E+99,'TO HOP NLAN'!D167/ncoc+IF(SUMSQ('TS-PILE'!$E$72:$E$91)=0,0,'TO HOP NLAN'!E167*'TS-PILE'!$E$75/SUMSQ('TS-PILE'!$E$72:$E$91))+IF(SUMSQ('TS-PILE'!$D$72:$D$91)=0,0,'TO HOP NLAN'!F167*'TS-PILE'!$D$75/SUMSQ('TS-PILE'!$D$72:$D$91))),IF('TS-PILE'!$B$76="",1E+99,'TO HOP NLAN'!D167/ncoc+IF(SUMSQ('TS-PILE'!$E$72:$E$91)=0,0,'TO HOP NLAN'!E167*'TS-PILE'!$E$76/SUMSQ('TS-PILE'!$E$72:$E$91))+IF(SUMSQ('TS-PILE'!$D$72:$D$91)=0,0,'TO HOP NLAN'!F167*'TS-PILE'!$D$76/SUMSQ('TS-PILE'!$D$72:$D$91))),IF('TS-PILE'!$B$77="",1E+99,'TO HOP NLAN'!D167/ncoc+IF(SUMSQ('TS-PILE'!$E$72:$E$91)=0,0,'TO HOP NLAN'!E167*'TS-PILE'!$E$77/SUMSQ('TS-PILE'!$E$72:$E$91))+IF(SUMSQ('TS-PILE'!$D$72:$D$91)=0,0,'TO HOP NLAN'!F167*'TS-PILE'!$D$77/SUMSQ('TS-PILE'!$D$72:$D$91))),IF('TS-PILE'!$B$78="",1E+99,'TO HOP NLAN'!D167/ncoc+IF(SUMSQ('TS-PILE'!$E$72:$E$91)=0,0,'TO HOP NLAN'!E167*'TS-PILE'!$E$78/SUMSQ('TS-PILE'!$E$72:$E$91))+IF(SUMSQ('TS-PILE'!$D$72:$D$91)=0,0,'TO HOP NLAN'!F167*'TS-PILE'!$D$78/SUMSQ('TS-PILE'!$D$72:$D$91))),IF('TS-PILE'!$B$79="",1E+99,'TO HOP NLAN'!D167/ncoc+IF(SUMSQ('TS-PILE'!$E$72:$E$91)=0,0,'TO HOP NLAN'!E167*'TS-PILE'!$E$79/SUMSQ('TS-PILE'!$E$72:$E$91))+IF(SUMSQ('TS-PILE'!$D$72:$D$91)=0,0,'TO HOP NLAN'!F167*'TS-PILE'!$D$79/SUMSQ('TS-PILE'!$D$72:$D$91))),IF('TS-PILE'!$B$80="",1E+99,'TO HOP NLAN'!D167/ncoc+IF(SUMSQ('TS-PILE'!$E$72:$E$91)=0,0,'TO HOP NLAN'!E167*'TS-PILE'!$E$80/SUMSQ('TS-PILE'!$E$72:$E$91))+IF(SUMSQ('TS-PILE'!$D$72:$D$91)=0,0,'TO HOP NLAN'!F167*'TS-PILE'!$D$80/SUMSQ('TS-PILE'!$D$72:$D$91))),IF('TS-PILE'!$B$81="",1E+99,'TO HOP NLAN'!D167/ncoc+IF(SUMSQ('TS-PILE'!$E$72:$E$91)=0,0,'TO HOP NLAN'!E167*'TS-PILE'!$E$81/SUMSQ('TS-PILE'!$E$72:$E$91))+IF(SUMSQ('TS-PILE'!$D$72:$D$91)=0,0,'TO HOP NLAN'!F167*'TS-PILE'!$D$81/SUMSQ('TS-PILE'!$D$72:$D$91))),IF('TS-PILE'!$B$82="",1E+99,'TO HOP NLAN'!D167/ncoc+IF(SUMSQ('TS-PILE'!$E$72:$E$91)=0,0,'TO HOP NLAN'!E167*'TS-PILE'!$E$82/SUMSQ('TS-PILE'!$E$72:$E$91))+IF(SUMSQ('TS-PILE'!$D$72:$D$91)=0,0,'TO HOP NLAN'!F167*'TS-PILE'!$D$82/SUMSQ('TS-PILE'!$D$72:$D$91))),IF('TS-PILE'!$B$83="",1E+99,'TO HOP NLAN'!D167/ncoc+IF(SUMSQ('TS-PILE'!$E$72:$E$91)=0,0,'TO HOP NLAN'!E167*'TS-PILE'!$E$83/SUMSQ('TS-PILE'!$E$72:$E$91))+IF(SUMSQ('TS-PILE'!$D$72:$D$91)=0,0,'TO HOP NLAN'!F167*'TS-PILE'!$D$83/SUMSQ('TS-PILE'!$D$72:$D$91))),IF('TS-PILE'!$B$84="",1E+99,'TO HOP NLAN'!D167/ncoc+IF(SUMSQ('TS-PILE'!$E$72:$E$91)=0,0,'TO HOP NLAN'!E167*'TS-PILE'!$E$84/SUMSQ('TS-PILE'!$E$72:$E$91))+IF(SUMSQ('TS-PILE'!$D$72:$D$91)=0,0,'TO HOP NLAN'!F167*'TS-PILE'!$D$84/SUMSQ('TS-PILE'!$D$72:$D$91))),IF('TS-PILE'!$B$85="",1E+99,'TO HOP NLAN'!D167/ncoc+IF(SUMSQ('TS-PILE'!$E$72:$E$91)=0,0,'TO HOP NLAN'!E167*'TS-PILE'!$E$85/SUMSQ('TS-PILE'!$E$72:$E$91))+IF(SUMSQ('TS-PILE'!$D$72:$D$91)=0,0,'TO HOP NLAN'!F167*'TS-PILE'!$D$85/SUMSQ('TS-PILE'!$D$72:$D$91))),IF('TS-PILE'!$B$86="",1E+99,'TO HOP NLAN'!D167/ncoc+IF(SUMSQ('TS-PILE'!$E$72:$E$91)=0,0,'TO HOP NLAN'!E167*'TS-PILE'!$E$86/SUMSQ('TS-PILE'!$E$72:$E$91))+IF(SUMSQ('TS-PILE'!$D$72:$D$91)=0,0,'TO HOP NLAN'!F167*'TS-PILE'!$D$86/SUMSQ('TS-PILE'!$D$72:$D$91))),IF('TS-PILE'!$B$87="",1E+99,'TO HOP NLAN'!D167/ncoc+IF(SUMSQ('TS-PILE'!$E$72:$E$91)=0,0,'TO HOP NLAN'!E167*'TS-PILE'!$E$87/SUMSQ('TS-PILE'!$E$72:$E$91))+IF(SUMSQ('TS-PILE'!$D$72:$D$91)=0,0,'TO HOP NLAN'!F167*'TS-PILE'!$D$87/SUMSQ('TS-PILE'!$D$72:$D$91))),IF('TS-PILE'!$B$88="",1E+99,'TO HOP NLAN'!D167/ncoc+IF(SUMSQ('TS-PILE'!$E$72:$E$91)=0,0,'TO HOP NLAN'!E167*'TS-PILE'!$E$88/SUMSQ('TS-PILE'!$E$72:$E$91))+IF(SUMSQ('TS-PILE'!$D$72:$D$91)=0,0,'TO HOP NLAN'!F167*'TS-PILE'!$D$88/SUMSQ('TS-PILE'!$D$72:$D$91))),IF('TS-PILE'!$B$89="",1E+99,'TO HOP NLAN'!D167/ncoc+IF(SUMSQ('TS-PILE'!$E$72:$E$91)=0,0,'TO HOP NLAN'!E167*'TS-PILE'!$E$89/SUMSQ('TS-PILE'!$E$72:$E$91))+IF(SUMSQ('TS-PILE'!$D$72:$D$91)=0,0,'TO HOP NLAN'!F167*'TS-PILE'!$D$89/SUMSQ('TS-PILE'!$D$72:$D$91))),IF('TS-PILE'!$B$90="",1E+99,'TO HOP NLAN'!D167/ncoc+IF(SUMSQ('TS-PILE'!$E$72:$E$91)=0,0,'TO HOP NLAN'!E167*'TS-PILE'!$E$90/SUMSQ('TS-PILE'!$E$72:$E$91))+IF(SUMSQ('TS-PILE'!$D$72:$D$91)=0,0,'TO HOP NLAN'!F167*'TS-PILE'!$D$90/SUMSQ('TS-PILE'!$D$72:$D$91))),IF('TS-PILE'!$B$91="",1E+99,'TO HOP NLAN'!D167/ncoc+IF(SUMSQ('TS-PILE'!$E$72:$E$91)=0,0,'TO HOP NLAN'!E167*'TS-PILE'!$E$91/SUMSQ('TS-PILE'!$E$72:$E$91))+IF(SUMSQ('TS-PILE'!$D$72:$D$91)=0,0,'TO HOP NLAN'!F167*'TS-PILE'!$D$91/SUMSQ('TS-PILE'!$D$72:$D$91)))))</f>
        <v>0</v>
      </c>
      <c r="E167" s="58">
        <f t="shared" si="8"/>
        <v>-9.9999999999999997E+98</v>
      </c>
      <c r="F167" s="58">
        <f t="shared" si="9"/>
        <v>9.9999999999999997E+98</v>
      </c>
      <c r="G167" s="58">
        <f t="shared" si="10"/>
        <v>-9.9999999999999997E+98</v>
      </c>
      <c r="H167" s="58">
        <f t="shared" si="11"/>
        <v>9.9999999999999997E+98</v>
      </c>
    </row>
    <row r="168" spans="1:8" x14ac:dyDescent="0.3">
      <c r="A168" s="42" t="str">
        <f>'TO HOP NLAN'!A168</f>
        <v/>
      </c>
      <c r="B168" s="42" t="str">
        <f>'TO HOP NLAN'!L168</f>
        <v>STRENGTH</v>
      </c>
      <c r="C168" s="58">
        <f>IF(A168="",0,MAX(IF('TS-PILE'!$B$72="",-1E+99,'TO HOP NLAN'!D168/ncoc+IF(SUMSQ('TS-PILE'!$E$72:$E$91)=0,0,'TO HOP NLAN'!E168*'TS-PILE'!$E$72/SUMSQ('TS-PILE'!$E$72:$E$91))+IF(SUMSQ('TS-PILE'!$D$72:$D$91)=0,0,'TO HOP NLAN'!F168*'TS-PILE'!$D$72/SUMSQ('TS-PILE'!$D$72:$D$91))),IF('TS-PILE'!$B$73="",-1E+99,'TO HOP NLAN'!D168/ncoc+IF(SUMSQ('TS-PILE'!$E$72:$E$91)=0,0,'TO HOP NLAN'!E168*'TS-PILE'!$E$73/SUMSQ('TS-PILE'!$E$72:$E$91))+IF(SUMSQ('TS-PILE'!$D$72:$D$91)=0,0,'TO HOP NLAN'!F168*'TS-PILE'!$D$73/SUMSQ('TS-PILE'!$D$72:$D$91))),IF('TS-PILE'!$B$74="",-1E+99,'TO HOP NLAN'!D168/ncoc+IF(SUMSQ('TS-PILE'!$E$72:$E$91)=0,0,'TO HOP NLAN'!E168*'TS-PILE'!$E$74/SUMSQ('TS-PILE'!$E$72:$E$91))+IF(SUMSQ('TS-PILE'!$D$72:$D$91)=0,0,'TO HOP NLAN'!F168*'TS-PILE'!$D$74/SUMSQ('TS-PILE'!$D$72:$D$91))),IF('TS-PILE'!$B$75="",-1E+99,'TO HOP NLAN'!D168/ncoc+IF(SUMSQ('TS-PILE'!$E$72:$E$91)=0,0,'TO HOP NLAN'!E168*'TS-PILE'!$E$75/SUMSQ('TS-PILE'!$E$72:$E$91))+IF(SUMSQ('TS-PILE'!$D$72:$D$91)=0,0,'TO HOP NLAN'!F168*'TS-PILE'!$D$75/SUMSQ('TS-PILE'!$D$72:$D$91))),IF('TS-PILE'!$B$76="",-1E+99,'TO HOP NLAN'!D168/ncoc+IF(SUMSQ('TS-PILE'!$E$72:$E$91)=0,0,'TO HOP NLAN'!E168*'TS-PILE'!$E$76/SUMSQ('TS-PILE'!$E$72:$E$91))+IF(SUMSQ('TS-PILE'!$D$72:$D$91)=0,0,'TO HOP NLAN'!F168*'TS-PILE'!$D$76/SUMSQ('TS-PILE'!$D$72:$D$91))),IF('TS-PILE'!$B$77="",-1E+99,'TO HOP NLAN'!D168/ncoc+IF(SUMSQ('TS-PILE'!$E$72:$E$91)=0,0,'TO HOP NLAN'!E168*'TS-PILE'!$E$77/SUMSQ('TS-PILE'!$E$72:$E$91))+IF(SUMSQ('TS-PILE'!$D$72:$D$91)=0,0,'TO HOP NLAN'!F168*'TS-PILE'!$D$77/SUMSQ('TS-PILE'!$D$72:$D$91))),IF('TS-PILE'!$B$78="",-1E+99,'TO HOP NLAN'!D168/ncoc+IF(SUMSQ('TS-PILE'!$E$72:$E$91)=0,0,'TO HOP NLAN'!E168*'TS-PILE'!$E$78/SUMSQ('TS-PILE'!$E$72:$E$91))+IF(SUMSQ('TS-PILE'!$D$72:$D$91)=0,0,'TO HOP NLAN'!F168*'TS-PILE'!$D$78/SUMSQ('TS-PILE'!$D$72:$D$91))),IF('TS-PILE'!$B$79="",-1E+99,'TO HOP NLAN'!D168/ncoc+IF(SUMSQ('TS-PILE'!$E$72:$E$91)=0,0,'TO HOP NLAN'!E168*'TS-PILE'!$E$79/SUMSQ('TS-PILE'!$E$72:$E$91))+IF(SUMSQ('TS-PILE'!$D$72:$D$91)=0,0,'TO HOP NLAN'!F168*'TS-PILE'!$D$79/SUMSQ('TS-PILE'!$D$72:$D$91))),IF('TS-PILE'!$B$80="",-1E+99,'TO HOP NLAN'!D168/ncoc+IF(SUMSQ('TS-PILE'!$E$72:$E$91)=0,0,'TO HOP NLAN'!E168*'TS-PILE'!$E$80/SUMSQ('TS-PILE'!$E$72:$E$91))+IF(SUMSQ('TS-PILE'!$D$72:$D$91)=0,0,'TO HOP NLAN'!F168*'TS-PILE'!$D$80/SUMSQ('TS-PILE'!$D$72:$D$91))),IF('TS-PILE'!$B$81="",-1E+99,'TO HOP NLAN'!D168/ncoc+IF(SUMSQ('TS-PILE'!$E$72:$E$91)=0,0,'TO HOP NLAN'!E168*'TS-PILE'!$E$81/SUMSQ('TS-PILE'!$E$72:$E$91))+IF(SUMSQ('TS-PILE'!$D$72:$D$91)=0,0,'TO HOP NLAN'!F168*'TS-PILE'!$D$81/SUMSQ('TS-PILE'!$D$72:$D$91))),IF('TS-PILE'!$B$82="",-1E+99,'TO HOP NLAN'!D168/ncoc+IF(SUMSQ('TS-PILE'!$E$72:$E$91)=0,0,'TO HOP NLAN'!E168*'TS-PILE'!$E$82/SUMSQ('TS-PILE'!$E$72:$E$91))+IF(SUMSQ('TS-PILE'!$D$72:$D$91)=0,0,'TO HOP NLAN'!F168*'TS-PILE'!$D$82/SUMSQ('TS-PILE'!$D$72:$D$91))),IF('TS-PILE'!$B$83="",-1E+99,'TO HOP NLAN'!D168/ncoc+IF(SUMSQ('TS-PILE'!$E$72:$E$91)=0,0,'TO HOP NLAN'!E168*'TS-PILE'!$E$83/SUMSQ('TS-PILE'!$E$72:$E$91))+IF(SUMSQ('TS-PILE'!$D$72:$D$91)=0,0,'TO HOP NLAN'!F168*'TS-PILE'!$D$83/SUMSQ('TS-PILE'!$D$72:$D$91))),IF('TS-PILE'!$B$84="",-1E+99,'TO HOP NLAN'!D168/ncoc+IF(SUMSQ('TS-PILE'!$E$72:$E$91)=0,0,'TO HOP NLAN'!E168*'TS-PILE'!$E$84/SUMSQ('TS-PILE'!$E$72:$E$91))+IF(SUMSQ('TS-PILE'!$D$72:$D$91)=0,0,'TO HOP NLAN'!F168*'TS-PILE'!$D$84/SUMSQ('TS-PILE'!$D$72:$D$91))),IF('TS-PILE'!$B$85="",-1E+99,'TO HOP NLAN'!D168/ncoc+IF(SUMSQ('TS-PILE'!$E$72:$E$91)=0,0,'TO HOP NLAN'!E168*'TS-PILE'!$E$85/SUMSQ('TS-PILE'!$E$72:$E$91))+IF(SUMSQ('TS-PILE'!$D$72:$D$91)=0,0,'TO HOP NLAN'!F168*'TS-PILE'!$D$85/SUMSQ('TS-PILE'!$D$72:$D$91))),IF('TS-PILE'!$B$86="",-1E+99,'TO HOP NLAN'!D168/ncoc+IF(SUMSQ('TS-PILE'!$E$72:$E$91)=0,0,'TO HOP NLAN'!E168*'TS-PILE'!$E$86/SUMSQ('TS-PILE'!$E$72:$E$91))+IF(SUMSQ('TS-PILE'!$D$72:$D$91)=0,0,'TO HOP NLAN'!F168*'TS-PILE'!$D$86/SUMSQ('TS-PILE'!$D$72:$D$91))),IF('TS-PILE'!$B$87="",-1E+99,'TO HOP NLAN'!D168/ncoc+IF(SUMSQ('TS-PILE'!$E$72:$E$91)=0,0,'TO HOP NLAN'!E168*'TS-PILE'!$E$87/SUMSQ('TS-PILE'!$E$72:$E$91))+IF(SUMSQ('TS-PILE'!$D$72:$D$91)=0,0,'TO HOP NLAN'!F168*'TS-PILE'!$D$87/SUMSQ('TS-PILE'!$D$72:$D$91))),IF('TS-PILE'!$B$88="",-1E+99,'TO HOP NLAN'!D168/ncoc+IF(SUMSQ('TS-PILE'!$E$72:$E$91)=0,0,'TO HOP NLAN'!E168*'TS-PILE'!$E$88/SUMSQ('TS-PILE'!$E$72:$E$91))+IF(SUMSQ('TS-PILE'!$D$72:$D$91)=0,0,'TO HOP NLAN'!F168*'TS-PILE'!$D$88/SUMSQ('TS-PILE'!$D$72:$D$91))),IF('TS-PILE'!$B$89="",-1E+99,'TO HOP NLAN'!D168/ncoc+IF(SUMSQ('TS-PILE'!$E$72:$E$91)=0,0,'TO HOP NLAN'!E168*'TS-PILE'!$E$89/SUMSQ('TS-PILE'!$E$72:$E$91))+IF(SUMSQ('TS-PILE'!$D$72:$D$91)=0,0,'TO HOP NLAN'!F168*'TS-PILE'!$D$89/SUMSQ('TS-PILE'!$D$72:$D$91))),IF('TS-PILE'!$B$90="",-1E+99,'TO HOP NLAN'!D168/ncoc+IF(SUMSQ('TS-PILE'!$E$72:$E$91)=0,0,'TO HOP NLAN'!E168*'TS-PILE'!$E$90/SUMSQ('TS-PILE'!$E$72:$E$91))+IF(SUMSQ('TS-PILE'!$D$72:$D$91)=0,0,'TO HOP NLAN'!F168*'TS-PILE'!$D$90/SUMSQ('TS-PILE'!$D$72:$D$91))),IF('TS-PILE'!$B$91="",-1E+99,'TO HOP NLAN'!D168/ncoc+IF(SUMSQ('TS-PILE'!$E$72:$E$91)=0,0,'TO HOP NLAN'!E168*'TS-PILE'!$E$91/SUMSQ('TS-PILE'!$E$72:$E$91))+IF(SUMSQ('TS-PILE'!$D$72:$D$91)=0,0,'TO HOP NLAN'!F168*'TS-PILE'!$D$91/SUMSQ('TS-PILE'!$D$72:$D$91)))))</f>
        <v>0</v>
      </c>
      <c r="D168" s="58">
        <f>IF(A168="",0,MIN(IF('TS-PILE'!$B$72="",1E+99,'TO HOP NLAN'!D168/ncoc+IF(SUMSQ('TS-PILE'!$E$72:$E$91)=0,0,'TO HOP NLAN'!E168*'TS-PILE'!$E$72/SUMSQ('TS-PILE'!$E$72:$E$91))+IF(SUMSQ('TS-PILE'!$D$72:$D$91)=0,0,'TO HOP NLAN'!F168*'TS-PILE'!$D$72/SUMSQ('TS-PILE'!$D$72:$D$91))),IF('TS-PILE'!$B$73="",1E+99,'TO HOP NLAN'!D168/ncoc+IF(SUMSQ('TS-PILE'!$E$72:$E$91)=0,0,'TO HOP NLAN'!E168*'TS-PILE'!$E$73/SUMSQ('TS-PILE'!$E$72:$E$91))+IF(SUMSQ('TS-PILE'!$D$72:$D$91)=0,0,'TO HOP NLAN'!F168*'TS-PILE'!$D$73/SUMSQ('TS-PILE'!$D$72:$D$91))),IF('TS-PILE'!$B$74="",1E+99,'TO HOP NLAN'!D168/ncoc+IF(SUMSQ('TS-PILE'!$E$72:$E$91)=0,0,'TO HOP NLAN'!E168*'TS-PILE'!$E$74/SUMSQ('TS-PILE'!$E$72:$E$91))+IF(SUMSQ('TS-PILE'!$D$72:$D$91)=0,0,'TO HOP NLAN'!F168*'TS-PILE'!$D$74/SUMSQ('TS-PILE'!$D$72:$D$91))),IF('TS-PILE'!$B$75="",1E+99,'TO HOP NLAN'!D168/ncoc+IF(SUMSQ('TS-PILE'!$E$72:$E$91)=0,0,'TO HOP NLAN'!E168*'TS-PILE'!$E$75/SUMSQ('TS-PILE'!$E$72:$E$91))+IF(SUMSQ('TS-PILE'!$D$72:$D$91)=0,0,'TO HOP NLAN'!F168*'TS-PILE'!$D$75/SUMSQ('TS-PILE'!$D$72:$D$91))),IF('TS-PILE'!$B$76="",1E+99,'TO HOP NLAN'!D168/ncoc+IF(SUMSQ('TS-PILE'!$E$72:$E$91)=0,0,'TO HOP NLAN'!E168*'TS-PILE'!$E$76/SUMSQ('TS-PILE'!$E$72:$E$91))+IF(SUMSQ('TS-PILE'!$D$72:$D$91)=0,0,'TO HOP NLAN'!F168*'TS-PILE'!$D$76/SUMSQ('TS-PILE'!$D$72:$D$91))),IF('TS-PILE'!$B$77="",1E+99,'TO HOP NLAN'!D168/ncoc+IF(SUMSQ('TS-PILE'!$E$72:$E$91)=0,0,'TO HOP NLAN'!E168*'TS-PILE'!$E$77/SUMSQ('TS-PILE'!$E$72:$E$91))+IF(SUMSQ('TS-PILE'!$D$72:$D$91)=0,0,'TO HOP NLAN'!F168*'TS-PILE'!$D$77/SUMSQ('TS-PILE'!$D$72:$D$91))),IF('TS-PILE'!$B$78="",1E+99,'TO HOP NLAN'!D168/ncoc+IF(SUMSQ('TS-PILE'!$E$72:$E$91)=0,0,'TO HOP NLAN'!E168*'TS-PILE'!$E$78/SUMSQ('TS-PILE'!$E$72:$E$91))+IF(SUMSQ('TS-PILE'!$D$72:$D$91)=0,0,'TO HOP NLAN'!F168*'TS-PILE'!$D$78/SUMSQ('TS-PILE'!$D$72:$D$91))),IF('TS-PILE'!$B$79="",1E+99,'TO HOP NLAN'!D168/ncoc+IF(SUMSQ('TS-PILE'!$E$72:$E$91)=0,0,'TO HOP NLAN'!E168*'TS-PILE'!$E$79/SUMSQ('TS-PILE'!$E$72:$E$91))+IF(SUMSQ('TS-PILE'!$D$72:$D$91)=0,0,'TO HOP NLAN'!F168*'TS-PILE'!$D$79/SUMSQ('TS-PILE'!$D$72:$D$91))),IF('TS-PILE'!$B$80="",1E+99,'TO HOP NLAN'!D168/ncoc+IF(SUMSQ('TS-PILE'!$E$72:$E$91)=0,0,'TO HOP NLAN'!E168*'TS-PILE'!$E$80/SUMSQ('TS-PILE'!$E$72:$E$91))+IF(SUMSQ('TS-PILE'!$D$72:$D$91)=0,0,'TO HOP NLAN'!F168*'TS-PILE'!$D$80/SUMSQ('TS-PILE'!$D$72:$D$91))),IF('TS-PILE'!$B$81="",1E+99,'TO HOP NLAN'!D168/ncoc+IF(SUMSQ('TS-PILE'!$E$72:$E$91)=0,0,'TO HOP NLAN'!E168*'TS-PILE'!$E$81/SUMSQ('TS-PILE'!$E$72:$E$91))+IF(SUMSQ('TS-PILE'!$D$72:$D$91)=0,0,'TO HOP NLAN'!F168*'TS-PILE'!$D$81/SUMSQ('TS-PILE'!$D$72:$D$91))),IF('TS-PILE'!$B$82="",1E+99,'TO HOP NLAN'!D168/ncoc+IF(SUMSQ('TS-PILE'!$E$72:$E$91)=0,0,'TO HOP NLAN'!E168*'TS-PILE'!$E$82/SUMSQ('TS-PILE'!$E$72:$E$91))+IF(SUMSQ('TS-PILE'!$D$72:$D$91)=0,0,'TO HOP NLAN'!F168*'TS-PILE'!$D$82/SUMSQ('TS-PILE'!$D$72:$D$91))),IF('TS-PILE'!$B$83="",1E+99,'TO HOP NLAN'!D168/ncoc+IF(SUMSQ('TS-PILE'!$E$72:$E$91)=0,0,'TO HOP NLAN'!E168*'TS-PILE'!$E$83/SUMSQ('TS-PILE'!$E$72:$E$91))+IF(SUMSQ('TS-PILE'!$D$72:$D$91)=0,0,'TO HOP NLAN'!F168*'TS-PILE'!$D$83/SUMSQ('TS-PILE'!$D$72:$D$91))),IF('TS-PILE'!$B$84="",1E+99,'TO HOP NLAN'!D168/ncoc+IF(SUMSQ('TS-PILE'!$E$72:$E$91)=0,0,'TO HOP NLAN'!E168*'TS-PILE'!$E$84/SUMSQ('TS-PILE'!$E$72:$E$91))+IF(SUMSQ('TS-PILE'!$D$72:$D$91)=0,0,'TO HOP NLAN'!F168*'TS-PILE'!$D$84/SUMSQ('TS-PILE'!$D$72:$D$91))),IF('TS-PILE'!$B$85="",1E+99,'TO HOP NLAN'!D168/ncoc+IF(SUMSQ('TS-PILE'!$E$72:$E$91)=0,0,'TO HOP NLAN'!E168*'TS-PILE'!$E$85/SUMSQ('TS-PILE'!$E$72:$E$91))+IF(SUMSQ('TS-PILE'!$D$72:$D$91)=0,0,'TO HOP NLAN'!F168*'TS-PILE'!$D$85/SUMSQ('TS-PILE'!$D$72:$D$91))),IF('TS-PILE'!$B$86="",1E+99,'TO HOP NLAN'!D168/ncoc+IF(SUMSQ('TS-PILE'!$E$72:$E$91)=0,0,'TO HOP NLAN'!E168*'TS-PILE'!$E$86/SUMSQ('TS-PILE'!$E$72:$E$91))+IF(SUMSQ('TS-PILE'!$D$72:$D$91)=0,0,'TO HOP NLAN'!F168*'TS-PILE'!$D$86/SUMSQ('TS-PILE'!$D$72:$D$91))),IF('TS-PILE'!$B$87="",1E+99,'TO HOP NLAN'!D168/ncoc+IF(SUMSQ('TS-PILE'!$E$72:$E$91)=0,0,'TO HOP NLAN'!E168*'TS-PILE'!$E$87/SUMSQ('TS-PILE'!$E$72:$E$91))+IF(SUMSQ('TS-PILE'!$D$72:$D$91)=0,0,'TO HOP NLAN'!F168*'TS-PILE'!$D$87/SUMSQ('TS-PILE'!$D$72:$D$91))),IF('TS-PILE'!$B$88="",1E+99,'TO HOP NLAN'!D168/ncoc+IF(SUMSQ('TS-PILE'!$E$72:$E$91)=0,0,'TO HOP NLAN'!E168*'TS-PILE'!$E$88/SUMSQ('TS-PILE'!$E$72:$E$91))+IF(SUMSQ('TS-PILE'!$D$72:$D$91)=0,0,'TO HOP NLAN'!F168*'TS-PILE'!$D$88/SUMSQ('TS-PILE'!$D$72:$D$91))),IF('TS-PILE'!$B$89="",1E+99,'TO HOP NLAN'!D168/ncoc+IF(SUMSQ('TS-PILE'!$E$72:$E$91)=0,0,'TO HOP NLAN'!E168*'TS-PILE'!$E$89/SUMSQ('TS-PILE'!$E$72:$E$91))+IF(SUMSQ('TS-PILE'!$D$72:$D$91)=0,0,'TO HOP NLAN'!F168*'TS-PILE'!$D$89/SUMSQ('TS-PILE'!$D$72:$D$91))),IF('TS-PILE'!$B$90="",1E+99,'TO HOP NLAN'!D168/ncoc+IF(SUMSQ('TS-PILE'!$E$72:$E$91)=0,0,'TO HOP NLAN'!E168*'TS-PILE'!$E$90/SUMSQ('TS-PILE'!$E$72:$E$91))+IF(SUMSQ('TS-PILE'!$D$72:$D$91)=0,0,'TO HOP NLAN'!F168*'TS-PILE'!$D$90/SUMSQ('TS-PILE'!$D$72:$D$91))),IF('TS-PILE'!$B$91="",1E+99,'TO HOP NLAN'!D168/ncoc+IF(SUMSQ('TS-PILE'!$E$72:$E$91)=0,0,'TO HOP NLAN'!E168*'TS-PILE'!$E$91/SUMSQ('TS-PILE'!$E$72:$E$91))+IF(SUMSQ('TS-PILE'!$D$72:$D$91)=0,0,'TO HOP NLAN'!F168*'TS-PILE'!$D$91/SUMSQ('TS-PILE'!$D$72:$D$91)))))</f>
        <v>0</v>
      </c>
      <c r="E168" s="58">
        <f t="shared" si="8"/>
        <v>-9.9999999999999997E+98</v>
      </c>
      <c r="F168" s="58">
        <f t="shared" si="9"/>
        <v>9.9999999999999997E+98</v>
      </c>
      <c r="G168" s="58">
        <f t="shared" si="10"/>
        <v>-9.9999999999999997E+98</v>
      </c>
      <c r="H168" s="58">
        <f t="shared" si="11"/>
        <v>9.9999999999999997E+98</v>
      </c>
    </row>
    <row r="169" spans="1:8" x14ac:dyDescent="0.3">
      <c r="A169" s="42" t="str">
        <f>'TO HOP NLAN'!A169</f>
        <v/>
      </c>
      <c r="B169" s="42" t="str">
        <f>'TO HOP NLAN'!L169</f>
        <v>STRENGTH</v>
      </c>
      <c r="C169" s="58">
        <f>IF(A169="",0,MAX(IF('TS-PILE'!$B$72="",-1E+99,'TO HOP NLAN'!D169/ncoc+IF(SUMSQ('TS-PILE'!$E$72:$E$91)=0,0,'TO HOP NLAN'!E169*'TS-PILE'!$E$72/SUMSQ('TS-PILE'!$E$72:$E$91))+IF(SUMSQ('TS-PILE'!$D$72:$D$91)=0,0,'TO HOP NLAN'!F169*'TS-PILE'!$D$72/SUMSQ('TS-PILE'!$D$72:$D$91))),IF('TS-PILE'!$B$73="",-1E+99,'TO HOP NLAN'!D169/ncoc+IF(SUMSQ('TS-PILE'!$E$72:$E$91)=0,0,'TO HOP NLAN'!E169*'TS-PILE'!$E$73/SUMSQ('TS-PILE'!$E$72:$E$91))+IF(SUMSQ('TS-PILE'!$D$72:$D$91)=0,0,'TO HOP NLAN'!F169*'TS-PILE'!$D$73/SUMSQ('TS-PILE'!$D$72:$D$91))),IF('TS-PILE'!$B$74="",-1E+99,'TO HOP NLAN'!D169/ncoc+IF(SUMSQ('TS-PILE'!$E$72:$E$91)=0,0,'TO HOP NLAN'!E169*'TS-PILE'!$E$74/SUMSQ('TS-PILE'!$E$72:$E$91))+IF(SUMSQ('TS-PILE'!$D$72:$D$91)=0,0,'TO HOP NLAN'!F169*'TS-PILE'!$D$74/SUMSQ('TS-PILE'!$D$72:$D$91))),IF('TS-PILE'!$B$75="",-1E+99,'TO HOP NLAN'!D169/ncoc+IF(SUMSQ('TS-PILE'!$E$72:$E$91)=0,0,'TO HOP NLAN'!E169*'TS-PILE'!$E$75/SUMSQ('TS-PILE'!$E$72:$E$91))+IF(SUMSQ('TS-PILE'!$D$72:$D$91)=0,0,'TO HOP NLAN'!F169*'TS-PILE'!$D$75/SUMSQ('TS-PILE'!$D$72:$D$91))),IF('TS-PILE'!$B$76="",-1E+99,'TO HOP NLAN'!D169/ncoc+IF(SUMSQ('TS-PILE'!$E$72:$E$91)=0,0,'TO HOP NLAN'!E169*'TS-PILE'!$E$76/SUMSQ('TS-PILE'!$E$72:$E$91))+IF(SUMSQ('TS-PILE'!$D$72:$D$91)=0,0,'TO HOP NLAN'!F169*'TS-PILE'!$D$76/SUMSQ('TS-PILE'!$D$72:$D$91))),IF('TS-PILE'!$B$77="",-1E+99,'TO HOP NLAN'!D169/ncoc+IF(SUMSQ('TS-PILE'!$E$72:$E$91)=0,0,'TO HOP NLAN'!E169*'TS-PILE'!$E$77/SUMSQ('TS-PILE'!$E$72:$E$91))+IF(SUMSQ('TS-PILE'!$D$72:$D$91)=0,0,'TO HOP NLAN'!F169*'TS-PILE'!$D$77/SUMSQ('TS-PILE'!$D$72:$D$91))),IF('TS-PILE'!$B$78="",-1E+99,'TO HOP NLAN'!D169/ncoc+IF(SUMSQ('TS-PILE'!$E$72:$E$91)=0,0,'TO HOP NLAN'!E169*'TS-PILE'!$E$78/SUMSQ('TS-PILE'!$E$72:$E$91))+IF(SUMSQ('TS-PILE'!$D$72:$D$91)=0,0,'TO HOP NLAN'!F169*'TS-PILE'!$D$78/SUMSQ('TS-PILE'!$D$72:$D$91))),IF('TS-PILE'!$B$79="",-1E+99,'TO HOP NLAN'!D169/ncoc+IF(SUMSQ('TS-PILE'!$E$72:$E$91)=0,0,'TO HOP NLAN'!E169*'TS-PILE'!$E$79/SUMSQ('TS-PILE'!$E$72:$E$91))+IF(SUMSQ('TS-PILE'!$D$72:$D$91)=0,0,'TO HOP NLAN'!F169*'TS-PILE'!$D$79/SUMSQ('TS-PILE'!$D$72:$D$91))),IF('TS-PILE'!$B$80="",-1E+99,'TO HOP NLAN'!D169/ncoc+IF(SUMSQ('TS-PILE'!$E$72:$E$91)=0,0,'TO HOP NLAN'!E169*'TS-PILE'!$E$80/SUMSQ('TS-PILE'!$E$72:$E$91))+IF(SUMSQ('TS-PILE'!$D$72:$D$91)=0,0,'TO HOP NLAN'!F169*'TS-PILE'!$D$80/SUMSQ('TS-PILE'!$D$72:$D$91))),IF('TS-PILE'!$B$81="",-1E+99,'TO HOP NLAN'!D169/ncoc+IF(SUMSQ('TS-PILE'!$E$72:$E$91)=0,0,'TO HOP NLAN'!E169*'TS-PILE'!$E$81/SUMSQ('TS-PILE'!$E$72:$E$91))+IF(SUMSQ('TS-PILE'!$D$72:$D$91)=0,0,'TO HOP NLAN'!F169*'TS-PILE'!$D$81/SUMSQ('TS-PILE'!$D$72:$D$91))),IF('TS-PILE'!$B$82="",-1E+99,'TO HOP NLAN'!D169/ncoc+IF(SUMSQ('TS-PILE'!$E$72:$E$91)=0,0,'TO HOP NLAN'!E169*'TS-PILE'!$E$82/SUMSQ('TS-PILE'!$E$72:$E$91))+IF(SUMSQ('TS-PILE'!$D$72:$D$91)=0,0,'TO HOP NLAN'!F169*'TS-PILE'!$D$82/SUMSQ('TS-PILE'!$D$72:$D$91))),IF('TS-PILE'!$B$83="",-1E+99,'TO HOP NLAN'!D169/ncoc+IF(SUMSQ('TS-PILE'!$E$72:$E$91)=0,0,'TO HOP NLAN'!E169*'TS-PILE'!$E$83/SUMSQ('TS-PILE'!$E$72:$E$91))+IF(SUMSQ('TS-PILE'!$D$72:$D$91)=0,0,'TO HOP NLAN'!F169*'TS-PILE'!$D$83/SUMSQ('TS-PILE'!$D$72:$D$91))),IF('TS-PILE'!$B$84="",-1E+99,'TO HOP NLAN'!D169/ncoc+IF(SUMSQ('TS-PILE'!$E$72:$E$91)=0,0,'TO HOP NLAN'!E169*'TS-PILE'!$E$84/SUMSQ('TS-PILE'!$E$72:$E$91))+IF(SUMSQ('TS-PILE'!$D$72:$D$91)=0,0,'TO HOP NLAN'!F169*'TS-PILE'!$D$84/SUMSQ('TS-PILE'!$D$72:$D$91))),IF('TS-PILE'!$B$85="",-1E+99,'TO HOP NLAN'!D169/ncoc+IF(SUMSQ('TS-PILE'!$E$72:$E$91)=0,0,'TO HOP NLAN'!E169*'TS-PILE'!$E$85/SUMSQ('TS-PILE'!$E$72:$E$91))+IF(SUMSQ('TS-PILE'!$D$72:$D$91)=0,0,'TO HOP NLAN'!F169*'TS-PILE'!$D$85/SUMSQ('TS-PILE'!$D$72:$D$91))),IF('TS-PILE'!$B$86="",-1E+99,'TO HOP NLAN'!D169/ncoc+IF(SUMSQ('TS-PILE'!$E$72:$E$91)=0,0,'TO HOP NLAN'!E169*'TS-PILE'!$E$86/SUMSQ('TS-PILE'!$E$72:$E$91))+IF(SUMSQ('TS-PILE'!$D$72:$D$91)=0,0,'TO HOP NLAN'!F169*'TS-PILE'!$D$86/SUMSQ('TS-PILE'!$D$72:$D$91))),IF('TS-PILE'!$B$87="",-1E+99,'TO HOP NLAN'!D169/ncoc+IF(SUMSQ('TS-PILE'!$E$72:$E$91)=0,0,'TO HOP NLAN'!E169*'TS-PILE'!$E$87/SUMSQ('TS-PILE'!$E$72:$E$91))+IF(SUMSQ('TS-PILE'!$D$72:$D$91)=0,0,'TO HOP NLAN'!F169*'TS-PILE'!$D$87/SUMSQ('TS-PILE'!$D$72:$D$91))),IF('TS-PILE'!$B$88="",-1E+99,'TO HOP NLAN'!D169/ncoc+IF(SUMSQ('TS-PILE'!$E$72:$E$91)=0,0,'TO HOP NLAN'!E169*'TS-PILE'!$E$88/SUMSQ('TS-PILE'!$E$72:$E$91))+IF(SUMSQ('TS-PILE'!$D$72:$D$91)=0,0,'TO HOP NLAN'!F169*'TS-PILE'!$D$88/SUMSQ('TS-PILE'!$D$72:$D$91))),IF('TS-PILE'!$B$89="",-1E+99,'TO HOP NLAN'!D169/ncoc+IF(SUMSQ('TS-PILE'!$E$72:$E$91)=0,0,'TO HOP NLAN'!E169*'TS-PILE'!$E$89/SUMSQ('TS-PILE'!$E$72:$E$91))+IF(SUMSQ('TS-PILE'!$D$72:$D$91)=0,0,'TO HOP NLAN'!F169*'TS-PILE'!$D$89/SUMSQ('TS-PILE'!$D$72:$D$91))),IF('TS-PILE'!$B$90="",-1E+99,'TO HOP NLAN'!D169/ncoc+IF(SUMSQ('TS-PILE'!$E$72:$E$91)=0,0,'TO HOP NLAN'!E169*'TS-PILE'!$E$90/SUMSQ('TS-PILE'!$E$72:$E$91))+IF(SUMSQ('TS-PILE'!$D$72:$D$91)=0,0,'TO HOP NLAN'!F169*'TS-PILE'!$D$90/SUMSQ('TS-PILE'!$D$72:$D$91))),IF('TS-PILE'!$B$91="",-1E+99,'TO HOP NLAN'!D169/ncoc+IF(SUMSQ('TS-PILE'!$E$72:$E$91)=0,0,'TO HOP NLAN'!E169*'TS-PILE'!$E$91/SUMSQ('TS-PILE'!$E$72:$E$91))+IF(SUMSQ('TS-PILE'!$D$72:$D$91)=0,0,'TO HOP NLAN'!F169*'TS-PILE'!$D$91/SUMSQ('TS-PILE'!$D$72:$D$91)))))</f>
        <v>0</v>
      </c>
      <c r="D169" s="58">
        <f>IF(A169="",0,MIN(IF('TS-PILE'!$B$72="",1E+99,'TO HOP NLAN'!D169/ncoc+IF(SUMSQ('TS-PILE'!$E$72:$E$91)=0,0,'TO HOP NLAN'!E169*'TS-PILE'!$E$72/SUMSQ('TS-PILE'!$E$72:$E$91))+IF(SUMSQ('TS-PILE'!$D$72:$D$91)=0,0,'TO HOP NLAN'!F169*'TS-PILE'!$D$72/SUMSQ('TS-PILE'!$D$72:$D$91))),IF('TS-PILE'!$B$73="",1E+99,'TO HOP NLAN'!D169/ncoc+IF(SUMSQ('TS-PILE'!$E$72:$E$91)=0,0,'TO HOP NLAN'!E169*'TS-PILE'!$E$73/SUMSQ('TS-PILE'!$E$72:$E$91))+IF(SUMSQ('TS-PILE'!$D$72:$D$91)=0,0,'TO HOP NLAN'!F169*'TS-PILE'!$D$73/SUMSQ('TS-PILE'!$D$72:$D$91))),IF('TS-PILE'!$B$74="",1E+99,'TO HOP NLAN'!D169/ncoc+IF(SUMSQ('TS-PILE'!$E$72:$E$91)=0,0,'TO HOP NLAN'!E169*'TS-PILE'!$E$74/SUMSQ('TS-PILE'!$E$72:$E$91))+IF(SUMSQ('TS-PILE'!$D$72:$D$91)=0,0,'TO HOP NLAN'!F169*'TS-PILE'!$D$74/SUMSQ('TS-PILE'!$D$72:$D$91))),IF('TS-PILE'!$B$75="",1E+99,'TO HOP NLAN'!D169/ncoc+IF(SUMSQ('TS-PILE'!$E$72:$E$91)=0,0,'TO HOP NLAN'!E169*'TS-PILE'!$E$75/SUMSQ('TS-PILE'!$E$72:$E$91))+IF(SUMSQ('TS-PILE'!$D$72:$D$91)=0,0,'TO HOP NLAN'!F169*'TS-PILE'!$D$75/SUMSQ('TS-PILE'!$D$72:$D$91))),IF('TS-PILE'!$B$76="",1E+99,'TO HOP NLAN'!D169/ncoc+IF(SUMSQ('TS-PILE'!$E$72:$E$91)=0,0,'TO HOP NLAN'!E169*'TS-PILE'!$E$76/SUMSQ('TS-PILE'!$E$72:$E$91))+IF(SUMSQ('TS-PILE'!$D$72:$D$91)=0,0,'TO HOP NLAN'!F169*'TS-PILE'!$D$76/SUMSQ('TS-PILE'!$D$72:$D$91))),IF('TS-PILE'!$B$77="",1E+99,'TO HOP NLAN'!D169/ncoc+IF(SUMSQ('TS-PILE'!$E$72:$E$91)=0,0,'TO HOP NLAN'!E169*'TS-PILE'!$E$77/SUMSQ('TS-PILE'!$E$72:$E$91))+IF(SUMSQ('TS-PILE'!$D$72:$D$91)=0,0,'TO HOP NLAN'!F169*'TS-PILE'!$D$77/SUMSQ('TS-PILE'!$D$72:$D$91))),IF('TS-PILE'!$B$78="",1E+99,'TO HOP NLAN'!D169/ncoc+IF(SUMSQ('TS-PILE'!$E$72:$E$91)=0,0,'TO HOP NLAN'!E169*'TS-PILE'!$E$78/SUMSQ('TS-PILE'!$E$72:$E$91))+IF(SUMSQ('TS-PILE'!$D$72:$D$91)=0,0,'TO HOP NLAN'!F169*'TS-PILE'!$D$78/SUMSQ('TS-PILE'!$D$72:$D$91))),IF('TS-PILE'!$B$79="",1E+99,'TO HOP NLAN'!D169/ncoc+IF(SUMSQ('TS-PILE'!$E$72:$E$91)=0,0,'TO HOP NLAN'!E169*'TS-PILE'!$E$79/SUMSQ('TS-PILE'!$E$72:$E$91))+IF(SUMSQ('TS-PILE'!$D$72:$D$91)=0,0,'TO HOP NLAN'!F169*'TS-PILE'!$D$79/SUMSQ('TS-PILE'!$D$72:$D$91))),IF('TS-PILE'!$B$80="",1E+99,'TO HOP NLAN'!D169/ncoc+IF(SUMSQ('TS-PILE'!$E$72:$E$91)=0,0,'TO HOP NLAN'!E169*'TS-PILE'!$E$80/SUMSQ('TS-PILE'!$E$72:$E$91))+IF(SUMSQ('TS-PILE'!$D$72:$D$91)=0,0,'TO HOP NLAN'!F169*'TS-PILE'!$D$80/SUMSQ('TS-PILE'!$D$72:$D$91))),IF('TS-PILE'!$B$81="",1E+99,'TO HOP NLAN'!D169/ncoc+IF(SUMSQ('TS-PILE'!$E$72:$E$91)=0,0,'TO HOP NLAN'!E169*'TS-PILE'!$E$81/SUMSQ('TS-PILE'!$E$72:$E$91))+IF(SUMSQ('TS-PILE'!$D$72:$D$91)=0,0,'TO HOP NLAN'!F169*'TS-PILE'!$D$81/SUMSQ('TS-PILE'!$D$72:$D$91))),IF('TS-PILE'!$B$82="",1E+99,'TO HOP NLAN'!D169/ncoc+IF(SUMSQ('TS-PILE'!$E$72:$E$91)=0,0,'TO HOP NLAN'!E169*'TS-PILE'!$E$82/SUMSQ('TS-PILE'!$E$72:$E$91))+IF(SUMSQ('TS-PILE'!$D$72:$D$91)=0,0,'TO HOP NLAN'!F169*'TS-PILE'!$D$82/SUMSQ('TS-PILE'!$D$72:$D$91))),IF('TS-PILE'!$B$83="",1E+99,'TO HOP NLAN'!D169/ncoc+IF(SUMSQ('TS-PILE'!$E$72:$E$91)=0,0,'TO HOP NLAN'!E169*'TS-PILE'!$E$83/SUMSQ('TS-PILE'!$E$72:$E$91))+IF(SUMSQ('TS-PILE'!$D$72:$D$91)=0,0,'TO HOP NLAN'!F169*'TS-PILE'!$D$83/SUMSQ('TS-PILE'!$D$72:$D$91))),IF('TS-PILE'!$B$84="",1E+99,'TO HOP NLAN'!D169/ncoc+IF(SUMSQ('TS-PILE'!$E$72:$E$91)=0,0,'TO HOP NLAN'!E169*'TS-PILE'!$E$84/SUMSQ('TS-PILE'!$E$72:$E$91))+IF(SUMSQ('TS-PILE'!$D$72:$D$91)=0,0,'TO HOP NLAN'!F169*'TS-PILE'!$D$84/SUMSQ('TS-PILE'!$D$72:$D$91))),IF('TS-PILE'!$B$85="",1E+99,'TO HOP NLAN'!D169/ncoc+IF(SUMSQ('TS-PILE'!$E$72:$E$91)=0,0,'TO HOP NLAN'!E169*'TS-PILE'!$E$85/SUMSQ('TS-PILE'!$E$72:$E$91))+IF(SUMSQ('TS-PILE'!$D$72:$D$91)=0,0,'TO HOP NLAN'!F169*'TS-PILE'!$D$85/SUMSQ('TS-PILE'!$D$72:$D$91))),IF('TS-PILE'!$B$86="",1E+99,'TO HOP NLAN'!D169/ncoc+IF(SUMSQ('TS-PILE'!$E$72:$E$91)=0,0,'TO HOP NLAN'!E169*'TS-PILE'!$E$86/SUMSQ('TS-PILE'!$E$72:$E$91))+IF(SUMSQ('TS-PILE'!$D$72:$D$91)=0,0,'TO HOP NLAN'!F169*'TS-PILE'!$D$86/SUMSQ('TS-PILE'!$D$72:$D$91))),IF('TS-PILE'!$B$87="",1E+99,'TO HOP NLAN'!D169/ncoc+IF(SUMSQ('TS-PILE'!$E$72:$E$91)=0,0,'TO HOP NLAN'!E169*'TS-PILE'!$E$87/SUMSQ('TS-PILE'!$E$72:$E$91))+IF(SUMSQ('TS-PILE'!$D$72:$D$91)=0,0,'TO HOP NLAN'!F169*'TS-PILE'!$D$87/SUMSQ('TS-PILE'!$D$72:$D$91))),IF('TS-PILE'!$B$88="",1E+99,'TO HOP NLAN'!D169/ncoc+IF(SUMSQ('TS-PILE'!$E$72:$E$91)=0,0,'TO HOP NLAN'!E169*'TS-PILE'!$E$88/SUMSQ('TS-PILE'!$E$72:$E$91))+IF(SUMSQ('TS-PILE'!$D$72:$D$91)=0,0,'TO HOP NLAN'!F169*'TS-PILE'!$D$88/SUMSQ('TS-PILE'!$D$72:$D$91))),IF('TS-PILE'!$B$89="",1E+99,'TO HOP NLAN'!D169/ncoc+IF(SUMSQ('TS-PILE'!$E$72:$E$91)=0,0,'TO HOP NLAN'!E169*'TS-PILE'!$E$89/SUMSQ('TS-PILE'!$E$72:$E$91))+IF(SUMSQ('TS-PILE'!$D$72:$D$91)=0,0,'TO HOP NLAN'!F169*'TS-PILE'!$D$89/SUMSQ('TS-PILE'!$D$72:$D$91))),IF('TS-PILE'!$B$90="",1E+99,'TO HOP NLAN'!D169/ncoc+IF(SUMSQ('TS-PILE'!$E$72:$E$91)=0,0,'TO HOP NLAN'!E169*'TS-PILE'!$E$90/SUMSQ('TS-PILE'!$E$72:$E$91))+IF(SUMSQ('TS-PILE'!$D$72:$D$91)=0,0,'TO HOP NLAN'!F169*'TS-PILE'!$D$90/SUMSQ('TS-PILE'!$D$72:$D$91))),IF('TS-PILE'!$B$91="",1E+99,'TO HOP NLAN'!D169/ncoc+IF(SUMSQ('TS-PILE'!$E$72:$E$91)=0,0,'TO HOP NLAN'!E169*'TS-PILE'!$E$91/SUMSQ('TS-PILE'!$E$72:$E$91))+IF(SUMSQ('TS-PILE'!$D$72:$D$91)=0,0,'TO HOP NLAN'!F169*'TS-PILE'!$D$91/SUMSQ('TS-PILE'!$D$72:$D$91)))))</f>
        <v>0</v>
      </c>
      <c r="E169" s="58">
        <f t="shared" si="8"/>
        <v>-9.9999999999999997E+98</v>
      </c>
      <c r="F169" s="58">
        <f t="shared" si="9"/>
        <v>9.9999999999999997E+98</v>
      </c>
      <c r="G169" s="58">
        <f t="shared" si="10"/>
        <v>-9.9999999999999997E+98</v>
      </c>
      <c r="H169" s="58">
        <f t="shared" si="11"/>
        <v>9.9999999999999997E+98</v>
      </c>
    </row>
    <row r="170" spans="1:8" x14ac:dyDescent="0.3">
      <c r="A170" s="42" t="str">
        <f>'TO HOP NLAN'!A170</f>
        <v/>
      </c>
      <c r="B170" s="42" t="str">
        <f>'TO HOP NLAN'!L170</f>
        <v>STRENGTH</v>
      </c>
      <c r="C170" s="58">
        <f>IF(A170="",0,MAX(IF('TS-PILE'!$B$72="",-1E+99,'TO HOP NLAN'!D170/ncoc+IF(SUMSQ('TS-PILE'!$E$72:$E$91)=0,0,'TO HOP NLAN'!E170*'TS-PILE'!$E$72/SUMSQ('TS-PILE'!$E$72:$E$91))+IF(SUMSQ('TS-PILE'!$D$72:$D$91)=0,0,'TO HOP NLAN'!F170*'TS-PILE'!$D$72/SUMSQ('TS-PILE'!$D$72:$D$91))),IF('TS-PILE'!$B$73="",-1E+99,'TO HOP NLAN'!D170/ncoc+IF(SUMSQ('TS-PILE'!$E$72:$E$91)=0,0,'TO HOP NLAN'!E170*'TS-PILE'!$E$73/SUMSQ('TS-PILE'!$E$72:$E$91))+IF(SUMSQ('TS-PILE'!$D$72:$D$91)=0,0,'TO HOP NLAN'!F170*'TS-PILE'!$D$73/SUMSQ('TS-PILE'!$D$72:$D$91))),IF('TS-PILE'!$B$74="",-1E+99,'TO HOP NLAN'!D170/ncoc+IF(SUMSQ('TS-PILE'!$E$72:$E$91)=0,0,'TO HOP NLAN'!E170*'TS-PILE'!$E$74/SUMSQ('TS-PILE'!$E$72:$E$91))+IF(SUMSQ('TS-PILE'!$D$72:$D$91)=0,0,'TO HOP NLAN'!F170*'TS-PILE'!$D$74/SUMSQ('TS-PILE'!$D$72:$D$91))),IF('TS-PILE'!$B$75="",-1E+99,'TO HOP NLAN'!D170/ncoc+IF(SUMSQ('TS-PILE'!$E$72:$E$91)=0,0,'TO HOP NLAN'!E170*'TS-PILE'!$E$75/SUMSQ('TS-PILE'!$E$72:$E$91))+IF(SUMSQ('TS-PILE'!$D$72:$D$91)=0,0,'TO HOP NLAN'!F170*'TS-PILE'!$D$75/SUMSQ('TS-PILE'!$D$72:$D$91))),IF('TS-PILE'!$B$76="",-1E+99,'TO HOP NLAN'!D170/ncoc+IF(SUMSQ('TS-PILE'!$E$72:$E$91)=0,0,'TO HOP NLAN'!E170*'TS-PILE'!$E$76/SUMSQ('TS-PILE'!$E$72:$E$91))+IF(SUMSQ('TS-PILE'!$D$72:$D$91)=0,0,'TO HOP NLAN'!F170*'TS-PILE'!$D$76/SUMSQ('TS-PILE'!$D$72:$D$91))),IF('TS-PILE'!$B$77="",-1E+99,'TO HOP NLAN'!D170/ncoc+IF(SUMSQ('TS-PILE'!$E$72:$E$91)=0,0,'TO HOP NLAN'!E170*'TS-PILE'!$E$77/SUMSQ('TS-PILE'!$E$72:$E$91))+IF(SUMSQ('TS-PILE'!$D$72:$D$91)=0,0,'TO HOP NLAN'!F170*'TS-PILE'!$D$77/SUMSQ('TS-PILE'!$D$72:$D$91))),IF('TS-PILE'!$B$78="",-1E+99,'TO HOP NLAN'!D170/ncoc+IF(SUMSQ('TS-PILE'!$E$72:$E$91)=0,0,'TO HOP NLAN'!E170*'TS-PILE'!$E$78/SUMSQ('TS-PILE'!$E$72:$E$91))+IF(SUMSQ('TS-PILE'!$D$72:$D$91)=0,0,'TO HOP NLAN'!F170*'TS-PILE'!$D$78/SUMSQ('TS-PILE'!$D$72:$D$91))),IF('TS-PILE'!$B$79="",-1E+99,'TO HOP NLAN'!D170/ncoc+IF(SUMSQ('TS-PILE'!$E$72:$E$91)=0,0,'TO HOP NLAN'!E170*'TS-PILE'!$E$79/SUMSQ('TS-PILE'!$E$72:$E$91))+IF(SUMSQ('TS-PILE'!$D$72:$D$91)=0,0,'TO HOP NLAN'!F170*'TS-PILE'!$D$79/SUMSQ('TS-PILE'!$D$72:$D$91))),IF('TS-PILE'!$B$80="",-1E+99,'TO HOP NLAN'!D170/ncoc+IF(SUMSQ('TS-PILE'!$E$72:$E$91)=0,0,'TO HOP NLAN'!E170*'TS-PILE'!$E$80/SUMSQ('TS-PILE'!$E$72:$E$91))+IF(SUMSQ('TS-PILE'!$D$72:$D$91)=0,0,'TO HOP NLAN'!F170*'TS-PILE'!$D$80/SUMSQ('TS-PILE'!$D$72:$D$91))),IF('TS-PILE'!$B$81="",-1E+99,'TO HOP NLAN'!D170/ncoc+IF(SUMSQ('TS-PILE'!$E$72:$E$91)=0,0,'TO HOP NLAN'!E170*'TS-PILE'!$E$81/SUMSQ('TS-PILE'!$E$72:$E$91))+IF(SUMSQ('TS-PILE'!$D$72:$D$91)=0,0,'TO HOP NLAN'!F170*'TS-PILE'!$D$81/SUMSQ('TS-PILE'!$D$72:$D$91))),IF('TS-PILE'!$B$82="",-1E+99,'TO HOP NLAN'!D170/ncoc+IF(SUMSQ('TS-PILE'!$E$72:$E$91)=0,0,'TO HOP NLAN'!E170*'TS-PILE'!$E$82/SUMSQ('TS-PILE'!$E$72:$E$91))+IF(SUMSQ('TS-PILE'!$D$72:$D$91)=0,0,'TO HOP NLAN'!F170*'TS-PILE'!$D$82/SUMSQ('TS-PILE'!$D$72:$D$91))),IF('TS-PILE'!$B$83="",-1E+99,'TO HOP NLAN'!D170/ncoc+IF(SUMSQ('TS-PILE'!$E$72:$E$91)=0,0,'TO HOP NLAN'!E170*'TS-PILE'!$E$83/SUMSQ('TS-PILE'!$E$72:$E$91))+IF(SUMSQ('TS-PILE'!$D$72:$D$91)=0,0,'TO HOP NLAN'!F170*'TS-PILE'!$D$83/SUMSQ('TS-PILE'!$D$72:$D$91))),IF('TS-PILE'!$B$84="",-1E+99,'TO HOP NLAN'!D170/ncoc+IF(SUMSQ('TS-PILE'!$E$72:$E$91)=0,0,'TO HOP NLAN'!E170*'TS-PILE'!$E$84/SUMSQ('TS-PILE'!$E$72:$E$91))+IF(SUMSQ('TS-PILE'!$D$72:$D$91)=0,0,'TO HOP NLAN'!F170*'TS-PILE'!$D$84/SUMSQ('TS-PILE'!$D$72:$D$91))),IF('TS-PILE'!$B$85="",-1E+99,'TO HOP NLAN'!D170/ncoc+IF(SUMSQ('TS-PILE'!$E$72:$E$91)=0,0,'TO HOP NLAN'!E170*'TS-PILE'!$E$85/SUMSQ('TS-PILE'!$E$72:$E$91))+IF(SUMSQ('TS-PILE'!$D$72:$D$91)=0,0,'TO HOP NLAN'!F170*'TS-PILE'!$D$85/SUMSQ('TS-PILE'!$D$72:$D$91))),IF('TS-PILE'!$B$86="",-1E+99,'TO HOP NLAN'!D170/ncoc+IF(SUMSQ('TS-PILE'!$E$72:$E$91)=0,0,'TO HOP NLAN'!E170*'TS-PILE'!$E$86/SUMSQ('TS-PILE'!$E$72:$E$91))+IF(SUMSQ('TS-PILE'!$D$72:$D$91)=0,0,'TO HOP NLAN'!F170*'TS-PILE'!$D$86/SUMSQ('TS-PILE'!$D$72:$D$91))),IF('TS-PILE'!$B$87="",-1E+99,'TO HOP NLAN'!D170/ncoc+IF(SUMSQ('TS-PILE'!$E$72:$E$91)=0,0,'TO HOP NLAN'!E170*'TS-PILE'!$E$87/SUMSQ('TS-PILE'!$E$72:$E$91))+IF(SUMSQ('TS-PILE'!$D$72:$D$91)=0,0,'TO HOP NLAN'!F170*'TS-PILE'!$D$87/SUMSQ('TS-PILE'!$D$72:$D$91))),IF('TS-PILE'!$B$88="",-1E+99,'TO HOP NLAN'!D170/ncoc+IF(SUMSQ('TS-PILE'!$E$72:$E$91)=0,0,'TO HOP NLAN'!E170*'TS-PILE'!$E$88/SUMSQ('TS-PILE'!$E$72:$E$91))+IF(SUMSQ('TS-PILE'!$D$72:$D$91)=0,0,'TO HOP NLAN'!F170*'TS-PILE'!$D$88/SUMSQ('TS-PILE'!$D$72:$D$91))),IF('TS-PILE'!$B$89="",-1E+99,'TO HOP NLAN'!D170/ncoc+IF(SUMSQ('TS-PILE'!$E$72:$E$91)=0,0,'TO HOP NLAN'!E170*'TS-PILE'!$E$89/SUMSQ('TS-PILE'!$E$72:$E$91))+IF(SUMSQ('TS-PILE'!$D$72:$D$91)=0,0,'TO HOP NLAN'!F170*'TS-PILE'!$D$89/SUMSQ('TS-PILE'!$D$72:$D$91))),IF('TS-PILE'!$B$90="",-1E+99,'TO HOP NLAN'!D170/ncoc+IF(SUMSQ('TS-PILE'!$E$72:$E$91)=0,0,'TO HOP NLAN'!E170*'TS-PILE'!$E$90/SUMSQ('TS-PILE'!$E$72:$E$91))+IF(SUMSQ('TS-PILE'!$D$72:$D$91)=0,0,'TO HOP NLAN'!F170*'TS-PILE'!$D$90/SUMSQ('TS-PILE'!$D$72:$D$91))),IF('TS-PILE'!$B$91="",-1E+99,'TO HOP NLAN'!D170/ncoc+IF(SUMSQ('TS-PILE'!$E$72:$E$91)=0,0,'TO HOP NLAN'!E170*'TS-PILE'!$E$91/SUMSQ('TS-PILE'!$E$72:$E$91))+IF(SUMSQ('TS-PILE'!$D$72:$D$91)=0,0,'TO HOP NLAN'!F170*'TS-PILE'!$D$91/SUMSQ('TS-PILE'!$D$72:$D$91)))))</f>
        <v>0</v>
      </c>
      <c r="D170" s="58">
        <f>IF(A170="",0,MIN(IF('TS-PILE'!$B$72="",1E+99,'TO HOP NLAN'!D170/ncoc+IF(SUMSQ('TS-PILE'!$E$72:$E$91)=0,0,'TO HOP NLAN'!E170*'TS-PILE'!$E$72/SUMSQ('TS-PILE'!$E$72:$E$91))+IF(SUMSQ('TS-PILE'!$D$72:$D$91)=0,0,'TO HOP NLAN'!F170*'TS-PILE'!$D$72/SUMSQ('TS-PILE'!$D$72:$D$91))),IF('TS-PILE'!$B$73="",1E+99,'TO HOP NLAN'!D170/ncoc+IF(SUMSQ('TS-PILE'!$E$72:$E$91)=0,0,'TO HOP NLAN'!E170*'TS-PILE'!$E$73/SUMSQ('TS-PILE'!$E$72:$E$91))+IF(SUMSQ('TS-PILE'!$D$72:$D$91)=0,0,'TO HOP NLAN'!F170*'TS-PILE'!$D$73/SUMSQ('TS-PILE'!$D$72:$D$91))),IF('TS-PILE'!$B$74="",1E+99,'TO HOP NLAN'!D170/ncoc+IF(SUMSQ('TS-PILE'!$E$72:$E$91)=0,0,'TO HOP NLAN'!E170*'TS-PILE'!$E$74/SUMSQ('TS-PILE'!$E$72:$E$91))+IF(SUMSQ('TS-PILE'!$D$72:$D$91)=0,0,'TO HOP NLAN'!F170*'TS-PILE'!$D$74/SUMSQ('TS-PILE'!$D$72:$D$91))),IF('TS-PILE'!$B$75="",1E+99,'TO HOP NLAN'!D170/ncoc+IF(SUMSQ('TS-PILE'!$E$72:$E$91)=0,0,'TO HOP NLAN'!E170*'TS-PILE'!$E$75/SUMSQ('TS-PILE'!$E$72:$E$91))+IF(SUMSQ('TS-PILE'!$D$72:$D$91)=0,0,'TO HOP NLAN'!F170*'TS-PILE'!$D$75/SUMSQ('TS-PILE'!$D$72:$D$91))),IF('TS-PILE'!$B$76="",1E+99,'TO HOP NLAN'!D170/ncoc+IF(SUMSQ('TS-PILE'!$E$72:$E$91)=0,0,'TO HOP NLAN'!E170*'TS-PILE'!$E$76/SUMSQ('TS-PILE'!$E$72:$E$91))+IF(SUMSQ('TS-PILE'!$D$72:$D$91)=0,0,'TO HOP NLAN'!F170*'TS-PILE'!$D$76/SUMSQ('TS-PILE'!$D$72:$D$91))),IF('TS-PILE'!$B$77="",1E+99,'TO HOP NLAN'!D170/ncoc+IF(SUMSQ('TS-PILE'!$E$72:$E$91)=0,0,'TO HOP NLAN'!E170*'TS-PILE'!$E$77/SUMSQ('TS-PILE'!$E$72:$E$91))+IF(SUMSQ('TS-PILE'!$D$72:$D$91)=0,0,'TO HOP NLAN'!F170*'TS-PILE'!$D$77/SUMSQ('TS-PILE'!$D$72:$D$91))),IF('TS-PILE'!$B$78="",1E+99,'TO HOP NLAN'!D170/ncoc+IF(SUMSQ('TS-PILE'!$E$72:$E$91)=0,0,'TO HOP NLAN'!E170*'TS-PILE'!$E$78/SUMSQ('TS-PILE'!$E$72:$E$91))+IF(SUMSQ('TS-PILE'!$D$72:$D$91)=0,0,'TO HOP NLAN'!F170*'TS-PILE'!$D$78/SUMSQ('TS-PILE'!$D$72:$D$91))),IF('TS-PILE'!$B$79="",1E+99,'TO HOP NLAN'!D170/ncoc+IF(SUMSQ('TS-PILE'!$E$72:$E$91)=0,0,'TO HOP NLAN'!E170*'TS-PILE'!$E$79/SUMSQ('TS-PILE'!$E$72:$E$91))+IF(SUMSQ('TS-PILE'!$D$72:$D$91)=0,0,'TO HOP NLAN'!F170*'TS-PILE'!$D$79/SUMSQ('TS-PILE'!$D$72:$D$91))),IF('TS-PILE'!$B$80="",1E+99,'TO HOP NLAN'!D170/ncoc+IF(SUMSQ('TS-PILE'!$E$72:$E$91)=0,0,'TO HOP NLAN'!E170*'TS-PILE'!$E$80/SUMSQ('TS-PILE'!$E$72:$E$91))+IF(SUMSQ('TS-PILE'!$D$72:$D$91)=0,0,'TO HOP NLAN'!F170*'TS-PILE'!$D$80/SUMSQ('TS-PILE'!$D$72:$D$91))),IF('TS-PILE'!$B$81="",1E+99,'TO HOP NLAN'!D170/ncoc+IF(SUMSQ('TS-PILE'!$E$72:$E$91)=0,0,'TO HOP NLAN'!E170*'TS-PILE'!$E$81/SUMSQ('TS-PILE'!$E$72:$E$91))+IF(SUMSQ('TS-PILE'!$D$72:$D$91)=0,0,'TO HOP NLAN'!F170*'TS-PILE'!$D$81/SUMSQ('TS-PILE'!$D$72:$D$91))),IF('TS-PILE'!$B$82="",1E+99,'TO HOP NLAN'!D170/ncoc+IF(SUMSQ('TS-PILE'!$E$72:$E$91)=0,0,'TO HOP NLAN'!E170*'TS-PILE'!$E$82/SUMSQ('TS-PILE'!$E$72:$E$91))+IF(SUMSQ('TS-PILE'!$D$72:$D$91)=0,0,'TO HOP NLAN'!F170*'TS-PILE'!$D$82/SUMSQ('TS-PILE'!$D$72:$D$91))),IF('TS-PILE'!$B$83="",1E+99,'TO HOP NLAN'!D170/ncoc+IF(SUMSQ('TS-PILE'!$E$72:$E$91)=0,0,'TO HOP NLAN'!E170*'TS-PILE'!$E$83/SUMSQ('TS-PILE'!$E$72:$E$91))+IF(SUMSQ('TS-PILE'!$D$72:$D$91)=0,0,'TO HOP NLAN'!F170*'TS-PILE'!$D$83/SUMSQ('TS-PILE'!$D$72:$D$91))),IF('TS-PILE'!$B$84="",1E+99,'TO HOP NLAN'!D170/ncoc+IF(SUMSQ('TS-PILE'!$E$72:$E$91)=0,0,'TO HOP NLAN'!E170*'TS-PILE'!$E$84/SUMSQ('TS-PILE'!$E$72:$E$91))+IF(SUMSQ('TS-PILE'!$D$72:$D$91)=0,0,'TO HOP NLAN'!F170*'TS-PILE'!$D$84/SUMSQ('TS-PILE'!$D$72:$D$91))),IF('TS-PILE'!$B$85="",1E+99,'TO HOP NLAN'!D170/ncoc+IF(SUMSQ('TS-PILE'!$E$72:$E$91)=0,0,'TO HOP NLAN'!E170*'TS-PILE'!$E$85/SUMSQ('TS-PILE'!$E$72:$E$91))+IF(SUMSQ('TS-PILE'!$D$72:$D$91)=0,0,'TO HOP NLAN'!F170*'TS-PILE'!$D$85/SUMSQ('TS-PILE'!$D$72:$D$91))),IF('TS-PILE'!$B$86="",1E+99,'TO HOP NLAN'!D170/ncoc+IF(SUMSQ('TS-PILE'!$E$72:$E$91)=0,0,'TO HOP NLAN'!E170*'TS-PILE'!$E$86/SUMSQ('TS-PILE'!$E$72:$E$91))+IF(SUMSQ('TS-PILE'!$D$72:$D$91)=0,0,'TO HOP NLAN'!F170*'TS-PILE'!$D$86/SUMSQ('TS-PILE'!$D$72:$D$91))),IF('TS-PILE'!$B$87="",1E+99,'TO HOP NLAN'!D170/ncoc+IF(SUMSQ('TS-PILE'!$E$72:$E$91)=0,0,'TO HOP NLAN'!E170*'TS-PILE'!$E$87/SUMSQ('TS-PILE'!$E$72:$E$91))+IF(SUMSQ('TS-PILE'!$D$72:$D$91)=0,0,'TO HOP NLAN'!F170*'TS-PILE'!$D$87/SUMSQ('TS-PILE'!$D$72:$D$91))),IF('TS-PILE'!$B$88="",1E+99,'TO HOP NLAN'!D170/ncoc+IF(SUMSQ('TS-PILE'!$E$72:$E$91)=0,0,'TO HOP NLAN'!E170*'TS-PILE'!$E$88/SUMSQ('TS-PILE'!$E$72:$E$91))+IF(SUMSQ('TS-PILE'!$D$72:$D$91)=0,0,'TO HOP NLAN'!F170*'TS-PILE'!$D$88/SUMSQ('TS-PILE'!$D$72:$D$91))),IF('TS-PILE'!$B$89="",1E+99,'TO HOP NLAN'!D170/ncoc+IF(SUMSQ('TS-PILE'!$E$72:$E$91)=0,0,'TO HOP NLAN'!E170*'TS-PILE'!$E$89/SUMSQ('TS-PILE'!$E$72:$E$91))+IF(SUMSQ('TS-PILE'!$D$72:$D$91)=0,0,'TO HOP NLAN'!F170*'TS-PILE'!$D$89/SUMSQ('TS-PILE'!$D$72:$D$91))),IF('TS-PILE'!$B$90="",1E+99,'TO HOP NLAN'!D170/ncoc+IF(SUMSQ('TS-PILE'!$E$72:$E$91)=0,0,'TO HOP NLAN'!E170*'TS-PILE'!$E$90/SUMSQ('TS-PILE'!$E$72:$E$91))+IF(SUMSQ('TS-PILE'!$D$72:$D$91)=0,0,'TO HOP NLAN'!F170*'TS-PILE'!$D$90/SUMSQ('TS-PILE'!$D$72:$D$91))),IF('TS-PILE'!$B$91="",1E+99,'TO HOP NLAN'!D170/ncoc+IF(SUMSQ('TS-PILE'!$E$72:$E$91)=0,0,'TO HOP NLAN'!E170*'TS-PILE'!$E$91/SUMSQ('TS-PILE'!$E$72:$E$91))+IF(SUMSQ('TS-PILE'!$D$72:$D$91)=0,0,'TO HOP NLAN'!F170*'TS-PILE'!$D$91/SUMSQ('TS-PILE'!$D$72:$D$91)))))</f>
        <v>0</v>
      </c>
      <c r="E170" s="58">
        <f t="shared" si="8"/>
        <v>-9.9999999999999997E+98</v>
      </c>
      <c r="F170" s="58">
        <f t="shared" si="9"/>
        <v>9.9999999999999997E+98</v>
      </c>
      <c r="G170" s="58">
        <f t="shared" si="10"/>
        <v>-9.9999999999999997E+98</v>
      </c>
      <c r="H170" s="58">
        <f t="shared" si="11"/>
        <v>9.9999999999999997E+98</v>
      </c>
    </row>
    <row r="171" spans="1:8" x14ac:dyDescent="0.3">
      <c r="A171" s="42" t="str">
        <f>'TO HOP NLAN'!A171</f>
        <v/>
      </c>
      <c r="B171" s="42" t="str">
        <f>'TO HOP NLAN'!L171</f>
        <v>STRENGTH</v>
      </c>
      <c r="C171" s="58">
        <f>IF(A171="",0,MAX(IF('TS-PILE'!$B$72="",-1E+99,'TO HOP NLAN'!D171/ncoc+IF(SUMSQ('TS-PILE'!$E$72:$E$91)=0,0,'TO HOP NLAN'!E171*'TS-PILE'!$E$72/SUMSQ('TS-PILE'!$E$72:$E$91))+IF(SUMSQ('TS-PILE'!$D$72:$D$91)=0,0,'TO HOP NLAN'!F171*'TS-PILE'!$D$72/SUMSQ('TS-PILE'!$D$72:$D$91))),IF('TS-PILE'!$B$73="",-1E+99,'TO HOP NLAN'!D171/ncoc+IF(SUMSQ('TS-PILE'!$E$72:$E$91)=0,0,'TO HOP NLAN'!E171*'TS-PILE'!$E$73/SUMSQ('TS-PILE'!$E$72:$E$91))+IF(SUMSQ('TS-PILE'!$D$72:$D$91)=0,0,'TO HOP NLAN'!F171*'TS-PILE'!$D$73/SUMSQ('TS-PILE'!$D$72:$D$91))),IF('TS-PILE'!$B$74="",-1E+99,'TO HOP NLAN'!D171/ncoc+IF(SUMSQ('TS-PILE'!$E$72:$E$91)=0,0,'TO HOP NLAN'!E171*'TS-PILE'!$E$74/SUMSQ('TS-PILE'!$E$72:$E$91))+IF(SUMSQ('TS-PILE'!$D$72:$D$91)=0,0,'TO HOP NLAN'!F171*'TS-PILE'!$D$74/SUMSQ('TS-PILE'!$D$72:$D$91))),IF('TS-PILE'!$B$75="",-1E+99,'TO HOP NLAN'!D171/ncoc+IF(SUMSQ('TS-PILE'!$E$72:$E$91)=0,0,'TO HOP NLAN'!E171*'TS-PILE'!$E$75/SUMSQ('TS-PILE'!$E$72:$E$91))+IF(SUMSQ('TS-PILE'!$D$72:$D$91)=0,0,'TO HOP NLAN'!F171*'TS-PILE'!$D$75/SUMSQ('TS-PILE'!$D$72:$D$91))),IF('TS-PILE'!$B$76="",-1E+99,'TO HOP NLAN'!D171/ncoc+IF(SUMSQ('TS-PILE'!$E$72:$E$91)=0,0,'TO HOP NLAN'!E171*'TS-PILE'!$E$76/SUMSQ('TS-PILE'!$E$72:$E$91))+IF(SUMSQ('TS-PILE'!$D$72:$D$91)=0,0,'TO HOP NLAN'!F171*'TS-PILE'!$D$76/SUMSQ('TS-PILE'!$D$72:$D$91))),IF('TS-PILE'!$B$77="",-1E+99,'TO HOP NLAN'!D171/ncoc+IF(SUMSQ('TS-PILE'!$E$72:$E$91)=0,0,'TO HOP NLAN'!E171*'TS-PILE'!$E$77/SUMSQ('TS-PILE'!$E$72:$E$91))+IF(SUMSQ('TS-PILE'!$D$72:$D$91)=0,0,'TO HOP NLAN'!F171*'TS-PILE'!$D$77/SUMSQ('TS-PILE'!$D$72:$D$91))),IF('TS-PILE'!$B$78="",-1E+99,'TO HOP NLAN'!D171/ncoc+IF(SUMSQ('TS-PILE'!$E$72:$E$91)=0,0,'TO HOP NLAN'!E171*'TS-PILE'!$E$78/SUMSQ('TS-PILE'!$E$72:$E$91))+IF(SUMSQ('TS-PILE'!$D$72:$D$91)=0,0,'TO HOP NLAN'!F171*'TS-PILE'!$D$78/SUMSQ('TS-PILE'!$D$72:$D$91))),IF('TS-PILE'!$B$79="",-1E+99,'TO HOP NLAN'!D171/ncoc+IF(SUMSQ('TS-PILE'!$E$72:$E$91)=0,0,'TO HOP NLAN'!E171*'TS-PILE'!$E$79/SUMSQ('TS-PILE'!$E$72:$E$91))+IF(SUMSQ('TS-PILE'!$D$72:$D$91)=0,0,'TO HOP NLAN'!F171*'TS-PILE'!$D$79/SUMSQ('TS-PILE'!$D$72:$D$91))),IF('TS-PILE'!$B$80="",-1E+99,'TO HOP NLAN'!D171/ncoc+IF(SUMSQ('TS-PILE'!$E$72:$E$91)=0,0,'TO HOP NLAN'!E171*'TS-PILE'!$E$80/SUMSQ('TS-PILE'!$E$72:$E$91))+IF(SUMSQ('TS-PILE'!$D$72:$D$91)=0,0,'TO HOP NLAN'!F171*'TS-PILE'!$D$80/SUMSQ('TS-PILE'!$D$72:$D$91))),IF('TS-PILE'!$B$81="",-1E+99,'TO HOP NLAN'!D171/ncoc+IF(SUMSQ('TS-PILE'!$E$72:$E$91)=0,0,'TO HOP NLAN'!E171*'TS-PILE'!$E$81/SUMSQ('TS-PILE'!$E$72:$E$91))+IF(SUMSQ('TS-PILE'!$D$72:$D$91)=0,0,'TO HOP NLAN'!F171*'TS-PILE'!$D$81/SUMSQ('TS-PILE'!$D$72:$D$91))),IF('TS-PILE'!$B$82="",-1E+99,'TO HOP NLAN'!D171/ncoc+IF(SUMSQ('TS-PILE'!$E$72:$E$91)=0,0,'TO HOP NLAN'!E171*'TS-PILE'!$E$82/SUMSQ('TS-PILE'!$E$72:$E$91))+IF(SUMSQ('TS-PILE'!$D$72:$D$91)=0,0,'TO HOP NLAN'!F171*'TS-PILE'!$D$82/SUMSQ('TS-PILE'!$D$72:$D$91))),IF('TS-PILE'!$B$83="",-1E+99,'TO HOP NLAN'!D171/ncoc+IF(SUMSQ('TS-PILE'!$E$72:$E$91)=0,0,'TO HOP NLAN'!E171*'TS-PILE'!$E$83/SUMSQ('TS-PILE'!$E$72:$E$91))+IF(SUMSQ('TS-PILE'!$D$72:$D$91)=0,0,'TO HOP NLAN'!F171*'TS-PILE'!$D$83/SUMSQ('TS-PILE'!$D$72:$D$91))),IF('TS-PILE'!$B$84="",-1E+99,'TO HOP NLAN'!D171/ncoc+IF(SUMSQ('TS-PILE'!$E$72:$E$91)=0,0,'TO HOP NLAN'!E171*'TS-PILE'!$E$84/SUMSQ('TS-PILE'!$E$72:$E$91))+IF(SUMSQ('TS-PILE'!$D$72:$D$91)=0,0,'TO HOP NLAN'!F171*'TS-PILE'!$D$84/SUMSQ('TS-PILE'!$D$72:$D$91))),IF('TS-PILE'!$B$85="",-1E+99,'TO HOP NLAN'!D171/ncoc+IF(SUMSQ('TS-PILE'!$E$72:$E$91)=0,0,'TO HOP NLAN'!E171*'TS-PILE'!$E$85/SUMSQ('TS-PILE'!$E$72:$E$91))+IF(SUMSQ('TS-PILE'!$D$72:$D$91)=0,0,'TO HOP NLAN'!F171*'TS-PILE'!$D$85/SUMSQ('TS-PILE'!$D$72:$D$91))),IF('TS-PILE'!$B$86="",-1E+99,'TO HOP NLAN'!D171/ncoc+IF(SUMSQ('TS-PILE'!$E$72:$E$91)=0,0,'TO HOP NLAN'!E171*'TS-PILE'!$E$86/SUMSQ('TS-PILE'!$E$72:$E$91))+IF(SUMSQ('TS-PILE'!$D$72:$D$91)=0,0,'TO HOP NLAN'!F171*'TS-PILE'!$D$86/SUMSQ('TS-PILE'!$D$72:$D$91))),IF('TS-PILE'!$B$87="",-1E+99,'TO HOP NLAN'!D171/ncoc+IF(SUMSQ('TS-PILE'!$E$72:$E$91)=0,0,'TO HOP NLAN'!E171*'TS-PILE'!$E$87/SUMSQ('TS-PILE'!$E$72:$E$91))+IF(SUMSQ('TS-PILE'!$D$72:$D$91)=0,0,'TO HOP NLAN'!F171*'TS-PILE'!$D$87/SUMSQ('TS-PILE'!$D$72:$D$91))),IF('TS-PILE'!$B$88="",-1E+99,'TO HOP NLAN'!D171/ncoc+IF(SUMSQ('TS-PILE'!$E$72:$E$91)=0,0,'TO HOP NLAN'!E171*'TS-PILE'!$E$88/SUMSQ('TS-PILE'!$E$72:$E$91))+IF(SUMSQ('TS-PILE'!$D$72:$D$91)=0,0,'TO HOP NLAN'!F171*'TS-PILE'!$D$88/SUMSQ('TS-PILE'!$D$72:$D$91))),IF('TS-PILE'!$B$89="",-1E+99,'TO HOP NLAN'!D171/ncoc+IF(SUMSQ('TS-PILE'!$E$72:$E$91)=0,0,'TO HOP NLAN'!E171*'TS-PILE'!$E$89/SUMSQ('TS-PILE'!$E$72:$E$91))+IF(SUMSQ('TS-PILE'!$D$72:$D$91)=0,0,'TO HOP NLAN'!F171*'TS-PILE'!$D$89/SUMSQ('TS-PILE'!$D$72:$D$91))),IF('TS-PILE'!$B$90="",-1E+99,'TO HOP NLAN'!D171/ncoc+IF(SUMSQ('TS-PILE'!$E$72:$E$91)=0,0,'TO HOP NLAN'!E171*'TS-PILE'!$E$90/SUMSQ('TS-PILE'!$E$72:$E$91))+IF(SUMSQ('TS-PILE'!$D$72:$D$91)=0,0,'TO HOP NLAN'!F171*'TS-PILE'!$D$90/SUMSQ('TS-PILE'!$D$72:$D$91))),IF('TS-PILE'!$B$91="",-1E+99,'TO HOP NLAN'!D171/ncoc+IF(SUMSQ('TS-PILE'!$E$72:$E$91)=0,0,'TO HOP NLAN'!E171*'TS-PILE'!$E$91/SUMSQ('TS-PILE'!$E$72:$E$91))+IF(SUMSQ('TS-PILE'!$D$72:$D$91)=0,0,'TO HOP NLAN'!F171*'TS-PILE'!$D$91/SUMSQ('TS-PILE'!$D$72:$D$91)))))</f>
        <v>0</v>
      </c>
      <c r="D171" s="58">
        <f>IF(A171="",0,MIN(IF('TS-PILE'!$B$72="",1E+99,'TO HOP NLAN'!D171/ncoc+IF(SUMSQ('TS-PILE'!$E$72:$E$91)=0,0,'TO HOP NLAN'!E171*'TS-PILE'!$E$72/SUMSQ('TS-PILE'!$E$72:$E$91))+IF(SUMSQ('TS-PILE'!$D$72:$D$91)=0,0,'TO HOP NLAN'!F171*'TS-PILE'!$D$72/SUMSQ('TS-PILE'!$D$72:$D$91))),IF('TS-PILE'!$B$73="",1E+99,'TO HOP NLAN'!D171/ncoc+IF(SUMSQ('TS-PILE'!$E$72:$E$91)=0,0,'TO HOP NLAN'!E171*'TS-PILE'!$E$73/SUMSQ('TS-PILE'!$E$72:$E$91))+IF(SUMSQ('TS-PILE'!$D$72:$D$91)=0,0,'TO HOP NLAN'!F171*'TS-PILE'!$D$73/SUMSQ('TS-PILE'!$D$72:$D$91))),IF('TS-PILE'!$B$74="",1E+99,'TO HOP NLAN'!D171/ncoc+IF(SUMSQ('TS-PILE'!$E$72:$E$91)=0,0,'TO HOP NLAN'!E171*'TS-PILE'!$E$74/SUMSQ('TS-PILE'!$E$72:$E$91))+IF(SUMSQ('TS-PILE'!$D$72:$D$91)=0,0,'TO HOP NLAN'!F171*'TS-PILE'!$D$74/SUMSQ('TS-PILE'!$D$72:$D$91))),IF('TS-PILE'!$B$75="",1E+99,'TO HOP NLAN'!D171/ncoc+IF(SUMSQ('TS-PILE'!$E$72:$E$91)=0,0,'TO HOP NLAN'!E171*'TS-PILE'!$E$75/SUMSQ('TS-PILE'!$E$72:$E$91))+IF(SUMSQ('TS-PILE'!$D$72:$D$91)=0,0,'TO HOP NLAN'!F171*'TS-PILE'!$D$75/SUMSQ('TS-PILE'!$D$72:$D$91))),IF('TS-PILE'!$B$76="",1E+99,'TO HOP NLAN'!D171/ncoc+IF(SUMSQ('TS-PILE'!$E$72:$E$91)=0,0,'TO HOP NLAN'!E171*'TS-PILE'!$E$76/SUMSQ('TS-PILE'!$E$72:$E$91))+IF(SUMSQ('TS-PILE'!$D$72:$D$91)=0,0,'TO HOP NLAN'!F171*'TS-PILE'!$D$76/SUMSQ('TS-PILE'!$D$72:$D$91))),IF('TS-PILE'!$B$77="",1E+99,'TO HOP NLAN'!D171/ncoc+IF(SUMSQ('TS-PILE'!$E$72:$E$91)=0,0,'TO HOP NLAN'!E171*'TS-PILE'!$E$77/SUMSQ('TS-PILE'!$E$72:$E$91))+IF(SUMSQ('TS-PILE'!$D$72:$D$91)=0,0,'TO HOP NLAN'!F171*'TS-PILE'!$D$77/SUMSQ('TS-PILE'!$D$72:$D$91))),IF('TS-PILE'!$B$78="",1E+99,'TO HOP NLAN'!D171/ncoc+IF(SUMSQ('TS-PILE'!$E$72:$E$91)=0,0,'TO HOP NLAN'!E171*'TS-PILE'!$E$78/SUMSQ('TS-PILE'!$E$72:$E$91))+IF(SUMSQ('TS-PILE'!$D$72:$D$91)=0,0,'TO HOP NLAN'!F171*'TS-PILE'!$D$78/SUMSQ('TS-PILE'!$D$72:$D$91))),IF('TS-PILE'!$B$79="",1E+99,'TO HOP NLAN'!D171/ncoc+IF(SUMSQ('TS-PILE'!$E$72:$E$91)=0,0,'TO HOP NLAN'!E171*'TS-PILE'!$E$79/SUMSQ('TS-PILE'!$E$72:$E$91))+IF(SUMSQ('TS-PILE'!$D$72:$D$91)=0,0,'TO HOP NLAN'!F171*'TS-PILE'!$D$79/SUMSQ('TS-PILE'!$D$72:$D$91))),IF('TS-PILE'!$B$80="",1E+99,'TO HOP NLAN'!D171/ncoc+IF(SUMSQ('TS-PILE'!$E$72:$E$91)=0,0,'TO HOP NLAN'!E171*'TS-PILE'!$E$80/SUMSQ('TS-PILE'!$E$72:$E$91))+IF(SUMSQ('TS-PILE'!$D$72:$D$91)=0,0,'TO HOP NLAN'!F171*'TS-PILE'!$D$80/SUMSQ('TS-PILE'!$D$72:$D$91))),IF('TS-PILE'!$B$81="",1E+99,'TO HOP NLAN'!D171/ncoc+IF(SUMSQ('TS-PILE'!$E$72:$E$91)=0,0,'TO HOP NLAN'!E171*'TS-PILE'!$E$81/SUMSQ('TS-PILE'!$E$72:$E$91))+IF(SUMSQ('TS-PILE'!$D$72:$D$91)=0,0,'TO HOP NLAN'!F171*'TS-PILE'!$D$81/SUMSQ('TS-PILE'!$D$72:$D$91))),IF('TS-PILE'!$B$82="",1E+99,'TO HOP NLAN'!D171/ncoc+IF(SUMSQ('TS-PILE'!$E$72:$E$91)=0,0,'TO HOP NLAN'!E171*'TS-PILE'!$E$82/SUMSQ('TS-PILE'!$E$72:$E$91))+IF(SUMSQ('TS-PILE'!$D$72:$D$91)=0,0,'TO HOP NLAN'!F171*'TS-PILE'!$D$82/SUMSQ('TS-PILE'!$D$72:$D$91))),IF('TS-PILE'!$B$83="",1E+99,'TO HOP NLAN'!D171/ncoc+IF(SUMSQ('TS-PILE'!$E$72:$E$91)=0,0,'TO HOP NLAN'!E171*'TS-PILE'!$E$83/SUMSQ('TS-PILE'!$E$72:$E$91))+IF(SUMSQ('TS-PILE'!$D$72:$D$91)=0,0,'TO HOP NLAN'!F171*'TS-PILE'!$D$83/SUMSQ('TS-PILE'!$D$72:$D$91))),IF('TS-PILE'!$B$84="",1E+99,'TO HOP NLAN'!D171/ncoc+IF(SUMSQ('TS-PILE'!$E$72:$E$91)=0,0,'TO HOP NLAN'!E171*'TS-PILE'!$E$84/SUMSQ('TS-PILE'!$E$72:$E$91))+IF(SUMSQ('TS-PILE'!$D$72:$D$91)=0,0,'TO HOP NLAN'!F171*'TS-PILE'!$D$84/SUMSQ('TS-PILE'!$D$72:$D$91))),IF('TS-PILE'!$B$85="",1E+99,'TO HOP NLAN'!D171/ncoc+IF(SUMSQ('TS-PILE'!$E$72:$E$91)=0,0,'TO HOP NLAN'!E171*'TS-PILE'!$E$85/SUMSQ('TS-PILE'!$E$72:$E$91))+IF(SUMSQ('TS-PILE'!$D$72:$D$91)=0,0,'TO HOP NLAN'!F171*'TS-PILE'!$D$85/SUMSQ('TS-PILE'!$D$72:$D$91))),IF('TS-PILE'!$B$86="",1E+99,'TO HOP NLAN'!D171/ncoc+IF(SUMSQ('TS-PILE'!$E$72:$E$91)=0,0,'TO HOP NLAN'!E171*'TS-PILE'!$E$86/SUMSQ('TS-PILE'!$E$72:$E$91))+IF(SUMSQ('TS-PILE'!$D$72:$D$91)=0,0,'TO HOP NLAN'!F171*'TS-PILE'!$D$86/SUMSQ('TS-PILE'!$D$72:$D$91))),IF('TS-PILE'!$B$87="",1E+99,'TO HOP NLAN'!D171/ncoc+IF(SUMSQ('TS-PILE'!$E$72:$E$91)=0,0,'TO HOP NLAN'!E171*'TS-PILE'!$E$87/SUMSQ('TS-PILE'!$E$72:$E$91))+IF(SUMSQ('TS-PILE'!$D$72:$D$91)=0,0,'TO HOP NLAN'!F171*'TS-PILE'!$D$87/SUMSQ('TS-PILE'!$D$72:$D$91))),IF('TS-PILE'!$B$88="",1E+99,'TO HOP NLAN'!D171/ncoc+IF(SUMSQ('TS-PILE'!$E$72:$E$91)=0,0,'TO HOP NLAN'!E171*'TS-PILE'!$E$88/SUMSQ('TS-PILE'!$E$72:$E$91))+IF(SUMSQ('TS-PILE'!$D$72:$D$91)=0,0,'TO HOP NLAN'!F171*'TS-PILE'!$D$88/SUMSQ('TS-PILE'!$D$72:$D$91))),IF('TS-PILE'!$B$89="",1E+99,'TO HOP NLAN'!D171/ncoc+IF(SUMSQ('TS-PILE'!$E$72:$E$91)=0,0,'TO HOP NLAN'!E171*'TS-PILE'!$E$89/SUMSQ('TS-PILE'!$E$72:$E$91))+IF(SUMSQ('TS-PILE'!$D$72:$D$91)=0,0,'TO HOP NLAN'!F171*'TS-PILE'!$D$89/SUMSQ('TS-PILE'!$D$72:$D$91))),IF('TS-PILE'!$B$90="",1E+99,'TO HOP NLAN'!D171/ncoc+IF(SUMSQ('TS-PILE'!$E$72:$E$91)=0,0,'TO HOP NLAN'!E171*'TS-PILE'!$E$90/SUMSQ('TS-PILE'!$E$72:$E$91))+IF(SUMSQ('TS-PILE'!$D$72:$D$91)=0,0,'TO HOP NLAN'!F171*'TS-PILE'!$D$90/SUMSQ('TS-PILE'!$D$72:$D$91))),IF('TS-PILE'!$B$91="",1E+99,'TO HOP NLAN'!D171/ncoc+IF(SUMSQ('TS-PILE'!$E$72:$E$91)=0,0,'TO HOP NLAN'!E171*'TS-PILE'!$E$91/SUMSQ('TS-PILE'!$E$72:$E$91))+IF(SUMSQ('TS-PILE'!$D$72:$D$91)=0,0,'TO HOP NLAN'!F171*'TS-PILE'!$D$91/SUMSQ('TS-PILE'!$D$72:$D$91)))))</f>
        <v>0</v>
      </c>
      <c r="E171" s="58">
        <f t="shared" si="8"/>
        <v>-9.9999999999999997E+98</v>
      </c>
      <c r="F171" s="58">
        <f t="shared" si="9"/>
        <v>9.9999999999999997E+98</v>
      </c>
      <c r="G171" s="58">
        <f t="shared" si="10"/>
        <v>-9.9999999999999997E+98</v>
      </c>
      <c r="H171" s="58">
        <f t="shared" si="11"/>
        <v>9.9999999999999997E+98</v>
      </c>
    </row>
    <row r="172" spans="1:8" x14ac:dyDescent="0.3">
      <c r="A172" s="42" t="str">
        <f>'TO HOP NLAN'!A172</f>
        <v/>
      </c>
      <c r="B172" s="42" t="str">
        <f>'TO HOP NLAN'!L172</f>
        <v>STRENGTH</v>
      </c>
      <c r="C172" s="58">
        <f>IF(A172="",0,MAX(IF('TS-PILE'!$B$72="",-1E+99,'TO HOP NLAN'!D172/ncoc+IF(SUMSQ('TS-PILE'!$E$72:$E$91)=0,0,'TO HOP NLAN'!E172*'TS-PILE'!$E$72/SUMSQ('TS-PILE'!$E$72:$E$91))+IF(SUMSQ('TS-PILE'!$D$72:$D$91)=0,0,'TO HOP NLAN'!F172*'TS-PILE'!$D$72/SUMSQ('TS-PILE'!$D$72:$D$91))),IF('TS-PILE'!$B$73="",-1E+99,'TO HOP NLAN'!D172/ncoc+IF(SUMSQ('TS-PILE'!$E$72:$E$91)=0,0,'TO HOP NLAN'!E172*'TS-PILE'!$E$73/SUMSQ('TS-PILE'!$E$72:$E$91))+IF(SUMSQ('TS-PILE'!$D$72:$D$91)=0,0,'TO HOP NLAN'!F172*'TS-PILE'!$D$73/SUMSQ('TS-PILE'!$D$72:$D$91))),IF('TS-PILE'!$B$74="",-1E+99,'TO HOP NLAN'!D172/ncoc+IF(SUMSQ('TS-PILE'!$E$72:$E$91)=0,0,'TO HOP NLAN'!E172*'TS-PILE'!$E$74/SUMSQ('TS-PILE'!$E$72:$E$91))+IF(SUMSQ('TS-PILE'!$D$72:$D$91)=0,0,'TO HOP NLAN'!F172*'TS-PILE'!$D$74/SUMSQ('TS-PILE'!$D$72:$D$91))),IF('TS-PILE'!$B$75="",-1E+99,'TO HOP NLAN'!D172/ncoc+IF(SUMSQ('TS-PILE'!$E$72:$E$91)=0,0,'TO HOP NLAN'!E172*'TS-PILE'!$E$75/SUMSQ('TS-PILE'!$E$72:$E$91))+IF(SUMSQ('TS-PILE'!$D$72:$D$91)=0,0,'TO HOP NLAN'!F172*'TS-PILE'!$D$75/SUMSQ('TS-PILE'!$D$72:$D$91))),IF('TS-PILE'!$B$76="",-1E+99,'TO HOP NLAN'!D172/ncoc+IF(SUMSQ('TS-PILE'!$E$72:$E$91)=0,0,'TO HOP NLAN'!E172*'TS-PILE'!$E$76/SUMSQ('TS-PILE'!$E$72:$E$91))+IF(SUMSQ('TS-PILE'!$D$72:$D$91)=0,0,'TO HOP NLAN'!F172*'TS-PILE'!$D$76/SUMSQ('TS-PILE'!$D$72:$D$91))),IF('TS-PILE'!$B$77="",-1E+99,'TO HOP NLAN'!D172/ncoc+IF(SUMSQ('TS-PILE'!$E$72:$E$91)=0,0,'TO HOP NLAN'!E172*'TS-PILE'!$E$77/SUMSQ('TS-PILE'!$E$72:$E$91))+IF(SUMSQ('TS-PILE'!$D$72:$D$91)=0,0,'TO HOP NLAN'!F172*'TS-PILE'!$D$77/SUMSQ('TS-PILE'!$D$72:$D$91))),IF('TS-PILE'!$B$78="",-1E+99,'TO HOP NLAN'!D172/ncoc+IF(SUMSQ('TS-PILE'!$E$72:$E$91)=0,0,'TO HOP NLAN'!E172*'TS-PILE'!$E$78/SUMSQ('TS-PILE'!$E$72:$E$91))+IF(SUMSQ('TS-PILE'!$D$72:$D$91)=0,0,'TO HOP NLAN'!F172*'TS-PILE'!$D$78/SUMSQ('TS-PILE'!$D$72:$D$91))),IF('TS-PILE'!$B$79="",-1E+99,'TO HOP NLAN'!D172/ncoc+IF(SUMSQ('TS-PILE'!$E$72:$E$91)=0,0,'TO HOP NLAN'!E172*'TS-PILE'!$E$79/SUMSQ('TS-PILE'!$E$72:$E$91))+IF(SUMSQ('TS-PILE'!$D$72:$D$91)=0,0,'TO HOP NLAN'!F172*'TS-PILE'!$D$79/SUMSQ('TS-PILE'!$D$72:$D$91))),IF('TS-PILE'!$B$80="",-1E+99,'TO HOP NLAN'!D172/ncoc+IF(SUMSQ('TS-PILE'!$E$72:$E$91)=0,0,'TO HOP NLAN'!E172*'TS-PILE'!$E$80/SUMSQ('TS-PILE'!$E$72:$E$91))+IF(SUMSQ('TS-PILE'!$D$72:$D$91)=0,0,'TO HOP NLAN'!F172*'TS-PILE'!$D$80/SUMSQ('TS-PILE'!$D$72:$D$91))),IF('TS-PILE'!$B$81="",-1E+99,'TO HOP NLAN'!D172/ncoc+IF(SUMSQ('TS-PILE'!$E$72:$E$91)=0,0,'TO HOP NLAN'!E172*'TS-PILE'!$E$81/SUMSQ('TS-PILE'!$E$72:$E$91))+IF(SUMSQ('TS-PILE'!$D$72:$D$91)=0,0,'TO HOP NLAN'!F172*'TS-PILE'!$D$81/SUMSQ('TS-PILE'!$D$72:$D$91))),IF('TS-PILE'!$B$82="",-1E+99,'TO HOP NLAN'!D172/ncoc+IF(SUMSQ('TS-PILE'!$E$72:$E$91)=0,0,'TO HOP NLAN'!E172*'TS-PILE'!$E$82/SUMSQ('TS-PILE'!$E$72:$E$91))+IF(SUMSQ('TS-PILE'!$D$72:$D$91)=0,0,'TO HOP NLAN'!F172*'TS-PILE'!$D$82/SUMSQ('TS-PILE'!$D$72:$D$91))),IF('TS-PILE'!$B$83="",-1E+99,'TO HOP NLAN'!D172/ncoc+IF(SUMSQ('TS-PILE'!$E$72:$E$91)=0,0,'TO HOP NLAN'!E172*'TS-PILE'!$E$83/SUMSQ('TS-PILE'!$E$72:$E$91))+IF(SUMSQ('TS-PILE'!$D$72:$D$91)=0,0,'TO HOP NLAN'!F172*'TS-PILE'!$D$83/SUMSQ('TS-PILE'!$D$72:$D$91))),IF('TS-PILE'!$B$84="",-1E+99,'TO HOP NLAN'!D172/ncoc+IF(SUMSQ('TS-PILE'!$E$72:$E$91)=0,0,'TO HOP NLAN'!E172*'TS-PILE'!$E$84/SUMSQ('TS-PILE'!$E$72:$E$91))+IF(SUMSQ('TS-PILE'!$D$72:$D$91)=0,0,'TO HOP NLAN'!F172*'TS-PILE'!$D$84/SUMSQ('TS-PILE'!$D$72:$D$91))),IF('TS-PILE'!$B$85="",-1E+99,'TO HOP NLAN'!D172/ncoc+IF(SUMSQ('TS-PILE'!$E$72:$E$91)=0,0,'TO HOP NLAN'!E172*'TS-PILE'!$E$85/SUMSQ('TS-PILE'!$E$72:$E$91))+IF(SUMSQ('TS-PILE'!$D$72:$D$91)=0,0,'TO HOP NLAN'!F172*'TS-PILE'!$D$85/SUMSQ('TS-PILE'!$D$72:$D$91))),IF('TS-PILE'!$B$86="",-1E+99,'TO HOP NLAN'!D172/ncoc+IF(SUMSQ('TS-PILE'!$E$72:$E$91)=0,0,'TO HOP NLAN'!E172*'TS-PILE'!$E$86/SUMSQ('TS-PILE'!$E$72:$E$91))+IF(SUMSQ('TS-PILE'!$D$72:$D$91)=0,0,'TO HOP NLAN'!F172*'TS-PILE'!$D$86/SUMSQ('TS-PILE'!$D$72:$D$91))),IF('TS-PILE'!$B$87="",-1E+99,'TO HOP NLAN'!D172/ncoc+IF(SUMSQ('TS-PILE'!$E$72:$E$91)=0,0,'TO HOP NLAN'!E172*'TS-PILE'!$E$87/SUMSQ('TS-PILE'!$E$72:$E$91))+IF(SUMSQ('TS-PILE'!$D$72:$D$91)=0,0,'TO HOP NLAN'!F172*'TS-PILE'!$D$87/SUMSQ('TS-PILE'!$D$72:$D$91))),IF('TS-PILE'!$B$88="",-1E+99,'TO HOP NLAN'!D172/ncoc+IF(SUMSQ('TS-PILE'!$E$72:$E$91)=0,0,'TO HOP NLAN'!E172*'TS-PILE'!$E$88/SUMSQ('TS-PILE'!$E$72:$E$91))+IF(SUMSQ('TS-PILE'!$D$72:$D$91)=0,0,'TO HOP NLAN'!F172*'TS-PILE'!$D$88/SUMSQ('TS-PILE'!$D$72:$D$91))),IF('TS-PILE'!$B$89="",-1E+99,'TO HOP NLAN'!D172/ncoc+IF(SUMSQ('TS-PILE'!$E$72:$E$91)=0,0,'TO HOP NLAN'!E172*'TS-PILE'!$E$89/SUMSQ('TS-PILE'!$E$72:$E$91))+IF(SUMSQ('TS-PILE'!$D$72:$D$91)=0,0,'TO HOP NLAN'!F172*'TS-PILE'!$D$89/SUMSQ('TS-PILE'!$D$72:$D$91))),IF('TS-PILE'!$B$90="",-1E+99,'TO HOP NLAN'!D172/ncoc+IF(SUMSQ('TS-PILE'!$E$72:$E$91)=0,0,'TO HOP NLAN'!E172*'TS-PILE'!$E$90/SUMSQ('TS-PILE'!$E$72:$E$91))+IF(SUMSQ('TS-PILE'!$D$72:$D$91)=0,0,'TO HOP NLAN'!F172*'TS-PILE'!$D$90/SUMSQ('TS-PILE'!$D$72:$D$91))),IF('TS-PILE'!$B$91="",-1E+99,'TO HOP NLAN'!D172/ncoc+IF(SUMSQ('TS-PILE'!$E$72:$E$91)=0,0,'TO HOP NLAN'!E172*'TS-PILE'!$E$91/SUMSQ('TS-PILE'!$E$72:$E$91))+IF(SUMSQ('TS-PILE'!$D$72:$D$91)=0,0,'TO HOP NLAN'!F172*'TS-PILE'!$D$91/SUMSQ('TS-PILE'!$D$72:$D$91)))))</f>
        <v>0</v>
      </c>
      <c r="D172" s="58">
        <f>IF(A172="",0,MIN(IF('TS-PILE'!$B$72="",1E+99,'TO HOP NLAN'!D172/ncoc+IF(SUMSQ('TS-PILE'!$E$72:$E$91)=0,0,'TO HOP NLAN'!E172*'TS-PILE'!$E$72/SUMSQ('TS-PILE'!$E$72:$E$91))+IF(SUMSQ('TS-PILE'!$D$72:$D$91)=0,0,'TO HOP NLAN'!F172*'TS-PILE'!$D$72/SUMSQ('TS-PILE'!$D$72:$D$91))),IF('TS-PILE'!$B$73="",1E+99,'TO HOP NLAN'!D172/ncoc+IF(SUMSQ('TS-PILE'!$E$72:$E$91)=0,0,'TO HOP NLAN'!E172*'TS-PILE'!$E$73/SUMSQ('TS-PILE'!$E$72:$E$91))+IF(SUMSQ('TS-PILE'!$D$72:$D$91)=0,0,'TO HOP NLAN'!F172*'TS-PILE'!$D$73/SUMSQ('TS-PILE'!$D$72:$D$91))),IF('TS-PILE'!$B$74="",1E+99,'TO HOP NLAN'!D172/ncoc+IF(SUMSQ('TS-PILE'!$E$72:$E$91)=0,0,'TO HOP NLAN'!E172*'TS-PILE'!$E$74/SUMSQ('TS-PILE'!$E$72:$E$91))+IF(SUMSQ('TS-PILE'!$D$72:$D$91)=0,0,'TO HOP NLAN'!F172*'TS-PILE'!$D$74/SUMSQ('TS-PILE'!$D$72:$D$91))),IF('TS-PILE'!$B$75="",1E+99,'TO HOP NLAN'!D172/ncoc+IF(SUMSQ('TS-PILE'!$E$72:$E$91)=0,0,'TO HOP NLAN'!E172*'TS-PILE'!$E$75/SUMSQ('TS-PILE'!$E$72:$E$91))+IF(SUMSQ('TS-PILE'!$D$72:$D$91)=0,0,'TO HOP NLAN'!F172*'TS-PILE'!$D$75/SUMSQ('TS-PILE'!$D$72:$D$91))),IF('TS-PILE'!$B$76="",1E+99,'TO HOP NLAN'!D172/ncoc+IF(SUMSQ('TS-PILE'!$E$72:$E$91)=0,0,'TO HOP NLAN'!E172*'TS-PILE'!$E$76/SUMSQ('TS-PILE'!$E$72:$E$91))+IF(SUMSQ('TS-PILE'!$D$72:$D$91)=0,0,'TO HOP NLAN'!F172*'TS-PILE'!$D$76/SUMSQ('TS-PILE'!$D$72:$D$91))),IF('TS-PILE'!$B$77="",1E+99,'TO HOP NLAN'!D172/ncoc+IF(SUMSQ('TS-PILE'!$E$72:$E$91)=0,0,'TO HOP NLAN'!E172*'TS-PILE'!$E$77/SUMSQ('TS-PILE'!$E$72:$E$91))+IF(SUMSQ('TS-PILE'!$D$72:$D$91)=0,0,'TO HOP NLAN'!F172*'TS-PILE'!$D$77/SUMSQ('TS-PILE'!$D$72:$D$91))),IF('TS-PILE'!$B$78="",1E+99,'TO HOP NLAN'!D172/ncoc+IF(SUMSQ('TS-PILE'!$E$72:$E$91)=0,0,'TO HOP NLAN'!E172*'TS-PILE'!$E$78/SUMSQ('TS-PILE'!$E$72:$E$91))+IF(SUMSQ('TS-PILE'!$D$72:$D$91)=0,0,'TO HOP NLAN'!F172*'TS-PILE'!$D$78/SUMSQ('TS-PILE'!$D$72:$D$91))),IF('TS-PILE'!$B$79="",1E+99,'TO HOP NLAN'!D172/ncoc+IF(SUMSQ('TS-PILE'!$E$72:$E$91)=0,0,'TO HOP NLAN'!E172*'TS-PILE'!$E$79/SUMSQ('TS-PILE'!$E$72:$E$91))+IF(SUMSQ('TS-PILE'!$D$72:$D$91)=0,0,'TO HOP NLAN'!F172*'TS-PILE'!$D$79/SUMSQ('TS-PILE'!$D$72:$D$91))),IF('TS-PILE'!$B$80="",1E+99,'TO HOP NLAN'!D172/ncoc+IF(SUMSQ('TS-PILE'!$E$72:$E$91)=0,0,'TO HOP NLAN'!E172*'TS-PILE'!$E$80/SUMSQ('TS-PILE'!$E$72:$E$91))+IF(SUMSQ('TS-PILE'!$D$72:$D$91)=0,0,'TO HOP NLAN'!F172*'TS-PILE'!$D$80/SUMSQ('TS-PILE'!$D$72:$D$91))),IF('TS-PILE'!$B$81="",1E+99,'TO HOP NLAN'!D172/ncoc+IF(SUMSQ('TS-PILE'!$E$72:$E$91)=0,0,'TO HOP NLAN'!E172*'TS-PILE'!$E$81/SUMSQ('TS-PILE'!$E$72:$E$91))+IF(SUMSQ('TS-PILE'!$D$72:$D$91)=0,0,'TO HOP NLAN'!F172*'TS-PILE'!$D$81/SUMSQ('TS-PILE'!$D$72:$D$91))),IF('TS-PILE'!$B$82="",1E+99,'TO HOP NLAN'!D172/ncoc+IF(SUMSQ('TS-PILE'!$E$72:$E$91)=0,0,'TO HOP NLAN'!E172*'TS-PILE'!$E$82/SUMSQ('TS-PILE'!$E$72:$E$91))+IF(SUMSQ('TS-PILE'!$D$72:$D$91)=0,0,'TO HOP NLAN'!F172*'TS-PILE'!$D$82/SUMSQ('TS-PILE'!$D$72:$D$91))),IF('TS-PILE'!$B$83="",1E+99,'TO HOP NLAN'!D172/ncoc+IF(SUMSQ('TS-PILE'!$E$72:$E$91)=0,0,'TO HOP NLAN'!E172*'TS-PILE'!$E$83/SUMSQ('TS-PILE'!$E$72:$E$91))+IF(SUMSQ('TS-PILE'!$D$72:$D$91)=0,0,'TO HOP NLAN'!F172*'TS-PILE'!$D$83/SUMSQ('TS-PILE'!$D$72:$D$91))),IF('TS-PILE'!$B$84="",1E+99,'TO HOP NLAN'!D172/ncoc+IF(SUMSQ('TS-PILE'!$E$72:$E$91)=0,0,'TO HOP NLAN'!E172*'TS-PILE'!$E$84/SUMSQ('TS-PILE'!$E$72:$E$91))+IF(SUMSQ('TS-PILE'!$D$72:$D$91)=0,0,'TO HOP NLAN'!F172*'TS-PILE'!$D$84/SUMSQ('TS-PILE'!$D$72:$D$91))),IF('TS-PILE'!$B$85="",1E+99,'TO HOP NLAN'!D172/ncoc+IF(SUMSQ('TS-PILE'!$E$72:$E$91)=0,0,'TO HOP NLAN'!E172*'TS-PILE'!$E$85/SUMSQ('TS-PILE'!$E$72:$E$91))+IF(SUMSQ('TS-PILE'!$D$72:$D$91)=0,0,'TO HOP NLAN'!F172*'TS-PILE'!$D$85/SUMSQ('TS-PILE'!$D$72:$D$91))),IF('TS-PILE'!$B$86="",1E+99,'TO HOP NLAN'!D172/ncoc+IF(SUMSQ('TS-PILE'!$E$72:$E$91)=0,0,'TO HOP NLAN'!E172*'TS-PILE'!$E$86/SUMSQ('TS-PILE'!$E$72:$E$91))+IF(SUMSQ('TS-PILE'!$D$72:$D$91)=0,0,'TO HOP NLAN'!F172*'TS-PILE'!$D$86/SUMSQ('TS-PILE'!$D$72:$D$91))),IF('TS-PILE'!$B$87="",1E+99,'TO HOP NLAN'!D172/ncoc+IF(SUMSQ('TS-PILE'!$E$72:$E$91)=0,0,'TO HOP NLAN'!E172*'TS-PILE'!$E$87/SUMSQ('TS-PILE'!$E$72:$E$91))+IF(SUMSQ('TS-PILE'!$D$72:$D$91)=0,0,'TO HOP NLAN'!F172*'TS-PILE'!$D$87/SUMSQ('TS-PILE'!$D$72:$D$91))),IF('TS-PILE'!$B$88="",1E+99,'TO HOP NLAN'!D172/ncoc+IF(SUMSQ('TS-PILE'!$E$72:$E$91)=0,0,'TO HOP NLAN'!E172*'TS-PILE'!$E$88/SUMSQ('TS-PILE'!$E$72:$E$91))+IF(SUMSQ('TS-PILE'!$D$72:$D$91)=0,0,'TO HOP NLAN'!F172*'TS-PILE'!$D$88/SUMSQ('TS-PILE'!$D$72:$D$91))),IF('TS-PILE'!$B$89="",1E+99,'TO HOP NLAN'!D172/ncoc+IF(SUMSQ('TS-PILE'!$E$72:$E$91)=0,0,'TO HOP NLAN'!E172*'TS-PILE'!$E$89/SUMSQ('TS-PILE'!$E$72:$E$91))+IF(SUMSQ('TS-PILE'!$D$72:$D$91)=0,0,'TO HOP NLAN'!F172*'TS-PILE'!$D$89/SUMSQ('TS-PILE'!$D$72:$D$91))),IF('TS-PILE'!$B$90="",1E+99,'TO HOP NLAN'!D172/ncoc+IF(SUMSQ('TS-PILE'!$E$72:$E$91)=0,0,'TO HOP NLAN'!E172*'TS-PILE'!$E$90/SUMSQ('TS-PILE'!$E$72:$E$91))+IF(SUMSQ('TS-PILE'!$D$72:$D$91)=0,0,'TO HOP NLAN'!F172*'TS-PILE'!$D$90/SUMSQ('TS-PILE'!$D$72:$D$91))),IF('TS-PILE'!$B$91="",1E+99,'TO HOP NLAN'!D172/ncoc+IF(SUMSQ('TS-PILE'!$E$72:$E$91)=0,0,'TO HOP NLAN'!E172*'TS-PILE'!$E$91/SUMSQ('TS-PILE'!$E$72:$E$91))+IF(SUMSQ('TS-PILE'!$D$72:$D$91)=0,0,'TO HOP NLAN'!F172*'TS-PILE'!$D$91/SUMSQ('TS-PILE'!$D$72:$D$91)))))</f>
        <v>0</v>
      </c>
      <c r="E172" s="58">
        <f t="shared" si="8"/>
        <v>-9.9999999999999997E+98</v>
      </c>
      <c r="F172" s="58">
        <f t="shared" si="9"/>
        <v>9.9999999999999997E+98</v>
      </c>
      <c r="G172" s="58">
        <f t="shared" si="10"/>
        <v>-9.9999999999999997E+98</v>
      </c>
      <c r="H172" s="58">
        <f t="shared" si="11"/>
        <v>9.9999999999999997E+98</v>
      </c>
    </row>
    <row r="173" spans="1:8" x14ac:dyDescent="0.3">
      <c r="A173" s="42" t="str">
        <f>'TO HOP NLAN'!A173</f>
        <v/>
      </c>
      <c r="B173" s="42" t="str">
        <f>'TO HOP NLAN'!L173</f>
        <v>STRENGTH</v>
      </c>
      <c r="C173" s="58">
        <f>IF(A173="",0,MAX(IF('TS-PILE'!$B$72="",-1E+99,'TO HOP NLAN'!D173/ncoc+IF(SUMSQ('TS-PILE'!$E$72:$E$91)=0,0,'TO HOP NLAN'!E173*'TS-PILE'!$E$72/SUMSQ('TS-PILE'!$E$72:$E$91))+IF(SUMSQ('TS-PILE'!$D$72:$D$91)=0,0,'TO HOP NLAN'!F173*'TS-PILE'!$D$72/SUMSQ('TS-PILE'!$D$72:$D$91))),IF('TS-PILE'!$B$73="",-1E+99,'TO HOP NLAN'!D173/ncoc+IF(SUMSQ('TS-PILE'!$E$72:$E$91)=0,0,'TO HOP NLAN'!E173*'TS-PILE'!$E$73/SUMSQ('TS-PILE'!$E$72:$E$91))+IF(SUMSQ('TS-PILE'!$D$72:$D$91)=0,0,'TO HOP NLAN'!F173*'TS-PILE'!$D$73/SUMSQ('TS-PILE'!$D$72:$D$91))),IF('TS-PILE'!$B$74="",-1E+99,'TO HOP NLAN'!D173/ncoc+IF(SUMSQ('TS-PILE'!$E$72:$E$91)=0,0,'TO HOP NLAN'!E173*'TS-PILE'!$E$74/SUMSQ('TS-PILE'!$E$72:$E$91))+IF(SUMSQ('TS-PILE'!$D$72:$D$91)=0,0,'TO HOP NLAN'!F173*'TS-PILE'!$D$74/SUMSQ('TS-PILE'!$D$72:$D$91))),IF('TS-PILE'!$B$75="",-1E+99,'TO HOP NLAN'!D173/ncoc+IF(SUMSQ('TS-PILE'!$E$72:$E$91)=0,0,'TO HOP NLAN'!E173*'TS-PILE'!$E$75/SUMSQ('TS-PILE'!$E$72:$E$91))+IF(SUMSQ('TS-PILE'!$D$72:$D$91)=0,0,'TO HOP NLAN'!F173*'TS-PILE'!$D$75/SUMSQ('TS-PILE'!$D$72:$D$91))),IF('TS-PILE'!$B$76="",-1E+99,'TO HOP NLAN'!D173/ncoc+IF(SUMSQ('TS-PILE'!$E$72:$E$91)=0,0,'TO HOP NLAN'!E173*'TS-PILE'!$E$76/SUMSQ('TS-PILE'!$E$72:$E$91))+IF(SUMSQ('TS-PILE'!$D$72:$D$91)=0,0,'TO HOP NLAN'!F173*'TS-PILE'!$D$76/SUMSQ('TS-PILE'!$D$72:$D$91))),IF('TS-PILE'!$B$77="",-1E+99,'TO HOP NLAN'!D173/ncoc+IF(SUMSQ('TS-PILE'!$E$72:$E$91)=0,0,'TO HOP NLAN'!E173*'TS-PILE'!$E$77/SUMSQ('TS-PILE'!$E$72:$E$91))+IF(SUMSQ('TS-PILE'!$D$72:$D$91)=0,0,'TO HOP NLAN'!F173*'TS-PILE'!$D$77/SUMSQ('TS-PILE'!$D$72:$D$91))),IF('TS-PILE'!$B$78="",-1E+99,'TO HOP NLAN'!D173/ncoc+IF(SUMSQ('TS-PILE'!$E$72:$E$91)=0,0,'TO HOP NLAN'!E173*'TS-PILE'!$E$78/SUMSQ('TS-PILE'!$E$72:$E$91))+IF(SUMSQ('TS-PILE'!$D$72:$D$91)=0,0,'TO HOP NLAN'!F173*'TS-PILE'!$D$78/SUMSQ('TS-PILE'!$D$72:$D$91))),IF('TS-PILE'!$B$79="",-1E+99,'TO HOP NLAN'!D173/ncoc+IF(SUMSQ('TS-PILE'!$E$72:$E$91)=0,0,'TO HOP NLAN'!E173*'TS-PILE'!$E$79/SUMSQ('TS-PILE'!$E$72:$E$91))+IF(SUMSQ('TS-PILE'!$D$72:$D$91)=0,0,'TO HOP NLAN'!F173*'TS-PILE'!$D$79/SUMSQ('TS-PILE'!$D$72:$D$91))),IF('TS-PILE'!$B$80="",-1E+99,'TO HOP NLAN'!D173/ncoc+IF(SUMSQ('TS-PILE'!$E$72:$E$91)=0,0,'TO HOP NLAN'!E173*'TS-PILE'!$E$80/SUMSQ('TS-PILE'!$E$72:$E$91))+IF(SUMSQ('TS-PILE'!$D$72:$D$91)=0,0,'TO HOP NLAN'!F173*'TS-PILE'!$D$80/SUMSQ('TS-PILE'!$D$72:$D$91))),IF('TS-PILE'!$B$81="",-1E+99,'TO HOP NLAN'!D173/ncoc+IF(SUMSQ('TS-PILE'!$E$72:$E$91)=0,0,'TO HOP NLAN'!E173*'TS-PILE'!$E$81/SUMSQ('TS-PILE'!$E$72:$E$91))+IF(SUMSQ('TS-PILE'!$D$72:$D$91)=0,0,'TO HOP NLAN'!F173*'TS-PILE'!$D$81/SUMSQ('TS-PILE'!$D$72:$D$91))),IF('TS-PILE'!$B$82="",-1E+99,'TO HOP NLAN'!D173/ncoc+IF(SUMSQ('TS-PILE'!$E$72:$E$91)=0,0,'TO HOP NLAN'!E173*'TS-PILE'!$E$82/SUMSQ('TS-PILE'!$E$72:$E$91))+IF(SUMSQ('TS-PILE'!$D$72:$D$91)=0,0,'TO HOP NLAN'!F173*'TS-PILE'!$D$82/SUMSQ('TS-PILE'!$D$72:$D$91))),IF('TS-PILE'!$B$83="",-1E+99,'TO HOP NLAN'!D173/ncoc+IF(SUMSQ('TS-PILE'!$E$72:$E$91)=0,0,'TO HOP NLAN'!E173*'TS-PILE'!$E$83/SUMSQ('TS-PILE'!$E$72:$E$91))+IF(SUMSQ('TS-PILE'!$D$72:$D$91)=0,0,'TO HOP NLAN'!F173*'TS-PILE'!$D$83/SUMSQ('TS-PILE'!$D$72:$D$91))),IF('TS-PILE'!$B$84="",-1E+99,'TO HOP NLAN'!D173/ncoc+IF(SUMSQ('TS-PILE'!$E$72:$E$91)=0,0,'TO HOP NLAN'!E173*'TS-PILE'!$E$84/SUMSQ('TS-PILE'!$E$72:$E$91))+IF(SUMSQ('TS-PILE'!$D$72:$D$91)=0,0,'TO HOP NLAN'!F173*'TS-PILE'!$D$84/SUMSQ('TS-PILE'!$D$72:$D$91))),IF('TS-PILE'!$B$85="",-1E+99,'TO HOP NLAN'!D173/ncoc+IF(SUMSQ('TS-PILE'!$E$72:$E$91)=0,0,'TO HOP NLAN'!E173*'TS-PILE'!$E$85/SUMSQ('TS-PILE'!$E$72:$E$91))+IF(SUMSQ('TS-PILE'!$D$72:$D$91)=0,0,'TO HOP NLAN'!F173*'TS-PILE'!$D$85/SUMSQ('TS-PILE'!$D$72:$D$91))),IF('TS-PILE'!$B$86="",-1E+99,'TO HOP NLAN'!D173/ncoc+IF(SUMSQ('TS-PILE'!$E$72:$E$91)=0,0,'TO HOP NLAN'!E173*'TS-PILE'!$E$86/SUMSQ('TS-PILE'!$E$72:$E$91))+IF(SUMSQ('TS-PILE'!$D$72:$D$91)=0,0,'TO HOP NLAN'!F173*'TS-PILE'!$D$86/SUMSQ('TS-PILE'!$D$72:$D$91))),IF('TS-PILE'!$B$87="",-1E+99,'TO HOP NLAN'!D173/ncoc+IF(SUMSQ('TS-PILE'!$E$72:$E$91)=0,0,'TO HOP NLAN'!E173*'TS-PILE'!$E$87/SUMSQ('TS-PILE'!$E$72:$E$91))+IF(SUMSQ('TS-PILE'!$D$72:$D$91)=0,0,'TO HOP NLAN'!F173*'TS-PILE'!$D$87/SUMSQ('TS-PILE'!$D$72:$D$91))),IF('TS-PILE'!$B$88="",-1E+99,'TO HOP NLAN'!D173/ncoc+IF(SUMSQ('TS-PILE'!$E$72:$E$91)=0,0,'TO HOP NLAN'!E173*'TS-PILE'!$E$88/SUMSQ('TS-PILE'!$E$72:$E$91))+IF(SUMSQ('TS-PILE'!$D$72:$D$91)=0,0,'TO HOP NLAN'!F173*'TS-PILE'!$D$88/SUMSQ('TS-PILE'!$D$72:$D$91))),IF('TS-PILE'!$B$89="",-1E+99,'TO HOP NLAN'!D173/ncoc+IF(SUMSQ('TS-PILE'!$E$72:$E$91)=0,0,'TO HOP NLAN'!E173*'TS-PILE'!$E$89/SUMSQ('TS-PILE'!$E$72:$E$91))+IF(SUMSQ('TS-PILE'!$D$72:$D$91)=0,0,'TO HOP NLAN'!F173*'TS-PILE'!$D$89/SUMSQ('TS-PILE'!$D$72:$D$91))),IF('TS-PILE'!$B$90="",-1E+99,'TO HOP NLAN'!D173/ncoc+IF(SUMSQ('TS-PILE'!$E$72:$E$91)=0,0,'TO HOP NLAN'!E173*'TS-PILE'!$E$90/SUMSQ('TS-PILE'!$E$72:$E$91))+IF(SUMSQ('TS-PILE'!$D$72:$D$91)=0,0,'TO HOP NLAN'!F173*'TS-PILE'!$D$90/SUMSQ('TS-PILE'!$D$72:$D$91))),IF('TS-PILE'!$B$91="",-1E+99,'TO HOP NLAN'!D173/ncoc+IF(SUMSQ('TS-PILE'!$E$72:$E$91)=0,0,'TO HOP NLAN'!E173*'TS-PILE'!$E$91/SUMSQ('TS-PILE'!$E$72:$E$91))+IF(SUMSQ('TS-PILE'!$D$72:$D$91)=0,0,'TO HOP NLAN'!F173*'TS-PILE'!$D$91/SUMSQ('TS-PILE'!$D$72:$D$91)))))</f>
        <v>0</v>
      </c>
      <c r="D173" s="58">
        <f>IF(A173="",0,MIN(IF('TS-PILE'!$B$72="",1E+99,'TO HOP NLAN'!D173/ncoc+IF(SUMSQ('TS-PILE'!$E$72:$E$91)=0,0,'TO HOP NLAN'!E173*'TS-PILE'!$E$72/SUMSQ('TS-PILE'!$E$72:$E$91))+IF(SUMSQ('TS-PILE'!$D$72:$D$91)=0,0,'TO HOP NLAN'!F173*'TS-PILE'!$D$72/SUMSQ('TS-PILE'!$D$72:$D$91))),IF('TS-PILE'!$B$73="",1E+99,'TO HOP NLAN'!D173/ncoc+IF(SUMSQ('TS-PILE'!$E$72:$E$91)=0,0,'TO HOP NLAN'!E173*'TS-PILE'!$E$73/SUMSQ('TS-PILE'!$E$72:$E$91))+IF(SUMSQ('TS-PILE'!$D$72:$D$91)=0,0,'TO HOP NLAN'!F173*'TS-PILE'!$D$73/SUMSQ('TS-PILE'!$D$72:$D$91))),IF('TS-PILE'!$B$74="",1E+99,'TO HOP NLAN'!D173/ncoc+IF(SUMSQ('TS-PILE'!$E$72:$E$91)=0,0,'TO HOP NLAN'!E173*'TS-PILE'!$E$74/SUMSQ('TS-PILE'!$E$72:$E$91))+IF(SUMSQ('TS-PILE'!$D$72:$D$91)=0,0,'TO HOP NLAN'!F173*'TS-PILE'!$D$74/SUMSQ('TS-PILE'!$D$72:$D$91))),IF('TS-PILE'!$B$75="",1E+99,'TO HOP NLAN'!D173/ncoc+IF(SUMSQ('TS-PILE'!$E$72:$E$91)=0,0,'TO HOP NLAN'!E173*'TS-PILE'!$E$75/SUMSQ('TS-PILE'!$E$72:$E$91))+IF(SUMSQ('TS-PILE'!$D$72:$D$91)=0,0,'TO HOP NLAN'!F173*'TS-PILE'!$D$75/SUMSQ('TS-PILE'!$D$72:$D$91))),IF('TS-PILE'!$B$76="",1E+99,'TO HOP NLAN'!D173/ncoc+IF(SUMSQ('TS-PILE'!$E$72:$E$91)=0,0,'TO HOP NLAN'!E173*'TS-PILE'!$E$76/SUMSQ('TS-PILE'!$E$72:$E$91))+IF(SUMSQ('TS-PILE'!$D$72:$D$91)=0,0,'TO HOP NLAN'!F173*'TS-PILE'!$D$76/SUMSQ('TS-PILE'!$D$72:$D$91))),IF('TS-PILE'!$B$77="",1E+99,'TO HOP NLAN'!D173/ncoc+IF(SUMSQ('TS-PILE'!$E$72:$E$91)=0,0,'TO HOP NLAN'!E173*'TS-PILE'!$E$77/SUMSQ('TS-PILE'!$E$72:$E$91))+IF(SUMSQ('TS-PILE'!$D$72:$D$91)=0,0,'TO HOP NLAN'!F173*'TS-PILE'!$D$77/SUMSQ('TS-PILE'!$D$72:$D$91))),IF('TS-PILE'!$B$78="",1E+99,'TO HOP NLAN'!D173/ncoc+IF(SUMSQ('TS-PILE'!$E$72:$E$91)=0,0,'TO HOP NLAN'!E173*'TS-PILE'!$E$78/SUMSQ('TS-PILE'!$E$72:$E$91))+IF(SUMSQ('TS-PILE'!$D$72:$D$91)=0,0,'TO HOP NLAN'!F173*'TS-PILE'!$D$78/SUMSQ('TS-PILE'!$D$72:$D$91))),IF('TS-PILE'!$B$79="",1E+99,'TO HOP NLAN'!D173/ncoc+IF(SUMSQ('TS-PILE'!$E$72:$E$91)=0,0,'TO HOP NLAN'!E173*'TS-PILE'!$E$79/SUMSQ('TS-PILE'!$E$72:$E$91))+IF(SUMSQ('TS-PILE'!$D$72:$D$91)=0,0,'TO HOP NLAN'!F173*'TS-PILE'!$D$79/SUMSQ('TS-PILE'!$D$72:$D$91))),IF('TS-PILE'!$B$80="",1E+99,'TO HOP NLAN'!D173/ncoc+IF(SUMSQ('TS-PILE'!$E$72:$E$91)=0,0,'TO HOP NLAN'!E173*'TS-PILE'!$E$80/SUMSQ('TS-PILE'!$E$72:$E$91))+IF(SUMSQ('TS-PILE'!$D$72:$D$91)=0,0,'TO HOP NLAN'!F173*'TS-PILE'!$D$80/SUMSQ('TS-PILE'!$D$72:$D$91))),IF('TS-PILE'!$B$81="",1E+99,'TO HOP NLAN'!D173/ncoc+IF(SUMSQ('TS-PILE'!$E$72:$E$91)=0,0,'TO HOP NLAN'!E173*'TS-PILE'!$E$81/SUMSQ('TS-PILE'!$E$72:$E$91))+IF(SUMSQ('TS-PILE'!$D$72:$D$91)=0,0,'TO HOP NLAN'!F173*'TS-PILE'!$D$81/SUMSQ('TS-PILE'!$D$72:$D$91))),IF('TS-PILE'!$B$82="",1E+99,'TO HOP NLAN'!D173/ncoc+IF(SUMSQ('TS-PILE'!$E$72:$E$91)=0,0,'TO HOP NLAN'!E173*'TS-PILE'!$E$82/SUMSQ('TS-PILE'!$E$72:$E$91))+IF(SUMSQ('TS-PILE'!$D$72:$D$91)=0,0,'TO HOP NLAN'!F173*'TS-PILE'!$D$82/SUMSQ('TS-PILE'!$D$72:$D$91))),IF('TS-PILE'!$B$83="",1E+99,'TO HOP NLAN'!D173/ncoc+IF(SUMSQ('TS-PILE'!$E$72:$E$91)=0,0,'TO HOP NLAN'!E173*'TS-PILE'!$E$83/SUMSQ('TS-PILE'!$E$72:$E$91))+IF(SUMSQ('TS-PILE'!$D$72:$D$91)=0,0,'TO HOP NLAN'!F173*'TS-PILE'!$D$83/SUMSQ('TS-PILE'!$D$72:$D$91))),IF('TS-PILE'!$B$84="",1E+99,'TO HOP NLAN'!D173/ncoc+IF(SUMSQ('TS-PILE'!$E$72:$E$91)=0,0,'TO HOP NLAN'!E173*'TS-PILE'!$E$84/SUMSQ('TS-PILE'!$E$72:$E$91))+IF(SUMSQ('TS-PILE'!$D$72:$D$91)=0,0,'TO HOP NLAN'!F173*'TS-PILE'!$D$84/SUMSQ('TS-PILE'!$D$72:$D$91))),IF('TS-PILE'!$B$85="",1E+99,'TO HOP NLAN'!D173/ncoc+IF(SUMSQ('TS-PILE'!$E$72:$E$91)=0,0,'TO HOP NLAN'!E173*'TS-PILE'!$E$85/SUMSQ('TS-PILE'!$E$72:$E$91))+IF(SUMSQ('TS-PILE'!$D$72:$D$91)=0,0,'TO HOP NLAN'!F173*'TS-PILE'!$D$85/SUMSQ('TS-PILE'!$D$72:$D$91))),IF('TS-PILE'!$B$86="",1E+99,'TO HOP NLAN'!D173/ncoc+IF(SUMSQ('TS-PILE'!$E$72:$E$91)=0,0,'TO HOP NLAN'!E173*'TS-PILE'!$E$86/SUMSQ('TS-PILE'!$E$72:$E$91))+IF(SUMSQ('TS-PILE'!$D$72:$D$91)=0,0,'TO HOP NLAN'!F173*'TS-PILE'!$D$86/SUMSQ('TS-PILE'!$D$72:$D$91))),IF('TS-PILE'!$B$87="",1E+99,'TO HOP NLAN'!D173/ncoc+IF(SUMSQ('TS-PILE'!$E$72:$E$91)=0,0,'TO HOP NLAN'!E173*'TS-PILE'!$E$87/SUMSQ('TS-PILE'!$E$72:$E$91))+IF(SUMSQ('TS-PILE'!$D$72:$D$91)=0,0,'TO HOP NLAN'!F173*'TS-PILE'!$D$87/SUMSQ('TS-PILE'!$D$72:$D$91))),IF('TS-PILE'!$B$88="",1E+99,'TO HOP NLAN'!D173/ncoc+IF(SUMSQ('TS-PILE'!$E$72:$E$91)=0,0,'TO HOP NLAN'!E173*'TS-PILE'!$E$88/SUMSQ('TS-PILE'!$E$72:$E$91))+IF(SUMSQ('TS-PILE'!$D$72:$D$91)=0,0,'TO HOP NLAN'!F173*'TS-PILE'!$D$88/SUMSQ('TS-PILE'!$D$72:$D$91))),IF('TS-PILE'!$B$89="",1E+99,'TO HOP NLAN'!D173/ncoc+IF(SUMSQ('TS-PILE'!$E$72:$E$91)=0,0,'TO HOP NLAN'!E173*'TS-PILE'!$E$89/SUMSQ('TS-PILE'!$E$72:$E$91))+IF(SUMSQ('TS-PILE'!$D$72:$D$91)=0,0,'TO HOP NLAN'!F173*'TS-PILE'!$D$89/SUMSQ('TS-PILE'!$D$72:$D$91))),IF('TS-PILE'!$B$90="",1E+99,'TO HOP NLAN'!D173/ncoc+IF(SUMSQ('TS-PILE'!$E$72:$E$91)=0,0,'TO HOP NLAN'!E173*'TS-PILE'!$E$90/SUMSQ('TS-PILE'!$E$72:$E$91))+IF(SUMSQ('TS-PILE'!$D$72:$D$91)=0,0,'TO HOP NLAN'!F173*'TS-PILE'!$D$90/SUMSQ('TS-PILE'!$D$72:$D$91))),IF('TS-PILE'!$B$91="",1E+99,'TO HOP NLAN'!D173/ncoc+IF(SUMSQ('TS-PILE'!$E$72:$E$91)=0,0,'TO HOP NLAN'!E173*'TS-PILE'!$E$91/SUMSQ('TS-PILE'!$E$72:$E$91))+IF(SUMSQ('TS-PILE'!$D$72:$D$91)=0,0,'TO HOP NLAN'!F173*'TS-PILE'!$D$91/SUMSQ('TS-PILE'!$D$72:$D$91)))))</f>
        <v>0</v>
      </c>
      <c r="E173" s="58">
        <f t="shared" si="8"/>
        <v>-9.9999999999999997E+98</v>
      </c>
      <c r="F173" s="58">
        <f t="shared" si="9"/>
        <v>9.9999999999999997E+98</v>
      </c>
      <c r="G173" s="58">
        <f t="shared" si="10"/>
        <v>-9.9999999999999997E+98</v>
      </c>
      <c r="H173" s="58">
        <f t="shared" si="11"/>
        <v>9.9999999999999997E+98</v>
      </c>
    </row>
    <row r="174" spans="1:8" x14ac:dyDescent="0.3">
      <c r="A174" s="42" t="str">
        <f>'TO HOP NLAN'!A174</f>
        <v/>
      </c>
      <c r="B174" s="42" t="str">
        <f>'TO HOP NLAN'!L174</f>
        <v>STRENGTH</v>
      </c>
      <c r="C174" s="58">
        <f>IF(A174="",0,MAX(IF('TS-PILE'!$B$72="",-1E+99,'TO HOP NLAN'!D174/ncoc+IF(SUMSQ('TS-PILE'!$E$72:$E$91)=0,0,'TO HOP NLAN'!E174*'TS-PILE'!$E$72/SUMSQ('TS-PILE'!$E$72:$E$91))+IF(SUMSQ('TS-PILE'!$D$72:$D$91)=0,0,'TO HOP NLAN'!F174*'TS-PILE'!$D$72/SUMSQ('TS-PILE'!$D$72:$D$91))),IF('TS-PILE'!$B$73="",-1E+99,'TO HOP NLAN'!D174/ncoc+IF(SUMSQ('TS-PILE'!$E$72:$E$91)=0,0,'TO HOP NLAN'!E174*'TS-PILE'!$E$73/SUMSQ('TS-PILE'!$E$72:$E$91))+IF(SUMSQ('TS-PILE'!$D$72:$D$91)=0,0,'TO HOP NLAN'!F174*'TS-PILE'!$D$73/SUMSQ('TS-PILE'!$D$72:$D$91))),IF('TS-PILE'!$B$74="",-1E+99,'TO HOP NLAN'!D174/ncoc+IF(SUMSQ('TS-PILE'!$E$72:$E$91)=0,0,'TO HOP NLAN'!E174*'TS-PILE'!$E$74/SUMSQ('TS-PILE'!$E$72:$E$91))+IF(SUMSQ('TS-PILE'!$D$72:$D$91)=0,0,'TO HOP NLAN'!F174*'TS-PILE'!$D$74/SUMSQ('TS-PILE'!$D$72:$D$91))),IF('TS-PILE'!$B$75="",-1E+99,'TO HOP NLAN'!D174/ncoc+IF(SUMSQ('TS-PILE'!$E$72:$E$91)=0,0,'TO HOP NLAN'!E174*'TS-PILE'!$E$75/SUMSQ('TS-PILE'!$E$72:$E$91))+IF(SUMSQ('TS-PILE'!$D$72:$D$91)=0,0,'TO HOP NLAN'!F174*'TS-PILE'!$D$75/SUMSQ('TS-PILE'!$D$72:$D$91))),IF('TS-PILE'!$B$76="",-1E+99,'TO HOP NLAN'!D174/ncoc+IF(SUMSQ('TS-PILE'!$E$72:$E$91)=0,0,'TO HOP NLAN'!E174*'TS-PILE'!$E$76/SUMSQ('TS-PILE'!$E$72:$E$91))+IF(SUMSQ('TS-PILE'!$D$72:$D$91)=0,0,'TO HOP NLAN'!F174*'TS-PILE'!$D$76/SUMSQ('TS-PILE'!$D$72:$D$91))),IF('TS-PILE'!$B$77="",-1E+99,'TO HOP NLAN'!D174/ncoc+IF(SUMSQ('TS-PILE'!$E$72:$E$91)=0,0,'TO HOP NLAN'!E174*'TS-PILE'!$E$77/SUMSQ('TS-PILE'!$E$72:$E$91))+IF(SUMSQ('TS-PILE'!$D$72:$D$91)=0,0,'TO HOP NLAN'!F174*'TS-PILE'!$D$77/SUMSQ('TS-PILE'!$D$72:$D$91))),IF('TS-PILE'!$B$78="",-1E+99,'TO HOP NLAN'!D174/ncoc+IF(SUMSQ('TS-PILE'!$E$72:$E$91)=0,0,'TO HOP NLAN'!E174*'TS-PILE'!$E$78/SUMSQ('TS-PILE'!$E$72:$E$91))+IF(SUMSQ('TS-PILE'!$D$72:$D$91)=0,0,'TO HOP NLAN'!F174*'TS-PILE'!$D$78/SUMSQ('TS-PILE'!$D$72:$D$91))),IF('TS-PILE'!$B$79="",-1E+99,'TO HOP NLAN'!D174/ncoc+IF(SUMSQ('TS-PILE'!$E$72:$E$91)=0,0,'TO HOP NLAN'!E174*'TS-PILE'!$E$79/SUMSQ('TS-PILE'!$E$72:$E$91))+IF(SUMSQ('TS-PILE'!$D$72:$D$91)=0,0,'TO HOP NLAN'!F174*'TS-PILE'!$D$79/SUMSQ('TS-PILE'!$D$72:$D$91))),IF('TS-PILE'!$B$80="",-1E+99,'TO HOP NLAN'!D174/ncoc+IF(SUMSQ('TS-PILE'!$E$72:$E$91)=0,0,'TO HOP NLAN'!E174*'TS-PILE'!$E$80/SUMSQ('TS-PILE'!$E$72:$E$91))+IF(SUMSQ('TS-PILE'!$D$72:$D$91)=0,0,'TO HOP NLAN'!F174*'TS-PILE'!$D$80/SUMSQ('TS-PILE'!$D$72:$D$91))),IF('TS-PILE'!$B$81="",-1E+99,'TO HOP NLAN'!D174/ncoc+IF(SUMSQ('TS-PILE'!$E$72:$E$91)=0,0,'TO HOP NLAN'!E174*'TS-PILE'!$E$81/SUMSQ('TS-PILE'!$E$72:$E$91))+IF(SUMSQ('TS-PILE'!$D$72:$D$91)=0,0,'TO HOP NLAN'!F174*'TS-PILE'!$D$81/SUMSQ('TS-PILE'!$D$72:$D$91))),IF('TS-PILE'!$B$82="",-1E+99,'TO HOP NLAN'!D174/ncoc+IF(SUMSQ('TS-PILE'!$E$72:$E$91)=0,0,'TO HOP NLAN'!E174*'TS-PILE'!$E$82/SUMSQ('TS-PILE'!$E$72:$E$91))+IF(SUMSQ('TS-PILE'!$D$72:$D$91)=0,0,'TO HOP NLAN'!F174*'TS-PILE'!$D$82/SUMSQ('TS-PILE'!$D$72:$D$91))),IF('TS-PILE'!$B$83="",-1E+99,'TO HOP NLAN'!D174/ncoc+IF(SUMSQ('TS-PILE'!$E$72:$E$91)=0,0,'TO HOP NLAN'!E174*'TS-PILE'!$E$83/SUMSQ('TS-PILE'!$E$72:$E$91))+IF(SUMSQ('TS-PILE'!$D$72:$D$91)=0,0,'TO HOP NLAN'!F174*'TS-PILE'!$D$83/SUMSQ('TS-PILE'!$D$72:$D$91))),IF('TS-PILE'!$B$84="",-1E+99,'TO HOP NLAN'!D174/ncoc+IF(SUMSQ('TS-PILE'!$E$72:$E$91)=0,0,'TO HOP NLAN'!E174*'TS-PILE'!$E$84/SUMSQ('TS-PILE'!$E$72:$E$91))+IF(SUMSQ('TS-PILE'!$D$72:$D$91)=0,0,'TO HOP NLAN'!F174*'TS-PILE'!$D$84/SUMSQ('TS-PILE'!$D$72:$D$91))),IF('TS-PILE'!$B$85="",-1E+99,'TO HOP NLAN'!D174/ncoc+IF(SUMSQ('TS-PILE'!$E$72:$E$91)=0,0,'TO HOP NLAN'!E174*'TS-PILE'!$E$85/SUMSQ('TS-PILE'!$E$72:$E$91))+IF(SUMSQ('TS-PILE'!$D$72:$D$91)=0,0,'TO HOP NLAN'!F174*'TS-PILE'!$D$85/SUMSQ('TS-PILE'!$D$72:$D$91))),IF('TS-PILE'!$B$86="",-1E+99,'TO HOP NLAN'!D174/ncoc+IF(SUMSQ('TS-PILE'!$E$72:$E$91)=0,0,'TO HOP NLAN'!E174*'TS-PILE'!$E$86/SUMSQ('TS-PILE'!$E$72:$E$91))+IF(SUMSQ('TS-PILE'!$D$72:$D$91)=0,0,'TO HOP NLAN'!F174*'TS-PILE'!$D$86/SUMSQ('TS-PILE'!$D$72:$D$91))),IF('TS-PILE'!$B$87="",-1E+99,'TO HOP NLAN'!D174/ncoc+IF(SUMSQ('TS-PILE'!$E$72:$E$91)=0,0,'TO HOP NLAN'!E174*'TS-PILE'!$E$87/SUMSQ('TS-PILE'!$E$72:$E$91))+IF(SUMSQ('TS-PILE'!$D$72:$D$91)=0,0,'TO HOP NLAN'!F174*'TS-PILE'!$D$87/SUMSQ('TS-PILE'!$D$72:$D$91))),IF('TS-PILE'!$B$88="",-1E+99,'TO HOP NLAN'!D174/ncoc+IF(SUMSQ('TS-PILE'!$E$72:$E$91)=0,0,'TO HOP NLAN'!E174*'TS-PILE'!$E$88/SUMSQ('TS-PILE'!$E$72:$E$91))+IF(SUMSQ('TS-PILE'!$D$72:$D$91)=0,0,'TO HOP NLAN'!F174*'TS-PILE'!$D$88/SUMSQ('TS-PILE'!$D$72:$D$91))),IF('TS-PILE'!$B$89="",-1E+99,'TO HOP NLAN'!D174/ncoc+IF(SUMSQ('TS-PILE'!$E$72:$E$91)=0,0,'TO HOP NLAN'!E174*'TS-PILE'!$E$89/SUMSQ('TS-PILE'!$E$72:$E$91))+IF(SUMSQ('TS-PILE'!$D$72:$D$91)=0,0,'TO HOP NLAN'!F174*'TS-PILE'!$D$89/SUMSQ('TS-PILE'!$D$72:$D$91))),IF('TS-PILE'!$B$90="",-1E+99,'TO HOP NLAN'!D174/ncoc+IF(SUMSQ('TS-PILE'!$E$72:$E$91)=0,0,'TO HOP NLAN'!E174*'TS-PILE'!$E$90/SUMSQ('TS-PILE'!$E$72:$E$91))+IF(SUMSQ('TS-PILE'!$D$72:$D$91)=0,0,'TO HOP NLAN'!F174*'TS-PILE'!$D$90/SUMSQ('TS-PILE'!$D$72:$D$91))),IF('TS-PILE'!$B$91="",-1E+99,'TO HOP NLAN'!D174/ncoc+IF(SUMSQ('TS-PILE'!$E$72:$E$91)=0,0,'TO HOP NLAN'!E174*'TS-PILE'!$E$91/SUMSQ('TS-PILE'!$E$72:$E$91))+IF(SUMSQ('TS-PILE'!$D$72:$D$91)=0,0,'TO HOP NLAN'!F174*'TS-PILE'!$D$91/SUMSQ('TS-PILE'!$D$72:$D$91)))))</f>
        <v>0</v>
      </c>
      <c r="D174" s="58">
        <f>IF(A174="",0,MIN(IF('TS-PILE'!$B$72="",1E+99,'TO HOP NLAN'!D174/ncoc+IF(SUMSQ('TS-PILE'!$E$72:$E$91)=0,0,'TO HOP NLAN'!E174*'TS-PILE'!$E$72/SUMSQ('TS-PILE'!$E$72:$E$91))+IF(SUMSQ('TS-PILE'!$D$72:$D$91)=0,0,'TO HOP NLAN'!F174*'TS-PILE'!$D$72/SUMSQ('TS-PILE'!$D$72:$D$91))),IF('TS-PILE'!$B$73="",1E+99,'TO HOP NLAN'!D174/ncoc+IF(SUMSQ('TS-PILE'!$E$72:$E$91)=0,0,'TO HOP NLAN'!E174*'TS-PILE'!$E$73/SUMSQ('TS-PILE'!$E$72:$E$91))+IF(SUMSQ('TS-PILE'!$D$72:$D$91)=0,0,'TO HOP NLAN'!F174*'TS-PILE'!$D$73/SUMSQ('TS-PILE'!$D$72:$D$91))),IF('TS-PILE'!$B$74="",1E+99,'TO HOP NLAN'!D174/ncoc+IF(SUMSQ('TS-PILE'!$E$72:$E$91)=0,0,'TO HOP NLAN'!E174*'TS-PILE'!$E$74/SUMSQ('TS-PILE'!$E$72:$E$91))+IF(SUMSQ('TS-PILE'!$D$72:$D$91)=0,0,'TO HOP NLAN'!F174*'TS-PILE'!$D$74/SUMSQ('TS-PILE'!$D$72:$D$91))),IF('TS-PILE'!$B$75="",1E+99,'TO HOP NLAN'!D174/ncoc+IF(SUMSQ('TS-PILE'!$E$72:$E$91)=0,0,'TO HOP NLAN'!E174*'TS-PILE'!$E$75/SUMSQ('TS-PILE'!$E$72:$E$91))+IF(SUMSQ('TS-PILE'!$D$72:$D$91)=0,0,'TO HOP NLAN'!F174*'TS-PILE'!$D$75/SUMSQ('TS-PILE'!$D$72:$D$91))),IF('TS-PILE'!$B$76="",1E+99,'TO HOP NLAN'!D174/ncoc+IF(SUMSQ('TS-PILE'!$E$72:$E$91)=0,0,'TO HOP NLAN'!E174*'TS-PILE'!$E$76/SUMSQ('TS-PILE'!$E$72:$E$91))+IF(SUMSQ('TS-PILE'!$D$72:$D$91)=0,0,'TO HOP NLAN'!F174*'TS-PILE'!$D$76/SUMSQ('TS-PILE'!$D$72:$D$91))),IF('TS-PILE'!$B$77="",1E+99,'TO HOP NLAN'!D174/ncoc+IF(SUMSQ('TS-PILE'!$E$72:$E$91)=0,0,'TO HOP NLAN'!E174*'TS-PILE'!$E$77/SUMSQ('TS-PILE'!$E$72:$E$91))+IF(SUMSQ('TS-PILE'!$D$72:$D$91)=0,0,'TO HOP NLAN'!F174*'TS-PILE'!$D$77/SUMSQ('TS-PILE'!$D$72:$D$91))),IF('TS-PILE'!$B$78="",1E+99,'TO HOP NLAN'!D174/ncoc+IF(SUMSQ('TS-PILE'!$E$72:$E$91)=0,0,'TO HOP NLAN'!E174*'TS-PILE'!$E$78/SUMSQ('TS-PILE'!$E$72:$E$91))+IF(SUMSQ('TS-PILE'!$D$72:$D$91)=0,0,'TO HOP NLAN'!F174*'TS-PILE'!$D$78/SUMSQ('TS-PILE'!$D$72:$D$91))),IF('TS-PILE'!$B$79="",1E+99,'TO HOP NLAN'!D174/ncoc+IF(SUMSQ('TS-PILE'!$E$72:$E$91)=0,0,'TO HOP NLAN'!E174*'TS-PILE'!$E$79/SUMSQ('TS-PILE'!$E$72:$E$91))+IF(SUMSQ('TS-PILE'!$D$72:$D$91)=0,0,'TO HOP NLAN'!F174*'TS-PILE'!$D$79/SUMSQ('TS-PILE'!$D$72:$D$91))),IF('TS-PILE'!$B$80="",1E+99,'TO HOP NLAN'!D174/ncoc+IF(SUMSQ('TS-PILE'!$E$72:$E$91)=0,0,'TO HOP NLAN'!E174*'TS-PILE'!$E$80/SUMSQ('TS-PILE'!$E$72:$E$91))+IF(SUMSQ('TS-PILE'!$D$72:$D$91)=0,0,'TO HOP NLAN'!F174*'TS-PILE'!$D$80/SUMSQ('TS-PILE'!$D$72:$D$91))),IF('TS-PILE'!$B$81="",1E+99,'TO HOP NLAN'!D174/ncoc+IF(SUMSQ('TS-PILE'!$E$72:$E$91)=0,0,'TO HOP NLAN'!E174*'TS-PILE'!$E$81/SUMSQ('TS-PILE'!$E$72:$E$91))+IF(SUMSQ('TS-PILE'!$D$72:$D$91)=0,0,'TO HOP NLAN'!F174*'TS-PILE'!$D$81/SUMSQ('TS-PILE'!$D$72:$D$91))),IF('TS-PILE'!$B$82="",1E+99,'TO HOP NLAN'!D174/ncoc+IF(SUMSQ('TS-PILE'!$E$72:$E$91)=0,0,'TO HOP NLAN'!E174*'TS-PILE'!$E$82/SUMSQ('TS-PILE'!$E$72:$E$91))+IF(SUMSQ('TS-PILE'!$D$72:$D$91)=0,0,'TO HOP NLAN'!F174*'TS-PILE'!$D$82/SUMSQ('TS-PILE'!$D$72:$D$91))),IF('TS-PILE'!$B$83="",1E+99,'TO HOP NLAN'!D174/ncoc+IF(SUMSQ('TS-PILE'!$E$72:$E$91)=0,0,'TO HOP NLAN'!E174*'TS-PILE'!$E$83/SUMSQ('TS-PILE'!$E$72:$E$91))+IF(SUMSQ('TS-PILE'!$D$72:$D$91)=0,0,'TO HOP NLAN'!F174*'TS-PILE'!$D$83/SUMSQ('TS-PILE'!$D$72:$D$91))),IF('TS-PILE'!$B$84="",1E+99,'TO HOP NLAN'!D174/ncoc+IF(SUMSQ('TS-PILE'!$E$72:$E$91)=0,0,'TO HOP NLAN'!E174*'TS-PILE'!$E$84/SUMSQ('TS-PILE'!$E$72:$E$91))+IF(SUMSQ('TS-PILE'!$D$72:$D$91)=0,0,'TO HOP NLAN'!F174*'TS-PILE'!$D$84/SUMSQ('TS-PILE'!$D$72:$D$91))),IF('TS-PILE'!$B$85="",1E+99,'TO HOP NLAN'!D174/ncoc+IF(SUMSQ('TS-PILE'!$E$72:$E$91)=0,0,'TO HOP NLAN'!E174*'TS-PILE'!$E$85/SUMSQ('TS-PILE'!$E$72:$E$91))+IF(SUMSQ('TS-PILE'!$D$72:$D$91)=0,0,'TO HOP NLAN'!F174*'TS-PILE'!$D$85/SUMSQ('TS-PILE'!$D$72:$D$91))),IF('TS-PILE'!$B$86="",1E+99,'TO HOP NLAN'!D174/ncoc+IF(SUMSQ('TS-PILE'!$E$72:$E$91)=0,0,'TO HOP NLAN'!E174*'TS-PILE'!$E$86/SUMSQ('TS-PILE'!$E$72:$E$91))+IF(SUMSQ('TS-PILE'!$D$72:$D$91)=0,0,'TO HOP NLAN'!F174*'TS-PILE'!$D$86/SUMSQ('TS-PILE'!$D$72:$D$91))),IF('TS-PILE'!$B$87="",1E+99,'TO HOP NLAN'!D174/ncoc+IF(SUMSQ('TS-PILE'!$E$72:$E$91)=0,0,'TO HOP NLAN'!E174*'TS-PILE'!$E$87/SUMSQ('TS-PILE'!$E$72:$E$91))+IF(SUMSQ('TS-PILE'!$D$72:$D$91)=0,0,'TO HOP NLAN'!F174*'TS-PILE'!$D$87/SUMSQ('TS-PILE'!$D$72:$D$91))),IF('TS-PILE'!$B$88="",1E+99,'TO HOP NLAN'!D174/ncoc+IF(SUMSQ('TS-PILE'!$E$72:$E$91)=0,0,'TO HOP NLAN'!E174*'TS-PILE'!$E$88/SUMSQ('TS-PILE'!$E$72:$E$91))+IF(SUMSQ('TS-PILE'!$D$72:$D$91)=0,0,'TO HOP NLAN'!F174*'TS-PILE'!$D$88/SUMSQ('TS-PILE'!$D$72:$D$91))),IF('TS-PILE'!$B$89="",1E+99,'TO HOP NLAN'!D174/ncoc+IF(SUMSQ('TS-PILE'!$E$72:$E$91)=0,0,'TO HOP NLAN'!E174*'TS-PILE'!$E$89/SUMSQ('TS-PILE'!$E$72:$E$91))+IF(SUMSQ('TS-PILE'!$D$72:$D$91)=0,0,'TO HOP NLAN'!F174*'TS-PILE'!$D$89/SUMSQ('TS-PILE'!$D$72:$D$91))),IF('TS-PILE'!$B$90="",1E+99,'TO HOP NLAN'!D174/ncoc+IF(SUMSQ('TS-PILE'!$E$72:$E$91)=0,0,'TO HOP NLAN'!E174*'TS-PILE'!$E$90/SUMSQ('TS-PILE'!$E$72:$E$91))+IF(SUMSQ('TS-PILE'!$D$72:$D$91)=0,0,'TO HOP NLAN'!F174*'TS-PILE'!$D$90/SUMSQ('TS-PILE'!$D$72:$D$91))),IF('TS-PILE'!$B$91="",1E+99,'TO HOP NLAN'!D174/ncoc+IF(SUMSQ('TS-PILE'!$E$72:$E$91)=0,0,'TO HOP NLAN'!E174*'TS-PILE'!$E$91/SUMSQ('TS-PILE'!$E$72:$E$91))+IF(SUMSQ('TS-PILE'!$D$72:$D$91)=0,0,'TO HOP NLAN'!F174*'TS-PILE'!$D$91/SUMSQ('TS-PILE'!$D$72:$D$91)))))</f>
        <v>0</v>
      </c>
      <c r="E174" s="58">
        <f t="shared" si="8"/>
        <v>-9.9999999999999997E+98</v>
      </c>
      <c r="F174" s="58">
        <f t="shared" si="9"/>
        <v>9.9999999999999997E+98</v>
      </c>
      <c r="G174" s="58">
        <f t="shared" si="10"/>
        <v>-9.9999999999999997E+98</v>
      </c>
      <c r="H174" s="58">
        <f t="shared" si="11"/>
        <v>9.9999999999999997E+98</v>
      </c>
    </row>
    <row r="175" spans="1:8" x14ac:dyDescent="0.3">
      <c r="A175" s="42" t="str">
        <f>'TO HOP NLAN'!A175</f>
        <v/>
      </c>
      <c r="B175" s="42" t="str">
        <f>'TO HOP NLAN'!L175</f>
        <v>STRENGTH</v>
      </c>
      <c r="C175" s="58">
        <f>IF(A175="",0,MAX(IF('TS-PILE'!$B$72="",-1E+99,'TO HOP NLAN'!D175/ncoc+IF(SUMSQ('TS-PILE'!$E$72:$E$91)=0,0,'TO HOP NLAN'!E175*'TS-PILE'!$E$72/SUMSQ('TS-PILE'!$E$72:$E$91))+IF(SUMSQ('TS-PILE'!$D$72:$D$91)=0,0,'TO HOP NLAN'!F175*'TS-PILE'!$D$72/SUMSQ('TS-PILE'!$D$72:$D$91))),IF('TS-PILE'!$B$73="",-1E+99,'TO HOP NLAN'!D175/ncoc+IF(SUMSQ('TS-PILE'!$E$72:$E$91)=0,0,'TO HOP NLAN'!E175*'TS-PILE'!$E$73/SUMSQ('TS-PILE'!$E$72:$E$91))+IF(SUMSQ('TS-PILE'!$D$72:$D$91)=0,0,'TO HOP NLAN'!F175*'TS-PILE'!$D$73/SUMSQ('TS-PILE'!$D$72:$D$91))),IF('TS-PILE'!$B$74="",-1E+99,'TO HOP NLAN'!D175/ncoc+IF(SUMSQ('TS-PILE'!$E$72:$E$91)=0,0,'TO HOP NLAN'!E175*'TS-PILE'!$E$74/SUMSQ('TS-PILE'!$E$72:$E$91))+IF(SUMSQ('TS-PILE'!$D$72:$D$91)=0,0,'TO HOP NLAN'!F175*'TS-PILE'!$D$74/SUMSQ('TS-PILE'!$D$72:$D$91))),IF('TS-PILE'!$B$75="",-1E+99,'TO HOP NLAN'!D175/ncoc+IF(SUMSQ('TS-PILE'!$E$72:$E$91)=0,0,'TO HOP NLAN'!E175*'TS-PILE'!$E$75/SUMSQ('TS-PILE'!$E$72:$E$91))+IF(SUMSQ('TS-PILE'!$D$72:$D$91)=0,0,'TO HOP NLAN'!F175*'TS-PILE'!$D$75/SUMSQ('TS-PILE'!$D$72:$D$91))),IF('TS-PILE'!$B$76="",-1E+99,'TO HOP NLAN'!D175/ncoc+IF(SUMSQ('TS-PILE'!$E$72:$E$91)=0,0,'TO HOP NLAN'!E175*'TS-PILE'!$E$76/SUMSQ('TS-PILE'!$E$72:$E$91))+IF(SUMSQ('TS-PILE'!$D$72:$D$91)=0,0,'TO HOP NLAN'!F175*'TS-PILE'!$D$76/SUMSQ('TS-PILE'!$D$72:$D$91))),IF('TS-PILE'!$B$77="",-1E+99,'TO HOP NLAN'!D175/ncoc+IF(SUMSQ('TS-PILE'!$E$72:$E$91)=0,0,'TO HOP NLAN'!E175*'TS-PILE'!$E$77/SUMSQ('TS-PILE'!$E$72:$E$91))+IF(SUMSQ('TS-PILE'!$D$72:$D$91)=0,0,'TO HOP NLAN'!F175*'TS-PILE'!$D$77/SUMSQ('TS-PILE'!$D$72:$D$91))),IF('TS-PILE'!$B$78="",-1E+99,'TO HOP NLAN'!D175/ncoc+IF(SUMSQ('TS-PILE'!$E$72:$E$91)=0,0,'TO HOP NLAN'!E175*'TS-PILE'!$E$78/SUMSQ('TS-PILE'!$E$72:$E$91))+IF(SUMSQ('TS-PILE'!$D$72:$D$91)=0,0,'TO HOP NLAN'!F175*'TS-PILE'!$D$78/SUMSQ('TS-PILE'!$D$72:$D$91))),IF('TS-PILE'!$B$79="",-1E+99,'TO HOP NLAN'!D175/ncoc+IF(SUMSQ('TS-PILE'!$E$72:$E$91)=0,0,'TO HOP NLAN'!E175*'TS-PILE'!$E$79/SUMSQ('TS-PILE'!$E$72:$E$91))+IF(SUMSQ('TS-PILE'!$D$72:$D$91)=0,0,'TO HOP NLAN'!F175*'TS-PILE'!$D$79/SUMSQ('TS-PILE'!$D$72:$D$91))),IF('TS-PILE'!$B$80="",-1E+99,'TO HOP NLAN'!D175/ncoc+IF(SUMSQ('TS-PILE'!$E$72:$E$91)=0,0,'TO HOP NLAN'!E175*'TS-PILE'!$E$80/SUMSQ('TS-PILE'!$E$72:$E$91))+IF(SUMSQ('TS-PILE'!$D$72:$D$91)=0,0,'TO HOP NLAN'!F175*'TS-PILE'!$D$80/SUMSQ('TS-PILE'!$D$72:$D$91))),IF('TS-PILE'!$B$81="",-1E+99,'TO HOP NLAN'!D175/ncoc+IF(SUMSQ('TS-PILE'!$E$72:$E$91)=0,0,'TO HOP NLAN'!E175*'TS-PILE'!$E$81/SUMSQ('TS-PILE'!$E$72:$E$91))+IF(SUMSQ('TS-PILE'!$D$72:$D$91)=0,0,'TO HOP NLAN'!F175*'TS-PILE'!$D$81/SUMSQ('TS-PILE'!$D$72:$D$91))),IF('TS-PILE'!$B$82="",-1E+99,'TO HOP NLAN'!D175/ncoc+IF(SUMSQ('TS-PILE'!$E$72:$E$91)=0,0,'TO HOP NLAN'!E175*'TS-PILE'!$E$82/SUMSQ('TS-PILE'!$E$72:$E$91))+IF(SUMSQ('TS-PILE'!$D$72:$D$91)=0,0,'TO HOP NLAN'!F175*'TS-PILE'!$D$82/SUMSQ('TS-PILE'!$D$72:$D$91))),IF('TS-PILE'!$B$83="",-1E+99,'TO HOP NLAN'!D175/ncoc+IF(SUMSQ('TS-PILE'!$E$72:$E$91)=0,0,'TO HOP NLAN'!E175*'TS-PILE'!$E$83/SUMSQ('TS-PILE'!$E$72:$E$91))+IF(SUMSQ('TS-PILE'!$D$72:$D$91)=0,0,'TO HOP NLAN'!F175*'TS-PILE'!$D$83/SUMSQ('TS-PILE'!$D$72:$D$91))),IF('TS-PILE'!$B$84="",-1E+99,'TO HOP NLAN'!D175/ncoc+IF(SUMSQ('TS-PILE'!$E$72:$E$91)=0,0,'TO HOP NLAN'!E175*'TS-PILE'!$E$84/SUMSQ('TS-PILE'!$E$72:$E$91))+IF(SUMSQ('TS-PILE'!$D$72:$D$91)=0,0,'TO HOP NLAN'!F175*'TS-PILE'!$D$84/SUMSQ('TS-PILE'!$D$72:$D$91))),IF('TS-PILE'!$B$85="",-1E+99,'TO HOP NLAN'!D175/ncoc+IF(SUMSQ('TS-PILE'!$E$72:$E$91)=0,0,'TO HOP NLAN'!E175*'TS-PILE'!$E$85/SUMSQ('TS-PILE'!$E$72:$E$91))+IF(SUMSQ('TS-PILE'!$D$72:$D$91)=0,0,'TO HOP NLAN'!F175*'TS-PILE'!$D$85/SUMSQ('TS-PILE'!$D$72:$D$91))),IF('TS-PILE'!$B$86="",-1E+99,'TO HOP NLAN'!D175/ncoc+IF(SUMSQ('TS-PILE'!$E$72:$E$91)=0,0,'TO HOP NLAN'!E175*'TS-PILE'!$E$86/SUMSQ('TS-PILE'!$E$72:$E$91))+IF(SUMSQ('TS-PILE'!$D$72:$D$91)=0,0,'TO HOP NLAN'!F175*'TS-PILE'!$D$86/SUMSQ('TS-PILE'!$D$72:$D$91))),IF('TS-PILE'!$B$87="",-1E+99,'TO HOP NLAN'!D175/ncoc+IF(SUMSQ('TS-PILE'!$E$72:$E$91)=0,0,'TO HOP NLAN'!E175*'TS-PILE'!$E$87/SUMSQ('TS-PILE'!$E$72:$E$91))+IF(SUMSQ('TS-PILE'!$D$72:$D$91)=0,0,'TO HOP NLAN'!F175*'TS-PILE'!$D$87/SUMSQ('TS-PILE'!$D$72:$D$91))),IF('TS-PILE'!$B$88="",-1E+99,'TO HOP NLAN'!D175/ncoc+IF(SUMSQ('TS-PILE'!$E$72:$E$91)=0,0,'TO HOP NLAN'!E175*'TS-PILE'!$E$88/SUMSQ('TS-PILE'!$E$72:$E$91))+IF(SUMSQ('TS-PILE'!$D$72:$D$91)=0,0,'TO HOP NLAN'!F175*'TS-PILE'!$D$88/SUMSQ('TS-PILE'!$D$72:$D$91))),IF('TS-PILE'!$B$89="",-1E+99,'TO HOP NLAN'!D175/ncoc+IF(SUMSQ('TS-PILE'!$E$72:$E$91)=0,0,'TO HOP NLAN'!E175*'TS-PILE'!$E$89/SUMSQ('TS-PILE'!$E$72:$E$91))+IF(SUMSQ('TS-PILE'!$D$72:$D$91)=0,0,'TO HOP NLAN'!F175*'TS-PILE'!$D$89/SUMSQ('TS-PILE'!$D$72:$D$91))),IF('TS-PILE'!$B$90="",-1E+99,'TO HOP NLAN'!D175/ncoc+IF(SUMSQ('TS-PILE'!$E$72:$E$91)=0,0,'TO HOP NLAN'!E175*'TS-PILE'!$E$90/SUMSQ('TS-PILE'!$E$72:$E$91))+IF(SUMSQ('TS-PILE'!$D$72:$D$91)=0,0,'TO HOP NLAN'!F175*'TS-PILE'!$D$90/SUMSQ('TS-PILE'!$D$72:$D$91))),IF('TS-PILE'!$B$91="",-1E+99,'TO HOP NLAN'!D175/ncoc+IF(SUMSQ('TS-PILE'!$E$72:$E$91)=0,0,'TO HOP NLAN'!E175*'TS-PILE'!$E$91/SUMSQ('TS-PILE'!$E$72:$E$91))+IF(SUMSQ('TS-PILE'!$D$72:$D$91)=0,0,'TO HOP NLAN'!F175*'TS-PILE'!$D$91/SUMSQ('TS-PILE'!$D$72:$D$91)))))</f>
        <v>0</v>
      </c>
      <c r="D175" s="58">
        <f>IF(A175="",0,MIN(IF('TS-PILE'!$B$72="",1E+99,'TO HOP NLAN'!D175/ncoc+IF(SUMSQ('TS-PILE'!$E$72:$E$91)=0,0,'TO HOP NLAN'!E175*'TS-PILE'!$E$72/SUMSQ('TS-PILE'!$E$72:$E$91))+IF(SUMSQ('TS-PILE'!$D$72:$D$91)=0,0,'TO HOP NLAN'!F175*'TS-PILE'!$D$72/SUMSQ('TS-PILE'!$D$72:$D$91))),IF('TS-PILE'!$B$73="",1E+99,'TO HOP NLAN'!D175/ncoc+IF(SUMSQ('TS-PILE'!$E$72:$E$91)=0,0,'TO HOP NLAN'!E175*'TS-PILE'!$E$73/SUMSQ('TS-PILE'!$E$72:$E$91))+IF(SUMSQ('TS-PILE'!$D$72:$D$91)=0,0,'TO HOP NLAN'!F175*'TS-PILE'!$D$73/SUMSQ('TS-PILE'!$D$72:$D$91))),IF('TS-PILE'!$B$74="",1E+99,'TO HOP NLAN'!D175/ncoc+IF(SUMSQ('TS-PILE'!$E$72:$E$91)=0,0,'TO HOP NLAN'!E175*'TS-PILE'!$E$74/SUMSQ('TS-PILE'!$E$72:$E$91))+IF(SUMSQ('TS-PILE'!$D$72:$D$91)=0,0,'TO HOP NLAN'!F175*'TS-PILE'!$D$74/SUMSQ('TS-PILE'!$D$72:$D$91))),IF('TS-PILE'!$B$75="",1E+99,'TO HOP NLAN'!D175/ncoc+IF(SUMSQ('TS-PILE'!$E$72:$E$91)=0,0,'TO HOP NLAN'!E175*'TS-PILE'!$E$75/SUMSQ('TS-PILE'!$E$72:$E$91))+IF(SUMSQ('TS-PILE'!$D$72:$D$91)=0,0,'TO HOP NLAN'!F175*'TS-PILE'!$D$75/SUMSQ('TS-PILE'!$D$72:$D$91))),IF('TS-PILE'!$B$76="",1E+99,'TO HOP NLAN'!D175/ncoc+IF(SUMSQ('TS-PILE'!$E$72:$E$91)=0,0,'TO HOP NLAN'!E175*'TS-PILE'!$E$76/SUMSQ('TS-PILE'!$E$72:$E$91))+IF(SUMSQ('TS-PILE'!$D$72:$D$91)=0,0,'TO HOP NLAN'!F175*'TS-PILE'!$D$76/SUMSQ('TS-PILE'!$D$72:$D$91))),IF('TS-PILE'!$B$77="",1E+99,'TO HOP NLAN'!D175/ncoc+IF(SUMSQ('TS-PILE'!$E$72:$E$91)=0,0,'TO HOP NLAN'!E175*'TS-PILE'!$E$77/SUMSQ('TS-PILE'!$E$72:$E$91))+IF(SUMSQ('TS-PILE'!$D$72:$D$91)=0,0,'TO HOP NLAN'!F175*'TS-PILE'!$D$77/SUMSQ('TS-PILE'!$D$72:$D$91))),IF('TS-PILE'!$B$78="",1E+99,'TO HOP NLAN'!D175/ncoc+IF(SUMSQ('TS-PILE'!$E$72:$E$91)=0,0,'TO HOP NLAN'!E175*'TS-PILE'!$E$78/SUMSQ('TS-PILE'!$E$72:$E$91))+IF(SUMSQ('TS-PILE'!$D$72:$D$91)=0,0,'TO HOP NLAN'!F175*'TS-PILE'!$D$78/SUMSQ('TS-PILE'!$D$72:$D$91))),IF('TS-PILE'!$B$79="",1E+99,'TO HOP NLAN'!D175/ncoc+IF(SUMSQ('TS-PILE'!$E$72:$E$91)=0,0,'TO HOP NLAN'!E175*'TS-PILE'!$E$79/SUMSQ('TS-PILE'!$E$72:$E$91))+IF(SUMSQ('TS-PILE'!$D$72:$D$91)=0,0,'TO HOP NLAN'!F175*'TS-PILE'!$D$79/SUMSQ('TS-PILE'!$D$72:$D$91))),IF('TS-PILE'!$B$80="",1E+99,'TO HOP NLAN'!D175/ncoc+IF(SUMSQ('TS-PILE'!$E$72:$E$91)=0,0,'TO HOP NLAN'!E175*'TS-PILE'!$E$80/SUMSQ('TS-PILE'!$E$72:$E$91))+IF(SUMSQ('TS-PILE'!$D$72:$D$91)=0,0,'TO HOP NLAN'!F175*'TS-PILE'!$D$80/SUMSQ('TS-PILE'!$D$72:$D$91))),IF('TS-PILE'!$B$81="",1E+99,'TO HOP NLAN'!D175/ncoc+IF(SUMSQ('TS-PILE'!$E$72:$E$91)=0,0,'TO HOP NLAN'!E175*'TS-PILE'!$E$81/SUMSQ('TS-PILE'!$E$72:$E$91))+IF(SUMSQ('TS-PILE'!$D$72:$D$91)=0,0,'TO HOP NLAN'!F175*'TS-PILE'!$D$81/SUMSQ('TS-PILE'!$D$72:$D$91))),IF('TS-PILE'!$B$82="",1E+99,'TO HOP NLAN'!D175/ncoc+IF(SUMSQ('TS-PILE'!$E$72:$E$91)=0,0,'TO HOP NLAN'!E175*'TS-PILE'!$E$82/SUMSQ('TS-PILE'!$E$72:$E$91))+IF(SUMSQ('TS-PILE'!$D$72:$D$91)=0,0,'TO HOP NLAN'!F175*'TS-PILE'!$D$82/SUMSQ('TS-PILE'!$D$72:$D$91))),IF('TS-PILE'!$B$83="",1E+99,'TO HOP NLAN'!D175/ncoc+IF(SUMSQ('TS-PILE'!$E$72:$E$91)=0,0,'TO HOP NLAN'!E175*'TS-PILE'!$E$83/SUMSQ('TS-PILE'!$E$72:$E$91))+IF(SUMSQ('TS-PILE'!$D$72:$D$91)=0,0,'TO HOP NLAN'!F175*'TS-PILE'!$D$83/SUMSQ('TS-PILE'!$D$72:$D$91))),IF('TS-PILE'!$B$84="",1E+99,'TO HOP NLAN'!D175/ncoc+IF(SUMSQ('TS-PILE'!$E$72:$E$91)=0,0,'TO HOP NLAN'!E175*'TS-PILE'!$E$84/SUMSQ('TS-PILE'!$E$72:$E$91))+IF(SUMSQ('TS-PILE'!$D$72:$D$91)=0,0,'TO HOP NLAN'!F175*'TS-PILE'!$D$84/SUMSQ('TS-PILE'!$D$72:$D$91))),IF('TS-PILE'!$B$85="",1E+99,'TO HOP NLAN'!D175/ncoc+IF(SUMSQ('TS-PILE'!$E$72:$E$91)=0,0,'TO HOP NLAN'!E175*'TS-PILE'!$E$85/SUMSQ('TS-PILE'!$E$72:$E$91))+IF(SUMSQ('TS-PILE'!$D$72:$D$91)=0,0,'TO HOP NLAN'!F175*'TS-PILE'!$D$85/SUMSQ('TS-PILE'!$D$72:$D$91))),IF('TS-PILE'!$B$86="",1E+99,'TO HOP NLAN'!D175/ncoc+IF(SUMSQ('TS-PILE'!$E$72:$E$91)=0,0,'TO HOP NLAN'!E175*'TS-PILE'!$E$86/SUMSQ('TS-PILE'!$E$72:$E$91))+IF(SUMSQ('TS-PILE'!$D$72:$D$91)=0,0,'TO HOP NLAN'!F175*'TS-PILE'!$D$86/SUMSQ('TS-PILE'!$D$72:$D$91))),IF('TS-PILE'!$B$87="",1E+99,'TO HOP NLAN'!D175/ncoc+IF(SUMSQ('TS-PILE'!$E$72:$E$91)=0,0,'TO HOP NLAN'!E175*'TS-PILE'!$E$87/SUMSQ('TS-PILE'!$E$72:$E$91))+IF(SUMSQ('TS-PILE'!$D$72:$D$91)=0,0,'TO HOP NLAN'!F175*'TS-PILE'!$D$87/SUMSQ('TS-PILE'!$D$72:$D$91))),IF('TS-PILE'!$B$88="",1E+99,'TO HOP NLAN'!D175/ncoc+IF(SUMSQ('TS-PILE'!$E$72:$E$91)=0,0,'TO HOP NLAN'!E175*'TS-PILE'!$E$88/SUMSQ('TS-PILE'!$E$72:$E$91))+IF(SUMSQ('TS-PILE'!$D$72:$D$91)=0,0,'TO HOP NLAN'!F175*'TS-PILE'!$D$88/SUMSQ('TS-PILE'!$D$72:$D$91))),IF('TS-PILE'!$B$89="",1E+99,'TO HOP NLAN'!D175/ncoc+IF(SUMSQ('TS-PILE'!$E$72:$E$91)=0,0,'TO HOP NLAN'!E175*'TS-PILE'!$E$89/SUMSQ('TS-PILE'!$E$72:$E$91))+IF(SUMSQ('TS-PILE'!$D$72:$D$91)=0,0,'TO HOP NLAN'!F175*'TS-PILE'!$D$89/SUMSQ('TS-PILE'!$D$72:$D$91))),IF('TS-PILE'!$B$90="",1E+99,'TO HOP NLAN'!D175/ncoc+IF(SUMSQ('TS-PILE'!$E$72:$E$91)=0,0,'TO HOP NLAN'!E175*'TS-PILE'!$E$90/SUMSQ('TS-PILE'!$E$72:$E$91))+IF(SUMSQ('TS-PILE'!$D$72:$D$91)=0,0,'TO HOP NLAN'!F175*'TS-PILE'!$D$90/SUMSQ('TS-PILE'!$D$72:$D$91))),IF('TS-PILE'!$B$91="",1E+99,'TO HOP NLAN'!D175/ncoc+IF(SUMSQ('TS-PILE'!$E$72:$E$91)=0,0,'TO HOP NLAN'!E175*'TS-PILE'!$E$91/SUMSQ('TS-PILE'!$E$72:$E$91))+IF(SUMSQ('TS-PILE'!$D$72:$D$91)=0,0,'TO HOP NLAN'!F175*'TS-PILE'!$D$91/SUMSQ('TS-PILE'!$D$72:$D$91)))))</f>
        <v>0</v>
      </c>
      <c r="E175" s="58">
        <f t="shared" si="8"/>
        <v>-9.9999999999999997E+98</v>
      </c>
      <c r="F175" s="58">
        <f t="shared" si="9"/>
        <v>9.9999999999999997E+98</v>
      </c>
      <c r="G175" s="58">
        <f t="shared" si="10"/>
        <v>-9.9999999999999997E+98</v>
      </c>
      <c r="H175" s="58">
        <f t="shared" si="11"/>
        <v>9.9999999999999997E+98</v>
      </c>
    </row>
    <row r="176" spans="1:8" x14ac:dyDescent="0.3">
      <c r="A176" s="42" t="str">
        <f>'TO HOP NLAN'!A176</f>
        <v/>
      </c>
      <c r="B176" s="42" t="str">
        <f>'TO HOP NLAN'!L176</f>
        <v>STRENGTH</v>
      </c>
      <c r="C176" s="58">
        <f>IF(A176="",0,MAX(IF('TS-PILE'!$B$72="",-1E+99,'TO HOP NLAN'!D176/ncoc+IF(SUMSQ('TS-PILE'!$E$72:$E$91)=0,0,'TO HOP NLAN'!E176*'TS-PILE'!$E$72/SUMSQ('TS-PILE'!$E$72:$E$91))+IF(SUMSQ('TS-PILE'!$D$72:$D$91)=0,0,'TO HOP NLAN'!F176*'TS-PILE'!$D$72/SUMSQ('TS-PILE'!$D$72:$D$91))),IF('TS-PILE'!$B$73="",-1E+99,'TO HOP NLAN'!D176/ncoc+IF(SUMSQ('TS-PILE'!$E$72:$E$91)=0,0,'TO HOP NLAN'!E176*'TS-PILE'!$E$73/SUMSQ('TS-PILE'!$E$72:$E$91))+IF(SUMSQ('TS-PILE'!$D$72:$D$91)=0,0,'TO HOP NLAN'!F176*'TS-PILE'!$D$73/SUMSQ('TS-PILE'!$D$72:$D$91))),IF('TS-PILE'!$B$74="",-1E+99,'TO HOP NLAN'!D176/ncoc+IF(SUMSQ('TS-PILE'!$E$72:$E$91)=0,0,'TO HOP NLAN'!E176*'TS-PILE'!$E$74/SUMSQ('TS-PILE'!$E$72:$E$91))+IF(SUMSQ('TS-PILE'!$D$72:$D$91)=0,0,'TO HOP NLAN'!F176*'TS-PILE'!$D$74/SUMSQ('TS-PILE'!$D$72:$D$91))),IF('TS-PILE'!$B$75="",-1E+99,'TO HOP NLAN'!D176/ncoc+IF(SUMSQ('TS-PILE'!$E$72:$E$91)=0,0,'TO HOP NLAN'!E176*'TS-PILE'!$E$75/SUMSQ('TS-PILE'!$E$72:$E$91))+IF(SUMSQ('TS-PILE'!$D$72:$D$91)=0,0,'TO HOP NLAN'!F176*'TS-PILE'!$D$75/SUMSQ('TS-PILE'!$D$72:$D$91))),IF('TS-PILE'!$B$76="",-1E+99,'TO HOP NLAN'!D176/ncoc+IF(SUMSQ('TS-PILE'!$E$72:$E$91)=0,0,'TO HOP NLAN'!E176*'TS-PILE'!$E$76/SUMSQ('TS-PILE'!$E$72:$E$91))+IF(SUMSQ('TS-PILE'!$D$72:$D$91)=0,0,'TO HOP NLAN'!F176*'TS-PILE'!$D$76/SUMSQ('TS-PILE'!$D$72:$D$91))),IF('TS-PILE'!$B$77="",-1E+99,'TO HOP NLAN'!D176/ncoc+IF(SUMSQ('TS-PILE'!$E$72:$E$91)=0,0,'TO HOP NLAN'!E176*'TS-PILE'!$E$77/SUMSQ('TS-PILE'!$E$72:$E$91))+IF(SUMSQ('TS-PILE'!$D$72:$D$91)=0,0,'TO HOP NLAN'!F176*'TS-PILE'!$D$77/SUMSQ('TS-PILE'!$D$72:$D$91))),IF('TS-PILE'!$B$78="",-1E+99,'TO HOP NLAN'!D176/ncoc+IF(SUMSQ('TS-PILE'!$E$72:$E$91)=0,0,'TO HOP NLAN'!E176*'TS-PILE'!$E$78/SUMSQ('TS-PILE'!$E$72:$E$91))+IF(SUMSQ('TS-PILE'!$D$72:$D$91)=0,0,'TO HOP NLAN'!F176*'TS-PILE'!$D$78/SUMSQ('TS-PILE'!$D$72:$D$91))),IF('TS-PILE'!$B$79="",-1E+99,'TO HOP NLAN'!D176/ncoc+IF(SUMSQ('TS-PILE'!$E$72:$E$91)=0,0,'TO HOP NLAN'!E176*'TS-PILE'!$E$79/SUMSQ('TS-PILE'!$E$72:$E$91))+IF(SUMSQ('TS-PILE'!$D$72:$D$91)=0,0,'TO HOP NLAN'!F176*'TS-PILE'!$D$79/SUMSQ('TS-PILE'!$D$72:$D$91))),IF('TS-PILE'!$B$80="",-1E+99,'TO HOP NLAN'!D176/ncoc+IF(SUMSQ('TS-PILE'!$E$72:$E$91)=0,0,'TO HOP NLAN'!E176*'TS-PILE'!$E$80/SUMSQ('TS-PILE'!$E$72:$E$91))+IF(SUMSQ('TS-PILE'!$D$72:$D$91)=0,0,'TO HOP NLAN'!F176*'TS-PILE'!$D$80/SUMSQ('TS-PILE'!$D$72:$D$91))),IF('TS-PILE'!$B$81="",-1E+99,'TO HOP NLAN'!D176/ncoc+IF(SUMSQ('TS-PILE'!$E$72:$E$91)=0,0,'TO HOP NLAN'!E176*'TS-PILE'!$E$81/SUMSQ('TS-PILE'!$E$72:$E$91))+IF(SUMSQ('TS-PILE'!$D$72:$D$91)=0,0,'TO HOP NLAN'!F176*'TS-PILE'!$D$81/SUMSQ('TS-PILE'!$D$72:$D$91))),IF('TS-PILE'!$B$82="",-1E+99,'TO HOP NLAN'!D176/ncoc+IF(SUMSQ('TS-PILE'!$E$72:$E$91)=0,0,'TO HOP NLAN'!E176*'TS-PILE'!$E$82/SUMSQ('TS-PILE'!$E$72:$E$91))+IF(SUMSQ('TS-PILE'!$D$72:$D$91)=0,0,'TO HOP NLAN'!F176*'TS-PILE'!$D$82/SUMSQ('TS-PILE'!$D$72:$D$91))),IF('TS-PILE'!$B$83="",-1E+99,'TO HOP NLAN'!D176/ncoc+IF(SUMSQ('TS-PILE'!$E$72:$E$91)=0,0,'TO HOP NLAN'!E176*'TS-PILE'!$E$83/SUMSQ('TS-PILE'!$E$72:$E$91))+IF(SUMSQ('TS-PILE'!$D$72:$D$91)=0,0,'TO HOP NLAN'!F176*'TS-PILE'!$D$83/SUMSQ('TS-PILE'!$D$72:$D$91))),IF('TS-PILE'!$B$84="",-1E+99,'TO HOP NLAN'!D176/ncoc+IF(SUMSQ('TS-PILE'!$E$72:$E$91)=0,0,'TO HOP NLAN'!E176*'TS-PILE'!$E$84/SUMSQ('TS-PILE'!$E$72:$E$91))+IF(SUMSQ('TS-PILE'!$D$72:$D$91)=0,0,'TO HOP NLAN'!F176*'TS-PILE'!$D$84/SUMSQ('TS-PILE'!$D$72:$D$91))),IF('TS-PILE'!$B$85="",-1E+99,'TO HOP NLAN'!D176/ncoc+IF(SUMSQ('TS-PILE'!$E$72:$E$91)=0,0,'TO HOP NLAN'!E176*'TS-PILE'!$E$85/SUMSQ('TS-PILE'!$E$72:$E$91))+IF(SUMSQ('TS-PILE'!$D$72:$D$91)=0,0,'TO HOP NLAN'!F176*'TS-PILE'!$D$85/SUMSQ('TS-PILE'!$D$72:$D$91))),IF('TS-PILE'!$B$86="",-1E+99,'TO HOP NLAN'!D176/ncoc+IF(SUMSQ('TS-PILE'!$E$72:$E$91)=0,0,'TO HOP NLAN'!E176*'TS-PILE'!$E$86/SUMSQ('TS-PILE'!$E$72:$E$91))+IF(SUMSQ('TS-PILE'!$D$72:$D$91)=0,0,'TO HOP NLAN'!F176*'TS-PILE'!$D$86/SUMSQ('TS-PILE'!$D$72:$D$91))),IF('TS-PILE'!$B$87="",-1E+99,'TO HOP NLAN'!D176/ncoc+IF(SUMSQ('TS-PILE'!$E$72:$E$91)=0,0,'TO HOP NLAN'!E176*'TS-PILE'!$E$87/SUMSQ('TS-PILE'!$E$72:$E$91))+IF(SUMSQ('TS-PILE'!$D$72:$D$91)=0,0,'TO HOP NLAN'!F176*'TS-PILE'!$D$87/SUMSQ('TS-PILE'!$D$72:$D$91))),IF('TS-PILE'!$B$88="",-1E+99,'TO HOP NLAN'!D176/ncoc+IF(SUMSQ('TS-PILE'!$E$72:$E$91)=0,0,'TO HOP NLAN'!E176*'TS-PILE'!$E$88/SUMSQ('TS-PILE'!$E$72:$E$91))+IF(SUMSQ('TS-PILE'!$D$72:$D$91)=0,0,'TO HOP NLAN'!F176*'TS-PILE'!$D$88/SUMSQ('TS-PILE'!$D$72:$D$91))),IF('TS-PILE'!$B$89="",-1E+99,'TO HOP NLAN'!D176/ncoc+IF(SUMSQ('TS-PILE'!$E$72:$E$91)=0,0,'TO HOP NLAN'!E176*'TS-PILE'!$E$89/SUMSQ('TS-PILE'!$E$72:$E$91))+IF(SUMSQ('TS-PILE'!$D$72:$D$91)=0,0,'TO HOP NLAN'!F176*'TS-PILE'!$D$89/SUMSQ('TS-PILE'!$D$72:$D$91))),IF('TS-PILE'!$B$90="",-1E+99,'TO HOP NLAN'!D176/ncoc+IF(SUMSQ('TS-PILE'!$E$72:$E$91)=0,0,'TO HOP NLAN'!E176*'TS-PILE'!$E$90/SUMSQ('TS-PILE'!$E$72:$E$91))+IF(SUMSQ('TS-PILE'!$D$72:$D$91)=0,0,'TO HOP NLAN'!F176*'TS-PILE'!$D$90/SUMSQ('TS-PILE'!$D$72:$D$91))),IF('TS-PILE'!$B$91="",-1E+99,'TO HOP NLAN'!D176/ncoc+IF(SUMSQ('TS-PILE'!$E$72:$E$91)=0,0,'TO HOP NLAN'!E176*'TS-PILE'!$E$91/SUMSQ('TS-PILE'!$E$72:$E$91))+IF(SUMSQ('TS-PILE'!$D$72:$D$91)=0,0,'TO HOP NLAN'!F176*'TS-PILE'!$D$91/SUMSQ('TS-PILE'!$D$72:$D$91)))))</f>
        <v>0</v>
      </c>
      <c r="D176" s="58">
        <f>IF(A176="",0,MIN(IF('TS-PILE'!$B$72="",1E+99,'TO HOP NLAN'!D176/ncoc+IF(SUMSQ('TS-PILE'!$E$72:$E$91)=0,0,'TO HOP NLAN'!E176*'TS-PILE'!$E$72/SUMSQ('TS-PILE'!$E$72:$E$91))+IF(SUMSQ('TS-PILE'!$D$72:$D$91)=0,0,'TO HOP NLAN'!F176*'TS-PILE'!$D$72/SUMSQ('TS-PILE'!$D$72:$D$91))),IF('TS-PILE'!$B$73="",1E+99,'TO HOP NLAN'!D176/ncoc+IF(SUMSQ('TS-PILE'!$E$72:$E$91)=0,0,'TO HOP NLAN'!E176*'TS-PILE'!$E$73/SUMSQ('TS-PILE'!$E$72:$E$91))+IF(SUMSQ('TS-PILE'!$D$72:$D$91)=0,0,'TO HOP NLAN'!F176*'TS-PILE'!$D$73/SUMSQ('TS-PILE'!$D$72:$D$91))),IF('TS-PILE'!$B$74="",1E+99,'TO HOP NLAN'!D176/ncoc+IF(SUMSQ('TS-PILE'!$E$72:$E$91)=0,0,'TO HOP NLAN'!E176*'TS-PILE'!$E$74/SUMSQ('TS-PILE'!$E$72:$E$91))+IF(SUMSQ('TS-PILE'!$D$72:$D$91)=0,0,'TO HOP NLAN'!F176*'TS-PILE'!$D$74/SUMSQ('TS-PILE'!$D$72:$D$91))),IF('TS-PILE'!$B$75="",1E+99,'TO HOP NLAN'!D176/ncoc+IF(SUMSQ('TS-PILE'!$E$72:$E$91)=0,0,'TO HOP NLAN'!E176*'TS-PILE'!$E$75/SUMSQ('TS-PILE'!$E$72:$E$91))+IF(SUMSQ('TS-PILE'!$D$72:$D$91)=0,0,'TO HOP NLAN'!F176*'TS-PILE'!$D$75/SUMSQ('TS-PILE'!$D$72:$D$91))),IF('TS-PILE'!$B$76="",1E+99,'TO HOP NLAN'!D176/ncoc+IF(SUMSQ('TS-PILE'!$E$72:$E$91)=0,0,'TO HOP NLAN'!E176*'TS-PILE'!$E$76/SUMSQ('TS-PILE'!$E$72:$E$91))+IF(SUMSQ('TS-PILE'!$D$72:$D$91)=0,0,'TO HOP NLAN'!F176*'TS-PILE'!$D$76/SUMSQ('TS-PILE'!$D$72:$D$91))),IF('TS-PILE'!$B$77="",1E+99,'TO HOP NLAN'!D176/ncoc+IF(SUMSQ('TS-PILE'!$E$72:$E$91)=0,0,'TO HOP NLAN'!E176*'TS-PILE'!$E$77/SUMSQ('TS-PILE'!$E$72:$E$91))+IF(SUMSQ('TS-PILE'!$D$72:$D$91)=0,0,'TO HOP NLAN'!F176*'TS-PILE'!$D$77/SUMSQ('TS-PILE'!$D$72:$D$91))),IF('TS-PILE'!$B$78="",1E+99,'TO HOP NLAN'!D176/ncoc+IF(SUMSQ('TS-PILE'!$E$72:$E$91)=0,0,'TO HOP NLAN'!E176*'TS-PILE'!$E$78/SUMSQ('TS-PILE'!$E$72:$E$91))+IF(SUMSQ('TS-PILE'!$D$72:$D$91)=0,0,'TO HOP NLAN'!F176*'TS-PILE'!$D$78/SUMSQ('TS-PILE'!$D$72:$D$91))),IF('TS-PILE'!$B$79="",1E+99,'TO HOP NLAN'!D176/ncoc+IF(SUMSQ('TS-PILE'!$E$72:$E$91)=0,0,'TO HOP NLAN'!E176*'TS-PILE'!$E$79/SUMSQ('TS-PILE'!$E$72:$E$91))+IF(SUMSQ('TS-PILE'!$D$72:$D$91)=0,0,'TO HOP NLAN'!F176*'TS-PILE'!$D$79/SUMSQ('TS-PILE'!$D$72:$D$91))),IF('TS-PILE'!$B$80="",1E+99,'TO HOP NLAN'!D176/ncoc+IF(SUMSQ('TS-PILE'!$E$72:$E$91)=0,0,'TO HOP NLAN'!E176*'TS-PILE'!$E$80/SUMSQ('TS-PILE'!$E$72:$E$91))+IF(SUMSQ('TS-PILE'!$D$72:$D$91)=0,0,'TO HOP NLAN'!F176*'TS-PILE'!$D$80/SUMSQ('TS-PILE'!$D$72:$D$91))),IF('TS-PILE'!$B$81="",1E+99,'TO HOP NLAN'!D176/ncoc+IF(SUMSQ('TS-PILE'!$E$72:$E$91)=0,0,'TO HOP NLAN'!E176*'TS-PILE'!$E$81/SUMSQ('TS-PILE'!$E$72:$E$91))+IF(SUMSQ('TS-PILE'!$D$72:$D$91)=0,0,'TO HOP NLAN'!F176*'TS-PILE'!$D$81/SUMSQ('TS-PILE'!$D$72:$D$91))),IF('TS-PILE'!$B$82="",1E+99,'TO HOP NLAN'!D176/ncoc+IF(SUMSQ('TS-PILE'!$E$72:$E$91)=0,0,'TO HOP NLAN'!E176*'TS-PILE'!$E$82/SUMSQ('TS-PILE'!$E$72:$E$91))+IF(SUMSQ('TS-PILE'!$D$72:$D$91)=0,0,'TO HOP NLAN'!F176*'TS-PILE'!$D$82/SUMSQ('TS-PILE'!$D$72:$D$91))),IF('TS-PILE'!$B$83="",1E+99,'TO HOP NLAN'!D176/ncoc+IF(SUMSQ('TS-PILE'!$E$72:$E$91)=0,0,'TO HOP NLAN'!E176*'TS-PILE'!$E$83/SUMSQ('TS-PILE'!$E$72:$E$91))+IF(SUMSQ('TS-PILE'!$D$72:$D$91)=0,0,'TO HOP NLAN'!F176*'TS-PILE'!$D$83/SUMSQ('TS-PILE'!$D$72:$D$91))),IF('TS-PILE'!$B$84="",1E+99,'TO HOP NLAN'!D176/ncoc+IF(SUMSQ('TS-PILE'!$E$72:$E$91)=0,0,'TO HOP NLAN'!E176*'TS-PILE'!$E$84/SUMSQ('TS-PILE'!$E$72:$E$91))+IF(SUMSQ('TS-PILE'!$D$72:$D$91)=0,0,'TO HOP NLAN'!F176*'TS-PILE'!$D$84/SUMSQ('TS-PILE'!$D$72:$D$91))),IF('TS-PILE'!$B$85="",1E+99,'TO HOP NLAN'!D176/ncoc+IF(SUMSQ('TS-PILE'!$E$72:$E$91)=0,0,'TO HOP NLAN'!E176*'TS-PILE'!$E$85/SUMSQ('TS-PILE'!$E$72:$E$91))+IF(SUMSQ('TS-PILE'!$D$72:$D$91)=0,0,'TO HOP NLAN'!F176*'TS-PILE'!$D$85/SUMSQ('TS-PILE'!$D$72:$D$91))),IF('TS-PILE'!$B$86="",1E+99,'TO HOP NLAN'!D176/ncoc+IF(SUMSQ('TS-PILE'!$E$72:$E$91)=0,0,'TO HOP NLAN'!E176*'TS-PILE'!$E$86/SUMSQ('TS-PILE'!$E$72:$E$91))+IF(SUMSQ('TS-PILE'!$D$72:$D$91)=0,0,'TO HOP NLAN'!F176*'TS-PILE'!$D$86/SUMSQ('TS-PILE'!$D$72:$D$91))),IF('TS-PILE'!$B$87="",1E+99,'TO HOP NLAN'!D176/ncoc+IF(SUMSQ('TS-PILE'!$E$72:$E$91)=0,0,'TO HOP NLAN'!E176*'TS-PILE'!$E$87/SUMSQ('TS-PILE'!$E$72:$E$91))+IF(SUMSQ('TS-PILE'!$D$72:$D$91)=0,0,'TO HOP NLAN'!F176*'TS-PILE'!$D$87/SUMSQ('TS-PILE'!$D$72:$D$91))),IF('TS-PILE'!$B$88="",1E+99,'TO HOP NLAN'!D176/ncoc+IF(SUMSQ('TS-PILE'!$E$72:$E$91)=0,0,'TO HOP NLAN'!E176*'TS-PILE'!$E$88/SUMSQ('TS-PILE'!$E$72:$E$91))+IF(SUMSQ('TS-PILE'!$D$72:$D$91)=0,0,'TO HOP NLAN'!F176*'TS-PILE'!$D$88/SUMSQ('TS-PILE'!$D$72:$D$91))),IF('TS-PILE'!$B$89="",1E+99,'TO HOP NLAN'!D176/ncoc+IF(SUMSQ('TS-PILE'!$E$72:$E$91)=0,0,'TO HOP NLAN'!E176*'TS-PILE'!$E$89/SUMSQ('TS-PILE'!$E$72:$E$91))+IF(SUMSQ('TS-PILE'!$D$72:$D$91)=0,0,'TO HOP NLAN'!F176*'TS-PILE'!$D$89/SUMSQ('TS-PILE'!$D$72:$D$91))),IF('TS-PILE'!$B$90="",1E+99,'TO HOP NLAN'!D176/ncoc+IF(SUMSQ('TS-PILE'!$E$72:$E$91)=0,0,'TO HOP NLAN'!E176*'TS-PILE'!$E$90/SUMSQ('TS-PILE'!$E$72:$E$91))+IF(SUMSQ('TS-PILE'!$D$72:$D$91)=0,0,'TO HOP NLAN'!F176*'TS-PILE'!$D$90/SUMSQ('TS-PILE'!$D$72:$D$91))),IF('TS-PILE'!$B$91="",1E+99,'TO HOP NLAN'!D176/ncoc+IF(SUMSQ('TS-PILE'!$E$72:$E$91)=0,0,'TO HOP NLAN'!E176*'TS-PILE'!$E$91/SUMSQ('TS-PILE'!$E$72:$E$91))+IF(SUMSQ('TS-PILE'!$D$72:$D$91)=0,0,'TO HOP NLAN'!F176*'TS-PILE'!$D$91/SUMSQ('TS-PILE'!$D$72:$D$91)))))</f>
        <v>0</v>
      </c>
      <c r="E176" s="58">
        <f t="shared" si="8"/>
        <v>-9.9999999999999997E+98</v>
      </c>
      <c r="F176" s="58">
        <f t="shared" si="9"/>
        <v>9.9999999999999997E+98</v>
      </c>
      <c r="G176" s="58">
        <f t="shared" si="10"/>
        <v>-9.9999999999999997E+98</v>
      </c>
      <c r="H176" s="58">
        <f t="shared" si="11"/>
        <v>9.9999999999999997E+98</v>
      </c>
    </row>
    <row r="177" spans="1:8" x14ac:dyDescent="0.3">
      <c r="A177" s="42" t="str">
        <f>'TO HOP NLAN'!A177</f>
        <v/>
      </c>
      <c r="B177" s="42" t="str">
        <f>'TO HOP NLAN'!L177</f>
        <v>STRENGTH</v>
      </c>
      <c r="C177" s="58">
        <f>IF(A177="",0,MAX(IF('TS-PILE'!$B$72="",-1E+99,'TO HOP NLAN'!D177/ncoc+IF(SUMSQ('TS-PILE'!$E$72:$E$91)=0,0,'TO HOP NLAN'!E177*'TS-PILE'!$E$72/SUMSQ('TS-PILE'!$E$72:$E$91))+IF(SUMSQ('TS-PILE'!$D$72:$D$91)=0,0,'TO HOP NLAN'!F177*'TS-PILE'!$D$72/SUMSQ('TS-PILE'!$D$72:$D$91))),IF('TS-PILE'!$B$73="",-1E+99,'TO HOP NLAN'!D177/ncoc+IF(SUMSQ('TS-PILE'!$E$72:$E$91)=0,0,'TO HOP NLAN'!E177*'TS-PILE'!$E$73/SUMSQ('TS-PILE'!$E$72:$E$91))+IF(SUMSQ('TS-PILE'!$D$72:$D$91)=0,0,'TO HOP NLAN'!F177*'TS-PILE'!$D$73/SUMSQ('TS-PILE'!$D$72:$D$91))),IF('TS-PILE'!$B$74="",-1E+99,'TO HOP NLAN'!D177/ncoc+IF(SUMSQ('TS-PILE'!$E$72:$E$91)=0,0,'TO HOP NLAN'!E177*'TS-PILE'!$E$74/SUMSQ('TS-PILE'!$E$72:$E$91))+IF(SUMSQ('TS-PILE'!$D$72:$D$91)=0,0,'TO HOP NLAN'!F177*'TS-PILE'!$D$74/SUMSQ('TS-PILE'!$D$72:$D$91))),IF('TS-PILE'!$B$75="",-1E+99,'TO HOP NLAN'!D177/ncoc+IF(SUMSQ('TS-PILE'!$E$72:$E$91)=0,0,'TO HOP NLAN'!E177*'TS-PILE'!$E$75/SUMSQ('TS-PILE'!$E$72:$E$91))+IF(SUMSQ('TS-PILE'!$D$72:$D$91)=0,0,'TO HOP NLAN'!F177*'TS-PILE'!$D$75/SUMSQ('TS-PILE'!$D$72:$D$91))),IF('TS-PILE'!$B$76="",-1E+99,'TO HOP NLAN'!D177/ncoc+IF(SUMSQ('TS-PILE'!$E$72:$E$91)=0,0,'TO HOP NLAN'!E177*'TS-PILE'!$E$76/SUMSQ('TS-PILE'!$E$72:$E$91))+IF(SUMSQ('TS-PILE'!$D$72:$D$91)=0,0,'TO HOP NLAN'!F177*'TS-PILE'!$D$76/SUMSQ('TS-PILE'!$D$72:$D$91))),IF('TS-PILE'!$B$77="",-1E+99,'TO HOP NLAN'!D177/ncoc+IF(SUMSQ('TS-PILE'!$E$72:$E$91)=0,0,'TO HOP NLAN'!E177*'TS-PILE'!$E$77/SUMSQ('TS-PILE'!$E$72:$E$91))+IF(SUMSQ('TS-PILE'!$D$72:$D$91)=0,0,'TO HOP NLAN'!F177*'TS-PILE'!$D$77/SUMSQ('TS-PILE'!$D$72:$D$91))),IF('TS-PILE'!$B$78="",-1E+99,'TO HOP NLAN'!D177/ncoc+IF(SUMSQ('TS-PILE'!$E$72:$E$91)=0,0,'TO HOP NLAN'!E177*'TS-PILE'!$E$78/SUMSQ('TS-PILE'!$E$72:$E$91))+IF(SUMSQ('TS-PILE'!$D$72:$D$91)=0,0,'TO HOP NLAN'!F177*'TS-PILE'!$D$78/SUMSQ('TS-PILE'!$D$72:$D$91))),IF('TS-PILE'!$B$79="",-1E+99,'TO HOP NLAN'!D177/ncoc+IF(SUMSQ('TS-PILE'!$E$72:$E$91)=0,0,'TO HOP NLAN'!E177*'TS-PILE'!$E$79/SUMSQ('TS-PILE'!$E$72:$E$91))+IF(SUMSQ('TS-PILE'!$D$72:$D$91)=0,0,'TO HOP NLAN'!F177*'TS-PILE'!$D$79/SUMSQ('TS-PILE'!$D$72:$D$91))),IF('TS-PILE'!$B$80="",-1E+99,'TO HOP NLAN'!D177/ncoc+IF(SUMSQ('TS-PILE'!$E$72:$E$91)=0,0,'TO HOP NLAN'!E177*'TS-PILE'!$E$80/SUMSQ('TS-PILE'!$E$72:$E$91))+IF(SUMSQ('TS-PILE'!$D$72:$D$91)=0,0,'TO HOP NLAN'!F177*'TS-PILE'!$D$80/SUMSQ('TS-PILE'!$D$72:$D$91))),IF('TS-PILE'!$B$81="",-1E+99,'TO HOP NLAN'!D177/ncoc+IF(SUMSQ('TS-PILE'!$E$72:$E$91)=0,0,'TO HOP NLAN'!E177*'TS-PILE'!$E$81/SUMSQ('TS-PILE'!$E$72:$E$91))+IF(SUMSQ('TS-PILE'!$D$72:$D$91)=0,0,'TO HOP NLAN'!F177*'TS-PILE'!$D$81/SUMSQ('TS-PILE'!$D$72:$D$91))),IF('TS-PILE'!$B$82="",-1E+99,'TO HOP NLAN'!D177/ncoc+IF(SUMSQ('TS-PILE'!$E$72:$E$91)=0,0,'TO HOP NLAN'!E177*'TS-PILE'!$E$82/SUMSQ('TS-PILE'!$E$72:$E$91))+IF(SUMSQ('TS-PILE'!$D$72:$D$91)=0,0,'TO HOP NLAN'!F177*'TS-PILE'!$D$82/SUMSQ('TS-PILE'!$D$72:$D$91))),IF('TS-PILE'!$B$83="",-1E+99,'TO HOP NLAN'!D177/ncoc+IF(SUMSQ('TS-PILE'!$E$72:$E$91)=0,0,'TO HOP NLAN'!E177*'TS-PILE'!$E$83/SUMSQ('TS-PILE'!$E$72:$E$91))+IF(SUMSQ('TS-PILE'!$D$72:$D$91)=0,0,'TO HOP NLAN'!F177*'TS-PILE'!$D$83/SUMSQ('TS-PILE'!$D$72:$D$91))),IF('TS-PILE'!$B$84="",-1E+99,'TO HOP NLAN'!D177/ncoc+IF(SUMSQ('TS-PILE'!$E$72:$E$91)=0,0,'TO HOP NLAN'!E177*'TS-PILE'!$E$84/SUMSQ('TS-PILE'!$E$72:$E$91))+IF(SUMSQ('TS-PILE'!$D$72:$D$91)=0,0,'TO HOP NLAN'!F177*'TS-PILE'!$D$84/SUMSQ('TS-PILE'!$D$72:$D$91))),IF('TS-PILE'!$B$85="",-1E+99,'TO HOP NLAN'!D177/ncoc+IF(SUMSQ('TS-PILE'!$E$72:$E$91)=0,0,'TO HOP NLAN'!E177*'TS-PILE'!$E$85/SUMSQ('TS-PILE'!$E$72:$E$91))+IF(SUMSQ('TS-PILE'!$D$72:$D$91)=0,0,'TO HOP NLAN'!F177*'TS-PILE'!$D$85/SUMSQ('TS-PILE'!$D$72:$D$91))),IF('TS-PILE'!$B$86="",-1E+99,'TO HOP NLAN'!D177/ncoc+IF(SUMSQ('TS-PILE'!$E$72:$E$91)=0,0,'TO HOP NLAN'!E177*'TS-PILE'!$E$86/SUMSQ('TS-PILE'!$E$72:$E$91))+IF(SUMSQ('TS-PILE'!$D$72:$D$91)=0,0,'TO HOP NLAN'!F177*'TS-PILE'!$D$86/SUMSQ('TS-PILE'!$D$72:$D$91))),IF('TS-PILE'!$B$87="",-1E+99,'TO HOP NLAN'!D177/ncoc+IF(SUMSQ('TS-PILE'!$E$72:$E$91)=0,0,'TO HOP NLAN'!E177*'TS-PILE'!$E$87/SUMSQ('TS-PILE'!$E$72:$E$91))+IF(SUMSQ('TS-PILE'!$D$72:$D$91)=0,0,'TO HOP NLAN'!F177*'TS-PILE'!$D$87/SUMSQ('TS-PILE'!$D$72:$D$91))),IF('TS-PILE'!$B$88="",-1E+99,'TO HOP NLAN'!D177/ncoc+IF(SUMSQ('TS-PILE'!$E$72:$E$91)=0,0,'TO HOP NLAN'!E177*'TS-PILE'!$E$88/SUMSQ('TS-PILE'!$E$72:$E$91))+IF(SUMSQ('TS-PILE'!$D$72:$D$91)=0,0,'TO HOP NLAN'!F177*'TS-PILE'!$D$88/SUMSQ('TS-PILE'!$D$72:$D$91))),IF('TS-PILE'!$B$89="",-1E+99,'TO HOP NLAN'!D177/ncoc+IF(SUMSQ('TS-PILE'!$E$72:$E$91)=0,0,'TO HOP NLAN'!E177*'TS-PILE'!$E$89/SUMSQ('TS-PILE'!$E$72:$E$91))+IF(SUMSQ('TS-PILE'!$D$72:$D$91)=0,0,'TO HOP NLAN'!F177*'TS-PILE'!$D$89/SUMSQ('TS-PILE'!$D$72:$D$91))),IF('TS-PILE'!$B$90="",-1E+99,'TO HOP NLAN'!D177/ncoc+IF(SUMSQ('TS-PILE'!$E$72:$E$91)=0,0,'TO HOP NLAN'!E177*'TS-PILE'!$E$90/SUMSQ('TS-PILE'!$E$72:$E$91))+IF(SUMSQ('TS-PILE'!$D$72:$D$91)=0,0,'TO HOP NLAN'!F177*'TS-PILE'!$D$90/SUMSQ('TS-PILE'!$D$72:$D$91))),IF('TS-PILE'!$B$91="",-1E+99,'TO HOP NLAN'!D177/ncoc+IF(SUMSQ('TS-PILE'!$E$72:$E$91)=0,0,'TO HOP NLAN'!E177*'TS-PILE'!$E$91/SUMSQ('TS-PILE'!$E$72:$E$91))+IF(SUMSQ('TS-PILE'!$D$72:$D$91)=0,0,'TO HOP NLAN'!F177*'TS-PILE'!$D$91/SUMSQ('TS-PILE'!$D$72:$D$91)))))</f>
        <v>0</v>
      </c>
      <c r="D177" s="58">
        <f>IF(A177="",0,MIN(IF('TS-PILE'!$B$72="",1E+99,'TO HOP NLAN'!D177/ncoc+IF(SUMSQ('TS-PILE'!$E$72:$E$91)=0,0,'TO HOP NLAN'!E177*'TS-PILE'!$E$72/SUMSQ('TS-PILE'!$E$72:$E$91))+IF(SUMSQ('TS-PILE'!$D$72:$D$91)=0,0,'TO HOP NLAN'!F177*'TS-PILE'!$D$72/SUMSQ('TS-PILE'!$D$72:$D$91))),IF('TS-PILE'!$B$73="",1E+99,'TO HOP NLAN'!D177/ncoc+IF(SUMSQ('TS-PILE'!$E$72:$E$91)=0,0,'TO HOP NLAN'!E177*'TS-PILE'!$E$73/SUMSQ('TS-PILE'!$E$72:$E$91))+IF(SUMSQ('TS-PILE'!$D$72:$D$91)=0,0,'TO HOP NLAN'!F177*'TS-PILE'!$D$73/SUMSQ('TS-PILE'!$D$72:$D$91))),IF('TS-PILE'!$B$74="",1E+99,'TO HOP NLAN'!D177/ncoc+IF(SUMSQ('TS-PILE'!$E$72:$E$91)=0,0,'TO HOP NLAN'!E177*'TS-PILE'!$E$74/SUMSQ('TS-PILE'!$E$72:$E$91))+IF(SUMSQ('TS-PILE'!$D$72:$D$91)=0,0,'TO HOP NLAN'!F177*'TS-PILE'!$D$74/SUMSQ('TS-PILE'!$D$72:$D$91))),IF('TS-PILE'!$B$75="",1E+99,'TO HOP NLAN'!D177/ncoc+IF(SUMSQ('TS-PILE'!$E$72:$E$91)=0,0,'TO HOP NLAN'!E177*'TS-PILE'!$E$75/SUMSQ('TS-PILE'!$E$72:$E$91))+IF(SUMSQ('TS-PILE'!$D$72:$D$91)=0,0,'TO HOP NLAN'!F177*'TS-PILE'!$D$75/SUMSQ('TS-PILE'!$D$72:$D$91))),IF('TS-PILE'!$B$76="",1E+99,'TO HOP NLAN'!D177/ncoc+IF(SUMSQ('TS-PILE'!$E$72:$E$91)=0,0,'TO HOP NLAN'!E177*'TS-PILE'!$E$76/SUMSQ('TS-PILE'!$E$72:$E$91))+IF(SUMSQ('TS-PILE'!$D$72:$D$91)=0,0,'TO HOP NLAN'!F177*'TS-PILE'!$D$76/SUMSQ('TS-PILE'!$D$72:$D$91))),IF('TS-PILE'!$B$77="",1E+99,'TO HOP NLAN'!D177/ncoc+IF(SUMSQ('TS-PILE'!$E$72:$E$91)=0,0,'TO HOP NLAN'!E177*'TS-PILE'!$E$77/SUMSQ('TS-PILE'!$E$72:$E$91))+IF(SUMSQ('TS-PILE'!$D$72:$D$91)=0,0,'TO HOP NLAN'!F177*'TS-PILE'!$D$77/SUMSQ('TS-PILE'!$D$72:$D$91))),IF('TS-PILE'!$B$78="",1E+99,'TO HOP NLAN'!D177/ncoc+IF(SUMSQ('TS-PILE'!$E$72:$E$91)=0,0,'TO HOP NLAN'!E177*'TS-PILE'!$E$78/SUMSQ('TS-PILE'!$E$72:$E$91))+IF(SUMSQ('TS-PILE'!$D$72:$D$91)=0,0,'TO HOP NLAN'!F177*'TS-PILE'!$D$78/SUMSQ('TS-PILE'!$D$72:$D$91))),IF('TS-PILE'!$B$79="",1E+99,'TO HOP NLAN'!D177/ncoc+IF(SUMSQ('TS-PILE'!$E$72:$E$91)=0,0,'TO HOP NLAN'!E177*'TS-PILE'!$E$79/SUMSQ('TS-PILE'!$E$72:$E$91))+IF(SUMSQ('TS-PILE'!$D$72:$D$91)=0,0,'TO HOP NLAN'!F177*'TS-PILE'!$D$79/SUMSQ('TS-PILE'!$D$72:$D$91))),IF('TS-PILE'!$B$80="",1E+99,'TO HOP NLAN'!D177/ncoc+IF(SUMSQ('TS-PILE'!$E$72:$E$91)=0,0,'TO HOP NLAN'!E177*'TS-PILE'!$E$80/SUMSQ('TS-PILE'!$E$72:$E$91))+IF(SUMSQ('TS-PILE'!$D$72:$D$91)=0,0,'TO HOP NLAN'!F177*'TS-PILE'!$D$80/SUMSQ('TS-PILE'!$D$72:$D$91))),IF('TS-PILE'!$B$81="",1E+99,'TO HOP NLAN'!D177/ncoc+IF(SUMSQ('TS-PILE'!$E$72:$E$91)=0,0,'TO HOP NLAN'!E177*'TS-PILE'!$E$81/SUMSQ('TS-PILE'!$E$72:$E$91))+IF(SUMSQ('TS-PILE'!$D$72:$D$91)=0,0,'TO HOP NLAN'!F177*'TS-PILE'!$D$81/SUMSQ('TS-PILE'!$D$72:$D$91))),IF('TS-PILE'!$B$82="",1E+99,'TO HOP NLAN'!D177/ncoc+IF(SUMSQ('TS-PILE'!$E$72:$E$91)=0,0,'TO HOP NLAN'!E177*'TS-PILE'!$E$82/SUMSQ('TS-PILE'!$E$72:$E$91))+IF(SUMSQ('TS-PILE'!$D$72:$D$91)=0,0,'TO HOP NLAN'!F177*'TS-PILE'!$D$82/SUMSQ('TS-PILE'!$D$72:$D$91))),IF('TS-PILE'!$B$83="",1E+99,'TO HOP NLAN'!D177/ncoc+IF(SUMSQ('TS-PILE'!$E$72:$E$91)=0,0,'TO HOP NLAN'!E177*'TS-PILE'!$E$83/SUMSQ('TS-PILE'!$E$72:$E$91))+IF(SUMSQ('TS-PILE'!$D$72:$D$91)=0,0,'TO HOP NLAN'!F177*'TS-PILE'!$D$83/SUMSQ('TS-PILE'!$D$72:$D$91))),IF('TS-PILE'!$B$84="",1E+99,'TO HOP NLAN'!D177/ncoc+IF(SUMSQ('TS-PILE'!$E$72:$E$91)=0,0,'TO HOP NLAN'!E177*'TS-PILE'!$E$84/SUMSQ('TS-PILE'!$E$72:$E$91))+IF(SUMSQ('TS-PILE'!$D$72:$D$91)=0,0,'TO HOP NLAN'!F177*'TS-PILE'!$D$84/SUMSQ('TS-PILE'!$D$72:$D$91))),IF('TS-PILE'!$B$85="",1E+99,'TO HOP NLAN'!D177/ncoc+IF(SUMSQ('TS-PILE'!$E$72:$E$91)=0,0,'TO HOP NLAN'!E177*'TS-PILE'!$E$85/SUMSQ('TS-PILE'!$E$72:$E$91))+IF(SUMSQ('TS-PILE'!$D$72:$D$91)=0,0,'TO HOP NLAN'!F177*'TS-PILE'!$D$85/SUMSQ('TS-PILE'!$D$72:$D$91))),IF('TS-PILE'!$B$86="",1E+99,'TO HOP NLAN'!D177/ncoc+IF(SUMSQ('TS-PILE'!$E$72:$E$91)=0,0,'TO HOP NLAN'!E177*'TS-PILE'!$E$86/SUMSQ('TS-PILE'!$E$72:$E$91))+IF(SUMSQ('TS-PILE'!$D$72:$D$91)=0,0,'TO HOP NLAN'!F177*'TS-PILE'!$D$86/SUMSQ('TS-PILE'!$D$72:$D$91))),IF('TS-PILE'!$B$87="",1E+99,'TO HOP NLAN'!D177/ncoc+IF(SUMSQ('TS-PILE'!$E$72:$E$91)=0,0,'TO HOP NLAN'!E177*'TS-PILE'!$E$87/SUMSQ('TS-PILE'!$E$72:$E$91))+IF(SUMSQ('TS-PILE'!$D$72:$D$91)=0,0,'TO HOP NLAN'!F177*'TS-PILE'!$D$87/SUMSQ('TS-PILE'!$D$72:$D$91))),IF('TS-PILE'!$B$88="",1E+99,'TO HOP NLAN'!D177/ncoc+IF(SUMSQ('TS-PILE'!$E$72:$E$91)=0,0,'TO HOP NLAN'!E177*'TS-PILE'!$E$88/SUMSQ('TS-PILE'!$E$72:$E$91))+IF(SUMSQ('TS-PILE'!$D$72:$D$91)=0,0,'TO HOP NLAN'!F177*'TS-PILE'!$D$88/SUMSQ('TS-PILE'!$D$72:$D$91))),IF('TS-PILE'!$B$89="",1E+99,'TO HOP NLAN'!D177/ncoc+IF(SUMSQ('TS-PILE'!$E$72:$E$91)=0,0,'TO HOP NLAN'!E177*'TS-PILE'!$E$89/SUMSQ('TS-PILE'!$E$72:$E$91))+IF(SUMSQ('TS-PILE'!$D$72:$D$91)=0,0,'TO HOP NLAN'!F177*'TS-PILE'!$D$89/SUMSQ('TS-PILE'!$D$72:$D$91))),IF('TS-PILE'!$B$90="",1E+99,'TO HOP NLAN'!D177/ncoc+IF(SUMSQ('TS-PILE'!$E$72:$E$91)=0,0,'TO HOP NLAN'!E177*'TS-PILE'!$E$90/SUMSQ('TS-PILE'!$E$72:$E$91))+IF(SUMSQ('TS-PILE'!$D$72:$D$91)=0,0,'TO HOP NLAN'!F177*'TS-PILE'!$D$90/SUMSQ('TS-PILE'!$D$72:$D$91))),IF('TS-PILE'!$B$91="",1E+99,'TO HOP NLAN'!D177/ncoc+IF(SUMSQ('TS-PILE'!$E$72:$E$91)=0,0,'TO HOP NLAN'!E177*'TS-PILE'!$E$91/SUMSQ('TS-PILE'!$E$72:$E$91))+IF(SUMSQ('TS-PILE'!$D$72:$D$91)=0,0,'TO HOP NLAN'!F177*'TS-PILE'!$D$91/SUMSQ('TS-PILE'!$D$72:$D$91)))))</f>
        <v>0</v>
      </c>
      <c r="E177" s="58">
        <f t="shared" si="8"/>
        <v>-9.9999999999999997E+98</v>
      </c>
      <c r="F177" s="58">
        <f t="shared" si="9"/>
        <v>9.9999999999999997E+98</v>
      </c>
      <c r="G177" s="58">
        <f t="shared" si="10"/>
        <v>-9.9999999999999997E+98</v>
      </c>
      <c r="H177" s="58">
        <f t="shared" si="11"/>
        <v>9.9999999999999997E+98</v>
      </c>
    </row>
    <row r="178" spans="1:8" x14ac:dyDescent="0.3">
      <c r="A178" s="42" t="str">
        <f>'TO HOP NLAN'!A178</f>
        <v/>
      </c>
      <c r="B178" s="42" t="str">
        <f>'TO HOP NLAN'!L178</f>
        <v>STRENGTH</v>
      </c>
      <c r="C178" s="58">
        <f>IF(A178="",0,MAX(IF('TS-PILE'!$B$72="",-1E+99,'TO HOP NLAN'!D178/ncoc+IF(SUMSQ('TS-PILE'!$E$72:$E$91)=0,0,'TO HOP NLAN'!E178*'TS-PILE'!$E$72/SUMSQ('TS-PILE'!$E$72:$E$91))+IF(SUMSQ('TS-PILE'!$D$72:$D$91)=0,0,'TO HOP NLAN'!F178*'TS-PILE'!$D$72/SUMSQ('TS-PILE'!$D$72:$D$91))),IF('TS-PILE'!$B$73="",-1E+99,'TO HOP NLAN'!D178/ncoc+IF(SUMSQ('TS-PILE'!$E$72:$E$91)=0,0,'TO HOP NLAN'!E178*'TS-PILE'!$E$73/SUMSQ('TS-PILE'!$E$72:$E$91))+IF(SUMSQ('TS-PILE'!$D$72:$D$91)=0,0,'TO HOP NLAN'!F178*'TS-PILE'!$D$73/SUMSQ('TS-PILE'!$D$72:$D$91))),IF('TS-PILE'!$B$74="",-1E+99,'TO HOP NLAN'!D178/ncoc+IF(SUMSQ('TS-PILE'!$E$72:$E$91)=0,0,'TO HOP NLAN'!E178*'TS-PILE'!$E$74/SUMSQ('TS-PILE'!$E$72:$E$91))+IF(SUMSQ('TS-PILE'!$D$72:$D$91)=0,0,'TO HOP NLAN'!F178*'TS-PILE'!$D$74/SUMSQ('TS-PILE'!$D$72:$D$91))),IF('TS-PILE'!$B$75="",-1E+99,'TO HOP NLAN'!D178/ncoc+IF(SUMSQ('TS-PILE'!$E$72:$E$91)=0,0,'TO HOP NLAN'!E178*'TS-PILE'!$E$75/SUMSQ('TS-PILE'!$E$72:$E$91))+IF(SUMSQ('TS-PILE'!$D$72:$D$91)=0,0,'TO HOP NLAN'!F178*'TS-PILE'!$D$75/SUMSQ('TS-PILE'!$D$72:$D$91))),IF('TS-PILE'!$B$76="",-1E+99,'TO HOP NLAN'!D178/ncoc+IF(SUMSQ('TS-PILE'!$E$72:$E$91)=0,0,'TO HOP NLAN'!E178*'TS-PILE'!$E$76/SUMSQ('TS-PILE'!$E$72:$E$91))+IF(SUMSQ('TS-PILE'!$D$72:$D$91)=0,0,'TO HOP NLAN'!F178*'TS-PILE'!$D$76/SUMSQ('TS-PILE'!$D$72:$D$91))),IF('TS-PILE'!$B$77="",-1E+99,'TO HOP NLAN'!D178/ncoc+IF(SUMSQ('TS-PILE'!$E$72:$E$91)=0,0,'TO HOP NLAN'!E178*'TS-PILE'!$E$77/SUMSQ('TS-PILE'!$E$72:$E$91))+IF(SUMSQ('TS-PILE'!$D$72:$D$91)=0,0,'TO HOP NLAN'!F178*'TS-PILE'!$D$77/SUMSQ('TS-PILE'!$D$72:$D$91))),IF('TS-PILE'!$B$78="",-1E+99,'TO HOP NLAN'!D178/ncoc+IF(SUMSQ('TS-PILE'!$E$72:$E$91)=0,0,'TO HOP NLAN'!E178*'TS-PILE'!$E$78/SUMSQ('TS-PILE'!$E$72:$E$91))+IF(SUMSQ('TS-PILE'!$D$72:$D$91)=0,0,'TO HOP NLAN'!F178*'TS-PILE'!$D$78/SUMSQ('TS-PILE'!$D$72:$D$91))),IF('TS-PILE'!$B$79="",-1E+99,'TO HOP NLAN'!D178/ncoc+IF(SUMSQ('TS-PILE'!$E$72:$E$91)=0,0,'TO HOP NLAN'!E178*'TS-PILE'!$E$79/SUMSQ('TS-PILE'!$E$72:$E$91))+IF(SUMSQ('TS-PILE'!$D$72:$D$91)=0,0,'TO HOP NLAN'!F178*'TS-PILE'!$D$79/SUMSQ('TS-PILE'!$D$72:$D$91))),IF('TS-PILE'!$B$80="",-1E+99,'TO HOP NLAN'!D178/ncoc+IF(SUMSQ('TS-PILE'!$E$72:$E$91)=0,0,'TO HOP NLAN'!E178*'TS-PILE'!$E$80/SUMSQ('TS-PILE'!$E$72:$E$91))+IF(SUMSQ('TS-PILE'!$D$72:$D$91)=0,0,'TO HOP NLAN'!F178*'TS-PILE'!$D$80/SUMSQ('TS-PILE'!$D$72:$D$91))),IF('TS-PILE'!$B$81="",-1E+99,'TO HOP NLAN'!D178/ncoc+IF(SUMSQ('TS-PILE'!$E$72:$E$91)=0,0,'TO HOP NLAN'!E178*'TS-PILE'!$E$81/SUMSQ('TS-PILE'!$E$72:$E$91))+IF(SUMSQ('TS-PILE'!$D$72:$D$91)=0,0,'TO HOP NLAN'!F178*'TS-PILE'!$D$81/SUMSQ('TS-PILE'!$D$72:$D$91))),IF('TS-PILE'!$B$82="",-1E+99,'TO HOP NLAN'!D178/ncoc+IF(SUMSQ('TS-PILE'!$E$72:$E$91)=0,0,'TO HOP NLAN'!E178*'TS-PILE'!$E$82/SUMSQ('TS-PILE'!$E$72:$E$91))+IF(SUMSQ('TS-PILE'!$D$72:$D$91)=0,0,'TO HOP NLAN'!F178*'TS-PILE'!$D$82/SUMSQ('TS-PILE'!$D$72:$D$91))),IF('TS-PILE'!$B$83="",-1E+99,'TO HOP NLAN'!D178/ncoc+IF(SUMSQ('TS-PILE'!$E$72:$E$91)=0,0,'TO HOP NLAN'!E178*'TS-PILE'!$E$83/SUMSQ('TS-PILE'!$E$72:$E$91))+IF(SUMSQ('TS-PILE'!$D$72:$D$91)=0,0,'TO HOP NLAN'!F178*'TS-PILE'!$D$83/SUMSQ('TS-PILE'!$D$72:$D$91))),IF('TS-PILE'!$B$84="",-1E+99,'TO HOP NLAN'!D178/ncoc+IF(SUMSQ('TS-PILE'!$E$72:$E$91)=0,0,'TO HOP NLAN'!E178*'TS-PILE'!$E$84/SUMSQ('TS-PILE'!$E$72:$E$91))+IF(SUMSQ('TS-PILE'!$D$72:$D$91)=0,0,'TO HOP NLAN'!F178*'TS-PILE'!$D$84/SUMSQ('TS-PILE'!$D$72:$D$91))),IF('TS-PILE'!$B$85="",-1E+99,'TO HOP NLAN'!D178/ncoc+IF(SUMSQ('TS-PILE'!$E$72:$E$91)=0,0,'TO HOP NLAN'!E178*'TS-PILE'!$E$85/SUMSQ('TS-PILE'!$E$72:$E$91))+IF(SUMSQ('TS-PILE'!$D$72:$D$91)=0,0,'TO HOP NLAN'!F178*'TS-PILE'!$D$85/SUMSQ('TS-PILE'!$D$72:$D$91))),IF('TS-PILE'!$B$86="",-1E+99,'TO HOP NLAN'!D178/ncoc+IF(SUMSQ('TS-PILE'!$E$72:$E$91)=0,0,'TO HOP NLAN'!E178*'TS-PILE'!$E$86/SUMSQ('TS-PILE'!$E$72:$E$91))+IF(SUMSQ('TS-PILE'!$D$72:$D$91)=0,0,'TO HOP NLAN'!F178*'TS-PILE'!$D$86/SUMSQ('TS-PILE'!$D$72:$D$91))),IF('TS-PILE'!$B$87="",-1E+99,'TO HOP NLAN'!D178/ncoc+IF(SUMSQ('TS-PILE'!$E$72:$E$91)=0,0,'TO HOP NLAN'!E178*'TS-PILE'!$E$87/SUMSQ('TS-PILE'!$E$72:$E$91))+IF(SUMSQ('TS-PILE'!$D$72:$D$91)=0,0,'TO HOP NLAN'!F178*'TS-PILE'!$D$87/SUMSQ('TS-PILE'!$D$72:$D$91))),IF('TS-PILE'!$B$88="",-1E+99,'TO HOP NLAN'!D178/ncoc+IF(SUMSQ('TS-PILE'!$E$72:$E$91)=0,0,'TO HOP NLAN'!E178*'TS-PILE'!$E$88/SUMSQ('TS-PILE'!$E$72:$E$91))+IF(SUMSQ('TS-PILE'!$D$72:$D$91)=0,0,'TO HOP NLAN'!F178*'TS-PILE'!$D$88/SUMSQ('TS-PILE'!$D$72:$D$91))),IF('TS-PILE'!$B$89="",-1E+99,'TO HOP NLAN'!D178/ncoc+IF(SUMSQ('TS-PILE'!$E$72:$E$91)=0,0,'TO HOP NLAN'!E178*'TS-PILE'!$E$89/SUMSQ('TS-PILE'!$E$72:$E$91))+IF(SUMSQ('TS-PILE'!$D$72:$D$91)=0,0,'TO HOP NLAN'!F178*'TS-PILE'!$D$89/SUMSQ('TS-PILE'!$D$72:$D$91))),IF('TS-PILE'!$B$90="",-1E+99,'TO HOP NLAN'!D178/ncoc+IF(SUMSQ('TS-PILE'!$E$72:$E$91)=0,0,'TO HOP NLAN'!E178*'TS-PILE'!$E$90/SUMSQ('TS-PILE'!$E$72:$E$91))+IF(SUMSQ('TS-PILE'!$D$72:$D$91)=0,0,'TO HOP NLAN'!F178*'TS-PILE'!$D$90/SUMSQ('TS-PILE'!$D$72:$D$91))),IF('TS-PILE'!$B$91="",-1E+99,'TO HOP NLAN'!D178/ncoc+IF(SUMSQ('TS-PILE'!$E$72:$E$91)=0,0,'TO HOP NLAN'!E178*'TS-PILE'!$E$91/SUMSQ('TS-PILE'!$E$72:$E$91))+IF(SUMSQ('TS-PILE'!$D$72:$D$91)=0,0,'TO HOP NLAN'!F178*'TS-PILE'!$D$91/SUMSQ('TS-PILE'!$D$72:$D$91)))))</f>
        <v>0</v>
      </c>
      <c r="D178" s="58">
        <f>IF(A178="",0,MIN(IF('TS-PILE'!$B$72="",1E+99,'TO HOP NLAN'!D178/ncoc+IF(SUMSQ('TS-PILE'!$E$72:$E$91)=0,0,'TO HOP NLAN'!E178*'TS-PILE'!$E$72/SUMSQ('TS-PILE'!$E$72:$E$91))+IF(SUMSQ('TS-PILE'!$D$72:$D$91)=0,0,'TO HOP NLAN'!F178*'TS-PILE'!$D$72/SUMSQ('TS-PILE'!$D$72:$D$91))),IF('TS-PILE'!$B$73="",1E+99,'TO HOP NLAN'!D178/ncoc+IF(SUMSQ('TS-PILE'!$E$72:$E$91)=0,0,'TO HOP NLAN'!E178*'TS-PILE'!$E$73/SUMSQ('TS-PILE'!$E$72:$E$91))+IF(SUMSQ('TS-PILE'!$D$72:$D$91)=0,0,'TO HOP NLAN'!F178*'TS-PILE'!$D$73/SUMSQ('TS-PILE'!$D$72:$D$91))),IF('TS-PILE'!$B$74="",1E+99,'TO HOP NLAN'!D178/ncoc+IF(SUMSQ('TS-PILE'!$E$72:$E$91)=0,0,'TO HOP NLAN'!E178*'TS-PILE'!$E$74/SUMSQ('TS-PILE'!$E$72:$E$91))+IF(SUMSQ('TS-PILE'!$D$72:$D$91)=0,0,'TO HOP NLAN'!F178*'TS-PILE'!$D$74/SUMSQ('TS-PILE'!$D$72:$D$91))),IF('TS-PILE'!$B$75="",1E+99,'TO HOP NLAN'!D178/ncoc+IF(SUMSQ('TS-PILE'!$E$72:$E$91)=0,0,'TO HOP NLAN'!E178*'TS-PILE'!$E$75/SUMSQ('TS-PILE'!$E$72:$E$91))+IF(SUMSQ('TS-PILE'!$D$72:$D$91)=0,0,'TO HOP NLAN'!F178*'TS-PILE'!$D$75/SUMSQ('TS-PILE'!$D$72:$D$91))),IF('TS-PILE'!$B$76="",1E+99,'TO HOP NLAN'!D178/ncoc+IF(SUMSQ('TS-PILE'!$E$72:$E$91)=0,0,'TO HOP NLAN'!E178*'TS-PILE'!$E$76/SUMSQ('TS-PILE'!$E$72:$E$91))+IF(SUMSQ('TS-PILE'!$D$72:$D$91)=0,0,'TO HOP NLAN'!F178*'TS-PILE'!$D$76/SUMSQ('TS-PILE'!$D$72:$D$91))),IF('TS-PILE'!$B$77="",1E+99,'TO HOP NLAN'!D178/ncoc+IF(SUMSQ('TS-PILE'!$E$72:$E$91)=0,0,'TO HOP NLAN'!E178*'TS-PILE'!$E$77/SUMSQ('TS-PILE'!$E$72:$E$91))+IF(SUMSQ('TS-PILE'!$D$72:$D$91)=0,0,'TO HOP NLAN'!F178*'TS-PILE'!$D$77/SUMSQ('TS-PILE'!$D$72:$D$91))),IF('TS-PILE'!$B$78="",1E+99,'TO HOP NLAN'!D178/ncoc+IF(SUMSQ('TS-PILE'!$E$72:$E$91)=0,0,'TO HOP NLAN'!E178*'TS-PILE'!$E$78/SUMSQ('TS-PILE'!$E$72:$E$91))+IF(SUMSQ('TS-PILE'!$D$72:$D$91)=0,0,'TO HOP NLAN'!F178*'TS-PILE'!$D$78/SUMSQ('TS-PILE'!$D$72:$D$91))),IF('TS-PILE'!$B$79="",1E+99,'TO HOP NLAN'!D178/ncoc+IF(SUMSQ('TS-PILE'!$E$72:$E$91)=0,0,'TO HOP NLAN'!E178*'TS-PILE'!$E$79/SUMSQ('TS-PILE'!$E$72:$E$91))+IF(SUMSQ('TS-PILE'!$D$72:$D$91)=0,0,'TO HOP NLAN'!F178*'TS-PILE'!$D$79/SUMSQ('TS-PILE'!$D$72:$D$91))),IF('TS-PILE'!$B$80="",1E+99,'TO HOP NLAN'!D178/ncoc+IF(SUMSQ('TS-PILE'!$E$72:$E$91)=0,0,'TO HOP NLAN'!E178*'TS-PILE'!$E$80/SUMSQ('TS-PILE'!$E$72:$E$91))+IF(SUMSQ('TS-PILE'!$D$72:$D$91)=0,0,'TO HOP NLAN'!F178*'TS-PILE'!$D$80/SUMSQ('TS-PILE'!$D$72:$D$91))),IF('TS-PILE'!$B$81="",1E+99,'TO HOP NLAN'!D178/ncoc+IF(SUMSQ('TS-PILE'!$E$72:$E$91)=0,0,'TO HOP NLAN'!E178*'TS-PILE'!$E$81/SUMSQ('TS-PILE'!$E$72:$E$91))+IF(SUMSQ('TS-PILE'!$D$72:$D$91)=0,0,'TO HOP NLAN'!F178*'TS-PILE'!$D$81/SUMSQ('TS-PILE'!$D$72:$D$91))),IF('TS-PILE'!$B$82="",1E+99,'TO HOP NLAN'!D178/ncoc+IF(SUMSQ('TS-PILE'!$E$72:$E$91)=0,0,'TO HOP NLAN'!E178*'TS-PILE'!$E$82/SUMSQ('TS-PILE'!$E$72:$E$91))+IF(SUMSQ('TS-PILE'!$D$72:$D$91)=0,0,'TO HOP NLAN'!F178*'TS-PILE'!$D$82/SUMSQ('TS-PILE'!$D$72:$D$91))),IF('TS-PILE'!$B$83="",1E+99,'TO HOP NLAN'!D178/ncoc+IF(SUMSQ('TS-PILE'!$E$72:$E$91)=0,0,'TO HOP NLAN'!E178*'TS-PILE'!$E$83/SUMSQ('TS-PILE'!$E$72:$E$91))+IF(SUMSQ('TS-PILE'!$D$72:$D$91)=0,0,'TO HOP NLAN'!F178*'TS-PILE'!$D$83/SUMSQ('TS-PILE'!$D$72:$D$91))),IF('TS-PILE'!$B$84="",1E+99,'TO HOP NLAN'!D178/ncoc+IF(SUMSQ('TS-PILE'!$E$72:$E$91)=0,0,'TO HOP NLAN'!E178*'TS-PILE'!$E$84/SUMSQ('TS-PILE'!$E$72:$E$91))+IF(SUMSQ('TS-PILE'!$D$72:$D$91)=0,0,'TO HOP NLAN'!F178*'TS-PILE'!$D$84/SUMSQ('TS-PILE'!$D$72:$D$91))),IF('TS-PILE'!$B$85="",1E+99,'TO HOP NLAN'!D178/ncoc+IF(SUMSQ('TS-PILE'!$E$72:$E$91)=0,0,'TO HOP NLAN'!E178*'TS-PILE'!$E$85/SUMSQ('TS-PILE'!$E$72:$E$91))+IF(SUMSQ('TS-PILE'!$D$72:$D$91)=0,0,'TO HOP NLAN'!F178*'TS-PILE'!$D$85/SUMSQ('TS-PILE'!$D$72:$D$91))),IF('TS-PILE'!$B$86="",1E+99,'TO HOP NLAN'!D178/ncoc+IF(SUMSQ('TS-PILE'!$E$72:$E$91)=0,0,'TO HOP NLAN'!E178*'TS-PILE'!$E$86/SUMSQ('TS-PILE'!$E$72:$E$91))+IF(SUMSQ('TS-PILE'!$D$72:$D$91)=0,0,'TO HOP NLAN'!F178*'TS-PILE'!$D$86/SUMSQ('TS-PILE'!$D$72:$D$91))),IF('TS-PILE'!$B$87="",1E+99,'TO HOP NLAN'!D178/ncoc+IF(SUMSQ('TS-PILE'!$E$72:$E$91)=0,0,'TO HOP NLAN'!E178*'TS-PILE'!$E$87/SUMSQ('TS-PILE'!$E$72:$E$91))+IF(SUMSQ('TS-PILE'!$D$72:$D$91)=0,0,'TO HOP NLAN'!F178*'TS-PILE'!$D$87/SUMSQ('TS-PILE'!$D$72:$D$91))),IF('TS-PILE'!$B$88="",1E+99,'TO HOP NLAN'!D178/ncoc+IF(SUMSQ('TS-PILE'!$E$72:$E$91)=0,0,'TO HOP NLAN'!E178*'TS-PILE'!$E$88/SUMSQ('TS-PILE'!$E$72:$E$91))+IF(SUMSQ('TS-PILE'!$D$72:$D$91)=0,0,'TO HOP NLAN'!F178*'TS-PILE'!$D$88/SUMSQ('TS-PILE'!$D$72:$D$91))),IF('TS-PILE'!$B$89="",1E+99,'TO HOP NLAN'!D178/ncoc+IF(SUMSQ('TS-PILE'!$E$72:$E$91)=0,0,'TO HOP NLAN'!E178*'TS-PILE'!$E$89/SUMSQ('TS-PILE'!$E$72:$E$91))+IF(SUMSQ('TS-PILE'!$D$72:$D$91)=0,0,'TO HOP NLAN'!F178*'TS-PILE'!$D$89/SUMSQ('TS-PILE'!$D$72:$D$91))),IF('TS-PILE'!$B$90="",1E+99,'TO HOP NLAN'!D178/ncoc+IF(SUMSQ('TS-PILE'!$E$72:$E$91)=0,0,'TO HOP NLAN'!E178*'TS-PILE'!$E$90/SUMSQ('TS-PILE'!$E$72:$E$91))+IF(SUMSQ('TS-PILE'!$D$72:$D$91)=0,0,'TO HOP NLAN'!F178*'TS-PILE'!$D$90/SUMSQ('TS-PILE'!$D$72:$D$91))),IF('TS-PILE'!$B$91="",1E+99,'TO HOP NLAN'!D178/ncoc+IF(SUMSQ('TS-PILE'!$E$72:$E$91)=0,0,'TO HOP NLAN'!E178*'TS-PILE'!$E$91/SUMSQ('TS-PILE'!$E$72:$E$91))+IF(SUMSQ('TS-PILE'!$D$72:$D$91)=0,0,'TO HOP NLAN'!F178*'TS-PILE'!$D$91/SUMSQ('TS-PILE'!$D$72:$D$91)))))</f>
        <v>0</v>
      </c>
      <c r="E178" s="58">
        <f t="shared" si="8"/>
        <v>-9.9999999999999997E+98</v>
      </c>
      <c r="F178" s="58">
        <f t="shared" si="9"/>
        <v>9.9999999999999997E+98</v>
      </c>
      <c r="G178" s="58">
        <f t="shared" si="10"/>
        <v>-9.9999999999999997E+98</v>
      </c>
      <c r="H178" s="58">
        <f t="shared" si="11"/>
        <v>9.9999999999999997E+98</v>
      </c>
    </row>
    <row r="179" spans="1:8" x14ac:dyDescent="0.3">
      <c r="A179" s="42" t="str">
        <f>'TO HOP NLAN'!A179</f>
        <v/>
      </c>
      <c r="B179" s="42" t="str">
        <f>'TO HOP NLAN'!L179</f>
        <v>STRENGTH</v>
      </c>
      <c r="C179" s="58">
        <f>IF(A179="",0,MAX(IF('TS-PILE'!$B$72="",-1E+99,'TO HOP NLAN'!D179/ncoc+IF(SUMSQ('TS-PILE'!$E$72:$E$91)=0,0,'TO HOP NLAN'!E179*'TS-PILE'!$E$72/SUMSQ('TS-PILE'!$E$72:$E$91))+IF(SUMSQ('TS-PILE'!$D$72:$D$91)=0,0,'TO HOP NLAN'!F179*'TS-PILE'!$D$72/SUMSQ('TS-PILE'!$D$72:$D$91))),IF('TS-PILE'!$B$73="",-1E+99,'TO HOP NLAN'!D179/ncoc+IF(SUMSQ('TS-PILE'!$E$72:$E$91)=0,0,'TO HOP NLAN'!E179*'TS-PILE'!$E$73/SUMSQ('TS-PILE'!$E$72:$E$91))+IF(SUMSQ('TS-PILE'!$D$72:$D$91)=0,0,'TO HOP NLAN'!F179*'TS-PILE'!$D$73/SUMSQ('TS-PILE'!$D$72:$D$91))),IF('TS-PILE'!$B$74="",-1E+99,'TO HOP NLAN'!D179/ncoc+IF(SUMSQ('TS-PILE'!$E$72:$E$91)=0,0,'TO HOP NLAN'!E179*'TS-PILE'!$E$74/SUMSQ('TS-PILE'!$E$72:$E$91))+IF(SUMSQ('TS-PILE'!$D$72:$D$91)=0,0,'TO HOP NLAN'!F179*'TS-PILE'!$D$74/SUMSQ('TS-PILE'!$D$72:$D$91))),IF('TS-PILE'!$B$75="",-1E+99,'TO HOP NLAN'!D179/ncoc+IF(SUMSQ('TS-PILE'!$E$72:$E$91)=0,0,'TO HOP NLAN'!E179*'TS-PILE'!$E$75/SUMSQ('TS-PILE'!$E$72:$E$91))+IF(SUMSQ('TS-PILE'!$D$72:$D$91)=0,0,'TO HOP NLAN'!F179*'TS-PILE'!$D$75/SUMSQ('TS-PILE'!$D$72:$D$91))),IF('TS-PILE'!$B$76="",-1E+99,'TO HOP NLAN'!D179/ncoc+IF(SUMSQ('TS-PILE'!$E$72:$E$91)=0,0,'TO HOP NLAN'!E179*'TS-PILE'!$E$76/SUMSQ('TS-PILE'!$E$72:$E$91))+IF(SUMSQ('TS-PILE'!$D$72:$D$91)=0,0,'TO HOP NLAN'!F179*'TS-PILE'!$D$76/SUMSQ('TS-PILE'!$D$72:$D$91))),IF('TS-PILE'!$B$77="",-1E+99,'TO HOP NLAN'!D179/ncoc+IF(SUMSQ('TS-PILE'!$E$72:$E$91)=0,0,'TO HOP NLAN'!E179*'TS-PILE'!$E$77/SUMSQ('TS-PILE'!$E$72:$E$91))+IF(SUMSQ('TS-PILE'!$D$72:$D$91)=0,0,'TO HOP NLAN'!F179*'TS-PILE'!$D$77/SUMSQ('TS-PILE'!$D$72:$D$91))),IF('TS-PILE'!$B$78="",-1E+99,'TO HOP NLAN'!D179/ncoc+IF(SUMSQ('TS-PILE'!$E$72:$E$91)=0,0,'TO HOP NLAN'!E179*'TS-PILE'!$E$78/SUMSQ('TS-PILE'!$E$72:$E$91))+IF(SUMSQ('TS-PILE'!$D$72:$D$91)=0,0,'TO HOP NLAN'!F179*'TS-PILE'!$D$78/SUMSQ('TS-PILE'!$D$72:$D$91))),IF('TS-PILE'!$B$79="",-1E+99,'TO HOP NLAN'!D179/ncoc+IF(SUMSQ('TS-PILE'!$E$72:$E$91)=0,0,'TO HOP NLAN'!E179*'TS-PILE'!$E$79/SUMSQ('TS-PILE'!$E$72:$E$91))+IF(SUMSQ('TS-PILE'!$D$72:$D$91)=0,0,'TO HOP NLAN'!F179*'TS-PILE'!$D$79/SUMSQ('TS-PILE'!$D$72:$D$91))),IF('TS-PILE'!$B$80="",-1E+99,'TO HOP NLAN'!D179/ncoc+IF(SUMSQ('TS-PILE'!$E$72:$E$91)=0,0,'TO HOP NLAN'!E179*'TS-PILE'!$E$80/SUMSQ('TS-PILE'!$E$72:$E$91))+IF(SUMSQ('TS-PILE'!$D$72:$D$91)=0,0,'TO HOP NLAN'!F179*'TS-PILE'!$D$80/SUMSQ('TS-PILE'!$D$72:$D$91))),IF('TS-PILE'!$B$81="",-1E+99,'TO HOP NLAN'!D179/ncoc+IF(SUMSQ('TS-PILE'!$E$72:$E$91)=0,0,'TO HOP NLAN'!E179*'TS-PILE'!$E$81/SUMSQ('TS-PILE'!$E$72:$E$91))+IF(SUMSQ('TS-PILE'!$D$72:$D$91)=0,0,'TO HOP NLAN'!F179*'TS-PILE'!$D$81/SUMSQ('TS-PILE'!$D$72:$D$91))),IF('TS-PILE'!$B$82="",-1E+99,'TO HOP NLAN'!D179/ncoc+IF(SUMSQ('TS-PILE'!$E$72:$E$91)=0,0,'TO HOP NLAN'!E179*'TS-PILE'!$E$82/SUMSQ('TS-PILE'!$E$72:$E$91))+IF(SUMSQ('TS-PILE'!$D$72:$D$91)=0,0,'TO HOP NLAN'!F179*'TS-PILE'!$D$82/SUMSQ('TS-PILE'!$D$72:$D$91))),IF('TS-PILE'!$B$83="",-1E+99,'TO HOP NLAN'!D179/ncoc+IF(SUMSQ('TS-PILE'!$E$72:$E$91)=0,0,'TO HOP NLAN'!E179*'TS-PILE'!$E$83/SUMSQ('TS-PILE'!$E$72:$E$91))+IF(SUMSQ('TS-PILE'!$D$72:$D$91)=0,0,'TO HOP NLAN'!F179*'TS-PILE'!$D$83/SUMSQ('TS-PILE'!$D$72:$D$91))),IF('TS-PILE'!$B$84="",-1E+99,'TO HOP NLAN'!D179/ncoc+IF(SUMSQ('TS-PILE'!$E$72:$E$91)=0,0,'TO HOP NLAN'!E179*'TS-PILE'!$E$84/SUMSQ('TS-PILE'!$E$72:$E$91))+IF(SUMSQ('TS-PILE'!$D$72:$D$91)=0,0,'TO HOP NLAN'!F179*'TS-PILE'!$D$84/SUMSQ('TS-PILE'!$D$72:$D$91))),IF('TS-PILE'!$B$85="",-1E+99,'TO HOP NLAN'!D179/ncoc+IF(SUMSQ('TS-PILE'!$E$72:$E$91)=0,0,'TO HOP NLAN'!E179*'TS-PILE'!$E$85/SUMSQ('TS-PILE'!$E$72:$E$91))+IF(SUMSQ('TS-PILE'!$D$72:$D$91)=0,0,'TO HOP NLAN'!F179*'TS-PILE'!$D$85/SUMSQ('TS-PILE'!$D$72:$D$91))),IF('TS-PILE'!$B$86="",-1E+99,'TO HOP NLAN'!D179/ncoc+IF(SUMSQ('TS-PILE'!$E$72:$E$91)=0,0,'TO HOP NLAN'!E179*'TS-PILE'!$E$86/SUMSQ('TS-PILE'!$E$72:$E$91))+IF(SUMSQ('TS-PILE'!$D$72:$D$91)=0,0,'TO HOP NLAN'!F179*'TS-PILE'!$D$86/SUMSQ('TS-PILE'!$D$72:$D$91))),IF('TS-PILE'!$B$87="",-1E+99,'TO HOP NLAN'!D179/ncoc+IF(SUMSQ('TS-PILE'!$E$72:$E$91)=0,0,'TO HOP NLAN'!E179*'TS-PILE'!$E$87/SUMSQ('TS-PILE'!$E$72:$E$91))+IF(SUMSQ('TS-PILE'!$D$72:$D$91)=0,0,'TO HOP NLAN'!F179*'TS-PILE'!$D$87/SUMSQ('TS-PILE'!$D$72:$D$91))),IF('TS-PILE'!$B$88="",-1E+99,'TO HOP NLAN'!D179/ncoc+IF(SUMSQ('TS-PILE'!$E$72:$E$91)=0,0,'TO HOP NLAN'!E179*'TS-PILE'!$E$88/SUMSQ('TS-PILE'!$E$72:$E$91))+IF(SUMSQ('TS-PILE'!$D$72:$D$91)=0,0,'TO HOP NLAN'!F179*'TS-PILE'!$D$88/SUMSQ('TS-PILE'!$D$72:$D$91))),IF('TS-PILE'!$B$89="",-1E+99,'TO HOP NLAN'!D179/ncoc+IF(SUMSQ('TS-PILE'!$E$72:$E$91)=0,0,'TO HOP NLAN'!E179*'TS-PILE'!$E$89/SUMSQ('TS-PILE'!$E$72:$E$91))+IF(SUMSQ('TS-PILE'!$D$72:$D$91)=0,0,'TO HOP NLAN'!F179*'TS-PILE'!$D$89/SUMSQ('TS-PILE'!$D$72:$D$91))),IF('TS-PILE'!$B$90="",-1E+99,'TO HOP NLAN'!D179/ncoc+IF(SUMSQ('TS-PILE'!$E$72:$E$91)=0,0,'TO HOP NLAN'!E179*'TS-PILE'!$E$90/SUMSQ('TS-PILE'!$E$72:$E$91))+IF(SUMSQ('TS-PILE'!$D$72:$D$91)=0,0,'TO HOP NLAN'!F179*'TS-PILE'!$D$90/SUMSQ('TS-PILE'!$D$72:$D$91))),IF('TS-PILE'!$B$91="",-1E+99,'TO HOP NLAN'!D179/ncoc+IF(SUMSQ('TS-PILE'!$E$72:$E$91)=0,0,'TO HOP NLAN'!E179*'TS-PILE'!$E$91/SUMSQ('TS-PILE'!$E$72:$E$91))+IF(SUMSQ('TS-PILE'!$D$72:$D$91)=0,0,'TO HOP NLAN'!F179*'TS-PILE'!$D$91/SUMSQ('TS-PILE'!$D$72:$D$91)))))</f>
        <v>0</v>
      </c>
      <c r="D179" s="58">
        <f>IF(A179="",0,MIN(IF('TS-PILE'!$B$72="",1E+99,'TO HOP NLAN'!D179/ncoc+IF(SUMSQ('TS-PILE'!$E$72:$E$91)=0,0,'TO HOP NLAN'!E179*'TS-PILE'!$E$72/SUMSQ('TS-PILE'!$E$72:$E$91))+IF(SUMSQ('TS-PILE'!$D$72:$D$91)=0,0,'TO HOP NLAN'!F179*'TS-PILE'!$D$72/SUMSQ('TS-PILE'!$D$72:$D$91))),IF('TS-PILE'!$B$73="",1E+99,'TO HOP NLAN'!D179/ncoc+IF(SUMSQ('TS-PILE'!$E$72:$E$91)=0,0,'TO HOP NLAN'!E179*'TS-PILE'!$E$73/SUMSQ('TS-PILE'!$E$72:$E$91))+IF(SUMSQ('TS-PILE'!$D$72:$D$91)=0,0,'TO HOP NLAN'!F179*'TS-PILE'!$D$73/SUMSQ('TS-PILE'!$D$72:$D$91))),IF('TS-PILE'!$B$74="",1E+99,'TO HOP NLAN'!D179/ncoc+IF(SUMSQ('TS-PILE'!$E$72:$E$91)=0,0,'TO HOP NLAN'!E179*'TS-PILE'!$E$74/SUMSQ('TS-PILE'!$E$72:$E$91))+IF(SUMSQ('TS-PILE'!$D$72:$D$91)=0,0,'TO HOP NLAN'!F179*'TS-PILE'!$D$74/SUMSQ('TS-PILE'!$D$72:$D$91))),IF('TS-PILE'!$B$75="",1E+99,'TO HOP NLAN'!D179/ncoc+IF(SUMSQ('TS-PILE'!$E$72:$E$91)=0,0,'TO HOP NLAN'!E179*'TS-PILE'!$E$75/SUMSQ('TS-PILE'!$E$72:$E$91))+IF(SUMSQ('TS-PILE'!$D$72:$D$91)=0,0,'TO HOP NLAN'!F179*'TS-PILE'!$D$75/SUMSQ('TS-PILE'!$D$72:$D$91))),IF('TS-PILE'!$B$76="",1E+99,'TO HOP NLAN'!D179/ncoc+IF(SUMSQ('TS-PILE'!$E$72:$E$91)=0,0,'TO HOP NLAN'!E179*'TS-PILE'!$E$76/SUMSQ('TS-PILE'!$E$72:$E$91))+IF(SUMSQ('TS-PILE'!$D$72:$D$91)=0,0,'TO HOP NLAN'!F179*'TS-PILE'!$D$76/SUMSQ('TS-PILE'!$D$72:$D$91))),IF('TS-PILE'!$B$77="",1E+99,'TO HOP NLAN'!D179/ncoc+IF(SUMSQ('TS-PILE'!$E$72:$E$91)=0,0,'TO HOP NLAN'!E179*'TS-PILE'!$E$77/SUMSQ('TS-PILE'!$E$72:$E$91))+IF(SUMSQ('TS-PILE'!$D$72:$D$91)=0,0,'TO HOP NLAN'!F179*'TS-PILE'!$D$77/SUMSQ('TS-PILE'!$D$72:$D$91))),IF('TS-PILE'!$B$78="",1E+99,'TO HOP NLAN'!D179/ncoc+IF(SUMSQ('TS-PILE'!$E$72:$E$91)=0,0,'TO HOP NLAN'!E179*'TS-PILE'!$E$78/SUMSQ('TS-PILE'!$E$72:$E$91))+IF(SUMSQ('TS-PILE'!$D$72:$D$91)=0,0,'TO HOP NLAN'!F179*'TS-PILE'!$D$78/SUMSQ('TS-PILE'!$D$72:$D$91))),IF('TS-PILE'!$B$79="",1E+99,'TO HOP NLAN'!D179/ncoc+IF(SUMSQ('TS-PILE'!$E$72:$E$91)=0,0,'TO HOP NLAN'!E179*'TS-PILE'!$E$79/SUMSQ('TS-PILE'!$E$72:$E$91))+IF(SUMSQ('TS-PILE'!$D$72:$D$91)=0,0,'TO HOP NLAN'!F179*'TS-PILE'!$D$79/SUMSQ('TS-PILE'!$D$72:$D$91))),IF('TS-PILE'!$B$80="",1E+99,'TO HOP NLAN'!D179/ncoc+IF(SUMSQ('TS-PILE'!$E$72:$E$91)=0,0,'TO HOP NLAN'!E179*'TS-PILE'!$E$80/SUMSQ('TS-PILE'!$E$72:$E$91))+IF(SUMSQ('TS-PILE'!$D$72:$D$91)=0,0,'TO HOP NLAN'!F179*'TS-PILE'!$D$80/SUMSQ('TS-PILE'!$D$72:$D$91))),IF('TS-PILE'!$B$81="",1E+99,'TO HOP NLAN'!D179/ncoc+IF(SUMSQ('TS-PILE'!$E$72:$E$91)=0,0,'TO HOP NLAN'!E179*'TS-PILE'!$E$81/SUMSQ('TS-PILE'!$E$72:$E$91))+IF(SUMSQ('TS-PILE'!$D$72:$D$91)=0,0,'TO HOP NLAN'!F179*'TS-PILE'!$D$81/SUMSQ('TS-PILE'!$D$72:$D$91))),IF('TS-PILE'!$B$82="",1E+99,'TO HOP NLAN'!D179/ncoc+IF(SUMSQ('TS-PILE'!$E$72:$E$91)=0,0,'TO HOP NLAN'!E179*'TS-PILE'!$E$82/SUMSQ('TS-PILE'!$E$72:$E$91))+IF(SUMSQ('TS-PILE'!$D$72:$D$91)=0,0,'TO HOP NLAN'!F179*'TS-PILE'!$D$82/SUMSQ('TS-PILE'!$D$72:$D$91))),IF('TS-PILE'!$B$83="",1E+99,'TO HOP NLAN'!D179/ncoc+IF(SUMSQ('TS-PILE'!$E$72:$E$91)=0,0,'TO HOP NLAN'!E179*'TS-PILE'!$E$83/SUMSQ('TS-PILE'!$E$72:$E$91))+IF(SUMSQ('TS-PILE'!$D$72:$D$91)=0,0,'TO HOP NLAN'!F179*'TS-PILE'!$D$83/SUMSQ('TS-PILE'!$D$72:$D$91))),IF('TS-PILE'!$B$84="",1E+99,'TO HOP NLAN'!D179/ncoc+IF(SUMSQ('TS-PILE'!$E$72:$E$91)=0,0,'TO HOP NLAN'!E179*'TS-PILE'!$E$84/SUMSQ('TS-PILE'!$E$72:$E$91))+IF(SUMSQ('TS-PILE'!$D$72:$D$91)=0,0,'TO HOP NLAN'!F179*'TS-PILE'!$D$84/SUMSQ('TS-PILE'!$D$72:$D$91))),IF('TS-PILE'!$B$85="",1E+99,'TO HOP NLAN'!D179/ncoc+IF(SUMSQ('TS-PILE'!$E$72:$E$91)=0,0,'TO HOP NLAN'!E179*'TS-PILE'!$E$85/SUMSQ('TS-PILE'!$E$72:$E$91))+IF(SUMSQ('TS-PILE'!$D$72:$D$91)=0,0,'TO HOP NLAN'!F179*'TS-PILE'!$D$85/SUMSQ('TS-PILE'!$D$72:$D$91))),IF('TS-PILE'!$B$86="",1E+99,'TO HOP NLAN'!D179/ncoc+IF(SUMSQ('TS-PILE'!$E$72:$E$91)=0,0,'TO HOP NLAN'!E179*'TS-PILE'!$E$86/SUMSQ('TS-PILE'!$E$72:$E$91))+IF(SUMSQ('TS-PILE'!$D$72:$D$91)=0,0,'TO HOP NLAN'!F179*'TS-PILE'!$D$86/SUMSQ('TS-PILE'!$D$72:$D$91))),IF('TS-PILE'!$B$87="",1E+99,'TO HOP NLAN'!D179/ncoc+IF(SUMSQ('TS-PILE'!$E$72:$E$91)=0,0,'TO HOP NLAN'!E179*'TS-PILE'!$E$87/SUMSQ('TS-PILE'!$E$72:$E$91))+IF(SUMSQ('TS-PILE'!$D$72:$D$91)=0,0,'TO HOP NLAN'!F179*'TS-PILE'!$D$87/SUMSQ('TS-PILE'!$D$72:$D$91))),IF('TS-PILE'!$B$88="",1E+99,'TO HOP NLAN'!D179/ncoc+IF(SUMSQ('TS-PILE'!$E$72:$E$91)=0,0,'TO HOP NLAN'!E179*'TS-PILE'!$E$88/SUMSQ('TS-PILE'!$E$72:$E$91))+IF(SUMSQ('TS-PILE'!$D$72:$D$91)=0,0,'TO HOP NLAN'!F179*'TS-PILE'!$D$88/SUMSQ('TS-PILE'!$D$72:$D$91))),IF('TS-PILE'!$B$89="",1E+99,'TO HOP NLAN'!D179/ncoc+IF(SUMSQ('TS-PILE'!$E$72:$E$91)=0,0,'TO HOP NLAN'!E179*'TS-PILE'!$E$89/SUMSQ('TS-PILE'!$E$72:$E$91))+IF(SUMSQ('TS-PILE'!$D$72:$D$91)=0,0,'TO HOP NLAN'!F179*'TS-PILE'!$D$89/SUMSQ('TS-PILE'!$D$72:$D$91))),IF('TS-PILE'!$B$90="",1E+99,'TO HOP NLAN'!D179/ncoc+IF(SUMSQ('TS-PILE'!$E$72:$E$91)=0,0,'TO HOP NLAN'!E179*'TS-PILE'!$E$90/SUMSQ('TS-PILE'!$E$72:$E$91))+IF(SUMSQ('TS-PILE'!$D$72:$D$91)=0,0,'TO HOP NLAN'!F179*'TS-PILE'!$D$90/SUMSQ('TS-PILE'!$D$72:$D$91))),IF('TS-PILE'!$B$91="",1E+99,'TO HOP NLAN'!D179/ncoc+IF(SUMSQ('TS-PILE'!$E$72:$E$91)=0,0,'TO HOP NLAN'!E179*'TS-PILE'!$E$91/SUMSQ('TS-PILE'!$E$72:$E$91))+IF(SUMSQ('TS-PILE'!$D$72:$D$91)=0,0,'TO HOP NLAN'!F179*'TS-PILE'!$D$91/SUMSQ('TS-PILE'!$D$72:$D$91)))))</f>
        <v>0</v>
      </c>
      <c r="E179" s="58">
        <f t="shared" si="8"/>
        <v>-9.9999999999999997E+98</v>
      </c>
      <c r="F179" s="58">
        <f t="shared" si="9"/>
        <v>9.9999999999999997E+98</v>
      </c>
      <c r="G179" s="58">
        <f t="shared" si="10"/>
        <v>-9.9999999999999997E+98</v>
      </c>
      <c r="H179" s="58">
        <f t="shared" si="11"/>
        <v>9.9999999999999997E+98</v>
      </c>
    </row>
    <row r="180" spans="1:8" x14ac:dyDescent="0.3">
      <c r="A180" s="42" t="str">
        <f>'TO HOP NLAN'!A180</f>
        <v/>
      </c>
      <c r="B180" s="42" t="str">
        <f>'TO HOP NLAN'!L180</f>
        <v>STRENGTH</v>
      </c>
      <c r="C180" s="58">
        <f>IF(A180="",0,MAX(IF('TS-PILE'!$B$72="",-1E+99,'TO HOP NLAN'!D180/ncoc+IF(SUMSQ('TS-PILE'!$E$72:$E$91)=0,0,'TO HOP NLAN'!E180*'TS-PILE'!$E$72/SUMSQ('TS-PILE'!$E$72:$E$91))+IF(SUMSQ('TS-PILE'!$D$72:$D$91)=0,0,'TO HOP NLAN'!F180*'TS-PILE'!$D$72/SUMSQ('TS-PILE'!$D$72:$D$91))),IF('TS-PILE'!$B$73="",-1E+99,'TO HOP NLAN'!D180/ncoc+IF(SUMSQ('TS-PILE'!$E$72:$E$91)=0,0,'TO HOP NLAN'!E180*'TS-PILE'!$E$73/SUMSQ('TS-PILE'!$E$72:$E$91))+IF(SUMSQ('TS-PILE'!$D$72:$D$91)=0,0,'TO HOP NLAN'!F180*'TS-PILE'!$D$73/SUMSQ('TS-PILE'!$D$72:$D$91))),IF('TS-PILE'!$B$74="",-1E+99,'TO HOP NLAN'!D180/ncoc+IF(SUMSQ('TS-PILE'!$E$72:$E$91)=0,0,'TO HOP NLAN'!E180*'TS-PILE'!$E$74/SUMSQ('TS-PILE'!$E$72:$E$91))+IF(SUMSQ('TS-PILE'!$D$72:$D$91)=0,0,'TO HOP NLAN'!F180*'TS-PILE'!$D$74/SUMSQ('TS-PILE'!$D$72:$D$91))),IF('TS-PILE'!$B$75="",-1E+99,'TO HOP NLAN'!D180/ncoc+IF(SUMSQ('TS-PILE'!$E$72:$E$91)=0,0,'TO HOP NLAN'!E180*'TS-PILE'!$E$75/SUMSQ('TS-PILE'!$E$72:$E$91))+IF(SUMSQ('TS-PILE'!$D$72:$D$91)=0,0,'TO HOP NLAN'!F180*'TS-PILE'!$D$75/SUMSQ('TS-PILE'!$D$72:$D$91))),IF('TS-PILE'!$B$76="",-1E+99,'TO HOP NLAN'!D180/ncoc+IF(SUMSQ('TS-PILE'!$E$72:$E$91)=0,0,'TO HOP NLAN'!E180*'TS-PILE'!$E$76/SUMSQ('TS-PILE'!$E$72:$E$91))+IF(SUMSQ('TS-PILE'!$D$72:$D$91)=0,0,'TO HOP NLAN'!F180*'TS-PILE'!$D$76/SUMSQ('TS-PILE'!$D$72:$D$91))),IF('TS-PILE'!$B$77="",-1E+99,'TO HOP NLAN'!D180/ncoc+IF(SUMSQ('TS-PILE'!$E$72:$E$91)=0,0,'TO HOP NLAN'!E180*'TS-PILE'!$E$77/SUMSQ('TS-PILE'!$E$72:$E$91))+IF(SUMSQ('TS-PILE'!$D$72:$D$91)=0,0,'TO HOP NLAN'!F180*'TS-PILE'!$D$77/SUMSQ('TS-PILE'!$D$72:$D$91))),IF('TS-PILE'!$B$78="",-1E+99,'TO HOP NLAN'!D180/ncoc+IF(SUMSQ('TS-PILE'!$E$72:$E$91)=0,0,'TO HOP NLAN'!E180*'TS-PILE'!$E$78/SUMSQ('TS-PILE'!$E$72:$E$91))+IF(SUMSQ('TS-PILE'!$D$72:$D$91)=0,0,'TO HOP NLAN'!F180*'TS-PILE'!$D$78/SUMSQ('TS-PILE'!$D$72:$D$91))),IF('TS-PILE'!$B$79="",-1E+99,'TO HOP NLAN'!D180/ncoc+IF(SUMSQ('TS-PILE'!$E$72:$E$91)=0,0,'TO HOP NLAN'!E180*'TS-PILE'!$E$79/SUMSQ('TS-PILE'!$E$72:$E$91))+IF(SUMSQ('TS-PILE'!$D$72:$D$91)=0,0,'TO HOP NLAN'!F180*'TS-PILE'!$D$79/SUMSQ('TS-PILE'!$D$72:$D$91))),IF('TS-PILE'!$B$80="",-1E+99,'TO HOP NLAN'!D180/ncoc+IF(SUMSQ('TS-PILE'!$E$72:$E$91)=0,0,'TO HOP NLAN'!E180*'TS-PILE'!$E$80/SUMSQ('TS-PILE'!$E$72:$E$91))+IF(SUMSQ('TS-PILE'!$D$72:$D$91)=0,0,'TO HOP NLAN'!F180*'TS-PILE'!$D$80/SUMSQ('TS-PILE'!$D$72:$D$91))),IF('TS-PILE'!$B$81="",-1E+99,'TO HOP NLAN'!D180/ncoc+IF(SUMSQ('TS-PILE'!$E$72:$E$91)=0,0,'TO HOP NLAN'!E180*'TS-PILE'!$E$81/SUMSQ('TS-PILE'!$E$72:$E$91))+IF(SUMSQ('TS-PILE'!$D$72:$D$91)=0,0,'TO HOP NLAN'!F180*'TS-PILE'!$D$81/SUMSQ('TS-PILE'!$D$72:$D$91))),IF('TS-PILE'!$B$82="",-1E+99,'TO HOP NLAN'!D180/ncoc+IF(SUMSQ('TS-PILE'!$E$72:$E$91)=0,0,'TO HOP NLAN'!E180*'TS-PILE'!$E$82/SUMSQ('TS-PILE'!$E$72:$E$91))+IF(SUMSQ('TS-PILE'!$D$72:$D$91)=0,0,'TO HOP NLAN'!F180*'TS-PILE'!$D$82/SUMSQ('TS-PILE'!$D$72:$D$91))),IF('TS-PILE'!$B$83="",-1E+99,'TO HOP NLAN'!D180/ncoc+IF(SUMSQ('TS-PILE'!$E$72:$E$91)=0,0,'TO HOP NLAN'!E180*'TS-PILE'!$E$83/SUMSQ('TS-PILE'!$E$72:$E$91))+IF(SUMSQ('TS-PILE'!$D$72:$D$91)=0,0,'TO HOP NLAN'!F180*'TS-PILE'!$D$83/SUMSQ('TS-PILE'!$D$72:$D$91))),IF('TS-PILE'!$B$84="",-1E+99,'TO HOP NLAN'!D180/ncoc+IF(SUMSQ('TS-PILE'!$E$72:$E$91)=0,0,'TO HOP NLAN'!E180*'TS-PILE'!$E$84/SUMSQ('TS-PILE'!$E$72:$E$91))+IF(SUMSQ('TS-PILE'!$D$72:$D$91)=0,0,'TO HOP NLAN'!F180*'TS-PILE'!$D$84/SUMSQ('TS-PILE'!$D$72:$D$91))),IF('TS-PILE'!$B$85="",-1E+99,'TO HOP NLAN'!D180/ncoc+IF(SUMSQ('TS-PILE'!$E$72:$E$91)=0,0,'TO HOP NLAN'!E180*'TS-PILE'!$E$85/SUMSQ('TS-PILE'!$E$72:$E$91))+IF(SUMSQ('TS-PILE'!$D$72:$D$91)=0,0,'TO HOP NLAN'!F180*'TS-PILE'!$D$85/SUMSQ('TS-PILE'!$D$72:$D$91))),IF('TS-PILE'!$B$86="",-1E+99,'TO HOP NLAN'!D180/ncoc+IF(SUMSQ('TS-PILE'!$E$72:$E$91)=0,0,'TO HOP NLAN'!E180*'TS-PILE'!$E$86/SUMSQ('TS-PILE'!$E$72:$E$91))+IF(SUMSQ('TS-PILE'!$D$72:$D$91)=0,0,'TO HOP NLAN'!F180*'TS-PILE'!$D$86/SUMSQ('TS-PILE'!$D$72:$D$91))),IF('TS-PILE'!$B$87="",-1E+99,'TO HOP NLAN'!D180/ncoc+IF(SUMSQ('TS-PILE'!$E$72:$E$91)=0,0,'TO HOP NLAN'!E180*'TS-PILE'!$E$87/SUMSQ('TS-PILE'!$E$72:$E$91))+IF(SUMSQ('TS-PILE'!$D$72:$D$91)=0,0,'TO HOP NLAN'!F180*'TS-PILE'!$D$87/SUMSQ('TS-PILE'!$D$72:$D$91))),IF('TS-PILE'!$B$88="",-1E+99,'TO HOP NLAN'!D180/ncoc+IF(SUMSQ('TS-PILE'!$E$72:$E$91)=0,0,'TO HOP NLAN'!E180*'TS-PILE'!$E$88/SUMSQ('TS-PILE'!$E$72:$E$91))+IF(SUMSQ('TS-PILE'!$D$72:$D$91)=0,0,'TO HOP NLAN'!F180*'TS-PILE'!$D$88/SUMSQ('TS-PILE'!$D$72:$D$91))),IF('TS-PILE'!$B$89="",-1E+99,'TO HOP NLAN'!D180/ncoc+IF(SUMSQ('TS-PILE'!$E$72:$E$91)=0,0,'TO HOP NLAN'!E180*'TS-PILE'!$E$89/SUMSQ('TS-PILE'!$E$72:$E$91))+IF(SUMSQ('TS-PILE'!$D$72:$D$91)=0,0,'TO HOP NLAN'!F180*'TS-PILE'!$D$89/SUMSQ('TS-PILE'!$D$72:$D$91))),IF('TS-PILE'!$B$90="",-1E+99,'TO HOP NLAN'!D180/ncoc+IF(SUMSQ('TS-PILE'!$E$72:$E$91)=0,0,'TO HOP NLAN'!E180*'TS-PILE'!$E$90/SUMSQ('TS-PILE'!$E$72:$E$91))+IF(SUMSQ('TS-PILE'!$D$72:$D$91)=0,0,'TO HOP NLAN'!F180*'TS-PILE'!$D$90/SUMSQ('TS-PILE'!$D$72:$D$91))),IF('TS-PILE'!$B$91="",-1E+99,'TO HOP NLAN'!D180/ncoc+IF(SUMSQ('TS-PILE'!$E$72:$E$91)=0,0,'TO HOP NLAN'!E180*'TS-PILE'!$E$91/SUMSQ('TS-PILE'!$E$72:$E$91))+IF(SUMSQ('TS-PILE'!$D$72:$D$91)=0,0,'TO HOP NLAN'!F180*'TS-PILE'!$D$91/SUMSQ('TS-PILE'!$D$72:$D$91)))))</f>
        <v>0</v>
      </c>
      <c r="D180" s="58">
        <f>IF(A180="",0,MIN(IF('TS-PILE'!$B$72="",1E+99,'TO HOP NLAN'!D180/ncoc+IF(SUMSQ('TS-PILE'!$E$72:$E$91)=0,0,'TO HOP NLAN'!E180*'TS-PILE'!$E$72/SUMSQ('TS-PILE'!$E$72:$E$91))+IF(SUMSQ('TS-PILE'!$D$72:$D$91)=0,0,'TO HOP NLAN'!F180*'TS-PILE'!$D$72/SUMSQ('TS-PILE'!$D$72:$D$91))),IF('TS-PILE'!$B$73="",1E+99,'TO HOP NLAN'!D180/ncoc+IF(SUMSQ('TS-PILE'!$E$72:$E$91)=0,0,'TO HOP NLAN'!E180*'TS-PILE'!$E$73/SUMSQ('TS-PILE'!$E$72:$E$91))+IF(SUMSQ('TS-PILE'!$D$72:$D$91)=0,0,'TO HOP NLAN'!F180*'TS-PILE'!$D$73/SUMSQ('TS-PILE'!$D$72:$D$91))),IF('TS-PILE'!$B$74="",1E+99,'TO HOP NLAN'!D180/ncoc+IF(SUMSQ('TS-PILE'!$E$72:$E$91)=0,0,'TO HOP NLAN'!E180*'TS-PILE'!$E$74/SUMSQ('TS-PILE'!$E$72:$E$91))+IF(SUMSQ('TS-PILE'!$D$72:$D$91)=0,0,'TO HOP NLAN'!F180*'TS-PILE'!$D$74/SUMSQ('TS-PILE'!$D$72:$D$91))),IF('TS-PILE'!$B$75="",1E+99,'TO HOP NLAN'!D180/ncoc+IF(SUMSQ('TS-PILE'!$E$72:$E$91)=0,0,'TO HOP NLAN'!E180*'TS-PILE'!$E$75/SUMSQ('TS-PILE'!$E$72:$E$91))+IF(SUMSQ('TS-PILE'!$D$72:$D$91)=0,0,'TO HOP NLAN'!F180*'TS-PILE'!$D$75/SUMSQ('TS-PILE'!$D$72:$D$91))),IF('TS-PILE'!$B$76="",1E+99,'TO HOP NLAN'!D180/ncoc+IF(SUMSQ('TS-PILE'!$E$72:$E$91)=0,0,'TO HOP NLAN'!E180*'TS-PILE'!$E$76/SUMSQ('TS-PILE'!$E$72:$E$91))+IF(SUMSQ('TS-PILE'!$D$72:$D$91)=0,0,'TO HOP NLAN'!F180*'TS-PILE'!$D$76/SUMSQ('TS-PILE'!$D$72:$D$91))),IF('TS-PILE'!$B$77="",1E+99,'TO HOP NLAN'!D180/ncoc+IF(SUMSQ('TS-PILE'!$E$72:$E$91)=0,0,'TO HOP NLAN'!E180*'TS-PILE'!$E$77/SUMSQ('TS-PILE'!$E$72:$E$91))+IF(SUMSQ('TS-PILE'!$D$72:$D$91)=0,0,'TO HOP NLAN'!F180*'TS-PILE'!$D$77/SUMSQ('TS-PILE'!$D$72:$D$91))),IF('TS-PILE'!$B$78="",1E+99,'TO HOP NLAN'!D180/ncoc+IF(SUMSQ('TS-PILE'!$E$72:$E$91)=0,0,'TO HOP NLAN'!E180*'TS-PILE'!$E$78/SUMSQ('TS-PILE'!$E$72:$E$91))+IF(SUMSQ('TS-PILE'!$D$72:$D$91)=0,0,'TO HOP NLAN'!F180*'TS-PILE'!$D$78/SUMSQ('TS-PILE'!$D$72:$D$91))),IF('TS-PILE'!$B$79="",1E+99,'TO HOP NLAN'!D180/ncoc+IF(SUMSQ('TS-PILE'!$E$72:$E$91)=0,0,'TO HOP NLAN'!E180*'TS-PILE'!$E$79/SUMSQ('TS-PILE'!$E$72:$E$91))+IF(SUMSQ('TS-PILE'!$D$72:$D$91)=0,0,'TO HOP NLAN'!F180*'TS-PILE'!$D$79/SUMSQ('TS-PILE'!$D$72:$D$91))),IF('TS-PILE'!$B$80="",1E+99,'TO HOP NLAN'!D180/ncoc+IF(SUMSQ('TS-PILE'!$E$72:$E$91)=0,0,'TO HOP NLAN'!E180*'TS-PILE'!$E$80/SUMSQ('TS-PILE'!$E$72:$E$91))+IF(SUMSQ('TS-PILE'!$D$72:$D$91)=0,0,'TO HOP NLAN'!F180*'TS-PILE'!$D$80/SUMSQ('TS-PILE'!$D$72:$D$91))),IF('TS-PILE'!$B$81="",1E+99,'TO HOP NLAN'!D180/ncoc+IF(SUMSQ('TS-PILE'!$E$72:$E$91)=0,0,'TO HOP NLAN'!E180*'TS-PILE'!$E$81/SUMSQ('TS-PILE'!$E$72:$E$91))+IF(SUMSQ('TS-PILE'!$D$72:$D$91)=0,0,'TO HOP NLAN'!F180*'TS-PILE'!$D$81/SUMSQ('TS-PILE'!$D$72:$D$91))),IF('TS-PILE'!$B$82="",1E+99,'TO HOP NLAN'!D180/ncoc+IF(SUMSQ('TS-PILE'!$E$72:$E$91)=0,0,'TO HOP NLAN'!E180*'TS-PILE'!$E$82/SUMSQ('TS-PILE'!$E$72:$E$91))+IF(SUMSQ('TS-PILE'!$D$72:$D$91)=0,0,'TO HOP NLAN'!F180*'TS-PILE'!$D$82/SUMSQ('TS-PILE'!$D$72:$D$91))),IF('TS-PILE'!$B$83="",1E+99,'TO HOP NLAN'!D180/ncoc+IF(SUMSQ('TS-PILE'!$E$72:$E$91)=0,0,'TO HOP NLAN'!E180*'TS-PILE'!$E$83/SUMSQ('TS-PILE'!$E$72:$E$91))+IF(SUMSQ('TS-PILE'!$D$72:$D$91)=0,0,'TO HOP NLAN'!F180*'TS-PILE'!$D$83/SUMSQ('TS-PILE'!$D$72:$D$91))),IF('TS-PILE'!$B$84="",1E+99,'TO HOP NLAN'!D180/ncoc+IF(SUMSQ('TS-PILE'!$E$72:$E$91)=0,0,'TO HOP NLAN'!E180*'TS-PILE'!$E$84/SUMSQ('TS-PILE'!$E$72:$E$91))+IF(SUMSQ('TS-PILE'!$D$72:$D$91)=0,0,'TO HOP NLAN'!F180*'TS-PILE'!$D$84/SUMSQ('TS-PILE'!$D$72:$D$91))),IF('TS-PILE'!$B$85="",1E+99,'TO HOP NLAN'!D180/ncoc+IF(SUMSQ('TS-PILE'!$E$72:$E$91)=0,0,'TO HOP NLAN'!E180*'TS-PILE'!$E$85/SUMSQ('TS-PILE'!$E$72:$E$91))+IF(SUMSQ('TS-PILE'!$D$72:$D$91)=0,0,'TO HOP NLAN'!F180*'TS-PILE'!$D$85/SUMSQ('TS-PILE'!$D$72:$D$91))),IF('TS-PILE'!$B$86="",1E+99,'TO HOP NLAN'!D180/ncoc+IF(SUMSQ('TS-PILE'!$E$72:$E$91)=0,0,'TO HOP NLAN'!E180*'TS-PILE'!$E$86/SUMSQ('TS-PILE'!$E$72:$E$91))+IF(SUMSQ('TS-PILE'!$D$72:$D$91)=0,0,'TO HOP NLAN'!F180*'TS-PILE'!$D$86/SUMSQ('TS-PILE'!$D$72:$D$91))),IF('TS-PILE'!$B$87="",1E+99,'TO HOP NLAN'!D180/ncoc+IF(SUMSQ('TS-PILE'!$E$72:$E$91)=0,0,'TO HOP NLAN'!E180*'TS-PILE'!$E$87/SUMSQ('TS-PILE'!$E$72:$E$91))+IF(SUMSQ('TS-PILE'!$D$72:$D$91)=0,0,'TO HOP NLAN'!F180*'TS-PILE'!$D$87/SUMSQ('TS-PILE'!$D$72:$D$91))),IF('TS-PILE'!$B$88="",1E+99,'TO HOP NLAN'!D180/ncoc+IF(SUMSQ('TS-PILE'!$E$72:$E$91)=0,0,'TO HOP NLAN'!E180*'TS-PILE'!$E$88/SUMSQ('TS-PILE'!$E$72:$E$91))+IF(SUMSQ('TS-PILE'!$D$72:$D$91)=0,0,'TO HOP NLAN'!F180*'TS-PILE'!$D$88/SUMSQ('TS-PILE'!$D$72:$D$91))),IF('TS-PILE'!$B$89="",1E+99,'TO HOP NLAN'!D180/ncoc+IF(SUMSQ('TS-PILE'!$E$72:$E$91)=0,0,'TO HOP NLAN'!E180*'TS-PILE'!$E$89/SUMSQ('TS-PILE'!$E$72:$E$91))+IF(SUMSQ('TS-PILE'!$D$72:$D$91)=0,0,'TO HOP NLAN'!F180*'TS-PILE'!$D$89/SUMSQ('TS-PILE'!$D$72:$D$91))),IF('TS-PILE'!$B$90="",1E+99,'TO HOP NLAN'!D180/ncoc+IF(SUMSQ('TS-PILE'!$E$72:$E$91)=0,0,'TO HOP NLAN'!E180*'TS-PILE'!$E$90/SUMSQ('TS-PILE'!$E$72:$E$91))+IF(SUMSQ('TS-PILE'!$D$72:$D$91)=0,0,'TO HOP NLAN'!F180*'TS-PILE'!$D$90/SUMSQ('TS-PILE'!$D$72:$D$91))),IF('TS-PILE'!$B$91="",1E+99,'TO HOP NLAN'!D180/ncoc+IF(SUMSQ('TS-PILE'!$E$72:$E$91)=0,0,'TO HOP NLAN'!E180*'TS-PILE'!$E$91/SUMSQ('TS-PILE'!$E$72:$E$91))+IF(SUMSQ('TS-PILE'!$D$72:$D$91)=0,0,'TO HOP NLAN'!F180*'TS-PILE'!$D$91/SUMSQ('TS-PILE'!$D$72:$D$91)))))</f>
        <v>0</v>
      </c>
      <c r="E180" s="58">
        <f t="shared" si="8"/>
        <v>-9.9999999999999997E+98</v>
      </c>
      <c r="F180" s="58">
        <f t="shared" si="9"/>
        <v>9.9999999999999997E+98</v>
      </c>
      <c r="G180" s="58">
        <f t="shared" si="10"/>
        <v>-9.9999999999999997E+98</v>
      </c>
      <c r="H180" s="58">
        <f t="shared" si="11"/>
        <v>9.9999999999999997E+98</v>
      </c>
    </row>
    <row r="181" spans="1:8" x14ac:dyDescent="0.3">
      <c r="A181" s="42" t="str">
        <f>'TO HOP NLAN'!A181</f>
        <v/>
      </c>
      <c r="B181" s="42" t="str">
        <f>'TO HOP NLAN'!L181</f>
        <v>STRENGTH</v>
      </c>
      <c r="C181" s="58">
        <f>IF(A181="",0,MAX(IF('TS-PILE'!$B$72="",-1E+99,'TO HOP NLAN'!D181/ncoc+IF(SUMSQ('TS-PILE'!$E$72:$E$91)=0,0,'TO HOP NLAN'!E181*'TS-PILE'!$E$72/SUMSQ('TS-PILE'!$E$72:$E$91))+IF(SUMSQ('TS-PILE'!$D$72:$D$91)=0,0,'TO HOP NLAN'!F181*'TS-PILE'!$D$72/SUMSQ('TS-PILE'!$D$72:$D$91))),IF('TS-PILE'!$B$73="",-1E+99,'TO HOP NLAN'!D181/ncoc+IF(SUMSQ('TS-PILE'!$E$72:$E$91)=0,0,'TO HOP NLAN'!E181*'TS-PILE'!$E$73/SUMSQ('TS-PILE'!$E$72:$E$91))+IF(SUMSQ('TS-PILE'!$D$72:$D$91)=0,0,'TO HOP NLAN'!F181*'TS-PILE'!$D$73/SUMSQ('TS-PILE'!$D$72:$D$91))),IF('TS-PILE'!$B$74="",-1E+99,'TO HOP NLAN'!D181/ncoc+IF(SUMSQ('TS-PILE'!$E$72:$E$91)=0,0,'TO HOP NLAN'!E181*'TS-PILE'!$E$74/SUMSQ('TS-PILE'!$E$72:$E$91))+IF(SUMSQ('TS-PILE'!$D$72:$D$91)=0,0,'TO HOP NLAN'!F181*'TS-PILE'!$D$74/SUMSQ('TS-PILE'!$D$72:$D$91))),IF('TS-PILE'!$B$75="",-1E+99,'TO HOP NLAN'!D181/ncoc+IF(SUMSQ('TS-PILE'!$E$72:$E$91)=0,0,'TO HOP NLAN'!E181*'TS-PILE'!$E$75/SUMSQ('TS-PILE'!$E$72:$E$91))+IF(SUMSQ('TS-PILE'!$D$72:$D$91)=0,0,'TO HOP NLAN'!F181*'TS-PILE'!$D$75/SUMSQ('TS-PILE'!$D$72:$D$91))),IF('TS-PILE'!$B$76="",-1E+99,'TO HOP NLAN'!D181/ncoc+IF(SUMSQ('TS-PILE'!$E$72:$E$91)=0,0,'TO HOP NLAN'!E181*'TS-PILE'!$E$76/SUMSQ('TS-PILE'!$E$72:$E$91))+IF(SUMSQ('TS-PILE'!$D$72:$D$91)=0,0,'TO HOP NLAN'!F181*'TS-PILE'!$D$76/SUMSQ('TS-PILE'!$D$72:$D$91))),IF('TS-PILE'!$B$77="",-1E+99,'TO HOP NLAN'!D181/ncoc+IF(SUMSQ('TS-PILE'!$E$72:$E$91)=0,0,'TO HOP NLAN'!E181*'TS-PILE'!$E$77/SUMSQ('TS-PILE'!$E$72:$E$91))+IF(SUMSQ('TS-PILE'!$D$72:$D$91)=0,0,'TO HOP NLAN'!F181*'TS-PILE'!$D$77/SUMSQ('TS-PILE'!$D$72:$D$91))),IF('TS-PILE'!$B$78="",-1E+99,'TO HOP NLAN'!D181/ncoc+IF(SUMSQ('TS-PILE'!$E$72:$E$91)=0,0,'TO HOP NLAN'!E181*'TS-PILE'!$E$78/SUMSQ('TS-PILE'!$E$72:$E$91))+IF(SUMSQ('TS-PILE'!$D$72:$D$91)=0,0,'TO HOP NLAN'!F181*'TS-PILE'!$D$78/SUMSQ('TS-PILE'!$D$72:$D$91))),IF('TS-PILE'!$B$79="",-1E+99,'TO HOP NLAN'!D181/ncoc+IF(SUMSQ('TS-PILE'!$E$72:$E$91)=0,0,'TO HOP NLAN'!E181*'TS-PILE'!$E$79/SUMSQ('TS-PILE'!$E$72:$E$91))+IF(SUMSQ('TS-PILE'!$D$72:$D$91)=0,0,'TO HOP NLAN'!F181*'TS-PILE'!$D$79/SUMSQ('TS-PILE'!$D$72:$D$91))),IF('TS-PILE'!$B$80="",-1E+99,'TO HOP NLAN'!D181/ncoc+IF(SUMSQ('TS-PILE'!$E$72:$E$91)=0,0,'TO HOP NLAN'!E181*'TS-PILE'!$E$80/SUMSQ('TS-PILE'!$E$72:$E$91))+IF(SUMSQ('TS-PILE'!$D$72:$D$91)=0,0,'TO HOP NLAN'!F181*'TS-PILE'!$D$80/SUMSQ('TS-PILE'!$D$72:$D$91))),IF('TS-PILE'!$B$81="",-1E+99,'TO HOP NLAN'!D181/ncoc+IF(SUMSQ('TS-PILE'!$E$72:$E$91)=0,0,'TO HOP NLAN'!E181*'TS-PILE'!$E$81/SUMSQ('TS-PILE'!$E$72:$E$91))+IF(SUMSQ('TS-PILE'!$D$72:$D$91)=0,0,'TO HOP NLAN'!F181*'TS-PILE'!$D$81/SUMSQ('TS-PILE'!$D$72:$D$91))),IF('TS-PILE'!$B$82="",-1E+99,'TO HOP NLAN'!D181/ncoc+IF(SUMSQ('TS-PILE'!$E$72:$E$91)=0,0,'TO HOP NLAN'!E181*'TS-PILE'!$E$82/SUMSQ('TS-PILE'!$E$72:$E$91))+IF(SUMSQ('TS-PILE'!$D$72:$D$91)=0,0,'TO HOP NLAN'!F181*'TS-PILE'!$D$82/SUMSQ('TS-PILE'!$D$72:$D$91))),IF('TS-PILE'!$B$83="",-1E+99,'TO HOP NLAN'!D181/ncoc+IF(SUMSQ('TS-PILE'!$E$72:$E$91)=0,0,'TO HOP NLAN'!E181*'TS-PILE'!$E$83/SUMSQ('TS-PILE'!$E$72:$E$91))+IF(SUMSQ('TS-PILE'!$D$72:$D$91)=0,0,'TO HOP NLAN'!F181*'TS-PILE'!$D$83/SUMSQ('TS-PILE'!$D$72:$D$91))),IF('TS-PILE'!$B$84="",-1E+99,'TO HOP NLAN'!D181/ncoc+IF(SUMSQ('TS-PILE'!$E$72:$E$91)=0,0,'TO HOP NLAN'!E181*'TS-PILE'!$E$84/SUMSQ('TS-PILE'!$E$72:$E$91))+IF(SUMSQ('TS-PILE'!$D$72:$D$91)=0,0,'TO HOP NLAN'!F181*'TS-PILE'!$D$84/SUMSQ('TS-PILE'!$D$72:$D$91))),IF('TS-PILE'!$B$85="",-1E+99,'TO HOP NLAN'!D181/ncoc+IF(SUMSQ('TS-PILE'!$E$72:$E$91)=0,0,'TO HOP NLAN'!E181*'TS-PILE'!$E$85/SUMSQ('TS-PILE'!$E$72:$E$91))+IF(SUMSQ('TS-PILE'!$D$72:$D$91)=0,0,'TO HOP NLAN'!F181*'TS-PILE'!$D$85/SUMSQ('TS-PILE'!$D$72:$D$91))),IF('TS-PILE'!$B$86="",-1E+99,'TO HOP NLAN'!D181/ncoc+IF(SUMSQ('TS-PILE'!$E$72:$E$91)=0,0,'TO HOP NLAN'!E181*'TS-PILE'!$E$86/SUMSQ('TS-PILE'!$E$72:$E$91))+IF(SUMSQ('TS-PILE'!$D$72:$D$91)=0,0,'TO HOP NLAN'!F181*'TS-PILE'!$D$86/SUMSQ('TS-PILE'!$D$72:$D$91))),IF('TS-PILE'!$B$87="",-1E+99,'TO HOP NLAN'!D181/ncoc+IF(SUMSQ('TS-PILE'!$E$72:$E$91)=0,0,'TO HOP NLAN'!E181*'TS-PILE'!$E$87/SUMSQ('TS-PILE'!$E$72:$E$91))+IF(SUMSQ('TS-PILE'!$D$72:$D$91)=0,0,'TO HOP NLAN'!F181*'TS-PILE'!$D$87/SUMSQ('TS-PILE'!$D$72:$D$91))),IF('TS-PILE'!$B$88="",-1E+99,'TO HOP NLAN'!D181/ncoc+IF(SUMSQ('TS-PILE'!$E$72:$E$91)=0,0,'TO HOP NLAN'!E181*'TS-PILE'!$E$88/SUMSQ('TS-PILE'!$E$72:$E$91))+IF(SUMSQ('TS-PILE'!$D$72:$D$91)=0,0,'TO HOP NLAN'!F181*'TS-PILE'!$D$88/SUMSQ('TS-PILE'!$D$72:$D$91))),IF('TS-PILE'!$B$89="",-1E+99,'TO HOP NLAN'!D181/ncoc+IF(SUMSQ('TS-PILE'!$E$72:$E$91)=0,0,'TO HOP NLAN'!E181*'TS-PILE'!$E$89/SUMSQ('TS-PILE'!$E$72:$E$91))+IF(SUMSQ('TS-PILE'!$D$72:$D$91)=0,0,'TO HOP NLAN'!F181*'TS-PILE'!$D$89/SUMSQ('TS-PILE'!$D$72:$D$91))),IF('TS-PILE'!$B$90="",-1E+99,'TO HOP NLAN'!D181/ncoc+IF(SUMSQ('TS-PILE'!$E$72:$E$91)=0,0,'TO HOP NLAN'!E181*'TS-PILE'!$E$90/SUMSQ('TS-PILE'!$E$72:$E$91))+IF(SUMSQ('TS-PILE'!$D$72:$D$91)=0,0,'TO HOP NLAN'!F181*'TS-PILE'!$D$90/SUMSQ('TS-PILE'!$D$72:$D$91))),IF('TS-PILE'!$B$91="",-1E+99,'TO HOP NLAN'!D181/ncoc+IF(SUMSQ('TS-PILE'!$E$72:$E$91)=0,0,'TO HOP NLAN'!E181*'TS-PILE'!$E$91/SUMSQ('TS-PILE'!$E$72:$E$91))+IF(SUMSQ('TS-PILE'!$D$72:$D$91)=0,0,'TO HOP NLAN'!F181*'TS-PILE'!$D$91/SUMSQ('TS-PILE'!$D$72:$D$91)))))</f>
        <v>0</v>
      </c>
      <c r="D181" s="58">
        <f>IF(A181="",0,MIN(IF('TS-PILE'!$B$72="",1E+99,'TO HOP NLAN'!D181/ncoc+IF(SUMSQ('TS-PILE'!$E$72:$E$91)=0,0,'TO HOP NLAN'!E181*'TS-PILE'!$E$72/SUMSQ('TS-PILE'!$E$72:$E$91))+IF(SUMSQ('TS-PILE'!$D$72:$D$91)=0,0,'TO HOP NLAN'!F181*'TS-PILE'!$D$72/SUMSQ('TS-PILE'!$D$72:$D$91))),IF('TS-PILE'!$B$73="",1E+99,'TO HOP NLAN'!D181/ncoc+IF(SUMSQ('TS-PILE'!$E$72:$E$91)=0,0,'TO HOP NLAN'!E181*'TS-PILE'!$E$73/SUMSQ('TS-PILE'!$E$72:$E$91))+IF(SUMSQ('TS-PILE'!$D$72:$D$91)=0,0,'TO HOP NLAN'!F181*'TS-PILE'!$D$73/SUMSQ('TS-PILE'!$D$72:$D$91))),IF('TS-PILE'!$B$74="",1E+99,'TO HOP NLAN'!D181/ncoc+IF(SUMSQ('TS-PILE'!$E$72:$E$91)=0,0,'TO HOP NLAN'!E181*'TS-PILE'!$E$74/SUMSQ('TS-PILE'!$E$72:$E$91))+IF(SUMSQ('TS-PILE'!$D$72:$D$91)=0,0,'TO HOP NLAN'!F181*'TS-PILE'!$D$74/SUMSQ('TS-PILE'!$D$72:$D$91))),IF('TS-PILE'!$B$75="",1E+99,'TO HOP NLAN'!D181/ncoc+IF(SUMSQ('TS-PILE'!$E$72:$E$91)=0,0,'TO HOP NLAN'!E181*'TS-PILE'!$E$75/SUMSQ('TS-PILE'!$E$72:$E$91))+IF(SUMSQ('TS-PILE'!$D$72:$D$91)=0,0,'TO HOP NLAN'!F181*'TS-PILE'!$D$75/SUMSQ('TS-PILE'!$D$72:$D$91))),IF('TS-PILE'!$B$76="",1E+99,'TO HOP NLAN'!D181/ncoc+IF(SUMSQ('TS-PILE'!$E$72:$E$91)=0,0,'TO HOP NLAN'!E181*'TS-PILE'!$E$76/SUMSQ('TS-PILE'!$E$72:$E$91))+IF(SUMSQ('TS-PILE'!$D$72:$D$91)=0,0,'TO HOP NLAN'!F181*'TS-PILE'!$D$76/SUMSQ('TS-PILE'!$D$72:$D$91))),IF('TS-PILE'!$B$77="",1E+99,'TO HOP NLAN'!D181/ncoc+IF(SUMSQ('TS-PILE'!$E$72:$E$91)=0,0,'TO HOP NLAN'!E181*'TS-PILE'!$E$77/SUMSQ('TS-PILE'!$E$72:$E$91))+IF(SUMSQ('TS-PILE'!$D$72:$D$91)=0,0,'TO HOP NLAN'!F181*'TS-PILE'!$D$77/SUMSQ('TS-PILE'!$D$72:$D$91))),IF('TS-PILE'!$B$78="",1E+99,'TO HOP NLAN'!D181/ncoc+IF(SUMSQ('TS-PILE'!$E$72:$E$91)=0,0,'TO HOP NLAN'!E181*'TS-PILE'!$E$78/SUMSQ('TS-PILE'!$E$72:$E$91))+IF(SUMSQ('TS-PILE'!$D$72:$D$91)=0,0,'TO HOP NLAN'!F181*'TS-PILE'!$D$78/SUMSQ('TS-PILE'!$D$72:$D$91))),IF('TS-PILE'!$B$79="",1E+99,'TO HOP NLAN'!D181/ncoc+IF(SUMSQ('TS-PILE'!$E$72:$E$91)=0,0,'TO HOP NLAN'!E181*'TS-PILE'!$E$79/SUMSQ('TS-PILE'!$E$72:$E$91))+IF(SUMSQ('TS-PILE'!$D$72:$D$91)=0,0,'TO HOP NLAN'!F181*'TS-PILE'!$D$79/SUMSQ('TS-PILE'!$D$72:$D$91))),IF('TS-PILE'!$B$80="",1E+99,'TO HOP NLAN'!D181/ncoc+IF(SUMSQ('TS-PILE'!$E$72:$E$91)=0,0,'TO HOP NLAN'!E181*'TS-PILE'!$E$80/SUMSQ('TS-PILE'!$E$72:$E$91))+IF(SUMSQ('TS-PILE'!$D$72:$D$91)=0,0,'TO HOP NLAN'!F181*'TS-PILE'!$D$80/SUMSQ('TS-PILE'!$D$72:$D$91))),IF('TS-PILE'!$B$81="",1E+99,'TO HOP NLAN'!D181/ncoc+IF(SUMSQ('TS-PILE'!$E$72:$E$91)=0,0,'TO HOP NLAN'!E181*'TS-PILE'!$E$81/SUMSQ('TS-PILE'!$E$72:$E$91))+IF(SUMSQ('TS-PILE'!$D$72:$D$91)=0,0,'TO HOP NLAN'!F181*'TS-PILE'!$D$81/SUMSQ('TS-PILE'!$D$72:$D$91))),IF('TS-PILE'!$B$82="",1E+99,'TO HOP NLAN'!D181/ncoc+IF(SUMSQ('TS-PILE'!$E$72:$E$91)=0,0,'TO HOP NLAN'!E181*'TS-PILE'!$E$82/SUMSQ('TS-PILE'!$E$72:$E$91))+IF(SUMSQ('TS-PILE'!$D$72:$D$91)=0,0,'TO HOP NLAN'!F181*'TS-PILE'!$D$82/SUMSQ('TS-PILE'!$D$72:$D$91))),IF('TS-PILE'!$B$83="",1E+99,'TO HOP NLAN'!D181/ncoc+IF(SUMSQ('TS-PILE'!$E$72:$E$91)=0,0,'TO HOP NLAN'!E181*'TS-PILE'!$E$83/SUMSQ('TS-PILE'!$E$72:$E$91))+IF(SUMSQ('TS-PILE'!$D$72:$D$91)=0,0,'TO HOP NLAN'!F181*'TS-PILE'!$D$83/SUMSQ('TS-PILE'!$D$72:$D$91))),IF('TS-PILE'!$B$84="",1E+99,'TO HOP NLAN'!D181/ncoc+IF(SUMSQ('TS-PILE'!$E$72:$E$91)=0,0,'TO HOP NLAN'!E181*'TS-PILE'!$E$84/SUMSQ('TS-PILE'!$E$72:$E$91))+IF(SUMSQ('TS-PILE'!$D$72:$D$91)=0,0,'TO HOP NLAN'!F181*'TS-PILE'!$D$84/SUMSQ('TS-PILE'!$D$72:$D$91))),IF('TS-PILE'!$B$85="",1E+99,'TO HOP NLAN'!D181/ncoc+IF(SUMSQ('TS-PILE'!$E$72:$E$91)=0,0,'TO HOP NLAN'!E181*'TS-PILE'!$E$85/SUMSQ('TS-PILE'!$E$72:$E$91))+IF(SUMSQ('TS-PILE'!$D$72:$D$91)=0,0,'TO HOP NLAN'!F181*'TS-PILE'!$D$85/SUMSQ('TS-PILE'!$D$72:$D$91))),IF('TS-PILE'!$B$86="",1E+99,'TO HOP NLAN'!D181/ncoc+IF(SUMSQ('TS-PILE'!$E$72:$E$91)=0,0,'TO HOP NLAN'!E181*'TS-PILE'!$E$86/SUMSQ('TS-PILE'!$E$72:$E$91))+IF(SUMSQ('TS-PILE'!$D$72:$D$91)=0,0,'TO HOP NLAN'!F181*'TS-PILE'!$D$86/SUMSQ('TS-PILE'!$D$72:$D$91))),IF('TS-PILE'!$B$87="",1E+99,'TO HOP NLAN'!D181/ncoc+IF(SUMSQ('TS-PILE'!$E$72:$E$91)=0,0,'TO HOP NLAN'!E181*'TS-PILE'!$E$87/SUMSQ('TS-PILE'!$E$72:$E$91))+IF(SUMSQ('TS-PILE'!$D$72:$D$91)=0,0,'TO HOP NLAN'!F181*'TS-PILE'!$D$87/SUMSQ('TS-PILE'!$D$72:$D$91))),IF('TS-PILE'!$B$88="",1E+99,'TO HOP NLAN'!D181/ncoc+IF(SUMSQ('TS-PILE'!$E$72:$E$91)=0,0,'TO HOP NLAN'!E181*'TS-PILE'!$E$88/SUMSQ('TS-PILE'!$E$72:$E$91))+IF(SUMSQ('TS-PILE'!$D$72:$D$91)=0,0,'TO HOP NLAN'!F181*'TS-PILE'!$D$88/SUMSQ('TS-PILE'!$D$72:$D$91))),IF('TS-PILE'!$B$89="",1E+99,'TO HOP NLAN'!D181/ncoc+IF(SUMSQ('TS-PILE'!$E$72:$E$91)=0,0,'TO HOP NLAN'!E181*'TS-PILE'!$E$89/SUMSQ('TS-PILE'!$E$72:$E$91))+IF(SUMSQ('TS-PILE'!$D$72:$D$91)=0,0,'TO HOP NLAN'!F181*'TS-PILE'!$D$89/SUMSQ('TS-PILE'!$D$72:$D$91))),IF('TS-PILE'!$B$90="",1E+99,'TO HOP NLAN'!D181/ncoc+IF(SUMSQ('TS-PILE'!$E$72:$E$91)=0,0,'TO HOP NLAN'!E181*'TS-PILE'!$E$90/SUMSQ('TS-PILE'!$E$72:$E$91))+IF(SUMSQ('TS-PILE'!$D$72:$D$91)=0,0,'TO HOP NLAN'!F181*'TS-PILE'!$D$90/SUMSQ('TS-PILE'!$D$72:$D$91))),IF('TS-PILE'!$B$91="",1E+99,'TO HOP NLAN'!D181/ncoc+IF(SUMSQ('TS-PILE'!$E$72:$E$91)=0,0,'TO HOP NLAN'!E181*'TS-PILE'!$E$91/SUMSQ('TS-PILE'!$E$72:$E$91))+IF(SUMSQ('TS-PILE'!$D$72:$D$91)=0,0,'TO HOP NLAN'!F181*'TS-PILE'!$D$91/SUMSQ('TS-PILE'!$D$72:$D$91)))))</f>
        <v>0</v>
      </c>
      <c r="E181" s="58">
        <f t="shared" si="8"/>
        <v>-9.9999999999999997E+98</v>
      </c>
      <c r="F181" s="58">
        <f t="shared" si="9"/>
        <v>9.9999999999999997E+98</v>
      </c>
      <c r="G181" s="58">
        <f t="shared" si="10"/>
        <v>-9.9999999999999997E+98</v>
      </c>
      <c r="H181" s="58">
        <f t="shared" si="11"/>
        <v>9.9999999999999997E+98</v>
      </c>
    </row>
    <row r="182" spans="1:8" x14ac:dyDescent="0.3">
      <c r="A182" s="42" t="str">
        <f>'TO HOP NLAN'!A182</f>
        <v/>
      </c>
      <c r="B182" s="42" t="str">
        <f>'TO HOP NLAN'!L182</f>
        <v>STRENGTH</v>
      </c>
      <c r="C182" s="58">
        <f>IF(A182="",0,MAX(IF('TS-PILE'!$B$72="",-1E+99,'TO HOP NLAN'!D182/ncoc+IF(SUMSQ('TS-PILE'!$E$72:$E$91)=0,0,'TO HOP NLAN'!E182*'TS-PILE'!$E$72/SUMSQ('TS-PILE'!$E$72:$E$91))+IF(SUMSQ('TS-PILE'!$D$72:$D$91)=0,0,'TO HOP NLAN'!F182*'TS-PILE'!$D$72/SUMSQ('TS-PILE'!$D$72:$D$91))),IF('TS-PILE'!$B$73="",-1E+99,'TO HOP NLAN'!D182/ncoc+IF(SUMSQ('TS-PILE'!$E$72:$E$91)=0,0,'TO HOP NLAN'!E182*'TS-PILE'!$E$73/SUMSQ('TS-PILE'!$E$72:$E$91))+IF(SUMSQ('TS-PILE'!$D$72:$D$91)=0,0,'TO HOP NLAN'!F182*'TS-PILE'!$D$73/SUMSQ('TS-PILE'!$D$72:$D$91))),IF('TS-PILE'!$B$74="",-1E+99,'TO HOP NLAN'!D182/ncoc+IF(SUMSQ('TS-PILE'!$E$72:$E$91)=0,0,'TO HOP NLAN'!E182*'TS-PILE'!$E$74/SUMSQ('TS-PILE'!$E$72:$E$91))+IF(SUMSQ('TS-PILE'!$D$72:$D$91)=0,0,'TO HOP NLAN'!F182*'TS-PILE'!$D$74/SUMSQ('TS-PILE'!$D$72:$D$91))),IF('TS-PILE'!$B$75="",-1E+99,'TO HOP NLAN'!D182/ncoc+IF(SUMSQ('TS-PILE'!$E$72:$E$91)=0,0,'TO HOP NLAN'!E182*'TS-PILE'!$E$75/SUMSQ('TS-PILE'!$E$72:$E$91))+IF(SUMSQ('TS-PILE'!$D$72:$D$91)=0,0,'TO HOP NLAN'!F182*'TS-PILE'!$D$75/SUMSQ('TS-PILE'!$D$72:$D$91))),IF('TS-PILE'!$B$76="",-1E+99,'TO HOP NLAN'!D182/ncoc+IF(SUMSQ('TS-PILE'!$E$72:$E$91)=0,0,'TO HOP NLAN'!E182*'TS-PILE'!$E$76/SUMSQ('TS-PILE'!$E$72:$E$91))+IF(SUMSQ('TS-PILE'!$D$72:$D$91)=0,0,'TO HOP NLAN'!F182*'TS-PILE'!$D$76/SUMSQ('TS-PILE'!$D$72:$D$91))),IF('TS-PILE'!$B$77="",-1E+99,'TO HOP NLAN'!D182/ncoc+IF(SUMSQ('TS-PILE'!$E$72:$E$91)=0,0,'TO HOP NLAN'!E182*'TS-PILE'!$E$77/SUMSQ('TS-PILE'!$E$72:$E$91))+IF(SUMSQ('TS-PILE'!$D$72:$D$91)=0,0,'TO HOP NLAN'!F182*'TS-PILE'!$D$77/SUMSQ('TS-PILE'!$D$72:$D$91))),IF('TS-PILE'!$B$78="",-1E+99,'TO HOP NLAN'!D182/ncoc+IF(SUMSQ('TS-PILE'!$E$72:$E$91)=0,0,'TO HOP NLAN'!E182*'TS-PILE'!$E$78/SUMSQ('TS-PILE'!$E$72:$E$91))+IF(SUMSQ('TS-PILE'!$D$72:$D$91)=0,0,'TO HOP NLAN'!F182*'TS-PILE'!$D$78/SUMSQ('TS-PILE'!$D$72:$D$91))),IF('TS-PILE'!$B$79="",-1E+99,'TO HOP NLAN'!D182/ncoc+IF(SUMSQ('TS-PILE'!$E$72:$E$91)=0,0,'TO HOP NLAN'!E182*'TS-PILE'!$E$79/SUMSQ('TS-PILE'!$E$72:$E$91))+IF(SUMSQ('TS-PILE'!$D$72:$D$91)=0,0,'TO HOP NLAN'!F182*'TS-PILE'!$D$79/SUMSQ('TS-PILE'!$D$72:$D$91))),IF('TS-PILE'!$B$80="",-1E+99,'TO HOP NLAN'!D182/ncoc+IF(SUMSQ('TS-PILE'!$E$72:$E$91)=0,0,'TO HOP NLAN'!E182*'TS-PILE'!$E$80/SUMSQ('TS-PILE'!$E$72:$E$91))+IF(SUMSQ('TS-PILE'!$D$72:$D$91)=0,0,'TO HOP NLAN'!F182*'TS-PILE'!$D$80/SUMSQ('TS-PILE'!$D$72:$D$91))),IF('TS-PILE'!$B$81="",-1E+99,'TO HOP NLAN'!D182/ncoc+IF(SUMSQ('TS-PILE'!$E$72:$E$91)=0,0,'TO HOP NLAN'!E182*'TS-PILE'!$E$81/SUMSQ('TS-PILE'!$E$72:$E$91))+IF(SUMSQ('TS-PILE'!$D$72:$D$91)=0,0,'TO HOP NLAN'!F182*'TS-PILE'!$D$81/SUMSQ('TS-PILE'!$D$72:$D$91))),IF('TS-PILE'!$B$82="",-1E+99,'TO HOP NLAN'!D182/ncoc+IF(SUMSQ('TS-PILE'!$E$72:$E$91)=0,0,'TO HOP NLAN'!E182*'TS-PILE'!$E$82/SUMSQ('TS-PILE'!$E$72:$E$91))+IF(SUMSQ('TS-PILE'!$D$72:$D$91)=0,0,'TO HOP NLAN'!F182*'TS-PILE'!$D$82/SUMSQ('TS-PILE'!$D$72:$D$91))),IF('TS-PILE'!$B$83="",-1E+99,'TO HOP NLAN'!D182/ncoc+IF(SUMSQ('TS-PILE'!$E$72:$E$91)=0,0,'TO HOP NLAN'!E182*'TS-PILE'!$E$83/SUMSQ('TS-PILE'!$E$72:$E$91))+IF(SUMSQ('TS-PILE'!$D$72:$D$91)=0,0,'TO HOP NLAN'!F182*'TS-PILE'!$D$83/SUMSQ('TS-PILE'!$D$72:$D$91))),IF('TS-PILE'!$B$84="",-1E+99,'TO HOP NLAN'!D182/ncoc+IF(SUMSQ('TS-PILE'!$E$72:$E$91)=0,0,'TO HOP NLAN'!E182*'TS-PILE'!$E$84/SUMSQ('TS-PILE'!$E$72:$E$91))+IF(SUMSQ('TS-PILE'!$D$72:$D$91)=0,0,'TO HOP NLAN'!F182*'TS-PILE'!$D$84/SUMSQ('TS-PILE'!$D$72:$D$91))),IF('TS-PILE'!$B$85="",-1E+99,'TO HOP NLAN'!D182/ncoc+IF(SUMSQ('TS-PILE'!$E$72:$E$91)=0,0,'TO HOP NLAN'!E182*'TS-PILE'!$E$85/SUMSQ('TS-PILE'!$E$72:$E$91))+IF(SUMSQ('TS-PILE'!$D$72:$D$91)=0,0,'TO HOP NLAN'!F182*'TS-PILE'!$D$85/SUMSQ('TS-PILE'!$D$72:$D$91))),IF('TS-PILE'!$B$86="",-1E+99,'TO HOP NLAN'!D182/ncoc+IF(SUMSQ('TS-PILE'!$E$72:$E$91)=0,0,'TO HOP NLAN'!E182*'TS-PILE'!$E$86/SUMSQ('TS-PILE'!$E$72:$E$91))+IF(SUMSQ('TS-PILE'!$D$72:$D$91)=0,0,'TO HOP NLAN'!F182*'TS-PILE'!$D$86/SUMSQ('TS-PILE'!$D$72:$D$91))),IF('TS-PILE'!$B$87="",-1E+99,'TO HOP NLAN'!D182/ncoc+IF(SUMSQ('TS-PILE'!$E$72:$E$91)=0,0,'TO HOP NLAN'!E182*'TS-PILE'!$E$87/SUMSQ('TS-PILE'!$E$72:$E$91))+IF(SUMSQ('TS-PILE'!$D$72:$D$91)=0,0,'TO HOP NLAN'!F182*'TS-PILE'!$D$87/SUMSQ('TS-PILE'!$D$72:$D$91))),IF('TS-PILE'!$B$88="",-1E+99,'TO HOP NLAN'!D182/ncoc+IF(SUMSQ('TS-PILE'!$E$72:$E$91)=0,0,'TO HOP NLAN'!E182*'TS-PILE'!$E$88/SUMSQ('TS-PILE'!$E$72:$E$91))+IF(SUMSQ('TS-PILE'!$D$72:$D$91)=0,0,'TO HOP NLAN'!F182*'TS-PILE'!$D$88/SUMSQ('TS-PILE'!$D$72:$D$91))),IF('TS-PILE'!$B$89="",-1E+99,'TO HOP NLAN'!D182/ncoc+IF(SUMSQ('TS-PILE'!$E$72:$E$91)=0,0,'TO HOP NLAN'!E182*'TS-PILE'!$E$89/SUMSQ('TS-PILE'!$E$72:$E$91))+IF(SUMSQ('TS-PILE'!$D$72:$D$91)=0,0,'TO HOP NLAN'!F182*'TS-PILE'!$D$89/SUMSQ('TS-PILE'!$D$72:$D$91))),IF('TS-PILE'!$B$90="",-1E+99,'TO HOP NLAN'!D182/ncoc+IF(SUMSQ('TS-PILE'!$E$72:$E$91)=0,0,'TO HOP NLAN'!E182*'TS-PILE'!$E$90/SUMSQ('TS-PILE'!$E$72:$E$91))+IF(SUMSQ('TS-PILE'!$D$72:$D$91)=0,0,'TO HOP NLAN'!F182*'TS-PILE'!$D$90/SUMSQ('TS-PILE'!$D$72:$D$91))),IF('TS-PILE'!$B$91="",-1E+99,'TO HOP NLAN'!D182/ncoc+IF(SUMSQ('TS-PILE'!$E$72:$E$91)=0,0,'TO HOP NLAN'!E182*'TS-PILE'!$E$91/SUMSQ('TS-PILE'!$E$72:$E$91))+IF(SUMSQ('TS-PILE'!$D$72:$D$91)=0,0,'TO HOP NLAN'!F182*'TS-PILE'!$D$91/SUMSQ('TS-PILE'!$D$72:$D$91)))))</f>
        <v>0</v>
      </c>
      <c r="D182" s="58">
        <f>IF(A182="",0,MIN(IF('TS-PILE'!$B$72="",1E+99,'TO HOP NLAN'!D182/ncoc+IF(SUMSQ('TS-PILE'!$E$72:$E$91)=0,0,'TO HOP NLAN'!E182*'TS-PILE'!$E$72/SUMSQ('TS-PILE'!$E$72:$E$91))+IF(SUMSQ('TS-PILE'!$D$72:$D$91)=0,0,'TO HOP NLAN'!F182*'TS-PILE'!$D$72/SUMSQ('TS-PILE'!$D$72:$D$91))),IF('TS-PILE'!$B$73="",1E+99,'TO HOP NLAN'!D182/ncoc+IF(SUMSQ('TS-PILE'!$E$72:$E$91)=0,0,'TO HOP NLAN'!E182*'TS-PILE'!$E$73/SUMSQ('TS-PILE'!$E$72:$E$91))+IF(SUMSQ('TS-PILE'!$D$72:$D$91)=0,0,'TO HOP NLAN'!F182*'TS-PILE'!$D$73/SUMSQ('TS-PILE'!$D$72:$D$91))),IF('TS-PILE'!$B$74="",1E+99,'TO HOP NLAN'!D182/ncoc+IF(SUMSQ('TS-PILE'!$E$72:$E$91)=0,0,'TO HOP NLAN'!E182*'TS-PILE'!$E$74/SUMSQ('TS-PILE'!$E$72:$E$91))+IF(SUMSQ('TS-PILE'!$D$72:$D$91)=0,0,'TO HOP NLAN'!F182*'TS-PILE'!$D$74/SUMSQ('TS-PILE'!$D$72:$D$91))),IF('TS-PILE'!$B$75="",1E+99,'TO HOP NLAN'!D182/ncoc+IF(SUMSQ('TS-PILE'!$E$72:$E$91)=0,0,'TO HOP NLAN'!E182*'TS-PILE'!$E$75/SUMSQ('TS-PILE'!$E$72:$E$91))+IF(SUMSQ('TS-PILE'!$D$72:$D$91)=0,0,'TO HOP NLAN'!F182*'TS-PILE'!$D$75/SUMSQ('TS-PILE'!$D$72:$D$91))),IF('TS-PILE'!$B$76="",1E+99,'TO HOP NLAN'!D182/ncoc+IF(SUMSQ('TS-PILE'!$E$72:$E$91)=0,0,'TO HOP NLAN'!E182*'TS-PILE'!$E$76/SUMSQ('TS-PILE'!$E$72:$E$91))+IF(SUMSQ('TS-PILE'!$D$72:$D$91)=0,0,'TO HOP NLAN'!F182*'TS-PILE'!$D$76/SUMSQ('TS-PILE'!$D$72:$D$91))),IF('TS-PILE'!$B$77="",1E+99,'TO HOP NLAN'!D182/ncoc+IF(SUMSQ('TS-PILE'!$E$72:$E$91)=0,0,'TO HOP NLAN'!E182*'TS-PILE'!$E$77/SUMSQ('TS-PILE'!$E$72:$E$91))+IF(SUMSQ('TS-PILE'!$D$72:$D$91)=0,0,'TO HOP NLAN'!F182*'TS-PILE'!$D$77/SUMSQ('TS-PILE'!$D$72:$D$91))),IF('TS-PILE'!$B$78="",1E+99,'TO HOP NLAN'!D182/ncoc+IF(SUMSQ('TS-PILE'!$E$72:$E$91)=0,0,'TO HOP NLAN'!E182*'TS-PILE'!$E$78/SUMSQ('TS-PILE'!$E$72:$E$91))+IF(SUMSQ('TS-PILE'!$D$72:$D$91)=0,0,'TO HOP NLAN'!F182*'TS-PILE'!$D$78/SUMSQ('TS-PILE'!$D$72:$D$91))),IF('TS-PILE'!$B$79="",1E+99,'TO HOP NLAN'!D182/ncoc+IF(SUMSQ('TS-PILE'!$E$72:$E$91)=0,0,'TO HOP NLAN'!E182*'TS-PILE'!$E$79/SUMSQ('TS-PILE'!$E$72:$E$91))+IF(SUMSQ('TS-PILE'!$D$72:$D$91)=0,0,'TO HOP NLAN'!F182*'TS-PILE'!$D$79/SUMSQ('TS-PILE'!$D$72:$D$91))),IF('TS-PILE'!$B$80="",1E+99,'TO HOP NLAN'!D182/ncoc+IF(SUMSQ('TS-PILE'!$E$72:$E$91)=0,0,'TO HOP NLAN'!E182*'TS-PILE'!$E$80/SUMSQ('TS-PILE'!$E$72:$E$91))+IF(SUMSQ('TS-PILE'!$D$72:$D$91)=0,0,'TO HOP NLAN'!F182*'TS-PILE'!$D$80/SUMSQ('TS-PILE'!$D$72:$D$91))),IF('TS-PILE'!$B$81="",1E+99,'TO HOP NLAN'!D182/ncoc+IF(SUMSQ('TS-PILE'!$E$72:$E$91)=0,0,'TO HOP NLAN'!E182*'TS-PILE'!$E$81/SUMSQ('TS-PILE'!$E$72:$E$91))+IF(SUMSQ('TS-PILE'!$D$72:$D$91)=0,0,'TO HOP NLAN'!F182*'TS-PILE'!$D$81/SUMSQ('TS-PILE'!$D$72:$D$91))),IF('TS-PILE'!$B$82="",1E+99,'TO HOP NLAN'!D182/ncoc+IF(SUMSQ('TS-PILE'!$E$72:$E$91)=0,0,'TO HOP NLAN'!E182*'TS-PILE'!$E$82/SUMSQ('TS-PILE'!$E$72:$E$91))+IF(SUMSQ('TS-PILE'!$D$72:$D$91)=0,0,'TO HOP NLAN'!F182*'TS-PILE'!$D$82/SUMSQ('TS-PILE'!$D$72:$D$91))),IF('TS-PILE'!$B$83="",1E+99,'TO HOP NLAN'!D182/ncoc+IF(SUMSQ('TS-PILE'!$E$72:$E$91)=0,0,'TO HOP NLAN'!E182*'TS-PILE'!$E$83/SUMSQ('TS-PILE'!$E$72:$E$91))+IF(SUMSQ('TS-PILE'!$D$72:$D$91)=0,0,'TO HOP NLAN'!F182*'TS-PILE'!$D$83/SUMSQ('TS-PILE'!$D$72:$D$91))),IF('TS-PILE'!$B$84="",1E+99,'TO HOP NLAN'!D182/ncoc+IF(SUMSQ('TS-PILE'!$E$72:$E$91)=0,0,'TO HOP NLAN'!E182*'TS-PILE'!$E$84/SUMSQ('TS-PILE'!$E$72:$E$91))+IF(SUMSQ('TS-PILE'!$D$72:$D$91)=0,0,'TO HOP NLAN'!F182*'TS-PILE'!$D$84/SUMSQ('TS-PILE'!$D$72:$D$91))),IF('TS-PILE'!$B$85="",1E+99,'TO HOP NLAN'!D182/ncoc+IF(SUMSQ('TS-PILE'!$E$72:$E$91)=0,0,'TO HOP NLAN'!E182*'TS-PILE'!$E$85/SUMSQ('TS-PILE'!$E$72:$E$91))+IF(SUMSQ('TS-PILE'!$D$72:$D$91)=0,0,'TO HOP NLAN'!F182*'TS-PILE'!$D$85/SUMSQ('TS-PILE'!$D$72:$D$91))),IF('TS-PILE'!$B$86="",1E+99,'TO HOP NLAN'!D182/ncoc+IF(SUMSQ('TS-PILE'!$E$72:$E$91)=0,0,'TO HOP NLAN'!E182*'TS-PILE'!$E$86/SUMSQ('TS-PILE'!$E$72:$E$91))+IF(SUMSQ('TS-PILE'!$D$72:$D$91)=0,0,'TO HOP NLAN'!F182*'TS-PILE'!$D$86/SUMSQ('TS-PILE'!$D$72:$D$91))),IF('TS-PILE'!$B$87="",1E+99,'TO HOP NLAN'!D182/ncoc+IF(SUMSQ('TS-PILE'!$E$72:$E$91)=0,0,'TO HOP NLAN'!E182*'TS-PILE'!$E$87/SUMSQ('TS-PILE'!$E$72:$E$91))+IF(SUMSQ('TS-PILE'!$D$72:$D$91)=0,0,'TO HOP NLAN'!F182*'TS-PILE'!$D$87/SUMSQ('TS-PILE'!$D$72:$D$91))),IF('TS-PILE'!$B$88="",1E+99,'TO HOP NLAN'!D182/ncoc+IF(SUMSQ('TS-PILE'!$E$72:$E$91)=0,0,'TO HOP NLAN'!E182*'TS-PILE'!$E$88/SUMSQ('TS-PILE'!$E$72:$E$91))+IF(SUMSQ('TS-PILE'!$D$72:$D$91)=0,0,'TO HOP NLAN'!F182*'TS-PILE'!$D$88/SUMSQ('TS-PILE'!$D$72:$D$91))),IF('TS-PILE'!$B$89="",1E+99,'TO HOP NLAN'!D182/ncoc+IF(SUMSQ('TS-PILE'!$E$72:$E$91)=0,0,'TO HOP NLAN'!E182*'TS-PILE'!$E$89/SUMSQ('TS-PILE'!$E$72:$E$91))+IF(SUMSQ('TS-PILE'!$D$72:$D$91)=0,0,'TO HOP NLAN'!F182*'TS-PILE'!$D$89/SUMSQ('TS-PILE'!$D$72:$D$91))),IF('TS-PILE'!$B$90="",1E+99,'TO HOP NLAN'!D182/ncoc+IF(SUMSQ('TS-PILE'!$E$72:$E$91)=0,0,'TO HOP NLAN'!E182*'TS-PILE'!$E$90/SUMSQ('TS-PILE'!$E$72:$E$91))+IF(SUMSQ('TS-PILE'!$D$72:$D$91)=0,0,'TO HOP NLAN'!F182*'TS-PILE'!$D$90/SUMSQ('TS-PILE'!$D$72:$D$91))),IF('TS-PILE'!$B$91="",1E+99,'TO HOP NLAN'!D182/ncoc+IF(SUMSQ('TS-PILE'!$E$72:$E$91)=0,0,'TO HOP NLAN'!E182*'TS-PILE'!$E$91/SUMSQ('TS-PILE'!$E$72:$E$91))+IF(SUMSQ('TS-PILE'!$D$72:$D$91)=0,0,'TO HOP NLAN'!F182*'TS-PILE'!$D$91/SUMSQ('TS-PILE'!$D$72:$D$91)))))</f>
        <v>0</v>
      </c>
      <c r="E182" s="58">
        <f t="shared" si="8"/>
        <v>-9.9999999999999997E+98</v>
      </c>
      <c r="F182" s="58">
        <f t="shared" si="9"/>
        <v>9.9999999999999997E+98</v>
      </c>
      <c r="G182" s="58">
        <f t="shared" si="10"/>
        <v>-9.9999999999999997E+98</v>
      </c>
      <c r="H182" s="58">
        <f t="shared" si="11"/>
        <v>9.9999999999999997E+98</v>
      </c>
    </row>
    <row r="183" spans="1:8" x14ac:dyDescent="0.3">
      <c r="A183" s="42" t="str">
        <f>'TO HOP NLAN'!A183</f>
        <v/>
      </c>
      <c r="B183" s="42" t="str">
        <f>'TO HOP NLAN'!L183</f>
        <v>STRENGTH</v>
      </c>
      <c r="C183" s="58">
        <f>IF(A183="",0,MAX(IF('TS-PILE'!$B$72="",-1E+99,'TO HOP NLAN'!D183/ncoc+IF(SUMSQ('TS-PILE'!$E$72:$E$91)=0,0,'TO HOP NLAN'!E183*'TS-PILE'!$E$72/SUMSQ('TS-PILE'!$E$72:$E$91))+IF(SUMSQ('TS-PILE'!$D$72:$D$91)=0,0,'TO HOP NLAN'!F183*'TS-PILE'!$D$72/SUMSQ('TS-PILE'!$D$72:$D$91))),IF('TS-PILE'!$B$73="",-1E+99,'TO HOP NLAN'!D183/ncoc+IF(SUMSQ('TS-PILE'!$E$72:$E$91)=0,0,'TO HOP NLAN'!E183*'TS-PILE'!$E$73/SUMSQ('TS-PILE'!$E$72:$E$91))+IF(SUMSQ('TS-PILE'!$D$72:$D$91)=0,0,'TO HOP NLAN'!F183*'TS-PILE'!$D$73/SUMSQ('TS-PILE'!$D$72:$D$91))),IF('TS-PILE'!$B$74="",-1E+99,'TO HOP NLAN'!D183/ncoc+IF(SUMSQ('TS-PILE'!$E$72:$E$91)=0,0,'TO HOP NLAN'!E183*'TS-PILE'!$E$74/SUMSQ('TS-PILE'!$E$72:$E$91))+IF(SUMSQ('TS-PILE'!$D$72:$D$91)=0,0,'TO HOP NLAN'!F183*'TS-PILE'!$D$74/SUMSQ('TS-PILE'!$D$72:$D$91))),IF('TS-PILE'!$B$75="",-1E+99,'TO HOP NLAN'!D183/ncoc+IF(SUMSQ('TS-PILE'!$E$72:$E$91)=0,0,'TO HOP NLAN'!E183*'TS-PILE'!$E$75/SUMSQ('TS-PILE'!$E$72:$E$91))+IF(SUMSQ('TS-PILE'!$D$72:$D$91)=0,0,'TO HOP NLAN'!F183*'TS-PILE'!$D$75/SUMSQ('TS-PILE'!$D$72:$D$91))),IF('TS-PILE'!$B$76="",-1E+99,'TO HOP NLAN'!D183/ncoc+IF(SUMSQ('TS-PILE'!$E$72:$E$91)=0,0,'TO HOP NLAN'!E183*'TS-PILE'!$E$76/SUMSQ('TS-PILE'!$E$72:$E$91))+IF(SUMSQ('TS-PILE'!$D$72:$D$91)=0,0,'TO HOP NLAN'!F183*'TS-PILE'!$D$76/SUMSQ('TS-PILE'!$D$72:$D$91))),IF('TS-PILE'!$B$77="",-1E+99,'TO HOP NLAN'!D183/ncoc+IF(SUMSQ('TS-PILE'!$E$72:$E$91)=0,0,'TO HOP NLAN'!E183*'TS-PILE'!$E$77/SUMSQ('TS-PILE'!$E$72:$E$91))+IF(SUMSQ('TS-PILE'!$D$72:$D$91)=0,0,'TO HOP NLAN'!F183*'TS-PILE'!$D$77/SUMSQ('TS-PILE'!$D$72:$D$91))),IF('TS-PILE'!$B$78="",-1E+99,'TO HOP NLAN'!D183/ncoc+IF(SUMSQ('TS-PILE'!$E$72:$E$91)=0,0,'TO HOP NLAN'!E183*'TS-PILE'!$E$78/SUMSQ('TS-PILE'!$E$72:$E$91))+IF(SUMSQ('TS-PILE'!$D$72:$D$91)=0,0,'TO HOP NLAN'!F183*'TS-PILE'!$D$78/SUMSQ('TS-PILE'!$D$72:$D$91))),IF('TS-PILE'!$B$79="",-1E+99,'TO HOP NLAN'!D183/ncoc+IF(SUMSQ('TS-PILE'!$E$72:$E$91)=0,0,'TO HOP NLAN'!E183*'TS-PILE'!$E$79/SUMSQ('TS-PILE'!$E$72:$E$91))+IF(SUMSQ('TS-PILE'!$D$72:$D$91)=0,0,'TO HOP NLAN'!F183*'TS-PILE'!$D$79/SUMSQ('TS-PILE'!$D$72:$D$91))),IF('TS-PILE'!$B$80="",-1E+99,'TO HOP NLAN'!D183/ncoc+IF(SUMSQ('TS-PILE'!$E$72:$E$91)=0,0,'TO HOP NLAN'!E183*'TS-PILE'!$E$80/SUMSQ('TS-PILE'!$E$72:$E$91))+IF(SUMSQ('TS-PILE'!$D$72:$D$91)=0,0,'TO HOP NLAN'!F183*'TS-PILE'!$D$80/SUMSQ('TS-PILE'!$D$72:$D$91))),IF('TS-PILE'!$B$81="",-1E+99,'TO HOP NLAN'!D183/ncoc+IF(SUMSQ('TS-PILE'!$E$72:$E$91)=0,0,'TO HOP NLAN'!E183*'TS-PILE'!$E$81/SUMSQ('TS-PILE'!$E$72:$E$91))+IF(SUMSQ('TS-PILE'!$D$72:$D$91)=0,0,'TO HOP NLAN'!F183*'TS-PILE'!$D$81/SUMSQ('TS-PILE'!$D$72:$D$91))),IF('TS-PILE'!$B$82="",-1E+99,'TO HOP NLAN'!D183/ncoc+IF(SUMSQ('TS-PILE'!$E$72:$E$91)=0,0,'TO HOP NLAN'!E183*'TS-PILE'!$E$82/SUMSQ('TS-PILE'!$E$72:$E$91))+IF(SUMSQ('TS-PILE'!$D$72:$D$91)=0,0,'TO HOP NLAN'!F183*'TS-PILE'!$D$82/SUMSQ('TS-PILE'!$D$72:$D$91))),IF('TS-PILE'!$B$83="",-1E+99,'TO HOP NLAN'!D183/ncoc+IF(SUMSQ('TS-PILE'!$E$72:$E$91)=0,0,'TO HOP NLAN'!E183*'TS-PILE'!$E$83/SUMSQ('TS-PILE'!$E$72:$E$91))+IF(SUMSQ('TS-PILE'!$D$72:$D$91)=0,0,'TO HOP NLAN'!F183*'TS-PILE'!$D$83/SUMSQ('TS-PILE'!$D$72:$D$91))),IF('TS-PILE'!$B$84="",-1E+99,'TO HOP NLAN'!D183/ncoc+IF(SUMSQ('TS-PILE'!$E$72:$E$91)=0,0,'TO HOP NLAN'!E183*'TS-PILE'!$E$84/SUMSQ('TS-PILE'!$E$72:$E$91))+IF(SUMSQ('TS-PILE'!$D$72:$D$91)=0,0,'TO HOP NLAN'!F183*'TS-PILE'!$D$84/SUMSQ('TS-PILE'!$D$72:$D$91))),IF('TS-PILE'!$B$85="",-1E+99,'TO HOP NLAN'!D183/ncoc+IF(SUMSQ('TS-PILE'!$E$72:$E$91)=0,0,'TO HOP NLAN'!E183*'TS-PILE'!$E$85/SUMSQ('TS-PILE'!$E$72:$E$91))+IF(SUMSQ('TS-PILE'!$D$72:$D$91)=0,0,'TO HOP NLAN'!F183*'TS-PILE'!$D$85/SUMSQ('TS-PILE'!$D$72:$D$91))),IF('TS-PILE'!$B$86="",-1E+99,'TO HOP NLAN'!D183/ncoc+IF(SUMSQ('TS-PILE'!$E$72:$E$91)=0,0,'TO HOP NLAN'!E183*'TS-PILE'!$E$86/SUMSQ('TS-PILE'!$E$72:$E$91))+IF(SUMSQ('TS-PILE'!$D$72:$D$91)=0,0,'TO HOP NLAN'!F183*'TS-PILE'!$D$86/SUMSQ('TS-PILE'!$D$72:$D$91))),IF('TS-PILE'!$B$87="",-1E+99,'TO HOP NLAN'!D183/ncoc+IF(SUMSQ('TS-PILE'!$E$72:$E$91)=0,0,'TO HOP NLAN'!E183*'TS-PILE'!$E$87/SUMSQ('TS-PILE'!$E$72:$E$91))+IF(SUMSQ('TS-PILE'!$D$72:$D$91)=0,0,'TO HOP NLAN'!F183*'TS-PILE'!$D$87/SUMSQ('TS-PILE'!$D$72:$D$91))),IF('TS-PILE'!$B$88="",-1E+99,'TO HOP NLAN'!D183/ncoc+IF(SUMSQ('TS-PILE'!$E$72:$E$91)=0,0,'TO HOP NLAN'!E183*'TS-PILE'!$E$88/SUMSQ('TS-PILE'!$E$72:$E$91))+IF(SUMSQ('TS-PILE'!$D$72:$D$91)=0,0,'TO HOP NLAN'!F183*'TS-PILE'!$D$88/SUMSQ('TS-PILE'!$D$72:$D$91))),IF('TS-PILE'!$B$89="",-1E+99,'TO HOP NLAN'!D183/ncoc+IF(SUMSQ('TS-PILE'!$E$72:$E$91)=0,0,'TO HOP NLAN'!E183*'TS-PILE'!$E$89/SUMSQ('TS-PILE'!$E$72:$E$91))+IF(SUMSQ('TS-PILE'!$D$72:$D$91)=0,0,'TO HOP NLAN'!F183*'TS-PILE'!$D$89/SUMSQ('TS-PILE'!$D$72:$D$91))),IF('TS-PILE'!$B$90="",-1E+99,'TO HOP NLAN'!D183/ncoc+IF(SUMSQ('TS-PILE'!$E$72:$E$91)=0,0,'TO HOP NLAN'!E183*'TS-PILE'!$E$90/SUMSQ('TS-PILE'!$E$72:$E$91))+IF(SUMSQ('TS-PILE'!$D$72:$D$91)=0,0,'TO HOP NLAN'!F183*'TS-PILE'!$D$90/SUMSQ('TS-PILE'!$D$72:$D$91))),IF('TS-PILE'!$B$91="",-1E+99,'TO HOP NLAN'!D183/ncoc+IF(SUMSQ('TS-PILE'!$E$72:$E$91)=0,0,'TO HOP NLAN'!E183*'TS-PILE'!$E$91/SUMSQ('TS-PILE'!$E$72:$E$91))+IF(SUMSQ('TS-PILE'!$D$72:$D$91)=0,0,'TO HOP NLAN'!F183*'TS-PILE'!$D$91/SUMSQ('TS-PILE'!$D$72:$D$91)))))</f>
        <v>0</v>
      </c>
      <c r="D183" s="58">
        <f>IF(A183="",0,MIN(IF('TS-PILE'!$B$72="",1E+99,'TO HOP NLAN'!D183/ncoc+IF(SUMSQ('TS-PILE'!$E$72:$E$91)=0,0,'TO HOP NLAN'!E183*'TS-PILE'!$E$72/SUMSQ('TS-PILE'!$E$72:$E$91))+IF(SUMSQ('TS-PILE'!$D$72:$D$91)=0,0,'TO HOP NLAN'!F183*'TS-PILE'!$D$72/SUMSQ('TS-PILE'!$D$72:$D$91))),IF('TS-PILE'!$B$73="",1E+99,'TO HOP NLAN'!D183/ncoc+IF(SUMSQ('TS-PILE'!$E$72:$E$91)=0,0,'TO HOP NLAN'!E183*'TS-PILE'!$E$73/SUMSQ('TS-PILE'!$E$72:$E$91))+IF(SUMSQ('TS-PILE'!$D$72:$D$91)=0,0,'TO HOP NLAN'!F183*'TS-PILE'!$D$73/SUMSQ('TS-PILE'!$D$72:$D$91))),IF('TS-PILE'!$B$74="",1E+99,'TO HOP NLAN'!D183/ncoc+IF(SUMSQ('TS-PILE'!$E$72:$E$91)=0,0,'TO HOP NLAN'!E183*'TS-PILE'!$E$74/SUMSQ('TS-PILE'!$E$72:$E$91))+IF(SUMSQ('TS-PILE'!$D$72:$D$91)=0,0,'TO HOP NLAN'!F183*'TS-PILE'!$D$74/SUMSQ('TS-PILE'!$D$72:$D$91))),IF('TS-PILE'!$B$75="",1E+99,'TO HOP NLAN'!D183/ncoc+IF(SUMSQ('TS-PILE'!$E$72:$E$91)=0,0,'TO HOP NLAN'!E183*'TS-PILE'!$E$75/SUMSQ('TS-PILE'!$E$72:$E$91))+IF(SUMSQ('TS-PILE'!$D$72:$D$91)=0,0,'TO HOP NLAN'!F183*'TS-PILE'!$D$75/SUMSQ('TS-PILE'!$D$72:$D$91))),IF('TS-PILE'!$B$76="",1E+99,'TO HOP NLAN'!D183/ncoc+IF(SUMSQ('TS-PILE'!$E$72:$E$91)=0,0,'TO HOP NLAN'!E183*'TS-PILE'!$E$76/SUMSQ('TS-PILE'!$E$72:$E$91))+IF(SUMSQ('TS-PILE'!$D$72:$D$91)=0,0,'TO HOP NLAN'!F183*'TS-PILE'!$D$76/SUMSQ('TS-PILE'!$D$72:$D$91))),IF('TS-PILE'!$B$77="",1E+99,'TO HOP NLAN'!D183/ncoc+IF(SUMSQ('TS-PILE'!$E$72:$E$91)=0,0,'TO HOP NLAN'!E183*'TS-PILE'!$E$77/SUMSQ('TS-PILE'!$E$72:$E$91))+IF(SUMSQ('TS-PILE'!$D$72:$D$91)=0,0,'TO HOP NLAN'!F183*'TS-PILE'!$D$77/SUMSQ('TS-PILE'!$D$72:$D$91))),IF('TS-PILE'!$B$78="",1E+99,'TO HOP NLAN'!D183/ncoc+IF(SUMSQ('TS-PILE'!$E$72:$E$91)=0,0,'TO HOP NLAN'!E183*'TS-PILE'!$E$78/SUMSQ('TS-PILE'!$E$72:$E$91))+IF(SUMSQ('TS-PILE'!$D$72:$D$91)=0,0,'TO HOP NLAN'!F183*'TS-PILE'!$D$78/SUMSQ('TS-PILE'!$D$72:$D$91))),IF('TS-PILE'!$B$79="",1E+99,'TO HOP NLAN'!D183/ncoc+IF(SUMSQ('TS-PILE'!$E$72:$E$91)=0,0,'TO HOP NLAN'!E183*'TS-PILE'!$E$79/SUMSQ('TS-PILE'!$E$72:$E$91))+IF(SUMSQ('TS-PILE'!$D$72:$D$91)=0,0,'TO HOP NLAN'!F183*'TS-PILE'!$D$79/SUMSQ('TS-PILE'!$D$72:$D$91))),IF('TS-PILE'!$B$80="",1E+99,'TO HOP NLAN'!D183/ncoc+IF(SUMSQ('TS-PILE'!$E$72:$E$91)=0,0,'TO HOP NLAN'!E183*'TS-PILE'!$E$80/SUMSQ('TS-PILE'!$E$72:$E$91))+IF(SUMSQ('TS-PILE'!$D$72:$D$91)=0,0,'TO HOP NLAN'!F183*'TS-PILE'!$D$80/SUMSQ('TS-PILE'!$D$72:$D$91))),IF('TS-PILE'!$B$81="",1E+99,'TO HOP NLAN'!D183/ncoc+IF(SUMSQ('TS-PILE'!$E$72:$E$91)=0,0,'TO HOP NLAN'!E183*'TS-PILE'!$E$81/SUMSQ('TS-PILE'!$E$72:$E$91))+IF(SUMSQ('TS-PILE'!$D$72:$D$91)=0,0,'TO HOP NLAN'!F183*'TS-PILE'!$D$81/SUMSQ('TS-PILE'!$D$72:$D$91))),IF('TS-PILE'!$B$82="",1E+99,'TO HOP NLAN'!D183/ncoc+IF(SUMSQ('TS-PILE'!$E$72:$E$91)=0,0,'TO HOP NLAN'!E183*'TS-PILE'!$E$82/SUMSQ('TS-PILE'!$E$72:$E$91))+IF(SUMSQ('TS-PILE'!$D$72:$D$91)=0,0,'TO HOP NLAN'!F183*'TS-PILE'!$D$82/SUMSQ('TS-PILE'!$D$72:$D$91))),IF('TS-PILE'!$B$83="",1E+99,'TO HOP NLAN'!D183/ncoc+IF(SUMSQ('TS-PILE'!$E$72:$E$91)=0,0,'TO HOP NLAN'!E183*'TS-PILE'!$E$83/SUMSQ('TS-PILE'!$E$72:$E$91))+IF(SUMSQ('TS-PILE'!$D$72:$D$91)=0,0,'TO HOP NLAN'!F183*'TS-PILE'!$D$83/SUMSQ('TS-PILE'!$D$72:$D$91))),IF('TS-PILE'!$B$84="",1E+99,'TO HOP NLAN'!D183/ncoc+IF(SUMSQ('TS-PILE'!$E$72:$E$91)=0,0,'TO HOP NLAN'!E183*'TS-PILE'!$E$84/SUMSQ('TS-PILE'!$E$72:$E$91))+IF(SUMSQ('TS-PILE'!$D$72:$D$91)=0,0,'TO HOP NLAN'!F183*'TS-PILE'!$D$84/SUMSQ('TS-PILE'!$D$72:$D$91))),IF('TS-PILE'!$B$85="",1E+99,'TO HOP NLAN'!D183/ncoc+IF(SUMSQ('TS-PILE'!$E$72:$E$91)=0,0,'TO HOP NLAN'!E183*'TS-PILE'!$E$85/SUMSQ('TS-PILE'!$E$72:$E$91))+IF(SUMSQ('TS-PILE'!$D$72:$D$91)=0,0,'TO HOP NLAN'!F183*'TS-PILE'!$D$85/SUMSQ('TS-PILE'!$D$72:$D$91))),IF('TS-PILE'!$B$86="",1E+99,'TO HOP NLAN'!D183/ncoc+IF(SUMSQ('TS-PILE'!$E$72:$E$91)=0,0,'TO HOP NLAN'!E183*'TS-PILE'!$E$86/SUMSQ('TS-PILE'!$E$72:$E$91))+IF(SUMSQ('TS-PILE'!$D$72:$D$91)=0,0,'TO HOP NLAN'!F183*'TS-PILE'!$D$86/SUMSQ('TS-PILE'!$D$72:$D$91))),IF('TS-PILE'!$B$87="",1E+99,'TO HOP NLAN'!D183/ncoc+IF(SUMSQ('TS-PILE'!$E$72:$E$91)=0,0,'TO HOP NLAN'!E183*'TS-PILE'!$E$87/SUMSQ('TS-PILE'!$E$72:$E$91))+IF(SUMSQ('TS-PILE'!$D$72:$D$91)=0,0,'TO HOP NLAN'!F183*'TS-PILE'!$D$87/SUMSQ('TS-PILE'!$D$72:$D$91))),IF('TS-PILE'!$B$88="",1E+99,'TO HOP NLAN'!D183/ncoc+IF(SUMSQ('TS-PILE'!$E$72:$E$91)=0,0,'TO HOP NLAN'!E183*'TS-PILE'!$E$88/SUMSQ('TS-PILE'!$E$72:$E$91))+IF(SUMSQ('TS-PILE'!$D$72:$D$91)=0,0,'TO HOP NLAN'!F183*'TS-PILE'!$D$88/SUMSQ('TS-PILE'!$D$72:$D$91))),IF('TS-PILE'!$B$89="",1E+99,'TO HOP NLAN'!D183/ncoc+IF(SUMSQ('TS-PILE'!$E$72:$E$91)=0,0,'TO HOP NLAN'!E183*'TS-PILE'!$E$89/SUMSQ('TS-PILE'!$E$72:$E$91))+IF(SUMSQ('TS-PILE'!$D$72:$D$91)=0,0,'TO HOP NLAN'!F183*'TS-PILE'!$D$89/SUMSQ('TS-PILE'!$D$72:$D$91))),IF('TS-PILE'!$B$90="",1E+99,'TO HOP NLAN'!D183/ncoc+IF(SUMSQ('TS-PILE'!$E$72:$E$91)=0,0,'TO HOP NLAN'!E183*'TS-PILE'!$E$90/SUMSQ('TS-PILE'!$E$72:$E$91))+IF(SUMSQ('TS-PILE'!$D$72:$D$91)=0,0,'TO HOP NLAN'!F183*'TS-PILE'!$D$90/SUMSQ('TS-PILE'!$D$72:$D$91))),IF('TS-PILE'!$B$91="",1E+99,'TO HOP NLAN'!D183/ncoc+IF(SUMSQ('TS-PILE'!$E$72:$E$91)=0,0,'TO HOP NLAN'!E183*'TS-PILE'!$E$91/SUMSQ('TS-PILE'!$E$72:$E$91))+IF(SUMSQ('TS-PILE'!$D$72:$D$91)=0,0,'TO HOP NLAN'!F183*'TS-PILE'!$D$91/SUMSQ('TS-PILE'!$D$72:$D$91)))))</f>
        <v>0</v>
      </c>
      <c r="E183" s="58">
        <f t="shared" si="8"/>
        <v>-9.9999999999999997E+98</v>
      </c>
      <c r="F183" s="58">
        <f t="shared" si="9"/>
        <v>9.9999999999999997E+98</v>
      </c>
      <c r="G183" s="58">
        <f t="shared" si="10"/>
        <v>-9.9999999999999997E+98</v>
      </c>
      <c r="H183" s="58">
        <f t="shared" si="11"/>
        <v>9.9999999999999997E+98</v>
      </c>
    </row>
    <row r="184" spans="1:8" x14ac:dyDescent="0.3">
      <c r="A184" s="42" t="str">
        <f>'TO HOP NLAN'!A184</f>
        <v/>
      </c>
      <c r="B184" s="42" t="str">
        <f>'TO HOP NLAN'!L184</f>
        <v>STRENGTH</v>
      </c>
      <c r="C184" s="58">
        <f>IF(A184="",0,MAX(IF('TS-PILE'!$B$72="",-1E+99,'TO HOP NLAN'!D184/ncoc+IF(SUMSQ('TS-PILE'!$E$72:$E$91)=0,0,'TO HOP NLAN'!E184*'TS-PILE'!$E$72/SUMSQ('TS-PILE'!$E$72:$E$91))+IF(SUMSQ('TS-PILE'!$D$72:$D$91)=0,0,'TO HOP NLAN'!F184*'TS-PILE'!$D$72/SUMSQ('TS-PILE'!$D$72:$D$91))),IF('TS-PILE'!$B$73="",-1E+99,'TO HOP NLAN'!D184/ncoc+IF(SUMSQ('TS-PILE'!$E$72:$E$91)=0,0,'TO HOP NLAN'!E184*'TS-PILE'!$E$73/SUMSQ('TS-PILE'!$E$72:$E$91))+IF(SUMSQ('TS-PILE'!$D$72:$D$91)=0,0,'TO HOP NLAN'!F184*'TS-PILE'!$D$73/SUMSQ('TS-PILE'!$D$72:$D$91))),IF('TS-PILE'!$B$74="",-1E+99,'TO HOP NLAN'!D184/ncoc+IF(SUMSQ('TS-PILE'!$E$72:$E$91)=0,0,'TO HOP NLAN'!E184*'TS-PILE'!$E$74/SUMSQ('TS-PILE'!$E$72:$E$91))+IF(SUMSQ('TS-PILE'!$D$72:$D$91)=0,0,'TO HOP NLAN'!F184*'TS-PILE'!$D$74/SUMSQ('TS-PILE'!$D$72:$D$91))),IF('TS-PILE'!$B$75="",-1E+99,'TO HOP NLAN'!D184/ncoc+IF(SUMSQ('TS-PILE'!$E$72:$E$91)=0,0,'TO HOP NLAN'!E184*'TS-PILE'!$E$75/SUMSQ('TS-PILE'!$E$72:$E$91))+IF(SUMSQ('TS-PILE'!$D$72:$D$91)=0,0,'TO HOP NLAN'!F184*'TS-PILE'!$D$75/SUMSQ('TS-PILE'!$D$72:$D$91))),IF('TS-PILE'!$B$76="",-1E+99,'TO HOP NLAN'!D184/ncoc+IF(SUMSQ('TS-PILE'!$E$72:$E$91)=0,0,'TO HOP NLAN'!E184*'TS-PILE'!$E$76/SUMSQ('TS-PILE'!$E$72:$E$91))+IF(SUMSQ('TS-PILE'!$D$72:$D$91)=0,0,'TO HOP NLAN'!F184*'TS-PILE'!$D$76/SUMSQ('TS-PILE'!$D$72:$D$91))),IF('TS-PILE'!$B$77="",-1E+99,'TO HOP NLAN'!D184/ncoc+IF(SUMSQ('TS-PILE'!$E$72:$E$91)=0,0,'TO HOP NLAN'!E184*'TS-PILE'!$E$77/SUMSQ('TS-PILE'!$E$72:$E$91))+IF(SUMSQ('TS-PILE'!$D$72:$D$91)=0,0,'TO HOP NLAN'!F184*'TS-PILE'!$D$77/SUMSQ('TS-PILE'!$D$72:$D$91))),IF('TS-PILE'!$B$78="",-1E+99,'TO HOP NLAN'!D184/ncoc+IF(SUMSQ('TS-PILE'!$E$72:$E$91)=0,0,'TO HOP NLAN'!E184*'TS-PILE'!$E$78/SUMSQ('TS-PILE'!$E$72:$E$91))+IF(SUMSQ('TS-PILE'!$D$72:$D$91)=0,0,'TO HOP NLAN'!F184*'TS-PILE'!$D$78/SUMSQ('TS-PILE'!$D$72:$D$91))),IF('TS-PILE'!$B$79="",-1E+99,'TO HOP NLAN'!D184/ncoc+IF(SUMSQ('TS-PILE'!$E$72:$E$91)=0,0,'TO HOP NLAN'!E184*'TS-PILE'!$E$79/SUMSQ('TS-PILE'!$E$72:$E$91))+IF(SUMSQ('TS-PILE'!$D$72:$D$91)=0,0,'TO HOP NLAN'!F184*'TS-PILE'!$D$79/SUMSQ('TS-PILE'!$D$72:$D$91))),IF('TS-PILE'!$B$80="",-1E+99,'TO HOP NLAN'!D184/ncoc+IF(SUMSQ('TS-PILE'!$E$72:$E$91)=0,0,'TO HOP NLAN'!E184*'TS-PILE'!$E$80/SUMSQ('TS-PILE'!$E$72:$E$91))+IF(SUMSQ('TS-PILE'!$D$72:$D$91)=0,0,'TO HOP NLAN'!F184*'TS-PILE'!$D$80/SUMSQ('TS-PILE'!$D$72:$D$91))),IF('TS-PILE'!$B$81="",-1E+99,'TO HOP NLAN'!D184/ncoc+IF(SUMSQ('TS-PILE'!$E$72:$E$91)=0,0,'TO HOP NLAN'!E184*'TS-PILE'!$E$81/SUMSQ('TS-PILE'!$E$72:$E$91))+IF(SUMSQ('TS-PILE'!$D$72:$D$91)=0,0,'TO HOP NLAN'!F184*'TS-PILE'!$D$81/SUMSQ('TS-PILE'!$D$72:$D$91))),IF('TS-PILE'!$B$82="",-1E+99,'TO HOP NLAN'!D184/ncoc+IF(SUMSQ('TS-PILE'!$E$72:$E$91)=0,0,'TO HOP NLAN'!E184*'TS-PILE'!$E$82/SUMSQ('TS-PILE'!$E$72:$E$91))+IF(SUMSQ('TS-PILE'!$D$72:$D$91)=0,0,'TO HOP NLAN'!F184*'TS-PILE'!$D$82/SUMSQ('TS-PILE'!$D$72:$D$91))),IF('TS-PILE'!$B$83="",-1E+99,'TO HOP NLAN'!D184/ncoc+IF(SUMSQ('TS-PILE'!$E$72:$E$91)=0,0,'TO HOP NLAN'!E184*'TS-PILE'!$E$83/SUMSQ('TS-PILE'!$E$72:$E$91))+IF(SUMSQ('TS-PILE'!$D$72:$D$91)=0,0,'TO HOP NLAN'!F184*'TS-PILE'!$D$83/SUMSQ('TS-PILE'!$D$72:$D$91))),IF('TS-PILE'!$B$84="",-1E+99,'TO HOP NLAN'!D184/ncoc+IF(SUMSQ('TS-PILE'!$E$72:$E$91)=0,0,'TO HOP NLAN'!E184*'TS-PILE'!$E$84/SUMSQ('TS-PILE'!$E$72:$E$91))+IF(SUMSQ('TS-PILE'!$D$72:$D$91)=0,0,'TO HOP NLAN'!F184*'TS-PILE'!$D$84/SUMSQ('TS-PILE'!$D$72:$D$91))),IF('TS-PILE'!$B$85="",-1E+99,'TO HOP NLAN'!D184/ncoc+IF(SUMSQ('TS-PILE'!$E$72:$E$91)=0,0,'TO HOP NLAN'!E184*'TS-PILE'!$E$85/SUMSQ('TS-PILE'!$E$72:$E$91))+IF(SUMSQ('TS-PILE'!$D$72:$D$91)=0,0,'TO HOP NLAN'!F184*'TS-PILE'!$D$85/SUMSQ('TS-PILE'!$D$72:$D$91))),IF('TS-PILE'!$B$86="",-1E+99,'TO HOP NLAN'!D184/ncoc+IF(SUMSQ('TS-PILE'!$E$72:$E$91)=0,0,'TO HOP NLAN'!E184*'TS-PILE'!$E$86/SUMSQ('TS-PILE'!$E$72:$E$91))+IF(SUMSQ('TS-PILE'!$D$72:$D$91)=0,0,'TO HOP NLAN'!F184*'TS-PILE'!$D$86/SUMSQ('TS-PILE'!$D$72:$D$91))),IF('TS-PILE'!$B$87="",-1E+99,'TO HOP NLAN'!D184/ncoc+IF(SUMSQ('TS-PILE'!$E$72:$E$91)=0,0,'TO HOP NLAN'!E184*'TS-PILE'!$E$87/SUMSQ('TS-PILE'!$E$72:$E$91))+IF(SUMSQ('TS-PILE'!$D$72:$D$91)=0,0,'TO HOP NLAN'!F184*'TS-PILE'!$D$87/SUMSQ('TS-PILE'!$D$72:$D$91))),IF('TS-PILE'!$B$88="",-1E+99,'TO HOP NLAN'!D184/ncoc+IF(SUMSQ('TS-PILE'!$E$72:$E$91)=0,0,'TO HOP NLAN'!E184*'TS-PILE'!$E$88/SUMSQ('TS-PILE'!$E$72:$E$91))+IF(SUMSQ('TS-PILE'!$D$72:$D$91)=0,0,'TO HOP NLAN'!F184*'TS-PILE'!$D$88/SUMSQ('TS-PILE'!$D$72:$D$91))),IF('TS-PILE'!$B$89="",-1E+99,'TO HOP NLAN'!D184/ncoc+IF(SUMSQ('TS-PILE'!$E$72:$E$91)=0,0,'TO HOP NLAN'!E184*'TS-PILE'!$E$89/SUMSQ('TS-PILE'!$E$72:$E$91))+IF(SUMSQ('TS-PILE'!$D$72:$D$91)=0,0,'TO HOP NLAN'!F184*'TS-PILE'!$D$89/SUMSQ('TS-PILE'!$D$72:$D$91))),IF('TS-PILE'!$B$90="",-1E+99,'TO HOP NLAN'!D184/ncoc+IF(SUMSQ('TS-PILE'!$E$72:$E$91)=0,0,'TO HOP NLAN'!E184*'TS-PILE'!$E$90/SUMSQ('TS-PILE'!$E$72:$E$91))+IF(SUMSQ('TS-PILE'!$D$72:$D$91)=0,0,'TO HOP NLAN'!F184*'TS-PILE'!$D$90/SUMSQ('TS-PILE'!$D$72:$D$91))),IF('TS-PILE'!$B$91="",-1E+99,'TO HOP NLAN'!D184/ncoc+IF(SUMSQ('TS-PILE'!$E$72:$E$91)=0,0,'TO HOP NLAN'!E184*'TS-PILE'!$E$91/SUMSQ('TS-PILE'!$E$72:$E$91))+IF(SUMSQ('TS-PILE'!$D$72:$D$91)=0,0,'TO HOP NLAN'!F184*'TS-PILE'!$D$91/SUMSQ('TS-PILE'!$D$72:$D$91)))))</f>
        <v>0</v>
      </c>
      <c r="D184" s="58">
        <f>IF(A184="",0,MIN(IF('TS-PILE'!$B$72="",1E+99,'TO HOP NLAN'!D184/ncoc+IF(SUMSQ('TS-PILE'!$E$72:$E$91)=0,0,'TO HOP NLAN'!E184*'TS-PILE'!$E$72/SUMSQ('TS-PILE'!$E$72:$E$91))+IF(SUMSQ('TS-PILE'!$D$72:$D$91)=0,0,'TO HOP NLAN'!F184*'TS-PILE'!$D$72/SUMSQ('TS-PILE'!$D$72:$D$91))),IF('TS-PILE'!$B$73="",1E+99,'TO HOP NLAN'!D184/ncoc+IF(SUMSQ('TS-PILE'!$E$72:$E$91)=0,0,'TO HOP NLAN'!E184*'TS-PILE'!$E$73/SUMSQ('TS-PILE'!$E$72:$E$91))+IF(SUMSQ('TS-PILE'!$D$72:$D$91)=0,0,'TO HOP NLAN'!F184*'TS-PILE'!$D$73/SUMSQ('TS-PILE'!$D$72:$D$91))),IF('TS-PILE'!$B$74="",1E+99,'TO HOP NLAN'!D184/ncoc+IF(SUMSQ('TS-PILE'!$E$72:$E$91)=0,0,'TO HOP NLAN'!E184*'TS-PILE'!$E$74/SUMSQ('TS-PILE'!$E$72:$E$91))+IF(SUMSQ('TS-PILE'!$D$72:$D$91)=0,0,'TO HOP NLAN'!F184*'TS-PILE'!$D$74/SUMSQ('TS-PILE'!$D$72:$D$91))),IF('TS-PILE'!$B$75="",1E+99,'TO HOP NLAN'!D184/ncoc+IF(SUMSQ('TS-PILE'!$E$72:$E$91)=0,0,'TO HOP NLAN'!E184*'TS-PILE'!$E$75/SUMSQ('TS-PILE'!$E$72:$E$91))+IF(SUMSQ('TS-PILE'!$D$72:$D$91)=0,0,'TO HOP NLAN'!F184*'TS-PILE'!$D$75/SUMSQ('TS-PILE'!$D$72:$D$91))),IF('TS-PILE'!$B$76="",1E+99,'TO HOP NLAN'!D184/ncoc+IF(SUMSQ('TS-PILE'!$E$72:$E$91)=0,0,'TO HOP NLAN'!E184*'TS-PILE'!$E$76/SUMSQ('TS-PILE'!$E$72:$E$91))+IF(SUMSQ('TS-PILE'!$D$72:$D$91)=0,0,'TO HOP NLAN'!F184*'TS-PILE'!$D$76/SUMSQ('TS-PILE'!$D$72:$D$91))),IF('TS-PILE'!$B$77="",1E+99,'TO HOP NLAN'!D184/ncoc+IF(SUMSQ('TS-PILE'!$E$72:$E$91)=0,0,'TO HOP NLAN'!E184*'TS-PILE'!$E$77/SUMSQ('TS-PILE'!$E$72:$E$91))+IF(SUMSQ('TS-PILE'!$D$72:$D$91)=0,0,'TO HOP NLAN'!F184*'TS-PILE'!$D$77/SUMSQ('TS-PILE'!$D$72:$D$91))),IF('TS-PILE'!$B$78="",1E+99,'TO HOP NLAN'!D184/ncoc+IF(SUMSQ('TS-PILE'!$E$72:$E$91)=0,0,'TO HOP NLAN'!E184*'TS-PILE'!$E$78/SUMSQ('TS-PILE'!$E$72:$E$91))+IF(SUMSQ('TS-PILE'!$D$72:$D$91)=0,0,'TO HOP NLAN'!F184*'TS-PILE'!$D$78/SUMSQ('TS-PILE'!$D$72:$D$91))),IF('TS-PILE'!$B$79="",1E+99,'TO HOP NLAN'!D184/ncoc+IF(SUMSQ('TS-PILE'!$E$72:$E$91)=0,0,'TO HOP NLAN'!E184*'TS-PILE'!$E$79/SUMSQ('TS-PILE'!$E$72:$E$91))+IF(SUMSQ('TS-PILE'!$D$72:$D$91)=0,0,'TO HOP NLAN'!F184*'TS-PILE'!$D$79/SUMSQ('TS-PILE'!$D$72:$D$91))),IF('TS-PILE'!$B$80="",1E+99,'TO HOP NLAN'!D184/ncoc+IF(SUMSQ('TS-PILE'!$E$72:$E$91)=0,0,'TO HOP NLAN'!E184*'TS-PILE'!$E$80/SUMSQ('TS-PILE'!$E$72:$E$91))+IF(SUMSQ('TS-PILE'!$D$72:$D$91)=0,0,'TO HOP NLAN'!F184*'TS-PILE'!$D$80/SUMSQ('TS-PILE'!$D$72:$D$91))),IF('TS-PILE'!$B$81="",1E+99,'TO HOP NLAN'!D184/ncoc+IF(SUMSQ('TS-PILE'!$E$72:$E$91)=0,0,'TO HOP NLAN'!E184*'TS-PILE'!$E$81/SUMSQ('TS-PILE'!$E$72:$E$91))+IF(SUMSQ('TS-PILE'!$D$72:$D$91)=0,0,'TO HOP NLAN'!F184*'TS-PILE'!$D$81/SUMSQ('TS-PILE'!$D$72:$D$91))),IF('TS-PILE'!$B$82="",1E+99,'TO HOP NLAN'!D184/ncoc+IF(SUMSQ('TS-PILE'!$E$72:$E$91)=0,0,'TO HOP NLAN'!E184*'TS-PILE'!$E$82/SUMSQ('TS-PILE'!$E$72:$E$91))+IF(SUMSQ('TS-PILE'!$D$72:$D$91)=0,0,'TO HOP NLAN'!F184*'TS-PILE'!$D$82/SUMSQ('TS-PILE'!$D$72:$D$91))),IF('TS-PILE'!$B$83="",1E+99,'TO HOP NLAN'!D184/ncoc+IF(SUMSQ('TS-PILE'!$E$72:$E$91)=0,0,'TO HOP NLAN'!E184*'TS-PILE'!$E$83/SUMSQ('TS-PILE'!$E$72:$E$91))+IF(SUMSQ('TS-PILE'!$D$72:$D$91)=0,0,'TO HOP NLAN'!F184*'TS-PILE'!$D$83/SUMSQ('TS-PILE'!$D$72:$D$91))),IF('TS-PILE'!$B$84="",1E+99,'TO HOP NLAN'!D184/ncoc+IF(SUMSQ('TS-PILE'!$E$72:$E$91)=0,0,'TO HOP NLAN'!E184*'TS-PILE'!$E$84/SUMSQ('TS-PILE'!$E$72:$E$91))+IF(SUMSQ('TS-PILE'!$D$72:$D$91)=0,0,'TO HOP NLAN'!F184*'TS-PILE'!$D$84/SUMSQ('TS-PILE'!$D$72:$D$91))),IF('TS-PILE'!$B$85="",1E+99,'TO HOP NLAN'!D184/ncoc+IF(SUMSQ('TS-PILE'!$E$72:$E$91)=0,0,'TO HOP NLAN'!E184*'TS-PILE'!$E$85/SUMSQ('TS-PILE'!$E$72:$E$91))+IF(SUMSQ('TS-PILE'!$D$72:$D$91)=0,0,'TO HOP NLAN'!F184*'TS-PILE'!$D$85/SUMSQ('TS-PILE'!$D$72:$D$91))),IF('TS-PILE'!$B$86="",1E+99,'TO HOP NLAN'!D184/ncoc+IF(SUMSQ('TS-PILE'!$E$72:$E$91)=0,0,'TO HOP NLAN'!E184*'TS-PILE'!$E$86/SUMSQ('TS-PILE'!$E$72:$E$91))+IF(SUMSQ('TS-PILE'!$D$72:$D$91)=0,0,'TO HOP NLAN'!F184*'TS-PILE'!$D$86/SUMSQ('TS-PILE'!$D$72:$D$91))),IF('TS-PILE'!$B$87="",1E+99,'TO HOP NLAN'!D184/ncoc+IF(SUMSQ('TS-PILE'!$E$72:$E$91)=0,0,'TO HOP NLAN'!E184*'TS-PILE'!$E$87/SUMSQ('TS-PILE'!$E$72:$E$91))+IF(SUMSQ('TS-PILE'!$D$72:$D$91)=0,0,'TO HOP NLAN'!F184*'TS-PILE'!$D$87/SUMSQ('TS-PILE'!$D$72:$D$91))),IF('TS-PILE'!$B$88="",1E+99,'TO HOP NLAN'!D184/ncoc+IF(SUMSQ('TS-PILE'!$E$72:$E$91)=0,0,'TO HOP NLAN'!E184*'TS-PILE'!$E$88/SUMSQ('TS-PILE'!$E$72:$E$91))+IF(SUMSQ('TS-PILE'!$D$72:$D$91)=0,0,'TO HOP NLAN'!F184*'TS-PILE'!$D$88/SUMSQ('TS-PILE'!$D$72:$D$91))),IF('TS-PILE'!$B$89="",1E+99,'TO HOP NLAN'!D184/ncoc+IF(SUMSQ('TS-PILE'!$E$72:$E$91)=0,0,'TO HOP NLAN'!E184*'TS-PILE'!$E$89/SUMSQ('TS-PILE'!$E$72:$E$91))+IF(SUMSQ('TS-PILE'!$D$72:$D$91)=0,0,'TO HOP NLAN'!F184*'TS-PILE'!$D$89/SUMSQ('TS-PILE'!$D$72:$D$91))),IF('TS-PILE'!$B$90="",1E+99,'TO HOP NLAN'!D184/ncoc+IF(SUMSQ('TS-PILE'!$E$72:$E$91)=0,0,'TO HOP NLAN'!E184*'TS-PILE'!$E$90/SUMSQ('TS-PILE'!$E$72:$E$91))+IF(SUMSQ('TS-PILE'!$D$72:$D$91)=0,0,'TO HOP NLAN'!F184*'TS-PILE'!$D$90/SUMSQ('TS-PILE'!$D$72:$D$91))),IF('TS-PILE'!$B$91="",1E+99,'TO HOP NLAN'!D184/ncoc+IF(SUMSQ('TS-PILE'!$E$72:$E$91)=0,0,'TO HOP NLAN'!E184*'TS-PILE'!$E$91/SUMSQ('TS-PILE'!$E$72:$E$91))+IF(SUMSQ('TS-PILE'!$D$72:$D$91)=0,0,'TO HOP NLAN'!F184*'TS-PILE'!$D$91/SUMSQ('TS-PILE'!$D$72:$D$91)))))</f>
        <v>0</v>
      </c>
      <c r="E184" s="58">
        <f t="shared" si="8"/>
        <v>-9.9999999999999997E+98</v>
      </c>
      <c r="F184" s="58">
        <f t="shared" si="9"/>
        <v>9.9999999999999997E+98</v>
      </c>
      <c r="G184" s="58">
        <f t="shared" si="10"/>
        <v>-9.9999999999999997E+98</v>
      </c>
      <c r="H184" s="58">
        <f t="shared" si="11"/>
        <v>9.9999999999999997E+98</v>
      </c>
    </row>
    <row r="185" spans="1:8" x14ac:dyDescent="0.3">
      <c r="A185" s="42" t="str">
        <f>'TO HOP NLAN'!A185</f>
        <v/>
      </c>
      <c r="B185" s="42" t="str">
        <f>'TO HOP NLAN'!L185</f>
        <v>STRENGTH</v>
      </c>
      <c r="C185" s="58">
        <f>IF(A185="",0,MAX(IF('TS-PILE'!$B$72="",-1E+99,'TO HOP NLAN'!D185/ncoc+IF(SUMSQ('TS-PILE'!$E$72:$E$91)=0,0,'TO HOP NLAN'!E185*'TS-PILE'!$E$72/SUMSQ('TS-PILE'!$E$72:$E$91))+IF(SUMSQ('TS-PILE'!$D$72:$D$91)=0,0,'TO HOP NLAN'!F185*'TS-PILE'!$D$72/SUMSQ('TS-PILE'!$D$72:$D$91))),IF('TS-PILE'!$B$73="",-1E+99,'TO HOP NLAN'!D185/ncoc+IF(SUMSQ('TS-PILE'!$E$72:$E$91)=0,0,'TO HOP NLAN'!E185*'TS-PILE'!$E$73/SUMSQ('TS-PILE'!$E$72:$E$91))+IF(SUMSQ('TS-PILE'!$D$72:$D$91)=0,0,'TO HOP NLAN'!F185*'TS-PILE'!$D$73/SUMSQ('TS-PILE'!$D$72:$D$91))),IF('TS-PILE'!$B$74="",-1E+99,'TO HOP NLAN'!D185/ncoc+IF(SUMSQ('TS-PILE'!$E$72:$E$91)=0,0,'TO HOP NLAN'!E185*'TS-PILE'!$E$74/SUMSQ('TS-PILE'!$E$72:$E$91))+IF(SUMSQ('TS-PILE'!$D$72:$D$91)=0,0,'TO HOP NLAN'!F185*'TS-PILE'!$D$74/SUMSQ('TS-PILE'!$D$72:$D$91))),IF('TS-PILE'!$B$75="",-1E+99,'TO HOP NLAN'!D185/ncoc+IF(SUMSQ('TS-PILE'!$E$72:$E$91)=0,0,'TO HOP NLAN'!E185*'TS-PILE'!$E$75/SUMSQ('TS-PILE'!$E$72:$E$91))+IF(SUMSQ('TS-PILE'!$D$72:$D$91)=0,0,'TO HOP NLAN'!F185*'TS-PILE'!$D$75/SUMSQ('TS-PILE'!$D$72:$D$91))),IF('TS-PILE'!$B$76="",-1E+99,'TO HOP NLAN'!D185/ncoc+IF(SUMSQ('TS-PILE'!$E$72:$E$91)=0,0,'TO HOP NLAN'!E185*'TS-PILE'!$E$76/SUMSQ('TS-PILE'!$E$72:$E$91))+IF(SUMSQ('TS-PILE'!$D$72:$D$91)=0,0,'TO HOP NLAN'!F185*'TS-PILE'!$D$76/SUMSQ('TS-PILE'!$D$72:$D$91))),IF('TS-PILE'!$B$77="",-1E+99,'TO HOP NLAN'!D185/ncoc+IF(SUMSQ('TS-PILE'!$E$72:$E$91)=0,0,'TO HOP NLAN'!E185*'TS-PILE'!$E$77/SUMSQ('TS-PILE'!$E$72:$E$91))+IF(SUMSQ('TS-PILE'!$D$72:$D$91)=0,0,'TO HOP NLAN'!F185*'TS-PILE'!$D$77/SUMSQ('TS-PILE'!$D$72:$D$91))),IF('TS-PILE'!$B$78="",-1E+99,'TO HOP NLAN'!D185/ncoc+IF(SUMSQ('TS-PILE'!$E$72:$E$91)=0,0,'TO HOP NLAN'!E185*'TS-PILE'!$E$78/SUMSQ('TS-PILE'!$E$72:$E$91))+IF(SUMSQ('TS-PILE'!$D$72:$D$91)=0,0,'TO HOP NLAN'!F185*'TS-PILE'!$D$78/SUMSQ('TS-PILE'!$D$72:$D$91))),IF('TS-PILE'!$B$79="",-1E+99,'TO HOP NLAN'!D185/ncoc+IF(SUMSQ('TS-PILE'!$E$72:$E$91)=0,0,'TO HOP NLAN'!E185*'TS-PILE'!$E$79/SUMSQ('TS-PILE'!$E$72:$E$91))+IF(SUMSQ('TS-PILE'!$D$72:$D$91)=0,0,'TO HOP NLAN'!F185*'TS-PILE'!$D$79/SUMSQ('TS-PILE'!$D$72:$D$91))),IF('TS-PILE'!$B$80="",-1E+99,'TO HOP NLAN'!D185/ncoc+IF(SUMSQ('TS-PILE'!$E$72:$E$91)=0,0,'TO HOP NLAN'!E185*'TS-PILE'!$E$80/SUMSQ('TS-PILE'!$E$72:$E$91))+IF(SUMSQ('TS-PILE'!$D$72:$D$91)=0,0,'TO HOP NLAN'!F185*'TS-PILE'!$D$80/SUMSQ('TS-PILE'!$D$72:$D$91))),IF('TS-PILE'!$B$81="",-1E+99,'TO HOP NLAN'!D185/ncoc+IF(SUMSQ('TS-PILE'!$E$72:$E$91)=0,0,'TO HOP NLAN'!E185*'TS-PILE'!$E$81/SUMSQ('TS-PILE'!$E$72:$E$91))+IF(SUMSQ('TS-PILE'!$D$72:$D$91)=0,0,'TO HOP NLAN'!F185*'TS-PILE'!$D$81/SUMSQ('TS-PILE'!$D$72:$D$91))),IF('TS-PILE'!$B$82="",-1E+99,'TO HOP NLAN'!D185/ncoc+IF(SUMSQ('TS-PILE'!$E$72:$E$91)=0,0,'TO HOP NLAN'!E185*'TS-PILE'!$E$82/SUMSQ('TS-PILE'!$E$72:$E$91))+IF(SUMSQ('TS-PILE'!$D$72:$D$91)=0,0,'TO HOP NLAN'!F185*'TS-PILE'!$D$82/SUMSQ('TS-PILE'!$D$72:$D$91))),IF('TS-PILE'!$B$83="",-1E+99,'TO HOP NLAN'!D185/ncoc+IF(SUMSQ('TS-PILE'!$E$72:$E$91)=0,0,'TO HOP NLAN'!E185*'TS-PILE'!$E$83/SUMSQ('TS-PILE'!$E$72:$E$91))+IF(SUMSQ('TS-PILE'!$D$72:$D$91)=0,0,'TO HOP NLAN'!F185*'TS-PILE'!$D$83/SUMSQ('TS-PILE'!$D$72:$D$91))),IF('TS-PILE'!$B$84="",-1E+99,'TO HOP NLAN'!D185/ncoc+IF(SUMSQ('TS-PILE'!$E$72:$E$91)=0,0,'TO HOP NLAN'!E185*'TS-PILE'!$E$84/SUMSQ('TS-PILE'!$E$72:$E$91))+IF(SUMSQ('TS-PILE'!$D$72:$D$91)=0,0,'TO HOP NLAN'!F185*'TS-PILE'!$D$84/SUMSQ('TS-PILE'!$D$72:$D$91))),IF('TS-PILE'!$B$85="",-1E+99,'TO HOP NLAN'!D185/ncoc+IF(SUMSQ('TS-PILE'!$E$72:$E$91)=0,0,'TO HOP NLAN'!E185*'TS-PILE'!$E$85/SUMSQ('TS-PILE'!$E$72:$E$91))+IF(SUMSQ('TS-PILE'!$D$72:$D$91)=0,0,'TO HOP NLAN'!F185*'TS-PILE'!$D$85/SUMSQ('TS-PILE'!$D$72:$D$91))),IF('TS-PILE'!$B$86="",-1E+99,'TO HOP NLAN'!D185/ncoc+IF(SUMSQ('TS-PILE'!$E$72:$E$91)=0,0,'TO HOP NLAN'!E185*'TS-PILE'!$E$86/SUMSQ('TS-PILE'!$E$72:$E$91))+IF(SUMSQ('TS-PILE'!$D$72:$D$91)=0,0,'TO HOP NLAN'!F185*'TS-PILE'!$D$86/SUMSQ('TS-PILE'!$D$72:$D$91))),IF('TS-PILE'!$B$87="",-1E+99,'TO HOP NLAN'!D185/ncoc+IF(SUMSQ('TS-PILE'!$E$72:$E$91)=0,0,'TO HOP NLAN'!E185*'TS-PILE'!$E$87/SUMSQ('TS-PILE'!$E$72:$E$91))+IF(SUMSQ('TS-PILE'!$D$72:$D$91)=0,0,'TO HOP NLAN'!F185*'TS-PILE'!$D$87/SUMSQ('TS-PILE'!$D$72:$D$91))),IF('TS-PILE'!$B$88="",-1E+99,'TO HOP NLAN'!D185/ncoc+IF(SUMSQ('TS-PILE'!$E$72:$E$91)=0,0,'TO HOP NLAN'!E185*'TS-PILE'!$E$88/SUMSQ('TS-PILE'!$E$72:$E$91))+IF(SUMSQ('TS-PILE'!$D$72:$D$91)=0,0,'TO HOP NLAN'!F185*'TS-PILE'!$D$88/SUMSQ('TS-PILE'!$D$72:$D$91))),IF('TS-PILE'!$B$89="",-1E+99,'TO HOP NLAN'!D185/ncoc+IF(SUMSQ('TS-PILE'!$E$72:$E$91)=0,0,'TO HOP NLAN'!E185*'TS-PILE'!$E$89/SUMSQ('TS-PILE'!$E$72:$E$91))+IF(SUMSQ('TS-PILE'!$D$72:$D$91)=0,0,'TO HOP NLAN'!F185*'TS-PILE'!$D$89/SUMSQ('TS-PILE'!$D$72:$D$91))),IF('TS-PILE'!$B$90="",-1E+99,'TO HOP NLAN'!D185/ncoc+IF(SUMSQ('TS-PILE'!$E$72:$E$91)=0,0,'TO HOP NLAN'!E185*'TS-PILE'!$E$90/SUMSQ('TS-PILE'!$E$72:$E$91))+IF(SUMSQ('TS-PILE'!$D$72:$D$91)=0,0,'TO HOP NLAN'!F185*'TS-PILE'!$D$90/SUMSQ('TS-PILE'!$D$72:$D$91))),IF('TS-PILE'!$B$91="",-1E+99,'TO HOP NLAN'!D185/ncoc+IF(SUMSQ('TS-PILE'!$E$72:$E$91)=0,0,'TO HOP NLAN'!E185*'TS-PILE'!$E$91/SUMSQ('TS-PILE'!$E$72:$E$91))+IF(SUMSQ('TS-PILE'!$D$72:$D$91)=0,0,'TO HOP NLAN'!F185*'TS-PILE'!$D$91/SUMSQ('TS-PILE'!$D$72:$D$91)))))</f>
        <v>0</v>
      </c>
      <c r="D185" s="58">
        <f>IF(A185="",0,MIN(IF('TS-PILE'!$B$72="",1E+99,'TO HOP NLAN'!D185/ncoc+IF(SUMSQ('TS-PILE'!$E$72:$E$91)=0,0,'TO HOP NLAN'!E185*'TS-PILE'!$E$72/SUMSQ('TS-PILE'!$E$72:$E$91))+IF(SUMSQ('TS-PILE'!$D$72:$D$91)=0,0,'TO HOP NLAN'!F185*'TS-PILE'!$D$72/SUMSQ('TS-PILE'!$D$72:$D$91))),IF('TS-PILE'!$B$73="",1E+99,'TO HOP NLAN'!D185/ncoc+IF(SUMSQ('TS-PILE'!$E$72:$E$91)=0,0,'TO HOP NLAN'!E185*'TS-PILE'!$E$73/SUMSQ('TS-PILE'!$E$72:$E$91))+IF(SUMSQ('TS-PILE'!$D$72:$D$91)=0,0,'TO HOP NLAN'!F185*'TS-PILE'!$D$73/SUMSQ('TS-PILE'!$D$72:$D$91))),IF('TS-PILE'!$B$74="",1E+99,'TO HOP NLAN'!D185/ncoc+IF(SUMSQ('TS-PILE'!$E$72:$E$91)=0,0,'TO HOP NLAN'!E185*'TS-PILE'!$E$74/SUMSQ('TS-PILE'!$E$72:$E$91))+IF(SUMSQ('TS-PILE'!$D$72:$D$91)=0,0,'TO HOP NLAN'!F185*'TS-PILE'!$D$74/SUMSQ('TS-PILE'!$D$72:$D$91))),IF('TS-PILE'!$B$75="",1E+99,'TO HOP NLAN'!D185/ncoc+IF(SUMSQ('TS-PILE'!$E$72:$E$91)=0,0,'TO HOP NLAN'!E185*'TS-PILE'!$E$75/SUMSQ('TS-PILE'!$E$72:$E$91))+IF(SUMSQ('TS-PILE'!$D$72:$D$91)=0,0,'TO HOP NLAN'!F185*'TS-PILE'!$D$75/SUMSQ('TS-PILE'!$D$72:$D$91))),IF('TS-PILE'!$B$76="",1E+99,'TO HOP NLAN'!D185/ncoc+IF(SUMSQ('TS-PILE'!$E$72:$E$91)=0,0,'TO HOP NLAN'!E185*'TS-PILE'!$E$76/SUMSQ('TS-PILE'!$E$72:$E$91))+IF(SUMSQ('TS-PILE'!$D$72:$D$91)=0,0,'TO HOP NLAN'!F185*'TS-PILE'!$D$76/SUMSQ('TS-PILE'!$D$72:$D$91))),IF('TS-PILE'!$B$77="",1E+99,'TO HOP NLAN'!D185/ncoc+IF(SUMSQ('TS-PILE'!$E$72:$E$91)=0,0,'TO HOP NLAN'!E185*'TS-PILE'!$E$77/SUMSQ('TS-PILE'!$E$72:$E$91))+IF(SUMSQ('TS-PILE'!$D$72:$D$91)=0,0,'TO HOP NLAN'!F185*'TS-PILE'!$D$77/SUMSQ('TS-PILE'!$D$72:$D$91))),IF('TS-PILE'!$B$78="",1E+99,'TO HOP NLAN'!D185/ncoc+IF(SUMSQ('TS-PILE'!$E$72:$E$91)=0,0,'TO HOP NLAN'!E185*'TS-PILE'!$E$78/SUMSQ('TS-PILE'!$E$72:$E$91))+IF(SUMSQ('TS-PILE'!$D$72:$D$91)=0,0,'TO HOP NLAN'!F185*'TS-PILE'!$D$78/SUMSQ('TS-PILE'!$D$72:$D$91))),IF('TS-PILE'!$B$79="",1E+99,'TO HOP NLAN'!D185/ncoc+IF(SUMSQ('TS-PILE'!$E$72:$E$91)=0,0,'TO HOP NLAN'!E185*'TS-PILE'!$E$79/SUMSQ('TS-PILE'!$E$72:$E$91))+IF(SUMSQ('TS-PILE'!$D$72:$D$91)=0,0,'TO HOP NLAN'!F185*'TS-PILE'!$D$79/SUMSQ('TS-PILE'!$D$72:$D$91))),IF('TS-PILE'!$B$80="",1E+99,'TO HOP NLAN'!D185/ncoc+IF(SUMSQ('TS-PILE'!$E$72:$E$91)=0,0,'TO HOP NLAN'!E185*'TS-PILE'!$E$80/SUMSQ('TS-PILE'!$E$72:$E$91))+IF(SUMSQ('TS-PILE'!$D$72:$D$91)=0,0,'TO HOP NLAN'!F185*'TS-PILE'!$D$80/SUMSQ('TS-PILE'!$D$72:$D$91))),IF('TS-PILE'!$B$81="",1E+99,'TO HOP NLAN'!D185/ncoc+IF(SUMSQ('TS-PILE'!$E$72:$E$91)=0,0,'TO HOP NLAN'!E185*'TS-PILE'!$E$81/SUMSQ('TS-PILE'!$E$72:$E$91))+IF(SUMSQ('TS-PILE'!$D$72:$D$91)=0,0,'TO HOP NLAN'!F185*'TS-PILE'!$D$81/SUMSQ('TS-PILE'!$D$72:$D$91))),IF('TS-PILE'!$B$82="",1E+99,'TO HOP NLAN'!D185/ncoc+IF(SUMSQ('TS-PILE'!$E$72:$E$91)=0,0,'TO HOP NLAN'!E185*'TS-PILE'!$E$82/SUMSQ('TS-PILE'!$E$72:$E$91))+IF(SUMSQ('TS-PILE'!$D$72:$D$91)=0,0,'TO HOP NLAN'!F185*'TS-PILE'!$D$82/SUMSQ('TS-PILE'!$D$72:$D$91))),IF('TS-PILE'!$B$83="",1E+99,'TO HOP NLAN'!D185/ncoc+IF(SUMSQ('TS-PILE'!$E$72:$E$91)=0,0,'TO HOP NLAN'!E185*'TS-PILE'!$E$83/SUMSQ('TS-PILE'!$E$72:$E$91))+IF(SUMSQ('TS-PILE'!$D$72:$D$91)=0,0,'TO HOP NLAN'!F185*'TS-PILE'!$D$83/SUMSQ('TS-PILE'!$D$72:$D$91))),IF('TS-PILE'!$B$84="",1E+99,'TO HOP NLAN'!D185/ncoc+IF(SUMSQ('TS-PILE'!$E$72:$E$91)=0,0,'TO HOP NLAN'!E185*'TS-PILE'!$E$84/SUMSQ('TS-PILE'!$E$72:$E$91))+IF(SUMSQ('TS-PILE'!$D$72:$D$91)=0,0,'TO HOP NLAN'!F185*'TS-PILE'!$D$84/SUMSQ('TS-PILE'!$D$72:$D$91))),IF('TS-PILE'!$B$85="",1E+99,'TO HOP NLAN'!D185/ncoc+IF(SUMSQ('TS-PILE'!$E$72:$E$91)=0,0,'TO HOP NLAN'!E185*'TS-PILE'!$E$85/SUMSQ('TS-PILE'!$E$72:$E$91))+IF(SUMSQ('TS-PILE'!$D$72:$D$91)=0,0,'TO HOP NLAN'!F185*'TS-PILE'!$D$85/SUMSQ('TS-PILE'!$D$72:$D$91))),IF('TS-PILE'!$B$86="",1E+99,'TO HOP NLAN'!D185/ncoc+IF(SUMSQ('TS-PILE'!$E$72:$E$91)=0,0,'TO HOP NLAN'!E185*'TS-PILE'!$E$86/SUMSQ('TS-PILE'!$E$72:$E$91))+IF(SUMSQ('TS-PILE'!$D$72:$D$91)=0,0,'TO HOP NLAN'!F185*'TS-PILE'!$D$86/SUMSQ('TS-PILE'!$D$72:$D$91))),IF('TS-PILE'!$B$87="",1E+99,'TO HOP NLAN'!D185/ncoc+IF(SUMSQ('TS-PILE'!$E$72:$E$91)=0,0,'TO HOP NLAN'!E185*'TS-PILE'!$E$87/SUMSQ('TS-PILE'!$E$72:$E$91))+IF(SUMSQ('TS-PILE'!$D$72:$D$91)=0,0,'TO HOP NLAN'!F185*'TS-PILE'!$D$87/SUMSQ('TS-PILE'!$D$72:$D$91))),IF('TS-PILE'!$B$88="",1E+99,'TO HOP NLAN'!D185/ncoc+IF(SUMSQ('TS-PILE'!$E$72:$E$91)=0,0,'TO HOP NLAN'!E185*'TS-PILE'!$E$88/SUMSQ('TS-PILE'!$E$72:$E$91))+IF(SUMSQ('TS-PILE'!$D$72:$D$91)=0,0,'TO HOP NLAN'!F185*'TS-PILE'!$D$88/SUMSQ('TS-PILE'!$D$72:$D$91))),IF('TS-PILE'!$B$89="",1E+99,'TO HOP NLAN'!D185/ncoc+IF(SUMSQ('TS-PILE'!$E$72:$E$91)=0,0,'TO HOP NLAN'!E185*'TS-PILE'!$E$89/SUMSQ('TS-PILE'!$E$72:$E$91))+IF(SUMSQ('TS-PILE'!$D$72:$D$91)=0,0,'TO HOP NLAN'!F185*'TS-PILE'!$D$89/SUMSQ('TS-PILE'!$D$72:$D$91))),IF('TS-PILE'!$B$90="",1E+99,'TO HOP NLAN'!D185/ncoc+IF(SUMSQ('TS-PILE'!$E$72:$E$91)=0,0,'TO HOP NLAN'!E185*'TS-PILE'!$E$90/SUMSQ('TS-PILE'!$E$72:$E$91))+IF(SUMSQ('TS-PILE'!$D$72:$D$91)=0,0,'TO HOP NLAN'!F185*'TS-PILE'!$D$90/SUMSQ('TS-PILE'!$D$72:$D$91))),IF('TS-PILE'!$B$91="",1E+99,'TO HOP NLAN'!D185/ncoc+IF(SUMSQ('TS-PILE'!$E$72:$E$91)=0,0,'TO HOP NLAN'!E185*'TS-PILE'!$E$91/SUMSQ('TS-PILE'!$E$72:$E$91))+IF(SUMSQ('TS-PILE'!$D$72:$D$91)=0,0,'TO HOP NLAN'!F185*'TS-PILE'!$D$91/SUMSQ('TS-PILE'!$D$72:$D$91)))))</f>
        <v>0</v>
      </c>
      <c r="E185" s="58">
        <f t="shared" si="8"/>
        <v>-9.9999999999999997E+98</v>
      </c>
      <c r="F185" s="58">
        <f t="shared" si="9"/>
        <v>9.9999999999999997E+98</v>
      </c>
      <c r="G185" s="58">
        <f t="shared" si="10"/>
        <v>-9.9999999999999997E+98</v>
      </c>
      <c r="H185" s="58">
        <f t="shared" si="11"/>
        <v>9.9999999999999997E+98</v>
      </c>
    </row>
    <row r="186" spans="1:8" x14ac:dyDescent="0.3">
      <c r="A186" s="42" t="str">
        <f>'TO HOP NLAN'!A186</f>
        <v/>
      </c>
      <c r="B186" s="42" t="str">
        <f>'TO HOP NLAN'!L186</f>
        <v>STRENGTH</v>
      </c>
      <c r="C186" s="58">
        <f>IF(A186="",0,MAX(IF('TS-PILE'!$B$72="",-1E+99,'TO HOP NLAN'!D186/ncoc+IF(SUMSQ('TS-PILE'!$E$72:$E$91)=0,0,'TO HOP NLAN'!E186*'TS-PILE'!$E$72/SUMSQ('TS-PILE'!$E$72:$E$91))+IF(SUMSQ('TS-PILE'!$D$72:$D$91)=0,0,'TO HOP NLAN'!F186*'TS-PILE'!$D$72/SUMSQ('TS-PILE'!$D$72:$D$91))),IF('TS-PILE'!$B$73="",-1E+99,'TO HOP NLAN'!D186/ncoc+IF(SUMSQ('TS-PILE'!$E$72:$E$91)=0,0,'TO HOP NLAN'!E186*'TS-PILE'!$E$73/SUMSQ('TS-PILE'!$E$72:$E$91))+IF(SUMSQ('TS-PILE'!$D$72:$D$91)=0,0,'TO HOP NLAN'!F186*'TS-PILE'!$D$73/SUMSQ('TS-PILE'!$D$72:$D$91))),IF('TS-PILE'!$B$74="",-1E+99,'TO HOP NLAN'!D186/ncoc+IF(SUMSQ('TS-PILE'!$E$72:$E$91)=0,0,'TO HOP NLAN'!E186*'TS-PILE'!$E$74/SUMSQ('TS-PILE'!$E$72:$E$91))+IF(SUMSQ('TS-PILE'!$D$72:$D$91)=0,0,'TO HOP NLAN'!F186*'TS-PILE'!$D$74/SUMSQ('TS-PILE'!$D$72:$D$91))),IF('TS-PILE'!$B$75="",-1E+99,'TO HOP NLAN'!D186/ncoc+IF(SUMSQ('TS-PILE'!$E$72:$E$91)=0,0,'TO HOP NLAN'!E186*'TS-PILE'!$E$75/SUMSQ('TS-PILE'!$E$72:$E$91))+IF(SUMSQ('TS-PILE'!$D$72:$D$91)=0,0,'TO HOP NLAN'!F186*'TS-PILE'!$D$75/SUMSQ('TS-PILE'!$D$72:$D$91))),IF('TS-PILE'!$B$76="",-1E+99,'TO HOP NLAN'!D186/ncoc+IF(SUMSQ('TS-PILE'!$E$72:$E$91)=0,0,'TO HOP NLAN'!E186*'TS-PILE'!$E$76/SUMSQ('TS-PILE'!$E$72:$E$91))+IF(SUMSQ('TS-PILE'!$D$72:$D$91)=0,0,'TO HOP NLAN'!F186*'TS-PILE'!$D$76/SUMSQ('TS-PILE'!$D$72:$D$91))),IF('TS-PILE'!$B$77="",-1E+99,'TO HOP NLAN'!D186/ncoc+IF(SUMSQ('TS-PILE'!$E$72:$E$91)=0,0,'TO HOP NLAN'!E186*'TS-PILE'!$E$77/SUMSQ('TS-PILE'!$E$72:$E$91))+IF(SUMSQ('TS-PILE'!$D$72:$D$91)=0,0,'TO HOP NLAN'!F186*'TS-PILE'!$D$77/SUMSQ('TS-PILE'!$D$72:$D$91))),IF('TS-PILE'!$B$78="",-1E+99,'TO HOP NLAN'!D186/ncoc+IF(SUMSQ('TS-PILE'!$E$72:$E$91)=0,0,'TO HOP NLAN'!E186*'TS-PILE'!$E$78/SUMSQ('TS-PILE'!$E$72:$E$91))+IF(SUMSQ('TS-PILE'!$D$72:$D$91)=0,0,'TO HOP NLAN'!F186*'TS-PILE'!$D$78/SUMSQ('TS-PILE'!$D$72:$D$91))),IF('TS-PILE'!$B$79="",-1E+99,'TO HOP NLAN'!D186/ncoc+IF(SUMSQ('TS-PILE'!$E$72:$E$91)=0,0,'TO HOP NLAN'!E186*'TS-PILE'!$E$79/SUMSQ('TS-PILE'!$E$72:$E$91))+IF(SUMSQ('TS-PILE'!$D$72:$D$91)=0,0,'TO HOP NLAN'!F186*'TS-PILE'!$D$79/SUMSQ('TS-PILE'!$D$72:$D$91))),IF('TS-PILE'!$B$80="",-1E+99,'TO HOP NLAN'!D186/ncoc+IF(SUMSQ('TS-PILE'!$E$72:$E$91)=0,0,'TO HOP NLAN'!E186*'TS-PILE'!$E$80/SUMSQ('TS-PILE'!$E$72:$E$91))+IF(SUMSQ('TS-PILE'!$D$72:$D$91)=0,0,'TO HOP NLAN'!F186*'TS-PILE'!$D$80/SUMSQ('TS-PILE'!$D$72:$D$91))),IF('TS-PILE'!$B$81="",-1E+99,'TO HOP NLAN'!D186/ncoc+IF(SUMSQ('TS-PILE'!$E$72:$E$91)=0,0,'TO HOP NLAN'!E186*'TS-PILE'!$E$81/SUMSQ('TS-PILE'!$E$72:$E$91))+IF(SUMSQ('TS-PILE'!$D$72:$D$91)=0,0,'TO HOP NLAN'!F186*'TS-PILE'!$D$81/SUMSQ('TS-PILE'!$D$72:$D$91))),IF('TS-PILE'!$B$82="",-1E+99,'TO HOP NLAN'!D186/ncoc+IF(SUMSQ('TS-PILE'!$E$72:$E$91)=0,0,'TO HOP NLAN'!E186*'TS-PILE'!$E$82/SUMSQ('TS-PILE'!$E$72:$E$91))+IF(SUMSQ('TS-PILE'!$D$72:$D$91)=0,0,'TO HOP NLAN'!F186*'TS-PILE'!$D$82/SUMSQ('TS-PILE'!$D$72:$D$91))),IF('TS-PILE'!$B$83="",-1E+99,'TO HOP NLAN'!D186/ncoc+IF(SUMSQ('TS-PILE'!$E$72:$E$91)=0,0,'TO HOP NLAN'!E186*'TS-PILE'!$E$83/SUMSQ('TS-PILE'!$E$72:$E$91))+IF(SUMSQ('TS-PILE'!$D$72:$D$91)=0,0,'TO HOP NLAN'!F186*'TS-PILE'!$D$83/SUMSQ('TS-PILE'!$D$72:$D$91))),IF('TS-PILE'!$B$84="",-1E+99,'TO HOP NLAN'!D186/ncoc+IF(SUMSQ('TS-PILE'!$E$72:$E$91)=0,0,'TO HOP NLAN'!E186*'TS-PILE'!$E$84/SUMSQ('TS-PILE'!$E$72:$E$91))+IF(SUMSQ('TS-PILE'!$D$72:$D$91)=0,0,'TO HOP NLAN'!F186*'TS-PILE'!$D$84/SUMSQ('TS-PILE'!$D$72:$D$91))),IF('TS-PILE'!$B$85="",-1E+99,'TO HOP NLAN'!D186/ncoc+IF(SUMSQ('TS-PILE'!$E$72:$E$91)=0,0,'TO HOP NLAN'!E186*'TS-PILE'!$E$85/SUMSQ('TS-PILE'!$E$72:$E$91))+IF(SUMSQ('TS-PILE'!$D$72:$D$91)=0,0,'TO HOP NLAN'!F186*'TS-PILE'!$D$85/SUMSQ('TS-PILE'!$D$72:$D$91))),IF('TS-PILE'!$B$86="",-1E+99,'TO HOP NLAN'!D186/ncoc+IF(SUMSQ('TS-PILE'!$E$72:$E$91)=0,0,'TO HOP NLAN'!E186*'TS-PILE'!$E$86/SUMSQ('TS-PILE'!$E$72:$E$91))+IF(SUMSQ('TS-PILE'!$D$72:$D$91)=0,0,'TO HOP NLAN'!F186*'TS-PILE'!$D$86/SUMSQ('TS-PILE'!$D$72:$D$91))),IF('TS-PILE'!$B$87="",-1E+99,'TO HOP NLAN'!D186/ncoc+IF(SUMSQ('TS-PILE'!$E$72:$E$91)=0,0,'TO HOP NLAN'!E186*'TS-PILE'!$E$87/SUMSQ('TS-PILE'!$E$72:$E$91))+IF(SUMSQ('TS-PILE'!$D$72:$D$91)=0,0,'TO HOP NLAN'!F186*'TS-PILE'!$D$87/SUMSQ('TS-PILE'!$D$72:$D$91))),IF('TS-PILE'!$B$88="",-1E+99,'TO HOP NLAN'!D186/ncoc+IF(SUMSQ('TS-PILE'!$E$72:$E$91)=0,0,'TO HOP NLAN'!E186*'TS-PILE'!$E$88/SUMSQ('TS-PILE'!$E$72:$E$91))+IF(SUMSQ('TS-PILE'!$D$72:$D$91)=0,0,'TO HOP NLAN'!F186*'TS-PILE'!$D$88/SUMSQ('TS-PILE'!$D$72:$D$91))),IF('TS-PILE'!$B$89="",-1E+99,'TO HOP NLAN'!D186/ncoc+IF(SUMSQ('TS-PILE'!$E$72:$E$91)=0,0,'TO HOP NLAN'!E186*'TS-PILE'!$E$89/SUMSQ('TS-PILE'!$E$72:$E$91))+IF(SUMSQ('TS-PILE'!$D$72:$D$91)=0,0,'TO HOP NLAN'!F186*'TS-PILE'!$D$89/SUMSQ('TS-PILE'!$D$72:$D$91))),IF('TS-PILE'!$B$90="",-1E+99,'TO HOP NLAN'!D186/ncoc+IF(SUMSQ('TS-PILE'!$E$72:$E$91)=0,0,'TO HOP NLAN'!E186*'TS-PILE'!$E$90/SUMSQ('TS-PILE'!$E$72:$E$91))+IF(SUMSQ('TS-PILE'!$D$72:$D$91)=0,0,'TO HOP NLAN'!F186*'TS-PILE'!$D$90/SUMSQ('TS-PILE'!$D$72:$D$91))),IF('TS-PILE'!$B$91="",-1E+99,'TO HOP NLAN'!D186/ncoc+IF(SUMSQ('TS-PILE'!$E$72:$E$91)=0,0,'TO HOP NLAN'!E186*'TS-PILE'!$E$91/SUMSQ('TS-PILE'!$E$72:$E$91))+IF(SUMSQ('TS-PILE'!$D$72:$D$91)=0,0,'TO HOP NLAN'!F186*'TS-PILE'!$D$91/SUMSQ('TS-PILE'!$D$72:$D$91)))))</f>
        <v>0</v>
      </c>
      <c r="D186" s="58">
        <f>IF(A186="",0,MIN(IF('TS-PILE'!$B$72="",1E+99,'TO HOP NLAN'!D186/ncoc+IF(SUMSQ('TS-PILE'!$E$72:$E$91)=0,0,'TO HOP NLAN'!E186*'TS-PILE'!$E$72/SUMSQ('TS-PILE'!$E$72:$E$91))+IF(SUMSQ('TS-PILE'!$D$72:$D$91)=0,0,'TO HOP NLAN'!F186*'TS-PILE'!$D$72/SUMSQ('TS-PILE'!$D$72:$D$91))),IF('TS-PILE'!$B$73="",1E+99,'TO HOP NLAN'!D186/ncoc+IF(SUMSQ('TS-PILE'!$E$72:$E$91)=0,0,'TO HOP NLAN'!E186*'TS-PILE'!$E$73/SUMSQ('TS-PILE'!$E$72:$E$91))+IF(SUMSQ('TS-PILE'!$D$72:$D$91)=0,0,'TO HOP NLAN'!F186*'TS-PILE'!$D$73/SUMSQ('TS-PILE'!$D$72:$D$91))),IF('TS-PILE'!$B$74="",1E+99,'TO HOP NLAN'!D186/ncoc+IF(SUMSQ('TS-PILE'!$E$72:$E$91)=0,0,'TO HOP NLAN'!E186*'TS-PILE'!$E$74/SUMSQ('TS-PILE'!$E$72:$E$91))+IF(SUMSQ('TS-PILE'!$D$72:$D$91)=0,0,'TO HOP NLAN'!F186*'TS-PILE'!$D$74/SUMSQ('TS-PILE'!$D$72:$D$91))),IF('TS-PILE'!$B$75="",1E+99,'TO HOP NLAN'!D186/ncoc+IF(SUMSQ('TS-PILE'!$E$72:$E$91)=0,0,'TO HOP NLAN'!E186*'TS-PILE'!$E$75/SUMSQ('TS-PILE'!$E$72:$E$91))+IF(SUMSQ('TS-PILE'!$D$72:$D$91)=0,0,'TO HOP NLAN'!F186*'TS-PILE'!$D$75/SUMSQ('TS-PILE'!$D$72:$D$91))),IF('TS-PILE'!$B$76="",1E+99,'TO HOP NLAN'!D186/ncoc+IF(SUMSQ('TS-PILE'!$E$72:$E$91)=0,0,'TO HOP NLAN'!E186*'TS-PILE'!$E$76/SUMSQ('TS-PILE'!$E$72:$E$91))+IF(SUMSQ('TS-PILE'!$D$72:$D$91)=0,0,'TO HOP NLAN'!F186*'TS-PILE'!$D$76/SUMSQ('TS-PILE'!$D$72:$D$91))),IF('TS-PILE'!$B$77="",1E+99,'TO HOP NLAN'!D186/ncoc+IF(SUMSQ('TS-PILE'!$E$72:$E$91)=0,0,'TO HOP NLAN'!E186*'TS-PILE'!$E$77/SUMSQ('TS-PILE'!$E$72:$E$91))+IF(SUMSQ('TS-PILE'!$D$72:$D$91)=0,0,'TO HOP NLAN'!F186*'TS-PILE'!$D$77/SUMSQ('TS-PILE'!$D$72:$D$91))),IF('TS-PILE'!$B$78="",1E+99,'TO HOP NLAN'!D186/ncoc+IF(SUMSQ('TS-PILE'!$E$72:$E$91)=0,0,'TO HOP NLAN'!E186*'TS-PILE'!$E$78/SUMSQ('TS-PILE'!$E$72:$E$91))+IF(SUMSQ('TS-PILE'!$D$72:$D$91)=0,0,'TO HOP NLAN'!F186*'TS-PILE'!$D$78/SUMSQ('TS-PILE'!$D$72:$D$91))),IF('TS-PILE'!$B$79="",1E+99,'TO HOP NLAN'!D186/ncoc+IF(SUMSQ('TS-PILE'!$E$72:$E$91)=0,0,'TO HOP NLAN'!E186*'TS-PILE'!$E$79/SUMSQ('TS-PILE'!$E$72:$E$91))+IF(SUMSQ('TS-PILE'!$D$72:$D$91)=0,0,'TO HOP NLAN'!F186*'TS-PILE'!$D$79/SUMSQ('TS-PILE'!$D$72:$D$91))),IF('TS-PILE'!$B$80="",1E+99,'TO HOP NLAN'!D186/ncoc+IF(SUMSQ('TS-PILE'!$E$72:$E$91)=0,0,'TO HOP NLAN'!E186*'TS-PILE'!$E$80/SUMSQ('TS-PILE'!$E$72:$E$91))+IF(SUMSQ('TS-PILE'!$D$72:$D$91)=0,0,'TO HOP NLAN'!F186*'TS-PILE'!$D$80/SUMSQ('TS-PILE'!$D$72:$D$91))),IF('TS-PILE'!$B$81="",1E+99,'TO HOP NLAN'!D186/ncoc+IF(SUMSQ('TS-PILE'!$E$72:$E$91)=0,0,'TO HOP NLAN'!E186*'TS-PILE'!$E$81/SUMSQ('TS-PILE'!$E$72:$E$91))+IF(SUMSQ('TS-PILE'!$D$72:$D$91)=0,0,'TO HOP NLAN'!F186*'TS-PILE'!$D$81/SUMSQ('TS-PILE'!$D$72:$D$91))),IF('TS-PILE'!$B$82="",1E+99,'TO HOP NLAN'!D186/ncoc+IF(SUMSQ('TS-PILE'!$E$72:$E$91)=0,0,'TO HOP NLAN'!E186*'TS-PILE'!$E$82/SUMSQ('TS-PILE'!$E$72:$E$91))+IF(SUMSQ('TS-PILE'!$D$72:$D$91)=0,0,'TO HOP NLAN'!F186*'TS-PILE'!$D$82/SUMSQ('TS-PILE'!$D$72:$D$91))),IF('TS-PILE'!$B$83="",1E+99,'TO HOP NLAN'!D186/ncoc+IF(SUMSQ('TS-PILE'!$E$72:$E$91)=0,0,'TO HOP NLAN'!E186*'TS-PILE'!$E$83/SUMSQ('TS-PILE'!$E$72:$E$91))+IF(SUMSQ('TS-PILE'!$D$72:$D$91)=0,0,'TO HOP NLAN'!F186*'TS-PILE'!$D$83/SUMSQ('TS-PILE'!$D$72:$D$91))),IF('TS-PILE'!$B$84="",1E+99,'TO HOP NLAN'!D186/ncoc+IF(SUMSQ('TS-PILE'!$E$72:$E$91)=0,0,'TO HOP NLAN'!E186*'TS-PILE'!$E$84/SUMSQ('TS-PILE'!$E$72:$E$91))+IF(SUMSQ('TS-PILE'!$D$72:$D$91)=0,0,'TO HOP NLAN'!F186*'TS-PILE'!$D$84/SUMSQ('TS-PILE'!$D$72:$D$91))),IF('TS-PILE'!$B$85="",1E+99,'TO HOP NLAN'!D186/ncoc+IF(SUMSQ('TS-PILE'!$E$72:$E$91)=0,0,'TO HOP NLAN'!E186*'TS-PILE'!$E$85/SUMSQ('TS-PILE'!$E$72:$E$91))+IF(SUMSQ('TS-PILE'!$D$72:$D$91)=0,0,'TO HOP NLAN'!F186*'TS-PILE'!$D$85/SUMSQ('TS-PILE'!$D$72:$D$91))),IF('TS-PILE'!$B$86="",1E+99,'TO HOP NLAN'!D186/ncoc+IF(SUMSQ('TS-PILE'!$E$72:$E$91)=0,0,'TO HOP NLAN'!E186*'TS-PILE'!$E$86/SUMSQ('TS-PILE'!$E$72:$E$91))+IF(SUMSQ('TS-PILE'!$D$72:$D$91)=0,0,'TO HOP NLAN'!F186*'TS-PILE'!$D$86/SUMSQ('TS-PILE'!$D$72:$D$91))),IF('TS-PILE'!$B$87="",1E+99,'TO HOP NLAN'!D186/ncoc+IF(SUMSQ('TS-PILE'!$E$72:$E$91)=0,0,'TO HOP NLAN'!E186*'TS-PILE'!$E$87/SUMSQ('TS-PILE'!$E$72:$E$91))+IF(SUMSQ('TS-PILE'!$D$72:$D$91)=0,0,'TO HOP NLAN'!F186*'TS-PILE'!$D$87/SUMSQ('TS-PILE'!$D$72:$D$91))),IF('TS-PILE'!$B$88="",1E+99,'TO HOP NLAN'!D186/ncoc+IF(SUMSQ('TS-PILE'!$E$72:$E$91)=0,0,'TO HOP NLAN'!E186*'TS-PILE'!$E$88/SUMSQ('TS-PILE'!$E$72:$E$91))+IF(SUMSQ('TS-PILE'!$D$72:$D$91)=0,0,'TO HOP NLAN'!F186*'TS-PILE'!$D$88/SUMSQ('TS-PILE'!$D$72:$D$91))),IF('TS-PILE'!$B$89="",1E+99,'TO HOP NLAN'!D186/ncoc+IF(SUMSQ('TS-PILE'!$E$72:$E$91)=0,0,'TO HOP NLAN'!E186*'TS-PILE'!$E$89/SUMSQ('TS-PILE'!$E$72:$E$91))+IF(SUMSQ('TS-PILE'!$D$72:$D$91)=0,0,'TO HOP NLAN'!F186*'TS-PILE'!$D$89/SUMSQ('TS-PILE'!$D$72:$D$91))),IF('TS-PILE'!$B$90="",1E+99,'TO HOP NLAN'!D186/ncoc+IF(SUMSQ('TS-PILE'!$E$72:$E$91)=0,0,'TO HOP NLAN'!E186*'TS-PILE'!$E$90/SUMSQ('TS-PILE'!$E$72:$E$91))+IF(SUMSQ('TS-PILE'!$D$72:$D$91)=0,0,'TO HOP NLAN'!F186*'TS-PILE'!$D$90/SUMSQ('TS-PILE'!$D$72:$D$91))),IF('TS-PILE'!$B$91="",1E+99,'TO HOP NLAN'!D186/ncoc+IF(SUMSQ('TS-PILE'!$E$72:$E$91)=0,0,'TO HOP NLAN'!E186*'TS-PILE'!$E$91/SUMSQ('TS-PILE'!$E$72:$E$91))+IF(SUMSQ('TS-PILE'!$D$72:$D$91)=0,0,'TO HOP NLAN'!F186*'TS-PILE'!$D$91/SUMSQ('TS-PILE'!$D$72:$D$91)))))</f>
        <v>0</v>
      </c>
      <c r="E186" s="58">
        <f t="shared" si="8"/>
        <v>-9.9999999999999997E+98</v>
      </c>
      <c r="F186" s="58">
        <f t="shared" si="9"/>
        <v>9.9999999999999997E+98</v>
      </c>
      <c r="G186" s="58">
        <f t="shared" si="10"/>
        <v>-9.9999999999999997E+98</v>
      </c>
      <c r="H186" s="58">
        <f t="shared" si="11"/>
        <v>9.9999999999999997E+98</v>
      </c>
    </row>
    <row r="187" spans="1:8" x14ac:dyDescent="0.3">
      <c r="A187" s="42" t="str">
        <f>'TO HOP NLAN'!A187</f>
        <v/>
      </c>
      <c r="B187" s="42" t="str">
        <f>'TO HOP NLAN'!L187</f>
        <v>STRENGTH</v>
      </c>
      <c r="C187" s="58">
        <f>IF(A187="",0,MAX(IF('TS-PILE'!$B$72="",-1E+99,'TO HOP NLAN'!D187/ncoc+IF(SUMSQ('TS-PILE'!$E$72:$E$91)=0,0,'TO HOP NLAN'!E187*'TS-PILE'!$E$72/SUMSQ('TS-PILE'!$E$72:$E$91))+IF(SUMSQ('TS-PILE'!$D$72:$D$91)=0,0,'TO HOP NLAN'!F187*'TS-PILE'!$D$72/SUMSQ('TS-PILE'!$D$72:$D$91))),IF('TS-PILE'!$B$73="",-1E+99,'TO HOP NLAN'!D187/ncoc+IF(SUMSQ('TS-PILE'!$E$72:$E$91)=0,0,'TO HOP NLAN'!E187*'TS-PILE'!$E$73/SUMSQ('TS-PILE'!$E$72:$E$91))+IF(SUMSQ('TS-PILE'!$D$72:$D$91)=0,0,'TO HOP NLAN'!F187*'TS-PILE'!$D$73/SUMSQ('TS-PILE'!$D$72:$D$91))),IF('TS-PILE'!$B$74="",-1E+99,'TO HOP NLAN'!D187/ncoc+IF(SUMSQ('TS-PILE'!$E$72:$E$91)=0,0,'TO HOP NLAN'!E187*'TS-PILE'!$E$74/SUMSQ('TS-PILE'!$E$72:$E$91))+IF(SUMSQ('TS-PILE'!$D$72:$D$91)=0,0,'TO HOP NLAN'!F187*'TS-PILE'!$D$74/SUMSQ('TS-PILE'!$D$72:$D$91))),IF('TS-PILE'!$B$75="",-1E+99,'TO HOP NLAN'!D187/ncoc+IF(SUMSQ('TS-PILE'!$E$72:$E$91)=0,0,'TO HOP NLAN'!E187*'TS-PILE'!$E$75/SUMSQ('TS-PILE'!$E$72:$E$91))+IF(SUMSQ('TS-PILE'!$D$72:$D$91)=0,0,'TO HOP NLAN'!F187*'TS-PILE'!$D$75/SUMSQ('TS-PILE'!$D$72:$D$91))),IF('TS-PILE'!$B$76="",-1E+99,'TO HOP NLAN'!D187/ncoc+IF(SUMSQ('TS-PILE'!$E$72:$E$91)=0,0,'TO HOP NLAN'!E187*'TS-PILE'!$E$76/SUMSQ('TS-PILE'!$E$72:$E$91))+IF(SUMSQ('TS-PILE'!$D$72:$D$91)=0,0,'TO HOP NLAN'!F187*'TS-PILE'!$D$76/SUMSQ('TS-PILE'!$D$72:$D$91))),IF('TS-PILE'!$B$77="",-1E+99,'TO HOP NLAN'!D187/ncoc+IF(SUMSQ('TS-PILE'!$E$72:$E$91)=0,0,'TO HOP NLAN'!E187*'TS-PILE'!$E$77/SUMSQ('TS-PILE'!$E$72:$E$91))+IF(SUMSQ('TS-PILE'!$D$72:$D$91)=0,0,'TO HOP NLAN'!F187*'TS-PILE'!$D$77/SUMSQ('TS-PILE'!$D$72:$D$91))),IF('TS-PILE'!$B$78="",-1E+99,'TO HOP NLAN'!D187/ncoc+IF(SUMSQ('TS-PILE'!$E$72:$E$91)=0,0,'TO HOP NLAN'!E187*'TS-PILE'!$E$78/SUMSQ('TS-PILE'!$E$72:$E$91))+IF(SUMSQ('TS-PILE'!$D$72:$D$91)=0,0,'TO HOP NLAN'!F187*'TS-PILE'!$D$78/SUMSQ('TS-PILE'!$D$72:$D$91))),IF('TS-PILE'!$B$79="",-1E+99,'TO HOP NLAN'!D187/ncoc+IF(SUMSQ('TS-PILE'!$E$72:$E$91)=0,0,'TO HOP NLAN'!E187*'TS-PILE'!$E$79/SUMSQ('TS-PILE'!$E$72:$E$91))+IF(SUMSQ('TS-PILE'!$D$72:$D$91)=0,0,'TO HOP NLAN'!F187*'TS-PILE'!$D$79/SUMSQ('TS-PILE'!$D$72:$D$91))),IF('TS-PILE'!$B$80="",-1E+99,'TO HOP NLAN'!D187/ncoc+IF(SUMSQ('TS-PILE'!$E$72:$E$91)=0,0,'TO HOP NLAN'!E187*'TS-PILE'!$E$80/SUMSQ('TS-PILE'!$E$72:$E$91))+IF(SUMSQ('TS-PILE'!$D$72:$D$91)=0,0,'TO HOP NLAN'!F187*'TS-PILE'!$D$80/SUMSQ('TS-PILE'!$D$72:$D$91))),IF('TS-PILE'!$B$81="",-1E+99,'TO HOP NLAN'!D187/ncoc+IF(SUMSQ('TS-PILE'!$E$72:$E$91)=0,0,'TO HOP NLAN'!E187*'TS-PILE'!$E$81/SUMSQ('TS-PILE'!$E$72:$E$91))+IF(SUMSQ('TS-PILE'!$D$72:$D$91)=0,0,'TO HOP NLAN'!F187*'TS-PILE'!$D$81/SUMSQ('TS-PILE'!$D$72:$D$91))),IF('TS-PILE'!$B$82="",-1E+99,'TO HOP NLAN'!D187/ncoc+IF(SUMSQ('TS-PILE'!$E$72:$E$91)=0,0,'TO HOP NLAN'!E187*'TS-PILE'!$E$82/SUMSQ('TS-PILE'!$E$72:$E$91))+IF(SUMSQ('TS-PILE'!$D$72:$D$91)=0,0,'TO HOP NLAN'!F187*'TS-PILE'!$D$82/SUMSQ('TS-PILE'!$D$72:$D$91))),IF('TS-PILE'!$B$83="",-1E+99,'TO HOP NLAN'!D187/ncoc+IF(SUMSQ('TS-PILE'!$E$72:$E$91)=0,0,'TO HOP NLAN'!E187*'TS-PILE'!$E$83/SUMSQ('TS-PILE'!$E$72:$E$91))+IF(SUMSQ('TS-PILE'!$D$72:$D$91)=0,0,'TO HOP NLAN'!F187*'TS-PILE'!$D$83/SUMSQ('TS-PILE'!$D$72:$D$91))),IF('TS-PILE'!$B$84="",-1E+99,'TO HOP NLAN'!D187/ncoc+IF(SUMSQ('TS-PILE'!$E$72:$E$91)=0,0,'TO HOP NLAN'!E187*'TS-PILE'!$E$84/SUMSQ('TS-PILE'!$E$72:$E$91))+IF(SUMSQ('TS-PILE'!$D$72:$D$91)=0,0,'TO HOP NLAN'!F187*'TS-PILE'!$D$84/SUMSQ('TS-PILE'!$D$72:$D$91))),IF('TS-PILE'!$B$85="",-1E+99,'TO HOP NLAN'!D187/ncoc+IF(SUMSQ('TS-PILE'!$E$72:$E$91)=0,0,'TO HOP NLAN'!E187*'TS-PILE'!$E$85/SUMSQ('TS-PILE'!$E$72:$E$91))+IF(SUMSQ('TS-PILE'!$D$72:$D$91)=0,0,'TO HOP NLAN'!F187*'TS-PILE'!$D$85/SUMSQ('TS-PILE'!$D$72:$D$91))),IF('TS-PILE'!$B$86="",-1E+99,'TO HOP NLAN'!D187/ncoc+IF(SUMSQ('TS-PILE'!$E$72:$E$91)=0,0,'TO HOP NLAN'!E187*'TS-PILE'!$E$86/SUMSQ('TS-PILE'!$E$72:$E$91))+IF(SUMSQ('TS-PILE'!$D$72:$D$91)=0,0,'TO HOP NLAN'!F187*'TS-PILE'!$D$86/SUMSQ('TS-PILE'!$D$72:$D$91))),IF('TS-PILE'!$B$87="",-1E+99,'TO HOP NLAN'!D187/ncoc+IF(SUMSQ('TS-PILE'!$E$72:$E$91)=0,0,'TO HOP NLAN'!E187*'TS-PILE'!$E$87/SUMSQ('TS-PILE'!$E$72:$E$91))+IF(SUMSQ('TS-PILE'!$D$72:$D$91)=0,0,'TO HOP NLAN'!F187*'TS-PILE'!$D$87/SUMSQ('TS-PILE'!$D$72:$D$91))),IF('TS-PILE'!$B$88="",-1E+99,'TO HOP NLAN'!D187/ncoc+IF(SUMSQ('TS-PILE'!$E$72:$E$91)=0,0,'TO HOP NLAN'!E187*'TS-PILE'!$E$88/SUMSQ('TS-PILE'!$E$72:$E$91))+IF(SUMSQ('TS-PILE'!$D$72:$D$91)=0,0,'TO HOP NLAN'!F187*'TS-PILE'!$D$88/SUMSQ('TS-PILE'!$D$72:$D$91))),IF('TS-PILE'!$B$89="",-1E+99,'TO HOP NLAN'!D187/ncoc+IF(SUMSQ('TS-PILE'!$E$72:$E$91)=0,0,'TO HOP NLAN'!E187*'TS-PILE'!$E$89/SUMSQ('TS-PILE'!$E$72:$E$91))+IF(SUMSQ('TS-PILE'!$D$72:$D$91)=0,0,'TO HOP NLAN'!F187*'TS-PILE'!$D$89/SUMSQ('TS-PILE'!$D$72:$D$91))),IF('TS-PILE'!$B$90="",-1E+99,'TO HOP NLAN'!D187/ncoc+IF(SUMSQ('TS-PILE'!$E$72:$E$91)=0,0,'TO HOP NLAN'!E187*'TS-PILE'!$E$90/SUMSQ('TS-PILE'!$E$72:$E$91))+IF(SUMSQ('TS-PILE'!$D$72:$D$91)=0,0,'TO HOP NLAN'!F187*'TS-PILE'!$D$90/SUMSQ('TS-PILE'!$D$72:$D$91))),IF('TS-PILE'!$B$91="",-1E+99,'TO HOP NLAN'!D187/ncoc+IF(SUMSQ('TS-PILE'!$E$72:$E$91)=0,0,'TO HOP NLAN'!E187*'TS-PILE'!$E$91/SUMSQ('TS-PILE'!$E$72:$E$91))+IF(SUMSQ('TS-PILE'!$D$72:$D$91)=0,0,'TO HOP NLAN'!F187*'TS-PILE'!$D$91/SUMSQ('TS-PILE'!$D$72:$D$91)))))</f>
        <v>0</v>
      </c>
      <c r="D187" s="58">
        <f>IF(A187="",0,MIN(IF('TS-PILE'!$B$72="",1E+99,'TO HOP NLAN'!D187/ncoc+IF(SUMSQ('TS-PILE'!$E$72:$E$91)=0,0,'TO HOP NLAN'!E187*'TS-PILE'!$E$72/SUMSQ('TS-PILE'!$E$72:$E$91))+IF(SUMSQ('TS-PILE'!$D$72:$D$91)=0,0,'TO HOP NLAN'!F187*'TS-PILE'!$D$72/SUMSQ('TS-PILE'!$D$72:$D$91))),IF('TS-PILE'!$B$73="",1E+99,'TO HOP NLAN'!D187/ncoc+IF(SUMSQ('TS-PILE'!$E$72:$E$91)=0,0,'TO HOP NLAN'!E187*'TS-PILE'!$E$73/SUMSQ('TS-PILE'!$E$72:$E$91))+IF(SUMSQ('TS-PILE'!$D$72:$D$91)=0,0,'TO HOP NLAN'!F187*'TS-PILE'!$D$73/SUMSQ('TS-PILE'!$D$72:$D$91))),IF('TS-PILE'!$B$74="",1E+99,'TO HOP NLAN'!D187/ncoc+IF(SUMSQ('TS-PILE'!$E$72:$E$91)=0,0,'TO HOP NLAN'!E187*'TS-PILE'!$E$74/SUMSQ('TS-PILE'!$E$72:$E$91))+IF(SUMSQ('TS-PILE'!$D$72:$D$91)=0,0,'TO HOP NLAN'!F187*'TS-PILE'!$D$74/SUMSQ('TS-PILE'!$D$72:$D$91))),IF('TS-PILE'!$B$75="",1E+99,'TO HOP NLAN'!D187/ncoc+IF(SUMSQ('TS-PILE'!$E$72:$E$91)=0,0,'TO HOP NLAN'!E187*'TS-PILE'!$E$75/SUMSQ('TS-PILE'!$E$72:$E$91))+IF(SUMSQ('TS-PILE'!$D$72:$D$91)=0,0,'TO HOP NLAN'!F187*'TS-PILE'!$D$75/SUMSQ('TS-PILE'!$D$72:$D$91))),IF('TS-PILE'!$B$76="",1E+99,'TO HOP NLAN'!D187/ncoc+IF(SUMSQ('TS-PILE'!$E$72:$E$91)=0,0,'TO HOP NLAN'!E187*'TS-PILE'!$E$76/SUMSQ('TS-PILE'!$E$72:$E$91))+IF(SUMSQ('TS-PILE'!$D$72:$D$91)=0,0,'TO HOP NLAN'!F187*'TS-PILE'!$D$76/SUMSQ('TS-PILE'!$D$72:$D$91))),IF('TS-PILE'!$B$77="",1E+99,'TO HOP NLAN'!D187/ncoc+IF(SUMSQ('TS-PILE'!$E$72:$E$91)=0,0,'TO HOP NLAN'!E187*'TS-PILE'!$E$77/SUMSQ('TS-PILE'!$E$72:$E$91))+IF(SUMSQ('TS-PILE'!$D$72:$D$91)=0,0,'TO HOP NLAN'!F187*'TS-PILE'!$D$77/SUMSQ('TS-PILE'!$D$72:$D$91))),IF('TS-PILE'!$B$78="",1E+99,'TO HOP NLAN'!D187/ncoc+IF(SUMSQ('TS-PILE'!$E$72:$E$91)=0,0,'TO HOP NLAN'!E187*'TS-PILE'!$E$78/SUMSQ('TS-PILE'!$E$72:$E$91))+IF(SUMSQ('TS-PILE'!$D$72:$D$91)=0,0,'TO HOP NLAN'!F187*'TS-PILE'!$D$78/SUMSQ('TS-PILE'!$D$72:$D$91))),IF('TS-PILE'!$B$79="",1E+99,'TO HOP NLAN'!D187/ncoc+IF(SUMSQ('TS-PILE'!$E$72:$E$91)=0,0,'TO HOP NLAN'!E187*'TS-PILE'!$E$79/SUMSQ('TS-PILE'!$E$72:$E$91))+IF(SUMSQ('TS-PILE'!$D$72:$D$91)=0,0,'TO HOP NLAN'!F187*'TS-PILE'!$D$79/SUMSQ('TS-PILE'!$D$72:$D$91))),IF('TS-PILE'!$B$80="",1E+99,'TO HOP NLAN'!D187/ncoc+IF(SUMSQ('TS-PILE'!$E$72:$E$91)=0,0,'TO HOP NLAN'!E187*'TS-PILE'!$E$80/SUMSQ('TS-PILE'!$E$72:$E$91))+IF(SUMSQ('TS-PILE'!$D$72:$D$91)=0,0,'TO HOP NLAN'!F187*'TS-PILE'!$D$80/SUMSQ('TS-PILE'!$D$72:$D$91))),IF('TS-PILE'!$B$81="",1E+99,'TO HOP NLAN'!D187/ncoc+IF(SUMSQ('TS-PILE'!$E$72:$E$91)=0,0,'TO HOP NLAN'!E187*'TS-PILE'!$E$81/SUMSQ('TS-PILE'!$E$72:$E$91))+IF(SUMSQ('TS-PILE'!$D$72:$D$91)=0,0,'TO HOP NLAN'!F187*'TS-PILE'!$D$81/SUMSQ('TS-PILE'!$D$72:$D$91))),IF('TS-PILE'!$B$82="",1E+99,'TO HOP NLAN'!D187/ncoc+IF(SUMSQ('TS-PILE'!$E$72:$E$91)=0,0,'TO HOP NLAN'!E187*'TS-PILE'!$E$82/SUMSQ('TS-PILE'!$E$72:$E$91))+IF(SUMSQ('TS-PILE'!$D$72:$D$91)=0,0,'TO HOP NLAN'!F187*'TS-PILE'!$D$82/SUMSQ('TS-PILE'!$D$72:$D$91))),IF('TS-PILE'!$B$83="",1E+99,'TO HOP NLAN'!D187/ncoc+IF(SUMSQ('TS-PILE'!$E$72:$E$91)=0,0,'TO HOP NLAN'!E187*'TS-PILE'!$E$83/SUMSQ('TS-PILE'!$E$72:$E$91))+IF(SUMSQ('TS-PILE'!$D$72:$D$91)=0,0,'TO HOP NLAN'!F187*'TS-PILE'!$D$83/SUMSQ('TS-PILE'!$D$72:$D$91))),IF('TS-PILE'!$B$84="",1E+99,'TO HOP NLAN'!D187/ncoc+IF(SUMSQ('TS-PILE'!$E$72:$E$91)=0,0,'TO HOP NLAN'!E187*'TS-PILE'!$E$84/SUMSQ('TS-PILE'!$E$72:$E$91))+IF(SUMSQ('TS-PILE'!$D$72:$D$91)=0,0,'TO HOP NLAN'!F187*'TS-PILE'!$D$84/SUMSQ('TS-PILE'!$D$72:$D$91))),IF('TS-PILE'!$B$85="",1E+99,'TO HOP NLAN'!D187/ncoc+IF(SUMSQ('TS-PILE'!$E$72:$E$91)=0,0,'TO HOP NLAN'!E187*'TS-PILE'!$E$85/SUMSQ('TS-PILE'!$E$72:$E$91))+IF(SUMSQ('TS-PILE'!$D$72:$D$91)=0,0,'TO HOP NLAN'!F187*'TS-PILE'!$D$85/SUMSQ('TS-PILE'!$D$72:$D$91))),IF('TS-PILE'!$B$86="",1E+99,'TO HOP NLAN'!D187/ncoc+IF(SUMSQ('TS-PILE'!$E$72:$E$91)=0,0,'TO HOP NLAN'!E187*'TS-PILE'!$E$86/SUMSQ('TS-PILE'!$E$72:$E$91))+IF(SUMSQ('TS-PILE'!$D$72:$D$91)=0,0,'TO HOP NLAN'!F187*'TS-PILE'!$D$86/SUMSQ('TS-PILE'!$D$72:$D$91))),IF('TS-PILE'!$B$87="",1E+99,'TO HOP NLAN'!D187/ncoc+IF(SUMSQ('TS-PILE'!$E$72:$E$91)=0,0,'TO HOP NLAN'!E187*'TS-PILE'!$E$87/SUMSQ('TS-PILE'!$E$72:$E$91))+IF(SUMSQ('TS-PILE'!$D$72:$D$91)=0,0,'TO HOP NLAN'!F187*'TS-PILE'!$D$87/SUMSQ('TS-PILE'!$D$72:$D$91))),IF('TS-PILE'!$B$88="",1E+99,'TO HOP NLAN'!D187/ncoc+IF(SUMSQ('TS-PILE'!$E$72:$E$91)=0,0,'TO HOP NLAN'!E187*'TS-PILE'!$E$88/SUMSQ('TS-PILE'!$E$72:$E$91))+IF(SUMSQ('TS-PILE'!$D$72:$D$91)=0,0,'TO HOP NLAN'!F187*'TS-PILE'!$D$88/SUMSQ('TS-PILE'!$D$72:$D$91))),IF('TS-PILE'!$B$89="",1E+99,'TO HOP NLAN'!D187/ncoc+IF(SUMSQ('TS-PILE'!$E$72:$E$91)=0,0,'TO HOP NLAN'!E187*'TS-PILE'!$E$89/SUMSQ('TS-PILE'!$E$72:$E$91))+IF(SUMSQ('TS-PILE'!$D$72:$D$91)=0,0,'TO HOP NLAN'!F187*'TS-PILE'!$D$89/SUMSQ('TS-PILE'!$D$72:$D$91))),IF('TS-PILE'!$B$90="",1E+99,'TO HOP NLAN'!D187/ncoc+IF(SUMSQ('TS-PILE'!$E$72:$E$91)=0,0,'TO HOP NLAN'!E187*'TS-PILE'!$E$90/SUMSQ('TS-PILE'!$E$72:$E$91))+IF(SUMSQ('TS-PILE'!$D$72:$D$91)=0,0,'TO HOP NLAN'!F187*'TS-PILE'!$D$90/SUMSQ('TS-PILE'!$D$72:$D$91))),IF('TS-PILE'!$B$91="",1E+99,'TO HOP NLAN'!D187/ncoc+IF(SUMSQ('TS-PILE'!$E$72:$E$91)=0,0,'TO HOP NLAN'!E187*'TS-PILE'!$E$91/SUMSQ('TS-PILE'!$E$72:$E$91))+IF(SUMSQ('TS-PILE'!$D$72:$D$91)=0,0,'TO HOP NLAN'!F187*'TS-PILE'!$D$91/SUMSQ('TS-PILE'!$D$72:$D$91)))))</f>
        <v>0</v>
      </c>
      <c r="E187" s="58">
        <f t="shared" si="8"/>
        <v>-9.9999999999999997E+98</v>
      </c>
      <c r="F187" s="58">
        <f t="shared" si="9"/>
        <v>9.9999999999999997E+98</v>
      </c>
      <c r="G187" s="58">
        <f t="shared" si="10"/>
        <v>-9.9999999999999997E+98</v>
      </c>
      <c r="H187" s="58">
        <f t="shared" si="11"/>
        <v>9.9999999999999997E+98</v>
      </c>
    </row>
    <row r="188" spans="1:8" x14ac:dyDescent="0.3">
      <c r="A188" s="42" t="str">
        <f>'TO HOP NLAN'!A188</f>
        <v/>
      </c>
      <c r="B188" s="42" t="str">
        <f>'TO HOP NLAN'!L188</f>
        <v>STRENGTH</v>
      </c>
      <c r="C188" s="58">
        <f>IF(A188="",0,MAX(IF('TS-PILE'!$B$72="",-1E+99,'TO HOP NLAN'!D188/ncoc+IF(SUMSQ('TS-PILE'!$E$72:$E$91)=0,0,'TO HOP NLAN'!E188*'TS-PILE'!$E$72/SUMSQ('TS-PILE'!$E$72:$E$91))+IF(SUMSQ('TS-PILE'!$D$72:$D$91)=0,0,'TO HOP NLAN'!F188*'TS-PILE'!$D$72/SUMSQ('TS-PILE'!$D$72:$D$91))),IF('TS-PILE'!$B$73="",-1E+99,'TO HOP NLAN'!D188/ncoc+IF(SUMSQ('TS-PILE'!$E$72:$E$91)=0,0,'TO HOP NLAN'!E188*'TS-PILE'!$E$73/SUMSQ('TS-PILE'!$E$72:$E$91))+IF(SUMSQ('TS-PILE'!$D$72:$D$91)=0,0,'TO HOP NLAN'!F188*'TS-PILE'!$D$73/SUMSQ('TS-PILE'!$D$72:$D$91))),IF('TS-PILE'!$B$74="",-1E+99,'TO HOP NLAN'!D188/ncoc+IF(SUMSQ('TS-PILE'!$E$72:$E$91)=0,0,'TO HOP NLAN'!E188*'TS-PILE'!$E$74/SUMSQ('TS-PILE'!$E$72:$E$91))+IF(SUMSQ('TS-PILE'!$D$72:$D$91)=0,0,'TO HOP NLAN'!F188*'TS-PILE'!$D$74/SUMSQ('TS-PILE'!$D$72:$D$91))),IF('TS-PILE'!$B$75="",-1E+99,'TO HOP NLAN'!D188/ncoc+IF(SUMSQ('TS-PILE'!$E$72:$E$91)=0,0,'TO HOP NLAN'!E188*'TS-PILE'!$E$75/SUMSQ('TS-PILE'!$E$72:$E$91))+IF(SUMSQ('TS-PILE'!$D$72:$D$91)=0,0,'TO HOP NLAN'!F188*'TS-PILE'!$D$75/SUMSQ('TS-PILE'!$D$72:$D$91))),IF('TS-PILE'!$B$76="",-1E+99,'TO HOP NLAN'!D188/ncoc+IF(SUMSQ('TS-PILE'!$E$72:$E$91)=0,0,'TO HOP NLAN'!E188*'TS-PILE'!$E$76/SUMSQ('TS-PILE'!$E$72:$E$91))+IF(SUMSQ('TS-PILE'!$D$72:$D$91)=0,0,'TO HOP NLAN'!F188*'TS-PILE'!$D$76/SUMSQ('TS-PILE'!$D$72:$D$91))),IF('TS-PILE'!$B$77="",-1E+99,'TO HOP NLAN'!D188/ncoc+IF(SUMSQ('TS-PILE'!$E$72:$E$91)=0,0,'TO HOP NLAN'!E188*'TS-PILE'!$E$77/SUMSQ('TS-PILE'!$E$72:$E$91))+IF(SUMSQ('TS-PILE'!$D$72:$D$91)=0,0,'TO HOP NLAN'!F188*'TS-PILE'!$D$77/SUMSQ('TS-PILE'!$D$72:$D$91))),IF('TS-PILE'!$B$78="",-1E+99,'TO HOP NLAN'!D188/ncoc+IF(SUMSQ('TS-PILE'!$E$72:$E$91)=0,0,'TO HOP NLAN'!E188*'TS-PILE'!$E$78/SUMSQ('TS-PILE'!$E$72:$E$91))+IF(SUMSQ('TS-PILE'!$D$72:$D$91)=0,0,'TO HOP NLAN'!F188*'TS-PILE'!$D$78/SUMSQ('TS-PILE'!$D$72:$D$91))),IF('TS-PILE'!$B$79="",-1E+99,'TO HOP NLAN'!D188/ncoc+IF(SUMSQ('TS-PILE'!$E$72:$E$91)=0,0,'TO HOP NLAN'!E188*'TS-PILE'!$E$79/SUMSQ('TS-PILE'!$E$72:$E$91))+IF(SUMSQ('TS-PILE'!$D$72:$D$91)=0,0,'TO HOP NLAN'!F188*'TS-PILE'!$D$79/SUMSQ('TS-PILE'!$D$72:$D$91))),IF('TS-PILE'!$B$80="",-1E+99,'TO HOP NLAN'!D188/ncoc+IF(SUMSQ('TS-PILE'!$E$72:$E$91)=0,0,'TO HOP NLAN'!E188*'TS-PILE'!$E$80/SUMSQ('TS-PILE'!$E$72:$E$91))+IF(SUMSQ('TS-PILE'!$D$72:$D$91)=0,0,'TO HOP NLAN'!F188*'TS-PILE'!$D$80/SUMSQ('TS-PILE'!$D$72:$D$91))),IF('TS-PILE'!$B$81="",-1E+99,'TO HOP NLAN'!D188/ncoc+IF(SUMSQ('TS-PILE'!$E$72:$E$91)=0,0,'TO HOP NLAN'!E188*'TS-PILE'!$E$81/SUMSQ('TS-PILE'!$E$72:$E$91))+IF(SUMSQ('TS-PILE'!$D$72:$D$91)=0,0,'TO HOP NLAN'!F188*'TS-PILE'!$D$81/SUMSQ('TS-PILE'!$D$72:$D$91))),IF('TS-PILE'!$B$82="",-1E+99,'TO HOP NLAN'!D188/ncoc+IF(SUMSQ('TS-PILE'!$E$72:$E$91)=0,0,'TO HOP NLAN'!E188*'TS-PILE'!$E$82/SUMSQ('TS-PILE'!$E$72:$E$91))+IF(SUMSQ('TS-PILE'!$D$72:$D$91)=0,0,'TO HOP NLAN'!F188*'TS-PILE'!$D$82/SUMSQ('TS-PILE'!$D$72:$D$91))),IF('TS-PILE'!$B$83="",-1E+99,'TO HOP NLAN'!D188/ncoc+IF(SUMSQ('TS-PILE'!$E$72:$E$91)=0,0,'TO HOP NLAN'!E188*'TS-PILE'!$E$83/SUMSQ('TS-PILE'!$E$72:$E$91))+IF(SUMSQ('TS-PILE'!$D$72:$D$91)=0,0,'TO HOP NLAN'!F188*'TS-PILE'!$D$83/SUMSQ('TS-PILE'!$D$72:$D$91))),IF('TS-PILE'!$B$84="",-1E+99,'TO HOP NLAN'!D188/ncoc+IF(SUMSQ('TS-PILE'!$E$72:$E$91)=0,0,'TO HOP NLAN'!E188*'TS-PILE'!$E$84/SUMSQ('TS-PILE'!$E$72:$E$91))+IF(SUMSQ('TS-PILE'!$D$72:$D$91)=0,0,'TO HOP NLAN'!F188*'TS-PILE'!$D$84/SUMSQ('TS-PILE'!$D$72:$D$91))),IF('TS-PILE'!$B$85="",-1E+99,'TO HOP NLAN'!D188/ncoc+IF(SUMSQ('TS-PILE'!$E$72:$E$91)=0,0,'TO HOP NLAN'!E188*'TS-PILE'!$E$85/SUMSQ('TS-PILE'!$E$72:$E$91))+IF(SUMSQ('TS-PILE'!$D$72:$D$91)=0,0,'TO HOP NLAN'!F188*'TS-PILE'!$D$85/SUMSQ('TS-PILE'!$D$72:$D$91))),IF('TS-PILE'!$B$86="",-1E+99,'TO HOP NLAN'!D188/ncoc+IF(SUMSQ('TS-PILE'!$E$72:$E$91)=0,0,'TO HOP NLAN'!E188*'TS-PILE'!$E$86/SUMSQ('TS-PILE'!$E$72:$E$91))+IF(SUMSQ('TS-PILE'!$D$72:$D$91)=0,0,'TO HOP NLAN'!F188*'TS-PILE'!$D$86/SUMSQ('TS-PILE'!$D$72:$D$91))),IF('TS-PILE'!$B$87="",-1E+99,'TO HOP NLAN'!D188/ncoc+IF(SUMSQ('TS-PILE'!$E$72:$E$91)=0,0,'TO HOP NLAN'!E188*'TS-PILE'!$E$87/SUMSQ('TS-PILE'!$E$72:$E$91))+IF(SUMSQ('TS-PILE'!$D$72:$D$91)=0,0,'TO HOP NLAN'!F188*'TS-PILE'!$D$87/SUMSQ('TS-PILE'!$D$72:$D$91))),IF('TS-PILE'!$B$88="",-1E+99,'TO HOP NLAN'!D188/ncoc+IF(SUMSQ('TS-PILE'!$E$72:$E$91)=0,0,'TO HOP NLAN'!E188*'TS-PILE'!$E$88/SUMSQ('TS-PILE'!$E$72:$E$91))+IF(SUMSQ('TS-PILE'!$D$72:$D$91)=0,0,'TO HOP NLAN'!F188*'TS-PILE'!$D$88/SUMSQ('TS-PILE'!$D$72:$D$91))),IF('TS-PILE'!$B$89="",-1E+99,'TO HOP NLAN'!D188/ncoc+IF(SUMSQ('TS-PILE'!$E$72:$E$91)=0,0,'TO HOP NLAN'!E188*'TS-PILE'!$E$89/SUMSQ('TS-PILE'!$E$72:$E$91))+IF(SUMSQ('TS-PILE'!$D$72:$D$91)=0,0,'TO HOP NLAN'!F188*'TS-PILE'!$D$89/SUMSQ('TS-PILE'!$D$72:$D$91))),IF('TS-PILE'!$B$90="",-1E+99,'TO HOP NLAN'!D188/ncoc+IF(SUMSQ('TS-PILE'!$E$72:$E$91)=0,0,'TO HOP NLAN'!E188*'TS-PILE'!$E$90/SUMSQ('TS-PILE'!$E$72:$E$91))+IF(SUMSQ('TS-PILE'!$D$72:$D$91)=0,0,'TO HOP NLAN'!F188*'TS-PILE'!$D$90/SUMSQ('TS-PILE'!$D$72:$D$91))),IF('TS-PILE'!$B$91="",-1E+99,'TO HOP NLAN'!D188/ncoc+IF(SUMSQ('TS-PILE'!$E$72:$E$91)=0,0,'TO HOP NLAN'!E188*'TS-PILE'!$E$91/SUMSQ('TS-PILE'!$E$72:$E$91))+IF(SUMSQ('TS-PILE'!$D$72:$D$91)=0,0,'TO HOP NLAN'!F188*'TS-PILE'!$D$91/SUMSQ('TS-PILE'!$D$72:$D$91)))))</f>
        <v>0</v>
      </c>
      <c r="D188" s="58">
        <f>IF(A188="",0,MIN(IF('TS-PILE'!$B$72="",1E+99,'TO HOP NLAN'!D188/ncoc+IF(SUMSQ('TS-PILE'!$E$72:$E$91)=0,0,'TO HOP NLAN'!E188*'TS-PILE'!$E$72/SUMSQ('TS-PILE'!$E$72:$E$91))+IF(SUMSQ('TS-PILE'!$D$72:$D$91)=0,0,'TO HOP NLAN'!F188*'TS-PILE'!$D$72/SUMSQ('TS-PILE'!$D$72:$D$91))),IF('TS-PILE'!$B$73="",1E+99,'TO HOP NLAN'!D188/ncoc+IF(SUMSQ('TS-PILE'!$E$72:$E$91)=0,0,'TO HOP NLAN'!E188*'TS-PILE'!$E$73/SUMSQ('TS-PILE'!$E$72:$E$91))+IF(SUMSQ('TS-PILE'!$D$72:$D$91)=0,0,'TO HOP NLAN'!F188*'TS-PILE'!$D$73/SUMSQ('TS-PILE'!$D$72:$D$91))),IF('TS-PILE'!$B$74="",1E+99,'TO HOP NLAN'!D188/ncoc+IF(SUMSQ('TS-PILE'!$E$72:$E$91)=0,0,'TO HOP NLAN'!E188*'TS-PILE'!$E$74/SUMSQ('TS-PILE'!$E$72:$E$91))+IF(SUMSQ('TS-PILE'!$D$72:$D$91)=0,0,'TO HOP NLAN'!F188*'TS-PILE'!$D$74/SUMSQ('TS-PILE'!$D$72:$D$91))),IF('TS-PILE'!$B$75="",1E+99,'TO HOP NLAN'!D188/ncoc+IF(SUMSQ('TS-PILE'!$E$72:$E$91)=0,0,'TO HOP NLAN'!E188*'TS-PILE'!$E$75/SUMSQ('TS-PILE'!$E$72:$E$91))+IF(SUMSQ('TS-PILE'!$D$72:$D$91)=0,0,'TO HOP NLAN'!F188*'TS-PILE'!$D$75/SUMSQ('TS-PILE'!$D$72:$D$91))),IF('TS-PILE'!$B$76="",1E+99,'TO HOP NLAN'!D188/ncoc+IF(SUMSQ('TS-PILE'!$E$72:$E$91)=0,0,'TO HOP NLAN'!E188*'TS-PILE'!$E$76/SUMSQ('TS-PILE'!$E$72:$E$91))+IF(SUMSQ('TS-PILE'!$D$72:$D$91)=0,0,'TO HOP NLAN'!F188*'TS-PILE'!$D$76/SUMSQ('TS-PILE'!$D$72:$D$91))),IF('TS-PILE'!$B$77="",1E+99,'TO HOP NLAN'!D188/ncoc+IF(SUMSQ('TS-PILE'!$E$72:$E$91)=0,0,'TO HOP NLAN'!E188*'TS-PILE'!$E$77/SUMSQ('TS-PILE'!$E$72:$E$91))+IF(SUMSQ('TS-PILE'!$D$72:$D$91)=0,0,'TO HOP NLAN'!F188*'TS-PILE'!$D$77/SUMSQ('TS-PILE'!$D$72:$D$91))),IF('TS-PILE'!$B$78="",1E+99,'TO HOP NLAN'!D188/ncoc+IF(SUMSQ('TS-PILE'!$E$72:$E$91)=0,0,'TO HOP NLAN'!E188*'TS-PILE'!$E$78/SUMSQ('TS-PILE'!$E$72:$E$91))+IF(SUMSQ('TS-PILE'!$D$72:$D$91)=0,0,'TO HOP NLAN'!F188*'TS-PILE'!$D$78/SUMSQ('TS-PILE'!$D$72:$D$91))),IF('TS-PILE'!$B$79="",1E+99,'TO HOP NLAN'!D188/ncoc+IF(SUMSQ('TS-PILE'!$E$72:$E$91)=0,0,'TO HOP NLAN'!E188*'TS-PILE'!$E$79/SUMSQ('TS-PILE'!$E$72:$E$91))+IF(SUMSQ('TS-PILE'!$D$72:$D$91)=0,0,'TO HOP NLAN'!F188*'TS-PILE'!$D$79/SUMSQ('TS-PILE'!$D$72:$D$91))),IF('TS-PILE'!$B$80="",1E+99,'TO HOP NLAN'!D188/ncoc+IF(SUMSQ('TS-PILE'!$E$72:$E$91)=0,0,'TO HOP NLAN'!E188*'TS-PILE'!$E$80/SUMSQ('TS-PILE'!$E$72:$E$91))+IF(SUMSQ('TS-PILE'!$D$72:$D$91)=0,0,'TO HOP NLAN'!F188*'TS-PILE'!$D$80/SUMSQ('TS-PILE'!$D$72:$D$91))),IF('TS-PILE'!$B$81="",1E+99,'TO HOP NLAN'!D188/ncoc+IF(SUMSQ('TS-PILE'!$E$72:$E$91)=0,0,'TO HOP NLAN'!E188*'TS-PILE'!$E$81/SUMSQ('TS-PILE'!$E$72:$E$91))+IF(SUMSQ('TS-PILE'!$D$72:$D$91)=0,0,'TO HOP NLAN'!F188*'TS-PILE'!$D$81/SUMSQ('TS-PILE'!$D$72:$D$91))),IF('TS-PILE'!$B$82="",1E+99,'TO HOP NLAN'!D188/ncoc+IF(SUMSQ('TS-PILE'!$E$72:$E$91)=0,0,'TO HOP NLAN'!E188*'TS-PILE'!$E$82/SUMSQ('TS-PILE'!$E$72:$E$91))+IF(SUMSQ('TS-PILE'!$D$72:$D$91)=0,0,'TO HOP NLAN'!F188*'TS-PILE'!$D$82/SUMSQ('TS-PILE'!$D$72:$D$91))),IF('TS-PILE'!$B$83="",1E+99,'TO HOP NLAN'!D188/ncoc+IF(SUMSQ('TS-PILE'!$E$72:$E$91)=0,0,'TO HOP NLAN'!E188*'TS-PILE'!$E$83/SUMSQ('TS-PILE'!$E$72:$E$91))+IF(SUMSQ('TS-PILE'!$D$72:$D$91)=0,0,'TO HOP NLAN'!F188*'TS-PILE'!$D$83/SUMSQ('TS-PILE'!$D$72:$D$91))),IF('TS-PILE'!$B$84="",1E+99,'TO HOP NLAN'!D188/ncoc+IF(SUMSQ('TS-PILE'!$E$72:$E$91)=0,0,'TO HOP NLAN'!E188*'TS-PILE'!$E$84/SUMSQ('TS-PILE'!$E$72:$E$91))+IF(SUMSQ('TS-PILE'!$D$72:$D$91)=0,0,'TO HOP NLAN'!F188*'TS-PILE'!$D$84/SUMSQ('TS-PILE'!$D$72:$D$91))),IF('TS-PILE'!$B$85="",1E+99,'TO HOP NLAN'!D188/ncoc+IF(SUMSQ('TS-PILE'!$E$72:$E$91)=0,0,'TO HOP NLAN'!E188*'TS-PILE'!$E$85/SUMSQ('TS-PILE'!$E$72:$E$91))+IF(SUMSQ('TS-PILE'!$D$72:$D$91)=0,0,'TO HOP NLAN'!F188*'TS-PILE'!$D$85/SUMSQ('TS-PILE'!$D$72:$D$91))),IF('TS-PILE'!$B$86="",1E+99,'TO HOP NLAN'!D188/ncoc+IF(SUMSQ('TS-PILE'!$E$72:$E$91)=0,0,'TO HOP NLAN'!E188*'TS-PILE'!$E$86/SUMSQ('TS-PILE'!$E$72:$E$91))+IF(SUMSQ('TS-PILE'!$D$72:$D$91)=0,0,'TO HOP NLAN'!F188*'TS-PILE'!$D$86/SUMSQ('TS-PILE'!$D$72:$D$91))),IF('TS-PILE'!$B$87="",1E+99,'TO HOP NLAN'!D188/ncoc+IF(SUMSQ('TS-PILE'!$E$72:$E$91)=0,0,'TO HOP NLAN'!E188*'TS-PILE'!$E$87/SUMSQ('TS-PILE'!$E$72:$E$91))+IF(SUMSQ('TS-PILE'!$D$72:$D$91)=0,0,'TO HOP NLAN'!F188*'TS-PILE'!$D$87/SUMSQ('TS-PILE'!$D$72:$D$91))),IF('TS-PILE'!$B$88="",1E+99,'TO HOP NLAN'!D188/ncoc+IF(SUMSQ('TS-PILE'!$E$72:$E$91)=0,0,'TO HOP NLAN'!E188*'TS-PILE'!$E$88/SUMSQ('TS-PILE'!$E$72:$E$91))+IF(SUMSQ('TS-PILE'!$D$72:$D$91)=0,0,'TO HOP NLAN'!F188*'TS-PILE'!$D$88/SUMSQ('TS-PILE'!$D$72:$D$91))),IF('TS-PILE'!$B$89="",1E+99,'TO HOP NLAN'!D188/ncoc+IF(SUMSQ('TS-PILE'!$E$72:$E$91)=0,0,'TO HOP NLAN'!E188*'TS-PILE'!$E$89/SUMSQ('TS-PILE'!$E$72:$E$91))+IF(SUMSQ('TS-PILE'!$D$72:$D$91)=0,0,'TO HOP NLAN'!F188*'TS-PILE'!$D$89/SUMSQ('TS-PILE'!$D$72:$D$91))),IF('TS-PILE'!$B$90="",1E+99,'TO HOP NLAN'!D188/ncoc+IF(SUMSQ('TS-PILE'!$E$72:$E$91)=0,0,'TO HOP NLAN'!E188*'TS-PILE'!$E$90/SUMSQ('TS-PILE'!$E$72:$E$91))+IF(SUMSQ('TS-PILE'!$D$72:$D$91)=0,0,'TO HOP NLAN'!F188*'TS-PILE'!$D$90/SUMSQ('TS-PILE'!$D$72:$D$91))),IF('TS-PILE'!$B$91="",1E+99,'TO HOP NLAN'!D188/ncoc+IF(SUMSQ('TS-PILE'!$E$72:$E$91)=0,0,'TO HOP NLAN'!E188*'TS-PILE'!$E$91/SUMSQ('TS-PILE'!$E$72:$E$91))+IF(SUMSQ('TS-PILE'!$D$72:$D$91)=0,0,'TO HOP NLAN'!F188*'TS-PILE'!$D$91/SUMSQ('TS-PILE'!$D$72:$D$91)))))</f>
        <v>0</v>
      </c>
      <c r="E188" s="58">
        <f t="shared" si="8"/>
        <v>-9.9999999999999997E+98</v>
      </c>
      <c r="F188" s="58">
        <f t="shared" si="9"/>
        <v>9.9999999999999997E+98</v>
      </c>
      <c r="G188" s="58">
        <f t="shared" si="10"/>
        <v>-9.9999999999999997E+98</v>
      </c>
      <c r="H188" s="58">
        <f t="shared" si="11"/>
        <v>9.9999999999999997E+98</v>
      </c>
    </row>
    <row r="189" spans="1:8" x14ac:dyDescent="0.3">
      <c r="A189" s="42" t="str">
        <f>'TO HOP NLAN'!A189</f>
        <v/>
      </c>
      <c r="B189" s="42" t="str">
        <f>'TO HOP NLAN'!L189</f>
        <v>STRENGTH</v>
      </c>
      <c r="C189" s="58">
        <f>IF(A189="",0,MAX(IF('TS-PILE'!$B$72="",-1E+99,'TO HOP NLAN'!D189/ncoc+IF(SUMSQ('TS-PILE'!$E$72:$E$91)=0,0,'TO HOP NLAN'!E189*'TS-PILE'!$E$72/SUMSQ('TS-PILE'!$E$72:$E$91))+IF(SUMSQ('TS-PILE'!$D$72:$D$91)=0,0,'TO HOP NLAN'!F189*'TS-PILE'!$D$72/SUMSQ('TS-PILE'!$D$72:$D$91))),IF('TS-PILE'!$B$73="",-1E+99,'TO HOP NLAN'!D189/ncoc+IF(SUMSQ('TS-PILE'!$E$72:$E$91)=0,0,'TO HOP NLAN'!E189*'TS-PILE'!$E$73/SUMSQ('TS-PILE'!$E$72:$E$91))+IF(SUMSQ('TS-PILE'!$D$72:$D$91)=0,0,'TO HOP NLAN'!F189*'TS-PILE'!$D$73/SUMSQ('TS-PILE'!$D$72:$D$91))),IF('TS-PILE'!$B$74="",-1E+99,'TO HOP NLAN'!D189/ncoc+IF(SUMSQ('TS-PILE'!$E$72:$E$91)=0,0,'TO HOP NLAN'!E189*'TS-PILE'!$E$74/SUMSQ('TS-PILE'!$E$72:$E$91))+IF(SUMSQ('TS-PILE'!$D$72:$D$91)=0,0,'TO HOP NLAN'!F189*'TS-PILE'!$D$74/SUMSQ('TS-PILE'!$D$72:$D$91))),IF('TS-PILE'!$B$75="",-1E+99,'TO HOP NLAN'!D189/ncoc+IF(SUMSQ('TS-PILE'!$E$72:$E$91)=0,0,'TO HOP NLAN'!E189*'TS-PILE'!$E$75/SUMSQ('TS-PILE'!$E$72:$E$91))+IF(SUMSQ('TS-PILE'!$D$72:$D$91)=0,0,'TO HOP NLAN'!F189*'TS-PILE'!$D$75/SUMSQ('TS-PILE'!$D$72:$D$91))),IF('TS-PILE'!$B$76="",-1E+99,'TO HOP NLAN'!D189/ncoc+IF(SUMSQ('TS-PILE'!$E$72:$E$91)=0,0,'TO HOP NLAN'!E189*'TS-PILE'!$E$76/SUMSQ('TS-PILE'!$E$72:$E$91))+IF(SUMSQ('TS-PILE'!$D$72:$D$91)=0,0,'TO HOP NLAN'!F189*'TS-PILE'!$D$76/SUMSQ('TS-PILE'!$D$72:$D$91))),IF('TS-PILE'!$B$77="",-1E+99,'TO HOP NLAN'!D189/ncoc+IF(SUMSQ('TS-PILE'!$E$72:$E$91)=0,0,'TO HOP NLAN'!E189*'TS-PILE'!$E$77/SUMSQ('TS-PILE'!$E$72:$E$91))+IF(SUMSQ('TS-PILE'!$D$72:$D$91)=0,0,'TO HOP NLAN'!F189*'TS-PILE'!$D$77/SUMSQ('TS-PILE'!$D$72:$D$91))),IF('TS-PILE'!$B$78="",-1E+99,'TO HOP NLAN'!D189/ncoc+IF(SUMSQ('TS-PILE'!$E$72:$E$91)=0,0,'TO HOP NLAN'!E189*'TS-PILE'!$E$78/SUMSQ('TS-PILE'!$E$72:$E$91))+IF(SUMSQ('TS-PILE'!$D$72:$D$91)=0,0,'TO HOP NLAN'!F189*'TS-PILE'!$D$78/SUMSQ('TS-PILE'!$D$72:$D$91))),IF('TS-PILE'!$B$79="",-1E+99,'TO HOP NLAN'!D189/ncoc+IF(SUMSQ('TS-PILE'!$E$72:$E$91)=0,0,'TO HOP NLAN'!E189*'TS-PILE'!$E$79/SUMSQ('TS-PILE'!$E$72:$E$91))+IF(SUMSQ('TS-PILE'!$D$72:$D$91)=0,0,'TO HOP NLAN'!F189*'TS-PILE'!$D$79/SUMSQ('TS-PILE'!$D$72:$D$91))),IF('TS-PILE'!$B$80="",-1E+99,'TO HOP NLAN'!D189/ncoc+IF(SUMSQ('TS-PILE'!$E$72:$E$91)=0,0,'TO HOP NLAN'!E189*'TS-PILE'!$E$80/SUMSQ('TS-PILE'!$E$72:$E$91))+IF(SUMSQ('TS-PILE'!$D$72:$D$91)=0,0,'TO HOP NLAN'!F189*'TS-PILE'!$D$80/SUMSQ('TS-PILE'!$D$72:$D$91))),IF('TS-PILE'!$B$81="",-1E+99,'TO HOP NLAN'!D189/ncoc+IF(SUMSQ('TS-PILE'!$E$72:$E$91)=0,0,'TO HOP NLAN'!E189*'TS-PILE'!$E$81/SUMSQ('TS-PILE'!$E$72:$E$91))+IF(SUMSQ('TS-PILE'!$D$72:$D$91)=0,0,'TO HOP NLAN'!F189*'TS-PILE'!$D$81/SUMSQ('TS-PILE'!$D$72:$D$91))),IF('TS-PILE'!$B$82="",-1E+99,'TO HOP NLAN'!D189/ncoc+IF(SUMSQ('TS-PILE'!$E$72:$E$91)=0,0,'TO HOP NLAN'!E189*'TS-PILE'!$E$82/SUMSQ('TS-PILE'!$E$72:$E$91))+IF(SUMSQ('TS-PILE'!$D$72:$D$91)=0,0,'TO HOP NLAN'!F189*'TS-PILE'!$D$82/SUMSQ('TS-PILE'!$D$72:$D$91))),IF('TS-PILE'!$B$83="",-1E+99,'TO HOP NLAN'!D189/ncoc+IF(SUMSQ('TS-PILE'!$E$72:$E$91)=0,0,'TO HOP NLAN'!E189*'TS-PILE'!$E$83/SUMSQ('TS-PILE'!$E$72:$E$91))+IF(SUMSQ('TS-PILE'!$D$72:$D$91)=0,0,'TO HOP NLAN'!F189*'TS-PILE'!$D$83/SUMSQ('TS-PILE'!$D$72:$D$91))),IF('TS-PILE'!$B$84="",-1E+99,'TO HOP NLAN'!D189/ncoc+IF(SUMSQ('TS-PILE'!$E$72:$E$91)=0,0,'TO HOP NLAN'!E189*'TS-PILE'!$E$84/SUMSQ('TS-PILE'!$E$72:$E$91))+IF(SUMSQ('TS-PILE'!$D$72:$D$91)=0,0,'TO HOP NLAN'!F189*'TS-PILE'!$D$84/SUMSQ('TS-PILE'!$D$72:$D$91))),IF('TS-PILE'!$B$85="",-1E+99,'TO HOP NLAN'!D189/ncoc+IF(SUMSQ('TS-PILE'!$E$72:$E$91)=0,0,'TO HOP NLAN'!E189*'TS-PILE'!$E$85/SUMSQ('TS-PILE'!$E$72:$E$91))+IF(SUMSQ('TS-PILE'!$D$72:$D$91)=0,0,'TO HOP NLAN'!F189*'TS-PILE'!$D$85/SUMSQ('TS-PILE'!$D$72:$D$91))),IF('TS-PILE'!$B$86="",-1E+99,'TO HOP NLAN'!D189/ncoc+IF(SUMSQ('TS-PILE'!$E$72:$E$91)=0,0,'TO HOP NLAN'!E189*'TS-PILE'!$E$86/SUMSQ('TS-PILE'!$E$72:$E$91))+IF(SUMSQ('TS-PILE'!$D$72:$D$91)=0,0,'TO HOP NLAN'!F189*'TS-PILE'!$D$86/SUMSQ('TS-PILE'!$D$72:$D$91))),IF('TS-PILE'!$B$87="",-1E+99,'TO HOP NLAN'!D189/ncoc+IF(SUMSQ('TS-PILE'!$E$72:$E$91)=0,0,'TO HOP NLAN'!E189*'TS-PILE'!$E$87/SUMSQ('TS-PILE'!$E$72:$E$91))+IF(SUMSQ('TS-PILE'!$D$72:$D$91)=0,0,'TO HOP NLAN'!F189*'TS-PILE'!$D$87/SUMSQ('TS-PILE'!$D$72:$D$91))),IF('TS-PILE'!$B$88="",-1E+99,'TO HOP NLAN'!D189/ncoc+IF(SUMSQ('TS-PILE'!$E$72:$E$91)=0,0,'TO HOP NLAN'!E189*'TS-PILE'!$E$88/SUMSQ('TS-PILE'!$E$72:$E$91))+IF(SUMSQ('TS-PILE'!$D$72:$D$91)=0,0,'TO HOP NLAN'!F189*'TS-PILE'!$D$88/SUMSQ('TS-PILE'!$D$72:$D$91))),IF('TS-PILE'!$B$89="",-1E+99,'TO HOP NLAN'!D189/ncoc+IF(SUMSQ('TS-PILE'!$E$72:$E$91)=0,0,'TO HOP NLAN'!E189*'TS-PILE'!$E$89/SUMSQ('TS-PILE'!$E$72:$E$91))+IF(SUMSQ('TS-PILE'!$D$72:$D$91)=0,0,'TO HOP NLAN'!F189*'TS-PILE'!$D$89/SUMSQ('TS-PILE'!$D$72:$D$91))),IF('TS-PILE'!$B$90="",-1E+99,'TO HOP NLAN'!D189/ncoc+IF(SUMSQ('TS-PILE'!$E$72:$E$91)=0,0,'TO HOP NLAN'!E189*'TS-PILE'!$E$90/SUMSQ('TS-PILE'!$E$72:$E$91))+IF(SUMSQ('TS-PILE'!$D$72:$D$91)=0,0,'TO HOP NLAN'!F189*'TS-PILE'!$D$90/SUMSQ('TS-PILE'!$D$72:$D$91))),IF('TS-PILE'!$B$91="",-1E+99,'TO HOP NLAN'!D189/ncoc+IF(SUMSQ('TS-PILE'!$E$72:$E$91)=0,0,'TO HOP NLAN'!E189*'TS-PILE'!$E$91/SUMSQ('TS-PILE'!$E$72:$E$91))+IF(SUMSQ('TS-PILE'!$D$72:$D$91)=0,0,'TO HOP NLAN'!F189*'TS-PILE'!$D$91/SUMSQ('TS-PILE'!$D$72:$D$91)))))</f>
        <v>0</v>
      </c>
      <c r="D189" s="58">
        <f>IF(A189="",0,MIN(IF('TS-PILE'!$B$72="",1E+99,'TO HOP NLAN'!D189/ncoc+IF(SUMSQ('TS-PILE'!$E$72:$E$91)=0,0,'TO HOP NLAN'!E189*'TS-PILE'!$E$72/SUMSQ('TS-PILE'!$E$72:$E$91))+IF(SUMSQ('TS-PILE'!$D$72:$D$91)=0,0,'TO HOP NLAN'!F189*'TS-PILE'!$D$72/SUMSQ('TS-PILE'!$D$72:$D$91))),IF('TS-PILE'!$B$73="",1E+99,'TO HOP NLAN'!D189/ncoc+IF(SUMSQ('TS-PILE'!$E$72:$E$91)=0,0,'TO HOP NLAN'!E189*'TS-PILE'!$E$73/SUMSQ('TS-PILE'!$E$72:$E$91))+IF(SUMSQ('TS-PILE'!$D$72:$D$91)=0,0,'TO HOP NLAN'!F189*'TS-PILE'!$D$73/SUMSQ('TS-PILE'!$D$72:$D$91))),IF('TS-PILE'!$B$74="",1E+99,'TO HOP NLAN'!D189/ncoc+IF(SUMSQ('TS-PILE'!$E$72:$E$91)=0,0,'TO HOP NLAN'!E189*'TS-PILE'!$E$74/SUMSQ('TS-PILE'!$E$72:$E$91))+IF(SUMSQ('TS-PILE'!$D$72:$D$91)=0,0,'TO HOP NLAN'!F189*'TS-PILE'!$D$74/SUMSQ('TS-PILE'!$D$72:$D$91))),IF('TS-PILE'!$B$75="",1E+99,'TO HOP NLAN'!D189/ncoc+IF(SUMSQ('TS-PILE'!$E$72:$E$91)=0,0,'TO HOP NLAN'!E189*'TS-PILE'!$E$75/SUMSQ('TS-PILE'!$E$72:$E$91))+IF(SUMSQ('TS-PILE'!$D$72:$D$91)=0,0,'TO HOP NLAN'!F189*'TS-PILE'!$D$75/SUMSQ('TS-PILE'!$D$72:$D$91))),IF('TS-PILE'!$B$76="",1E+99,'TO HOP NLAN'!D189/ncoc+IF(SUMSQ('TS-PILE'!$E$72:$E$91)=0,0,'TO HOP NLAN'!E189*'TS-PILE'!$E$76/SUMSQ('TS-PILE'!$E$72:$E$91))+IF(SUMSQ('TS-PILE'!$D$72:$D$91)=0,0,'TO HOP NLAN'!F189*'TS-PILE'!$D$76/SUMSQ('TS-PILE'!$D$72:$D$91))),IF('TS-PILE'!$B$77="",1E+99,'TO HOP NLAN'!D189/ncoc+IF(SUMSQ('TS-PILE'!$E$72:$E$91)=0,0,'TO HOP NLAN'!E189*'TS-PILE'!$E$77/SUMSQ('TS-PILE'!$E$72:$E$91))+IF(SUMSQ('TS-PILE'!$D$72:$D$91)=0,0,'TO HOP NLAN'!F189*'TS-PILE'!$D$77/SUMSQ('TS-PILE'!$D$72:$D$91))),IF('TS-PILE'!$B$78="",1E+99,'TO HOP NLAN'!D189/ncoc+IF(SUMSQ('TS-PILE'!$E$72:$E$91)=0,0,'TO HOP NLAN'!E189*'TS-PILE'!$E$78/SUMSQ('TS-PILE'!$E$72:$E$91))+IF(SUMSQ('TS-PILE'!$D$72:$D$91)=0,0,'TO HOP NLAN'!F189*'TS-PILE'!$D$78/SUMSQ('TS-PILE'!$D$72:$D$91))),IF('TS-PILE'!$B$79="",1E+99,'TO HOP NLAN'!D189/ncoc+IF(SUMSQ('TS-PILE'!$E$72:$E$91)=0,0,'TO HOP NLAN'!E189*'TS-PILE'!$E$79/SUMSQ('TS-PILE'!$E$72:$E$91))+IF(SUMSQ('TS-PILE'!$D$72:$D$91)=0,0,'TO HOP NLAN'!F189*'TS-PILE'!$D$79/SUMSQ('TS-PILE'!$D$72:$D$91))),IF('TS-PILE'!$B$80="",1E+99,'TO HOP NLAN'!D189/ncoc+IF(SUMSQ('TS-PILE'!$E$72:$E$91)=0,0,'TO HOP NLAN'!E189*'TS-PILE'!$E$80/SUMSQ('TS-PILE'!$E$72:$E$91))+IF(SUMSQ('TS-PILE'!$D$72:$D$91)=0,0,'TO HOP NLAN'!F189*'TS-PILE'!$D$80/SUMSQ('TS-PILE'!$D$72:$D$91))),IF('TS-PILE'!$B$81="",1E+99,'TO HOP NLAN'!D189/ncoc+IF(SUMSQ('TS-PILE'!$E$72:$E$91)=0,0,'TO HOP NLAN'!E189*'TS-PILE'!$E$81/SUMSQ('TS-PILE'!$E$72:$E$91))+IF(SUMSQ('TS-PILE'!$D$72:$D$91)=0,0,'TO HOP NLAN'!F189*'TS-PILE'!$D$81/SUMSQ('TS-PILE'!$D$72:$D$91))),IF('TS-PILE'!$B$82="",1E+99,'TO HOP NLAN'!D189/ncoc+IF(SUMSQ('TS-PILE'!$E$72:$E$91)=0,0,'TO HOP NLAN'!E189*'TS-PILE'!$E$82/SUMSQ('TS-PILE'!$E$72:$E$91))+IF(SUMSQ('TS-PILE'!$D$72:$D$91)=0,0,'TO HOP NLAN'!F189*'TS-PILE'!$D$82/SUMSQ('TS-PILE'!$D$72:$D$91))),IF('TS-PILE'!$B$83="",1E+99,'TO HOP NLAN'!D189/ncoc+IF(SUMSQ('TS-PILE'!$E$72:$E$91)=0,0,'TO HOP NLAN'!E189*'TS-PILE'!$E$83/SUMSQ('TS-PILE'!$E$72:$E$91))+IF(SUMSQ('TS-PILE'!$D$72:$D$91)=0,0,'TO HOP NLAN'!F189*'TS-PILE'!$D$83/SUMSQ('TS-PILE'!$D$72:$D$91))),IF('TS-PILE'!$B$84="",1E+99,'TO HOP NLAN'!D189/ncoc+IF(SUMSQ('TS-PILE'!$E$72:$E$91)=0,0,'TO HOP NLAN'!E189*'TS-PILE'!$E$84/SUMSQ('TS-PILE'!$E$72:$E$91))+IF(SUMSQ('TS-PILE'!$D$72:$D$91)=0,0,'TO HOP NLAN'!F189*'TS-PILE'!$D$84/SUMSQ('TS-PILE'!$D$72:$D$91))),IF('TS-PILE'!$B$85="",1E+99,'TO HOP NLAN'!D189/ncoc+IF(SUMSQ('TS-PILE'!$E$72:$E$91)=0,0,'TO HOP NLAN'!E189*'TS-PILE'!$E$85/SUMSQ('TS-PILE'!$E$72:$E$91))+IF(SUMSQ('TS-PILE'!$D$72:$D$91)=0,0,'TO HOP NLAN'!F189*'TS-PILE'!$D$85/SUMSQ('TS-PILE'!$D$72:$D$91))),IF('TS-PILE'!$B$86="",1E+99,'TO HOP NLAN'!D189/ncoc+IF(SUMSQ('TS-PILE'!$E$72:$E$91)=0,0,'TO HOP NLAN'!E189*'TS-PILE'!$E$86/SUMSQ('TS-PILE'!$E$72:$E$91))+IF(SUMSQ('TS-PILE'!$D$72:$D$91)=0,0,'TO HOP NLAN'!F189*'TS-PILE'!$D$86/SUMSQ('TS-PILE'!$D$72:$D$91))),IF('TS-PILE'!$B$87="",1E+99,'TO HOP NLAN'!D189/ncoc+IF(SUMSQ('TS-PILE'!$E$72:$E$91)=0,0,'TO HOP NLAN'!E189*'TS-PILE'!$E$87/SUMSQ('TS-PILE'!$E$72:$E$91))+IF(SUMSQ('TS-PILE'!$D$72:$D$91)=0,0,'TO HOP NLAN'!F189*'TS-PILE'!$D$87/SUMSQ('TS-PILE'!$D$72:$D$91))),IF('TS-PILE'!$B$88="",1E+99,'TO HOP NLAN'!D189/ncoc+IF(SUMSQ('TS-PILE'!$E$72:$E$91)=0,0,'TO HOP NLAN'!E189*'TS-PILE'!$E$88/SUMSQ('TS-PILE'!$E$72:$E$91))+IF(SUMSQ('TS-PILE'!$D$72:$D$91)=0,0,'TO HOP NLAN'!F189*'TS-PILE'!$D$88/SUMSQ('TS-PILE'!$D$72:$D$91))),IF('TS-PILE'!$B$89="",1E+99,'TO HOP NLAN'!D189/ncoc+IF(SUMSQ('TS-PILE'!$E$72:$E$91)=0,0,'TO HOP NLAN'!E189*'TS-PILE'!$E$89/SUMSQ('TS-PILE'!$E$72:$E$91))+IF(SUMSQ('TS-PILE'!$D$72:$D$91)=0,0,'TO HOP NLAN'!F189*'TS-PILE'!$D$89/SUMSQ('TS-PILE'!$D$72:$D$91))),IF('TS-PILE'!$B$90="",1E+99,'TO HOP NLAN'!D189/ncoc+IF(SUMSQ('TS-PILE'!$E$72:$E$91)=0,0,'TO HOP NLAN'!E189*'TS-PILE'!$E$90/SUMSQ('TS-PILE'!$E$72:$E$91))+IF(SUMSQ('TS-PILE'!$D$72:$D$91)=0,0,'TO HOP NLAN'!F189*'TS-PILE'!$D$90/SUMSQ('TS-PILE'!$D$72:$D$91))),IF('TS-PILE'!$B$91="",1E+99,'TO HOP NLAN'!D189/ncoc+IF(SUMSQ('TS-PILE'!$E$72:$E$91)=0,0,'TO HOP NLAN'!E189*'TS-PILE'!$E$91/SUMSQ('TS-PILE'!$E$72:$E$91))+IF(SUMSQ('TS-PILE'!$D$72:$D$91)=0,0,'TO HOP NLAN'!F189*'TS-PILE'!$D$91/SUMSQ('TS-PILE'!$D$72:$D$91)))))</f>
        <v>0</v>
      </c>
      <c r="E189" s="58">
        <f t="shared" si="8"/>
        <v>-9.9999999999999997E+98</v>
      </c>
      <c r="F189" s="58">
        <f t="shared" si="9"/>
        <v>9.9999999999999997E+98</v>
      </c>
      <c r="G189" s="58">
        <f t="shared" si="10"/>
        <v>-9.9999999999999997E+98</v>
      </c>
      <c r="H189" s="58">
        <f t="shared" si="11"/>
        <v>9.9999999999999997E+98</v>
      </c>
    </row>
    <row r="190" spans="1:8" x14ac:dyDescent="0.3">
      <c r="A190" s="42" t="str">
        <f>'TO HOP NLAN'!A190</f>
        <v/>
      </c>
      <c r="B190" s="42" t="str">
        <f>'TO HOP NLAN'!L190</f>
        <v>STRENGTH</v>
      </c>
      <c r="C190" s="58">
        <f>IF(A190="",0,MAX(IF('TS-PILE'!$B$72="",-1E+99,'TO HOP NLAN'!D190/ncoc+IF(SUMSQ('TS-PILE'!$E$72:$E$91)=0,0,'TO HOP NLAN'!E190*'TS-PILE'!$E$72/SUMSQ('TS-PILE'!$E$72:$E$91))+IF(SUMSQ('TS-PILE'!$D$72:$D$91)=0,0,'TO HOP NLAN'!F190*'TS-PILE'!$D$72/SUMSQ('TS-PILE'!$D$72:$D$91))),IF('TS-PILE'!$B$73="",-1E+99,'TO HOP NLAN'!D190/ncoc+IF(SUMSQ('TS-PILE'!$E$72:$E$91)=0,0,'TO HOP NLAN'!E190*'TS-PILE'!$E$73/SUMSQ('TS-PILE'!$E$72:$E$91))+IF(SUMSQ('TS-PILE'!$D$72:$D$91)=0,0,'TO HOP NLAN'!F190*'TS-PILE'!$D$73/SUMSQ('TS-PILE'!$D$72:$D$91))),IF('TS-PILE'!$B$74="",-1E+99,'TO HOP NLAN'!D190/ncoc+IF(SUMSQ('TS-PILE'!$E$72:$E$91)=0,0,'TO HOP NLAN'!E190*'TS-PILE'!$E$74/SUMSQ('TS-PILE'!$E$72:$E$91))+IF(SUMSQ('TS-PILE'!$D$72:$D$91)=0,0,'TO HOP NLAN'!F190*'TS-PILE'!$D$74/SUMSQ('TS-PILE'!$D$72:$D$91))),IF('TS-PILE'!$B$75="",-1E+99,'TO HOP NLAN'!D190/ncoc+IF(SUMSQ('TS-PILE'!$E$72:$E$91)=0,0,'TO HOP NLAN'!E190*'TS-PILE'!$E$75/SUMSQ('TS-PILE'!$E$72:$E$91))+IF(SUMSQ('TS-PILE'!$D$72:$D$91)=0,0,'TO HOP NLAN'!F190*'TS-PILE'!$D$75/SUMSQ('TS-PILE'!$D$72:$D$91))),IF('TS-PILE'!$B$76="",-1E+99,'TO HOP NLAN'!D190/ncoc+IF(SUMSQ('TS-PILE'!$E$72:$E$91)=0,0,'TO HOP NLAN'!E190*'TS-PILE'!$E$76/SUMSQ('TS-PILE'!$E$72:$E$91))+IF(SUMSQ('TS-PILE'!$D$72:$D$91)=0,0,'TO HOP NLAN'!F190*'TS-PILE'!$D$76/SUMSQ('TS-PILE'!$D$72:$D$91))),IF('TS-PILE'!$B$77="",-1E+99,'TO HOP NLAN'!D190/ncoc+IF(SUMSQ('TS-PILE'!$E$72:$E$91)=0,0,'TO HOP NLAN'!E190*'TS-PILE'!$E$77/SUMSQ('TS-PILE'!$E$72:$E$91))+IF(SUMSQ('TS-PILE'!$D$72:$D$91)=0,0,'TO HOP NLAN'!F190*'TS-PILE'!$D$77/SUMSQ('TS-PILE'!$D$72:$D$91))),IF('TS-PILE'!$B$78="",-1E+99,'TO HOP NLAN'!D190/ncoc+IF(SUMSQ('TS-PILE'!$E$72:$E$91)=0,0,'TO HOP NLAN'!E190*'TS-PILE'!$E$78/SUMSQ('TS-PILE'!$E$72:$E$91))+IF(SUMSQ('TS-PILE'!$D$72:$D$91)=0,0,'TO HOP NLAN'!F190*'TS-PILE'!$D$78/SUMSQ('TS-PILE'!$D$72:$D$91))),IF('TS-PILE'!$B$79="",-1E+99,'TO HOP NLAN'!D190/ncoc+IF(SUMSQ('TS-PILE'!$E$72:$E$91)=0,0,'TO HOP NLAN'!E190*'TS-PILE'!$E$79/SUMSQ('TS-PILE'!$E$72:$E$91))+IF(SUMSQ('TS-PILE'!$D$72:$D$91)=0,0,'TO HOP NLAN'!F190*'TS-PILE'!$D$79/SUMSQ('TS-PILE'!$D$72:$D$91))),IF('TS-PILE'!$B$80="",-1E+99,'TO HOP NLAN'!D190/ncoc+IF(SUMSQ('TS-PILE'!$E$72:$E$91)=0,0,'TO HOP NLAN'!E190*'TS-PILE'!$E$80/SUMSQ('TS-PILE'!$E$72:$E$91))+IF(SUMSQ('TS-PILE'!$D$72:$D$91)=0,0,'TO HOP NLAN'!F190*'TS-PILE'!$D$80/SUMSQ('TS-PILE'!$D$72:$D$91))),IF('TS-PILE'!$B$81="",-1E+99,'TO HOP NLAN'!D190/ncoc+IF(SUMSQ('TS-PILE'!$E$72:$E$91)=0,0,'TO HOP NLAN'!E190*'TS-PILE'!$E$81/SUMSQ('TS-PILE'!$E$72:$E$91))+IF(SUMSQ('TS-PILE'!$D$72:$D$91)=0,0,'TO HOP NLAN'!F190*'TS-PILE'!$D$81/SUMSQ('TS-PILE'!$D$72:$D$91))),IF('TS-PILE'!$B$82="",-1E+99,'TO HOP NLAN'!D190/ncoc+IF(SUMSQ('TS-PILE'!$E$72:$E$91)=0,0,'TO HOP NLAN'!E190*'TS-PILE'!$E$82/SUMSQ('TS-PILE'!$E$72:$E$91))+IF(SUMSQ('TS-PILE'!$D$72:$D$91)=0,0,'TO HOP NLAN'!F190*'TS-PILE'!$D$82/SUMSQ('TS-PILE'!$D$72:$D$91))),IF('TS-PILE'!$B$83="",-1E+99,'TO HOP NLAN'!D190/ncoc+IF(SUMSQ('TS-PILE'!$E$72:$E$91)=0,0,'TO HOP NLAN'!E190*'TS-PILE'!$E$83/SUMSQ('TS-PILE'!$E$72:$E$91))+IF(SUMSQ('TS-PILE'!$D$72:$D$91)=0,0,'TO HOP NLAN'!F190*'TS-PILE'!$D$83/SUMSQ('TS-PILE'!$D$72:$D$91))),IF('TS-PILE'!$B$84="",-1E+99,'TO HOP NLAN'!D190/ncoc+IF(SUMSQ('TS-PILE'!$E$72:$E$91)=0,0,'TO HOP NLAN'!E190*'TS-PILE'!$E$84/SUMSQ('TS-PILE'!$E$72:$E$91))+IF(SUMSQ('TS-PILE'!$D$72:$D$91)=0,0,'TO HOP NLAN'!F190*'TS-PILE'!$D$84/SUMSQ('TS-PILE'!$D$72:$D$91))),IF('TS-PILE'!$B$85="",-1E+99,'TO HOP NLAN'!D190/ncoc+IF(SUMSQ('TS-PILE'!$E$72:$E$91)=0,0,'TO HOP NLAN'!E190*'TS-PILE'!$E$85/SUMSQ('TS-PILE'!$E$72:$E$91))+IF(SUMSQ('TS-PILE'!$D$72:$D$91)=0,0,'TO HOP NLAN'!F190*'TS-PILE'!$D$85/SUMSQ('TS-PILE'!$D$72:$D$91))),IF('TS-PILE'!$B$86="",-1E+99,'TO HOP NLAN'!D190/ncoc+IF(SUMSQ('TS-PILE'!$E$72:$E$91)=0,0,'TO HOP NLAN'!E190*'TS-PILE'!$E$86/SUMSQ('TS-PILE'!$E$72:$E$91))+IF(SUMSQ('TS-PILE'!$D$72:$D$91)=0,0,'TO HOP NLAN'!F190*'TS-PILE'!$D$86/SUMSQ('TS-PILE'!$D$72:$D$91))),IF('TS-PILE'!$B$87="",-1E+99,'TO HOP NLAN'!D190/ncoc+IF(SUMSQ('TS-PILE'!$E$72:$E$91)=0,0,'TO HOP NLAN'!E190*'TS-PILE'!$E$87/SUMSQ('TS-PILE'!$E$72:$E$91))+IF(SUMSQ('TS-PILE'!$D$72:$D$91)=0,0,'TO HOP NLAN'!F190*'TS-PILE'!$D$87/SUMSQ('TS-PILE'!$D$72:$D$91))),IF('TS-PILE'!$B$88="",-1E+99,'TO HOP NLAN'!D190/ncoc+IF(SUMSQ('TS-PILE'!$E$72:$E$91)=0,0,'TO HOP NLAN'!E190*'TS-PILE'!$E$88/SUMSQ('TS-PILE'!$E$72:$E$91))+IF(SUMSQ('TS-PILE'!$D$72:$D$91)=0,0,'TO HOP NLAN'!F190*'TS-PILE'!$D$88/SUMSQ('TS-PILE'!$D$72:$D$91))),IF('TS-PILE'!$B$89="",-1E+99,'TO HOP NLAN'!D190/ncoc+IF(SUMSQ('TS-PILE'!$E$72:$E$91)=0,0,'TO HOP NLAN'!E190*'TS-PILE'!$E$89/SUMSQ('TS-PILE'!$E$72:$E$91))+IF(SUMSQ('TS-PILE'!$D$72:$D$91)=0,0,'TO HOP NLAN'!F190*'TS-PILE'!$D$89/SUMSQ('TS-PILE'!$D$72:$D$91))),IF('TS-PILE'!$B$90="",-1E+99,'TO HOP NLAN'!D190/ncoc+IF(SUMSQ('TS-PILE'!$E$72:$E$91)=0,0,'TO HOP NLAN'!E190*'TS-PILE'!$E$90/SUMSQ('TS-PILE'!$E$72:$E$91))+IF(SUMSQ('TS-PILE'!$D$72:$D$91)=0,0,'TO HOP NLAN'!F190*'TS-PILE'!$D$90/SUMSQ('TS-PILE'!$D$72:$D$91))),IF('TS-PILE'!$B$91="",-1E+99,'TO HOP NLAN'!D190/ncoc+IF(SUMSQ('TS-PILE'!$E$72:$E$91)=0,0,'TO HOP NLAN'!E190*'TS-PILE'!$E$91/SUMSQ('TS-PILE'!$E$72:$E$91))+IF(SUMSQ('TS-PILE'!$D$72:$D$91)=0,0,'TO HOP NLAN'!F190*'TS-PILE'!$D$91/SUMSQ('TS-PILE'!$D$72:$D$91)))))</f>
        <v>0</v>
      </c>
      <c r="D190" s="58">
        <f>IF(A190="",0,MIN(IF('TS-PILE'!$B$72="",1E+99,'TO HOP NLAN'!D190/ncoc+IF(SUMSQ('TS-PILE'!$E$72:$E$91)=0,0,'TO HOP NLAN'!E190*'TS-PILE'!$E$72/SUMSQ('TS-PILE'!$E$72:$E$91))+IF(SUMSQ('TS-PILE'!$D$72:$D$91)=0,0,'TO HOP NLAN'!F190*'TS-PILE'!$D$72/SUMSQ('TS-PILE'!$D$72:$D$91))),IF('TS-PILE'!$B$73="",1E+99,'TO HOP NLAN'!D190/ncoc+IF(SUMSQ('TS-PILE'!$E$72:$E$91)=0,0,'TO HOP NLAN'!E190*'TS-PILE'!$E$73/SUMSQ('TS-PILE'!$E$72:$E$91))+IF(SUMSQ('TS-PILE'!$D$72:$D$91)=0,0,'TO HOP NLAN'!F190*'TS-PILE'!$D$73/SUMSQ('TS-PILE'!$D$72:$D$91))),IF('TS-PILE'!$B$74="",1E+99,'TO HOP NLAN'!D190/ncoc+IF(SUMSQ('TS-PILE'!$E$72:$E$91)=0,0,'TO HOP NLAN'!E190*'TS-PILE'!$E$74/SUMSQ('TS-PILE'!$E$72:$E$91))+IF(SUMSQ('TS-PILE'!$D$72:$D$91)=0,0,'TO HOP NLAN'!F190*'TS-PILE'!$D$74/SUMSQ('TS-PILE'!$D$72:$D$91))),IF('TS-PILE'!$B$75="",1E+99,'TO HOP NLAN'!D190/ncoc+IF(SUMSQ('TS-PILE'!$E$72:$E$91)=0,0,'TO HOP NLAN'!E190*'TS-PILE'!$E$75/SUMSQ('TS-PILE'!$E$72:$E$91))+IF(SUMSQ('TS-PILE'!$D$72:$D$91)=0,0,'TO HOP NLAN'!F190*'TS-PILE'!$D$75/SUMSQ('TS-PILE'!$D$72:$D$91))),IF('TS-PILE'!$B$76="",1E+99,'TO HOP NLAN'!D190/ncoc+IF(SUMSQ('TS-PILE'!$E$72:$E$91)=0,0,'TO HOP NLAN'!E190*'TS-PILE'!$E$76/SUMSQ('TS-PILE'!$E$72:$E$91))+IF(SUMSQ('TS-PILE'!$D$72:$D$91)=0,0,'TO HOP NLAN'!F190*'TS-PILE'!$D$76/SUMSQ('TS-PILE'!$D$72:$D$91))),IF('TS-PILE'!$B$77="",1E+99,'TO HOP NLAN'!D190/ncoc+IF(SUMSQ('TS-PILE'!$E$72:$E$91)=0,0,'TO HOP NLAN'!E190*'TS-PILE'!$E$77/SUMSQ('TS-PILE'!$E$72:$E$91))+IF(SUMSQ('TS-PILE'!$D$72:$D$91)=0,0,'TO HOP NLAN'!F190*'TS-PILE'!$D$77/SUMSQ('TS-PILE'!$D$72:$D$91))),IF('TS-PILE'!$B$78="",1E+99,'TO HOP NLAN'!D190/ncoc+IF(SUMSQ('TS-PILE'!$E$72:$E$91)=0,0,'TO HOP NLAN'!E190*'TS-PILE'!$E$78/SUMSQ('TS-PILE'!$E$72:$E$91))+IF(SUMSQ('TS-PILE'!$D$72:$D$91)=0,0,'TO HOP NLAN'!F190*'TS-PILE'!$D$78/SUMSQ('TS-PILE'!$D$72:$D$91))),IF('TS-PILE'!$B$79="",1E+99,'TO HOP NLAN'!D190/ncoc+IF(SUMSQ('TS-PILE'!$E$72:$E$91)=0,0,'TO HOP NLAN'!E190*'TS-PILE'!$E$79/SUMSQ('TS-PILE'!$E$72:$E$91))+IF(SUMSQ('TS-PILE'!$D$72:$D$91)=0,0,'TO HOP NLAN'!F190*'TS-PILE'!$D$79/SUMSQ('TS-PILE'!$D$72:$D$91))),IF('TS-PILE'!$B$80="",1E+99,'TO HOP NLAN'!D190/ncoc+IF(SUMSQ('TS-PILE'!$E$72:$E$91)=0,0,'TO HOP NLAN'!E190*'TS-PILE'!$E$80/SUMSQ('TS-PILE'!$E$72:$E$91))+IF(SUMSQ('TS-PILE'!$D$72:$D$91)=0,0,'TO HOP NLAN'!F190*'TS-PILE'!$D$80/SUMSQ('TS-PILE'!$D$72:$D$91))),IF('TS-PILE'!$B$81="",1E+99,'TO HOP NLAN'!D190/ncoc+IF(SUMSQ('TS-PILE'!$E$72:$E$91)=0,0,'TO HOP NLAN'!E190*'TS-PILE'!$E$81/SUMSQ('TS-PILE'!$E$72:$E$91))+IF(SUMSQ('TS-PILE'!$D$72:$D$91)=0,0,'TO HOP NLAN'!F190*'TS-PILE'!$D$81/SUMSQ('TS-PILE'!$D$72:$D$91))),IF('TS-PILE'!$B$82="",1E+99,'TO HOP NLAN'!D190/ncoc+IF(SUMSQ('TS-PILE'!$E$72:$E$91)=0,0,'TO HOP NLAN'!E190*'TS-PILE'!$E$82/SUMSQ('TS-PILE'!$E$72:$E$91))+IF(SUMSQ('TS-PILE'!$D$72:$D$91)=0,0,'TO HOP NLAN'!F190*'TS-PILE'!$D$82/SUMSQ('TS-PILE'!$D$72:$D$91))),IF('TS-PILE'!$B$83="",1E+99,'TO HOP NLAN'!D190/ncoc+IF(SUMSQ('TS-PILE'!$E$72:$E$91)=0,0,'TO HOP NLAN'!E190*'TS-PILE'!$E$83/SUMSQ('TS-PILE'!$E$72:$E$91))+IF(SUMSQ('TS-PILE'!$D$72:$D$91)=0,0,'TO HOP NLAN'!F190*'TS-PILE'!$D$83/SUMSQ('TS-PILE'!$D$72:$D$91))),IF('TS-PILE'!$B$84="",1E+99,'TO HOP NLAN'!D190/ncoc+IF(SUMSQ('TS-PILE'!$E$72:$E$91)=0,0,'TO HOP NLAN'!E190*'TS-PILE'!$E$84/SUMSQ('TS-PILE'!$E$72:$E$91))+IF(SUMSQ('TS-PILE'!$D$72:$D$91)=0,0,'TO HOP NLAN'!F190*'TS-PILE'!$D$84/SUMSQ('TS-PILE'!$D$72:$D$91))),IF('TS-PILE'!$B$85="",1E+99,'TO HOP NLAN'!D190/ncoc+IF(SUMSQ('TS-PILE'!$E$72:$E$91)=0,0,'TO HOP NLAN'!E190*'TS-PILE'!$E$85/SUMSQ('TS-PILE'!$E$72:$E$91))+IF(SUMSQ('TS-PILE'!$D$72:$D$91)=0,0,'TO HOP NLAN'!F190*'TS-PILE'!$D$85/SUMSQ('TS-PILE'!$D$72:$D$91))),IF('TS-PILE'!$B$86="",1E+99,'TO HOP NLAN'!D190/ncoc+IF(SUMSQ('TS-PILE'!$E$72:$E$91)=0,0,'TO HOP NLAN'!E190*'TS-PILE'!$E$86/SUMSQ('TS-PILE'!$E$72:$E$91))+IF(SUMSQ('TS-PILE'!$D$72:$D$91)=0,0,'TO HOP NLAN'!F190*'TS-PILE'!$D$86/SUMSQ('TS-PILE'!$D$72:$D$91))),IF('TS-PILE'!$B$87="",1E+99,'TO HOP NLAN'!D190/ncoc+IF(SUMSQ('TS-PILE'!$E$72:$E$91)=0,0,'TO HOP NLAN'!E190*'TS-PILE'!$E$87/SUMSQ('TS-PILE'!$E$72:$E$91))+IF(SUMSQ('TS-PILE'!$D$72:$D$91)=0,0,'TO HOP NLAN'!F190*'TS-PILE'!$D$87/SUMSQ('TS-PILE'!$D$72:$D$91))),IF('TS-PILE'!$B$88="",1E+99,'TO HOP NLAN'!D190/ncoc+IF(SUMSQ('TS-PILE'!$E$72:$E$91)=0,0,'TO HOP NLAN'!E190*'TS-PILE'!$E$88/SUMSQ('TS-PILE'!$E$72:$E$91))+IF(SUMSQ('TS-PILE'!$D$72:$D$91)=0,0,'TO HOP NLAN'!F190*'TS-PILE'!$D$88/SUMSQ('TS-PILE'!$D$72:$D$91))),IF('TS-PILE'!$B$89="",1E+99,'TO HOP NLAN'!D190/ncoc+IF(SUMSQ('TS-PILE'!$E$72:$E$91)=0,0,'TO HOP NLAN'!E190*'TS-PILE'!$E$89/SUMSQ('TS-PILE'!$E$72:$E$91))+IF(SUMSQ('TS-PILE'!$D$72:$D$91)=0,0,'TO HOP NLAN'!F190*'TS-PILE'!$D$89/SUMSQ('TS-PILE'!$D$72:$D$91))),IF('TS-PILE'!$B$90="",1E+99,'TO HOP NLAN'!D190/ncoc+IF(SUMSQ('TS-PILE'!$E$72:$E$91)=0,0,'TO HOP NLAN'!E190*'TS-PILE'!$E$90/SUMSQ('TS-PILE'!$E$72:$E$91))+IF(SUMSQ('TS-PILE'!$D$72:$D$91)=0,0,'TO HOP NLAN'!F190*'TS-PILE'!$D$90/SUMSQ('TS-PILE'!$D$72:$D$91))),IF('TS-PILE'!$B$91="",1E+99,'TO HOP NLAN'!D190/ncoc+IF(SUMSQ('TS-PILE'!$E$72:$E$91)=0,0,'TO HOP NLAN'!E190*'TS-PILE'!$E$91/SUMSQ('TS-PILE'!$E$72:$E$91))+IF(SUMSQ('TS-PILE'!$D$72:$D$91)=0,0,'TO HOP NLAN'!F190*'TS-PILE'!$D$91/SUMSQ('TS-PILE'!$D$72:$D$91)))))</f>
        <v>0</v>
      </c>
      <c r="E190" s="58">
        <f t="shared" si="8"/>
        <v>-9.9999999999999997E+98</v>
      </c>
      <c r="F190" s="58">
        <f t="shared" si="9"/>
        <v>9.9999999999999997E+98</v>
      </c>
      <c r="G190" s="58">
        <f t="shared" si="10"/>
        <v>-9.9999999999999997E+98</v>
      </c>
      <c r="H190" s="58">
        <f t="shared" si="11"/>
        <v>9.9999999999999997E+98</v>
      </c>
    </row>
    <row r="191" spans="1:8" x14ac:dyDescent="0.3">
      <c r="A191" s="42" t="str">
        <f>'TO HOP NLAN'!A191</f>
        <v/>
      </c>
      <c r="B191" s="42" t="str">
        <f>'TO HOP NLAN'!L191</f>
        <v>STRENGTH</v>
      </c>
      <c r="C191" s="58">
        <f>IF(A191="",0,MAX(IF('TS-PILE'!$B$72="",-1E+99,'TO HOP NLAN'!D191/ncoc+IF(SUMSQ('TS-PILE'!$E$72:$E$91)=0,0,'TO HOP NLAN'!E191*'TS-PILE'!$E$72/SUMSQ('TS-PILE'!$E$72:$E$91))+IF(SUMSQ('TS-PILE'!$D$72:$D$91)=0,0,'TO HOP NLAN'!F191*'TS-PILE'!$D$72/SUMSQ('TS-PILE'!$D$72:$D$91))),IF('TS-PILE'!$B$73="",-1E+99,'TO HOP NLAN'!D191/ncoc+IF(SUMSQ('TS-PILE'!$E$72:$E$91)=0,0,'TO HOP NLAN'!E191*'TS-PILE'!$E$73/SUMSQ('TS-PILE'!$E$72:$E$91))+IF(SUMSQ('TS-PILE'!$D$72:$D$91)=0,0,'TO HOP NLAN'!F191*'TS-PILE'!$D$73/SUMSQ('TS-PILE'!$D$72:$D$91))),IF('TS-PILE'!$B$74="",-1E+99,'TO HOP NLAN'!D191/ncoc+IF(SUMSQ('TS-PILE'!$E$72:$E$91)=0,0,'TO HOP NLAN'!E191*'TS-PILE'!$E$74/SUMSQ('TS-PILE'!$E$72:$E$91))+IF(SUMSQ('TS-PILE'!$D$72:$D$91)=0,0,'TO HOP NLAN'!F191*'TS-PILE'!$D$74/SUMSQ('TS-PILE'!$D$72:$D$91))),IF('TS-PILE'!$B$75="",-1E+99,'TO HOP NLAN'!D191/ncoc+IF(SUMSQ('TS-PILE'!$E$72:$E$91)=0,0,'TO HOP NLAN'!E191*'TS-PILE'!$E$75/SUMSQ('TS-PILE'!$E$72:$E$91))+IF(SUMSQ('TS-PILE'!$D$72:$D$91)=0,0,'TO HOP NLAN'!F191*'TS-PILE'!$D$75/SUMSQ('TS-PILE'!$D$72:$D$91))),IF('TS-PILE'!$B$76="",-1E+99,'TO HOP NLAN'!D191/ncoc+IF(SUMSQ('TS-PILE'!$E$72:$E$91)=0,0,'TO HOP NLAN'!E191*'TS-PILE'!$E$76/SUMSQ('TS-PILE'!$E$72:$E$91))+IF(SUMSQ('TS-PILE'!$D$72:$D$91)=0,0,'TO HOP NLAN'!F191*'TS-PILE'!$D$76/SUMSQ('TS-PILE'!$D$72:$D$91))),IF('TS-PILE'!$B$77="",-1E+99,'TO HOP NLAN'!D191/ncoc+IF(SUMSQ('TS-PILE'!$E$72:$E$91)=0,0,'TO HOP NLAN'!E191*'TS-PILE'!$E$77/SUMSQ('TS-PILE'!$E$72:$E$91))+IF(SUMSQ('TS-PILE'!$D$72:$D$91)=0,0,'TO HOP NLAN'!F191*'TS-PILE'!$D$77/SUMSQ('TS-PILE'!$D$72:$D$91))),IF('TS-PILE'!$B$78="",-1E+99,'TO HOP NLAN'!D191/ncoc+IF(SUMSQ('TS-PILE'!$E$72:$E$91)=0,0,'TO HOP NLAN'!E191*'TS-PILE'!$E$78/SUMSQ('TS-PILE'!$E$72:$E$91))+IF(SUMSQ('TS-PILE'!$D$72:$D$91)=0,0,'TO HOP NLAN'!F191*'TS-PILE'!$D$78/SUMSQ('TS-PILE'!$D$72:$D$91))),IF('TS-PILE'!$B$79="",-1E+99,'TO HOP NLAN'!D191/ncoc+IF(SUMSQ('TS-PILE'!$E$72:$E$91)=0,0,'TO HOP NLAN'!E191*'TS-PILE'!$E$79/SUMSQ('TS-PILE'!$E$72:$E$91))+IF(SUMSQ('TS-PILE'!$D$72:$D$91)=0,0,'TO HOP NLAN'!F191*'TS-PILE'!$D$79/SUMSQ('TS-PILE'!$D$72:$D$91))),IF('TS-PILE'!$B$80="",-1E+99,'TO HOP NLAN'!D191/ncoc+IF(SUMSQ('TS-PILE'!$E$72:$E$91)=0,0,'TO HOP NLAN'!E191*'TS-PILE'!$E$80/SUMSQ('TS-PILE'!$E$72:$E$91))+IF(SUMSQ('TS-PILE'!$D$72:$D$91)=0,0,'TO HOP NLAN'!F191*'TS-PILE'!$D$80/SUMSQ('TS-PILE'!$D$72:$D$91))),IF('TS-PILE'!$B$81="",-1E+99,'TO HOP NLAN'!D191/ncoc+IF(SUMSQ('TS-PILE'!$E$72:$E$91)=0,0,'TO HOP NLAN'!E191*'TS-PILE'!$E$81/SUMSQ('TS-PILE'!$E$72:$E$91))+IF(SUMSQ('TS-PILE'!$D$72:$D$91)=0,0,'TO HOP NLAN'!F191*'TS-PILE'!$D$81/SUMSQ('TS-PILE'!$D$72:$D$91))),IF('TS-PILE'!$B$82="",-1E+99,'TO HOP NLAN'!D191/ncoc+IF(SUMSQ('TS-PILE'!$E$72:$E$91)=0,0,'TO HOP NLAN'!E191*'TS-PILE'!$E$82/SUMSQ('TS-PILE'!$E$72:$E$91))+IF(SUMSQ('TS-PILE'!$D$72:$D$91)=0,0,'TO HOP NLAN'!F191*'TS-PILE'!$D$82/SUMSQ('TS-PILE'!$D$72:$D$91))),IF('TS-PILE'!$B$83="",-1E+99,'TO HOP NLAN'!D191/ncoc+IF(SUMSQ('TS-PILE'!$E$72:$E$91)=0,0,'TO HOP NLAN'!E191*'TS-PILE'!$E$83/SUMSQ('TS-PILE'!$E$72:$E$91))+IF(SUMSQ('TS-PILE'!$D$72:$D$91)=0,0,'TO HOP NLAN'!F191*'TS-PILE'!$D$83/SUMSQ('TS-PILE'!$D$72:$D$91))),IF('TS-PILE'!$B$84="",-1E+99,'TO HOP NLAN'!D191/ncoc+IF(SUMSQ('TS-PILE'!$E$72:$E$91)=0,0,'TO HOP NLAN'!E191*'TS-PILE'!$E$84/SUMSQ('TS-PILE'!$E$72:$E$91))+IF(SUMSQ('TS-PILE'!$D$72:$D$91)=0,0,'TO HOP NLAN'!F191*'TS-PILE'!$D$84/SUMSQ('TS-PILE'!$D$72:$D$91))),IF('TS-PILE'!$B$85="",-1E+99,'TO HOP NLAN'!D191/ncoc+IF(SUMSQ('TS-PILE'!$E$72:$E$91)=0,0,'TO HOP NLAN'!E191*'TS-PILE'!$E$85/SUMSQ('TS-PILE'!$E$72:$E$91))+IF(SUMSQ('TS-PILE'!$D$72:$D$91)=0,0,'TO HOP NLAN'!F191*'TS-PILE'!$D$85/SUMSQ('TS-PILE'!$D$72:$D$91))),IF('TS-PILE'!$B$86="",-1E+99,'TO HOP NLAN'!D191/ncoc+IF(SUMSQ('TS-PILE'!$E$72:$E$91)=0,0,'TO HOP NLAN'!E191*'TS-PILE'!$E$86/SUMSQ('TS-PILE'!$E$72:$E$91))+IF(SUMSQ('TS-PILE'!$D$72:$D$91)=0,0,'TO HOP NLAN'!F191*'TS-PILE'!$D$86/SUMSQ('TS-PILE'!$D$72:$D$91))),IF('TS-PILE'!$B$87="",-1E+99,'TO HOP NLAN'!D191/ncoc+IF(SUMSQ('TS-PILE'!$E$72:$E$91)=0,0,'TO HOP NLAN'!E191*'TS-PILE'!$E$87/SUMSQ('TS-PILE'!$E$72:$E$91))+IF(SUMSQ('TS-PILE'!$D$72:$D$91)=0,0,'TO HOP NLAN'!F191*'TS-PILE'!$D$87/SUMSQ('TS-PILE'!$D$72:$D$91))),IF('TS-PILE'!$B$88="",-1E+99,'TO HOP NLAN'!D191/ncoc+IF(SUMSQ('TS-PILE'!$E$72:$E$91)=0,0,'TO HOP NLAN'!E191*'TS-PILE'!$E$88/SUMSQ('TS-PILE'!$E$72:$E$91))+IF(SUMSQ('TS-PILE'!$D$72:$D$91)=0,0,'TO HOP NLAN'!F191*'TS-PILE'!$D$88/SUMSQ('TS-PILE'!$D$72:$D$91))),IF('TS-PILE'!$B$89="",-1E+99,'TO HOP NLAN'!D191/ncoc+IF(SUMSQ('TS-PILE'!$E$72:$E$91)=0,0,'TO HOP NLAN'!E191*'TS-PILE'!$E$89/SUMSQ('TS-PILE'!$E$72:$E$91))+IF(SUMSQ('TS-PILE'!$D$72:$D$91)=0,0,'TO HOP NLAN'!F191*'TS-PILE'!$D$89/SUMSQ('TS-PILE'!$D$72:$D$91))),IF('TS-PILE'!$B$90="",-1E+99,'TO HOP NLAN'!D191/ncoc+IF(SUMSQ('TS-PILE'!$E$72:$E$91)=0,0,'TO HOP NLAN'!E191*'TS-PILE'!$E$90/SUMSQ('TS-PILE'!$E$72:$E$91))+IF(SUMSQ('TS-PILE'!$D$72:$D$91)=0,0,'TO HOP NLAN'!F191*'TS-PILE'!$D$90/SUMSQ('TS-PILE'!$D$72:$D$91))),IF('TS-PILE'!$B$91="",-1E+99,'TO HOP NLAN'!D191/ncoc+IF(SUMSQ('TS-PILE'!$E$72:$E$91)=0,0,'TO HOP NLAN'!E191*'TS-PILE'!$E$91/SUMSQ('TS-PILE'!$E$72:$E$91))+IF(SUMSQ('TS-PILE'!$D$72:$D$91)=0,0,'TO HOP NLAN'!F191*'TS-PILE'!$D$91/SUMSQ('TS-PILE'!$D$72:$D$91)))))</f>
        <v>0</v>
      </c>
      <c r="D191" s="58">
        <f>IF(A191="",0,MIN(IF('TS-PILE'!$B$72="",1E+99,'TO HOP NLAN'!D191/ncoc+IF(SUMSQ('TS-PILE'!$E$72:$E$91)=0,0,'TO HOP NLAN'!E191*'TS-PILE'!$E$72/SUMSQ('TS-PILE'!$E$72:$E$91))+IF(SUMSQ('TS-PILE'!$D$72:$D$91)=0,0,'TO HOP NLAN'!F191*'TS-PILE'!$D$72/SUMSQ('TS-PILE'!$D$72:$D$91))),IF('TS-PILE'!$B$73="",1E+99,'TO HOP NLAN'!D191/ncoc+IF(SUMSQ('TS-PILE'!$E$72:$E$91)=0,0,'TO HOP NLAN'!E191*'TS-PILE'!$E$73/SUMSQ('TS-PILE'!$E$72:$E$91))+IF(SUMSQ('TS-PILE'!$D$72:$D$91)=0,0,'TO HOP NLAN'!F191*'TS-PILE'!$D$73/SUMSQ('TS-PILE'!$D$72:$D$91))),IF('TS-PILE'!$B$74="",1E+99,'TO HOP NLAN'!D191/ncoc+IF(SUMSQ('TS-PILE'!$E$72:$E$91)=0,0,'TO HOP NLAN'!E191*'TS-PILE'!$E$74/SUMSQ('TS-PILE'!$E$72:$E$91))+IF(SUMSQ('TS-PILE'!$D$72:$D$91)=0,0,'TO HOP NLAN'!F191*'TS-PILE'!$D$74/SUMSQ('TS-PILE'!$D$72:$D$91))),IF('TS-PILE'!$B$75="",1E+99,'TO HOP NLAN'!D191/ncoc+IF(SUMSQ('TS-PILE'!$E$72:$E$91)=0,0,'TO HOP NLAN'!E191*'TS-PILE'!$E$75/SUMSQ('TS-PILE'!$E$72:$E$91))+IF(SUMSQ('TS-PILE'!$D$72:$D$91)=0,0,'TO HOP NLAN'!F191*'TS-PILE'!$D$75/SUMSQ('TS-PILE'!$D$72:$D$91))),IF('TS-PILE'!$B$76="",1E+99,'TO HOP NLAN'!D191/ncoc+IF(SUMSQ('TS-PILE'!$E$72:$E$91)=0,0,'TO HOP NLAN'!E191*'TS-PILE'!$E$76/SUMSQ('TS-PILE'!$E$72:$E$91))+IF(SUMSQ('TS-PILE'!$D$72:$D$91)=0,0,'TO HOP NLAN'!F191*'TS-PILE'!$D$76/SUMSQ('TS-PILE'!$D$72:$D$91))),IF('TS-PILE'!$B$77="",1E+99,'TO HOP NLAN'!D191/ncoc+IF(SUMSQ('TS-PILE'!$E$72:$E$91)=0,0,'TO HOP NLAN'!E191*'TS-PILE'!$E$77/SUMSQ('TS-PILE'!$E$72:$E$91))+IF(SUMSQ('TS-PILE'!$D$72:$D$91)=0,0,'TO HOP NLAN'!F191*'TS-PILE'!$D$77/SUMSQ('TS-PILE'!$D$72:$D$91))),IF('TS-PILE'!$B$78="",1E+99,'TO HOP NLAN'!D191/ncoc+IF(SUMSQ('TS-PILE'!$E$72:$E$91)=0,0,'TO HOP NLAN'!E191*'TS-PILE'!$E$78/SUMSQ('TS-PILE'!$E$72:$E$91))+IF(SUMSQ('TS-PILE'!$D$72:$D$91)=0,0,'TO HOP NLAN'!F191*'TS-PILE'!$D$78/SUMSQ('TS-PILE'!$D$72:$D$91))),IF('TS-PILE'!$B$79="",1E+99,'TO HOP NLAN'!D191/ncoc+IF(SUMSQ('TS-PILE'!$E$72:$E$91)=0,0,'TO HOP NLAN'!E191*'TS-PILE'!$E$79/SUMSQ('TS-PILE'!$E$72:$E$91))+IF(SUMSQ('TS-PILE'!$D$72:$D$91)=0,0,'TO HOP NLAN'!F191*'TS-PILE'!$D$79/SUMSQ('TS-PILE'!$D$72:$D$91))),IF('TS-PILE'!$B$80="",1E+99,'TO HOP NLAN'!D191/ncoc+IF(SUMSQ('TS-PILE'!$E$72:$E$91)=0,0,'TO HOP NLAN'!E191*'TS-PILE'!$E$80/SUMSQ('TS-PILE'!$E$72:$E$91))+IF(SUMSQ('TS-PILE'!$D$72:$D$91)=0,0,'TO HOP NLAN'!F191*'TS-PILE'!$D$80/SUMSQ('TS-PILE'!$D$72:$D$91))),IF('TS-PILE'!$B$81="",1E+99,'TO HOP NLAN'!D191/ncoc+IF(SUMSQ('TS-PILE'!$E$72:$E$91)=0,0,'TO HOP NLAN'!E191*'TS-PILE'!$E$81/SUMSQ('TS-PILE'!$E$72:$E$91))+IF(SUMSQ('TS-PILE'!$D$72:$D$91)=0,0,'TO HOP NLAN'!F191*'TS-PILE'!$D$81/SUMSQ('TS-PILE'!$D$72:$D$91))),IF('TS-PILE'!$B$82="",1E+99,'TO HOP NLAN'!D191/ncoc+IF(SUMSQ('TS-PILE'!$E$72:$E$91)=0,0,'TO HOP NLAN'!E191*'TS-PILE'!$E$82/SUMSQ('TS-PILE'!$E$72:$E$91))+IF(SUMSQ('TS-PILE'!$D$72:$D$91)=0,0,'TO HOP NLAN'!F191*'TS-PILE'!$D$82/SUMSQ('TS-PILE'!$D$72:$D$91))),IF('TS-PILE'!$B$83="",1E+99,'TO HOP NLAN'!D191/ncoc+IF(SUMSQ('TS-PILE'!$E$72:$E$91)=0,0,'TO HOP NLAN'!E191*'TS-PILE'!$E$83/SUMSQ('TS-PILE'!$E$72:$E$91))+IF(SUMSQ('TS-PILE'!$D$72:$D$91)=0,0,'TO HOP NLAN'!F191*'TS-PILE'!$D$83/SUMSQ('TS-PILE'!$D$72:$D$91))),IF('TS-PILE'!$B$84="",1E+99,'TO HOP NLAN'!D191/ncoc+IF(SUMSQ('TS-PILE'!$E$72:$E$91)=0,0,'TO HOP NLAN'!E191*'TS-PILE'!$E$84/SUMSQ('TS-PILE'!$E$72:$E$91))+IF(SUMSQ('TS-PILE'!$D$72:$D$91)=0,0,'TO HOP NLAN'!F191*'TS-PILE'!$D$84/SUMSQ('TS-PILE'!$D$72:$D$91))),IF('TS-PILE'!$B$85="",1E+99,'TO HOP NLAN'!D191/ncoc+IF(SUMSQ('TS-PILE'!$E$72:$E$91)=0,0,'TO HOP NLAN'!E191*'TS-PILE'!$E$85/SUMSQ('TS-PILE'!$E$72:$E$91))+IF(SUMSQ('TS-PILE'!$D$72:$D$91)=0,0,'TO HOP NLAN'!F191*'TS-PILE'!$D$85/SUMSQ('TS-PILE'!$D$72:$D$91))),IF('TS-PILE'!$B$86="",1E+99,'TO HOP NLAN'!D191/ncoc+IF(SUMSQ('TS-PILE'!$E$72:$E$91)=0,0,'TO HOP NLAN'!E191*'TS-PILE'!$E$86/SUMSQ('TS-PILE'!$E$72:$E$91))+IF(SUMSQ('TS-PILE'!$D$72:$D$91)=0,0,'TO HOP NLAN'!F191*'TS-PILE'!$D$86/SUMSQ('TS-PILE'!$D$72:$D$91))),IF('TS-PILE'!$B$87="",1E+99,'TO HOP NLAN'!D191/ncoc+IF(SUMSQ('TS-PILE'!$E$72:$E$91)=0,0,'TO HOP NLAN'!E191*'TS-PILE'!$E$87/SUMSQ('TS-PILE'!$E$72:$E$91))+IF(SUMSQ('TS-PILE'!$D$72:$D$91)=0,0,'TO HOP NLAN'!F191*'TS-PILE'!$D$87/SUMSQ('TS-PILE'!$D$72:$D$91))),IF('TS-PILE'!$B$88="",1E+99,'TO HOP NLAN'!D191/ncoc+IF(SUMSQ('TS-PILE'!$E$72:$E$91)=0,0,'TO HOP NLAN'!E191*'TS-PILE'!$E$88/SUMSQ('TS-PILE'!$E$72:$E$91))+IF(SUMSQ('TS-PILE'!$D$72:$D$91)=0,0,'TO HOP NLAN'!F191*'TS-PILE'!$D$88/SUMSQ('TS-PILE'!$D$72:$D$91))),IF('TS-PILE'!$B$89="",1E+99,'TO HOP NLAN'!D191/ncoc+IF(SUMSQ('TS-PILE'!$E$72:$E$91)=0,0,'TO HOP NLAN'!E191*'TS-PILE'!$E$89/SUMSQ('TS-PILE'!$E$72:$E$91))+IF(SUMSQ('TS-PILE'!$D$72:$D$91)=0,0,'TO HOP NLAN'!F191*'TS-PILE'!$D$89/SUMSQ('TS-PILE'!$D$72:$D$91))),IF('TS-PILE'!$B$90="",1E+99,'TO HOP NLAN'!D191/ncoc+IF(SUMSQ('TS-PILE'!$E$72:$E$91)=0,0,'TO HOP NLAN'!E191*'TS-PILE'!$E$90/SUMSQ('TS-PILE'!$E$72:$E$91))+IF(SUMSQ('TS-PILE'!$D$72:$D$91)=0,0,'TO HOP NLAN'!F191*'TS-PILE'!$D$90/SUMSQ('TS-PILE'!$D$72:$D$91))),IF('TS-PILE'!$B$91="",1E+99,'TO HOP NLAN'!D191/ncoc+IF(SUMSQ('TS-PILE'!$E$72:$E$91)=0,0,'TO HOP NLAN'!E191*'TS-PILE'!$E$91/SUMSQ('TS-PILE'!$E$72:$E$91))+IF(SUMSQ('TS-PILE'!$D$72:$D$91)=0,0,'TO HOP NLAN'!F191*'TS-PILE'!$D$91/SUMSQ('TS-PILE'!$D$72:$D$91)))))</f>
        <v>0</v>
      </c>
      <c r="E191" s="58">
        <f t="shared" si="8"/>
        <v>-9.9999999999999997E+98</v>
      </c>
      <c r="F191" s="58">
        <f t="shared" si="9"/>
        <v>9.9999999999999997E+98</v>
      </c>
      <c r="G191" s="58">
        <f t="shared" si="10"/>
        <v>-9.9999999999999997E+98</v>
      </c>
      <c r="H191" s="58">
        <f t="shared" si="11"/>
        <v>9.9999999999999997E+98</v>
      </c>
    </row>
    <row r="192" spans="1:8" x14ac:dyDescent="0.3">
      <c r="A192" s="42" t="str">
        <f>'TO HOP NLAN'!A192</f>
        <v/>
      </c>
      <c r="B192" s="42" t="str">
        <f>'TO HOP NLAN'!L192</f>
        <v>STRENGTH</v>
      </c>
      <c r="C192" s="58">
        <f>IF(A192="",0,MAX(IF('TS-PILE'!$B$72="",-1E+99,'TO HOP NLAN'!D192/ncoc+IF(SUMSQ('TS-PILE'!$E$72:$E$91)=0,0,'TO HOP NLAN'!E192*'TS-PILE'!$E$72/SUMSQ('TS-PILE'!$E$72:$E$91))+IF(SUMSQ('TS-PILE'!$D$72:$D$91)=0,0,'TO HOP NLAN'!F192*'TS-PILE'!$D$72/SUMSQ('TS-PILE'!$D$72:$D$91))),IF('TS-PILE'!$B$73="",-1E+99,'TO HOP NLAN'!D192/ncoc+IF(SUMSQ('TS-PILE'!$E$72:$E$91)=0,0,'TO HOP NLAN'!E192*'TS-PILE'!$E$73/SUMSQ('TS-PILE'!$E$72:$E$91))+IF(SUMSQ('TS-PILE'!$D$72:$D$91)=0,0,'TO HOP NLAN'!F192*'TS-PILE'!$D$73/SUMSQ('TS-PILE'!$D$72:$D$91))),IF('TS-PILE'!$B$74="",-1E+99,'TO HOP NLAN'!D192/ncoc+IF(SUMSQ('TS-PILE'!$E$72:$E$91)=0,0,'TO HOP NLAN'!E192*'TS-PILE'!$E$74/SUMSQ('TS-PILE'!$E$72:$E$91))+IF(SUMSQ('TS-PILE'!$D$72:$D$91)=0,0,'TO HOP NLAN'!F192*'TS-PILE'!$D$74/SUMSQ('TS-PILE'!$D$72:$D$91))),IF('TS-PILE'!$B$75="",-1E+99,'TO HOP NLAN'!D192/ncoc+IF(SUMSQ('TS-PILE'!$E$72:$E$91)=0,0,'TO HOP NLAN'!E192*'TS-PILE'!$E$75/SUMSQ('TS-PILE'!$E$72:$E$91))+IF(SUMSQ('TS-PILE'!$D$72:$D$91)=0,0,'TO HOP NLAN'!F192*'TS-PILE'!$D$75/SUMSQ('TS-PILE'!$D$72:$D$91))),IF('TS-PILE'!$B$76="",-1E+99,'TO HOP NLAN'!D192/ncoc+IF(SUMSQ('TS-PILE'!$E$72:$E$91)=0,0,'TO HOP NLAN'!E192*'TS-PILE'!$E$76/SUMSQ('TS-PILE'!$E$72:$E$91))+IF(SUMSQ('TS-PILE'!$D$72:$D$91)=0,0,'TO HOP NLAN'!F192*'TS-PILE'!$D$76/SUMSQ('TS-PILE'!$D$72:$D$91))),IF('TS-PILE'!$B$77="",-1E+99,'TO HOP NLAN'!D192/ncoc+IF(SUMSQ('TS-PILE'!$E$72:$E$91)=0,0,'TO HOP NLAN'!E192*'TS-PILE'!$E$77/SUMSQ('TS-PILE'!$E$72:$E$91))+IF(SUMSQ('TS-PILE'!$D$72:$D$91)=0,0,'TO HOP NLAN'!F192*'TS-PILE'!$D$77/SUMSQ('TS-PILE'!$D$72:$D$91))),IF('TS-PILE'!$B$78="",-1E+99,'TO HOP NLAN'!D192/ncoc+IF(SUMSQ('TS-PILE'!$E$72:$E$91)=0,0,'TO HOP NLAN'!E192*'TS-PILE'!$E$78/SUMSQ('TS-PILE'!$E$72:$E$91))+IF(SUMSQ('TS-PILE'!$D$72:$D$91)=0,0,'TO HOP NLAN'!F192*'TS-PILE'!$D$78/SUMSQ('TS-PILE'!$D$72:$D$91))),IF('TS-PILE'!$B$79="",-1E+99,'TO HOP NLAN'!D192/ncoc+IF(SUMSQ('TS-PILE'!$E$72:$E$91)=0,0,'TO HOP NLAN'!E192*'TS-PILE'!$E$79/SUMSQ('TS-PILE'!$E$72:$E$91))+IF(SUMSQ('TS-PILE'!$D$72:$D$91)=0,0,'TO HOP NLAN'!F192*'TS-PILE'!$D$79/SUMSQ('TS-PILE'!$D$72:$D$91))),IF('TS-PILE'!$B$80="",-1E+99,'TO HOP NLAN'!D192/ncoc+IF(SUMSQ('TS-PILE'!$E$72:$E$91)=0,0,'TO HOP NLAN'!E192*'TS-PILE'!$E$80/SUMSQ('TS-PILE'!$E$72:$E$91))+IF(SUMSQ('TS-PILE'!$D$72:$D$91)=0,0,'TO HOP NLAN'!F192*'TS-PILE'!$D$80/SUMSQ('TS-PILE'!$D$72:$D$91))),IF('TS-PILE'!$B$81="",-1E+99,'TO HOP NLAN'!D192/ncoc+IF(SUMSQ('TS-PILE'!$E$72:$E$91)=0,0,'TO HOP NLAN'!E192*'TS-PILE'!$E$81/SUMSQ('TS-PILE'!$E$72:$E$91))+IF(SUMSQ('TS-PILE'!$D$72:$D$91)=0,0,'TO HOP NLAN'!F192*'TS-PILE'!$D$81/SUMSQ('TS-PILE'!$D$72:$D$91))),IF('TS-PILE'!$B$82="",-1E+99,'TO HOP NLAN'!D192/ncoc+IF(SUMSQ('TS-PILE'!$E$72:$E$91)=0,0,'TO HOP NLAN'!E192*'TS-PILE'!$E$82/SUMSQ('TS-PILE'!$E$72:$E$91))+IF(SUMSQ('TS-PILE'!$D$72:$D$91)=0,0,'TO HOP NLAN'!F192*'TS-PILE'!$D$82/SUMSQ('TS-PILE'!$D$72:$D$91))),IF('TS-PILE'!$B$83="",-1E+99,'TO HOP NLAN'!D192/ncoc+IF(SUMSQ('TS-PILE'!$E$72:$E$91)=0,0,'TO HOP NLAN'!E192*'TS-PILE'!$E$83/SUMSQ('TS-PILE'!$E$72:$E$91))+IF(SUMSQ('TS-PILE'!$D$72:$D$91)=0,0,'TO HOP NLAN'!F192*'TS-PILE'!$D$83/SUMSQ('TS-PILE'!$D$72:$D$91))),IF('TS-PILE'!$B$84="",-1E+99,'TO HOP NLAN'!D192/ncoc+IF(SUMSQ('TS-PILE'!$E$72:$E$91)=0,0,'TO HOP NLAN'!E192*'TS-PILE'!$E$84/SUMSQ('TS-PILE'!$E$72:$E$91))+IF(SUMSQ('TS-PILE'!$D$72:$D$91)=0,0,'TO HOP NLAN'!F192*'TS-PILE'!$D$84/SUMSQ('TS-PILE'!$D$72:$D$91))),IF('TS-PILE'!$B$85="",-1E+99,'TO HOP NLAN'!D192/ncoc+IF(SUMSQ('TS-PILE'!$E$72:$E$91)=0,0,'TO HOP NLAN'!E192*'TS-PILE'!$E$85/SUMSQ('TS-PILE'!$E$72:$E$91))+IF(SUMSQ('TS-PILE'!$D$72:$D$91)=0,0,'TO HOP NLAN'!F192*'TS-PILE'!$D$85/SUMSQ('TS-PILE'!$D$72:$D$91))),IF('TS-PILE'!$B$86="",-1E+99,'TO HOP NLAN'!D192/ncoc+IF(SUMSQ('TS-PILE'!$E$72:$E$91)=0,0,'TO HOP NLAN'!E192*'TS-PILE'!$E$86/SUMSQ('TS-PILE'!$E$72:$E$91))+IF(SUMSQ('TS-PILE'!$D$72:$D$91)=0,0,'TO HOP NLAN'!F192*'TS-PILE'!$D$86/SUMSQ('TS-PILE'!$D$72:$D$91))),IF('TS-PILE'!$B$87="",-1E+99,'TO HOP NLAN'!D192/ncoc+IF(SUMSQ('TS-PILE'!$E$72:$E$91)=0,0,'TO HOP NLAN'!E192*'TS-PILE'!$E$87/SUMSQ('TS-PILE'!$E$72:$E$91))+IF(SUMSQ('TS-PILE'!$D$72:$D$91)=0,0,'TO HOP NLAN'!F192*'TS-PILE'!$D$87/SUMSQ('TS-PILE'!$D$72:$D$91))),IF('TS-PILE'!$B$88="",-1E+99,'TO HOP NLAN'!D192/ncoc+IF(SUMSQ('TS-PILE'!$E$72:$E$91)=0,0,'TO HOP NLAN'!E192*'TS-PILE'!$E$88/SUMSQ('TS-PILE'!$E$72:$E$91))+IF(SUMSQ('TS-PILE'!$D$72:$D$91)=0,0,'TO HOP NLAN'!F192*'TS-PILE'!$D$88/SUMSQ('TS-PILE'!$D$72:$D$91))),IF('TS-PILE'!$B$89="",-1E+99,'TO HOP NLAN'!D192/ncoc+IF(SUMSQ('TS-PILE'!$E$72:$E$91)=0,0,'TO HOP NLAN'!E192*'TS-PILE'!$E$89/SUMSQ('TS-PILE'!$E$72:$E$91))+IF(SUMSQ('TS-PILE'!$D$72:$D$91)=0,0,'TO HOP NLAN'!F192*'TS-PILE'!$D$89/SUMSQ('TS-PILE'!$D$72:$D$91))),IF('TS-PILE'!$B$90="",-1E+99,'TO HOP NLAN'!D192/ncoc+IF(SUMSQ('TS-PILE'!$E$72:$E$91)=0,0,'TO HOP NLAN'!E192*'TS-PILE'!$E$90/SUMSQ('TS-PILE'!$E$72:$E$91))+IF(SUMSQ('TS-PILE'!$D$72:$D$91)=0,0,'TO HOP NLAN'!F192*'TS-PILE'!$D$90/SUMSQ('TS-PILE'!$D$72:$D$91))),IF('TS-PILE'!$B$91="",-1E+99,'TO HOP NLAN'!D192/ncoc+IF(SUMSQ('TS-PILE'!$E$72:$E$91)=0,0,'TO HOP NLAN'!E192*'TS-PILE'!$E$91/SUMSQ('TS-PILE'!$E$72:$E$91))+IF(SUMSQ('TS-PILE'!$D$72:$D$91)=0,0,'TO HOP NLAN'!F192*'TS-PILE'!$D$91/SUMSQ('TS-PILE'!$D$72:$D$91)))))</f>
        <v>0</v>
      </c>
      <c r="D192" s="58">
        <f>IF(A192="",0,MIN(IF('TS-PILE'!$B$72="",1E+99,'TO HOP NLAN'!D192/ncoc+IF(SUMSQ('TS-PILE'!$E$72:$E$91)=0,0,'TO HOP NLAN'!E192*'TS-PILE'!$E$72/SUMSQ('TS-PILE'!$E$72:$E$91))+IF(SUMSQ('TS-PILE'!$D$72:$D$91)=0,0,'TO HOP NLAN'!F192*'TS-PILE'!$D$72/SUMSQ('TS-PILE'!$D$72:$D$91))),IF('TS-PILE'!$B$73="",1E+99,'TO HOP NLAN'!D192/ncoc+IF(SUMSQ('TS-PILE'!$E$72:$E$91)=0,0,'TO HOP NLAN'!E192*'TS-PILE'!$E$73/SUMSQ('TS-PILE'!$E$72:$E$91))+IF(SUMSQ('TS-PILE'!$D$72:$D$91)=0,0,'TO HOP NLAN'!F192*'TS-PILE'!$D$73/SUMSQ('TS-PILE'!$D$72:$D$91))),IF('TS-PILE'!$B$74="",1E+99,'TO HOP NLAN'!D192/ncoc+IF(SUMSQ('TS-PILE'!$E$72:$E$91)=0,0,'TO HOP NLAN'!E192*'TS-PILE'!$E$74/SUMSQ('TS-PILE'!$E$72:$E$91))+IF(SUMSQ('TS-PILE'!$D$72:$D$91)=0,0,'TO HOP NLAN'!F192*'TS-PILE'!$D$74/SUMSQ('TS-PILE'!$D$72:$D$91))),IF('TS-PILE'!$B$75="",1E+99,'TO HOP NLAN'!D192/ncoc+IF(SUMSQ('TS-PILE'!$E$72:$E$91)=0,0,'TO HOP NLAN'!E192*'TS-PILE'!$E$75/SUMSQ('TS-PILE'!$E$72:$E$91))+IF(SUMSQ('TS-PILE'!$D$72:$D$91)=0,0,'TO HOP NLAN'!F192*'TS-PILE'!$D$75/SUMSQ('TS-PILE'!$D$72:$D$91))),IF('TS-PILE'!$B$76="",1E+99,'TO HOP NLAN'!D192/ncoc+IF(SUMSQ('TS-PILE'!$E$72:$E$91)=0,0,'TO HOP NLAN'!E192*'TS-PILE'!$E$76/SUMSQ('TS-PILE'!$E$72:$E$91))+IF(SUMSQ('TS-PILE'!$D$72:$D$91)=0,0,'TO HOP NLAN'!F192*'TS-PILE'!$D$76/SUMSQ('TS-PILE'!$D$72:$D$91))),IF('TS-PILE'!$B$77="",1E+99,'TO HOP NLAN'!D192/ncoc+IF(SUMSQ('TS-PILE'!$E$72:$E$91)=0,0,'TO HOP NLAN'!E192*'TS-PILE'!$E$77/SUMSQ('TS-PILE'!$E$72:$E$91))+IF(SUMSQ('TS-PILE'!$D$72:$D$91)=0,0,'TO HOP NLAN'!F192*'TS-PILE'!$D$77/SUMSQ('TS-PILE'!$D$72:$D$91))),IF('TS-PILE'!$B$78="",1E+99,'TO HOP NLAN'!D192/ncoc+IF(SUMSQ('TS-PILE'!$E$72:$E$91)=0,0,'TO HOP NLAN'!E192*'TS-PILE'!$E$78/SUMSQ('TS-PILE'!$E$72:$E$91))+IF(SUMSQ('TS-PILE'!$D$72:$D$91)=0,0,'TO HOP NLAN'!F192*'TS-PILE'!$D$78/SUMSQ('TS-PILE'!$D$72:$D$91))),IF('TS-PILE'!$B$79="",1E+99,'TO HOP NLAN'!D192/ncoc+IF(SUMSQ('TS-PILE'!$E$72:$E$91)=0,0,'TO HOP NLAN'!E192*'TS-PILE'!$E$79/SUMSQ('TS-PILE'!$E$72:$E$91))+IF(SUMSQ('TS-PILE'!$D$72:$D$91)=0,0,'TO HOP NLAN'!F192*'TS-PILE'!$D$79/SUMSQ('TS-PILE'!$D$72:$D$91))),IF('TS-PILE'!$B$80="",1E+99,'TO HOP NLAN'!D192/ncoc+IF(SUMSQ('TS-PILE'!$E$72:$E$91)=0,0,'TO HOP NLAN'!E192*'TS-PILE'!$E$80/SUMSQ('TS-PILE'!$E$72:$E$91))+IF(SUMSQ('TS-PILE'!$D$72:$D$91)=0,0,'TO HOP NLAN'!F192*'TS-PILE'!$D$80/SUMSQ('TS-PILE'!$D$72:$D$91))),IF('TS-PILE'!$B$81="",1E+99,'TO HOP NLAN'!D192/ncoc+IF(SUMSQ('TS-PILE'!$E$72:$E$91)=0,0,'TO HOP NLAN'!E192*'TS-PILE'!$E$81/SUMSQ('TS-PILE'!$E$72:$E$91))+IF(SUMSQ('TS-PILE'!$D$72:$D$91)=0,0,'TO HOP NLAN'!F192*'TS-PILE'!$D$81/SUMSQ('TS-PILE'!$D$72:$D$91))),IF('TS-PILE'!$B$82="",1E+99,'TO HOP NLAN'!D192/ncoc+IF(SUMSQ('TS-PILE'!$E$72:$E$91)=0,0,'TO HOP NLAN'!E192*'TS-PILE'!$E$82/SUMSQ('TS-PILE'!$E$72:$E$91))+IF(SUMSQ('TS-PILE'!$D$72:$D$91)=0,0,'TO HOP NLAN'!F192*'TS-PILE'!$D$82/SUMSQ('TS-PILE'!$D$72:$D$91))),IF('TS-PILE'!$B$83="",1E+99,'TO HOP NLAN'!D192/ncoc+IF(SUMSQ('TS-PILE'!$E$72:$E$91)=0,0,'TO HOP NLAN'!E192*'TS-PILE'!$E$83/SUMSQ('TS-PILE'!$E$72:$E$91))+IF(SUMSQ('TS-PILE'!$D$72:$D$91)=0,0,'TO HOP NLAN'!F192*'TS-PILE'!$D$83/SUMSQ('TS-PILE'!$D$72:$D$91))),IF('TS-PILE'!$B$84="",1E+99,'TO HOP NLAN'!D192/ncoc+IF(SUMSQ('TS-PILE'!$E$72:$E$91)=0,0,'TO HOP NLAN'!E192*'TS-PILE'!$E$84/SUMSQ('TS-PILE'!$E$72:$E$91))+IF(SUMSQ('TS-PILE'!$D$72:$D$91)=0,0,'TO HOP NLAN'!F192*'TS-PILE'!$D$84/SUMSQ('TS-PILE'!$D$72:$D$91))),IF('TS-PILE'!$B$85="",1E+99,'TO HOP NLAN'!D192/ncoc+IF(SUMSQ('TS-PILE'!$E$72:$E$91)=0,0,'TO HOP NLAN'!E192*'TS-PILE'!$E$85/SUMSQ('TS-PILE'!$E$72:$E$91))+IF(SUMSQ('TS-PILE'!$D$72:$D$91)=0,0,'TO HOP NLAN'!F192*'TS-PILE'!$D$85/SUMSQ('TS-PILE'!$D$72:$D$91))),IF('TS-PILE'!$B$86="",1E+99,'TO HOP NLAN'!D192/ncoc+IF(SUMSQ('TS-PILE'!$E$72:$E$91)=0,0,'TO HOP NLAN'!E192*'TS-PILE'!$E$86/SUMSQ('TS-PILE'!$E$72:$E$91))+IF(SUMSQ('TS-PILE'!$D$72:$D$91)=0,0,'TO HOP NLAN'!F192*'TS-PILE'!$D$86/SUMSQ('TS-PILE'!$D$72:$D$91))),IF('TS-PILE'!$B$87="",1E+99,'TO HOP NLAN'!D192/ncoc+IF(SUMSQ('TS-PILE'!$E$72:$E$91)=0,0,'TO HOP NLAN'!E192*'TS-PILE'!$E$87/SUMSQ('TS-PILE'!$E$72:$E$91))+IF(SUMSQ('TS-PILE'!$D$72:$D$91)=0,0,'TO HOP NLAN'!F192*'TS-PILE'!$D$87/SUMSQ('TS-PILE'!$D$72:$D$91))),IF('TS-PILE'!$B$88="",1E+99,'TO HOP NLAN'!D192/ncoc+IF(SUMSQ('TS-PILE'!$E$72:$E$91)=0,0,'TO HOP NLAN'!E192*'TS-PILE'!$E$88/SUMSQ('TS-PILE'!$E$72:$E$91))+IF(SUMSQ('TS-PILE'!$D$72:$D$91)=0,0,'TO HOP NLAN'!F192*'TS-PILE'!$D$88/SUMSQ('TS-PILE'!$D$72:$D$91))),IF('TS-PILE'!$B$89="",1E+99,'TO HOP NLAN'!D192/ncoc+IF(SUMSQ('TS-PILE'!$E$72:$E$91)=0,0,'TO HOP NLAN'!E192*'TS-PILE'!$E$89/SUMSQ('TS-PILE'!$E$72:$E$91))+IF(SUMSQ('TS-PILE'!$D$72:$D$91)=0,0,'TO HOP NLAN'!F192*'TS-PILE'!$D$89/SUMSQ('TS-PILE'!$D$72:$D$91))),IF('TS-PILE'!$B$90="",1E+99,'TO HOP NLAN'!D192/ncoc+IF(SUMSQ('TS-PILE'!$E$72:$E$91)=0,0,'TO HOP NLAN'!E192*'TS-PILE'!$E$90/SUMSQ('TS-PILE'!$E$72:$E$91))+IF(SUMSQ('TS-PILE'!$D$72:$D$91)=0,0,'TO HOP NLAN'!F192*'TS-PILE'!$D$90/SUMSQ('TS-PILE'!$D$72:$D$91))),IF('TS-PILE'!$B$91="",1E+99,'TO HOP NLAN'!D192/ncoc+IF(SUMSQ('TS-PILE'!$E$72:$E$91)=0,0,'TO HOP NLAN'!E192*'TS-PILE'!$E$91/SUMSQ('TS-PILE'!$E$72:$E$91))+IF(SUMSQ('TS-PILE'!$D$72:$D$91)=0,0,'TO HOP NLAN'!F192*'TS-PILE'!$D$91/SUMSQ('TS-PILE'!$D$72:$D$91)))))</f>
        <v>0</v>
      </c>
      <c r="E192" s="58">
        <f t="shared" si="8"/>
        <v>-9.9999999999999997E+98</v>
      </c>
      <c r="F192" s="58">
        <f t="shared" si="9"/>
        <v>9.9999999999999997E+98</v>
      </c>
      <c r="G192" s="58">
        <f t="shared" si="10"/>
        <v>-9.9999999999999997E+98</v>
      </c>
      <c r="H192" s="58">
        <f t="shared" si="11"/>
        <v>9.9999999999999997E+98</v>
      </c>
    </row>
    <row r="193" spans="1:8" x14ac:dyDescent="0.3">
      <c r="A193" s="42" t="str">
        <f>'TO HOP NLAN'!A193</f>
        <v/>
      </c>
      <c r="B193" s="42" t="str">
        <f>'TO HOP NLAN'!L193</f>
        <v>STRENGTH</v>
      </c>
      <c r="C193" s="58">
        <f>IF(A193="",0,MAX(IF('TS-PILE'!$B$72="",-1E+99,'TO HOP NLAN'!D193/ncoc+IF(SUMSQ('TS-PILE'!$E$72:$E$91)=0,0,'TO HOP NLAN'!E193*'TS-PILE'!$E$72/SUMSQ('TS-PILE'!$E$72:$E$91))+IF(SUMSQ('TS-PILE'!$D$72:$D$91)=0,0,'TO HOP NLAN'!F193*'TS-PILE'!$D$72/SUMSQ('TS-PILE'!$D$72:$D$91))),IF('TS-PILE'!$B$73="",-1E+99,'TO HOP NLAN'!D193/ncoc+IF(SUMSQ('TS-PILE'!$E$72:$E$91)=0,0,'TO HOP NLAN'!E193*'TS-PILE'!$E$73/SUMSQ('TS-PILE'!$E$72:$E$91))+IF(SUMSQ('TS-PILE'!$D$72:$D$91)=0,0,'TO HOP NLAN'!F193*'TS-PILE'!$D$73/SUMSQ('TS-PILE'!$D$72:$D$91))),IF('TS-PILE'!$B$74="",-1E+99,'TO HOP NLAN'!D193/ncoc+IF(SUMSQ('TS-PILE'!$E$72:$E$91)=0,0,'TO HOP NLAN'!E193*'TS-PILE'!$E$74/SUMSQ('TS-PILE'!$E$72:$E$91))+IF(SUMSQ('TS-PILE'!$D$72:$D$91)=0,0,'TO HOP NLAN'!F193*'TS-PILE'!$D$74/SUMSQ('TS-PILE'!$D$72:$D$91))),IF('TS-PILE'!$B$75="",-1E+99,'TO HOP NLAN'!D193/ncoc+IF(SUMSQ('TS-PILE'!$E$72:$E$91)=0,0,'TO HOP NLAN'!E193*'TS-PILE'!$E$75/SUMSQ('TS-PILE'!$E$72:$E$91))+IF(SUMSQ('TS-PILE'!$D$72:$D$91)=0,0,'TO HOP NLAN'!F193*'TS-PILE'!$D$75/SUMSQ('TS-PILE'!$D$72:$D$91))),IF('TS-PILE'!$B$76="",-1E+99,'TO HOP NLAN'!D193/ncoc+IF(SUMSQ('TS-PILE'!$E$72:$E$91)=0,0,'TO HOP NLAN'!E193*'TS-PILE'!$E$76/SUMSQ('TS-PILE'!$E$72:$E$91))+IF(SUMSQ('TS-PILE'!$D$72:$D$91)=0,0,'TO HOP NLAN'!F193*'TS-PILE'!$D$76/SUMSQ('TS-PILE'!$D$72:$D$91))),IF('TS-PILE'!$B$77="",-1E+99,'TO HOP NLAN'!D193/ncoc+IF(SUMSQ('TS-PILE'!$E$72:$E$91)=0,0,'TO HOP NLAN'!E193*'TS-PILE'!$E$77/SUMSQ('TS-PILE'!$E$72:$E$91))+IF(SUMSQ('TS-PILE'!$D$72:$D$91)=0,0,'TO HOP NLAN'!F193*'TS-PILE'!$D$77/SUMSQ('TS-PILE'!$D$72:$D$91))),IF('TS-PILE'!$B$78="",-1E+99,'TO HOP NLAN'!D193/ncoc+IF(SUMSQ('TS-PILE'!$E$72:$E$91)=0,0,'TO HOP NLAN'!E193*'TS-PILE'!$E$78/SUMSQ('TS-PILE'!$E$72:$E$91))+IF(SUMSQ('TS-PILE'!$D$72:$D$91)=0,0,'TO HOP NLAN'!F193*'TS-PILE'!$D$78/SUMSQ('TS-PILE'!$D$72:$D$91))),IF('TS-PILE'!$B$79="",-1E+99,'TO HOP NLAN'!D193/ncoc+IF(SUMSQ('TS-PILE'!$E$72:$E$91)=0,0,'TO HOP NLAN'!E193*'TS-PILE'!$E$79/SUMSQ('TS-PILE'!$E$72:$E$91))+IF(SUMSQ('TS-PILE'!$D$72:$D$91)=0,0,'TO HOP NLAN'!F193*'TS-PILE'!$D$79/SUMSQ('TS-PILE'!$D$72:$D$91))),IF('TS-PILE'!$B$80="",-1E+99,'TO HOP NLAN'!D193/ncoc+IF(SUMSQ('TS-PILE'!$E$72:$E$91)=0,0,'TO HOP NLAN'!E193*'TS-PILE'!$E$80/SUMSQ('TS-PILE'!$E$72:$E$91))+IF(SUMSQ('TS-PILE'!$D$72:$D$91)=0,0,'TO HOP NLAN'!F193*'TS-PILE'!$D$80/SUMSQ('TS-PILE'!$D$72:$D$91))),IF('TS-PILE'!$B$81="",-1E+99,'TO HOP NLAN'!D193/ncoc+IF(SUMSQ('TS-PILE'!$E$72:$E$91)=0,0,'TO HOP NLAN'!E193*'TS-PILE'!$E$81/SUMSQ('TS-PILE'!$E$72:$E$91))+IF(SUMSQ('TS-PILE'!$D$72:$D$91)=0,0,'TO HOP NLAN'!F193*'TS-PILE'!$D$81/SUMSQ('TS-PILE'!$D$72:$D$91))),IF('TS-PILE'!$B$82="",-1E+99,'TO HOP NLAN'!D193/ncoc+IF(SUMSQ('TS-PILE'!$E$72:$E$91)=0,0,'TO HOP NLAN'!E193*'TS-PILE'!$E$82/SUMSQ('TS-PILE'!$E$72:$E$91))+IF(SUMSQ('TS-PILE'!$D$72:$D$91)=0,0,'TO HOP NLAN'!F193*'TS-PILE'!$D$82/SUMSQ('TS-PILE'!$D$72:$D$91))),IF('TS-PILE'!$B$83="",-1E+99,'TO HOP NLAN'!D193/ncoc+IF(SUMSQ('TS-PILE'!$E$72:$E$91)=0,0,'TO HOP NLAN'!E193*'TS-PILE'!$E$83/SUMSQ('TS-PILE'!$E$72:$E$91))+IF(SUMSQ('TS-PILE'!$D$72:$D$91)=0,0,'TO HOP NLAN'!F193*'TS-PILE'!$D$83/SUMSQ('TS-PILE'!$D$72:$D$91))),IF('TS-PILE'!$B$84="",-1E+99,'TO HOP NLAN'!D193/ncoc+IF(SUMSQ('TS-PILE'!$E$72:$E$91)=0,0,'TO HOP NLAN'!E193*'TS-PILE'!$E$84/SUMSQ('TS-PILE'!$E$72:$E$91))+IF(SUMSQ('TS-PILE'!$D$72:$D$91)=0,0,'TO HOP NLAN'!F193*'TS-PILE'!$D$84/SUMSQ('TS-PILE'!$D$72:$D$91))),IF('TS-PILE'!$B$85="",-1E+99,'TO HOP NLAN'!D193/ncoc+IF(SUMSQ('TS-PILE'!$E$72:$E$91)=0,0,'TO HOP NLAN'!E193*'TS-PILE'!$E$85/SUMSQ('TS-PILE'!$E$72:$E$91))+IF(SUMSQ('TS-PILE'!$D$72:$D$91)=0,0,'TO HOP NLAN'!F193*'TS-PILE'!$D$85/SUMSQ('TS-PILE'!$D$72:$D$91))),IF('TS-PILE'!$B$86="",-1E+99,'TO HOP NLAN'!D193/ncoc+IF(SUMSQ('TS-PILE'!$E$72:$E$91)=0,0,'TO HOP NLAN'!E193*'TS-PILE'!$E$86/SUMSQ('TS-PILE'!$E$72:$E$91))+IF(SUMSQ('TS-PILE'!$D$72:$D$91)=0,0,'TO HOP NLAN'!F193*'TS-PILE'!$D$86/SUMSQ('TS-PILE'!$D$72:$D$91))),IF('TS-PILE'!$B$87="",-1E+99,'TO HOP NLAN'!D193/ncoc+IF(SUMSQ('TS-PILE'!$E$72:$E$91)=0,0,'TO HOP NLAN'!E193*'TS-PILE'!$E$87/SUMSQ('TS-PILE'!$E$72:$E$91))+IF(SUMSQ('TS-PILE'!$D$72:$D$91)=0,0,'TO HOP NLAN'!F193*'TS-PILE'!$D$87/SUMSQ('TS-PILE'!$D$72:$D$91))),IF('TS-PILE'!$B$88="",-1E+99,'TO HOP NLAN'!D193/ncoc+IF(SUMSQ('TS-PILE'!$E$72:$E$91)=0,0,'TO HOP NLAN'!E193*'TS-PILE'!$E$88/SUMSQ('TS-PILE'!$E$72:$E$91))+IF(SUMSQ('TS-PILE'!$D$72:$D$91)=0,0,'TO HOP NLAN'!F193*'TS-PILE'!$D$88/SUMSQ('TS-PILE'!$D$72:$D$91))),IF('TS-PILE'!$B$89="",-1E+99,'TO HOP NLAN'!D193/ncoc+IF(SUMSQ('TS-PILE'!$E$72:$E$91)=0,0,'TO HOP NLAN'!E193*'TS-PILE'!$E$89/SUMSQ('TS-PILE'!$E$72:$E$91))+IF(SUMSQ('TS-PILE'!$D$72:$D$91)=0,0,'TO HOP NLAN'!F193*'TS-PILE'!$D$89/SUMSQ('TS-PILE'!$D$72:$D$91))),IF('TS-PILE'!$B$90="",-1E+99,'TO HOP NLAN'!D193/ncoc+IF(SUMSQ('TS-PILE'!$E$72:$E$91)=0,0,'TO HOP NLAN'!E193*'TS-PILE'!$E$90/SUMSQ('TS-PILE'!$E$72:$E$91))+IF(SUMSQ('TS-PILE'!$D$72:$D$91)=0,0,'TO HOP NLAN'!F193*'TS-PILE'!$D$90/SUMSQ('TS-PILE'!$D$72:$D$91))),IF('TS-PILE'!$B$91="",-1E+99,'TO HOP NLAN'!D193/ncoc+IF(SUMSQ('TS-PILE'!$E$72:$E$91)=0,0,'TO HOP NLAN'!E193*'TS-PILE'!$E$91/SUMSQ('TS-PILE'!$E$72:$E$91))+IF(SUMSQ('TS-PILE'!$D$72:$D$91)=0,0,'TO HOP NLAN'!F193*'TS-PILE'!$D$91/SUMSQ('TS-PILE'!$D$72:$D$91)))))</f>
        <v>0</v>
      </c>
      <c r="D193" s="58">
        <f>IF(A193="",0,MIN(IF('TS-PILE'!$B$72="",1E+99,'TO HOP NLAN'!D193/ncoc+IF(SUMSQ('TS-PILE'!$E$72:$E$91)=0,0,'TO HOP NLAN'!E193*'TS-PILE'!$E$72/SUMSQ('TS-PILE'!$E$72:$E$91))+IF(SUMSQ('TS-PILE'!$D$72:$D$91)=0,0,'TO HOP NLAN'!F193*'TS-PILE'!$D$72/SUMSQ('TS-PILE'!$D$72:$D$91))),IF('TS-PILE'!$B$73="",1E+99,'TO HOP NLAN'!D193/ncoc+IF(SUMSQ('TS-PILE'!$E$72:$E$91)=0,0,'TO HOP NLAN'!E193*'TS-PILE'!$E$73/SUMSQ('TS-PILE'!$E$72:$E$91))+IF(SUMSQ('TS-PILE'!$D$72:$D$91)=0,0,'TO HOP NLAN'!F193*'TS-PILE'!$D$73/SUMSQ('TS-PILE'!$D$72:$D$91))),IF('TS-PILE'!$B$74="",1E+99,'TO HOP NLAN'!D193/ncoc+IF(SUMSQ('TS-PILE'!$E$72:$E$91)=0,0,'TO HOP NLAN'!E193*'TS-PILE'!$E$74/SUMSQ('TS-PILE'!$E$72:$E$91))+IF(SUMSQ('TS-PILE'!$D$72:$D$91)=0,0,'TO HOP NLAN'!F193*'TS-PILE'!$D$74/SUMSQ('TS-PILE'!$D$72:$D$91))),IF('TS-PILE'!$B$75="",1E+99,'TO HOP NLAN'!D193/ncoc+IF(SUMSQ('TS-PILE'!$E$72:$E$91)=0,0,'TO HOP NLAN'!E193*'TS-PILE'!$E$75/SUMSQ('TS-PILE'!$E$72:$E$91))+IF(SUMSQ('TS-PILE'!$D$72:$D$91)=0,0,'TO HOP NLAN'!F193*'TS-PILE'!$D$75/SUMSQ('TS-PILE'!$D$72:$D$91))),IF('TS-PILE'!$B$76="",1E+99,'TO HOP NLAN'!D193/ncoc+IF(SUMSQ('TS-PILE'!$E$72:$E$91)=0,0,'TO HOP NLAN'!E193*'TS-PILE'!$E$76/SUMSQ('TS-PILE'!$E$72:$E$91))+IF(SUMSQ('TS-PILE'!$D$72:$D$91)=0,0,'TO HOP NLAN'!F193*'TS-PILE'!$D$76/SUMSQ('TS-PILE'!$D$72:$D$91))),IF('TS-PILE'!$B$77="",1E+99,'TO HOP NLAN'!D193/ncoc+IF(SUMSQ('TS-PILE'!$E$72:$E$91)=0,0,'TO HOP NLAN'!E193*'TS-PILE'!$E$77/SUMSQ('TS-PILE'!$E$72:$E$91))+IF(SUMSQ('TS-PILE'!$D$72:$D$91)=0,0,'TO HOP NLAN'!F193*'TS-PILE'!$D$77/SUMSQ('TS-PILE'!$D$72:$D$91))),IF('TS-PILE'!$B$78="",1E+99,'TO HOP NLAN'!D193/ncoc+IF(SUMSQ('TS-PILE'!$E$72:$E$91)=0,0,'TO HOP NLAN'!E193*'TS-PILE'!$E$78/SUMSQ('TS-PILE'!$E$72:$E$91))+IF(SUMSQ('TS-PILE'!$D$72:$D$91)=0,0,'TO HOP NLAN'!F193*'TS-PILE'!$D$78/SUMSQ('TS-PILE'!$D$72:$D$91))),IF('TS-PILE'!$B$79="",1E+99,'TO HOP NLAN'!D193/ncoc+IF(SUMSQ('TS-PILE'!$E$72:$E$91)=0,0,'TO HOP NLAN'!E193*'TS-PILE'!$E$79/SUMSQ('TS-PILE'!$E$72:$E$91))+IF(SUMSQ('TS-PILE'!$D$72:$D$91)=0,0,'TO HOP NLAN'!F193*'TS-PILE'!$D$79/SUMSQ('TS-PILE'!$D$72:$D$91))),IF('TS-PILE'!$B$80="",1E+99,'TO HOP NLAN'!D193/ncoc+IF(SUMSQ('TS-PILE'!$E$72:$E$91)=0,0,'TO HOP NLAN'!E193*'TS-PILE'!$E$80/SUMSQ('TS-PILE'!$E$72:$E$91))+IF(SUMSQ('TS-PILE'!$D$72:$D$91)=0,0,'TO HOP NLAN'!F193*'TS-PILE'!$D$80/SUMSQ('TS-PILE'!$D$72:$D$91))),IF('TS-PILE'!$B$81="",1E+99,'TO HOP NLAN'!D193/ncoc+IF(SUMSQ('TS-PILE'!$E$72:$E$91)=0,0,'TO HOP NLAN'!E193*'TS-PILE'!$E$81/SUMSQ('TS-PILE'!$E$72:$E$91))+IF(SUMSQ('TS-PILE'!$D$72:$D$91)=0,0,'TO HOP NLAN'!F193*'TS-PILE'!$D$81/SUMSQ('TS-PILE'!$D$72:$D$91))),IF('TS-PILE'!$B$82="",1E+99,'TO HOP NLAN'!D193/ncoc+IF(SUMSQ('TS-PILE'!$E$72:$E$91)=0,0,'TO HOP NLAN'!E193*'TS-PILE'!$E$82/SUMSQ('TS-PILE'!$E$72:$E$91))+IF(SUMSQ('TS-PILE'!$D$72:$D$91)=0,0,'TO HOP NLAN'!F193*'TS-PILE'!$D$82/SUMSQ('TS-PILE'!$D$72:$D$91))),IF('TS-PILE'!$B$83="",1E+99,'TO HOP NLAN'!D193/ncoc+IF(SUMSQ('TS-PILE'!$E$72:$E$91)=0,0,'TO HOP NLAN'!E193*'TS-PILE'!$E$83/SUMSQ('TS-PILE'!$E$72:$E$91))+IF(SUMSQ('TS-PILE'!$D$72:$D$91)=0,0,'TO HOP NLAN'!F193*'TS-PILE'!$D$83/SUMSQ('TS-PILE'!$D$72:$D$91))),IF('TS-PILE'!$B$84="",1E+99,'TO HOP NLAN'!D193/ncoc+IF(SUMSQ('TS-PILE'!$E$72:$E$91)=0,0,'TO HOP NLAN'!E193*'TS-PILE'!$E$84/SUMSQ('TS-PILE'!$E$72:$E$91))+IF(SUMSQ('TS-PILE'!$D$72:$D$91)=0,0,'TO HOP NLAN'!F193*'TS-PILE'!$D$84/SUMSQ('TS-PILE'!$D$72:$D$91))),IF('TS-PILE'!$B$85="",1E+99,'TO HOP NLAN'!D193/ncoc+IF(SUMSQ('TS-PILE'!$E$72:$E$91)=0,0,'TO HOP NLAN'!E193*'TS-PILE'!$E$85/SUMSQ('TS-PILE'!$E$72:$E$91))+IF(SUMSQ('TS-PILE'!$D$72:$D$91)=0,0,'TO HOP NLAN'!F193*'TS-PILE'!$D$85/SUMSQ('TS-PILE'!$D$72:$D$91))),IF('TS-PILE'!$B$86="",1E+99,'TO HOP NLAN'!D193/ncoc+IF(SUMSQ('TS-PILE'!$E$72:$E$91)=0,0,'TO HOP NLAN'!E193*'TS-PILE'!$E$86/SUMSQ('TS-PILE'!$E$72:$E$91))+IF(SUMSQ('TS-PILE'!$D$72:$D$91)=0,0,'TO HOP NLAN'!F193*'TS-PILE'!$D$86/SUMSQ('TS-PILE'!$D$72:$D$91))),IF('TS-PILE'!$B$87="",1E+99,'TO HOP NLAN'!D193/ncoc+IF(SUMSQ('TS-PILE'!$E$72:$E$91)=0,0,'TO HOP NLAN'!E193*'TS-PILE'!$E$87/SUMSQ('TS-PILE'!$E$72:$E$91))+IF(SUMSQ('TS-PILE'!$D$72:$D$91)=0,0,'TO HOP NLAN'!F193*'TS-PILE'!$D$87/SUMSQ('TS-PILE'!$D$72:$D$91))),IF('TS-PILE'!$B$88="",1E+99,'TO HOP NLAN'!D193/ncoc+IF(SUMSQ('TS-PILE'!$E$72:$E$91)=0,0,'TO HOP NLAN'!E193*'TS-PILE'!$E$88/SUMSQ('TS-PILE'!$E$72:$E$91))+IF(SUMSQ('TS-PILE'!$D$72:$D$91)=0,0,'TO HOP NLAN'!F193*'TS-PILE'!$D$88/SUMSQ('TS-PILE'!$D$72:$D$91))),IF('TS-PILE'!$B$89="",1E+99,'TO HOP NLAN'!D193/ncoc+IF(SUMSQ('TS-PILE'!$E$72:$E$91)=0,0,'TO HOP NLAN'!E193*'TS-PILE'!$E$89/SUMSQ('TS-PILE'!$E$72:$E$91))+IF(SUMSQ('TS-PILE'!$D$72:$D$91)=0,0,'TO HOP NLAN'!F193*'TS-PILE'!$D$89/SUMSQ('TS-PILE'!$D$72:$D$91))),IF('TS-PILE'!$B$90="",1E+99,'TO HOP NLAN'!D193/ncoc+IF(SUMSQ('TS-PILE'!$E$72:$E$91)=0,0,'TO HOP NLAN'!E193*'TS-PILE'!$E$90/SUMSQ('TS-PILE'!$E$72:$E$91))+IF(SUMSQ('TS-PILE'!$D$72:$D$91)=0,0,'TO HOP NLAN'!F193*'TS-PILE'!$D$90/SUMSQ('TS-PILE'!$D$72:$D$91))),IF('TS-PILE'!$B$91="",1E+99,'TO HOP NLAN'!D193/ncoc+IF(SUMSQ('TS-PILE'!$E$72:$E$91)=0,0,'TO HOP NLAN'!E193*'TS-PILE'!$E$91/SUMSQ('TS-PILE'!$E$72:$E$91))+IF(SUMSQ('TS-PILE'!$D$72:$D$91)=0,0,'TO HOP NLAN'!F193*'TS-PILE'!$D$91/SUMSQ('TS-PILE'!$D$72:$D$91)))))</f>
        <v>0</v>
      </c>
      <c r="E193" s="58">
        <f t="shared" si="8"/>
        <v>-9.9999999999999997E+98</v>
      </c>
      <c r="F193" s="58">
        <f t="shared" si="9"/>
        <v>9.9999999999999997E+98</v>
      </c>
      <c r="G193" s="58">
        <f t="shared" si="10"/>
        <v>-9.9999999999999997E+98</v>
      </c>
      <c r="H193" s="58">
        <f t="shared" si="11"/>
        <v>9.9999999999999997E+98</v>
      </c>
    </row>
    <row r="194" spans="1:8" x14ac:dyDescent="0.3">
      <c r="A194" s="42" t="str">
        <f>'TO HOP NLAN'!A194</f>
        <v/>
      </c>
      <c r="B194" s="42" t="str">
        <f>'TO HOP NLAN'!L194</f>
        <v>STRENGTH</v>
      </c>
      <c r="C194" s="58">
        <f>IF(A194="",0,MAX(IF('TS-PILE'!$B$72="",-1E+99,'TO HOP NLAN'!D194/ncoc+IF(SUMSQ('TS-PILE'!$E$72:$E$91)=0,0,'TO HOP NLAN'!E194*'TS-PILE'!$E$72/SUMSQ('TS-PILE'!$E$72:$E$91))+IF(SUMSQ('TS-PILE'!$D$72:$D$91)=0,0,'TO HOP NLAN'!F194*'TS-PILE'!$D$72/SUMSQ('TS-PILE'!$D$72:$D$91))),IF('TS-PILE'!$B$73="",-1E+99,'TO HOP NLAN'!D194/ncoc+IF(SUMSQ('TS-PILE'!$E$72:$E$91)=0,0,'TO HOP NLAN'!E194*'TS-PILE'!$E$73/SUMSQ('TS-PILE'!$E$72:$E$91))+IF(SUMSQ('TS-PILE'!$D$72:$D$91)=0,0,'TO HOP NLAN'!F194*'TS-PILE'!$D$73/SUMSQ('TS-PILE'!$D$72:$D$91))),IF('TS-PILE'!$B$74="",-1E+99,'TO HOP NLAN'!D194/ncoc+IF(SUMSQ('TS-PILE'!$E$72:$E$91)=0,0,'TO HOP NLAN'!E194*'TS-PILE'!$E$74/SUMSQ('TS-PILE'!$E$72:$E$91))+IF(SUMSQ('TS-PILE'!$D$72:$D$91)=0,0,'TO HOP NLAN'!F194*'TS-PILE'!$D$74/SUMSQ('TS-PILE'!$D$72:$D$91))),IF('TS-PILE'!$B$75="",-1E+99,'TO HOP NLAN'!D194/ncoc+IF(SUMSQ('TS-PILE'!$E$72:$E$91)=0,0,'TO HOP NLAN'!E194*'TS-PILE'!$E$75/SUMSQ('TS-PILE'!$E$72:$E$91))+IF(SUMSQ('TS-PILE'!$D$72:$D$91)=0,0,'TO HOP NLAN'!F194*'TS-PILE'!$D$75/SUMSQ('TS-PILE'!$D$72:$D$91))),IF('TS-PILE'!$B$76="",-1E+99,'TO HOP NLAN'!D194/ncoc+IF(SUMSQ('TS-PILE'!$E$72:$E$91)=0,0,'TO HOP NLAN'!E194*'TS-PILE'!$E$76/SUMSQ('TS-PILE'!$E$72:$E$91))+IF(SUMSQ('TS-PILE'!$D$72:$D$91)=0,0,'TO HOP NLAN'!F194*'TS-PILE'!$D$76/SUMSQ('TS-PILE'!$D$72:$D$91))),IF('TS-PILE'!$B$77="",-1E+99,'TO HOP NLAN'!D194/ncoc+IF(SUMSQ('TS-PILE'!$E$72:$E$91)=0,0,'TO HOP NLAN'!E194*'TS-PILE'!$E$77/SUMSQ('TS-PILE'!$E$72:$E$91))+IF(SUMSQ('TS-PILE'!$D$72:$D$91)=0,0,'TO HOP NLAN'!F194*'TS-PILE'!$D$77/SUMSQ('TS-PILE'!$D$72:$D$91))),IF('TS-PILE'!$B$78="",-1E+99,'TO HOP NLAN'!D194/ncoc+IF(SUMSQ('TS-PILE'!$E$72:$E$91)=0,0,'TO HOP NLAN'!E194*'TS-PILE'!$E$78/SUMSQ('TS-PILE'!$E$72:$E$91))+IF(SUMSQ('TS-PILE'!$D$72:$D$91)=0,0,'TO HOP NLAN'!F194*'TS-PILE'!$D$78/SUMSQ('TS-PILE'!$D$72:$D$91))),IF('TS-PILE'!$B$79="",-1E+99,'TO HOP NLAN'!D194/ncoc+IF(SUMSQ('TS-PILE'!$E$72:$E$91)=0,0,'TO HOP NLAN'!E194*'TS-PILE'!$E$79/SUMSQ('TS-PILE'!$E$72:$E$91))+IF(SUMSQ('TS-PILE'!$D$72:$D$91)=0,0,'TO HOP NLAN'!F194*'TS-PILE'!$D$79/SUMSQ('TS-PILE'!$D$72:$D$91))),IF('TS-PILE'!$B$80="",-1E+99,'TO HOP NLAN'!D194/ncoc+IF(SUMSQ('TS-PILE'!$E$72:$E$91)=0,0,'TO HOP NLAN'!E194*'TS-PILE'!$E$80/SUMSQ('TS-PILE'!$E$72:$E$91))+IF(SUMSQ('TS-PILE'!$D$72:$D$91)=0,0,'TO HOP NLAN'!F194*'TS-PILE'!$D$80/SUMSQ('TS-PILE'!$D$72:$D$91))),IF('TS-PILE'!$B$81="",-1E+99,'TO HOP NLAN'!D194/ncoc+IF(SUMSQ('TS-PILE'!$E$72:$E$91)=0,0,'TO HOP NLAN'!E194*'TS-PILE'!$E$81/SUMSQ('TS-PILE'!$E$72:$E$91))+IF(SUMSQ('TS-PILE'!$D$72:$D$91)=0,0,'TO HOP NLAN'!F194*'TS-PILE'!$D$81/SUMSQ('TS-PILE'!$D$72:$D$91))),IF('TS-PILE'!$B$82="",-1E+99,'TO HOP NLAN'!D194/ncoc+IF(SUMSQ('TS-PILE'!$E$72:$E$91)=0,0,'TO HOP NLAN'!E194*'TS-PILE'!$E$82/SUMSQ('TS-PILE'!$E$72:$E$91))+IF(SUMSQ('TS-PILE'!$D$72:$D$91)=0,0,'TO HOP NLAN'!F194*'TS-PILE'!$D$82/SUMSQ('TS-PILE'!$D$72:$D$91))),IF('TS-PILE'!$B$83="",-1E+99,'TO HOP NLAN'!D194/ncoc+IF(SUMSQ('TS-PILE'!$E$72:$E$91)=0,0,'TO HOP NLAN'!E194*'TS-PILE'!$E$83/SUMSQ('TS-PILE'!$E$72:$E$91))+IF(SUMSQ('TS-PILE'!$D$72:$D$91)=0,0,'TO HOP NLAN'!F194*'TS-PILE'!$D$83/SUMSQ('TS-PILE'!$D$72:$D$91))),IF('TS-PILE'!$B$84="",-1E+99,'TO HOP NLAN'!D194/ncoc+IF(SUMSQ('TS-PILE'!$E$72:$E$91)=0,0,'TO HOP NLAN'!E194*'TS-PILE'!$E$84/SUMSQ('TS-PILE'!$E$72:$E$91))+IF(SUMSQ('TS-PILE'!$D$72:$D$91)=0,0,'TO HOP NLAN'!F194*'TS-PILE'!$D$84/SUMSQ('TS-PILE'!$D$72:$D$91))),IF('TS-PILE'!$B$85="",-1E+99,'TO HOP NLAN'!D194/ncoc+IF(SUMSQ('TS-PILE'!$E$72:$E$91)=0,0,'TO HOP NLAN'!E194*'TS-PILE'!$E$85/SUMSQ('TS-PILE'!$E$72:$E$91))+IF(SUMSQ('TS-PILE'!$D$72:$D$91)=0,0,'TO HOP NLAN'!F194*'TS-PILE'!$D$85/SUMSQ('TS-PILE'!$D$72:$D$91))),IF('TS-PILE'!$B$86="",-1E+99,'TO HOP NLAN'!D194/ncoc+IF(SUMSQ('TS-PILE'!$E$72:$E$91)=0,0,'TO HOP NLAN'!E194*'TS-PILE'!$E$86/SUMSQ('TS-PILE'!$E$72:$E$91))+IF(SUMSQ('TS-PILE'!$D$72:$D$91)=0,0,'TO HOP NLAN'!F194*'TS-PILE'!$D$86/SUMSQ('TS-PILE'!$D$72:$D$91))),IF('TS-PILE'!$B$87="",-1E+99,'TO HOP NLAN'!D194/ncoc+IF(SUMSQ('TS-PILE'!$E$72:$E$91)=0,0,'TO HOP NLAN'!E194*'TS-PILE'!$E$87/SUMSQ('TS-PILE'!$E$72:$E$91))+IF(SUMSQ('TS-PILE'!$D$72:$D$91)=0,0,'TO HOP NLAN'!F194*'TS-PILE'!$D$87/SUMSQ('TS-PILE'!$D$72:$D$91))),IF('TS-PILE'!$B$88="",-1E+99,'TO HOP NLAN'!D194/ncoc+IF(SUMSQ('TS-PILE'!$E$72:$E$91)=0,0,'TO HOP NLAN'!E194*'TS-PILE'!$E$88/SUMSQ('TS-PILE'!$E$72:$E$91))+IF(SUMSQ('TS-PILE'!$D$72:$D$91)=0,0,'TO HOP NLAN'!F194*'TS-PILE'!$D$88/SUMSQ('TS-PILE'!$D$72:$D$91))),IF('TS-PILE'!$B$89="",-1E+99,'TO HOP NLAN'!D194/ncoc+IF(SUMSQ('TS-PILE'!$E$72:$E$91)=0,0,'TO HOP NLAN'!E194*'TS-PILE'!$E$89/SUMSQ('TS-PILE'!$E$72:$E$91))+IF(SUMSQ('TS-PILE'!$D$72:$D$91)=0,0,'TO HOP NLAN'!F194*'TS-PILE'!$D$89/SUMSQ('TS-PILE'!$D$72:$D$91))),IF('TS-PILE'!$B$90="",-1E+99,'TO HOP NLAN'!D194/ncoc+IF(SUMSQ('TS-PILE'!$E$72:$E$91)=0,0,'TO HOP NLAN'!E194*'TS-PILE'!$E$90/SUMSQ('TS-PILE'!$E$72:$E$91))+IF(SUMSQ('TS-PILE'!$D$72:$D$91)=0,0,'TO HOP NLAN'!F194*'TS-PILE'!$D$90/SUMSQ('TS-PILE'!$D$72:$D$91))),IF('TS-PILE'!$B$91="",-1E+99,'TO HOP NLAN'!D194/ncoc+IF(SUMSQ('TS-PILE'!$E$72:$E$91)=0,0,'TO HOP NLAN'!E194*'TS-PILE'!$E$91/SUMSQ('TS-PILE'!$E$72:$E$91))+IF(SUMSQ('TS-PILE'!$D$72:$D$91)=0,0,'TO HOP NLAN'!F194*'TS-PILE'!$D$91/SUMSQ('TS-PILE'!$D$72:$D$91)))))</f>
        <v>0</v>
      </c>
      <c r="D194" s="58">
        <f>IF(A194="",0,MIN(IF('TS-PILE'!$B$72="",1E+99,'TO HOP NLAN'!D194/ncoc+IF(SUMSQ('TS-PILE'!$E$72:$E$91)=0,0,'TO HOP NLAN'!E194*'TS-PILE'!$E$72/SUMSQ('TS-PILE'!$E$72:$E$91))+IF(SUMSQ('TS-PILE'!$D$72:$D$91)=0,0,'TO HOP NLAN'!F194*'TS-PILE'!$D$72/SUMSQ('TS-PILE'!$D$72:$D$91))),IF('TS-PILE'!$B$73="",1E+99,'TO HOP NLAN'!D194/ncoc+IF(SUMSQ('TS-PILE'!$E$72:$E$91)=0,0,'TO HOP NLAN'!E194*'TS-PILE'!$E$73/SUMSQ('TS-PILE'!$E$72:$E$91))+IF(SUMSQ('TS-PILE'!$D$72:$D$91)=0,0,'TO HOP NLAN'!F194*'TS-PILE'!$D$73/SUMSQ('TS-PILE'!$D$72:$D$91))),IF('TS-PILE'!$B$74="",1E+99,'TO HOP NLAN'!D194/ncoc+IF(SUMSQ('TS-PILE'!$E$72:$E$91)=0,0,'TO HOP NLAN'!E194*'TS-PILE'!$E$74/SUMSQ('TS-PILE'!$E$72:$E$91))+IF(SUMSQ('TS-PILE'!$D$72:$D$91)=0,0,'TO HOP NLAN'!F194*'TS-PILE'!$D$74/SUMSQ('TS-PILE'!$D$72:$D$91))),IF('TS-PILE'!$B$75="",1E+99,'TO HOP NLAN'!D194/ncoc+IF(SUMSQ('TS-PILE'!$E$72:$E$91)=0,0,'TO HOP NLAN'!E194*'TS-PILE'!$E$75/SUMSQ('TS-PILE'!$E$72:$E$91))+IF(SUMSQ('TS-PILE'!$D$72:$D$91)=0,0,'TO HOP NLAN'!F194*'TS-PILE'!$D$75/SUMSQ('TS-PILE'!$D$72:$D$91))),IF('TS-PILE'!$B$76="",1E+99,'TO HOP NLAN'!D194/ncoc+IF(SUMSQ('TS-PILE'!$E$72:$E$91)=0,0,'TO HOP NLAN'!E194*'TS-PILE'!$E$76/SUMSQ('TS-PILE'!$E$72:$E$91))+IF(SUMSQ('TS-PILE'!$D$72:$D$91)=0,0,'TO HOP NLAN'!F194*'TS-PILE'!$D$76/SUMSQ('TS-PILE'!$D$72:$D$91))),IF('TS-PILE'!$B$77="",1E+99,'TO HOP NLAN'!D194/ncoc+IF(SUMSQ('TS-PILE'!$E$72:$E$91)=0,0,'TO HOP NLAN'!E194*'TS-PILE'!$E$77/SUMSQ('TS-PILE'!$E$72:$E$91))+IF(SUMSQ('TS-PILE'!$D$72:$D$91)=0,0,'TO HOP NLAN'!F194*'TS-PILE'!$D$77/SUMSQ('TS-PILE'!$D$72:$D$91))),IF('TS-PILE'!$B$78="",1E+99,'TO HOP NLAN'!D194/ncoc+IF(SUMSQ('TS-PILE'!$E$72:$E$91)=0,0,'TO HOP NLAN'!E194*'TS-PILE'!$E$78/SUMSQ('TS-PILE'!$E$72:$E$91))+IF(SUMSQ('TS-PILE'!$D$72:$D$91)=0,0,'TO HOP NLAN'!F194*'TS-PILE'!$D$78/SUMSQ('TS-PILE'!$D$72:$D$91))),IF('TS-PILE'!$B$79="",1E+99,'TO HOP NLAN'!D194/ncoc+IF(SUMSQ('TS-PILE'!$E$72:$E$91)=0,0,'TO HOP NLAN'!E194*'TS-PILE'!$E$79/SUMSQ('TS-PILE'!$E$72:$E$91))+IF(SUMSQ('TS-PILE'!$D$72:$D$91)=0,0,'TO HOP NLAN'!F194*'TS-PILE'!$D$79/SUMSQ('TS-PILE'!$D$72:$D$91))),IF('TS-PILE'!$B$80="",1E+99,'TO HOP NLAN'!D194/ncoc+IF(SUMSQ('TS-PILE'!$E$72:$E$91)=0,0,'TO HOP NLAN'!E194*'TS-PILE'!$E$80/SUMSQ('TS-PILE'!$E$72:$E$91))+IF(SUMSQ('TS-PILE'!$D$72:$D$91)=0,0,'TO HOP NLAN'!F194*'TS-PILE'!$D$80/SUMSQ('TS-PILE'!$D$72:$D$91))),IF('TS-PILE'!$B$81="",1E+99,'TO HOP NLAN'!D194/ncoc+IF(SUMSQ('TS-PILE'!$E$72:$E$91)=0,0,'TO HOP NLAN'!E194*'TS-PILE'!$E$81/SUMSQ('TS-PILE'!$E$72:$E$91))+IF(SUMSQ('TS-PILE'!$D$72:$D$91)=0,0,'TO HOP NLAN'!F194*'TS-PILE'!$D$81/SUMSQ('TS-PILE'!$D$72:$D$91))),IF('TS-PILE'!$B$82="",1E+99,'TO HOP NLAN'!D194/ncoc+IF(SUMSQ('TS-PILE'!$E$72:$E$91)=0,0,'TO HOP NLAN'!E194*'TS-PILE'!$E$82/SUMSQ('TS-PILE'!$E$72:$E$91))+IF(SUMSQ('TS-PILE'!$D$72:$D$91)=0,0,'TO HOP NLAN'!F194*'TS-PILE'!$D$82/SUMSQ('TS-PILE'!$D$72:$D$91))),IF('TS-PILE'!$B$83="",1E+99,'TO HOP NLAN'!D194/ncoc+IF(SUMSQ('TS-PILE'!$E$72:$E$91)=0,0,'TO HOP NLAN'!E194*'TS-PILE'!$E$83/SUMSQ('TS-PILE'!$E$72:$E$91))+IF(SUMSQ('TS-PILE'!$D$72:$D$91)=0,0,'TO HOP NLAN'!F194*'TS-PILE'!$D$83/SUMSQ('TS-PILE'!$D$72:$D$91))),IF('TS-PILE'!$B$84="",1E+99,'TO HOP NLAN'!D194/ncoc+IF(SUMSQ('TS-PILE'!$E$72:$E$91)=0,0,'TO HOP NLAN'!E194*'TS-PILE'!$E$84/SUMSQ('TS-PILE'!$E$72:$E$91))+IF(SUMSQ('TS-PILE'!$D$72:$D$91)=0,0,'TO HOP NLAN'!F194*'TS-PILE'!$D$84/SUMSQ('TS-PILE'!$D$72:$D$91))),IF('TS-PILE'!$B$85="",1E+99,'TO HOP NLAN'!D194/ncoc+IF(SUMSQ('TS-PILE'!$E$72:$E$91)=0,0,'TO HOP NLAN'!E194*'TS-PILE'!$E$85/SUMSQ('TS-PILE'!$E$72:$E$91))+IF(SUMSQ('TS-PILE'!$D$72:$D$91)=0,0,'TO HOP NLAN'!F194*'TS-PILE'!$D$85/SUMSQ('TS-PILE'!$D$72:$D$91))),IF('TS-PILE'!$B$86="",1E+99,'TO HOP NLAN'!D194/ncoc+IF(SUMSQ('TS-PILE'!$E$72:$E$91)=0,0,'TO HOP NLAN'!E194*'TS-PILE'!$E$86/SUMSQ('TS-PILE'!$E$72:$E$91))+IF(SUMSQ('TS-PILE'!$D$72:$D$91)=0,0,'TO HOP NLAN'!F194*'TS-PILE'!$D$86/SUMSQ('TS-PILE'!$D$72:$D$91))),IF('TS-PILE'!$B$87="",1E+99,'TO HOP NLAN'!D194/ncoc+IF(SUMSQ('TS-PILE'!$E$72:$E$91)=0,0,'TO HOP NLAN'!E194*'TS-PILE'!$E$87/SUMSQ('TS-PILE'!$E$72:$E$91))+IF(SUMSQ('TS-PILE'!$D$72:$D$91)=0,0,'TO HOP NLAN'!F194*'TS-PILE'!$D$87/SUMSQ('TS-PILE'!$D$72:$D$91))),IF('TS-PILE'!$B$88="",1E+99,'TO HOP NLAN'!D194/ncoc+IF(SUMSQ('TS-PILE'!$E$72:$E$91)=0,0,'TO HOP NLAN'!E194*'TS-PILE'!$E$88/SUMSQ('TS-PILE'!$E$72:$E$91))+IF(SUMSQ('TS-PILE'!$D$72:$D$91)=0,0,'TO HOP NLAN'!F194*'TS-PILE'!$D$88/SUMSQ('TS-PILE'!$D$72:$D$91))),IF('TS-PILE'!$B$89="",1E+99,'TO HOP NLAN'!D194/ncoc+IF(SUMSQ('TS-PILE'!$E$72:$E$91)=0,0,'TO HOP NLAN'!E194*'TS-PILE'!$E$89/SUMSQ('TS-PILE'!$E$72:$E$91))+IF(SUMSQ('TS-PILE'!$D$72:$D$91)=0,0,'TO HOP NLAN'!F194*'TS-PILE'!$D$89/SUMSQ('TS-PILE'!$D$72:$D$91))),IF('TS-PILE'!$B$90="",1E+99,'TO HOP NLAN'!D194/ncoc+IF(SUMSQ('TS-PILE'!$E$72:$E$91)=0,0,'TO HOP NLAN'!E194*'TS-PILE'!$E$90/SUMSQ('TS-PILE'!$E$72:$E$91))+IF(SUMSQ('TS-PILE'!$D$72:$D$91)=0,0,'TO HOP NLAN'!F194*'TS-PILE'!$D$90/SUMSQ('TS-PILE'!$D$72:$D$91))),IF('TS-PILE'!$B$91="",1E+99,'TO HOP NLAN'!D194/ncoc+IF(SUMSQ('TS-PILE'!$E$72:$E$91)=0,0,'TO HOP NLAN'!E194*'TS-PILE'!$E$91/SUMSQ('TS-PILE'!$E$72:$E$91))+IF(SUMSQ('TS-PILE'!$D$72:$D$91)=0,0,'TO HOP NLAN'!F194*'TS-PILE'!$D$91/SUMSQ('TS-PILE'!$D$72:$D$91)))))</f>
        <v>0</v>
      </c>
      <c r="E194" s="58">
        <f t="shared" si="8"/>
        <v>-9.9999999999999997E+98</v>
      </c>
      <c r="F194" s="58">
        <f t="shared" si="9"/>
        <v>9.9999999999999997E+98</v>
      </c>
      <c r="G194" s="58">
        <f t="shared" si="10"/>
        <v>-9.9999999999999997E+98</v>
      </c>
      <c r="H194" s="58">
        <f t="shared" si="11"/>
        <v>9.9999999999999997E+98</v>
      </c>
    </row>
    <row r="195" spans="1:8" x14ac:dyDescent="0.3">
      <c r="A195" s="42" t="str">
        <f>'TO HOP NLAN'!A195</f>
        <v/>
      </c>
      <c r="B195" s="42" t="str">
        <f>'TO HOP NLAN'!L195</f>
        <v>STRENGTH</v>
      </c>
      <c r="C195" s="58">
        <f>IF(A195="",0,MAX(IF('TS-PILE'!$B$72="",-1E+99,'TO HOP NLAN'!D195/ncoc+IF(SUMSQ('TS-PILE'!$E$72:$E$91)=0,0,'TO HOP NLAN'!E195*'TS-PILE'!$E$72/SUMSQ('TS-PILE'!$E$72:$E$91))+IF(SUMSQ('TS-PILE'!$D$72:$D$91)=0,0,'TO HOP NLAN'!F195*'TS-PILE'!$D$72/SUMSQ('TS-PILE'!$D$72:$D$91))),IF('TS-PILE'!$B$73="",-1E+99,'TO HOP NLAN'!D195/ncoc+IF(SUMSQ('TS-PILE'!$E$72:$E$91)=0,0,'TO HOP NLAN'!E195*'TS-PILE'!$E$73/SUMSQ('TS-PILE'!$E$72:$E$91))+IF(SUMSQ('TS-PILE'!$D$72:$D$91)=0,0,'TO HOP NLAN'!F195*'TS-PILE'!$D$73/SUMSQ('TS-PILE'!$D$72:$D$91))),IF('TS-PILE'!$B$74="",-1E+99,'TO HOP NLAN'!D195/ncoc+IF(SUMSQ('TS-PILE'!$E$72:$E$91)=0,0,'TO HOP NLAN'!E195*'TS-PILE'!$E$74/SUMSQ('TS-PILE'!$E$72:$E$91))+IF(SUMSQ('TS-PILE'!$D$72:$D$91)=0,0,'TO HOP NLAN'!F195*'TS-PILE'!$D$74/SUMSQ('TS-PILE'!$D$72:$D$91))),IF('TS-PILE'!$B$75="",-1E+99,'TO HOP NLAN'!D195/ncoc+IF(SUMSQ('TS-PILE'!$E$72:$E$91)=0,0,'TO HOP NLAN'!E195*'TS-PILE'!$E$75/SUMSQ('TS-PILE'!$E$72:$E$91))+IF(SUMSQ('TS-PILE'!$D$72:$D$91)=0,0,'TO HOP NLAN'!F195*'TS-PILE'!$D$75/SUMSQ('TS-PILE'!$D$72:$D$91))),IF('TS-PILE'!$B$76="",-1E+99,'TO HOP NLAN'!D195/ncoc+IF(SUMSQ('TS-PILE'!$E$72:$E$91)=0,0,'TO HOP NLAN'!E195*'TS-PILE'!$E$76/SUMSQ('TS-PILE'!$E$72:$E$91))+IF(SUMSQ('TS-PILE'!$D$72:$D$91)=0,0,'TO HOP NLAN'!F195*'TS-PILE'!$D$76/SUMSQ('TS-PILE'!$D$72:$D$91))),IF('TS-PILE'!$B$77="",-1E+99,'TO HOP NLAN'!D195/ncoc+IF(SUMSQ('TS-PILE'!$E$72:$E$91)=0,0,'TO HOP NLAN'!E195*'TS-PILE'!$E$77/SUMSQ('TS-PILE'!$E$72:$E$91))+IF(SUMSQ('TS-PILE'!$D$72:$D$91)=0,0,'TO HOP NLAN'!F195*'TS-PILE'!$D$77/SUMSQ('TS-PILE'!$D$72:$D$91))),IF('TS-PILE'!$B$78="",-1E+99,'TO HOP NLAN'!D195/ncoc+IF(SUMSQ('TS-PILE'!$E$72:$E$91)=0,0,'TO HOP NLAN'!E195*'TS-PILE'!$E$78/SUMSQ('TS-PILE'!$E$72:$E$91))+IF(SUMSQ('TS-PILE'!$D$72:$D$91)=0,0,'TO HOP NLAN'!F195*'TS-PILE'!$D$78/SUMSQ('TS-PILE'!$D$72:$D$91))),IF('TS-PILE'!$B$79="",-1E+99,'TO HOP NLAN'!D195/ncoc+IF(SUMSQ('TS-PILE'!$E$72:$E$91)=0,0,'TO HOP NLAN'!E195*'TS-PILE'!$E$79/SUMSQ('TS-PILE'!$E$72:$E$91))+IF(SUMSQ('TS-PILE'!$D$72:$D$91)=0,0,'TO HOP NLAN'!F195*'TS-PILE'!$D$79/SUMSQ('TS-PILE'!$D$72:$D$91))),IF('TS-PILE'!$B$80="",-1E+99,'TO HOP NLAN'!D195/ncoc+IF(SUMSQ('TS-PILE'!$E$72:$E$91)=0,0,'TO HOP NLAN'!E195*'TS-PILE'!$E$80/SUMSQ('TS-PILE'!$E$72:$E$91))+IF(SUMSQ('TS-PILE'!$D$72:$D$91)=0,0,'TO HOP NLAN'!F195*'TS-PILE'!$D$80/SUMSQ('TS-PILE'!$D$72:$D$91))),IF('TS-PILE'!$B$81="",-1E+99,'TO HOP NLAN'!D195/ncoc+IF(SUMSQ('TS-PILE'!$E$72:$E$91)=0,0,'TO HOP NLAN'!E195*'TS-PILE'!$E$81/SUMSQ('TS-PILE'!$E$72:$E$91))+IF(SUMSQ('TS-PILE'!$D$72:$D$91)=0,0,'TO HOP NLAN'!F195*'TS-PILE'!$D$81/SUMSQ('TS-PILE'!$D$72:$D$91))),IF('TS-PILE'!$B$82="",-1E+99,'TO HOP NLAN'!D195/ncoc+IF(SUMSQ('TS-PILE'!$E$72:$E$91)=0,0,'TO HOP NLAN'!E195*'TS-PILE'!$E$82/SUMSQ('TS-PILE'!$E$72:$E$91))+IF(SUMSQ('TS-PILE'!$D$72:$D$91)=0,0,'TO HOP NLAN'!F195*'TS-PILE'!$D$82/SUMSQ('TS-PILE'!$D$72:$D$91))),IF('TS-PILE'!$B$83="",-1E+99,'TO HOP NLAN'!D195/ncoc+IF(SUMSQ('TS-PILE'!$E$72:$E$91)=0,0,'TO HOP NLAN'!E195*'TS-PILE'!$E$83/SUMSQ('TS-PILE'!$E$72:$E$91))+IF(SUMSQ('TS-PILE'!$D$72:$D$91)=0,0,'TO HOP NLAN'!F195*'TS-PILE'!$D$83/SUMSQ('TS-PILE'!$D$72:$D$91))),IF('TS-PILE'!$B$84="",-1E+99,'TO HOP NLAN'!D195/ncoc+IF(SUMSQ('TS-PILE'!$E$72:$E$91)=0,0,'TO HOP NLAN'!E195*'TS-PILE'!$E$84/SUMSQ('TS-PILE'!$E$72:$E$91))+IF(SUMSQ('TS-PILE'!$D$72:$D$91)=0,0,'TO HOP NLAN'!F195*'TS-PILE'!$D$84/SUMSQ('TS-PILE'!$D$72:$D$91))),IF('TS-PILE'!$B$85="",-1E+99,'TO HOP NLAN'!D195/ncoc+IF(SUMSQ('TS-PILE'!$E$72:$E$91)=0,0,'TO HOP NLAN'!E195*'TS-PILE'!$E$85/SUMSQ('TS-PILE'!$E$72:$E$91))+IF(SUMSQ('TS-PILE'!$D$72:$D$91)=0,0,'TO HOP NLAN'!F195*'TS-PILE'!$D$85/SUMSQ('TS-PILE'!$D$72:$D$91))),IF('TS-PILE'!$B$86="",-1E+99,'TO HOP NLAN'!D195/ncoc+IF(SUMSQ('TS-PILE'!$E$72:$E$91)=0,0,'TO HOP NLAN'!E195*'TS-PILE'!$E$86/SUMSQ('TS-PILE'!$E$72:$E$91))+IF(SUMSQ('TS-PILE'!$D$72:$D$91)=0,0,'TO HOP NLAN'!F195*'TS-PILE'!$D$86/SUMSQ('TS-PILE'!$D$72:$D$91))),IF('TS-PILE'!$B$87="",-1E+99,'TO HOP NLAN'!D195/ncoc+IF(SUMSQ('TS-PILE'!$E$72:$E$91)=0,0,'TO HOP NLAN'!E195*'TS-PILE'!$E$87/SUMSQ('TS-PILE'!$E$72:$E$91))+IF(SUMSQ('TS-PILE'!$D$72:$D$91)=0,0,'TO HOP NLAN'!F195*'TS-PILE'!$D$87/SUMSQ('TS-PILE'!$D$72:$D$91))),IF('TS-PILE'!$B$88="",-1E+99,'TO HOP NLAN'!D195/ncoc+IF(SUMSQ('TS-PILE'!$E$72:$E$91)=0,0,'TO HOP NLAN'!E195*'TS-PILE'!$E$88/SUMSQ('TS-PILE'!$E$72:$E$91))+IF(SUMSQ('TS-PILE'!$D$72:$D$91)=0,0,'TO HOP NLAN'!F195*'TS-PILE'!$D$88/SUMSQ('TS-PILE'!$D$72:$D$91))),IF('TS-PILE'!$B$89="",-1E+99,'TO HOP NLAN'!D195/ncoc+IF(SUMSQ('TS-PILE'!$E$72:$E$91)=0,0,'TO HOP NLAN'!E195*'TS-PILE'!$E$89/SUMSQ('TS-PILE'!$E$72:$E$91))+IF(SUMSQ('TS-PILE'!$D$72:$D$91)=0,0,'TO HOP NLAN'!F195*'TS-PILE'!$D$89/SUMSQ('TS-PILE'!$D$72:$D$91))),IF('TS-PILE'!$B$90="",-1E+99,'TO HOP NLAN'!D195/ncoc+IF(SUMSQ('TS-PILE'!$E$72:$E$91)=0,0,'TO HOP NLAN'!E195*'TS-PILE'!$E$90/SUMSQ('TS-PILE'!$E$72:$E$91))+IF(SUMSQ('TS-PILE'!$D$72:$D$91)=0,0,'TO HOP NLAN'!F195*'TS-PILE'!$D$90/SUMSQ('TS-PILE'!$D$72:$D$91))),IF('TS-PILE'!$B$91="",-1E+99,'TO HOP NLAN'!D195/ncoc+IF(SUMSQ('TS-PILE'!$E$72:$E$91)=0,0,'TO HOP NLAN'!E195*'TS-PILE'!$E$91/SUMSQ('TS-PILE'!$E$72:$E$91))+IF(SUMSQ('TS-PILE'!$D$72:$D$91)=0,0,'TO HOP NLAN'!F195*'TS-PILE'!$D$91/SUMSQ('TS-PILE'!$D$72:$D$91)))))</f>
        <v>0</v>
      </c>
      <c r="D195" s="58">
        <f>IF(A195="",0,MIN(IF('TS-PILE'!$B$72="",1E+99,'TO HOP NLAN'!D195/ncoc+IF(SUMSQ('TS-PILE'!$E$72:$E$91)=0,0,'TO HOP NLAN'!E195*'TS-PILE'!$E$72/SUMSQ('TS-PILE'!$E$72:$E$91))+IF(SUMSQ('TS-PILE'!$D$72:$D$91)=0,0,'TO HOP NLAN'!F195*'TS-PILE'!$D$72/SUMSQ('TS-PILE'!$D$72:$D$91))),IF('TS-PILE'!$B$73="",1E+99,'TO HOP NLAN'!D195/ncoc+IF(SUMSQ('TS-PILE'!$E$72:$E$91)=0,0,'TO HOP NLAN'!E195*'TS-PILE'!$E$73/SUMSQ('TS-PILE'!$E$72:$E$91))+IF(SUMSQ('TS-PILE'!$D$72:$D$91)=0,0,'TO HOP NLAN'!F195*'TS-PILE'!$D$73/SUMSQ('TS-PILE'!$D$72:$D$91))),IF('TS-PILE'!$B$74="",1E+99,'TO HOP NLAN'!D195/ncoc+IF(SUMSQ('TS-PILE'!$E$72:$E$91)=0,0,'TO HOP NLAN'!E195*'TS-PILE'!$E$74/SUMSQ('TS-PILE'!$E$72:$E$91))+IF(SUMSQ('TS-PILE'!$D$72:$D$91)=0,0,'TO HOP NLAN'!F195*'TS-PILE'!$D$74/SUMSQ('TS-PILE'!$D$72:$D$91))),IF('TS-PILE'!$B$75="",1E+99,'TO HOP NLAN'!D195/ncoc+IF(SUMSQ('TS-PILE'!$E$72:$E$91)=0,0,'TO HOP NLAN'!E195*'TS-PILE'!$E$75/SUMSQ('TS-PILE'!$E$72:$E$91))+IF(SUMSQ('TS-PILE'!$D$72:$D$91)=0,0,'TO HOP NLAN'!F195*'TS-PILE'!$D$75/SUMSQ('TS-PILE'!$D$72:$D$91))),IF('TS-PILE'!$B$76="",1E+99,'TO HOP NLAN'!D195/ncoc+IF(SUMSQ('TS-PILE'!$E$72:$E$91)=0,0,'TO HOP NLAN'!E195*'TS-PILE'!$E$76/SUMSQ('TS-PILE'!$E$72:$E$91))+IF(SUMSQ('TS-PILE'!$D$72:$D$91)=0,0,'TO HOP NLAN'!F195*'TS-PILE'!$D$76/SUMSQ('TS-PILE'!$D$72:$D$91))),IF('TS-PILE'!$B$77="",1E+99,'TO HOP NLAN'!D195/ncoc+IF(SUMSQ('TS-PILE'!$E$72:$E$91)=0,0,'TO HOP NLAN'!E195*'TS-PILE'!$E$77/SUMSQ('TS-PILE'!$E$72:$E$91))+IF(SUMSQ('TS-PILE'!$D$72:$D$91)=0,0,'TO HOP NLAN'!F195*'TS-PILE'!$D$77/SUMSQ('TS-PILE'!$D$72:$D$91))),IF('TS-PILE'!$B$78="",1E+99,'TO HOP NLAN'!D195/ncoc+IF(SUMSQ('TS-PILE'!$E$72:$E$91)=0,0,'TO HOP NLAN'!E195*'TS-PILE'!$E$78/SUMSQ('TS-PILE'!$E$72:$E$91))+IF(SUMSQ('TS-PILE'!$D$72:$D$91)=0,0,'TO HOP NLAN'!F195*'TS-PILE'!$D$78/SUMSQ('TS-PILE'!$D$72:$D$91))),IF('TS-PILE'!$B$79="",1E+99,'TO HOP NLAN'!D195/ncoc+IF(SUMSQ('TS-PILE'!$E$72:$E$91)=0,0,'TO HOP NLAN'!E195*'TS-PILE'!$E$79/SUMSQ('TS-PILE'!$E$72:$E$91))+IF(SUMSQ('TS-PILE'!$D$72:$D$91)=0,0,'TO HOP NLAN'!F195*'TS-PILE'!$D$79/SUMSQ('TS-PILE'!$D$72:$D$91))),IF('TS-PILE'!$B$80="",1E+99,'TO HOP NLAN'!D195/ncoc+IF(SUMSQ('TS-PILE'!$E$72:$E$91)=0,0,'TO HOP NLAN'!E195*'TS-PILE'!$E$80/SUMSQ('TS-PILE'!$E$72:$E$91))+IF(SUMSQ('TS-PILE'!$D$72:$D$91)=0,0,'TO HOP NLAN'!F195*'TS-PILE'!$D$80/SUMSQ('TS-PILE'!$D$72:$D$91))),IF('TS-PILE'!$B$81="",1E+99,'TO HOP NLAN'!D195/ncoc+IF(SUMSQ('TS-PILE'!$E$72:$E$91)=0,0,'TO HOP NLAN'!E195*'TS-PILE'!$E$81/SUMSQ('TS-PILE'!$E$72:$E$91))+IF(SUMSQ('TS-PILE'!$D$72:$D$91)=0,0,'TO HOP NLAN'!F195*'TS-PILE'!$D$81/SUMSQ('TS-PILE'!$D$72:$D$91))),IF('TS-PILE'!$B$82="",1E+99,'TO HOP NLAN'!D195/ncoc+IF(SUMSQ('TS-PILE'!$E$72:$E$91)=0,0,'TO HOP NLAN'!E195*'TS-PILE'!$E$82/SUMSQ('TS-PILE'!$E$72:$E$91))+IF(SUMSQ('TS-PILE'!$D$72:$D$91)=0,0,'TO HOP NLAN'!F195*'TS-PILE'!$D$82/SUMSQ('TS-PILE'!$D$72:$D$91))),IF('TS-PILE'!$B$83="",1E+99,'TO HOP NLAN'!D195/ncoc+IF(SUMSQ('TS-PILE'!$E$72:$E$91)=0,0,'TO HOP NLAN'!E195*'TS-PILE'!$E$83/SUMSQ('TS-PILE'!$E$72:$E$91))+IF(SUMSQ('TS-PILE'!$D$72:$D$91)=0,0,'TO HOP NLAN'!F195*'TS-PILE'!$D$83/SUMSQ('TS-PILE'!$D$72:$D$91))),IF('TS-PILE'!$B$84="",1E+99,'TO HOP NLAN'!D195/ncoc+IF(SUMSQ('TS-PILE'!$E$72:$E$91)=0,0,'TO HOP NLAN'!E195*'TS-PILE'!$E$84/SUMSQ('TS-PILE'!$E$72:$E$91))+IF(SUMSQ('TS-PILE'!$D$72:$D$91)=0,0,'TO HOP NLAN'!F195*'TS-PILE'!$D$84/SUMSQ('TS-PILE'!$D$72:$D$91))),IF('TS-PILE'!$B$85="",1E+99,'TO HOP NLAN'!D195/ncoc+IF(SUMSQ('TS-PILE'!$E$72:$E$91)=0,0,'TO HOP NLAN'!E195*'TS-PILE'!$E$85/SUMSQ('TS-PILE'!$E$72:$E$91))+IF(SUMSQ('TS-PILE'!$D$72:$D$91)=0,0,'TO HOP NLAN'!F195*'TS-PILE'!$D$85/SUMSQ('TS-PILE'!$D$72:$D$91))),IF('TS-PILE'!$B$86="",1E+99,'TO HOP NLAN'!D195/ncoc+IF(SUMSQ('TS-PILE'!$E$72:$E$91)=0,0,'TO HOP NLAN'!E195*'TS-PILE'!$E$86/SUMSQ('TS-PILE'!$E$72:$E$91))+IF(SUMSQ('TS-PILE'!$D$72:$D$91)=0,0,'TO HOP NLAN'!F195*'TS-PILE'!$D$86/SUMSQ('TS-PILE'!$D$72:$D$91))),IF('TS-PILE'!$B$87="",1E+99,'TO HOP NLAN'!D195/ncoc+IF(SUMSQ('TS-PILE'!$E$72:$E$91)=0,0,'TO HOP NLAN'!E195*'TS-PILE'!$E$87/SUMSQ('TS-PILE'!$E$72:$E$91))+IF(SUMSQ('TS-PILE'!$D$72:$D$91)=0,0,'TO HOP NLAN'!F195*'TS-PILE'!$D$87/SUMSQ('TS-PILE'!$D$72:$D$91))),IF('TS-PILE'!$B$88="",1E+99,'TO HOP NLAN'!D195/ncoc+IF(SUMSQ('TS-PILE'!$E$72:$E$91)=0,0,'TO HOP NLAN'!E195*'TS-PILE'!$E$88/SUMSQ('TS-PILE'!$E$72:$E$91))+IF(SUMSQ('TS-PILE'!$D$72:$D$91)=0,0,'TO HOP NLAN'!F195*'TS-PILE'!$D$88/SUMSQ('TS-PILE'!$D$72:$D$91))),IF('TS-PILE'!$B$89="",1E+99,'TO HOP NLAN'!D195/ncoc+IF(SUMSQ('TS-PILE'!$E$72:$E$91)=0,0,'TO HOP NLAN'!E195*'TS-PILE'!$E$89/SUMSQ('TS-PILE'!$E$72:$E$91))+IF(SUMSQ('TS-PILE'!$D$72:$D$91)=0,0,'TO HOP NLAN'!F195*'TS-PILE'!$D$89/SUMSQ('TS-PILE'!$D$72:$D$91))),IF('TS-PILE'!$B$90="",1E+99,'TO HOP NLAN'!D195/ncoc+IF(SUMSQ('TS-PILE'!$E$72:$E$91)=0,0,'TO HOP NLAN'!E195*'TS-PILE'!$E$90/SUMSQ('TS-PILE'!$E$72:$E$91))+IF(SUMSQ('TS-PILE'!$D$72:$D$91)=0,0,'TO HOP NLAN'!F195*'TS-PILE'!$D$90/SUMSQ('TS-PILE'!$D$72:$D$91))),IF('TS-PILE'!$B$91="",1E+99,'TO HOP NLAN'!D195/ncoc+IF(SUMSQ('TS-PILE'!$E$72:$E$91)=0,0,'TO HOP NLAN'!E195*'TS-PILE'!$E$91/SUMSQ('TS-PILE'!$E$72:$E$91))+IF(SUMSQ('TS-PILE'!$D$72:$D$91)=0,0,'TO HOP NLAN'!F195*'TS-PILE'!$D$91/SUMSQ('TS-PILE'!$D$72:$D$91)))))</f>
        <v>0</v>
      </c>
      <c r="E195" s="58">
        <f t="shared" si="8"/>
        <v>-9.9999999999999997E+98</v>
      </c>
      <c r="F195" s="58">
        <f t="shared" si="9"/>
        <v>9.9999999999999997E+98</v>
      </c>
      <c r="G195" s="58">
        <f t="shared" si="10"/>
        <v>-9.9999999999999997E+98</v>
      </c>
      <c r="H195" s="58">
        <f t="shared" si="11"/>
        <v>9.9999999999999997E+98</v>
      </c>
    </row>
    <row r="196" spans="1:8" x14ac:dyDescent="0.3">
      <c r="A196" s="42" t="str">
        <f>'TO HOP NLAN'!A196</f>
        <v/>
      </c>
      <c r="B196" s="42" t="str">
        <f>'TO HOP NLAN'!L196</f>
        <v>STRENGTH</v>
      </c>
      <c r="C196" s="58">
        <f>IF(A196="",0,MAX(IF('TS-PILE'!$B$72="",-1E+99,'TO HOP NLAN'!D196/ncoc+IF(SUMSQ('TS-PILE'!$E$72:$E$91)=0,0,'TO HOP NLAN'!E196*'TS-PILE'!$E$72/SUMSQ('TS-PILE'!$E$72:$E$91))+IF(SUMSQ('TS-PILE'!$D$72:$D$91)=0,0,'TO HOP NLAN'!F196*'TS-PILE'!$D$72/SUMSQ('TS-PILE'!$D$72:$D$91))),IF('TS-PILE'!$B$73="",-1E+99,'TO HOP NLAN'!D196/ncoc+IF(SUMSQ('TS-PILE'!$E$72:$E$91)=0,0,'TO HOP NLAN'!E196*'TS-PILE'!$E$73/SUMSQ('TS-PILE'!$E$72:$E$91))+IF(SUMSQ('TS-PILE'!$D$72:$D$91)=0,0,'TO HOP NLAN'!F196*'TS-PILE'!$D$73/SUMSQ('TS-PILE'!$D$72:$D$91))),IF('TS-PILE'!$B$74="",-1E+99,'TO HOP NLAN'!D196/ncoc+IF(SUMSQ('TS-PILE'!$E$72:$E$91)=0,0,'TO HOP NLAN'!E196*'TS-PILE'!$E$74/SUMSQ('TS-PILE'!$E$72:$E$91))+IF(SUMSQ('TS-PILE'!$D$72:$D$91)=0,0,'TO HOP NLAN'!F196*'TS-PILE'!$D$74/SUMSQ('TS-PILE'!$D$72:$D$91))),IF('TS-PILE'!$B$75="",-1E+99,'TO HOP NLAN'!D196/ncoc+IF(SUMSQ('TS-PILE'!$E$72:$E$91)=0,0,'TO HOP NLAN'!E196*'TS-PILE'!$E$75/SUMSQ('TS-PILE'!$E$72:$E$91))+IF(SUMSQ('TS-PILE'!$D$72:$D$91)=0,0,'TO HOP NLAN'!F196*'TS-PILE'!$D$75/SUMSQ('TS-PILE'!$D$72:$D$91))),IF('TS-PILE'!$B$76="",-1E+99,'TO HOP NLAN'!D196/ncoc+IF(SUMSQ('TS-PILE'!$E$72:$E$91)=0,0,'TO HOP NLAN'!E196*'TS-PILE'!$E$76/SUMSQ('TS-PILE'!$E$72:$E$91))+IF(SUMSQ('TS-PILE'!$D$72:$D$91)=0,0,'TO HOP NLAN'!F196*'TS-PILE'!$D$76/SUMSQ('TS-PILE'!$D$72:$D$91))),IF('TS-PILE'!$B$77="",-1E+99,'TO HOP NLAN'!D196/ncoc+IF(SUMSQ('TS-PILE'!$E$72:$E$91)=0,0,'TO HOP NLAN'!E196*'TS-PILE'!$E$77/SUMSQ('TS-PILE'!$E$72:$E$91))+IF(SUMSQ('TS-PILE'!$D$72:$D$91)=0,0,'TO HOP NLAN'!F196*'TS-PILE'!$D$77/SUMSQ('TS-PILE'!$D$72:$D$91))),IF('TS-PILE'!$B$78="",-1E+99,'TO HOP NLAN'!D196/ncoc+IF(SUMSQ('TS-PILE'!$E$72:$E$91)=0,0,'TO HOP NLAN'!E196*'TS-PILE'!$E$78/SUMSQ('TS-PILE'!$E$72:$E$91))+IF(SUMSQ('TS-PILE'!$D$72:$D$91)=0,0,'TO HOP NLAN'!F196*'TS-PILE'!$D$78/SUMSQ('TS-PILE'!$D$72:$D$91))),IF('TS-PILE'!$B$79="",-1E+99,'TO HOP NLAN'!D196/ncoc+IF(SUMSQ('TS-PILE'!$E$72:$E$91)=0,0,'TO HOP NLAN'!E196*'TS-PILE'!$E$79/SUMSQ('TS-PILE'!$E$72:$E$91))+IF(SUMSQ('TS-PILE'!$D$72:$D$91)=0,0,'TO HOP NLAN'!F196*'TS-PILE'!$D$79/SUMSQ('TS-PILE'!$D$72:$D$91))),IF('TS-PILE'!$B$80="",-1E+99,'TO HOP NLAN'!D196/ncoc+IF(SUMSQ('TS-PILE'!$E$72:$E$91)=0,0,'TO HOP NLAN'!E196*'TS-PILE'!$E$80/SUMSQ('TS-PILE'!$E$72:$E$91))+IF(SUMSQ('TS-PILE'!$D$72:$D$91)=0,0,'TO HOP NLAN'!F196*'TS-PILE'!$D$80/SUMSQ('TS-PILE'!$D$72:$D$91))),IF('TS-PILE'!$B$81="",-1E+99,'TO HOP NLAN'!D196/ncoc+IF(SUMSQ('TS-PILE'!$E$72:$E$91)=0,0,'TO HOP NLAN'!E196*'TS-PILE'!$E$81/SUMSQ('TS-PILE'!$E$72:$E$91))+IF(SUMSQ('TS-PILE'!$D$72:$D$91)=0,0,'TO HOP NLAN'!F196*'TS-PILE'!$D$81/SUMSQ('TS-PILE'!$D$72:$D$91))),IF('TS-PILE'!$B$82="",-1E+99,'TO HOP NLAN'!D196/ncoc+IF(SUMSQ('TS-PILE'!$E$72:$E$91)=0,0,'TO HOP NLAN'!E196*'TS-PILE'!$E$82/SUMSQ('TS-PILE'!$E$72:$E$91))+IF(SUMSQ('TS-PILE'!$D$72:$D$91)=0,0,'TO HOP NLAN'!F196*'TS-PILE'!$D$82/SUMSQ('TS-PILE'!$D$72:$D$91))),IF('TS-PILE'!$B$83="",-1E+99,'TO HOP NLAN'!D196/ncoc+IF(SUMSQ('TS-PILE'!$E$72:$E$91)=0,0,'TO HOP NLAN'!E196*'TS-PILE'!$E$83/SUMSQ('TS-PILE'!$E$72:$E$91))+IF(SUMSQ('TS-PILE'!$D$72:$D$91)=0,0,'TO HOP NLAN'!F196*'TS-PILE'!$D$83/SUMSQ('TS-PILE'!$D$72:$D$91))),IF('TS-PILE'!$B$84="",-1E+99,'TO HOP NLAN'!D196/ncoc+IF(SUMSQ('TS-PILE'!$E$72:$E$91)=0,0,'TO HOP NLAN'!E196*'TS-PILE'!$E$84/SUMSQ('TS-PILE'!$E$72:$E$91))+IF(SUMSQ('TS-PILE'!$D$72:$D$91)=0,0,'TO HOP NLAN'!F196*'TS-PILE'!$D$84/SUMSQ('TS-PILE'!$D$72:$D$91))),IF('TS-PILE'!$B$85="",-1E+99,'TO HOP NLAN'!D196/ncoc+IF(SUMSQ('TS-PILE'!$E$72:$E$91)=0,0,'TO HOP NLAN'!E196*'TS-PILE'!$E$85/SUMSQ('TS-PILE'!$E$72:$E$91))+IF(SUMSQ('TS-PILE'!$D$72:$D$91)=0,0,'TO HOP NLAN'!F196*'TS-PILE'!$D$85/SUMSQ('TS-PILE'!$D$72:$D$91))),IF('TS-PILE'!$B$86="",-1E+99,'TO HOP NLAN'!D196/ncoc+IF(SUMSQ('TS-PILE'!$E$72:$E$91)=0,0,'TO HOP NLAN'!E196*'TS-PILE'!$E$86/SUMSQ('TS-PILE'!$E$72:$E$91))+IF(SUMSQ('TS-PILE'!$D$72:$D$91)=0,0,'TO HOP NLAN'!F196*'TS-PILE'!$D$86/SUMSQ('TS-PILE'!$D$72:$D$91))),IF('TS-PILE'!$B$87="",-1E+99,'TO HOP NLAN'!D196/ncoc+IF(SUMSQ('TS-PILE'!$E$72:$E$91)=0,0,'TO HOP NLAN'!E196*'TS-PILE'!$E$87/SUMSQ('TS-PILE'!$E$72:$E$91))+IF(SUMSQ('TS-PILE'!$D$72:$D$91)=0,0,'TO HOP NLAN'!F196*'TS-PILE'!$D$87/SUMSQ('TS-PILE'!$D$72:$D$91))),IF('TS-PILE'!$B$88="",-1E+99,'TO HOP NLAN'!D196/ncoc+IF(SUMSQ('TS-PILE'!$E$72:$E$91)=0,0,'TO HOP NLAN'!E196*'TS-PILE'!$E$88/SUMSQ('TS-PILE'!$E$72:$E$91))+IF(SUMSQ('TS-PILE'!$D$72:$D$91)=0,0,'TO HOP NLAN'!F196*'TS-PILE'!$D$88/SUMSQ('TS-PILE'!$D$72:$D$91))),IF('TS-PILE'!$B$89="",-1E+99,'TO HOP NLAN'!D196/ncoc+IF(SUMSQ('TS-PILE'!$E$72:$E$91)=0,0,'TO HOP NLAN'!E196*'TS-PILE'!$E$89/SUMSQ('TS-PILE'!$E$72:$E$91))+IF(SUMSQ('TS-PILE'!$D$72:$D$91)=0,0,'TO HOP NLAN'!F196*'TS-PILE'!$D$89/SUMSQ('TS-PILE'!$D$72:$D$91))),IF('TS-PILE'!$B$90="",-1E+99,'TO HOP NLAN'!D196/ncoc+IF(SUMSQ('TS-PILE'!$E$72:$E$91)=0,0,'TO HOP NLAN'!E196*'TS-PILE'!$E$90/SUMSQ('TS-PILE'!$E$72:$E$91))+IF(SUMSQ('TS-PILE'!$D$72:$D$91)=0,0,'TO HOP NLAN'!F196*'TS-PILE'!$D$90/SUMSQ('TS-PILE'!$D$72:$D$91))),IF('TS-PILE'!$B$91="",-1E+99,'TO HOP NLAN'!D196/ncoc+IF(SUMSQ('TS-PILE'!$E$72:$E$91)=0,0,'TO HOP NLAN'!E196*'TS-PILE'!$E$91/SUMSQ('TS-PILE'!$E$72:$E$91))+IF(SUMSQ('TS-PILE'!$D$72:$D$91)=0,0,'TO HOP NLAN'!F196*'TS-PILE'!$D$91/SUMSQ('TS-PILE'!$D$72:$D$91)))))</f>
        <v>0</v>
      </c>
      <c r="D196" s="58">
        <f>IF(A196="",0,MIN(IF('TS-PILE'!$B$72="",1E+99,'TO HOP NLAN'!D196/ncoc+IF(SUMSQ('TS-PILE'!$E$72:$E$91)=0,0,'TO HOP NLAN'!E196*'TS-PILE'!$E$72/SUMSQ('TS-PILE'!$E$72:$E$91))+IF(SUMSQ('TS-PILE'!$D$72:$D$91)=0,0,'TO HOP NLAN'!F196*'TS-PILE'!$D$72/SUMSQ('TS-PILE'!$D$72:$D$91))),IF('TS-PILE'!$B$73="",1E+99,'TO HOP NLAN'!D196/ncoc+IF(SUMSQ('TS-PILE'!$E$72:$E$91)=0,0,'TO HOP NLAN'!E196*'TS-PILE'!$E$73/SUMSQ('TS-PILE'!$E$72:$E$91))+IF(SUMSQ('TS-PILE'!$D$72:$D$91)=0,0,'TO HOP NLAN'!F196*'TS-PILE'!$D$73/SUMSQ('TS-PILE'!$D$72:$D$91))),IF('TS-PILE'!$B$74="",1E+99,'TO HOP NLAN'!D196/ncoc+IF(SUMSQ('TS-PILE'!$E$72:$E$91)=0,0,'TO HOP NLAN'!E196*'TS-PILE'!$E$74/SUMSQ('TS-PILE'!$E$72:$E$91))+IF(SUMSQ('TS-PILE'!$D$72:$D$91)=0,0,'TO HOP NLAN'!F196*'TS-PILE'!$D$74/SUMSQ('TS-PILE'!$D$72:$D$91))),IF('TS-PILE'!$B$75="",1E+99,'TO HOP NLAN'!D196/ncoc+IF(SUMSQ('TS-PILE'!$E$72:$E$91)=0,0,'TO HOP NLAN'!E196*'TS-PILE'!$E$75/SUMSQ('TS-PILE'!$E$72:$E$91))+IF(SUMSQ('TS-PILE'!$D$72:$D$91)=0,0,'TO HOP NLAN'!F196*'TS-PILE'!$D$75/SUMSQ('TS-PILE'!$D$72:$D$91))),IF('TS-PILE'!$B$76="",1E+99,'TO HOP NLAN'!D196/ncoc+IF(SUMSQ('TS-PILE'!$E$72:$E$91)=0,0,'TO HOP NLAN'!E196*'TS-PILE'!$E$76/SUMSQ('TS-PILE'!$E$72:$E$91))+IF(SUMSQ('TS-PILE'!$D$72:$D$91)=0,0,'TO HOP NLAN'!F196*'TS-PILE'!$D$76/SUMSQ('TS-PILE'!$D$72:$D$91))),IF('TS-PILE'!$B$77="",1E+99,'TO HOP NLAN'!D196/ncoc+IF(SUMSQ('TS-PILE'!$E$72:$E$91)=0,0,'TO HOP NLAN'!E196*'TS-PILE'!$E$77/SUMSQ('TS-PILE'!$E$72:$E$91))+IF(SUMSQ('TS-PILE'!$D$72:$D$91)=0,0,'TO HOP NLAN'!F196*'TS-PILE'!$D$77/SUMSQ('TS-PILE'!$D$72:$D$91))),IF('TS-PILE'!$B$78="",1E+99,'TO HOP NLAN'!D196/ncoc+IF(SUMSQ('TS-PILE'!$E$72:$E$91)=0,0,'TO HOP NLAN'!E196*'TS-PILE'!$E$78/SUMSQ('TS-PILE'!$E$72:$E$91))+IF(SUMSQ('TS-PILE'!$D$72:$D$91)=0,0,'TO HOP NLAN'!F196*'TS-PILE'!$D$78/SUMSQ('TS-PILE'!$D$72:$D$91))),IF('TS-PILE'!$B$79="",1E+99,'TO HOP NLAN'!D196/ncoc+IF(SUMSQ('TS-PILE'!$E$72:$E$91)=0,0,'TO HOP NLAN'!E196*'TS-PILE'!$E$79/SUMSQ('TS-PILE'!$E$72:$E$91))+IF(SUMSQ('TS-PILE'!$D$72:$D$91)=0,0,'TO HOP NLAN'!F196*'TS-PILE'!$D$79/SUMSQ('TS-PILE'!$D$72:$D$91))),IF('TS-PILE'!$B$80="",1E+99,'TO HOP NLAN'!D196/ncoc+IF(SUMSQ('TS-PILE'!$E$72:$E$91)=0,0,'TO HOP NLAN'!E196*'TS-PILE'!$E$80/SUMSQ('TS-PILE'!$E$72:$E$91))+IF(SUMSQ('TS-PILE'!$D$72:$D$91)=0,0,'TO HOP NLAN'!F196*'TS-PILE'!$D$80/SUMSQ('TS-PILE'!$D$72:$D$91))),IF('TS-PILE'!$B$81="",1E+99,'TO HOP NLAN'!D196/ncoc+IF(SUMSQ('TS-PILE'!$E$72:$E$91)=0,0,'TO HOP NLAN'!E196*'TS-PILE'!$E$81/SUMSQ('TS-PILE'!$E$72:$E$91))+IF(SUMSQ('TS-PILE'!$D$72:$D$91)=0,0,'TO HOP NLAN'!F196*'TS-PILE'!$D$81/SUMSQ('TS-PILE'!$D$72:$D$91))),IF('TS-PILE'!$B$82="",1E+99,'TO HOP NLAN'!D196/ncoc+IF(SUMSQ('TS-PILE'!$E$72:$E$91)=0,0,'TO HOP NLAN'!E196*'TS-PILE'!$E$82/SUMSQ('TS-PILE'!$E$72:$E$91))+IF(SUMSQ('TS-PILE'!$D$72:$D$91)=0,0,'TO HOP NLAN'!F196*'TS-PILE'!$D$82/SUMSQ('TS-PILE'!$D$72:$D$91))),IF('TS-PILE'!$B$83="",1E+99,'TO HOP NLAN'!D196/ncoc+IF(SUMSQ('TS-PILE'!$E$72:$E$91)=0,0,'TO HOP NLAN'!E196*'TS-PILE'!$E$83/SUMSQ('TS-PILE'!$E$72:$E$91))+IF(SUMSQ('TS-PILE'!$D$72:$D$91)=0,0,'TO HOP NLAN'!F196*'TS-PILE'!$D$83/SUMSQ('TS-PILE'!$D$72:$D$91))),IF('TS-PILE'!$B$84="",1E+99,'TO HOP NLAN'!D196/ncoc+IF(SUMSQ('TS-PILE'!$E$72:$E$91)=0,0,'TO HOP NLAN'!E196*'TS-PILE'!$E$84/SUMSQ('TS-PILE'!$E$72:$E$91))+IF(SUMSQ('TS-PILE'!$D$72:$D$91)=0,0,'TO HOP NLAN'!F196*'TS-PILE'!$D$84/SUMSQ('TS-PILE'!$D$72:$D$91))),IF('TS-PILE'!$B$85="",1E+99,'TO HOP NLAN'!D196/ncoc+IF(SUMSQ('TS-PILE'!$E$72:$E$91)=0,0,'TO HOP NLAN'!E196*'TS-PILE'!$E$85/SUMSQ('TS-PILE'!$E$72:$E$91))+IF(SUMSQ('TS-PILE'!$D$72:$D$91)=0,0,'TO HOP NLAN'!F196*'TS-PILE'!$D$85/SUMSQ('TS-PILE'!$D$72:$D$91))),IF('TS-PILE'!$B$86="",1E+99,'TO HOP NLAN'!D196/ncoc+IF(SUMSQ('TS-PILE'!$E$72:$E$91)=0,0,'TO HOP NLAN'!E196*'TS-PILE'!$E$86/SUMSQ('TS-PILE'!$E$72:$E$91))+IF(SUMSQ('TS-PILE'!$D$72:$D$91)=0,0,'TO HOP NLAN'!F196*'TS-PILE'!$D$86/SUMSQ('TS-PILE'!$D$72:$D$91))),IF('TS-PILE'!$B$87="",1E+99,'TO HOP NLAN'!D196/ncoc+IF(SUMSQ('TS-PILE'!$E$72:$E$91)=0,0,'TO HOP NLAN'!E196*'TS-PILE'!$E$87/SUMSQ('TS-PILE'!$E$72:$E$91))+IF(SUMSQ('TS-PILE'!$D$72:$D$91)=0,0,'TO HOP NLAN'!F196*'TS-PILE'!$D$87/SUMSQ('TS-PILE'!$D$72:$D$91))),IF('TS-PILE'!$B$88="",1E+99,'TO HOP NLAN'!D196/ncoc+IF(SUMSQ('TS-PILE'!$E$72:$E$91)=0,0,'TO HOP NLAN'!E196*'TS-PILE'!$E$88/SUMSQ('TS-PILE'!$E$72:$E$91))+IF(SUMSQ('TS-PILE'!$D$72:$D$91)=0,0,'TO HOP NLAN'!F196*'TS-PILE'!$D$88/SUMSQ('TS-PILE'!$D$72:$D$91))),IF('TS-PILE'!$B$89="",1E+99,'TO HOP NLAN'!D196/ncoc+IF(SUMSQ('TS-PILE'!$E$72:$E$91)=0,0,'TO HOP NLAN'!E196*'TS-PILE'!$E$89/SUMSQ('TS-PILE'!$E$72:$E$91))+IF(SUMSQ('TS-PILE'!$D$72:$D$91)=0,0,'TO HOP NLAN'!F196*'TS-PILE'!$D$89/SUMSQ('TS-PILE'!$D$72:$D$91))),IF('TS-PILE'!$B$90="",1E+99,'TO HOP NLAN'!D196/ncoc+IF(SUMSQ('TS-PILE'!$E$72:$E$91)=0,0,'TO HOP NLAN'!E196*'TS-PILE'!$E$90/SUMSQ('TS-PILE'!$E$72:$E$91))+IF(SUMSQ('TS-PILE'!$D$72:$D$91)=0,0,'TO HOP NLAN'!F196*'TS-PILE'!$D$90/SUMSQ('TS-PILE'!$D$72:$D$91))),IF('TS-PILE'!$B$91="",1E+99,'TO HOP NLAN'!D196/ncoc+IF(SUMSQ('TS-PILE'!$E$72:$E$91)=0,0,'TO HOP NLAN'!E196*'TS-PILE'!$E$91/SUMSQ('TS-PILE'!$E$72:$E$91))+IF(SUMSQ('TS-PILE'!$D$72:$D$91)=0,0,'TO HOP NLAN'!F196*'TS-PILE'!$D$91/SUMSQ('TS-PILE'!$D$72:$D$91)))))</f>
        <v>0</v>
      </c>
      <c r="E196" s="58">
        <f t="shared" si="8"/>
        <v>-9.9999999999999997E+98</v>
      </c>
      <c r="F196" s="58">
        <f t="shared" si="9"/>
        <v>9.9999999999999997E+98</v>
      </c>
      <c r="G196" s="58">
        <f t="shared" si="10"/>
        <v>-9.9999999999999997E+98</v>
      </c>
      <c r="H196" s="58">
        <f t="shared" si="11"/>
        <v>9.9999999999999997E+98</v>
      </c>
    </row>
    <row r="197" spans="1:8" x14ac:dyDescent="0.3">
      <c r="A197" s="42" t="str">
        <f>'TO HOP NLAN'!A197</f>
        <v/>
      </c>
      <c r="B197" s="42" t="str">
        <f>'TO HOP NLAN'!L197</f>
        <v>STRENGTH</v>
      </c>
      <c r="C197" s="58">
        <f>IF(A197="",0,MAX(IF('TS-PILE'!$B$72="",-1E+99,'TO HOP NLAN'!D197/ncoc+IF(SUMSQ('TS-PILE'!$E$72:$E$91)=0,0,'TO HOP NLAN'!E197*'TS-PILE'!$E$72/SUMSQ('TS-PILE'!$E$72:$E$91))+IF(SUMSQ('TS-PILE'!$D$72:$D$91)=0,0,'TO HOP NLAN'!F197*'TS-PILE'!$D$72/SUMSQ('TS-PILE'!$D$72:$D$91))),IF('TS-PILE'!$B$73="",-1E+99,'TO HOP NLAN'!D197/ncoc+IF(SUMSQ('TS-PILE'!$E$72:$E$91)=0,0,'TO HOP NLAN'!E197*'TS-PILE'!$E$73/SUMSQ('TS-PILE'!$E$72:$E$91))+IF(SUMSQ('TS-PILE'!$D$72:$D$91)=0,0,'TO HOP NLAN'!F197*'TS-PILE'!$D$73/SUMSQ('TS-PILE'!$D$72:$D$91))),IF('TS-PILE'!$B$74="",-1E+99,'TO HOP NLAN'!D197/ncoc+IF(SUMSQ('TS-PILE'!$E$72:$E$91)=0,0,'TO HOP NLAN'!E197*'TS-PILE'!$E$74/SUMSQ('TS-PILE'!$E$72:$E$91))+IF(SUMSQ('TS-PILE'!$D$72:$D$91)=0,0,'TO HOP NLAN'!F197*'TS-PILE'!$D$74/SUMSQ('TS-PILE'!$D$72:$D$91))),IF('TS-PILE'!$B$75="",-1E+99,'TO HOP NLAN'!D197/ncoc+IF(SUMSQ('TS-PILE'!$E$72:$E$91)=0,0,'TO HOP NLAN'!E197*'TS-PILE'!$E$75/SUMSQ('TS-PILE'!$E$72:$E$91))+IF(SUMSQ('TS-PILE'!$D$72:$D$91)=0,0,'TO HOP NLAN'!F197*'TS-PILE'!$D$75/SUMSQ('TS-PILE'!$D$72:$D$91))),IF('TS-PILE'!$B$76="",-1E+99,'TO HOP NLAN'!D197/ncoc+IF(SUMSQ('TS-PILE'!$E$72:$E$91)=0,0,'TO HOP NLAN'!E197*'TS-PILE'!$E$76/SUMSQ('TS-PILE'!$E$72:$E$91))+IF(SUMSQ('TS-PILE'!$D$72:$D$91)=0,0,'TO HOP NLAN'!F197*'TS-PILE'!$D$76/SUMSQ('TS-PILE'!$D$72:$D$91))),IF('TS-PILE'!$B$77="",-1E+99,'TO HOP NLAN'!D197/ncoc+IF(SUMSQ('TS-PILE'!$E$72:$E$91)=0,0,'TO HOP NLAN'!E197*'TS-PILE'!$E$77/SUMSQ('TS-PILE'!$E$72:$E$91))+IF(SUMSQ('TS-PILE'!$D$72:$D$91)=0,0,'TO HOP NLAN'!F197*'TS-PILE'!$D$77/SUMSQ('TS-PILE'!$D$72:$D$91))),IF('TS-PILE'!$B$78="",-1E+99,'TO HOP NLAN'!D197/ncoc+IF(SUMSQ('TS-PILE'!$E$72:$E$91)=0,0,'TO HOP NLAN'!E197*'TS-PILE'!$E$78/SUMSQ('TS-PILE'!$E$72:$E$91))+IF(SUMSQ('TS-PILE'!$D$72:$D$91)=0,0,'TO HOP NLAN'!F197*'TS-PILE'!$D$78/SUMSQ('TS-PILE'!$D$72:$D$91))),IF('TS-PILE'!$B$79="",-1E+99,'TO HOP NLAN'!D197/ncoc+IF(SUMSQ('TS-PILE'!$E$72:$E$91)=0,0,'TO HOP NLAN'!E197*'TS-PILE'!$E$79/SUMSQ('TS-PILE'!$E$72:$E$91))+IF(SUMSQ('TS-PILE'!$D$72:$D$91)=0,0,'TO HOP NLAN'!F197*'TS-PILE'!$D$79/SUMSQ('TS-PILE'!$D$72:$D$91))),IF('TS-PILE'!$B$80="",-1E+99,'TO HOP NLAN'!D197/ncoc+IF(SUMSQ('TS-PILE'!$E$72:$E$91)=0,0,'TO HOP NLAN'!E197*'TS-PILE'!$E$80/SUMSQ('TS-PILE'!$E$72:$E$91))+IF(SUMSQ('TS-PILE'!$D$72:$D$91)=0,0,'TO HOP NLAN'!F197*'TS-PILE'!$D$80/SUMSQ('TS-PILE'!$D$72:$D$91))),IF('TS-PILE'!$B$81="",-1E+99,'TO HOP NLAN'!D197/ncoc+IF(SUMSQ('TS-PILE'!$E$72:$E$91)=0,0,'TO HOP NLAN'!E197*'TS-PILE'!$E$81/SUMSQ('TS-PILE'!$E$72:$E$91))+IF(SUMSQ('TS-PILE'!$D$72:$D$91)=0,0,'TO HOP NLAN'!F197*'TS-PILE'!$D$81/SUMSQ('TS-PILE'!$D$72:$D$91))),IF('TS-PILE'!$B$82="",-1E+99,'TO HOP NLAN'!D197/ncoc+IF(SUMSQ('TS-PILE'!$E$72:$E$91)=0,0,'TO HOP NLAN'!E197*'TS-PILE'!$E$82/SUMSQ('TS-PILE'!$E$72:$E$91))+IF(SUMSQ('TS-PILE'!$D$72:$D$91)=0,0,'TO HOP NLAN'!F197*'TS-PILE'!$D$82/SUMSQ('TS-PILE'!$D$72:$D$91))),IF('TS-PILE'!$B$83="",-1E+99,'TO HOP NLAN'!D197/ncoc+IF(SUMSQ('TS-PILE'!$E$72:$E$91)=0,0,'TO HOP NLAN'!E197*'TS-PILE'!$E$83/SUMSQ('TS-PILE'!$E$72:$E$91))+IF(SUMSQ('TS-PILE'!$D$72:$D$91)=0,0,'TO HOP NLAN'!F197*'TS-PILE'!$D$83/SUMSQ('TS-PILE'!$D$72:$D$91))),IF('TS-PILE'!$B$84="",-1E+99,'TO HOP NLAN'!D197/ncoc+IF(SUMSQ('TS-PILE'!$E$72:$E$91)=0,0,'TO HOP NLAN'!E197*'TS-PILE'!$E$84/SUMSQ('TS-PILE'!$E$72:$E$91))+IF(SUMSQ('TS-PILE'!$D$72:$D$91)=0,0,'TO HOP NLAN'!F197*'TS-PILE'!$D$84/SUMSQ('TS-PILE'!$D$72:$D$91))),IF('TS-PILE'!$B$85="",-1E+99,'TO HOP NLAN'!D197/ncoc+IF(SUMSQ('TS-PILE'!$E$72:$E$91)=0,0,'TO HOP NLAN'!E197*'TS-PILE'!$E$85/SUMSQ('TS-PILE'!$E$72:$E$91))+IF(SUMSQ('TS-PILE'!$D$72:$D$91)=0,0,'TO HOP NLAN'!F197*'TS-PILE'!$D$85/SUMSQ('TS-PILE'!$D$72:$D$91))),IF('TS-PILE'!$B$86="",-1E+99,'TO HOP NLAN'!D197/ncoc+IF(SUMSQ('TS-PILE'!$E$72:$E$91)=0,0,'TO HOP NLAN'!E197*'TS-PILE'!$E$86/SUMSQ('TS-PILE'!$E$72:$E$91))+IF(SUMSQ('TS-PILE'!$D$72:$D$91)=0,0,'TO HOP NLAN'!F197*'TS-PILE'!$D$86/SUMSQ('TS-PILE'!$D$72:$D$91))),IF('TS-PILE'!$B$87="",-1E+99,'TO HOP NLAN'!D197/ncoc+IF(SUMSQ('TS-PILE'!$E$72:$E$91)=0,0,'TO HOP NLAN'!E197*'TS-PILE'!$E$87/SUMSQ('TS-PILE'!$E$72:$E$91))+IF(SUMSQ('TS-PILE'!$D$72:$D$91)=0,0,'TO HOP NLAN'!F197*'TS-PILE'!$D$87/SUMSQ('TS-PILE'!$D$72:$D$91))),IF('TS-PILE'!$B$88="",-1E+99,'TO HOP NLAN'!D197/ncoc+IF(SUMSQ('TS-PILE'!$E$72:$E$91)=0,0,'TO HOP NLAN'!E197*'TS-PILE'!$E$88/SUMSQ('TS-PILE'!$E$72:$E$91))+IF(SUMSQ('TS-PILE'!$D$72:$D$91)=0,0,'TO HOP NLAN'!F197*'TS-PILE'!$D$88/SUMSQ('TS-PILE'!$D$72:$D$91))),IF('TS-PILE'!$B$89="",-1E+99,'TO HOP NLAN'!D197/ncoc+IF(SUMSQ('TS-PILE'!$E$72:$E$91)=0,0,'TO HOP NLAN'!E197*'TS-PILE'!$E$89/SUMSQ('TS-PILE'!$E$72:$E$91))+IF(SUMSQ('TS-PILE'!$D$72:$D$91)=0,0,'TO HOP NLAN'!F197*'TS-PILE'!$D$89/SUMSQ('TS-PILE'!$D$72:$D$91))),IF('TS-PILE'!$B$90="",-1E+99,'TO HOP NLAN'!D197/ncoc+IF(SUMSQ('TS-PILE'!$E$72:$E$91)=0,0,'TO HOP NLAN'!E197*'TS-PILE'!$E$90/SUMSQ('TS-PILE'!$E$72:$E$91))+IF(SUMSQ('TS-PILE'!$D$72:$D$91)=0,0,'TO HOP NLAN'!F197*'TS-PILE'!$D$90/SUMSQ('TS-PILE'!$D$72:$D$91))),IF('TS-PILE'!$B$91="",-1E+99,'TO HOP NLAN'!D197/ncoc+IF(SUMSQ('TS-PILE'!$E$72:$E$91)=0,0,'TO HOP NLAN'!E197*'TS-PILE'!$E$91/SUMSQ('TS-PILE'!$E$72:$E$91))+IF(SUMSQ('TS-PILE'!$D$72:$D$91)=0,0,'TO HOP NLAN'!F197*'TS-PILE'!$D$91/SUMSQ('TS-PILE'!$D$72:$D$91)))))</f>
        <v>0</v>
      </c>
      <c r="D197" s="58">
        <f>IF(A197="",0,MIN(IF('TS-PILE'!$B$72="",1E+99,'TO HOP NLAN'!D197/ncoc+IF(SUMSQ('TS-PILE'!$E$72:$E$91)=0,0,'TO HOP NLAN'!E197*'TS-PILE'!$E$72/SUMSQ('TS-PILE'!$E$72:$E$91))+IF(SUMSQ('TS-PILE'!$D$72:$D$91)=0,0,'TO HOP NLAN'!F197*'TS-PILE'!$D$72/SUMSQ('TS-PILE'!$D$72:$D$91))),IF('TS-PILE'!$B$73="",1E+99,'TO HOP NLAN'!D197/ncoc+IF(SUMSQ('TS-PILE'!$E$72:$E$91)=0,0,'TO HOP NLAN'!E197*'TS-PILE'!$E$73/SUMSQ('TS-PILE'!$E$72:$E$91))+IF(SUMSQ('TS-PILE'!$D$72:$D$91)=0,0,'TO HOP NLAN'!F197*'TS-PILE'!$D$73/SUMSQ('TS-PILE'!$D$72:$D$91))),IF('TS-PILE'!$B$74="",1E+99,'TO HOP NLAN'!D197/ncoc+IF(SUMSQ('TS-PILE'!$E$72:$E$91)=0,0,'TO HOP NLAN'!E197*'TS-PILE'!$E$74/SUMSQ('TS-PILE'!$E$72:$E$91))+IF(SUMSQ('TS-PILE'!$D$72:$D$91)=0,0,'TO HOP NLAN'!F197*'TS-PILE'!$D$74/SUMSQ('TS-PILE'!$D$72:$D$91))),IF('TS-PILE'!$B$75="",1E+99,'TO HOP NLAN'!D197/ncoc+IF(SUMSQ('TS-PILE'!$E$72:$E$91)=0,0,'TO HOP NLAN'!E197*'TS-PILE'!$E$75/SUMSQ('TS-PILE'!$E$72:$E$91))+IF(SUMSQ('TS-PILE'!$D$72:$D$91)=0,0,'TO HOP NLAN'!F197*'TS-PILE'!$D$75/SUMSQ('TS-PILE'!$D$72:$D$91))),IF('TS-PILE'!$B$76="",1E+99,'TO HOP NLAN'!D197/ncoc+IF(SUMSQ('TS-PILE'!$E$72:$E$91)=0,0,'TO HOP NLAN'!E197*'TS-PILE'!$E$76/SUMSQ('TS-PILE'!$E$72:$E$91))+IF(SUMSQ('TS-PILE'!$D$72:$D$91)=0,0,'TO HOP NLAN'!F197*'TS-PILE'!$D$76/SUMSQ('TS-PILE'!$D$72:$D$91))),IF('TS-PILE'!$B$77="",1E+99,'TO HOP NLAN'!D197/ncoc+IF(SUMSQ('TS-PILE'!$E$72:$E$91)=0,0,'TO HOP NLAN'!E197*'TS-PILE'!$E$77/SUMSQ('TS-PILE'!$E$72:$E$91))+IF(SUMSQ('TS-PILE'!$D$72:$D$91)=0,0,'TO HOP NLAN'!F197*'TS-PILE'!$D$77/SUMSQ('TS-PILE'!$D$72:$D$91))),IF('TS-PILE'!$B$78="",1E+99,'TO HOP NLAN'!D197/ncoc+IF(SUMSQ('TS-PILE'!$E$72:$E$91)=0,0,'TO HOP NLAN'!E197*'TS-PILE'!$E$78/SUMSQ('TS-PILE'!$E$72:$E$91))+IF(SUMSQ('TS-PILE'!$D$72:$D$91)=0,0,'TO HOP NLAN'!F197*'TS-PILE'!$D$78/SUMSQ('TS-PILE'!$D$72:$D$91))),IF('TS-PILE'!$B$79="",1E+99,'TO HOP NLAN'!D197/ncoc+IF(SUMSQ('TS-PILE'!$E$72:$E$91)=0,0,'TO HOP NLAN'!E197*'TS-PILE'!$E$79/SUMSQ('TS-PILE'!$E$72:$E$91))+IF(SUMSQ('TS-PILE'!$D$72:$D$91)=0,0,'TO HOP NLAN'!F197*'TS-PILE'!$D$79/SUMSQ('TS-PILE'!$D$72:$D$91))),IF('TS-PILE'!$B$80="",1E+99,'TO HOP NLAN'!D197/ncoc+IF(SUMSQ('TS-PILE'!$E$72:$E$91)=0,0,'TO HOP NLAN'!E197*'TS-PILE'!$E$80/SUMSQ('TS-PILE'!$E$72:$E$91))+IF(SUMSQ('TS-PILE'!$D$72:$D$91)=0,0,'TO HOP NLAN'!F197*'TS-PILE'!$D$80/SUMSQ('TS-PILE'!$D$72:$D$91))),IF('TS-PILE'!$B$81="",1E+99,'TO HOP NLAN'!D197/ncoc+IF(SUMSQ('TS-PILE'!$E$72:$E$91)=0,0,'TO HOP NLAN'!E197*'TS-PILE'!$E$81/SUMSQ('TS-PILE'!$E$72:$E$91))+IF(SUMSQ('TS-PILE'!$D$72:$D$91)=0,0,'TO HOP NLAN'!F197*'TS-PILE'!$D$81/SUMSQ('TS-PILE'!$D$72:$D$91))),IF('TS-PILE'!$B$82="",1E+99,'TO HOP NLAN'!D197/ncoc+IF(SUMSQ('TS-PILE'!$E$72:$E$91)=0,0,'TO HOP NLAN'!E197*'TS-PILE'!$E$82/SUMSQ('TS-PILE'!$E$72:$E$91))+IF(SUMSQ('TS-PILE'!$D$72:$D$91)=0,0,'TO HOP NLAN'!F197*'TS-PILE'!$D$82/SUMSQ('TS-PILE'!$D$72:$D$91))),IF('TS-PILE'!$B$83="",1E+99,'TO HOP NLAN'!D197/ncoc+IF(SUMSQ('TS-PILE'!$E$72:$E$91)=0,0,'TO HOP NLAN'!E197*'TS-PILE'!$E$83/SUMSQ('TS-PILE'!$E$72:$E$91))+IF(SUMSQ('TS-PILE'!$D$72:$D$91)=0,0,'TO HOP NLAN'!F197*'TS-PILE'!$D$83/SUMSQ('TS-PILE'!$D$72:$D$91))),IF('TS-PILE'!$B$84="",1E+99,'TO HOP NLAN'!D197/ncoc+IF(SUMSQ('TS-PILE'!$E$72:$E$91)=0,0,'TO HOP NLAN'!E197*'TS-PILE'!$E$84/SUMSQ('TS-PILE'!$E$72:$E$91))+IF(SUMSQ('TS-PILE'!$D$72:$D$91)=0,0,'TO HOP NLAN'!F197*'TS-PILE'!$D$84/SUMSQ('TS-PILE'!$D$72:$D$91))),IF('TS-PILE'!$B$85="",1E+99,'TO HOP NLAN'!D197/ncoc+IF(SUMSQ('TS-PILE'!$E$72:$E$91)=0,0,'TO HOP NLAN'!E197*'TS-PILE'!$E$85/SUMSQ('TS-PILE'!$E$72:$E$91))+IF(SUMSQ('TS-PILE'!$D$72:$D$91)=0,0,'TO HOP NLAN'!F197*'TS-PILE'!$D$85/SUMSQ('TS-PILE'!$D$72:$D$91))),IF('TS-PILE'!$B$86="",1E+99,'TO HOP NLAN'!D197/ncoc+IF(SUMSQ('TS-PILE'!$E$72:$E$91)=0,0,'TO HOP NLAN'!E197*'TS-PILE'!$E$86/SUMSQ('TS-PILE'!$E$72:$E$91))+IF(SUMSQ('TS-PILE'!$D$72:$D$91)=0,0,'TO HOP NLAN'!F197*'TS-PILE'!$D$86/SUMSQ('TS-PILE'!$D$72:$D$91))),IF('TS-PILE'!$B$87="",1E+99,'TO HOP NLAN'!D197/ncoc+IF(SUMSQ('TS-PILE'!$E$72:$E$91)=0,0,'TO HOP NLAN'!E197*'TS-PILE'!$E$87/SUMSQ('TS-PILE'!$E$72:$E$91))+IF(SUMSQ('TS-PILE'!$D$72:$D$91)=0,0,'TO HOP NLAN'!F197*'TS-PILE'!$D$87/SUMSQ('TS-PILE'!$D$72:$D$91))),IF('TS-PILE'!$B$88="",1E+99,'TO HOP NLAN'!D197/ncoc+IF(SUMSQ('TS-PILE'!$E$72:$E$91)=0,0,'TO HOP NLAN'!E197*'TS-PILE'!$E$88/SUMSQ('TS-PILE'!$E$72:$E$91))+IF(SUMSQ('TS-PILE'!$D$72:$D$91)=0,0,'TO HOP NLAN'!F197*'TS-PILE'!$D$88/SUMSQ('TS-PILE'!$D$72:$D$91))),IF('TS-PILE'!$B$89="",1E+99,'TO HOP NLAN'!D197/ncoc+IF(SUMSQ('TS-PILE'!$E$72:$E$91)=0,0,'TO HOP NLAN'!E197*'TS-PILE'!$E$89/SUMSQ('TS-PILE'!$E$72:$E$91))+IF(SUMSQ('TS-PILE'!$D$72:$D$91)=0,0,'TO HOP NLAN'!F197*'TS-PILE'!$D$89/SUMSQ('TS-PILE'!$D$72:$D$91))),IF('TS-PILE'!$B$90="",1E+99,'TO HOP NLAN'!D197/ncoc+IF(SUMSQ('TS-PILE'!$E$72:$E$91)=0,0,'TO HOP NLAN'!E197*'TS-PILE'!$E$90/SUMSQ('TS-PILE'!$E$72:$E$91))+IF(SUMSQ('TS-PILE'!$D$72:$D$91)=0,0,'TO HOP NLAN'!F197*'TS-PILE'!$D$90/SUMSQ('TS-PILE'!$D$72:$D$91))),IF('TS-PILE'!$B$91="",1E+99,'TO HOP NLAN'!D197/ncoc+IF(SUMSQ('TS-PILE'!$E$72:$E$91)=0,0,'TO HOP NLAN'!E197*'TS-PILE'!$E$91/SUMSQ('TS-PILE'!$E$72:$E$91))+IF(SUMSQ('TS-PILE'!$D$72:$D$91)=0,0,'TO HOP NLAN'!F197*'TS-PILE'!$D$91/SUMSQ('TS-PILE'!$D$72:$D$91)))))</f>
        <v>0</v>
      </c>
      <c r="E197" s="58">
        <f t="shared" si="8"/>
        <v>-9.9999999999999997E+98</v>
      </c>
      <c r="F197" s="58">
        <f t="shared" si="9"/>
        <v>9.9999999999999997E+98</v>
      </c>
      <c r="G197" s="58">
        <f t="shared" si="10"/>
        <v>-9.9999999999999997E+98</v>
      </c>
      <c r="H197" s="58">
        <f t="shared" si="11"/>
        <v>9.9999999999999997E+98</v>
      </c>
    </row>
    <row r="198" spans="1:8" x14ac:dyDescent="0.3">
      <c r="A198" s="42" t="str">
        <f>'TO HOP NLAN'!A198</f>
        <v/>
      </c>
      <c r="B198" s="42" t="str">
        <f>'TO HOP NLAN'!L198</f>
        <v>STRENGTH</v>
      </c>
      <c r="C198" s="58">
        <f>IF(A198="",0,MAX(IF('TS-PILE'!$B$72="",-1E+99,'TO HOP NLAN'!D198/ncoc+IF(SUMSQ('TS-PILE'!$E$72:$E$91)=0,0,'TO HOP NLAN'!E198*'TS-PILE'!$E$72/SUMSQ('TS-PILE'!$E$72:$E$91))+IF(SUMSQ('TS-PILE'!$D$72:$D$91)=0,0,'TO HOP NLAN'!F198*'TS-PILE'!$D$72/SUMSQ('TS-PILE'!$D$72:$D$91))),IF('TS-PILE'!$B$73="",-1E+99,'TO HOP NLAN'!D198/ncoc+IF(SUMSQ('TS-PILE'!$E$72:$E$91)=0,0,'TO HOP NLAN'!E198*'TS-PILE'!$E$73/SUMSQ('TS-PILE'!$E$72:$E$91))+IF(SUMSQ('TS-PILE'!$D$72:$D$91)=0,0,'TO HOP NLAN'!F198*'TS-PILE'!$D$73/SUMSQ('TS-PILE'!$D$72:$D$91))),IF('TS-PILE'!$B$74="",-1E+99,'TO HOP NLAN'!D198/ncoc+IF(SUMSQ('TS-PILE'!$E$72:$E$91)=0,0,'TO HOP NLAN'!E198*'TS-PILE'!$E$74/SUMSQ('TS-PILE'!$E$72:$E$91))+IF(SUMSQ('TS-PILE'!$D$72:$D$91)=0,0,'TO HOP NLAN'!F198*'TS-PILE'!$D$74/SUMSQ('TS-PILE'!$D$72:$D$91))),IF('TS-PILE'!$B$75="",-1E+99,'TO HOP NLAN'!D198/ncoc+IF(SUMSQ('TS-PILE'!$E$72:$E$91)=0,0,'TO HOP NLAN'!E198*'TS-PILE'!$E$75/SUMSQ('TS-PILE'!$E$72:$E$91))+IF(SUMSQ('TS-PILE'!$D$72:$D$91)=0,0,'TO HOP NLAN'!F198*'TS-PILE'!$D$75/SUMSQ('TS-PILE'!$D$72:$D$91))),IF('TS-PILE'!$B$76="",-1E+99,'TO HOP NLAN'!D198/ncoc+IF(SUMSQ('TS-PILE'!$E$72:$E$91)=0,0,'TO HOP NLAN'!E198*'TS-PILE'!$E$76/SUMSQ('TS-PILE'!$E$72:$E$91))+IF(SUMSQ('TS-PILE'!$D$72:$D$91)=0,0,'TO HOP NLAN'!F198*'TS-PILE'!$D$76/SUMSQ('TS-PILE'!$D$72:$D$91))),IF('TS-PILE'!$B$77="",-1E+99,'TO HOP NLAN'!D198/ncoc+IF(SUMSQ('TS-PILE'!$E$72:$E$91)=0,0,'TO HOP NLAN'!E198*'TS-PILE'!$E$77/SUMSQ('TS-PILE'!$E$72:$E$91))+IF(SUMSQ('TS-PILE'!$D$72:$D$91)=0,0,'TO HOP NLAN'!F198*'TS-PILE'!$D$77/SUMSQ('TS-PILE'!$D$72:$D$91))),IF('TS-PILE'!$B$78="",-1E+99,'TO HOP NLAN'!D198/ncoc+IF(SUMSQ('TS-PILE'!$E$72:$E$91)=0,0,'TO HOP NLAN'!E198*'TS-PILE'!$E$78/SUMSQ('TS-PILE'!$E$72:$E$91))+IF(SUMSQ('TS-PILE'!$D$72:$D$91)=0,0,'TO HOP NLAN'!F198*'TS-PILE'!$D$78/SUMSQ('TS-PILE'!$D$72:$D$91))),IF('TS-PILE'!$B$79="",-1E+99,'TO HOP NLAN'!D198/ncoc+IF(SUMSQ('TS-PILE'!$E$72:$E$91)=0,0,'TO HOP NLAN'!E198*'TS-PILE'!$E$79/SUMSQ('TS-PILE'!$E$72:$E$91))+IF(SUMSQ('TS-PILE'!$D$72:$D$91)=0,0,'TO HOP NLAN'!F198*'TS-PILE'!$D$79/SUMSQ('TS-PILE'!$D$72:$D$91))),IF('TS-PILE'!$B$80="",-1E+99,'TO HOP NLAN'!D198/ncoc+IF(SUMSQ('TS-PILE'!$E$72:$E$91)=0,0,'TO HOP NLAN'!E198*'TS-PILE'!$E$80/SUMSQ('TS-PILE'!$E$72:$E$91))+IF(SUMSQ('TS-PILE'!$D$72:$D$91)=0,0,'TO HOP NLAN'!F198*'TS-PILE'!$D$80/SUMSQ('TS-PILE'!$D$72:$D$91))),IF('TS-PILE'!$B$81="",-1E+99,'TO HOP NLAN'!D198/ncoc+IF(SUMSQ('TS-PILE'!$E$72:$E$91)=0,0,'TO HOP NLAN'!E198*'TS-PILE'!$E$81/SUMSQ('TS-PILE'!$E$72:$E$91))+IF(SUMSQ('TS-PILE'!$D$72:$D$91)=0,0,'TO HOP NLAN'!F198*'TS-PILE'!$D$81/SUMSQ('TS-PILE'!$D$72:$D$91))),IF('TS-PILE'!$B$82="",-1E+99,'TO HOP NLAN'!D198/ncoc+IF(SUMSQ('TS-PILE'!$E$72:$E$91)=0,0,'TO HOP NLAN'!E198*'TS-PILE'!$E$82/SUMSQ('TS-PILE'!$E$72:$E$91))+IF(SUMSQ('TS-PILE'!$D$72:$D$91)=0,0,'TO HOP NLAN'!F198*'TS-PILE'!$D$82/SUMSQ('TS-PILE'!$D$72:$D$91))),IF('TS-PILE'!$B$83="",-1E+99,'TO HOP NLAN'!D198/ncoc+IF(SUMSQ('TS-PILE'!$E$72:$E$91)=0,0,'TO HOP NLAN'!E198*'TS-PILE'!$E$83/SUMSQ('TS-PILE'!$E$72:$E$91))+IF(SUMSQ('TS-PILE'!$D$72:$D$91)=0,0,'TO HOP NLAN'!F198*'TS-PILE'!$D$83/SUMSQ('TS-PILE'!$D$72:$D$91))),IF('TS-PILE'!$B$84="",-1E+99,'TO HOP NLAN'!D198/ncoc+IF(SUMSQ('TS-PILE'!$E$72:$E$91)=0,0,'TO HOP NLAN'!E198*'TS-PILE'!$E$84/SUMSQ('TS-PILE'!$E$72:$E$91))+IF(SUMSQ('TS-PILE'!$D$72:$D$91)=0,0,'TO HOP NLAN'!F198*'TS-PILE'!$D$84/SUMSQ('TS-PILE'!$D$72:$D$91))),IF('TS-PILE'!$B$85="",-1E+99,'TO HOP NLAN'!D198/ncoc+IF(SUMSQ('TS-PILE'!$E$72:$E$91)=0,0,'TO HOP NLAN'!E198*'TS-PILE'!$E$85/SUMSQ('TS-PILE'!$E$72:$E$91))+IF(SUMSQ('TS-PILE'!$D$72:$D$91)=0,0,'TO HOP NLAN'!F198*'TS-PILE'!$D$85/SUMSQ('TS-PILE'!$D$72:$D$91))),IF('TS-PILE'!$B$86="",-1E+99,'TO HOP NLAN'!D198/ncoc+IF(SUMSQ('TS-PILE'!$E$72:$E$91)=0,0,'TO HOP NLAN'!E198*'TS-PILE'!$E$86/SUMSQ('TS-PILE'!$E$72:$E$91))+IF(SUMSQ('TS-PILE'!$D$72:$D$91)=0,0,'TO HOP NLAN'!F198*'TS-PILE'!$D$86/SUMSQ('TS-PILE'!$D$72:$D$91))),IF('TS-PILE'!$B$87="",-1E+99,'TO HOP NLAN'!D198/ncoc+IF(SUMSQ('TS-PILE'!$E$72:$E$91)=0,0,'TO HOP NLAN'!E198*'TS-PILE'!$E$87/SUMSQ('TS-PILE'!$E$72:$E$91))+IF(SUMSQ('TS-PILE'!$D$72:$D$91)=0,0,'TO HOP NLAN'!F198*'TS-PILE'!$D$87/SUMSQ('TS-PILE'!$D$72:$D$91))),IF('TS-PILE'!$B$88="",-1E+99,'TO HOP NLAN'!D198/ncoc+IF(SUMSQ('TS-PILE'!$E$72:$E$91)=0,0,'TO HOP NLAN'!E198*'TS-PILE'!$E$88/SUMSQ('TS-PILE'!$E$72:$E$91))+IF(SUMSQ('TS-PILE'!$D$72:$D$91)=0,0,'TO HOP NLAN'!F198*'TS-PILE'!$D$88/SUMSQ('TS-PILE'!$D$72:$D$91))),IF('TS-PILE'!$B$89="",-1E+99,'TO HOP NLAN'!D198/ncoc+IF(SUMSQ('TS-PILE'!$E$72:$E$91)=0,0,'TO HOP NLAN'!E198*'TS-PILE'!$E$89/SUMSQ('TS-PILE'!$E$72:$E$91))+IF(SUMSQ('TS-PILE'!$D$72:$D$91)=0,0,'TO HOP NLAN'!F198*'TS-PILE'!$D$89/SUMSQ('TS-PILE'!$D$72:$D$91))),IF('TS-PILE'!$B$90="",-1E+99,'TO HOP NLAN'!D198/ncoc+IF(SUMSQ('TS-PILE'!$E$72:$E$91)=0,0,'TO HOP NLAN'!E198*'TS-PILE'!$E$90/SUMSQ('TS-PILE'!$E$72:$E$91))+IF(SUMSQ('TS-PILE'!$D$72:$D$91)=0,0,'TO HOP NLAN'!F198*'TS-PILE'!$D$90/SUMSQ('TS-PILE'!$D$72:$D$91))),IF('TS-PILE'!$B$91="",-1E+99,'TO HOP NLAN'!D198/ncoc+IF(SUMSQ('TS-PILE'!$E$72:$E$91)=0,0,'TO HOP NLAN'!E198*'TS-PILE'!$E$91/SUMSQ('TS-PILE'!$E$72:$E$91))+IF(SUMSQ('TS-PILE'!$D$72:$D$91)=0,0,'TO HOP NLAN'!F198*'TS-PILE'!$D$91/SUMSQ('TS-PILE'!$D$72:$D$91)))))</f>
        <v>0</v>
      </c>
      <c r="D198" s="58">
        <f>IF(A198="",0,MIN(IF('TS-PILE'!$B$72="",1E+99,'TO HOP NLAN'!D198/ncoc+IF(SUMSQ('TS-PILE'!$E$72:$E$91)=0,0,'TO HOP NLAN'!E198*'TS-PILE'!$E$72/SUMSQ('TS-PILE'!$E$72:$E$91))+IF(SUMSQ('TS-PILE'!$D$72:$D$91)=0,0,'TO HOP NLAN'!F198*'TS-PILE'!$D$72/SUMSQ('TS-PILE'!$D$72:$D$91))),IF('TS-PILE'!$B$73="",1E+99,'TO HOP NLAN'!D198/ncoc+IF(SUMSQ('TS-PILE'!$E$72:$E$91)=0,0,'TO HOP NLAN'!E198*'TS-PILE'!$E$73/SUMSQ('TS-PILE'!$E$72:$E$91))+IF(SUMSQ('TS-PILE'!$D$72:$D$91)=0,0,'TO HOP NLAN'!F198*'TS-PILE'!$D$73/SUMSQ('TS-PILE'!$D$72:$D$91))),IF('TS-PILE'!$B$74="",1E+99,'TO HOP NLAN'!D198/ncoc+IF(SUMSQ('TS-PILE'!$E$72:$E$91)=0,0,'TO HOP NLAN'!E198*'TS-PILE'!$E$74/SUMSQ('TS-PILE'!$E$72:$E$91))+IF(SUMSQ('TS-PILE'!$D$72:$D$91)=0,0,'TO HOP NLAN'!F198*'TS-PILE'!$D$74/SUMSQ('TS-PILE'!$D$72:$D$91))),IF('TS-PILE'!$B$75="",1E+99,'TO HOP NLAN'!D198/ncoc+IF(SUMSQ('TS-PILE'!$E$72:$E$91)=0,0,'TO HOP NLAN'!E198*'TS-PILE'!$E$75/SUMSQ('TS-PILE'!$E$72:$E$91))+IF(SUMSQ('TS-PILE'!$D$72:$D$91)=0,0,'TO HOP NLAN'!F198*'TS-PILE'!$D$75/SUMSQ('TS-PILE'!$D$72:$D$91))),IF('TS-PILE'!$B$76="",1E+99,'TO HOP NLAN'!D198/ncoc+IF(SUMSQ('TS-PILE'!$E$72:$E$91)=0,0,'TO HOP NLAN'!E198*'TS-PILE'!$E$76/SUMSQ('TS-PILE'!$E$72:$E$91))+IF(SUMSQ('TS-PILE'!$D$72:$D$91)=0,0,'TO HOP NLAN'!F198*'TS-PILE'!$D$76/SUMSQ('TS-PILE'!$D$72:$D$91))),IF('TS-PILE'!$B$77="",1E+99,'TO HOP NLAN'!D198/ncoc+IF(SUMSQ('TS-PILE'!$E$72:$E$91)=0,0,'TO HOP NLAN'!E198*'TS-PILE'!$E$77/SUMSQ('TS-PILE'!$E$72:$E$91))+IF(SUMSQ('TS-PILE'!$D$72:$D$91)=0,0,'TO HOP NLAN'!F198*'TS-PILE'!$D$77/SUMSQ('TS-PILE'!$D$72:$D$91))),IF('TS-PILE'!$B$78="",1E+99,'TO HOP NLAN'!D198/ncoc+IF(SUMSQ('TS-PILE'!$E$72:$E$91)=0,0,'TO HOP NLAN'!E198*'TS-PILE'!$E$78/SUMSQ('TS-PILE'!$E$72:$E$91))+IF(SUMSQ('TS-PILE'!$D$72:$D$91)=0,0,'TO HOP NLAN'!F198*'TS-PILE'!$D$78/SUMSQ('TS-PILE'!$D$72:$D$91))),IF('TS-PILE'!$B$79="",1E+99,'TO HOP NLAN'!D198/ncoc+IF(SUMSQ('TS-PILE'!$E$72:$E$91)=0,0,'TO HOP NLAN'!E198*'TS-PILE'!$E$79/SUMSQ('TS-PILE'!$E$72:$E$91))+IF(SUMSQ('TS-PILE'!$D$72:$D$91)=0,0,'TO HOP NLAN'!F198*'TS-PILE'!$D$79/SUMSQ('TS-PILE'!$D$72:$D$91))),IF('TS-PILE'!$B$80="",1E+99,'TO HOP NLAN'!D198/ncoc+IF(SUMSQ('TS-PILE'!$E$72:$E$91)=0,0,'TO HOP NLAN'!E198*'TS-PILE'!$E$80/SUMSQ('TS-PILE'!$E$72:$E$91))+IF(SUMSQ('TS-PILE'!$D$72:$D$91)=0,0,'TO HOP NLAN'!F198*'TS-PILE'!$D$80/SUMSQ('TS-PILE'!$D$72:$D$91))),IF('TS-PILE'!$B$81="",1E+99,'TO HOP NLAN'!D198/ncoc+IF(SUMSQ('TS-PILE'!$E$72:$E$91)=0,0,'TO HOP NLAN'!E198*'TS-PILE'!$E$81/SUMSQ('TS-PILE'!$E$72:$E$91))+IF(SUMSQ('TS-PILE'!$D$72:$D$91)=0,0,'TO HOP NLAN'!F198*'TS-PILE'!$D$81/SUMSQ('TS-PILE'!$D$72:$D$91))),IF('TS-PILE'!$B$82="",1E+99,'TO HOP NLAN'!D198/ncoc+IF(SUMSQ('TS-PILE'!$E$72:$E$91)=0,0,'TO HOP NLAN'!E198*'TS-PILE'!$E$82/SUMSQ('TS-PILE'!$E$72:$E$91))+IF(SUMSQ('TS-PILE'!$D$72:$D$91)=0,0,'TO HOP NLAN'!F198*'TS-PILE'!$D$82/SUMSQ('TS-PILE'!$D$72:$D$91))),IF('TS-PILE'!$B$83="",1E+99,'TO HOP NLAN'!D198/ncoc+IF(SUMSQ('TS-PILE'!$E$72:$E$91)=0,0,'TO HOP NLAN'!E198*'TS-PILE'!$E$83/SUMSQ('TS-PILE'!$E$72:$E$91))+IF(SUMSQ('TS-PILE'!$D$72:$D$91)=0,0,'TO HOP NLAN'!F198*'TS-PILE'!$D$83/SUMSQ('TS-PILE'!$D$72:$D$91))),IF('TS-PILE'!$B$84="",1E+99,'TO HOP NLAN'!D198/ncoc+IF(SUMSQ('TS-PILE'!$E$72:$E$91)=0,0,'TO HOP NLAN'!E198*'TS-PILE'!$E$84/SUMSQ('TS-PILE'!$E$72:$E$91))+IF(SUMSQ('TS-PILE'!$D$72:$D$91)=0,0,'TO HOP NLAN'!F198*'TS-PILE'!$D$84/SUMSQ('TS-PILE'!$D$72:$D$91))),IF('TS-PILE'!$B$85="",1E+99,'TO HOP NLAN'!D198/ncoc+IF(SUMSQ('TS-PILE'!$E$72:$E$91)=0,0,'TO HOP NLAN'!E198*'TS-PILE'!$E$85/SUMSQ('TS-PILE'!$E$72:$E$91))+IF(SUMSQ('TS-PILE'!$D$72:$D$91)=0,0,'TO HOP NLAN'!F198*'TS-PILE'!$D$85/SUMSQ('TS-PILE'!$D$72:$D$91))),IF('TS-PILE'!$B$86="",1E+99,'TO HOP NLAN'!D198/ncoc+IF(SUMSQ('TS-PILE'!$E$72:$E$91)=0,0,'TO HOP NLAN'!E198*'TS-PILE'!$E$86/SUMSQ('TS-PILE'!$E$72:$E$91))+IF(SUMSQ('TS-PILE'!$D$72:$D$91)=0,0,'TO HOP NLAN'!F198*'TS-PILE'!$D$86/SUMSQ('TS-PILE'!$D$72:$D$91))),IF('TS-PILE'!$B$87="",1E+99,'TO HOP NLAN'!D198/ncoc+IF(SUMSQ('TS-PILE'!$E$72:$E$91)=0,0,'TO HOP NLAN'!E198*'TS-PILE'!$E$87/SUMSQ('TS-PILE'!$E$72:$E$91))+IF(SUMSQ('TS-PILE'!$D$72:$D$91)=0,0,'TO HOP NLAN'!F198*'TS-PILE'!$D$87/SUMSQ('TS-PILE'!$D$72:$D$91))),IF('TS-PILE'!$B$88="",1E+99,'TO HOP NLAN'!D198/ncoc+IF(SUMSQ('TS-PILE'!$E$72:$E$91)=0,0,'TO HOP NLAN'!E198*'TS-PILE'!$E$88/SUMSQ('TS-PILE'!$E$72:$E$91))+IF(SUMSQ('TS-PILE'!$D$72:$D$91)=0,0,'TO HOP NLAN'!F198*'TS-PILE'!$D$88/SUMSQ('TS-PILE'!$D$72:$D$91))),IF('TS-PILE'!$B$89="",1E+99,'TO HOP NLAN'!D198/ncoc+IF(SUMSQ('TS-PILE'!$E$72:$E$91)=0,0,'TO HOP NLAN'!E198*'TS-PILE'!$E$89/SUMSQ('TS-PILE'!$E$72:$E$91))+IF(SUMSQ('TS-PILE'!$D$72:$D$91)=0,0,'TO HOP NLAN'!F198*'TS-PILE'!$D$89/SUMSQ('TS-PILE'!$D$72:$D$91))),IF('TS-PILE'!$B$90="",1E+99,'TO HOP NLAN'!D198/ncoc+IF(SUMSQ('TS-PILE'!$E$72:$E$91)=0,0,'TO HOP NLAN'!E198*'TS-PILE'!$E$90/SUMSQ('TS-PILE'!$E$72:$E$91))+IF(SUMSQ('TS-PILE'!$D$72:$D$91)=0,0,'TO HOP NLAN'!F198*'TS-PILE'!$D$90/SUMSQ('TS-PILE'!$D$72:$D$91))),IF('TS-PILE'!$B$91="",1E+99,'TO HOP NLAN'!D198/ncoc+IF(SUMSQ('TS-PILE'!$E$72:$E$91)=0,0,'TO HOP NLAN'!E198*'TS-PILE'!$E$91/SUMSQ('TS-PILE'!$E$72:$E$91))+IF(SUMSQ('TS-PILE'!$D$72:$D$91)=0,0,'TO HOP NLAN'!F198*'TS-PILE'!$D$91/SUMSQ('TS-PILE'!$D$72:$D$91)))))</f>
        <v>0</v>
      </c>
      <c r="E198" s="58">
        <f t="shared" ref="E198:E261" si="12">IF(AND(A198&lt;&gt;"",B198="SERVICE"),C198,-1E+99)</f>
        <v>-9.9999999999999997E+98</v>
      </c>
      <c r="F198" s="58">
        <f t="shared" ref="F198:F261" si="13">IF(AND(A198&lt;&gt;"",B198="SERVICE"),D198,1E+99)</f>
        <v>9.9999999999999997E+98</v>
      </c>
      <c r="G198" s="58">
        <f t="shared" ref="G198:G261" si="14">IF(AND(A198&lt;&gt;"",B198="STRENGTH"),C198,-1E+99)</f>
        <v>-9.9999999999999997E+98</v>
      </c>
      <c r="H198" s="58">
        <f t="shared" ref="H198:H261" si="15">IF(AND(A198&lt;&gt;"",B198="STRENGTH"),D198,1E+99)</f>
        <v>9.9999999999999997E+98</v>
      </c>
    </row>
    <row r="199" spans="1:8" x14ac:dyDescent="0.3">
      <c r="A199" s="42" t="str">
        <f>'TO HOP NLAN'!A199</f>
        <v/>
      </c>
      <c r="B199" s="42" t="str">
        <f>'TO HOP NLAN'!L199</f>
        <v>STRENGTH</v>
      </c>
      <c r="C199" s="58">
        <f>IF(A199="",0,MAX(IF('TS-PILE'!$B$72="",-1E+99,'TO HOP NLAN'!D199/ncoc+IF(SUMSQ('TS-PILE'!$E$72:$E$91)=0,0,'TO HOP NLAN'!E199*'TS-PILE'!$E$72/SUMSQ('TS-PILE'!$E$72:$E$91))+IF(SUMSQ('TS-PILE'!$D$72:$D$91)=0,0,'TO HOP NLAN'!F199*'TS-PILE'!$D$72/SUMSQ('TS-PILE'!$D$72:$D$91))),IF('TS-PILE'!$B$73="",-1E+99,'TO HOP NLAN'!D199/ncoc+IF(SUMSQ('TS-PILE'!$E$72:$E$91)=0,0,'TO HOP NLAN'!E199*'TS-PILE'!$E$73/SUMSQ('TS-PILE'!$E$72:$E$91))+IF(SUMSQ('TS-PILE'!$D$72:$D$91)=0,0,'TO HOP NLAN'!F199*'TS-PILE'!$D$73/SUMSQ('TS-PILE'!$D$72:$D$91))),IF('TS-PILE'!$B$74="",-1E+99,'TO HOP NLAN'!D199/ncoc+IF(SUMSQ('TS-PILE'!$E$72:$E$91)=0,0,'TO HOP NLAN'!E199*'TS-PILE'!$E$74/SUMSQ('TS-PILE'!$E$72:$E$91))+IF(SUMSQ('TS-PILE'!$D$72:$D$91)=0,0,'TO HOP NLAN'!F199*'TS-PILE'!$D$74/SUMSQ('TS-PILE'!$D$72:$D$91))),IF('TS-PILE'!$B$75="",-1E+99,'TO HOP NLAN'!D199/ncoc+IF(SUMSQ('TS-PILE'!$E$72:$E$91)=0,0,'TO HOP NLAN'!E199*'TS-PILE'!$E$75/SUMSQ('TS-PILE'!$E$72:$E$91))+IF(SUMSQ('TS-PILE'!$D$72:$D$91)=0,0,'TO HOP NLAN'!F199*'TS-PILE'!$D$75/SUMSQ('TS-PILE'!$D$72:$D$91))),IF('TS-PILE'!$B$76="",-1E+99,'TO HOP NLAN'!D199/ncoc+IF(SUMSQ('TS-PILE'!$E$72:$E$91)=0,0,'TO HOP NLAN'!E199*'TS-PILE'!$E$76/SUMSQ('TS-PILE'!$E$72:$E$91))+IF(SUMSQ('TS-PILE'!$D$72:$D$91)=0,0,'TO HOP NLAN'!F199*'TS-PILE'!$D$76/SUMSQ('TS-PILE'!$D$72:$D$91))),IF('TS-PILE'!$B$77="",-1E+99,'TO HOP NLAN'!D199/ncoc+IF(SUMSQ('TS-PILE'!$E$72:$E$91)=0,0,'TO HOP NLAN'!E199*'TS-PILE'!$E$77/SUMSQ('TS-PILE'!$E$72:$E$91))+IF(SUMSQ('TS-PILE'!$D$72:$D$91)=0,0,'TO HOP NLAN'!F199*'TS-PILE'!$D$77/SUMSQ('TS-PILE'!$D$72:$D$91))),IF('TS-PILE'!$B$78="",-1E+99,'TO HOP NLAN'!D199/ncoc+IF(SUMSQ('TS-PILE'!$E$72:$E$91)=0,0,'TO HOP NLAN'!E199*'TS-PILE'!$E$78/SUMSQ('TS-PILE'!$E$72:$E$91))+IF(SUMSQ('TS-PILE'!$D$72:$D$91)=0,0,'TO HOP NLAN'!F199*'TS-PILE'!$D$78/SUMSQ('TS-PILE'!$D$72:$D$91))),IF('TS-PILE'!$B$79="",-1E+99,'TO HOP NLAN'!D199/ncoc+IF(SUMSQ('TS-PILE'!$E$72:$E$91)=0,0,'TO HOP NLAN'!E199*'TS-PILE'!$E$79/SUMSQ('TS-PILE'!$E$72:$E$91))+IF(SUMSQ('TS-PILE'!$D$72:$D$91)=0,0,'TO HOP NLAN'!F199*'TS-PILE'!$D$79/SUMSQ('TS-PILE'!$D$72:$D$91))),IF('TS-PILE'!$B$80="",-1E+99,'TO HOP NLAN'!D199/ncoc+IF(SUMSQ('TS-PILE'!$E$72:$E$91)=0,0,'TO HOP NLAN'!E199*'TS-PILE'!$E$80/SUMSQ('TS-PILE'!$E$72:$E$91))+IF(SUMSQ('TS-PILE'!$D$72:$D$91)=0,0,'TO HOP NLAN'!F199*'TS-PILE'!$D$80/SUMSQ('TS-PILE'!$D$72:$D$91))),IF('TS-PILE'!$B$81="",-1E+99,'TO HOP NLAN'!D199/ncoc+IF(SUMSQ('TS-PILE'!$E$72:$E$91)=0,0,'TO HOP NLAN'!E199*'TS-PILE'!$E$81/SUMSQ('TS-PILE'!$E$72:$E$91))+IF(SUMSQ('TS-PILE'!$D$72:$D$91)=0,0,'TO HOP NLAN'!F199*'TS-PILE'!$D$81/SUMSQ('TS-PILE'!$D$72:$D$91))),IF('TS-PILE'!$B$82="",-1E+99,'TO HOP NLAN'!D199/ncoc+IF(SUMSQ('TS-PILE'!$E$72:$E$91)=0,0,'TO HOP NLAN'!E199*'TS-PILE'!$E$82/SUMSQ('TS-PILE'!$E$72:$E$91))+IF(SUMSQ('TS-PILE'!$D$72:$D$91)=0,0,'TO HOP NLAN'!F199*'TS-PILE'!$D$82/SUMSQ('TS-PILE'!$D$72:$D$91))),IF('TS-PILE'!$B$83="",-1E+99,'TO HOP NLAN'!D199/ncoc+IF(SUMSQ('TS-PILE'!$E$72:$E$91)=0,0,'TO HOP NLAN'!E199*'TS-PILE'!$E$83/SUMSQ('TS-PILE'!$E$72:$E$91))+IF(SUMSQ('TS-PILE'!$D$72:$D$91)=0,0,'TO HOP NLAN'!F199*'TS-PILE'!$D$83/SUMSQ('TS-PILE'!$D$72:$D$91))),IF('TS-PILE'!$B$84="",-1E+99,'TO HOP NLAN'!D199/ncoc+IF(SUMSQ('TS-PILE'!$E$72:$E$91)=0,0,'TO HOP NLAN'!E199*'TS-PILE'!$E$84/SUMSQ('TS-PILE'!$E$72:$E$91))+IF(SUMSQ('TS-PILE'!$D$72:$D$91)=0,0,'TO HOP NLAN'!F199*'TS-PILE'!$D$84/SUMSQ('TS-PILE'!$D$72:$D$91))),IF('TS-PILE'!$B$85="",-1E+99,'TO HOP NLAN'!D199/ncoc+IF(SUMSQ('TS-PILE'!$E$72:$E$91)=0,0,'TO HOP NLAN'!E199*'TS-PILE'!$E$85/SUMSQ('TS-PILE'!$E$72:$E$91))+IF(SUMSQ('TS-PILE'!$D$72:$D$91)=0,0,'TO HOP NLAN'!F199*'TS-PILE'!$D$85/SUMSQ('TS-PILE'!$D$72:$D$91))),IF('TS-PILE'!$B$86="",-1E+99,'TO HOP NLAN'!D199/ncoc+IF(SUMSQ('TS-PILE'!$E$72:$E$91)=0,0,'TO HOP NLAN'!E199*'TS-PILE'!$E$86/SUMSQ('TS-PILE'!$E$72:$E$91))+IF(SUMSQ('TS-PILE'!$D$72:$D$91)=0,0,'TO HOP NLAN'!F199*'TS-PILE'!$D$86/SUMSQ('TS-PILE'!$D$72:$D$91))),IF('TS-PILE'!$B$87="",-1E+99,'TO HOP NLAN'!D199/ncoc+IF(SUMSQ('TS-PILE'!$E$72:$E$91)=0,0,'TO HOP NLAN'!E199*'TS-PILE'!$E$87/SUMSQ('TS-PILE'!$E$72:$E$91))+IF(SUMSQ('TS-PILE'!$D$72:$D$91)=0,0,'TO HOP NLAN'!F199*'TS-PILE'!$D$87/SUMSQ('TS-PILE'!$D$72:$D$91))),IF('TS-PILE'!$B$88="",-1E+99,'TO HOP NLAN'!D199/ncoc+IF(SUMSQ('TS-PILE'!$E$72:$E$91)=0,0,'TO HOP NLAN'!E199*'TS-PILE'!$E$88/SUMSQ('TS-PILE'!$E$72:$E$91))+IF(SUMSQ('TS-PILE'!$D$72:$D$91)=0,0,'TO HOP NLAN'!F199*'TS-PILE'!$D$88/SUMSQ('TS-PILE'!$D$72:$D$91))),IF('TS-PILE'!$B$89="",-1E+99,'TO HOP NLAN'!D199/ncoc+IF(SUMSQ('TS-PILE'!$E$72:$E$91)=0,0,'TO HOP NLAN'!E199*'TS-PILE'!$E$89/SUMSQ('TS-PILE'!$E$72:$E$91))+IF(SUMSQ('TS-PILE'!$D$72:$D$91)=0,0,'TO HOP NLAN'!F199*'TS-PILE'!$D$89/SUMSQ('TS-PILE'!$D$72:$D$91))),IF('TS-PILE'!$B$90="",-1E+99,'TO HOP NLAN'!D199/ncoc+IF(SUMSQ('TS-PILE'!$E$72:$E$91)=0,0,'TO HOP NLAN'!E199*'TS-PILE'!$E$90/SUMSQ('TS-PILE'!$E$72:$E$91))+IF(SUMSQ('TS-PILE'!$D$72:$D$91)=0,0,'TO HOP NLAN'!F199*'TS-PILE'!$D$90/SUMSQ('TS-PILE'!$D$72:$D$91))),IF('TS-PILE'!$B$91="",-1E+99,'TO HOP NLAN'!D199/ncoc+IF(SUMSQ('TS-PILE'!$E$72:$E$91)=0,0,'TO HOP NLAN'!E199*'TS-PILE'!$E$91/SUMSQ('TS-PILE'!$E$72:$E$91))+IF(SUMSQ('TS-PILE'!$D$72:$D$91)=0,0,'TO HOP NLAN'!F199*'TS-PILE'!$D$91/SUMSQ('TS-PILE'!$D$72:$D$91)))))</f>
        <v>0</v>
      </c>
      <c r="D199" s="58">
        <f>IF(A199="",0,MIN(IF('TS-PILE'!$B$72="",1E+99,'TO HOP NLAN'!D199/ncoc+IF(SUMSQ('TS-PILE'!$E$72:$E$91)=0,0,'TO HOP NLAN'!E199*'TS-PILE'!$E$72/SUMSQ('TS-PILE'!$E$72:$E$91))+IF(SUMSQ('TS-PILE'!$D$72:$D$91)=0,0,'TO HOP NLAN'!F199*'TS-PILE'!$D$72/SUMSQ('TS-PILE'!$D$72:$D$91))),IF('TS-PILE'!$B$73="",1E+99,'TO HOP NLAN'!D199/ncoc+IF(SUMSQ('TS-PILE'!$E$72:$E$91)=0,0,'TO HOP NLAN'!E199*'TS-PILE'!$E$73/SUMSQ('TS-PILE'!$E$72:$E$91))+IF(SUMSQ('TS-PILE'!$D$72:$D$91)=0,0,'TO HOP NLAN'!F199*'TS-PILE'!$D$73/SUMSQ('TS-PILE'!$D$72:$D$91))),IF('TS-PILE'!$B$74="",1E+99,'TO HOP NLAN'!D199/ncoc+IF(SUMSQ('TS-PILE'!$E$72:$E$91)=0,0,'TO HOP NLAN'!E199*'TS-PILE'!$E$74/SUMSQ('TS-PILE'!$E$72:$E$91))+IF(SUMSQ('TS-PILE'!$D$72:$D$91)=0,0,'TO HOP NLAN'!F199*'TS-PILE'!$D$74/SUMSQ('TS-PILE'!$D$72:$D$91))),IF('TS-PILE'!$B$75="",1E+99,'TO HOP NLAN'!D199/ncoc+IF(SUMSQ('TS-PILE'!$E$72:$E$91)=0,0,'TO HOP NLAN'!E199*'TS-PILE'!$E$75/SUMSQ('TS-PILE'!$E$72:$E$91))+IF(SUMSQ('TS-PILE'!$D$72:$D$91)=0,0,'TO HOP NLAN'!F199*'TS-PILE'!$D$75/SUMSQ('TS-PILE'!$D$72:$D$91))),IF('TS-PILE'!$B$76="",1E+99,'TO HOP NLAN'!D199/ncoc+IF(SUMSQ('TS-PILE'!$E$72:$E$91)=0,0,'TO HOP NLAN'!E199*'TS-PILE'!$E$76/SUMSQ('TS-PILE'!$E$72:$E$91))+IF(SUMSQ('TS-PILE'!$D$72:$D$91)=0,0,'TO HOP NLAN'!F199*'TS-PILE'!$D$76/SUMSQ('TS-PILE'!$D$72:$D$91))),IF('TS-PILE'!$B$77="",1E+99,'TO HOP NLAN'!D199/ncoc+IF(SUMSQ('TS-PILE'!$E$72:$E$91)=0,0,'TO HOP NLAN'!E199*'TS-PILE'!$E$77/SUMSQ('TS-PILE'!$E$72:$E$91))+IF(SUMSQ('TS-PILE'!$D$72:$D$91)=0,0,'TO HOP NLAN'!F199*'TS-PILE'!$D$77/SUMSQ('TS-PILE'!$D$72:$D$91))),IF('TS-PILE'!$B$78="",1E+99,'TO HOP NLAN'!D199/ncoc+IF(SUMSQ('TS-PILE'!$E$72:$E$91)=0,0,'TO HOP NLAN'!E199*'TS-PILE'!$E$78/SUMSQ('TS-PILE'!$E$72:$E$91))+IF(SUMSQ('TS-PILE'!$D$72:$D$91)=0,0,'TO HOP NLAN'!F199*'TS-PILE'!$D$78/SUMSQ('TS-PILE'!$D$72:$D$91))),IF('TS-PILE'!$B$79="",1E+99,'TO HOP NLAN'!D199/ncoc+IF(SUMSQ('TS-PILE'!$E$72:$E$91)=0,0,'TO HOP NLAN'!E199*'TS-PILE'!$E$79/SUMSQ('TS-PILE'!$E$72:$E$91))+IF(SUMSQ('TS-PILE'!$D$72:$D$91)=0,0,'TO HOP NLAN'!F199*'TS-PILE'!$D$79/SUMSQ('TS-PILE'!$D$72:$D$91))),IF('TS-PILE'!$B$80="",1E+99,'TO HOP NLAN'!D199/ncoc+IF(SUMSQ('TS-PILE'!$E$72:$E$91)=0,0,'TO HOP NLAN'!E199*'TS-PILE'!$E$80/SUMSQ('TS-PILE'!$E$72:$E$91))+IF(SUMSQ('TS-PILE'!$D$72:$D$91)=0,0,'TO HOP NLAN'!F199*'TS-PILE'!$D$80/SUMSQ('TS-PILE'!$D$72:$D$91))),IF('TS-PILE'!$B$81="",1E+99,'TO HOP NLAN'!D199/ncoc+IF(SUMSQ('TS-PILE'!$E$72:$E$91)=0,0,'TO HOP NLAN'!E199*'TS-PILE'!$E$81/SUMSQ('TS-PILE'!$E$72:$E$91))+IF(SUMSQ('TS-PILE'!$D$72:$D$91)=0,0,'TO HOP NLAN'!F199*'TS-PILE'!$D$81/SUMSQ('TS-PILE'!$D$72:$D$91))),IF('TS-PILE'!$B$82="",1E+99,'TO HOP NLAN'!D199/ncoc+IF(SUMSQ('TS-PILE'!$E$72:$E$91)=0,0,'TO HOP NLAN'!E199*'TS-PILE'!$E$82/SUMSQ('TS-PILE'!$E$72:$E$91))+IF(SUMSQ('TS-PILE'!$D$72:$D$91)=0,0,'TO HOP NLAN'!F199*'TS-PILE'!$D$82/SUMSQ('TS-PILE'!$D$72:$D$91))),IF('TS-PILE'!$B$83="",1E+99,'TO HOP NLAN'!D199/ncoc+IF(SUMSQ('TS-PILE'!$E$72:$E$91)=0,0,'TO HOP NLAN'!E199*'TS-PILE'!$E$83/SUMSQ('TS-PILE'!$E$72:$E$91))+IF(SUMSQ('TS-PILE'!$D$72:$D$91)=0,0,'TO HOP NLAN'!F199*'TS-PILE'!$D$83/SUMSQ('TS-PILE'!$D$72:$D$91))),IF('TS-PILE'!$B$84="",1E+99,'TO HOP NLAN'!D199/ncoc+IF(SUMSQ('TS-PILE'!$E$72:$E$91)=0,0,'TO HOP NLAN'!E199*'TS-PILE'!$E$84/SUMSQ('TS-PILE'!$E$72:$E$91))+IF(SUMSQ('TS-PILE'!$D$72:$D$91)=0,0,'TO HOP NLAN'!F199*'TS-PILE'!$D$84/SUMSQ('TS-PILE'!$D$72:$D$91))),IF('TS-PILE'!$B$85="",1E+99,'TO HOP NLAN'!D199/ncoc+IF(SUMSQ('TS-PILE'!$E$72:$E$91)=0,0,'TO HOP NLAN'!E199*'TS-PILE'!$E$85/SUMSQ('TS-PILE'!$E$72:$E$91))+IF(SUMSQ('TS-PILE'!$D$72:$D$91)=0,0,'TO HOP NLAN'!F199*'TS-PILE'!$D$85/SUMSQ('TS-PILE'!$D$72:$D$91))),IF('TS-PILE'!$B$86="",1E+99,'TO HOP NLAN'!D199/ncoc+IF(SUMSQ('TS-PILE'!$E$72:$E$91)=0,0,'TO HOP NLAN'!E199*'TS-PILE'!$E$86/SUMSQ('TS-PILE'!$E$72:$E$91))+IF(SUMSQ('TS-PILE'!$D$72:$D$91)=0,0,'TO HOP NLAN'!F199*'TS-PILE'!$D$86/SUMSQ('TS-PILE'!$D$72:$D$91))),IF('TS-PILE'!$B$87="",1E+99,'TO HOP NLAN'!D199/ncoc+IF(SUMSQ('TS-PILE'!$E$72:$E$91)=0,0,'TO HOP NLAN'!E199*'TS-PILE'!$E$87/SUMSQ('TS-PILE'!$E$72:$E$91))+IF(SUMSQ('TS-PILE'!$D$72:$D$91)=0,0,'TO HOP NLAN'!F199*'TS-PILE'!$D$87/SUMSQ('TS-PILE'!$D$72:$D$91))),IF('TS-PILE'!$B$88="",1E+99,'TO HOP NLAN'!D199/ncoc+IF(SUMSQ('TS-PILE'!$E$72:$E$91)=0,0,'TO HOP NLAN'!E199*'TS-PILE'!$E$88/SUMSQ('TS-PILE'!$E$72:$E$91))+IF(SUMSQ('TS-PILE'!$D$72:$D$91)=0,0,'TO HOP NLAN'!F199*'TS-PILE'!$D$88/SUMSQ('TS-PILE'!$D$72:$D$91))),IF('TS-PILE'!$B$89="",1E+99,'TO HOP NLAN'!D199/ncoc+IF(SUMSQ('TS-PILE'!$E$72:$E$91)=0,0,'TO HOP NLAN'!E199*'TS-PILE'!$E$89/SUMSQ('TS-PILE'!$E$72:$E$91))+IF(SUMSQ('TS-PILE'!$D$72:$D$91)=0,0,'TO HOP NLAN'!F199*'TS-PILE'!$D$89/SUMSQ('TS-PILE'!$D$72:$D$91))),IF('TS-PILE'!$B$90="",1E+99,'TO HOP NLAN'!D199/ncoc+IF(SUMSQ('TS-PILE'!$E$72:$E$91)=0,0,'TO HOP NLAN'!E199*'TS-PILE'!$E$90/SUMSQ('TS-PILE'!$E$72:$E$91))+IF(SUMSQ('TS-PILE'!$D$72:$D$91)=0,0,'TO HOP NLAN'!F199*'TS-PILE'!$D$90/SUMSQ('TS-PILE'!$D$72:$D$91))),IF('TS-PILE'!$B$91="",1E+99,'TO HOP NLAN'!D199/ncoc+IF(SUMSQ('TS-PILE'!$E$72:$E$91)=0,0,'TO HOP NLAN'!E199*'TS-PILE'!$E$91/SUMSQ('TS-PILE'!$E$72:$E$91))+IF(SUMSQ('TS-PILE'!$D$72:$D$91)=0,0,'TO HOP NLAN'!F199*'TS-PILE'!$D$91/SUMSQ('TS-PILE'!$D$72:$D$91)))))</f>
        <v>0</v>
      </c>
      <c r="E199" s="58">
        <f t="shared" si="12"/>
        <v>-9.9999999999999997E+98</v>
      </c>
      <c r="F199" s="58">
        <f t="shared" si="13"/>
        <v>9.9999999999999997E+98</v>
      </c>
      <c r="G199" s="58">
        <f t="shared" si="14"/>
        <v>-9.9999999999999997E+98</v>
      </c>
      <c r="H199" s="58">
        <f t="shared" si="15"/>
        <v>9.9999999999999997E+98</v>
      </c>
    </row>
    <row r="200" spans="1:8" x14ac:dyDescent="0.3">
      <c r="A200" s="42" t="str">
        <f>'TO HOP NLAN'!A200</f>
        <v/>
      </c>
      <c r="B200" s="42" t="str">
        <f>'TO HOP NLAN'!L200</f>
        <v>STRENGTH</v>
      </c>
      <c r="C200" s="58">
        <f>IF(A200="",0,MAX(IF('TS-PILE'!$B$72="",-1E+99,'TO HOP NLAN'!D200/ncoc+IF(SUMSQ('TS-PILE'!$E$72:$E$91)=0,0,'TO HOP NLAN'!E200*'TS-PILE'!$E$72/SUMSQ('TS-PILE'!$E$72:$E$91))+IF(SUMSQ('TS-PILE'!$D$72:$D$91)=0,0,'TO HOP NLAN'!F200*'TS-PILE'!$D$72/SUMSQ('TS-PILE'!$D$72:$D$91))),IF('TS-PILE'!$B$73="",-1E+99,'TO HOP NLAN'!D200/ncoc+IF(SUMSQ('TS-PILE'!$E$72:$E$91)=0,0,'TO HOP NLAN'!E200*'TS-PILE'!$E$73/SUMSQ('TS-PILE'!$E$72:$E$91))+IF(SUMSQ('TS-PILE'!$D$72:$D$91)=0,0,'TO HOP NLAN'!F200*'TS-PILE'!$D$73/SUMSQ('TS-PILE'!$D$72:$D$91))),IF('TS-PILE'!$B$74="",-1E+99,'TO HOP NLAN'!D200/ncoc+IF(SUMSQ('TS-PILE'!$E$72:$E$91)=0,0,'TO HOP NLAN'!E200*'TS-PILE'!$E$74/SUMSQ('TS-PILE'!$E$72:$E$91))+IF(SUMSQ('TS-PILE'!$D$72:$D$91)=0,0,'TO HOP NLAN'!F200*'TS-PILE'!$D$74/SUMSQ('TS-PILE'!$D$72:$D$91))),IF('TS-PILE'!$B$75="",-1E+99,'TO HOP NLAN'!D200/ncoc+IF(SUMSQ('TS-PILE'!$E$72:$E$91)=0,0,'TO HOP NLAN'!E200*'TS-PILE'!$E$75/SUMSQ('TS-PILE'!$E$72:$E$91))+IF(SUMSQ('TS-PILE'!$D$72:$D$91)=0,0,'TO HOP NLAN'!F200*'TS-PILE'!$D$75/SUMSQ('TS-PILE'!$D$72:$D$91))),IF('TS-PILE'!$B$76="",-1E+99,'TO HOP NLAN'!D200/ncoc+IF(SUMSQ('TS-PILE'!$E$72:$E$91)=0,0,'TO HOP NLAN'!E200*'TS-PILE'!$E$76/SUMSQ('TS-PILE'!$E$72:$E$91))+IF(SUMSQ('TS-PILE'!$D$72:$D$91)=0,0,'TO HOP NLAN'!F200*'TS-PILE'!$D$76/SUMSQ('TS-PILE'!$D$72:$D$91))),IF('TS-PILE'!$B$77="",-1E+99,'TO HOP NLAN'!D200/ncoc+IF(SUMSQ('TS-PILE'!$E$72:$E$91)=0,0,'TO HOP NLAN'!E200*'TS-PILE'!$E$77/SUMSQ('TS-PILE'!$E$72:$E$91))+IF(SUMSQ('TS-PILE'!$D$72:$D$91)=0,0,'TO HOP NLAN'!F200*'TS-PILE'!$D$77/SUMSQ('TS-PILE'!$D$72:$D$91))),IF('TS-PILE'!$B$78="",-1E+99,'TO HOP NLAN'!D200/ncoc+IF(SUMSQ('TS-PILE'!$E$72:$E$91)=0,0,'TO HOP NLAN'!E200*'TS-PILE'!$E$78/SUMSQ('TS-PILE'!$E$72:$E$91))+IF(SUMSQ('TS-PILE'!$D$72:$D$91)=0,0,'TO HOP NLAN'!F200*'TS-PILE'!$D$78/SUMSQ('TS-PILE'!$D$72:$D$91))),IF('TS-PILE'!$B$79="",-1E+99,'TO HOP NLAN'!D200/ncoc+IF(SUMSQ('TS-PILE'!$E$72:$E$91)=0,0,'TO HOP NLAN'!E200*'TS-PILE'!$E$79/SUMSQ('TS-PILE'!$E$72:$E$91))+IF(SUMSQ('TS-PILE'!$D$72:$D$91)=0,0,'TO HOP NLAN'!F200*'TS-PILE'!$D$79/SUMSQ('TS-PILE'!$D$72:$D$91))),IF('TS-PILE'!$B$80="",-1E+99,'TO HOP NLAN'!D200/ncoc+IF(SUMSQ('TS-PILE'!$E$72:$E$91)=0,0,'TO HOP NLAN'!E200*'TS-PILE'!$E$80/SUMSQ('TS-PILE'!$E$72:$E$91))+IF(SUMSQ('TS-PILE'!$D$72:$D$91)=0,0,'TO HOP NLAN'!F200*'TS-PILE'!$D$80/SUMSQ('TS-PILE'!$D$72:$D$91))),IF('TS-PILE'!$B$81="",-1E+99,'TO HOP NLAN'!D200/ncoc+IF(SUMSQ('TS-PILE'!$E$72:$E$91)=0,0,'TO HOP NLAN'!E200*'TS-PILE'!$E$81/SUMSQ('TS-PILE'!$E$72:$E$91))+IF(SUMSQ('TS-PILE'!$D$72:$D$91)=0,0,'TO HOP NLAN'!F200*'TS-PILE'!$D$81/SUMSQ('TS-PILE'!$D$72:$D$91))),IF('TS-PILE'!$B$82="",-1E+99,'TO HOP NLAN'!D200/ncoc+IF(SUMSQ('TS-PILE'!$E$72:$E$91)=0,0,'TO HOP NLAN'!E200*'TS-PILE'!$E$82/SUMSQ('TS-PILE'!$E$72:$E$91))+IF(SUMSQ('TS-PILE'!$D$72:$D$91)=0,0,'TO HOP NLAN'!F200*'TS-PILE'!$D$82/SUMSQ('TS-PILE'!$D$72:$D$91))),IF('TS-PILE'!$B$83="",-1E+99,'TO HOP NLAN'!D200/ncoc+IF(SUMSQ('TS-PILE'!$E$72:$E$91)=0,0,'TO HOP NLAN'!E200*'TS-PILE'!$E$83/SUMSQ('TS-PILE'!$E$72:$E$91))+IF(SUMSQ('TS-PILE'!$D$72:$D$91)=0,0,'TO HOP NLAN'!F200*'TS-PILE'!$D$83/SUMSQ('TS-PILE'!$D$72:$D$91))),IF('TS-PILE'!$B$84="",-1E+99,'TO HOP NLAN'!D200/ncoc+IF(SUMSQ('TS-PILE'!$E$72:$E$91)=0,0,'TO HOP NLAN'!E200*'TS-PILE'!$E$84/SUMSQ('TS-PILE'!$E$72:$E$91))+IF(SUMSQ('TS-PILE'!$D$72:$D$91)=0,0,'TO HOP NLAN'!F200*'TS-PILE'!$D$84/SUMSQ('TS-PILE'!$D$72:$D$91))),IF('TS-PILE'!$B$85="",-1E+99,'TO HOP NLAN'!D200/ncoc+IF(SUMSQ('TS-PILE'!$E$72:$E$91)=0,0,'TO HOP NLAN'!E200*'TS-PILE'!$E$85/SUMSQ('TS-PILE'!$E$72:$E$91))+IF(SUMSQ('TS-PILE'!$D$72:$D$91)=0,0,'TO HOP NLAN'!F200*'TS-PILE'!$D$85/SUMSQ('TS-PILE'!$D$72:$D$91))),IF('TS-PILE'!$B$86="",-1E+99,'TO HOP NLAN'!D200/ncoc+IF(SUMSQ('TS-PILE'!$E$72:$E$91)=0,0,'TO HOP NLAN'!E200*'TS-PILE'!$E$86/SUMSQ('TS-PILE'!$E$72:$E$91))+IF(SUMSQ('TS-PILE'!$D$72:$D$91)=0,0,'TO HOP NLAN'!F200*'TS-PILE'!$D$86/SUMSQ('TS-PILE'!$D$72:$D$91))),IF('TS-PILE'!$B$87="",-1E+99,'TO HOP NLAN'!D200/ncoc+IF(SUMSQ('TS-PILE'!$E$72:$E$91)=0,0,'TO HOP NLAN'!E200*'TS-PILE'!$E$87/SUMSQ('TS-PILE'!$E$72:$E$91))+IF(SUMSQ('TS-PILE'!$D$72:$D$91)=0,0,'TO HOP NLAN'!F200*'TS-PILE'!$D$87/SUMSQ('TS-PILE'!$D$72:$D$91))),IF('TS-PILE'!$B$88="",-1E+99,'TO HOP NLAN'!D200/ncoc+IF(SUMSQ('TS-PILE'!$E$72:$E$91)=0,0,'TO HOP NLAN'!E200*'TS-PILE'!$E$88/SUMSQ('TS-PILE'!$E$72:$E$91))+IF(SUMSQ('TS-PILE'!$D$72:$D$91)=0,0,'TO HOP NLAN'!F200*'TS-PILE'!$D$88/SUMSQ('TS-PILE'!$D$72:$D$91))),IF('TS-PILE'!$B$89="",-1E+99,'TO HOP NLAN'!D200/ncoc+IF(SUMSQ('TS-PILE'!$E$72:$E$91)=0,0,'TO HOP NLAN'!E200*'TS-PILE'!$E$89/SUMSQ('TS-PILE'!$E$72:$E$91))+IF(SUMSQ('TS-PILE'!$D$72:$D$91)=0,0,'TO HOP NLAN'!F200*'TS-PILE'!$D$89/SUMSQ('TS-PILE'!$D$72:$D$91))),IF('TS-PILE'!$B$90="",-1E+99,'TO HOP NLAN'!D200/ncoc+IF(SUMSQ('TS-PILE'!$E$72:$E$91)=0,0,'TO HOP NLAN'!E200*'TS-PILE'!$E$90/SUMSQ('TS-PILE'!$E$72:$E$91))+IF(SUMSQ('TS-PILE'!$D$72:$D$91)=0,0,'TO HOP NLAN'!F200*'TS-PILE'!$D$90/SUMSQ('TS-PILE'!$D$72:$D$91))),IF('TS-PILE'!$B$91="",-1E+99,'TO HOP NLAN'!D200/ncoc+IF(SUMSQ('TS-PILE'!$E$72:$E$91)=0,0,'TO HOP NLAN'!E200*'TS-PILE'!$E$91/SUMSQ('TS-PILE'!$E$72:$E$91))+IF(SUMSQ('TS-PILE'!$D$72:$D$91)=0,0,'TO HOP NLAN'!F200*'TS-PILE'!$D$91/SUMSQ('TS-PILE'!$D$72:$D$91)))))</f>
        <v>0</v>
      </c>
      <c r="D200" s="58">
        <f>IF(A200="",0,MIN(IF('TS-PILE'!$B$72="",1E+99,'TO HOP NLAN'!D200/ncoc+IF(SUMSQ('TS-PILE'!$E$72:$E$91)=0,0,'TO HOP NLAN'!E200*'TS-PILE'!$E$72/SUMSQ('TS-PILE'!$E$72:$E$91))+IF(SUMSQ('TS-PILE'!$D$72:$D$91)=0,0,'TO HOP NLAN'!F200*'TS-PILE'!$D$72/SUMSQ('TS-PILE'!$D$72:$D$91))),IF('TS-PILE'!$B$73="",1E+99,'TO HOP NLAN'!D200/ncoc+IF(SUMSQ('TS-PILE'!$E$72:$E$91)=0,0,'TO HOP NLAN'!E200*'TS-PILE'!$E$73/SUMSQ('TS-PILE'!$E$72:$E$91))+IF(SUMSQ('TS-PILE'!$D$72:$D$91)=0,0,'TO HOP NLAN'!F200*'TS-PILE'!$D$73/SUMSQ('TS-PILE'!$D$72:$D$91))),IF('TS-PILE'!$B$74="",1E+99,'TO HOP NLAN'!D200/ncoc+IF(SUMSQ('TS-PILE'!$E$72:$E$91)=0,0,'TO HOP NLAN'!E200*'TS-PILE'!$E$74/SUMSQ('TS-PILE'!$E$72:$E$91))+IF(SUMSQ('TS-PILE'!$D$72:$D$91)=0,0,'TO HOP NLAN'!F200*'TS-PILE'!$D$74/SUMSQ('TS-PILE'!$D$72:$D$91))),IF('TS-PILE'!$B$75="",1E+99,'TO HOP NLAN'!D200/ncoc+IF(SUMSQ('TS-PILE'!$E$72:$E$91)=0,0,'TO HOP NLAN'!E200*'TS-PILE'!$E$75/SUMSQ('TS-PILE'!$E$72:$E$91))+IF(SUMSQ('TS-PILE'!$D$72:$D$91)=0,0,'TO HOP NLAN'!F200*'TS-PILE'!$D$75/SUMSQ('TS-PILE'!$D$72:$D$91))),IF('TS-PILE'!$B$76="",1E+99,'TO HOP NLAN'!D200/ncoc+IF(SUMSQ('TS-PILE'!$E$72:$E$91)=0,0,'TO HOP NLAN'!E200*'TS-PILE'!$E$76/SUMSQ('TS-PILE'!$E$72:$E$91))+IF(SUMSQ('TS-PILE'!$D$72:$D$91)=0,0,'TO HOP NLAN'!F200*'TS-PILE'!$D$76/SUMSQ('TS-PILE'!$D$72:$D$91))),IF('TS-PILE'!$B$77="",1E+99,'TO HOP NLAN'!D200/ncoc+IF(SUMSQ('TS-PILE'!$E$72:$E$91)=0,0,'TO HOP NLAN'!E200*'TS-PILE'!$E$77/SUMSQ('TS-PILE'!$E$72:$E$91))+IF(SUMSQ('TS-PILE'!$D$72:$D$91)=0,0,'TO HOP NLAN'!F200*'TS-PILE'!$D$77/SUMSQ('TS-PILE'!$D$72:$D$91))),IF('TS-PILE'!$B$78="",1E+99,'TO HOP NLAN'!D200/ncoc+IF(SUMSQ('TS-PILE'!$E$72:$E$91)=0,0,'TO HOP NLAN'!E200*'TS-PILE'!$E$78/SUMSQ('TS-PILE'!$E$72:$E$91))+IF(SUMSQ('TS-PILE'!$D$72:$D$91)=0,0,'TO HOP NLAN'!F200*'TS-PILE'!$D$78/SUMSQ('TS-PILE'!$D$72:$D$91))),IF('TS-PILE'!$B$79="",1E+99,'TO HOP NLAN'!D200/ncoc+IF(SUMSQ('TS-PILE'!$E$72:$E$91)=0,0,'TO HOP NLAN'!E200*'TS-PILE'!$E$79/SUMSQ('TS-PILE'!$E$72:$E$91))+IF(SUMSQ('TS-PILE'!$D$72:$D$91)=0,0,'TO HOP NLAN'!F200*'TS-PILE'!$D$79/SUMSQ('TS-PILE'!$D$72:$D$91))),IF('TS-PILE'!$B$80="",1E+99,'TO HOP NLAN'!D200/ncoc+IF(SUMSQ('TS-PILE'!$E$72:$E$91)=0,0,'TO HOP NLAN'!E200*'TS-PILE'!$E$80/SUMSQ('TS-PILE'!$E$72:$E$91))+IF(SUMSQ('TS-PILE'!$D$72:$D$91)=0,0,'TO HOP NLAN'!F200*'TS-PILE'!$D$80/SUMSQ('TS-PILE'!$D$72:$D$91))),IF('TS-PILE'!$B$81="",1E+99,'TO HOP NLAN'!D200/ncoc+IF(SUMSQ('TS-PILE'!$E$72:$E$91)=0,0,'TO HOP NLAN'!E200*'TS-PILE'!$E$81/SUMSQ('TS-PILE'!$E$72:$E$91))+IF(SUMSQ('TS-PILE'!$D$72:$D$91)=0,0,'TO HOP NLAN'!F200*'TS-PILE'!$D$81/SUMSQ('TS-PILE'!$D$72:$D$91))),IF('TS-PILE'!$B$82="",1E+99,'TO HOP NLAN'!D200/ncoc+IF(SUMSQ('TS-PILE'!$E$72:$E$91)=0,0,'TO HOP NLAN'!E200*'TS-PILE'!$E$82/SUMSQ('TS-PILE'!$E$72:$E$91))+IF(SUMSQ('TS-PILE'!$D$72:$D$91)=0,0,'TO HOP NLAN'!F200*'TS-PILE'!$D$82/SUMSQ('TS-PILE'!$D$72:$D$91))),IF('TS-PILE'!$B$83="",1E+99,'TO HOP NLAN'!D200/ncoc+IF(SUMSQ('TS-PILE'!$E$72:$E$91)=0,0,'TO HOP NLAN'!E200*'TS-PILE'!$E$83/SUMSQ('TS-PILE'!$E$72:$E$91))+IF(SUMSQ('TS-PILE'!$D$72:$D$91)=0,0,'TO HOP NLAN'!F200*'TS-PILE'!$D$83/SUMSQ('TS-PILE'!$D$72:$D$91))),IF('TS-PILE'!$B$84="",1E+99,'TO HOP NLAN'!D200/ncoc+IF(SUMSQ('TS-PILE'!$E$72:$E$91)=0,0,'TO HOP NLAN'!E200*'TS-PILE'!$E$84/SUMSQ('TS-PILE'!$E$72:$E$91))+IF(SUMSQ('TS-PILE'!$D$72:$D$91)=0,0,'TO HOP NLAN'!F200*'TS-PILE'!$D$84/SUMSQ('TS-PILE'!$D$72:$D$91))),IF('TS-PILE'!$B$85="",1E+99,'TO HOP NLAN'!D200/ncoc+IF(SUMSQ('TS-PILE'!$E$72:$E$91)=0,0,'TO HOP NLAN'!E200*'TS-PILE'!$E$85/SUMSQ('TS-PILE'!$E$72:$E$91))+IF(SUMSQ('TS-PILE'!$D$72:$D$91)=0,0,'TO HOP NLAN'!F200*'TS-PILE'!$D$85/SUMSQ('TS-PILE'!$D$72:$D$91))),IF('TS-PILE'!$B$86="",1E+99,'TO HOP NLAN'!D200/ncoc+IF(SUMSQ('TS-PILE'!$E$72:$E$91)=0,0,'TO HOP NLAN'!E200*'TS-PILE'!$E$86/SUMSQ('TS-PILE'!$E$72:$E$91))+IF(SUMSQ('TS-PILE'!$D$72:$D$91)=0,0,'TO HOP NLAN'!F200*'TS-PILE'!$D$86/SUMSQ('TS-PILE'!$D$72:$D$91))),IF('TS-PILE'!$B$87="",1E+99,'TO HOP NLAN'!D200/ncoc+IF(SUMSQ('TS-PILE'!$E$72:$E$91)=0,0,'TO HOP NLAN'!E200*'TS-PILE'!$E$87/SUMSQ('TS-PILE'!$E$72:$E$91))+IF(SUMSQ('TS-PILE'!$D$72:$D$91)=0,0,'TO HOP NLAN'!F200*'TS-PILE'!$D$87/SUMSQ('TS-PILE'!$D$72:$D$91))),IF('TS-PILE'!$B$88="",1E+99,'TO HOP NLAN'!D200/ncoc+IF(SUMSQ('TS-PILE'!$E$72:$E$91)=0,0,'TO HOP NLAN'!E200*'TS-PILE'!$E$88/SUMSQ('TS-PILE'!$E$72:$E$91))+IF(SUMSQ('TS-PILE'!$D$72:$D$91)=0,0,'TO HOP NLAN'!F200*'TS-PILE'!$D$88/SUMSQ('TS-PILE'!$D$72:$D$91))),IF('TS-PILE'!$B$89="",1E+99,'TO HOP NLAN'!D200/ncoc+IF(SUMSQ('TS-PILE'!$E$72:$E$91)=0,0,'TO HOP NLAN'!E200*'TS-PILE'!$E$89/SUMSQ('TS-PILE'!$E$72:$E$91))+IF(SUMSQ('TS-PILE'!$D$72:$D$91)=0,0,'TO HOP NLAN'!F200*'TS-PILE'!$D$89/SUMSQ('TS-PILE'!$D$72:$D$91))),IF('TS-PILE'!$B$90="",1E+99,'TO HOP NLAN'!D200/ncoc+IF(SUMSQ('TS-PILE'!$E$72:$E$91)=0,0,'TO HOP NLAN'!E200*'TS-PILE'!$E$90/SUMSQ('TS-PILE'!$E$72:$E$91))+IF(SUMSQ('TS-PILE'!$D$72:$D$91)=0,0,'TO HOP NLAN'!F200*'TS-PILE'!$D$90/SUMSQ('TS-PILE'!$D$72:$D$91))),IF('TS-PILE'!$B$91="",1E+99,'TO HOP NLAN'!D200/ncoc+IF(SUMSQ('TS-PILE'!$E$72:$E$91)=0,0,'TO HOP NLAN'!E200*'TS-PILE'!$E$91/SUMSQ('TS-PILE'!$E$72:$E$91))+IF(SUMSQ('TS-PILE'!$D$72:$D$91)=0,0,'TO HOP NLAN'!F200*'TS-PILE'!$D$91/SUMSQ('TS-PILE'!$D$72:$D$91)))))</f>
        <v>0</v>
      </c>
      <c r="E200" s="58">
        <f t="shared" si="12"/>
        <v>-9.9999999999999997E+98</v>
      </c>
      <c r="F200" s="58">
        <f t="shared" si="13"/>
        <v>9.9999999999999997E+98</v>
      </c>
      <c r="G200" s="58">
        <f t="shared" si="14"/>
        <v>-9.9999999999999997E+98</v>
      </c>
      <c r="H200" s="58">
        <f t="shared" si="15"/>
        <v>9.9999999999999997E+98</v>
      </c>
    </row>
    <row r="201" spans="1:8" x14ac:dyDescent="0.3">
      <c r="A201" s="42" t="str">
        <f>'TO HOP NLAN'!A201</f>
        <v/>
      </c>
      <c r="B201" s="42" t="str">
        <f>'TO HOP NLAN'!L201</f>
        <v>STRENGTH</v>
      </c>
      <c r="C201" s="58">
        <f>IF(A201="",0,MAX(IF('TS-PILE'!$B$72="",-1E+99,'TO HOP NLAN'!D201/ncoc+IF(SUMSQ('TS-PILE'!$E$72:$E$91)=0,0,'TO HOP NLAN'!E201*'TS-PILE'!$E$72/SUMSQ('TS-PILE'!$E$72:$E$91))+IF(SUMSQ('TS-PILE'!$D$72:$D$91)=0,0,'TO HOP NLAN'!F201*'TS-PILE'!$D$72/SUMSQ('TS-PILE'!$D$72:$D$91))),IF('TS-PILE'!$B$73="",-1E+99,'TO HOP NLAN'!D201/ncoc+IF(SUMSQ('TS-PILE'!$E$72:$E$91)=0,0,'TO HOP NLAN'!E201*'TS-PILE'!$E$73/SUMSQ('TS-PILE'!$E$72:$E$91))+IF(SUMSQ('TS-PILE'!$D$72:$D$91)=0,0,'TO HOP NLAN'!F201*'TS-PILE'!$D$73/SUMSQ('TS-PILE'!$D$72:$D$91))),IF('TS-PILE'!$B$74="",-1E+99,'TO HOP NLAN'!D201/ncoc+IF(SUMSQ('TS-PILE'!$E$72:$E$91)=0,0,'TO HOP NLAN'!E201*'TS-PILE'!$E$74/SUMSQ('TS-PILE'!$E$72:$E$91))+IF(SUMSQ('TS-PILE'!$D$72:$D$91)=0,0,'TO HOP NLAN'!F201*'TS-PILE'!$D$74/SUMSQ('TS-PILE'!$D$72:$D$91))),IF('TS-PILE'!$B$75="",-1E+99,'TO HOP NLAN'!D201/ncoc+IF(SUMSQ('TS-PILE'!$E$72:$E$91)=0,0,'TO HOP NLAN'!E201*'TS-PILE'!$E$75/SUMSQ('TS-PILE'!$E$72:$E$91))+IF(SUMSQ('TS-PILE'!$D$72:$D$91)=0,0,'TO HOP NLAN'!F201*'TS-PILE'!$D$75/SUMSQ('TS-PILE'!$D$72:$D$91))),IF('TS-PILE'!$B$76="",-1E+99,'TO HOP NLAN'!D201/ncoc+IF(SUMSQ('TS-PILE'!$E$72:$E$91)=0,0,'TO HOP NLAN'!E201*'TS-PILE'!$E$76/SUMSQ('TS-PILE'!$E$72:$E$91))+IF(SUMSQ('TS-PILE'!$D$72:$D$91)=0,0,'TO HOP NLAN'!F201*'TS-PILE'!$D$76/SUMSQ('TS-PILE'!$D$72:$D$91))),IF('TS-PILE'!$B$77="",-1E+99,'TO HOP NLAN'!D201/ncoc+IF(SUMSQ('TS-PILE'!$E$72:$E$91)=0,0,'TO HOP NLAN'!E201*'TS-PILE'!$E$77/SUMSQ('TS-PILE'!$E$72:$E$91))+IF(SUMSQ('TS-PILE'!$D$72:$D$91)=0,0,'TO HOP NLAN'!F201*'TS-PILE'!$D$77/SUMSQ('TS-PILE'!$D$72:$D$91))),IF('TS-PILE'!$B$78="",-1E+99,'TO HOP NLAN'!D201/ncoc+IF(SUMSQ('TS-PILE'!$E$72:$E$91)=0,0,'TO HOP NLAN'!E201*'TS-PILE'!$E$78/SUMSQ('TS-PILE'!$E$72:$E$91))+IF(SUMSQ('TS-PILE'!$D$72:$D$91)=0,0,'TO HOP NLAN'!F201*'TS-PILE'!$D$78/SUMSQ('TS-PILE'!$D$72:$D$91))),IF('TS-PILE'!$B$79="",-1E+99,'TO HOP NLAN'!D201/ncoc+IF(SUMSQ('TS-PILE'!$E$72:$E$91)=0,0,'TO HOP NLAN'!E201*'TS-PILE'!$E$79/SUMSQ('TS-PILE'!$E$72:$E$91))+IF(SUMSQ('TS-PILE'!$D$72:$D$91)=0,0,'TO HOP NLAN'!F201*'TS-PILE'!$D$79/SUMSQ('TS-PILE'!$D$72:$D$91))),IF('TS-PILE'!$B$80="",-1E+99,'TO HOP NLAN'!D201/ncoc+IF(SUMSQ('TS-PILE'!$E$72:$E$91)=0,0,'TO HOP NLAN'!E201*'TS-PILE'!$E$80/SUMSQ('TS-PILE'!$E$72:$E$91))+IF(SUMSQ('TS-PILE'!$D$72:$D$91)=0,0,'TO HOP NLAN'!F201*'TS-PILE'!$D$80/SUMSQ('TS-PILE'!$D$72:$D$91))),IF('TS-PILE'!$B$81="",-1E+99,'TO HOP NLAN'!D201/ncoc+IF(SUMSQ('TS-PILE'!$E$72:$E$91)=0,0,'TO HOP NLAN'!E201*'TS-PILE'!$E$81/SUMSQ('TS-PILE'!$E$72:$E$91))+IF(SUMSQ('TS-PILE'!$D$72:$D$91)=0,0,'TO HOP NLAN'!F201*'TS-PILE'!$D$81/SUMSQ('TS-PILE'!$D$72:$D$91))),IF('TS-PILE'!$B$82="",-1E+99,'TO HOP NLAN'!D201/ncoc+IF(SUMSQ('TS-PILE'!$E$72:$E$91)=0,0,'TO HOP NLAN'!E201*'TS-PILE'!$E$82/SUMSQ('TS-PILE'!$E$72:$E$91))+IF(SUMSQ('TS-PILE'!$D$72:$D$91)=0,0,'TO HOP NLAN'!F201*'TS-PILE'!$D$82/SUMSQ('TS-PILE'!$D$72:$D$91))),IF('TS-PILE'!$B$83="",-1E+99,'TO HOP NLAN'!D201/ncoc+IF(SUMSQ('TS-PILE'!$E$72:$E$91)=0,0,'TO HOP NLAN'!E201*'TS-PILE'!$E$83/SUMSQ('TS-PILE'!$E$72:$E$91))+IF(SUMSQ('TS-PILE'!$D$72:$D$91)=0,0,'TO HOP NLAN'!F201*'TS-PILE'!$D$83/SUMSQ('TS-PILE'!$D$72:$D$91))),IF('TS-PILE'!$B$84="",-1E+99,'TO HOP NLAN'!D201/ncoc+IF(SUMSQ('TS-PILE'!$E$72:$E$91)=0,0,'TO HOP NLAN'!E201*'TS-PILE'!$E$84/SUMSQ('TS-PILE'!$E$72:$E$91))+IF(SUMSQ('TS-PILE'!$D$72:$D$91)=0,0,'TO HOP NLAN'!F201*'TS-PILE'!$D$84/SUMSQ('TS-PILE'!$D$72:$D$91))),IF('TS-PILE'!$B$85="",-1E+99,'TO HOP NLAN'!D201/ncoc+IF(SUMSQ('TS-PILE'!$E$72:$E$91)=0,0,'TO HOP NLAN'!E201*'TS-PILE'!$E$85/SUMSQ('TS-PILE'!$E$72:$E$91))+IF(SUMSQ('TS-PILE'!$D$72:$D$91)=0,0,'TO HOP NLAN'!F201*'TS-PILE'!$D$85/SUMSQ('TS-PILE'!$D$72:$D$91))),IF('TS-PILE'!$B$86="",-1E+99,'TO HOP NLAN'!D201/ncoc+IF(SUMSQ('TS-PILE'!$E$72:$E$91)=0,0,'TO HOP NLAN'!E201*'TS-PILE'!$E$86/SUMSQ('TS-PILE'!$E$72:$E$91))+IF(SUMSQ('TS-PILE'!$D$72:$D$91)=0,0,'TO HOP NLAN'!F201*'TS-PILE'!$D$86/SUMSQ('TS-PILE'!$D$72:$D$91))),IF('TS-PILE'!$B$87="",-1E+99,'TO HOP NLAN'!D201/ncoc+IF(SUMSQ('TS-PILE'!$E$72:$E$91)=0,0,'TO HOP NLAN'!E201*'TS-PILE'!$E$87/SUMSQ('TS-PILE'!$E$72:$E$91))+IF(SUMSQ('TS-PILE'!$D$72:$D$91)=0,0,'TO HOP NLAN'!F201*'TS-PILE'!$D$87/SUMSQ('TS-PILE'!$D$72:$D$91))),IF('TS-PILE'!$B$88="",-1E+99,'TO HOP NLAN'!D201/ncoc+IF(SUMSQ('TS-PILE'!$E$72:$E$91)=0,0,'TO HOP NLAN'!E201*'TS-PILE'!$E$88/SUMSQ('TS-PILE'!$E$72:$E$91))+IF(SUMSQ('TS-PILE'!$D$72:$D$91)=0,0,'TO HOP NLAN'!F201*'TS-PILE'!$D$88/SUMSQ('TS-PILE'!$D$72:$D$91))),IF('TS-PILE'!$B$89="",-1E+99,'TO HOP NLAN'!D201/ncoc+IF(SUMSQ('TS-PILE'!$E$72:$E$91)=0,0,'TO HOP NLAN'!E201*'TS-PILE'!$E$89/SUMSQ('TS-PILE'!$E$72:$E$91))+IF(SUMSQ('TS-PILE'!$D$72:$D$91)=0,0,'TO HOP NLAN'!F201*'TS-PILE'!$D$89/SUMSQ('TS-PILE'!$D$72:$D$91))),IF('TS-PILE'!$B$90="",-1E+99,'TO HOP NLAN'!D201/ncoc+IF(SUMSQ('TS-PILE'!$E$72:$E$91)=0,0,'TO HOP NLAN'!E201*'TS-PILE'!$E$90/SUMSQ('TS-PILE'!$E$72:$E$91))+IF(SUMSQ('TS-PILE'!$D$72:$D$91)=0,0,'TO HOP NLAN'!F201*'TS-PILE'!$D$90/SUMSQ('TS-PILE'!$D$72:$D$91))),IF('TS-PILE'!$B$91="",-1E+99,'TO HOP NLAN'!D201/ncoc+IF(SUMSQ('TS-PILE'!$E$72:$E$91)=0,0,'TO HOP NLAN'!E201*'TS-PILE'!$E$91/SUMSQ('TS-PILE'!$E$72:$E$91))+IF(SUMSQ('TS-PILE'!$D$72:$D$91)=0,0,'TO HOP NLAN'!F201*'TS-PILE'!$D$91/SUMSQ('TS-PILE'!$D$72:$D$91)))))</f>
        <v>0</v>
      </c>
      <c r="D201" s="58">
        <f>IF(A201="",0,MIN(IF('TS-PILE'!$B$72="",1E+99,'TO HOP NLAN'!D201/ncoc+IF(SUMSQ('TS-PILE'!$E$72:$E$91)=0,0,'TO HOP NLAN'!E201*'TS-PILE'!$E$72/SUMSQ('TS-PILE'!$E$72:$E$91))+IF(SUMSQ('TS-PILE'!$D$72:$D$91)=0,0,'TO HOP NLAN'!F201*'TS-PILE'!$D$72/SUMSQ('TS-PILE'!$D$72:$D$91))),IF('TS-PILE'!$B$73="",1E+99,'TO HOP NLAN'!D201/ncoc+IF(SUMSQ('TS-PILE'!$E$72:$E$91)=0,0,'TO HOP NLAN'!E201*'TS-PILE'!$E$73/SUMSQ('TS-PILE'!$E$72:$E$91))+IF(SUMSQ('TS-PILE'!$D$72:$D$91)=0,0,'TO HOP NLAN'!F201*'TS-PILE'!$D$73/SUMSQ('TS-PILE'!$D$72:$D$91))),IF('TS-PILE'!$B$74="",1E+99,'TO HOP NLAN'!D201/ncoc+IF(SUMSQ('TS-PILE'!$E$72:$E$91)=0,0,'TO HOP NLAN'!E201*'TS-PILE'!$E$74/SUMSQ('TS-PILE'!$E$72:$E$91))+IF(SUMSQ('TS-PILE'!$D$72:$D$91)=0,0,'TO HOP NLAN'!F201*'TS-PILE'!$D$74/SUMSQ('TS-PILE'!$D$72:$D$91))),IF('TS-PILE'!$B$75="",1E+99,'TO HOP NLAN'!D201/ncoc+IF(SUMSQ('TS-PILE'!$E$72:$E$91)=0,0,'TO HOP NLAN'!E201*'TS-PILE'!$E$75/SUMSQ('TS-PILE'!$E$72:$E$91))+IF(SUMSQ('TS-PILE'!$D$72:$D$91)=0,0,'TO HOP NLAN'!F201*'TS-PILE'!$D$75/SUMSQ('TS-PILE'!$D$72:$D$91))),IF('TS-PILE'!$B$76="",1E+99,'TO HOP NLAN'!D201/ncoc+IF(SUMSQ('TS-PILE'!$E$72:$E$91)=0,0,'TO HOP NLAN'!E201*'TS-PILE'!$E$76/SUMSQ('TS-PILE'!$E$72:$E$91))+IF(SUMSQ('TS-PILE'!$D$72:$D$91)=0,0,'TO HOP NLAN'!F201*'TS-PILE'!$D$76/SUMSQ('TS-PILE'!$D$72:$D$91))),IF('TS-PILE'!$B$77="",1E+99,'TO HOP NLAN'!D201/ncoc+IF(SUMSQ('TS-PILE'!$E$72:$E$91)=0,0,'TO HOP NLAN'!E201*'TS-PILE'!$E$77/SUMSQ('TS-PILE'!$E$72:$E$91))+IF(SUMSQ('TS-PILE'!$D$72:$D$91)=0,0,'TO HOP NLAN'!F201*'TS-PILE'!$D$77/SUMSQ('TS-PILE'!$D$72:$D$91))),IF('TS-PILE'!$B$78="",1E+99,'TO HOP NLAN'!D201/ncoc+IF(SUMSQ('TS-PILE'!$E$72:$E$91)=0,0,'TO HOP NLAN'!E201*'TS-PILE'!$E$78/SUMSQ('TS-PILE'!$E$72:$E$91))+IF(SUMSQ('TS-PILE'!$D$72:$D$91)=0,0,'TO HOP NLAN'!F201*'TS-PILE'!$D$78/SUMSQ('TS-PILE'!$D$72:$D$91))),IF('TS-PILE'!$B$79="",1E+99,'TO HOP NLAN'!D201/ncoc+IF(SUMSQ('TS-PILE'!$E$72:$E$91)=0,0,'TO HOP NLAN'!E201*'TS-PILE'!$E$79/SUMSQ('TS-PILE'!$E$72:$E$91))+IF(SUMSQ('TS-PILE'!$D$72:$D$91)=0,0,'TO HOP NLAN'!F201*'TS-PILE'!$D$79/SUMSQ('TS-PILE'!$D$72:$D$91))),IF('TS-PILE'!$B$80="",1E+99,'TO HOP NLAN'!D201/ncoc+IF(SUMSQ('TS-PILE'!$E$72:$E$91)=0,0,'TO HOP NLAN'!E201*'TS-PILE'!$E$80/SUMSQ('TS-PILE'!$E$72:$E$91))+IF(SUMSQ('TS-PILE'!$D$72:$D$91)=0,0,'TO HOP NLAN'!F201*'TS-PILE'!$D$80/SUMSQ('TS-PILE'!$D$72:$D$91))),IF('TS-PILE'!$B$81="",1E+99,'TO HOP NLAN'!D201/ncoc+IF(SUMSQ('TS-PILE'!$E$72:$E$91)=0,0,'TO HOP NLAN'!E201*'TS-PILE'!$E$81/SUMSQ('TS-PILE'!$E$72:$E$91))+IF(SUMSQ('TS-PILE'!$D$72:$D$91)=0,0,'TO HOP NLAN'!F201*'TS-PILE'!$D$81/SUMSQ('TS-PILE'!$D$72:$D$91))),IF('TS-PILE'!$B$82="",1E+99,'TO HOP NLAN'!D201/ncoc+IF(SUMSQ('TS-PILE'!$E$72:$E$91)=0,0,'TO HOP NLAN'!E201*'TS-PILE'!$E$82/SUMSQ('TS-PILE'!$E$72:$E$91))+IF(SUMSQ('TS-PILE'!$D$72:$D$91)=0,0,'TO HOP NLAN'!F201*'TS-PILE'!$D$82/SUMSQ('TS-PILE'!$D$72:$D$91))),IF('TS-PILE'!$B$83="",1E+99,'TO HOP NLAN'!D201/ncoc+IF(SUMSQ('TS-PILE'!$E$72:$E$91)=0,0,'TO HOP NLAN'!E201*'TS-PILE'!$E$83/SUMSQ('TS-PILE'!$E$72:$E$91))+IF(SUMSQ('TS-PILE'!$D$72:$D$91)=0,0,'TO HOP NLAN'!F201*'TS-PILE'!$D$83/SUMSQ('TS-PILE'!$D$72:$D$91))),IF('TS-PILE'!$B$84="",1E+99,'TO HOP NLAN'!D201/ncoc+IF(SUMSQ('TS-PILE'!$E$72:$E$91)=0,0,'TO HOP NLAN'!E201*'TS-PILE'!$E$84/SUMSQ('TS-PILE'!$E$72:$E$91))+IF(SUMSQ('TS-PILE'!$D$72:$D$91)=0,0,'TO HOP NLAN'!F201*'TS-PILE'!$D$84/SUMSQ('TS-PILE'!$D$72:$D$91))),IF('TS-PILE'!$B$85="",1E+99,'TO HOP NLAN'!D201/ncoc+IF(SUMSQ('TS-PILE'!$E$72:$E$91)=0,0,'TO HOP NLAN'!E201*'TS-PILE'!$E$85/SUMSQ('TS-PILE'!$E$72:$E$91))+IF(SUMSQ('TS-PILE'!$D$72:$D$91)=0,0,'TO HOP NLAN'!F201*'TS-PILE'!$D$85/SUMSQ('TS-PILE'!$D$72:$D$91))),IF('TS-PILE'!$B$86="",1E+99,'TO HOP NLAN'!D201/ncoc+IF(SUMSQ('TS-PILE'!$E$72:$E$91)=0,0,'TO HOP NLAN'!E201*'TS-PILE'!$E$86/SUMSQ('TS-PILE'!$E$72:$E$91))+IF(SUMSQ('TS-PILE'!$D$72:$D$91)=0,0,'TO HOP NLAN'!F201*'TS-PILE'!$D$86/SUMSQ('TS-PILE'!$D$72:$D$91))),IF('TS-PILE'!$B$87="",1E+99,'TO HOP NLAN'!D201/ncoc+IF(SUMSQ('TS-PILE'!$E$72:$E$91)=0,0,'TO HOP NLAN'!E201*'TS-PILE'!$E$87/SUMSQ('TS-PILE'!$E$72:$E$91))+IF(SUMSQ('TS-PILE'!$D$72:$D$91)=0,0,'TO HOP NLAN'!F201*'TS-PILE'!$D$87/SUMSQ('TS-PILE'!$D$72:$D$91))),IF('TS-PILE'!$B$88="",1E+99,'TO HOP NLAN'!D201/ncoc+IF(SUMSQ('TS-PILE'!$E$72:$E$91)=0,0,'TO HOP NLAN'!E201*'TS-PILE'!$E$88/SUMSQ('TS-PILE'!$E$72:$E$91))+IF(SUMSQ('TS-PILE'!$D$72:$D$91)=0,0,'TO HOP NLAN'!F201*'TS-PILE'!$D$88/SUMSQ('TS-PILE'!$D$72:$D$91))),IF('TS-PILE'!$B$89="",1E+99,'TO HOP NLAN'!D201/ncoc+IF(SUMSQ('TS-PILE'!$E$72:$E$91)=0,0,'TO HOP NLAN'!E201*'TS-PILE'!$E$89/SUMSQ('TS-PILE'!$E$72:$E$91))+IF(SUMSQ('TS-PILE'!$D$72:$D$91)=0,0,'TO HOP NLAN'!F201*'TS-PILE'!$D$89/SUMSQ('TS-PILE'!$D$72:$D$91))),IF('TS-PILE'!$B$90="",1E+99,'TO HOP NLAN'!D201/ncoc+IF(SUMSQ('TS-PILE'!$E$72:$E$91)=0,0,'TO HOP NLAN'!E201*'TS-PILE'!$E$90/SUMSQ('TS-PILE'!$E$72:$E$91))+IF(SUMSQ('TS-PILE'!$D$72:$D$91)=0,0,'TO HOP NLAN'!F201*'TS-PILE'!$D$90/SUMSQ('TS-PILE'!$D$72:$D$91))),IF('TS-PILE'!$B$91="",1E+99,'TO HOP NLAN'!D201/ncoc+IF(SUMSQ('TS-PILE'!$E$72:$E$91)=0,0,'TO HOP NLAN'!E201*'TS-PILE'!$E$91/SUMSQ('TS-PILE'!$E$72:$E$91))+IF(SUMSQ('TS-PILE'!$D$72:$D$91)=0,0,'TO HOP NLAN'!F201*'TS-PILE'!$D$91/SUMSQ('TS-PILE'!$D$72:$D$91)))))</f>
        <v>0</v>
      </c>
      <c r="E201" s="58">
        <f t="shared" si="12"/>
        <v>-9.9999999999999997E+98</v>
      </c>
      <c r="F201" s="58">
        <f t="shared" si="13"/>
        <v>9.9999999999999997E+98</v>
      </c>
      <c r="G201" s="58">
        <f t="shared" si="14"/>
        <v>-9.9999999999999997E+98</v>
      </c>
      <c r="H201" s="58">
        <f t="shared" si="15"/>
        <v>9.9999999999999997E+98</v>
      </c>
    </row>
    <row r="202" spans="1:8" x14ac:dyDescent="0.3">
      <c r="A202" s="42" t="str">
        <f>'TO HOP NLAN'!A202</f>
        <v/>
      </c>
      <c r="B202" s="42" t="str">
        <f>'TO HOP NLAN'!L202</f>
        <v>STRENGTH</v>
      </c>
      <c r="C202" s="58">
        <f>IF(A202="",0,MAX(IF('TS-PILE'!$B$72="",-1E+99,'TO HOP NLAN'!D202/ncoc+IF(SUMSQ('TS-PILE'!$E$72:$E$91)=0,0,'TO HOP NLAN'!E202*'TS-PILE'!$E$72/SUMSQ('TS-PILE'!$E$72:$E$91))+IF(SUMSQ('TS-PILE'!$D$72:$D$91)=0,0,'TO HOP NLAN'!F202*'TS-PILE'!$D$72/SUMSQ('TS-PILE'!$D$72:$D$91))),IF('TS-PILE'!$B$73="",-1E+99,'TO HOP NLAN'!D202/ncoc+IF(SUMSQ('TS-PILE'!$E$72:$E$91)=0,0,'TO HOP NLAN'!E202*'TS-PILE'!$E$73/SUMSQ('TS-PILE'!$E$72:$E$91))+IF(SUMSQ('TS-PILE'!$D$72:$D$91)=0,0,'TO HOP NLAN'!F202*'TS-PILE'!$D$73/SUMSQ('TS-PILE'!$D$72:$D$91))),IF('TS-PILE'!$B$74="",-1E+99,'TO HOP NLAN'!D202/ncoc+IF(SUMSQ('TS-PILE'!$E$72:$E$91)=0,0,'TO HOP NLAN'!E202*'TS-PILE'!$E$74/SUMSQ('TS-PILE'!$E$72:$E$91))+IF(SUMSQ('TS-PILE'!$D$72:$D$91)=0,0,'TO HOP NLAN'!F202*'TS-PILE'!$D$74/SUMSQ('TS-PILE'!$D$72:$D$91))),IF('TS-PILE'!$B$75="",-1E+99,'TO HOP NLAN'!D202/ncoc+IF(SUMSQ('TS-PILE'!$E$72:$E$91)=0,0,'TO HOP NLAN'!E202*'TS-PILE'!$E$75/SUMSQ('TS-PILE'!$E$72:$E$91))+IF(SUMSQ('TS-PILE'!$D$72:$D$91)=0,0,'TO HOP NLAN'!F202*'TS-PILE'!$D$75/SUMSQ('TS-PILE'!$D$72:$D$91))),IF('TS-PILE'!$B$76="",-1E+99,'TO HOP NLAN'!D202/ncoc+IF(SUMSQ('TS-PILE'!$E$72:$E$91)=0,0,'TO HOP NLAN'!E202*'TS-PILE'!$E$76/SUMSQ('TS-PILE'!$E$72:$E$91))+IF(SUMSQ('TS-PILE'!$D$72:$D$91)=0,0,'TO HOP NLAN'!F202*'TS-PILE'!$D$76/SUMSQ('TS-PILE'!$D$72:$D$91))),IF('TS-PILE'!$B$77="",-1E+99,'TO HOP NLAN'!D202/ncoc+IF(SUMSQ('TS-PILE'!$E$72:$E$91)=0,0,'TO HOP NLAN'!E202*'TS-PILE'!$E$77/SUMSQ('TS-PILE'!$E$72:$E$91))+IF(SUMSQ('TS-PILE'!$D$72:$D$91)=0,0,'TO HOP NLAN'!F202*'TS-PILE'!$D$77/SUMSQ('TS-PILE'!$D$72:$D$91))),IF('TS-PILE'!$B$78="",-1E+99,'TO HOP NLAN'!D202/ncoc+IF(SUMSQ('TS-PILE'!$E$72:$E$91)=0,0,'TO HOP NLAN'!E202*'TS-PILE'!$E$78/SUMSQ('TS-PILE'!$E$72:$E$91))+IF(SUMSQ('TS-PILE'!$D$72:$D$91)=0,0,'TO HOP NLAN'!F202*'TS-PILE'!$D$78/SUMSQ('TS-PILE'!$D$72:$D$91))),IF('TS-PILE'!$B$79="",-1E+99,'TO HOP NLAN'!D202/ncoc+IF(SUMSQ('TS-PILE'!$E$72:$E$91)=0,0,'TO HOP NLAN'!E202*'TS-PILE'!$E$79/SUMSQ('TS-PILE'!$E$72:$E$91))+IF(SUMSQ('TS-PILE'!$D$72:$D$91)=0,0,'TO HOP NLAN'!F202*'TS-PILE'!$D$79/SUMSQ('TS-PILE'!$D$72:$D$91))),IF('TS-PILE'!$B$80="",-1E+99,'TO HOP NLAN'!D202/ncoc+IF(SUMSQ('TS-PILE'!$E$72:$E$91)=0,0,'TO HOP NLAN'!E202*'TS-PILE'!$E$80/SUMSQ('TS-PILE'!$E$72:$E$91))+IF(SUMSQ('TS-PILE'!$D$72:$D$91)=0,0,'TO HOP NLAN'!F202*'TS-PILE'!$D$80/SUMSQ('TS-PILE'!$D$72:$D$91))),IF('TS-PILE'!$B$81="",-1E+99,'TO HOP NLAN'!D202/ncoc+IF(SUMSQ('TS-PILE'!$E$72:$E$91)=0,0,'TO HOP NLAN'!E202*'TS-PILE'!$E$81/SUMSQ('TS-PILE'!$E$72:$E$91))+IF(SUMSQ('TS-PILE'!$D$72:$D$91)=0,0,'TO HOP NLAN'!F202*'TS-PILE'!$D$81/SUMSQ('TS-PILE'!$D$72:$D$91))),IF('TS-PILE'!$B$82="",-1E+99,'TO HOP NLAN'!D202/ncoc+IF(SUMSQ('TS-PILE'!$E$72:$E$91)=0,0,'TO HOP NLAN'!E202*'TS-PILE'!$E$82/SUMSQ('TS-PILE'!$E$72:$E$91))+IF(SUMSQ('TS-PILE'!$D$72:$D$91)=0,0,'TO HOP NLAN'!F202*'TS-PILE'!$D$82/SUMSQ('TS-PILE'!$D$72:$D$91))),IF('TS-PILE'!$B$83="",-1E+99,'TO HOP NLAN'!D202/ncoc+IF(SUMSQ('TS-PILE'!$E$72:$E$91)=0,0,'TO HOP NLAN'!E202*'TS-PILE'!$E$83/SUMSQ('TS-PILE'!$E$72:$E$91))+IF(SUMSQ('TS-PILE'!$D$72:$D$91)=0,0,'TO HOP NLAN'!F202*'TS-PILE'!$D$83/SUMSQ('TS-PILE'!$D$72:$D$91))),IF('TS-PILE'!$B$84="",-1E+99,'TO HOP NLAN'!D202/ncoc+IF(SUMSQ('TS-PILE'!$E$72:$E$91)=0,0,'TO HOP NLAN'!E202*'TS-PILE'!$E$84/SUMSQ('TS-PILE'!$E$72:$E$91))+IF(SUMSQ('TS-PILE'!$D$72:$D$91)=0,0,'TO HOP NLAN'!F202*'TS-PILE'!$D$84/SUMSQ('TS-PILE'!$D$72:$D$91))),IF('TS-PILE'!$B$85="",-1E+99,'TO HOP NLAN'!D202/ncoc+IF(SUMSQ('TS-PILE'!$E$72:$E$91)=0,0,'TO HOP NLAN'!E202*'TS-PILE'!$E$85/SUMSQ('TS-PILE'!$E$72:$E$91))+IF(SUMSQ('TS-PILE'!$D$72:$D$91)=0,0,'TO HOP NLAN'!F202*'TS-PILE'!$D$85/SUMSQ('TS-PILE'!$D$72:$D$91))),IF('TS-PILE'!$B$86="",-1E+99,'TO HOP NLAN'!D202/ncoc+IF(SUMSQ('TS-PILE'!$E$72:$E$91)=0,0,'TO HOP NLAN'!E202*'TS-PILE'!$E$86/SUMSQ('TS-PILE'!$E$72:$E$91))+IF(SUMSQ('TS-PILE'!$D$72:$D$91)=0,0,'TO HOP NLAN'!F202*'TS-PILE'!$D$86/SUMSQ('TS-PILE'!$D$72:$D$91))),IF('TS-PILE'!$B$87="",-1E+99,'TO HOP NLAN'!D202/ncoc+IF(SUMSQ('TS-PILE'!$E$72:$E$91)=0,0,'TO HOP NLAN'!E202*'TS-PILE'!$E$87/SUMSQ('TS-PILE'!$E$72:$E$91))+IF(SUMSQ('TS-PILE'!$D$72:$D$91)=0,0,'TO HOP NLAN'!F202*'TS-PILE'!$D$87/SUMSQ('TS-PILE'!$D$72:$D$91))),IF('TS-PILE'!$B$88="",-1E+99,'TO HOP NLAN'!D202/ncoc+IF(SUMSQ('TS-PILE'!$E$72:$E$91)=0,0,'TO HOP NLAN'!E202*'TS-PILE'!$E$88/SUMSQ('TS-PILE'!$E$72:$E$91))+IF(SUMSQ('TS-PILE'!$D$72:$D$91)=0,0,'TO HOP NLAN'!F202*'TS-PILE'!$D$88/SUMSQ('TS-PILE'!$D$72:$D$91))),IF('TS-PILE'!$B$89="",-1E+99,'TO HOP NLAN'!D202/ncoc+IF(SUMSQ('TS-PILE'!$E$72:$E$91)=0,0,'TO HOP NLAN'!E202*'TS-PILE'!$E$89/SUMSQ('TS-PILE'!$E$72:$E$91))+IF(SUMSQ('TS-PILE'!$D$72:$D$91)=0,0,'TO HOP NLAN'!F202*'TS-PILE'!$D$89/SUMSQ('TS-PILE'!$D$72:$D$91))),IF('TS-PILE'!$B$90="",-1E+99,'TO HOP NLAN'!D202/ncoc+IF(SUMSQ('TS-PILE'!$E$72:$E$91)=0,0,'TO HOP NLAN'!E202*'TS-PILE'!$E$90/SUMSQ('TS-PILE'!$E$72:$E$91))+IF(SUMSQ('TS-PILE'!$D$72:$D$91)=0,0,'TO HOP NLAN'!F202*'TS-PILE'!$D$90/SUMSQ('TS-PILE'!$D$72:$D$91))),IF('TS-PILE'!$B$91="",-1E+99,'TO HOP NLAN'!D202/ncoc+IF(SUMSQ('TS-PILE'!$E$72:$E$91)=0,0,'TO HOP NLAN'!E202*'TS-PILE'!$E$91/SUMSQ('TS-PILE'!$E$72:$E$91))+IF(SUMSQ('TS-PILE'!$D$72:$D$91)=0,0,'TO HOP NLAN'!F202*'TS-PILE'!$D$91/SUMSQ('TS-PILE'!$D$72:$D$91)))))</f>
        <v>0</v>
      </c>
      <c r="D202" s="58">
        <f>IF(A202="",0,MIN(IF('TS-PILE'!$B$72="",1E+99,'TO HOP NLAN'!D202/ncoc+IF(SUMSQ('TS-PILE'!$E$72:$E$91)=0,0,'TO HOP NLAN'!E202*'TS-PILE'!$E$72/SUMSQ('TS-PILE'!$E$72:$E$91))+IF(SUMSQ('TS-PILE'!$D$72:$D$91)=0,0,'TO HOP NLAN'!F202*'TS-PILE'!$D$72/SUMSQ('TS-PILE'!$D$72:$D$91))),IF('TS-PILE'!$B$73="",1E+99,'TO HOP NLAN'!D202/ncoc+IF(SUMSQ('TS-PILE'!$E$72:$E$91)=0,0,'TO HOP NLAN'!E202*'TS-PILE'!$E$73/SUMSQ('TS-PILE'!$E$72:$E$91))+IF(SUMSQ('TS-PILE'!$D$72:$D$91)=0,0,'TO HOP NLAN'!F202*'TS-PILE'!$D$73/SUMSQ('TS-PILE'!$D$72:$D$91))),IF('TS-PILE'!$B$74="",1E+99,'TO HOP NLAN'!D202/ncoc+IF(SUMSQ('TS-PILE'!$E$72:$E$91)=0,0,'TO HOP NLAN'!E202*'TS-PILE'!$E$74/SUMSQ('TS-PILE'!$E$72:$E$91))+IF(SUMSQ('TS-PILE'!$D$72:$D$91)=0,0,'TO HOP NLAN'!F202*'TS-PILE'!$D$74/SUMSQ('TS-PILE'!$D$72:$D$91))),IF('TS-PILE'!$B$75="",1E+99,'TO HOP NLAN'!D202/ncoc+IF(SUMSQ('TS-PILE'!$E$72:$E$91)=0,0,'TO HOP NLAN'!E202*'TS-PILE'!$E$75/SUMSQ('TS-PILE'!$E$72:$E$91))+IF(SUMSQ('TS-PILE'!$D$72:$D$91)=0,0,'TO HOP NLAN'!F202*'TS-PILE'!$D$75/SUMSQ('TS-PILE'!$D$72:$D$91))),IF('TS-PILE'!$B$76="",1E+99,'TO HOP NLAN'!D202/ncoc+IF(SUMSQ('TS-PILE'!$E$72:$E$91)=0,0,'TO HOP NLAN'!E202*'TS-PILE'!$E$76/SUMSQ('TS-PILE'!$E$72:$E$91))+IF(SUMSQ('TS-PILE'!$D$72:$D$91)=0,0,'TO HOP NLAN'!F202*'TS-PILE'!$D$76/SUMSQ('TS-PILE'!$D$72:$D$91))),IF('TS-PILE'!$B$77="",1E+99,'TO HOP NLAN'!D202/ncoc+IF(SUMSQ('TS-PILE'!$E$72:$E$91)=0,0,'TO HOP NLAN'!E202*'TS-PILE'!$E$77/SUMSQ('TS-PILE'!$E$72:$E$91))+IF(SUMSQ('TS-PILE'!$D$72:$D$91)=0,0,'TO HOP NLAN'!F202*'TS-PILE'!$D$77/SUMSQ('TS-PILE'!$D$72:$D$91))),IF('TS-PILE'!$B$78="",1E+99,'TO HOP NLAN'!D202/ncoc+IF(SUMSQ('TS-PILE'!$E$72:$E$91)=0,0,'TO HOP NLAN'!E202*'TS-PILE'!$E$78/SUMSQ('TS-PILE'!$E$72:$E$91))+IF(SUMSQ('TS-PILE'!$D$72:$D$91)=0,0,'TO HOP NLAN'!F202*'TS-PILE'!$D$78/SUMSQ('TS-PILE'!$D$72:$D$91))),IF('TS-PILE'!$B$79="",1E+99,'TO HOP NLAN'!D202/ncoc+IF(SUMSQ('TS-PILE'!$E$72:$E$91)=0,0,'TO HOP NLAN'!E202*'TS-PILE'!$E$79/SUMSQ('TS-PILE'!$E$72:$E$91))+IF(SUMSQ('TS-PILE'!$D$72:$D$91)=0,0,'TO HOP NLAN'!F202*'TS-PILE'!$D$79/SUMSQ('TS-PILE'!$D$72:$D$91))),IF('TS-PILE'!$B$80="",1E+99,'TO HOP NLAN'!D202/ncoc+IF(SUMSQ('TS-PILE'!$E$72:$E$91)=0,0,'TO HOP NLAN'!E202*'TS-PILE'!$E$80/SUMSQ('TS-PILE'!$E$72:$E$91))+IF(SUMSQ('TS-PILE'!$D$72:$D$91)=0,0,'TO HOP NLAN'!F202*'TS-PILE'!$D$80/SUMSQ('TS-PILE'!$D$72:$D$91))),IF('TS-PILE'!$B$81="",1E+99,'TO HOP NLAN'!D202/ncoc+IF(SUMSQ('TS-PILE'!$E$72:$E$91)=0,0,'TO HOP NLAN'!E202*'TS-PILE'!$E$81/SUMSQ('TS-PILE'!$E$72:$E$91))+IF(SUMSQ('TS-PILE'!$D$72:$D$91)=0,0,'TO HOP NLAN'!F202*'TS-PILE'!$D$81/SUMSQ('TS-PILE'!$D$72:$D$91))),IF('TS-PILE'!$B$82="",1E+99,'TO HOP NLAN'!D202/ncoc+IF(SUMSQ('TS-PILE'!$E$72:$E$91)=0,0,'TO HOP NLAN'!E202*'TS-PILE'!$E$82/SUMSQ('TS-PILE'!$E$72:$E$91))+IF(SUMSQ('TS-PILE'!$D$72:$D$91)=0,0,'TO HOP NLAN'!F202*'TS-PILE'!$D$82/SUMSQ('TS-PILE'!$D$72:$D$91))),IF('TS-PILE'!$B$83="",1E+99,'TO HOP NLAN'!D202/ncoc+IF(SUMSQ('TS-PILE'!$E$72:$E$91)=0,0,'TO HOP NLAN'!E202*'TS-PILE'!$E$83/SUMSQ('TS-PILE'!$E$72:$E$91))+IF(SUMSQ('TS-PILE'!$D$72:$D$91)=0,0,'TO HOP NLAN'!F202*'TS-PILE'!$D$83/SUMSQ('TS-PILE'!$D$72:$D$91))),IF('TS-PILE'!$B$84="",1E+99,'TO HOP NLAN'!D202/ncoc+IF(SUMSQ('TS-PILE'!$E$72:$E$91)=0,0,'TO HOP NLAN'!E202*'TS-PILE'!$E$84/SUMSQ('TS-PILE'!$E$72:$E$91))+IF(SUMSQ('TS-PILE'!$D$72:$D$91)=0,0,'TO HOP NLAN'!F202*'TS-PILE'!$D$84/SUMSQ('TS-PILE'!$D$72:$D$91))),IF('TS-PILE'!$B$85="",1E+99,'TO HOP NLAN'!D202/ncoc+IF(SUMSQ('TS-PILE'!$E$72:$E$91)=0,0,'TO HOP NLAN'!E202*'TS-PILE'!$E$85/SUMSQ('TS-PILE'!$E$72:$E$91))+IF(SUMSQ('TS-PILE'!$D$72:$D$91)=0,0,'TO HOP NLAN'!F202*'TS-PILE'!$D$85/SUMSQ('TS-PILE'!$D$72:$D$91))),IF('TS-PILE'!$B$86="",1E+99,'TO HOP NLAN'!D202/ncoc+IF(SUMSQ('TS-PILE'!$E$72:$E$91)=0,0,'TO HOP NLAN'!E202*'TS-PILE'!$E$86/SUMSQ('TS-PILE'!$E$72:$E$91))+IF(SUMSQ('TS-PILE'!$D$72:$D$91)=0,0,'TO HOP NLAN'!F202*'TS-PILE'!$D$86/SUMSQ('TS-PILE'!$D$72:$D$91))),IF('TS-PILE'!$B$87="",1E+99,'TO HOP NLAN'!D202/ncoc+IF(SUMSQ('TS-PILE'!$E$72:$E$91)=0,0,'TO HOP NLAN'!E202*'TS-PILE'!$E$87/SUMSQ('TS-PILE'!$E$72:$E$91))+IF(SUMSQ('TS-PILE'!$D$72:$D$91)=0,0,'TO HOP NLAN'!F202*'TS-PILE'!$D$87/SUMSQ('TS-PILE'!$D$72:$D$91))),IF('TS-PILE'!$B$88="",1E+99,'TO HOP NLAN'!D202/ncoc+IF(SUMSQ('TS-PILE'!$E$72:$E$91)=0,0,'TO HOP NLAN'!E202*'TS-PILE'!$E$88/SUMSQ('TS-PILE'!$E$72:$E$91))+IF(SUMSQ('TS-PILE'!$D$72:$D$91)=0,0,'TO HOP NLAN'!F202*'TS-PILE'!$D$88/SUMSQ('TS-PILE'!$D$72:$D$91))),IF('TS-PILE'!$B$89="",1E+99,'TO HOP NLAN'!D202/ncoc+IF(SUMSQ('TS-PILE'!$E$72:$E$91)=0,0,'TO HOP NLAN'!E202*'TS-PILE'!$E$89/SUMSQ('TS-PILE'!$E$72:$E$91))+IF(SUMSQ('TS-PILE'!$D$72:$D$91)=0,0,'TO HOP NLAN'!F202*'TS-PILE'!$D$89/SUMSQ('TS-PILE'!$D$72:$D$91))),IF('TS-PILE'!$B$90="",1E+99,'TO HOP NLAN'!D202/ncoc+IF(SUMSQ('TS-PILE'!$E$72:$E$91)=0,0,'TO HOP NLAN'!E202*'TS-PILE'!$E$90/SUMSQ('TS-PILE'!$E$72:$E$91))+IF(SUMSQ('TS-PILE'!$D$72:$D$91)=0,0,'TO HOP NLAN'!F202*'TS-PILE'!$D$90/SUMSQ('TS-PILE'!$D$72:$D$91))),IF('TS-PILE'!$B$91="",1E+99,'TO HOP NLAN'!D202/ncoc+IF(SUMSQ('TS-PILE'!$E$72:$E$91)=0,0,'TO HOP NLAN'!E202*'TS-PILE'!$E$91/SUMSQ('TS-PILE'!$E$72:$E$91))+IF(SUMSQ('TS-PILE'!$D$72:$D$91)=0,0,'TO HOP NLAN'!F202*'TS-PILE'!$D$91/SUMSQ('TS-PILE'!$D$72:$D$91)))))</f>
        <v>0</v>
      </c>
      <c r="E202" s="58">
        <f t="shared" si="12"/>
        <v>-9.9999999999999997E+98</v>
      </c>
      <c r="F202" s="58">
        <f t="shared" si="13"/>
        <v>9.9999999999999997E+98</v>
      </c>
      <c r="G202" s="58">
        <f t="shared" si="14"/>
        <v>-9.9999999999999997E+98</v>
      </c>
      <c r="H202" s="58">
        <f t="shared" si="15"/>
        <v>9.9999999999999997E+98</v>
      </c>
    </row>
    <row r="203" spans="1:8" x14ac:dyDescent="0.3">
      <c r="A203" s="42" t="str">
        <f>'TO HOP NLAN'!A203</f>
        <v/>
      </c>
      <c r="B203" s="42" t="str">
        <f>'TO HOP NLAN'!L203</f>
        <v>STRENGTH</v>
      </c>
      <c r="C203" s="58">
        <f>IF(A203="",0,MAX(IF('TS-PILE'!$B$72="",-1E+99,'TO HOP NLAN'!D203/ncoc+IF(SUMSQ('TS-PILE'!$E$72:$E$91)=0,0,'TO HOP NLAN'!E203*'TS-PILE'!$E$72/SUMSQ('TS-PILE'!$E$72:$E$91))+IF(SUMSQ('TS-PILE'!$D$72:$D$91)=0,0,'TO HOP NLAN'!F203*'TS-PILE'!$D$72/SUMSQ('TS-PILE'!$D$72:$D$91))),IF('TS-PILE'!$B$73="",-1E+99,'TO HOP NLAN'!D203/ncoc+IF(SUMSQ('TS-PILE'!$E$72:$E$91)=0,0,'TO HOP NLAN'!E203*'TS-PILE'!$E$73/SUMSQ('TS-PILE'!$E$72:$E$91))+IF(SUMSQ('TS-PILE'!$D$72:$D$91)=0,0,'TO HOP NLAN'!F203*'TS-PILE'!$D$73/SUMSQ('TS-PILE'!$D$72:$D$91))),IF('TS-PILE'!$B$74="",-1E+99,'TO HOP NLAN'!D203/ncoc+IF(SUMSQ('TS-PILE'!$E$72:$E$91)=0,0,'TO HOP NLAN'!E203*'TS-PILE'!$E$74/SUMSQ('TS-PILE'!$E$72:$E$91))+IF(SUMSQ('TS-PILE'!$D$72:$D$91)=0,0,'TO HOP NLAN'!F203*'TS-PILE'!$D$74/SUMSQ('TS-PILE'!$D$72:$D$91))),IF('TS-PILE'!$B$75="",-1E+99,'TO HOP NLAN'!D203/ncoc+IF(SUMSQ('TS-PILE'!$E$72:$E$91)=0,0,'TO HOP NLAN'!E203*'TS-PILE'!$E$75/SUMSQ('TS-PILE'!$E$72:$E$91))+IF(SUMSQ('TS-PILE'!$D$72:$D$91)=0,0,'TO HOP NLAN'!F203*'TS-PILE'!$D$75/SUMSQ('TS-PILE'!$D$72:$D$91))),IF('TS-PILE'!$B$76="",-1E+99,'TO HOP NLAN'!D203/ncoc+IF(SUMSQ('TS-PILE'!$E$72:$E$91)=0,0,'TO HOP NLAN'!E203*'TS-PILE'!$E$76/SUMSQ('TS-PILE'!$E$72:$E$91))+IF(SUMSQ('TS-PILE'!$D$72:$D$91)=0,0,'TO HOP NLAN'!F203*'TS-PILE'!$D$76/SUMSQ('TS-PILE'!$D$72:$D$91))),IF('TS-PILE'!$B$77="",-1E+99,'TO HOP NLAN'!D203/ncoc+IF(SUMSQ('TS-PILE'!$E$72:$E$91)=0,0,'TO HOP NLAN'!E203*'TS-PILE'!$E$77/SUMSQ('TS-PILE'!$E$72:$E$91))+IF(SUMSQ('TS-PILE'!$D$72:$D$91)=0,0,'TO HOP NLAN'!F203*'TS-PILE'!$D$77/SUMSQ('TS-PILE'!$D$72:$D$91))),IF('TS-PILE'!$B$78="",-1E+99,'TO HOP NLAN'!D203/ncoc+IF(SUMSQ('TS-PILE'!$E$72:$E$91)=0,0,'TO HOP NLAN'!E203*'TS-PILE'!$E$78/SUMSQ('TS-PILE'!$E$72:$E$91))+IF(SUMSQ('TS-PILE'!$D$72:$D$91)=0,0,'TO HOP NLAN'!F203*'TS-PILE'!$D$78/SUMSQ('TS-PILE'!$D$72:$D$91))),IF('TS-PILE'!$B$79="",-1E+99,'TO HOP NLAN'!D203/ncoc+IF(SUMSQ('TS-PILE'!$E$72:$E$91)=0,0,'TO HOP NLAN'!E203*'TS-PILE'!$E$79/SUMSQ('TS-PILE'!$E$72:$E$91))+IF(SUMSQ('TS-PILE'!$D$72:$D$91)=0,0,'TO HOP NLAN'!F203*'TS-PILE'!$D$79/SUMSQ('TS-PILE'!$D$72:$D$91))),IF('TS-PILE'!$B$80="",-1E+99,'TO HOP NLAN'!D203/ncoc+IF(SUMSQ('TS-PILE'!$E$72:$E$91)=0,0,'TO HOP NLAN'!E203*'TS-PILE'!$E$80/SUMSQ('TS-PILE'!$E$72:$E$91))+IF(SUMSQ('TS-PILE'!$D$72:$D$91)=0,0,'TO HOP NLAN'!F203*'TS-PILE'!$D$80/SUMSQ('TS-PILE'!$D$72:$D$91))),IF('TS-PILE'!$B$81="",-1E+99,'TO HOP NLAN'!D203/ncoc+IF(SUMSQ('TS-PILE'!$E$72:$E$91)=0,0,'TO HOP NLAN'!E203*'TS-PILE'!$E$81/SUMSQ('TS-PILE'!$E$72:$E$91))+IF(SUMSQ('TS-PILE'!$D$72:$D$91)=0,0,'TO HOP NLAN'!F203*'TS-PILE'!$D$81/SUMSQ('TS-PILE'!$D$72:$D$91))),IF('TS-PILE'!$B$82="",-1E+99,'TO HOP NLAN'!D203/ncoc+IF(SUMSQ('TS-PILE'!$E$72:$E$91)=0,0,'TO HOP NLAN'!E203*'TS-PILE'!$E$82/SUMSQ('TS-PILE'!$E$72:$E$91))+IF(SUMSQ('TS-PILE'!$D$72:$D$91)=0,0,'TO HOP NLAN'!F203*'TS-PILE'!$D$82/SUMSQ('TS-PILE'!$D$72:$D$91))),IF('TS-PILE'!$B$83="",-1E+99,'TO HOP NLAN'!D203/ncoc+IF(SUMSQ('TS-PILE'!$E$72:$E$91)=0,0,'TO HOP NLAN'!E203*'TS-PILE'!$E$83/SUMSQ('TS-PILE'!$E$72:$E$91))+IF(SUMSQ('TS-PILE'!$D$72:$D$91)=0,0,'TO HOP NLAN'!F203*'TS-PILE'!$D$83/SUMSQ('TS-PILE'!$D$72:$D$91))),IF('TS-PILE'!$B$84="",-1E+99,'TO HOP NLAN'!D203/ncoc+IF(SUMSQ('TS-PILE'!$E$72:$E$91)=0,0,'TO HOP NLAN'!E203*'TS-PILE'!$E$84/SUMSQ('TS-PILE'!$E$72:$E$91))+IF(SUMSQ('TS-PILE'!$D$72:$D$91)=0,0,'TO HOP NLAN'!F203*'TS-PILE'!$D$84/SUMSQ('TS-PILE'!$D$72:$D$91))),IF('TS-PILE'!$B$85="",-1E+99,'TO HOP NLAN'!D203/ncoc+IF(SUMSQ('TS-PILE'!$E$72:$E$91)=0,0,'TO HOP NLAN'!E203*'TS-PILE'!$E$85/SUMSQ('TS-PILE'!$E$72:$E$91))+IF(SUMSQ('TS-PILE'!$D$72:$D$91)=0,0,'TO HOP NLAN'!F203*'TS-PILE'!$D$85/SUMSQ('TS-PILE'!$D$72:$D$91))),IF('TS-PILE'!$B$86="",-1E+99,'TO HOP NLAN'!D203/ncoc+IF(SUMSQ('TS-PILE'!$E$72:$E$91)=0,0,'TO HOP NLAN'!E203*'TS-PILE'!$E$86/SUMSQ('TS-PILE'!$E$72:$E$91))+IF(SUMSQ('TS-PILE'!$D$72:$D$91)=0,0,'TO HOP NLAN'!F203*'TS-PILE'!$D$86/SUMSQ('TS-PILE'!$D$72:$D$91))),IF('TS-PILE'!$B$87="",-1E+99,'TO HOP NLAN'!D203/ncoc+IF(SUMSQ('TS-PILE'!$E$72:$E$91)=0,0,'TO HOP NLAN'!E203*'TS-PILE'!$E$87/SUMSQ('TS-PILE'!$E$72:$E$91))+IF(SUMSQ('TS-PILE'!$D$72:$D$91)=0,0,'TO HOP NLAN'!F203*'TS-PILE'!$D$87/SUMSQ('TS-PILE'!$D$72:$D$91))),IF('TS-PILE'!$B$88="",-1E+99,'TO HOP NLAN'!D203/ncoc+IF(SUMSQ('TS-PILE'!$E$72:$E$91)=0,0,'TO HOP NLAN'!E203*'TS-PILE'!$E$88/SUMSQ('TS-PILE'!$E$72:$E$91))+IF(SUMSQ('TS-PILE'!$D$72:$D$91)=0,0,'TO HOP NLAN'!F203*'TS-PILE'!$D$88/SUMSQ('TS-PILE'!$D$72:$D$91))),IF('TS-PILE'!$B$89="",-1E+99,'TO HOP NLAN'!D203/ncoc+IF(SUMSQ('TS-PILE'!$E$72:$E$91)=0,0,'TO HOP NLAN'!E203*'TS-PILE'!$E$89/SUMSQ('TS-PILE'!$E$72:$E$91))+IF(SUMSQ('TS-PILE'!$D$72:$D$91)=0,0,'TO HOP NLAN'!F203*'TS-PILE'!$D$89/SUMSQ('TS-PILE'!$D$72:$D$91))),IF('TS-PILE'!$B$90="",-1E+99,'TO HOP NLAN'!D203/ncoc+IF(SUMSQ('TS-PILE'!$E$72:$E$91)=0,0,'TO HOP NLAN'!E203*'TS-PILE'!$E$90/SUMSQ('TS-PILE'!$E$72:$E$91))+IF(SUMSQ('TS-PILE'!$D$72:$D$91)=0,0,'TO HOP NLAN'!F203*'TS-PILE'!$D$90/SUMSQ('TS-PILE'!$D$72:$D$91))),IF('TS-PILE'!$B$91="",-1E+99,'TO HOP NLAN'!D203/ncoc+IF(SUMSQ('TS-PILE'!$E$72:$E$91)=0,0,'TO HOP NLAN'!E203*'TS-PILE'!$E$91/SUMSQ('TS-PILE'!$E$72:$E$91))+IF(SUMSQ('TS-PILE'!$D$72:$D$91)=0,0,'TO HOP NLAN'!F203*'TS-PILE'!$D$91/SUMSQ('TS-PILE'!$D$72:$D$91)))))</f>
        <v>0</v>
      </c>
      <c r="D203" s="58">
        <f>IF(A203="",0,MIN(IF('TS-PILE'!$B$72="",1E+99,'TO HOP NLAN'!D203/ncoc+IF(SUMSQ('TS-PILE'!$E$72:$E$91)=0,0,'TO HOP NLAN'!E203*'TS-PILE'!$E$72/SUMSQ('TS-PILE'!$E$72:$E$91))+IF(SUMSQ('TS-PILE'!$D$72:$D$91)=0,0,'TO HOP NLAN'!F203*'TS-PILE'!$D$72/SUMSQ('TS-PILE'!$D$72:$D$91))),IF('TS-PILE'!$B$73="",1E+99,'TO HOP NLAN'!D203/ncoc+IF(SUMSQ('TS-PILE'!$E$72:$E$91)=0,0,'TO HOP NLAN'!E203*'TS-PILE'!$E$73/SUMSQ('TS-PILE'!$E$72:$E$91))+IF(SUMSQ('TS-PILE'!$D$72:$D$91)=0,0,'TO HOP NLAN'!F203*'TS-PILE'!$D$73/SUMSQ('TS-PILE'!$D$72:$D$91))),IF('TS-PILE'!$B$74="",1E+99,'TO HOP NLAN'!D203/ncoc+IF(SUMSQ('TS-PILE'!$E$72:$E$91)=0,0,'TO HOP NLAN'!E203*'TS-PILE'!$E$74/SUMSQ('TS-PILE'!$E$72:$E$91))+IF(SUMSQ('TS-PILE'!$D$72:$D$91)=0,0,'TO HOP NLAN'!F203*'TS-PILE'!$D$74/SUMSQ('TS-PILE'!$D$72:$D$91))),IF('TS-PILE'!$B$75="",1E+99,'TO HOP NLAN'!D203/ncoc+IF(SUMSQ('TS-PILE'!$E$72:$E$91)=0,0,'TO HOP NLAN'!E203*'TS-PILE'!$E$75/SUMSQ('TS-PILE'!$E$72:$E$91))+IF(SUMSQ('TS-PILE'!$D$72:$D$91)=0,0,'TO HOP NLAN'!F203*'TS-PILE'!$D$75/SUMSQ('TS-PILE'!$D$72:$D$91))),IF('TS-PILE'!$B$76="",1E+99,'TO HOP NLAN'!D203/ncoc+IF(SUMSQ('TS-PILE'!$E$72:$E$91)=0,0,'TO HOP NLAN'!E203*'TS-PILE'!$E$76/SUMSQ('TS-PILE'!$E$72:$E$91))+IF(SUMSQ('TS-PILE'!$D$72:$D$91)=0,0,'TO HOP NLAN'!F203*'TS-PILE'!$D$76/SUMSQ('TS-PILE'!$D$72:$D$91))),IF('TS-PILE'!$B$77="",1E+99,'TO HOP NLAN'!D203/ncoc+IF(SUMSQ('TS-PILE'!$E$72:$E$91)=0,0,'TO HOP NLAN'!E203*'TS-PILE'!$E$77/SUMSQ('TS-PILE'!$E$72:$E$91))+IF(SUMSQ('TS-PILE'!$D$72:$D$91)=0,0,'TO HOP NLAN'!F203*'TS-PILE'!$D$77/SUMSQ('TS-PILE'!$D$72:$D$91))),IF('TS-PILE'!$B$78="",1E+99,'TO HOP NLAN'!D203/ncoc+IF(SUMSQ('TS-PILE'!$E$72:$E$91)=0,0,'TO HOP NLAN'!E203*'TS-PILE'!$E$78/SUMSQ('TS-PILE'!$E$72:$E$91))+IF(SUMSQ('TS-PILE'!$D$72:$D$91)=0,0,'TO HOP NLAN'!F203*'TS-PILE'!$D$78/SUMSQ('TS-PILE'!$D$72:$D$91))),IF('TS-PILE'!$B$79="",1E+99,'TO HOP NLAN'!D203/ncoc+IF(SUMSQ('TS-PILE'!$E$72:$E$91)=0,0,'TO HOP NLAN'!E203*'TS-PILE'!$E$79/SUMSQ('TS-PILE'!$E$72:$E$91))+IF(SUMSQ('TS-PILE'!$D$72:$D$91)=0,0,'TO HOP NLAN'!F203*'TS-PILE'!$D$79/SUMSQ('TS-PILE'!$D$72:$D$91))),IF('TS-PILE'!$B$80="",1E+99,'TO HOP NLAN'!D203/ncoc+IF(SUMSQ('TS-PILE'!$E$72:$E$91)=0,0,'TO HOP NLAN'!E203*'TS-PILE'!$E$80/SUMSQ('TS-PILE'!$E$72:$E$91))+IF(SUMSQ('TS-PILE'!$D$72:$D$91)=0,0,'TO HOP NLAN'!F203*'TS-PILE'!$D$80/SUMSQ('TS-PILE'!$D$72:$D$91))),IF('TS-PILE'!$B$81="",1E+99,'TO HOP NLAN'!D203/ncoc+IF(SUMSQ('TS-PILE'!$E$72:$E$91)=0,0,'TO HOP NLAN'!E203*'TS-PILE'!$E$81/SUMSQ('TS-PILE'!$E$72:$E$91))+IF(SUMSQ('TS-PILE'!$D$72:$D$91)=0,0,'TO HOP NLAN'!F203*'TS-PILE'!$D$81/SUMSQ('TS-PILE'!$D$72:$D$91))),IF('TS-PILE'!$B$82="",1E+99,'TO HOP NLAN'!D203/ncoc+IF(SUMSQ('TS-PILE'!$E$72:$E$91)=0,0,'TO HOP NLAN'!E203*'TS-PILE'!$E$82/SUMSQ('TS-PILE'!$E$72:$E$91))+IF(SUMSQ('TS-PILE'!$D$72:$D$91)=0,0,'TO HOP NLAN'!F203*'TS-PILE'!$D$82/SUMSQ('TS-PILE'!$D$72:$D$91))),IF('TS-PILE'!$B$83="",1E+99,'TO HOP NLAN'!D203/ncoc+IF(SUMSQ('TS-PILE'!$E$72:$E$91)=0,0,'TO HOP NLAN'!E203*'TS-PILE'!$E$83/SUMSQ('TS-PILE'!$E$72:$E$91))+IF(SUMSQ('TS-PILE'!$D$72:$D$91)=0,0,'TO HOP NLAN'!F203*'TS-PILE'!$D$83/SUMSQ('TS-PILE'!$D$72:$D$91))),IF('TS-PILE'!$B$84="",1E+99,'TO HOP NLAN'!D203/ncoc+IF(SUMSQ('TS-PILE'!$E$72:$E$91)=0,0,'TO HOP NLAN'!E203*'TS-PILE'!$E$84/SUMSQ('TS-PILE'!$E$72:$E$91))+IF(SUMSQ('TS-PILE'!$D$72:$D$91)=0,0,'TO HOP NLAN'!F203*'TS-PILE'!$D$84/SUMSQ('TS-PILE'!$D$72:$D$91))),IF('TS-PILE'!$B$85="",1E+99,'TO HOP NLAN'!D203/ncoc+IF(SUMSQ('TS-PILE'!$E$72:$E$91)=0,0,'TO HOP NLAN'!E203*'TS-PILE'!$E$85/SUMSQ('TS-PILE'!$E$72:$E$91))+IF(SUMSQ('TS-PILE'!$D$72:$D$91)=0,0,'TO HOP NLAN'!F203*'TS-PILE'!$D$85/SUMSQ('TS-PILE'!$D$72:$D$91))),IF('TS-PILE'!$B$86="",1E+99,'TO HOP NLAN'!D203/ncoc+IF(SUMSQ('TS-PILE'!$E$72:$E$91)=0,0,'TO HOP NLAN'!E203*'TS-PILE'!$E$86/SUMSQ('TS-PILE'!$E$72:$E$91))+IF(SUMSQ('TS-PILE'!$D$72:$D$91)=0,0,'TO HOP NLAN'!F203*'TS-PILE'!$D$86/SUMSQ('TS-PILE'!$D$72:$D$91))),IF('TS-PILE'!$B$87="",1E+99,'TO HOP NLAN'!D203/ncoc+IF(SUMSQ('TS-PILE'!$E$72:$E$91)=0,0,'TO HOP NLAN'!E203*'TS-PILE'!$E$87/SUMSQ('TS-PILE'!$E$72:$E$91))+IF(SUMSQ('TS-PILE'!$D$72:$D$91)=0,0,'TO HOP NLAN'!F203*'TS-PILE'!$D$87/SUMSQ('TS-PILE'!$D$72:$D$91))),IF('TS-PILE'!$B$88="",1E+99,'TO HOP NLAN'!D203/ncoc+IF(SUMSQ('TS-PILE'!$E$72:$E$91)=0,0,'TO HOP NLAN'!E203*'TS-PILE'!$E$88/SUMSQ('TS-PILE'!$E$72:$E$91))+IF(SUMSQ('TS-PILE'!$D$72:$D$91)=0,0,'TO HOP NLAN'!F203*'TS-PILE'!$D$88/SUMSQ('TS-PILE'!$D$72:$D$91))),IF('TS-PILE'!$B$89="",1E+99,'TO HOP NLAN'!D203/ncoc+IF(SUMSQ('TS-PILE'!$E$72:$E$91)=0,0,'TO HOP NLAN'!E203*'TS-PILE'!$E$89/SUMSQ('TS-PILE'!$E$72:$E$91))+IF(SUMSQ('TS-PILE'!$D$72:$D$91)=0,0,'TO HOP NLAN'!F203*'TS-PILE'!$D$89/SUMSQ('TS-PILE'!$D$72:$D$91))),IF('TS-PILE'!$B$90="",1E+99,'TO HOP NLAN'!D203/ncoc+IF(SUMSQ('TS-PILE'!$E$72:$E$91)=0,0,'TO HOP NLAN'!E203*'TS-PILE'!$E$90/SUMSQ('TS-PILE'!$E$72:$E$91))+IF(SUMSQ('TS-PILE'!$D$72:$D$91)=0,0,'TO HOP NLAN'!F203*'TS-PILE'!$D$90/SUMSQ('TS-PILE'!$D$72:$D$91))),IF('TS-PILE'!$B$91="",1E+99,'TO HOP NLAN'!D203/ncoc+IF(SUMSQ('TS-PILE'!$E$72:$E$91)=0,0,'TO HOP NLAN'!E203*'TS-PILE'!$E$91/SUMSQ('TS-PILE'!$E$72:$E$91))+IF(SUMSQ('TS-PILE'!$D$72:$D$91)=0,0,'TO HOP NLAN'!F203*'TS-PILE'!$D$91/SUMSQ('TS-PILE'!$D$72:$D$91)))))</f>
        <v>0</v>
      </c>
      <c r="E203" s="58">
        <f t="shared" si="12"/>
        <v>-9.9999999999999997E+98</v>
      </c>
      <c r="F203" s="58">
        <f t="shared" si="13"/>
        <v>9.9999999999999997E+98</v>
      </c>
      <c r="G203" s="58">
        <f t="shared" si="14"/>
        <v>-9.9999999999999997E+98</v>
      </c>
      <c r="H203" s="58">
        <f t="shared" si="15"/>
        <v>9.9999999999999997E+98</v>
      </c>
    </row>
    <row r="204" spans="1:8" x14ac:dyDescent="0.3">
      <c r="A204" s="42" t="str">
        <f>'TO HOP NLAN'!A204</f>
        <v/>
      </c>
      <c r="B204" s="42" t="str">
        <f>'TO HOP NLAN'!L204</f>
        <v>STRENGTH</v>
      </c>
      <c r="C204" s="58">
        <f>IF(A204="",0,MAX(IF('TS-PILE'!$B$72="",-1E+99,'TO HOP NLAN'!D204/ncoc+IF(SUMSQ('TS-PILE'!$E$72:$E$91)=0,0,'TO HOP NLAN'!E204*'TS-PILE'!$E$72/SUMSQ('TS-PILE'!$E$72:$E$91))+IF(SUMSQ('TS-PILE'!$D$72:$D$91)=0,0,'TO HOP NLAN'!F204*'TS-PILE'!$D$72/SUMSQ('TS-PILE'!$D$72:$D$91))),IF('TS-PILE'!$B$73="",-1E+99,'TO HOP NLAN'!D204/ncoc+IF(SUMSQ('TS-PILE'!$E$72:$E$91)=0,0,'TO HOP NLAN'!E204*'TS-PILE'!$E$73/SUMSQ('TS-PILE'!$E$72:$E$91))+IF(SUMSQ('TS-PILE'!$D$72:$D$91)=0,0,'TO HOP NLAN'!F204*'TS-PILE'!$D$73/SUMSQ('TS-PILE'!$D$72:$D$91))),IF('TS-PILE'!$B$74="",-1E+99,'TO HOP NLAN'!D204/ncoc+IF(SUMSQ('TS-PILE'!$E$72:$E$91)=0,0,'TO HOP NLAN'!E204*'TS-PILE'!$E$74/SUMSQ('TS-PILE'!$E$72:$E$91))+IF(SUMSQ('TS-PILE'!$D$72:$D$91)=0,0,'TO HOP NLAN'!F204*'TS-PILE'!$D$74/SUMSQ('TS-PILE'!$D$72:$D$91))),IF('TS-PILE'!$B$75="",-1E+99,'TO HOP NLAN'!D204/ncoc+IF(SUMSQ('TS-PILE'!$E$72:$E$91)=0,0,'TO HOP NLAN'!E204*'TS-PILE'!$E$75/SUMSQ('TS-PILE'!$E$72:$E$91))+IF(SUMSQ('TS-PILE'!$D$72:$D$91)=0,0,'TO HOP NLAN'!F204*'TS-PILE'!$D$75/SUMSQ('TS-PILE'!$D$72:$D$91))),IF('TS-PILE'!$B$76="",-1E+99,'TO HOP NLAN'!D204/ncoc+IF(SUMSQ('TS-PILE'!$E$72:$E$91)=0,0,'TO HOP NLAN'!E204*'TS-PILE'!$E$76/SUMSQ('TS-PILE'!$E$72:$E$91))+IF(SUMSQ('TS-PILE'!$D$72:$D$91)=0,0,'TO HOP NLAN'!F204*'TS-PILE'!$D$76/SUMSQ('TS-PILE'!$D$72:$D$91))),IF('TS-PILE'!$B$77="",-1E+99,'TO HOP NLAN'!D204/ncoc+IF(SUMSQ('TS-PILE'!$E$72:$E$91)=0,0,'TO HOP NLAN'!E204*'TS-PILE'!$E$77/SUMSQ('TS-PILE'!$E$72:$E$91))+IF(SUMSQ('TS-PILE'!$D$72:$D$91)=0,0,'TO HOP NLAN'!F204*'TS-PILE'!$D$77/SUMSQ('TS-PILE'!$D$72:$D$91))),IF('TS-PILE'!$B$78="",-1E+99,'TO HOP NLAN'!D204/ncoc+IF(SUMSQ('TS-PILE'!$E$72:$E$91)=0,0,'TO HOP NLAN'!E204*'TS-PILE'!$E$78/SUMSQ('TS-PILE'!$E$72:$E$91))+IF(SUMSQ('TS-PILE'!$D$72:$D$91)=0,0,'TO HOP NLAN'!F204*'TS-PILE'!$D$78/SUMSQ('TS-PILE'!$D$72:$D$91))),IF('TS-PILE'!$B$79="",-1E+99,'TO HOP NLAN'!D204/ncoc+IF(SUMSQ('TS-PILE'!$E$72:$E$91)=0,0,'TO HOP NLAN'!E204*'TS-PILE'!$E$79/SUMSQ('TS-PILE'!$E$72:$E$91))+IF(SUMSQ('TS-PILE'!$D$72:$D$91)=0,0,'TO HOP NLAN'!F204*'TS-PILE'!$D$79/SUMSQ('TS-PILE'!$D$72:$D$91))),IF('TS-PILE'!$B$80="",-1E+99,'TO HOP NLAN'!D204/ncoc+IF(SUMSQ('TS-PILE'!$E$72:$E$91)=0,0,'TO HOP NLAN'!E204*'TS-PILE'!$E$80/SUMSQ('TS-PILE'!$E$72:$E$91))+IF(SUMSQ('TS-PILE'!$D$72:$D$91)=0,0,'TO HOP NLAN'!F204*'TS-PILE'!$D$80/SUMSQ('TS-PILE'!$D$72:$D$91))),IF('TS-PILE'!$B$81="",-1E+99,'TO HOP NLAN'!D204/ncoc+IF(SUMSQ('TS-PILE'!$E$72:$E$91)=0,0,'TO HOP NLAN'!E204*'TS-PILE'!$E$81/SUMSQ('TS-PILE'!$E$72:$E$91))+IF(SUMSQ('TS-PILE'!$D$72:$D$91)=0,0,'TO HOP NLAN'!F204*'TS-PILE'!$D$81/SUMSQ('TS-PILE'!$D$72:$D$91))),IF('TS-PILE'!$B$82="",-1E+99,'TO HOP NLAN'!D204/ncoc+IF(SUMSQ('TS-PILE'!$E$72:$E$91)=0,0,'TO HOP NLAN'!E204*'TS-PILE'!$E$82/SUMSQ('TS-PILE'!$E$72:$E$91))+IF(SUMSQ('TS-PILE'!$D$72:$D$91)=0,0,'TO HOP NLAN'!F204*'TS-PILE'!$D$82/SUMSQ('TS-PILE'!$D$72:$D$91))),IF('TS-PILE'!$B$83="",-1E+99,'TO HOP NLAN'!D204/ncoc+IF(SUMSQ('TS-PILE'!$E$72:$E$91)=0,0,'TO HOP NLAN'!E204*'TS-PILE'!$E$83/SUMSQ('TS-PILE'!$E$72:$E$91))+IF(SUMSQ('TS-PILE'!$D$72:$D$91)=0,0,'TO HOP NLAN'!F204*'TS-PILE'!$D$83/SUMSQ('TS-PILE'!$D$72:$D$91))),IF('TS-PILE'!$B$84="",-1E+99,'TO HOP NLAN'!D204/ncoc+IF(SUMSQ('TS-PILE'!$E$72:$E$91)=0,0,'TO HOP NLAN'!E204*'TS-PILE'!$E$84/SUMSQ('TS-PILE'!$E$72:$E$91))+IF(SUMSQ('TS-PILE'!$D$72:$D$91)=0,0,'TO HOP NLAN'!F204*'TS-PILE'!$D$84/SUMSQ('TS-PILE'!$D$72:$D$91))),IF('TS-PILE'!$B$85="",-1E+99,'TO HOP NLAN'!D204/ncoc+IF(SUMSQ('TS-PILE'!$E$72:$E$91)=0,0,'TO HOP NLAN'!E204*'TS-PILE'!$E$85/SUMSQ('TS-PILE'!$E$72:$E$91))+IF(SUMSQ('TS-PILE'!$D$72:$D$91)=0,0,'TO HOP NLAN'!F204*'TS-PILE'!$D$85/SUMSQ('TS-PILE'!$D$72:$D$91))),IF('TS-PILE'!$B$86="",-1E+99,'TO HOP NLAN'!D204/ncoc+IF(SUMSQ('TS-PILE'!$E$72:$E$91)=0,0,'TO HOP NLAN'!E204*'TS-PILE'!$E$86/SUMSQ('TS-PILE'!$E$72:$E$91))+IF(SUMSQ('TS-PILE'!$D$72:$D$91)=0,0,'TO HOP NLAN'!F204*'TS-PILE'!$D$86/SUMSQ('TS-PILE'!$D$72:$D$91))),IF('TS-PILE'!$B$87="",-1E+99,'TO HOP NLAN'!D204/ncoc+IF(SUMSQ('TS-PILE'!$E$72:$E$91)=0,0,'TO HOP NLAN'!E204*'TS-PILE'!$E$87/SUMSQ('TS-PILE'!$E$72:$E$91))+IF(SUMSQ('TS-PILE'!$D$72:$D$91)=0,0,'TO HOP NLAN'!F204*'TS-PILE'!$D$87/SUMSQ('TS-PILE'!$D$72:$D$91))),IF('TS-PILE'!$B$88="",-1E+99,'TO HOP NLAN'!D204/ncoc+IF(SUMSQ('TS-PILE'!$E$72:$E$91)=0,0,'TO HOP NLAN'!E204*'TS-PILE'!$E$88/SUMSQ('TS-PILE'!$E$72:$E$91))+IF(SUMSQ('TS-PILE'!$D$72:$D$91)=0,0,'TO HOP NLAN'!F204*'TS-PILE'!$D$88/SUMSQ('TS-PILE'!$D$72:$D$91))),IF('TS-PILE'!$B$89="",-1E+99,'TO HOP NLAN'!D204/ncoc+IF(SUMSQ('TS-PILE'!$E$72:$E$91)=0,0,'TO HOP NLAN'!E204*'TS-PILE'!$E$89/SUMSQ('TS-PILE'!$E$72:$E$91))+IF(SUMSQ('TS-PILE'!$D$72:$D$91)=0,0,'TO HOP NLAN'!F204*'TS-PILE'!$D$89/SUMSQ('TS-PILE'!$D$72:$D$91))),IF('TS-PILE'!$B$90="",-1E+99,'TO HOP NLAN'!D204/ncoc+IF(SUMSQ('TS-PILE'!$E$72:$E$91)=0,0,'TO HOP NLAN'!E204*'TS-PILE'!$E$90/SUMSQ('TS-PILE'!$E$72:$E$91))+IF(SUMSQ('TS-PILE'!$D$72:$D$91)=0,0,'TO HOP NLAN'!F204*'TS-PILE'!$D$90/SUMSQ('TS-PILE'!$D$72:$D$91))),IF('TS-PILE'!$B$91="",-1E+99,'TO HOP NLAN'!D204/ncoc+IF(SUMSQ('TS-PILE'!$E$72:$E$91)=0,0,'TO HOP NLAN'!E204*'TS-PILE'!$E$91/SUMSQ('TS-PILE'!$E$72:$E$91))+IF(SUMSQ('TS-PILE'!$D$72:$D$91)=0,0,'TO HOP NLAN'!F204*'TS-PILE'!$D$91/SUMSQ('TS-PILE'!$D$72:$D$91)))))</f>
        <v>0</v>
      </c>
      <c r="D204" s="58">
        <f>IF(A204="",0,MIN(IF('TS-PILE'!$B$72="",1E+99,'TO HOP NLAN'!D204/ncoc+IF(SUMSQ('TS-PILE'!$E$72:$E$91)=0,0,'TO HOP NLAN'!E204*'TS-PILE'!$E$72/SUMSQ('TS-PILE'!$E$72:$E$91))+IF(SUMSQ('TS-PILE'!$D$72:$D$91)=0,0,'TO HOP NLAN'!F204*'TS-PILE'!$D$72/SUMSQ('TS-PILE'!$D$72:$D$91))),IF('TS-PILE'!$B$73="",1E+99,'TO HOP NLAN'!D204/ncoc+IF(SUMSQ('TS-PILE'!$E$72:$E$91)=0,0,'TO HOP NLAN'!E204*'TS-PILE'!$E$73/SUMSQ('TS-PILE'!$E$72:$E$91))+IF(SUMSQ('TS-PILE'!$D$72:$D$91)=0,0,'TO HOP NLAN'!F204*'TS-PILE'!$D$73/SUMSQ('TS-PILE'!$D$72:$D$91))),IF('TS-PILE'!$B$74="",1E+99,'TO HOP NLAN'!D204/ncoc+IF(SUMSQ('TS-PILE'!$E$72:$E$91)=0,0,'TO HOP NLAN'!E204*'TS-PILE'!$E$74/SUMSQ('TS-PILE'!$E$72:$E$91))+IF(SUMSQ('TS-PILE'!$D$72:$D$91)=0,0,'TO HOP NLAN'!F204*'TS-PILE'!$D$74/SUMSQ('TS-PILE'!$D$72:$D$91))),IF('TS-PILE'!$B$75="",1E+99,'TO HOP NLAN'!D204/ncoc+IF(SUMSQ('TS-PILE'!$E$72:$E$91)=0,0,'TO HOP NLAN'!E204*'TS-PILE'!$E$75/SUMSQ('TS-PILE'!$E$72:$E$91))+IF(SUMSQ('TS-PILE'!$D$72:$D$91)=0,0,'TO HOP NLAN'!F204*'TS-PILE'!$D$75/SUMSQ('TS-PILE'!$D$72:$D$91))),IF('TS-PILE'!$B$76="",1E+99,'TO HOP NLAN'!D204/ncoc+IF(SUMSQ('TS-PILE'!$E$72:$E$91)=0,0,'TO HOP NLAN'!E204*'TS-PILE'!$E$76/SUMSQ('TS-PILE'!$E$72:$E$91))+IF(SUMSQ('TS-PILE'!$D$72:$D$91)=0,0,'TO HOP NLAN'!F204*'TS-PILE'!$D$76/SUMSQ('TS-PILE'!$D$72:$D$91))),IF('TS-PILE'!$B$77="",1E+99,'TO HOP NLAN'!D204/ncoc+IF(SUMSQ('TS-PILE'!$E$72:$E$91)=0,0,'TO HOP NLAN'!E204*'TS-PILE'!$E$77/SUMSQ('TS-PILE'!$E$72:$E$91))+IF(SUMSQ('TS-PILE'!$D$72:$D$91)=0,0,'TO HOP NLAN'!F204*'TS-PILE'!$D$77/SUMSQ('TS-PILE'!$D$72:$D$91))),IF('TS-PILE'!$B$78="",1E+99,'TO HOP NLAN'!D204/ncoc+IF(SUMSQ('TS-PILE'!$E$72:$E$91)=0,0,'TO HOP NLAN'!E204*'TS-PILE'!$E$78/SUMSQ('TS-PILE'!$E$72:$E$91))+IF(SUMSQ('TS-PILE'!$D$72:$D$91)=0,0,'TO HOP NLAN'!F204*'TS-PILE'!$D$78/SUMSQ('TS-PILE'!$D$72:$D$91))),IF('TS-PILE'!$B$79="",1E+99,'TO HOP NLAN'!D204/ncoc+IF(SUMSQ('TS-PILE'!$E$72:$E$91)=0,0,'TO HOP NLAN'!E204*'TS-PILE'!$E$79/SUMSQ('TS-PILE'!$E$72:$E$91))+IF(SUMSQ('TS-PILE'!$D$72:$D$91)=0,0,'TO HOP NLAN'!F204*'TS-PILE'!$D$79/SUMSQ('TS-PILE'!$D$72:$D$91))),IF('TS-PILE'!$B$80="",1E+99,'TO HOP NLAN'!D204/ncoc+IF(SUMSQ('TS-PILE'!$E$72:$E$91)=0,0,'TO HOP NLAN'!E204*'TS-PILE'!$E$80/SUMSQ('TS-PILE'!$E$72:$E$91))+IF(SUMSQ('TS-PILE'!$D$72:$D$91)=0,0,'TO HOP NLAN'!F204*'TS-PILE'!$D$80/SUMSQ('TS-PILE'!$D$72:$D$91))),IF('TS-PILE'!$B$81="",1E+99,'TO HOP NLAN'!D204/ncoc+IF(SUMSQ('TS-PILE'!$E$72:$E$91)=0,0,'TO HOP NLAN'!E204*'TS-PILE'!$E$81/SUMSQ('TS-PILE'!$E$72:$E$91))+IF(SUMSQ('TS-PILE'!$D$72:$D$91)=0,0,'TO HOP NLAN'!F204*'TS-PILE'!$D$81/SUMSQ('TS-PILE'!$D$72:$D$91))),IF('TS-PILE'!$B$82="",1E+99,'TO HOP NLAN'!D204/ncoc+IF(SUMSQ('TS-PILE'!$E$72:$E$91)=0,0,'TO HOP NLAN'!E204*'TS-PILE'!$E$82/SUMSQ('TS-PILE'!$E$72:$E$91))+IF(SUMSQ('TS-PILE'!$D$72:$D$91)=0,0,'TO HOP NLAN'!F204*'TS-PILE'!$D$82/SUMSQ('TS-PILE'!$D$72:$D$91))),IF('TS-PILE'!$B$83="",1E+99,'TO HOP NLAN'!D204/ncoc+IF(SUMSQ('TS-PILE'!$E$72:$E$91)=0,0,'TO HOP NLAN'!E204*'TS-PILE'!$E$83/SUMSQ('TS-PILE'!$E$72:$E$91))+IF(SUMSQ('TS-PILE'!$D$72:$D$91)=0,0,'TO HOP NLAN'!F204*'TS-PILE'!$D$83/SUMSQ('TS-PILE'!$D$72:$D$91))),IF('TS-PILE'!$B$84="",1E+99,'TO HOP NLAN'!D204/ncoc+IF(SUMSQ('TS-PILE'!$E$72:$E$91)=0,0,'TO HOP NLAN'!E204*'TS-PILE'!$E$84/SUMSQ('TS-PILE'!$E$72:$E$91))+IF(SUMSQ('TS-PILE'!$D$72:$D$91)=0,0,'TO HOP NLAN'!F204*'TS-PILE'!$D$84/SUMSQ('TS-PILE'!$D$72:$D$91))),IF('TS-PILE'!$B$85="",1E+99,'TO HOP NLAN'!D204/ncoc+IF(SUMSQ('TS-PILE'!$E$72:$E$91)=0,0,'TO HOP NLAN'!E204*'TS-PILE'!$E$85/SUMSQ('TS-PILE'!$E$72:$E$91))+IF(SUMSQ('TS-PILE'!$D$72:$D$91)=0,0,'TO HOP NLAN'!F204*'TS-PILE'!$D$85/SUMSQ('TS-PILE'!$D$72:$D$91))),IF('TS-PILE'!$B$86="",1E+99,'TO HOP NLAN'!D204/ncoc+IF(SUMSQ('TS-PILE'!$E$72:$E$91)=0,0,'TO HOP NLAN'!E204*'TS-PILE'!$E$86/SUMSQ('TS-PILE'!$E$72:$E$91))+IF(SUMSQ('TS-PILE'!$D$72:$D$91)=0,0,'TO HOP NLAN'!F204*'TS-PILE'!$D$86/SUMSQ('TS-PILE'!$D$72:$D$91))),IF('TS-PILE'!$B$87="",1E+99,'TO HOP NLAN'!D204/ncoc+IF(SUMSQ('TS-PILE'!$E$72:$E$91)=0,0,'TO HOP NLAN'!E204*'TS-PILE'!$E$87/SUMSQ('TS-PILE'!$E$72:$E$91))+IF(SUMSQ('TS-PILE'!$D$72:$D$91)=0,0,'TO HOP NLAN'!F204*'TS-PILE'!$D$87/SUMSQ('TS-PILE'!$D$72:$D$91))),IF('TS-PILE'!$B$88="",1E+99,'TO HOP NLAN'!D204/ncoc+IF(SUMSQ('TS-PILE'!$E$72:$E$91)=0,0,'TO HOP NLAN'!E204*'TS-PILE'!$E$88/SUMSQ('TS-PILE'!$E$72:$E$91))+IF(SUMSQ('TS-PILE'!$D$72:$D$91)=0,0,'TO HOP NLAN'!F204*'TS-PILE'!$D$88/SUMSQ('TS-PILE'!$D$72:$D$91))),IF('TS-PILE'!$B$89="",1E+99,'TO HOP NLAN'!D204/ncoc+IF(SUMSQ('TS-PILE'!$E$72:$E$91)=0,0,'TO HOP NLAN'!E204*'TS-PILE'!$E$89/SUMSQ('TS-PILE'!$E$72:$E$91))+IF(SUMSQ('TS-PILE'!$D$72:$D$91)=0,0,'TO HOP NLAN'!F204*'TS-PILE'!$D$89/SUMSQ('TS-PILE'!$D$72:$D$91))),IF('TS-PILE'!$B$90="",1E+99,'TO HOP NLAN'!D204/ncoc+IF(SUMSQ('TS-PILE'!$E$72:$E$91)=0,0,'TO HOP NLAN'!E204*'TS-PILE'!$E$90/SUMSQ('TS-PILE'!$E$72:$E$91))+IF(SUMSQ('TS-PILE'!$D$72:$D$91)=0,0,'TO HOP NLAN'!F204*'TS-PILE'!$D$90/SUMSQ('TS-PILE'!$D$72:$D$91))),IF('TS-PILE'!$B$91="",1E+99,'TO HOP NLAN'!D204/ncoc+IF(SUMSQ('TS-PILE'!$E$72:$E$91)=0,0,'TO HOP NLAN'!E204*'TS-PILE'!$E$91/SUMSQ('TS-PILE'!$E$72:$E$91))+IF(SUMSQ('TS-PILE'!$D$72:$D$91)=0,0,'TO HOP NLAN'!F204*'TS-PILE'!$D$91/SUMSQ('TS-PILE'!$D$72:$D$91)))))</f>
        <v>0</v>
      </c>
      <c r="E204" s="58">
        <f t="shared" si="12"/>
        <v>-9.9999999999999997E+98</v>
      </c>
      <c r="F204" s="58">
        <f t="shared" si="13"/>
        <v>9.9999999999999997E+98</v>
      </c>
      <c r="G204" s="58">
        <f t="shared" si="14"/>
        <v>-9.9999999999999997E+98</v>
      </c>
      <c r="H204" s="58">
        <f t="shared" si="15"/>
        <v>9.9999999999999997E+98</v>
      </c>
    </row>
    <row r="205" spans="1:8" x14ac:dyDescent="0.3">
      <c r="A205" s="42" t="str">
        <f>'TO HOP NLAN'!A205</f>
        <v/>
      </c>
      <c r="B205" s="42" t="str">
        <f>'TO HOP NLAN'!L205</f>
        <v>STRENGTH</v>
      </c>
      <c r="C205" s="58">
        <f>IF(A205="",0,MAX(IF('TS-PILE'!$B$72="",-1E+99,'TO HOP NLAN'!D205/ncoc+IF(SUMSQ('TS-PILE'!$E$72:$E$91)=0,0,'TO HOP NLAN'!E205*'TS-PILE'!$E$72/SUMSQ('TS-PILE'!$E$72:$E$91))+IF(SUMSQ('TS-PILE'!$D$72:$D$91)=0,0,'TO HOP NLAN'!F205*'TS-PILE'!$D$72/SUMSQ('TS-PILE'!$D$72:$D$91))),IF('TS-PILE'!$B$73="",-1E+99,'TO HOP NLAN'!D205/ncoc+IF(SUMSQ('TS-PILE'!$E$72:$E$91)=0,0,'TO HOP NLAN'!E205*'TS-PILE'!$E$73/SUMSQ('TS-PILE'!$E$72:$E$91))+IF(SUMSQ('TS-PILE'!$D$72:$D$91)=0,0,'TO HOP NLAN'!F205*'TS-PILE'!$D$73/SUMSQ('TS-PILE'!$D$72:$D$91))),IF('TS-PILE'!$B$74="",-1E+99,'TO HOP NLAN'!D205/ncoc+IF(SUMSQ('TS-PILE'!$E$72:$E$91)=0,0,'TO HOP NLAN'!E205*'TS-PILE'!$E$74/SUMSQ('TS-PILE'!$E$72:$E$91))+IF(SUMSQ('TS-PILE'!$D$72:$D$91)=0,0,'TO HOP NLAN'!F205*'TS-PILE'!$D$74/SUMSQ('TS-PILE'!$D$72:$D$91))),IF('TS-PILE'!$B$75="",-1E+99,'TO HOP NLAN'!D205/ncoc+IF(SUMSQ('TS-PILE'!$E$72:$E$91)=0,0,'TO HOP NLAN'!E205*'TS-PILE'!$E$75/SUMSQ('TS-PILE'!$E$72:$E$91))+IF(SUMSQ('TS-PILE'!$D$72:$D$91)=0,0,'TO HOP NLAN'!F205*'TS-PILE'!$D$75/SUMSQ('TS-PILE'!$D$72:$D$91))),IF('TS-PILE'!$B$76="",-1E+99,'TO HOP NLAN'!D205/ncoc+IF(SUMSQ('TS-PILE'!$E$72:$E$91)=0,0,'TO HOP NLAN'!E205*'TS-PILE'!$E$76/SUMSQ('TS-PILE'!$E$72:$E$91))+IF(SUMSQ('TS-PILE'!$D$72:$D$91)=0,0,'TO HOP NLAN'!F205*'TS-PILE'!$D$76/SUMSQ('TS-PILE'!$D$72:$D$91))),IF('TS-PILE'!$B$77="",-1E+99,'TO HOP NLAN'!D205/ncoc+IF(SUMSQ('TS-PILE'!$E$72:$E$91)=0,0,'TO HOP NLAN'!E205*'TS-PILE'!$E$77/SUMSQ('TS-PILE'!$E$72:$E$91))+IF(SUMSQ('TS-PILE'!$D$72:$D$91)=0,0,'TO HOP NLAN'!F205*'TS-PILE'!$D$77/SUMSQ('TS-PILE'!$D$72:$D$91))),IF('TS-PILE'!$B$78="",-1E+99,'TO HOP NLAN'!D205/ncoc+IF(SUMSQ('TS-PILE'!$E$72:$E$91)=0,0,'TO HOP NLAN'!E205*'TS-PILE'!$E$78/SUMSQ('TS-PILE'!$E$72:$E$91))+IF(SUMSQ('TS-PILE'!$D$72:$D$91)=0,0,'TO HOP NLAN'!F205*'TS-PILE'!$D$78/SUMSQ('TS-PILE'!$D$72:$D$91))),IF('TS-PILE'!$B$79="",-1E+99,'TO HOP NLAN'!D205/ncoc+IF(SUMSQ('TS-PILE'!$E$72:$E$91)=0,0,'TO HOP NLAN'!E205*'TS-PILE'!$E$79/SUMSQ('TS-PILE'!$E$72:$E$91))+IF(SUMSQ('TS-PILE'!$D$72:$D$91)=0,0,'TO HOP NLAN'!F205*'TS-PILE'!$D$79/SUMSQ('TS-PILE'!$D$72:$D$91))),IF('TS-PILE'!$B$80="",-1E+99,'TO HOP NLAN'!D205/ncoc+IF(SUMSQ('TS-PILE'!$E$72:$E$91)=0,0,'TO HOP NLAN'!E205*'TS-PILE'!$E$80/SUMSQ('TS-PILE'!$E$72:$E$91))+IF(SUMSQ('TS-PILE'!$D$72:$D$91)=0,0,'TO HOP NLAN'!F205*'TS-PILE'!$D$80/SUMSQ('TS-PILE'!$D$72:$D$91))),IF('TS-PILE'!$B$81="",-1E+99,'TO HOP NLAN'!D205/ncoc+IF(SUMSQ('TS-PILE'!$E$72:$E$91)=0,0,'TO HOP NLAN'!E205*'TS-PILE'!$E$81/SUMSQ('TS-PILE'!$E$72:$E$91))+IF(SUMSQ('TS-PILE'!$D$72:$D$91)=0,0,'TO HOP NLAN'!F205*'TS-PILE'!$D$81/SUMSQ('TS-PILE'!$D$72:$D$91))),IF('TS-PILE'!$B$82="",-1E+99,'TO HOP NLAN'!D205/ncoc+IF(SUMSQ('TS-PILE'!$E$72:$E$91)=0,0,'TO HOP NLAN'!E205*'TS-PILE'!$E$82/SUMSQ('TS-PILE'!$E$72:$E$91))+IF(SUMSQ('TS-PILE'!$D$72:$D$91)=0,0,'TO HOP NLAN'!F205*'TS-PILE'!$D$82/SUMSQ('TS-PILE'!$D$72:$D$91))),IF('TS-PILE'!$B$83="",-1E+99,'TO HOP NLAN'!D205/ncoc+IF(SUMSQ('TS-PILE'!$E$72:$E$91)=0,0,'TO HOP NLAN'!E205*'TS-PILE'!$E$83/SUMSQ('TS-PILE'!$E$72:$E$91))+IF(SUMSQ('TS-PILE'!$D$72:$D$91)=0,0,'TO HOP NLAN'!F205*'TS-PILE'!$D$83/SUMSQ('TS-PILE'!$D$72:$D$91))),IF('TS-PILE'!$B$84="",-1E+99,'TO HOP NLAN'!D205/ncoc+IF(SUMSQ('TS-PILE'!$E$72:$E$91)=0,0,'TO HOP NLAN'!E205*'TS-PILE'!$E$84/SUMSQ('TS-PILE'!$E$72:$E$91))+IF(SUMSQ('TS-PILE'!$D$72:$D$91)=0,0,'TO HOP NLAN'!F205*'TS-PILE'!$D$84/SUMSQ('TS-PILE'!$D$72:$D$91))),IF('TS-PILE'!$B$85="",-1E+99,'TO HOP NLAN'!D205/ncoc+IF(SUMSQ('TS-PILE'!$E$72:$E$91)=0,0,'TO HOP NLAN'!E205*'TS-PILE'!$E$85/SUMSQ('TS-PILE'!$E$72:$E$91))+IF(SUMSQ('TS-PILE'!$D$72:$D$91)=0,0,'TO HOP NLAN'!F205*'TS-PILE'!$D$85/SUMSQ('TS-PILE'!$D$72:$D$91))),IF('TS-PILE'!$B$86="",-1E+99,'TO HOP NLAN'!D205/ncoc+IF(SUMSQ('TS-PILE'!$E$72:$E$91)=0,0,'TO HOP NLAN'!E205*'TS-PILE'!$E$86/SUMSQ('TS-PILE'!$E$72:$E$91))+IF(SUMSQ('TS-PILE'!$D$72:$D$91)=0,0,'TO HOP NLAN'!F205*'TS-PILE'!$D$86/SUMSQ('TS-PILE'!$D$72:$D$91))),IF('TS-PILE'!$B$87="",-1E+99,'TO HOP NLAN'!D205/ncoc+IF(SUMSQ('TS-PILE'!$E$72:$E$91)=0,0,'TO HOP NLAN'!E205*'TS-PILE'!$E$87/SUMSQ('TS-PILE'!$E$72:$E$91))+IF(SUMSQ('TS-PILE'!$D$72:$D$91)=0,0,'TO HOP NLAN'!F205*'TS-PILE'!$D$87/SUMSQ('TS-PILE'!$D$72:$D$91))),IF('TS-PILE'!$B$88="",-1E+99,'TO HOP NLAN'!D205/ncoc+IF(SUMSQ('TS-PILE'!$E$72:$E$91)=0,0,'TO HOP NLAN'!E205*'TS-PILE'!$E$88/SUMSQ('TS-PILE'!$E$72:$E$91))+IF(SUMSQ('TS-PILE'!$D$72:$D$91)=0,0,'TO HOP NLAN'!F205*'TS-PILE'!$D$88/SUMSQ('TS-PILE'!$D$72:$D$91))),IF('TS-PILE'!$B$89="",-1E+99,'TO HOP NLAN'!D205/ncoc+IF(SUMSQ('TS-PILE'!$E$72:$E$91)=0,0,'TO HOP NLAN'!E205*'TS-PILE'!$E$89/SUMSQ('TS-PILE'!$E$72:$E$91))+IF(SUMSQ('TS-PILE'!$D$72:$D$91)=0,0,'TO HOP NLAN'!F205*'TS-PILE'!$D$89/SUMSQ('TS-PILE'!$D$72:$D$91))),IF('TS-PILE'!$B$90="",-1E+99,'TO HOP NLAN'!D205/ncoc+IF(SUMSQ('TS-PILE'!$E$72:$E$91)=0,0,'TO HOP NLAN'!E205*'TS-PILE'!$E$90/SUMSQ('TS-PILE'!$E$72:$E$91))+IF(SUMSQ('TS-PILE'!$D$72:$D$91)=0,0,'TO HOP NLAN'!F205*'TS-PILE'!$D$90/SUMSQ('TS-PILE'!$D$72:$D$91))),IF('TS-PILE'!$B$91="",-1E+99,'TO HOP NLAN'!D205/ncoc+IF(SUMSQ('TS-PILE'!$E$72:$E$91)=0,0,'TO HOP NLAN'!E205*'TS-PILE'!$E$91/SUMSQ('TS-PILE'!$E$72:$E$91))+IF(SUMSQ('TS-PILE'!$D$72:$D$91)=0,0,'TO HOP NLAN'!F205*'TS-PILE'!$D$91/SUMSQ('TS-PILE'!$D$72:$D$91)))))</f>
        <v>0</v>
      </c>
      <c r="D205" s="58">
        <f>IF(A205="",0,MIN(IF('TS-PILE'!$B$72="",1E+99,'TO HOP NLAN'!D205/ncoc+IF(SUMSQ('TS-PILE'!$E$72:$E$91)=0,0,'TO HOP NLAN'!E205*'TS-PILE'!$E$72/SUMSQ('TS-PILE'!$E$72:$E$91))+IF(SUMSQ('TS-PILE'!$D$72:$D$91)=0,0,'TO HOP NLAN'!F205*'TS-PILE'!$D$72/SUMSQ('TS-PILE'!$D$72:$D$91))),IF('TS-PILE'!$B$73="",1E+99,'TO HOP NLAN'!D205/ncoc+IF(SUMSQ('TS-PILE'!$E$72:$E$91)=0,0,'TO HOP NLAN'!E205*'TS-PILE'!$E$73/SUMSQ('TS-PILE'!$E$72:$E$91))+IF(SUMSQ('TS-PILE'!$D$72:$D$91)=0,0,'TO HOP NLAN'!F205*'TS-PILE'!$D$73/SUMSQ('TS-PILE'!$D$72:$D$91))),IF('TS-PILE'!$B$74="",1E+99,'TO HOP NLAN'!D205/ncoc+IF(SUMSQ('TS-PILE'!$E$72:$E$91)=0,0,'TO HOP NLAN'!E205*'TS-PILE'!$E$74/SUMSQ('TS-PILE'!$E$72:$E$91))+IF(SUMSQ('TS-PILE'!$D$72:$D$91)=0,0,'TO HOP NLAN'!F205*'TS-PILE'!$D$74/SUMSQ('TS-PILE'!$D$72:$D$91))),IF('TS-PILE'!$B$75="",1E+99,'TO HOP NLAN'!D205/ncoc+IF(SUMSQ('TS-PILE'!$E$72:$E$91)=0,0,'TO HOP NLAN'!E205*'TS-PILE'!$E$75/SUMSQ('TS-PILE'!$E$72:$E$91))+IF(SUMSQ('TS-PILE'!$D$72:$D$91)=0,0,'TO HOP NLAN'!F205*'TS-PILE'!$D$75/SUMSQ('TS-PILE'!$D$72:$D$91))),IF('TS-PILE'!$B$76="",1E+99,'TO HOP NLAN'!D205/ncoc+IF(SUMSQ('TS-PILE'!$E$72:$E$91)=0,0,'TO HOP NLAN'!E205*'TS-PILE'!$E$76/SUMSQ('TS-PILE'!$E$72:$E$91))+IF(SUMSQ('TS-PILE'!$D$72:$D$91)=0,0,'TO HOP NLAN'!F205*'TS-PILE'!$D$76/SUMSQ('TS-PILE'!$D$72:$D$91))),IF('TS-PILE'!$B$77="",1E+99,'TO HOP NLAN'!D205/ncoc+IF(SUMSQ('TS-PILE'!$E$72:$E$91)=0,0,'TO HOP NLAN'!E205*'TS-PILE'!$E$77/SUMSQ('TS-PILE'!$E$72:$E$91))+IF(SUMSQ('TS-PILE'!$D$72:$D$91)=0,0,'TO HOP NLAN'!F205*'TS-PILE'!$D$77/SUMSQ('TS-PILE'!$D$72:$D$91))),IF('TS-PILE'!$B$78="",1E+99,'TO HOP NLAN'!D205/ncoc+IF(SUMSQ('TS-PILE'!$E$72:$E$91)=0,0,'TO HOP NLAN'!E205*'TS-PILE'!$E$78/SUMSQ('TS-PILE'!$E$72:$E$91))+IF(SUMSQ('TS-PILE'!$D$72:$D$91)=0,0,'TO HOP NLAN'!F205*'TS-PILE'!$D$78/SUMSQ('TS-PILE'!$D$72:$D$91))),IF('TS-PILE'!$B$79="",1E+99,'TO HOP NLAN'!D205/ncoc+IF(SUMSQ('TS-PILE'!$E$72:$E$91)=0,0,'TO HOP NLAN'!E205*'TS-PILE'!$E$79/SUMSQ('TS-PILE'!$E$72:$E$91))+IF(SUMSQ('TS-PILE'!$D$72:$D$91)=0,0,'TO HOP NLAN'!F205*'TS-PILE'!$D$79/SUMSQ('TS-PILE'!$D$72:$D$91))),IF('TS-PILE'!$B$80="",1E+99,'TO HOP NLAN'!D205/ncoc+IF(SUMSQ('TS-PILE'!$E$72:$E$91)=0,0,'TO HOP NLAN'!E205*'TS-PILE'!$E$80/SUMSQ('TS-PILE'!$E$72:$E$91))+IF(SUMSQ('TS-PILE'!$D$72:$D$91)=0,0,'TO HOP NLAN'!F205*'TS-PILE'!$D$80/SUMSQ('TS-PILE'!$D$72:$D$91))),IF('TS-PILE'!$B$81="",1E+99,'TO HOP NLAN'!D205/ncoc+IF(SUMSQ('TS-PILE'!$E$72:$E$91)=0,0,'TO HOP NLAN'!E205*'TS-PILE'!$E$81/SUMSQ('TS-PILE'!$E$72:$E$91))+IF(SUMSQ('TS-PILE'!$D$72:$D$91)=0,0,'TO HOP NLAN'!F205*'TS-PILE'!$D$81/SUMSQ('TS-PILE'!$D$72:$D$91))),IF('TS-PILE'!$B$82="",1E+99,'TO HOP NLAN'!D205/ncoc+IF(SUMSQ('TS-PILE'!$E$72:$E$91)=0,0,'TO HOP NLAN'!E205*'TS-PILE'!$E$82/SUMSQ('TS-PILE'!$E$72:$E$91))+IF(SUMSQ('TS-PILE'!$D$72:$D$91)=0,0,'TO HOP NLAN'!F205*'TS-PILE'!$D$82/SUMSQ('TS-PILE'!$D$72:$D$91))),IF('TS-PILE'!$B$83="",1E+99,'TO HOP NLAN'!D205/ncoc+IF(SUMSQ('TS-PILE'!$E$72:$E$91)=0,0,'TO HOP NLAN'!E205*'TS-PILE'!$E$83/SUMSQ('TS-PILE'!$E$72:$E$91))+IF(SUMSQ('TS-PILE'!$D$72:$D$91)=0,0,'TO HOP NLAN'!F205*'TS-PILE'!$D$83/SUMSQ('TS-PILE'!$D$72:$D$91))),IF('TS-PILE'!$B$84="",1E+99,'TO HOP NLAN'!D205/ncoc+IF(SUMSQ('TS-PILE'!$E$72:$E$91)=0,0,'TO HOP NLAN'!E205*'TS-PILE'!$E$84/SUMSQ('TS-PILE'!$E$72:$E$91))+IF(SUMSQ('TS-PILE'!$D$72:$D$91)=0,0,'TO HOP NLAN'!F205*'TS-PILE'!$D$84/SUMSQ('TS-PILE'!$D$72:$D$91))),IF('TS-PILE'!$B$85="",1E+99,'TO HOP NLAN'!D205/ncoc+IF(SUMSQ('TS-PILE'!$E$72:$E$91)=0,0,'TO HOP NLAN'!E205*'TS-PILE'!$E$85/SUMSQ('TS-PILE'!$E$72:$E$91))+IF(SUMSQ('TS-PILE'!$D$72:$D$91)=0,0,'TO HOP NLAN'!F205*'TS-PILE'!$D$85/SUMSQ('TS-PILE'!$D$72:$D$91))),IF('TS-PILE'!$B$86="",1E+99,'TO HOP NLAN'!D205/ncoc+IF(SUMSQ('TS-PILE'!$E$72:$E$91)=0,0,'TO HOP NLAN'!E205*'TS-PILE'!$E$86/SUMSQ('TS-PILE'!$E$72:$E$91))+IF(SUMSQ('TS-PILE'!$D$72:$D$91)=0,0,'TO HOP NLAN'!F205*'TS-PILE'!$D$86/SUMSQ('TS-PILE'!$D$72:$D$91))),IF('TS-PILE'!$B$87="",1E+99,'TO HOP NLAN'!D205/ncoc+IF(SUMSQ('TS-PILE'!$E$72:$E$91)=0,0,'TO HOP NLAN'!E205*'TS-PILE'!$E$87/SUMSQ('TS-PILE'!$E$72:$E$91))+IF(SUMSQ('TS-PILE'!$D$72:$D$91)=0,0,'TO HOP NLAN'!F205*'TS-PILE'!$D$87/SUMSQ('TS-PILE'!$D$72:$D$91))),IF('TS-PILE'!$B$88="",1E+99,'TO HOP NLAN'!D205/ncoc+IF(SUMSQ('TS-PILE'!$E$72:$E$91)=0,0,'TO HOP NLAN'!E205*'TS-PILE'!$E$88/SUMSQ('TS-PILE'!$E$72:$E$91))+IF(SUMSQ('TS-PILE'!$D$72:$D$91)=0,0,'TO HOP NLAN'!F205*'TS-PILE'!$D$88/SUMSQ('TS-PILE'!$D$72:$D$91))),IF('TS-PILE'!$B$89="",1E+99,'TO HOP NLAN'!D205/ncoc+IF(SUMSQ('TS-PILE'!$E$72:$E$91)=0,0,'TO HOP NLAN'!E205*'TS-PILE'!$E$89/SUMSQ('TS-PILE'!$E$72:$E$91))+IF(SUMSQ('TS-PILE'!$D$72:$D$91)=0,0,'TO HOP NLAN'!F205*'TS-PILE'!$D$89/SUMSQ('TS-PILE'!$D$72:$D$91))),IF('TS-PILE'!$B$90="",1E+99,'TO HOP NLAN'!D205/ncoc+IF(SUMSQ('TS-PILE'!$E$72:$E$91)=0,0,'TO HOP NLAN'!E205*'TS-PILE'!$E$90/SUMSQ('TS-PILE'!$E$72:$E$91))+IF(SUMSQ('TS-PILE'!$D$72:$D$91)=0,0,'TO HOP NLAN'!F205*'TS-PILE'!$D$90/SUMSQ('TS-PILE'!$D$72:$D$91))),IF('TS-PILE'!$B$91="",1E+99,'TO HOP NLAN'!D205/ncoc+IF(SUMSQ('TS-PILE'!$E$72:$E$91)=0,0,'TO HOP NLAN'!E205*'TS-PILE'!$E$91/SUMSQ('TS-PILE'!$E$72:$E$91))+IF(SUMSQ('TS-PILE'!$D$72:$D$91)=0,0,'TO HOP NLAN'!F205*'TS-PILE'!$D$91/SUMSQ('TS-PILE'!$D$72:$D$91)))))</f>
        <v>0</v>
      </c>
      <c r="E205" s="58">
        <f t="shared" si="12"/>
        <v>-9.9999999999999997E+98</v>
      </c>
      <c r="F205" s="58">
        <f t="shared" si="13"/>
        <v>9.9999999999999997E+98</v>
      </c>
      <c r="G205" s="58">
        <f t="shared" si="14"/>
        <v>-9.9999999999999997E+98</v>
      </c>
      <c r="H205" s="58">
        <f t="shared" si="15"/>
        <v>9.9999999999999997E+98</v>
      </c>
    </row>
    <row r="206" spans="1:8" x14ac:dyDescent="0.3">
      <c r="A206" s="42" t="str">
        <f>'TO HOP NLAN'!A206</f>
        <v/>
      </c>
      <c r="B206" s="42" t="str">
        <f>'TO HOP NLAN'!L206</f>
        <v>STRENGTH</v>
      </c>
      <c r="C206" s="58">
        <f>IF(A206="",0,MAX(IF('TS-PILE'!$B$72="",-1E+99,'TO HOP NLAN'!D206/ncoc+IF(SUMSQ('TS-PILE'!$E$72:$E$91)=0,0,'TO HOP NLAN'!E206*'TS-PILE'!$E$72/SUMSQ('TS-PILE'!$E$72:$E$91))+IF(SUMSQ('TS-PILE'!$D$72:$D$91)=0,0,'TO HOP NLAN'!F206*'TS-PILE'!$D$72/SUMSQ('TS-PILE'!$D$72:$D$91))),IF('TS-PILE'!$B$73="",-1E+99,'TO HOP NLAN'!D206/ncoc+IF(SUMSQ('TS-PILE'!$E$72:$E$91)=0,0,'TO HOP NLAN'!E206*'TS-PILE'!$E$73/SUMSQ('TS-PILE'!$E$72:$E$91))+IF(SUMSQ('TS-PILE'!$D$72:$D$91)=0,0,'TO HOP NLAN'!F206*'TS-PILE'!$D$73/SUMSQ('TS-PILE'!$D$72:$D$91))),IF('TS-PILE'!$B$74="",-1E+99,'TO HOP NLAN'!D206/ncoc+IF(SUMSQ('TS-PILE'!$E$72:$E$91)=0,0,'TO HOP NLAN'!E206*'TS-PILE'!$E$74/SUMSQ('TS-PILE'!$E$72:$E$91))+IF(SUMSQ('TS-PILE'!$D$72:$D$91)=0,0,'TO HOP NLAN'!F206*'TS-PILE'!$D$74/SUMSQ('TS-PILE'!$D$72:$D$91))),IF('TS-PILE'!$B$75="",-1E+99,'TO HOP NLAN'!D206/ncoc+IF(SUMSQ('TS-PILE'!$E$72:$E$91)=0,0,'TO HOP NLAN'!E206*'TS-PILE'!$E$75/SUMSQ('TS-PILE'!$E$72:$E$91))+IF(SUMSQ('TS-PILE'!$D$72:$D$91)=0,0,'TO HOP NLAN'!F206*'TS-PILE'!$D$75/SUMSQ('TS-PILE'!$D$72:$D$91))),IF('TS-PILE'!$B$76="",-1E+99,'TO HOP NLAN'!D206/ncoc+IF(SUMSQ('TS-PILE'!$E$72:$E$91)=0,0,'TO HOP NLAN'!E206*'TS-PILE'!$E$76/SUMSQ('TS-PILE'!$E$72:$E$91))+IF(SUMSQ('TS-PILE'!$D$72:$D$91)=0,0,'TO HOP NLAN'!F206*'TS-PILE'!$D$76/SUMSQ('TS-PILE'!$D$72:$D$91))),IF('TS-PILE'!$B$77="",-1E+99,'TO HOP NLAN'!D206/ncoc+IF(SUMSQ('TS-PILE'!$E$72:$E$91)=0,0,'TO HOP NLAN'!E206*'TS-PILE'!$E$77/SUMSQ('TS-PILE'!$E$72:$E$91))+IF(SUMSQ('TS-PILE'!$D$72:$D$91)=0,0,'TO HOP NLAN'!F206*'TS-PILE'!$D$77/SUMSQ('TS-PILE'!$D$72:$D$91))),IF('TS-PILE'!$B$78="",-1E+99,'TO HOP NLAN'!D206/ncoc+IF(SUMSQ('TS-PILE'!$E$72:$E$91)=0,0,'TO HOP NLAN'!E206*'TS-PILE'!$E$78/SUMSQ('TS-PILE'!$E$72:$E$91))+IF(SUMSQ('TS-PILE'!$D$72:$D$91)=0,0,'TO HOP NLAN'!F206*'TS-PILE'!$D$78/SUMSQ('TS-PILE'!$D$72:$D$91))),IF('TS-PILE'!$B$79="",-1E+99,'TO HOP NLAN'!D206/ncoc+IF(SUMSQ('TS-PILE'!$E$72:$E$91)=0,0,'TO HOP NLAN'!E206*'TS-PILE'!$E$79/SUMSQ('TS-PILE'!$E$72:$E$91))+IF(SUMSQ('TS-PILE'!$D$72:$D$91)=0,0,'TO HOP NLAN'!F206*'TS-PILE'!$D$79/SUMSQ('TS-PILE'!$D$72:$D$91))),IF('TS-PILE'!$B$80="",-1E+99,'TO HOP NLAN'!D206/ncoc+IF(SUMSQ('TS-PILE'!$E$72:$E$91)=0,0,'TO HOP NLAN'!E206*'TS-PILE'!$E$80/SUMSQ('TS-PILE'!$E$72:$E$91))+IF(SUMSQ('TS-PILE'!$D$72:$D$91)=0,0,'TO HOP NLAN'!F206*'TS-PILE'!$D$80/SUMSQ('TS-PILE'!$D$72:$D$91))),IF('TS-PILE'!$B$81="",-1E+99,'TO HOP NLAN'!D206/ncoc+IF(SUMSQ('TS-PILE'!$E$72:$E$91)=0,0,'TO HOP NLAN'!E206*'TS-PILE'!$E$81/SUMSQ('TS-PILE'!$E$72:$E$91))+IF(SUMSQ('TS-PILE'!$D$72:$D$91)=0,0,'TO HOP NLAN'!F206*'TS-PILE'!$D$81/SUMSQ('TS-PILE'!$D$72:$D$91))),IF('TS-PILE'!$B$82="",-1E+99,'TO HOP NLAN'!D206/ncoc+IF(SUMSQ('TS-PILE'!$E$72:$E$91)=0,0,'TO HOP NLAN'!E206*'TS-PILE'!$E$82/SUMSQ('TS-PILE'!$E$72:$E$91))+IF(SUMSQ('TS-PILE'!$D$72:$D$91)=0,0,'TO HOP NLAN'!F206*'TS-PILE'!$D$82/SUMSQ('TS-PILE'!$D$72:$D$91))),IF('TS-PILE'!$B$83="",-1E+99,'TO HOP NLAN'!D206/ncoc+IF(SUMSQ('TS-PILE'!$E$72:$E$91)=0,0,'TO HOP NLAN'!E206*'TS-PILE'!$E$83/SUMSQ('TS-PILE'!$E$72:$E$91))+IF(SUMSQ('TS-PILE'!$D$72:$D$91)=0,0,'TO HOP NLAN'!F206*'TS-PILE'!$D$83/SUMSQ('TS-PILE'!$D$72:$D$91))),IF('TS-PILE'!$B$84="",-1E+99,'TO HOP NLAN'!D206/ncoc+IF(SUMSQ('TS-PILE'!$E$72:$E$91)=0,0,'TO HOP NLAN'!E206*'TS-PILE'!$E$84/SUMSQ('TS-PILE'!$E$72:$E$91))+IF(SUMSQ('TS-PILE'!$D$72:$D$91)=0,0,'TO HOP NLAN'!F206*'TS-PILE'!$D$84/SUMSQ('TS-PILE'!$D$72:$D$91))),IF('TS-PILE'!$B$85="",-1E+99,'TO HOP NLAN'!D206/ncoc+IF(SUMSQ('TS-PILE'!$E$72:$E$91)=0,0,'TO HOP NLAN'!E206*'TS-PILE'!$E$85/SUMSQ('TS-PILE'!$E$72:$E$91))+IF(SUMSQ('TS-PILE'!$D$72:$D$91)=0,0,'TO HOP NLAN'!F206*'TS-PILE'!$D$85/SUMSQ('TS-PILE'!$D$72:$D$91))),IF('TS-PILE'!$B$86="",-1E+99,'TO HOP NLAN'!D206/ncoc+IF(SUMSQ('TS-PILE'!$E$72:$E$91)=0,0,'TO HOP NLAN'!E206*'TS-PILE'!$E$86/SUMSQ('TS-PILE'!$E$72:$E$91))+IF(SUMSQ('TS-PILE'!$D$72:$D$91)=0,0,'TO HOP NLAN'!F206*'TS-PILE'!$D$86/SUMSQ('TS-PILE'!$D$72:$D$91))),IF('TS-PILE'!$B$87="",-1E+99,'TO HOP NLAN'!D206/ncoc+IF(SUMSQ('TS-PILE'!$E$72:$E$91)=0,0,'TO HOP NLAN'!E206*'TS-PILE'!$E$87/SUMSQ('TS-PILE'!$E$72:$E$91))+IF(SUMSQ('TS-PILE'!$D$72:$D$91)=0,0,'TO HOP NLAN'!F206*'TS-PILE'!$D$87/SUMSQ('TS-PILE'!$D$72:$D$91))),IF('TS-PILE'!$B$88="",-1E+99,'TO HOP NLAN'!D206/ncoc+IF(SUMSQ('TS-PILE'!$E$72:$E$91)=0,0,'TO HOP NLAN'!E206*'TS-PILE'!$E$88/SUMSQ('TS-PILE'!$E$72:$E$91))+IF(SUMSQ('TS-PILE'!$D$72:$D$91)=0,0,'TO HOP NLAN'!F206*'TS-PILE'!$D$88/SUMSQ('TS-PILE'!$D$72:$D$91))),IF('TS-PILE'!$B$89="",-1E+99,'TO HOP NLAN'!D206/ncoc+IF(SUMSQ('TS-PILE'!$E$72:$E$91)=0,0,'TO HOP NLAN'!E206*'TS-PILE'!$E$89/SUMSQ('TS-PILE'!$E$72:$E$91))+IF(SUMSQ('TS-PILE'!$D$72:$D$91)=0,0,'TO HOP NLAN'!F206*'TS-PILE'!$D$89/SUMSQ('TS-PILE'!$D$72:$D$91))),IF('TS-PILE'!$B$90="",-1E+99,'TO HOP NLAN'!D206/ncoc+IF(SUMSQ('TS-PILE'!$E$72:$E$91)=0,0,'TO HOP NLAN'!E206*'TS-PILE'!$E$90/SUMSQ('TS-PILE'!$E$72:$E$91))+IF(SUMSQ('TS-PILE'!$D$72:$D$91)=0,0,'TO HOP NLAN'!F206*'TS-PILE'!$D$90/SUMSQ('TS-PILE'!$D$72:$D$91))),IF('TS-PILE'!$B$91="",-1E+99,'TO HOP NLAN'!D206/ncoc+IF(SUMSQ('TS-PILE'!$E$72:$E$91)=0,0,'TO HOP NLAN'!E206*'TS-PILE'!$E$91/SUMSQ('TS-PILE'!$E$72:$E$91))+IF(SUMSQ('TS-PILE'!$D$72:$D$91)=0,0,'TO HOP NLAN'!F206*'TS-PILE'!$D$91/SUMSQ('TS-PILE'!$D$72:$D$91)))))</f>
        <v>0</v>
      </c>
      <c r="D206" s="58">
        <f>IF(A206="",0,MIN(IF('TS-PILE'!$B$72="",1E+99,'TO HOP NLAN'!D206/ncoc+IF(SUMSQ('TS-PILE'!$E$72:$E$91)=0,0,'TO HOP NLAN'!E206*'TS-PILE'!$E$72/SUMSQ('TS-PILE'!$E$72:$E$91))+IF(SUMSQ('TS-PILE'!$D$72:$D$91)=0,0,'TO HOP NLAN'!F206*'TS-PILE'!$D$72/SUMSQ('TS-PILE'!$D$72:$D$91))),IF('TS-PILE'!$B$73="",1E+99,'TO HOP NLAN'!D206/ncoc+IF(SUMSQ('TS-PILE'!$E$72:$E$91)=0,0,'TO HOP NLAN'!E206*'TS-PILE'!$E$73/SUMSQ('TS-PILE'!$E$72:$E$91))+IF(SUMSQ('TS-PILE'!$D$72:$D$91)=0,0,'TO HOP NLAN'!F206*'TS-PILE'!$D$73/SUMSQ('TS-PILE'!$D$72:$D$91))),IF('TS-PILE'!$B$74="",1E+99,'TO HOP NLAN'!D206/ncoc+IF(SUMSQ('TS-PILE'!$E$72:$E$91)=0,0,'TO HOP NLAN'!E206*'TS-PILE'!$E$74/SUMSQ('TS-PILE'!$E$72:$E$91))+IF(SUMSQ('TS-PILE'!$D$72:$D$91)=0,0,'TO HOP NLAN'!F206*'TS-PILE'!$D$74/SUMSQ('TS-PILE'!$D$72:$D$91))),IF('TS-PILE'!$B$75="",1E+99,'TO HOP NLAN'!D206/ncoc+IF(SUMSQ('TS-PILE'!$E$72:$E$91)=0,0,'TO HOP NLAN'!E206*'TS-PILE'!$E$75/SUMSQ('TS-PILE'!$E$72:$E$91))+IF(SUMSQ('TS-PILE'!$D$72:$D$91)=0,0,'TO HOP NLAN'!F206*'TS-PILE'!$D$75/SUMSQ('TS-PILE'!$D$72:$D$91))),IF('TS-PILE'!$B$76="",1E+99,'TO HOP NLAN'!D206/ncoc+IF(SUMSQ('TS-PILE'!$E$72:$E$91)=0,0,'TO HOP NLAN'!E206*'TS-PILE'!$E$76/SUMSQ('TS-PILE'!$E$72:$E$91))+IF(SUMSQ('TS-PILE'!$D$72:$D$91)=0,0,'TO HOP NLAN'!F206*'TS-PILE'!$D$76/SUMSQ('TS-PILE'!$D$72:$D$91))),IF('TS-PILE'!$B$77="",1E+99,'TO HOP NLAN'!D206/ncoc+IF(SUMSQ('TS-PILE'!$E$72:$E$91)=0,0,'TO HOP NLAN'!E206*'TS-PILE'!$E$77/SUMSQ('TS-PILE'!$E$72:$E$91))+IF(SUMSQ('TS-PILE'!$D$72:$D$91)=0,0,'TO HOP NLAN'!F206*'TS-PILE'!$D$77/SUMSQ('TS-PILE'!$D$72:$D$91))),IF('TS-PILE'!$B$78="",1E+99,'TO HOP NLAN'!D206/ncoc+IF(SUMSQ('TS-PILE'!$E$72:$E$91)=0,0,'TO HOP NLAN'!E206*'TS-PILE'!$E$78/SUMSQ('TS-PILE'!$E$72:$E$91))+IF(SUMSQ('TS-PILE'!$D$72:$D$91)=0,0,'TO HOP NLAN'!F206*'TS-PILE'!$D$78/SUMSQ('TS-PILE'!$D$72:$D$91))),IF('TS-PILE'!$B$79="",1E+99,'TO HOP NLAN'!D206/ncoc+IF(SUMSQ('TS-PILE'!$E$72:$E$91)=0,0,'TO HOP NLAN'!E206*'TS-PILE'!$E$79/SUMSQ('TS-PILE'!$E$72:$E$91))+IF(SUMSQ('TS-PILE'!$D$72:$D$91)=0,0,'TO HOP NLAN'!F206*'TS-PILE'!$D$79/SUMSQ('TS-PILE'!$D$72:$D$91))),IF('TS-PILE'!$B$80="",1E+99,'TO HOP NLAN'!D206/ncoc+IF(SUMSQ('TS-PILE'!$E$72:$E$91)=0,0,'TO HOP NLAN'!E206*'TS-PILE'!$E$80/SUMSQ('TS-PILE'!$E$72:$E$91))+IF(SUMSQ('TS-PILE'!$D$72:$D$91)=0,0,'TO HOP NLAN'!F206*'TS-PILE'!$D$80/SUMSQ('TS-PILE'!$D$72:$D$91))),IF('TS-PILE'!$B$81="",1E+99,'TO HOP NLAN'!D206/ncoc+IF(SUMSQ('TS-PILE'!$E$72:$E$91)=0,0,'TO HOP NLAN'!E206*'TS-PILE'!$E$81/SUMSQ('TS-PILE'!$E$72:$E$91))+IF(SUMSQ('TS-PILE'!$D$72:$D$91)=0,0,'TO HOP NLAN'!F206*'TS-PILE'!$D$81/SUMSQ('TS-PILE'!$D$72:$D$91))),IF('TS-PILE'!$B$82="",1E+99,'TO HOP NLAN'!D206/ncoc+IF(SUMSQ('TS-PILE'!$E$72:$E$91)=0,0,'TO HOP NLAN'!E206*'TS-PILE'!$E$82/SUMSQ('TS-PILE'!$E$72:$E$91))+IF(SUMSQ('TS-PILE'!$D$72:$D$91)=0,0,'TO HOP NLAN'!F206*'TS-PILE'!$D$82/SUMSQ('TS-PILE'!$D$72:$D$91))),IF('TS-PILE'!$B$83="",1E+99,'TO HOP NLAN'!D206/ncoc+IF(SUMSQ('TS-PILE'!$E$72:$E$91)=0,0,'TO HOP NLAN'!E206*'TS-PILE'!$E$83/SUMSQ('TS-PILE'!$E$72:$E$91))+IF(SUMSQ('TS-PILE'!$D$72:$D$91)=0,0,'TO HOP NLAN'!F206*'TS-PILE'!$D$83/SUMSQ('TS-PILE'!$D$72:$D$91))),IF('TS-PILE'!$B$84="",1E+99,'TO HOP NLAN'!D206/ncoc+IF(SUMSQ('TS-PILE'!$E$72:$E$91)=0,0,'TO HOP NLAN'!E206*'TS-PILE'!$E$84/SUMSQ('TS-PILE'!$E$72:$E$91))+IF(SUMSQ('TS-PILE'!$D$72:$D$91)=0,0,'TO HOP NLAN'!F206*'TS-PILE'!$D$84/SUMSQ('TS-PILE'!$D$72:$D$91))),IF('TS-PILE'!$B$85="",1E+99,'TO HOP NLAN'!D206/ncoc+IF(SUMSQ('TS-PILE'!$E$72:$E$91)=0,0,'TO HOP NLAN'!E206*'TS-PILE'!$E$85/SUMSQ('TS-PILE'!$E$72:$E$91))+IF(SUMSQ('TS-PILE'!$D$72:$D$91)=0,0,'TO HOP NLAN'!F206*'TS-PILE'!$D$85/SUMSQ('TS-PILE'!$D$72:$D$91))),IF('TS-PILE'!$B$86="",1E+99,'TO HOP NLAN'!D206/ncoc+IF(SUMSQ('TS-PILE'!$E$72:$E$91)=0,0,'TO HOP NLAN'!E206*'TS-PILE'!$E$86/SUMSQ('TS-PILE'!$E$72:$E$91))+IF(SUMSQ('TS-PILE'!$D$72:$D$91)=0,0,'TO HOP NLAN'!F206*'TS-PILE'!$D$86/SUMSQ('TS-PILE'!$D$72:$D$91))),IF('TS-PILE'!$B$87="",1E+99,'TO HOP NLAN'!D206/ncoc+IF(SUMSQ('TS-PILE'!$E$72:$E$91)=0,0,'TO HOP NLAN'!E206*'TS-PILE'!$E$87/SUMSQ('TS-PILE'!$E$72:$E$91))+IF(SUMSQ('TS-PILE'!$D$72:$D$91)=0,0,'TO HOP NLAN'!F206*'TS-PILE'!$D$87/SUMSQ('TS-PILE'!$D$72:$D$91))),IF('TS-PILE'!$B$88="",1E+99,'TO HOP NLAN'!D206/ncoc+IF(SUMSQ('TS-PILE'!$E$72:$E$91)=0,0,'TO HOP NLAN'!E206*'TS-PILE'!$E$88/SUMSQ('TS-PILE'!$E$72:$E$91))+IF(SUMSQ('TS-PILE'!$D$72:$D$91)=0,0,'TO HOP NLAN'!F206*'TS-PILE'!$D$88/SUMSQ('TS-PILE'!$D$72:$D$91))),IF('TS-PILE'!$B$89="",1E+99,'TO HOP NLAN'!D206/ncoc+IF(SUMSQ('TS-PILE'!$E$72:$E$91)=0,0,'TO HOP NLAN'!E206*'TS-PILE'!$E$89/SUMSQ('TS-PILE'!$E$72:$E$91))+IF(SUMSQ('TS-PILE'!$D$72:$D$91)=0,0,'TO HOP NLAN'!F206*'TS-PILE'!$D$89/SUMSQ('TS-PILE'!$D$72:$D$91))),IF('TS-PILE'!$B$90="",1E+99,'TO HOP NLAN'!D206/ncoc+IF(SUMSQ('TS-PILE'!$E$72:$E$91)=0,0,'TO HOP NLAN'!E206*'TS-PILE'!$E$90/SUMSQ('TS-PILE'!$E$72:$E$91))+IF(SUMSQ('TS-PILE'!$D$72:$D$91)=0,0,'TO HOP NLAN'!F206*'TS-PILE'!$D$90/SUMSQ('TS-PILE'!$D$72:$D$91))),IF('TS-PILE'!$B$91="",1E+99,'TO HOP NLAN'!D206/ncoc+IF(SUMSQ('TS-PILE'!$E$72:$E$91)=0,0,'TO HOP NLAN'!E206*'TS-PILE'!$E$91/SUMSQ('TS-PILE'!$E$72:$E$91))+IF(SUMSQ('TS-PILE'!$D$72:$D$91)=0,0,'TO HOP NLAN'!F206*'TS-PILE'!$D$91/SUMSQ('TS-PILE'!$D$72:$D$91)))))</f>
        <v>0</v>
      </c>
      <c r="E206" s="58">
        <f t="shared" si="12"/>
        <v>-9.9999999999999997E+98</v>
      </c>
      <c r="F206" s="58">
        <f t="shared" si="13"/>
        <v>9.9999999999999997E+98</v>
      </c>
      <c r="G206" s="58">
        <f t="shared" si="14"/>
        <v>-9.9999999999999997E+98</v>
      </c>
      <c r="H206" s="58">
        <f t="shared" si="15"/>
        <v>9.9999999999999997E+98</v>
      </c>
    </row>
    <row r="207" spans="1:8" x14ac:dyDescent="0.3">
      <c r="A207" s="42" t="str">
        <f>'TO HOP NLAN'!A207</f>
        <v/>
      </c>
      <c r="B207" s="42" t="str">
        <f>'TO HOP NLAN'!L207</f>
        <v>STRENGTH</v>
      </c>
      <c r="C207" s="58">
        <f>IF(A207="",0,MAX(IF('TS-PILE'!$B$72="",-1E+99,'TO HOP NLAN'!D207/ncoc+IF(SUMSQ('TS-PILE'!$E$72:$E$91)=0,0,'TO HOP NLAN'!E207*'TS-PILE'!$E$72/SUMSQ('TS-PILE'!$E$72:$E$91))+IF(SUMSQ('TS-PILE'!$D$72:$D$91)=0,0,'TO HOP NLAN'!F207*'TS-PILE'!$D$72/SUMSQ('TS-PILE'!$D$72:$D$91))),IF('TS-PILE'!$B$73="",-1E+99,'TO HOP NLAN'!D207/ncoc+IF(SUMSQ('TS-PILE'!$E$72:$E$91)=0,0,'TO HOP NLAN'!E207*'TS-PILE'!$E$73/SUMSQ('TS-PILE'!$E$72:$E$91))+IF(SUMSQ('TS-PILE'!$D$72:$D$91)=0,0,'TO HOP NLAN'!F207*'TS-PILE'!$D$73/SUMSQ('TS-PILE'!$D$72:$D$91))),IF('TS-PILE'!$B$74="",-1E+99,'TO HOP NLAN'!D207/ncoc+IF(SUMSQ('TS-PILE'!$E$72:$E$91)=0,0,'TO HOP NLAN'!E207*'TS-PILE'!$E$74/SUMSQ('TS-PILE'!$E$72:$E$91))+IF(SUMSQ('TS-PILE'!$D$72:$D$91)=0,0,'TO HOP NLAN'!F207*'TS-PILE'!$D$74/SUMSQ('TS-PILE'!$D$72:$D$91))),IF('TS-PILE'!$B$75="",-1E+99,'TO HOP NLAN'!D207/ncoc+IF(SUMSQ('TS-PILE'!$E$72:$E$91)=0,0,'TO HOP NLAN'!E207*'TS-PILE'!$E$75/SUMSQ('TS-PILE'!$E$72:$E$91))+IF(SUMSQ('TS-PILE'!$D$72:$D$91)=0,0,'TO HOP NLAN'!F207*'TS-PILE'!$D$75/SUMSQ('TS-PILE'!$D$72:$D$91))),IF('TS-PILE'!$B$76="",-1E+99,'TO HOP NLAN'!D207/ncoc+IF(SUMSQ('TS-PILE'!$E$72:$E$91)=0,0,'TO HOP NLAN'!E207*'TS-PILE'!$E$76/SUMSQ('TS-PILE'!$E$72:$E$91))+IF(SUMSQ('TS-PILE'!$D$72:$D$91)=0,0,'TO HOP NLAN'!F207*'TS-PILE'!$D$76/SUMSQ('TS-PILE'!$D$72:$D$91))),IF('TS-PILE'!$B$77="",-1E+99,'TO HOP NLAN'!D207/ncoc+IF(SUMSQ('TS-PILE'!$E$72:$E$91)=0,0,'TO HOP NLAN'!E207*'TS-PILE'!$E$77/SUMSQ('TS-PILE'!$E$72:$E$91))+IF(SUMSQ('TS-PILE'!$D$72:$D$91)=0,0,'TO HOP NLAN'!F207*'TS-PILE'!$D$77/SUMSQ('TS-PILE'!$D$72:$D$91))),IF('TS-PILE'!$B$78="",-1E+99,'TO HOP NLAN'!D207/ncoc+IF(SUMSQ('TS-PILE'!$E$72:$E$91)=0,0,'TO HOP NLAN'!E207*'TS-PILE'!$E$78/SUMSQ('TS-PILE'!$E$72:$E$91))+IF(SUMSQ('TS-PILE'!$D$72:$D$91)=0,0,'TO HOP NLAN'!F207*'TS-PILE'!$D$78/SUMSQ('TS-PILE'!$D$72:$D$91))),IF('TS-PILE'!$B$79="",-1E+99,'TO HOP NLAN'!D207/ncoc+IF(SUMSQ('TS-PILE'!$E$72:$E$91)=0,0,'TO HOP NLAN'!E207*'TS-PILE'!$E$79/SUMSQ('TS-PILE'!$E$72:$E$91))+IF(SUMSQ('TS-PILE'!$D$72:$D$91)=0,0,'TO HOP NLAN'!F207*'TS-PILE'!$D$79/SUMSQ('TS-PILE'!$D$72:$D$91))),IF('TS-PILE'!$B$80="",-1E+99,'TO HOP NLAN'!D207/ncoc+IF(SUMSQ('TS-PILE'!$E$72:$E$91)=0,0,'TO HOP NLAN'!E207*'TS-PILE'!$E$80/SUMSQ('TS-PILE'!$E$72:$E$91))+IF(SUMSQ('TS-PILE'!$D$72:$D$91)=0,0,'TO HOP NLAN'!F207*'TS-PILE'!$D$80/SUMSQ('TS-PILE'!$D$72:$D$91))),IF('TS-PILE'!$B$81="",-1E+99,'TO HOP NLAN'!D207/ncoc+IF(SUMSQ('TS-PILE'!$E$72:$E$91)=0,0,'TO HOP NLAN'!E207*'TS-PILE'!$E$81/SUMSQ('TS-PILE'!$E$72:$E$91))+IF(SUMSQ('TS-PILE'!$D$72:$D$91)=0,0,'TO HOP NLAN'!F207*'TS-PILE'!$D$81/SUMSQ('TS-PILE'!$D$72:$D$91))),IF('TS-PILE'!$B$82="",-1E+99,'TO HOP NLAN'!D207/ncoc+IF(SUMSQ('TS-PILE'!$E$72:$E$91)=0,0,'TO HOP NLAN'!E207*'TS-PILE'!$E$82/SUMSQ('TS-PILE'!$E$72:$E$91))+IF(SUMSQ('TS-PILE'!$D$72:$D$91)=0,0,'TO HOP NLAN'!F207*'TS-PILE'!$D$82/SUMSQ('TS-PILE'!$D$72:$D$91))),IF('TS-PILE'!$B$83="",-1E+99,'TO HOP NLAN'!D207/ncoc+IF(SUMSQ('TS-PILE'!$E$72:$E$91)=0,0,'TO HOP NLAN'!E207*'TS-PILE'!$E$83/SUMSQ('TS-PILE'!$E$72:$E$91))+IF(SUMSQ('TS-PILE'!$D$72:$D$91)=0,0,'TO HOP NLAN'!F207*'TS-PILE'!$D$83/SUMSQ('TS-PILE'!$D$72:$D$91))),IF('TS-PILE'!$B$84="",-1E+99,'TO HOP NLAN'!D207/ncoc+IF(SUMSQ('TS-PILE'!$E$72:$E$91)=0,0,'TO HOP NLAN'!E207*'TS-PILE'!$E$84/SUMSQ('TS-PILE'!$E$72:$E$91))+IF(SUMSQ('TS-PILE'!$D$72:$D$91)=0,0,'TO HOP NLAN'!F207*'TS-PILE'!$D$84/SUMSQ('TS-PILE'!$D$72:$D$91))),IF('TS-PILE'!$B$85="",-1E+99,'TO HOP NLAN'!D207/ncoc+IF(SUMSQ('TS-PILE'!$E$72:$E$91)=0,0,'TO HOP NLAN'!E207*'TS-PILE'!$E$85/SUMSQ('TS-PILE'!$E$72:$E$91))+IF(SUMSQ('TS-PILE'!$D$72:$D$91)=0,0,'TO HOP NLAN'!F207*'TS-PILE'!$D$85/SUMSQ('TS-PILE'!$D$72:$D$91))),IF('TS-PILE'!$B$86="",-1E+99,'TO HOP NLAN'!D207/ncoc+IF(SUMSQ('TS-PILE'!$E$72:$E$91)=0,0,'TO HOP NLAN'!E207*'TS-PILE'!$E$86/SUMSQ('TS-PILE'!$E$72:$E$91))+IF(SUMSQ('TS-PILE'!$D$72:$D$91)=0,0,'TO HOP NLAN'!F207*'TS-PILE'!$D$86/SUMSQ('TS-PILE'!$D$72:$D$91))),IF('TS-PILE'!$B$87="",-1E+99,'TO HOP NLAN'!D207/ncoc+IF(SUMSQ('TS-PILE'!$E$72:$E$91)=0,0,'TO HOP NLAN'!E207*'TS-PILE'!$E$87/SUMSQ('TS-PILE'!$E$72:$E$91))+IF(SUMSQ('TS-PILE'!$D$72:$D$91)=0,0,'TO HOP NLAN'!F207*'TS-PILE'!$D$87/SUMSQ('TS-PILE'!$D$72:$D$91))),IF('TS-PILE'!$B$88="",-1E+99,'TO HOP NLAN'!D207/ncoc+IF(SUMSQ('TS-PILE'!$E$72:$E$91)=0,0,'TO HOP NLAN'!E207*'TS-PILE'!$E$88/SUMSQ('TS-PILE'!$E$72:$E$91))+IF(SUMSQ('TS-PILE'!$D$72:$D$91)=0,0,'TO HOP NLAN'!F207*'TS-PILE'!$D$88/SUMSQ('TS-PILE'!$D$72:$D$91))),IF('TS-PILE'!$B$89="",-1E+99,'TO HOP NLAN'!D207/ncoc+IF(SUMSQ('TS-PILE'!$E$72:$E$91)=0,0,'TO HOP NLAN'!E207*'TS-PILE'!$E$89/SUMSQ('TS-PILE'!$E$72:$E$91))+IF(SUMSQ('TS-PILE'!$D$72:$D$91)=0,0,'TO HOP NLAN'!F207*'TS-PILE'!$D$89/SUMSQ('TS-PILE'!$D$72:$D$91))),IF('TS-PILE'!$B$90="",-1E+99,'TO HOP NLAN'!D207/ncoc+IF(SUMSQ('TS-PILE'!$E$72:$E$91)=0,0,'TO HOP NLAN'!E207*'TS-PILE'!$E$90/SUMSQ('TS-PILE'!$E$72:$E$91))+IF(SUMSQ('TS-PILE'!$D$72:$D$91)=0,0,'TO HOP NLAN'!F207*'TS-PILE'!$D$90/SUMSQ('TS-PILE'!$D$72:$D$91))),IF('TS-PILE'!$B$91="",-1E+99,'TO HOP NLAN'!D207/ncoc+IF(SUMSQ('TS-PILE'!$E$72:$E$91)=0,0,'TO HOP NLAN'!E207*'TS-PILE'!$E$91/SUMSQ('TS-PILE'!$E$72:$E$91))+IF(SUMSQ('TS-PILE'!$D$72:$D$91)=0,0,'TO HOP NLAN'!F207*'TS-PILE'!$D$91/SUMSQ('TS-PILE'!$D$72:$D$91)))))</f>
        <v>0</v>
      </c>
      <c r="D207" s="58">
        <f>IF(A207="",0,MIN(IF('TS-PILE'!$B$72="",1E+99,'TO HOP NLAN'!D207/ncoc+IF(SUMSQ('TS-PILE'!$E$72:$E$91)=0,0,'TO HOP NLAN'!E207*'TS-PILE'!$E$72/SUMSQ('TS-PILE'!$E$72:$E$91))+IF(SUMSQ('TS-PILE'!$D$72:$D$91)=0,0,'TO HOP NLAN'!F207*'TS-PILE'!$D$72/SUMSQ('TS-PILE'!$D$72:$D$91))),IF('TS-PILE'!$B$73="",1E+99,'TO HOP NLAN'!D207/ncoc+IF(SUMSQ('TS-PILE'!$E$72:$E$91)=0,0,'TO HOP NLAN'!E207*'TS-PILE'!$E$73/SUMSQ('TS-PILE'!$E$72:$E$91))+IF(SUMSQ('TS-PILE'!$D$72:$D$91)=0,0,'TO HOP NLAN'!F207*'TS-PILE'!$D$73/SUMSQ('TS-PILE'!$D$72:$D$91))),IF('TS-PILE'!$B$74="",1E+99,'TO HOP NLAN'!D207/ncoc+IF(SUMSQ('TS-PILE'!$E$72:$E$91)=0,0,'TO HOP NLAN'!E207*'TS-PILE'!$E$74/SUMSQ('TS-PILE'!$E$72:$E$91))+IF(SUMSQ('TS-PILE'!$D$72:$D$91)=0,0,'TO HOP NLAN'!F207*'TS-PILE'!$D$74/SUMSQ('TS-PILE'!$D$72:$D$91))),IF('TS-PILE'!$B$75="",1E+99,'TO HOP NLAN'!D207/ncoc+IF(SUMSQ('TS-PILE'!$E$72:$E$91)=0,0,'TO HOP NLAN'!E207*'TS-PILE'!$E$75/SUMSQ('TS-PILE'!$E$72:$E$91))+IF(SUMSQ('TS-PILE'!$D$72:$D$91)=0,0,'TO HOP NLAN'!F207*'TS-PILE'!$D$75/SUMSQ('TS-PILE'!$D$72:$D$91))),IF('TS-PILE'!$B$76="",1E+99,'TO HOP NLAN'!D207/ncoc+IF(SUMSQ('TS-PILE'!$E$72:$E$91)=0,0,'TO HOP NLAN'!E207*'TS-PILE'!$E$76/SUMSQ('TS-PILE'!$E$72:$E$91))+IF(SUMSQ('TS-PILE'!$D$72:$D$91)=0,0,'TO HOP NLAN'!F207*'TS-PILE'!$D$76/SUMSQ('TS-PILE'!$D$72:$D$91))),IF('TS-PILE'!$B$77="",1E+99,'TO HOP NLAN'!D207/ncoc+IF(SUMSQ('TS-PILE'!$E$72:$E$91)=0,0,'TO HOP NLAN'!E207*'TS-PILE'!$E$77/SUMSQ('TS-PILE'!$E$72:$E$91))+IF(SUMSQ('TS-PILE'!$D$72:$D$91)=0,0,'TO HOP NLAN'!F207*'TS-PILE'!$D$77/SUMSQ('TS-PILE'!$D$72:$D$91))),IF('TS-PILE'!$B$78="",1E+99,'TO HOP NLAN'!D207/ncoc+IF(SUMSQ('TS-PILE'!$E$72:$E$91)=0,0,'TO HOP NLAN'!E207*'TS-PILE'!$E$78/SUMSQ('TS-PILE'!$E$72:$E$91))+IF(SUMSQ('TS-PILE'!$D$72:$D$91)=0,0,'TO HOP NLAN'!F207*'TS-PILE'!$D$78/SUMSQ('TS-PILE'!$D$72:$D$91))),IF('TS-PILE'!$B$79="",1E+99,'TO HOP NLAN'!D207/ncoc+IF(SUMSQ('TS-PILE'!$E$72:$E$91)=0,0,'TO HOP NLAN'!E207*'TS-PILE'!$E$79/SUMSQ('TS-PILE'!$E$72:$E$91))+IF(SUMSQ('TS-PILE'!$D$72:$D$91)=0,0,'TO HOP NLAN'!F207*'TS-PILE'!$D$79/SUMSQ('TS-PILE'!$D$72:$D$91))),IF('TS-PILE'!$B$80="",1E+99,'TO HOP NLAN'!D207/ncoc+IF(SUMSQ('TS-PILE'!$E$72:$E$91)=0,0,'TO HOP NLAN'!E207*'TS-PILE'!$E$80/SUMSQ('TS-PILE'!$E$72:$E$91))+IF(SUMSQ('TS-PILE'!$D$72:$D$91)=0,0,'TO HOP NLAN'!F207*'TS-PILE'!$D$80/SUMSQ('TS-PILE'!$D$72:$D$91))),IF('TS-PILE'!$B$81="",1E+99,'TO HOP NLAN'!D207/ncoc+IF(SUMSQ('TS-PILE'!$E$72:$E$91)=0,0,'TO HOP NLAN'!E207*'TS-PILE'!$E$81/SUMSQ('TS-PILE'!$E$72:$E$91))+IF(SUMSQ('TS-PILE'!$D$72:$D$91)=0,0,'TO HOP NLAN'!F207*'TS-PILE'!$D$81/SUMSQ('TS-PILE'!$D$72:$D$91))),IF('TS-PILE'!$B$82="",1E+99,'TO HOP NLAN'!D207/ncoc+IF(SUMSQ('TS-PILE'!$E$72:$E$91)=0,0,'TO HOP NLAN'!E207*'TS-PILE'!$E$82/SUMSQ('TS-PILE'!$E$72:$E$91))+IF(SUMSQ('TS-PILE'!$D$72:$D$91)=0,0,'TO HOP NLAN'!F207*'TS-PILE'!$D$82/SUMSQ('TS-PILE'!$D$72:$D$91))),IF('TS-PILE'!$B$83="",1E+99,'TO HOP NLAN'!D207/ncoc+IF(SUMSQ('TS-PILE'!$E$72:$E$91)=0,0,'TO HOP NLAN'!E207*'TS-PILE'!$E$83/SUMSQ('TS-PILE'!$E$72:$E$91))+IF(SUMSQ('TS-PILE'!$D$72:$D$91)=0,0,'TO HOP NLAN'!F207*'TS-PILE'!$D$83/SUMSQ('TS-PILE'!$D$72:$D$91))),IF('TS-PILE'!$B$84="",1E+99,'TO HOP NLAN'!D207/ncoc+IF(SUMSQ('TS-PILE'!$E$72:$E$91)=0,0,'TO HOP NLAN'!E207*'TS-PILE'!$E$84/SUMSQ('TS-PILE'!$E$72:$E$91))+IF(SUMSQ('TS-PILE'!$D$72:$D$91)=0,0,'TO HOP NLAN'!F207*'TS-PILE'!$D$84/SUMSQ('TS-PILE'!$D$72:$D$91))),IF('TS-PILE'!$B$85="",1E+99,'TO HOP NLAN'!D207/ncoc+IF(SUMSQ('TS-PILE'!$E$72:$E$91)=0,0,'TO HOP NLAN'!E207*'TS-PILE'!$E$85/SUMSQ('TS-PILE'!$E$72:$E$91))+IF(SUMSQ('TS-PILE'!$D$72:$D$91)=0,0,'TO HOP NLAN'!F207*'TS-PILE'!$D$85/SUMSQ('TS-PILE'!$D$72:$D$91))),IF('TS-PILE'!$B$86="",1E+99,'TO HOP NLAN'!D207/ncoc+IF(SUMSQ('TS-PILE'!$E$72:$E$91)=0,0,'TO HOP NLAN'!E207*'TS-PILE'!$E$86/SUMSQ('TS-PILE'!$E$72:$E$91))+IF(SUMSQ('TS-PILE'!$D$72:$D$91)=0,0,'TO HOP NLAN'!F207*'TS-PILE'!$D$86/SUMSQ('TS-PILE'!$D$72:$D$91))),IF('TS-PILE'!$B$87="",1E+99,'TO HOP NLAN'!D207/ncoc+IF(SUMSQ('TS-PILE'!$E$72:$E$91)=0,0,'TO HOP NLAN'!E207*'TS-PILE'!$E$87/SUMSQ('TS-PILE'!$E$72:$E$91))+IF(SUMSQ('TS-PILE'!$D$72:$D$91)=0,0,'TO HOP NLAN'!F207*'TS-PILE'!$D$87/SUMSQ('TS-PILE'!$D$72:$D$91))),IF('TS-PILE'!$B$88="",1E+99,'TO HOP NLAN'!D207/ncoc+IF(SUMSQ('TS-PILE'!$E$72:$E$91)=0,0,'TO HOP NLAN'!E207*'TS-PILE'!$E$88/SUMSQ('TS-PILE'!$E$72:$E$91))+IF(SUMSQ('TS-PILE'!$D$72:$D$91)=0,0,'TO HOP NLAN'!F207*'TS-PILE'!$D$88/SUMSQ('TS-PILE'!$D$72:$D$91))),IF('TS-PILE'!$B$89="",1E+99,'TO HOP NLAN'!D207/ncoc+IF(SUMSQ('TS-PILE'!$E$72:$E$91)=0,0,'TO HOP NLAN'!E207*'TS-PILE'!$E$89/SUMSQ('TS-PILE'!$E$72:$E$91))+IF(SUMSQ('TS-PILE'!$D$72:$D$91)=0,0,'TO HOP NLAN'!F207*'TS-PILE'!$D$89/SUMSQ('TS-PILE'!$D$72:$D$91))),IF('TS-PILE'!$B$90="",1E+99,'TO HOP NLAN'!D207/ncoc+IF(SUMSQ('TS-PILE'!$E$72:$E$91)=0,0,'TO HOP NLAN'!E207*'TS-PILE'!$E$90/SUMSQ('TS-PILE'!$E$72:$E$91))+IF(SUMSQ('TS-PILE'!$D$72:$D$91)=0,0,'TO HOP NLAN'!F207*'TS-PILE'!$D$90/SUMSQ('TS-PILE'!$D$72:$D$91))),IF('TS-PILE'!$B$91="",1E+99,'TO HOP NLAN'!D207/ncoc+IF(SUMSQ('TS-PILE'!$E$72:$E$91)=0,0,'TO HOP NLAN'!E207*'TS-PILE'!$E$91/SUMSQ('TS-PILE'!$E$72:$E$91))+IF(SUMSQ('TS-PILE'!$D$72:$D$91)=0,0,'TO HOP NLAN'!F207*'TS-PILE'!$D$91/SUMSQ('TS-PILE'!$D$72:$D$91)))))</f>
        <v>0</v>
      </c>
      <c r="E207" s="58">
        <f t="shared" si="12"/>
        <v>-9.9999999999999997E+98</v>
      </c>
      <c r="F207" s="58">
        <f t="shared" si="13"/>
        <v>9.9999999999999997E+98</v>
      </c>
      <c r="G207" s="58">
        <f t="shared" si="14"/>
        <v>-9.9999999999999997E+98</v>
      </c>
      <c r="H207" s="58">
        <f t="shared" si="15"/>
        <v>9.9999999999999997E+98</v>
      </c>
    </row>
    <row r="208" spans="1:8" x14ac:dyDescent="0.3">
      <c r="A208" s="42" t="str">
        <f>'TO HOP NLAN'!A208</f>
        <v/>
      </c>
      <c r="B208" s="42" t="str">
        <f>'TO HOP NLAN'!L208</f>
        <v>STRENGTH</v>
      </c>
      <c r="C208" s="58">
        <f>IF(A208="",0,MAX(IF('TS-PILE'!$B$72="",-1E+99,'TO HOP NLAN'!D208/ncoc+IF(SUMSQ('TS-PILE'!$E$72:$E$91)=0,0,'TO HOP NLAN'!E208*'TS-PILE'!$E$72/SUMSQ('TS-PILE'!$E$72:$E$91))+IF(SUMSQ('TS-PILE'!$D$72:$D$91)=0,0,'TO HOP NLAN'!F208*'TS-PILE'!$D$72/SUMSQ('TS-PILE'!$D$72:$D$91))),IF('TS-PILE'!$B$73="",-1E+99,'TO HOP NLAN'!D208/ncoc+IF(SUMSQ('TS-PILE'!$E$72:$E$91)=0,0,'TO HOP NLAN'!E208*'TS-PILE'!$E$73/SUMSQ('TS-PILE'!$E$72:$E$91))+IF(SUMSQ('TS-PILE'!$D$72:$D$91)=0,0,'TO HOP NLAN'!F208*'TS-PILE'!$D$73/SUMSQ('TS-PILE'!$D$72:$D$91))),IF('TS-PILE'!$B$74="",-1E+99,'TO HOP NLAN'!D208/ncoc+IF(SUMSQ('TS-PILE'!$E$72:$E$91)=0,0,'TO HOP NLAN'!E208*'TS-PILE'!$E$74/SUMSQ('TS-PILE'!$E$72:$E$91))+IF(SUMSQ('TS-PILE'!$D$72:$D$91)=0,0,'TO HOP NLAN'!F208*'TS-PILE'!$D$74/SUMSQ('TS-PILE'!$D$72:$D$91))),IF('TS-PILE'!$B$75="",-1E+99,'TO HOP NLAN'!D208/ncoc+IF(SUMSQ('TS-PILE'!$E$72:$E$91)=0,0,'TO HOP NLAN'!E208*'TS-PILE'!$E$75/SUMSQ('TS-PILE'!$E$72:$E$91))+IF(SUMSQ('TS-PILE'!$D$72:$D$91)=0,0,'TO HOP NLAN'!F208*'TS-PILE'!$D$75/SUMSQ('TS-PILE'!$D$72:$D$91))),IF('TS-PILE'!$B$76="",-1E+99,'TO HOP NLAN'!D208/ncoc+IF(SUMSQ('TS-PILE'!$E$72:$E$91)=0,0,'TO HOP NLAN'!E208*'TS-PILE'!$E$76/SUMSQ('TS-PILE'!$E$72:$E$91))+IF(SUMSQ('TS-PILE'!$D$72:$D$91)=0,0,'TO HOP NLAN'!F208*'TS-PILE'!$D$76/SUMSQ('TS-PILE'!$D$72:$D$91))),IF('TS-PILE'!$B$77="",-1E+99,'TO HOP NLAN'!D208/ncoc+IF(SUMSQ('TS-PILE'!$E$72:$E$91)=0,0,'TO HOP NLAN'!E208*'TS-PILE'!$E$77/SUMSQ('TS-PILE'!$E$72:$E$91))+IF(SUMSQ('TS-PILE'!$D$72:$D$91)=0,0,'TO HOP NLAN'!F208*'TS-PILE'!$D$77/SUMSQ('TS-PILE'!$D$72:$D$91))),IF('TS-PILE'!$B$78="",-1E+99,'TO HOP NLAN'!D208/ncoc+IF(SUMSQ('TS-PILE'!$E$72:$E$91)=0,0,'TO HOP NLAN'!E208*'TS-PILE'!$E$78/SUMSQ('TS-PILE'!$E$72:$E$91))+IF(SUMSQ('TS-PILE'!$D$72:$D$91)=0,0,'TO HOP NLAN'!F208*'TS-PILE'!$D$78/SUMSQ('TS-PILE'!$D$72:$D$91))),IF('TS-PILE'!$B$79="",-1E+99,'TO HOP NLAN'!D208/ncoc+IF(SUMSQ('TS-PILE'!$E$72:$E$91)=0,0,'TO HOP NLAN'!E208*'TS-PILE'!$E$79/SUMSQ('TS-PILE'!$E$72:$E$91))+IF(SUMSQ('TS-PILE'!$D$72:$D$91)=0,0,'TO HOP NLAN'!F208*'TS-PILE'!$D$79/SUMSQ('TS-PILE'!$D$72:$D$91))),IF('TS-PILE'!$B$80="",-1E+99,'TO HOP NLAN'!D208/ncoc+IF(SUMSQ('TS-PILE'!$E$72:$E$91)=0,0,'TO HOP NLAN'!E208*'TS-PILE'!$E$80/SUMSQ('TS-PILE'!$E$72:$E$91))+IF(SUMSQ('TS-PILE'!$D$72:$D$91)=0,0,'TO HOP NLAN'!F208*'TS-PILE'!$D$80/SUMSQ('TS-PILE'!$D$72:$D$91))),IF('TS-PILE'!$B$81="",-1E+99,'TO HOP NLAN'!D208/ncoc+IF(SUMSQ('TS-PILE'!$E$72:$E$91)=0,0,'TO HOP NLAN'!E208*'TS-PILE'!$E$81/SUMSQ('TS-PILE'!$E$72:$E$91))+IF(SUMSQ('TS-PILE'!$D$72:$D$91)=0,0,'TO HOP NLAN'!F208*'TS-PILE'!$D$81/SUMSQ('TS-PILE'!$D$72:$D$91))),IF('TS-PILE'!$B$82="",-1E+99,'TO HOP NLAN'!D208/ncoc+IF(SUMSQ('TS-PILE'!$E$72:$E$91)=0,0,'TO HOP NLAN'!E208*'TS-PILE'!$E$82/SUMSQ('TS-PILE'!$E$72:$E$91))+IF(SUMSQ('TS-PILE'!$D$72:$D$91)=0,0,'TO HOP NLAN'!F208*'TS-PILE'!$D$82/SUMSQ('TS-PILE'!$D$72:$D$91))),IF('TS-PILE'!$B$83="",-1E+99,'TO HOP NLAN'!D208/ncoc+IF(SUMSQ('TS-PILE'!$E$72:$E$91)=0,0,'TO HOP NLAN'!E208*'TS-PILE'!$E$83/SUMSQ('TS-PILE'!$E$72:$E$91))+IF(SUMSQ('TS-PILE'!$D$72:$D$91)=0,0,'TO HOP NLAN'!F208*'TS-PILE'!$D$83/SUMSQ('TS-PILE'!$D$72:$D$91))),IF('TS-PILE'!$B$84="",-1E+99,'TO HOP NLAN'!D208/ncoc+IF(SUMSQ('TS-PILE'!$E$72:$E$91)=0,0,'TO HOP NLAN'!E208*'TS-PILE'!$E$84/SUMSQ('TS-PILE'!$E$72:$E$91))+IF(SUMSQ('TS-PILE'!$D$72:$D$91)=0,0,'TO HOP NLAN'!F208*'TS-PILE'!$D$84/SUMSQ('TS-PILE'!$D$72:$D$91))),IF('TS-PILE'!$B$85="",-1E+99,'TO HOP NLAN'!D208/ncoc+IF(SUMSQ('TS-PILE'!$E$72:$E$91)=0,0,'TO HOP NLAN'!E208*'TS-PILE'!$E$85/SUMSQ('TS-PILE'!$E$72:$E$91))+IF(SUMSQ('TS-PILE'!$D$72:$D$91)=0,0,'TO HOP NLAN'!F208*'TS-PILE'!$D$85/SUMSQ('TS-PILE'!$D$72:$D$91))),IF('TS-PILE'!$B$86="",-1E+99,'TO HOP NLAN'!D208/ncoc+IF(SUMSQ('TS-PILE'!$E$72:$E$91)=0,0,'TO HOP NLAN'!E208*'TS-PILE'!$E$86/SUMSQ('TS-PILE'!$E$72:$E$91))+IF(SUMSQ('TS-PILE'!$D$72:$D$91)=0,0,'TO HOP NLAN'!F208*'TS-PILE'!$D$86/SUMSQ('TS-PILE'!$D$72:$D$91))),IF('TS-PILE'!$B$87="",-1E+99,'TO HOP NLAN'!D208/ncoc+IF(SUMSQ('TS-PILE'!$E$72:$E$91)=0,0,'TO HOP NLAN'!E208*'TS-PILE'!$E$87/SUMSQ('TS-PILE'!$E$72:$E$91))+IF(SUMSQ('TS-PILE'!$D$72:$D$91)=0,0,'TO HOP NLAN'!F208*'TS-PILE'!$D$87/SUMSQ('TS-PILE'!$D$72:$D$91))),IF('TS-PILE'!$B$88="",-1E+99,'TO HOP NLAN'!D208/ncoc+IF(SUMSQ('TS-PILE'!$E$72:$E$91)=0,0,'TO HOP NLAN'!E208*'TS-PILE'!$E$88/SUMSQ('TS-PILE'!$E$72:$E$91))+IF(SUMSQ('TS-PILE'!$D$72:$D$91)=0,0,'TO HOP NLAN'!F208*'TS-PILE'!$D$88/SUMSQ('TS-PILE'!$D$72:$D$91))),IF('TS-PILE'!$B$89="",-1E+99,'TO HOP NLAN'!D208/ncoc+IF(SUMSQ('TS-PILE'!$E$72:$E$91)=0,0,'TO HOP NLAN'!E208*'TS-PILE'!$E$89/SUMSQ('TS-PILE'!$E$72:$E$91))+IF(SUMSQ('TS-PILE'!$D$72:$D$91)=0,0,'TO HOP NLAN'!F208*'TS-PILE'!$D$89/SUMSQ('TS-PILE'!$D$72:$D$91))),IF('TS-PILE'!$B$90="",-1E+99,'TO HOP NLAN'!D208/ncoc+IF(SUMSQ('TS-PILE'!$E$72:$E$91)=0,0,'TO HOP NLAN'!E208*'TS-PILE'!$E$90/SUMSQ('TS-PILE'!$E$72:$E$91))+IF(SUMSQ('TS-PILE'!$D$72:$D$91)=0,0,'TO HOP NLAN'!F208*'TS-PILE'!$D$90/SUMSQ('TS-PILE'!$D$72:$D$91))),IF('TS-PILE'!$B$91="",-1E+99,'TO HOP NLAN'!D208/ncoc+IF(SUMSQ('TS-PILE'!$E$72:$E$91)=0,0,'TO HOP NLAN'!E208*'TS-PILE'!$E$91/SUMSQ('TS-PILE'!$E$72:$E$91))+IF(SUMSQ('TS-PILE'!$D$72:$D$91)=0,0,'TO HOP NLAN'!F208*'TS-PILE'!$D$91/SUMSQ('TS-PILE'!$D$72:$D$91)))))</f>
        <v>0</v>
      </c>
      <c r="D208" s="58">
        <f>IF(A208="",0,MIN(IF('TS-PILE'!$B$72="",1E+99,'TO HOP NLAN'!D208/ncoc+IF(SUMSQ('TS-PILE'!$E$72:$E$91)=0,0,'TO HOP NLAN'!E208*'TS-PILE'!$E$72/SUMSQ('TS-PILE'!$E$72:$E$91))+IF(SUMSQ('TS-PILE'!$D$72:$D$91)=0,0,'TO HOP NLAN'!F208*'TS-PILE'!$D$72/SUMSQ('TS-PILE'!$D$72:$D$91))),IF('TS-PILE'!$B$73="",1E+99,'TO HOP NLAN'!D208/ncoc+IF(SUMSQ('TS-PILE'!$E$72:$E$91)=0,0,'TO HOP NLAN'!E208*'TS-PILE'!$E$73/SUMSQ('TS-PILE'!$E$72:$E$91))+IF(SUMSQ('TS-PILE'!$D$72:$D$91)=0,0,'TO HOP NLAN'!F208*'TS-PILE'!$D$73/SUMSQ('TS-PILE'!$D$72:$D$91))),IF('TS-PILE'!$B$74="",1E+99,'TO HOP NLAN'!D208/ncoc+IF(SUMSQ('TS-PILE'!$E$72:$E$91)=0,0,'TO HOP NLAN'!E208*'TS-PILE'!$E$74/SUMSQ('TS-PILE'!$E$72:$E$91))+IF(SUMSQ('TS-PILE'!$D$72:$D$91)=0,0,'TO HOP NLAN'!F208*'TS-PILE'!$D$74/SUMSQ('TS-PILE'!$D$72:$D$91))),IF('TS-PILE'!$B$75="",1E+99,'TO HOP NLAN'!D208/ncoc+IF(SUMSQ('TS-PILE'!$E$72:$E$91)=0,0,'TO HOP NLAN'!E208*'TS-PILE'!$E$75/SUMSQ('TS-PILE'!$E$72:$E$91))+IF(SUMSQ('TS-PILE'!$D$72:$D$91)=0,0,'TO HOP NLAN'!F208*'TS-PILE'!$D$75/SUMSQ('TS-PILE'!$D$72:$D$91))),IF('TS-PILE'!$B$76="",1E+99,'TO HOP NLAN'!D208/ncoc+IF(SUMSQ('TS-PILE'!$E$72:$E$91)=0,0,'TO HOP NLAN'!E208*'TS-PILE'!$E$76/SUMSQ('TS-PILE'!$E$72:$E$91))+IF(SUMSQ('TS-PILE'!$D$72:$D$91)=0,0,'TO HOP NLAN'!F208*'TS-PILE'!$D$76/SUMSQ('TS-PILE'!$D$72:$D$91))),IF('TS-PILE'!$B$77="",1E+99,'TO HOP NLAN'!D208/ncoc+IF(SUMSQ('TS-PILE'!$E$72:$E$91)=0,0,'TO HOP NLAN'!E208*'TS-PILE'!$E$77/SUMSQ('TS-PILE'!$E$72:$E$91))+IF(SUMSQ('TS-PILE'!$D$72:$D$91)=0,0,'TO HOP NLAN'!F208*'TS-PILE'!$D$77/SUMSQ('TS-PILE'!$D$72:$D$91))),IF('TS-PILE'!$B$78="",1E+99,'TO HOP NLAN'!D208/ncoc+IF(SUMSQ('TS-PILE'!$E$72:$E$91)=0,0,'TO HOP NLAN'!E208*'TS-PILE'!$E$78/SUMSQ('TS-PILE'!$E$72:$E$91))+IF(SUMSQ('TS-PILE'!$D$72:$D$91)=0,0,'TO HOP NLAN'!F208*'TS-PILE'!$D$78/SUMSQ('TS-PILE'!$D$72:$D$91))),IF('TS-PILE'!$B$79="",1E+99,'TO HOP NLAN'!D208/ncoc+IF(SUMSQ('TS-PILE'!$E$72:$E$91)=0,0,'TO HOP NLAN'!E208*'TS-PILE'!$E$79/SUMSQ('TS-PILE'!$E$72:$E$91))+IF(SUMSQ('TS-PILE'!$D$72:$D$91)=0,0,'TO HOP NLAN'!F208*'TS-PILE'!$D$79/SUMSQ('TS-PILE'!$D$72:$D$91))),IF('TS-PILE'!$B$80="",1E+99,'TO HOP NLAN'!D208/ncoc+IF(SUMSQ('TS-PILE'!$E$72:$E$91)=0,0,'TO HOP NLAN'!E208*'TS-PILE'!$E$80/SUMSQ('TS-PILE'!$E$72:$E$91))+IF(SUMSQ('TS-PILE'!$D$72:$D$91)=0,0,'TO HOP NLAN'!F208*'TS-PILE'!$D$80/SUMSQ('TS-PILE'!$D$72:$D$91))),IF('TS-PILE'!$B$81="",1E+99,'TO HOP NLAN'!D208/ncoc+IF(SUMSQ('TS-PILE'!$E$72:$E$91)=0,0,'TO HOP NLAN'!E208*'TS-PILE'!$E$81/SUMSQ('TS-PILE'!$E$72:$E$91))+IF(SUMSQ('TS-PILE'!$D$72:$D$91)=0,0,'TO HOP NLAN'!F208*'TS-PILE'!$D$81/SUMSQ('TS-PILE'!$D$72:$D$91))),IF('TS-PILE'!$B$82="",1E+99,'TO HOP NLAN'!D208/ncoc+IF(SUMSQ('TS-PILE'!$E$72:$E$91)=0,0,'TO HOP NLAN'!E208*'TS-PILE'!$E$82/SUMSQ('TS-PILE'!$E$72:$E$91))+IF(SUMSQ('TS-PILE'!$D$72:$D$91)=0,0,'TO HOP NLAN'!F208*'TS-PILE'!$D$82/SUMSQ('TS-PILE'!$D$72:$D$91))),IF('TS-PILE'!$B$83="",1E+99,'TO HOP NLAN'!D208/ncoc+IF(SUMSQ('TS-PILE'!$E$72:$E$91)=0,0,'TO HOP NLAN'!E208*'TS-PILE'!$E$83/SUMSQ('TS-PILE'!$E$72:$E$91))+IF(SUMSQ('TS-PILE'!$D$72:$D$91)=0,0,'TO HOP NLAN'!F208*'TS-PILE'!$D$83/SUMSQ('TS-PILE'!$D$72:$D$91))),IF('TS-PILE'!$B$84="",1E+99,'TO HOP NLAN'!D208/ncoc+IF(SUMSQ('TS-PILE'!$E$72:$E$91)=0,0,'TO HOP NLAN'!E208*'TS-PILE'!$E$84/SUMSQ('TS-PILE'!$E$72:$E$91))+IF(SUMSQ('TS-PILE'!$D$72:$D$91)=0,0,'TO HOP NLAN'!F208*'TS-PILE'!$D$84/SUMSQ('TS-PILE'!$D$72:$D$91))),IF('TS-PILE'!$B$85="",1E+99,'TO HOP NLAN'!D208/ncoc+IF(SUMSQ('TS-PILE'!$E$72:$E$91)=0,0,'TO HOP NLAN'!E208*'TS-PILE'!$E$85/SUMSQ('TS-PILE'!$E$72:$E$91))+IF(SUMSQ('TS-PILE'!$D$72:$D$91)=0,0,'TO HOP NLAN'!F208*'TS-PILE'!$D$85/SUMSQ('TS-PILE'!$D$72:$D$91))),IF('TS-PILE'!$B$86="",1E+99,'TO HOP NLAN'!D208/ncoc+IF(SUMSQ('TS-PILE'!$E$72:$E$91)=0,0,'TO HOP NLAN'!E208*'TS-PILE'!$E$86/SUMSQ('TS-PILE'!$E$72:$E$91))+IF(SUMSQ('TS-PILE'!$D$72:$D$91)=0,0,'TO HOP NLAN'!F208*'TS-PILE'!$D$86/SUMSQ('TS-PILE'!$D$72:$D$91))),IF('TS-PILE'!$B$87="",1E+99,'TO HOP NLAN'!D208/ncoc+IF(SUMSQ('TS-PILE'!$E$72:$E$91)=0,0,'TO HOP NLAN'!E208*'TS-PILE'!$E$87/SUMSQ('TS-PILE'!$E$72:$E$91))+IF(SUMSQ('TS-PILE'!$D$72:$D$91)=0,0,'TO HOP NLAN'!F208*'TS-PILE'!$D$87/SUMSQ('TS-PILE'!$D$72:$D$91))),IF('TS-PILE'!$B$88="",1E+99,'TO HOP NLAN'!D208/ncoc+IF(SUMSQ('TS-PILE'!$E$72:$E$91)=0,0,'TO HOP NLAN'!E208*'TS-PILE'!$E$88/SUMSQ('TS-PILE'!$E$72:$E$91))+IF(SUMSQ('TS-PILE'!$D$72:$D$91)=0,0,'TO HOP NLAN'!F208*'TS-PILE'!$D$88/SUMSQ('TS-PILE'!$D$72:$D$91))),IF('TS-PILE'!$B$89="",1E+99,'TO HOP NLAN'!D208/ncoc+IF(SUMSQ('TS-PILE'!$E$72:$E$91)=0,0,'TO HOP NLAN'!E208*'TS-PILE'!$E$89/SUMSQ('TS-PILE'!$E$72:$E$91))+IF(SUMSQ('TS-PILE'!$D$72:$D$91)=0,0,'TO HOP NLAN'!F208*'TS-PILE'!$D$89/SUMSQ('TS-PILE'!$D$72:$D$91))),IF('TS-PILE'!$B$90="",1E+99,'TO HOP NLAN'!D208/ncoc+IF(SUMSQ('TS-PILE'!$E$72:$E$91)=0,0,'TO HOP NLAN'!E208*'TS-PILE'!$E$90/SUMSQ('TS-PILE'!$E$72:$E$91))+IF(SUMSQ('TS-PILE'!$D$72:$D$91)=0,0,'TO HOP NLAN'!F208*'TS-PILE'!$D$90/SUMSQ('TS-PILE'!$D$72:$D$91))),IF('TS-PILE'!$B$91="",1E+99,'TO HOP NLAN'!D208/ncoc+IF(SUMSQ('TS-PILE'!$E$72:$E$91)=0,0,'TO HOP NLAN'!E208*'TS-PILE'!$E$91/SUMSQ('TS-PILE'!$E$72:$E$91))+IF(SUMSQ('TS-PILE'!$D$72:$D$91)=0,0,'TO HOP NLAN'!F208*'TS-PILE'!$D$91/SUMSQ('TS-PILE'!$D$72:$D$91)))))</f>
        <v>0</v>
      </c>
      <c r="E208" s="58">
        <f t="shared" si="12"/>
        <v>-9.9999999999999997E+98</v>
      </c>
      <c r="F208" s="58">
        <f t="shared" si="13"/>
        <v>9.9999999999999997E+98</v>
      </c>
      <c r="G208" s="58">
        <f t="shared" si="14"/>
        <v>-9.9999999999999997E+98</v>
      </c>
      <c r="H208" s="58">
        <f t="shared" si="15"/>
        <v>9.9999999999999997E+98</v>
      </c>
    </row>
    <row r="209" spans="1:8" x14ac:dyDescent="0.3">
      <c r="A209" s="42" t="str">
        <f>'TO HOP NLAN'!A209</f>
        <v/>
      </c>
      <c r="B209" s="42" t="str">
        <f>'TO HOP NLAN'!L209</f>
        <v>STRENGTH</v>
      </c>
      <c r="C209" s="58">
        <f>IF(A209="",0,MAX(IF('TS-PILE'!$B$72="",-1E+99,'TO HOP NLAN'!D209/ncoc+IF(SUMSQ('TS-PILE'!$E$72:$E$91)=0,0,'TO HOP NLAN'!E209*'TS-PILE'!$E$72/SUMSQ('TS-PILE'!$E$72:$E$91))+IF(SUMSQ('TS-PILE'!$D$72:$D$91)=0,0,'TO HOP NLAN'!F209*'TS-PILE'!$D$72/SUMSQ('TS-PILE'!$D$72:$D$91))),IF('TS-PILE'!$B$73="",-1E+99,'TO HOP NLAN'!D209/ncoc+IF(SUMSQ('TS-PILE'!$E$72:$E$91)=0,0,'TO HOP NLAN'!E209*'TS-PILE'!$E$73/SUMSQ('TS-PILE'!$E$72:$E$91))+IF(SUMSQ('TS-PILE'!$D$72:$D$91)=0,0,'TO HOP NLAN'!F209*'TS-PILE'!$D$73/SUMSQ('TS-PILE'!$D$72:$D$91))),IF('TS-PILE'!$B$74="",-1E+99,'TO HOP NLAN'!D209/ncoc+IF(SUMSQ('TS-PILE'!$E$72:$E$91)=0,0,'TO HOP NLAN'!E209*'TS-PILE'!$E$74/SUMSQ('TS-PILE'!$E$72:$E$91))+IF(SUMSQ('TS-PILE'!$D$72:$D$91)=0,0,'TO HOP NLAN'!F209*'TS-PILE'!$D$74/SUMSQ('TS-PILE'!$D$72:$D$91))),IF('TS-PILE'!$B$75="",-1E+99,'TO HOP NLAN'!D209/ncoc+IF(SUMSQ('TS-PILE'!$E$72:$E$91)=0,0,'TO HOP NLAN'!E209*'TS-PILE'!$E$75/SUMSQ('TS-PILE'!$E$72:$E$91))+IF(SUMSQ('TS-PILE'!$D$72:$D$91)=0,0,'TO HOP NLAN'!F209*'TS-PILE'!$D$75/SUMSQ('TS-PILE'!$D$72:$D$91))),IF('TS-PILE'!$B$76="",-1E+99,'TO HOP NLAN'!D209/ncoc+IF(SUMSQ('TS-PILE'!$E$72:$E$91)=0,0,'TO HOP NLAN'!E209*'TS-PILE'!$E$76/SUMSQ('TS-PILE'!$E$72:$E$91))+IF(SUMSQ('TS-PILE'!$D$72:$D$91)=0,0,'TO HOP NLAN'!F209*'TS-PILE'!$D$76/SUMSQ('TS-PILE'!$D$72:$D$91))),IF('TS-PILE'!$B$77="",-1E+99,'TO HOP NLAN'!D209/ncoc+IF(SUMSQ('TS-PILE'!$E$72:$E$91)=0,0,'TO HOP NLAN'!E209*'TS-PILE'!$E$77/SUMSQ('TS-PILE'!$E$72:$E$91))+IF(SUMSQ('TS-PILE'!$D$72:$D$91)=0,0,'TO HOP NLAN'!F209*'TS-PILE'!$D$77/SUMSQ('TS-PILE'!$D$72:$D$91))),IF('TS-PILE'!$B$78="",-1E+99,'TO HOP NLAN'!D209/ncoc+IF(SUMSQ('TS-PILE'!$E$72:$E$91)=0,0,'TO HOP NLAN'!E209*'TS-PILE'!$E$78/SUMSQ('TS-PILE'!$E$72:$E$91))+IF(SUMSQ('TS-PILE'!$D$72:$D$91)=0,0,'TO HOP NLAN'!F209*'TS-PILE'!$D$78/SUMSQ('TS-PILE'!$D$72:$D$91))),IF('TS-PILE'!$B$79="",-1E+99,'TO HOP NLAN'!D209/ncoc+IF(SUMSQ('TS-PILE'!$E$72:$E$91)=0,0,'TO HOP NLAN'!E209*'TS-PILE'!$E$79/SUMSQ('TS-PILE'!$E$72:$E$91))+IF(SUMSQ('TS-PILE'!$D$72:$D$91)=0,0,'TO HOP NLAN'!F209*'TS-PILE'!$D$79/SUMSQ('TS-PILE'!$D$72:$D$91))),IF('TS-PILE'!$B$80="",-1E+99,'TO HOP NLAN'!D209/ncoc+IF(SUMSQ('TS-PILE'!$E$72:$E$91)=0,0,'TO HOP NLAN'!E209*'TS-PILE'!$E$80/SUMSQ('TS-PILE'!$E$72:$E$91))+IF(SUMSQ('TS-PILE'!$D$72:$D$91)=0,0,'TO HOP NLAN'!F209*'TS-PILE'!$D$80/SUMSQ('TS-PILE'!$D$72:$D$91))),IF('TS-PILE'!$B$81="",-1E+99,'TO HOP NLAN'!D209/ncoc+IF(SUMSQ('TS-PILE'!$E$72:$E$91)=0,0,'TO HOP NLAN'!E209*'TS-PILE'!$E$81/SUMSQ('TS-PILE'!$E$72:$E$91))+IF(SUMSQ('TS-PILE'!$D$72:$D$91)=0,0,'TO HOP NLAN'!F209*'TS-PILE'!$D$81/SUMSQ('TS-PILE'!$D$72:$D$91))),IF('TS-PILE'!$B$82="",-1E+99,'TO HOP NLAN'!D209/ncoc+IF(SUMSQ('TS-PILE'!$E$72:$E$91)=0,0,'TO HOP NLAN'!E209*'TS-PILE'!$E$82/SUMSQ('TS-PILE'!$E$72:$E$91))+IF(SUMSQ('TS-PILE'!$D$72:$D$91)=0,0,'TO HOP NLAN'!F209*'TS-PILE'!$D$82/SUMSQ('TS-PILE'!$D$72:$D$91))),IF('TS-PILE'!$B$83="",-1E+99,'TO HOP NLAN'!D209/ncoc+IF(SUMSQ('TS-PILE'!$E$72:$E$91)=0,0,'TO HOP NLAN'!E209*'TS-PILE'!$E$83/SUMSQ('TS-PILE'!$E$72:$E$91))+IF(SUMSQ('TS-PILE'!$D$72:$D$91)=0,0,'TO HOP NLAN'!F209*'TS-PILE'!$D$83/SUMSQ('TS-PILE'!$D$72:$D$91))),IF('TS-PILE'!$B$84="",-1E+99,'TO HOP NLAN'!D209/ncoc+IF(SUMSQ('TS-PILE'!$E$72:$E$91)=0,0,'TO HOP NLAN'!E209*'TS-PILE'!$E$84/SUMSQ('TS-PILE'!$E$72:$E$91))+IF(SUMSQ('TS-PILE'!$D$72:$D$91)=0,0,'TO HOP NLAN'!F209*'TS-PILE'!$D$84/SUMSQ('TS-PILE'!$D$72:$D$91))),IF('TS-PILE'!$B$85="",-1E+99,'TO HOP NLAN'!D209/ncoc+IF(SUMSQ('TS-PILE'!$E$72:$E$91)=0,0,'TO HOP NLAN'!E209*'TS-PILE'!$E$85/SUMSQ('TS-PILE'!$E$72:$E$91))+IF(SUMSQ('TS-PILE'!$D$72:$D$91)=0,0,'TO HOP NLAN'!F209*'TS-PILE'!$D$85/SUMSQ('TS-PILE'!$D$72:$D$91))),IF('TS-PILE'!$B$86="",-1E+99,'TO HOP NLAN'!D209/ncoc+IF(SUMSQ('TS-PILE'!$E$72:$E$91)=0,0,'TO HOP NLAN'!E209*'TS-PILE'!$E$86/SUMSQ('TS-PILE'!$E$72:$E$91))+IF(SUMSQ('TS-PILE'!$D$72:$D$91)=0,0,'TO HOP NLAN'!F209*'TS-PILE'!$D$86/SUMSQ('TS-PILE'!$D$72:$D$91))),IF('TS-PILE'!$B$87="",-1E+99,'TO HOP NLAN'!D209/ncoc+IF(SUMSQ('TS-PILE'!$E$72:$E$91)=0,0,'TO HOP NLAN'!E209*'TS-PILE'!$E$87/SUMSQ('TS-PILE'!$E$72:$E$91))+IF(SUMSQ('TS-PILE'!$D$72:$D$91)=0,0,'TO HOP NLAN'!F209*'TS-PILE'!$D$87/SUMSQ('TS-PILE'!$D$72:$D$91))),IF('TS-PILE'!$B$88="",-1E+99,'TO HOP NLAN'!D209/ncoc+IF(SUMSQ('TS-PILE'!$E$72:$E$91)=0,0,'TO HOP NLAN'!E209*'TS-PILE'!$E$88/SUMSQ('TS-PILE'!$E$72:$E$91))+IF(SUMSQ('TS-PILE'!$D$72:$D$91)=0,0,'TO HOP NLAN'!F209*'TS-PILE'!$D$88/SUMSQ('TS-PILE'!$D$72:$D$91))),IF('TS-PILE'!$B$89="",-1E+99,'TO HOP NLAN'!D209/ncoc+IF(SUMSQ('TS-PILE'!$E$72:$E$91)=0,0,'TO HOP NLAN'!E209*'TS-PILE'!$E$89/SUMSQ('TS-PILE'!$E$72:$E$91))+IF(SUMSQ('TS-PILE'!$D$72:$D$91)=0,0,'TO HOP NLAN'!F209*'TS-PILE'!$D$89/SUMSQ('TS-PILE'!$D$72:$D$91))),IF('TS-PILE'!$B$90="",-1E+99,'TO HOP NLAN'!D209/ncoc+IF(SUMSQ('TS-PILE'!$E$72:$E$91)=0,0,'TO HOP NLAN'!E209*'TS-PILE'!$E$90/SUMSQ('TS-PILE'!$E$72:$E$91))+IF(SUMSQ('TS-PILE'!$D$72:$D$91)=0,0,'TO HOP NLAN'!F209*'TS-PILE'!$D$90/SUMSQ('TS-PILE'!$D$72:$D$91))),IF('TS-PILE'!$B$91="",-1E+99,'TO HOP NLAN'!D209/ncoc+IF(SUMSQ('TS-PILE'!$E$72:$E$91)=0,0,'TO HOP NLAN'!E209*'TS-PILE'!$E$91/SUMSQ('TS-PILE'!$E$72:$E$91))+IF(SUMSQ('TS-PILE'!$D$72:$D$91)=0,0,'TO HOP NLAN'!F209*'TS-PILE'!$D$91/SUMSQ('TS-PILE'!$D$72:$D$91)))))</f>
        <v>0</v>
      </c>
      <c r="D209" s="58">
        <f>IF(A209="",0,MIN(IF('TS-PILE'!$B$72="",1E+99,'TO HOP NLAN'!D209/ncoc+IF(SUMSQ('TS-PILE'!$E$72:$E$91)=0,0,'TO HOP NLAN'!E209*'TS-PILE'!$E$72/SUMSQ('TS-PILE'!$E$72:$E$91))+IF(SUMSQ('TS-PILE'!$D$72:$D$91)=0,0,'TO HOP NLAN'!F209*'TS-PILE'!$D$72/SUMSQ('TS-PILE'!$D$72:$D$91))),IF('TS-PILE'!$B$73="",1E+99,'TO HOP NLAN'!D209/ncoc+IF(SUMSQ('TS-PILE'!$E$72:$E$91)=0,0,'TO HOP NLAN'!E209*'TS-PILE'!$E$73/SUMSQ('TS-PILE'!$E$72:$E$91))+IF(SUMSQ('TS-PILE'!$D$72:$D$91)=0,0,'TO HOP NLAN'!F209*'TS-PILE'!$D$73/SUMSQ('TS-PILE'!$D$72:$D$91))),IF('TS-PILE'!$B$74="",1E+99,'TO HOP NLAN'!D209/ncoc+IF(SUMSQ('TS-PILE'!$E$72:$E$91)=0,0,'TO HOP NLAN'!E209*'TS-PILE'!$E$74/SUMSQ('TS-PILE'!$E$72:$E$91))+IF(SUMSQ('TS-PILE'!$D$72:$D$91)=0,0,'TO HOP NLAN'!F209*'TS-PILE'!$D$74/SUMSQ('TS-PILE'!$D$72:$D$91))),IF('TS-PILE'!$B$75="",1E+99,'TO HOP NLAN'!D209/ncoc+IF(SUMSQ('TS-PILE'!$E$72:$E$91)=0,0,'TO HOP NLAN'!E209*'TS-PILE'!$E$75/SUMSQ('TS-PILE'!$E$72:$E$91))+IF(SUMSQ('TS-PILE'!$D$72:$D$91)=0,0,'TO HOP NLAN'!F209*'TS-PILE'!$D$75/SUMSQ('TS-PILE'!$D$72:$D$91))),IF('TS-PILE'!$B$76="",1E+99,'TO HOP NLAN'!D209/ncoc+IF(SUMSQ('TS-PILE'!$E$72:$E$91)=0,0,'TO HOP NLAN'!E209*'TS-PILE'!$E$76/SUMSQ('TS-PILE'!$E$72:$E$91))+IF(SUMSQ('TS-PILE'!$D$72:$D$91)=0,0,'TO HOP NLAN'!F209*'TS-PILE'!$D$76/SUMSQ('TS-PILE'!$D$72:$D$91))),IF('TS-PILE'!$B$77="",1E+99,'TO HOP NLAN'!D209/ncoc+IF(SUMSQ('TS-PILE'!$E$72:$E$91)=0,0,'TO HOP NLAN'!E209*'TS-PILE'!$E$77/SUMSQ('TS-PILE'!$E$72:$E$91))+IF(SUMSQ('TS-PILE'!$D$72:$D$91)=0,0,'TO HOP NLAN'!F209*'TS-PILE'!$D$77/SUMSQ('TS-PILE'!$D$72:$D$91))),IF('TS-PILE'!$B$78="",1E+99,'TO HOP NLAN'!D209/ncoc+IF(SUMSQ('TS-PILE'!$E$72:$E$91)=0,0,'TO HOP NLAN'!E209*'TS-PILE'!$E$78/SUMSQ('TS-PILE'!$E$72:$E$91))+IF(SUMSQ('TS-PILE'!$D$72:$D$91)=0,0,'TO HOP NLAN'!F209*'TS-PILE'!$D$78/SUMSQ('TS-PILE'!$D$72:$D$91))),IF('TS-PILE'!$B$79="",1E+99,'TO HOP NLAN'!D209/ncoc+IF(SUMSQ('TS-PILE'!$E$72:$E$91)=0,0,'TO HOP NLAN'!E209*'TS-PILE'!$E$79/SUMSQ('TS-PILE'!$E$72:$E$91))+IF(SUMSQ('TS-PILE'!$D$72:$D$91)=0,0,'TO HOP NLAN'!F209*'TS-PILE'!$D$79/SUMSQ('TS-PILE'!$D$72:$D$91))),IF('TS-PILE'!$B$80="",1E+99,'TO HOP NLAN'!D209/ncoc+IF(SUMSQ('TS-PILE'!$E$72:$E$91)=0,0,'TO HOP NLAN'!E209*'TS-PILE'!$E$80/SUMSQ('TS-PILE'!$E$72:$E$91))+IF(SUMSQ('TS-PILE'!$D$72:$D$91)=0,0,'TO HOP NLAN'!F209*'TS-PILE'!$D$80/SUMSQ('TS-PILE'!$D$72:$D$91))),IF('TS-PILE'!$B$81="",1E+99,'TO HOP NLAN'!D209/ncoc+IF(SUMSQ('TS-PILE'!$E$72:$E$91)=0,0,'TO HOP NLAN'!E209*'TS-PILE'!$E$81/SUMSQ('TS-PILE'!$E$72:$E$91))+IF(SUMSQ('TS-PILE'!$D$72:$D$91)=0,0,'TO HOP NLAN'!F209*'TS-PILE'!$D$81/SUMSQ('TS-PILE'!$D$72:$D$91))),IF('TS-PILE'!$B$82="",1E+99,'TO HOP NLAN'!D209/ncoc+IF(SUMSQ('TS-PILE'!$E$72:$E$91)=0,0,'TO HOP NLAN'!E209*'TS-PILE'!$E$82/SUMSQ('TS-PILE'!$E$72:$E$91))+IF(SUMSQ('TS-PILE'!$D$72:$D$91)=0,0,'TO HOP NLAN'!F209*'TS-PILE'!$D$82/SUMSQ('TS-PILE'!$D$72:$D$91))),IF('TS-PILE'!$B$83="",1E+99,'TO HOP NLAN'!D209/ncoc+IF(SUMSQ('TS-PILE'!$E$72:$E$91)=0,0,'TO HOP NLAN'!E209*'TS-PILE'!$E$83/SUMSQ('TS-PILE'!$E$72:$E$91))+IF(SUMSQ('TS-PILE'!$D$72:$D$91)=0,0,'TO HOP NLAN'!F209*'TS-PILE'!$D$83/SUMSQ('TS-PILE'!$D$72:$D$91))),IF('TS-PILE'!$B$84="",1E+99,'TO HOP NLAN'!D209/ncoc+IF(SUMSQ('TS-PILE'!$E$72:$E$91)=0,0,'TO HOP NLAN'!E209*'TS-PILE'!$E$84/SUMSQ('TS-PILE'!$E$72:$E$91))+IF(SUMSQ('TS-PILE'!$D$72:$D$91)=0,0,'TO HOP NLAN'!F209*'TS-PILE'!$D$84/SUMSQ('TS-PILE'!$D$72:$D$91))),IF('TS-PILE'!$B$85="",1E+99,'TO HOP NLAN'!D209/ncoc+IF(SUMSQ('TS-PILE'!$E$72:$E$91)=0,0,'TO HOP NLAN'!E209*'TS-PILE'!$E$85/SUMSQ('TS-PILE'!$E$72:$E$91))+IF(SUMSQ('TS-PILE'!$D$72:$D$91)=0,0,'TO HOP NLAN'!F209*'TS-PILE'!$D$85/SUMSQ('TS-PILE'!$D$72:$D$91))),IF('TS-PILE'!$B$86="",1E+99,'TO HOP NLAN'!D209/ncoc+IF(SUMSQ('TS-PILE'!$E$72:$E$91)=0,0,'TO HOP NLAN'!E209*'TS-PILE'!$E$86/SUMSQ('TS-PILE'!$E$72:$E$91))+IF(SUMSQ('TS-PILE'!$D$72:$D$91)=0,0,'TO HOP NLAN'!F209*'TS-PILE'!$D$86/SUMSQ('TS-PILE'!$D$72:$D$91))),IF('TS-PILE'!$B$87="",1E+99,'TO HOP NLAN'!D209/ncoc+IF(SUMSQ('TS-PILE'!$E$72:$E$91)=0,0,'TO HOP NLAN'!E209*'TS-PILE'!$E$87/SUMSQ('TS-PILE'!$E$72:$E$91))+IF(SUMSQ('TS-PILE'!$D$72:$D$91)=0,0,'TO HOP NLAN'!F209*'TS-PILE'!$D$87/SUMSQ('TS-PILE'!$D$72:$D$91))),IF('TS-PILE'!$B$88="",1E+99,'TO HOP NLAN'!D209/ncoc+IF(SUMSQ('TS-PILE'!$E$72:$E$91)=0,0,'TO HOP NLAN'!E209*'TS-PILE'!$E$88/SUMSQ('TS-PILE'!$E$72:$E$91))+IF(SUMSQ('TS-PILE'!$D$72:$D$91)=0,0,'TO HOP NLAN'!F209*'TS-PILE'!$D$88/SUMSQ('TS-PILE'!$D$72:$D$91))),IF('TS-PILE'!$B$89="",1E+99,'TO HOP NLAN'!D209/ncoc+IF(SUMSQ('TS-PILE'!$E$72:$E$91)=0,0,'TO HOP NLAN'!E209*'TS-PILE'!$E$89/SUMSQ('TS-PILE'!$E$72:$E$91))+IF(SUMSQ('TS-PILE'!$D$72:$D$91)=0,0,'TO HOP NLAN'!F209*'TS-PILE'!$D$89/SUMSQ('TS-PILE'!$D$72:$D$91))),IF('TS-PILE'!$B$90="",1E+99,'TO HOP NLAN'!D209/ncoc+IF(SUMSQ('TS-PILE'!$E$72:$E$91)=0,0,'TO HOP NLAN'!E209*'TS-PILE'!$E$90/SUMSQ('TS-PILE'!$E$72:$E$91))+IF(SUMSQ('TS-PILE'!$D$72:$D$91)=0,0,'TO HOP NLAN'!F209*'TS-PILE'!$D$90/SUMSQ('TS-PILE'!$D$72:$D$91))),IF('TS-PILE'!$B$91="",1E+99,'TO HOP NLAN'!D209/ncoc+IF(SUMSQ('TS-PILE'!$E$72:$E$91)=0,0,'TO HOP NLAN'!E209*'TS-PILE'!$E$91/SUMSQ('TS-PILE'!$E$72:$E$91))+IF(SUMSQ('TS-PILE'!$D$72:$D$91)=0,0,'TO HOP NLAN'!F209*'TS-PILE'!$D$91/SUMSQ('TS-PILE'!$D$72:$D$91)))))</f>
        <v>0</v>
      </c>
      <c r="E209" s="58">
        <f t="shared" si="12"/>
        <v>-9.9999999999999997E+98</v>
      </c>
      <c r="F209" s="58">
        <f t="shared" si="13"/>
        <v>9.9999999999999997E+98</v>
      </c>
      <c r="G209" s="58">
        <f t="shared" si="14"/>
        <v>-9.9999999999999997E+98</v>
      </c>
      <c r="H209" s="58">
        <f t="shared" si="15"/>
        <v>9.9999999999999997E+98</v>
      </c>
    </row>
    <row r="210" spans="1:8" x14ac:dyDescent="0.3">
      <c r="A210" s="42" t="str">
        <f>'TO HOP NLAN'!A210</f>
        <v/>
      </c>
      <c r="B210" s="42" t="str">
        <f>'TO HOP NLAN'!L210</f>
        <v>STRENGTH</v>
      </c>
      <c r="C210" s="58">
        <f>IF(A210="",0,MAX(IF('TS-PILE'!$B$72="",-1E+99,'TO HOP NLAN'!D210/ncoc+IF(SUMSQ('TS-PILE'!$E$72:$E$91)=0,0,'TO HOP NLAN'!E210*'TS-PILE'!$E$72/SUMSQ('TS-PILE'!$E$72:$E$91))+IF(SUMSQ('TS-PILE'!$D$72:$D$91)=0,0,'TO HOP NLAN'!F210*'TS-PILE'!$D$72/SUMSQ('TS-PILE'!$D$72:$D$91))),IF('TS-PILE'!$B$73="",-1E+99,'TO HOP NLAN'!D210/ncoc+IF(SUMSQ('TS-PILE'!$E$72:$E$91)=0,0,'TO HOP NLAN'!E210*'TS-PILE'!$E$73/SUMSQ('TS-PILE'!$E$72:$E$91))+IF(SUMSQ('TS-PILE'!$D$72:$D$91)=0,0,'TO HOP NLAN'!F210*'TS-PILE'!$D$73/SUMSQ('TS-PILE'!$D$72:$D$91))),IF('TS-PILE'!$B$74="",-1E+99,'TO HOP NLAN'!D210/ncoc+IF(SUMSQ('TS-PILE'!$E$72:$E$91)=0,0,'TO HOP NLAN'!E210*'TS-PILE'!$E$74/SUMSQ('TS-PILE'!$E$72:$E$91))+IF(SUMSQ('TS-PILE'!$D$72:$D$91)=0,0,'TO HOP NLAN'!F210*'TS-PILE'!$D$74/SUMSQ('TS-PILE'!$D$72:$D$91))),IF('TS-PILE'!$B$75="",-1E+99,'TO HOP NLAN'!D210/ncoc+IF(SUMSQ('TS-PILE'!$E$72:$E$91)=0,0,'TO HOP NLAN'!E210*'TS-PILE'!$E$75/SUMSQ('TS-PILE'!$E$72:$E$91))+IF(SUMSQ('TS-PILE'!$D$72:$D$91)=0,0,'TO HOP NLAN'!F210*'TS-PILE'!$D$75/SUMSQ('TS-PILE'!$D$72:$D$91))),IF('TS-PILE'!$B$76="",-1E+99,'TO HOP NLAN'!D210/ncoc+IF(SUMSQ('TS-PILE'!$E$72:$E$91)=0,0,'TO HOP NLAN'!E210*'TS-PILE'!$E$76/SUMSQ('TS-PILE'!$E$72:$E$91))+IF(SUMSQ('TS-PILE'!$D$72:$D$91)=0,0,'TO HOP NLAN'!F210*'TS-PILE'!$D$76/SUMSQ('TS-PILE'!$D$72:$D$91))),IF('TS-PILE'!$B$77="",-1E+99,'TO HOP NLAN'!D210/ncoc+IF(SUMSQ('TS-PILE'!$E$72:$E$91)=0,0,'TO HOP NLAN'!E210*'TS-PILE'!$E$77/SUMSQ('TS-PILE'!$E$72:$E$91))+IF(SUMSQ('TS-PILE'!$D$72:$D$91)=0,0,'TO HOP NLAN'!F210*'TS-PILE'!$D$77/SUMSQ('TS-PILE'!$D$72:$D$91))),IF('TS-PILE'!$B$78="",-1E+99,'TO HOP NLAN'!D210/ncoc+IF(SUMSQ('TS-PILE'!$E$72:$E$91)=0,0,'TO HOP NLAN'!E210*'TS-PILE'!$E$78/SUMSQ('TS-PILE'!$E$72:$E$91))+IF(SUMSQ('TS-PILE'!$D$72:$D$91)=0,0,'TO HOP NLAN'!F210*'TS-PILE'!$D$78/SUMSQ('TS-PILE'!$D$72:$D$91))),IF('TS-PILE'!$B$79="",-1E+99,'TO HOP NLAN'!D210/ncoc+IF(SUMSQ('TS-PILE'!$E$72:$E$91)=0,0,'TO HOP NLAN'!E210*'TS-PILE'!$E$79/SUMSQ('TS-PILE'!$E$72:$E$91))+IF(SUMSQ('TS-PILE'!$D$72:$D$91)=0,0,'TO HOP NLAN'!F210*'TS-PILE'!$D$79/SUMSQ('TS-PILE'!$D$72:$D$91))),IF('TS-PILE'!$B$80="",-1E+99,'TO HOP NLAN'!D210/ncoc+IF(SUMSQ('TS-PILE'!$E$72:$E$91)=0,0,'TO HOP NLAN'!E210*'TS-PILE'!$E$80/SUMSQ('TS-PILE'!$E$72:$E$91))+IF(SUMSQ('TS-PILE'!$D$72:$D$91)=0,0,'TO HOP NLAN'!F210*'TS-PILE'!$D$80/SUMSQ('TS-PILE'!$D$72:$D$91))),IF('TS-PILE'!$B$81="",-1E+99,'TO HOP NLAN'!D210/ncoc+IF(SUMSQ('TS-PILE'!$E$72:$E$91)=0,0,'TO HOP NLAN'!E210*'TS-PILE'!$E$81/SUMSQ('TS-PILE'!$E$72:$E$91))+IF(SUMSQ('TS-PILE'!$D$72:$D$91)=0,0,'TO HOP NLAN'!F210*'TS-PILE'!$D$81/SUMSQ('TS-PILE'!$D$72:$D$91))),IF('TS-PILE'!$B$82="",-1E+99,'TO HOP NLAN'!D210/ncoc+IF(SUMSQ('TS-PILE'!$E$72:$E$91)=0,0,'TO HOP NLAN'!E210*'TS-PILE'!$E$82/SUMSQ('TS-PILE'!$E$72:$E$91))+IF(SUMSQ('TS-PILE'!$D$72:$D$91)=0,0,'TO HOP NLAN'!F210*'TS-PILE'!$D$82/SUMSQ('TS-PILE'!$D$72:$D$91))),IF('TS-PILE'!$B$83="",-1E+99,'TO HOP NLAN'!D210/ncoc+IF(SUMSQ('TS-PILE'!$E$72:$E$91)=0,0,'TO HOP NLAN'!E210*'TS-PILE'!$E$83/SUMSQ('TS-PILE'!$E$72:$E$91))+IF(SUMSQ('TS-PILE'!$D$72:$D$91)=0,0,'TO HOP NLAN'!F210*'TS-PILE'!$D$83/SUMSQ('TS-PILE'!$D$72:$D$91))),IF('TS-PILE'!$B$84="",-1E+99,'TO HOP NLAN'!D210/ncoc+IF(SUMSQ('TS-PILE'!$E$72:$E$91)=0,0,'TO HOP NLAN'!E210*'TS-PILE'!$E$84/SUMSQ('TS-PILE'!$E$72:$E$91))+IF(SUMSQ('TS-PILE'!$D$72:$D$91)=0,0,'TO HOP NLAN'!F210*'TS-PILE'!$D$84/SUMSQ('TS-PILE'!$D$72:$D$91))),IF('TS-PILE'!$B$85="",-1E+99,'TO HOP NLAN'!D210/ncoc+IF(SUMSQ('TS-PILE'!$E$72:$E$91)=0,0,'TO HOP NLAN'!E210*'TS-PILE'!$E$85/SUMSQ('TS-PILE'!$E$72:$E$91))+IF(SUMSQ('TS-PILE'!$D$72:$D$91)=0,0,'TO HOP NLAN'!F210*'TS-PILE'!$D$85/SUMSQ('TS-PILE'!$D$72:$D$91))),IF('TS-PILE'!$B$86="",-1E+99,'TO HOP NLAN'!D210/ncoc+IF(SUMSQ('TS-PILE'!$E$72:$E$91)=0,0,'TO HOP NLAN'!E210*'TS-PILE'!$E$86/SUMSQ('TS-PILE'!$E$72:$E$91))+IF(SUMSQ('TS-PILE'!$D$72:$D$91)=0,0,'TO HOP NLAN'!F210*'TS-PILE'!$D$86/SUMSQ('TS-PILE'!$D$72:$D$91))),IF('TS-PILE'!$B$87="",-1E+99,'TO HOP NLAN'!D210/ncoc+IF(SUMSQ('TS-PILE'!$E$72:$E$91)=0,0,'TO HOP NLAN'!E210*'TS-PILE'!$E$87/SUMSQ('TS-PILE'!$E$72:$E$91))+IF(SUMSQ('TS-PILE'!$D$72:$D$91)=0,0,'TO HOP NLAN'!F210*'TS-PILE'!$D$87/SUMSQ('TS-PILE'!$D$72:$D$91))),IF('TS-PILE'!$B$88="",-1E+99,'TO HOP NLAN'!D210/ncoc+IF(SUMSQ('TS-PILE'!$E$72:$E$91)=0,0,'TO HOP NLAN'!E210*'TS-PILE'!$E$88/SUMSQ('TS-PILE'!$E$72:$E$91))+IF(SUMSQ('TS-PILE'!$D$72:$D$91)=0,0,'TO HOP NLAN'!F210*'TS-PILE'!$D$88/SUMSQ('TS-PILE'!$D$72:$D$91))),IF('TS-PILE'!$B$89="",-1E+99,'TO HOP NLAN'!D210/ncoc+IF(SUMSQ('TS-PILE'!$E$72:$E$91)=0,0,'TO HOP NLAN'!E210*'TS-PILE'!$E$89/SUMSQ('TS-PILE'!$E$72:$E$91))+IF(SUMSQ('TS-PILE'!$D$72:$D$91)=0,0,'TO HOP NLAN'!F210*'TS-PILE'!$D$89/SUMSQ('TS-PILE'!$D$72:$D$91))),IF('TS-PILE'!$B$90="",-1E+99,'TO HOP NLAN'!D210/ncoc+IF(SUMSQ('TS-PILE'!$E$72:$E$91)=0,0,'TO HOP NLAN'!E210*'TS-PILE'!$E$90/SUMSQ('TS-PILE'!$E$72:$E$91))+IF(SUMSQ('TS-PILE'!$D$72:$D$91)=0,0,'TO HOP NLAN'!F210*'TS-PILE'!$D$90/SUMSQ('TS-PILE'!$D$72:$D$91))),IF('TS-PILE'!$B$91="",-1E+99,'TO HOP NLAN'!D210/ncoc+IF(SUMSQ('TS-PILE'!$E$72:$E$91)=0,0,'TO HOP NLAN'!E210*'TS-PILE'!$E$91/SUMSQ('TS-PILE'!$E$72:$E$91))+IF(SUMSQ('TS-PILE'!$D$72:$D$91)=0,0,'TO HOP NLAN'!F210*'TS-PILE'!$D$91/SUMSQ('TS-PILE'!$D$72:$D$91)))))</f>
        <v>0</v>
      </c>
      <c r="D210" s="58">
        <f>IF(A210="",0,MIN(IF('TS-PILE'!$B$72="",1E+99,'TO HOP NLAN'!D210/ncoc+IF(SUMSQ('TS-PILE'!$E$72:$E$91)=0,0,'TO HOP NLAN'!E210*'TS-PILE'!$E$72/SUMSQ('TS-PILE'!$E$72:$E$91))+IF(SUMSQ('TS-PILE'!$D$72:$D$91)=0,0,'TO HOP NLAN'!F210*'TS-PILE'!$D$72/SUMSQ('TS-PILE'!$D$72:$D$91))),IF('TS-PILE'!$B$73="",1E+99,'TO HOP NLAN'!D210/ncoc+IF(SUMSQ('TS-PILE'!$E$72:$E$91)=0,0,'TO HOP NLAN'!E210*'TS-PILE'!$E$73/SUMSQ('TS-PILE'!$E$72:$E$91))+IF(SUMSQ('TS-PILE'!$D$72:$D$91)=0,0,'TO HOP NLAN'!F210*'TS-PILE'!$D$73/SUMSQ('TS-PILE'!$D$72:$D$91))),IF('TS-PILE'!$B$74="",1E+99,'TO HOP NLAN'!D210/ncoc+IF(SUMSQ('TS-PILE'!$E$72:$E$91)=0,0,'TO HOP NLAN'!E210*'TS-PILE'!$E$74/SUMSQ('TS-PILE'!$E$72:$E$91))+IF(SUMSQ('TS-PILE'!$D$72:$D$91)=0,0,'TO HOP NLAN'!F210*'TS-PILE'!$D$74/SUMSQ('TS-PILE'!$D$72:$D$91))),IF('TS-PILE'!$B$75="",1E+99,'TO HOP NLAN'!D210/ncoc+IF(SUMSQ('TS-PILE'!$E$72:$E$91)=0,0,'TO HOP NLAN'!E210*'TS-PILE'!$E$75/SUMSQ('TS-PILE'!$E$72:$E$91))+IF(SUMSQ('TS-PILE'!$D$72:$D$91)=0,0,'TO HOP NLAN'!F210*'TS-PILE'!$D$75/SUMSQ('TS-PILE'!$D$72:$D$91))),IF('TS-PILE'!$B$76="",1E+99,'TO HOP NLAN'!D210/ncoc+IF(SUMSQ('TS-PILE'!$E$72:$E$91)=0,0,'TO HOP NLAN'!E210*'TS-PILE'!$E$76/SUMSQ('TS-PILE'!$E$72:$E$91))+IF(SUMSQ('TS-PILE'!$D$72:$D$91)=0,0,'TO HOP NLAN'!F210*'TS-PILE'!$D$76/SUMSQ('TS-PILE'!$D$72:$D$91))),IF('TS-PILE'!$B$77="",1E+99,'TO HOP NLAN'!D210/ncoc+IF(SUMSQ('TS-PILE'!$E$72:$E$91)=0,0,'TO HOP NLAN'!E210*'TS-PILE'!$E$77/SUMSQ('TS-PILE'!$E$72:$E$91))+IF(SUMSQ('TS-PILE'!$D$72:$D$91)=0,0,'TO HOP NLAN'!F210*'TS-PILE'!$D$77/SUMSQ('TS-PILE'!$D$72:$D$91))),IF('TS-PILE'!$B$78="",1E+99,'TO HOP NLAN'!D210/ncoc+IF(SUMSQ('TS-PILE'!$E$72:$E$91)=0,0,'TO HOP NLAN'!E210*'TS-PILE'!$E$78/SUMSQ('TS-PILE'!$E$72:$E$91))+IF(SUMSQ('TS-PILE'!$D$72:$D$91)=0,0,'TO HOP NLAN'!F210*'TS-PILE'!$D$78/SUMSQ('TS-PILE'!$D$72:$D$91))),IF('TS-PILE'!$B$79="",1E+99,'TO HOP NLAN'!D210/ncoc+IF(SUMSQ('TS-PILE'!$E$72:$E$91)=0,0,'TO HOP NLAN'!E210*'TS-PILE'!$E$79/SUMSQ('TS-PILE'!$E$72:$E$91))+IF(SUMSQ('TS-PILE'!$D$72:$D$91)=0,0,'TO HOP NLAN'!F210*'TS-PILE'!$D$79/SUMSQ('TS-PILE'!$D$72:$D$91))),IF('TS-PILE'!$B$80="",1E+99,'TO HOP NLAN'!D210/ncoc+IF(SUMSQ('TS-PILE'!$E$72:$E$91)=0,0,'TO HOP NLAN'!E210*'TS-PILE'!$E$80/SUMSQ('TS-PILE'!$E$72:$E$91))+IF(SUMSQ('TS-PILE'!$D$72:$D$91)=0,0,'TO HOP NLAN'!F210*'TS-PILE'!$D$80/SUMSQ('TS-PILE'!$D$72:$D$91))),IF('TS-PILE'!$B$81="",1E+99,'TO HOP NLAN'!D210/ncoc+IF(SUMSQ('TS-PILE'!$E$72:$E$91)=0,0,'TO HOP NLAN'!E210*'TS-PILE'!$E$81/SUMSQ('TS-PILE'!$E$72:$E$91))+IF(SUMSQ('TS-PILE'!$D$72:$D$91)=0,0,'TO HOP NLAN'!F210*'TS-PILE'!$D$81/SUMSQ('TS-PILE'!$D$72:$D$91))),IF('TS-PILE'!$B$82="",1E+99,'TO HOP NLAN'!D210/ncoc+IF(SUMSQ('TS-PILE'!$E$72:$E$91)=0,0,'TO HOP NLAN'!E210*'TS-PILE'!$E$82/SUMSQ('TS-PILE'!$E$72:$E$91))+IF(SUMSQ('TS-PILE'!$D$72:$D$91)=0,0,'TO HOP NLAN'!F210*'TS-PILE'!$D$82/SUMSQ('TS-PILE'!$D$72:$D$91))),IF('TS-PILE'!$B$83="",1E+99,'TO HOP NLAN'!D210/ncoc+IF(SUMSQ('TS-PILE'!$E$72:$E$91)=0,0,'TO HOP NLAN'!E210*'TS-PILE'!$E$83/SUMSQ('TS-PILE'!$E$72:$E$91))+IF(SUMSQ('TS-PILE'!$D$72:$D$91)=0,0,'TO HOP NLAN'!F210*'TS-PILE'!$D$83/SUMSQ('TS-PILE'!$D$72:$D$91))),IF('TS-PILE'!$B$84="",1E+99,'TO HOP NLAN'!D210/ncoc+IF(SUMSQ('TS-PILE'!$E$72:$E$91)=0,0,'TO HOP NLAN'!E210*'TS-PILE'!$E$84/SUMSQ('TS-PILE'!$E$72:$E$91))+IF(SUMSQ('TS-PILE'!$D$72:$D$91)=0,0,'TO HOP NLAN'!F210*'TS-PILE'!$D$84/SUMSQ('TS-PILE'!$D$72:$D$91))),IF('TS-PILE'!$B$85="",1E+99,'TO HOP NLAN'!D210/ncoc+IF(SUMSQ('TS-PILE'!$E$72:$E$91)=0,0,'TO HOP NLAN'!E210*'TS-PILE'!$E$85/SUMSQ('TS-PILE'!$E$72:$E$91))+IF(SUMSQ('TS-PILE'!$D$72:$D$91)=0,0,'TO HOP NLAN'!F210*'TS-PILE'!$D$85/SUMSQ('TS-PILE'!$D$72:$D$91))),IF('TS-PILE'!$B$86="",1E+99,'TO HOP NLAN'!D210/ncoc+IF(SUMSQ('TS-PILE'!$E$72:$E$91)=0,0,'TO HOP NLAN'!E210*'TS-PILE'!$E$86/SUMSQ('TS-PILE'!$E$72:$E$91))+IF(SUMSQ('TS-PILE'!$D$72:$D$91)=0,0,'TO HOP NLAN'!F210*'TS-PILE'!$D$86/SUMSQ('TS-PILE'!$D$72:$D$91))),IF('TS-PILE'!$B$87="",1E+99,'TO HOP NLAN'!D210/ncoc+IF(SUMSQ('TS-PILE'!$E$72:$E$91)=0,0,'TO HOP NLAN'!E210*'TS-PILE'!$E$87/SUMSQ('TS-PILE'!$E$72:$E$91))+IF(SUMSQ('TS-PILE'!$D$72:$D$91)=0,0,'TO HOP NLAN'!F210*'TS-PILE'!$D$87/SUMSQ('TS-PILE'!$D$72:$D$91))),IF('TS-PILE'!$B$88="",1E+99,'TO HOP NLAN'!D210/ncoc+IF(SUMSQ('TS-PILE'!$E$72:$E$91)=0,0,'TO HOP NLAN'!E210*'TS-PILE'!$E$88/SUMSQ('TS-PILE'!$E$72:$E$91))+IF(SUMSQ('TS-PILE'!$D$72:$D$91)=0,0,'TO HOP NLAN'!F210*'TS-PILE'!$D$88/SUMSQ('TS-PILE'!$D$72:$D$91))),IF('TS-PILE'!$B$89="",1E+99,'TO HOP NLAN'!D210/ncoc+IF(SUMSQ('TS-PILE'!$E$72:$E$91)=0,0,'TO HOP NLAN'!E210*'TS-PILE'!$E$89/SUMSQ('TS-PILE'!$E$72:$E$91))+IF(SUMSQ('TS-PILE'!$D$72:$D$91)=0,0,'TO HOP NLAN'!F210*'TS-PILE'!$D$89/SUMSQ('TS-PILE'!$D$72:$D$91))),IF('TS-PILE'!$B$90="",1E+99,'TO HOP NLAN'!D210/ncoc+IF(SUMSQ('TS-PILE'!$E$72:$E$91)=0,0,'TO HOP NLAN'!E210*'TS-PILE'!$E$90/SUMSQ('TS-PILE'!$E$72:$E$91))+IF(SUMSQ('TS-PILE'!$D$72:$D$91)=0,0,'TO HOP NLAN'!F210*'TS-PILE'!$D$90/SUMSQ('TS-PILE'!$D$72:$D$91))),IF('TS-PILE'!$B$91="",1E+99,'TO HOP NLAN'!D210/ncoc+IF(SUMSQ('TS-PILE'!$E$72:$E$91)=0,0,'TO HOP NLAN'!E210*'TS-PILE'!$E$91/SUMSQ('TS-PILE'!$E$72:$E$91))+IF(SUMSQ('TS-PILE'!$D$72:$D$91)=0,0,'TO HOP NLAN'!F210*'TS-PILE'!$D$91/SUMSQ('TS-PILE'!$D$72:$D$91)))))</f>
        <v>0</v>
      </c>
      <c r="E210" s="58">
        <f t="shared" si="12"/>
        <v>-9.9999999999999997E+98</v>
      </c>
      <c r="F210" s="58">
        <f t="shared" si="13"/>
        <v>9.9999999999999997E+98</v>
      </c>
      <c r="G210" s="58">
        <f t="shared" si="14"/>
        <v>-9.9999999999999997E+98</v>
      </c>
      <c r="H210" s="58">
        <f t="shared" si="15"/>
        <v>9.9999999999999997E+98</v>
      </c>
    </row>
    <row r="211" spans="1:8" x14ac:dyDescent="0.3">
      <c r="A211" s="42" t="str">
        <f>'TO HOP NLAN'!A211</f>
        <v/>
      </c>
      <c r="B211" s="42" t="str">
        <f>'TO HOP NLAN'!L211</f>
        <v>STRENGTH</v>
      </c>
      <c r="C211" s="58">
        <f>IF(A211="",0,MAX(IF('TS-PILE'!$B$72="",-1E+99,'TO HOP NLAN'!D211/ncoc+IF(SUMSQ('TS-PILE'!$E$72:$E$91)=0,0,'TO HOP NLAN'!E211*'TS-PILE'!$E$72/SUMSQ('TS-PILE'!$E$72:$E$91))+IF(SUMSQ('TS-PILE'!$D$72:$D$91)=0,0,'TO HOP NLAN'!F211*'TS-PILE'!$D$72/SUMSQ('TS-PILE'!$D$72:$D$91))),IF('TS-PILE'!$B$73="",-1E+99,'TO HOP NLAN'!D211/ncoc+IF(SUMSQ('TS-PILE'!$E$72:$E$91)=0,0,'TO HOP NLAN'!E211*'TS-PILE'!$E$73/SUMSQ('TS-PILE'!$E$72:$E$91))+IF(SUMSQ('TS-PILE'!$D$72:$D$91)=0,0,'TO HOP NLAN'!F211*'TS-PILE'!$D$73/SUMSQ('TS-PILE'!$D$72:$D$91))),IF('TS-PILE'!$B$74="",-1E+99,'TO HOP NLAN'!D211/ncoc+IF(SUMSQ('TS-PILE'!$E$72:$E$91)=0,0,'TO HOP NLAN'!E211*'TS-PILE'!$E$74/SUMSQ('TS-PILE'!$E$72:$E$91))+IF(SUMSQ('TS-PILE'!$D$72:$D$91)=0,0,'TO HOP NLAN'!F211*'TS-PILE'!$D$74/SUMSQ('TS-PILE'!$D$72:$D$91))),IF('TS-PILE'!$B$75="",-1E+99,'TO HOP NLAN'!D211/ncoc+IF(SUMSQ('TS-PILE'!$E$72:$E$91)=0,0,'TO HOP NLAN'!E211*'TS-PILE'!$E$75/SUMSQ('TS-PILE'!$E$72:$E$91))+IF(SUMSQ('TS-PILE'!$D$72:$D$91)=0,0,'TO HOP NLAN'!F211*'TS-PILE'!$D$75/SUMSQ('TS-PILE'!$D$72:$D$91))),IF('TS-PILE'!$B$76="",-1E+99,'TO HOP NLAN'!D211/ncoc+IF(SUMSQ('TS-PILE'!$E$72:$E$91)=0,0,'TO HOP NLAN'!E211*'TS-PILE'!$E$76/SUMSQ('TS-PILE'!$E$72:$E$91))+IF(SUMSQ('TS-PILE'!$D$72:$D$91)=0,0,'TO HOP NLAN'!F211*'TS-PILE'!$D$76/SUMSQ('TS-PILE'!$D$72:$D$91))),IF('TS-PILE'!$B$77="",-1E+99,'TO HOP NLAN'!D211/ncoc+IF(SUMSQ('TS-PILE'!$E$72:$E$91)=0,0,'TO HOP NLAN'!E211*'TS-PILE'!$E$77/SUMSQ('TS-PILE'!$E$72:$E$91))+IF(SUMSQ('TS-PILE'!$D$72:$D$91)=0,0,'TO HOP NLAN'!F211*'TS-PILE'!$D$77/SUMSQ('TS-PILE'!$D$72:$D$91))),IF('TS-PILE'!$B$78="",-1E+99,'TO HOP NLAN'!D211/ncoc+IF(SUMSQ('TS-PILE'!$E$72:$E$91)=0,0,'TO HOP NLAN'!E211*'TS-PILE'!$E$78/SUMSQ('TS-PILE'!$E$72:$E$91))+IF(SUMSQ('TS-PILE'!$D$72:$D$91)=0,0,'TO HOP NLAN'!F211*'TS-PILE'!$D$78/SUMSQ('TS-PILE'!$D$72:$D$91))),IF('TS-PILE'!$B$79="",-1E+99,'TO HOP NLAN'!D211/ncoc+IF(SUMSQ('TS-PILE'!$E$72:$E$91)=0,0,'TO HOP NLAN'!E211*'TS-PILE'!$E$79/SUMSQ('TS-PILE'!$E$72:$E$91))+IF(SUMSQ('TS-PILE'!$D$72:$D$91)=0,0,'TO HOP NLAN'!F211*'TS-PILE'!$D$79/SUMSQ('TS-PILE'!$D$72:$D$91))),IF('TS-PILE'!$B$80="",-1E+99,'TO HOP NLAN'!D211/ncoc+IF(SUMSQ('TS-PILE'!$E$72:$E$91)=0,0,'TO HOP NLAN'!E211*'TS-PILE'!$E$80/SUMSQ('TS-PILE'!$E$72:$E$91))+IF(SUMSQ('TS-PILE'!$D$72:$D$91)=0,0,'TO HOP NLAN'!F211*'TS-PILE'!$D$80/SUMSQ('TS-PILE'!$D$72:$D$91))),IF('TS-PILE'!$B$81="",-1E+99,'TO HOP NLAN'!D211/ncoc+IF(SUMSQ('TS-PILE'!$E$72:$E$91)=0,0,'TO HOP NLAN'!E211*'TS-PILE'!$E$81/SUMSQ('TS-PILE'!$E$72:$E$91))+IF(SUMSQ('TS-PILE'!$D$72:$D$91)=0,0,'TO HOP NLAN'!F211*'TS-PILE'!$D$81/SUMSQ('TS-PILE'!$D$72:$D$91))),IF('TS-PILE'!$B$82="",-1E+99,'TO HOP NLAN'!D211/ncoc+IF(SUMSQ('TS-PILE'!$E$72:$E$91)=0,0,'TO HOP NLAN'!E211*'TS-PILE'!$E$82/SUMSQ('TS-PILE'!$E$72:$E$91))+IF(SUMSQ('TS-PILE'!$D$72:$D$91)=0,0,'TO HOP NLAN'!F211*'TS-PILE'!$D$82/SUMSQ('TS-PILE'!$D$72:$D$91))),IF('TS-PILE'!$B$83="",-1E+99,'TO HOP NLAN'!D211/ncoc+IF(SUMSQ('TS-PILE'!$E$72:$E$91)=0,0,'TO HOP NLAN'!E211*'TS-PILE'!$E$83/SUMSQ('TS-PILE'!$E$72:$E$91))+IF(SUMSQ('TS-PILE'!$D$72:$D$91)=0,0,'TO HOP NLAN'!F211*'TS-PILE'!$D$83/SUMSQ('TS-PILE'!$D$72:$D$91))),IF('TS-PILE'!$B$84="",-1E+99,'TO HOP NLAN'!D211/ncoc+IF(SUMSQ('TS-PILE'!$E$72:$E$91)=0,0,'TO HOP NLAN'!E211*'TS-PILE'!$E$84/SUMSQ('TS-PILE'!$E$72:$E$91))+IF(SUMSQ('TS-PILE'!$D$72:$D$91)=0,0,'TO HOP NLAN'!F211*'TS-PILE'!$D$84/SUMSQ('TS-PILE'!$D$72:$D$91))),IF('TS-PILE'!$B$85="",-1E+99,'TO HOP NLAN'!D211/ncoc+IF(SUMSQ('TS-PILE'!$E$72:$E$91)=0,0,'TO HOP NLAN'!E211*'TS-PILE'!$E$85/SUMSQ('TS-PILE'!$E$72:$E$91))+IF(SUMSQ('TS-PILE'!$D$72:$D$91)=0,0,'TO HOP NLAN'!F211*'TS-PILE'!$D$85/SUMSQ('TS-PILE'!$D$72:$D$91))),IF('TS-PILE'!$B$86="",-1E+99,'TO HOP NLAN'!D211/ncoc+IF(SUMSQ('TS-PILE'!$E$72:$E$91)=0,0,'TO HOP NLAN'!E211*'TS-PILE'!$E$86/SUMSQ('TS-PILE'!$E$72:$E$91))+IF(SUMSQ('TS-PILE'!$D$72:$D$91)=0,0,'TO HOP NLAN'!F211*'TS-PILE'!$D$86/SUMSQ('TS-PILE'!$D$72:$D$91))),IF('TS-PILE'!$B$87="",-1E+99,'TO HOP NLAN'!D211/ncoc+IF(SUMSQ('TS-PILE'!$E$72:$E$91)=0,0,'TO HOP NLAN'!E211*'TS-PILE'!$E$87/SUMSQ('TS-PILE'!$E$72:$E$91))+IF(SUMSQ('TS-PILE'!$D$72:$D$91)=0,0,'TO HOP NLAN'!F211*'TS-PILE'!$D$87/SUMSQ('TS-PILE'!$D$72:$D$91))),IF('TS-PILE'!$B$88="",-1E+99,'TO HOP NLAN'!D211/ncoc+IF(SUMSQ('TS-PILE'!$E$72:$E$91)=0,0,'TO HOP NLAN'!E211*'TS-PILE'!$E$88/SUMSQ('TS-PILE'!$E$72:$E$91))+IF(SUMSQ('TS-PILE'!$D$72:$D$91)=0,0,'TO HOP NLAN'!F211*'TS-PILE'!$D$88/SUMSQ('TS-PILE'!$D$72:$D$91))),IF('TS-PILE'!$B$89="",-1E+99,'TO HOP NLAN'!D211/ncoc+IF(SUMSQ('TS-PILE'!$E$72:$E$91)=0,0,'TO HOP NLAN'!E211*'TS-PILE'!$E$89/SUMSQ('TS-PILE'!$E$72:$E$91))+IF(SUMSQ('TS-PILE'!$D$72:$D$91)=0,0,'TO HOP NLAN'!F211*'TS-PILE'!$D$89/SUMSQ('TS-PILE'!$D$72:$D$91))),IF('TS-PILE'!$B$90="",-1E+99,'TO HOP NLAN'!D211/ncoc+IF(SUMSQ('TS-PILE'!$E$72:$E$91)=0,0,'TO HOP NLAN'!E211*'TS-PILE'!$E$90/SUMSQ('TS-PILE'!$E$72:$E$91))+IF(SUMSQ('TS-PILE'!$D$72:$D$91)=0,0,'TO HOP NLAN'!F211*'TS-PILE'!$D$90/SUMSQ('TS-PILE'!$D$72:$D$91))),IF('TS-PILE'!$B$91="",-1E+99,'TO HOP NLAN'!D211/ncoc+IF(SUMSQ('TS-PILE'!$E$72:$E$91)=0,0,'TO HOP NLAN'!E211*'TS-PILE'!$E$91/SUMSQ('TS-PILE'!$E$72:$E$91))+IF(SUMSQ('TS-PILE'!$D$72:$D$91)=0,0,'TO HOP NLAN'!F211*'TS-PILE'!$D$91/SUMSQ('TS-PILE'!$D$72:$D$91)))))</f>
        <v>0</v>
      </c>
      <c r="D211" s="58">
        <f>IF(A211="",0,MIN(IF('TS-PILE'!$B$72="",1E+99,'TO HOP NLAN'!D211/ncoc+IF(SUMSQ('TS-PILE'!$E$72:$E$91)=0,0,'TO HOP NLAN'!E211*'TS-PILE'!$E$72/SUMSQ('TS-PILE'!$E$72:$E$91))+IF(SUMSQ('TS-PILE'!$D$72:$D$91)=0,0,'TO HOP NLAN'!F211*'TS-PILE'!$D$72/SUMSQ('TS-PILE'!$D$72:$D$91))),IF('TS-PILE'!$B$73="",1E+99,'TO HOP NLAN'!D211/ncoc+IF(SUMSQ('TS-PILE'!$E$72:$E$91)=0,0,'TO HOP NLAN'!E211*'TS-PILE'!$E$73/SUMSQ('TS-PILE'!$E$72:$E$91))+IF(SUMSQ('TS-PILE'!$D$72:$D$91)=0,0,'TO HOP NLAN'!F211*'TS-PILE'!$D$73/SUMSQ('TS-PILE'!$D$72:$D$91))),IF('TS-PILE'!$B$74="",1E+99,'TO HOP NLAN'!D211/ncoc+IF(SUMSQ('TS-PILE'!$E$72:$E$91)=0,0,'TO HOP NLAN'!E211*'TS-PILE'!$E$74/SUMSQ('TS-PILE'!$E$72:$E$91))+IF(SUMSQ('TS-PILE'!$D$72:$D$91)=0,0,'TO HOP NLAN'!F211*'TS-PILE'!$D$74/SUMSQ('TS-PILE'!$D$72:$D$91))),IF('TS-PILE'!$B$75="",1E+99,'TO HOP NLAN'!D211/ncoc+IF(SUMSQ('TS-PILE'!$E$72:$E$91)=0,0,'TO HOP NLAN'!E211*'TS-PILE'!$E$75/SUMSQ('TS-PILE'!$E$72:$E$91))+IF(SUMSQ('TS-PILE'!$D$72:$D$91)=0,0,'TO HOP NLAN'!F211*'TS-PILE'!$D$75/SUMSQ('TS-PILE'!$D$72:$D$91))),IF('TS-PILE'!$B$76="",1E+99,'TO HOP NLAN'!D211/ncoc+IF(SUMSQ('TS-PILE'!$E$72:$E$91)=0,0,'TO HOP NLAN'!E211*'TS-PILE'!$E$76/SUMSQ('TS-PILE'!$E$72:$E$91))+IF(SUMSQ('TS-PILE'!$D$72:$D$91)=0,0,'TO HOP NLAN'!F211*'TS-PILE'!$D$76/SUMSQ('TS-PILE'!$D$72:$D$91))),IF('TS-PILE'!$B$77="",1E+99,'TO HOP NLAN'!D211/ncoc+IF(SUMSQ('TS-PILE'!$E$72:$E$91)=0,0,'TO HOP NLAN'!E211*'TS-PILE'!$E$77/SUMSQ('TS-PILE'!$E$72:$E$91))+IF(SUMSQ('TS-PILE'!$D$72:$D$91)=0,0,'TO HOP NLAN'!F211*'TS-PILE'!$D$77/SUMSQ('TS-PILE'!$D$72:$D$91))),IF('TS-PILE'!$B$78="",1E+99,'TO HOP NLAN'!D211/ncoc+IF(SUMSQ('TS-PILE'!$E$72:$E$91)=0,0,'TO HOP NLAN'!E211*'TS-PILE'!$E$78/SUMSQ('TS-PILE'!$E$72:$E$91))+IF(SUMSQ('TS-PILE'!$D$72:$D$91)=0,0,'TO HOP NLAN'!F211*'TS-PILE'!$D$78/SUMSQ('TS-PILE'!$D$72:$D$91))),IF('TS-PILE'!$B$79="",1E+99,'TO HOP NLAN'!D211/ncoc+IF(SUMSQ('TS-PILE'!$E$72:$E$91)=0,0,'TO HOP NLAN'!E211*'TS-PILE'!$E$79/SUMSQ('TS-PILE'!$E$72:$E$91))+IF(SUMSQ('TS-PILE'!$D$72:$D$91)=0,0,'TO HOP NLAN'!F211*'TS-PILE'!$D$79/SUMSQ('TS-PILE'!$D$72:$D$91))),IF('TS-PILE'!$B$80="",1E+99,'TO HOP NLAN'!D211/ncoc+IF(SUMSQ('TS-PILE'!$E$72:$E$91)=0,0,'TO HOP NLAN'!E211*'TS-PILE'!$E$80/SUMSQ('TS-PILE'!$E$72:$E$91))+IF(SUMSQ('TS-PILE'!$D$72:$D$91)=0,0,'TO HOP NLAN'!F211*'TS-PILE'!$D$80/SUMSQ('TS-PILE'!$D$72:$D$91))),IF('TS-PILE'!$B$81="",1E+99,'TO HOP NLAN'!D211/ncoc+IF(SUMSQ('TS-PILE'!$E$72:$E$91)=0,0,'TO HOP NLAN'!E211*'TS-PILE'!$E$81/SUMSQ('TS-PILE'!$E$72:$E$91))+IF(SUMSQ('TS-PILE'!$D$72:$D$91)=0,0,'TO HOP NLAN'!F211*'TS-PILE'!$D$81/SUMSQ('TS-PILE'!$D$72:$D$91))),IF('TS-PILE'!$B$82="",1E+99,'TO HOP NLAN'!D211/ncoc+IF(SUMSQ('TS-PILE'!$E$72:$E$91)=0,0,'TO HOP NLAN'!E211*'TS-PILE'!$E$82/SUMSQ('TS-PILE'!$E$72:$E$91))+IF(SUMSQ('TS-PILE'!$D$72:$D$91)=0,0,'TO HOP NLAN'!F211*'TS-PILE'!$D$82/SUMSQ('TS-PILE'!$D$72:$D$91))),IF('TS-PILE'!$B$83="",1E+99,'TO HOP NLAN'!D211/ncoc+IF(SUMSQ('TS-PILE'!$E$72:$E$91)=0,0,'TO HOP NLAN'!E211*'TS-PILE'!$E$83/SUMSQ('TS-PILE'!$E$72:$E$91))+IF(SUMSQ('TS-PILE'!$D$72:$D$91)=0,0,'TO HOP NLAN'!F211*'TS-PILE'!$D$83/SUMSQ('TS-PILE'!$D$72:$D$91))),IF('TS-PILE'!$B$84="",1E+99,'TO HOP NLAN'!D211/ncoc+IF(SUMSQ('TS-PILE'!$E$72:$E$91)=0,0,'TO HOP NLAN'!E211*'TS-PILE'!$E$84/SUMSQ('TS-PILE'!$E$72:$E$91))+IF(SUMSQ('TS-PILE'!$D$72:$D$91)=0,0,'TO HOP NLAN'!F211*'TS-PILE'!$D$84/SUMSQ('TS-PILE'!$D$72:$D$91))),IF('TS-PILE'!$B$85="",1E+99,'TO HOP NLAN'!D211/ncoc+IF(SUMSQ('TS-PILE'!$E$72:$E$91)=0,0,'TO HOP NLAN'!E211*'TS-PILE'!$E$85/SUMSQ('TS-PILE'!$E$72:$E$91))+IF(SUMSQ('TS-PILE'!$D$72:$D$91)=0,0,'TO HOP NLAN'!F211*'TS-PILE'!$D$85/SUMSQ('TS-PILE'!$D$72:$D$91))),IF('TS-PILE'!$B$86="",1E+99,'TO HOP NLAN'!D211/ncoc+IF(SUMSQ('TS-PILE'!$E$72:$E$91)=0,0,'TO HOP NLAN'!E211*'TS-PILE'!$E$86/SUMSQ('TS-PILE'!$E$72:$E$91))+IF(SUMSQ('TS-PILE'!$D$72:$D$91)=0,0,'TO HOP NLAN'!F211*'TS-PILE'!$D$86/SUMSQ('TS-PILE'!$D$72:$D$91))),IF('TS-PILE'!$B$87="",1E+99,'TO HOP NLAN'!D211/ncoc+IF(SUMSQ('TS-PILE'!$E$72:$E$91)=0,0,'TO HOP NLAN'!E211*'TS-PILE'!$E$87/SUMSQ('TS-PILE'!$E$72:$E$91))+IF(SUMSQ('TS-PILE'!$D$72:$D$91)=0,0,'TO HOP NLAN'!F211*'TS-PILE'!$D$87/SUMSQ('TS-PILE'!$D$72:$D$91))),IF('TS-PILE'!$B$88="",1E+99,'TO HOP NLAN'!D211/ncoc+IF(SUMSQ('TS-PILE'!$E$72:$E$91)=0,0,'TO HOP NLAN'!E211*'TS-PILE'!$E$88/SUMSQ('TS-PILE'!$E$72:$E$91))+IF(SUMSQ('TS-PILE'!$D$72:$D$91)=0,0,'TO HOP NLAN'!F211*'TS-PILE'!$D$88/SUMSQ('TS-PILE'!$D$72:$D$91))),IF('TS-PILE'!$B$89="",1E+99,'TO HOP NLAN'!D211/ncoc+IF(SUMSQ('TS-PILE'!$E$72:$E$91)=0,0,'TO HOP NLAN'!E211*'TS-PILE'!$E$89/SUMSQ('TS-PILE'!$E$72:$E$91))+IF(SUMSQ('TS-PILE'!$D$72:$D$91)=0,0,'TO HOP NLAN'!F211*'TS-PILE'!$D$89/SUMSQ('TS-PILE'!$D$72:$D$91))),IF('TS-PILE'!$B$90="",1E+99,'TO HOP NLAN'!D211/ncoc+IF(SUMSQ('TS-PILE'!$E$72:$E$91)=0,0,'TO HOP NLAN'!E211*'TS-PILE'!$E$90/SUMSQ('TS-PILE'!$E$72:$E$91))+IF(SUMSQ('TS-PILE'!$D$72:$D$91)=0,0,'TO HOP NLAN'!F211*'TS-PILE'!$D$90/SUMSQ('TS-PILE'!$D$72:$D$91))),IF('TS-PILE'!$B$91="",1E+99,'TO HOP NLAN'!D211/ncoc+IF(SUMSQ('TS-PILE'!$E$72:$E$91)=0,0,'TO HOP NLAN'!E211*'TS-PILE'!$E$91/SUMSQ('TS-PILE'!$E$72:$E$91))+IF(SUMSQ('TS-PILE'!$D$72:$D$91)=0,0,'TO HOP NLAN'!F211*'TS-PILE'!$D$91/SUMSQ('TS-PILE'!$D$72:$D$91)))))</f>
        <v>0</v>
      </c>
      <c r="E211" s="58">
        <f t="shared" si="12"/>
        <v>-9.9999999999999997E+98</v>
      </c>
      <c r="F211" s="58">
        <f t="shared" si="13"/>
        <v>9.9999999999999997E+98</v>
      </c>
      <c r="G211" s="58">
        <f t="shared" si="14"/>
        <v>-9.9999999999999997E+98</v>
      </c>
      <c r="H211" s="58">
        <f t="shared" si="15"/>
        <v>9.9999999999999997E+98</v>
      </c>
    </row>
    <row r="212" spans="1:8" x14ac:dyDescent="0.3">
      <c r="A212" s="42" t="str">
        <f>'TO HOP NLAN'!A212</f>
        <v/>
      </c>
      <c r="B212" s="42" t="str">
        <f>'TO HOP NLAN'!L212</f>
        <v>STRENGTH</v>
      </c>
      <c r="C212" s="58">
        <f>IF(A212="",0,MAX(IF('TS-PILE'!$B$72="",-1E+99,'TO HOP NLAN'!D212/ncoc+IF(SUMSQ('TS-PILE'!$E$72:$E$91)=0,0,'TO HOP NLAN'!E212*'TS-PILE'!$E$72/SUMSQ('TS-PILE'!$E$72:$E$91))+IF(SUMSQ('TS-PILE'!$D$72:$D$91)=0,0,'TO HOP NLAN'!F212*'TS-PILE'!$D$72/SUMSQ('TS-PILE'!$D$72:$D$91))),IF('TS-PILE'!$B$73="",-1E+99,'TO HOP NLAN'!D212/ncoc+IF(SUMSQ('TS-PILE'!$E$72:$E$91)=0,0,'TO HOP NLAN'!E212*'TS-PILE'!$E$73/SUMSQ('TS-PILE'!$E$72:$E$91))+IF(SUMSQ('TS-PILE'!$D$72:$D$91)=0,0,'TO HOP NLAN'!F212*'TS-PILE'!$D$73/SUMSQ('TS-PILE'!$D$72:$D$91))),IF('TS-PILE'!$B$74="",-1E+99,'TO HOP NLAN'!D212/ncoc+IF(SUMSQ('TS-PILE'!$E$72:$E$91)=0,0,'TO HOP NLAN'!E212*'TS-PILE'!$E$74/SUMSQ('TS-PILE'!$E$72:$E$91))+IF(SUMSQ('TS-PILE'!$D$72:$D$91)=0,0,'TO HOP NLAN'!F212*'TS-PILE'!$D$74/SUMSQ('TS-PILE'!$D$72:$D$91))),IF('TS-PILE'!$B$75="",-1E+99,'TO HOP NLAN'!D212/ncoc+IF(SUMSQ('TS-PILE'!$E$72:$E$91)=0,0,'TO HOP NLAN'!E212*'TS-PILE'!$E$75/SUMSQ('TS-PILE'!$E$72:$E$91))+IF(SUMSQ('TS-PILE'!$D$72:$D$91)=0,0,'TO HOP NLAN'!F212*'TS-PILE'!$D$75/SUMSQ('TS-PILE'!$D$72:$D$91))),IF('TS-PILE'!$B$76="",-1E+99,'TO HOP NLAN'!D212/ncoc+IF(SUMSQ('TS-PILE'!$E$72:$E$91)=0,0,'TO HOP NLAN'!E212*'TS-PILE'!$E$76/SUMSQ('TS-PILE'!$E$72:$E$91))+IF(SUMSQ('TS-PILE'!$D$72:$D$91)=0,0,'TO HOP NLAN'!F212*'TS-PILE'!$D$76/SUMSQ('TS-PILE'!$D$72:$D$91))),IF('TS-PILE'!$B$77="",-1E+99,'TO HOP NLAN'!D212/ncoc+IF(SUMSQ('TS-PILE'!$E$72:$E$91)=0,0,'TO HOP NLAN'!E212*'TS-PILE'!$E$77/SUMSQ('TS-PILE'!$E$72:$E$91))+IF(SUMSQ('TS-PILE'!$D$72:$D$91)=0,0,'TO HOP NLAN'!F212*'TS-PILE'!$D$77/SUMSQ('TS-PILE'!$D$72:$D$91))),IF('TS-PILE'!$B$78="",-1E+99,'TO HOP NLAN'!D212/ncoc+IF(SUMSQ('TS-PILE'!$E$72:$E$91)=0,0,'TO HOP NLAN'!E212*'TS-PILE'!$E$78/SUMSQ('TS-PILE'!$E$72:$E$91))+IF(SUMSQ('TS-PILE'!$D$72:$D$91)=0,0,'TO HOP NLAN'!F212*'TS-PILE'!$D$78/SUMSQ('TS-PILE'!$D$72:$D$91))),IF('TS-PILE'!$B$79="",-1E+99,'TO HOP NLAN'!D212/ncoc+IF(SUMSQ('TS-PILE'!$E$72:$E$91)=0,0,'TO HOP NLAN'!E212*'TS-PILE'!$E$79/SUMSQ('TS-PILE'!$E$72:$E$91))+IF(SUMSQ('TS-PILE'!$D$72:$D$91)=0,0,'TO HOP NLAN'!F212*'TS-PILE'!$D$79/SUMSQ('TS-PILE'!$D$72:$D$91))),IF('TS-PILE'!$B$80="",-1E+99,'TO HOP NLAN'!D212/ncoc+IF(SUMSQ('TS-PILE'!$E$72:$E$91)=0,0,'TO HOP NLAN'!E212*'TS-PILE'!$E$80/SUMSQ('TS-PILE'!$E$72:$E$91))+IF(SUMSQ('TS-PILE'!$D$72:$D$91)=0,0,'TO HOP NLAN'!F212*'TS-PILE'!$D$80/SUMSQ('TS-PILE'!$D$72:$D$91))),IF('TS-PILE'!$B$81="",-1E+99,'TO HOP NLAN'!D212/ncoc+IF(SUMSQ('TS-PILE'!$E$72:$E$91)=0,0,'TO HOP NLAN'!E212*'TS-PILE'!$E$81/SUMSQ('TS-PILE'!$E$72:$E$91))+IF(SUMSQ('TS-PILE'!$D$72:$D$91)=0,0,'TO HOP NLAN'!F212*'TS-PILE'!$D$81/SUMSQ('TS-PILE'!$D$72:$D$91))),IF('TS-PILE'!$B$82="",-1E+99,'TO HOP NLAN'!D212/ncoc+IF(SUMSQ('TS-PILE'!$E$72:$E$91)=0,0,'TO HOP NLAN'!E212*'TS-PILE'!$E$82/SUMSQ('TS-PILE'!$E$72:$E$91))+IF(SUMSQ('TS-PILE'!$D$72:$D$91)=0,0,'TO HOP NLAN'!F212*'TS-PILE'!$D$82/SUMSQ('TS-PILE'!$D$72:$D$91))),IF('TS-PILE'!$B$83="",-1E+99,'TO HOP NLAN'!D212/ncoc+IF(SUMSQ('TS-PILE'!$E$72:$E$91)=0,0,'TO HOP NLAN'!E212*'TS-PILE'!$E$83/SUMSQ('TS-PILE'!$E$72:$E$91))+IF(SUMSQ('TS-PILE'!$D$72:$D$91)=0,0,'TO HOP NLAN'!F212*'TS-PILE'!$D$83/SUMSQ('TS-PILE'!$D$72:$D$91))),IF('TS-PILE'!$B$84="",-1E+99,'TO HOP NLAN'!D212/ncoc+IF(SUMSQ('TS-PILE'!$E$72:$E$91)=0,0,'TO HOP NLAN'!E212*'TS-PILE'!$E$84/SUMSQ('TS-PILE'!$E$72:$E$91))+IF(SUMSQ('TS-PILE'!$D$72:$D$91)=0,0,'TO HOP NLAN'!F212*'TS-PILE'!$D$84/SUMSQ('TS-PILE'!$D$72:$D$91))),IF('TS-PILE'!$B$85="",-1E+99,'TO HOP NLAN'!D212/ncoc+IF(SUMSQ('TS-PILE'!$E$72:$E$91)=0,0,'TO HOP NLAN'!E212*'TS-PILE'!$E$85/SUMSQ('TS-PILE'!$E$72:$E$91))+IF(SUMSQ('TS-PILE'!$D$72:$D$91)=0,0,'TO HOP NLAN'!F212*'TS-PILE'!$D$85/SUMSQ('TS-PILE'!$D$72:$D$91))),IF('TS-PILE'!$B$86="",-1E+99,'TO HOP NLAN'!D212/ncoc+IF(SUMSQ('TS-PILE'!$E$72:$E$91)=0,0,'TO HOP NLAN'!E212*'TS-PILE'!$E$86/SUMSQ('TS-PILE'!$E$72:$E$91))+IF(SUMSQ('TS-PILE'!$D$72:$D$91)=0,0,'TO HOP NLAN'!F212*'TS-PILE'!$D$86/SUMSQ('TS-PILE'!$D$72:$D$91))),IF('TS-PILE'!$B$87="",-1E+99,'TO HOP NLAN'!D212/ncoc+IF(SUMSQ('TS-PILE'!$E$72:$E$91)=0,0,'TO HOP NLAN'!E212*'TS-PILE'!$E$87/SUMSQ('TS-PILE'!$E$72:$E$91))+IF(SUMSQ('TS-PILE'!$D$72:$D$91)=0,0,'TO HOP NLAN'!F212*'TS-PILE'!$D$87/SUMSQ('TS-PILE'!$D$72:$D$91))),IF('TS-PILE'!$B$88="",-1E+99,'TO HOP NLAN'!D212/ncoc+IF(SUMSQ('TS-PILE'!$E$72:$E$91)=0,0,'TO HOP NLAN'!E212*'TS-PILE'!$E$88/SUMSQ('TS-PILE'!$E$72:$E$91))+IF(SUMSQ('TS-PILE'!$D$72:$D$91)=0,0,'TO HOP NLAN'!F212*'TS-PILE'!$D$88/SUMSQ('TS-PILE'!$D$72:$D$91))),IF('TS-PILE'!$B$89="",-1E+99,'TO HOP NLAN'!D212/ncoc+IF(SUMSQ('TS-PILE'!$E$72:$E$91)=0,0,'TO HOP NLAN'!E212*'TS-PILE'!$E$89/SUMSQ('TS-PILE'!$E$72:$E$91))+IF(SUMSQ('TS-PILE'!$D$72:$D$91)=0,0,'TO HOP NLAN'!F212*'TS-PILE'!$D$89/SUMSQ('TS-PILE'!$D$72:$D$91))),IF('TS-PILE'!$B$90="",-1E+99,'TO HOP NLAN'!D212/ncoc+IF(SUMSQ('TS-PILE'!$E$72:$E$91)=0,0,'TO HOP NLAN'!E212*'TS-PILE'!$E$90/SUMSQ('TS-PILE'!$E$72:$E$91))+IF(SUMSQ('TS-PILE'!$D$72:$D$91)=0,0,'TO HOP NLAN'!F212*'TS-PILE'!$D$90/SUMSQ('TS-PILE'!$D$72:$D$91))),IF('TS-PILE'!$B$91="",-1E+99,'TO HOP NLAN'!D212/ncoc+IF(SUMSQ('TS-PILE'!$E$72:$E$91)=0,0,'TO HOP NLAN'!E212*'TS-PILE'!$E$91/SUMSQ('TS-PILE'!$E$72:$E$91))+IF(SUMSQ('TS-PILE'!$D$72:$D$91)=0,0,'TO HOP NLAN'!F212*'TS-PILE'!$D$91/SUMSQ('TS-PILE'!$D$72:$D$91)))))</f>
        <v>0</v>
      </c>
      <c r="D212" s="58">
        <f>IF(A212="",0,MIN(IF('TS-PILE'!$B$72="",1E+99,'TO HOP NLAN'!D212/ncoc+IF(SUMSQ('TS-PILE'!$E$72:$E$91)=0,0,'TO HOP NLAN'!E212*'TS-PILE'!$E$72/SUMSQ('TS-PILE'!$E$72:$E$91))+IF(SUMSQ('TS-PILE'!$D$72:$D$91)=0,0,'TO HOP NLAN'!F212*'TS-PILE'!$D$72/SUMSQ('TS-PILE'!$D$72:$D$91))),IF('TS-PILE'!$B$73="",1E+99,'TO HOP NLAN'!D212/ncoc+IF(SUMSQ('TS-PILE'!$E$72:$E$91)=0,0,'TO HOP NLAN'!E212*'TS-PILE'!$E$73/SUMSQ('TS-PILE'!$E$72:$E$91))+IF(SUMSQ('TS-PILE'!$D$72:$D$91)=0,0,'TO HOP NLAN'!F212*'TS-PILE'!$D$73/SUMSQ('TS-PILE'!$D$72:$D$91))),IF('TS-PILE'!$B$74="",1E+99,'TO HOP NLAN'!D212/ncoc+IF(SUMSQ('TS-PILE'!$E$72:$E$91)=0,0,'TO HOP NLAN'!E212*'TS-PILE'!$E$74/SUMSQ('TS-PILE'!$E$72:$E$91))+IF(SUMSQ('TS-PILE'!$D$72:$D$91)=0,0,'TO HOP NLAN'!F212*'TS-PILE'!$D$74/SUMSQ('TS-PILE'!$D$72:$D$91))),IF('TS-PILE'!$B$75="",1E+99,'TO HOP NLAN'!D212/ncoc+IF(SUMSQ('TS-PILE'!$E$72:$E$91)=0,0,'TO HOP NLAN'!E212*'TS-PILE'!$E$75/SUMSQ('TS-PILE'!$E$72:$E$91))+IF(SUMSQ('TS-PILE'!$D$72:$D$91)=0,0,'TO HOP NLAN'!F212*'TS-PILE'!$D$75/SUMSQ('TS-PILE'!$D$72:$D$91))),IF('TS-PILE'!$B$76="",1E+99,'TO HOP NLAN'!D212/ncoc+IF(SUMSQ('TS-PILE'!$E$72:$E$91)=0,0,'TO HOP NLAN'!E212*'TS-PILE'!$E$76/SUMSQ('TS-PILE'!$E$72:$E$91))+IF(SUMSQ('TS-PILE'!$D$72:$D$91)=0,0,'TO HOP NLAN'!F212*'TS-PILE'!$D$76/SUMSQ('TS-PILE'!$D$72:$D$91))),IF('TS-PILE'!$B$77="",1E+99,'TO HOP NLAN'!D212/ncoc+IF(SUMSQ('TS-PILE'!$E$72:$E$91)=0,0,'TO HOP NLAN'!E212*'TS-PILE'!$E$77/SUMSQ('TS-PILE'!$E$72:$E$91))+IF(SUMSQ('TS-PILE'!$D$72:$D$91)=0,0,'TO HOP NLAN'!F212*'TS-PILE'!$D$77/SUMSQ('TS-PILE'!$D$72:$D$91))),IF('TS-PILE'!$B$78="",1E+99,'TO HOP NLAN'!D212/ncoc+IF(SUMSQ('TS-PILE'!$E$72:$E$91)=0,0,'TO HOP NLAN'!E212*'TS-PILE'!$E$78/SUMSQ('TS-PILE'!$E$72:$E$91))+IF(SUMSQ('TS-PILE'!$D$72:$D$91)=0,0,'TO HOP NLAN'!F212*'TS-PILE'!$D$78/SUMSQ('TS-PILE'!$D$72:$D$91))),IF('TS-PILE'!$B$79="",1E+99,'TO HOP NLAN'!D212/ncoc+IF(SUMSQ('TS-PILE'!$E$72:$E$91)=0,0,'TO HOP NLAN'!E212*'TS-PILE'!$E$79/SUMSQ('TS-PILE'!$E$72:$E$91))+IF(SUMSQ('TS-PILE'!$D$72:$D$91)=0,0,'TO HOP NLAN'!F212*'TS-PILE'!$D$79/SUMSQ('TS-PILE'!$D$72:$D$91))),IF('TS-PILE'!$B$80="",1E+99,'TO HOP NLAN'!D212/ncoc+IF(SUMSQ('TS-PILE'!$E$72:$E$91)=0,0,'TO HOP NLAN'!E212*'TS-PILE'!$E$80/SUMSQ('TS-PILE'!$E$72:$E$91))+IF(SUMSQ('TS-PILE'!$D$72:$D$91)=0,0,'TO HOP NLAN'!F212*'TS-PILE'!$D$80/SUMSQ('TS-PILE'!$D$72:$D$91))),IF('TS-PILE'!$B$81="",1E+99,'TO HOP NLAN'!D212/ncoc+IF(SUMSQ('TS-PILE'!$E$72:$E$91)=0,0,'TO HOP NLAN'!E212*'TS-PILE'!$E$81/SUMSQ('TS-PILE'!$E$72:$E$91))+IF(SUMSQ('TS-PILE'!$D$72:$D$91)=0,0,'TO HOP NLAN'!F212*'TS-PILE'!$D$81/SUMSQ('TS-PILE'!$D$72:$D$91))),IF('TS-PILE'!$B$82="",1E+99,'TO HOP NLAN'!D212/ncoc+IF(SUMSQ('TS-PILE'!$E$72:$E$91)=0,0,'TO HOP NLAN'!E212*'TS-PILE'!$E$82/SUMSQ('TS-PILE'!$E$72:$E$91))+IF(SUMSQ('TS-PILE'!$D$72:$D$91)=0,0,'TO HOP NLAN'!F212*'TS-PILE'!$D$82/SUMSQ('TS-PILE'!$D$72:$D$91))),IF('TS-PILE'!$B$83="",1E+99,'TO HOP NLAN'!D212/ncoc+IF(SUMSQ('TS-PILE'!$E$72:$E$91)=0,0,'TO HOP NLAN'!E212*'TS-PILE'!$E$83/SUMSQ('TS-PILE'!$E$72:$E$91))+IF(SUMSQ('TS-PILE'!$D$72:$D$91)=0,0,'TO HOP NLAN'!F212*'TS-PILE'!$D$83/SUMSQ('TS-PILE'!$D$72:$D$91))),IF('TS-PILE'!$B$84="",1E+99,'TO HOP NLAN'!D212/ncoc+IF(SUMSQ('TS-PILE'!$E$72:$E$91)=0,0,'TO HOP NLAN'!E212*'TS-PILE'!$E$84/SUMSQ('TS-PILE'!$E$72:$E$91))+IF(SUMSQ('TS-PILE'!$D$72:$D$91)=0,0,'TO HOP NLAN'!F212*'TS-PILE'!$D$84/SUMSQ('TS-PILE'!$D$72:$D$91))),IF('TS-PILE'!$B$85="",1E+99,'TO HOP NLAN'!D212/ncoc+IF(SUMSQ('TS-PILE'!$E$72:$E$91)=0,0,'TO HOP NLAN'!E212*'TS-PILE'!$E$85/SUMSQ('TS-PILE'!$E$72:$E$91))+IF(SUMSQ('TS-PILE'!$D$72:$D$91)=0,0,'TO HOP NLAN'!F212*'TS-PILE'!$D$85/SUMSQ('TS-PILE'!$D$72:$D$91))),IF('TS-PILE'!$B$86="",1E+99,'TO HOP NLAN'!D212/ncoc+IF(SUMSQ('TS-PILE'!$E$72:$E$91)=0,0,'TO HOP NLAN'!E212*'TS-PILE'!$E$86/SUMSQ('TS-PILE'!$E$72:$E$91))+IF(SUMSQ('TS-PILE'!$D$72:$D$91)=0,0,'TO HOP NLAN'!F212*'TS-PILE'!$D$86/SUMSQ('TS-PILE'!$D$72:$D$91))),IF('TS-PILE'!$B$87="",1E+99,'TO HOP NLAN'!D212/ncoc+IF(SUMSQ('TS-PILE'!$E$72:$E$91)=0,0,'TO HOP NLAN'!E212*'TS-PILE'!$E$87/SUMSQ('TS-PILE'!$E$72:$E$91))+IF(SUMSQ('TS-PILE'!$D$72:$D$91)=0,0,'TO HOP NLAN'!F212*'TS-PILE'!$D$87/SUMSQ('TS-PILE'!$D$72:$D$91))),IF('TS-PILE'!$B$88="",1E+99,'TO HOP NLAN'!D212/ncoc+IF(SUMSQ('TS-PILE'!$E$72:$E$91)=0,0,'TO HOP NLAN'!E212*'TS-PILE'!$E$88/SUMSQ('TS-PILE'!$E$72:$E$91))+IF(SUMSQ('TS-PILE'!$D$72:$D$91)=0,0,'TO HOP NLAN'!F212*'TS-PILE'!$D$88/SUMSQ('TS-PILE'!$D$72:$D$91))),IF('TS-PILE'!$B$89="",1E+99,'TO HOP NLAN'!D212/ncoc+IF(SUMSQ('TS-PILE'!$E$72:$E$91)=0,0,'TO HOP NLAN'!E212*'TS-PILE'!$E$89/SUMSQ('TS-PILE'!$E$72:$E$91))+IF(SUMSQ('TS-PILE'!$D$72:$D$91)=0,0,'TO HOP NLAN'!F212*'TS-PILE'!$D$89/SUMSQ('TS-PILE'!$D$72:$D$91))),IF('TS-PILE'!$B$90="",1E+99,'TO HOP NLAN'!D212/ncoc+IF(SUMSQ('TS-PILE'!$E$72:$E$91)=0,0,'TO HOP NLAN'!E212*'TS-PILE'!$E$90/SUMSQ('TS-PILE'!$E$72:$E$91))+IF(SUMSQ('TS-PILE'!$D$72:$D$91)=0,0,'TO HOP NLAN'!F212*'TS-PILE'!$D$90/SUMSQ('TS-PILE'!$D$72:$D$91))),IF('TS-PILE'!$B$91="",1E+99,'TO HOP NLAN'!D212/ncoc+IF(SUMSQ('TS-PILE'!$E$72:$E$91)=0,0,'TO HOP NLAN'!E212*'TS-PILE'!$E$91/SUMSQ('TS-PILE'!$E$72:$E$91))+IF(SUMSQ('TS-PILE'!$D$72:$D$91)=0,0,'TO HOP NLAN'!F212*'TS-PILE'!$D$91/SUMSQ('TS-PILE'!$D$72:$D$91)))))</f>
        <v>0</v>
      </c>
      <c r="E212" s="58">
        <f t="shared" si="12"/>
        <v>-9.9999999999999997E+98</v>
      </c>
      <c r="F212" s="58">
        <f t="shared" si="13"/>
        <v>9.9999999999999997E+98</v>
      </c>
      <c r="G212" s="58">
        <f t="shared" si="14"/>
        <v>-9.9999999999999997E+98</v>
      </c>
      <c r="H212" s="58">
        <f t="shared" si="15"/>
        <v>9.9999999999999997E+98</v>
      </c>
    </row>
    <row r="213" spans="1:8" x14ac:dyDescent="0.3">
      <c r="A213" s="42" t="str">
        <f>'TO HOP NLAN'!A213</f>
        <v/>
      </c>
      <c r="B213" s="42" t="str">
        <f>'TO HOP NLAN'!L213</f>
        <v>STRENGTH</v>
      </c>
      <c r="C213" s="58">
        <f>IF(A213="",0,MAX(IF('TS-PILE'!$B$72="",-1E+99,'TO HOP NLAN'!D213/ncoc+IF(SUMSQ('TS-PILE'!$E$72:$E$91)=0,0,'TO HOP NLAN'!E213*'TS-PILE'!$E$72/SUMSQ('TS-PILE'!$E$72:$E$91))+IF(SUMSQ('TS-PILE'!$D$72:$D$91)=0,0,'TO HOP NLAN'!F213*'TS-PILE'!$D$72/SUMSQ('TS-PILE'!$D$72:$D$91))),IF('TS-PILE'!$B$73="",-1E+99,'TO HOP NLAN'!D213/ncoc+IF(SUMSQ('TS-PILE'!$E$72:$E$91)=0,0,'TO HOP NLAN'!E213*'TS-PILE'!$E$73/SUMSQ('TS-PILE'!$E$72:$E$91))+IF(SUMSQ('TS-PILE'!$D$72:$D$91)=0,0,'TO HOP NLAN'!F213*'TS-PILE'!$D$73/SUMSQ('TS-PILE'!$D$72:$D$91))),IF('TS-PILE'!$B$74="",-1E+99,'TO HOP NLAN'!D213/ncoc+IF(SUMSQ('TS-PILE'!$E$72:$E$91)=0,0,'TO HOP NLAN'!E213*'TS-PILE'!$E$74/SUMSQ('TS-PILE'!$E$72:$E$91))+IF(SUMSQ('TS-PILE'!$D$72:$D$91)=0,0,'TO HOP NLAN'!F213*'TS-PILE'!$D$74/SUMSQ('TS-PILE'!$D$72:$D$91))),IF('TS-PILE'!$B$75="",-1E+99,'TO HOP NLAN'!D213/ncoc+IF(SUMSQ('TS-PILE'!$E$72:$E$91)=0,0,'TO HOP NLAN'!E213*'TS-PILE'!$E$75/SUMSQ('TS-PILE'!$E$72:$E$91))+IF(SUMSQ('TS-PILE'!$D$72:$D$91)=0,0,'TO HOP NLAN'!F213*'TS-PILE'!$D$75/SUMSQ('TS-PILE'!$D$72:$D$91))),IF('TS-PILE'!$B$76="",-1E+99,'TO HOP NLAN'!D213/ncoc+IF(SUMSQ('TS-PILE'!$E$72:$E$91)=0,0,'TO HOP NLAN'!E213*'TS-PILE'!$E$76/SUMSQ('TS-PILE'!$E$72:$E$91))+IF(SUMSQ('TS-PILE'!$D$72:$D$91)=0,0,'TO HOP NLAN'!F213*'TS-PILE'!$D$76/SUMSQ('TS-PILE'!$D$72:$D$91))),IF('TS-PILE'!$B$77="",-1E+99,'TO HOP NLAN'!D213/ncoc+IF(SUMSQ('TS-PILE'!$E$72:$E$91)=0,0,'TO HOP NLAN'!E213*'TS-PILE'!$E$77/SUMSQ('TS-PILE'!$E$72:$E$91))+IF(SUMSQ('TS-PILE'!$D$72:$D$91)=0,0,'TO HOP NLAN'!F213*'TS-PILE'!$D$77/SUMSQ('TS-PILE'!$D$72:$D$91))),IF('TS-PILE'!$B$78="",-1E+99,'TO HOP NLAN'!D213/ncoc+IF(SUMSQ('TS-PILE'!$E$72:$E$91)=0,0,'TO HOP NLAN'!E213*'TS-PILE'!$E$78/SUMSQ('TS-PILE'!$E$72:$E$91))+IF(SUMSQ('TS-PILE'!$D$72:$D$91)=0,0,'TO HOP NLAN'!F213*'TS-PILE'!$D$78/SUMSQ('TS-PILE'!$D$72:$D$91))),IF('TS-PILE'!$B$79="",-1E+99,'TO HOP NLAN'!D213/ncoc+IF(SUMSQ('TS-PILE'!$E$72:$E$91)=0,0,'TO HOP NLAN'!E213*'TS-PILE'!$E$79/SUMSQ('TS-PILE'!$E$72:$E$91))+IF(SUMSQ('TS-PILE'!$D$72:$D$91)=0,0,'TO HOP NLAN'!F213*'TS-PILE'!$D$79/SUMSQ('TS-PILE'!$D$72:$D$91))),IF('TS-PILE'!$B$80="",-1E+99,'TO HOP NLAN'!D213/ncoc+IF(SUMSQ('TS-PILE'!$E$72:$E$91)=0,0,'TO HOP NLAN'!E213*'TS-PILE'!$E$80/SUMSQ('TS-PILE'!$E$72:$E$91))+IF(SUMSQ('TS-PILE'!$D$72:$D$91)=0,0,'TO HOP NLAN'!F213*'TS-PILE'!$D$80/SUMSQ('TS-PILE'!$D$72:$D$91))),IF('TS-PILE'!$B$81="",-1E+99,'TO HOP NLAN'!D213/ncoc+IF(SUMSQ('TS-PILE'!$E$72:$E$91)=0,0,'TO HOP NLAN'!E213*'TS-PILE'!$E$81/SUMSQ('TS-PILE'!$E$72:$E$91))+IF(SUMSQ('TS-PILE'!$D$72:$D$91)=0,0,'TO HOP NLAN'!F213*'TS-PILE'!$D$81/SUMSQ('TS-PILE'!$D$72:$D$91))),IF('TS-PILE'!$B$82="",-1E+99,'TO HOP NLAN'!D213/ncoc+IF(SUMSQ('TS-PILE'!$E$72:$E$91)=0,0,'TO HOP NLAN'!E213*'TS-PILE'!$E$82/SUMSQ('TS-PILE'!$E$72:$E$91))+IF(SUMSQ('TS-PILE'!$D$72:$D$91)=0,0,'TO HOP NLAN'!F213*'TS-PILE'!$D$82/SUMSQ('TS-PILE'!$D$72:$D$91))),IF('TS-PILE'!$B$83="",-1E+99,'TO HOP NLAN'!D213/ncoc+IF(SUMSQ('TS-PILE'!$E$72:$E$91)=0,0,'TO HOP NLAN'!E213*'TS-PILE'!$E$83/SUMSQ('TS-PILE'!$E$72:$E$91))+IF(SUMSQ('TS-PILE'!$D$72:$D$91)=0,0,'TO HOP NLAN'!F213*'TS-PILE'!$D$83/SUMSQ('TS-PILE'!$D$72:$D$91))),IF('TS-PILE'!$B$84="",-1E+99,'TO HOP NLAN'!D213/ncoc+IF(SUMSQ('TS-PILE'!$E$72:$E$91)=0,0,'TO HOP NLAN'!E213*'TS-PILE'!$E$84/SUMSQ('TS-PILE'!$E$72:$E$91))+IF(SUMSQ('TS-PILE'!$D$72:$D$91)=0,0,'TO HOP NLAN'!F213*'TS-PILE'!$D$84/SUMSQ('TS-PILE'!$D$72:$D$91))),IF('TS-PILE'!$B$85="",-1E+99,'TO HOP NLAN'!D213/ncoc+IF(SUMSQ('TS-PILE'!$E$72:$E$91)=0,0,'TO HOP NLAN'!E213*'TS-PILE'!$E$85/SUMSQ('TS-PILE'!$E$72:$E$91))+IF(SUMSQ('TS-PILE'!$D$72:$D$91)=0,0,'TO HOP NLAN'!F213*'TS-PILE'!$D$85/SUMSQ('TS-PILE'!$D$72:$D$91))),IF('TS-PILE'!$B$86="",-1E+99,'TO HOP NLAN'!D213/ncoc+IF(SUMSQ('TS-PILE'!$E$72:$E$91)=0,0,'TO HOP NLAN'!E213*'TS-PILE'!$E$86/SUMSQ('TS-PILE'!$E$72:$E$91))+IF(SUMSQ('TS-PILE'!$D$72:$D$91)=0,0,'TO HOP NLAN'!F213*'TS-PILE'!$D$86/SUMSQ('TS-PILE'!$D$72:$D$91))),IF('TS-PILE'!$B$87="",-1E+99,'TO HOP NLAN'!D213/ncoc+IF(SUMSQ('TS-PILE'!$E$72:$E$91)=0,0,'TO HOP NLAN'!E213*'TS-PILE'!$E$87/SUMSQ('TS-PILE'!$E$72:$E$91))+IF(SUMSQ('TS-PILE'!$D$72:$D$91)=0,0,'TO HOP NLAN'!F213*'TS-PILE'!$D$87/SUMSQ('TS-PILE'!$D$72:$D$91))),IF('TS-PILE'!$B$88="",-1E+99,'TO HOP NLAN'!D213/ncoc+IF(SUMSQ('TS-PILE'!$E$72:$E$91)=0,0,'TO HOP NLAN'!E213*'TS-PILE'!$E$88/SUMSQ('TS-PILE'!$E$72:$E$91))+IF(SUMSQ('TS-PILE'!$D$72:$D$91)=0,0,'TO HOP NLAN'!F213*'TS-PILE'!$D$88/SUMSQ('TS-PILE'!$D$72:$D$91))),IF('TS-PILE'!$B$89="",-1E+99,'TO HOP NLAN'!D213/ncoc+IF(SUMSQ('TS-PILE'!$E$72:$E$91)=0,0,'TO HOP NLAN'!E213*'TS-PILE'!$E$89/SUMSQ('TS-PILE'!$E$72:$E$91))+IF(SUMSQ('TS-PILE'!$D$72:$D$91)=0,0,'TO HOP NLAN'!F213*'TS-PILE'!$D$89/SUMSQ('TS-PILE'!$D$72:$D$91))),IF('TS-PILE'!$B$90="",-1E+99,'TO HOP NLAN'!D213/ncoc+IF(SUMSQ('TS-PILE'!$E$72:$E$91)=0,0,'TO HOP NLAN'!E213*'TS-PILE'!$E$90/SUMSQ('TS-PILE'!$E$72:$E$91))+IF(SUMSQ('TS-PILE'!$D$72:$D$91)=0,0,'TO HOP NLAN'!F213*'TS-PILE'!$D$90/SUMSQ('TS-PILE'!$D$72:$D$91))),IF('TS-PILE'!$B$91="",-1E+99,'TO HOP NLAN'!D213/ncoc+IF(SUMSQ('TS-PILE'!$E$72:$E$91)=0,0,'TO HOP NLAN'!E213*'TS-PILE'!$E$91/SUMSQ('TS-PILE'!$E$72:$E$91))+IF(SUMSQ('TS-PILE'!$D$72:$D$91)=0,0,'TO HOP NLAN'!F213*'TS-PILE'!$D$91/SUMSQ('TS-PILE'!$D$72:$D$91)))))</f>
        <v>0</v>
      </c>
      <c r="D213" s="58">
        <f>IF(A213="",0,MIN(IF('TS-PILE'!$B$72="",1E+99,'TO HOP NLAN'!D213/ncoc+IF(SUMSQ('TS-PILE'!$E$72:$E$91)=0,0,'TO HOP NLAN'!E213*'TS-PILE'!$E$72/SUMSQ('TS-PILE'!$E$72:$E$91))+IF(SUMSQ('TS-PILE'!$D$72:$D$91)=0,0,'TO HOP NLAN'!F213*'TS-PILE'!$D$72/SUMSQ('TS-PILE'!$D$72:$D$91))),IF('TS-PILE'!$B$73="",1E+99,'TO HOP NLAN'!D213/ncoc+IF(SUMSQ('TS-PILE'!$E$72:$E$91)=0,0,'TO HOP NLAN'!E213*'TS-PILE'!$E$73/SUMSQ('TS-PILE'!$E$72:$E$91))+IF(SUMSQ('TS-PILE'!$D$72:$D$91)=0,0,'TO HOP NLAN'!F213*'TS-PILE'!$D$73/SUMSQ('TS-PILE'!$D$72:$D$91))),IF('TS-PILE'!$B$74="",1E+99,'TO HOP NLAN'!D213/ncoc+IF(SUMSQ('TS-PILE'!$E$72:$E$91)=0,0,'TO HOP NLAN'!E213*'TS-PILE'!$E$74/SUMSQ('TS-PILE'!$E$72:$E$91))+IF(SUMSQ('TS-PILE'!$D$72:$D$91)=0,0,'TO HOP NLAN'!F213*'TS-PILE'!$D$74/SUMSQ('TS-PILE'!$D$72:$D$91))),IF('TS-PILE'!$B$75="",1E+99,'TO HOP NLAN'!D213/ncoc+IF(SUMSQ('TS-PILE'!$E$72:$E$91)=0,0,'TO HOP NLAN'!E213*'TS-PILE'!$E$75/SUMSQ('TS-PILE'!$E$72:$E$91))+IF(SUMSQ('TS-PILE'!$D$72:$D$91)=0,0,'TO HOP NLAN'!F213*'TS-PILE'!$D$75/SUMSQ('TS-PILE'!$D$72:$D$91))),IF('TS-PILE'!$B$76="",1E+99,'TO HOP NLAN'!D213/ncoc+IF(SUMSQ('TS-PILE'!$E$72:$E$91)=0,0,'TO HOP NLAN'!E213*'TS-PILE'!$E$76/SUMSQ('TS-PILE'!$E$72:$E$91))+IF(SUMSQ('TS-PILE'!$D$72:$D$91)=0,0,'TO HOP NLAN'!F213*'TS-PILE'!$D$76/SUMSQ('TS-PILE'!$D$72:$D$91))),IF('TS-PILE'!$B$77="",1E+99,'TO HOP NLAN'!D213/ncoc+IF(SUMSQ('TS-PILE'!$E$72:$E$91)=0,0,'TO HOP NLAN'!E213*'TS-PILE'!$E$77/SUMSQ('TS-PILE'!$E$72:$E$91))+IF(SUMSQ('TS-PILE'!$D$72:$D$91)=0,0,'TO HOP NLAN'!F213*'TS-PILE'!$D$77/SUMSQ('TS-PILE'!$D$72:$D$91))),IF('TS-PILE'!$B$78="",1E+99,'TO HOP NLAN'!D213/ncoc+IF(SUMSQ('TS-PILE'!$E$72:$E$91)=0,0,'TO HOP NLAN'!E213*'TS-PILE'!$E$78/SUMSQ('TS-PILE'!$E$72:$E$91))+IF(SUMSQ('TS-PILE'!$D$72:$D$91)=0,0,'TO HOP NLAN'!F213*'TS-PILE'!$D$78/SUMSQ('TS-PILE'!$D$72:$D$91))),IF('TS-PILE'!$B$79="",1E+99,'TO HOP NLAN'!D213/ncoc+IF(SUMSQ('TS-PILE'!$E$72:$E$91)=0,0,'TO HOP NLAN'!E213*'TS-PILE'!$E$79/SUMSQ('TS-PILE'!$E$72:$E$91))+IF(SUMSQ('TS-PILE'!$D$72:$D$91)=0,0,'TO HOP NLAN'!F213*'TS-PILE'!$D$79/SUMSQ('TS-PILE'!$D$72:$D$91))),IF('TS-PILE'!$B$80="",1E+99,'TO HOP NLAN'!D213/ncoc+IF(SUMSQ('TS-PILE'!$E$72:$E$91)=0,0,'TO HOP NLAN'!E213*'TS-PILE'!$E$80/SUMSQ('TS-PILE'!$E$72:$E$91))+IF(SUMSQ('TS-PILE'!$D$72:$D$91)=0,0,'TO HOP NLAN'!F213*'TS-PILE'!$D$80/SUMSQ('TS-PILE'!$D$72:$D$91))),IF('TS-PILE'!$B$81="",1E+99,'TO HOP NLAN'!D213/ncoc+IF(SUMSQ('TS-PILE'!$E$72:$E$91)=0,0,'TO HOP NLAN'!E213*'TS-PILE'!$E$81/SUMSQ('TS-PILE'!$E$72:$E$91))+IF(SUMSQ('TS-PILE'!$D$72:$D$91)=0,0,'TO HOP NLAN'!F213*'TS-PILE'!$D$81/SUMSQ('TS-PILE'!$D$72:$D$91))),IF('TS-PILE'!$B$82="",1E+99,'TO HOP NLAN'!D213/ncoc+IF(SUMSQ('TS-PILE'!$E$72:$E$91)=0,0,'TO HOP NLAN'!E213*'TS-PILE'!$E$82/SUMSQ('TS-PILE'!$E$72:$E$91))+IF(SUMSQ('TS-PILE'!$D$72:$D$91)=0,0,'TO HOP NLAN'!F213*'TS-PILE'!$D$82/SUMSQ('TS-PILE'!$D$72:$D$91))),IF('TS-PILE'!$B$83="",1E+99,'TO HOP NLAN'!D213/ncoc+IF(SUMSQ('TS-PILE'!$E$72:$E$91)=0,0,'TO HOP NLAN'!E213*'TS-PILE'!$E$83/SUMSQ('TS-PILE'!$E$72:$E$91))+IF(SUMSQ('TS-PILE'!$D$72:$D$91)=0,0,'TO HOP NLAN'!F213*'TS-PILE'!$D$83/SUMSQ('TS-PILE'!$D$72:$D$91))),IF('TS-PILE'!$B$84="",1E+99,'TO HOP NLAN'!D213/ncoc+IF(SUMSQ('TS-PILE'!$E$72:$E$91)=0,0,'TO HOP NLAN'!E213*'TS-PILE'!$E$84/SUMSQ('TS-PILE'!$E$72:$E$91))+IF(SUMSQ('TS-PILE'!$D$72:$D$91)=0,0,'TO HOP NLAN'!F213*'TS-PILE'!$D$84/SUMSQ('TS-PILE'!$D$72:$D$91))),IF('TS-PILE'!$B$85="",1E+99,'TO HOP NLAN'!D213/ncoc+IF(SUMSQ('TS-PILE'!$E$72:$E$91)=0,0,'TO HOP NLAN'!E213*'TS-PILE'!$E$85/SUMSQ('TS-PILE'!$E$72:$E$91))+IF(SUMSQ('TS-PILE'!$D$72:$D$91)=0,0,'TO HOP NLAN'!F213*'TS-PILE'!$D$85/SUMSQ('TS-PILE'!$D$72:$D$91))),IF('TS-PILE'!$B$86="",1E+99,'TO HOP NLAN'!D213/ncoc+IF(SUMSQ('TS-PILE'!$E$72:$E$91)=0,0,'TO HOP NLAN'!E213*'TS-PILE'!$E$86/SUMSQ('TS-PILE'!$E$72:$E$91))+IF(SUMSQ('TS-PILE'!$D$72:$D$91)=0,0,'TO HOP NLAN'!F213*'TS-PILE'!$D$86/SUMSQ('TS-PILE'!$D$72:$D$91))),IF('TS-PILE'!$B$87="",1E+99,'TO HOP NLAN'!D213/ncoc+IF(SUMSQ('TS-PILE'!$E$72:$E$91)=0,0,'TO HOP NLAN'!E213*'TS-PILE'!$E$87/SUMSQ('TS-PILE'!$E$72:$E$91))+IF(SUMSQ('TS-PILE'!$D$72:$D$91)=0,0,'TO HOP NLAN'!F213*'TS-PILE'!$D$87/SUMSQ('TS-PILE'!$D$72:$D$91))),IF('TS-PILE'!$B$88="",1E+99,'TO HOP NLAN'!D213/ncoc+IF(SUMSQ('TS-PILE'!$E$72:$E$91)=0,0,'TO HOP NLAN'!E213*'TS-PILE'!$E$88/SUMSQ('TS-PILE'!$E$72:$E$91))+IF(SUMSQ('TS-PILE'!$D$72:$D$91)=0,0,'TO HOP NLAN'!F213*'TS-PILE'!$D$88/SUMSQ('TS-PILE'!$D$72:$D$91))),IF('TS-PILE'!$B$89="",1E+99,'TO HOP NLAN'!D213/ncoc+IF(SUMSQ('TS-PILE'!$E$72:$E$91)=0,0,'TO HOP NLAN'!E213*'TS-PILE'!$E$89/SUMSQ('TS-PILE'!$E$72:$E$91))+IF(SUMSQ('TS-PILE'!$D$72:$D$91)=0,0,'TO HOP NLAN'!F213*'TS-PILE'!$D$89/SUMSQ('TS-PILE'!$D$72:$D$91))),IF('TS-PILE'!$B$90="",1E+99,'TO HOP NLAN'!D213/ncoc+IF(SUMSQ('TS-PILE'!$E$72:$E$91)=0,0,'TO HOP NLAN'!E213*'TS-PILE'!$E$90/SUMSQ('TS-PILE'!$E$72:$E$91))+IF(SUMSQ('TS-PILE'!$D$72:$D$91)=0,0,'TO HOP NLAN'!F213*'TS-PILE'!$D$90/SUMSQ('TS-PILE'!$D$72:$D$91))),IF('TS-PILE'!$B$91="",1E+99,'TO HOP NLAN'!D213/ncoc+IF(SUMSQ('TS-PILE'!$E$72:$E$91)=0,0,'TO HOP NLAN'!E213*'TS-PILE'!$E$91/SUMSQ('TS-PILE'!$E$72:$E$91))+IF(SUMSQ('TS-PILE'!$D$72:$D$91)=0,0,'TO HOP NLAN'!F213*'TS-PILE'!$D$91/SUMSQ('TS-PILE'!$D$72:$D$91)))))</f>
        <v>0</v>
      </c>
      <c r="E213" s="58">
        <f t="shared" si="12"/>
        <v>-9.9999999999999997E+98</v>
      </c>
      <c r="F213" s="58">
        <f t="shared" si="13"/>
        <v>9.9999999999999997E+98</v>
      </c>
      <c r="G213" s="58">
        <f t="shared" si="14"/>
        <v>-9.9999999999999997E+98</v>
      </c>
      <c r="H213" s="58">
        <f t="shared" si="15"/>
        <v>9.9999999999999997E+98</v>
      </c>
    </row>
    <row r="214" spans="1:8" x14ac:dyDescent="0.3">
      <c r="A214" s="42" t="str">
        <f>'TO HOP NLAN'!A214</f>
        <v/>
      </c>
      <c r="B214" s="42" t="str">
        <f>'TO HOP NLAN'!L214</f>
        <v>STRENGTH</v>
      </c>
      <c r="C214" s="58">
        <f>IF(A214="",0,MAX(IF('TS-PILE'!$B$72="",-1E+99,'TO HOP NLAN'!D214/ncoc+IF(SUMSQ('TS-PILE'!$E$72:$E$91)=0,0,'TO HOP NLAN'!E214*'TS-PILE'!$E$72/SUMSQ('TS-PILE'!$E$72:$E$91))+IF(SUMSQ('TS-PILE'!$D$72:$D$91)=0,0,'TO HOP NLAN'!F214*'TS-PILE'!$D$72/SUMSQ('TS-PILE'!$D$72:$D$91))),IF('TS-PILE'!$B$73="",-1E+99,'TO HOP NLAN'!D214/ncoc+IF(SUMSQ('TS-PILE'!$E$72:$E$91)=0,0,'TO HOP NLAN'!E214*'TS-PILE'!$E$73/SUMSQ('TS-PILE'!$E$72:$E$91))+IF(SUMSQ('TS-PILE'!$D$72:$D$91)=0,0,'TO HOP NLAN'!F214*'TS-PILE'!$D$73/SUMSQ('TS-PILE'!$D$72:$D$91))),IF('TS-PILE'!$B$74="",-1E+99,'TO HOP NLAN'!D214/ncoc+IF(SUMSQ('TS-PILE'!$E$72:$E$91)=0,0,'TO HOP NLAN'!E214*'TS-PILE'!$E$74/SUMSQ('TS-PILE'!$E$72:$E$91))+IF(SUMSQ('TS-PILE'!$D$72:$D$91)=0,0,'TO HOP NLAN'!F214*'TS-PILE'!$D$74/SUMSQ('TS-PILE'!$D$72:$D$91))),IF('TS-PILE'!$B$75="",-1E+99,'TO HOP NLAN'!D214/ncoc+IF(SUMSQ('TS-PILE'!$E$72:$E$91)=0,0,'TO HOP NLAN'!E214*'TS-PILE'!$E$75/SUMSQ('TS-PILE'!$E$72:$E$91))+IF(SUMSQ('TS-PILE'!$D$72:$D$91)=0,0,'TO HOP NLAN'!F214*'TS-PILE'!$D$75/SUMSQ('TS-PILE'!$D$72:$D$91))),IF('TS-PILE'!$B$76="",-1E+99,'TO HOP NLAN'!D214/ncoc+IF(SUMSQ('TS-PILE'!$E$72:$E$91)=0,0,'TO HOP NLAN'!E214*'TS-PILE'!$E$76/SUMSQ('TS-PILE'!$E$72:$E$91))+IF(SUMSQ('TS-PILE'!$D$72:$D$91)=0,0,'TO HOP NLAN'!F214*'TS-PILE'!$D$76/SUMSQ('TS-PILE'!$D$72:$D$91))),IF('TS-PILE'!$B$77="",-1E+99,'TO HOP NLAN'!D214/ncoc+IF(SUMSQ('TS-PILE'!$E$72:$E$91)=0,0,'TO HOP NLAN'!E214*'TS-PILE'!$E$77/SUMSQ('TS-PILE'!$E$72:$E$91))+IF(SUMSQ('TS-PILE'!$D$72:$D$91)=0,0,'TO HOP NLAN'!F214*'TS-PILE'!$D$77/SUMSQ('TS-PILE'!$D$72:$D$91))),IF('TS-PILE'!$B$78="",-1E+99,'TO HOP NLAN'!D214/ncoc+IF(SUMSQ('TS-PILE'!$E$72:$E$91)=0,0,'TO HOP NLAN'!E214*'TS-PILE'!$E$78/SUMSQ('TS-PILE'!$E$72:$E$91))+IF(SUMSQ('TS-PILE'!$D$72:$D$91)=0,0,'TO HOP NLAN'!F214*'TS-PILE'!$D$78/SUMSQ('TS-PILE'!$D$72:$D$91))),IF('TS-PILE'!$B$79="",-1E+99,'TO HOP NLAN'!D214/ncoc+IF(SUMSQ('TS-PILE'!$E$72:$E$91)=0,0,'TO HOP NLAN'!E214*'TS-PILE'!$E$79/SUMSQ('TS-PILE'!$E$72:$E$91))+IF(SUMSQ('TS-PILE'!$D$72:$D$91)=0,0,'TO HOP NLAN'!F214*'TS-PILE'!$D$79/SUMSQ('TS-PILE'!$D$72:$D$91))),IF('TS-PILE'!$B$80="",-1E+99,'TO HOP NLAN'!D214/ncoc+IF(SUMSQ('TS-PILE'!$E$72:$E$91)=0,0,'TO HOP NLAN'!E214*'TS-PILE'!$E$80/SUMSQ('TS-PILE'!$E$72:$E$91))+IF(SUMSQ('TS-PILE'!$D$72:$D$91)=0,0,'TO HOP NLAN'!F214*'TS-PILE'!$D$80/SUMSQ('TS-PILE'!$D$72:$D$91))),IF('TS-PILE'!$B$81="",-1E+99,'TO HOP NLAN'!D214/ncoc+IF(SUMSQ('TS-PILE'!$E$72:$E$91)=0,0,'TO HOP NLAN'!E214*'TS-PILE'!$E$81/SUMSQ('TS-PILE'!$E$72:$E$91))+IF(SUMSQ('TS-PILE'!$D$72:$D$91)=0,0,'TO HOP NLAN'!F214*'TS-PILE'!$D$81/SUMSQ('TS-PILE'!$D$72:$D$91))),IF('TS-PILE'!$B$82="",-1E+99,'TO HOP NLAN'!D214/ncoc+IF(SUMSQ('TS-PILE'!$E$72:$E$91)=0,0,'TO HOP NLAN'!E214*'TS-PILE'!$E$82/SUMSQ('TS-PILE'!$E$72:$E$91))+IF(SUMSQ('TS-PILE'!$D$72:$D$91)=0,0,'TO HOP NLAN'!F214*'TS-PILE'!$D$82/SUMSQ('TS-PILE'!$D$72:$D$91))),IF('TS-PILE'!$B$83="",-1E+99,'TO HOP NLAN'!D214/ncoc+IF(SUMSQ('TS-PILE'!$E$72:$E$91)=0,0,'TO HOP NLAN'!E214*'TS-PILE'!$E$83/SUMSQ('TS-PILE'!$E$72:$E$91))+IF(SUMSQ('TS-PILE'!$D$72:$D$91)=0,0,'TO HOP NLAN'!F214*'TS-PILE'!$D$83/SUMSQ('TS-PILE'!$D$72:$D$91))),IF('TS-PILE'!$B$84="",-1E+99,'TO HOP NLAN'!D214/ncoc+IF(SUMSQ('TS-PILE'!$E$72:$E$91)=0,0,'TO HOP NLAN'!E214*'TS-PILE'!$E$84/SUMSQ('TS-PILE'!$E$72:$E$91))+IF(SUMSQ('TS-PILE'!$D$72:$D$91)=0,0,'TO HOP NLAN'!F214*'TS-PILE'!$D$84/SUMSQ('TS-PILE'!$D$72:$D$91))),IF('TS-PILE'!$B$85="",-1E+99,'TO HOP NLAN'!D214/ncoc+IF(SUMSQ('TS-PILE'!$E$72:$E$91)=0,0,'TO HOP NLAN'!E214*'TS-PILE'!$E$85/SUMSQ('TS-PILE'!$E$72:$E$91))+IF(SUMSQ('TS-PILE'!$D$72:$D$91)=0,0,'TO HOP NLAN'!F214*'TS-PILE'!$D$85/SUMSQ('TS-PILE'!$D$72:$D$91))),IF('TS-PILE'!$B$86="",-1E+99,'TO HOP NLAN'!D214/ncoc+IF(SUMSQ('TS-PILE'!$E$72:$E$91)=0,0,'TO HOP NLAN'!E214*'TS-PILE'!$E$86/SUMSQ('TS-PILE'!$E$72:$E$91))+IF(SUMSQ('TS-PILE'!$D$72:$D$91)=0,0,'TO HOP NLAN'!F214*'TS-PILE'!$D$86/SUMSQ('TS-PILE'!$D$72:$D$91))),IF('TS-PILE'!$B$87="",-1E+99,'TO HOP NLAN'!D214/ncoc+IF(SUMSQ('TS-PILE'!$E$72:$E$91)=0,0,'TO HOP NLAN'!E214*'TS-PILE'!$E$87/SUMSQ('TS-PILE'!$E$72:$E$91))+IF(SUMSQ('TS-PILE'!$D$72:$D$91)=0,0,'TO HOP NLAN'!F214*'TS-PILE'!$D$87/SUMSQ('TS-PILE'!$D$72:$D$91))),IF('TS-PILE'!$B$88="",-1E+99,'TO HOP NLAN'!D214/ncoc+IF(SUMSQ('TS-PILE'!$E$72:$E$91)=0,0,'TO HOP NLAN'!E214*'TS-PILE'!$E$88/SUMSQ('TS-PILE'!$E$72:$E$91))+IF(SUMSQ('TS-PILE'!$D$72:$D$91)=0,0,'TO HOP NLAN'!F214*'TS-PILE'!$D$88/SUMSQ('TS-PILE'!$D$72:$D$91))),IF('TS-PILE'!$B$89="",-1E+99,'TO HOP NLAN'!D214/ncoc+IF(SUMSQ('TS-PILE'!$E$72:$E$91)=0,0,'TO HOP NLAN'!E214*'TS-PILE'!$E$89/SUMSQ('TS-PILE'!$E$72:$E$91))+IF(SUMSQ('TS-PILE'!$D$72:$D$91)=0,0,'TO HOP NLAN'!F214*'TS-PILE'!$D$89/SUMSQ('TS-PILE'!$D$72:$D$91))),IF('TS-PILE'!$B$90="",-1E+99,'TO HOP NLAN'!D214/ncoc+IF(SUMSQ('TS-PILE'!$E$72:$E$91)=0,0,'TO HOP NLAN'!E214*'TS-PILE'!$E$90/SUMSQ('TS-PILE'!$E$72:$E$91))+IF(SUMSQ('TS-PILE'!$D$72:$D$91)=0,0,'TO HOP NLAN'!F214*'TS-PILE'!$D$90/SUMSQ('TS-PILE'!$D$72:$D$91))),IF('TS-PILE'!$B$91="",-1E+99,'TO HOP NLAN'!D214/ncoc+IF(SUMSQ('TS-PILE'!$E$72:$E$91)=0,0,'TO HOP NLAN'!E214*'TS-PILE'!$E$91/SUMSQ('TS-PILE'!$E$72:$E$91))+IF(SUMSQ('TS-PILE'!$D$72:$D$91)=0,0,'TO HOP NLAN'!F214*'TS-PILE'!$D$91/SUMSQ('TS-PILE'!$D$72:$D$91)))))</f>
        <v>0</v>
      </c>
      <c r="D214" s="58">
        <f>IF(A214="",0,MIN(IF('TS-PILE'!$B$72="",1E+99,'TO HOP NLAN'!D214/ncoc+IF(SUMSQ('TS-PILE'!$E$72:$E$91)=0,0,'TO HOP NLAN'!E214*'TS-PILE'!$E$72/SUMSQ('TS-PILE'!$E$72:$E$91))+IF(SUMSQ('TS-PILE'!$D$72:$D$91)=0,0,'TO HOP NLAN'!F214*'TS-PILE'!$D$72/SUMSQ('TS-PILE'!$D$72:$D$91))),IF('TS-PILE'!$B$73="",1E+99,'TO HOP NLAN'!D214/ncoc+IF(SUMSQ('TS-PILE'!$E$72:$E$91)=0,0,'TO HOP NLAN'!E214*'TS-PILE'!$E$73/SUMSQ('TS-PILE'!$E$72:$E$91))+IF(SUMSQ('TS-PILE'!$D$72:$D$91)=0,0,'TO HOP NLAN'!F214*'TS-PILE'!$D$73/SUMSQ('TS-PILE'!$D$72:$D$91))),IF('TS-PILE'!$B$74="",1E+99,'TO HOP NLAN'!D214/ncoc+IF(SUMSQ('TS-PILE'!$E$72:$E$91)=0,0,'TO HOP NLAN'!E214*'TS-PILE'!$E$74/SUMSQ('TS-PILE'!$E$72:$E$91))+IF(SUMSQ('TS-PILE'!$D$72:$D$91)=0,0,'TO HOP NLAN'!F214*'TS-PILE'!$D$74/SUMSQ('TS-PILE'!$D$72:$D$91))),IF('TS-PILE'!$B$75="",1E+99,'TO HOP NLAN'!D214/ncoc+IF(SUMSQ('TS-PILE'!$E$72:$E$91)=0,0,'TO HOP NLAN'!E214*'TS-PILE'!$E$75/SUMSQ('TS-PILE'!$E$72:$E$91))+IF(SUMSQ('TS-PILE'!$D$72:$D$91)=0,0,'TO HOP NLAN'!F214*'TS-PILE'!$D$75/SUMSQ('TS-PILE'!$D$72:$D$91))),IF('TS-PILE'!$B$76="",1E+99,'TO HOP NLAN'!D214/ncoc+IF(SUMSQ('TS-PILE'!$E$72:$E$91)=0,0,'TO HOP NLAN'!E214*'TS-PILE'!$E$76/SUMSQ('TS-PILE'!$E$72:$E$91))+IF(SUMSQ('TS-PILE'!$D$72:$D$91)=0,0,'TO HOP NLAN'!F214*'TS-PILE'!$D$76/SUMSQ('TS-PILE'!$D$72:$D$91))),IF('TS-PILE'!$B$77="",1E+99,'TO HOP NLAN'!D214/ncoc+IF(SUMSQ('TS-PILE'!$E$72:$E$91)=0,0,'TO HOP NLAN'!E214*'TS-PILE'!$E$77/SUMSQ('TS-PILE'!$E$72:$E$91))+IF(SUMSQ('TS-PILE'!$D$72:$D$91)=0,0,'TO HOP NLAN'!F214*'TS-PILE'!$D$77/SUMSQ('TS-PILE'!$D$72:$D$91))),IF('TS-PILE'!$B$78="",1E+99,'TO HOP NLAN'!D214/ncoc+IF(SUMSQ('TS-PILE'!$E$72:$E$91)=0,0,'TO HOP NLAN'!E214*'TS-PILE'!$E$78/SUMSQ('TS-PILE'!$E$72:$E$91))+IF(SUMSQ('TS-PILE'!$D$72:$D$91)=0,0,'TO HOP NLAN'!F214*'TS-PILE'!$D$78/SUMSQ('TS-PILE'!$D$72:$D$91))),IF('TS-PILE'!$B$79="",1E+99,'TO HOP NLAN'!D214/ncoc+IF(SUMSQ('TS-PILE'!$E$72:$E$91)=0,0,'TO HOP NLAN'!E214*'TS-PILE'!$E$79/SUMSQ('TS-PILE'!$E$72:$E$91))+IF(SUMSQ('TS-PILE'!$D$72:$D$91)=0,0,'TO HOP NLAN'!F214*'TS-PILE'!$D$79/SUMSQ('TS-PILE'!$D$72:$D$91))),IF('TS-PILE'!$B$80="",1E+99,'TO HOP NLAN'!D214/ncoc+IF(SUMSQ('TS-PILE'!$E$72:$E$91)=0,0,'TO HOP NLAN'!E214*'TS-PILE'!$E$80/SUMSQ('TS-PILE'!$E$72:$E$91))+IF(SUMSQ('TS-PILE'!$D$72:$D$91)=0,0,'TO HOP NLAN'!F214*'TS-PILE'!$D$80/SUMSQ('TS-PILE'!$D$72:$D$91))),IF('TS-PILE'!$B$81="",1E+99,'TO HOP NLAN'!D214/ncoc+IF(SUMSQ('TS-PILE'!$E$72:$E$91)=0,0,'TO HOP NLAN'!E214*'TS-PILE'!$E$81/SUMSQ('TS-PILE'!$E$72:$E$91))+IF(SUMSQ('TS-PILE'!$D$72:$D$91)=0,0,'TO HOP NLAN'!F214*'TS-PILE'!$D$81/SUMSQ('TS-PILE'!$D$72:$D$91))),IF('TS-PILE'!$B$82="",1E+99,'TO HOP NLAN'!D214/ncoc+IF(SUMSQ('TS-PILE'!$E$72:$E$91)=0,0,'TO HOP NLAN'!E214*'TS-PILE'!$E$82/SUMSQ('TS-PILE'!$E$72:$E$91))+IF(SUMSQ('TS-PILE'!$D$72:$D$91)=0,0,'TO HOP NLAN'!F214*'TS-PILE'!$D$82/SUMSQ('TS-PILE'!$D$72:$D$91))),IF('TS-PILE'!$B$83="",1E+99,'TO HOP NLAN'!D214/ncoc+IF(SUMSQ('TS-PILE'!$E$72:$E$91)=0,0,'TO HOP NLAN'!E214*'TS-PILE'!$E$83/SUMSQ('TS-PILE'!$E$72:$E$91))+IF(SUMSQ('TS-PILE'!$D$72:$D$91)=0,0,'TO HOP NLAN'!F214*'TS-PILE'!$D$83/SUMSQ('TS-PILE'!$D$72:$D$91))),IF('TS-PILE'!$B$84="",1E+99,'TO HOP NLAN'!D214/ncoc+IF(SUMSQ('TS-PILE'!$E$72:$E$91)=0,0,'TO HOP NLAN'!E214*'TS-PILE'!$E$84/SUMSQ('TS-PILE'!$E$72:$E$91))+IF(SUMSQ('TS-PILE'!$D$72:$D$91)=0,0,'TO HOP NLAN'!F214*'TS-PILE'!$D$84/SUMSQ('TS-PILE'!$D$72:$D$91))),IF('TS-PILE'!$B$85="",1E+99,'TO HOP NLAN'!D214/ncoc+IF(SUMSQ('TS-PILE'!$E$72:$E$91)=0,0,'TO HOP NLAN'!E214*'TS-PILE'!$E$85/SUMSQ('TS-PILE'!$E$72:$E$91))+IF(SUMSQ('TS-PILE'!$D$72:$D$91)=0,0,'TO HOP NLAN'!F214*'TS-PILE'!$D$85/SUMSQ('TS-PILE'!$D$72:$D$91))),IF('TS-PILE'!$B$86="",1E+99,'TO HOP NLAN'!D214/ncoc+IF(SUMSQ('TS-PILE'!$E$72:$E$91)=0,0,'TO HOP NLAN'!E214*'TS-PILE'!$E$86/SUMSQ('TS-PILE'!$E$72:$E$91))+IF(SUMSQ('TS-PILE'!$D$72:$D$91)=0,0,'TO HOP NLAN'!F214*'TS-PILE'!$D$86/SUMSQ('TS-PILE'!$D$72:$D$91))),IF('TS-PILE'!$B$87="",1E+99,'TO HOP NLAN'!D214/ncoc+IF(SUMSQ('TS-PILE'!$E$72:$E$91)=0,0,'TO HOP NLAN'!E214*'TS-PILE'!$E$87/SUMSQ('TS-PILE'!$E$72:$E$91))+IF(SUMSQ('TS-PILE'!$D$72:$D$91)=0,0,'TO HOP NLAN'!F214*'TS-PILE'!$D$87/SUMSQ('TS-PILE'!$D$72:$D$91))),IF('TS-PILE'!$B$88="",1E+99,'TO HOP NLAN'!D214/ncoc+IF(SUMSQ('TS-PILE'!$E$72:$E$91)=0,0,'TO HOP NLAN'!E214*'TS-PILE'!$E$88/SUMSQ('TS-PILE'!$E$72:$E$91))+IF(SUMSQ('TS-PILE'!$D$72:$D$91)=0,0,'TO HOP NLAN'!F214*'TS-PILE'!$D$88/SUMSQ('TS-PILE'!$D$72:$D$91))),IF('TS-PILE'!$B$89="",1E+99,'TO HOP NLAN'!D214/ncoc+IF(SUMSQ('TS-PILE'!$E$72:$E$91)=0,0,'TO HOP NLAN'!E214*'TS-PILE'!$E$89/SUMSQ('TS-PILE'!$E$72:$E$91))+IF(SUMSQ('TS-PILE'!$D$72:$D$91)=0,0,'TO HOP NLAN'!F214*'TS-PILE'!$D$89/SUMSQ('TS-PILE'!$D$72:$D$91))),IF('TS-PILE'!$B$90="",1E+99,'TO HOP NLAN'!D214/ncoc+IF(SUMSQ('TS-PILE'!$E$72:$E$91)=0,0,'TO HOP NLAN'!E214*'TS-PILE'!$E$90/SUMSQ('TS-PILE'!$E$72:$E$91))+IF(SUMSQ('TS-PILE'!$D$72:$D$91)=0,0,'TO HOP NLAN'!F214*'TS-PILE'!$D$90/SUMSQ('TS-PILE'!$D$72:$D$91))),IF('TS-PILE'!$B$91="",1E+99,'TO HOP NLAN'!D214/ncoc+IF(SUMSQ('TS-PILE'!$E$72:$E$91)=0,0,'TO HOP NLAN'!E214*'TS-PILE'!$E$91/SUMSQ('TS-PILE'!$E$72:$E$91))+IF(SUMSQ('TS-PILE'!$D$72:$D$91)=0,0,'TO HOP NLAN'!F214*'TS-PILE'!$D$91/SUMSQ('TS-PILE'!$D$72:$D$91)))))</f>
        <v>0</v>
      </c>
      <c r="E214" s="58">
        <f t="shared" si="12"/>
        <v>-9.9999999999999997E+98</v>
      </c>
      <c r="F214" s="58">
        <f t="shared" si="13"/>
        <v>9.9999999999999997E+98</v>
      </c>
      <c r="G214" s="58">
        <f t="shared" si="14"/>
        <v>-9.9999999999999997E+98</v>
      </c>
      <c r="H214" s="58">
        <f t="shared" si="15"/>
        <v>9.9999999999999997E+98</v>
      </c>
    </row>
    <row r="215" spans="1:8" x14ac:dyDescent="0.3">
      <c r="A215" s="42" t="str">
        <f>'TO HOP NLAN'!A215</f>
        <v/>
      </c>
      <c r="B215" s="42" t="str">
        <f>'TO HOP NLAN'!L215</f>
        <v>STRENGTH</v>
      </c>
      <c r="C215" s="58">
        <f>IF(A215="",0,MAX(IF('TS-PILE'!$B$72="",-1E+99,'TO HOP NLAN'!D215/ncoc+IF(SUMSQ('TS-PILE'!$E$72:$E$91)=0,0,'TO HOP NLAN'!E215*'TS-PILE'!$E$72/SUMSQ('TS-PILE'!$E$72:$E$91))+IF(SUMSQ('TS-PILE'!$D$72:$D$91)=0,0,'TO HOP NLAN'!F215*'TS-PILE'!$D$72/SUMSQ('TS-PILE'!$D$72:$D$91))),IF('TS-PILE'!$B$73="",-1E+99,'TO HOP NLAN'!D215/ncoc+IF(SUMSQ('TS-PILE'!$E$72:$E$91)=0,0,'TO HOP NLAN'!E215*'TS-PILE'!$E$73/SUMSQ('TS-PILE'!$E$72:$E$91))+IF(SUMSQ('TS-PILE'!$D$72:$D$91)=0,0,'TO HOP NLAN'!F215*'TS-PILE'!$D$73/SUMSQ('TS-PILE'!$D$72:$D$91))),IF('TS-PILE'!$B$74="",-1E+99,'TO HOP NLAN'!D215/ncoc+IF(SUMSQ('TS-PILE'!$E$72:$E$91)=0,0,'TO HOP NLAN'!E215*'TS-PILE'!$E$74/SUMSQ('TS-PILE'!$E$72:$E$91))+IF(SUMSQ('TS-PILE'!$D$72:$D$91)=0,0,'TO HOP NLAN'!F215*'TS-PILE'!$D$74/SUMSQ('TS-PILE'!$D$72:$D$91))),IF('TS-PILE'!$B$75="",-1E+99,'TO HOP NLAN'!D215/ncoc+IF(SUMSQ('TS-PILE'!$E$72:$E$91)=0,0,'TO HOP NLAN'!E215*'TS-PILE'!$E$75/SUMSQ('TS-PILE'!$E$72:$E$91))+IF(SUMSQ('TS-PILE'!$D$72:$D$91)=0,0,'TO HOP NLAN'!F215*'TS-PILE'!$D$75/SUMSQ('TS-PILE'!$D$72:$D$91))),IF('TS-PILE'!$B$76="",-1E+99,'TO HOP NLAN'!D215/ncoc+IF(SUMSQ('TS-PILE'!$E$72:$E$91)=0,0,'TO HOP NLAN'!E215*'TS-PILE'!$E$76/SUMSQ('TS-PILE'!$E$72:$E$91))+IF(SUMSQ('TS-PILE'!$D$72:$D$91)=0,0,'TO HOP NLAN'!F215*'TS-PILE'!$D$76/SUMSQ('TS-PILE'!$D$72:$D$91))),IF('TS-PILE'!$B$77="",-1E+99,'TO HOP NLAN'!D215/ncoc+IF(SUMSQ('TS-PILE'!$E$72:$E$91)=0,0,'TO HOP NLAN'!E215*'TS-PILE'!$E$77/SUMSQ('TS-PILE'!$E$72:$E$91))+IF(SUMSQ('TS-PILE'!$D$72:$D$91)=0,0,'TO HOP NLAN'!F215*'TS-PILE'!$D$77/SUMSQ('TS-PILE'!$D$72:$D$91))),IF('TS-PILE'!$B$78="",-1E+99,'TO HOP NLAN'!D215/ncoc+IF(SUMSQ('TS-PILE'!$E$72:$E$91)=0,0,'TO HOP NLAN'!E215*'TS-PILE'!$E$78/SUMSQ('TS-PILE'!$E$72:$E$91))+IF(SUMSQ('TS-PILE'!$D$72:$D$91)=0,0,'TO HOP NLAN'!F215*'TS-PILE'!$D$78/SUMSQ('TS-PILE'!$D$72:$D$91))),IF('TS-PILE'!$B$79="",-1E+99,'TO HOP NLAN'!D215/ncoc+IF(SUMSQ('TS-PILE'!$E$72:$E$91)=0,0,'TO HOP NLAN'!E215*'TS-PILE'!$E$79/SUMSQ('TS-PILE'!$E$72:$E$91))+IF(SUMSQ('TS-PILE'!$D$72:$D$91)=0,0,'TO HOP NLAN'!F215*'TS-PILE'!$D$79/SUMSQ('TS-PILE'!$D$72:$D$91))),IF('TS-PILE'!$B$80="",-1E+99,'TO HOP NLAN'!D215/ncoc+IF(SUMSQ('TS-PILE'!$E$72:$E$91)=0,0,'TO HOP NLAN'!E215*'TS-PILE'!$E$80/SUMSQ('TS-PILE'!$E$72:$E$91))+IF(SUMSQ('TS-PILE'!$D$72:$D$91)=0,0,'TO HOP NLAN'!F215*'TS-PILE'!$D$80/SUMSQ('TS-PILE'!$D$72:$D$91))),IF('TS-PILE'!$B$81="",-1E+99,'TO HOP NLAN'!D215/ncoc+IF(SUMSQ('TS-PILE'!$E$72:$E$91)=0,0,'TO HOP NLAN'!E215*'TS-PILE'!$E$81/SUMSQ('TS-PILE'!$E$72:$E$91))+IF(SUMSQ('TS-PILE'!$D$72:$D$91)=0,0,'TO HOP NLAN'!F215*'TS-PILE'!$D$81/SUMSQ('TS-PILE'!$D$72:$D$91))),IF('TS-PILE'!$B$82="",-1E+99,'TO HOP NLAN'!D215/ncoc+IF(SUMSQ('TS-PILE'!$E$72:$E$91)=0,0,'TO HOP NLAN'!E215*'TS-PILE'!$E$82/SUMSQ('TS-PILE'!$E$72:$E$91))+IF(SUMSQ('TS-PILE'!$D$72:$D$91)=0,0,'TO HOP NLAN'!F215*'TS-PILE'!$D$82/SUMSQ('TS-PILE'!$D$72:$D$91))),IF('TS-PILE'!$B$83="",-1E+99,'TO HOP NLAN'!D215/ncoc+IF(SUMSQ('TS-PILE'!$E$72:$E$91)=0,0,'TO HOP NLAN'!E215*'TS-PILE'!$E$83/SUMSQ('TS-PILE'!$E$72:$E$91))+IF(SUMSQ('TS-PILE'!$D$72:$D$91)=0,0,'TO HOP NLAN'!F215*'TS-PILE'!$D$83/SUMSQ('TS-PILE'!$D$72:$D$91))),IF('TS-PILE'!$B$84="",-1E+99,'TO HOP NLAN'!D215/ncoc+IF(SUMSQ('TS-PILE'!$E$72:$E$91)=0,0,'TO HOP NLAN'!E215*'TS-PILE'!$E$84/SUMSQ('TS-PILE'!$E$72:$E$91))+IF(SUMSQ('TS-PILE'!$D$72:$D$91)=0,0,'TO HOP NLAN'!F215*'TS-PILE'!$D$84/SUMSQ('TS-PILE'!$D$72:$D$91))),IF('TS-PILE'!$B$85="",-1E+99,'TO HOP NLAN'!D215/ncoc+IF(SUMSQ('TS-PILE'!$E$72:$E$91)=0,0,'TO HOP NLAN'!E215*'TS-PILE'!$E$85/SUMSQ('TS-PILE'!$E$72:$E$91))+IF(SUMSQ('TS-PILE'!$D$72:$D$91)=0,0,'TO HOP NLAN'!F215*'TS-PILE'!$D$85/SUMSQ('TS-PILE'!$D$72:$D$91))),IF('TS-PILE'!$B$86="",-1E+99,'TO HOP NLAN'!D215/ncoc+IF(SUMSQ('TS-PILE'!$E$72:$E$91)=0,0,'TO HOP NLAN'!E215*'TS-PILE'!$E$86/SUMSQ('TS-PILE'!$E$72:$E$91))+IF(SUMSQ('TS-PILE'!$D$72:$D$91)=0,0,'TO HOP NLAN'!F215*'TS-PILE'!$D$86/SUMSQ('TS-PILE'!$D$72:$D$91))),IF('TS-PILE'!$B$87="",-1E+99,'TO HOP NLAN'!D215/ncoc+IF(SUMSQ('TS-PILE'!$E$72:$E$91)=0,0,'TO HOP NLAN'!E215*'TS-PILE'!$E$87/SUMSQ('TS-PILE'!$E$72:$E$91))+IF(SUMSQ('TS-PILE'!$D$72:$D$91)=0,0,'TO HOP NLAN'!F215*'TS-PILE'!$D$87/SUMSQ('TS-PILE'!$D$72:$D$91))),IF('TS-PILE'!$B$88="",-1E+99,'TO HOP NLAN'!D215/ncoc+IF(SUMSQ('TS-PILE'!$E$72:$E$91)=0,0,'TO HOP NLAN'!E215*'TS-PILE'!$E$88/SUMSQ('TS-PILE'!$E$72:$E$91))+IF(SUMSQ('TS-PILE'!$D$72:$D$91)=0,0,'TO HOP NLAN'!F215*'TS-PILE'!$D$88/SUMSQ('TS-PILE'!$D$72:$D$91))),IF('TS-PILE'!$B$89="",-1E+99,'TO HOP NLAN'!D215/ncoc+IF(SUMSQ('TS-PILE'!$E$72:$E$91)=0,0,'TO HOP NLAN'!E215*'TS-PILE'!$E$89/SUMSQ('TS-PILE'!$E$72:$E$91))+IF(SUMSQ('TS-PILE'!$D$72:$D$91)=0,0,'TO HOP NLAN'!F215*'TS-PILE'!$D$89/SUMSQ('TS-PILE'!$D$72:$D$91))),IF('TS-PILE'!$B$90="",-1E+99,'TO HOP NLAN'!D215/ncoc+IF(SUMSQ('TS-PILE'!$E$72:$E$91)=0,0,'TO HOP NLAN'!E215*'TS-PILE'!$E$90/SUMSQ('TS-PILE'!$E$72:$E$91))+IF(SUMSQ('TS-PILE'!$D$72:$D$91)=0,0,'TO HOP NLAN'!F215*'TS-PILE'!$D$90/SUMSQ('TS-PILE'!$D$72:$D$91))),IF('TS-PILE'!$B$91="",-1E+99,'TO HOP NLAN'!D215/ncoc+IF(SUMSQ('TS-PILE'!$E$72:$E$91)=0,0,'TO HOP NLAN'!E215*'TS-PILE'!$E$91/SUMSQ('TS-PILE'!$E$72:$E$91))+IF(SUMSQ('TS-PILE'!$D$72:$D$91)=0,0,'TO HOP NLAN'!F215*'TS-PILE'!$D$91/SUMSQ('TS-PILE'!$D$72:$D$91)))))</f>
        <v>0</v>
      </c>
      <c r="D215" s="58">
        <f>IF(A215="",0,MIN(IF('TS-PILE'!$B$72="",1E+99,'TO HOP NLAN'!D215/ncoc+IF(SUMSQ('TS-PILE'!$E$72:$E$91)=0,0,'TO HOP NLAN'!E215*'TS-PILE'!$E$72/SUMSQ('TS-PILE'!$E$72:$E$91))+IF(SUMSQ('TS-PILE'!$D$72:$D$91)=0,0,'TO HOP NLAN'!F215*'TS-PILE'!$D$72/SUMSQ('TS-PILE'!$D$72:$D$91))),IF('TS-PILE'!$B$73="",1E+99,'TO HOP NLAN'!D215/ncoc+IF(SUMSQ('TS-PILE'!$E$72:$E$91)=0,0,'TO HOP NLAN'!E215*'TS-PILE'!$E$73/SUMSQ('TS-PILE'!$E$72:$E$91))+IF(SUMSQ('TS-PILE'!$D$72:$D$91)=0,0,'TO HOP NLAN'!F215*'TS-PILE'!$D$73/SUMSQ('TS-PILE'!$D$72:$D$91))),IF('TS-PILE'!$B$74="",1E+99,'TO HOP NLAN'!D215/ncoc+IF(SUMSQ('TS-PILE'!$E$72:$E$91)=0,0,'TO HOP NLAN'!E215*'TS-PILE'!$E$74/SUMSQ('TS-PILE'!$E$72:$E$91))+IF(SUMSQ('TS-PILE'!$D$72:$D$91)=0,0,'TO HOP NLAN'!F215*'TS-PILE'!$D$74/SUMSQ('TS-PILE'!$D$72:$D$91))),IF('TS-PILE'!$B$75="",1E+99,'TO HOP NLAN'!D215/ncoc+IF(SUMSQ('TS-PILE'!$E$72:$E$91)=0,0,'TO HOP NLAN'!E215*'TS-PILE'!$E$75/SUMSQ('TS-PILE'!$E$72:$E$91))+IF(SUMSQ('TS-PILE'!$D$72:$D$91)=0,0,'TO HOP NLAN'!F215*'TS-PILE'!$D$75/SUMSQ('TS-PILE'!$D$72:$D$91))),IF('TS-PILE'!$B$76="",1E+99,'TO HOP NLAN'!D215/ncoc+IF(SUMSQ('TS-PILE'!$E$72:$E$91)=0,0,'TO HOP NLAN'!E215*'TS-PILE'!$E$76/SUMSQ('TS-PILE'!$E$72:$E$91))+IF(SUMSQ('TS-PILE'!$D$72:$D$91)=0,0,'TO HOP NLAN'!F215*'TS-PILE'!$D$76/SUMSQ('TS-PILE'!$D$72:$D$91))),IF('TS-PILE'!$B$77="",1E+99,'TO HOP NLAN'!D215/ncoc+IF(SUMSQ('TS-PILE'!$E$72:$E$91)=0,0,'TO HOP NLAN'!E215*'TS-PILE'!$E$77/SUMSQ('TS-PILE'!$E$72:$E$91))+IF(SUMSQ('TS-PILE'!$D$72:$D$91)=0,0,'TO HOP NLAN'!F215*'TS-PILE'!$D$77/SUMSQ('TS-PILE'!$D$72:$D$91))),IF('TS-PILE'!$B$78="",1E+99,'TO HOP NLAN'!D215/ncoc+IF(SUMSQ('TS-PILE'!$E$72:$E$91)=0,0,'TO HOP NLAN'!E215*'TS-PILE'!$E$78/SUMSQ('TS-PILE'!$E$72:$E$91))+IF(SUMSQ('TS-PILE'!$D$72:$D$91)=0,0,'TO HOP NLAN'!F215*'TS-PILE'!$D$78/SUMSQ('TS-PILE'!$D$72:$D$91))),IF('TS-PILE'!$B$79="",1E+99,'TO HOP NLAN'!D215/ncoc+IF(SUMSQ('TS-PILE'!$E$72:$E$91)=0,0,'TO HOP NLAN'!E215*'TS-PILE'!$E$79/SUMSQ('TS-PILE'!$E$72:$E$91))+IF(SUMSQ('TS-PILE'!$D$72:$D$91)=0,0,'TO HOP NLAN'!F215*'TS-PILE'!$D$79/SUMSQ('TS-PILE'!$D$72:$D$91))),IF('TS-PILE'!$B$80="",1E+99,'TO HOP NLAN'!D215/ncoc+IF(SUMSQ('TS-PILE'!$E$72:$E$91)=0,0,'TO HOP NLAN'!E215*'TS-PILE'!$E$80/SUMSQ('TS-PILE'!$E$72:$E$91))+IF(SUMSQ('TS-PILE'!$D$72:$D$91)=0,0,'TO HOP NLAN'!F215*'TS-PILE'!$D$80/SUMSQ('TS-PILE'!$D$72:$D$91))),IF('TS-PILE'!$B$81="",1E+99,'TO HOP NLAN'!D215/ncoc+IF(SUMSQ('TS-PILE'!$E$72:$E$91)=0,0,'TO HOP NLAN'!E215*'TS-PILE'!$E$81/SUMSQ('TS-PILE'!$E$72:$E$91))+IF(SUMSQ('TS-PILE'!$D$72:$D$91)=0,0,'TO HOP NLAN'!F215*'TS-PILE'!$D$81/SUMSQ('TS-PILE'!$D$72:$D$91))),IF('TS-PILE'!$B$82="",1E+99,'TO HOP NLAN'!D215/ncoc+IF(SUMSQ('TS-PILE'!$E$72:$E$91)=0,0,'TO HOP NLAN'!E215*'TS-PILE'!$E$82/SUMSQ('TS-PILE'!$E$72:$E$91))+IF(SUMSQ('TS-PILE'!$D$72:$D$91)=0,0,'TO HOP NLAN'!F215*'TS-PILE'!$D$82/SUMSQ('TS-PILE'!$D$72:$D$91))),IF('TS-PILE'!$B$83="",1E+99,'TO HOP NLAN'!D215/ncoc+IF(SUMSQ('TS-PILE'!$E$72:$E$91)=0,0,'TO HOP NLAN'!E215*'TS-PILE'!$E$83/SUMSQ('TS-PILE'!$E$72:$E$91))+IF(SUMSQ('TS-PILE'!$D$72:$D$91)=0,0,'TO HOP NLAN'!F215*'TS-PILE'!$D$83/SUMSQ('TS-PILE'!$D$72:$D$91))),IF('TS-PILE'!$B$84="",1E+99,'TO HOP NLAN'!D215/ncoc+IF(SUMSQ('TS-PILE'!$E$72:$E$91)=0,0,'TO HOP NLAN'!E215*'TS-PILE'!$E$84/SUMSQ('TS-PILE'!$E$72:$E$91))+IF(SUMSQ('TS-PILE'!$D$72:$D$91)=0,0,'TO HOP NLAN'!F215*'TS-PILE'!$D$84/SUMSQ('TS-PILE'!$D$72:$D$91))),IF('TS-PILE'!$B$85="",1E+99,'TO HOP NLAN'!D215/ncoc+IF(SUMSQ('TS-PILE'!$E$72:$E$91)=0,0,'TO HOP NLAN'!E215*'TS-PILE'!$E$85/SUMSQ('TS-PILE'!$E$72:$E$91))+IF(SUMSQ('TS-PILE'!$D$72:$D$91)=0,0,'TO HOP NLAN'!F215*'TS-PILE'!$D$85/SUMSQ('TS-PILE'!$D$72:$D$91))),IF('TS-PILE'!$B$86="",1E+99,'TO HOP NLAN'!D215/ncoc+IF(SUMSQ('TS-PILE'!$E$72:$E$91)=0,0,'TO HOP NLAN'!E215*'TS-PILE'!$E$86/SUMSQ('TS-PILE'!$E$72:$E$91))+IF(SUMSQ('TS-PILE'!$D$72:$D$91)=0,0,'TO HOP NLAN'!F215*'TS-PILE'!$D$86/SUMSQ('TS-PILE'!$D$72:$D$91))),IF('TS-PILE'!$B$87="",1E+99,'TO HOP NLAN'!D215/ncoc+IF(SUMSQ('TS-PILE'!$E$72:$E$91)=0,0,'TO HOP NLAN'!E215*'TS-PILE'!$E$87/SUMSQ('TS-PILE'!$E$72:$E$91))+IF(SUMSQ('TS-PILE'!$D$72:$D$91)=0,0,'TO HOP NLAN'!F215*'TS-PILE'!$D$87/SUMSQ('TS-PILE'!$D$72:$D$91))),IF('TS-PILE'!$B$88="",1E+99,'TO HOP NLAN'!D215/ncoc+IF(SUMSQ('TS-PILE'!$E$72:$E$91)=0,0,'TO HOP NLAN'!E215*'TS-PILE'!$E$88/SUMSQ('TS-PILE'!$E$72:$E$91))+IF(SUMSQ('TS-PILE'!$D$72:$D$91)=0,0,'TO HOP NLAN'!F215*'TS-PILE'!$D$88/SUMSQ('TS-PILE'!$D$72:$D$91))),IF('TS-PILE'!$B$89="",1E+99,'TO HOP NLAN'!D215/ncoc+IF(SUMSQ('TS-PILE'!$E$72:$E$91)=0,0,'TO HOP NLAN'!E215*'TS-PILE'!$E$89/SUMSQ('TS-PILE'!$E$72:$E$91))+IF(SUMSQ('TS-PILE'!$D$72:$D$91)=0,0,'TO HOP NLAN'!F215*'TS-PILE'!$D$89/SUMSQ('TS-PILE'!$D$72:$D$91))),IF('TS-PILE'!$B$90="",1E+99,'TO HOP NLAN'!D215/ncoc+IF(SUMSQ('TS-PILE'!$E$72:$E$91)=0,0,'TO HOP NLAN'!E215*'TS-PILE'!$E$90/SUMSQ('TS-PILE'!$E$72:$E$91))+IF(SUMSQ('TS-PILE'!$D$72:$D$91)=0,0,'TO HOP NLAN'!F215*'TS-PILE'!$D$90/SUMSQ('TS-PILE'!$D$72:$D$91))),IF('TS-PILE'!$B$91="",1E+99,'TO HOP NLAN'!D215/ncoc+IF(SUMSQ('TS-PILE'!$E$72:$E$91)=0,0,'TO HOP NLAN'!E215*'TS-PILE'!$E$91/SUMSQ('TS-PILE'!$E$72:$E$91))+IF(SUMSQ('TS-PILE'!$D$72:$D$91)=0,0,'TO HOP NLAN'!F215*'TS-PILE'!$D$91/SUMSQ('TS-PILE'!$D$72:$D$91)))))</f>
        <v>0</v>
      </c>
      <c r="E215" s="58">
        <f t="shared" si="12"/>
        <v>-9.9999999999999997E+98</v>
      </c>
      <c r="F215" s="58">
        <f t="shared" si="13"/>
        <v>9.9999999999999997E+98</v>
      </c>
      <c r="G215" s="58">
        <f t="shared" si="14"/>
        <v>-9.9999999999999997E+98</v>
      </c>
      <c r="H215" s="58">
        <f t="shared" si="15"/>
        <v>9.9999999999999997E+98</v>
      </c>
    </row>
    <row r="216" spans="1:8" x14ac:dyDescent="0.3">
      <c r="A216" s="42" t="str">
        <f>'TO HOP NLAN'!A216</f>
        <v/>
      </c>
      <c r="B216" s="42" t="str">
        <f>'TO HOP NLAN'!L216</f>
        <v>STRENGTH</v>
      </c>
      <c r="C216" s="58">
        <f>IF(A216="",0,MAX(IF('TS-PILE'!$B$72="",-1E+99,'TO HOP NLAN'!D216/ncoc+IF(SUMSQ('TS-PILE'!$E$72:$E$91)=0,0,'TO HOP NLAN'!E216*'TS-PILE'!$E$72/SUMSQ('TS-PILE'!$E$72:$E$91))+IF(SUMSQ('TS-PILE'!$D$72:$D$91)=0,0,'TO HOP NLAN'!F216*'TS-PILE'!$D$72/SUMSQ('TS-PILE'!$D$72:$D$91))),IF('TS-PILE'!$B$73="",-1E+99,'TO HOP NLAN'!D216/ncoc+IF(SUMSQ('TS-PILE'!$E$72:$E$91)=0,0,'TO HOP NLAN'!E216*'TS-PILE'!$E$73/SUMSQ('TS-PILE'!$E$72:$E$91))+IF(SUMSQ('TS-PILE'!$D$72:$D$91)=0,0,'TO HOP NLAN'!F216*'TS-PILE'!$D$73/SUMSQ('TS-PILE'!$D$72:$D$91))),IF('TS-PILE'!$B$74="",-1E+99,'TO HOP NLAN'!D216/ncoc+IF(SUMSQ('TS-PILE'!$E$72:$E$91)=0,0,'TO HOP NLAN'!E216*'TS-PILE'!$E$74/SUMSQ('TS-PILE'!$E$72:$E$91))+IF(SUMSQ('TS-PILE'!$D$72:$D$91)=0,0,'TO HOP NLAN'!F216*'TS-PILE'!$D$74/SUMSQ('TS-PILE'!$D$72:$D$91))),IF('TS-PILE'!$B$75="",-1E+99,'TO HOP NLAN'!D216/ncoc+IF(SUMSQ('TS-PILE'!$E$72:$E$91)=0,0,'TO HOP NLAN'!E216*'TS-PILE'!$E$75/SUMSQ('TS-PILE'!$E$72:$E$91))+IF(SUMSQ('TS-PILE'!$D$72:$D$91)=0,0,'TO HOP NLAN'!F216*'TS-PILE'!$D$75/SUMSQ('TS-PILE'!$D$72:$D$91))),IF('TS-PILE'!$B$76="",-1E+99,'TO HOP NLAN'!D216/ncoc+IF(SUMSQ('TS-PILE'!$E$72:$E$91)=0,0,'TO HOP NLAN'!E216*'TS-PILE'!$E$76/SUMSQ('TS-PILE'!$E$72:$E$91))+IF(SUMSQ('TS-PILE'!$D$72:$D$91)=0,0,'TO HOP NLAN'!F216*'TS-PILE'!$D$76/SUMSQ('TS-PILE'!$D$72:$D$91))),IF('TS-PILE'!$B$77="",-1E+99,'TO HOP NLAN'!D216/ncoc+IF(SUMSQ('TS-PILE'!$E$72:$E$91)=0,0,'TO HOP NLAN'!E216*'TS-PILE'!$E$77/SUMSQ('TS-PILE'!$E$72:$E$91))+IF(SUMSQ('TS-PILE'!$D$72:$D$91)=0,0,'TO HOP NLAN'!F216*'TS-PILE'!$D$77/SUMSQ('TS-PILE'!$D$72:$D$91))),IF('TS-PILE'!$B$78="",-1E+99,'TO HOP NLAN'!D216/ncoc+IF(SUMSQ('TS-PILE'!$E$72:$E$91)=0,0,'TO HOP NLAN'!E216*'TS-PILE'!$E$78/SUMSQ('TS-PILE'!$E$72:$E$91))+IF(SUMSQ('TS-PILE'!$D$72:$D$91)=0,0,'TO HOP NLAN'!F216*'TS-PILE'!$D$78/SUMSQ('TS-PILE'!$D$72:$D$91))),IF('TS-PILE'!$B$79="",-1E+99,'TO HOP NLAN'!D216/ncoc+IF(SUMSQ('TS-PILE'!$E$72:$E$91)=0,0,'TO HOP NLAN'!E216*'TS-PILE'!$E$79/SUMSQ('TS-PILE'!$E$72:$E$91))+IF(SUMSQ('TS-PILE'!$D$72:$D$91)=0,0,'TO HOP NLAN'!F216*'TS-PILE'!$D$79/SUMSQ('TS-PILE'!$D$72:$D$91))),IF('TS-PILE'!$B$80="",-1E+99,'TO HOP NLAN'!D216/ncoc+IF(SUMSQ('TS-PILE'!$E$72:$E$91)=0,0,'TO HOP NLAN'!E216*'TS-PILE'!$E$80/SUMSQ('TS-PILE'!$E$72:$E$91))+IF(SUMSQ('TS-PILE'!$D$72:$D$91)=0,0,'TO HOP NLAN'!F216*'TS-PILE'!$D$80/SUMSQ('TS-PILE'!$D$72:$D$91))),IF('TS-PILE'!$B$81="",-1E+99,'TO HOP NLAN'!D216/ncoc+IF(SUMSQ('TS-PILE'!$E$72:$E$91)=0,0,'TO HOP NLAN'!E216*'TS-PILE'!$E$81/SUMSQ('TS-PILE'!$E$72:$E$91))+IF(SUMSQ('TS-PILE'!$D$72:$D$91)=0,0,'TO HOP NLAN'!F216*'TS-PILE'!$D$81/SUMSQ('TS-PILE'!$D$72:$D$91))),IF('TS-PILE'!$B$82="",-1E+99,'TO HOP NLAN'!D216/ncoc+IF(SUMSQ('TS-PILE'!$E$72:$E$91)=0,0,'TO HOP NLAN'!E216*'TS-PILE'!$E$82/SUMSQ('TS-PILE'!$E$72:$E$91))+IF(SUMSQ('TS-PILE'!$D$72:$D$91)=0,0,'TO HOP NLAN'!F216*'TS-PILE'!$D$82/SUMSQ('TS-PILE'!$D$72:$D$91))),IF('TS-PILE'!$B$83="",-1E+99,'TO HOP NLAN'!D216/ncoc+IF(SUMSQ('TS-PILE'!$E$72:$E$91)=0,0,'TO HOP NLAN'!E216*'TS-PILE'!$E$83/SUMSQ('TS-PILE'!$E$72:$E$91))+IF(SUMSQ('TS-PILE'!$D$72:$D$91)=0,0,'TO HOP NLAN'!F216*'TS-PILE'!$D$83/SUMSQ('TS-PILE'!$D$72:$D$91))),IF('TS-PILE'!$B$84="",-1E+99,'TO HOP NLAN'!D216/ncoc+IF(SUMSQ('TS-PILE'!$E$72:$E$91)=0,0,'TO HOP NLAN'!E216*'TS-PILE'!$E$84/SUMSQ('TS-PILE'!$E$72:$E$91))+IF(SUMSQ('TS-PILE'!$D$72:$D$91)=0,0,'TO HOP NLAN'!F216*'TS-PILE'!$D$84/SUMSQ('TS-PILE'!$D$72:$D$91))),IF('TS-PILE'!$B$85="",-1E+99,'TO HOP NLAN'!D216/ncoc+IF(SUMSQ('TS-PILE'!$E$72:$E$91)=0,0,'TO HOP NLAN'!E216*'TS-PILE'!$E$85/SUMSQ('TS-PILE'!$E$72:$E$91))+IF(SUMSQ('TS-PILE'!$D$72:$D$91)=0,0,'TO HOP NLAN'!F216*'TS-PILE'!$D$85/SUMSQ('TS-PILE'!$D$72:$D$91))),IF('TS-PILE'!$B$86="",-1E+99,'TO HOP NLAN'!D216/ncoc+IF(SUMSQ('TS-PILE'!$E$72:$E$91)=0,0,'TO HOP NLAN'!E216*'TS-PILE'!$E$86/SUMSQ('TS-PILE'!$E$72:$E$91))+IF(SUMSQ('TS-PILE'!$D$72:$D$91)=0,0,'TO HOP NLAN'!F216*'TS-PILE'!$D$86/SUMSQ('TS-PILE'!$D$72:$D$91))),IF('TS-PILE'!$B$87="",-1E+99,'TO HOP NLAN'!D216/ncoc+IF(SUMSQ('TS-PILE'!$E$72:$E$91)=0,0,'TO HOP NLAN'!E216*'TS-PILE'!$E$87/SUMSQ('TS-PILE'!$E$72:$E$91))+IF(SUMSQ('TS-PILE'!$D$72:$D$91)=0,0,'TO HOP NLAN'!F216*'TS-PILE'!$D$87/SUMSQ('TS-PILE'!$D$72:$D$91))),IF('TS-PILE'!$B$88="",-1E+99,'TO HOP NLAN'!D216/ncoc+IF(SUMSQ('TS-PILE'!$E$72:$E$91)=0,0,'TO HOP NLAN'!E216*'TS-PILE'!$E$88/SUMSQ('TS-PILE'!$E$72:$E$91))+IF(SUMSQ('TS-PILE'!$D$72:$D$91)=0,0,'TO HOP NLAN'!F216*'TS-PILE'!$D$88/SUMSQ('TS-PILE'!$D$72:$D$91))),IF('TS-PILE'!$B$89="",-1E+99,'TO HOP NLAN'!D216/ncoc+IF(SUMSQ('TS-PILE'!$E$72:$E$91)=0,0,'TO HOP NLAN'!E216*'TS-PILE'!$E$89/SUMSQ('TS-PILE'!$E$72:$E$91))+IF(SUMSQ('TS-PILE'!$D$72:$D$91)=0,0,'TO HOP NLAN'!F216*'TS-PILE'!$D$89/SUMSQ('TS-PILE'!$D$72:$D$91))),IF('TS-PILE'!$B$90="",-1E+99,'TO HOP NLAN'!D216/ncoc+IF(SUMSQ('TS-PILE'!$E$72:$E$91)=0,0,'TO HOP NLAN'!E216*'TS-PILE'!$E$90/SUMSQ('TS-PILE'!$E$72:$E$91))+IF(SUMSQ('TS-PILE'!$D$72:$D$91)=0,0,'TO HOP NLAN'!F216*'TS-PILE'!$D$90/SUMSQ('TS-PILE'!$D$72:$D$91))),IF('TS-PILE'!$B$91="",-1E+99,'TO HOP NLAN'!D216/ncoc+IF(SUMSQ('TS-PILE'!$E$72:$E$91)=0,0,'TO HOP NLAN'!E216*'TS-PILE'!$E$91/SUMSQ('TS-PILE'!$E$72:$E$91))+IF(SUMSQ('TS-PILE'!$D$72:$D$91)=0,0,'TO HOP NLAN'!F216*'TS-PILE'!$D$91/SUMSQ('TS-PILE'!$D$72:$D$91)))))</f>
        <v>0</v>
      </c>
      <c r="D216" s="58">
        <f>IF(A216="",0,MIN(IF('TS-PILE'!$B$72="",1E+99,'TO HOP NLAN'!D216/ncoc+IF(SUMSQ('TS-PILE'!$E$72:$E$91)=0,0,'TO HOP NLAN'!E216*'TS-PILE'!$E$72/SUMSQ('TS-PILE'!$E$72:$E$91))+IF(SUMSQ('TS-PILE'!$D$72:$D$91)=0,0,'TO HOP NLAN'!F216*'TS-PILE'!$D$72/SUMSQ('TS-PILE'!$D$72:$D$91))),IF('TS-PILE'!$B$73="",1E+99,'TO HOP NLAN'!D216/ncoc+IF(SUMSQ('TS-PILE'!$E$72:$E$91)=0,0,'TO HOP NLAN'!E216*'TS-PILE'!$E$73/SUMSQ('TS-PILE'!$E$72:$E$91))+IF(SUMSQ('TS-PILE'!$D$72:$D$91)=0,0,'TO HOP NLAN'!F216*'TS-PILE'!$D$73/SUMSQ('TS-PILE'!$D$72:$D$91))),IF('TS-PILE'!$B$74="",1E+99,'TO HOP NLAN'!D216/ncoc+IF(SUMSQ('TS-PILE'!$E$72:$E$91)=0,0,'TO HOP NLAN'!E216*'TS-PILE'!$E$74/SUMSQ('TS-PILE'!$E$72:$E$91))+IF(SUMSQ('TS-PILE'!$D$72:$D$91)=0,0,'TO HOP NLAN'!F216*'TS-PILE'!$D$74/SUMSQ('TS-PILE'!$D$72:$D$91))),IF('TS-PILE'!$B$75="",1E+99,'TO HOP NLAN'!D216/ncoc+IF(SUMSQ('TS-PILE'!$E$72:$E$91)=0,0,'TO HOP NLAN'!E216*'TS-PILE'!$E$75/SUMSQ('TS-PILE'!$E$72:$E$91))+IF(SUMSQ('TS-PILE'!$D$72:$D$91)=0,0,'TO HOP NLAN'!F216*'TS-PILE'!$D$75/SUMSQ('TS-PILE'!$D$72:$D$91))),IF('TS-PILE'!$B$76="",1E+99,'TO HOP NLAN'!D216/ncoc+IF(SUMSQ('TS-PILE'!$E$72:$E$91)=0,0,'TO HOP NLAN'!E216*'TS-PILE'!$E$76/SUMSQ('TS-PILE'!$E$72:$E$91))+IF(SUMSQ('TS-PILE'!$D$72:$D$91)=0,0,'TO HOP NLAN'!F216*'TS-PILE'!$D$76/SUMSQ('TS-PILE'!$D$72:$D$91))),IF('TS-PILE'!$B$77="",1E+99,'TO HOP NLAN'!D216/ncoc+IF(SUMSQ('TS-PILE'!$E$72:$E$91)=0,0,'TO HOP NLAN'!E216*'TS-PILE'!$E$77/SUMSQ('TS-PILE'!$E$72:$E$91))+IF(SUMSQ('TS-PILE'!$D$72:$D$91)=0,0,'TO HOP NLAN'!F216*'TS-PILE'!$D$77/SUMSQ('TS-PILE'!$D$72:$D$91))),IF('TS-PILE'!$B$78="",1E+99,'TO HOP NLAN'!D216/ncoc+IF(SUMSQ('TS-PILE'!$E$72:$E$91)=0,0,'TO HOP NLAN'!E216*'TS-PILE'!$E$78/SUMSQ('TS-PILE'!$E$72:$E$91))+IF(SUMSQ('TS-PILE'!$D$72:$D$91)=0,0,'TO HOP NLAN'!F216*'TS-PILE'!$D$78/SUMSQ('TS-PILE'!$D$72:$D$91))),IF('TS-PILE'!$B$79="",1E+99,'TO HOP NLAN'!D216/ncoc+IF(SUMSQ('TS-PILE'!$E$72:$E$91)=0,0,'TO HOP NLAN'!E216*'TS-PILE'!$E$79/SUMSQ('TS-PILE'!$E$72:$E$91))+IF(SUMSQ('TS-PILE'!$D$72:$D$91)=0,0,'TO HOP NLAN'!F216*'TS-PILE'!$D$79/SUMSQ('TS-PILE'!$D$72:$D$91))),IF('TS-PILE'!$B$80="",1E+99,'TO HOP NLAN'!D216/ncoc+IF(SUMSQ('TS-PILE'!$E$72:$E$91)=0,0,'TO HOP NLAN'!E216*'TS-PILE'!$E$80/SUMSQ('TS-PILE'!$E$72:$E$91))+IF(SUMSQ('TS-PILE'!$D$72:$D$91)=0,0,'TO HOP NLAN'!F216*'TS-PILE'!$D$80/SUMSQ('TS-PILE'!$D$72:$D$91))),IF('TS-PILE'!$B$81="",1E+99,'TO HOP NLAN'!D216/ncoc+IF(SUMSQ('TS-PILE'!$E$72:$E$91)=0,0,'TO HOP NLAN'!E216*'TS-PILE'!$E$81/SUMSQ('TS-PILE'!$E$72:$E$91))+IF(SUMSQ('TS-PILE'!$D$72:$D$91)=0,0,'TO HOP NLAN'!F216*'TS-PILE'!$D$81/SUMSQ('TS-PILE'!$D$72:$D$91))),IF('TS-PILE'!$B$82="",1E+99,'TO HOP NLAN'!D216/ncoc+IF(SUMSQ('TS-PILE'!$E$72:$E$91)=0,0,'TO HOP NLAN'!E216*'TS-PILE'!$E$82/SUMSQ('TS-PILE'!$E$72:$E$91))+IF(SUMSQ('TS-PILE'!$D$72:$D$91)=0,0,'TO HOP NLAN'!F216*'TS-PILE'!$D$82/SUMSQ('TS-PILE'!$D$72:$D$91))),IF('TS-PILE'!$B$83="",1E+99,'TO HOP NLAN'!D216/ncoc+IF(SUMSQ('TS-PILE'!$E$72:$E$91)=0,0,'TO HOP NLAN'!E216*'TS-PILE'!$E$83/SUMSQ('TS-PILE'!$E$72:$E$91))+IF(SUMSQ('TS-PILE'!$D$72:$D$91)=0,0,'TO HOP NLAN'!F216*'TS-PILE'!$D$83/SUMSQ('TS-PILE'!$D$72:$D$91))),IF('TS-PILE'!$B$84="",1E+99,'TO HOP NLAN'!D216/ncoc+IF(SUMSQ('TS-PILE'!$E$72:$E$91)=0,0,'TO HOP NLAN'!E216*'TS-PILE'!$E$84/SUMSQ('TS-PILE'!$E$72:$E$91))+IF(SUMSQ('TS-PILE'!$D$72:$D$91)=0,0,'TO HOP NLAN'!F216*'TS-PILE'!$D$84/SUMSQ('TS-PILE'!$D$72:$D$91))),IF('TS-PILE'!$B$85="",1E+99,'TO HOP NLAN'!D216/ncoc+IF(SUMSQ('TS-PILE'!$E$72:$E$91)=0,0,'TO HOP NLAN'!E216*'TS-PILE'!$E$85/SUMSQ('TS-PILE'!$E$72:$E$91))+IF(SUMSQ('TS-PILE'!$D$72:$D$91)=0,0,'TO HOP NLAN'!F216*'TS-PILE'!$D$85/SUMSQ('TS-PILE'!$D$72:$D$91))),IF('TS-PILE'!$B$86="",1E+99,'TO HOP NLAN'!D216/ncoc+IF(SUMSQ('TS-PILE'!$E$72:$E$91)=0,0,'TO HOP NLAN'!E216*'TS-PILE'!$E$86/SUMSQ('TS-PILE'!$E$72:$E$91))+IF(SUMSQ('TS-PILE'!$D$72:$D$91)=0,0,'TO HOP NLAN'!F216*'TS-PILE'!$D$86/SUMSQ('TS-PILE'!$D$72:$D$91))),IF('TS-PILE'!$B$87="",1E+99,'TO HOP NLAN'!D216/ncoc+IF(SUMSQ('TS-PILE'!$E$72:$E$91)=0,0,'TO HOP NLAN'!E216*'TS-PILE'!$E$87/SUMSQ('TS-PILE'!$E$72:$E$91))+IF(SUMSQ('TS-PILE'!$D$72:$D$91)=0,0,'TO HOP NLAN'!F216*'TS-PILE'!$D$87/SUMSQ('TS-PILE'!$D$72:$D$91))),IF('TS-PILE'!$B$88="",1E+99,'TO HOP NLAN'!D216/ncoc+IF(SUMSQ('TS-PILE'!$E$72:$E$91)=0,0,'TO HOP NLAN'!E216*'TS-PILE'!$E$88/SUMSQ('TS-PILE'!$E$72:$E$91))+IF(SUMSQ('TS-PILE'!$D$72:$D$91)=0,0,'TO HOP NLAN'!F216*'TS-PILE'!$D$88/SUMSQ('TS-PILE'!$D$72:$D$91))),IF('TS-PILE'!$B$89="",1E+99,'TO HOP NLAN'!D216/ncoc+IF(SUMSQ('TS-PILE'!$E$72:$E$91)=0,0,'TO HOP NLAN'!E216*'TS-PILE'!$E$89/SUMSQ('TS-PILE'!$E$72:$E$91))+IF(SUMSQ('TS-PILE'!$D$72:$D$91)=0,0,'TO HOP NLAN'!F216*'TS-PILE'!$D$89/SUMSQ('TS-PILE'!$D$72:$D$91))),IF('TS-PILE'!$B$90="",1E+99,'TO HOP NLAN'!D216/ncoc+IF(SUMSQ('TS-PILE'!$E$72:$E$91)=0,0,'TO HOP NLAN'!E216*'TS-PILE'!$E$90/SUMSQ('TS-PILE'!$E$72:$E$91))+IF(SUMSQ('TS-PILE'!$D$72:$D$91)=0,0,'TO HOP NLAN'!F216*'TS-PILE'!$D$90/SUMSQ('TS-PILE'!$D$72:$D$91))),IF('TS-PILE'!$B$91="",1E+99,'TO HOP NLAN'!D216/ncoc+IF(SUMSQ('TS-PILE'!$E$72:$E$91)=0,0,'TO HOP NLAN'!E216*'TS-PILE'!$E$91/SUMSQ('TS-PILE'!$E$72:$E$91))+IF(SUMSQ('TS-PILE'!$D$72:$D$91)=0,0,'TO HOP NLAN'!F216*'TS-PILE'!$D$91/SUMSQ('TS-PILE'!$D$72:$D$91)))))</f>
        <v>0</v>
      </c>
      <c r="E216" s="58">
        <f t="shared" si="12"/>
        <v>-9.9999999999999997E+98</v>
      </c>
      <c r="F216" s="58">
        <f t="shared" si="13"/>
        <v>9.9999999999999997E+98</v>
      </c>
      <c r="G216" s="58">
        <f t="shared" si="14"/>
        <v>-9.9999999999999997E+98</v>
      </c>
      <c r="H216" s="58">
        <f t="shared" si="15"/>
        <v>9.9999999999999997E+98</v>
      </c>
    </row>
    <row r="217" spans="1:8" x14ac:dyDescent="0.3">
      <c r="A217" s="42" t="str">
        <f>'TO HOP NLAN'!A217</f>
        <v/>
      </c>
      <c r="B217" s="42" t="str">
        <f>'TO HOP NLAN'!L217</f>
        <v>STRENGTH</v>
      </c>
      <c r="C217" s="58">
        <f>IF(A217="",0,MAX(IF('TS-PILE'!$B$72="",-1E+99,'TO HOP NLAN'!D217/ncoc+IF(SUMSQ('TS-PILE'!$E$72:$E$91)=0,0,'TO HOP NLAN'!E217*'TS-PILE'!$E$72/SUMSQ('TS-PILE'!$E$72:$E$91))+IF(SUMSQ('TS-PILE'!$D$72:$D$91)=0,0,'TO HOP NLAN'!F217*'TS-PILE'!$D$72/SUMSQ('TS-PILE'!$D$72:$D$91))),IF('TS-PILE'!$B$73="",-1E+99,'TO HOP NLAN'!D217/ncoc+IF(SUMSQ('TS-PILE'!$E$72:$E$91)=0,0,'TO HOP NLAN'!E217*'TS-PILE'!$E$73/SUMSQ('TS-PILE'!$E$72:$E$91))+IF(SUMSQ('TS-PILE'!$D$72:$D$91)=0,0,'TO HOP NLAN'!F217*'TS-PILE'!$D$73/SUMSQ('TS-PILE'!$D$72:$D$91))),IF('TS-PILE'!$B$74="",-1E+99,'TO HOP NLAN'!D217/ncoc+IF(SUMSQ('TS-PILE'!$E$72:$E$91)=0,0,'TO HOP NLAN'!E217*'TS-PILE'!$E$74/SUMSQ('TS-PILE'!$E$72:$E$91))+IF(SUMSQ('TS-PILE'!$D$72:$D$91)=0,0,'TO HOP NLAN'!F217*'TS-PILE'!$D$74/SUMSQ('TS-PILE'!$D$72:$D$91))),IF('TS-PILE'!$B$75="",-1E+99,'TO HOP NLAN'!D217/ncoc+IF(SUMSQ('TS-PILE'!$E$72:$E$91)=0,0,'TO HOP NLAN'!E217*'TS-PILE'!$E$75/SUMSQ('TS-PILE'!$E$72:$E$91))+IF(SUMSQ('TS-PILE'!$D$72:$D$91)=0,0,'TO HOP NLAN'!F217*'TS-PILE'!$D$75/SUMSQ('TS-PILE'!$D$72:$D$91))),IF('TS-PILE'!$B$76="",-1E+99,'TO HOP NLAN'!D217/ncoc+IF(SUMSQ('TS-PILE'!$E$72:$E$91)=0,0,'TO HOP NLAN'!E217*'TS-PILE'!$E$76/SUMSQ('TS-PILE'!$E$72:$E$91))+IF(SUMSQ('TS-PILE'!$D$72:$D$91)=0,0,'TO HOP NLAN'!F217*'TS-PILE'!$D$76/SUMSQ('TS-PILE'!$D$72:$D$91))),IF('TS-PILE'!$B$77="",-1E+99,'TO HOP NLAN'!D217/ncoc+IF(SUMSQ('TS-PILE'!$E$72:$E$91)=0,0,'TO HOP NLAN'!E217*'TS-PILE'!$E$77/SUMSQ('TS-PILE'!$E$72:$E$91))+IF(SUMSQ('TS-PILE'!$D$72:$D$91)=0,0,'TO HOP NLAN'!F217*'TS-PILE'!$D$77/SUMSQ('TS-PILE'!$D$72:$D$91))),IF('TS-PILE'!$B$78="",-1E+99,'TO HOP NLAN'!D217/ncoc+IF(SUMSQ('TS-PILE'!$E$72:$E$91)=0,0,'TO HOP NLAN'!E217*'TS-PILE'!$E$78/SUMSQ('TS-PILE'!$E$72:$E$91))+IF(SUMSQ('TS-PILE'!$D$72:$D$91)=0,0,'TO HOP NLAN'!F217*'TS-PILE'!$D$78/SUMSQ('TS-PILE'!$D$72:$D$91))),IF('TS-PILE'!$B$79="",-1E+99,'TO HOP NLAN'!D217/ncoc+IF(SUMSQ('TS-PILE'!$E$72:$E$91)=0,0,'TO HOP NLAN'!E217*'TS-PILE'!$E$79/SUMSQ('TS-PILE'!$E$72:$E$91))+IF(SUMSQ('TS-PILE'!$D$72:$D$91)=0,0,'TO HOP NLAN'!F217*'TS-PILE'!$D$79/SUMSQ('TS-PILE'!$D$72:$D$91))),IF('TS-PILE'!$B$80="",-1E+99,'TO HOP NLAN'!D217/ncoc+IF(SUMSQ('TS-PILE'!$E$72:$E$91)=0,0,'TO HOP NLAN'!E217*'TS-PILE'!$E$80/SUMSQ('TS-PILE'!$E$72:$E$91))+IF(SUMSQ('TS-PILE'!$D$72:$D$91)=0,0,'TO HOP NLAN'!F217*'TS-PILE'!$D$80/SUMSQ('TS-PILE'!$D$72:$D$91))),IF('TS-PILE'!$B$81="",-1E+99,'TO HOP NLAN'!D217/ncoc+IF(SUMSQ('TS-PILE'!$E$72:$E$91)=0,0,'TO HOP NLAN'!E217*'TS-PILE'!$E$81/SUMSQ('TS-PILE'!$E$72:$E$91))+IF(SUMSQ('TS-PILE'!$D$72:$D$91)=0,0,'TO HOP NLAN'!F217*'TS-PILE'!$D$81/SUMSQ('TS-PILE'!$D$72:$D$91))),IF('TS-PILE'!$B$82="",-1E+99,'TO HOP NLAN'!D217/ncoc+IF(SUMSQ('TS-PILE'!$E$72:$E$91)=0,0,'TO HOP NLAN'!E217*'TS-PILE'!$E$82/SUMSQ('TS-PILE'!$E$72:$E$91))+IF(SUMSQ('TS-PILE'!$D$72:$D$91)=0,0,'TO HOP NLAN'!F217*'TS-PILE'!$D$82/SUMSQ('TS-PILE'!$D$72:$D$91))),IF('TS-PILE'!$B$83="",-1E+99,'TO HOP NLAN'!D217/ncoc+IF(SUMSQ('TS-PILE'!$E$72:$E$91)=0,0,'TO HOP NLAN'!E217*'TS-PILE'!$E$83/SUMSQ('TS-PILE'!$E$72:$E$91))+IF(SUMSQ('TS-PILE'!$D$72:$D$91)=0,0,'TO HOP NLAN'!F217*'TS-PILE'!$D$83/SUMSQ('TS-PILE'!$D$72:$D$91))),IF('TS-PILE'!$B$84="",-1E+99,'TO HOP NLAN'!D217/ncoc+IF(SUMSQ('TS-PILE'!$E$72:$E$91)=0,0,'TO HOP NLAN'!E217*'TS-PILE'!$E$84/SUMSQ('TS-PILE'!$E$72:$E$91))+IF(SUMSQ('TS-PILE'!$D$72:$D$91)=0,0,'TO HOP NLAN'!F217*'TS-PILE'!$D$84/SUMSQ('TS-PILE'!$D$72:$D$91))),IF('TS-PILE'!$B$85="",-1E+99,'TO HOP NLAN'!D217/ncoc+IF(SUMSQ('TS-PILE'!$E$72:$E$91)=0,0,'TO HOP NLAN'!E217*'TS-PILE'!$E$85/SUMSQ('TS-PILE'!$E$72:$E$91))+IF(SUMSQ('TS-PILE'!$D$72:$D$91)=0,0,'TO HOP NLAN'!F217*'TS-PILE'!$D$85/SUMSQ('TS-PILE'!$D$72:$D$91))),IF('TS-PILE'!$B$86="",-1E+99,'TO HOP NLAN'!D217/ncoc+IF(SUMSQ('TS-PILE'!$E$72:$E$91)=0,0,'TO HOP NLAN'!E217*'TS-PILE'!$E$86/SUMSQ('TS-PILE'!$E$72:$E$91))+IF(SUMSQ('TS-PILE'!$D$72:$D$91)=0,0,'TO HOP NLAN'!F217*'TS-PILE'!$D$86/SUMSQ('TS-PILE'!$D$72:$D$91))),IF('TS-PILE'!$B$87="",-1E+99,'TO HOP NLAN'!D217/ncoc+IF(SUMSQ('TS-PILE'!$E$72:$E$91)=0,0,'TO HOP NLAN'!E217*'TS-PILE'!$E$87/SUMSQ('TS-PILE'!$E$72:$E$91))+IF(SUMSQ('TS-PILE'!$D$72:$D$91)=0,0,'TO HOP NLAN'!F217*'TS-PILE'!$D$87/SUMSQ('TS-PILE'!$D$72:$D$91))),IF('TS-PILE'!$B$88="",-1E+99,'TO HOP NLAN'!D217/ncoc+IF(SUMSQ('TS-PILE'!$E$72:$E$91)=0,0,'TO HOP NLAN'!E217*'TS-PILE'!$E$88/SUMSQ('TS-PILE'!$E$72:$E$91))+IF(SUMSQ('TS-PILE'!$D$72:$D$91)=0,0,'TO HOP NLAN'!F217*'TS-PILE'!$D$88/SUMSQ('TS-PILE'!$D$72:$D$91))),IF('TS-PILE'!$B$89="",-1E+99,'TO HOP NLAN'!D217/ncoc+IF(SUMSQ('TS-PILE'!$E$72:$E$91)=0,0,'TO HOP NLAN'!E217*'TS-PILE'!$E$89/SUMSQ('TS-PILE'!$E$72:$E$91))+IF(SUMSQ('TS-PILE'!$D$72:$D$91)=0,0,'TO HOP NLAN'!F217*'TS-PILE'!$D$89/SUMSQ('TS-PILE'!$D$72:$D$91))),IF('TS-PILE'!$B$90="",-1E+99,'TO HOP NLAN'!D217/ncoc+IF(SUMSQ('TS-PILE'!$E$72:$E$91)=0,0,'TO HOP NLAN'!E217*'TS-PILE'!$E$90/SUMSQ('TS-PILE'!$E$72:$E$91))+IF(SUMSQ('TS-PILE'!$D$72:$D$91)=0,0,'TO HOP NLAN'!F217*'TS-PILE'!$D$90/SUMSQ('TS-PILE'!$D$72:$D$91))),IF('TS-PILE'!$B$91="",-1E+99,'TO HOP NLAN'!D217/ncoc+IF(SUMSQ('TS-PILE'!$E$72:$E$91)=0,0,'TO HOP NLAN'!E217*'TS-PILE'!$E$91/SUMSQ('TS-PILE'!$E$72:$E$91))+IF(SUMSQ('TS-PILE'!$D$72:$D$91)=0,0,'TO HOP NLAN'!F217*'TS-PILE'!$D$91/SUMSQ('TS-PILE'!$D$72:$D$91)))))</f>
        <v>0</v>
      </c>
      <c r="D217" s="58">
        <f>IF(A217="",0,MIN(IF('TS-PILE'!$B$72="",1E+99,'TO HOP NLAN'!D217/ncoc+IF(SUMSQ('TS-PILE'!$E$72:$E$91)=0,0,'TO HOP NLAN'!E217*'TS-PILE'!$E$72/SUMSQ('TS-PILE'!$E$72:$E$91))+IF(SUMSQ('TS-PILE'!$D$72:$D$91)=0,0,'TO HOP NLAN'!F217*'TS-PILE'!$D$72/SUMSQ('TS-PILE'!$D$72:$D$91))),IF('TS-PILE'!$B$73="",1E+99,'TO HOP NLAN'!D217/ncoc+IF(SUMSQ('TS-PILE'!$E$72:$E$91)=0,0,'TO HOP NLAN'!E217*'TS-PILE'!$E$73/SUMSQ('TS-PILE'!$E$72:$E$91))+IF(SUMSQ('TS-PILE'!$D$72:$D$91)=0,0,'TO HOP NLAN'!F217*'TS-PILE'!$D$73/SUMSQ('TS-PILE'!$D$72:$D$91))),IF('TS-PILE'!$B$74="",1E+99,'TO HOP NLAN'!D217/ncoc+IF(SUMSQ('TS-PILE'!$E$72:$E$91)=0,0,'TO HOP NLAN'!E217*'TS-PILE'!$E$74/SUMSQ('TS-PILE'!$E$72:$E$91))+IF(SUMSQ('TS-PILE'!$D$72:$D$91)=0,0,'TO HOP NLAN'!F217*'TS-PILE'!$D$74/SUMSQ('TS-PILE'!$D$72:$D$91))),IF('TS-PILE'!$B$75="",1E+99,'TO HOP NLAN'!D217/ncoc+IF(SUMSQ('TS-PILE'!$E$72:$E$91)=0,0,'TO HOP NLAN'!E217*'TS-PILE'!$E$75/SUMSQ('TS-PILE'!$E$72:$E$91))+IF(SUMSQ('TS-PILE'!$D$72:$D$91)=0,0,'TO HOP NLAN'!F217*'TS-PILE'!$D$75/SUMSQ('TS-PILE'!$D$72:$D$91))),IF('TS-PILE'!$B$76="",1E+99,'TO HOP NLAN'!D217/ncoc+IF(SUMSQ('TS-PILE'!$E$72:$E$91)=0,0,'TO HOP NLAN'!E217*'TS-PILE'!$E$76/SUMSQ('TS-PILE'!$E$72:$E$91))+IF(SUMSQ('TS-PILE'!$D$72:$D$91)=0,0,'TO HOP NLAN'!F217*'TS-PILE'!$D$76/SUMSQ('TS-PILE'!$D$72:$D$91))),IF('TS-PILE'!$B$77="",1E+99,'TO HOP NLAN'!D217/ncoc+IF(SUMSQ('TS-PILE'!$E$72:$E$91)=0,0,'TO HOP NLAN'!E217*'TS-PILE'!$E$77/SUMSQ('TS-PILE'!$E$72:$E$91))+IF(SUMSQ('TS-PILE'!$D$72:$D$91)=0,0,'TO HOP NLAN'!F217*'TS-PILE'!$D$77/SUMSQ('TS-PILE'!$D$72:$D$91))),IF('TS-PILE'!$B$78="",1E+99,'TO HOP NLAN'!D217/ncoc+IF(SUMSQ('TS-PILE'!$E$72:$E$91)=0,0,'TO HOP NLAN'!E217*'TS-PILE'!$E$78/SUMSQ('TS-PILE'!$E$72:$E$91))+IF(SUMSQ('TS-PILE'!$D$72:$D$91)=0,0,'TO HOP NLAN'!F217*'TS-PILE'!$D$78/SUMSQ('TS-PILE'!$D$72:$D$91))),IF('TS-PILE'!$B$79="",1E+99,'TO HOP NLAN'!D217/ncoc+IF(SUMSQ('TS-PILE'!$E$72:$E$91)=0,0,'TO HOP NLAN'!E217*'TS-PILE'!$E$79/SUMSQ('TS-PILE'!$E$72:$E$91))+IF(SUMSQ('TS-PILE'!$D$72:$D$91)=0,0,'TO HOP NLAN'!F217*'TS-PILE'!$D$79/SUMSQ('TS-PILE'!$D$72:$D$91))),IF('TS-PILE'!$B$80="",1E+99,'TO HOP NLAN'!D217/ncoc+IF(SUMSQ('TS-PILE'!$E$72:$E$91)=0,0,'TO HOP NLAN'!E217*'TS-PILE'!$E$80/SUMSQ('TS-PILE'!$E$72:$E$91))+IF(SUMSQ('TS-PILE'!$D$72:$D$91)=0,0,'TO HOP NLAN'!F217*'TS-PILE'!$D$80/SUMSQ('TS-PILE'!$D$72:$D$91))),IF('TS-PILE'!$B$81="",1E+99,'TO HOP NLAN'!D217/ncoc+IF(SUMSQ('TS-PILE'!$E$72:$E$91)=0,0,'TO HOP NLAN'!E217*'TS-PILE'!$E$81/SUMSQ('TS-PILE'!$E$72:$E$91))+IF(SUMSQ('TS-PILE'!$D$72:$D$91)=0,0,'TO HOP NLAN'!F217*'TS-PILE'!$D$81/SUMSQ('TS-PILE'!$D$72:$D$91))),IF('TS-PILE'!$B$82="",1E+99,'TO HOP NLAN'!D217/ncoc+IF(SUMSQ('TS-PILE'!$E$72:$E$91)=0,0,'TO HOP NLAN'!E217*'TS-PILE'!$E$82/SUMSQ('TS-PILE'!$E$72:$E$91))+IF(SUMSQ('TS-PILE'!$D$72:$D$91)=0,0,'TO HOP NLAN'!F217*'TS-PILE'!$D$82/SUMSQ('TS-PILE'!$D$72:$D$91))),IF('TS-PILE'!$B$83="",1E+99,'TO HOP NLAN'!D217/ncoc+IF(SUMSQ('TS-PILE'!$E$72:$E$91)=0,0,'TO HOP NLAN'!E217*'TS-PILE'!$E$83/SUMSQ('TS-PILE'!$E$72:$E$91))+IF(SUMSQ('TS-PILE'!$D$72:$D$91)=0,0,'TO HOP NLAN'!F217*'TS-PILE'!$D$83/SUMSQ('TS-PILE'!$D$72:$D$91))),IF('TS-PILE'!$B$84="",1E+99,'TO HOP NLAN'!D217/ncoc+IF(SUMSQ('TS-PILE'!$E$72:$E$91)=0,0,'TO HOP NLAN'!E217*'TS-PILE'!$E$84/SUMSQ('TS-PILE'!$E$72:$E$91))+IF(SUMSQ('TS-PILE'!$D$72:$D$91)=0,0,'TO HOP NLAN'!F217*'TS-PILE'!$D$84/SUMSQ('TS-PILE'!$D$72:$D$91))),IF('TS-PILE'!$B$85="",1E+99,'TO HOP NLAN'!D217/ncoc+IF(SUMSQ('TS-PILE'!$E$72:$E$91)=0,0,'TO HOP NLAN'!E217*'TS-PILE'!$E$85/SUMSQ('TS-PILE'!$E$72:$E$91))+IF(SUMSQ('TS-PILE'!$D$72:$D$91)=0,0,'TO HOP NLAN'!F217*'TS-PILE'!$D$85/SUMSQ('TS-PILE'!$D$72:$D$91))),IF('TS-PILE'!$B$86="",1E+99,'TO HOP NLAN'!D217/ncoc+IF(SUMSQ('TS-PILE'!$E$72:$E$91)=0,0,'TO HOP NLAN'!E217*'TS-PILE'!$E$86/SUMSQ('TS-PILE'!$E$72:$E$91))+IF(SUMSQ('TS-PILE'!$D$72:$D$91)=0,0,'TO HOP NLAN'!F217*'TS-PILE'!$D$86/SUMSQ('TS-PILE'!$D$72:$D$91))),IF('TS-PILE'!$B$87="",1E+99,'TO HOP NLAN'!D217/ncoc+IF(SUMSQ('TS-PILE'!$E$72:$E$91)=0,0,'TO HOP NLAN'!E217*'TS-PILE'!$E$87/SUMSQ('TS-PILE'!$E$72:$E$91))+IF(SUMSQ('TS-PILE'!$D$72:$D$91)=0,0,'TO HOP NLAN'!F217*'TS-PILE'!$D$87/SUMSQ('TS-PILE'!$D$72:$D$91))),IF('TS-PILE'!$B$88="",1E+99,'TO HOP NLAN'!D217/ncoc+IF(SUMSQ('TS-PILE'!$E$72:$E$91)=0,0,'TO HOP NLAN'!E217*'TS-PILE'!$E$88/SUMSQ('TS-PILE'!$E$72:$E$91))+IF(SUMSQ('TS-PILE'!$D$72:$D$91)=0,0,'TO HOP NLAN'!F217*'TS-PILE'!$D$88/SUMSQ('TS-PILE'!$D$72:$D$91))),IF('TS-PILE'!$B$89="",1E+99,'TO HOP NLAN'!D217/ncoc+IF(SUMSQ('TS-PILE'!$E$72:$E$91)=0,0,'TO HOP NLAN'!E217*'TS-PILE'!$E$89/SUMSQ('TS-PILE'!$E$72:$E$91))+IF(SUMSQ('TS-PILE'!$D$72:$D$91)=0,0,'TO HOP NLAN'!F217*'TS-PILE'!$D$89/SUMSQ('TS-PILE'!$D$72:$D$91))),IF('TS-PILE'!$B$90="",1E+99,'TO HOP NLAN'!D217/ncoc+IF(SUMSQ('TS-PILE'!$E$72:$E$91)=0,0,'TO HOP NLAN'!E217*'TS-PILE'!$E$90/SUMSQ('TS-PILE'!$E$72:$E$91))+IF(SUMSQ('TS-PILE'!$D$72:$D$91)=0,0,'TO HOP NLAN'!F217*'TS-PILE'!$D$90/SUMSQ('TS-PILE'!$D$72:$D$91))),IF('TS-PILE'!$B$91="",1E+99,'TO HOP NLAN'!D217/ncoc+IF(SUMSQ('TS-PILE'!$E$72:$E$91)=0,0,'TO HOP NLAN'!E217*'TS-PILE'!$E$91/SUMSQ('TS-PILE'!$E$72:$E$91))+IF(SUMSQ('TS-PILE'!$D$72:$D$91)=0,0,'TO HOP NLAN'!F217*'TS-PILE'!$D$91/SUMSQ('TS-PILE'!$D$72:$D$91)))))</f>
        <v>0</v>
      </c>
      <c r="E217" s="58">
        <f t="shared" si="12"/>
        <v>-9.9999999999999997E+98</v>
      </c>
      <c r="F217" s="58">
        <f t="shared" si="13"/>
        <v>9.9999999999999997E+98</v>
      </c>
      <c r="G217" s="58">
        <f t="shared" si="14"/>
        <v>-9.9999999999999997E+98</v>
      </c>
      <c r="H217" s="58">
        <f t="shared" si="15"/>
        <v>9.9999999999999997E+98</v>
      </c>
    </row>
    <row r="218" spans="1:8" x14ac:dyDescent="0.3">
      <c r="A218" s="42" t="str">
        <f>'TO HOP NLAN'!A218</f>
        <v/>
      </c>
      <c r="B218" s="42" t="str">
        <f>'TO HOP NLAN'!L218</f>
        <v>STRENGTH</v>
      </c>
      <c r="C218" s="58">
        <f>IF(A218="",0,MAX(IF('TS-PILE'!$B$72="",-1E+99,'TO HOP NLAN'!D218/ncoc+IF(SUMSQ('TS-PILE'!$E$72:$E$91)=0,0,'TO HOP NLAN'!E218*'TS-PILE'!$E$72/SUMSQ('TS-PILE'!$E$72:$E$91))+IF(SUMSQ('TS-PILE'!$D$72:$D$91)=0,0,'TO HOP NLAN'!F218*'TS-PILE'!$D$72/SUMSQ('TS-PILE'!$D$72:$D$91))),IF('TS-PILE'!$B$73="",-1E+99,'TO HOP NLAN'!D218/ncoc+IF(SUMSQ('TS-PILE'!$E$72:$E$91)=0,0,'TO HOP NLAN'!E218*'TS-PILE'!$E$73/SUMSQ('TS-PILE'!$E$72:$E$91))+IF(SUMSQ('TS-PILE'!$D$72:$D$91)=0,0,'TO HOP NLAN'!F218*'TS-PILE'!$D$73/SUMSQ('TS-PILE'!$D$72:$D$91))),IF('TS-PILE'!$B$74="",-1E+99,'TO HOP NLAN'!D218/ncoc+IF(SUMSQ('TS-PILE'!$E$72:$E$91)=0,0,'TO HOP NLAN'!E218*'TS-PILE'!$E$74/SUMSQ('TS-PILE'!$E$72:$E$91))+IF(SUMSQ('TS-PILE'!$D$72:$D$91)=0,0,'TO HOP NLAN'!F218*'TS-PILE'!$D$74/SUMSQ('TS-PILE'!$D$72:$D$91))),IF('TS-PILE'!$B$75="",-1E+99,'TO HOP NLAN'!D218/ncoc+IF(SUMSQ('TS-PILE'!$E$72:$E$91)=0,0,'TO HOP NLAN'!E218*'TS-PILE'!$E$75/SUMSQ('TS-PILE'!$E$72:$E$91))+IF(SUMSQ('TS-PILE'!$D$72:$D$91)=0,0,'TO HOP NLAN'!F218*'TS-PILE'!$D$75/SUMSQ('TS-PILE'!$D$72:$D$91))),IF('TS-PILE'!$B$76="",-1E+99,'TO HOP NLAN'!D218/ncoc+IF(SUMSQ('TS-PILE'!$E$72:$E$91)=0,0,'TO HOP NLAN'!E218*'TS-PILE'!$E$76/SUMSQ('TS-PILE'!$E$72:$E$91))+IF(SUMSQ('TS-PILE'!$D$72:$D$91)=0,0,'TO HOP NLAN'!F218*'TS-PILE'!$D$76/SUMSQ('TS-PILE'!$D$72:$D$91))),IF('TS-PILE'!$B$77="",-1E+99,'TO HOP NLAN'!D218/ncoc+IF(SUMSQ('TS-PILE'!$E$72:$E$91)=0,0,'TO HOP NLAN'!E218*'TS-PILE'!$E$77/SUMSQ('TS-PILE'!$E$72:$E$91))+IF(SUMSQ('TS-PILE'!$D$72:$D$91)=0,0,'TO HOP NLAN'!F218*'TS-PILE'!$D$77/SUMSQ('TS-PILE'!$D$72:$D$91))),IF('TS-PILE'!$B$78="",-1E+99,'TO HOP NLAN'!D218/ncoc+IF(SUMSQ('TS-PILE'!$E$72:$E$91)=0,0,'TO HOP NLAN'!E218*'TS-PILE'!$E$78/SUMSQ('TS-PILE'!$E$72:$E$91))+IF(SUMSQ('TS-PILE'!$D$72:$D$91)=0,0,'TO HOP NLAN'!F218*'TS-PILE'!$D$78/SUMSQ('TS-PILE'!$D$72:$D$91))),IF('TS-PILE'!$B$79="",-1E+99,'TO HOP NLAN'!D218/ncoc+IF(SUMSQ('TS-PILE'!$E$72:$E$91)=0,0,'TO HOP NLAN'!E218*'TS-PILE'!$E$79/SUMSQ('TS-PILE'!$E$72:$E$91))+IF(SUMSQ('TS-PILE'!$D$72:$D$91)=0,0,'TO HOP NLAN'!F218*'TS-PILE'!$D$79/SUMSQ('TS-PILE'!$D$72:$D$91))),IF('TS-PILE'!$B$80="",-1E+99,'TO HOP NLAN'!D218/ncoc+IF(SUMSQ('TS-PILE'!$E$72:$E$91)=0,0,'TO HOP NLAN'!E218*'TS-PILE'!$E$80/SUMSQ('TS-PILE'!$E$72:$E$91))+IF(SUMSQ('TS-PILE'!$D$72:$D$91)=0,0,'TO HOP NLAN'!F218*'TS-PILE'!$D$80/SUMSQ('TS-PILE'!$D$72:$D$91))),IF('TS-PILE'!$B$81="",-1E+99,'TO HOP NLAN'!D218/ncoc+IF(SUMSQ('TS-PILE'!$E$72:$E$91)=0,0,'TO HOP NLAN'!E218*'TS-PILE'!$E$81/SUMSQ('TS-PILE'!$E$72:$E$91))+IF(SUMSQ('TS-PILE'!$D$72:$D$91)=0,0,'TO HOP NLAN'!F218*'TS-PILE'!$D$81/SUMSQ('TS-PILE'!$D$72:$D$91))),IF('TS-PILE'!$B$82="",-1E+99,'TO HOP NLAN'!D218/ncoc+IF(SUMSQ('TS-PILE'!$E$72:$E$91)=0,0,'TO HOP NLAN'!E218*'TS-PILE'!$E$82/SUMSQ('TS-PILE'!$E$72:$E$91))+IF(SUMSQ('TS-PILE'!$D$72:$D$91)=0,0,'TO HOP NLAN'!F218*'TS-PILE'!$D$82/SUMSQ('TS-PILE'!$D$72:$D$91))),IF('TS-PILE'!$B$83="",-1E+99,'TO HOP NLAN'!D218/ncoc+IF(SUMSQ('TS-PILE'!$E$72:$E$91)=0,0,'TO HOP NLAN'!E218*'TS-PILE'!$E$83/SUMSQ('TS-PILE'!$E$72:$E$91))+IF(SUMSQ('TS-PILE'!$D$72:$D$91)=0,0,'TO HOP NLAN'!F218*'TS-PILE'!$D$83/SUMSQ('TS-PILE'!$D$72:$D$91))),IF('TS-PILE'!$B$84="",-1E+99,'TO HOP NLAN'!D218/ncoc+IF(SUMSQ('TS-PILE'!$E$72:$E$91)=0,0,'TO HOP NLAN'!E218*'TS-PILE'!$E$84/SUMSQ('TS-PILE'!$E$72:$E$91))+IF(SUMSQ('TS-PILE'!$D$72:$D$91)=0,0,'TO HOP NLAN'!F218*'TS-PILE'!$D$84/SUMSQ('TS-PILE'!$D$72:$D$91))),IF('TS-PILE'!$B$85="",-1E+99,'TO HOP NLAN'!D218/ncoc+IF(SUMSQ('TS-PILE'!$E$72:$E$91)=0,0,'TO HOP NLAN'!E218*'TS-PILE'!$E$85/SUMSQ('TS-PILE'!$E$72:$E$91))+IF(SUMSQ('TS-PILE'!$D$72:$D$91)=0,0,'TO HOP NLAN'!F218*'TS-PILE'!$D$85/SUMSQ('TS-PILE'!$D$72:$D$91))),IF('TS-PILE'!$B$86="",-1E+99,'TO HOP NLAN'!D218/ncoc+IF(SUMSQ('TS-PILE'!$E$72:$E$91)=0,0,'TO HOP NLAN'!E218*'TS-PILE'!$E$86/SUMSQ('TS-PILE'!$E$72:$E$91))+IF(SUMSQ('TS-PILE'!$D$72:$D$91)=0,0,'TO HOP NLAN'!F218*'TS-PILE'!$D$86/SUMSQ('TS-PILE'!$D$72:$D$91))),IF('TS-PILE'!$B$87="",-1E+99,'TO HOP NLAN'!D218/ncoc+IF(SUMSQ('TS-PILE'!$E$72:$E$91)=0,0,'TO HOP NLAN'!E218*'TS-PILE'!$E$87/SUMSQ('TS-PILE'!$E$72:$E$91))+IF(SUMSQ('TS-PILE'!$D$72:$D$91)=0,0,'TO HOP NLAN'!F218*'TS-PILE'!$D$87/SUMSQ('TS-PILE'!$D$72:$D$91))),IF('TS-PILE'!$B$88="",-1E+99,'TO HOP NLAN'!D218/ncoc+IF(SUMSQ('TS-PILE'!$E$72:$E$91)=0,0,'TO HOP NLAN'!E218*'TS-PILE'!$E$88/SUMSQ('TS-PILE'!$E$72:$E$91))+IF(SUMSQ('TS-PILE'!$D$72:$D$91)=0,0,'TO HOP NLAN'!F218*'TS-PILE'!$D$88/SUMSQ('TS-PILE'!$D$72:$D$91))),IF('TS-PILE'!$B$89="",-1E+99,'TO HOP NLAN'!D218/ncoc+IF(SUMSQ('TS-PILE'!$E$72:$E$91)=0,0,'TO HOP NLAN'!E218*'TS-PILE'!$E$89/SUMSQ('TS-PILE'!$E$72:$E$91))+IF(SUMSQ('TS-PILE'!$D$72:$D$91)=0,0,'TO HOP NLAN'!F218*'TS-PILE'!$D$89/SUMSQ('TS-PILE'!$D$72:$D$91))),IF('TS-PILE'!$B$90="",-1E+99,'TO HOP NLAN'!D218/ncoc+IF(SUMSQ('TS-PILE'!$E$72:$E$91)=0,0,'TO HOP NLAN'!E218*'TS-PILE'!$E$90/SUMSQ('TS-PILE'!$E$72:$E$91))+IF(SUMSQ('TS-PILE'!$D$72:$D$91)=0,0,'TO HOP NLAN'!F218*'TS-PILE'!$D$90/SUMSQ('TS-PILE'!$D$72:$D$91))),IF('TS-PILE'!$B$91="",-1E+99,'TO HOP NLAN'!D218/ncoc+IF(SUMSQ('TS-PILE'!$E$72:$E$91)=0,0,'TO HOP NLAN'!E218*'TS-PILE'!$E$91/SUMSQ('TS-PILE'!$E$72:$E$91))+IF(SUMSQ('TS-PILE'!$D$72:$D$91)=0,0,'TO HOP NLAN'!F218*'TS-PILE'!$D$91/SUMSQ('TS-PILE'!$D$72:$D$91)))))</f>
        <v>0</v>
      </c>
      <c r="D218" s="58">
        <f>IF(A218="",0,MIN(IF('TS-PILE'!$B$72="",1E+99,'TO HOP NLAN'!D218/ncoc+IF(SUMSQ('TS-PILE'!$E$72:$E$91)=0,0,'TO HOP NLAN'!E218*'TS-PILE'!$E$72/SUMSQ('TS-PILE'!$E$72:$E$91))+IF(SUMSQ('TS-PILE'!$D$72:$D$91)=0,0,'TO HOP NLAN'!F218*'TS-PILE'!$D$72/SUMSQ('TS-PILE'!$D$72:$D$91))),IF('TS-PILE'!$B$73="",1E+99,'TO HOP NLAN'!D218/ncoc+IF(SUMSQ('TS-PILE'!$E$72:$E$91)=0,0,'TO HOP NLAN'!E218*'TS-PILE'!$E$73/SUMSQ('TS-PILE'!$E$72:$E$91))+IF(SUMSQ('TS-PILE'!$D$72:$D$91)=0,0,'TO HOP NLAN'!F218*'TS-PILE'!$D$73/SUMSQ('TS-PILE'!$D$72:$D$91))),IF('TS-PILE'!$B$74="",1E+99,'TO HOP NLAN'!D218/ncoc+IF(SUMSQ('TS-PILE'!$E$72:$E$91)=0,0,'TO HOP NLAN'!E218*'TS-PILE'!$E$74/SUMSQ('TS-PILE'!$E$72:$E$91))+IF(SUMSQ('TS-PILE'!$D$72:$D$91)=0,0,'TO HOP NLAN'!F218*'TS-PILE'!$D$74/SUMSQ('TS-PILE'!$D$72:$D$91))),IF('TS-PILE'!$B$75="",1E+99,'TO HOP NLAN'!D218/ncoc+IF(SUMSQ('TS-PILE'!$E$72:$E$91)=0,0,'TO HOP NLAN'!E218*'TS-PILE'!$E$75/SUMSQ('TS-PILE'!$E$72:$E$91))+IF(SUMSQ('TS-PILE'!$D$72:$D$91)=0,0,'TO HOP NLAN'!F218*'TS-PILE'!$D$75/SUMSQ('TS-PILE'!$D$72:$D$91))),IF('TS-PILE'!$B$76="",1E+99,'TO HOP NLAN'!D218/ncoc+IF(SUMSQ('TS-PILE'!$E$72:$E$91)=0,0,'TO HOP NLAN'!E218*'TS-PILE'!$E$76/SUMSQ('TS-PILE'!$E$72:$E$91))+IF(SUMSQ('TS-PILE'!$D$72:$D$91)=0,0,'TO HOP NLAN'!F218*'TS-PILE'!$D$76/SUMSQ('TS-PILE'!$D$72:$D$91))),IF('TS-PILE'!$B$77="",1E+99,'TO HOP NLAN'!D218/ncoc+IF(SUMSQ('TS-PILE'!$E$72:$E$91)=0,0,'TO HOP NLAN'!E218*'TS-PILE'!$E$77/SUMSQ('TS-PILE'!$E$72:$E$91))+IF(SUMSQ('TS-PILE'!$D$72:$D$91)=0,0,'TO HOP NLAN'!F218*'TS-PILE'!$D$77/SUMSQ('TS-PILE'!$D$72:$D$91))),IF('TS-PILE'!$B$78="",1E+99,'TO HOP NLAN'!D218/ncoc+IF(SUMSQ('TS-PILE'!$E$72:$E$91)=0,0,'TO HOP NLAN'!E218*'TS-PILE'!$E$78/SUMSQ('TS-PILE'!$E$72:$E$91))+IF(SUMSQ('TS-PILE'!$D$72:$D$91)=0,0,'TO HOP NLAN'!F218*'TS-PILE'!$D$78/SUMSQ('TS-PILE'!$D$72:$D$91))),IF('TS-PILE'!$B$79="",1E+99,'TO HOP NLAN'!D218/ncoc+IF(SUMSQ('TS-PILE'!$E$72:$E$91)=0,0,'TO HOP NLAN'!E218*'TS-PILE'!$E$79/SUMSQ('TS-PILE'!$E$72:$E$91))+IF(SUMSQ('TS-PILE'!$D$72:$D$91)=0,0,'TO HOP NLAN'!F218*'TS-PILE'!$D$79/SUMSQ('TS-PILE'!$D$72:$D$91))),IF('TS-PILE'!$B$80="",1E+99,'TO HOP NLAN'!D218/ncoc+IF(SUMSQ('TS-PILE'!$E$72:$E$91)=0,0,'TO HOP NLAN'!E218*'TS-PILE'!$E$80/SUMSQ('TS-PILE'!$E$72:$E$91))+IF(SUMSQ('TS-PILE'!$D$72:$D$91)=0,0,'TO HOP NLAN'!F218*'TS-PILE'!$D$80/SUMSQ('TS-PILE'!$D$72:$D$91))),IF('TS-PILE'!$B$81="",1E+99,'TO HOP NLAN'!D218/ncoc+IF(SUMSQ('TS-PILE'!$E$72:$E$91)=0,0,'TO HOP NLAN'!E218*'TS-PILE'!$E$81/SUMSQ('TS-PILE'!$E$72:$E$91))+IF(SUMSQ('TS-PILE'!$D$72:$D$91)=0,0,'TO HOP NLAN'!F218*'TS-PILE'!$D$81/SUMSQ('TS-PILE'!$D$72:$D$91))),IF('TS-PILE'!$B$82="",1E+99,'TO HOP NLAN'!D218/ncoc+IF(SUMSQ('TS-PILE'!$E$72:$E$91)=0,0,'TO HOP NLAN'!E218*'TS-PILE'!$E$82/SUMSQ('TS-PILE'!$E$72:$E$91))+IF(SUMSQ('TS-PILE'!$D$72:$D$91)=0,0,'TO HOP NLAN'!F218*'TS-PILE'!$D$82/SUMSQ('TS-PILE'!$D$72:$D$91))),IF('TS-PILE'!$B$83="",1E+99,'TO HOP NLAN'!D218/ncoc+IF(SUMSQ('TS-PILE'!$E$72:$E$91)=0,0,'TO HOP NLAN'!E218*'TS-PILE'!$E$83/SUMSQ('TS-PILE'!$E$72:$E$91))+IF(SUMSQ('TS-PILE'!$D$72:$D$91)=0,0,'TO HOP NLAN'!F218*'TS-PILE'!$D$83/SUMSQ('TS-PILE'!$D$72:$D$91))),IF('TS-PILE'!$B$84="",1E+99,'TO HOP NLAN'!D218/ncoc+IF(SUMSQ('TS-PILE'!$E$72:$E$91)=0,0,'TO HOP NLAN'!E218*'TS-PILE'!$E$84/SUMSQ('TS-PILE'!$E$72:$E$91))+IF(SUMSQ('TS-PILE'!$D$72:$D$91)=0,0,'TO HOP NLAN'!F218*'TS-PILE'!$D$84/SUMSQ('TS-PILE'!$D$72:$D$91))),IF('TS-PILE'!$B$85="",1E+99,'TO HOP NLAN'!D218/ncoc+IF(SUMSQ('TS-PILE'!$E$72:$E$91)=0,0,'TO HOP NLAN'!E218*'TS-PILE'!$E$85/SUMSQ('TS-PILE'!$E$72:$E$91))+IF(SUMSQ('TS-PILE'!$D$72:$D$91)=0,0,'TO HOP NLAN'!F218*'TS-PILE'!$D$85/SUMSQ('TS-PILE'!$D$72:$D$91))),IF('TS-PILE'!$B$86="",1E+99,'TO HOP NLAN'!D218/ncoc+IF(SUMSQ('TS-PILE'!$E$72:$E$91)=0,0,'TO HOP NLAN'!E218*'TS-PILE'!$E$86/SUMSQ('TS-PILE'!$E$72:$E$91))+IF(SUMSQ('TS-PILE'!$D$72:$D$91)=0,0,'TO HOP NLAN'!F218*'TS-PILE'!$D$86/SUMSQ('TS-PILE'!$D$72:$D$91))),IF('TS-PILE'!$B$87="",1E+99,'TO HOP NLAN'!D218/ncoc+IF(SUMSQ('TS-PILE'!$E$72:$E$91)=0,0,'TO HOP NLAN'!E218*'TS-PILE'!$E$87/SUMSQ('TS-PILE'!$E$72:$E$91))+IF(SUMSQ('TS-PILE'!$D$72:$D$91)=0,0,'TO HOP NLAN'!F218*'TS-PILE'!$D$87/SUMSQ('TS-PILE'!$D$72:$D$91))),IF('TS-PILE'!$B$88="",1E+99,'TO HOP NLAN'!D218/ncoc+IF(SUMSQ('TS-PILE'!$E$72:$E$91)=0,0,'TO HOP NLAN'!E218*'TS-PILE'!$E$88/SUMSQ('TS-PILE'!$E$72:$E$91))+IF(SUMSQ('TS-PILE'!$D$72:$D$91)=0,0,'TO HOP NLAN'!F218*'TS-PILE'!$D$88/SUMSQ('TS-PILE'!$D$72:$D$91))),IF('TS-PILE'!$B$89="",1E+99,'TO HOP NLAN'!D218/ncoc+IF(SUMSQ('TS-PILE'!$E$72:$E$91)=0,0,'TO HOP NLAN'!E218*'TS-PILE'!$E$89/SUMSQ('TS-PILE'!$E$72:$E$91))+IF(SUMSQ('TS-PILE'!$D$72:$D$91)=0,0,'TO HOP NLAN'!F218*'TS-PILE'!$D$89/SUMSQ('TS-PILE'!$D$72:$D$91))),IF('TS-PILE'!$B$90="",1E+99,'TO HOP NLAN'!D218/ncoc+IF(SUMSQ('TS-PILE'!$E$72:$E$91)=0,0,'TO HOP NLAN'!E218*'TS-PILE'!$E$90/SUMSQ('TS-PILE'!$E$72:$E$91))+IF(SUMSQ('TS-PILE'!$D$72:$D$91)=0,0,'TO HOP NLAN'!F218*'TS-PILE'!$D$90/SUMSQ('TS-PILE'!$D$72:$D$91))),IF('TS-PILE'!$B$91="",1E+99,'TO HOP NLAN'!D218/ncoc+IF(SUMSQ('TS-PILE'!$E$72:$E$91)=0,0,'TO HOP NLAN'!E218*'TS-PILE'!$E$91/SUMSQ('TS-PILE'!$E$72:$E$91))+IF(SUMSQ('TS-PILE'!$D$72:$D$91)=0,0,'TO HOP NLAN'!F218*'TS-PILE'!$D$91/SUMSQ('TS-PILE'!$D$72:$D$91)))))</f>
        <v>0</v>
      </c>
      <c r="E218" s="58">
        <f t="shared" si="12"/>
        <v>-9.9999999999999997E+98</v>
      </c>
      <c r="F218" s="58">
        <f t="shared" si="13"/>
        <v>9.9999999999999997E+98</v>
      </c>
      <c r="G218" s="58">
        <f t="shared" si="14"/>
        <v>-9.9999999999999997E+98</v>
      </c>
      <c r="H218" s="58">
        <f t="shared" si="15"/>
        <v>9.9999999999999997E+98</v>
      </c>
    </row>
    <row r="219" spans="1:8" x14ac:dyDescent="0.3">
      <c r="A219" s="42" t="str">
        <f>'TO HOP NLAN'!A219</f>
        <v/>
      </c>
      <c r="B219" s="42" t="str">
        <f>'TO HOP NLAN'!L219</f>
        <v>STRENGTH</v>
      </c>
      <c r="C219" s="58">
        <f>IF(A219="",0,MAX(IF('TS-PILE'!$B$72="",-1E+99,'TO HOP NLAN'!D219/ncoc+IF(SUMSQ('TS-PILE'!$E$72:$E$91)=0,0,'TO HOP NLAN'!E219*'TS-PILE'!$E$72/SUMSQ('TS-PILE'!$E$72:$E$91))+IF(SUMSQ('TS-PILE'!$D$72:$D$91)=0,0,'TO HOP NLAN'!F219*'TS-PILE'!$D$72/SUMSQ('TS-PILE'!$D$72:$D$91))),IF('TS-PILE'!$B$73="",-1E+99,'TO HOP NLAN'!D219/ncoc+IF(SUMSQ('TS-PILE'!$E$72:$E$91)=0,0,'TO HOP NLAN'!E219*'TS-PILE'!$E$73/SUMSQ('TS-PILE'!$E$72:$E$91))+IF(SUMSQ('TS-PILE'!$D$72:$D$91)=0,0,'TO HOP NLAN'!F219*'TS-PILE'!$D$73/SUMSQ('TS-PILE'!$D$72:$D$91))),IF('TS-PILE'!$B$74="",-1E+99,'TO HOP NLAN'!D219/ncoc+IF(SUMSQ('TS-PILE'!$E$72:$E$91)=0,0,'TO HOP NLAN'!E219*'TS-PILE'!$E$74/SUMSQ('TS-PILE'!$E$72:$E$91))+IF(SUMSQ('TS-PILE'!$D$72:$D$91)=0,0,'TO HOP NLAN'!F219*'TS-PILE'!$D$74/SUMSQ('TS-PILE'!$D$72:$D$91))),IF('TS-PILE'!$B$75="",-1E+99,'TO HOP NLAN'!D219/ncoc+IF(SUMSQ('TS-PILE'!$E$72:$E$91)=0,0,'TO HOP NLAN'!E219*'TS-PILE'!$E$75/SUMSQ('TS-PILE'!$E$72:$E$91))+IF(SUMSQ('TS-PILE'!$D$72:$D$91)=0,0,'TO HOP NLAN'!F219*'TS-PILE'!$D$75/SUMSQ('TS-PILE'!$D$72:$D$91))),IF('TS-PILE'!$B$76="",-1E+99,'TO HOP NLAN'!D219/ncoc+IF(SUMSQ('TS-PILE'!$E$72:$E$91)=0,0,'TO HOP NLAN'!E219*'TS-PILE'!$E$76/SUMSQ('TS-PILE'!$E$72:$E$91))+IF(SUMSQ('TS-PILE'!$D$72:$D$91)=0,0,'TO HOP NLAN'!F219*'TS-PILE'!$D$76/SUMSQ('TS-PILE'!$D$72:$D$91))),IF('TS-PILE'!$B$77="",-1E+99,'TO HOP NLAN'!D219/ncoc+IF(SUMSQ('TS-PILE'!$E$72:$E$91)=0,0,'TO HOP NLAN'!E219*'TS-PILE'!$E$77/SUMSQ('TS-PILE'!$E$72:$E$91))+IF(SUMSQ('TS-PILE'!$D$72:$D$91)=0,0,'TO HOP NLAN'!F219*'TS-PILE'!$D$77/SUMSQ('TS-PILE'!$D$72:$D$91))),IF('TS-PILE'!$B$78="",-1E+99,'TO HOP NLAN'!D219/ncoc+IF(SUMSQ('TS-PILE'!$E$72:$E$91)=0,0,'TO HOP NLAN'!E219*'TS-PILE'!$E$78/SUMSQ('TS-PILE'!$E$72:$E$91))+IF(SUMSQ('TS-PILE'!$D$72:$D$91)=0,0,'TO HOP NLAN'!F219*'TS-PILE'!$D$78/SUMSQ('TS-PILE'!$D$72:$D$91))),IF('TS-PILE'!$B$79="",-1E+99,'TO HOP NLAN'!D219/ncoc+IF(SUMSQ('TS-PILE'!$E$72:$E$91)=0,0,'TO HOP NLAN'!E219*'TS-PILE'!$E$79/SUMSQ('TS-PILE'!$E$72:$E$91))+IF(SUMSQ('TS-PILE'!$D$72:$D$91)=0,0,'TO HOP NLAN'!F219*'TS-PILE'!$D$79/SUMSQ('TS-PILE'!$D$72:$D$91))),IF('TS-PILE'!$B$80="",-1E+99,'TO HOP NLAN'!D219/ncoc+IF(SUMSQ('TS-PILE'!$E$72:$E$91)=0,0,'TO HOP NLAN'!E219*'TS-PILE'!$E$80/SUMSQ('TS-PILE'!$E$72:$E$91))+IF(SUMSQ('TS-PILE'!$D$72:$D$91)=0,0,'TO HOP NLAN'!F219*'TS-PILE'!$D$80/SUMSQ('TS-PILE'!$D$72:$D$91))),IF('TS-PILE'!$B$81="",-1E+99,'TO HOP NLAN'!D219/ncoc+IF(SUMSQ('TS-PILE'!$E$72:$E$91)=0,0,'TO HOP NLAN'!E219*'TS-PILE'!$E$81/SUMSQ('TS-PILE'!$E$72:$E$91))+IF(SUMSQ('TS-PILE'!$D$72:$D$91)=0,0,'TO HOP NLAN'!F219*'TS-PILE'!$D$81/SUMSQ('TS-PILE'!$D$72:$D$91))),IF('TS-PILE'!$B$82="",-1E+99,'TO HOP NLAN'!D219/ncoc+IF(SUMSQ('TS-PILE'!$E$72:$E$91)=0,0,'TO HOP NLAN'!E219*'TS-PILE'!$E$82/SUMSQ('TS-PILE'!$E$72:$E$91))+IF(SUMSQ('TS-PILE'!$D$72:$D$91)=0,0,'TO HOP NLAN'!F219*'TS-PILE'!$D$82/SUMSQ('TS-PILE'!$D$72:$D$91))),IF('TS-PILE'!$B$83="",-1E+99,'TO HOP NLAN'!D219/ncoc+IF(SUMSQ('TS-PILE'!$E$72:$E$91)=0,0,'TO HOP NLAN'!E219*'TS-PILE'!$E$83/SUMSQ('TS-PILE'!$E$72:$E$91))+IF(SUMSQ('TS-PILE'!$D$72:$D$91)=0,0,'TO HOP NLAN'!F219*'TS-PILE'!$D$83/SUMSQ('TS-PILE'!$D$72:$D$91))),IF('TS-PILE'!$B$84="",-1E+99,'TO HOP NLAN'!D219/ncoc+IF(SUMSQ('TS-PILE'!$E$72:$E$91)=0,0,'TO HOP NLAN'!E219*'TS-PILE'!$E$84/SUMSQ('TS-PILE'!$E$72:$E$91))+IF(SUMSQ('TS-PILE'!$D$72:$D$91)=0,0,'TO HOP NLAN'!F219*'TS-PILE'!$D$84/SUMSQ('TS-PILE'!$D$72:$D$91))),IF('TS-PILE'!$B$85="",-1E+99,'TO HOP NLAN'!D219/ncoc+IF(SUMSQ('TS-PILE'!$E$72:$E$91)=0,0,'TO HOP NLAN'!E219*'TS-PILE'!$E$85/SUMSQ('TS-PILE'!$E$72:$E$91))+IF(SUMSQ('TS-PILE'!$D$72:$D$91)=0,0,'TO HOP NLAN'!F219*'TS-PILE'!$D$85/SUMSQ('TS-PILE'!$D$72:$D$91))),IF('TS-PILE'!$B$86="",-1E+99,'TO HOP NLAN'!D219/ncoc+IF(SUMSQ('TS-PILE'!$E$72:$E$91)=0,0,'TO HOP NLAN'!E219*'TS-PILE'!$E$86/SUMSQ('TS-PILE'!$E$72:$E$91))+IF(SUMSQ('TS-PILE'!$D$72:$D$91)=0,0,'TO HOP NLAN'!F219*'TS-PILE'!$D$86/SUMSQ('TS-PILE'!$D$72:$D$91))),IF('TS-PILE'!$B$87="",-1E+99,'TO HOP NLAN'!D219/ncoc+IF(SUMSQ('TS-PILE'!$E$72:$E$91)=0,0,'TO HOP NLAN'!E219*'TS-PILE'!$E$87/SUMSQ('TS-PILE'!$E$72:$E$91))+IF(SUMSQ('TS-PILE'!$D$72:$D$91)=0,0,'TO HOP NLAN'!F219*'TS-PILE'!$D$87/SUMSQ('TS-PILE'!$D$72:$D$91))),IF('TS-PILE'!$B$88="",-1E+99,'TO HOP NLAN'!D219/ncoc+IF(SUMSQ('TS-PILE'!$E$72:$E$91)=0,0,'TO HOP NLAN'!E219*'TS-PILE'!$E$88/SUMSQ('TS-PILE'!$E$72:$E$91))+IF(SUMSQ('TS-PILE'!$D$72:$D$91)=0,0,'TO HOP NLAN'!F219*'TS-PILE'!$D$88/SUMSQ('TS-PILE'!$D$72:$D$91))),IF('TS-PILE'!$B$89="",-1E+99,'TO HOP NLAN'!D219/ncoc+IF(SUMSQ('TS-PILE'!$E$72:$E$91)=0,0,'TO HOP NLAN'!E219*'TS-PILE'!$E$89/SUMSQ('TS-PILE'!$E$72:$E$91))+IF(SUMSQ('TS-PILE'!$D$72:$D$91)=0,0,'TO HOP NLAN'!F219*'TS-PILE'!$D$89/SUMSQ('TS-PILE'!$D$72:$D$91))),IF('TS-PILE'!$B$90="",-1E+99,'TO HOP NLAN'!D219/ncoc+IF(SUMSQ('TS-PILE'!$E$72:$E$91)=0,0,'TO HOP NLAN'!E219*'TS-PILE'!$E$90/SUMSQ('TS-PILE'!$E$72:$E$91))+IF(SUMSQ('TS-PILE'!$D$72:$D$91)=0,0,'TO HOP NLAN'!F219*'TS-PILE'!$D$90/SUMSQ('TS-PILE'!$D$72:$D$91))),IF('TS-PILE'!$B$91="",-1E+99,'TO HOP NLAN'!D219/ncoc+IF(SUMSQ('TS-PILE'!$E$72:$E$91)=0,0,'TO HOP NLAN'!E219*'TS-PILE'!$E$91/SUMSQ('TS-PILE'!$E$72:$E$91))+IF(SUMSQ('TS-PILE'!$D$72:$D$91)=0,0,'TO HOP NLAN'!F219*'TS-PILE'!$D$91/SUMSQ('TS-PILE'!$D$72:$D$91)))))</f>
        <v>0</v>
      </c>
      <c r="D219" s="58">
        <f>IF(A219="",0,MIN(IF('TS-PILE'!$B$72="",1E+99,'TO HOP NLAN'!D219/ncoc+IF(SUMSQ('TS-PILE'!$E$72:$E$91)=0,0,'TO HOP NLAN'!E219*'TS-PILE'!$E$72/SUMSQ('TS-PILE'!$E$72:$E$91))+IF(SUMSQ('TS-PILE'!$D$72:$D$91)=0,0,'TO HOP NLAN'!F219*'TS-PILE'!$D$72/SUMSQ('TS-PILE'!$D$72:$D$91))),IF('TS-PILE'!$B$73="",1E+99,'TO HOP NLAN'!D219/ncoc+IF(SUMSQ('TS-PILE'!$E$72:$E$91)=0,0,'TO HOP NLAN'!E219*'TS-PILE'!$E$73/SUMSQ('TS-PILE'!$E$72:$E$91))+IF(SUMSQ('TS-PILE'!$D$72:$D$91)=0,0,'TO HOP NLAN'!F219*'TS-PILE'!$D$73/SUMSQ('TS-PILE'!$D$72:$D$91))),IF('TS-PILE'!$B$74="",1E+99,'TO HOP NLAN'!D219/ncoc+IF(SUMSQ('TS-PILE'!$E$72:$E$91)=0,0,'TO HOP NLAN'!E219*'TS-PILE'!$E$74/SUMSQ('TS-PILE'!$E$72:$E$91))+IF(SUMSQ('TS-PILE'!$D$72:$D$91)=0,0,'TO HOP NLAN'!F219*'TS-PILE'!$D$74/SUMSQ('TS-PILE'!$D$72:$D$91))),IF('TS-PILE'!$B$75="",1E+99,'TO HOP NLAN'!D219/ncoc+IF(SUMSQ('TS-PILE'!$E$72:$E$91)=0,0,'TO HOP NLAN'!E219*'TS-PILE'!$E$75/SUMSQ('TS-PILE'!$E$72:$E$91))+IF(SUMSQ('TS-PILE'!$D$72:$D$91)=0,0,'TO HOP NLAN'!F219*'TS-PILE'!$D$75/SUMSQ('TS-PILE'!$D$72:$D$91))),IF('TS-PILE'!$B$76="",1E+99,'TO HOP NLAN'!D219/ncoc+IF(SUMSQ('TS-PILE'!$E$72:$E$91)=0,0,'TO HOP NLAN'!E219*'TS-PILE'!$E$76/SUMSQ('TS-PILE'!$E$72:$E$91))+IF(SUMSQ('TS-PILE'!$D$72:$D$91)=0,0,'TO HOP NLAN'!F219*'TS-PILE'!$D$76/SUMSQ('TS-PILE'!$D$72:$D$91))),IF('TS-PILE'!$B$77="",1E+99,'TO HOP NLAN'!D219/ncoc+IF(SUMSQ('TS-PILE'!$E$72:$E$91)=0,0,'TO HOP NLAN'!E219*'TS-PILE'!$E$77/SUMSQ('TS-PILE'!$E$72:$E$91))+IF(SUMSQ('TS-PILE'!$D$72:$D$91)=0,0,'TO HOP NLAN'!F219*'TS-PILE'!$D$77/SUMSQ('TS-PILE'!$D$72:$D$91))),IF('TS-PILE'!$B$78="",1E+99,'TO HOP NLAN'!D219/ncoc+IF(SUMSQ('TS-PILE'!$E$72:$E$91)=0,0,'TO HOP NLAN'!E219*'TS-PILE'!$E$78/SUMSQ('TS-PILE'!$E$72:$E$91))+IF(SUMSQ('TS-PILE'!$D$72:$D$91)=0,0,'TO HOP NLAN'!F219*'TS-PILE'!$D$78/SUMSQ('TS-PILE'!$D$72:$D$91))),IF('TS-PILE'!$B$79="",1E+99,'TO HOP NLAN'!D219/ncoc+IF(SUMSQ('TS-PILE'!$E$72:$E$91)=0,0,'TO HOP NLAN'!E219*'TS-PILE'!$E$79/SUMSQ('TS-PILE'!$E$72:$E$91))+IF(SUMSQ('TS-PILE'!$D$72:$D$91)=0,0,'TO HOP NLAN'!F219*'TS-PILE'!$D$79/SUMSQ('TS-PILE'!$D$72:$D$91))),IF('TS-PILE'!$B$80="",1E+99,'TO HOP NLAN'!D219/ncoc+IF(SUMSQ('TS-PILE'!$E$72:$E$91)=0,0,'TO HOP NLAN'!E219*'TS-PILE'!$E$80/SUMSQ('TS-PILE'!$E$72:$E$91))+IF(SUMSQ('TS-PILE'!$D$72:$D$91)=0,0,'TO HOP NLAN'!F219*'TS-PILE'!$D$80/SUMSQ('TS-PILE'!$D$72:$D$91))),IF('TS-PILE'!$B$81="",1E+99,'TO HOP NLAN'!D219/ncoc+IF(SUMSQ('TS-PILE'!$E$72:$E$91)=0,0,'TO HOP NLAN'!E219*'TS-PILE'!$E$81/SUMSQ('TS-PILE'!$E$72:$E$91))+IF(SUMSQ('TS-PILE'!$D$72:$D$91)=0,0,'TO HOP NLAN'!F219*'TS-PILE'!$D$81/SUMSQ('TS-PILE'!$D$72:$D$91))),IF('TS-PILE'!$B$82="",1E+99,'TO HOP NLAN'!D219/ncoc+IF(SUMSQ('TS-PILE'!$E$72:$E$91)=0,0,'TO HOP NLAN'!E219*'TS-PILE'!$E$82/SUMSQ('TS-PILE'!$E$72:$E$91))+IF(SUMSQ('TS-PILE'!$D$72:$D$91)=0,0,'TO HOP NLAN'!F219*'TS-PILE'!$D$82/SUMSQ('TS-PILE'!$D$72:$D$91))),IF('TS-PILE'!$B$83="",1E+99,'TO HOP NLAN'!D219/ncoc+IF(SUMSQ('TS-PILE'!$E$72:$E$91)=0,0,'TO HOP NLAN'!E219*'TS-PILE'!$E$83/SUMSQ('TS-PILE'!$E$72:$E$91))+IF(SUMSQ('TS-PILE'!$D$72:$D$91)=0,0,'TO HOP NLAN'!F219*'TS-PILE'!$D$83/SUMSQ('TS-PILE'!$D$72:$D$91))),IF('TS-PILE'!$B$84="",1E+99,'TO HOP NLAN'!D219/ncoc+IF(SUMSQ('TS-PILE'!$E$72:$E$91)=0,0,'TO HOP NLAN'!E219*'TS-PILE'!$E$84/SUMSQ('TS-PILE'!$E$72:$E$91))+IF(SUMSQ('TS-PILE'!$D$72:$D$91)=0,0,'TO HOP NLAN'!F219*'TS-PILE'!$D$84/SUMSQ('TS-PILE'!$D$72:$D$91))),IF('TS-PILE'!$B$85="",1E+99,'TO HOP NLAN'!D219/ncoc+IF(SUMSQ('TS-PILE'!$E$72:$E$91)=0,0,'TO HOP NLAN'!E219*'TS-PILE'!$E$85/SUMSQ('TS-PILE'!$E$72:$E$91))+IF(SUMSQ('TS-PILE'!$D$72:$D$91)=0,0,'TO HOP NLAN'!F219*'TS-PILE'!$D$85/SUMSQ('TS-PILE'!$D$72:$D$91))),IF('TS-PILE'!$B$86="",1E+99,'TO HOP NLAN'!D219/ncoc+IF(SUMSQ('TS-PILE'!$E$72:$E$91)=0,0,'TO HOP NLAN'!E219*'TS-PILE'!$E$86/SUMSQ('TS-PILE'!$E$72:$E$91))+IF(SUMSQ('TS-PILE'!$D$72:$D$91)=0,0,'TO HOP NLAN'!F219*'TS-PILE'!$D$86/SUMSQ('TS-PILE'!$D$72:$D$91))),IF('TS-PILE'!$B$87="",1E+99,'TO HOP NLAN'!D219/ncoc+IF(SUMSQ('TS-PILE'!$E$72:$E$91)=0,0,'TO HOP NLAN'!E219*'TS-PILE'!$E$87/SUMSQ('TS-PILE'!$E$72:$E$91))+IF(SUMSQ('TS-PILE'!$D$72:$D$91)=0,0,'TO HOP NLAN'!F219*'TS-PILE'!$D$87/SUMSQ('TS-PILE'!$D$72:$D$91))),IF('TS-PILE'!$B$88="",1E+99,'TO HOP NLAN'!D219/ncoc+IF(SUMSQ('TS-PILE'!$E$72:$E$91)=0,0,'TO HOP NLAN'!E219*'TS-PILE'!$E$88/SUMSQ('TS-PILE'!$E$72:$E$91))+IF(SUMSQ('TS-PILE'!$D$72:$D$91)=0,0,'TO HOP NLAN'!F219*'TS-PILE'!$D$88/SUMSQ('TS-PILE'!$D$72:$D$91))),IF('TS-PILE'!$B$89="",1E+99,'TO HOP NLAN'!D219/ncoc+IF(SUMSQ('TS-PILE'!$E$72:$E$91)=0,0,'TO HOP NLAN'!E219*'TS-PILE'!$E$89/SUMSQ('TS-PILE'!$E$72:$E$91))+IF(SUMSQ('TS-PILE'!$D$72:$D$91)=0,0,'TO HOP NLAN'!F219*'TS-PILE'!$D$89/SUMSQ('TS-PILE'!$D$72:$D$91))),IF('TS-PILE'!$B$90="",1E+99,'TO HOP NLAN'!D219/ncoc+IF(SUMSQ('TS-PILE'!$E$72:$E$91)=0,0,'TO HOP NLAN'!E219*'TS-PILE'!$E$90/SUMSQ('TS-PILE'!$E$72:$E$91))+IF(SUMSQ('TS-PILE'!$D$72:$D$91)=0,0,'TO HOP NLAN'!F219*'TS-PILE'!$D$90/SUMSQ('TS-PILE'!$D$72:$D$91))),IF('TS-PILE'!$B$91="",1E+99,'TO HOP NLAN'!D219/ncoc+IF(SUMSQ('TS-PILE'!$E$72:$E$91)=0,0,'TO HOP NLAN'!E219*'TS-PILE'!$E$91/SUMSQ('TS-PILE'!$E$72:$E$91))+IF(SUMSQ('TS-PILE'!$D$72:$D$91)=0,0,'TO HOP NLAN'!F219*'TS-PILE'!$D$91/SUMSQ('TS-PILE'!$D$72:$D$91)))))</f>
        <v>0</v>
      </c>
      <c r="E219" s="58">
        <f t="shared" si="12"/>
        <v>-9.9999999999999997E+98</v>
      </c>
      <c r="F219" s="58">
        <f t="shared" si="13"/>
        <v>9.9999999999999997E+98</v>
      </c>
      <c r="G219" s="58">
        <f t="shared" si="14"/>
        <v>-9.9999999999999997E+98</v>
      </c>
      <c r="H219" s="58">
        <f t="shared" si="15"/>
        <v>9.9999999999999997E+98</v>
      </c>
    </row>
    <row r="220" spans="1:8" x14ac:dyDescent="0.3">
      <c r="A220" s="42" t="str">
        <f>'TO HOP NLAN'!A220</f>
        <v/>
      </c>
      <c r="B220" s="42" t="str">
        <f>'TO HOP NLAN'!L220</f>
        <v>STRENGTH</v>
      </c>
      <c r="C220" s="58">
        <f>IF(A220="",0,MAX(IF('TS-PILE'!$B$72="",-1E+99,'TO HOP NLAN'!D220/ncoc+IF(SUMSQ('TS-PILE'!$E$72:$E$91)=0,0,'TO HOP NLAN'!E220*'TS-PILE'!$E$72/SUMSQ('TS-PILE'!$E$72:$E$91))+IF(SUMSQ('TS-PILE'!$D$72:$D$91)=0,0,'TO HOP NLAN'!F220*'TS-PILE'!$D$72/SUMSQ('TS-PILE'!$D$72:$D$91))),IF('TS-PILE'!$B$73="",-1E+99,'TO HOP NLAN'!D220/ncoc+IF(SUMSQ('TS-PILE'!$E$72:$E$91)=0,0,'TO HOP NLAN'!E220*'TS-PILE'!$E$73/SUMSQ('TS-PILE'!$E$72:$E$91))+IF(SUMSQ('TS-PILE'!$D$72:$D$91)=0,0,'TO HOP NLAN'!F220*'TS-PILE'!$D$73/SUMSQ('TS-PILE'!$D$72:$D$91))),IF('TS-PILE'!$B$74="",-1E+99,'TO HOP NLAN'!D220/ncoc+IF(SUMSQ('TS-PILE'!$E$72:$E$91)=0,0,'TO HOP NLAN'!E220*'TS-PILE'!$E$74/SUMSQ('TS-PILE'!$E$72:$E$91))+IF(SUMSQ('TS-PILE'!$D$72:$D$91)=0,0,'TO HOP NLAN'!F220*'TS-PILE'!$D$74/SUMSQ('TS-PILE'!$D$72:$D$91))),IF('TS-PILE'!$B$75="",-1E+99,'TO HOP NLAN'!D220/ncoc+IF(SUMSQ('TS-PILE'!$E$72:$E$91)=0,0,'TO HOP NLAN'!E220*'TS-PILE'!$E$75/SUMSQ('TS-PILE'!$E$72:$E$91))+IF(SUMSQ('TS-PILE'!$D$72:$D$91)=0,0,'TO HOP NLAN'!F220*'TS-PILE'!$D$75/SUMSQ('TS-PILE'!$D$72:$D$91))),IF('TS-PILE'!$B$76="",-1E+99,'TO HOP NLAN'!D220/ncoc+IF(SUMSQ('TS-PILE'!$E$72:$E$91)=0,0,'TO HOP NLAN'!E220*'TS-PILE'!$E$76/SUMSQ('TS-PILE'!$E$72:$E$91))+IF(SUMSQ('TS-PILE'!$D$72:$D$91)=0,0,'TO HOP NLAN'!F220*'TS-PILE'!$D$76/SUMSQ('TS-PILE'!$D$72:$D$91))),IF('TS-PILE'!$B$77="",-1E+99,'TO HOP NLAN'!D220/ncoc+IF(SUMSQ('TS-PILE'!$E$72:$E$91)=0,0,'TO HOP NLAN'!E220*'TS-PILE'!$E$77/SUMSQ('TS-PILE'!$E$72:$E$91))+IF(SUMSQ('TS-PILE'!$D$72:$D$91)=0,0,'TO HOP NLAN'!F220*'TS-PILE'!$D$77/SUMSQ('TS-PILE'!$D$72:$D$91))),IF('TS-PILE'!$B$78="",-1E+99,'TO HOP NLAN'!D220/ncoc+IF(SUMSQ('TS-PILE'!$E$72:$E$91)=0,0,'TO HOP NLAN'!E220*'TS-PILE'!$E$78/SUMSQ('TS-PILE'!$E$72:$E$91))+IF(SUMSQ('TS-PILE'!$D$72:$D$91)=0,0,'TO HOP NLAN'!F220*'TS-PILE'!$D$78/SUMSQ('TS-PILE'!$D$72:$D$91))),IF('TS-PILE'!$B$79="",-1E+99,'TO HOP NLAN'!D220/ncoc+IF(SUMSQ('TS-PILE'!$E$72:$E$91)=0,0,'TO HOP NLAN'!E220*'TS-PILE'!$E$79/SUMSQ('TS-PILE'!$E$72:$E$91))+IF(SUMSQ('TS-PILE'!$D$72:$D$91)=0,0,'TO HOP NLAN'!F220*'TS-PILE'!$D$79/SUMSQ('TS-PILE'!$D$72:$D$91))),IF('TS-PILE'!$B$80="",-1E+99,'TO HOP NLAN'!D220/ncoc+IF(SUMSQ('TS-PILE'!$E$72:$E$91)=0,0,'TO HOP NLAN'!E220*'TS-PILE'!$E$80/SUMSQ('TS-PILE'!$E$72:$E$91))+IF(SUMSQ('TS-PILE'!$D$72:$D$91)=0,0,'TO HOP NLAN'!F220*'TS-PILE'!$D$80/SUMSQ('TS-PILE'!$D$72:$D$91))),IF('TS-PILE'!$B$81="",-1E+99,'TO HOP NLAN'!D220/ncoc+IF(SUMSQ('TS-PILE'!$E$72:$E$91)=0,0,'TO HOP NLAN'!E220*'TS-PILE'!$E$81/SUMSQ('TS-PILE'!$E$72:$E$91))+IF(SUMSQ('TS-PILE'!$D$72:$D$91)=0,0,'TO HOP NLAN'!F220*'TS-PILE'!$D$81/SUMSQ('TS-PILE'!$D$72:$D$91))),IF('TS-PILE'!$B$82="",-1E+99,'TO HOP NLAN'!D220/ncoc+IF(SUMSQ('TS-PILE'!$E$72:$E$91)=0,0,'TO HOP NLAN'!E220*'TS-PILE'!$E$82/SUMSQ('TS-PILE'!$E$72:$E$91))+IF(SUMSQ('TS-PILE'!$D$72:$D$91)=0,0,'TO HOP NLAN'!F220*'TS-PILE'!$D$82/SUMSQ('TS-PILE'!$D$72:$D$91))),IF('TS-PILE'!$B$83="",-1E+99,'TO HOP NLAN'!D220/ncoc+IF(SUMSQ('TS-PILE'!$E$72:$E$91)=0,0,'TO HOP NLAN'!E220*'TS-PILE'!$E$83/SUMSQ('TS-PILE'!$E$72:$E$91))+IF(SUMSQ('TS-PILE'!$D$72:$D$91)=0,0,'TO HOP NLAN'!F220*'TS-PILE'!$D$83/SUMSQ('TS-PILE'!$D$72:$D$91))),IF('TS-PILE'!$B$84="",-1E+99,'TO HOP NLAN'!D220/ncoc+IF(SUMSQ('TS-PILE'!$E$72:$E$91)=0,0,'TO HOP NLAN'!E220*'TS-PILE'!$E$84/SUMSQ('TS-PILE'!$E$72:$E$91))+IF(SUMSQ('TS-PILE'!$D$72:$D$91)=0,0,'TO HOP NLAN'!F220*'TS-PILE'!$D$84/SUMSQ('TS-PILE'!$D$72:$D$91))),IF('TS-PILE'!$B$85="",-1E+99,'TO HOP NLAN'!D220/ncoc+IF(SUMSQ('TS-PILE'!$E$72:$E$91)=0,0,'TO HOP NLAN'!E220*'TS-PILE'!$E$85/SUMSQ('TS-PILE'!$E$72:$E$91))+IF(SUMSQ('TS-PILE'!$D$72:$D$91)=0,0,'TO HOP NLAN'!F220*'TS-PILE'!$D$85/SUMSQ('TS-PILE'!$D$72:$D$91))),IF('TS-PILE'!$B$86="",-1E+99,'TO HOP NLAN'!D220/ncoc+IF(SUMSQ('TS-PILE'!$E$72:$E$91)=0,0,'TO HOP NLAN'!E220*'TS-PILE'!$E$86/SUMSQ('TS-PILE'!$E$72:$E$91))+IF(SUMSQ('TS-PILE'!$D$72:$D$91)=0,0,'TO HOP NLAN'!F220*'TS-PILE'!$D$86/SUMSQ('TS-PILE'!$D$72:$D$91))),IF('TS-PILE'!$B$87="",-1E+99,'TO HOP NLAN'!D220/ncoc+IF(SUMSQ('TS-PILE'!$E$72:$E$91)=0,0,'TO HOP NLAN'!E220*'TS-PILE'!$E$87/SUMSQ('TS-PILE'!$E$72:$E$91))+IF(SUMSQ('TS-PILE'!$D$72:$D$91)=0,0,'TO HOP NLAN'!F220*'TS-PILE'!$D$87/SUMSQ('TS-PILE'!$D$72:$D$91))),IF('TS-PILE'!$B$88="",-1E+99,'TO HOP NLAN'!D220/ncoc+IF(SUMSQ('TS-PILE'!$E$72:$E$91)=0,0,'TO HOP NLAN'!E220*'TS-PILE'!$E$88/SUMSQ('TS-PILE'!$E$72:$E$91))+IF(SUMSQ('TS-PILE'!$D$72:$D$91)=0,0,'TO HOP NLAN'!F220*'TS-PILE'!$D$88/SUMSQ('TS-PILE'!$D$72:$D$91))),IF('TS-PILE'!$B$89="",-1E+99,'TO HOP NLAN'!D220/ncoc+IF(SUMSQ('TS-PILE'!$E$72:$E$91)=0,0,'TO HOP NLAN'!E220*'TS-PILE'!$E$89/SUMSQ('TS-PILE'!$E$72:$E$91))+IF(SUMSQ('TS-PILE'!$D$72:$D$91)=0,0,'TO HOP NLAN'!F220*'TS-PILE'!$D$89/SUMSQ('TS-PILE'!$D$72:$D$91))),IF('TS-PILE'!$B$90="",-1E+99,'TO HOP NLAN'!D220/ncoc+IF(SUMSQ('TS-PILE'!$E$72:$E$91)=0,0,'TO HOP NLAN'!E220*'TS-PILE'!$E$90/SUMSQ('TS-PILE'!$E$72:$E$91))+IF(SUMSQ('TS-PILE'!$D$72:$D$91)=0,0,'TO HOP NLAN'!F220*'TS-PILE'!$D$90/SUMSQ('TS-PILE'!$D$72:$D$91))),IF('TS-PILE'!$B$91="",-1E+99,'TO HOP NLAN'!D220/ncoc+IF(SUMSQ('TS-PILE'!$E$72:$E$91)=0,0,'TO HOP NLAN'!E220*'TS-PILE'!$E$91/SUMSQ('TS-PILE'!$E$72:$E$91))+IF(SUMSQ('TS-PILE'!$D$72:$D$91)=0,0,'TO HOP NLAN'!F220*'TS-PILE'!$D$91/SUMSQ('TS-PILE'!$D$72:$D$91)))))</f>
        <v>0</v>
      </c>
      <c r="D220" s="58">
        <f>IF(A220="",0,MIN(IF('TS-PILE'!$B$72="",1E+99,'TO HOP NLAN'!D220/ncoc+IF(SUMSQ('TS-PILE'!$E$72:$E$91)=0,0,'TO HOP NLAN'!E220*'TS-PILE'!$E$72/SUMSQ('TS-PILE'!$E$72:$E$91))+IF(SUMSQ('TS-PILE'!$D$72:$D$91)=0,0,'TO HOP NLAN'!F220*'TS-PILE'!$D$72/SUMSQ('TS-PILE'!$D$72:$D$91))),IF('TS-PILE'!$B$73="",1E+99,'TO HOP NLAN'!D220/ncoc+IF(SUMSQ('TS-PILE'!$E$72:$E$91)=0,0,'TO HOP NLAN'!E220*'TS-PILE'!$E$73/SUMSQ('TS-PILE'!$E$72:$E$91))+IF(SUMSQ('TS-PILE'!$D$72:$D$91)=0,0,'TO HOP NLAN'!F220*'TS-PILE'!$D$73/SUMSQ('TS-PILE'!$D$72:$D$91))),IF('TS-PILE'!$B$74="",1E+99,'TO HOP NLAN'!D220/ncoc+IF(SUMSQ('TS-PILE'!$E$72:$E$91)=0,0,'TO HOP NLAN'!E220*'TS-PILE'!$E$74/SUMSQ('TS-PILE'!$E$72:$E$91))+IF(SUMSQ('TS-PILE'!$D$72:$D$91)=0,0,'TO HOP NLAN'!F220*'TS-PILE'!$D$74/SUMSQ('TS-PILE'!$D$72:$D$91))),IF('TS-PILE'!$B$75="",1E+99,'TO HOP NLAN'!D220/ncoc+IF(SUMSQ('TS-PILE'!$E$72:$E$91)=0,0,'TO HOP NLAN'!E220*'TS-PILE'!$E$75/SUMSQ('TS-PILE'!$E$72:$E$91))+IF(SUMSQ('TS-PILE'!$D$72:$D$91)=0,0,'TO HOP NLAN'!F220*'TS-PILE'!$D$75/SUMSQ('TS-PILE'!$D$72:$D$91))),IF('TS-PILE'!$B$76="",1E+99,'TO HOP NLAN'!D220/ncoc+IF(SUMSQ('TS-PILE'!$E$72:$E$91)=0,0,'TO HOP NLAN'!E220*'TS-PILE'!$E$76/SUMSQ('TS-PILE'!$E$72:$E$91))+IF(SUMSQ('TS-PILE'!$D$72:$D$91)=0,0,'TO HOP NLAN'!F220*'TS-PILE'!$D$76/SUMSQ('TS-PILE'!$D$72:$D$91))),IF('TS-PILE'!$B$77="",1E+99,'TO HOP NLAN'!D220/ncoc+IF(SUMSQ('TS-PILE'!$E$72:$E$91)=0,0,'TO HOP NLAN'!E220*'TS-PILE'!$E$77/SUMSQ('TS-PILE'!$E$72:$E$91))+IF(SUMSQ('TS-PILE'!$D$72:$D$91)=0,0,'TO HOP NLAN'!F220*'TS-PILE'!$D$77/SUMSQ('TS-PILE'!$D$72:$D$91))),IF('TS-PILE'!$B$78="",1E+99,'TO HOP NLAN'!D220/ncoc+IF(SUMSQ('TS-PILE'!$E$72:$E$91)=0,0,'TO HOP NLAN'!E220*'TS-PILE'!$E$78/SUMSQ('TS-PILE'!$E$72:$E$91))+IF(SUMSQ('TS-PILE'!$D$72:$D$91)=0,0,'TO HOP NLAN'!F220*'TS-PILE'!$D$78/SUMSQ('TS-PILE'!$D$72:$D$91))),IF('TS-PILE'!$B$79="",1E+99,'TO HOP NLAN'!D220/ncoc+IF(SUMSQ('TS-PILE'!$E$72:$E$91)=0,0,'TO HOP NLAN'!E220*'TS-PILE'!$E$79/SUMSQ('TS-PILE'!$E$72:$E$91))+IF(SUMSQ('TS-PILE'!$D$72:$D$91)=0,0,'TO HOP NLAN'!F220*'TS-PILE'!$D$79/SUMSQ('TS-PILE'!$D$72:$D$91))),IF('TS-PILE'!$B$80="",1E+99,'TO HOP NLAN'!D220/ncoc+IF(SUMSQ('TS-PILE'!$E$72:$E$91)=0,0,'TO HOP NLAN'!E220*'TS-PILE'!$E$80/SUMSQ('TS-PILE'!$E$72:$E$91))+IF(SUMSQ('TS-PILE'!$D$72:$D$91)=0,0,'TO HOP NLAN'!F220*'TS-PILE'!$D$80/SUMSQ('TS-PILE'!$D$72:$D$91))),IF('TS-PILE'!$B$81="",1E+99,'TO HOP NLAN'!D220/ncoc+IF(SUMSQ('TS-PILE'!$E$72:$E$91)=0,0,'TO HOP NLAN'!E220*'TS-PILE'!$E$81/SUMSQ('TS-PILE'!$E$72:$E$91))+IF(SUMSQ('TS-PILE'!$D$72:$D$91)=0,0,'TO HOP NLAN'!F220*'TS-PILE'!$D$81/SUMSQ('TS-PILE'!$D$72:$D$91))),IF('TS-PILE'!$B$82="",1E+99,'TO HOP NLAN'!D220/ncoc+IF(SUMSQ('TS-PILE'!$E$72:$E$91)=0,0,'TO HOP NLAN'!E220*'TS-PILE'!$E$82/SUMSQ('TS-PILE'!$E$72:$E$91))+IF(SUMSQ('TS-PILE'!$D$72:$D$91)=0,0,'TO HOP NLAN'!F220*'TS-PILE'!$D$82/SUMSQ('TS-PILE'!$D$72:$D$91))),IF('TS-PILE'!$B$83="",1E+99,'TO HOP NLAN'!D220/ncoc+IF(SUMSQ('TS-PILE'!$E$72:$E$91)=0,0,'TO HOP NLAN'!E220*'TS-PILE'!$E$83/SUMSQ('TS-PILE'!$E$72:$E$91))+IF(SUMSQ('TS-PILE'!$D$72:$D$91)=0,0,'TO HOP NLAN'!F220*'TS-PILE'!$D$83/SUMSQ('TS-PILE'!$D$72:$D$91))),IF('TS-PILE'!$B$84="",1E+99,'TO HOP NLAN'!D220/ncoc+IF(SUMSQ('TS-PILE'!$E$72:$E$91)=0,0,'TO HOP NLAN'!E220*'TS-PILE'!$E$84/SUMSQ('TS-PILE'!$E$72:$E$91))+IF(SUMSQ('TS-PILE'!$D$72:$D$91)=0,0,'TO HOP NLAN'!F220*'TS-PILE'!$D$84/SUMSQ('TS-PILE'!$D$72:$D$91))),IF('TS-PILE'!$B$85="",1E+99,'TO HOP NLAN'!D220/ncoc+IF(SUMSQ('TS-PILE'!$E$72:$E$91)=0,0,'TO HOP NLAN'!E220*'TS-PILE'!$E$85/SUMSQ('TS-PILE'!$E$72:$E$91))+IF(SUMSQ('TS-PILE'!$D$72:$D$91)=0,0,'TO HOP NLAN'!F220*'TS-PILE'!$D$85/SUMSQ('TS-PILE'!$D$72:$D$91))),IF('TS-PILE'!$B$86="",1E+99,'TO HOP NLAN'!D220/ncoc+IF(SUMSQ('TS-PILE'!$E$72:$E$91)=0,0,'TO HOP NLAN'!E220*'TS-PILE'!$E$86/SUMSQ('TS-PILE'!$E$72:$E$91))+IF(SUMSQ('TS-PILE'!$D$72:$D$91)=0,0,'TO HOP NLAN'!F220*'TS-PILE'!$D$86/SUMSQ('TS-PILE'!$D$72:$D$91))),IF('TS-PILE'!$B$87="",1E+99,'TO HOP NLAN'!D220/ncoc+IF(SUMSQ('TS-PILE'!$E$72:$E$91)=0,0,'TO HOP NLAN'!E220*'TS-PILE'!$E$87/SUMSQ('TS-PILE'!$E$72:$E$91))+IF(SUMSQ('TS-PILE'!$D$72:$D$91)=0,0,'TO HOP NLAN'!F220*'TS-PILE'!$D$87/SUMSQ('TS-PILE'!$D$72:$D$91))),IF('TS-PILE'!$B$88="",1E+99,'TO HOP NLAN'!D220/ncoc+IF(SUMSQ('TS-PILE'!$E$72:$E$91)=0,0,'TO HOP NLAN'!E220*'TS-PILE'!$E$88/SUMSQ('TS-PILE'!$E$72:$E$91))+IF(SUMSQ('TS-PILE'!$D$72:$D$91)=0,0,'TO HOP NLAN'!F220*'TS-PILE'!$D$88/SUMSQ('TS-PILE'!$D$72:$D$91))),IF('TS-PILE'!$B$89="",1E+99,'TO HOP NLAN'!D220/ncoc+IF(SUMSQ('TS-PILE'!$E$72:$E$91)=0,0,'TO HOP NLAN'!E220*'TS-PILE'!$E$89/SUMSQ('TS-PILE'!$E$72:$E$91))+IF(SUMSQ('TS-PILE'!$D$72:$D$91)=0,0,'TO HOP NLAN'!F220*'TS-PILE'!$D$89/SUMSQ('TS-PILE'!$D$72:$D$91))),IF('TS-PILE'!$B$90="",1E+99,'TO HOP NLAN'!D220/ncoc+IF(SUMSQ('TS-PILE'!$E$72:$E$91)=0,0,'TO HOP NLAN'!E220*'TS-PILE'!$E$90/SUMSQ('TS-PILE'!$E$72:$E$91))+IF(SUMSQ('TS-PILE'!$D$72:$D$91)=0,0,'TO HOP NLAN'!F220*'TS-PILE'!$D$90/SUMSQ('TS-PILE'!$D$72:$D$91))),IF('TS-PILE'!$B$91="",1E+99,'TO HOP NLAN'!D220/ncoc+IF(SUMSQ('TS-PILE'!$E$72:$E$91)=0,0,'TO HOP NLAN'!E220*'TS-PILE'!$E$91/SUMSQ('TS-PILE'!$E$72:$E$91))+IF(SUMSQ('TS-PILE'!$D$72:$D$91)=0,0,'TO HOP NLAN'!F220*'TS-PILE'!$D$91/SUMSQ('TS-PILE'!$D$72:$D$91)))))</f>
        <v>0</v>
      </c>
      <c r="E220" s="58">
        <f t="shared" si="12"/>
        <v>-9.9999999999999997E+98</v>
      </c>
      <c r="F220" s="58">
        <f t="shared" si="13"/>
        <v>9.9999999999999997E+98</v>
      </c>
      <c r="G220" s="58">
        <f t="shared" si="14"/>
        <v>-9.9999999999999997E+98</v>
      </c>
      <c r="H220" s="58">
        <f t="shared" si="15"/>
        <v>9.9999999999999997E+98</v>
      </c>
    </row>
    <row r="221" spans="1:8" x14ac:dyDescent="0.3">
      <c r="A221" s="42" t="str">
        <f>'TO HOP NLAN'!A221</f>
        <v/>
      </c>
      <c r="B221" s="42" t="str">
        <f>'TO HOP NLAN'!L221</f>
        <v>STRENGTH</v>
      </c>
      <c r="C221" s="58">
        <f>IF(A221="",0,MAX(IF('TS-PILE'!$B$72="",-1E+99,'TO HOP NLAN'!D221/ncoc+IF(SUMSQ('TS-PILE'!$E$72:$E$91)=0,0,'TO HOP NLAN'!E221*'TS-PILE'!$E$72/SUMSQ('TS-PILE'!$E$72:$E$91))+IF(SUMSQ('TS-PILE'!$D$72:$D$91)=0,0,'TO HOP NLAN'!F221*'TS-PILE'!$D$72/SUMSQ('TS-PILE'!$D$72:$D$91))),IF('TS-PILE'!$B$73="",-1E+99,'TO HOP NLAN'!D221/ncoc+IF(SUMSQ('TS-PILE'!$E$72:$E$91)=0,0,'TO HOP NLAN'!E221*'TS-PILE'!$E$73/SUMSQ('TS-PILE'!$E$72:$E$91))+IF(SUMSQ('TS-PILE'!$D$72:$D$91)=0,0,'TO HOP NLAN'!F221*'TS-PILE'!$D$73/SUMSQ('TS-PILE'!$D$72:$D$91))),IF('TS-PILE'!$B$74="",-1E+99,'TO HOP NLAN'!D221/ncoc+IF(SUMSQ('TS-PILE'!$E$72:$E$91)=0,0,'TO HOP NLAN'!E221*'TS-PILE'!$E$74/SUMSQ('TS-PILE'!$E$72:$E$91))+IF(SUMSQ('TS-PILE'!$D$72:$D$91)=0,0,'TO HOP NLAN'!F221*'TS-PILE'!$D$74/SUMSQ('TS-PILE'!$D$72:$D$91))),IF('TS-PILE'!$B$75="",-1E+99,'TO HOP NLAN'!D221/ncoc+IF(SUMSQ('TS-PILE'!$E$72:$E$91)=0,0,'TO HOP NLAN'!E221*'TS-PILE'!$E$75/SUMSQ('TS-PILE'!$E$72:$E$91))+IF(SUMSQ('TS-PILE'!$D$72:$D$91)=0,0,'TO HOP NLAN'!F221*'TS-PILE'!$D$75/SUMSQ('TS-PILE'!$D$72:$D$91))),IF('TS-PILE'!$B$76="",-1E+99,'TO HOP NLAN'!D221/ncoc+IF(SUMSQ('TS-PILE'!$E$72:$E$91)=0,0,'TO HOP NLAN'!E221*'TS-PILE'!$E$76/SUMSQ('TS-PILE'!$E$72:$E$91))+IF(SUMSQ('TS-PILE'!$D$72:$D$91)=0,0,'TO HOP NLAN'!F221*'TS-PILE'!$D$76/SUMSQ('TS-PILE'!$D$72:$D$91))),IF('TS-PILE'!$B$77="",-1E+99,'TO HOP NLAN'!D221/ncoc+IF(SUMSQ('TS-PILE'!$E$72:$E$91)=0,0,'TO HOP NLAN'!E221*'TS-PILE'!$E$77/SUMSQ('TS-PILE'!$E$72:$E$91))+IF(SUMSQ('TS-PILE'!$D$72:$D$91)=0,0,'TO HOP NLAN'!F221*'TS-PILE'!$D$77/SUMSQ('TS-PILE'!$D$72:$D$91))),IF('TS-PILE'!$B$78="",-1E+99,'TO HOP NLAN'!D221/ncoc+IF(SUMSQ('TS-PILE'!$E$72:$E$91)=0,0,'TO HOP NLAN'!E221*'TS-PILE'!$E$78/SUMSQ('TS-PILE'!$E$72:$E$91))+IF(SUMSQ('TS-PILE'!$D$72:$D$91)=0,0,'TO HOP NLAN'!F221*'TS-PILE'!$D$78/SUMSQ('TS-PILE'!$D$72:$D$91))),IF('TS-PILE'!$B$79="",-1E+99,'TO HOP NLAN'!D221/ncoc+IF(SUMSQ('TS-PILE'!$E$72:$E$91)=0,0,'TO HOP NLAN'!E221*'TS-PILE'!$E$79/SUMSQ('TS-PILE'!$E$72:$E$91))+IF(SUMSQ('TS-PILE'!$D$72:$D$91)=0,0,'TO HOP NLAN'!F221*'TS-PILE'!$D$79/SUMSQ('TS-PILE'!$D$72:$D$91))),IF('TS-PILE'!$B$80="",-1E+99,'TO HOP NLAN'!D221/ncoc+IF(SUMSQ('TS-PILE'!$E$72:$E$91)=0,0,'TO HOP NLAN'!E221*'TS-PILE'!$E$80/SUMSQ('TS-PILE'!$E$72:$E$91))+IF(SUMSQ('TS-PILE'!$D$72:$D$91)=0,0,'TO HOP NLAN'!F221*'TS-PILE'!$D$80/SUMSQ('TS-PILE'!$D$72:$D$91))),IF('TS-PILE'!$B$81="",-1E+99,'TO HOP NLAN'!D221/ncoc+IF(SUMSQ('TS-PILE'!$E$72:$E$91)=0,0,'TO HOP NLAN'!E221*'TS-PILE'!$E$81/SUMSQ('TS-PILE'!$E$72:$E$91))+IF(SUMSQ('TS-PILE'!$D$72:$D$91)=0,0,'TO HOP NLAN'!F221*'TS-PILE'!$D$81/SUMSQ('TS-PILE'!$D$72:$D$91))),IF('TS-PILE'!$B$82="",-1E+99,'TO HOP NLAN'!D221/ncoc+IF(SUMSQ('TS-PILE'!$E$72:$E$91)=0,0,'TO HOP NLAN'!E221*'TS-PILE'!$E$82/SUMSQ('TS-PILE'!$E$72:$E$91))+IF(SUMSQ('TS-PILE'!$D$72:$D$91)=0,0,'TO HOP NLAN'!F221*'TS-PILE'!$D$82/SUMSQ('TS-PILE'!$D$72:$D$91))),IF('TS-PILE'!$B$83="",-1E+99,'TO HOP NLAN'!D221/ncoc+IF(SUMSQ('TS-PILE'!$E$72:$E$91)=0,0,'TO HOP NLAN'!E221*'TS-PILE'!$E$83/SUMSQ('TS-PILE'!$E$72:$E$91))+IF(SUMSQ('TS-PILE'!$D$72:$D$91)=0,0,'TO HOP NLAN'!F221*'TS-PILE'!$D$83/SUMSQ('TS-PILE'!$D$72:$D$91))),IF('TS-PILE'!$B$84="",-1E+99,'TO HOP NLAN'!D221/ncoc+IF(SUMSQ('TS-PILE'!$E$72:$E$91)=0,0,'TO HOP NLAN'!E221*'TS-PILE'!$E$84/SUMSQ('TS-PILE'!$E$72:$E$91))+IF(SUMSQ('TS-PILE'!$D$72:$D$91)=0,0,'TO HOP NLAN'!F221*'TS-PILE'!$D$84/SUMSQ('TS-PILE'!$D$72:$D$91))),IF('TS-PILE'!$B$85="",-1E+99,'TO HOP NLAN'!D221/ncoc+IF(SUMSQ('TS-PILE'!$E$72:$E$91)=0,0,'TO HOP NLAN'!E221*'TS-PILE'!$E$85/SUMSQ('TS-PILE'!$E$72:$E$91))+IF(SUMSQ('TS-PILE'!$D$72:$D$91)=0,0,'TO HOP NLAN'!F221*'TS-PILE'!$D$85/SUMSQ('TS-PILE'!$D$72:$D$91))),IF('TS-PILE'!$B$86="",-1E+99,'TO HOP NLAN'!D221/ncoc+IF(SUMSQ('TS-PILE'!$E$72:$E$91)=0,0,'TO HOP NLAN'!E221*'TS-PILE'!$E$86/SUMSQ('TS-PILE'!$E$72:$E$91))+IF(SUMSQ('TS-PILE'!$D$72:$D$91)=0,0,'TO HOP NLAN'!F221*'TS-PILE'!$D$86/SUMSQ('TS-PILE'!$D$72:$D$91))),IF('TS-PILE'!$B$87="",-1E+99,'TO HOP NLAN'!D221/ncoc+IF(SUMSQ('TS-PILE'!$E$72:$E$91)=0,0,'TO HOP NLAN'!E221*'TS-PILE'!$E$87/SUMSQ('TS-PILE'!$E$72:$E$91))+IF(SUMSQ('TS-PILE'!$D$72:$D$91)=0,0,'TO HOP NLAN'!F221*'TS-PILE'!$D$87/SUMSQ('TS-PILE'!$D$72:$D$91))),IF('TS-PILE'!$B$88="",-1E+99,'TO HOP NLAN'!D221/ncoc+IF(SUMSQ('TS-PILE'!$E$72:$E$91)=0,0,'TO HOP NLAN'!E221*'TS-PILE'!$E$88/SUMSQ('TS-PILE'!$E$72:$E$91))+IF(SUMSQ('TS-PILE'!$D$72:$D$91)=0,0,'TO HOP NLAN'!F221*'TS-PILE'!$D$88/SUMSQ('TS-PILE'!$D$72:$D$91))),IF('TS-PILE'!$B$89="",-1E+99,'TO HOP NLAN'!D221/ncoc+IF(SUMSQ('TS-PILE'!$E$72:$E$91)=0,0,'TO HOP NLAN'!E221*'TS-PILE'!$E$89/SUMSQ('TS-PILE'!$E$72:$E$91))+IF(SUMSQ('TS-PILE'!$D$72:$D$91)=0,0,'TO HOP NLAN'!F221*'TS-PILE'!$D$89/SUMSQ('TS-PILE'!$D$72:$D$91))),IF('TS-PILE'!$B$90="",-1E+99,'TO HOP NLAN'!D221/ncoc+IF(SUMSQ('TS-PILE'!$E$72:$E$91)=0,0,'TO HOP NLAN'!E221*'TS-PILE'!$E$90/SUMSQ('TS-PILE'!$E$72:$E$91))+IF(SUMSQ('TS-PILE'!$D$72:$D$91)=0,0,'TO HOP NLAN'!F221*'TS-PILE'!$D$90/SUMSQ('TS-PILE'!$D$72:$D$91))),IF('TS-PILE'!$B$91="",-1E+99,'TO HOP NLAN'!D221/ncoc+IF(SUMSQ('TS-PILE'!$E$72:$E$91)=0,0,'TO HOP NLAN'!E221*'TS-PILE'!$E$91/SUMSQ('TS-PILE'!$E$72:$E$91))+IF(SUMSQ('TS-PILE'!$D$72:$D$91)=0,0,'TO HOP NLAN'!F221*'TS-PILE'!$D$91/SUMSQ('TS-PILE'!$D$72:$D$91)))))</f>
        <v>0</v>
      </c>
      <c r="D221" s="58">
        <f>IF(A221="",0,MIN(IF('TS-PILE'!$B$72="",1E+99,'TO HOP NLAN'!D221/ncoc+IF(SUMSQ('TS-PILE'!$E$72:$E$91)=0,0,'TO HOP NLAN'!E221*'TS-PILE'!$E$72/SUMSQ('TS-PILE'!$E$72:$E$91))+IF(SUMSQ('TS-PILE'!$D$72:$D$91)=0,0,'TO HOP NLAN'!F221*'TS-PILE'!$D$72/SUMSQ('TS-PILE'!$D$72:$D$91))),IF('TS-PILE'!$B$73="",1E+99,'TO HOP NLAN'!D221/ncoc+IF(SUMSQ('TS-PILE'!$E$72:$E$91)=0,0,'TO HOP NLAN'!E221*'TS-PILE'!$E$73/SUMSQ('TS-PILE'!$E$72:$E$91))+IF(SUMSQ('TS-PILE'!$D$72:$D$91)=0,0,'TO HOP NLAN'!F221*'TS-PILE'!$D$73/SUMSQ('TS-PILE'!$D$72:$D$91))),IF('TS-PILE'!$B$74="",1E+99,'TO HOP NLAN'!D221/ncoc+IF(SUMSQ('TS-PILE'!$E$72:$E$91)=0,0,'TO HOP NLAN'!E221*'TS-PILE'!$E$74/SUMSQ('TS-PILE'!$E$72:$E$91))+IF(SUMSQ('TS-PILE'!$D$72:$D$91)=0,0,'TO HOP NLAN'!F221*'TS-PILE'!$D$74/SUMSQ('TS-PILE'!$D$72:$D$91))),IF('TS-PILE'!$B$75="",1E+99,'TO HOP NLAN'!D221/ncoc+IF(SUMSQ('TS-PILE'!$E$72:$E$91)=0,0,'TO HOP NLAN'!E221*'TS-PILE'!$E$75/SUMSQ('TS-PILE'!$E$72:$E$91))+IF(SUMSQ('TS-PILE'!$D$72:$D$91)=0,0,'TO HOP NLAN'!F221*'TS-PILE'!$D$75/SUMSQ('TS-PILE'!$D$72:$D$91))),IF('TS-PILE'!$B$76="",1E+99,'TO HOP NLAN'!D221/ncoc+IF(SUMSQ('TS-PILE'!$E$72:$E$91)=0,0,'TO HOP NLAN'!E221*'TS-PILE'!$E$76/SUMSQ('TS-PILE'!$E$72:$E$91))+IF(SUMSQ('TS-PILE'!$D$72:$D$91)=0,0,'TO HOP NLAN'!F221*'TS-PILE'!$D$76/SUMSQ('TS-PILE'!$D$72:$D$91))),IF('TS-PILE'!$B$77="",1E+99,'TO HOP NLAN'!D221/ncoc+IF(SUMSQ('TS-PILE'!$E$72:$E$91)=0,0,'TO HOP NLAN'!E221*'TS-PILE'!$E$77/SUMSQ('TS-PILE'!$E$72:$E$91))+IF(SUMSQ('TS-PILE'!$D$72:$D$91)=0,0,'TO HOP NLAN'!F221*'TS-PILE'!$D$77/SUMSQ('TS-PILE'!$D$72:$D$91))),IF('TS-PILE'!$B$78="",1E+99,'TO HOP NLAN'!D221/ncoc+IF(SUMSQ('TS-PILE'!$E$72:$E$91)=0,0,'TO HOP NLAN'!E221*'TS-PILE'!$E$78/SUMSQ('TS-PILE'!$E$72:$E$91))+IF(SUMSQ('TS-PILE'!$D$72:$D$91)=0,0,'TO HOP NLAN'!F221*'TS-PILE'!$D$78/SUMSQ('TS-PILE'!$D$72:$D$91))),IF('TS-PILE'!$B$79="",1E+99,'TO HOP NLAN'!D221/ncoc+IF(SUMSQ('TS-PILE'!$E$72:$E$91)=0,0,'TO HOP NLAN'!E221*'TS-PILE'!$E$79/SUMSQ('TS-PILE'!$E$72:$E$91))+IF(SUMSQ('TS-PILE'!$D$72:$D$91)=0,0,'TO HOP NLAN'!F221*'TS-PILE'!$D$79/SUMSQ('TS-PILE'!$D$72:$D$91))),IF('TS-PILE'!$B$80="",1E+99,'TO HOP NLAN'!D221/ncoc+IF(SUMSQ('TS-PILE'!$E$72:$E$91)=0,0,'TO HOP NLAN'!E221*'TS-PILE'!$E$80/SUMSQ('TS-PILE'!$E$72:$E$91))+IF(SUMSQ('TS-PILE'!$D$72:$D$91)=0,0,'TO HOP NLAN'!F221*'TS-PILE'!$D$80/SUMSQ('TS-PILE'!$D$72:$D$91))),IF('TS-PILE'!$B$81="",1E+99,'TO HOP NLAN'!D221/ncoc+IF(SUMSQ('TS-PILE'!$E$72:$E$91)=0,0,'TO HOP NLAN'!E221*'TS-PILE'!$E$81/SUMSQ('TS-PILE'!$E$72:$E$91))+IF(SUMSQ('TS-PILE'!$D$72:$D$91)=0,0,'TO HOP NLAN'!F221*'TS-PILE'!$D$81/SUMSQ('TS-PILE'!$D$72:$D$91))),IF('TS-PILE'!$B$82="",1E+99,'TO HOP NLAN'!D221/ncoc+IF(SUMSQ('TS-PILE'!$E$72:$E$91)=0,0,'TO HOP NLAN'!E221*'TS-PILE'!$E$82/SUMSQ('TS-PILE'!$E$72:$E$91))+IF(SUMSQ('TS-PILE'!$D$72:$D$91)=0,0,'TO HOP NLAN'!F221*'TS-PILE'!$D$82/SUMSQ('TS-PILE'!$D$72:$D$91))),IF('TS-PILE'!$B$83="",1E+99,'TO HOP NLAN'!D221/ncoc+IF(SUMSQ('TS-PILE'!$E$72:$E$91)=0,0,'TO HOP NLAN'!E221*'TS-PILE'!$E$83/SUMSQ('TS-PILE'!$E$72:$E$91))+IF(SUMSQ('TS-PILE'!$D$72:$D$91)=0,0,'TO HOP NLAN'!F221*'TS-PILE'!$D$83/SUMSQ('TS-PILE'!$D$72:$D$91))),IF('TS-PILE'!$B$84="",1E+99,'TO HOP NLAN'!D221/ncoc+IF(SUMSQ('TS-PILE'!$E$72:$E$91)=0,0,'TO HOP NLAN'!E221*'TS-PILE'!$E$84/SUMSQ('TS-PILE'!$E$72:$E$91))+IF(SUMSQ('TS-PILE'!$D$72:$D$91)=0,0,'TO HOP NLAN'!F221*'TS-PILE'!$D$84/SUMSQ('TS-PILE'!$D$72:$D$91))),IF('TS-PILE'!$B$85="",1E+99,'TO HOP NLAN'!D221/ncoc+IF(SUMSQ('TS-PILE'!$E$72:$E$91)=0,0,'TO HOP NLAN'!E221*'TS-PILE'!$E$85/SUMSQ('TS-PILE'!$E$72:$E$91))+IF(SUMSQ('TS-PILE'!$D$72:$D$91)=0,0,'TO HOP NLAN'!F221*'TS-PILE'!$D$85/SUMSQ('TS-PILE'!$D$72:$D$91))),IF('TS-PILE'!$B$86="",1E+99,'TO HOP NLAN'!D221/ncoc+IF(SUMSQ('TS-PILE'!$E$72:$E$91)=0,0,'TO HOP NLAN'!E221*'TS-PILE'!$E$86/SUMSQ('TS-PILE'!$E$72:$E$91))+IF(SUMSQ('TS-PILE'!$D$72:$D$91)=0,0,'TO HOP NLAN'!F221*'TS-PILE'!$D$86/SUMSQ('TS-PILE'!$D$72:$D$91))),IF('TS-PILE'!$B$87="",1E+99,'TO HOP NLAN'!D221/ncoc+IF(SUMSQ('TS-PILE'!$E$72:$E$91)=0,0,'TO HOP NLAN'!E221*'TS-PILE'!$E$87/SUMSQ('TS-PILE'!$E$72:$E$91))+IF(SUMSQ('TS-PILE'!$D$72:$D$91)=0,0,'TO HOP NLAN'!F221*'TS-PILE'!$D$87/SUMSQ('TS-PILE'!$D$72:$D$91))),IF('TS-PILE'!$B$88="",1E+99,'TO HOP NLAN'!D221/ncoc+IF(SUMSQ('TS-PILE'!$E$72:$E$91)=0,0,'TO HOP NLAN'!E221*'TS-PILE'!$E$88/SUMSQ('TS-PILE'!$E$72:$E$91))+IF(SUMSQ('TS-PILE'!$D$72:$D$91)=0,0,'TO HOP NLAN'!F221*'TS-PILE'!$D$88/SUMSQ('TS-PILE'!$D$72:$D$91))),IF('TS-PILE'!$B$89="",1E+99,'TO HOP NLAN'!D221/ncoc+IF(SUMSQ('TS-PILE'!$E$72:$E$91)=0,0,'TO HOP NLAN'!E221*'TS-PILE'!$E$89/SUMSQ('TS-PILE'!$E$72:$E$91))+IF(SUMSQ('TS-PILE'!$D$72:$D$91)=0,0,'TO HOP NLAN'!F221*'TS-PILE'!$D$89/SUMSQ('TS-PILE'!$D$72:$D$91))),IF('TS-PILE'!$B$90="",1E+99,'TO HOP NLAN'!D221/ncoc+IF(SUMSQ('TS-PILE'!$E$72:$E$91)=0,0,'TO HOP NLAN'!E221*'TS-PILE'!$E$90/SUMSQ('TS-PILE'!$E$72:$E$91))+IF(SUMSQ('TS-PILE'!$D$72:$D$91)=0,0,'TO HOP NLAN'!F221*'TS-PILE'!$D$90/SUMSQ('TS-PILE'!$D$72:$D$91))),IF('TS-PILE'!$B$91="",1E+99,'TO HOP NLAN'!D221/ncoc+IF(SUMSQ('TS-PILE'!$E$72:$E$91)=0,0,'TO HOP NLAN'!E221*'TS-PILE'!$E$91/SUMSQ('TS-PILE'!$E$72:$E$91))+IF(SUMSQ('TS-PILE'!$D$72:$D$91)=0,0,'TO HOP NLAN'!F221*'TS-PILE'!$D$91/SUMSQ('TS-PILE'!$D$72:$D$91)))))</f>
        <v>0</v>
      </c>
      <c r="E221" s="58">
        <f t="shared" si="12"/>
        <v>-9.9999999999999997E+98</v>
      </c>
      <c r="F221" s="58">
        <f t="shared" si="13"/>
        <v>9.9999999999999997E+98</v>
      </c>
      <c r="G221" s="58">
        <f t="shared" si="14"/>
        <v>-9.9999999999999997E+98</v>
      </c>
      <c r="H221" s="58">
        <f t="shared" si="15"/>
        <v>9.9999999999999997E+98</v>
      </c>
    </row>
    <row r="222" spans="1:8" x14ac:dyDescent="0.3">
      <c r="A222" s="42" t="str">
        <f>'TO HOP NLAN'!A222</f>
        <v/>
      </c>
      <c r="B222" s="42" t="str">
        <f>'TO HOP NLAN'!L222</f>
        <v>STRENGTH</v>
      </c>
      <c r="C222" s="58">
        <f>IF(A222="",0,MAX(IF('TS-PILE'!$B$72="",-1E+99,'TO HOP NLAN'!D222/ncoc+IF(SUMSQ('TS-PILE'!$E$72:$E$91)=0,0,'TO HOP NLAN'!E222*'TS-PILE'!$E$72/SUMSQ('TS-PILE'!$E$72:$E$91))+IF(SUMSQ('TS-PILE'!$D$72:$D$91)=0,0,'TO HOP NLAN'!F222*'TS-PILE'!$D$72/SUMSQ('TS-PILE'!$D$72:$D$91))),IF('TS-PILE'!$B$73="",-1E+99,'TO HOP NLAN'!D222/ncoc+IF(SUMSQ('TS-PILE'!$E$72:$E$91)=0,0,'TO HOP NLAN'!E222*'TS-PILE'!$E$73/SUMSQ('TS-PILE'!$E$72:$E$91))+IF(SUMSQ('TS-PILE'!$D$72:$D$91)=0,0,'TO HOP NLAN'!F222*'TS-PILE'!$D$73/SUMSQ('TS-PILE'!$D$72:$D$91))),IF('TS-PILE'!$B$74="",-1E+99,'TO HOP NLAN'!D222/ncoc+IF(SUMSQ('TS-PILE'!$E$72:$E$91)=0,0,'TO HOP NLAN'!E222*'TS-PILE'!$E$74/SUMSQ('TS-PILE'!$E$72:$E$91))+IF(SUMSQ('TS-PILE'!$D$72:$D$91)=0,0,'TO HOP NLAN'!F222*'TS-PILE'!$D$74/SUMSQ('TS-PILE'!$D$72:$D$91))),IF('TS-PILE'!$B$75="",-1E+99,'TO HOP NLAN'!D222/ncoc+IF(SUMSQ('TS-PILE'!$E$72:$E$91)=0,0,'TO HOP NLAN'!E222*'TS-PILE'!$E$75/SUMSQ('TS-PILE'!$E$72:$E$91))+IF(SUMSQ('TS-PILE'!$D$72:$D$91)=0,0,'TO HOP NLAN'!F222*'TS-PILE'!$D$75/SUMSQ('TS-PILE'!$D$72:$D$91))),IF('TS-PILE'!$B$76="",-1E+99,'TO HOP NLAN'!D222/ncoc+IF(SUMSQ('TS-PILE'!$E$72:$E$91)=0,0,'TO HOP NLAN'!E222*'TS-PILE'!$E$76/SUMSQ('TS-PILE'!$E$72:$E$91))+IF(SUMSQ('TS-PILE'!$D$72:$D$91)=0,0,'TO HOP NLAN'!F222*'TS-PILE'!$D$76/SUMSQ('TS-PILE'!$D$72:$D$91))),IF('TS-PILE'!$B$77="",-1E+99,'TO HOP NLAN'!D222/ncoc+IF(SUMSQ('TS-PILE'!$E$72:$E$91)=0,0,'TO HOP NLAN'!E222*'TS-PILE'!$E$77/SUMSQ('TS-PILE'!$E$72:$E$91))+IF(SUMSQ('TS-PILE'!$D$72:$D$91)=0,0,'TO HOP NLAN'!F222*'TS-PILE'!$D$77/SUMSQ('TS-PILE'!$D$72:$D$91))),IF('TS-PILE'!$B$78="",-1E+99,'TO HOP NLAN'!D222/ncoc+IF(SUMSQ('TS-PILE'!$E$72:$E$91)=0,0,'TO HOP NLAN'!E222*'TS-PILE'!$E$78/SUMSQ('TS-PILE'!$E$72:$E$91))+IF(SUMSQ('TS-PILE'!$D$72:$D$91)=0,0,'TO HOP NLAN'!F222*'TS-PILE'!$D$78/SUMSQ('TS-PILE'!$D$72:$D$91))),IF('TS-PILE'!$B$79="",-1E+99,'TO HOP NLAN'!D222/ncoc+IF(SUMSQ('TS-PILE'!$E$72:$E$91)=0,0,'TO HOP NLAN'!E222*'TS-PILE'!$E$79/SUMSQ('TS-PILE'!$E$72:$E$91))+IF(SUMSQ('TS-PILE'!$D$72:$D$91)=0,0,'TO HOP NLAN'!F222*'TS-PILE'!$D$79/SUMSQ('TS-PILE'!$D$72:$D$91))),IF('TS-PILE'!$B$80="",-1E+99,'TO HOP NLAN'!D222/ncoc+IF(SUMSQ('TS-PILE'!$E$72:$E$91)=0,0,'TO HOP NLAN'!E222*'TS-PILE'!$E$80/SUMSQ('TS-PILE'!$E$72:$E$91))+IF(SUMSQ('TS-PILE'!$D$72:$D$91)=0,0,'TO HOP NLAN'!F222*'TS-PILE'!$D$80/SUMSQ('TS-PILE'!$D$72:$D$91))),IF('TS-PILE'!$B$81="",-1E+99,'TO HOP NLAN'!D222/ncoc+IF(SUMSQ('TS-PILE'!$E$72:$E$91)=0,0,'TO HOP NLAN'!E222*'TS-PILE'!$E$81/SUMSQ('TS-PILE'!$E$72:$E$91))+IF(SUMSQ('TS-PILE'!$D$72:$D$91)=0,0,'TO HOP NLAN'!F222*'TS-PILE'!$D$81/SUMSQ('TS-PILE'!$D$72:$D$91))),IF('TS-PILE'!$B$82="",-1E+99,'TO HOP NLAN'!D222/ncoc+IF(SUMSQ('TS-PILE'!$E$72:$E$91)=0,0,'TO HOP NLAN'!E222*'TS-PILE'!$E$82/SUMSQ('TS-PILE'!$E$72:$E$91))+IF(SUMSQ('TS-PILE'!$D$72:$D$91)=0,0,'TO HOP NLAN'!F222*'TS-PILE'!$D$82/SUMSQ('TS-PILE'!$D$72:$D$91))),IF('TS-PILE'!$B$83="",-1E+99,'TO HOP NLAN'!D222/ncoc+IF(SUMSQ('TS-PILE'!$E$72:$E$91)=0,0,'TO HOP NLAN'!E222*'TS-PILE'!$E$83/SUMSQ('TS-PILE'!$E$72:$E$91))+IF(SUMSQ('TS-PILE'!$D$72:$D$91)=0,0,'TO HOP NLAN'!F222*'TS-PILE'!$D$83/SUMSQ('TS-PILE'!$D$72:$D$91))),IF('TS-PILE'!$B$84="",-1E+99,'TO HOP NLAN'!D222/ncoc+IF(SUMSQ('TS-PILE'!$E$72:$E$91)=0,0,'TO HOP NLAN'!E222*'TS-PILE'!$E$84/SUMSQ('TS-PILE'!$E$72:$E$91))+IF(SUMSQ('TS-PILE'!$D$72:$D$91)=0,0,'TO HOP NLAN'!F222*'TS-PILE'!$D$84/SUMSQ('TS-PILE'!$D$72:$D$91))),IF('TS-PILE'!$B$85="",-1E+99,'TO HOP NLAN'!D222/ncoc+IF(SUMSQ('TS-PILE'!$E$72:$E$91)=0,0,'TO HOP NLAN'!E222*'TS-PILE'!$E$85/SUMSQ('TS-PILE'!$E$72:$E$91))+IF(SUMSQ('TS-PILE'!$D$72:$D$91)=0,0,'TO HOP NLAN'!F222*'TS-PILE'!$D$85/SUMSQ('TS-PILE'!$D$72:$D$91))),IF('TS-PILE'!$B$86="",-1E+99,'TO HOP NLAN'!D222/ncoc+IF(SUMSQ('TS-PILE'!$E$72:$E$91)=0,0,'TO HOP NLAN'!E222*'TS-PILE'!$E$86/SUMSQ('TS-PILE'!$E$72:$E$91))+IF(SUMSQ('TS-PILE'!$D$72:$D$91)=0,0,'TO HOP NLAN'!F222*'TS-PILE'!$D$86/SUMSQ('TS-PILE'!$D$72:$D$91))),IF('TS-PILE'!$B$87="",-1E+99,'TO HOP NLAN'!D222/ncoc+IF(SUMSQ('TS-PILE'!$E$72:$E$91)=0,0,'TO HOP NLAN'!E222*'TS-PILE'!$E$87/SUMSQ('TS-PILE'!$E$72:$E$91))+IF(SUMSQ('TS-PILE'!$D$72:$D$91)=0,0,'TO HOP NLAN'!F222*'TS-PILE'!$D$87/SUMSQ('TS-PILE'!$D$72:$D$91))),IF('TS-PILE'!$B$88="",-1E+99,'TO HOP NLAN'!D222/ncoc+IF(SUMSQ('TS-PILE'!$E$72:$E$91)=0,0,'TO HOP NLAN'!E222*'TS-PILE'!$E$88/SUMSQ('TS-PILE'!$E$72:$E$91))+IF(SUMSQ('TS-PILE'!$D$72:$D$91)=0,0,'TO HOP NLAN'!F222*'TS-PILE'!$D$88/SUMSQ('TS-PILE'!$D$72:$D$91))),IF('TS-PILE'!$B$89="",-1E+99,'TO HOP NLAN'!D222/ncoc+IF(SUMSQ('TS-PILE'!$E$72:$E$91)=0,0,'TO HOP NLAN'!E222*'TS-PILE'!$E$89/SUMSQ('TS-PILE'!$E$72:$E$91))+IF(SUMSQ('TS-PILE'!$D$72:$D$91)=0,0,'TO HOP NLAN'!F222*'TS-PILE'!$D$89/SUMSQ('TS-PILE'!$D$72:$D$91))),IF('TS-PILE'!$B$90="",-1E+99,'TO HOP NLAN'!D222/ncoc+IF(SUMSQ('TS-PILE'!$E$72:$E$91)=0,0,'TO HOP NLAN'!E222*'TS-PILE'!$E$90/SUMSQ('TS-PILE'!$E$72:$E$91))+IF(SUMSQ('TS-PILE'!$D$72:$D$91)=0,0,'TO HOP NLAN'!F222*'TS-PILE'!$D$90/SUMSQ('TS-PILE'!$D$72:$D$91))),IF('TS-PILE'!$B$91="",-1E+99,'TO HOP NLAN'!D222/ncoc+IF(SUMSQ('TS-PILE'!$E$72:$E$91)=0,0,'TO HOP NLAN'!E222*'TS-PILE'!$E$91/SUMSQ('TS-PILE'!$E$72:$E$91))+IF(SUMSQ('TS-PILE'!$D$72:$D$91)=0,0,'TO HOP NLAN'!F222*'TS-PILE'!$D$91/SUMSQ('TS-PILE'!$D$72:$D$91)))))</f>
        <v>0</v>
      </c>
      <c r="D222" s="58">
        <f>IF(A222="",0,MIN(IF('TS-PILE'!$B$72="",1E+99,'TO HOP NLAN'!D222/ncoc+IF(SUMSQ('TS-PILE'!$E$72:$E$91)=0,0,'TO HOP NLAN'!E222*'TS-PILE'!$E$72/SUMSQ('TS-PILE'!$E$72:$E$91))+IF(SUMSQ('TS-PILE'!$D$72:$D$91)=0,0,'TO HOP NLAN'!F222*'TS-PILE'!$D$72/SUMSQ('TS-PILE'!$D$72:$D$91))),IF('TS-PILE'!$B$73="",1E+99,'TO HOP NLAN'!D222/ncoc+IF(SUMSQ('TS-PILE'!$E$72:$E$91)=0,0,'TO HOP NLAN'!E222*'TS-PILE'!$E$73/SUMSQ('TS-PILE'!$E$72:$E$91))+IF(SUMSQ('TS-PILE'!$D$72:$D$91)=0,0,'TO HOP NLAN'!F222*'TS-PILE'!$D$73/SUMSQ('TS-PILE'!$D$72:$D$91))),IF('TS-PILE'!$B$74="",1E+99,'TO HOP NLAN'!D222/ncoc+IF(SUMSQ('TS-PILE'!$E$72:$E$91)=0,0,'TO HOP NLAN'!E222*'TS-PILE'!$E$74/SUMSQ('TS-PILE'!$E$72:$E$91))+IF(SUMSQ('TS-PILE'!$D$72:$D$91)=0,0,'TO HOP NLAN'!F222*'TS-PILE'!$D$74/SUMSQ('TS-PILE'!$D$72:$D$91))),IF('TS-PILE'!$B$75="",1E+99,'TO HOP NLAN'!D222/ncoc+IF(SUMSQ('TS-PILE'!$E$72:$E$91)=0,0,'TO HOP NLAN'!E222*'TS-PILE'!$E$75/SUMSQ('TS-PILE'!$E$72:$E$91))+IF(SUMSQ('TS-PILE'!$D$72:$D$91)=0,0,'TO HOP NLAN'!F222*'TS-PILE'!$D$75/SUMSQ('TS-PILE'!$D$72:$D$91))),IF('TS-PILE'!$B$76="",1E+99,'TO HOP NLAN'!D222/ncoc+IF(SUMSQ('TS-PILE'!$E$72:$E$91)=0,0,'TO HOP NLAN'!E222*'TS-PILE'!$E$76/SUMSQ('TS-PILE'!$E$72:$E$91))+IF(SUMSQ('TS-PILE'!$D$72:$D$91)=0,0,'TO HOP NLAN'!F222*'TS-PILE'!$D$76/SUMSQ('TS-PILE'!$D$72:$D$91))),IF('TS-PILE'!$B$77="",1E+99,'TO HOP NLAN'!D222/ncoc+IF(SUMSQ('TS-PILE'!$E$72:$E$91)=0,0,'TO HOP NLAN'!E222*'TS-PILE'!$E$77/SUMSQ('TS-PILE'!$E$72:$E$91))+IF(SUMSQ('TS-PILE'!$D$72:$D$91)=0,0,'TO HOP NLAN'!F222*'TS-PILE'!$D$77/SUMSQ('TS-PILE'!$D$72:$D$91))),IF('TS-PILE'!$B$78="",1E+99,'TO HOP NLAN'!D222/ncoc+IF(SUMSQ('TS-PILE'!$E$72:$E$91)=0,0,'TO HOP NLAN'!E222*'TS-PILE'!$E$78/SUMSQ('TS-PILE'!$E$72:$E$91))+IF(SUMSQ('TS-PILE'!$D$72:$D$91)=0,0,'TO HOP NLAN'!F222*'TS-PILE'!$D$78/SUMSQ('TS-PILE'!$D$72:$D$91))),IF('TS-PILE'!$B$79="",1E+99,'TO HOP NLAN'!D222/ncoc+IF(SUMSQ('TS-PILE'!$E$72:$E$91)=0,0,'TO HOP NLAN'!E222*'TS-PILE'!$E$79/SUMSQ('TS-PILE'!$E$72:$E$91))+IF(SUMSQ('TS-PILE'!$D$72:$D$91)=0,0,'TO HOP NLAN'!F222*'TS-PILE'!$D$79/SUMSQ('TS-PILE'!$D$72:$D$91))),IF('TS-PILE'!$B$80="",1E+99,'TO HOP NLAN'!D222/ncoc+IF(SUMSQ('TS-PILE'!$E$72:$E$91)=0,0,'TO HOP NLAN'!E222*'TS-PILE'!$E$80/SUMSQ('TS-PILE'!$E$72:$E$91))+IF(SUMSQ('TS-PILE'!$D$72:$D$91)=0,0,'TO HOP NLAN'!F222*'TS-PILE'!$D$80/SUMSQ('TS-PILE'!$D$72:$D$91))),IF('TS-PILE'!$B$81="",1E+99,'TO HOP NLAN'!D222/ncoc+IF(SUMSQ('TS-PILE'!$E$72:$E$91)=0,0,'TO HOP NLAN'!E222*'TS-PILE'!$E$81/SUMSQ('TS-PILE'!$E$72:$E$91))+IF(SUMSQ('TS-PILE'!$D$72:$D$91)=0,0,'TO HOP NLAN'!F222*'TS-PILE'!$D$81/SUMSQ('TS-PILE'!$D$72:$D$91))),IF('TS-PILE'!$B$82="",1E+99,'TO HOP NLAN'!D222/ncoc+IF(SUMSQ('TS-PILE'!$E$72:$E$91)=0,0,'TO HOP NLAN'!E222*'TS-PILE'!$E$82/SUMSQ('TS-PILE'!$E$72:$E$91))+IF(SUMSQ('TS-PILE'!$D$72:$D$91)=0,0,'TO HOP NLAN'!F222*'TS-PILE'!$D$82/SUMSQ('TS-PILE'!$D$72:$D$91))),IF('TS-PILE'!$B$83="",1E+99,'TO HOP NLAN'!D222/ncoc+IF(SUMSQ('TS-PILE'!$E$72:$E$91)=0,0,'TO HOP NLAN'!E222*'TS-PILE'!$E$83/SUMSQ('TS-PILE'!$E$72:$E$91))+IF(SUMSQ('TS-PILE'!$D$72:$D$91)=0,0,'TO HOP NLAN'!F222*'TS-PILE'!$D$83/SUMSQ('TS-PILE'!$D$72:$D$91))),IF('TS-PILE'!$B$84="",1E+99,'TO HOP NLAN'!D222/ncoc+IF(SUMSQ('TS-PILE'!$E$72:$E$91)=0,0,'TO HOP NLAN'!E222*'TS-PILE'!$E$84/SUMSQ('TS-PILE'!$E$72:$E$91))+IF(SUMSQ('TS-PILE'!$D$72:$D$91)=0,0,'TO HOP NLAN'!F222*'TS-PILE'!$D$84/SUMSQ('TS-PILE'!$D$72:$D$91))),IF('TS-PILE'!$B$85="",1E+99,'TO HOP NLAN'!D222/ncoc+IF(SUMSQ('TS-PILE'!$E$72:$E$91)=0,0,'TO HOP NLAN'!E222*'TS-PILE'!$E$85/SUMSQ('TS-PILE'!$E$72:$E$91))+IF(SUMSQ('TS-PILE'!$D$72:$D$91)=0,0,'TO HOP NLAN'!F222*'TS-PILE'!$D$85/SUMSQ('TS-PILE'!$D$72:$D$91))),IF('TS-PILE'!$B$86="",1E+99,'TO HOP NLAN'!D222/ncoc+IF(SUMSQ('TS-PILE'!$E$72:$E$91)=0,0,'TO HOP NLAN'!E222*'TS-PILE'!$E$86/SUMSQ('TS-PILE'!$E$72:$E$91))+IF(SUMSQ('TS-PILE'!$D$72:$D$91)=0,0,'TO HOP NLAN'!F222*'TS-PILE'!$D$86/SUMSQ('TS-PILE'!$D$72:$D$91))),IF('TS-PILE'!$B$87="",1E+99,'TO HOP NLAN'!D222/ncoc+IF(SUMSQ('TS-PILE'!$E$72:$E$91)=0,0,'TO HOP NLAN'!E222*'TS-PILE'!$E$87/SUMSQ('TS-PILE'!$E$72:$E$91))+IF(SUMSQ('TS-PILE'!$D$72:$D$91)=0,0,'TO HOP NLAN'!F222*'TS-PILE'!$D$87/SUMSQ('TS-PILE'!$D$72:$D$91))),IF('TS-PILE'!$B$88="",1E+99,'TO HOP NLAN'!D222/ncoc+IF(SUMSQ('TS-PILE'!$E$72:$E$91)=0,0,'TO HOP NLAN'!E222*'TS-PILE'!$E$88/SUMSQ('TS-PILE'!$E$72:$E$91))+IF(SUMSQ('TS-PILE'!$D$72:$D$91)=0,0,'TO HOP NLAN'!F222*'TS-PILE'!$D$88/SUMSQ('TS-PILE'!$D$72:$D$91))),IF('TS-PILE'!$B$89="",1E+99,'TO HOP NLAN'!D222/ncoc+IF(SUMSQ('TS-PILE'!$E$72:$E$91)=0,0,'TO HOP NLAN'!E222*'TS-PILE'!$E$89/SUMSQ('TS-PILE'!$E$72:$E$91))+IF(SUMSQ('TS-PILE'!$D$72:$D$91)=0,0,'TO HOP NLAN'!F222*'TS-PILE'!$D$89/SUMSQ('TS-PILE'!$D$72:$D$91))),IF('TS-PILE'!$B$90="",1E+99,'TO HOP NLAN'!D222/ncoc+IF(SUMSQ('TS-PILE'!$E$72:$E$91)=0,0,'TO HOP NLAN'!E222*'TS-PILE'!$E$90/SUMSQ('TS-PILE'!$E$72:$E$91))+IF(SUMSQ('TS-PILE'!$D$72:$D$91)=0,0,'TO HOP NLAN'!F222*'TS-PILE'!$D$90/SUMSQ('TS-PILE'!$D$72:$D$91))),IF('TS-PILE'!$B$91="",1E+99,'TO HOP NLAN'!D222/ncoc+IF(SUMSQ('TS-PILE'!$E$72:$E$91)=0,0,'TO HOP NLAN'!E222*'TS-PILE'!$E$91/SUMSQ('TS-PILE'!$E$72:$E$91))+IF(SUMSQ('TS-PILE'!$D$72:$D$91)=0,0,'TO HOP NLAN'!F222*'TS-PILE'!$D$91/SUMSQ('TS-PILE'!$D$72:$D$91)))))</f>
        <v>0</v>
      </c>
      <c r="E222" s="58">
        <f t="shared" si="12"/>
        <v>-9.9999999999999997E+98</v>
      </c>
      <c r="F222" s="58">
        <f t="shared" si="13"/>
        <v>9.9999999999999997E+98</v>
      </c>
      <c r="G222" s="58">
        <f t="shared" si="14"/>
        <v>-9.9999999999999997E+98</v>
      </c>
      <c r="H222" s="58">
        <f t="shared" si="15"/>
        <v>9.9999999999999997E+98</v>
      </c>
    </row>
    <row r="223" spans="1:8" x14ac:dyDescent="0.3">
      <c r="A223" s="42" t="str">
        <f>'TO HOP NLAN'!A223</f>
        <v/>
      </c>
      <c r="B223" s="42" t="str">
        <f>'TO HOP NLAN'!L223</f>
        <v>STRENGTH</v>
      </c>
      <c r="C223" s="58">
        <f>IF(A223="",0,MAX(IF('TS-PILE'!$B$72="",-1E+99,'TO HOP NLAN'!D223/ncoc+IF(SUMSQ('TS-PILE'!$E$72:$E$91)=0,0,'TO HOP NLAN'!E223*'TS-PILE'!$E$72/SUMSQ('TS-PILE'!$E$72:$E$91))+IF(SUMSQ('TS-PILE'!$D$72:$D$91)=0,0,'TO HOP NLAN'!F223*'TS-PILE'!$D$72/SUMSQ('TS-PILE'!$D$72:$D$91))),IF('TS-PILE'!$B$73="",-1E+99,'TO HOP NLAN'!D223/ncoc+IF(SUMSQ('TS-PILE'!$E$72:$E$91)=0,0,'TO HOP NLAN'!E223*'TS-PILE'!$E$73/SUMSQ('TS-PILE'!$E$72:$E$91))+IF(SUMSQ('TS-PILE'!$D$72:$D$91)=0,0,'TO HOP NLAN'!F223*'TS-PILE'!$D$73/SUMSQ('TS-PILE'!$D$72:$D$91))),IF('TS-PILE'!$B$74="",-1E+99,'TO HOP NLAN'!D223/ncoc+IF(SUMSQ('TS-PILE'!$E$72:$E$91)=0,0,'TO HOP NLAN'!E223*'TS-PILE'!$E$74/SUMSQ('TS-PILE'!$E$72:$E$91))+IF(SUMSQ('TS-PILE'!$D$72:$D$91)=0,0,'TO HOP NLAN'!F223*'TS-PILE'!$D$74/SUMSQ('TS-PILE'!$D$72:$D$91))),IF('TS-PILE'!$B$75="",-1E+99,'TO HOP NLAN'!D223/ncoc+IF(SUMSQ('TS-PILE'!$E$72:$E$91)=0,0,'TO HOP NLAN'!E223*'TS-PILE'!$E$75/SUMSQ('TS-PILE'!$E$72:$E$91))+IF(SUMSQ('TS-PILE'!$D$72:$D$91)=0,0,'TO HOP NLAN'!F223*'TS-PILE'!$D$75/SUMSQ('TS-PILE'!$D$72:$D$91))),IF('TS-PILE'!$B$76="",-1E+99,'TO HOP NLAN'!D223/ncoc+IF(SUMSQ('TS-PILE'!$E$72:$E$91)=0,0,'TO HOP NLAN'!E223*'TS-PILE'!$E$76/SUMSQ('TS-PILE'!$E$72:$E$91))+IF(SUMSQ('TS-PILE'!$D$72:$D$91)=0,0,'TO HOP NLAN'!F223*'TS-PILE'!$D$76/SUMSQ('TS-PILE'!$D$72:$D$91))),IF('TS-PILE'!$B$77="",-1E+99,'TO HOP NLAN'!D223/ncoc+IF(SUMSQ('TS-PILE'!$E$72:$E$91)=0,0,'TO HOP NLAN'!E223*'TS-PILE'!$E$77/SUMSQ('TS-PILE'!$E$72:$E$91))+IF(SUMSQ('TS-PILE'!$D$72:$D$91)=0,0,'TO HOP NLAN'!F223*'TS-PILE'!$D$77/SUMSQ('TS-PILE'!$D$72:$D$91))),IF('TS-PILE'!$B$78="",-1E+99,'TO HOP NLAN'!D223/ncoc+IF(SUMSQ('TS-PILE'!$E$72:$E$91)=0,0,'TO HOP NLAN'!E223*'TS-PILE'!$E$78/SUMSQ('TS-PILE'!$E$72:$E$91))+IF(SUMSQ('TS-PILE'!$D$72:$D$91)=0,0,'TO HOP NLAN'!F223*'TS-PILE'!$D$78/SUMSQ('TS-PILE'!$D$72:$D$91))),IF('TS-PILE'!$B$79="",-1E+99,'TO HOP NLAN'!D223/ncoc+IF(SUMSQ('TS-PILE'!$E$72:$E$91)=0,0,'TO HOP NLAN'!E223*'TS-PILE'!$E$79/SUMSQ('TS-PILE'!$E$72:$E$91))+IF(SUMSQ('TS-PILE'!$D$72:$D$91)=0,0,'TO HOP NLAN'!F223*'TS-PILE'!$D$79/SUMSQ('TS-PILE'!$D$72:$D$91))),IF('TS-PILE'!$B$80="",-1E+99,'TO HOP NLAN'!D223/ncoc+IF(SUMSQ('TS-PILE'!$E$72:$E$91)=0,0,'TO HOP NLAN'!E223*'TS-PILE'!$E$80/SUMSQ('TS-PILE'!$E$72:$E$91))+IF(SUMSQ('TS-PILE'!$D$72:$D$91)=0,0,'TO HOP NLAN'!F223*'TS-PILE'!$D$80/SUMSQ('TS-PILE'!$D$72:$D$91))),IF('TS-PILE'!$B$81="",-1E+99,'TO HOP NLAN'!D223/ncoc+IF(SUMSQ('TS-PILE'!$E$72:$E$91)=0,0,'TO HOP NLAN'!E223*'TS-PILE'!$E$81/SUMSQ('TS-PILE'!$E$72:$E$91))+IF(SUMSQ('TS-PILE'!$D$72:$D$91)=0,0,'TO HOP NLAN'!F223*'TS-PILE'!$D$81/SUMSQ('TS-PILE'!$D$72:$D$91))),IF('TS-PILE'!$B$82="",-1E+99,'TO HOP NLAN'!D223/ncoc+IF(SUMSQ('TS-PILE'!$E$72:$E$91)=0,0,'TO HOP NLAN'!E223*'TS-PILE'!$E$82/SUMSQ('TS-PILE'!$E$72:$E$91))+IF(SUMSQ('TS-PILE'!$D$72:$D$91)=0,0,'TO HOP NLAN'!F223*'TS-PILE'!$D$82/SUMSQ('TS-PILE'!$D$72:$D$91))),IF('TS-PILE'!$B$83="",-1E+99,'TO HOP NLAN'!D223/ncoc+IF(SUMSQ('TS-PILE'!$E$72:$E$91)=0,0,'TO HOP NLAN'!E223*'TS-PILE'!$E$83/SUMSQ('TS-PILE'!$E$72:$E$91))+IF(SUMSQ('TS-PILE'!$D$72:$D$91)=0,0,'TO HOP NLAN'!F223*'TS-PILE'!$D$83/SUMSQ('TS-PILE'!$D$72:$D$91))),IF('TS-PILE'!$B$84="",-1E+99,'TO HOP NLAN'!D223/ncoc+IF(SUMSQ('TS-PILE'!$E$72:$E$91)=0,0,'TO HOP NLAN'!E223*'TS-PILE'!$E$84/SUMSQ('TS-PILE'!$E$72:$E$91))+IF(SUMSQ('TS-PILE'!$D$72:$D$91)=0,0,'TO HOP NLAN'!F223*'TS-PILE'!$D$84/SUMSQ('TS-PILE'!$D$72:$D$91))),IF('TS-PILE'!$B$85="",-1E+99,'TO HOP NLAN'!D223/ncoc+IF(SUMSQ('TS-PILE'!$E$72:$E$91)=0,0,'TO HOP NLAN'!E223*'TS-PILE'!$E$85/SUMSQ('TS-PILE'!$E$72:$E$91))+IF(SUMSQ('TS-PILE'!$D$72:$D$91)=0,0,'TO HOP NLAN'!F223*'TS-PILE'!$D$85/SUMSQ('TS-PILE'!$D$72:$D$91))),IF('TS-PILE'!$B$86="",-1E+99,'TO HOP NLAN'!D223/ncoc+IF(SUMSQ('TS-PILE'!$E$72:$E$91)=0,0,'TO HOP NLAN'!E223*'TS-PILE'!$E$86/SUMSQ('TS-PILE'!$E$72:$E$91))+IF(SUMSQ('TS-PILE'!$D$72:$D$91)=0,0,'TO HOP NLAN'!F223*'TS-PILE'!$D$86/SUMSQ('TS-PILE'!$D$72:$D$91))),IF('TS-PILE'!$B$87="",-1E+99,'TO HOP NLAN'!D223/ncoc+IF(SUMSQ('TS-PILE'!$E$72:$E$91)=0,0,'TO HOP NLAN'!E223*'TS-PILE'!$E$87/SUMSQ('TS-PILE'!$E$72:$E$91))+IF(SUMSQ('TS-PILE'!$D$72:$D$91)=0,0,'TO HOP NLAN'!F223*'TS-PILE'!$D$87/SUMSQ('TS-PILE'!$D$72:$D$91))),IF('TS-PILE'!$B$88="",-1E+99,'TO HOP NLAN'!D223/ncoc+IF(SUMSQ('TS-PILE'!$E$72:$E$91)=0,0,'TO HOP NLAN'!E223*'TS-PILE'!$E$88/SUMSQ('TS-PILE'!$E$72:$E$91))+IF(SUMSQ('TS-PILE'!$D$72:$D$91)=0,0,'TO HOP NLAN'!F223*'TS-PILE'!$D$88/SUMSQ('TS-PILE'!$D$72:$D$91))),IF('TS-PILE'!$B$89="",-1E+99,'TO HOP NLAN'!D223/ncoc+IF(SUMSQ('TS-PILE'!$E$72:$E$91)=0,0,'TO HOP NLAN'!E223*'TS-PILE'!$E$89/SUMSQ('TS-PILE'!$E$72:$E$91))+IF(SUMSQ('TS-PILE'!$D$72:$D$91)=0,0,'TO HOP NLAN'!F223*'TS-PILE'!$D$89/SUMSQ('TS-PILE'!$D$72:$D$91))),IF('TS-PILE'!$B$90="",-1E+99,'TO HOP NLAN'!D223/ncoc+IF(SUMSQ('TS-PILE'!$E$72:$E$91)=0,0,'TO HOP NLAN'!E223*'TS-PILE'!$E$90/SUMSQ('TS-PILE'!$E$72:$E$91))+IF(SUMSQ('TS-PILE'!$D$72:$D$91)=0,0,'TO HOP NLAN'!F223*'TS-PILE'!$D$90/SUMSQ('TS-PILE'!$D$72:$D$91))),IF('TS-PILE'!$B$91="",-1E+99,'TO HOP NLAN'!D223/ncoc+IF(SUMSQ('TS-PILE'!$E$72:$E$91)=0,0,'TO HOP NLAN'!E223*'TS-PILE'!$E$91/SUMSQ('TS-PILE'!$E$72:$E$91))+IF(SUMSQ('TS-PILE'!$D$72:$D$91)=0,0,'TO HOP NLAN'!F223*'TS-PILE'!$D$91/SUMSQ('TS-PILE'!$D$72:$D$91)))))</f>
        <v>0</v>
      </c>
      <c r="D223" s="58">
        <f>IF(A223="",0,MIN(IF('TS-PILE'!$B$72="",1E+99,'TO HOP NLAN'!D223/ncoc+IF(SUMSQ('TS-PILE'!$E$72:$E$91)=0,0,'TO HOP NLAN'!E223*'TS-PILE'!$E$72/SUMSQ('TS-PILE'!$E$72:$E$91))+IF(SUMSQ('TS-PILE'!$D$72:$D$91)=0,0,'TO HOP NLAN'!F223*'TS-PILE'!$D$72/SUMSQ('TS-PILE'!$D$72:$D$91))),IF('TS-PILE'!$B$73="",1E+99,'TO HOP NLAN'!D223/ncoc+IF(SUMSQ('TS-PILE'!$E$72:$E$91)=0,0,'TO HOP NLAN'!E223*'TS-PILE'!$E$73/SUMSQ('TS-PILE'!$E$72:$E$91))+IF(SUMSQ('TS-PILE'!$D$72:$D$91)=0,0,'TO HOP NLAN'!F223*'TS-PILE'!$D$73/SUMSQ('TS-PILE'!$D$72:$D$91))),IF('TS-PILE'!$B$74="",1E+99,'TO HOP NLAN'!D223/ncoc+IF(SUMSQ('TS-PILE'!$E$72:$E$91)=0,0,'TO HOP NLAN'!E223*'TS-PILE'!$E$74/SUMSQ('TS-PILE'!$E$72:$E$91))+IF(SUMSQ('TS-PILE'!$D$72:$D$91)=0,0,'TO HOP NLAN'!F223*'TS-PILE'!$D$74/SUMSQ('TS-PILE'!$D$72:$D$91))),IF('TS-PILE'!$B$75="",1E+99,'TO HOP NLAN'!D223/ncoc+IF(SUMSQ('TS-PILE'!$E$72:$E$91)=0,0,'TO HOP NLAN'!E223*'TS-PILE'!$E$75/SUMSQ('TS-PILE'!$E$72:$E$91))+IF(SUMSQ('TS-PILE'!$D$72:$D$91)=0,0,'TO HOP NLAN'!F223*'TS-PILE'!$D$75/SUMSQ('TS-PILE'!$D$72:$D$91))),IF('TS-PILE'!$B$76="",1E+99,'TO HOP NLAN'!D223/ncoc+IF(SUMSQ('TS-PILE'!$E$72:$E$91)=0,0,'TO HOP NLAN'!E223*'TS-PILE'!$E$76/SUMSQ('TS-PILE'!$E$72:$E$91))+IF(SUMSQ('TS-PILE'!$D$72:$D$91)=0,0,'TO HOP NLAN'!F223*'TS-PILE'!$D$76/SUMSQ('TS-PILE'!$D$72:$D$91))),IF('TS-PILE'!$B$77="",1E+99,'TO HOP NLAN'!D223/ncoc+IF(SUMSQ('TS-PILE'!$E$72:$E$91)=0,0,'TO HOP NLAN'!E223*'TS-PILE'!$E$77/SUMSQ('TS-PILE'!$E$72:$E$91))+IF(SUMSQ('TS-PILE'!$D$72:$D$91)=0,0,'TO HOP NLAN'!F223*'TS-PILE'!$D$77/SUMSQ('TS-PILE'!$D$72:$D$91))),IF('TS-PILE'!$B$78="",1E+99,'TO HOP NLAN'!D223/ncoc+IF(SUMSQ('TS-PILE'!$E$72:$E$91)=0,0,'TO HOP NLAN'!E223*'TS-PILE'!$E$78/SUMSQ('TS-PILE'!$E$72:$E$91))+IF(SUMSQ('TS-PILE'!$D$72:$D$91)=0,0,'TO HOP NLAN'!F223*'TS-PILE'!$D$78/SUMSQ('TS-PILE'!$D$72:$D$91))),IF('TS-PILE'!$B$79="",1E+99,'TO HOP NLAN'!D223/ncoc+IF(SUMSQ('TS-PILE'!$E$72:$E$91)=0,0,'TO HOP NLAN'!E223*'TS-PILE'!$E$79/SUMSQ('TS-PILE'!$E$72:$E$91))+IF(SUMSQ('TS-PILE'!$D$72:$D$91)=0,0,'TO HOP NLAN'!F223*'TS-PILE'!$D$79/SUMSQ('TS-PILE'!$D$72:$D$91))),IF('TS-PILE'!$B$80="",1E+99,'TO HOP NLAN'!D223/ncoc+IF(SUMSQ('TS-PILE'!$E$72:$E$91)=0,0,'TO HOP NLAN'!E223*'TS-PILE'!$E$80/SUMSQ('TS-PILE'!$E$72:$E$91))+IF(SUMSQ('TS-PILE'!$D$72:$D$91)=0,0,'TO HOP NLAN'!F223*'TS-PILE'!$D$80/SUMSQ('TS-PILE'!$D$72:$D$91))),IF('TS-PILE'!$B$81="",1E+99,'TO HOP NLAN'!D223/ncoc+IF(SUMSQ('TS-PILE'!$E$72:$E$91)=0,0,'TO HOP NLAN'!E223*'TS-PILE'!$E$81/SUMSQ('TS-PILE'!$E$72:$E$91))+IF(SUMSQ('TS-PILE'!$D$72:$D$91)=0,0,'TO HOP NLAN'!F223*'TS-PILE'!$D$81/SUMSQ('TS-PILE'!$D$72:$D$91))),IF('TS-PILE'!$B$82="",1E+99,'TO HOP NLAN'!D223/ncoc+IF(SUMSQ('TS-PILE'!$E$72:$E$91)=0,0,'TO HOP NLAN'!E223*'TS-PILE'!$E$82/SUMSQ('TS-PILE'!$E$72:$E$91))+IF(SUMSQ('TS-PILE'!$D$72:$D$91)=0,0,'TO HOP NLAN'!F223*'TS-PILE'!$D$82/SUMSQ('TS-PILE'!$D$72:$D$91))),IF('TS-PILE'!$B$83="",1E+99,'TO HOP NLAN'!D223/ncoc+IF(SUMSQ('TS-PILE'!$E$72:$E$91)=0,0,'TO HOP NLAN'!E223*'TS-PILE'!$E$83/SUMSQ('TS-PILE'!$E$72:$E$91))+IF(SUMSQ('TS-PILE'!$D$72:$D$91)=0,0,'TO HOP NLAN'!F223*'TS-PILE'!$D$83/SUMSQ('TS-PILE'!$D$72:$D$91))),IF('TS-PILE'!$B$84="",1E+99,'TO HOP NLAN'!D223/ncoc+IF(SUMSQ('TS-PILE'!$E$72:$E$91)=0,0,'TO HOP NLAN'!E223*'TS-PILE'!$E$84/SUMSQ('TS-PILE'!$E$72:$E$91))+IF(SUMSQ('TS-PILE'!$D$72:$D$91)=0,0,'TO HOP NLAN'!F223*'TS-PILE'!$D$84/SUMSQ('TS-PILE'!$D$72:$D$91))),IF('TS-PILE'!$B$85="",1E+99,'TO HOP NLAN'!D223/ncoc+IF(SUMSQ('TS-PILE'!$E$72:$E$91)=0,0,'TO HOP NLAN'!E223*'TS-PILE'!$E$85/SUMSQ('TS-PILE'!$E$72:$E$91))+IF(SUMSQ('TS-PILE'!$D$72:$D$91)=0,0,'TO HOP NLAN'!F223*'TS-PILE'!$D$85/SUMSQ('TS-PILE'!$D$72:$D$91))),IF('TS-PILE'!$B$86="",1E+99,'TO HOP NLAN'!D223/ncoc+IF(SUMSQ('TS-PILE'!$E$72:$E$91)=0,0,'TO HOP NLAN'!E223*'TS-PILE'!$E$86/SUMSQ('TS-PILE'!$E$72:$E$91))+IF(SUMSQ('TS-PILE'!$D$72:$D$91)=0,0,'TO HOP NLAN'!F223*'TS-PILE'!$D$86/SUMSQ('TS-PILE'!$D$72:$D$91))),IF('TS-PILE'!$B$87="",1E+99,'TO HOP NLAN'!D223/ncoc+IF(SUMSQ('TS-PILE'!$E$72:$E$91)=0,0,'TO HOP NLAN'!E223*'TS-PILE'!$E$87/SUMSQ('TS-PILE'!$E$72:$E$91))+IF(SUMSQ('TS-PILE'!$D$72:$D$91)=0,0,'TO HOP NLAN'!F223*'TS-PILE'!$D$87/SUMSQ('TS-PILE'!$D$72:$D$91))),IF('TS-PILE'!$B$88="",1E+99,'TO HOP NLAN'!D223/ncoc+IF(SUMSQ('TS-PILE'!$E$72:$E$91)=0,0,'TO HOP NLAN'!E223*'TS-PILE'!$E$88/SUMSQ('TS-PILE'!$E$72:$E$91))+IF(SUMSQ('TS-PILE'!$D$72:$D$91)=0,0,'TO HOP NLAN'!F223*'TS-PILE'!$D$88/SUMSQ('TS-PILE'!$D$72:$D$91))),IF('TS-PILE'!$B$89="",1E+99,'TO HOP NLAN'!D223/ncoc+IF(SUMSQ('TS-PILE'!$E$72:$E$91)=0,0,'TO HOP NLAN'!E223*'TS-PILE'!$E$89/SUMSQ('TS-PILE'!$E$72:$E$91))+IF(SUMSQ('TS-PILE'!$D$72:$D$91)=0,0,'TO HOP NLAN'!F223*'TS-PILE'!$D$89/SUMSQ('TS-PILE'!$D$72:$D$91))),IF('TS-PILE'!$B$90="",1E+99,'TO HOP NLAN'!D223/ncoc+IF(SUMSQ('TS-PILE'!$E$72:$E$91)=0,0,'TO HOP NLAN'!E223*'TS-PILE'!$E$90/SUMSQ('TS-PILE'!$E$72:$E$91))+IF(SUMSQ('TS-PILE'!$D$72:$D$91)=0,0,'TO HOP NLAN'!F223*'TS-PILE'!$D$90/SUMSQ('TS-PILE'!$D$72:$D$91))),IF('TS-PILE'!$B$91="",1E+99,'TO HOP NLAN'!D223/ncoc+IF(SUMSQ('TS-PILE'!$E$72:$E$91)=0,0,'TO HOP NLAN'!E223*'TS-PILE'!$E$91/SUMSQ('TS-PILE'!$E$72:$E$91))+IF(SUMSQ('TS-PILE'!$D$72:$D$91)=0,0,'TO HOP NLAN'!F223*'TS-PILE'!$D$91/SUMSQ('TS-PILE'!$D$72:$D$91)))))</f>
        <v>0</v>
      </c>
      <c r="E223" s="58">
        <f t="shared" si="12"/>
        <v>-9.9999999999999997E+98</v>
      </c>
      <c r="F223" s="58">
        <f t="shared" si="13"/>
        <v>9.9999999999999997E+98</v>
      </c>
      <c r="G223" s="58">
        <f t="shared" si="14"/>
        <v>-9.9999999999999997E+98</v>
      </c>
      <c r="H223" s="58">
        <f t="shared" si="15"/>
        <v>9.9999999999999997E+98</v>
      </c>
    </row>
    <row r="224" spans="1:8" x14ac:dyDescent="0.3">
      <c r="A224" s="42" t="str">
        <f>'TO HOP NLAN'!A224</f>
        <v/>
      </c>
      <c r="B224" s="42" t="str">
        <f>'TO HOP NLAN'!L224</f>
        <v>STRENGTH</v>
      </c>
      <c r="C224" s="58">
        <f>IF(A224="",0,MAX(IF('TS-PILE'!$B$72="",-1E+99,'TO HOP NLAN'!D224/ncoc+IF(SUMSQ('TS-PILE'!$E$72:$E$91)=0,0,'TO HOP NLAN'!E224*'TS-PILE'!$E$72/SUMSQ('TS-PILE'!$E$72:$E$91))+IF(SUMSQ('TS-PILE'!$D$72:$D$91)=0,0,'TO HOP NLAN'!F224*'TS-PILE'!$D$72/SUMSQ('TS-PILE'!$D$72:$D$91))),IF('TS-PILE'!$B$73="",-1E+99,'TO HOP NLAN'!D224/ncoc+IF(SUMSQ('TS-PILE'!$E$72:$E$91)=0,0,'TO HOP NLAN'!E224*'TS-PILE'!$E$73/SUMSQ('TS-PILE'!$E$72:$E$91))+IF(SUMSQ('TS-PILE'!$D$72:$D$91)=0,0,'TO HOP NLAN'!F224*'TS-PILE'!$D$73/SUMSQ('TS-PILE'!$D$72:$D$91))),IF('TS-PILE'!$B$74="",-1E+99,'TO HOP NLAN'!D224/ncoc+IF(SUMSQ('TS-PILE'!$E$72:$E$91)=0,0,'TO HOP NLAN'!E224*'TS-PILE'!$E$74/SUMSQ('TS-PILE'!$E$72:$E$91))+IF(SUMSQ('TS-PILE'!$D$72:$D$91)=0,0,'TO HOP NLAN'!F224*'TS-PILE'!$D$74/SUMSQ('TS-PILE'!$D$72:$D$91))),IF('TS-PILE'!$B$75="",-1E+99,'TO HOP NLAN'!D224/ncoc+IF(SUMSQ('TS-PILE'!$E$72:$E$91)=0,0,'TO HOP NLAN'!E224*'TS-PILE'!$E$75/SUMSQ('TS-PILE'!$E$72:$E$91))+IF(SUMSQ('TS-PILE'!$D$72:$D$91)=0,0,'TO HOP NLAN'!F224*'TS-PILE'!$D$75/SUMSQ('TS-PILE'!$D$72:$D$91))),IF('TS-PILE'!$B$76="",-1E+99,'TO HOP NLAN'!D224/ncoc+IF(SUMSQ('TS-PILE'!$E$72:$E$91)=0,0,'TO HOP NLAN'!E224*'TS-PILE'!$E$76/SUMSQ('TS-PILE'!$E$72:$E$91))+IF(SUMSQ('TS-PILE'!$D$72:$D$91)=0,0,'TO HOP NLAN'!F224*'TS-PILE'!$D$76/SUMSQ('TS-PILE'!$D$72:$D$91))),IF('TS-PILE'!$B$77="",-1E+99,'TO HOP NLAN'!D224/ncoc+IF(SUMSQ('TS-PILE'!$E$72:$E$91)=0,0,'TO HOP NLAN'!E224*'TS-PILE'!$E$77/SUMSQ('TS-PILE'!$E$72:$E$91))+IF(SUMSQ('TS-PILE'!$D$72:$D$91)=0,0,'TO HOP NLAN'!F224*'TS-PILE'!$D$77/SUMSQ('TS-PILE'!$D$72:$D$91))),IF('TS-PILE'!$B$78="",-1E+99,'TO HOP NLAN'!D224/ncoc+IF(SUMSQ('TS-PILE'!$E$72:$E$91)=0,0,'TO HOP NLAN'!E224*'TS-PILE'!$E$78/SUMSQ('TS-PILE'!$E$72:$E$91))+IF(SUMSQ('TS-PILE'!$D$72:$D$91)=0,0,'TO HOP NLAN'!F224*'TS-PILE'!$D$78/SUMSQ('TS-PILE'!$D$72:$D$91))),IF('TS-PILE'!$B$79="",-1E+99,'TO HOP NLAN'!D224/ncoc+IF(SUMSQ('TS-PILE'!$E$72:$E$91)=0,0,'TO HOP NLAN'!E224*'TS-PILE'!$E$79/SUMSQ('TS-PILE'!$E$72:$E$91))+IF(SUMSQ('TS-PILE'!$D$72:$D$91)=0,0,'TO HOP NLAN'!F224*'TS-PILE'!$D$79/SUMSQ('TS-PILE'!$D$72:$D$91))),IF('TS-PILE'!$B$80="",-1E+99,'TO HOP NLAN'!D224/ncoc+IF(SUMSQ('TS-PILE'!$E$72:$E$91)=0,0,'TO HOP NLAN'!E224*'TS-PILE'!$E$80/SUMSQ('TS-PILE'!$E$72:$E$91))+IF(SUMSQ('TS-PILE'!$D$72:$D$91)=0,0,'TO HOP NLAN'!F224*'TS-PILE'!$D$80/SUMSQ('TS-PILE'!$D$72:$D$91))),IF('TS-PILE'!$B$81="",-1E+99,'TO HOP NLAN'!D224/ncoc+IF(SUMSQ('TS-PILE'!$E$72:$E$91)=0,0,'TO HOP NLAN'!E224*'TS-PILE'!$E$81/SUMSQ('TS-PILE'!$E$72:$E$91))+IF(SUMSQ('TS-PILE'!$D$72:$D$91)=0,0,'TO HOP NLAN'!F224*'TS-PILE'!$D$81/SUMSQ('TS-PILE'!$D$72:$D$91))),IF('TS-PILE'!$B$82="",-1E+99,'TO HOP NLAN'!D224/ncoc+IF(SUMSQ('TS-PILE'!$E$72:$E$91)=0,0,'TO HOP NLAN'!E224*'TS-PILE'!$E$82/SUMSQ('TS-PILE'!$E$72:$E$91))+IF(SUMSQ('TS-PILE'!$D$72:$D$91)=0,0,'TO HOP NLAN'!F224*'TS-PILE'!$D$82/SUMSQ('TS-PILE'!$D$72:$D$91))),IF('TS-PILE'!$B$83="",-1E+99,'TO HOP NLAN'!D224/ncoc+IF(SUMSQ('TS-PILE'!$E$72:$E$91)=0,0,'TO HOP NLAN'!E224*'TS-PILE'!$E$83/SUMSQ('TS-PILE'!$E$72:$E$91))+IF(SUMSQ('TS-PILE'!$D$72:$D$91)=0,0,'TO HOP NLAN'!F224*'TS-PILE'!$D$83/SUMSQ('TS-PILE'!$D$72:$D$91))),IF('TS-PILE'!$B$84="",-1E+99,'TO HOP NLAN'!D224/ncoc+IF(SUMSQ('TS-PILE'!$E$72:$E$91)=0,0,'TO HOP NLAN'!E224*'TS-PILE'!$E$84/SUMSQ('TS-PILE'!$E$72:$E$91))+IF(SUMSQ('TS-PILE'!$D$72:$D$91)=0,0,'TO HOP NLAN'!F224*'TS-PILE'!$D$84/SUMSQ('TS-PILE'!$D$72:$D$91))),IF('TS-PILE'!$B$85="",-1E+99,'TO HOP NLAN'!D224/ncoc+IF(SUMSQ('TS-PILE'!$E$72:$E$91)=0,0,'TO HOP NLAN'!E224*'TS-PILE'!$E$85/SUMSQ('TS-PILE'!$E$72:$E$91))+IF(SUMSQ('TS-PILE'!$D$72:$D$91)=0,0,'TO HOP NLAN'!F224*'TS-PILE'!$D$85/SUMSQ('TS-PILE'!$D$72:$D$91))),IF('TS-PILE'!$B$86="",-1E+99,'TO HOP NLAN'!D224/ncoc+IF(SUMSQ('TS-PILE'!$E$72:$E$91)=0,0,'TO HOP NLAN'!E224*'TS-PILE'!$E$86/SUMSQ('TS-PILE'!$E$72:$E$91))+IF(SUMSQ('TS-PILE'!$D$72:$D$91)=0,0,'TO HOP NLAN'!F224*'TS-PILE'!$D$86/SUMSQ('TS-PILE'!$D$72:$D$91))),IF('TS-PILE'!$B$87="",-1E+99,'TO HOP NLAN'!D224/ncoc+IF(SUMSQ('TS-PILE'!$E$72:$E$91)=0,0,'TO HOP NLAN'!E224*'TS-PILE'!$E$87/SUMSQ('TS-PILE'!$E$72:$E$91))+IF(SUMSQ('TS-PILE'!$D$72:$D$91)=0,0,'TO HOP NLAN'!F224*'TS-PILE'!$D$87/SUMSQ('TS-PILE'!$D$72:$D$91))),IF('TS-PILE'!$B$88="",-1E+99,'TO HOP NLAN'!D224/ncoc+IF(SUMSQ('TS-PILE'!$E$72:$E$91)=0,0,'TO HOP NLAN'!E224*'TS-PILE'!$E$88/SUMSQ('TS-PILE'!$E$72:$E$91))+IF(SUMSQ('TS-PILE'!$D$72:$D$91)=0,0,'TO HOP NLAN'!F224*'TS-PILE'!$D$88/SUMSQ('TS-PILE'!$D$72:$D$91))),IF('TS-PILE'!$B$89="",-1E+99,'TO HOP NLAN'!D224/ncoc+IF(SUMSQ('TS-PILE'!$E$72:$E$91)=0,0,'TO HOP NLAN'!E224*'TS-PILE'!$E$89/SUMSQ('TS-PILE'!$E$72:$E$91))+IF(SUMSQ('TS-PILE'!$D$72:$D$91)=0,0,'TO HOP NLAN'!F224*'TS-PILE'!$D$89/SUMSQ('TS-PILE'!$D$72:$D$91))),IF('TS-PILE'!$B$90="",-1E+99,'TO HOP NLAN'!D224/ncoc+IF(SUMSQ('TS-PILE'!$E$72:$E$91)=0,0,'TO HOP NLAN'!E224*'TS-PILE'!$E$90/SUMSQ('TS-PILE'!$E$72:$E$91))+IF(SUMSQ('TS-PILE'!$D$72:$D$91)=0,0,'TO HOP NLAN'!F224*'TS-PILE'!$D$90/SUMSQ('TS-PILE'!$D$72:$D$91))),IF('TS-PILE'!$B$91="",-1E+99,'TO HOP NLAN'!D224/ncoc+IF(SUMSQ('TS-PILE'!$E$72:$E$91)=0,0,'TO HOP NLAN'!E224*'TS-PILE'!$E$91/SUMSQ('TS-PILE'!$E$72:$E$91))+IF(SUMSQ('TS-PILE'!$D$72:$D$91)=0,0,'TO HOP NLAN'!F224*'TS-PILE'!$D$91/SUMSQ('TS-PILE'!$D$72:$D$91)))))</f>
        <v>0</v>
      </c>
      <c r="D224" s="58">
        <f>IF(A224="",0,MIN(IF('TS-PILE'!$B$72="",1E+99,'TO HOP NLAN'!D224/ncoc+IF(SUMSQ('TS-PILE'!$E$72:$E$91)=0,0,'TO HOP NLAN'!E224*'TS-PILE'!$E$72/SUMSQ('TS-PILE'!$E$72:$E$91))+IF(SUMSQ('TS-PILE'!$D$72:$D$91)=0,0,'TO HOP NLAN'!F224*'TS-PILE'!$D$72/SUMSQ('TS-PILE'!$D$72:$D$91))),IF('TS-PILE'!$B$73="",1E+99,'TO HOP NLAN'!D224/ncoc+IF(SUMSQ('TS-PILE'!$E$72:$E$91)=0,0,'TO HOP NLAN'!E224*'TS-PILE'!$E$73/SUMSQ('TS-PILE'!$E$72:$E$91))+IF(SUMSQ('TS-PILE'!$D$72:$D$91)=0,0,'TO HOP NLAN'!F224*'TS-PILE'!$D$73/SUMSQ('TS-PILE'!$D$72:$D$91))),IF('TS-PILE'!$B$74="",1E+99,'TO HOP NLAN'!D224/ncoc+IF(SUMSQ('TS-PILE'!$E$72:$E$91)=0,0,'TO HOP NLAN'!E224*'TS-PILE'!$E$74/SUMSQ('TS-PILE'!$E$72:$E$91))+IF(SUMSQ('TS-PILE'!$D$72:$D$91)=0,0,'TO HOP NLAN'!F224*'TS-PILE'!$D$74/SUMSQ('TS-PILE'!$D$72:$D$91))),IF('TS-PILE'!$B$75="",1E+99,'TO HOP NLAN'!D224/ncoc+IF(SUMSQ('TS-PILE'!$E$72:$E$91)=0,0,'TO HOP NLAN'!E224*'TS-PILE'!$E$75/SUMSQ('TS-PILE'!$E$72:$E$91))+IF(SUMSQ('TS-PILE'!$D$72:$D$91)=0,0,'TO HOP NLAN'!F224*'TS-PILE'!$D$75/SUMSQ('TS-PILE'!$D$72:$D$91))),IF('TS-PILE'!$B$76="",1E+99,'TO HOP NLAN'!D224/ncoc+IF(SUMSQ('TS-PILE'!$E$72:$E$91)=0,0,'TO HOP NLAN'!E224*'TS-PILE'!$E$76/SUMSQ('TS-PILE'!$E$72:$E$91))+IF(SUMSQ('TS-PILE'!$D$72:$D$91)=0,0,'TO HOP NLAN'!F224*'TS-PILE'!$D$76/SUMSQ('TS-PILE'!$D$72:$D$91))),IF('TS-PILE'!$B$77="",1E+99,'TO HOP NLAN'!D224/ncoc+IF(SUMSQ('TS-PILE'!$E$72:$E$91)=0,0,'TO HOP NLAN'!E224*'TS-PILE'!$E$77/SUMSQ('TS-PILE'!$E$72:$E$91))+IF(SUMSQ('TS-PILE'!$D$72:$D$91)=0,0,'TO HOP NLAN'!F224*'TS-PILE'!$D$77/SUMSQ('TS-PILE'!$D$72:$D$91))),IF('TS-PILE'!$B$78="",1E+99,'TO HOP NLAN'!D224/ncoc+IF(SUMSQ('TS-PILE'!$E$72:$E$91)=0,0,'TO HOP NLAN'!E224*'TS-PILE'!$E$78/SUMSQ('TS-PILE'!$E$72:$E$91))+IF(SUMSQ('TS-PILE'!$D$72:$D$91)=0,0,'TO HOP NLAN'!F224*'TS-PILE'!$D$78/SUMSQ('TS-PILE'!$D$72:$D$91))),IF('TS-PILE'!$B$79="",1E+99,'TO HOP NLAN'!D224/ncoc+IF(SUMSQ('TS-PILE'!$E$72:$E$91)=0,0,'TO HOP NLAN'!E224*'TS-PILE'!$E$79/SUMSQ('TS-PILE'!$E$72:$E$91))+IF(SUMSQ('TS-PILE'!$D$72:$D$91)=0,0,'TO HOP NLAN'!F224*'TS-PILE'!$D$79/SUMSQ('TS-PILE'!$D$72:$D$91))),IF('TS-PILE'!$B$80="",1E+99,'TO HOP NLAN'!D224/ncoc+IF(SUMSQ('TS-PILE'!$E$72:$E$91)=0,0,'TO HOP NLAN'!E224*'TS-PILE'!$E$80/SUMSQ('TS-PILE'!$E$72:$E$91))+IF(SUMSQ('TS-PILE'!$D$72:$D$91)=0,0,'TO HOP NLAN'!F224*'TS-PILE'!$D$80/SUMSQ('TS-PILE'!$D$72:$D$91))),IF('TS-PILE'!$B$81="",1E+99,'TO HOP NLAN'!D224/ncoc+IF(SUMSQ('TS-PILE'!$E$72:$E$91)=0,0,'TO HOP NLAN'!E224*'TS-PILE'!$E$81/SUMSQ('TS-PILE'!$E$72:$E$91))+IF(SUMSQ('TS-PILE'!$D$72:$D$91)=0,0,'TO HOP NLAN'!F224*'TS-PILE'!$D$81/SUMSQ('TS-PILE'!$D$72:$D$91))),IF('TS-PILE'!$B$82="",1E+99,'TO HOP NLAN'!D224/ncoc+IF(SUMSQ('TS-PILE'!$E$72:$E$91)=0,0,'TO HOP NLAN'!E224*'TS-PILE'!$E$82/SUMSQ('TS-PILE'!$E$72:$E$91))+IF(SUMSQ('TS-PILE'!$D$72:$D$91)=0,0,'TO HOP NLAN'!F224*'TS-PILE'!$D$82/SUMSQ('TS-PILE'!$D$72:$D$91))),IF('TS-PILE'!$B$83="",1E+99,'TO HOP NLAN'!D224/ncoc+IF(SUMSQ('TS-PILE'!$E$72:$E$91)=0,0,'TO HOP NLAN'!E224*'TS-PILE'!$E$83/SUMSQ('TS-PILE'!$E$72:$E$91))+IF(SUMSQ('TS-PILE'!$D$72:$D$91)=0,0,'TO HOP NLAN'!F224*'TS-PILE'!$D$83/SUMSQ('TS-PILE'!$D$72:$D$91))),IF('TS-PILE'!$B$84="",1E+99,'TO HOP NLAN'!D224/ncoc+IF(SUMSQ('TS-PILE'!$E$72:$E$91)=0,0,'TO HOP NLAN'!E224*'TS-PILE'!$E$84/SUMSQ('TS-PILE'!$E$72:$E$91))+IF(SUMSQ('TS-PILE'!$D$72:$D$91)=0,0,'TO HOP NLAN'!F224*'TS-PILE'!$D$84/SUMSQ('TS-PILE'!$D$72:$D$91))),IF('TS-PILE'!$B$85="",1E+99,'TO HOP NLAN'!D224/ncoc+IF(SUMSQ('TS-PILE'!$E$72:$E$91)=0,0,'TO HOP NLAN'!E224*'TS-PILE'!$E$85/SUMSQ('TS-PILE'!$E$72:$E$91))+IF(SUMSQ('TS-PILE'!$D$72:$D$91)=0,0,'TO HOP NLAN'!F224*'TS-PILE'!$D$85/SUMSQ('TS-PILE'!$D$72:$D$91))),IF('TS-PILE'!$B$86="",1E+99,'TO HOP NLAN'!D224/ncoc+IF(SUMSQ('TS-PILE'!$E$72:$E$91)=0,0,'TO HOP NLAN'!E224*'TS-PILE'!$E$86/SUMSQ('TS-PILE'!$E$72:$E$91))+IF(SUMSQ('TS-PILE'!$D$72:$D$91)=0,0,'TO HOP NLAN'!F224*'TS-PILE'!$D$86/SUMSQ('TS-PILE'!$D$72:$D$91))),IF('TS-PILE'!$B$87="",1E+99,'TO HOP NLAN'!D224/ncoc+IF(SUMSQ('TS-PILE'!$E$72:$E$91)=0,0,'TO HOP NLAN'!E224*'TS-PILE'!$E$87/SUMSQ('TS-PILE'!$E$72:$E$91))+IF(SUMSQ('TS-PILE'!$D$72:$D$91)=0,0,'TO HOP NLAN'!F224*'TS-PILE'!$D$87/SUMSQ('TS-PILE'!$D$72:$D$91))),IF('TS-PILE'!$B$88="",1E+99,'TO HOP NLAN'!D224/ncoc+IF(SUMSQ('TS-PILE'!$E$72:$E$91)=0,0,'TO HOP NLAN'!E224*'TS-PILE'!$E$88/SUMSQ('TS-PILE'!$E$72:$E$91))+IF(SUMSQ('TS-PILE'!$D$72:$D$91)=0,0,'TO HOP NLAN'!F224*'TS-PILE'!$D$88/SUMSQ('TS-PILE'!$D$72:$D$91))),IF('TS-PILE'!$B$89="",1E+99,'TO HOP NLAN'!D224/ncoc+IF(SUMSQ('TS-PILE'!$E$72:$E$91)=0,0,'TO HOP NLAN'!E224*'TS-PILE'!$E$89/SUMSQ('TS-PILE'!$E$72:$E$91))+IF(SUMSQ('TS-PILE'!$D$72:$D$91)=0,0,'TO HOP NLAN'!F224*'TS-PILE'!$D$89/SUMSQ('TS-PILE'!$D$72:$D$91))),IF('TS-PILE'!$B$90="",1E+99,'TO HOP NLAN'!D224/ncoc+IF(SUMSQ('TS-PILE'!$E$72:$E$91)=0,0,'TO HOP NLAN'!E224*'TS-PILE'!$E$90/SUMSQ('TS-PILE'!$E$72:$E$91))+IF(SUMSQ('TS-PILE'!$D$72:$D$91)=0,0,'TO HOP NLAN'!F224*'TS-PILE'!$D$90/SUMSQ('TS-PILE'!$D$72:$D$91))),IF('TS-PILE'!$B$91="",1E+99,'TO HOP NLAN'!D224/ncoc+IF(SUMSQ('TS-PILE'!$E$72:$E$91)=0,0,'TO HOP NLAN'!E224*'TS-PILE'!$E$91/SUMSQ('TS-PILE'!$E$72:$E$91))+IF(SUMSQ('TS-PILE'!$D$72:$D$91)=0,0,'TO HOP NLAN'!F224*'TS-PILE'!$D$91/SUMSQ('TS-PILE'!$D$72:$D$91)))))</f>
        <v>0</v>
      </c>
      <c r="E224" s="58">
        <f t="shared" si="12"/>
        <v>-9.9999999999999997E+98</v>
      </c>
      <c r="F224" s="58">
        <f t="shared" si="13"/>
        <v>9.9999999999999997E+98</v>
      </c>
      <c r="G224" s="58">
        <f t="shared" si="14"/>
        <v>-9.9999999999999997E+98</v>
      </c>
      <c r="H224" s="58">
        <f t="shared" si="15"/>
        <v>9.9999999999999997E+98</v>
      </c>
    </row>
    <row r="225" spans="1:8" x14ac:dyDescent="0.3">
      <c r="A225" s="42" t="str">
        <f>'TO HOP NLAN'!A225</f>
        <v/>
      </c>
      <c r="B225" s="42" t="str">
        <f>'TO HOP NLAN'!L225</f>
        <v>STRENGTH</v>
      </c>
      <c r="C225" s="58">
        <f>IF(A225="",0,MAX(IF('TS-PILE'!$B$72="",-1E+99,'TO HOP NLAN'!D225/ncoc+IF(SUMSQ('TS-PILE'!$E$72:$E$91)=0,0,'TO HOP NLAN'!E225*'TS-PILE'!$E$72/SUMSQ('TS-PILE'!$E$72:$E$91))+IF(SUMSQ('TS-PILE'!$D$72:$D$91)=0,0,'TO HOP NLAN'!F225*'TS-PILE'!$D$72/SUMSQ('TS-PILE'!$D$72:$D$91))),IF('TS-PILE'!$B$73="",-1E+99,'TO HOP NLAN'!D225/ncoc+IF(SUMSQ('TS-PILE'!$E$72:$E$91)=0,0,'TO HOP NLAN'!E225*'TS-PILE'!$E$73/SUMSQ('TS-PILE'!$E$72:$E$91))+IF(SUMSQ('TS-PILE'!$D$72:$D$91)=0,0,'TO HOP NLAN'!F225*'TS-PILE'!$D$73/SUMSQ('TS-PILE'!$D$72:$D$91))),IF('TS-PILE'!$B$74="",-1E+99,'TO HOP NLAN'!D225/ncoc+IF(SUMSQ('TS-PILE'!$E$72:$E$91)=0,0,'TO HOP NLAN'!E225*'TS-PILE'!$E$74/SUMSQ('TS-PILE'!$E$72:$E$91))+IF(SUMSQ('TS-PILE'!$D$72:$D$91)=0,0,'TO HOP NLAN'!F225*'TS-PILE'!$D$74/SUMSQ('TS-PILE'!$D$72:$D$91))),IF('TS-PILE'!$B$75="",-1E+99,'TO HOP NLAN'!D225/ncoc+IF(SUMSQ('TS-PILE'!$E$72:$E$91)=0,0,'TO HOP NLAN'!E225*'TS-PILE'!$E$75/SUMSQ('TS-PILE'!$E$72:$E$91))+IF(SUMSQ('TS-PILE'!$D$72:$D$91)=0,0,'TO HOP NLAN'!F225*'TS-PILE'!$D$75/SUMSQ('TS-PILE'!$D$72:$D$91))),IF('TS-PILE'!$B$76="",-1E+99,'TO HOP NLAN'!D225/ncoc+IF(SUMSQ('TS-PILE'!$E$72:$E$91)=0,0,'TO HOP NLAN'!E225*'TS-PILE'!$E$76/SUMSQ('TS-PILE'!$E$72:$E$91))+IF(SUMSQ('TS-PILE'!$D$72:$D$91)=0,0,'TO HOP NLAN'!F225*'TS-PILE'!$D$76/SUMSQ('TS-PILE'!$D$72:$D$91))),IF('TS-PILE'!$B$77="",-1E+99,'TO HOP NLAN'!D225/ncoc+IF(SUMSQ('TS-PILE'!$E$72:$E$91)=0,0,'TO HOP NLAN'!E225*'TS-PILE'!$E$77/SUMSQ('TS-PILE'!$E$72:$E$91))+IF(SUMSQ('TS-PILE'!$D$72:$D$91)=0,0,'TO HOP NLAN'!F225*'TS-PILE'!$D$77/SUMSQ('TS-PILE'!$D$72:$D$91))),IF('TS-PILE'!$B$78="",-1E+99,'TO HOP NLAN'!D225/ncoc+IF(SUMSQ('TS-PILE'!$E$72:$E$91)=0,0,'TO HOP NLAN'!E225*'TS-PILE'!$E$78/SUMSQ('TS-PILE'!$E$72:$E$91))+IF(SUMSQ('TS-PILE'!$D$72:$D$91)=0,0,'TO HOP NLAN'!F225*'TS-PILE'!$D$78/SUMSQ('TS-PILE'!$D$72:$D$91))),IF('TS-PILE'!$B$79="",-1E+99,'TO HOP NLAN'!D225/ncoc+IF(SUMSQ('TS-PILE'!$E$72:$E$91)=0,0,'TO HOP NLAN'!E225*'TS-PILE'!$E$79/SUMSQ('TS-PILE'!$E$72:$E$91))+IF(SUMSQ('TS-PILE'!$D$72:$D$91)=0,0,'TO HOP NLAN'!F225*'TS-PILE'!$D$79/SUMSQ('TS-PILE'!$D$72:$D$91))),IF('TS-PILE'!$B$80="",-1E+99,'TO HOP NLAN'!D225/ncoc+IF(SUMSQ('TS-PILE'!$E$72:$E$91)=0,0,'TO HOP NLAN'!E225*'TS-PILE'!$E$80/SUMSQ('TS-PILE'!$E$72:$E$91))+IF(SUMSQ('TS-PILE'!$D$72:$D$91)=0,0,'TO HOP NLAN'!F225*'TS-PILE'!$D$80/SUMSQ('TS-PILE'!$D$72:$D$91))),IF('TS-PILE'!$B$81="",-1E+99,'TO HOP NLAN'!D225/ncoc+IF(SUMSQ('TS-PILE'!$E$72:$E$91)=0,0,'TO HOP NLAN'!E225*'TS-PILE'!$E$81/SUMSQ('TS-PILE'!$E$72:$E$91))+IF(SUMSQ('TS-PILE'!$D$72:$D$91)=0,0,'TO HOP NLAN'!F225*'TS-PILE'!$D$81/SUMSQ('TS-PILE'!$D$72:$D$91))),IF('TS-PILE'!$B$82="",-1E+99,'TO HOP NLAN'!D225/ncoc+IF(SUMSQ('TS-PILE'!$E$72:$E$91)=0,0,'TO HOP NLAN'!E225*'TS-PILE'!$E$82/SUMSQ('TS-PILE'!$E$72:$E$91))+IF(SUMSQ('TS-PILE'!$D$72:$D$91)=0,0,'TO HOP NLAN'!F225*'TS-PILE'!$D$82/SUMSQ('TS-PILE'!$D$72:$D$91))),IF('TS-PILE'!$B$83="",-1E+99,'TO HOP NLAN'!D225/ncoc+IF(SUMSQ('TS-PILE'!$E$72:$E$91)=0,0,'TO HOP NLAN'!E225*'TS-PILE'!$E$83/SUMSQ('TS-PILE'!$E$72:$E$91))+IF(SUMSQ('TS-PILE'!$D$72:$D$91)=0,0,'TO HOP NLAN'!F225*'TS-PILE'!$D$83/SUMSQ('TS-PILE'!$D$72:$D$91))),IF('TS-PILE'!$B$84="",-1E+99,'TO HOP NLAN'!D225/ncoc+IF(SUMSQ('TS-PILE'!$E$72:$E$91)=0,0,'TO HOP NLAN'!E225*'TS-PILE'!$E$84/SUMSQ('TS-PILE'!$E$72:$E$91))+IF(SUMSQ('TS-PILE'!$D$72:$D$91)=0,0,'TO HOP NLAN'!F225*'TS-PILE'!$D$84/SUMSQ('TS-PILE'!$D$72:$D$91))),IF('TS-PILE'!$B$85="",-1E+99,'TO HOP NLAN'!D225/ncoc+IF(SUMSQ('TS-PILE'!$E$72:$E$91)=0,0,'TO HOP NLAN'!E225*'TS-PILE'!$E$85/SUMSQ('TS-PILE'!$E$72:$E$91))+IF(SUMSQ('TS-PILE'!$D$72:$D$91)=0,0,'TO HOP NLAN'!F225*'TS-PILE'!$D$85/SUMSQ('TS-PILE'!$D$72:$D$91))),IF('TS-PILE'!$B$86="",-1E+99,'TO HOP NLAN'!D225/ncoc+IF(SUMSQ('TS-PILE'!$E$72:$E$91)=0,0,'TO HOP NLAN'!E225*'TS-PILE'!$E$86/SUMSQ('TS-PILE'!$E$72:$E$91))+IF(SUMSQ('TS-PILE'!$D$72:$D$91)=0,0,'TO HOP NLAN'!F225*'TS-PILE'!$D$86/SUMSQ('TS-PILE'!$D$72:$D$91))),IF('TS-PILE'!$B$87="",-1E+99,'TO HOP NLAN'!D225/ncoc+IF(SUMSQ('TS-PILE'!$E$72:$E$91)=0,0,'TO HOP NLAN'!E225*'TS-PILE'!$E$87/SUMSQ('TS-PILE'!$E$72:$E$91))+IF(SUMSQ('TS-PILE'!$D$72:$D$91)=0,0,'TO HOP NLAN'!F225*'TS-PILE'!$D$87/SUMSQ('TS-PILE'!$D$72:$D$91))),IF('TS-PILE'!$B$88="",-1E+99,'TO HOP NLAN'!D225/ncoc+IF(SUMSQ('TS-PILE'!$E$72:$E$91)=0,0,'TO HOP NLAN'!E225*'TS-PILE'!$E$88/SUMSQ('TS-PILE'!$E$72:$E$91))+IF(SUMSQ('TS-PILE'!$D$72:$D$91)=0,0,'TO HOP NLAN'!F225*'TS-PILE'!$D$88/SUMSQ('TS-PILE'!$D$72:$D$91))),IF('TS-PILE'!$B$89="",-1E+99,'TO HOP NLAN'!D225/ncoc+IF(SUMSQ('TS-PILE'!$E$72:$E$91)=0,0,'TO HOP NLAN'!E225*'TS-PILE'!$E$89/SUMSQ('TS-PILE'!$E$72:$E$91))+IF(SUMSQ('TS-PILE'!$D$72:$D$91)=0,0,'TO HOP NLAN'!F225*'TS-PILE'!$D$89/SUMSQ('TS-PILE'!$D$72:$D$91))),IF('TS-PILE'!$B$90="",-1E+99,'TO HOP NLAN'!D225/ncoc+IF(SUMSQ('TS-PILE'!$E$72:$E$91)=0,0,'TO HOP NLAN'!E225*'TS-PILE'!$E$90/SUMSQ('TS-PILE'!$E$72:$E$91))+IF(SUMSQ('TS-PILE'!$D$72:$D$91)=0,0,'TO HOP NLAN'!F225*'TS-PILE'!$D$90/SUMSQ('TS-PILE'!$D$72:$D$91))),IF('TS-PILE'!$B$91="",-1E+99,'TO HOP NLAN'!D225/ncoc+IF(SUMSQ('TS-PILE'!$E$72:$E$91)=0,0,'TO HOP NLAN'!E225*'TS-PILE'!$E$91/SUMSQ('TS-PILE'!$E$72:$E$91))+IF(SUMSQ('TS-PILE'!$D$72:$D$91)=0,0,'TO HOP NLAN'!F225*'TS-PILE'!$D$91/SUMSQ('TS-PILE'!$D$72:$D$91)))))</f>
        <v>0</v>
      </c>
      <c r="D225" s="58">
        <f>IF(A225="",0,MIN(IF('TS-PILE'!$B$72="",1E+99,'TO HOP NLAN'!D225/ncoc+IF(SUMSQ('TS-PILE'!$E$72:$E$91)=0,0,'TO HOP NLAN'!E225*'TS-PILE'!$E$72/SUMSQ('TS-PILE'!$E$72:$E$91))+IF(SUMSQ('TS-PILE'!$D$72:$D$91)=0,0,'TO HOP NLAN'!F225*'TS-PILE'!$D$72/SUMSQ('TS-PILE'!$D$72:$D$91))),IF('TS-PILE'!$B$73="",1E+99,'TO HOP NLAN'!D225/ncoc+IF(SUMSQ('TS-PILE'!$E$72:$E$91)=0,0,'TO HOP NLAN'!E225*'TS-PILE'!$E$73/SUMSQ('TS-PILE'!$E$72:$E$91))+IF(SUMSQ('TS-PILE'!$D$72:$D$91)=0,0,'TO HOP NLAN'!F225*'TS-PILE'!$D$73/SUMSQ('TS-PILE'!$D$72:$D$91))),IF('TS-PILE'!$B$74="",1E+99,'TO HOP NLAN'!D225/ncoc+IF(SUMSQ('TS-PILE'!$E$72:$E$91)=0,0,'TO HOP NLAN'!E225*'TS-PILE'!$E$74/SUMSQ('TS-PILE'!$E$72:$E$91))+IF(SUMSQ('TS-PILE'!$D$72:$D$91)=0,0,'TO HOP NLAN'!F225*'TS-PILE'!$D$74/SUMSQ('TS-PILE'!$D$72:$D$91))),IF('TS-PILE'!$B$75="",1E+99,'TO HOP NLAN'!D225/ncoc+IF(SUMSQ('TS-PILE'!$E$72:$E$91)=0,0,'TO HOP NLAN'!E225*'TS-PILE'!$E$75/SUMSQ('TS-PILE'!$E$72:$E$91))+IF(SUMSQ('TS-PILE'!$D$72:$D$91)=0,0,'TO HOP NLAN'!F225*'TS-PILE'!$D$75/SUMSQ('TS-PILE'!$D$72:$D$91))),IF('TS-PILE'!$B$76="",1E+99,'TO HOP NLAN'!D225/ncoc+IF(SUMSQ('TS-PILE'!$E$72:$E$91)=0,0,'TO HOP NLAN'!E225*'TS-PILE'!$E$76/SUMSQ('TS-PILE'!$E$72:$E$91))+IF(SUMSQ('TS-PILE'!$D$72:$D$91)=0,0,'TO HOP NLAN'!F225*'TS-PILE'!$D$76/SUMSQ('TS-PILE'!$D$72:$D$91))),IF('TS-PILE'!$B$77="",1E+99,'TO HOP NLAN'!D225/ncoc+IF(SUMSQ('TS-PILE'!$E$72:$E$91)=0,0,'TO HOP NLAN'!E225*'TS-PILE'!$E$77/SUMSQ('TS-PILE'!$E$72:$E$91))+IF(SUMSQ('TS-PILE'!$D$72:$D$91)=0,0,'TO HOP NLAN'!F225*'TS-PILE'!$D$77/SUMSQ('TS-PILE'!$D$72:$D$91))),IF('TS-PILE'!$B$78="",1E+99,'TO HOP NLAN'!D225/ncoc+IF(SUMSQ('TS-PILE'!$E$72:$E$91)=0,0,'TO HOP NLAN'!E225*'TS-PILE'!$E$78/SUMSQ('TS-PILE'!$E$72:$E$91))+IF(SUMSQ('TS-PILE'!$D$72:$D$91)=0,0,'TO HOP NLAN'!F225*'TS-PILE'!$D$78/SUMSQ('TS-PILE'!$D$72:$D$91))),IF('TS-PILE'!$B$79="",1E+99,'TO HOP NLAN'!D225/ncoc+IF(SUMSQ('TS-PILE'!$E$72:$E$91)=0,0,'TO HOP NLAN'!E225*'TS-PILE'!$E$79/SUMSQ('TS-PILE'!$E$72:$E$91))+IF(SUMSQ('TS-PILE'!$D$72:$D$91)=0,0,'TO HOP NLAN'!F225*'TS-PILE'!$D$79/SUMSQ('TS-PILE'!$D$72:$D$91))),IF('TS-PILE'!$B$80="",1E+99,'TO HOP NLAN'!D225/ncoc+IF(SUMSQ('TS-PILE'!$E$72:$E$91)=0,0,'TO HOP NLAN'!E225*'TS-PILE'!$E$80/SUMSQ('TS-PILE'!$E$72:$E$91))+IF(SUMSQ('TS-PILE'!$D$72:$D$91)=0,0,'TO HOP NLAN'!F225*'TS-PILE'!$D$80/SUMSQ('TS-PILE'!$D$72:$D$91))),IF('TS-PILE'!$B$81="",1E+99,'TO HOP NLAN'!D225/ncoc+IF(SUMSQ('TS-PILE'!$E$72:$E$91)=0,0,'TO HOP NLAN'!E225*'TS-PILE'!$E$81/SUMSQ('TS-PILE'!$E$72:$E$91))+IF(SUMSQ('TS-PILE'!$D$72:$D$91)=0,0,'TO HOP NLAN'!F225*'TS-PILE'!$D$81/SUMSQ('TS-PILE'!$D$72:$D$91))),IF('TS-PILE'!$B$82="",1E+99,'TO HOP NLAN'!D225/ncoc+IF(SUMSQ('TS-PILE'!$E$72:$E$91)=0,0,'TO HOP NLAN'!E225*'TS-PILE'!$E$82/SUMSQ('TS-PILE'!$E$72:$E$91))+IF(SUMSQ('TS-PILE'!$D$72:$D$91)=0,0,'TO HOP NLAN'!F225*'TS-PILE'!$D$82/SUMSQ('TS-PILE'!$D$72:$D$91))),IF('TS-PILE'!$B$83="",1E+99,'TO HOP NLAN'!D225/ncoc+IF(SUMSQ('TS-PILE'!$E$72:$E$91)=0,0,'TO HOP NLAN'!E225*'TS-PILE'!$E$83/SUMSQ('TS-PILE'!$E$72:$E$91))+IF(SUMSQ('TS-PILE'!$D$72:$D$91)=0,0,'TO HOP NLAN'!F225*'TS-PILE'!$D$83/SUMSQ('TS-PILE'!$D$72:$D$91))),IF('TS-PILE'!$B$84="",1E+99,'TO HOP NLAN'!D225/ncoc+IF(SUMSQ('TS-PILE'!$E$72:$E$91)=0,0,'TO HOP NLAN'!E225*'TS-PILE'!$E$84/SUMSQ('TS-PILE'!$E$72:$E$91))+IF(SUMSQ('TS-PILE'!$D$72:$D$91)=0,0,'TO HOP NLAN'!F225*'TS-PILE'!$D$84/SUMSQ('TS-PILE'!$D$72:$D$91))),IF('TS-PILE'!$B$85="",1E+99,'TO HOP NLAN'!D225/ncoc+IF(SUMSQ('TS-PILE'!$E$72:$E$91)=0,0,'TO HOP NLAN'!E225*'TS-PILE'!$E$85/SUMSQ('TS-PILE'!$E$72:$E$91))+IF(SUMSQ('TS-PILE'!$D$72:$D$91)=0,0,'TO HOP NLAN'!F225*'TS-PILE'!$D$85/SUMSQ('TS-PILE'!$D$72:$D$91))),IF('TS-PILE'!$B$86="",1E+99,'TO HOP NLAN'!D225/ncoc+IF(SUMSQ('TS-PILE'!$E$72:$E$91)=0,0,'TO HOP NLAN'!E225*'TS-PILE'!$E$86/SUMSQ('TS-PILE'!$E$72:$E$91))+IF(SUMSQ('TS-PILE'!$D$72:$D$91)=0,0,'TO HOP NLAN'!F225*'TS-PILE'!$D$86/SUMSQ('TS-PILE'!$D$72:$D$91))),IF('TS-PILE'!$B$87="",1E+99,'TO HOP NLAN'!D225/ncoc+IF(SUMSQ('TS-PILE'!$E$72:$E$91)=0,0,'TO HOP NLAN'!E225*'TS-PILE'!$E$87/SUMSQ('TS-PILE'!$E$72:$E$91))+IF(SUMSQ('TS-PILE'!$D$72:$D$91)=0,0,'TO HOP NLAN'!F225*'TS-PILE'!$D$87/SUMSQ('TS-PILE'!$D$72:$D$91))),IF('TS-PILE'!$B$88="",1E+99,'TO HOP NLAN'!D225/ncoc+IF(SUMSQ('TS-PILE'!$E$72:$E$91)=0,0,'TO HOP NLAN'!E225*'TS-PILE'!$E$88/SUMSQ('TS-PILE'!$E$72:$E$91))+IF(SUMSQ('TS-PILE'!$D$72:$D$91)=0,0,'TO HOP NLAN'!F225*'TS-PILE'!$D$88/SUMSQ('TS-PILE'!$D$72:$D$91))),IF('TS-PILE'!$B$89="",1E+99,'TO HOP NLAN'!D225/ncoc+IF(SUMSQ('TS-PILE'!$E$72:$E$91)=0,0,'TO HOP NLAN'!E225*'TS-PILE'!$E$89/SUMSQ('TS-PILE'!$E$72:$E$91))+IF(SUMSQ('TS-PILE'!$D$72:$D$91)=0,0,'TO HOP NLAN'!F225*'TS-PILE'!$D$89/SUMSQ('TS-PILE'!$D$72:$D$91))),IF('TS-PILE'!$B$90="",1E+99,'TO HOP NLAN'!D225/ncoc+IF(SUMSQ('TS-PILE'!$E$72:$E$91)=0,0,'TO HOP NLAN'!E225*'TS-PILE'!$E$90/SUMSQ('TS-PILE'!$E$72:$E$91))+IF(SUMSQ('TS-PILE'!$D$72:$D$91)=0,0,'TO HOP NLAN'!F225*'TS-PILE'!$D$90/SUMSQ('TS-PILE'!$D$72:$D$91))),IF('TS-PILE'!$B$91="",1E+99,'TO HOP NLAN'!D225/ncoc+IF(SUMSQ('TS-PILE'!$E$72:$E$91)=0,0,'TO HOP NLAN'!E225*'TS-PILE'!$E$91/SUMSQ('TS-PILE'!$E$72:$E$91))+IF(SUMSQ('TS-PILE'!$D$72:$D$91)=0,0,'TO HOP NLAN'!F225*'TS-PILE'!$D$91/SUMSQ('TS-PILE'!$D$72:$D$91)))))</f>
        <v>0</v>
      </c>
      <c r="E225" s="58">
        <f t="shared" si="12"/>
        <v>-9.9999999999999997E+98</v>
      </c>
      <c r="F225" s="58">
        <f t="shared" si="13"/>
        <v>9.9999999999999997E+98</v>
      </c>
      <c r="G225" s="58">
        <f t="shared" si="14"/>
        <v>-9.9999999999999997E+98</v>
      </c>
      <c r="H225" s="58">
        <f t="shared" si="15"/>
        <v>9.9999999999999997E+98</v>
      </c>
    </row>
    <row r="226" spans="1:8" x14ac:dyDescent="0.3">
      <c r="A226" s="42" t="str">
        <f>'TO HOP NLAN'!A226</f>
        <v/>
      </c>
      <c r="B226" s="42" t="str">
        <f>'TO HOP NLAN'!L226</f>
        <v>STRENGTH</v>
      </c>
      <c r="C226" s="58">
        <f>IF(A226="",0,MAX(IF('TS-PILE'!$B$72="",-1E+99,'TO HOP NLAN'!D226/ncoc+IF(SUMSQ('TS-PILE'!$E$72:$E$91)=0,0,'TO HOP NLAN'!E226*'TS-PILE'!$E$72/SUMSQ('TS-PILE'!$E$72:$E$91))+IF(SUMSQ('TS-PILE'!$D$72:$D$91)=0,0,'TO HOP NLAN'!F226*'TS-PILE'!$D$72/SUMSQ('TS-PILE'!$D$72:$D$91))),IF('TS-PILE'!$B$73="",-1E+99,'TO HOP NLAN'!D226/ncoc+IF(SUMSQ('TS-PILE'!$E$72:$E$91)=0,0,'TO HOP NLAN'!E226*'TS-PILE'!$E$73/SUMSQ('TS-PILE'!$E$72:$E$91))+IF(SUMSQ('TS-PILE'!$D$72:$D$91)=0,0,'TO HOP NLAN'!F226*'TS-PILE'!$D$73/SUMSQ('TS-PILE'!$D$72:$D$91))),IF('TS-PILE'!$B$74="",-1E+99,'TO HOP NLAN'!D226/ncoc+IF(SUMSQ('TS-PILE'!$E$72:$E$91)=0,0,'TO HOP NLAN'!E226*'TS-PILE'!$E$74/SUMSQ('TS-PILE'!$E$72:$E$91))+IF(SUMSQ('TS-PILE'!$D$72:$D$91)=0,0,'TO HOP NLAN'!F226*'TS-PILE'!$D$74/SUMSQ('TS-PILE'!$D$72:$D$91))),IF('TS-PILE'!$B$75="",-1E+99,'TO HOP NLAN'!D226/ncoc+IF(SUMSQ('TS-PILE'!$E$72:$E$91)=0,0,'TO HOP NLAN'!E226*'TS-PILE'!$E$75/SUMSQ('TS-PILE'!$E$72:$E$91))+IF(SUMSQ('TS-PILE'!$D$72:$D$91)=0,0,'TO HOP NLAN'!F226*'TS-PILE'!$D$75/SUMSQ('TS-PILE'!$D$72:$D$91))),IF('TS-PILE'!$B$76="",-1E+99,'TO HOP NLAN'!D226/ncoc+IF(SUMSQ('TS-PILE'!$E$72:$E$91)=0,0,'TO HOP NLAN'!E226*'TS-PILE'!$E$76/SUMSQ('TS-PILE'!$E$72:$E$91))+IF(SUMSQ('TS-PILE'!$D$72:$D$91)=0,0,'TO HOP NLAN'!F226*'TS-PILE'!$D$76/SUMSQ('TS-PILE'!$D$72:$D$91))),IF('TS-PILE'!$B$77="",-1E+99,'TO HOP NLAN'!D226/ncoc+IF(SUMSQ('TS-PILE'!$E$72:$E$91)=0,0,'TO HOP NLAN'!E226*'TS-PILE'!$E$77/SUMSQ('TS-PILE'!$E$72:$E$91))+IF(SUMSQ('TS-PILE'!$D$72:$D$91)=0,0,'TO HOP NLAN'!F226*'TS-PILE'!$D$77/SUMSQ('TS-PILE'!$D$72:$D$91))),IF('TS-PILE'!$B$78="",-1E+99,'TO HOP NLAN'!D226/ncoc+IF(SUMSQ('TS-PILE'!$E$72:$E$91)=0,0,'TO HOP NLAN'!E226*'TS-PILE'!$E$78/SUMSQ('TS-PILE'!$E$72:$E$91))+IF(SUMSQ('TS-PILE'!$D$72:$D$91)=0,0,'TO HOP NLAN'!F226*'TS-PILE'!$D$78/SUMSQ('TS-PILE'!$D$72:$D$91))),IF('TS-PILE'!$B$79="",-1E+99,'TO HOP NLAN'!D226/ncoc+IF(SUMSQ('TS-PILE'!$E$72:$E$91)=0,0,'TO HOP NLAN'!E226*'TS-PILE'!$E$79/SUMSQ('TS-PILE'!$E$72:$E$91))+IF(SUMSQ('TS-PILE'!$D$72:$D$91)=0,0,'TO HOP NLAN'!F226*'TS-PILE'!$D$79/SUMSQ('TS-PILE'!$D$72:$D$91))),IF('TS-PILE'!$B$80="",-1E+99,'TO HOP NLAN'!D226/ncoc+IF(SUMSQ('TS-PILE'!$E$72:$E$91)=0,0,'TO HOP NLAN'!E226*'TS-PILE'!$E$80/SUMSQ('TS-PILE'!$E$72:$E$91))+IF(SUMSQ('TS-PILE'!$D$72:$D$91)=0,0,'TO HOP NLAN'!F226*'TS-PILE'!$D$80/SUMSQ('TS-PILE'!$D$72:$D$91))),IF('TS-PILE'!$B$81="",-1E+99,'TO HOP NLAN'!D226/ncoc+IF(SUMSQ('TS-PILE'!$E$72:$E$91)=0,0,'TO HOP NLAN'!E226*'TS-PILE'!$E$81/SUMSQ('TS-PILE'!$E$72:$E$91))+IF(SUMSQ('TS-PILE'!$D$72:$D$91)=0,0,'TO HOP NLAN'!F226*'TS-PILE'!$D$81/SUMSQ('TS-PILE'!$D$72:$D$91))),IF('TS-PILE'!$B$82="",-1E+99,'TO HOP NLAN'!D226/ncoc+IF(SUMSQ('TS-PILE'!$E$72:$E$91)=0,0,'TO HOP NLAN'!E226*'TS-PILE'!$E$82/SUMSQ('TS-PILE'!$E$72:$E$91))+IF(SUMSQ('TS-PILE'!$D$72:$D$91)=0,0,'TO HOP NLAN'!F226*'TS-PILE'!$D$82/SUMSQ('TS-PILE'!$D$72:$D$91))),IF('TS-PILE'!$B$83="",-1E+99,'TO HOP NLAN'!D226/ncoc+IF(SUMSQ('TS-PILE'!$E$72:$E$91)=0,0,'TO HOP NLAN'!E226*'TS-PILE'!$E$83/SUMSQ('TS-PILE'!$E$72:$E$91))+IF(SUMSQ('TS-PILE'!$D$72:$D$91)=0,0,'TO HOP NLAN'!F226*'TS-PILE'!$D$83/SUMSQ('TS-PILE'!$D$72:$D$91))),IF('TS-PILE'!$B$84="",-1E+99,'TO HOP NLAN'!D226/ncoc+IF(SUMSQ('TS-PILE'!$E$72:$E$91)=0,0,'TO HOP NLAN'!E226*'TS-PILE'!$E$84/SUMSQ('TS-PILE'!$E$72:$E$91))+IF(SUMSQ('TS-PILE'!$D$72:$D$91)=0,0,'TO HOP NLAN'!F226*'TS-PILE'!$D$84/SUMSQ('TS-PILE'!$D$72:$D$91))),IF('TS-PILE'!$B$85="",-1E+99,'TO HOP NLAN'!D226/ncoc+IF(SUMSQ('TS-PILE'!$E$72:$E$91)=0,0,'TO HOP NLAN'!E226*'TS-PILE'!$E$85/SUMSQ('TS-PILE'!$E$72:$E$91))+IF(SUMSQ('TS-PILE'!$D$72:$D$91)=0,0,'TO HOP NLAN'!F226*'TS-PILE'!$D$85/SUMSQ('TS-PILE'!$D$72:$D$91))),IF('TS-PILE'!$B$86="",-1E+99,'TO HOP NLAN'!D226/ncoc+IF(SUMSQ('TS-PILE'!$E$72:$E$91)=0,0,'TO HOP NLAN'!E226*'TS-PILE'!$E$86/SUMSQ('TS-PILE'!$E$72:$E$91))+IF(SUMSQ('TS-PILE'!$D$72:$D$91)=0,0,'TO HOP NLAN'!F226*'TS-PILE'!$D$86/SUMSQ('TS-PILE'!$D$72:$D$91))),IF('TS-PILE'!$B$87="",-1E+99,'TO HOP NLAN'!D226/ncoc+IF(SUMSQ('TS-PILE'!$E$72:$E$91)=0,0,'TO HOP NLAN'!E226*'TS-PILE'!$E$87/SUMSQ('TS-PILE'!$E$72:$E$91))+IF(SUMSQ('TS-PILE'!$D$72:$D$91)=0,0,'TO HOP NLAN'!F226*'TS-PILE'!$D$87/SUMSQ('TS-PILE'!$D$72:$D$91))),IF('TS-PILE'!$B$88="",-1E+99,'TO HOP NLAN'!D226/ncoc+IF(SUMSQ('TS-PILE'!$E$72:$E$91)=0,0,'TO HOP NLAN'!E226*'TS-PILE'!$E$88/SUMSQ('TS-PILE'!$E$72:$E$91))+IF(SUMSQ('TS-PILE'!$D$72:$D$91)=0,0,'TO HOP NLAN'!F226*'TS-PILE'!$D$88/SUMSQ('TS-PILE'!$D$72:$D$91))),IF('TS-PILE'!$B$89="",-1E+99,'TO HOP NLAN'!D226/ncoc+IF(SUMSQ('TS-PILE'!$E$72:$E$91)=0,0,'TO HOP NLAN'!E226*'TS-PILE'!$E$89/SUMSQ('TS-PILE'!$E$72:$E$91))+IF(SUMSQ('TS-PILE'!$D$72:$D$91)=0,0,'TO HOP NLAN'!F226*'TS-PILE'!$D$89/SUMSQ('TS-PILE'!$D$72:$D$91))),IF('TS-PILE'!$B$90="",-1E+99,'TO HOP NLAN'!D226/ncoc+IF(SUMSQ('TS-PILE'!$E$72:$E$91)=0,0,'TO HOP NLAN'!E226*'TS-PILE'!$E$90/SUMSQ('TS-PILE'!$E$72:$E$91))+IF(SUMSQ('TS-PILE'!$D$72:$D$91)=0,0,'TO HOP NLAN'!F226*'TS-PILE'!$D$90/SUMSQ('TS-PILE'!$D$72:$D$91))),IF('TS-PILE'!$B$91="",-1E+99,'TO HOP NLAN'!D226/ncoc+IF(SUMSQ('TS-PILE'!$E$72:$E$91)=0,0,'TO HOP NLAN'!E226*'TS-PILE'!$E$91/SUMSQ('TS-PILE'!$E$72:$E$91))+IF(SUMSQ('TS-PILE'!$D$72:$D$91)=0,0,'TO HOP NLAN'!F226*'TS-PILE'!$D$91/SUMSQ('TS-PILE'!$D$72:$D$91)))))</f>
        <v>0</v>
      </c>
      <c r="D226" s="58">
        <f>IF(A226="",0,MIN(IF('TS-PILE'!$B$72="",1E+99,'TO HOP NLAN'!D226/ncoc+IF(SUMSQ('TS-PILE'!$E$72:$E$91)=0,0,'TO HOP NLAN'!E226*'TS-PILE'!$E$72/SUMSQ('TS-PILE'!$E$72:$E$91))+IF(SUMSQ('TS-PILE'!$D$72:$D$91)=0,0,'TO HOP NLAN'!F226*'TS-PILE'!$D$72/SUMSQ('TS-PILE'!$D$72:$D$91))),IF('TS-PILE'!$B$73="",1E+99,'TO HOP NLAN'!D226/ncoc+IF(SUMSQ('TS-PILE'!$E$72:$E$91)=0,0,'TO HOP NLAN'!E226*'TS-PILE'!$E$73/SUMSQ('TS-PILE'!$E$72:$E$91))+IF(SUMSQ('TS-PILE'!$D$72:$D$91)=0,0,'TO HOP NLAN'!F226*'TS-PILE'!$D$73/SUMSQ('TS-PILE'!$D$72:$D$91))),IF('TS-PILE'!$B$74="",1E+99,'TO HOP NLAN'!D226/ncoc+IF(SUMSQ('TS-PILE'!$E$72:$E$91)=0,0,'TO HOP NLAN'!E226*'TS-PILE'!$E$74/SUMSQ('TS-PILE'!$E$72:$E$91))+IF(SUMSQ('TS-PILE'!$D$72:$D$91)=0,0,'TO HOP NLAN'!F226*'TS-PILE'!$D$74/SUMSQ('TS-PILE'!$D$72:$D$91))),IF('TS-PILE'!$B$75="",1E+99,'TO HOP NLAN'!D226/ncoc+IF(SUMSQ('TS-PILE'!$E$72:$E$91)=0,0,'TO HOP NLAN'!E226*'TS-PILE'!$E$75/SUMSQ('TS-PILE'!$E$72:$E$91))+IF(SUMSQ('TS-PILE'!$D$72:$D$91)=0,0,'TO HOP NLAN'!F226*'TS-PILE'!$D$75/SUMSQ('TS-PILE'!$D$72:$D$91))),IF('TS-PILE'!$B$76="",1E+99,'TO HOP NLAN'!D226/ncoc+IF(SUMSQ('TS-PILE'!$E$72:$E$91)=0,0,'TO HOP NLAN'!E226*'TS-PILE'!$E$76/SUMSQ('TS-PILE'!$E$72:$E$91))+IF(SUMSQ('TS-PILE'!$D$72:$D$91)=0,0,'TO HOP NLAN'!F226*'TS-PILE'!$D$76/SUMSQ('TS-PILE'!$D$72:$D$91))),IF('TS-PILE'!$B$77="",1E+99,'TO HOP NLAN'!D226/ncoc+IF(SUMSQ('TS-PILE'!$E$72:$E$91)=0,0,'TO HOP NLAN'!E226*'TS-PILE'!$E$77/SUMSQ('TS-PILE'!$E$72:$E$91))+IF(SUMSQ('TS-PILE'!$D$72:$D$91)=0,0,'TO HOP NLAN'!F226*'TS-PILE'!$D$77/SUMSQ('TS-PILE'!$D$72:$D$91))),IF('TS-PILE'!$B$78="",1E+99,'TO HOP NLAN'!D226/ncoc+IF(SUMSQ('TS-PILE'!$E$72:$E$91)=0,0,'TO HOP NLAN'!E226*'TS-PILE'!$E$78/SUMSQ('TS-PILE'!$E$72:$E$91))+IF(SUMSQ('TS-PILE'!$D$72:$D$91)=0,0,'TO HOP NLAN'!F226*'TS-PILE'!$D$78/SUMSQ('TS-PILE'!$D$72:$D$91))),IF('TS-PILE'!$B$79="",1E+99,'TO HOP NLAN'!D226/ncoc+IF(SUMSQ('TS-PILE'!$E$72:$E$91)=0,0,'TO HOP NLAN'!E226*'TS-PILE'!$E$79/SUMSQ('TS-PILE'!$E$72:$E$91))+IF(SUMSQ('TS-PILE'!$D$72:$D$91)=0,0,'TO HOP NLAN'!F226*'TS-PILE'!$D$79/SUMSQ('TS-PILE'!$D$72:$D$91))),IF('TS-PILE'!$B$80="",1E+99,'TO HOP NLAN'!D226/ncoc+IF(SUMSQ('TS-PILE'!$E$72:$E$91)=0,0,'TO HOP NLAN'!E226*'TS-PILE'!$E$80/SUMSQ('TS-PILE'!$E$72:$E$91))+IF(SUMSQ('TS-PILE'!$D$72:$D$91)=0,0,'TO HOP NLAN'!F226*'TS-PILE'!$D$80/SUMSQ('TS-PILE'!$D$72:$D$91))),IF('TS-PILE'!$B$81="",1E+99,'TO HOP NLAN'!D226/ncoc+IF(SUMSQ('TS-PILE'!$E$72:$E$91)=0,0,'TO HOP NLAN'!E226*'TS-PILE'!$E$81/SUMSQ('TS-PILE'!$E$72:$E$91))+IF(SUMSQ('TS-PILE'!$D$72:$D$91)=0,0,'TO HOP NLAN'!F226*'TS-PILE'!$D$81/SUMSQ('TS-PILE'!$D$72:$D$91))),IF('TS-PILE'!$B$82="",1E+99,'TO HOP NLAN'!D226/ncoc+IF(SUMSQ('TS-PILE'!$E$72:$E$91)=0,0,'TO HOP NLAN'!E226*'TS-PILE'!$E$82/SUMSQ('TS-PILE'!$E$72:$E$91))+IF(SUMSQ('TS-PILE'!$D$72:$D$91)=0,0,'TO HOP NLAN'!F226*'TS-PILE'!$D$82/SUMSQ('TS-PILE'!$D$72:$D$91))),IF('TS-PILE'!$B$83="",1E+99,'TO HOP NLAN'!D226/ncoc+IF(SUMSQ('TS-PILE'!$E$72:$E$91)=0,0,'TO HOP NLAN'!E226*'TS-PILE'!$E$83/SUMSQ('TS-PILE'!$E$72:$E$91))+IF(SUMSQ('TS-PILE'!$D$72:$D$91)=0,0,'TO HOP NLAN'!F226*'TS-PILE'!$D$83/SUMSQ('TS-PILE'!$D$72:$D$91))),IF('TS-PILE'!$B$84="",1E+99,'TO HOP NLAN'!D226/ncoc+IF(SUMSQ('TS-PILE'!$E$72:$E$91)=0,0,'TO HOP NLAN'!E226*'TS-PILE'!$E$84/SUMSQ('TS-PILE'!$E$72:$E$91))+IF(SUMSQ('TS-PILE'!$D$72:$D$91)=0,0,'TO HOP NLAN'!F226*'TS-PILE'!$D$84/SUMSQ('TS-PILE'!$D$72:$D$91))),IF('TS-PILE'!$B$85="",1E+99,'TO HOP NLAN'!D226/ncoc+IF(SUMSQ('TS-PILE'!$E$72:$E$91)=0,0,'TO HOP NLAN'!E226*'TS-PILE'!$E$85/SUMSQ('TS-PILE'!$E$72:$E$91))+IF(SUMSQ('TS-PILE'!$D$72:$D$91)=0,0,'TO HOP NLAN'!F226*'TS-PILE'!$D$85/SUMSQ('TS-PILE'!$D$72:$D$91))),IF('TS-PILE'!$B$86="",1E+99,'TO HOP NLAN'!D226/ncoc+IF(SUMSQ('TS-PILE'!$E$72:$E$91)=0,0,'TO HOP NLAN'!E226*'TS-PILE'!$E$86/SUMSQ('TS-PILE'!$E$72:$E$91))+IF(SUMSQ('TS-PILE'!$D$72:$D$91)=0,0,'TO HOP NLAN'!F226*'TS-PILE'!$D$86/SUMSQ('TS-PILE'!$D$72:$D$91))),IF('TS-PILE'!$B$87="",1E+99,'TO HOP NLAN'!D226/ncoc+IF(SUMSQ('TS-PILE'!$E$72:$E$91)=0,0,'TO HOP NLAN'!E226*'TS-PILE'!$E$87/SUMSQ('TS-PILE'!$E$72:$E$91))+IF(SUMSQ('TS-PILE'!$D$72:$D$91)=0,0,'TO HOP NLAN'!F226*'TS-PILE'!$D$87/SUMSQ('TS-PILE'!$D$72:$D$91))),IF('TS-PILE'!$B$88="",1E+99,'TO HOP NLAN'!D226/ncoc+IF(SUMSQ('TS-PILE'!$E$72:$E$91)=0,0,'TO HOP NLAN'!E226*'TS-PILE'!$E$88/SUMSQ('TS-PILE'!$E$72:$E$91))+IF(SUMSQ('TS-PILE'!$D$72:$D$91)=0,0,'TO HOP NLAN'!F226*'TS-PILE'!$D$88/SUMSQ('TS-PILE'!$D$72:$D$91))),IF('TS-PILE'!$B$89="",1E+99,'TO HOP NLAN'!D226/ncoc+IF(SUMSQ('TS-PILE'!$E$72:$E$91)=0,0,'TO HOP NLAN'!E226*'TS-PILE'!$E$89/SUMSQ('TS-PILE'!$E$72:$E$91))+IF(SUMSQ('TS-PILE'!$D$72:$D$91)=0,0,'TO HOP NLAN'!F226*'TS-PILE'!$D$89/SUMSQ('TS-PILE'!$D$72:$D$91))),IF('TS-PILE'!$B$90="",1E+99,'TO HOP NLAN'!D226/ncoc+IF(SUMSQ('TS-PILE'!$E$72:$E$91)=0,0,'TO HOP NLAN'!E226*'TS-PILE'!$E$90/SUMSQ('TS-PILE'!$E$72:$E$91))+IF(SUMSQ('TS-PILE'!$D$72:$D$91)=0,0,'TO HOP NLAN'!F226*'TS-PILE'!$D$90/SUMSQ('TS-PILE'!$D$72:$D$91))),IF('TS-PILE'!$B$91="",1E+99,'TO HOP NLAN'!D226/ncoc+IF(SUMSQ('TS-PILE'!$E$72:$E$91)=0,0,'TO HOP NLAN'!E226*'TS-PILE'!$E$91/SUMSQ('TS-PILE'!$E$72:$E$91))+IF(SUMSQ('TS-PILE'!$D$72:$D$91)=0,0,'TO HOP NLAN'!F226*'TS-PILE'!$D$91/SUMSQ('TS-PILE'!$D$72:$D$91)))))</f>
        <v>0</v>
      </c>
      <c r="E226" s="58">
        <f t="shared" si="12"/>
        <v>-9.9999999999999997E+98</v>
      </c>
      <c r="F226" s="58">
        <f t="shared" si="13"/>
        <v>9.9999999999999997E+98</v>
      </c>
      <c r="G226" s="58">
        <f t="shared" si="14"/>
        <v>-9.9999999999999997E+98</v>
      </c>
      <c r="H226" s="58">
        <f t="shared" si="15"/>
        <v>9.9999999999999997E+98</v>
      </c>
    </row>
    <row r="227" spans="1:8" x14ac:dyDescent="0.3">
      <c r="A227" s="42" t="str">
        <f>'TO HOP NLAN'!A227</f>
        <v/>
      </c>
      <c r="B227" s="42" t="str">
        <f>'TO HOP NLAN'!L227</f>
        <v>STRENGTH</v>
      </c>
      <c r="C227" s="58">
        <f>IF(A227="",0,MAX(IF('TS-PILE'!$B$72="",-1E+99,'TO HOP NLAN'!D227/ncoc+IF(SUMSQ('TS-PILE'!$E$72:$E$91)=0,0,'TO HOP NLAN'!E227*'TS-PILE'!$E$72/SUMSQ('TS-PILE'!$E$72:$E$91))+IF(SUMSQ('TS-PILE'!$D$72:$D$91)=0,0,'TO HOP NLAN'!F227*'TS-PILE'!$D$72/SUMSQ('TS-PILE'!$D$72:$D$91))),IF('TS-PILE'!$B$73="",-1E+99,'TO HOP NLAN'!D227/ncoc+IF(SUMSQ('TS-PILE'!$E$72:$E$91)=0,0,'TO HOP NLAN'!E227*'TS-PILE'!$E$73/SUMSQ('TS-PILE'!$E$72:$E$91))+IF(SUMSQ('TS-PILE'!$D$72:$D$91)=0,0,'TO HOP NLAN'!F227*'TS-PILE'!$D$73/SUMSQ('TS-PILE'!$D$72:$D$91))),IF('TS-PILE'!$B$74="",-1E+99,'TO HOP NLAN'!D227/ncoc+IF(SUMSQ('TS-PILE'!$E$72:$E$91)=0,0,'TO HOP NLAN'!E227*'TS-PILE'!$E$74/SUMSQ('TS-PILE'!$E$72:$E$91))+IF(SUMSQ('TS-PILE'!$D$72:$D$91)=0,0,'TO HOP NLAN'!F227*'TS-PILE'!$D$74/SUMSQ('TS-PILE'!$D$72:$D$91))),IF('TS-PILE'!$B$75="",-1E+99,'TO HOP NLAN'!D227/ncoc+IF(SUMSQ('TS-PILE'!$E$72:$E$91)=0,0,'TO HOP NLAN'!E227*'TS-PILE'!$E$75/SUMSQ('TS-PILE'!$E$72:$E$91))+IF(SUMSQ('TS-PILE'!$D$72:$D$91)=0,0,'TO HOP NLAN'!F227*'TS-PILE'!$D$75/SUMSQ('TS-PILE'!$D$72:$D$91))),IF('TS-PILE'!$B$76="",-1E+99,'TO HOP NLAN'!D227/ncoc+IF(SUMSQ('TS-PILE'!$E$72:$E$91)=0,0,'TO HOP NLAN'!E227*'TS-PILE'!$E$76/SUMSQ('TS-PILE'!$E$72:$E$91))+IF(SUMSQ('TS-PILE'!$D$72:$D$91)=0,0,'TO HOP NLAN'!F227*'TS-PILE'!$D$76/SUMSQ('TS-PILE'!$D$72:$D$91))),IF('TS-PILE'!$B$77="",-1E+99,'TO HOP NLAN'!D227/ncoc+IF(SUMSQ('TS-PILE'!$E$72:$E$91)=0,0,'TO HOP NLAN'!E227*'TS-PILE'!$E$77/SUMSQ('TS-PILE'!$E$72:$E$91))+IF(SUMSQ('TS-PILE'!$D$72:$D$91)=0,0,'TO HOP NLAN'!F227*'TS-PILE'!$D$77/SUMSQ('TS-PILE'!$D$72:$D$91))),IF('TS-PILE'!$B$78="",-1E+99,'TO HOP NLAN'!D227/ncoc+IF(SUMSQ('TS-PILE'!$E$72:$E$91)=0,0,'TO HOP NLAN'!E227*'TS-PILE'!$E$78/SUMSQ('TS-PILE'!$E$72:$E$91))+IF(SUMSQ('TS-PILE'!$D$72:$D$91)=0,0,'TO HOP NLAN'!F227*'TS-PILE'!$D$78/SUMSQ('TS-PILE'!$D$72:$D$91))),IF('TS-PILE'!$B$79="",-1E+99,'TO HOP NLAN'!D227/ncoc+IF(SUMSQ('TS-PILE'!$E$72:$E$91)=0,0,'TO HOP NLAN'!E227*'TS-PILE'!$E$79/SUMSQ('TS-PILE'!$E$72:$E$91))+IF(SUMSQ('TS-PILE'!$D$72:$D$91)=0,0,'TO HOP NLAN'!F227*'TS-PILE'!$D$79/SUMSQ('TS-PILE'!$D$72:$D$91))),IF('TS-PILE'!$B$80="",-1E+99,'TO HOP NLAN'!D227/ncoc+IF(SUMSQ('TS-PILE'!$E$72:$E$91)=0,0,'TO HOP NLAN'!E227*'TS-PILE'!$E$80/SUMSQ('TS-PILE'!$E$72:$E$91))+IF(SUMSQ('TS-PILE'!$D$72:$D$91)=0,0,'TO HOP NLAN'!F227*'TS-PILE'!$D$80/SUMSQ('TS-PILE'!$D$72:$D$91))),IF('TS-PILE'!$B$81="",-1E+99,'TO HOP NLAN'!D227/ncoc+IF(SUMSQ('TS-PILE'!$E$72:$E$91)=0,0,'TO HOP NLAN'!E227*'TS-PILE'!$E$81/SUMSQ('TS-PILE'!$E$72:$E$91))+IF(SUMSQ('TS-PILE'!$D$72:$D$91)=0,0,'TO HOP NLAN'!F227*'TS-PILE'!$D$81/SUMSQ('TS-PILE'!$D$72:$D$91))),IF('TS-PILE'!$B$82="",-1E+99,'TO HOP NLAN'!D227/ncoc+IF(SUMSQ('TS-PILE'!$E$72:$E$91)=0,0,'TO HOP NLAN'!E227*'TS-PILE'!$E$82/SUMSQ('TS-PILE'!$E$72:$E$91))+IF(SUMSQ('TS-PILE'!$D$72:$D$91)=0,0,'TO HOP NLAN'!F227*'TS-PILE'!$D$82/SUMSQ('TS-PILE'!$D$72:$D$91))),IF('TS-PILE'!$B$83="",-1E+99,'TO HOP NLAN'!D227/ncoc+IF(SUMSQ('TS-PILE'!$E$72:$E$91)=0,0,'TO HOP NLAN'!E227*'TS-PILE'!$E$83/SUMSQ('TS-PILE'!$E$72:$E$91))+IF(SUMSQ('TS-PILE'!$D$72:$D$91)=0,0,'TO HOP NLAN'!F227*'TS-PILE'!$D$83/SUMSQ('TS-PILE'!$D$72:$D$91))),IF('TS-PILE'!$B$84="",-1E+99,'TO HOP NLAN'!D227/ncoc+IF(SUMSQ('TS-PILE'!$E$72:$E$91)=0,0,'TO HOP NLAN'!E227*'TS-PILE'!$E$84/SUMSQ('TS-PILE'!$E$72:$E$91))+IF(SUMSQ('TS-PILE'!$D$72:$D$91)=0,0,'TO HOP NLAN'!F227*'TS-PILE'!$D$84/SUMSQ('TS-PILE'!$D$72:$D$91))),IF('TS-PILE'!$B$85="",-1E+99,'TO HOP NLAN'!D227/ncoc+IF(SUMSQ('TS-PILE'!$E$72:$E$91)=0,0,'TO HOP NLAN'!E227*'TS-PILE'!$E$85/SUMSQ('TS-PILE'!$E$72:$E$91))+IF(SUMSQ('TS-PILE'!$D$72:$D$91)=0,0,'TO HOP NLAN'!F227*'TS-PILE'!$D$85/SUMSQ('TS-PILE'!$D$72:$D$91))),IF('TS-PILE'!$B$86="",-1E+99,'TO HOP NLAN'!D227/ncoc+IF(SUMSQ('TS-PILE'!$E$72:$E$91)=0,0,'TO HOP NLAN'!E227*'TS-PILE'!$E$86/SUMSQ('TS-PILE'!$E$72:$E$91))+IF(SUMSQ('TS-PILE'!$D$72:$D$91)=0,0,'TO HOP NLAN'!F227*'TS-PILE'!$D$86/SUMSQ('TS-PILE'!$D$72:$D$91))),IF('TS-PILE'!$B$87="",-1E+99,'TO HOP NLAN'!D227/ncoc+IF(SUMSQ('TS-PILE'!$E$72:$E$91)=0,0,'TO HOP NLAN'!E227*'TS-PILE'!$E$87/SUMSQ('TS-PILE'!$E$72:$E$91))+IF(SUMSQ('TS-PILE'!$D$72:$D$91)=0,0,'TO HOP NLAN'!F227*'TS-PILE'!$D$87/SUMSQ('TS-PILE'!$D$72:$D$91))),IF('TS-PILE'!$B$88="",-1E+99,'TO HOP NLAN'!D227/ncoc+IF(SUMSQ('TS-PILE'!$E$72:$E$91)=0,0,'TO HOP NLAN'!E227*'TS-PILE'!$E$88/SUMSQ('TS-PILE'!$E$72:$E$91))+IF(SUMSQ('TS-PILE'!$D$72:$D$91)=0,0,'TO HOP NLAN'!F227*'TS-PILE'!$D$88/SUMSQ('TS-PILE'!$D$72:$D$91))),IF('TS-PILE'!$B$89="",-1E+99,'TO HOP NLAN'!D227/ncoc+IF(SUMSQ('TS-PILE'!$E$72:$E$91)=0,0,'TO HOP NLAN'!E227*'TS-PILE'!$E$89/SUMSQ('TS-PILE'!$E$72:$E$91))+IF(SUMSQ('TS-PILE'!$D$72:$D$91)=0,0,'TO HOP NLAN'!F227*'TS-PILE'!$D$89/SUMSQ('TS-PILE'!$D$72:$D$91))),IF('TS-PILE'!$B$90="",-1E+99,'TO HOP NLAN'!D227/ncoc+IF(SUMSQ('TS-PILE'!$E$72:$E$91)=0,0,'TO HOP NLAN'!E227*'TS-PILE'!$E$90/SUMSQ('TS-PILE'!$E$72:$E$91))+IF(SUMSQ('TS-PILE'!$D$72:$D$91)=0,0,'TO HOP NLAN'!F227*'TS-PILE'!$D$90/SUMSQ('TS-PILE'!$D$72:$D$91))),IF('TS-PILE'!$B$91="",-1E+99,'TO HOP NLAN'!D227/ncoc+IF(SUMSQ('TS-PILE'!$E$72:$E$91)=0,0,'TO HOP NLAN'!E227*'TS-PILE'!$E$91/SUMSQ('TS-PILE'!$E$72:$E$91))+IF(SUMSQ('TS-PILE'!$D$72:$D$91)=0,0,'TO HOP NLAN'!F227*'TS-PILE'!$D$91/SUMSQ('TS-PILE'!$D$72:$D$91)))))</f>
        <v>0</v>
      </c>
      <c r="D227" s="58">
        <f>IF(A227="",0,MIN(IF('TS-PILE'!$B$72="",1E+99,'TO HOP NLAN'!D227/ncoc+IF(SUMSQ('TS-PILE'!$E$72:$E$91)=0,0,'TO HOP NLAN'!E227*'TS-PILE'!$E$72/SUMSQ('TS-PILE'!$E$72:$E$91))+IF(SUMSQ('TS-PILE'!$D$72:$D$91)=0,0,'TO HOP NLAN'!F227*'TS-PILE'!$D$72/SUMSQ('TS-PILE'!$D$72:$D$91))),IF('TS-PILE'!$B$73="",1E+99,'TO HOP NLAN'!D227/ncoc+IF(SUMSQ('TS-PILE'!$E$72:$E$91)=0,0,'TO HOP NLAN'!E227*'TS-PILE'!$E$73/SUMSQ('TS-PILE'!$E$72:$E$91))+IF(SUMSQ('TS-PILE'!$D$72:$D$91)=0,0,'TO HOP NLAN'!F227*'TS-PILE'!$D$73/SUMSQ('TS-PILE'!$D$72:$D$91))),IF('TS-PILE'!$B$74="",1E+99,'TO HOP NLAN'!D227/ncoc+IF(SUMSQ('TS-PILE'!$E$72:$E$91)=0,0,'TO HOP NLAN'!E227*'TS-PILE'!$E$74/SUMSQ('TS-PILE'!$E$72:$E$91))+IF(SUMSQ('TS-PILE'!$D$72:$D$91)=0,0,'TO HOP NLAN'!F227*'TS-PILE'!$D$74/SUMSQ('TS-PILE'!$D$72:$D$91))),IF('TS-PILE'!$B$75="",1E+99,'TO HOP NLAN'!D227/ncoc+IF(SUMSQ('TS-PILE'!$E$72:$E$91)=0,0,'TO HOP NLAN'!E227*'TS-PILE'!$E$75/SUMSQ('TS-PILE'!$E$72:$E$91))+IF(SUMSQ('TS-PILE'!$D$72:$D$91)=0,0,'TO HOP NLAN'!F227*'TS-PILE'!$D$75/SUMSQ('TS-PILE'!$D$72:$D$91))),IF('TS-PILE'!$B$76="",1E+99,'TO HOP NLAN'!D227/ncoc+IF(SUMSQ('TS-PILE'!$E$72:$E$91)=0,0,'TO HOP NLAN'!E227*'TS-PILE'!$E$76/SUMSQ('TS-PILE'!$E$72:$E$91))+IF(SUMSQ('TS-PILE'!$D$72:$D$91)=0,0,'TO HOP NLAN'!F227*'TS-PILE'!$D$76/SUMSQ('TS-PILE'!$D$72:$D$91))),IF('TS-PILE'!$B$77="",1E+99,'TO HOP NLAN'!D227/ncoc+IF(SUMSQ('TS-PILE'!$E$72:$E$91)=0,0,'TO HOP NLAN'!E227*'TS-PILE'!$E$77/SUMSQ('TS-PILE'!$E$72:$E$91))+IF(SUMSQ('TS-PILE'!$D$72:$D$91)=0,0,'TO HOP NLAN'!F227*'TS-PILE'!$D$77/SUMSQ('TS-PILE'!$D$72:$D$91))),IF('TS-PILE'!$B$78="",1E+99,'TO HOP NLAN'!D227/ncoc+IF(SUMSQ('TS-PILE'!$E$72:$E$91)=0,0,'TO HOP NLAN'!E227*'TS-PILE'!$E$78/SUMSQ('TS-PILE'!$E$72:$E$91))+IF(SUMSQ('TS-PILE'!$D$72:$D$91)=0,0,'TO HOP NLAN'!F227*'TS-PILE'!$D$78/SUMSQ('TS-PILE'!$D$72:$D$91))),IF('TS-PILE'!$B$79="",1E+99,'TO HOP NLAN'!D227/ncoc+IF(SUMSQ('TS-PILE'!$E$72:$E$91)=0,0,'TO HOP NLAN'!E227*'TS-PILE'!$E$79/SUMSQ('TS-PILE'!$E$72:$E$91))+IF(SUMSQ('TS-PILE'!$D$72:$D$91)=0,0,'TO HOP NLAN'!F227*'TS-PILE'!$D$79/SUMSQ('TS-PILE'!$D$72:$D$91))),IF('TS-PILE'!$B$80="",1E+99,'TO HOP NLAN'!D227/ncoc+IF(SUMSQ('TS-PILE'!$E$72:$E$91)=0,0,'TO HOP NLAN'!E227*'TS-PILE'!$E$80/SUMSQ('TS-PILE'!$E$72:$E$91))+IF(SUMSQ('TS-PILE'!$D$72:$D$91)=0,0,'TO HOP NLAN'!F227*'TS-PILE'!$D$80/SUMSQ('TS-PILE'!$D$72:$D$91))),IF('TS-PILE'!$B$81="",1E+99,'TO HOP NLAN'!D227/ncoc+IF(SUMSQ('TS-PILE'!$E$72:$E$91)=0,0,'TO HOP NLAN'!E227*'TS-PILE'!$E$81/SUMSQ('TS-PILE'!$E$72:$E$91))+IF(SUMSQ('TS-PILE'!$D$72:$D$91)=0,0,'TO HOP NLAN'!F227*'TS-PILE'!$D$81/SUMSQ('TS-PILE'!$D$72:$D$91))),IF('TS-PILE'!$B$82="",1E+99,'TO HOP NLAN'!D227/ncoc+IF(SUMSQ('TS-PILE'!$E$72:$E$91)=0,0,'TO HOP NLAN'!E227*'TS-PILE'!$E$82/SUMSQ('TS-PILE'!$E$72:$E$91))+IF(SUMSQ('TS-PILE'!$D$72:$D$91)=0,0,'TO HOP NLAN'!F227*'TS-PILE'!$D$82/SUMSQ('TS-PILE'!$D$72:$D$91))),IF('TS-PILE'!$B$83="",1E+99,'TO HOP NLAN'!D227/ncoc+IF(SUMSQ('TS-PILE'!$E$72:$E$91)=0,0,'TO HOP NLAN'!E227*'TS-PILE'!$E$83/SUMSQ('TS-PILE'!$E$72:$E$91))+IF(SUMSQ('TS-PILE'!$D$72:$D$91)=0,0,'TO HOP NLAN'!F227*'TS-PILE'!$D$83/SUMSQ('TS-PILE'!$D$72:$D$91))),IF('TS-PILE'!$B$84="",1E+99,'TO HOP NLAN'!D227/ncoc+IF(SUMSQ('TS-PILE'!$E$72:$E$91)=0,0,'TO HOP NLAN'!E227*'TS-PILE'!$E$84/SUMSQ('TS-PILE'!$E$72:$E$91))+IF(SUMSQ('TS-PILE'!$D$72:$D$91)=0,0,'TO HOP NLAN'!F227*'TS-PILE'!$D$84/SUMSQ('TS-PILE'!$D$72:$D$91))),IF('TS-PILE'!$B$85="",1E+99,'TO HOP NLAN'!D227/ncoc+IF(SUMSQ('TS-PILE'!$E$72:$E$91)=0,0,'TO HOP NLAN'!E227*'TS-PILE'!$E$85/SUMSQ('TS-PILE'!$E$72:$E$91))+IF(SUMSQ('TS-PILE'!$D$72:$D$91)=0,0,'TO HOP NLAN'!F227*'TS-PILE'!$D$85/SUMSQ('TS-PILE'!$D$72:$D$91))),IF('TS-PILE'!$B$86="",1E+99,'TO HOP NLAN'!D227/ncoc+IF(SUMSQ('TS-PILE'!$E$72:$E$91)=0,0,'TO HOP NLAN'!E227*'TS-PILE'!$E$86/SUMSQ('TS-PILE'!$E$72:$E$91))+IF(SUMSQ('TS-PILE'!$D$72:$D$91)=0,0,'TO HOP NLAN'!F227*'TS-PILE'!$D$86/SUMSQ('TS-PILE'!$D$72:$D$91))),IF('TS-PILE'!$B$87="",1E+99,'TO HOP NLAN'!D227/ncoc+IF(SUMSQ('TS-PILE'!$E$72:$E$91)=0,0,'TO HOP NLAN'!E227*'TS-PILE'!$E$87/SUMSQ('TS-PILE'!$E$72:$E$91))+IF(SUMSQ('TS-PILE'!$D$72:$D$91)=0,0,'TO HOP NLAN'!F227*'TS-PILE'!$D$87/SUMSQ('TS-PILE'!$D$72:$D$91))),IF('TS-PILE'!$B$88="",1E+99,'TO HOP NLAN'!D227/ncoc+IF(SUMSQ('TS-PILE'!$E$72:$E$91)=0,0,'TO HOP NLAN'!E227*'TS-PILE'!$E$88/SUMSQ('TS-PILE'!$E$72:$E$91))+IF(SUMSQ('TS-PILE'!$D$72:$D$91)=0,0,'TO HOP NLAN'!F227*'TS-PILE'!$D$88/SUMSQ('TS-PILE'!$D$72:$D$91))),IF('TS-PILE'!$B$89="",1E+99,'TO HOP NLAN'!D227/ncoc+IF(SUMSQ('TS-PILE'!$E$72:$E$91)=0,0,'TO HOP NLAN'!E227*'TS-PILE'!$E$89/SUMSQ('TS-PILE'!$E$72:$E$91))+IF(SUMSQ('TS-PILE'!$D$72:$D$91)=0,0,'TO HOP NLAN'!F227*'TS-PILE'!$D$89/SUMSQ('TS-PILE'!$D$72:$D$91))),IF('TS-PILE'!$B$90="",1E+99,'TO HOP NLAN'!D227/ncoc+IF(SUMSQ('TS-PILE'!$E$72:$E$91)=0,0,'TO HOP NLAN'!E227*'TS-PILE'!$E$90/SUMSQ('TS-PILE'!$E$72:$E$91))+IF(SUMSQ('TS-PILE'!$D$72:$D$91)=0,0,'TO HOP NLAN'!F227*'TS-PILE'!$D$90/SUMSQ('TS-PILE'!$D$72:$D$91))),IF('TS-PILE'!$B$91="",1E+99,'TO HOP NLAN'!D227/ncoc+IF(SUMSQ('TS-PILE'!$E$72:$E$91)=0,0,'TO HOP NLAN'!E227*'TS-PILE'!$E$91/SUMSQ('TS-PILE'!$E$72:$E$91))+IF(SUMSQ('TS-PILE'!$D$72:$D$91)=0,0,'TO HOP NLAN'!F227*'TS-PILE'!$D$91/SUMSQ('TS-PILE'!$D$72:$D$91)))))</f>
        <v>0</v>
      </c>
      <c r="E227" s="58">
        <f t="shared" si="12"/>
        <v>-9.9999999999999997E+98</v>
      </c>
      <c r="F227" s="58">
        <f t="shared" si="13"/>
        <v>9.9999999999999997E+98</v>
      </c>
      <c r="G227" s="58">
        <f t="shared" si="14"/>
        <v>-9.9999999999999997E+98</v>
      </c>
      <c r="H227" s="58">
        <f t="shared" si="15"/>
        <v>9.9999999999999997E+98</v>
      </c>
    </row>
    <row r="228" spans="1:8" x14ac:dyDescent="0.3">
      <c r="A228" s="42" t="str">
        <f>'TO HOP NLAN'!A228</f>
        <v/>
      </c>
      <c r="B228" s="42" t="str">
        <f>'TO HOP NLAN'!L228</f>
        <v>STRENGTH</v>
      </c>
      <c r="C228" s="58">
        <f>IF(A228="",0,MAX(IF('TS-PILE'!$B$72="",-1E+99,'TO HOP NLAN'!D228/ncoc+IF(SUMSQ('TS-PILE'!$E$72:$E$91)=0,0,'TO HOP NLAN'!E228*'TS-PILE'!$E$72/SUMSQ('TS-PILE'!$E$72:$E$91))+IF(SUMSQ('TS-PILE'!$D$72:$D$91)=0,0,'TO HOP NLAN'!F228*'TS-PILE'!$D$72/SUMSQ('TS-PILE'!$D$72:$D$91))),IF('TS-PILE'!$B$73="",-1E+99,'TO HOP NLAN'!D228/ncoc+IF(SUMSQ('TS-PILE'!$E$72:$E$91)=0,0,'TO HOP NLAN'!E228*'TS-PILE'!$E$73/SUMSQ('TS-PILE'!$E$72:$E$91))+IF(SUMSQ('TS-PILE'!$D$72:$D$91)=0,0,'TO HOP NLAN'!F228*'TS-PILE'!$D$73/SUMSQ('TS-PILE'!$D$72:$D$91))),IF('TS-PILE'!$B$74="",-1E+99,'TO HOP NLAN'!D228/ncoc+IF(SUMSQ('TS-PILE'!$E$72:$E$91)=0,0,'TO HOP NLAN'!E228*'TS-PILE'!$E$74/SUMSQ('TS-PILE'!$E$72:$E$91))+IF(SUMSQ('TS-PILE'!$D$72:$D$91)=0,0,'TO HOP NLAN'!F228*'TS-PILE'!$D$74/SUMSQ('TS-PILE'!$D$72:$D$91))),IF('TS-PILE'!$B$75="",-1E+99,'TO HOP NLAN'!D228/ncoc+IF(SUMSQ('TS-PILE'!$E$72:$E$91)=0,0,'TO HOP NLAN'!E228*'TS-PILE'!$E$75/SUMSQ('TS-PILE'!$E$72:$E$91))+IF(SUMSQ('TS-PILE'!$D$72:$D$91)=0,0,'TO HOP NLAN'!F228*'TS-PILE'!$D$75/SUMSQ('TS-PILE'!$D$72:$D$91))),IF('TS-PILE'!$B$76="",-1E+99,'TO HOP NLAN'!D228/ncoc+IF(SUMSQ('TS-PILE'!$E$72:$E$91)=0,0,'TO HOP NLAN'!E228*'TS-PILE'!$E$76/SUMSQ('TS-PILE'!$E$72:$E$91))+IF(SUMSQ('TS-PILE'!$D$72:$D$91)=0,0,'TO HOP NLAN'!F228*'TS-PILE'!$D$76/SUMSQ('TS-PILE'!$D$72:$D$91))),IF('TS-PILE'!$B$77="",-1E+99,'TO HOP NLAN'!D228/ncoc+IF(SUMSQ('TS-PILE'!$E$72:$E$91)=0,0,'TO HOP NLAN'!E228*'TS-PILE'!$E$77/SUMSQ('TS-PILE'!$E$72:$E$91))+IF(SUMSQ('TS-PILE'!$D$72:$D$91)=0,0,'TO HOP NLAN'!F228*'TS-PILE'!$D$77/SUMSQ('TS-PILE'!$D$72:$D$91))),IF('TS-PILE'!$B$78="",-1E+99,'TO HOP NLAN'!D228/ncoc+IF(SUMSQ('TS-PILE'!$E$72:$E$91)=0,0,'TO HOP NLAN'!E228*'TS-PILE'!$E$78/SUMSQ('TS-PILE'!$E$72:$E$91))+IF(SUMSQ('TS-PILE'!$D$72:$D$91)=0,0,'TO HOP NLAN'!F228*'TS-PILE'!$D$78/SUMSQ('TS-PILE'!$D$72:$D$91))),IF('TS-PILE'!$B$79="",-1E+99,'TO HOP NLAN'!D228/ncoc+IF(SUMSQ('TS-PILE'!$E$72:$E$91)=0,0,'TO HOP NLAN'!E228*'TS-PILE'!$E$79/SUMSQ('TS-PILE'!$E$72:$E$91))+IF(SUMSQ('TS-PILE'!$D$72:$D$91)=0,0,'TO HOP NLAN'!F228*'TS-PILE'!$D$79/SUMSQ('TS-PILE'!$D$72:$D$91))),IF('TS-PILE'!$B$80="",-1E+99,'TO HOP NLAN'!D228/ncoc+IF(SUMSQ('TS-PILE'!$E$72:$E$91)=0,0,'TO HOP NLAN'!E228*'TS-PILE'!$E$80/SUMSQ('TS-PILE'!$E$72:$E$91))+IF(SUMSQ('TS-PILE'!$D$72:$D$91)=0,0,'TO HOP NLAN'!F228*'TS-PILE'!$D$80/SUMSQ('TS-PILE'!$D$72:$D$91))),IF('TS-PILE'!$B$81="",-1E+99,'TO HOP NLAN'!D228/ncoc+IF(SUMSQ('TS-PILE'!$E$72:$E$91)=0,0,'TO HOP NLAN'!E228*'TS-PILE'!$E$81/SUMSQ('TS-PILE'!$E$72:$E$91))+IF(SUMSQ('TS-PILE'!$D$72:$D$91)=0,0,'TO HOP NLAN'!F228*'TS-PILE'!$D$81/SUMSQ('TS-PILE'!$D$72:$D$91))),IF('TS-PILE'!$B$82="",-1E+99,'TO HOP NLAN'!D228/ncoc+IF(SUMSQ('TS-PILE'!$E$72:$E$91)=0,0,'TO HOP NLAN'!E228*'TS-PILE'!$E$82/SUMSQ('TS-PILE'!$E$72:$E$91))+IF(SUMSQ('TS-PILE'!$D$72:$D$91)=0,0,'TO HOP NLAN'!F228*'TS-PILE'!$D$82/SUMSQ('TS-PILE'!$D$72:$D$91))),IF('TS-PILE'!$B$83="",-1E+99,'TO HOP NLAN'!D228/ncoc+IF(SUMSQ('TS-PILE'!$E$72:$E$91)=0,0,'TO HOP NLAN'!E228*'TS-PILE'!$E$83/SUMSQ('TS-PILE'!$E$72:$E$91))+IF(SUMSQ('TS-PILE'!$D$72:$D$91)=0,0,'TO HOP NLAN'!F228*'TS-PILE'!$D$83/SUMSQ('TS-PILE'!$D$72:$D$91))),IF('TS-PILE'!$B$84="",-1E+99,'TO HOP NLAN'!D228/ncoc+IF(SUMSQ('TS-PILE'!$E$72:$E$91)=0,0,'TO HOP NLAN'!E228*'TS-PILE'!$E$84/SUMSQ('TS-PILE'!$E$72:$E$91))+IF(SUMSQ('TS-PILE'!$D$72:$D$91)=0,0,'TO HOP NLAN'!F228*'TS-PILE'!$D$84/SUMSQ('TS-PILE'!$D$72:$D$91))),IF('TS-PILE'!$B$85="",-1E+99,'TO HOP NLAN'!D228/ncoc+IF(SUMSQ('TS-PILE'!$E$72:$E$91)=0,0,'TO HOP NLAN'!E228*'TS-PILE'!$E$85/SUMSQ('TS-PILE'!$E$72:$E$91))+IF(SUMSQ('TS-PILE'!$D$72:$D$91)=0,0,'TO HOP NLAN'!F228*'TS-PILE'!$D$85/SUMSQ('TS-PILE'!$D$72:$D$91))),IF('TS-PILE'!$B$86="",-1E+99,'TO HOP NLAN'!D228/ncoc+IF(SUMSQ('TS-PILE'!$E$72:$E$91)=0,0,'TO HOP NLAN'!E228*'TS-PILE'!$E$86/SUMSQ('TS-PILE'!$E$72:$E$91))+IF(SUMSQ('TS-PILE'!$D$72:$D$91)=0,0,'TO HOP NLAN'!F228*'TS-PILE'!$D$86/SUMSQ('TS-PILE'!$D$72:$D$91))),IF('TS-PILE'!$B$87="",-1E+99,'TO HOP NLAN'!D228/ncoc+IF(SUMSQ('TS-PILE'!$E$72:$E$91)=0,0,'TO HOP NLAN'!E228*'TS-PILE'!$E$87/SUMSQ('TS-PILE'!$E$72:$E$91))+IF(SUMSQ('TS-PILE'!$D$72:$D$91)=0,0,'TO HOP NLAN'!F228*'TS-PILE'!$D$87/SUMSQ('TS-PILE'!$D$72:$D$91))),IF('TS-PILE'!$B$88="",-1E+99,'TO HOP NLAN'!D228/ncoc+IF(SUMSQ('TS-PILE'!$E$72:$E$91)=0,0,'TO HOP NLAN'!E228*'TS-PILE'!$E$88/SUMSQ('TS-PILE'!$E$72:$E$91))+IF(SUMSQ('TS-PILE'!$D$72:$D$91)=0,0,'TO HOP NLAN'!F228*'TS-PILE'!$D$88/SUMSQ('TS-PILE'!$D$72:$D$91))),IF('TS-PILE'!$B$89="",-1E+99,'TO HOP NLAN'!D228/ncoc+IF(SUMSQ('TS-PILE'!$E$72:$E$91)=0,0,'TO HOP NLAN'!E228*'TS-PILE'!$E$89/SUMSQ('TS-PILE'!$E$72:$E$91))+IF(SUMSQ('TS-PILE'!$D$72:$D$91)=0,0,'TO HOP NLAN'!F228*'TS-PILE'!$D$89/SUMSQ('TS-PILE'!$D$72:$D$91))),IF('TS-PILE'!$B$90="",-1E+99,'TO HOP NLAN'!D228/ncoc+IF(SUMSQ('TS-PILE'!$E$72:$E$91)=0,0,'TO HOP NLAN'!E228*'TS-PILE'!$E$90/SUMSQ('TS-PILE'!$E$72:$E$91))+IF(SUMSQ('TS-PILE'!$D$72:$D$91)=0,0,'TO HOP NLAN'!F228*'TS-PILE'!$D$90/SUMSQ('TS-PILE'!$D$72:$D$91))),IF('TS-PILE'!$B$91="",-1E+99,'TO HOP NLAN'!D228/ncoc+IF(SUMSQ('TS-PILE'!$E$72:$E$91)=0,0,'TO HOP NLAN'!E228*'TS-PILE'!$E$91/SUMSQ('TS-PILE'!$E$72:$E$91))+IF(SUMSQ('TS-PILE'!$D$72:$D$91)=0,0,'TO HOP NLAN'!F228*'TS-PILE'!$D$91/SUMSQ('TS-PILE'!$D$72:$D$91)))))</f>
        <v>0</v>
      </c>
      <c r="D228" s="58">
        <f>IF(A228="",0,MIN(IF('TS-PILE'!$B$72="",1E+99,'TO HOP NLAN'!D228/ncoc+IF(SUMSQ('TS-PILE'!$E$72:$E$91)=0,0,'TO HOP NLAN'!E228*'TS-PILE'!$E$72/SUMSQ('TS-PILE'!$E$72:$E$91))+IF(SUMSQ('TS-PILE'!$D$72:$D$91)=0,0,'TO HOP NLAN'!F228*'TS-PILE'!$D$72/SUMSQ('TS-PILE'!$D$72:$D$91))),IF('TS-PILE'!$B$73="",1E+99,'TO HOP NLAN'!D228/ncoc+IF(SUMSQ('TS-PILE'!$E$72:$E$91)=0,0,'TO HOP NLAN'!E228*'TS-PILE'!$E$73/SUMSQ('TS-PILE'!$E$72:$E$91))+IF(SUMSQ('TS-PILE'!$D$72:$D$91)=0,0,'TO HOP NLAN'!F228*'TS-PILE'!$D$73/SUMSQ('TS-PILE'!$D$72:$D$91))),IF('TS-PILE'!$B$74="",1E+99,'TO HOP NLAN'!D228/ncoc+IF(SUMSQ('TS-PILE'!$E$72:$E$91)=0,0,'TO HOP NLAN'!E228*'TS-PILE'!$E$74/SUMSQ('TS-PILE'!$E$72:$E$91))+IF(SUMSQ('TS-PILE'!$D$72:$D$91)=0,0,'TO HOP NLAN'!F228*'TS-PILE'!$D$74/SUMSQ('TS-PILE'!$D$72:$D$91))),IF('TS-PILE'!$B$75="",1E+99,'TO HOP NLAN'!D228/ncoc+IF(SUMSQ('TS-PILE'!$E$72:$E$91)=0,0,'TO HOP NLAN'!E228*'TS-PILE'!$E$75/SUMSQ('TS-PILE'!$E$72:$E$91))+IF(SUMSQ('TS-PILE'!$D$72:$D$91)=0,0,'TO HOP NLAN'!F228*'TS-PILE'!$D$75/SUMSQ('TS-PILE'!$D$72:$D$91))),IF('TS-PILE'!$B$76="",1E+99,'TO HOP NLAN'!D228/ncoc+IF(SUMSQ('TS-PILE'!$E$72:$E$91)=0,0,'TO HOP NLAN'!E228*'TS-PILE'!$E$76/SUMSQ('TS-PILE'!$E$72:$E$91))+IF(SUMSQ('TS-PILE'!$D$72:$D$91)=0,0,'TO HOP NLAN'!F228*'TS-PILE'!$D$76/SUMSQ('TS-PILE'!$D$72:$D$91))),IF('TS-PILE'!$B$77="",1E+99,'TO HOP NLAN'!D228/ncoc+IF(SUMSQ('TS-PILE'!$E$72:$E$91)=0,0,'TO HOP NLAN'!E228*'TS-PILE'!$E$77/SUMSQ('TS-PILE'!$E$72:$E$91))+IF(SUMSQ('TS-PILE'!$D$72:$D$91)=0,0,'TO HOP NLAN'!F228*'TS-PILE'!$D$77/SUMSQ('TS-PILE'!$D$72:$D$91))),IF('TS-PILE'!$B$78="",1E+99,'TO HOP NLAN'!D228/ncoc+IF(SUMSQ('TS-PILE'!$E$72:$E$91)=0,0,'TO HOP NLAN'!E228*'TS-PILE'!$E$78/SUMSQ('TS-PILE'!$E$72:$E$91))+IF(SUMSQ('TS-PILE'!$D$72:$D$91)=0,0,'TO HOP NLAN'!F228*'TS-PILE'!$D$78/SUMSQ('TS-PILE'!$D$72:$D$91))),IF('TS-PILE'!$B$79="",1E+99,'TO HOP NLAN'!D228/ncoc+IF(SUMSQ('TS-PILE'!$E$72:$E$91)=0,0,'TO HOP NLAN'!E228*'TS-PILE'!$E$79/SUMSQ('TS-PILE'!$E$72:$E$91))+IF(SUMSQ('TS-PILE'!$D$72:$D$91)=0,0,'TO HOP NLAN'!F228*'TS-PILE'!$D$79/SUMSQ('TS-PILE'!$D$72:$D$91))),IF('TS-PILE'!$B$80="",1E+99,'TO HOP NLAN'!D228/ncoc+IF(SUMSQ('TS-PILE'!$E$72:$E$91)=0,0,'TO HOP NLAN'!E228*'TS-PILE'!$E$80/SUMSQ('TS-PILE'!$E$72:$E$91))+IF(SUMSQ('TS-PILE'!$D$72:$D$91)=0,0,'TO HOP NLAN'!F228*'TS-PILE'!$D$80/SUMSQ('TS-PILE'!$D$72:$D$91))),IF('TS-PILE'!$B$81="",1E+99,'TO HOP NLAN'!D228/ncoc+IF(SUMSQ('TS-PILE'!$E$72:$E$91)=0,0,'TO HOP NLAN'!E228*'TS-PILE'!$E$81/SUMSQ('TS-PILE'!$E$72:$E$91))+IF(SUMSQ('TS-PILE'!$D$72:$D$91)=0,0,'TO HOP NLAN'!F228*'TS-PILE'!$D$81/SUMSQ('TS-PILE'!$D$72:$D$91))),IF('TS-PILE'!$B$82="",1E+99,'TO HOP NLAN'!D228/ncoc+IF(SUMSQ('TS-PILE'!$E$72:$E$91)=0,0,'TO HOP NLAN'!E228*'TS-PILE'!$E$82/SUMSQ('TS-PILE'!$E$72:$E$91))+IF(SUMSQ('TS-PILE'!$D$72:$D$91)=0,0,'TO HOP NLAN'!F228*'TS-PILE'!$D$82/SUMSQ('TS-PILE'!$D$72:$D$91))),IF('TS-PILE'!$B$83="",1E+99,'TO HOP NLAN'!D228/ncoc+IF(SUMSQ('TS-PILE'!$E$72:$E$91)=0,0,'TO HOP NLAN'!E228*'TS-PILE'!$E$83/SUMSQ('TS-PILE'!$E$72:$E$91))+IF(SUMSQ('TS-PILE'!$D$72:$D$91)=0,0,'TO HOP NLAN'!F228*'TS-PILE'!$D$83/SUMSQ('TS-PILE'!$D$72:$D$91))),IF('TS-PILE'!$B$84="",1E+99,'TO HOP NLAN'!D228/ncoc+IF(SUMSQ('TS-PILE'!$E$72:$E$91)=0,0,'TO HOP NLAN'!E228*'TS-PILE'!$E$84/SUMSQ('TS-PILE'!$E$72:$E$91))+IF(SUMSQ('TS-PILE'!$D$72:$D$91)=0,0,'TO HOP NLAN'!F228*'TS-PILE'!$D$84/SUMSQ('TS-PILE'!$D$72:$D$91))),IF('TS-PILE'!$B$85="",1E+99,'TO HOP NLAN'!D228/ncoc+IF(SUMSQ('TS-PILE'!$E$72:$E$91)=0,0,'TO HOP NLAN'!E228*'TS-PILE'!$E$85/SUMSQ('TS-PILE'!$E$72:$E$91))+IF(SUMSQ('TS-PILE'!$D$72:$D$91)=0,0,'TO HOP NLAN'!F228*'TS-PILE'!$D$85/SUMSQ('TS-PILE'!$D$72:$D$91))),IF('TS-PILE'!$B$86="",1E+99,'TO HOP NLAN'!D228/ncoc+IF(SUMSQ('TS-PILE'!$E$72:$E$91)=0,0,'TO HOP NLAN'!E228*'TS-PILE'!$E$86/SUMSQ('TS-PILE'!$E$72:$E$91))+IF(SUMSQ('TS-PILE'!$D$72:$D$91)=0,0,'TO HOP NLAN'!F228*'TS-PILE'!$D$86/SUMSQ('TS-PILE'!$D$72:$D$91))),IF('TS-PILE'!$B$87="",1E+99,'TO HOP NLAN'!D228/ncoc+IF(SUMSQ('TS-PILE'!$E$72:$E$91)=0,0,'TO HOP NLAN'!E228*'TS-PILE'!$E$87/SUMSQ('TS-PILE'!$E$72:$E$91))+IF(SUMSQ('TS-PILE'!$D$72:$D$91)=0,0,'TO HOP NLAN'!F228*'TS-PILE'!$D$87/SUMSQ('TS-PILE'!$D$72:$D$91))),IF('TS-PILE'!$B$88="",1E+99,'TO HOP NLAN'!D228/ncoc+IF(SUMSQ('TS-PILE'!$E$72:$E$91)=0,0,'TO HOP NLAN'!E228*'TS-PILE'!$E$88/SUMSQ('TS-PILE'!$E$72:$E$91))+IF(SUMSQ('TS-PILE'!$D$72:$D$91)=0,0,'TO HOP NLAN'!F228*'TS-PILE'!$D$88/SUMSQ('TS-PILE'!$D$72:$D$91))),IF('TS-PILE'!$B$89="",1E+99,'TO HOP NLAN'!D228/ncoc+IF(SUMSQ('TS-PILE'!$E$72:$E$91)=0,0,'TO HOP NLAN'!E228*'TS-PILE'!$E$89/SUMSQ('TS-PILE'!$E$72:$E$91))+IF(SUMSQ('TS-PILE'!$D$72:$D$91)=0,0,'TO HOP NLAN'!F228*'TS-PILE'!$D$89/SUMSQ('TS-PILE'!$D$72:$D$91))),IF('TS-PILE'!$B$90="",1E+99,'TO HOP NLAN'!D228/ncoc+IF(SUMSQ('TS-PILE'!$E$72:$E$91)=0,0,'TO HOP NLAN'!E228*'TS-PILE'!$E$90/SUMSQ('TS-PILE'!$E$72:$E$91))+IF(SUMSQ('TS-PILE'!$D$72:$D$91)=0,0,'TO HOP NLAN'!F228*'TS-PILE'!$D$90/SUMSQ('TS-PILE'!$D$72:$D$91))),IF('TS-PILE'!$B$91="",1E+99,'TO HOP NLAN'!D228/ncoc+IF(SUMSQ('TS-PILE'!$E$72:$E$91)=0,0,'TO HOP NLAN'!E228*'TS-PILE'!$E$91/SUMSQ('TS-PILE'!$E$72:$E$91))+IF(SUMSQ('TS-PILE'!$D$72:$D$91)=0,0,'TO HOP NLAN'!F228*'TS-PILE'!$D$91/SUMSQ('TS-PILE'!$D$72:$D$91)))))</f>
        <v>0</v>
      </c>
      <c r="E228" s="58">
        <f t="shared" si="12"/>
        <v>-9.9999999999999997E+98</v>
      </c>
      <c r="F228" s="58">
        <f t="shared" si="13"/>
        <v>9.9999999999999997E+98</v>
      </c>
      <c r="G228" s="58">
        <f t="shared" si="14"/>
        <v>-9.9999999999999997E+98</v>
      </c>
      <c r="H228" s="58">
        <f t="shared" si="15"/>
        <v>9.9999999999999997E+98</v>
      </c>
    </row>
    <row r="229" spans="1:8" x14ac:dyDescent="0.3">
      <c r="A229" s="42" t="str">
        <f>'TO HOP NLAN'!A229</f>
        <v/>
      </c>
      <c r="B229" s="42" t="str">
        <f>'TO HOP NLAN'!L229</f>
        <v>STRENGTH</v>
      </c>
      <c r="C229" s="58">
        <f>IF(A229="",0,MAX(IF('TS-PILE'!$B$72="",-1E+99,'TO HOP NLAN'!D229/ncoc+IF(SUMSQ('TS-PILE'!$E$72:$E$91)=0,0,'TO HOP NLAN'!E229*'TS-PILE'!$E$72/SUMSQ('TS-PILE'!$E$72:$E$91))+IF(SUMSQ('TS-PILE'!$D$72:$D$91)=0,0,'TO HOP NLAN'!F229*'TS-PILE'!$D$72/SUMSQ('TS-PILE'!$D$72:$D$91))),IF('TS-PILE'!$B$73="",-1E+99,'TO HOP NLAN'!D229/ncoc+IF(SUMSQ('TS-PILE'!$E$72:$E$91)=0,0,'TO HOP NLAN'!E229*'TS-PILE'!$E$73/SUMSQ('TS-PILE'!$E$72:$E$91))+IF(SUMSQ('TS-PILE'!$D$72:$D$91)=0,0,'TO HOP NLAN'!F229*'TS-PILE'!$D$73/SUMSQ('TS-PILE'!$D$72:$D$91))),IF('TS-PILE'!$B$74="",-1E+99,'TO HOP NLAN'!D229/ncoc+IF(SUMSQ('TS-PILE'!$E$72:$E$91)=0,0,'TO HOP NLAN'!E229*'TS-PILE'!$E$74/SUMSQ('TS-PILE'!$E$72:$E$91))+IF(SUMSQ('TS-PILE'!$D$72:$D$91)=0,0,'TO HOP NLAN'!F229*'TS-PILE'!$D$74/SUMSQ('TS-PILE'!$D$72:$D$91))),IF('TS-PILE'!$B$75="",-1E+99,'TO HOP NLAN'!D229/ncoc+IF(SUMSQ('TS-PILE'!$E$72:$E$91)=0,0,'TO HOP NLAN'!E229*'TS-PILE'!$E$75/SUMSQ('TS-PILE'!$E$72:$E$91))+IF(SUMSQ('TS-PILE'!$D$72:$D$91)=0,0,'TO HOP NLAN'!F229*'TS-PILE'!$D$75/SUMSQ('TS-PILE'!$D$72:$D$91))),IF('TS-PILE'!$B$76="",-1E+99,'TO HOP NLAN'!D229/ncoc+IF(SUMSQ('TS-PILE'!$E$72:$E$91)=0,0,'TO HOP NLAN'!E229*'TS-PILE'!$E$76/SUMSQ('TS-PILE'!$E$72:$E$91))+IF(SUMSQ('TS-PILE'!$D$72:$D$91)=0,0,'TO HOP NLAN'!F229*'TS-PILE'!$D$76/SUMSQ('TS-PILE'!$D$72:$D$91))),IF('TS-PILE'!$B$77="",-1E+99,'TO HOP NLAN'!D229/ncoc+IF(SUMSQ('TS-PILE'!$E$72:$E$91)=0,0,'TO HOP NLAN'!E229*'TS-PILE'!$E$77/SUMSQ('TS-PILE'!$E$72:$E$91))+IF(SUMSQ('TS-PILE'!$D$72:$D$91)=0,0,'TO HOP NLAN'!F229*'TS-PILE'!$D$77/SUMSQ('TS-PILE'!$D$72:$D$91))),IF('TS-PILE'!$B$78="",-1E+99,'TO HOP NLAN'!D229/ncoc+IF(SUMSQ('TS-PILE'!$E$72:$E$91)=0,0,'TO HOP NLAN'!E229*'TS-PILE'!$E$78/SUMSQ('TS-PILE'!$E$72:$E$91))+IF(SUMSQ('TS-PILE'!$D$72:$D$91)=0,0,'TO HOP NLAN'!F229*'TS-PILE'!$D$78/SUMSQ('TS-PILE'!$D$72:$D$91))),IF('TS-PILE'!$B$79="",-1E+99,'TO HOP NLAN'!D229/ncoc+IF(SUMSQ('TS-PILE'!$E$72:$E$91)=0,0,'TO HOP NLAN'!E229*'TS-PILE'!$E$79/SUMSQ('TS-PILE'!$E$72:$E$91))+IF(SUMSQ('TS-PILE'!$D$72:$D$91)=0,0,'TO HOP NLAN'!F229*'TS-PILE'!$D$79/SUMSQ('TS-PILE'!$D$72:$D$91))),IF('TS-PILE'!$B$80="",-1E+99,'TO HOP NLAN'!D229/ncoc+IF(SUMSQ('TS-PILE'!$E$72:$E$91)=0,0,'TO HOP NLAN'!E229*'TS-PILE'!$E$80/SUMSQ('TS-PILE'!$E$72:$E$91))+IF(SUMSQ('TS-PILE'!$D$72:$D$91)=0,0,'TO HOP NLAN'!F229*'TS-PILE'!$D$80/SUMSQ('TS-PILE'!$D$72:$D$91))),IF('TS-PILE'!$B$81="",-1E+99,'TO HOP NLAN'!D229/ncoc+IF(SUMSQ('TS-PILE'!$E$72:$E$91)=0,0,'TO HOP NLAN'!E229*'TS-PILE'!$E$81/SUMSQ('TS-PILE'!$E$72:$E$91))+IF(SUMSQ('TS-PILE'!$D$72:$D$91)=0,0,'TO HOP NLAN'!F229*'TS-PILE'!$D$81/SUMSQ('TS-PILE'!$D$72:$D$91))),IF('TS-PILE'!$B$82="",-1E+99,'TO HOP NLAN'!D229/ncoc+IF(SUMSQ('TS-PILE'!$E$72:$E$91)=0,0,'TO HOP NLAN'!E229*'TS-PILE'!$E$82/SUMSQ('TS-PILE'!$E$72:$E$91))+IF(SUMSQ('TS-PILE'!$D$72:$D$91)=0,0,'TO HOP NLAN'!F229*'TS-PILE'!$D$82/SUMSQ('TS-PILE'!$D$72:$D$91))),IF('TS-PILE'!$B$83="",-1E+99,'TO HOP NLAN'!D229/ncoc+IF(SUMSQ('TS-PILE'!$E$72:$E$91)=0,0,'TO HOP NLAN'!E229*'TS-PILE'!$E$83/SUMSQ('TS-PILE'!$E$72:$E$91))+IF(SUMSQ('TS-PILE'!$D$72:$D$91)=0,0,'TO HOP NLAN'!F229*'TS-PILE'!$D$83/SUMSQ('TS-PILE'!$D$72:$D$91))),IF('TS-PILE'!$B$84="",-1E+99,'TO HOP NLAN'!D229/ncoc+IF(SUMSQ('TS-PILE'!$E$72:$E$91)=0,0,'TO HOP NLAN'!E229*'TS-PILE'!$E$84/SUMSQ('TS-PILE'!$E$72:$E$91))+IF(SUMSQ('TS-PILE'!$D$72:$D$91)=0,0,'TO HOP NLAN'!F229*'TS-PILE'!$D$84/SUMSQ('TS-PILE'!$D$72:$D$91))),IF('TS-PILE'!$B$85="",-1E+99,'TO HOP NLAN'!D229/ncoc+IF(SUMSQ('TS-PILE'!$E$72:$E$91)=0,0,'TO HOP NLAN'!E229*'TS-PILE'!$E$85/SUMSQ('TS-PILE'!$E$72:$E$91))+IF(SUMSQ('TS-PILE'!$D$72:$D$91)=0,0,'TO HOP NLAN'!F229*'TS-PILE'!$D$85/SUMSQ('TS-PILE'!$D$72:$D$91))),IF('TS-PILE'!$B$86="",-1E+99,'TO HOP NLAN'!D229/ncoc+IF(SUMSQ('TS-PILE'!$E$72:$E$91)=0,0,'TO HOP NLAN'!E229*'TS-PILE'!$E$86/SUMSQ('TS-PILE'!$E$72:$E$91))+IF(SUMSQ('TS-PILE'!$D$72:$D$91)=0,0,'TO HOP NLAN'!F229*'TS-PILE'!$D$86/SUMSQ('TS-PILE'!$D$72:$D$91))),IF('TS-PILE'!$B$87="",-1E+99,'TO HOP NLAN'!D229/ncoc+IF(SUMSQ('TS-PILE'!$E$72:$E$91)=0,0,'TO HOP NLAN'!E229*'TS-PILE'!$E$87/SUMSQ('TS-PILE'!$E$72:$E$91))+IF(SUMSQ('TS-PILE'!$D$72:$D$91)=0,0,'TO HOP NLAN'!F229*'TS-PILE'!$D$87/SUMSQ('TS-PILE'!$D$72:$D$91))),IF('TS-PILE'!$B$88="",-1E+99,'TO HOP NLAN'!D229/ncoc+IF(SUMSQ('TS-PILE'!$E$72:$E$91)=0,0,'TO HOP NLAN'!E229*'TS-PILE'!$E$88/SUMSQ('TS-PILE'!$E$72:$E$91))+IF(SUMSQ('TS-PILE'!$D$72:$D$91)=0,0,'TO HOP NLAN'!F229*'TS-PILE'!$D$88/SUMSQ('TS-PILE'!$D$72:$D$91))),IF('TS-PILE'!$B$89="",-1E+99,'TO HOP NLAN'!D229/ncoc+IF(SUMSQ('TS-PILE'!$E$72:$E$91)=0,0,'TO HOP NLAN'!E229*'TS-PILE'!$E$89/SUMSQ('TS-PILE'!$E$72:$E$91))+IF(SUMSQ('TS-PILE'!$D$72:$D$91)=0,0,'TO HOP NLAN'!F229*'TS-PILE'!$D$89/SUMSQ('TS-PILE'!$D$72:$D$91))),IF('TS-PILE'!$B$90="",-1E+99,'TO HOP NLAN'!D229/ncoc+IF(SUMSQ('TS-PILE'!$E$72:$E$91)=0,0,'TO HOP NLAN'!E229*'TS-PILE'!$E$90/SUMSQ('TS-PILE'!$E$72:$E$91))+IF(SUMSQ('TS-PILE'!$D$72:$D$91)=0,0,'TO HOP NLAN'!F229*'TS-PILE'!$D$90/SUMSQ('TS-PILE'!$D$72:$D$91))),IF('TS-PILE'!$B$91="",-1E+99,'TO HOP NLAN'!D229/ncoc+IF(SUMSQ('TS-PILE'!$E$72:$E$91)=0,0,'TO HOP NLAN'!E229*'TS-PILE'!$E$91/SUMSQ('TS-PILE'!$E$72:$E$91))+IF(SUMSQ('TS-PILE'!$D$72:$D$91)=0,0,'TO HOP NLAN'!F229*'TS-PILE'!$D$91/SUMSQ('TS-PILE'!$D$72:$D$91)))))</f>
        <v>0</v>
      </c>
      <c r="D229" s="58">
        <f>IF(A229="",0,MIN(IF('TS-PILE'!$B$72="",1E+99,'TO HOP NLAN'!D229/ncoc+IF(SUMSQ('TS-PILE'!$E$72:$E$91)=0,0,'TO HOP NLAN'!E229*'TS-PILE'!$E$72/SUMSQ('TS-PILE'!$E$72:$E$91))+IF(SUMSQ('TS-PILE'!$D$72:$D$91)=0,0,'TO HOP NLAN'!F229*'TS-PILE'!$D$72/SUMSQ('TS-PILE'!$D$72:$D$91))),IF('TS-PILE'!$B$73="",1E+99,'TO HOP NLAN'!D229/ncoc+IF(SUMSQ('TS-PILE'!$E$72:$E$91)=0,0,'TO HOP NLAN'!E229*'TS-PILE'!$E$73/SUMSQ('TS-PILE'!$E$72:$E$91))+IF(SUMSQ('TS-PILE'!$D$72:$D$91)=0,0,'TO HOP NLAN'!F229*'TS-PILE'!$D$73/SUMSQ('TS-PILE'!$D$72:$D$91))),IF('TS-PILE'!$B$74="",1E+99,'TO HOP NLAN'!D229/ncoc+IF(SUMSQ('TS-PILE'!$E$72:$E$91)=0,0,'TO HOP NLAN'!E229*'TS-PILE'!$E$74/SUMSQ('TS-PILE'!$E$72:$E$91))+IF(SUMSQ('TS-PILE'!$D$72:$D$91)=0,0,'TO HOP NLAN'!F229*'TS-PILE'!$D$74/SUMSQ('TS-PILE'!$D$72:$D$91))),IF('TS-PILE'!$B$75="",1E+99,'TO HOP NLAN'!D229/ncoc+IF(SUMSQ('TS-PILE'!$E$72:$E$91)=0,0,'TO HOP NLAN'!E229*'TS-PILE'!$E$75/SUMSQ('TS-PILE'!$E$72:$E$91))+IF(SUMSQ('TS-PILE'!$D$72:$D$91)=0,0,'TO HOP NLAN'!F229*'TS-PILE'!$D$75/SUMSQ('TS-PILE'!$D$72:$D$91))),IF('TS-PILE'!$B$76="",1E+99,'TO HOP NLAN'!D229/ncoc+IF(SUMSQ('TS-PILE'!$E$72:$E$91)=0,0,'TO HOP NLAN'!E229*'TS-PILE'!$E$76/SUMSQ('TS-PILE'!$E$72:$E$91))+IF(SUMSQ('TS-PILE'!$D$72:$D$91)=0,0,'TO HOP NLAN'!F229*'TS-PILE'!$D$76/SUMSQ('TS-PILE'!$D$72:$D$91))),IF('TS-PILE'!$B$77="",1E+99,'TO HOP NLAN'!D229/ncoc+IF(SUMSQ('TS-PILE'!$E$72:$E$91)=0,0,'TO HOP NLAN'!E229*'TS-PILE'!$E$77/SUMSQ('TS-PILE'!$E$72:$E$91))+IF(SUMSQ('TS-PILE'!$D$72:$D$91)=0,0,'TO HOP NLAN'!F229*'TS-PILE'!$D$77/SUMSQ('TS-PILE'!$D$72:$D$91))),IF('TS-PILE'!$B$78="",1E+99,'TO HOP NLAN'!D229/ncoc+IF(SUMSQ('TS-PILE'!$E$72:$E$91)=0,0,'TO HOP NLAN'!E229*'TS-PILE'!$E$78/SUMSQ('TS-PILE'!$E$72:$E$91))+IF(SUMSQ('TS-PILE'!$D$72:$D$91)=0,0,'TO HOP NLAN'!F229*'TS-PILE'!$D$78/SUMSQ('TS-PILE'!$D$72:$D$91))),IF('TS-PILE'!$B$79="",1E+99,'TO HOP NLAN'!D229/ncoc+IF(SUMSQ('TS-PILE'!$E$72:$E$91)=0,0,'TO HOP NLAN'!E229*'TS-PILE'!$E$79/SUMSQ('TS-PILE'!$E$72:$E$91))+IF(SUMSQ('TS-PILE'!$D$72:$D$91)=0,0,'TO HOP NLAN'!F229*'TS-PILE'!$D$79/SUMSQ('TS-PILE'!$D$72:$D$91))),IF('TS-PILE'!$B$80="",1E+99,'TO HOP NLAN'!D229/ncoc+IF(SUMSQ('TS-PILE'!$E$72:$E$91)=0,0,'TO HOP NLAN'!E229*'TS-PILE'!$E$80/SUMSQ('TS-PILE'!$E$72:$E$91))+IF(SUMSQ('TS-PILE'!$D$72:$D$91)=0,0,'TO HOP NLAN'!F229*'TS-PILE'!$D$80/SUMSQ('TS-PILE'!$D$72:$D$91))),IF('TS-PILE'!$B$81="",1E+99,'TO HOP NLAN'!D229/ncoc+IF(SUMSQ('TS-PILE'!$E$72:$E$91)=0,0,'TO HOP NLAN'!E229*'TS-PILE'!$E$81/SUMSQ('TS-PILE'!$E$72:$E$91))+IF(SUMSQ('TS-PILE'!$D$72:$D$91)=0,0,'TO HOP NLAN'!F229*'TS-PILE'!$D$81/SUMSQ('TS-PILE'!$D$72:$D$91))),IF('TS-PILE'!$B$82="",1E+99,'TO HOP NLAN'!D229/ncoc+IF(SUMSQ('TS-PILE'!$E$72:$E$91)=0,0,'TO HOP NLAN'!E229*'TS-PILE'!$E$82/SUMSQ('TS-PILE'!$E$72:$E$91))+IF(SUMSQ('TS-PILE'!$D$72:$D$91)=0,0,'TO HOP NLAN'!F229*'TS-PILE'!$D$82/SUMSQ('TS-PILE'!$D$72:$D$91))),IF('TS-PILE'!$B$83="",1E+99,'TO HOP NLAN'!D229/ncoc+IF(SUMSQ('TS-PILE'!$E$72:$E$91)=0,0,'TO HOP NLAN'!E229*'TS-PILE'!$E$83/SUMSQ('TS-PILE'!$E$72:$E$91))+IF(SUMSQ('TS-PILE'!$D$72:$D$91)=0,0,'TO HOP NLAN'!F229*'TS-PILE'!$D$83/SUMSQ('TS-PILE'!$D$72:$D$91))),IF('TS-PILE'!$B$84="",1E+99,'TO HOP NLAN'!D229/ncoc+IF(SUMSQ('TS-PILE'!$E$72:$E$91)=0,0,'TO HOP NLAN'!E229*'TS-PILE'!$E$84/SUMSQ('TS-PILE'!$E$72:$E$91))+IF(SUMSQ('TS-PILE'!$D$72:$D$91)=0,0,'TO HOP NLAN'!F229*'TS-PILE'!$D$84/SUMSQ('TS-PILE'!$D$72:$D$91))),IF('TS-PILE'!$B$85="",1E+99,'TO HOP NLAN'!D229/ncoc+IF(SUMSQ('TS-PILE'!$E$72:$E$91)=0,0,'TO HOP NLAN'!E229*'TS-PILE'!$E$85/SUMSQ('TS-PILE'!$E$72:$E$91))+IF(SUMSQ('TS-PILE'!$D$72:$D$91)=0,0,'TO HOP NLAN'!F229*'TS-PILE'!$D$85/SUMSQ('TS-PILE'!$D$72:$D$91))),IF('TS-PILE'!$B$86="",1E+99,'TO HOP NLAN'!D229/ncoc+IF(SUMSQ('TS-PILE'!$E$72:$E$91)=0,0,'TO HOP NLAN'!E229*'TS-PILE'!$E$86/SUMSQ('TS-PILE'!$E$72:$E$91))+IF(SUMSQ('TS-PILE'!$D$72:$D$91)=0,0,'TO HOP NLAN'!F229*'TS-PILE'!$D$86/SUMSQ('TS-PILE'!$D$72:$D$91))),IF('TS-PILE'!$B$87="",1E+99,'TO HOP NLAN'!D229/ncoc+IF(SUMSQ('TS-PILE'!$E$72:$E$91)=0,0,'TO HOP NLAN'!E229*'TS-PILE'!$E$87/SUMSQ('TS-PILE'!$E$72:$E$91))+IF(SUMSQ('TS-PILE'!$D$72:$D$91)=0,0,'TO HOP NLAN'!F229*'TS-PILE'!$D$87/SUMSQ('TS-PILE'!$D$72:$D$91))),IF('TS-PILE'!$B$88="",1E+99,'TO HOP NLAN'!D229/ncoc+IF(SUMSQ('TS-PILE'!$E$72:$E$91)=0,0,'TO HOP NLAN'!E229*'TS-PILE'!$E$88/SUMSQ('TS-PILE'!$E$72:$E$91))+IF(SUMSQ('TS-PILE'!$D$72:$D$91)=0,0,'TO HOP NLAN'!F229*'TS-PILE'!$D$88/SUMSQ('TS-PILE'!$D$72:$D$91))),IF('TS-PILE'!$B$89="",1E+99,'TO HOP NLAN'!D229/ncoc+IF(SUMSQ('TS-PILE'!$E$72:$E$91)=0,0,'TO HOP NLAN'!E229*'TS-PILE'!$E$89/SUMSQ('TS-PILE'!$E$72:$E$91))+IF(SUMSQ('TS-PILE'!$D$72:$D$91)=0,0,'TO HOP NLAN'!F229*'TS-PILE'!$D$89/SUMSQ('TS-PILE'!$D$72:$D$91))),IF('TS-PILE'!$B$90="",1E+99,'TO HOP NLAN'!D229/ncoc+IF(SUMSQ('TS-PILE'!$E$72:$E$91)=0,0,'TO HOP NLAN'!E229*'TS-PILE'!$E$90/SUMSQ('TS-PILE'!$E$72:$E$91))+IF(SUMSQ('TS-PILE'!$D$72:$D$91)=0,0,'TO HOP NLAN'!F229*'TS-PILE'!$D$90/SUMSQ('TS-PILE'!$D$72:$D$91))),IF('TS-PILE'!$B$91="",1E+99,'TO HOP NLAN'!D229/ncoc+IF(SUMSQ('TS-PILE'!$E$72:$E$91)=0,0,'TO HOP NLAN'!E229*'TS-PILE'!$E$91/SUMSQ('TS-PILE'!$E$72:$E$91))+IF(SUMSQ('TS-PILE'!$D$72:$D$91)=0,0,'TO HOP NLAN'!F229*'TS-PILE'!$D$91/SUMSQ('TS-PILE'!$D$72:$D$91)))))</f>
        <v>0</v>
      </c>
      <c r="E229" s="58">
        <f t="shared" si="12"/>
        <v>-9.9999999999999997E+98</v>
      </c>
      <c r="F229" s="58">
        <f t="shared" si="13"/>
        <v>9.9999999999999997E+98</v>
      </c>
      <c r="G229" s="58">
        <f t="shared" si="14"/>
        <v>-9.9999999999999997E+98</v>
      </c>
      <c r="H229" s="58">
        <f t="shared" si="15"/>
        <v>9.9999999999999997E+98</v>
      </c>
    </row>
    <row r="230" spans="1:8" x14ac:dyDescent="0.3">
      <c r="A230" s="42" t="str">
        <f>'TO HOP NLAN'!A230</f>
        <v/>
      </c>
      <c r="B230" s="42" t="str">
        <f>'TO HOP NLAN'!L230</f>
        <v>STRENGTH</v>
      </c>
      <c r="C230" s="58">
        <f>IF(A230="",0,MAX(IF('TS-PILE'!$B$72="",-1E+99,'TO HOP NLAN'!D230/ncoc+IF(SUMSQ('TS-PILE'!$E$72:$E$91)=0,0,'TO HOP NLAN'!E230*'TS-PILE'!$E$72/SUMSQ('TS-PILE'!$E$72:$E$91))+IF(SUMSQ('TS-PILE'!$D$72:$D$91)=0,0,'TO HOP NLAN'!F230*'TS-PILE'!$D$72/SUMSQ('TS-PILE'!$D$72:$D$91))),IF('TS-PILE'!$B$73="",-1E+99,'TO HOP NLAN'!D230/ncoc+IF(SUMSQ('TS-PILE'!$E$72:$E$91)=0,0,'TO HOP NLAN'!E230*'TS-PILE'!$E$73/SUMSQ('TS-PILE'!$E$72:$E$91))+IF(SUMSQ('TS-PILE'!$D$72:$D$91)=0,0,'TO HOP NLAN'!F230*'TS-PILE'!$D$73/SUMSQ('TS-PILE'!$D$72:$D$91))),IF('TS-PILE'!$B$74="",-1E+99,'TO HOP NLAN'!D230/ncoc+IF(SUMSQ('TS-PILE'!$E$72:$E$91)=0,0,'TO HOP NLAN'!E230*'TS-PILE'!$E$74/SUMSQ('TS-PILE'!$E$72:$E$91))+IF(SUMSQ('TS-PILE'!$D$72:$D$91)=0,0,'TO HOP NLAN'!F230*'TS-PILE'!$D$74/SUMSQ('TS-PILE'!$D$72:$D$91))),IF('TS-PILE'!$B$75="",-1E+99,'TO HOP NLAN'!D230/ncoc+IF(SUMSQ('TS-PILE'!$E$72:$E$91)=0,0,'TO HOP NLAN'!E230*'TS-PILE'!$E$75/SUMSQ('TS-PILE'!$E$72:$E$91))+IF(SUMSQ('TS-PILE'!$D$72:$D$91)=0,0,'TO HOP NLAN'!F230*'TS-PILE'!$D$75/SUMSQ('TS-PILE'!$D$72:$D$91))),IF('TS-PILE'!$B$76="",-1E+99,'TO HOP NLAN'!D230/ncoc+IF(SUMSQ('TS-PILE'!$E$72:$E$91)=0,0,'TO HOP NLAN'!E230*'TS-PILE'!$E$76/SUMSQ('TS-PILE'!$E$72:$E$91))+IF(SUMSQ('TS-PILE'!$D$72:$D$91)=0,0,'TO HOP NLAN'!F230*'TS-PILE'!$D$76/SUMSQ('TS-PILE'!$D$72:$D$91))),IF('TS-PILE'!$B$77="",-1E+99,'TO HOP NLAN'!D230/ncoc+IF(SUMSQ('TS-PILE'!$E$72:$E$91)=0,0,'TO HOP NLAN'!E230*'TS-PILE'!$E$77/SUMSQ('TS-PILE'!$E$72:$E$91))+IF(SUMSQ('TS-PILE'!$D$72:$D$91)=0,0,'TO HOP NLAN'!F230*'TS-PILE'!$D$77/SUMSQ('TS-PILE'!$D$72:$D$91))),IF('TS-PILE'!$B$78="",-1E+99,'TO HOP NLAN'!D230/ncoc+IF(SUMSQ('TS-PILE'!$E$72:$E$91)=0,0,'TO HOP NLAN'!E230*'TS-PILE'!$E$78/SUMSQ('TS-PILE'!$E$72:$E$91))+IF(SUMSQ('TS-PILE'!$D$72:$D$91)=0,0,'TO HOP NLAN'!F230*'TS-PILE'!$D$78/SUMSQ('TS-PILE'!$D$72:$D$91))),IF('TS-PILE'!$B$79="",-1E+99,'TO HOP NLAN'!D230/ncoc+IF(SUMSQ('TS-PILE'!$E$72:$E$91)=0,0,'TO HOP NLAN'!E230*'TS-PILE'!$E$79/SUMSQ('TS-PILE'!$E$72:$E$91))+IF(SUMSQ('TS-PILE'!$D$72:$D$91)=0,0,'TO HOP NLAN'!F230*'TS-PILE'!$D$79/SUMSQ('TS-PILE'!$D$72:$D$91))),IF('TS-PILE'!$B$80="",-1E+99,'TO HOP NLAN'!D230/ncoc+IF(SUMSQ('TS-PILE'!$E$72:$E$91)=0,0,'TO HOP NLAN'!E230*'TS-PILE'!$E$80/SUMSQ('TS-PILE'!$E$72:$E$91))+IF(SUMSQ('TS-PILE'!$D$72:$D$91)=0,0,'TO HOP NLAN'!F230*'TS-PILE'!$D$80/SUMSQ('TS-PILE'!$D$72:$D$91))),IF('TS-PILE'!$B$81="",-1E+99,'TO HOP NLAN'!D230/ncoc+IF(SUMSQ('TS-PILE'!$E$72:$E$91)=0,0,'TO HOP NLAN'!E230*'TS-PILE'!$E$81/SUMSQ('TS-PILE'!$E$72:$E$91))+IF(SUMSQ('TS-PILE'!$D$72:$D$91)=0,0,'TO HOP NLAN'!F230*'TS-PILE'!$D$81/SUMSQ('TS-PILE'!$D$72:$D$91))),IF('TS-PILE'!$B$82="",-1E+99,'TO HOP NLAN'!D230/ncoc+IF(SUMSQ('TS-PILE'!$E$72:$E$91)=0,0,'TO HOP NLAN'!E230*'TS-PILE'!$E$82/SUMSQ('TS-PILE'!$E$72:$E$91))+IF(SUMSQ('TS-PILE'!$D$72:$D$91)=0,0,'TO HOP NLAN'!F230*'TS-PILE'!$D$82/SUMSQ('TS-PILE'!$D$72:$D$91))),IF('TS-PILE'!$B$83="",-1E+99,'TO HOP NLAN'!D230/ncoc+IF(SUMSQ('TS-PILE'!$E$72:$E$91)=0,0,'TO HOP NLAN'!E230*'TS-PILE'!$E$83/SUMSQ('TS-PILE'!$E$72:$E$91))+IF(SUMSQ('TS-PILE'!$D$72:$D$91)=0,0,'TO HOP NLAN'!F230*'TS-PILE'!$D$83/SUMSQ('TS-PILE'!$D$72:$D$91))),IF('TS-PILE'!$B$84="",-1E+99,'TO HOP NLAN'!D230/ncoc+IF(SUMSQ('TS-PILE'!$E$72:$E$91)=0,0,'TO HOP NLAN'!E230*'TS-PILE'!$E$84/SUMSQ('TS-PILE'!$E$72:$E$91))+IF(SUMSQ('TS-PILE'!$D$72:$D$91)=0,0,'TO HOP NLAN'!F230*'TS-PILE'!$D$84/SUMSQ('TS-PILE'!$D$72:$D$91))),IF('TS-PILE'!$B$85="",-1E+99,'TO HOP NLAN'!D230/ncoc+IF(SUMSQ('TS-PILE'!$E$72:$E$91)=0,0,'TO HOP NLAN'!E230*'TS-PILE'!$E$85/SUMSQ('TS-PILE'!$E$72:$E$91))+IF(SUMSQ('TS-PILE'!$D$72:$D$91)=0,0,'TO HOP NLAN'!F230*'TS-PILE'!$D$85/SUMSQ('TS-PILE'!$D$72:$D$91))),IF('TS-PILE'!$B$86="",-1E+99,'TO HOP NLAN'!D230/ncoc+IF(SUMSQ('TS-PILE'!$E$72:$E$91)=0,0,'TO HOP NLAN'!E230*'TS-PILE'!$E$86/SUMSQ('TS-PILE'!$E$72:$E$91))+IF(SUMSQ('TS-PILE'!$D$72:$D$91)=0,0,'TO HOP NLAN'!F230*'TS-PILE'!$D$86/SUMSQ('TS-PILE'!$D$72:$D$91))),IF('TS-PILE'!$B$87="",-1E+99,'TO HOP NLAN'!D230/ncoc+IF(SUMSQ('TS-PILE'!$E$72:$E$91)=0,0,'TO HOP NLAN'!E230*'TS-PILE'!$E$87/SUMSQ('TS-PILE'!$E$72:$E$91))+IF(SUMSQ('TS-PILE'!$D$72:$D$91)=0,0,'TO HOP NLAN'!F230*'TS-PILE'!$D$87/SUMSQ('TS-PILE'!$D$72:$D$91))),IF('TS-PILE'!$B$88="",-1E+99,'TO HOP NLAN'!D230/ncoc+IF(SUMSQ('TS-PILE'!$E$72:$E$91)=0,0,'TO HOP NLAN'!E230*'TS-PILE'!$E$88/SUMSQ('TS-PILE'!$E$72:$E$91))+IF(SUMSQ('TS-PILE'!$D$72:$D$91)=0,0,'TO HOP NLAN'!F230*'TS-PILE'!$D$88/SUMSQ('TS-PILE'!$D$72:$D$91))),IF('TS-PILE'!$B$89="",-1E+99,'TO HOP NLAN'!D230/ncoc+IF(SUMSQ('TS-PILE'!$E$72:$E$91)=0,0,'TO HOP NLAN'!E230*'TS-PILE'!$E$89/SUMSQ('TS-PILE'!$E$72:$E$91))+IF(SUMSQ('TS-PILE'!$D$72:$D$91)=0,0,'TO HOP NLAN'!F230*'TS-PILE'!$D$89/SUMSQ('TS-PILE'!$D$72:$D$91))),IF('TS-PILE'!$B$90="",-1E+99,'TO HOP NLAN'!D230/ncoc+IF(SUMSQ('TS-PILE'!$E$72:$E$91)=0,0,'TO HOP NLAN'!E230*'TS-PILE'!$E$90/SUMSQ('TS-PILE'!$E$72:$E$91))+IF(SUMSQ('TS-PILE'!$D$72:$D$91)=0,0,'TO HOP NLAN'!F230*'TS-PILE'!$D$90/SUMSQ('TS-PILE'!$D$72:$D$91))),IF('TS-PILE'!$B$91="",-1E+99,'TO HOP NLAN'!D230/ncoc+IF(SUMSQ('TS-PILE'!$E$72:$E$91)=0,0,'TO HOP NLAN'!E230*'TS-PILE'!$E$91/SUMSQ('TS-PILE'!$E$72:$E$91))+IF(SUMSQ('TS-PILE'!$D$72:$D$91)=0,0,'TO HOP NLAN'!F230*'TS-PILE'!$D$91/SUMSQ('TS-PILE'!$D$72:$D$91)))))</f>
        <v>0</v>
      </c>
      <c r="D230" s="58">
        <f>IF(A230="",0,MIN(IF('TS-PILE'!$B$72="",1E+99,'TO HOP NLAN'!D230/ncoc+IF(SUMSQ('TS-PILE'!$E$72:$E$91)=0,0,'TO HOP NLAN'!E230*'TS-PILE'!$E$72/SUMSQ('TS-PILE'!$E$72:$E$91))+IF(SUMSQ('TS-PILE'!$D$72:$D$91)=0,0,'TO HOP NLAN'!F230*'TS-PILE'!$D$72/SUMSQ('TS-PILE'!$D$72:$D$91))),IF('TS-PILE'!$B$73="",1E+99,'TO HOP NLAN'!D230/ncoc+IF(SUMSQ('TS-PILE'!$E$72:$E$91)=0,0,'TO HOP NLAN'!E230*'TS-PILE'!$E$73/SUMSQ('TS-PILE'!$E$72:$E$91))+IF(SUMSQ('TS-PILE'!$D$72:$D$91)=0,0,'TO HOP NLAN'!F230*'TS-PILE'!$D$73/SUMSQ('TS-PILE'!$D$72:$D$91))),IF('TS-PILE'!$B$74="",1E+99,'TO HOP NLAN'!D230/ncoc+IF(SUMSQ('TS-PILE'!$E$72:$E$91)=0,0,'TO HOP NLAN'!E230*'TS-PILE'!$E$74/SUMSQ('TS-PILE'!$E$72:$E$91))+IF(SUMSQ('TS-PILE'!$D$72:$D$91)=0,0,'TO HOP NLAN'!F230*'TS-PILE'!$D$74/SUMSQ('TS-PILE'!$D$72:$D$91))),IF('TS-PILE'!$B$75="",1E+99,'TO HOP NLAN'!D230/ncoc+IF(SUMSQ('TS-PILE'!$E$72:$E$91)=0,0,'TO HOP NLAN'!E230*'TS-PILE'!$E$75/SUMSQ('TS-PILE'!$E$72:$E$91))+IF(SUMSQ('TS-PILE'!$D$72:$D$91)=0,0,'TO HOP NLAN'!F230*'TS-PILE'!$D$75/SUMSQ('TS-PILE'!$D$72:$D$91))),IF('TS-PILE'!$B$76="",1E+99,'TO HOP NLAN'!D230/ncoc+IF(SUMSQ('TS-PILE'!$E$72:$E$91)=0,0,'TO HOP NLAN'!E230*'TS-PILE'!$E$76/SUMSQ('TS-PILE'!$E$72:$E$91))+IF(SUMSQ('TS-PILE'!$D$72:$D$91)=0,0,'TO HOP NLAN'!F230*'TS-PILE'!$D$76/SUMSQ('TS-PILE'!$D$72:$D$91))),IF('TS-PILE'!$B$77="",1E+99,'TO HOP NLAN'!D230/ncoc+IF(SUMSQ('TS-PILE'!$E$72:$E$91)=0,0,'TO HOP NLAN'!E230*'TS-PILE'!$E$77/SUMSQ('TS-PILE'!$E$72:$E$91))+IF(SUMSQ('TS-PILE'!$D$72:$D$91)=0,0,'TO HOP NLAN'!F230*'TS-PILE'!$D$77/SUMSQ('TS-PILE'!$D$72:$D$91))),IF('TS-PILE'!$B$78="",1E+99,'TO HOP NLAN'!D230/ncoc+IF(SUMSQ('TS-PILE'!$E$72:$E$91)=0,0,'TO HOP NLAN'!E230*'TS-PILE'!$E$78/SUMSQ('TS-PILE'!$E$72:$E$91))+IF(SUMSQ('TS-PILE'!$D$72:$D$91)=0,0,'TO HOP NLAN'!F230*'TS-PILE'!$D$78/SUMSQ('TS-PILE'!$D$72:$D$91))),IF('TS-PILE'!$B$79="",1E+99,'TO HOP NLAN'!D230/ncoc+IF(SUMSQ('TS-PILE'!$E$72:$E$91)=0,0,'TO HOP NLAN'!E230*'TS-PILE'!$E$79/SUMSQ('TS-PILE'!$E$72:$E$91))+IF(SUMSQ('TS-PILE'!$D$72:$D$91)=0,0,'TO HOP NLAN'!F230*'TS-PILE'!$D$79/SUMSQ('TS-PILE'!$D$72:$D$91))),IF('TS-PILE'!$B$80="",1E+99,'TO HOP NLAN'!D230/ncoc+IF(SUMSQ('TS-PILE'!$E$72:$E$91)=0,0,'TO HOP NLAN'!E230*'TS-PILE'!$E$80/SUMSQ('TS-PILE'!$E$72:$E$91))+IF(SUMSQ('TS-PILE'!$D$72:$D$91)=0,0,'TO HOP NLAN'!F230*'TS-PILE'!$D$80/SUMSQ('TS-PILE'!$D$72:$D$91))),IF('TS-PILE'!$B$81="",1E+99,'TO HOP NLAN'!D230/ncoc+IF(SUMSQ('TS-PILE'!$E$72:$E$91)=0,0,'TO HOP NLAN'!E230*'TS-PILE'!$E$81/SUMSQ('TS-PILE'!$E$72:$E$91))+IF(SUMSQ('TS-PILE'!$D$72:$D$91)=0,0,'TO HOP NLAN'!F230*'TS-PILE'!$D$81/SUMSQ('TS-PILE'!$D$72:$D$91))),IF('TS-PILE'!$B$82="",1E+99,'TO HOP NLAN'!D230/ncoc+IF(SUMSQ('TS-PILE'!$E$72:$E$91)=0,0,'TO HOP NLAN'!E230*'TS-PILE'!$E$82/SUMSQ('TS-PILE'!$E$72:$E$91))+IF(SUMSQ('TS-PILE'!$D$72:$D$91)=0,0,'TO HOP NLAN'!F230*'TS-PILE'!$D$82/SUMSQ('TS-PILE'!$D$72:$D$91))),IF('TS-PILE'!$B$83="",1E+99,'TO HOP NLAN'!D230/ncoc+IF(SUMSQ('TS-PILE'!$E$72:$E$91)=0,0,'TO HOP NLAN'!E230*'TS-PILE'!$E$83/SUMSQ('TS-PILE'!$E$72:$E$91))+IF(SUMSQ('TS-PILE'!$D$72:$D$91)=0,0,'TO HOP NLAN'!F230*'TS-PILE'!$D$83/SUMSQ('TS-PILE'!$D$72:$D$91))),IF('TS-PILE'!$B$84="",1E+99,'TO HOP NLAN'!D230/ncoc+IF(SUMSQ('TS-PILE'!$E$72:$E$91)=0,0,'TO HOP NLAN'!E230*'TS-PILE'!$E$84/SUMSQ('TS-PILE'!$E$72:$E$91))+IF(SUMSQ('TS-PILE'!$D$72:$D$91)=0,0,'TO HOP NLAN'!F230*'TS-PILE'!$D$84/SUMSQ('TS-PILE'!$D$72:$D$91))),IF('TS-PILE'!$B$85="",1E+99,'TO HOP NLAN'!D230/ncoc+IF(SUMSQ('TS-PILE'!$E$72:$E$91)=0,0,'TO HOP NLAN'!E230*'TS-PILE'!$E$85/SUMSQ('TS-PILE'!$E$72:$E$91))+IF(SUMSQ('TS-PILE'!$D$72:$D$91)=0,0,'TO HOP NLAN'!F230*'TS-PILE'!$D$85/SUMSQ('TS-PILE'!$D$72:$D$91))),IF('TS-PILE'!$B$86="",1E+99,'TO HOP NLAN'!D230/ncoc+IF(SUMSQ('TS-PILE'!$E$72:$E$91)=0,0,'TO HOP NLAN'!E230*'TS-PILE'!$E$86/SUMSQ('TS-PILE'!$E$72:$E$91))+IF(SUMSQ('TS-PILE'!$D$72:$D$91)=0,0,'TO HOP NLAN'!F230*'TS-PILE'!$D$86/SUMSQ('TS-PILE'!$D$72:$D$91))),IF('TS-PILE'!$B$87="",1E+99,'TO HOP NLAN'!D230/ncoc+IF(SUMSQ('TS-PILE'!$E$72:$E$91)=0,0,'TO HOP NLAN'!E230*'TS-PILE'!$E$87/SUMSQ('TS-PILE'!$E$72:$E$91))+IF(SUMSQ('TS-PILE'!$D$72:$D$91)=0,0,'TO HOP NLAN'!F230*'TS-PILE'!$D$87/SUMSQ('TS-PILE'!$D$72:$D$91))),IF('TS-PILE'!$B$88="",1E+99,'TO HOP NLAN'!D230/ncoc+IF(SUMSQ('TS-PILE'!$E$72:$E$91)=0,0,'TO HOP NLAN'!E230*'TS-PILE'!$E$88/SUMSQ('TS-PILE'!$E$72:$E$91))+IF(SUMSQ('TS-PILE'!$D$72:$D$91)=0,0,'TO HOP NLAN'!F230*'TS-PILE'!$D$88/SUMSQ('TS-PILE'!$D$72:$D$91))),IF('TS-PILE'!$B$89="",1E+99,'TO HOP NLAN'!D230/ncoc+IF(SUMSQ('TS-PILE'!$E$72:$E$91)=0,0,'TO HOP NLAN'!E230*'TS-PILE'!$E$89/SUMSQ('TS-PILE'!$E$72:$E$91))+IF(SUMSQ('TS-PILE'!$D$72:$D$91)=0,0,'TO HOP NLAN'!F230*'TS-PILE'!$D$89/SUMSQ('TS-PILE'!$D$72:$D$91))),IF('TS-PILE'!$B$90="",1E+99,'TO HOP NLAN'!D230/ncoc+IF(SUMSQ('TS-PILE'!$E$72:$E$91)=0,0,'TO HOP NLAN'!E230*'TS-PILE'!$E$90/SUMSQ('TS-PILE'!$E$72:$E$91))+IF(SUMSQ('TS-PILE'!$D$72:$D$91)=0,0,'TO HOP NLAN'!F230*'TS-PILE'!$D$90/SUMSQ('TS-PILE'!$D$72:$D$91))),IF('TS-PILE'!$B$91="",1E+99,'TO HOP NLAN'!D230/ncoc+IF(SUMSQ('TS-PILE'!$E$72:$E$91)=0,0,'TO HOP NLAN'!E230*'TS-PILE'!$E$91/SUMSQ('TS-PILE'!$E$72:$E$91))+IF(SUMSQ('TS-PILE'!$D$72:$D$91)=0,0,'TO HOP NLAN'!F230*'TS-PILE'!$D$91/SUMSQ('TS-PILE'!$D$72:$D$91)))))</f>
        <v>0</v>
      </c>
      <c r="E230" s="58">
        <f t="shared" si="12"/>
        <v>-9.9999999999999997E+98</v>
      </c>
      <c r="F230" s="58">
        <f t="shared" si="13"/>
        <v>9.9999999999999997E+98</v>
      </c>
      <c r="G230" s="58">
        <f t="shared" si="14"/>
        <v>-9.9999999999999997E+98</v>
      </c>
      <c r="H230" s="58">
        <f t="shared" si="15"/>
        <v>9.9999999999999997E+98</v>
      </c>
    </row>
    <row r="231" spans="1:8" x14ac:dyDescent="0.3">
      <c r="A231" s="42" t="str">
        <f>'TO HOP NLAN'!A231</f>
        <v/>
      </c>
      <c r="B231" s="42" t="str">
        <f>'TO HOP NLAN'!L231</f>
        <v>STRENGTH</v>
      </c>
      <c r="C231" s="58">
        <f>IF(A231="",0,MAX(IF('TS-PILE'!$B$72="",-1E+99,'TO HOP NLAN'!D231/ncoc+IF(SUMSQ('TS-PILE'!$E$72:$E$91)=0,0,'TO HOP NLAN'!E231*'TS-PILE'!$E$72/SUMSQ('TS-PILE'!$E$72:$E$91))+IF(SUMSQ('TS-PILE'!$D$72:$D$91)=0,0,'TO HOP NLAN'!F231*'TS-PILE'!$D$72/SUMSQ('TS-PILE'!$D$72:$D$91))),IF('TS-PILE'!$B$73="",-1E+99,'TO HOP NLAN'!D231/ncoc+IF(SUMSQ('TS-PILE'!$E$72:$E$91)=0,0,'TO HOP NLAN'!E231*'TS-PILE'!$E$73/SUMSQ('TS-PILE'!$E$72:$E$91))+IF(SUMSQ('TS-PILE'!$D$72:$D$91)=0,0,'TO HOP NLAN'!F231*'TS-PILE'!$D$73/SUMSQ('TS-PILE'!$D$72:$D$91))),IF('TS-PILE'!$B$74="",-1E+99,'TO HOP NLAN'!D231/ncoc+IF(SUMSQ('TS-PILE'!$E$72:$E$91)=0,0,'TO HOP NLAN'!E231*'TS-PILE'!$E$74/SUMSQ('TS-PILE'!$E$72:$E$91))+IF(SUMSQ('TS-PILE'!$D$72:$D$91)=0,0,'TO HOP NLAN'!F231*'TS-PILE'!$D$74/SUMSQ('TS-PILE'!$D$72:$D$91))),IF('TS-PILE'!$B$75="",-1E+99,'TO HOP NLAN'!D231/ncoc+IF(SUMSQ('TS-PILE'!$E$72:$E$91)=0,0,'TO HOP NLAN'!E231*'TS-PILE'!$E$75/SUMSQ('TS-PILE'!$E$72:$E$91))+IF(SUMSQ('TS-PILE'!$D$72:$D$91)=0,0,'TO HOP NLAN'!F231*'TS-PILE'!$D$75/SUMSQ('TS-PILE'!$D$72:$D$91))),IF('TS-PILE'!$B$76="",-1E+99,'TO HOP NLAN'!D231/ncoc+IF(SUMSQ('TS-PILE'!$E$72:$E$91)=0,0,'TO HOP NLAN'!E231*'TS-PILE'!$E$76/SUMSQ('TS-PILE'!$E$72:$E$91))+IF(SUMSQ('TS-PILE'!$D$72:$D$91)=0,0,'TO HOP NLAN'!F231*'TS-PILE'!$D$76/SUMSQ('TS-PILE'!$D$72:$D$91))),IF('TS-PILE'!$B$77="",-1E+99,'TO HOP NLAN'!D231/ncoc+IF(SUMSQ('TS-PILE'!$E$72:$E$91)=0,0,'TO HOP NLAN'!E231*'TS-PILE'!$E$77/SUMSQ('TS-PILE'!$E$72:$E$91))+IF(SUMSQ('TS-PILE'!$D$72:$D$91)=0,0,'TO HOP NLAN'!F231*'TS-PILE'!$D$77/SUMSQ('TS-PILE'!$D$72:$D$91))),IF('TS-PILE'!$B$78="",-1E+99,'TO HOP NLAN'!D231/ncoc+IF(SUMSQ('TS-PILE'!$E$72:$E$91)=0,0,'TO HOP NLAN'!E231*'TS-PILE'!$E$78/SUMSQ('TS-PILE'!$E$72:$E$91))+IF(SUMSQ('TS-PILE'!$D$72:$D$91)=0,0,'TO HOP NLAN'!F231*'TS-PILE'!$D$78/SUMSQ('TS-PILE'!$D$72:$D$91))),IF('TS-PILE'!$B$79="",-1E+99,'TO HOP NLAN'!D231/ncoc+IF(SUMSQ('TS-PILE'!$E$72:$E$91)=0,0,'TO HOP NLAN'!E231*'TS-PILE'!$E$79/SUMSQ('TS-PILE'!$E$72:$E$91))+IF(SUMSQ('TS-PILE'!$D$72:$D$91)=0,0,'TO HOP NLAN'!F231*'TS-PILE'!$D$79/SUMSQ('TS-PILE'!$D$72:$D$91))),IF('TS-PILE'!$B$80="",-1E+99,'TO HOP NLAN'!D231/ncoc+IF(SUMSQ('TS-PILE'!$E$72:$E$91)=0,0,'TO HOP NLAN'!E231*'TS-PILE'!$E$80/SUMSQ('TS-PILE'!$E$72:$E$91))+IF(SUMSQ('TS-PILE'!$D$72:$D$91)=0,0,'TO HOP NLAN'!F231*'TS-PILE'!$D$80/SUMSQ('TS-PILE'!$D$72:$D$91))),IF('TS-PILE'!$B$81="",-1E+99,'TO HOP NLAN'!D231/ncoc+IF(SUMSQ('TS-PILE'!$E$72:$E$91)=0,0,'TO HOP NLAN'!E231*'TS-PILE'!$E$81/SUMSQ('TS-PILE'!$E$72:$E$91))+IF(SUMSQ('TS-PILE'!$D$72:$D$91)=0,0,'TO HOP NLAN'!F231*'TS-PILE'!$D$81/SUMSQ('TS-PILE'!$D$72:$D$91))),IF('TS-PILE'!$B$82="",-1E+99,'TO HOP NLAN'!D231/ncoc+IF(SUMSQ('TS-PILE'!$E$72:$E$91)=0,0,'TO HOP NLAN'!E231*'TS-PILE'!$E$82/SUMSQ('TS-PILE'!$E$72:$E$91))+IF(SUMSQ('TS-PILE'!$D$72:$D$91)=0,0,'TO HOP NLAN'!F231*'TS-PILE'!$D$82/SUMSQ('TS-PILE'!$D$72:$D$91))),IF('TS-PILE'!$B$83="",-1E+99,'TO HOP NLAN'!D231/ncoc+IF(SUMSQ('TS-PILE'!$E$72:$E$91)=0,0,'TO HOP NLAN'!E231*'TS-PILE'!$E$83/SUMSQ('TS-PILE'!$E$72:$E$91))+IF(SUMSQ('TS-PILE'!$D$72:$D$91)=0,0,'TO HOP NLAN'!F231*'TS-PILE'!$D$83/SUMSQ('TS-PILE'!$D$72:$D$91))),IF('TS-PILE'!$B$84="",-1E+99,'TO HOP NLAN'!D231/ncoc+IF(SUMSQ('TS-PILE'!$E$72:$E$91)=0,0,'TO HOP NLAN'!E231*'TS-PILE'!$E$84/SUMSQ('TS-PILE'!$E$72:$E$91))+IF(SUMSQ('TS-PILE'!$D$72:$D$91)=0,0,'TO HOP NLAN'!F231*'TS-PILE'!$D$84/SUMSQ('TS-PILE'!$D$72:$D$91))),IF('TS-PILE'!$B$85="",-1E+99,'TO HOP NLAN'!D231/ncoc+IF(SUMSQ('TS-PILE'!$E$72:$E$91)=0,0,'TO HOP NLAN'!E231*'TS-PILE'!$E$85/SUMSQ('TS-PILE'!$E$72:$E$91))+IF(SUMSQ('TS-PILE'!$D$72:$D$91)=0,0,'TO HOP NLAN'!F231*'TS-PILE'!$D$85/SUMSQ('TS-PILE'!$D$72:$D$91))),IF('TS-PILE'!$B$86="",-1E+99,'TO HOP NLAN'!D231/ncoc+IF(SUMSQ('TS-PILE'!$E$72:$E$91)=0,0,'TO HOP NLAN'!E231*'TS-PILE'!$E$86/SUMSQ('TS-PILE'!$E$72:$E$91))+IF(SUMSQ('TS-PILE'!$D$72:$D$91)=0,0,'TO HOP NLAN'!F231*'TS-PILE'!$D$86/SUMSQ('TS-PILE'!$D$72:$D$91))),IF('TS-PILE'!$B$87="",-1E+99,'TO HOP NLAN'!D231/ncoc+IF(SUMSQ('TS-PILE'!$E$72:$E$91)=0,0,'TO HOP NLAN'!E231*'TS-PILE'!$E$87/SUMSQ('TS-PILE'!$E$72:$E$91))+IF(SUMSQ('TS-PILE'!$D$72:$D$91)=0,0,'TO HOP NLAN'!F231*'TS-PILE'!$D$87/SUMSQ('TS-PILE'!$D$72:$D$91))),IF('TS-PILE'!$B$88="",-1E+99,'TO HOP NLAN'!D231/ncoc+IF(SUMSQ('TS-PILE'!$E$72:$E$91)=0,0,'TO HOP NLAN'!E231*'TS-PILE'!$E$88/SUMSQ('TS-PILE'!$E$72:$E$91))+IF(SUMSQ('TS-PILE'!$D$72:$D$91)=0,0,'TO HOP NLAN'!F231*'TS-PILE'!$D$88/SUMSQ('TS-PILE'!$D$72:$D$91))),IF('TS-PILE'!$B$89="",-1E+99,'TO HOP NLAN'!D231/ncoc+IF(SUMSQ('TS-PILE'!$E$72:$E$91)=0,0,'TO HOP NLAN'!E231*'TS-PILE'!$E$89/SUMSQ('TS-PILE'!$E$72:$E$91))+IF(SUMSQ('TS-PILE'!$D$72:$D$91)=0,0,'TO HOP NLAN'!F231*'TS-PILE'!$D$89/SUMSQ('TS-PILE'!$D$72:$D$91))),IF('TS-PILE'!$B$90="",-1E+99,'TO HOP NLAN'!D231/ncoc+IF(SUMSQ('TS-PILE'!$E$72:$E$91)=0,0,'TO HOP NLAN'!E231*'TS-PILE'!$E$90/SUMSQ('TS-PILE'!$E$72:$E$91))+IF(SUMSQ('TS-PILE'!$D$72:$D$91)=0,0,'TO HOP NLAN'!F231*'TS-PILE'!$D$90/SUMSQ('TS-PILE'!$D$72:$D$91))),IF('TS-PILE'!$B$91="",-1E+99,'TO HOP NLAN'!D231/ncoc+IF(SUMSQ('TS-PILE'!$E$72:$E$91)=0,0,'TO HOP NLAN'!E231*'TS-PILE'!$E$91/SUMSQ('TS-PILE'!$E$72:$E$91))+IF(SUMSQ('TS-PILE'!$D$72:$D$91)=0,0,'TO HOP NLAN'!F231*'TS-PILE'!$D$91/SUMSQ('TS-PILE'!$D$72:$D$91)))))</f>
        <v>0</v>
      </c>
      <c r="D231" s="58">
        <f>IF(A231="",0,MIN(IF('TS-PILE'!$B$72="",1E+99,'TO HOP NLAN'!D231/ncoc+IF(SUMSQ('TS-PILE'!$E$72:$E$91)=0,0,'TO HOP NLAN'!E231*'TS-PILE'!$E$72/SUMSQ('TS-PILE'!$E$72:$E$91))+IF(SUMSQ('TS-PILE'!$D$72:$D$91)=0,0,'TO HOP NLAN'!F231*'TS-PILE'!$D$72/SUMSQ('TS-PILE'!$D$72:$D$91))),IF('TS-PILE'!$B$73="",1E+99,'TO HOP NLAN'!D231/ncoc+IF(SUMSQ('TS-PILE'!$E$72:$E$91)=0,0,'TO HOP NLAN'!E231*'TS-PILE'!$E$73/SUMSQ('TS-PILE'!$E$72:$E$91))+IF(SUMSQ('TS-PILE'!$D$72:$D$91)=0,0,'TO HOP NLAN'!F231*'TS-PILE'!$D$73/SUMSQ('TS-PILE'!$D$72:$D$91))),IF('TS-PILE'!$B$74="",1E+99,'TO HOP NLAN'!D231/ncoc+IF(SUMSQ('TS-PILE'!$E$72:$E$91)=0,0,'TO HOP NLAN'!E231*'TS-PILE'!$E$74/SUMSQ('TS-PILE'!$E$72:$E$91))+IF(SUMSQ('TS-PILE'!$D$72:$D$91)=0,0,'TO HOP NLAN'!F231*'TS-PILE'!$D$74/SUMSQ('TS-PILE'!$D$72:$D$91))),IF('TS-PILE'!$B$75="",1E+99,'TO HOP NLAN'!D231/ncoc+IF(SUMSQ('TS-PILE'!$E$72:$E$91)=0,0,'TO HOP NLAN'!E231*'TS-PILE'!$E$75/SUMSQ('TS-PILE'!$E$72:$E$91))+IF(SUMSQ('TS-PILE'!$D$72:$D$91)=0,0,'TO HOP NLAN'!F231*'TS-PILE'!$D$75/SUMSQ('TS-PILE'!$D$72:$D$91))),IF('TS-PILE'!$B$76="",1E+99,'TO HOP NLAN'!D231/ncoc+IF(SUMSQ('TS-PILE'!$E$72:$E$91)=0,0,'TO HOP NLAN'!E231*'TS-PILE'!$E$76/SUMSQ('TS-PILE'!$E$72:$E$91))+IF(SUMSQ('TS-PILE'!$D$72:$D$91)=0,0,'TO HOP NLAN'!F231*'TS-PILE'!$D$76/SUMSQ('TS-PILE'!$D$72:$D$91))),IF('TS-PILE'!$B$77="",1E+99,'TO HOP NLAN'!D231/ncoc+IF(SUMSQ('TS-PILE'!$E$72:$E$91)=0,0,'TO HOP NLAN'!E231*'TS-PILE'!$E$77/SUMSQ('TS-PILE'!$E$72:$E$91))+IF(SUMSQ('TS-PILE'!$D$72:$D$91)=0,0,'TO HOP NLAN'!F231*'TS-PILE'!$D$77/SUMSQ('TS-PILE'!$D$72:$D$91))),IF('TS-PILE'!$B$78="",1E+99,'TO HOP NLAN'!D231/ncoc+IF(SUMSQ('TS-PILE'!$E$72:$E$91)=0,0,'TO HOP NLAN'!E231*'TS-PILE'!$E$78/SUMSQ('TS-PILE'!$E$72:$E$91))+IF(SUMSQ('TS-PILE'!$D$72:$D$91)=0,0,'TO HOP NLAN'!F231*'TS-PILE'!$D$78/SUMSQ('TS-PILE'!$D$72:$D$91))),IF('TS-PILE'!$B$79="",1E+99,'TO HOP NLAN'!D231/ncoc+IF(SUMSQ('TS-PILE'!$E$72:$E$91)=0,0,'TO HOP NLAN'!E231*'TS-PILE'!$E$79/SUMSQ('TS-PILE'!$E$72:$E$91))+IF(SUMSQ('TS-PILE'!$D$72:$D$91)=0,0,'TO HOP NLAN'!F231*'TS-PILE'!$D$79/SUMSQ('TS-PILE'!$D$72:$D$91))),IF('TS-PILE'!$B$80="",1E+99,'TO HOP NLAN'!D231/ncoc+IF(SUMSQ('TS-PILE'!$E$72:$E$91)=0,0,'TO HOP NLAN'!E231*'TS-PILE'!$E$80/SUMSQ('TS-PILE'!$E$72:$E$91))+IF(SUMSQ('TS-PILE'!$D$72:$D$91)=0,0,'TO HOP NLAN'!F231*'TS-PILE'!$D$80/SUMSQ('TS-PILE'!$D$72:$D$91))),IF('TS-PILE'!$B$81="",1E+99,'TO HOP NLAN'!D231/ncoc+IF(SUMSQ('TS-PILE'!$E$72:$E$91)=0,0,'TO HOP NLAN'!E231*'TS-PILE'!$E$81/SUMSQ('TS-PILE'!$E$72:$E$91))+IF(SUMSQ('TS-PILE'!$D$72:$D$91)=0,0,'TO HOP NLAN'!F231*'TS-PILE'!$D$81/SUMSQ('TS-PILE'!$D$72:$D$91))),IF('TS-PILE'!$B$82="",1E+99,'TO HOP NLAN'!D231/ncoc+IF(SUMSQ('TS-PILE'!$E$72:$E$91)=0,0,'TO HOP NLAN'!E231*'TS-PILE'!$E$82/SUMSQ('TS-PILE'!$E$72:$E$91))+IF(SUMSQ('TS-PILE'!$D$72:$D$91)=0,0,'TO HOP NLAN'!F231*'TS-PILE'!$D$82/SUMSQ('TS-PILE'!$D$72:$D$91))),IF('TS-PILE'!$B$83="",1E+99,'TO HOP NLAN'!D231/ncoc+IF(SUMSQ('TS-PILE'!$E$72:$E$91)=0,0,'TO HOP NLAN'!E231*'TS-PILE'!$E$83/SUMSQ('TS-PILE'!$E$72:$E$91))+IF(SUMSQ('TS-PILE'!$D$72:$D$91)=0,0,'TO HOP NLAN'!F231*'TS-PILE'!$D$83/SUMSQ('TS-PILE'!$D$72:$D$91))),IF('TS-PILE'!$B$84="",1E+99,'TO HOP NLAN'!D231/ncoc+IF(SUMSQ('TS-PILE'!$E$72:$E$91)=0,0,'TO HOP NLAN'!E231*'TS-PILE'!$E$84/SUMSQ('TS-PILE'!$E$72:$E$91))+IF(SUMSQ('TS-PILE'!$D$72:$D$91)=0,0,'TO HOP NLAN'!F231*'TS-PILE'!$D$84/SUMSQ('TS-PILE'!$D$72:$D$91))),IF('TS-PILE'!$B$85="",1E+99,'TO HOP NLAN'!D231/ncoc+IF(SUMSQ('TS-PILE'!$E$72:$E$91)=0,0,'TO HOP NLAN'!E231*'TS-PILE'!$E$85/SUMSQ('TS-PILE'!$E$72:$E$91))+IF(SUMSQ('TS-PILE'!$D$72:$D$91)=0,0,'TO HOP NLAN'!F231*'TS-PILE'!$D$85/SUMSQ('TS-PILE'!$D$72:$D$91))),IF('TS-PILE'!$B$86="",1E+99,'TO HOP NLAN'!D231/ncoc+IF(SUMSQ('TS-PILE'!$E$72:$E$91)=0,0,'TO HOP NLAN'!E231*'TS-PILE'!$E$86/SUMSQ('TS-PILE'!$E$72:$E$91))+IF(SUMSQ('TS-PILE'!$D$72:$D$91)=0,0,'TO HOP NLAN'!F231*'TS-PILE'!$D$86/SUMSQ('TS-PILE'!$D$72:$D$91))),IF('TS-PILE'!$B$87="",1E+99,'TO HOP NLAN'!D231/ncoc+IF(SUMSQ('TS-PILE'!$E$72:$E$91)=0,0,'TO HOP NLAN'!E231*'TS-PILE'!$E$87/SUMSQ('TS-PILE'!$E$72:$E$91))+IF(SUMSQ('TS-PILE'!$D$72:$D$91)=0,0,'TO HOP NLAN'!F231*'TS-PILE'!$D$87/SUMSQ('TS-PILE'!$D$72:$D$91))),IF('TS-PILE'!$B$88="",1E+99,'TO HOP NLAN'!D231/ncoc+IF(SUMSQ('TS-PILE'!$E$72:$E$91)=0,0,'TO HOP NLAN'!E231*'TS-PILE'!$E$88/SUMSQ('TS-PILE'!$E$72:$E$91))+IF(SUMSQ('TS-PILE'!$D$72:$D$91)=0,0,'TO HOP NLAN'!F231*'TS-PILE'!$D$88/SUMSQ('TS-PILE'!$D$72:$D$91))),IF('TS-PILE'!$B$89="",1E+99,'TO HOP NLAN'!D231/ncoc+IF(SUMSQ('TS-PILE'!$E$72:$E$91)=0,0,'TO HOP NLAN'!E231*'TS-PILE'!$E$89/SUMSQ('TS-PILE'!$E$72:$E$91))+IF(SUMSQ('TS-PILE'!$D$72:$D$91)=0,0,'TO HOP NLAN'!F231*'TS-PILE'!$D$89/SUMSQ('TS-PILE'!$D$72:$D$91))),IF('TS-PILE'!$B$90="",1E+99,'TO HOP NLAN'!D231/ncoc+IF(SUMSQ('TS-PILE'!$E$72:$E$91)=0,0,'TO HOP NLAN'!E231*'TS-PILE'!$E$90/SUMSQ('TS-PILE'!$E$72:$E$91))+IF(SUMSQ('TS-PILE'!$D$72:$D$91)=0,0,'TO HOP NLAN'!F231*'TS-PILE'!$D$90/SUMSQ('TS-PILE'!$D$72:$D$91))),IF('TS-PILE'!$B$91="",1E+99,'TO HOP NLAN'!D231/ncoc+IF(SUMSQ('TS-PILE'!$E$72:$E$91)=0,0,'TO HOP NLAN'!E231*'TS-PILE'!$E$91/SUMSQ('TS-PILE'!$E$72:$E$91))+IF(SUMSQ('TS-PILE'!$D$72:$D$91)=0,0,'TO HOP NLAN'!F231*'TS-PILE'!$D$91/SUMSQ('TS-PILE'!$D$72:$D$91)))))</f>
        <v>0</v>
      </c>
      <c r="E231" s="58">
        <f t="shared" si="12"/>
        <v>-9.9999999999999997E+98</v>
      </c>
      <c r="F231" s="58">
        <f t="shared" si="13"/>
        <v>9.9999999999999997E+98</v>
      </c>
      <c r="G231" s="58">
        <f t="shared" si="14"/>
        <v>-9.9999999999999997E+98</v>
      </c>
      <c r="H231" s="58">
        <f t="shared" si="15"/>
        <v>9.9999999999999997E+98</v>
      </c>
    </row>
    <row r="232" spans="1:8" x14ac:dyDescent="0.3">
      <c r="A232" s="42" t="str">
        <f>'TO HOP NLAN'!A232</f>
        <v/>
      </c>
      <c r="B232" s="42" t="str">
        <f>'TO HOP NLAN'!L232</f>
        <v>STRENGTH</v>
      </c>
      <c r="C232" s="58">
        <f>IF(A232="",0,MAX(IF('TS-PILE'!$B$72="",-1E+99,'TO HOP NLAN'!D232/ncoc+IF(SUMSQ('TS-PILE'!$E$72:$E$91)=0,0,'TO HOP NLAN'!E232*'TS-PILE'!$E$72/SUMSQ('TS-PILE'!$E$72:$E$91))+IF(SUMSQ('TS-PILE'!$D$72:$D$91)=0,0,'TO HOP NLAN'!F232*'TS-PILE'!$D$72/SUMSQ('TS-PILE'!$D$72:$D$91))),IF('TS-PILE'!$B$73="",-1E+99,'TO HOP NLAN'!D232/ncoc+IF(SUMSQ('TS-PILE'!$E$72:$E$91)=0,0,'TO HOP NLAN'!E232*'TS-PILE'!$E$73/SUMSQ('TS-PILE'!$E$72:$E$91))+IF(SUMSQ('TS-PILE'!$D$72:$D$91)=0,0,'TO HOP NLAN'!F232*'TS-PILE'!$D$73/SUMSQ('TS-PILE'!$D$72:$D$91))),IF('TS-PILE'!$B$74="",-1E+99,'TO HOP NLAN'!D232/ncoc+IF(SUMSQ('TS-PILE'!$E$72:$E$91)=0,0,'TO HOP NLAN'!E232*'TS-PILE'!$E$74/SUMSQ('TS-PILE'!$E$72:$E$91))+IF(SUMSQ('TS-PILE'!$D$72:$D$91)=0,0,'TO HOP NLAN'!F232*'TS-PILE'!$D$74/SUMSQ('TS-PILE'!$D$72:$D$91))),IF('TS-PILE'!$B$75="",-1E+99,'TO HOP NLAN'!D232/ncoc+IF(SUMSQ('TS-PILE'!$E$72:$E$91)=0,0,'TO HOP NLAN'!E232*'TS-PILE'!$E$75/SUMSQ('TS-PILE'!$E$72:$E$91))+IF(SUMSQ('TS-PILE'!$D$72:$D$91)=0,0,'TO HOP NLAN'!F232*'TS-PILE'!$D$75/SUMSQ('TS-PILE'!$D$72:$D$91))),IF('TS-PILE'!$B$76="",-1E+99,'TO HOP NLAN'!D232/ncoc+IF(SUMSQ('TS-PILE'!$E$72:$E$91)=0,0,'TO HOP NLAN'!E232*'TS-PILE'!$E$76/SUMSQ('TS-PILE'!$E$72:$E$91))+IF(SUMSQ('TS-PILE'!$D$72:$D$91)=0,0,'TO HOP NLAN'!F232*'TS-PILE'!$D$76/SUMSQ('TS-PILE'!$D$72:$D$91))),IF('TS-PILE'!$B$77="",-1E+99,'TO HOP NLAN'!D232/ncoc+IF(SUMSQ('TS-PILE'!$E$72:$E$91)=0,0,'TO HOP NLAN'!E232*'TS-PILE'!$E$77/SUMSQ('TS-PILE'!$E$72:$E$91))+IF(SUMSQ('TS-PILE'!$D$72:$D$91)=0,0,'TO HOP NLAN'!F232*'TS-PILE'!$D$77/SUMSQ('TS-PILE'!$D$72:$D$91))),IF('TS-PILE'!$B$78="",-1E+99,'TO HOP NLAN'!D232/ncoc+IF(SUMSQ('TS-PILE'!$E$72:$E$91)=0,0,'TO HOP NLAN'!E232*'TS-PILE'!$E$78/SUMSQ('TS-PILE'!$E$72:$E$91))+IF(SUMSQ('TS-PILE'!$D$72:$D$91)=0,0,'TO HOP NLAN'!F232*'TS-PILE'!$D$78/SUMSQ('TS-PILE'!$D$72:$D$91))),IF('TS-PILE'!$B$79="",-1E+99,'TO HOP NLAN'!D232/ncoc+IF(SUMSQ('TS-PILE'!$E$72:$E$91)=0,0,'TO HOP NLAN'!E232*'TS-PILE'!$E$79/SUMSQ('TS-PILE'!$E$72:$E$91))+IF(SUMSQ('TS-PILE'!$D$72:$D$91)=0,0,'TO HOP NLAN'!F232*'TS-PILE'!$D$79/SUMSQ('TS-PILE'!$D$72:$D$91))),IF('TS-PILE'!$B$80="",-1E+99,'TO HOP NLAN'!D232/ncoc+IF(SUMSQ('TS-PILE'!$E$72:$E$91)=0,0,'TO HOP NLAN'!E232*'TS-PILE'!$E$80/SUMSQ('TS-PILE'!$E$72:$E$91))+IF(SUMSQ('TS-PILE'!$D$72:$D$91)=0,0,'TO HOP NLAN'!F232*'TS-PILE'!$D$80/SUMSQ('TS-PILE'!$D$72:$D$91))),IF('TS-PILE'!$B$81="",-1E+99,'TO HOP NLAN'!D232/ncoc+IF(SUMSQ('TS-PILE'!$E$72:$E$91)=0,0,'TO HOP NLAN'!E232*'TS-PILE'!$E$81/SUMSQ('TS-PILE'!$E$72:$E$91))+IF(SUMSQ('TS-PILE'!$D$72:$D$91)=0,0,'TO HOP NLAN'!F232*'TS-PILE'!$D$81/SUMSQ('TS-PILE'!$D$72:$D$91))),IF('TS-PILE'!$B$82="",-1E+99,'TO HOP NLAN'!D232/ncoc+IF(SUMSQ('TS-PILE'!$E$72:$E$91)=0,0,'TO HOP NLAN'!E232*'TS-PILE'!$E$82/SUMSQ('TS-PILE'!$E$72:$E$91))+IF(SUMSQ('TS-PILE'!$D$72:$D$91)=0,0,'TO HOP NLAN'!F232*'TS-PILE'!$D$82/SUMSQ('TS-PILE'!$D$72:$D$91))),IF('TS-PILE'!$B$83="",-1E+99,'TO HOP NLAN'!D232/ncoc+IF(SUMSQ('TS-PILE'!$E$72:$E$91)=0,0,'TO HOP NLAN'!E232*'TS-PILE'!$E$83/SUMSQ('TS-PILE'!$E$72:$E$91))+IF(SUMSQ('TS-PILE'!$D$72:$D$91)=0,0,'TO HOP NLAN'!F232*'TS-PILE'!$D$83/SUMSQ('TS-PILE'!$D$72:$D$91))),IF('TS-PILE'!$B$84="",-1E+99,'TO HOP NLAN'!D232/ncoc+IF(SUMSQ('TS-PILE'!$E$72:$E$91)=0,0,'TO HOP NLAN'!E232*'TS-PILE'!$E$84/SUMSQ('TS-PILE'!$E$72:$E$91))+IF(SUMSQ('TS-PILE'!$D$72:$D$91)=0,0,'TO HOP NLAN'!F232*'TS-PILE'!$D$84/SUMSQ('TS-PILE'!$D$72:$D$91))),IF('TS-PILE'!$B$85="",-1E+99,'TO HOP NLAN'!D232/ncoc+IF(SUMSQ('TS-PILE'!$E$72:$E$91)=0,0,'TO HOP NLAN'!E232*'TS-PILE'!$E$85/SUMSQ('TS-PILE'!$E$72:$E$91))+IF(SUMSQ('TS-PILE'!$D$72:$D$91)=0,0,'TO HOP NLAN'!F232*'TS-PILE'!$D$85/SUMSQ('TS-PILE'!$D$72:$D$91))),IF('TS-PILE'!$B$86="",-1E+99,'TO HOP NLAN'!D232/ncoc+IF(SUMSQ('TS-PILE'!$E$72:$E$91)=0,0,'TO HOP NLAN'!E232*'TS-PILE'!$E$86/SUMSQ('TS-PILE'!$E$72:$E$91))+IF(SUMSQ('TS-PILE'!$D$72:$D$91)=0,0,'TO HOP NLAN'!F232*'TS-PILE'!$D$86/SUMSQ('TS-PILE'!$D$72:$D$91))),IF('TS-PILE'!$B$87="",-1E+99,'TO HOP NLAN'!D232/ncoc+IF(SUMSQ('TS-PILE'!$E$72:$E$91)=0,0,'TO HOP NLAN'!E232*'TS-PILE'!$E$87/SUMSQ('TS-PILE'!$E$72:$E$91))+IF(SUMSQ('TS-PILE'!$D$72:$D$91)=0,0,'TO HOP NLAN'!F232*'TS-PILE'!$D$87/SUMSQ('TS-PILE'!$D$72:$D$91))),IF('TS-PILE'!$B$88="",-1E+99,'TO HOP NLAN'!D232/ncoc+IF(SUMSQ('TS-PILE'!$E$72:$E$91)=0,0,'TO HOP NLAN'!E232*'TS-PILE'!$E$88/SUMSQ('TS-PILE'!$E$72:$E$91))+IF(SUMSQ('TS-PILE'!$D$72:$D$91)=0,0,'TO HOP NLAN'!F232*'TS-PILE'!$D$88/SUMSQ('TS-PILE'!$D$72:$D$91))),IF('TS-PILE'!$B$89="",-1E+99,'TO HOP NLAN'!D232/ncoc+IF(SUMSQ('TS-PILE'!$E$72:$E$91)=0,0,'TO HOP NLAN'!E232*'TS-PILE'!$E$89/SUMSQ('TS-PILE'!$E$72:$E$91))+IF(SUMSQ('TS-PILE'!$D$72:$D$91)=0,0,'TO HOP NLAN'!F232*'TS-PILE'!$D$89/SUMSQ('TS-PILE'!$D$72:$D$91))),IF('TS-PILE'!$B$90="",-1E+99,'TO HOP NLAN'!D232/ncoc+IF(SUMSQ('TS-PILE'!$E$72:$E$91)=0,0,'TO HOP NLAN'!E232*'TS-PILE'!$E$90/SUMSQ('TS-PILE'!$E$72:$E$91))+IF(SUMSQ('TS-PILE'!$D$72:$D$91)=0,0,'TO HOP NLAN'!F232*'TS-PILE'!$D$90/SUMSQ('TS-PILE'!$D$72:$D$91))),IF('TS-PILE'!$B$91="",-1E+99,'TO HOP NLAN'!D232/ncoc+IF(SUMSQ('TS-PILE'!$E$72:$E$91)=0,0,'TO HOP NLAN'!E232*'TS-PILE'!$E$91/SUMSQ('TS-PILE'!$E$72:$E$91))+IF(SUMSQ('TS-PILE'!$D$72:$D$91)=0,0,'TO HOP NLAN'!F232*'TS-PILE'!$D$91/SUMSQ('TS-PILE'!$D$72:$D$91)))))</f>
        <v>0</v>
      </c>
      <c r="D232" s="58">
        <f>IF(A232="",0,MIN(IF('TS-PILE'!$B$72="",1E+99,'TO HOP NLAN'!D232/ncoc+IF(SUMSQ('TS-PILE'!$E$72:$E$91)=0,0,'TO HOP NLAN'!E232*'TS-PILE'!$E$72/SUMSQ('TS-PILE'!$E$72:$E$91))+IF(SUMSQ('TS-PILE'!$D$72:$D$91)=0,0,'TO HOP NLAN'!F232*'TS-PILE'!$D$72/SUMSQ('TS-PILE'!$D$72:$D$91))),IF('TS-PILE'!$B$73="",1E+99,'TO HOP NLAN'!D232/ncoc+IF(SUMSQ('TS-PILE'!$E$72:$E$91)=0,0,'TO HOP NLAN'!E232*'TS-PILE'!$E$73/SUMSQ('TS-PILE'!$E$72:$E$91))+IF(SUMSQ('TS-PILE'!$D$72:$D$91)=0,0,'TO HOP NLAN'!F232*'TS-PILE'!$D$73/SUMSQ('TS-PILE'!$D$72:$D$91))),IF('TS-PILE'!$B$74="",1E+99,'TO HOP NLAN'!D232/ncoc+IF(SUMSQ('TS-PILE'!$E$72:$E$91)=0,0,'TO HOP NLAN'!E232*'TS-PILE'!$E$74/SUMSQ('TS-PILE'!$E$72:$E$91))+IF(SUMSQ('TS-PILE'!$D$72:$D$91)=0,0,'TO HOP NLAN'!F232*'TS-PILE'!$D$74/SUMSQ('TS-PILE'!$D$72:$D$91))),IF('TS-PILE'!$B$75="",1E+99,'TO HOP NLAN'!D232/ncoc+IF(SUMSQ('TS-PILE'!$E$72:$E$91)=0,0,'TO HOP NLAN'!E232*'TS-PILE'!$E$75/SUMSQ('TS-PILE'!$E$72:$E$91))+IF(SUMSQ('TS-PILE'!$D$72:$D$91)=0,0,'TO HOP NLAN'!F232*'TS-PILE'!$D$75/SUMSQ('TS-PILE'!$D$72:$D$91))),IF('TS-PILE'!$B$76="",1E+99,'TO HOP NLAN'!D232/ncoc+IF(SUMSQ('TS-PILE'!$E$72:$E$91)=0,0,'TO HOP NLAN'!E232*'TS-PILE'!$E$76/SUMSQ('TS-PILE'!$E$72:$E$91))+IF(SUMSQ('TS-PILE'!$D$72:$D$91)=0,0,'TO HOP NLAN'!F232*'TS-PILE'!$D$76/SUMSQ('TS-PILE'!$D$72:$D$91))),IF('TS-PILE'!$B$77="",1E+99,'TO HOP NLAN'!D232/ncoc+IF(SUMSQ('TS-PILE'!$E$72:$E$91)=0,0,'TO HOP NLAN'!E232*'TS-PILE'!$E$77/SUMSQ('TS-PILE'!$E$72:$E$91))+IF(SUMSQ('TS-PILE'!$D$72:$D$91)=0,0,'TO HOP NLAN'!F232*'TS-PILE'!$D$77/SUMSQ('TS-PILE'!$D$72:$D$91))),IF('TS-PILE'!$B$78="",1E+99,'TO HOP NLAN'!D232/ncoc+IF(SUMSQ('TS-PILE'!$E$72:$E$91)=0,0,'TO HOP NLAN'!E232*'TS-PILE'!$E$78/SUMSQ('TS-PILE'!$E$72:$E$91))+IF(SUMSQ('TS-PILE'!$D$72:$D$91)=0,0,'TO HOP NLAN'!F232*'TS-PILE'!$D$78/SUMSQ('TS-PILE'!$D$72:$D$91))),IF('TS-PILE'!$B$79="",1E+99,'TO HOP NLAN'!D232/ncoc+IF(SUMSQ('TS-PILE'!$E$72:$E$91)=0,0,'TO HOP NLAN'!E232*'TS-PILE'!$E$79/SUMSQ('TS-PILE'!$E$72:$E$91))+IF(SUMSQ('TS-PILE'!$D$72:$D$91)=0,0,'TO HOP NLAN'!F232*'TS-PILE'!$D$79/SUMSQ('TS-PILE'!$D$72:$D$91))),IF('TS-PILE'!$B$80="",1E+99,'TO HOP NLAN'!D232/ncoc+IF(SUMSQ('TS-PILE'!$E$72:$E$91)=0,0,'TO HOP NLAN'!E232*'TS-PILE'!$E$80/SUMSQ('TS-PILE'!$E$72:$E$91))+IF(SUMSQ('TS-PILE'!$D$72:$D$91)=0,0,'TO HOP NLAN'!F232*'TS-PILE'!$D$80/SUMSQ('TS-PILE'!$D$72:$D$91))),IF('TS-PILE'!$B$81="",1E+99,'TO HOP NLAN'!D232/ncoc+IF(SUMSQ('TS-PILE'!$E$72:$E$91)=0,0,'TO HOP NLAN'!E232*'TS-PILE'!$E$81/SUMSQ('TS-PILE'!$E$72:$E$91))+IF(SUMSQ('TS-PILE'!$D$72:$D$91)=0,0,'TO HOP NLAN'!F232*'TS-PILE'!$D$81/SUMSQ('TS-PILE'!$D$72:$D$91))),IF('TS-PILE'!$B$82="",1E+99,'TO HOP NLAN'!D232/ncoc+IF(SUMSQ('TS-PILE'!$E$72:$E$91)=0,0,'TO HOP NLAN'!E232*'TS-PILE'!$E$82/SUMSQ('TS-PILE'!$E$72:$E$91))+IF(SUMSQ('TS-PILE'!$D$72:$D$91)=0,0,'TO HOP NLAN'!F232*'TS-PILE'!$D$82/SUMSQ('TS-PILE'!$D$72:$D$91))),IF('TS-PILE'!$B$83="",1E+99,'TO HOP NLAN'!D232/ncoc+IF(SUMSQ('TS-PILE'!$E$72:$E$91)=0,0,'TO HOP NLAN'!E232*'TS-PILE'!$E$83/SUMSQ('TS-PILE'!$E$72:$E$91))+IF(SUMSQ('TS-PILE'!$D$72:$D$91)=0,0,'TO HOP NLAN'!F232*'TS-PILE'!$D$83/SUMSQ('TS-PILE'!$D$72:$D$91))),IF('TS-PILE'!$B$84="",1E+99,'TO HOP NLAN'!D232/ncoc+IF(SUMSQ('TS-PILE'!$E$72:$E$91)=0,0,'TO HOP NLAN'!E232*'TS-PILE'!$E$84/SUMSQ('TS-PILE'!$E$72:$E$91))+IF(SUMSQ('TS-PILE'!$D$72:$D$91)=0,0,'TO HOP NLAN'!F232*'TS-PILE'!$D$84/SUMSQ('TS-PILE'!$D$72:$D$91))),IF('TS-PILE'!$B$85="",1E+99,'TO HOP NLAN'!D232/ncoc+IF(SUMSQ('TS-PILE'!$E$72:$E$91)=0,0,'TO HOP NLAN'!E232*'TS-PILE'!$E$85/SUMSQ('TS-PILE'!$E$72:$E$91))+IF(SUMSQ('TS-PILE'!$D$72:$D$91)=0,0,'TO HOP NLAN'!F232*'TS-PILE'!$D$85/SUMSQ('TS-PILE'!$D$72:$D$91))),IF('TS-PILE'!$B$86="",1E+99,'TO HOP NLAN'!D232/ncoc+IF(SUMSQ('TS-PILE'!$E$72:$E$91)=0,0,'TO HOP NLAN'!E232*'TS-PILE'!$E$86/SUMSQ('TS-PILE'!$E$72:$E$91))+IF(SUMSQ('TS-PILE'!$D$72:$D$91)=0,0,'TO HOP NLAN'!F232*'TS-PILE'!$D$86/SUMSQ('TS-PILE'!$D$72:$D$91))),IF('TS-PILE'!$B$87="",1E+99,'TO HOP NLAN'!D232/ncoc+IF(SUMSQ('TS-PILE'!$E$72:$E$91)=0,0,'TO HOP NLAN'!E232*'TS-PILE'!$E$87/SUMSQ('TS-PILE'!$E$72:$E$91))+IF(SUMSQ('TS-PILE'!$D$72:$D$91)=0,0,'TO HOP NLAN'!F232*'TS-PILE'!$D$87/SUMSQ('TS-PILE'!$D$72:$D$91))),IF('TS-PILE'!$B$88="",1E+99,'TO HOP NLAN'!D232/ncoc+IF(SUMSQ('TS-PILE'!$E$72:$E$91)=0,0,'TO HOP NLAN'!E232*'TS-PILE'!$E$88/SUMSQ('TS-PILE'!$E$72:$E$91))+IF(SUMSQ('TS-PILE'!$D$72:$D$91)=0,0,'TO HOP NLAN'!F232*'TS-PILE'!$D$88/SUMSQ('TS-PILE'!$D$72:$D$91))),IF('TS-PILE'!$B$89="",1E+99,'TO HOP NLAN'!D232/ncoc+IF(SUMSQ('TS-PILE'!$E$72:$E$91)=0,0,'TO HOP NLAN'!E232*'TS-PILE'!$E$89/SUMSQ('TS-PILE'!$E$72:$E$91))+IF(SUMSQ('TS-PILE'!$D$72:$D$91)=0,0,'TO HOP NLAN'!F232*'TS-PILE'!$D$89/SUMSQ('TS-PILE'!$D$72:$D$91))),IF('TS-PILE'!$B$90="",1E+99,'TO HOP NLAN'!D232/ncoc+IF(SUMSQ('TS-PILE'!$E$72:$E$91)=0,0,'TO HOP NLAN'!E232*'TS-PILE'!$E$90/SUMSQ('TS-PILE'!$E$72:$E$91))+IF(SUMSQ('TS-PILE'!$D$72:$D$91)=0,0,'TO HOP NLAN'!F232*'TS-PILE'!$D$90/SUMSQ('TS-PILE'!$D$72:$D$91))),IF('TS-PILE'!$B$91="",1E+99,'TO HOP NLAN'!D232/ncoc+IF(SUMSQ('TS-PILE'!$E$72:$E$91)=0,0,'TO HOP NLAN'!E232*'TS-PILE'!$E$91/SUMSQ('TS-PILE'!$E$72:$E$91))+IF(SUMSQ('TS-PILE'!$D$72:$D$91)=0,0,'TO HOP NLAN'!F232*'TS-PILE'!$D$91/SUMSQ('TS-PILE'!$D$72:$D$91)))))</f>
        <v>0</v>
      </c>
      <c r="E232" s="58">
        <f t="shared" si="12"/>
        <v>-9.9999999999999997E+98</v>
      </c>
      <c r="F232" s="58">
        <f t="shared" si="13"/>
        <v>9.9999999999999997E+98</v>
      </c>
      <c r="G232" s="58">
        <f t="shared" si="14"/>
        <v>-9.9999999999999997E+98</v>
      </c>
      <c r="H232" s="58">
        <f t="shared" si="15"/>
        <v>9.9999999999999997E+98</v>
      </c>
    </row>
    <row r="233" spans="1:8" x14ac:dyDescent="0.3">
      <c r="A233" s="42" t="str">
        <f>'TO HOP NLAN'!A233</f>
        <v/>
      </c>
      <c r="B233" s="42" t="str">
        <f>'TO HOP NLAN'!L233</f>
        <v>STRENGTH</v>
      </c>
      <c r="C233" s="58">
        <f>IF(A233="",0,MAX(IF('TS-PILE'!$B$72="",-1E+99,'TO HOP NLAN'!D233/ncoc+IF(SUMSQ('TS-PILE'!$E$72:$E$91)=0,0,'TO HOP NLAN'!E233*'TS-PILE'!$E$72/SUMSQ('TS-PILE'!$E$72:$E$91))+IF(SUMSQ('TS-PILE'!$D$72:$D$91)=0,0,'TO HOP NLAN'!F233*'TS-PILE'!$D$72/SUMSQ('TS-PILE'!$D$72:$D$91))),IF('TS-PILE'!$B$73="",-1E+99,'TO HOP NLAN'!D233/ncoc+IF(SUMSQ('TS-PILE'!$E$72:$E$91)=0,0,'TO HOP NLAN'!E233*'TS-PILE'!$E$73/SUMSQ('TS-PILE'!$E$72:$E$91))+IF(SUMSQ('TS-PILE'!$D$72:$D$91)=0,0,'TO HOP NLAN'!F233*'TS-PILE'!$D$73/SUMSQ('TS-PILE'!$D$72:$D$91))),IF('TS-PILE'!$B$74="",-1E+99,'TO HOP NLAN'!D233/ncoc+IF(SUMSQ('TS-PILE'!$E$72:$E$91)=0,0,'TO HOP NLAN'!E233*'TS-PILE'!$E$74/SUMSQ('TS-PILE'!$E$72:$E$91))+IF(SUMSQ('TS-PILE'!$D$72:$D$91)=0,0,'TO HOP NLAN'!F233*'TS-PILE'!$D$74/SUMSQ('TS-PILE'!$D$72:$D$91))),IF('TS-PILE'!$B$75="",-1E+99,'TO HOP NLAN'!D233/ncoc+IF(SUMSQ('TS-PILE'!$E$72:$E$91)=0,0,'TO HOP NLAN'!E233*'TS-PILE'!$E$75/SUMSQ('TS-PILE'!$E$72:$E$91))+IF(SUMSQ('TS-PILE'!$D$72:$D$91)=0,0,'TO HOP NLAN'!F233*'TS-PILE'!$D$75/SUMSQ('TS-PILE'!$D$72:$D$91))),IF('TS-PILE'!$B$76="",-1E+99,'TO HOP NLAN'!D233/ncoc+IF(SUMSQ('TS-PILE'!$E$72:$E$91)=0,0,'TO HOP NLAN'!E233*'TS-PILE'!$E$76/SUMSQ('TS-PILE'!$E$72:$E$91))+IF(SUMSQ('TS-PILE'!$D$72:$D$91)=0,0,'TO HOP NLAN'!F233*'TS-PILE'!$D$76/SUMSQ('TS-PILE'!$D$72:$D$91))),IF('TS-PILE'!$B$77="",-1E+99,'TO HOP NLAN'!D233/ncoc+IF(SUMSQ('TS-PILE'!$E$72:$E$91)=0,0,'TO HOP NLAN'!E233*'TS-PILE'!$E$77/SUMSQ('TS-PILE'!$E$72:$E$91))+IF(SUMSQ('TS-PILE'!$D$72:$D$91)=0,0,'TO HOP NLAN'!F233*'TS-PILE'!$D$77/SUMSQ('TS-PILE'!$D$72:$D$91))),IF('TS-PILE'!$B$78="",-1E+99,'TO HOP NLAN'!D233/ncoc+IF(SUMSQ('TS-PILE'!$E$72:$E$91)=0,0,'TO HOP NLAN'!E233*'TS-PILE'!$E$78/SUMSQ('TS-PILE'!$E$72:$E$91))+IF(SUMSQ('TS-PILE'!$D$72:$D$91)=0,0,'TO HOP NLAN'!F233*'TS-PILE'!$D$78/SUMSQ('TS-PILE'!$D$72:$D$91))),IF('TS-PILE'!$B$79="",-1E+99,'TO HOP NLAN'!D233/ncoc+IF(SUMSQ('TS-PILE'!$E$72:$E$91)=0,0,'TO HOP NLAN'!E233*'TS-PILE'!$E$79/SUMSQ('TS-PILE'!$E$72:$E$91))+IF(SUMSQ('TS-PILE'!$D$72:$D$91)=0,0,'TO HOP NLAN'!F233*'TS-PILE'!$D$79/SUMSQ('TS-PILE'!$D$72:$D$91))),IF('TS-PILE'!$B$80="",-1E+99,'TO HOP NLAN'!D233/ncoc+IF(SUMSQ('TS-PILE'!$E$72:$E$91)=0,0,'TO HOP NLAN'!E233*'TS-PILE'!$E$80/SUMSQ('TS-PILE'!$E$72:$E$91))+IF(SUMSQ('TS-PILE'!$D$72:$D$91)=0,0,'TO HOP NLAN'!F233*'TS-PILE'!$D$80/SUMSQ('TS-PILE'!$D$72:$D$91))),IF('TS-PILE'!$B$81="",-1E+99,'TO HOP NLAN'!D233/ncoc+IF(SUMSQ('TS-PILE'!$E$72:$E$91)=0,0,'TO HOP NLAN'!E233*'TS-PILE'!$E$81/SUMSQ('TS-PILE'!$E$72:$E$91))+IF(SUMSQ('TS-PILE'!$D$72:$D$91)=0,0,'TO HOP NLAN'!F233*'TS-PILE'!$D$81/SUMSQ('TS-PILE'!$D$72:$D$91))),IF('TS-PILE'!$B$82="",-1E+99,'TO HOP NLAN'!D233/ncoc+IF(SUMSQ('TS-PILE'!$E$72:$E$91)=0,0,'TO HOP NLAN'!E233*'TS-PILE'!$E$82/SUMSQ('TS-PILE'!$E$72:$E$91))+IF(SUMSQ('TS-PILE'!$D$72:$D$91)=0,0,'TO HOP NLAN'!F233*'TS-PILE'!$D$82/SUMSQ('TS-PILE'!$D$72:$D$91))),IF('TS-PILE'!$B$83="",-1E+99,'TO HOP NLAN'!D233/ncoc+IF(SUMSQ('TS-PILE'!$E$72:$E$91)=0,0,'TO HOP NLAN'!E233*'TS-PILE'!$E$83/SUMSQ('TS-PILE'!$E$72:$E$91))+IF(SUMSQ('TS-PILE'!$D$72:$D$91)=0,0,'TO HOP NLAN'!F233*'TS-PILE'!$D$83/SUMSQ('TS-PILE'!$D$72:$D$91))),IF('TS-PILE'!$B$84="",-1E+99,'TO HOP NLAN'!D233/ncoc+IF(SUMSQ('TS-PILE'!$E$72:$E$91)=0,0,'TO HOP NLAN'!E233*'TS-PILE'!$E$84/SUMSQ('TS-PILE'!$E$72:$E$91))+IF(SUMSQ('TS-PILE'!$D$72:$D$91)=0,0,'TO HOP NLAN'!F233*'TS-PILE'!$D$84/SUMSQ('TS-PILE'!$D$72:$D$91))),IF('TS-PILE'!$B$85="",-1E+99,'TO HOP NLAN'!D233/ncoc+IF(SUMSQ('TS-PILE'!$E$72:$E$91)=0,0,'TO HOP NLAN'!E233*'TS-PILE'!$E$85/SUMSQ('TS-PILE'!$E$72:$E$91))+IF(SUMSQ('TS-PILE'!$D$72:$D$91)=0,0,'TO HOP NLAN'!F233*'TS-PILE'!$D$85/SUMSQ('TS-PILE'!$D$72:$D$91))),IF('TS-PILE'!$B$86="",-1E+99,'TO HOP NLAN'!D233/ncoc+IF(SUMSQ('TS-PILE'!$E$72:$E$91)=0,0,'TO HOP NLAN'!E233*'TS-PILE'!$E$86/SUMSQ('TS-PILE'!$E$72:$E$91))+IF(SUMSQ('TS-PILE'!$D$72:$D$91)=0,0,'TO HOP NLAN'!F233*'TS-PILE'!$D$86/SUMSQ('TS-PILE'!$D$72:$D$91))),IF('TS-PILE'!$B$87="",-1E+99,'TO HOP NLAN'!D233/ncoc+IF(SUMSQ('TS-PILE'!$E$72:$E$91)=0,0,'TO HOP NLAN'!E233*'TS-PILE'!$E$87/SUMSQ('TS-PILE'!$E$72:$E$91))+IF(SUMSQ('TS-PILE'!$D$72:$D$91)=0,0,'TO HOP NLAN'!F233*'TS-PILE'!$D$87/SUMSQ('TS-PILE'!$D$72:$D$91))),IF('TS-PILE'!$B$88="",-1E+99,'TO HOP NLAN'!D233/ncoc+IF(SUMSQ('TS-PILE'!$E$72:$E$91)=0,0,'TO HOP NLAN'!E233*'TS-PILE'!$E$88/SUMSQ('TS-PILE'!$E$72:$E$91))+IF(SUMSQ('TS-PILE'!$D$72:$D$91)=0,0,'TO HOP NLAN'!F233*'TS-PILE'!$D$88/SUMSQ('TS-PILE'!$D$72:$D$91))),IF('TS-PILE'!$B$89="",-1E+99,'TO HOP NLAN'!D233/ncoc+IF(SUMSQ('TS-PILE'!$E$72:$E$91)=0,0,'TO HOP NLAN'!E233*'TS-PILE'!$E$89/SUMSQ('TS-PILE'!$E$72:$E$91))+IF(SUMSQ('TS-PILE'!$D$72:$D$91)=0,0,'TO HOP NLAN'!F233*'TS-PILE'!$D$89/SUMSQ('TS-PILE'!$D$72:$D$91))),IF('TS-PILE'!$B$90="",-1E+99,'TO HOP NLAN'!D233/ncoc+IF(SUMSQ('TS-PILE'!$E$72:$E$91)=0,0,'TO HOP NLAN'!E233*'TS-PILE'!$E$90/SUMSQ('TS-PILE'!$E$72:$E$91))+IF(SUMSQ('TS-PILE'!$D$72:$D$91)=0,0,'TO HOP NLAN'!F233*'TS-PILE'!$D$90/SUMSQ('TS-PILE'!$D$72:$D$91))),IF('TS-PILE'!$B$91="",-1E+99,'TO HOP NLAN'!D233/ncoc+IF(SUMSQ('TS-PILE'!$E$72:$E$91)=0,0,'TO HOP NLAN'!E233*'TS-PILE'!$E$91/SUMSQ('TS-PILE'!$E$72:$E$91))+IF(SUMSQ('TS-PILE'!$D$72:$D$91)=0,0,'TO HOP NLAN'!F233*'TS-PILE'!$D$91/SUMSQ('TS-PILE'!$D$72:$D$91)))))</f>
        <v>0</v>
      </c>
      <c r="D233" s="58">
        <f>IF(A233="",0,MIN(IF('TS-PILE'!$B$72="",1E+99,'TO HOP NLAN'!D233/ncoc+IF(SUMSQ('TS-PILE'!$E$72:$E$91)=0,0,'TO HOP NLAN'!E233*'TS-PILE'!$E$72/SUMSQ('TS-PILE'!$E$72:$E$91))+IF(SUMSQ('TS-PILE'!$D$72:$D$91)=0,0,'TO HOP NLAN'!F233*'TS-PILE'!$D$72/SUMSQ('TS-PILE'!$D$72:$D$91))),IF('TS-PILE'!$B$73="",1E+99,'TO HOP NLAN'!D233/ncoc+IF(SUMSQ('TS-PILE'!$E$72:$E$91)=0,0,'TO HOP NLAN'!E233*'TS-PILE'!$E$73/SUMSQ('TS-PILE'!$E$72:$E$91))+IF(SUMSQ('TS-PILE'!$D$72:$D$91)=0,0,'TO HOP NLAN'!F233*'TS-PILE'!$D$73/SUMSQ('TS-PILE'!$D$72:$D$91))),IF('TS-PILE'!$B$74="",1E+99,'TO HOP NLAN'!D233/ncoc+IF(SUMSQ('TS-PILE'!$E$72:$E$91)=0,0,'TO HOP NLAN'!E233*'TS-PILE'!$E$74/SUMSQ('TS-PILE'!$E$72:$E$91))+IF(SUMSQ('TS-PILE'!$D$72:$D$91)=0,0,'TO HOP NLAN'!F233*'TS-PILE'!$D$74/SUMSQ('TS-PILE'!$D$72:$D$91))),IF('TS-PILE'!$B$75="",1E+99,'TO HOP NLAN'!D233/ncoc+IF(SUMSQ('TS-PILE'!$E$72:$E$91)=0,0,'TO HOP NLAN'!E233*'TS-PILE'!$E$75/SUMSQ('TS-PILE'!$E$72:$E$91))+IF(SUMSQ('TS-PILE'!$D$72:$D$91)=0,0,'TO HOP NLAN'!F233*'TS-PILE'!$D$75/SUMSQ('TS-PILE'!$D$72:$D$91))),IF('TS-PILE'!$B$76="",1E+99,'TO HOP NLAN'!D233/ncoc+IF(SUMSQ('TS-PILE'!$E$72:$E$91)=0,0,'TO HOP NLAN'!E233*'TS-PILE'!$E$76/SUMSQ('TS-PILE'!$E$72:$E$91))+IF(SUMSQ('TS-PILE'!$D$72:$D$91)=0,0,'TO HOP NLAN'!F233*'TS-PILE'!$D$76/SUMSQ('TS-PILE'!$D$72:$D$91))),IF('TS-PILE'!$B$77="",1E+99,'TO HOP NLAN'!D233/ncoc+IF(SUMSQ('TS-PILE'!$E$72:$E$91)=0,0,'TO HOP NLAN'!E233*'TS-PILE'!$E$77/SUMSQ('TS-PILE'!$E$72:$E$91))+IF(SUMSQ('TS-PILE'!$D$72:$D$91)=0,0,'TO HOP NLAN'!F233*'TS-PILE'!$D$77/SUMSQ('TS-PILE'!$D$72:$D$91))),IF('TS-PILE'!$B$78="",1E+99,'TO HOP NLAN'!D233/ncoc+IF(SUMSQ('TS-PILE'!$E$72:$E$91)=0,0,'TO HOP NLAN'!E233*'TS-PILE'!$E$78/SUMSQ('TS-PILE'!$E$72:$E$91))+IF(SUMSQ('TS-PILE'!$D$72:$D$91)=0,0,'TO HOP NLAN'!F233*'TS-PILE'!$D$78/SUMSQ('TS-PILE'!$D$72:$D$91))),IF('TS-PILE'!$B$79="",1E+99,'TO HOP NLAN'!D233/ncoc+IF(SUMSQ('TS-PILE'!$E$72:$E$91)=0,0,'TO HOP NLAN'!E233*'TS-PILE'!$E$79/SUMSQ('TS-PILE'!$E$72:$E$91))+IF(SUMSQ('TS-PILE'!$D$72:$D$91)=0,0,'TO HOP NLAN'!F233*'TS-PILE'!$D$79/SUMSQ('TS-PILE'!$D$72:$D$91))),IF('TS-PILE'!$B$80="",1E+99,'TO HOP NLAN'!D233/ncoc+IF(SUMSQ('TS-PILE'!$E$72:$E$91)=0,0,'TO HOP NLAN'!E233*'TS-PILE'!$E$80/SUMSQ('TS-PILE'!$E$72:$E$91))+IF(SUMSQ('TS-PILE'!$D$72:$D$91)=0,0,'TO HOP NLAN'!F233*'TS-PILE'!$D$80/SUMSQ('TS-PILE'!$D$72:$D$91))),IF('TS-PILE'!$B$81="",1E+99,'TO HOP NLAN'!D233/ncoc+IF(SUMSQ('TS-PILE'!$E$72:$E$91)=0,0,'TO HOP NLAN'!E233*'TS-PILE'!$E$81/SUMSQ('TS-PILE'!$E$72:$E$91))+IF(SUMSQ('TS-PILE'!$D$72:$D$91)=0,0,'TO HOP NLAN'!F233*'TS-PILE'!$D$81/SUMSQ('TS-PILE'!$D$72:$D$91))),IF('TS-PILE'!$B$82="",1E+99,'TO HOP NLAN'!D233/ncoc+IF(SUMSQ('TS-PILE'!$E$72:$E$91)=0,0,'TO HOP NLAN'!E233*'TS-PILE'!$E$82/SUMSQ('TS-PILE'!$E$72:$E$91))+IF(SUMSQ('TS-PILE'!$D$72:$D$91)=0,0,'TO HOP NLAN'!F233*'TS-PILE'!$D$82/SUMSQ('TS-PILE'!$D$72:$D$91))),IF('TS-PILE'!$B$83="",1E+99,'TO HOP NLAN'!D233/ncoc+IF(SUMSQ('TS-PILE'!$E$72:$E$91)=0,0,'TO HOP NLAN'!E233*'TS-PILE'!$E$83/SUMSQ('TS-PILE'!$E$72:$E$91))+IF(SUMSQ('TS-PILE'!$D$72:$D$91)=0,0,'TO HOP NLAN'!F233*'TS-PILE'!$D$83/SUMSQ('TS-PILE'!$D$72:$D$91))),IF('TS-PILE'!$B$84="",1E+99,'TO HOP NLAN'!D233/ncoc+IF(SUMSQ('TS-PILE'!$E$72:$E$91)=0,0,'TO HOP NLAN'!E233*'TS-PILE'!$E$84/SUMSQ('TS-PILE'!$E$72:$E$91))+IF(SUMSQ('TS-PILE'!$D$72:$D$91)=0,0,'TO HOP NLAN'!F233*'TS-PILE'!$D$84/SUMSQ('TS-PILE'!$D$72:$D$91))),IF('TS-PILE'!$B$85="",1E+99,'TO HOP NLAN'!D233/ncoc+IF(SUMSQ('TS-PILE'!$E$72:$E$91)=0,0,'TO HOP NLAN'!E233*'TS-PILE'!$E$85/SUMSQ('TS-PILE'!$E$72:$E$91))+IF(SUMSQ('TS-PILE'!$D$72:$D$91)=0,0,'TO HOP NLAN'!F233*'TS-PILE'!$D$85/SUMSQ('TS-PILE'!$D$72:$D$91))),IF('TS-PILE'!$B$86="",1E+99,'TO HOP NLAN'!D233/ncoc+IF(SUMSQ('TS-PILE'!$E$72:$E$91)=0,0,'TO HOP NLAN'!E233*'TS-PILE'!$E$86/SUMSQ('TS-PILE'!$E$72:$E$91))+IF(SUMSQ('TS-PILE'!$D$72:$D$91)=0,0,'TO HOP NLAN'!F233*'TS-PILE'!$D$86/SUMSQ('TS-PILE'!$D$72:$D$91))),IF('TS-PILE'!$B$87="",1E+99,'TO HOP NLAN'!D233/ncoc+IF(SUMSQ('TS-PILE'!$E$72:$E$91)=0,0,'TO HOP NLAN'!E233*'TS-PILE'!$E$87/SUMSQ('TS-PILE'!$E$72:$E$91))+IF(SUMSQ('TS-PILE'!$D$72:$D$91)=0,0,'TO HOP NLAN'!F233*'TS-PILE'!$D$87/SUMSQ('TS-PILE'!$D$72:$D$91))),IF('TS-PILE'!$B$88="",1E+99,'TO HOP NLAN'!D233/ncoc+IF(SUMSQ('TS-PILE'!$E$72:$E$91)=0,0,'TO HOP NLAN'!E233*'TS-PILE'!$E$88/SUMSQ('TS-PILE'!$E$72:$E$91))+IF(SUMSQ('TS-PILE'!$D$72:$D$91)=0,0,'TO HOP NLAN'!F233*'TS-PILE'!$D$88/SUMSQ('TS-PILE'!$D$72:$D$91))),IF('TS-PILE'!$B$89="",1E+99,'TO HOP NLAN'!D233/ncoc+IF(SUMSQ('TS-PILE'!$E$72:$E$91)=0,0,'TO HOP NLAN'!E233*'TS-PILE'!$E$89/SUMSQ('TS-PILE'!$E$72:$E$91))+IF(SUMSQ('TS-PILE'!$D$72:$D$91)=0,0,'TO HOP NLAN'!F233*'TS-PILE'!$D$89/SUMSQ('TS-PILE'!$D$72:$D$91))),IF('TS-PILE'!$B$90="",1E+99,'TO HOP NLAN'!D233/ncoc+IF(SUMSQ('TS-PILE'!$E$72:$E$91)=0,0,'TO HOP NLAN'!E233*'TS-PILE'!$E$90/SUMSQ('TS-PILE'!$E$72:$E$91))+IF(SUMSQ('TS-PILE'!$D$72:$D$91)=0,0,'TO HOP NLAN'!F233*'TS-PILE'!$D$90/SUMSQ('TS-PILE'!$D$72:$D$91))),IF('TS-PILE'!$B$91="",1E+99,'TO HOP NLAN'!D233/ncoc+IF(SUMSQ('TS-PILE'!$E$72:$E$91)=0,0,'TO HOP NLAN'!E233*'TS-PILE'!$E$91/SUMSQ('TS-PILE'!$E$72:$E$91))+IF(SUMSQ('TS-PILE'!$D$72:$D$91)=0,0,'TO HOP NLAN'!F233*'TS-PILE'!$D$91/SUMSQ('TS-PILE'!$D$72:$D$91)))))</f>
        <v>0</v>
      </c>
      <c r="E233" s="58">
        <f t="shared" si="12"/>
        <v>-9.9999999999999997E+98</v>
      </c>
      <c r="F233" s="58">
        <f t="shared" si="13"/>
        <v>9.9999999999999997E+98</v>
      </c>
      <c r="G233" s="58">
        <f t="shared" si="14"/>
        <v>-9.9999999999999997E+98</v>
      </c>
      <c r="H233" s="58">
        <f t="shared" si="15"/>
        <v>9.9999999999999997E+98</v>
      </c>
    </row>
    <row r="234" spans="1:8" x14ac:dyDescent="0.3">
      <c r="A234" s="42" t="str">
        <f>'TO HOP NLAN'!A234</f>
        <v/>
      </c>
      <c r="B234" s="42" t="str">
        <f>'TO HOP NLAN'!L234</f>
        <v>STRENGTH</v>
      </c>
      <c r="C234" s="58">
        <f>IF(A234="",0,MAX(IF('TS-PILE'!$B$72="",-1E+99,'TO HOP NLAN'!D234/ncoc+IF(SUMSQ('TS-PILE'!$E$72:$E$91)=0,0,'TO HOP NLAN'!E234*'TS-PILE'!$E$72/SUMSQ('TS-PILE'!$E$72:$E$91))+IF(SUMSQ('TS-PILE'!$D$72:$D$91)=0,0,'TO HOP NLAN'!F234*'TS-PILE'!$D$72/SUMSQ('TS-PILE'!$D$72:$D$91))),IF('TS-PILE'!$B$73="",-1E+99,'TO HOP NLAN'!D234/ncoc+IF(SUMSQ('TS-PILE'!$E$72:$E$91)=0,0,'TO HOP NLAN'!E234*'TS-PILE'!$E$73/SUMSQ('TS-PILE'!$E$72:$E$91))+IF(SUMSQ('TS-PILE'!$D$72:$D$91)=0,0,'TO HOP NLAN'!F234*'TS-PILE'!$D$73/SUMSQ('TS-PILE'!$D$72:$D$91))),IF('TS-PILE'!$B$74="",-1E+99,'TO HOP NLAN'!D234/ncoc+IF(SUMSQ('TS-PILE'!$E$72:$E$91)=0,0,'TO HOP NLAN'!E234*'TS-PILE'!$E$74/SUMSQ('TS-PILE'!$E$72:$E$91))+IF(SUMSQ('TS-PILE'!$D$72:$D$91)=0,0,'TO HOP NLAN'!F234*'TS-PILE'!$D$74/SUMSQ('TS-PILE'!$D$72:$D$91))),IF('TS-PILE'!$B$75="",-1E+99,'TO HOP NLAN'!D234/ncoc+IF(SUMSQ('TS-PILE'!$E$72:$E$91)=0,0,'TO HOP NLAN'!E234*'TS-PILE'!$E$75/SUMSQ('TS-PILE'!$E$72:$E$91))+IF(SUMSQ('TS-PILE'!$D$72:$D$91)=0,0,'TO HOP NLAN'!F234*'TS-PILE'!$D$75/SUMSQ('TS-PILE'!$D$72:$D$91))),IF('TS-PILE'!$B$76="",-1E+99,'TO HOP NLAN'!D234/ncoc+IF(SUMSQ('TS-PILE'!$E$72:$E$91)=0,0,'TO HOP NLAN'!E234*'TS-PILE'!$E$76/SUMSQ('TS-PILE'!$E$72:$E$91))+IF(SUMSQ('TS-PILE'!$D$72:$D$91)=0,0,'TO HOP NLAN'!F234*'TS-PILE'!$D$76/SUMSQ('TS-PILE'!$D$72:$D$91))),IF('TS-PILE'!$B$77="",-1E+99,'TO HOP NLAN'!D234/ncoc+IF(SUMSQ('TS-PILE'!$E$72:$E$91)=0,0,'TO HOP NLAN'!E234*'TS-PILE'!$E$77/SUMSQ('TS-PILE'!$E$72:$E$91))+IF(SUMSQ('TS-PILE'!$D$72:$D$91)=0,0,'TO HOP NLAN'!F234*'TS-PILE'!$D$77/SUMSQ('TS-PILE'!$D$72:$D$91))),IF('TS-PILE'!$B$78="",-1E+99,'TO HOP NLAN'!D234/ncoc+IF(SUMSQ('TS-PILE'!$E$72:$E$91)=0,0,'TO HOP NLAN'!E234*'TS-PILE'!$E$78/SUMSQ('TS-PILE'!$E$72:$E$91))+IF(SUMSQ('TS-PILE'!$D$72:$D$91)=0,0,'TO HOP NLAN'!F234*'TS-PILE'!$D$78/SUMSQ('TS-PILE'!$D$72:$D$91))),IF('TS-PILE'!$B$79="",-1E+99,'TO HOP NLAN'!D234/ncoc+IF(SUMSQ('TS-PILE'!$E$72:$E$91)=0,0,'TO HOP NLAN'!E234*'TS-PILE'!$E$79/SUMSQ('TS-PILE'!$E$72:$E$91))+IF(SUMSQ('TS-PILE'!$D$72:$D$91)=0,0,'TO HOP NLAN'!F234*'TS-PILE'!$D$79/SUMSQ('TS-PILE'!$D$72:$D$91))),IF('TS-PILE'!$B$80="",-1E+99,'TO HOP NLAN'!D234/ncoc+IF(SUMSQ('TS-PILE'!$E$72:$E$91)=0,0,'TO HOP NLAN'!E234*'TS-PILE'!$E$80/SUMSQ('TS-PILE'!$E$72:$E$91))+IF(SUMSQ('TS-PILE'!$D$72:$D$91)=0,0,'TO HOP NLAN'!F234*'TS-PILE'!$D$80/SUMSQ('TS-PILE'!$D$72:$D$91))),IF('TS-PILE'!$B$81="",-1E+99,'TO HOP NLAN'!D234/ncoc+IF(SUMSQ('TS-PILE'!$E$72:$E$91)=0,0,'TO HOP NLAN'!E234*'TS-PILE'!$E$81/SUMSQ('TS-PILE'!$E$72:$E$91))+IF(SUMSQ('TS-PILE'!$D$72:$D$91)=0,0,'TO HOP NLAN'!F234*'TS-PILE'!$D$81/SUMSQ('TS-PILE'!$D$72:$D$91))),IF('TS-PILE'!$B$82="",-1E+99,'TO HOP NLAN'!D234/ncoc+IF(SUMSQ('TS-PILE'!$E$72:$E$91)=0,0,'TO HOP NLAN'!E234*'TS-PILE'!$E$82/SUMSQ('TS-PILE'!$E$72:$E$91))+IF(SUMSQ('TS-PILE'!$D$72:$D$91)=0,0,'TO HOP NLAN'!F234*'TS-PILE'!$D$82/SUMSQ('TS-PILE'!$D$72:$D$91))),IF('TS-PILE'!$B$83="",-1E+99,'TO HOP NLAN'!D234/ncoc+IF(SUMSQ('TS-PILE'!$E$72:$E$91)=0,0,'TO HOP NLAN'!E234*'TS-PILE'!$E$83/SUMSQ('TS-PILE'!$E$72:$E$91))+IF(SUMSQ('TS-PILE'!$D$72:$D$91)=0,0,'TO HOP NLAN'!F234*'TS-PILE'!$D$83/SUMSQ('TS-PILE'!$D$72:$D$91))),IF('TS-PILE'!$B$84="",-1E+99,'TO HOP NLAN'!D234/ncoc+IF(SUMSQ('TS-PILE'!$E$72:$E$91)=0,0,'TO HOP NLAN'!E234*'TS-PILE'!$E$84/SUMSQ('TS-PILE'!$E$72:$E$91))+IF(SUMSQ('TS-PILE'!$D$72:$D$91)=0,0,'TO HOP NLAN'!F234*'TS-PILE'!$D$84/SUMSQ('TS-PILE'!$D$72:$D$91))),IF('TS-PILE'!$B$85="",-1E+99,'TO HOP NLAN'!D234/ncoc+IF(SUMSQ('TS-PILE'!$E$72:$E$91)=0,0,'TO HOP NLAN'!E234*'TS-PILE'!$E$85/SUMSQ('TS-PILE'!$E$72:$E$91))+IF(SUMSQ('TS-PILE'!$D$72:$D$91)=0,0,'TO HOP NLAN'!F234*'TS-PILE'!$D$85/SUMSQ('TS-PILE'!$D$72:$D$91))),IF('TS-PILE'!$B$86="",-1E+99,'TO HOP NLAN'!D234/ncoc+IF(SUMSQ('TS-PILE'!$E$72:$E$91)=0,0,'TO HOP NLAN'!E234*'TS-PILE'!$E$86/SUMSQ('TS-PILE'!$E$72:$E$91))+IF(SUMSQ('TS-PILE'!$D$72:$D$91)=0,0,'TO HOP NLAN'!F234*'TS-PILE'!$D$86/SUMSQ('TS-PILE'!$D$72:$D$91))),IF('TS-PILE'!$B$87="",-1E+99,'TO HOP NLAN'!D234/ncoc+IF(SUMSQ('TS-PILE'!$E$72:$E$91)=0,0,'TO HOP NLAN'!E234*'TS-PILE'!$E$87/SUMSQ('TS-PILE'!$E$72:$E$91))+IF(SUMSQ('TS-PILE'!$D$72:$D$91)=0,0,'TO HOP NLAN'!F234*'TS-PILE'!$D$87/SUMSQ('TS-PILE'!$D$72:$D$91))),IF('TS-PILE'!$B$88="",-1E+99,'TO HOP NLAN'!D234/ncoc+IF(SUMSQ('TS-PILE'!$E$72:$E$91)=0,0,'TO HOP NLAN'!E234*'TS-PILE'!$E$88/SUMSQ('TS-PILE'!$E$72:$E$91))+IF(SUMSQ('TS-PILE'!$D$72:$D$91)=0,0,'TO HOP NLAN'!F234*'TS-PILE'!$D$88/SUMSQ('TS-PILE'!$D$72:$D$91))),IF('TS-PILE'!$B$89="",-1E+99,'TO HOP NLAN'!D234/ncoc+IF(SUMSQ('TS-PILE'!$E$72:$E$91)=0,0,'TO HOP NLAN'!E234*'TS-PILE'!$E$89/SUMSQ('TS-PILE'!$E$72:$E$91))+IF(SUMSQ('TS-PILE'!$D$72:$D$91)=0,0,'TO HOP NLAN'!F234*'TS-PILE'!$D$89/SUMSQ('TS-PILE'!$D$72:$D$91))),IF('TS-PILE'!$B$90="",-1E+99,'TO HOP NLAN'!D234/ncoc+IF(SUMSQ('TS-PILE'!$E$72:$E$91)=0,0,'TO HOP NLAN'!E234*'TS-PILE'!$E$90/SUMSQ('TS-PILE'!$E$72:$E$91))+IF(SUMSQ('TS-PILE'!$D$72:$D$91)=0,0,'TO HOP NLAN'!F234*'TS-PILE'!$D$90/SUMSQ('TS-PILE'!$D$72:$D$91))),IF('TS-PILE'!$B$91="",-1E+99,'TO HOP NLAN'!D234/ncoc+IF(SUMSQ('TS-PILE'!$E$72:$E$91)=0,0,'TO HOP NLAN'!E234*'TS-PILE'!$E$91/SUMSQ('TS-PILE'!$E$72:$E$91))+IF(SUMSQ('TS-PILE'!$D$72:$D$91)=0,0,'TO HOP NLAN'!F234*'TS-PILE'!$D$91/SUMSQ('TS-PILE'!$D$72:$D$91)))))</f>
        <v>0</v>
      </c>
      <c r="D234" s="58">
        <f>IF(A234="",0,MIN(IF('TS-PILE'!$B$72="",1E+99,'TO HOP NLAN'!D234/ncoc+IF(SUMSQ('TS-PILE'!$E$72:$E$91)=0,0,'TO HOP NLAN'!E234*'TS-PILE'!$E$72/SUMSQ('TS-PILE'!$E$72:$E$91))+IF(SUMSQ('TS-PILE'!$D$72:$D$91)=0,0,'TO HOP NLAN'!F234*'TS-PILE'!$D$72/SUMSQ('TS-PILE'!$D$72:$D$91))),IF('TS-PILE'!$B$73="",1E+99,'TO HOP NLAN'!D234/ncoc+IF(SUMSQ('TS-PILE'!$E$72:$E$91)=0,0,'TO HOP NLAN'!E234*'TS-PILE'!$E$73/SUMSQ('TS-PILE'!$E$72:$E$91))+IF(SUMSQ('TS-PILE'!$D$72:$D$91)=0,0,'TO HOP NLAN'!F234*'TS-PILE'!$D$73/SUMSQ('TS-PILE'!$D$72:$D$91))),IF('TS-PILE'!$B$74="",1E+99,'TO HOP NLAN'!D234/ncoc+IF(SUMSQ('TS-PILE'!$E$72:$E$91)=0,0,'TO HOP NLAN'!E234*'TS-PILE'!$E$74/SUMSQ('TS-PILE'!$E$72:$E$91))+IF(SUMSQ('TS-PILE'!$D$72:$D$91)=0,0,'TO HOP NLAN'!F234*'TS-PILE'!$D$74/SUMSQ('TS-PILE'!$D$72:$D$91))),IF('TS-PILE'!$B$75="",1E+99,'TO HOP NLAN'!D234/ncoc+IF(SUMSQ('TS-PILE'!$E$72:$E$91)=0,0,'TO HOP NLAN'!E234*'TS-PILE'!$E$75/SUMSQ('TS-PILE'!$E$72:$E$91))+IF(SUMSQ('TS-PILE'!$D$72:$D$91)=0,0,'TO HOP NLAN'!F234*'TS-PILE'!$D$75/SUMSQ('TS-PILE'!$D$72:$D$91))),IF('TS-PILE'!$B$76="",1E+99,'TO HOP NLAN'!D234/ncoc+IF(SUMSQ('TS-PILE'!$E$72:$E$91)=0,0,'TO HOP NLAN'!E234*'TS-PILE'!$E$76/SUMSQ('TS-PILE'!$E$72:$E$91))+IF(SUMSQ('TS-PILE'!$D$72:$D$91)=0,0,'TO HOP NLAN'!F234*'TS-PILE'!$D$76/SUMSQ('TS-PILE'!$D$72:$D$91))),IF('TS-PILE'!$B$77="",1E+99,'TO HOP NLAN'!D234/ncoc+IF(SUMSQ('TS-PILE'!$E$72:$E$91)=0,0,'TO HOP NLAN'!E234*'TS-PILE'!$E$77/SUMSQ('TS-PILE'!$E$72:$E$91))+IF(SUMSQ('TS-PILE'!$D$72:$D$91)=0,0,'TO HOP NLAN'!F234*'TS-PILE'!$D$77/SUMSQ('TS-PILE'!$D$72:$D$91))),IF('TS-PILE'!$B$78="",1E+99,'TO HOP NLAN'!D234/ncoc+IF(SUMSQ('TS-PILE'!$E$72:$E$91)=0,0,'TO HOP NLAN'!E234*'TS-PILE'!$E$78/SUMSQ('TS-PILE'!$E$72:$E$91))+IF(SUMSQ('TS-PILE'!$D$72:$D$91)=0,0,'TO HOP NLAN'!F234*'TS-PILE'!$D$78/SUMSQ('TS-PILE'!$D$72:$D$91))),IF('TS-PILE'!$B$79="",1E+99,'TO HOP NLAN'!D234/ncoc+IF(SUMSQ('TS-PILE'!$E$72:$E$91)=0,0,'TO HOP NLAN'!E234*'TS-PILE'!$E$79/SUMSQ('TS-PILE'!$E$72:$E$91))+IF(SUMSQ('TS-PILE'!$D$72:$D$91)=0,0,'TO HOP NLAN'!F234*'TS-PILE'!$D$79/SUMSQ('TS-PILE'!$D$72:$D$91))),IF('TS-PILE'!$B$80="",1E+99,'TO HOP NLAN'!D234/ncoc+IF(SUMSQ('TS-PILE'!$E$72:$E$91)=0,0,'TO HOP NLAN'!E234*'TS-PILE'!$E$80/SUMSQ('TS-PILE'!$E$72:$E$91))+IF(SUMSQ('TS-PILE'!$D$72:$D$91)=0,0,'TO HOP NLAN'!F234*'TS-PILE'!$D$80/SUMSQ('TS-PILE'!$D$72:$D$91))),IF('TS-PILE'!$B$81="",1E+99,'TO HOP NLAN'!D234/ncoc+IF(SUMSQ('TS-PILE'!$E$72:$E$91)=0,0,'TO HOP NLAN'!E234*'TS-PILE'!$E$81/SUMSQ('TS-PILE'!$E$72:$E$91))+IF(SUMSQ('TS-PILE'!$D$72:$D$91)=0,0,'TO HOP NLAN'!F234*'TS-PILE'!$D$81/SUMSQ('TS-PILE'!$D$72:$D$91))),IF('TS-PILE'!$B$82="",1E+99,'TO HOP NLAN'!D234/ncoc+IF(SUMSQ('TS-PILE'!$E$72:$E$91)=0,0,'TO HOP NLAN'!E234*'TS-PILE'!$E$82/SUMSQ('TS-PILE'!$E$72:$E$91))+IF(SUMSQ('TS-PILE'!$D$72:$D$91)=0,0,'TO HOP NLAN'!F234*'TS-PILE'!$D$82/SUMSQ('TS-PILE'!$D$72:$D$91))),IF('TS-PILE'!$B$83="",1E+99,'TO HOP NLAN'!D234/ncoc+IF(SUMSQ('TS-PILE'!$E$72:$E$91)=0,0,'TO HOP NLAN'!E234*'TS-PILE'!$E$83/SUMSQ('TS-PILE'!$E$72:$E$91))+IF(SUMSQ('TS-PILE'!$D$72:$D$91)=0,0,'TO HOP NLAN'!F234*'TS-PILE'!$D$83/SUMSQ('TS-PILE'!$D$72:$D$91))),IF('TS-PILE'!$B$84="",1E+99,'TO HOP NLAN'!D234/ncoc+IF(SUMSQ('TS-PILE'!$E$72:$E$91)=0,0,'TO HOP NLAN'!E234*'TS-PILE'!$E$84/SUMSQ('TS-PILE'!$E$72:$E$91))+IF(SUMSQ('TS-PILE'!$D$72:$D$91)=0,0,'TO HOP NLAN'!F234*'TS-PILE'!$D$84/SUMSQ('TS-PILE'!$D$72:$D$91))),IF('TS-PILE'!$B$85="",1E+99,'TO HOP NLAN'!D234/ncoc+IF(SUMSQ('TS-PILE'!$E$72:$E$91)=0,0,'TO HOP NLAN'!E234*'TS-PILE'!$E$85/SUMSQ('TS-PILE'!$E$72:$E$91))+IF(SUMSQ('TS-PILE'!$D$72:$D$91)=0,0,'TO HOP NLAN'!F234*'TS-PILE'!$D$85/SUMSQ('TS-PILE'!$D$72:$D$91))),IF('TS-PILE'!$B$86="",1E+99,'TO HOP NLAN'!D234/ncoc+IF(SUMSQ('TS-PILE'!$E$72:$E$91)=0,0,'TO HOP NLAN'!E234*'TS-PILE'!$E$86/SUMSQ('TS-PILE'!$E$72:$E$91))+IF(SUMSQ('TS-PILE'!$D$72:$D$91)=0,0,'TO HOP NLAN'!F234*'TS-PILE'!$D$86/SUMSQ('TS-PILE'!$D$72:$D$91))),IF('TS-PILE'!$B$87="",1E+99,'TO HOP NLAN'!D234/ncoc+IF(SUMSQ('TS-PILE'!$E$72:$E$91)=0,0,'TO HOP NLAN'!E234*'TS-PILE'!$E$87/SUMSQ('TS-PILE'!$E$72:$E$91))+IF(SUMSQ('TS-PILE'!$D$72:$D$91)=0,0,'TO HOP NLAN'!F234*'TS-PILE'!$D$87/SUMSQ('TS-PILE'!$D$72:$D$91))),IF('TS-PILE'!$B$88="",1E+99,'TO HOP NLAN'!D234/ncoc+IF(SUMSQ('TS-PILE'!$E$72:$E$91)=0,0,'TO HOP NLAN'!E234*'TS-PILE'!$E$88/SUMSQ('TS-PILE'!$E$72:$E$91))+IF(SUMSQ('TS-PILE'!$D$72:$D$91)=0,0,'TO HOP NLAN'!F234*'TS-PILE'!$D$88/SUMSQ('TS-PILE'!$D$72:$D$91))),IF('TS-PILE'!$B$89="",1E+99,'TO HOP NLAN'!D234/ncoc+IF(SUMSQ('TS-PILE'!$E$72:$E$91)=0,0,'TO HOP NLAN'!E234*'TS-PILE'!$E$89/SUMSQ('TS-PILE'!$E$72:$E$91))+IF(SUMSQ('TS-PILE'!$D$72:$D$91)=0,0,'TO HOP NLAN'!F234*'TS-PILE'!$D$89/SUMSQ('TS-PILE'!$D$72:$D$91))),IF('TS-PILE'!$B$90="",1E+99,'TO HOP NLAN'!D234/ncoc+IF(SUMSQ('TS-PILE'!$E$72:$E$91)=0,0,'TO HOP NLAN'!E234*'TS-PILE'!$E$90/SUMSQ('TS-PILE'!$E$72:$E$91))+IF(SUMSQ('TS-PILE'!$D$72:$D$91)=0,0,'TO HOP NLAN'!F234*'TS-PILE'!$D$90/SUMSQ('TS-PILE'!$D$72:$D$91))),IF('TS-PILE'!$B$91="",1E+99,'TO HOP NLAN'!D234/ncoc+IF(SUMSQ('TS-PILE'!$E$72:$E$91)=0,0,'TO HOP NLAN'!E234*'TS-PILE'!$E$91/SUMSQ('TS-PILE'!$E$72:$E$91))+IF(SUMSQ('TS-PILE'!$D$72:$D$91)=0,0,'TO HOP NLAN'!F234*'TS-PILE'!$D$91/SUMSQ('TS-PILE'!$D$72:$D$91)))))</f>
        <v>0</v>
      </c>
      <c r="E234" s="58">
        <f t="shared" si="12"/>
        <v>-9.9999999999999997E+98</v>
      </c>
      <c r="F234" s="58">
        <f t="shared" si="13"/>
        <v>9.9999999999999997E+98</v>
      </c>
      <c r="G234" s="58">
        <f t="shared" si="14"/>
        <v>-9.9999999999999997E+98</v>
      </c>
      <c r="H234" s="58">
        <f t="shared" si="15"/>
        <v>9.9999999999999997E+98</v>
      </c>
    </row>
    <row r="235" spans="1:8" x14ac:dyDescent="0.3">
      <c r="A235" s="42" t="str">
        <f>'TO HOP NLAN'!A235</f>
        <v/>
      </c>
      <c r="B235" s="42" t="str">
        <f>'TO HOP NLAN'!L235</f>
        <v>STRENGTH</v>
      </c>
      <c r="C235" s="58">
        <f>IF(A235="",0,MAX(IF('TS-PILE'!$B$72="",-1E+99,'TO HOP NLAN'!D235/ncoc+IF(SUMSQ('TS-PILE'!$E$72:$E$91)=0,0,'TO HOP NLAN'!E235*'TS-PILE'!$E$72/SUMSQ('TS-PILE'!$E$72:$E$91))+IF(SUMSQ('TS-PILE'!$D$72:$D$91)=0,0,'TO HOP NLAN'!F235*'TS-PILE'!$D$72/SUMSQ('TS-PILE'!$D$72:$D$91))),IF('TS-PILE'!$B$73="",-1E+99,'TO HOP NLAN'!D235/ncoc+IF(SUMSQ('TS-PILE'!$E$72:$E$91)=0,0,'TO HOP NLAN'!E235*'TS-PILE'!$E$73/SUMSQ('TS-PILE'!$E$72:$E$91))+IF(SUMSQ('TS-PILE'!$D$72:$D$91)=0,0,'TO HOP NLAN'!F235*'TS-PILE'!$D$73/SUMSQ('TS-PILE'!$D$72:$D$91))),IF('TS-PILE'!$B$74="",-1E+99,'TO HOP NLAN'!D235/ncoc+IF(SUMSQ('TS-PILE'!$E$72:$E$91)=0,0,'TO HOP NLAN'!E235*'TS-PILE'!$E$74/SUMSQ('TS-PILE'!$E$72:$E$91))+IF(SUMSQ('TS-PILE'!$D$72:$D$91)=0,0,'TO HOP NLAN'!F235*'TS-PILE'!$D$74/SUMSQ('TS-PILE'!$D$72:$D$91))),IF('TS-PILE'!$B$75="",-1E+99,'TO HOP NLAN'!D235/ncoc+IF(SUMSQ('TS-PILE'!$E$72:$E$91)=0,0,'TO HOP NLAN'!E235*'TS-PILE'!$E$75/SUMSQ('TS-PILE'!$E$72:$E$91))+IF(SUMSQ('TS-PILE'!$D$72:$D$91)=0,0,'TO HOP NLAN'!F235*'TS-PILE'!$D$75/SUMSQ('TS-PILE'!$D$72:$D$91))),IF('TS-PILE'!$B$76="",-1E+99,'TO HOP NLAN'!D235/ncoc+IF(SUMSQ('TS-PILE'!$E$72:$E$91)=0,0,'TO HOP NLAN'!E235*'TS-PILE'!$E$76/SUMSQ('TS-PILE'!$E$72:$E$91))+IF(SUMSQ('TS-PILE'!$D$72:$D$91)=0,0,'TO HOP NLAN'!F235*'TS-PILE'!$D$76/SUMSQ('TS-PILE'!$D$72:$D$91))),IF('TS-PILE'!$B$77="",-1E+99,'TO HOP NLAN'!D235/ncoc+IF(SUMSQ('TS-PILE'!$E$72:$E$91)=0,0,'TO HOP NLAN'!E235*'TS-PILE'!$E$77/SUMSQ('TS-PILE'!$E$72:$E$91))+IF(SUMSQ('TS-PILE'!$D$72:$D$91)=0,0,'TO HOP NLAN'!F235*'TS-PILE'!$D$77/SUMSQ('TS-PILE'!$D$72:$D$91))),IF('TS-PILE'!$B$78="",-1E+99,'TO HOP NLAN'!D235/ncoc+IF(SUMSQ('TS-PILE'!$E$72:$E$91)=0,0,'TO HOP NLAN'!E235*'TS-PILE'!$E$78/SUMSQ('TS-PILE'!$E$72:$E$91))+IF(SUMSQ('TS-PILE'!$D$72:$D$91)=0,0,'TO HOP NLAN'!F235*'TS-PILE'!$D$78/SUMSQ('TS-PILE'!$D$72:$D$91))),IF('TS-PILE'!$B$79="",-1E+99,'TO HOP NLAN'!D235/ncoc+IF(SUMSQ('TS-PILE'!$E$72:$E$91)=0,0,'TO HOP NLAN'!E235*'TS-PILE'!$E$79/SUMSQ('TS-PILE'!$E$72:$E$91))+IF(SUMSQ('TS-PILE'!$D$72:$D$91)=0,0,'TO HOP NLAN'!F235*'TS-PILE'!$D$79/SUMSQ('TS-PILE'!$D$72:$D$91))),IF('TS-PILE'!$B$80="",-1E+99,'TO HOP NLAN'!D235/ncoc+IF(SUMSQ('TS-PILE'!$E$72:$E$91)=0,0,'TO HOP NLAN'!E235*'TS-PILE'!$E$80/SUMSQ('TS-PILE'!$E$72:$E$91))+IF(SUMSQ('TS-PILE'!$D$72:$D$91)=0,0,'TO HOP NLAN'!F235*'TS-PILE'!$D$80/SUMSQ('TS-PILE'!$D$72:$D$91))),IF('TS-PILE'!$B$81="",-1E+99,'TO HOP NLAN'!D235/ncoc+IF(SUMSQ('TS-PILE'!$E$72:$E$91)=0,0,'TO HOP NLAN'!E235*'TS-PILE'!$E$81/SUMSQ('TS-PILE'!$E$72:$E$91))+IF(SUMSQ('TS-PILE'!$D$72:$D$91)=0,0,'TO HOP NLAN'!F235*'TS-PILE'!$D$81/SUMSQ('TS-PILE'!$D$72:$D$91))),IF('TS-PILE'!$B$82="",-1E+99,'TO HOP NLAN'!D235/ncoc+IF(SUMSQ('TS-PILE'!$E$72:$E$91)=0,0,'TO HOP NLAN'!E235*'TS-PILE'!$E$82/SUMSQ('TS-PILE'!$E$72:$E$91))+IF(SUMSQ('TS-PILE'!$D$72:$D$91)=0,0,'TO HOP NLAN'!F235*'TS-PILE'!$D$82/SUMSQ('TS-PILE'!$D$72:$D$91))),IF('TS-PILE'!$B$83="",-1E+99,'TO HOP NLAN'!D235/ncoc+IF(SUMSQ('TS-PILE'!$E$72:$E$91)=0,0,'TO HOP NLAN'!E235*'TS-PILE'!$E$83/SUMSQ('TS-PILE'!$E$72:$E$91))+IF(SUMSQ('TS-PILE'!$D$72:$D$91)=0,0,'TO HOP NLAN'!F235*'TS-PILE'!$D$83/SUMSQ('TS-PILE'!$D$72:$D$91))),IF('TS-PILE'!$B$84="",-1E+99,'TO HOP NLAN'!D235/ncoc+IF(SUMSQ('TS-PILE'!$E$72:$E$91)=0,0,'TO HOP NLAN'!E235*'TS-PILE'!$E$84/SUMSQ('TS-PILE'!$E$72:$E$91))+IF(SUMSQ('TS-PILE'!$D$72:$D$91)=0,0,'TO HOP NLAN'!F235*'TS-PILE'!$D$84/SUMSQ('TS-PILE'!$D$72:$D$91))),IF('TS-PILE'!$B$85="",-1E+99,'TO HOP NLAN'!D235/ncoc+IF(SUMSQ('TS-PILE'!$E$72:$E$91)=0,0,'TO HOP NLAN'!E235*'TS-PILE'!$E$85/SUMSQ('TS-PILE'!$E$72:$E$91))+IF(SUMSQ('TS-PILE'!$D$72:$D$91)=0,0,'TO HOP NLAN'!F235*'TS-PILE'!$D$85/SUMSQ('TS-PILE'!$D$72:$D$91))),IF('TS-PILE'!$B$86="",-1E+99,'TO HOP NLAN'!D235/ncoc+IF(SUMSQ('TS-PILE'!$E$72:$E$91)=0,0,'TO HOP NLAN'!E235*'TS-PILE'!$E$86/SUMSQ('TS-PILE'!$E$72:$E$91))+IF(SUMSQ('TS-PILE'!$D$72:$D$91)=0,0,'TO HOP NLAN'!F235*'TS-PILE'!$D$86/SUMSQ('TS-PILE'!$D$72:$D$91))),IF('TS-PILE'!$B$87="",-1E+99,'TO HOP NLAN'!D235/ncoc+IF(SUMSQ('TS-PILE'!$E$72:$E$91)=0,0,'TO HOP NLAN'!E235*'TS-PILE'!$E$87/SUMSQ('TS-PILE'!$E$72:$E$91))+IF(SUMSQ('TS-PILE'!$D$72:$D$91)=0,0,'TO HOP NLAN'!F235*'TS-PILE'!$D$87/SUMSQ('TS-PILE'!$D$72:$D$91))),IF('TS-PILE'!$B$88="",-1E+99,'TO HOP NLAN'!D235/ncoc+IF(SUMSQ('TS-PILE'!$E$72:$E$91)=0,0,'TO HOP NLAN'!E235*'TS-PILE'!$E$88/SUMSQ('TS-PILE'!$E$72:$E$91))+IF(SUMSQ('TS-PILE'!$D$72:$D$91)=0,0,'TO HOP NLAN'!F235*'TS-PILE'!$D$88/SUMSQ('TS-PILE'!$D$72:$D$91))),IF('TS-PILE'!$B$89="",-1E+99,'TO HOP NLAN'!D235/ncoc+IF(SUMSQ('TS-PILE'!$E$72:$E$91)=0,0,'TO HOP NLAN'!E235*'TS-PILE'!$E$89/SUMSQ('TS-PILE'!$E$72:$E$91))+IF(SUMSQ('TS-PILE'!$D$72:$D$91)=0,0,'TO HOP NLAN'!F235*'TS-PILE'!$D$89/SUMSQ('TS-PILE'!$D$72:$D$91))),IF('TS-PILE'!$B$90="",-1E+99,'TO HOP NLAN'!D235/ncoc+IF(SUMSQ('TS-PILE'!$E$72:$E$91)=0,0,'TO HOP NLAN'!E235*'TS-PILE'!$E$90/SUMSQ('TS-PILE'!$E$72:$E$91))+IF(SUMSQ('TS-PILE'!$D$72:$D$91)=0,0,'TO HOP NLAN'!F235*'TS-PILE'!$D$90/SUMSQ('TS-PILE'!$D$72:$D$91))),IF('TS-PILE'!$B$91="",-1E+99,'TO HOP NLAN'!D235/ncoc+IF(SUMSQ('TS-PILE'!$E$72:$E$91)=0,0,'TO HOP NLAN'!E235*'TS-PILE'!$E$91/SUMSQ('TS-PILE'!$E$72:$E$91))+IF(SUMSQ('TS-PILE'!$D$72:$D$91)=0,0,'TO HOP NLAN'!F235*'TS-PILE'!$D$91/SUMSQ('TS-PILE'!$D$72:$D$91)))))</f>
        <v>0</v>
      </c>
      <c r="D235" s="58">
        <f>IF(A235="",0,MIN(IF('TS-PILE'!$B$72="",1E+99,'TO HOP NLAN'!D235/ncoc+IF(SUMSQ('TS-PILE'!$E$72:$E$91)=0,0,'TO HOP NLAN'!E235*'TS-PILE'!$E$72/SUMSQ('TS-PILE'!$E$72:$E$91))+IF(SUMSQ('TS-PILE'!$D$72:$D$91)=0,0,'TO HOP NLAN'!F235*'TS-PILE'!$D$72/SUMSQ('TS-PILE'!$D$72:$D$91))),IF('TS-PILE'!$B$73="",1E+99,'TO HOP NLAN'!D235/ncoc+IF(SUMSQ('TS-PILE'!$E$72:$E$91)=0,0,'TO HOP NLAN'!E235*'TS-PILE'!$E$73/SUMSQ('TS-PILE'!$E$72:$E$91))+IF(SUMSQ('TS-PILE'!$D$72:$D$91)=0,0,'TO HOP NLAN'!F235*'TS-PILE'!$D$73/SUMSQ('TS-PILE'!$D$72:$D$91))),IF('TS-PILE'!$B$74="",1E+99,'TO HOP NLAN'!D235/ncoc+IF(SUMSQ('TS-PILE'!$E$72:$E$91)=0,0,'TO HOP NLAN'!E235*'TS-PILE'!$E$74/SUMSQ('TS-PILE'!$E$72:$E$91))+IF(SUMSQ('TS-PILE'!$D$72:$D$91)=0,0,'TO HOP NLAN'!F235*'TS-PILE'!$D$74/SUMSQ('TS-PILE'!$D$72:$D$91))),IF('TS-PILE'!$B$75="",1E+99,'TO HOP NLAN'!D235/ncoc+IF(SUMSQ('TS-PILE'!$E$72:$E$91)=0,0,'TO HOP NLAN'!E235*'TS-PILE'!$E$75/SUMSQ('TS-PILE'!$E$72:$E$91))+IF(SUMSQ('TS-PILE'!$D$72:$D$91)=0,0,'TO HOP NLAN'!F235*'TS-PILE'!$D$75/SUMSQ('TS-PILE'!$D$72:$D$91))),IF('TS-PILE'!$B$76="",1E+99,'TO HOP NLAN'!D235/ncoc+IF(SUMSQ('TS-PILE'!$E$72:$E$91)=0,0,'TO HOP NLAN'!E235*'TS-PILE'!$E$76/SUMSQ('TS-PILE'!$E$72:$E$91))+IF(SUMSQ('TS-PILE'!$D$72:$D$91)=0,0,'TO HOP NLAN'!F235*'TS-PILE'!$D$76/SUMSQ('TS-PILE'!$D$72:$D$91))),IF('TS-PILE'!$B$77="",1E+99,'TO HOP NLAN'!D235/ncoc+IF(SUMSQ('TS-PILE'!$E$72:$E$91)=0,0,'TO HOP NLAN'!E235*'TS-PILE'!$E$77/SUMSQ('TS-PILE'!$E$72:$E$91))+IF(SUMSQ('TS-PILE'!$D$72:$D$91)=0,0,'TO HOP NLAN'!F235*'TS-PILE'!$D$77/SUMSQ('TS-PILE'!$D$72:$D$91))),IF('TS-PILE'!$B$78="",1E+99,'TO HOP NLAN'!D235/ncoc+IF(SUMSQ('TS-PILE'!$E$72:$E$91)=0,0,'TO HOP NLAN'!E235*'TS-PILE'!$E$78/SUMSQ('TS-PILE'!$E$72:$E$91))+IF(SUMSQ('TS-PILE'!$D$72:$D$91)=0,0,'TO HOP NLAN'!F235*'TS-PILE'!$D$78/SUMSQ('TS-PILE'!$D$72:$D$91))),IF('TS-PILE'!$B$79="",1E+99,'TO HOP NLAN'!D235/ncoc+IF(SUMSQ('TS-PILE'!$E$72:$E$91)=0,0,'TO HOP NLAN'!E235*'TS-PILE'!$E$79/SUMSQ('TS-PILE'!$E$72:$E$91))+IF(SUMSQ('TS-PILE'!$D$72:$D$91)=0,0,'TO HOP NLAN'!F235*'TS-PILE'!$D$79/SUMSQ('TS-PILE'!$D$72:$D$91))),IF('TS-PILE'!$B$80="",1E+99,'TO HOP NLAN'!D235/ncoc+IF(SUMSQ('TS-PILE'!$E$72:$E$91)=0,0,'TO HOP NLAN'!E235*'TS-PILE'!$E$80/SUMSQ('TS-PILE'!$E$72:$E$91))+IF(SUMSQ('TS-PILE'!$D$72:$D$91)=0,0,'TO HOP NLAN'!F235*'TS-PILE'!$D$80/SUMSQ('TS-PILE'!$D$72:$D$91))),IF('TS-PILE'!$B$81="",1E+99,'TO HOP NLAN'!D235/ncoc+IF(SUMSQ('TS-PILE'!$E$72:$E$91)=0,0,'TO HOP NLAN'!E235*'TS-PILE'!$E$81/SUMSQ('TS-PILE'!$E$72:$E$91))+IF(SUMSQ('TS-PILE'!$D$72:$D$91)=0,0,'TO HOP NLAN'!F235*'TS-PILE'!$D$81/SUMSQ('TS-PILE'!$D$72:$D$91))),IF('TS-PILE'!$B$82="",1E+99,'TO HOP NLAN'!D235/ncoc+IF(SUMSQ('TS-PILE'!$E$72:$E$91)=0,0,'TO HOP NLAN'!E235*'TS-PILE'!$E$82/SUMSQ('TS-PILE'!$E$72:$E$91))+IF(SUMSQ('TS-PILE'!$D$72:$D$91)=0,0,'TO HOP NLAN'!F235*'TS-PILE'!$D$82/SUMSQ('TS-PILE'!$D$72:$D$91))),IF('TS-PILE'!$B$83="",1E+99,'TO HOP NLAN'!D235/ncoc+IF(SUMSQ('TS-PILE'!$E$72:$E$91)=0,0,'TO HOP NLAN'!E235*'TS-PILE'!$E$83/SUMSQ('TS-PILE'!$E$72:$E$91))+IF(SUMSQ('TS-PILE'!$D$72:$D$91)=0,0,'TO HOP NLAN'!F235*'TS-PILE'!$D$83/SUMSQ('TS-PILE'!$D$72:$D$91))),IF('TS-PILE'!$B$84="",1E+99,'TO HOP NLAN'!D235/ncoc+IF(SUMSQ('TS-PILE'!$E$72:$E$91)=0,0,'TO HOP NLAN'!E235*'TS-PILE'!$E$84/SUMSQ('TS-PILE'!$E$72:$E$91))+IF(SUMSQ('TS-PILE'!$D$72:$D$91)=0,0,'TO HOP NLAN'!F235*'TS-PILE'!$D$84/SUMSQ('TS-PILE'!$D$72:$D$91))),IF('TS-PILE'!$B$85="",1E+99,'TO HOP NLAN'!D235/ncoc+IF(SUMSQ('TS-PILE'!$E$72:$E$91)=0,0,'TO HOP NLAN'!E235*'TS-PILE'!$E$85/SUMSQ('TS-PILE'!$E$72:$E$91))+IF(SUMSQ('TS-PILE'!$D$72:$D$91)=0,0,'TO HOP NLAN'!F235*'TS-PILE'!$D$85/SUMSQ('TS-PILE'!$D$72:$D$91))),IF('TS-PILE'!$B$86="",1E+99,'TO HOP NLAN'!D235/ncoc+IF(SUMSQ('TS-PILE'!$E$72:$E$91)=0,0,'TO HOP NLAN'!E235*'TS-PILE'!$E$86/SUMSQ('TS-PILE'!$E$72:$E$91))+IF(SUMSQ('TS-PILE'!$D$72:$D$91)=0,0,'TO HOP NLAN'!F235*'TS-PILE'!$D$86/SUMSQ('TS-PILE'!$D$72:$D$91))),IF('TS-PILE'!$B$87="",1E+99,'TO HOP NLAN'!D235/ncoc+IF(SUMSQ('TS-PILE'!$E$72:$E$91)=0,0,'TO HOP NLAN'!E235*'TS-PILE'!$E$87/SUMSQ('TS-PILE'!$E$72:$E$91))+IF(SUMSQ('TS-PILE'!$D$72:$D$91)=0,0,'TO HOP NLAN'!F235*'TS-PILE'!$D$87/SUMSQ('TS-PILE'!$D$72:$D$91))),IF('TS-PILE'!$B$88="",1E+99,'TO HOP NLAN'!D235/ncoc+IF(SUMSQ('TS-PILE'!$E$72:$E$91)=0,0,'TO HOP NLAN'!E235*'TS-PILE'!$E$88/SUMSQ('TS-PILE'!$E$72:$E$91))+IF(SUMSQ('TS-PILE'!$D$72:$D$91)=0,0,'TO HOP NLAN'!F235*'TS-PILE'!$D$88/SUMSQ('TS-PILE'!$D$72:$D$91))),IF('TS-PILE'!$B$89="",1E+99,'TO HOP NLAN'!D235/ncoc+IF(SUMSQ('TS-PILE'!$E$72:$E$91)=0,0,'TO HOP NLAN'!E235*'TS-PILE'!$E$89/SUMSQ('TS-PILE'!$E$72:$E$91))+IF(SUMSQ('TS-PILE'!$D$72:$D$91)=0,0,'TO HOP NLAN'!F235*'TS-PILE'!$D$89/SUMSQ('TS-PILE'!$D$72:$D$91))),IF('TS-PILE'!$B$90="",1E+99,'TO HOP NLAN'!D235/ncoc+IF(SUMSQ('TS-PILE'!$E$72:$E$91)=0,0,'TO HOP NLAN'!E235*'TS-PILE'!$E$90/SUMSQ('TS-PILE'!$E$72:$E$91))+IF(SUMSQ('TS-PILE'!$D$72:$D$91)=0,0,'TO HOP NLAN'!F235*'TS-PILE'!$D$90/SUMSQ('TS-PILE'!$D$72:$D$91))),IF('TS-PILE'!$B$91="",1E+99,'TO HOP NLAN'!D235/ncoc+IF(SUMSQ('TS-PILE'!$E$72:$E$91)=0,0,'TO HOP NLAN'!E235*'TS-PILE'!$E$91/SUMSQ('TS-PILE'!$E$72:$E$91))+IF(SUMSQ('TS-PILE'!$D$72:$D$91)=0,0,'TO HOP NLAN'!F235*'TS-PILE'!$D$91/SUMSQ('TS-PILE'!$D$72:$D$91)))))</f>
        <v>0</v>
      </c>
      <c r="E235" s="58">
        <f t="shared" si="12"/>
        <v>-9.9999999999999997E+98</v>
      </c>
      <c r="F235" s="58">
        <f t="shared" si="13"/>
        <v>9.9999999999999997E+98</v>
      </c>
      <c r="G235" s="58">
        <f t="shared" si="14"/>
        <v>-9.9999999999999997E+98</v>
      </c>
      <c r="H235" s="58">
        <f t="shared" si="15"/>
        <v>9.9999999999999997E+98</v>
      </c>
    </row>
    <row r="236" spans="1:8" x14ac:dyDescent="0.3">
      <c r="A236" s="42" t="str">
        <f>'TO HOP NLAN'!A236</f>
        <v/>
      </c>
      <c r="B236" s="42" t="str">
        <f>'TO HOP NLAN'!L236</f>
        <v>STRENGTH</v>
      </c>
      <c r="C236" s="58">
        <f>IF(A236="",0,MAX(IF('TS-PILE'!$B$72="",-1E+99,'TO HOP NLAN'!D236/ncoc+IF(SUMSQ('TS-PILE'!$E$72:$E$91)=0,0,'TO HOP NLAN'!E236*'TS-PILE'!$E$72/SUMSQ('TS-PILE'!$E$72:$E$91))+IF(SUMSQ('TS-PILE'!$D$72:$D$91)=0,0,'TO HOP NLAN'!F236*'TS-PILE'!$D$72/SUMSQ('TS-PILE'!$D$72:$D$91))),IF('TS-PILE'!$B$73="",-1E+99,'TO HOP NLAN'!D236/ncoc+IF(SUMSQ('TS-PILE'!$E$72:$E$91)=0,0,'TO HOP NLAN'!E236*'TS-PILE'!$E$73/SUMSQ('TS-PILE'!$E$72:$E$91))+IF(SUMSQ('TS-PILE'!$D$72:$D$91)=0,0,'TO HOP NLAN'!F236*'TS-PILE'!$D$73/SUMSQ('TS-PILE'!$D$72:$D$91))),IF('TS-PILE'!$B$74="",-1E+99,'TO HOP NLAN'!D236/ncoc+IF(SUMSQ('TS-PILE'!$E$72:$E$91)=0,0,'TO HOP NLAN'!E236*'TS-PILE'!$E$74/SUMSQ('TS-PILE'!$E$72:$E$91))+IF(SUMSQ('TS-PILE'!$D$72:$D$91)=0,0,'TO HOP NLAN'!F236*'TS-PILE'!$D$74/SUMSQ('TS-PILE'!$D$72:$D$91))),IF('TS-PILE'!$B$75="",-1E+99,'TO HOP NLAN'!D236/ncoc+IF(SUMSQ('TS-PILE'!$E$72:$E$91)=0,0,'TO HOP NLAN'!E236*'TS-PILE'!$E$75/SUMSQ('TS-PILE'!$E$72:$E$91))+IF(SUMSQ('TS-PILE'!$D$72:$D$91)=0,0,'TO HOP NLAN'!F236*'TS-PILE'!$D$75/SUMSQ('TS-PILE'!$D$72:$D$91))),IF('TS-PILE'!$B$76="",-1E+99,'TO HOP NLAN'!D236/ncoc+IF(SUMSQ('TS-PILE'!$E$72:$E$91)=0,0,'TO HOP NLAN'!E236*'TS-PILE'!$E$76/SUMSQ('TS-PILE'!$E$72:$E$91))+IF(SUMSQ('TS-PILE'!$D$72:$D$91)=0,0,'TO HOP NLAN'!F236*'TS-PILE'!$D$76/SUMSQ('TS-PILE'!$D$72:$D$91))),IF('TS-PILE'!$B$77="",-1E+99,'TO HOP NLAN'!D236/ncoc+IF(SUMSQ('TS-PILE'!$E$72:$E$91)=0,0,'TO HOP NLAN'!E236*'TS-PILE'!$E$77/SUMSQ('TS-PILE'!$E$72:$E$91))+IF(SUMSQ('TS-PILE'!$D$72:$D$91)=0,0,'TO HOP NLAN'!F236*'TS-PILE'!$D$77/SUMSQ('TS-PILE'!$D$72:$D$91))),IF('TS-PILE'!$B$78="",-1E+99,'TO HOP NLAN'!D236/ncoc+IF(SUMSQ('TS-PILE'!$E$72:$E$91)=0,0,'TO HOP NLAN'!E236*'TS-PILE'!$E$78/SUMSQ('TS-PILE'!$E$72:$E$91))+IF(SUMSQ('TS-PILE'!$D$72:$D$91)=0,0,'TO HOP NLAN'!F236*'TS-PILE'!$D$78/SUMSQ('TS-PILE'!$D$72:$D$91))),IF('TS-PILE'!$B$79="",-1E+99,'TO HOP NLAN'!D236/ncoc+IF(SUMSQ('TS-PILE'!$E$72:$E$91)=0,0,'TO HOP NLAN'!E236*'TS-PILE'!$E$79/SUMSQ('TS-PILE'!$E$72:$E$91))+IF(SUMSQ('TS-PILE'!$D$72:$D$91)=0,0,'TO HOP NLAN'!F236*'TS-PILE'!$D$79/SUMSQ('TS-PILE'!$D$72:$D$91))),IF('TS-PILE'!$B$80="",-1E+99,'TO HOP NLAN'!D236/ncoc+IF(SUMSQ('TS-PILE'!$E$72:$E$91)=0,0,'TO HOP NLAN'!E236*'TS-PILE'!$E$80/SUMSQ('TS-PILE'!$E$72:$E$91))+IF(SUMSQ('TS-PILE'!$D$72:$D$91)=0,0,'TO HOP NLAN'!F236*'TS-PILE'!$D$80/SUMSQ('TS-PILE'!$D$72:$D$91))),IF('TS-PILE'!$B$81="",-1E+99,'TO HOP NLAN'!D236/ncoc+IF(SUMSQ('TS-PILE'!$E$72:$E$91)=0,0,'TO HOP NLAN'!E236*'TS-PILE'!$E$81/SUMSQ('TS-PILE'!$E$72:$E$91))+IF(SUMSQ('TS-PILE'!$D$72:$D$91)=0,0,'TO HOP NLAN'!F236*'TS-PILE'!$D$81/SUMSQ('TS-PILE'!$D$72:$D$91))),IF('TS-PILE'!$B$82="",-1E+99,'TO HOP NLAN'!D236/ncoc+IF(SUMSQ('TS-PILE'!$E$72:$E$91)=0,0,'TO HOP NLAN'!E236*'TS-PILE'!$E$82/SUMSQ('TS-PILE'!$E$72:$E$91))+IF(SUMSQ('TS-PILE'!$D$72:$D$91)=0,0,'TO HOP NLAN'!F236*'TS-PILE'!$D$82/SUMSQ('TS-PILE'!$D$72:$D$91))),IF('TS-PILE'!$B$83="",-1E+99,'TO HOP NLAN'!D236/ncoc+IF(SUMSQ('TS-PILE'!$E$72:$E$91)=0,0,'TO HOP NLAN'!E236*'TS-PILE'!$E$83/SUMSQ('TS-PILE'!$E$72:$E$91))+IF(SUMSQ('TS-PILE'!$D$72:$D$91)=0,0,'TO HOP NLAN'!F236*'TS-PILE'!$D$83/SUMSQ('TS-PILE'!$D$72:$D$91))),IF('TS-PILE'!$B$84="",-1E+99,'TO HOP NLAN'!D236/ncoc+IF(SUMSQ('TS-PILE'!$E$72:$E$91)=0,0,'TO HOP NLAN'!E236*'TS-PILE'!$E$84/SUMSQ('TS-PILE'!$E$72:$E$91))+IF(SUMSQ('TS-PILE'!$D$72:$D$91)=0,0,'TO HOP NLAN'!F236*'TS-PILE'!$D$84/SUMSQ('TS-PILE'!$D$72:$D$91))),IF('TS-PILE'!$B$85="",-1E+99,'TO HOP NLAN'!D236/ncoc+IF(SUMSQ('TS-PILE'!$E$72:$E$91)=0,0,'TO HOP NLAN'!E236*'TS-PILE'!$E$85/SUMSQ('TS-PILE'!$E$72:$E$91))+IF(SUMSQ('TS-PILE'!$D$72:$D$91)=0,0,'TO HOP NLAN'!F236*'TS-PILE'!$D$85/SUMSQ('TS-PILE'!$D$72:$D$91))),IF('TS-PILE'!$B$86="",-1E+99,'TO HOP NLAN'!D236/ncoc+IF(SUMSQ('TS-PILE'!$E$72:$E$91)=0,0,'TO HOP NLAN'!E236*'TS-PILE'!$E$86/SUMSQ('TS-PILE'!$E$72:$E$91))+IF(SUMSQ('TS-PILE'!$D$72:$D$91)=0,0,'TO HOP NLAN'!F236*'TS-PILE'!$D$86/SUMSQ('TS-PILE'!$D$72:$D$91))),IF('TS-PILE'!$B$87="",-1E+99,'TO HOP NLAN'!D236/ncoc+IF(SUMSQ('TS-PILE'!$E$72:$E$91)=0,0,'TO HOP NLAN'!E236*'TS-PILE'!$E$87/SUMSQ('TS-PILE'!$E$72:$E$91))+IF(SUMSQ('TS-PILE'!$D$72:$D$91)=0,0,'TO HOP NLAN'!F236*'TS-PILE'!$D$87/SUMSQ('TS-PILE'!$D$72:$D$91))),IF('TS-PILE'!$B$88="",-1E+99,'TO HOP NLAN'!D236/ncoc+IF(SUMSQ('TS-PILE'!$E$72:$E$91)=0,0,'TO HOP NLAN'!E236*'TS-PILE'!$E$88/SUMSQ('TS-PILE'!$E$72:$E$91))+IF(SUMSQ('TS-PILE'!$D$72:$D$91)=0,0,'TO HOP NLAN'!F236*'TS-PILE'!$D$88/SUMSQ('TS-PILE'!$D$72:$D$91))),IF('TS-PILE'!$B$89="",-1E+99,'TO HOP NLAN'!D236/ncoc+IF(SUMSQ('TS-PILE'!$E$72:$E$91)=0,0,'TO HOP NLAN'!E236*'TS-PILE'!$E$89/SUMSQ('TS-PILE'!$E$72:$E$91))+IF(SUMSQ('TS-PILE'!$D$72:$D$91)=0,0,'TO HOP NLAN'!F236*'TS-PILE'!$D$89/SUMSQ('TS-PILE'!$D$72:$D$91))),IF('TS-PILE'!$B$90="",-1E+99,'TO HOP NLAN'!D236/ncoc+IF(SUMSQ('TS-PILE'!$E$72:$E$91)=0,0,'TO HOP NLAN'!E236*'TS-PILE'!$E$90/SUMSQ('TS-PILE'!$E$72:$E$91))+IF(SUMSQ('TS-PILE'!$D$72:$D$91)=0,0,'TO HOP NLAN'!F236*'TS-PILE'!$D$90/SUMSQ('TS-PILE'!$D$72:$D$91))),IF('TS-PILE'!$B$91="",-1E+99,'TO HOP NLAN'!D236/ncoc+IF(SUMSQ('TS-PILE'!$E$72:$E$91)=0,0,'TO HOP NLAN'!E236*'TS-PILE'!$E$91/SUMSQ('TS-PILE'!$E$72:$E$91))+IF(SUMSQ('TS-PILE'!$D$72:$D$91)=0,0,'TO HOP NLAN'!F236*'TS-PILE'!$D$91/SUMSQ('TS-PILE'!$D$72:$D$91)))))</f>
        <v>0</v>
      </c>
      <c r="D236" s="58">
        <f>IF(A236="",0,MIN(IF('TS-PILE'!$B$72="",1E+99,'TO HOP NLAN'!D236/ncoc+IF(SUMSQ('TS-PILE'!$E$72:$E$91)=0,0,'TO HOP NLAN'!E236*'TS-PILE'!$E$72/SUMSQ('TS-PILE'!$E$72:$E$91))+IF(SUMSQ('TS-PILE'!$D$72:$D$91)=0,0,'TO HOP NLAN'!F236*'TS-PILE'!$D$72/SUMSQ('TS-PILE'!$D$72:$D$91))),IF('TS-PILE'!$B$73="",1E+99,'TO HOP NLAN'!D236/ncoc+IF(SUMSQ('TS-PILE'!$E$72:$E$91)=0,0,'TO HOP NLAN'!E236*'TS-PILE'!$E$73/SUMSQ('TS-PILE'!$E$72:$E$91))+IF(SUMSQ('TS-PILE'!$D$72:$D$91)=0,0,'TO HOP NLAN'!F236*'TS-PILE'!$D$73/SUMSQ('TS-PILE'!$D$72:$D$91))),IF('TS-PILE'!$B$74="",1E+99,'TO HOP NLAN'!D236/ncoc+IF(SUMSQ('TS-PILE'!$E$72:$E$91)=0,0,'TO HOP NLAN'!E236*'TS-PILE'!$E$74/SUMSQ('TS-PILE'!$E$72:$E$91))+IF(SUMSQ('TS-PILE'!$D$72:$D$91)=0,0,'TO HOP NLAN'!F236*'TS-PILE'!$D$74/SUMSQ('TS-PILE'!$D$72:$D$91))),IF('TS-PILE'!$B$75="",1E+99,'TO HOP NLAN'!D236/ncoc+IF(SUMSQ('TS-PILE'!$E$72:$E$91)=0,0,'TO HOP NLAN'!E236*'TS-PILE'!$E$75/SUMSQ('TS-PILE'!$E$72:$E$91))+IF(SUMSQ('TS-PILE'!$D$72:$D$91)=0,0,'TO HOP NLAN'!F236*'TS-PILE'!$D$75/SUMSQ('TS-PILE'!$D$72:$D$91))),IF('TS-PILE'!$B$76="",1E+99,'TO HOP NLAN'!D236/ncoc+IF(SUMSQ('TS-PILE'!$E$72:$E$91)=0,0,'TO HOP NLAN'!E236*'TS-PILE'!$E$76/SUMSQ('TS-PILE'!$E$72:$E$91))+IF(SUMSQ('TS-PILE'!$D$72:$D$91)=0,0,'TO HOP NLAN'!F236*'TS-PILE'!$D$76/SUMSQ('TS-PILE'!$D$72:$D$91))),IF('TS-PILE'!$B$77="",1E+99,'TO HOP NLAN'!D236/ncoc+IF(SUMSQ('TS-PILE'!$E$72:$E$91)=0,0,'TO HOP NLAN'!E236*'TS-PILE'!$E$77/SUMSQ('TS-PILE'!$E$72:$E$91))+IF(SUMSQ('TS-PILE'!$D$72:$D$91)=0,0,'TO HOP NLAN'!F236*'TS-PILE'!$D$77/SUMSQ('TS-PILE'!$D$72:$D$91))),IF('TS-PILE'!$B$78="",1E+99,'TO HOP NLAN'!D236/ncoc+IF(SUMSQ('TS-PILE'!$E$72:$E$91)=0,0,'TO HOP NLAN'!E236*'TS-PILE'!$E$78/SUMSQ('TS-PILE'!$E$72:$E$91))+IF(SUMSQ('TS-PILE'!$D$72:$D$91)=0,0,'TO HOP NLAN'!F236*'TS-PILE'!$D$78/SUMSQ('TS-PILE'!$D$72:$D$91))),IF('TS-PILE'!$B$79="",1E+99,'TO HOP NLAN'!D236/ncoc+IF(SUMSQ('TS-PILE'!$E$72:$E$91)=0,0,'TO HOP NLAN'!E236*'TS-PILE'!$E$79/SUMSQ('TS-PILE'!$E$72:$E$91))+IF(SUMSQ('TS-PILE'!$D$72:$D$91)=0,0,'TO HOP NLAN'!F236*'TS-PILE'!$D$79/SUMSQ('TS-PILE'!$D$72:$D$91))),IF('TS-PILE'!$B$80="",1E+99,'TO HOP NLAN'!D236/ncoc+IF(SUMSQ('TS-PILE'!$E$72:$E$91)=0,0,'TO HOP NLAN'!E236*'TS-PILE'!$E$80/SUMSQ('TS-PILE'!$E$72:$E$91))+IF(SUMSQ('TS-PILE'!$D$72:$D$91)=0,0,'TO HOP NLAN'!F236*'TS-PILE'!$D$80/SUMSQ('TS-PILE'!$D$72:$D$91))),IF('TS-PILE'!$B$81="",1E+99,'TO HOP NLAN'!D236/ncoc+IF(SUMSQ('TS-PILE'!$E$72:$E$91)=0,0,'TO HOP NLAN'!E236*'TS-PILE'!$E$81/SUMSQ('TS-PILE'!$E$72:$E$91))+IF(SUMSQ('TS-PILE'!$D$72:$D$91)=0,0,'TO HOP NLAN'!F236*'TS-PILE'!$D$81/SUMSQ('TS-PILE'!$D$72:$D$91))),IF('TS-PILE'!$B$82="",1E+99,'TO HOP NLAN'!D236/ncoc+IF(SUMSQ('TS-PILE'!$E$72:$E$91)=0,0,'TO HOP NLAN'!E236*'TS-PILE'!$E$82/SUMSQ('TS-PILE'!$E$72:$E$91))+IF(SUMSQ('TS-PILE'!$D$72:$D$91)=0,0,'TO HOP NLAN'!F236*'TS-PILE'!$D$82/SUMSQ('TS-PILE'!$D$72:$D$91))),IF('TS-PILE'!$B$83="",1E+99,'TO HOP NLAN'!D236/ncoc+IF(SUMSQ('TS-PILE'!$E$72:$E$91)=0,0,'TO HOP NLAN'!E236*'TS-PILE'!$E$83/SUMSQ('TS-PILE'!$E$72:$E$91))+IF(SUMSQ('TS-PILE'!$D$72:$D$91)=0,0,'TO HOP NLAN'!F236*'TS-PILE'!$D$83/SUMSQ('TS-PILE'!$D$72:$D$91))),IF('TS-PILE'!$B$84="",1E+99,'TO HOP NLAN'!D236/ncoc+IF(SUMSQ('TS-PILE'!$E$72:$E$91)=0,0,'TO HOP NLAN'!E236*'TS-PILE'!$E$84/SUMSQ('TS-PILE'!$E$72:$E$91))+IF(SUMSQ('TS-PILE'!$D$72:$D$91)=0,0,'TO HOP NLAN'!F236*'TS-PILE'!$D$84/SUMSQ('TS-PILE'!$D$72:$D$91))),IF('TS-PILE'!$B$85="",1E+99,'TO HOP NLAN'!D236/ncoc+IF(SUMSQ('TS-PILE'!$E$72:$E$91)=0,0,'TO HOP NLAN'!E236*'TS-PILE'!$E$85/SUMSQ('TS-PILE'!$E$72:$E$91))+IF(SUMSQ('TS-PILE'!$D$72:$D$91)=0,0,'TO HOP NLAN'!F236*'TS-PILE'!$D$85/SUMSQ('TS-PILE'!$D$72:$D$91))),IF('TS-PILE'!$B$86="",1E+99,'TO HOP NLAN'!D236/ncoc+IF(SUMSQ('TS-PILE'!$E$72:$E$91)=0,0,'TO HOP NLAN'!E236*'TS-PILE'!$E$86/SUMSQ('TS-PILE'!$E$72:$E$91))+IF(SUMSQ('TS-PILE'!$D$72:$D$91)=0,0,'TO HOP NLAN'!F236*'TS-PILE'!$D$86/SUMSQ('TS-PILE'!$D$72:$D$91))),IF('TS-PILE'!$B$87="",1E+99,'TO HOP NLAN'!D236/ncoc+IF(SUMSQ('TS-PILE'!$E$72:$E$91)=0,0,'TO HOP NLAN'!E236*'TS-PILE'!$E$87/SUMSQ('TS-PILE'!$E$72:$E$91))+IF(SUMSQ('TS-PILE'!$D$72:$D$91)=0,0,'TO HOP NLAN'!F236*'TS-PILE'!$D$87/SUMSQ('TS-PILE'!$D$72:$D$91))),IF('TS-PILE'!$B$88="",1E+99,'TO HOP NLAN'!D236/ncoc+IF(SUMSQ('TS-PILE'!$E$72:$E$91)=0,0,'TO HOP NLAN'!E236*'TS-PILE'!$E$88/SUMSQ('TS-PILE'!$E$72:$E$91))+IF(SUMSQ('TS-PILE'!$D$72:$D$91)=0,0,'TO HOP NLAN'!F236*'TS-PILE'!$D$88/SUMSQ('TS-PILE'!$D$72:$D$91))),IF('TS-PILE'!$B$89="",1E+99,'TO HOP NLAN'!D236/ncoc+IF(SUMSQ('TS-PILE'!$E$72:$E$91)=0,0,'TO HOP NLAN'!E236*'TS-PILE'!$E$89/SUMSQ('TS-PILE'!$E$72:$E$91))+IF(SUMSQ('TS-PILE'!$D$72:$D$91)=0,0,'TO HOP NLAN'!F236*'TS-PILE'!$D$89/SUMSQ('TS-PILE'!$D$72:$D$91))),IF('TS-PILE'!$B$90="",1E+99,'TO HOP NLAN'!D236/ncoc+IF(SUMSQ('TS-PILE'!$E$72:$E$91)=0,0,'TO HOP NLAN'!E236*'TS-PILE'!$E$90/SUMSQ('TS-PILE'!$E$72:$E$91))+IF(SUMSQ('TS-PILE'!$D$72:$D$91)=0,0,'TO HOP NLAN'!F236*'TS-PILE'!$D$90/SUMSQ('TS-PILE'!$D$72:$D$91))),IF('TS-PILE'!$B$91="",1E+99,'TO HOP NLAN'!D236/ncoc+IF(SUMSQ('TS-PILE'!$E$72:$E$91)=0,0,'TO HOP NLAN'!E236*'TS-PILE'!$E$91/SUMSQ('TS-PILE'!$E$72:$E$91))+IF(SUMSQ('TS-PILE'!$D$72:$D$91)=0,0,'TO HOP NLAN'!F236*'TS-PILE'!$D$91/SUMSQ('TS-PILE'!$D$72:$D$91)))))</f>
        <v>0</v>
      </c>
      <c r="E236" s="58">
        <f t="shared" si="12"/>
        <v>-9.9999999999999997E+98</v>
      </c>
      <c r="F236" s="58">
        <f t="shared" si="13"/>
        <v>9.9999999999999997E+98</v>
      </c>
      <c r="G236" s="58">
        <f t="shared" si="14"/>
        <v>-9.9999999999999997E+98</v>
      </c>
      <c r="H236" s="58">
        <f t="shared" si="15"/>
        <v>9.9999999999999997E+98</v>
      </c>
    </row>
    <row r="237" spans="1:8" x14ac:dyDescent="0.3">
      <c r="A237" s="42" t="str">
        <f>'TO HOP NLAN'!A237</f>
        <v/>
      </c>
      <c r="B237" s="42" t="str">
        <f>'TO HOP NLAN'!L237</f>
        <v>STRENGTH</v>
      </c>
      <c r="C237" s="58">
        <f>IF(A237="",0,MAX(IF('TS-PILE'!$B$72="",-1E+99,'TO HOP NLAN'!D237/ncoc+IF(SUMSQ('TS-PILE'!$E$72:$E$91)=0,0,'TO HOP NLAN'!E237*'TS-PILE'!$E$72/SUMSQ('TS-PILE'!$E$72:$E$91))+IF(SUMSQ('TS-PILE'!$D$72:$D$91)=0,0,'TO HOP NLAN'!F237*'TS-PILE'!$D$72/SUMSQ('TS-PILE'!$D$72:$D$91))),IF('TS-PILE'!$B$73="",-1E+99,'TO HOP NLAN'!D237/ncoc+IF(SUMSQ('TS-PILE'!$E$72:$E$91)=0,0,'TO HOP NLAN'!E237*'TS-PILE'!$E$73/SUMSQ('TS-PILE'!$E$72:$E$91))+IF(SUMSQ('TS-PILE'!$D$72:$D$91)=0,0,'TO HOP NLAN'!F237*'TS-PILE'!$D$73/SUMSQ('TS-PILE'!$D$72:$D$91))),IF('TS-PILE'!$B$74="",-1E+99,'TO HOP NLAN'!D237/ncoc+IF(SUMSQ('TS-PILE'!$E$72:$E$91)=0,0,'TO HOP NLAN'!E237*'TS-PILE'!$E$74/SUMSQ('TS-PILE'!$E$72:$E$91))+IF(SUMSQ('TS-PILE'!$D$72:$D$91)=0,0,'TO HOP NLAN'!F237*'TS-PILE'!$D$74/SUMSQ('TS-PILE'!$D$72:$D$91))),IF('TS-PILE'!$B$75="",-1E+99,'TO HOP NLAN'!D237/ncoc+IF(SUMSQ('TS-PILE'!$E$72:$E$91)=0,0,'TO HOP NLAN'!E237*'TS-PILE'!$E$75/SUMSQ('TS-PILE'!$E$72:$E$91))+IF(SUMSQ('TS-PILE'!$D$72:$D$91)=0,0,'TO HOP NLAN'!F237*'TS-PILE'!$D$75/SUMSQ('TS-PILE'!$D$72:$D$91))),IF('TS-PILE'!$B$76="",-1E+99,'TO HOP NLAN'!D237/ncoc+IF(SUMSQ('TS-PILE'!$E$72:$E$91)=0,0,'TO HOP NLAN'!E237*'TS-PILE'!$E$76/SUMSQ('TS-PILE'!$E$72:$E$91))+IF(SUMSQ('TS-PILE'!$D$72:$D$91)=0,0,'TO HOP NLAN'!F237*'TS-PILE'!$D$76/SUMSQ('TS-PILE'!$D$72:$D$91))),IF('TS-PILE'!$B$77="",-1E+99,'TO HOP NLAN'!D237/ncoc+IF(SUMSQ('TS-PILE'!$E$72:$E$91)=0,0,'TO HOP NLAN'!E237*'TS-PILE'!$E$77/SUMSQ('TS-PILE'!$E$72:$E$91))+IF(SUMSQ('TS-PILE'!$D$72:$D$91)=0,0,'TO HOP NLAN'!F237*'TS-PILE'!$D$77/SUMSQ('TS-PILE'!$D$72:$D$91))),IF('TS-PILE'!$B$78="",-1E+99,'TO HOP NLAN'!D237/ncoc+IF(SUMSQ('TS-PILE'!$E$72:$E$91)=0,0,'TO HOP NLAN'!E237*'TS-PILE'!$E$78/SUMSQ('TS-PILE'!$E$72:$E$91))+IF(SUMSQ('TS-PILE'!$D$72:$D$91)=0,0,'TO HOP NLAN'!F237*'TS-PILE'!$D$78/SUMSQ('TS-PILE'!$D$72:$D$91))),IF('TS-PILE'!$B$79="",-1E+99,'TO HOP NLAN'!D237/ncoc+IF(SUMSQ('TS-PILE'!$E$72:$E$91)=0,0,'TO HOP NLAN'!E237*'TS-PILE'!$E$79/SUMSQ('TS-PILE'!$E$72:$E$91))+IF(SUMSQ('TS-PILE'!$D$72:$D$91)=0,0,'TO HOP NLAN'!F237*'TS-PILE'!$D$79/SUMSQ('TS-PILE'!$D$72:$D$91))),IF('TS-PILE'!$B$80="",-1E+99,'TO HOP NLAN'!D237/ncoc+IF(SUMSQ('TS-PILE'!$E$72:$E$91)=0,0,'TO HOP NLAN'!E237*'TS-PILE'!$E$80/SUMSQ('TS-PILE'!$E$72:$E$91))+IF(SUMSQ('TS-PILE'!$D$72:$D$91)=0,0,'TO HOP NLAN'!F237*'TS-PILE'!$D$80/SUMSQ('TS-PILE'!$D$72:$D$91))),IF('TS-PILE'!$B$81="",-1E+99,'TO HOP NLAN'!D237/ncoc+IF(SUMSQ('TS-PILE'!$E$72:$E$91)=0,0,'TO HOP NLAN'!E237*'TS-PILE'!$E$81/SUMSQ('TS-PILE'!$E$72:$E$91))+IF(SUMSQ('TS-PILE'!$D$72:$D$91)=0,0,'TO HOP NLAN'!F237*'TS-PILE'!$D$81/SUMSQ('TS-PILE'!$D$72:$D$91))),IF('TS-PILE'!$B$82="",-1E+99,'TO HOP NLAN'!D237/ncoc+IF(SUMSQ('TS-PILE'!$E$72:$E$91)=0,0,'TO HOP NLAN'!E237*'TS-PILE'!$E$82/SUMSQ('TS-PILE'!$E$72:$E$91))+IF(SUMSQ('TS-PILE'!$D$72:$D$91)=0,0,'TO HOP NLAN'!F237*'TS-PILE'!$D$82/SUMSQ('TS-PILE'!$D$72:$D$91))),IF('TS-PILE'!$B$83="",-1E+99,'TO HOP NLAN'!D237/ncoc+IF(SUMSQ('TS-PILE'!$E$72:$E$91)=0,0,'TO HOP NLAN'!E237*'TS-PILE'!$E$83/SUMSQ('TS-PILE'!$E$72:$E$91))+IF(SUMSQ('TS-PILE'!$D$72:$D$91)=0,0,'TO HOP NLAN'!F237*'TS-PILE'!$D$83/SUMSQ('TS-PILE'!$D$72:$D$91))),IF('TS-PILE'!$B$84="",-1E+99,'TO HOP NLAN'!D237/ncoc+IF(SUMSQ('TS-PILE'!$E$72:$E$91)=0,0,'TO HOP NLAN'!E237*'TS-PILE'!$E$84/SUMSQ('TS-PILE'!$E$72:$E$91))+IF(SUMSQ('TS-PILE'!$D$72:$D$91)=0,0,'TO HOP NLAN'!F237*'TS-PILE'!$D$84/SUMSQ('TS-PILE'!$D$72:$D$91))),IF('TS-PILE'!$B$85="",-1E+99,'TO HOP NLAN'!D237/ncoc+IF(SUMSQ('TS-PILE'!$E$72:$E$91)=0,0,'TO HOP NLAN'!E237*'TS-PILE'!$E$85/SUMSQ('TS-PILE'!$E$72:$E$91))+IF(SUMSQ('TS-PILE'!$D$72:$D$91)=0,0,'TO HOP NLAN'!F237*'TS-PILE'!$D$85/SUMSQ('TS-PILE'!$D$72:$D$91))),IF('TS-PILE'!$B$86="",-1E+99,'TO HOP NLAN'!D237/ncoc+IF(SUMSQ('TS-PILE'!$E$72:$E$91)=0,0,'TO HOP NLAN'!E237*'TS-PILE'!$E$86/SUMSQ('TS-PILE'!$E$72:$E$91))+IF(SUMSQ('TS-PILE'!$D$72:$D$91)=0,0,'TO HOP NLAN'!F237*'TS-PILE'!$D$86/SUMSQ('TS-PILE'!$D$72:$D$91))),IF('TS-PILE'!$B$87="",-1E+99,'TO HOP NLAN'!D237/ncoc+IF(SUMSQ('TS-PILE'!$E$72:$E$91)=0,0,'TO HOP NLAN'!E237*'TS-PILE'!$E$87/SUMSQ('TS-PILE'!$E$72:$E$91))+IF(SUMSQ('TS-PILE'!$D$72:$D$91)=0,0,'TO HOP NLAN'!F237*'TS-PILE'!$D$87/SUMSQ('TS-PILE'!$D$72:$D$91))),IF('TS-PILE'!$B$88="",-1E+99,'TO HOP NLAN'!D237/ncoc+IF(SUMSQ('TS-PILE'!$E$72:$E$91)=0,0,'TO HOP NLAN'!E237*'TS-PILE'!$E$88/SUMSQ('TS-PILE'!$E$72:$E$91))+IF(SUMSQ('TS-PILE'!$D$72:$D$91)=0,0,'TO HOP NLAN'!F237*'TS-PILE'!$D$88/SUMSQ('TS-PILE'!$D$72:$D$91))),IF('TS-PILE'!$B$89="",-1E+99,'TO HOP NLAN'!D237/ncoc+IF(SUMSQ('TS-PILE'!$E$72:$E$91)=0,0,'TO HOP NLAN'!E237*'TS-PILE'!$E$89/SUMSQ('TS-PILE'!$E$72:$E$91))+IF(SUMSQ('TS-PILE'!$D$72:$D$91)=0,0,'TO HOP NLAN'!F237*'TS-PILE'!$D$89/SUMSQ('TS-PILE'!$D$72:$D$91))),IF('TS-PILE'!$B$90="",-1E+99,'TO HOP NLAN'!D237/ncoc+IF(SUMSQ('TS-PILE'!$E$72:$E$91)=0,0,'TO HOP NLAN'!E237*'TS-PILE'!$E$90/SUMSQ('TS-PILE'!$E$72:$E$91))+IF(SUMSQ('TS-PILE'!$D$72:$D$91)=0,0,'TO HOP NLAN'!F237*'TS-PILE'!$D$90/SUMSQ('TS-PILE'!$D$72:$D$91))),IF('TS-PILE'!$B$91="",-1E+99,'TO HOP NLAN'!D237/ncoc+IF(SUMSQ('TS-PILE'!$E$72:$E$91)=0,0,'TO HOP NLAN'!E237*'TS-PILE'!$E$91/SUMSQ('TS-PILE'!$E$72:$E$91))+IF(SUMSQ('TS-PILE'!$D$72:$D$91)=0,0,'TO HOP NLAN'!F237*'TS-PILE'!$D$91/SUMSQ('TS-PILE'!$D$72:$D$91)))))</f>
        <v>0</v>
      </c>
      <c r="D237" s="58">
        <f>IF(A237="",0,MIN(IF('TS-PILE'!$B$72="",1E+99,'TO HOP NLAN'!D237/ncoc+IF(SUMSQ('TS-PILE'!$E$72:$E$91)=0,0,'TO HOP NLAN'!E237*'TS-PILE'!$E$72/SUMSQ('TS-PILE'!$E$72:$E$91))+IF(SUMSQ('TS-PILE'!$D$72:$D$91)=0,0,'TO HOP NLAN'!F237*'TS-PILE'!$D$72/SUMSQ('TS-PILE'!$D$72:$D$91))),IF('TS-PILE'!$B$73="",1E+99,'TO HOP NLAN'!D237/ncoc+IF(SUMSQ('TS-PILE'!$E$72:$E$91)=0,0,'TO HOP NLAN'!E237*'TS-PILE'!$E$73/SUMSQ('TS-PILE'!$E$72:$E$91))+IF(SUMSQ('TS-PILE'!$D$72:$D$91)=0,0,'TO HOP NLAN'!F237*'TS-PILE'!$D$73/SUMSQ('TS-PILE'!$D$72:$D$91))),IF('TS-PILE'!$B$74="",1E+99,'TO HOP NLAN'!D237/ncoc+IF(SUMSQ('TS-PILE'!$E$72:$E$91)=0,0,'TO HOP NLAN'!E237*'TS-PILE'!$E$74/SUMSQ('TS-PILE'!$E$72:$E$91))+IF(SUMSQ('TS-PILE'!$D$72:$D$91)=0,0,'TO HOP NLAN'!F237*'TS-PILE'!$D$74/SUMSQ('TS-PILE'!$D$72:$D$91))),IF('TS-PILE'!$B$75="",1E+99,'TO HOP NLAN'!D237/ncoc+IF(SUMSQ('TS-PILE'!$E$72:$E$91)=0,0,'TO HOP NLAN'!E237*'TS-PILE'!$E$75/SUMSQ('TS-PILE'!$E$72:$E$91))+IF(SUMSQ('TS-PILE'!$D$72:$D$91)=0,0,'TO HOP NLAN'!F237*'TS-PILE'!$D$75/SUMSQ('TS-PILE'!$D$72:$D$91))),IF('TS-PILE'!$B$76="",1E+99,'TO HOP NLAN'!D237/ncoc+IF(SUMSQ('TS-PILE'!$E$72:$E$91)=0,0,'TO HOP NLAN'!E237*'TS-PILE'!$E$76/SUMSQ('TS-PILE'!$E$72:$E$91))+IF(SUMSQ('TS-PILE'!$D$72:$D$91)=0,0,'TO HOP NLAN'!F237*'TS-PILE'!$D$76/SUMSQ('TS-PILE'!$D$72:$D$91))),IF('TS-PILE'!$B$77="",1E+99,'TO HOP NLAN'!D237/ncoc+IF(SUMSQ('TS-PILE'!$E$72:$E$91)=0,0,'TO HOP NLAN'!E237*'TS-PILE'!$E$77/SUMSQ('TS-PILE'!$E$72:$E$91))+IF(SUMSQ('TS-PILE'!$D$72:$D$91)=0,0,'TO HOP NLAN'!F237*'TS-PILE'!$D$77/SUMSQ('TS-PILE'!$D$72:$D$91))),IF('TS-PILE'!$B$78="",1E+99,'TO HOP NLAN'!D237/ncoc+IF(SUMSQ('TS-PILE'!$E$72:$E$91)=0,0,'TO HOP NLAN'!E237*'TS-PILE'!$E$78/SUMSQ('TS-PILE'!$E$72:$E$91))+IF(SUMSQ('TS-PILE'!$D$72:$D$91)=0,0,'TO HOP NLAN'!F237*'TS-PILE'!$D$78/SUMSQ('TS-PILE'!$D$72:$D$91))),IF('TS-PILE'!$B$79="",1E+99,'TO HOP NLAN'!D237/ncoc+IF(SUMSQ('TS-PILE'!$E$72:$E$91)=0,0,'TO HOP NLAN'!E237*'TS-PILE'!$E$79/SUMSQ('TS-PILE'!$E$72:$E$91))+IF(SUMSQ('TS-PILE'!$D$72:$D$91)=0,0,'TO HOP NLAN'!F237*'TS-PILE'!$D$79/SUMSQ('TS-PILE'!$D$72:$D$91))),IF('TS-PILE'!$B$80="",1E+99,'TO HOP NLAN'!D237/ncoc+IF(SUMSQ('TS-PILE'!$E$72:$E$91)=0,0,'TO HOP NLAN'!E237*'TS-PILE'!$E$80/SUMSQ('TS-PILE'!$E$72:$E$91))+IF(SUMSQ('TS-PILE'!$D$72:$D$91)=0,0,'TO HOP NLAN'!F237*'TS-PILE'!$D$80/SUMSQ('TS-PILE'!$D$72:$D$91))),IF('TS-PILE'!$B$81="",1E+99,'TO HOP NLAN'!D237/ncoc+IF(SUMSQ('TS-PILE'!$E$72:$E$91)=0,0,'TO HOP NLAN'!E237*'TS-PILE'!$E$81/SUMSQ('TS-PILE'!$E$72:$E$91))+IF(SUMSQ('TS-PILE'!$D$72:$D$91)=0,0,'TO HOP NLAN'!F237*'TS-PILE'!$D$81/SUMSQ('TS-PILE'!$D$72:$D$91))),IF('TS-PILE'!$B$82="",1E+99,'TO HOP NLAN'!D237/ncoc+IF(SUMSQ('TS-PILE'!$E$72:$E$91)=0,0,'TO HOP NLAN'!E237*'TS-PILE'!$E$82/SUMSQ('TS-PILE'!$E$72:$E$91))+IF(SUMSQ('TS-PILE'!$D$72:$D$91)=0,0,'TO HOP NLAN'!F237*'TS-PILE'!$D$82/SUMSQ('TS-PILE'!$D$72:$D$91))),IF('TS-PILE'!$B$83="",1E+99,'TO HOP NLAN'!D237/ncoc+IF(SUMSQ('TS-PILE'!$E$72:$E$91)=0,0,'TO HOP NLAN'!E237*'TS-PILE'!$E$83/SUMSQ('TS-PILE'!$E$72:$E$91))+IF(SUMSQ('TS-PILE'!$D$72:$D$91)=0,0,'TO HOP NLAN'!F237*'TS-PILE'!$D$83/SUMSQ('TS-PILE'!$D$72:$D$91))),IF('TS-PILE'!$B$84="",1E+99,'TO HOP NLAN'!D237/ncoc+IF(SUMSQ('TS-PILE'!$E$72:$E$91)=0,0,'TO HOP NLAN'!E237*'TS-PILE'!$E$84/SUMSQ('TS-PILE'!$E$72:$E$91))+IF(SUMSQ('TS-PILE'!$D$72:$D$91)=0,0,'TO HOP NLAN'!F237*'TS-PILE'!$D$84/SUMSQ('TS-PILE'!$D$72:$D$91))),IF('TS-PILE'!$B$85="",1E+99,'TO HOP NLAN'!D237/ncoc+IF(SUMSQ('TS-PILE'!$E$72:$E$91)=0,0,'TO HOP NLAN'!E237*'TS-PILE'!$E$85/SUMSQ('TS-PILE'!$E$72:$E$91))+IF(SUMSQ('TS-PILE'!$D$72:$D$91)=0,0,'TO HOP NLAN'!F237*'TS-PILE'!$D$85/SUMSQ('TS-PILE'!$D$72:$D$91))),IF('TS-PILE'!$B$86="",1E+99,'TO HOP NLAN'!D237/ncoc+IF(SUMSQ('TS-PILE'!$E$72:$E$91)=0,0,'TO HOP NLAN'!E237*'TS-PILE'!$E$86/SUMSQ('TS-PILE'!$E$72:$E$91))+IF(SUMSQ('TS-PILE'!$D$72:$D$91)=0,0,'TO HOP NLAN'!F237*'TS-PILE'!$D$86/SUMSQ('TS-PILE'!$D$72:$D$91))),IF('TS-PILE'!$B$87="",1E+99,'TO HOP NLAN'!D237/ncoc+IF(SUMSQ('TS-PILE'!$E$72:$E$91)=0,0,'TO HOP NLAN'!E237*'TS-PILE'!$E$87/SUMSQ('TS-PILE'!$E$72:$E$91))+IF(SUMSQ('TS-PILE'!$D$72:$D$91)=0,0,'TO HOP NLAN'!F237*'TS-PILE'!$D$87/SUMSQ('TS-PILE'!$D$72:$D$91))),IF('TS-PILE'!$B$88="",1E+99,'TO HOP NLAN'!D237/ncoc+IF(SUMSQ('TS-PILE'!$E$72:$E$91)=0,0,'TO HOP NLAN'!E237*'TS-PILE'!$E$88/SUMSQ('TS-PILE'!$E$72:$E$91))+IF(SUMSQ('TS-PILE'!$D$72:$D$91)=0,0,'TO HOP NLAN'!F237*'TS-PILE'!$D$88/SUMSQ('TS-PILE'!$D$72:$D$91))),IF('TS-PILE'!$B$89="",1E+99,'TO HOP NLAN'!D237/ncoc+IF(SUMSQ('TS-PILE'!$E$72:$E$91)=0,0,'TO HOP NLAN'!E237*'TS-PILE'!$E$89/SUMSQ('TS-PILE'!$E$72:$E$91))+IF(SUMSQ('TS-PILE'!$D$72:$D$91)=0,0,'TO HOP NLAN'!F237*'TS-PILE'!$D$89/SUMSQ('TS-PILE'!$D$72:$D$91))),IF('TS-PILE'!$B$90="",1E+99,'TO HOP NLAN'!D237/ncoc+IF(SUMSQ('TS-PILE'!$E$72:$E$91)=0,0,'TO HOP NLAN'!E237*'TS-PILE'!$E$90/SUMSQ('TS-PILE'!$E$72:$E$91))+IF(SUMSQ('TS-PILE'!$D$72:$D$91)=0,0,'TO HOP NLAN'!F237*'TS-PILE'!$D$90/SUMSQ('TS-PILE'!$D$72:$D$91))),IF('TS-PILE'!$B$91="",1E+99,'TO HOP NLAN'!D237/ncoc+IF(SUMSQ('TS-PILE'!$E$72:$E$91)=0,0,'TO HOP NLAN'!E237*'TS-PILE'!$E$91/SUMSQ('TS-PILE'!$E$72:$E$91))+IF(SUMSQ('TS-PILE'!$D$72:$D$91)=0,0,'TO HOP NLAN'!F237*'TS-PILE'!$D$91/SUMSQ('TS-PILE'!$D$72:$D$91)))))</f>
        <v>0</v>
      </c>
      <c r="E237" s="58">
        <f t="shared" si="12"/>
        <v>-9.9999999999999997E+98</v>
      </c>
      <c r="F237" s="58">
        <f t="shared" si="13"/>
        <v>9.9999999999999997E+98</v>
      </c>
      <c r="G237" s="58">
        <f t="shared" si="14"/>
        <v>-9.9999999999999997E+98</v>
      </c>
      <c r="H237" s="58">
        <f t="shared" si="15"/>
        <v>9.9999999999999997E+98</v>
      </c>
    </row>
    <row r="238" spans="1:8" x14ac:dyDescent="0.3">
      <c r="A238" s="42" t="str">
        <f>'TO HOP NLAN'!A238</f>
        <v/>
      </c>
      <c r="B238" s="42" t="str">
        <f>'TO HOP NLAN'!L238</f>
        <v>STRENGTH</v>
      </c>
      <c r="C238" s="58">
        <f>IF(A238="",0,MAX(IF('TS-PILE'!$B$72="",-1E+99,'TO HOP NLAN'!D238/ncoc+IF(SUMSQ('TS-PILE'!$E$72:$E$91)=0,0,'TO HOP NLAN'!E238*'TS-PILE'!$E$72/SUMSQ('TS-PILE'!$E$72:$E$91))+IF(SUMSQ('TS-PILE'!$D$72:$D$91)=0,0,'TO HOP NLAN'!F238*'TS-PILE'!$D$72/SUMSQ('TS-PILE'!$D$72:$D$91))),IF('TS-PILE'!$B$73="",-1E+99,'TO HOP NLAN'!D238/ncoc+IF(SUMSQ('TS-PILE'!$E$72:$E$91)=0,0,'TO HOP NLAN'!E238*'TS-PILE'!$E$73/SUMSQ('TS-PILE'!$E$72:$E$91))+IF(SUMSQ('TS-PILE'!$D$72:$D$91)=0,0,'TO HOP NLAN'!F238*'TS-PILE'!$D$73/SUMSQ('TS-PILE'!$D$72:$D$91))),IF('TS-PILE'!$B$74="",-1E+99,'TO HOP NLAN'!D238/ncoc+IF(SUMSQ('TS-PILE'!$E$72:$E$91)=0,0,'TO HOP NLAN'!E238*'TS-PILE'!$E$74/SUMSQ('TS-PILE'!$E$72:$E$91))+IF(SUMSQ('TS-PILE'!$D$72:$D$91)=0,0,'TO HOP NLAN'!F238*'TS-PILE'!$D$74/SUMSQ('TS-PILE'!$D$72:$D$91))),IF('TS-PILE'!$B$75="",-1E+99,'TO HOP NLAN'!D238/ncoc+IF(SUMSQ('TS-PILE'!$E$72:$E$91)=0,0,'TO HOP NLAN'!E238*'TS-PILE'!$E$75/SUMSQ('TS-PILE'!$E$72:$E$91))+IF(SUMSQ('TS-PILE'!$D$72:$D$91)=0,0,'TO HOP NLAN'!F238*'TS-PILE'!$D$75/SUMSQ('TS-PILE'!$D$72:$D$91))),IF('TS-PILE'!$B$76="",-1E+99,'TO HOP NLAN'!D238/ncoc+IF(SUMSQ('TS-PILE'!$E$72:$E$91)=0,0,'TO HOP NLAN'!E238*'TS-PILE'!$E$76/SUMSQ('TS-PILE'!$E$72:$E$91))+IF(SUMSQ('TS-PILE'!$D$72:$D$91)=0,0,'TO HOP NLAN'!F238*'TS-PILE'!$D$76/SUMSQ('TS-PILE'!$D$72:$D$91))),IF('TS-PILE'!$B$77="",-1E+99,'TO HOP NLAN'!D238/ncoc+IF(SUMSQ('TS-PILE'!$E$72:$E$91)=0,0,'TO HOP NLAN'!E238*'TS-PILE'!$E$77/SUMSQ('TS-PILE'!$E$72:$E$91))+IF(SUMSQ('TS-PILE'!$D$72:$D$91)=0,0,'TO HOP NLAN'!F238*'TS-PILE'!$D$77/SUMSQ('TS-PILE'!$D$72:$D$91))),IF('TS-PILE'!$B$78="",-1E+99,'TO HOP NLAN'!D238/ncoc+IF(SUMSQ('TS-PILE'!$E$72:$E$91)=0,0,'TO HOP NLAN'!E238*'TS-PILE'!$E$78/SUMSQ('TS-PILE'!$E$72:$E$91))+IF(SUMSQ('TS-PILE'!$D$72:$D$91)=0,0,'TO HOP NLAN'!F238*'TS-PILE'!$D$78/SUMSQ('TS-PILE'!$D$72:$D$91))),IF('TS-PILE'!$B$79="",-1E+99,'TO HOP NLAN'!D238/ncoc+IF(SUMSQ('TS-PILE'!$E$72:$E$91)=0,0,'TO HOP NLAN'!E238*'TS-PILE'!$E$79/SUMSQ('TS-PILE'!$E$72:$E$91))+IF(SUMSQ('TS-PILE'!$D$72:$D$91)=0,0,'TO HOP NLAN'!F238*'TS-PILE'!$D$79/SUMSQ('TS-PILE'!$D$72:$D$91))),IF('TS-PILE'!$B$80="",-1E+99,'TO HOP NLAN'!D238/ncoc+IF(SUMSQ('TS-PILE'!$E$72:$E$91)=0,0,'TO HOP NLAN'!E238*'TS-PILE'!$E$80/SUMSQ('TS-PILE'!$E$72:$E$91))+IF(SUMSQ('TS-PILE'!$D$72:$D$91)=0,0,'TO HOP NLAN'!F238*'TS-PILE'!$D$80/SUMSQ('TS-PILE'!$D$72:$D$91))),IF('TS-PILE'!$B$81="",-1E+99,'TO HOP NLAN'!D238/ncoc+IF(SUMSQ('TS-PILE'!$E$72:$E$91)=0,0,'TO HOP NLAN'!E238*'TS-PILE'!$E$81/SUMSQ('TS-PILE'!$E$72:$E$91))+IF(SUMSQ('TS-PILE'!$D$72:$D$91)=0,0,'TO HOP NLAN'!F238*'TS-PILE'!$D$81/SUMSQ('TS-PILE'!$D$72:$D$91))),IF('TS-PILE'!$B$82="",-1E+99,'TO HOP NLAN'!D238/ncoc+IF(SUMSQ('TS-PILE'!$E$72:$E$91)=0,0,'TO HOP NLAN'!E238*'TS-PILE'!$E$82/SUMSQ('TS-PILE'!$E$72:$E$91))+IF(SUMSQ('TS-PILE'!$D$72:$D$91)=0,0,'TO HOP NLAN'!F238*'TS-PILE'!$D$82/SUMSQ('TS-PILE'!$D$72:$D$91))),IF('TS-PILE'!$B$83="",-1E+99,'TO HOP NLAN'!D238/ncoc+IF(SUMSQ('TS-PILE'!$E$72:$E$91)=0,0,'TO HOP NLAN'!E238*'TS-PILE'!$E$83/SUMSQ('TS-PILE'!$E$72:$E$91))+IF(SUMSQ('TS-PILE'!$D$72:$D$91)=0,0,'TO HOP NLAN'!F238*'TS-PILE'!$D$83/SUMSQ('TS-PILE'!$D$72:$D$91))),IF('TS-PILE'!$B$84="",-1E+99,'TO HOP NLAN'!D238/ncoc+IF(SUMSQ('TS-PILE'!$E$72:$E$91)=0,0,'TO HOP NLAN'!E238*'TS-PILE'!$E$84/SUMSQ('TS-PILE'!$E$72:$E$91))+IF(SUMSQ('TS-PILE'!$D$72:$D$91)=0,0,'TO HOP NLAN'!F238*'TS-PILE'!$D$84/SUMSQ('TS-PILE'!$D$72:$D$91))),IF('TS-PILE'!$B$85="",-1E+99,'TO HOP NLAN'!D238/ncoc+IF(SUMSQ('TS-PILE'!$E$72:$E$91)=0,0,'TO HOP NLAN'!E238*'TS-PILE'!$E$85/SUMSQ('TS-PILE'!$E$72:$E$91))+IF(SUMSQ('TS-PILE'!$D$72:$D$91)=0,0,'TO HOP NLAN'!F238*'TS-PILE'!$D$85/SUMSQ('TS-PILE'!$D$72:$D$91))),IF('TS-PILE'!$B$86="",-1E+99,'TO HOP NLAN'!D238/ncoc+IF(SUMSQ('TS-PILE'!$E$72:$E$91)=0,0,'TO HOP NLAN'!E238*'TS-PILE'!$E$86/SUMSQ('TS-PILE'!$E$72:$E$91))+IF(SUMSQ('TS-PILE'!$D$72:$D$91)=0,0,'TO HOP NLAN'!F238*'TS-PILE'!$D$86/SUMSQ('TS-PILE'!$D$72:$D$91))),IF('TS-PILE'!$B$87="",-1E+99,'TO HOP NLAN'!D238/ncoc+IF(SUMSQ('TS-PILE'!$E$72:$E$91)=0,0,'TO HOP NLAN'!E238*'TS-PILE'!$E$87/SUMSQ('TS-PILE'!$E$72:$E$91))+IF(SUMSQ('TS-PILE'!$D$72:$D$91)=0,0,'TO HOP NLAN'!F238*'TS-PILE'!$D$87/SUMSQ('TS-PILE'!$D$72:$D$91))),IF('TS-PILE'!$B$88="",-1E+99,'TO HOP NLAN'!D238/ncoc+IF(SUMSQ('TS-PILE'!$E$72:$E$91)=0,0,'TO HOP NLAN'!E238*'TS-PILE'!$E$88/SUMSQ('TS-PILE'!$E$72:$E$91))+IF(SUMSQ('TS-PILE'!$D$72:$D$91)=0,0,'TO HOP NLAN'!F238*'TS-PILE'!$D$88/SUMSQ('TS-PILE'!$D$72:$D$91))),IF('TS-PILE'!$B$89="",-1E+99,'TO HOP NLAN'!D238/ncoc+IF(SUMSQ('TS-PILE'!$E$72:$E$91)=0,0,'TO HOP NLAN'!E238*'TS-PILE'!$E$89/SUMSQ('TS-PILE'!$E$72:$E$91))+IF(SUMSQ('TS-PILE'!$D$72:$D$91)=0,0,'TO HOP NLAN'!F238*'TS-PILE'!$D$89/SUMSQ('TS-PILE'!$D$72:$D$91))),IF('TS-PILE'!$B$90="",-1E+99,'TO HOP NLAN'!D238/ncoc+IF(SUMSQ('TS-PILE'!$E$72:$E$91)=0,0,'TO HOP NLAN'!E238*'TS-PILE'!$E$90/SUMSQ('TS-PILE'!$E$72:$E$91))+IF(SUMSQ('TS-PILE'!$D$72:$D$91)=0,0,'TO HOP NLAN'!F238*'TS-PILE'!$D$90/SUMSQ('TS-PILE'!$D$72:$D$91))),IF('TS-PILE'!$B$91="",-1E+99,'TO HOP NLAN'!D238/ncoc+IF(SUMSQ('TS-PILE'!$E$72:$E$91)=0,0,'TO HOP NLAN'!E238*'TS-PILE'!$E$91/SUMSQ('TS-PILE'!$E$72:$E$91))+IF(SUMSQ('TS-PILE'!$D$72:$D$91)=0,0,'TO HOP NLAN'!F238*'TS-PILE'!$D$91/SUMSQ('TS-PILE'!$D$72:$D$91)))))</f>
        <v>0</v>
      </c>
      <c r="D238" s="58">
        <f>IF(A238="",0,MIN(IF('TS-PILE'!$B$72="",1E+99,'TO HOP NLAN'!D238/ncoc+IF(SUMSQ('TS-PILE'!$E$72:$E$91)=0,0,'TO HOP NLAN'!E238*'TS-PILE'!$E$72/SUMSQ('TS-PILE'!$E$72:$E$91))+IF(SUMSQ('TS-PILE'!$D$72:$D$91)=0,0,'TO HOP NLAN'!F238*'TS-PILE'!$D$72/SUMSQ('TS-PILE'!$D$72:$D$91))),IF('TS-PILE'!$B$73="",1E+99,'TO HOP NLAN'!D238/ncoc+IF(SUMSQ('TS-PILE'!$E$72:$E$91)=0,0,'TO HOP NLAN'!E238*'TS-PILE'!$E$73/SUMSQ('TS-PILE'!$E$72:$E$91))+IF(SUMSQ('TS-PILE'!$D$72:$D$91)=0,0,'TO HOP NLAN'!F238*'TS-PILE'!$D$73/SUMSQ('TS-PILE'!$D$72:$D$91))),IF('TS-PILE'!$B$74="",1E+99,'TO HOP NLAN'!D238/ncoc+IF(SUMSQ('TS-PILE'!$E$72:$E$91)=0,0,'TO HOP NLAN'!E238*'TS-PILE'!$E$74/SUMSQ('TS-PILE'!$E$72:$E$91))+IF(SUMSQ('TS-PILE'!$D$72:$D$91)=0,0,'TO HOP NLAN'!F238*'TS-PILE'!$D$74/SUMSQ('TS-PILE'!$D$72:$D$91))),IF('TS-PILE'!$B$75="",1E+99,'TO HOP NLAN'!D238/ncoc+IF(SUMSQ('TS-PILE'!$E$72:$E$91)=0,0,'TO HOP NLAN'!E238*'TS-PILE'!$E$75/SUMSQ('TS-PILE'!$E$72:$E$91))+IF(SUMSQ('TS-PILE'!$D$72:$D$91)=0,0,'TO HOP NLAN'!F238*'TS-PILE'!$D$75/SUMSQ('TS-PILE'!$D$72:$D$91))),IF('TS-PILE'!$B$76="",1E+99,'TO HOP NLAN'!D238/ncoc+IF(SUMSQ('TS-PILE'!$E$72:$E$91)=0,0,'TO HOP NLAN'!E238*'TS-PILE'!$E$76/SUMSQ('TS-PILE'!$E$72:$E$91))+IF(SUMSQ('TS-PILE'!$D$72:$D$91)=0,0,'TO HOP NLAN'!F238*'TS-PILE'!$D$76/SUMSQ('TS-PILE'!$D$72:$D$91))),IF('TS-PILE'!$B$77="",1E+99,'TO HOP NLAN'!D238/ncoc+IF(SUMSQ('TS-PILE'!$E$72:$E$91)=0,0,'TO HOP NLAN'!E238*'TS-PILE'!$E$77/SUMSQ('TS-PILE'!$E$72:$E$91))+IF(SUMSQ('TS-PILE'!$D$72:$D$91)=0,0,'TO HOP NLAN'!F238*'TS-PILE'!$D$77/SUMSQ('TS-PILE'!$D$72:$D$91))),IF('TS-PILE'!$B$78="",1E+99,'TO HOP NLAN'!D238/ncoc+IF(SUMSQ('TS-PILE'!$E$72:$E$91)=0,0,'TO HOP NLAN'!E238*'TS-PILE'!$E$78/SUMSQ('TS-PILE'!$E$72:$E$91))+IF(SUMSQ('TS-PILE'!$D$72:$D$91)=0,0,'TO HOP NLAN'!F238*'TS-PILE'!$D$78/SUMSQ('TS-PILE'!$D$72:$D$91))),IF('TS-PILE'!$B$79="",1E+99,'TO HOP NLAN'!D238/ncoc+IF(SUMSQ('TS-PILE'!$E$72:$E$91)=0,0,'TO HOP NLAN'!E238*'TS-PILE'!$E$79/SUMSQ('TS-PILE'!$E$72:$E$91))+IF(SUMSQ('TS-PILE'!$D$72:$D$91)=0,0,'TO HOP NLAN'!F238*'TS-PILE'!$D$79/SUMSQ('TS-PILE'!$D$72:$D$91))),IF('TS-PILE'!$B$80="",1E+99,'TO HOP NLAN'!D238/ncoc+IF(SUMSQ('TS-PILE'!$E$72:$E$91)=0,0,'TO HOP NLAN'!E238*'TS-PILE'!$E$80/SUMSQ('TS-PILE'!$E$72:$E$91))+IF(SUMSQ('TS-PILE'!$D$72:$D$91)=0,0,'TO HOP NLAN'!F238*'TS-PILE'!$D$80/SUMSQ('TS-PILE'!$D$72:$D$91))),IF('TS-PILE'!$B$81="",1E+99,'TO HOP NLAN'!D238/ncoc+IF(SUMSQ('TS-PILE'!$E$72:$E$91)=0,0,'TO HOP NLAN'!E238*'TS-PILE'!$E$81/SUMSQ('TS-PILE'!$E$72:$E$91))+IF(SUMSQ('TS-PILE'!$D$72:$D$91)=0,0,'TO HOP NLAN'!F238*'TS-PILE'!$D$81/SUMSQ('TS-PILE'!$D$72:$D$91))),IF('TS-PILE'!$B$82="",1E+99,'TO HOP NLAN'!D238/ncoc+IF(SUMSQ('TS-PILE'!$E$72:$E$91)=0,0,'TO HOP NLAN'!E238*'TS-PILE'!$E$82/SUMSQ('TS-PILE'!$E$72:$E$91))+IF(SUMSQ('TS-PILE'!$D$72:$D$91)=0,0,'TO HOP NLAN'!F238*'TS-PILE'!$D$82/SUMSQ('TS-PILE'!$D$72:$D$91))),IF('TS-PILE'!$B$83="",1E+99,'TO HOP NLAN'!D238/ncoc+IF(SUMSQ('TS-PILE'!$E$72:$E$91)=0,0,'TO HOP NLAN'!E238*'TS-PILE'!$E$83/SUMSQ('TS-PILE'!$E$72:$E$91))+IF(SUMSQ('TS-PILE'!$D$72:$D$91)=0,0,'TO HOP NLAN'!F238*'TS-PILE'!$D$83/SUMSQ('TS-PILE'!$D$72:$D$91))),IF('TS-PILE'!$B$84="",1E+99,'TO HOP NLAN'!D238/ncoc+IF(SUMSQ('TS-PILE'!$E$72:$E$91)=0,0,'TO HOP NLAN'!E238*'TS-PILE'!$E$84/SUMSQ('TS-PILE'!$E$72:$E$91))+IF(SUMSQ('TS-PILE'!$D$72:$D$91)=0,0,'TO HOP NLAN'!F238*'TS-PILE'!$D$84/SUMSQ('TS-PILE'!$D$72:$D$91))),IF('TS-PILE'!$B$85="",1E+99,'TO HOP NLAN'!D238/ncoc+IF(SUMSQ('TS-PILE'!$E$72:$E$91)=0,0,'TO HOP NLAN'!E238*'TS-PILE'!$E$85/SUMSQ('TS-PILE'!$E$72:$E$91))+IF(SUMSQ('TS-PILE'!$D$72:$D$91)=0,0,'TO HOP NLAN'!F238*'TS-PILE'!$D$85/SUMSQ('TS-PILE'!$D$72:$D$91))),IF('TS-PILE'!$B$86="",1E+99,'TO HOP NLAN'!D238/ncoc+IF(SUMSQ('TS-PILE'!$E$72:$E$91)=0,0,'TO HOP NLAN'!E238*'TS-PILE'!$E$86/SUMSQ('TS-PILE'!$E$72:$E$91))+IF(SUMSQ('TS-PILE'!$D$72:$D$91)=0,0,'TO HOP NLAN'!F238*'TS-PILE'!$D$86/SUMSQ('TS-PILE'!$D$72:$D$91))),IF('TS-PILE'!$B$87="",1E+99,'TO HOP NLAN'!D238/ncoc+IF(SUMSQ('TS-PILE'!$E$72:$E$91)=0,0,'TO HOP NLAN'!E238*'TS-PILE'!$E$87/SUMSQ('TS-PILE'!$E$72:$E$91))+IF(SUMSQ('TS-PILE'!$D$72:$D$91)=0,0,'TO HOP NLAN'!F238*'TS-PILE'!$D$87/SUMSQ('TS-PILE'!$D$72:$D$91))),IF('TS-PILE'!$B$88="",1E+99,'TO HOP NLAN'!D238/ncoc+IF(SUMSQ('TS-PILE'!$E$72:$E$91)=0,0,'TO HOP NLAN'!E238*'TS-PILE'!$E$88/SUMSQ('TS-PILE'!$E$72:$E$91))+IF(SUMSQ('TS-PILE'!$D$72:$D$91)=0,0,'TO HOP NLAN'!F238*'TS-PILE'!$D$88/SUMSQ('TS-PILE'!$D$72:$D$91))),IF('TS-PILE'!$B$89="",1E+99,'TO HOP NLAN'!D238/ncoc+IF(SUMSQ('TS-PILE'!$E$72:$E$91)=0,0,'TO HOP NLAN'!E238*'TS-PILE'!$E$89/SUMSQ('TS-PILE'!$E$72:$E$91))+IF(SUMSQ('TS-PILE'!$D$72:$D$91)=0,0,'TO HOP NLAN'!F238*'TS-PILE'!$D$89/SUMSQ('TS-PILE'!$D$72:$D$91))),IF('TS-PILE'!$B$90="",1E+99,'TO HOP NLAN'!D238/ncoc+IF(SUMSQ('TS-PILE'!$E$72:$E$91)=0,0,'TO HOP NLAN'!E238*'TS-PILE'!$E$90/SUMSQ('TS-PILE'!$E$72:$E$91))+IF(SUMSQ('TS-PILE'!$D$72:$D$91)=0,0,'TO HOP NLAN'!F238*'TS-PILE'!$D$90/SUMSQ('TS-PILE'!$D$72:$D$91))),IF('TS-PILE'!$B$91="",1E+99,'TO HOP NLAN'!D238/ncoc+IF(SUMSQ('TS-PILE'!$E$72:$E$91)=0,0,'TO HOP NLAN'!E238*'TS-PILE'!$E$91/SUMSQ('TS-PILE'!$E$72:$E$91))+IF(SUMSQ('TS-PILE'!$D$72:$D$91)=0,0,'TO HOP NLAN'!F238*'TS-PILE'!$D$91/SUMSQ('TS-PILE'!$D$72:$D$91)))))</f>
        <v>0</v>
      </c>
      <c r="E238" s="58">
        <f t="shared" si="12"/>
        <v>-9.9999999999999997E+98</v>
      </c>
      <c r="F238" s="58">
        <f t="shared" si="13"/>
        <v>9.9999999999999997E+98</v>
      </c>
      <c r="G238" s="58">
        <f t="shared" si="14"/>
        <v>-9.9999999999999997E+98</v>
      </c>
      <c r="H238" s="58">
        <f t="shared" si="15"/>
        <v>9.9999999999999997E+98</v>
      </c>
    </row>
    <row r="239" spans="1:8" x14ac:dyDescent="0.3">
      <c r="A239" s="42" t="str">
        <f>'TO HOP NLAN'!A239</f>
        <v/>
      </c>
      <c r="B239" s="42" t="str">
        <f>'TO HOP NLAN'!L239</f>
        <v>STRENGTH</v>
      </c>
      <c r="C239" s="58">
        <f>IF(A239="",0,MAX(IF('TS-PILE'!$B$72="",-1E+99,'TO HOP NLAN'!D239/ncoc+IF(SUMSQ('TS-PILE'!$E$72:$E$91)=0,0,'TO HOP NLAN'!E239*'TS-PILE'!$E$72/SUMSQ('TS-PILE'!$E$72:$E$91))+IF(SUMSQ('TS-PILE'!$D$72:$D$91)=0,0,'TO HOP NLAN'!F239*'TS-PILE'!$D$72/SUMSQ('TS-PILE'!$D$72:$D$91))),IF('TS-PILE'!$B$73="",-1E+99,'TO HOP NLAN'!D239/ncoc+IF(SUMSQ('TS-PILE'!$E$72:$E$91)=0,0,'TO HOP NLAN'!E239*'TS-PILE'!$E$73/SUMSQ('TS-PILE'!$E$72:$E$91))+IF(SUMSQ('TS-PILE'!$D$72:$D$91)=0,0,'TO HOP NLAN'!F239*'TS-PILE'!$D$73/SUMSQ('TS-PILE'!$D$72:$D$91))),IF('TS-PILE'!$B$74="",-1E+99,'TO HOP NLAN'!D239/ncoc+IF(SUMSQ('TS-PILE'!$E$72:$E$91)=0,0,'TO HOP NLAN'!E239*'TS-PILE'!$E$74/SUMSQ('TS-PILE'!$E$72:$E$91))+IF(SUMSQ('TS-PILE'!$D$72:$D$91)=0,0,'TO HOP NLAN'!F239*'TS-PILE'!$D$74/SUMSQ('TS-PILE'!$D$72:$D$91))),IF('TS-PILE'!$B$75="",-1E+99,'TO HOP NLAN'!D239/ncoc+IF(SUMSQ('TS-PILE'!$E$72:$E$91)=0,0,'TO HOP NLAN'!E239*'TS-PILE'!$E$75/SUMSQ('TS-PILE'!$E$72:$E$91))+IF(SUMSQ('TS-PILE'!$D$72:$D$91)=0,0,'TO HOP NLAN'!F239*'TS-PILE'!$D$75/SUMSQ('TS-PILE'!$D$72:$D$91))),IF('TS-PILE'!$B$76="",-1E+99,'TO HOP NLAN'!D239/ncoc+IF(SUMSQ('TS-PILE'!$E$72:$E$91)=0,0,'TO HOP NLAN'!E239*'TS-PILE'!$E$76/SUMSQ('TS-PILE'!$E$72:$E$91))+IF(SUMSQ('TS-PILE'!$D$72:$D$91)=0,0,'TO HOP NLAN'!F239*'TS-PILE'!$D$76/SUMSQ('TS-PILE'!$D$72:$D$91))),IF('TS-PILE'!$B$77="",-1E+99,'TO HOP NLAN'!D239/ncoc+IF(SUMSQ('TS-PILE'!$E$72:$E$91)=0,0,'TO HOP NLAN'!E239*'TS-PILE'!$E$77/SUMSQ('TS-PILE'!$E$72:$E$91))+IF(SUMSQ('TS-PILE'!$D$72:$D$91)=0,0,'TO HOP NLAN'!F239*'TS-PILE'!$D$77/SUMSQ('TS-PILE'!$D$72:$D$91))),IF('TS-PILE'!$B$78="",-1E+99,'TO HOP NLAN'!D239/ncoc+IF(SUMSQ('TS-PILE'!$E$72:$E$91)=0,0,'TO HOP NLAN'!E239*'TS-PILE'!$E$78/SUMSQ('TS-PILE'!$E$72:$E$91))+IF(SUMSQ('TS-PILE'!$D$72:$D$91)=0,0,'TO HOP NLAN'!F239*'TS-PILE'!$D$78/SUMSQ('TS-PILE'!$D$72:$D$91))),IF('TS-PILE'!$B$79="",-1E+99,'TO HOP NLAN'!D239/ncoc+IF(SUMSQ('TS-PILE'!$E$72:$E$91)=0,0,'TO HOP NLAN'!E239*'TS-PILE'!$E$79/SUMSQ('TS-PILE'!$E$72:$E$91))+IF(SUMSQ('TS-PILE'!$D$72:$D$91)=0,0,'TO HOP NLAN'!F239*'TS-PILE'!$D$79/SUMSQ('TS-PILE'!$D$72:$D$91))),IF('TS-PILE'!$B$80="",-1E+99,'TO HOP NLAN'!D239/ncoc+IF(SUMSQ('TS-PILE'!$E$72:$E$91)=0,0,'TO HOP NLAN'!E239*'TS-PILE'!$E$80/SUMSQ('TS-PILE'!$E$72:$E$91))+IF(SUMSQ('TS-PILE'!$D$72:$D$91)=0,0,'TO HOP NLAN'!F239*'TS-PILE'!$D$80/SUMSQ('TS-PILE'!$D$72:$D$91))),IF('TS-PILE'!$B$81="",-1E+99,'TO HOP NLAN'!D239/ncoc+IF(SUMSQ('TS-PILE'!$E$72:$E$91)=0,0,'TO HOP NLAN'!E239*'TS-PILE'!$E$81/SUMSQ('TS-PILE'!$E$72:$E$91))+IF(SUMSQ('TS-PILE'!$D$72:$D$91)=0,0,'TO HOP NLAN'!F239*'TS-PILE'!$D$81/SUMSQ('TS-PILE'!$D$72:$D$91))),IF('TS-PILE'!$B$82="",-1E+99,'TO HOP NLAN'!D239/ncoc+IF(SUMSQ('TS-PILE'!$E$72:$E$91)=0,0,'TO HOP NLAN'!E239*'TS-PILE'!$E$82/SUMSQ('TS-PILE'!$E$72:$E$91))+IF(SUMSQ('TS-PILE'!$D$72:$D$91)=0,0,'TO HOP NLAN'!F239*'TS-PILE'!$D$82/SUMSQ('TS-PILE'!$D$72:$D$91))),IF('TS-PILE'!$B$83="",-1E+99,'TO HOP NLAN'!D239/ncoc+IF(SUMSQ('TS-PILE'!$E$72:$E$91)=0,0,'TO HOP NLAN'!E239*'TS-PILE'!$E$83/SUMSQ('TS-PILE'!$E$72:$E$91))+IF(SUMSQ('TS-PILE'!$D$72:$D$91)=0,0,'TO HOP NLAN'!F239*'TS-PILE'!$D$83/SUMSQ('TS-PILE'!$D$72:$D$91))),IF('TS-PILE'!$B$84="",-1E+99,'TO HOP NLAN'!D239/ncoc+IF(SUMSQ('TS-PILE'!$E$72:$E$91)=0,0,'TO HOP NLAN'!E239*'TS-PILE'!$E$84/SUMSQ('TS-PILE'!$E$72:$E$91))+IF(SUMSQ('TS-PILE'!$D$72:$D$91)=0,0,'TO HOP NLAN'!F239*'TS-PILE'!$D$84/SUMSQ('TS-PILE'!$D$72:$D$91))),IF('TS-PILE'!$B$85="",-1E+99,'TO HOP NLAN'!D239/ncoc+IF(SUMSQ('TS-PILE'!$E$72:$E$91)=0,0,'TO HOP NLAN'!E239*'TS-PILE'!$E$85/SUMSQ('TS-PILE'!$E$72:$E$91))+IF(SUMSQ('TS-PILE'!$D$72:$D$91)=0,0,'TO HOP NLAN'!F239*'TS-PILE'!$D$85/SUMSQ('TS-PILE'!$D$72:$D$91))),IF('TS-PILE'!$B$86="",-1E+99,'TO HOP NLAN'!D239/ncoc+IF(SUMSQ('TS-PILE'!$E$72:$E$91)=0,0,'TO HOP NLAN'!E239*'TS-PILE'!$E$86/SUMSQ('TS-PILE'!$E$72:$E$91))+IF(SUMSQ('TS-PILE'!$D$72:$D$91)=0,0,'TO HOP NLAN'!F239*'TS-PILE'!$D$86/SUMSQ('TS-PILE'!$D$72:$D$91))),IF('TS-PILE'!$B$87="",-1E+99,'TO HOP NLAN'!D239/ncoc+IF(SUMSQ('TS-PILE'!$E$72:$E$91)=0,0,'TO HOP NLAN'!E239*'TS-PILE'!$E$87/SUMSQ('TS-PILE'!$E$72:$E$91))+IF(SUMSQ('TS-PILE'!$D$72:$D$91)=0,0,'TO HOP NLAN'!F239*'TS-PILE'!$D$87/SUMSQ('TS-PILE'!$D$72:$D$91))),IF('TS-PILE'!$B$88="",-1E+99,'TO HOP NLAN'!D239/ncoc+IF(SUMSQ('TS-PILE'!$E$72:$E$91)=0,0,'TO HOP NLAN'!E239*'TS-PILE'!$E$88/SUMSQ('TS-PILE'!$E$72:$E$91))+IF(SUMSQ('TS-PILE'!$D$72:$D$91)=0,0,'TO HOP NLAN'!F239*'TS-PILE'!$D$88/SUMSQ('TS-PILE'!$D$72:$D$91))),IF('TS-PILE'!$B$89="",-1E+99,'TO HOP NLAN'!D239/ncoc+IF(SUMSQ('TS-PILE'!$E$72:$E$91)=0,0,'TO HOP NLAN'!E239*'TS-PILE'!$E$89/SUMSQ('TS-PILE'!$E$72:$E$91))+IF(SUMSQ('TS-PILE'!$D$72:$D$91)=0,0,'TO HOP NLAN'!F239*'TS-PILE'!$D$89/SUMSQ('TS-PILE'!$D$72:$D$91))),IF('TS-PILE'!$B$90="",-1E+99,'TO HOP NLAN'!D239/ncoc+IF(SUMSQ('TS-PILE'!$E$72:$E$91)=0,0,'TO HOP NLAN'!E239*'TS-PILE'!$E$90/SUMSQ('TS-PILE'!$E$72:$E$91))+IF(SUMSQ('TS-PILE'!$D$72:$D$91)=0,0,'TO HOP NLAN'!F239*'TS-PILE'!$D$90/SUMSQ('TS-PILE'!$D$72:$D$91))),IF('TS-PILE'!$B$91="",-1E+99,'TO HOP NLAN'!D239/ncoc+IF(SUMSQ('TS-PILE'!$E$72:$E$91)=0,0,'TO HOP NLAN'!E239*'TS-PILE'!$E$91/SUMSQ('TS-PILE'!$E$72:$E$91))+IF(SUMSQ('TS-PILE'!$D$72:$D$91)=0,0,'TO HOP NLAN'!F239*'TS-PILE'!$D$91/SUMSQ('TS-PILE'!$D$72:$D$91)))))</f>
        <v>0</v>
      </c>
      <c r="D239" s="58">
        <f>IF(A239="",0,MIN(IF('TS-PILE'!$B$72="",1E+99,'TO HOP NLAN'!D239/ncoc+IF(SUMSQ('TS-PILE'!$E$72:$E$91)=0,0,'TO HOP NLAN'!E239*'TS-PILE'!$E$72/SUMSQ('TS-PILE'!$E$72:$E$91))+IF(SUMSQ('TS-PILE'!$D$72:$D$91)=0,0,'TO HOP NLAN'!F239*'TS-PILE'!$D$72/SUMSQ('TS-PILE'!$D$72:$D$91))),IF('TS-PILE'!$B$73="",1E+99,'TO HOP NLAN'!D239/ncoc+IF(SUMSQ('TS-PILE'!$E$72:$E$91)=0,0,'TO HOP NLAN'!E239*'TS-PILE'!$E$73/SUMSQ('TS-PILE'!$E$72:$E$91))+IF(SUMSQ('TS-PILE'!$D$72:$D$91)=0,0,'TO HOP NLAN'!F239*'TS-PILE'!$D$73/SUMSQ('TS-PILE'!$D$72:$D$91))),IF('TS-PILE'!$B$74="",1E+99,'TO HOP NLAN'!D239/ncoc+IF(SUMSQ('TS-PILE'!$E$72:$E$91)=0,0,'TO HOP NLAN'!E239*'TS-PILE'!$E$74/SUMSQ('TS-PILE'!$E$72:$E$91))+IF(SUMSQ('TS-PILE'!$D$72:$D$91)=0,0,'TO HOP NLAN'!F239*'TS-PILE'!$D$74/SUMSQ('TS-PILE'!$D$72:$D$91))),IF('TS-PILE'!$B$75="",1E+99,'TO HOP NLAN'!D239/ncoc+IF(SUMSQ('TS-PILE'!$E$72:$E$91)=0,0,'TO HOP NLAN'!E239*'TS-PILE'!$E$75/SUMSQ('TS-PILE'!$E$72:$E$91))+IF(SUMSQ('TS-PILE'!$D$72:$D$91)=0,0,'TO HOP NLAN'!F239*'TS-PILE'!$D$75/SUMSQ('TS-PILE'!$D$72:$D$91))),IF('TS-PILE'!$B$76="",1E+99,'TO HOP NLAN'!D239/ncoc+IF(SUMSQ('TS-PILE'!$E$72:$E$91)=0,0,'TO HOP NLAN'!E239*'TS-PILE'!$E$76/SUMSQ('TS-PILE'!$E$72:$E$91))+IF(SUMSQ('TS-PILE'!$D$72:$D$91)=0,0,'TO HOP NLAN'!F239*'TS-PILE'!$D$76/SUMSQ('TS-PILE'!$D$72:$D$91))),IF('TS-PILE'!$B$77="",1E+99,'TO HOP NLAN'!D239/ncoc+IF(SUMSQ('TS-PILE'!$E$72:$E$91)=0,0,'TO HOP NLAN'!E239*'TS-PILE'!$E$77/SUMSQ('TS-PILE'!$E$72:$E$91))+IF(SUMSQ('TS-PILE'!$D$72:$D$91)=0,0,'TO HOP NLAN'!F239*'TS-PILE'!$D$77/SUMSQ('TS-PILE'!$D$72:$D$91))),IF('TS-PILE'!$B$78="",1E+99,'TO HOP NLAN'!D239/ncoc+IF(SUMSQ('TS-PILE'!$E$72:$E$91)=0,0,'TO HOP NLAN'!E239*'TS-PILE'!$E$78/SUMSQ('TS-PILE'!$E$72:$E$91))+IF(SUMSQ('TS-PILE'!$D$72:$D$91)=0,0,'TO HOP NLAN'!F239*'TS-PILE'!$D$78/SUMSQ('TS-PILE'!$D$72:$D$91))),IF('TS-PILE'!$B$79="",1E+99,'TO HOP NLAN'!D239/ncoc+IF(SUMSQ('TS-PILE'!$E$72:$E$91)=0,0,'TO HOP NLAN'!E239*'TS-PILE'!$E$79/SUMSQ('TS-PILE'!$E$72:$E$91))+IF(SUMSQ('TS-PILE'!$D$72:$D$91)=0,0,'TO HOP NLAN'!F239*'TS-PILE'!$D$79/SUMSQ('TS-PILE'!$D$72:$D$91))),IF('TS-PILE'!$B$80="",1E+99,'TO HOP NLAN'!D239/ncoc+IF(SUMSQ('TS-PILE'!$E$72:$E$91)=0,0,'TO HOP NLAN'!E239*'TS-PILE'!$E$80/SUMSQ('TS-PILE'!$E$72:$E$91))+IF(SUMSQ('TS-PILE'!$D$72:$D$91)=0,0,'TO HOP NLAN'!F239*'TS-PILE'!$D$80/SUMSQ('TS-PILE'!$D$72:$D$91))),IF('TS-PILE'!$B$81="",1E+99,'TO HOP NLAN'!D239/ncoc+IF(SUMSQ('TS-PILE'!$E$72:$E$91)=0,0,'TO HOP NLAN'!E239*'TS-PILE'!$E$81/SUMSQ('TS-PILE'!$E$72:$E$91))+IF(SUMSQ('TS-PILE'!$D$72:$D$91)=0,0,'TO HOP NLAN'!F239*'TS-PILE'!$D$81/SUMSQ('TS-PILE'!$D$72:$D$91))),IF('TS-PILE'!$B$82="",1E+99,'TO HOP NLAN'!D239/ncoc+IF(SUMSQ('TS-PILE'!$E$72:$E$91)=0,0,'TO HOP NLAN'!E239*'TS-PILE'!$E$82/SUMSQ('TS-PILE'!$E$72:$E$91))+IF(SUMSQ('TS-PILE'!$D$72:$D$91)=0,0,'TO HOP NLAN'!F239*'TS-PILE'!$D$82/SUMSQ('TS-PILE'!$D$72:$D$91))),IF('TS-PILE'!$B$83="",1E+99,'TO HOP NLAN'!D239/ncoc+IF(SUMSQ('TS-PILE'!$E$72:$E$91)=0,0,'TO HOP NLAN'!E239*'TS-PILE'!$E$83/SUMSQ('TS-PILE'!$E$72:$E$91))+IF(SUMSQ('TS-PILE'!$D$72:$D$91)=0,0,'TO HOP NLAN'!F239*'TS-PILE'!$D$83/SUMSQ('TS-PILE'!$D$72:$D$91))),IF('TS-PILE'!$B$84="",1E+99,'TO HOP NLAN'!D239/ncoc+IF(SUMSQ('TS-PILE'!$E$72:$E$91)=0,0,'TO HOP NLAN'!E239*'TS-PILE'!$E$84/SUMSQ('TS-PILE'!$E$72:$E$91))+IF(SUMSQ('TS-PILE'!$D$72:$D$91)=0,0,'TO HOP NLAN'!F239*'TS-PILE'!$D$84/SUMSQ('TS-PILE'!$D$72:$D$91))),IF('TS-PILE'!$B$85="",1E+99,'TO HOP NLAN'!D239/ncoc+IF(SUMSQ('TS-PILE'!$E$72:$E$91)=0,0,'TO HOP NLAN'!E239*'TS-PILE'!$E$85/SUMSQ('TS-PILE'!$E$72:$E$91))+IF(SUMSQ('TS-PILE'!$D$72:$D$91)=0,0,'TO HOP NLAN'!F239*'TS-PILE'!$D$85/SUMSQ('TS-PILE'!$D$72:$D$91))),IF('TS-PILE'!$B$86="",1E+99,'TO HOP NLAN'!D239/ncoc+IF(SUMSQ('TS-PILE'!$E$72:$E$91)=0,0,'TO HOP NLAN'!E239*'TS-PILE'!$E$86/SUMSQ('TS-PILE'!$E$72:$E$91))+IF(SUMSQ('TS-PILE'!$D$72:$D$91)=0,0,'TO HOP NLAN'!F239*'TS-PILE'!$D$86/SUMSQ('TS-PILE'!$D$72:$D$91))),IF('TS-PILE'!$B$87="",1E+99,'TO HOP NLAN'!D239/ncoc+IF(SUMSQ('TS-PILE'!$E$72:$E$91)=0,0,'TO HOP NLAN'!E239*'TS-PILE'!$E$87/SUMSQ('TS-PILE'!$E$72:$E$91))+IF(SUMSQ('TS-PILE'!$D$72:$D$91)=0,0,'TO HOP NLAN'!F239*'TS-PILE'!$D$87/SUMSQ('TS-PILE'!$D$72:$D$91))),IF('TS-PILE'!$B$88="",1E+99,'TO HOP NLAN'!D239/ncoc+IF(SUMSQ('TS-PILE'!$E$72:$E$91)=0,0,'TO HOP NLAN'!E239*'TS-PILE'!$E$88/SUMSQ('TS-PILE'!$E$72:$E$91))+IF(SUMSQ('TS-PILE'!$D$72:$D$91)=0,0,'TO HOP NLAN'!F239*'TS-PILE'!$D$88/SUMSQ('TS-PILE'!$D$72:$D$91))),IF('TS-PILE'!$B$89="",1E+99,'TO HOP NLAN'!D239/ncoc+IF(SUMSQ('TS-PILE'!$E$72:$E$91)=0,0,'TO HOP NLAN'!E239*'TS-PILE'!$E$89/SUMSQ('TS-PILE'!$E$72:$E$91))+IF(SUMSQ('TS-PILE'!$D$72:$D$91)=0,0,'TO HOP NLAN'!F239*'TS-PILE'!$D$89/SUMSQ('TS-PILE'!$D$72:$D$91))),IF('TS-PILE'!$B$90="",1E+99,'TO HOP NLAN'!D239/ncoc+IF(SUMSQ('TS-PILE'!$E$72:$E$91)=0,0,'TO HOP NLAN'!E239*'TS-PILE'!$E$90/SUMSQ('TS-PILE'!$E$72:$E$91))+IF(SUMSQ('TS-PILE'!$D$72:$D$91)=0,0,'TO HOP NLAN'!F239*'TS-PILE'!$D$90/SUMSQ('TS-PILE'!$D$72:$D$91))),IF('TS-PILE'!$B$91="",1E+99,'TO HOP NLAN'!D239/ncoc+IF(SUMSQ('TS-PILE'!$E$72:$E$91)=0,0,'TO HOP NLAN'!E239*'TS-PILE'!$E$91/SUMSQ('TS-PILE'!$E$72:$E$91))+IF(SUMSQ('TS-PILE'!$D$72:$D$91)=0,0,'TO HOP NLAN'!F239*'TS-PILE'!$D$91/SUMSQ('TS-PILE'!$D$72:$D$91)))))</f>
        <v>0</v>
      </c>
      <c r="E239" s="58">
        <f t="shared" si="12"/>
        <v>-9.9999999999999997E+98</v>
      </c>
      <c r="F239" s="58">
        <f t="shared" si="13"/>
        <v>9.9999999999999997E+98</v>
      </c>
      <c r="G239" s="58">
        <f t="shared" si="14"/>
        <v>-9.9999999999999997E+98</v>
      </c>
      <c r="H239" s="58">
        <f t="shared" si="15"/>
        <v>9.9999999999999997E+98</v>
      </c>
    </row>
    <row r="240" spans="1:8" x14ac:dyDescent="0.3">
      <c r="A240" s="42" t="str">
        <f>'TO HOP NLAN'!A240</f>
        <v/>
      </c>
      <c r="B240" s="42" t="str">
        <f>'TO HOP NLAN'!L240</f>
        <v>STRENGTH</v>
      </c>
      <c r="C240" s="58">
        <f>IF(A240="",0,MAX(IF('TS-PILE'!$B$72="",-1E+99,'TO HOP NLAN'!D240/ncoc+IF(SUMSQ('TS-PILE'!$E$72:$E$91)=0,0,'TO HOP NLAN'!E240*'TS-PILE'!$E$72/SUMSQ('TS-PILE'!$E$72:$E$91))+IF(SUMSQ('TS-PILE'!$D$72:$D$91)=0,0,'TO HOP NLAN'!F240*'TS-PILE'!$D$72/SUMSQ('TS-PILE'!$D$72:$D$91))),IF('TS-PILE'!$B$73="",-1E+99,'TO HOP NLAN'!D240/ncoc+IF(SUMSQ('TS-PILE'!$E$72:$E$91)=0,0,'TO HOP NLAN'!E240*'TS-PILE'!$E$73/SUMSQ('TS-PILE'!$E$72:$E$91))+IF(SUMSQ('TS-PILE'!$D$72:$D$91)=0,0,'TO HOP NLAN'!F240*'TS-PILE'!$D$73/SUMSQ('TS-PILE'!$D$72:$D$91))),IF('TS-PILE'!$B$74="",-1E+99,'TO HOP NLAN'!D240/ncoc+IF(SUMSQ('TS-PILE'!$E$72:$E$91)=0,0,'TO HOP NLAN'!E240*'TS-PILE'!$E$74/SUMSQ('TS-PILE'!$E$72:$E$91))+IF(SUMSQ('TS-PILE'!$D$72:$D$91)=0,0,'TO HOP NLAN'!F240*'TS-PILE'!$D$74/SUMSQ('TS-PILE'!$D$72:$D$91))),IF('TS-PILE'!$B$75="",-1E+99,'TO HOP NLAN'!D240/ncoc+IF(SUMSQ('TS-PILE'!$E$72:$E$91)=0,0,'TO HOP NLAN'!E240*'TS-PILE'!$E$75/SUMSQ('TS-PILE'!$E$72:$E$91))+IF(SUMSQ('TS-PILE'!$D$72:$D$91)=0,0,'TO HOP NLAN'!F240*'TS-PILE'!$D$75/SUMSQ('TS-PILE'!$D$72:$D$91))),IF('TS-PILE'!$B$76="",-1E+99,'TO HOP NLAN'!D240/ncoc+IF(SUMSQ('TS-PILE'!$E$72:$E$91)=0,0,'TO HOP NLAN'!E240*'TS-PILE'!$E$76/SUMSQ('TS-PILE'!$E$72:$E$91))+IF(SUMSQ('TS-PILE'!$D$72:$D$91)=0,0,'TO HOP NLAN'!F240*'TS-PILE'!$D$76/SUMSQ('TS-PILE'!$D$72:$D$91))),IF('TS-PILE'!$B$77="",-1E+99,'TO HOP NLAN'!D240/ncoc+IF(SUMSQ('TS-PILE'!$E$72:$E$91)=0,0,'TO HOP NLAN'!E240*'TS-PILE'!$E$77/SUMSQ('TS-PILE'!$E$72:$E$91))+IF(SUMSQ('TS-PILE'!$D$72:$D$91)=0,0,'TO HOP NLAN'!F240*'TS-PILE'!$D$77/SUMSQ('TS-PILE'!$D$72:$D$91))),IF('TS-PILE'!$B$78="",-1E+99,'TO HOP NLAN'!D240/ncoc+IF(SUMSQ('TS-PILE'!$E$72:$E$91)=0,0,'TO HOP NLAN'!E240*'TS-PILE'!$E$78/SUMSQ('TS-PILE'!$E$72:$E$91))+IF(SUMSQ('TS-PILE'!$D$72:$D$91)=0,0,'TO HOP NLAN'!F240*'TS-PILE'!$D$78/SUMSQ('TS-PILE'!$D$72:$D$91))),IF('TS-PILE'!$B$79="",-1E+99,'TO HOP NLAN'!D240/ncoc+IF(SUMSQ('TS-PILE'!$E$72:$E$91)=0,0,'TO HOP NLAN'!E240*'TS-PILE'!$E$79/SUMSQ('TS-PILE'!$E$72:$E$91))+IF(SUMSQ('TS-PILE'!$D$72:$D$91)=0,0,'TO HOP NLAN'!F240*'TS-PILE'!$D$79/SUMSQ('TS-PILE'!$D$72:$D$91))),IF('TS-PILE'!$B$80="",-1E+99,'TO HOP NLAN'!D240/ncoc+IF(SUMSQ('TS-PILE'!$E$72:$E$91)=0,0,'TO HOP NLAN'!E240*'TS-PILE'!$E$80/SUMSQ('TS-PILE'!$E$72:$E$91))+IF(SUMSQ('TS-PILE'!$D$72:$D$91)=0,0,'TO HOP NLAN'!F240*'TS-PILE'!$D$80/SUMSQ('TS-PILE'!$D$72:$D$91))),IF('TS-PILE'!$B$81="",-1E+99,'TO HOP NLAN'!D240/ncoc+IF(SUMSQ('TS-PILE'!$E$72:$E$91)=0,0,'TO HOP NLAN'!E240*'TS-PILE'!$E$81/SUMSQ('TS-PILE'!$E$72:$E$91))+IF(SUMSQ('TS-PILE'!$D$72:$D$91)=0,0,'TO HOP NLAN'!F240*'TS-PILE'!$D$81/SUMSQ('TS-PILE'!$D$72:$D$91))),IF('TS-PILE'!$B$82="",-1E+99,'TO HOP NLAN'!D240/ncoc+IF(SUMSQ('TS-PILE'!$E$72:$E$91)=0,0,'TO HOP NLAN'!E240*'TS-PILE'!$E$82/SUMSQ('TS-PILE'!$E$72:$E$91))+IF(SUMSQ('TS-PILE'!$D$72:$D$91)=0,0,'TO HOP NLAN'!F240*'TS-PILE'!$D$82/SUMSQ('TS-PILE'!$D$72:$D$91))),IF('TS-PILE'!$B$83="",-1E+99,'TO HOP NLAN'!D240/ncoc+IF(SUMSQ('TS-PILE'!$E$72:$E$91)=0,0,'TO HOP NLAN'!E240*'TS-PILE'!$E$83/SUMSQ('TS-PILE'!$E$72:$E$91))+IF(SUMSQ('TS-PILE'!$D$72:$D$91)=0,0,'TO HOP NLAN'!F240*'TS-PILE'!$D$83/SUMSQ('TS-PILE'!$D$72:$D$91))),IF('TS-PILE'!$B$84="",-1E+99,'TO HOP NLAN'!D240/ncoc+IF(SUMSQ('TS-PILE'!$E$72:$E$91)=0,0,'TO HOP NLAN'!E240*'TS-PILE'!$E$84/SUMSQ('TS-PILE'!$E$72:$E$91))+IF(SUMSQ('TS-PILE'!$D$72:$D$91)=0,0,'TO HOP NLAN'!F240*'TS-PILE'!$D$84/SUMSQ('TS-PILE'!$D$72:$D$91))),IF('TS-PILE'!$B$85="",-1E+99,'TO HOP NLAN'!D240/ncoc+IF(SUMSQ('TS-PILE'!$E$72:$E$91)=0,0,'TO HOP NLAN'!E240*'TS-PILE'!$E$85/SUMSQ('TS-PILE'!$E$72:$E$91))+IF(SUMSQ('TS-PILE'!$D$72:$D$91)=0,0,'TO HOP NLAN'!F240*'TS-PILE'!$D$85/SUMSQ('TS-PILE'!$D$72:$D$91))),IF('TS-PILE'!$B$86="",-1E+99,'TO HOP NLAN'!D240/ncoc+IF(SUMSQ('TS-PILE'!$E$72:$E$91)=0,0,'TO HOP NLAN'!E240*'TS-PILE'!$E$86/SUMSQ('TS-PILE'!$E$72:$E$91))+IF(SUMSQ('TS-PILE'!$D$72:$D$91)=0,0,'TO HOP NLAN'!F240*'TS-PILE'!$D$86/SUMSQ('TS-PILE'!$D$72:$D$91))),IF('TS-PILE'!$B$87="",-1E+99,'TO HOP NLAN'!D240/ncoc+IF(SUMSQ('TS-PILE'!$E$72:$E$91)=0,0,'TO HOP NLAN'!E240*'TS-PILE'!$E$87/SUMSQ('TS-PILE'!$E$72:$E$91))+IF(SUMSQ('TS-PILE'!$D$72:$D$91)=0,0,'TO HOP NLAN'!F240*'TS-PILE'!$D$87/SUMSQ('TS-PILE'!$D$72:$D$91))),IF('TS-PILE'!$B$88="",-1E+99,'TO HOP NLAN'!D240/ncoc+IF(SUMSQ('TS-PILE'!$E$72:$E$91)=0,0,'TO HOP NLAN'!E240*'TS-PILE'!$E$88/SUMSQ('TS-PILE'!$E$72:$E$91))+IF(SUMSQ('TS-PILE'!$D$72:$D$91)=0,0,'TO HOP NLAN'!F240*'TS-PILE'!$D$88/SUMSQ('TS-PILE'!$D$72:$D$91))),IF('TS-PILE'!$B$89="",-1E+99,'TO HOP NLAN'!D240/ncoc+IF(SUMSQ('TS-PILE'!$E$72:$E$91)=0,0,'TO HOP NLAN'!E240*'TS-PILE'!$E$89/SUMSQ('TS-PILE'!$E$72:$E$91))+IF(SUMSQ('TS-PILE'!$D$72:$D$91)=0,0,'TO HOP NLAN'!F240*'TS-PILE'!$D$89/SUMSQ('TS-PILE'!$D$72:$D$91))),IF('TS-PILE'!$B$90="",-1E+99,'TO HOP NLAN'!D240/ncoc+IF(SUMSQ('TS-PILE'!$E$72:$E$91)=0,0,'TO HOP NLAN'!E240*'TS-PILE'!$E$90/SUMSQ('TS-PILE'!$E$72:$E$91))+IF(SUMSQ('TS-PILE'!$D$72:$D$91)=0,0,'TO HOP NLAN'!F240*'TS-PILE'!$D$90/SUMSQ('TS-PILE'!$D$72:$D$91))),IF('TS-PILE'!$B$91="",-1E+99,'TO HOP NLAN'!D240/ncoc+IF(SUMSQ('TS-PILE'!$E$72:$E$91)=0,0,'TO HOP NLAN'!E240*'TS-PILE'!$E$91/SUMSQ('TS-PILE'!$E$72:$E$91))+IF(SUMSQ('TS-PILE'!$D$72:$D$91)=0,0,'TO HOP NLAN'!F240*'TS-PILE'!$D$91/SUMSQ('TS-PILE'!$D$72:$D$91)))))</f>
        <v>0</v>
      </c>
      <c r="D240" s="58">
        <f>IF(A240="",0,MIN(IF('TS-PILE'!$B$72="",1E+99,'TO HOP NLAN'!D240/ncoc+IF(SUMSQ('TS-PILE'!$E$72:$E$91)=0,0,'TO HOP NLAN'!E240*'TS-PILE'!$E$72/SUMSQ('TS-PILE'!$E$72:$E$91))+IF(SUMSQ('TS-PILE'!$D$72:$D$91)=0,0,'TO HOP NLAN'!F240*'TS-PILE'!$D$72/SUMSQ('TS-PILE'!$D$72:$D$91))),IF('TS-PILE'!$B$73="",1E+99,'TO HOP NLAN'!D240/ncoc+IF(SUMSQ('TS-PILE'!$E$72:$E$91)=0,0,'TO HOP NLAN'!E240*'TS-PILE'!$E$73/SUMSQ('TS-PILE'!$E$72:$E$91))+IF(SUMSQ('TS-PILE'!$D$72:$D$91)=0,0,'TO HOP NLAN'!F240*'TS-PILE'!$D$73/SUMSQ('TS-PILE'!$D$72:$D$91))),IF('TS-PILE'!$B$74="",1E+99,'TO HOP NLAN'!D240/ncoc+IF(SUMSQ('TS-PILE'!$E$72:$E$91)=0,0,'TO HOP NLAN'!E240*'TS-PILE'!$E$74/SUMSQ('TS-PILE'!$E$72:$E$91))+IF(SUMSQ('TS-PILE'!$D$72:$D$91)=0,0,'TO HOP NLAN'!F240*'TS-PILE'!$D$74/SUMSQ('TS-PILE'!$D$72:$D$91))),IF('TS-PILE'!$B$75="",1E+99,'TO HOP NLAN'!D240/ncoc+IF(SUMSQ('TS-PILE'!$E$72:$E$91)=0,0,'TO HOP NLAN'!E240*'TS-PILE'!$E$75/SUMSQ('TS-PILE'!$E$72:$E$91))+IF(SUMSQ('TS-PILE'!$D$72:$D$91)=0,0,'TO HOP NLAN'!F240*'TS-PILE'!$D$75/SUMSQ('TS-PILE'!$D$72:$D$91))),IF('TS-PILE'!$B$76="",1E+99,'TO HOP NLAN'!D240/ncoc+IF(SUMSQ('TS-PILE'!$E$72:$E$91)=0,0,'TO HOP NLAN'!E240*'TS-PILE'!$E$76/SUMSQ('TS-PILE'!$E$72:$E$91))+IF(SUMSQ('TS-PILE'!$D$72:$D$91)=0,0,'TO HOP NLAN'!F240*'TS-PILE'!$D$76/SUMSQ('TS-PILE'!$D$72:$D$91))),IF('TS-PILE'!$B$77="",1E+99,'TO HOP NLAN'!D240/ncoc+IF(SUMSQ('TS-PILE'!$E$72:$E$91)=0,0,'TO HOP NLAN'!E240*'TS-PILE'!$E$77/SUMSQ('TS-PILE'!$E$72:$E$91))+IF(SUMSQ('TS-PILE'!$D$72:$D$91)=0,0,'TO HOP NLAN'!F240*'TS-PILE'!$D$77/SUMSQ('TS-PILE'!$D$72:$D$91))),IF('TS-PILE'!$B$78="",1E+99,'TO HOP NLAN'!D240/ncoc+IF(SUMSQ('TS-PILE'!$E$72:$E$91)=0,0,'TO HOP NLAN'!E240*'TS-PILE'!$E$78/SUMSQ('TS-PILE'!$E$72:$E$91))+IF(SUMSQ('TS-PILE'!$D$72:$D$91)=0,0,'TO HOP NLAN'!F240*'TS-PILE'!$D$78/SUMSQ('TS-PILE'!$D$72:$D$91))),IF('TS-PILE'!$B$79="",1E+99,'TO HOP NLAN'!D240/ncoc+IF(SUMSQ('TS-PILE'!$E$72:$E$91)=0,0,'TO HOP NLAN'!E240*'TS-PILE'!$E$79/SUMSQ('TS-PILE'!$E$72:$E$91))+IF(SUMSQ('TS-PILE'!$D$72:$D$91)=0,0,'TO HOP NLAN'!F240*'TS-PILE'!$D$79/SUMSQ('TS-PILE'!$D$72:$D$91))),IF('TS-PILE'!$B$80="",1E+99,'TO HOP NLAN'!D240/ncoc+IF(SUMSQ('TS-PILE'!$E$72:$E$91)=0,0,'TO HOP NLAN'!E240*'TS-PILE'!$E$80/SUMSQ('TS-PILE'!$E$72:$E$91))+IF(SUMSQ('TS-PILE'!$D$72:$D$91)=0,0,'TO HOP NLAN'!F240*'TS-PILE'!$D$80/SUMSQ('TS-PILE'!$D$72:$D$91))),IF('TS-PILE'!$B$81="",1E+99,'TO HOP NLAN'!D240/ncoc+IF(SUMSQ('TS-PILE'!$E$72:$E$91)=0,0,'TO HOP NLAN'!E240*'TS-PILE'!$E$81/SUMSQ('TS-PILE'!$E$72:$E$91))+IF(SUMSQ('TS-PILE'!$D$72:$D$91)=0,0,'TO HOP NLAN'!F240*'TS-PILE'!$D$81/SUMSQ('TS-PILE'!$D$72:$D$91))),IF('TS-PILE'!$B$82="",1E+99,'TO HOP NLAN'!D240/ncoc+IF(SUMSQ('TS-PILE'!$E$72:$E$91)=0,0,'TO HOP NLAN'!E240*'TS-PILE'!$E$82/SUMSQ('TS-PILE'!$E$72:$E$91))+IF(SUMSQ('TS-PILE'!$D$72:$D$91)=0,0,'TO HOP NLAN'!F240*'TS-PILE'!$D$82/SUMSQ('TS-PILE'!$D$72:$D$91))),IF('TS-PILE'!$B$83="",1E+99,'TO HOP NLAN'!D240/ncoc+IF(SUMSQ('TS-PILE'!$E$72:$E$91)=0,0,'TO HOP NLAN'!E240*'TS-PILE'!$E$83/SUMSQ('TS-PILE'!$E$72:$E$91))+IF(SUMSQ('TS-PILE'!$D$72:$D$91)=0,0,'TO HOP NLAN'!F240*'TS-PILE'!$D$83/SUMSQ('TS-PILE'!$D$72:$D$91))),IF('TS-PILE'!$B$84="",1E+99,'TO HOP NLAN'!D240/ncoc+IF(SUMSQ('TS-PILE'!$E$72:$E$91)=0,0,'TO HOP NLAN'!E240*'TS-PILE'!$E$84/SUMSQ('TS-PILE'!$E$72:$E$91))+IF(SUMSQ('TS-PILE'!$D$72:$D$91)=0,0,'TO HOP NLAN'!F240*'TS-PILE'!$D$84/SUMSQ('TS-PILE'!$D$72:$D$91))),IF('TS-PILE'!$B$85="",1E+99,'TO HOP NLAN'!D240/ncoc+IF(SUMSQ('TS-PILE'!$E$72:$E$91)=0,0,'TO HOP NLAN'!E240*'TS-PILE'!$E$85/SUMSQ('TS-PILE'!$E$72:$E$91))+IF(SUMSQ('TS-PILE'!$D$72:$D$91)=0,0,'TO HOP NLAN'!F240*'TS-PILE'!$D$85/SUMSQ('TS-PILE'!$D$72:$D$91))),IF('TS-PILE'!$B$86="",1E+99,'TO HOP NLAN'!D240/ncoc+IF(SUMSQ('TS-PILE'!$E$72:$E$91)=0,0,'TO HOP NLAN'!E240*'TS-PILE'!$E$86/SUMSQ('TS-PILE'!$E$72:$E$91))+IF(SUMSQ('TS-PILE'!$D$72:$D$91)=0,0,'TO HOP NLAN'!F240*'TS-PILE'!$D$86/SUMSQ('TS-PILE'!$D$72:$D$91))),IF('TS-PILE'!$B$87="",1E+99,'TO HOP NLAN'!D240/ncoc+IF(SUMSQ('TS-PILE'!$E$72:$E$91)=0,0,'TO HOP NLAN'!E240*'TS-PILE'!$E$87/SUMSQ('TS-PILE'!$E$72:$E$91))+IF(SUMSQ('TS-PILE'!$D$72:$D$91)=0,0,'TO HOP NLAN'!F240*'TS-PILE'!$D$87/SUMSQ('TS-PILE'!$D$72:$D$91))),IF('TS-PILE'!$B$88="",1E+99,'TO HOP NLAN'!D240/ncoc+IF(SUMSQ('TS-PILE'!$E$72:$E$91)=0,0,'TO HOP NLAN'!E240*'TS-PILE'!$E$88/SUMSQ('TS-PILE'!$E$72:$E$91))+IF(SUMSQ('TS-PILE'!$D$72:$D$91)=0,0,'TO HOP NLAN'!F240*'TS-PILE'!$D$88/SUMSQ('TS-PILE'!$D$72:$D$91))),IF('TS-PILE'!$B$89="",1E+99,'TO HOP NLAN'!D240/ncoc+IF(SUMSQ('TS-PILE'!$E$72:$E$91)=0,0,'TO HOP NLAN'!E240*'TS-PILE'!$E$89/SUMSQ('TS-PILE'!$E$72:$E$91))+IF(SUMSQ('TS-PILE'!$D$72:$D$91)=0,0,'TO HOP NLAN'!F240*'TS-PILE'!$D$89/SUMSQ('TS-PILE'!$D$72:$D$91))),IF('TS-PILE'!$B$90="",1E+99,'TO HOP NLAN'!D240/ncoc+IF(SUMSQ('TS-PILE'!$E$72:$E$91)=0,0,'TO HOP NLAN'!E240*'TS-PILE'!$E$90/SUMSQ('TS-PILE'!$E$72:$E$91))+IF(SUMSQ('TS-PILE'!$D$72:$D$91)=0,0,'TO HOP NLAN'!F240*'TS-PILE'!$D$90/SUMSQ('TS-PILE'!$D$72:$D$91))),IF('TS-PILE'!$B$91="",1E+99,'TO HOP NLAN'!D240/ncoc+IF(SUMSQ('TS-PILE'!$E$72:$E$91)=0,0,'TO HOP NLAN'!E240*'TS-PILE'!$E$91/SUMSQ('TS-PILE'!$E$72:$E$91))+IF(SUMSQ('TS-PILE'!$D$72:$D$91)=0,0,'TO HOP NLAN'!F240*'TS-PILE'!$D$91/SUMSQ('TS-PILE'!$D$72:$D$91)))))</f>
        <v>0</v>
      </c>
      <c r="E240" s="58">
        <f t="shared" si="12"/>
        <v>-9.9999999999999997E+98</v>
      </c>
      <c r="F240" s="58">
        <f t="shared" si="13"/>
        <v>9.9999999999999997E+98</v>
      </c>
      <c r="G240" s="58">
        <f t="shared" si="14"/>
        <v>-9.9999999999999997E+98</v>
      </c>
      <c r="H240" s="58">
        <f t="shared" si="15"/>
        <v>9.9999999999999997E+98</v>
      </c>
    </row>
    <row r="241" spans="1:8" x14ac:dyDescent="0.3">
      <c r="A241" s="42" t="str">
        <f>'TO HOP NLAN'!A241</f>
        <v/>
      </c>
      <c r="B241" s="42" t="str">
        <f>'TO HOP NLAN'!L241</f>
        <v>STRENGTH</v>
      </c>
      <c r="C241" s="58">
        <f>IF(A241="",0,MAX(IF('TS-PILE'!$B$72="",-1E+99,'TO HOP NLAN'!D241/ncoc+IF(SUMSQ('TS-PILE'!$E$72:$E$91)=0,0,'TO HOP NLAN'!E241*'TS-PILE'!$E$72/SUMSQ('TS-PILE'!$E$72:$E$91))+IF(SUMSQ('TS-PILE'!$D$72:$D$91)=0,0,'TO HOP NLAN'!F241*'TS-PILE'!$D$72/SUMSQ('TS-PILE'!$D$72:$D$91))),IF('TS-PILE'!$B$73="",-1E+99,'TO HOP NLAN'!D241/ncoc+IF(SUMSQ('TS-PILE'!$E$72:$E$91)=0,0,'TO HOP NLAN'!E241*'TS-PILE'!$E$73/SUMSQ('TS-PILE'!$E$72:$E$91))+IF(SUMSQ('TS-PILE'!$D$72:$D$91)=0,0,'TO HOP NLAN'!F241*'TS-PILE'!$D$73/SUMSQ('TS-PILE'!$D$72:$D$91))),IF('TS-PILE'!$B$74="",-1E+99,'TO HOP NLAN'!D241/ncoc+IF(SUMSQ('TS-PILE'!$E$72:$E$91)=0,0,'TO HOP NLAN'!E241*'TS-PILE'!$E$74/SUMSQ('TS-PILE'!$E$72:$E$91))+IF(SUMSQ('TS-PILE'!$D$72:$D$91)=0,0,'TO HOP NLAN'!F241*'TS-PILE'!$D$74/SUMSQ('TS-PILE'!$D$72:$D$91))),IF('TS-PILE'!$B$75="",-1E+99,'TO HOP NLAN'!D241/ncoc+IF(SUMSQ('TS-PILE'!$E$72:$E$91)=0,0,'TO HOP NLAN'!E241*'TS-PILE'!$E$75/SUMSQ('TS-PILE'!$E$72:$E$91))+IF(SUMSQ('TS-PILE'!$D$72:$D$91)=0,0,'TO HOP NLAN'!F241*'TS-PILE'!$D$75/SUMSQ('TS-PILE'!$D$72:$D$91))),IF('TS-PILE'!$B$76="",-1E+99,'TO HOP NLAN'!D241/ncoc+IF(SUMSQ('TS-PILE'!$E$72:$E$91)=0,0,'TO HOP NLAN'!E241*'TS-PILE'!$E$76/SUMSQ('TS-PILE'!$E$72:$E$91))+IF(SUMSQ('TS-PILE'!$D$72:$D$91)=0,0,'TO HOP NLAN'!F241*'TS-PILE'!$D$76/SUMSQ('TS-PILE'!$D$72:$D$91))),IF('TS-PILE'!$B$77="",-1E+99,'TO HOP NLAN'!D241/ncoc+IF(SUMSQ('TS-PILE'!$E$72:$E$91)=0,0,'TO HOP NLAN'!E241*'TS-PILE'!$E$77/SUMSQ('TS-PILE'!$E$72:$E$91))+IF(SUMSQ('TS-PILE'!$D$72:$D$91)=0,0,'TO HOP NLAN'!F241*'TS-PILE'!$D$77/SUMSQ('TS-PILE'!$D$72:$D$91))),IF('TS-PILE'!$B$78="",-1E+99,'TO HOP NLAN'!D241/ncoc+IF(SUMSQ('TS-PILE'!$E$72:$E$91)=0,0,'TO HOP NLAN'!E241*'TS-PILE'!$E$78/SUMSQ('TS-PILE'!$E$72:$E$91))+IF(SUMSQ('TS-PILE'!$D$72:$D$91)=0,0,'TO HOP NLAN'!F241*'TS-PILE'!$D$78/SUMSQ('TS-PILE'!$D$72:$D$91))),IF('TS-PILE'!$B$79="",-1E+99,'TO HOP NLAN'!D241/ncoc+IF(SUMSQ('TS-PILE'!$E$72:$E$91)=0,0,'TO HOP NLAN'!E241*'TS-PILE'!$E$79/SUMSQ('TS-PILE'!$E$72:$E$91))+IF(SUMSQ('TS-PILE'!$D$72:$D$91)=0,0,'TO HOP NLAN'!F241*'TS-PILE'!$D$79/SUMSQ('TS-PILE'!$D$72:$D$91))),IF('TS-PILE'!$B$80="",-1E+99,'TO HOP NLAN'!D241/ncoc+IF(SUMSQ('TS-PILE'!$E$72:$E$91)=0,0,'TO HOP NLAN'!E241*'TS-PILE'!$E$80/SUMSQ('TS-PILE'!$E$72:$E$91))+IF(SUMSQ('TS-PILE'!$D$72:$D$91)=0,0,'TO HOP NLAN'!F241*'TS-PILE'!$D$80/SUMSQ('TS-PILE'!$D$72:$D$91))),IF('TS-PILE'!$B$81="",-1E+99,'TO HOP NLAN'!D241/ncoc+IF(SUMSQ('TS-PILE'!$E$72:$E$91)=0,0,'TO HOP NLAN'!E241*'TS-PILE'!$E$81/SUMSQ('TS-PILE'!$E$72:$E$91))+IF(SUMSQ('TS-PILE'!$D$72:$D$91)=0,0,'TO HOP NLAN'!F241*'TS-PILE'!$D$81/SUMSQ('TS-PILE'!$D$72:$D$91))),IF('TS-PILE'!$B$82="",-1E+99,'TO HOP NLAN'!D241/ncoc+IF(SUMSQ('TS-PILE'!$E$72:$E$91)=0,0,'TO HOP NLAN'!E241*'TS-PILE'!$E$82/SUMSQ('TS-PILE'!$E$72:$E$91))+IF(SUMSQ('TS-PILE'!$D$72:$D$91)=0,0,'TO HOP NLAN'!F241*'TS-PILE'!$D$82/SUMSQ('TS-PILE'!$D$72:$D$91))),IF('TS-PILE'!$B$83="",-1E+99,'TO HOP NLAN'!D241/ncoc+IF(SUMSQ('TS-PILE'!$E$72:$E$91)=0,0,'TO HOP NLAN'!E241*'TS-PILE'!$E$83/SUMSQ('TS-PILE'!$E$72:$E$91))+IF(SUMSQ('TS-PILE'!$D$72:$D$91)=0,0,'TO HOP NLAN'!F241*'TS-PILE'!$D$83/SUMSQ('TS-PILE'!$D$72:$D$91))),IF('TS-PILE'!$B$84="",-1E+99,'TO HOP NLAN'!D241/ncoc+IF(SUMSQ('TS-PILE'!$E$72:$E$91)=0,0,'TO HOP NLAN'!E241*'TS-PILE'!$E$84/SUMSQ('TS-PILE'!$E$72:$E$91))+IF(SUMSQ('TS-PILE'!$D$72:$D$91)=0,0,'TO HOP NLAN'!F241*'TS-PILE'!$D$84/SUMSQ('TS-PILE'!$D$72:$D$91))),IF('TS-PILE'!$B$85="",-1E+99,'TO HOP NLAN'!D241/ncoc+IF(SUMSQ('TS-PILE'!$E$72:$E$91)=0,0,'TO HOP NLAN'!E241*'TS-PILE'!$E$85/SUMSQ('TS-PILE'!$E$72:$E$91))+IF(SUMSQ('TS-PILE'!$D$72:$D$91)=0,0,'TO HOP NLAN'!F241*'TS-PILE'!$D$85/SUMSQ('TS-PILE'!$D$72:$D$91))),IF('TS-PILE'!$B$86="",-1E+99,'TO HOP NLAN'!D241/ncoc+IF(SUMSQ('TS-PILE'!$E$72:$E$91)=0,0,'TO HOP NLAN'!E241*'TS-PILE'!$E$86/SUMSQ('TS-PILE'!$E$72:$E$91))+IF(SUMSQ('TS-PILE'!$D$72:$D$91)=0,0,'TO HOP NLAN'!F241*'TS-PILE'!$D$86/SUMSQ('TS-PILE'!$D$72:$D$91))),IF('TS-PILE'!$B$87="",-1E+99,'TO HOP NLAN'!D241/ncoc+IF(SUMSQ('TS-PILE'!$E$72:$E$91)=0,0,'TO HOP NLAN'!E241*'TS-PILE'!$E$87/SUMSQ('TS-PILE'!$E$72:$E$91))+IF(SUMSQ('TS-PILE'!$D$72:$D$91)=0,0,'TO HOP NLAN'!F241*'TS-PILE'!$D$87/SUMSQ('TS-PILE'!$D$72:$D$91))),IF('TS-PILE'!$B$88="",-1E+99,'TO HOP NLAN'!D241/ncoc+IF(SUMSQ('TS-PILE'!$E$72:$E$91)=0,0,'TO HOP NLAN'!E241*'TS-PILE'!$E$88/SUMSQ('TS-PILE'!$E$72:$E$91))+IF(SUMSQ('TS-PILE'!$D$72:$D$91)=0,0,'TO HOP NLAN'!F241*'TS-PILE'!$D$88/SUMSQ('TS-PILE'!$D$72:$D$91))),IF('TS-PILE'!$B$89="",-1E+99,'TO HOP NLAN'!D241/ncoc+IF(SUMSQ('TS-PILE'!$E$72:$E$91)=0,0,'TO HOP NLAN'!E241*'TS-PILE'!$E$89/SUMSQ('TS-PILE'!$E$72:$E$91))+IF(SUMSQ('TS-PILE'!$D$72:$D$91)=0,0,'TO HOP NLAN'!F241*'TS-PILE'!$D$89/SUMSQ('TS-PILE'!$D$72:$D$91))),IF('TS-PILE'!$B$90="",-1E+99,'TO HOP NLAN'!D241/ncoc+IF(SUMSQ('TS-PILE'!$E$72:$E$91)=0,0,'TO HOP NLAN'!E241*'TS-PILE'!$E$90/SUMSQ('TS-PILE'!$E$72:$E$91))+IF(SUMSQ('TS-PILE'!$D$72:$D$91)=0,0,'TO HOP NLAN'!F241*'TS-PILE'!$D$90/SUMSQ('TS-PILE'!$D$72:$D$91))),IF('TS-PILE'!$B$91="",-1E+99,'TO HOP NLAN'!D241/ncoc+IF(SUMSQ('TS-PILE'!$E$72:$E$91)=0,0,'TO HOP NLAN'!E241*'TS-PILE'!$E$91/SUMSQ('TS-PILE'!$E$72:$E$91))+IF(SUMSQ('TS-PILE'!$D$72:$D$91)=0,0,'TO HOP NLAN'!F241*'TS-PILE'!$D$91/SUMSQ('TS-PILE'!$D$72:$D$91)))))</f>
        <v>0</v>
      </c>
      <c r="D241" s="58">
        <f>IF(A241="",0,MIN(IF('TS-PILE'!$B$72="",1E+99,'TO HOP NLAN'!D241/ncoc+IF(SUMSQ('TS-PILE'!$E$72:$E$91)=0,0,'TO HOP NLAN'!E241*'TS-PILE'!$E$72/SUMSQ('TS-PILE'!$E$72:$E$91))+IF(SUMSQ('TS-PILE'!$D$72:$D$91)=0,0,'TO HOP NLAN'!F241*'TS-PILE'!$D$72/SUMSQ('TS-PILE'!$D$72:$D$91))),IF('TS-PILE'!$B$73="",1E+99,'TO HOP NLAN'!D241/ncoc+IF(SUMSQ('TS-PILE'!$E$72:$E$91)=0,0,'TO HOP NLAN'!E241*'TS-PILE'!$E$73/SUMSQ('TS-PILE'!$E$72:$E$91))+IF(SUMSQ('TS-PILE'!$D$72:$D$91)=0,0,'TO HOP NLAN'!F241*'TS-PILE'!$D$73/SUMSQ('TS-PILE'!$D$72:$D$91))),IF('TS-PILE'!$B$74="",1E+99,'TO HOP NLAN'!D241/ncoc+IF(SUMSQ('TS-PILE'!$E$72:$E$91)=0,0,'TO HOP NLAN'!E241*'TS-PILE'!$E$74/SUMSQ('TS-PILE'!$E$72:$E$91))+IF(SUMSQ('TS-PILE'!$D$72:$D$91)=0,0,'TO HOP NLAN'!F241*'TS-PILE'!$D$74/SUMSQ('TS-PILE'!$D$72:$D$91))),IF('TS-PILE'!$B$75="",1E+99,'TO HOP NLAN'!D241/ncoc+IF(SUMSQ('TS-PILE'!$E$72:$E$91)=0,0,'TO HOP NLAN'!E241*'TS-PILE'!$E$75/SUMSQ('TS-PILE'!$E$72:$E$91))+IF(SUMSQ('TS-PILE'!$D$72:$D$91)=0,0,'TO HOP NLAN'!F241*'TS-PILE'!$D$75/SUMSQ('TS-PILE'!$D$72:$D$91))),IF('TS-PILE'!$B$76="",1E+99,'TO HOP NLAN'!D241/ncoc+IF(SUMSQ('TS-PILE'!$E$72:$E$91)=0,0,'TO HOP NLAN'!E241*'TS-PILE'!$E$76/SUMSQ('TS-PILE'!$E$72:$E$91))+IF(SUMSQ('TS-PILE'!$D$72:$D$91)=0,0,'TO HOP NLAN'!F241*'TS-PILE'!$D$76/SUMSQ('TS-PILE'!$D$72:$D$91))),IF('TS-PILE'!$B$77="",1E+99,'TO HOP NLAN'!D241/ncoc+IF(SUMSQ('TS-PILE'!$E$72:$E$91)=0,0,'TO HOP NLAN'!E241*'TS-PILE'!$E$77/SUMSQ('TS-PILE'!$E$72:$E$91))+IF(SUMSQ('TS-PILE'!$D$72:$D$91)=0,0,'TO HOP NLAN'!F241*'TS-PILE'!$D$77/SUMSQ('TS-PILE'!$D$72:$D$91))),IF('TS-PILE'!$B$78="",1E+99,'TO HOP NLAN'!D241/ncoc+IF(SUMSQ('TS-PILE'!$E$72:$E$91)=0,0,'TO HOP NLAN'!E241*'TS-PILE'!$E$78/SUMSQ('TS-PILE'!$E$72:$E$91))+IF(SUMSQ('TS-PILE'!$D$72:$D$91)=0,0,'TO HOP NLAN'!F241*'TS-PILE'!$D$78/SUMSQ('TS-PILE'!$D$72:$D$91))),IF('TS-PILE'!$B$79="",1E+99,'TO HOP NLAN'!D241/ncoc+IF(SUMSQ('TS-PILE'!$E$72:$E$91)=0,0,'TO HOP NLAN'!E241*'TS-PILE'!$E$79/SUMSQ('TS-PILE'!$E$72:$E$91))+IF(SUMSQ('TS-PILE'!$D$72:$D$91)=0,0,'TO HOP NLAN'!F241*'TS-PILE'!$D$79/SUMSQ('TS-PILE'!$D$72:$D$91))),IF('TS-PILE'!$B$80="",1E+99,'TO HOP NLAN'!D241/ncoc+IF(SUMSQ('TS-PILE'!$E$72:$E$91)=0,0,'TO HOP NLAN'!E241*'TS-PILE'!$E$80/SUMSQ('TS-PILE'!$E$72:$E$91))+IF(SUMSQ('TS-PILE'!$D$72:$D$91)=0,0,'TO HOP NLAN'!F241*'TS-PILE'!$D$80/SUMSQ('TS-PILE'!$D$72:$D$91))),IF('TS-PILE'!$B$81="",1E+99,'TO HOP NLAN'!D241/ncoc+IF(SUMSQ('TS-PILE'!$E$72:$E$91)=0,0,'TO HOP NLAN'!E241*'TS-PILE'!$E$81/SUMSQ('TS-PILE'!$E$72:$E$91))+IF(SUMSQ('TS-PILE'!$D$72:$D$91)=0,0,'TO HOP NLAN'!F241*'TS-PILE'!$D$81/SUMSQ('TS-PILE'!$D$72:$D$91))),IF('TS-PILE'!$B$82="",1E+99,'TO HOP NLAN'!D241/ncoc+IF(SUMSQ('TS-PILE'!$E$72:$E$91)=0,0,'TO HOP NLAN'!E241*'TS-PILE'!$E$82/SUMSQ('TS-PILE'!$E$72:$E$91))+IF(SUMSQ('TS-PILE'!$D$72:$D$91)=0,0,'TO HOP NLAN'!F241*'TS-PILE'!$D$82/SUMSQ('TS-PILE'!$D$72:$D$91))),IF('TS-PILE'!$B$83="",1E+99,'TO HOP NLAN'!D241/ncoc+IF(SUMSQ('TS-PILE'!$E$72:$E$91)=0,0,'TO HOP NLAN'!E241*'TS-PILE'!$E$83/SUMSQ('TS-PILE'!$E$72:$E$91))+IF(SUMSQ('TS-PILE'!$D$72:$D$91)=0,0,'TO HOP NLAN'!F241*'TS-PILE'!$D$83/SUMSQ('TS-PILE'!$D$72:$D$91))),IF('TS-PILE'!$B$84="",1E+99,'TO HOP NLAN'!D241/ncoc+IF(SUMSQ('TS-PILE'!$E$72:$E$91)=0,0,'TO HOP NLAN'!E241*'TS-PILE'!$E$84/SUMSQ('TS-PILE'!$E$72:$E$91))+IF(SUMSQ('TS-PILE'!$D$72:$D$91)=0,0,'TO HOP NLAN'!F241*'TS-PILE'!$D$84/SUMSQ('TS-PILE'!$D$72:$D$91))),IF('TS-PILE'!$B$85="",1E+99,'TO HOP NLAN'!D241/ncoc+IF(SUMSQ('TS-PILE'!$E$72:$E$91)=0,0,'TO HOP NLAN'!E241*'TS-PILE'!$E$85/SUMSQ('TS-PILE'!$E$72:$E$91))+IF(SUMSQ('TS-PILE'!$D$72:$D$91)=0,0,'TO HOP NLAN'!F241*'TS-PILE'!$D$85/SUMSQ('TS-PILE'!$D$72:$D$91))),IF('TS-PILE'!$B$86="",1E+99,'TO HOP NLAN'!D241/ncoc+IF(SUMSQ('TS-PILE'!$E$72:$E$91)=0,0,'TO HOP NLAN'!E241*'TS-PILE'!$E$86/SUMSQ('TS-PILE'!$E$72:$E$91))+IF(SUMSQ('TS-PILE'!$D$72:$D$91)=0,0,'TO HOP NLAN'!F241*'TS-PILE'!$D$86/SUMSQ('TS-PILE'!$D$72:$D$91))),IF('TS-PILE'!$B$87="",1E+99,'TO HOP NLAN'!D241/ncoc+IF(SUMSQ('TS-PILE'!$E$72:$E$91)=0,0,'TO HOP NLAN'!E241*'TS-PILE'!$E$87/SUMSQ('TS-PILE'!$E$72:$E$91))+IF(SUMSQ('TS-PILE'!$D$72:$D$91)=0,0,'TO HOP NLAN'!F241*'TS-PILE'!$D$87/SUMSQ('TS-PILE'!$D$72:$D$91))),IF('TS-PILE'!$B$88="",1E+99,'TO HOP NLAN'!D241/ncoc+IF(SUMSQ('TS-PILE'!$E$72:$E$91)=0,0,'TO HOP NLAN'!E241*'TS-PILE'!$E$88/SUMSQ('TS-PILE'!$E$72:$E$91))+IF(SUMSQ('TS-PILE'!$D$72:$D$91)=0,0,'TO HOP NLAN'!F241*'TS-PILE'!$D$88/SUMSQ('TS-PILE'!$D$72:$D$91))),IF('TS-PILE'!$B$89="",1E+99,'TO HOP NLAN'!D241/ncoc+IF(SUMSQ('TS-PILE'!$E$72:$E$91)=0,0,'TO HOP NLAN'!E241*'TS-PILE'!$E$89/SUMSQ('TS-PILE'!$E$72:$E$91))+IF(SUMSQ('TS-PILE'!$D$72:$D$91)=0,0,'TO HOP NLAN'!F241*'TS-PILE'!$D$89/SUMSQ('TS-PILE'!$D$72:$D$91))),IF('TS-PILE'!$B$90="",1E+99,'TO HOP NLAN'!D241/ncoc+IF(SUMSQ('TS-PILE'!$E$72:$E$91)=0,0,'TO HOP NLAN'!E241*'TS-PILE'!$E$90/SUMSQ('TS-PILE'!$E$72:$E$91))+IF(SUMSQ('TS-PILE'!$D$72:$D$91)=0,0,'TO HOP NLAN'!F241*'TS-PILE'!$D$90/SUMSQ('TS-PILE'!$D$72:$D$91))),IF('TS-PILE'!$B$91="",1E+99,'TO HOP NLAN'!D241/ncoc+IF(SUMSQ('TS-PILE'!$E$72:$E$91)=0,0,'TO HOP NLAN'!E241*'TS-PILE'!$E$91/SUMSQ('TS-PILE'!$E$72:$E$91))+IF(SUMSQ('TS-PILE'!$D$72:$D$91)=0,0,'TO HOP NLAN'!F241*'TS-PILE'!$D$91/SUMSQ('TS-PILE'!$D$72:$D$91)))))</f>
        <v>0</v>
      </c>
      <c r="E241" s="58">
        <f t="shared" si="12"/>
        <v>-9.9999999999999997E+98</v>
      </c>
      <c r="F241" s="58">
        <f t="shared" si="13"/>
        <v>9.9999999999999997E+98</v>
      </c>
      <c r="G241" s="58">
        <f t="shared" si="14"/>
        <v>-9.9999999999999997E+98</v>
      </c>
      <c r="H241" s="58">
        <f t="shared" si="15"/>
        <v>9.9999999999999997E+98</v>
      </c>
    </row>
    <row r="242" spans="1:8" x14ac:dyDescent="0.3">
      <c r="A242" s="42" t="str">
        <f>'TO HOP NLAN'!A242</f>
        <v/>
      </c>
      <c r="B242" s="42" t="str">
        <f>'TO HOP NLAN'!L242</f>
        <v>STRENGTH</v>
      </c>
      <c r="C242" s="58">
        <f>IF(A242="",0,MAX(IF('TS-PILE'!$B$72="",-1E+99,'TO HOP NLAN'!D242/ncoc+IF(SUMSQ('TS-PILE'!$E$72:$E$91)=0,0,'TO HOP NLAN'!E242*'TS-PILE'!$E$72/SUMSQ('TS-PILE'!$E$72:$E$91))+IF(SUMSQ('TS-PILE'!$D$72:$D$91)=0,0,'TO HOP NLAN'!F242*'TS-PILE'!$D$72/SUMSQ('TS-PILE'!$D$72:$D$91))),IF('TS-PILE'!$B$73="",-1E+99,'TO HOP NLAN'!D242/ncoc+IF(SUMSQ('TS-PILE'!$E$72:$E$91)=0,0,'TO HOP NLAN'!E242*'TS-PILE'!$E$73/SUMSQ('TS-PILE'!$E$72:$E$91))+IF(SUMSQ('TS-PILE'!$D$72:$D$91)=0,0,'TO HOP NLAN'!F242*'TS-PILE'!$D$73/SUMSQ('TS-PILE'!$D$72:$D$91))),IF('TS-PILE'!$B$74="",-1E+99,'TO HOP NLAN'!D242/ncoc+IF(SUMSQ('TS-PILE'!$E$72:$E$91)=0,0,'TO HOP NLAN'!E242*'TS-PILE'!$E$74/SUMSQ('TS-PILE'!$E$72:$E$91))+IF(SUMSQ('TS-PILE'!$D$72:$D$91)=0,0,'TO HOP NLAN'!F242*'TS-PILE'!$D$74/SUMSQ('TS-PILE'!$D$72:$D$91))),IF('TS-PILE'!$B$75="",-1E+99,'TO HOP NLAN'!D242/ncoc+IF(SUMSQ('TS-PILE'!$E$72:$E$91)=0,0,'TO HOP NLAN'!E242*'TS-PILE'!$E$75/SUMSQ('TS-PILE'!$E$72:$E$91))+IF(SUMSQ('TS-PILE'!$D$72:$D$91)=0,0,'TO HOP NLAN'!F242*'TS-PILE'!$D$75/SUMSQ('TS-PILE'!$D$72:$D$91))),IF('TS-PILE'!$B$76="",-1E+99,'TO HOP NLAN'!D242/ncoc+IF(SUMSQ('TS-PILE'!$E$72:$E$91)=0,0,'TO HOP NLAN'!E242*'TS-PILE'!$E$76/SUMSQ('TS-PILE'!$E$72:$E$91))+IF(SUMSQ('TS-PILE'!$D$72:$D$91)=0,0,'TO HOP NLAN'!F242*'TS-PILE'!$D$76/SUMSQ('TS-PILE'!$D$72:$D$91))),IF('TS-PILE'!$B$77="",-1E+99,'TO HOP NLAN'!D242/ncoc+IF(SUMSQ('TS-PILE'!$E$72:$E$91)=0,0,'TO HOP NLAN'!E242*'TS-PILE'!$E$77/SUMSQ('TS-PILE'!$E$72:$E$91))+IF(SUMSQ('TS-PILE'!$D$72:$D$91)=0,0,'TO HOP NLAN'!F242*'TS-PILE'!$D$77/SUMSQ('TS-PILE'!$D$72:$D$91))),IF('TS-PILE'!$B$78="",-1E+99,'TO HOP NLAN'!D242/ncoc+IF(SUMSQ('TS-PILE'!$E$72:$E$91)=0,0,'TO HOP NLAN'!E242*'TS-PILE'!$E$78/SUMSQ('TS-PILE'!$E$72:$E$91))+IF(SUMSQ('TS-PILE'!$D$72:$D$91)=0,0,'TO HOP NLAN'!F242*'TS-PILE'!$D$78/SUMSQ('TS-PILE'!$D$72:$D$91))),IF('TS-PILE'!$B$79="",-1E+99,'TO HOP NLAN'!D242/ncoc+IF(SUMSQ('TS-PILE'!$E$72:$E$91)=0,0,'TO HOP NLAN'!E242*'TS-PILE'!$E$79/SUMSQ('TS-PILE'!$E$72:$E$91))+IF(SUMSQ('TS-PILE'!$D$72:$D$91)=0,0,'TO HOP NLAN'!F242*'TS-PILE'!$D$79/SUMSQ('TS-PILE'!$D$72:$D$91))),IF('TS-PILE'!$B$80="",-1E+99,'TO HOP NLAN'!D242/ncoc+IF(SUMSQ('TS-PILE'!$E$72:$E$91)=0,0,'TO HOP NLAN'!E242*'TS-PILE'!$E$80/SUMSQ('TS-PILE'!$E$72:$E$91))+IF(SUMSQ('TS-PILE'!$D$72:$D$91)=0,0,'TO HOP NLAN'!F242*'TS-PILE'!$D$80/SUMSQ('TS-PILE'!$D$72:$D$91))),IF('TS-PILE'!$B$81="",-1E+99,'TO HOP NLAN'!D242/ncoc+IF(SUMSQ('TS-PILE'!$E$72:$E$91)=0,0,'TO HOP NLAN'!E242*'TS-PILE'!$E$81/SUMSQ('TS-PILE'!$E$72:$E$91))+IF(SUMSQ('TS-PILE'!$D$72:$D$91)=0,0,'TO HOP NLAN'!F242*'TS-PILE'!$D$81/SUMSQ('TS-PILE'!$D$72:$D$91))),IF('TS-PILE'!$B$82="",-1E+99,'TO HOP NLAN'!D242/ncoc+IF(SUMSQ('TS-PILE'!$E$72:$E$91)=0,0,'TO HOP NLAN'!E242*'TS-PILE'!$E$82/SUMSQ('TS-PILE'!$E$72:$E$91))+IF(SUMSQ('TS-PILE'!$D$72:$D$91)=0,0,'TO HOP NLAN'!F242*'TS-PILE'!$D$82/SUMSQ('TS-PILE'!$D$72:$D$91))),IF('TS-PILE'!$B$83="",-1E+99,'TO HOP NLAN'!D242/ncoc+IF(SUMSQ('TS-PILE'!$E$72:$E$91)=0,0,'TO HOP NLAN'!E242*'TS-PILE'!$E$83/SUMSQ('TS-PILE'!$E$72:$E$91))+IF(SUMSQ('TS-PILE'!$D$72:$D$91)=0,0,'TO HOP NLAN'!F242*'TS-PILE'!$D$83/SUMSQ('TS-PILE'!$D$72:$D$91))),IF('TS-PILE'!$B$84="",-1E+99,'TO HOP NLAN'!D242/ncoc+IF(SUMSQ('TS-PILE'!$E$72:$E$91)=0,0,'TO HOP NLAN'!E242*'TS-PILE'!$E$84/SUMSQ('TS-PILE'!$E$72:$E$91))+IF(SUMSQ('TS-PILE'!$D$72:$D$91)=0,0,'TO HOP NLAN'!F242*'TS-PILE'!$D$84/SUMSQ('TS-PILE'!$D$72:$D$91))),IF('TS-PILE'!$B$85="",-1E+99,'TO HOP NLAN'!D242/ncoc+IF(SUMSQ('TS-PILE'!$E$72:$E$91)=0,0,'TO HOP NLAN'!E242*'TS-PILE'!$E$85/SUMSQ('TS-PILE'!$E$72:$E$91))+IF(SUMSQ('TS-PILE'!$D$72:$D$91)=0,0,'TO HOP NLAN'!F242*'TS-PILE'!$D$85/SUMSQ('TS-PILE'!$D$72:$D$91))),IF('TS-PILE'!$B$86="",-1E+99,'TO HOP NLAN'!D242/ncoc+IF(SUMSQ('TS-PILE'!$E$72:$E$91)=0,0,'TO HOP NLAN'!E242*'TS-PILE'!$E$86/SUMSQ('TS-PILE'!$E$72:$E$91))+IF(SUMSQ('TS-PILE'!$D$72:$D$91)=0,0,'TO HOP NLAN'!F242*'TS-PILE'!$D$86/SUMSQ('TS-PILE'!$D$72:$D$91))),IF('TS-PILE'!$B$87="",-1E+99,'TO HOP NLAN'!D242/ncoc+IF(SUMSQ('TS-PILE'!$E$72:$E$91)=0,0,'TO HOP NLAN'!E242*'TS-PILE'!$E$87/SUMSQ('TS-PILE'!$E$72:$E$91))+IF(SUMSQ('TS-PILE'!$D$72:$D$91)=0,0,'TO HOP NLAN'!F242*'TS-PILE'!$D$87/SUMSQ('TS-PILE'!$D$72:$D$91))),IF('TS-PILE'!$B$88="",-1E+99,'TO HOP NLAN'!D242/ncoc+IF(SUMSQ('TS-PILE'!$E$72:$E$91)=0,0,'TO HOP NLAN'!E242*'TS-PILE'!$E$88/SUMSQ('TS-PILE'!$E$72:$E$91))+IF(SUMSQ('TS-PILE'!$D$72:$D$91)=0,0,'TO HOP NLAN'!F242*'TS-PILE'!$D$88/SUMSQ('TS-PILE'!$D$72:$D$91))),IF('TS-PILE'!$B$89="",-1E+99,'TO HOP NLAN'!D242/ncoc+IF(SUMSQ('TS-PILE'!$E$72:$E$91)=0,0,'TO HOP NLAN'!E242*'TS-PILE'!$E$89/SUMSQ('TS-PILE'!$E$72:$E$91))+IF(SUMSQ('TS-PILE'!$D$72:$D$91)=0,0,'TO HOP NLAN'!F242*'TS-PILE'!$D$89/SUMSQ('TS-PILE'!$D$72:$D$91))),IF('TS-PILE'!$B$90="",-1E+99,'TO HOP NLAN'!D242/ncoc+IF(SUMSQ('TS-PILE'!$E$72:$E$91)=0,0,'TO HOP NLAN'!E242*'TS-PILE'!$E$90/SUMSQ('TS-PILE'!$E$72:$E$91))+IF(SUMSQ('TS-PILE'!$D$72:$D$91)=0,0,'TO HOP NLAN'!F242*'TS-PILE'!$D$90/SUMSQ('TS-PILE'!$D$72:$D$91))),IF('TS-PILE'!$B$91="",-1E+99,'TO HOP NLAN'!D242/ncoc+IF(SUMSQ('TS-PILE'!$E$72:$E$91)=0,0,'TO HOP NLAN'!E242*'TS-PILE'!$E$91/SUMSQ('TS-PILE'!$E$72:$E$91))+IF(SUMSQ('TS-PILE'!$D$72:$D$91)=0,0,'TO HOP NLAN'!F242*'TS-PILE'!$D$91/SUMSQ('TS-PILE'!$D$72:$D$91)))))</f>
        <v>0</v>
      </c>
      <c r="D242" s="58">
        <f>IF(A242="",0,MIN(IF('TS-PILE'!$B$72="",1E+99,'TO HOP NLAN'!D242/ncoc+IF(SUMSQ('TS-PILE'!$E$72:$E$91)=0,0,'TO HOP NLAN'!E242*'TS-PILE'!$E$72/SUMSQ('TS-PILE'!$E$72:$E$91))+IF(SUMSQ('TS-PILE'!$D$72:$D$91)=0,0,'TO HOP NLAN'!F242*'TS-PILE'!$D$72/SUMSQ('TS-PILE'!$D$72:$D$91))),IF('TS-PILE'!$B$73="",1E+99,'TO HOP NLAN'!D242/ncoc+IF(SUMSQ('TS-PILE'!$E$72:$E$91)=0,0,'TO HOP NLAN'!E242*'TS-PILE'!$E$73/SUMSQ('TS-PILE'!$E$72:$E$91))+IF(SUMSQ('TS-PILE'!$D$72:$D$91)=0,0,'TO HOP NLAN'!F242*'TS-PILE'!$D$73/SUMSQ('TS-PILE'!$D$72:$D$91))),IF('TS-PILE'!$B$74="",1E+99,'TO HOP NLAN'!D242/ncoc+IF(SUMSQ('TS-PILE'!$E$72:$E$91)=0,0,'TO HOP NLAN'!E242*'TS-PILE'!$E$74/SUMSQ('TS-PILE'!$E$72:$E$91))+IF(SUMSQ('TS-PILE'!$D$72:$D$91)=0,0,'TO HOP NLAN'!F242*'TS-PILE'!$D$74/SUMSQ('TS-PILE'!$D$72:$D$91))),IF('TS-PILE'!$B$75="",1E+99,'TO HOP NLAN'!D242/ncoc+IF(SUMSQ('TS-PILE'!$E$72:$E$91)=0,0,'TO HOP NLAN'!E242*'TS-PILE'!$E$75/SUMSQ('TS-PILE'!$E$72:$E$91))+IF(SUMSQ('TS-PILE'!$D$72:$D$91)=0,0,'TO HOP NLAN'!F242*'TS-PILE'!$D$75/SUMSQ('TS-PILE'!$D$72:$D$91))),IF('TS-PILE'!$B$76="",1E+99,'TO HOP NLAN'!D242/ncoc+IF(SUMSQ('TS-PILE'!$E$72:$E$91)=0,0,'TO HOP NLAN'!E242*'TS-PILE'!$E$76/SUMSQ('TS-PILE'!$E$72:$E$91))+IF(SUMSQ('TS-PILE'!$D$72:$D$91)=0,0,'TO HOP NLAN'!F242*'TS-PILE'!$D$76/SUMSQ('TS-PILE'!$D$72:$D$91))),IF('TS-PILE'!$B$77="",1E+99,'TO HOP NLAN'!D242/ncoc+IF(SUMSQ('TS-PILE'!$E$72:$E$91)=0,0,'TO HOP NLAN'!E242*'TS-PILE'!$E$77/SUMSQ('TS-PILE'!$E$72:$E$91))+IF(SUMSQ('TS-PILE'!$D$72:$D$91)=0,0,'TO HOP NLAN'!F242*'TS-PILE'!$D$77/SUMSQ('TS-PILE'!$D$72:$D$91))),IF('TS-PILE'!$B$78="",1E+99,'TO HOP NLAN'!D242/ncoc+IF(SUMSQ('TS-PILE'!$E$72:$E$91)=0,0,'TO HOP NLAN'!E242*'TS-PILE'!$E$78/SUMSQ('TS-PILE'!$E$72:$E$91))+IF(SUMSQ('TS-PILE'!$D$72:$D$91)=0,0,'TO HOP NLAN'!F242*'TS-PILE'!$D$78/SUMSQ('TS-PILE'!$D$72:$D$91))),IF('TS-PILE'!$B$79="",1E+99,'TO HOP NLAN'!D242/ncoc+IF(SUMSQ('TS-PILE'!$E$72:$E$91)=0,0,'TO HOP NLAN'!E242*'TS-PILE'!$E$79/SUMSQ('TS-PILE'!$E$72:$E$91))+IF(SUMSQ('TS-PILE'!$D$72:$D$91)=0,0,'TO HOP NLAN'!F242*'TS-PILE'!$D$79/SUMSQ('TS-PILE'!$D$72:$D$91))),IF('TS-PILE'!$B$80="",1E+99,'TO HOP NLAN'!D242/ncoc+IF(SUMSQ('TS-PILE'!$E$72:$E$91)=0,0,'TO HOP NLAN'!E242*'TS-PILE'!$E$80/SUMSQ('TS-PILE'!$E$72:$E$91))+IF(SUMSQ('TS-PILE'!$D$72:$D$91)=0,0,'TO HOP NLAN'!F242*'TS-PILE'!$D$80/SUMSQ('TS-PILE'!$D$72:$D$91))),IF('TS-PILE'!$B$81="",1E+99,'TO HOP NLAN'!D242/ncoc+IF(SUMSQ('TS-PILE'!$E$72:$E$91)=0,0,'TO HOP NLAN'!E242*'TS-PILE'!$E$81/SUMSQ('TS-PILE'!$E$72:$E$91))+IF(SUMSQ('TS-PILE'!$D$72:$D$91)=0,0,'TO HOP NLAN'!F242*'TS-PILE'!$D$81/SUMSQ('TS-PILE'!$D$72:$D$91))),IF('TS-PILE'!$B$82="",1E+99,'TO HOP NLAN'!D242/ncoc+IF(SUMSQ('TS-PILE'!$E$72:$E$91)=0,0,'TO HOP NLAN'!E242*'TS-PILE'!$E$82/SUMSQ('TS-PILE'!$E$72:$E$91))+IF(SUMSQ('TS-PILE'!$D$72:$D$91)=0,0,'TO HOP NLAN'!F242*'TS-PILE'!$D$82/SUMSQ('TS-PILE'!$D$72:$D$91))),IF('TS-PILE'!$B$83="",1E+99,'TO HOP NLAN'!D242/ncoc+IF(SUMSQ('TS-PILE'!$E$72:$E$91)=0,0,'TO HOP NLAN'!E242*'TS-PILE'!$E$83/SUMSQ('TS-PILE'!$E$72:$E$91))+IF(SUMSQ('TS-PILE'!$D$72:$D$91)=0,0,'TO HOP NLAN'!F242*'TS-PILE'!$D$83/SUMSQ('TS-PILE'!$D$72:$D$91))),IF('TS-PILE'!$B$84="",1E+99,'TO HOP NLAN'!D242/ncoc+IF(SUMSQ('TS-PILE'!$E$72:$E$91)=0,0,'TO HOP NLAN'!E242*'TS-PILE'!$E$84/SUMSQ('TS-PILE'!$E$72:$E$91))+IF(SUMSQ('TS-PILE'!$D$72:$D$91)=0,0,'TO HOP NLAN'!F242*'TS-PILE'!$D$84/SUMSQ('TS-PILE'!$D$72:$D$91))),IF('TS-PILE'!$B$85="",1E+99,'TO HOP NLAN'!D242/ncoc+IF(SUMSQ('TS-PILE'!$E$72:$E$91)=0,0,'TO HOP NLAN'!E242*'TS-PILE'!$E$85/SUMSQ('TS-PILE'!$E$72:$E$91))+IF(SUMSQ('TS-PILE'!$D$72:$D$91)=0,0,'TO HOP NLAN'!F242*'TS-PILE'!$D$85/SUMSQ('TS-PILE'!$D$72:$D$91))),IF('TS-PILE'!$B$86="",1E+99,'TO HOP NLAN'!D242/ncoc+IF(SUMSQ('TS-PILE'!$E$72:$E$91)=0,0,'TO HOP NLAN'!E242*'TS-PILE'!$E$86/SUMSQ('TS-PILE'!$E$72:$E$91))+IF(SUMSQ('TS-PILE'!$D$72:$D$91)=0,0,'TO HOP NLAN'!F242*'TS-PILE'!$D$86/SUMSQ('TS-PILE'!$D$72:$D$91))),IF('TS-PILE'!$B$87="",1E+99,'TO HOP NLAN'!D242/ncoc+IF(SUMSQ('TS-PILE'!$E$72:$E$91)=0,0,'TO HOP NLAN'!E242*'TS-PILE'!$E$87/SUMSQ('TS-PILE'!$E$72:$E$91))+IF(SUMSQ('TS-PILE'!$D$72:$D$91)=0,0,'TO HOP NLAN'!F242*'TS-PILE'!$D$87/SUMSQ('TS-PILE'!$D$72:$D$91))),IF('TS-PILE'!$B$88="",1E+99,'TO HOP NLAN'!D242/ncoc+IF(SUMSQ('TS-PILE'!$E$72:$E$91)=0,0,'TO HOP NLAN'!E242*'TS-PILE'!$E$88/SUMSQ('TS-PILE'!$E$72:$E$91))+IF(SUMSQ('TS-PILE'!$D$72:$D$91)=0,0,'TO HOP NLAN'!F242*'TS-PILE'!$D$88/SUMSQ('TS-PILE'!$D$72:$D$91))),IF('TS-PILE'!$B$89="",1E+99,'TO HOP NLAN'!D242/ncoc+IF(SUMSQ('TS-PILE'!$E$72:$E$91)=0,0,'TO HOP NLAN'!E242*'TS-PILE'!$E$89/SUMSQ('TS-PILE'!$E$72:$E$91))+IF(SUMSQ('TS-PILE'!$D$72:$D$91)=0,0,'TO HOP NLAN'!F242*'TS-PILE'!$D$89/SUMSQ('TS-PILE'!$D$72:$D$91))),IF('TS-PILE'!$B$90="",1E+99,'TO HOP NLAN'!D242/ncoc+IF(SUMSQ('TS-PILE'!$E$72:$E$91)=0,0,'TO HOP NLAN'!E242*'TS-PILE'!$E$90/SUMSQ('TS-PILE'!$E$72:$E$91))+IF(SUMSQ('TS-PILE'!$D$72:$D$91)=0,0,'TO HOP NLAN'!F242*'TS-PILE'!$D$90/SUMSQ('TS-PILE'!$D$72:$D$91))),IF('TS-PILE'!$B$91="",1E+99,'TO HOP NLAN'!D242/ncoc+IF(SUMSQ('TS-PILE'!$E$72:$E$91)=0,0,'TO HOP NLAN'!E242*'TS-PILE'!$E$91/SUMSQ('TS-PILE'!$E$72:$E$91))+IF(SUMSQ('TS-PILE'!$D$72:$D$91)=0,0,'TO HOP NLAN'!F242*'TS-PILE'!$D$91/SUMSQ('TS-PILE'!$D$72:$D$91)))))</f>
        <v>0</v>
      </c>
      <c r="E242" s="58">
        <f t="shared" si="12"/>
        <v>-9.9999999999999997E+98</v>
      </c>
      <c r="F242" s="58">
        <f t="shared" si="13"/>
        <v>9.9999999999999997E+98</v>
      </c>
      <c r="G242" s="58">
        <f t="shared" si="14"/>
        <v>-9.9999999999999997E+98</v>
      </c>
      <c r="H242" s="58">
        <f t="shared" si="15"/>
        <v>9.9999999999999997E+98</v>
      </c>
    </row>
    <row r="243" spans="1:8" x14ac:dyDescent="0.3">
      <c r="A243" s="42" t="str">
        <f>'TO HOP NLAN'!A243</f>
        <v/>
      </c>
      <c r="B243" s="42" t="str">
        <f>'TO HOP NLAN'!L243</f>
        <v>STRENGTH</v>
      </c>
      <c r="C243" s="58">
        <f>IF(A243="",0,MAX(IF('TS-PILE'!$B$72="",-1E+99,'TO HOP NLAN'!D243/ncoc+IF(SUMSQ('TS-PILE'!$E$72:$E$91)=0,0,'TO HOP NLAN'!E243*'TS-PILE'!$E$72/SUMSQ('TS-PILE'!$E$72:$E$91))+IF(SUMSQ('TS-PILE'!$D$72:$D$91)=0,0,'TO HOP NLAN'!F243*'TS-PILE'!$D$72/SUMSQ('TS-PILE'!$D$72:$D$91))),IF('TS-PILE'!$B$73="",-1E+99,'TO HOP NLAN'!D243/ncoc+IF(SUMSQ('TS-PILE'!$E$72:$E$91)=0,0,'TO HOP NLAN'!E243*'TS-PILE'!$E$73/SUMSQ('TS-PILE'!$E$72:$E$91))+IF(SUMSQ('TS-PILE'!$D$72:$D$91)=0,0,'TO HOP NLAN'!F243*'TS-PILE'!$D$73/SUMSQ('TS-PILE'!$D$72:$D$91))),IF('TS-PILE'!$B$74="",-1E+99,'TO HOP NLAN'!D243/ncoc+IF(SUMSQ('TS-PILE'!$E$72:$E$91)=0,0,'TO HOP NLAN'!E243*'TS-PILE'!$E$74/SUMSQ('TS-PILE'!$E$72:$E$91))+IF(SUMSQ('TS-PILE'!$D$72:$D$91)=0,0,'TO HOP NLAN'!F243*'TS-PILE'!$D$74/SUMSQ('TS-PILE'!$D$72:$D$91))),IF('TS-PILE'!$B$75="",-1E+99,'TO HOP NLAN'!D243/ncoc+IF(SUMSQ('TS-PILE'!$E$72:$E$91)=0,0,'TO HOP NLAN'!E243*'TS-PILE'!$E$75/SUMSQ('TS-PILE'!$E$72:$E$91))+IF(SUMSQ('TS-PILE'!$D$72:$D$91)=0,0,'TO HOP NLAN'!F243*'TS-PILE'!$D$75/SUMSQ('TS-PILE'!$D$72:$D$91))),IF('TS-PILE'!$B$76="",-1E+99,'TO HOP NLAN'!D243/ncoc+IF(SUMSQ('TS-PILE'!$E$72:$E$91)=0,0,'TO HOP NLAN'!E243*'TS-PILE'!$E$76/SUMSQ('TS-PILE'!$E$72:$E$91))+IF(SUMSQ('TS-PILE'!$D$72:$D$91)=0,0,'TO HOP NLAN'!F243*'TS-PILE'!$D$76/SUMSQ('TS-PILE'!$D$72:$D$91))),IF('TS-PILE'!$B$77="",-1E+99,'TO HOP NLAN'!D243/ncoc+IF(SUMSQ('TS-PILE'!$E$72:$E$91)=0,0,'TO HOP NLAN'!E243*'TS-PILE'!$E$77/SUMSQ('TS-PILE'!$E$72:$E$91))+IF(SUMSQ('TS-PILE'!$D$72:$D$91)=0,0,'TO HOP NLAN'!F243*'TS-PILE'!$D$77/SUMSQ('TS-PILE'!$D$72:$D$91))),IF('TS-PILE'!$B$78="",-1E+99,'TO HOP NLAN'!D243/ncoc+IF(SUMSQ('TS-PILE'!$E$72:$E$91)=0,0,'TO HOP NLAN'!E243*'TS-PILE'!$E$78/SUMSQ('TS-PILE'!$E$72:$E$91))+IF(SUMSQ('TS-PILE'!$D$72:$D$91)=0,0,'TO HOP NLAN'!F243*'TS-PILE'!$D$78/SUMSQ('TS-PILE'!$D$72:$D$91))),IF('TS-PILE'!$B$79="",-1E+99,'TO HOP NLAN'!D243/ncoc+IF(SUMSQ('TS-PILE'!$E$72:$E$91)=0,0,'TO HOP NLAN'!E243*'TS-PILE'!$E$79/SUMSQ('TS-PILE'!$E$72:$E$91))+IF(SUMSQ('TS-PILE'!$D$72:$D$91)=0,0,'TO HOP NLAN'!F243*'TS-PILE'!$D$79/SUMSQ('TS-PILE'!$D$72:$D$91))),IF('TS-PILE'!$B$80="",-1E+99,'TO HOP NLAN'!D243/ncoc+IF(SUMSQ('TS-PILE'!$E$72:$E$91)=0,0,'TO HOP NLAN'!E243*'TS-PILE'!$E$80/SUMSQ('TS-PILE'!$E$72:$E$91))+IF(SUMSQ('TS-PILE'!$D$72:$D$91)=0,0,'TO HOP NLAN'!F243*'TS-PILE'!$D$80/SUMSQ('TS-PILE'!$D$72:$D$91))),IF('TS-PILE'!$B$81="",-1E+99,'TO HOP NLAN'!D243/ncoc+IF(SUMSQ('TS-PILE'!$E$72:$E$91)=0,0,'TO HOP NLAN'!E243*'TS-PILE'!$E$81/SUMSQ('TS-PILE'!$E$72:$E$91))+IF(SUMSQ('TS-PILE'!$D$72:$D$91)=0,0,'TO HOP NLAN'!F243*'TS-PILE'!$D$81/SUMSQ('TS-PILE'!$D$72:$D$91))),IF('TS-PILE'!$B$82="",-1E+99,'TO HOP NLAN'!D243/ncoc+IF(SUMSQ('TS-PILE'!$E$72:$E$91)=0,0,'TO HOP NLAN'!E243*'TS-PILE'!$E$82/SUMSQ('TS-PILE'!$E$72:$E$91))+IF(SUMSQ('TS-PILE'!$D$72:$D$91)=0,0,'TO HOP NLAN'!F243*'TS-PILE'!$D$82/SUMSQ('TS-PILE'!$D$72:$D$91))),IF('TS-PILE'!$B$83="",-1E+99,'TO HOP NLAN'!D243/ncoc+IF(SUMSQ('TS-PILE'!$E$72:$E$91)=0,0,'TO HOP NLAN'!E243*'TS-PILE'!$E$83/SUMSQ('TS-PILE'!$E$72:$E$91))+IF(SUMSQ('TS-PILE'!$D$72:$D$91)=0,0,'TO HOP NLAN'!F243*'TS-PILE'!$D$83/SUMSQ('TS-PILE'!$D$72:$D$91))),IF('TS-PILE'!$B$84="",-1E+99,'TO HOP NLAN'!D243/ncoc+IF(SUMSQ('TS-PILE'!$E$72:$E$91)=0,0,'TO HOP NLAN'!E243*'TS-PILE'!$E$84/SUMSQ('TS-PILE'!$E$72:$E$91))+IF(SUMSQ('TS-PILE'!$D$72:$D$91)=0,0,'TO HOP NLAN'!F243*'TS-PILE'!$D$84/SUMSQ('TS-PILE'!$D$72:$D$91))),IF('TS-PILE'!$B$85="",-1E+99,'TO HOP NLAN'!D243/ncoc+IF(SUMSQ('TS-PILE'!$E$72:$E$91)=0,0,'TO HOP NLAN'!E243*'TS-PILE'!$E$85/SUMSQ('TS-PILE'!$E$72:$E$91))+IF(SUMSQ('TS-PILE'!$D$72:$D$91)=0,0,'TO HOP NLAN'!F243*'TS-PILE'!$D$85/SUMSQ('TS-PILE'!$D$72:$D$91))),IF('TS-PILE'!$B$86="",-1E+99,'TO HOP NLAN'!D243/ncoc+IF(SUMSQ('TS-PILE'!$E$72:$E$91)=0,0,'TO HOP NLAN'!E243*'TS-PILE'!$E$86/SUMSQ('TS-PILE'!$E$72:$E$91))+IF(SUMSQ('TS-PILE'!$D$72:$D$91)=0,0,'TO HOP NLAN'!F243*'TS-PILE'!$D$86/SUMSQ('TS-PILE'!$D$72:$D$91))),IF('TS-PILE'!$B$87="",-1E+99,'TO HOP NLAN'!D243/ncoc+IF(SUMSQ('TS-PILE'!$E$72:$E$91)=0,0,'TO HOP NLAN'!E243*'TS-PILE'!$E$87/SUMSQ('TS-PILE'!$E$72:$E$91))+IF(SUMSQ('TS-PILE'!$D$72:$D$91)=0,0,'TO HOP NLAN'!F243*'TS-PILE'!$D$87/SUMSQ('TS-PILE'!$D$72:$D$91))),IF('TS-PILE'!$B$88="",-1E+99,'TO HOP NLAN'!D243/ncoc+IF(SUMSQ('TS-PILE'!$E$72:$E$91)=0,0,'TO HOP NLAN'!E243*'TS-PILE'!$E$88/SUMSQ('TS-PILE'!$E$72:$E$91))+IF(SUMSQ('TS-PILE'!$D$72:$D$91)=0,0,'TO HOP NLAN'!F243*'TS-PILE'!$D$88/SUMSQ('TS-PILE'!$D$72:$D$91))),IF('TS-PILE'!$B$89="",-1E+99,'TO HOP NLAN'!D243/ncoc+IF(SUMSQ('TS-PILE'!$E$72:$E$91)=0,0,'TO HOP NLAN'!E243*'TS-PILE'!$E$89/SUMSQ('TS-PILE'!$E$72:$E$91))+IF(SUMSQ('TS-PILE'!$D$72:$D$91)=0,0,'TO HOP NLAN'!F243*'TS-PILE'!$D$89/SUMSQ('TS-PILE'!$D$72:$D$91))),IF('TS-PILE'!$B$90="",-1E+99,'TO HOP NLAN'!D243/ncoc+IF(SUMSQ('TS-PILE'!$E$72:$E$91)=0,0,'TO HOP NLAN'!E243*'TS-PILE'!$E$90/SUMSQ('TS-PILE'!$E$72:$E$91))+IF(SUMSQ('TS-PILE'!$D$72:$D$91)=0,0,'TO HOP NLAN'!F243*'TS-PILE'!$D$90/SUMSQ('TS-PILE'!$D$72:$D$91))),IF('TS-PILE'!$B$91="",-1E+99,'TO HOP NLAN'!D243/ncoc+IF(SUMSQ('TS-PILE'!$E$72:$E$91)=0,0,'TO HOP NLAN'!E243*'TS-PILE'!$E$91/SUMSQ('TS-PILE'!$E$72:$E$91))+IF(SUMSQ('TS-PILE'!$D$72:$D$91)=0,0,'TO HOP NLAN'!F243*'TS-PILE'!$D$91/SUMSQ('TS-PILE'!$D$72:$D$91)))))</f>
        <v>0</v>
      </c>
      <c r="D243" s="58">
        <f>IF(A243="",0,MIN(IF('TS-PILE'!$B$72="",1E+99,'TO HOP NLAN'!D243/ncoc+IF(SUMSQ('TS-PILE'!$E$72:$E$91)=0,0,'TO HOP NLAN'!E243*'TS-PILE'!$E$72/SUMSQ('TS-PILE'!$E$72:$E$91))+IF(SUMSQ('TS-PILE'!$D$72:$D$91)=0,0,'TO HOP NLAN'!F243*'TS-PILE'!$D$72/SUMSQ('TS-PILE'!$D$72:$D$91))),IF('TS-PILE'!$B$73="",1E+99,'TO HOP NLAN'!D243/ncoc+IF(SUMSQ('TS-PILE'!$E$72:$E$91)=0,0,'TO HOP NLAN'!E243*'TS-PILE'!$E$73/SUMSQ('TS-PILE'!$E$72:$E$91))+IF(SUMSQ('TS-PILE'!$D$72:$D$91)=0,0,'TO HOP NLAN'!F243*'TS-PILE'!$D$73/SUMSQ('TS-PILE'!$D$72:$D$91))),IF('TS-PILE'!$B$74="",1E+99,'TO HOP NLAN'!D243/ncoc+IF(SUMSQ('TS-PILE'!$E$72:$E$91)=0,0,'TO HOP NLAN'!E243*'TS-PILE'!$E$74/SUMSQ('TS-PILE'!$E$72:$E$91))+IF(SUMSQ('TS-PILE'!$D$72:$D$91)=0,0,'TO HOP NLAN'!F243*'TS-PILE'!$D$74/SUMSQ('TS-PILE'!$D$72:$D$91))),IF('TS-PILE'!$B$75="",1E+99,'TO HOP NLAN'!D243/ncoc+IF(SUMSQ('TS-PILE'!$E$72:$E$91)=0,0,'TO HOP NLAN'!E243*'TS-PILE'!$E$75/SUMSQ('TS-PILE'!$E$72:$E$91))+IF(SUMSQ('TS-PILE'!$D$72:$D$91)=0,0,'TO HOP NLAN'!F243*'TS-PILE'!$D$75/SUMSQ('TS-PILE'!$D$72:$D$91))),IF('TS-PILE'!$B$76="",1E+99,'TO HOP NLAN'!D243/ncoc+IF(SUMSQ('TS-PILE'!$E$72:$E$91)=0,0,'TO HOP NLAN'!E243*'TS-PILE'!$E$76/SUMSQ('TS-PILE'!$E$72:$E$91))+IF(SUMSQ('TS-PILE'!$D$72:$D$91)=0,0,'TO HOP NLAN'!F243*'TS-PILE'!$D$76/SUMSQ('TS-PILE'!$D$72:$D$91))),IF('TS-PILE'!$B$77="",1E+99,'TO HOP NLAN'!D243/ncoc+IF(SUMSQ('TS-PILE'!$E$72:$E$91)=0,0,'TO HOP NLAN'!E243*'TS-PILE'!$E$77/SUMSQ('TS-PILE'!$E$72:$E$91))+IF(SUMSQ('TS-PILE'!$D$72:$D$91)=0,0,'TO HOP NLAN'!F243*'TS-PILE'!$D$77/SUMSQ('TS-PILE'!$D$72:$D$91))),IF('TS-PILE'!$B$78="",1E+99,'TO HOP NLAN'!D243/ncoc+IF(SUMSQ('TS-PILE'!$E$72:$E$91)=0,0,'TO HOP NLAN'!E243*'TS-PILE'!$E$78/SUMSQ('TS-PILE'!$E$72:$E$91))+IF(SUMSQ('TS-PILE'!$D$72:$D$91)=0,0,'TO HOP NLAN'!F243*'TS-PILE'!$D$78/SUMSQ('TS-PILE'!$D$72:$D$91))),IF('TS-PILE'!$B$79="",1E+99,'TO HOP NLAN'!D243/ncoc+IF(SUMSQ('TS-PILE'!$E$72:$E$91)=0,0,'TO HOP NLAN'!E243*'TS-PILE'!$E$79/SUMSQ('TS-PILE'!$E$72:$E$91))+IF(SUMSQ('TS-PILE'!$D$72:$D$91)=0,0,'TO HOP NLAN'!F243*'TS-PILE'!$D$79/SUMSQ('TS-PILE'!$D$72:$D$91))),IF('TS-PILE'!$B$80="",1E+99,'TO HOP NLAN'!D243/ncoc+IF(SUMSQ('TS-PILE'!$E$72:$E$91)=0,0,'TO HOP NLAN'!E243*'TS-PILE'!$E$80/SUMSQ('TS-PILE'!$E$72:$E$91))+IF(SUMSQ('TS-PILE'!$D$72:$D$91)=0,0,'TO HOP NLAN'!F243*'TS-PILE'!$D$80/SUMSQ('TS-PILE'!$D$72:$D$91))),IF('TS-PILE'!$B$81="",1E+99,'TO HOP NLAN'!D243/ncoc+IF(SUMSQ('TS-PILE'!$E$72:$E$91)=0,0,'TO HOP NLAN'!E243*'TS-PILE'!$E$81/SUMSQ('TS-PILE'!$E$72:$E$91))+IF(SUMSQ('TS-PILE'!$D$72:$D$91)=0,0,'TO HOP NLAN'!F243*'TS-PILE'!$D$81/SUMSQ('TS-PILE'!$D$72:$D$91))),IF('TS-PILE'!$B$82="",1E+99,'TO HOP NLAN'!D243/ncoc+IF(SUMSQ('TS-PILE'!$E$72:$E$91)=0,0,'TO HOP NLAN'!E243*'TS-PILE'!$E$82/SUMSQ('TS-PILE'!$E$72:$E$91))+IF(SUMSQ('TS-PILE'!$D$72:$D$91)=0,0,'TO HOP NLAN'!F243*'TS-PILE'!$D$82/SUMSQ('TS-PILE'!$D$72:$D$91))),IF('TS-PILE'!$B$83="",1E+99,'TO HOP NLAN'!D243/ncoc+IF(SUMSQ('TS-PILE'!$E$72:$E$91)=0,0,'TO HOP NLAN'!E243*'TS-PILE'!$E$83/SUMSQ('TS-PILE'!$E$72:$E$91))+IF(SUMSQ('TS-PILE'!$D$72:$D$91)=0,0,'TO HOP NLAN'!F243*'TS-PILE'!$D$83/SUMSQ('TS-PILE'!$D$72:$D$91))),IF('TS-PILE'!$B$84="",1E+99,'TO HOP NLAN'!D243/ncoc+IF(SUMSQ('TS-PILE'!$E$72:$E$91)=0,0,'TO HOP NLAN'!E243*'TS-PILE'!$E$84/SUMSQ('TS-PILE'!$E$72:$E$91))+IF(SUMSQ('TS-PILE'!$D$72:$D$91)=0,0,'TO HOP NLAN'!F243*'TS-PILE'!$D$84/SUMSQ('TS-PILE'!$D$72:$D$91))),IF('TS-PILE'!$B$85="",1E+99,'TO HOP NLAN'!D243/ncoc+IF(SUMSQ('TS-PILE'!$E$72:$E$91)=0,0,'TO HOP NLAN'!E243*'TS-PILE'!$E$85/SUMSQ('TS-PILE'!$E$72:$E$91))+IF(SUMSQ('TS-PILE'!$D$72:$D$91)=0,0,'TO HOP NLAN'!F243*'TS-PILE'!$D$85/SUMSQ('TS-PILE'!$D$72:$D$91))),IF('TS-PILE'!$B$86="",1E+99,'TO HOP NLAN'!D243/ncoc+IF(SUMSQ('TS-PILE'!$E$72:$E$91)=0,0,'TO HOP NLAN'!E243*'TS-PILE'!$E$86/SUMSQ('TS-PILE'!$E$72:$E$91))+IF(SUMSQ('TS-PILE'!$D$72:$D$91)=0,0,'TO HOP NLAN'!F243*'TS-PILE'!$D$86/SUMSQ('TS-PILE'!$D$72:$D$91))),IF('TS-PILE'!$B$87="",1E+99,'TO HOP NLAN'!D243/ncoc+IF(SUMSQ('TS-PILE'!$E$72:$E$91)=0,0,'TO HOP NLAN'!E243*'TS-PILE'!$E$87/SUMSQ('TS-PILE'!$E$72:$E$91))+IF(SUMSQ('TS-PILE'!$D$72:$D$91)=0,0,'TO HOP NLAN'!F243*'TS-PILE'!$D$87/SUMSQ('TS-PILE'!$D$72:$D$91))),IF('TS-PILE'!$B$88="",1E+99,'TO HOP NLAN'!D243/ncoc+IF(SUMSQ('TS-PILE'!$E$72:$E$91)=0,0,'TO HOP NLAN'!E243*'TS-PILE'!$E$88/SUMSQ('TS-PILE'!$E$72:$E$91))+IF(SUMSQ('TS-PILE'!$D$72:$D$91)=0,0,'TO HOP NLAN'!F243*'TS-PILE'!$D$88/SUMSQ('TS-PILE'!$D$72:$D$91))),IF('TS-PILE'!$B$89="",1E+99,'TO HOP NLAN'!D243/ncoc+IF(SUMSQ('TS-PILE'!$E$72:$E$91)=0,0,'TO HOP NLAN'!E243*'TS-PILE'!$E$89/SUMSQ('TS-PILE'!$E$72:$E$91))+IF(SUMSQ('TS-PILE'!$D$72:$D$91)=0,0,'TO HOP NLAN'!F243*'TS-PILE'!$D$89/SUMSQ('TS-PILE'!$D$72:$D$91))),IF('TS-PILE'!$B$90="",1E+99,'TO HOP NLAN'!D243/ncoc+IF(SUMSQ('TS-PILE'!$E$72:$E$91)=0,0,'TO HOP NLAN'!E243*'TS-PILE'!$E$90/SUMSQ('TS-PILE'!$E$72:$E$91))+IF(SUMSQ('TS-PILE'!$D$72:$D$91)=0,0,'TO HOP NLAN'!F243*'TS-PILE'!$D$90/SUMSQ('TS-PILE'!$D$72:$D$91))),IF('TS-PILE'!$B$91="",1E+99,'TO HOP NLAN'!D243/ncoc+IF(SUMSQ('TS-PILE'!$E$72:$E$91)=0,0,'TO HOP NLAN'!E243*'TS-PILE'!$E$91/SUMSQ('TS-PILE'!$E$72:$E$91))+IF(SUMSQ('TS-PILE'!$D$72:$D$91)=0,0,'TO HOP NLAN'!F243*'TS-PILE'!$D$91/SUMSQ('TS-PILE'!$D$72:$D$91)))))</f>
        <v>0</v>
      </c>
      <c r="E243" s="58">
        <f t="shared" si="12"/>
        <v>-9.9999999999999997E+98</v>
      </c>
      <c r="F243" s="58">
        <f t="shared" si="13"/>
        <v>9.9999999999999997E+98</v>
      </c>
      <c r="G243" s="58">
        <f t="shared" si="14"/>
        <v>-9.9999999999999997E+98</v>
      </c>
      <c r="H243" s="58">
        <f t="shared" si="15"/>
        <v>9.9999999999999997E+98</v>
      </c>
    </row>
    <row r="244" spans="1:8" x14ac:dyDescent="0.3">
      <c r="A244" s="42" t="str">
        <f>'TO HOP NLAN'!A244</f>
        <v/>
      </c>
      <c r="B244" s="42" t="str">
        <f>'TO HOP NLAN'!L244</f>
        <v>STRENGTH</v>
      </c>
      <c r="C244" s="58">
        <f>IF(A244="",0,MAX(IF('TS-PILE'!$B$72="",-1E+99,'TO HOP NLAN'!D244/ncoc+IF(SUMSQ('TS-PILE'!$E$72:$E$91)=0,0,'TO HOP NLAN'!E244*'TS-PILE'!$E$72/SUMSQ('TS-PILE'!$E$72:$E$91))+IF(SUMSQ('TS-PILE'!$D$72:$D$91)=0,0,'TO HOP NLAN'!F244*'TS-PILE'!$D$72/SUMSQ('TS-PILE'!$D$72:$D$91))),IF('TS-PILE'!$B$73="",-1E+99,'TO HOP NLAN'!D244/ncoc+IF(SUMSQ('TS-PILE'!$E$72:$E$91)=0,0,'TO HOP NLAN'!E244*'TS-PILE'!$E$73/SUMSQ('TS-PILE'!$E$72:$E$91))+IF(SUMSQ('TS-PILE'!$D$72:$D$91)=0,0,'TO HOP NLAN'!F244*'TS-PILE'!$D$73/SUMSQ('TS-PILE'!$D$72:$D$91))),IF('TS-PILE'!$B$74="",-1E+99,'TO HOP NLAN'!D244/ncoc+IF(SUMSQ('TS-PILE'!$E$72:$E$91)=0,0,'TO HOP NLAN'!E244*'TS-PILE'!$E$74/SUMSQ('TS-PILE'!$E$72:$E$91))+IF(SUMSQ('TS-PILE'!$D$72:$D$91)=0,0,'TO HOP NLAN'!F244*'TS-PILE'!$D$74/SUMSQ('TS-PILE'!$D$72:$D$91))),IF('TS-PILE'!$B$75="",-1E+99,'TO HOP NLAN'!D244/ncoc+IF(SUMSQ('TS-PILE'!$E$72:$E$91)=0,0,'TO HOP NLAN'!E244*'TS-PILE'!$E$75/SUMSQ('TS-PILE'!$E$72:$E$91))+IF(SUMSQ('TS-PILE'!$D$72:$D$91)=0,0,'TO HOP NLAN'!F244*'TS-PILE'!$D$75/SUMSQ('TS-PILE'!$D$72:$D$91))),IF('TS-PILE'!$B$76="",-1E+99,'TO HOP NLAN'!D244/ncoc+IF(SUMSQ('TS-PILE'!$E$72:$E$91)=0,0,'TO HOP NLAN'!E244*'TS-PILE'!$E$76/SUMSQ('TS-PILE'!$E$72:$E$91))+IF(SUMSQ('TS-PILE'!$D$72:$D$91)=0,0,'TO HOP NLAN'!F244*'TS-PILE'!$D$76/SUMSQ('TS-PILE'!$D$72:$D$91))),IF('TS-PILE'!$B$77="",-1E+99,'TO HOP NLAN'!D244/ncoc+IF(SUMSQ('TS-PILE'!$E$72:$E$91)=0,0,'TO HOP NLAN'!E244*'TS-PILE'!$E$77/SUMSQ('TS-PILE'!$E$72:$E$91))+IF(SUMSQ('TS-PILE'!$D$72:$D$91)=0,0,'TO HOP NLAN'!F244*'TS-PILE'!$D$77/SUMSQ('TS-PILE'!$D$72:$D$91))),IF('TS-PILE'!$B$78="",-1E+99,'TO HOP NLAN'!D244/ncoc+IF(SUMSQ('TS-PILE'!$E$72:$E$91)=0,0,'TO HOP NLAN'!E244*'TS-PILE'!$E$78/SUMSQ('TS-PILE'!$E$72:$E$91))+IF(SUMSQ('TS-PILE'!$D$72:$D$91)=0,0,'TO HOP NLAN'!F244*'TS-PILE'!$D$78/SUMSQ('TS-PILE'!$D$72:$D$91))),IF('TS-PILE'!$B$79="",-1E+99,'TO HOP NLAN'!D244/ncoc+IF(SUMSQ('TS-PILE'!$E$72:$E$91)=0,0,'TO HOP NLAN'!E244*'TS-PILE'!$E$79/SUMSQ('TS-PILE'!$E$72:$E$91))+IF(SUMSQ('TS-PILE'!$D$72:$D$91)=0,0,'TO HOP NLAN'!F244*'TS-PILE'!$D$79/SUMSQ('TS-PILE'!$D$72:$D$91))),IF('TS-PILE'!$B$80="",-1E+99,'TO HOP NLAN'!D244/ncoc+IF(SUMSQ('TS-PILE'!$E$72:$E$91)=0,0,'TO HOP NLAN'!E244*'TS-PILE'!$E$80/SUMSQ('TS-PILE'!$E$72:$E$91))+IF(SUMSQ('TS-PILE'!$D$72:$D$91)=0,0,'TO HOP NLAN'!F244*'TS-PILE'!$D$80/SUMSQ('TS-PILE'!$D$72:$D$91))),IF('TS-PILE'!$B$81="",-1E+99,'TO HOP NLAN'!D244/ncoc+IF(SUMSQ('TS-PILE'!$E$72:$E$91)=0,0,'TO HOP NLAN'!E244*'TS-PILE'!$E$81/SUMSQ('TS-PILE'!$E$72:$E$91))+IF(SUMSQ('TS-PILE'!$D$72:$D$91)=0,0,'TO HOP NLAN'!F244*'TS-PILE'!$D$81/SUMSQ('TS-PILE'!$D$72:$D$91))),IF('TS-PILE'!$B$82="",-1E+99,'TO HOP NLAN'!D244/ncoc+IF(SUMSQ('TS-PILE'!$E$72:$E$91)=0,0,'TO HOP NLAN'!E244*'TS-PILE'!$E$82/SUMSQ('TS-PILE'!$E$72:$E$91))+IF(SUMSQ('TS-PILE'!$D$72:$D$91)=0,0,'TO HOP NLAN'!F244*'TS-PILE'!$D$82/SUMSQ('TS-PILE'!$D$72:$D$91))),IF('TS-PILE'!$B$83="",-1E+99,'TO HOP NLAN'!D244/ncoc+IF(SUMSQ('TS-PILE'!$E$72:$E$91)=0,0,'TO HOP NLAN'!E244*'TS-PILE'!$E$83/SUMSQ('TS-PILE'!$E$72:$E$91))+IF(SUMSQ('TS-PILE'!$D$72:$D$91)=0,0,'TO HOP NLAN'!F244*'TS-PILE'!$D$83/SUMSQ('TS-PILE'!$D$72:$D$91))),IF('TS-PILE'!$B$84="",-1E+99,'TO HOP NLAN'!D244/ncoc+IF(SUMSQ('TS-PILE'!$E$72:$E$91)=0,0,'TO HOP NLAN'!E244*'TS-PILE'!$E$84/SUMSQ('TS-PILE'!$E$72:$E$91))+IF(SUMSQ('TS-PILE'!$D$72:$D$91)=0,0,'TO HOP NLAN'!F244*'TS-PILE'!$D$84/SUMSQ('TS-PILE'!$D$72:$D$91))),IF('TS-PILE'!$B$85="",-1E+99,'TO HOP NLAN'!D244/ncoc+IF(SUMSQ('TS-PILE'!$E$72:$E$91)=0,0,'TO HOP NLAN'!E244*'TS-PILE'!$E$85/SUMSQ('TS-PILE'!$E$72:$E$91))+IF(SUMSQ('TS-PILE'!$D$72:$D$91)=0,0,'TO HOP NLAN'!F244*'TS-PILE'!$D$85/SUMSQ('TS-PILE'!$D$72:$D$91))),IF('TS-PILE'!$B$86="",-1E+99,'TO HOP NLAN'!D244/ncoc+IF(SUMSQ('TS-PILE'!$E$72:$E$91)=0,0,'TO HOP NLAN'!E244*'TS-PILE'!$E$86/SUMSQ('TS-PILE'!$E$72:$E$91))+IF(SUMSQ('TS-PILE'!$D$72:$D$91)=0,0,'TO HOP NLAN'!F244*'TS-PILE'!$D$86/SUMSQ('TS-PILE'!$D$72:$D$91))),IF('TS-PILE'!$B$87="",-1E+99,'TO HOP NLAN'!D244/ncoc+IF(SUMSQ('TS-PILE'!$E$72:$E$91)=0,0,'TO HOP NLAN'!E244*'TS-PILE'!$E$87/SUMSQ('TS-PILE'!$E$72:$E$91))+IF(SUMSQ('TS-PILE'!$D$72:$D$91)=0,0,'TO HOP NLAN'!F244*'TS-PILE'!$D$87/SUMSQ('TS-PILE'!$D$72:$D$91))),IF('TS-PILE'!$B$88="",-1E+99,'TO HOP NLAN'!D244/ncoc+IF(SUMSQ('TS-PILE'!$E$72:$E$91)=0,0,'TO HOP NLAN'!E244*'TS-PILE'!$E$88/SUMSQ('TS-PILE'!$E$72:$E$91))+IF(SUMSQ('TS-PILE'!$D$72:$D$91)=0,0,'TO HOP NLAN'!F244*'TS-PILE'!$D$88/SUMSQ('TS-PILE'!$D$72:$D$91))),IF('TS-PILE'!$B$89="",-1E+99,'TO HOP NLAN'!D244/ncoc+IF(SUMSQ('TS-PILE'!$E$72:$E$91)=0,0,'TO HOP NLAN'!E244*'TS-PILE'!$E$89/SUMSQ('TS-PILE'!$E$72:$E$91))+IF(SUMSQ('TS-PILE'!$D$72:$D$91)=0,0,'TO HOP NLAN'!F244*'TS-PILE'!$D$89/SUMSQ('TS-PILE'!$D$72:$D$91))),IF('TS-PILE'!$B$90="",-1E+99,'TO HOP NLAN'!D244/ncoc+IF(SUMSQ('TS-PILE'!$E$72:$E$91)=0,0,'TO HOP NLAN'!E244*'TS-PILE'!$E$90/SUMSQ('TS-PILE'!$E$72:$E$91))+IF(SUMSQ('TS-PILE'!$D$72:$D$91)=0,0,'TO HOP NLAN'!F244*'TS-PILE'!$D$90/SUMSQ('TS-PILE'!$D$72:$D$91))),IF('TS-PILE'!$B$91="",-1E+99,'TO HOP NLAN'!D244/ncoc+IF(SUMSQ('TS-PILE'!$E$72:$E$91)=0,0,'TO HOP NLAN'!E244*'TS-PILE'!$E$91/SUMSQ('TS-PILE'!$E$72:$E$91))+IF(SUMSQ('TS-PILE'!$D$72:$D$91)=0,0,'TO HOP NLAN'!F244*'TS-PILE'!$D$91/SUMSQ('TS-PILE'!$D$72:$D$91)))))</f>
        <v>0</v>
      </c>
      <c r="D244" s="58">
        <f>IF(A244="",0,MIN(IF('TS-PILE'!$B$72="",1E+99,'TO HOP NLAN'!D244/ncoc+IF(SUMSQ('TS-PILE'!$E$72:$E$91)=0,0,'TO HOP NLAN'!E244*'TS-PILE'!$E$72/SUMSQ('TS-PILE'!$E$72:$E$91))+IF(SUMSQ('TS-PILE'!$D$72:$D$91)=0,0,'TO HOP NLAN'!F244*'TS-PILE'!$D$72/SUMSQ('TS-PILE'!$D$72:$D$91))),IF('TS-PILE'!$B$73="",1E+99,'TO HOP NLAN'!D244/ncoc+IF(SUMSQ('TS-PILE'!$E$72:$E$91)=0,0,'TO HOP NLAN'!E244*'TS-PILE'!$E$73/SUMSQ('TS-PILE'!$E$72:$E$91))+IF(SUMSQ('TS-PILE'!$D$72:$D$91)=0,0,'TO HOP NLAN'!F244*'TS-PILE'!$D$73/SUMSQ('TS-PILE'!$D$72:$D$91))),IF('TS-PILE'!$B$74="",1E+99,'TO HOP NLAN'!D244/ncoc+IF(SUMSQ('TS-PILE'!$E$72:$E$91)=0,0,'TO HOP NLAN'!E244*'TS-PILE'!$E$74/SUMSQ('TS-PILE'!$E$72:$E$91))+IF(SUMSQ('TS-PILE'!$D$72:$D$91)=0,0,'TO HOP NLAN'!F244*'TS-PILE'!$D$74/SUMSQ('TS-PILE'!$D$72:$D$91))),IF('TS-PILE'!$B$75="",1E+99,'TO HOP NLAN'!D244/ncoc+IF(SUMSQ('TS-PILE'!$E$72:$E$91)=0,0,'TO HOP NLAN'!E244*'TS-PILE'!$E$75/SUMSQ('TS-PILE'!$E$72:$E$91))+IF(SUMSQ('TS-PILE'!$D$72:$D$91)=0,0,'TO HOP NLAN'!F244*'TS-PILE'!$D$75/SUMSQ('TS-PILE'!$D$72:$D$91))),IF('TS-PILE'!$B$76="",1E+99,'TO HOP NLAN'!D244/ncoc+IF(SUMSQ('TS-PILE'!$E$72:$E$91)=0,0,'TO HOP NLAN'!E244*'TS-PILE'!$E$76/SUMSQ('TS-PILE'!$E$72:$E$91))+IF(SUMSQ('TS-PILE'!$D$72:$D$91)=0,0,'TO HOP NLAN'!F244*'TS-PILE'!$D$76/SUMSQ('TS-PILE'!$D$72:$D$91))),IF('TS-PILE'!$B$77="",1E+99,'TO HOP NLAN'!D244/ncoc+IF(SUMSQ('TS-PILE'!$E$72:$E$91)=0,0,'TO HOP NLAN'!E244*'TS-PILE'!$E$77/SUMSQ('TS-PILE'!$E$72:$E$91))+IF(SUMSQ('TS-PILE'!$D$72:$D$91)=0,0,'TO HOP NLAN'!F244*'TS-PILE'!$D$77/SUMSQ('TS-PILE'!$D$72:$D$91))),IF('TS-PILE'!$B$78="",1E+99,'TO HOP NLAN'!D244/ncoc+IF(SUMSQ('TS-PILE'!$E$72:$E$91)=0,0,'TO HOP NLAN'!E244*'TS-PILE'!$E$78/SUMSQ('TS-PILE'!$E$72:$E$91))+IF(SUMSQ('TS-PILE'!$D$72:$D$91)=0,0,'TO HOP NLAN'!F244*'TS-PILE'!$D$78/SUMSQ('TS-PILE'!$D$72:$D$91))),IF('TS-PILE'!$B$79="",1E+99,'TO HOP NLAN'!D244/ncoc+IF(SUMSQ('TS-PILE'!$E$72:$E$91)=0,0,'TO HOP NLAN'!E244*'TS-PILE'!$E$79/SUMSQ('TS-PILE'!$E$72:$E$91))+IF(SUMSQ('TS-PILE'!$D$72:$D$91)=0,0,'TO HOP NLAN'!F244*'TS-PILE'!$D$79/SUMSQ('TS-PILE'!$D$72:$D$91))),IF('TS-PILE'!$B$80="",1E+99,'TO HOP NLAN'!D244/ncoc+IF(SUMSQ('TS-PILE'!$E$72:$E$91)=0,0,'TO HOP NLAN'!E244*'TS-PILE'!$E$80/SUMSQ('TS-PILE'!$E$72:$E$91))+IF(SUMSQ('TS-PILE'!$D$72:$D$91)=0,0,'TO HOP NLAN'!F244*'TS-PILE'!$D$80/SUMSQ('TS-PILE'!$D$72:$D$91))),IF('TS-PILE'!$B$81="",1E+99,'TO HOP NLAN'!D244/ncoc+IF(SUMSQ('TS-PILE'!$E$72:$E$91)=0,0,'TO HOP NLAN'!E244*'TS-PILE'!$E$81/SUMSQ('TS-PILE'!$E$72:$E$91))+IF(SUMSQ('TS-PILE'!$D$72:$D$91)=0,0,'TO HOP NLAN'!F244*'TS-PILE'!$D$81/SUMSQ('TS-PILE'!$D$72:$D$91))),IF('TS-PILE'!$B$82="",1E+99,'TO HOP NLAN'!D244/ncoc+IF(SUMSQ('TS-PILE'!$E$72:$E$91)=0,0,'TO HOP NLAN'!E244*'TS-PILE'!$E$82/SUMSQ('TS-PILE'!$E$72:$E$91))+IF(SUMSQ('TS-PILE'!$D$72:$D$91)=0,0,'TO HOP NLAN'!F244*'TS-PILE'!$D$82/SUMSQ('TS-PILE'!$D$72:$D$91))),IF('TS-PILE'!$B$83="",1E+99,'TO HOP NLAN'!D244/ncoc+IF(SUMSQ('TS-PILE'!$E$72:$E$91)=0,0,'TO HOP NLAN'!E244*'TS-PILE'!$E$83/SUMSQ('TS-PILE'!$E$72:$E$91))+IF(SUMSQ('TS-PILE'!$D$72:$D$91)=0,0,'TO HOP NLAN'!F244*'TS-PILE'!$D$83/SUMSQ('TS-PILE'!$D$72:$D$91))),IF('TS-PILE'!$B$84="",1E+99,'TO HOP NLAN'!D244/ncoc+IF(SUMSQ('TS-PILE'!$E$72:$E$91)=0,0,'TO HOP NLAN'!E244*'TS-PILE'!$E$84/SUMSQ('TS-PILE'!$E$72:$E$91))+IF(SUMSQ('TS-PILE'!$D$72:$D$91)=0,0,'TO HOP NLAN'!F244*'TS-PILE'!$D$84/SUMSQ('TS-PILE'!$D$72:$D$91))),IF('TS-PILE'!$B$85="",1E+99,'TO HOP NLAN'!D244/ncoc+IF(SUMSQ('TS-PILE'!$E$72:$E$91)=0,0,'TO HOP NLAN'!E244*'TS-PILE'!$E$85/SUMSQ('TS-PILE'!$E$72:$E$91))+IF(SUMSQ('TS-PILE'!$D$72:$D$91)=0,0,'TO HOP NLAN'!F244*'TS-PILE'!$D$85/SUMSQ('TS-PILE'!$D$72:$D$91))),IF('TS-PILE'!$B$86="",1E+99,'TO HOP NLAN'!D244/ncoc+IF(SUMSQ('TS-PILE'!$E$72:$E$91)=0,0,'TO HOP NLAN'!E244*'TS-PILE'!$E$86/SUMSQ('TS-PILE'!$E$72:$E$91))+IF(SUMSQ('TS-PILE'!$D$72:$D$91)=0,0,'TO HOP NLAN'!F244*'TS-PILE'!$D$86/SUMSQ('TS-PILE'!$D$72:$D$91))),IF('TS-PILE'!$B$87="",1E+99,'TO HOP NLAN'!D244/ncoc+IF(SUMSQ('TS-PILE'!$E$72:$E$91)=0,0,'TO HOP NLAN'!E244*'TS-PILE'!$E$87/SUMSQ('TS-PILE'!$E$72:$E$91))+IF(SUMSQ('TS-PILE'!$D$72:$D$91)=0,0,'TO HOP NLAN'!F244*'TS-PILE'!$D$87/SUMSQ('TS-PILE'!$D$72:$D$91))),IF('TS-PILE'!$B$88="",1E+99,'TO HOP NLAN'!D244/ncoc+IF(SUMSQ('TS-PILE'!$E$72:$E$91)=0,0,'TO HOP NLAN'!E244*'TS-PILE'!$E$88/SUMSQ('TS-PILE'!$E$72:$E$91))+IF(SUMSQ('TS-PILE'!$D$72:$D$91)=0,0,'TO HOP NLAN'!F244*'TS-PILE'!$D$88/SUMSQ('TS-PILE'!$D$72:$D$91))),IF('TS-PILE'!$B$89="",1E+99,'TO HOP NLAN'!D244/ncoc+IF(SUMSQ('TS-PILE'!$E$72:$E$91)=0,0,'TO HOP NLAN'!E244*'TS-PILE'!$E$89/SUMSQ('TS-PILE'!$E$72:$E$91))+IF(SUMSQ('TS-PILE'!$D$72:$D$91)=0,0,'TO HOP NLAN'!F244*'TS-PILE'!$D$89/SUMSQ('TS-PILE'!$D$72:$D$91))),IF('TS-PILE'!$B$90="",1E+99,'TO HOP NLAN'!D244/ncoc+IF(SUMSQ('TS-PILE'!$E$72:$E$91)=0,0,'TO HOP NLAN'!E244*'TS-PILE'!$E$90/SUMSQ('TS-PILE'!$E$72:$E$91))+IF(SUMSQ('TS-PILE'!$D$72:$D$91)=0,0,'TO HOP NLAN'!F244*'TS-PILE'!$D$90/SUMSQ('TS-PILE'!$D$72:$D$91))),IF('TS-PILE'!$B$91="",1E+99,'TO HOP NLAN'!D244/ncoc+IF(SUMSQ('TS-PILE'!$E$72:$E$91)=0,0,'TO HOP NLAN'!E244*'TS-PILE'!$E$91/SUMSQ('TS-PILE'!$E$72:$E$91))+IF(SUMSQ('TS-PILE'!$D$72:$D$91)=0,0,'TO HOP NLAN'!F244*'TS-PILE'!$D$91/SUMSQ('TS-PILE'!$D$72:$D$91)))))</f>
        <v>0</v>
      </c>
      <c r="E244" s="58">
        <f t="shared" si="12"/>
        <v>-9.9999999999999997E+98</v>
      </c>
      <c r="F244" s="58">
        <f t="shared" si="13"/>
        <v>9.9999999999999997E+98</v>
      </c>
      <c r="G244" s="58">
        <f t="shared" si="14"/>
        <v>-9.9999999999999997E+98</v>
      </c>
      <c r="H244" s="58">
        <f t="shared" si="15"/>
        <v>9.9999999999999997E+98</v>
      </c>
    </row>
    <row r="245" spans="1:8" x14ac:dyDescent="0.3">
      <c r="A245" s="42" t="str">
        <f>'TO HOP NLAN'!A245</f>
        <v/>
      </c>
      <c r="B245" s="42" t="str">
        <f>'TO HOP NLAN'!L245</f>
        <v>STRENGTH</v>
      </c>
      <c r="C245" s="58">
        <f>IF(A245="",0,MAX(IF('TS-PILE'!$B$72="",-1E+99,'TO HOP NLAN'!D245/ncoc+IF(SUMSQ('TS-PILE'!$E$72:$E$91)=0,0,'TO HOP NLAN'!E245*'TS-PILE'!$E$72/SUMSQ('TS-PILE'!$E$72:$E$91))+IF(SUMSQ('TS-PILE'!$D$72:$D$91)=0,0,'TO HOP NLAN'!F245*'TS-PILE'!$D$72/SUMSQ('TS-PILE'!$D$72:$D$91))),IF('TS-PILE'!$B$73="",-1E+99,'TO HOP NLAN'!D245/ncoc+IF(SUMSQ('TS-PILE'!$E$72:$E$91)=0,0,'TO HOP NLAN'!E245*'TS-PILE'!$E$73/SUMSQ('TS-PILE'!$E$72:$E$91))+IF(SUMSQ('TS-PILE'!$D$72:$D$91)=0,0,'TO HOP NLAN'!F245*'TS-PILE'!$D$73/SUMSQ('TS-PILE'!$D$72:$D$91))),IF('TS-PILE'!$B$74="",-1E+99,'TO HOP NLAN'!D245/ncoc+IF(SUMSQ('TS-PILE'!$E$72:$E$91)=0,0,'TO HOP NLAN'!E245*'TS-PILE'!$E$74/SUMSQ('TS-PILE'!$E$72:$E$91))+IF(SUMSQ('TS-PILE'!$D$72:$D$91)=0,0,'TO HOP NLAN'!F245*'TS-PILE'!$D$74/SUMSQ('TS-PILE'!$D$72:$D$91))),IF('TS-PILE'!$B$75="",-1E+99,'TO HOP NLAN'!D245/ncoc+IF(SUMSQ('TS-PILE'!$E$72:$E$91)=0,0,'TO HOP NLAN'!E245*'TS-PILE'!$E$75/SUMSQ('TS-PILE'!$E$72:$E$91))+IF(SUMSQ('TS-PILE'!$D$72:$D$91)=0,0,'TO HOP NLAN'!F245*'TS-PILE'!$D$75/SUMSQ('TS-PILE'!$D$72:$D$91))),IF('TS-PILE'!$B$76="",-1E+99,'TO HOP NLAN'!D245/ncoc+IF(SUMSQ('TS-PILE'!$E$72:$E$91)=0,0,'TO HOP NLAN'!E245*'TS-PILE'!$E$76/SUMSQ('TS-PILE'!$E$72:$E$91))+IF(SUMSQ('TS-PILE'!$D$72:$D$91)=0,0,'TO HOP NLAN'!F245*'TS-PILE'!$D$76/SUMSQ('TS-PILE'!$D$72:$D$91))),IF('TS-PILE'!$B$77="",-1E+99,'TO HOP NLAN'!D245/ncoc+IF(SUMSQ('TS-PILE'!$E$72:$E$91)=0,0,'TO HOP NLAN'!E245*'TS-PILE'!$E$77/SUMSQ('TS-PILE'!$E$72:$E$91))+IF(SUMSQ('TS-PILE'!$D$72:$D$91)=0,0,'TO HOP NLAN'!F245*'TS-PILE'!$D$77/SUMSQ('TS-PILE'!$D$72:$D$91))),IF('TS-PILE'!$B$78="",-1E+99,'TO HOP NLAN'!D245/ncoc+IF(SUMSQ('TS-PILE'!$E$72:$E$91)=0,0,'TO HOP NLAN'!E245*'TS-PILE'!$E$78/SUMSQ('TS-PILE'!$E$72:$E$91))+IF(SUMSQ('TS-PILE'!$D$72:$D$91)=0,0,'TO HOP NLAN'!F245*'TS-PILE'!$D$78/SUMSQ('TS-PILE'!$D$72:$D$91))),IF('TS-PILE'!$B$79="",-1E+99,'TO HOP NLAN'!D245/ncoc+IF(SUMSQ('TS-PILE'!$E$72:$E$91)=0,0,'TO HOP NLAN'!E245*'TS-PILE'!$E$79/SUMSQ('TS-PILE'!$E$72:$E$91))+IF(SUMSQ('TS-PILE'!$D$72:$D$91)=0,0,'TO HOP NLAN'!F245*'TS-PILE'!$D$79/SUMSQ('TS-PILE'!$D$72:$D$91))),IF('TS-PILE'!$B$80="",-1E+99,'TO HOP NLAN'!D245/ncoc+IF(SUMSQ('TS-PILE'!$E$72:$E$91)=0,0,'TO HOP NLAN'!E245*'TS-PILE'!$E$80/SUMSQ('TS-PILE'!$E$72:$E$91))+IF(SUMSQ('TS-PILE'!$D$72:$D$91)=0,0,'TO HOP NLAN'!F245*'TS-PILE'!$D$80/SUMSQ('TS-PILE'!$D$72:$D$91))),IF('TS-PILE'!$B$81="",-1E+99,'TO HOP NLAN'!D245/ncoc+IF(SUMSQ('TS-PILE'!$E$72:$E$91)=0,0,'TO HOP NLAN'!E245*'TS-PILE'!$E$81/SUMSQ('TS-PILE'!$E$72:$E$91))+IF(SUMSQ('TS-PILE'!$D$72:$D$91)=0,0,'TO HOP NLAN'!F245*'TS-PILE'!$D$81/SUMSQ('TS-PILE'!$D$72:$D$91))),IF('TS-PILE'!$B$82="",-1E+99,'TO HOP NLAN'!D245/ncoc+IF(SUMSQ('TS-PILE'!$E$72:$E$91)=0,0,'TO HOP NLAN'!E245*'TS-PILE'!$E$82/SUMSQ('TS-PILE'!$E$72:$E$91))+IF(SUMSQ('TS-PILE'!$D$72:$D$91)=0,0,'TO HOP NLAN'!F245*'TS-PILE'!$D$82/SUMSQ('TS-PILE'!$D$72:$D$91))),IF('TS-PILE'!$B$83="",-1E+99,'TO HOP NLAN'!D245/ncoc+IF(SUMSQ('TS-PILE'!$E$72:$E$91)=0,0,'TO HOP NLAN'!E245*'TS-PILE'!$E$83/SUMSQ('TS-PILE'!$E$72:$E$91))+IF(SUMSQ('TS-PILE'!$D$72:$D$91)=0,0,'TO HOP NLAN'!F245*'TS-PILE'!$D$83/SUMSQ('TS-PILE'!$D$72:$D$91))),IF('TS-PILE'!$B$84="",-1E+99,'TO HOP NLAN'!D245/ncoc+IF(SUMSQ('TS-PILE'!$E$72:$E$91)=0,0,'TO HOP NLAN'!E245*'TS-PILE'!$E$84/SUMSQ('TS-PILE'!$E$72:$E$91))+IF(SUMSQ('TS-PILE'!$D$72:$D$91)=0,0,'TO HOP NLAN'!F245*'TS-PILE'!$D$84/SUMSQ('TS-PILE'!$D$72:$D$91))),IF('TS-PILE'!$B$85="",-1E+99,'TO HOP NLAN'!D245/ncoc+IF(SUMSQ('TS-PILE'!$E$72:$E$91)=0,0,'TO HOP NLAN'!E245*'TS-PILE'!$E$85/SUMSQ('TS-PILE'!$E$72:$E$91))+IF(SUMSQ('TS-PILE'!$D$72:$D$91)=0,0,'TO HOP NLAN'!F245*'TS-PILE'!$D$85/SUMSQ('TS-PILE'!$D$72:$D$91))),IF('TS-PILE'!$B$86="",-1E+99,'TO HOP NLAN'!D245/ncoc+IF(SUMSQ('TS-PILE'!$E$72:$E$91)=0,0,'TO HOP NLAN'!E245*'TS-PILE'!$E$86/SUMSQ('TS-PILE'!$E$72:$E$91))+IF(SUMSQ('TS-PILE'!$D$72:$D$91)=0,0,'TO HOP NLAN'!F245*'TS-PILE'!$D$86/SUMSQ('TS-PILE'!$D$72:$D$91))),IF('TS-PILE'!$B$87="",-1E+99,'TO HOP NLAN'!D245/ncoc+IF(SUMSQ('TS-PILE'!$E$72:$E$91)=0,0,'TO HOP NLAN'!E245*'TS-PILE'!$E$87/SUMSQ('TS-PILE'!$E$72:$E$91))+IF(SUMSQ('TS-PILE'!$D$72:$D$91)=0,0,'TO HOP NLAN'!F245*'TS-PILE'!$D$87/SUMSQ('TS-PILE'!$D$72:$D$91))),IF('TS-PILE'!$B$88="",-1E+99,'TO HOP NLAN'!D245/ncoc+IF(SUMSQ('TS-PILE'!$E$72:$E$91)=0,0,'TO HOP NLAN'!E245*'TS-PILE'!$E$88/SUMSQ('TS-PILE'!$E$72:$E$91))+IF(SUMSQ('TS-PILE'!$D$72:$D$91)=0,0,'TO HOP NLAN'!F245*'TS-PILE'!$D$88/SUMSQ('TS-PILE'!$D$72:$D$91))),IF('TS-PILE'!$B$89="",-1E+99,'TO HOP NLAN'!D245/ncoc+IF(SUMSQ('TS-PILE'!$E$72:$E$91)=0,0,'TO HOP NLAN'!E245*'TS-PILE'!$E$89/SUMSQ('TS-PILE'!$E$72:$E$91))+IF(SUMSQ('TS-PILE'!$D$72:$D$91)=0,0,'TO HOP NLAN'!F245*'TS-PILE'!$D$89/SUMSQ('TS-PILE'!$D$72:$D$91))),IF('TS-PILE'!$B$90="",-1E+99,'TO HOP NLAN'!D245/ncoc+IF(SUMSQ('TS-PILE'!$E$72:$E$91)=0,0,'TO HOP NLAN'!E245*'TS-PILE'!$E$90/SUMSQ('TS-PILE'!$E$72:$E$91))+IF(SUMSQ('TS-PILE'!$D$72:$D$91)=0,0,'TO HOP NLAN'!F245*'TS-PILE'!$D$90/SUMSQ('TS-PILE'!$D$72:$D$91))),IF('TS-PILE'!$B$91="",-1E+99,'TO HOP NLAN'!D245/ncoc+IF(SUMSQ('TS-PILE'!$E$72:$E$91)=0,0,'TO HOP NLAN'!E245*'TS-PILE'!$E$91/SUMSQ('TS-PILE'!$E$72:$E$91))+IF(SUMSQ('TS-PILE'!$D$72:$D$91)=0,0,'TO HOP NLAN'!F245*'TS-PILE'!$D$91/SUMSQ('TS-PILE'!$D$72:$D$91)))))</f>
        <v>0</v>
      </c>
      <c r="D245" s="58">
        <f>IF(A245="",0,MIN(IF('TS-PILE'!$B$72="",1E+99,'TO HOP NLAN'!D245/ncoc+IF(SUMSQ('TS-PILE'!$E$72:$E$91)=0,0,'TO HOP NLAN'!E245*'TS-PILE'!$E$72/SUMSQ('TS-PILE'!$E$72:$E$91))+IF(SUMSQ('TS-PILE'!$D$72:$D$91)=0,0,'TO HOP NLAN'!F245*'TS-PILE'!$D$72/SUMSQ('TS-PILE'!$D$72:$D$91))),IF('TS-PILE'!$B$73="",1E+99,'TO HOP NLAN'!D245/ncoc+IF(SUMSQ('TS-PILE'!$E$72:$E$91)=0,0,'TO HOP NLAN'!E245*'TS-PILE'!$E$73/SUMSQ('TS-PILE'!$E$72:$E$91))+IF(SUMSQ('TS-PILE'!$D$72:$D$91)=0,0,'TO HOP NLAN'!F245*'TS-PILE'!$D$73/SUMSQ('TS-PILE'!$D$72:$D$91))),IF('TS-PILE'!$B$74="",1E+99,'TO HOP NLAN'!D245/ncoc+IF(SUMSQ('TS-PILE'!$E$72:$E$91)=0,0,'TO HOP NLAN'!E245*'TS-PILE'!$E$74/SUMSQ('TS-PILE'!$E$72:$E$91))+IF(SUMSQ('TS-PILE'!$D$72:$D$91)=0,0,'TO HOP NLAN'!F245*'TS-PILE'!$D$74/SUMSQ('TS-PILE'!$D$72:$D$91))),IF('TS-PILE'!$B$75="",1E+99,'TO HOP NLAN'!D245/ncoc+IF(SUMSQ('TS-PILE'!$E$72:$E$91)=0,0,'TO HOP NLAN'!E245*'TS-PILE'!$E$75/SUMSQ('TS-PILE'!$E$72:$E$91))+IF(SUMSQ('TS-PILE'!$D$72:$D$91)=0,0,'TO HOP NLAN'!F245*'TS-PILE'!$D$75/SUMSQ('TS-PILE'!$D$72:$D$91))),IF('TS-PILE'!$B$76="",1E+99,'TO HOP NLAN'!D245/ncoc+IF(SUMSQ('TS-PILE'!$E$72:$E$91)=0,0,'TO HOP NLAN'!E245*'TS-PILE'!$E$76/SUMSQ('TS-PILE'!$E$72:$E$91))+IF(SUMSQ('TS-PILE'!$D$72:$D$91)=0,0,'TO HOP NLAN'!F245*'TS-PILE'!$D$76/SUMSQ('TS-PILE'!$D$72:$D$91))),IF('TS-PILE'!$B$77="",1E+99,'TO HOP NLAN'!D245/ncoc+IF(SUMSQ('TS-PILE'!$E$72:$E$91)=0,0,'TO HOP NLAN'!E245*'TS-PILE'!$E$77/SUMSQ('TS-PILE'!$E$72:$E$91))+IF(SUMSQ('TS-PILE'!$D$72:$D$91)=0,0,'TO HOP NLAN'!F245*'TS-PILE'!$D$77/SUMSQ('TS-PILE'!$D$72:$D$91))),IF('TS-PILE'!$B$78="",1E+99,'TO HOP NLAN'!D245/ncoc+IF(SUMSQ('TS-PILE'!$E$72:$E$91)=0,0,'TO HOP NLAN'!E245*'TS-PILE'!$E$78/SUMSQ('TS-PILE'!$E$72:$E$91))+IF(SUMSQ('TS-PILE'!$D$72:$D$91)=0,0,'TO HOP NLAN'!F245*'TS-PILE'!$D$78/SUMSQ('TS-PILE'!$D$72:$D$91))),IF('TS-PILE'!$B$79="",1E+99,'TO HOP NLAN'!D245/ncoc+IF(SUMSQ('TS-PILE'!$E$72:$E$91)=0,0,'TO HOP NLAN'!E245*'TS-PILE'!$E$79/SUMSQ('TS-PILE'!$E$72:$E$91))+IF(SUMSQ('TS-PILE'!$D$72:$D$91)=0,0,'TO HOP NLAN'!F245*'TS-PILE'!$D$79/SUMSQ('TS-PILE'!$D$72:$D$91))),IF('TS-PILE'!$B$80="",1E+99,'TO HOP NLAN'!D245/ncoc+IF(SUMSQ('TS-PILE'!$E$72:$E$91)=0,0,'TO HOP NLAN'!E245*'TS-PILE'!$E$80/SUMSQ('TS-PILE'!$E$72:$E$91))+IF(SUMSQ('TS-PILE'!$D$72:$D$91)=0,0,'TO HOP NLAN'!F245*'TS-PILE'!$D$80/SUMSQ('TS-PILE'!$D$72:$D$91))),IF('TS-PILE'!$B$81="",1E+99,'TO HOP NLAN'!D245/ncoc+IF(SUMSQ('TS-PILE'!$E$72:$E$91)=0,0,'TO HOP NLAN'!E245*'TS-PILE'!$E$81/SUMSQ('TS-PILE'!$E$72:$E$91))+IF(SUMSQ('TS-PILE'!$D$72:$D$91)=0,0,'TO HOP NLAN'!F245*'TS-PILE'!$D$81/SUMSQ('TS-PILE'!$D$72:$D$91))),IF('TS-PILE'!$B$82="",1E+99,'TO HOP NLAN'!D245/ncoc+IF(SUMSQ('TS-PILE'!$E$72:$E$91)=0,0,'TO HOP NLAN'!E245*'TS-PILE'!$E$82/SUMSQ('TS-PILE'!$E$72:$E$91))+IF(SUMSQ('TS-PILE'!$D$72:$D$91)=0,0,'TO HOP NLAN'!F245*'TS-PILE'!$D$82/SUMSQ('TS-PILE'!$D$72:$D$91))),IF('TS-PILE'!$B$83="",1E+99,'TO HOP NLAN'!D245/ncoc+IF(SUMSQ('TS-PILE'!$E$72:$E$91)=0,0,'TO HOP NLAN'!E245*'TS-PILE'!$E$83/SUMSQ('TS-PILE'!$E$72:$E$91))+IF(SUMSQ('TS-PILE'!$D$72:$D$91)=0,0,'TO HOP NLAN'!F245*'TS-PILE'!$D$83/SUMSQ('TS-PILE'!$D$72:$D$91))),IF('TS-PILE'!$B$84="",1E+99,'TO HOP NLAN'!D245/ncoc+IF(SUMSQ('TS-PILE'!$E$72:$E$91)=0,0,'TO HOP NLAN'!E245*'TS-PILE'!$E$84/SUMSQ('TS-PILE'!$E$72:$E$91))+IF(SUMSQ('TS-PILE'!$D$72:$D$91)=0,0,'TO HOP NLAN'!F245*'TS-PILE'!$D$84/SUMSQ('TS-PILE'!$D$72:$D$91))),IF('TS-PILE'!$B$85="",1E+99,'TO HOP NLAN'!D245/ncoc+IF(SUMSQ('TS-PILE'!$E$72:$E$91)=0,0,'TO HOP NLAN'!E245*'TS-PILE'!$E$85/SUMSQ('TS-PILE'!$E$72:$E$91))+IF(SUMSQ('TS-PILE'!$D$72:$D$91)=0,0,'TO HOP NLAN'!F245*'TS-PILE'!$D$85/SUMSQ('TS-PILE'!$D$72:$D$91))),IF('TS-PILE'!$B$86="",1E+99,'TO HOP NLAN'!D245/ncoc+IF(SUMSQ('TS-PILE'!$E$72:$E$91)=0,0,'TO HOP NLAN'!E245*'TS-PILE'!$E$86/SUMSQ('TS-PILE'!$E$72:$E$91))+IF(SUMSQ('TS-PILE'!$D$72:$D$91)=0,0,'TO HOP NLAN'!F245*'TS-PILE'!$D$86/SUMSQ('TS-PILE'!$D$72:$D$91))),IF('TS-PILE'!$B$87="",1E+99,'TO HOP NLAN'!D245/ncoc+IF(SUMSQ('TS-PILE'!$E$72:$E$91)=0,0,'TO HOP NLAN'!E245*'TS-PILE'!$E$87/SUMSQ('TS-PILE'!$E$72:$E$91))+IF(SUMSQ('TS-PILE'!$D$72:$D$91)=0,0,'TO HOP NLAN'!F245*'TS-PILE'!$D$87/SUMSQ('TS-PILE'!$D$72:$D$91))),IF('TS-PILE'!$B$88="",1E+99,'TO HOP NLAN'!D245/ncoc+IF(SUMSQ('TS-PILE'!$E$72:$E$91)=0,0,'TO HOP NLAN'!E245*'TS-PILE'!$E$88/SUMSQ('TS-PILE'!$E$72:$E$91))+IF(SUMSQ('TS-PILE'!$D$72:$D$91)=0,0,'TO HOP NLAN'!F245*'TS-PILE'!$D$88/SUMSQ('TS-PILE'!$D$72:$D$91))),IF('TS-PILE'!$B$89="",1E+99,'TO HOP NLAN'!D245/ncoc+IF(SUMSQ('TS-PILE'!$E$72:$E$91)=0,0,'TO HOP NLAN'!E245*'TS-PILE'!$E$89/SUMSQ('TS-PILE'!$E$72:$E$91))+IF(SUMSQ('TS-PILE'!$D$72:$D$91)=0,0,'TO HOP NLAN'!F245*'TS-PILE'!$D$89/SUMSQ('TS-PILE'!$D$72:$D$91))),IF('TS-PILE'!$B$90="",1E+99,'TO HOP NLAN'!D245/ncoc+IF(SUMSQ('TS-PILE'!$E$72:$E$91)=0,0,'TO HOP NLAN'!E245*'TS-PILE'!$E$90/SUMSQ('TS-PILE'!$E$72:$E$91))+IF(SUMSQ('TS-PILE'!$D$72:$D$91)=0,0,'TO HOP NLAN'!F245*'TS-PILE'!$D$90/SUMSQ('TS-PILE'!$D$72:$D$91))),IF('TS-PILE'!$B$91="",1E+99,'TO HOP NLAN'!D245/ncoc+IF(SUMSQ('TS-PILE'!$E$72:$E$91)=0,0,'TO HOP NLAN'!E245*'TS-PILE'!$E$91/SUMSQ('TS-PILE'!$E$72:$E$91))+IF(SUMSQ('TS-PILE'!$D$72:$D$91)=0,0,'TO HOP NLAN'!F245*'TS-PILE'!$D$91/SUMSQ('TS-PILE'!$D$72:$D$91)))))</f>
        <v>0</v>
      </c>
      <c r="E245" s="58">
        <f t="shared" si="12"/>
        <v>-9.9999999999999997E+98</v>
      </c>
      <c r="F245" s="58">
        <f t="shared" si="13"/>
        <v>9.9999999999999997E+98</v>
      </c>
      <c r="G245" s="58">
        <f t="shared" si="14"/>
        <v>-9.9999999999999997E+98</v>
      </c>
      <c r="H245" s="58">
        <f t="shared" si="15"/>
        <v>9.9999999999999997E+98</v>
      </c>
    </row>
    <row r="246" spans="1:8" x14ac:dyDescent="0.3">
      <c r="A246" s="42" t="str">
        <f>'TO HOP NLAN'!A246</f>
        <v/>
      </c>
      <c r="B246" s="42" t="str">
        <f>'TO HOP NLAN'!L246</f>
        <v>STRENGTH</v>
      </c>
      <c r="C246" s="58">
        <f>IF(A246="",0,MAX(IF('TS-PILE'!$B$72="",-1E+99,'TO HOP NLAN'!D246/ncoc+IF(SUMSQ('TS-PILE'!$E$72:$E$91)=0,0,'TO HOP NLAN'!E246*'TS-PILE'!$E$72/SUMSQ('TS-PILE'!$E$72:$E$91))+IF(SUMSQ('TS-PILE'!$D$72:$D$91)=0,0,'TO HOP NLAN'!F246*'TS-PILE'!$D$72/SUMSQ('TS-PILE'!$D$72:$D$91))),IF('TS-PILE'!$B$73="",-1E+99,'TO HOP NLAN'!D246/ncoc+IF(SUMSQ('TS-PILE'!$E$72:$E$91)=0,0,'TO HOP NLAN'!E246*'TS-PILE'!$E$73/SUMSQ('TS-PILE'!$E$72:$E$91))+IF(SUMSQ('TS-PILE'!$D$72:$D$91)=0,0,'TO HOP NLAN'!F246*'TS-PILE'!$D$73/SUMSQ('TS-PILE'!$D$72:$D$91))),IF('TS-PILE'!$B$74="",-1E+99,'TO HOP NLAN'!D246/ncoc+IF(SUMSQ('TS-PILE'!$E$72:$E$91)=0,0,'TO HOP NLAN'!E246*'TS-PILE'!$E$74/SUMSQ('TS-PILE'!$E$72:$E$91))+IF(SUMSQ('TS-PILE'!$D$72:$D$91)=0,0,'TO HOP NLAN'!F246*'TS-PILE'!$D$74/SUMSQ('TS-PILE'!$D$72:$D$91))),IF('TS-PILE'!$B$75="",-1E+99,'TO HOP NLAN'!D246/ncoc+IF(SUMSQ('TS-PILE'!$E$72:$E$91)=0,0,'TO HOP NLAN'!E246*'TS-PILE'!$E$75/SUMSQ('TS-PILE'!$E$72:$E$91))+IF(SUMSQ('TS-PILE'!$D$72:$D$91)=0,0,'TO HOP NLAN'!F246*'TS-PILE'!$D$75/SUMSQ('TS-PILE'!$D$72:$D$91))),IF('TS-PILE'!$B$76="",-1E+99,'TO HOP NLAN'!D246/ncoc+IF(SUMSQ('TS-PILE'!$E$72:$E$91)=0,0,'TO HOP NLAN'!E246*'TS-PILE'!$E$76/SUMSQ('TS-PILE'!$E$72:$E$91))+IF(SUMSQ('TS-PILE'!$D$72:$D$91)=0,0,'TO HOP NLAN'!F246*'TS-PILE'!$D$76/SUMSQ('TS-PILE'!$D$72:$D$91))),IF('TS-PILE'!$B$77="",-1E+99,'TO HOP NLAN'!D246/ncoc+IF(SUMSQ('TS-PILE'!$E$72:$E$91)=0,0,'TO HOP NLAN'!E246*'TS-PILE'!$E$77/SUMSQ('TS-PILE'!$E$72:$E$91))+IF(SUMSQ('TS-PILE'!$D$72:$D$91)=0,0,'TO HOP NLAN'!F246*'TS-PILE'!$D$77/SUMSQ('TS-PILE'!$D$72:$D$91))),IF('TS-PILE'!$B$78="",-1E+99,'TO HOP NLAN'!D246/ncoc+IF(SUMSQ('TS-PILE'!$E$72:$E$91)=0,0,'TO HOP NLAN'!E246*'TS-PILE'!$E$78/SUMSQ('TS-PILE'!$E$72:$E$91))+IF(SUMSQ('TS-PILE'!$D$72:$D$91)=0,0,'TO HOP NLAN'!F246*'TS-PILE'!$D$78/SUMSQ('TS-PILE'!$D$72:$D$91))),IF('TS-PILE'!$B$79="",-1E+99,'TO HOP NLAN'!D246/ncoc+IF(SUMSQ('TS-PILE'!$E$72:$E$91)=0,0,'TO HOP NLAN'!E246*'TS-PILE'!$E$79/SUMSQ('TS-PILE'!$E$72:$E$91))+IF(SUMSQ('TS-PILE'!$D$72:$D$91)=0,0,'TO HOP NLAN'!F246*'TS-PILE'!$D$79/SUMSQ('TS-PILE'!$D$72:$D$91))),IF('TS-PILE'!$B$80="",-1E+99,'TO HOP NLAN'!D246/ncoc+IF(SUMSQ('TS-PILE'!$E$72:$E$91)=0,0,'TO HOP NLAN'!E246*'TS-PILE'!$E$80/SUMSQ('TS-PILE'!$E$72:$E$91))+IF(SUMSQ('TS-PILE'!$D$72:$D$91)=0,0,'TO HOP NLAN'!F246*'TS-PILE'!$D$80/SUMSQ('TS-PILE'!$D$72:$D$91))),IF('TS-PILE'!$B$81="",-1E+99,'TO HOP NLAN'!D246/ncoc+IF(SUMSQ('TS-PILE'!$E$72:$E$91)=0,0,'TO HOP NLAN'!E246*'TS-PILE'!$E$81/SUMSQ('TS-PILE'!$E$72:$E$91))+IF(SUMSQ('TS-PILE'!$D$72:$D$91)=0,0,'TO HOP NLAN'!F246*'TS-PILE'!$D$81/SUMSQ('TS-PILE'!$D$72:$D$91))),IF('TS-PILE'!$B$82="",-1E+99,'TO HOP NLAN'!D246/ncoc+IF(SUMSQ('TS-PILE'!$E$72:$E$91)=0,0,'TO HOP NLAN'!E246*'TS-PILE'!$E$82/SUMSQ('TS-PILE'!$E$72:$E$91))+IF(SUMSQ('TS-PILE'!$D$72:$D$91)=0,0,'TO HOP NLAN'!F246*'TS-PILE'!$D$82/SUMSQ('TS-PILE'!$D$72:$D$91))),IF('TS-PILE'!$B$83="",-1E+99,'TO HOP NLAN'!D246/ncoc+IF(SUMSQ('TS-PILE'!$E$72:$E$91)=0,0,'TO HOP NLAN'!E246*'TS-PILE'!$E$83/SUMSQ('TS-PILE'!$E$72:$E$91))+IF(SUMSQ('TS-PILE'!$D$72:$D$91)=0,0,'TO HOP NLAN'!F246*'TS-PILE'!$D$83/SUMSQ('TS-PILE'!$D$72:$D$91))),IF('TS-PILE'!$B$84="",-1E+99,'TO HOP NLAN'!D246/ncoc+IF(SUMSQ('TS-PILE'!$E$72:$E$91)=0,0,'TO HOP NLAN'!E246*'TS-PILE'!$E$84/SUMSQ('TS-PILE'!$E$72:$E$91))+IF(SUMSQ('TS-PILE'!$D$72:$D$91)=0,0,'TO HOP NLAN'!F246*'TS-PILE'!$D$84/SUMSQ('TS-PILE'!$D$72:$D$91))),IF('TS-PILE'!$B$85="",-1E+99,'TO HOP NLAN'!D246/ncoc+IF(SUMSQ('TS-PILE'!$E$72:$E$91)=0,0,'TO HOP NLAN'!E246*'TS-PILE'!$E$85/SUMSQ('TS-PILE'!$E$72:$E$91))+IF(SUMSQ('TS-PILE'!$D$72:$D$91)=0,0,'TO HOP NLAN'!F246*'TS-PILE'!$D$85/SUMSQ('TS-PILE'!$D$72:$D$91))),IF('TS-PILE'!$B$86="",-1E+99,'TO HOP NLAN'!D246/ncoc+IF(SUMSQ('TS-PILE'!$E$72:$E$91)=0,0,'TO HOP NLAN'!E246*'TS-PILE'!$E$86/SUMSQ('TS-PILE'!$E$72:$E$91))+IF(SUMSQ('TS-PILE'!$D$72:$D$91)=0,0,'TO HOP NLAN'!F246*'TS-PILE'!$D$86/SUMSQ('TS-PILE'!$D$72:$D$91))),IF('TS-PILE'!$B$87="",-1E+99,'TO HOP NLAN'!D246/ncoc+IF(SUMSQ('TS-PILE'!$E$72:$E$91)=0,0,'TO HOP NLAN'!E246*'TS-PILE'!$E$87/SUMSQ('TS-PILE'!$E$72:$E$91))+IF(SUMSQ('TS-PILE'!$D$72:$D$91)=0,0,'TO HOP NLAN'!F246*'TS-PILE'!$D$87/SUMSQ('TS-PILE'!$D$72:$D$91))),IF('TS-PILE'!$B$88="",-1E+99,'TO HOP NLAN'!D246/ncoc+IF(SUMSQ('TS-PILE'!$E$72:$E$91)=0,0,'TO HOP NLAN'!E246*'TS-PILE'!$E$88/SUMSQ('TS-PILE'!$E$72:$E$91))+IF(SUMSQ('TS-PILE'!$D$72:$D$91)=0,0,'TO HOP NLAN'!F246*'TS-PILE'!$D$88/SUMSQ('TS-PILE'!$D$72:$D$91))),IF('TS-PILE'!$B$89="",-1E+99,'TO HOP NLAN'!D246/ncoc+IF(SUMSQ('TS-PILE'!$E$72:$E$91)=0,0,'TO HOP NLAN'!E246*'TS-PILE'!$E$89/SUMSQ('TS-PILE'!$E$72:$E$91))+IF(SUMSQ('TS-PILE'!$D$72:$D$91)=0,0,'TO HOP NLAN'!F246*'TS-PILE'!$D$89/SUMSQ('TS-PILE'!$D$72:$D$91))),IF('TS-PILE'!$B$90="",-1E+99,'TO HOP NLAN'!D246/ncoc+IF(SUMSQ('TS-PILE'!$E$72:$E$91)=0,0,'TO HOP NLAN'!E246*'TS-PILE'!$E$90/SUMSQ('TS-PILE'!$E$72:$E$91))+IF(SUMSQ('TS-PILE'!$D$72:$D$91)=0,0,'TO HOP NLAN'!F246*'TS-PILE'!$D$90/SUMSQ('TS-PILE'!$D$72:$D$91))),IF('TS-PILE'!$B$91="",-1E+99,'TO HOP NLAN'!D246/ncoc+IF(SUMSQ('TS-PILE'!$E$72:$E$91)=0,0,'TO HOP NLAN'!E246*'TS-PILE'!$E$91/SUMSQ('TS-PILE'!$E$72:$E$91))+IF(SUMSQ('TS-PILE'!$D$72:$D$91)=0,0,'TO HOP NLAN'!F246*'TS-PILE'!$D$91/SUMSQ('TS-PILE'!$D$72:$D$91)))))</f>
        <v>0</v>
      </c>
      <c r="D246" s="58">
        <f>IF(A246="",0,MIN(IF('TS-PILE'!$B$72="",1E+99,'TO HOP NLAN'!D246/ncoc+IF(SUMSQ('TS-PILE'!$E$72:$E$91)=0,0,'TO HOP NLAN'!E246*'TS-PILE'!$E$72/SUMSQ('TS-PILE'!$E$72:$E$91))+IF(SUMSQ('TS-PILE'!$D$72:$D$91)=0,0,'TO HOP NLAN'!F246*'TS-PILE'!$D$72/SUMSQ('TS-PILE'!$D$72:$D$91))),IF('TS-PILE'!$B$73="",1E+99,'TO HOP NLAN'!D246/ncoc+IF(SUMSQ('TS-PILE'!$E$72:$E$91)=0,0,'TO HOP NLAN'!E246*'TS-PILE'!$E$73/SUMSQ('TS-PILE'!$E$72:$E$91))+IF(SUMSQ('TS-PILE'!$D$72:$D$91)=0,0,'TO HOP NLAN'!F246*'TS-PILE'!$D$73/SUMSQ('TS-PILE'!$D$72:$D$91))),IF('TS-PILE'!$B$74="",1E+99,'TO HOP NLAN'!D246/ncoc+IF(SUMSQ('TS-PILE'!$E$72:$E$91)=0,0,'TO HOP NLAN'!E246*'TS-PILE'!$E$74/SUMSQ('TS-PILE'!$E$72:$E$91))+IF(SUMSQ('TS-PILE'!$D$72:$D$91)=0,0,'TO HOP NLAN'!F246*'TS-PILE'!$D$74/SUMSQ('TS-PILE'!$D$72:$D$91))),IF('TS-PILE'!$B$75="",1E+99,'TO HOP NLAN'!D246/ncoc+IF(SUMSQ('TS-PILE'!$E$72:$E$91)=0,0,'TO HOP NLAN'!E246*'TS-PILE'!$E$75/SUMSQ('TS-PILE'!$E$72:$E$91))+IF(SUMSQ('TS-PILE'!$D$72:$D$91)=0,0,'TO HOP NLAN'!F246*'TS-PILE'!$D$75/SUMSQ('TS-PILE'!$D$72:$D$91))),IF('TS-PILE'!$B$76="",1E+99,'TO HOP NLAN'!D246/ncoc+IF(SUMSQ('TS-PILE'!$E$72:$E$91)=0,0,'TO HOP NLAN'!E246*'TS-PILE'!$E$76/SUMSQ('TS-PILE'!$E$72:$E$91))+IF(SUMSQ('TS-PILE'!$D$72:$D$91)=0,0,'TO HOP NLAN'!F246*'TS-PILE'!$D$76/SUMSQ('TS-PILE'!$D$72:$D$91))),IF('TS-PILE'!$B$77="",1E+99,'TO HOP NLAN'!D246/ncoc+IF(SUMSQ('TS-PILE'!$E$72:$E$91)=0,0,'TO HOP NLAN'!E246*'TS-PILE'!$E$77/SUMSQ('TS-PILE'!$E$72:$E$91))+IF(SUMSQ('TS-PILE'!$D$72:$D$91)=0,0,'TO HOP NLAN'!F246*'TS-PILE'!$D$77/SUMSQ('TS-PILE'!$D$72:$D$91))),IF('TS-PILE'!$B$78="",1E+99,'TO HOP NLAN'!D246/ncoc+IF(SUMSQ('TS-PILE'!$E$72:$E$91)=0,0,'TO HOP NLAN'!E246*'TS-PILE'!$E$78/SUMSQ('TS-PILE'!$E$72:$E$91))+IF(SUMSQ('TS-PILE'!$D$72:$D$91)=0,0,'TO HOP NLAN'!F246*'TS-PILE'!$D$78/SUMSQ('TS-PILE'!$D$72:$D$91))),IF('TS-PILE'!$B$79="",1E+99,'TO HOP NLAN'!D246/ncoc+IF(SUMSQ('TS-PILE'!$E$72:$E$91)=0,0,'TO HOP NLAN'!E246*'TS-PILE'!$E$79/SUMSQ('TS-PILE'!$E$72:$E$91))+IF(SUMSQ('TS-PILE'!$D$72:$D$91)=0,0,'TO HOP NLAN'!F246*'TS-PILE'!$D$79/SUMSQ('TS-PILE'!$D$72:$D$91))),IF('TS-PILE'!$B$80="",1E+99,'TO HOP NLAN'!D246/ncoc+IF(SUMSQ('TS-PILE'!$E$72:$E$91)=0,0,'TO HOP NLAN'!E246*'TS-PILE'!$E$80/SUMSQ('TS-PILE'!$E$72:$E$91))+IF(SUMSQ('TS-PILE'!$D$72:$D$91)=0,0,'TO HOP NLAN'!F246*'TS-PILE'!$D$80/SUMSQ('TS-PILE'!$D$72:$D$91))),IF('TS-PILE'!$B$81="",1E+99,'TO HOP NLAN'!D246/ncoc+IF(SUMSQ('TS-PILE'!$E$72:$E$91)=0,0,'TO HOP NLAN'!E246*'TS-PILE'!$E$81/SUMSQ('TS-PILE'!$E$72:$E$91))+IF(SUMSQ('TS-PILE'!$D$72:$D$91)=0,0,'TO HOP NLAN'!F246*'TS-PILE'!$D$81/SUMSQ('TS-PILE'!$D$72:$D$91))),IF('TS-PILE'!$B$82="",1E+99,'TO HOP NLAN'!D246/ncoc+IF(SUMSQ('TS-PILE'!$E$72:$E$91)=0,0,'TO HOP NLAN'!E246*'TS-PILE'!$E$82/SUMSQ('TS-PILE'!$E$72:$E$91))+IF(SUMSQ('TS-PILE'!$D$72:$D$91)=0,0,'TO HOP NLAN'!F246*'TS-PILE'!$D$82/SUMSQ('TS-PILE'!$D$72:$D$91))),IF('TS-PILE'!$B$83="",1E+99,'TO HOP NLAN'!D246/ncoc+IF(SUMSQ('TS-PILE'!$E$72:$E$91)=0,0,'TO HOP NLAN'!E246*'TS-PILE'!$E$83/SUMSQ('TS-PILE'!$E$72:$E$91))+IF(SUMSQ('TS-PILE'!$D$72:$D$91)=0,0,'TO HOP NLAN'!F246*'TS-PILE'!$D$83/SUMSQ('TS-PILE'!$D$72:$D$91))),IF('TS-PILE'!$B$84="",1E+99,'TO HOP NLAN'!D246/ncoc+IF(SUMSQ('TS-PILE'!$E$72:$E$91)=0,0,'TO HOP NLAN'!E246*'TS-PILE'!$E$84/SUMSQ('TS-PILE'!$E$72:$E$91))+IF(SUMSQ('TS-PILE'!$D$72:$D$91)=0,0,'TO HOP NLAN'!F246*'TS-PILE'!$D$84/SUMSQ('TS-PILE'!$D$72:$D$91))),IF('TS-PILE'!$B$85="",1E+99,'TO HOP NLAN'!D246/ncoc+IF(SUMSQ('TS-PILE'!$E$72:$E$91)=0,0,'TO HOP NLAN'!E246*'TS-PILE'!$E$85/SUMSQ('TS-PILE'!$E$72:$E$91))+IF(SUMSQ('TS-PILE'!$D$72:$D$91)=0,0,'TO HOP NLAN'!F246*'TS-PILE'!$D$85/SUMSQ('TS-PILE'!$D$72:$D$91))),IF('TS-PILE'!$B$86="",1E+99,'TO HOP NLAN'!D246/ncoc+IF(SUMSQ('TS-PILE'!$E$72:$E$91)=0,0,'TO HOP NLAN'!E246*'TS-PILE'!$E$86/SUMSQ('TS-PILE'!$E$72:$E$91))+IF(SUMSQ('TS-PILE'!$D$72:$D$91)=0,0,'TO HOP NLAN'!F246*'TS-PILE'!$D$86/SUMSQ('TS-PILE'!$D$72:$D$91))),IF('TS-PILE'!$B$87="",1E+99,'TO HOP NLAN'!D246/ncoc+IF(SUMSQ('TS-PILE'!$E$72:$E$91)=0,0,'TO HOP NLAN'!E246*'TS-PILE'!$E$87/SUMSQ('TS-PILE'!$E$72:$E$91))+IF(SUMSQ('TS-PILE'!$D$72:$D$91)=0,0,'TO HOP NLAN'!F246*'TS-PILE'!$D$87/SUMSQ('TS-PILE'!$D$72:$D$91))),IF('TS-PILE'!$B$88="",1E+99,'TO HOP NLAN'!D246/ncoc+IF(SUMSQ('TS-PILE'!$E$72:$E$91)=0,0,'TO HOP NLAN'!E246*'TS-PILE'!$E$88/SUMSQ('TS-PILE'!$E$72:$E$91))+IF(SUMSQ('TS-PILE'!$D$72:$D$91)=0,0,'TO HOP NLAN'!F246*'TS-PILE'!$D$88/SUMSQ('TS-PILE'!$D$72:$D$91))),IF('TS-PILE'!$B$89="",1E+99,'TO HOP NLAN'!D246/ncoc+IF(SUMSQ('TS-PILE'!$E$72:$E$91)=0,0,'TO HOP NLAN'!E246*'TS-PILE'!$E$89/SUMSQ('TS-PILE'!$E$72:$E$91))+IF(SUMSQ('TS-PILE'!$D$72:$D$91)=0,0,'TO HOP NLAN'!F246*'TS-PILE'!$D$89/SUMSQ('TS-PILE'!$D$72:$D$91))),IF('TS-PILE'!$B$90="",1E+99,'TO HOP NLAN'!D246/ncoc+IF(SUMSQ('TS-PILE'!$E$72:$E$91)=0,0,'TO HOP NLAN'!E246*'TS-PILE'!$E$90/SUMSQ('TS-PILE'!$E$72:$E$91))+IF(SUMSQ('TS-PILE'!$D$72:$D$91)=0,0,'TO HOP NLAN'!F246*'TS-PILE'!$D$90/SUMSQ('TS-PILE'!$D$72:$D$91))),IF('TS-PILE'!$B$91="",1E+99,'TO HOP NLAN'!D246/ncoc+IF(SUMSQ('TS-PILE'!$E$72:$E$91)=0,0,'TO HOP NLAN'!E246*'TS-PILE'!$E$91/SUMSQ('TS-PILE'!$E$72:$E$91))+IF(SUMSQ('TS-PILE'!$D$72:$D$91)=0,0,'TO HOP NLAN'!F246*'TS-PILE'!$D$91/SUMSQ('TS-PILE'!$D$72:$D$91)))))</f>
        <v>0</v>
      </c>
      <c r="E246" s="58">
        <f t="shared" si="12"/>
        <v>-9.9999999999999997E+98</v>
      </c>
      <c r="F246" s="58">
        <f t="shared" si="13"/>
        <v>9.9999999999999997E+98</v>
      </c>
      <c r="G246" s="58">
        <f t="shared" si="14"/>
        <v>-9.9999999999999997E+98</v>
      </c>
      <c r="H246" s="58">
        <f t="shared" si="15"/>
        <v>9.9999999999999997E+98</v>
      </c>
    </row>
    <row r="247" spans="1:8" x14ac:dyDescent="0.3">
      <c r="A247" s="42" t="str">
        <f>'TO HOP NLAN'!A247</f>
        <v/>
      </c>
      <c r="B247" s="42" t="str">
        <f>'TO HOP NLAN'!L247</f>
        <v>STRENGTH</v>
      </c>
      <c r="C247" s="58">
        <f>IF(A247="",0,MAX(IF('TS-PILE'!$B$72="",-1E+99,'TO HOP NLAN'!D247/ncoc+IF(SUMSQ('TS-PILE'!$E$72:$E$91)=0,0,'TO HOP NLAN'!E247*'TS-PILE'!$E$72/SUMSQ('TS-PILE'!$E$72:$E$91))+IF(SUMSQ('TS-PILE'!$D$72:$D$91)=0,0,'TO HOP NLAN'!F247*'TS-PILE'!$D$72/SUMSQ('TS-PILE'!$D$72:$D$91))),IF('TS-PILE'!$B$73="",-1E+99,'TO HOP NLAN'!D247/ncoc+IF(SUMSQ('TS-PILE'!$E$72:$E$91)=0,0,'TO HOP NLAN'!E247*'TS-PILE'!$E$73/SUMSQ('TS-PILE'!$E$72:$E$91))+IF(SUMSQ('TS-PILE'!$D$72:$D$91)=0,0,'TO HOP NLAN'!F247*'TS-PILE'!$D$73/SUMSQ('TS-PILE'!$D$72:$D$91))),IF('TS-PILE'!$B$74="",-1E+99,'TO HOP NLAN'!D247/ncoc+IF(SUMSQ('TS-PILE'!$E$72:$E$91)=0,0,'TO HOP NLAN'!E247*'TS-PILE'!$E$74/SUMSQ('TS-PILE'!$E$72:$E$91))+IF(SUMSQ('TS-PILE'!$D$72:$D$91)=0,0,'TO HOP NLAN'!F247*'TS-PILE'!$D$74/SUMSQ('TS-PILE'!$D$72:$D$91))),IF('TS-PILE'!$B$75="",-1E+99,'TO HOP NLAN'!D247/ncoc+IF(SUMSQ('TS-PILE'!$E$72:$E$91)=0,0,'TO HOP NLAN'!E247*'TS-PILE'!$E$75/SUMSQ('TS-PILE'!$E$72:$E$91))+IF(SUMSQ('TS-PILE'!$D$72:$D$91)=0,0,'TO HOP NLAN'!F247*'TS-PILE'!$D$75/SUMSQ('TS-PILE'!$D$72:$D$91))),IF('TS-PILE'!$B$76="",-1E+99,'TO HOP NLAN'!D247/ncoc+IF(SUMSQ('TS-PILE'!$E$72:$E$91)=0,0,'TO HOP NLAN'!E247*'TS-PILE'!$E$76/SUMSQ('TS-PILE'!$E$72:$E$91))+IF(SUMSQ('TS-PILE'!$D$72:$D$91)=0,0,'TO HOP NLAN'!F247*'TS-PILE'!$D$76/SUMSQ('TS-PILE'!$D$72:$D$91))),IF('TS-PILE'!$B$77="",-1E+99,'TO HOP NLAN'!D247/ncoc+IF(SUMSQ('TS-PILE'!$E$72:$E$91)=0,0,'TO HOP NLAN'!E247*'TS-PILE'!$E$77/SUMSQ('TS-PILE'!$E$72:$E$91))+IF(SUMSQ('TS-PILE'!$D$72:$D$91)=0,0,'TO HOP NLAN'!F247*'TS-PILE'!$D$77/SUMSQ('TS-PILE'!$D$72:$D$91))),IF('TS-PILE'!$B$78="",-1E+99,'TO HOP NLAN'!D247/ncoc+IF(SUMSQ('TS-PILE'!$E$72:$E$91)=0,0,'TO HOP NLAN'!E247*'TS-PILE'!$E$78/SUMSQ('TS-PILE'!$E$72:$E$91))+IF(SUMSQ('TS-PILE'!$D$72:$D$91)=0,0,'TO HOP NLAN'!F247*'TS-PILE'!$D$78/SUMSQ('TS-PILE'!$D$72:$D$91))),IF('TS-PILE'!$B$79="",-1E+99,'TO HOP NLAN'!D247/ncoc+IF(SUMSQ('TS-PILE'!$E$72:$E$91)=0,0,'TO HOP NLAN'!E247*'TS-PILE'!$E$79/SUMSQ('TS-PILE'!$E$72:$E$91))+IF(SUMSQ('TS-PILE'!$D$72:$D$91)=0,0,'TO HOP NLAN'!F247*'TS-PILE'!$D$79/SUMSQ('TS-PILE'!$D$72:$D$91))),IF('TS-PILE'!$B$80="",-1E+99,'TO HOP NLAN'!D247/ncoc+IF(SUMSQ('TS-PILE'!$E$72:$E$91)=0,0,'TO HOP NLAN'!E247*'TS-PILE'!$E$80/SUMSQ('TS-PILE'!$E$72:$E$91))+IF(SUMSQ('TS-PILE'!$D$72:$D$91)=0,0,'TO HOP NLAN'!F247*'TS-PILE'!$D$80/SUMSQ('TS-PILE'!$D$72:$D$91))),IF('TS-PILE'!$B$81="",-1E+99,'TO HOP NLAN'!D247/ncoc+IF(SUMSQ('TS-PILE'!$E$72:$E$91)=0,0,'TO HOP NLAN'!E247*'TS-PILE'!$E$81/SUMSQ('TS-PILE'!$E$72:$E$91))+IF(SUMSQ('TS-PILE'!$D$72:$D$91)=0,0,'TO HOP NLAN'!F247*'TS-PILE'!$D$81/SUMSQ('TS-PILE'!$D$72:$D$91))),IF('TS-PILE'!$B$82="",-1E+99,'TO HOP NLAN'!D247/ncoc+IF(SUMSQ('TS-PILE'!$E$72:$E$91)=0,0,'TO HOP NLAN'!E247*'TS-PILE'!$E$82/SUMSQ('TS-PILE'!$E$72:$E$91))+IF(SUMSQ('TS-PILE'!$D$72:$D$91)=0,0,'TO HOP NLAN'!F247*'TS-PILE'!$D$82/SUMSQ('TS-PILE'!$D$72:$D$91))),IF('TS-PILE'!$B$83="",-1E+99,'TO HOP NLAN'!D247/ncoc+IF(SUMSQ('TS-PILE'!$E$72:$E$91)=0,0,'TO HOP NLAN'!E247*'TS-PILE'!$E$83/SUMSQ('TS-PILE'!$E$72:$E$91))+IF(SUMSQ('TS-PILE'!$D$72:$D$91)=0,0,'TO HOP NLAN'!F247*'TS-PILE'!$D$83/SUMSQ('TS-PILE'!$D$72:$D$91))),IF('TS-PILE'!$B$84="",-1E+99,'TO HOP NLAN'!D247/ncoc+IF(SUMSQ('TS-PILE'!$E$72:$E$91)=0,0,'TO HOP NLAN'!E247*'TS-PILE'!$E$84/SUMSQ('TS-PILE'!$E$72:$E$91))+IF(SUMSQ('TS-PILE'!$D$72:$D$91)=0,0,'TO HOP NLAN'!F247*'TS-PILE'!$D$84/SUMSQ('TS-PILE'!$D$72:$D$91))),IF('TS-PILE'!$B$85="",-1E+99,'TO HOP NLAN'!D247/ncoc+IF(SUMSQ('TS-PILE'!$E$72:$E$91)=0,0,'TO HOP NLAN'!E247*'TS-PILE'!$E$85/SUMSQ('TS-PILE'!$E$72:$E$91))+IF(SUMSQ('TS-PILE'!$D$72:$D$91)=0,0,'TO HOP NLAN'!F247*'TS-PILE'!$D$85/SUMSQ('TS-PILE'!$D$72:$D$91))),IF('TS-PILE'!$B$86="",-1E+99,'TO HOP NLAN'!D247/ncoc+IF(SUMSQ('TS-PILE'!$E$72:$E$91)=0,0,'TO HOP NLAN'!E247*'TS-PILE'!$E$86/SUMSQ('TS-PILE'!$E$72:$E$91))+IF(SUMSQ('TS-PILE'!$D$72:$D$91)=0,0,'TO HOP NLAN'!F247*'TS-PILE'!$D$86/SUMSQ('TS-PILE'!$D$72:$D$91))),IF('TS-PILE'!$B$87="",-1E+99,'TO HOP NLAN'!D247/ncoc+IF(SUMSQ('TS-PILE'!$E$72:$E$91)=0,0,'TO HOP NLAN'!E247*'TS-PILE'!$E$87/SUMSQ('TS-PILE'!$E$72:$E$91))+IF(SUMSQ('TS-PILE'!$D$72:$D$91)=0,0,'TO HOP NLAN'!F247*'TS-PILE'!$D$87/SUMSQ('TS-PILE'!$D$72:$D$91))),IF('TS-PILE'!$B$88="",-1E+99,'TO HOP NLAN'!D247/ncoc+IF(SUMSQ('TS-PILE'!$E$72:$E$91)=0,0,'TO HOP NLAN'!E247*'TS-PILE'!$E$88/SUMSQ('TS-PILE'!$E$72:$E$91))+IF(SUMSQ('TS-PILE'!$D$72:$D$91)=0,0,'TO HOP NLAN'!F247*'TS-PILE'!$D$88/SUMSQ('TS-PILE'!$D$72:$D$91))),IF('TS-PILE'!$B$89="",-1E+99,'TO HOP NLAN'!D247/ncoc+IF(SUMSQ('TS-PILE'!$E$72:$E$91)=0,0,'TO HOP NLAN'!E247*'TS-PILE'!$E$89/SUMSQ('TS-PILE'!$E$72:$E$91))+IF(SUMSQ('TS-PILE'!$D$72:$D$91)=0,0,'TO HOP NLAN'!F247*'TS-PILE'!$D$89/SUMSQ('TS-PILE'!$D$72:$D$91))),IF('TS-PILE'!$B$90="",-1E+99,'TO HOP NLAN'!D247/ncoc+IF(SUMSQ('TS-PILE'!$E$72:$E$91)=0,0,'TO HOP NLAN'!E247*'TS-PILE'!$E$90/SUMSQ('TS-PILE'!$E$72:$E$91))+IF(SUMSQ('TS-PILE'!$D$72:$D$91)=0,0,'TO HOP NLAN'!F247*'TS-PILE'!$D$90/SUMSQ('TS-PILE'!$D$72:$D$91))),IF('TS-PILE'!$B$91="",-1E+99,'TO HOP NLAN'!D247/ncoc+IF(SUMSQ('TS-PILE'!$E$72:$E$91)=0,0,'TO HOP NLAN'!E247*'TS-PILE'!$E$91/SUMSQ('TS-PILE'!$E$72:$E$91))+IF(SUMSQ('TS-PILE'!$D$72:$D$91)=0,0,'TO HOP NLAN'!F247*'TS-PILE'!$D$91/SUMSQ('TS-PILE'!$D$72:$D$91)))))</f>
        <v>0</v>
      </c>
      <c r="D247" s="58">
        <f>IF(A247="",0,MIN(IF('TS-PILE'!$B$72="",1E+99,'TO HOP NLAN'!D247/ncoc+IF(SUMSQ('TS-PILE'!$E$72:$E$91)=0,0,'TO HOP NLAN'!E247*'TS-PILE'!$E$72/SUMSQ('TS-PILE'!$E$72:$E$91))+IF(SUMSQ('TS-PILE'!$D$72:$D$91)=0,0,'TO HOP NLAN'!F247*'TS-PILE'!$D$72/SUMSQ('TS-PILE'!$D$72:$D$91))),IF('TS-PILE'!$B$73="",1E+99,'TO HOP NLAN'!D247/ncoc+IF(SUMSQ('TS-PILE'!$E$72:$E$91)=0,0,'TO HOP NLAN'!E247*'TS-PILE'!$E$73/SUMSQ('TS-PILE'!$E$72:$E$91))+IF(SUMSQ('TS-PILE'!$D$72:$D$91)=0,0,'TO HOP NLAN'!F247*'TS-PILE'!$D$73/SUMSQ('TS-PILE'!$D$72:$D$91))),IF('TS-PILE'!$B$74="",1E+99,'TO HOP NLAN'!D247/ncoc+IF(SUMSQ('TS-PILE'!$E$72:$E$91)=0,0,'TO HOP NLAN'!E247*'TS-PILE'!$E$74/SUMSQ('TS-PILE'!$E$72:$E$91))+IF(SUMSQ('TS-PILE'!$D$72:$D$91)=0,0,'TO HOP NLAN'!F247*'TS-PILE'!$D$74/SUMSQ('TS-PILE'!$D$72:$D$91))),IF('TS-PILE'!$B$75="",1E+99,'TO HOP NLAN'!D247/ncoc+IF(SUMSQ('TS-PILE'!$E$72:$E$91)=0,0,'TO HOP NLAN'!E247*'TS-PILE'!$E$75/SUMSQ('TS-PILE'!$E$72:$E$91))+IF(SUMSQ('TS-PILE'!$D$72:$D$91)=0,0,'TO HOP NLAN'!F247*'TS-PILE'!$D$75/SUMSQ('TS-PILE'!$D$72:$D$91))),IF('TS-PILE'!$B$76="",1E+99,'TO HOP NLAN'!D247/ncoc+IF(SUMSQ('TS-PILE'!$E$72:$E$91)=0,0,'TO HOP NLAN'!E247*'TS-PILE'!$E$76/SUMSQ('TS-PILE'!$E$72:$E$91))+IF(SUMSQ('TS-PILE'!$D$72:$D$91)=0,0,'TO HOP NLAN'!F247*'TS-PILE'!$D$76/SUMSQ('TS-PILE'!$D$72:$D$91))),IF('TS-PILE'!$B$77="",1E+99,'TO HOP NLAN'!D247/ncoc+IF(SUMSQ('TS-PILE'!$E$72:$E$91)=0,0,'TO HOP NLAN'!E247*'TS-PILE'!$E$77/SUMSQ('TS-PILE'!$E$72:$E$91))+IF(SUMSQ('TS-PILE'!$D$72:$D$91)=0,0,'TO HOP NLAN'!F247*'TS-PILE'!$D$77/SUMSQ('TS-PILE'!$D$72:$D$91))),IF('TS-PILE'!$B$78="",1E+99,'TO HOP NLAN'!D247/ncoc+IF(SUMSQ('TS-PILE'!$E$72:$E$91)=0,0,'TO HOP NLAN'!E247*'TS-PILE'!$E$78/SUMSQ('TS-PILE'!$E$72:$E$91))+IF(SUMSQ('TS-PILE'!$D$72:$D$91)=0,0,'TO HOP NLAN'!F247*'TS-PILE'!$D$78/SUMSQ('TS-PILE'!$D$72:$D$91))),IF('TS-PILE'!$B$79="",1E+99,'TO HOP NLAN'!D247/ncoc+IF(SUMSQ('TS-PILE'!$E$72:$E$91)=0,0,'TO HOP NLAN'!E247*'TS-PILE'!$E$79/SUMSQ('TS-PILE'!$E$72:$E$91))+IF(SUMSQ('TS-PILE'!$D$72:$D$91)=0,0,'TO HOP NLAN'!F247*'TS-PILE'!$D$79/SUMSQ('TS-PILE'!$D$72:$D$91))),IF('TS-PILE'!$B$80="",1E+99,'TO HOP NLAN'!D247/ncoc+IF(SUMSQ('TS-PILE'!$E$72:$E$91)=0,0,'TO HOP NLAN'!E247*'TS-PILE'!$E$80/SUMSQ('TS-PILE'!$E$72:$E$91))+IF(SUMSQ('TS-PILE'!$D$72:$D$91)=0,0,'TO HOP NLAN'!F247*'TS-PILE'!$D$80/SUMSQ('TS-PILE'!$D$72:$D$91))),IF('TS-PILE'!$B$81="",1E+99,'TO HOP NLAN'!D247/ncoc+IF(SUMSQ('TS-PILE'!$E$72:$E$91)=0,0,'TO HOP NLAN'!E247*'TS-PILE'!$E$81/SUMSQ('TS-PILE'!$E$72:$E$91))+IF(SUMSQ('TS-PILE'!$D$72:$D$91)=0,0,'TO HOP NLAN'!F247*'TS-PILE'!$D$81/SUMSQ('TS-PILE'!$D$72:$D$91))),IF('TS-PILE'!$B$82="",1E+99,'TO HOP NLAN'!D247/ncoc+IF(SUMSQ('TS-PILE'!$E$72:$E$91)=0,0,'TO HOP NLAN'!E247*'TS-PILE'!$E$82/SUMSQ('TS-PILE'!$E$72:$E$91))+IF(SUMSQ('TS-PILE'!$D$72:$D$91)=0,0,'TO HOP NLAN'!F247*'TS-PILE'!$D$82/SUMSQ('TS-PILE'!$D$72:$D$91))),IF('TS-PILE'!$B$83="",1E+99,'TO HOP NLAN'!D247/ncoc+IF(SUMSQ('TS-PILE'!$E$72:$E$91)=0,0,'TO HOP NLAN'!E247*'TS-PILE'!$E$83/SUMSQ('TS-PILE'!$E$72:$E$91))+IF(SUMSQ('TS-PILE'!$D$72:$D$91)=0,0,'TO HOP NLAN'!F247*'TS-PILE'!$D$83/SUMSQ('TS-PILE'!$D$72:$D$91))),IF('TS-PILE'!$B$84="",1E+99,'TO HOP NLAN'!D247/ncoc+IF(SUMSQ('TS-PILE'!$E$72:$E$91)=0,0,'TO HOP NLAN'!E247*'TS-PILE'!$E$84/SUMSQ('TS-PILE'!$E$72:$E$91))+IF(SUMSQ('TS-PILE'!$D$72:$D$91)=0,0,'TO HOP NLAN'!F247*'TS-PILE'!$D$84/SUMSQ('TS-PILE'!$D$72:$D$91))),IF('TS-PILE'!$B$85="",1E+99,'TO HOP NLAN'!D247/ncoc+IF(SUMSQ('TS-PILE'!$E$72:$E$91)=0,0,'TO HOP NLAN'!E247*'TS-PILE'!$E$85/SUMSQ('TS-PILE'!$E$72:$E$91))+IF(SUMSQ('TS-PILE'!$D$72:$D$91)=0,0,'TO HOP NLAN'!F247*'TS-PILE'!$D$85/SUMSQ('TS-PILE'!$D$72:$D$91))),IF('TS-PILE'!$B$86="",1E+99,'TO HOP NLAN'!D247/ncoc+IF(SUMSQ('TS-PILE'!$E$72:$E$91)=0,0,'TO HOP NLAN'!E247*'TS-PILE'!$E$86/SUMSQ('TS-PILE'!$E$72:$E$91))+IF(SUMSQ('TS-PILE'!$D$72:$D$91)=0,0,'TO HOP NLAN'!F247*'TS-PILE'!$D$86/SUMSQ('TS-PILE'!$D$72:$D$91))),IF('TS-PILE'!$B$87="",1E+99,'TO HOP NLAN'!D247/ncoc+IF(SUMSQ('TS-PILE'!$E$72:$E$91)=0,0,'TO HOP NLAN'!E247*'TS-PILE'!$E$87/SUMSQ('TS-PILE'!$E$72:$E$91))+IF(SUMSQ('TS-PILE'!$D$72:$D$91)=0,0,'TO HOP NLAN'!F247*'TS-PILE'!$D$87/SUMSQ('TS-PILE'!$D$72:$D$91))),IF('TS-PILE'!$B$88="",1E+99,'TO HOP NLAN'!D247/ncoc+IF(SUMSQ('TS-PILE'!$E$72:$E$91)=0,0,'TO HOP NLAN'!E247*'TS-PILE'!$E$88/SUMSQ('TS-PILE'!$E$72:$E$91))+IF(SUMSQ('TS-PILE'!$D$72:$D$91)=0,0,'TO HOP NLAN'!F247*'TS-PILE'!$D$88/SUMSQ('TS-PILE'!$D$72:$D$91))),IF('TS-PILE'!$B$89="",1E+99,'TO HOP NLAN'!D247/ncoc+IF(SUMSQ('TS-PILE'!$E$72:$E$91)=0,0,'TO HOP NLAN'!E247*'TS-PILE'!$E$89/SUMSQ('TS-PILE'!$E$72:$E$91))+IF(SUMSQ('TS-PILE'!$D$72:$D$91)=0,0,'TO HOP NLAN'!F247*'TS-PILE'!$D$89/SUMSQ('TS-PILE'!$D$72:$D$91))),IF('TS-PILE'!$B$90="",1E+99,'TO HOP NLAN'!D247/ncoc+IF(SUMSQ('TS-PILE'!$E$72:$E$91)=0,0,'TO HOP NLAN'!E247*'TS-PILE'!$E$90/SUMSQ('TS-PILE'!$E$72:$E$91))+IF(SUMSQ('TS-PILE'!$D$72:$D$91)=0,0,'TO HOP NLAN'!F247*'TS-PILE'!$D$90/SUMSQ('TS-PILE'!$D$72:$D$91))),IF('TS-PILE'!$B$91="",1E+99,'TO HOP NLAN'!D247/ncoc+IF(SUMSQ('TS-PILE'!$E$72:$E$91)=0,0,'TO HOP NLAN'!E247*'TS-PILE'!$E$91/SUMSQ('TS-PILE'!$E$72:$E$91))+IF(SUMSQ('TS-PILE'!$D$72:$D$91)=0,0,'TO HOP NLAN'!F247*'TS-PILE'!$D$91/SUMSQ('TS-PILE'!$D$72:$D$91)))))</f>
        <v>0</v>
      </c>
      <c r="E247" s="58">
        <f t="shared" si="12"/>
        <v>-9.9999999999999997E+98</v>
      </c>
      <c r="F247" s="58">
        <f t="shared" si="13"/>
        <v>9.9999999999999997E+98</v>
      </c>
      <c r="G247" s="58">
        <f t="shared" si="14"/>
        <v>-9.9999999999999997E+98</v>
      </c>
      <c r="H247" s="58">
        <f t="shared" si="15"/>
        <v>9.9999999999999997E+98</v>
      </c>
    </row>
    <row r="248" spans="1:8" x14ac:dyDescent="0.3">
      <c r="A248" s="42" t="str">
        <f>'TO HOP NLAN'!A248</f>
        <v/>
      </c>
      <c r="B248" s="42" t="str">
        <f>'TO HOP NLAN'!L248</f>
        <v>STRENGTH</v>
      </c>
      <c r="C248" s="58">
        <f>IF(A248="",0,MAX(IF('TS-PILE'!$B$72="",-1E+99,'TO HOP NLAN'!D248/ncoc+IF(SUMSQ('TS-PILE'!$E$72:$E$91)=0,0,'TO HOP NLAN'!E248*'TS-PILE'!$E$72/SUMSQ('TS-PILE'!$E$72:$E$91))+IF(SUMSQ('TS-PILE'!$D$72:$D$91)=0,0,'TO HOP NLAN'!F248*'TS-PILE'!$D$72/SUMSQ('TS-PILE'!$D$72:$D$91))),IF('TS-PILE'!$B$73="",-1E+99,'TO HOP NLAN'!D248/ncoc+IF(SUMSQ('TS-PILE'!$E$72:$E$91)=0,0,'TO HOP NLAN'!E248*'TS-PILE'!$E$73/SUMSQ('TS-PILE'!$E$72:$E$91))+IF(SUMSQ('TS-PILE'!$D$72:$D$91)=0,0,'TO HOP NLAN'!F248*'TS-PILE'!$D$73/SUMSQ('TS-PILE'!$D$72:$D$91))),IF('TS-PILE'!$B$74="",-1E+99,'TO HOP NLAN'!D248/ncoc+IF(SUMSQ('TS-PILE'!$E$72:$E$91)=0,0,'TO HOP NLAN'!E248*'TS-PILE'!$E$74/SUMSQ('TS-PILE'!$E$72:$E$91))+IF(SUMSQ('TS-PILE'!$D$72:$D$91)=0,0,'TO HOP NLAN'!F248*'TS-PILE'!$D$74/SUMSQ('TS-PILE'!$D$72:$D$91))),IF('TS-PILE'!$B$75="",-1E+99,'TO HOP NLAN'!D248/ncoc+IF(SUMSQ('TS-PILE'!$E$72:$E$91)=0,0,'TO HOP NLAN'!E248*'TS-PILE'!$E$75/SUMSQ('TS-PILE'!$E$72:$E$91))+IF(SUMSQ('TS-PILE'!$D$72:$D$91)=0,0,'TO HOP NLAN'!F248*'TS-PILE'!$D$75/SUMSQ('TS-PILE'!$D$72:$D$91))),IF('TS-PILE'!$B$76="",-1E+99,'TO HOP NLAN'!D248/ncoc+IF(SUMSQ('TS-PILE'!$E$72:$E$91)=0,0,'TO HOP NLAN'!E248*'TS-PILE'!$E$76/SUMSQ('TS-PILE'!$E$72:$E$91))+IF(SUMSQ('TS-PILE'!$D$72:$D$91)=0,0,'TO HOP NLAN'!F248*'TS-PILE'!$D$76/SUMSQ('TS-PILE'!$D$72:$D$91))),IF('TS-PILE'!$B$77="",-1E+99,'TO HOP NLAN'!D248/ncoc+IF(SUMSQ('TS-PILE'!$E$72:$E$91)=0,0,'TO HOP NLAN'!E248*'TS-PILE'!$E$77/SUMSQ('TS-PILE'!$E$72:$E$91))+IF(SUMSQ('TS-PILE'!$D$72:$D$91)=0,0,'TO HOP NLAN'!F248*'TS-PILE'!$D$77/SUMSQ('TS-PILE'!$D$72:$D$91))),IF('TS-PILE'!$B$78="",-1E+99,'TO HOP NLAN'!D248/ncoc+IF(SUMSQ('TS-PILE'!$E$72:$E$91)=0,0,'TO HOP NLAN'!E248*'TS-PILE'!$E$78/SUMSQ('TS-PILE'!$E$72:$E$91))+IF(SUMSQ('TS-PILE'!$D$72:$D$91)=0,0,'TO HOP NLAN'!F248*'TS-PILE'!$D$78/SUMSQ('TS-PILE'!$D$72:$D$91))),IF('TS-PILE'!$B$79="",-1E+99,'TO HOP NLAN'!D248/ncoc+IF(SUMSQ('TS-PILE'!$E$72:$E$91)=0,0,'TO HOP NLAN'!E248*'TS-PILE'!$E$79/SUMSQ('TS-PILE'!$E$72:$E$91))+IF(SUMSQ('TS-PILE'!$D$72:$D$91)=0,0,'TO HOP NLAN'!F248*'TS-PILE'!$D$79/SUMSQ('TS-PILE'!$D$72:$D$91))),IF('TS-PILE'!$B$80="",-1E+99,'TO HOP NLAN'!D248/ncoc+IF(SUMSQ('TS-PILE'!$E$72:$E$91)=0,0,'TO HOP NLAN'!E248*'TS-PILE'!$E$80/SUMSQ('TS-PILE'!$E$72:$E$91))+IF(SUMSQ('TS-PILE'!$D$72:$D$91)=0,0,'TO HOP NLAN'!F248*'TS-PILE'!$D$80/SUMSQ('TS-PILE'!$D$72:$D$91))),IF('TS-PILE'!$B$81="",-1E+99,'TO HOP NLAN'!D248/ncoc+IF(SUMSQ('TS-PILE'!$E$72:$E$91)=0,0,'TO HOP NLAN'!E248*'TS-PILE'!$E$81/SUMSQ('TS-PILE'!$E$72:$E$91))+IF(SUMSQ('TS-PILE'!$D$72:$D$91)=0,0,'TO HOP NLAN'!F248*'TS-PILE'!$D$81/SUMSQ('TS-PILE'!$D$72:$D$91))),IF('TS-PILE'!$B$82="",-1E+99,'TO HOP NLAN'!D248/ncoc+IF(SUMSQ('TS-PILE'!$E$72:$E$91)=0,0,'TO HOP NLAN'!E248*'TS-PILE'!$E$82/SUMSQ('TS-PILE'!$E$72:$E$91))+IF(SUMSQ('TS-PILE'!$D$72:$D$91)=0,0,'TO HOP NLAN'!F248*'TS-PILE'!$D$82/SUMSQ('TS-PILE'!$D$72:$D$91))),IF('TS-PILE'!$B$83="",-1E+99,'TO HOP NLAN'!D248/ncoc+IF(SUMSQ('TS-PILE'!$E$72:$E$91)=0,0,'TO HOP NLAN'!E248*'TS-PILE'!$E$83/SUMSQ('TS-PILE'!$E$72:$E$91))+IF(SUMSQ('TS-PILE'!$D$72:$D$91)=0,0,'TO HOP NLAN'!F248*'TS-PILE'!$D$83/SUMSQ('TS-PILE'!$D$72:$D$91))),IF('TS-PILE'!$B$84="",-1E+99,'TO HOP NLAN'!D248/ncoc+IF(SUMSQ('TS-PILE'!$E$72:$E$91)=0,0,'TO HOP NLAN'!E248*'TS-PILE'!$E$84/SUMSQ('TS-PILE'!$E$72:$E$91))+IF(SUMSQ('TS-PILE'!$D$72:$D$91)=0,0,'TO HOP NLAN'!F248*'TS-PILE'!$D$84/SUMSQ('TS-PILE'!$D$72:$D$91))),IF('TS-PILE'!$B$85="",-1E+99,'TO HOP NLAN'!D248/ncoc+IF(SUMSQ('TS-PILE'!$E$72:$E$91)=0,0,'TO HOP NLAN'!E248*'TS-PILE'!$E$85/SUMSQ('TS-PILE'!$E$72:$E$91))+IF(SUMSQ('TS-PILE'!$D$72:$D$91)=0,0,'TO HOP NLAN'!F248*'TS-PILE'!$D$85/SUMSQ('TS-PILE'!$D$72:$D$91))),IF('TS-PILE'!$B$86="",-1E+99,'TO HOP NLAN'!D248/ncoc+IF(SUMSQ('TS-PILE'!$E$72:$E$91)=0,0,'TO HOP NLAN'!E248*'TS-PILE'!$E$86/SUMSQ('TS-PILE'!$E$72:$E$91))+IF(SUMSQ('TS-PILE'!$D$72:$D$91)=0,0,'TO HOP NLAN'!F248*'TS-PILE'!$D$86/SUMSQ('TS-PILE'!$D$72:$D$91))),IF('TS-PILE'!$B$87="",-1E+99,'TO HOP NLAN'!D248/ncoc+IF(SUMSQ('TS-PILE'!$E$72:$E$91)=0,0,'TO HOP NLAN'!E248*'TS-PILE'!$E$87/SUMSQ('TS-PILE'!$E$72:$E$91))+IF(SUMSQ('TS-PILE'!$D$72:$D$91)=0,0,'TO HOP NLAN'!F248*'TS-PILE'!$D$87/SUMSQ('TS-PILE'!$D$72:$D$91))),IF('TS-PILE'!$B$88="",-1E+99,'TO HOP NLAN'!D248/ncoc+IF(SUMSQ('TS-PILE'!$E$72:$E$91)=0,0,'TO HOP NLAN'!E248*'TS-PILE'!$E$88/SUMSQ('TS-PILE'!$E$72:$E$91))+IF(SUMSQ('TS-PILE'!$D$72:$D$91)=0,0,'TO HOP NLAN'!F248*'TS-PILE'!$D$88/SUMSQ('TS-PILE'!$D$72:$D$91))),IF('TS-PILE'!$B$89="",-1E+99,'TO HOP NLAN'!D248/ncoc+IF(SUMSQ('TS-PILE'!$E$72:$E$91)=0,0,'TO HOP NLAN'!E248*'TS-PILE'!$E$89/SUMSQ('TS-PILE'!$E$72:$E$91))+IF(SUMSQ('TS-PILE'!$D$72:$D$91)=0,0,'TO HOP NLAN'!F248*'TS-PILE'!$D$89/SUMSQ('TS-PILE'!$D$72:$D$91))),IF('TS-PILE'!$B$90="",-1E+99,'TO HOP NLAN'!D248/ncoc+IF(SUMSQ('TS-PILE'!$E$72:$E$91)=0,0,'TO HOP NLAN'!E248*'TS-PILE'!$E$90/SUMSQ('TS-PILE'!$E$72:$E$91))+IF(SUMSQ('TS-PILE'!$D$72:$D$91)=0,0,'TO HOP NLAN'!F248*'TS-PILE'!$D$90/SUMSQ('TS-PILE'!$D$72:$D$91))),IF('TS-PILE'!$B$91="",-1E+99,'TO HOP NLAN'!D248/ncoc+IF(SUMSQ('TS-PILE'!$E$72:$E$91)=0,0,'TO HOP NLAN'!E248*'TS-PILE'!$E$91/SUMSQ('TS-PILE'!$E$72:$E$91))+IF(SUMSQ('TS-PILE'!$D$72:$D$91)=0,0,'TO HOP NLAN'!F248*'TS-PILE'!$D$91/SUMSQ('TS-PILE'!$D$72:$D$91)))))</f>
        <v>0</v>
      </c>
      <c r="D248" s="58">
        <f>IF(A248="",0,MIN(IF('TS-PILE'!$B$72="",1E+99,'TO HOP NLAN'!D248/ncoc+IF(SUMSQ('TS-PILE'!$E$72:$E$91)=0,0,'TO HOP NLAN'!E248*'TS-PILE'!$E$72/SUMSQ('TS-PILE'!$E$72:$E$91))+IF(SUMSQ('TS-PILE'!$D$72:$D$91)=0,0,'TO HOP NLAN'!F248*'TS-PILE'!$D$72/SUMSQ('TS-PILE'!$D$72:$D$91))),IF('TS-PILE'!$B$73="",1E+99,'TO HOP NLAN'!D248/ncoc+IF(SUMSQ('TS-PILE'!$E$72:$E$91)=0,0,'TO HOP NLAN'!E248*'TS-PILE'!$E$73/SUMSQ('TS-PILE'!$E$72:$E$91))+IF(SUMSQ('TS-PILE'!$D$72:$D$91)=0,0,'TO HOP NLAN'!F248*'TS-PILE'!$D$73/SUMSQ('TS-PILE'!$D$72:$D$91))),IF('TS-PILE'!$B$74="",1E+99,'TO HOP NLAN'!D248/ncoc+IF(SUMSQ('TS-PILE'!$E$72:$E$91)=0,0,'TO HOP NLAN'!E248*'TS-PILE'!$E$74/SUMSQ('TS-PILE'!$E$72:$E$91))+IF(SUMSQ('TS-PILE'!$D$72:$D$91)=0,0,'TO HOP NLAN'!F248*'TS-PILE'!$D$74/SUMSQ('TS-PILE'!$D$72:$D$91))),IF('TS-PILE'!$B$75="",1E+99,'TO HOP NLAN'!D248/ncoc+IF(SUMSQ('TS-PILE'!$E$72:$E$91)=0,0,'TO HOP NLAN'!E248*'TS-PILE'!$E$75/SUMSQ('TS-PILE'!$E$72:$E$91))+IF(SUMSQ('TS-PILE'!$D$72:$D$91)=0,0,'TO HOP NLAN'!F248*'TS-PILE'!$D$75/SUMSQ('TS-PILE'!$D$72:$D$91))),IF('TS-PILE'!$B$76="",1E+99,'TO HOP NLAN'!D248/ncoc+IF(SUMSQ('TS-PILE'!$E$72:$E$91)=0,0,'TO HOP NLAN'!E248*'TS-PILE'!$E$76/SUMSQ('TS-PILE'!$E$72:$E$91))+IF(SUMSQ('TS-PILE'!$D$72:$D$91)=0,0,'TO HOP NLAN'!F248*'TS-PILE'!$D$76/SUMSQ('TS-PILE'!$D$72:$D$91))),IF('TS-PILE'!$B$77="",1E+99,'TO HOP NLAN'!D248/ncoc+IF(SUMSQ('TS-PILE'!$E$72:$E$91)=0,0,'TO HOP NLAN'!E248*'TS-PILE'!$E$77/SUMSQ('TS-PILE'!$E$72:$E$91))+IF(SUMSQ('TS-PILE'!$D$72:$D$91)=0,0,'TO HOP NLAN'!F248*'TS-PILE'!$D$77/SUMSQ('TS-PILE'!$D$72:$D$91))),IF('TS-PILE'!$B$78="",1E+99,'TO HOP NLAN'!D248/ncoc+IF(SUMSQ('TS-PILE'!$E$72:$E$91)=0,0,'TO HOP NLAN'!E248*'TS-PILE'!$E$78/SUMSQ('TS-PILE'!$E$72:$E$91))+IF(SUMSQ('TS-PILE'!$D$72:$D$91)=0,0,'TO HOP NLAN'!F248*'TS-PILE'!$D$78/SUMSQ('TS-PILE'!$D$72:$D$91))),IF('TS-PILE'!$B$79="",1E+99,'TO HOP NLAN'!D248/ncoc+IF(SUMSQ('TS-PILE'!$E$72:$E$91)=0,0,'TO HOP NLAN'!E248*'TS-PILE'!$E$79/SUMSQ('TS-PILE'!$E$72:$E$91))+IF(SUMSQ('TS-PILE'!$D$72:$D$91)=0,0,'TO HOP NLAN'!F248*'TS-PILE'!$D$79/SUMSQ('TS-PILE'!$D$72:$D$91))),IF('TS-PILE'!$B$80="",1E+99,'TO HOP NLAN'!D248/ncoc+IF(SUMSQ('TS-PILE'!$E$72:$E$91)=0,0,'TO HOP NLAN'!E248*'TS-PILE'!$E$80/SUMSQ('TS-PILE'!$E$72:$E$91))+IF(SUMSQ('TS-PILE'!$D$72:$D$91)=0,0,'TO HOP NLAN'!F248*'TS-PILE'!$D$80/SUMSQ('TS-PILE'!$D$72:$D$91))),IF('TS-PILE'!$B$81="",1E+99,'TO HOP NLAN'!D248/ncoc+IF(SUMSQ('TS-PILE'!$E$72:$E$91)=0,0,'TO HOP NLAN'!E248*'TS-PILE'!$E$81/SUMSQ('TS-PILE'!$E$72:$E$91))+IF(SUMSQ('TS-PILE'!$D$72:$D$91)=0,0,'TO HOP NLAN'!F248*'TS-PILE'!$D$81/SUMSQ('TS-PILE'!$D$72:$D$91))),IF('TS-PILE'!$B$82="",1E+99,'TO HOP NLAN'!D248/ncoc+IF(SUMSQ('TS-PILE'!$E$72:$E$91)=0,0,'TO HOP NLAN'!E248*'TS-PILE'!$E$82/SUMSQ('TS-PILE'!$E$72:$E$91))+IF(SUMSQ('TS-PILE'!$D$72:$D$91)=0,0,'TO HOP NLAN'!F248*'TS-PILE'!$D$82/SUMSQ('TS-PILE'!$D$72:$D$91))),IF('TS-PILE'!$B$83="",1E+99,'TO HOP NLAN'!D248/ncoc+IF(SUMSQ('TS-PILE'!$E$72:$E$91)=0,0,'TO HOP NLAN'!E248*'TS-PILE'!$E$83/SUMSQ('TS-PILE'!$E$72:$E$91))+IF(SUMSQ('TS-PILE'!$D$72:$D$91)=0,0,'TO HOP NLAN'!F248*'TS-PILE'!$D$83/SUMSQ('TS-PILE'!$D$72:$D$91))),IF('TS-PILE'!$B$84="",1E+99,'TO HOP NLAN'!D248/ncoc+IF(SUMSQ('TS-PILE'!$E$72:$E$91)=0,0,'TO HOP NLAN'!E248*'TS-PILE'!$E$84/SUMSQ('TS-PILE'!$E$72:$E$91))+IF(SUMSQ('TS-PILE'!$D$72:$D$91)=0,0,'TO HOP NLAN'!F248*'TS-PILE'!$D$84/SUMSQ('TS-PILE'!$D$72:$D$91))),IF('TS-PILE'!$B$85="",1E+99,'TO HOP NLAN'!D248/ncoc+IF(SUMSQ('TS-PILE'!$E$72:$E$91)=0,0,'TO HOP NLAN'!E248*'TS-PILE'!$E$85/SUMSQ('TS-PILE'!$E$72:$E$91))+IF(SUMSQ('TS-PILE'!$D$72:$D$91)=0,0,'TO HOP NLAN'!F248*'TS-PILE'!$D$85/SUMSQ('TS-PILE'!$D$72:$D$91))),IF('TS-PILE'!$B$86="",1E+99,'TO HOP NLAN'!D248/ncoc+IF(SUMSQ('TS-PILE'!$E$72:$E$91)=0,0,'TO HOP NLAN'!E248*'TS-PILE'!$E$86/SUMSQ('TS-PILE'!$E$72:$E$91))+IF(SUMSQ('TS-PILE'!$D$72:$D$91)=0,0,'TO HOP NLAN'!F248*'TS-PILE'!$D$86/SUMSQ('TS-PILE'!$D$72:$D$91))),IF('TS-PILE'!$B$87="",1E+99,'TO HOP NLAN'!D248/ncoc+IF(SUMSQ('TS-PILE'!$E$72:$E$91)=0,0,'TO HOP NLAN'!E248*'TS-PILE'!$E$87/SUMSQ('TS-PILE'!$E$72:$E$91))+IF(SUMSQ('TS-PILE'!$D$72:$D$91)=0,0,'TO HOP NLAN'!F248*'TS-PILE'!$D$87/SUMSQ('TS-PILE'!$D$72:$D$91))),IF('TS-PILE'!$B$88="",1E+99,'TO HOP NLAN'!D248/ncoc+IF(SUMSQ('TS-PILE'!$E$72:$E$91)=0,0,'TO HOP NLAN'!E248*'TS-PILE'!$E$88/SUMSQ('TS-PILE'!$E$72:$E$91))+IF(SUMSQ('TS-PILE'!$D$72:$D$91)=0,0,'TO HOP NLAN'!F248*'TS-PILE'!$D$88/SUMSQ('TS-PILE'!$D$72:$D$91))),IF('TS-PILE'!$B$89="",1E+99,'TO HOP NLAN'!D248/ncoc+IF(SUMSQ('TS-PILE'!$E$72:$E$91)=0,0,'TO HOP NLAN'!E248*'TS-PILE'!$E$89/SUMSQ('TS-PILE'!$E$72:$E$91))+IF(SUMSQ('TS-PILE'!$D$72:$D$91)=0,0,'TO HOP NLAN'!F248*'TS-PILE'!$D$89/SUMSQ('TS-PILE'!$D$72:$D$91))),IF('TS-PILE'!$B$90="",1E+99,'TO HOP NLAN'!D248/ncoc+IF(SUMSQ('TS-PILE'!$E$72:$E$91)=0,0,'TO HOP NLAN'!E248*'TS-PILE'!$E$90/SUMSQ('TS-PILE'!$E$72:$E$91))+IF(SUMSQ('TS-PILE'!$D$72:$D$91)=0,0,'TO HOP NLAN'!F248*'TS-PILE'!$D$90/SUMSQ('TS-PILE'!$D$72:$D$91))),IF('TS-PILE'!$B$91="",1E+99,'TO HOP NLAN'!D248/ncoc+IF(SUMSQ('TS-PILE'!$E$72:$E$91)=0,0,'TO HOP NLAN'!E248*'TS-PILE'!$E$91/SUMSQ('TS-PILE'!$E$72:$E$91))+IF(SUMSQ('TS-PILE'!$D$72:$D$91)=0,0,'TO HOP NLAN'!F248*'TS-PILE'!$D$91/SUMSQ('TS-PILE'!$D$72:$D$91)))))</f>
        <v>0</v>
      </c>
      <c r="E248" s="58">
        <f t="shared" si="12"/>
        <v>-9.9999999999999997E+98</v>
      </c>
      <c r="F248" s="58">
        <f t="shared" si="13"/>
        <v>9.9999999999999997E+98</v>
      </c>
      <c r="G248" s="58">
        <f t="shared" si="14"/>
        <v>-9.9999999999999997E+98</v>
      </c>
      <c r="H248" s="58">
        <f t="shared" si="15"/>
        <v>9.9999999999999997E+98</v>
      </c>
    </row>
    <row r="249" spans="1:8" x14ac:dyDescent="0.3">
      <c r="A249" s="42" t="str">
        <f>'TO HOP NLAN'!A249</f>
        <v/>
      </c>
      <c r="B249" s="42" t="str">
        <f>'TO HOP NLAN'!L249</f>
        <v>STRENGTH</v>
      </c>
      <c r="C249" s="58">
        <f>IF(A249="",0,MAX(IF('TS-PILE'!$B$72="",-1E+99,'TO HOP NLAN'!D249/ncoc+IF(SUMSQ('TS-PILE'!$E$72:$E$91)=0,0,'TO HOP NLAN'!E249*'TS-PILE'!$E$72/SUMSQ('TS-PILE'!$E$72:$E$91))+IF(SUMSQ('TS-PILE'!$D$72:$D$91)=0,0,'TO HOP NLAN'!F249*'TS-PILE'!$D$72/SUMSQ('TS-PILE'!$D$72:$D$91))),IF('TS-PILE'!$B$73="",-1E+99,'TO HOP NLAN'!D249/ncoc+IF(SUMSQ('TS-PILE'!$E$72:$E$91)=0,0,'TO HOP NLAN'!E249*'TS-PILE'!$E$73/SUMSQ('TS-PILE'!$E$72:$E$91))+IF(SUMSQ('TS-PILE'!$D$72:$D$91)=0,0,'TO HOP NLAN'!F249*'TS-PILE'!$D$73/SUMSQ('TS-PILE'!$D$72:$D$91))),IF('TS-PILE'!$B$74="",-1E+99,'TO HOP NLAN'!D249/ncoc+IF(SUMSQ('TS-PILE'!$E$72:$E$91)=0,0,'TO HOP NLAN'!E249*'TS-PILE'!$E$74/SUMSQ('TS-PILE'!$E$72:$E$91))+IF(SUMSQ('TS-PILE'!$D$72:$D$91)=0,0,'TO HOP NLAN'!F249*'TS-PILE'!$D$74/SUMSQ('TS-PILE'!$D$72:$D$91))),IF('TS-PILE'!$B$75="",-1E+99,'TO HOP NLAN'!D249/ncoc+IF(SUMSQ('TS-PILE'!$E$72:$E$91)=0,0,'TO HOP NLAN'!E249*'TS-PILE'!$E$75/SUMSQ('TS-PILE'!$E$72:$E$91))+IF(SUMSQ('TS-PILE'!$D$72:$D$91)=0,0,'TO HOP NLAN'!F249*'TS-PILE'!$D$75/SUMSQ('TS-PILE'!$D$72:$D$91))),IF('TS-PILE'!$B$76="",-1E+99,'TO HOP NLAN'!D249/ncoc+IF(SUMSQ('TS-PILE'!$E$72:$E$91)=0,0,'TO HOP NLAN'!E249*'TS-PILE'!$E$76/SUMSQ('TS-PILE'!$E$72:$E$91))+IF(SUMSQ('TS-PILE'!$D$72:$D$91)=0,0,'TO HOP NLAN'!F249*'TS-PILE'!$D$76/SUMSQ('TS-PILE'!$D$72:$D$91))),IF('TS-PILE'!$B$77="",-1E+99,'TO HOP NLAN'!D249/ncoc+IF(SUMSQ('TS-PILE'!$E$72:$E$91)=0,0,'TO HOP NLAN'!E249*'TS-PILE'!$E$77/SUMSQ('TS-PILE'!$E$72:$E$91))+IF(SUMSQ('TS-PILE'!$D$72:$D$91)=0,0,'TO HOP NLAN'!F249*'TS-PILE'!$D$77/SUMSQ('TS-PILE'!$D$72:$D$91))),IF('TS-PILE'!$B$78="",-1E+99,'TO HOP NLAN'!D249/ncoc+IF(SUMSQ('TS-PILE'!$E$72:$E$91)=0,0,'TO HOP NLAN'!E249*'TS-PILE'!$E$78/SUMSQ('TS-PILE'!$E$72:$E$91))+IF(SUMSQ('TS-PILE'!$D$72:$D$91)=0,0,'TO HOP NLAN'!F249*'TS-PILE'!$D$78/SUMSQ('TS-PILE'!$D$72:$D$91))),IF('TS-PILE'!$B$79="",-1E+99,'TO HOP NLAN'!D249/ncoc+IF(SUMSQ('TS-PILE'!$E$72:$E$91)=0,0,'TO HOP NLAN'!E249*'TS-PILE'!$E$79/SUMSQ('TS-PILE'!$E$72:$E$91))+IF(SUMSQ('TS-PILE'!$D$72:$D$91)=0,0,'TO HOP NLAN'!F249*'TS-PILE'!$D$79/SUMSQ('TS-PILE'!$D$72:$D$91))),IF('TS-PILE'!$B$80="",-1E+99,'TO HOP NLAN'!D249/ncoc+IF(SUMSQ('TS-PILE'!$E$72:$E$91)=0,0,'TO HOP NLAN'!E249*'TS-PILE'!$E$80/SUMSQ('TS-PILE'!$E$72:$E$91))+IF(SUMSQ('TS-PILE'!$D$72:$D$91)=0,0,'TO HOP NLAN'!F249*'TS-PILE'!$D$80/SUMSQ('TS-PILE'!$D$72:$D$91))),IF('TS-PILE'!$B$81="",-1E+99,'TO HOP NLAN'!D249/ncoc+IF(SUMSQ('TS-PILE'!$E$72:$E$91)=0,0,'TO HOP NLAN'!E249*'TS-PILE'!$E$81/SUMSQ('TS-PILE'!$E$72:$E$91))+IF(SUMSQ('TS-PILE'!$D$72:$D$91)=0,0,'TO HOP NLAN'!F249*'TS-PILE'!$D$81/SUMSQ('TS-PILE'!$D$72:$D$91))),IF('TS-PILE'!$B$82="",-1E+99,'TO HOP NLAN'!D249/ncoc+IF(SUMSQ('TS-PILE'!$E$72:$E$91)=0,0,'TO HOP NLAN'!E249*'TS-PILE'!$E$82/SUMSQ('TS-PILE'!$E$72:$E$91))+IF(SUMSQ('TS-PILE'!$D$72:$D$91)=0,0,'TO HOP NLAN'!F249*'TS-PILE'!$D$82/SUMSQ('TS-PILE'!$D$72:$D$91))),IF('TS-PILE'!$B$83="",-1E+99,'TO HOP NLAN'!D249/ncoc+IF(SUMSQ('TS-PILE'!$E$72:$E$91)=0,0,'TO HOP NLAN'!E249*'TS-PILE'!$E$83/SUMSQ('TS-PILE'!$E$72:$E$91))+IF(SUMSQ('TS-PILE'!$D$72:$D$91)=0,0,'TO HOP NLAN'!F249*'TS-PILE'!$D$83/SUMSQ('TS-PILE'!$D$72:$D$91))),IF('TS-PILE'!$B$84="",-1E+99,'TO HOP NLAN'!D249/ncoc+IF(SUMSQ('TS-PILE'!$E$72:$E$91)=0,0,'TO HOP NLAN'!E249*'TS-PILE'!$E$84/SUMSQ('TS-PILE'!$E$72:$E$91))+IF(SUMSQ('TS-PILE'!$D$72:$D$91)=0,0,'TO HOP NLAN'!F249*'TS-PILE'!$D$84/SUMSQ('TS-PILE'!$D$72:$D$91))),IF('TS-PILE'!$B$85="",-1E+99,'TO HOP NLAN'!D249/ncoc+IF(SUMSQ('TS-PILE'!$E$72:$E$91)=0,0,'TO HOP NLAN'!E249*'TS-PILE'!$E$85/SUMSQ('TS-PILE'!$E$72:$E$91))+IF(SUMSQ('TS-PILE'!$D$72:$D$91)=0,0,'TO HOP NLAN'!F249*'TS-PILE'!$D$85/SUMSQ('TS-PILE'!$D$72:$D$91))),IF('TS-PILE'!$B$86="",-1E+99,'TO HOP NLAN'!D249/ncoc+IF(SUMSQ('TS-PILE'!$E$72:$E$91)=0,0,'TO HOP NLAN'!E249*'TS-PILE'!$E$86/SUMSQ('TS-PILE'!$E$72:$E$91))+IF(SUMSQ('TS-PILE'!$D$72:$D$91)=0,0,'TO HOP NLAN'!F249*'TS-PILE'!$D$86/SUMSQ('TS-PILE'!$D$72:$D$91))),IF('TS-PILE'!$B$87="",-1E+99,'TO HOP NLAN'!D249/ncoc+IF(SUMSQ('TS-PILE'!$E$72:$E$91)=0,0,'TO HOP NLAN'!E249*'TS-PILE'!$E$87/SUMSQ('TS-PILE'!$E$72:$E$91))+IF(SUMSQ('TS-PILE'!$D$72:$D$91)=0,0,'TO HOP NLAN'!F249*'TS-PILE'!$D$87/SUMSQ('TS-PILE'!$D$72:$D$91))),IF('TS-PILE'!$B$88="",-1E+99,'TO HOP NLAN'!D249/ncoc+IF(SUMSQ('TS-PILE'!$E$72:$E$91)=0,0,'TO HOP NLAN'!E249*'TS-PILE'!$E$88/SUMSQ('TS-PILE'!$E$72:$E$91))+IF(SUMSQ('TS-PILE'!$D$72:$D$91)=0,0,'TO HOP NLAN'!F249*'TS-PILE'!$D$88/SUMSQ('TS-PILE'!$D$72:$D$91))),IF('TS-PILE'!$B$89="",-1E+99,'TO HOP NLAN'!D249/ncoc+IF(SUMSQ('TS-PILE'!$E$72:$E$91)=0,0,'TO HOP NLAN'!E249*'TS-PILE'!$E$89/SUMSQ('TS-PILE'!$E$72:$E$91))+IF(SUMSQ('TS-PILE'!$D$72:$D$91)=0,0,'TO HOP NLAN'!F249*'TS-PILE'!$D$89/SUMSQ('TS-PILE'!$D$72:$D$91))),IF('TS-PILE'!$B$90="",-1E+99,'TO HOP NLAN'!D249/ncoc+IF(SUMSQ('TS-PILE'!$E$72:$E$91)=0,0,'TO HOP NLAN'!E249*'TS-PILE'!$E$90/SUMSQ('TS-PILE'!$E$72:$E$91))+IF(SUMSQ('TS-PILE'!$D$72:$D$91)=0,0,'TO HOP NLAN'!F249*'TS-PILE'!$D$90/SUMSQ('TS-PILE'!$D$72:$D$91))),IF('TS-PILE'!$B$91="",-1E+99,'TO HOP NLAN'!D249/ncoc+IF(SUMSQ('TS-PILE'!$E$72:$E$91)=0,0,'TO HOP NLAN'!E249*'TS-PILE'!$E$91/SUMSQ('TS-PILE'!$E$72:$E$91))+IF(SUMSQ('TS-PILE'!$D$72:$D$91)=0,0,'TO HOP NLAN'!F249*'TS-PILE'!$D$91/SUMSQ('TS-PILE'!$D$72:$D$91)))))</f>
        <v>0</v>
      </c>
      <c r="D249" s="58">
        <f>IF(A249="",0,MIN(IF('TS-PILE'!$B$72="",1E+99,'TO HOP NLAN'!D249/ncoc+IF(SUMSQ('TS-PILE'!$E$72:$E$91)=0,0,'TO HOP NLAN'!E249*'TS-PILE'!$E$72/SUMSQ('TS-PILE'!$E$72:$E$91))+IF(SUMSQ('TS-PILE'!$D$72:$D$91)=0,0,'TO HOP NLAN'!F249*'TS-PILE'!$D$72/SUMSQ('TS-PILE'!$D$72:$D$91))),IF('TS-PILE'!$B$73="",1E+99,'TO HOP NLAN'!D249/ncoc+IF(SUMSQ('TS-PILE'!$E$72:$E$91)=0,0,'TO HOP NLAN'!E249*'TS-PILE'!$E$73/SUMSQ('TS-PILE'!$E$72:$E$91))+IF(SUMSQ('TS-PILE'!$D$72:$D$91)=0,0,'TO HOP NLAN'!F249*'TS-PILE'!$D$73/SUMSQ('TS-PILE'!$D$72:$D$91))),IF('TS-PILE'!$B$74="",1E+99,'TO HOP NLAN'!D249/ncoc+IF(SUMSQ('TS-PILE'!$E$72:$E$91)=0,0,'TO HOP NLAN'!E249*'TS-PILE'!$E$74/SUMSQ('TS-PILE'!$E$72:$E$91))+IF(SUMSQ('TS-PILE'!$D$72:$D$91)=0,0,'TO HOP NLAN'!F249*'TS-PILE'!$D$74/SUMSQ('TS-PILE'!$D$72:$D$91))),IF('TS-PILE'!$B$75="",1E+99,'TO HOP NLAN'!D249/ncoc+IF(SUMSQ('TS-PILE'!$E$72:$E$91)=0,0,'TO HOP NLAN'!E249*'TS-PILE'!$E$75/SUMSQ('TS-PILE'!$E$72:$E$91))+IF(SUMSQ('TS-PILE'!$D$72:$D$91)=0,0,'TO HOP NLAN'!F249*'TS-PILE'!$D$75/SUMSQ('TS-PILE'!$D$72:$D$91))),IF('TS-PILE'!$B$76="",1E+99,'TO HOP NLAN'!D249/ncoc+IF(SUMSQ('TS-PILE'!$E$72:$E$91)=0,0,'TO HOP NLAN'!E249*'TS-PILE'!$E$76/SUMSQ('TS-PILE'!$E$72:$E$91))+IF(SUMSQ('TS-PILE'!$D$72:$D$91)=0,0,'TO HOP NLAN'!F249*'TS-PILE'!$D$76/SUMSQ('TS-PILE'!$D$72:$D$91))),IF('TS-PILE'!$B$77="",1E+99,'TO HOP NLAN'!D249/ncoc+IF(SUMSQ('TS-PILE'!$E$72:$E$91)=0,0,'TO HOP NLAN'!E249*'TS-PILE'!$E$77/SUMSQ('TS-PILE'!$E$72:$E$91))+IF(SUMSQ('TS-PILE'!$D$72:$D$91)=0,0,'TO HOP NLAN'!F249*'TS-PILE'!$D$77/SUMSQ('TS-PILE'!$D$72:$D$91))),IF('TS-PILE'!$B$78="",1E+99,'TO HOP NLAN'!D249/ncoc+IF(SUMSQ('TS-PILE'!$E$72:$E$91)=0,0,'TO HOP NLAN'!E249*'TS-PILE'!$E$78/SUMSQ('TS-PILE'!$E$72:$E$91))+IF(SUMSQ('TS-PILE'!$D$72:$D$91)=0,0,'TO HOP NLAN'!F249*'TS-PILE'!$D$78/SUMSQ('TS-PILE'!$D$72:$D$91))),IF('TS-PILE'!$B$79="",1E+99,'TO HOP NLAN'!D249/ncoc+IF(SUMSQ('TS-PILE'!$E$72:$E$91)=0,0,'TO HOP NLAN'!E249*'TS-PILE'!$E$79/SUMSQ('TS-PILE'!$E$72:$E$91))+IF(SUMSQ('TS-PILE'!$D$72:$D$91)=0,0,'TO HOP NLAN'!F249*'TS-PILE'!$D$79/SUMSQ('TS-PILE'!$D$72:$D$91))),IF('TS-PILE'!$B$80="",1E+99,'TO HOP NLAN'!D249/ncoc+IF(SUMSQ('TS-PILE'!$E$72:$E$91)=0,0,'TO HOP NLAN'!E249*'TS-PILE'!$E$80/SUMSQ('TS-PILE'!$E$72:$E$91))+IF(SUMSQ('TS-PILE'!$D$72:$D$91)=0,0,'TO HOP NLAN'!F249*'TS-PILE'!$D$80/SUMSQ('TS-PILE'!$D$72:$D$91))),IF('TS-PILE'!$B$81="",1E+99,'TO HOP NLAN'!D249/ncoc+IF(SUMSQ('TS-PILE'!$E$72:$E$91)=0,0,'TO HOP NLAN'!E249*'TS-PILE'!$E$81/SUMSQ('TS-PILE'!$E$72:$E$91))+IF(SUMSQ('TS-PILE'!$D$72:$D$91)=0,0,'TO HOP NLAN'!F249*'TS-PILE'!$D$81/SUMSQ('TS-PILE'!$D$72:$D$91))),IF('TS-PILE'!$B$82="",1E+99,'TO HOP NLAN'!D249/ncoc+IF(SUMSQ('TS-PILE'!$E$72:$E$91)=0,0,'TO HOP NLAN'!E249*'TS-PILE'!$E$82/SUMSQ('TS-PILE'!$E$72:$E$91))+IF(SUMSQ('TS-PILE'!$D$72:$D$91)=0,0,'TO HOP NLAN'!F249*'TS-PILE'!$D$82/SUMSQ('TS-PILE'!$D$72:$D$91))),IF('TS-PILE'!$B$83="",1E+99,'TO HOP NLAN'!D249/ncoc+IF(SUMSQ('TS-PILE'!$E$72:$E$91)=0,0,'TO HOP NLAN'!E249*'TS-PILE'!$E$83/SUMSQ('TS-PILE'!$E$72:$E$91))+IF(SUMSQ('TS-PILE'!$D$72:$D$91)=0,0,'TO HOP NLAN'!F249*'TS-PILE'!$D$83/SUMSQ('TS-PILE'!$D$72:$D$91))),IF('TS-PILE'!$B$84="",1E+99,'TO HOP NLAN'!D249/ncoc+IF(SUMSQ('TS-PILE'!$E$72:$E$91)=0,0,'TO HOP NLAN'!E249*'TS-PILE'!$E$84/SUMSQ('TS-PILE'!$E$72:$E$91))+IF(SUMSQ('TS-PILE'!$D$72:$D$91)=0,0,'TO HOP NLAN'!F249*'TS-PILE'!$D$84/SUMSQ('TS-PILE'!$D$72:$D$91))),IF('TS-PILE'!$B$85="",1E+99,'TO HOP NLAN'!D249/ncoc+IF(SUMSQ('TS-PILE'!$E$72:$E$91)=0,0,'TO HOP NLAN'!E249*'TS-PILE'!$E$85/SUMSQ('TS-PILE'!$E$72:$E$91))+IF(SUMSQ('TS-PILE'!$D$72:$D$91)=0,0,'TO HOP NLAN'!F249*'TS-PILE'!$D$85/SUMSQ('TS-PILE'!$D$72:$D$91))),IF('TS-PILE'!$B$86="",1E+99,'TO HOP NLAN'!D249/ncoc+IF(SUMSQ('TS-PILE'!$E$72:$E$91)=0,0,'TO HOP NLAN'!E249*'TS-PILE'!$E$86/SUMSQ('TS-PILE'!$E$72:$E$91))+IF(SUMSQ('TS-PILE'!$D$72:$D$91)=0,0,'TO HOP NLAN'!F249*'TS-PILE'!$D$86/SUMSQ('TS-PILE'!$D$72:$D$91))),IF('TS-PILE'!$B$87="",1E+99,'TO HOP NLAN'!D249/ncoc+IF(SUMSQ('TS-PILE'!$E$72:$E$91)=0,0,'TO HOP NLAN'!E249*'TS-PILE'!$E$87/SUMSQ('TS-PILE'!$E$72:$E$91))+IF(SUMSQ('TS-PILE'!$D$72:$D$91)=0,0,'TO HOP NLAN'!F249*'TS-PILE'!$D$87/SUMSQ('TS-PILE'!$D$72:$D$91))),IF('TS-PILE'!$B$88="",1E+99,'TO HOP NLAN'!D249/ncoc+IF(SUMSQ('TS-PILE'!$E$72:$E$91)=0,0,'TO HOP NLAN'!E249*'TS-PILE'!$E$88/SUMSQ('TS-PILE'!$E$72:$E$91))+IF(SUMSQ('TS-PILE'!$D$72:$D$91)=0,0,'TO HOP NLAN'!F249*'TS-PILE'!$D$88/SUMSQ('TS-PILE'!$D$72:$D$91))),IF('TS-PILE'!$B$89="",1E+99,'TO HOP NLAN'!D249/ncoc+IF(SUMSQ('TS-PILE'!$E$72:$E$91)=0,0,'TO HOP NLAN'!E249*'TS-PILE'!$E$89/SUMSQ('TS-PILE'!$E$72:$E$91))+IF(SUMSQ('TS-PILE'!$D$72:$D$91)=0,0,'TO HOP NLAN'!F249*'TS-PILE'!$D$89/SUMSQ('TS-PILE'!$D$72:$D$91))),IF('TS-PILE'!$B$90="",1E+99,'TO HOP NLAN'!D249/ncoc+IF(SUMSQ('TS-PILE'!$E$72:$E$91)=0,0,'TO HOP NLAN'!E249*'TS-PILE'!$E$90/SUMSQ('TS-PILE'!$E$72:$E$91))+IF(SUMSQ('TS-PILE'!$D$72:$D$91)=0,0,'TO HOP NLAN'!F249*'TS-PILE'!$D$90/SUMSQ('TS-PILE'!$D$72:$D$91))),IF('TS-PILE'!$B$91="",1E+99,'TO HOP NLAN'!D249/ncoc+IF(SUMSQ('TS-PILE'!$E$72:$E$91)=0,0,'TO HOP NLAN'!E249*'TS-PILE'!$E$91/SUMSQ('TS-PILE'!$E$72:$E$91))+IF(SUMSQ('TS-PILE'!$D$72:$D$91)=0,0,'TO HOP NLAN'!F249*'TS-PILE'!$D$91/SUMSQ('TS-PILE'!$D$72:$D$91)))))</f>
        <v>0</v>
      </c>
      <c r="E249" s="58">
        <f t="shared" si="12"/>
        <v>-9.9999999999999997E+98</v>
      </c>
      <c r="F249" s="58">
        <f t="shared" si="13"/>
        <v>9.9999999999999997E+98</v>
      </c>
      <c r="G249" s="58">
        <f t="shared" si="14"/>
        <v>-9.9999999999999997E+98</v>
      </c>
      <c r="H249" s="58">
        <f t="shared" si="15"/>
        <v>9.9999999999999997E+98</v>
      </c>
    </row>
    <row r="250" spans="1:8" x14ac:dyDescent="0.3">
      <c r="A250" s="42" t="str">
        <f>'TO HOP NLAN'!A250</f>
        <v/>
      </c>
      <c r="B250" s="42" t="str">
        <f>'TO HOP NLAN'!L250</f>
        <v>STRENGTH</v>
      </c>
      <c r="C250" s="58">
        <f>IF(A250="",0,MAX(IF('TS-PILE'!$B$72="",-1E+99,'TO HOP NLAN'!D250/ncoc+IF(SUMSQ('TS-PILE'!$E$72:$E$91)=0,0,'TO HOP NLAN'!E250*'TS-PILE'!$E$72/SUMSQ('TS-PILE'!$E$72:$E$91))+IF(SUMSQ('TS-PILE'!$D$72:$D$91)=0,0,'TO HOP NLAN'!F250*'TS-PILE'!$D$72/SUMSQ('TS-PILE'!$D$72:$D$91))),IF('TS-PILE'!$B$73="",-1E+99,'TO HOP NLAN'!D250/ncoc+IF(SUMSQ('TS-PILE'!$E$72:$E$91)=0,0,'TO HOP NLAN'!E250*'TS-PILE'!$E$73/SUMSQ('TS-PILE'!$E$72:$E$91))+IF(SUMSQ('TS-PILE'!$D$72:$D$91)=0,0,'TO HOP NLAN'!F250*'TS-PILE'!$D$73/SUMSQ('TS-PILE'!$D$72:$D$91))),IF('TS-PILE'!$B$74="",-1E+99,'TO HOP NLAN'!D250/ncoc+IF(SUMSQ('TS-PILE'!$E$72:$E$91)=0,0,'TO HOP NLAN'!E250*'TS-PILE'!$E$74/SUMSQ('TS-PILE'!$E$72:$E$91))+IF(SUMSQ('TS-PILE'!$D$72:$D$91)=0,0,'TO HOP NLAN'!F250*'TS-PILE'!$D$74/SUMSQ('TS-PILE'!$D$72:$D$91))),IF('TS-PILE'!$B$75="",-1E+99,'TO HOP NLAN'!D250/ncoc+IF(SUMSQ('TS-PILE'!$E$72:$E$91)=0,0,'TO HOP NLAN'!E250*'TS-PILE'!$E$75/SUMSQ('TS-PILE'!$E$72:$E$91))+IF(SUMSQ('TS-PILE'!$D$72:$D$91)=0,0,'TO HOP NLAN'!F250*'TS-PILE'!$D$75/SUMSQ('TS-PILE'!$D$72:$D$91))),IF('TS-PILE'!$B$76="",-1E+99,'TO HOP NLAN'!D250/ncoc+IF(SUMSQ('TS-PILE'!$E$72:$E$91)=0,0,'TO HOP NLAN'!E250*'TS-PILE'!$E$76/SUMSQ('TS-PILE'!$E$72:$E$91))+IF(SUMSQ('TS-PILE'!$D$72:$D$91)=0,0,'TO HOP NLAN'!F250*'TS-PILE'!$D$76/SUMSQ('TS-PILE'!$D$72:$D$91))),IF('TS-PILE'!$B$77="",-1E+99,'TO HOP NLAN'!D250/ncoc+IF(SUMSQ('TS-PILE'!$E$72:$E$91)=0,0,'TO HOP NLAN'!E250*'TS-PILE'!$E$77/SUMSQ('TS-PILE'!$E$72:$E$91))+IF(SUMSQ('TS-PILE'!$D$72:$D$91)=0,0,'TO HOP NLAN'!F250*'TS-PILE'!$D$77/SUMSQ('TS-PILE'!$D$72:$D$91))),IF('TS-PILE'!$B$78="",-1E+99,'TO HOP NLAN'!D250/ncoc+IF(SUMSQ('TS-PILE'!$E$72:$E$91)=0,0,'TO HOP NLAN'!E250*'TS-PILE'!$E$78/SUMSQ('TS-PILE'!$E$72:$E$91))+IF(SUMSQ('TS-PILE'!$D$72:$D$91)=0,0,'TO HOP NLAN'!F250*'TS-PILE'!$D$78/SUMSQ('TS-PILE'!$D$72:$D$91))),IF('TS-PILE'!$B$79="",-1E+99,'TO HOP NLAN'!D250/ncoc+IF(SUMSQ('TS-PILE'!$E$72:$E$91)=0,0,'TO HOP NLAN'!E250*'TS-PILE'!$E$79/SUMSQ('TS-PILE'!$E$72:$E$91))+IF(SUMSQ('TS-PILE'!$D$72:$D$91)=0,0,'TO HOP NLAN'!F250*'TS-PILE'!$D$79/SUMSQ('TS-PILE'!$D$72:$D$91))),IF('TS-PILE'!$B$80="",-1E+99,'TO HOP NLAN'!D250/ncoc+IF(SUMSQ('TS-PILE'!$E$72:$E$91)=0,0,'TO HOP NLAN'!E250*'TS-PILE'!$E$80/SUMSQ('TS-PILE'!$E$72:$E$91))+IF(SUMSQ('TS-PILE'!$D$72:$D$91)=0,0,'TO HOP NLAN'!F250*'TS-PILE'!$D$80/SUMSQ('TS-PILE'!$D$72:$D$91))),IF('TS-PILE'!$B$81="",-1E+99,'TO HOP NLAN'!D250/ncoc+IF(SUMSQ('TS-PILE'!$E$72:$E$91)=0,0,'TO HOP NLAN'!E250*'TS-PILE'!$E$81/SUMSQ('TS-PILE'!$E$72:$E$91))+IF(SUMSQ('TS-PILE'!$D$72:$D$91)=0,0,'TO HOP NLAN'!F250*'TS-PILE'!$D$81/SUMSQ('TS-PILE'!$D$72:$D$91))),IF('TS-PILE'!$B$82="",-1E+99,'TO HOP NLAN'!D250/ncoc+IF(SUMSQ('TS-PILE'!$E$72:$E$91)=0,0,'TO HOP NLAN'!E250*'TS-PILE'!$E$82/SUMSQ('TS-PILE'!$E$72:$E$91))+IF(SUMSQ('TS-PILE'!$D$72:$D$91)=0,0,'TO HOP NLAN'!F250*'TS-PILE'!$D$82/SUMSQ('TS-PILE'!$D$72:$D$91))),IF('TS-PILE'!$B$83="",-1E+99,'TO HOP NLAN'!D250/ncoc+IF(SUMSQ('TS-PILE'!$E$72:$E$91)=0,0,'TO HOP NLAN'!E250*'TS-PILE'!$E$83/SUMSQ('TS-PILE'!$E$72:$E$91))+IF(SUMSQ('TS-PILE'!$D$72:$D$91)=0,0,'TO HOP NLAN'!F250*'TS-PILE'!$D$83/SUMSQ('TS-PILE'!$D$72:$D$91))),IF('TS-PILE'!$B$84="",-1E+99,'TO HOP NLAN'!D250/ncoc+IF(SUMSQ('TS-PILE'!$E$72:$E$91)=0,0,'TO HOP NLAN'!E250*'TS-PILE'!$E$84/SUMSQ('TS-PILE'!$E$72:$E$91))+IF(SUMSQ('TS-PILE'!$D$72:$D$91)=0,0,'TO HOP NLAN'!F250*'TS-PILE'!$D$84/SUMSQ('TS-PILE'!$D$72:$D$91))),IF('TS-PILE'!$B$85="",-1E+99,'TO HOP NLAN'!D250/ncoc+IF(SUMSQ('TS-PILE'!$E$72:$E$91)=0,0,'TO HOP NLAN'!E250*'TS-PILE'!$E$85/SUMSQ('TS-PILE'!$E$72:$E$91))+IF(SUMSQ('TS-PILE'!$D$72:$D$91)=0,0,'TO HOP NLAN'!F250*'TS-PILE'!$D$85/SUMSQ('TS-PILE'!$D$72:$D$91))),IF('TS-PILE'!$B$86="",-1E+99,'TO HOP NLAN'!D250/ncoc+IF(SUMSQ('TS-PILE'!$E$72:$E$91)=0,0,'TO HOP NLAN'!E250*'TS-PILE'!$E$86/SUMSQ('TS-PILE'!$E$72:$E$91))+IF(SUMSQ('TS-PILE'!$D$72:$D$91)=0,0,'TO HOP NLAN'!F250*'TS-PILE'!$D$86/SUMSQ('TS-PILE'!$D$72:$D$91))),IF('TS-PILE'!$B$87="",-1E+99,'TO HOP NLAN'!D250/ncoc+IF(SUMSQ('TS-PILE'!$E$72:$E$91)=0,0,'TO HOP NLAN'!E250*'TS-PILE'!$E$87/SUMSQ('TS-PILE'!$E$72:$E$91))+IF(SUMSQ('TS-PILE'!$D$72:$D$91)=0,0,'TO HOP NLAN'!F250*'TS-PILE'!$D$87/SUMSQ('TS-PILE'!$D$72:$D$91))),IF('TS-PILE'!$B$88="",-1E+99,'TO HOP NLAN'!D250/ncoc+IF(SUMSQ('TS-PILE'!$E$72:$E$91)=0,0,'TO HOP NLAN'!E250*'TS-PILE'!$E$88/SUMSQ('TS-PILE'!$E$72:$E$91))+IF(SUMSQ('TS-PILE'!$D$72:$D$91)=0,0,'TO HOP NLAN'!F250*'TS-PILE'!$D$88/SUMSQ('TS-PILE'!$D$72:$D$91))),IF('TS-PILE'!$B$89="",-1E+99,'TO HOP NLAN'!D250/ncoc+IF(SUMSQ('TS-PILE'!$E$72:$E$91)=0,0,'TO HOP NLAN'!E250*'TS-PILE'!$E$89/SUMSQ('TS-PILE'!$E$72:$E$91))+IF(SUMSQ('TS-PILE'!$D$72:$D$91)=0,0,'TO HOP NLAN'!F250*'TS-PILE'!$D$89/SUMSQ('TS-PILE'!$D$72:$D$91))),IF('TS-PILE'!$B$90="",-1E+99,'TO HOP NLAN'!D250/ncoc+IF(SUMSQ('TS-PILE'!$E$72:$E$91)=0,0,'TO HOP NLAN'!E250*'TS-PILE'!$E$90/SUMSQ('TS-PILE'!$E$72:$E$91))+IF(SUMSQ('TS-PILE'!$D$72:$D$91)=0,0,'TO HOP NLAN'!F250*'TS-PILE'!$D$90/SUMSQ('TS-PILE'!$D$72:$D$91))),IF('TS-PILE'!$B$91="",-1E+99,'TO HOP NLAN'!D250/ncoc+IF(SUMSQ('TS-PILE'!$E$72:$E$91)=0,0,'TO HOP NLAN'!E250*'TS-PILE'!$E$91/SUMSQ('TS-PILE'!$E$72:$E$91))+IF(SUMSQ('TS-PILE'!$D$72:$D$91)=0,0,'TO HOP NLAN'!F250*'TS-PILE'!$D$91/SUMSQ('TS-PILE'!$D$72:$D$91)))))</f>
        <v>0</v>
      </c>
      <c r="D250" s="58">
        <f>IF(A250="",0,MIN(IF('TS-PILE'!$B$72="",1E+99,'TO HOP NLAN'!D250/ncoc+IF(SUMSQ('TS-PILE'!$E$72:$E$91)=0,0,'TO HOP NLAN'!E250*'TS-PILE'!$E$72/SUMSQ('TS-PILE'!$E$72:$E$91))+IF(SUMSQ('TS-PILE'!$D$72:$D$91)=0,0,'TO HOP NLAN'!F250*'TS-PILE'!$D$72/SUMSQ('TS-PILE'!$D$72:$D$91))),IF('TS-PILE'!$B$73="",1E+99,'TO HOP NLAN'!D250/ncoc+IF(SUMSQ('TS-PILE'!$E$72:$E$91)=0,0,'TO HOP NLAN'!E250*'TS-PILE'!$E$73/SUMSQ('TS-PILE'!$E$72:$E$91))+IF(SUMSQ('TS-PILE'!$D$72:$D$91)=0,0,'TO HOP NLAN'!F250*'TS-PILE'!$D$73/SUMSQ('TS-PILE'!$D$72:$D$91))),IF('TS-PILE'!$B$74="",1E+99,'TO HOP NLAN'!D250/ncoc+IF(SUMSQ('TS-PILE'!$E$72:$E$91)=0,0,'TO HOP NLAN'!E250*'TS-PILE'!$E$74/SUMSQ('TS-PILE'!$E$72:$E$91))+IF(SUMSQ('TS-PILE'!$D$72:$D$91)=0,0,'TO HOP NLAN'!F250*'TS-PILE'!$D$74/SUMSQ('TS-PILE'!$D$72:$D$91))),IF('TS-PILE'!$B$75="",1E+99,'TO HOP NLAN'!D250/ncoc+IF(SUMSQ('TS-PILE'!$E$72:$E$91)=0,0,'TO HOP NLAN'!E250*'TS-PILE'!$E$75/SUMSQ('TS-PILE'!$E$72:$E$91))+IF(SUMSQ('TS-PILE'!$D$72:$D$91)=0,0,'TO HOP NLAN'!F250*'TS-PILE'!$D$75/SUMSQ('TS-PILE'!$D$72:$D$91))),IF('TS-PILE'!$B$76="",1E+99,'TO HOP NLAN'!D250/ncoc+IF(SUMSQ('TS-PILE'!$E$72:$E$91)=0,0,'TO HOP NLAN'!E250*'TS-PILE'!$E$76/SUMSQ('TS-PILE'!$E$72:$E$91))+IF(SUMSQ('TS-PILE'!$D$72:$D$91)=0,0,'TO HOP NLAN'!F250*'TS-PILE'!$D$76/SUMSQ('TS-PILE'!$D$72:$D$91))),IF('TS-PILE'!$B$77="",1E+99,'TO HOP NLAN'!D250/ncoc+IF(SUMSQ('TS-PILE'!$E$72:$E$91)=0,0,'TO HOP NLAN'!E250*'TS-PILE'!$E$77/SUMSQ('TS-PILE'!$E$72:$E$91))+IF(SUMSQ('TS-PILE'!$D$72:$D$91)=0,0,'TO HOP NLAN'!F250*'TS-PILE'!$D$77/SUMSQ('TS-PILE'!$D$72:$D$91))),IF('TS-PILE'!$B$78="",1E+99,'TO HOP NLAN'!D250/ncoc+IF(SUMSQ('TS-PILE'!$E$72:$E$91)=0,0,'TO HOP NLAN'!E250*'TS-PILE'!$E$78/SUMSQ('TS-PILE'!$E$72:$E$91))+IF(SUMSQ('TS-PILE'!$D$72:$D$91)=0,0,'TO HOP NLAN'!F250*'TS-PILE'!$D$78/SUMSQ('TS-PILE'!$D$72:$D$91))),IF('TS-PILE'!$B$79="",1E+99,'TO HOP NLAN'!D250/ncoc+IF(SUMSQ('TS-PILE'!$E$72:$E$91)=0,0,'TO HOP NLAN'!E250*'TS-PILE'!$E$79/SUMSQ('TS-PILE'!$E$72:$E$91))+IF(SUMSQ('TS-PILE'!$D$72:$D$91)=0,0,'TO HOP NLAN'!F250*'TS-PILE'!$D$79/SUMSQ('TS-PILE'!$D$72:$D$91))),IF('TS-PILE'!$B$80="",1E+99,'TO HOP NLAN'!D250/ncoc+IF(SUMSQ('TS-PILE'!$E$72:$E$91)=0,0,'TO HOP NLAN'!E250*'TS-PILE'!$E$80/SUMSQ('TS-PILE'!$E$72:$E$91))+IF(SUMSQ('TS-PILE'!$D$72:$D$91)=0,0,'TO HOP NLAN'!F250*'TS-PILE'!$D$80/SUMSQ('TS-PILE'!$D$72:$D$91))),IF('TS-PILE'!$B$81="",1E+99,'TO HOP NLAN'!D250/ncoc+IF(SUMSQ('TS-PILE'!$E$72:$E$91)=0,0,'TO HOP NLAN'!E250*'TS-PILE'!$E$81/SUMSQ('TS-PILE'!$E$72:$E$91))+IF(SUMSQ('TS-PILE'!$D$72:$D$91)=0,0,'TO HOP NLAN'!F250*'TS-PILE'!$D$81/SUMSQ('TS-PILE'!$D$72:$D$91))),IF('TS-PILE'!$B$82="",1E+99,'TO HOP NLAN'!D250/ncoc+IF(SUMSQ('TS-PILE'!$E$72:$E$91)=0,0,'TO HOP NLAN'!E250*'TS-PILE'!$E$82/SUMSQ('TS-PILE'!$E$72:$E$91))+IF(SUMSQ('TS-PILE'!$D$72:$D$91)=0,0,'TO HOP NLAN'!F250*'TS-PILE'!$D$82/SUMSQ('TS-PILE'!$D$72:$D$91))),IF('TS-PILE'!$B$83="",1E+99,'TO HOP NLAN'!D250/ncoc+IF(SUMSQ('TS-PILE'!$E$72:$E$91)=0,0,'TO HOP NLAN'!E250*'TS-PILE'!$E$83/SUMSQ('TS-PILE'!$E$72:$E$91))+IF(SUMSQ('TS-PILE'!$D$72:$D$91)=0,0,'TO HOP NLAN'!F250*'TS-PILE'!$D$83/SUMSQ('TS-PILE'!$D$72:$D$91))),IF('TS-PILE'!$B$84="",1E+99,'TO HOP NLAN'!D250/ncoc+IF(SUMSQ('TS-PILE'!$E$72:$E$91)=0,0,'TO HOP NLAN'!E250*'TS-PILE'!$E$84/SUMSQ('TS-PILE'!$E$72:$E$91))+IF(SUMSQ('TS-PILE'!$D$72:$D$91)=0,0,'TO HOP NLAN'!F250*'TS-PILE'!$D$84/SUMSQ('TS-PILE'!$D$72:$D$91))),IF('TS-PILE'!$B$85="",1E+99,'TO HOP NLAN'!D250/ncoc+IF(SUMSQ('TS-PILE'!$E$72:$E$91)=0,0,'TO HOP NLAN'!E250*'TS-PILE'!$E$85/SUMSQ('TS-PILE'!$E$72:$E$91))+IF(SUMSQ('TS-PILE'!$D$72:$D$91)=0,0,'TO HOP NLAN'!F250*'TS-PILE'!$D$85/SUMSQ('TS-PILE'!$D$72:$D$91))),IF('TS-PILE'!$B$86="",1E+99,'TO HOP NLAN'!D250/ncoc+IF(SUMSQ('TS-PILE'!$E$72:$E$91)=0,0,'TO HOP NLAN'!E250*'TS-PILE'!$E$86/SUMSQ('TS-PILE'!$E$72:$E$91))+IF(SUMSQ('TS-PILE'!$D$72:$D$91)=0,0,'TO HOP NLAN'!F250*'TS-PILE'!$D$86/SUMSQ('TS-PILE'!$D$72:$D$91))),IF('TS-PILE'!$B$87="",1E+99,'TO HOP NLAN'!D250/ncoc+IF(SUMSQ('TS-PILE'!$E$72:$E$91)=0,0,'TO HOP NLAN'!E250*'TS-PILE'!$E$87/SUMSQ('TS-PILE'!$E$72:$E$91))+IF(SUMSQ('TS-PILE'!$D$72:$D$91)=0,0,'TO HOP NLAN'!F250*'TS-PILE'!$D$87/SUMSQ('TS-PILE'!$D$72:$D$91))),IF('TS-PILE'!$B$88="",1E+99,'TO HOP NLAN'!D250/ncoc+IF(SUMSQ('TS-PILE'!$E$72:$E$91)=0,0,'TO HOP NLAN'!E250*'TS-PILE'!$E$88/SUMSQ('TS-PILE'!$E$72:$E$91))+IF(SUMSQ('TS-PILE'!$D$72:$D$91)=0,0,'TO HOP NLAN'!F250*'TS-PILE'!$D$88/SUMSQ('TS-PILE'!$D$72:$D$91))),IF('TS-PILE'!$B$89="",1E+99,'TO HOP NLAN'!D250/ncoc+IF(SUMSQ('TS-PILE'!$E$72:$E$91)=0,0,'TO HOP NLAN'!E250*'TS-PILE'!$E$89/SUMSQ('TS-PILE'!$E$72:$E$91))+IF(SUMSQ('TS-PILE'!$D$72:$D$91)=0,0,'TO HOP NLAN'!F250*'TS-PILE'!$D$89/SUMSQ('TS-PILE'!$D$72:$D$91))),IF('TS-PILE'!$B$90="",1E+99,'TO HOP NLAN'!D250/ncoc+IF(SUMSQ('TS-PILE'!$E$72:$E$91)=0,0,'TO HOP NLAN'!E250*'TS-PILE'!$E$90/SUMSQ('TS-PILE'!$E$72:$E$91))+IF(SUMSQ('TS-PILE'!$D$72:$D$91)=0,0,'TO HOP NLAN'!F250*'TS-PILE'!$D$90/SUMSQ('TS-PILE'!$D$72:$D$91))),IF('TS-PILE'!$B$91="",1E+99,'TO HOP NLAN'!D250/ncoc+IF(SUMSQ('TS-PILE'!$E$72:$E$91)=0,0,'TO HOP NLAN'!E250*'TS-PILE'!$E$91/SUMSQ('TS-PILE'!$E$72:$E$91))+IF(SUMSQ('TS-PILE'!$D$72:$D$91)=0,0,'TO HOP NLAN'!F250*'TS-PILE'!$D$91/SUMSQ('TS-PILE'!$D$72:$D$91)))))</f>
        <v>0</v>
      </c>
      <c r="E250" s="58">
        <f t="shared" si="12"/>
        <v>-9.9999999999999997E+98</v>
      </c>
      <c r="F250" s="58">
        <f t="shared" si="13"/>
        <v>9.9999999999999997E+98</v>
      </c>
      <c r="G250" s="58">
        <f t="shared" si="14"/>
        <v>-9.9999999999999997E+98</v>
      </c>
      <c r="H250" s="58">
        <f t="shared" si="15"/>
        <v>9.9999999999999997E+98</v>
      </c>
    </row>
    <row r="251" spans="1:8" x14ac:dyDescent="0.3">
      <c r="A251" s="42" t="str">
        <f>'TO HOP NLAN'!A251</f>
        <v/>
      </c>
      <c r="B251" s="42" t="str">
        <f>'TO HOP NLAN'!L251</f>
        <v>STRENGTH</v>
      </c>
      <c r="C251" s="58">
        <f>IF(A251="",0,MAX(IF('TS-PILE'!$B$72="",-1E+99,'TO HOP NLAN'!D251/ncoc+IF(SUMSQ('TS-PILE'!$E$72:$E$91)=0,0,'TO HOP NLAN'!E251*'TS-PILE'!$E$72/SUMSQ('TS-PILE'!$E$72:$E$91))+IF(SUMSQ('TS-PILE'!$D$72:$D$91)=0,0,'TO HOP NLAN'!F251*'TS-PILE'!$D$72/SUMSQ('TS-PILE'!$D$72:$D$91))),IF('TS-PILE'!$B$73="",-1E+99,'TO HOP NLAN'!D251/ncoc+IF(SUMSQ('TS-PILE'!$E$72:$E$91)=0,0,'TO HOP NLAN'!E251*'TS-PILE'!$E$73/SUMSQ('TS-PILE'!$E$72:$E$91))+IF(SUMSQ('TS-PILE'!$D$72:$D$91)=0,0,'TO HOP NLAN'!F251*'TS-PILE'!$D$73/SUMSQ('TS-PILE'!$D$72:$D$91))),IF('TS-PILE'!$B$74="",-1E+99,'TO HOP NLAN'!D251/ncoc+IF(SUMSQ('TS-PILE'!$E$72:$E$91)=0,0,'TO HOP NLAN'!E251*'TS-PILE'!$E$74/SUMSQ('TS-PILE'!$E$72:$E$91))+IF(SUMSQ('TS-PILE'!$D$72:$D$91)=0,0,'TO HOP NLAN'!F251*'TS-PILE'!$D$74/SUMSQ('TS-PILE'!$D$72:$D$91))),IF('TS-PILE'!$B$75="",-1E+99,'TO HOP NLAN'!D251/ncoc+IF(SUMSQ('TS-PILE'!$E$72:$E$91)=0,0,'TO HOP NLAN'!E251*'TS-PILE'!$E$75/SUMSQ('TS-PILE'!$E$72:$E$91))+IF(SUMSQ('TS-PILE'!$D$72:$D$91)=0,0,'TO HOP NLAN'!F251*'TS-PILE'!$D$75/SUMSQ('TS-PILE'!$D$72:$D$91))),IF('TS-PILE'!$B$76="",-1E+99,'TO HOP NLAN'!D251/ncoc+IF(SUMSQ('TS-PILE'!$E$72:$E$91)=0,0,'TO HOP NLAN'!E251*'TS-PILE'!$E$76/SUMSQ('TS-PILE'!$E$72:$E$91))+IF(SUMSQ('TS-PILE'!$D$72:$D$91)=0,0,'TO HOP NLAN'!F251*'TS-PILE'!$D$76/SUMSQ('TS-PILE'!$D$72:$D$91))),IF('TS-PILE'!$B$77="",-1E+99,'TO HOP NLAN'!D251/ncoc+IF(SUMSQ('TS-PILE'!$E$72:$E$91)=0,0,'TO HOP NLAN'!E251*'TS-PILE'!$E$77/SUMSQ('TS-PILE'!$E$72:$E$91))+IF(SUMSQ('TS-PILE'!$D$72:$D$91)=0,0,'TO HOP NLAN'!F251*'TS-PILE'!$D$77/SUMSQ('TS-PILE'!$D$72:$D$91))),IF('TS-PILE'!$B$78="",-1E+99,'TO HOP NLAN'!D251/ncoc+IF(SUMSQ('TS-PILE'!$E$72:$E$91)=0,0,'TO HOP NLAN'!E251*'TS-PILE'!$E$78/SUMSQ('TS-PILE'!$E$72:$E$91))+IF(SUMSQ('TS-PILE'!$D$72:$D$91)=0,0,'TO HOP NLAN'!F251*'TS-PILE'!$D$78/SUMSQ('TS-PILE'!$D$72:$D$91))),IF('TS-PILE'!$B$79="",-1E+99,'TO HOP NLAN'!D251/ncoc+IF(SUMSQ('TS-PILE'!$E$72:$E$91)=0,0,'TO HOP NLAN'!E251*'TS-PILE'!$E$79/SUMSQ('TS-PILE'!$E$72:$E$91))+IF(SUMSQ('TS-PILE'!$D$72:$D$91)=0,0,'TO HOP NLAN'!F251*'TS-PILE'!$D$79/SUMSQ('TS-PILE'!$D$72:$D$91))),IF('TS-PILE'!$B$80="",-1E+99,'TO HOP NLAN'!D251/ncoc+IF(SUMSQ('TS-PILE'!$E$72:$E$91)=0,0,'TO HOP NLAN'!E251*'TS-PILE'!$E$80/SUMSQ('TS-PILE'!$E$72:$E$91))+IF(SUMSQ('TS-PILE'!$D$72:$D$91)=0,0,'TO HOP NLAN'!F251*'TS-PILE'!$D$80/SUMSQ('TS-PILE'!$D$72:$D$91))),IF('TS-PILE'!$B$81="",-1E+99,'TO HOP NLAN'!D251/ncoc+IF(SUMSQ('TS-PILE'!$E$72:$E$91)=0,0,'TO HOP NLAN'!E251*'TS-PILE'!$E$81/SUMSQ('TS-PILE'!$E$72:$E$91))+IF(SUMSQ('TS-PILE'!$D$72:$D$91)=0,0,'TO HOP NLAN'!F251*'TS-PILE'!$D$81/SUMSQ('TS-PILE'!$D$72:$D$91))),IF('TS-PILE'!$B$82="",-1E+99,'TO HOP NLAN'!D251/ncoc+IF(SUMSQ('TS-PILE'!$E$72:$E$91)=0,0,'TO HOP NLAN'!E251*'TS-PILE'!$E$82/SUMSQ('TS-PILE'!$E$72:$E$91))+IF(SUMSQ('TS-PILE'!$D$72:$D$91)=0,0,'TO HOP NLAN'!F251*'TS-PILE'!$D$82/SUMSQ('TS-PILE'!$D$72:$D$91))),IF('TS-PILE'!$B$83="",-1E+99,'TO HOP NLAN'!D251/ncoc+IF(SUMSQ('TS-PILE'!$E$72:$E$91)=0,0,'TO HOP NLAN'!E251*'TS-PILE'!$E$83/SUMSQ('TS-PILE'!$E$72:$E$91))+IF(SUMSQ('TS-PILE'!$D$72:$D$91)=0,0,'TO HOP NLAN'!F251*'TS-PILE'!$D$83/SUMSQ('TS-PILE'!$D$72:$D$91))),IF('TS-PILE'!$B$84="",-1E+99,'TO HOP NLAN'!D251/ncoc+IF(SUMSQ('TS-PILE'!$E$72:$E$91)=0,0,'TO HOP NLAN'!E251*'TS-PILE'!$E$84/SUMSQ('TS-PILE'!$E$72:$E$91))+IF(SUMSQ('TS-PILE'!$D$72:$D$91)=0,0,'TO HOP NLAN'!F251*'TS-PILE'!$D$84/SUMSQ('TS-PILE'!$D$72:$D$91))),IF('TS-PILE'!$B$85="",-1E+99,'TO HOP NLAN'!D251/ncoc+IF(SUMSQ('TS-PILE'!$E$72:$E$91)=0,0,'TO HOP NLAN'!E251*'TS-PILE'!$E$85/SUMSQ('TS-PILE'!$E$72:$E$91))+IF(SUMSQ('TS-PILE'!$D$72:$D$91)=0,0,'TO HOP NLAN'!F251*'TS-PILE'!$D$85/SUMSQ('TS-PILE'!$D$72:$D$91))),IF('TS-PILE'!$B$86="",-1E+99,'TO HOP NLAN'!D251/ncoc+IF(SUMSQ('TS-PILE'!$E$72:$E$91)=0,0,'TO HOP NLAN'!E251*'TS-PILE'!$E$86/SUMSQ('TS-PILE'!$E$72:$E$91))+IF(SUMSQ('TS-PILE'!$D$72:$D$91)=0,0,'TO HOP NLAN'!F251*'TS-PILE'!$D$86/SUMSQ('TS-PILE'!$D$72:$D$91))),IF('TS-PILE'!$B$87="",-1E+99,'TO HOP NLAN'!D251/ncoc+IF(SUMSQ('TS-PILE'!$E$72:$E$91)=0,0,'TO HOP NLAN'!E251*'TS-PILE'!$E$87/SUMSQ('TS-PILE'!$E$72:$E$91))+IF(SUMSQ('TS-PILE'!$D$72:$D$91)=0,0,'TO HOP NLAN'!F251*'TS-PILE'!$D$87/SUMSQ('TS-PILE'!$D$72:$D$91))),IF('TS-PILE'!$B$88="",-1E+99,'TO HOP NLAN'!D251/ncoc+IF(SUMSQ('TS-PILE'!$E$72:$E$91)=0,0,'TO HOP NLAN'!E251*'TS-PILE'!$E$88/SUMSQ('TS-PILE'!$E$72:$E$91))+IF(SUMSQ('TS-PILE'!$D$72:$D$91)=0,0,'TO HOP NLAN'!F251*'TS-PILE'!$D$88/SUMSQ('TS-PILE'!$D$72:$D$91))),IF('TS-PILE'!$B$89="",-1E+99,'TO HOP NLAN'!D251/ncoc+IF(SUMSQ('TS-PILE'!$E$72:$E$91)=0,0,'TO HOP NLAN'!E251*'TS-PILE'!$E$89/SUMSQ('TS-PILE'!$E$72:$E$91))+IF(SUMSQ('TS-PILE'!$D$72:$D$91)=0,0,'TO HOP NLAN'!F251*'TS-PILE'!$D$89/SUMSQ('TS-PILE'!$D$72:$D$91))),IF('TS-PILE'!$B$90="",-1E+99,'TO HOP NLAN'!D251/ncoc+IF(SUMSQ('TS-PILE'!$E$72:$E$91)=0,0,'TO HOP NLAN'!E251*'TS-PILE'!$E$90/SUMSQ('TS-PILE'!$E$72:$E$91))+IF(SUMSQ('TS-PILE'!$D$72:$D$91)=0,0,'TO HOP NLAN'!F251*'TS-PILE'!$D$90/SUMSQ('TS-PILE'!$D$72:$D$91))),IF('TS-PILE'!$B$91="",-1E+99,'TO HOP NLAN'!D251/ncoc+IF(SUMSQ('TS-PILE'!$E$72:$E$91)=0,0,'TO HOP NLAN'!E251*'TS-PILE'!$E$91/SUMSQ('TS-PILE'!$E$72:$E$91))+IF(SUMSQ('TS-PILE'!$D$72:$D$91)=0,0,'TO HOP NLAN'!F251*'TS-PILE'!$D$91/SUMSQ('TS-PILE'!$D$72:$D$91)))))</f>
        <v>0</v>
      </c>
      <c r="D251" s="58">
        <f>IF(A251="",0,MIN(IF('TS-PILE'!$B$72="",1E+99,'TO HOP NLAN'!D251/ncoc+IF(SUMSQ('TS-PILE'!$E$72:$E$91)=0,0,'TO HOP NLAN'!E251*'TS-PILE'!$E$72/SUMSQ('TS-PILE'!$E$72:$E$91))+IF(SUMSQ('TS-PILE'!$D$72:$D$91)=0,0,'TO HOP NLAN'!F251*'TS-PILE'!$D$72/SUMSQ('TS-PILE'!$D$72:$D$91))),IF('TS-PILE'!$B$73="",1E+99,'TO HOP NLAN'!D251/ncoc+IF(SUMSQ('TS-PILE'!$E$72:$E$91)=0,0,'TO HOP NLAN'!E251*'TS-PILE'!$E$73/SUMSQ('TS-PILE'!$E$72:$E$91))+IF(SUMSQ('TS-PILE'!$D$72:$D$91)=0,0,'TO HOP NLAN'!F251*'TS-PILE'!$D$73/SUMSQ('TS-PILE'!$D$72:$D$91))),IF('TS-PILE'!$B$74="",1E+99,'TO HOP NLAN'!D251/ncoc+IF(SUMSQ('TS-PILE'!$E$72:$E$91)=0,0,'TO HOP NLAN'!E251*'TS-PILE'!$E$74/SUMSQ('TS-PILE'!$E$72:$E$91))+IF(SUMSQ('TS-PILE'!$D$72:$D$91)=0,0,'TO HOP NLAN'!F251*'TS-PILE'!$D$74/SUMSQ('TS-PILE'!$D$72:$D$91))),IF('TS-PILE'!$B$75="",1E+99,'TO HOP NLAN'!D251/ncoc+IF(SUMSQ('TS-PILE'!$E$72:$E$91)=0,0,'TO HOP NLAN'!E251*'TS-PILE'!$E$75/SUMSQ('TS-PILE'!$E$72:$E$91))+IF(SUMSQ('TS-PILE'!$D$72:$D$91)=0,0,'TO HOP NLAN'!F251*'TS-PILE'!$D$75/SUMSQ('TS-PILE'!$D$72:$D$91))),IF('TS-PILE'!$B$76="",1E+99,'TO HOP NLAN'!D251/ncoc+IF(SUMSQ('TS-PILE'!$E$72:$E$91)=0,0,'TO HOP NLAN'!E251*'TS-PILE'!$E$76/SUMSQ('TS-PILE'!$E$72:$E$91))+IF(SUMSQ('TS-PILE'!$D$72:$D$91)=0,0,'TO HOP NLAN'!F251*'TS-PILE'!$D$76/SUMSQ('TS-PILE'!$D$72:$D$91))),IF('TS-PILE'!$B$77="",1E+99,'TO HOP NLAN'!D251/ncoc+IF(SUMSQ('TS-PILE'!$E$72:$E$91)=0,0,'TO HOP NLAN'!E251*'TS-PILE'!$E$77/SUMSQ('TS-PILE'!$E$72:$E$91))+IF(SUMSQ('TS-PILE'!$D$72:$D$91)=0,0,'TO HOP NLAN'!F251*'TS-PILE'!$D$77/SUMSQ('TS-PILE'!$D$72:$D$91))),IF('TS-PILE'!$B$78="",1E+99,'TO HOP NLAN'!D251/ncoc+IF(SUMSQ('TS-PILE'!$E$72:$E$91)=0,0,'TO HOP NLAN'!E251*'TS-PILE'!$E$78/SUMSQ('TS-PILE'!$E$72:$E$91))+IF(SUMSQ('TS-PILE'!$D$72:$D$91)=0,0,'TO HOP NLAN'!F251*'TS-PILE'!$D$78/SUMSQ('TS-PILE'!$D$72:$D$91))),IF('TS-PILE'!$B$79="",1E+99,'TO HOP NLAN'!D251/ncoc+IF(SUMSQ('TS-PILE'!$E$72:$E$91)=0,0,'TO HOP NLAN'!E251*'TS-PILE'!$E$79/SUMSQ('TS-PILE'!$E$72:$E$91))+IF(SUMSQ('TS-PILE'!$D$72:$D$91)=0,0,'TO HOP NLAN'!F251*'TS-PILE'!$D$79/SUMSQ('TS-PILE'!$D$72:$D$91))),IF('TS-PILE'!$B$80="",1E+99,'TO HOP NLAN'!D251/ncoc+IF(SUMSQ('TS-PILE'!$E$72:$E$91)=0,0,'TO HOP NLAN'!E251*'TS-PILE'!$E$80/SUMSQ('TS-PILE'!$E$72:$E$91))+IF(SUMSQ('TS-PILE'!$D$72:$D$91)=0,0,'TO HOP NLAN'!F251*'TS-PILE'!$D$80/SUMSQ('TS-PILE'!$D$72:$D$91))),IF('TS-PILE'!$B$81="",1E+99,'TO HOP NLAN'!D251/ncoc+IF(SUMSQ('TS-PILE'!$E$72:$E$91)=0,0,'TO HOP NLAN'!E251*'TS-PILE'!$E$81/SUMSQ('TS-PILE'!$E$72:$E$91))+IF(SUMSQ('TS-PILE'!$D$72:$D$91)=0,0,'TO HOP NLAN'!F251*'TS-PILE'!$D$81/SUMSQ('TS-PILE'!$D$72:$D$91))),IF('TS-PILE'!$B$82="",1E+99,'TO HOP NLAN'!D251/ncoc+IF(SUMSQ('TS-PILE'!$E$72:$E$91)=0,0,'TO HOP NLAN'!E251*'TS-PILE'!$E$82/SUMSQ('TS-PILE'!$E$72:$E$91))+IF(SUMSQ('TS-PILE'!$D$72:$D$91)=0,0,'TO HOP NLAN'!F251*'TS-PILE'!$D$82/SUMSQ('TS-PILE'!$D$72:$D$91))),IF('TS-PILE'!$B$83="",1E+99,'TO HOP NLAN'!D251/ncoc+IF(SUMSQ('TS-PILE'!$E$72:$E$91)=0,0,'TO HOP NLAN'!E251*'TS-PILE'!$E$83/SUMSQ('TS-PILE'!$E$72:$E$91))+IF(SUMSQ('TS-PILE'!$D$72:$D$91)=0,0,'TO HOP NLAN'!F251*'TS-PILE'!$D$83/SUMSQ('TS-PILE'!$D$72:$D$91))),IF('TS-PILE'!$B$84="",1E+99,'TO HOP NLAN'!D251/ncoc+IF(SUMSQ('TS-PILE'!$E$72:$E$91)=0,0,'TO HOP NLAN'!E251*'TS-PILE'!$E$84/SUMSQ('TS-PILE'!$E$72:$E$91))+IF(SUMSQ('TS-PILE'!$D$72:$D$91)=0,0,'TO HOP NLAN'!F251*'TS-PILE'!$D$84/SUMSQ('TS-PILE'!$D$72:$D$91))),IF('TS-PILE'!$B$85="",1E+99,'TO HOP NLAN'!D251/ncoc+IF(SUMSQ('TS-PILE'!$E$72:$E$91)=0,0,'TO HOP NLAN'!E251*'TS-PILE'!$E$85/SUMSQ('TS-PILE'!$E$72:$E$91))+IF(SUMSQ('TS-PILE'!$D$72:$D$91)=0,0,'TO HOP NLAN'!F251*'TS-PILE'!$D$85/SUMSQ('TS-PILE'!$D$72:$D$91))),IF('TS-PILE'!$B$86="",1E+99,'TO HOP NLAN'!D251/ncoc+IF(SUMSQ('TS-PILE'!$E$72:$E$91)=0,0,'TO HOP NLAN'!E251*'TS-PILE'!$E$86/SUMSQ('TS-PILE'!$E$72:$E$91))+IF(SUMSQ('TS-PILE'!$D$72:$D$91)=0,0,'TO HOP NLAN'!F251*'TS-PILE'!$D$86/SUMSQ('TS-PILE'!$D$72:$D$91))),IF('TS-PILE'!$B$87="",1E+99,'TO HOP NLAN'!D251/ncoc+IF(SUMSQ('TS-PILE'!$E$72:$E$91)=0,0,'TO HOP NLAN'!E251*'TS-PILE'!$E$87/SUMSQ('TS-PILE'!$E$72:$E$91))+IF(SUMSQ('TS-PILE'!$D$72:$D$91)=0,0,'TO HOP NLAN'!F251*'TS-PILE'!$D$87/SUMSQ('TS-PILE'!$D$72:$D$91))),IF('TS-PILE'!$B$88="",1E+99,'TO HOP NLAN'!D251/ncoc+IF(SUMSQ('TS-PILE'!$E$72:$E$91)=0,0,'TO HOP NLAN'!E251*'TS-PILE'!$E$88/SUMSQ('TS-PILE'!$E$72:$E$91))+IF(SUMSQ('TS-PILE'!$D$72:$D$91)=0,0,'TO HOP NLAN'!F251*'TS-PILE'!$D$88/SUMSQ('TS-PILE'!$D$72:$D$91))),IF('TS-PILE'!$B$89="",1E+99,'TO HOP NLAN'!D251/ncoc+IF(SUMSQ('TS-PILE'!$E$72:$E$91)=0,0,'TO HOP NLAN'!E251*'TS-PILE'!$E$89/SUMSQ('TS-PILE'!$E$72:$E$91))+IF(SUMSQ('TS-PILE'!$D$72:$D$91)=0,0,'TO HOP NLAN'!F251*'TS-PILE'!$D$89/SUMSQ('TS-PILE'!$D$72:$D$91))),IF('TS-PILE'!$B$90="",1E+99,'TO HOP NLAN'!D251/ncoc+IF(SUMSQ('TS-PILE'!$E$72:$E$91)=0,0,'TO HOP NLAN'!E251*'TS-PILE'!$E$90/SUMSQ('TS-PILE'!$E$72:$E$91))+IF(SUMSQ('TS-PILE'!$D$72:$D$91)=0,0,'TO HOP NLAN'!F251*'TS-PILE'!$D$90/SUMSQ('TS-PILE'!$D$72:$D$91))),IF('TS-PILE'!$B$91="",1E+99,'TO HOP NLAN'!D251/ncoc+IF(SUMSQ('TS-PILE'!$E$72:$E$91)=0,0,'TO HOP NLAN'!E251*'TS-PILE'!$E$91/SUMSQ('TS-PILE'!$E$72:$E$91))+IF(SUMSQ('TS-PILE'!$D$72:$D$91)=0,0,'TO HOP NLAN'!F251*'TS-PILE'!$D$91/SUMSQ('TS-PILE'!$D$72:$D$91)))))</f>
        <v>0</v>
      </c>
      <c r="E251" s="58">
        <f t="shared" si="12"/>
        <v>-9.9999999999999997E+98</v>
      </c>
      <c r="F251" s="58">
        <f t="shared" si="13"/>
        <v>9.9999999999999997E+98</v>
      </c>
      <c r="G251" s="58">
        <f t="shared" si="14"/>
        <v>-9.9999999999999997E+98</v>
      </c>
      <c r="H251" s="58">
        <f t="shared" si="15"/>
        <v>9.9999999999999997E+98</v>
      </c>
    </row>
    <row r="252" spans="1:8" x14ac:dyDescent="0.3">
      <c r="A252" s="42" t="str">
        <f>'TO HOP NLAN'!A252</f>
        <v/>
      </c>
      <c r="B252" s="42" t="str">
        <f>'TO HOP NLAN'!L252</f>
        <v>STRENGTH</v>
      </c>
      <c r="C252" s="58">
        <f>IF(A252="",0,MAX(IF('TS-PILE'!$B$72="",-1E+99,'TO HOP NLAN'!D252/ncoc+IF(SUMSQ('TS-PILE'!$E$72:$E$91)=0,0,'TO HOP NLAN'!E252*'TS-PILE'!$E$72/SUMSQ('TS-PILE'!$E$72:$E$91))+IF(SUMSQ('TS-PILE'!$D$72:$D$91)=0,0,'TO HOP NLAN'!F252*'TS-PILE'!$D$72/SUMSQ('TS-PILE'!$D$72:$D$91))),IF('TS-PILE'!$B$73="",-1E+99,'TO HOP NLAN'!D252/ncoc+IF(SUMSQ('TS-PILE'!$E$72:$E$91)=0,0,'TO HOP NLAN'!E252*'TS-PILE'!$E$73/SUMSQ('TS-PILE'!$E$72:$E$91))+IF(SUMSQ('TS-PILE'!$D$72:$D$91)=0,0,'TO HOP NLAN'!F252*'TS-PILE'!$D$73/SUMSQ('TS-PILE'!$D$72:$D$91))),IF('TS-PILE'!$B$74="",-1E+99,'TO HOP NLAN'!D252/ncoc+IF(SUMSQ('TS-PILE'!$E$72:$E$91)=0,0,'TO HOP NLAN'!E252*'TS-PILE'!$E$74/SUMSQ('TS-PILE'!$E$72:$E$91))+IF(SUMSQ('TS-PILE'!$D$72:$D$91)=0,0,'TO HOP NLAN'!F252*'TS-PILE'!$D$74/SUMSQ('TS-PILE'!$D$72:$D$91))),IF('TS-PILE'!$B$75="",-1E+99,'TO HOP NLAN'!D252/ncoc+IF(SUMSQ('TS-PILE'!$E$72:$E$91)=0,0,'TO HOP NLAN'!E252*'TS-PILE'!$E$75/SUMSQ('TS-PILE'!$E$72:$E$91))+IF(SUMSQ('TS-PILE'!$D$72:$D$91)=0,0,'TO HOP NLAN'!F252*'TS-PILE'!$D$75/SUMSQ('TS-PILE'!$D$72:$D$91))),IF('TS-PILE'!$B$76="",-1E+99,'TO HOP NLAN'!D252/ncoc+IF(SUMSQ('TS-PILE'!$E$72:$E$91)=0,0,'TO HOP NLAN'!E252*'TS-PILE'!$E$76/SUMSQ('TS-PILE'!$E$72:$E$91))+IF(SUMSQ('TS-PILE'!$D$72:$D$91)=0,0,'TO HOP NLAN'!F252*'TS-PILE'!$D$76/SUMSQ('TS-PILE'!$D$72:$D$91))),IF('TS-PILE'!$B$77="",-1E+99,'TO HOP NLAN'!D252/ncoc+IF(SUMSQ('TS-PILE'!$E$72:$E$91)=0,0,'TO HOP NLAN'!E252*'TS-PILE'!$E$77/SUMSQ('TS-PILE'!$E$72:$E$91))+IF(SUMSQ('TS-PILE'!$D$72:$D$91)=0,0,'TO HOP NLAN'!F252*'TS-PILE'!$D$77/SUMSQ('TS-PILE'!$D$72:$D$91))),IF('TS-PILE'!$B$78="",-1E+99,'TO HOP NLAN'!D252/ncoc+IF(SUMSQ('TS-PILE'!$E$72:$E$91)=0,0,'TO HOP NLAN'!E252*'TS-PILE'!$E$78/SUMSQ('TS-PILE'!$E$72:$E$91))+IF(SUMSQ('TS-PILE'!$D$72:$D$91)=0,0,'TO HOP NLAN'!F252*'TS-PILE'!$D$78/SUMSQ('TS-PILE'!$D$72:$D$91))),IF('TS-PILE'!$B$79="",-1E+99,'TO HOP NLAN'!D252/ncoc+IF(SUMSQ('TS-PILE'!$E$72:$E$91)=0,0,'TO HOP NLAN'!E252*'TS-PILE'!$E$79/SUMSQ('TS-PILE'!$E$72:$E$91))+IF(SUMSQ('TS-PILE'!$D$72:$D$91)=0,0,'TO HOP NLAN'!F252*'TS-PILE'!$D$79/SUMSQ('TS-PILE'!$D$72:$D$91))),IF('TS-PILE'!$B$80="",-1E+99,'TO HOP NLAN'!D252/ncoc+IF(SUMSQ('TS-PILE'!$E$72:$E$91)=0,0,'TO HOP NLAN'!E252*'TS-PILE'!$E$80/SUMSQ('TS-PILE'!$E$72:$E$91))+IF(SUMSQ('TS-PILE'!$D$72:$D$91)=0,0,'TO HOP NLAN'!F252*'TS-PILE'!$D$80/SUMSQ('TS-PILE'!$D$72:$D$91))),IF('TS-PILE'!$B$81="",-1E+99,'TO HOP NLAN'!D252/ncoc+IF(SUMSQ('TS-PILE'!$E$72:$E$91)=0,0,'TO HOP NLAN'!E252*'TS-PILE'!$E$81/SUMSQ('TS-PILE'!$E$72:$E$91))+IF(SUMSQ('TS-PILE'!$D$72:$D$91)=0,0,'TO HOP NLAN'!F252*'TS-PILE'!$D$81/SUMSQ('TS-PILE'!$D$72:$D$91))),IF('TS-PILE'!$B$82="",-1E+99,'TO HOP NLAN'!D252/ncoc+IF(SUMSQ('TS-PILE'!$E$72:$E$91)=0,0,'TO HOP NLAN'!E252*'TS-PILE'!$E$82/SUMSQ('TS-PILE'!$E$72:$E$91))+IF(SUMSQ('TS-PILE'!$D$72:$D$91)=0,0,'TO HOP NLAN'!F252*'TS-PILE'!$D$82/SUMSQ('TS-PILE'!$D$72:$D$91))),IF('TS-PILE'!$B$83="",-1E+99,'TO HOP NLAN'!D252/ncoc+IF(SUMSQ('TS-PILE'!$E$72:$E$91)=0,0,'TO HOP NLAN'!E252*'TS-PILE'!$E$83/SUMSQ('TS-PILE'!$E$72:$E$91))+IF(SUMSQ('TS-PILE'!$D$72:$D$91)=0,0,'TO HOP NLAN'!F252*'TS-PILE'!$D$83/SUMSQ('TS-PILE'!$D$72:$D$91))),IF('TS-PILE'!$B$84="",-1E+99,'TO HOP NLAN'!D252/ncoc+IF(SUMSQ('TS-PILE'!$E$72:$E$91)=0,0,'TO HOP NLAN'!E252*'TS-PILE'!$E$84/SUMSQ('TS-PILE'!$E$72:$E$91))+IF(SUMSQ('TS-PILE'!$D$72:$D$91)=0,0,'TO HOP NLAN'!F252*'TS-PILE'!$D$84/SUMSQ('TS-PILE'!$D$72:$D$91))),IF('TS-PILE'!$B$85="",-1E+99,'TO HOP NLAN'!D252/ncoc+IF(SUMSQ('TS-PILE'!$E$72:$E$91)=0,0,'TO HOP NLAN'!E252*'TS-PILE'!$E$85/SUMSQ('TS-PILE'!$E$72:$E$91))+IF(SUMSQ('TS-PILE'!$D$72:$D$91)=0,0,'TO HOP NLAN'!F252*'TS-PILE'!$D$85/SUMSQ('TS-PILE'!$D$72:$D$91))),IF('TS-PILE'!$B$86="",-1E+99,'TO HOP NLAN'!D252/ncoc+IF(SUMSQ('TS-PILE'!$E$72:$E$91)=0,0,'TO HOP NLAN'!E252*'TS-PILE'!$E$86/SUMSQ('TS-PILE'!$E$72:$E$91))+IF(SUMSQ('TS-PILE'!$D$72:$D$91)=0,0,'TO HOP NLAN'!F252*'TS-PILE'!$D$86/SUMSQ('TS-PILE'!$D$72:$D$91))),IF('TS-PILE'!$B$87="",-1E+99,'TO HOP NLAN'!D252/ncoc+IF(SUMSQ('TS-PILE'!$E$72:$E$91)=0,0,'TO HOP NLAN'!E252*'TS-PILE'!$E$87/SUMSQ('TS-PILE'!$E$72:$E$91))+IF(SUMSQ('TS-PILE'!$D$72:$D$91)=0,0,'TO HOP NLAN'!F252*'TS-PILE'!$D$87/SUMSQ('TS-PILE'!$D$72:$D$91))),IF('TS-PILE'!$B$88="",-1E+99,'TO HOP NLAN'!D252/ncoc+IF(SUMSQ('TS-PILE'!$E$72:$E$91)=0,0,'TO HOP NLAN'!E252*'TS-PILE'!$E$88/SUMSQ('TS-PILE'!$E$72:$E$91))+IF(SUMSQ('TS-PILE'!$D$72:$D$91)=0,0,'TO HOP NLAN'!F252*'TS-PILE'!$D$88/SUMSQ('TS-PILE'!$D$72:$D$91))),IF('TS-PILE'!$B$89="",-1E+99,'TO HOP NLAN'!D252/ncoc+IF(SUMSQ('TS-PILE'!$E$72:$E$91)=0,0,'TO HOP NLAN'!E252*'TS-PILE'!$E$89/SUMSQ('TS-PILE'!$E$72:$E$91))+IF(SUMSQ('TS-PILE'!$D$72:$D$91)=0,0,'TO HOP NLAN'!F252*'TS-PILE'!$D$89/SUMSQ('TS-PILE'!$D$72:$D$91))),IF('TS-PILE'!$B$90="",-1E+99,'TO HOP NLAN'!D252/ncoc+IF(SUMSQ('TS-PILE'!$E$72:$E$91)=0,0,'TO HOP NLAN'!E252*'TS-PILE'!$E$90/SUMSQ('TS-PILE'!$E$72:$E$91))+IF(SUMSQ('TS-PILE'!$D$72:$D$91)=0,0,'TO HOP NLAN'!F252*'TS-PILE'!$D$90/SUMSQ('TS-PILE'!$D$72:$D$91))),IF('TS-PILE'!$B$91="",-1E+99,'TO HOP NLAN'!D252/ncoc+IF(SUMSQ('TS-PILE'!$E$72:$E$91)=0,0,'TO HOP NLAN'!E252*'TS-PILE'!$E$91/SUMSQ('TS-PILE'!$E$72:$E$91))+IF(SUMSQ('TS-PILE'!$D$72:$D$91)=0,0,'TO HOP NLAN'!F252*'TS-PILE'!$D$91/SUMSQ('TS-PILE'!$D$72:$D$91)))))</f>
        <v>0</v>
      </c>
      <c r="D252" s="58">
        <f>IF(A252="",0,MIN(IF('TS-PILE'!$B$72="",1E+99,'TO HOP NLAN'!D252/ncoc+IF(SUMSQ('TS-PILE'!$E$72:$E$91)=0,0,'TO HOP NLAN'!E252*'TS-PILE'!$E$72/SUMSQ('TS-PILE'!$E$72:$E$91))+IF(SUMSQ('TS-PILE'!$D$72:$D$91)=0,0,'TO HOP NLAN'!F252*'TS-PILE'!$D$72/SUMSQ('TS-PILE'!$D$72:$D$91))),IF('TS-PILE'!$B$73="",1E+99,'TO HOP NLAN'!D252/ncoc+IF(SUMSQ('TS-PILE'!$E$72:$E$91)=0,0,'TO HOP NLAN'!E252*'TS-PILE'!$E$73/SUMSQ('TS-PILE'!$E$72:$E$91))+IF(SUMSQ('TS-PILE'!$D$72:$D$91)=0,0,'TO HOP NLAN'!F252*'TS-PILE'!$D$73/SUMSQ('TS-PILE'!$D$72:$D$91))),IF('TS-PILE'!$B$74="",1E+99,'TO HOP NLAN'!D252/ncoc+IF(SUMSQ('TS-PILE'!$E$72:$E$91)=0,0,'TO HOP NLAN'!E252*'TS-PILE'!$E$74/SUMSQ('TS-PILE'!$E$72:$E$91))+IF(SUMSQ('TS-PILE'!$D$72:$D$91)=0,0,'TO HOP NLAN'!F252*'TS-PILE'!$D$74/SUMSQ('TS-PILE'!$D$72:$D$91))),IF('TS-PILE'!$B$75="",1E+99,'TO HOP NLAN'!D252/ncoc+IF(SUMSQ('TS-PILE'!$E$72:$E$91)=0,0,'TO HOP NLAN'!E252*'TS-PILE'!$E$75/SUMSQ('TS-PILE'!$E$72:$E$91))+IF(SUMSQ('TS-PILE'!$D$72:$D$91)=0,0,'TO HOP NLAN'!F252*'TS-PILE'!$D$75/SUMSQ('TS-PILE'!$D$72:$D$91))),IF('TS-PILE'!$B$76="",1E+99,'TO HOP NLAN'!D252/ncoc+IF(SUMSQ('TS-PILE'!$E$72:$E$91)=0,0,'TO HOP NLAN'!E252*'TS-PILE'!$E$76/SUMSQ('TS-PILE'!$E$72:$E$91))+IF(SUMSQ('TS-PILE'!$D$72:$D$91)=0,0,'TO HOP NLAN'!F252*'TS-PILE'!$D$76/SUMSQ('TS-PILE'!$D$72:$D$91))),IF('TS-PILE'!$B$77="",1E+99,'TO HOP NLAN'!D252/ncoc+IF(SUMSQ('TS-PILE'!$E$72:$E$91)=0,0,'TO HOP NLAN'!E252*'TS-PILE'!$E$77/SUMSQ('TS-PILE'!$E$72:$E$91))+IF(SUMSQ('TS-PILE'!$D$72:$D$91)=0,0,'TO HOP NLAN'!F252*'TS-PILE'!$D$77/SUMSQ('TS-PILE'!$D$72:$D$91))),IF('TS-PILE'!$B$78="",1E+99,'TO HOP NLAN'!D252/ncoc+IF(SUMSQ('TS-PILE'!$E$72:$E$91)=0,0,'TO HOP NLAN'!E252*'TS-PILE'!$E$78/SUMSQ('TS-PILE'!$E$72:$E$91))+IF(SUMSQ('TS-PILE'!$D$72:$D$91)=0,0,'TO HOP NLAN'!F252*'TS-PILE'!$D$78/SUMSQ('TS-PILE'!$D$72:$D$91))),IF('TS-PILE'!$B$79="",1E+99,'TO HOP NLAN'!D252/ncoc+IF(SUMSQ('TS-PILE'!$E$72:$E$91)=0,0,'TO HOP NLAN'!E252*'TS-PILE'!$E$79/SUMSQ('TS-PILE'!$E$72:$E$91))+IF(SUMSQ('TS-PILE'!$D$72:$D$91)=0,0,'TO HOP NLAN'!F252*'TS-PILE'!$D$79/SUMSQ('TS-PILE'!$D$72:$D$91))),IF('TS-PILE'!$B$80="",1E+99,'TO HOP NLAN'!D252/ncoc+IF(SUMSQ('TS-PILE'!$E$72:$E$91)=0,0,'TO HOP NLAN'!E252*'TS-PILE'!$E$80/SUMSQ('TS-PILE'!$E$72:$E$91))+IF(SUMSQ('TS-PILE'!$D$72:$D$91)=0,0,'TO HOP NLAN'!F252*'TS-PILE'!$D$80/SUMSQ('TS-PILE'!$D$72:$D$91))),IF('TS-PILE'!$B$81="",1E+99,'TO HOP NLAN'!D252/ncoc+IF(SUMSQ('TS-PILE'!$E$72:$E$91)=0,0,'TO HOP NLAN'!E252*'TS-PILE'!$E$81/SUMSQ('TS-PILE'!$E$72:$E$91))+IF(SUMSQ('TS-PILE'!$D$72:$D$91)=0,0,'TO HOP NLAN'!F252*'TS-PILE'!$D$81/SUMSQ('TS-PILE'!$D$72:$D$91))),IF('TS-PILE'!$B$82="",1E+99,'TO HOP NLAN'!D252/ncoc+IF(SUMSQ('TS-PILE'!$E$72:$E$91)=0,0,'TO HOP NLAN'!E252*'TS-PILE'!$E$82/SUMSQ('TS-PILE'!$E$72:$E$91))+IF(SUMSQ('TS-PILE'!$D$72:$D$91)=0,0,'TO HOP NLAN'!F252*'TS-PILE'!$D$82/SUMSQ('TS-PILE'!$D$72:$D$91))),IF('TS-PILE'!$B$83="",1E+99,'TO HOP NLAN'!D252/ncoc+IF(SUMSQ('TS-PILE'!$E$72:$E$91)=0,0,'TO HOP NLAN'!E252*'TS-PILE'!$E$83/SUMSQ('TS-PILE'!$E$72:$E$91))+IF(SUMSQ('TS-PILE'!$D$72:$D$91)=0,0,'TO HOP NLAN'!F252*'TS-PILE'!$D$83/SUMSQ('TS-PILE'!$D$72:$D$91))),IF('TS-PILE'!$B$84="",1E+99,'TO HOP NLAN'!D252/ncoc+IF(SUMSQ('TS-PILE'!$E$72:$E$91)=0,0,'TO HOP NLAN'!E252*'TS-PILE'!$E$84/SUMSQ('TS-PILE'!$E$72:$E$91))+IF(SUMSQ('TS-PILE'!$D$72:$D$91)=0,0,'TO HOP NLAN'!F252*'TS-PILE'!$D$84/SUMSQ('TS-PILE'!$D$72:$D$91))),IF('TS-PILE'!$B$85="",1E+99,'TO HOP NLAN'!D252/ncoc+IF(SUMSQ('TS-PILE'!$E$72:$E$91)=0,0,'TO HOP NLAN'!E252*'TS-PILE'!$E$85/SUMSQ('TS-PILE'!$E$72:$E$91))+IF(SUMSQ('TS-PILE'!$D$72:$D$91)=0,0,'TO HOP NLAN'!F252*'TS-PILE'!$D$85/SUMSQ('TS-PILE'!$D$72:$D$91))),IF('TS-PILE'!$B$86="",1E+99,'TO HOP NLAN'!D252/ncoc+IF(SUMSQ('TS-PILE'!$E$72:$E$91)=0,0,'TO HOP NLAN'!E252*'TS-PILE'!$E$86/SUMSQ('TS-PILE'!$E$72:$E$91))+IF(SUMSQ('TS-PILE'!$D$72:$D$91)=0,0,'TO HOP NLAN'!F252*'TS-PILE'!$D$86/SUMSQ('TS-PILE'!$D$72:$D$91))),IF('TS-PILE'!$B$87="",1E+99,'TO HOP NLAN'!D252/ncoc+IF(SUMSQ('TS-PILE'!$E$72:$E$91)=0,0,'TO HOP NLAN'!E252*'TS-PILE'!$E$87/SUMSQ('TS-PILE'!$E$72:$E$91))+IF(SUMSQ('TS-PILE'!$D$72:$D$91)=0,0,'TO HOP NLAN'!F252*'TS-PILE'!$D$87/SUMSQ('TS-PILE'!$D$72:$D$91))),IF('TS-PILE'!$B$88="",1E+99,'TO HOP NLAN'!D252/ncoc+IF(SUMSQ('TS-PILE'!$E$72:$E$91)=0,0,'TO HOP NLAN'!E252*'TS-PILE'!$E$88/SUMSQ('TS-PILE'!$E$72:$E$91))+IF(SUMSQ('TS-PILE'!$D$72:$D$91)=0,0,'TO HOP NLAN'!F252*'TS-PILE'!$D$88/SUMSQ('TS-PILE'!$D$72:$D$91))),IF('TS-PILE'!$B$89="",1E+99,'TO HOP NLAN'!D252/ncoc+IF(SUMSQ('TS-PILE'!$E$72:$E$91)=0,0,'TO HOP NLAN'!E252*'TS-PILE'!$E$89/SUMSQ('TS-PILE'!$E$72:$E$91))+IF(SUMSQ('TS-PILE'!$D$72:$D$91)=0,0,'TO HOP NLAN'!F252*'TS-PILE'!$D$89/SUMSQ('TS-PILE'!$D$72:$D$91))),IF('TS-PILE'!$B$90="",1E+99,'TO HOP NLAN'!D252/ncoc+IF(SUMSQ('TS-PILE'!$E$72:$E$91)=0,0,'TO HOP NLAN'!E252*'TS-PILE'!$E$90/SUMSQ('TS-PILE'!$E$72:$E$91))+IF(SUMSQ('TS-PILE'!$D$72:$D$91)=0,0,'TO HOP NLAN'!F252*'TS-PILE'!$D$90/SUMSQ('TS-PILE'!$D$72:$D$91))),IF('TS-PILE'!$B$91="",1E+99,'TO HOP NLAN'!D252/ncoc+IF(SUMSQ('TS-PILE'!$E$72:$E$91)=0,0,'TO HOP NLAN'!E252*'TS-PILE'!$E$91/SUMSQ('TS-PILE'!$E$72:$E$91))+IF(SUMSQ('TS-PILE'!$D$72:$D$91)=0,0,'TO HOP NLAN'!F252*'TS-PILE'!$D$91/SUMSQ('TS-PILE'!$D$72:$D$91)))))</f>
        <v>0</v>
      </c>
      <c r="E252" s="58">
        <f t="shared" si="12"/>
        <v>-9.9999999999999997E+98</v>
      </c>
      <c r="F252" s="58">
        <f t="shared" si="13"/>
        <v>9.9999999999999997E+98</v>
      </c>
      <c r="G252" s="58">
        <f t="shared" si="14"/>
        <v>-9.9999999999999997E+98</v>
      </c>
      <c r="H252" s="58">
        <f t="shared" si="15"/>
        <v>9.9999999999999997E+98</v>
      </c>
    </row>
    <row r="253" spans="1:8" x14ac:dyDescent="0.3">
      <c r="A253" s="42" t="str">
        <f>'TO HOP NLAN'!A253</f>
        <v/>
      </c>
      <c r="B253" s="42" t="str">
        <f>'TO HOP NLAN'!L253</f>
        <v>STRENGTH</v>
      </c>
      <c r="C253" s="58">
        <f>IF(A253="",0,MAX(IF('TS-PILE'!$B$72="",-1E+99,'TO HOP NLAN'!D253/ncoc+IF(SUMSQ('TS-PILE'!$E$72:$E$91)=0,0,'TO HOP NLAN'!E253*'TS-PILE'!$E$72/SUMSQ('TS-PILE'!$E$72:$E$91))+IF(SUMSQ('TS-PILE'!$D$72:$D$91)=0,0,'TO HOP NLAN'!F253*'TS-PILE'!$D$72/SUMSQ('TS-PILE'!$D$72:$D$91))),IF('TS-PILE'!$B$73="",-1E+99,'TO HOP NLAN'!D253/ncoc+IF(SUMSQ('TS-PILE'!$E$72:$E$91)=0,0,'TO HOP NLAN'!E253*'TS-PILE'!$E$73/SUMSQ('TS-PILE'!$E$72:$E$91))+IF(SUMSQ('TS-PILE'!$D$72:$D$91)=0,0,'TO HOP NLAN'!F253*'TS-PILE'!$D$73/SUMSQ('TS-PILE'!$D$72:$D$91))),IF('TS-PILE'!$B$74="",-1E+99,'TO HOP NLAN'!D253/ncoc+IF(SUMSQ('TS-PILE'!$E$72:$E$91)=0,0,'TO HOP NLAN'!E253*'TS-PILE'!$E$74/SUMSQ('TS-PILE'!$E$72:$E$91))+IF(SUMSQ('TS-PILE'!$D$72:$D$91)=0,0,'TO HOP NLAN'!F253*'TS-PILE'!$D$74/SUMSQ('TS-PILE'!$D$72:$D$91))),IF('TS-PILE'!$B$75="",-1E+99,'TO HOP NLAN'!D253/ncoc+IF(SUMSQ('TS-PILE'!$E$72:$E$91)=0,0,'TO HOP NLAN'!E253*'TS-PILE'!$E$75/SUMSQ('TS-PILE'!$E$72:$E$91))+IF(SUMSQ('TS-PILE'!$D$72:$D$91)=0,0,'TO HOP NLAN'!F253*'TS-PILE'!$D$75/SUMSQ('TS-PILE'!$D$72:$D$91))),IF('TS-PILE'!$B$76="",-1E+99,'TO HOP NLAN'!D253/ncoc+IF(SUMSQ('TS-PILE'!$E$72:$E$91)=0,0,'TO HOP NLAN'!E253*'TS-PILE'!$E$76/SUMSQ('TS-PILE'!$E$72:$E$91))+IF(SUMSQ('TS-PILE'!$D$72:$D$91)=0,0,'TO HOP NLAN'!F253*'TS-PILE'!$D$76/SUMSQ('TS-PILE'!$D$72:$D$91))),IF('TS-PILE'!$B$77="",-1E+99,'TO HOP NLAN'!D253/ncoc+IF(SUMSQ('TS-PILE'!$E$72:$E$91)=0,0,'TO HOP NLAN'!E253*'TS-PILE'!$E$77/SUMSQ('TS-PILE'!$E$72:$E$91))+IF(SUMSQ('TS-PILE'!$D$72:$D$91)=0,0,'TO HOP NLAN'!F253*'TS-PILE'!$D$77/SUMSQ('TS-PILE'!$D$72:$D$91))),IF('TS-PILE'!$B$78="",-1E+99,'TO HOP NLAN'!D253/ncoc+IF(SUMSQ('TS-PILE'!$E$72:$E$91)=0,0,'TO HOP NLAN'!E253*'TS-PILE'!$E$78/SUMSQ('TS-PILE'!$E$72:$E$91))+IF(SUMSQ('TS-PILE'!$D$72:$D$91)=0,0,'TO HOP NLAN'!F253*'TS-PILE'!$D$78/SUMSQ('TS-PILE'!$D$72:$D$91))),IF('TS-PILE'!$B$79="",-1E+99,'TO HOP NLAN'!D253/ncoc+IF(SUMSQ('TS-PILE'!$E$72:$E$91)=0,0,'TO HOP NLAN'!E253*'TS-PILE'!$E$79/SUMSQ('TS-PILE'!$E$72:$E$91))+IF(SUMSQ('TS-PILE'!$D$72:$D$91)=0,0,'TO HOP NLAN'!F253*'TS-PILE'!$D$79/SUMSQ('TS-PILE'!$D$72:$D$91))),IF('TS-PILE'!$B$80="",-1E+99,'TO HOP NLAN'!D253/ncoc+IF(SUMSQ('TS-PILE'!$E$72:$E$91)=0,0,'TO HOP NLAN'!E253*'TS-PILE'!$E$80/SUMSQ('TS-PILE'!$E$72:$E$91))+IF(SUMSQ('TS-PILE'!$D$72:$D$91)=0,0,'TO HOP NLAN'!F253*'TS-PILE'!$D$80/SUMSQ('TS-PILE'!$D$72:$D$91))),IF('TS-PILE'!$B$81="",-1E+99,'TO HOP NLAN'!D253/ncoc+IF(SUMSQ('TS-PILE'!$E$72:$E$91)=0,0,'TO HOP NLAN'!E253*'TS-PILE'!$E$81/SUMSQ('TS-PILE'!$E$72:$E$91))+IF(SUMSQ('TS-PILE'!$D$72:$D$91)=0,0,'TO HOP NLAN'!F253*'TS-PILE'!$D$81/SUMSQ('TS-PILE'!$D$72:$D$91))),IF('TS-PILE'!$B$82="",-1E+99,'TO HOP NLAN'!D253/ncoc+IF(SUMSQ('TS-PILE'!$E$72:$E$91)=0,0,'TO HOP NLAN'!E253*'TS-PILE'!$E$82/SUMSQ('TS-PILE'!$E$72:$E$91))+IF(SUMSQ('TS-PILE'!$D$72:$D$91)=0,0,'TO HOP NLAN'!F253*'TS-PILE'!$D$82/SUMSQ('TS-PILE'!$D$72:$D$91))),IF('TS-PILE'!$B$83="",-1E+99,'TO HOP NLAN'!D253/ncoc+IF(SUMSQ('TS-PILE'!$E$72:$E$91)=0,0,'TO HOP NLAN'!E253*'TS-PILE'!$E$83/SUMSQ('TS-PILE'!$E$72:$E$91))+IF(SUMSQ('TS-PILE'!$D$72:$D$91)=0,0,'TO HOP NLAN'!F253*'TS-PILE'!$D$83/SUMSQ('TS-PILE'!$D$72:$D$91))),IF('TS-PILE'!$B$84="",-1E+99,'TO HOP NLAN'!D253/ncoc+IF(SUMSQ('TS-PILE'!$E$72:$E$91)=0,0,'TO HOP NLAN'!E253*'TS-PILE'!$E$84/SUMSQ('TS-PILE'!$E$72:$E$91))+IF(SUMSQ('TS-PILE'!$D$72:$D$91)=0,0,'TO HOP NLAN'!F253*'TS-PILE'!$D$84/SUMSQ('TS-PILE'!$D$72:$D$91))),IF('TS-PILE'!$B$85="",-1E+99,'TO HOP NLAN'!D253/ncoc+IF(SUMSQ('TS-PILE'!$E$72:$E$91)=0,0,'TO HOP NLAN'!E253*'TS-PILE'!$E$85/SUMSQ('TS-PILE'!$E$72:$E$91))+IF(SUMSQ('TS-PILE'!$D$72:$D$91)=0,0,'TO HOP NLAN'!F253*'TS-PILE'!$D$85/SUMSQ('TS-PILE'!$D$72:$D$91))),IF('TS-PILE'!$B$86="",-1E+99,'TO HOP NLAN'!D253/ncoc+IF(SUMSQ('TS-PILE'!$E$72:$E$91)=0,0,'TO HOP NLAN'!E253*'TS-PILE'!$E$86/SUMSQ('TS-PILE'!$E$72:$E$91))+IF(SUMSQ('TS-PILE'!$D$72:$D$91)=0,0,'TO HOP NLAN'!F253*'TS-PILE'!$D$86/SUMSQ('TS-PILE'!$D$72:$D$91))),IF('TS-PILE'!$B$87="",-1E+99,'TO HOP NLAN'!D253/ncoc+IF(SUMSQ('TS-PILE'!$E$72:$E$91)=0,0,'TO HOP NLAN'!E253*'TS-PILE'!$E$87/SUMSQ('TS-PILE'!$E$72:$E$91))+IF(SUMSQ('TS-PILE'!$D$72:$D$91)=0,0,'TO HOP NLAN'!F253*'TS-PILE'!$D$87/SUMSQ('TS-PILE'!$D$72:$D$91))),IF('TS-PILE'!$B$88="",-1E+99,'TO HOP NLAN'!D253/ncoc+IF(SUMSQ('TS-PILE'!$E$72:$E$91)=0,0,'TO HOP NLAN'!E253*'TS-PILE'!$E$88/SUMSQ('TS-PILE'!$E$72:$E$91))+IF(SUMSQ('TS-PILE'!$D$72:$D$91)=0,0,'TO HOP NLAN'!F253*'TS-PILE'!$D$88/SUMSQ('TS-PILE'!$D$72:$D$91))),IF('TS-PILE'!$B$89="",-1E+99,'TO HOP NLAN'!D253/ncoc+IF(SUMSQ('TS-PILE'!$E$72:$E$91)=0,0,'TO HOP NLAN'!E253*'TS-PILE'!$E$89/SUMSQ('TS-PILE'!$E$72:$E$91))+IF(SUMSQ('TS-PILE'!$D$72:$D$91)=0,0,'TO HOP NLAN'!F253*'TS-PILE'!$D$89/SUMSQ('TS-PILE'!$D$72:$D$91))),IF('TS-PILE'!$B$90="",-1E+99,'TO HOP NLAN'!D253/ncoc+IF(SUMSQ('TS-PILE'!$E$72:$E$91)=0,0,'TO HOP NLAN'!E253*'TS-PILE'!$E$90/SUMSQ('TS-PILE'!$E$72:$E$91))+IF(SUMSQ('TS-PILE'!$D$72:$D$91)=0,0,'TO HOP NLAN'!F253*'TS-PILE'!$D$90/SUMSQ('TS-PILE'!$D$72:$D$91))),IF('TS-PILE'!$B$91="",-1E+99,'TO HOP NLAN'!D253/ncoc+IF(SUMSQ('TS-PILE'!$E$72:$E$91)=0,0,'TO HOP NLAN'!E253*'TS-PILE'!$E$91/SUMSQ('TS-PILE'!$E$72:$E$91))+IF(SUMSQ('TS-PILE'!$D$72:$D$91)=0,0,'TO HOP NLAN'!F253*'TS-PILE'!$D$91/SUMSQ('TS-PILE'!$D$72:$D$91)))))</f>
        <v>0</v>
      </c>
      <c r="D253" s="58">
        <f>IF(A253="",0,MIN(IF('TS-PILE'!$B$72="",1E+99,'TO HOP NLAN'!D253/ncoc+IF(SUMSQ('TS-PILE'!$E$72:$E$91)=0,0,'TO HOP NLAN'!E253*'TS-PILE'!$E$72/SUMSQ('TS-PILE'!$E$72:$E$91))+IF(SUMSQ('TS-PILE'!$D$72:$D$91)=0,0,'TO HOP NLAN'!F253*'TS-PILE'!$D$72/SUMSQ('TS-PILE'!$D$72:$D$91))),IF('TS-PILE'!$B$73="",1E+99,'TO HOP NLAN'!D253/ncoc+IF(SUMSQ('TS-PILE'!$E$72:$E$91)=0,0,'TO HOP NLAN'!E253*'TS-PILE'!$E$73/SUMSQ('TS-PILE'!$E$72:$E$91))+IF(SUMSQ('TS-PILE'!$D$72:$D$91)=0,0,'TO HOP NLAN'!F253*'TS-PILE'!$D$73/SUMSQ('TS-PILE'!$D$72:$D$91))),IF('TS-PILE'!$B$74="",1E+99,'TO HOP NLAN'!D253/ncoc+IF(SUMSQ('TS-PILE'!$E$72:$E$91)=0,0,'TO HOP NLAN'!E253*'TS-PILE'!$E$74/SUMSQ('TS-PILE'!$E$72:$E$91))+IF(SUMSQ('TS-PILE'!$D$72:$D$91)=0,0,'TO HOP NLAN'!F253*'TS-PILE'!$D$74/SUMSQ('TS-PILE'!$D$72:$D$91))),IF('TS-PILE'!$B$75="",1E+99,'TO HOP NLAN'!D253/ncoc+IF(SUMSQ('TS-PILE'!$E$72:$E$91)=0,0,'TO HOP NLAN'!E253*'TS-PILE'!$E$75/SUMSQ('TS-PILE'!$E$72:$E$91))+IF(SUMSQ('TS-PILE'!$D$72:$D$91)=0,0,'TO HOP NLAN'!F253*'TS-PILE'!$D$75/SUMSQ('TS-PILE'!$D$72:$D$91))),IF('TS-PILE'!$B$76="",1E+99,'TO HOP NLAN'!D253/ncoc+IF(SUMSQ('TS-PILE'!$E$72:$E$91)=0,0,'TO HOP NLAN'!E253*'TS-PILE'!$E$76/SUMSQ('TS-PILE'!$E$72:$E$91))+IF(SUMSQ('TS-PILE'!$D$72:$D$91)=0,0,'TO HOP NLAN'!F253*'TS-PILE'!$D$76/SUMSQ('TS-PILE'!$D$72:$D$91))),IF('TS-PILE'!$B$77="",1E+99,'TO HOP NLAN'!D253/ncoc+IF(SUMSQ('TS-PILE'!$E$72:$E$91)=0,0,'TO HOP NLAN'!E253*'TS-PILE'!$E$77/SUMSQ('TS-PILE'!$E$72:$E$91))+IF(SUMSQ('TS-PILE'!$D$72:$D$91)=0,0,'TO HOP NLAN'!F253*'TS-PILE'!$D$77/SUMSQ('TS-PILE'!$D$72:$D$91))),IF('TS-PILE'!$B$78="",1E+99,'TO HOP NLAN'!D253/ncoc+IF(SUMSQ('TS-PILE'!$E$72:$E$91)=0,0,'TO HOP NLAN'!E253*'TS-PILE'!$E$78/SUMSQ('TS-PILE'!$E$72:$E$91))+IF(SUMSQ('TS-PILE'!$D$72:$D$91)=0,0,'TO HOP NLAN'!F253*'TS-PILE'!$D$78/SUMSQ('TS-PILE'!$D$72:$D$91))),IF('TS-PILE'!$B$79="",1E+99,'TO HOP NLAN'!D253/ncoc+IF(SUMSQ('TS-PILE'!$E$72:$E$91)=0,0,'TO HOP NLAN'!E253*'TS-PILE'!$E$79/SUMSQ('TS-PILE'!$E$72:$E$91))+IF(SUMSQ('TS-PILE'!$D$72:$D$91)=0,0,'TO HOP NLAN'!F253*'TS-PILE'!$D$79/SUMSQ('TS-PILE'!$D$72:$D$91))),IF('TS-PILE'!$B$80="",1E+99,'TO HOP NLAN'!D253/ncoc+IF(SUMSQ('TS-PILE'!$E$72:$E$91)=0,0,'TO HOP NLAN'!E253*'TS-PILE'!$E$80/SUMSQ('TS-PILE'!$E$72:$E$91))+IF(SUMSQ('TS-PILE'!$D$72:$D$91)=0,0,'TO HOP NLAN'!F253*'TS-PILE'!$D$80/SUMSQ('TS-PILE'!$D$72:$D$91))),IF('TS-PILE'!$B$81="",1E+99,'TO HOP NLAN'!D253/ncoc+IF(SUMSQ('TS-PILE'!$E$72:$E$91)=0,0,'TO HOP NLAN'!E253*'TS-PILE'!$E$81/SUMSQ('TS-PILE'!$E$72:$E$91))+IF(SUMSQ('TS-PILE'!$D$72:$D$91)=0,0,'TO HOP NLAN'!F253*'TS-PILE'!$D$81/SUMSQ('TS-PILE'!$D$72:$D$91))),IF('TS-PILE'!$B$82="",1E+99,'TO HOP NLAN'!D253/ncoc+IF(SUMSQ('TS-PILE'!$E$72:$E$91)=0,0,'TO HOP NLAN'!E253*'TS-PILE'!$E$82/SUMSQ('TS-PILE'!$E$72:$E$91))+IF(SUMSQ('TS-PILE'!$D$72:$D$91)=0,0,'TO HOP NLAN'!F253*'TS-PILE'!$D$82/SUMSQ('TS-PILE'!$D$72:$D$91))),IF('TS-PILE'!$B$83="",1E+99,'TO HOP NLAN'!D253/ncoc+IF(SUMSQ('TS-PILE'!$E$72:$E$91)=0,0,'TO HOP NLAN'!E253*'TS-PILE'!$E$83/SUMSQ('TS-PILE'!$E$72:$E$91))+IF(SUMSQ('TS-PILE'!$D$72:$D$91)=0,0,'TO HOP NLAN'!F253*'TS-PILE'!$D$83/SUMSQ('TS-PILE'!$D$72:$D$91))),IF('TS-PILE'!$B$84="",1E+99,'TO HOP NLAN'!D253/ncoc+IF(SUMSQ('TS-PILE'!$E$72:$E$91)=0,0,'TO HOP NLAN'!E253*'TS-PILE'!$E$84/SUMSQ('TS-PILE'!$E$72:$E$91))+IF(SUMSQ('TS-PILE'!$D$72:$D$91)=0,0,'TO HOP NLAN'!F253*'TS-PILE'!$D$84/SUMSQ('TS-PILE'!$D$72:$D$91))),IF('TS-PILE'!$B$85="",1E+99,'TO HOP NLAN'!D253/ncoc+IF(SUMSQ('TS-PILE'!$E$72:$E$91)=0,0,'TO HOP NLAN'!E253*'TS-PILE'!$E$85/SUMSQ('TS-PILE'!$E$72:$E$91))+IF(SUMSQ('TS-PILE'!$D$72:$D$91)=0,0,'TO HOP NLAN'!F253*'TS-PILE'!$D$85/SUMSQ('TS-PILE'!$D$72:$D$91))),IF('TS-PILE'!$B$86="",1E+99,'TO HOP NLAN'!D253/ncoc+IF(SUMSQ('TS-PILE'!$E$72:$E$91)=0,0,'TO HOP NLAN'!E253*'TS-PILE'!$E$86/SUMSQ('TS-PILE'!$E$72:$E$91))+IF(SUMSQ('TS-PILE'!$D$72:$D$91)=0,0,'TO HOP NLAN'!F253*'TS-PILE'!$D$86/SUMSQ('TS-PILE'!$D$72:$D$91))),IF('TS-PILE'!$B$87="",1E+99,'TO HOP NLAN'!D253/ncoc+IF(SUMSQ('TS-PILE'!$E$72:$E$91)=0,0,'TO HOP NLAN'!E253*'TS-PILE'!$E$87/SUMSQ('TS-PILE'!$E$72:$E$91))+IF(SUMSQ('TS-PILE'!$D$72:$D$91)=0,0,'TO HOP NLAN'!F253*'TS-PILE'!$D$87/SUMSQ('TS-PILE'!$D$72:$D$91))),IF('TS-PILE'!$B$88="",1E+99,'TO HOP NLAN'!D253/ncoc+IF(SUMSQ('TS-PILE'!$E$72:$E$91)=0,0,'TO HOP NLAN'!E253*'TS-PILE'!$E$88/SUMSQ('TS-PILE'!$E$72:$E$91))+IF(SUMSQ('TS-PILE'!$D$72:$D$91)=0,0,'TO HOP NLAN'!F253*'TS-PILE'!$D$88/SUMSQ('TS-PILE'!$D$72:$D$91))),IF('TS-PILE'!$B$89="",1E+99,'TO HOP NLAN'!D253/ncoc+IF(SUMSQ('TS-PILE'!$E$72:$E$91)=0,0,'TO HOP NLAN'!E253*'TS-PILE'!$E$89/SUMSQ('TS-PILE'!$E$72:$E$91))+IF(SUMSQ('TS-PILE'!$D$72:$D$91)=0,0,'TO HOP NLAN'!F253*'TS-PILE'!$D$89/SUMSQ('TS-PILE'!$D$72:$D$91))),IF('TS-PILE'!$B$90="",1E+99,'TO HOP NLAN'!D253/ncoc+IF(SUMSQ('TS-PILE'!$E$72:$E$91)=0,0,'TO HOP NLAN'!E253*'TS-PILE'!$E$90/SUMSQ('TS-PILE'!$E$72:$E$91))+IF(SUMSQ('TS-PILE'!$D$72:$D$91)=0,0,'TO HOP NLAN'!F253*'TS-PILE'!$D$90/SUMSQ('TS-PILE'!$D$72:$D$91))),IF('TS-PILE'!$B$91="",1E+99,'TO HOP NLAN'!D253/ncoc+IF(SUMSQ('TS-PILE'!$E$72:$E$91)=0,0,'TO HOP NLAN'!E253*'TS-PILE'!$E$91/SUMSQ('TS-PILE'!$E$72:$E$91))+IF(SUMSQ('TS-PILE'!$D$72:$D$91)=0,0,'TO HOP NLAN'!F253*'TS-PILE'!$D$91/SUMSQ('TS-PILE'!$D$72:$D$91)))))</f>
        <v>0</v>
      </c>
      <c r="E253" s="58">
        <f t="shared" si="12"/>
        <v>-9.9999999999999997E+98</v>
      </c>
      <c r="F253" s="58">
        <f t="shared" si="13"/>
        <v>9.9999999999999997E+98</v>
      </c>
      <c r="G253" s="58">
        <f t="shared" si="14"/>
        <v>-9.9999999999999997E+98</v>
      </c>
      <c r="H253" s="58">
        <f t="shared" si="15"/>
        <v>9.9999999999999997E+98</v>
      </c>
    </row>
    <row r="254" spans="1:8" x14ac:dyDescent="0.3">
      <c r="A254" s="42" t="str">
        <f>'TO HOP NLAN'!A254</f>
        <v/>
      </c>
      <c r="B254" s="42" t="str">
        <f>'TO HOP NLAN'!L254</f>
        <v>STRENGTH</v>
      </c>
      <c r="C254" s="58">
        <f>IF(A254="",0,MAX(IF('TS-PILE'!$B$72="",-1E+99,'TO HOP NLAN'!D254/ncoc+IF(SUMSQ('TS-PILE'!$E$72:$E$91)=0,0,'TO HOP NLAN'!E254*'TS-PILE'!$E$72/SUMSQ('TS-PILE'!$E$72:$E$91))+IF(SUMSQ('TS-PILE'!$D$72:$D$91)=0,0,'TO HOP NLAN'!F254*'TS-PILE'!$D$72/SUMSQ('TS-PILE'!$D$72:$D$91))),IF('TS-PILE'!$B$73="",-1E+99,'TO HOP NLAN'!D254/ncoc+IF(SUMSQ('TS-PILE'!$E$72:$E$91)=0,0,'TO HOP NLAN'!E254*'TS-PILE'!$E$73/SUMSQ('TS-PILE'!$E$72:$E$91))+IF(SUMSQ('TS-PILE'!$D$72:$D$91)=0,0,'TO HOP NLAN'!F254*'TS-PILE'!$D$73/SUMSQ('TS-PILE'!$D$72:$D$91))),IF('TS-PILE'!$B$74="",-1E+99,'TO HOP NLAN'!D254/ncoc+IF(SUMSQ('TS-PILE'!$E$72:$E$91)=0,0,'TO HOP NLAN'!E254*'TS-PILE'!$E$74/SUMSQ('TS-PILE'!$E$72:$E$91))+IF(SUMSQ('TS-PILE'!$D$72:$D$91)=0,0,'TO HOP NLAN'!F254*'TS-PILE'!$D$74/SUMSQ('TS-PILE'!$D$72:$D$91))),IF('TS-PILE'!$B$75="",-1E+99,'TO HOP NLAN'!D254/ncoc+IF(SUMSQ('TS-PILE'!$E$72:$E$91)=0,0,'TO HOP NLAN'!E254*'TS-PILE'!$E$75/SUMSQ('TS-PILE'!$E$72:$E$91))+IF(SUMSQ('TS-PILE'!$D$72:$D$91)=0,0,'TO HOP NLAN'!F254*'TS-PILE'!$D$75/SUMSQ('TS-PILE'!$D$72:$D$91))),IF('TS-PILE'!$B$76="",-1E+99,'TO HOP NLAN'!D254/ncoc+IF(SUMSQ('TS-PILE'!$E$72:$E$91)=0,0,'TO HOP NLAN'!E254*'TS-PILE'!$E$76/SUMSQ('TS-PILE'!$E$72:$E$91))+IF(SUMSQ('TS-PILE'!$D$72:$D$91)=0,0,'TO HOP NLAN'!F254*'TS-PILE'!$D$76/SUMSQ('TS-PILE'!$D$72:$D$91))),IF('TS-PILE'!$B$77="",-1E+99,'TO HOP NLAN'!D254/ncoc+IF(SUMSQ('TS-PILE'!$E$72:$E$91)=0,0,'TO HOP NLAN'!E254*'TS-PILE'!$E$77/SUMSQ('TS-PILE'!$E$72:$E$91))+IF(SUMSQ('TS-PILE'!$D$72:$D$91)=0,0,'TO HOP NLAN'!F254*'TS-PILE'!$D$77/SUMSQ('TS-PILE'!$D$72:$D$91))),IF('TS-PILE'!$B$78="",-1E+99,'TO HOP NLAN'!D254/ncoc+IF(SUMSQ('TS-PILE'!$E$72:$E$91)=0,0,'TO HOP NLAN'!E254*'TS-PILE'!$E$78/SUMSQ('TS-PILE'!$E$72:$E$91))+IF(SUMSQ('TS-PILE'!$D$72:$D$91)=0,0,'TO HOP NLAN'!F254*'TS-PILE'!$D$78/SUMSQ('TS-PILE'!$D$72:$D$91))),IF('TS-PILE'!$B$79="",-1E+99,'TO HOP NLAN'!D254/ncoc+IF(SUMSQ('TS-PILE'!$E$72:$E$91)=0,0,'TO HOP NLAN'!E254*'TS-PILE'!$E$79/SUMSQ('TS-PILE'!$E$72:$E$91))+IF(SUMSQ('TS-PILE'!$D$72:$D$91)=0,0,'TO HOP NLAN'!F254*'TS-PILE'!$D$79/SUMSQ('TS-PILE'!$D$72:$D$91))),IF('TS-PILE'!$B$80="",-1E+99,'TO HOP NLAN'!D254/ncoc+IF(SUMSQ('TS-PILE'!$E$72:$E$91)=0,0,'TO HOP NLAN'!E254*'TS-PILE'!$E$80/SUMSQ('TS-PILE'!$E$72:$E$91))+IF(SUMSQ('TS-PILE'!$D$72:$D$91)=0,0,'TO HOP NLAN'!F254*'TS-PILE'!$D$80/SUMSQ('TS-PILE'!$D$72:$D$91))),IF('TS-PILE'!$B$81="",-1E+99,'TO HOP NLAN'!D254/ncoc+IF(SUMSQ('TS-PILE'!$E$72:$E$91)=0,0,'TO HOP NLAN'!E254*'TS-PILE'!$E$81/SUMSQ('TS-PILE'!$E$72:$E$91))+IF(SUMSQ('TS-PILE'!$D$72:$D$91)=0,0,'TO HOP NLAN'!F254*'TS-PILE'!$D$81/SUMSQ('TS-PILE'!$D$72:$D$91))),IF('TS-PILE'!$B$82="",-1E+99,'TO HOP NLAN'!D254/ncoc+IF(SUMSQ('TS-PILE'!$E$72:$E$91)=0,0,'TO HOP NLAN'!E254*'TS-PILE'!$E$82/SUMSQ('TS-PILE'!$E$72:$E$91))+IF(SUMSQ('TS-PILE'!$D$72:$D$91)=0,0,'TO HOP NLAN'!F254*'TS-PILE'!$D$82/SUMSQ('TS-PILE'!$D$72:$D$91))),IF('TS-PILE'!$B$83="",-1E+99,'TO HOP NLAN'!D254/ncoc+IF(SUMSQ('TS-PILE'!$E$72:$E$91)=0,0,'TO HOP NLAN'!E254*'TS-PILE'!$E$83/SUMSQ('TS-PILE'!$E$72:$E$91))+IF(SUMSQ('TS-PILE'!$D$72:$D$91)=0,0,'TO HOP NLAN'!F254*'TS-PILE'!$D$83/SUMSQ('TS-PILE'!$D$72:$D$91))),IF('TS-PILE'!$B$84="",-1E+99,'TO HOP NLAN'!D254/ncoc+IF(SUMSQ('TS-PILE'!$E$72:$E$91)=0,0,'TO HOP NLAN'!E254*'TS-PILE'!$E$84/SUMSQ('TS-PILE'!$E$72:$E$91))+IF(SUMSQ('TS-PILE'!$D$72:$D$91)=0,0,'TO HOP NLAN'!F254*'TS-PILE'!$D$84/SUMSQ('TS-PILE'!$D$72:$D$91))),IF('TS-PILE'!$B$85="",-1E+99,'TO HOP NLAN'!D254/ncoc+IF(SUMSQ('TS-PILE'!$E$72:$E$91)=0,0,'TO HOP NLAN'!E254*'TS-PILE'!$E$85/SUMSQ('TS-PILE'!$E$72:$E$91))+IF(SUMSQ('TS-PILE'!$D$72:$D$91)=0,0,'TO HOP NLAN'!F254*'TS-PILE'!$D$85/SUMSQ('TS-PILE'!$D$72:$D$91))),IF('TS-PILE'!$B$86="",-1E+99,'TO HOP NLAN'!D254/ncoc+IF(SUMSQ('TS-PILE'!$E$72:$E$91)=0,0,'TO HOP NLAN'!E254*'TS-PILE'!$E$86/SUMSQ('TS-PILE'!$E$72:$E$91))+IF(SUMSQ('TS-PILE'!$D$72:$D$91)=0,0,'TO HOP NLAN'!F254*'TS-PILE'!$D$86/SUMSQ('TS-PILE'!$D$72:$D$91))),IF('TS-PILE'!$B$87="",-1E+99,'TO HOP NLAN'!D254/ncoc+IF(SUMSQ('TS-PILE'!$E$72:$E$91)=0,0,'TO HOP NLAN'!E254*'TS-PILE'!$E$87/SUMSQ('TS-PILE'!$E$72:$E$91))+IF(SUMSQ('TS-PILE'!$D$72:$D$91)=0,0,'TO HOP NLAN'!F254*'TS-PILE'!$D$87/SUMSQ('TS-PILE'!$D$72:$D$91))),IF('TS-PILE'!$B$88="",-1E+99,'TO HOP NLAN'!D254/ncoc+IF(SUMSQ('TS-PILE'!$E$72:$E$91)=0,0,'TO HOP NLAN'!E254*'TS-PILE'!$E$88/SUMSQ('TS-PILE'!$E$72:$E$91))+IF(SUMSQ('TS-PILE'!$D$72:$D$91)=0,0,'TO HOP NLAN'!F254*'TS-PILE'!$D$88/SUMSQ('TS-PILE'!$D$72:$D$91))),IF('TS-PILE'!$B$89="",-1E+99,'TO HOP NLAN'!D254/ncoc+IF(SUMSQ('TS-PILE'!$E$72:$E$91)=0,0,'TO HOP NLAN'!E254*'TS-PILE'!$E$89/SUMSQ('TS-PILE'!$E$72:$E$91))+IF(SUMSQ('TS-PILE'!$D$72:$D$91)=0,0,'TO HOP NLAN'!F254*'TS-PILE'!$D$89/SUMSQ('TS-PILE'!$D$72:$D$91))),IF('TS-PILE'!$B$90="",-1E+99,'TO HOP NLAN'!D254/ncoc+IF(SUMSQ('TS-PILE'!$E$72:$E$91)=0,0,'TO HOP NLAN'!E254*'TS-PILE'!$E$90/SUMSQ('TS-PILE'!$E$72:$E$91))+IF(SUMSQ('TS-PILE'!$D$72:$D$91)=0,0,'TO HOP NLAN'!F254*'TS-PILE'!$D$90/SUMSQ('TS-PILE'!$D$72:$D$91))),IF('TS-PILE'!$B$91="",-1E+99,'TO HOP NLAN'!D254/ncoc+IF(SUMSQ('TS-PILE'!$E$72:$E$91)=0,0,'TO HOP NLAN'!E254*'TS-PILE'!$E$91/SUMSQ('TS-PILE'!$E$72:$E$91))+IF(SUMSQ('TS-PILE'!$D$72:$D$91)=0,0,'TO HOP NLAN'!F254*'TS-PILE'!$D$91/SUMSQ('TS-PILE'!$D$72:$D$91)))))</f>
        <v>0</v>
      </c>
      <c r="D254" s="58">
        <f>IF(A254="",0,MIN(IF('TS-PILE'!$B$72="",1E+99,'TO HOP NLAN'!D254/ncoc+IF(SUMSQ('TS-PILE'!$E$72:$E$91)=0,0,'TO HOP NLAN'!E254*'TS-PILE'!$E$72/SUMSQ('TS-PILE'!$E$72:$E$91))+IF(SUMSQ('TS-PILE'!$D$72:$D$91)=0,0,'TO HOP NLAN'!F254*'TS-PILE'!$D$72/SUMSQ('TS-PILE'!$D$72:$D$91))),IF('TS-PILE'!$B$73="",1E+99,'TO HOP NLAN'!D254/ncoc+IF(SUMSQ('TS-PILE'!$E$72:$E$91)=0,0,'TO HOP NLAN'!E254*'TS-PILE'!$E$73/SUMSQ('TS-PILE'!$E$72:$E$91))+IF(SUMSQ('TS-PILE'!$D$72:$D$91)=0,0,'TO HOP NLAN'!F254*'TS-PILE'!$D$73/SUMSQ('TS-PILE'!$D$72:$D$91))),IF('TS-PILE'!$B$74="",1E+99,'TO HOP NLAN'!D254/ncoc+IF(SUMSQ('TS-PILE'!$E$72:$E$91)=0,0,'TO HOP NLAN'!E254*'TS-PILE'!$E$74/SUMSQ('TS-PILE'!$E$72:$E$91))+IF(SUMSQ('TS-PILE'!$D$72:$D$91)=0,0,'TO HOP NLAN'!F254*'TS-PILE'!$D$74/SUMSQ('TS-PILE'!$D$72:$D$91))),IF('TS-PILE'!$B$75="",1E+99,'TO HOP NLAN'!D254/ncoc+IF(SUMSQ('TS-PILE'!$E$72:$E$91)=0,0,'TO HOP NLAN'!E254*'TS-PILE'!$E$75/SUMSQ('TS-PILE'!$E$72:$E$91))+IF(SUMSQ('TS-PILE'!$D$72:$D$91)=0,0,'TO HOP NLAN'!F254*'TS-PILE'!$D$75/SUMSQ('TS-PILE'!$D$72:$D$91))),IF('TS-PILE'!$B$76="",1E+99,'TO HOP NLAN'!D254/ncoc+IF(SUMSQ('TS-PILE'!$E$72:$E$91)=0,0,'TO HOP NLAN'!E254*'TS-PILE'!$E$76/SUMSQ('TS-PILE'!$E$72:$E$91))+IF(SUMSQ('TS-PILE'!$D$72:$D$91)=0,0,'TO HOP NLAN'!F254*'TS-PILE'!$D$76/SUMSQ('TS-PILE'!$D$72:$D$91))),IF('TS-PILE'!$B$77="",1E+99,'TO HOP NLAN'!D254/ncoc+IF(SUMSQ('TS-PILE'!$E$72:$E$91)=0,0,'TO HOP NLAN'!E254*'TS-PILE'!$E$77/SUMSQ('TS-PILE'!$E$72:$E$91))+IF(SUMSQ('TS-PILE'!$D$72:$D$91)=0,0,'TO HOP NLAN'!F254*'TS-PILE'!$D$77/SUMSQ('TS-PILE'!$D$72:$D$91))),IF('TS-PILE'!$B$78="",1E+99,'TO HOP NLAN'!D254/ncoc+IF(SUMSQ('TS-PILE'!$E$72:$E$91)=0,0,'TO HOP NLAN'!E254*'TS-PILE'!$E$78/SUMSQ('TS-PILE'!$E$72:$E$91))+IF(SUMSQ('TS-PILE'!$D$72:$D$91)=0,0,'TO HOP NLAN'!F254*'TS-PILE'!$D$78/SUMSQ('TS-PILE'!$D$72:$D$91))),IF('TS-PILE'!$B$79="",1E+99,'TO HOP NLAN'!D254/ncoc+IF(SUMSQ('TS-PILE'!$E$72:$E$91)=0,0,'TO HOP NLAN'!E254*'TS-PILE'!$E$79/SUMSQ('TS-PILE'!$E$72:$E$91))+IF(SUMSQ('TS-PILE'!$D$72:$D$91)=0,0,'TO HOP NLAN'!F254*'TS-PILE'!$D$79/SUMSQ('TS-PILE'!$D$72:$D$91))),IF('TS-PILE'!$B$80="",1E+99,'TO HOP NLAN'!D254/ncoc+IF(SUMSQ('TS-PILE'!$E$72:$E$91)=0,0,'TO HOP NLAN'!E254*'TS-PILE'!$E$80/SUMSQ('TS-PILE'!$E$72:$E$91))+IF(SUMSQ('TS-PILE'!$D$72:$D$91)=0,0,'TO HOP NLAN'!F254*'TS-PILE'!$D$80/SUMSQ('TS-PILE'!$D$72:$D$91))),IF('TS-PILE'!$B$81="",1E+99,'TO HOP NLAN'!D254/ncoc+IF(SUMSQ('TS-PILE'!$E$72:$E$91)=0,0,'TO HOP NLAN'!E254*'TS-PILE'!$E$81/SUMSQ('TS-PILE'!$E$72:$E$91))+IF(SUMSQ('TS-PILE'!$D$72:$D$91)=0,0,'TO HOP NLAN'!F254*'TS-PILE'!$D$81/SUMSQ('TS-PILE'!$D$72:$D$91))),IF('TS-PILE'!$B$82="",1E+99,'TO HOP NLAN'!D254/ncoc+IF(SUMSQ('TS-PILE'!$E$72:$E$91)=0,0,'TO HOP NLAN'!E254*'TS-PILE'!$E$82/SUMSQ('TS-PILE'!$E$72:$E$91))+IF(SUMSQ('TS-PILE'!$D$72:$D$91)=0,0,'TO HOP NLAN'!F254*'TS-PILE'!$D$82/SUMSQ('TS-PILE'!$D$72:$D$91))),IF('TS-PILE'!$B$83="",1E+99,'TO HOP NLAN'!D254/ncoc+IF(SUMSQ('TS-PILE'!$E$72:$E$91)=0,0,'TO HOP NLAN'!E254*'TS-PILE'!$E$83/SUMSQ('TS-PILE'!$E$72:$E$91))+IF(SUMSQ('TS-PILE'!$D$72:$D$91)=0,0,'TO HOP NLAN'!F254*'TS-PILE'!$D$83/SUMSQ('TS-PILE'!$D$72:$D$91))),IF('TS-PILE'!$B$84="",1E+99,'TO HOP NLAN'!D254/ncoc+IF(SUMSQ('TS-PILE'!$E$72:$E$91)=0,0,'TO HOP NLAN'!E254*'TS-PILE'!$E$84/SUMSQ('TS-PILE'!$E$72:$E$91))+IF(SUMSQ('TS-PILE'!$D$72:$D$91)=0,0,'TO HOP NLAN'!F254*'TS-PILE'!$D$84/SUMSQ('TS-PILE'!$D$72:$D$91))),IF('TS-PILE'!$B$85="",1E+99,'TO HOP NLAN'!D254/ncoc+IF(SUMSQ('TS-PILE'!$E$72:$E$91)=0,0,'TO HOP NLAN'!E254*'TS-PILE'!$E$85/SUMSQ('TS-PILE'!$E$72:$E$91))+IF(SUMSQ('TS-PILE'!$D$72:$D$91)=0,0,'TO HOP NLAN'!F254*'TS-PILE'!$D$85/SUMSQ('TS-PILE'!$D$72:$D$91))),IF('TS-PILE'!$B$86="",1E+99,'TO HOP NLAN'!D254/ncoc+IF(SUMSQ('TS-PILE'!$E$72:$E$91)=0,0,'TO HOP NLAN'!E254*'TS-PILE'!$E$86/SUMSQ('TS-PILE'!$E$72:$E$91))+IF(SUMSQ('TS-PILE'!$D$72:$D$91)=0,0,'TO HOP NLAN'!F254*'TS-PILE'!$D$86/SUMSQ('TS-PILE'!$D$72:$D$91))),IF('TS-PILE'!$B$87="",1E+99,'TO HOP NLAN'!D254/ncoc+IF(SUMSQ('TS-PILE'!$E$72:$E$91)=0,0,'TO HOP NLAN'!E254*'TS-PILE'!$E$87/SUMSQ('TS-PILE'!$E$72:$E$91))+IF(SUMSQ('TS-PILE'!$D$72:$D$91)=0,0,'TO HOP NLAN'!F254*'TS-PILE'!$D$87/SUMSQ('TS-PILE'!$D$72:$D$91))),IF('TS-PILE'!$B$88="",1E+99,'TO HOP NLAN'!D254/ncoc+IF(SUMSQ('TS-PILE'!$E$72:$E$91)=0,0,'TO HOP NLAN'!E254*'TS-PILE'!$E$88/SUMSQ('TS-PILE'!$E$72:$E$91))+IF(SUMSQ('TS-PILE'!$D$72:$D$91)=0,0,'TO HOP NLAN'!F254*'TS-PILE'!$D$88/SUMSQ('TS-PILE'!$D$72:$D$91))),IF('TS-PILE'!$B$89="",1E+99,'TO HOP NLAN'!D254/ncoc+IF(SUMSQ('TS-PILE'!$E$72:$E$91)=0,0,'TO HOP NLAN'!E254*'TS-PILE'!$E$89/SUMSQ('TS-PILE'!$E$72:$E$91))+IF(SUMSQ('TS-PILE'!$D$72:$D$91)=0,0,'TO HOP NLAN'!F254*'TS-PILE'!$D$89/SUMSQ('TS-PILE'!$D$72:$D$91))),IF('TS-PILE'!$B$90="",1E+99,'TO HOP NLAN'!D254/ncoc+IF(SUMSQ('TS-PILE'!$E$72:$E$91)=0,0,'TO HOP NLAN'!E254*'TS-PILE'!$E$90/SUMSQ('TS-PILE'!$E$72:$E$91))+IF(SUMSQ('TS-PILE'!$D$72:$D$91)=0,0,'TO HOP NLAN'!F254*'TS-PILE'!$D$90/SUMSQ('TS-PILE'!$D$72:$D$91))),IF('TS-PILE'!$B$91="",1E+99,'TO HOP NLAN'!D254/ncoc+IF(SUMSQ('TS-PILE'!$E$72:$E$91)=0,0,'TO HOP NLAN'!E254*'TS-PILE'!$E$91/SUMSQ('TS-PILE'!$E$72:$E$91))+IF(SUMSQ('TS-PILE'!$D$72:$D$91)=0,0,'TO HOP NLAN'!F254*'TS-PILE'!$D$91/SUMSQ('TS-PILE'!$D$72:$D$91)))))</f>
        <v>0</v>
      </c>
      <c r="E254" s="58">
        <f t="shared" si="12"/>
        <v>-9.9999999999999997E+98</v>
      </c>
      <c r="F254" s="58">
        <f t="shared" si="13"/>
        <v>9.9999999999999997E+98</v>
      </c>
      <c r="G254" s="58">
        <f t="shared" si="14"/>
        <v>-9.9999999999999997E+98</v>
      </c>
      <c r="H254" s="58">
        <f t="shared" si="15"/>
        <v>9.9999999999999997E+98</v>
      </c>
    </row>
    <row r="255" spans="1:8" x14ac:dyDescent="0.3">
      <c r="A255" s="42" t="str">
        <f>'TO HOP NLAN'!A255</f>
        <v/>
      </c>
      <c r="B255" s="42" t="str">
        <f>'TO HOP NLAN'!L255</f>
        <v>STRENGTH</v>
      </c>
      <c r="C255" s="58">
        <f>IF(A255="",0,MAX(IF('TS-PILE'!$B$72="",-1E+99,'TO HOP NLAN'!D255/ncoc+IF(SUMSQ('TS-PILE'!$E$72:$E$91)=0,0,'TO HOP NLAN'!E255*'TS-PILE'!$E$72/SUMSQ('TS-PILE'!$E$72:$E$91))+IF(SUMSQ('TS-PILE'!$D$72:$D$91)=0,0,'TO HOP NLAN'!F255*'TS-PILE'!$D$72/SUMSQ('TS-PILE'!$D$72:$D$91))),IF('TS-PILE'!$B$73="",-1E+99,'TO HOP NLAN'!D255/ncoc+IF(SUMSQ('TS-PILE'!$E$72:$E$91)=0,0,'TO HOP NLAN'!E255*'TS-PILE'!$E$73/SUMSQ('TS-PILE'!$E$72:$E$91))+IF(SUMSQ('TS-PILE'!$D$72:$D$91)=0,0,'TO HOP NLAN'!F255*'TS-PILE'!$D$73/SUMSQ('TS-PILE'!$D$72:$D$91))),IF('TS-PILE'!$B$74="",-1E+99,'TO HOP NLAN'!D255/ncoc+IF(SUMSQ('TS-PILE'!$E$72:$E$91)=0,0,'TO HOP NLAN'!E255*'TS-PILE'!$E$74/SUMSQ('TS-PILE'!$E$72:$E$91))+IF(SUMSQ('TS-PILE'!$D$72:$D$91)=0,0,'TO HOP NLAN'!F255*'TS-PILE'!$D$74/SUMSQ('TS-PILE'!$D$72:$D$91))),IF('TS-PILE'!$B$75="",-1E+99,'TO HOP NLAN'!D255/ncoc+IF(SUMSQ('TS-PILE'!$E$72:$E$91)=0,0,'TO HOP NLAN'!E255*'TS-PILE'!$E$75/SUMSQ('TS-PILE'!$E$72:$E$91))+IF(SUMSQ('TS-PILE'!$D$72:$D$91)=0,0,'TO HOP NLAN'!F255*'TS-PILE'!$D$75/SUMSQ('TS-PILE'!$D$72:$D$91))),IF('TS-PILE'!$B$76="",-1E+99,'TO HOP NLAN'!D255/ncoc+IF(SUMSQ('TS-PILE'!$E$72:$E$91)=0,0,'TO HOP NLAN'!E255*'TS-PILE'!$E$76/SUMSQ('TS-PILE'!$E$72:$E$91))+IF(SUMSQ('TS-PILE'!$D$72:$D$91)=0,0,'TO HOP NLAN'!F255*'TS-PILE'!$D$76/SUMSQ('TS-PILE'!$D$72:$D$91))),IF('TS-PILE'!$B$77="",-1E+99,'TO HOP NLAN'!D255/ncoc+IF(SUMSQ('TS-PILE'!$E$72:$E$91)=0,0,'TO HOP NLAN'!E255*'TS-PILE'!$E$77/SUMSQ('TS-PILE'!$E$72:$E$91))+IF(SUMSQ('TS-PILE'!$D$72:$D$91)=0,0,'TO HOP NLAN'!F255*'TS-PILE'!$D$77/SUMSQ('TS-PILE'!$D$72:$D$91))),IF('TS-PILE'!$B$78="",-1E+99,'TO HOP NLAN'!D255/ncoc+IF(SUMSQ('TS-PILE'!$E$72:$E$91)=0,0,'TO HOP NLAN'!E255*'TS-PILE'!$E$78/SUMSQ('TS-PILE'!$E$72:$E$91))+IF(SUMSQ('TS-PILE'!$D$72:$D$91)=0,0,'TO HOP NLAN'!F255*'TS-PILE'!$D$78/SUMSQ('TS-PILE'!$D$72:$D$91))),IF('TS-PILE'!$B$79="",-1E+99,'TO HOP NLAN'!D255/ncoc+IF(SUMSQ('TS-PILE'!$E$72:$E$91)=0,0,'TO HOP NLAN'!E255*'TS-PILE'!$E$79/SUMSQ('TS-PILE'!$E$72:$E$91))+IF(SUMSQ('TS-PILE'!$D$72:$D$91)=0,0,'TO HOP NLAN'!F255*'TS-PILE'!$D$79/SUMSQ('TS-PILE'!$D$72:$D$91))),IF('TS-PILE'!$B$80="",-1E+99,'TO HOP NLAN'!D255/ncoc+IF(SUMSQ('TS-PILE'!$E$72:$E$91)=0,0,'TO HOP NLAN'!E255*'TS-PILE'!$E$80/SUMSQ('TS-PILE'!$E$72:$E$91))+IF(SUMSQ('TS-PILE'!$D$72:$D$91)=0,0,'TO HOP NLAN'!F255*'TS-PILE'!$D$80/SUMSQ('TS-PILE'!$D$72:$D$91))),IF('TS-PILE'!$B$81="",-1E+99,'TO HOP NLAN'!D255/ncoc+IF(SUMSQ('TS-PILE'!$E$72:$E$91)=0,0,'TO HOP NLAN'!E255*'TS-PILE'!$E$81/SUMSQ('TS-PILE'!$E$72:$E$91))+IF(SUMSQ('TS-PILE'!$D$72:$D$91)=0,0,'TO HOP NLAN'!F255*'TS-PILE'!$D$81/SUMSQ('TS-PILE'!$D$72:$D$91))),IF('TS-PILE'!$B$82="",-1E+99,'TO HOP NLAN'!D255/ncoc+IF(SUMSQ('TS-PILE'!$E$72:$E$91)=0,0,'TO HOP NLAN'!E255*'TS-PILE'!$E$82/SUMSQ('TS-PILE'!$E$72:$E$91))+IF(SUMSQ('TS-PILE'!$D$72:$D$91)=0,0,'TO HOP NLAN'!F255*'TS-PILE'!$D$82/SUMSQ('TS-PILE'!$D$72:$D$91))),IF('TS-PILE'!$B$83="",-1E+99,'TO HOP NLAN'!D255/ncoc+IF(SUMSQ('TS-PILE'!$E$72:$E$91)=0,0,'TO HOP NLAN'!E255*'TS-PILE'!$E$83/SUMSQ('TS-PILE'!$E$72:$E$91))+IF(SUMSQ('TS-PILE'!$D$72:$D$91)=0,0,'TO HOP NLAN'!F255*'TS-PILE'!$D$83/SUMSQ('TS-PILE'!$D$72:$D$91))),IF('TS-PILE'!$B$84="",-1E+99,'TO HOP NLAN'!D255/ncoc+IF(SUMSQ('TS-PILE'!$E$72:$E$91)=0,0,'TO HOP NLAN'!E255*'TS-PILE'!$E$84/SUMSQ('TS-PILE'!$E$72:$E$91))+IF(SUMSQ('TS-PILE'!$D$72:$D$91)=0,0,'TO HOP NLAN'!F255*'TS-PILE'!$D$84/SUMSQ('TS-PILE'!$D$72:$D$91))),IF('TS-PILE'!$B$85="",-1E+99,'TO HOP NLAN'!D255/ncoc+IF(SUMSQ('TS-PILE'!$E$72:$E$91)=0,0,'TO HOP NLAN'!E255*'TS-PILE'!$E$85/SUMSQ('TS-PILE'!$E$72:$E$91))+IF(SUMSQ('TS-PILE'!$D$72:$D$91)=0,0,'TO HOP NLAN'!F255*'TS-PILE'!$D$85/SUMSQ('TS-PILE'!$D$72:$D$91))),IF('TS-PILE'!$B$86="",-1E+99,'TO HOP NLAN'!D255/ncoc+IF(SUMSQ('TS-PILE'!$E$72:$E$91)=0,0,'TO HOP NLAN'!E255*'TS-PILE'!$E$86/SUMSQ('TS-PILE'!$E$72:$E$91))+IF(SUMSQ('TS-PILE'!$D$72:$D$91)=0,0,'TO HOP NLAN'!F255*'TS-PILE'!$D$86/SUMSQ('TS-PILE'!$D$72:$D$91))),IF('TS-PILE'!$B$87="",-1E+99,'TO HOP NLAN'!D255/ncoc+IF(SUMSQ('TS-PILE'!$E$72:$E$91)=0,0,'TO HOP NLAN'!E255*'TS-PILE'!$E$87/SUMSQ('TS-PILE'!$E$72:$E$91))+IF(SUMSQ('TS-PILE'!$D$72:$D$91)=0,0,'TO HOP NLAN'!F255*'TS-PILE'!$D$87/SUMSQ('TS-PILE'!$D$72:$D$91))),IF('TS-PILE'!$B$88="",-1E+99,'TO HOP NLAN'!D255/ncoc+IF(SUMSQ('TS-PILE'!$E$72:$E$91)=0,0,'TO HOP NLAN'!E255*'TS-PILE'!$E$88/SUMSQ('TS-PILE'!$E$72:$E$91))+IF(SUMSQ('TS-PILE'!$D$72:$D$91)=0,0,'TO HOP NLAN'!F255*'TS-PILE'!$D$88/SUMSQ('TS-PILE'!$D$72:$D$91))),IF('TS-PILE'!$B$89="",-1E+99,'TO HOP NLAN'!D255/ncoc+IF(SUMSQ('TS-PILE'!$E$72:$E$91)=0,0,'TO HOP NLAN'!E255*'TS-PILE'!$E$89/SUMSQ('TS-PILE'!$E$72:$E$91))+IF(SUMSQ('TS-PILE'!$D$72:$D$91)=0,0,'TO HOP NLAN'!F255*'TS-PILE'!$D$89/SUMSQ('TS-PILE'!$D$72:$D$91))),IF('TS-PILE'!$B$90="",-1E+99,'TO HOP NLAN'!D255/ncoc+IF(SUMSQ('TS-PILE'!$E$72:$E$91)=0,0,'TO HOP NLAN'!E255*'TS-PILE'!$E$90/SUMSQ('TS-PILE'!$E$72:$E$91))+IF(SUMSQ('TS-PILE'!$D$72:$D$91)=0,0,'TO HOP NLAN'!F255*'TS-PILE'!$D$90/SUMSQ('TS-PILE'!$D$72:$D$91))),IF('TS-PILE'!$B$91="",-1E+99,'TO HOP NLAN'!D255/ncoc+IF(SUMSQ('TS-PILE'!$E$72:$E$91)=0,0,'TO HOP NLAN'!E255*'TS-PILE'!$E$91/SUMSQ('TS-PILE'!$E$72:$E$91))+IF(SUMSQ('TS-PILE'!$D$72:$D$91)=0,0,'TO HOP NLAN'!F255*'TS-PILE'!$D$91/SUMSQ('TS-PILE'!$D$72:$D$91)))))</f>
        <v>0</v>
      </c>
      <c r="D255" s="58">
        <f>IF(A255="",0,MIN(IF('TS-PILE'!$B$72="",1E+99,'TO HOP NLAN'!D255/ncoc+IF(SUMSQ('TS-PILE'!$E$72:$E$91)=0,0,'TO HOP NLAN'!E255*'TS-PILE'!$E$72/SUMSQ('TS-PILE'!$E$72:$E$91))+IF(SUMSQ('TS-PILE'!$D$72:$D$91)=0,0,'TO HOP NLAN'!F255*'TS-PILE'!$D$72/SUMSQ('TS-PILE'!$D$72:$D$91))),IF('TS-PILE'!$B$73="",1E+99,'TO HOP NLAN'!D255/ncoc+IF(SUMSQ('TS-PILE'!$E$72:$E$91)=0,0,'TO HOP NLAN'!E255*'TS-PILE'!$E$73/SUMSQ('TS-PILE'!$E$72:$E$91))+IF(SUMSQ('TS-PILE'!$D$72:$D$91)=0,0,'TO HOP NLAN'!F255*'TS-PILE'!$D$73/SUMSQ('TS-PILE'!$D$72:$D$91))),IF('TS-PILE'!$B$74="",1E+99,'TO HOP NLAN'!D255/ncoc+IF(SUMSQ('TS-PILE'!$E$72:$E$91)=0,0,'TO HOP NLAN'!E255*'TS-PILE'!$E$74/SUMSQ('TS-PILE'!$E$72:$E$91))+IF(SUMSQ('TS-PILE'!$D$72:$D$91)=0,0,'TO HOP NLAN'!F255*'TS-PILE'!$D$74/SUMSQ('TS-PILE'!$D$72:$D$91))),IF('TS-PILE'!$B$75="",1E+99,'TO HOP NLAN'!D255/ncoc+IF(SUMSQ('TS-PILE'!$E$72:$E$91)=0,0,'TO HOP NLAN'!E255*'TS-PILE'!$E$75/SUMSQ('TS-PILE'!$E$72:$E$91))+IF(SUMSQ('TS-PILE'!$D$72:$D$91)=0,0,'TO HOP NLAN'!F255*'TS-PILE'!$D$75/SUMSQ('TS-PILE'!$D$72:$D$91))),IF('TS-PILE'!$B$76="",1E+99,'TO HOP NLAN'!D255/ncoc+IF(SUMSQ('TS-PILE'!$E$72:$E$91)=0,0,'TO HOP NLAN'!E255*'TS-PILE'!$E$76/SUMSQ('TS-PILE'!$E$72:$E$91))+IF(SUMSQ('TS-PILE'!$D$72:$D$91)=0,0,'TO HOP NLAN'!F255*'TS-PILE'!$D$76/SUMSQ('TS-PILE'!$D$72:$D$91))),IF('TS-PILE'!$B$77="",1E+99,'TO HOP NLAN'!D255/ncoc+IF(SUMSQ('TS-PILE'!$E$72:$E$91)=0,0,'TO HOP NLAN'!E255*'TS-PILE'!$E$77/SUMSQ('TS-PILE'!$E$72:$E$91))+IF(SUMSQ('TS-PILE'!$D$72:$D$91)=0,0,'TO HOP NLAN'!F255*'TS-PILE'!$D$77/SUMSQ('TS-PILE'!$D$72:$D$91))),IF('TS-PILE'!$B$78="",1E+99,'TO HOP NLAN'!D255/ncoc+IF(SUMSQ('TS-PILE'!$E$72:$E$91)=0,0,'TO HOP NLAN'!E255*'TS-PILE'!$E$78/SUMSQ('TS-PILE'!$E$72:$E$91))+IF(SUMSQ('TS-PILE'!$D$72:$D$91)=0,0,'TO HOP NLAN'!F255*'TS-PILE'!$D$78/SUMSQ('TS-PILE'!$D$72:$D$91))),IF('TS-PILE'!$B$79="",1E+99,'TO HOP NLAN'!D255/ncoc+IF(SUMSQ('TS-PILE'!$E$72:$E$91)=0,0,'TO HOP NLAN'!E255*'TS-PILE'!$E$79/SUMSQ('TS-PILE'!$E$72:$E$91))+IF(SUMSQ('TS-PILE'!$D$72:$D$91)=0,0,'TO HOP NLAN'!F255*'TS-PILE'!$D$79/SUMSQ('TS-PILE'!$D$72:$D$91))),IF('TS-PILE'!$B$80="",1E+99,'TO HOP NLAN'!D255/ncoc+IF(SUMSQ('TS-PILE'!$E$72:$E$91)=0,0,'TO HOP NLAN'!E255*'TS-PILE'!$E$80/SUMSQ('TS-PILE'!$E$72:$E$91))+IF(SUMSQ('TS-PILE'!$D$72:$D$91)=0,0,'TO HOP NLAN'!F255*'TS-PILE'!$D$80/SUMSQ('TS-PILE'!$D$72:$D$91))),IF('TS-PILE'!$B$81="",1E+99,'TO HOP NLAN'!D255/ncoc+IF(SUMSQ('TS-PILE'!$E$72:$E$91)=0,0,'TO HOP NLAN'!E255*'TS-PILE'!$E$81/SUMSQ('TS-PILE'!$E$72:$E$91))+IF(SUMSQ('TS-PILE'!$D$72:$D$91)=0,0,'TO HOP NLAN'!F255*'TS-PILE'!$D$81/SUMSQ('TS-PILE'!$D$72:$D$91))),IF('TS-PILE'!$B$82="",1E+99,'TO HOP NLAN'!D255/ncoc+IF(SUMSQ('TS-PILE'!$E$72:$E$91)=0,0,'TO HOP NLAN'!E255*'TS-PILE'!$E$82/SUMSQ('TS-PILE'!$E$72:$E$91))+IF(SUMSQ('TS-PILE'!$D$72:$D$91)=0,0,'TO HOP NLAN'!F255*'TS-PILE'!$D$82/SUMSQ('TS-PILE'!$D$72:$D$91))),IF('TS-PILE'!$B$83="",1E+99,'TO HOP NLAN'!D255/ncoc+IF(SUMSQ('TS-PILE'!$E$72:$E$91)=0,0,'TO HOP NLAN'!E255*'TS-PILE'!$E$83/SUMSQ('TS-PILE'!$E$72:$E$91))+IF(SUMSQ('TS-PILE'!$D$72:$D$91)=0,0,'TO HOP NLAN'!F255*'TS-PILE'!$D$83/SUMSQ('TS-PILE'!$D$72:$D$91))),IF('TS-PILE'!$B$84="",1E+99,'TO HOP NLAN'!D255/ncoc+IF(SUMSQ('TS-PILE'!$E$72:$E$91)=0,0,'TO HOP NLAN'!E255*'TS-PILE'!$E$84/SUMSQ('TS-PILE'!$E$72:$E$91))+IF(SUMSQ('TS-PILE'!$D$72:$D$91)=0,0,'TO HOP NLAN'!F255*'TS-PILE'!$D$84/SUMSQ('TS-PILE'!$D$72:$D$91))),IF('TS-PILE'!$B$85="",1E+99,'TO HOP NLAN'!D255/ncoc+IF(SUMSQ('TS-PILE'!$E$72:$E$91)=0,0,'TO HOP NLAN'!E255*'TS-PILE'!$E$85/SUMSQ('TS-PILE'!$E$72:$E$91))+IF(SUMSQ('TS-PILE'!$D$72:$D$91)=0,0,'TO HOP NLAN'!F255*'TS-PILE'!$D$85/SUMSQ('TS-PILE'!$D$72:$D$91))),IF('TS-PILE'!$B$86="",1E+99,'TO HOP NLAN'!D255/ncoc+IF(SUMSQ('TS-PILE'!$E$72:$E$91)=0,0,'TO HOP NLAN'!E255*'TS-PILE'!$E$86/SUMSQ('TS-PILE'!$E$72:$E$91))+IF(SUMSQ('TS-PILE'!$D$72:$D$91)=0,0,'TO HOP NLAN'!F255*'TS-PILE'!$D$86/SUMSQ('TS-PILE'!$D$72:$D$91))),IF('TS-PILE'!$B$87="",1E+99,'TO HOP NLAN'!D255/ncoc+IF(SUMSQ('TS-PILE'!$E$72:$E$91)=0,0,'TO HOP NLAN'!E255*'TS-PILE'!$E$87/SUMSQ('TS-PILE'!$E$72:$E$91))+IF(SUMSQ('TS-PILE'!$D$72:$D$91)=0,0,'TO HOP NLAN'!F255*'TS-PILE'!$D$87/SUMSQ('TS-PILE'!$D$72:$D$91))),IF('TS-PILE'!$B$88="",1E+99,'TO HOP NLAN'!D255/ncoc+IF(SUMSQ('TS-PILE'!$E$72:$E$91)=0,0,'TO HOP NLAN'!E255*'TS-PILE'!$E$88/SUMSQ('TS-PILE'!$E$72:$E$91))+IF(SUMSQ('TS-PILE'!$D$72:$D$91)=0,0,'TO HOP NLAN'!F255*'TS-PILE'!$D$88/SUMSQ('TS-PILE'!$D$72:$D$91))),IF('TS-PILE'!$B$89="",1E+99,'TO HOP NLAN'!D255/ncoc+IF(SUMSQ('TS-PILE'!$E$72:$E$91)=0,0,'TO HOP NLAN'!E255*'TS-PILE'!$E$89/SUMSQ('TS-PILE'!$E$72:$E$91))+IF(SUMSQ('TS-PILE'!$D$72:$D$91)=0,0,'TO HOP NLAN'!F255*'TS-PILE'!$D$89/SUMSQ('TS-PILE'!$D$72:$D$91))),IF('TS-PILE'!$B$90="",1E+99,'TO HOP NLAN'!D255/ncoc+IF(SUMSQ('TS-PILE'!$E$72:$E$91)=0,0,'TO HOP NLAN'!E255*'TS-PILE'!$E$90/SUMSQ('TS-PILE'!$E$72:$E$91))+IF(SUMSQ('TS-PILE'!$D$72:$D$91)=0,0,'TO HOP NLAN'!F255*'TS-PILE'!$D$90/SUMSQ('TS-PILE'!$D$72:$D$91))),IF('TS-PILE'!$B$91="",1E+99,'TO HOP NLAN'!D255/ncoc+IF(SUMSQ('TS-PILE'!$E$72:$E$91)=0,0,'TO HOP NLAN'!E255*'TS-PILE'!$E$91/SUMSQ('TS-PILE'!$E$72:$E$91))+IF(SUMSQ('TS-PILE'!$D$72:$D$91)=0,0,'TO HOP NLAN'!F255*'TS-PILE'!$D$91/SUMSQ('TS-PILE'!$D$72:$D$91)))))</f>
        <v>0</v>
      </c>
      <c r="E255" s="58">
        <f t="shared" si="12"/>
        <v>-9.9999999999999997E+98</v>
      </c>
      <c r="F255" s="58">
        <f t="shared" si="13"/>
        <v>9.9999999999999997E+98</v>
      </c>
      <c r="G255" s="58">
        <f t="shared" si="14"/>
        <v>-9.9999999999999997E+98</v>
      </c>
      <c r="H255" s="58">
        <f t="shared" si="15"/>
        <v>9.9999999999999997E+98</v>
      </c>
    </row>
    <row r="256" spans="1:8" x14ac:dyDescent="0.3">
      <c r="A256" s="42" t="str">
        <f>'TO HOP NLAN'!A256</f>
        <v/>
      </c>
      <c r="B256" s="42" t="str">
        <f>'TO HOP NLAN'!L256</f>
        <v>STRENGTH</v>
      </c>
      <c r="C256" s="58">
        <f>IF(A256="",0,MAX(IF('TS-PILE'!$B$72="",-1E+99,'TO HOP NLAN'!D256/ncoc+IF(SUMSQ('TS-PILE'!$E$72:$E$91)=0,0,'TO HOP NLAN'!E256*'TS-PILE'!$E$72/SUMSQ('TS-PILE'!$E$72:$E$91))+IF(SUMSQ('TS-PILE'!$D$72:$D$91)=0,0,'TO HOP NLAN'!F256*'TS-PILE'!$D$72/SUMSQ('TS-PILE'!$D$72:$D$91))),IF('TS-PILE'!$B$73="",-1E+99,'TO HOP NLAN'!D256/ncoc+IF(SUMSQ('TS-PILE'!$E$72:$E$91)=0,0,'TO HOP NLAN'!E256*'TS-PILE'!$E$73/SUMSQ('TS-PILE'!$E$72:$E$91))+IF(SUMSQ('TS-PILE'!$D$72:$D$91)=0,0,'TO HOP NLAN'!F256*'TS-PILE'!$D$73/SUMSQ('TS-PILE'!$D$72:$D$91))),IF('TS-PILE'!$B$74="",-1E+99,'TO HOP NLAN'!D256/ncoc+IF(SUMSQ('TS-PILE'!$E$72:$E$91)=0,0,'TO HOP NLAN'!E256*'TS-PILE'!$E$74/SUMSQ('TS-PILE'!$E$72:$E$91))+IF(SUMSQ('TS-PILE'!$D$72:$D$91)=0,0,'TO HOP NLAN'!F256*'TS-PILE'!$D$74/SUMSQ('TS-PILE'!$D$72:$D$91))),IF('TS-PILE'!$B$75="",-1E+99,'TO HOP NLAN'!D256/ncoc+IF(SUMSQ('TS-PILE'!$E$72:$E$91)=0,0,'TO HOP NLAN'!E256*'TS-PILE'!$E$75/SUMSQ('TS-PILE'!$E$72:$E$91))+IF(SUMSQ('TS-PILE'!$D$72:$D$91)=0,0,'TO HOP NLAN'!F256*'TS-PILE'!$D$75/SUMSQ('TS-PILE'!$D$72:$D$91))),IF('TS-PILE'!$B$76="",-1E+99,'TO HOP NLAN'!D256/ncoc+IF(SUMSQ('TS-PILE'!$E$72:$E$91)=0,0,'TO HOP NLAN'!E256*'TS-PILE'!$E$76/SUMSQ('TS-PILE'!$E$72:$E$91))+IF(SUMSQ('TS-PILE'!$D$72:$D$91)=0,0,'TO HOP NLAN'!F256*'TS-PILE'!$D$76/SUMSQ('TS-PILE'!$D$72:$D$91))),IF('TS-PILE'!$B$77="",-1E+99,'TO HOP NLAN'!D256/ncoc+IF(SUMSQ('TS-PILE'!$E$72:$E$91)=0,0,'TO HOP NLAN'!E256*'TS-PILE'!$E$77/SUMSQ('TS-PILE'!$E$72:$E$91))+IF(SUMSQ('TS-PILE'!$D$72:$D$91)=0,0,'TO HOP NLAN'!F256*'TS-PILE'!$D$77/SUMSQ('TS-PILE'!$D$72:$D$91))),IF('TS-PILE'!$B$78="",-1E+99,'TO HOP NLAN'!D256/ncoc+IF(SUMSQ('TS-PILE'!$E$72:$E$91)=0,0,'TO HOP NLAN'!E256*'TS-PILE'!$E$78/SUMSQ('TS-PILE'!$E$72:$E$91))+IF(SUMSQ('TS-PILE'!$D$72:$D$91)=0,0,'TO HOP NLAN'!F256*'TS-PILE'!$D$78/SUMSQ('TS-PILE'!$D$72:$D$91))),IF('TS-PILE'!$B$79="",-1E+99,'TO HOP NLAN'!D256/ncoc+IF(SUMSQ('TS-PILE'!$E$72:$E$91)=0,0,'TO HOP NLAN'!E256*'TS-PILE'!$E$79/SUMSQ('TS-PILE'!$E$72:$E$91))+IF(SUMSQ('TS-PILE'!$D$72:$D$91)=0,0,'TO HOP NLAN'!F256*'TS-PILE'!$D$79/SUMSQ('TS-PILE'!$D$72:$D$91))),IF('TS-PILE'!$B$80="",-1E+99,'TO HOP NLAN'!D256/ncoc+IF(SUMSQ('TS-PILE'!$E$72:$E$91)=0,0,'TO HOP NLAN'!E256*'TS-PILE'!$E$80/SUMSQ('TS-PILE'!$E$72:$E$91))+IF(SUMSQ('TS-PILE'!$D$72:$D$91)=0,0,'TO HOP NLAN'!F256*'TS-PILE'!$D$80/SUMSQ('TS-PILE'!$D$72:$D$91))),IF('TS-PILE'!$B$81="",-1E+99,'TO HOP NLAN'!D256/ncoc+IF(SUMSQ('TS-PILE'!$E$72:$E$91)=0,0,'TO HOP NLAN'!E256*'TS-PILE'!$E$81/SUMSQ('TS-PILE'!$E$72:$E$91))+IF(SUMSQ('TS-PILE'!$D$72:$D$91)=0,0,'TO HOP NLAN'!F256*'TS-PILE'!$D$81/SUMSQ('TS-PILE'!$D$72:$D$91))),IF('TS-PILE'!$B$82="",-1E+99,'TO HOP NLAN'!D256/ncoc+IF(SUMSQ('TS-PILE'!$E$72:$E$91)=0,0,'TO HOP NLAN'!E256*'TS-PILE'!$E$82/SUMSQ('TS-PILE'!$E$72:$E$91))+IF(SUMSQ('TS-PILE'!$D$72:$D$91)=0,0,'TO HOP NLAN'!F256*'TS-PILE'!$D$82/SUMSQ('TS-PILE'!$D$72:$D$91))),IF('TS-PILE'!$B$83="",-1E+99,'TO HOP NLAN'!D256/ncoc+IF(SUMSQ('TS-PILE'!$E$72:$E$91)=0,0,'TO HOP NLAN'!E256*'TS-PILE'!$E$83/SUMSQ('TS-PILE'!$E$72:$E$91))+IF(SUMSQ('TS-PILE'!$D$72:$D$91)=0,0,'TO HOP NLAN'!F256*'TS-PILE'!$D$83/SUMSQ('TS-PILE'!$D$72:$D$91))),IF('TS-PILE'!$B$84="",-1E+99,'TO HOP NLAN'!D256/ncoc+IF(SUMSQ('TS-PILE'!$E$72:$E$91)=0,0,'TO HOP NLAN'!E256*'TS-PILE'!$E$84/SUMSQ('TS-PILE'!$E$72:$E$91))+IF(SUMSQ('TS-PILE'!$D$72:$D$91)=0,0,'TO HOP NLAN'!F256*'TS-PILE'!$D$84/SUMSQ('TS-PILE'!$D$72:$D$91))),IF('TS-PILE'!$B$85="",-1E+99,'TO HOP NLAN'!D256/ncoc+IF(SUMSQ('TS-PILE'!$E$72:$E$91)=0,0,'TO HOP NLAN'!E256*'TS-PILE'!$E$85/SUMSQ('TS-PILE'!$E$72:$E$91))+IF(SUMSQ('TS-PILE'!$D$72:$D$91)=0,0,'TO HOP NLAN'!F256*'TS-PILE'!$D$85/SUMSQ('TS-PILE'!$D$72:$D$91))),IF('TS-PILE'!$B$86="",-1E+99,'TO HOP NLAN'!D256/ncoc+IF(SUMSQ('TS-PILE'!$E$72:$E$91)=0,0,'TO HOP NLAN'!E256*'TS-PILE'!$E$86/SUMSQ('TS-PILE'!$E$72:$E$91))+IF(SUMSQ('TS-PILE'!$D$72:$D$91)=0,0,'TO HOP NLAN'!F256*'TS-PILE'!$D$86/SUMSQ('TS-PILE'!$D$72:$D$91))),IF('TS-PILE'!$B$87="",-1E+99,'TO HOP NLAN'!D256/ncoc+IF(SUMSQ('TS-PILE'!$E$72:$E$91)=0,0,'TO HOP NLAN'!E256*'TS-PILE'!$E$87/SUMSQ('TS-PILE'!$E$72:$E$91))+IF(SUMSQ('TS-PILE'!$D$72:$D$91)=0,0,'TO HOP NLAN'!F256*'TS-PILE'!$D$87/SUMSQ('TS-PILE'!$D$72:$D$91))),IF('TS-PILE'!$B$88="",-1E+99,'TO HOP NLAN'!D256/ncoc+IF(SUMSQ('TS-PILE'!$E$72:$E$91)=0,0,'TO HOP NLAN'!E256*'TS-PILE'!$E$88/SUMSQ('TS-PILE'!$E$72:$E$91))+IF(SUMSQ('TS-PILE'!$D$72:$D$91)=0,0,'TO HOP NLAN'!F256*'TS-PILE'!$D$88/SUMSQ('TS-PILE'!$D$72:$D$91))),IF('TS-PILE'!$B$89="",-1E+99,'TO HOP NLAN'!D256/ncoc+IF(SUMSQ('TS-PILE'!$E$72:$E$91)=0,0,'TO HOP NLAN'!E256*'TS-PILE'!$E$89/SUMSQ('TS-PILE'!$E$72:$E$91))+IF(SUMSQ('TS-PILE'!$D$72:$D$91)=0,0,'TO HOP NLAN'!F256*'TS-PILE'!$D$89/SUMSQ('TS-PILE'!$D$72:$D$91))),IF('TS-PILE'!$B$90="",-1E+99,'TO HOP NLAN'!D256/ncoc+IF(SUMSQ('TS-PILE'!$E$72:$E$91)=0,0,'TO HOP NLAN'!E256*'TS-PILE'!$E$90/SUMSQ('TS-PILE'!$E$72:$E$91))+IF(SUMSQ('TS-PILE'!$D$72:$D$91)=0,0,'TO HOP NLAN'!F256*'TS-PILE'!$D$90/SUMSQ('TS-PILE'!$D$72:$D$91))),IF('TS-PILE'!$B$91="",-1E+99,'TO HOP NLAN'!D256/ncoc+IF(SUMSQ('TS-PILE'!$E$72:$E$91)=0,0,'TO HOP NLAN'!E256*'TS-PILE'!$E$91/SUMSQ('TS-PILE'!$E$72:$E$91))+IF(SUMSQ('TS-PILE'!$D$72:$D$91)=0,0,'TO HOP NLAN'!F256*'TS-PILE'!$D$91/SUMSQ('TS-PILE'!$D$72:$D$91)))))</f>
        <v>0</v>
      </c>
      <c r="D256" s="58">
        <f>IF(A256="",0,MIN(IF('TS-PILE'!$B$72="",1E+99,'TO HOP NLAN'!D256/ncoc+IF(SUMSQ('TS-PILE'!$E$72:$E$91)=0,0,'TO HOP NLAN'!E256*'TS-PILE'!$E$72/SUMSQ('TS-PILE'!$E$72:$E$91))+IF(SUMSQ('TS-PILE'!$D$72:$D$91)=0,0,'TO HOP NLAN'!F256*'TS-PILE'!$D$72/SUMSQ('TS-PILE'!$D$72:$D$91))),IF('TS-PILE'!$B$73="",1E+99,'TO HOP NLAN'!D256/ncoc+IF(SUMSQ('TS-PILE'!$E$72:$E$91)=0,0,'TO HOP NLAN'!E256*'TS-PILE'!$E$73/SUMSQ('TS-PILE'!$E$72:$E$91))+IF(SUMSQ('TS-PILE'!$D$72:$D$91)=0,0,'TO HOP NLAN'!F256*'TS-PILE'!$D$73/SUMSQ('TS-PILE'!$D$72:$D$91))),IF('TS-PILE'!$B$74="",1E+99,'TO HOP NLAN'!D256/ncoc+IF(SUMSQ('TS-PILE'!$E$72:$E$91)=0,0,'TO HOP NLAN'!E256*'TS-PILE'!$E$74/SUMSQ('TS-PILE'!$E$72:$E$91))+IF(SUMSQ('TS-PILE'!$D$72:$D$91)=0,0,'TO HOP NLAN'!F256*'TS-PILE'!$D$74/SUMSQ('TS-PILE'!$D$72:$D$91))),IF('TS-PILE'!$B$75="",1E+99,'TO HOP NLAN'!D256/ncoc+IF(SUMSQ('TS-PILE'!$E$72:$E$91)=0,0,'TO HOP NLAN'!E256*'TS-PILE'!$E$75/SUMSQ('TS-PILE'!$E$72:$E$91))+IF(SUMSQ('TS-PILE'!$D$72:$D$91)=0,0,'TO HOP NLAN'!F256*'TS-PILE'!$D$75/SUMSQ('TS-PILE'!$D$72:$D$91))),IF('TS-PILE'!$B$76="",1E+99,'TO HOP NLAN'!D256/ncoc+IF(SUMSQ('TS-PILE'!$E$72:$E$91)=0,0,'TO HOP NLAN'!E256*'TS-PILE'!$E$76/SUMSQ('TS-PILE'!$E$72:$E$91))+IF(SUMSQ('TS-PILE'!$D$72:$D$91)=0,0,'TO HOP NLAN'!F256*'TS-PILE'!$D$76/SUMSQ('TS-PILE'!$D$72:$D$91))),IF('TS-PILE'!$B$77="",1E+99,'TO HOP NLAN'!D256/ncoc+IF(SUMSQ('TS-PILE'!$E$72:$E$91)=0,0,'TO HOP NLAN'!E256*'TS-PILE'!$E$77/SUMSQ('TS-PILE'!$E$72:$E$91))+IF(SUMSQ('TS-PILE'!$D$72:$D$91)=0,0,'TO HOP NLAN'!F256*'TS-PILE'!$D$77/SUMSQ('TS-PILE'!$D$72:$D$91))),IF('TS-PILE'!$B$78="",1E+99,'TO HOP NLAN'!D256/ncoc+IF(SUMSQ('TS-PILE'!$E$72:$E$91)=0,0,'TO HOP NLAN'!E256*'TS-PILE'!$E$78/SUMSQ('TS-PILE'!$E$72:$E$91))+IF(SUMSQ('TS-PILE'!$D$72:$D$91)=0,0,'TO HOP NLAN'!F256*'TS-PILE'!$D$78/SUMSQ('TS-PILE'!$D$72:$D$91))),IF('TS-PILE'!$B$79="",1E+99,'TO HOP NLAN'!D256/ncoc+IF(SUMSQ('TS-PILE'!$E$72:$E$91)=0,0,'TO HOP NLAN'!E256*'TS-PILE'!$E$79/SUMSQ('TS-PILE'!$E$72:$E$91))+IF(SUMSQ('TS-PILE'!$D$72:$D$91)=0,0,'TO HOP NLAN'!F256*'TS-PILE'!$D$79/SUMSQ('TS-PILE'!$D$72:$D$91))),IF('TS-PILE'!$B$80="",1E+99,'TO HOP NLAN'!D256/ncoc+IF(SUMSQ('TS-PILE'!$E$72:$E$91)=0,0,'TO HOP NLAN'!E256*'TS-PILE'!$E$80/SUMSQ('TS-PILE'!$E$72:$E$91))+IF(SUMSQ('TS-PILE'!$D$72:$D$91)=0,0,'TO HOP NLAN'!F256*'TS-PILE'!$D$80/SUMSQ('TS-PILE'!$D$72:$D$91))),IF('TS-PILE'!$B$81="",1E+99,'TO HOP NLAN'!D256/ncoc+IF(SUMSQ('TS-PILE'!$E$72:$E$91)=0,0,'TO HOP NLAN'!E256*'TS-PILE'!$E$81/SUMSQ('TS-PILE'!$E$72:$E$91))+IF(SUMSQ('TS-PILE'!$D$72:$D$91)=0,0,'TO HOP NLAN'!F256*'TS-PILE'!$D$81/SUMSQ('TS-PILE'!$D$72:$D$91))),IF('TS-PILE'!$B$82="",1E+99,'TO HOP NLAN'!D256/ncoc+IF(SUMSQ('TS-PILE'!$E$72:$E$91)=0,0,'TO HOP NLAN'!E256*'TS-PILE'!$E$82/SUMSQ('TS-PILE'!$E$72:$E$91))+IF(SUMSQ('TS-PILE'!$D$72:$D$91)=0,0,'TO HOP NLAN'!F256*'TS-PILE'!$D$82/SUMSQ('TS-PILE'!$D$72:$D$91))),IF('TS-PILE'!$B$83="",1E+99,'TO HOP NLAN'!D256/ncoc+IF(SUMSQ('TS-PILE'!$E$72:$E$91)=0,0,'TO HOP NLAN'!E256*'TS-PILE'!$E$83/SUMSQ('TS-PILE'!$E$72:$E$91))+IF(SUMSQ('TS-PILE'!$D$72:$D$91)=0,0,'TO HOP NLAN'!F256*'TS-PILE'!$D$83/SUMSQ('TS-PILE'!$D$72:$D$91))),IF('TS-PILE'!$B$84="",1E+99,'TO HOP NLAN'!D256/ncoc+IF(SUMSQ('TS-PILE'!$E$72:$E$91)=0,0,'TO HOP NLAN'!E256*'TS-PILE'!$E$84/SUMSQ('TS-PILE'!$E$72:$E$91))+IF(SUMSQ('TS-PILE'!$D$72:$D$91)=0,0,'TO HOP NLAN'!F256*'TS-PILE'!$D$84/SUMSQ('TS-PILE'!$D$72:$D$91))),IF('TS-PILE'!$B$85="",1E+99,'TO HOP NLAN'!D256/ncoc+IF(SUMSQ('TS-PILE'!$E$72:$E$91)=0,0,'TO HOP NLAN'!E256*'TS-PILE'!$E$85/SUMSQ('TS-PILE'!$E$72:$E$91))+IF(SUMSQ('TS-PILE'!$D$72:$D$91)=0,0,'TO HOP NLAN'!F256*'TS-PILE'!$D$85/SUMSQ('TS-PILE'!$D$72:$D$91))),IF('TS-PILE'!$B$86="",1E+99,'TO HOP NLAN'!D256/ncoc+IF(SUMSQ('TS-PILE'!$E$72:$E$91)=0,0,'TO HOP NLAN'!E256*'TS-PILE'!$E$86/SUMSQ('TS-PILE'!$E$72:$E$91))+IF(SUMSQ('TS-PILE'!$D$72:$D$91)=0,0,'TO HOP NLAN'!F256*'TS-PILE'!$D$86/SUMSQ('TS-PILE'!$D$72:$D$91))),IF('TS-PILE'!$B$87="",1E+99,'TO HOP NLAN'!D256/ncoc+IF(SUMSQ('TS-PILE'!$E$72:$E$91)=0,0,'TO HOP NLAN'!E256*'TS-PILE'!$E$87/SUMSQ('TS-PILE'!$E$72:$E$91))+IF(SUMSQ('TS-PILE'!$D$72:$D$91)=0,0,'TO HOP NLAN'!F256*'TS-PILE'!$D$87/SUMSQ('TS-PILE'!$D$72:$D$91))),IF('TS-PILE'!$B$88="",1E+99,'TO HOP NLAN'!D256/ncoc+IF(SUMSQ('TS-PILE'!$E$72:$E$91)=0,0,'TO HOP NLAN'!E256*'TS-PILE'!$E$88/SUMSQ('TS-PILE'!$E$72:$E$91))+IF(SUMSQ('TS-PILE'!$D$72:$D$91)=0,0,'TO HOP NLAN'!F256*'TS-PILE'!$D$88/SUMSQ('TS-PILE'!$D$72:$D$91))),IF('TS-PILE'!$B$89="",1E+99,'TO HOP NLAN'!D256/ncoc+IF(SUMSQ('TS-PILE'!$E$72:$E$91)=0,0,'TO HOP NLAN'!E256*'TS-PILE'!$E$89/SUMSQ('TS-PILE'!$E$72:$E$91))+IF(SUMSQ('TS-PILE'!$D$72:$D$91)=0,0,'TO HOP NLAN'!F256*'TS-PILE'!$D$89/SUMSQ('TS-PILE'!$D$72:$D$91))),IF('TS-PILE'!$B$90="",1E+99,'TO HOP NLAN'!D256/ncoc+IF(SUMSQ('TS-PILE'!$E$72:$E$91)=0,0,'TO HOP NLAN'!E256*'TS-PILE'!$E$90/SUMSQ('TS-PILE'!$E$72:$E$91))+IF(SUMSQ('TS-PILE'!$D$72:$D$91)=0,0,'TO HOP NLAN'!F256*'TS-PILE'!$D$90/SUMSQ('TS-PILE'!$D$72:$D$91))),IF('TS-PILE'!$B$91="",1E+99,'TO HOP NLAN'!D256/ncoc+IF(SUMSQ('TS-PILE'!$E$72:$E$91)=0,0,'TO HOP NLAN'!E256*'TS-PILE'!$E$91/SUMSQ('TS-PILE'!$E$72:$E$91))+IF(SUMSQ('TS-PILE'!$D$72:$D$91)=0,0,'TO HOP NLAN'!F256*'TS-PILE'!$D$91/SUMSQ('TS-PILE'!$D$72:$D$91)))))</f>
        <v>0</v>
      </c>
      <c r="E256" s="58">
        <f t="shared" si="12"/>
        <v>-9.9999999999999997E+98</v>
      </c>
      <c r="F256" s="58">
        <f t="shared" si="13"/>
        <v>9.9999999999999997E+98</v>
      </c>
      <c r="G256" s="58">
        <f t="shared" si="14"/>
        <v>-9.9999999999999997E+98</v>
      </c>
      <c r="H256" s="58">
        <f t="shared" si="15"/>
        <v>9.9999999999999997E+98</v>
      </c>
    </row>
    <row r="257" spans="1:8" x14ac:dyDescent="0.3">
      <c r="A257" s="42" t="str">
        <f>'TO HOP NLAN'!A257</f>
        <v/>
      </c>
      <c r="B257" s="42" t="str">
        <f>'TO HOP NLAN'!L257</f>
        <v>STRENGTH</v>
      </c>
      <c r="C257" s="58">
        <f>IF(A257="",0,MAX(IF('TS-PILE'!$B$72="",-1E+99,'TO HOP NLAN'!D257/ncoc+IF(SUMSQ('TS-PILE'!$E$72:$E$91)=0,0,'TO HOP NLAN'!E257*'TS-PILE'!$E$72/SUMSQ('TS-PILE'!$E$72:$E$91))+IF(SUMSQ('TS-PILE'!$D$72:$D$91)=0,0,'TO HOP NLAN'!F257*'TS-PILE'!$D$72/SUMSQ('TS-PILE'!$D$72:$D$91))),IF('TS-PILE'!$B$73="",-1E+99,'TO HOP NLAN'!D257/ncoc+IF(SUMSQ('TS-PILE'!$E$72:$E$91)=0,0,'TO HOP NLAN'!E257*'TS-PILE'!$E$73/SUMSQ('TS-PILE'!$E$72:$E$91))+IF(SUMSQ('TS-PILE'!$D$72:$D$91)=0,0,'TO HOP NLAN'!F257*'TS-PILE'!$D$73/SUMSQ('TS-PILE'!$D$72:$D$91))),IF('TS-PILE'!$B$74="",-1E+99,'TO HOP NLAN'!D257/ncoc+IF(SUMSQ('TS-PILE'!$E$72:$E$91)=0,0,'TO HOP NLAN'!E257*'TS-PILE'!$E$74/SUMSQ('TS-PILE'!$E$72:$E$91))+IF(SUMSQ('TS-PILE'!$D$72:$D$91)=0,0,'TO HOP NLAN'!F257*'TS-PILE'!$D$74/SUMSQ('TS-PILE'!$D$72:$D$91))),IF('TS-PILE'!$B$75="",-1E+99,'TO HOP NLAN'!D257/ncoc+IF(SUMSQ('TS-PILE'!$E$72:$E$91)=0,0,'TO HOP NLAN'!E257*'TS-PILE'!$E$75/SUMSQ('TS-PILE'!$E$72:$E$91))+IF(SUMSQ('TS-PILE'!$D$72:$D$91)=0,0,'TO HOP NLAN'!F257*'TS-PILE'!$D$75/SUMSQ('TS-PILE'!$D$72:$D$91))),IF('TS-PILE'!$B$76="",-1E+99,'TO HOP NLAN'!D257/ncoc+IF(SUMSQ('TS-PILE'!$E$72:$E$91)=0,0,'TO HOP NLAN'!E257*'TS-PILE'!$E$76/SUMSQ('TS-PILE'!$E$72:$E$91))+IF(SUMSQ('TS-PILE'!$D$72:$D$91)=0,0,'TO HOP NLAN'!F257*'TS-PILE'!$D$76/SUMSQ('TS-PILE'!$D$72:$D$91))),IF('TS-PILE'!$B$77="",-1E+99,'TO HOP NLAN'!D257/ncoc+IF(SUMSQ('TS-PILE'!$E$72:$E$91)=0,0,'TO HOP NLAN'!E257*'TS-PILE'!$E$77/SUMSQ('TS-PILE'!$E$72:$E$91))+IF(SUMSQ('TS-PILE'!$D$72:$D$91)=0,0,'TO HOP NLAN'!F257*'TS-PILE'!$D$77/SUMSQ('TS-PILE'!$D$72:$D$91))),IF('TS-PILE'!$B$78="",-1E+99,'TO HOP NLAN'!D257/ncoc+IF(SUMSQ('TS-PILE'!$E$72:$E$91)=0,0,'TO HOP NLAN'!E257*'TS-PILE'!$E$78/SUMSQ('TS-PILE'!$E$72:$E$91))+IF(SUMSQ('TS-PILE'!$D$72:$D$91)=0,0,'TO HOP NLAN'!F257*'TS-PILE'!$D$78/SUMSQ('TS-PILE'!$D$72:$D$91))),IF('TS-PILE'!$B$79="",-1E+99,'TO HOP NLAN'!D257/ncoc+IF(SUMSQ('TS-PILE'!$E$72:$E$91)=0,0,'TO HOP NLAN'!E257*'TS-PILE'!$E$79/SUMSQ('TS-PILE'!$E$72:$E$91))+IF(SUMSQ('TS-PILE'!$D$72:$D$91)=0,0,'TO HOP NLAN'!F257*'TS-PILE'!$D$79/SUMSQ('TS-PILE'!$D$72:$D$91))),IF('TS-PILE'!$B$80="",-1E+99,'TO HOP NLAN'!D257/ncoc+IF(SUMSQ('TS-PILE'!$E$72:$E$91)=0,0,'TO HOP NLAN'!E257*'TS-PILE'!$E$80/SUMSQ('TS-PILE'!$E$72:$E$91))+IF(SUMSQ('TS-PILE'!$D$72:$D$91)=0,0,'TO HOP NLAN'!F257*'TS-PILE'!$D$80/SUMSQ('TS-PILE'!$D$72:$D$91))),IF('TS-PILE'!$B$81="",-1E+99,'TO HOP NLAN'!D257/ncoc+IF(SUMSQ('TS-PILE'!$E$72:$E$91)=0,0,'TO HOP NLAN'!E257*'TS-PILE'!$E$81/SUMSQ('TS-PILE'!$E$72:$E$91))+IF(SUMSQ('TS-PILE'!$D$72:$D$91)=0,0,'TO HOP NLAN'!F257*'TS-PILE'!$D$81/SUMSQ('TS-PILE'!$D$72:$D$91))),IF('TS-PILE'!$B$82="",-1E+99,'TO HOP NLAN'!D257/ncoc+IF(SUMSQ('TS-PILE'!$E$72:$E$91)=0,0,'TO HOP NLAN'!E257*'TS-PILE'!$E$82/SUMSQ('TS-PILE'!$E$72:$E$91))+IF(SUMSQ('TS-PILE'!$D$72:$D$91)=0,0,'TO HOP NLAN'!F257*'TS-PILE'!$D$82/SUMSQ('TS-PILE'!$D$72:$D$91))),IF('TS-PILE'!$B$83="",-1E+99,'TO HOP NLAN'!D257/ncoc+IF(SUMSQ('TS-PILE'!$E$72:$E$91)=0,0,'TO HOP NLAN'!E257*'TS-PILE'!$E$83/SUMSQ('TS-PILE'!$E$72:$E$91))+IF(SUMSQ('TS-PILE'!$D$72:$D$91)=0,0,'TO HOP NLAN'!F257*'TS-PILE'!$D$83/SUMSQ('TS-PILE'!$D$72:$D$91))),IF('TS-PILE'!$B$84="",-1E+99,'TO HOP NLAN'!D257/ncoc+IF(SUMSQ('TS-PILE'!$E$72:$E$91)=0,0,'TO HOP NLAN'!E257*'TS-PILE'!$E$84/SUMSQ('TS-PILE'!$E$72:$E$91))+IF(SUMSQ('TS-PILE'!$D$72:$D$91)=0,0,'TO HOP NLAN'!F257*'TS-PILE'!$D$84/SUMSQ('TS-PILE'!$D$72:$D$91))),IF('TS-PILE'!$B$85="",-1E+99,'TO HOP NLAN'!D257/ncoc+IF(SUMSQ('TS-PILE'!$E$72:$E$91)=0,0,'TO HOP NLAN'!E257*'TS-PILE'!$E$85/SUMSQ('TS-PILE'!$E$72:$E$91))+IF(SUMSQ('TS-PILE'!$D$72:$D$91)=0,0,'TO HOP NLAN'!F257*'TS-PILE'!$D$85/SUMSQ('TS-PILE'!$D$72:$D$91))),IF('TS-PILE'!$B$86="",-1E+99,'TO HOP NLAN'!D257/ncoc+IF(SUMSQ('TS-PILE'!$E$72:$E$91)=0,0,'TO HOP NLAN'!E257*'TS-PILE'!$E$86/SUMSQ('TS-PILE'!$E$72:$E$91))+IF(SUMSQ('TS-PILE'!$D$72:$D$91)=0,0,'TO HOP NLAN'!F257*'TS-PILE'!$D$86/SUMSQ('TS-PILE'!$D$72:$D$91))),IF('TS-PILE'!$B$87="",-1E+99,'TO HOP NLAN'!D257/ncoc+IF(SUMSQ('TS-PILE'!$E$72:$E$91)=0,0,'TO HOP NLAN'!E257*'TS-PILE'!$E$87/SUMSQ('TS-PILE'!$E$72:$E$91))+IF(SUMSQ('TS-PILE'!$D$72:$D$91)=0,0,'TO HOP NLAN'!F257*'TS-PILE'!$D$87/SUMSQ('TS-PILE'!$D$72:$D$91))),IF('TS-PILE'!$B$88="",-1E+99,'TO HOP NLAN'!D257/ncoc+IF(SUMSQ('TS-PILE'!$E$72:$E$91)=0,0,'TO HOP NLAN'!E257*'TS-PILE'!$E$88/SUMSQ('TS-PILE'!$E$72:$E$91))+IF(SUMSQ('TS-PILE'!$D$72:$D$91)=0,0,'TO HOP NLAN'!F257*'TS-PILE'!$D$88/SUMSQ('TS-PILE'!$D$72:$D$91))),IF('TS-PILE'!$B$89="",-1E+99,'TO HOP NLAN'!D257/ncoc+IF(SUMSQ('TS-PILE'!$E$72:$E$91)=0,0,'TO HOP NLAN'!E257*'TS-PILE'!$E$89/SUMSQ('TS-PILE'!$E$72:$E$91))+IF(SUMSQ('TS-PILE'!$D$72:$D$91)=0,0,'TO HOP NLAN'!F257*'TS-PILE'!$D$89/SUMSQ('TS-PILE'!$D$72:$D$91))),IF('TS-PILE'!$B$90="",-1E+99,'TO HOP NLAN'!D257/ncoc+IF(SUMSQ('TS-PILE'!$E$72:$E$91)=0,0,'TO HOP NLAN'!E257*'TS-PILE'!$E$90/SUMSQ('TS-PILE'!$E$72:$E$91))+IF(SUMSQ('TS-PILE'!$D$72:$D$91)=0,0,'TO HOP NLAN'!F257*'TS-PILE'!$D$90/SUMSQ('TS-PILE'!$D$72:$D$91))),IF('TS-PILE'!$B$91="",-1E+99,'TO HOP NLAN'!D257/ncoc+IF(SUMSQ('TS-PILE'!$E$72:$E$91)=0,0,'TO HOP NLAN'!E257*'TS-PILE'!$E$91/SUMSQ('TS-PILE'!$E$72:$E$91))+IF(SUMSQ('TS-PILE'!$D$72:$D$91)=0,0,'TO HOP NLAN'!F257*'TS-PILE'!$D$91/SUMSQ('TS-PILE'!$D$72:$D$91)))))</f>
        <v>0</v>
      </c>
      <c r="D257" s="58">
        <f>IF(A257="",0,MIN(IF('TS-PILE'!$B$72="",1E+99,'TO HOP NLAN'!D257/ncoc+IF(SUMSQ('TS-PILE'!$E$72:$E$91)=0,0,'TO HOP NLAN'!E257*'TS-PILE'!$E$72/SUMSQ('TS-PILE'!$E$72:$E$91))+IF(SUMSQ('TS-PILE'!$D$72:$D$91)=0,0,'TO HOP NLAN'!F257*'TS-PILE'!$D$72/SUMSQ('TS-PILE'!$D$72:$D$91))),IF('TS-PILE'!$B$73="",1E+99,'TO HOP NLAN'!D257/ncoc+IF(SUMSQ('TS-PILE'!$E$72:$E$91)=0,0,'TO HOP NLAN'!E257*'TS-PILE'!$E$73/SUMSQ('TS-PILE'!$E$72:$E$91))+IF(SUMSQ('TS-PILE'!$D$72:$D$91)=0,0,'TO HOP NLAN'!F257*'TS-PILE'!$D$73/SUMSQ('TS-PILE'!$D$72:$D$91))),IF('TS-PILE'!$B$74="",1E+99,'TO HOP NLAN'!D257/ncoc+IF(SUMSQ('TS-PILE'!$E$72:$E$91)=0,0,'TO HOP NLAN'!E257*'TS-PILE'!$E$74/SUMSQ('TS-PILE'!$E$72:$E$91))+IF(SUMSQ('TS-PILE'!$D$72:$D$91)=0,0,'TO HOP NLAN'!F257*'TS-PILE'!$D$74/SUMSQ('TS-PILE'!$D$72:$D$91))),IF('TS-PILE'!$B$75="",1E+99,'TO HOP NLAN'!D257/ncoc+IF(SUMSQ('TS-PILE'!$E$72:$E$91)=0,0,'TO HOP NLAN'!E257*'TS-PILE'!$E$75/SUMSQ('TS-PILE'!$E$72:$E$91))+IF(SUMSQ('TS-PILE'!$D$72:$D$91)=0,0,'TO HOP NLAN'!F257*'TS-PILE'!$D$75/SUMSQ('TS-PILE'!$D$72:$D$91))),IF('TS-PILE'!$B$76="",1E+99,'TO HOP NLAN'!D257/ncoc+IF(SUMSQ('TS-PILE'!$E$72:$E$91)=0,0,'TO HOP NLAN'!E257*'TS-PILE'!$E$76/SUMSQ('TS-PILE'!$E$72:$E$91))+IF(SUMSQ('TS-PILE'!$D$72:$D$91)=0,0,'TO HOP NLAN'!F257*'TS-PILE'!$D$76/SUMSQ('TS-PILE'!$D$72:$D$91))),IF('TS-PILE'!$B$77="",1E+99,'TO HOP NLAN'!D257/ncoc+IF(SUMSQ('TS-PILE'!$E$72:$E$91)=0,0,'TO HOP NLAN'!E257*'TS-PILE'!$E$77/SUMSQ('TS-PILE'!$E$72:$E$91))+IF(SUMSQ('TS-PILE'!$D$72:$D$91)=0,0,'TO HOP NLAN'!F257*'TS-PILE'!$D$77/SUMSQ('TS-PILE'!$D$72:$D$91))),IF('TS-PILE'!$B$78="",1E+99,'TO HOP NLAN'!D257/ncoc+IF(SUMSQ('TS-PILE'!$E$72:$E$91)=0,0,'TO HOP NLAN'!E257*'TS-PILE'!$E$78/SUMSQ('TS-PILE'!$E$72:$E$91))+IF(SUMSQ('TS-PILE'!$D$72:$D$91)=0,0,'TO HOP NLAN'!F257*'TS-PILE'!$D$78/SUMSQ('TS-PILE'!$D$72:$D$91))),IF('TS-PILE'!$B$79="",1E+99,'TO HOP NLAN'!D257/ncoc+IF(SUMSQ('TS-PILE'!$E$72:$E$91)=0,0,'TO HOP NLAN'!E257*'TS-PILE'!$E$79/SUMSQ('TS-PILE'!$E$72:$E$91))+IF(SUMSQ('TS-PILE'!$D$72:$D$91)=0,0,'TO HOP NLAN'!F257*'TS-PILE'!$D$79/SUMSQ('TS-PILE'!$D$72:$D$91))),IF('TS-PILE'!$B$80="",1E+99,'TO HOP NLAN'!D257/ncoc+IF(SUMSQ('TS-PILE'!$E$72:$E$91)=0,0,'TO HOP NLAN'!E257*'TS-PILE'!$E$80/SUMSQ('TS-PILE'!$E$72:$E$91))+IF(SUMSQ('TS-PILE'!$D$72:$D$91)=0,0,'TO HOP NLAN'!F257*'TS-PILE'!$D$80/SUMSQ('TS-PILE'!$D$72:$D$91))),IF('TS-PILE'!$B$81="",1E+99,'TO HOP NLAN'!D257/ncoc+IF(SUMSQ('TS-PILE'!$E$72:$E$91)=0,0,'TO HOP NLAN'!E257*'TS-PILE'!$E$81/SUMSQ('TS-PILE'!$E$72:$E$91))+IF(SUMSQ('TS-PILE'!$D$72:$D$91)=0,0,'TO HOP NLAN'!F257*'TS-PILE'!$D$81/SUMSQ('TS-PILE'!$D$72:$D$91))),IF('TS-PILE'!$B$82="",1E+99,'TO HOP NLAN'!D257/ncoc+IF(SUMSQ('TS-PILE'!$E$72:$E$91)=0,0,'TO HOP NLAN'!E257*'TS-PILE'!$E$82/SUMSQ('TS-PILE'!$E$72:$E$91))+IF(SUMSQ('TS-PILE'!$D$72:$D$91)=0,0,'TO HOP NLAN'!F257*'TS-PILE'!$D$82/SUMSQ('TS-PILE'!$D$72:$D$91))),IF('TS-PILE'!$B$83="",1E+99,'TO HOP NLAN'!D257/ncoc+IF(SUMSQ('TS-PILE'!$E$72:$E$91)=0,0,'TO HOP NLAN'!E257*'TS-PILE'!$E$83/SUMSQ('TS-PILE'!$E$72:$E$91))+IF(SUMSQ('TS-PILE'!$D$72:$D$91)=0,0,'TO HOP NLAN'!F257*'TS-PILE'!$D$83/SUMSQ('TS-PILE'!$D$72:$D$91))),IF('TS-PILE'!$B$84="",1E+99,'TO HOP NLAN'!D257/ncoc+IF(SUMSQ('TS-PILE'!$E$72:$E$91)=0,0,'TO HOP NLAN'!E257*'TS-PILE'!$E$84/SUMSQ('TS-PILE'!$E$72:$E$91))+IF(SUMSQ('TS-PILE'!$D$72:$D$91)=0,0,'TO HOP NLAN'!F257*'TS-PILE'!$D$84/SUMSQ('TS-PILE'!$D$72:$D$91))),IF('TS-PILE'!$B$85="",1E+99,'TO HOP NLAN'!D257/ncoc+IF(SUMSQ('TS-PILE'!$E$72:$E$91)=0,0,'TO HOP NLAN'!E257*'TS-PILE'!$E$85/SUMSQ('TS-PILE'!$E$72:$E$91))+IF(SUMSQ('TS-PILE'!$D$72:$D$91)=0,0,'TO HOP NLAN'!F257*'TS-PILE'!$D$85/SUMSQ('TS-PILE'!$D$72:$D$91))),IF('TS-PILE'!$B$86="",1E+99,'TO HOP NLAN'!D257/ncoc+IF(SUMSQ('TS-PILE'!$E$72:$E$91)=0,0,'TO HOP NLAN'!E257*'TS-PILE'!$E$86/SUMSQ('TS-PILE'!$E$72:$E$91))+IF(SUMSQ('TS-PILE'!$D$72:$D$91)=0,0,'TO HOP NLAN'!F257*'TS-PILE'!$D$86/SUMSQ('TS-PILE'!$D$72:$D$91))),IF('TS-PILE'!$B$87="",1E+99,'TO HOP NLAN'!D257/ncoc+IF(SUMSQ('TS-PILE'!$E$72:$E$91)=0,0,'TO HOP NLAN'!E257*'TS-PILE'!$E$87/SUMSQ('TS-PILE'!$E$72:$E$91))+IF(SUMSQ('TS-PILE'!$D$72:$D$91)=0,0,'TO HOP NLAN'!F257*'TS-PILE'!$D$87/SUMSQ('TS-PILE'!$D$72:$D$91))),IF('TS-PILE'!$B$88="",1E+99,'TO HOP NLAN'!D257/ncoc+IF(SUMSQ('TS-PILE'!$E$72:$E$91)=0,0,'TO HOP NLAN'!E257*'TS-PILE'!$E$88/SUMSQ('TS-PILE'!$E$72:$E$91))+IF(SUMSQ('TS-PILE'!$D$72:$D$91)=0,0,'TO HOP NLAN'!F257*'TS-PILE'!$D$88/SUMSQ('TS-PILE'!$D$72:$D$91))),IF('TS-PILE'!$B$89="",1E+99,'TO HOP NLAN'!D257/ncoc+IF(SUMSQ('TS-PILE'!$E$72:$E$91)=0,0,'TO HOP NLAN'!E257*'TS-PILE'!$E$89/SUMSQ('TS-PILE'!$E$72:$E$91))+IF(SUMSQ('TS-PILE'!$D$72:$D$91)=0,0,'TO HOP NLAN'!F257*'TS-PILE'!$D$89/SUMSQ('TS-PILE'!$D$72:$D$91))),IF('TS-PILE'!$B$90="",1E+99,'TO HOP NLAN'!D257/ncoc+IF(SUMSQ('TS-PILE'!$E$72:$E$91)=0,0,'TO HOP NLAN'!E257*'TS-PILE'!$E$90/SUMSQ('TS-PILE'!$E$72:$E$91))+IF(SUMSQ('TS-PILE'!$D$72:$D$91)=0,0,'TO HOP NLAN'!F257*'TS-PILE'!$D$90/SUMSQ('TS-PILE'!$D$72:$D$91))),IF('TS-PILE'!$B$91="",1E+99,'TO HOP NLAN'!D257/ncoc+IF(SUMSQ('TS-PILE'!$E$72:$E$91)=0,0,'TO HOP NLAN'!E257*'TS-PILE'!$E$91/SUMSQ('TS-PILE'!$E$72:$E$91))+IF(SUMSQ('TS-PILE'!$D$72:$D$91)=0,0,'TO HOP NLAN'!F257*'TS-PILE'!$D$91/SUMSQ('TS-PILE'!$D$72:$D$91)))))</f>
        <v>0</v>
      </c>
      <c r="E257" s="58">
        <f t="shared" si="12"/>
        <v>-9.9999999999999997E+98</v>
      </c>
      <c r="F257" s="58">
        <f t="shared" si="13"/>
        <v>9.9999999999999997E+98</v>
      </c>
      <c r="G257" s="58">
        <f t="shared" si="14"/>
        <v>-9.9999999999999997E+98</v>
      </c>
      <c r="H257" s="58">
        <f t="shared" si="15"/>
        <v>9.9999999999999997E+98</v>
      </c>
    </row>
    <row r="258" spans="1:8" x14ac:dyDescent="0.3">
      <c r="A258" s="42" t="str">
        <f>'TO HOP NLAN'!A258</f>
        <v/>
      </c>
      <c r="B258" s="42" t="str">
        <f>'TO HOP NLAN'!L258</f>
        <v>STRENGTH</v>
      </c>
      <c r="C258" s="58">
        <f>IF(A258="",0,MAX(IF('TS-PILE'!$B$72="",-1E+99,'TO HOP NLAN'!D258/ncoc+IF(SUMSQ('TS-PILE'!$E$72:$E$91)=0,0,'TO HOP NLAN'!E258*'TS-PILE'!$E$72/SUMSQ('TS-PILE'!$E$72:$E$91))+IF(SUMSQ('TS-PILE'!$D$72:$D$91)=0,0,'TO HOP NLAN'!F258*'TS-PILE'!$D$72/SUMSQ('TS-PILE'!$D$72:$D$91))),IF('TS-PILE'!$B$73="",-1E+99,'TO HOP NLAN'!D258/ncoc+IF(SUMSQ('TS-PILE'!$E$72:$E$91)=0,0,'TO HOP NLAN'!E258*'TS-PILE'!$E$73/SUMSQ('TS-PILE'!$E$72:$E$91))+IF(SUMSQ('TS-PILE'!$D$72:$D$91)=0,0,'TO HOP NLAN'!F258*'TS-PILE'!$D$73/SUMSQ('TS-PILE'!$D$72:$D$91))),IF('TS-PILE'!$B$74="",-1E+99,'TO HOP NLAN'!D258/ncoc+IF(SUMSQ('TS-PILE'!$E$72:$E$91)=0,0,'TO HOP NLAN'!E258*'TS-PILE'!$E$74/SUMSQ('TS-PILE'!$E$72:$E$91))+IF(SUMSQ('TS-PILE'!$D$72:$D$91)=0,0,'TO HOP NLAN'!F258*'TS-PILE'!$D$74/SUMSQ('TS-PILE'!$D$72:$D$91))),IF('TS-PILE'!$B$75="",-1E+99,'TO HOP NLAN'!D258/ncoc+IF(SUMSQ('TS-PILE'!$E$72:$E$91)=0,0,'TO HOP NLAN'!E258*'TS-PILE'!$E$75/SUMSQ('TS-PILE'!$E$72:$E$91))+IF(SUMSQ('TS-PILE'!$D$72:$D$91)=0,0,'TO HOP NLAN'!F258*'TS-PILE'!$D$75/SUMSQ('TS-PILE'!$D$72:$D$91))),IF('TS-PILE'!$B$76="",-1E+99,'TO HOP NLAN'!D258/ncoc+IF(SUMSQ('TS-PILE'!$E$72:$E$91)=0,0,'TO HOP NLAN'!E258*'TS-PILE'!$E$76/SUMSQ('TS-PILE'!$E$72:$E$91))+IF(SUMSQ('TS-PILE'!$D$72:$D$91)=0,0,'TO HOP NLAN'!F258*'TS-PILE'!$D$76/SUMSQ('TS-PILE'!$D$72:$D$91))),IF('TS-PILE'!$B$77="",-1E+99,'TO HOP NLAN'!D258/ncoc+IF(SUMSQ('TS-PILE'!$E$72:$E$91)=0,0,'TO HOP NLAN'!E258*'TS-PILE'!$E$77/SUMSQ('TS-PILE'!$E$72:$E$91))+IF(SUMSQ('TS-PILE'!$D$72:$D$91)=0,0,'TO HOP NLAN'!F258*'TS-PILE'!$D$77/SUMSQ('TS-PILE'!$D$72:$D$91))),IF('TS-PILE'!$B$78="",-1E+99,'TO HOP NLAN'!D258/ncoc+IF(SUMSQ('TS-PILE'!$E$72:$E$91)=0,0,'TO HOP NLAN'!E258*'TS-PILE'!$E$78/SUMSQ('TS-PILE'!$E$72:$E$91))+IF(SUMSQ('TS-PILE'!$D$72:$D$91)=0,0,'TO HOP NLAN'!F258*'TS-PILE'!$D$78/SUMSQ('TS-PILE'!$D$72:$D$91))),IF('TS-PILE'!$B$79="",-1E+99,'TO HOP NLAN'!D258/ncoc+IF(SUMSQ('TS-PILE'!$E$72:$E$91)=0,0,'TO HOP NLAN'!E258*'TS-PILE'!$E$79/SUMSQ('TS-PILE'!$E$72:$E$91))+IF(SUMSQ('TS-PILE'!$D$72:$D$91)=0,0,'TO HOP NLAN'!F258*'TS-PILE'!$D$79/SUMSQ('TS-PILE'!$D$72:$D$91))),IF('TS-PILE'!$B$80="",-1E+99,'TO HOP NLAN'!D258/ncoc+IF(SUMSQ('TS-PILE'!$E$72:$E$91)=0,0,'TO HOP NLAN'!E258*'TS-PILE'!$E$80/SUMSQ('TS-PILE'!$E$72:$E$91))+IF(SUMSQ('TS-PILE'!$D$72:$D$91)=0,0,'TO HOP NLAN'!F258*'TS-PILE'!$D$80/SUMSQ('TS-PILE'!$D$72:$D$91))),IF('TS-PILE'!$B$81="",-1E+99,'TO HOP NLAN'!D258/ncoc+IF(SUMSQ('TS-PILE'!$E$72:$E$91)=0,0,'TO HOP NLAN'!E258*'TS-PILE'!$E$81/SUMSQ('TS-PILE'!$E$72:$E$91))+IF(SUMSQ('TS-PILE'!$D$72:$D$91)=0,0,'TO HOP NLAN'!F258*'TS-PILE'!$D$81/SUMSQ('TS-PILE'!$D$72:$D$91))),IF('TS-PILE'!$B$82="",-1E+99,'TO HOP NLAN'!D258/ncoc+IF(SUMSQ('TS-PILE'!$E$72:$E$91)=0,0,'TO HOP NLAN'!E258*'TS-PILE'!$E$82/SUMSQ('TS-PILE'!$E$72:$E$91))+IF(SUMSQ('TS-PILE'!$D$72:$D$91)=0,0,'TO HOP NLAN'!F258*'TS-PILE'!$D$82/SUMSQ('TS-PILE'!$D$72:$D$91))),IF('TS-PILE'!$B$83="",-1E+99,'TO HOP NLAN'!D258/ncoc+IF(SUMSQ('TS-PILE'!$E$72:$E$91)=0,0,'TO HOP NLAN'!E258*'TS-PILE'!$E$83/SUMSQ('TS-PILE'!$E$72:$E$91))+IF(SUMSQ('TS-PILE'!$D$72:$D$91)=0,0,'TO HOP NLAN'!F258*'TS-PILE'!$D$83/SUMSQ('TS-PILE'!$D$72:$D$91))),IF('TS-PILE'!$B$84="",-1E+99,'TO HOP NLAN'!D258/ncoc+IF(SUMSQ('TS-PILE'!$E$72:$E$91)=0,0,'TO HOP NLAN'!E258*'TS-PILE'!$E$84/SUMSQ('TS-PILE'!$E$72:$E$91))+IF(SUMSQ('TS-PILE'!$D$72:$D$91)=0,0,'TO HOP NLAN'!F258*'TS-PILE'!$D$84/SUMSQ('TS-PILE'!$D$72:$D$91))),IF('TS-PILE'!$B$85="",-1E+99,'TO HOP NLAN'!D258/ncoc+IF(SUMSQ('TS-PILE'!$E$72:$E$91)=0,0,'TO HOP NLAN'!E258*'TS-PILE'!$E$85/SUMSQ('TS-PILE'!$E$72:$E$91))+IF(SUMSQ('TS-PILE'!$D$72:$D$91)=0,0,'TO HOP NLAN'!F258*'TS-PILE'!$D$85/SUMSQ('TS-PILE'!$D$72:$D$91))),IF('TS-PILE'!$B$86="",-1E+99,'TO HOP NLAN'!D258/ncoc+IF(SUMSQ('TS-PILE'!$E$72:$E$91)=0,0,'TO HOP NLAN'!E258*'TS-PILE'!$E$86/SUMSQ('TS-PILE'!$E$72:$E$91))+IF(SUMSQ('TS-PILE'!$D$72:$D$91)=0,0,'TO HOP NLAN'!F258*'TS-PILE'!$D$86/SUMSQ('TS-PILE'!$D$72:$D$91))),IF('TS-PILE'!$B$87="",-1E+99,'TO HOP NLAN'!D258/ncoc+IF(SUMSQ('TS-PILE'!$E$72:$E$91)=0,0,'TO HOP NLAN'!E258*'TS-PILE'!$E$87/SUMSQ('TS-PILE'!$E$72:$E$91))+IF(SUMSQ('TS-PILE'!$D$72:$D$91)=0,0,'TO HOP NLAN'!F258*'TS-PILE'!$D$87/SUMSQ('TS-PILE'!$D$72:$D$91))),IF('TS-PILE'!$B$88="",-1E+99,'TO HOP NLAN'!D258/ncoc+IF(SUMSQ('TS-PILE'!$E$72:$E$91)=0,0,'TO HOP NLAN'!E258*'TS-PILE'!$E$88/SUMSQ('TS-PILE'!$E$72:$E$91))+IF(SUMSQ('TS-PILE'!$D$72:$D$91)=0,0,'TO HOP NLAN'!F258*'TS-PILE'!$D$88/SUMSQ('TS-PILE'!$D$72:$D$91))),IF('TS-PILE'!$B$89="",-1E+99,'TO HOP NLAN'!D258/ncoc+IF(SUMSQ('TS-PILE'!$E$72:$E$91)=0,0,'TO HOP NLAN'!E258*'TS-PILE'!$E$89/SUMSQ('TS-PILE'!$E$72:$E$91))+IF(SUMSQ('TS-PILE'!$D$72:$D$91)=0,0,'TO HOP NLAN'!F258*'TS-PILE'!$D$89/SUMSQ('TS-PILE'!$D$72:$D$91))),IF('TS-PILE'!$B$90="",-1E+99,'TO HOP NLAN'!D258/ncoc+IF(SUMSQ('TS-PILE'!$E$72:$E$91)=0,0,'TO HOP NLAN'!E258*'TS-PILE'!$E$90/SUMSQ('TS-PILE'!$E$72:$E$91))+IF(SUMSQ('TS-PILE'!$D$72:$D$91)=0,0,'TO HOP NLAN'!F258*'TS-PILE'!$D$90/SUMSQ('TS-PILE'!$D$72:$D$91))),IF('TS-PILE'!$B$91="",-1E+99,'TO HOP NLAN'!D258/ncoc+IF(SUMSQ('TS-PILE'!$E$72:$E$91)=0,0,'TO HOP NLAN'!E258*'TS-PILE'!$E$91/SUMSQ('TS-PILE'!$E$72:$E$91))+IF(SUMSQ('TS-PILE'!$D$72:$D$91)=0,0,'TO HOP NLAN'!F258*'TS-PILE'!$D$91/SUMSQ('TS-PILE'!$D$72:$D$91)))))</f>
        <v>0</v>
      </c>
      <c r="D258" s="58">
        <f>IF(A258="",0,MIN(IF('TS-PILE'!$B$72="",1E+99,'TO HOP NLAN'!D258/ncoc+IF(SUMSQ('TS-PILE'!$E$72:$E$91)=0,0,'TO HOP NLAN'!E258*'TS-PILE'!$E$72/SUMSQ('TS-PILE'!$E$72:$E$91))+IF(SUMSQ('TS-PILE'!$D$72:$D$91)=0,0,'TO HOP NLAN'!F258*'TS-PILE'!$D$72/SUMSQ('TS-PILE'!$D$72:$D$91))),IF('TS-PILE'!$B$73="",1E+99,'TO HOP NLAN'!D258/ncoc+IF(SUMSQ('TS-PILE'!$E$72:$E$91)=0,0,'TO HOP NLAN'!E258*'TS-PILE'!$E$73/SUMSQ('TS-PILE'!$E$72:$E$91))+IF(SUMSQ('TS-PILE'!$D$72:$D$91)=0,0,'TO HOP NLAN'!F258*'TS-PILE'!$D$73/SUMSQ('TS-PILE'!$D$72:$D$91))),IF('TS-PILE'!$B$74="",1E+99,'TO HOP NLAN'!D258/ncoc+IF(SUMSQ('TS-PILE'!$E$72:$E$91)=0,0,'TO HOP NLAN'!E258*'TS-PILE'!$E$74/SUMSQ('TS-PILE'!$E$72:$E$91))+IF(SUMSQ('TS-PILE'!$D$72:$D$91)=0,0,'TO HOP NLAN'!F258*'TS-PILE'!$D$74/SUMSQ('TS-PILE'!$D$72:$D$91))),IF('TS-PILE'!$B$75="",1E+99,'TO HOP NLAN'!D258/ncoc+IF(SUMSQ('TS-PILE'!$E$72:$E$91)=0,0,'TO HOP NLAN'!E258*'TS-PILE'!$E$75/SUMSQ('TS-PILE'!$E$72:$E$91))+IF(SUMSQ('TS-PILE'!$D$72:$D$91)=0,0,'TO HOP NLAN'!F258*'TS-PILE'!$D$75/SUMSQ('TS-PILE'!$D$72:$D$91))),IF('TS-PILE'!$B$76="",1E+99,'TO HOP NLAN'!D258/ncoc+IF(SUMSQ('TS-PILE'!$E$72:$E$91)=0,0,'TO HOP NLAN'!E258*'TS-PILE'!$E$76/SUMSQ('TS-PILE'!$E$72:$E$91))+IF(SUMSQ('TS-PILE'!$D$72:$D$91)=0,0,'TO HOP NLAN'!F258*'TS-PILE'!$D$76/SUMSQ('TS-PILE'!$D$72:$D$91))),IF('TS-PILE'!$B$77="",1E+99,'TO HOP NLAN'!D258/ncoc+IF(SUMSQ('TS-PILE'!$E$72:$E$91)=0,0,'TO HOP NLAN'!E258*'TS-PILE'!$E$77/SUMSQ('TS-PILE'!$E$72:$E$91))+IF(SUMSQ('TS-PILE'!$D$72:$D$91)=0,0,'TO HOP NLAN'!F258*'TS-PILE'!$D$77/SUMSQ('TS-PILE'!$D$72:$D$91))),IF('TS-PILE'!$B$78="",1E+99,'TO HOP NLAN'!D258/ncoc+IF(SUMSQ('TS-PILE'!$E$72:$E$91)=0,0,'TO HOP NLAN'!E258*'TS-PILE'!$E$78/SUMSQ('TS-PILE'!$E$72:$E$91))+IF(SUMSQ('TS-PILE'!$D$72:$D$91)=0,0,'TO HOP NLAN'!F258*'TS-PILE'!$D$78/SUMSQ('TS-PILE'!$D$72:$D$91))),IF('TS-PILE'!$B$79="",1E+99,'TO HOP NLAN'!D258/ncoc+IF(SUMSQ('TS-PILE'!$E$72:$E$91)=0,0,'TO HOP NLAN'!E258*'TS-PILE'!$E$79/SUMSQ('TS-PILE'!$E$72:$E$91))+IF(SUMSQ('TS-PILE'!$D$72:$D$91)=0,0,'TO HOP NLAN'!F258*'TS-PILE'!$D$79/SUMSQ('TS-PILE'!$D$72:$D$91))),IF('TS-PILE'!$B$80="",1E+99,'TO HOP NLAN'!D258/ncoc+IF(SUMSQ('TS-PILE'!$E$72:$E$91)=0,0,'TO HOP NLAN'!E258*'TS-PILE'!$E$80/SUMSQ('TS-PILE'!$E$72:$E$91))+IF(SUMSQ('TS-PILE'!$D$72:$D$91)=0,0,'TO HOP NLAN'!F258*'TS-PILE'!$D$80/SUMSQ('TS-PILE'!$D$72:$D$91))),IF('TS-PILE'!$B$81="",1E+99,'TO HOP NLAN'!D258/ncoc+IF(SUMSQ('TS-PILE'!$E$72:$E$91)=0,0,'TO HOP NLAN'!E258*'TS-PILE'!$E$81/SUMSQ('TS-PILE'!$E$72:$E$91))+IF(SUMSQ('TS-PILE'!$D$72:$D$91)=0,0,'TO HOP NLAN'!F258*'TS-PILE'!$D$81/SUMSQ('TS-PILE'!$D$72:$D$91))),IF('TS-PILE'!$B$82="",1E+99,'TO HOP NLAN'!D258/ncoc+IF(SUMSQ('TS-PILE'!$E$72:$E$91)=0,0,'TO HOP NLAN'!E258*'TS-PILE'!$E$82/SUMSQ('TS-PILE'!$E$72:$E$91))+IF(SUMSQ('TS-PILE'!$D$72:$D$91)=0,0,'TO HOP NLAN'!F258*'TS-PILE'!$D$82/SUMSQ('TS-PILE'!$D$72:$D$91))),IF('TS-PILE'!$B$83="",1E+99,'TO HOP NLAN'!D258/ncoc+IF(SUMSQ('TS-PILE'!$E$72:$E$91)=0,0,'TO HOP NLAN'!E258*'TS-PILE'!$E$83/SUMSQ('TS-PILE'!$E$72:$E$91))+IF(SUMSQ('TS-PILE'!$D$72:$D$91)=0,0,'TO HOP NLAN'!F258*'TS-PILE'!$D$83/SUMSQ('TS-PILE'!$D$72:$D$91))),IF('TS-PILE'!$B$84="",1E+99,'TO HOP NLAN'!D258/ncoc+IF(SUMSQ('TS-PILE'!$E$72:$E$91)=0,0,'TO HOP NLAN'!E258*'TS-PILE'!$E$84/SUMSQ('TS-PILE'!$E$72:$E$91))+IF(SUMSQ('TS-PILE'!$D$72:$D$91)=0,0,'TO HOP NLAN'!F258*'TS-PILE'!$D$84/SUMSQ('TS-PILE'!$D$72:$D$91))),IF('TS-PILE'!$B$85="",1E+99,'TO HOP NLAN'!D258/ncoc+IF(SUMSQ('TS-PILE'!$E$72:$E$91)=0,0,'TO HOP NLAN'!E258*'TS-PILE'!$E$85/SUMSQ('TS-PILE'!$E$72:$E$91))+IF(SUMSQ('TS-PILE'!$D$72:$D$91)=0,0,'TO HOP NLAN'!F258*'TS-PILE'!$D$85/SUMSQ('TS-PILE'!$D$72:$D$91))),IF('TS-PILE'!$B$86="",1E+99,'TO HOP NLAN'!D258/ncoc+IF(SUMSQ('TS-PILE'!$E$72:$E$91)=0,0,'TO HOP NLAN'!E258*'TS-PILE'!$E$86/SUMSQ('TS-PILE'!$E$72:$E$91))+IF(SUMSQ('TS-PILE'!$D$72:$D$91)=0,0,'TO HOP NLAN'!F258*'TS-PILE'!$D$86/SUMSQ('TS-PILE'!$D$72:$D$91))),IF('TS-PILE'!$B$87="",1E+99,'TO HOP NLAN'!D258/ncoc+IF(SUMSQ('TS-PILE'!$E$72:$E$91)=0,0,'TO HOP NLAN'!E258*'TS-PILE'!$E$87/SUMSQ('TS-PILE'!$E$72:$E$91))+IF(SUMSQ('TS-PILE'!$D$72:$D$91)=0,0,'TO HOP NLAN'!F258*'TS-PILE'!$D$87/SUMSQ('TS-PILE'!$D$72:$D$91))),IF('TS-PILE'!$B$88="",1E+99,'TO HOP NLAN'!D258/ncoc+IF(SUMSQ('TS-PILE'!$E$72:$E$91)=0,0,'TO HOP NLAN'!E258*'TS-PILE'!$E$88/SUMSQ('TS-PILE'!$E$72:$E$91))+IF(SUMSQ('TS-PILE'!$D$72:$D$91)=0,0,'TO HOP NLAN'!F258*'TS-PILE'!$D$88/SUMSQ('TS-PILE'!$D$72:$D$91))),IF('TS-PILE'!$B$89="",1E+99,'TO HOP NLAN'!D258/ncoc+IF(SUMSQ('TS-PILE'!$E$72:$E$91)=0,0,'TO HOP NLAN'!E258*'TS-PILE'!$E$89/SUMSQ('TS-PILE'!$E$72:$E$91))+IF(SUMSQ('TS-PILE'!$D$72:$D$91)=0,0,'TO HOP NLAN'!F258*'TS-PILE'!$D$89/SUMSQ('TS-PILE'!$D$72:$D$91))),IF('TS-PILE'!$B$90="",1E+99,'TO HOP NLAN'!D258/ncoc+IF(SUMSQ('TS-PILE'!$E$72:$E$91)=0,0,'TO HOP NLAN'!E258*'TS-PILE'!$E$90/SUMSQ('TS-PILE'!$E$72:$E$91))+IF(SUMSQ('TS-PILE'!$D$72:$D$91)=0,0,'TO HOP NLAN'!F258*'TS-PILE'!$D$90/SUMSQ('TS-PILE'!$D$72:$D$91))),IF('TS-PILE'!$B$91="",1E+99,'TO HOP NLAN'!D258/ncoc+IF(SUMSQ('TS-PILE'!$E$72:$E$91)=0,0,'TO HOP NLAN'!E258*'TS-PILE'!$E$91/SUMSQ('TS-PILE'!$E$72:$E$91))+IF(SUMSQ('TS-PILE'!$D$72:$D$91)=0,0,'TO HOP NLAN'!F258*'TS-PILE'!$D$91/SUMSQ('TS-PILE'!$D$72:$D$91)))))</f>
        <v>0</v>
      </c>
      <c r="E258" s="58">
        <f t="shared" si="12"/>
        <v>-9.9999999999999997E+98</v>
      </c>
      <c r="F258" s="58">
        <f t="shared" si="13"/>
        <v>9.9999999999999997E+98</v>
      </c>
      <c r="G258" s="58">
        <f t="shared" si="14"/>
        <v>-9.9999999999999997E+98</v>
      </c>
      <c r="H258" s="58">
        <f t="shared" si="15"/>
        <v>9.9999999999999997E+98</v>
      </c>
    </row>
    <row r="259" spans="1:8" x14ac:dyDescent="0.3">
      <c r="A259" s="42" t="str">
        <f>'TO HOP NLAN'!A259</f>
        <v/>
      </c>
      <c r="B259" s="42" t="str">
        <f>'TO HOP NLAN'!L259</f>
        <v>STRENGTH</v>
      </c>
      <c r="C259" s="58">
        <f>IF(A259="",0,MAX(IF('TS-PILE'!$B$72="",-1E+99,'TO HOP NLAN'!D259/ncoc+IF(SUMSQ('TS-PILE'!$E$72:$E$91)=0,0,'TO HOP NLAN'!E259*'TS-PILE'!$E$72/SUMSQ('TS-PILE'!$E$72:$E$91))+IF(SUMSQ('TS-PILE'!$D$72:$D$91)=0,0,'TO HOP NLAN'!F259*'TS-PILE'!$D$72/SUMSQ('TS-PILE'!$D$72:$D$91))),IF('TS-PILE'!$B$73="",-1E+99,'TO HOP NLAN'!D259/ncoc+IF(SUMSQ('TS-PILE'!$E$72:$E$91)=0,0,'TO HOP NLAN'!E259*'TS-PILE'!$E$73/SUMSQ('TS-PILE'!$E$72:$E$91))+IF(SUMSQ('TS-PILE'!$D$72:$D$91)=0,0,'TO HOP NLAN'!F259*'TS-PILE'!$D$73/SUMSQ('TS-PILE'!$D$72:$D$91))),IF('TS-PILE'!$B$74="",-1E+99,'TO HOP NLAN'!D259/ncoc+IF(SUMSQ('TS-PILE'!$E$72:$E$91)=0,0,'TO HOP NLAN'!E259*'TS-PILE'!$E$74/SUMSQ('TS-PILE'!$E$72:$E$91))+IF(SUMSQ('TS-PILE'!$D$72:$D$91)=0,0,'TO HOP NLAN'!F259*'TS-PILE'!$D$74/SUMSQ('TS-PILE'!$D$72:$D$91))),IF('TS-PILE'!$B$75="",-1E+99,'TO HOP NLAN'!D259/ncoc+IF(SUMSQ('TS-PILE'!$E$72:$E$91)=0,0,'TO HOP NLAN'!E259*'TS-PILE'!$E$75/SUMSQ('TS-PILE'!$E$72:$E$91))+IF(SUMSQ('TS-PILE'!$D$72:$D$91)=0,0,'TO HOP NLAN'!F259*'TS-PILE'!$D$75/SUMSQ('TS-PILE'!$D$72:$D$91))),IF('TS-PILE'!$B$76="",-1E+99,'TO HOP NLAN'!D259/ncoc+IF(SUMSQ('TS-PILE'!$E$72:$E$91)=0,0,'TO HOP NLAN'!E259*'TS-PILE'!$E$76/SUMSQ('TS-PILE'!$E$72:$E$91))+IF(SUMSQ('TS-PILE'!$D$72:$D$91)=0,0,'TO HOP NLAN'!F259*'TS-PILE'!$D$76/SUMSQ('TS-PILE'!$D$72:$D$91))),IF('TS-PILE'!$B$77="",-1E+99,'TO HOP NLAN'!D259/ncoc+IF(SUMSQ('TS-PILE'!$E$72:$E$91)=0,0,'TO HOP NLAN'!E259*'TS-PILE'!$E$77/SUMSQ('TS-PILE'!$E$72:$E$91))+IF(SUMSQ('TS-PILE'!$D$72:$D$91)=0,0,'TO HOP NLAN'!F259*'TS-PILE'!$D$77/SUMSQ('TS-PILE'!$D$72:$D$91))),IF('TS-PILE'!$B$78="",-1E+99,'TO HOP NLAN'!D259/ncoc+IF(SUMSQ('TS-PILE'!$E$72:$E$91)=0,0,'TO HOP NLAN'!E259*'TS-PILE'!$E$78/SUMSQ('TS-PILE'!$E$72:$E$91))+IF(SUMSQ('TS-PILE'!$D$72:$D$91)=0,0,'TO HOP NLAN'!F259*'TS-PILE'!$D$78/SUMSQ('TS-PILE'!$D$72:$D$91))),IF('TS-PILE'!$B$79="",-1E+99,'TO HOP NLAN'!D259/ncoc+IF(SUMSQ('TS-PILE'!$E$72:$E$91)=0,0,'TO HOP NLAN'!E259*'TS-PILE'!$E$79/SUMSQ('TS-PILE'!$E$72:$E$91))+IF(SUMSQ('TS-PILE'!$D$72:$D$91)=0,0,'TO HOP NLAN'!F259*'TS-PILE'!$D$79/SUMSQ('TS-PILE'!$D$72:$D$91))),IF('TS-PILE'!$B$80="",-1E+99,'TO HOP NLAN'!D259/ncoc+IF(SUMSQ('TS-PILE'!$E$72:$E$91)=0,0,'TO HOP NLAN'!E259*'TS-PILE'!$E$80/SUMSQ('TS-PILE'!$E$72:$E$91))+IF(SUMSQ('TS-PILE'!$D$72:$D$91)=0,0,'TO HOP NLAN'!F259*'TS-PILE'!$D$80/SUMSQ('TS-PILE'!$D$72:$D$91))),IF('TS-PILE'!$B$81="",-1E+99,'TO HOP NLAN'!D259/ncoc+IF(SUMSQ('TS-PILE'!$E$72:$E$91)=0,0,'TO HOP NLAN'!E259*'TS-PILE'!$E$81/SUMSQ('TS-PILE'!$E$72:$E$91))+IF(SUMSQ('TS-PILE'!$D$72:$D$91)=0,0,'TO HOP NLAN'!F259*'TS-PILE'!$D$81/SUMSQ('TS-PILE'!$D$72:$D$91))),IF('TS-PILE'!$B$82="",-1E+99,'TO HOP NLAN'!D259/ncoc+IF(SUMSQ('TS-PILE'!$E$72:$E$91)=0,0,'TO HOP NLAN'!E259*'TS-PILE'!$E$82/SUMSQ('TS-PILE'!$E$72:$E$91))+IF(SUMSQ('TS-PILE'!$D$72:$D$91)=0,0,'TO HOP NLAN'!F259*'TS-PILE'!$D$82/SUMSQ('TS-PILE'!$D$72:$D$91))),IF('TS-PILE'!$B$83="",-1E+99,'TO HOP NLAN'!D259/ncoc+IF(SUMSQ('TS-PILE'!$E$72:$E$91)=0,0,'TO HOP NLAN'!E259*'TS-PILE'!$E$83/SUMSQ('TS-PILE'!$E$72:$E$91))+IF(SUMSQ('TS-PILE'!$D$72:$D$91)=0,0,'TO HOP NLAN'!F259*'TS-PILE'!$D$83/SUMSQ('TS-PILE'!$D$72:$D$91))),IF('TS-PILE'!$B$84="",-1E+99,'TO HOP NLAN'!D259/ncoc+IF(SUMSQ('TS-PILE'!$E$72:$E$91)=0,0,'TO HOP NLAN'!E259*'TS-PILE'!$E$84/SUMSQ('TS-PILE'!$E$72:$E$91))+IF(SUMSQ('TS-PILE'!$D$72:$D$91)=0,0,'TO HOP NLAN'!F259*'TS-PILE'!$D$84/SUMSQ('TS-PILE'!$D$72:$D$91))),IF('TS-PILE'!$B$85="",-1E+99,'TO HOP NLAN'!D259/ncoc+IF(SUMSQ('TS-PILE'!$E$72:$E$91)=0,0,'TO HOP NLAN'!E259*'TS-PILE'!$E$85/SUMSQ('TS-PILE'!$E$72:$E$91))+IF(SUMSQ('TS-PILE'!$D$72:$D$91)=0,0,'TO HOP NLAN'!F259*'TS-PILE'!$D$85/SUMSQ('TS-PILE'!$D$72:$D$91))),IF('TS-PILE'!$B$86="",-1E+99,'TO HOP NLAN'!D259/ncoc+IF(SUMSQ('TS-PILE'!$E$72:$E$91)=0,0,'TO HOP NLAN'!E259*'TS-PILE'!$E$86/SUMSQ('TS-PILE'!$E$72:$E$91))+IF(SUMSQ('TS-PILE'!$D$72:$D$91)=0,0,'TO HOP NLAN'!F259*'TS-PILE'!$D$86/SUMSQ('TS-PILE'!$D$72:$D$91))),IF('TS-PILE'!$B$87="",-1E+99,'TO HOP NLAN'!D259/ncoc+IF(SUMSQ('TS-PILE'!$E$72:$E$91)=0,0,'TO HOP NLAN'!E259*'TS-PILE'!$E$87/SUMSQ('TS-PILE'!$E$72:$E$91))+IF(SUMSQ('TS-PILE'!$D$72:$D$91)=0,0,'TO HOP NLAN'!F259*'TS-PILE'!$D$87/SUMSQ('TS-PILE'!$D$72:$D$91))),IF('TS-PILE'!$B$88="",-1E+99,'TO HOP NLAN'!D259/ncoc+IF(SUMSQ('TS-PILE'!$E$72:$E$91)=0,0,'TO HOP NLAN'!E259*'TS-PILE'!$E$88/SUMSQ('TS-PILE'!$E$72:$E$91))+IF(SUMSQ('TS-PILE'!$D$72:$D$91)=0,0,'TO HOP NLAN'!F259*'TS-PILE'!$D$88/SUMSQ('TS-PILE'!$D$72:$D$91))),IF('TS-PILE'!$B$89="",-1E+99,'TO HOP NLAN'!D259/ncoc+IF(SUMSQ('TS-PILE'!$E$72:$E$91)=0,0,'TO HOP NLAN'!E259*'TS-PILE'!$E$89/SUMSQ('TS-PILE'!$E$72:$E$91))+IF(SUMSQ('TS-PILE'!$D$72:$D$91)=0,0,'TO HOP NLAN'!F259*'TS-PILE'!$D$89/SUMSQ('TS-PILE'!$D$72:$D$91))),IF('TS-PILE'!$B$90="",-1E+99,'TO HOP NLAN'!D259/ncoc+IF(SUMSQ('TS-PILE'!$E$72:$E$91)=0,0,'TO HOP NLAN'!E259*'TS-PILE'!$E$90/SUMSQ('TS-PILE'!$E$72:$E$91))+IF(SUMSQ('TS-PILE'!$D$72:$D$91)=0,0,'TO HOP NLAN'!F259*'TS-PILE'!$D$90/SUMSQ('TS-PILE'!$D$72:$D$91))),IF('TS-PILE'!$B$91="",-1E+99,'TO HOP NLAN'!D259/ncoc+IF(SUMSQ('TS-PILE'!$E$72:$E$91)=0,0,'TO HOP NLAN'!E259*'TS-PILE'!$E$91/SUMSQ('TS-PILE'!$E$72:$E$91))+IF(SUMSQ('TS-PILE'!$D$72:$D$91)=0,0,'TO HOP NLAN'!F259*'TS-PILE'!$D$91/SUMSQ('TS-PILE'!$D$72:$D$91)))))</f>
        <v>0</v>
      </c>
      <c r="D259" s="58">
        <f>IF(A259="",0,MIN(IF('TS-PILE'!$B$72="",1E+99,'TO HOP NLAN'!D259/ncoc+IF(SUMSQ('TS-PILE'!$E$72:$E$91)=0,0,'TO HOP NLAN'!E259*'TS-PILE'!$E$72/SUMSQ('TS-PILE'!$E$72:$E$91))+IF(SUMSQ('TS-PILE'!$D$72:$D$91)=0,0,'TO HOP NLAN'!F259*'TS-PILE'!$D$72/SUMSQ('TS-PILE'!$D$72:$D$91))),IF('TS-PILE'!$B$73="",1E+99,'TO HOP NLAN'!D259/ncoc+IF(SUMSQ('TS-PILE'!$E$72:$E$91)=0,0,'TO HOP NLAN'!E259*'TS-PILE'!$E$73/SUMSQ('TS-PILE'!$E$72:$E$91))+IF(SUMSQ('TS-PILE'!$D$72:$D$91)=0,0,'TO HOP NLAN'!F259*'TS-PILE'!$D$73/SUMSQ('TS-PILE'!$D$72:$D$91))),IF('TS-PILE'!$B$74="",1E+99,'TO HOP NLAN'!D259/ncoc+IF(SUMSQ('TS-PILE'!$E$72:$E$91)=0,0,'TO HOP NLAN'!E259*'TS-PILE'!$E$74/SUMSQ('TS-PILE'!$E$72:$E$91))+IF(SUMSQ('TS-PILE'!$D$72:$D$91)=0,0,'TO HOP NLAN'!F259*'TS-PILE'!$D$74/SUMSQ('TS-PILE'!$D$72:$D$91))),IF('TS-PILE'!$B$75="",1E+99,'TO HOP NLAN'!D259/ncoc+IF(SUMSQ('TS-PILE'!$E$72:$E$91)=0,0,'TO HOP NLAN'!E259*'TS-PILE'!$E$75/SUMSQ('TS-PILE'!$E$72:$E$91))+IF(SUMSQ('TS-PILE'!$D$72:$D$91)=0,0,'TO HOP NLAN'!F259*'TS-PILE'!$D$75/SUMSQ('TS-PILE'!$D$72:$D$91))),IF('TS-PILE'!$B$76="",1E+99,'TO HOP NLAN'!D259/ncoc+IF(SUMSQ('TS-PILE'!$E$72:$E$91)=0,0,'TO HOP NLAN'!E259*'TS-PILE'!$E$76/SUMSQ('TS-PILE'!$E$72:$E$91))+IF(SUMSQ('TS-PILE'!$D$72:$D$91)=0,0,'TO HOP NLAN'!F259*'TS-PILE'!$D$76/SUMSQ('TS-PILE'!$D$72:$D$91))),IF('TS-PILE'!$B$77="",1E+99,'TO HOP NLAN'!D259/ncoc+IF(SUMSQ('TS-PILE'!$E$72:$E$91)=0,0,'TO HOP NLAN'!E259*'TS-PILE'!$E$77/SUMSQ('TS-PILE'!$E$72:$E$91))+IF(SUMSQ('TS-PILE'!$D$72:$D$91)=0,0,'TO HOP NLAN'!F259*'TS-PILE'!$D$77/SUMSQ('TS-PILE'!$D$72:$D$91))),IF('TS-PILE'!$B$78="",1E+99,'TO HOP NLAN'!D259/ncoc+IF(SUMSQ('TS-PILE'!$E$72:$E$91)=0,0,'TO HOP NLAN'!E259*'TS-PILE'!$E$78/SUMSQ('TS-PILE'!$E$72:$E$91))+IF(SUMSQ('TS-PILE'!$D$72:$D$91)=0,0,'TO HOP NLAN'!F259*'TS-PILE'!$D$78/SUMSQ('TS-PILE'!$D$72:$D$91))),IF('TS-PILE'!$B$79="",1E+99,'TO HOP NLAN'!D259/ncoc+IF(SUMSQ('TS-PILE'!$E$72:$E$91)=0,0,'TO HOP NLAN'!E259*'TS-PILE'!$E$79/SUMSQ('TS-PILE'!$E$72:$E$91))+IF(SUMSQ('TS-PILE'!$D$72:$D$91)=0,0,'TO HOP NLAN'!F259*'TS-PILE'!$D$79/SUMSQ('TS-PILE'!$D$72:$D$91))),IF('TS-PILE'!$B$80="",1E+99,'TO HOP NLAN'!D259/ncoc+IF(SUMSQ('TS-PILE'!$E$72:$E$91)=0,0,'TO HOP NLAN'!E259*'TS-PILE'!$E$80/SUMSQ('TS-PILE'!$E$72:$E$91))+IF(SUMSQ('TS-PILE'!$D$72:$D$91)=0,0,'TO HOP NLAN'!F259*'TS-PILE'!$D$80/SUMSQ('TS-PILE'!$D$72:$D$91))),IF('TS-PILE'!$B$81="",1E+99,'TO HOP NLAN'!D259/ncoc+IF(SUMSQ('TS-PILE'!$E$72:$E$91)=0,0,'TO HOP NLAN'!E259*'TS-PILE'!$E$81/SUMSQ('TS-PILE'!$E$72:$E$91))+IF(SUMSQ('TS-PILE'!$D$72:$D$91)=0,0,'TO HOP NLAN'!F259*'TS-PILE'!$D$81/SUMSQ('TS-PILE'!$D$72:$D$91))),IF('TS-PILE'!$B$82="",1E+99,'TO HOP NLAN'!D259/ncoc+IF(SUMSQ('TS-PILE'!$E$72:$E$91)=0,0,'TO HOP NLAN'!E259*'TS-PILE'!$E$82/SUMSQ('TS-PILE'!$E$72:$E$91))+IF(SUMSQ('TS-PILE'!$D$72:$D$91)=0,0,'TO HOP NLAN'!F259*'TS-PILE'!$D$82/SUMSQ('TS-PILE'!$D$72:$D$91))),IF('TS-PILE'!$B$83="",1E+99,'TO HOP NLAN'!D259/ncoc+IF(SUMSQ('TS-PILE'!$E$72:$E$91)=0,0,'TO HOP NLAN'!E259*'TS-PILE'!$E$83/SUMSQ('TS-PILE'!$E$72:$E$91))+IF(SUMSQ('TS-PILE'!$D$72:$D$91)=0,0,'TO HOP NLAN'!F259*'TS-PILE'!$D$83/SUMSQ('TS-PILE'!$D$72:$D$91))),IF('TS-PILE'!$B$84="",1E+99,'TO HOP NLAN'!D259/ncoc+IF(SUMSQ('TS-PILE'!$E$72:$E$91)=0,0,'TO HOP NLAN'!E259*'TS-PILE'!$E$84/SUMSQ('TS-PILE'!$E$72:$E$91))+IF(SUMSQ('TS-PILE'!$D$72:$D$91)=0,0,'TO HOP NLAN'!F259*'TS-PILE'!$D$84/SUMSQ('TS-PILE'!$D$72:$D$91))),IF('TS-PILE'!$B$85="",1E+99,'TO HOP NLAN'!D259/ncoc+IF(SUMSQ('TS-PILE'!$E$72:$E$91)=0,0,'TO HOP NLAN'!E259*'TS-PILE'!$E$85/SUMSQ('TS-PILE'!$E$72:$E$91))+IF(SUMSQ('TS-PILE'!$D$72:$D$91)=0,0,'TO HOP NLAN'!F259*'TS-PILE'!$D$85/SUMSQ('TS-PILE'!$D$72:$D$91))),IF('TS-PILE'!$B$86="",1E+99,'TO HOP NLAN'!D259/ncoc+IF(SUMSQ('TS-PILE'!$E$72:$E$91)=0,0,'TO HOP NLAN'!E259*'TS-PILE'!$E$86/SUMSQ('TS-PILE'!$E$72:$E$91))+IF(SUMSQ('TS-PILE'!$D$72:$D$91)=0,0,'TO HOP NLAN'!F259*'TS-PILE'!$D$86/SUMSQ('TS-PILE'!$D$72:$D$91))),IF('TS-PILE'!$B$87="",1E+99,'TO HOP NLAN'!D259/ncoc+IF(SUMSQ('TS-PILE'!$E$72:$E$91)=0,0,'TO HOP NLAN'!E259*'TS-PILE'!$E$87/SUMSQ('TS-PILE'!$E$72:$E$91))+IF(SUMSQ('TS-PILE'!$D$72:$D$91)=0,0,'TO HOP NLAN'!F259*'TS-PILE'!$D$87/SUMSQ('TS-PILE'!$D$72:$D$91))),IF('TS-PILE'!$B$88="",1E+99,'TO HOP NLAN'!D259/ncoc+IF(SUMSQ('TS-PILE'!$E$72:$E$91)=0,0,'TO HOP NLAN'!E259*'TS-PILE'!$E$88/SUMSQ('TS-PILE'!$E$72:$E$91))+IF(SUMSQ('TS-PILE'!$D$72:$D$91)=0,0,'TO HOP NLAN'!F259*'TS-PILE'!$D$88/SUMSQ('TS-PILE'!$D$72:$D$91))),IF('TS-PILE'!$B$89="",1E+99,'TO HOP NLAN'!D259/ncoc+IF(SUMSQ('TS-PILE'!$E$72:$E$91)=0,0,'TO HOP NLAN'!E259*'TS-PILE'!$E$89/SUMSQ('TS-PILE'!$E$72:$E$91))+IF(SUMSQ('TS-PILE'!$D$72:$D$91)=0,0,'TO HOP NLAN'!F259*'TS-PILE'!$D$89/SUMSQ('TS-PILE'!$D$72:$D$91))),IF('TS-PILE'!$B$90="",1E+99,'TO HOP NLAN'!D259/ncoc+IF(SUMSQ('TS-PILE'!$E$72:$E$91)=0,0,'TO HOP NLAN'!E259*'TS-PILE'!$E$90/SUMSQ('TS-PILE'!$E$72:$E$91))+IF(SUMSQ('TS-PILE'!$D$72:$D$91)=0,0,'TO HOP NLAN'!F259*'TS-PILE'!$D$90/SUMSQ('TS-PILE'!$D$72:$D$91))),IF('TS-PILE'!$B$91="",1E+99,'TO HOP NLAN'!D259/ncoc+IF(SUMSQ('TS-PILE'!$E$72:$E$91)=0,0,'TO HOP NLAN'!E259*'TS-PILE'!$E$91/SUMSQ('TS-PILE'!$E$72:$E$91))+IF(SUMSQ('TS-PILE'!$D$72:$D$91)=0,0,'TO HOP NLAN'!F259*'TS-PILE'!$D$91/SUMSQ('TS-PILE'!$D$72:$D$91)))))</f>
        <v>0</v>
      </c>
      <c r="E259" s="58">
        <f t="shared" si="12"/>
        <v>-9.9999999999999997E+98</v>
      </c>
      <c r="F259" s="58">
        <f t="shared" si="13"/>
        <v>9.9999999999999997E+98</v>
      </c>
      <c r="G259" s="58">
        <f t="shared" si="14"/>
        <v>-9.9999999999999997E+98</v>
      </c>
      <c r="H259" s="58">
        <f t="shared" si="15"/>
        <v>9.9999999999999997E+98</v>
      </c>
    </row>
    <row r="260" spans="1:8" x14ac:dyDescent="0.3">
      <c r="A260" s="42" t="str">
        <f>'TO HOP NLAN'!A260</f>
        <v/>
      </c>
      <c r="B260" s="42" t="str">
        <f>'TO HOP NLAN'!L260</f>
        <v>STRENGTH</v>
      </c>
      <c r="C260" s="58">
        <f>IF(A260="",0,MAX(IF('TS-PILE'!$B$72="",-1E+99,'TO HOP NLAN'!D260/ncoc+IF(SUMSQ('TS-PILE'!$E$72:$E$91)=0,0,'TO HOP NLAN'!E260*'TS-PILE'!$E$72/SUMSQ('TS-PILE'!$E$72:$E$91))+IF(SUMSQ('TS-PILE'!$D$72:$D$91)=0,0,'TO HOP NLAN'!F260*'TS-PILE'!$D$72/SUMSQ('TS-PILE'!$D$72:$D$91))),IF('TS-PILE'!$B$73="",-1E+99,'TO HOP NLAN'!D260/ncoc+IF(SUMSQ('TS-PILE'!$E$72:$E$91)=0,0,'TO HOP NLAN'!E260*'TS-PILE'!$E$73/SUMSQ('TS-PILE'!$E$72:$E$91))+IF(SUMSQ('TS-PILE'!$D$72:$D$91)=0,0,'TO HOP NLAN'!F260*'TS-PILE'!$D$73/SUMSQ('TS-PILE'!$D$72:$D$91))),IF('TS-PILE'!$B$74="",-1E+99,'TO HOP NLAN'!D260/ncoc+IF(SUMSQ('TS-PILE'!$E$72:$E$91)=0,0,'TO HOP NLAN'!E260*'TS-PILE'!$E$74/SUMSQ('TS-PILE'!$E$72:$E$91))+IF(SUMSQ('TS-PILE'!$D$72:$D$91)=0,0,'TO HOP NLAN'!F260*'TS-PILE'!$D$74/SUMSQ('TS-PILE'!$D$72:$D$91))),IF('TS-PILE'!$B$75="",-1E+99,'TO HOP NLAN'!D260/ncoc+IF(SUMSQ('TS-PILE'!$E$72:$E$91)=0,0,'TO HOP NLAN'!E260*'TS-PILE'!$E$75/SUMSQ('TS-PILE'!$E$72:$E$91))+IF(SUMSQ('TS-PILE'!$D$72:$D$91)=0,0,'TO HOP NLAN'!F260*'TS-PILE'!$D$75/SUMSQ('TS-PILE'!$D$72:$D$91))),IF('TS-PILE'!$B$76="",-1E+99,'TO HOP NLAN'!D260/ncoc+IF(SUMSQ('TS-PILE'!$E$72:$E$91)=0,0,'TO HOP NLAN'!E260*'TS-PILE'!$E$76/SUMSQ('TS-PILE'!$E$72:$E$91))+IF(SUMSQ('TS-PILE'!$D$72:$D$91)=0,0,'TO HOP NLAN'!F260*'TS-PILE'!$D$76/SUMSQ('TS-PILE'!$D$72:$D$91))),IF('TS-PILE'!$B$77="",-1E+99,'TO HOP NLAN'!D260/ncoc+IF(SUMSQ('TS-PILE'!$E$72:$E$91)=0,0,'TO HOP NLAN'!E260*'TS-PILE'!$E$77/SUMSQ('TS-PILE'!$E$72:$E$91))+IF(SUMSQ('TS-PILE'!$D$72:$D$91)=0,0,'TO HOP NLAN'!F260*'TS-PILE'!$D$77/SUMSQ('TS-PILE'!$D$72:$D$91))),IF('TS-PILE'!$B$78="",-1E+99,'TO HOP NLAN'!D260/ncoc+IF(SUMSQ('TS-PILE'!$E$72:$E$91)=0,0,'TO HOP NLAN'!E260*'TS-PILE'!$E$78/SUMSQ('TS-PILE'!$E$72:$E$91))+IF(SUMSQ('TS-PILE'!$D$72:$D$91)=0,0,'TO HOP NLAN'!F260*'TS-PILE'!$D$78/SUMSQ('TS-PILE'!$D$72:$D$91))),IF('TS-PILE'!$B$79="",-1E+99,'TO HOP NLAN'!D260/ncoc+IF(SUMSQ('TS-PILE'!$E$72:$E$91)=0,0,'TO HOP NLAN'!E260*'TS-PILE'!$E$79/SUMSQ('TS-PILE'!$E$72:$E$91))+IF(SUMSQ('TS-PILE'!$D$72:$D$91)=0,0,'TO HOP NLAN'!F260*'TS-PILE'!$D$79/SUMSQ('TS-PILE'!$D$72:$D$91))),IF('TS-PILE'!$B$80="",-1E+99,'TO HOP NLAN'!D260/ncoc+IF(SUMSQ('TS-PILE'!$E$72:$E$91)=0,0,'TO HOP NLAN'!E260*'TS-PILE'!$E$80/SUMSQ('TS-PILE'!$E$72:$E$91))+IF(SUMSQ('TS-PILE'!$D$72:$D$91)=0,0,'TO HOP NLAN'!F260*'TS-PILE'!$D$80/SUMSQ('TS-PILE'!$D$72:$D$91))),IF('TS-PILE'!$B$81="",-1E+99,'TO HOP NLAN'!D260/ncoc+IF(SUMSQ('TS-PILE'!$E$72:$E$91)=0,0,'TO HOP NLAN'!E260*'TS-PILE'!$E$81/SUMSQ('TS-PILE'!$E$72:$E$91))+IF(SUMSQ('TS-PILE'!$D$72:$D$91)=0,0,'TO HOP NLAN'!F260*'TS-PILE'!$D$81/SUMSQ('TS-PILE'!$D$72:$D$91))),IF('TS-PILE'!$B$82="",-1E+99,'TO HOP NLAN'!D260/ncoc+IF(SUMSQ('TS-PILE'!$E$72:$E$91)=0,0,'TO HOP NLAN'!E260*'TS-PILE'!$E$82/SUMSQ('TS-PILE'!$E$72:$E$91))+IF(SUMSQ('TS-PILE'!$D$72:$D$91)=0,0,'TO HOP NLAN'!F260*'TS-PILE'!$D$82/SUMSQ('TS-PILE'!$D$72:$D$91))),IF('TS-PILE'!$B$83="",-1E+99,'TO HOP NLAN'!D260/ncoc+IF(SUMSQ('TS-PILE'!$E$72:$E$91)=0,0,'TO HOP NLAN'!E260*'TS-PILE'!$E$83/SUMSQ('TS-PILE'!$E$72:$E$91))+IF(SUMSQ('TS-PILE'!$D$72:$D$91)=0,0,'TO HOP NLAN'!F260*'TS-PILE'!$D$83/SUMSQ('TS-PILE'!$D$72:$D$91))),IF('TS-PILE'!$B$84="",-1E+99,'TO HOP NLAN'!D260/ncoc+IF(SUMSQ('TS-PILE'!$E$72:$E$91)=0,0,'TO HOP NLAN'!E260*'TS-PILE'!$E$84/SUMSQ('TS-PILE'!$E$72:$E$91))+IF(SUMSQ('TS-PILE'!$D$72:$D$91)=0,0,'TO HOP NLAN'!F260*'TS-PILE'!$D$84/SUMSQ('TS-PILE'!$D$72:$D$91))),IF('TS-PILE'!$B$85="",-1E+99,'TO HOP NLAN'!D260/ncoc+IF(SUMSQ('TS-PILE'!$E$72:$E$91)=0,0,'TO HOP NLAN'!E260*'TS-PILE'!$E$85/SUMSQ('TS-PILE'!$E$72:$E$91))+IF(SUMSQ('TS-PILE'!$D$72:$D$91)=0,0,'TO HOP NLAN'!F260*'TS-PILE'!$D$85/SUMSQ('TS-PILE'!$D$72:$D$91))),IF('TS-PILE'!$B$86="",-1E+99,'TO HOP NLAN'!D260/ncoc+IF(SUMSQ('TS-PILE'!$E$72:$E$91)=0,0,'TO HOP NLAN'!E260*'TS-PILE'!$E$86/SUMSQ('TS-PILE'!$E$72:$E$91))+IF(SUMSQ('TS-PILE'!$D$72:$D$91)=0,0,'TO HOP NLAN'!F260*'TS-PILE'!$D$86/SUMSQ('TS-PILE'!$D$72:$D$91))),IF('TS-PILE'!$B$87="",-1E+99,'TO HOP NLAN'!D260/ncoc+IF(SUMSQ('TS-PILE'!$E$72:$E$91)=0,0,'TO HOP NLAN'!E260*'TS-PILE'!$E$87/SUMSQ('TS-PILE'!$E$72:$E$91))+IF(SUMSQ('TS-PILE'!$D$72:$D$91)=0,0,'TO HOP NLAN'!F260*'TS-PILE'!$D$87/SUMSQ('TS-PILE'!$D$72:$D$91))),IF('TS-PILE'!$B$88="",-1E+99,'TO HOP NLAN'!D260/ncoc+IF(SUMSQ('TS-PILE'!$E$72:$E$91)=0,0,'TO HOP NLAN'!E260*'TS-PILE'!$E$88/SUMSQ('TS-PILE'!$E$72:$E$91))+IF(SUMSQ('TS-PILE'!$D$72:$D$91)=0,0,'TO HOP NLAN'!F260*'TS-PILE'!$D$88/SUMSQ('TS-PILE'!$D$72:$D$91))),IF('TS-PILE'!$B$89="",-1E+99,'TO HOP NLAN'!D260/ncoc+IF(SUMSQ('TS-PILE'!$E$72:$E$91)=0,0,'TO HOP NLAN'!E260*'TS-PILE'!$E$89/SUMSQ('TS-PILE'!$E$72:$E$91))+IF(SUMSQ('TS-PILE'!$D$72:$D$91)=0,0,'TO HOP NLAN'!F260*'TS-PILE'!$D$89/SUMSQ('TS-PILE'!$D$72:$D$91))),IF('TS-PILE'!$B$90="",-1E+99,'TO HOP NLAN'!D260/ncoc+IF(SUMSQ('TS-PILE'!$E$72:$E$91)=0,0,'TO HOP NLAN'!E260*'TS-PILE'!$E$90/SUMSQ('TS-PILE'!$E$72:$E$91))+IF(SUMSQ('TS-PILE'!$D$72:$D$91)=0,0,'TO HOP NLAN'!F260*'TS-PILE'!$D$90/SUMSQ('TS-PILE'!$D$72:$D$91))),IF('TS-PILE'!$B$91="",-1E+99,'TO HOP NLAN'!D260/ncoc+IF(SUMSQ('TS-PILE'!$E$72:$E$91)=0,0,'TO HOP NLAN'!E260*'TS-PILE'!$E$91/SUMSQ('TS-PILE'!$E$72:$E$91))+IF(SUMSQ('TS-PILE'!$D$72:$D$91)=0,0,'TO HOP NLAN'!F260*'TS-PILE'!$D$91/SUMSQ('TS-PILE'!$D$72:$D$91)))))</f>
        <v>0</v>
      </c>
      <c r="D260" s="58">
        <f>IF(A260="",0,MIN(IF('TS-PILE'!$B$72="",1E+99,'TO HOP NLAN'!D260/ncoc+IF(SUMSQ('TS-PILE'!$E$72:$E$91)=0,0,'TO HOP NLAN'!E260*'TS-PILE'!$E$72/SUMSQ('TS-PILE'!$E$72:$E$91))+IF(SUMSQ('TS-PILE'!$D$72:$D$91)=0,0,'TO HOP NLAN'!F260*'TS-PILE'!$D$72/SUMSQ('TS-PILE'!$D$72:$D$91))),IF('TS-PILE'!$B$73="",1E+99,'TO HOP NLAN'!D260/ncoc+IF(SUMSQ('TS-PILE'!$E$72:$E$91)=0,0,'TO HOP NLAN'!E260*'TS-PILE'!$E$73/SUMSQ('TS-PILE'!$E$72:$E$91))+IF(SUMSQ('TS-PILE'!$D$72:$D$91)=0,0,'TO HOP NLAN'!F260*'TS-PILE'!$D$73/SUMSQ('TS-PILE'!$D$72:$D$91))),IF('TS-PILE'!$B$74="",1E+99,'TO HOP NLAN'!D260/ncoc+IF(SUMSQ('TS-PILE'!$E$72:$E$91)=0,0,'TO HOP NLAN'!E260*'TS-PILE'!$E$74/SUMSQ('TS-PILE'!$E$72:$E$91))+IF(SUMSQ('TS-PILE'!$D$72:$D$91)=0,0,'TO HOP NLAN'!F260*'TS-PILE'!$D$74/SUMSQ('TS-PILE'!$D$72:$D$91))),IF('TS-PILE'!$B$75="",1E+99,'TO HOP NLAN'!D260/ncoc+IF(SUMSQ('TS-PILE'!$E$72:$E$91)=0,0,'TO HOP NLAN'!E260*'TS-PILE'!$E$75/SUMSQ('TS-PILE'!$E$72:$E$91))+IF(SUMSQ('TS-PILE'!$D$72:$D$91)=0,0,'TO HOP NLAN'!F260*'TS-PILE'!$D$75/SUMSQ('TS-PILE'!$D$72:$D$91))),IF('TS-PILE'!$B$76="",1E+99,'TO HOP NLAN'!D260/ncoc+IF(SUMSQ('TS-PILE'!$E$72:$E$91)=0,0,'TO HOP NLAN'!E260*'TS-PILE'!$E$76/SUMSQ('TS-PILE'!$E$72:$E$91))+IF(SUMSQ('TS-PILE'!$D$72:$D$91)=0,0,'TO HOP NLAN'!F260*'TS-PILE'!$D$76/SUMSQ('TS-PILE'!$D$72:$D$91))),IF('TS-PILE'!$B$77="",1E+99,'TO HOP NLAN'!D260/ncoc+IF(SUMSQ('TS-PILE'!$E$72:$E$91)=0,0,'TO HOP NLAN'!E260*'TS-PILE'!$E$77/SUMSQ('TS-PILE'!$E$72:$E$91))+IF(SUMSQ('TS-PILE'!$D$72:$D$91)=0,0,'TO HOP NLAN'!F260*'TS-PILE'!$D$77/SUMSQ('TS-PILE'!$D$72:$D$91))),IF('TS-PILE'!$B$78="",1E+99,'TO HOP NLAN'!D260/ncoc+IF(SUMSQ('TS-PILE'!$E$72:$E$91)=0,0,'TO HOP NLAN'!E260*'TS-PILE'!$E$78/SUMSQ('TS-PILE'!$E$72:$E$91))+IF(SUMSQ('TS-PILE'!$D$72:$D$91)=0,0,'TO HOP NLAN'!F260*'TS-PILE'!$D$78/SUMSQ('TS-PILE'!$D$72:$D$91))),IF('TS-PILE'!$B$79="",1E+99,'TO HOP NLAN'!D260/ncoc+IF(SUMSQ('TS-PILE'!$E$72:$E$91)=0,0,'TO HOP NLAN'!E260*'TS-PILE'!$E$79/SUMSQ('TS-PILE'!$E$72:$E$91))+IF(SUMSQ('TS-PILE'!$D$72:$D$91)=0,0,'TO HOP NLAN'!F260*'TS-PILE'!$D$79/SUMSQ('TS-PILE'!$D$72:$D$91))),IF('TS-PILE'!$B$80="",1E+99,'TO HOP NLAN'!D260/ncoc+IF(SUMSQ('TS-PILE'!$E$72:$E$91)=0,0,'TO HOP NLAN'!E260*'TS-PILE'!$E$80/SUMSQ('TS-PILE'!$E$72:$E$91))+IF(SUMSQ('TS-PILE'!$D$72:$D$91)=0,0,'TO HOP NLAN'!F260*'TS-PILE'!$D$80/SUMSQ('TS-PILE'!$D$72:$D$91))),IF('TS-PILE'!$B$81="",1E+99,'TO HOP NLAN'!D260/ncoc+IF(SUMSQ('TS-PILE'!$E$72:$E$91)=0,0,'TO HOP NLAN'!E260*'TS-PILE'!$E$81/SUMSQ('TS-PILE'!$E$72:$E$91))+IF(SUMSQ('TS-PILE'!$D$72:$D$91)=0,0,'TO HOP NLAN'!F260*'TS-PILE'!$D$81/SUMSQ('TS-PILE'!$D$72:$D$91))),IF('TS-PILE'!$B$82="",1E+99,'TO HOP NLAN'!D260/ncoc+IF(SUMSQ('TS-PILE'!$E$72:$E$91)=0,0,'TO HOP NLAN'!E260*'TS-PILE'!$E$82/SUMSQ('TS-PILE'!$E$72:$E$91))+IF(SUMSQ('TS-PILE'!$D$72:$D$91)=0,0,'TO HOP NLAN'!F260*'TS-PILE'!$D$82/SUMSQ('TS-PILE'!$D$72:$D$91))),IF('TS-PILE'!$B$83="",1E+99,'TO HOP NLAN'!D260/ncoc+IF(SUMSQ('TS-PILE'!$E$72:$E$91)=0,0,'TO HOP NLAN'!E260*'TS-PILE'!$E$83/SUMSQ('TS-PILE'!$E$72:$E$91))+IF(SUMSQ('TS-PILE'!$D$72:$D$91)=0,0,'TO HOP NLAN'!F260*'TS-PILE'!$D$83/SUMSQ('TS-PILE'!$D$72:$D$91))),IF('TS-PILE'!$B$84="",1E+99,'TO HOP NLAN'!D260/ncoc+IF(SUMSQ('TS-PILE'!$E$72:$E$91)=0,0,'TO HOP NLAN'!E260*'TS-PILE'!$E$84/SUMSQ('TS-PILE'!$E$72:$E$91))+IF(SUMSQ('TS-PILE'!$D$72:$D$91)=0,0,'TO HOP NLAN'!F260*'TS-PILE'!$D$84/SUMSQ('TS-PILE'!$D$72:$D$91))),IF('TS-PILE'!$B$85="",1E+99,'TO HOP NLAN'!D260/ncoc+IF(SUMSQ('TS-PILE'!$E$72:$E$91)=0,0,'TO HOP NLAN'!E260*'TS-PILE'!$E$85/SUMSQ('TS-PILE'!$E$72:$E$91))+IF(SUMSQ('TS-PILE'!$D$72:$D$91)=0,0,'TO HOP NLAN'!F260*'TS-PILE'!$D$85/SUMSQ('TS-PILE'!$D$72:$D$91))),IF('TS-PILE'!$B$86="",1E+99,'TO HOP NLAN'!D260/ncoc+IF(SUMSQ('TS-PILE'!$E$72:$E$91)=0,0,'TO HOP NLAN'!E260*'TS-PILE'!$E$86/SUMSQ('TS-PILE'!$E$72:$E$91))+IF(SUMSQ('TS-PILE'!$D$72:$D$91)=0,0,'TO HOP NLAN'!F260*'TS-PILE'!$D$86/SUMSQ('TS-PILE'!$D$72:$D$91))),IF('TS-PILE'!$B$87="",1E+99,'TO HOP NLAN'!D260/ncoc+IF(SUMSQ('TS-PILE'!$E$72:$E$91)=0,0,'TO HOP NLAN'!E260*'TS-PILE'!$E$87/SUMSQ('TS-PILE'!$E$72:$E$91))+IF(SUMSQ('TS-PILE'!$D$72:$D$91)=0,0,'TO HOP NLAN'!F260*'TS-PILE'!$D$87/SUMSQ('TS-PILE'!$D$72:$D$91))),IF('TS-PILE'!$B$88="",1E+99,'TO HOP NLAN'!D260/ncoc+IF(SUMSQ('TS-PILE'!$E$72:$E$91)=0,0,'TO HOP NLAN'!E260*'TS-PILE'!$E$88/SUMSQ('TS-PILE'!$E$72:$E$91))+IF(SUMSQ('TS-PILE'!$D$72:$D$91)=0,0,'TO HOP NLAN'!F260*'TS-PILE'!$D$88/SUMSQ('TS-PILE'!$D$72:$D$91))),IF('TS-PILE'!$B$89="",1E+99,'TO HOP NLAN'!D260/ncoc+IF(SUMSQ('TS-PILE'!$E$72:$E$91)=0,0,'TO HOP NLAN'!E260*'TS-PILE'!$E$89/SUMSQ('TS-PILE'!$E$72:$E$91))+IF(SUMSQ('TS-PILE'!$D$72:$D$91)=0,0,'TO HOP NLAN'!F260*'TS-PILE'!$D$89/SUMSQ('TS-PILE'!$D$72:$D$91))),IF('TS-PILE'!$B$90="",1E+99,'TO HOP NLAN'!D260/ncoc+IF(SUMSQ('TS-PILE'!$E$72:$E$91)=0,0,'TO HOP NLAN'!E260*'TS-PILE'!$E$90/SUMSQ('TS-PILE'!$E$72:$E$91))+IF(SUMSQ('TS-PILE'!$D$72:$D$91)=0,0,'TO HOP NLAN'!F260*'TS-PILE'!$D$90/SUMSQ('TS-PILE'!$D$72:$D$91))),IF('TS-PILE'!$B$91="",1E+99,'TO HOP NLAN'!D260/ncoc+IF(SUMSQ('TS-PILE'!$E$72:$E$91)=0,0,'TO HOP NLAN'!E260*'TS-PILE'!$E$91/SUMSQ('TS-PILE'!$E$72:$E$91))+IF(SUMSQ('TS-PILE'!$D$72:$D$91)=0,0,'TO HOP NLAN'!F260*'TS-PILE'!$D$91/SUMSQ('TS-PILE'!$D$72:$D$91)))))</f>
        <v>0</v>
      </c>
      <c r="E260" s="58">
        <f t="shared" si="12"/>
        <v>-9.9999999999999997E+98</v>
      </c>
      <c r="F260" s="58">
        <f t="shared" si="13"/>
        <v>9.9999999999999997E+98</v>
      </c>
      <c r="G260" s="58">
        <f t="shared" si="14"/>
        <v>-9.9999999999999997E+98</v>
      </c>
      <c r="H260" s="58">
        <f t="shared" si="15"/>
        <v>9.9999999999999997E+98</v>
      </c>
    </row>
    <row r="261" spans="1:8" x14ac:dyDescent="0.3">
      <c r="A261" s="42" t="str">
        <f>'TO HOP NLAN'!A261</f>
        <v/>
      </c>
      <c r="B261" s="42" t="str">
        <f>'TO HOP NLAN'!L261</f>
        <v>STRENGTH</v>
      </c>
      <c r="C261" s="58">
        <f>IF(A261="",0,MAX(IF('TS-PILE'!$B$72="",-1E+99,'TO HOP NLAN'!D261/ncoc+IF(SUMSQ('TS-PILE'!$E$72:$E$91)=0,0,'TO HOP NLAN'!E261*'TS-PILE'!$E$72/SUMSQ('TS-PILE'!$E$72:$E$91))+IF(SUMSQ('TS-PILE'!$D$72:$D$91)=0,0,'TO HOP NLAN'!F261*'TS-PILE'!$D$72/SUMSQ('TS-PILE'!$D$72:$D$91))),IF('TS-PILE'!$B$73="",-1E+99,'TO HOP NLAN'!D261/ncoc+IF(SUMSQ('TS-PILE'!$E$72:$E$91)=0,0,'TO HOP NLAN'!E261*'TS-PILE'!$E$73/SUMSQ('TS-PILE'!$E$72:$E$91))+IF(SUMSQ('TS-PILE'!$D$72:$D$91)=0,0,'TO HOP NLAN'!F261*'TS-PILE'!$D$73/SUMSQ('TS-PILE'!$D$72:$D$91))),IF('TS-PILE'!$B$74="",-1E+99,'TO HOP NLAN'!D261/ncoc+IF(SUMSQ('TS-PILE'!$E$72:$E$91)=0,0,'TO HOP NLAN'!E261*'TS-PILE'!$E$74/SUMSQ('TS-PILE'!$E$72:$E$91))+IF(SUMSQ('TS-PILE'!$D$72:$D$91)=0,0,'TO HOP NLAN'!F261*'TS-PILE'!$D$74/SUMSQ('TS-PILE'!$D$72:$D$91))),IF('TS-PILE'!$B$75="",-1E+99,'TO HOP NLAN'!D261/ncoc+IF(SUMSQ('TS-PILE'!$E$72:$E$91)=0,0,'TO HOP NLAN'!E261*'TS-PILE'!$E$75/SUMSQ('TS-PILE'!$E$72:$E$91))+IF(SUMSQ('TS-PILE'!$D$72:$D$91)=0,0,'TO HOP NLAN'!F261*'TS-PILE'!$D$75/SUMSQ('TS-PILE'!$D$72:$D$91))),IF('TS-PILE'!$B$76="",-1E+99,'TO HOP NLAN'!D261/ncoc+IF(SUMSQ('TS-PILE'!$E$72:$E$91)=0,0,'TO HOP NLAN'!E261*'TS-PILE'!$E$76/SUMSQ('TS-PILE'!$E$72:$E$91))+IF(SUMSQ('TS-PILE'!$D$72:$D$91)=0,0,'TO HOP NLAN'!F261*'TS-PILE'!$D$76/SUMSQ('TS-PILE'!$D$72:$D$91))),IF('TS-PILE'!$B$77="",-1E+99,'TO HOP NLAN'!D261/ncoc+IF(SUMSQ('TS-PILE'!$E$72:$E$91)=0,0,'TO HOP NLAN'!E261*'TS-PILE'!$E$77/SUMSQ('TS-PILE'!$E$72:$E$91))+IF(SUMSQ('TS-PILE'!$D$72:$D$91)=0,0,'TO HOP NLAN'!F261*'TS-PILE'!$D$77/SUMSQ('TS-PILE'!$D$72:$D$91))),IF('TS-PILE'!$B$78="",-1E+99,'TO HOP NLAN'!D261/ncoc+IF(SUMSQ('TS-PILE'!$E$72:$E$91)=0,0,'TO HOP NLAN'!E261*'TS-PILE'!$E$78/SUMSQ('TS-PILE'!$E$72:$E$91))+IF(SUMSQ('TS-PILE'!$D$72:$D$91)=0,0,'TO HOP NLAN'!F261*'TS-PILE'!$D$78/SUMSQ('TS-PILE'!$D$72:$D$91))),IF('TS-PILE'!$B$79="",-1E+99,'TO HOP NLAN'!D261/ncoc+IF(SUMSQ('TS-PILE'!$E$72:$E$91)=0,0,'TO HOP NLAN'!E261*'TS-PILE'!$E$79/SUMSQ('TS-PILE'!$E$72:$E$91))+IF(SUMSQ('TS-PILE'!$D$72:$D$91)=0,0,'TO HOP NLAN'!F261*'TS-PILE'!$D$79/SUMSQ('TS-PILE'!$D$72:$D$91))),IF('TS-PILE'!$B$80="",-1E+99,'TO HOP NLAN'!D261/ncoc+IF(SUMSQ('TS-PILE'!$E$72:$E$91)=0,0,'TO HOP NLAN'!E261*'TS-PILE'!$E$80/SUMSQ('TS-PILE'!$E$72:$E$91))+IF(SUMSQ('TS-PILE'!$D$72:$D$91)=0,0,'TO HOP NLAN'!F261*'TS-PILE'!$D$80/SUMSQ('TS-PILE'!$D$72:$D$91))),IF('TS-PILE'!$B$81="",-1E+99,'TO HOP NLAN'!D261/ncoc+IF(SUMSQ('TS-PILE'!$E$72:$E$91)=0,0,'TO HOP NLAN'!E261*'TS-PILE'!$E$81/SUMSQ('TS-PILE'!$E$72:$E$91))+IF(SUMSQ('TS-PILE'!$D$72:$D$91)=0,0,'TO HOP NLAN'!F261*'TS-PILE'!$D$81/SUMSQ('TS-PILE'!$D$72:$D$91))),IF('TS-PILE'!$B$82="",-1E+99,'TO HOP NLAN'!D261/ncoc+IF(SUMSQ('TS-PILE'!$E$72:$E$91)=0,0,'TO HOP NLAN'!E261*'TS-PILE'!$E$82/SUMSQ('TS-PILE'!$E$72:$E$91))+IF(SUMSQ('TS-PILE'!$D$72:$D$91)=0,0,'TO HOP NLAN'!F261*'TS-PILE'!$D$82/SUMSQ('TS-PILE'!$D$72:$D$91))),IF('TS-PILE'!$B$83="",-1E+99,'TO HOP NLAN'!D261/ncoc+IF(SUMSQ('TS-PILE'!$E$72:$E$91)=0,0,'TO HOP NLAN'!E261*'TS-PILE'!$E$83/SUMSQ('TS-PILE'!$E$72:$E$91))+IF(SUMSQ('TS-PILE'!$D$72:$D$91)=0,0,'TO HOP NLAN'!F261*'TS-PILE'!$D$83/SUMSQ('TS-PILE'!$D$72:$D$91))),IF('TS-PILE'!$B$84="",-1E+99,'TO HOP NLAN'!D261/ncoc+IF(SUMSQ('TS-PILE'!$E$72:$E$91)=0,0,'TO HOP NLAN'!E261*'TS-PILE'!$E$84/SUMSQ('TS-PILE'!$E$72:$E$91))+IF(SUMSQ('TS-PILE'!$D$72:$D$91)=0,0,'TO HOP NLAN'!F261*'TS-PILE'!$D$84/SUMSQ('TS-PILE'!$D$72:$D$91))),IF('TS-PILE'!$B$85="",-1E+99,'TO HOP NLAN'!D261/ncoc+IF(SUMSQ('TS-PILE'!$E$72:$E$91)=0,0,'TO HOP NLAN'!E261*'TS-PILE'!$E$85/SUMSQ('TS-PILE'!$E$72:$E$91))+IF(SUMSQ('TS-PILE'!$D$72:$D$91)=0,0,'TO HOP NLAN'!F261*'TS-PILE'!$D$85/SUMSQ('TS-PILE'!$D$72:$D$91))),IF('TS-PILE'!$B$86="",-1E+99,'TO HOP NLAN'!D261/ncoc+IF(SUMSQ('TS-PILE'!$E$72:$E$91)=0,0,'TO HOP NLAN'!E261*'TS-PILE'!$E$86/SUMSQ('TS-PILE'!$E$72:$E$91))+IF(SUMSQ('TS-PILE'!$D$72:$D$91)=0,0,'TO HOP NLAN'!F261*'TS-PILE'!$D$86/SUMSQ('TS-PILE'!$D$72:$D$91))),IF('TS-PILE'!$B$87="",-1E+99,'TO HOP NLAN'!D261/ncoc+IF(SUMSQ('TS-PILE'!$E$72:$E$91)=0,0,'TO HOP NLAN'!E261*'TS-PILE'!$E$87/SUMSQ('TS-PILE'!$E$72:$E$91))+IF(SUMSQ('TS-PILE'!$D$72:$D$91)=0,0,'TO HOP NLAN'!F261*'TS-PILE'!$D$87/SUMSQ('TS-PILE'!$D$72:$D$91))),IF('TS-PILE'!$B$88="",-1E+99,'TO HOP NLAN'!D261/ncoc+IF(SUMSQ('TS-PILE'!$E$72:$E$91)=0,0,'TO HOP NLAN'!E261*'TS-PILE'!$E$88/SUMSQ('TS-PILE'!$E$72:$E$91))+IF(SUMSQ('TS-PILE'!$D$72:$D$91)=0,0,'TO HOP NLAN'!F261*'TS-PILE'!$D$88/SUMSQ('TS-PILE'!$D$72:$D$91))),IF('TS-PILE'!$B$89="",-1E+99,'TO HOP NLAN'!D261/ncoc+IF(SUMSQ('TS-PILE'!$E$72:$E$91)=0,0,'TO HOP NLAN'!E261*'TS-PILE'!$E$89/SUMSQ('TS-PILE'!$E$72:$E$91))+IF(SUMSQ('TS-PILE'!$D$72:$D$91)=0,0,'TO HOP NLAN'!F261*'TS-PILE'!$D$89/SUMSQ('TS-PILE'!$D$72:$D$91))),IF('TS-PILE'!$B$90="",-1E+99,'TO HOP NLAN'!D261/ncoc+IF(SUMSQ('TS-PILE'!$E$72:$E$91)=0,0,'TO HOP NLAN'!E261*'TS-PILE'!$E$90/SUMSQ('TS-PILE'!$E$72:$E$91))+IF(SUMSQ('TS-PILE'!$D$72:$D$91)=0,0,'TO HOP NLAN'!F261*'TS-PILE'!$D$90/SUMSQ('TS-PILE'!$D$72:$D$91))),IF('TS-PILE'!$B$91="",-1E+99,'TO HOP NLAN'!D261/ncoc+IF(SUMSQ('TS-PILE'!$E$72:$E$91)=0,0,'TO HOP NLAN'!E261*'TS-PILE'!$E$91/SUMSQ('TS-PILE'!$E$72:$E$91))+IF(SUMSQ('TS-PILE'!$D$72:$D$91)=0,0,'TO HOP NLAN'!F261*'TS-PILE'!$D$91/SUMSQ('TS-PILE'!$D$72:$D$91)))))</f>
        <v>0</v>
      </c>
      <c r="D261" s="58">
        <f>IF(A261="",0,MIN(IF('TS-PILE'!$B$72="",1E+99,'TO HOP NLAN'!D261/ncoc+IF(SUMSQ('TS-PILE'!$E$72:$E$91)=0,0,'TO HOP NLAN'!E261*'TS-PILE'!$E$72/SUMSQ('TS-PILE'!$E$72:$E$91))+IF(SUMSQ('TS-PILE'!$D$72:$D$91)=0,0,'TO HOP NLAN'!F261*'TS-PILE'!$D$72/SUMSQ('TS-PILE'!$D$72:$D$91))),IF('TS-PILE'!$B$73="",1E+99,'TO HOP NLAN'!D261/ncoc+IF(SUMSQ('TS-PILE'!$E$72:$E$91)=0,0,'TO HOP NLAN'!E261*'TS-PILE'!$E$73/SUMSQ('TS-PILE'!$E$72:$E$91))+IF(SUMSQ('TS-PILE'!$D$72:$D$91)=0,0,'TO HOP NLAN'!F261*'TS-PILE'!$D$73/SUMSQ('TS-PILE'!$D$72:$D$91))),IF('TS-PILE'!$B$74="",1E+99,'TO HOP NLAN'!D261/ncoc+IF(SUMSQ('TS-PILE'!$E$72:$E$91)=0,0,'TO HOP NLAN'!E261*'TS-PILE'!$E$74/SUMSQ('TS-PILE'!$E$72:$E$91))+IF(SUMSQ('TS-PILE'!$D$72:$D$91)=0,0,'TO HOP NLAN'!F261*'TS-PILE'!$D$74/SUMSQ('TS-PILE'!$D$72:$D$91))),IF('TS-PILE'!$B$75="",1E+99,'TO HOP NLAN'!D261/ncoc+IF(SUMSQ('TS-PILE'!$E$72:$E$91)=0,0,'TO HOP NLAN'!E261*'TS-PILE'!$E$75/SUMSQ('TS-PILE'!$E$72:$E$91))+IF(SUMSQ('TS-PILE'!$D$72:$D$91)=0,0,'TO HOP NLAN'!F261*'TS-PILE'!$D$75/SUMSQ('TS-PILE'!$D$72:$D$91))),IF('TS-PILE'!$B$76="",1E+99,'TO HOP NLAN'!D261/ncoc+IF(SUMSQ('TS-PILE'!$E$72:$E$91)=0,0,'TO HOP NLAN'!E261*'TS-PILE'!$E$76/SUMSQ('TS-PILE'!$E$72:$E$91))+IF(SUMSQ('TS-PILE'!$D$72:$D$91)=0,0,'TO HOP NLAN'!F261*'TS-PILE'!$D$76/SUMSQ('TS-PILE'!$D$72:$D$91))),IF('TS-PILE'!$B$77="",1E+99,'TO HOP NLAN'!D261/ncoc+IF(SUMSQ('TS-PILE'!$E$72:$E$91)=0,0,'TO HOP NLAN'!E261*'TS-PILE'!$E$77/SUMSQ('TS-PILE'!$E$72:$E$91))+IF(SUMSQ('TS-PILE'!$D$72:$D$91)=0,0,'TO HOP NLAN'!F261*'TS-PILE'!$D$77/SUMSQ('TS-PILE'!$D$72:$D$91))),IF('TS-PILE'!$B$78="",1E+99,'TO HOP NLAN'!D261/ncoc+IF(SUMSQ('TS-PILE'!$E$72:$E$91)=0,0,'TO HOP NLAN'!E261*'TS-PILE'!$E$78/SUMSQ('TS-PILE'!$E$72:$E$91))+IF(SUMSQ('TS-PILE'!$D$72:$D$91)=0,0,'TO HOP NLAN'!F261*'TS-PILE'!$D$78/SUMSQ('TS-PILE'!$D$72:$D$91))),IF('TS-PILE'!$B$79="",1E+99,'TO HOP NLAN'!D261/ncoc+IF(SUMSQ('TS-PILE'!$E$72:$E$91)=0,0,'TO HOP NLAN'!E261*'TS-PILE'!$E$79/SUMSQ('TS-PILE'!$E$72:$E$91))+IF(SUMSQ('TS-PILE'!$D$72:$D$91)=0,0,'TO HOP NLAN'!F261*'TS-PILE'!$D$79/SUMSQ('TS-PILE'!$D$72:$D$91))),IF('TS-PILE'!$B$80="",1E+99,'TO HOP NLAN'!D261/ncoc+IF(SUMSQ('TS-PILE'!$E$72:$E$91)=0,0,'TO HOP NLAN'!E261*'TS-PILE'!$E$80/SUMSQ('TS-PILE'!$E$72:$E$91))+IF(SUMSQ('TS-PILE'!$D$72:$D$91)=0,0,'TO HOP NLAN'!F261*'TS-PILE'!$D$80/SUMSQ('TS-PILE'!$D$72:$D$91))),IF('TS-PILE'!$B$81="",1E+99,'TO HOP NLAN'!D261/ncoc+IF(SUMSQ('TS-PILE'!$E$72:$E$91)=0,0,'TO HOP NLAN'!E261*'TS-PILE'!$E$81/SUMSQ('TS-PILE'!$E$72:$E$91))+IF(SUMSQ('TS-PILE'!$D$72:$D$91)=0,0,'TO HOP NLAN'!F261*'TS-PILE'!$D$81/SUMSQ('TS-PILE'!$D$72:$D$91))),IF('TS-PILE'!$B$82="",1E+99,'TO HOP NLAN'!D261/ncoc+IF(SUMSQ('TS-PILE'!$E$72:$E$91)=0,0,'TO HOP NLAN'!E261*'TS-PILE'!$E$82/SUMSQ('TS-PILE'!$E$72:$E$91))+IF(SUMSQ('TS-PILE'!$D$72:$D$91)=0,0,'TO HOP NLAN'!F261*'TS-PILE'!$D$82/SUMSQ('TS-PILE'!$D$72:$D$91))),IF('TS-PILE'!$B$83="",1E+99,'TO HOP NLAN'!D261/ncoc+IF(SUMSQ('TS-PILE'!$E$72:$E$91)=0,0,'TO HOP NLAN'!E261*'TS-PILE'!$E$83/SUMSQ('TS-PILE'!$E$72:$E$91))+IF(SUMSQ('TS-PILE'!$D$72:$D$91)=0,0,'TO HOP NLAN'!F261*'TS-PILE'!$D$83/SUMSQ('TS-PILE'!$D$72:$D$91))),IF('TS-PILE'!$B$84="",1E+99,'TO HOP NLAN'!D261/ncoc+IF(SUMSQ('TS-PILE'!$E$72:$E$91)=0,0,'TO HOP NLAN'!E261*'TS-PILE'!$E$84/SUMSQ('TS-PILE'!$E$72:$E$91))+IF(SUMSQ('TS-PILE'!$D$72:$D$91)=0,0,'TO HOP NLAN'!F261*'TS-PILE'!$D$84/SUMSQ('TS-PILE'!$D$72:$D$91))),IF('TS-PILE'!$B$85="",1E+99,'TO HOP NLAN'!D261/ncoc+IF(SUMSQ('TS-PILE'!$E$72:$E$91)=0,0,'TO HOP NLAN'!E261*'TS-PILE'!$E$85/SUMSQ('TS-PILE'!$E$72:$E$91))+IF(SUMSQ('TS-PILE'!$D$72:$D$91)=0,0,'TO HOP NLAN'!F261*'TS-PILE'!$D$85/SUMSQ('TS-PILE'!$D$72:$D$91))),IF('TS-PILE'!$B$86="",1E+99,'TO HOP NLAN'!D261/ncoc+IF(SUMSQ('TS-PILE'!$E$72:$E$91)=0,0,'TO HOP NLAN'!E261*'TS-PILE'!$E$86/SUMSQ('TS-PILE'!$E$72:$E$91))+IF(SUMSQ('TS-PILE'!$D$72:$D$91)=0,0,'TO HOP NLAN'!F261*'TS-PILE'!$D$86/SUMSQ('TS-PILE'!$D$72:$D$91))),IF('TS-PILE'!$B$87="",1E+99,'TO HOP NLAN'!D261/ncoc+IF(SUMSQ('TS-PILE'!$E$72:$E$91)=0,0,'TO HOP NLAN'!E261*'TS-PILE'!$E$87/SUMSQ('TS-PILE'!$E$72:$E$91))+IF(SUMSQ('TS-PILE'!$D$72:$D$91)=0,0,'TO HOP NLAN'!F261*'TS-PILE'!$D$87/SUMSQ('TS-PILE'!$D$72:$D$91))),IF('TS-PILE'!$B$88="",1E+99,'TO HOP NLAN'!D261/ncoc+IF(SUMSQ('TS-PILE'!$E$72:$E$91)=0,0,'TO HOP NLAN'!E261*'TS-PILE'!$E$88/SUMSQ('TS-PILE'!$E$72:$E$91))+IF(SUMSQ('TS-PILE'!$D$72:$D$91)=0,0,'TO HOP NLAN'!F261*'TS-PILE'!$D$88/SUMSQ('TS-PILE'!$D$72:$D$91))),IF('TS-PILE'!$B$89="",1E+99,'TO HOP NLAN'!D261/ncoc+IF(SUMSQ('TS-PILE'!$E$72:$E$91)=0,0,'TO HOP NLAN'!E261*'TS-PILE'!$E$89/SUMSQ('TS-PILE'!$E$72:$E$91))+IF(SUMSQ('TS-PILE'!$D$72:$D$91)=0,0,'TO HOP NLAN'!F261*'TS-PILE'!$D$89/SUMSQ('TS-PILE'!$D$72:$D$91))),IF('TS-PILE'!$B$90="",1E+99,'TO HOP NLAN'!D261/ncoc+IF(SUMSQ('TS-PILE'!$E$72:$E$91)=0,0,'TO HOP NLAN'!E261*'TS-PILE'!$E$90/SUMSQ('TS-PILE'!$E$72:$E$91))+IF(SUMSQ('TS-PILE'!$D$72:$D$91)=0,0,'TO HOP NLAN'!F261*'TS-PILE'!$D$90/SUMSQ('TS-PILE'!$D$72:$D$91))),IF('TS-PILE'!$B$91="",1E+99,'TO HOP NLAN'!D261/ncoc+IF(SUMSQ('TS-PILE'!$E$72:$E$91)=0,0,'TO HOP NLAN'!E261*'TS-PILE'!$E$91/SUMSQ('TS-PILE'!$E$72:$E$91))+IF(SUMSQ('TS-PILE'!$D$72:$D$91)=0,0,'TO HOP NLAN'!F261*'TS-PILE'!$D$91/SUMSQ('TS-PILE'!$D$72:$D$91)))))</f>
        <v>0</v>
      </c>
      <c r="E261" s="58">
        <f t="shared" si="12"/>
        <v>-9.9999999999999997E+98</v>
      </c>
      <c r="F261" s="58">
        <f t="shared" si="13"/>
        <v>9.9999999999999997E+98</v>
      </c>
      <c r="G261" s="58">
        <f t="shared" si="14"/>
        <v>-9.9999999999999997E+98</v>
      </c>
      <c r="H261" s="58">
        <f t="shared" si="15"/>
        <v>9.9999999999999997E+98</v>
      </c>
    </row>
    <row r="262" spans="1:8" x14ac:dyDescent="0.3">
      <c r="A262" s="42" t="str">
        <f>'TO HOP NLAN'!A262</f>
        <v/>
      </c>
      <c r="B262" s="42" t="str">
        <f>'TO HOP NLAN'!L262</f>
        <v>STRENGTH</v>
      </c>
      <c r="C262" s="58">
        <f>IF(A262="",0,MAX(IF('TS-PILE'!$B$72="",-1E+99,'TO HOP NLAN'!D262/ncoc+IF(SUMSQ('TS-PILE'!$E$72:$E$91)=0,0,'TO HOP NLAN'!E262*'TS-PILE'!$E$72/SUMSQ('TS-PILE'!$E$72:$E$91))+IF(SUMSQ('TS-PILE'!$D$72:$D$91)=0,0,'TO HOP NLAN'!F262*'TS-PILE'!$D$72/SUMSQ('TS-PILE'!$D$72:$D$91))),IF('TS-PILE'!$B$73="",-1E+99,'TO HOP NLAN'!D262/ncoc+IF(SUMSQ('TS-PILE'!$E$72:$E$91)=0,0,'TO HOP NLAN'!E262*'TS-PILE'!$E$73/SUMSQ('TS-PILE'!$E$72:$E$91))+IF(SUMSQ('TS-PILE'!$D$72:$D$91)=0,0,'TO HOP NLAN'!F262*'TS-PILE'!$D$73/SUMSQ('TS-PILE'!$D$72:$D$91))),IF('TS-PILE'!$B$74="",-1E+99,'TO HOP NLAN'!D262/ncoc+IF(SUMSQ('TS-PILE'!$E$72:$E$91)=0,0,'TO HOP NLAN'!E262*'TS-PILE'!$E$74/SUMSQ('TS-PILE'!$E$72:$E$91))+IF(SUMSQ('TS-PILE'!$D$72:$D$91)=0,0,'TO HOP NLAN'!F262*'TS-PILE'!$D$74/SUMSQ('TS-PILE'!$D$72:$D$91))),IF('TS-PILE'!$B$75="",-1E+99,'TO HOP NLAN'!D262/ncoc+IF(SUMSQ('TS-PILE'!$E$72:$E$91)=0,0,'TO HOP NLAN'!E262*'TS-PILE'!$E$75/SUMSQ('TS-PILE'!$E$72:$E$91))+IF(SUMSQ('TS-PILE'!$D$72:$D$91)=0,0,'TO HOP NLAN'!F262*'TS-PILE'!$D$75/SUMSQ('TS-PILE'!$D$72:$D$91))),IF('TS-PILE'!$B$76="",-1E+99,'TO HOP NLAN'!D262/ncoc+IF(SUMSQ('TS-PILE'!$E$72:$E$91)=0,0,'TO HOP NLAN'!E262*'TS-PILE'!$E$76/SUMSQ('TS-PILE'!$E$72:$E$91))+IF(SUMSQ('TS-PILE'!$D$72:$D$91)=0,0,'TO HOP NLAN'!F262*'TS-PILE'!$D$76/SUMSQ('TS-PILE'!$D$72:$D$91))),IF('TS-PILE'!$B$77="",-1E+99,'TO HOP NLAN'!D262/ncoc+IF(SUMSQ('TS-PILE'!$E$72:$E$91)=0,0,'TO HOP NLAN'!E262*'TS-PILE'!$E$77/SUMSQ('TS-PILE'!$E$72:$E$91))+IF(SUMSQ('TS-PILE'!$D$72:$D$91)=0,0,'TO HOP NLAN'!F262*'TS-PILE'!$D$77/SUMSQ('TS-PILE'!$D$72:$D$91))),IF('TS-PILE'!$B$78="",-1E+99,'TO HOP NLAN'!D262/ncoc+IF(SUMSQ('TS-PILE'!$E$72:$E$91)=0,0,'TO HOP NLAN'!E262*'TS-PILE'!$E$78/SUMSQ('TS-PILE'!$E$72:$E$91))+IF(SUMSQ('TS-PILE'!$D$72:$D$91)=0,0,'TO HOP NLAN'!F262*'TS-PILE'!$D$78/SUMSQ('TS-PILE'!$D$72:$D$91))),IF('TS-PILE'!$B$79="",-1E+99,'TO HOP NLAN'!D262/ncoc+IF(SUMSQ('TS-PILE'!$E$72:$E$91)=0,0,'TO HOP NLAN'!E262*'TS-PILE'!$E$79/SUMSQ('TS-PILE'!$E$72:$E$91))+IF(SUMSQ('TS-PILE'!$D$72:$D$91)=0,0,'TO HOP NLAN'!F262*'TS-PILE'!$D$79/SUMSQ('TS-PILE'!$D$72:$D$91))),IF('TS-PILE'!$B$80="",-1E+99,'TO HOP NLAN'!D262/ncoc+IF(SUMSQ('TS-PILE'!$E$72:$E$91)=0,0,'TO HOP NLAN'!E262*'TS-PILE'!$E$80/SUMSQ('TS-PILE'!$E$72:$E$91))+IF(SUMSQ('TS-PILE'!$D$72:$D$91)=0,0,'TO HOP NLAN'!F262*'TS-PILE'!$D$80/SUMSQ('TS-PILE'!$D$72:$D$91))),IF('TS-PILE'!$B$81="",-1E+99,'TO HOP NLAN'!D262/ncoc+IF(SUMSQ('TS-PILE'!$E$72:$E$91)=0,0,'TO HOP NLAN'!E262*'TS-PILE'!$E$81/SUMSQ('TS-PILE'!$E$72:$E$91))+IF(SUMSQ('TS-PILE'!$D$72:$D$91)=0,0,'TO HOP NLAN'!F262*'TS-PILE'!$D$81/SUMSQ('TS-PILE'!$D$72:$D$91))),IF('TS-PILE'!$B$82="",-1E+99,'TO HOP NLAN'!D262/ncoc+IF(SUMSQ('TS-PILE'!$E$72:$E$91)=0,0,'TO HOP NLAN'!E262*'TS-PILE'!$E$82/SUMSQ('TS-PILE'!$E$72:$E$91))+IF(SUMSQ('TS-PILE'!$D$72:$D$91)=0,0,'TO HOP NLAN'!F262*'TS-PILE'!$D$82/SUMSQ('TS-PILE'!$D$72:$D$91))),IF('TS-PILE'!$B$83="",-1E+99,'TO HOP NLAN'!D262/ncoc+IF(SUMSQ('TS-PILE'!$E$72:$E$91)=0,0,'TO HOP NLAN'!E262*'TS-PILE'!$E$83/SUMSQ('TS-PILE'!$E$72:$E$91))+IF(SUMSQ('TS-PILE'!$D$72:$D$91)=0,0,'TO HOP NLAN'!F262*'TS-PILE'!$D$83/SUMSQ('TS-PILE'!$D$72:$D$91))),IF('TS-PILE'!$B$84="",-1E+99,'TO HOP NLAN'!D262/ncoc+IF(SUMSQ('TS-PILE'!$E$72:$E$91)=0,0,'TO HOP NLAN'!E262*'TS-PILE'!$E$84/SUMSQ('TS-PILE'!$E$72:$E$91))+IF(SUMSQ('TS-PILE'!$D$72:$D$91)=0,0,'TO HOP NLAN'!F262*'TS-PILE'!$D$84/SUMSQ('TS-PILE'!$D$72:$D$91))),IF('TS-PILE'!$B$85="",-1E+99,'TO HOP NLAN'!D262/ncoc+IF(SUMSQ('TS-PILE'!$E$72:$E$91)=0,0,'TO HOP NLAN'!E262*'TS-PILE'!$E$85/SUMSQ('TS-PILE'!$E$72:$E$91))+IF(SUMSQ('TS-PILE'!$D$72:$D$91)=0,0,'TO HOP NLAN'!F262*'TS-PILE'!$D$85/SUMSQ('TS-PILE'!$D$72:$D$91))),IF('TS-PILE'!$B$86="",-1E+99,'TO HOP NLAN'!D262/ncoc+IF(SUMSQ('TS-PILE'!$E$72:$E$91)=0,0,'TO HOP NLAN'!E262*'TS-PILE'!$E$86/SUMSQ('TS-PILE'!$E$72:$E$91))+IF(SUMSQ('TS-PILE'!$D$72:$D$91)=0,0,'TO HOP NLAN'!F262*'TS-PILE'!$D$86/SUMSQ('TS-PILE'!$D$72:$D$91))),IF('TS-PILE'!$B$87="",-1E+99,'TO HOP NLAN'!D262/ncoc+IF(SUMSQ('TS-PILE'!$E$72:$E$91)=0,0,'TO HOP NLAN'!E262*'TS-PILE'!$E$87/SUMSQ('TS-PILE'!$E$72:$E$91))+IF(SUMSQ('TS-PILE'!$D$72:$D$91)=0,0,'TO HOP NLAN'!F262*'TS-PILE'!$D$87/SUMSQ('TS-PILE'!$D$72:$D$91))),IF('TS-PILE'!$B$88="",-1E+99,'TO HOP NLAN'!D262/ncoc+IF(SUMSQ('TS-PILE'!$E$72:$E$91)=0,0,'TO HOP NLAN'!E262*'TS-PILE'!$E$88/SUMSQ('TS-PILE'!$E$72:$E$91))+IF(SUMSQ('TS-PILE'!$D$72:$D$91)=0,0,'TO HOP NLAN'!F262*'TS-PILE'!$D$88/SUMSQ('TS-PILE'!$D$72:$D$91))),IF('TS-PILE'!$B$89="",-1E+99,'TO HOP NLAN'!D262/ncoc+IF(SUMSQ('TS-PILE'!$E$72:$E$91)=0,0,'TO HOP NLAN'!E262*'TS-PILE'!$E$89/SUMSQ('TS-PILE'!$E$72:$E$91))+IF(SUMSQ('TS-PILE'!$D$72:$D$91)=0,0,'TO HOP NLAN'!F262*'TS-PILE'!$D$89/SUMSQ('TS-PILE'!$D$72:$D$91))),IF('TS-PILE'!$B$90="",-1E+99,'TO HOP NLAN'!D262/ncoc+IF(SUMSQ('TS-PILE'!$E$72:$E$91)=0,0,'TO HOP NLAN'!E262*'TS-PILE'!$E$90/SUMSQ('TS-PILE'!$E$72:$E$91))+IF(SUMSQ('TS-PILE'!$D$72:$D$91)=0,0,'TO HOP NLAN'!F262*'TS-PILE'!$D$90/SUMSQ('TS-PILE'!$D$72:$D$91))),IF('TS-PILE'!$B$91="",-1E+99,'TO HOP NLAN'!D262/ncoc+IF(SUMSQ('TS-PILE'!$E$72:$E$91)=0,0,'TO HOP NLAN'!E262*'TS-PILE'!$E$91/SUMSQ('TS-PILE'!$E$72:$E$91))+IF(SUMSQ('TS-PILE'!$D$72:$D$91)=0,0,'TO HOP NLAN'!F262*'TS-PILE'!$D$91/SUMSQ('TS-PILE'!$D$72:$D$91)))))</f>
        <v>0</v>
      </c>
      <c r="D262" s="58">
        <f>IF(A262="",0,MIN(IF('TS-PILE'!$B$72="",1E+99,'TO HOP NLAN'!D262/ncoc+IF(SUMSQ('TS-PILE'!$E$72:$E$91)=0,0,'TO HOP NLAN'!E262*'TS-PILE'!$E$72/SUMSQ('TS-PILE'!$E$72:$E$91))+IF(SUMSQ('TS-PILE'!$D$72:$D$91)=0,0,'TO HOP NLAN'!F262*'TS-PILE'!$D$72/SUMSQ('TS-PILE'!$D$72:$D$91))),IF('TS-PILE'!$B$73="",1E+99,'TO HOP NLAN'!D262/ncoc+IF(SUMSQ('TS-PILE'!$E$72:$E$91)=0,0,'TO HOP NLAN'!E262*'TS-PILE'!$E$73/SUMSQ('TS-PILE'!$E$72:$E$91))+IF(SUMSQ('TS-PILE'!$D$72:$D$91)=0,0,'TO HOP NLAN'!F262*'TS-PILE'!$D$73/SUMSQ('TS-PILE'!$D$72:$D$91))),IF('TS-PILE'!$B$74="",1E+99,'TO HOP NLAN'!D262/ncoc+IF(SUMSQ('TS-PILE'!$E$72:$E$91)=0,0,'TO HOP NLAN'!E262*'TS-PILE'!$E$74/SUMSQ('TS-PILE'!$E$72:$E$91))+IF(SUMSQ('TS-PILE'!$D$72:$D$91)=0,0,'TO HOP NLAN'!F262*'TS-PILE'!$D$74/SUMSQ('TS-PILE'!$D$72:$D$91))),IF('TS-PILE'!$B$75="",1E+99,'TO HOP NLAN'!D262/ncoc+IF(SUMSQ('TS-PILE'!$E$72:$E$91)=0,0,'TO HOP NLAN'!E262*'TS-PILE'!$E$75/SUMSQ('TS-PILE'!$E$72:$E$91))+IF(SUMSQ('TS-PILE'!$D$72:$D$91)=0,0,'TO HOP NLAN'!F262*'TS-PILE'!$D$75/SUMSQ('TS-PILE'!$D$72:$D$91))),IF('TS-PILE'!$B$76="",1E+99,'TO HOP NLAN'!D262/ncoc+IF(SUMSQ('TS-PILE'!$E$72:$E$91)=0,0,'TO HOP NLAN'!E262*'TS-PILE'!$E$76/SUMSQ('TS-PILE'!$E$72:$E$91))+IF(SUMSQ('TS-PILE'!$D$72:$D$91)=0,0,'TO HOP NLAN'!F262*'TS-PILE'!$D$76/SUMSQ('TS-PILE'!$D$72:$D$91))),IF('TS-PILE'!$B$77="",1E+99,'TO HOP NLAN'!D262/ncoc+IF(SUMSQ('TS-PILE'!$E$72:$E$91)=0,0,'TO HOP NLAN'!E262*'TS-PILE'!$E$77/SUMSQ('TS-PILE'!$E$72:$E$91))+IF(SUMSQ('TS-PILE'!$D$72:$D$91)=0,0,'TO HOP NLAN'!F262*'TS-PILE'!$D$77/SUMSQ('TS-PILE'!$D$72:$D$91))),IF('TS-PILE'!$B$78="",1E+99,'TO HOP NLAN'!D262/ncoc+IF(SUMSQ('TS-PILE'!$E$72:$E$91)=0,0,'TO HOP NLAN'!E262*'TS-PILE'!$E$78/SUMSQ('TS-PILE'!$E$72:$E$91))+IF(SUMSQ('TS-PILE'!$D$72:$D$91)=0,0,'TO HOP NLAN'!F262*'TS-PILE'!$D$78/SUMSQ('TS-PILE'!$D$72:$D$91))),IF('TS-PILE'!$B$79="",1E+99,'TO HOP NLAN'!D262/ncoc+IF(SUMSQ('TS-PILE'!$E$72:$E$91)=0,0,'TO HOP NLAN'!E262*'TS-PILE'!$E$79/SUMSQ('TS-PILE'!$E$72:$E$91))+IF(SUMSQ('TS-PILE'!$D$72:$D$91)=0,0,'TO HOP NLAN'!F262*'TS-PILE'!$D$79/SUMSQ('TS-PILE'!$D$72:$D$91))),IF('TS-PILE'!$B$80="",1E+99,'TO HOP NLAN'!D262/ncoc+IF(SUMSQ('TS-PILE'!$E$72:$E$91)=0,0,'TO HOP NLAN'!E262*'TS-PILE'!$E$80/SUMSQ('TS-PILE'!$E$72:$E$91))+IF(SUMSQ('TS-PILE'!$D$72:$D$91)=0,0,'TO HOP NLAN'!F262*'TS-PILE'!$D$80/SUMSQ('TS-PILE'!$D$72:$D$91))),IF('TS-PILE'!$B$81="",1E+99,'TO HOP NLAN'!D262/ncoc+IF(SUMSQ('TS-PILE'!$E$72:$E$91)=0,0,'TO HOP NLAN'!E262*'TS-PILE'!$E$81/SUMSQ('TS-PILE'!$E$72:$E$91))+IF(SUMSQ('TS-PILE'!$D$72:$D$91)=0,0,'TO HOP NLAN'!F262*'TS-PILE'!$D$81/SUMSQ('TS-PILE'!$D$72:$D$91))),IF('TS-PILE'!$B$82="",1E+99,'TO HOP NLAN'!D262/ncoc+IF(SUMSQ('TS-PILE'!$E$72:$E$91)=0,0,'TO HOP NLAN'!E262*'TS-PILE'!$E$82/SUMSQ('TS-PILE'!$E$72:$E$91))+IF(SUMSQ('TS-PILE'!$D$72:$D$91)=0,0,'TO HOP NLAN'!F262*'TS-PILE'!$D$82/SUMSQ('TS-PILE'!$D$72:$D$91))),IF('TS-PILE'!$B$83="",1E+99,'TO HOP NLAN'!D262/ncoc+IF(SUMSQ('TS-PILE'!$E$72:$E$91)=0,0,'TO HOP NLAN'!E262*'TS-PILE'!$E$83/SUMSQ('TS-PILE'!$E$72:$E$91))+IF(SUMSQ('TS-PILE'!$D$72:$D$91)=0,0,'TO HOP NLAN'!F262*'TS-PILE'!$D$83/SUMSQ('TS-PILE'!$D$72:$D$91))),IF('TS-PILE'!$B$84="",1E+99,'TO HOP NLAN'!D262/ncoc+IF(SUMSQ('TS-PILE'!$E$72:$E$91)=0,0,'TO HOP NLAN'!E262*'TS-PILE'!$E$84/SUMSQ('TS-PILE'!$E$72:$E$91))+IF(SUMSQ('TS-PILE'!$D$72:$D$91)=0,0,'TO HOP NLAN'!F262*'TS-PILE'!$D$84/SUMSQ('TS-PILE'!$D$72:$D$91))),IF('TS-PILE'!$B$85="",1E+99,'TO HOP NLAN'!D262/ncoc+IF(SUMSQ('TS-PILE'!$E$72:$E$91)=0,0,'TO HOP NLAN'!E262*'TS-PILE'!$E$85/SUMSQ('TS-PILE'!$E$72:$E$91))+IF(SUMSQ('TS-PILE'!$D$72:$D$91)=0,0,'TO HOP NLAN'!F262*'TS-PILE'!$D$85/SUMSQ('TS-PILE'!$D$72:$D$91))),IF('TS-PILE'!$B$86="",1E+99,'TO HOP NLAN'!D262/ncoc+IF(SUMSQ('TS-PILE'!$E$72:$E$91)=0,0,'TO HOP NLAN'!E262*'TS-PILE'!$E$86/SUMSQ('TS-PILE'!$E$72:$E$91))+IF(SUMSQ('TS-PILE'!$D$72:$D$91)=0,0,'TO HOP NLAN'!F262*'TS-PILE'!$D$86/SUMSQ('TS-PILE'!$D$72:$D$91))),IF('TS-PILE'!$B$87="",1E+99,'TO HOP NLAN'!D262/ncoc+IF(SUMSQ('TS-PILE'!$E$72:$E$91)=0,0,'TO HOP NLAN'!E262*'TS-PILE'!$E$87/SUMSQ('TS-PILE'!$E$72:$E$91))+IF(SUMSQ('TS-PILE'!$D$72:$D$91)=0,0,'TO HOP NLAN'!F262*'TS-PILE'!$D$87/SUMSQ('TS-PILE'!$D$72:$D$91))),IF('TS-PILE'!$B$88="",1E+99,'TO HOP NLAN'!D262/ncoc+IF(SUMSQ('TS-PILE'!$E$72:$E$91)=0,0,'TO HOP NLAN'!E262*'TS-PILE'!$E$88/SUMSQ('TS-PILE'!$E$72:$E$91))+IF(SUMSQ('TS-PILE'!$D$72:$D$91)=0,0,'TO HOP NLAN'!F262*'TS-PILE'!$D$88/SUMSQ('TS-PILE'!$D$72:$D$91))),IF('TS-PILE'!$B$89="",1E+99,'TO HOP NLAN'!D262/ncoc+IF(SUMSQ('TS-PILE'!$E$72:$E$91)=0,0,'TO HOP NLAN'!E262*'TS-PILE'!$E$89/SUMSQ('TS-PILE'!$E$72:$E$91))+IF(SUMSQ('TS-PILE'!$D$72:$D$91)=0,0,'TO HOP NLAN'!F262*'TS-PILE'!$D$89/SUMSQ('TS-PILE'!$D$72:$D$91))),IF('TS-PILE'!$B$90="",1E+99,'TO HOP NLAN'!D262/ncoc+IF(SUMSQ('TS-PILE'!$E$72:$E$91)=0,0,'TO HOP NLAN'!E262*'TS-PILE'!$E$90/SUMSQ('TS-PILE'!$E$72:$E$91))+IF(SUMSQ('TS-PILE'!$D$72:$D$91)=0,0,'TO HOP NLAN'!F262*'TS-PILE'!$D$90/SUMSQ('TS-PILE'!$D$72:$D$91))),IF('TS-PILE'!$B$91="",1E+99,'TO HOP NLAN'!D262/ncoc+IF(SUMSQ('TS-PILE'!$E$72:$E$91)=0,0,'TO HOP NLAN'!E262*'TS-PILE'!$E$91/SUMSQ('TS-PILE'!$E$72:$E$91))+IF(SUMSQ('TS-PILE'!$D$72:$D$91)=0,0,'TO HOP NLAN'!F262*'TS-PILE'!$D$91/SUMSQ('TS-PILE'!$D$72:$D$91)))))</f>
        <v>0</v>
      </c>
      <c r="E262" s="58">
        <f t="shared" ref="E262:E311" si="16">IF(AND(A262&lt;&gt;"",B262="SERVICE"),C262,-1E+99)</f>
        <v>-9.9999999999999997E+98</v>
      </c>
      <c r="F262" s="58">
        <f t="shared" ref="F262:F311" si="17">IF(AND(A262&lt;&gt;"",B262="SERVICE"),D262,1E+99)</f>
        <v>9.9999999999999997E+98</v>
      </c>
      <c r="G262" s="58">
        <f t="shared" ref="G262:G311" si="18">IF(AND(A262&lt;&gt;"",B262="STRENGTH"),C262,-1E+99)</f>
        <v>-9.9999999999999997E+98</v>
      </c>
      <c r="H262" s="58">
        <f t="shared" ref="H262:H311" si="19">IF(AND(A262&lt;&gt;"",B262="STRENGTH"),D262,1E+99)</f>
        <v>9.9999999999999997E+98</v>
      </c>
    </row>
    <row r="263" spans="1:8" x14ac:dyDescent="0.3">
      <c r="A263" s="42" t="str">
        <f>'TO HOP NLAN'!A263</f>
        <v/>
      </c>
      <c r="B263" s="42" t="str">
        <f>'TO HOP NLAN'!L263</f>
        <v>STRENGTH</v>
      </c>
      <c r="C263" s="58">
        <f>IF(A263="",0,MAX(IF('TS-PILE'!$B$72="",-1E+99,'TO HOP NLAN'!D263/ncoc+IF(SUMSQ('TS-PILE'!$E$72:$E$91)=0,0,'TO HOP NLAN'!E263*'TS-PILE'!$E$72/SUMSQ('TS-PILE'!$E$72:$E$91))+IF(SUMSQ('TS-PILE'!$D$72:$D$91)=0,0,'TO HOP NLAN'!F263*'TS-PILE'!$D$72/SUMSQ('TS-PILE'!$D$72:$D$91))),IF('TS-PILE'!$B$73="",-1E+99,'TO HOP NLAN'!D263/ncoc+IF(SUMSQ('TS-PILE'!$E$72:$E$91)=0,0,'TO HOP NLAN'!E263*'TS-PILE'!$E$73/SUMSQ('TS-PILE'!$E$72:$E$91))+IF(SUMSQ('TS-PILE'!$D$72:$D$91)=0,0,'TO HOP NLAN'!F263*'TS-PILE'!$D$73/SUMSQ('TS-PILE'!$D$72:$D$91))),IF('TS-PILE'!$B$74="",-1E+99,'TO HOP NLAN'!D263/ncoc+IF(SUMSQ('TS-PILE'!$E$72:$E$91)=0,0,'TO HOP NLAN'!E263*'TS-PILE'!$E$74/SUMSQ('TS-PILE'!$E$72:$E$91))+IF(SUMSQ('TS-PILE'!$D$72:$D$91)=0,0,'TO HOP NLAN'!F263*'TS-PILE'!$D$74/SUMSQ('TS-PILE'!$D$72:$D$91))),IF('TS-PILE'!$B$75="",-1E+99,'TO HOP NLAN'!D263/ncoc+IF(SUMSQ('TS-PILE'!$E$72:$E$91)=0,0,'TO HOP NLAN'!E263*'TS-PILE'!$E$75/SUMSQ('TS-PILE'!$E$72:$E$91))+IF(SUMSQ('TS-PILE'!$D$72:$D$91)=0,0,'TO HOP NLAN'!F263*'TS-PILE'!$D$75/SUMSQ('TS-PILE'!$D$72:$D$91))),IF('TS-PILE'!$B$76="",-1E+99,'TO HOP NLAN'!D263/ncoc+IF(SUMSQ('TS-PILE'!$E$72:$E$91)=0,0,'TO HOP NLAN'!E263*'TS-PILE'!$E$76/SUMSQ('TS-PILE'!$E$72:$E$91))+IF(SUMSQ('TS-PILE'!$D$72:$D$91)=0,0,'TO HOP NLAN'!F263*'TS-PILE'!$D$76/SUMSQ('TS-PILE'!$D$72:$D$91))),IF('TS-PILE'!$B$77="",-1E+99,'TO HOP NLAN'!D263/ncoc+IF(SUMSQ('TS-PILE'!$E$72:$E$91)=0,0,'TO HOP NLAN'!E263*'TS-PILE'!$E$77/SUMSQ('TS-PILE'!$E$72:$E$91))+IF(SUMSQ('TS-PILE'!$D$72:$D$91)=0,0,'TO HOP NLAN'!F263*'TS-PILE'!$D$77/SUMSQ('TS-PILE'!$D$72:$D$91))),IF('TS-PILE'!$B$78="",-1E+99,'TO HOP NLAN'!D263/ncoc+IF(SUMSQ('TS-PILE'!$E$72:$E$91)=0,0,'TO HOP NLAN'!E263*'TS-PILE'!$E$78/SUMSQ('TS-PILE'!$E$72:$E$91))+IF(SUMSQ('TS-PILE'!$D$72:$D$91)=0,0,'TO HOP NLAN'!F263*'TS-PILE'!$D$78/SUMSQ('TS-PILE'!$D$72:$D$91))),IF('TS-PILE'!$B$79="",-1E+99,'TO HOP NLAN'!D263/ncoc+IF(SUMSQ('TS-PILE'!$E$72:$E$91)=0,0,'TO HOP NLAN'!E263*'TS-PILE'!$E$79/SUMSQ('TS-PILE'!$E$72:$E$91))+IF(SUMSQ('TS-PILE'!$D$72:$D$91)=0,0,'TO HOP NLAN'!F263*'TS-PILE'!$D$79/SUMSQ('TS-PILE'!$D$72:$D$91))),IF('TS-PILE'!$B$80="",-1E+99,'TO HOP NLAN'!D263/ncoc+IF(SUMSQ('TS-PILE'!$E$72:$E$91)=0,0,'TO HOP NLAN'!E263*'TS-PILE'!$E$80/SUMSQ('TS-PILE'!$E$72:$E$91))+IF(SUMSQ('TS-PILE'!$D$72:$D$91)=0,0,'TO HOP NLAN'!F263*'TS-PILE'!$D$80/SUMSQ('TS-PILE'!$D$72:$D$91))),IF('TS-PILE'!$B$81="",-1E+99,'TO HOP NLAN'!D263/ncoc+IF(SUMSQ('TS-PILE'!$E$72:$E$91)=0,0,'TO HOP NLAN'!E263*'TS-PILE'!$E$81/SUMSQ('TS-PILE'!$E$72:$E$91))+IF(SUMSQ('TS-PILE'!$D$72:$D$91)=0,0,'TO HOP NLAN'!F263*'TS-PILE'!$D$81/SUMSQ('TS-PILE'!$D$72:$D$91))),IF('TS-PILE'!$B$82="",-1E+99,'TO HOP NLAN'!D263/ncoc+IF(SUMSQ('TS-PILE'!$E$72:$E$91)=0,0,'TO HOP NLAN'!E263*'TS-PILE'!$E$82/SUMSQ('TS-PILE'!$E$72:$E$91))+IF(SUMSQ('TS-PILE'!$D$72:$D$91)=0,0,'TO HOP NLAN'!F263*'TS-PILE'!$D$82/SUMSQ('TS-PILE'!$D$72:$D$91))),IF('TS-PILE'!$B$83="",-1E+99,'TO HOP NLAN'!D263/ncoc+IF(SUMSQ('TS-PILE'!$E$72:$E$91)=0,0,'TO HOP NLAN'!E263*'TS-PILE'!$E$83/SUMSQ('TS-PILE'!$E$72:$E$91))+IF(SUMSQ('TS-PILE'!$D$72:$D$91)=0,0,'TO HOP NLAN'!F263*'TS-PILE'!$D$83/SUMSQ('TS-PILE'!$D$72:$D$91))),IF('TS-PILE'!$B$84="",-1E+99,'TO HOP NLAN'!D263/ncoc+IF(SUMSQ('TS-PILE'!$E$72:$E$91)=0,0,'TO HOP NLAN'!E263*'TS-PILE'!$E$84/SUMSQ('TS-PILE'!$E$72:$E$91))+IF(SUMSQ('TS-PILE'!$D$72:$D$91)=0,0,'TO HOP NLAN'!F263*'TS-PILE'!$D$84/SUMSQ('TS-PILE'!$D$72:$D$91))),IF('TS-PILE'!$B$85="",-1E+99,'TO HOP NLAN'!D263/ncoc+IF(SUMSQ('TS-PILE'!$E$72:$E$91)=0,0,'TO HOP NLAN'!E263*'TS-PILE'!$E$85/SUMSQ('TS-PILE'!$E$72:$E$91))+IF(SUMSQ('TS-PILE'!$D$72:$D$91)=0,0,'TO HOP NLAN'!F263*'TS-PILE'!$D$85/SUMSQ('TS-PILE'!$D$72:$D$91))),IF('TS-PILE'!$B$86="",-1E+99,'TO HOP NLAN'!D263/ncoc+IF(SUMSQ('TS-PILE'!$E$72:$E$91)=0,0,'TO HOP NLAN'!E263*'TS-PILE'!$E$86/SUMSQ('TS-PILE'!$E$72:$E$91))+IF(SUMSQ('TS-PILE'!$D$72:$D$91)=0,0,'TO HOP NLAN'!F263*'TS-PILE'!$D$86/SUMSQ('TS-PILE'!$D$72:$D$91))),IF('TS-PILE'!$B$87="",-1E+99,'TO HOP NLAN'!D263/ncoc+IF(SUMSQ('TS-PILE'!$E$72:$E$91)=0,0,'TO HOP NLAN'!E263*'TS-PILE'!$E$87/SUMSQ('TS-PILE'!$E$72:$E$91))+IF(SUMSQ('TS-PILE'!$D$72:$D$91)=0,0,'TO HOP NLAN'!F263*'TS-PILE'!$D$87/SUMSQ('TS-PILE'!$D$72:$D$91))),IF('TS-PILE'!$B$88="",-1E+99,'TO HOP NLAN'!D263/ncoc+IF(SUMSQ('TS-PILE'!$E$72:$E$91)=0,0,'TO HOP NLAN'!E263*'TS-PILE'!$E$88/SUMSQ('TS-PILE'!$E$72:$E$91))+IF(SUMSQ('TS-PILE'!$D$72:$D$91)=0,0,'TO HOP NLAN'!F263*'TS-PILE'!$D$88/SUMSQ('TS-PILE'!$D$72:$D$91))),IF('TS-PILE'!$B$89="",-1E+99,'TO HOP NLAN'!D263/ncoc+IF(SUMSQ('TS-PILE'!$E$72:$E$91)=0,0,'TO HOP NLAN'!E263*'TS-PILE'!$E$89/SUMSQ('TS-PILE'!$E$72:$E$91))+IF(SUMSQ('TS-PILE'!$D$72:$D$91)=0,0,'TO HOP NLAN'!F263*'TS-PILE'!$D$89/SUMSQ('TS-PILE'!$D$72:$D$91))),IF('TS-PILE'!$B$90="",-1E+99,'TO HOP NLAN'!D263/ncoc+IF(SUMSQ('TS-PILE'!$E$72:$E$91)=0,0,'TO HOP NLAN'!E263*'TS-PILE'!$E$90/SUMSQ('TS-PILE'!$E$72:$E$91))+IF(SUMSQ('TS-PILE'!$D$72:$D$91)=0,0,'TO HOP NLAN'!F263*'TS-PILE'!$D$90/SUMSQ('TS-PILE'!$D$72:$D$91))),IF('TS-PILE'!$B$91="",-1E+99,'TO HOP NLAN'!D263/ncoc+IF(SUMSQ('TS-PILE'!$E$72:$E$91)=0,0,'TO HOP NLAN'!E263*'TS-PILE'!$E$91/SUMSQ('TS-PILE'!$E$72:$E$91))+IF(SUMSQ('TS-PILE'!$D$72:$D$91)=0,0,'TO HOP NLAN'!F263*'TS-PILE'!$D$91/SUMSQ('TS-PILE'!$D$72:$D$91)))))</f>
        <v>0</v>
      </c>
      <c r="D263" s="58">
        <f>IF(A263="",0,MIN(IF('TS-PILE'!$B$72="",1E+99,'TO HOP NLAN'!D263/ncoc+IF(SUMSQ('TS-PILE'!$E$72:$E$91)=0,0,'TO HOP NLAN'!E263*'TS-PILE'!$E$72/SUMSQ('TS-PILE'!$E$72:$E$91))+IF(SUMSQ('TS-PILE'!$D$72:$D$91)=0,0,'TO HOP NLAN'!F263*'TS-PILE'!$D$72/SUMSQ('TS-PILE'!$D$72:$D$91))),IF('TS-PILE'!$B$73="",1E+99,'TO HOP NLAN'!D263/ncoc+IF(SUMSQ('TS-PILE'!$E$72:$E$91)=0,0,'TO HOP NLAN'!E263*'TS-PILE'!$E$73/SUMSQ('TS-PILE'!$E$72:$E$91))+IF(SUMSQ('TS-PILE'!$D$72:$D$91)=0,0,'TO HOP NLAN'!F263*'TS-PILE'!$D$73/SUMSQ('TS-PILE'!$D$72:$D$91))),IF('TS-PILE'!$B$74="",1E+99,'TO HOP NLAN'!D263/ncoc+IF(SUMSQ('TS-PILE'!$E$72:$E$91)=0,0,'TO HOP NLAN'!E263*'TS-PILE'!$E$74/SUMSQ('TS-PILE'!$E$72:$E$91))+IF(SUMSQ('TS-PILE'!$D$72:$D$91)=0,0,'TO HOP NLAN'!F263*'TS-PILE'!$D$74/SUMSQ('TS-PILE'!$D$72:$D$91))),IF('TS-PILE'!$B$75="",1E+99,'TO HOP NLAN'!D263/ncoc+IF(SUMSQ('TS-PILE'!$E$72:$E$91)=0,0,'TO HOP NLAN'!E263*'TS-PILE'!$E$75/SUMSQ('TS-PILE'!$E$72:$E$91))+IF(SUMSQ('TS-PILE'!$D$72:$D$91)=0,0,'TO HOP NLAN'!F263*'TS-PILE'!$D$75/SUMSQ('TS-PILE'!$D$72:$D$91))),IF('TS-PILE'!$B$76="",1E+99,'TO HOP NLAN'!D263/ncoc+IF(SUMSQ('TS-PILE'!$E$72:$E$91)=0,0,'TO HOP NLAN'!E263*'TS-PILE'!$E$76/SUMSQ('TS-PILE'!$E$72:$E$91))+IF(SUMSQ('TS-PILE'!$D$72:$D$91)=0,0,'TO HOP NLAN'!F263*'TS-PILE'!$D$76/SUMSQ('TS-PILE'!$D$72:$D$91))),IF('TS-PILE'!$B$77="",1E+99,'TO HOP NLAN'!D263/ncoc+IF(SUMSQ('TS-PILE'!$E$72:$E$91)=0,0,'TO HOP NLAN'!E263*'TS-PILE'!$E$77/SUMSQ('TS-PILE'!$E$72:$E$91))+IF(SUMSQ('TS-PILE'!$D$72:$D$91)=0,0,'TO HOP NLAN'!F263*'TS-PILE'!$D$77/SUMSQ('TS-PILE'!$D$72:$D$91))),IF('TS-PILE'!$B$78="",1E+99,'TO HOP NLAN'!D263/ncoc+IF(SUMSQ('TS-PILE'!$E$72:$E$91)=0,0,'TO HOP NLAN'!E263*'TS-PILE'!$E$78/SUMSQ('TS-PILE'!$E$72:$E$91))+IF(SUMSQ('TS-PILE'!$D$72:$D$91)=0,0,'TO HOP NLAN'!F263*'TS-PILE'!$D$78/SUMSQ('TS-PILE'!$D$72:$D$91))),IF('TS-PILE'!$B$79="",1E+99,'TO HOP NLAN'!D263/ncoc+IF(SUMSQ('TS-PILE'!$E$72:$E$91)=0,0,'TO HOP NLAN'!E263*'TS-PILE'!$E$79/SUMSQ('TS-PILE'!$E$72:$E$91))+IF(SUMSQ('TS-PILE'!$D$72:$D$91)=0,0,'TO HOP NLAN'!F263*'TS-PILE'!$D$79/SUMSQ('TS-PILE'!$D$72:$D$91))),IF('TS-PILE'!$B$80="",1E+99,'TO HOP NLAN'!D263/ncoc+IF(SUMSQ('TS-PILE'!$E$72:$E$91)=0,0,'TO HOP NLAN'!E263*'TS-PILE'!$E$80/SUMSQ('TS-PILE'!$E$72:$E$91))+IF(SUMSQ('TS-PILE'!$D$72:$D$91)=0,0,'TO HOP NLAN'!F263*'TS-PILE'!$D$80/SUMSQ('TS-PILE'!$D$72:$D$91))),IF('TS-PILE'!$B$81="",1E+99,'TO HOP NLAN'!D263/ncoc+IF(SUMSQ('TS-PILE'!$E$72:$E$91)=0,0,'TO HOP NLAN'!E263*'TS-PILE'!$E$81/SUMSQ('TS-PILE'!$E$72:$E$91))+IF(SUMSQ('TS-PILE'!$D$72:$D$91)=0,0,'TO HOP NLAN'!F263*'TS-PILE'!$D$81/SUMSQ('TS-PILE'!$D$72:$D$91))),IF('TS-PILE'!$B$82="",1E+99,'TO HOP NLAN'!D263/ncoc+IF(SUMSQ('TS-PILE'!$E$72:$E$91)=0,0,'TO HOP NLAN'!E263*'TS-PILE'!$E$82/SUMSQ('TS-PILE'!$E$72:$E$91))+IF(SUMSQ('TS-PILE'!$D$72:$D$91)=0,0,'TO HOP NLAN'!F263*'TS-PILE'!$D$82/SUMSQ('TS-PILE'!$D$72:$D$91))),IF('TS-PILE'!$B$83="",1E+99,'TO HOP NLAN'!D263/ncoc+IF(SUMSQ('TS-PILE'!$E$72:$E$91)=0,0,'TO HOP NLAN'!E263*'TS-PILE'!$E$83/SUMSQ('TS-PILE'!$E$72:$E$91))+IF(SUMSQ('TS-PILE'!$D$72:$D$91)=0,0,'TO HOP NLAN'!F263*'TS-PILE'!$D$83/SUMSQ('TS-PILE'!$D$72:$D$91))),IF('TS-PILE'!$B$84="",1E+99,'TO HOP NLAN'!D263/ncoc+IF(SUMSQ('TS-PILE'!$E$72:$E$91)=0,0,'TO HOP NLAN'!E263*'TS-PILE'!$E$84/SUMSQ('TS-PILE'!$E$72:$E$91))+IF(SUMSQ('TS-PILE'!$D$72:$D$91)=0,0,'TO HOP NLAN'!F263*'TS-PILE'!$D$84/SUMSQ('TS-PILE'!$D$72:$D$91))),IF('TS-PILE'!$B$85="",1E+99,'TO HOP NLAN'!D263/ncoc+IF(SUMSQ('TS-PILE'!$E$72:$E$91)=0,0,'TO HOP NLAN'!E263*'TS-PILE'!$E$85/SUMSQ('TS-PILE'!$E$72:$E$91))+IF(SUMSQ('TS-PILE'!$D$72:$D$91)=0,0,'TO HOP NLAN'!F263*'TS-PILE'!$D$85/SUMSQ('TS-PILE'!$D$72:$D$91))),IF('TS-PILE'!$B$86="",1E+99,'TO HOP NLAN'!D263/ncoc+IF(SUMSQ('TS-PILE'!$E$72:$E$91)=0,0,'TO HOP NLAN'!E263*'TS-PILE'!$E$86/SUMSQ('TS-PILE'!$E$72:$E$91))+IF(SUMSQ('TS-PILE'!$D$72:$D$91)=0,0,'TO HOP NLAN'!F263*'TS-PILE'!$D$86/SUMSQ('TS-PILE'!$D$72:$D$91))),IF('TS-PILE'!$B$87="",1E+99,'TO HOP NLAN'!D263/ncoc+IF(SUMSQ('TS-PILE'!$E$72:$E$91)=0,0,'TO HOP NLAN'!E263*'TS-PILE'!$E$87/SUMSQ('TS-PILE'!$E$72:$E$91))+IF(SUMSQ('TS-PILE'!$D$72:$D$91)=0,0,'TO HOP NLAN'!F263*'TS-PILE'!$D$87/SUMSQ('TS-PILE'!$D$72:$D$91))),IF('TS-PILE'!$B$88="",1E+99,'TO HOP NLAN'!D263/ncoc+IF(SUMSQ('TS-PILE'!$E$72:$E$91)=0,0,'TO HOP NLAN'!E263*'TS-PILE'!$E$88/SUMSQ('TS-PILE'!$E$72:$E$91))+IF(SUMSQ('TS-PILE'!$D$72:$D$91)=0,0,'TO HOP NLAN'!F263*'TS-PILE'!$D$88/SUMSQ('TS-PILE'!$D$72:$D$91))),IF('TS-PILE'!$B$89="",1E+99,'TO HOP NLAN'!D263/ncoc+IF(SUMSQ('TS-PILE'!$E$72:$E$91)=0,0,'TO HOP NLAN'!E263*'TS-PILE'!$E$89/SUMSQ('TS-PILE'!$E$72:$E$91))+IF(SUMSQ('TS-PILE'!$D$72:$D$91)=0,0,'TO HOP NLAN'!F263*'TS-PILE'!$D$89/SUMSQ('TS-PILE'!$D$72:$D$91))),IF('TS-PILE'!$B$90="",1E+99,'TO HOP NLAN'!D263/ncoc+IF(SUMSQ('TS-PILE'!$E$72:$E$91)=0,0,'TO HOP NLAN'!E263*'TS-PILE'!$E$90/SUMSQ('TS-PILE'!$E$72:$E$91))+IF(SUMSQ('TS-PILE'!$D$72:$D$91)=0,0,'TO HOP NLAN'!F263*'TS-PILE'!$D$90/SUMSQ('TS-PILE'!$D$72:$D$91))),IF('TS-PILE'!$B$91="",1E+99,'TO HOP NLAN'!D263/ncoc+IF(SUMSQ('TS-PILE'!$E$72:$E$91)=0,0,'TO HOP NLAN'!E263*'TS-PILE'!$E$91/SUMSQ('TS-PILE'!$E$72:$E$91))+IF(SUMSQ('TS-PILE'!$D$72:$D$91)=0,0,'TO HOP NLAN'!F263*'TS-PILE'!$D$91/SUMSQ('TS-PILE'!$D$72:$D$91)))))</f>
        <v>0</v>
      </c>
      <c r="E263" s="58">
        <f t="shared" si="16"/>
        <v>-9.9999999999999997E+98</v>
      </c>
      <c r="F263" s="58">
        <f t="shared" si="17"/>
        <v>9.9999999999999997E+98</v>
      </c>
      <c r="G263" s="58">
        <f t="shared" si="18"/>
        <v>-9.9999999999999997E+98</v>
      </c>
      <c r="H263" s="58">
        <f t="shared" si="19"/>
        <v>9.9999999999999997E+98</v>
      </c>
    </row>
    <row r="264" spans="1:8" x14ac:dyDescent="0.3">
      <c r="A264" s="42" t="str">
        <f>'TO HOP NLAN'!A264</f>
        <v/>
      </c>
      <c r="B264" s="42" t="str">
        <f>'TO HOP NLAN'!L264</f>
        <v>STRENGTH</v>
      </c>
      <c r="C264" s="58">
        <f>IF(A264="",0,MAX(IF('TS-PILE'!$B$72="",-1E+99,'TO HOP NLAN'!D264/ncoc+IF(SUMSQ('TS-PILE'!$E$72:$E$91)=0,0,'TO HOP NLAN'!E264*'TS-PILE'!$E$72/SUMSQ('TS-PILE'!$E$72:$E$91))+IF(SUMSQ('TS-PILE'!$D$72:$D$91)=0,0,'TO HOP NLAN'!F264*'TS-PILE'!$D$72/SUMSQ('TS-PILE'!$D$72:$D$91))),IF('TS-PILE'!$B$73="",-1E+99,'TO HOP NLAN'!D264/ncoc+IF(SUMSQ('TS-PILE'!$E$72:$E$91)=0,0,'TO HOP NLAN'!E264*'TS-PILE'!$E$73/SUMSQ('TS-PILE'!$E$72:$E$91))+IF(SUMSQ('TS-PILE'!$D$72:$D$91)=0,0,'TO HOP NLAN'!F264*'TS-PILE'!$D$73/SUMSQ('TS-PILE'!$D$72:$D$91))),IF('TS-PILE'!$B$74="",-1E+99,'TO HOP NLAN'!D264/ncoc+IF(SUMSQ('TS-PILE'!$E$72:$E$91)=0,0,'TO HOP NLAN'!E264*'TS-PILE'!$E$74/SUMSQ('TS-PILE'!$E$72:$E$91))+IF(SUMSQ('TS-PILE'!$D$72:$D$91)=0,0,'TO HOP NLAN'!F264*'TS-PILE'!$D$74/SUMSQ('TS-PILE'!$D$72:$D$91))),IF('TS-PILE'!$B$75="",-1E+99,'TO HOP NLAN'!D264/ncoc+IF(SUMSQ('TS-PILE'!$E$72:$E$91)=0,0,'TO HOP NLAN'!E264*'TS-PILE'!$E$75/SUMSQ('TS-PILE'!$E$72:$E$91))+IF(SUMSQ('TS-PILE'!$D$72:$D$91)=0,0,'TO HOP NLAN'!F264*'TS-PILE'!$D$75/SUMSQ('TS-PILE'!$D$72:$D$91))),IF('TS-PILE'!$B$76="",-1E+99,'TO HOP NLAN'!D264/ncoc+IF(SUMSQ('TS-PILE'!$E$72:$E$91)=0,0,'TO HOP NLAN'!E264*'TS-PILE'!$E$76/SUMSQ('TS-PILE'!$E$72:$E$91))+IF(SUMSQ('TS-PILE'!$D$72:$D$91)=0,0,'TO HOP NLAN'!F264*'TS-PILE'!$D$76/SUMSQ('TS-PILE'!$D$72:$D$91))),IF('TS-PILE'!$B$77="",-1E+99,'TO HOP NLAN'!D264/ncoc+IF(SUMSQ('TS-PILE'!$E$72:$E$91)=0,0,'TO HOP NLAN'!E264*'TS-PILE'!$E$77/SUMSQ('TS-PILE'!$E$72:$E$91))+IF(SUMSQ('TS-PILE'!$D$72:$D$91)=0,0,'TO HOP NLAN'!F264*'TS-PILE'!$D$77/SUMSQ('TS-PILE'!$D$72:$D$91))),IF('TS-PILE'!$B$78="",-1E+99,'TO HOP NLAN'!D264/ncoc+IF(SUMSQ('TS-PILE'!$E$72:$E$91)=0,0,'TO HOP NLAN'!E264*'TS-PILE'!$E$78/SUMSQ('TS-PILE'!$E$72:$E$91))+IF(SUMSQ('TS-PILE'!$D$72:$D$91)=0,0,'TO HOP NLAN'!F264*'TS-PILE'!$D$78/SUMSQ('TS-PILE'!$D$72:$D$91))),IF('TS-PILE'!$B$79="",-1E+99,'TO HOP NLAN'!D264/ncoc+IF(SUMSQ('TS-PILE'!$E$72:$E$91)=0,0,'TO HOP NLAN'!E264*'TS-PILE'!$E$79/SUMSQ('TS-PILE'!$E$72:$E$91))+IF(SUMSQ('TS-PILE'!$D$72:$D$91)=0,0,'TO HOP NLAN'!F264*'TS-PILE'!$D$79/SUMSQ('TS-PILE'!$D$72:$D$91))),IF('TS-PILE'!$B$80="",-1E+99,'TO HOP NLAN'!D264/ncoc+IF(SUMSQ('TS-PILE'!$E$72:$E$91)=0,0,'TO HOP NLAN'!E264*'TS-PILE'!$E$80/SUMSQ('TS-PILE'!$E$72:$E$91))+IF(SUMSQ('TS-PILE'!$D$72:$D$91)=0,0,'TO HOP NLAN'!F264*'TS-PILE'!$D$80/SUMSQ('TS-PILE'!$D$72:$D$91))),IF('TS-PILE'!$B$81="",-1E+99,'TO HOP NLAN'!D264/ncoc+IF(SUMSQ('TS-PILE'!$E$72:$E$91)=0,0,'TO HOP NLAN'!E264*'TS-PILE'!$E$81/SUMSQ('TS-PILE'!$E$72:$E$91))+IF(SUMSQ('TS-PILE'!$D$72:$D$91)=0,0,'TO HOP NLAN'!F264*'TS-PILE'!$D$81/SUMSQ('TS-PILE'!$D$72:$D$91))),IF('TS-PILE'!$B$82="",-1E+99,'TO HOP NLAN'!D264/ncoc+IF(SUMSQ('TS-PILE'!$E$72:$E$91)=0,0,'TO HOP NLAN'!E264*'TS-PILE'!$E$82/SUMSQ('TS-PILE'!$E$72:$E$91))+IF(SUMSQ('TS-PILE'!$D$72:$D$91)=0,0,'TO HOP NLAN'!F264*'TS-PILE'!$D$82/SUMSQ('TS-PILE'!$D$72:$D$91))),IF('TS-PILE'!$B$83="",-1E+99,'TO HOP NLAN'!D264/ncoc+IF(SUMSQ('TS-PILE'!$E$72:$E$91)=0,0,'TO HOP NLAN'!E264*'TS-PILE'!$E$83/SUMSQ('TS-PILE'!$E$72:$E$91))+IF(SUMSQ('TS-PILE'!$D$72:$D$91)=0,0,'TO HOP NLAN'!F264*'TS-PILE'!$D$83/SUMSQ('TS-PILE'!$D$72:$D$91))),IF('TS-PILE'!$B$84="",-1E+99,'TO HOP NLAN'!D264/ncoc+IF(SUMSQ('TS-PILE'!$E$72:$E$91)=0,0,'TO HOP NLAN'!E264*'TS-PILE'!$E$84/SUMSQ('TS-PILE'!$E$72:$E$91))+IF(SUMSQ('TS-PILE'!$D$72:$D$91)=0,0,'TO HOP NLAN'!F264*'TS-PILE'!$D$84/SUMSQ('TS-PILE'!$D$72:$D$91))),IF('TS-PILE'!$B$85="",-1E+99,'TO HOP NLAN'!D264/ncoc+IF(SUMSQ('TS-PILE'!$E$72:$E$91)=0,0,'TO HOP NLAN'!E264*'TS-PILE'!$E$85/SUMSQ('TS-PILE'!$E$72:$E$91))+IF(SUMSQ('TS-PILE'!$D$72:$D$91)=0,0,'TO HOP NLAN'!F264*'TS-PILE'!$D$85/SUMSQ('TS-PILE'!$D$72:$D$91))),IF('TS-PILE'!$B$86="",-1E+99,'TO HOP NLAN'!D264/ncoc+IF(SUMSQ('TS-PILE'!$E$72:$E$91)=0,0,'TO HOP NLAN'!E264*'TS-PILE'!$E$86/SUMSQ('TS-PILE'!$E$72:$E$91))+IF(SUMSQ('TS-PILE'!$D$72:$D$91)=0,0,'TO HOP NLAN'!F264*'TS-PILE'!$D$86/SUMSQ('TS-PILE'!$D$72:$D$91))),IF('TS-PILE'!$B$87="",-1E+99,'TO HOP NLAN'!D264/ncoc+IF(SUMSQ('TS-PILE'!$E$72:$E$91)=0,0,'TO HOP NLAN'!E264*'TS-PILE'!$E$87/SUMSQ('TS-PILE'!$E$72:$E$91))+IF(SUMSQ('TS-PILE'!$D$72:$D$91)=0,0,'TO HOP NLAN'!F264*'TS-PILE'!$D$87/SUMSQ('TS-PILE'!$D$72:$D$91))),IF('TS-PILE'!$B$88="",-1E+99,'TO HOP NLAN'!D264/ncoc+IF(SUMSQ('TS-PILE'!$E$72:$E$91)=0,0,'TO HOP NLAN'!E264*'TS-PILE'!$E$88/SUMSQ('TS-PILE'!$E$72:$E$91))+IF(SUMSQ('TS-PILE'!$D$72:$D$91)=0,0,'TO HOP NLAN'!F264*'TS-PILE'!$D$88/SUMSQ('TS-PILE'!$D$72:$D$91))),IF('TS-PILE'!$B$89="",-1E+99,'TO HOP NLAN'!D264/ncoc+IF(SUMSQ('TS-PILE'!$E$72:$E$91)=0,0,'TO HOP NLAN'!E264*'TS-PILE'!$E$89/SUMSQ('TS-PILE'!$E$72:$E$91))+IF(SUMSQ('TS-PILE'!$D$72:$D$91)=0,0,'TO HOP NLAN'!F264*'TS-PILE'!$D$89/SUMSQ('TS-PILE'!$D$72:$D$91))),IF('TS-PILE'!$B$90="",-1E+99,'TO HOP NLAN'!D264/ncoc+IF(SUMSQ('TS-PILE'!$E$72:$E$91)=0,0,'TO HOP NLAN'!E264*'TS-PILE'!$E$90/SUMSQ('TS-PILE'!$E$72:$E$91))+IF(SUMSQ('TS-PILE'!$D$72:$D$91)=0,0,'TO HOP NLAN'!F264*'TS-PILE'!$D$90/SUMSQ('TS-PILE'!$D$72:$D$91))),IF('TS-PILE'!$B$91="",-1E+99,'TO HOP NLAN'!D264/ncoc+IF(SUMSQ('TS-PILE'!$E$72:$E$91)=0,0,'TO HOP NLAN'!E264*'TS-PILE'!$E$91/SUMSQ('TS-PILE'!$E$72:$E$91))+IF(SUMSQ('TS-PILE'!$D$72:$D$91)=0,0,'TO HOP NLAN'!F264*'TS-PILE'!$D$91/SUMSQ('TS-PILE'!$D$72:$D$91)))))</f>
        <v>0</v>
      </c>
      <c r="D264" s="58">
        <f>IF(A264="",0,MIN(IF('TS-PILE'!$B$72="",1E+99,'TO HOP NLAN'!D264/ncoc+IF(SUMSQ('TS-PILE'!$E$72:$E$91)=0,0,'TO HOP NLAN'!E264*'TS-PILE'!$E$72/SUMSQ('TS-PILE'!$E$72:$E$91))+IF(SUMSQ('TS-PILE'!$D$72:$D$91)=0,0,'TO HOP NLAN'!F264*'TS-PILE'!$D$72/SUMSQ('TS-PILE'!$D$72:$D$91))),IF('TS-PILE'!$B$73="",1E+99,'TO HOP NLAN'!D264/ncoc+IF(SUMSQ('TS-PILE'!$E$72:$E$91)=0,0,'TO HOP NLAN'!E264*'TS-PILE'!$E$73/SUMSQ('TS-PILE'!$E$72:$E$91))+IF(SUMSQ('TS-PILE'!$D$72:$D$91)=0,0,'TO HOP NLAN'!F264*'TS-PILE'!$D$73/SUMSQ('TS-PILE'!$D$72:$D$91))),IF('TS-PILE'!$B$74="",1E+99,'TO HOP NLAN'!D264/ncoc+IF(SUMSQ('TS-PILE'!$E$72:$E$91)=0,0,'TO HOP NLAN'!E264*'TS-PILE'!$E$74/SUMSQ('TS-PILE'!$E$72:$E$91))+IF(SUMSQ('TS-PILE'!$D$72:$D$91)=0,0,'TO HOP NLAN'!F264*'TS-PILE'!$D$74/SUMSQ('TS-PILE'!$D$72:$D$91))),IF('TS-PILE'!$B$75="",1E+99,'TO HOP NLAN'!D264/ncoc+IF(SUMSQ('TS-PILE'!$E$72:$E$91)=0,0,'TO HOP NLAN'!E264*'TS-PILE'!$E$75/SUMSQ('TS-PILE'!$E$72:$E$91))+IF(SUMSQ('TS-PILE'!$D$72:$D$91)=0,0,'TO HOP NLAN'!F264*'TS-PILE'!$D$75/SUMSQ('TS-PILE'!$D$72:$D$91))),IF('TS-PILE'!$B$76="",1E+99,'TO HOP NLAN'!D264/ncoc+IF(SUMSQ('TS-PILE'!$E$72:$E$91)=0,0,'TO HOP NLAN'!E264*'TS-PILE'!$E$76/SUMSQ('TS-PILE'!$E$72:$E$91))+IF(SUMSQ('TS-PILE'!$D$72:$D$91)=0,0,'TO HOP NLAN'!F264*'TS-PILE'!$D$76/SUMSQ('TS-PILE'!$D$72:$D$91))),IF('TS-PILE'!$B$77="",1E+99,'TO HOP NLAN'!D264/ncoc+IF(SUMSQ('TS-PILE'!$E$72:$E$91)=0,0,'TO HOP NLAN'!E264*'TS-PILE'!$E$77/SUMSQ('TS-PILE'!$E$72:$E$91))+IF(SUMSQ('TS-PILE'!$D$72:$D$91)=0,0,'TO HOP NLAN'!F264*'TS-PILE'!$D$77/SUMSQ('TS-PILE'!$D$72:$D$91))),IF('TS-PILE'!$B$78="",1E+99,'TO HOP NLAN'!D264/ncoc+IF(SUMSQ('TS-PILE'!$E$72:$E$91)=0,0,'TO HOP NLAN'!E264*'TS-PILE'!$E$78/SUMSQ('TS-PILE'!$E$72:$E$91))+IF(SUMSQ('TS-PILE'!$D$72:$D$91)=0,0,'TO HOP NLAN'!F264*'TS-PILE'!$D$78/SUMSQ('TS-PILE'!$D$72:$D$91))),IF('TS-PILE'!$B$79="",1E+99,'TO HOP NLAN'!D264/ncoc+IF(SUMSQ('TS-PILE'!$E$72:$E$91)=0,0,'TO HOP NLAN'!E264*'TS-PILE'!$E$79/SUMSQ('TS-PILE'!$E$72:$E$91))+IF(SUMSQ('TS-PILE'!$D$72:$D$91)=0,0,'TO HOP NLAN'!F264*'TS-PILE'!$D$79/SUMSQ('TS-PILE'!$D$72:$D$91))),IF('TS-PILE'!$B$80="",1E+99,'TO HOP NLAN'!D264/ncoc+IF(SUMSQ('TS-PILE'!$E$72:$E$91)=0,0,'TO HOP NLAN'!E264*'TS-PILE'!$E$80/SUMSQ('TS-PILE'!$E$72:$E$91))+IF(SUMSQ('TS-PILE'!$D$72:$D$91)=0,0,'TO HOP NLAN'!F264*'TS-PILE'!$D$80/SUMSQ('TS-PILE'!$D$72:$D$91))),IF('TS-PILE'!$B$81="",1E+99,'TO HOP NLAN'!D264/ncoc+IF(SUMSQ('TS-PILE'!$E$72:$E$91)=0,0,'TO HOP NLAN'!E264*'TS-PILE'!$E$81/SUMSQ('TS-PILE'!$E$72:$E$91))+IF(SUMSQ('TS-PILE'!$D$72:$D$91)=0,0,'TO HOP NLAN'!F264*'TS-PILE'!$D$81/SUMSQ('TS-PILE'!$D$72:$D$91))),IF('TS-PILE'!$B$82="",1E+99,'TO HOP NLAN'!D264/ncoc+IF(SUMSQ('TS-PILE'!$E$72:$E$91)=0,0,'TO HOP NLAN'!E264*'TS-PILE'!$E$82/SUMSQ('TS-PILE'!$E$72:$E$91))+IF(SUMSQ('TS-PILE'!$D$72:$D$91)=0,0,'TO HOP NLAN'!F264*'TS-PILE'!$D$82/SUMSQ('TS-PILE'!$D$72:$D$91))),IF('TS-PILE'!$B$83="",1E+99,'TO HOP NLAN'!D264/ncoc+IF(SUMSQ('TS-PILE'!$E$72:$E$91)=0,0,'TO HOP NLAN'!E264*'TS-PILE'!$E$83/SUMSQ('TS-PILE'!$E$72:$E$91))+IF(SUMSQ('TS-PILE'!$D$72:$D$91)=0,0,'TO HOP NLAN'!F264*'TS-PILE'!$D$83/SUMSQ('TS-PILE'!$D$72:$D$91))),IF('TS-PILE'!$B$84="",1E+99,'TO HOP NLAN'!D264/ncoc+IF(SUMSQ('TS-PILE'!$E$72:$E$91)=0,0,'TO HOP NLAN'!E264*'TS-PILE'!$E$84/SUMSQ('TS-PILE'!$E$72:$E$91))+IF(SUMSQ('TS-PILE'!$D$72:$D$91)=0,0,'TO HOP NLAN'!F264*'TS-PILE'!$D$84/SUMSQ('TS-PILE'!$D$72:$D$91))),IF('TS-PILE'!$B$85="",1E+99,'TO HOP NLAN'!D264/ncoc+IF(SUMSQ('TS-PILE'!$E$72:$E$91)=0,0,'TO HOP NLAN'!E264*'TS-PILE'!$E$85/SUMSQ('TS-PILE'!$E$72:$E$91))+IF(SUMSQ('TS-PILE'!$D$72:$D$91)=0,0,'TO HOP NLAN'!F264*'TS-PILE'!$D$85/SUMSQ('TS-PILE'!$D$72:$D$91))),IF('TS-PILE'!$B$86="",1E+99,'TO HOP NLAN'!D264/ncoc+IF(SUMSQ('TS-PILE'!$E$72:$E$91)=0,0,'TO HOP NLAN'!E264*'TS-PILE'!$E$86/SUMSQ('TS-PILE'!$E$72:$E$91))+IF(SUMSQ('TS-PILE'!$D$72:$D$91)=0,0,'TO HOP NLAN'!F264*'TS-PILE'!$D$86/SUMSQ('TS-PILE'!$D$72:$D$91))),IF('TS-PILE'!$B$87="",1E+99,'TO HOP NLAN'!D264/ncoc+IF(SUMSQ('TS-PILE'!$E$72:$E$91)=0,0,'TO HOP NLAN'!E264*'TS-PILE'!$E$87/SUMSQ('TS-PILE'!$E$72:$E$91))+IF(SUMSQ('TS-PILE'!$D$72:$D$91)=0,0,'TO HOP NLAN'!F264*'TS-PILE'!$D$87/SUMSQ('TS-PILE'!$D$72:$D$91))),IF('TS-PILE'!$B$88="",1E+99,'TO HOP NLAN'!D264/ncoc+IF(SUMSQ('TS-PILE'!$E$72:$E$91)=0,0,'TO HOP NLAN'!E264*'TS-PILE'!$E$88/SUMSQ('TS-PILE'!$E$72:$E$91))+IF(SUMSQ('TS-PILE'!$D$72:$D$91)=0,0,'TO HOP NLAN'!F264*'TS-PILE'!$D$88/SUMSQ('TS-PILE'!$D$72:$D$91))),IF('TS-PILE'!$B$89="",1E+99,'TO HOP NLAN'!D264/ncoc+IF(SUMSQ('TS-PILE'!$E$72:$E$91)=0,0,'TO HOP NLAN'!E264*'TS-PILE'!$E$89/SUMSQ('TS-PILE'!$E$72:$E$91))+IF(SUMSQ('TS-PILE'!$D$72:$D$91)=0,0,'TO HOP NLAN'!F264*'TS-PILE'!$D$89/SUMSQ('TS-PILE'!$D$72:$D$91))),IF('TS-PILE'!$B$90="",1E+99,'TO HOP NLAN'!D264/ncoc+IF(SUMSQ('TS-PILE'!$E$72:$E$91)=0,0,'TO HOP NLAN'!E264*'TS-PILE'!$E$90/SUMSQ('TS-PILE'!$E$72:$E$91))+IF(SUMSQ('TS-PILE'!$D$72:$D$91)=0,0,'TO HOP NLAN'!F264*'TS-PILE'!$D$90/SUMSQ('TS-PILE'!$D$72:$D$91))),IF('TS-PILE'!$B$91="",1E+99,'TO HOP NLAN'!D264/ncoc+IF(SUMSQ('TS-PILE'!$E$72:$E$91)=0,0,'TO HOP NLAN'!E264*'TS-PILE'!$E$91/SUMSQ('TS-PILE'!$E$72:$E$91))+IF(SUMSQ('TS-PILE'!$D$72:$D$91)=0,0,'TO HOP NLAN'!F264*'TS-PILE'!$D$91/SUMSQ('TS-PILE'!$D$72:$D$91)))))</f>
        <v>0</v>
      </c>
      <c r="E264" s="58">
        <f t="shared" si="16"/>
        <v>-9.9999999999999997E+98</v>
      </c>
      <c r="F264" s="58">
        <f t="shared" si="17"/>
        <v>9.9999999999999997E+98</v>
      </c>
      <c r="G264" s="58">
        <f t="shared" si="18"/>
        <v>-9.9999999999999997E+98</v>
      </c>
      <c r="H264" s="58">
        <f t="shared" si="19"/>
        <v>9.9999999999999997E+98</v>
      </c>
    </row>
    <row r="265" spans="1:8" x14ac:dyDescent="0.3">
      <c r="A265" s="42" t="str">
        <f>'TO HOP NLAN'!A265</f>
        <v/>
      </c>
      <c r="B265" s="42" t="str">
        <f>'TO HOP NLAN'!L265</f>
        <v>STRENGTH</v>
      </c>
      <c r="C265" s="58">
        <f>IF(A265="",0,MAX(IF('TS-PILE'!$B$72="",-1E+99,'TO HOP NLAN'!D265/ncoc+IF(SUMSQ('TS-PILE'!$E$72:$E$91)=0,0,'TO HOP NLAN'!E265*'TS-PILE'!$E$72/SUMSQ('TS-PILE'!$E$72:$E$91))+IF(SUMSQ('TS-PILE'!$D$72:$D$91)=0,0,'TO HOP NLAN'!F265*'TS-PILE'!$D$72/SUMSQ('TS-PILE'!$D$72:$D$91))),IF('TS-PILE'!$B$73="",-1E+99,'TO HOP NLAN'!D265/ncoc+IF(SUMSQ('TS-PILE'!$E$72:$E$91)=0,0,'TO HOP NLAN'!E265*'TS-PILE'!$E$73/SUMSQ('TS-PILE'!$E$72:$E$91))+IF(SUMSQ('TS-PILE'!$D$72:$D$91)=0,0,'TO HOP NLAN'!F265*'TS-PILE'!$D$73/SUMSQ('TS-PILE'!$D$72:$D$91))),IF('TS-PILE'!$B$74="",-1E+99,'TO HOP NLAN'!D265/ncoc+IF(SUMSQ('TS-PILE'!$E$72:$E$91)=0,0,'TO HOP NLAN'!E265*'TS-PILE'!$E$74/SUMSQ('TS-PILE'!$E$72:$E$91))+IF(SUMSQ('TS-PILE'!$D$72:$D$91)=0,0,'TO HOP NLAN'!F265*'TS-PILE'!$D$74/SUMSQ('TS-PILE'!$D$72:$D$91))),IF('TS-PILE'!$B$75="",-1E+99,'TO HOP NLAN'!D265/ncoc+IF(SUMSQ('TS-PILE'!$E$72:$E$91)=0,0,'TO HOP NLAN'!E265*'TS-PILE'!$E$75/SUMSQ('TS-PILE'!$E$72:$E$91))+IF(SUMSQ('TS-PILE'!$D$72:$D$91)=0,0,'TO HOP NLAN'!F265*'TS-PILE'!$D$75/SUMSQ('TS-PILE'!$D$72:$D$91))),IF('TS-PILE'!$B$76="",-1E+99,'TO HOP NLAN'!D265/ncoc+IF(SUMSQ('TS-PILE'!$E$72:$E$91)=0,0,'TO HOP NLAN'!E265*'TS-PILE'!$E$76/SUMSQ('TS-PILE'!$E$72:$E$91))+IF(SUMSQ('TS-PILE'!$D$72:$D$91)=0,0,'TO HOP NLAN'!F265*'TS-PILE'!$D$76/SUMSQ('TS-PILE'!$D$72:$D$91))),IF('TS-PILE'!$B$77="",-1E+99,'TO HOP NLAN'!D265/ncoc+IF(SUMSQ('TS-PILE'!$E$72:$E$91)=0,0,'TO HOP NLAN'!E265*'TS-PILE'!$E$77/SUMSQ('TS-PILE'!$E$72:$E$91))+IF(SUMSQ('TS-PILE'!$D$72:$D$91)=0,0,'TO HOP NLAN'!F265*'TS-PILE'!$D$77/SUMSQ('TS-PILE'!$D$72:$D$91))),IF('TS-PILE'!$B$78="",-1E+99,'TO HOP NLAN'!D265/ncoc+IF(SUMSQ('TS-PILE'!$E$72:$E$91)=0,0,'TO HOP NLAN'!E265*'TS-PILE'!$E$78/SUMSQ('TS-PILE'!$E$72:$E$91))+IF(SUMSQ('TS-PILE'!$D$72:$D$91)=0,0,'TO HOP NLAN'!F265*'TS-PILE'!$D$78/SUMSQ('TS-PILE'!$D$72:$D$91))),IF('TS-PILE'!$B$79="",-1E+99,'TO HOP NLAN'!D265/ncoc+IF(SUMSQ('TS-PILE'!$E$72:$E$91)=0,0,'TO HOP NLAN'!E265*'TS-PILE'!$E$79/SUMSQ('TS-PILE'!$E$72:$E$91))+IF(SUMSQ('TS-PILE'!$D$72:$D$91)=0,0,'TO HOP NLAN'!F265*'TS-PILE'!$D$79/SUMSQ('TS-PILE'!$D$72:$D$91))),IF('TS-PILE'!$B$80="",-1E+99,'TO HOP NLAN'!D265/ncoc+IF(SUMSQ('TS-PILE'!$E$72:$E$91)=0,0,'TO HOP NLAN'!E265*'TS-PILE'!$E$80/SUMSQ('TS-PILE'!$E$72:$E$91))+IF(SUMSQ('TS-PILE'!$D$72:$D$91)=0,0,'TO HOP NLAN'!F265*'TS-PILE'!$D$80/SUMSQ('TS-PILE'!$D$72:$D$91))),IF('TS-PILE'!$B$81="",-1E+99,'TO HOP NLAN'!D265/ncoc+IF(SUMSQ('TS-PILE'!$E$72:$E$91)=0,0,'TO HOP NLAN'!E265*'TS-PILE'!$E$81/SUMSQ('TS-PILE'!$E$72:$E$91))+IF(SUMSQ('TS-PILE'!$D$72:$D$91)=0,0,'TO HOP NLAN'!F265*'TS-PILE'!$D$81/SUMSQ('TS-PILE'!$D$72:$D$91))),IF('TS-PILE'!$B$82="",-1E+99,'TO HOP NLAN'!D265/ncoc+IF(SUMSQ('TS-PILE'!$E$72:$E$91)=0,0,'TO HOP NLAN'!E265*'TS-PILE'!$E$82/SUMSQ('TS-PILE'!$E$72:$E$91))+IF(SUMSQ('TS-PILE'!$D$72:$D$91)=0,0,'TO HOP NLAN'!F265*'TS-PILE'!$D$82/SUMSQ('TS-PILE'!$D$72:$D$91))),IF('TS-PILE'!$B$83="",-1E+99,'TO HOP NLAN'!D265/ncoc+IF(SUMSQ('TS-PILE'!$E$72:$E$91)=0,0,'TO HOP NLAN'!E265*'TS-PILE'!$E$83/SUMSQ('TS-PILE'!$E$72:$E$91))+IF(SUMSQ('TS-PILE'!$D$72:$D$91)=0,0,'TO HOP NLAN'!F265*'TS-PILE'!$D$83/SUMSQ('TS-PILE'!$D$72:$D$91))),IF('TS-PILE'!$B$84="",-1E+99,'TO HOP NLAN'!D265/ncoc+IF(SUMSQ('TS-PILE'!$E$72:$E$91)=0,0,'TO HOP NLAN'!E265*'TS-PILE'!$E$84/SUMSQ('TS-PILE'!$E$72:$E$91))+IF(SUMSQ('TS-PILE'!$D$72:$D$91)=0,0,'TO HOP NLAN'!F265*'TS-PILE'!$D$84/SUMSQ('TS-PILE'!$D$72:$D$91))),IF('TS-PILE'!$B$85="",-1E+99,'TO HOP NLAN'!D265/ncoc+IF(SUMSQ('TS-PILE'!$E$72:$E$91)=0,0,'TO HOP NLAN'!E265*'TS-PILE'!$E$85/SUMSQ('TS-PILE'!$E$72:$E$91))+IF(SUMSQ('TS-PILE'!$D$72:$D$91)=0,0,'TO HOP NLAN'!F265*'TS-PILE'!$D$85/SUMSQ('TS-PILE'!$D$72:$D$91))),IF('TS-PILE'!$B$86="",-1E+99,'TO HOP NLAN'!D265/ncoc+IF(SUMSQ('TS-PILE'!$E$72:$E$91)=0,0,'TO HOP NLAN'!E265*'TS-PILE'!$E$86/SUMSQ('TS-PILE'!$E$72:$E$91))+IF(SUMSQ('TS-PILE'!$D$72:$D$91)=0,0,'TO HOP NLAN'!F265*'TS-PILE'!$D$86/SUMSQ('TS-PILE'!$D$72:$D$91))),IF('TS-PILE'!$B$87="",-1E+99,'TO HOP NLAN'!D265/ncoc+IF(SUMSQ('TS-PILE'!$E$72:$E$91)=0,0,'TO HOP NLAN'!E265*'TS-PILE'!$E$87/SUMSQ('TS-PILE'!$E$72:$E$91))+IF(SUMSQ('TS-PILE'!$D$72:$D$91)=0,0,'TO HOP NLAN'!F265*'TS-PILE'!$D$87/SUMSQ('TS-PILE'!$D$72:$D$91))),IF('TS-PILE'!$B$88="",-1E+99,'TO HOP NLAN'!D265/ncoc+IF(SUMSQ('TS-PILE'!$E$72:$E$91)=0,0,'TO HOP NLAN'!E265*'TS-PILE'!$E$88/SUMSQ('TS-PILE'!$E$72:$E$91))+IF(SUMSQ('TS-PILE'!$D$72:$D$91)=0,0,'TO HOP NLAN'!F265*'TS-PILE'!$D$88/SUMSQ('TS-PILE'!$D$72:$D$91))),IF('TS-PILE'!$B$89="",-1E+99,'TO HOP NLAN'!D265/ncoc+IF(SUMSQ('TS-PILE'!$E$72:$E$91)=0,0,'TO HOP NLAN'!E265*'TS-PILE'!$E$89/SUMSQ('TS-PILE'!$E$72:$E$91))+IF(SUMSQ('TS-PILE'!$D$72:$D$91)=0,0,'TO HOP NLAN'!F265*'TS-PILE'!$D$89/SUMSQ('TS-PILE'!$D$72:$D$91))),IF('TS-PILE'!$B$90="",-1E+99,'TO HOP NLAN'!D265/ncoc+IF(SUMSQ('TS-PILE'!$E$72:$E$91)=0,0,'TO HOP NLAN'!E265*'TS-PILE'!$E$90/SUMSQ('TS-PILE'!$E$72:$E$91))+IF(SUMSQ('TS-PILE'!$D$72:$D$91)=0,0,'TO HOP NLAN'!F265*'TS-PILE'!$D$90/SUMSQ('TS-PILE'!$D$72:$D$91))),IF('TS-PILE'!$B$91="",-1E+99,'TO HOP NLAN'!D265/ncoc+IF(SUMSQ('TS-PILE'!$E$72:$E$91)=0,0,'TO HOP NLAN'!E265*'TS-PILE'!$E$91/SUMSQ('TS-PILE'!$E$72:$E$91))+IF(SUMSQ('TS-PILE'!$D$72:$D$91)=0,0,'TO HOP NLAN'!F265*'TS-PILE'!$D$91/SUMSQ('TS-PILE'!$D$72:$D$91)))))</f>
        <v>0</v>
      </c>
      <c r="D265" s="58">
        <f>IF(A265="",0,MIN(IF('TS-PILE'!$B$72="",1E+99,'TO HOP NLAN'!D265/ncoc+IF(SUMSQ('TS-PILE'!$E$72:$E$91)=0,0,'TO HOP NLAN'!E265*'TS-PILE'!$E$72/SUMSQ('TS-PILE'!$E$72:$E$91))+IF(SUMSQ('TS-PILE'!$D$72:$D$91)=0,0,'TO HOP NLAN'!F265*'TS-PILE'!$D$72/SUMSQ('TS-PILE'!$D$72:$D$91))),IF('TS-PILE'!$B$73="",1E+99,'TO HOP NLAN'!D265/ncoc+IF(SUMSQ('TS-PILE'!$E$72:$E$91)=0,0,'TO HOP NLAN'!E265*'TS-PILE'!$E$73/SUMSQ('TS-PILE'!$E$72:$E$91))+IF(SUMSQ('TS-PILE'!$D$72:$D$91)=0,0,'TO HOP NLAN'!F265*'TS-PILE'!$D$73/SUMSQ('TS-PILE'!$D$72:$D$91))),IF('TS-PILE'!$B$74="",1E+99,'TO HOP NLAN'!D265/ncoc+IF(SUMSQ('TS-PILE'!$E$72:$E$91)=0,0,'TO HOP NLAN'!E265*'TS-PILE'!$E$74/SUMSQ('TS-PILE'!$E$72:$E$91))+IF(SUMSQ('TS-PILE'!$D$72:$D$91)=0,0,'TO HOP NLAN'!F265*'TS-PILE'!$D$74/SUMSQ('TS-PILE'!$D$72:$D$91))),IF('TS-PILE'!$B$75="",1E+99,'TO HOP NLAN'!D265/ncoc+IF(SUMSQ('TS-PILE'!$E$72:$E$91)=0,0,'TO HOP NLAN'!E265*'TS-PILE'!$E$75/SUMSQ('TS-PILE'!$E$72:$E$91))+IF(SUMSQ('TS-PILE'!$D$72:$D$91)=0,0,'TO HOP NLAN'!F265*'TS-PILE'!$D$75/SUMSQ('TS-PILE'!$D$72:$D$91))),IF('TS-PILE'!$B$76="",1E+99,'TO HOP NLAN'!D265/ncoc+IF(SUMSQ('TS-PILE'!$E$72:$E$91)=0,0,'TO HOP NLAN'!E265*'TS-PILE'!$E$76/SUMSQ('TS-PILE'!$E$72:$E$91))+IF(SUMSQ('TS-PILE'!$D$72:$D$91)=0,0,'TO HOP NLAN'!F265*'TS-PILE'!$D$76/SUMSQ('TS-PILE'!$D$72:$D$91))),IF('TS-PILE'!$B$77="",1E+99,'TO HOP NLAN'!D265/ncoc+IF(SUMSQ('TS-PILE'!$E$72:$E$91)=0,0,'TO HOP NLAN'!E265*'TS-PILE'!$E$77/SUMSQ('TS-PILE'!$E$72:$E$91))+IF(SUMSQ('TS-PILE'!$D$72:$D$91)=0,0,'TO HOP NLAN'!F265*'TS-PILE'!$D$77/SUMSQ('TS-PILE'!$D$72:$D$91))),IF('TS-PILE'!$B$78="",1E+99,'TO HOP NLAN'!D265/ncoc+IF(SUMSQ('TS-PILE'!$E$72:$E$91)=0,0,'TO HOP NLAN'!E265*'TS-PILE'!$E$78/SUMSQ('TS-PILE'!$E$72:$E$91))+IF(SUMSQ('TS-PILE'!$D$72:$D$91)=0,0,'TO HOP NLAN'!F265*'TS-PILE'!$D$78/SUMSQ('TS-PILE'!$D$72:$D$91))),IF('TS-PILE'!$B$79="",1E+99,'TO HOP NLAN'!D265/ncoc+IF(SUMSQ('TS-PILE'!$E$72:$E$91)=0,0,'TO HOP NLAN'!E265*'TS-PILE'!$E$79/SUMSQ('TS-PILE'!$E$72:$E$91))+IF(SUMSQ('TS-PILE'!$D$72:$D$91)=0,0,'TO HOP NLAN'!F265*'TS-PILE'!$D$79/SUMSQ('TS-PILE'!$D$72:$D$91))),IF('TS-PILE'!$B$80="",1E+99,'TO HOP NLAN'!D265/ncoc+IF(SUMSQ('TS-PILE'!$E$72:$E$91)=0,0,'TO HOP NLAN'!E265*'TS-PILE'!$E$80/SUMSQ('TS-PILE'!$E$72:$E$91))+IF(SUMSQ('TS-PILE'!$D$72:$D$91)=0,0,'TO HOP NLAN'!F265*'TS-PILE'!$D$80/SUMSQ('TS-PILE'!$D$72:$D$91))),IF('TS-PILE'!$B$81="",1E+99,'TO HOP NLAN'!D265/ncoc+IF(SUMSQ('TS-PILE'!$E$72:$E$91)=0,0,'TO HOP NLAN'!E265*'TS-PILE'!$E$81/SUMSQ('TS-PILE'!$E$72:$E$91))+IF(SUMSQ('TS-PILE'!$D$72:$D$91)=0,0,'TO HOP NLAN'!F265*'TS-PILE'!$D$81/SUMSQ('TS-PILE'!$D$72:$D$91))),IF('TS-PILE'!$B$82="",1E+99,'TO HOP NLAN'!D265/ncoc+IF(SUMSQ('TS-PILE'!$E$72:$E$91)=0,0,'TO HOP NLAN'!E265*'TS-PILE'!$E$82/SUMSQ('TS-PILE'!$E$72:$E$91))+IF(SUMSQ('TS-PILE'!$D$72:$D$91)=0,0,'TO HOP NLAN'!F265*'TS-PILE'!$D$82/SUMSQ('TS-PILE'!$D$72:$D$91))),IF('TS-PILE'!$B$83="",1E+99,'TO HOP NLAN'!D265/ncoc+IF(SUMSQ('TS-PILE'!$E$72:$E$91)=0,0,'TO HOP NLAN'!E265*'TS-PILE'!$E$83/SUMSQ('TS-PILE'!$E$72:$E$91))+IF(SUMSQ('TS-PILE'!$D$72:$D$91)=0,0,'TO HOP NLAN'!F265*'TS-PILE'!$D$83/SUMSQ('TS-PILE'!$D$72:$D$91))),IF('TS-PILE'!$B$84="",1E+99,'TO HOP NLAN'!D265/ncoc+IF(SUMSQ('TS-PILE'!$E$72:$E$91)=0,0,'TO HOP NLAN'!E265*'TS-PILE'!$E$84/SUMSQ('TS-PILE'!$E$72:$E$91))+IF(SUMSQ('TS-PILE'!$D$72:$D$91)=0,0,'TO HOP NLAN'!F265*'TS-PILE'!$D$84/SUMSQ('TS-PILE'!$D$72:$D$91))),IF('TS-PILE'!$B$85="",1E+99,'TO HOP NLAN'!D265/ncoc+IF(SUMSQ('TS-PILE'!$E$72:$E$91)=0,0,'TO HOP NLAN'!E265*'TS-PILE'!$E$85/SUMSQ('TS-PILE'!$E$72:$E$91))+IF(SUMSQ('TS-PILE'!$D$72:$D$91)=0,0,'TO HOP NLAN'!F265*'TS-PILE'!$D$85/SUMSQ('TS-PILE'!$D$72:$D$91))),IF('TS-PILE'!$B$86="",1E+99,'TO HOP NLAN'!D265/ncoc+IF(SUMSQ('TS-PILE'!$E$72:$E$91)=0,0,'TO HOP NLAN'!E265*'TS-PILE'!$E$86/SUMSQ('TS-PILE'!$E$72:$E$91))+IF(SUMSQ('TS-PILE'!$D$72:$D$91)=0,0,'TO HOP NLAN'!F265*'TS-PILE'!$D$86/SUMSQ('TS-PILE'!$D$72:$D$91))),IF('TS-PILE'!$B$87="",1E+99,'TO HOP NLAN'!D265/ncoc+IF(SUMSQ('TS-PILE'!$E$72:$E$91)=0,0,'TO HOP NLAN'!E265*'TS-PILE'!$E$87/SUMSQ('TS-PILE'!$E$72:$E$91))+IF(SUMSQ('TS-PILE'!$D$72:$D$91)=0,0,'TO HOP NLAN'!F265*'TS-PILE'!$D$87/SUMSQ('TS-PILE'!$D$72:$D$91))),IF('TS-PILE'!$B$88="",1E+99,'TO HOP NLAN'!D265/ncoc+IF(SUMSQ('TS-PILE'!$E$72:$E$91)=0,0,'TO HOP NLAN'!E265*'TS-PILE'!$E$88/SUMSQ('TS-PILE'!$E$72:$E$91))+IF(SUMSQ('TS-PILE'!$D$72:$D$91)=0,0,'TO HOP NLAN'!F265*'TS-PILE'!$D$88/SUMSQ('TS-PILE'!$D$72:$D$91))),IF('TS-PILE'!$B$89="",1E+99,'TO HOP NLAN'!D265/ncoc+IF(SUMSQ('TS-PILE'!$E$72:$E$91)=0,0,'TO HOP NLAN'!E265*'TS-PILE'!$E$89/SUMSQ('TS-PILE'!$E$72:$E$91))+IF(SUMSQ('TS-PILE'!$D$72:$D$91)=0,0,'TO HOP NLAN'!F265*'TS-PILE'!$D$89/SUMSQ('TS-PILE'!$D$72:$D$91))),IF('TS-PILE'!$B$90="",1E+99,'TO HOP NLAN'!D265/ncoc+IF(SUMSQ('TS-PILE'!$E$72:$E$91)=0,0,'TO HOP NLAN'!E265*'TS-PILE'!$E$90/SUMSQ('TS-PILE'!$E$72:$E$91))+IF(SUMSQ('TS-PILE'!$D$72:$D$91)=0,0,'TO HOP NLAN'!F265*'TS-PILE'!$D$90/SUMSQ('TS-PILE'!$D$72:$D$91))),IF('TS-PILE'!$B$91="",1E+99,'TO HOP NLAN'!D265/ncoc+IF(SUMSQ('TS-PILE'!$E$72:$E$91)=0,0,'TO HOP NLAN'!E265*'TS-PILE'!$E$91/SUMSQ('TS-PILE'!$E$72:$E$91))+IF(SUMSQ('TS-PILE'!$D$72:$D$91)=0,0,'TO HOP NLAN'!F265*'TS-PILE'!$D$91/SUMSQ('TS-PILE'!$D$72:$D$91)))))</f>
        <v>0</v>
      </c>
      <c r="E265" s="58">
        <f t="shared" si="16"/>
        <v>-9.9999999999999997E+98</v>
      </c>
      <c r="F265" s="58">
        <f t="shared" si="17"/>
        <v>9.9999999999999997E+98</v>
      </c>
      <c r="G265" s="58">
        <f t="shared" si="18"/>
        <v>-9.9999999999999997E+98</v>
      </c>
      <c r="H265" s="58">
        <f t="shared" si="19"/>
        <v>9.9999999999999997E+98</v>
      </c>
    </row>
    <row r="266" spans="1:8" x14ac:dyDescent="0.3">
      <c r="A266" s="42" t="str">
        <f>'TO HOP NLAN'!A266</f>
        <v/>
      </c>
      <c r="B266" s="42" t="str">
        <f>'TO HOP NLAN'!L266</f>
        <v>STRENGTH</v>
      </c>
      <c r="C266" s="58">
        <f>IF(A266="",0,MAX(IF('TS-PILE'!$B$72="",-1E+99,'TO HOP NLAN'!D266/ncoc+IF(SUMSQ('TS-PILE'!$E$72:$E$91)=0,0,'TO HOP NLAN'!E266*'TS-PILE'!$E$72/SUMSQ('TS-PILE'!$E$72:$E$91))+IF(SUMSQ('TS-PILE'!$D$72:$D$91)=0,0,'TO HOP NLAN'!F266*'TS-PILE'!$D$72/SUMSQ('TS-PILE'!$D$72:$D$91))),IF('TS-PILE'!$B$73="",-1E+99,'TO HOP NLAN'!D266/ncoc+IF(SUMSQ('TS-PILE'!$E$72:$E$91)=0,0,'TO HOP NLAN'!E266*'TS-PILE'!$E$73/SUMSQ('TS-PILE'!$E$72:$E$91))+IF(SUMSQ('TS-PILE'!$D$72:$D$91)=0,0,'TO HOP NLAN'!F266*'TS-PILE'!$D$73/SUMSQ('TS-PILE'!$D$72:$D$91))),IF('TS-PILE'!$B$74="",-1E+99,'TO HOP NLAN'!D266/ncoc+IF(SUMSQ('TS-PILE'!$E$72:$E$91)=0,0,'TO HOP NLAN'!E266*'TS-PILE'!$E$74/SUMSQ('TS-PILE'!$E$72:$E$91))+IF(SUMSQ('TS-PILE'!$D$72:$D$91)=0,0,'TO HOP NLAN'!F266*'TS-PILE'!$D$74/SUMSQ('TS-PILE'!$D$72:$D$91))),IF('TS-PILE'!$B$75="",-1E+99,'TO HOP NLAN'!D266/ncoc+IF(SUMSQ('TS-PILE'!$E$72:$E$91)=0,0,'TO HOP NLAN'!E266*'TS-PILE'!$E$75/SUMSQ('TS-PILE'!$E$72:$E$91))+IF(SUMSQ('TS-PILE'!$D$72:$D$91)=0,0,'TO HOP NLAN'!F266*'TS-PILE'!$D$75/SUMSQ('TS-PILE'!$D$72:$D$91))),IF('TS-PILE'!$B$76="",-1E+99,'TO HOP NLAN'!D266/ncoc+IF(SUMSQ('TS-PILE'!$E$72:$E$91)=0,0,'TO HOP NLAN'!E266*'TS-PILE'!$E$76/SUMSQ('TS-PILE'!$E$72:$E$91))+IF(SUMSQ('TS-PILE'!$D$72:$D$91)=0,0,'TO HOP NLAN'!F266*'TS-PILE'!$D$76/SUMSQ('TS-PILE'!$D$72:$D$91))),IF('TS-PILE'!$B$77="",-1E+99,'TO HOP NLAN'!D266/ncoc+IF(SUMSQ('TS-PILE'!$E$72:$E$91)=0,0,'TO HOP NLAN'!E266*'TS-PILE'!$E$77/SUMSQ('TS-PILE'!$E$72:$E$91))+IF(SUMSQ('TS-PILE'!$D$72:$D$91)=0,0,'TO HOP NLAN'!F266*'TS-PILE'!$D$77/SUMSQ('TS-PILE'!$D$72:$D$91))),IF('TS-PILE'!$B$78="",-1E+99,'TO HOP NLAN'!D266/ncoc+IF(SUMSQ('TS-PILE'!$E$72:$E$91)=0,0,'TO HOP NLAN'!E266*'TS-PILE'!$E$78/SUMSQ('TS-PILE'!$E$72:$E$91))+IF(SUMSQ('TS-PILE'!$D$72:$D$91)=0,0,'TO HOP NLAN'!F266*'TS-PILE'!$D$78/SUMSQ('TS-PILE'!$D$72:$D$91))),IF('TS-PILE'!$B$79="",-1E+99,'TO HOP NLAN'!D266/ncoc+IF(SUMSQ('TS-PILE'!$E$72:$E$91)=0,0,'TO HOP NLAN'!E266*'TS-PILE'!$E$79/SUMSQ('TS-PILE'!$E$72:$E$91))+IF(SUMSQ('TS-PILE'!$D$72:$D$91)=0,0,'TO HOP NLAN'!F266*'TS-PILE'!$D$79/SUMSQ('TS-PILE'!$D$72:$D$91))),IF('TS-PILE'!$B$80="",-1E+99,'TO HOP NLAN'!D266/ncoc+IF(SUMSQ('TS-PILE'!$E$72:$E$91)=0,0,'TO HOP NLAN'!E266*'TS-PILE'!$E$80/SUMSQ('TS-PILE'!$E$72:$E$91))+IF(SUMSQ('TS-PILE'!$D$72:$D$91)=0,0,'TO HOP NLAN'!F266*'TS-PILE'!$D$80/SUMSQ('TS-PILE'!$D$72:$D$91))),IF('TS-PILE'!$B$81="",-1E+99,'TO HOP NLAN'!D266/ncoc+IF(SUMSQ('TS-PILE'!$E$72:$E$91)=0,0,'TO HOP NLAN'!E266*'TS-PILE'!$E$81/SUMSQ('TS-PILE'!$E$72:$E$91))+IF(SUMSQ('TS-PILE'!$D$72:$D$91)=0,0,'TO HOP NLAN'!F266*'TS-PILE'!$D$81/SUMSQ('TS-PILE'!$D$72:$D$91))),IF('TS-PILE'!$B$82="",-1E+99,'TO HOP NLAN'!D266/ncoc+IF(SUMSQ('TS-PILE'!$E$72:$E$91)=0,0,'TO HOP NLAN'!E266*'TS-PILE'!$E$82/SUMSQ('TS-PILE'!$E$72:$E$91))+IF(SUMSQ('TS-PILE'!$D$72:$D$91)=0,0,'TO HOP NLAN'!F266*'TS-PILE'!$D$82/SUMSQ('TS-PILE'!$D$72:$D$91))),IF('TS-PILE'!$B$83="",-1E+99,'TO HOP NLAN'!D266/ncoc+IF(SUMSQ('TS-PILE'!$E$72:$E$91)=0,0,'TO HOP NLAN'!E266*'TS-PILE'!$E$83/SUMSQ('TS-PILE'!$E$72:$E$91))+IF(SUMSQ('TS-PILE'!$D$72:$D$91)=0,0,'TO HOP NLAN'!F266*'TS-PILE'!$D$83/SUMSQ('TS-PILE'!$D$72:$D$91))),IF('TS-PILE'!$B$84="",-1E+99,'TO HOP NLAN'!D266/ncoc+IF(SUMSQ('TS-PILE'!$E$72:$E$91)=0,0,'TO HOP NLAN'!E266*'TS-PILE'!$E$84/SUMSQ('TS-PILE'!$E$72:$E$91))+IF(SUMSQ('TS-PILE'!$D$72:$D$91)=0,0,'TO HOP NLAN'!F266*'TS-PILE'!$D$84/SUMSQ('TS-PILE'!$D$72:$D$91))),IF('TS-PILE'!$B$85="",-1E+99,'TO HOP NLAN'!D266/ncoc+IF(SUMSQ('TS-PILE'!$E$72:$E$91)=0,0,'TO HOP NLAN'!E266*'TS-PILE'!$E$85/SUMSQ('TS-PILE'!$E$72:$E$91))+IF(SUMSQ('TS-PILE'!$D$72:$D$91)=0,0,'TO HOP NLAN'!F266*'TS-PILE'!$D$85/SUMSQ('TS-PILE'!$D$72:$D$91))),IF('TS-PILE'!$B$86="",-1E+99,'TO HOP NLAN'!D266/ncoc+IF(SUMSQ('TS-PILE'!$E$72:$E$91)=0,0,'TO HOP NLAN'!E266*'TS-PILE'!$E$86/SUMSQ('TS-PILE'!$E$72:$E$91))+IF(SUMSQ('TS-PILE'!$D$72:$D$91)=0,0,'TO HOP NLAN'!F266*'TS-PILE'!$D$86/SUMSQ('TS-PILE'!$D$72:$D$91))),IF('TS-PILE'!$B$87="",-1E+99,'TO HOP NLAN'!D266/ncoc+IF(SUMSQ('TS-PILE'!$E$72:$E$91)=0,0,'TO HOP NLAN'!E266*'TS-PILE'!$E$87/SUMSQ('TS-PILE'!$E$72:$E$91))+IF(SUMSQ('TS-PILE'!$D$72:$D$91)=0,0,'TO HOP NLAN'!F266*'TS-PILE'!$D$87/SUMSQ('TS-PILE'!$D$72:$D$91))),IF('TS-PILE'!$B$88="",-1E+99,'TO HOP NLAN'!D266/ncoc+IF(SUMSQ('TS-PILE'!$E$72:$E$91)=0,0,'TO HOP NLAN'!E266*'TS-PILE'!$E$88/SUMSQ('TS-PILE'!$E$72:$E$91))+IF(SUMSQ('TS-PILE'!$D$72:$D$91)=0,0,'TO HOP NLAN'!F266*'TS-PILE'!$D$88/SUMSQ('TS-PILE'!$D$72:$D$91))),IF('TS-PILE'!$B$89="",-1E+99,'TO HOP NLAN'!D266/ncoc+IF(SUMSQ('TS-PILE'!$E$72:$E$91)=0,0,'TO HOP NLAN'!E266*'TS-PILE'!$E$89/SUMSQ('TS-PILE'!$E$72:$E$91))+IF(SUMSQ('TS-PILE'!$D$72:$D$91)=0,0,'TO HOP NLAN'!F266*'TS-PILE'!$D$89/SUMSQ('TS-PILE'!$D$72:$D$91))),IF('TS-PILE'!$B$90="",-1E+99,'TO HOP NLAN'!D266/ncoc+IF(SUMSQ('TS-PILE'!$E$72:$E$91)=0,0,'TO HOP NLAN'!E266*'TS-PILE'!$E$90/SUMSQ('TS-PILE'!$E$72:$E$91))+IF(SUMSQ('TS-PILE'!$D$72:$D$91)=0,0,'TO HOP NLAN'!F266*'TS-PILE'!$D$90/SUMSQ('TS-PILE'!$D$72:$D$91))),IF('TS-PILE'!$B$91="",-1E+99,'TO HOP NLAN'!D266/ncoc+IF(SUMSQ('TS-PILE'!$E$72:$E$91)=0,0,'TO HOP NLAN'!E266*'TS-PILE'!$E$91/SUMSQ('TS-PILE'!$E$72:$E$91))+IF(SUMSQ('TS-PILE'!$D$72:$D$91)=0,0,'TO HOP NLAN'!F266*'TS-PILE'!$D$91/SUMSQ('TS-PILE'!$D$72:$D$91)))))</f>
        <v>0</v>
      </c>
      <c r="D266" s="58">
        <f>IF(A266="",0,MIN(IF('TS-PILE'!$B$72="",1E+99,'TO HOP NLAN'!D266/ncoc+IF(SUMSQ('TS-PILE'!$E$72:$E$91)=0,0,'TO HOP NLAN'!E266*'TS-PILE'!$E$72/SUMSQ('TS-PILE'!$E$72:$E$91))+IF(SUMSQ('TS-PILE'!$D$72:$D$91)=0,0,'TO HOP NLAN'!F266*'TS-PILE'!$D$72/SUMSQ('TS-PILE'!$D$72:$D$91))),IF('TS-PILE'!$B$73="",1E+99,'TO HOP NLAN'!D266/ncoc+IF(SUMSQ('TS-PILE'!$E$72:$E$91)=0,0,'TO HOP NLAN'!E266*'TS-PILE'!$E$73/SUMSQ('TS-PILE'!$E$72:$E$91))+IF(SUMSQ('TS-PILE'!$D$72:$D$91)=0,0,'TO HOP NLAN'!F266*'TS-PILE'!$D$73/SUMSQ('TS-PILE'!$D$72:$D$91))),IF('TS-PILE'!$B$74="",1E+99,'TO HOP NLAN'!D266/ncoc+IF(SUMSQ('TS-PILE'!$E$72:$E$91)=0,0,'TO HOP NLAN'!E266*'TS-PILE'!$E$74/SUMSQ('TS-PILE'!$E$72:$E$91))+IF(SUMSQ('TS-PILE'!$D$72:$D$91)=0,0,'TO HOP NLAN'!F266*'TS-PILE'!$D$74/SUMSQ('TS-PILE'!$D$72:$D$91))),IF('TS-PILE'!$B$75="",1E+99,'TO HOP NLAN'!D266/ncoc+IF(SUMSQ('TS-PILE'!$E$72:$E$91)=0,0,'TO HOP NLAN'!E266*'TS-PILE'!$E$75/SUMSQ('TS-PILE'!$E$72:$E$91))+IF(SUMSQ('TS-PILE'!$D$72:$D$91)=0,0,'TO HOP NLAN'!F266*'TS-PILE'!$D$75/SUMSQ('TS-PILE'!$D$72:$D$91))),IF('TS-PILE'!$B$76="",1E+99,'TO HOP NLAN'!D266/ncoc+IF(SUMSQ('TS-PILE'!$E$72:$E$91)=0,0,'TO HOP NLAN'!E266*'TS-PILE'!$E$76/SUMSQ('TS-PILE'!$E$72:$E$91))+IF(SUMSQ('TS-PILE'!$D$72:$D$91)=0,0,'TO HOP NLAN'!F266*'TS-PILE'!$D$76/SUMSQ('TS-PILE'!$D$72:$D$91))),IF('TS-PILE'!$B$77="",1E+99,'TO HOP NLAN'!D266/ncoc+IF(SUMSQ('TS-PILE'!$E$72:$E$91)=0,0,'TO HOP NLAN'!E266*'TS-PILE'!$E$77/SUMSQ('TS-PILE'!$E$72:$E$91))+IF(SUMSQ('TS-PILE'!$D$72:$D$91)=0,0,'TO HOP NLAN'!F266*'TS-PILE'!$D$77/SUMSQ('TS-PILE'!$D$72:$D$91))),IF('TS-PILE'!$B$78="",1E+99,'TO HOP NLAN'!D266/ncoc+IF(SUMSQ('TS-PILE'!$E$72:$E$91)=0,0,'TO HOP NLAN'!E266*'TS-PILE'!$E$78/SUMSQ('TS-PILE'!$E$72:$E$91))+IF(SUMSQ('TS-PILE'!$D$72:$D$91)=0,0,'TO HOP NLAN'!F266*'TS-PILE'!$D$78/SUMSQ('TS-PILE'!$D$72:$D$91))),IF('TS-PILE'!$B$79="",1E+99,'TO HOP NLAN'!D266/ncoc+IF(SUMSQ('TS-PILE'!$E$72:$E$91)=0,0,'TO HOP NLAN'!E266*'TS-PILE'!$E$79/SUMSQ('TS-PILE'!$E$72:$E$91))+IF(SUMSQ('TS-PILE'!$D$72:$D$91)=0,0,'TO HOP NLAN'!F266*'TS-PILE'!$D$79/SUMSQ('TS-PILE'!$D$72:$D$91))),IF('TS-PILE'!$B$80="",1E+99,'TO HOP NLAN'!D266/ncoc+IF(SUMSQ('TS-PILE'!$E$72:$E$91)=0,0,'TO HOP NLAN'!E266*'TS-PILE'!$E$80/SUMSQ('TS-PILE'!$E$72:$E$91))+IF(SUMSQ('TS-PILE'!$D$72:$D$91)=0,0,'TO HOP NLAN'!F266*'TS-PILE'!$D$80/SUMSQ('TS-PILE'!$D$72:$D$91))),IF('TS-PILE'!$B$81="",1E+99,'TO HOP NLAN'!D266/ncoc+IF(SUMSQ('TS-PILE'!$E$72:$E$91)=0,0,'TO HOP NLAN'!E266*'TS-PILE'!$E$81/SUMSQ('TS-PILE'!$E$72:$E$91))+IF(SUMSQ('TS-PILE'!$D$72:$D$91)=0,0,'TO HOP NLAN'!F266*'TS-PILE'!$D$81/SUMSQ('TS-PILE'!$D$72:$D$91))),IF('TS-PILE'!$B$82="",1E+99,'TO HOP NLAN'!D266/ncoc+IF(SUMSQ('TS-PILE'!$E$72:$E$91)=0,0,'TO HOP NLAN'!E266*'TS-PILE'!$E$82/SUMSQ('TS-PILE'!$E$72:$E$91))+IF(SUMSQ('TS-PILE'!$D$72:$D$91)=0,0,'TO HOP NLAN'!F266*'TS-PILE'!$D$82/SUMSQ('TS-PILE'!$D$72:$D$91))),IF('TS-PILE'!$B$83="",1E+99,'TO HOP NLAN'!D266/ncoc+IF(SUMSQ('TS-PILE'!$E$72:$E$91)=0,0,'TO HOP NLAN'!E266*'TS-PILE'!$E$83/SUMSQ('TS-PILE'!$E$72:$E$91))+IF(SUMSQ('TS-PILE'!$D$72:$D$91)=0,0,'TO HOP NLAN'!F266*'TS-PILE'!$D$83/SUMSQ('TS-PILE'!$D$72:$D$91))),IF('TS-PILE'!$B$84="",1E+99,'TO HOP NLAN'!D266/ncoc+IF(SUMSQ('TS-PILE'!$E$72:$E$91)=0,0,'TO HOP NLAN'!E266*'TS-PILE'!$E$84/SUMSQ('TS-PILE'!$E$72:$E$91))+IF(SUMSQ('TS-PILE'!$D$72:$D$91)=0,0,'TO HOP NLAN'!F266*'TS-PILE'!$D$84/SUMSQ('TS-PILE'!$D$72:$D$91))),IF('TS-PILE'!$B$85="",1E+99,'TO HOP NLAN'!D266/ncoc+IF(SUMSQ('TS-PILE'!$E$72:$E$91)=0,0,'TO HOP NLAN'!E266*'TS-PILE'!$E$85/SUMSQ('TS-PILE'!$E$72:$E$91))+IF(SUMSQ('TS-PILE'!$D$72:$D$91)=0,0,'TO HOP NLAN'!F266*'TS-PILE'!$D$85/SUMSQ('TS-PILE'!$D$72:$D$91))),IF('TS-PILE'!$B$86="",1E+99,'TO HOP NLAN'!D266/ncoc+IF(SUMSQ('TS-PILE'!$E$72:$E$91)=0,0,'TO HOP NLAN'!E266*'TS-PILE'!$E$86/SUMSQ('TS-PILE'!$E$72:$E$91))+IF(SUMSQ('TS-PILE'!$D$72:$D$91)=0,0,'TO HOP NLAN'!F266*'TS-PILE'!$D$86/SUMSQ('TS-PILE'!$D$72:$D$91))),IF('TS-PILE'!$B$87="",1E+99,'TO HOP NLAN'!D266/ncoc+IF(SUMSQ('TS-PILE'!$E$72:$E$91)=0,0,'TO HOP NLAN'!E266*'TS-PILE'!$E$87/SUMSQ('TS-PILE'!$E$72:$E$91))+IF(SUMSQ('TS-PILE'!$D$72:$D$91)=0,0,'TO HOP NLAN'!F266*'TS-PILE'!$D$87/SUMSQ('TS-PILE'!$D$72:$D$91))),IF('TS-PILE'!$B$88="",1E+99,'TO HOP NLAN'!D266/ncoc+IF(SUMSQ('TS-PILE'!$E$72:$E$91)=0,0,'TO HOP NLAN'!E266*'TS-PILE'!$E$88/SUMSQ('TS-PILE'!$E$72:$E$91))+IF(SUMSQ('TS-PILE'!$D$72:$D$91)=0,0,'TO HOP NLAN'!F266*'TS-PILE'!$D$88/SUMSQ('TS-PILE'!$D$72:$D$91))),IF('TS-PILE'!$B$89="",1E+99,'TO HOP NLAN'!D266/ncoc+IF(SUMSQ('TS-PILE'!$E$72:$E$91)=0,0,'TO HOP NLAN'!E266*'TS-PILE'!$E$89/SUMSQ('TS-PILE'!$E$72:$E$91))+IF(SUMSQ('TS-PILE'!$D$72:$D$91)=0,0,'TO HOP NLAN'!F266*'TS-PILE'!$D$89/SUMSQ('TS-PILE'!$D$72:$D$91))),IF('TS-PILE'!$B$90="",1E+99,'TO HOP NLAN'!D266/ncoc+IF(SUMSQ('TS-PILE'!$E$72:$E$91)=0,0,'TO HOP NLAN'!E266*'TS-PILE'!$E$90/SUMSQ('TS-PILE'!$E$72:$E$91))+IF(SUMSQ('TS-PILE'!$D$72:$D$91)=0,0,'TO HOP NLAN'!F266*'TS-PILE'!$D$90/SUMSQ('TS-PILE'!$D$72:$D$91))),IF('TS-PILE'!$B$91="",1E+99,'TO HOP NLAN'!D266/ncoc+IF(SUMSQ('TS-PILE'!$E$72:$E$91)=0,0,'TO HOP NLAN'!E266*'TS-PILE'!$E$91/SUMSQ('TS-PILE'!$E$72:$E$91))+IF(SUMSQ('TS-PILE'!$D$72:$D$91)=0,0,'TO HOP NLAN'!F266*'TS-PILE'!$D$91/SUMSQ('TS-PILE'!$D$72:$D$91)))))</f>
        <v>0</v>
      </c>
      <c r="E266" s="58">
        <f t="shared" si="16"/>
        <v>-9.9999999999999997E+98</v>
      </c>
      <c r="F266" s="58">
        <f t="shared" si="17"/>
        <v>9.9999999999999997E+98</v>
      </c>
      <c r="G266" s="58">
        <f t="shared" si="18"/>
        <v>-9.9999999999999997E+98</v>
      </c>
      <c r="H266" s="58">
        <f t="shared" si="19"/>
        <v>9.9999999999999997E+98</v>
      </c>
    </row>
    <row r="267" spans="1:8" x14ac:dyDescent="0.3">
      <c r="A267" s="42" t="str">
        <f>'TO HOP NLAN'!A267</f>
        <v/>
      </c>
      <c r="B267" s="42" t="str">
        <f>'TO HOP NLAN'!L267</f>
        <v>STRENGTH</v>
      </c>
      <c r="C267" s="58">
        <f>IF(A267="",0,MAX(IF('TS-PILE'!$B$72="",-1E+99,'TO HOP NLAN'!D267/ncoc+IF(SUMSQ('TS-PILE'!$E$72:$E$91)=0,0,'TO HOP NLAN'!E267*'TS-PILE'!$E$72/SUMSQ('TS-PILE'!$E$72:$E$91))+IF(SUMSQ('TS-PILE'!$D$72:$D$91)=0,0,'TO HOP NLAN'!F267*'TS-PILE'!$D$72/SUMSQ('TS-PILE'!$D$72:$D$91))),IF('TS-PILE'!$B$73="",-1E+99,'TO HOP NLAN'!D267/ncoc+IF(SUMSQ('TS-PILE'!$E$72:$E$91)=0,0,'TO HOP NLAN'!E267*'TS-PILE'!$E$73/SUMSQ('TS-PILE'!$E$72:$E$91))+IF(SUMSQ('TS-PILE'!$D$72:$D$91)=0,0,'TO HOP NLAN'!F267*'TS-PILE'!$D$73/SUMSQ('TS-PILE'!$D$72:$D$91))),IF('TS-PILE'!$B$74="",-1E+99,'TO HOP NLAN'!D267/ncoc+IF(SUMSQ('TS-PILE'!$E$72:$E$91)=0,0,'TO HOP NLAN'!E267*'TS-PILE'!$E$74/SUMSQ('TS-PILE'!$E$72:$E$91))+IF(SUMSQ('TS-PILE'!$D$72:$D$91)=0,0,'TO HOP NLAN'!F267*'TS-PILE'!$D$74/SUMSQ('TS-PILE'!$D$72:$D$91))),IF('TS-PILE'!$B$75="",-1E+99,'TO HOP NLAN'!D267/ncoc+IF(SUMSQ('TS-PILE'!$E$72:$E$91)=0,0,'TO HOP NLAN'!E267*'TS-PILE'!$E$75/SUMSQ('TS-PILE'!$E$72:$E$91))+IF(SUMSQ('TS-PILE'!$D$72:$D$91)=0,0,'TO HOP NLAN'!F267*'TS-PILE'!$D$75/SUMSQ('TS-PILE'!$D$72:$D$91))),IF('TS-PILE'!$B$76="",-1E+99,'TO HOP NLAN'!D267/ncoc+IF(SUMSQ('TS-PILE'!$E$72:$E$91)=0,0,'TO HOP NLAN'!E267*'TS-PILE'!$E$76/SUMSQ('TS-PILE'!$E$72:$E$91))+IF(SUMSQ('TS-PILE'!$D$72:$D$91)=0,0,'TO HOP NLAN'!F267*'TS-PILE'!$D$76/SUMSQ('TS-PILE'!$D$72:$D$91))),IF('TS-PILE'!$B$77="",-1E+99,'TO HOP NLAN'!D267/ncoc+IF(SUMSQ('TS-PILE'!$E$72:$E$91)=0,0,'TO HOP NLAN'!E267*'TS-PILE'!$E$77/SUMSQ('TS-PILE'!$E$72:$E$91))+IF(SUMSQ('TS-PILE'!$D$72:$D$91)=0,0,'TO HOP NLAN'!F267*'TS-PILE'!$D$77/SUMSQ('TS-PILE'!$D$72:$D$91))),IF('TS-PILE'!$B$78="",-1E+99,'TO HOP NLAN'!D267/ncoc+IF(SUMSQ('TS-PILE'!$E$72:$E$91)=0,0,'TO HOP NLAN'!E267*'TS-PILE'!$E$78/SUMSQ('TS-PILE'!$E$72:$E$91))+IF(SUMSQ('TS-PILE'!$D$72:$D$91)=0,0,'TO HOP NLAN'!F267*'TS-PILE'!$D$78/SUMSQ('TS-PILE'!$D$72:$D$91))),IF('TS-PILE'!$B$79="",-1E+99,'TO HOP NLAN'!D267/ncoc+IF(SUMSQ('TS-PILE'!$E$72:$E$91)=0,0,'TO HOP NLAN'!E267*'TS-PILE'!$E$79/SUMSQ('TS-PILE'!$E$72:$E$91))+IF(SUMSQ('TS-PILE'!$D$72:$D$91)=0,0,'TO HOP NLAN'!F267*'TS-PILE'!$D$79/SUMSQ('TS-PILE'!$D$72:$D$91))),IF('TS-PILE'!$B$80="",-1E+99,'TO HOP NLAN'!D267/ncoc+IF(SUMSQ('TS-PILE'!$E$72:$E$91)=0,0,'TO HOP NLAN'!E267*'TS-PILE'!$E$80/SUMSQ('TS-PILE'!$E$72:$E$91))+IF(SUMSQ('TS-PILE'!$D$72:$D$91)=0,0,'TO HOP NLAN'!F267*'TS-PILE'!$D$80/SUMSQ('TS-PILE'!$D$72:$D$91))),IF('TS-PILE'!$B$81="",-1E+99,'TO HOP NLAN'!D267/ncoc+IF(SUMSQ('TS-PILE'!$E$72:$E$91)=0,0,'TO HOP NLAN'!E267*'TS-PILE'!$E$81/SUMSQ('TS-PILE'!$E$72:$E$91))+IF(SUMSQ('TS-PILE'!$D$72:$D$91)=0,0,'TO HOP NLAN'!F267*'TS-PILE'!$D$81/SUMSQ('TS-PILE'!$D$72:$D$91))),IF('TS-PILE'!$B$82="",-1E+99,'TO HOP NLAN'!D267/ncoc+IF(SUMSQ('TS-PILE'!$E$72:$E$91)=0,0,'TO HOP NLAN'!E267*'TS-PILE'!$E$82/SUMSQ('TS-PILE'!$E$72:$E$91))+IF(SUMSQ('TS-PILE'!$D$72:$D$91)=0,0,'TO HOP NLAN'!F267*'TS-PILE'!$D$82/SUMSQ('TS-PILE'!$D$72:$D$91))),IF('TS-PILE'!$B$83="",-1E+99,'TO HOP NLAN'!D267/ncoc+IF(SUMSQ('TS-PILE'!$E$72:$E$91)=0,0,'TO HOP NLAN'!E267*'TS-PILE'!$E$83/SUMSQ('TS-PILE'!$E$72:$E$91))+IF(SUMSQ('TS-PILE'!$D$72:$D$91)=0,0,'TO HOP NLAN'!F267*'TS-PILE'!$D$83/SUMSQ('TS-PILE'!$D$72:$D$91))),IF('TS-PILE'!$B$84="",-1E+99,'TO HOP NLAN'!D267/ncoc+IF(SUMSQ('TS-PILE'!$E$72:$E$91)=0,0,'TO HOP NLAN'!E267*'TS-PILE'!$E$84/SUMSQ('TS-PILE'!$E$72:$E$91))+IF(SUMSQ('TS-PILE'!$D$72:$D$91)=0,0,'TO HOP NLAN'!F267*'TS-PILE'!$D$84/SUMSQ('TS-PILE'!$D$72:$D$91))),IF('TS-PILE'!$B$85="",-1E+99,'TO HOP NLAN'!D267/ncoc+IF(SUMSQ('TS-PILE'!$E$72:$E$91)=0,0,'TO HOP NLAN'!E267*'TS-PILE'!$E$85/SUMSQ('TS-PILE'!$E$72:$E$91))+IF(SUMSQ('TS-PILE'!$D$72:$D$91)=0,0,'TO HOP NLAN'!F267*'TS-PILE'!$D$85/SUMSQ('TS-PILE'!$D$72:$D$91))),IF('TS-PILE'!$B$86="",-1E+99,'TO HOP NLAN'!D267/ncoc+IF(SUMSQ('TS-PILE'!$E$72:$E$91)=0,0,'TO HOP NLAN'!E267*'TS-PILE'!$E$86/SUMSQ('TS-PILE'!$E$72:$E$91))+IF(SUMSQ('TS-PILE'!$D$72:$D$91)=0,0,'TO HOP NLAN'!F267*'TS-PILE'!$D$86/SUMSQ('TS-PILE'!$D$72:$D$91))),IF('TS-PILE'!$B$87="",-1E+99,'TO HOP NLAN'!D267/ncoc+IF(SUMSQ('TS-PILE'!$E$72:$E$91)=0,0,'TO HOP NLAN'!E267*'TS-PILE'!$E$87/SUMSQ('TS-PILE'!$E$72:$E$91))+IF(SUMSQ('TS-PILE'!$D$72:$D$91)=0,0,'TO HOP NLAN'!F267*'TS-PILE'!$D$87/SUMSQ('TS-PILE'!$D$72:$D$91))),IF('TS-PILE'!$B$88="",-1E+99,'TO HOP NLAN'!D267/ncoc+IF(SUMSQ('TS-PILE'!$E$72:$E$91)=0,0,'TO HOP NLAN'!E267*'TS-PILE'!$E$88/SUMSQ('TS-PILE'!$E$72:$E$91))+IF(SUMSQ('TS-PILE'!$D$72:$D$91)=0,0,'TO HOP NLAN'!F267*'TS-PILE'!$D$88/SUMSQ('TS-PILE'!$D$72:$D$91))),IF('TS-PILE'!$B$89="",-1E+99,'TO HOP NLAN'!D267/ncoc+IF(SUMSQ('TS-PILE'!$E$72:$E$91)=0,0,'TO HOP NLAN'!E267*'TS-PILE'!$E$89/SUMSQ('TS-PILE'!$E$72:$E$91))+IF(SUMSQ('TS-PILE'!$D$72:$D$91)=0,0,'TO HOP NLAN'!F267*'TS-PILE'!$D$89/SUMSQ('TS-PILE'!$D$72:$D$91))),IF('TS-PILE'!$B$90="",-1E+99,'TO HOP NLAN'!D267/ncoc+IF(SUMSQ('TS-PILE'!$E$72:$E$91)=0,0,'TO HOP NLAN'!E267*'TS-PILE'!$E$90/SUMSQ('TS-PILE'!$E$72:$E$91))+IF(SUMSQ('TS-PILE'!$D$72:$D$91)=0,0,'TO HOP NLAN'!F267*'TS-PILE'!$D$90/SUMSQ('TS-PILE'!$D$72:$D$91))),IF('TS-PILE'!$B$91="",-1E+99,'TO HOP NLAN'!D267/ncoc+IF(SUMSQ('TS-PILE'!$E$72:$E$91)=0,0,'TO HOP NLAN'!E267*'TS-PILE'!$E$91/SUMSQ('TS-PILE'!$E$72:$E$91))+IF(SUMSQ('TS-PILE'!$D$72:$D$91)=0,0,'TO HOP NLAN'!F267*'TS-PILE'!$D$91/SUMSQ('TS-PILE'!$D$72:$D$91)))))</f>
        <v>0</v>
      </c>
      <c r="D267" s="58">
        <f>IF(A267="",0,MIN(IF('TS-PILE'!$B$72="",1E+99,'TO HOP NLAN'!D267/ncoc+IF(SUMSQ('TS-PILE'!$E$72:$E$91)=0,0,'TO HOP NLAN'!E267*'TS-PILE'!$E$72/SUMSQ('TS-PILE'!$E$72:$E$91))+IF(SUMSQ('TS-PILE'!$D$72:$D$91)=0,0,'TO HOP NLAN'!F267*'TS-PILE'!$D$72/SUMSQ('TS-PILE'!$D$72:$D$91))),IF('TS-PILE'!$B$73="",1E+99,'TO HOP NLAN'!D267/ncoc+IF(SUMSQ('TS-PILE'!$E$72:$E$91)=0,0,'TO HOP NLAN'!E267*'TS-PILE'!$E$73/SUMSQ('TS-PILE'!$E$72:$E$91))+IF(SUMSQ('TS-PILE'!$D$72:$D$91)=0,0,'TO HOP NLAN'!F267*'TS-PILE'!$D$73/SUMSQ('TS-PILE'!$D$72:$D$91))),IF('TS-PILE'!$B$74="",1E+99,'TO HOP NLAN'!D267/ncoc+IF(SUMSQ('TS-PILE'!$E$72:$E$91)=0,0,'TO HOP NLAN'!E267*'TS-PILE'!$E$74/SUMSQ('TS-PILE'!$E$72:$E$91))+IF(SUMSQ('TS-PILE'!$D$72:$D$91)=0,0,'TO HOP NLAN'!F267*'TS-PILE'!$D$74/SUMSQ('TS-PILE'!$D$72:$D$91))),IF('TS-PILE'!$B$75="",1E+99,'TO HOP NLAN'!D267/ncoc+IF(SUMSQ('TS-PILE'!$E$72:$E$91)=0,0,'TO HOP NLAN'!E267*'TS-PILE'!$E$75/SUMSQ('TS-PILE'!$E$72:$E$91))+IF(SUMSQ('TS-PILE'!$D$72:$D$91)=0,0,'TO HOP NLAN'!F267*'TS-PILE'!$D$75/SUMSQ('TS-PILE'!$D$72:$D$91))),IF('TS-PILE'!$B$76="",1E+99,'TO HOP NLAN'!D267/ncoc+IF(SUMSQ('TS-PILE'!$E$72:$E$91)=0,0,'TO HOP NLAN'!E267*'TS-PILE'!$E$76/SUMSQ('TS-PILE'!$E$72:$E$91))+IF(SUMSQ('TS-PILE'!$D$72:$D$91)=0,0,'TO HOP NLAN'!F267*'TS-PILE'!$D$76/SUMSQ('TS-PILE'!$D$72:$D$91))),IF('TS-PILE'!$B$77="",1E+99,'TO HOP NLAN'!D267/ncoc+IF(SUMSQ('TS-PILE'!$E$72:$E$91)=0,0,'TO HOP NLAN'!E267*'TS-PILE'!$E$77/SUMSQ('TS-PILE'!$E$72:$E$91))+IF(SUMSQ('TS-PILE'!$D$72:$D$91)=0,0,'TO HOP NLAN'!F267*'TS-PILE'!$D$77/SUMSQ('TS-PILE'!$D$72:$D$91))),IF('TS-PILE'!$B$78="",1E+99,'TO HOP NLAN'!D267/ncoc+IF(SUMSQ('TS-PILE'!$E$72:$E$91)=0,0,'TO HOP NLAN'!E267*'TS-PILE'!$E$78/SUMSQ('TS-PILE'!$E$72:$E$91))+IF(SUMSQ('TS-PILE'!$D$72:$D$91)=0,0,'TO HOP NLAN'!F267*'TS-PILE'!$D$78/SUMSQ('TS-PILE'!$D$72:$D$91))),IF('TS-PILE'!$B$79="",1E+99,'TO HOP NLAN'!D267/ncoc+IF(SUMSQ('TS-PILE'!$E$72:$E$91)=0,0,'TO HOP NLAN'!E267*'TS-PILE'!$E$79/SUMSQ('TS-PILE'!$E$72:$E$91))+IF(SUMSQ('TS-PILE'!$D$72:$D$91)=0,0,'TO HOP NLAN'!F267*'TS-PILE'!$D$79/SUMSQ('TS-PILE'!$D$72:$D$91))),IF('TS-PILE'!$B$80="",1E+99,'TO HOP NLAN'!D267/ncoc+IF(SUMSQ('TS-PILE'!$E$72:$E$91)=0,0,'TO HOP NLAN'!E267*'TS-PILE'!$E$80/SUMSQ('TS-PILE'!$E$72:$E$91))+IF(SUMSQ('TS-PILE'!$D$72:$D$91)=0,0,'TO HOP NLAN'!F267*'TS-PILE'!$D$80/SUMSQ('TS-PILE'!$D$72:$D$91))),IF('TS-PILE'!$B$81="",1E+99,'TO HOP NLAN'!D267/ncoc+IF(SUMSQ('TS-PILE'!$E$72:$E$91)=0,0,'TO HOP NLAN'!E267*'TS-PILE'!$E$81/SUMSQ('TS-PILE'!$E$72:$E$91))+IF(SUMSQ('TS-PILE'!$D$72:$D$91)=0,0,'TO HOP NLAN'!F267*'TS-PILE'!$D$81/SUMSQ('TS-PILE'!$D$72:$D$91))),IF('TS-PILE'!$B$82="",1E+99,'TO HOP NLAN'!D267/ncoc+IF(SUMSQ('TS-PILE'!$E$72:$E$91)=0,0,'TO HOP NLAN'!E267*'TS-PILE'!$E$82/SUMSQ('TS-PILE'!$E$72:$E$91))+IF(SUMSQ('TS-PILE'!$D$72:$D$91)=0,0,'TO HOP NLAN'!F267*'TS-PILE'!$D$82/SUMSQ('TS-PILE'!$D$72:$D$91))),IF('TS-PILE'!$B$83="",1E+99,'TO HOP NLAN'!D267/ncoc+IF(SUMSQ('TS-PILE'!$E$72:$E$91)=0,0,'TO HOP NLAN'!E267*'TS-PILE'!$E$83/SUMSQ('TS-PILE'!$E$72:$E$91))+IF(SUMSQ('TS-PILE'!$D$72:$D$91)=0,0,'TO HOP NLAN'!F267*'TS-PILE'!$D$83/SUMSQ('TS-PILE'!$D$72:$D$91))),IF('TS-PILE'!$B$84="",1E+99,'TO HOP NLAN'!D267/ncoc+IF(SUMSQ('TS-PILE'!$E$72:$E$91)=0,0,'TO HOP NLAN'!E267*'TS-PILE'!$E$84/SUMSQ('TS-PILE'!$E$72:$E$91))+IF(SUMSQ('TS-PILE'!$D$72:$D$91)=0,0,'TO HOP NLAN'!F267*'TS-PILE'!$D$84/SUMSQ('TS-PILE'!$D$72:$D$91))),IF('TS-PILE'!$B$85="",1E+99,'TO HOP NLAN'!D267/ncoc+IF(SUMSQ('TS-PILE'!$E$72:$E$91)=0,0,'TO HOP NLAN'!E267*'TS-PILE'!$E$85/SUMSQ('TS-PILE'!$E$72:$E$91))+IF(SUMSQ('TS-PILE'!$D$72:$D$91)=0,0,'TO HOP NLAN'!F267*'TS-PILE'!$D$85/SUMSQ('TS-PILE'!$D$72:$D$91))),IF('TS-PILE'!$B$86="",1E+99,'TO HOP NLAN'!D267/ncoc+IF(SUMSQ('TS-PILE'!$E$72:$E$91)=0,0,'TO HOP NLAN'!E267*'TS-PILE'!$E$86/SUMSQ('TS-PILE'!$E$72:$E$91))+IF(SUMSQ('TS-PILE'!$D$72:$D$91)=0,0,'TO HOP NLAN'!F267*'TS-PILE'!$D$86/SUMSQ('TS-PILE'!$D$72:$D$91))),IF('TS-PILE'!$B$87="",1E+99,'TO HOP NLAN'!D267/ncoc+IF(SUMSQ('TS-PILE'!$E$72:$E$91)=0,0,'TO HOP NLAN'!E267*'TS-PILE'!$E$87/SUMSQ('TS-PILE'!$E$72:$E$91))+IF(SUMSQ('TS-PILE'!$D$72:$D$91)=0,0,'TO HOP NLAN'!F267*'TS-PILE'!$D$87/SUMSQ('TS-PILE'!$D$72:$D$91))),IF('TS-PILE'!$B$88="",1E+99,'TO HOP NLAN'!D267/ncoc+IF(SUMSQ('TS-PILE'!$E$72:$E$91)=0,0,'TO HOP NLAN'!E267*'TS-PILE'!$E$88/SUMSQ('TS-PILE'!$E$72:$E$91))+IF(SUMSQ('TS-PILE'!$D$72:$D$91)=0,0,'TO HOP NLAN'!F267*'TS-PILE'!$D$88/SUMSQ('TS-PILE'!$D$72:$D$91))),IF('TS-PILE'!$B$89="",1E+99,'TO HOP NLAN'!D267/ncoc+IF(SUMSQ('TS-PILE'!$E$72:$E$91)=0,0,'TO HOP NLAN'!E267*'TS-PILE'!$E$89/SUMSQ('TS-PILE'!$E$72:$E$91))+IF(SUMSQ('TS-PILE'!$D$72:$D$91)=0,0,'TO HOP NLAN'!F267*'TS-PILE'!$D$89/SUMSQ('TS-PILE'!$D$72:$D$91))),IF('TS-PILE'!$B$90="",1E+99,'TO HOP NLAN'!D267/ncoc+IF(SUMSQ('TS-PILE'!$E$72:$E$91)=0,0,'TO HOP NLAN'!E267*'TS-PILE'!$E$90/SUMSQ('TS-PILE'!$E$72:$E$91))+IF(SUMSQ('TS-PILE'!$D$72:$D$91)=0,0,'TO HOP NLAN'!F267*'TS-PILE'!$D$90/SUMSQ('TS-PILE'!$D$72:$D$91))),IF('TS-PILE'!$B$91="",1E+99,'TO HOP NLAN'!D267/ncoc+IF(SUMSQ('TS-PILE'!$E$72:$E$91)=0,0,'TO HOP NLAN'!E267*'TS-PILE'!$E$91/SUMSQ('TS-PILE'!$E$72:$E$91))+IF(SUMSQ('TS-PILE'!$D$72:$D$91)=0,0,'TO HOP NLAN'!F267*'TS-PILE'!$D$91/SUMSQ('TS-PILE'!$D$72:$D$91)))))</f>
        <v>0</v>
      </c>
      <c r="E267" s="58">
        <f t="shared" si="16"/>
        <v>-9.9999999999999997E+98</v>
      </c>
      <c r="F267" s="58">
        <f t="shared" si="17"/>
        <v>9.9999999999999997E+98</v>
      </c>
      <c r="G267" s="58">
        <f t="shared" si="18"/>
        <v>-9.9999999999999997E+98</v>
      </c>
      <c r="H267" s="58">
        <f t="shared" si="19"/>
        <v>9.9999999999999997E+98</v>
      </c>
    </row>
    <row r="268" spans="1:8" x14ac:dyDescent="0.3">
      <c r="A268" s="42" t="str">
        <f>'TO HOP NLAN'!A268</f>
        <v/>
      </c>
      <c r="B268" s="42" t="str">
        <f>'TO HOP NLAN'!L268</f>
        <v>STRENGTH</v>
      </c>
      <c r="C268" s="58">
        <f>IF(A268="",0,MAX(IF('TS-PILE'!$B$72="",-1E+99,'TO HOP NLAN'!D268/ncoc+IF(SUMSQ('TS-PILE'!$E$72:$E$91)=0,0,'TO HOP NLAN'!E268*'TS-PILE'!$E$72/SUMSQ('TS-PILE'!$E$72:$E$91))+IF(SUMSQ('TS-PILE'!$D$72:$D$91)=0,0,'TO HOP NLAN'!F268*'TS-PILE'!$D$72/SUMSQ('TS-PILE'!$D$72:$D$91))),IF('TS-PILE'!$B$73="",-1E+99,'TO HOP NLAN'!D268/ncoc+IF(SUMSQ('TS-PILE'!$E$72:$E$91)=0,0,'TO HOP NLAN'!E268*'TS-PILE'!$E$73/SUMSQ('TS-PILE'!$E$72:$E$91))+IF(SUMSQ('TS-PILE'!$D$72:$D$91)=0,0,'TO HOP NLAN'!F268*'TS-PILE'!$D$73/SUMSQ('TS-PILE'!$D$72:$D$91))),IF('TS-PILE'!$B$74="",-1E+99,'TO HOP NLAN'!D268/ncoc+IF(SUMSQ('TS-PILE'!$E$72:$E$91)=0,0,'TO HOP NLAN'!E268*'TS-PILE'!$E$74/SUMSQ('TS-PILE'!$E$72:$E$91))+IF(SUMSQ('TS-PILE'!$D$72:$D$91)=0,0,'TO HOP NLAN'!F268*'TS-PILE'!$D$74/SUMSQ('TS-PILE'!$D$72:$D$91))),IF('TS-PILE'!$B$75="",-1E+99,'TO HOP NLAN'!D268/ncoc+IF(SUMSQ('TS-PILE'!$E$72:$E$91)=0,0,'TO HOP NLAN'!E268*'TS-PILE'!$E$75/SUMSQ('TS-PILE'!$E$72:$E$91))+IF(SUMSQ('TS-PILE'!$D$72:$D$91)=0,0,'TO HOP NLAN'!F268*'TS-PILE'!$D$75/SUMSQ('TS-PILE'!$D$72:$D$91))),IF('TS-PILE'!$B$76="",-1E+99,'TO HOP NLAN'!D268/ncoc+IF(SUMSQ('TS-PILE'!$E$72:$E$91)=0,0,'TO HOP NLAN'!E268*'TS-PILE'!$E$76/SUMSQ('TS-PILE'!$E$72:$E$91))+IF(SUMSQ('TS-PILE'!$D$72:$D$91)=0,0,'TO HOP NLAN'!F268*'TS-PILE'!$D$76/SUMSQ('TS-PILE'!$D$72:$D$91))),IF('TS-PILE'!$B$77="",-1E+99,'TO HOP NLAN'!D268/ncoc+IF(SUMSQ('TS-PILE'!$E$72:$E$91)=0,0,'TO HOP NLAN'!E268*'TS-PILE'!$E$77/SUMSQ('TS-PILE'!$E$72:$E$91))+IF(SUMSQ('TS-PILE'!$D$72:$D$91)=0,0,'TO HOP NLAN'!F268*'TS-PILE'!$D$77/SUMSQ('TS-PILE'!$D$72:$D$91))),IF('TS-PILE'!$B$78="",-1E+99,'TO HOP NLAN'!D268/ncoc+IF(SUMSQ('TS-PILE'!$E$72:$E$91)=0,0,'TO HOP NLAN'!E268*'TS-PILE'!$E$78/SUMSQ('TS-PILE'!$E$72:$E$91))+IF(SUMSQ('TS-PILE'!$D$72:$D$91)=0,0,'TO HOP NLAN'!F268*'TS-PILE'!$D$78/SUMSQ('TS-PILE'!$D$72:$D$91))),IF('TS-PILE'!$B$79="",-1E+99,'TO HOP NLAN'!D268/ncoc+IF(SUMSQ('TS-PILE'!$E$72:$E$91)=0,0,'TO HOP NLAN'!E268*'TS-PILE'!$E$79/SUMSQ('TS-PILE'!$E$72:$E$91))+IF(SUMSQ('TS-PILE'!$D$72:$D$91)=0,0,'TO HOP NLAN'!F268*'TS-PILE'!$D$79/SUMSQ('TS-PILE'!$D$72:$D$91))),IF('TS-PILE'!$B$80="",-1E+99,'TO HOP NLAN'!D268/ncoc+IF(SUMSQ('TS-PILE'!$E$72:$E$91)=0,0,'TO HOP NLAN'!E268*'TS-PILE'!$E$80/SUMSQ('TS-PILE'!$E$72:$E$91))+IF(SUMSQ('TS-PILE'!$D$72:$D$91)=0,0,'TO HOP NLAN'!F268*'TS-PILE'!$D$80/SUMSQ('TS-PILE'!$D$72:$D$91))),IF('TS-PILE'!$B$81="",-1E+99,'TO HOP NLAN'!D268/ncoc+IF(SUMSQ('TS-PILE'!$E$72:$E$91)=0,0,'TO HOP NLAN'!E268*'TS-PILE'!$E$81/SUMSQ('TS-PILE'!$E$72:$E$91))+IF(SUMSQ('TS-PILE'!$D$72:$D$91)=0,0,'TO HOP NLAN'!F268*'TS-PILE'!$D$81/SUMSQ('TS-PILE'!$D$72:$D$91))),IF('TS-PILE'!$B$82="",-1E+99,'TO HOP NLAN'!D268/ncoc+IF(SUMSQ('TS-PILE'!$E$72:$E$91)=0,0,'TO HOP NLAN'!E268*'TS-PILE'!$E$82/SUMSQ('TS-PILE'!$E$72:$E$91))+IF(SUMSQ('TS-PILE'!$D$72:$D$91)=0,0,'TO HOP NLAN'!F268*'TS-PILE'!$D$82/SUMSQ('TS-PILE'!$D$72:$D$91))),IF('TS-PILE'!$B$83="",-1E+99,'TO HOP NLAN'!D268/ncoc+IF(SUMSQ('TS-PILE'!$E$72:$E$91)=0,0,'TO HOP NLAN'!E268*'TS-PILE'!$E$83/SUMSQ('TS-PILE'!$E$72:$E$91))+IF(SUMSQ('TS-PILE'!$D$72:$D$91)=0,0,'TO HOP NLAN'!F268*'TS-PILE'!$D$83/SUMSQ('TS-PILE'!$D$72:$D$91))),IF('TS-PILE'!$B$84="",-1E+99,'TO HOP NLAN'!D268/ncoc+IF(SUMSQ('TS-PILE'!$E$72:$E$91)=0,0,'TO HOP NLAN'!E268*'TS-PILE'!$E$84/SUMSQ('TS-PILE'!$E$72:$E$91))+IF(SUMSQ('TS-PILE'!$D$72:$D$91)=0,0,'TO HOP NLAN'!F268*'TS-PILE'!$D$84/SUMSQ('TS-PILE'!$D$72:$D$91))),IF('TS-PILE'!$B$85="",-1E+99,'TO HOP NLAN'!D268/ncoc+IF(SUMSQ('TS-PILE'!$E$72:$E$91)=0,0,'TO HOP NLAN'!E268*'TS-PILE'!$E$85/SUMSQ('TS-PILE'!$E$72:$E$91))+IF(SUMSQ('TS-PILE'!$D$72:$D$91)=0,0,'TO HOP NLAN'!F268*'TS-PILE'!$D$85/SUMSQ('TS-PILE'!$D$72:$D$91))),IF('TS-PILE'!$B$86="",-1E+99,'TO HOP NLAN'!D268/ncoc+IF(SUMSQ('TS-PILE'!$E$72:$E$91)=0,0,'TO HOP NLAN'!E268*'TS-PILE'!$E$86/SUMSQ('TS-PILE'!$E$72:$E$91))+IF(SUMSQ('TS-PILE'!$D$72:$D$91)=0,0,'TO HOP NLAN'!F268*'TS-PILE'!$D$86/SUMSQ('TS-PILE'!$D$72:$D$91))),IF('TS-PILE'!$B$87="",-1E+99,'TO HOP NLAN'!D268/ncoc+IF(SUMSQ('TS-PILE'!$E$72:$E$91)=0,0,'TO HOP NLAN'!E268*'TS-PILE'!$E$87/SUMSQ('TS-PILE'!$E$72:$E$91))+IF(SUMSQ('TS-PILE'!$D$72:$D$91)=0,0,'TO HOP NLAN'!F268*'TS-PILE'!$D$87/SUMSQ('TS-PILE'!$D$72:$D$91))),IF('TS-PILE'!$B$88="",-1E+99,'TO HOP NLAN'!D268/ncoc+IF(SUMSQ('TS-PILE'!$E$72:$E$91)=0,0,'TO HOP NLAN'!E268*'TS-PILE'!$E$88/SUMSQ('TS-PILE'!$E$72:$E$91))+IF(SUMSQ('TS-PILE'!$D$72:$D$91)=0,0,'TO HOP NLAN'!F268*'TS-PILE'!$D$88/SUMSQ('TS-PILE'!$D$72:$D$91))),IF('TS-PILE'!$B$89="",-1E+99,'TO HOP NLAN'!D268/ncoc+IF(SUMSQ('TS-PILE'!$E$72:$E$91)=0,0,'TO HOP NLAN'!E268*'TS-PILE'!$E$89/SUMSQ('TS-PILE'!$E$72:$E$91))+IF(SUMSQ('TS-PILE'!$D$72:$D$91)=0,0,'TO HOP NLAN'!F268*'TS-PILE'!$D$89/SUMSQ('TS-PILE'!$D$72:$D$91))),IF('TS-PILE'!$B$90="",-1E+99,'TO HOP NLAN'!D268/ncoc+IF(SUMSQ('TS-PILE'!$E$72:$E$91)=0,0,'TO HOP NLAN'!E268*'TS-PILE'!$E$90/SUMSQ('TS-PILE'!$E$72:$E$91))+IF(SUMSQ('TS-PILE'!$D$72:$D$91)=0,0,'TO HOP NLAN'!F268*'TS-PILE'!$D$90/SUMSQ('TS-PILE'!$D$72:$D$91))),IF('TS-PILE'!$B$91="",-1E+99,'TO HOP NLAN'!D268/ncoc+IF(SUMSQ('TS-PILE'!$E$72:$E$91)=0,0,'TO HOP NLAN'!E268*'TS-PILE'!$E$91/SUMSQ('TS-PILE'!$E$72:$E$91))+IF(SUMSQ('TS-PILE'!$D$72:$D$91)=0,0,'TO HOP NLAN'!F268*'TS-PILE'!$D$91/SUMSQ('TS-PILE'!$D$72:$D$91)))))</f>
        <v>0</v>
      </c>
      <c r="D268" s="58">
        <f>IF(A268="",0,MIN(IF('TS-PILE'!$B$72="",1E+99,'TO HOP NLAN'!D268/ncoc+IF(SUMSQ('TS-PILE'!$E$72:$E$91)=0,0,'TO HOP NLAN'!E268*'TS-PILE'!$E$72/SUMSQ('TS-PILE'!$E$72:$E$91))+IF(SUMSQ('TS-PILE'!$D$72:$D$91)=0,0,'TO HOP NLAN'!F268*'TS-PILE'!$D$72/SUMSQ('TS-PILE'!$D$72:$D$91))),IF('TS-PILE'!$B$73="",1E+99,'TO HOP NLAN'!D268/ncoc+IF(SUMSQ('TS-PILE'!$E$72:$E$91)=0,0,'TO HOP NLAN'!E268*'TS-PILE'!$E$73/SUMSQ('TS-PILE'!$E$72:$E$91))+IF(SUMSQ('TS-PILE'!$D$72:$D$91)=0,0,'TO HOP NLAN'!F268*'TS-PILE'!$D$73/SUMSQ('TS-PILE'!$D$72:$D$91))),IF('TS-PILE'!$B$74="",1E+99,'TO HOP NLAN'!D268/ncoc+IF(SUMSQ('TS-PILE'!$E$72:$E$91)=0,0,'TO HOP NLAN'!E268*'TS-PILE'!$E$74/SUMSQ('TS-PILE'!$E$72:$E$91))+IF(SUMSQ('TS-PILE'!$D$72:$D$91)=0,0,'TO HOP NLAN'!F268*'TS-PILE'!$D$74/SUMSQ('TS-PILE'!$D$72:$D$91))),IF('TS-PILE'!$B$75="",1E+99,'TO HOP NLAN'!D268/ncoc+IF(SUMSQ('TS-PILE'!$E$72:$E$91)=0,0,'TO HOP NLAN'!E268*'TS-PILE'!$E$75/SUMSQ('TS-PILE'!$E$72:$E$91))+IF(SUMSQ('TS-PILE'!$D$72:$D$91)=0,0,'TO HOP NLAN'!F268*'TS-PILE'!$D$75/SUMSQ('TS-PILE'!$D$72:$D$91))),IF('TS-PILE'!$B$76="",1E+99,'TO HOP NLAN'!D268/ncoc+IF(SUMSQ('TS-PILE'!$E$72:$E$91)=0,0,'TO HOP NLAN'!E268*'TS-PILE'!$E$76/SUMSQ('TS-PILE'!$E$72:$E$91))+IF(SUMSQ('TS-PILE'!$D$72:$D$91)=0,0,'TO HOP NLAN'!F268*'TS-PILE'!$D$76/SUMSQ('TS-PILE'!$D$72:$D$91))),IF('TS-PILE'!$B$77="",1E+99,'TO HOP NLAN'!D268/ncoc+IF(SUMSQ('TS-PILE'!$E$72:$E$91)=0,0,'TO HOP NLAN'!E268*'TS-PILE'!$E$77/SUMSQ('TS-PILE'!$E$72:$E$91))+IF(SUMSQ('TS-PILE'!$D$72:$D$91)=0,0,'TO HOP NLAN'!F268*'TS-PILE'!$D$77/SUMSQ('TS-PILE'!$D$72:$D$91))),IF('TS-PILE'!$B$78="",1E+99,'TO HOP NLAN'!D268/ncoc+IF(SUMSQ('TS-PILE'!$E$72:$E$91)=0,0,'TO HOP NLAN'!E268*'TS-PILE'!$E$78/SUMSQ('TS-PILE'!$E$72:$E$91))+IF(SUMSQ('TS-PILE'!$D$72:$D$91)=0,0,'TO HOP NLAN'!F268*'TS-PILE'!$D$78/SUMSQ('TS-PILE'!$D$72:$D$91))),IF('TS-PILE'!$B$79="",1E+99,'TO HOP NLAN'!D268/ncoc+IF(SUMSQ('TS-PILE'!$E$72:$E$91)=0,0,'TO HOP NLAN'!E268*'TS-PILE'!$E$79/SUMSQ('TS-PILE'!$E$72:$E$91))+IF(SUMSQ('TS-PILE'!$D$72:$D$91)=0,0,'TO HOP NLAN'!F268*'TS-PILE'!$D$79/SUMSQ('TS-PILE'!$D$72:$D$91))),IF('TS-PILE'!$B$80="",1E+99,'TO HOP NLAN'!D268/ncoc+IF(SUMSQ('TS-PILE'!$E$72:$E$91)=0,0,'TO HOP NLAN'!E268*'TS-PILE'!$E$80/SUMSQ('TS-PILE'!$E$72:$E$91))+IF(SUMSQ('TS-PILE'!$D$72:$D$91)=0,0,'TO HOP NLAN'!F268*'TS-PILE'!$D$80/SUMSQ('TS-PILE'!$D$72:$D$91))),IF('TS-PILE'!$B$81="",1E+99,'TO HOP NLAN'!D268/ncoc+IF(SUMSQ('TS-PILE'!$E$72:$E$91)=0,0,'TO HOP NLAN'!E268*'TS-PILE'!$E$81/SUMSQ('TS-PILE'!$E$72:$E$91))+IF(SUMSQ('TS-PILE'!$D$72:$D$91)=0,0,'TO HOP NLAN'!F268*'TS-PILE'!$D$81/SUMSQ('TS-PILE'!$D$72:$D$91))),IF('TS-PILE'!$B$82="",1E+99,'TO HOP NLAN'!D268/ncoc+IF(SUMSQ('TS-PILE'!$E$72:$E$91)=0,0,'TO HOP NLAN'!E268*'TS-PILE'!$E$82/SUMSQ('TS-PILE'!$E$72:$E$91))+IF(SUMSQ('TS-PILE'!$D$72:$D$91)=0,0,'TO HOP NLAN'!F268*'TS-PILE'!$D$82/SUMSQ('TS-PILE'!$D$72:$D$91))),IF('TS-PILE'!$B$83="",1E+99,'TO HOP NLAN'!D268/ncoc+IF(SUMSQ('TS-PILE'!$E$72:$E$91)=0,0,'TO HOP NLAN'!E268*'TS-PILE'!$E$83/SUMSQ('TS-PILE'!$E$72:$E$91))+IF(SUMSQ('TS-PILE'!$D$72:$D$91)=0,0,'TO HOP NLAN'!F268*'TS-PILE'!$D$83/SUMSQ('TS-PILE'!$D$72:$D$91))),IF('TS-PILE'!$B$84="",1E+99,'TO HOP NLAN'!D268/ncoc+IF(SUMSQ('TS-PILE'!$E$72:$E$91)=0,0,'TO HOP NLAN'!E268*'TS-PILE'!$E$84/SUMSQ('TS-PILE'!$E$72:$E$91))+IF(SUMSQ('TS-PILE'!$D$72:$D$91)=0,0,'TO HOP NLAN'!F268*'TS-PILE'!$D$84/SUMSQ('TS-PILE'!$D$72:$D$91))),IF('TS-PILE'!$B$85="",1E+99,'TO HOP NLAN'!D268/ncoc+IF(SUMSQ('TS-PILE'!$E$72:$E$91)=0,0,'TO HOP NLAN'!E268*'TS-PILE'!$E$85/SUMSQ('TS-PILE'!$E$72:$E$91))+IF(SUMSQ('TS-PILE'!$D$72:$D$91)=0,0,'TO HOP NLAN'!F268*'TS-PILE'!$D$85/SUMSQ('TS-PILE'!$D$72:$D$91))),IF('TS-PILE'!$B$86="",1E+99,'TO HOP NLAN'!D268/ncoc+IF(SUMSQ('TS-PILE'!$E$72:$E$91)=0,0,'TO HOP NLAN'!E268*'TS-PILE'!$E$86/SUMSQ('TS-PILE'!$E$72:$E$91))+IF(SUMSQ('TS-PILE'!$D$72:$D$91)=0,0,'TO HOP NLAN'!F268*'TS-PILE'!$D$86/SUMSQ('TS-PILE'!$D$72:$D$91))),IF('TS-PILE'!$B$87="",1E+99,'TO HOP NLAN'!D268/ncoc+IF(SUMSQ('TS-PILE'!$E$72:$E$91)=0,0,'TO HOP NLAN'!E268*'TS-PILE'!$E$87/SUMSQ('TS-PILE'!$E$72:$E$91))+IF(SUMSQ('TS-PILE'!$D$72:$D$91)=0,0,'TO HOP NLAN'!F268*'TS-PILE'!$D$87/SUMSQ('TS-PILE'!$D$72:$D$91))),IF('TS-PILE'!$B$88="",1E+99,'TO HOP NLAN'!D268/ncoc+IF(SUMSQ('TS-PILE'!$E$72:$E$91)=0,0,'TO HOP NLAN'!E268*'TS-PILE'!$E$88/SUMSQ('TS-PILE'!$E$72:$E$91))+IF(SUMSQ('TS-PILE'!$D$72:$D$91)=0,0,'TO HOP NLAN'!F268*'TS-PILE'!$D$88/SUMSQ('TS-PILE'!$D$72:$D$91))),IF('TS-PILE'!$B$89="",1E+99,'TO HOP NLAN'!D268/ncoc+IF(SUMSQ('TS-PILE'!$E$72:$E$91)=0,0,'TO HOP NLAN'!E268*'TS-PILE'!$E$89/SUMSQ('TS-PILE'!$E$72:$E$91))+IF(SUMSQ('TS-PILE'!$D$72:$D$91)=0,0,'TO HOP NLAN'!F268*'TS-PILE'!$D$89/SUMSQ('TS-PILE'!$D$72:$D$91))),IF('TS-PILE'!$B$90="",1E+99,'TO HOP NLAN'!D268/ncoc+IF(SUMSQ('TS-PILE'!$E$72:$E$91)=0,0,'TO HOP NLAN'!E268*'TS-PILE'!$E$90/SUMSQ('TS-PILE'!$E$72:$E$91))+IF(SUMSQ('TS-PILE'!$D$72:$D$91)=0,0,'TO HOP NLAN'!F268*'TS-PILE'!$D$90/SUMSQ('TS-PILE'!$D$72:$D$91))),IF('TS-PILE'!$B$91="",1E+99,'TO HOP NLAN'!D268/ncoc+IF(SUMSQ('TS-PILE'!$E$72:$E$91)=0,0,'TO HOP NLAN'!E268*'TS-PILE'!$E$91/SUMSQ('TS-PILE'!$E$72:$E$91))+IF(SUMSQ('TS-PILE'!$D$72:$D$91)=0,0,'TO HOP NLAN'!F268*'TS-PILE'!$D$91/SUMSQ('TS-PILE'!$D$72:$D$91)))))</f>
        <v>0</v>
      </c>
      <c r="E268" s="58">
        <f t="shared" si="16"/>
        <v>-9.9999999999999997E+98</v>
      </c>
      <c r="F268" s="58">
        <f t="shared" si="17"/>
        <v>9.9999999999999997E+98</v>
      </c>
      <c r="G268" s="58">
        <f t="shared" si="18"/>
        <v>-9.9999999999999997E+98</v>
      </c>
      <c r="H268" s="58">
        <f t="shared" si="19"/>
        <v>9.9999999999999997E+98</v>
      </c>
    </row>
    <row r="269" spans="1:8" x14ac:dyDescent="0.3">
      <c r="A269" s="42" t="str">
        <f>'TO HOP NLAN'!A269</f>
        <v/>
      </c>
      <c r="B269" s="42" t="str">
        <f>'TO HOP NLAN'!L269</f>
        <v>STRENGTH</v>
      </c>
      <c r="C269" s="58">
        <f>IF(A269="",0,MAX(IF('TS-PILE'!$B$72="",-1E+99,'TO HOP NLAN'!D269/ncoc+IF(SUMSQ('TS-PILE'!$E$72:$E$91)=0,0,'TO HOP NLAN'!E269*'TS-PILE'!$E$72/SUMSQ('TS-PILE'!$E$72:$E$91))+IF(SUMSQ('TS-PILE'!$D$72:$D$91)=0,0,'TO HOP NLAN'!F269*'TS-PILE'!$D$72/SUMSQ('TS-PILE'!$D$72:$D$91))),IF('TS-PILE'!$B$73="",-1E+99,'TO HOP NLAN'!D269/ncoc+IF(SUMSQ('TS-PILE'!$E$72:$E$91)=0,0,'TO HOP NLAN'!E269*'TS-PILE'!$E$73/SUMSQ('TS-PILE'!$E$72:$E$91))+IF(SUMSQ('TS-PILE'!$D$72:$D$91)=0,0,'TO HOP NLAN'!F269*'TS-PILE'!$D$73/SUMSQ('TS-PILE'!$D$72:$D$91))),IF('TS-PILE'!$B$74="",-1E+99,'TO HOP NLAN'!D269/ncoc+IF(SUMSQ('TS-PILE'!$E$72:$E$91)=0,0,'TO HOP NLAN'!E269*'TS-PILE'!$E$74/SUMSQ('TS-PILE'!$E$72:$E$91))+IF(SUMSQ('TS-PILE'!$D$72:$D$91)=0,0,'TO HOP NLAN'!F269*'TS-PILE'!$D$74/SUMSQ('TS-PILE'!$D$72:$D$91))),IF('TS-PILE'!$B$75="",-1E+99,'TO HOP NLAN'!D269/ncoc+IF(SUMSQ('TS-PILE'!$E$72:$E$91)=0,0,'TO HOP NLAN'!E269*'TS-PILE'!$E$75/SUMSQ('TS-PILE'!$E$72:$E$91))+IF(SUMSQ('TS-PILE'!$D$72:$D$91)=0,0,'TO HOP NLAN'!F269*'TS-PILE'!$D$75/SUMSQ('TS-PILE'!$D$72:$D$91))),IF('TS-PILE'!$B$76="",-1E+99,'TO HOP NLAN'!D269/ncoc+IF(SUMSQ('TS-PILE'!$E$72:$E$91)=0,0,'TO HOP NLAN'!E269*'TS-PILE'!$E$76/SUMSQ('TS-PILE'!$E$72:$E$91))+IF(SUMSQ('TS-PILE'!$D$72:$D$91)=0,0,'TO HOP NLAN'!F269*'TS-PILE'!$D$76/SUMSQ('TS-PILE'!$D$72:$D$91))),IF('TS-PILE'!$B$77="",-1E+99,'TO HOP NLAN'!D269/ncoc+IF(SUMSQ('TS-PILE'!$E$72:$E$91)=0,0,'TO HOP NLAN'!E269*'TS-PILE'!$E$77/SUMSQ('TS-PILE'!$E$72:$E$91))+IF(SUMSQ('TS-PILE'!$D$72:$D$91)=0,0,'TO HOP NLAN'!F269*'TS-PILE'!$D$77/SUMSQ('TS-PILE'!$D$72:$D$91))),IF('TS-PILE'!$B$78="",-1E+99,'TO HOP NLAN'!D269/ncoc+IF(SUMSQ('TS-PILE'!$E$72:$E$91)=0,0,'TO HOP NLAN'!E269*'TS-PILE'!$E$78/SUMSQ('TS-PILE'!$E$72:$E$91))+IF(SUMSQ('TS-PILE'!$D$72:$D$91)=0,0,'TO HOP NLAN'!F269*'TS-PILE'!$D$78/SUMSQ('TS-PILE'!$D$72:$D$91))),IF('TS-PILE'!$B$79="",-1E+99,'TO HOP NLAN'!D269/ncoc+IF(SUMSQ('TS-PILE'!$E$72:$E$91)=0,0,'TO HOP NLAN'!E269*'TS-PILE'!$E$79/SUMSQ('TS-PILE'!$E$72:$E$91))+IF(SUMSQ('TS-PILE'!$D$72:$D$91)=0,0,'TO HOP NLAN'!F269*'TS-PILE'!$D$79/SUMSQ('TS-PILE'!$D$72:$D$91))),IF('TS-PILE'!$B$80="",-1E+99,'TO HOP NLAN'!D269/ncoc+IF(SUMSQ('TS-PILE'!$E$72:$E$91)=0,0,'TO HOP NLAN'!E269*'TS-PILE'!$E$80/SUMSQ('TS-PILE'!$E$72:$E$91))+IF(SUMSQ('TS-PILE'!$D$72:$D$91)=0,0,'TO HOP NLAN'!F269*'TS-PILE'!$D$80/SUMSQ('TS-PILE'!$D$72:$D$91))),IF('TS-PILE'!$B$81="",-1E+99,'TO HOP NLAN'!D269/ncoc+IF(SUMSQ('TS-PILE'!$E$72:$E$91)=0,0,'TO HOP NLAN'!E269*'TS-PILE'!$E$81/SUMSQ('TS-PILE'!$E$72:$E$91))+IF(SUMSQ('TS-PILE'!$D$72:$D$91)=0,0,'TO HOP NLAN'!F269*'TS-PILE'!$D$81/SUMSQ('TS-PILE'!$D$72:$D$91))),IF('TS-PILE'!$B$82="",-1E+99,'TO HOP NLAN'!D269/ncoc+IF(SUMSQ('TS-PILE'!$E$72:$E$91)=0,0,'TO HOP NLAN'!E269*'TS-PILE'!$E$82/SUMSQ('TS-PILE'!$E$72:$E$91))+IF(SUMSQ('TS-PILE'!$D$72:$D$91)=0,0,'TO HOP NLAN'!F269*'TS-PILE'!$D$82/SUMSQ('TS-PILE'!$D$72:$D$91))),IF('TS-PILE'!$B$83="",-1E+99,'TO HOP NLAN'!D269/ncoc+IF(SUMSQ('TS-PILE'!$E$72:$E$91)=0,0,'TO HOP NLAN'!E269*'TS-PILE'!$E$83/SUMSQ('TS-PILE'!$E$72:$E$91))+IF(SUMSQ('TS-PILE'!$D$72:$D$91)=0,0,'TO HOP NLAN'!F269*'TS-PILE'!$D$83/SUMSQ('TS-PILE'!$D$72:$D$91))),IF('TS-PILE'!$B$84="",-1E+99,'TO HOP NLAN'!D269/ncoc+IF(SUMSQ('TS-PILE'!$E$72:$E$91)=0,0,'TO HOP NLAN'!E269*'TS-PILE'!$E$84/SUMSQ('TS-PILE'!$E$72:$E$91))+IF(SUMSQ('TS-PILE'!$D$72:$D$91)=0,0,'TO HOP NLAN'!F269*'TS-PILE'!$D$84/SUMSQ('TS-PILE'!$D$72:$D$91))),IF('TS-PILE'!$B$85="",-1E+99,'TO HOP NLAN'!D269/ncoc+IF(SUMSQ('TS-PILE'!$E$72:$E$91)=0,0,'TO HOP NLAN'!E269*'TS-PILE'!$E$85/SUMSQ('TS-PILE'!$E$72:$E$91))+IF(SUMSQ('TS-PILE'!$D$72:$D$91)=0,0,'TO HOP NLAN'!F269*'TS-PILE'!$D$85/SUMSQ('TS-PILE'!$D$72:$D$91))),IF('TS-PILE'!$B$86="",-1E+99,'TO HOP NLAN'!D269/ncoc+IF(SUMSQ('TS-PILE'!$E$72:$E$91)=0,0,'TO HOP NLAN'!E269*'TS-PILE'!$E$86/SUMSQ('TS-PILE'!$E$72:$E$91))+IF(SUMSQ('TS-PILE'!$D$72:$D$91)=0,0,'TO HOP NLAN'!F269*'TS-PILE'!$D$86/SUMSQ('TS-PILE'!$D$72:$D$91))),IF('TS-PILE'!$B$87="",-1E+99,'TO HOP NLAN'!D269/ncoc+IF(SUMSQ('TS-PILE'!$E$72:$E$91)=0,0,'TO HOP NLAN'!E269*'TS-PILE'!$E$87/SUMSQ('TS-PILE'!$E$72:$E$91))+IF(SUMSQ('TS-PILE'!$D$72:$D$91)=0,0,'TO HOP NLAN'!F269*'TS-PILE'!$D$87/SUMSQ('TS-PILE'!$D$72:$D$91))),IF('TS-PILE'!$B$88="",-1E+99,'TO HOP NLAN'!D269/ncoc+IF(SUMSQ('TS-PILE'!$E$72:$E$91)=0,0,'TO HOP NLAN'!E269*'TS-PILE'!$E$88/SUMSQ('TS-PILE'!$E$72:$E$91))+IF(SUMSQ('TS-PILE'!$D$72:$D$91)=0,0,'TO HOP NLAN'!F269*'TS-PILE'!$D$88/SUMSQ('TS-PILE'!$D$72:$D$91))),IF('TS-PILE'!$B$89="",-1E+99,'TO HOP NLAN'!D269/ncoc+IF(SUMSQ('TS-PILE'!$E$72:$E$91)=0,0,'TO HOP NLAN'!E269*'TS-PILE'!$E$89/SUMSQ('TS-PILE'!$E$72:$E$91))+IF(SUMSQ('TS-PILE'!$D$72:$D$91)=0,0,'TO HOP NLAN'!F269*'TS-PILE'!$D$89/SUMSQ('TS-PILE'!$D$72:$D$91))),IF('TS-PILE'!$B$90="",-1E+99,'TO HOP NLAN'!D269/ncoc+IF(SUMSQ('TS-PILE'!$E$72:$E$91)=0,0,'TO HOP NLAN'!E269*'TS-PILE'!$E$90/SUMSQ('TS-PILE'!$E$72:$E$91))+IF(SUMSQ('TS-PILE'!$D$72:$D$91)=0,0,'TO HOP NLAN'!F269*'TS-PILE'!$D$90/SUMSQ('TS-PILE'!$D$72:$D$91))),IF('TS-PILE'!$B$91="",-1E+99,'TO HOP NLAN'!D269/ncoc+IF(SUMSQ('TS-PILE'!$E$72:$E$91)=0,0,'TO HOP NLAN'!E269*'TS-PILE'!$E$91/SUMSQ('TS-PILE'!$E$72:$E$91))+IF(SUMSQ('TS-PILE'!$D$72:$D$91)=0,0,'TO HOP NLAN'!F269*'TS-PILE'!$D$91/SUMSQ('TS-PILE'!$D$72:$D$91)))))</f>
        <v>0</v>
      </c>
      <c r="D269" s="58">
        <f>IF(A269="",0,MIN(IF('TS-PILE'!$B$72="",1E+99,'TO HOP NLAN'!D269/ncoc+IF(SUMSQ('TS-PILE'!$E$72:$E$91)=0,0,'TO HOP NLAN'!E269*'TS-PILE'!$E$72/SUMSQ('TS-PILE'!$E$72:$E$91))+IF(SUMSQ('TS-PILE'!$D$72:$D$91)=0,0,'TO HOP NLAN'!F269*'TS-PILE'!$D$72/SUMSQ('TS-PILE'!$D$72:$D$91))),IF('TS-PILE'!$B$73="",1E+99,'TO HOP NLAN'!D269/ncoc+IF(SUMSQ('TS-PILE'!$E$72:$E$91)=0,0,'TO HOP NLAN'!E269*'TS-PILE'!$E$73/SUMSQ('TS-PILE'!$E$72:$E$91))+IF(SUMSQ('TS-PILE'!$D$72:$D$91)=0,0,'TO HOP NLAN'!F269*'TS-PILE'!$D$73/SUMSQ('TS-PILE'!$D$72:$D$91))),IF('TS-PILE'!$B$74="",1E+99,'TO HOP NLAN'!D269/ncoc+IF(SUMSQ('TS-PILE'!$E$72:$E$91)=0,0,'TO HOP NLAN'!E269*'TS-PILE'!$E$74/SUMSQ('TS-PILE'!$E$72:$E$91))+IF(SUMSQ('TS-PILE'!$D$72:$D$91)=0,0,'TO HOP NLAN'!F269*'TS-PILE'!$D$74/SUMSQ('TS-PILE'!$D$72:$D$91))),IF('TS-PILE'!$B$75="",1E+99,'TO HOP NLAN'!D269/ncoc+IF(SUMSQ('TS-PILE'!$E$72:$E$91)=0,0,'TO HOP NLAN'!E269*'TS-PILE'!$E$75/SUMSQ('TS-PILE'!$E$72:$E$91))+IF(SUMSQ('TS-PILE'!$D$72:$D$91)=0,0,'TO HOP NLAN'!F269*'TS-PILE'!$D$75/SUMSQ('TS-PILE'!$D$72:$D$91))),IF('TS-PILE'!$B$76="",1E+99,'TO HOP NLAN'!D269/ncoc+IF(SUMSQ('TS-PILE'!$E$72:$E$91)=0,0,'TO HOP NLAN'!E269*'TS-PILE'!$E$76/SUMSQ('TS-PILE'!$E$72:$E$91))+IF(SUMSQ('TS-PILE'!$D$72:$D$91)=0,0,'TO HOP NLAN'!F269*'TS-PILE'!$D$76/SUMSQ('TS-PILE'!$D$72:$D$91))),IF('TS-PILE'!$B$77="",1E+99,'TO HOP NLAN'!D269/ncoc+IF(SUMSQ('TS-PILE'!$E$72:$E$91)=0,0,'TO HOP NLAN'!E269*'TS-PILE'!$E$77/SUMSQ('TS-PILE'!$E$72:$E$91))+IF(SUMSQ('TS-PILE'!$D$72:$D$91)=0,0,'TO HOP NLAN'!F269*'TS-PILE'!$D$77/SUMSQ('TS-PILE'!$D$72:$D$91))),IF('TS-PILE'!$B$78="",1E+99,'TO HOP NLAN'!D269/ncoc+IF(SUMSQ('TS-PILE'!$E$72:$E$91)=0,0,'TO HOP NLAN'!E269*'TS-PILE'!$E$78/SUMSQ('TS-PILE'!$E$72:$E$91))+IF(SUMSQ('TS-PILE'!$D$72:$D$91)=0,0,'TO HOP NLAN'!F269*'TS-PILE'!$D$78/SUMSQ('TS-PILE'!$D$72:$D$91))),IF('TS-PILE'!$B$79="",1E+99,'TO HOP NLAN'!D269/ncoc+IF(SUMSQ('TS-PILE'!$E$72:$E$91)=0,0,'TO HOP NLAN'!E269*'TS-PILE'!$E$79/SUMSQ('TS-PILE'!$E$72:$E$91))+IF(SUMSQ('TS-PILE'!$D$72:$D$91)=0,0,'TO HOP NLAN'!F269*'TS-PILE'!$D$79/SUMSQ('TS-PILE'!$D$72:$D$91))),IF('TS-PILE'!$B$80="",1E+99,'TO HOP NLAN'!D269/ncoc+IF(SUMSQ('TS-PILE'!$E$72:$E$91)=0,0,'TO HOP NLAN'!E269*'TS-PILE'!$E$80/SUMSQ('TS-PILE'!$E$72:$E$91))+IF(SUMSQ('TS-PILE'!$D$72:$D$91)=0,0,'TO HOP NLAN'!F269*'TS-PILE'!$D$80/SUMSQ('TS-PILE'!$D$72:$D$91))),IF('TS-PILE'!$B$81="",1E+99,'TO HOP NLAN'!D269/ncoc+IF(SUMSQ('TS-PILE'!$E$72:$E$91)=0,0,'TO HOP NLAN'!E269*'TS-PILE'!$E$81/SUMSQ('TS-PILE'!$E$72:$E$91))+IF(SUMSQ('TS-PILE'!$D$72:$D$91)=0,0,'TO HOP NLAN'!F269*'TS-PILE'!$D$81/SUMSQ('TS-PILE'!$D$72:$D$91))),IF('TS-PILE'!$B$82="",1E+99,'TO HOP NLAN'!D269/ncoc+IF(SUMSQ('TS-PILE'!$E$72:$E$91)=0,0,'TO HOP NLAN'!E269*'TS-PILE'!$E$82/SUMSQ('TS-PILE'!$E$72:$E$91))+IF(SUMSQ('TS-PILE'!$D$72:$D$91)=0,0,'TO HOP NLAN'!F269*'TS-PILE'!$D$82/SUMSQ('TS-PILE'!$D$72:$D$91))),IF('TS-PILE'!$B$83="",1E+99,'TO HOP NLAN'!D269/ncoc+IF(SUMSQ('TS-PILE'!$E$72:$E$91)=0,0,'TO HOP NLAN'!E269*'TS-PILE'!$E$83/SUMSQ('TS-PILE'!$E$72:$E$91))+IF(SUMSQ('TS-PILE'!$D$72:$D$91)=0,0,'TO HOP NLAN'!F269*'TS-PILE'!$D$83/SUMSQ('TS-PILE'!$D$72:$D$91))),IF('TS-PILE'!$B$84="",1E+99,'TO HOP NLAN'!D269/ncoc+IF(SUMSQ('TS-PILE'!$E$72:$E$91)=0,0,'TO HOP NLAN'!E269*'TS-PILE'!$E$84/SUMSQ('TS-PILE'!$E$72:$E$91))+IF(SUMSQ('TS-PILE'!$D$72:$D$91)=0,0,'TO HOP NLAN'!F269*'TS-PILE'!$D$84/SUMSQ('TS-PILE'!$D$72:$D$91))),IF('TS-PILE'!$B$85="",1E+99,'TO HOP NLAN'!D269/ncoc+IF(SUMSQ('TS-PILE'!$E$72:$E$91)=0,0,'TO HOP NLAN'!E269*'TS-PILE'!$E$85/SUMSQ('TS-PILE'!$E$72:$E$91))+IF(SUMSQ('TS-PILE'!$D$72:$D$91)=0,0,'TO HOP NLAN'!F269*'TS-PILE'!$D$85/SUMSQ('TS-PILE'!$D$72:$D$91))),IF('TS-PILE'!$B$86="",1E+99,'TO HOP NLAN'!D269/ncoc+IF(SUMSQ('TS-PILE'!$E$72:$E$91)=0,0,'TO HOP NLAN'!E269*'TS-PILE'!$E$86/SUMSQ('TS-PILE'!$E$72:$E$91))+IF(SUMSQ('TS-PILE'!$D$72:$D$91)=0,0,'TO HOP NLAN'!F269*'TS-PILE'!$D$86/SUMSQ('TS-PILE'!$D$72:$D$91))),IF('TS-PILE'!$B$87="",1E+99,'TO HOP NLAN'!D269/ncoc+IF(SUMSQ('TS-PILE'!$E$72:$E$91)=0,0,'TO HOP NLAN'!E269*'TS-PILE'!$E$87/SUMSQ('TS-PILE'!$E$72:$E$91))+IF(SUMSQ('TS-PILE'!$D$72:$D$91)=0,0,'TO HOP NLAN'!F269*'TS-PILE'!$D$87/SUMSQ('TS-PILE'!$D$72:$D$91))),IF('TS-PILE'!$B$88="",1E+99,'TO HOP NLAN'!D269/ncoc+IF(SUMSQ('TS-PILE'!$E$72:$E$91)=0,0,'TO HOP NLAN'!E269*'TS-PILE'!$E$88/SUMSQ('TS-PILE'!$E$72:$E$91))+IF(SUMSQ('TS-PILE'!$D$72:$D$91)=0,0,'TO HOP NLAN'!F269*'TS-PILE'!$D$88/SUMSQ('TS-PILE'!$D$72:$D$91))),IF('TS-PILE'!$B$89="",1E+99,'TO HOP NLAN'!D269/ncoc+IF(SUMSQ('TS-PILE'!$E$72:$E$91)=0,0,'TO HOP NLAN'!E269*'TS-PILE'!$E$89/SUMSQ('TS-PILE'!$E$72:$E$91))+IF(SUMSQ('TS-PILE'!$D$72:$D$91)=0,0,'TO HOP NLAN'!F269*'TS-PILE'!$D$89/SUMSQ('TS-PILE'!$D$72:$D$91))),IF('TS-PILE'!$B$90="",1E+99,'TO HOP NLAN'!D269/ncoc+IF(SUMSQ('TS-PILE'!$E$72:$E$91)=0,0,'TO HOP NLAN'!E269*'TS-PILE'!$E$90/SUMSQ('TS-PILE'!$E$72:$E$91))+IF(SUMSQ('TS-PILE'!$D$72:$D$91)=0,0,'TO HOP NLAN'!F269*'TS-PILE'!$D$90/SUMSQ('TS-PILE'!$D$72:$D$91))),IF('TS-PILE'!$B$91="",1E+99,'TO HOP NLAN'!D269/ncoc+IF(SUMSQ('TS-PILE'!$E$72:$E$91)=0,0,'TO HOP NLAN'!E269*'TS-PILE'!$E$91/SUMSQ('TS-PILE'!$E$72:$E$91))+IF(SUMSQ('TS-PILE'!$D$72:$D$91)=0,0,'TO HOP NLAN'!F269*'TS-PILE'!$D$91/SUMSQ('TS-PILE'!$D$72:$D$91)))))</f>
        <v>0</v>
      </c>
      <c r="E269" s="58">
        <f t="shared" si="16"/>
        <v>-9.9999999999999997E+98</v>
      </c>
      <c r="F269" s="58">
        <f t="shared" si="17"/>
        <v>9.9999999999999997E+98</v>
      </c>
      <c r="G269" s="58">
        <f t="shared" si="18"/>
        <v>-9.9999999999999997E+98</v>
      </c>
      <c r="H269" s="58">
        <f t="shared" si="19"/>
        <v>9.9999999999999997E+98</v>
      </c>
    </row>
    <row r="270" spans="1:8" x14ac:dyDescent="0.3">
      <c r="A270" s="42" t="str">
        <f>'TO HOP NLAN'!A270</f>
        <v/>
      </c>
      <c r="B270" s="42" t="str">
        <f>'TO HOP NLAN'!L270</f>
        <v>STRENGTH</v>
      </c>
      <c r="C270" s="58">
        <f>IF(A270="",0,MAX(IF('TS-PILE'!$B$72="",-1E+99,'TO HOP NLAN'!D270/ncoc+IF(SUMSQ('TS-PILE'!$E$72:$E$91)=0,0,'TO HOP NLAN'!E270*'TS-PILE'!$E$72/SUMSQ('TS-PILE'!$E$72:$E$91))+IF(SUMSQ('TS-PILE'!$D$72:$D$91)=0,0,'TO HOP NLAN'!F270*'TS-PILE'!$D$72/SUMSQ('TS-PILE'!$D$72:$D$91))),IF('TS-PILE'!$B$73="",-1E+99,'TO HOP NLAN'!D270/ncoc+IF(SUMSQ('TS-PILE'!$E$72:$E$91)=0,0,'TO HOP NLAN'!E270*'TS-PILE'!$E$73/SUMSQ('TS-PILE'!$E$72:$E$91))+IF(SUMSQ('TS-PILE'!$D$72:$D$91)=0,0,'TO HOP NLAN'!F270*'TS-PILE'!$D$73/SUMSQ('TS-PILE'!$D$72:$D$91))),IF('TS-PILE'!$B$74="",-1E+99,'TO HOP NLAN'!D270/ncoc+IF(SUMSQ('TS-PILE'!$E$72:$E$91)=0,0,'TO HOP NLAN'!E270*'TS-PILE'!$E$74/SUMSQ('TS-PILE'!$E$72:$E$91))+IF(SUMSQ('TS-PILE'!$D$72:$D$91)=0,0,'TO HOP NLAN'!F270*'TS-PILE'!$D$74/SUMSQ('TS-PILE'!$D$72:$D$91))),IF('TS-PILE'!$B$75="",-1E+99,'TO HOP NLAN'!D270/ncoc+IF(SUMSQ('TS-PILE'!$E$72:$E$91)=0,0,'TO HOP NLAN'!E270*'TS-PILE'!$E$75/SUMSQ('TS-PILE'!$E$72:$E$91))+IF(SUMSQ('TS-PILE'!$D$72:$D$91)=0,0,'TO HOP NLAN'!F270*'TS-PILE'!$D$75/SUMSQ('TS-PILE'!$D$72:$D$91))),IF('TS-PILE'!$B$76="",-1E+99,'TO HOP NLAN'!D270/ncoc+IF(SUMSQ('TS-PILE'!$E$72:$E$91)=0,0,'TO HOP NLAN'!E270*'TS-PILE'!$E$76/SUMSQ('TS-PILE'!$E$72:$E$91))+IF(SUMSQ('TS-PILE'!$D$72:$D$91)=0,0,'TO HOP NLAN'!F270*'TS-PILE'!$D$76/SUMSQ('TS-PILE'!$D$72:$D$91))),IF('TS-PILE'!$B$77="",-1E+99,'TO HOP NLAN'!D270/ncoc+IF(SUMSQ('TS-PILE'!$E$72:$E$91)=0,0,'TO HOP NLAN'!E270*'TS-PILE'!$E$77/SUMSQ('TS-PILE'!$E$72:$E$91))+IF(SUMSQ('TS-PILE'!$D$72:$D$91)=0,0,'TO HOP NLAN'!F270*'TS-PILE'!$D$77/SUMSQ('TS-PILE'!$D$72:$D$91))),IF('TS-PILE'!$B$78="",-1E+99,'TO HOP NLAN'!D270/ncoc+IF(SUMSQ('TS-PILE'!$E$72:$E$91)=0,0,'TO HOP NLAN'!E270*'TS-PILE'!$E$78/SUMSQ('TS-PILE'!$E$72:$E$91))+IF(SUMSQ('TS-PILE'!$D$72:$D$91)=0,0,'TO HOP NLAN'!F270*'TS-PILE'!$D$78/SUMSQ('TS-PILE'!$D$72:$D$91))),IF('TS-PILE'!$B$79="",-1E+99,'TO HOP NLAN'!D270/ncoc+IF(SUMSQ('TS-PILE'!$E$72:$E$91)=0,0,'TO HOP NLAN'!E270*'TS-PILE'!$E$79/SUMSQ('TS-PILE'!$E$72:$E$91))+IF(SUMSQ('TS-PILE'!$D$72:$D$91)=0,0,'TO HOP NLAN'!F270*'TS-PILE'!$D$79/SUMSQ('TS-PILE'!$D$72:$D$91))),IF('TS-PILE'!$B$80="",-1E+99,'TO HOP NLAN'!D270/ncoc+IF(SUMSQ('TS-PILE'!$E$72:$E$91)=0,0,'TO HOP NLAN'!E270*'TS-PILE'!$E$80/SUMSQ('TS-PILE'!$E$72:$E$91))+IF(SUMSQ('TS-PILE'!$D$72:$D$91)=0,0,'TO HOP NLAN'!F270*'TS-PILE'!$D$80/SUMSQ('TS-PILE'!$D$72:$D$91))),IF('TS-PILE'!$B$81="",-1E+99,'TO HOP NLAN'!D270/ncoc+IF(SUMSQ('TS-PILE'!$E$72:$E$91)=0,0,'TO HOP NLAN'!E270*'TS-PILE'!$E$81/SUMSQ('TS-PILE'!$E$72:$E$91))+IF(SUMSQ('TS-PILE'!$D$72:$D$91)=0,0,'TO HOP NLAN'!F270*'TS-PILE'!$D$81/SUMSQ('TS-PILE'!$D$72:$D$91))),IF('TS-PILE'!$B$82="",-1E+99,'TO HOP NLAN'!D270/ncoc+IF(SUMSQ('TS-PILE'!$E$72:$E$91)=0,0,'TO HOP NLAN'!E270*'TS-PILE'!$E$82/SUMSQ('TS-PILE'!$E$72:$E$91))+IF(SUMSQ('TS-PILE'!$D$72:$D$91)=0,0,'TO HOP NLAN'!F270*'TS-PILE'!$D$82/SUMSQ('TS-PILE'!$D$72:$D$91))),IF('TS-PILE'!$B$83="",-1E+99,'TO HOP NLAN'!D270/ncoc+IF(SUMSQ('TS-PILE'!$E$72:$E$91)=0,0,'TO HOP NLAN'!E270*'TS-PILE'!$E$83/SUMSQ('TS-PILE'!$E$72:$E$91))+IF(SUMSQ('TS-PILE'!$D$72:$D$91)=0,0,'TO HOP NLAN'!F270*'TS-PILE'!$D$83/SUMSQ('TS-PILE'!$D$72:$D$91))),IF('TS-PILE'!$B$84="",-1E+99,'TO HOP NLAN'!D270/ncoc+IF(SUMSQ('TS-PILE'!$E$72:$E$91)=0,0,'TO HOP NLAN'!E270*'TS-PILE'!$E$84/SUMSQ('TS-PILE'!$E$72:$E$91))+IF(SUMSQ('TS-PILE'!$D$72:$D$91)=0,0,'TO HOP NLAN'!F270*'TS-PILE'!$D$84/SUMSQ('TS-PILE'!$D$72:$D$91))),IF('TS-PILE'!$B$85="",-1E+99,'TO HOP NLAN'!D270/ncoc+IF(SUMSQ('TS-PILE'!$E$72:$E$91)=0,0,'TO HOP NLAN'!E270*'TS-PILE'!$E$85/SUMSQ('TS-PILE'!$E$72:$E$91))+IF(SUMSQ('TS-PILE'!$D$72:$D$91)=0,0,'TO HOP NLAN'!F270*'TS-PILE'!$D$85/SUMSQ('TS-PILE'!$D$72:$D$91))),IF('TS-PILE'!$B$86="",-1E+99,'TO HOP NLAN'!D270/ncoc+IF(SUMSQ('TS-PILE'!$E$72:$E$91)=0,0,'TO HOP NLAN'!E270*'TS-PILE'!$E$86/SUMSQ('TS-PILE'!$E$72:$E$91))+IF(SUMSQ('TS-PILE'!$D$72:$D$91)=0,0,'TO HOP NLAN'!F270*'TS-PILE'!$D$86/SUMSQ('TS-PILE'!$D$72:$D$91))),IF('TS-PILE'!$B$87="",-1E+99,'TO HOP NLAN'!D270/ncoc+IF(SUMSQ('TS-PILE'!$E$72:$E$91)=0,0,'TO HOP NLAN'!E270*'TS-PILE'!$E$87/SUMSQ('TS-PILE'!$E$72:$E$91))+IF(SUMSQ('TS-PILE'!$D$72:$D$91)=0,0,'TO HOP NLAN'!F270*'TS-PILE'!$D$87/SUMSQ('TS-PILE'!$D$72:$D$91))),IF('TS-PILE'!$B$88="",-1E+99,'TO HOP NLAN'!D270/ncoc+IF(SUMSQ('TS-PILE'!$E$72:$E$91)=0,0,'TO HOP NLAN'!E270*'TS-PILE'!$E$88/SUMSQ('TS-PILE'!$E$72:$E$91))+IF(SUMSQ('TS-PILE'!$D$72:$D$91)=0,0,'TO HOP NLAN'!F270*'TS-PILE'!$D$88/SUMSQ('TS-PILE'!$D$72:$D$91))),IF('TS-PILE'!$B$89="",-1E+99,'TO HOP NLAN'!D270/ncoc+IF(SUMSQ('TS-PILE'!$E$72:$E$91)=0,0,'TO HOP NLAN'!E270*'TS-PILE'!$E$89/SUMSQ('TS-PILE'!$E$72:$E$91))+IF(SUMSQ('TS-PILE'!$D$72:$D$91)=0,0,'TO HOP NLAN'!F270*'TS-PILE'!$D$89/SUMSQ('TS-PILE'!$D$72:$D$91))),IF('TS-PILE'!$B$90="",-1E+99,'TO HOP NLAN'!D270/ncoc+IF(SUMSQ('TS-PILE'!$E$72:$E$91)=0,0,'TO HOP NLAN'!E270*'TS-PILE'!$E$90/SUMSQ('TS-PILE'!$E$72:$E$91))+IF(SUMSQ('TS-PILE'!$D$72:$D$91)=0,0,'TO HOP NLAN'!F270*'TS-PILE'!$D$90/SUMSQ('TS-PILE'!$D$72:$D$91))),IF('TS-PILE'!$B$91="",-1E+99,'TO HOP NLAN'!D270/ncoc+IF(SUMSQ('TS-PILE'!$E$72:$E$91)=0,0,'TO HOP NLAN'!E270*'TS-PILE'!$E$91/SUMSQ('TS-PILE'!$E$72:$E$91))+IF(SUMSQ('TS-PILE'!$D$72:$D$91)=0,0,'TO HOP NLAN'!F270*'TS-PILE'!$D$91/SUMSQ('TS-PILE'!$D$72:$D$91)))))</f>
        <v>0</v>
      </c>
      <c r="D270" s="58">
        <f>IF(A270="",0,MIN(IF('TS-PILE'!$B$72="",1E+99,'TO HOP NLAN'!D270/ncoc+IF(SUMSQ('TS-PILE'!$E$72:$E$91)=0,0,'TO HOP NLAN'!E270*'TS-PILE'!$E$72/SUMSQ('TS-PILE'!$E$72:$E$91))+IF(SUMSQ('TS-PILE'!$D$72:$D$91)=0,0,'TO HOP NLAN'!F270*'TS-PILE'!$D$72/SUMSQ('TS-PILE'!$D$72:$D$91))),IF('TS-PILE'!$B$73="",1E+99,'TO HOP NLAN'!D270/ncoc+IF(SUMSQ('TS-PILE'!$E$72:$E$91)=0,0,'TO HOP NLAN'!E270*'TS-PILE'!$E$73/SUMSQ('TS-PILE'!$E$72:$E$91))+IF(SUMSQ('TS-PILE'!$D$72:$D$91)=0,0,'TO HOP NLAN'!F270*'TS-PILE'!$D$73/SUMSQ('TS-PILE'!$D$72:$D$91))),IF('TS-PILE'!$B$74="",1E+99,'TO HOP NLAN'!D270/ncoc+IF(SUMSQ('TS-PILE'!$E$72:$E$91)=0,0,'TO HOP NLAN'!E270*'TS-PILE'!$E$74/SUMSQ('TS-PILE'!$E$72:$E$91))+IF(SUMSQ('TS-PILE'!$D$72:$D$91)=0,0,'TO HOP NLAN'!F270*'TS-PILE'!$D$74/SUMSQ('TS-PILE'!$D$72:$D$91))),IF('TS-PILE'!$B$75="",1E+99,'TO HOP NLAN'!D270/ncoc+IF(SUMSQ('TS-PILE'!$E$72:$E$91)=0,0,'TO HOP NLAN'!E270*'TS-PILE'!$E$75/SUMSQ('TS-PILE'!$E$72:$E$91))+IF(SUMSQ('TS-PILE'!$D$72:$D$91)=0,0,'TO HOP NLAN'!F270*'TS-PILE'!$D$75/SUMSQ('TS-PILE'!$D$72:$D$91))),IF('TS-PILE'!$B$76="",1E+99,'TO HOP NLAN'!D270/ncoc+IF(SUMSQ('TS-PILE'!$E$72:$E$91)=0,0,'TO HOP NLAN'!E270*'TS-PILE'!$E$76/SUMSQ('TS-PILE'!$E$72:$E$91))+IF(SUMSQ('TS-PILE'!$D$72:$D$91)=0,0,'TO HOP NLAN'!F270*'TS-PILE'!$D$76/SUMSQ('TS-PILE'!$D$72:$D$91))),IF('TS-PILE'!$B$77="",1E+99,'TO HOP NLAN'!D270/ncoc+IF(SUMSQ('TS-PILE'!$E$72:$E$91)=0,0,'TO HOP NLAN'!E270*'TS-PILE'!$E$77/SUMSQ('TS-PILE'!$E$72:$E$91))+IF(SUMSQ('TS-PILE'!$D$72:$D$91)=0,0,'TO HOP NLAN'!F270*'TS-PILE'!$D$77/SUMSQ('TS-PILE'!$D$72:$D$91))),IF('TS-PILE'!$B$78="",1E+99,'TO HOP NLAN'!D270/ncoc+IF(SUMSQ('TS-PILE'!$E$72:$E$91)=0,0,'TO HOP NLAN'!E270*'TS-PILE'!$E$78/SUMSQ('TS-PILE'!$E$72:$E$91))+IF(SUMSQ('TS-PILE'!$D$72:$D$91)=0,0,'TO HOP NLAN'!F270*'TS-PILE'!$D$78/SUMSQ('TS-PILE'!$D$72:$D$91))),IF('TS-PILE'!$B$79="",1E+99,'TO HOP NLAN'!D270/ncoc+IF(SUMSQ('TS-PILE'!$E$72:$E$91)=0,0,'TO HOP NLAN'!E270*'TS-PILE'!$E$79/SUMSQ('TS-PILE'!$E$72:$E$91))+IF(SUMSQ('TS-PILE'!$D$72:$D$91)=0,0,'TO HOP NLAN'!F270*'TS-PILE'!$D$79/SUMSQ('TS-PILE'!$D$72:$D$91))),IF('TS-PILE'!$B$80="",1E+99,'TO HOP NLAN'!D270/ncoc+IF(SUMSQ('TS-PILE'!$E$72:$E$91)=0,0,'TO HOP NLAN'!E270*'TS-PILE'!$E$80/SUMSQ('TS-PILE'!$E$72:$E$91))+IF(SUMSQ('TS-PILE'!$D$72:$D$91)=0,0,'TO HOP NLAN'!F270*'TS-PILE'!$D$80/SUMSQ('TS-PILE'!$D$72:$D$91))),IF('TS-PILE'!$B$81="",1E+99,'TO HOP NLAN'!D270/ncoc+IF(SUMSQ('TS-PILE'!$E$72:$E$91)=0,0,'TO HOP NLAN'!E270*'TS-PILE'!$E$81/SUMSQ('TS-PILE'!$E$72:$E$91))+IF(SUMSQ('TS-PILE'!$D$72:$D$91)=0,0,'TO HOP NLAN'!F270*'TS-PILE'!$D$81/SUMSQ('TS-PILE'!$D$72:$D$91))),IF('TS-PILE'!$B$82="",1E+99,'TO HOP NLAN'!D270/ncoc+IF(SUMSQ('TS-PILE'!$E$72:$E$91)=0,0,'TO HOP NLAN'!E270*'TS-PILE'!$E$82/SUMSQ('TS-PILE'!$E$72:$E$91))+IF(SUMSQ('TS-PILE'!$D$72:$D$91)=0,0,'TO HOP NLAN'!F270*'TS-PILE'!$D$82/SUMSQ('TS-PILE'!$D$72:$D$91))),IF('TS-PILE'!$B$83="",1E+99,'TO HOP NLAN'!D270/ncoc+IF(SUMSQ('TS-PILE'!$E$72:$E$91)=0,0,'TO HOP NLAN'!E270*'TS-PILE'!$E$83/SUMSQ('TS-PILE'!$E$72:$E$91))+IF(SUMSQ('TS-PILE'!$D$72:$D$91)=0,0,'TO HOP NLAN'!F270*'TS-PILE'!$D$83/SUMSQ('TS-PILE'!$D$72:$D$91))),IF('TS-PILE'!$B$84="",1E+99,'TO HOP NLAN'!D270/ncoc+IF(SUMSQ('TS-PILE'!$E$72:$E$91)=0,0,'TO HOP NLAN'!E270*'TS-PILE'!$E$84/SUMSQ('TS-PILE'!$E$72:$E$91))+IF(SUMSQ('TS-PILE'!$D$72:$D$91)=0,0,'TO HOP NLAN'!F270*'TS-PILE'!$D$84/SUMSQ('TS-PILE'!$D$72:$D$91))),IF('TS-PILE'!$B$85="",1E+99,'TO HOP NLAN'!D270/ncoc+IF(SUMSQ('TS-PILE'!$E$72:$E$91)=0,0,'TO HOP NLAN'!E270*'TS-PILE'!$E$85/SUMSQ('TS-PILE'!$E$72:$E$91))+IF(SUMSQ('TS-PILE'!$D$72:$D$91)=0,0,'TO HOP NLAN'!F270*'TS-PILE'!$D$85/SUMSQ('TS-PILE'!$D$72:$D$91))),IF('TS-PILE'!$B$86="",1E+99,'TO HOP NLAN'!D270/ncoc+IF(SUMSQ('TS-PILE'!$E$72:$E$91)=0,0,'TO HOP NLAN'!E270*'TS-PILE'!$E$86/SUMSQ('TS-PILE'!$E$72:$E$91))+IF(SUMSQ('TS-PILE'!$D$72:$D$91)=0,0,'TO HOP NLAN'!F270*'TS-PILE'!$D$86/SUMSQ('TS-PILE'!$D$72:$D$91))),IF('TS-PILE'!$B$87="",1E+99,'TO HOP NLAN'!D270/ncoc+IF(SUMSQ('TS-PILE'!$E$72:$E$91)=0,0,'TO HOP NLAN'!E270*'TS-PILE'!$E$87/SUMSQ('TS-PILE'!$E$72:$E$91))+IF(SUMSQ('TS-PILE'!$D$72:$D$91)=0,0,'TO HOP NLAN'!F270*'TS-PILE'!$D$87/SUMSQ('TS-PILE'!$D$72:$D$91))),IF('TS-PILE'!$B$88="",1E+99,'TO HOP NLAN'!D270/ncoc+IF(SUMSQ('TS-PILE'!$E$72:$E$91)=0,0,'TO HOP NLAN'!E270*'TS-PILE'!$E$88/SUMSQ('TS-PILE'!$E$72:$E$91))+IF(SUMSQ('TS-PILE'!$D$72:$D$91)=0,0,'TO HOP NLAN'!F270*'TS-PILE'!$D$88/SUMSQ('TS-PILE'!$D$72:$D$91))),IF('TS-PILE'!$B$89="",1E+99,'TO HOP NLAN'!D270/ncoc+IF(SUMSQ('TS-PILE'!$E$72:$E$91)=0,0,'TO HOP NLAN'!E270*'TS-PILE'!$E$89/SUMSQ('TS-PILE'!$E$72:$E$91))+IF(SUMSQ('TS-PILE'!$D$72:$D$91)=0,0,'TO HOP NLAN'!F270*'TS-PILE'!$D$89/SUMSQ('TS-PILE'!$D$72:$D$91))),IF('TS-PILE'!$B$90="",1E+99,'TO HOP NLAN'!D270/ncoc+IF(SUMSQ('TS-PILE'!$E$72:$E$91)=0,0,'TO HOP NLAN'!E270*'TS-PILE'!$E$90/SUMSQ('TS-PILE'!$E$72:$E$91))+IF(SUMSQ('TS-PILE'!$D$72:$D$91)=0,0,'TO HOP NLAN'!F270*'TS-PILE'!$D$90/SUMSQ('TS-PILE'!$D$72:$D$91))),IF('TS-PILE'!$B$91="",1E+99,'TO HOP NLAN'!D270/ncoc+IF(SUMSQ('TS-PILE'!$E$72:$E$91)=0,0,'TO HOP NLAN'!E270*'TS-PILE'!$E$91/SUMSQ('TS-PILE'!$E$72:$E$91))+IF(SUMSQ('TS-PILE'!$D$72:$D$91)=0,0,'TO HOP NLAN'!F270*'TS-PILE'!$D$91/SUMSQ('TS-PILE'!$D$72:$D$91)))))</f>
        <v>0</v>
      </c>
      <c r="E270" s="58">
        <f t="shared" si="16"/>
        <v>-9.9999999999999997E+98</v>
      </c>
      <c r="F270" s="58">
        <f t="shared" si="17"/>
        <v>9.9999999999999997E+98</v>
      </c>
      <c r="G270" s="58">
        <f t="shared" si="18"/>
        <v>-9.9999999999999997E+98</v>
      </c>
      <c r="H270" s="58">
        <f t="shared" si="19"/>
        <v>9.9999999999999997E+98</v>
      </c>
    </row>
    <row r="271" spans="1:8" x14ac:dyDescent="0.3">
      <c r="A271" s="42" t="str">
        <f>'TO HOP NLAN'!A271</f>
        <v/>
      </c>
      <c r="B271" s="42" t="str">
        <f>'TO HOP NLAN'!L271</f>
        <v>STRENGTH</v>
      </c>
      <c r="C271" s="58">
        <f>IF(A271="",0,MAX(IF('TS-PILE'!$B$72="",-1E+99,'TO HOP NLAN'!D271/ncoc+IF(SUMSQ('TS-PILE'!$E$72:$E$91)=0,0,'TO HOP NLAN'!E271*'TS-PILE'!$E$72/SUMSQ('TS-PILE'!$E$72:$E$91))+IF(SUMSQ('TS-PILE'!$D$72:$D$91)=0,0,'TO HOP NLAN'!F271*'TS-PILE'!$D$72/SUMSQ('TS-PILE'!$D$72:$D$91))),IF('TS-PILE'!$B$73="",-1E+99,'TO HOP NLAN'!D271/ncoc+IF(SUMSQ('TS-PILE'!$E$72:$E$91)=0,0,'TO HOP NLAN'!E271*'TS-PILE'!$E$73/SUMSQ('TS-PILE'!$E$72:$E$91))+IF(SUMSQ('TS-PILE'!$D$72:$D$91)=0,0,'TO HOP NLAN'!F271*'TS-PILE'!$D$73/SUMSQ('TS-PILE'!$D$72:$D$91))),IF('TS-PILE'!$B$74="",-1E+99,'TO HOP NLAN'!D271/ncoc+IF(SUMSQ('TS-PILE'!$E$72:$E$91)=0,0,'TO HOP NLAN'!E271*'TS-PILE'!$E$74/SUMSQ('TS-PILE'!$E$72:$E$91))+IF(SUMSQ('TS-PILE'!$D$72:$D$91)=0,0,'TO HOP NLAN'!F271*'TS-PILE'!$D$74/SUMSQ('TS-PILE'!$D$72:$D$91))),IF('TS-PILE'!$B$75="",-1E+99,'TO HOP NLAN'!D271/ncoc+IF(SUMSQ('TS-PILE'!$E$72:$E$91)=0,0,'TO HOP NLAN'!E271*'TS-PILE'!$E$75/SUMSQ('TS-PILE'!$E$72:$E$91))+IF(SUMSQ('TS-PILE'!$D$72:$D$91)=0,0,'TO HOP NLAN'!F271*'TS-PILE'!$D$75/SUMSQ('TS-PILE'!$D$72:$D$91))),IF('TS-PILE'!$B$76="",-1E+99,'TO HOP NLAN'!D271/ncoc+IF(SUMSQ('TS-PILE'!$E$72:$E$91)=0,0,'TO HOP NLAN'!E271*'TS-PILE'!$E$76/SUMSQ('TS-PILE'!$E$72:$E$91))+IF(SUMSQ('TS-PILE'!$D$72:$D$91)=0,0,'TO HOP NLAN'!F271*'TS-PILE'!$D$76/SUMSQ('TS-PILE'!$D$72:$D$91))),IF('TS-PILE'!$B$77="",-1E+99,'TO HOP NLAN'!D271/ncoc+IF(SUMSQ('TS-PILE'!$E$72:$E$91)=0,0,'TO HOP NLAN'!E271*'TS-PILE'!$E$77/SUMSQ('TS-PILE'!$E$72:$E$91))+IF(SUMSQ('TS-PILE'!$D$72:$D$91)=0,0,'TO HOP NLAN'!F271*'TS-PILE'!$D$77/SUMSQ('TS-PILE'!$D$72:$D$91))),IF('TS-PILE'!$B$78="",-1E+99,'TO HOP NLAN'!D271/ncoc+IF(SUMSQ('TS-PILE'!$E$72:$E$91)=0,0,'TO HOP NLAN'!E271*'TS-PILE'!$E$78/SUMSQ('TS-PILE'!$E$72:$E$91))+IF(SUMSQ('TS-PILE'!$D$72:$D$91)=0,0,'TO HOP NLAN'!F271*'TS-PILE'!$D$78/SUMSQ('TS-PILE'!$D$72:$D$91))),IF('TS-PILE'!$B$79="",-1E+99,'TO HOP NLAN'!D271/ncoc+IF(SUMSQ('TS-PILE'!$E$72:$E$91)=0,0,'TO HOP NLAN'!E271*'TS-PILE'!$E$79/SUMSQ('TS-PILE'!$E$72:$E$91))+IF(SUMSQ('TS-PILE'!$D$72:$D$91)=0,0,'TO HOP NLAN'!F271*'TS-PILE'!$D$79/SUMSQ('TS-PILE'!$D$72:$D$91))),IF('TS-PILE'!$B$80="",-1E+99,'TO HOP NLAN'!D271/ncoc+IF(SUMSQ('TS-PILE'!$E$72:$E$91)=0,0,'TO HOP NLAN'!E271*'TS-PILE'!$E$80/SUMSQ('TS-PILE'!$E$72:$E$91))+IF(SUMSQ('TS-PILE'!$D$72:$D$91)=0,0,'TO HOP NLAN'!F271*'TS-PILE'!$D$80/SUMSQ('TS-PILE'!$D$72:$D$91))),IF('TS-PILE'!$B$81="",-1E+99,'TO HOP NLAN'!D271/ncoc+IF(SUMSQ('TS-PILE'!$E$72:$E$91)=0,0,'TO HOP NLAN'!E271*'TS-PILE'!$E$81/SUMSQ('TS-PILE'!$E$72:$E$91))+IF(SUMSQ('TS-PILE'!$D$72:$D$91)=0,0,'TO HOP NLAN'!F271*'TS-PILE'!$D$81/SUMSQ('TS-PILE'!$D$72:$D$91))),IF('TS-PILE'!$B$82="",-1E+99,'TO HOP NLAN'!D271/ncoc+IF(SUMSQ('TS-PILE'!$E$72:$E$91)=0,0,'TO HOP NLAN'!E271*'TS-PILE'!$E$82/SUMSQ('TS-PILE'!$E$72:$E$91))+IF(SUMSQ('TS-PILE'!$D$72:$D$91)=0,0,'TO HOP NLAN'!F271*'TS-PILE'!$D$82/SUMSQ('TS-PILE'!$D$72:$D$91))),IF('TS-PILE'!$B$83="",-1E+99,'TO HOP NLAN'!D271/ncoc+IF(SUMSQ('TS-PILE'!$E$72:$E$91)=0,0,'TO HOP NLAN'!E271*'TS-PILE'!$E$83/SUMSQ('TS-PILE'!$E$72:$E$91))+IF(SUMSQ('TS-PILE'!$D$72:$D$91)=0,0,'TO HOP NLAN'!F271*'TS-PILE'!$D$83/SUMSQ('TS-PILE'!$D$72:$D$91))),IF('TS-PILE'!$B$84="",-1E+99,'TO HOP NLAN'!D271/ncoc+IF(SUMSQ('TS-PILE'!$E$72:$E$91)=0,0,'TO HOP NLAN'!E271*'TS-PILE'!$E$84/SUMSQ('TS-PILE'!$E$72:$E$91))+IF(SUMSQ('TS-PILE'!$D$72:$D$91)=0,0,'TO HOP NLAN'!F271*'TS-PILE'!$D$84/SUMSQ('TS-PILE'!$D$72:$D$91))),IF('TS-PILE'!$B$85="",-1E+99,'TO HOP NLAN'!D271/ncoc+IF(SUMSQ('TS-PILE'!$E$72:$E$91)=0,0,'TO HOP NLAN'!E271*'TS-PILE'!$E$85/SUMSQ('TS-PILE'!$E$72:$E$91))+IF(SUMSQ('TS-PILE'!$D$72:$D$91)=0,0,'TO HOP NLAN'!F271*'TS-PILE'!$D$85/SUMSQ('TS-PILE'!$D$72:$D$91))),IF('TS-PILE'!$B$86="",-1E+99,'TO HOP NLAN'!D271/ncoc+IF(SUMSQ('TS-PILE'!$E$72:$E$91)=0,0,'TO HOP NLAN'!E271*'TS-PILE'!$E$86/SUMSQ('TS-PILE'!$E$72:$E$91))+IF(SUMSQ('TS-PILE'!$D$72:$D$91)=0,0,'TO HOP NLAN'!F271*'TS-PILE'!$D$86/SUMSQ('TS-PILE'!$D$72:$D$91))),IF('TS-PILE'!$B$87="",-1E+99,'TO HOP NLAN'!D271/ncoc+IF(SUMSQ('TS-PILE'!$E$72:$E$91)=0,0,'TO HOP NLAN'!E271*'TS-PILE'!$E$87/SUMSQ('TS-PILE'!$E$72:$E$91))+IF(SUMSQ('TS-PILE'!$D$72:$D$91)=0,0,'TO HOP NLAN'!F271*'TS-PILE'!$D$87/SUMSQ('TS-PILE'!$D$72:$D$91))),IF('TS-PILE'!$B$88="",-1E+99,'TO HOP NLAN'!D271/ncoc+IF(SUMSQ('TS-PILE'!$E$72:$E$91)=0,0,'TO HOP NLAN'!E271*'TS-PILE'!$E$88/SUMSQ('TS-PILE'!$E$72:$E$91))+IF(SUMSQ('TS-PILE'!$D$72:$D$91)=0,0,'TO HOP NLAN'!F271*'TS-PILE'!$D$88/SUMSQ('TS-PILE'!$D$72:$D$91))),IF('TS-PILE'!$B$89="",-1E+99,'TO HOP NLAN'!D271/ncoc+IF(SUMSQ('TS-PILE'!$E$72:$E$91)=0,0,'TO HOP NLAN'!E271*'TS-PILE'!$E$89/SUMSQ('TS-PILE'!$E$72:$E$91))+IF(SUMSQ('TS-PILE'!$D$72:$D$91)=0,0,'TO HOP NLAN'!F271*'TS-PILE'!$D$89/SUMSQ('TS-PILE'!$D$72:$D$91))),IF('TS-PILE'!$B$90="",-1E+99,'TO HOP NLAN'!D271/ncoc+IF(SUMSQ('TS-PILE'!$E$72:$E$91)=0,0,'TO HOP NLAN'!E271*'TS-PILE'!$E$90/SUMSQ('TS-PILE'!$E$72:$E$91))+IF(SUMSQ('TS-PILE'!$D$72:$D$91)=0,0,'TO HOP NLAN'!F271*'TS-PILE'!$D$90/SUMSQ('TS-PILE'!$D$72:$D$91))),IF('TS-PILE'!$B$91="",-1E+99,'TO HOP NLAN'!D271/ncoc+IF(SUMSQ('TS-PILE'!$E$72:$E$91)=0,0,'TO HOP NLAN'!E271*'TS-PILE'!$E$91/SUMSQ('TS-PILE'!$E$72:$E$91))+IF(SUMSQ('TS-PILE'!$D$72:$D$91)=0,0,'TO HOP NLAN'!F271*'TS-PILE'!$D$91/SUMSQ('TS-PILE'!$D$72:$D$91)))))</f>
        <v>0</v>
      </c>
      <c r="D271" s="58">
        <f>IF(A271="",0,MIN(IF('TS-PILE'!$B$72="",1E+99,'TO HOP NLAN'!D271/ncoc+IF(SUMSQ('TS-PILE'!$E$72:$E$91)=0,0,'TO HOP NLAN'!E271*'TS-PILE'!$E$72/SUMSQ('TS-PILE'!$E$72:$E$91))+IF(SUMSQ('TS-PILE'!$D$72:$D$91)=0,0,'TO HOP NLAN'!F271*'TS-PILE'!$D$72/SUMSQ('TS-PILE'!$D$72:$D$91))),IF('TS-PILE'!$B$73="",1E+99,'TO HOP NLAN'!D271/ncoc+IF(SUMSQ('TS-PILE'!$E$72:$E$91)=0,0,'TO HOP NLAN'!E271*'TS-PILE'!$E$73/SUMSQ('TS-PILE'!$E$72:$E$91))+IF(SUMSQ('TS-PILE'!$D$72:$D$91)=0,0,'TO HOP NLAN'!F271*'TS-PILE'!$D$73/SUMSQ('TS-PILE'!$D$72:$D$91))),IF('TS-PILE'!$B$74="",1E+99,'TO HOP NLAN'!D271/ncoc+IF(SUMSQ('TS-PILE'!$E$72:$E$91)=0,0,'TO HOP NLAN'!E271*'TS-PILE'!$E$74/SUMSQ('TS-PILE'!$E$72:$E$91))+IF(SUMSQ('TS-PILE'!$D$72:$D$91)=0,0,'TO HOP NLAN'!F271*'TS-PILE'!$D$74/SUMSQ('TS-PILE'!$D$72:$D$91))),IF('TS-PILE'!$B$75="",1E+99,'TO HOP NLAN'!D271/ncoc+IF(SUMSQ('TS-PILE'!$E$72:$E$91)=0,0,'TO HOP NLAN'!E271*'TS-PILE'!$E$75/SUMSQ('TS-PILE'!$E$72:$E$91))+IF(SUMSQ('TS-PILE'!$D$72:$D$91)=0,0,'TO HOP NLAN'!F271*'TS-PILE'!$D$75/SUMSQ('TS-PILE'!$D$72:$D$91))),IF('TS-PILE'!$B$76="",1E+99,'TO HOP NLAN'!D271/ncoc+IF(SUMSQ('TS-PILE'!$E$72:$E$91)=0,0,'TO HOP NLAN'!E271*'TS-PILE'!$E$76/SUMSQ('TS-PILE'!$E$72:$E$91))+IF(SUMSQ('TS-PILE'!$D$72:$D$91)=0,0,'TO HOP NLAN'!F271*'TS-PILE'!$D$76/SUMSQ('TS-PILE'!$D$72:$D$91))),IF('TS-PILE'!$B$77="",1E+99,'TO HOP NLAN'!D271/ncoc+IF(SUMSQ('TS-PILE'!$E$72:$E$91)=0,0,'TO HOP NLAN'!E271*'TS-PILE'!$E$77/SUMSQ('TS-PILE'!$E$72:$E$91))+IF(SUMSQ('TS-PILE'!$D$72:$D$91)=0,0,'TO HOP NLAN'!F271*'TS-PILE'!$D$77/SUMSQ('TS-PILE'!$D$72:$D$91))),IF('TS-PILE'!$B$78="",1E+99,'TO HOP NLAN'!D271/ncoc+IF(SUMSQ('TS-PILE'!$E$72:$E$91)=0,0,'TO HOP NLAN'!E271*'TS-PILE'!$E$78/SUMSQ('TS-PILE'!$E$72:$E$91))+IF(SUMSQ('TS-PILE'!$D$72:$D$91)=0,0,'TO HOP NLAN'!F271*'TS-PILE'!$D$78/SUMSQ('TS-PILE'!$D$72:$D$91))),IF('TS-PILE'!$B$79="",1E+99,'TO HOP NLAN'!D271/ncoc+IF(SUMSQ('TS-PILE'!$E$72:$E$91)=0,0,'TO HOP NLAN'!E271*'TS-PILE'!$E$79/SUMSQ('TS-PILE'!$E$72:$E$91))+IF(SUMSQ('TS-PILE'!$D$72:$D$91)=0,0,'TO HOP NLAN'!F271*'TS-PILE'!$D$79/SUMSQ('TS-PILE'!$D$72:$D$91))),IF('TS-PILE'!$B$80="",1E+99,'TO HOP NLAN'!D271/ncoc+IF(SUMSQ('TS-PILE'!$E$72:$E$91)=0,0,'TO HOP NLAN'!E271*'TS-PILE'!$E$80/SUMSQ('TS-PILE'!$E$72:$E$91))+IF(SUMSQ('TS-PILE'!$D$72:$D$91)=0,0,'TO HOP NLAN'!F271*'TS-PILE'!$D$80/SUMSQ('TS-PILE'!$D$72:$D$91))),IF('TS-PILE'!$B$81="",1E+99,'TO HOP NLAN'!D271/ncoc+IF(SUMSQ('TS-PILE'!$E$72:$E$91)=0,0,'TO HOP NLAN'!E271*'TS-PILE'!$E$81/SUMSQ('TS-PILE'!$E$72:$E$91))+IF(SUMSQ('TS-PILE'!$D$72:$D$91)=0,0,'TO HOP NLAN'!F271*'TS-PILE'!$D$81/SUMSQ('TS-PILE'!$D$72:$D$91))),IF('TS-PILE'!$B$82="",1E+99,'TO HOP NLAN'!D271/ncoc+IF(SUMSQ('TS-PILE'!$E$72:$E$91)=0,0,'TO HOP NLAN'!E271*'TS-PILE'!$E$82/SUMSQ('TS-PILE'!$E$72:$E$91))+IF(SUMSQ('TS-PILE'!$D$72:$D$91)=0,0,'TO HOP NLAN'!F271*'TS-PILE'!$D$82/SUMSQ('TS-PILE'!$D$72:$D$91))),IF('TS-PILE'!$B$83="",1E+99,'TO HOP NLAN'!D271/ncoc+IF(SUMSQ('TS-PILE'!$E$72:$E$91)=0,0,'TO HOP NLAN'!E271*'TS-PILE'!$E$83/SUMSQ('TS-PILE'!$E$72:$E$91))+IF(SUMSQ('TS-PILE'!$D$72:$D$91)=0,0,'TO HOP NLAN'!F271*'TS-PILE'!$D$83/SUMSQ('TS-PILE'!$D$72:$D$91))),IF('TS-PILE'!$B$84="",1E+99,'TO HOP NLAN'!D271/ncoc+IF(SUMSQ('TS-PILE'!$E$72:$E$91)=0,0,'TO HOP NLAN'!E271*'TS-PILE'!$E$84/SUMSQ('TS-PILE'!$E$72:$E$91))+IF(SUMSQ('TS-PILE'!$D$72:$D$91)=0,0,'TO HOP NLAN'!F271*'TS-PILE'!$D$84/SUMSQ('TS-PILE'!$D$72:$D$91))),IF('TS-PILE'!$B$85="",1E+99,'TO HOP NLAN'!D271/ncoc+IF(SUMSQ('TS-PILE'!$E$72:$E$91)=0,0,'TO HOP NLAN'!E271*'TS-PILE'!$E$85/SUMSQ('TS-PILE'!$E$72:$E$91))+IF(SUMSQ('TS-PILE'!$D$72:$D$91)=0,0,'TO HOP NLAN'!F271*'TS-PILE'!$D$85/SUMSQ('TS-PILE'!$D$72:$D$91))),IF('TS-PILE'!$B$86="",1E+99,'TO HOP NLAN'!D271/ncoc+IF(SUMSQ('TS-PILE'!$E$72:$E$91)=0,0,'TO HOP NLAN'!E271*'TS-PILE'!$E$86/SUMSQ('TS-PILE'!$E$72:$E$91))+IF(SUMSQ('TS-PILE'!$D$72:$D$91)=0,0,'TO HOP NLAN'!F271*'TS-PILE'!$D$86/SUMSQ('TS-PILE'!$D$72:$D$91))),IF('TS-PILE'!$B$87="",1E+99,'TO HOP NLAN'!D271/ncoc+IF(SUMSQ('TS-PILE'!$E$72:$E$91)=0,0,'TO HOP NLAN'!E271*'TS-PILE'!$E$87/SUMSQ('TS-PILE'!$E$72:$E$91))+IF(SUMSQ('TS-PILE'!$D$72:$D$91)=0,0,'TO HOP NLAN'!F271*'TS-PILE'!$D$87/SUMSQ('TS-PILE'!$D$72:$D$91))),IF('TS-PILE'!$B$88="",1E+99,'TO HOP NLAN'!D271/ncoc+IF(SUMSQ('TS-PILE'!$E$72:$E$91)=0,0,'TO HOP NLAN'!E271*'TS-PILE'!$E$88/SUMSQ('TS-PILE'!$E$72:$E$91))+IF(SUMSQ('TS-PILE'!$D$72:$D$91)=0,0,'TO HOP NLAN'!F271*'TS-PILE'!$D$88/SUMSQ('TS-PILE'!$D$72:$D$91))),IF('TS-PILE'!$B$89="",1E+99,'TO HOP NLAN'!D271/ncoc+IF(SUMSQ('TS-PILE'!$E$72:$E$91)=0,0,'TO HOP NLAN'!E271*'TS-PILE'!$E$89/SUMSQ('TS-PILE'!$E$72:$E$91))+IF(SUMSQ('TS-PILE'!$D$72:$D$91)=0,0,'TO HOP NLAN'!F271*'TS-PILE'!$D$89/SUMSQ('TS-PILE'!$D$72:$D$91))),IF('TS-PILE'!$B$90="",1E+99,'TO HOP NLAN'!D271/ncoc+IF(SUMSQ('TS-PILE'!$E$72:$E$91)=0,0,'TO HOP NLAN'!E271*'TS-PILE'!$E$90/SUMSQ('TS-PILE'!$E$72:$E$91))+IF(SUMSQ('TS-PILE'!$D$72:$D$91)=0,0,'TO HOP NLAN'!F271*'TS-PILE'!$D$90/SUMSQ('TS-PILE'!$D$72:$D$91))),IF('TS-PILE'!$B$91="",1E+99,'TO HOP NLAN'!D271/ncoc+IF(SUMSQ('TS-PILE'!$E$72:$E$91)=0,0,'TO HOP NLAN'!E271*'TS-PILE'!$E$91/SUMSQ('TS-PILE'!$E$72:$E$91))+IF(SUMSQ('TS-PILE'!$D$72:$D$91)=0,0,'TO HOP NLAN'!F271*'TS-PILE'!$D$91/SUMSQ('TS-PILE'!$D$72:$D$91)))))</f>
        <v>0</v>
      </c>
      <c r="E271" s="58">
        <f t="shared" si="16"/>
        <v>-9.9999999999999997E+98</v>
      </c>
      <c r="F271" s="58">
        <f t="shared" si="17"/>
        <v>9.9999999999999997E+98</v>
      </c>
      <c r="G271" s="58">
        <f t="shared" si="18"/>
        <v>-9.9999999999999997E+98</v>
      </c>
      <c r="H271" s="58">
        <f t="shared" si="19"/>
        <v>9.9999999999999997E+98</v>
      </c>
    </row>
    <row r="272" spans="1:8" x14ac:dyDescent="0.3">
      <c r="A272" s="42" t="str">
        <f>'TO HOP NLAN'!A272</f>
        <v/>
      </c>
      <c r="B272" s="42" t="str">
        <f>'TO HOP NLAN'!L272</f>
        <v>STRENGTH</v>
      </c>
      <c r="C272" s="58">
        <f>IF(A272="",0,MAX(IF('TS-PILE'!$B$72="",-1E+99,'TO HOP NLAN'!D272/ncoc+IF(SUMSQ('TS-PILE'!$E$72:$E$91)=0,0,'TO HOP NLAN'!E272*'TS-PILE'!$E$72/SUMSQ('TS-PILE'!$E$72:$E$91))+IF(SUMSQ('TS-PILE'!$D$72:$D$91)=0,0,'TO HOP NLAN'!F272*'TS-PILE'!$D$72/SUMSQ('TS-PILE'!$D$72:$D$91))),IF('TS-PILE'!$B$73="",-1E+99,'TO HOP NLAN'!D272/ncoc+IF(SUMSQ('TS-PILE'!$E$72:$E$91)=0,0,'TO HOP NLAN'!E272*'TS-PILE'!$E$73/SUMSQ('TS-PILE'!$E$72:$E$91))+IF(SUMSQ('TS-PILE'!$D$72:$D$91)=0,0,'TO HOP NLAN'!F272*'TS-PILE'!$D$73/SUMSQ('TS-PILE'!$D$72:$D$91))),IF('TS-PILE'!$B$74="",-1E+99,'TO HOP NLAN'!D272/ncoc+IF(SUMSQ('TS-PILE'!$E$72:$E$91)=0,0,'TO HOP NLAN'!E272*'TS-PILE'!$E$74/SUMSQ('TS-PILE'!$E$72:$E$91))+IF(SUMSQ('TS-PILE'!$D$72:$D$91)=0,0,'TO HOP NLAN'!F272*'TS-PILE'!$D$74/SUMSQ('TS-PILE'!$D$72:$D$91))),IF('TS-PILE'!$B$75="",-1E+99,'TO HOP NLAN'!D272/ncoc+IF(SUMSQ('TS-PILE'!$E$72:$E$91)=0,0,'TO HOP NLAN'!E272*'TS-PILE'!$E$75/SUMSQ('TS-PILE'!$E$72:$E$91))+IF(SUMSQ('TS-PILE'!$D$72:$D$91)=0,0,'TO HOP NLAN'!F272*'TS-PILE'!$D$75/SUMSQ('TS-PILE'!$D$72:$D$91))),IF('TS-PILE'!$B$76="",-1E+99,'TO HOP NLAN'!D272/ncoc+IF(SUMSQ('TS-PILE'!$E$72:$E$91)=0,0,'TO HOP NLAN'!E272*'TS-PILE'!$E$76/SUMSQ('TS-PILE'!$E$72:$E$91))+IF(SUMSQ('TS-PILE'!$D$72:$D$91)=0,0,'TO HOP NLAN'!F272*'TS-PILE'!$D$76/SUMSQ('TS-PILE'!$D$72:$D$91))),IF('TS-PILE'!$B$77="",-1E+99,'TO HOP NLAN'!D272/ncoc+IF(SUMSQ('TS-PILE'!$E$72:$E$91)=0,0,'TO HOP NLAN'!E272*'TS-PILE'!$E$77/SUMSQ('TS-PILE'!$E$72:$E$91))+IF(SUMSQ('TS-PILE'!$D$72:$D$91)=0,0,'TO HOP NLAN'!F272*'TS-PILE'!$D$77/SUMSQ('TS-PILE'!$D$72:$D$91))),IF('TS-PILE'!$B$78="",-1E+99,'TO HOP NLAN'!D272/ncoc+IF(SUMSQ('TS-PILE'!$E$72:$E$91)=0,0,'TO HOP NLAN'!E272*'TS-PILE'!$E$78/SUMSQ('TS-PILE'!$E$72:$E$91))+IF(SUMSQ('TS-PILE'!$D$72:$D$91)=0,0,'TO HOP NLAN'!F272*'TS-PILE'!$D$78/SUMSQ('TS-PILE'!$D$72:$D$91))),IF('TS-PILE'!$B$79="",-1E+99,'TO HOP NLAN'!D272/ncoc+IF(SUMSQ('TS-PILE'!$E$72:$E$91)=0,0,'TO HOP NLAN'!E272*'TS-PILE'!$E$79/SUMSQ('TS-PILE'!$E$72:$E$91))+IF(SUMSQ('TS-PILE'!$D$72:$D$91)=0,0,'TO HOP NLAN'!F272*'TS-PILE'!$D$79/SUMSQ('TS-PILE'!$D$72:$D$91))),IF('TS-PILE'!$B$80="",-1E+99,'TO HOP NLAN'!D272/ncoc+IF(SUMSQ('TS-PILE'!$E$72:$E$91)=0,0,'TO HOP NLAN'!E272*'TS-PILE'!$E$80/SUMSQ('TS-PILE'!$E$72:$E$91))+IF(SUMSQ('TS-PILE'!$D$72:$D$91)=0,0,'TO HOP NLAN'!F272*'TS-PILE'!$D$80/SUMSQ('TS-PILE'!$D$72:$D$91))),IF('TS-PILE'!$B$81="",-1E+99,'TO HOP NLAN'!D272/ncoc+IF(SUMSQ('TS-PILE'!$E$72:$E$91)=0,0,'TO HOP NLAN'!E272*'TS-PILE'!$E$81/SUMSQ('TS-PILE'!$E$72:$E$91))+IF(SUMSQ('TS-PILE'!$D$72:$D$91)=0,0,'TO HOP NLAN'!F272*'TS-PILE'!$D$81/SUMSQ('TS-PILE'!$D$72:$D$91))),IF('TS-PILE'!$B$82="",-1E+99,'TO HOP NLAN'!D272/ncoc+IF(SUMSQ('TS-PILE'!$E$72:$E$91)=0,0,'TO HOP NLAN'!E272*'TS-PILE'!$E$82/SUMSQ('TS-PILE'!$E$72:$E$91))+IF(SUMSQ('TS-PILE'!$D$72:$D$91)=0,0,'TO HOP NLAN'!F272*'TS-PILE'!$D$82/SUMSQ('TS-PILE'!$D$72:$D$91))),IF('TS-PILE'!$B$83="",-1E+99,'TO HOP NLAN'!D272/ncoc+IF(SUMSQ('TS-PILE'!$E$72:$E$91)=0,0,'TO HOP NLAN'!E272*'TS-PILE'!$E$83/SUMSQ('TS-PILE'!$E$72:$E$91))+IF(SUMSQ('TS-PILE'!$D$72:$D$91)=0,0,'TO HOP NLAN'!F272*'TS-PILE'!$D$83/SUMSQ('TS-PILE'!$D$72:$D$91))),IF('TS-PILE'!$B$84="",-1E+99,'TO HOP NLAN'!D272/ncoc+IF(SUMSQ('TS-PILE'!$E$72:$E$91)=0,0,'TO HOP NLAN'!E272*'TS-PILE'!$E$84/SUMSQ('TS-PILE'!$E$72:$E$91))+IF(SUMSQ('TS-PILE'!$D$72:$D$91)=0,0,'TO HOP NLAN'!F272*'TS-PILE'!$D$84/SUMSQ('TS-PILE'!$D$72:$D$91))),IF('TS-PILE'!$B$85="",-1E+99,'TO HOP NLAN'!D272/ncoc+IF(SUMSQ('TS-PILE'!$E$72:$E$91)=0,0,'TO HOP NLAN'!E272*'TS-PILE'!$E$85/SUMSQ('TS-PILE'!$E$72:$E$91))+IF(SUMSQ('TS-PILE'!$D$72:$D$91)=0,0,'TO HOP NLAN'!F272*'TS-PILE'!$D$85/SUMSQ('TS-PILE'!$D$72:$D$91))),IF('TS-PILE'!$B$86="",-1E+99,'TO HOP NLAN'!D272/ncoc+IF(SUMSQ('TS-PILE'!$E$72:$E$91)=0,0,'TO HOP NLAN'!E272*'TS-PILE'!$E$86/SUMSQ('TS-PILE'!$E$72:$E$91))+IF(SUMSQ('TS-PILE'!$D$72:$D$91)=0,0,'TO HOP NLAN'!F272*'TS-PILE'!$D$86/SUMSQ('TS-PILE'!$D$72:$D$91))),IF('TS-PILE'!$B$87="",-1E+99,'TO HOP NLAN'!D272/ncoc+IF(SUMSQ('TS-PILE'!$E$72:$E$91)=0,0,'TO HOP NLAN'!E272*'TS-PILE'!$E$87/SUMSQ('TS-PILE'!$E$72:$E$91))+IF(SUMSQ('TS-PILE'!$D$72:$D$91)=0,0,'TO HOP NLAN'!F272*'TS-PILE'!$D$87/SUMSQ('TS-PILE'!$D$72:$D$91))),IF('TS-PILE'!$B$88="",-1E+99,'TO HOP NLAN'!D272/ncoc+IF(SUMSQ('TS-PILE'!$E$72:$E$91)=0,0,'TO HOP NLAN'!E272*'TS-PILE'!$E$88/SUMSQ('TS-PILE'!$E$72:$E$91))+IF(SUMSQ('TS-PILE'!$D$72:$D$91)=0,0,'TO HOP NLAN'!F272*'TS-PILE'!$D$88/SUMSQ('TS-PILE'!$D$72:$D$91))),IF('TS-PILE'!$B$89="",-1E+99,'TO HOP NLAN'!D272/ncoc+IF(SUMSQ('TS-PILE'!$E$72:$E$91)=0,0,'TO HOP NLAN'!E272*'TS-PILE'!$E$89/SUMSQ('TS-PILE'!$E$72:$E$91))+IF(SUMSQ('TS-PILE'!$D$72:$D$91)=0,0,'TO HOP NLAN'!F272*'TS-PILE'!$D$89/SUMSQ('TS-PILE'!$D$72:$D$91))),IF('TS-PILE'!$B$90="",-1E+99,'TO HOP NLAN'!D272/ncoc+IF(SUMSQ('TS-PILE'!$E$72:$E$91)=0,0,'TO HOP NLAN'!E272*'TS-PILE'!$E$90/SUMSQ('TS-PILE'!$E$72:$E$91))+IF(SUMSQ('TS-PILE'!$D$72:$D$91)=0,0,'TO HOP NLAN'!F272*'TS-PILE'!$D$90/SUMSQ('TS-PILE'!$D$72:$D$91))),IF('TS-PILE'!$B$91="",-1E+99,'TO HOP NLAN'!D272/ncoc+IF(SUMSQ('TS-PILE'!$E$72:$E$91)=0,0,'TO HOP NLAN'!E272*'TS-PILE'!$E$91/SUMSQ('TS-PILE'!$E$72:$E$91))+IF(SUMSQ('TS-PILE'!$D$72:$D$91)=0,0,'TO HOP NLAN'!F272*'TS-PILE'!$D$91/SUMSQ('TS-PILE'!$D$72:$D$91)))))</f>
        <v>0</v>
      </c>
      <c r="D272" s="58">
        <f>IF(A272="",0,MIN(IF('TS-PILE'!$B$72="",1E+99,'TO HOP NLAN'!D272/ncoc+IF(SUMSQ('TS-PILE'!$E$72:$E$91)=0,0,'TO HOP NLAN'!E272*'TS-PILE'!$E$72/SUMSQ('TS-PILE'!$E$72:$E$91))+IF(SUMSQ('TS-PILE'!$D$72:$D$91)=0,0,'TO HOP NLAN'!F272*'TS-PILE'!$D$72/SUMSQ('TS-PILE'!$D$72:$D$91))),IF('TS-PILE'!$B$73="",1E+99,'TO HOP NLAN'!D272/ncoc+IF(SUMSQ('TS-PILE'!$E$72:$E$91)=0,0,'TO HOP NLAN'!E272*'TS-PILE'!$E$73/SUMSQ('TS-PILE'!$E$72:$E$91))+IF(SUMSQ('TS-PILE'!$D$72:$D$91)=0,0,'TO HOP NLAN'!F272*'TS-PILE'!$D$73/SUMSQ('TS-PILE'!$D$72:$D$91))),IF('TS-PILE'!$B$74="",1E+99,'TO HOP NLAN'!D272/ncoc+IF(SUMSQ('TS-PILE'!$E$72:$E$91)=0,0,'TO HOP NLAN'!E272*'TS-PILE'!$E$74/SUMSQ('TS-PILE'!$E$72:$E$91))+IF(SUMSQ('TS-PILE'!$D$72:$D$91)=0,0,'TO HOP NLAN'!F272*'TS-PILE'!$D$74/SUMSQ('TS-PILE'!$D$72:$D$91))),IF('TS-PILE'!$B$75="",1E+99,'TO HOP NLAN'!D272/ncoc+IF(SUMSQ('TS-PILE'!$E$72:$E$91)=0,0,'TO HOP NLAN'!E272*'TS-PILE'!$E$75/SUMSQ('TS-PILE'!$E$72:$E$91))+IF(SUMSQ('TS-PILE'!$D$72:$D$91)=0,0,'TO HOP NLAN'!F272*'TS-PILE'!$D$75/SUMSQ('TS-PILE'!$D$72:$D$91))),IF('TS-PILE'!$B$76="",1E+99,'TO HOP NLAN'!D272/ncoc+IF(SUMSQ('TS-PILE'!$E$72:$E$91)=0,0,'TO HOP NLAN'!E272*'TS-PILE'!$E$76/SUMSQ('TS-PILE'!$E$72:$E$91))+IF(SUMSQ('TS-PILE'!$D$72:$D$91)=0,0,'TO HOP NLAN'!F272*'TS-PILE'!$D$76/SUMSQ('TS-PILE'!$D$72:$D$91))),IF('TS-PILE'!$B$77="",1E+99,'TO HOP NLAN'!D272/ncoc+IF(SUMSQ('TS-PILE'!$E$72:$E$91)=0,0,'TO HOP NLAN'!E272*'TS-PILE'!$E$77/SUMSQ('TS-PILE'!$E$72:$E$91))+IF(SUMSQ('TS-PILE'!$D$72:$D$91)=0,0,'TO HOP NLAN'!F272*'TS-PILE'!$D$77/SUMSQ('TS-PILE'!$D$72:$D$91))),IF('TS-PILE'!$B$78="",1E+99,'TO HOP NLAN'!D272/ncoc+IF(SUMSQ('TS-PILE'!$E$72:$E$91)=0,0,'TO HOP NLAN'!E272*'TS-PILE'!$E$78/SUMSQ('TS-PILE'!$E$72:$E$91))+IF(SUMSQ('TS-PILE'!$D$72:$D$91)=0,0,'TO HOP NLAN'!F272*'TS-PILE'!$D$78/SUMSQ('TS-PILE'!$D$72:$D$91))),IF('TS-PILE'!$B$79="",1E+99,'TO HOP NLAN'!D272/ncoc+IF(SUMSQ('TS-PILE'!$E$72:$E$91)=0,0,'TO HOP NLAN'!E272*'TS-PILE'!$E$79/SUMSQ('TS-PILE'!$E$72:$E$91))+IF(SUMSQ('TS-PILE'!$D$72:$D$91)=0,0,'TO HOP NLAN'!F272*'TS-PILE'!$D$79/SUMSQ('TS-PILE'!$D$72:$D$91))),IF('TS-PILE'!$B$80="",1E+99,'TO HOP NLAN'!D272/ncoc+IF(SUMSQ('TS-PILE'!$E$72:$E$91)=0,0,'TO HOP NLAN'!E272*'TS-PILE'!$E$80/SUMSQ('TS-PILE'!$E$72:$E$91))+IF(SUMSQ('TS-PILE'!$D$72:$D$91)=0,0,'TO HOP NLAN'!F272*'TS-PILE'!$D$80/SUMSQ('TS-PILE'!$D$72:$D$91))),IF('TS-PILE'!$B$81="",1E+99,'TO HOP NLAN'!D272/ncoc+IF(SUMSQ('TS-PILE'!$E$72:$E$91)=0,0,'TO HOP NLAN'!E272*'TS-PILE'!$E$81/SUMSQ('TS-PILE'!$E$72:$E$91))+IF(SUMSQ('TS-PILE'!$D$72:$D$91)=0,0,'TO HOP NLAN'!F272*'TS-PILE'!$D$81/SUMSQ('TS-PILE'!$D$72:$D$91))),IF('TS-PILE'!$B$82="",1E+99,'TO HOP NLAN'!D272/ncoc+IF(SUMSQ('TS-PILE'!$E$72:$E$91)=0,0,'TO HOP NLAN'!E272*'TS-PILE'!$E$82/SUMSQ('TS-PILE'!$E$72:$E$91))+IF(SUMSQ('TS-PILE'!$D$72:$D$91)=0,0,'TO HOP NLAN'!F272*'TS-PILE'!$D$82/SUMSQ('TS-PILE'!$D$72:$D$91))),IF('TS-PILE'!$B$83="",1E+99,'TO HOP NLAN'!D272/ncoc+IF(SUMSQ('TS-PILE'!$E$72:$E$91)=0,0,'TO HOP NLAN'!E272*'TS-PILE'!$E$83/SUMSQ('TS-PILE'!$E$72:$E$91))+IF(SUMSQ('TS-PILE'!$D$72:$D$91)=0,0,'TO HOP NLAN'!F272*'TS-PILE'!$D$83/SUMSQ('TS-PILE'!$D$72:$D$91))),IF('TS-PILE'!$B$84="",1E+99,'TO HOP NLAN'!D272/ncoc+IF(SUMSQ('TS-PILE'!$E$72:$E$91)=0,0,'TO HOP NLAN'!E272*'TS-PILE'!$E$84/SUMSQ('TS-PILE'!$E$72:$E$91))+IF(SUMSQ('TS-PILE'!$D$72:$D$91)=0,0,'TO HOP NLAN'!F272*'TS-PILE'!$D$84/SUMSQ('TS-PILE'!$D$72:$D$91))),IF('TS-PILE'!$B$85="",1E+99,'TO HOP NLAN'!D272/ncoc+IF(SUMSQ('TS-PILE'!$E$72:$E$91)=0,0,'TO HOP NLAN'!E272*'TS-PILE'!$E$85/SUMSQ('TS-PILE'!$E$72:$E$91))+IF(SUMSQ('TS-PILE'!$D$72:$D$91)=0,0,'TO HOP NLAN'!F272*'TS-PILE'!$D$85/SUMSQ('TS-PILE'!$D$72:$D$91))),IF('TS-PILE'!$B$86="",1E+99,'TO HOP NLAN'!D272/ncoc+IF(SUMSQ('TS-PILE'!$E$72:$E$91)=0,0,'TO HOP NLAN'!E272*'TS-PILE'!$E$86/SUMSQ('TS-PILE'!$E$72:$E$91))+IF(SUMSQ('TS-PILE'!$D$72:$D$91)=0,0,'TO HOP NLAN'!F272*'TS-PILE'!$D$86/SUMSQ('TS-PILE'!$D$72:$D$91))),IF('TS-PILE'!$B$87="",1E+99,'TO HOP NLAN'!D272/ncoc+IF(SUMSQ('TS-PILE'!$E$72:$E$91)=0,0,'TO HOP NLAN'!E272*'TS-PILE'!$E$87/SUMSQ('TS-PILE'!$E$72:$E$91))+IF(SUMSQ('TS-PILE'!$D$72:$D$91)=0,0,'TO HOP NLAN'!F272*'TS-PILE'!$D$87/SUMSQ('TS-PILE'!$D$72:$D$91))),IF('TS-PILE'!$B$88="",1E+99,'TO HOP NLAN'!D272/ncoc+IF(SUMSQ('TS-PILE'!$E$72:$E$91)=0,0,'TO HOP NLAN'!E272*'TS-PILE'!$E$88/SUMSQ('TS-PILE'!$E$72:$E$91))+IF(SUMSQ('TS-PILE'!$D$72:$D$91)=0,0,'TO HOP NLAN'!F272*'TS-PILE'!$D$88/SUMSQ('TS-PILE'!$D$72:$D$91))),IF('TS-PILE'!$B$89="",1E+99,'TO HOP NLAN'!D272/ncoc+IF(SUMSQ('TS-PILE'!$E$72:$E$91)=0,0,'TO HOP NLAN'!E272*'TS-PILE'!$E$89/SUMSQ('TS-PILE'!$E$72:$E$91))+IF(SUMSQ('TS-PILE'!$D$72:$D$91)=0,0,'TO HOP NLAN'!F272*'TS-PILE'!$D$89/SUMSQ('TS-PILE'!$D$72:$D$91))),IF('TS-PILE'!$B$90="",1E+99,'TO HOP NLAN'!D272/ncoc+IF(SUMSQ('TS-PILE'!$E$72:$E$91)=0,0,'TO HOP NLAN'!E272*'TS-PILE'!$E$90/SUMSQ('TS-PILE'!$E$72:$E$91))+IF(SUMSQ('TS-PILE'!$D$72:$D$91)=0,0,'TO HOP NLAN'!F272*'TS-PILE'!$D$90/SUMSQ('TS-PILE'!$D$72:$D$91))),IF('TS-PILE'!$B$91="",1E+99,'TO HOP NLAN'!D272/ncoc+IF(SUMSQ('TS-PILE'!$E$72:$E$91)=0,0,'TO HOP NLAN'!E272*'TS-PILE'!$E$91/SUMSQ('TS-PILE'!$E$72:$E$91))+IF(SUMSQ('TS-PILE'!$D$72:$D$91)=0,0,'TO HOP NLAN'!F272*'TS-PILE'!$D$91/SUMSQ('TS-PILE'!$D$72:$D$91)))))</f>
        <v>0</v>
      </c>
      <c r="E272" s="58">
        <f t="shared" si="16"/>
        <v>-9.9999999999999997E+98</v>
      </c>
      <c r="F272" s="58">
        <f t="shared" si="17"/>
        <v>9.9999999999999997E+98</v>
      </c>
      <c r="G272" s="58">
        <f t="shared" si="18"/>
        <v>-9.9999999999999997E+98</v>
      </c>
      <c r="H272" s="58">
        <f t="shared" si="19"/>
        <v>9.9999999999999997E+98</v>
      </c>
    </row>
    <row r="273" spans="1:8" x14ac:dyDescent="0.3">
      <c r="A273" s="42" t="str">
        <f>'TO HOP NLAN'!A273</f>
        <v/>
      </c>
      <c r="B273" s="42" t="str">
        <f>'TO HOP NLAN'!L273</f>
        <v>STRENGTH</v>
      </c>
      <c r="C273" s="58">
        <f>IF(A273="",0,MAX(IF('TS-PILE'!$B$72="",-1E+99,'TO HOP NLAN'!D273/ncoc+IF(SUMSQ('TS-PILE'!$E$72:$E$91)=0,0,'TO HOP NLAN'!E273*'TS-PILE'!$E$72/SUMSQ('TS-PILE'!$E$72:$E$91))+IF(SUMSQ('TS-PILE'!$D$72:$D$91)=0,0,'TO HOP NLAN'!F273*'TS-PILE'!$D$72/SUMSQ('TS-PILE'!$D$72:$D$91))),IF('TS-PILE'!$B$73="",-1E+99,'TO HOP NLAN'!D273/ncoc+IF(SUMSQ('TS-PILE'!$E$72:$E$91)=0,0,'TO HOP NLAN'!E273*'TS-PILE'!$E$73/SUMSQ('TS-PILE'!$E$72:$E$91))+IF(SUMSQ('TS-PILE'!$D$72:$D$91)=0,0,'TO HOP NLAN'!F273*'TS-PILE'!$D$73/SUMSQ('TS-PILE'!$D$72:$D$91))),IF('TS-PILE'!$B$74="",-1E+99,'TO HOP NLAN'!D273/ncoc+IF(SUMSQ('TS-PILE'!$E$72:$E$91)=0,0,'TO HOP NLAN'!E273*'TS-PILE'!$E$74/SUMSQ('TS-PILE'!$E$72:$E$91))+IF(SUMSQ('TS-PILE'!$D$72:$D$91)=0,0,'TO HOP NLAN'!F273*'TS-PILE'!$D$74/SUMSQ('TS-PILE'!$D$72:$D$91))),IF('TS-PILE'!$B$75="",-1E+99,'TO HOP NLAN'!D273/ncoc+IF(SUMSQ('TS-PILE'!$E$72:$E$91)=0,0,'TO HOP NLAN'!E273*'TS-PILE'!$E$75/SUMSQ('TS-PILE'!$E$72:$E$91))+IF(SUMSQ('TS-PILE'!$D$72:$D$91)=0,0,'TO HOP NLAN'!F273*'TS-PILE'!$D$75/SUMSQ('TS-PILE'!$D$72:$D$91))),IF('TS-PILE'!$B$76="",-1E+99,'TO HOP NLAN'!D273/ncoc+IF(SUMSQ('TS-PILE'!$E$72:$E$91)=0,0,'TO HOP NLAN'!E273*'TS-PILE'!$E$76/SUMSQ('TS-PILE'!$E$72:$E$91))+IF(SUMSQ('TS-PILE'!$D$72:$D$91)=0,0,'TO HOP NLAN'!F273*'TS-PILE'!$D$76/SUMSQ('TS-PILE'!$D$72:$D$91))),IF('TS-PILE'!$B$77="",-1E+99,'TO HOP NLAN'!D273/ncoc+IF(SUMSQ('TS-PILE'!$E$72:$E$91)=0,0,'TO HOP NLAN'!E273*'TS-PILE'!$E$77/SUMSQ('TS-PILE'!$E$72:$E$91))+IF(SUMSQ('TS-PILE'!$D$72:$D$91)=0,0,'TO HOP NLAN'!F273*'TS-PILE'!$D$77/SUMSQ('TS-PILE'!$D$72:$D$91))),IF('TS-PILE'!$B$78="",-1E+99,'TO HOP NLAN'!D273/ncoc+IF(SUMSQ('TS-PILE'!$E$72:$E$91)=0,0,'TO HOP NLAN'!E273*'TS-PILE'!$E$78/SUMSQ('TS-PILE'!$E$72:$E$91))+IF(SUMSQ('TS-PILE'!$D$72:$D$91)=0,0,'TO HOP NLAN'!F273*'TS-PILE'!$D$78/SUMSQ('TS-PILE'!$D$72:$D$91))),IF('TS-PILE'!$B$79="",-1E+99,'TO HOP NLAN'!D273/ncoc+IF(SUMSQ('TS-PILE'!$E$72:$E$91)=0,0,'TO HOP NLAN'!E273*'TS-PILE'!$E$79/SUMSQ('TS-PILE'!$E$72:$E$91))+IF(SUMSQ('TS-PILE'!$D$72:$D$91)=0,0,'TO HOP NLAN'!F273*'TS-PILE'!$D$79/SUMSQ('TS-PILE'!$D$72:$D$91))),IF('TS-PILE'!$B$80="",-1E+99,'TO HOP NLAN'!D273/ncoc+IF(SUMSQ('TS-PILE'!$E$72:$E$91)=0,0,'TO HOP NLAN'!E273*'TS-PILE'!$E$80/SUMSQ('TS-PILE'!$E$72:$E$91))+IF(SUMSQ('TS-PILE'!$D$72:$D$91)=0,0,'TO HOP NLAN'!F273*'TS-PILE'!$D$80/SUMSQ('TS-PILE'!$D$72:$D$91))),IF('TS-PILE'!$B$81="",-1E+99,'TO HOP NLAN'!D273/ncoc+IF(SUMSQ('TS-PILE'!$E$72:$E$91)=0,0,'TO HOP NLAN'!E273*'TS-PILE'!$E$81/SUMSQ('TS-PILE'!$E$72:$E$91))+IF(SUMSQ('TS-PILE'!$D$72:$D$91)=0,0,'TO HOP NLAN'!F273*'TS-PILE'!$D$81/SUMSQ('TS-PILE'!$D$72:$D$91))),IF('TS-PILE'!$B$82="",-1E+99,'TO HOP NLAN'!D273/ncoc+IF(SUMSQ('TS-PILE'!$E$72:$E$91)=0,0,'TO HOP NLAN'!E273*'TS-PILE'!$E$82/SUMSQ('TS-PILE'!$E$72:$E$91))+IF(SUMSQ('TS-PILE'!$D$72:$D$91)=0,0,'TO HOP NLAN'!F273*'TS-PILE'!$D$82/SUMSQ('TS-PILE'!$D$72:$D$91))),IF('TS-PILE'!$B$83="",-1E+99,'TO HOP NLAN'!D273/ncoc+IF(SUMSQ('TS-PILE'!$E$72:$E$91)=0,0,'TO HOP NLAN'!E273*'TS-PILE'!$E$83/SUMSQ('TS-PILE'!$E$72:$E$91))+IF(SUMSQ('TS-PILE'!$D$72:$D$91)=0,0,'TO HOP NLAN'!F273*'TS-PILE'!$D$83/SUMSQ('TS-PILE'!$D$72:$D$91))),IF('TS-PILE'!$B$84="",-1E+99,'TO HOP NLAN'!D273/ncoc+IF(SUMSQ('TS-PILE'!$E$72:$E$91)=0,0,'TO HOP NLAN'!E273*'TS-PILE'!$E$84/SUMSQ('TS-PILE'!$E$72:$E$91))+IF(SUMSQ('TS-PILE'!$D$72:$D$91)=0,0,'TO HOP NLAN'!F273*'TS-PILE'!$D$84/SUMSQ('TS-PILE'!$D$72:$D$91))),IF('TS-PILE'!$B$85="",-1E+99,'TO HOP NLAN'!D273/ncoc+IF(SUMSQ('TS-PILE'!$E$72:$E$91)=0,0,'TO HOP NLAN'!E273*'TS-PILE'!$E$85/SUMSQ('TS-PILE'!$E$72:$E$91))+IF(SUMSQ('TS-PILE'!$D$72:$D$91)=0,0,'TO HOP NLAN'!F273*'TS-PILE'!$D$85/SUMSQ('TS-PILE'!$D$72:$D$91))),IF('TS-PILE'!$B$86="",-1E+99,'TO HOP NLAN'!D273/ncoc+IF(SUMSQ('TS-PILE'!$E$72:$E$91)=0,0,'TO HOP NLAN'!E273*'TS-PILE'!$E$86/SUMSQ('TS-PILE'!$E$72:$E$91))+IF(SUMSQ('TS-PILE'!$D$72:$D$91)=0,0,'TO HOP NLAN'!F273*'TS-PILE'!$D$86/SUMSQ('TS-PILE'!$D$72:$D$91))),IF('TS-PILE'!$B$87="",-1E+99,'TO HOP NLAN'!D273/ncoc+IF(SUMSQ('TS-PILE'!$E$72:$E$91)=0,0,'TO HOP NLAN'!E273*'TS-PILE'!$E$87/SUMSQ('TS-PILE'!$E$72:$E$91))+IF(SUMSQ('TS-PILE'!$D$72:$D$91)=0,0,'TO HOP NLAN'!F273*'TS-PILE'!$D$87/SUMSQ('TS-PILE'!$D$72:$D$91))),IF('TS-PILE'!$B$88="",-1E+99,'TO HOP NLAN'!D273/ncoc+IF(SUMSQ('TS-PILE'!$E$72:$E$91)=0,0,'TO HOP NLAN'!E273*'TS-PILE'!$E$88/SUMSQ('TS-PILE'!$E$72:$E$91))+IF(SUMSQ('TS-PILE'!$D$72:$D$91)=0,0,'TO HOP NLAN'!F273*'TS-PILE'!$D$88/SUMSQ('TS-PILE'!$D$72:$D$91))),IF('TS-PILE'!$B$89="",-1E+99,'TO HOP NLAN'!D273/ncoc+IF(SUMSQ('TS-PILE'!$E$72:$E$91)=0,0,'TO HOP NLAN'!E273*'TS-PILE'!$E$89/SUMSQ('TS-PILE'!$E$72:$E$91))+IF(SUMSQ('TS-PILE'!$D$72:$D$91)=0,0,'TO HOP NLAN'!F273*'TS-PILE'!$D$89/SUMSQ('TS-PILE'!$D$72:$D$91))),IF('TS-PILE'!$B$90="",-1E+99,'TO HOP NLAN'!D273/ncoc+IF(SUMSQ('TS-PILE'!$E$72:$E$91)=0,0,'TO HOP NLAN'!E273*'TS-PILE'!$E$90/SUMSQ('TS-PILE'!$E$72:$E$91))+IF(SUMSQ('TS-PILE'!$D$72:$D$91)=0,0,'TO HOP NLAN'!F273*'TS-PILE'!$D$90/SUMSQ('TS-PILE'!$D$72:$D$91))),IF('TS-PILE'!$B$91="",-1E+99,'TO HOP NLAN'!D273/ncoc+IF(SUMSQ('TS-PILE'!$E$72:$E$91)=0,0,'TO HOP NLAN'!E273*'TS-PILE'!$E$91/SUMSQ('TS-PILE'!$E$72:$E$91))+IF(SUMSQ('TS-PILE'!$D$72:$D$91)=0,0,'TO HOP NLAN'!F273*'TS-PILE'!$D$91/SUMSQ('TS-PILE'!$D$72:$D$91)))))</f>
        <v>0</v>
      </c>
      <c r="D273" s="58">
        <f>IF(A273="",0,MIN(IF('TS-PILE'!$B$72="",1E+99,'TO HOP NLAN'!D273/ncoc+IF(SUMSQ('TS-PILE'!$E$72:$E$91)=0,0,'TO HOP NLAN'!E273*'TS-PILE'!$E$72/SUMSQ('TS-PILE'!$E$72:$E$91))+IF(SUMSQ('TS-PILE'!$D$72:$D$91)=0,0,'TO HOP NLAN'!F273*'TS-PILE'!$D$72/SUMSQ('TS-PILE'!$D$72:$D$91))),IF('TS-PILE'!$B$73="",1E+99,'TO HOP NLAN'!D273/ncoc+IF(SUMSQ('TS-PILE'!$E$72:$E$91)=0,0,'TO HOP NLAN'!E273*'TS-PILE'!$E$73/SUMSQ('TS-PILE'!$E$72:$E$91))+IF(SUMSQ('TS-PILE'!$D$72:$D$91)=0,0,'TO HOP NLAN'!F273*'TS-PILE'!$D$73/SUMSQ('TS-PILE'!$D$72:$D$91))),IF('TS-PILE'!$B$74="",1E+99,'TO HOP NLAN'!D273/ncoc+IF(SUMSQ('TS-PILE'!$E$72:$E$91)=0,0,'TO HOP NLAN'!E273*'TS-PILE'!$E$74/SUMSQ('TS-PILE'!$E$72:$E$91))+IF(SUMSQ('TS-PILE'!$D$72:$D$91)=0,0,'TO HOP NLAN'!F273*'TS-PILE'!$D$74/SUMSQ('TS-PILE'!$D$72:$D$91))),IF('TS-PILE'!$B$75="",1E+99,'TO HOP NLAN'!D273/ncoc+IF(SUMSQ('TS-PILE'!$E$72:$E$91)=0,0,'TO HOP NLAN'!E273*'TS-PILE'!$E$75/SUMSQ('TS-PILE'!$E$72:$E$91))+IF(SUMSQ('TS-PILE'!$D$72:$D$91)=0,0,'TO HOP NLAN'!F273*'TS-PILE'!$D$75/SUMSQ('TS-PILE'!$D$72:$D$91))),IF('TS-PILE'!$B$76="",1E+99,'TO HOP NLAN'!D273/ncoc+IF(SUMSQ('TS-PILE'!$E$72:$E$91)=0,0,'TO HOP NLAN'!E273*'TS-PILE'!$E$76/SUMSQ('TS-PILE'!$E$72:$E$91))+IF(SUMSQ('TS-PILE'!$D$72:$D$91)=0,0,'TO HOP NLAN'!F273*'TS-PILE'!$D$76/SUMSQ('TS-PILE'!$D$72:$D$91))),IF('TS-PILE'!$B$77="",1E+99,'TO HOP NLAN'!D273/ncoc+IF(SUMSQ('TS-PILE'!$E$72:$E$91)=0,0,'TO HOP NLAN'!E273*'TS-PILE'!$E$77/SUMSQ('TS-PILE'!$E$72:$E$91))+IF(SUMSQ('TS-PILE'!$D$72:$D$91)=0,0,'TO HOP NLAN'!F273*'TS-PILE'!$D$77/SUMSQ('TS-PILE'!$D$72:$D$91))),IF('TS-PILE'!$B$78="",1E+99,'TO HOP NLAN'!D273/ncoc+IF(SUMSQ('TS-PILE'!$E$72:$E$91)=0,0,'TO HOP NLAN'!E273*'TS-PILE'!$E$78/SUMSQ('TS-PILE'!$E$72:$E$91))+IF(SUMSQ('TS-PILE'!$D$72:$D$91)=0,0,'TO HOP NLAN'!F273*'TS-PILE'!$D$78/SUMSQ('TS-PILE'!$D$72:$D$91))),IF('TS-PILE'!$B$79="",1E+99,'TO HOP NLAN'!D273/ncoc+IF(SUMSQ('TS-PILE'!$E$72:$E$91)=0,0,'TO HOP NLAN'!E273*'TS-PILE'!$E$79/SUMSQ('TS-PILE'!$E$72:$E$91))+IF(SUMSQ('TS-PILE'!$D$72:$D$91)=0,0,'TO HOP NLAN'!F273*'TS-PILE'!$D$79/SUMSQ('TS-PILE'!$D$72:$D$91))),IF('TS-PILE'!$B$80="",1E+99,'TO HOP NLAN'!D273/ncoc+IF(SUMSQ('TS-PILE'!$E$72:$E$91)=0,0,'TO HOP NLAN'!E273*'TS-PILE'!$E$80/SUMSQ('TS-PILE'!$E$72:$E$91))+IF(SUMSQ('TS-PILE'!$D$72:$D$91)=0,0,'TO HOP NLAN'!F273*'TS-PILE'!$D$80/SUMSQ('TS-PILE'!$D$72:$D$91))),IF('TS-PILE'!$B$81="",1E+99,'TO HOP NLAN'!D273/ncoc+IF(SUMSQ('TS-PILE'!$E$72:$E$91)=0,0,'TO HOP NLAN'!E273*'TS-PILE'!$E$81/SUMSQ('TS-PILE'!$E$72:$E$91))+IF(SUMSQ('TS-PILE'!$D$72:$D$91)=0,0,'TO HOP NLAN'!F273*'TS-PILE'!$D$81/SUMSQ('TS-PILE'!$D$72:$D$91))),IF('TS-PILE'!$B$82="",1E+99,'TO HOP NLAN'!D273/ncoc+IF(SUMSQ('TS-PILE'!$E$72:$E$91)=0,0,'TO HOP NLAN'!E273*'TS-PILE'!$E$82/SUMSQ('TS-PILE'!$E$72:$E$91))+IF(SUMSQ('TS-PILE'!$D$72:$D$91)=0,0,'TO HOP NLAN'!F273*'TS-PILE'!$D$82/SUMSQ('TS-PILE'!$D$72:$D$91))),IF('TS-PILE'!$B$83="",1E+99,'TO HOP NLAN'!D273/ncoc+IF(SUMSQ('TS-PILE'!$E$72:$E$91)=0,0,'TO HOP NLAN'!E273*'TS-PILE'!$E$83/SUMSQ('TS-PILE'!$E$72:$E$91))+IF(SUMSQ('TS-PILE'!$D$72:$D$91)=0,0,'TO HOP NLAN'!F273*'TS-PILE'!$D$83/SUMSQ('TS-PILE'!$D$72:$D$91))),IF('TS-PILE'!$B$84="",1E+99,'TO HOP NLAN'!D273/ncoc+IF(SUMSQ('TS-PILE'!$E$72:$E$91)=0,0,'TO HOP NLAN'!E273*'TS-PILE'!$E$84/SUMSQ('TS-PILE'!$E$72:$E$91))+IF(SUMSQ('TS-PILE'!$D$72:$D$91)=0,0,'TO HOP NLAN'!F273*'TS-PILE'!$D$84/SUMSQ('TS-PILE'!$D$72:$D$91))),IF('TS-PILE'!$B$85="",1E+99,'TO HOP NLAN'!D273/ncoc+IF(SUMSQ('TS-PILE'!$E$72:$E$91)=0,0,'TO HOP NLAN'!E273*'TS-PILE'!$E$85/SUMSQ('TS-PILE'!$E$72:$E$91))+IF(SUMSQ('TS-PILE'!$D$72:$D$91)=0,0,'TO HOP NLAN'!F273*'TS-PILE'!$D$85/SUMSQ('TS-PILE'!$D$72:$D$91))),IF('TS-PILE'!$B$86="",1E+99,'TO HOP NLAN'!D273/ncoc+IF(SUMSQ('TS-PILE'!$E$72:$E$91)=0,0,'TO HOP NLAN'!E273*'TS-PILE'!$E$86/SUMSQ('TS-PILE'!$E$72:$E$91))+IF(SUMSQ('TS-PILE'!$D$72:$D$91)=0,0,'TO HOP NLAN'!F273*'TS-PILE'!$D$86/SUMSQ('TS-PILE'!$D$72:$D$91))),IF('TS-PILE'!$B$87="",1E+99,'TO HOP NLAN'!D273/ncoc+IF(SUMSQ('TS-PILE'!$E$72:$E$91)=0,0,'TO HOP NLAN'!E273*'TS-PILE'!$E$87/SUMSQ('TS-PILE'!$E$72:$E$91))+IF(SUMSQ('TS-PILE'!$D$72:$D$91)=0,0,'TO HOP NLAN'!F273*'TS-PILE'!$D$87/SUMSQ('TS-PILE'!$D$72:$D$91))),IF('TS-PILE'!$B$88="",1E+99,'TO HOP NLAN'!D273/ncoc+IF(SUMSQ('TS-PILE'!$E$72:$E$91)=0,0,'TO HOP NLAN'!E273*'TS-PILE'!$E$88/SUMSQ('TS-PILE'!$E$72:$E$91))+IF(SUMSQ('TS-PILE'!$D$72:$D$91)=0,0,'TO HOP NLAN'!F273*'TS-PILE'!$D$88/SUMSQ('TS-PILE'!$D$72:$D$91))),IF('TS-PILE'!$B$89="",1E+99,'TO HOP NLAN'!D273/ncoc+IF(SUMSQ('TS-PILE'!$E$72:$E$91)=0,0,'TO HOP NLAN'!E273*'TS-PILE'!$E$89/SUMSQ('TS-PILE'!$E$72:$E$91))+IF(SUMSQ('TS-PILE'!$D$72:$D$91)=0,0,'TO HOP NLAN'!F273*'TS-PILE'!$D$89/SUMSQ('TS-PILE'!$D$72:$D$91))),IF('TS-PILE'!$B$90="",1E+99,'TO HOP NLAN'!D273/ncoc+IF(SUMSQ('TS-PILE'!$E$72:$E$91)=0,0,'TO HOP NLAN'!E273*'TS-PILE'!$E$90/SUMSQ('TS-PILE'!$E$72:$E$91))+IF(SUMSQ('TS-PILE'!$D$72:$D$91)=0,0,'TO HOP NLAN'!F273*'TS-PILE'!$D$90/SUMSQ('TS-PILE'!$D$72:$D$91))),IF('TS-PILE'!$B$91="",1E+99,'TO HOP NLAN'!D273/ncoc+IF(SUMSQ('TS-PILE'!$E$72:$E$91)=0,0,'TO HOP NLAN'!E273*'TS-PILE'!$E$91/SUMSQ('TS-PILE'!$E$72:$E$91))+IF(SUMSQ('TS-PILE'!$D$72:$D$91)=0,0,'TO HOP NLAN'!F273*'TS-PILE'!$D$91/SUMSQ('TS-PILE'!$D$72:$D$91)))))</f>
        <v>0</v>
      </c>
      <c r="E273" s="58">
        <f t="shared" si="16"/>
        <v>-9.9999999999999997E+98</v>
      </c>
      <c r="F273" s="58">
        <f t="shared" si="17"/>
        <v>9.9999999999999997E+98</v>
      </c>
      <c r="G273" s="58">
        <f t="shared" si="18"/>
        <v>-9.9999999999999997E+98</v>
      </c>
      <c r="H273" s="58">
        <f t="shared" si="19"/>
        <v>9.9999999999999997E+98</v>
      </c>
    </row>
    <row r="274" spans="1:8" x14ac:dyDescent="0.3">
      <c r="A274" s="42" t="str">
        <f>'TO HOP NLAN'!A274</f>
        <v/>
      </c>
      <c r="B274" s="42" t="str">
        <f>'TO HOP NLAN'!L274</f>
        <v>STRENGTH</v>
      </c>
      <c r="C274" s="58">
        <f>IF(A274="",0,MAX(IF('TS-PILE'!$B$72="",-1E+99,'TO HOP NLAN'!D274/ncoc+IF(SUMSQ('TS-PILE'!$E$72:$E$91)=0,0,'TO HOP NLAN'!E274*'TS-PILE'!$E$72/SUMSQ('TS-PILE'!$E$72:$E$91))+IF(SUMSQ('TS-PILE'!$D$72:$D$91)=0,0,'TO HOP NLAN'!F274*'TS-PILE'!$D$72/SUMSQ('TS-PILE'!$D$72:$D$91))),IF('TS-PILE'!$B$73="",-1E+99,'TO HOP NLAN'!D274/ncoc+IF(SUMSQ('TS-PILE'!$E$72:$E$91)=0,0,'TO HOP NLAN'!E274*'TS-PILE'!$E$73/SUMSQ('TS-PILE'!$E$72:$E$91))+IF(SUMSQ('TS-PILE'!$D$72:$D$91)=0,0,'TO HOP NLAN'!F274*'TS-PILE'!$D$73/SUMSQ('TS-PILE'!$D$72:$D$91))),IF('TS-PILE'!$B$74="",-1E+99,'TO HOP NLAN'!D274/ncoc+IF(SUMSQ('TS-PILE'!$E$72:$E$91)=0,0,'TO HOP NLAN'!E274*'TS-PILE'!$E$74/SUMSQ('TS-PILE'!$E$72:$E$91))+IF(SUMSQ('TS-PILE'!$D$72:$D$91)=0,0,'TO HOP NLAN'!F274*'TS-PILE'!$D$74/SUMSQ('TS-PILE'!$D$72:$D$91))),IF('TS-PILE'!$B$75="",-1E+99,'TO HOP NLAN'!D274/ncoc+IF(SUMSQ('TS-PILE'!$E$72:$E$91)=0,0,'TO HOP NLAN'!E274*'TS-PILE'!$E$75/SUMSQ('TS-PILE'!$E$72:$E$91))+IF(SUMSQ('TS-PILE'!$D$72:$D$91)=0,0,'TO HOP NLAN'!F274*'TS-PILE'!$D$75/SUMSQ('TS-PILE'!$D$72:$D$91))),IF('TS-PILE'!$B$76="",-1E+99,'TO HOP NLAN'!D274/ncoc+IF(SUMSQ('TS-PILE'!$E$72:$E$91)=0,0,'TO HOP NLAN'!E274*'TS-PILE'!$E$76/SUMSQ('TS-PILE'!$E$72:$E$91))+IF(SUMSQ('TS-PILE'!$D$72:$D$91)=0,0,'TO HOP NLAN'!F274*'TS-PILE'!$D$76/SUMSQ('TS-PILE'!$D$72:$D$91))),IF('TS-PILE'!$B$77="",-1E+99,'TO HOP NLAN'!D274/ncoc+IF(SUMSQ('TS-PILE'!$E$72:$E$91)=0,0,'TO HOP NLAN'!E274*'TS-PILE'!$E$77/SUMSQ('TS-PILE'!$E$72:$E$91))+IF(SUMSQ('TS-PILE'!$D$72:$D$91)=0,0,'TO HOP NLAN'!F274*'TS-PILE'!$D$77/SUMSQ('TS-PILE'!$D$72:$D$91))),IF('TS-PILE'!$B$78="",-1E+99,'TO HOP NLAN'!D274/ncoc+IF(SUMSQ('TS-PILE'!$E$72:$E$91)=0,0,'TO HOP NLAN'!E274*'TS-PILE'!$E$78/SUMSQ('TS-PILE'!$E$72:$E$91))+IF(SUMSQ('TS-PILE'!$D$72:$D$91)=0,0,'TO HOP NLAN'!F274*'TS-PILE'!$D$78/SUMSQ('TS-PILE'!$D$72:$D$91))),IF('TS-PILE'!$B$79="",-1E+99,'TO HOP NLAN'!D274/ncoc+IF(SUMSQ('TS-PILE'!$E$72:$E$91)=0,0,'TO HOP NLAN'!E274*'TS-PILE'!$E$79/SUMSQ('TS-PILE'!$E$72:$E$91))+IF(SUMSQ('TS-PILE'!$D$72:$D$91)=0,0,'TO HOP NLAN'!F274*'TS-PILE'!$D$79/SUMSQ('TS-PILE'!$D$72:$D$91))),IF('TS-PILE'!$B$80="",-1E+99,'TO HOP NLAN'!D274/ncoc+IF(SUMSQ('TS-PILE'!$E$72:$E$91)=0,0,'TO HOP NLAN'!E274*'TS-PILE'!$E$80/SUMSQ('TS-PILE'!$E$72:$E$91))+IF(SUMSQ('TS-PILE'!$D$72:$D$91)=0,0,'TO HOP NLAN'!F274*'TS-PILE'!$D$80/SUMSQ('TS-PILE'!$D$72:$D$91))),IF('TS-PILE'!$B$81="",-1E+99,'TO HOP NLAN'!D274/ncoc+IF(SUMSQ('TS-PILE'!$E$72:$E$91)=0,0,'TO HOP NLAN'!E274*'TS-PILE'!$E$81/SUMSQ('TS-PILE'!$E$72:$E$91))+IF(SUMSQ('TS-PILE'!$D$72:$D$91)=0,0,'TO HOP NLAN'!F274*'TS-PILE'!$D$81/SUMSQ('TS-PILE'!$D$72:$D$91))),IF('TS-PILE'!$B$82="",-1E+99,'TO HOP NLAN'!D274/ncoc+IF(SUMSQ('TS-PILE'!$E$72:$E$91)=0,0,'TO HOP NLAN'!E274*'TS-PILE'!$E$82/SUMSQ('TS-PILE'!$E$72:$E$91))+IF(SUMSQ('TS-PILE'!$D$72:$D$91)=0,0,'TO HOP NLAN'!F274*'TS-PILE'!$D$82/SUMSQ('TS-PILE'!$D$72:$D$91))),IF('TS-PILE'!$B$83="",-1E+99,'TO HOP NLAN'!D274/ncoc+IF(SUMSQ('TS-PILE'!$E$72:$E$91)=0,0,'TO HOP NLAN'!E274*'TS-PILE'!$E$83/SUMSQ('TS-PILE'!$E$72:$E$91))+IF(SUMSQ('TS-PILE'!$D$72:$D$91)=0,0,'TO HOP NLAN'!F274*'TS-PILE'!$D$83/SUMSQ('TS-PILE'!$D$72:$D$91))),IF('TS-PILE'!$B$84="",-1E+99,'TO HOP NLAN'!D274/ncoc+IF(SUMSQ('TS-PILE'!$E$72:$E$91)=0,0,'TO HOP NLAN'!E274*'TS-PILE'!$E$84/SUMSQ('TS-PILE'!$E$72:$E$91))+IF(SUMSQ('TS-PILE'!$D$72:$D$91)=0,0,'TO HOP NLAN'!F274*'TS-PILE'!$D$84/SUMSQ('TS-PILE'!$D$72:$D$91))),IF('TS-PILE'!$B$85="",-1E+99,'TO HOP NLAN'!D274/ncoc+IF(SUMSQ('TS-PILE'!$E$72:$E$91)=0,0,'TO HOP NLAN'!E274*'TS-PILE'!$E$85/SUMSQ('TS-PILE'!$E$72:$E$91))+IF(SUMSQ('TS-PILE'!$D$72:$D$91)=0,0,'TO HOP NLAN'!F274*'TS-PILE'!$D$85/SUMSQ('TS-PILE'!$D$72:$D$91))),IF('TS-PILE'!$B$86="",-1E+99,'TO HOP NLAN'!D274/ncoc+IF(SUMSQ('TS-PILE'!$E$72:$E$91)=0,0,'TO HOP NLAN'!E274*'TS-PILE'!$E$86/SUMSQ('TS-PILE'!$E$72:$E$91))+IF(SUMSQ('TS-PILE'!$D$72:$D$91)=0,0,'TO HOP NLAN'!F274*'TS-PILE'!$D$86/SUMSQ('TS-PILE'!$D$72:$D$91))),IF('TS-PILE'!$B$87="",-1E+99,'TO HOP NLAN'!D274/ncoc+IF(SUMSQ('TS-PILE'!$E$72:$E$91)=0,0,'TO HOP NLAN'!E274*'TS-PILE'!$E$87/SUMSQ('TS-PILE'!$E$72:$E$91))+IF(SUMSQ('TS-PILE'!$D$72:$D$91)=0,0,'TO HOP NLAN'!F274*'TS-PILE'!$D$87/SUMSQ('TS-PILE'!$D$72:$D$91))),IF('TS-PILE'!$B$88="",-1E+99,'TO HOP NLAN'!D274/ncoc+IF(SUMSQ('TS-PILE'!$E$72:$E$91)=0,0,'TO HOP NLAN'!E274*'TS-PILE'!$E$88/SUMSQ('TS-PILE'!$E$72:$E$91))+IF(SUMSQ('TS-PILE'!$D$72:$D$91)=0,0,'TO HOP NLAN'!F274*'TS-PILE'!$D$88/SUMSQ('TS-PILE'!$D$72:$D$91))),IF('TS-PILE'!$B$89="",-1E+99,'TO HOP NLAN'!D274/ncoc+IF(SUMSQ('TS-PILE'!$E$72:$E$91)=0,0,'TO HOP NLAN'!E274*'TS-PILE'!$E$89/SUMSQ('TS-PILE'!$E$72:$E$91))+IF(SUMSQ('TS-PILE'!$D$72:$D$91)=0,0,'TO HOP NLAN'!F274*'TS-PILE'!$D$89/SUMSQ('TS-PILE'!$D$72:$D$91))),IF('TS-PILE'!$B$90="",-1E+99,'TO HOP NLAN'!D274/ncoc+IF(SUMSQ('TS-PILE'!$E$72:$E$91)=0,0,'TO HOP NLAN'!E274*'TS-PILE'!$E$90/SUMSQ('TS-PILE'!$E$72:$E$91))+IF(SUMSQ('TS-PILE'!$D$72:$D$91)=0,0,'TO HOP NLAN'!F274*'TS-PILE'!$D$90/SUMSQ('TS-PILE'!$D$72:$D$91))),IF('TS-PILE'!$B$91="",-1E+99,'TO HOP NLAN'!D274/ncoc+IF(SUMSQ('TS-PILE'!$E$72:$E$91)=0,0,'TO HOP NLAN'!E274*'TS-PILE'!$E$91/SUMSQ('TS-PILE'!$E$72:$E$91))+IF(SUMSQ('TS-PILE'!$D$72:$D$91)=0,0,'TO HOP NLAN'!F274*'TS-PILE'!$D$91/SUMSQ('TS-PILE'!$D$72:$D$91)))))</f>
        <v>0</v>
      </c>
      <c r="D274" s="58">
        <f>IF(A274="",0,MIN(IF('TS-PILE'!$B$72="",1E+99,'TO HOP NLAN'!D274/ncoc+IF(SUMSQ('TS-PILE'!$E$72:$E$91)=0,0,'TO HOP NLAN'!E274*'TS-PILE'!$E$72/SUMSQ('TS-PILE'!$E$72:$E$91))+IF(SUMSQ('TS-PILE'!$D$72:$D$91)=0,0,'TO HOP NLAN'!F274*'TS-PILE'!$D$72/SUMSQ('TS-PILE'!$D$72:$D$91))),IF('TS-PILE'!$B$73="",1E+99,'TO HOP NLAN'!D274/ncoc+IF(SUMSQ('TS-PILE'!$E$72:$E$91)=0,0,'TO HOP NLAN'!E274*'TS-PILE'!$E$73/SUMSQ('TS-PILE'!$E$72:$E$91))+IF(SUMSQ('TS-PILE'!$D$72:$D$91)=0,0,'TO HOP NLAN'!F274*'TS-PILE'!$D$73/SUMSQ('TS-PILE'!$D$72:$D$91))),IF('TS-PILE'!$B$74="",1E+99,'TO HOP NLAN'!D274/ncoc+IF(SUMSQ('TS-PILE'!$E$72:$E$91)=0,0,'TO HOP NLAN'!E274*'TS-PILE'!$E$74/SUMSQ('TS-PILE'!$E$72:$E$91))+IF(SUMSQ('TS-PILE'!$D$72:$D$91)=0,0,'TO HOP NLAN'!F274*'TS-PILE'!$D$74/SUMSQ('TS-PILE'!$D$72:$D$91))),IF('TS-PILE'!$B$75="",1E+99,'TO HOP NLAN'!D274/ncoc+IF(SUMSQ('TS-PILE'!$E$72:$E$91)=0,0,'TO HOP NLAN'!E274*'TS-PILE'!$E$75/SUMSQ('TS-PILE'!$E$72:$E$91))+IF(SUMSQ('TS-PILE'!$D$72:$D$91)=0,0,'TO HOP NLAN'!F274*'TS-PILE'!$D$75/SUMSQ('TS-PILE'!$D$72:$D$91))),IF('TS-PILE'!$B$76="",1E+99,'TO HOP NLAN'!D274/ncoc+IF(SUMSQ('TS-PILE'!$E$72:$E$91)=0,0,'TO HOP NLAN'!E274*'TS-PILE'!$E$76/SUMSQ('TS-PILE'!$E$72:$E$91))+IF(SUMSQ('TS-PILE'!$D$72:$D$91)=0,0,'TO HOP NLAN'!F274*'TS-PILE'!$D$76/SUMSQ('TS-PILE'!$D$72:$D$91))),IF('TS-PILE'!$B$77="",1E+99,'TO HOP NLAN'!D274/ncoc+IF(SUMSQ('TS-PILE'!$E$72:$E$91)=0,0,'TO HOP NLAN'!E274*'TS-PILE'!$E$77/SUMSQ('TS-PILE'!$E$72:$E$91))+IF(SUMSQ('TS-PILE'!$D$72:$D$91)=0,0,'TO HOP NLAN'!F274*'TS-PILE'!$D$77/SUMSQ('TS-PILE'!$D$72:$D$91))),IF('TS-PILE'!$B$78="",1E+99,'TO HOP NLAN'!D274/ncoc+IF(SUMSQ('TS-PILE'!$E$72:$E$91)=0,0,'TO HOP NLAN'!E274*'TS-PILE'!$E$78/SUMSQ('TS-PILE'!$E$72:$E$91))+IF(SUMSQ('TS-PILE'!$D$72:$D$91)=0,0,'TO HOP NLAN'!F274*'TS-PILE'!$D$78/SUMSQ('TS-PILE'!$D$72:$D$91))),IF('TS-PILE'!$B$79="",1E+99,'TO HOP NLAN'!D274/ncoc+IF(SUMSQ('TS-PILE'!$E$72:$E$91)=0,0,'TO HOP NLAN'!E274*'TS-PILE'!$E$79/SUMSQ('TS-PILE'!$E$72:$E$91))+IF(SUMSQ('TS-PILE'!$D$72:$D$91)=0,0,'TO HOP NLAN'!F274*'TS-PILE'!$D$79/SUMSQ('TS-PILE'!$D$72:$D$91))),IF('TS-PILE'!$B$80="",1E+99,'TO HOP NLAN'!D274/ncoc+IF(SUMSQ('TS-PILE'!$E$72:$E$91)=0,0,'TO HOP NLAN'!E274*'TS-PILE'!$E$80/SUMSQ('TS-PILE'!$E$72:$E$91))+IF(SUMSQ('TS-PILE'!$D$72:$D$91)=0,0,'TO HOP NLAN'!F274*'TS-PILE'!$D$80/SUMSQ('TS-PILE'!$D$72:$D$91))),IF('TS-PILE'!$B$81="",1E+99,'TO HOP NLAN'!D274/ncoc+IF(SUMSQ('TS-PILE'!$E$72:$E$91)=0,0,'TO HOP NLAN'!E274*'TS-PILE'!$E$81/SUMSQ('TS-PILE'!$E$72:$E$91))+IF(SUMSQ('TS-PILE'!$D$72:$D$91)=0,0,'TO HOP NLAN'!F274*'TS-PILE'!$D$81/SUMSQ('TS-PILE'!$D$72:$D$91))),IF('TS-PILE'!$B$82="",1E+99,'TO HOP NLAN'!D274/ncoc+IF(SUMSQ('TS-PILE'!$E$72:$E$91)=0,0,'TO HOP NLAN'!E274*'TS-PILE'!$E$82/SUMSQ('TS-PILE'!$E$72:$E$91))+IF(SUMSQ('TS-PILE'!$D$72:$D$91)=0,0,'TO HOP NLAN'!F274*'TS-PILE'!$D$82/SUMSQ('TS-PILE'!$D$72:$D$91))),IF('TS-PILE'!$B$83="",1E+99,'TO HOP NLAN'!D274/ncoc+IF(SUMSQ('TS-PILE'!$E$72:$E$91)=0,0,'TO HOP NLAN'!E274*'TS-PILE'!$E$83/SUMSQ('TS-PILE'!$E$72:$E$91))+IF(SUMSQ('TS-PILE'!$D$72:$D$91)=0,0,'TO HOP NLAN'!F274*'TS-PILE'!$D$83/SUMSQ('TS-PILE'!$D$72:$D$91))),IF('TS-PILE'!$B$84="",1E+99,'TO HOP NLAN'!D274/ncoc+IF(SUMSQ('TS-PILE'!$E$72:$E$91)=0,0,'TO HOP NLAN'!E274*'TS-PILE'!$E$84/SUMSQ('TS-PILE'!$E$72:$E$91))+IF(SUMSQ('TS-PILE'!$D$72:$D$91)=0,0,'TO HOP NLAN'!F274*'TS-PILE'!$D$84/SUMSQ('TS-PILE'!$D$72:$D$91))),IF('TS-PILE'!$B$85="",1E+99,'TO HOP NLAN'!D274/ncoc+IF(SUMSQ('TS-PILE'!$E$72:$E$91)=0,0,'TO HOP NLAN'!E274*'TS-PILE'!$E$85/SUMSQ('TS-PILE'!$E$72:$E$91))+IF(SUMSQ('TS-PILE'!$D$72:$D$91)=0,0,'TO HOP NLAN'!F274*'TS-PILE'!$D$85/SUMSQ('TS-PILE'!$D$72:$D$91))),IF('TS-PILE'!$B$86="",1E+99,'TO HOP NLAN'!D274/ncoc+IF(SUMSQ('TS-PILE'!$E$72:$E$91)=0,0,'TO HOP NLAN'!E274*'TS-PILE'!$E$86/SUMSQ('TS-PILE'!$E$72:$E$91))+IF(SUMSQ('TS-PILE'!$D$72:$D$91)=0,0,'TO HOP NLAN'!F274*'TS-PILE'!$D$86/SUMSQ('TS-PILE'!$D$72:$D$91))),IF('TS-PILE'!$B$87="",1E+99,'TO HOP NLAN'!D274/ncoc+IF(SUMSQ('TS-PILE'!$E$72:$E$91)=0,0,'TO HOP NLAN'!E274*'TS-PILE'!$E$87/SUMSQ('TS-PILE'!$E$72:$E$91))+IF(SUMSQ('TS-PILE'!$D$72:$D$91)=0,0,'TO HOP NLAN'!F274*'TS-PILE'!$D$87/SUMSQ('TS-PILE'!$D$72:$D$91))),IF('TS-PILE'!$B$88="",1E+99,'TO HOP NLAN'!D274/ncoc+IF(SUMSQ('TS-PILE'!$E$72:$E$91)=0,0,'TO HOP NLAN'!E274*'TS-PILE'!$E$88/SUMSQ('TS-PILE'!$E$72:$E$91))+IF(SUMSQ('TS-PILE'!$D$72:$D$91)=0,0,'TO HOP NLAN'!F274*'TS-PILE'!$D$88/SUMSQ('TS-PILE'!$D$72:$D$91))),IF('TS-PILE'!$B$89="",1E+99,'TO HOP NLAN'!D274/ncoc+IF(SUMSQ('TS-PILE'!$E$72:$E$91)=0,0,'TO HOP NLAN'!E274*'TS-PILE'!$E$89/SUMSQ('TS-PILE'!$E$72:$E$91))+IF(SUMSQ('TS-PILE'!$D$72:$D$91)=0,0,'TO HOP NLAN'!F274*'TS-PILE'!$D$89/SUMSQ('TS-PILE'!$D$72:$D$91))),IF('TS-PILE'!$B$90="",1E+99,'TO HOP NLAN'!D274/ncoc+IF(SUMSQ('TS-PILE'!$E$72:$E$91)=0,0,'TO HOP NLAN'!E274*'TS-PILE'!$E$90/SUMSQ('TS-PILE'!$E$72:$E$91))+IF(SUMSQ('TS-PILE'!$D$72:$D$91)=0,0,'TO HOP NLAN'!F274*'TS-PILE'!$D$90/SUMSQ('TS-PILE'!$D$72:$D$91))),IF('TS-PILE'!$B$91="",1E+99,'TO HOP NLAN'!D274/ncoc+IF(SUMSQ('TS-PILE'!$E$72:$E$91)=0,0,'TO HOP NLAN'!E274*'TS-PILE'!$E$91/SUMSQ('TS-PILE'!$E$72:$E$91))+IF(SUMSQ('TS-PILE'!$D$72:$D$91)=0,0,'TO HOP NLAN'!F274*'TS-PILE'!$D$91/SUMSQ('TS-PILE'!$D$72:$D$91)))))</f>
        <v>0</v>
      </c>
      <c r="E274" s="58">
        <f t="shared" si="16"/>
        <v>-9.9999999999999997E+98</v>
      </c>
      <c r="F274" s="58">
        <f t="shared" si="17"/>
        <v>9.9999999999999997E+98</v>
      </c>
      <c r="G274" s="58">
        <f t="shared" si="18"/>
        <v>-9.9999999999999997E+98</v>
      </c>
      <c r="H274" s="58">
        <f t="shared" si="19"/>
        <v>9.9999999999999997E+98</v>
      </c>
    </row>
    <row r="275" spans="1:8" x14ac:dyDescent="0.3">
      <c r="A275" s="42" t="str">
        <f>'TO HOP NLAN'!A275</f>
        <v/>
      </c>
      <c r="B275" s="42" t="str">
        <f>'TO HOP NLAN'!L275</f>
        <v>STRENGTH</v>
      </c>
      <c r="C275" s="58">
        <f>IF(A275="",0,MAX(IF('TS-PILE'!$B$72="",-1E+99,'TO HOP NLAN'!D275/ncoc+IF(SUMSQ('TS-PILE'!$E$72:$E$91)=0,0,'TO HOP NLAN'!E275*'TS-PILE'!$E$72/SUMSQ('TS-PILE'!$E$72:$E$91))+IF(SUMSQ('TS-PILE'!$D$72:$D$91)=0,0,'TO HOP NLAN'!F275*'TS-PILE'!$D$72/SUMSQ('TS-PILE'!$D$72:$D$91))),IF('TS-PILE'!$B$73="",-1E+99,'TO HOP NLAN'!D275/ncoc+IF(SUMSQ('TS-PILE'!$E$72:$E$91)=0,0,'TO HOP NLAN'!E275*'TS-PILE'!$E$73/SUMSQ('TS-PILE'!$E$72:$E$91))+IF(SUMSQ('TS-PILE'!$D$72:$D$91)=0,0,'TO HOP NLAN'!F275*'TS-PILE'!$D$73/SUMSQ('TS-PILE'!$D$72:$D$91))),IF('TS-PILE'!$B$74="",-1E+99,'TO HOP NLAN'!D275/ncoc+IF(SUMSQ('TS-PILE'!$E$72:$E$91)=0,0,'TO HOP NLAN'!E275*'TS-PILE'!$E$74/SUMSQ('TS-PILE'!$E$72:$E$91))+IF(SUMSQ('TS-PILE'!$D$72:$D$91)=0,0,'TO HOP NLAN'!F275*'TS-PILE'!$D$74/SUMSQ('TS-PILE'!$D$72:$D$91))),IF('TS-PILE'!$B$75="",-1E+99,'TO HOP NLAN'!D275/ncoc+IF(SUMSQ('TS-PILE'!$E$72:$E$91)=0,0,'TO HOP NLAN'!E275*'TS-PILE'!$E$75/SUMSQ('TS-PILE'!$E$72:$E$91))+IF(SUMSQ('TS-PILE'!$D$72:$D$91)=0,0,'TO HOP NLAN'!F275*'TS-PILE'!$D$75/SUMSQ('TS-PILE'!$D$72:$D$91))),IF('TS-PILE'!$B$76="",-1E+99,'TO HOP NLAN'!D275/ncoc+IF(SUMSQ('TS-PILE'!$E$72:$E$91)=0,0,'TO HOP NLAN'!E275*'TS-PILE'!$E$76/SUMSQ('TS-PILE'!$E$72:$E$91))+IF(SUMSQ('TS-PILE'!$D$72:$D$91)=0,0,'TO HOP NLAN'!F275*'TS-PILE'!$D$76/SUMSQ('TS-PILE'!$D$72:$D$91))),IF('TS-PILE'!$B$77="",-1E+99,'TO HOP NLAN'!D275/ncoc+IF(SUMSQ('TS-PILE'!$E$72:$E$91)=0,0,'TO HOP NLAN'!E275*'TS-PILE'!$E$77/SUMSQ('TS-PILE'!$E$72:$E$91))+IF(SUMSQ('TS-PILE'!$D$72:$D$91)=0,0,'TO HOP NLAN'!F275*'TS-PILE'!$D$77/SUMSQ('TS-PILE'!$D$72:$D$91))),IF('TS-PILE'!$B$78="",-1E+99,'TO HOP NLAN'!D275/ncoc+IF(SUMSQ('TS-PILE'!$E$72:$E$91)=0,0,'TO HOP NLAN'!E275*'TS-PILE'!$E$78/SUMSQ('TS-PILE'!$E$72:$E$91))+IF(SUMSQ('TS-PILE'!$D$72:$D$91)=0,0,'TO HOP NLAN'!F275*'TS-PILE'!$D$78/SUMSQ('TS-PILE'!$D$72:$D$91))),IF('TS-PILE'!$B$79="",-1E+99,'TO HOP NLAN'!D275/ncoc+IF(SUMSQ('TS-PILE'!$E$72:$E$91)=0,0,'TO HOP NLAN'!E275*'TS-PILE'!$E$79/SUMSQ('TS-PILE'!$E$72:$E$91))+IF(SUMSQ('TS-PILE'!$D$72:$D$91)=0,0,'TO HOP NLAN'!F275*'TS-PILE'!$D$79/SUMSQ('TS-PILE'!$D$72:$D$91))),IF('TS-PILE'!$B$80="",-1E+99,'TO HOP NLAN'!D275/ncoc+IF(SUMSQ('TS-PILE'!$E$72:$E$91)=0,0,'TO HOP NLAN'!E275*'TS-PILE'!$E$80/SUMSQ('TS-PILE'!$E$72:$E$91))+IF(SUMSQ('TS-PILE'!$D$72:$D$91)=0,0,'TO HOP NLAN'!F275*'TS-PILE'!$D$80/SUMSQ('TS-PILE'!$D$72:$D$91))),IF('TS-PILE'!$B$81="",-1E+99,'TO HOP NLAN'!D275/ncoc+IF(SUMSQ('TS-PILE'!$E$72:$E$91)=0,0,'TO HOP NLAN'!E275*'TS-PILE'!$E$81/SUMSQ('TS-PILE'!$E$72:$E$91))+IF(SUMSQ('TS-PILE'!$D$72:$D$91)=0,0,'TO HOP NLAN'!F275*'TS-PILE'!$D$81/SUMSQ('TS-PILE'!$D$72:$D$91))),IF('TS-PILE'!$B$82="",-1E+99,'TO HOP NLAN'!D275/ncoc+IF(SUMSQ('TS-PILE'!$E$72:$E$91)=0,0,'TO HOP NLAN'!E275*'TS-PILE'!$E$82/SUMSQ('TS-PILE'!$E$72:$E$91))+IF(SUMSQ('TS-PILE'!$D$72:$D$91)=0,0,'TO HOP NLAN'!F275*'TS-PILE'!$D$82/SUMSQ('TS-PILE'!$D$72:$D$91))),IF('TS-PILE'!$B$83="",-1E+99,'TO HOP NLAN'!D275/ncoc+IF(SUMSQ('TS-PILE'!$E$72:$E$91)=0,0,'TO HOP NLAN'!E275*'TS-PILE'!$E$83/SUMSQ('TS-PILE'!$E$72:$E$91))+IF(SUMSQ('TS-PILE'!$D$72:$D$91)=0,0,'TO HOP NLAN'!F275*'TS-PILE'!$D$83/SUMSQ('TS-PILE'!$D$72:$D$91))),IF('TS-PILE'!$B$84="",-1E+99,'TO HOP NLAN'!D275/ncoc+IF(SUMSQ('TS-PILE'!$E$72:$E$91)=0,0,'TO HOP NLAN'!E275*'TS-PILE'!$E$84/SUMSQ('TS-PILE'!$E$72:$E$91))+IF(SUMSQ('TS-PILE'!$D$72:$D$91)=0,0,'TO HOP NLAN'!F275*'TS-PILE'!$D$84/SUMSQ('TS-PILE'!$D$72:$D$91))),IF('TS-PILE'!$B$85="",-1E+99,'TO HOP NLAN'!D275/ncoc+IF(SUMSQ('TS-PILE'!$E$72:$E$91)=0,0,'TO HOP NLAN'!E275*'TS-PILE'!$E$85/SUMSQ('TS-PILE'!$E$72:$E$91))+IF(SUMSQ('TS-PILE'!$D$72:$D$91)=0,0,'TO HOP NLAN'!F275*'TS-PILE'!$D$85/SUMSQ('TS-PILE'!$D$72:$D$91))),IF('TS-PILE'!$B$86="",-1E+99,'TO HOP NLAN'!D275/ncoc+IF(SUMSQ('TS-PILE'!$E$72:$E$91)=0,0,'TO HOP NLAN'!E275*'TS-PILE'!$E$86/SUMSQ('TS-PILE'!$E$72:$E$91))+IF(SUMSQ('TS-PILE'!$D$72:$D$91)=0,0,'TO HOP NLAN'!F275*'TS-PILE'!$D$86/SUMSQ('TS-PILE'!$D$72:$D$91))),IF('TS-PILE'!$B$87="",-1E+99,'TO HOP NLAN'!D275/ncoc+IF(SUMSQ('TS-PILE'!$E$72:$E$91)=0,0,'TO HOP NLAN'!E275*'TS-PILE'!$E$87/SUMSQ('TS-PILE'!$E$72:$E$91))+IF(SUMSQ('TS-PILE'!$D$72:$D$91)=0,0,'TO HOP NLAN'!F275*'TS-PILE'!$D$87/SUMSQ('TS-PILE'!$D$72:$D$91))),IF('TS-PILE'!$B$88="",-1E+99,'TO HOP NLAN'!D275/ncoc+IF(SUMSQ('TS-PILE'!$E$72:$E$91)=0,0,'TO HOP NLAN'!E275*'TS-PILE'!$E$88/SUMSQ('TS-PILE'!$E$72:$E$91))+IF(SUMSQ('TS-PILE'!$D$72:$D$91)=0,0,'TO HOP NLAN'!F275*'TS-PILE'!$D$88/SUMSQ('TS-PILE'!$D$72:$D$91))),IF('TS-PILE'!$B$89="",-1E+99,'TO HOP NLAN'!D275/ncoc+IF(SUMSQ('TS-PILE'!$E$72:$E$91)=0,0,'TO HOP NLAN'!E275*'TS-PILE'!$E$89/SUMSQ('TS-PILE'!$E$72:$E$91))+IF(SUMSQ('TS-PILE'!$D$72:$D$91)=0,0,'TO HOP NLAN'!F275*'TS-PILE'!$D$89/SUMSQ('TS-PILE'!$D$72:$D$91))),IF('TS-PILE'!$B$90="",-1E+99,'TO HOP NLAN'!D275/ncoc+IF(SUMSQ('TS-PILE'!$E$72:$E$91)=0,0,'TO HOP NLAN'!E275*'TS-PILE'!$E$90/SUMSQ('TS-PILE'!$E$72:$E$91))+IF(SUMSQ('TS-PILE'!$D$72:$D$91)=0,0,'TO HOP NLAN'!F275*'TS-PILE'!$D$90/SUMSQ('TS-PILE'!$D$72:$D$91))),IF('TS-PILE'!$B$91="",-1E+99,'TO HOP NLAN'!D275/ncoc+IF(SUMSQ('TS-PILE'!$E$72:$E$91)=0,0,'TO HOP NLAN'!E275*'TS-PILE'!$E$91/SUMSQ('TS-PILE'!$E$72:$E$91))+IF(SUMSQ('TS-PILE'!$D$72:$D$91)=0,0,'TO HOP NLAN'!F275*'TS-PILE'!$D$91/SUMSQ('TS-PILE'!$D$72:$D$91)))))</f>
        <v>0</v>
      </c>
      <c r="D275" s="58">
        <f>IF(A275="",0,MIN(IF('TS-PILE'!$B$72="",1E+99,'TO HOP NLAN'!D275/ncoc+IF(SUMSQ('TS-PILE'!$E$72:$E$91)=0,0,'TO HOP NLAN'!E275*'TS-PILE'!$E$72/SUMSQ('TS-PILE'!$E$72:$E$91))+IF(SUMSQ('TS-PILE'!$D$72:$D$91)=0,0,'TO HOP NLAN'!F275*'TS-PILE'!$D$72/SUMSQ('TS-PILE'!$D$72:$D$91))),IF('TS-PILE'!$B$73="",1E+99,'TO HOP NLAN'!D275/ncoc+IF(SUMSQ('TS-PILE'!$E$72:$E$91)=0,0,'TO HOP NLAN'!E275*'TS-PILE'!$E$73/SUMSQ('TS-PILE'!$E$72:$E$91))+IF(SUMSQ('TS-PILE'!$D$72:$D$91)=0,0,'TO HOP NLAN'!F275*'TS-PILE'!$D$73/SUMSQ('TS-PILE'!$D$72:$D$91))),IF('TS-PILE'!$B$74="",1E+99,'TO HOP NLAN'!D275/ncoc+IF(SUMSQ('TS-PILE'!$E$72:$E$91)=0,0,'TO HOP NLAN'!E275*'TS-PILE'!$E$74/SUMSQ('TS-PILE'!$E$72:$E$91))+IF(SUMSQ('TS-PILE'!$D$72:$D$91)=0,0,'TO HOP NLAN'!F275*'TS-PILE'!$D$74/SUMSQ('TS-PILE'!$D$72:$D$91))),IF('TS-PILE'!$B$75="",1E+99,'TO HOP NLAN'!D275/ncoc+IF(SUMSQ('TS-PILE'!$E$72:$E$91)=0,0,'TO HOP NLAN'!E275*'TS-PILE'!$E$75/SUMSQ('TS-PILE'!$E$72:$E$91))+IF(SUMSQ('TS-PILE'!$D$72:$D$91)=0,0,'TO HOP NLAN'!F275*'TS-PILE'!$D$75/SUMSQ('TS-PILE'!$D$72:$D$91))),IF('TS-PILE'!$B$76="",1E+99,'TO HOP NLAN'!D275/ncoc+IF(SUMSQ('TS-PILE'!$E$72:$E$91)=0,0,'TO HOP NLAN'!E275*'TS-PILE'!$E$76/SUMSQ('TS-PILE'!$E$72:$E$91))+IF(SUMSQ('TS-PILE'!$D$72:$D$91)=0,0,'TO HOP NLAN'!F275*'TS-PILE'!$D$76/SUMSQ('TS-PILE'!$D$72:$D$91))),IF('TS-PILE'!$B$77="",1E+99,'TO HOP NLAN'!D275/ncoc+IF(SUMSQ('TS-PILE'!$E$72:$E$91)=0,0,'TO HOP NLAN'!E275*'TS-PILE'!$E$77/SUMSQ('TS-PILE'!$E$72:$E$91))+IF(SUMSQ('TS-PILE'!$D$72:$D$91)=0,0,'TO HOP NLAN'!F275*'TS-PILE'!$D$77/SUMSQ('TS-PILE'!$D$72:$D$91))),IF('TS-PILE'!$B$78="",1E+99,'TO HOP NLAN'!D275/ncoc+IF(SUMSQ('TS-PILE'!$E$72:$E$91)=0,0,'TO HOP NLAN'!E275*'TS-PILE'!$E$78/SUMSQ('TS-PILE'!$E$72:$E$91))+IF(SUMSQ('TS-PILE'!$D$72:$D$91)=0,0,'TO HOP NLAN'!F275*'TS-PILE'!$D$78/SUMSQ('TS-PILE'!$D$72:$D$91))),IF('TS-PILE'!$B$79="",1E+99,'TO HOP NLAN'!D275/ncoc+IF(SUMSQ('TS-PILE'!$E$72:$E$91)=0,0,'TO HOP NLAN'!E275*'TS-PILE'!$E$79/SUMSQ('TS-PILE'!$E$72:$E$91))+IF(SUMSQ('TS-PILE'!$D$72:$D$91)=0,0,'TO HOP NLAN'!F275*'TS-PILE'!$D$79/SUMSQ('TS-PILE'!$D$72:$D$91))),IF('TS-PILE'!$B$80="",1E+99,'TO HOP NLAN'!D275/ncoc+IF(SUMSQ('TS-PILE'!$E$72:$E$91)=0,0,'TO HOP NLAN'!E275*'TS-PILE'!$E$80/SUMSQ('TS-PILE'!$E$72:$E$91))+IF(SUMSQ('TS-PILE'!$D$72:$D$91)=0,0,'TO HOP NLAN'!F275*'TS-PILE'!$D$80/SUMSQ('TS-PILE'!$D$72:$D$91))),IF('TS-PILE'!$B$81="",1E+99,'TO HOP NLAN'!D275/ncoc+IF(SUMSQ('TS-PILE'!$E$72:$E$91)=0,0,'TO HOP NLAN'!E275*'TS-PILE'!$E$81/SUMSQ('TS-PILE'!$E$72:$E$91))+IF(SUMSQ('TS-PILE'!$D$72:$D$91)=0,0,'TO HOP NLAN'!F275*'TS-PILE'!$D$81/SUMSQ('TS-PILE'!$D$72:$D$91))),IF('TS-PILE'!$B$82="",1E+99,'TO HOP NLAN'!D275/ncoc+IF(SUMSQ('TS-PILE'!$E$72:$E$91)=0,0,'TO HOP NLAN'!E275*'TS-PILE'!$E$82/SUMSQ('TS-PILE'!$E$72:$E$91))+IF(SUMSQ('TS-PILE'!$D$72:$D$91)=0,0,'TO HOP NLAN'!F275*'TS-PILE'!$D$82/SUMSQ('TS-PILE'!$D$72:$D$91))),IF('TS-PILE'!$B$83="",1E+99,'TO HOP NLAN'!D275/ncoc+IF(SUMSQ('TS-PILE'!$E$72:$E$91)=0,0,'TO HOP NLAN'!E275*'TS-PILE'!$E$83/SUMSQ('TS-PILE'!$E$72:$E$91))+IF(SUMSQ('TS-PILE'!$D$72:$D$91)=0,0,'TO HOP NLAN'!F275*'TS-PILE'!$D$83/SUMSQ('TS-PILE'!$D$72:$D$91))),IF('TS-PILE'!$B$84="",1E+99,'TO HOP NLAN'!D275/ncoc+IF(SUMSQ('TS-PILE'!$E$72:$E$91)=0,0,'TO HOP NLAN'!E275*'TS-PILE'!$E$84/SUMSQ('TS-PILE'!$E$72:$E$91))+IF(SUMSQ('TS-PILE'!$D$72:$D$91)=0,0,'TO HOP NLAN'!F275*'TS-PILE'!$D$84/SUMSQ('TS-PILE'!$D$72:$D$91))),IF('TS-PILE'!$B$85="",1E+99,'TO HOP NLAN'!D275/ncoc+IF(SUMSQ('TS-PILE'!$E$72:$E$91)=0,0,'TO HOP NLAN'!E275*'TS-PILE'!$E$85/SUMSQ('TS-PILE'!$E$72:$E$91))+IF(SUMSQ('TS-PILE'!$D$72:$D$91)=0,0,'TO HOP NLAN'!F275*'TS-PILE'!$D$85/SUMSQ('TS-PILE'!$D$72:$D$91))),IF('TS-PILE'!$B$86="",1E+99,'TO HOP NLAN'!D275/ncoc+IF(SUMSQ('TS-PILE'!$E$72:$E$91)=0,0,'TO HOP NLAN'!E275*'TS-PILE'!$E$86/SUMSQ('TS-PILE'!$E$72:$E$91))+IF(SUMSQ('TS-PILE'!$D$72:$D$91)=0,0,'TO HOP NLAN'!F275*'TS-PILE'!$D$86/SUMSQ('TS-PILE'!$D$72:$D$91))),IF('TS-PILE'!$B$87="",1E+99,'TO HOP NLAN'!D275/ncoc+IF(SUMSQ('TS-PILE'!$E$72:$E$91)=0,0,'TO HOP NLAN'!E275*'TS-PILE'!$E$87/SUMSQ('TS-PILE'!$E$72:$E$91))+IF(SUMSQ('TS-PILE'!$D$72:$D$91)=0,0,'TO HOP NLAN'!F275*'TS-PILE'!$D$87/SUMSQ('TS-PILE'!$D$72:$D$91))),IF('TS-PILE'!$B$88="",1E+99,'TO HOP NLAN'!D275/ncoc+IF(SUMSQ('TS-PILE'!$E$72:$E$91)=0,0,'TO HOP NLAN'!E275*'TS-PILE'!$E$88/SUMSQ('TS-PILE'!$E$72:$E$91))+IF(SUMSQ('TS-PILE'!$D$72:$D$91)=0,0,'TO HOP NLAN'!F275*'TS-PILE'!$D$88/SUMSQ('TS-PILE'!$D$72:$D$91))),IF('TS-PILE'!$B$89="",1E+99,'TO HOP NLAN'!D275/ncoc+IF(SUMSQ('TS-PILE'!$E$72:$E$91)=0,0,'TO HOP NLAN'!E275*'TS-PILE'!$E$89/SUMSQ('TS-PILE'!$E$72:$E$91))+IF(SUMSQ('TS-PILE'!$D$72:$D$91)=0,0,'TO HOP NLAN'!F275*'TS-PILE'!$D$89/SUMSQ('TS-PILE'!$D$72:$D$91))),IF('TS-PILE'!$B$90="",1E+99,'TO HOP NLAN'!D275/ncoc+IF(SUMSQ('TS-PILE'!$E$72:$E$91)=0,0,'TO HOP NLAN'!E275*'TS-PILE'!$E$90/SUMSQ('TS-PILE'!$E$72:$E$91))+IF(SUMSQ('TS-PILE'!$D$72:$D$91)=0,0,'TO HOP NLAN'!F275*'TS-PILE'!$D$90/SUMSQ('TS-PILE'!$D$72:$D$91))),IF('TS-PILE'!$B$91="",1E+99,'TO HOP NLAN'!D275/ncoc+IF(SUMSQ('TS-PILE'!$E$72:$E$91)=0,0,'TO HOP NLAN'!E275*'TS-PILE'!$E$91/SUMSQ('TS-PILE'!$E$72:$E$91))+IF(SUMSQ('TS-PILE'!$D$72:$D$91)=0,0,'TO HOP NLAN'!F275*'TS-PILE'!$D$91/SUMSQ('TS-PILE'!$D$72:$D$91)))))</f>
        <v>0</v>
      </c>
      <c r="E275" s="58">
        <f t="shared" si="16"/>
        <v>-9.9999999999999997E+98</v>
      </c>
      <c r="F275" s="58">
        <f t="shared" si="17"/>
        <v>9.9999999999999997E+98</v>
      </c>
      <c r="G275" s="58">
        <f t="shared" si="18"/>
        <v>-9.9999999999999997E+98</v>
      </c>
      <c r="H275" s="58">
        <f t="shared" si="19"/>
        <v>9.9999999999999997E+98</v>
      </c>
    </row>
    <row r="276" spans="1:8" x14ac:dyDescent="0.3">
      <c r="A276" s="42" t="str">
        <f>'TO HOP NLAN'!A276</f>
        <v/>
      </c>
      <c r="B276" s="42" t="str">
        <f>'TO HOP NLAN'!L276</f>
        <v>STRENGTH</v>
      </c>
      <c r="C276" s="58">
        <f>IF(A276="",0,MAX(IF('TS-PILE'!$B$72="",-1E+99,'TO HOP NLAN'!D276/ncoc+IF(SUMSQ('TS-PILE'!$E$72:$E$91)=0,0,'TO HOP NLAN'!E276*'TS-PILE'!$E$72/SUMSQ('TS-PILE'!$E$72:$E$91))+IF(SUMSQ('TS-PILE'!$D$72:$D$91)=0,0,'TO HOP NLAN'!F276*'TS-PILE'!$D$72/SUMSQ('TS-PILE'!$D$72:$D$91))),IF('TS-PILE'!$B$73="",-1E+99,'TO HOP NLAN'!D276/ncoc+IF(SUMSQ('TS-PILE'!$E$72:$E$91)=0,0,'TO HOP NLAN'!E276*'TS-PILE'!$E$73/SUMSQ('TS-PILE'!$E$72:$E$91))+IF(SUMSQ('TS-PILE'!$D$72:$D$91)=0,0,'TO HOP NLAN'!F276*'TS-PILE'!$D$73/SUMSQ('TS-PILE'!$D$72:$D$91))),IF('TS-PILE'!$B$74="",-1E+99,'TO HOP NLAN'!D276/ncoc+IF(SUMSQ('TS-PILE'!$E$72:$E$91)=0,0,'TO HOP NLAN'!E276*'TS-PILE'!$E$74/SUMSQ('TS-PILE'!$E$72:$E$91))+IF(SUMSQ('TS-PILE'!$D$72:$D$91)=0,0,'TO HOP NLAN'!F276*'TS-PILE'!$D$74/SUMSQ('TS-PILE'!$D$72:$D$91))),IF('TS-PILE'!$B$75="",-1E+99,'TO HOP NLAN'!D276/ncoc+IF(SUMSQ('TS-PILE'!$E$72:$E$91)=0,0,'TO HOP NLAN'!E276*'TS-PILE'!$E$75/SUMSQ('TS-PILE'!$E$72:$E$91))+IF(SUMSQ('TS-PILE'!$D$72:$D$91)=0,0,'TO HOP NLAN'!F276*'TS-PILE'!$D$75/SUMSQ('TS-PILE'!$D$72:$D$91))),IF('TS-PILE'!$B$76="",-1E+99,'TO HOP NLAN'!D276/ncoc+IF(SUMSQ('TS-PILE'!$E$72:$E$91)=0,0,'TO HOP NLAN'!E276*'TS-PILE'!$E$76/SUMSQ('TS-PILE'!$E$72:$E$91))+IF(SUMSQ('TS-PILE'!$D$72:$D$91)=0,0,'TO HOP NLAN'!F276*'TS-PILE'!$D$76/SUMSQ('TS-PILE'!$D$72:$D$91))),IF('TS-PILE'!$B$77="",-1E+99,'TO HOP NLAN'!D276/ncoc+IF(SUMSQ('TS-PILE'!$E$72:$E$91)=0,0,'TO HOP NLAN'!E276*'TS-PILE'!$E$77/SUMSQ('TS-PILE'!$E$72:$E$91))+IF(SUMSQ('TS-PILE'!$D$72:$D$91)=0,0,'TO HOP NLAN'!F276*'TS-PILE'!$D$77/SUMSQ('TS-PILE'!$D$72:$D$91))),IF('TS-PILE'!$B$78="",-1E+99,'TO HOP NLAN'!D276/ncoc+IF(SUMSQ('TS-PILE'!$E$72:$E$91)=0,0,'TO HOP NLAN'!E276*'TS-PILE'!$E$78/SUMSQ('TS-PILE'!$E$72:$E$91))+IF(SUMSQ('TS-PILE'!$D$72:$D$91)=0,0,'TO HOP NLAN'!F276*'TS-PILE'!$D$78/SUMSQ('TS-PILE'!$D$72:$D$91))),IF('TS-PILE'!$B$79="",-1E+99,'TO HOP NLAN'!D276/ncoc+IF(SUMSQ('TS-PILE'!$E$72:$E$91)=0,0,'TO HOP NLAN'!E276*'TS-PILE'!$E$79/SUMSQ('TS-PILE'!$E$72:$E$91))+IF(SUMSQ('TS-PILE'!$D$72:$D$91)=0,0,'TO HOP NLAN'!F276*'TS-PILE'!$D$79/SUMSQ('TS-PILE'!$D$72:$D$91))),IF('TS-PILE'!$B$80="",-1E+99,'TO HOP NLAN'!D276/ncoc+IF(SUMSQ('TS-PILE'!$E$72:$E$91)=0,0,'TO HOP NLAN'!E276*'TS-PILE'!$E$80/SUMSQ('TS-PILE'!$E$72:$E$91))+IF(SUMSQ('TS-PILE'!$D$72:$D$91)=0,0,'TO HOP NLAN'!F276*'TS-PILE'!$D$80/SUMSQ('TS-PILE'!$D$72:$D$91))),IF('TS-PILE'!$B$81="",-1E+99,'TO HOP NLAN'!D276/ncoc+IF(SUMSQ('TS-PILE'!$E$72:$E$91)=0,0,'TO HOP NLAN'!E276*'TS-PILE'!$E$81/SUMSQ('TS-PILE'!$E$72:$E$91))+IF(SUMSQ('TS-PILE'!$D$72:$D$91)=0,0,'TO HOP NLAN'!F276*'TS-PILE'!$D$81/SUMSQ('TS-PILE'!$D$72:$D$91))),IF('TS-PILE'!$B$82="",-1E+99,'TO HOP NLAN'!D276/ncoc+IF(SUMSQ('TS-PILE'!$E$72:$E$91)=0,0,'TO HOP NLAN'!E276*'TS-PILE'!$E$82/SUMSQ('TS-PILE'!$E$72:$E$91))+IF(SUMSQ('TS-PILE'!$D$72:$D$91)=0,0,'TO HOP NLAN'!F276*'TS-PILE'!$D$82/SUMSQ('TS-PILE'!$D$72:$D$91))),IF('TS-PILE'!$B$83="",-1E+99,'TO HOP NLAN'!D276/ncoc+IF(SUMSQ('TS-PILE'!$E$72:$E$91)=0,0,'TO HOP NLAN'!E276*'TS-PILE'!$E$83/SUMSQ('TS-PILE'!$E$72:$E$91))+IF(SUMSQ('TS-PILE'!$D$72:$D$91)=0,0,'TO HOP NLAN'!F276*'TS-PILE'!$D$83/SUMSQ('TS-PILE'!$D$72:$D$91))),IF('TS-PILE'!$B$84="",-1E+99,'TO HOP NLAN'!D276/ncoc+IF(SUMSQ('TS-PILE'!$E$72:$E$91)=0,0,'TO HOP NLAN'!E276*'TS-PILE'!$E$84/SUMSQ('TS-PILE'!$E$72:$E$91))+IF(SUMSQ('TS-PILE'!$D$72:$D$91)=0,0,'TO HOP NLAN'!F276*'TS-PILE'!$D$84/SUMSQ('TS-PILE'!$D$72:$D$91))),IF('TS-PILE'!$B$85="",-1E+99,'TO HOP NLAN'!D276/ncoc+IF(SUMSQ('TS-PILE'!$E$72:$E$91)=0,0,'TO HOP NLAN'!E276*'TS-PILE'!$E$85/SUMSQ('TS-PILE'!$E$72:$E$91))+IF(SUMSQ('TS-PILE'!$D$72:$D$91)=0,0,'TO HOP NLAN'!F276*'TS-PILE'!$D$85/SUMSQ('TS-PILE'!$D$72:$D$91))),IF('TS-PILE'!$B$86="",-1E+99,'TO HOP NLAN'!D276/ncoc+IF(SUMSQ('TS-PILE'!$E$72:$E$91)=0,0,'TO HOP NLAN'!E276*'TS-PILE'!$E$86/SUMSQ('TS-PILE'!$E$72:$E$91))+IF(SUMSQ('TS-PILE'!$D$72:$D$91)=0,0,'TO HOP NLAN'!F276*'TS-PILE'!$D$86/SUMSQ('TS-PILE'!$D$72:$D$91))),IF('TS-PILE'!$B$87="",-1E+99,'TO HOP NLAN'!D276/ncoc+IF(SUMSQ('TS-PILE'!$E$72:$E$91)=0,0,'TO HOP NLAN'!E276*'TS-PILE'!$E$87/SUMSQ('TS-PILE'!$E$72:$E$91))+IF(SUMSQ('TS-PILE'!$D$72:$D$91)=0,0,'TO HOP NLAN'!F276*'TS-PILE'!$D$87/SUMSQ('TS-PILE'!$D$72:$D$91))),IF('TS-PILE'!$B$88="",-1E+99,'TO HOP NLAN'!D276/ncoc+IF(SUMSQ('TS-PILE'!$E$72:$E$91)=0,0,'TO HOP NLAN'!E276*'TS-PILE'!$E$88/SUMSQ('TS-PILE'!$E$72:$E$91))+IF(SUMSQ('TS-PILE'!$D$72:$D$91)=0,0,'TO HOP NLAN'!F276*'TS-PILE'!$D$88/SUMSQ('TS-PILE'!$D$72:$D$91))),IF('TS-PILE'!$B$89="",-1E+99,'TO HOP NLAN'!D276/ncoc+IF(SUMSQ('TS-PILE'!$E$72:$E$91)=0,0,'TO HOP NLAN'!E276*'TS-PILE'!$E$89/SUMSQ('TS-PILE'!$E$72:$E$91))+IF(SUMSQ('TS-PILE'!$D$72:$D$91)=0,0,'TO HOP NLAN'!F276*'TS-PILE'!$D$89/SUMSQ('TS-PILE'!$D$72:$D$91))),IF('TS-PILE'!$B$90="",-1E+99,'TO HOP NLAN'!D276/ncoc+IF(SUMSQ('TS-PILE'!$E$72:$E$91)=0,0,'TO HOP NLAN'!E276*'TS-PILE'!$E$90/SUMSQ('TS-PILE'!$E$72:$E$91))+IF(SUMSQ('TS-PILE'!$D$72:$D$91)=0,0,'TO HOP NLAN'!F276*'TS-PILE'!$D$90/SUMSQ('TS-PILE'!$D$72:$D$91))),IF('TS-PILE'!$B$91="",-1E+99,'TO HOP NLAN'!D276/ncoc+IF(SUMSQ('TS-PILE'!$E$72:$E$91)=0,0,'TO HOP NLAN'!E276*'TS-PILE'!$E$91/SUMSQ('TS-PILE'!$E$72:$E$91))+IF(SUMSQ('TS-PILE'!$D$72:$D$91)=0,0,'TO HOP NLAN'!F276*'TS-PILE'!$D$91/SUMSQ('TS-PILE'!$D$72:$D$91)))))</f>
        <v>0</v>
      </c>
      <c r="D276" s="58">
        <f>IF(A276="",0,MIN(IF('TS-PILE'!$B$72="",1E+99,'TO HOP NLAN'!D276/ncoc+IF(SUMSQ('TS-PILE'!$E$72:$E$91)=0,0,'TO HOP NLAN'!E276*'TS-PILE'!$E$72/SUMSQ('TS-PILE'!$E$72:$E$91))+IF(SUMSQ('TS-PILE'!$D$72:$D$91)=0,0,'TO HOP NLAN'!F276*'TS-PILE'!$D$72/SUMSQ('TS-PILE'!$D$72:$D$91))),IF('TS-PILE'!$B$73="",1E+99,'TO HOP NLAN'!D276/ncoc+IF(SUMSQ('TS-PILE'!$E$72:$E$91)=0,0,'TO HOP NLAN'!E276*'TS-PILE'!$E$73/SUMSQ('TS-PILE'!$E$72:$E$91))+IF(SUMSQ('TS-PILE'!$D$72:$D$91)=0,0,'TO HOP NLAN'!F276*'TS-PILE'!$D$73/SUMSQ('TS-PILE'!$D$72:$D$91))),IF('TS-PILE'!$B$74="",1E+99,'TO HOP NLAN'!D276/ncoc+IF(SUMSQ('TS-PILE'!$E$72:$E$91)=0,0,'TO HOP NLAN'!E276*'TS-PILE'!$E$74/SUMSQ('TS-PILE'!$E$72:$E$91))+IF(SUMSQ('TS-PILE'!$D$72:$D$91)=0,0,'TO HOP NLAN'!F276*'TS-PILE'!$D$74/SUMSQ('TS-PILE'!$D$72:$D$91))),IF('TS-PILE'!$B$75="",1E+99,'TO HOP NLAN'!D276/ncoc+IF(SUMSQ('TS-PILE'!$E$72:$E$91)=0,0,'TO HOP NLAN'!E276*'TS-PILE'!$E$75/SUMSQ('TS-PILE'!$E$72:$E$91))+IF(SUMSQ('TS-PILE'!$D$72:$D$91)=0,0,'TO HOP NLAN'!F276*'TS-PILE'!$D$75/SUMSQ('TS-PILE'!$D$72:$D$91))),IF('TS-PILE'!$B$76="",1E+99,'TO HOP NLAN'!D276/ncoc+IF(SUMSQ('TS-PILE'!$E$72:$E$91)=0,0,'TO HOP NLAN'!E276*'TS-PILE'!$E$76/SUMSQ('TS-PILE'!$E$72:$E$91))+IF(SUMSQ('TS-PILE'!$D$72:$D$91)=0,0,'TO HOP NLAN'!F276*'TS-PILE'!$D$76/SUMSQ('TS-PILE'!$D$72:$D$91))),IF('TS-PILE'!$B$77="",1E+99,'TO HOP NLAN'!D276/ncoc+IF(SUMSQ('TS-PILE'!$E$72:$E$91)=0,0,'TO HOP NLAN'!E276*'TS-PILE'!$E$77/SUMSQ('TS-PILE'!$E$72:$E$91))+IF(SUMSQ('TS-PILE'!$D$72:$D$91)=0,0,'TO HOP NLAN'!F276*'TS-PILE'!$D$77/SUMSQ('TS-PILE'!$D$72:$D$91))),IF('TS-PILE'!$B$78="",1E+99,'TO HOP NLAN'!D276/ncoc+IF(SUMSQ('TS-PILE'!$E$72:$E$91)=0,0,'TO HOP NLAN'!E276*'TS-PILE'!$E$78/SUMSQ('TS-PILE'!$E$72:$E$91))+IF(SUMSQ('TS-PILE'!$D$72:$D$91)=0,0,'TO HOP NLAN'!F276*'TS-PILE'!$D$78/SUMSQ('TS-PILE'!$D$72:$D$91))),IF('TS-PILE'!$B$79="",1E+99,'TO HOP NLAN'!D276/ncoc+IF(SUMSQ('TS-PILE'!$E$72:$E$91)=0,0,'TO HOP NLAN'!E276*'TS-PILE'!$E$79/SUMSQ('TS-PILE'!$E$72:$E$91))+IF(SUMSQ('TS-PILE'!$D$72:$D$91)=0,0,'TO HOP NLAN'!F276*'TS-PILE'!$D$79/SUMSQ('TS-PILE'!$D$72:$D$91))),IF('TS-PILE'!$B$80="",1E+99,'TO HOP NLAN'!D276/ncoc+IF(SUMSQ('TS-PILE'!$E$72:$E$91)=0,0,'TO HOP NLAN'!E276*'TS-PILE'!$E$80/SUMSQ('TS-PILE'!$E$72:$E$91))+IF(SUMSQ('TS-PILE'!$D$72:$D$91)=0,0,'TO HOP NLAN'!F276*'TS-PILE'!$D$80/SUMSQ('TS-PILE'!$D$72:$D$91))),IF('TS-PILE'!$B$81="",1E+99,'TO HOP NLAN'!D276/ncoc+IF(SUMSQ('TS-PILE'!$E$72:$E$91)=0,0,'TO HOP NLAN'!E276*'TS-PILE'!$E$81/SUMSQ('TS-PILE'!$E$72:$E$91))+IF(SUMSQ('TS-PILE'!$D$72:$D$91)=0,0,'TO HOP NLAN'!F276*'TS-PILE'!$D$81/SUMSQ('TS-PILE'!$D$72:$D$91))),IF('TS-PILE'!$B$82="",1E+99,'TO HOP NLAN'!D276/ncoc+IF(SUMSQ('TS-PILE'!$E$72:$E$91)=0,0,'TO HOP NLAN'!E276*'TS-PILE'!$E$82/SUMSQ('TS-PILE'!$E$72:$E$91))+IF(SUMSQ('TS-PILE'!$D$72:$D$91)=0,0,'TO HOP NLAN'!F276*'TS-PILE'!$D$82/SUMSQ('TS-PILE'!$D$72:$D$91))),IF('TS-PILE'!$B$83="",1E+99,'TO HOP NLAN'!D276/ncoc+IF(SUMSQ('TS-PILE'!$E$72:$E$91)=0,0,'TO HOP NLAN'!E276*'TS-PILE'!$E$83/SUMSQ('TS-PILE'!$E$72:$E$91))+IF(SUMSQ('TS-PILE'!$D$72:$D$91)=0,0,'TO HOP NLAN'!F276*'TS-PILE'!$D$83/SUMSQ('TS-PILE'!$D$72:$D$91))),IF('TS-PILE'!$B$84="",1E+99,'TO HOP NLAN'!D276/ncoc+IF(SUMSQ('TS-PILE'!$E$72:$E$91)=0,0,'TO HOP NLAN'!E276*'TS-PILE'!$E$84/SUMSQ('TS-PILE'!$E$72:$E$91))+IF(SUMSQ('TS-PILE'!$D$72:$D$91)=0,0,'TO HOP NLAN'!F276*'TS-PILE'!$D$84/SUMSQ('TS-PILE'!$D$72:$D$91))),IF('TS-PILE'!$B$85="",1E+99,'TO HOP NLAN'!D276/ncoc+IF(SUMSQ('TS-PILE'!$E$72:$E$91)=0,0,'TO HOP NLAN'!E276*'TS-PILE'!$E$85/SUMSQ('TS-PILE'!$E$72:$E$91))+IF(SUMSQ('TS-PILE'!$D$72:$D$91)=0,0,'TO HOP NLAN'!F276*'TS-PILE'!$D$85/SUMSQ('TS-PILE'!$D$72:$D$91))),IF('TS-PILE'!$B$86="",1E+99,'TO HOP NLAN'!D276/ncoc+IF(SUMSQ('TS-PILE'!$E$72:$E$91)=0,0,'TO HOP NLAN'!E276*'TS-PILE'!$E$86/SUMSQ('TS-PILE'!$E$72:$E$91))+IF(SUMSQ('TS-PILE'!$D$72:$D$91)=0,0,'TO HOP NLAN'!F276*'TS-PILE'!$D$86/SUMSQ('TS-PILE'!$D$72:$D$91))),IF('TS-PILE'!$B$87="",1E+99,'TO HOP NLAN'!D276/ncoc+IF(SUMSQ('TS-PILE'!$E$72:$E$91)=0,0,'TO HOP NLAN'!E276*'TS-PILE'!$E$87/SUMSQ('TS-PILE'!$E$72:$E$91))+IF(SUMSQ('TS-PILE'!$D$72:$D$91)=0,0,'TO HOP NLAN'!F276*'TS-PILE'!$D$87/SUMSQ('TS-PILE'!$D$72:$D$91))),IF('TS-PILE'!$B$88="",1E+99,'TO HOP NLAN'!D276/ncoc+IF(SUMSQ('TS-PILE'!$E$72:$E$91)=0,0,'TO HOP NLAN'!E276*'TS-PILE'!$E$88/SUMSQ('TS-PILE'!$E$72:$E$91))+IF(SUMSQ('TS-PILE'!$D$72:$D$91)=0,0,'TO HOP NLAN'!F276*'TS-PILE'!$D$88/SUMSQ('TS-PILE'!$D$72:$D$91))),IF('TS-PILE'!$B$89="",1E+99,'TO HOP NLAN'!D276/ncoc+IF(SUMSQ('TS-PILE'!$E$72:$E$91)=0,0,'TO HOP NLAN'!E276*'TS-PILE'!$E$89/SUMSQ('TS-PILE'!$E$72:$E$91))+IF(SUMSQ('TS-PILE'!$D$72:$D$91)=0,0,'TO HOP NLAN'!F276*'TS-PILE'!$D$89/SUMSQ('TS-PILE'!$D$72:$D$91))),IF('TS-PILE'!$B$90="",1E+99,'TO HOP NLAN'!D276/ncoc+IF(SUMSQ('TS-PILE'!$E$72:$E$91)=0,0,'TO HOP NLAN'!E276*'TS-PILE'!$E$90/SUMSQ('TS-PILE'!$E$72:$E$91))+IF(SUMSQ('TS-PILE'!$D$72:$D$91)=0,0,'TO HOP NLAN'!F276*'TS-PILE'!$D$90/SUMSQ('TS-PILE'!$D$72:$D$91))),IF('TS-PILE'!$B$91="",1E+99,'TO HOP NLAN'!D276/ncoc+IF(SUMSQ('TS-PILE'!$E$72:$E$91)=0,0,'TO HOP NLAN'!E276*'TS-PILE'!$E$91/SUMSQ('TS-PILE'!$E$72:$E$91))+IF(SUMSQ('TS-PILE'!$D$72:$D$91)=0,0,'TO HOP NLAN'!F276*'TS-PILE'!$D$91/SUMSQ('TS-PILE'!$D$72:$D$91)))))</f>
        <v>0</v>
      </c>
      <c r="E276" s="58">
        <f t="shared" si="16"/>
        <v>-9.9999999999999997E+98</v>
      </c>
      <c r="F276" s="58">
        <f t="shared" si="17"/>
        <v>9.9999999999999997E+98</v>
      </c>
      <c r="G276" s="58">
        <f t="shared" si="18"/>
        <v>-9.9999999999999997E+98</v>
      </c>
      <c r="H276" s="58">
        <f t="shared" si="19"/>
        <v>9.9999999999999997E+98</v>
      </c>
    </row>
    <row r="277" spans="1:8" x14ac:dyDescent="0.3">
      <c r="A277" s="42" t="str">
        <f>'TO HOP NLAN'!A277</f>
        <v/>
      </c>
      <c r="B277" s="42" t="str">
        <f>'TO HOP NLAN'!L277</f>
        <v>STRENGTH</v>
      </c>
      <c r="C277" s="58">
        <f>IF(A277="",0,MAX(IF('TS-PILE'!$B$72="",-1E+99,'TO HOP NLAN'!D277/ncoc+IF(SUMSQ('TS-PILE'!$E$72:$E$91)=0,0,'TO HOP NLAN'!E277*'TS-PILE'!$E$72/SUMSQ('TS-PILE'!$E$72:$E$91))+IF(SUMSQ('TS-PILE'!$D$72:$D$91)=0,0,'TO HOP NLAN'!F277*'TS-PILE'!$D$72/SUMSQ('TS-PILE'!$D$72:$D$91))),IF('TS-PILE'!$B$73="",-1E+99,'TO HOP NLAN'!D277/ncoc+IF(SUMSQ('TS-PILE'!$E$72:$E$91)=0,0,'TO HOP NLAN'!E277*'TS-PILE'!$E$73/SUMSQ('TS-PILE'!$E$72:$E$91))+IF(SUMSQ('TS-PILE'!$D$72:$D$91)=0,0,'TO HOP NLAN'!F277*'TS-PILE'!$D$73/SUMSQ('TS-PILE'!$D$72:$D$91))),IF('TS-PILE'!$B$74="",-1E+99,'TO HOP NLAN'!D277/ncoc+IF(SUMSQ('TS-PILE'!$E$72:$E$91)=0,0,'TO HOP NLAN'!E277*'TS-PILE'!$E$74/SUMSQ('TS-PILE'!$E$72:$E$91))+IF(SUMSQ('TS-PILE'!$D$72:$D$91)=0,0,'TO HOP NLAN'!F277*'TS-PILE'!$D$74/SUMSQ('TS-PILE'!$D$72:$D$91))),IF('TS-PILE'!$B$75="",-1E+99,'TO HOP NLAN'!D277/ncoc+IF(SUMSQ('TS-PILE'!$E$72:$E$91)=0,0,'TO HOP NLAN'!E277*'TS-PILE'!$E$75/SUMSQ('TS-PILE'!$E$72:$E$91))+IF(SUMSQ('TS-PILE'!$D$72:$D$91)=0,0,'TO HOP NLAN'!F277*'TS-PILE'!$D$75/SUMSQ('TS-PILE'!$D$72:$D$91))),IF('TS-PILE'!$B$76="",-1E+99,'TO HOP NLAN'!D277/ncoc+IF(SUMSQ('TS-PILE'!$E$72:$E$91)=0,0,'TO HOP NLAN'!E277*'TS-PILE'!$E$76/SUMSQ('TS-PILE'!$E$72:$E$91))+IF(SUMSQ('TS-PILE'!$D$72:$D$91)=0,0,'TO HOP NLAN'!F277*'TS-PILE'!$D$76/SUMSQ('TS-PILE'!$D$72:$D$91))),IF('TS-PILE'!$B$77="",-1E+99,'TO HOP NLAN'!D277/ncoc+IF(SUMSQ('TS-PILE'!$E$72:$E$91)=0,0,'TO HOP NLAN'!E277*'TS-PILE'!$E$77/SUMSQ('TS-PILE'!$E$72:$E$91))+IF(SUMSQ('TS-PILE'!$D$72:$D$91)=0,0,'TO HOP NLAN'!F277*'TS-PILE'!$D$77/SUMSQ('TS-PILE'!$D$72:$D$91))),IF('TS-PILE'!$B$78="",-1E+99,'TO HOP NLAN'!D277/ncoc+IF(SUMSQ('TS-PILE'!$E$72:$E$91)=0,0,'TO HOP NLAN'!E277*'TS-PILE'!$E$78/SUMSQ('TS-PILE'!$E$72:$E$91))+IF(SUMSQ('TS-PILE'!$D$72:$D$91)=0,0,'TO HOP NLAN'!F277*'TS-PILE'!$D$78/SUMSQ('TS-PILE'!$D$72:$D$91))),IF('TS-PILE'!$B$79="",-1E+99,'TO HOP NLAN'!D277/ncoc+IF(SUMSQ('TS-PILE'!$E$72:$E$91)=0,0,'TO HOP NLAN'!E277*'TS-PILE'!$E$79/SUMSQ('TS-PILE'!$E$72:$E$91))+IF(SUMSQ('TS-PILE'!$D$72:$D$91)=0,0,'TO HOP NLAN'!F277*'TS-PILE'!$D$79/SUMSQ('TS-PILE'!$D$72:$D$91))),IF('TS-PILE'!$B$80="",-1E+99,'TO HOP NLAN'!D277/ncoc+IF(SUMSQ('TS-PILE'!$E$72:$E$91)=0,0,'TO HOP NLAN'!E277*'TS-PILE'!$E$80/SUMSQ('TS-PILE'!$E$72:$E$91))+IF(SUMSQ('TS-PILE'!$D$72:$D$91)=0,0,'TO HOP NLAN'!F277*'TS-PILE'!$D$80/SUMSQ('TS-PILE'!$D$72:$D$91))),IF('TS-PILE'!$B$81="",-1E+99,'TO HOP NLAN'!D277/ncoc+IF(SUMSQ('TS-PILE'!$E$72:$E$91)=0,0,'TO HOP NLAN'!E277*'TS-PILE'!$E$81/SUMSQ('TS-PILE'!$E$72:$E$91))+IF(SUMSQ('TS-PILE'!$D$72:$D$91)=0,0,'TO HOP NLAN'!F277*'TS-PILE'!$D$81/SUMSQ('TS-PILE'!$D$72:$D$91))),IF('TS-PILE'!$B$82="",-1E+99,'TO HOP NLAN'!D277/ncoc+IF(SUMSQ('TS-PILE'!$E$72:$E$91)=0,0,'TO HOP NLAN'!E277*'TS-PILE'!$E$82/SUMSQ('TS-PILE'!$E$72:$E$91))+IF(SUMSQ('TS-PILE'!$D$72:$D$91)=0,0,'TO HOP NLAN'!F277*'TS-PILE'!$D$82/SUMSQ('TS-PILE'!$D$72:$D$91))),IF('TS-PILE'!$B$83="",-1E+99,'TO HOP NLAN'!D277/ncoc+IF(SUMSQ('TS-PILE'!$E$72:$E$91)=0,0,'TO HOP NLAN'!E277*'TS-PILE'!$E$83/SUMSQ('TS-PILE'!$E$72:$E$91))+IF(SUMSQ('TS-PILE'!$D$72:$D$91)=0,0,'TO HOP NLAN'!F277*'TS-PILE'!$D$83/SUMSQ('TS-PILE'!$D$72:$D$91))),IF('TS-PILE'!$B$84="",-1E+99,'TO HOP NLAN'!D277/ncoc+IF(SUMSQ('TS-PILE'!$E$72:$E$91)=0,0,'TO HOP NLAN'!E277*'TS-PILE'!$E$84/SUMSQ('TS-PILE'!$E$72:$E$91))+IF(SUMSQ('TS-PILE'!$D$72:$D$91)=0,0,'TO HOP NLAN'!F277*'TS-PILE'!$D$84/SUMSQ('TS-PILE'!$D$72:$D$91))),IF('TS-PILE'!$B$85="",-1E+99,'TO HOP NLAN'!D277/ncoc+IF(SUMSQ('TS-PILE'!$E$72:$E$91)=0,0,'TO HOP NLAN'!E277*'TS-PILE'!$E$85/SUMSQ('TS-PILE'!$E$72:$E$91))+IF(SUMSQ('TS-PILE'!$D$72:$D$91)=0,0,'TO HOP NLAN'!F277*'TS-PILE'!$D$85/SUMSQ('TS-PILE'!$D$72:$D$91))),IF('TS-PILE'!$B$86="",-1E+99,'TO HOP NLAN'!D277/ncoc+IF(SUMSQ('TS-PILE'!$E$72:$E$91)=0,0,'TO HOP NLAN'!E277*'TS-PILE'!$E$86/SUMSQ('TS-PILE'!$E$72:$E$91))+IF(SUMSQ('TS-PILE'!$D$72:$D$91)=0,0,'TO HOP NLAN'!F277*'TS-PILE'!$D$86/SUMSQ('TS-PILE'!$D$72:$D$91))),IF('TS-PILE'!$B$87="",-1E+99,'TO HOP NLAN'!D277/ncoc+IF(SUMSQ('TS-PILE'!$E$72:$E$91)=0,0,'TO HOP NLAN'!E277*'TS-PILE'!$E$87/SUMSQ('TS-PILE'!$E$72:$E$91))+IF(SUMSQ('TS-PILE'!$D$72:$D$91)=0,0,'TO HOP NLAN'!F277*'TS-PILE'!$D$87/SUMSQ('TS-PILE'!$D$72:$D$91))),IF('TS-PILE'!$B$88="",-1E+99,'TO HOP NLAN'!D277/ncoc+IF(SUMSQ('TS-PILE'!$E$72:$E$91)=0,0,'TO HOP NLAN'!E277*'TS-PILE'!$E$88/SUMSQ('TS-PILE'!$E$72:$E$91))+IF(SUMSQ('TS-PILE'!$D$72:$D$91)=0,0,'TO HOP NLAN'!F277*'TS-PILE'!$D$88/SUMSQ('TS-PILE'!$D$72:$D$91))),IF('TS-PILE'!$B$89="",-1E+99,'TO HOP NLAN'!D277/ncoc+IF(SUMSQ('TS-PILE'!$E$72:$E$91)=0,0,'TO HOP NLAN'!E277*'TS-PILE'!$E$89/SUMSQ('TS-PILE'!$E$72:$E$91))+IF(SUMSQ('TS-PILE'!$D$72:$D$91)=0,0,'TO HOP NLAN'!F277*'TS-PILE'!$D$89/SUMSQ('TS-PILE'!$D$72:$D$91))),IF('TS-PILE'!$B$90="",-1E+99,'TO HOP NLAN'!D277/ncoc+IF(SUMSQ('TS-PILE'!$E$72:$E$91)=0,0,'TO HOP NLAN'!E277*'TS-PILE'!$E$90/SUMSQ('TS-PILE'!$E$72:$E$91))+IF(SUMSQ('TS-PILE'!$D$72:$D$91)=0,0,'TO HOP NLAN'!F277*'TS-PILE'!$D$90/SUMSQ('TS-PILE'!$D$72:$D$91))),IF('TS-PILE'!$B$91="",-1E+99,'TO HOP NLAN'!D277/ncoc+IF(SUMSQ('TS-PILE'!$E$72:$E$91)=0,0,'TO HOP NLAN'!E277*'TS-PILE'!$E$91/SUMSQ('TS-PILE'!$E$72:$E$91))+IF(SUMSQ('TS-PILE'!$D$72:$D$91)=0,0,'TO HOP NLAN'!F277*'TS-PILE'!$D$91/SUMSQ('TS-PILE'!$D$72:$D$91)))))</f>
        <v>0</v>
      </c>
      <c r="D277" s="58">
        <f>IF(A277="",0,MIN(IF('TS-PILE'!$B$72="",1E+99,'TO HOP NLAN'!D277/ncoc+IF(SUMSQ('TS-PILE'!$E$72:$E$91)=0,0,'TO HOP NLAN'!E277*'TS-PILE'!$E$72/SUMSQ('TS-PILE'!$E$72:$E$91))+IF(SUMSQ('TS-PILE'!$D$72:$D$91)=0,0,'TO HOP NLAN'!F277*'TS-PILE'!$D$72/SUMSQ('TS-PILE'!$D$72:$D$91))),IF('TS-PILE'!$B$73="",1E+99,'TO HOP NLAN'!D277/ncoc+IF(SUMSQ('TS-PILE'!$E$72:$E$91)=0,0,'TO HOP NLAN'!E277*'TS-PILE'!$E$73/SUMSQ('TS-PILE'!$E$72:$E$91))+IF(SUMSQ('TS-PILE'!$D$72:$D$91)=0,0,'TO HOP NLAN'!F277*'TS-PILE'!$D$73/SUMSQ('TS-PILE'!$D$72:$D$91))),IF('TS-PILE'!$B$74="",1E+99,'TO HOP NLAN'!D277/ncoc+IF(SUMSQ('TS-PILE'!$E$72:$E$91)=0,0,'TO HOP NLAN'!E277*'TS-PILE'!$E$74/SUMSQ('TS-PILE'!$E$72:$E$91))+IF(SUMSQ('TS-PILE'!$D$72:$D$91)=0,0,'TO HOP NLAN'!F277*'TS-PILE'!$D$74/SUMSQ('TS-PILE'!$D$72:$D$91))),IF('TS-PILE'!$B$75="",1E+99,'TO HOP NLAN'!D277/ncoc+IF(SUMSQ('TS-PILE'!$E$72:$E$91)=0,0,'TO HOP NLAN'!E277*'TS-PILE'!$E$75/SUMSQ('TS-PILE'!$E$72:$E$91))+IF(SUMSQ('TS-PILE'!$D$72:$D$91)=0,0,'TO HOP NLAN'!F277*'TS-PILE'!$D$75/SUMSQ('TS-PILE'!$D$72:$D$91))),IF('TS-PILE'!$B$76="",1E+99,'TO HOP NLAN'!D277/ncoc+IF(SUMSQ('TS-PILE'!$E$72:$E$91)=0,0,'TO HOP NLAN'!E277*'TS-PILE'!$E$76/SUMSQ('TS-PILE'!$E$72:$E$91))+IF(SUMSQ('TS-PILE'!$D$72:$D$91)=0,0,'TO HOP NLAN'!F277*'TS-PILE'!$D$76/SUMSQ('TS-PILE'!$D$72:$D$91))),IF('TS-PILE'!$B$77="",1E+99,'TO HOP NLAN'!D277/ncoc+IF(SUMSQ('TS-PILE'!$E$72:$E$91)=0,0,'TO HOP NLAN'!E277*'TS-PILE'!$E$77/SUMSQ('TS-PILE'!$E$72:$E$91))+IF(SUMSQ('TS-PILE'!$D$72:$D$91)=0,0,'TO HOP NLAN'!F277*'TS-PILE'!$D$77/SUMSQ('TS-PILE'!$D$72:$D$91))),IF('TS-PILE'!$B$78="",1E+99,'TO HOP NLAN'!D277/ncoc+IF(SUMSQ('TS-PILE'!$E$72:$E$91)=0,0,'TO HOP NLAN'!E277*'TS-PILE'!$E$78/SUMSQ('TS-PILE'!$E$72:$E$91))+IF(SUMSQ('TS-PILE'!$D$72:$D$91)=0,0,'TO HOP NLAN'!F277*'TS-PILE'!$D$78/SUMSQ('TS-PILE'!$D$72:$D$91))),IF('TS-PILE'!$B$79="",1E+99,'TO HOP NLAN'!D277/ncoc+IF(SUMSQ('TS-PILE'!$E$72:$E$91)=0,0,'TO HOP NLAN'!E277*'TS-PILE'!$E$79/SUMSQ('TS-PILE'!$E$72:$E$91))+IF(SUMSQ('TS-PILE'!$D$72:$D$91)=0,0,'TO HOP NLAN'!F277*'TS-PILE'!$D$79/SUMSQ('TS-PILE'!$D$72:$D$91))),IF('TS-PILE'!$B$80="",1E+99,'TO HOP NLAN'!D277/ncoc+IF(SUMSQ('TS-PILE'!$E$72:$E$91)=0,0,'TO HOP NLAN'!E277*'TS-PILE'!$E$80/SUMSQ('TS-PILE'!$E$72:$E$91))+IF(SUMSQ('TS-PILE'!$D$72:$D$91)=0,0,'TO HOP NLAN'!F277*'TS-PILE'!$D$80/SUMSQ('TS-PILE'!$D$72:$D$91))),IF('TS-PILE'!$B$81="",1E+99,'TO HOP NLAN'!D277/ncoc+IF(SUMSQ('TS-PILE'!$E$72:$E$91)=0,0,'TO HOP NLAN'!E277*'TS-PILE'!$E$81/SUMSQ('TS-PILE'!$E$72:$E$91))+IF(SUMSQ('TS-PILE'!$D$72:$D$91)=0,0,'TO HOP NLAN'!F277*'TS-PILE'!$D$81/SUMSQ('TS-PILE'!$D$72:$D$91))),IF('TS-PILE'!$B$82="",1E+99,'TO HOP NLAN'!D277/ncoc+IF(SUMSQ('TS-PILE'!$E$72:$E$91)=0,0,'TO HOP NLAN'!E277*'TS-PILE'!$E$82/SUMSQ('TS-PILE'!$E$72:$E$91))+IF(SUMSQ('TS-PILE'!$D$72:$D$91)=0,0,'TO HOP NLAN'!F277*'TS-PILE'!$D$82/SUMSQ('TS-PILE'!$D$72:$D$91))),IF('TS-PILE'!$B$83="",1E+99,'TO HOP NLAN'!D277/ncoc+IF(SUMSQ('TS-PILE'!$E$72:$E$91)=0,0,'TO HOP NLAN'!E277*'TS-PILE'!$E$83/SUMSQ('TS-PILE'!$E$72:$E$91))+IF(SUMSQ('TS-PILE'!$D$72:$D$91)=0,0,'TO HOP NLAN'!F277*'TS-PILE'!$D$83/SUMSQ('TS-PILE'!$D$72:$D$91))),IF('TS-PILE'!$B$84="",1E+99,'TO HOP NLAN'!D277/ncoc+IF(SUMSQ('TS-PILE'!$E$72:$E$91)=0,0,'TO HOP NLAN'!E277*'TS-PILE'!$E$84/SUMSQ('TS-PILE'!$E$72:$E$91))+IF(SUMSQ('TS-PILE'!$D$72:$D$91)=0,0,'TO HOP NLAN'!F277*'TS-PILE'!$D$84/SUMSQ('TS-PILE'!$D$72:$D$91))),IF('TS-PILE'!$B$85="",1E+99,'TO HOP NLAN'!D277/ncoc+IF(SUMSQ('TS-PILE'!$E$72:$E$91)=0,0,'TO HOP NLAN'!E277*'TS-PILE'!$E$85/SUMSQ('TS-PILE'!$E$72:$E$91))+IF(SUMSQ('TS-PILE'!$D$72:$D$91)=0,0,'TO HOP NLAN'!F277*'TS-PILE'!$D$85/SUMSQ('TS-PILE'!$D$72:$D$91))),IF('TS-PILE'!$B$86="",1E+99,'TO HOP NLAN'!D277/ncoc+IF(SUMSQ('TS-PILE'!$E$72:$E$91)=0,0,'TO HOP NLAN'!E277*'TS-PILE'!$E$86/SUMSQ('TS-PILE'!$E$72:$E$91))+IF(SUMSQ('TS-PILE'!$D$72:$D$91)=0,0,'TO HOP NLAN'!F277*'TS-PILE'!$D$86/SUMSQ('TS-PILE'!$D$72:$D$91))),IF('TS-PILE'!$B$87="",1E+99,'TO HOP NLAN'!D277/ncoc+IF(SUMSQ('TS-PILE'!$E$72:$E$91)=0,0,'TO HOP NLAN'!E277*'TS-PILE'!$E$87/SUMSQ('TS-PILE'!$E$72:$E$91))+IF(SUMSQ('TS-PILE'!$D$72:$D$91)=0,0,'TO HOP NLAN'!F277*'TS-PILE'!$D$87/SUMSQ('TS-PILE'!$D$72:$D$91))),IF('TS-PILE'!$B$88="",1E+99,'TO HOP NLAN'!D277/ncoc+IF(SUMSQ('TS-PILE'!$E$72:$E$91)=0,0,'TO HOP NLAN'!E277*'TS-PILE'!$E$88/SUMSQ('TS-PILE'!$E$72:$E$91))+IF(SUMSQ('TS-PILE'!$D$72:$D$91)=0,0,'TO HOP NLAN'!F277*'TS-PILE'!$D$88/SUMSQ('TS-PILE'!$D$72:$D$91))),IF('TS-PILE'!$B$89="",1E+99,'TO HOP NLAN'!D277/ncoc+IF(SUMSQ('TS-PILE'!$E$72:$E$91)=0,0,'TO HOP NLAN'!E277*'TS-PILE'!$E$89/SUMSQ('TS-PILE'!$E$72:$E$91))+IF(SUMSQ('TS-PILE'!$D$72:$D$91)=0,0,'TO HOP NLAN'!F277*'TS-PILE'!$D$89/SUMSQ('TS-PILE'!$D$72:$D$91))),IF('TS-PILE'!$B$90="",1E+99,'TO HOP NLAN'!D277/ncoc+IF(SUMSQ('TS-PILE'!$E$72:$E$91)=0,0,'TO HOP NLAN'!E277*'TS-PILE'!$E$90/SUMSQ('TS-PILE'!$E$72:$E$91))+IF(SUMSQ('TS-PILE'!$D$72:$D$91)=0,0,'TO HOP NLAN'!F277*'TS-PILE'!$D$90/SUMSQ('TS-PILE'!$D$72:$D$91))),IF('TS-PILE'!$B$91="",1E+99,'TO HOP NLAN'!D277/ncoc+IF(SUMSQ('TS-PILE'!$E$72:$E$91)=0,0,'TO HOP NLAN'!E277*'TS-PILE'!$E$91/SUMSQ('TS-PILE'!$E$72:$E$91))+IF(SUMSQ('TS-PILE'!$D$72:$D$91)=0,0,'TO HOP NLAN'!F277*'TS-PILE'!$D$91/SUMSQ('TS-PILE'!$D$72:$D$91)))))</f>
        <v>0</v>
      </c>
      <c r="E277" s="58">
        <f t="shared" si="16"/>
        <v>-9.9999999999999997E+98</v>
      </c>
      <c r="F277" s="58">
        <f t="shared" si="17"/>
        <v>9.9999999999999997E+98</v>
      </c>
      <c r="G277" s="58">
        <f t="shared" si="18"/>
        <v>-9.9999999999999997E+98</v>
      </c>
      <c r="H277" s="58">
        <f t="shared" si="19"/>
        <v>9.9999999999999997E+98</v>
      </c>
    </row>
    <row r="278" spans="1:8" x14ac:dyDescent="0.3">
      <c r="A278" s="42" t="str">
        <f>'TO HOP NLAN'!A278</f>
        <v/>
      </c>
      <c r="B278" s="42" t="str">
        <f>'TO HOP NLAN'!L278</f>
        <v>STRENGTH</v>
      </c>
      <c r="C278" s="58">
        <f>IF(A278="",0,MAX(IF('TS-PILE'!$B$72="",-1E+99,'TO HOP NLAN'!D278/ncoc+IF(SUMSQ('TS-PILE'!$E$72:$E$91)=0,0,'TO HOP NLAN'!E278*'TS-PILE'!$E$72/SUMSQ('TS-PILE'!$E$72:$E$91))+IF(SUMSQ('TS-PILE'!$D$72:$D$91)=0,0,'TO HOP NLAN'!F278*'TS-PILE'!$D$72/SUMSQ('TS-PILE'!$D$72:$D$91))),IF('TS-PILE'!$B$73="",-1E+99,'TO HOP NLAN'!D278/ncoc+IF(SUMSQ('TS-PILE'!$E$72:$E$91)=0,0,'TO HOP NLAN'!E278*'TS-PILE'!$E$73/SUMSQ('TS-PILE'!$E$72:$E$91))+IF(SUMSQ('TS-PILE'!$D$72:$D$91)=0,0,'TO HOP NLAN'!F278*'TS-PILE'!$D$73/SUMSQ('TS-PILE'!$D$72:$D$91))),IF('TS-PILE'!$B$74="",-1E+99,'TO HOP NLAN'!D278/ncoc+IF(SUMSQ('TS-PILE'!$E$72:$E$91)=0,0,'TO HOP NLAN'!E278*'TS-PILE'!$E$74/SUMSQ('TS-PILE'!$E$72:$E$91))+IF(SUMSQ('TS-PILE'!$D$72:$D$91)=0,0,'TO HOP NLAN'!F278*'TS-PILE'!$D$74/SUMSQ('TS-PILE'!$D$72:$D$91))),IF('TS-PILE'!$B$75="",-1E+99,'TO HOP NLAN'!D278/ncoc+IF(SUMSQ('TS-PILE'!$E$72:$E$91)=0,0,'TO HOP NLAN'!E278*'TS-PILE'!$E$75/SUMSQ('TS-PILE'!$E$72:$E$91))+IF(SUMSQ('TS-PILE'!$D$72:$D$91)=0,0,'TO HOP NLAN'!F278*'TS-PILE'!$D$75/SUMSQ('TS-PILE'!$D$72:$D$91))),IF('TS-PILE'!$B$76="",-1E+99,'TO HOP NLAN'!D278/ncoc+IF(SUMSQ('TS-PILE'!$E$72:$E$91)=0,0,'TO HOP NLAN'!E278*'TS-PILE'!$E$76/SUMSQ('TS-PILE'!$E$72:$E$91))+IF(SUMSQ('TS-PILE'!$D$72:$D$91)=0,0,'TO HOP NLAN'!F278*'TS-PILE'!$D$76/SUMSQ('TS-PILE'!$D$72:$D$91))),IF('TS-PILE'!$B$77="",-1E+99,'TO HOP NLAN'!D278/ncoc+IF(SUMSQ('TS-PILE'!$E$72:$E$91)=0,0,'TO HOP NLAN'!E278*'TS-PILE'!$E$77/SUMSQ('TS-PILE'!$E$72:$E$91))+IF(SUMSQ('TS-PILE'!$D$72:$D$91)=0,0,'TO HOP NLAN'!F278*'TS-PILE'!$D$77/SUMSQ('TS-PILE'!$D$72:$D$91))),IF('TS-PILE'!$B$78="",-1E+99,'TO HOP NLAN'!D278/ncoc+IF(SUMSQ('TS-PILE'!$E$72:$E$91)=0,0,'TO HOP NLAN'!E278*'TS-PILE'!$E$78/SUMSQ('TS-PILE'!$E$72:$E$91))+IF(SUMSQ('TS-PILE'!$D$72:$D$91)=0,0,'TO HOP NLAN'!F278*'TS-PILE'!$D$78/SUMSQ('TS-PILE'!$D$72:$D$91))),IF('TS-PILE'!$B$79="",-1E+99,'TO HOP NLAN'!D278/ncoc+IF(SUMSQ('TS-PILE'!$E$72:$E$91)=0,0,'TO HOP NLAN'!E278*'TS-PILE'!$E$79/SUMSQ('TS-PILE'!$E$72:$E$91))+IF(SUMSQ('TS-PILE'!$D$72:$D$91)=0,0,'TO HOP NLAN'!F278*'TS-PILE'!$D$79/SUMSQ('TS-PILE'!$D$72:$D$91))),IF('TS-PILE'!$B$80="",-1E+99,'TO HOP NLAN'!D278/ncoc+IF(SUMSQ('TS-PILE'!$E$72:$E$91)=0,0,'TO HOP NLAN'!E278*'TS-PILE'!$E$80/SUMSQ('TS-PILE'!$E$72:$E$91))+IF(SUMSQ('TS-PILE'!$D$72:$D$91)=0,0,'TO HOP NLAN'!F278*'TS-PILE'!$D$80/SUMSQ('TS-PILE'!$D$72:$D$91))),IF('TS-PILE'!$B$81="",-1E+99,'TO HOP NLAN'!D278/ncoc+IF(SUMSQ('TS-PILE'!$E$72:$E$91)=0,0,'TO HOP NLAN'!E278*'TS-PILE'!$E$81/SUMSQ('TS-PILE'!$E$72:$E$91))+IF(SUMSQ('TS-PILE'!$D$72:$D$91)=0,0,'TO HOP NLAN'!F278*'TS-PILE'!$D$81/SUMSQ('TS-PILE'!$D$72:$D$91))),IF('TS-PILE'!$B$82="",-1E+99,'TO HOP NLAN'!D278/ncoc+IF(SUMSQ('TS-PILE'!$E$72:$E$91)=0,0,'TO HOP NLAN'!E278*'TS-PILE'!$E$82/SUMSQ('TS-PILE'!$E$72:$E$91))+IF(SUMSQ('TS-PILE'!$D$72:$D$91)=0,0,'TO HOP NLAN'!F278*'TS-PILE'!$D$82/SUMSQ('TS-PILE'!$D$72:$D$91))),IF('TS-PILE'!$B$83="",-1E+99,'TO HOP NLAN'!D278/ncoc+IF(SUMSQ('TS-PILE'!$E$72:$E$91)=0,0,'TO HOP NLAN'!E278*'TS-PILE'!$E$83/SUMSQ('TS-PILE'!$E$72:$E$91))+IF(SUMSQ('TS-PILE'!$D$72:$D$91)=0,0,'TO HOP NLAN'!F278*'TS-PILE'!$D$83/SUMSQ('TS-PILE'!$D$72:$D$91))),IF('TS-PILE'!$B$84="",-1E+99,'TO HOP NLAN'!D278/ncoc+IF(SUMSQ('TS-PILE'!$E$72:$E$91)=0,0,'TO HOP NLAN'!E278*'TS-PILE'!$E$84/SUMSQ('TS-PILE'!$E$72:$E$91))+IF(SUMSQ('TS-PILE'!$D$72:$D$91)=0,0,'TO HOP NLAN'!F278*'TS-PILE'!$D$84/SUMSQ('TS-PILE'!$D$72:$D$91))),IF('TS-PILE'!$B$85="",-1E+99,'TO HOP NLAN'!D278/ncoc+IF(SUMSQ('TS-PILE'!$E$72:$E$91)=0,0,'TO HOP NLAN'!E278*'TS-PILE'!$E$85/SUMSQ('TS-PILE'!$E$72:$E$91))+IF(SUMSQ('TS-PILE'!$D$72:$D$91)=0,0,'TO HOP NLAN'!F278*'TS-PILE'!$D$85/SUMSQ('TS-PILE'!$D$72:$D$91))),IF('TS-PILE'!$B$86="",-1E+99,'TO HOP NLAN'!D278/ncoc+IF(SUMSQ('TS-PILE'!$E$72:$E$91)=0,0,'TO HOP NLAN'!E278*'TS-PILE'!$E$86/SUMSQ('TS-PILE'!$E$72:$E$91))+IF(SUMSQ('TS-PILE'!$D$72:$D$91)=0,0,'TO HOP NLAN'!F278*'TS-PILE'!$D$86/SUMSQ('TS-PILE'!$D$72:$D$91))),IF('TS-PILE'!$B$87="",-1E+99,'TO HOP NLAN'!D278/ncoc+IF(SUMSQ('TS-PILE'!$E$72:$E$91)=0,0,'TO HOP NLAN'!E278*'TS-PILE'!$E$87/SUMSQ('TS-PILE'!$E$72:$E$91))+IF(SUMSQ('TS-PILE'!$D$72:$D$91)=0,0,'TO HOP NLAN'!F278*'TS-PILE'!$D$87/SUMSQ('TS-PILE'!$D$72:$D$91))),IF('TS-PILE'!$B$88="",-1E+99,'TO HOP NLAN'!D278/ncoc+IF(SUMSQ('TS-PILE'!$E$72:$E$91)=0,0,'TO HOP NLAN'!E278*'TS-PILE'!$E$88/SUMSQ('TS-PILE'!$E$72:$E$91))+IF(SUMSQ('TS-PILE'!$D$72:$D$91)=0,0,'TO HOP NLAN'!F278*'TS-PILE'!$D$88/SUMSQ('TS-PILE'!$D$72:$D$91))),IF('TS-PILE'!$B$89="",-1E+99,'TO HOP NLAN'!D278/ncoc+IF(SUMSQ('TS-PILE'!$E$72:$E$91)=0,0,'TO HOP NLAN'!E278*'TS-PILE'!$E$89/SUMSQ('TS-PILE'!$E$72:$E$91))+IF(SUMSQ('TS-PILE'!$D$72:$D$91)=0,0,'TO HOP NLAN'!F278*'TS-PILE'!$D$89/SUMSQ('TS-PILE'!$D$72:$D$91))),IF('TS-PILE'!$B$90="",-1E+99,'TO HOP NLAN'!D278/ncoc+IF(SUMSQ('TS-PILE'!$E$72:$E$91)=0,0,'TO HOP NLAN'!E278*'TS-PILE'!$E$90/SUMSQ('TS-PILE'!$E$72:$E$91))+IF(SUMSQ('TS-PILE'!$D$72:$D$91)=0,0,'TO HOP NLAN'!F278*'TS-PILE'!$D$90/SUMSQ('TS-PILE'!$D$72:$D$91))),IF('TS-PILE'!$B$91="",-1E+99,'TO HOP NLAN'!D278/ncoc+IF(SUMSQ('TS-PILE'!$E$72:$E$91)=0,0,'TO HOP NLAN'!E278*'TS-PILE'!$E$91/SUMSQ('TS-PILE'!$E$72:$E$91))+IF(SUMSQ('TS-PILE'!$D$72:$D$91)=0,0,'TO HOP NLAN'!F278*'TS-PILE'!$D$91/SUMSQ('TS-PILE'!$D$72:$D$91)))))</f>
        <v>0</v>
      </c>
      <c r="D278" s="58">
        <f>IF(A278="",0,MIN(IF('TS-PILE'!$B$72="",1E+99,'TO HOP NLAN'!D278/ncoc+IF(SUMSQ('TS-PILE'!$E$72:$E$91)=0,0,'TO HOP NLAN'!E278*'TS-PILE'!$E$72/SUMSQ('TS-PILE'!$E$72:$E$91))+IF(SUMSQ('TS-PILE'!$D$72:$D$91)=0,0,'TO HOP NLAN'!F278*'TS-PILE'!$D$72/SUMSQ('TS-PILE'!$D$72:$D$91))),IF('TS-PILE'!$B$73="",1E+99,'TO HOP NLAN'!D278/ncoc+IF(SUMSQ('TS-PILE'!$E$72:$E$91)=0,0,'TO HOP NLAN'!E278*'TS-PILE'!$E$73/SUMSQ('TS-PILE'!$E$72:$E$91))+IF(SUMSQ('TS-PILE'!$D$72:$D$91)=0,0,'TO HOP NLAN'!F278*'TS-PILE'!$D$73/SUMSQ('TS-PILE'!$D$72:$D$91))),IF('TS-PILE'!$B$74="",1E+99,'TO HOP NLAN'!D278/ncoc+IF(SUMSQ('TS-PILE'!$E$72:$E$91)=0,0,'TO HOP NLAN'!E278*'TS-PILE'!$E$74/SUMSQ('TS-PILE'!$E$72:$E$91))+IF(SUMSQ('TS-PILE'!$D$72:$D$91)=0,0,'TO HOP NLAN'!F278*'TS-PILE'!$D$74/SUMSQ('TS-PILE'!$D$72:$D$91))),IF('TS-PILE'!$B$75="",1E+99,'TO HOP NLAN'!D278/ncoc+IF(SUMSQ('TS-PILE'!$E$72:$E$91)=0,0,'TO HOP NLAN'!E278*'TS-PILE'!$E$75/SUMSQ('TS-PILE'!$E$72:$E$91))+IF(SUMSQ('TS-PILE'!$D$72:$D$91)=0,0,'TO HOP NLAN'!F278*'TS-PILE'!$D$75/SUMSQ('TS-PILE'!$D$72:$D$91))),IF('TS-PILE'!$B$76="",1E+99,'TO HOP NLAN'!D278/ncoc+IF(SUMSQ('TS-PILE'!$E$72:$E$91)=0,0,'TO HOP NLAN'!E278*'TS-PILE'!$E$76/SUMSQ('TS-PILE'!$E$72:$E$91))+IF(SUMSQ('TS-PILE'!$D$72:$D$91)=0,0,'TO HOP NLAN'!F278*'TS-PILE'!$D$76/SUMSQ('TS-PILE'!$D$72:$D$91))),IF('TS-PILE'!$B$77="",1E+99,'TO HOP NLAN'!D278/ncoc+IF(SUMSQ('TS-PILE'!$E$72:$E$91)=0,0,'TO HOP NLAN'!E278*'TS-PILE'!$E$77/SUMSQ('TS-PILE'!$E$72:$E$91))+IF(SUMSQ('TS-PILE'!$D$72:$D$91)=0,0,'TO HOP NLAN'!F278*'TS-PILE'!$D$77/SUMSQ('TS-PILE'!$D$72:$D$91))),IF('TS-PILE'!$B$78="",1E+99,'TO HOP NLAN'!D278/ncoc+IF(SUMSQ('TS-PILE'!$E$72:$E$91)=0,0,'TO HOP NLAN'!E278*'TS-PILE'!$E$78/SUMSQ('TS-PILE'!$E$72:$E$91))+IF(SUMSQ('TS-PILE'!$D$72:$D$91)=0,0,'TO HOP NLAN'!F278*'TS-PILE'!$D$78/SUMSQ('TS-PILE'!$D$72:$D$91))),IF('TS-PILE'!$B$79="",1E+99,'TO HOP NLAN'!D278/ncoc+IF(SUMSQ('TS-PILE'!$E$72:$E$91)=0,0,'TO HOP NLAN'!E278*'TS-PILE'!$E$79/SUMSQ('TS-PILE'!$E$72:$E$91))+IF(SUMSQ('TS-PILE'!$D$72:$D$91)=0,0,'TO HOP NLAN'!F278*'TS-PILE'!$D$79/SUMSQ('TS-PILE'!$D$72:$D$91))),IF('TS-PILE'!$B$80="",1E+99,'TO HOP NLAN'!D278/ncoc+IF(SUMSQ('TS-PILE'!$E$72:$E$91)=0,0,'TO HOP NLAN'!E278*'TS-PILE'!$E$80/SUMSQ('TS-PILE'!$E$72:$E$91))+IF(SUMSQ('TS-PILE'!$D$72:$D$91)=0,0,'TO HOP NLAN'!F278*'TS-PILE'!$D$80/SUMSQ('TS-PILE'!$D$72:$D$91))),IF('TS-PILE'!$B$81="",1E+99,'TO HOP NLAN'!D278/ncoc+IF(SUMSQ('TS-PILE'!$E$72:$E$91)=0,0,'TO HOP NLAN'!E278*'TS-PILE'!$E$81/SUMSQ('TS-PILE'!$E$72:$E$91))+IF(SUMSQ('TS-PILE'!$D$72:$D$91)=0,0,'TO HOP NLAN'!F278*'TS-PILE'!$D$81/SUMSQ('TS-PILE'!$D$72:$D$91))),IF('TS-PILE'!$B$82="",1E+99,'TO HOP NLAN'!D278/ncoc+IF(SUMSQ('TS-PILE'!$E$72:$E$91)=0,0,'TO HOP NLAN'!E278*'TS-PILE'!$E$82/SUMSQ('TS-PILE'!$E$72:$E$91))+IF(SUMSQ('TS-PILE'!$D$72:$D$91)=0,0,'TO HOP NLAN'!F278*'TS-PILE'!$D$82/SUMSQ('TS-PILE'!$D$72:$D$91))),IF('TS-PILE'!$B$83="",1E+99,'TO HOP NLAN'!D278/ncoc+IF(SUMSQ('TS-PILE'!$E$72:$E$91)=0,0,'TO HOP NLAN'!E278*'TS-PILE'!$E$83/SUMSQ('TS-PILE'!$E$72:$E$91))+IF(SUMSQ('TS-PILE'!$D$72:$D$91)=0,0,'TO HOP NLAN'!F278*'TS-PILE'!$D$83/SUMSQ('TS-PILE'!$D$72:$D$91))),IF('TS-PILE'!$B$84="",1E+99,'TO HOP NLAN'!D278/ncoc+IF(SUMSQ('TS-PILE'!$E$72:$E$91)=0,0,'TO HOP NLAN'!E278*'TS-PILE'!$E$84/SUMSQ('TS-PILE'!$E$72:$E$91))+IF(SUMSQ('TS-PILE'!$D$72:$D$91)=0,0,'TO HOP NLAN'!F278*'TS-PILE'!$D$84/SUMSQ('TS-PILE'!$D$72:$D$91))),IF('TS-PILE'!$B$85="",1E+99,'TO HOP NLAN'!D278/ncoc+IF(SUMSQ('TS-PILE'!$E$72:$E$91)=0,0,'TO HOP NLAN'!E278*'TS-PILE'!$E$85/SUMSQ('TS-PILE'!$E$72:$E$91))+IF(SUMSQ('TS-PILE'!$D$72:$D$91)=0,0,'TO HOP NLAN'!F278*'TS-PILE'!$D$85/SUMSQ('TS-PILE'!$D$72:$D$91))),IF('TS-PILE'!$B$86="",1E+99,'TO HOP NLAN'!D278/ncoc+IF(SUMSQ('TS-PILE'!$E$72:$E$91)=0,0,'TO HOP NLAN'!E278*'TS-PILE'!$E$86/SUMSQ('TS-PILE'!$E$72:$E$91))+IF(SUMSQ('TS-PILE'!$D$72:$D$91)=0,0,'TO HOP NLAN'!F278*'TS-PILE'!$D$86/SUMSQ('TS-PILE'!$D$72:$D$91))),IF('TS-PILE'!$B$87="",1E+99,'TO HOP NLAN'!D278/ncoc+IF(SUMSQ('TS-PILE'!$E$72:$E$91)=0,0,'TO HOP NLAN'!E278*'TS-PILE'!$E$87/SUMSQ('TS-PILE'!$E$72:$E$91))+IF(SUMSQ('TS-PILE'!$D$72:$D$91)=0,0,'TO HOP NLAN'!F278*'TS-PILE'!$D$87/SUMSQ('TS-PILE'!$D$72:$D$91))),IF('TS-PILE'!$B$88="",1E+99,'TO HOP NLAN'!D278/ncoc+IF(SUMSQ('TS-PILE'!$E$72:$E$91)=0,0,'TO HOP NLAN'!E278*'TS-PILE'!$E$88/SUMSQ('TS-PILE'!$E$72:$E$91))+IF(SUMSQ('TS-PILE'!$D$72:$D$91)=0,0,'TO HOP NLAN'!F278*'TS-PILE'!$D$88/SUMSQ('TS-PILE'!$D$72:$D$91))),IF('TS-PILE'!$B$89="",1E+99,'TO HOP NLAN'!D278/ncoc+IF(SUMSQ('TS-PILE'!$E$72:$E$91)=0,0,'TO HOP NLAN'!E278*'TS-PILE'!$E$89/SUMSQ('TS-PILE'!$E$72:$E$91))+IF(SUMSQ('TS-PILE'!$D$72:$D$91)=0,0,'TO HOP NLAN'!F278*'TS-PILE'!$D$89/SUMSQ('TS-PILE'!$D$72:$D$91))),IF('TS-PILE'!$B$90="",1E+99,'TO HOP NLAN'!D278/ncoc+IF(SUMSQ('TS-PILE'!$E$72:$E$91)=0,0,'TO HOP NLAN'!E278*'TS-PILE'!$E$90/SUMSQ('TS-PILE'!$E$72:$E$91))+IF(SUMSQ('TS-PILE'!$D$72:$D$91)=0,0,'TO HOP NLAN'!F278*'TS-PILE'!$D$90/SUMSQ('TS-PILE'!$D$72:$D$91))),IF('TS-PILE'!$B$91="",1E+99,'TO HOP NLAN'!D278/ncoc+IF(SUMSQ('TS-PILE'!$E$72:$E$91)=0,0,'TO HOP NLAN'!E278*'TS-PILE'!$E$91/SUMSQ('TS-PILE'!$E$72:$E$91))+IF(SUMSQ('TS-PILE'!$D$72:$D$91)=0,0,'TO HOP NLAN'!F278*'TS-PILE'!$D$91/SUMSQ('TS-PILE'!$D$72:$D$91)))))</f>
        <v>0</v>
      </c>
      <c r="E278" s="58">
        <f t="shared" si="16"/>
        <v>-9.9999999999999997E+98</v>
      </c>
      <c r="F278" s="58">
        <f t="shared" si="17"/>
        <v>9.9999999999999997E+98</v>
      </c>
      <c r="G278" s="58">
        <f t="shared" si="18"/>
        <v>-9.9999999999999997E+98</v>
      </c>
      <c r="H278" s="58">
        <f t="shared" si="19"/>
        <v>9.9999999999999997E+98</v>
      </c>
    </row>
    <row r="279" spans="1:8" x14ac:dyDescent="0.3">
      <c r="A279" s="42" t="str">
        <f>'TO HOP NLAN'!A279</f>
        <v/>
      </c>
      <c r="B279" s="42" t="str">
        <f>'TO HOP NLAN'!L279</f>
        <v>STRENGTH</v>
      </c>
      <c r="C279" s="58">
        <f>IF(A279="",0,MAX(IF('TS-PILE'!$B$72="",-1E+99,'TO HOP NLAN'!D279/ncoc+IF(SUMSQ('TS-PILE'!$E$72:$E$91)=0,0,'TO HOP NLAN'!E279*'TS-PILE'!$E$72/SUMSQ('TS-PILE'!$E$72:$E$91))+IF(SUMSQ('TS-PILE'!$D$72:$D$91)=0,0,'TO HOP NLAN'!F279*'TS-PILE'!$D$72/SUMSQ('TS-PILE'!$D$72:$D$91))),IF('TS-PILE'!$B$73="",-1E+99,'TO HOP NLAN'!D279/ncoc+IF(SUMSQ('TS-PILE'!$E$72:$E$91)=0,0,'TO HOP NLAN'!E279*'TS-PILE'!$E$73/SUMSQ('TS-PILE'!$E$72:$E$91))+IF(SUMSQ('TS-PILE'!$D$72:$D$91)=0,0,'TO HOP NLAN'!F279*'TS-PILE'!$D$73/SUMSQ('TS-PILE'!$D$72:$D$91))),IF('TS-PILE'!$B$74="",-1E+99,'TO HOP NLAN'!D279/ncoc+IF(SUMSQ('TS-PILE'!$E$72:$E$91)=0,0,'TO HOP NLAN'!E279*'TS-PILE'!$E$74/SUMSQ('TS-PILE'!$E$72:$E$91))+IF(SUMSQ('TS-PILE'!$D$72:$D$91)=0,0,'TO HOP NLAN'!F279*'TS-PILE'!$D$74/SUMSQ('TS-PILE'!$D$72:$D$91))),IF('TS-PILE'!$B$75="",-1E+99,'TO HOP NLAN'!D279/ncoc+IF(SUMSQ('TS-PILE'!$E$72:$E$91)=0,0,'TO HOP NLAN'!E279*'TS-PILE'!$E$75/SUMSQ('TS-PILE'!$E$72:$E$91))+IF(SUMSQ('TS-PILE'!$D$72:$D$91)=0,0,'TO HOP NLAN'!F279*'TS-PILE'!$D$75/SUMSQ('TS-PILE'!$D$72:$D$91))),IF('TS-PILE'!$B$76="",-1E+99,'TO HOP NLAN'!D279/ncoc+IF(SUMSQ('TS-PILE'!$E$72:$E$91)=0,0,'TO HOP NLAN'!E279*'TS-PILE'!$E$76/SUMSQ('TS-PILE'!$E$72:$E$91))+IF(SUMSQ('TS-PILE'!$D$72:$D$91)=0,0,'TO HOP NLAN'!F279*'TS-PILE'!$D$76/SUMSQ('TS-PILE'!$D$72:$D$91))),IF('TS-PILE'!$B$77="",-1E+99,'TO HOP NLAN'!D279/ncoc+IF(SUMSQ('TS-PILE'!$E$72:$E$91)=0,0,'TO HOP NLAN'!E279*'TS-PILE'!$E$77/SUMSQ('TS-PILE'!$E$72:$E$91))+IF(SUMSQ('TS-PILE'!$D$72:$D$91)=0,0,'TO HOP NLAN'!F279*'TS-PILE'!$D$77/SUMSQ('TS-PILE'!$D$72:$D$91))),IF('TS-PILE'!$B$78="",-1E+99,'TO HOP NLAN'!D279/ncoc+IF(SUMSQ('TS-PILE'!$E$72:$E$91)=0,0,'TO HOP NLAN'!E279*'TS-PILE'!$E$78/SUMSQ('TS-PILE'!$E$72:$E$91))+IF(SUMSQ('TS-PILE'!$D$72:$D$91)=0,0,'TO HOP NLAN'!F279*'TS-PILE'!$D$78/SUMSQ('TS-PILE'!$D$72:$D$91))),IF('TS-PILE'!$B$79="",-1E+99,'TO HOP NLAN'!D279/ncoc+IF(SUMSQ('TS-PILE'!$E$72:$E$91)=0,0,'TO HOP NLAN'!E279*'TS-PILE'!$E$79/SUMSQ('TS-PILE'!$E$72:$E$91))+IF(SUMSQ('TS-PILE'!$D$72:$D$91)=0,0,'TO HOP NLAN'!F279*'TS-PILE'!$D$79/SUMSQ('TS-PILE'!$D$72:$D$91))),IF('TS-PILE'!$B$80="",-1E+99,'TO HOP NLAN'!D279/ncoc+IF(SUMSQ('TS-PILE'!$E$72:$E$91)=0,0,'TO HOP NLAN'!E279*'TS-PILE'!$E$80/SUMSQ('TS-PILE'!$E$72:$E$91))+IF(SUMSQ('TS-PILE'!$D$72:$D$91)=0,0,'TO HOP NLAN'!F279*'TS-PILE'!$D$80/SUMSQ('TS-PILE'!$D$72:$D$91))),IF('TS-PILE'!$B$81="",-1E+99,'TO HOP NLAN'!D279/ncoc+IF(SUMSQ('TS-PILE'!$E$72:$E$91)=0,0,'TO HOP NLAN'!E279*'TS-PILE'!$E$81/SUMSQ('TS-PILE'!$E$72:$E$91))+IF(SUMSQ('TS-PILE'!$D$72:$D$91)=0,0,'TO HOP NLAN'!F279*'TS-PILE'!$D$81/SUMSQ('TS-PILE'!$D$72:$D$91))),IF('TS-PILE'!$B$82="",-1E+99,'TO HOP NLAN'!D279/ncoc+IF(SUMSQ('TS-PILE'!$E$72:$E$91)=0,0,'TO HOP NLAN'!E279*'TS-PILE'!$E$82/SUMSQ('TS-PILE'!$E$72:$E$91))+IF(SUMSQ('TS-PILE'!$D$72:$D$91)=0,0,'TO HOP NLAN'!F279*'TS-PILE'!$D$82/SUMSQ('TS-PILE'!$D$72:$D$91))),IF('TS-PILE'!$B$83="",-1E+99,'TO HOP NLAN'!D279/ncoc+IF(SUMSQ('TS-PILE'!$E$72:$E$91)=0,0,'TO HOP NLAN'!E279*'TS-PILE'!$E$83/SUMSQ('TS-PILE'!$E$72:$E$91))+IF(SUMSQ('TS-PILE'!$D$72:$D$91)=0,0,'TO HOP NLAN'!F279*'TS-PILE'!$D$83/SUMSQ('TS-PILE'!$D$72:$D$91))),IF('TS-PILE'!$B$84="",-1E+99,'TO HOP NLAN'!D279/ncoc+IF(SUMSQ('TS-PILE'!$E$72:$E$91)=0,0,'TO HOP NLAN'!E279*'TS-PILE'!$E$84/SUMSQ('TS-PILE'!$E$72:$E$91))+IF(SUMSQ('TS-PILE'!$D$72:$D$91)=0,0,'TO HOP NLAN'!F279*'TS-PILE'!$D$84/SUMSQ('TS-PILE'!$D$72:$D$91))),IF('TS-PILE'!$B$85="",-1E+99,'TO HOP NLAN'!D279/ncoc+IF(SUMSQ('TS-PILE'!$E$72:$E$91)=0,0,'TO HOP NLAN'!E279*'TS-PILE'!$E$85/SUMSQ('TS-PILE'!$E$72:$E$91))+IF(SUMSQ('TS-PILE'!$D$72:$D$91)=0,0,'TO HOP NLAN'!F279*'TS-PILE'!$D$85/SUMSQ('TS-PILE'!$D$72:$D$91))),IF('TS-PILE'!$B$86="",-1E+99,'TO HOP NLAN'!D279/ncoc+IF(SUMSQ('TS-PILE'!$E$72:$E$91)=0,0,'TO HOP NLAN'!E279*'TS-PILE'!$E$86/SUMSQ('TS-PILE'!$E$72:$E$91))+IF(SUMSQ('TS-PILE'!$D$72:$D$91)=0,0,'TO HOP NLAN'!F279*'TS-PILE'!$D$86/SUMSQ('TS-PILE'!$D$72:$D$91))),IF('TS-PILE'!$B$87="",-1E+99,'TO HOP NLAN'!D279/ncoc+IF(SUMSQ('TS-PILE'!$E$72:$E$91)=0,0,'TO HOP NLAN'!E279*'TS-PILE'!$E$87/SUMSQ('TS-PILE'!$E$72:$E$91))+IF(SUMSQ('TS-PILE'!$D$72:$D$91)=0,0,'TO HOP NLAN'!F279*'TS-PILE'!$D$87/SUMSQ('TS-PILE'!$D$72:$D$91))),IF('TS-PILE'!$B$88="",-1E+99,'TO HOP NLAN'!D279/ncoc+IF(SUMSQ('TS-PILE'!$E$72:$E$91)=0,0,'TO HOP NLAN'!E279*'TS-PILE'!$E$88/SUMSQ('TS-PILE'!$E$72:$E$91))+IF(SUMSQ('TS-PILE'!$D$72:$D$91)=0,0,'TO HOP NLAN'!F279*'TS-PILE'!$D$88/SUMSQ('TS-PILE'!$D$72:$D$91))),IF('TS-PILE'!$B$89="",-1E+99,'TO HOP NLAN'!D279/ncoc+IF(SUMSQ('TS-PILE'!$E$72:$E$91)=0,0,'TO HOP NLAN'!E279*'TS-PILE'!$E$89/SUMSQ('TS-PILE'!$E$72:$E$91))+IF(SUMSQ('TS-PILE'!$D$72:$D$91)=0,0,'TO HOP NLAN'!F279*'TS-PILE'!$D$89/SUMSQ('TS-PILE'!$D$72:$D$91))),IF('TS-PILE'!$B$90="",-1E+99,'TO HOP NLAN'!D279/ncoc+IF(SUMSQ('TS-PILE'!$E$72:$E$91)=0,0,'TO HOP NLAN'!E279*'TS-PILE'!$E$90/SUMSQ('TS-PILE'!$E$72:$E$91))+IF(SUMSQ('TS-PILE'!$D$72:$D$91)=0,0,'TO HOP NLAN'!F279*'TS-PILE'!$D$90/SUMSQ('TS-PILE'!$D$72:$D$91))),IF('TS-PILE'!$B$91="",-1E+99,'TO HOP NLAN'!D279/ncoc+IF(SUMSQ('TS-PILE'!$E$72:$E$91)=0,0,'TO HOP NLAN'!E279*'TS-PILE'!$E$91/SUMSQ('TS-PILE'!$E$72:$E$91))+IF(SUMSQ('TS-PILE'!$D$72:$D$91)=0,0,'TO HOP NLAN'!F279*'TS-PILE'!$D$91/SUMSQ('TS-PILE'!$D$72:$D$91)))))</f>
        <v>0</v>
      </c>
      <c r="D279" s="58">
        <f>IF(A279="",0,MIN(IF('TS-PILE'!$B$72="",1E+99,'TO HOP NLAN'!D279/ncoc+IF(SUMSQ('TS-PILE'!$E$72:$E$91)=0,0,'TO HOP NLAN'!E279*'TS-PILE'!$E$72/SUMSQ('TS-PILE'!$E$72:$E$91))+IF(SUMSQ('TS-PILE'!$D$72:$D$91)=0,0,'TO HOP NLAN'!F279*'TS-PILE'!$D$72/SUMSQ('TS-PILE'!$D$72:$D$91))),IF('TS-PILE'!$B$73="",1E+99,'TO HOP NLAN'!D279/ncoc+IF(SUMSQ('TS-PILE'!$E$72:$E$91)=0,0,'TO HOP NLAN'!E279*'TS-PILE'!$E$73/SUMSQ('TS-PILE'!$E$72:$E$91))+IF(SUMSQ('TS-PILE'!$D$72:$D$91)=0,0,'TO HOP NLAN'!F279*'TS-PILE'!$D$73/SUMSQ('TS-PILE'!$D$72:$D$91))),IF('TS-PILE'!$B$74="",1E+99,'TO HOP NLAN'!D279/ncoc+IF(SUMSQ('TS-PILE'!$E$72:$E$91)=0,0,'TO HOP NLAN'!E279*'TS-PILE'!$E$74/SUMSQ('TS-PILE'!$E$72:$E$91))+IF(SUMSQ('TS-PILE'!$D$72:$D$91)=0,0,'TO HOP NLAN'!F279*'TS-PILE'!$D$74/SUMSQ('TS-PILE'!$D$72:$D$91))),IF('TS-PILE'!$B$75="",1E+99,'TO HOP NLAN'!D279/ncoc+IF(SUMSQ('TS-PILE'!$E$72:$E$91)=0,0,'TO HOP NLAN'!E279*'TS-PILE'!$E$75/SUMSQ('TS-PILE'!$E$72:$E$91))+IF(SUMSQ('TS-PILE'!$D$72:$D$91)=0,0,'TO HOP NLAN'!F279*'TS-PILE'!$D$75/SUMSQ('TS-PILE'!$D$72:$D$91))),IF('TS-PILE'!$B$76="",1E+99,'TO HOP NLAN'!D279/ncoc+IF(SUMSQ('TS-PILE'!$E$72:$E$91)=0,0,'TO HOP NLAN'!E279*'TS-PILE'!$E$76/SUMSQ('TS-PILE'!$E$72:$E$91))+IF(SUMSQ('TS-PILE'!$D$72:$D$91)=0,0,'TO HOP NLAN'!F279*'TS-PILE'!$D$76/SUMSQ('TS-PILE'!$D$72:$D$91))),IF('TS-PILE'!$B$77="",1E+99,'TO HOP NLAN'!D279/ncoc+IF(SUMSQ('TS-PILE'!$E$72:$E$91)=0,0,'TO HOP NLAN'!E279*'TS-PILE'!$E$77/SUMSQ('TS-PILE'!$E$72:$E$91))+IF(SUMSQ('TS-PILE'!$D$72:$D$91)=0,0,'TO HOP NLAN'!F279*'TS-PILE'!$D$77/SUMSQ('TS-PILE'!$D$72:$D$91))),IF('TS-PILE'!$B$78="",1E+99,'TO HOP NLAN'!D279/ncoc+IF(SUMSQ('TS-PILE'!$E$72:$E$91)=0,0,'TO HOP NLAN'!E279*'TS-PILE'!$E$78/SUMSQ('TS-PILE'!$E$72:$E$91))+IF(SUMSQ('TS-PILE'!$D$72:$D$91)=0,0,'TO HOP NLAN'!F279*'TS-PILE'!$D$78/SUMSQ('TS-PILE'!$D$72:$D$91))),IF('TS-PILE'!$B$79="",1E+99,'TO HOP NLAN'!D279/ncoc+IF(SUMSQ('TS-PILE'!$E$72:$E$91)=0,0,'TO HOP NLAN'!E279*'TS-PILE'!$E$79/SUMSQ('TS-PILE'!$E$72:$E$91))+IF(SUMSQ('TS-PILE'!$D$72:$D$91)=0,0,'TO HOP NLAN'!F279*'TS-PILE'!$D$79/SUMSQ('TS-PILE'!$D$72:$D$91))),IF('TS-PILE'!$B$80="",1E+99,'TO HOP NLAN'!D279/ncoc+IF(SUMSQ('TS-PILE'!$E$72:$E$91)=0,0,'TO HOP NLAN'!E279*'TS-PILE'!$E$80/SUMSQ('TS-PILE'!$E$72:$E$91))+IF(SUMSQ('TS-PILE'!$D$72:$D$91)=0,0,'TO HOP NLAN'!F279*'TS-PILE'!$D$80/SUMSQ('TS-PILE'!$D$72:$D$91))),IF('TS-PILE'!$B$81="",1E+99,'TO HOP NLAN'!D279/ncoc+IF(SUMSQ('TS-PILE'!$E$72:$E$91)=0,0,'TO HOP NLAN'!E279*'TS-PILE'!$E$81/SUMSQ('TS-PILE'!$E$72:$E$91))+IF(SUMSQ('TS-PILE'!$D$72:$D$91)=0,0,'TO HOP NLAN'!F279*'TS-PILE'!$D$81/SUMSQ('TS-PILE'!$D$72:$D$91))),IF('TS-PILE'!$B$82="",1E+99,'TO HOP NLAN'!D279/ncoc+IF(SUMSQ('TS-PILE'!$E$72:$E$91)=0,0,'TO HOP NLAN'!E279*'TS-PILE'!$E$82/SUMSQ('TS-PILE'!$E$72:$E$91))+IF(SUMSQ('TS-PILE'!$D$72:$D$91)=0,0,'TO HOP NLAN'!F279*'TS-PILE'!$D$82/SUMSQ('TS-PILE'!$D$72:$D$91))),IF('TS-PILE'!$B$83="",1E+99,'TO HOP NLAN'!D279/ncoc+IF(SUMSQ('TS-PILE'!$E$72:$E$91)=0,0,'TO HOP NLAN'!E279*'TS-PILE'!$E$83/SUMSQ('TS-PILE'!$E$72:$E$91))+IF(SUMSQ('TS-PILE'!$D$72:$D$91)=0,0,'TO HOP NLAN'!F279*'TS-PILE'!$D$83/SUMSQ('TS-PILE'!$D$72:$D$91))),IF('TS-PILE'!$B$84="",1E+99,'TO HOP NLAN'!D279/ncoc+IF(SUMSQ('TS-PILE'!$E$72:$E$91)=0,0,'TO HOP NLAN'!E279*'TS-PILE'!$E$84/SUMSQ('TS-PILE'!$E$72:$E$91))+IF(SUMSQ('TS-PILE'!$D$72:$D$91)=0,0,'TO HOP NLAN'!F279*'TS-PILE'!$D$84/SUMSQ('TS-PILE'!$D$72:$D$91))),IF('TS-PILE'!$B$85="",1E+99,'TO HOP NLAN'!D279/ncoc+IF(SUMSQ('TS-PILE'!$E$72:$E$91)=0,0,'TO HOP NLAN'!E279*'TS-PILE'!$E$85/SUMSQ('TS-PILE'!$E$72:$E$91))+IF(SUMSQ('TS-PILE'!$D$72:$D$91)=0,0,'TO HOP NLAN'!F279*'TS-PILE'!$D$85/SUMSQ('TS-PILE'!$D$72:$D$91))),IF('TS-PILE'!$B$86="",1E+99,'TO HOP NLAN'!D279/ncoc+IF(SUMSQ('TS-PILE'!$E$72:$E$91)=0,0,'TO HOP NLAN'!E279*'TS-PILE'!$E$86/SUMSQ('TS-PILE'!$E$72:$E$91))+IF(SUMSQ('TS-PILE'!$D$72:$D$91)=0,0,'TO HOP NLAN'!F279*'TS-PILE'!$D$86/SUMSQ('TS-PILE'!$D$72:$D$91))),IF('TS-PILE'!$B$87="",1E+99,'TO HOP NLAN'!D279/ncoc+IF(SUMSQ('TS-PILE'!$E$72:$E$91)=0,0,'TO HOP NLAN'!E279*'TS-PILE'!$E$87/SUMSQ('TS-PILE'!$E$72:$E$91))+IF(SUMSQ('TS-PILE'!$D$72:$D$91)=0,0,'TO HOP NLAN'!F279*'TS-PILE'!$D$87/SUMSQ('TS-PILE'!$D$72:$D$91))),IF('TS-PILE'!$B$88="",1E+99,'TO HOP NLAN'!D279/ncoc+IF(SUMSQ('TS-PILE'!$E$72:$E$91)=0,0,'TO HOP NLAN'!E279*'TS-PILE'!$E$88/SUMSQ('TS-PILE'!$E$72:$E$91))+IF(SUMSQ('TS-PILE'!$D$72:$D$91)=0,0,'TO HOP NLAN'!F279*'TS-PILE'!$D$88/SUMSQ('TS-PILE'!$D$72:$D$91))),IF('TS-PILE'!$B$89="",1E+99,'TO HOP NLAN'!D279/ncoc+IF(SUMSQ('TS-PILE'!$E$72:$E$91)=0,0,'TO HOP NLAN'!E279*'TS-PILE'!$E$89/SUMSQ('TS-PILE'!$E$72:$E$91))+IF(SUMSQ('TS-PILE'!$D$72:$D$91)=0,0,'TO HOP NLAN'!F279*'TS-PILE'!$D$89/SUMSQ('TS-PILE'!$D$72:$D$91))),IF('TS-PILE'!$B$90="",1E+99,'TO HOP NLAN'!D279/ncoc+IF(SUMSQ('TS-PILE'!$E$72:$E$91)=0,0,'TO HOP NLAN'!E279*'TS-PILE'!$E$90/SUMSQ('TS-PILE'!$E$72:$E$91))+IF(SUMSQ('TS-PILE'!$D$72:$D$91)=0,0,'TO HOP NLAN'!F279*'TS-PILE'!$D$90/SUMSQ('TS-PILE'!$D$72:$D$91))),IF('TS-PILE'!$B$91="",1E+99,'TO HOP NLAN'!D279/ncoc+IF(SUMSQ('TS-PILE'!$E$72:$E$91)=0,0,'TO HOP NLAN'!E279*'TS-PILE'!$E$91/SUMSQ('TS-PILE'!$E$72:$E$91))+IF(SUMSQ('TS-PILE'!$D$72:$D$91)=0,0,'TO HOP NLAN'!F279*'TS-PILE'!$D$91/SUMSQ('TS-PILE'!$D$72:$D$91)))))</f>
        <v>0</v>
      </c>
      <c r="E279" s="58">
        <f t="shared" si="16"/>
        <v>-9.9999999999999997E+98</v>
      </c>
      <c r="F279" s="58">
        <f t="shared" si="17"/>
        <v>9.9999999999999997E+98</v>
      </c>
      <c r="G279" s="58">
        <f t="shared" si="18"/>
        <v>-9.9999999999999997E+98</v>
      </c>
      <c r="H279" s="58">
        <f t="shared" si="19"/>
        <v>9.9999999999999997E+98</v>
      </c>
    </row>
    <row r="280" spans="1:8" x14ac:dyDescent="0.3">
      <c r="A280" s="42" t="str">
        <f>'TO HOP NLAN'!A280</f>
        <v/>
      </c>
      <c r="B280" s="42" t="str">
        <f>'TO HOP NLAN'!L280</f>
        <v>STRENGTH</v>
      </c>
      <c r="C280" s="58">
        <f>IF(A280="",0,MAX(IF('TS-PILE'!$B$72="",-1E+99,'TO HOP NLAN'!D280/ncoc+IF(SUMSQ('TS-PILE'!$E$72:$E$91)=0,0,'TO HOP NLAN'!E280*'TS-PILE'!$E$72/SUMSQ('TS-PILE'!$E$72:$E$91))+IF(SUMSQ('TS-PILE'!$D$72:$D$91)=0,0,'TO HOP NLAN'!F280*'TS-PILE'!$D$72/SUMSQ('TS-PILE'!$D$72:$D$91))),IF('TS-PILE'!$B$73="",-1E+99,'TO HOP NLAN'!D280/ncoc+IF(SUMSQ('TS-PILE'!$E$72:$E$91)=0,0,'TO HOP NLAN'!E280*'TS-PILE'!$E$73/SUMSQ('TS-PILE'!$E$72:$E$91))+IF(SUMSQ('TS-PILE'!$D$72:$D$91)=0,0,'TO HOP NLAN'!F280*'TS-PILE'!$D$73/SUMSQ('TS-PILE'!$D$72:$D$91))),IF('TS-PILE'!$B$74="",-1E+99,'TO HOP NLAN'!D280/ncoc+IF(SUMSQ('TS-PILE'!$E$72:$E$91)=0,0,'TO HOP NLAN'!E280*'TS-PILE'!$E$74/SUMSQ('TS-PILE'!$E$72:$E$91))+IF(SUMSQ('TS-PILE'!$D$72:$D$91)=0,0,'TO HOP NLAN'!F280*'TS-PILE'!$D$74/SUMSQ('TS-PILE'!$D$72:$D$91))),IF('TS-PILE'!$B$75="",-1E+99,'TO HOP NLAN'!D280/ncoc+IF(SUMSQ('TS-PILE'!$E$72:$E$91)=0,0,'TO HOP NLAN'!E280*'TS-PILE'!$E$75/SUMSQ('TS-PILE'!$E$72:$E$91))+IF(SUMSQ('TS-PILE'!$D$72:$D$91)=0,0,'TO HOP NLAN'!F280*'TS-PILE'!$D$75/SUMSQ('TS-PILE'!$D$72:$D$91))),IF('TS-PILE'!$B$76="",-1E+99,'TO HOP NLAN'!D280/ncoc+IF(SUMSQ('TS-PILE'!$E$72:$E$91)=0,0,'TO HOP NLAN'!E280*'TS-PILE'!$E$76/SUMSQ('TS-PILE'!$E$72:$E$91))+IF(SUMSQ('TS-PILE'!$D$72:$D$91)=0,0,'TO HOP NLAN'!F280*'TS-PILE'!$D$76/SUMSQ('TS-PILE'!$D$72:$D$91))),IF('TS-PILE'!$B$77="",-1E+99,'TO HOP NLAN'!D280/ncoc+IF(SUMSQ('TS-PILE'!$E$72:$E$91)=0,0,'TO HOP NLAN'!E280*'TS-PILE'!$E$77/SUMSQ('TS-PILE'!$E$72:$E$91))+IF(SUMSQ('TS-PILE'!$D$72:$D$91)=0,0,'TO HOP NLAN'!F280*'TS-PILE'!$D$77/SUMSQ('TS-PILE'!$D$72:$D$91))),IF('TS-PILE'!$B$78="",-1E+99,'TO HOP NLAN'!D280/ncoc+IF(SUMSQ('TS-PILE'!$E$72:$E$91)=0,0,'TO HOP NLAN'!E280*'TS-PILE'!$E$78/SUMSQ('TS-PILE'!$E$72:$E$91))+IF(SUMSQ('TS-PILE'!$D$72:$D$91)=0,0,'TO HOP NLAN'!F280*'TS-PILE'!$D$78/SUMSQ('TS-PILE'!$D$72:$D$91))),IF('TS-PILE'!$B$79="",-1E+99,'TO HOP NLAN'!D280/ncoc+IF(SUMSQ('TS-PILE'!$E$72:$E$91)=0,0,'TO HOP NLAN'!E280*'TS-PILE'!$E$79/SUMSQ('TS-PILE'!$E$72:$E$91))+IF(SUMSQ('TS-PILE'!$D$72:$D$91)=0,0,'TO HOP NLAN'!F280*'TS-PILE'!$D$79/SUMSQ('TS-PILE'!$D$72:$D$91))),IF('TS-PILE'!$B$80="",-1E+99,'TO HOP NLAN'!D280/ncoc+IF(SUMSQ('TS-PILE'!$E$72:$E$91)=0,0,'TO HOP NLAN'!E280*'TS-PILE'!$E$80/SUMSQ('TS-PILE'!$E$72:$E$91))+IF(SUMSQ('TS-PILE'!$D$72:$D$91)=0,0,'TO HOP NLAN'!F280*'TS-PILE'!$D$80/SUMSQ('TS-PILE'!$D$72:$D$91))),IF('TS-PILE'!$B$81="",-1E+99,'TO HOP NLAN'!D280/ncoc+IF(SUMSQ('TS-PILE'!$E$72:$E$91)=0,0,'TO HOP NLAN'!E280*'TS-PILE'!$E$81/SUMSQ('TS-PILE'!$E$72:$E$91))+IF(SUMSQ('TS-PILE'!$D$72:$D$91)=0,0,'TO HOP NLAN'!F280*'TS-PILE'!$D$81/SUMSQ('TS-PILE'!$D$72:$D$91))),IF('TS-PILE'!$B$82="",-1E+99,'TO HOP NLAN'!D280/ncoc+IF(SUMSQ('TS-PILE'!$E$72:$E$91)=0,0,'TO HOP NLAN'!E280*'TS-PILE'!$E$82/SUMSQ('TS-PILE'!$E$72:$E$91))+IF(SUMSQ('TS-PILE'!$D$72:$D$91)=0,0,'TO HOP NLAN'!F280*'TS-PILE'!$D$82/SUMSQ('TS-PILE'!$D$72:$D$91))),IF('TS-PILE'!$B$83="",-1E+99,'TO HOP NLAN'!D280/ncoc+IF(SUMSQ('TS-PILE'!$E$72:$E$91)=0,0,'TO HOP NLAN'!E280*'TS-PILE'!$E$83/SUMSQ('TS-PILE'!$E$72:$E$91))+IF(SUMSQ('TS-PILE'!$D$72:$D$91)=0,0,'TO HOP NLAN'!F280*'TS-PILE'!$D$83/SUMSQ('TS-PILE'!$D$72:$D$91))),IF('TS-PILE'!$B$84="",-1E+99,'TO HOP NLAN'!D280/ncoc+IF(SUMSQ('TS-PILE'!$E$72:$E$91)=0,0,'TO HOP NLAN'!E280*'TS-PILE'!$E$84/SUMSQ('TS-PILE'!$E$72:$E$91))+IF(SUMSQ('TS-PILE'!$D$72:$D$91)=0,0,'TO HOP NLAN'!F280*'TS-PILE'!$D$84/SUMSQ('TS-PILE'!$D$72:$D$91))),IF('TS-PILE'!$B$85="",-1E+99,'TO HOP NLAN'!D280/ncoc+IF(SUMSQ('TS-PILE'!$E$72:$E$91)=0,0,'TO HOP NLAN'!E280*'TS-PILE'!$E$85/SUMSQ('TS-PILE'!$E$72:$E$91))+IF(SUMSQ('TS-PILE'!$D$72:$D$91)=0,0,'TO HOP NLAN'!F280*'TS-PILE'!$D$85/SUMSQ('TS-PILE'!$D$72:$D$91))),IF('TS-PILE'!$B$86="",-1E+99,'TO HOP NLAN'!D280/ncoc+IF(SUMSQ('TS-PILE'!$E$72:$E$91)=0,0,'TO HOP NLAN'!E280*'TS-PILE'!$E$86/SUMSQ('TS-PILE'!$E$72:$E$91))+IF(SUMSQ('TS-PILE'!$D$72:$D$91)=0,0,'TO HOP NLAN'!F280*'TS-PILE'!$D$86/SUMSQ('TS-PILE'!$D$72:$D$91))),IF('TS-PILE'!$B$87="",-1E+99,'TO HOP NLAN'!D280/ncoc+IF(SUMSQ('TS-PILE'!$E$72:$E$91)=0,0,'TO HOP NLAN'!E280*'TS-PILE'!$E$87/SUMSQ('TS-PILE'!$E$72:$E$91))+IF(SUMSQ('TS-PILE'!$D$72:$D$91)=0,0,'TO HOP NLAN'!F280*'TS-PILE'!$D$87/SUMSQ('TS-PILE'!$D$72:$D$91))),IF('TS-PILE'!$B$88="",-1E+99,'TO HOP NLAN'!D280/ncoc+IF(SUMSQ('TS-PILE'!$E$72:$E$91)=0,0,'TO HOP NLAN'!E280*'TS-PILE'!$E$88/SUMSQ('TS-PILE'!$E$72:$E$91))+IF(SUMSQ('TS-PILE'!$D$72:$D$91)=0,0,'TO HOP NLAN'!F280*'TS-PILE'!$D$88/SUMSQ('TS-PILE'!$D$72:$D$91))),IF('TS-PILE'!$B$89="",-1E+99,'TO HOP NLAN'!D280/ncoc+IF(SUMSQ('TS-PILE'!$E$72:$E$91)=0,0,'TO HOP NLAN'!E280*'TS-PILE'!$E$89/SUMSQ('TS-PILE'!$E$72:$E$91))+IF(SUMSQ('TS-PILE'!$D$72:$D$91)=0,0,'TO HOP NLAN'!F280*'TS-PILE'!$D$89/SUMSQ('TS-PILE'!$D$72:$D$91))),IF('TS-PILE'!$B$90="",-1E+99,'TO HOP NLAN'!D280/ncoc+IF(SUMSQ('TS-PILE'!$E$72:$E$91)=0,0,'TO HOP NLAN'!E280*'TS-PILE'!$E$90/SUMSQ('TS-PILE'!$E$72:$E$91))+IF(SUMSQ('TS-PILE'!$D$72:$D$91)=0,0,'TO HOP NLAN'!F280*'TS-PILE'!$D$90/SUMSQ('TS-PILE'!$D$72:$D$91))),IF('TS-PILE'!$B$91="",-1E+99,'TO HOP NLAN'!D280/ncoc+IF(SUMSQ('TS-PILE'!$E$72:$E$91)=0,0,'TO HOP NLAN'!E280*'TS-PILE'!$E$91/SUMSQ('TS-PILE'!$E$72:$E$91))+IF(SUMSQ('TS-PILE'!$D$72:$D$91)=0,0,'TO HOP NLAN'!F280*'TS-PILE'!$D$91/SUMSQ('TS-PILE'!$D$72:$D$91)))))</f>
        <v>0</v>
      </c>
      <c r="D280" s="58">
        <f>IF(A280="",0,MIN(IF('TS-PILE'!$B$72="",1E+99,'TO HOP NLAN'!D280/ncoc+IF(SUMSQ('TS-PILE'!$E$72:$E$91)=0,0,'TO HOP NLAN'!E280*'TS-PILE'!$E$72/SUMSQ('TS-PILE'!$E$72:$E$91))+IF(SUMSQ('TS-PILE'!$D$72:$D$91)=0,0,'TO HOP NLAN'!F280*'TS-PILE'!$D$72/SUMSQ('TS-PILE'!$D$72:$D$91))),IF('TS-PILE'!$B$73="",1E+99,'TO HOP NLAN'!D280/ncoc+IF(SUMSQ('TS-PILE'!$E$72:$E$91)=0,0,'TO HOP NLAN'!E280*'TS-PILE'!$E$73/SUMSQ('TS-PILE'!$E$72:$E$91))+IF(SUMSQ('TS-PILE'!$D$72:$D$91)=0,0,'TO HOP NLAN'!F280*'TS-PILE'!$D$73/SUMSQ('TS-PILE'!$D$72:$D$91))),IF('TS-PILE'!$B$74="",1E+99,'TO HOP NLAN'!D280/ncoc+IF(SUMSQ('TS-PILE'!$E$72:$E$91)=0,0,'TO HOP NLAN'!E280*'TS-PILE'!$E$74/SUMSQ('TS-PILE'!$E$72:$E$91))+IF(SUMSQ('TS-PILE'!$D$72:$D$91)=0,0,'TO HOP NLAN'!F280*'TS-PILE'!$D$74/SUMSQ('TS-PILE'!$D$72:$D$91))),IF('TS-PILE'!$B$75="",1E+99,'TO HOP NLAN'!D280/ncoc+IF(SUMSQ('TS-PILE'!$E$72:$E$91)=0,0,'TO HOP NLAN'!E280*'TS-PILE'!$E$75/SUMSQ('TS-PILE'!$E$72:$E$91))+IF(SUMSQ('TS-PILE'!$D$72:$D$91)=0,0,'TO HOP NLAN'!F280*'TS-PILE'!$D$75/SUMSQ('TS-PILE'!$D$72:$D$91))),IF('TS-PILE'!$B$76="",1E+99,'TO HOP NLAN'!D280/ncoc+IF(SUMSQ('TS-PILE'!$E$72:$E$91)=0,0,'TO HOP NLAN'!E280*'TS-PILE'!$E$76/SUMSQ('TS-PILE'!$E$72:$E$91))+IF(SUMSQ('TS-PILE'!$D$72:$D$91)=0,0,'TO HOP NLAN'!F280*'TS-PILE'!$D$76/SUMSQ('TS-PILE'!$D$72:$D$91))),IF('TS-PILE'!$B$77="",1E+99,'TO HOP NLAN'!D280/ncoc+IF(SUMSQ('TS-PILE'!$E$72:$E$91)=0,0,'TO HOP NLAN'!E280*'TS-PILE'!$E$77/SUMSQ('TS-PILE'!$E$72:$E$91))+IF(SUMSQ('TS-PILE'!$D$72:$D$91)=0,0,'TO HOP NLAN'!F280*'TS-PILE'!$D$77/SUMSQ('TS-PILE'!$D$72:$D$91))),IF('TS-PILE'!$B$78="",1E+99,'TO HOP NLAN'!D280/ncoc+IF(SUMSQ('TS-PILE'!$E$72:$E$91)=0,0,'TO HOP NLAN'!E280*'TS-PILE'!$E$78/SUMSQ('TS-PILE'!$E$72:$E$91))+IF(SUMSQ('TS-PILE'!$D$72:$D$91)=0,0,'TO HOP NLAN'!F280*'TS-PILE'!$D$78/SUMSQ('TS-PILE'!$D$72:$D$91))),IF('TS-PILE'!$B$79="",1E+99,'TO HOP NLAN'!D280/ncoc+IF(SUMSQ('TS-PILE'!$E$72:$E$91)=0,0,'TO HOP NLAN'!E280*'TS-PILE'!$E$79/SUMSQ('TS-PILE'!$E$72:$E$91))+IF(SUMSQ('TS-PILE'!$D$72:$D$91)=0,0,'TO HOP NLAN'!F280*'TS-PILE'!$D$79/SUMSQ('TS-PILE'!$D$72:$D$91))),IF('TS-PILE'!$B$80="",1E+99,'TO HOP NLAN'!D280/ncoc+IF(SUMSQ('TS-PILE'!$E$72:$E$91)=0,0,'TO HOP NLAN'!E280*'TS-PILE'!$E$80/SUMSQ('TS-PILE'!$E$72:$E$91))+IF(SUMSQ('TS-PILE'!$D$72:$D$91)=0,0,'TO HOP NLAN'!F280*'TS-PILE'!$D$80/SUMSQ('TS-PILE'!$D$72:$D$91))),IF('TS-PILE'!$B$81="",1E+99,'TO HOP NLAN'!D280/ncoc+IF(SUMSQ('TS-PILE'!$E$72:$E$91)=0,0,'TO HOP NLAN'!E280*'TS-PILE'!$E$81/SUMSQ('TS-PILE'!$E$72:$E$91))+IF(SUMSQ('TS-PILE'!$D$72:$D$91)=0,0,'TO HOP NLAN'!F280*'TS-PILE'!$D$81/SUMSQ('TS-PILE'!$D$72:$D$91))),IF('TS-PILE'!$B$82="",1E+99,'TO HOP NLAN'!D280/ncoc+IF(SUMSQ('TS-PILE'!$E$72:$E$91)=0,0,'TO HOP NLAN'!E280*'TS-PILE'!$E$82/SUMSQ('TS-PILE'!$E$72:$E$91))+IF(SUMSQ('TS-PILE'!$D$72:$D$91)=0,0,'TO HOP NLAN'!F280*'TS-PILE'!$D$82/SUMSQ('TS-PILE'!$D$72:$D$91))),IF('TS-PILE'!$B$83="",1E+99,'TO HOP NLAN'!D280/ncoc+IF(SUMSQ('TS-PILE'!$E$72:$E$91)=0,0,'TO HOP NLAN'!E280*'TS-PILE'!$E$83/SUMSQ('TS-PILE'!$E$72:$E$91))+IF(SUMSQ('TS-PILE'!$D$72:$D$91)=0,0,'TO HOP NLAN'!F280*'TS-PILE'!$D$83/SUMSQ('TS-PILE'!$D$72:$D$91))),IF('TS-PILE'!$B$84="",1E+99,'TO HOP NLAN'!D280/ncoc+IF(SUMSQ('TS-PILE'!$E$72:$E$91)=0,0,'TO HOP NLAN'!E280*'TS-PILE'!$E$84/SUMSQ('TS-PILE'!$E$72:$E$91))+IF(SUMSQ('TS-PILE'!$D$72:$D$91)=0,0,'TO HOP NLAN'!F280*'TS-PILE'!$D$84/SUMSQ('TS-PILE'!$D$72:$D$91))),IF('TS-PILE'!$B$85="",1E+99,'TO HOP NLAN'!D280/ncoc+IF(SUMSQ('TS-PILE'!$E$72:$E$91)=0,0,'TO HOP NLAN'!E280*'TS-PILE'!$E$85/SUMSQ('TS-PILE'!$E$72:$E$91))+IF(SUMSQ('TS-PILE'!$D$72:$D$91)=0,0,'TO HOP NLAN'!F280*'TS-PILE'!$D$85/SUMSQ('TS-PILE'!$D$72:$D$91))),IF('TS-PILE'!$B$86="",1E+99,'TO HOP NLAN'!D280/ncoc+IF(SUMSQ('TS-PILE'!$E$72:$E$91)=0,0,'TO HOP NLAN'!E280*'TS-PILE'!$E$86/SUMSQ('TS-PILE'!$E$72:$E$91))+IF(SUMSQ('TS-PILE'!$D$72:$D$91)=0,0,'TO HOP NLAN'!F280*'TS-PILE'!$D$86/SUMSQ('TS-PILE'!$D$72:$D$91))),IF('TS-PILE'!$B$87="",1E+99,'TO HOP NLAN'!D280/ncoc+IF(SUMSQ('TS-PILE'!$E$72:$E$91)=0,0,'TO HOP NLAN'!E280*'TS-PILE'!$E$87/SUMSQ('TS-PILE'!$E$72:$E$91))+IF(SUMSQ('TS-PILE'!$D$72:$D$91)=0,0,'TO HOP NLAN'!F280*'TS-PILE'!$D$87/SUMSQ('TS-PILE'!$D$72:$D$91))),IF('TS-PILE'!$B$88="",1E+99,'TO HOP NLAN'!D280/ncoc+IF(SUMSQ('TS-PILE'!$E$72:$E$91)=0,0,'TO HOP NLAN'!E280*'TS-PILE'!$E$88/SUMSQ('TS-PILE'!$E$72:$E$91))+IF(SUMSQ('TS-PILE'!$D$72:$D$91)=0,0,'TO HOP NLAN'!F280*'TS-PILE'!$D$88/SUMSQ('TS-PILE'!$D$72:$D$91))),IF('TS-PILE'!$B$89="",1E+99,'TO HOP NLAN'!D280/ncoc+IF(SUMSQ('TS-PILE'!$E$72:$E$91)=0,0,'TO HOP NLAN'!E280*'TS-PILE'!$E$89/SUMSQ('TS-PILE'!$E$72:$E$91))+IF(SUMSQ('TS-PILE'!$D$72:$D$91)=0,0,'TO HOP NLAN'!F280*'TS-PILE'!$D$89/SUMSQ('TS-PILE'!$D$72:$D$91))),IF('TS-PILE'!$B$90="",1E+99,'TO HOP NLAN'!D280/ncoc+IF(SUMSQ('TS-PILE'!$E$72:$E$91)=0,0,'TO HOP NLAN'!E280*'TS-PILE'!$E$90/SUMSQ('TS-PILE'!$E$72:$E$91))+IF(SUMSQ('TS-PILE'!$D$72:$D$91)=0,0,'TO HOP NLAN'!F280*'TS-PILE'!$D$90/SUMSQ('TS-PILE'!$D$72:$D$91))),IF('TS-PILE'!$B$91="",1E+99,'TO HOP NLAN'!D280/ncoc+IF(SUMSQ('TS-PILE'!$E$72:$E$91)=0,0,'TO HOP NLAN'!E280*'TS-PILE'!$E$91/SUMSQ('TS-PILE'!$E$72:$E$91))+IF(SUMSQ('TS-PILE'!$D$72:$D$91)=0,0,'TO HOP NLAN'!F280*'TS-PILE'!$D$91/SUMSQ('TS-PILE'!$D$72:$D$91)))))</f>
        <v>0</v>
      </c>
      <c r="E280" s="58">
        <f t="shared" si="16"/>
        <v>-9.9999999999999997E+98</v>
      </c>
      <c r="F280" s="58">
        <f t="shared" si="17"/>
        <v>9.9999999999999997E+98</v>
      </c>
      <c r="G280" s="58">
        <f t="shared" si="18"/>
        <v>-9.9999999999999997E+98</v>
      </c>
      <c r="H280" s="58">
        <f t="shared" si="19"/>
        <v>9.9999999999999997E+98</v>
      </c>
    </row>
    <row r="281" spans="1:8" x14ac:dyDescent="0.3">
      <c r="A281" s="42" t="str">
        <f>'TO HOP NLAN'!A281</f>
        <v/>
      </c>
      <c r="B281" s="42" t="str">
        <f>'TO HOP NLAN'!L281</f>
        <v>STRENGTH</v>
      </c>
      <c r="C281" s="58">
        <f>IF(A281="",0,MAX(IF('TS-PILE'!$B$72="",-1E+99,'TO HOP NLAN'!D281/ncoc+IF(SUMSQ('TS-PILE'!$E$72:$E$91)=0,0,'TO HOP NLAN'!E281*'TS-PILE'!$E$72/SUMSQ('TS-PILE'!$E$72:$E$91))+IF(SUMSQ('TS-PILE'!$D$72:$D$91)=0,0,'TO HOP NLAN'!F281*'TS-PILE'!$D$72/SUMSQ('TS-PILE'!$D$72:$D$91))),IF('TS-PILE'!$B$73="",-1E+99,'TO HOP NLAN'!D281/ncoc+IF(SUMSQ('TS-PILE'!$E$72:$E$91)=0,0,'TO HOP NLAN'!E281*'TS-PILE'!$E$73/SUMSQ('TS-PILE'!$E$72:$E$91))+IF(SUMSQ('TS-PILE'!$D$72:$D$91)=0,0,'TO HOP NLAN'!F281*'TS-PILE'!$D$73/SUMSQ('TS-PILE'!$D$72:$D$91))),IF('TS-PILE'!$B$74="",-1E+99,'TO HOP NLAN'!D281/ncoc+IF(SUMSQ('TS-PILE'!$E$72:$E$91)=0,0,'TO HOP NLAN'!E281*'TS-PILE'!$E$74/SUMSQ('TS-PILE'!$E$72:$E$91))+IF(SUMSQ('TS-PILE'!$D$72:$D$91)=0,0,'TO HOP NLAN'!F281*'TS-PILE'!$D$74/SUMSQ('TS-PILE'!$D$72:$D$91))),IF('TS-PILE'!$B$75="",-1E+99,'TO HOP NLAN'!D281/ncoc+IF(SUMSQ('TS-PILE'!$E$72:$E$91)=0,0,'TO HOP NLAN'!E281*'TS-PILE'!$E$75/SUMSQ('TS-PILE'!$E$72:$E$91))+IF(SUMSQ('TS-PILE'!$D$72:$D$91)=0,0,'TO HOP NLAN'!F281*'TS-PILE'!$D$75/SUMSQ('TS-PILE'!$D$72:$D$91))),IF('TS-PILE'!$B$76="",-1E+99,'TO HOP NLAN'!D281/ncoc+IF(SUMSQ('TS-PILE'!$E$72:$E$91)=0,0,'TO HOP NLAN'!E281*'TS-PILE'!$E$76/SUMSQ('TS-PILE'!$E$72:$E$91))+IF(SUMSQ('TS-PILE'!$D$72:$D$91)=0,0,'TO HOP NLAN'!F281*'TS-PILE'!$D$76/SUMSQ('TS-PILE'!$D$72:$D$91))),IF('TS-PILE'!$B$77="",-1E+99,'TO HOP NLAN'!D281/ncoc+IF(SUMSQ('TS-PILE'!$E$72:$E$91)=0,0,'TO HOP NLAN'!E281*'TS-PILE'!$E$77/SUMSQ('TS-PILE'!$E$72:$E$91))+IF(SUMSQ('TS-PILE'!$D$72:$D$91)=0,0,'TO HOP NLAN'!F281*'TS-PILE'!$D$77/SUMSQ('TS-PILE'!$D$72:$D$91))),IF('TS-PILE'!$B$78="",-1E+99,'TO HOP NLAN'!D281/ncoc+IF(SUMSQ('TS-PILE'!$E$72:$E$91)=0,0,'TO HOP NLAN'!E281*'TS-PILE'!$E$78/SUMSQ('TS-PILE'!$E$72:$E$91))+IF(SUMSQ('TS-PILE'!$D$72:$D$91)=0,0,'TO HOP NLAN'!F281*'TS-PILE'!$D$78/SUMSQ('TS-PILE'!$D$72:$D$91))),IF('TS-PILE'!$B$79="",-1E+99,'TO HOP NLAN'!D281/ncoc+IF(SUMSQ('TS-PILE'!$E$72:$E$91)=0,0,'TO HOP NLAN'!E281*'TS-PILE'!$E$79/SUMSQ('TS-PILE'!$E$72:$E$91))+IF(SUMSQ('TS-PILE'!$D$72:$D$91)=0,0,'TO HOP NLAN'!F281*'TS-PILE'!$D$79/SUMSQ('TS-PILE'!$D$72:$D$91))),IF('TS-PILE'!$B$80="",-1E+99,'TO HOP NLAN'!D281/ncoc+IF(SUMSQ('TS-PILE'!$E$72:$E$91)=0,0,'TO HOP NLAN'!E281*'TS-PILE'!$E$80/SUMSQ('TS-PILE'!$E$72:$E$91))+IF(SUMSQ('TS-PILE'!$D$72:$D$91)=0,0,'TO HOP NLAN'!F281*'TS-PILE'!$D$80/SUMSQ('TS-PILE'!$D$72:$D$91))),IF('TS-PILE'!$B$81="",-1E+99,'TO HOP NLAN'!D281/ncoc+IF(SUMSQ('TS-PILE'!$E$72:$E$91)=0,0,'TO HOP NLAN'!E281*'TS-PILE'!$E$81/SUMSQ('TS-PILE'!$E$72:$E$91))+IF(SUMSQ('TS-PILE'!$D$72:$D$91)=0,0,'TO HOP NLAN'!F281*'TS-PILE'!$D$81/SUMSQ('TS-PILE'!$D$72:$D$91))),IF('TS-PILE'!$B$82="",-1E+99,'TO HOP NLAN'!D281/ncoc+IF(SUMSQ('TS-PILE'!$E$72:$E$91)=0,0,'TO HOP NLAN'!E281*'TS-PILE'!$E$82/SUMSQ('TS-PILE'!$E$72:$E$91))+IF(SUMSQ('TS-PILE'!$D$72:$D$91)=0,0,'TO HOP NLAN'!F281*'TS-PILE'!$D$82/SUMSQ('TS-PILE'!$D$72:$D$91))),IF('TS-PILE'!$B$83="",-1E+99,'TO HOP NLAN'!D281/ncoc+IF(SUMSQ('TS-PILE'!$E$72:$E$91)=0,0,'TO HOP NLAN'!E281*'TS-PILE'!$E$83/SUMSQ('TS-PILE'!$E$72:$E$91))+IF(SUMSQ('TS-PILE'!$D$72:$D$91)=0,0,'TO HOP NLAN'!F281*'TS-PILE'!$D$83/SUMSQ('TS-PILE'!$D$72:$D$91))),IF('TS-PILE'!$B$84="",-1E+99,'TO HOP NLAN'!D281/ncoc+IF(SUMSQ('TS-PILE'!$E$72:$E$91)=0,0,'TO HOP NLAN'!E281*'TS-PILE'!$E$84/SUMSQ('TS-PILE'!$E$72:$E$91))+IF(SUMSQ('TS-PILE'!$D$72:$D$91)=0,0,'TO HOP NLAN'!F281*'TS-PILE'!$D$84/SUMSQ('TS-PILE'!$D$72:$D$91))),IF('TS-PILE'!$B$85="",-1E+99,'TO HOP NLAN'!D281/ncoc+IF(SUMSQ('TS-PILE'!$E$72:$E$91)=0,0,'TO HOP NLAN'!E281*'TS-PILE'!$E$85/SUMSQ('TS-PILE'!$E$72:$E$91))+IF(SUMSQ('TS-PILE'!$D$72:$D$91)=0,0,'TO HOP NLAN'!F281*'TS-PILE'!$D$85/SUMSQ('TS-PILE'!$D$72:$D$91))),IF('TS-PILE'!$B$86="",-1E+99,'TO HOP NLAN'!D281/ncoc+IF(SUMSQ('TS-PILE'!$E$72:$E$91)=0,0,'TO HOP NLAN'!E281*'TS-PILE'!$E$86/SUMSQ('TS-PILE'!$E$72:$E$91))+IF(SUMSQ('TS-PILE'!$D$72:$D$91)=0,0,'TO HOP NLAN'!F281*'TS-PILE'!$D$86/SUMSQ('TS-PILE'!$D$72:$D$91))),IF('TS-PILE'!$B$87="",-1E+99,'TO HOP NLAN'!D281/ncoc+IF(SUMSQ('TS-PILE'!$E$72:$E$91)=0,0,'TO HOP NLAN'!E281*'TS-PILE'!$E$87/SUMSQ('TS-PILE'!$E$72:$E$91))+IF(SUMSQ('TS-PILE'!$D$72:$D$91)=0,0,'TO HOP NLAN'!F281*'TS-PILE'!$D$87/SUMSQ('TS-PILE'!$D$72:$D$91))),IF('TS-PILE'!$B$88="",-1E+99,'TO HOP NLAN'!D281/ncoc+IF(SUMSQ('TS-PILE'!$E$72:$E$91)=0,0,'TO HOP NLAN'!E281*'TS-PILE'!$E$88/SUMSQ('TS-PILE'!$E$72:$E$91))+IF(SUMSQ('TS-PILE'!$D$72:$D$91)=0,0,'TO HOP NLAN'!F281*'TS-PILE'!$D$88/SUMSQ('TS-PILE'!$D$72:$D$91))),IF('TS-PILE'!$B$89="",-1E+99,'TO HOP NLAN'!D281/ncoc+IF(SUMSQ('TS-PILE'!$E$72:$E$91)=0,0,'TO HOP NLAN'!E281*'TS-PILE'!$E$89/SUMSQ('TS-PILE'!$E$72:$E$91))+IF(SUMSQ('TS-PILE'!$D$72:$D$91)=0,0,'TO HOP NLAN'!F281*'TS-PILE'!$D$89/SUMSQ('TS-PILE'!$D$72:$D$91))),IF('TS-PILE'!$B$90="",-1E+99,'TO HOP NLAN'!D281/ncoc+IF(SUMSQ('TS-PILE'!$E$72:$E$91)=0,0,'TO HOP NLAN'!E281*'TS-PILE'!$E$90/SUMSQ('TS-PILE'!$E$72:$E$91))+IF(SUMSQ('TS-PILE'!$D$72:$D$91)=0,0,'TO HOP NLAN'!F281*'TS-PILE'!$D$90/SUMSQ('TS-PILE'!$D$72:$D$91))),IF('TS-PILE'!$B$91="",-1E+99,'TO HOP NLAN'!D281/ncoc+IF(SUMSQ('TS-PILE'!$E$72:$E$91)=0,0,'TO HOP NLAN'!E281*'TS-PILE'!$E$91/SUMSQ('TS-PILE'!$E$72:$E$91))+IF(SUMSQ('TS-PILE'!$D$72:$D$91)=0,0,'TO HOP NLAN'!F281*'TS-PILE'!$D$91/SUMSQ('TS-PILE'!$D$72:$D$91)))))</f>
        <v>0</v>
      </c>
      <c r="D281" s="58">
        <f>IF(A281="",0,MIN(IF('TS-PILE'!$B$72="",1E+99,'TO HOP NLAN'!D281/ncoc+IF(SUMSQ('TS-PILE'!$E$72:$E$91)=0,0,'TO HOP NLAN'!E281*'TS-PILE'!$E$72/SUMSQ('TS-PILE'!$E$72:$E$91))+IF(SUMSQ('TS-PILE'!$D$72:$D$91)=0,0,'TO HOP NLAN'!F281*'TS-PILE'!$D$72/SUMSQ('TS-PILE'!$D$72:$D$91))),IF('TS-PILE'!$B$73="",1E+99,'TO HOP NLAN'!D281/ncoc+IF(SUMSQ('TS-PILE'!$E$72:$E$91)=0,0,'TO HOP NLAN'!E281*'TS-PILE'!$E$73/SUMSQ('TS-PILE'!$E$72:$E$91))+IF(SUMSQ('TS-PILE'!$D$72:$D$91)=0,0,'TO HOP NLAN'!F281*'TS-PILE'!$D$73/SUMSQ('TS-PILE'!$D$72:$D$91))),IF('TS-PILE'!$B$74="",1E+99,'TO HOP NLAN'!D281/ncoc+IF(SUMSQ('TS-PILE'!$E$72:$E$91)=0,0,'TO HOP NLAN'!E281*'TS-PILE'!$E$74/SUMSQ('TS-PILE'!$E$72:$E$91))+IF(SUMSQ('TS-PILE'!$D$72:$D$91)=0,0,'TO HOP NLAN'!F281*'TS-PILE'!$D$74/SUMSQ('TS-PILE'!$D$72:$D$91))),IF('TS-PILE'!$B$75="",1E+99,'TO HOP NLAN'!D281/ncoc+IF(SUMSQ('TS-PILE'!$E$72:$E$91)=0,0,'TO HOP NLAN'!E281*'TS-PILE'!$E$75/SUMSQ('TS-PILE'!$E$72:$E$91))+IF(SUMSQ('TS-PILE'!$D$72:$D$91)=0,0,'TO HOP NLAN'!F281*'TS-PILE'!$D$75/SUMSQ('TS-PILE'!$D$72:$D$91))),IF('TS-PILE'!$B$76="",1E+99,'TO HOP NLAN'!D281/ncoc+IF(SUMSQ('TS-PILE'!$E$72:$E$91)=0,0,'TO HOP NLAN'!E281*'TS-PILE'!$E$76/SUMSQ('TS-PILE'!$E$72:$E$91))+IF(SUMSQ('TS-PILE'!$D$72:$D$91)=0,0,'TO HOP NLAN'!F281*'TS-PILE'!$D$76/SUMSQ('TS-PILE'!$D$72:$D$91))),IF('TS-PILE'!$B$77="",1E+99,'TO HOP NLAN'!D281/ncoc+IF(SUMSQ('TS-PILE'!$E$72:$E$91)=0,0,'TO HOP NLAN'!E281*'TS-PILE'!$E$77/SUMSQ('TS-PILE'!$E$72:$E$91))+IF(SUMSQ('TS-PILE'!$D$72:$D$91)=0,0,'TO HOP NLAN'!F281*'TS-PILE'!$D$77/SUMSQ('TS-PILE'!$D$72:$D$91))),IF('TS-PILE'!$B$78="",1E+99,'TO HOP NLAN'!D281/ncoc+IF(SUMSQ('TS-PILE'!$E$72:$E$91)=0,0,'TO HOP NLAN'!E281*'TS-PILE'!$E$78/SUMSQ('TS-PILE'!$E$72:$E$91))+IF(SUMSQ('TS-PILE'!$D$72:$D$91)=0,0,'TO HOP NLAN'!F281*'TS-PILE'!$D$78/SUMSQ('TS-PILE'!$D$72:$D$91))),IF('TS-PILE'!$B$79="",1E+99,'TO HOP NLAN'!D281/ncoc+IF(SUMSQ('TS-PILE'!$E$72:$E$91)=0,0,'TO HOP NLAN'!E281*'TS-PILE'!$E$79/SUMSQ('TS-PILE'!$E$72:$E$91))+IF(SUMSQ('TS-PILE'!$D$72:$D$91)=0,0,'TO HOP NLAN'!F281*'TS-PILE'!$D$79/SUMSQ('TS-PILE'!$D$72:$D$91))),IF('TS-PILE'!$B$80="",1E+99,'TO HOP NLAN'!D281/ncoc+IF(SUMSQ('TS-PILE'!$E$72:$E$91)=0,0,'TO HOP NLAN'!E281*'TS-PILE'!$E$80/SUMSQ('TS-PILE'!$E$72:$E$91))+IF(SUMSQ('TS-PILE'!$D$72:$D$91)=0,0,'TO HOP NLAN'!F281*'TS-PILE'!$D$80/SUMSQ('TS-PILE'!$D$72:$D$91))),IF('TS-PILE'!$B$81="",1E+99,'TO HOP NLAN'!D281/ncoc+IF(SUMSQ('TS-PILE'!$E$72:$E$91)=0,0,'TO HOP NLAN'!E281*'TS-PILE'!$E$81/SUMSQ('TS-PILE'!$E$72:$E$91))+IF(SUMSQ('TS-PILE'!$D$72:$D$91)=0,0,'TO HOP NLAN'!F281*'TS-PILE'!$D$81/SUMSQ('TS-PILE'!$D$72:$D$91))),IF('TS-PILE'!$B$82="",1E+99,'TO HOP NLAN'!D281/ncoc+IF(SUMSQ('TS-PILE'!$E$72:$E$91)=0,0,'TO HOP NLAN'!E281*'TS-PILE'!$E$82/SUMSQ('TS-PILE'!$E$72:$E$91))+IF(SUMSQ('TS-PILE'!$D$72:$D$91)=0,0,'TO HOP NLAN'!F281*'TS-PILE'!$D$82/SUMSQ('TS-PILE'!$D$72:$D$91))),IF('TS-PILE'!$B$83="",1E+99,'TO HOP NLAN'!D281/ncoc+IF(SUMSQ('TS-PILE'!$E$72:$E$91)=0,0,'TO HOP NLAN'!E281*'TS-PILE'!$E$83/SUMSQ('TS-PILE'!$E$72:$E$91))+IF(SUMSQ('TS-PILE'!$D$72:$D$91)=0,0,'TO HOP NLAN'!F281*'TS-PILE'!$D$83/SUMSQ('TS-PILE'!$D$72:$D$91))),IF('TS-PILE'!$B$84="",1E+99,'TO HOP NLAN'!D281/ncoc+IF(SUMSQ('TS-PILE'!$E$72:$E$91)=0,0,'TO HOP NLAN'!E281*'TS-PILE'!$E$84/SUMSQ('TS-PILE'!$E$72:$E$91))+IF(SUMSQ('TS-PILE'!$D$72:$D$91)=0,0,'TO HOP NLAN'!F281*'TS-PILE'!$D$84/SUMSQ('TS-PILE'!$D$72:$D$91))),IF('TS-PILE'!$B$85="",1E+99,'TO HOP NLAN'!D281/ncoc+IF(SUMSQ('TS-PILE'!$E$72:$E$91)=0,0,'TO HOP NLAN'!E281*'TS-PILE'!$E$85/SUMSQ('TS-PILE'!$E$72:$E$91))+IF(SUMSQ('TS-PILE'!$D$72:$D$91)=0,0,'TO HOP NLAN'!F281*'TS-PILE'!$D$85/SUMSQ('TS-PILE'!$D$72:$D$91))),IF('TS-PILE'!$B$86="",1E+99,'TO HOP NLAN'!D281/ncoc+IF(SUMSQ('TS-PILE'!$E$72:$E$91)=0,0,'TO HOP NLAN'!E281*'TS-PILE'!$E$86/SUMSQ('TS-PILE'!$E$72:$E$91))+IF(SUMSQ('TS-PILE'!$D$72:$D$91)=0,0,'TO HOP NLAN'!F281*'TS-PILE'!$D$86/SUMSQ('TS-PILE'!$D$72:$D$91))),IF('TS-PILE'!$B$87="",1E+99,'TO HOP NLAN'!D281/ncoc+IF(SUMSQ('TS-PILE'!$E$72:$E$91)=0,0,'TO HOP NLAN'!E281*'TS-PILE'!$E$87/SUMSQ('TS-PILE'!$E$72:$E$91))+IF(SUMSQ('TS-PILE'!$D$72:$D$91)=0,0,'TO HOP NLAN'!F281*'TS-PILE'!$D$87/SUMSQ('TS-PILE'!$D$72:$D$91))),IF('TS-PILE'!$B$88="",1E+99,'TO HOP NLAN'!D281/ncoc+IF(SUMSQ('TS-PILE'!$E$72:$E$91)=0,0,'TO HOP NLAN'!E281*'TS-PILE'!$E$88/SUMSQ('TS-PILE'!$E$72:$E$91))+IF(SUMSQ('TS-PILE'!$D$72:$D$91)=0,0,'TO HOP NLAN'!F281*'TS-PILE'!$D$88/SUMSQ('TS-PILE'!$D$72:$D$91))),IF('TS-PILE'!$B$89="",1E+99,'TO HOP NLAN'!D281/ncoc+IF(SUMSQ('TS-PILE'!$E$72:$E$91)=0,0,'TO HOP NLAN'!E281*'TS-PILE'!$E$89/SUMSQ('TS-PILE'!$E$72:$E$91))+IF(SUMSQ('TS-PILE'!$D$72:$D$91)=0,0,'TO HOP NLAN'!F281*'TS-PILE'!$D$89/SUMSQ('TS-PILE'!$D$72:$D$91))),IF('TS-PILE'!$B$90="",1E+99,'TO HOP NLAN'!D281/ncoc+IF(SUMSQ('TS-PILE'!$E$72:$E$91)=0,0,'TO HOP NLAN'!E281*'TS-PILE'!$E$90/SUMSQ('TS-PILE'!$E$72:$E$91))+IF(SUMSQ('TS-PILE'!$D$72:$D$91)=0,0,'TO HOP NLAN'!F281*'TS-PILE'!$D$90/SUMSQ('TS-PILE'!$D$72:$D$91))),IF('TS-PILE'!$B$91="",1E+99,'TO HOP NLAN'!D281/ncoc+IF(SUMSQ('TS-PILE'!$E$72:$E$91)=0,0,'TO HOP NLAN'!E281*'TS-PILE'!$E$91/SUMSQ('TS-PILE'!$E$72:$E$91))+IF(SUMSQ('TS-PILE'!$D$72:$D$91)=0,0,'TO HOP NLAN'!F281*'TS-PILE'!$D$91/SUMSQ('TS-PILE'!$D$72:$D$91)))))</f>
        <v>0</v>
      </c>
      <c r="E281" s="58">
        <f t="shared" si="16"/>
        <v>-9.9999999999999997E+98</v>
      </c>
      <c r="F281" s="58">
        <f t="shared" si="17"/>
        <v>9.9999999999999997E+98</v>
      </c>
      <c r="G281" s="58">
        <f t="shared" si="18"/>
        <v>-9.9999999999999997E+98</v>
      </c>
      <c r="H281" s="58">
        <f t="shared" si="19"/>
        <v>9.9999999999999997E+98</v>
      </c>
    </row>
    <row r="282" spans="1:8" x14ac:dyDescent="0.3">
      <c r="A282" s="42" t="str">
        <f>'TO HOP NLAN'!A282</f>
        <v/>
      </c>
      <c r="B282" s="42" t="str">
        <f>'TO HOP NLAN'!L282</f>
        <v>STRENGTH</v>
      </c>
      <c r="C282" s="58">
        <f>IF(A282="",0,MAX(IF('TS-PILE'!$B$72="",-1E+99,'TO HOP NLAN'!D282/ncoc+IF(SUMSQ('TS-PILE'!$E$72:$E$91)=0,0,'TO HOP NLAN'!E282*'TS-PILE'!$E$72/SUMSQ('TS-PILE'!$E$72:$E$91))+IF(SUMSQ('TS-PILE'!$D$72:$D$91)=0,0,'TO HOP NLAN'!F282*'TS-PILE'!$D$72/SUMSQ('TS-PILE'!$D$72:$D$91))),IF('TS-PILE'!$B$73="",-1E+99,'TO HOP NLAN'!D282/ncoc+IF(SUMSQ('TS-PILE'!$E$72:$E$91)=0,0,'TO HOP NLAN'!E282*'TS-PILE'!$E$73/SUMSQ('TS-PILE'!$E$72:$E$91))+IF(SUMSQ('TS-PILE'!$D$72:$D$91)=0,0,'TO HOP NLAN'!F282*'TS-PILE'!$D$73/SUMSQ('TS-PILE'!$D$72:$D$91))),IF('TS-PILE'!$B$74="",-1E+99,'TO HOP NLAN'!D282/ncoc+IF(SUMSQ('TS-PILE'!$E$72:$E$91)=0,0,'TO HOP NLAN'!E282*'TS-PILE'!$E$74/SUMSQ('TS-PILE'!$E$72:$E$91))+IF(SUMSQ('TS-PILE'!$D$72:$D$91)=0,0,'TO HOP NLAN'!F282*'TS-PILE'!$D$74/SUMSQ('TS-PILE'!$D$72:$D$91))),IF('TS-PILE'!$B$75="",-1E+99,'TO HOP NLAN'!D282/ncoc+IF(SUMSQ('TS-PILE'!$E$72:$E$91)=0,0,'TO HOP NLAN'!E282*'TS-PILE'!$E$75/SUMSQ('TS-PILE'!$E$72:$E$91))+IF(SUMSQ('TS-PILE'!$D$72:$D$91)=0,0,'TO HOP NLAN'!F282*'TS-PILE'!$D$75/SUMSQ('TS-PILE'!$D$72:$D$91))),IF('TS-PILE'!$B$76="",-1E+99,'TO HOP NLAN'!D282/ncoc+IF(SUMSQ('TS-PILE'!$E$72:$E$91)=0,0,'TO HOP NLAN'!E282*'TS-PILE'!$E$76/SUMSQ('TS-PILE'!$E$72:$E$91))+IF(SUMSQ('TS-PILE'!$D$72:$D$91)=0,0,'TO HOP NLAN'!F282*'TS-PILE'!$D$76/SUMSQ('TS-PILE'!$D$72:$D$91))),IF('TS-PILE'!$B$77="",-1E+99,'TO HOP NLAN'!D282/ncoc+IF(SUMSQ('TS-PILE'!$E$72:$E$91)=0,0,'TO HOP NLAN'!E282*'TS-PILE'!$E$77/SUMSQ('TS-PILE'!$E$72:$E$91))+IF(SUMSQ('TS-PILE'!$D$72:$D$91)=0,0,'TO HOP NLAN'!F282*'TS-PILE'!$D$77/SUMSQ('TS-PILE'!$D$72:$D$91))),IF('TS-PILE'!$B$78="",-1E+99,'TO HOP NLAN'!D282/ncoc+IF(SUMSQ('TS-PILE'!$E$72:$E$91)=0,0,'TO HOP NLAN'!E282*'TS-PILE'!$E$78/SUMSQ('TS-PILE'!$E$72:$E$91))+IF(SUMSQ('TS-PILE'!$D$72:$D$91)=0,0,'TO HOP NLAN'!F282*'TS-PILE'!$D$78/SUMSQ('TS-PILE'!$D$72:$D$91))),IF('TS-PILE'!$B$79="",-1E+99,'TO HOP NLAN'!D282/ncoc+IF(SUMSQ('TS-PILE'!$E$72:$E$91)=0,0,'TO HOP NLAN'!E282*'TS-PILE'!$E$79/SUMSQ('TS-PILE'!$E$72:$E$91))+IF(SUMSQ('TS-PILE'!$D$72:$D$91)=0,0,'TO HOP NLAN'!F282*'TS-PILE'!$D$79/SUMSQ('TS-PILE'!$D$72:$D$91))),IF('TS-PILE'!$B$80="",-1E+99,'TO HOP NLAN'!D282/ncoc+IF(SUMSQ('TS-PILE'!$E$72:$E$91)=0,0,'TO HOP NLAN'!E282*'TS-PILE'!$E$80/SUMSQ('TS-PILE'!$E$72:$E$91))+IF(SUMSQ('TS-PILE'!$D$72:$D$91)=0,0,'TO HOP NLAN'!F282*'TS-PILE'!$D$80/SUMSQ('TS-PILE'!$D$72:$D$91))),IF('TS-PILE'!$B$81="",-1E+99,'TO HOP NLAN'!D282/ncoc+IF(SUMSQ('TS-PILE'!$E$72:$E$91)=0,0,'TO HOP NLAN'!E282*'TS-PILE'!$E$81/SUMSQ('TS-PILE'!$E$72:$E$91))+IF(SUMSQ('TS-PILE'!$D$72:$D$91)=0,0,'TO HOP NLAN'!F282*'TS-PILE'!$D$81/SUMSQ('TS-PILE'!$D$72:$D$91))),IF('TS-PILE'!$B$82="",-1E+99,'TO HOP NLAN'!D282/ncoc+IF(SUMSQ('TS-PILE'!$E$72:$E$91)=0,0,'TO HOP NLAN'!E282*'TS-PILE'!$E$82/SUMSQ('TS-PILE'!$E$72:$E$91))+IF(SUMSQ('TS-PILE'!$D$72:$D$91)=0,0,'TO HOP NLAN'!F282*'TS-PILE'!$D$82/SUMSQ('TS-PILE'!$D$72:$D$91))),IF('TS-PILE'!$B$83="",-1E+99,'TO HOP NLAN'!D282/ncoc+IF(SUMSQ('TS-PILE'!$E$72:$E$91)=0,0,'TO HOP NLAN'!E282*'TS-PILE'!$E$83/SUMSQ('TS-PILE'!$E$72:$E$91))+IF(SUMSQ('TS-PILE'!$D$72:$D$91)=0,0,'TO HOP NLAN'!F282*'TS-PILE'!$D$83/SUMSQ('TS-PILE'!$D$72:$D$91))),IF('TS-PILE'!$B$84="",-1E+99,'TO HOP NLAN'!D282/ncoc+IF(SUMSQ('TS-PILE'!$E$72:$E$91)=0,0,'TO HOP NLAN'!E282*'TS-PILE'!$E$84/SUMSQ('TS-PILE'!$E$72:$E$91))+IF(SUMSQ('TS-PILE'!$D$72:$D$91)=0,0,'TO HOP NLAN'!F282*'TS-PILE'!$D$84/SUMSQ('TS-PILE'!$D$72:$D$91))),IF('TS-PILE'!$B$85="",-1E+99,'TO HOP NLAN'!D282/ncoc+IF(SUMSQ('TS-PILE'!$E$72:$E$91)=0,0,'TO HOP NLAN'!E282*'TS-PILE'!$E$85/SUMSQ('TS-PILE'!$E$72:$E$91))+IF(SUMSQ('TS-PILE'!$D$72:$D$91)=0,0,'TO HOP NLAN'!F282*'TS-PILE'!$D$85/SUMSQ('TS-PILE'!$D$72:$D$91))),IF('TS-PILE'!$B$86="",-1E+99,'TO HOP NLAN'!D282/ncoc+IF(SUMSQ('TS-PILE'!$E$72:$E$91)=0,0,'TO HOP NLAN'!E282*'TS-PILE'!$E$86/SUMSQ('TS-PILE'!$E$72:$E$91))+IF(SUMSQ('TS-PILE'!$D$72:$D$91)=0,0,'TO HOP NLAN'!F282*'TS-PILE'!$D$86/SUMSQ('TS-PILE'!$D$72:$D$91))),IF('TS-PILE'!$B$87="",-1E+99,'TO HOP NLAN'!D282/ncoc+IF(SUMSQ('TS-PILE'!$E$72:$E$91)=0,0,'TO HOP NLAN'!E282*'TS-PILE'!$E$87/SUMSQ('TS-PILE'!$E$72:$E$91))+IF(SUMSQ('TS-PILE'!$D$72:$D$91)=0,0,'TO HOP NLAN'!F282*'TS-PILE'!$D$87/SUMSQ('TS-PILE'!$D$72:$D$91))),IF('TS-PILE'!$B$88="",-1E+99,'TO HOP NLAN'!D282/ncoc+IF(SUMSQ('TS-PILE'!$E$72:$E$91)=0,0,'TO HOP NLAN'!E282*'TS-PILE'!$E$88/SUMSQ('TS-PILE'!$E$72:$E$91))+IF(SUMSQ('TS-PILE'!$D$72:$D$91)=0,0,'TO HOP NLAN'!F282*'TS-PILE'!$D$88/SUMSQ('TS-PILE'!$D$72:$D$91))),IF('TS-PILE'!$B$89="",-1E+99,'TO HOP NLAN'!D282/ncoc+IF(SUMSQ('TS-PILE'!$E$72:$E$91)=0,0,'TO HOP NLAN'!E282*'TS-PILE'!$E$89/SUMSQ('TS-PILE'!$E$72:$E$91))+IF(SUMSQ('TS-PILE'!$D$72:$D$91)=0,0,'TO HOP NLAN'!F282*'TS-PILE'!$D$89/SUMSQ('TS-PILE'!$D$72:$D$91))),IF('TS-PILE'!$B$90="",-1E+99,'TO HOP NLAN'!D282/ncoc+IF(SUMSQ('TS-PILE'!$E$72:$E$91)=0,0,'TO HOP NLAN'!E282*'TS-PILE'!$E$90/SUMSQ('TS-PILE'!$E$72:$E$91))+IF(SUMSQ('TS-PILE'!$D$72:$D$91)=0,0,'TO HOP NLAN'!F282*'TS-PILE'!$D$90/SUMSQ('TS-PILE'!$D$72:$D$91))),IF('TS-PILE'!$B$91="",-1E+99,'TO HOP NLAN'!D282/ncoc+IF(SUMSQ('TS-PILE'!$E$72:$E$91)=0,0,'TO HOP NLAN'!E282*'TS-PILE'!$E$91/SUMSQ('TS-PILE'!$E$72:$E$91))+IF(SUMSQ('TS-PILE'!$D$72:$D$91)=0,0,'TO HOP NLAN'!F282*'TS-PILE'!$D$91/SUMSQ('TS-PILE'!$D$72:$D$91)))))</f>
        <v>0</v>
      </c>
      <c r="D282" s="58">
        <f>IF(A282="",0,MIN(IF('TS-PILE'!$B$72="",1E+99,'TO HOP NLAN'!D282/ncoc+IF(SUMSQ('TS-PILE'!$E$72:$E$91)=0,0,'TO HOP NLAN'!E282*'TS-PILE'!$E$72/SUMSQ('TS-PILE'!$E$72:$E$91))+IF(SUMSQ('TS-PILE'!$D$72:$D$91)=0,0,'TO HOP NLAN'!F282*'TS-PILE'!$D$72/SUMSQ('TS-PILE'!$D$72:$D$91))),IF('TS-PILE'!$B$73="",1E+99,'TO HOP NLAN'!D282/ncoc+IF(SUMSQ('TS-PILE'!$E$72:$E$91)=0,0,'TO HOP NLAN'!E282*'TS-PILE'!$E$73/SUMSQ('TS-PILE'!$E$72:$E$91))+IF(SUMSQ('TS-PILE'!$D$72:$D$91)=0,0,'TO HOP NLAN'!F282*'TS-PILE'!$D$73/SUMSQ('TS-PILE'!$D$72:$D$91))),IF('TS-PILE'!$B$74="",1E+99,'TO HOP NLAN'!D282/ncoc+IF(SUMSQ('TS-PILE'!$E$72:$E$91)=0,0,'TO HOP NLAN'!E282*'TS-PILE'!$E$74/SUMSQ('TS-PILE'!$E$72:$E$91))+IF(SUMSQ('TS-PILE'!$D$72:$D$91)=0,0,'TO HOP NLAN'!F282*'TS-PILE'!$D$74/SUMSQ('TS-PILE'!$D$72:$D$91))),IF('TS-PILE'!$B$75="",1E+99,'TO HOP NLAN'!D282/ncoc+IF(SUMSQ('TS-PILE'!$E$72:$E$91)=0,0,'TO HOP NLAN'!E282*'TS-PILE'!$E$75/SUMSQ('TS-PILE'!$E$72:$E$91))+IF(SUMSQ('TS-PILE'!$D$72:$D$91)=0,0,'TO HOP NLAN'!F282*'TS-PILE'!$D$75/SUMSQ('TS-PILE'!$D$72:$D$91))),IF('TS-PILE'!$B$76="",1E+99,'TO HOP NLAN'!D282/ncoc+IF(SUMSQ('TS-PILE'!$E$72:$E$91)=0,0,'TO HOP NLAN'!E282*'TS-PILE'!$E$76/SUMSQ('TS-PILE'!$E$72:$E$91))+IF(SUMSQ('TS-PILE'!$D$72:$D$91)=0,0,'TO HOP NLAN'!F282*'TS-PILE'!$D$76/SUMSQ('TS-PILE'!$D$72:$D$91))),IF('TS-PILE'!$B$77="",1E+99,'TO HOP NLAN'!D282/ncoc+IF(SUMSQ('TS-PILE'!$E$72:$E$91)=0,0,'TO HOP NLAN'!E282*'TS-PILE'!$E$77/SUMSQ('TS-PILE'!$E$72:$E$91))+IF(SUMSQ('TS-PILE'!$D$72:$D$91)=0,0,'TO HOP NLAN'!F282*'TS-PILE'!$D$77/SUMSQ('TS-PILE'!$D$72:$D$91))),IF('TS-PILE'!$B$78="",1E+99,'TO HOP NLAN'!D282/ncoc+IF(SUMSQ('TS-PILE'!$E$72:$E$91)=0,0,'TO HOP NLAN'!E282*'TS-PILE'!$E$78/SUMSQ('TS-PILE'!$E$72:$E$91))+IF(SUMSQ('TS-PILE'!$D$72:$D$91)=0,0,'TO HOP NLAN'!F282*'TS-PILE'!$D$78/SUMSQ('TS-PILE'!$D$72:$D$91))),IF('TS-PILE'!$B$79="",1E+99,'TO HOP NLAN'!D282/ncoc+IF(SUMSQ('TS-PILE'!$E$72:$E$91)=0,0,'TO HOP NLAN'!E282*'TS-PILE'!$E$79/SUMSQ('TS-PILE'!$E$72:$E$91))+IF(SUMSQ('TS-PILE'!$D$72:$D$91)=0,0,'TO HOP NLAN'!F282*'TS-PILE'!$D$79/SUMSQ('TS-PILE'!$D$72:$D$91))),IF('TS-PILE'!$B$80="",1E+99,'TO HOP NLAN'!D282/ncoc+IF(SUMSQ('TS-PILE'!$E$72:$E$91)=0,0,'TO HOP NLAN'!E282*'TS-PILE'!$E$80/SUMSQ('TS-PILE'!$E$72:$E$91))+IF(SUMSQ('TS-PILE'!$D$72:$D$91)=0,0,'TO HOP NLAN'!F282*'TS-PILE'!$D$80/SUMSQ('TS-PILE'!$D$72:$D$91))),IF('TS-PILE'!$B$81="",1E+99,'TO HOP NLAN'!D282/ncoc+IF(SUMSQ('TS-PILE'!$E$72:$E$91)=0,0,'TO HOP NLAN'!E282*'TS-PILE'!$E$81/SUMSQ('TS-PILE'!$E$72:$E$91))+IF(SUMSQ('TS-PILE'!$D$72:$D$91)=0,0,'TO HOP NLAN'!F282*'TS-PILE'!$D$81/SUMSQ('TS-PILE'!$D$72:$D$91))),IF('TS-PILE'!$B$82="",1E+99,'TO HOP NLAN'!D282/ncoc+IF(SUMSQ('TS-PILE'!$E$72:$E$91)=0,0,'TO HOP NLAN'!E282*'TS-PILE'!$E$82/SUMSQ('TS-PILE'!$E$72:$E$91))+IF(SUMSQ('TS-PILE'!$D$72:$D$91)=0,0,'TO HOP NLAN'!F282*'TS-PILE'!$D$82/SUMSQ('TS-PILE'!$D$72:$D$91))),IF('TS-PILE'!$B$83="",1E+99,'TO HOP NLAN'!D282/ncoc+IF(SUMSQ('TS-PILE'!$E$72:$E$91)=0,0,'TO HOP NLAN'!E282*'TS-PILE'!$E$83/SUMSQ('TS-PILE'!$E$72:$E$91))+IF(SUMSQ('TS-PILE'!$D$72:$D$91)=0,0,'TO HOP NLAN'!F282*'TS-PILE'!$D$83/SUMSQ('TS-PILE'!$D$72:$D$91))),IF('TS-PILE'!$B$84="",1E+99,'TO HOP NLAN'!D282/ncoc+IF(SUMSQ('TS-PILE'!$E$72:$E$91)=0,0,'TO HOP NLAN'!E282*'TS-PILE'!$E$84/SUMSQ('TS-PILE'!$E$72:$E$91))+IF(SUMSQ('TS-PILE'!$D$72:$D$91)=0,0,'TO HOP NLAN'!F282*'TS-PILE'!$D$84/SUMSQ('TS-PILE'!$D$72:$D$91))),IF('TS-PILE'!$B$85="",1E+99,'TO HOP NLAN'!D282/ncoc+IF(SUMSQ('TS-PILE'!$E$72:$E$91)=0,0,'TO HOP NLAN'!E282*'TS-PILE'!$E$85/SUMSQ('TS-PILE'!$E$72:$E$91))+IF(SUMSQ('TS-PILE'!$D$72:$D$91)=0,0,'TO HOP NLAN'!F282*'TS-PILE'!$D$85/SUMSQ('TS-PILE'!$D$72:$D$91))),IF('TS-PILE'!$B$86="",1E+99,'TO HOP NLAN'!D282/ncoc+IF(SUMSQ('TS-PILE'!$E$72:$E$91)=0,0,'TO HOP NLAN'!E282*'TS-PILE'!$E$86/SUMSQ('TS-PILE'!$E$72:$E$91))+IF(SUMSQ('TS-PILE'!$D$72:$D$91)=0,0,'TO HOP NLAN'!F282*'TS-PILE'!$D$86/SUMSQ('TS-PILE'!$D$72:$D$91))),IF('TS-PILE'!$B$87="",1E+99,'TO HOP NLAN'!D282/ncoc+IF(SUMSQ('TS-PILE'!$E$72:$E$91)=0,0,'TO HOP NLAN'!E282*'TS-PILE'!$E$87/SUMSQ('TS-PILE'!$E$72:$E$91))+IF(SUMSQ('TS-PILE'!$D$72:$D$91)=0,0,'TO HOP NLAN'!F282*'TS-PILE'!$D$87/SUMSQ('TS-PILE'!$D$72:$D$91))),IF('TS-PILE'!$B$88="",1E+99,'TO HOP NLAN'!D282/ncoc+IF(SUMSQ('TS-PILE'!$E$72:$E$91)=0,0,'TO HOP NLAN'!E282*'TS-PILE'!$E$88/SUMSQ('TS-PILE'!$E$72:$E$91))+IF(SUMSQ('TS-PILE'!$D$72:$D$91)=0,0,'TO HOP NLAN'!F282*'TS-PILE'!$D$88/SUMSQ('TS-PILE'!$D$72:$D$91))),IF('TS-PILE'!$B$89="",1E+99,'TO HOP NLAN'!D282/ncoc+IF(SUMSQ('TS-PILE'!$E$72:$E$91)=0,0,'TO HOP NLAN'!E282*'TS-PILE'!$E$89/SUMSQ('TS-PILE'!$E$72:$E$91))+IF(SUMSQ('TS-PILE'!$D$72:$D$91)=0,0,'TO HOP NLAN'!F282*'TS-PILE'!$D$89/SUMSQ('TS-PILE'!$D$72:$D$91))),IF('TS-PILE'!$B$90="",1E+99,'TO HOP NLAN'!D282/ncoc+IF(SUMSQ('TS-PILE'!$E$72:$E$91)=0,0,'TO HOP NLAN'!E282*'TS-PILE'!$E$90/SUMSQ('TS-PILE'!$E$72:$E$91))+IF(SUMSQ('TS-PILE'!$D$72:$D$91)=0,0,'TO HOP NLAN'!F282*'TS-PILE'!$D$90/SUMSQ('TS-PILE'!$D$72:$D$91))),IF('TS-PILE'!$B$91="",1E+99,'TO HOP NLAN'!D282/ncoc+IF(SUMSQ('TS-PILE'!$E$72:$E$91)=0,0,'TO HOP NLAN'!E282*'TS-PILE'!$E$91/SUMSQ('TS-PILE'!$E$72:$E$91))+IF(SUMSQ('TS-PILE'!$D$72:$D$91)=0,0,'TO HOP NLAN'!F282*'TS-PILE'!$D$91/SUMSQ('TS-PILE'!$D$72:$D$91)))))</f>
        <v>0</v>
      </c>
      <c r="E282" s="58">
        <f t="shared" si="16"/>
        <v>-9.9999999999999997E+98</v>
      </c>
      <c r="F282" s="58">
        <f t="shared" si="17"/>
        <v>9.9999999999999997E+98</v>
      </c>
      <c r="G282" s="58">
        <f t="shared" si="18"/>
        <v>-9.9999999999999997E+98</v>
      </c>
      <c r="H282" s="58">
        <f t="shared" si="19"/>
        <v>9.9999999999999997E+98</v>
      </c>
    </row>
    <row r="283" spans="1:8" x14ac:dyDescent="0.3">
      <c r="A283" s="42" t="str">
        <f>'TO HOP NLAN'!A283</f>
        <v/>
      </c>
      <c r="B283" s="42" t="str">
        <f>'TO HOP NLAN'!L283</f>
        <v>STRENGTH</v>
      </c>
      <c r="C283" s="58">
        <f>IF(A283="",0,MAX(IF('TS-PILE'!$B$72="",-1E+99,'TO HOP NLAN'!D283/ncoc+IF(SUMSQ('TS-PILE'!$E$72:$E$91)=0,0,'TO HOP NLAN'!E283*'TS-PILE'!$E$72/SUMSQ('TS-PILE'!$E$72:$E$91))+IF(SUMSQ('TS-PILE'!$D$72:$D$91)=0,0,'TO HOP NLAN'!F283*'TS-PILE'!$D$72/SUMSQ('TS-PILE'!$D$72:$D$91))),IF('TS-PILE'!$B$73="",-1E+99,'TO HOP NLAN'!D283/ncoc+IF(SUMSQ('TS-PILE'!$E$72:$E$91)=0,0,'TO HOP NLAN'!E283*'TS-PILE'!$E$73/SUMSQ('TS-PILE'!$E$72:$E$91))+IF(SUMSQ('TS-PILE'!$D$72:$D$91)=0,0,'TO HOP NLAN'!F283*'TS-PILE'!$D$73/SUMSQ('TS-PILE'!$D$72:$D$91))),IF('TS-PILE'!$B$74="",-1E+99,'TO HOP NLAN'!D283/ncoc+IF(SUMSQ('TS-PILE'!$E$72:$E$91)=0,0,'TO HOP NLAN'!E283*'TS-PILE'!$E$74/SUMSQ('TS-PILE'!$E$72:$E$91))+IF(SUMSQ('TS-PILE'!$D$72:$D$91)=0,0,'TO HOP NLAN'!F283*'TS-PILE'!$D$74/SUMSQ('TS-PILE'!$D$72:$D$91))),IF('TS-PILE'!$B$75="",-1E+99,'TO HOP NLAN'!D283/ncoc+IF(SUMSQ('TS-PILE'!$E$72:$E$91)=0,0,'TO HOP NLAN'!E283*'TS-PILE'!$E$75/SUMSQ('TS-PILE'!$E$72:$E$91))+IF(SUMSQ('TS-PILE'!$D$72:$D$91)=0,0,'TO HOP NLAN'!F283*'TS-PILE'!$D$75/SUMSQ('TS-PILE'!$D$72:$D$91))),IF('TS-PILE'!$B$76="",-1E+99,'TO HOP NLAN'!D283/ncoc+IF(SUMSQ('TS-PILE'!$E$72:$E$91)=0,0,'TO HOP NLAN'!E283*'TS-PILE'!$E$76/SUMSQ('TS-PILE'!$E$72:$E$91))+IF(SUMSQ('TS-PILE'!$D$72:$D$91)=0,0,'TO HOP NLAN'!F283*'TS-PILE'!$D$76/SUMSQ('TS-PILE'!$D$72:$D$91))),IF('TS-PILE'!$B$77="",-1E+99,'TO HOP NLAN'!D283/ncoc+IF(SUMSQ('TS-PILE'!$E$72:$E$91)=0,0,'TO HOP NLAN'!E283*'TS-PILE'!$E$77/SUMSQ('TS-PILE'!$E$72:$E$91))+IF(SUMSQ('TS-PILE'!$D$72:$D$91)=0,0,'TO HOP NLAN'!F283*'TS-PILE'!$D$77/SUMSQ('TS-PILE'!$D$72:$D$91))),IF('TS-PILE'!$B$78="",-1E+99,'TO HOP NLAN'!D283/ncoc+IF(SUMSQ('TS-PILE'!$E$72:$E$91)=0,0,'TO HOP NLAN'!E283*'TS-PILE'!$E$78/SUMSQ('TS-PILE'!$E$72:$E$91))+IF(SUMSQ('TS-PILE'!$D$72:$D$91)=0,0,'TO HOP NLAN'!F283*'TS-PILE'!$D$78/SUMSQ('TS-PILE'!$D$72:$D$91))),IF('TS-PILE'!$B$79="",-1E+99,'TO HOP NLAN'!D283/ncoc+IF(SUMSQ('TS-PILE'!$E$72:$E$91)=0,0,'TO HOP NLAN'!E283*'TS-PILE'!$E$79/SUMSQ('TS-PILE'!$E$72:$E$91))+IF(SUMSQ('TS-PILE'!$D$72:$D$91)=0,0,'TO HOP NLAN'!F283*'TS-PILE'!$D$79/SUMSQ('TS-PILE'!$D$72:$D$91))),IF('TS-PILE'!$B$80="",-1E+99,'TO HOP NLAN'!D283/ncoc+IF(SUMSQ('TS-PILE'!$E$72:$E$91)=0,0,'TO HOP NLAN'!E283*'TS-PILE'!$E$80/SUMSQ('TS-PILE'!$E$72:$E$91))+IF(SUMSQ('TS-PILE'!$D$72:$D$91)=0,0,'TO HOP NLAN'!F283*'TS-PILE'!$D$80/SUMSQ('TS-PILE'!$D$72:$D$91))),IF('TS-PILE'!$B$81="",-1E+99,'TO HOP NLAN'!D283/ncoc+IF(SUMSQ('TS-PILE'!$E$72:$E$91)=0,0,'TO HOP NLAN'!E283*'TS-PILE'!$E$81/SUMSQ('TS-PILE'!$E$72:$E$91))+IF(SUMSQ('TS-PILE'!$D$72:$D$91)=0,0,'TO HOP NLAN'!F283*'TS-PILE'!$D$81/SUMSQ('TS-PILE'!$D$72:$D$91))),IF('TS-PILE'!$B$82="",-1E+99,'TO HOP NLAN'!D283/ncoc+IF(SUMSQ('TS-PILE'!$E$72:$E$91)=0,0,'TO HOP NLAN'!E283*'TS-PILE'!$E$82/SUMSQ('TS-PILE'!$E$72:$E$91))+IF(SUMSQ('TS-PILE'!$D$72:$D$91)=0,0,'TO HOP NLAN'!F283*'TS-PILE'!$D$82/SUMSQ('TS-PILE'!$D$72:$D$91))),IF('TS-PILE'!$B$83="",-1E+99,'TO HOP NLAN'!D283/ncoc+IF(SUMSQ('TS-PILE'!$E$72:$E$91)=0,0,'TO HOP NLAN'!E283*'TS-PILE'!$E$83/SUMSQ('TS-PILE'!$E$72:$E$91))+IF(SUMSQ('TS-PILE'!$D$72:$D$91)=0,0,'TO HOP NLAN'!F283*'TS-PILE'!$D$83/SUMSQ('TS-PILE'!$D$72:$D$91))),IF('TS-PILE'!$B$84="",-1E+99,'TO HOP NLAN'!D283/ncoc+IF(SUMSQ('TS-PILE'!$E$72:$E$91)=0,0,'TO HOP NLAN'!E283*'TS-PILE'!$E$84/SUMSQ('TS-PILE'!$E$72:$E$91))+IF(SUMSQ('TS-PILE'!$D$72:$D$91)=0,0,'TO HOP NLAN'!F283*'TS-PILE'!$D$84/SUMSQ('TS-PILE'!$D$72:$D$91))),IF('TS-PILE'!$B$85="",-1E+99,'TO HOP NLAN'!D283/ncoc+IF(SUMSQ('TS-PILE'!$E$72:$E$91)=0,0,'TO HOP NLAN'!E283*'TS-PILE'!$E$85/SUMSQ('TS-PILE'!$E$72:$E$91))+IF(SUMSQ('TS-PILE'!$D$72:$D$91)=0,0,'TO HOP NLAN'!F283*'TS-PILE'!$D$85/SUMSQ('TS-PILE'!$D$72:$D$91))),IF('TS-PILE'!$B$86="",-1E+99,'TO HOP NLAN'!D283/ncoc+IF(SUMSQ('TS-PILE'!$E$72:$E$91)=0,0,'TO HOP NLAN'!E283*'TS-PILE'!$E$86/SUMSQ('TS-PILE'!$E$72:$E$91))+IF(SUMSQ('TS-PILE'!$D$72:$D$91)=0,0,'TO HOP NLAN'!F283*'TS-PILE'!$D$86/SUMSQ('TS-PILE'!$D$72:$D$91))),IF('TS-PILE'!$B$87="",-1E+99,'TO HOP NLAN'!D283/ncoc+IF(SUMSQ('TS-PILE'!$E$72:$E$91)=0,0,'TO HOP NLAN'!E283*'TS-PILE'!$E$87/SUMSQ('TS-PILE'!$E$72:$E$91))+IF(SUMSQ('TS-PILE'!$D$72:$D$91)=0,0,'TO HOP NLAN'!F283*'TS-PILE'!$D$87/SUMSQ('TS-PILE'!$D$72:$D$91))),IF('TS-PILE'!$B$88="",-1E+99,'TO HOP NLAN'!D283/ncoc+IF(SUMSQ('TS-PILE'!$E$72:$E$91)=0,0,'TO HOP NLAN'!E283*'TS-PILE'!$E$88/SUMSQ('TS-PILE'!$E$72:$E$91))+IF(SUMSQ('TS-PILE'!$D$72:$D$91)=0,0,'TO HOP NLAN'!F283*'TS-PILE'!$D$88/SUMSQ('TS-PILE'!$D$72:$D$91))),IF('TS-PILE'!$B$89="",-1E+99,'TO HOP NLAN'!D283/ncoc+IF(SUMSQ('TS-PILE'!$E$72:$E$91)=0,0,'TO HOP NLAN'!E283*'TS-PILE'!$E$89/SUMSQ('TS-PILE'!$E$72:$E$91))+IF(SUMSQ('TS-PILE'!$D$72:$D$91)=0,0,'TO HOP NLAN'!F283*'TS-PILE'!$D$89/SUMSQ('TS-PILE'!$D$72:$D$91))),IF('TS-PILE'!$B$90="",-1E+99,'TO HOP NLAN'!D283/ncoc+IF(SUMSQ('TS-PILE'!$E$72:$E$91)=0,0,'TO HOP NLAN'!E283*'TS-PILE'!$E$90/SUMSQ('TS-PILE'!$E$72:$E$91))+IF(SUMSQ('TS-PILE'!$D$72:$D$91)=0,0,'TO HOP NLAN'!F283*'TS-PILE'!$D$90/SUMSQ('TS-PILE'!$D$72:$D$91))),IF('TS-PILE'!$B$91="",-1E+99,'TO HOP NLAN'!D283/ncoc+IF(SUMSQ('TS-PILE'!$E$72:$E$91)=0,0,'TO HOP NLAN'!E283*'TS-PILE'!$E$91/SUMSQ('TS-PILE'!$E$72:$E$91))+IF(SUMSQ('TS-PILE'!$D$72:$D$91)=0,0,'TO HOP NLAN'!F283*'TS-PILE'!$D$91/SUMSQ('TS-PILE'!$D$72:$D$91)))))</f>
        <v>0</v>
      </c>
      <c r="D283" s="58">
        <f>IF(A283="",0,MIN(IF('TS-PILE'!$B$72="",1E+99,'TO HOP NLAN'!D283/ncoc+IF(SUMSQ('TS-PILE'!$E$72:$E$91)=0,0,'TO HOP NLAN'!E283*'TS-PILE'!$E$72/SUMSQ('TS-PILE'!$E$72:$E$91))+IF(SUMSQ('TS-PILE'!$D$72:$D$91)=0,0,'TO HOP NLAN'!F283*'TS-PILE'!$D$72/SUMSQ('TS-PILE'!$D$72:$D$91))),IF('TS-PILE'!$B$73="",1E+99,'TO HOP NLAN'!D283/ncoc+IF(SUMSQ('TS-PILE'!$E$72:$E$91)=0,0,'TO HOP NLAN'!E283*'TS-PILE'!$E$73/SUMSQ('TS-PILE'!$E$72:$E$91))+IF(SUMSQ('TS-PILE'!$D$72:$D$91)=0,0,'TO HOP NLAN'!F283*'TS-PILE'!$D$73/SUMSQ('TS-PILE'!$D$72:$D$91))),IF('TS-PILE'!$B$74="",1E+99,'TO HOP NLAN'!D283/ncoc+IF(SUMSQ('TS-PILE'!$E$72:$E$91)=0,0,'TO HOP NLAN'!E283*'TS-PILE'!$E$74/SUMSQ('TS-PILE'!$E$72:$E$91))+IF(SUMSQ('TS-PILE'!$D$72:$D$91)=0,0,'TO HOP NLAN'!F283*'TS-PILE'!$D$74/SUMSQ('TS-PILE'!$D$72:$D$91))),IF('TS-PILE'!$B$75="",1E+99,'TO HOP NLAN'!D283/ncoc+IF(SUMSQ('TS-PILE'!$E$72:$E$91)=0,0,'TO HOP NLAN'!E283*'TS-PILE'!$E$75/SUMSQ('TS-PILE'!$E$72:$E$91))+IF(SUMSQ('TS-PILE'!$D$72:$D$91)=0,0,'TO HOP NLAN'!F283*'TS-PILE'!$D$75/SUMSQ('TS-PILE'!$D$72:$D$91))),IF('TS-PILE'!$B$76="",1E+99,'TO HOP NLAN'!D283/ncoc+IF(SUMSQ('TS-PILE'!$E$72:$E$91)=0,0,'TO HOP NLAN'!E283*'TS-PILE'!$E$76/SUMSQ('TS-PILE'!$E$72:$E$91))+IF(SUMSQ('TS-PILE'!$D$72:$D$91)=0,0,'TO HOP NLAN'!F283*'TS-PILE'!$D$76/SUMSQ('TS-PILE'!$D$72:$D$91))),IF('TS-PILE'!$B$77="",1E+99,'TO HOP NLAN'!D283/ncoc+IF(SUMSQ('TS-PILE'!$E$72:$E$91)=0,0,'TO HOP NLAN'!E283*'TS-PILE'!$E$77/SUMSQ('TS-PILE'!$E$72:$E$91))+IF(SUMSQ('TS-PILE'!$D$72:$D$91)=0,0,'TO HOP NLAN'!F283*'TS-PILE'!$D$77/SUMSQ('TS-PILE'!$D$72:$D$91))),IF('TS-PILE'!$B$78="",1E+99,'TO HOP NLAN'!D283/ncoc+IF(SUMSQ('TS-PILE'!$E$72:$E$91)=0,0,'TO HOP NLAN'!E283*'TS-PILE'!$E$78/SUMSQ('TS-PILE'!$E$72:$E$91))+IF(SUMSQ('TS-PILE'!$D$72:$D$91)=0,0,'TO HOP NLAN'!F283*'TS-PILE'!$D$78/SUMSQ('TS-PILE'!$D$72:$D$91))),IF('TS-PILE'!$B$79="",1E+99,'TO HOP NLAN'!D283/ncoc+IF(SUMSQ('TS-PILE'!$E$72:$E$91)=0,0,'TO HOP NLAN'!E283*'TS-PILE'!$E$79/SUMSQ('TS-PILE'!$E$72:$E$91))+IF(SUMSQ('TS-PILE'!$D$72:$D$91)=0,0,'TO HOP NLAN'!F283*'TS-PILE'!$D$79/SUMSQ('TS-PILE'!$D$72:$D$91))),IF('TS-PILE'!$B$80="",1E+99,'TO HOP NLAN'!D283/ncoc+IF(SUMSQ('TS-PILE'!$E$72:$E$91)=0,0,'TO HOP NLAN'!E283*'TS-PILE'!$E$80/SUMSQ('TS-PILE'!$E$72:$E$91))+IF(SUMSQ('TS-PILE'!$D$72:$D$91)=0,0,'TO HOP NLAN'!F283*'TS-PILE'!$D$80/SUMSQ('TS-PILE'!$D$72:$D$91))),IF('TS-PILE'!$B$81="",1E+99,'TO HOP NLAN'!D283/ncoc+IF(SUMSQ('TS-PILE'!$E$72:$E$91)=0,0,'TO HOP NLAN'!E283*'TS-PILE'!$E$81/SUMSQ('TS-PILE'!$E$72:$E$91))+IF(SUMSQ('TS-PILE'!$D$72:$D$91)=0,0,'TO HOP NLAN'!F283*'TS-PILE'!$D$81/SUMSQ('TS-PILE'!$D$72:$D$91))),IF('TS-PILE'!$B$82="",1E+99,'TO HOP NLAN'!D283/ncoc+IF(SUMSQ('TS-PILE'!$E$72:$E$91)=0,0,'TO HOP NLAN'!E283*'TS-PILE'!$E$82/SUMSQ('TS-PILE'!$E$72:$E$91))+IF(SUMSQ('TS-PILE'!$D$72:$D$91)=0,0,'TO HOP NLAN'!F283*'TS-PILE'!$D$82/SUMSQ('TS-PILE'!$D$72:$D$91))),IF('TS-PILE'!$B$83="",1E+99,'TO HOP NLAN'!D283/ncoc+IF(SUMSQ('TS-PILE'!$E$72:$E$91)=0,0,'TO HOP NLAN'!E283*'TS-PILE'!$E$83/SUMSQ('TS-PILE'!$E$72:$E$91))+IF(SUMSQ('TS-PILE'!$D$72:$D$91)=0,0,'TO HOP NLAN'!F283*'TS-PILE'!$D$83/SUMSQ('TS-PILE'!$D$72:$D$91))),IF('TS-PILE'!$B$84="",1E+99,'TO HOP NLAN'!D283/ncoc+IF(SUMSQ('TS-PILE'!$E$72:$E$91)=0,0,'TO HOP NLAN'!E283*'TS-PILE'!$E$84/SUMSQ('TS-PILE'!$E$72:$E$91))+IF(SUMSQ('TS-PILE'!$D$72:$D$91)=0,0,'TO HOP NLAN'!F283*'TS-PILE'!$D$84/SUMSQ('TS-PILE'!$D$72:$D$91))),IF('TS-PILE'!$B$85="",1E+99,'TO HOP NLAN'!D283/ncoc+IF(SUMSQ('TS-PILE'!$E$72:$E$91)=0,0,'TO HOP NLAN'!E283*'TS-PILE'!$E$85/SUMSQ('TS-PILE'!$E$72:$E$91))+IF(SUMSQ('TS-PILE'!$D$72:$D$91)=0,0,'TO HOP NLAN'!F283*'TS-PILE'!$D$85/SUMSQ('TS-PILE'!$D$72:$D$91))),IF('TS-PILE'!$B$86="",1E+99,'TO HOP NLAN'!D283/ncoc+IF(SUMSQ('TS-PILE'!$E$72:$E$91)=0,0,'TO HOP NLAN'!E283*'TS-PILE'!$E$86/SUMSQ('TS-PILE'!$E$72:$E$91))+IF(SUMSQ('TS-PILE'!$D$72:$D$91)=0,0,'TO HOP NLAN'!F283*'TS-PILE'!$D$86/SUMSQ('TS-PILE'!$D$72:$D$91))),IF('TS-PILE'!$B$87="",1E+99,'TO HOP NLAN'!D283/ncoc+IF(SUMSQ('TS-PILE'!$E$72:$E$91)=0,0,'TO HOP NLAN'!E283*'TS-PILE'!$E$87/SUMSQ('TS-PILE'!$E$72:$E$91))+IF(SUMSQ('TS-PILE'!$D$72:$D$91)=0,0,'TO HOP NLAN'!F283*'TS-PILE'!$D$87/SUMSQ('TS-PILE'!$D$72:$D$91))),IF('TS-PILE'!$B$88="",1E+99,'TO HOP NLAN'!D283/ncoc+IF(SUMSQ('TS-PILE'!$E$72:$E$91)=0,0,'TO HOP NLAN'!E283*'TS-PILE'!$E$88/SUMSQ('TS-PILE'!$E$72:$E$91))+IF(SUMSQ('TS-PILE'!$D$72:$D$91)=0,0,'TO HOP NLAN'!F283*'TS-PILE'!$D$88/SUMSQ('TS-PILE'!$D$72:$D$91))),IF('TS-PILE'!$B$89="",1E+99,'TO HOP NLAN'!D283/ncoc+IF(SUMSQ('TS-PILE'!$E$72:$E$91)=0,0,'TO HOP NLAN'!E283*'TS-PILE'!$E$89/SUMSQ('TS-PILE'!$E$72:$E$91))+IF(SUMSQ('TS-PILE'!$D$72:$D$91)=0,0,'TO HOP NLAN'!F283*'TS-PILE'!$D$89/SUMSQ('TS-PILE'!$D$72:$D$91))),IF('TS-PILE'!$B$90="",1E+99,'TO HOP NLAN'!D283/ncoc+IF(SUMSQ('TS-PILE'!$E$72:$E$91)=0,0,'TO HOP NLAN'!E283*'TS-PILE'!$E$90/SUMSQ('TS-PILE'!$E$72:$E$91))+IF(SUMSQ('TS-PILE'!$D$72:$D$91)=0,0,'TO HOP NLAN'!F283*'TS-PILE'!$D$90/SUMSQ('TS-PILE'!$D$72:$D$91))),IF('TS-PILE'!$B$91="",1E+99,'TO HOP NLAN'!D283/ncoc+IF(SUMSQ('TS-PILE'!$E$72:$E$91)=0,0,'TO HOP NLAN'!E283*'TS-PILE'!$E$91/SUMSQ('TS-PILE'!$E$72:$E$91))+IF(SUMSQ('TS-PILE'!$D$72:$D$91)=0,0,'TO HOP NLAN'!F283*'TS-PILE'!$D$91/SUMSQ('TS-PILE'!$D$72:$D$91)))))</f>
        <v>0</v>
      </c>
      <c r="E283" s="58">
        <f t="shared" si="16"/>
        <v>-9.9999999999999997E+98</v>
      </c>
      <c r="F283" s="58">
        <f t="shared" si="17"/>
        <v>9.9999999999999997E+98</v>
      </c>
      <c r="G283" s="58">
        <f t="shared" si="18"/>
        <v>-9.9999999999999997E+98</v>
      </c>
      <c r="H283" s="58">
        <f t="shared" si="19"/>
        <v>9.9999999999999997E+98</v>
      </c>
    </row>
    <row r="284" spans="1:8" x14ac:dyDescent="0.3">
      <c r="A284" s="42" t="str">
        <f>'TO HOP NLAN'!A284</f>
        <v/>
      </c>
      <c r="B284" s="42" t="str">
        <f>'TO HOP NLAN'!L284</f>
        <v>STRENGTH</v>
      </c>
      <c r="C284" s="58">
        <f>IF(A284="",0,MAX(IF('TS-PILE'!$B$72="",-1E+99,'TO HOP NLAN'!D284/ncoc+IF(SUMSQ('TS-PILE'!$E$72:$E$91)=0,0,'TO HOP NLAN'!E284*'TS-PILE'!$E$72/SUMSQ('TS-PILE'!$E$72:$E$91))+IF(SUMSQ('TS-PILE'!$D$72:$D$91)=0,0,'TO HOP NLAN'!F284*'TS-PILE'!$D$72/SUMSQ('TS-PILE'!$D$72:$D$91))),IF('TS-PILE'!$B$73="",-1E+99,'TO HOP NLAN'!D284/ncoc+IF(SUMSQ('TS-PILE'!$E$72:$E$91)=0,0,'TO HOP NLAN'!E284*'TS-PILE'!$E$73/SUMSQ('TS-PILE'!$E$72:$E$91))+IF(SUMSQ('TS-PILE'!$D$72:$D$91)=0,0,'TO HOP NLAN'!F284*'TS-PILE'!$D$73/SUMSQ('TS-PILE'!$D$72:$D$91))),IF('TS-PILE'!$B$74="",-1E+99,'TO HOP NLAN'!D284/ncoc+IF(SUMSQ('TS-PILE'!$E$72:$E$91)=0,0,'TO HOP NLAN'!E284*'TS-PILE'!$E$74/SUMSQ('TS-PILE'!$E$72:$E$91))+IF(SUMSQ('TS-PILE'!$D$72:$D$91)=0,0,'TO HOP NLAN'!F284*'TS-PILE'!$D$74/SUMSQ('TS-PILE'!$D$72:$D$91))),IF('TS-PILE'!$B$75="",-1E+99,'TO HOP NLAN'!D284/ncoc+IF(SUMSQ('TS-PILE'!$E$72:$E$91)=0,0,'TO HOP NLAN'!E284*'TS-PILE'!$E$75/SUMSQ('TS-PILE'!$E$72:$E$91))+IF(SUMSQ('TS-PILE'!$D$72:$D$91)=0,0,'TO HOP NLAN'!F284*'TS-PILE'!$D$75/SUMSQ('TS-PILE'!$D$72:$D$91))),IF('TS-PILE'!$B$76="",-1E+99,'TO HOP NLAN'!D284/ncoc+IF(SUMSQ('TS-PILE'!$E$72:$E$91)=0,0,'TO HOP NLAN'!E284*'TS-PILE'!$E$76/SUMSQ('TS-PILE'!$E$72:$E$91))+IF(SUMSQ('TS-PILE'!$D$72:$D$91)=0,0,'TO HOP NLAN'!F284*'TS-PILE'!$D$76/SUMSQ('TS-PILE'!$D$72:$D$91))),IF('TS-PILE'!$B$77="",-1E+99,'TO HOP NLAN'!D284/ncoc+IF(SUMSQ('TS-PILE'!$E$72:$E$91)=0,0,'TO HOP NLAN'!E284*'TS-PILE'!$E$77/SUMSQ('TS-PILE'!$E$72:$E$91))+IF(SUMSQ('TS-PILE'!$D$72:$D$91)=0,0,'TO HOP NLAN'!F284*'TS-PILE'!$D$77/SUMSQ('TS-PILE'!$D$72:$D$91))),IF('TS-PILE'!$B$78="",-1E+99,'TO HOP NLAN'!D284/ncoc+IF(SUMSQ('TS-PILE'!$E$72:$E$91)=0,0,'TO HOP NLAN'!E284*'TS-PILE'!$E$78/SUMSQ('TS-PILE'!$E$72:$E$91))+IF(SUMSQ('TS-PILE'!$D$72:$D$91)=0,0,'TO HOP NLAN'!F284*'TS-PILE'!$D$78/SUMSQ('TS-PILE'!$D$72:$D$91))),IF('TS-PILE'!$B$79="",-1E+99,'TO HOP NLAN'!D284/ncoc+IF(SUMSQ('TS-PILE'!$E$72:$E$91)=0,0,'TO HOP NLAN'!E284*'TS-PILE'!$E$79/SUMSQ('TS-PILE'!$E$72:$E$91))+IF(SUMSQ('TS-PILE'!$D$72:$D$91)=0,0,'TO HOP NLAN'!F284*'TS-PILE'!$D$79/SUMSQ('TS-PILE'!$D$72:$D$91))),IF('TS-PILE'!$B$80="",-1E+99,'TO HOP NLAN'!D284/ncoc+IF(SUMSQ('TS-PILE'!$E$72:$E$91)=0,0,'TO HOP NLAN'!E284*'TS-PILE'!$E$80/SUMSQ('TS-PILE'!$E$72:$E$91))+IF(SUMSQ('TS-PILE'!$D$72:$D$91)=0,0,'TO HOP NLAN'!F284*'TS-PILE'!$D$80/SUMSQ('TS-PILE'!$D$72:$D$91))),IF('TS-PILE'!$B$81="",-1E+99,'TO HOP NLAN'!D284/ncoc+IF(SUMSQ('TS-PILE'!$E$72:$E$91)=0,0,'TO HOP NLAN'!E284*'TS-PILE'!$E$81/SUMSQ('TS-PILE'!$E$72:$E$91))+IF(SUMSQ('TS-PILE'!$D$72:$D$91)=0,0,'TO HOP NLAN'!F284*'TS-PILE'!$D$81/SUMSQ('TS-PILE'!$D$72:$D$91))),IF('TS-PILE'!$B$82="",-1E+99,'TO HOP NLAN'!D284/ncoc+IF(SUMSQ('TS-PILE'!$E$72:$E$91)=0,0,'TO HOP NLAN'!E284*'TS-PILE'!$E$82/SUMSQ('TS-PILE'!$E$72:$E$91))+IF(SUMSQ('TS-PILE'!$D$72:$D$91)=0,0,'TO HOP NLAN'!F284*'TS-PILE'!$D$82/SUMSQ('TS-PILE'!$D$72:$D$91))),IF('TS-PILE'!$B$83="",-1E+99,'TO HOP NLAN'!D284/ncoc+IF(SUMSQ('TS-PILE'!$E$72:$E$91)=0,0,'TO HOP NLAN'!E284*'TS-PILE'!$E$83/SUMSQ('TS-PILE'!$E$72:$E$91))+IF(SUMSQ('TS-PILE'!$D$72:$D$91)=0,0,'TO HOP NLAN'!F284*'TS-PILE'!$D$83/SUMSQ('TS-PILE'!$D$72:$D$91))),IF('TS-PILE'!$B$84="",-1E+99,'TO HOP NLAN'!D284/ncoc+IF(SUMSQ('TS-PILE'!$E$72:$E$91)=0,0,'TO HOP NLAN'!E284*'TS-PILE'!$E$84/SUMSQ('TS-PILE'!$E$72:$E$91))+IF(SUMSQ('TS-PILE'!$D$72:$D$91)=0,0,'TO HOP NLAN'!F284*'TS-PILE'!$D$84/SUMSQ('TS-PILE'!$D$72:$D$91))),IF('TS-PILE'!$B$85="",-1E+99,'TO HOP NLAN'!D284/ncoc+IF(SUMSQ('TS-PILE'!$E$72:$E$91)=0,0,'TO HOP NLAN'!E284*'TS-PILE'!$E$85/SUMSQ('TS-PILE'!$E$72:$E$91))+IF(SUMSQ('TS-PILE'!$D$72:$D$91)=0,0,'TO HOP NLAN'!F284*'TS-PILE'!$D$85/SUMSQ('TS-PILE'!$D$72:$D$91))),IF('TS-PILE'!$B$86="",-1E+99,'TO HOP NLAN'!D284/ncoc+IF(SUMSQ('TS-PILE'!$E$72:$E$91)=0,0,'TO HOP NLAN'!E284*'TS-PILE'!$E$86/SUMSQ('TS-PILE'!$E$72:$E$91))+IF(SUMSQ('TS-PILE'!$D$72:$D$91)=0,0,'TO HOP NLAN'!F284*'TS-PILE'!$D$86/SUMSQ('TS-PILE'!$D$72:$D$91))),IF('TS-PILE'!$B$87="",-1E+99,'TO HOP NLAN'!D284/ncoc+IF(SUMSQ('TS-PILE'!$E$72:$E$91)=0,0,'TO HOP NLAN'!E284*'TS-PILE'!$E$87/SUMSQ('TS-PILE'!$E$72:$E$91))+IF(SUMSQ('TS-PILE'!$D$72:$D$91)=0,0,'TO HOP NLAN'!F284*'TS-PILE'!$D$87/SUMSQ('TS-PILE'!$D$72:$D$91))),IF('TS-PILE'!$B$88="",-1E+99,'TO HOP NLAN'!D284/ncoc+IF(SUMSQ('TS-PILE'!$E$72:$E$91)=0,0,'TO HOP NLAN'!E284*'TS-PILE'!$E$88/SUMSQ('TS-PILE'!$E$72:$E$91))+IF(SUMSQ('TS-PILE'!$D$72:$D$91)=0,0,'TO HOP NLAN'!F284*'TS-PILE'!$D$88/SUMSQ('TS-PILE'!$D$72:$D$91))),IF('TS-PILE'!$B$89="",-1E+99,'TO HOP NLAN'!D284/ncoc+IF(SUMSQ('TS-PILE'!$E$72:$E$91)=0,0,'TO HOP NLAN'!E284*'TS-PILE'!$E$89/SUMSQ('TS-PILE'!$E$72:$E$91))+IF(SUMSQ('TS-PILE'!$D$72:$D$91)=0,0,'TO HOP NLAN'!F284*'TS-PILE'!$D$89/SUMSQ('TS-PILE'!$D$72:$D$91))),IF('TS-PILE'!$B$90="",-1E+99,'TO HOP NLAN'!D284/ncoc+IF(SUMSQ('TS-PILE'!$E$72:$E$91)=0,0,'TO HOP NLAN'!E284*'TS-PILE'!$E$90/SUMSQ('TS-PILE'!$E$72:$E$91))+IF(SUMSQ('TS-PILE'!$D$72:$D$91)=0,0,'TO HOP NLAN'!F284*'TS-PILE'!$D$90/SUMSQ('TS-PILE'!$D$72:$D$91))),IF('TS-PILE'!$B$91="",-1E+99,'TO HOP NLAN'!D284/ncoc+IF(SUMSQ('TS-PILE'!$E$72:$E$91)=0,0,'TO HOP NLAN'!E284*'TS-PILE'!$E$91/SUMSQ('TS-PILE'!$E$72:$E$91))+IF(SUMSQ('TS-PILE'!$D$72:$D$91)=0,0,'TO HOP NLAN'!F284*'TS-PILE'!$D$91/SUMSQ('TS-PILE'!$D$72:$D$91)))))</f>
        <v>0</v>
      </c>
      <c r="D284" s="58">
        <f>IF(A284="",0,MIN(IF('TS-PILE'!$B$72="",1E+99,'TO HOP NLAN'!D284/ncoc+IF(SUMSQ('TS-PILE'!$E$72:$E$91)=0,0,'TO HOP NLAN'!E284*'TS-PILE'!$E$72/SUMSQ('TS-PILE'!$E$72:$E$91))+IF(SUMSQ('TS-PILE'!$D$72:$D$91)=0,0,'TO HOP NLAN'!F284*'TS-PILE'!$D$72/SUMSQ('TS-PILE'!$D$72:$D$91))),IF('TS-PILE'!$B$73="",1E+99,'TO HOP NLAN'!D284/ncoc+IF(SUMSQ('TS-PILE'!$E$72:$E$91)=0,0,'TO HOP NLAN'!E284*'TS-PILE'!$E$73/SUMSQ('TS-PILE'!$E$72:$E$91))+IF(SUMSQ('TS-PILE'!$D$72:$D$91)=0,0,'TO HOP NLAN'!F284*'TS-PILE'!$D$73/SUMSQ('TS-PILE'!$D$72:$D$91))),IF('TS-PILE'!$B$74="",1E+99,'TO HOP NLAN'!D284/ncoc+IF(SUMSQ('TS-PILE'!$E$72:$E$91)=0,0,'TO HOP NLAN'!E284*'TS-PILE'!$E$74/SUMSQ('TS-PILE'!$E$72:$E$91))+IF(SUMSQ('TS-PILE'!$D$72:$D$91)=0,0,'TO HOP NLAN'!F284*'TS-PILE'!$D$74/SUMSQ('TS-PILE'!$D$72:$D$91))),IF('TS-PILE'!$B$75="",1E+99,'TO HOP NLAN'!D284/ncoc+IF(SUMSQ('TS-PILE'!$E$72:$E$91)=0,0,'TO HOP NLAN'!E284*'TS-PILE'!$E$75/SUMSQ('TS-PILE'!$E$72:$E$91))+IF(SUMSQ('TS-PILE'!$D$72:$D$91)=0,0,'TO HOP NLAN'!F284*'TS-PILE'!$D$75/SUMSQ('TS-PILE'!$D$72:$D$91))),IF('TS-PILE'!$B$76="",1E+99,'TO HOP NLAN'!D284/ncoc+IF(SUMSQ('TS-PILE'!$E$72:$E$91)=0,0,'TO HOP NLAN'!E284*'TS-PILE'!$E$76/SUMSQ('TS-PILE'!$E$72:$E$91))+IF(SUMSQ('TS-PILE'!$D$72:$D$91)=0,0,'TO HOP NLAN'!F284*'TS-PILE'!$D$76/SUMSQ('TS-PILE'!$D$72:$D$91))),IF('TS-PILE'!$B$77="",1E+99,'TO HOP NLAN'!D284/ncoc+IF(SUMSQ('TS-PILE'!$E$72:$E$91)=0,0,'TO HOP NLAN'!E284*'TS-PILE'!$E$77/SUMSQ('TS-PILE'!$E$72:$E$91))+IF(SUMSQ('TS-PILE'!$D$72:$D$91)=0,0,'TO HOP NLAN'!F284*'TS-PILE'!$D$77/SUMSQ('TS-PILE'!$D$72:$D$91))),IF('TS-PILE'!$B$78="",1E+99,'TO HOP NLAN'!D284/ncoc+IF(SUMSQ('TS-PILE'!$E$72:$E$91)=0,0,'TO HOP NLAN'!E284*'TS-PILE'!$E$78/SUMSQ('TS-PILE'!$E$72:$E$91))+IF(SUMSQ('TS-PILE'!$D$72:$D$91)=0,0,'TO HOP NLAN'!F284*'TS-PILE'!$D$78/SUMSQ('TS-PILE'!$D$72:$D$91))),IF('TS-PILE'!$B$79="",1E+99,'TO HOP NLAN'!D284/ncoc+IF(SUMSQ('TS-PILE'!$E$72:$E$91)=0,0,'TO HOP NLAN'!E284*'TS-PILE'!$E$79/SUMSQ('TS-PILE'!$E$72:$E$91))+IF(SUMSQ('TS-PILE'!$D$72:$D$91)=0,0,'TO HOP NLAN'!F284*'TS-PILE'!$D$79/SUMSQ('TS-PILE'!$D$72:$D$91))),IF('TS-PILE'!$B$80="",1E+99,'TO HOP NLAN'!D284/ncoc+IF(SUMSQ('TS-PILE'!$E$72:$E$91)=0,0,'TO HOP NLAN'!E284*'TS-PILE'!$E$80/SUMSQ('TS-PILE'!$E$72:$E$91))+IF(SUMSQ('TS-PILE'!$D$72:$D$91)=0,0,'TO HOP NLAN'!F284*'TS-PILE'!$D$80/SUMSQ('TS-PILE'!$D$72:$D$91))),IF('TS-PILE'!$B$81="",1E+99,'TO HOP NLAN'!D284/ncoc+IF(SUMSQ('TS-PILE'!$E$72:$E$91)=0,0,'TO HOP NLAN'!E284*'TS-PILE'!$E$81/SUMSQ('TS-PILE'!$E$72:$E$91))+IF(SUMSQ('TS-PILE'!$D$72:$D$91)=0,0,'TO HOP NLAN'!F284*'TS-PILE'!$D$81/SUMSQ('TS-PILE'!$D$72:$D$91))),IF('TS-PILE'!$B$82="",1E+99,'TO HOP NLAN'!D284/ncoc+IF(SUMSQ('TS-PILE'!$E$72:$E$91)=0,0,'TO HOP NLAN'!E284*'TS-PILE'!$E$82/SUMSQ('TS-PILE'!$E$72:$E$91))+IF(SUMSQ('TS-PILE'!$D$72:$D$91)=0,0,'TO HOP NLAN'!F284*'TS-PILE'!$D$82/SUMSQ('TS-PILE'!$D$72:$D$91))),IF('TS-PILE'!$B$83="",1E+99,'TO HOP NLAN'!D284/ncoc+IF(SUMSQ('TS-PILE'!$E$72:$E$91)=0,0,'TO HOP NLAN'!E284*'TS-PILE'!$E$83/SUMSQ('TS-PILE'!$E$72:$E$91))+IF(SUMSQ('TS-PILE'!$D$72:$D$91)=0,0,'TO HOP NLAN'!F284*'TS-PILE'!$D$83/SUMSQ('TS-PILE'!$D$72:$D$91))),IF('TS-PILE'!$B$84="",1E+99,'TO HOP NLAN'!D284/ncoc+IF(SUMSQ('TS-PILE'!$E$72:$E$91)=0,0,'TO HOP NLAN'!E284*'TS-PILE'!$E$84/SUMSQ('TS-PILE'!$E$72:$E$91))+IF(SUMSQ('TS-PILE'!$D$72:$D$91)=0,0,'TO HOP NLAN'!F284*'TS-PILE'!$D$84/SUMSQ('TS-PILE'!$D$72:$D$91))),IF('TS-PILE'!$B$85="",1E+99,'TO HOP NLAN'!D284/ncoc+IF(SUMSQ('TS-PILE'!$E$72:$E$91)=0,0,'TO HOP NLAN'!E284*'TS-PILE'!$E$85/SUMSQ('TS-PILE'!$E$72:$E$91))+IF(SUMSQ('TS-PILE'!$D$72:$D$91)=0,0,'TO HOP NLAN'!F284*'TS-PILE'!$D$85/SUMSQ('TS-PILE'!$D$72:$D$91))),IF('TS-PILE'!$B$86="",1E+99,'TO HOP NLAN'!D284/ncoc+IF(SUMSQ('TS-PILE'!$E$72:$E$91)=0,0,'TO HOP NLAN'!E284*'TS-PILE'!$E$86/SUMSQ('TS-PILE'!$E$72:$E$91))+IF(SUMSQ('TS-PILE'!$D$72:$D$91)=0,0,'TO HOP NLAN'!F284*'TS-PILE'!$D$86/SUMSQ('TS-PILE'!$D$72:$D$91))),IF('TS-PILE'!$B$87="",1E+99,'TO HOP NLAN'!D284/ncoc+IF(SUMSQ('TS-PILE'!$E$72:$E$91)=0,0,'TO HOP NLAN'!E284*'TS-PILE'!$E$87/SUMSQ('TS-PILE'!$E$72:$E$91))+IF(SUMSQ('TS-PILE'!$D$72:$D$91)=0,0,'TO HOP NLAN'!F284*'TS-PILE'!$D$87/SUMSQ('TS-PILE'!$D$72:$D$91))),IF('TS-PILE'!$B$88="",1E+99,'TO HOP NLAN'!D284/ncoc+IF(SUMSQ('TS-PILE'!$E$72:$E$91)=0,0,'TO HOP NLAN'!E284*'TS-PILE'!$E$88/SUMSQ('TS-PILE'!$E$72:$E$91))+IF(SUMSQ('TS-PILE'!$D$72:$D$91)=0,0,'TO HOP NLAN'!F284*'TS-PILE'!$D$88/SUMSQ('TS-PILE'!$D$72:$D$91))),IF('TS-PILE'!$B$89="",1E+99,'TO HOP NLAN'!D284/ncoc+IF(SUMSQ('TS-PILE'!$E$72:$E$91)=0,0,'TO HOP NLAN'!E284*'TS-PILE'!$E$89/SUMSQ('TS-PILE'!$E$72:$E$91))+IF(SUMSQ('TS-PILE'!$D$72:$D$91)=0,0,'TO HOP NLAN'!F284*'TS-PILE'!$D$89/SUMSQ('TS-PILE'!$D$72:$D$91))),IF('TS-PILE'!$B$90="",1E+99,'TO HOP NLAN'!D284/ncoc+IF(SUMSQ('TS-PILE'!$E$72:$E$91)=0,0,'TO HOP NLAN'!E284*'TS-PILE'!$E$90/SUMSQ('TS-PILE'!$E$72:$E$91))+IF(SUMSQ('TS-PILE'!$D$72:$D$91)=0,0,'TO HOP NLAN'!F284*'TS-PILE'!$D$90/SUMSQ('TS-PILE'!$D$72:$D$91))),IF('TS-PILE'!$B$91="",1E+99,'TO HOP NLAN'!D284/ncoc+IF(SUMSQ('TS-PILE'!$E$72:$E$91)=0,0,'TO HOP NLAN'!E284*'TS-PILE'!$E$91/SUMSQ('TS-PILE'!$E$72:$E$91))+IF(SUMSQ('TS-PILE'!$D$72:$D$91)=0,0,'TO HOP NLAN'!F284*'TS-PILE'!$D$91/SUMSQ('TS-PILE'!$D$72:$D$91)))))</f>
        <v>0</v>
      </c>
      <c r="E284" s="58">
        <f t="shared" si="16"/>
        <v>-9.9999999999999997E+98</v>
      </c>
      <c r="F284" s="58">
        <f t="shared" si="17"/>
        <v>9.9999999999999997E+98</v>
      </c>
      <c r="G284" s="58">
        <f t="shared" si="18"/>
        <v>-9.9999999999999997E+98</v>
      </c>
      <c r="H284" s="58">
        <f t="shared" si="19"/>
        <v>9.9999999999999997E+98</v>
      </c>
    </row>
    <row r="285" spans="1:8" x14ac:dyDescent="0.3">
      <c r="A285" s="42" t="str">
        <f>'TO HOP NLAN'!A285</f>
        <v/>
      </c>
      <c r="B285" s="42" t="str">
        <f>'TO HOP NLAN'!L285</f>
        <v>STRENGTH</v>
      </c>
      <c r="C285" s="58">
        <f>IF(A285="",0,MAX(IF('TS-PILE'!$B$72="",-1E+99,'TO HOP NLAN'!D285/ncoc+IF(SUMSQ('TS-PILE'!$E$72:$E$91)=0,0,'TO HOP NLAN'!E285*'TS-PILE'!$E$72/SUMSQ('TS-PILE'!$E$72:$E$91))+IF(SUMSQ('TS-PILE'!$D$72:$D$91)=0,0,'TO HOP NLAN'!F285*'TS-PILE'!$D$72/SUMSQ('TS-PILE'!$D$72:$D$91))),IF('TS-PILE'!$B$73="",-1E+99,'TO HOP NLAN'!D285/ncoc+IF(SUMSQ('TS-PILE'!$E$72:$E$91)=0,0,'TO HOP NLAN'!E285*'TS-PILE'!$E$73/SUMSQ('TS-PILE'!$E$72:$E$91))+IF(SUMSQ('TS-PILE'!$D$72:$D$91)=0,0,'TO HOP NLAN'!F285*'TS-PILE'!$D$73/SUMSQ('TS-PILE'!$D$72:$D$91))),IF('TS-PILE'!$B$74="",-1E+99,'TO HOP NLAN'!D285/ncoc+IF(SUMSQ('TS-PILE'!$E$72:$E$91)=0,0,'TO HOP NLAN'!E285*'TS-PILE'!$E$74/SUMSQ('TS-PILE'!$E$72:$E$91))+IF(SUMSQ('TS-PILE'!$D$72:$D$91)=0,0,'TO HOP NLAN'!F285*'TS-PILE'!$D$74/SUMSQ('TS-PILE'!$D$72:$D$91))),IF('TS-PILE'!$B$75="",-1E+99,'TO HOP NLAN'!D285/ncoc+IF(SUMSQ('TS-PILE'!$E$72:$E$91)=0,0,'TO HOP NLAN'!E285*'TS-PILE'!$E$75/SUMSQ('TS-PILE'!$E$72:$E$91))+IF(SUMSQ('TS-PILE'!$D$72:$D$91)=0,0,'TO HOP NLAN'!F285*'TS-PILE'!$D$75/SUMSQ('TS-PILE'!$D$72:$D$91))),IF('TS-PILE'!$B$76="",-1E+99,'TO HOP NLAN'!D285/ncoc+IF(SUMSQ('TS-PILE'!$E$72:$E$91)=0,0,'TO HOP NLAN'!E285*'TS-PILE'!$E$76/SUMSQ('TS-PILE'!$E$72:$E$91))+IF(SUMSQ('TS-PILE'!$D$72:$D$91)=0,0,'TO HOP NLAN'!F285*'TS-PILE'!$D$76/SUMSQ('TS-PILE'!$D$72:$D$91))),IF('TS-PILE'!$B$77="",-1E+99,'TO HOP NLAN'!D285/ncoc+IF(SUMSQ('TS-PILE'!$E$72:$E$91)=0,0,'TO HOP NLAN'!E285*'TS-PILE'!$E$77/SUMSQ('TS-PILE'!$E$72:$E$91))+IF(SUMSQ('TS-PILE'!$D$72:$D$91)=0,0,'TO HOP NLAN'!F285*'TS-PILE'!$D$77/SUMSQ('TS-PILE'!$D$72:$D$91))),IF('TS-PILE'!$B$78="",-1E+99,'TO HOP NLAN'!D285/ncoc+IF(SUMSQ('TS-PILE'!$E$72:$E$91)=0,0,'TO HOP NLAN'!E285*'TS-PILE'!$E$78/SUMSQ('TS-PILE'!$E$72:$E$91))+IF(SUMSQ('TS-PILE'!$D$72:$D$91)=0,0,'TO HOP NLAN'!F285*'TS-PILE'!$D$78/SUMSQ('TS-PILE'!$D$72:$D$91))),IF('TS-PILE'!$B$79="",-1E+99,'TO HOP NLAN'!D285/ncoc+IF(SUMSQ('TS-PILE'!$E$72:$E$91)=0,0,'TO HOP NLAN'!E285*'TS-PILE'!$E$79/SUMSQ('TS-PILE'!$E$72:$E$91))+IF(SUMSQ('TS-PILE'!$D$72:$D$91)=0,0,'TO HOP NLAN'!F285*'TS-PILE'!$D$79/SUMSQ('TS-PILE'!$D$72:$D$91))),IF('TS-PILE'!$B$80="",-1E+99,'TO HOP NLAN'!D285/ncoc+IF(SUMSQ('TS-PILE'!$E$72:$E$91)=0,0,'TO HOP NLAN'!E285*'TS-PILE'!$E$80/SUMSQ('TS-PILE'!$E$72:$E$91))+IF(SUMSQ('TS-PILE'!$D$72:$D$91)=0,0,'TO HOP NLAN'!F285*'TS-PILE'!$D$80/SUMSQ('TS-PILE'!$D$72:$D$91))),IF('TS-PILE'!$B$81="",-1E+99,'TO HOP NLAN'!D285/ncoc+IF(SUMSQ('TS-PILE'!$E$72:$E$91)=0,0,'TO HOP NLAN'!E285*'TS-PILE'!$E$81/SUMSQ('TS-PILE'!$E$72:$E$91))+IF(SUMSQ('TS-PILE'!$D$72:$D$91)=0,0,'TO HOP NLAN'!F285*'TS-PILE'!$D$81/SUMSQ('TS-PILE'!$D$72:$D$91))),IF('TS-PILE'!$B$82="",-1E+99,'TO HOP NLAN'!D285/ncoc+IF(SUMSQ('TS-PILE'!$E$72:$E$91)=0,0,'TO HOP NLAN'!E285*'TS-PILE'!$E$82/SUMSQ('TS-PILE'!$E$72:$E$91))+IF(SUMSQ('TS-PILE'!$D$72:$D$91)=0,0,'TO HOP NLAN'!F285*'TS-PILE'!$D$82/SUMSQ('TS-PILE'!$D$72:$D$91))),IF('TS-PILE'!$B$83="",-1E+99,'TO HOP NLAN'!D285/ncoc+IF(SUMSQ('TS-PILE'!$E$72:$E$91)=0,0,'TO HOP NLAN'!E285*'TS-PILE'!$E$83/SUMSQ('TS-PILE'!$E$72:$E$91))+IF(SUMSQ('TS-PILE'!$D$72:$D$91)=0,0,'TO HOP NLAN'!F285*'TS-PILE'!$D$83/SUMSQ('TS-PILE'!$D$72:$D$91))),IF('TS-PILE'!$B$84="",-1E+99,'TO HOP NLAN'!D285/ncoc+IF(SUMSQ('TS-PILE'!$E$72:$E$91)=0,0,'TO HOP NLAN'!E285*'TS-PILE'!$E$84/SUMSQ('TS-PILE'!$E$72:$E$91))+IF(SUMSQ('TS-PILE'!$D$72:$D$91)=0,0,'TO HOP NLAN'!F285*'TS-PILE'!$D$84/SUMSQ('TS-PILE'!$D$72:$D$91))),IF('TS-PILE'!$B$85="",-1E+99,'TO HOP NLAN'!D285/ncoc+IF(SUMSQ('TS-PILE'!$E$72:$E$91)=0,0,'TO HOP NLAN'!E285*'TS-PILE'!$E$85/SUMSQ('TS-PILE'!$E$72:$E$91))+IF(SUMSQ('TS-PILE'!$D$72:$D$91)=0,0,'TO HOP NLAN'!F285*'TS-PILE'!$D$85/SUMSQ('TS-PILE'!$D$72:$D$91))),IF('TS-PILE'!$B$86="",-1E+99,'TO HOP NLAN'!D285/ncoc+IF(SUMSQ('TS-PILE'!$E$72:$E$91)=0,0,'TO HOP NLAN'!E285*'TS-PILE'!$E$86/SUMSQ('TS-PILE'!$E$72:$E$91))+IF(SUMSQ('TS-PILE'!$D$72:$D$91)=0,0,'TO HOP NLAN'!F285*'TS-PILE'!$D$86/SUMSQ('TS-PILE'!$D$72:$D$91))),IF('TS-PILE'!$B$87="",-1E+99,'TO HOP NLAN'!D285/ncoc+IF(SUMSQ('TS-PILE'!$E$72:$E$91)=0,0,'TO HOP NLAN'!E285*'TS-PILE'!$E$87/SUMSQ('TS-PILE'!$E$72:$E$91))+IF(SUMSQ('TS-PILE'!$D$72:$D$91)=0,0,'TO HOP NLAN'!F285*'TS-PILE'!$D$87/SUMSQ('TS-PILE'!$D$72:$D$91))),IF('TS-PILE'!$B$88="",-1E+99,'TO HOP NLAN'!D285/ncoc+IF(SUMSQ('TS-PILE'!$E$72:$E$91)=0,0,'TO HOP NLAN'!E285*'TS-PILE'!$E$88/SUMSQ('TS-PILE'!$E$72:$E$91))+IF(SUMSQ('TS-PILE'!$D$72:$D$91)=0,0,'TO HOP NLAN'!F285*'TS-PILE'!$D$88/SUMSQ('TS-PILE'!$D$72:$D$91))),IF('TS-PILE'!$B$89="",-1E+99,'TO HOP NLAN'!D285/ncoc+IF(SUMSQ('TS-PILE'!$E$72:$E$91)=0,0,'TO HOP NLAN'!E285*'TS-PILE'!$E$89/SUMSQ('TS-PILE'!$E$72:$E$91))+IF(SUMSQ('TS-PILE'!$D$72:$D$91)=0,0,'TO HOP NLAN'!F285*'TS-PILE'!$D$89/SUMSQ('TS-PILE'!$D$72:$D$91))),IF('TS-PILE'!$B$90="",-1E+99,'TO HOP NLAN'!D285/ncoc+IF(SUMSQ('TS-PILE'!$E$72:$E$91)=0,0,'TO HOP NLAN'!E285*'TS-PILE'!$E$90/SUMSQ('TS-PILE'!$E$72:$E$91))+IF(SUMSQ('TS-PILE'!$D$72:$D$91)=0,0,'TO HOP NLAN'!F285*'TS-PILE'!$D$90/SUMSQ('TS-PILE'!$D$72:$D$91))),IF('TS-PILE'!$B$91="",-1E+99,'TO HOP NLAN'!D285/ncoc+IF(SUMSQ('TS-PILE'!$E$72:$E$91)=0,0,'TO HOP NLAN'!E285*'TS-PILE'!$E$91/SUMSQ('TS-PILE'!$E$72:$E$91))+IF(SUMSQ('TS-PILE'!$D$72:$D$91)=0,0,'TO HOP NLAN'!F285*'TS-PILE'!$D$91/SUMSQ('TS-PILE'!$D$72:$D$91)))))</f>
        <v>0</v>
      </c>
      <c r="D285" s="58">
        <f>IF(A285="",0,MIN(IF('TS-PILE'!$B$72="",1E+99,'TO HOP NLAN'!D285/ncoc+IF(SUMSQ('TS-PILE'!$E$72:$E$91)=0,0,'TO HOP NLAN'!E285*'TS-PILE'!$E$72/SUMSQ('TS-PILE'!$E$72:$E$91))+IF(SUMSQ('TS-PILE'!$D$72:$D$91)=0,0,'TO HOP NLAN'!F285*'TS-PILE'!$D$72/SUMSQ('TS-PILE'!$D$72:$D$91))),IF('TS-PILE'!$B$73="",1E+99,'TO HOP NLAN'!D285/ncoc+IF(SUMSQ('TS-PILE'!$E$72:$E$91)=0,0,'TO HOP NLAN'!E285*'TS-PILE'!$E$73/SUMSQ('TS-PILE'!$E$72:$E$91))+IF(SUMSQ('TS-PILE'!$D$72:$D$91)=0,0,'TO HOP NLAN'!F285*'TS-PILE'!$D$73/SUMSQ('TS-PILE'!$D$72:$D$91))),IF('TS-PILE'!$B$74="",1E+99,'TO HOP NLAN'!D285/ncoc+IF(SUMSQ('TS-PILE'!$E$72:$E$91)=0,0,'TO HOP NLAN'!E285*'TS-PILE'!$E$74/SUMSQ('TS-PILE'!$E$72:$E$91))+IF(SUMSQ('TS-PILE'!$D$72:$D$91)=0,0,'TO HOP NLAN'!F285*'TS-PILE'!$D$74/SUMSQ('TS-PILE'!$D$72:$D$91))),IF('TS-PILE'!$B$75="",1E+99,'TO HOP NLAN'!D285/ncoc+IF(SUMSQ('TS-PILE'!$E$72:$E$91)=0,0,'TO HOP NLAN'!E285*'TS-PILE'!$E$75/SUMSQ('TS-PILE'!$E$72:$E$91))+IF(SUMSQ('TS-PILE'!$D$72:$D$91)=0,0,'TO HOP NLAN'!F285*'TS-PILE'!$D$75/SUMSQ('TS-PILE'!$D$72:$D$91))),IF('TS-PILE'!$B$76="",1E+99,'TO HOP NLAN'!D285/ncoc+IF(SUMSQ('TS-PILE'!$E$72:$E$91)=0,0,'TO HOP NLAN'!E285*'TS-PILE'!$E$76/SUMSQ('TS-PILE'!$E$72:$E$91))+IF(SUMSQ('TS-PILE'!$D$72:$D$91)=0,0,'TO HOP NLAN'!F285*'TS-PILE'!$D$76/SUMSQ('TS-PILE'!$D$72:$D$91))),IF('TS-PILE'!$B$77="",1E+99,'TO HOP NLAN'!D285/ncoc+IF(SUMSQ('TS-PILE'!$E$72:$E$91)=0,0,'TO HOP NLAN'!E285*'TS-PILE'!$E$77/SUMSQ('TS-PILE'!$E$72:$E$91))+IF(SUMSQ('TS-PILE'!$D$72:$D$91)=0,0,'TO HOP NLAN'!F285*'TS-PILE'!$D$77/SUMSQ('TS-PILE'!$D$72:$D$91))),IF('TS-PILE'!$B$78="",1E+99,'TO HOP NLAN'!D285/ncoc+IF(SUMSQ('TS-PILE'!$E$72:$E$91)=0,0,'TO HOP NLAN'!E285*'TS-PILE'!$E$78/SUMSQ('TS-PILE'!$E$72:$E$91))+IF(SUMSQ('TS-PILE'!$D$72:$D$91)=0,0,'TO HOP NLAN'!F285*'TS-PILE'!$D$78/SUMSQ('TS-PILE'!$D$72:$D$91))),IF('TS-PILE'!$B$79="",1E+99,'TO HOP NLAN'!D285/ncoc+IF(SUMSQ('TS-PILE'!$E$72:$E$91)=0,0,'TO HOP NLAN'!E285*'TS-PILE'!$E$79/SUMSQ('TS-PILE'!$E$72:$E$91))+IF(SUMSQ('TS-PILE'!$D$72:$D$91)=0,0,'TO HOP NLAN'!F285*'TS-PILE'!$D$79/SUMSQ('TS-PILE'!$D$72:$D$91))),IF('TS-PILE'!$B$80="",1E+99,'TO HOP NLAN'!D285/ncoc+IF(SUMSQ('TS-PILE'!$E$72:$E$91)=0,0,'TO HOP NLAN'!E285*'TS-PILE'!$E$80/SUMSQ('TS-PILE'!$E$72:$E$91))+IF(SUMSQ('TS-PILE'!$D$72:$D$91)=0,0,'TO HOP NLAN'!F285*'TS-PILE'!$D$80/SUMSQ('TS-PILE'!$D$72:$D$91))),IF('TS-PILE'!$B$81="",1E+99,'TO HOP NLAN'!D285/ncoc+IF(SUMSQ('TS-PILE'!$E$72:$E$91)=0,0,'TO HOP NLAN'!E285*'TS-PILE'!$E$81/SUMSQ('TS-PILE'!$E$72:$E$91))+IF(SUMSQ('TS-PILE'!$D$72:$D$91)=0,0,'TO HOP NLAN'!F285*'TS-PILE'!$D$81/SUMSQ('TS-PILE'!$D$72:$D$91))),IF('TS-PILE'!$B$82="",1E+99,'TO HOP NLAN'!D285/ncoc+IF(SUMSQ('TS-PILE'!$E$72:$E$91)=0,0,'TO HOP NLAN'!E285*'TS-PILE'!$E$82/SUMSQ('TS-PILE'!$E$72:$E$91))+IF(SUMSQ('TS-PILE'!$D$72:$D$91)=0,0,'TO HOP NLAN'!F285*'TS-PILE'!$D$82/SUMSQ('TS-PILE'!$D$72:$D$91))),IF('TS-PILE'!$B$83="",1E+99,'TO HOP NLAN'!D285/ncoc+IF(SUMSQ('TS-PILE'!$E$72:$E$91)=0,0,'TO HOP NLAN'!E285*'TS-PILE'!$E$83/SUMSQ('TS-PILE'!$E$72:$E$91))+IF(SUMSQ('TS-PILE'!$D$72:$D$91)=0,0,'TO HOP NLAN'!F285*'TS-PILE'!$D$83/SUMSQ('TS-PILE'!$D$72:$D$91))),IF('TS-PILE'!$B$84="",1E+99,'TO HOP NLAN'!D285/ncoc+IF(SUMSQ('TS-PILE'!$E$72:$E$91)=0,0,'TO HOP NLAN'!E285*'TS-PILE'!$E$84/SUMSQ('TS-PILE'!$E$72:$E$91))+IF(SUMSQ('TS-PILE'!$D$72:$D$91)=0,0,'TO HOP NLAN'!F285*'TS-PILE'!$D$84/SUMSQ('TS-PILE'!$D$72:$D$91))),IF('TS-PILE'!$B$85="",1E+99,'TO HOP NLAN'!D285/ncoc+IF(SUMSQ('TS-PILE'!$E$72:$E$91)=0,0,'TO HOP NLAN'!E285*'TS-PILE'!$E$85/SUMSQ('TS-PILE'!$E$72:$E$91))+IF(SUMSQ('TS-PILE'!$D$72:$D$91)=0,0,'TO HOP NLAN'!F285*'TS-PILE'!$D$85/SUMSQ('TS-PILE'!$D$72:$D$91))),IF('TS-PILE'!$B$86="",1E+99,'TO HOP NLAN'!D285/ncoc+IF(SUMSQ('TS-PILE'!$E$72:$E$91)=0,0,'TO HOP NLAN'!E285*'TS-PILE'!$E$86/SUMSQ('TS-PILE'!$E$72:$E$91))+IF(SUMSQ('TS-PILE'!$D$72:$D$91)=0,0,'TO HOP NLAN'!F285*'TS-PILE'!$D$86/SUMSQ('TS-PILE'!$D$72:$D$91))),IF('TS-PILE'!$B$87="",1E+99,'TO HOP NLAN'!D285/ncoc+IF(SUMSQ('TS-PILE'!$E$72:$E$91)=0,0,'TO HOP NLAN'!E285*'TS-PILE'!$E$87/SUMSQ('TS-PILE'!$E$72:$E$91))+IF(SUMSQ('TS-PILE'!$D$72:$D$91)=0,0,'TO HOP NLAN'!F285*'TS-PILE'!$D$87/SUMSQ('TS-PILE'!$D$72:$D$91))),IF('TS-PILE'!$B$88="",1E+99,'TO HOP NLAN'!D285/ncoc+IF(SUMSQ('TS-PILE'!$E$72:$E$91)=0,0,'TO HOP NLAN'!E285*'TS-PILE'!$E$88/SUMSQ('TS-PILE'!$E$72:$E$91))+IF(SUMSQ('TS-PILE'!$D$72:$D$91)=0,0,'TO HOP NLAN'!F285*'TS-PILE'!$D$88/SUMSQ('TS-PILE'!$D$72:$D$91))),IF('TS-PILE'!$B$89="",1E+99,'TO HOP NLAN'!D285/ncoc+IF(SUMSQ('TS-PILE'!$E$72:$E$91)=0,0,'TO HOP NLAN'!E285*'TS-PILE'!$E$89/SUMSQ('TS-PILE'!$E$72:$E$91))+IF(SUMSQ('TS-PILE'!$D$72:$D$91)=0,0,'TO HOP NLAN'!F285*'TS-PILE'!$D$89/SUMSQ('TS-PILE'!$D$72:$D$91))),IF('TS-PILE'!$B$90="",1E+99,'TO HOP NLAN'!D285/ncoc+IF(SUMSQ('TS-PILE'!$E$72:$E$91)=0,0,'TO HOP NLAN'!E285*'TS-PILE'!$E$90/SUMSQ('TS-PILE'!$E$72:$E$91))+IF(SUMSQ('TS-PILE'!$D$72:$D$91)=0,0,'TO HOP NLAN'!F285*'TS-PILE'!$D$90/SUMSQ('TS-PILE'!$D$72:$D$91))),IF('TS-PILE'!$B$91="",1E+99,'TO HOP NLAN'!D285/ncoc+IF(SUMSQ('TS-PILE'!$E$72:$E$91)=0,0,'TO HOP NLAN'!E285*'TS-PILE'!$E$91/SUMSQ('TS-PILE'!$E$72:$E$91))+IF(SUMSQ('TS-PILE'!$D$72:$D$91)=0,0,'TO HOP NLAN'!F285*'TS-PILE'!$D$91/SUMSQ('TS-PILE'!$D$72:$D$91)))))</f>
        <v>0</v>
      </c>
      <c r="E285" s="58">
        <f t="shared" si="16"/>
        <v>-9.9999999999999997E+98</v>
      </c>
      <c r="F285" s="58">
        <f t="shared" si="17"/>
        <v>9.9999999999999997E+98</v>
      </c>
      <c r="G285" s="58">
        <f t="shared" si="18"/>
        <v>-9.9999999999999997E+98</v>
      </c>
      <c r="H285" s="58">
        <f t="shared" si="19"/>
        <v>9.9999999999999997E+98</v>
      </c>
    </row>
    <row r="286" spans="1:8" x14ac:dyDescent="0.3">
      <c r="A286" s="42" t="str">
        <f>'TO HOP NLAN'!A286</f>
        <v/>
      </c>
      <c r="B286" s="42" t="str">
        <f>'TO HOP NLAN'!L286</f>
        <v>STRENGTH</v>
      </c>
      <c r="C286" s="58">
        <f>IF(A286="",0,MAX(IF('TS-PILE'!$B$72="",-1E+99,'TO HOP NLAN'!D286/ncoc+IF(SUMSQ('TS-PILE'!$E$72:$E$91)=0,0,'TO HOP NLAN'!E286*'TS-PILE'!$E$72/SUMSQ('TS-PILE'!$E$72:$E$91))+IF(SUMSQ('TS-PILE'!$D$72:$D$91)=0,0,'TO HOP NLAN'!F286*'TS-PILE'!$D$72/SUMSQ('TS-PILE'!$D$72:$D$91))),IF('TS-PILE'!$B$73="",-1E+99,'TO HOP NLAN'!D286/ncoc+IF(SUMSQ('TS-PILE'!$E$72:$E$91)=0,0,'TO HOP NLAN'!E286*'TS-PILE'!$E$73/SUMSQ('TS-PILE'!$E$72:$E$91))+IF(SUMSQ('TS-PILE'!$D$72:$D$91)=0,0,'TO HOP NLAN'!F286*'TS-PILE'!$D$73/SUMSQ('TS-PILE'!$D$72:$D$91))),IF('TS-PILE'!$B$74="",-1E+99,'TO HOP NLAN'!D286/ncoc+IF(SUMSQ('TS-PILE'!$E$72:$E$91)=0,0,'TO HOP NLAN'!E286*'TS-PILE'!$E$74/SUMSQ('TS-PILE'!$E$72:$E$91))+IF(SUMSQ('TS-PILE'!$D$72:$D$91)=0,0,'TO HOP NLAN'!F286*'TS-PILE'!$D$74/SUMSQ('TS-PILE'!$D$72:$D$91))),IF('TS-PILE'!$B$75="",-1E+99,'TO HOP NLAN'!D286/ncoc+IF(SUMSQ('TS-PILE'!$E$72:$E$91)=0,0,'TO HOP NLAN'!E286*'TS-PILE'!$E$75/SUMSQ('TS-PILE'!$E$72:$E$91))+IF(SUMSQ('TS-PILE'!$D$72:$D$91)=0,0,'TO HOP NLAN'!F286*'TS-PILE'!$D$75/SUMSQ('TS-PILE'!$D$72:$D$91))),IF('TS-PILE'!$B$76="",-1E+99,'TO HOP NLAN'!D286/ncoc+IF(SUMSQ('TS-PILE'!$E$72:$E$91)=0,0,'TO HOP NLAN'!E286*'TS-PILE'!$E$76/SUMSQ('TS-PILE'!$E$72:$E$91))+IF(SUMSQ('TS-PILE'!$D$72:$D$91)=0,0,'TO HOP NLAN'!F286*'TS-PILE'!$D$76/SUMSQ('TS-PILE'!$D$72:$D$91))),IF('TS-PILE'!$B$77="",-1E+99,'TO HOP NLAN'!D286/ncoc+IF(SUMSQ('TS-PILE'!$E$72:$E$91)=0,0,'TO HOP NLAN'!E286*'TS-PILE'!$E$77/SUMSQ('TS-PILE'!$E$72:$E$91))+IF(SUMSQ('TS-PILE'!$D$72:$D$91)=0,0,'TO HOP NLAN'!F286*'TS-PILE'!$D$77/SUMSQ('TS-PILE'!$D$72:$D$91))),IF('TS-PILE'!$B$78="",-1E+99,'TO HOP NLAN'!D286/ncoc+IF(SUMSQ('TS-PILE'!$E$72:$E$91)=0,0,'TO HOP NLAN'!E286*'TS-PILE'!$E$78/SUMSQ('TS-PILE'!$E$72:$E$91))+IF(SUMSQ('TS-PILE'!$D$72:$D$91)=0,0,'TO HOP NLAN'!F286*'TS-PILE'!$D$78/SUMSQ('TS-PILE'!$D$72:$D$91))),IF('TS-PILE'!$B$79="",-1E+99,'TO HOP NLAN'!D286/ncoc+IF(SUMSQ('TS-PILE'!$E$72:$E$91)=0,0,'TO HOP NLAN'!E286*'TS-PILE'!$E$79/SUMSQ('TS-PILE'!$E$72:$E$91))+IF(SUMSQ('TS-PILE'!$D$72:$D$91)=0,0,'TO HOP NLAN'!F286*'TS-PILE'!$D$79/SUMSQ('TS-PILE'!$D$72:$D$91))),IF('TS-PILE'!$B$80="",-1E+99,'TO HOP NLAN'!D286/ncoc+IF(SUMSQ('TS-PILE'!$E$72:$E$91)=0,0,'TO HOP NLAN'!E286*'TS-PILE'!$E$80/SUMSQ('TS-PILE'!$E$72:$E$91))+IF(SUMSQ('TS-PILE'!$D$72:$D$91)=0,0,'TO HOP NLAN'!F286*'TS-PILE'!$D$80/SUMSQ('TS-PILE'!$D$72:$D$91))),IF('TS-PILE'!$B$81="",-1E+99,'TO HOP NLAN'!D286/ncoc+IF(SUMSQ('TS-PILE'!$E$72:$E$91)=0,0,'TO HOP NLAN'!E286*'TS-PILE'!$E$81/SUMSQ('TS-PILE'!$E$72:$E$91))+IF(SUMSQ('TS-PILE'!$D$72:$D$91)=0,0,'TO HOP NLAN'!F286*'TS-PILE'!$D$81/SUMSQ('TS-PILE'!$D$72:$D$91))),IF('TS-PILE'!$B$82="",-1E+99,'TO HOP NLAN'!D286/ncoc+IF(SUMSQ('TS-PILE'!$E$72:$E$91)=0,0,'TO HOP NLAN'!E286*'TS-PILE'!$E$82/SUMSQ('TS-PILE'!$E$72:$E$91))+IF(SUMSQ('TS-PILE'!$D$72:$D$91)=0,0,'TO HOP NLAN'!F286*'TS-PILE'!$D$82/SUMSQ('TS-PILE'!$D$72:$D$91))),IF('TS-PILE'!$B$83="",-1E+99,'TO HOP NLAN'!D286/ncoc+IF(SUMSQ('TS-PILE'!$E$72:$E$91)=0,0,'TO HOP NLAN'!E286*'TS-PILE'!$E$83/SUMSQ('TS-PILE'!$E$72:$E$91))+IF(SUMSQ('TS-PILE'!$D$72:$D$91)=0,0,'TO HOP NLAN'!F286*'TS-PILE'!$D$83/SUMSQ('TS-PILE'!$D$72:$D$91))),IF('TS-PILE'!$B$84="",-1E+99,'TO HOP NLAN'!D286/ncoc+IF(SUMSQ('TS-PILE'!$E$72:$E$91)=0,0,'TO HOP NLAN'!E286*'TS-PILE'!$E$84/SUMSQ('TS-PILE'!$E$72:$E$91))+IF(SUMSQ('TS-PILE'!$D$72:$D$91)=0,0,'TO HOP NLAN'!F286*'TS-PILE'!$D$84/SUMSQ('TS-PILE'!$D$72:$D$91))),IF('TS-PILE'!$B$85="",-1E+99,'TO HOP NLAN'!D286/ncoc+IF(SUMSQ('TS-PILE'!$E$72:$E$91)=0,0,'TO HOP NLAN'!E286*'TS-PILE'!$E$85/SUMSQ('TS-PILE'!$E$72:$E$91))+IF(SUMSQ('TS-PILE'!$D$72:$D$91)=0,0,'TO HOP NLAN'!F286*'TS-PILE'!$D$85/SUMSQ('TS-PILE'!$D$72:$D$91))),IF('TS-PILE'!$B$86="",-1E+99,'TO HOP NLAN'!D286/ncoc+IF(SUMSQ('TS-PILE'!$E$72:$E$91)=0,0,'TO HOP NLAN'!E286*'TS-PILE'!$E$86/SUMSQ('TS-PILE'!$E$72:$E$91))+IF(SUMSQ('TS-PILE'!$D$72:$D$91)=0,0,'TO HOP NLAN'!F286*'TS-PILE'!$D$86/SUMSQ('TS-PILE'!$D$72:$D$91))),IF('TS-PILE'!$B$87="",-1E+99,'TO HOP NLAN'!D286/ncoc+IF(SUMSQ('TS-PILE'!$E$72:$E$91)=0,0,'TO HOP NLAN'!E286*'TS-PILE'!$E$87/SUMSQ('TS-PILE'!$E$72:$E$91))+IF(SUMSQ('TS-PILE'!$D$72:$D$91)=0,0,'TO HOP NLAN'!F286*'TS-PILE'!$D$87/SUMSQ('TS-PILE'!$D$72:$D$91))),IF('TS-PILE'!$B$88="",-1E+99,'TO HOP NLAN'!D286/ncoc+IF(SUMSQ('TS-PILE'!$E$72:$E$91)=0,0,'TO HOP NLAN'!E286*'TS-PILE'!$E$88/SUMSQ('TS-PILE'!$E$72:$E$91))+IF(SUMSQ('TS-PILE'!$D$72:$D$91)=0,0,'TO HOP NLAN'!F286*'TS-PILE'!$D$88/SUMSQ('TS-PILE'!$D$72:$D$91))),IF('TS-PILE'!$B$89="",-1E+99,'TO HOP NLAN'!D286/ncoc+IF(SUMSQ('TS-PILE'!$E$72:$E$91)=0,0,'TO HOP NLAN'!E286*'TS-PILE'!$E$89/SUMSQ('TS-PILE'!$E$72:$E$91))+IF(SUMSQ('TS-PILE'!$D$72:$D$91)=0,0,'TO HOP NLAN'!F286*'TS-PILE'!$D$89/SUMSQ('TS-PILE'!$D$72:$D$91))),IF('TS-PILE'!$B$90="",-1E+99,'TO HOP NLAN'!D286/ncoc+IF(SUMSQ('TS-PILE'!$E$72:$E$91)=0,0,'TO HOP NLAN'!E286*'TS-PILE'!$E$90/SUMSQ('TS-PILE'!$E$72:$E$91))+IF(SUMSQ('TS-PILE'!$D$72:$D$91)=0,0,'TO HOP NLAN'!F286*'TS-PILE'!$D$90/SUMSQ('TS-PILE'!$D$72:$D$91))),IF('TS-PILE'!$B$91="",-1E+99,'TO HOP NLAN'!D286/ncoc+IF(SUMSQ('TS-PILE'!$E$72:$E$91)=0,0,'TO HOP NLAN'!E286*'TS-PILE'!$E$91/SUMSQ('TS-PILE'!$E$72:$E$91))+IF(SUMSQ('TS-PILE'!$D$72:$D$91)=0,0,'TO HOP NLAN'!F286*'TS-PILE'!$D$91/SUMSQ('TS-PILE'!$D$72:$D$91)))))</f>
        <v>0</v>
      </c>
      <c r="D286" s="58">
        <f>IF(A286="",0,MIN(IF('TS-PILE'!$B$72="",1E+99,'TO HOP NLAN'!D286/ncoc+IF(SUMSQ('TS-PILE'!$E$72:$E$91)=0,0,'TO HOP NLAN'!E286*'TS-PILE'!$E$72/SUMSQ('TS-PILE'!$E$72:$E$91))+IF(SUMSQ('TS-PILE'!$D$72:$D$91)=0,0,'TO HOP NLAN'!F286*'TS-PILE'!$D$72/SUMSQ('TS-PILE'!$D$72:$D$91))),IF('TS-PILE'!$B$73="",1E+99,'TO HOP NLAN'!D286/ncoc+IF(SUMSQ('TS-PILE'!$E$72:$E$91)=0,0,'TO HOP NLAN'!E286*'TS-PILE'!$E$73/SUMSQ('TS-PILE'!$E$72:$E$91))+IF(SUMSQ('TS-PILE'!$D$72:$D$91)=0,0,'TO HOP NLAN'!F286*'TS-PILE'!$D$73/SUMSQ('TS-PILE'!$D$72:$D$91))),IF('TS-PILE'!$B$74="",1E+99,'TO HOP NLAN'!D286/ncoc+IF(SUMSQ('TS-PILE'!$E$72:$E$91)=0,0,'TO HOP NLAN'!E286*'TS-PILE'!$E$74/SUMSQ('TS-PILE'!$E$72:$E$91))+IF(SUMSQ('TS-PILE'!$D$72:$D$91)=0,0,'TO HOP NLAN'!F286*'TS-PILE'!$D$74/SUMSQ('TS-PILE'!$D$72:$D$91))),IF('TS-PILE'!$B$75="",1E+99,'TO HOP NLAN'!D286/ncoc+IF(SUMSQ('TS-PILE'!$E$72:$E$91)=0,0,'TO HOP NLAN'!E286*'TS-PILE'!$E$75/SUMSQ('TS-PILE'!$E$72:$E$91))+IF(SUMSQ('TS-PILE'!$D$72:$D$91)=0,0,'TO HOP NLAN'!F286*'TS-PILE'!$D$75/SUMSQ('TS-PILE'!$D$72:$D$91))),IF('TS-PILE'!$B$76="",1E+99,'TO HOP NLAN'!D286/ncoc+IF(SUMSQ('TS-PILE'!$E$72:$E$91)=0,0,'TO HOP NLAN'!E286*'TS-PILE'!$E$76/SUMSQ('TS-PILE'!$E$72:$E$91))+IF(SUMSQ('TS-PILE'!$D$72:$D$91)=0,0,'TO HOP NLAN'!F286*'TS-PILE'!$D$76/SUMSQ('TS-PILE'!$D$72:$D$91))),IF('TS-PILE'!$B$77="",1E+99,'TO HOP NLAN'!D286/ncoc+IF(SUMSQ('TS-PILE'!$E$72:$E$91)=0,0,'TO HOP NLAN'!E286*'TS-PILE'!$E$77/SUMSQ('TS-PILE'!$E$72:$E$91))+IF(SUMSQ('TS-PILE'!$D$72:$D$91)=0,0,'TO HOP NLAN'!F286*'TS-PILE'!$D$77/SUMSQ('TS-PILE'!$D$72:$D$91))),IF('TS-PILE'!$B$78="",1E+99,'TO HOP NLAN'!D286/ncoc+IF(SUMSQ('TS-PILE'!$E$72:$E$91)=0,0,'TO HOP NLAN'!E286*'TS-PILE'!$E$78/SUMSQ('TS-PILE'!$E$72:$E$91))+IF(SUMSQ('TS-PILE'!$D$72:$D$91)=0,0,'TO HOP NLAN'!F286*'TS-PILE'!$D$78/SUMSQ('TS-PILE'!$D$72:$D$91))),IF('TS-PILE'!$B$79="",1E+99,'TO HOP NLAN'!D286/ncoc+IF(SUMSQ('TS-PILE'!$E$72:$E$91)=0,0,'TO HOP NLAN'!E286*'TS-PILE'!$E$79/SUMSQ('TS-PILE'!$E$72:$E$91))+IF(SUMSQ('TS-PILE'!$D$72:$D$91)=0,0,'TO HOP NLAN'!F286*'TS-PILE'!$D$79/SUMSQ('TS-PILE'!$D$72:$D$91))),IF('TS-PILE'!$B$80="",1E+99,'TO HOP NLAN'!D286/ncoc+IF(SUMSQ('TS-PILE'!$E$72:$E$91)=0,0,'TO HOP NLAN'!E286*'TS-PILE'!$E$80/SUMSQ('TS-PILE'!$E$72:$E$91))+IF(SUMSQ('TS-PILE'!$D$72:$D$91)=0,0,'TO HOP NLAN'!F286*'TS-PILE'!$D$80/SUMSQ('TS-PILE'!$D$72:$D$91))),IF('TS-PILE'!$B$81="",1E+99,'TO HOP NLAN'!D286/ncoc+IF(SUMSQ('TS-PILE'!$E$72:$E$91)=0,0,'TO HOP NLAN'!E286*'TS-PILE'!$E$81/SUMSQ('TS-PILE'!$E$72:$E$91))+IF(SUMSQ('TS-PILE'!$D$72:$D$91)=0,0,'TO HOP NLAN'!F286*'TS-PILE'!$D$81/SUMSQ('TS-PILE'!$D$72:$D$91))),IF('TS-PILE'!$B$82="",1E+99,'TO HOP NLAN'!D286/ncoc+IF(SUMSQ('TS-PILE'!$E$72:$E$91)=0,0,'TO HOP NLAN'!E286*'TS-PILE'!$E$82/SUMSQ('TS-PILE'!$E$72:$E$91))+IF(SUMSQ('TS-PILE'!$D$72:$D$91)=0,0,'TO HOP NLAN'!F286*'TS-PILE'!$D$82/SUMSQ('TS-PILE'!$D$72:$D$91))),IF('TS-PILE'!$B$83="",1E+99,'TO HOP NLAN'!D286/ncoc+IF(SUMSQ('TS-PILE'!$E$72:$E$91)=0,0,'TO HOP NLAN'!E286*'TS-PILE'!$E$83/SUMSQ('TS-PILE'!$E$72:$E$91))+IF(SUMSQ('TS-PILE'!$D$72:$D$91)=0,0,'TO HOP NLAN'!F286*'TS-PILE'!$D$83/SUMSQ('TS-PILE'!$D$72:$D$91))),IF('TS-PILE'!$B$84="",1E+99,'TO HOP NLAN'!D286/ncoc+IF(SUMSQ('TS-PILE'!$E$72:$E$91)=0,0,'TO HOP NLAN'!E286*'TS-PILE'!$E$84/SUMSQ('TS-PILE'!$E$72:$E$91))+IF(SUMSQ('TS-PILE'!$D$72:$D$91)=0,0,'TO HOP NLAN'!F286*'TS-PILE'!$D$84/SUMSQ('TS-PILE'!$D$72:$D$91))),IF('TS-PILE'!$B$85="",1E+99,'TO HOP NLAN'!D286/ncoc+IF(SUMSQ('TS-PILE'!$E$72:$E$91)=0,0,'TO HOP NLAN'!E286*'TS-PILE'!$E$85/SUMSQ('TS-PILE'!$E$72:$E$91))+IF(SUMSQ('TS-PILE'!$D$72:$D$91)=0,0,'TO HOP NLAN'!F286*'TS-PILE'!$D$85/SUMSQ('TS-PILE'!$D$72:$D$91))),IF('TS-PILE'!$B$86="",1E+99,'TO HOP NLAN'!D286/ncoc+IF(SUMSQ('TS-PILE'!$E$72:$E$91)=0,0,'TO HOP NLAN'!E286*'TS-PILE'!$E$86/SUMSQ('TS-PILE'!$E$72:$E$91))+IF(SUMSQ('TS-PILE'!$D$72:$D$91)=0,0,'TO HOP NLAN'!F286*'TS-PILE'!$D$86/SUMSQ('TS-PILE'!$D$72:$D$91))),IF('TS-PILE'!$B$87="",1E+99,'TO HOP NLAN'!D286/ncoc+IF(SUMSQ('TS-PILE'!$E$72:$E$91)=0,0,'TO HOP NLAN'!E286*'TS-PILE'!$E$87/SUMSQ('TS-PILE'!$E$72:$E$91))+IF(SUMSQ('TS-PILE'!$D$72:$D$91)=0,0,'TO HOP NLAN'!F286*'TS-PILE'!$D$87/SUMSQ('TS-PILE'!$D$72:$D$91))),IF('TS-PILE'!$B$88="",1E+99,'TO HOP NLAN'!D286/ncoc+IF(SUMSQ('TS-PILE'!$E$72:$E$91)=0,0,'TO HOP NLAN'!E286*'TS-PILE'!$E$88/SUMSQ('TS-PILE'!$E$72:$E$91))+IF(SUMSQ('TS-PILE'!$D$72:$D$91)=0,0,'TO HOP NLAN'!F286*'TS-PILE'!$D$88/SUMSQ('TS-PILE'!$D$72:$D$91))),IF('TS-PILE'!$B$89="",1E+99,'TO HOP NLAN'!D286/ncoc+IF(SUMSQ('TS-PILE'!$E$72:$E$91)=0,0,'TO HOP NLAN'!E286*'TS-PILE'!$E$89/SUMSQ('TS-PILE'!$E$72:$E$91))+IF(SUMSQ('TS-PILE'!$D$72:$D$91)=0,0,'TO HOP NLAN'!F286*'TS-PILE'!$D$89/SUMSQ('TS-PILE'!$D$72:$D$91))),IF('TS-PILE'!$B$90="",1E+99,'TO HOP NLAN'!D286/ncoc+IF(SUMSQ('TS-PILE'!$E$72:$E$91)=0,0,'TO HOP NLAN'!E286*'TS-PILE'!$E$90/SUMSQ('TS-PILE'!$E$72:$E$91))+IF(SUMSQ('TS-PILE'!$D$72:$D$91)=0,0,'TO HOP NLAN'!F286*'TS-PILE'!$D$90/SUMSQ('TS-PILE'!$D$72:$D$91))),IF('TS-PILE'!$B$91="",1E+99,'TO HOP NLAN'!D286/ncoc+IF(SUMSQ('TS-PILE'!$E$72:$E$91)=0,0,'TO HOP NLAN'!E286*'TS-PILE'!$E$91/SUMSQ('TS-PILE'!$E$72:$E$91))+IF(SUMSQ('TS-PILE'!$D$72:$D$91)=0,0,'TO HOP NLAN'!F286*'TS-PILE'!$D$91/SUMSQ('TS-PILE'!$D$72:$D$91)))))</f>
        <v>0</v>
      </c>
      <c r="E286" s="58">
        <f t="shared" si="16"/>
        <v>-9.9999999999999997E+98</v>
      </c>
      <c r="F286" s="58">
        <f t="shared" si="17"/>
        <v>9.9999999999999997E+98</v>
      </c>
      <c r="G286" s="58">
        <f t="shared" si="18"/>
        <v>-9.9999999999999997E+98</v>
      </c>
      <c r="H286" s="58">
        <f t="shared" si="19"/>
        <v>9.9999999999999997E+98</v>
      </c>
    </row>
    <row r="287" spans="1:8" x14ac:dyDescent="0.3">
      <c r="A287" s="42" t="str">
        <f>'TO HOP NLAN'!A287</f>
        <v/>
      </c>
      <c r="B287" s="42" t="str">
        <f>'TO HOP NLAN'!L287</f>
        <v>STRENGTH</v>
      </c>
      <c r="C287" s="58">
        <f>IF(A287="",0,MAX(IF('TS-PILE'!$B$72="",-1E+99,'TO HOP NLAN'!D287/ncoc+IF(SUMSQ('TS-PILE'!$E$72:$E$91)=0,0,'TO HOP NLAN'!E287*'TS-PILE'!$E$72/SUMSQ('TS-PILE'!$E$72:$E$91))+IF(SUMSQ('TS-PILE'!$D$72:$D$91)=0,0,'TO HOP NLAN'!F287*'TS-PILE'!$D$72/SUMSQ('TS-PILE'!$D$72:$D$91))),IF('TS-PILE'!$B$73="",-1E+99,'TO HOP NLAN'!D287/ncoc+IF(SUMSQ('TS-PILE'!$E$72:$E$91)=0,0,'TO HOP NLAN'!E287*'TS-PILE'!$E$73/SUMSQ('TS-PILE'!$E$72:$E$91))+IF(SUMSQ('TS-PILE'!$D$72:$D$91)=0,0,'TO HOP NLAN'!F287*'TS-PILE'!$D$73/SUMSQ('TS-PILE'!$D$72:$D$91))),IF('TS-PILE'!$B$74="",-1E+99,'TO HOP NLAN'!D287/ncoc+IF(SUMSQ('TS-PILE'!$E$72:$E$91)=0,0,'TO HOP NLAN'!E287*'TS-PILE'!$E$74/SUMSQ('TS-PILE'!$E$72:$E$91))+IF(SUMSQ('TS-PILE'!$D$72:$D$91)=0,0,'TO HOP NLAN'!F287*'TS-PILE'!$D$74/SUMSQ('TS-PILE'!$D$72:$D$91))),IF('TS-PILE'!$B$75="",-1E+99,'TO HOP NLAN'!D287/ncoc+IF(SUMSQ('TS-PILE'!$E$72:$E$91)=0,0,'TO HOP NLAN'!E287*'TS-PILE'!$E$75/SUMSQ('TS-PILE'!$E$72:$E$91))+IF(SUMSQ('TS-PILE'!$D$72:$D$91)=0,0,'TO HOP NLAN'!F287*'TS-PILE'!$D$75/SUMSQ('TS-PILE'!$D$72:$D$91))),IF('TS-PILE'!$B$76="",-1E+99,'TO HOP NLAN'!D287/ncoc+IF(SUMSQ('TS-PILE'!$E$72:$E$91)=0,0,'TO HOP NLAN'!E287*'TS-PILE'!$E$76/SUMSQ('TS-PILE'!$E$72:$E$91))+IF(SUMSQ('TS-PILE'!$D$72:$D$91)=0,0,'TO HOP NLAN'!F287*'TS-PILE'!$D$76/SUMSQ('TS-PILE'!$D$72:$D$91))),IF('TS-PILE'!$B$77="",-1E+99,'TO HOP NLAN'!D287/ncoc+IF(SUMSQ('TS-PILE'!$E$72:$E$91)=0,0,'TO HOP NLAN'!E287*'TS-PILE'!$E$77/SUMSQ('TS-PILE'!$E$72:$E$91))+IF(SUMSQ('TS-PILE'!$D$72:$D$91)=0,0,'TO HOP NLAN'!F287*'TS-PILE'!$D$77/SUMSQ('TS-PILE'!$D$72:$D$91))),IF('TS-PILE'!$B$78="",-1E+99,'TO HOP NLAN'!D287/ncoc+IF(SUMSQ('TS-PILE'!$E$72:$E$91)=0,0,'TO HOP NLAN'!E287*'TS-PILE'!$E$78/SUMSQ('TS-PILE'!$E$72:$E$91))+IF(SUMSQ('TS-PILE'!$D$72:$D$91)=0,0,'TO HOP NLAN'!F287*'TS-PILE'!$D$78/SUMSQ('TS-PILE'!$D$72:$D$91))),IF('TS-PILE'!$B$79="",-1E+99,'TO HOP NLAN'!D287/ncoc+IF(SUMSQ('TS-PILE'!$E$72:$E$91)=0,0,'TO HOP NLAN'!E287*'TS-PILE'!$E$79/SUMSQ('TS-PILE'!$E$72:$E$91))+IF(SUMSQ('TS-PILE'!$D$72:$D$91)=0,0,'TO HOP NLAN'!F287*'TS-PILE'!$D$79/SUMSQ('TS-PILE'!$D$72:$D$91))),IF('TS-PILE'!$B$80="",-1E+99,'TO HOP NLAN'!D287/ncoc+IF(SUMSQ('TS-PILE'!$E$72:$E$91)=0,0,'TO HOP NLAN'!E287*'TS-PILE'!$E$80/SUMSQ('TS-PILE'!$E$72:$E$91))+IF(SUMSQ('TS-PILE'!$D$72:$D$91)=0,0,'TO HOP NLAN'!F287*'TS-PILE'!$D$80/SUMSQ('TS-PILE'!$D$72:$D$91))),IF('TS-PILE'!$B$81="",-1E+99,'TO HOP NLAN'!D287/ncoc+IF(SUMSQ('TS-PILE'!$E$72:$E$91)=0,0,'TO HOP NLAN'!E287*'TS-PILE'!$E$81/SUMSQ('TS-PILE'!$E$72:$E$91))+IF(SUMSQ('TS-PILE'!$D$72:$D$91)=0,0,'TO HOP NLAN'!F287*'TS-PILE'!$D$81/SUMSQ('TS-PILE'!$D$72:$D$91))),IF('TS-PILE'!$B$82="",-1E+99,'TO HOP NLAN'!D287/ncoc+IF(SUMSQ('TS-PILE'!$E$72:$E$91)=0,0,'TO HOP NLAN'!E287*'TS-PILE'!$E$82/SUMSQ('TS-PILE'!$E$72:$E$91))+IF(SUMSQ('TS-PILE'!$D$72:$D$91)=0,0,'TO HOP NLAN'!F287*'TS-PILE'!$D$82/SUMSQ('TS-PILE'!$D$72:$D$91))),IF('TS-PILE'!$B$83="",-1E+99,'TO HOP NLAN'!D287/ncoc+IF(SUMSQ('TS-PILE'!$E$72:$E$91)=0,0,'TO HOP NLAN'!E287*'TS-PILE'!$E$83/SUMSQ('TS-PILE'!$E$72:$E$91))+IF(SUMSQ('TS-PILE'!$D$72:$D$91)=0,0,'TO HOP NLAN'!F287*'TS-PILE'!$D$83/SUMSQ('TS-PILE'!$D$72:$D$91))),IF('TS-PILE'!$B$84="",-1E+99,'TO HOP NLAN'!D287/ncoc+IF(SUMSQ('TS-PILE'!$E$72:$E$91)=0,0,'TO HOP NLAN'!E287*'TS-PILE'!$E$84/SUMSQ('TS-PILE'!$E$72:$E$91))+IF(SUMSQ('TS-PILE'!$D$72:$D$91)=0,0,'TO HOP NLAN'!F287*'TS-PILE'!$D$84/SUMSQ('TS-PILE'!$D$72:$D$91))),IF('TS-PILE'!$B$85="",-1E+99,'TO HOP NLAN'!D287/ncoc+IF(SUMSQ('TS-PILE'!$E$72:$E$91)=0,0,'TO HOP NLAN'!E287*'TS-PILE'!$E$85/SUMSQ('TS-PILE'!$E$72:$E$91))+IF(SUMSQ('TS-PILE'!$D$72:$D$91)=0,0,'TO HOP NLAN'!F287*'TS-PILE'!$D$85/SUMSQ('TS-PILE'!$D$72:$D$91))),IF('TS-PILE'!$B$86="",-1E+99,'TO HOP NLAN'!D287/ncoc+IF(SUMSQ('TS-PILE'!$E$72:$E$91)=0,0,'TO HOP NLAN'!E287*'TS-PILE'!$E$86/SUMSQ('TS-PILE'!$E$72:$E$91))+IF(SUMSQ('TS-PILE'!$D$72:$D$91)=0,0,'TO HOP NLAN'!F287*'TS-PILE'!$D$86/SUMSQ('TS-PILE'!$D$72:$D$91))),IF('TS-PILE'!$B$87="",-1E+99,'TO HOP NLAN'!D287/ncoc+IF(SUMSQ('TS-PILE'!$E$72:$E$91)=0,0,'TO HOP NLAN'!E287*'TS-PILE'!$E$87/SUMSQ('TS-PILE'!$E$72:$E$91))+IF(SUMSQ('TS-PILE'!$D$72:$D$91)=0,0,'TO HOP NLAN'!F287*'TS-PILE'!$D$87/SUMSQ('TS-PILE'!$D$72:$D$91))),IF('TS-PILE'!$B$88="",-1E+99,'TO HOP NLAN'!D287/ncoc+IF(SUMSQ('TS-PILE'!$E$72:$E$91)=0,0,'TO HOP NLAN'!E287*'TS-PILE'!$E$88/SUMSQ('TS-PILE'!$E$72:$E$91))+IF(SUMSQ('TS-PILE'!$D$72:$D$91)=0,0,'TO HOP NLAN'!F287*'TS-PILE'!$D$88/SUMSQ('TS-PILE'!$D$72:$D$91))),IF('TS-PILE'!$B$89="",-1E+99,'TO HOP NLAN'!D287/ncoc+IF(SUMSQ('TS-PILE'!$E$72:$E$91)=0,0,'TO HOP NLAN'!E287*'TS-PILE'!$E$89/SUMSQ('TS-PILE'!$E$72:$E$91))+IF(SUMSQ('TS-PILE'!$D$72:$D$91)=0,0,'TO HOP NLAN'!F287*'TS-PILE'!$D$89/SUMSQ('TS-PILE'!$D$72:$D$91))),IF('TS-PILE'!$B$90="",-1E+99,'TO HOP NLAN'!D287/ncoc+IF(SUMSQ('TS-PILE'!$E$72:$E$91)=0,0,'TO HOP NLAN'!E287*'TS-PILE'!$E$90/SUMSQ('TS-PILE'!$E$72:$E$91))+IF(SUMSQ('TS-PILE'!$D$72:$D$91)=0,0,'TO HOP NLAN'!F287*'TS-PILE'!$D$90/SUMSQ('TS-PILE'!$D$72:$D$91))),IF('TS-PILE'!$B$91="",-1E+99,'TO HOP NLAN'!D287/ncoc+IF(SUMSQ('TS-PILE'!$E$72:$E$91)=0,0,'TO HOP NLAN'!E287*'TS-PILE'!$E$91/SUMSQ('TS-PILE'!$E$72:$E$91))+IF(SUMSQ('TS-PILE'!$D$72:$D$91)=0,0,'TO HOP NLAN'!F287*'TS-PILE'!$D$91/SUMSQ('TS-PILE'!$D$72:$D$91)))))</f>
        <v>0</v>
      </c>
      <c r="D287" s="58">
        <f>IF(A287="",0,MIN(IF('TS-PILE'!$B$72="",1E+99,'TO HOP NLAN'!D287/ncoc+IF(SUMSQ('TS-PILE'!$E$72:$E$91)=0,0,'TO HOP NLAN'!E287*'TS-PILE'!$E$72/SUMSQ('TS-PILE'!$E$72:$E$91))+IF(SUMSQ('TS-PILE'!$D$72:$D$91)=0,0,'TO HOP NLAN'!F287*'TS-PILE'!$D$72/SUMSQ('TS-PILE'!$D$72:$D$91))),IF('TS-PILE'!$B$73="",1E+99,'TO HOP NLAN'!D287/ncoc+IF(SUMSQ('TS-PILE'!$E$72:$E$91)=0,0,'TO HOP NLAN'!E287*'TS-PILE'!$E$73/SUMSQ('TS-PILE'!$E$72:$E$91))+IF(SUMSQ('TS-PILE'!$D$72:$D$91)=0,0,'TO HOP NLAN'!F287*'TS-PILE'!$D$73/SUMSQ('TS-PILE'!$D$72:$D$91))),IF('TS-PILE'!$B$74="",1E+99,'TO HOP NLAN'!D287/ncoc+IF(SUMSQ('TS-PILE'!$E$72:$E$91)=0,0,'TO HOP NLAN'!E287*'TS-PILE'!$E$74/SUMSQ('TS-PILE'!$E$72:$E$91))+IF(SUMSQ('TS-PILE'!$D$72:$D$91)=0,0,'TO HOP NLAN'!F287*'TS-PILE'!$D$74/SUMSQ('TS-PILE'!$D$72:$D$91))),IF('TS-PILE'!$B$75="",1E+99,'TO HOP NLAN'!D287/ncoc+IF(SUMSQ('TS-PILE'!$E$72:$E$91)=0,0,'TO HOP NLAN'!E287*'TS-PILE'!$E$75/SUMSQ('TS-PILE'!$E$72:$E$91))+IF(SUMSQ('TS-PILE'!$D$72:$D$91)=0,0,'TO HOP NLAN'!F287*'TS-PILE'!$D$75/SUMSQ('TS-PILE'!$D$72:$D$91))),IF('TS-PILE'!$B$76="",1E+99,'TO HOP NLAN'!D287/ncoc+IF(SUMSQ('TS-PILE'!$E$72:$E$91)=0,0,'TO HOP NLAN'!E287*'TS-PILE'!$E$76/SUMSQ('TS-PILE'!$E$72:$E$91))+IF(SUMSQ('TS-PILE'!$D$72:$D$91)=0,0,'TO HOP NLAN'!F287*'TS-PILE'!$D$76/SUMSQ('TS-PILE'!$D$72:$D$91))),IF('TS-PILE'!$B$77="",1E+99,'TO HOP NLAN'!D287/ncoc+IF(SUMSQ('TS-PILE'!$E$72:$E$91)=0,0,'TO HOP NLAN'!E287*'TS-PILE'!$E$77/SUMSQ('TS-PILE'!$E$72:$E$91))+IF(SUMSQ('TS-PILE'!$D$72:$D$91)=0,0,'TO HOP NLAN'!F287*'TS-PILE'!$D$77/SUMSQ('TS-PILE'!$D$72:$D$91))),IF('TS-PILE'!$B$78="",1E+99,'TO HOP NLAN'!D287/ncoc+IF(SUMSQ('TS-PILE'!$E$72:$E$91)=0,0,'TO HOP NLAN'!E287*'TS-PILE'!$E$78/SUMSQ('TS-PILE'!$E$72:$E$91))+IF(SUMSQ('TS-PILE'!$D$72:$D$91)=0,0,'TO HOP NLAN'!F287*'TS-PILE'!$D$78/SUMSQ('TS-PILE'!$D$72:$D$91))),IF('TS-PILE'!$B$79="",1E+99,'TO HOP NLAN'!D287/ncoc+IF(SUMSQ('TS-PILE'!$E$72:$E$91)=0,0,'TO HOP NLAN'!E287*'TS-PILE'!$E$79/SUMSQ('TS-PILE'!$E$72:$E$91))+IF(SUMSQ('TS-PILE'!$D$72:$D$91)=0,0,'TO HOP NLAN'!F287*'TS-PILE'!$D$79/SUMSQ('TS-PILE'!$D$72:$D$91))),IF('TS-PILE'!$B$80="",1E+99,'TO HOP NLAN'!D287/ncoc+IF(SUMSQ('TS-PILE'!$E$72:$E$91)=0,0,'TO HOP NLAN'!E287*'TS-PILE'!$E$80/SUMSQ('TS-PILE'!$E$72:$E$91))+IF(SUMSQ('TS-PILE'!$D$72:$D$91)=0,0,'TO HOP NLAN'!F287*'TS-PILE'!$D$80/SUMSQ('TS-PILE'!$D$72:$D$91))),IF('TS-PILE'!$B$81="",1E+99,'TO HOP NLAN'!D287/ncoc+IF(SUMSQ('TS-PILE'!$E$72:$E$91)=0,0,'TO HOP NLAN'!E287*'TS-PILE'!$E$81/SUMSQ('TS-PILE'!$E$72:$E$91))+IF(SUMSQ('TS-PILE'!$D$72:$D$91)=0,0,'TO HOP NLAN'!F287*'TS-PILE'!$D$81/SUMSQ('TS-PILE'!$D$72:$D$91))),IF('TS-PILE'!$B$82="",1E+99,'TO HOP NLAN'!D287/ncoc+IF(SUMSQ('TS-PILE'!$E$72:$E$91)=0,0,'TO HOP NLAN'!E287*'TS-PILE'!$E$82/SUMSQ('TS-PILE'!$E$72:$E$91))+IF(SUMSQ('TS-PILE'!$D$72:$D$91)=0,0,'TO HOP NLAN'!F287*'TS-PILE'!$D$82/SUMSQ('TS-PILE'!$D$72:$D$91))),IF('TS-PILE'!$B$83="",1E+99,'TO HOP NLAN'!D287/ncoc+IF(SUMSQ('TS-PILE'!$E$72:$E$91)=0,0,'TO HOP NLAN'!E287*'TS-PILE'!$E$83/SUMSQ('TS-PILE'!$E$72:$E$91))+IF(SUMSQ('TS-PILE'!$D$72:$D$91)=0,0,'TO HOP NLAN'!F287*'TS-PILE'!$D$83/SUMSQ('TS-PILE'!$D$72:$D$91))),IF('TS-PILE'!$B$84="",1E+99,'TO HOP NLAN'!D287/ncoc+IF(SUMSQ('TS-PILE'!$E$72:$E$91)=0,0,'TO HOP NLAN'!E287*'TS-PILE'!$E$84/SUMSQ('TS-PILE'!$E$72:$E$91))+IF(SUMSQ('TS-PILE'!$D$72:$D$91)=0,0,'TO HOP NLAN'!F287*'TS-PILE'!$D$84/SUMSQ('TS-PILE'!$D$72:$D$91))),IF('TS-PILE'!$B$85="",1E+99,'TO HOP NLAN'!D287/ncoc+IF(SUMSQ('TS-PILE'!$E$72:$E$91)=0,0,'TO HOP NLAN'!E287*'TS-PILE'!$E$85/SUMSQ('TS-PILE'!$E$72:$E$91))+IF(SUMSQ('TS-PILE'!$D$72:$D$91)=0,0,'TO HOP NLAN'!F287*'TS-PILE'!$D$85/SUMSQ('TS-PILE'!$D$72:$D$91))),IF('TS-PILE'!$B$86="",1E+99,'TO HOP NLAN'!D287/ncoc+IF(SUMSQ('TS-PILE'!$E$72:$E$91)=0,0,'TO HOP NLAN'!E287*'TS-PILE'!$E$86/SUMSQ('TS-PILE'!$E$72:$E$91))+IF(SUMSQ('TS-PILE'!$D$72:$D$91)=0,0,'TO HOP NLAN'!F287*'TS-PILE'!$D$86/SUMSQ('TS-PILE'!$D$72:$D$91))),IF('TS-PILE'!$B$87="",1E+99,'TO HOP NLAN'!D287/ncoc+IF(SUMSQ('TS-PILE'!$E$72:$E$91)=0,0,'TO HOP NLAN'!E287*'TS-PILE'!$E$87/SUMSQ('TS-PILE'!$E$72:$E$91))+IF(SUMSQ('TS-PILE'!$D$72:$D$91)=0,0,'TO HOP NLAN'!F287*'TS-PILE'!$D$87/SUMSQ('TS-PILE'!$D$72:$D$91))),IF('TS-PILE'!$B$88="",1E+99,'TO HOP NLAN'!D287/ncoc+IF(SUMSQ('TS-PILE'!$E$72:$E$91)=0,0,'TO HOP NLAN'!E287*'TS-PILE'!$E$88/SUMSQ('TS-PILE'!$E$72:$E$91))+IF(SUMSQ('TS-PILE'!$D$72:$D$91)=0,0,'TO HOP NLAN'!F287*'TS-PILE'!$D$88/SUMSQ('TS-PILE'!$D$72:$D$91))),IF('TS-PILE'!$B$89="",1E+99,'TO HOP NLAN'!D287/ncoc+IF(SUMSQ('TS-PILE'!$E$72:$E$91)=0,0,'TO HOP NLAN'!E287*'TS-PILE'!$E$89/SUMSQ('TS-PILE'!$E$72:$E$91))+IF(SUMSQ('TS-PILE'!$D$72:$D$91)=0,0,'TO HOP NLAN'!F287*'TS-PILE'!$D$89/SUMSQ('TS-PILE'!$D$72:$D$91))),IF('TS-PILE'!$B$90="",1E+99,'TO HOP NLAN'!D287/ncoc+IF(SUMSQ('TS-PILE'!$E$72:$E$91)=0,0,'TO HOP NLAN'!E287*'TS-PILE'!$E$90/SUMSQ('TS-PILE'!$E$72:$E$91))+IF(SUMSQ('TS-PILE'!$D$72:$D$91)=0,0,'TO HOP NLAN'!F287*'TS-PILE'!$D$90/SUMSQ('TS-PILE'!$D$72:$D$91))),IF('TS-PILE'!$B$91="",1E+99,'TO HOP NLAN'!D287/ncoc+IF(SUMSQ('TS-PILE'!$E$72:$E$91)=0,0,'TO HOP NLAN'!E287*'TS-PILE'!$E$91/SUMSQ('TS-PILE'!$E$72:$E$91))+IF(SUMSQ('TS-PILE'!$D$72:$D$91)=0,0,'TO HOP NLAN'!F287*'TS-PILE'!$D$91/SUMSQ('TS-PILE'!$D$72:$D$91)))))</f>
        <v>0</v>
      </c>
      <c r="E287" s="58">
        <f t="shared" si="16"/>
        <v>-9.9999999999999997E+98</v>
      </c>
      <c r="F287" s="58">
        <f t="shared" si="17"/>
        <v>9.9999999999999997E+98</v>
      </c>
      <c r="G287" s="58">
        <f t="shared" si="18"/>
        <v>-9.9999999999999997E+98</v>
      </c>
      <c r="H287" s="58">
        <f t="shared" si="19"/>
        <v>9.9999999999999997E+98</v>
      </c>
    </row>
    <row r="288" spans="1:8" x14ac:dyDescent="0.3">
      <c r="A288" s="42" t="str">
        <f>'TO HOP NLAN'!A288</f>
        <v/>
      </c>
      <c r="B288" s="42" t="str">
        <f>'TO HOP NLAN'!L288</f>
        <v>STRENGTH</v>
      </c>
      <c r="C288" s="58">
        <f>IF(A288="",0,MAX(IF('TS-PILE'!$B$72="",-1E+99,'TO HOP NLAN'!D288/ncoc+IF(SUMSQ('TS-PILE'!$E$72:$E$91)=0,0,'TO HOP NLAN'!E288*'TS-PILE'!$E$72/SUMSQ('TS-PILE'!$E$72:$E$91))+IF(SUMSQ('TS-PILE'!$D$72:$D$91)=0,0,'TO HOP NLAN'!F288*'TS-PILE'!$D$72/SUMSQ('TS-PILE'!$D$72:$D$91))),IF('TS-PILE'!$B$73="",-1E+99,'TO HOP NLAN'!D288/ncoc+IF(SUMSQ('TS-PILE'!$E$72:$E$91)=0,0,'TO HOP NLAN'!E288*'TS-PILE'!$E$73/SUMSQ('TS-PILE'!$E$72:$E$91))+IF(SUMSQ('TS-PILE'!$D$72:$D$91)=0,0,'TO HOP NLAN'!F288*'TS-PILE'!$D$73/SUMSQ('TS-PILE'!$D$72:$D$91))),IF('TS-PILE'!$B$74="",-1E+99,'TO HOP NLAN'!D288/ncoc+IF(SUMSQ('TS-PILE'!$E$72:$E$91)=0,0,'TO HOP NLAN'!E288*'TS-PILE'!$E$74/SUMSQ('TS-PILE'!$E$72:$E$91))+IF(SUMSQ('TS-PILE'!$D$72:$D$91)=0,0,'TO HOP NLAN'!F288*'TS-PILE'!$D$74/SUMSQ('TS-PILE'!$D$72:$D$91))),IF('TS-PILE'!$B$75="",-1E+99,'TO HOP NLAN'!D288/ncoc+IF(SUMSQ('TS-PILE'!$E$72:$E$91)=0,0,'TO HOP NLAN'!E288*'TS-PILE'!$E$75/SUMSQ('TS-PILE'!$E$72:$E$91))+IF(SUMSQ('TS-PILE'!$D$72:$D$91)=0,0,'TO HOP NLAN'!F288*'TS-PILE'!$D$75/SUMSQ('TS-PILE'!$D$72:$D$91))),IF('TS-PILE'!$B$76="",-1E+99,'TO HOP NLAN'!D288/ncoc+IF(SUMSQ('TS-PILE'!$E$72:$E$91)=0,0,'TO HOP NLAN'!E288*'TS-PILE'!$E$76/SUMSQ('TS-PILE'!$E$72:$E$91))+IF(SUMSQ('TS-PILE'!$D$72:$D$91)=0,0,'TO HOP NLAN'!F288*'TS-PILE'!$D$76/SUMSQ('TS-PILE'!$D$72:$D$91))),IF('TS-PILE'!$B$77="",-1E+99,'TO HOP NLAN'!D288/ncoc+IF(SUMSQ('TS-PILE'!$E$72:$E$91)=0,0,'TO HOP NLAN'!E288*'TS-PILE'!$E$77/SUMSQ('TS-PILE'!$E$72:$E$91))+IF(SUMSQ('TS-PILE'!$D$72:$D$91)=0,0,'TO HOP NLAN'!F288*'TS-PILE'!$D$77/SUMSQ('TS-PILE'!$D$72:$D$91))),IF('TS-PILE'!$B$78="",-1E+99,'TO HOP NLAN'!D288/ncoc+IF(SUMSQ('TS-PILE'!$E$72:$E$91)=0,0,'TO HOP NLAN'!E288*'TS-PILE'!$E$78/SUMSQ('TS-PILE'!$E$72:$E$91))+IF(SUMSQ('TS-PILE'!$D$72:$D$91)=0,0,'TO HOP NLAN'!F288*'TS-PILE'!$D$78/SUMSQ('TS-PILE'!$D$72:$D$91))),IF('TS-PILE'!$B$79="",-1E+99,'TO HOP NLAN'!D288/ncoc+IF(SUMSQ('TS-PILE'!$E$72:$E$91)=0,0,'TO HOP NLAN'!E288*'TS-PILE'!$E$79/SUMSQ('TS-PILE'!$E$72:$E$91))+IF(SUMSQ('TS-PILE'!$D$72:$D$91)=0,0,'TO HOP NLAN'!F288*'TS-PILE'!$D$79/SUMSQ('TS-PILE'!$D$72:$D$91))),IF('TS-PILE'!$B$80="",-1E+99,'TO HOP NLAN'!D288/ncoc+IF(SUMSQ('TS-PILE'!$E$72:$E$91)=0,0,'TO HOP NLAN'!E288*'TS-PILE'!$E$80/SUMSQ('TS-PILE'!$E$72:$E$91))+IF(SUMSQ('TS-PILE'!$D$72:$D$91)=0,0,'TO HOP NLAN'!F288*'TS-PILE'!$D$80/SUMSQ('TS-PILE'!$D$72:$D$91))),IF('TS-PILE'!$B$81="",-1E+99,'TO HOP NLAN'!D288/ncoc+IF(SUMSQ('TS-PILE'!$E$72:$E$91)=0,0,'TO HOP NLAN'!E288*'TS-PILE'!$E$81/SUMSQ('TS-PILE'!$E$72:$E$91))+IF(SUMSQ('TS-PILE'!$D$72:$D$91)=0,0,'TO HOP NLAN'!F288*'TS-PILE'!$D$81/SUMSQ('TS-PILE'!$D$72:$D$91))),IF('TS-PILE'!$B$82="",-1E+99,'TO HOP NLAN'!D288/ncoc+IF(SUMSQ('TS-PILE'!$E$72:$E$91)=0,0,'TO HOP NLAN'!E288*'TS-PILE'!$E$82/SUMSQ('TS-PILE'!$E$72:$E$91))+IF(SUMSQ('TS-PILE'!$D$72:$D$91)=0,0,'TO HOP NLAN'!F288*'TS-PILE'!$D$82/SUMSQ('TS-PILE'!$D$72:$D$91))),IF('TS-PILE'!$B$83="",-1E+99,'TO HOP NLAN'!D288/ncoc+IF(SUMSQ('TS-PILE'!$E$72:$E$91)=0,0,'TO HOP NLAN'!E288*'TS-PILE'!$E$83/SUMSQ('TS-PILE'!$E$72:$E$91))+IF(SUMSQ('TS-PILE'!$D$72:$D$91)=0,0,'TO HOP NLAN'!F288*'TS-PILE'!$D$83/SUMSQ('TS-PILE'!$D$72:$D$91))),IF('TS-PILE'!$B$84="",-1E+99,'TO HOP NLAN'!D288/ncoc+IF(SUMSQ('TS-PILE'!$E$72:$E$91)=0,0,'TO HOP NLAN'!E288*'TS-PILE'!$E$84/SUMSQ('TS-PILE'!$E$72:$E$91))+IF(SUMSQ('TS-PILE'!$D$72:$D$91)=0,0,'TO HOP NLAN'!F288*'TS-PILE'!$D$84/SUMSQ('TS-PILE'!$D$72:$D$91))),IF('TS-PILE'!$B$85="",-1E+99,'TO HOP NLAN'!D288/ncoc+IF(SUMSQ('TS-PILE'!$E$72:$E$91)=0,0,'TO HOP NLAN'!E288*'TS-PILE'!$E$85/SUMSQ('TS-PILE'!$E$72:$E$91))+IF(SUMSQ('TS-PILE'!$D$72:$D$91)=0,0,'TO HOP NLAN'!F288*'TS-PILE'!$D$85/SUMSQ('TS-PILE'!$D$72:$D$91))),IF('TS-PILE'!$B$86="",-1E+99,'TO HOP NLAN'!D288/ncoc+IF(SUMSQ('TS-PILE'!$E$72:$E$91)=0,0,'TO HOP NLAN'!E288*'TS-PILE'!$E$86/SUMSQ('TS-PILE'!$E$72:$E$91))+IF(SUMSQ('TS-PILE'!$D$72:$D$91)=0,0,'TO HOP NLAN'!F288*'TS-PILE'!$D$86/SUMSQ('TS-PILE'!$D$72:$D$91))),IF('TS-PILE'!$B$87="",-1E+99,'TO HOP NLAN'!D288/ncoc+IF(SUMSQ('TS-PILE'!$E$72:$E$91)=0,0,'TO HOP NLAN'!E288*'TS-PILE'!$E$87/SUMSQ('TS-PILE'!$E$72:$E$91))+IF(SUMSQ('TS-PILE'!$D$72:$D$91)=0,0,'TO HOP NLAN'!F288*'TS-PILE'!$D$87/SUMSQ('TS-PILE'!$D$72:$D$91))),IF('TS-PILE'!$B$88="",-1E+99,'TO HOP NLAN'!D288/ncoc+IF(SUMSQ('TS-PILE'!$E$72:$E$91)=0,0,'TO HOP NLAN'!E288*'TS-PILE'!$E$88/SUMSQ('TS-PILE'!$E$72:$E$91))+IF(SUMSQ('TS-PILE'!$D$72:$D$91)=0,0,'TO HOP NLAN'!F288*'TS-PILE'!$D$88/SUMSQ('TS-PILE'!$D$72:$D$91))),IF('TS-PILE'!$B$89="",-1E+99,'TO HOP NLAN'!D288/ncoc+IF(SUMSQ('TS-PILE'!$E$72:$E$91)=0,0,'TO HOP NLAN'!E288*'TS-PILE'!$E$89/SUMSQ('TS-PILE'!$E$72:$E$91))+IF(SUMSQ('TS-PILE'!$D$72:$D$91)=0,0,'TO HOP NLAN'!F288*'TS-PILE'!$D$89/SUMSQ('TS-PILE'!$D$72:$D$91))),IF('TS-PILE'!$B$90="",-1E+99,'TO HOP NLAN'!D288/ncoc+IF(SUMSQ('TS-PILE'!$E$72:$E$91)=0,0,'TO HOP NLAN'!E288*'TS-PILE'!$E$90/SUMSQ('TS-PILE'!$E$72:$E$91))+IF(SUMSQ('TS-PILE'!$D$72:$D$91)=0,0,'TO HOP NLAN'!F288*'TS-PILE'!$D$90/SUMSQ('TS-PILE'!$D$72:$D$91))),IF('TS-PILE'!$B$91="",-1E+99,'TO HOP NLAN'!D288/ncoc+IF(SUMSQ('TS-PILE'!$E$72:$E$91)=0,0,'TO HOP NLAN'!E288*'TS-PILE'!$E$91/SUMSQ('TS-PILE'!$E$72:$E$91))+IF(SUMSQ('TS-PILE'!$D$72:$D$91)=0,0,'TO HOP NLAN'!F288*'TS-PILE'!$D$91/SUMSQ('TS-PILE'!$D$72:$D$91)))))</f>
        <v>0</v>
      </c>
      <c r="D288" s="58">
        <f>IF(A288="",0,MIN(IF('TS-PILE'!$B$72="",1E+99,'TO HOP NLAN'!D288/ncoc+IF(SUMSQ('TS-PILE'!$E$72:$E$91)=0,0,'TO HOP NLAN'!E288*'TS-PILE'!$E$72/SUMSQ('TS-PILE'!$E$72:$E$91))+IF(SUMSQ('TS-PILE'!$D$72:$D$91)=0,0,'TO HOP NLAN'!F288*'TS-PILE'!$D$72/SUMSQ('TS-PILE'!$D$72:$D$91))),IF('TS-PILE'!$B$73="",1E+99,'TO HOP NLAN'!D288/ncoc+IF(SUMSQ('TS-PILE'!$E$72:$E$91)=0,0,'TO HOP NLAN'!E288*'TS-PILE'!$E$73/SUMSQ('TS-PILE'!$E$72:$E$91))+IF(SUMSQ('TS-PILE'!$D$72:$D$91)=0,0,'TO HOP NLAN'!F288*'TS-PILE'!$D$73/SUMSQ('TS-PILE'!$D$72:$D$91))),IF('TS-PILE'!$B$74="",1E+99,'TO HOP NLAN'!D288/ncoc+IF(SUMSQ('TS-PILE'!$E$72:$E$91)=0,0,'TO HOP NLAN'!E288*'TS-PILE'!$E$74/SUMSQ('TS-PILE'!$E$72:$E$91))+IF(SUMSQ('TS-PILE'!$D$72:$D$91)=0,0,'TO HOP NLAN'!F288*'TS-PILE'!$D$74/SUMSQ('TS-PILE'!$D$72:$D$91))),IF('TS-PILE'!$B$75="",1E+99,'TO HOP NLAN'!D288/ncoc+IF(SUMSQ('TS-PILE'!$E$72:$E$91)=0,0,'TO HOP NLAN'!E288*'TS-PILE'!$E$75/SUMSQ('TS-PILE'!$E$72:$E$91))+IF(SUMSQ('TS-PILE'!$D$72:$D$91)=0,0,'TO HOP NLAN'!F288*'TS-PILE'!$D$75/SUMSQ('TS-PILE'!$D$72:$D$91))),IF('TS-PILE'!$B$76="",1E+99,'TO HOP NLAN'!D288/ncoc+IF(SUMSQ('TS-PILE'!$E$72:$E$91)=0,0,'TO HOP NLAN'!E288*'TS-PILE'!$E$76/SUMSQ('TS-PILE'!$E$72:$E$91))+IF(SUMSQ('TS-PILE'!$D$72:$D$91)=0,0,'TO HOP NLAN'!F288*'TS-PILE'!$D$76/SUMSQ('TS-PILE'!$D$72:$D$91))),IF('TS-PILE'!$B$77="",1E+99,'TO HOP NLAN'!D288/ncoc+IF(SUMSQ('TS-PILE'!$E$72:$E$91)=0,0,'TO HOP NLAN'!E288*'TS-PILE'!$E$77/SUMSQ('TS-PILE'!$E$72:$E$91))+IF(SUMSQ('TS-PILE'!$D$72:$D$91)=0,0,'TO HOP NLAN'!F288*'TS-PILE'!$D$77/SUMSQ('TS-PILE'!$D$72:$D$91))),IF('TS-PILE'!$B$78="",1E+99,'TO HOP NLAN'!D288/ncoc+IF(SUMSQ('TS-PILE'!$E$72:$E$91)=0,0,'TO HOP NLAN'!E288*'TS-PILE'!$E$78/SUMSQ('TS-PILE'!$E$72:$E$91))+IF(SUMSQ('TS-PILE'!$D$72:$D$91)=0,0,'TO HOP NLAN'!F288*'TS-PILE'!$D$78/SUMSQ('TS-PILE'!$D$72:$D$91))),IF('TS-PILE'!$B$79="",1E+99,'TO HOP NLAN'!D288/ncoc+IF(SUMSQ('TS-PILE'!$E$72:$E$91)=0,0,'TO HOP NLAN'!E288*'TS-PILE'!$E$79/SUMSQ('TS-PILE'!$E$72:$E$91))+IF(SUMSQ('TS-PILE'!$D$72:$D$91)=0,0,'TO HOP NLAN'!F288*'TS-PILE'!$D$79/SUMSQ('TS-PILE'!$D$72:$D$91))),IF('TS-PILE'!$B$80="",1E+99,'TO HOP NLAN'!D288/ncoc+IF(SUMSQ('TS-PILE'!$E$72:$E$91)=0,0,'TO HOP NLAN'!E288*'TS-PILE'!$E$80/SUMSQ('TS-PILE'!$E$72:$E$91))+IF(SUMSQ('TS-PILE'!$D$72:$D$91)=0,0,'TO HOP NLAN'!F288*'TS-PILE'!$D$80/SUMSQ('TS-PILE'!$D$72:$D$91))),IF('TS-PILE'!$B$81="",1E+99,'TO HOP NLAN'!D288/ncoc+IF(SUMSQ('TS-PILE'!$E$72:$E$91)=0,0,'TO HOP NLAN'!E288*'TS-PILE'!$E$81/SUMSQ('TS-PILE'!$E$72:$E$91))+IF(SUMSQ('TS-PILE'!$D$72:$D$91)=0,0,'TO HOP NLAN'!F288*'TS-PILE'!$D$81/SUMSQ('TS-PILE'!$D$72:$D$91))),IF('TS-PILE'!$B$82="",1E+99,'TO HOP NLAN'!D288/ncoc+IF(SUMSQ('TS-PILE'!$E$72:$E$91)=0,0,'TO HOP NLAN'!E288*'TS-PILE'!$E$82/SUMSQ('TS-PILE'!$E$72:$E$91))+IF(SUMSQ('TS-PILE'!$D$72:$D$91)=0,0,'TO HOP NLAN'!F288*'TS-PILE'!$D$82/SUMSQ('TS-PILE'!$D$72:$D$91))),IF('TS-PILE'!$B$83="",1E+99,'TO HOP NLAN'!D288/ncoc+IF(SUMSQ('TS-PILE'!$E$72:$E$91)=0,0,'TO HOP NLAN'!E288*'TS-PILE'!$E$83/SUMSQ('TS-PILE'!$E$72:$E$91))+IF(SUMSQ('TS-PILE'!$D$72:$D$91)=0,0,'TO HOP NLAN'!F288*'TS-PILE'!$D$83/SUMSQ('TS-PILE'!$D$72:$D$91))),IF('TS-PILE'!$B$84="",1E+99,'TO HOP NLAN'!D288/ncoc+IF(SUMSQ('TS-PILE'!$E$72:$E$91)=0,0,'TO HOP NLAN'!E288*'TS-PILE'!$E$84/SUMSQ('TS-PILE'!$E$72:$E$91))+IF(SUMSQ('TS-PILE'!$D$72:$D$91)=0,0,'TO HOP NLAN'!F288*'TS-PILE'!$D$84/SUMSQ('TS-PILE'!$D$72:$D$91))),IF('TS-PILE'!$B$85="",1E+99,'TO HOP NLAN'!D288/ncoc+IF(SUMSQ('TS-PILE'!$E$72:$E$91)=0,0,'TO HOP NLAN'!E288*'TS-PILE'!$E$85/SUMSQ('TS-PILE'!$E$72:$E$91))+IF(SUMSQ('TS-PILE'!$D$72:$D$91)=0,0,'TO HOP NLAN'!F288*'TS-PILE'!$D$85/SUMSQ('TS-PILE'!$D$72:$D$91))),IF('TS-PILE'!$B$86="",1E+99,'TO HOP NLAN'!D288/ncoc+IF(SUMSQ('TS-PILE'!$E$72:$E$91)=0,0,'TO HOP NLAN'!E288*'TS-PILE'!$E$86/SUMSQ('TS-PILE'!$E$72:$E$91))+IF(SUMSQ('TS-PILE'!$D$72:$D$91)=0,0,'TO HOP NLAN'!F288*'TS-PILE'!$D$86/SUMSQ('TS-PILE'!$D$72:$D$91))),IF('TS-PILE'!$B$87="",1E+99,'TO HOP NLAN'!D288/ncoc+IF(SUMSQ('TS-PILE'!$E$72:$E$91)=0,0,'TO HOP NLAN'!E288*'TS-PILE'!$E$87/SUMSQ('TS-PILE'!$E$72:$E$91))+IF(SUMSQ('TS-PILE'!$D$72:$D$91)=0,0,'TO HOP NLAN'!F288*'TS-PILE'!$D$87/SUMSQ('TS-PILE'!$D$72:$D$91))),IF('TS-PILE'!$B$88="",1E+99,'TO HOP NLAN'!D288/ncoc+IF(SUMSQ('TS-PILE'!$E$72:$E$91)=0,0,'TO HOP NLAN'!E288*'TS-PILE'!$E$88/SUMSQ('TS-PILE'!$E$72:$E$91))+IF(SUMSQ('TS-PILE'!$D$72:$D$91)=0,0,'TO HOP NLAN'!F288*'TS-PILE'!$D$88/SUMSQ('TS-PILE'!$D$72:$D$91))),IF('TS-PILE'!$B$89="",1E+99,'TO HOP NLAN'!D288/ncoc+IF(SUMSQ('TS-PILE'!$E$72:$E$91)=0,0,'TO HOP NLAN'!E288*'TS-PILE'!$E$89/SUMSQ('TS-PILE'!$E$72:$E$91))+IF(SUMSQ('TS-PILE'!$D$72:$D$91)=0,0,'TO HOP NLAN'!F288*'TS-PILE'!$D$89/SUMSQ('TS-PILE'!$D$72:$D$91))),IF('TS-PILE'!$B$90="",1E+99,'TO HOP NLAN'!D288/ncoc+IF(SUMSQ('TS-PILE'!$E$72:$E$91)=0,0,'TO HOP NLAN'!E288*'TS-PILE'!$E$90/SUMSQ('TS-PILE'!$E$72:$E$91))+IF(SUMSQ('TS-PILE'!$D$72:$D$91)=0,0,'TO HOP NLAN'!F288*'TS-PILE'!$D$90/SUMSQ('TS-PILE'!$D$72:$D$91))),IF('TS-PILE'!$B$91="",1E+99,'TO HOP NLAN'!D288/ncoc+IF(SUMSQ('TS-PILE'!$E$72:$E$91)=0,0,'TO HOP NLAN'!E288*'TS-PILE'!$E$91/SUMSQ('TS-PILE'!$E$72:$E$91))+IF(SUMSQ('TS-PILE'!$D$72:$D$91)=0,0,'TO HOP NLAN'!F288*'TS-PILE'!$D$91/SUMSQ('TS-PILE'!$D$72:$D$91)))))</f>
        <v>0</v>
      </c>
      <c r="E288" s="58">
        <f t="shared" si="16"/>
        <v>-9.9999999999999997E+98</v>
      </c>
      <c r="F288" s="58">
        <f t="shared" si="17"/>
        <v>9.9999999999999997E+98</v>
      </c>
      <c r="G288" s="58">
        <f t="shared" si="18"/>
        <v>-9.9999999999999997E+98</v>
      </c>
      <c r="H288" s="58">
        <f t="shared" si="19"/>
        <v>9.9999999999999997E+98</v>
      </c>
    </row>
    <row r="289" spans="1:8" x14ac:dyDescent="0.3">
      <c r="A289" s="42" t="str">
        <f>'TO HOP NLAN'!A289</f>
        <v/>
      </c>
      <c r="B289" s="42" t="str">
        <f>'TO HOP NLAN'!L289</f>
        <v>STRENGTH</v>
      </c>
      <c r="C289" s="58">
        <f>IF(A289="",0,MAX(IF('TS-PILE'!$B$72="",-1E+99,'TO HOP NLAN'!D289/ncoc+IF(SUMSQ('TS-PILE'!$E$72:$E$91)=0,0,'TO HOP NLAN'!E289*'TS-PILE'!$E$72/SUMSQ('TS-PILE'!$E$72:$E$91))+IF(SUMSQ('TS-PILE'!$D$72:$D$91)=0,0,'TO HOP NLAN'!F289*'TS-PILE'!$D$72/SUMSQ('TS-PILE'!$D$72:$D$91))),IF('TS-PILE'!$B$73="",-1E+99,'TO HOP NLAN'!D289/ncoc+IF(SUMSQ('TS-PILE'!$E$72:$E$91)=0,0,'TO HOP NLAN'!E289*'TS-PILE'!$E$73/SUMSQ('TS-PILE'!$E$72:$E$91))+IF(SUMSQ('TS-PILE'!$D$72:$D$91)=0,0,'TO HOP NLAN'!F289*'TS-PILE'!$D$73/SUMSQ('TS-PILE'!$D$72:$D$91))),IF('TS-PILE'!$B$74="",-1E+99,'TO HOP NLAN'!D289/ncoc+IF(SUMSQ('TS-PILE'!$E$72:$E$91)=0,0,'TO HOP NLAN'!E289*'TS-PILE'!$E$74/SUMSQ('TS-PILE'!$E$72:$E$91))+IF(SUMSQ('TS-PILE'!$D$72:$D$91)=0,0,'TO HOP NLAN'!F289*'TS-PILE'!$D$74/SUMSQ('TS-PILE'!$D$72:$D$91))),IF('TS-PILE'!$B$75="",-1E+99,'TO HOP NLAN'!D289/ncoc+IF(SUMSQ('TS-PILE'!$E$72:$E$91)=0,0,'TO HOP NLAN'!E289*'TS-PILE'!$E$75/SUMSQ('TS-PILE'!$E$72:$E$91))+IF(SUMSQ('TS-PILE'!$D$72:$D$91)=0,0,'TO HOP NLAN'!F289*'TS-PILE'!$D$75/SUMSQ('TS-PILE'!$D$72:$D$91))),IF('TS-PILE'!$B$76="",-1E+99,'TO HOP NLAN'!D289/ncoc+IF(SUMSQ('TS-PILE'!$E$72:$E$91)=0,0,'TO HOP NLAN'!E289*'TS-PILE'!$E$76/SUMSQ('TS-PILE'!$E$72:$E$91))+IF(SUMSQ('TS-PILE'!$D$72:$D$91)=0,0,'TO HOP NLAN'!F289*'TS-PILE'!$D$76/SUMSQ('TS-PILE'!$D$72:$D$91))),IF('TS-PILE'!$B$77="",-1E+99,'TO HOP NLAN'!D289/ncoc+IF(SUMSQ('TS-PILE'!$E$72:$E$91)=0,0,'TO HOP NLAN'!E289*'TS-PILE'!$E$77/SUMSQ('TS-PILE'!$E$72:$E$91))+IF(SUMSQ('TS-PILE'!$D$72:$D$91)=0,0,'TO HOP NLAN'!F289*'TS-PILE'!$D$77/SUMSQ('TS-PILE'!$D$72:$D$91))),IF('TS-PILE'!$B$78="",-1E+99,'TO HOP NLAN'!D289/ncoc+IF(SUMSQ('TS-PILE'!$E$72:$E$91)=0,0,'TO HOP NLAN'!E289*'TS-PILE'!$E$78/SUMSQ('TS-PILE'!$E$72:$E$91))+IF(SUMSQ('TS-PILE'!$D$72:$D$91)=0,0,'TO HOP NLAN'!F289*'TS-PILE'!$D$78/SUMSQ('TS-PILE'!$D$72:$D$91))),IF('TS-PILE'!$B$79="",-1E+99,'TO HOP NLAN'!D289/ncoc+IF(SUMSQ('TS-PILE'!$E$72:$E$91)=0,0,'TO HOP NLAN'!E289*'TS-PILE'!$E$79/SUMSQ('TS-PILE'!$E$72:$E$91))+IF(SUMSQ('TS-PILE'!$D$72:$D$91)=0,0,'TO HOP NLAN'!F289*'TS-PILE'!$D$79/SUMSQ('TS-PILE'!$D$72:$D$91))),IF('TS-PILE'!$B$80="",-1E+99,'TO HOP NLAN'!D289/ncoc+IF(SUMSQ('TS-PILE'!$E$72:$E$91)=0,0,'TO HOP NLAN'!E289*'TS-PILE'!$E$80/SUMSQ('TS-PILE'!$E$72:$E$91))+IF(SUMSQ('TS-PILE'!$D$72:$D$91)=0,0,'TO HOP NLAN'!F289*'TS-PILE'!$D$80/SUMSQ('TS-PILE'!$D$72:$D$91))),IF('TS-PILE'!$B$81="",-1E+99,'TO HOP NLAN'!D289/ncoc+IF(SUMSQ('TS-PILE'!$E$72:$E$91)=0,0,'TO HOP NLAN'!E289*'TS-PILE'!$E$81/SUMSQ('TS-PILE'!$E$72:$E$91))+IF(SUMSQ('TS-PILE'!$D$72:$D$91)=0,0,'TO HOP NLAN'!F289*'TS-PILE'!$D$81/SUMSQ('TS-PILE'!$D$72:$D$91))),IF('TS-PILE'!$B$82="",-1E+99,'TO HOP NLAN'!D289/ncoc+IF(SUMSQ('TS-PILE'!$E$72:$E$91)=0,0,'TO HOP NLAN'!E289*'TS-PILE'!$E$82/SUMSQ('TS-PILE'!$E$72:$E$91))+IF(SUMSQ('TS-PILE'!$D$72:$D$91)=0,0,'TO HOP NLAN'!F289*'TS-PILE'!$D$82/SUMSQ('TS-PILE'!$D$72:$D$91))),IF('TS-PILE'!$B$83="",-1E+99,'TO HOP NLAN'!D289/ncoc+IF(SUMSQ('TS-PILE'!$E$72:$E$91)=0,0,'TO HOP NLAN'!E289*'TS-PILE'!$E$83/SUMSQ('TS-PILE'!$E$72:$E$91))+IF(SUMSQ('TS-PILE'!$D$72:$D$91)=0,0,'TO HOP NLAN'!F289*'TS-PILE'!$D$83/SUMSQ('TS-PILE'!$D$72:$D$91))),IF('TS-PILE'!$B$84="",-1E+99,'TO HOP NLAN'!D289/ncoc+IF(SUMSQ('TS-PILE'!$E$72:$E$91)=0,0,'TO HOP NLAN'!E289*'TS-PILE'!$E$84/SUMSQ('TS-PILE'!$E$72:$E$91))+IF(SUMSQ('TS-PILE'!$D$72:$D$91)=0,0,'TO HOP NLAN'!F289*'TS-PILE'!$D$84/SUMSQ('TS-PILE'!$D$72:$D$91))),IF('TS-PILE'!$B$85="",-1E+99,'TO HOP NLAN'!D289/ncoc+IF(SUMSQ('TS-PILE'!$E$72:$E$91)=0,0,'TO HOP NLAN'!E289*'TS-PILE'!$E$85/SUMSQ('TS-PILE'!$E$72:$E$91))+IF(SUMSQ('TS-PILE'!$D$72:$D$91)=0,0,'TO HOP NLAN'!F289*'TS-PILE'!$D$85/SUMSQ('TS-PILE'!$D$72:$D$91))),IF('TS-PILE'!$B$86="",-1E+99,'TO HOP NLAN'!D289/ncoc+IF(SUMSQ('TS-PILE'!$E$72:$E$91)=0,0,'TO HOP NLAN'!E289*'TS-PILE'!$E$86/SUMSQ('TS-PILE'!$E$72:$E$91))+IF(SUMSQ('TS-PILE'!$D$72:$D$91)=0,0,'TO HOP NLAN'!F289*'TS-PILE'!$D$86/SUMSQ('TS-PILE'!$D$72:$D$91))),IF('TS-PILE'!$B$87="",-1E+99,'TO HOP NLAN'!D289/ncoc+IF(SUMSQ('TS-PILE'!$E$72:$E$91)=0,0,'TO HOP NLAN'!E289*'TS-PILE'!$E$87/SUMSQ('TS-PILE'!$E$72:$E$91))+IF(SUMSQ('TS-PILE'!$D$72:$D$91)=0,0,'TO HOP NLAN'!F289*'TS-PILE'!$D$87/SUMSQ('TS-PILE'!$D$72:$D$91))),IF('TS-PILE'!$B$88="",-1E+99,'TO HOP NLAN'!D289/ncoc+IF(SUMSQ('TS-PILE'!$E$72:$E$91)=0,0,'TO HOP NLAN'!E289*'TS-PILE'!$E$88/SUMSQ('TS-PILE'!$E$72:$E$91))+IF(SUMSQ('TS-PILE'!$D$72:$D$91)=0,0,'TO HOP NLAN'!F289*'TS-PILE'!$D$88/SUMSQ('TS-PILE'!$D$72:$D$91))),IF('TS-PILE'!$B$89="",-1E+99,'TO HOP NLAN'!D289/ncoc+IF(SUMSQ('TS-PILE'!$E$72:$E$91)=0,0,'TO HOP NLAN'!E289*'TS-PILE'!$E$89/SUMSQ('TS-PILE'!$E$72:$E$91))+IF(SUMSQ('TS-PILE'!$D$72:$D$91)=0,0,'TO HOP NLAN'!F289*'TS-PILE'!$D$89/SUMSQ('TS-PILE'!$D$72:$D$91))),IF('TS-PILE'!$B$90="",-1E+99,'TO HOP NLAN'!D289/ncoc+IF(SUMSQ('TS-PILE'!$E$72:$E$91)=0,0,'TO HOP NLAN'!E289*'TS-PILE'!$E$90/SUMSQ('TS-PILE'!$E$72:$E$91))+IF(SUMSQ('TS-PILE'!$D$72:$D$91)=0,0,'TO HOP NLAN'!F289*'TS-PILE'!$D$90/SUMSQ('TS-PILE'!$D$72:$D$91))),IF('TS-PILE'!$B$91="",-1E+99,'TO HOP NLAN'!D289/ncoc+IF(SUMSQ('TS-PILE'!$E$72:$E$91)=0,0,'TO HOP NLAN'!E289*'TS-PILE'!$E$91/SUMSQ('TS-PILE'!$E$72:$E$91))+IF(SUMSQ('TS-PILE'!$D$72:$D$91)=0,0,'TO HOP NLAN'!F289*'TS-PILE'!$D$91/SUMSQ('TS-PILE'!$D$72:$D$91)))))</f>
        <v>0</v>
      </c>
      <c r="D289" s="58">
        <f>IF(A289="",0,MIN(IF('TS-PILE'!$B$72="",1E+99,'TO HOP NLAN'!D289/ncoc+IF(SUMSQ('TS-PILE'!$E$72:$E$91)=0,0,'TO HOP NLAN'!E289*'TS-PILE'!$E$72/SUMSQ('TS-PILE'!$E$72:$E$91))+IF(SUMSQ('TS-PILE'!$D$72:$D$91)=0,0,'TO HOP NLAN'!F289*'TS-PILE'!$D$72/SUMSQ('TS-PILE'!$D$72:$D$91))),IF('TS-PILE'!$B$73="",1E+99,'TO HOP NLAN'!D289/ncoc+IF(SUMSQ('TS-PILE'!$E$72:$E$91)=0,0,'TO HOP NLAN'!E289*'TS-PILE'!$E$73/SUMSQ('TS-PILE'!$E$72:$E$91))+IF(SUMSQ('TS-PILE'!$D$72:$D$91)=0,0,'TO HOP NLAN'!F289*'TS-PILE'!$D$73/SUMSQ('TS-PILE'!$D$72:$D$91))),IF('TS-PILE'!$B$74="",1E+99,'TO HOP NLAN'!D289/ncoc+IF(SUMSQ('TS-PILE'!$E$72:$E$91)=0,0,'TO HOP NLAN'!E289*'TS-PILE'!$E$74/SUMSQ('TS-PILE'!$E$72:$E$91))+IF(SUMSQ('TS-PILE'!$D$72:$D$91)=0,0,'TO HOP NLAN'!F289*'TS-PILE'!$D$74/SUMSQ('TS-PILE'!$D$72:$D$91))),IF('TS-PILE'!$B$75="",1E+99,'TO HOP NLAN'!D289/ncoc+IF(SUMSQ('TS-PILE'!$E$72:$E$91)=0,0,'TO HOP NLAN'!E289*'TS-PILE'!$E$75/SUMSQ('TS-PILE'!$E$72:$E$91))+IF(SUMSQ('TS-PILE'!$D$72:$D$91)=0,0,'TO HOP NLAN'!F289*'TS-PILE'!$D$75/SUMSQ('TS-PILE'!$D$72:$D$91))),IF('TS-PILE'!$B$76="",1E+99,'TO HOP NLAN'!D289/ncoc+IF(SUMSQ('TS-PILE'!$E$72:$E$91)=0,0,'TO HOP NLAN'!E289*'TS-PILE'!$E$76/SUMSQ('TS-PILE'!$E$72:$E$91))+IF(SUMSQ('TS-PILE'!$D$72:$D$91)=0,0,'TO HOP NLAN'!F289*'TS-PILE'!$D$76/SUMSQ('TS-PILE'!$D$72:$D$91))),IF('TS-PILE'!$B$77="",1E+99,'TO HOP NLAN'!D289/ncoc+IF(SUMSQ('TS-PILE'!$E$72:$E$91)=0,0,'TO HOP NLAN'!E289*'TS-PILE'!$E$77/SUMSQ('TS-PILE'!$E$72:$E$91))+IF(SUMSQ('TS-PILE'!$D$72:$D$91)=0,0,'TO HOP NLAN'!F289*'TS-PILE'!$D$77/SUMSQ('TS-PILE'!$D$72:$D$91))),IF('TS-PILE'!$B$78="",1E+99,'TO HOP NLAN'!D289/ncoc+IF(SUMSQ('TS-PILE'!$E$72:$E$91)=0,0,'TO HOP NLAN'!E289*'TS-PILE'!$E$78/SUMSQ('TS-PILE'!$E$72:$E$91))+IF(SUMSQ('TS-PILE'!$D$72:$D$91)=0,0,'TO HOP NLAN'!F289*'TS-PILE'!$D$78/SUMSQ('TS-PILE'!$D$72:$D$91))),IF('TS-PILE'!$B$79="",1E+99,'TO HOP NLAN'!D289/ncoc+IF(SUMSQ('TS-PILE'!$E$72:$E$91)=0,0,'TO HOP NLAN'!E289*'TS-PILE'!$E$79/SUMSQ('TS-PILE'!$E$72:$E$91))+IF(SUMSQ('TS-PILE'!$D$72:$D$91)=0,0,'TO HOP NLAN'!F289*'TS-PILE'!$D$79/SUMSQ('TS-PILE'!$D$72:$D$91))),IF('TS-PILE'!$B$80="",1E+99,'TO HOP NLAN'!D289/ncoc+IF(SUMSQ('TS-PILE'!$E$72:$E$91)=0,0,'TO HOP NLAN'!E289*'TS-PILE'!$E$80/SUMSQ('TS-PILE'!$E$72:$E$91))+IF(SUMSQ('TS-PILE'!$D$72:$D$91)=0,0,'TO HOP NLAN'!F289*'TS-PILE'!$D$80/SUMSQ('TS-PILE'!$D$72:$D$91))),IF('TS-PILE'!$B$81="",1E+99,'TO HOP NLAN'!D289/ncoc+IF(SUMSQ('TS-PILE'!$E$72:$E$91)=0,0,'TO HOP NLAN'!E289*'TS-PILE'!$E$81/SUMSQ('TS-PILE'!$E$72:$E$91))+IF(SUMSQ('TS-PILE'!$D$72:$D$91)=0,0,'TO HOP NLAN'!F289*'TS-PILE'!$D$81/SUMSQ('TS-PILE'!$D$72:$D$91))),IF('TS-PILE'!$B$82="",1E+99,'TO HOP NLAN'!D289/ncoc+IF(SUMSQ('TS-PILE'!$E$72:$E$91)=0,0,'TO HOP NLAN'!E289*'TS-PILE'!$E$82/SUMSQ('TS-PILE'!$E$72:$E$91))+IF(SUMSQ('TS-PILE'!$D$72:$D$91)=0,0,'TO HOP NLAN'!F289*'TS-PILE'!$D$82/SUMSQ('TS-PILE'!$D$72:$D$91))),IF('TS-PILE'!$B$83="",1E+99,'TO HOP NLAN'!D289/ncoc+IF(SUMSQ('TS-PILE'!$E$72:$E$91)=0,0,'TO HOP NLAN'!E289*'TS-PILE'!$E$83/SUMSQ('TS-PILE'!$E$72:$E$91))+IF(SUMSQ('TS-PILE'!$D$72:$D$91)=0,0,'TO HOP NLAN'!F289*'TS-PILE'!$D$83/SUMSQ('TS-PILE'!$D$72:$D$91))),IF('TS-PILE'!$B$84="",1E+99,'TO HOP NLAN'!D289/ncoc+IF(SUMSQ('TS-PILE'!$E$72:$E$91)=0,0,'TO HOP NLAN'!E289*'TS-PILE'!$E$84/SUMSQ('TS-PILE'!$E$72:$E$91))+IF(SUMSQ('TS-PILE'!$D$72:$D$91)=0,0,'TO HOP NLAN'!F289*'TS-PILE'!$D$84/SUMSQ('TS-PILE'!$D$72:$D$91))),IF('TS-PILE'!$B$85="",1E+99,'TO HOP NLAN'!D289/ncoc+IF(SUMSQ('TS-PILE'!$E$72:$E$91)=0,0,'TO HOP NLAN'!E289*'TS-PILE'!$E$85/SUMSQ('TS-PILE'!$E$72:$E$91))+IF(SUMSQ('TS-PILE'!$D$72:$D$91)=0,0,'TO HOP NLAN'!F289*'TS-PILE'!$D$85/SUMSQ('TS-PILE'!$D$72:$D$91))),IF('TS-PILE'!$B$86="",1E+99,'TO HOP NLAN'!D289/ncoc+IF(SUMSQ('TS-PILE'!$E$72:$E$91)=0,0,'TO HOP NLAN'!E289*'TS-PILE'!$E$86/SUMSQ('TS-PILE'!$E$72:$E$91))+IF(SUMSQ('TS-PILE'!$D$72:$D$91)=0,0,'TO HOP NLAN'!F289*'TS-PILE'!$D$86/SUMSQ('TS-PILE'!$D$72:$D$91))),IF('TS-PILE'!$B$87="",1E+99,'TO HOP NLAN'!D289/ncoc+IF(SUMSQ('TS-PILE'!$E$72:$E$91)=0,0,'TO HOP NLAN'!E289*'TS-PILE'!$E$87/SUMSQ('TS-PILE'!$E$72:$E$91))+IF(SUMSQ('TS-PILE'!$D$72:$D$91)=0,0,'TO HOP NLAN'!F289*'TS-PILE'!$D$87/SUMSQ('TS-PILE'!$D$72:$D$91))),IF('TS-PILE'!$B$88="",1E+99,'TO HOP NLAN'!D289/ncoc+IF(SUMSQ('TS-PILE'!$E$72:$E$91)=0,0,'TO HOP NLAN'!E289*'TS-PILE'!$E$88/SUMSQ('TS-PILE'!$E$72:$E$91))+IF(SUMSQ('TS-PILE'!$D$72:$D$91)=0,0,'TO HOP NLAN'!F289*'TS-PILE'!$D$88/SUMSQ('TS-PILE'!$D$72:$D$91))),IF('TS-PILE'!$B$89="",1E+99,'TO HOP NLAN'!D289/ncoc+IF(SUMSQ('TS-PILE'!$E$72:$E$91)=0,0,'TO HOP NLAN'!E289*'TS-PILE'!$E$89/SUMSQ('TS-PILE'!$E$72:$E$91))+IF(SUMSQ('TS-PILE'!$D$72:$D$91)=0,0,'TO HOP NLAN'!F289*'TS-PILE'!$D$89/SUMSQ('TS-PILE'!$D$72:$D$91))),IF('TS-PILE'!$B$90="",1E+99,'TO HOP NLAN'!D289/ncoc+IF(SUMSQ('TS-PILE'!$E$72:$E$91)=0,0,'TO HOP NLAN'!E289*'TS-PILE'!$E$90/SUMSQ('TS-PILE'!$E$72:$E$91))+IF(SUMSQ('TS-PILE'!$D$72:$D$91)=0,0,'TO HOP NLAN'!F289*'TS-PILE'!$D$90/SUMSQ('TS-PILE'!$D$72:$D$91))),IF('TS-PILE'!$B$91="",1E+99,'TO HOP NLAN'!D289/ncoc+IF(SUMSQ('TS-PILE'!$E$72:$E$91)=0,0,'TO HOP NLAN'!E289*'TS-PILE'!$E$91/SUMSQ('TS-PILE'!$E$72:$E$91))+IF(SUMSQ('TS-PILE'!$D$72:$D$91)=0,0,'TO HOP NLAN'!F289*'TS-PILE'!$D$91/SUMSQ('TS-PILE'!$D$72:$D$91)))))</f>
        <v>0</v>
      </c>
      <c r="E289" s="58">
        <f t="shared" si="16"/>
        <v>-9.9999999999999997E+98</v>
      </c>
      <c r="F289" s="58">
        <f t="shared" si="17"/>
        <v>9.9999999999999997E+98</v>
      </c>
      <c r="G289" s="58">
        <f t="shared" si="18"/>
        <v>-9.9999999999999997E+98</v>
      </c>
      <c r="H289" s="58">
        <f t="shared" si="19"/>
        <v>9.9999999999999997E+98</v>
      </c>
    </row>
    <row r="290" spans="1:8" x14ac:dyDescent="0.3">
      <c r="A290" s="42" t="str">
        <f>'TO HOP NLAN'!A290</f>
        <v/>
      </c>
      <c r="B290" s="42" t="str">
        <f>'TO HOP NLAN'!L290</f>
        <v>STRENGTH</v>
      </c>
      <c r="C290" s="58">
        <f>IF(A290="",0,MAX(IF('TS-PILE'!$B$72="",-1E+99,'TO HOP NLAN'!D290/ncoc+IF(SUMSQ('TS-PILE'!$E$72:$E$91)=0,0,'TO HOP NLAN'!E290*'TS-PILE'!$E$72/SUMSQ('TS-PILE'!$E$72:$E$91))+IF(SUMSQ('TS-PILE'!$D$72:$D$91)=0,0,'TO HOP NLAN'!F290*'TS-PILE'!$D$72/SUMSQ('TS-PILE'!$D$72:$D$91))),IF('TS-PILE'!$B$73="",-1E+99,'TO HOP NLAN'!D290/ncoc+IF(SUMSQ('TS-PILE'!$E$72:$E$91)=0,0,'TO HOP NLAN'!E290*'TS-PILE'!$E$73/SUMSQ('TS-PILE'!$E$72:$E$91))+IF(SUMSQ('TS-PILE'!$D$72:$D$91)=0,0,'TO HOP NLAN'!F290*'TS-PILE'!$D$73/SUMSQ('TS-PILE'!$D$72:$D$91))),IF('TS-PILE'!$B$74="",-1E+99,'TO HOP NLAN'!D290/ncoc+IF(SUMSQ('TS-PILE'!$E$72:$E$91)=0,0,'TO HOP NLAN'!E290*'TS-PILE'!$E$74/SUMSQ('TS-PILE'!$E$72:$E$91))+IF(SUMSQ('TS-PILE'!$D$72:$D$91)=0,0,'TO HOP NLAN'!F290*'TS-PILE'!$D$74/SUMSQ('TS-PILE'!$D$72:$D$91))),IF('TS-PILE'!$B$75="",-1E+99,'TO HOP NLAN'!D290/ncoc+IF(SUMSQ('TS-PILE'!$E$72:$E$91)=0,0,'TO HOP NLAN'!E290*'TS-PILE'!$E$75/SUMSQ('TS-PILE'!$E$72:$E$91))+IF(SUMSQ('TS-PILE'!$D$72:$D$91)=0,0,'TO HOP NLAN'!F290*'TS-PILE'!$D$75/SUMSQ('TS-PILE'!$D$72:$D$91))),IF('TS-PILE'!$B$76="",-1E+99,'TO HOP NLAN'!D290/ncoc+IF(SUMSQ('TS-PILE'!$E$72:$E$91)=0,0,'TO HOP NLAN'!E290*'TS-PILE'!$E$76/SUMSQ('TS-PILE'!$E$72:$E$91))+IF(SUMSQ('TS-PILE'!$D$72:$D$91)=0,0,'TO HOP NLAN'!F290*'TS-PILE'!$D$76/SUMSQ('TS-PILE'!$D$72:$D$91))),IF('TS-PILE'!$B$77="",-1E+99,'TO HOP NLAN'!D290/ncoc+IF(SUMSQ('TS-PILE'!$E$72:$E$91)=0,0,'TO HOP NLAN'!E290*'TS-PILE'!$E$77/SUMSQ('TS-PILE'!$E$72:$E$91))+IF(SUMSQ('TS-PILE'!$D$72:$D$91)=0,0,'TO HOP NLAN'!F290*'TS-PILE'!$D$77/SUMSQ('TS-PILE'!$D$72:$D$91))),IF('TS-PILE'!$B$78="",-1E+99,'TO HOP NLAN'!D290/ncoc+IF(SUMSQ('TS-PILE'!$E$72:$E$91)=0,0,'TO HOP NLAN'!E290*'TS-PILE'!$E$78/SUMSQ('TS-PILE'!$E$72:$E$91))+IF(SUMSQ('TS-PILE'!$D$72:$D$91)=0,0,'TO HOP NLAN'!F290*'TS-PILE'!$D$78/SUMSQ('TS-PILE'!$D$72:$D$91))),IF('TS-PILE'!$B$79="",-1E+99,'TO HOP NLAN'!D290/ncoc+IF(SUMSQ('TS-PILE'!$E$72:$E$91)=0,0,'TO HOP NLAN'!E290*'TS-PILE'!$E$79/SUMSQ('TS-PILE'!$E$72:$E$91))+IF(SUMSQ('TS-PILE'!$D$72:$D$91)=0,0,'TO HOP NLAN'!F290*'TS-PILE'!$D$79/SUMSQ('TS-PILE'!$D$72:$D$91))),IF('TS-PILE'!$B$80="",-1E+99,'TO HOP NLAN'!D290/ncoc+IF(SUMSQ('TS-PILE'!$E$72:$E$91)=0,0,'TO HOP NLAN'!E290*'TS-PILE'!$E$80/SUMSQ('TS-PILE'!$E$72:$E$91))+IF(SUMSQ('TS-PILE'!$D$72:$D$91)=0,0,'TO HOP NLAN'!F290*'TS-PILE'!$D$80/SUMSQ('TS-PILE'!$D$72:$D$91))),IF('TS-PILE'!$B$81="",-1E+99,'TO HOP NLAN'!D290/ncoc+IF(SUMSQ('TS-PILE'!$E$72:$E$91)=0,0,'TO HOP NLAN'!E290*'TS-PILE'!$E$81/SUMSQ('TS-PILE'!$E$72:$E$91))+IF(SUMSQ('TS-PILE'!$D$72:$D$91)=0,0,'TO HOP NLAN'!F290*'TS-PILE'!$D$81/SUMSQ('TS-PILE'!$D$72:$D$91))),IF('TS-PILE'!$B$82="",-1E+99,'TO HOP NLAN'!D290/ncoc+IF(SUMSQ('TS-PILE'!$E$72:$E$91)=0,0,'TO HOP NLAN'!E290*'TS-PILE'!$E$82/SUMSQ('TS-PILE'!$E$72:$E$91))+IF(SUMSQ('TS-PILE'!$D$72:$D$91)=0,0,'TO HOP NLAN'!F290*'TS-PILE'!$D$82/SUMSQ('TS-PILE'!$D$72:$D$91))),IF('TS-PILE'!$B$83="",-1E+99,'TO HOP NLAN'!D290/ncoc+IF(SUMSQ('TS-PILE'!$E$72:$E$91)=0,0,'TO HOP NLAN'!E290*'TS-PILE'!$E$83/SUMSQ('TS-PILE'!$E$72:$E$91))+IF(SUMSQ('TS-PILE'!$D$72:$D$91)=0,0,'TO HOP NLAN'!F290*'TS-PILE'!$D$83/SUMSQ('TS-PILE'!$D$72:$D$91))),IF('TS-PILE'!$B$84="",-1E+99,'TO HOP NLAN'!D290/ncoc+IF(SUMSQ('TS-PILE'!$E$72:$E$91)=0,0,'TO HOP NLAN'!E290*'TS-PILE'!$E$84/SUMSQ('TS-PILE'!$E$72:$E$91))+IF(SUMSQ('TS-PILE'!$D$72:$D$91)=0,0,'TO HOP NLAN'!F290*'TS-PILE'!$D$84/SUMSQ('TS-PILE'!$D$72:$D$91))),IF('TS-PILE'!$B$85="",-1E+99,'TO HOP NLAN'!D290/ncoc+IF(SUMSQ('TS-PILE'!$E$72:$E$91)=0,0,'TO HOP NLAN'!E290*'TS-PILE'!$E$85/SUMSQ('TS-PILE'!$E$72:$E$91))+IF(SUMSQ('TS-PILE'!$D$72:$D$91)=0,0,'TO HOP NLAN'!F290*'TS-PILE'!$D$85/SUMSQ('TS-PILE'!$D$72:$D$91))),IF('TS-PILE'!$B$86="",-1E+99,'TO HOP NLAN'!D290/ncoc+IF(SUMSQ('TS-PILE'!$E$72:$E$91)=0,0,'TO HOP NLAN'!E290*'TS-PILE'!$E$86/SUMSQ('TS-PILE'!$E$72:$E$91))+IF(SUMSQ('TS-PILE'!$D$72:$D$91)=0,0,'TO HOP NLAN'!F290*'TS-PILE'!$D$86/SUMSQ('TS-PILE'!$D$72:$D$91))),IF('TS-PILE'!$B$87="",-1E+99,'TO HOP NLAN'!D290/ncoc+IF(SUMSQ('TS-PILE'!$E$72:$E$91)=0,0,'TO HOP NLAN'!E290*'TS-PILE'!$E$87/SUMSQ('TS-PILE'!$E$72:$E$91))+IF(SUMSQ('TS-PILE'!$D$72:$D$91)=0,0,'TO HOP NLAN'!F290*'TS-PILE'!$D$87/SUMSQ('TS-PILE'!$D$72:$D$91))),IF('TS-PILE'!$B$88="",-1E+99,'TO HOP NLAN'!D290/ncoc+IF(SUMSQ('TS-PILE'!$E$72:$E$91)=0,0,'TO HOP NLAN'!E290*'TS-PILE'!$E$88/SUMSQ('TS-PILE'!$E$72:$E$91))+IF(SUMSQ('TS-PILE'!$D$72:$D$91)=0,0,'TO HOP NLAN'!F290*'TS-PILE'!$D$88/SUMSQ('TS-PILE'!$D$72:$D$91))),IF('TS-PILE'!$B$89="",-1E+99,'TO HOP NLAN'!D290/ncoc+IF(SUMSQ('TS-PILE'!$E$72:$E$91)=0,0,'TO HOP NLAN'!E290*'TS-PILE'!$E$89/SUMSQ('TS-PILE'!$E$72:$E$91))+IF(SUMSQ('TS-PILE'!$D$72:$D$91)=0,0,'TO HOP NLAN'!F290*'TS-PILE'!$D$89/SUMSQ('TS-PILE'!$D$72:$D$91))),IF('TS-PILE'!$B$90="",-1E+99,'TO HOP NLAN'!D290/ncoc+IF(SUMSQ('TS-PILE'!$E$72:$E$91)=0,0,'TO HOP NLAN'!E290*'TS-PILE'!$E$90/SUMSQ('TS-PILE'!$E$72:$E$91))+IF(SUMSQ('TS-PILE'!$D$72:$D$91)=0,0,'TO HOP NLAN'!F290*'TS-PILE'!$D$90/SUMSQ('TS-PILE'!$D$72:$D$91))),IF('TS-PILE'!$B$91="",-1E+99,'TO HOP NLAN'!D290/ncoc+IF(SUMSQ('TS-PILE'!$E$72:$E$91)=0,0,'TO HOP NLAN'!E290*'TS-PILE'!$E$91/SUMSQ('TS-PILE'!$E$72:$E$91))+IF(SUMSQ('TS-PILE'!$D$72:$D$91)=0,0,'TO HOP NLAN'!F290*'TS-PILE'!$D$91/SUMSQ('TS-PILE'!$D$72:$D$91)))))</f>
        <v>0</v>
      </c>
      <c r="D290" s="58">
        <f>IF(A290="",0,MIN(IF('TS-PILE'!$B$72="",1E+99,'TO HOP NLAN'!D290/ncoc+IF(SUMSQ('TS-PILE'!$E$72:$E$91)=0,0,'TO HOP NLAN'!E290*'TS-PILE'!$E$72/SUMSQ('TS-PILE'!$E$72:$E$91))+IF(SUMSQ('TS-PILE'!$D$72:$D$91)=0,0,'TO HOP NLAN'!F290*'TS-PILE'!$D$72/SUMSQ('TS-PILE'!$D$72:$D$91))),IF('TS-PILE'!$B$73="",1E+99,'TO HOP NLAN'!D290/ncoc+IF(SUMSQ('TS-PILE'!$E$72:$E$91)=0,0,'TO HOP NLAN'!E290*'TS-PILE'!$E$73/SUMSQ('TS-PILE'!$E$72:$E$91))+IF(SUMSQ('TS-PILE'!$D$72:$D$91)=0,0,'TO HOP NLAN'!F290*'TS-PILE'!$D$73/SUMSQ('TS-PILE'!$D$72:$D$91))),IF('TS-PILE'!$B$74="",1E+99,'TO HOP NLAN'!D290/ncoc+IF(SUMSQ('TS-PILE'!$E$72:$E$91)=0,0,'TO HOP NLAN'!E290*'TS-PILE'!$E$74/SUMSQ('TS-PILE'!$E$72:$E$91))+IF(SUMSQ('TS-PILE'!$D$72:$D$91)=0,0,'TO HOP NLAN'!F290*'TS-PILE'!$D$74/SUMSQ('TS-PILE'!$D$72:$D$91))),IF('TS-PILE'!$B$75="",1E+99,'TO HOP NLAN'!D290/ncoc+IF(SUMSQ('TS-PILE'!$E$72:$E$91)=0,0,'TO HOP NLAN'!E290*'TS-PILE'!$E$75/SUMSQ('TS-PILE'!$E$72:$E$91))+IF(SUMSQ('TS-PILE'!$D$72:$D$91)=0,0,'TO HOP NLAN'!F290*'TS-PILE'!$D$75/SUMSQ('TS-PILE'!$D$72:$D$91))),IF('TS-PILE'!$B$76="",1E+99,'TO HOP NLAN'!D290/ncoc+IF(SUMSQ('TS-PILE'!$E$72:$E$91)=0,0,'TO HOP NLAN'!E290*'TS-PILE'!$E$76/SUMSQ('TS-PILE'!$E$72:$E$91))+IF(SUMSQ('TS-PILE'!$D$72:$D$91)=0,0,'TO HOP NLAN'!F290*'TS-PILE'!$D$76/SUMSQ('TS-PILE'!$D$72:$D$91))),IF('TS-PILE'!$B$77="",1E+99,'TO HOP NLAN'!D290/ncoc+IF(SUMSQ('TS-PILE'!$E$72:$E$91)=0,0,'TO HOP NLAN'!E290*'TS-PILE'!$E$77/SUMSQ('TS-PILE'!$E$72:$E$91))+IF(SUMSQ('TS-PILE'!$D$72:$D$91)=0,0,'TO HOP NLAN'!F290*'TS-PILE'!$D$77/SUMSQ('TS-PILE'!$D$72:$D$91))),IF('TS-PILE'!$B$78="",1E+99,'TO HOP NLAN'!D290/ncoc+IF(SUMSQ('TS-PILE'!$E$72:$E$91)=0,0,'TO HOP NLAN'!E290*'TS-PILE'!$E$78/SUMSQ('TS-PILE'!$E$72:$E$91))+IF(SUMSQ('TS-PILE'!$D$72:$D$91)=0,0,'TO HOP NLAN'!F290*'TS-PILE'!$D$78/SUMSQ('TS-PILE'!$D$72:$D$91))),IF('TS-PILE'!$B$79="",1E+99,'TO HOP NLAN'!D290/ncoc+IF(SUMSQ('TS-PILE'!$E$72:$E$91)=0,0,'TO HOP NLAN'!E290*'TS-PILE'!$E$79/SUMSQ('TS-PILE'!$E$72:$E$91))+IF(SUMSQ('TS-PILE'!$D$72:$D$91)=0,0,'TO HOP NLAN'!F290*'TS-PILE'!$D$79/SUMSQ('TS-PILE'!$D$72:$D$91))),IF('TS-PILE'!$B$80="",1E+99,'TO HOP NLAN'!D290/ncoc+IF(SUMSQ('TS-PILE'!$E$72:$E$91)=0,0,'TO HOP NLAN'!E290*'TS-PILE'!$E$80/SUMSQ('TS-PILE'!$E$72:$E$91))+IF(SUMSQ('TS-PILE'!$D$72:$D$91)=0,0,'TO HOP NLAN'!F290*'TS-PILE'!$D$80/SUMSQ('TS-PILE'!$D$72:$D$91))),IF('TS-PILE'!$B$81="",1E+99,'TO HOP NLAN'!D290/ncoc+IF(SUMSQ('TS-PILE'!$E$72:$E$91)=0,0,'TO HOP NLAN'!E290*'TS-PILE'!$E$81/SUMSQ('TS-PILE'!$E$72:$E$91))+IF(SUMSQ('TS-PILE'!$D$72:$D$91)=0,0,'TO HOP NLAN'!F290*'TS-PILE'!$D$81/SUMSQ('TS-PILE'!$D$72:$D$91))),IF('TS-PILE'!$B$82="",1E+99,'TO HOP NLAN'!D290/ncoc+IF(SUMSQ('TS-PILE'!$E$72:$E$91)=0,0,'TO HOP NLAN'!E290*'TS-PILE'!$E$82/SUMSQ('TS-PILE'!$E$72:$E$91))+IF(SUMSQ('TS-PILE'!$D$72:$D$91)=0,0,'TO HOP NLAN'!F290*'TS-PILE'!$D$82/SUMSQ('TS-PILE'!$D$72:$D$91))),IF('TS-PILE'!$B$83="",1E+99,'TO HOP NLAN'!D290/ncoc+IF(SUMSQ('TS-PILE'!$E$72:$E$91)=0,0,'TO HOP NLAN'!E290*'TS-PILE'!$E$83/SUMSQ('TS-PILE'!$E$72:$E$91))+IF(SUMSQ('TS-PILE'!$D$72:$D$91)=0,0,'TO HOP NLAN'!F290*'TS-PILE'!$D$83/SUMSQ('TS-PILE'!$D$72:$D$91))),IF('TS-PILE'!$B$84="",1E+99,'TO HOP NLAN'!D290/ncoc+IF(SUMSQ('TS-PILE'!$E$72:$E$91)=0,0,'TO HOP NLAN'!E290*'TS-PILE'!$E$84/SUMSQ('TS-PILE'!$E$72:$E$91))+IF(SUMSQ('TS-PILE'!$D$72:$D$91)=0,0,'TO HOP NLAN'!F290*'TS-PILE'!$D$84/SUMSQ('TS-PILE'!$D$72:$D$91))),IF('TS-PILE'!$B$85="",1E+99,'TO HOP NLAN'!D290/ncoc+IF(SUMSQ('TS-PILE'!$E$72:$E$91)=0,0,'TO HOP NLAN'!E290*'TS-PILE'!$E$85/SUMSQ('TS-PILE'!$E$72:$E$91))+IF(SUMSQ('TS-PILE'!$D$72:$D$91)=0,0,'TO HOP NLAN'!F290*'TS-PILE'!$D$85/SUMSQ('TS-PILE'!$D$72:$D$91))),IF('TS-PILE'!$B$86="",1E+99,'TO HOP NLAN'!D290/ncoc+IF(SUMSQ('TS-PILE'!$E$72:$E$91)=0,0,'TO HOP NLAN'!E290*'TS-PILE'!$E$86/SUMSQ('TS-PILE'!$E$72:$E$91))+IF(SUMSQ('TS-PILE'!$D$72:$D$91)=0,0,'TO HOP NLAN'!F290*'TS-PILE'!$D$86/SUMSQ('TS-PILE'!$D$72:$D$91))),IF('TS-PILE'!$B$87="",1E+99,'TO HOP NLAN'!D290/ncoc+IF(SUMSQ('TS-PILE'!$E$72:$E$91)=0,0,'TO HOP NLAN'!E290*'TS-PILE'!$E$87/SUMSQ('TS-PILE'!$E$72:$E$91))+IF(SUMSQ('TS-PILE'!$D$72:$D$91)=0,0,'TO HOP NLAN'!F290*'TS-PILE'!$D$87/SUMSQ('TS-PILE'!$D$72:$D$91))),IF('TS-PILE'!$B$88="",1E+99,'TO HOP NLAN'!D290/ncoc+IF(SUMSQ('TS-PILE'!$E$72:$E$91)=0,0,'TO HOP NLAN'!E290*'TS-PILE'!$E$88/SUMSQ('TS-PILE'!$E$72:$E$91))+IF(SUMSQ('TS-PILE'!$D$72:$D$91)=0,0,'TO HOP NLAN'!F290*'TS-PILE'!$D$88/SUMSQ('TS-PILE'!$D$72:$D$91))),IF('TS-PILE'!$B$89="",1E+99,'TO HOP NLAN'!D290/ncoc+IF(SUMSQ('TS-PILE'!$E$72:$E$91)=0,0,'TO HOP NLAN'!E290*'TS-PILE'!$E$89/SUMSQ('TS-PILE'!$E$72:$E$91))+IF(SUMSQ('TS-PILE'!$D$72:$D$91)=0,0,'TO HOP NLAN'!F290*'TS-PILE'!$D$89/SUMSQ('TS-PILE'!$D$72:$D$91))),IF('TS-PILE'!$B$90="",1E+99,'TO HOP NLAN'!D290/ncoc+IF(SUMSQ('TS-PILE'!$E$72:$E$91)=0,0,'TO HOP NLAN'!E290*'TS-PILE'!$E$90/SUMSQ('TS-PILE'!$E$72:$E$91))+IF(SUMSQ('TS-PILE'!$D$72:$D$91)=0,0,'TO HOP NLAN'!F290*'TS-PILE'!$D$90/SUMSQ('TS-PILE'!$D$72:$D$91))),IF('TS-PILE'!$B$91="",1E+99,'TO HOP NLAN'!D290/ncoc+IF(SUMSQ('TS-PILE'!$E$72:$E$91)=0,0,'TO HOP NLAN'!E290*'TS-PILE'!$E$91/SUMSQ('TS-PILE'!$E$72:$E$91))+IF(SUMSQ('TS-PILE'!$D$72:$D$91)=0,0,'TO HOP NLAN'!F290*'TS-PILE'!$D$91/SUMSQ('TS-PILE'!$D$72:$D$91)))))</f>
        <v>0</v>
      </c>
      <c r="E290" s="58">
        <f t="shared" si="16"/>
        <v>-9.9999999999999997E+98</v>
      </c>
      <c r="F290" s="58">
        <f t="shared" si="17"/>
        <v>9.9999999999999997E+98</v>
      </c>
      <c r="G290" s="58">
        <f t="shared" si="18"/>
        <v>-9.9999999999999997E+98</v>
      </c>
      <c r="H290" s="58">
        <f t="shared" si="19"/>
        <v>9.9999999999999997E+98</v>
      </c>
    </row>
    <row r="291" spans="1:8" x14ac:dyDescent="0.3">
      <c r="A291" s="42" t="str">
        <f>'TO HOP NLAN'!A291</f>
        <v/>
      </c>
      <c r="B291" s="42" t="str">
        <f>'TO HOP NLAN'!L291</f>
        <v>STRENGTH</v>
      </c>
      <c r="C291" s="58">
        <f>IF(A291="",0,MAX(IF('TS-PILE'!$B$72="",-1E+99,'TO HOP NLAN'!D291/ncoc+IF(SUMSQ('TS-PILE'!$E$72:$E$91)=0,0,'TO HOP NLAN'!E291*'TS-PILE'!$E$72/SUMSQ('TS-PILE'!$E$72:$E$91))+IF(SUMSQ('TS-PILE'!$D$72:$D$91)=0,0,'TO HOP NLAN'!F291*'TS-PILE'!$D$72/SUMSQ('TS-PILE'!$D$72:$D$91))),IF('TS-PILE'!$B$73="",-1E+99,'TO HOP NLAN'!D291/ncoc+IF(SUMSQ('TS-PILE'!$E$72:$E$91)=0,0,'TO HOP NLAN'!E291*'TS-PILE'!$E$73/SUMSQ('TS-PILE'!$E$72:$E$91))+IF(SUMSQ('TS-PILE'!$D$72:$D$91)=0,0,'TO HOP NLAN'!F291*'TS-PILE'!$D$73/SUMSQ('TS-PILE'!$D$72:$D$91))),IF('TS-PILE'!$B$74="",-1E+99,'TO HOP NLAN'!D291/ncoc+IF(SUMSQ('TS-PILE'!$E$72:$E$91)=0,0,'TO HOP NLAN'!E291*'TS-PILE'!$E$74/SUMSQ('TS-PILE'!$E$72:$E$91))+IF(SUMSQ('TS-PILE'!$D$72:$D$91)=0,0,'TO HOP NLAN'!F291*'TS-PILE'!$D$74/SUMSQ('TS-PILE'!$D$72:$D$91))),IF('TS-PILE'!$B$75="",-1E+99,'TO HOP NLAN'!D291/ncoc+IF(SUMSQ('TS-PILE'!$E$72:$E$91)=0,0,'TO HOP NLAN'!E291*'TS-PILE'!$E$75/SUMSQ('TS-PILE'!$E$72:$E$91))+IF(SUMSQ('TS-PILE'!$D$72:$D$91)=0,0,'TO HOP NLAN'!F291*'TS-PILE'!$D$75/SUMSQ('TS-PILE'!$D$72:$D$91))),IF('TS-PILE'!$B$76="",-1E+99,'TO HOP NLAN'!D291/ncoc+IF(SUMSQ('TS-PILE'!$E$72:$E$91)=0,0,'TO HOP NLAN'!E291*'TS-PILE'!$E$76/SUMSQ('TS-PILE'!$E$72:$E$91))+IF(SUMSQ('TS-PILE'!$D$72:$D$91)=0,0,'TO HOP NLAN'!F291*'TS-PILE'!$D$76/SUMSQ('TS-PILE'!$D$72:$D$91))),IF('TS-PILE'!$B$77="",-1E+99,'TO HOP NLAN'!D291/ncoc+IF(SUMSQ('TS-PILE'!$E$72:$E$91)=0,0,'TO HOP NLAN'!E291*'TS-PILE'!$E$77/SUMSQ('TS-PILE'!$E$72:$E$91))+IF(SUMSQ('TS-PILE'!$D$72:$D$91)=0,0,'TO HOP NLAN'!F291*'TS-PILE'!$D$77/SUMSQ('TS-PILE'!$D$72:$D$91))),IF('TS-PILE'!$B$78="",-1E+99,'TO HOP NLAN'!D291/ncoc+IF(SUMSQ('TS-PILE'!$E$72:$E$91)=0,0,'TO HOP NLAN'!E291*'TS-PILE'!$E$78/SUMSQ('TS-PILE'!$E$72:$E$91))+IF(SUMSQ('TS-PILE'!$D$72:$D$91)=0,0,'TO HOP NLAN'!F291*'TS-PILE'!$D$78/SUMSQ('TS-PILE'!$D$72:$D$91))),IF('TS-PILE'!$B$79="",-1E+99,'TO HOP NLAN'!D291/ncoc+IF(SUMSQ('TS-PILE'!$E$72:$E$91)=0,0,'TO HOP NLAN'!E291*'TS-PILE'!$E$79/SUMSQ('TS-PILE'!$E$72:$E$91))+IF(SUMSQ('TS-PILE'!$D$72:$D$91)=0,0,'TO HOP NLAN'!F291*'TS-PILE'!$D$79/SUMSQ('TS-PILE'!$D$72:$D$91))),IF('TS-PILE'!$B$80="",-1E+99,'TO HOP NLAN'!D291/ncoc+IF(SUMSQ('TS-PILE'!$E$72:$E$91)=0,0,'TO HOP NLAN'!E291*'TS-PILE'!$E$80/SUMSQ('TS-PILE'!$E$72:$E$91))+IF(SUMSQ('TS-PILE'!$D$72:$D$91)=0,0,'TO HOP NLAN'!F291*'TS-PILE'!$D$80/SUMSQ('TS-PILE'!$D$72:$D$91))),IF('TS-PILE'!$B$81="",-1E+99,'TO HOP NLAN'!D291/ncoc+IF(SUMSQ('TS-PILE'!$E$72:$E$91)=0,0,'TO HOP NLAN'!E291*'TS-PILE'!$E$81/SUMSQ('TS-PILE'!$E$72:$E$91))+IF(SUMSQ('TS-PILE'!$D$72:$D$91)=0,0,'TO HOP NLAN'!F291*'TS-PILE'!$D$81/SUMSQ('TS-PILE'!$D$72:$D$91))),IF('TS-PILE'!$B$82="",-1E+99,'TO HOP NLAN'!D291/ncoc+IF(SUMSQ('TS-PILE'!$E$72:$E$91)=0,0,'TO HOP NLAN'!E291*'TS-PILE'!$E$82/SUMSQ('TS-PILE'!$E$72:$E$91))+IF(SUMSQ('TS-PILE'!$D$72:$D$91)=0,0,'TO HOP NLAN'!F291*'TS-PILE'!$D$82/SUMSQ('TS-PILE'!$D$72:$D$91))),IF('TS-PILE'!$B$83="",-1E+99,'TO HOP NLAN'!D291/ncoc+IF(SUMSQ('TS-PILE'!$E$72:$E$91)=0,0,'TO HOP NLAN'!E291*'TS-PILE'!$E$83/SUMSQ('TS-PILE'!$E$72:$E$91))+IF(SUMSQ('TS-PILE'!$D$72:$D$91)=0,0,'TO HOP NLAN'!F291*'TS-PILE'!$D$83/SUMSQ('TS-PILE'!$D$72:$D$91))),IF('TS-PILE'!$B$84="",-1E+99,'TO HOP NLAN'!D291/ncoc+IF(SUMSQ('TS-PILE'!$E$72:$E$91)=0,0,'TO HOP NLAN'!E291*'TS-PILE'!$E$84/SUMSQ('TS-PILE'!$E$72:$E$91))+IF(SUMSQ('TS-PILE'!$D$72:$D$91)=0,0,'TO HOP NLAN'!F291*'TS-PILE'!$D$84/SUMSQ('TS-PILE'!$D$72:$D$91))),IF('TS-PILE'!$B$85="",-1E+99,'TO HOP NLAN'!D291/ncoc+IF(SUMSQ('TS-PILE'!$E$72:$E$91)=0,0,'TO HOP NLAN'!E291*'TS-PILE'!$E$85/SUMSQ('TS-PILE'!$E$72:$E$91))+IF(SUMSQ('TS-PILE'!$D$72:$D$91)=0,0,'TO HOP NLAN'!F291*'TS-PILE'!$D$85/SUMSQ('TS-PILE'!$D$72:$D$91))),IF('TS-PILE'!$B$86="",-1E+99,'TO HOP NLAN'!D291/ncoc+IF(SUMSQ('TS-PILE'!$E$72:$E$91)=0,0,'TO HOP NLAN'!E291*'TS-PILE'!$E$86/SUMSQ('TS-PILE'!$E$72:$E$91))+IF(SUMSQ('TS-PILE'!$D$72:$D$91)=0,0,'TO HOP NLAN'!F291*'TS-PILE'!$D$86/SUMSQ('TS-PILE'!$D$72:$D$91))),IF('TS-PILE'!$B$87="",-1E+99,'TO HOP NLAN'!D291/ncoc+IF(SUMSQ('TS-PILE'!$E$72:$E$91)=0,0,'TO HOP NLAN'!E291*'TS-PILE'!$E$87/SUMSQ('TS-PILE'!$E$72:$E$91))+IF(SUMSQ('TS-PILE'!$D$72:$D$91)=0,0,'TO HOP NLAN'!F291*'TS-PILE'!$D$87/SUMSQ('TS-PILE'!$D$72:$D$91))),IF('TS-PILE'!$B$88="",-1E+99,'TO HOP NLAN'!D291/ncoc+IF(SUMSQ('TS-PILE'!$E$72:$E$91)=0,0,'TO HOP NLAN'!E291*'TS-PILE'!$E$88/SUMSQ('TS-PILE'!$E$72:$E$91))+IF(SUMSQ('TS-PILE'!$D$72:$D$91)=0,0,'TO HOP NLAN'!F291*'TS-PILE'!$D$88/SUMSQ('TS-PILE'!$D$72:$D$91))),IF('TS-PILE'!$B$89="",-1E+99,'TO HOP NLAN'!D291/ncoc+IF(SUMSQ('TS-PILE'!$E$72:$E$91)=0,0,'TO HOP NLAN'!E291*'TS-PILE'!$E$89/SUMSQ('TS-PILE'!$E$72:$E$91))+IF(SUMSQ('TS-PILE'!$D$72:$D$91)=0,0,'TO HOP NLAN'!F291*'TS-PILE'!$D$89/SUMSQ('TS-PILE'!$D$72:$D$91))),IF('TS-PILE'!$B$90="",-1E+99,'TO HOP NLAN'!D291/ncoc+IF(SUMSQ('TS-PILE'!$E$72:$E$91)=0,0,'TO HOP NLAN'!E291*'TS-PILE'!$E$90/SUMSQ('TS-PILE'!$E$72:$E$91))+IF(SUMSQ('TS-PILE'!$D$72:$D$91)=0,0,'TO HOP NLAN'!F291*'TS-PILE'!$D$90/SUMSQ('TS-PILE'!$D$72:$D$91))),IF('TS-PILE'!$B$91="",-1E+99,'TO HOP NLAN'!D291/ncoc+IF(SUMSQ('TS-PILE'!$E$72:$E$91)=0,0,'TO HOP NLAN'!E291*'TS-PILE'!$E$91/SUMSQ('TS-PILE'!$E$72:$E$91))+IF(SUMSQ('TS-PILE'!$D$72:$D$91)=0,0,'TO HOP NLAN'!F291*'TS-PILE'!$D$91/SUMSQ('TS-PILE'!$D$72:$D$91)))))</f>
        <v>0</v>
      </c>
      <c r="D291" s="58">
        <f>IF(A291="",0,MIN(IF('TS-PILE'!$B$72="",1E+99,'TO HOP NLAN'!D291/ncoc+IF(SUMSQ('TS-PILE'!$E$72:$E$91)=0,0,'TO HOP NLAN'!E291*'TS-PILE'!$E$72/SUMSQ('TS-PILE'!$E$72:$E$91))+IF(SUMSQ('TS-PILE'!$D$72:$D$91)=0,0,'TO HOP NLAN'!F291*'TS-PILE'!$D$72/SUMSQ('TS-PILE'!$D$72:$D$91))),IF('TS-PILE'!$B$73="",1E+99,'TO HOP NLAN'!D291/ncoc+IF(SUMSQ('TS-PILE'!$E$72:$E$91)=0,0,'TO HOP NLAN'!E291*'TS-PILE'!$E$73/SUMSQ('TS-PILE'!$E$72:$E$91))+IF(SUMSQ('TS-PILE'!$D$72:$D$91)=0,0,'TO HOP NLAN'!F291*'TS-PILE'!$D$73/SUMSQ('TS-PILE'!$D$72:$D$91))),IF('TS-PILE'!$B$74="",1E+99,'TO HOP NLAN'!D291/ncoc+IF(SUMSQ('TS-PILE'!$E$72:$E$91)=0,0,'TO HOP NLAN'!E291*'TS-PILE'!$E$74/SUMSQ('TS-PILE'!$E$72:$E$91))+IF(SUMSQ('TS-PILE'!$D$72:$D$91)=0,0,'TO HOP NLAN'!F291*'TS-PILE'!$D$74/SUMSQ('TS-PILE'!$D$72:$D$91))),IF('TS-PILE'!$B$75="",1E+99,'TO HOP NLAN'!D291/ncoc+IF(SUMSQ('TS-PILE'!$E$72:$E$91)=0,0,'TO HOP NLAN'!E291*'TS-PILE'!$E$75/SUMSQ('TS-PILE'!$E$72:$E$91))+IF(SUMSQ('TS-PILE'!$D$72:$D$91)=0,0,'TO HOP NLAN'!F291*'TS-PILE'!$D$75/SUMSQ('TS-PILE'!$D$72:$D$91))),IF('TS-PILE'!$B$76="",1E+99,'TO HOP NLAN'!D291/ncoc+IF(SUMSQ('TS-PILE'!$E$72:$E$91)=0,0,'TO HOP NLAN'!E291*'TS-PILE'!$E$76/SUMSQ('TS-PILE'!$E$72:$E$91))+IF(SUMSQ('TS-PILE'!$D$72:$D$91)=0,0,'TO HOP NLAN'!F291*'TS-PILE'!$D$76/SUMSQ('TS-PILE'!$D$72:$D$91))),IF('TS-PILE'!$B$77="",1E+99,'TO HOP NLAN'!D291/ncoc+IF(SUMSQ('TS-PILE'!$E$72:$E$91)=0,0,'TO HOP NLAN'!E291*'TS-PILE'!$E$77/SUMSQ('TS-PILE'!$E$72:$E$91))+IF(SUMSQ('TS-PILE'!$D$72:$D$91)=0,0,'TO HOP NLAN'!F291*'TS-PILE'!$D$77/SUMSQ('TS-PILE'!$D$72:$D$91))),IF('TS-PILE'!$B$78="",1E+99,'TO HOP NLAN'!D291/ncoc+IF(SUMSQ('TS-PILE'!$E$72:$E$91)=0,0,'TO HOP NLAN'!E291*'TS-PILE'!$E$78/SUMSQ('TS-PILE'!$E$72:$E$91))+IF(SUMSQ('TS-PILE'!$D$72:$D$91)=0,0,'TO HOP NLAN'!F291*'TS-PILE'!$D$78/SUMSQ('TS-PILE'!$D$72:$D$91))),IF('TS-PILE'!$B$79="",1E+99,'TO HOP NLAN'!D291/ncoc+IF(SUMSQ('TS-PILE'!$E$72:$E$91)=0,0,'TO HOP NLAN'!E291*'TS-PILE'!$E$79/SUMSQ('TS-PILE'!$E$72:$E$91))+IF(SUMSQ('TS-PILE'!$D$72:$D$91)=0,0,'TO HOP NLAN'!F291*'TS-PILE'!$D$79/SUMSQ('TS-PILE'!$D$72:$D$91))),IF('TS-PILE'!$B$80="",1E+99,'TO HOP NLAN'!D291/ncoc+IF(SUMSQ('TS-PILE'!$E$72:$E$91)=0,0,'TO HOP NLAN'!E291*'TS-PILE'!$E$80/SUMSQ('TS-PILE'!$E$72:$E$91))+IF(SUMSQ('TS-PILE'!$D$72:$D$91)=0,0,'TO HOP NLAN'!F291*'TS-PILE'!$D$80/SUMSQ('TS-PILE'!$D$72:$D$91))),IF('TS-PILE'!$B$81="",1E+99,'TO HOP NLAN'!D291/ncoc+IF(SUMSQ('TS-PILE'!$E$72:$E$91)=0,0,'TO HOP NLAN'!E291*'TS-PILE'!$E$81/SUMSQ('TS-PILE'!$E$72:$E$91))+IF(SUMSQ('TS-PILE'!$D$72:$D$91)=0,0,'TO HOP NLAN'!F291*'TS-PILE'!$D$81/SUMSQ('TS-PILE'!$D$72:$D$91))),IF('TS-PILE'!$B$82="",1E+99,'TO HOP NLAN'!D291/ncoc+IF(SUMSQ('TS-PILE'!$E$72:$E$91)=0,0,'TO HOP NLAN'!E291*'TS-PILE'!$E$82/SUMSQ('TS-PILE'!$E$72:$E$91))+IF(SUMSQ('TS-PILE'!$D$72:$D$91)=0,0,'TO HOP NLAN'!F291*'TS-PILE'!$D$82/SUMSQ('TS-PILE'!$D$72:$D$91))),IF('TS-PILE'!$B$83="",1E+99,'TO HOP NLAN'!D291/ncoc+IF(SUMSQ('TS-PILE'!$E$72:$E$91)=0,0,'TO HOP NLAN'!E291*'TS-PILE'!$E$83/SUMSQ('TS-PILE'!$E$72:$E$91))+IF(SUMSQ('TS-PILE'!$D$72:$D$91)=0,0,'TO HOP NLAN'!F291*'TS-PILE'!$D$83/SUMSQ('TS-PILE'!$D$72:$D$91))),IF('TS-PILE'!$B$84="",1E+99,'TO HOP NLAN'!D291/ncoc+IF(SUMSQ('TS-PILE'!$E$72:$E$91)=0,0,'TO HOP NLAN'!E291*'TS-PILE'!$E$84/SUMSQ('TS-PILE'!$E$72:$E$91))+IF(SUMSQ('TS-PILE'!$D$72:$D$91)=0,0,'TO HOP NLAN'!F291*'TS-PILE'!$D$84/SUMSQ('TS-PILE'!$D$72:$D$91))),IF('TS-PILE'!$B$85="",1E+99,'TO HOP NLAN'!D291/ncoc+IF(SUMSQ('TS-PILE'!$E$72:$E$91)=0,0,'TO HOP NLAN'!E291*'TS-PILE'!$E$85/SUMSQ('TS-PILE'!$E$72:$E$91))+IF(SUMSQ('TS-PILE'!$D$72:$D$91)=0,0,'TO HOP NLAN'!F291*'TS-PILE'!$D$85/SUMSQ('TS-PILE'!$D$72:$D$91))),IF('TS-PILE'!$B$86="",1E+99,'TO HOP NLAN'!D291/ncoc+IF(SUMSQ('TS-PILE'!$E$72:$E$91)=0,0,'TO HOP NLAN'!E291*'TS-PILE'!$E$86/SUMSQ('TS-PILE'!$E$72:$E$91))+IF(SUMSQ('TS-PILE'!$D$72:$D$91)=0,0,'TO HOP NLAN'!F291*'TS-PILE'!$D$86/SUMSQ('TS-PILE'!$D$72:$D$91))),IF('TS-PILE'!$B$87="",1E+99,'TO HOP NLAN'!D291/ncoc+IF(SUMSQ('TS-PILE'!$E$72:$E$91)=0,0,'TO HOP NLAN'!E291*'TS-PILE'!$E$87/SUMSQ('TS-PILE'!$E$72:$E$91))+IF(SUMSQ('TS-PILE'!$D$72:$D$91)=0,0,'TO HOP NLAN'!F291*'TS-PILE'!$D$87/SUMSQ('TS-PILE'!$D$72:$D$91))),IF('TS-PILE'!$B$88="",1E+99,'TO HOP NLAN'!D291/ncoc+IF(SUMSQ('TS-PILE'!$E$72:$E$91)=0,0,'TO HOP NLAN'!E291*'TS-PILE'!$E$88/SUMSQ('TS-PILE'!$E$72:$E$91))+IF(SUMSQ('TS-PILE'!$D$72:$D$91)=0,0,'TO HOP NLAN'!F291*'TS-PILE'!$D$88/SUMSQ('TS-PILE'!$D$72:$D$91))),IF('TS-PILE'!$B$89="",1E+99,'TO HOP NLAN'!D291/ncoc+IF(SUMSQ('TS-PILE'!$E$72:$E$91)=0,0,'TO HOP NLAN'!E291*'TS-PILE'!$E$89/SUMSQ('TS-PILE'!$E$72:$E$91))+IF(SUMSQ('TS-PILE'!$D$72:$D$91)=0,0,'TO HOP NLAN'!F291*'TS-PILE'!$D$89/SUMSQ('TS-PILE'!$D$72:$D$91))),IF('TS-PILE'!$B$90="",1E+99,'TO HOP NLAN'!D291/ncoc+IF(SUMSQ('TS-PILE'!$E$72:$E$91)=0,0,'TO HOP NLAN'!E291*'TS-PILE'!$E$90/SUMSQ('TS-PILE'!$E$72:$E$91))+IF(SUMSQ('TS-PILE'!$D$72:$D$91)=0,0,'TO HOP NLAN'!F291*'TS-PILE'!$D$90/SUMSQ('TS-PILE'!$D$72:$D$91))),IF('TS-PILE'!$B$91="",1E+99,'TO HOP NLAN'!D291/ncoc+IF(SUMSQ('TS-PILE'!$E$72:$E$91)=0,0,'TO HOP NLAN'!E291*'TS-PILE'!$E$91/SUMSQ('TS-PILE'!$E$72:$E$91))+IF(SUMSQ('TS-PILE'!$D$72:$D$91)=0,0,'TO HOP NLAN'!F291*'TS-PILE'!$D$91/SUMSQ('TS-PILE'!$D$72:$D$91)))))</f>
        <v>0</v>
      </c>
      <c r="E291" s="58">
        <f t="shared" si="16"/>
        <v>-9.9999999999999997E+98</v>
      </c>
      <c r="F291" s="58">
        <f t="shared" si="17"/>
        <v>9.9999999999999997E+98</v>
      </c>
      <c r="G291" s="58">
        <f t="shared" si="18"/>
        <v>-9.9999999999999997E+98</v>
      </c>
      <c r="H291" s="58">
        <f t="shared" si="19"/>
        <v>9.9999999999999997E+98</v>
      </c>
    </row>
    <row r="292" spans="1:8" x14ac:dyDescent="0.3">
      <c r="A292" s="42" t="str">
        <f>'TO HOP NLAN'!A292</f>
        <v/>
      </c>
      <c r="B292" s="42" t="str">
        <f>'TO HOP NLAN'!L292</f>
        <v>STRENGTH</v>
      </c>
      <c r="C292" s="58">
        <f>IF(A292="",0,MAX(IF('TS-PILE'!$B$72="",-1E+99,'TO HOP NLAN'!D292/ncoc+IF(SUMSQ('TS-PILE'!$E$72:$E$91)=0,0,'TO HOP NLAN'!E292*'TS-PILE'!$E$72/SUMSQ('TS-PILE'!$E$72:$E$91))+IF(SUMSQ('TS-PILE'!$D$72:$D$91)=0,0,'TO HOP NLAN'!F292*'TS-PILE'!$D$72/SUMSQ('TS-PILE'!$D$72:$D$91))),IF('TS-PILE'!$B$73="",-1E+99,'TO HOP NLAN'!D292/ncoc+IF(SUMSQ('TS-PILE'!$E$72:$E$91)=0,0,'TO HOP NLAN'!E292*'TS-PILE'!$E$73/SUMSQ('TS-PILE'!$E$72:$E$91))+IF(SUMSQ('TS-PILE'!$D$72:$D$91)=0,0,'TO HOP NLAN'!F292*'TS-PILE'!$D$73/SUMSQ('TS-PILE'!$D$72:$D$91))),IF('TS-PILE'!$B$74="",-1E+99,'TO HOP NLAN'!D292/ncoc+IF(SUMSQ('TS-PILE'!$E$72:$E$91)=0,0,'TO HOP NLAN'!E292*'TS-PILE'!$E$74/SUMSQ('TS-PILE'!$E$72:$E$91))+IF(SUMSQ('TS-PILE'!$D$72:$D$91)=0,0,'TO HOP NLAN'!F292*'TS-PILE'!$D$74/SUMSQ('TS-PILE'!$D$72:$D$91))),IF('TS-PILE'!$B$75="",-1E+99,'TO HOP NLAN'!D292/ncoc+IF(SUMSQ('TS-PILE'!$E$72:$E$91)=0,0,'TO HOP NLAN'!E292*'TS-PILE'!$E$75/SUMSQ('TS-PILE'!$E$72:$E$91))+IF(SUMSQ('TS-PILE'!$D$72:$D$91)=0,0,'TO HOP NLAN'!F292*'TS-PILE'!$D$75/SUMSQ('TS-PILE'!$D$72:$D$91))),IF('TS-PILE'!$B$76="",-1E+99,'TO HOP NLAN'!D292/ncoc+IF(SUMSQ('TS-PILE'!$E$72:$E$91)=0,0,'TO HOP NLAN'!E292*'TS-PILE'!$E$76/SUMSQ('TS-PILE'!$E$72:$E$91))+IF(SUMSQ('TS-PILE'!$D$72:$D$91)=0,0,'TO HOP NLAN'!F292*'TS-PILE'!$D$76/SUMSQ('TS-PILE'!$D$72:$D$91))),IF('TS-PILE'!$B$77="",-1E+99,'TO HOP NLAN'!D292/ncoc+IF(SUMSQ('TS-PILE'!$E$72:$E$91)=0,0,'TO HOP NLAN'!E292*'TS-PILE'!$E$77/SUMSQ('TS-PILE'!$E$72:$E$91))+IF(SUMSQ('TS-PILE'!$D$72:$D$91)=0,0,'TO HOP NLAN'!F292*'TS-PILE'!$D$77/SUMSQ('TS-PILE'!$D$72:$D$91))),IF('TS-PILE'!$B$78="",-1E+99,'TO HOP NLAN'!D292/ncoc+IF(SUMSQ('TS-PILE'!$E$72:$E$91)=0,0,'TO HOP NLAN'!E292*'TS-PILE'!$E$78/SUMSQ('TS-PILE'!$E$72:$E$91))+IF(SUMSQ('TS-PILE'!$D$72:$D$91)=0,0,'TO HOP NLAN'!F292*'TS-PILE'!$D$78/SUMSQ('TS-PILE'!$D$72:$D$91))),IF('TS-PILE'!$B$79="",-1E+99,'TO HOP NLAN'!D292/ncoc+IF(SUMSQ('TS-PILE'!$E$72:$E$91)=0,0,'TO HOP NLAN'!E292*'TS-PILE'!$E$79/SUMSQ('TS-PILE'!$E$72:$E$91))+IF(SUMSQ('TS-PILE'!$D$72:$D$91)=0,0,'TO HOP NLAN'!F292*'TS-PILE'!$D$79/SUMSQ('TS-PILE'!$D$72:$D$91))),IF('TS-PILE'!$B$80="",-1E+99,'TO HOP NLAN'!D292/ncoc+IF(SUMSQ('TS-PILE'!$E$72:$E$91)=0,0,'TO HOP NLAN'!E292*'TS-PILE'!$E$80/SUMSQ('TS-PILE'!$E$72:$E$91))+IF(SUMSQ('TS-PILE'!$D$72:$D$91)=0,0,'TO HOP NLAN'!F292*'TS-PILE'!$D$80/SUMSQ('TS-PILE'!$D$72:$D$91))),IF('TS-PILE'!$B$81="",-1E+99,'TO HOP NLAN'!D292/ncoc+IF(SUMSQ('TS-PILE'!$E$72:$E$91)=0,0,'TO HOP NLAN'!E292*'TS-PILE'!$E$81/SUMSQ('TS-PILE'!$E$72:$E$91))+IF(SUMSQ('TS-PILE'!$D$72:$D$91)=0,0,'TO HOP NLAN'!F292*'TS-PILE'!$D$81/SUMSQ('TS-PILE'!$D$72:$D$91))),IF('TS-PILE'!$B$82="",-1E+99,'TO HOP NLAN'!D292/ncoc+IF(SUMSQ('TS-PILE'!$E$72:$E$91)=0,0,'TO HOP NLAN'!E292*'TS-PILE'!$E$82/SUMSQ('TS-PILE'!$E$72:$E$91))+IF(SUMSQ('TS-PILE'!$D$72:$D$91)=0,0,'TO HOP NLAN'!F292*'TS-PILE'!$D$82/SUMSQ('TS-PILE'!$D$72:$D$91))),IF('TS-PILE'!$B$83="",-1E+99,'TO HOP NLAN'!D292/ncoc+IF(SUMSQ('TS-PILE'!$E$72:$E$91)=0,0,'TO HOP NLAN'!E292*'TS-PILE'!$E$83/SUMSQ('TS-PILE'!$E$72:$E$91))+IF(SUMSQ('TS-PILE'!$D$72:$D$91)=0,0,'TO HOP NLAN'!F292*'TS-PILE'!$D$83/SUMSQ('TS-PILE'!$D$72:$D$91))),IF('TS-PILE'!$B$84="",-1E+99,'TO HOP NLAN'!D292/ncoc+IF(SUMSQ('TS-PILE'!$E$72:$E$91)=0,0,'TO HOP NLAN'!E292*'TS-PILE'!$E$84/SUMSQ('TS-PILE'!$E$72:$E$91))+IF(SUMSQ('TS-PILE'!$D$72:$D$91)=0,0,'TO HOP NLAN'!F292*'TS-PILE'!$D$84/SUMSQ('TS-PILE'!$D$72:$D$91))),IF('TS-PILE'!$B$85="",-1E+99,'TO HOP NLAN'!D292/ncoc+IF(SUMSQ('TS-PILE'!$E$72:$E$91)=0,0,'TO HOP NLAN'!E292*'TS-PILE'!$E$85/SUMSQ('TS-PILE'!$E$72:$E$91))+IF(SUMSQ('TS-PILE'!$D$72:$D$91)=0,0,'TO HOP NLAN'!F292*'TS-PILE'!$D$85/SUMSQ('TS-PILE'!$D$72:$D$91))),IF('TS-PILE'!$B$86="",-1E+99,'TO HOP NLAN'!D292/ncoc+IF(SUMSQ('TS-PILE'!$E$72:$E$91)=0,0,'TO HOP NLAN'!E292*'TS-PILE'!$E$86/SUMSQ('TS-PILE'!$E$72:$E$91))+IF(SUMSQ('TS-PILE'!$D$72:$D$91)=0,0,'TO HOP NLAN'!F292*'TS-PILE'!$D$86/SUMSQ('TS-PILE'!$D$72:$D$91))),IF('TS-PILE'!$B$87="",-1E+99,'TO HOP NLAN'!D292/ncoc+IF(SUMSQ('TS-PILE'!$E$72:$E$91)=0,0,'TO HOP NLAN'!E292*'TS-PILE'!$E$87/SUMSQ('TS-PILE'!$E$72:$E$91))+IF(SUMSQ('TS-PILE'!$D$72:$D$91)=0,0,'TO HOP NLAN'!F292*'TS-PILE'!$D$87/SUMSQ('TS-PILE'!$D$72:$D$91))),IF('TS-PILE'!$B$88="",-1E+99,'TO HOP NLAN'!D292/ncoc+IF(SUMSQ('TS-PILE'!$E$72:$E$91)=0,0,'TO HOP NLAN'!E292*'TS-PILE'!$E$88/SUMSQ('TS-PILE'!$E$72:$E$91))+IF(SUMSQ('TS-PILE'!$D$72:$D$91)=0,0,'TO HOP NLAN'!F292*'TS-PILE'!$D$88/SUMSQ('TS-PILE'!$D$72:$D$91))),IF('TS-PILE'!$B$89="",-1E+99,'TO HOP NLAN'!D292/ncoc+IF(SUMSQ('TS-PILE'!$E$72:$E$91)=0,0,'TO HOP NLAN'!E292*'TS-PILE'!$E$89/SUMSQ('TS-PILE'!$E$72:$E$91))+IF(SUMSQ('TS-PILE'!$D$72:$D$91)=0,0,'TO HOP NLAN'!F292*'TS-PILE'!$D$89/SUMSQ('TS-PILE'!$D$72:$D$91))),IF('TS-PILE'!$B$90="",-1E+99,'TO HOP NLAN'!D292/ncoc+IF(SUMSQ('TS-PILE'!$E$72:$E$91)=0,0,'TO HOP NLAN'!E292*'TS-PILE'!$E$90/SUMSQ('TS-PILE'!$E$72:$E$91))+IF(SUMSQ('TS-PILE'!$D$72:$D$91)=0,0,'TO HOP NLAN'!F292*'TS-PILE'!$D$90/SUMSQ('TS-PILE'!$D$72:$D$91))),IF('TS-PILE'!$B$91="",-1E+99,'TO HOP NLAN'!D292/ncoc+IF(SUMSQ('TS-PILE'!$E$72:$E$91)=0,0,'TO HOP NLAN'!E292*'TS-PILE'!$E$91/SUMSQ('TS-PILE'!$E$72:$E$91))+IF(SUMSQ('TS-PILE'!$D$72:$D$91)=0,0,'TO HOP NLAN'!F292*'TS-PILE'!$D$91/SUMSQ('TS-PILE'!$D$72:$D$91)))))</f>
        <v>0</v>
      </c>
      <c r="D292" s="58">
        <f>IF(A292="",0,MIN(IF('TS-PILE'!$B$72="",1E+99,'TO HOP NLAN'!D292/ncoc+IF(SUMSQ('TS-PILE'!$E$72:$E$91)=0,0,'TO HOP NLAN'!E292*'TS-PILE'!$E$72/SUMSQ('TS-PILE'!$E$72:$E$91))+IF(SUMSQ('TS-PILE'!$D$72:$D$91)=0,0,'TO HOP NLAN'!F292*'TS-PILE'!$D$72/SUMSQ('TS-PILE'!$D$72:$D$91))),IF('TS-PILE'!$B$73="",1E+99,'TO HOP NLAN'!D292/ncoc+IF(SUMSQ('TS-PILE'!$E$72:$E$91)=0,0,'TO HOP NLAN'!E292*'TS-PILE'!$E$73/SUMSQ('TS-PILE'!$E$72:$E$91))+IF(SUMSQ('TS-PILE'!$D$72:$D$91)=0,0,'TO HOP NLAN'!F292*'TS-PILE'!$D$73/SUMSQ('TS-PILE'!$D$72:$D$91))),IF('TS-PILE'!$B$74="",1E+99,'TO HOP NLAN'!D292/ncoc+IF(SUMSQ('TS-PILE'!$E$72:$E$91)=0,0,'TO HOP NLAN'!E292*'TS-PILE'!$E$74/SUMSQ('TS-PILE'!$E$72:$E$91))+IF(SUMSQ('TS-PILE'!$D$72:$D$91)=0,0,'TO HOP NLAN'!F292*'TS-PILE'!$D$74/SUMSQ('TS-PILE'!$D$72:$D$91))),IF('TS-PILE'!$B$75="",1E+99,'TO HOP NLAN'!D292/ncoc+IF(SUMSQ('TS-PILE'!$E$72:$E$91)=0,0,'TO HOP NLAN'!E292*'TS-PILE'!$E$75/SUMSQ('TS-PILE'!$E$72:$E$91))+IF(SUMSQ('TS-PILE'!$D$72:$D$91)=0,0,'TO HOP NLAN'!F292*'TS-PILE'!$D$75/SUMSQ('TS-PILE'!$D$72:$D$91))),IF('TS-PILE'!$B$76="",1E+99,'TO HOP NLAN'!D292/ncoc+IF(SUMSQ('TS-PILE'!$E$72:$E$91)=0,0,'TO HOP NLAN'!E292*'TS-PILE'!$E$76/SUMSQ('TS-PILE'!$E$72:$E$91))+IF(SUMSQ('TS-PILE'!$D$72:$D$91)=0,0,'TO HOP NLAN'!F292*'TS-PILE'!$D$76/SUMSQ('TS-PILE'!$D$72:$D$91))),IF('TS-PILE'!$B$77="",1E+99,'TO HOP NLAN'!D292/ncoc+IF(SUMSQ('TS-PILE'!$E$72:$E$91)=0,0,'TO HOP NLAN'!E292*'TS-PILE'!$E$77/SUMSQ('TS-PILE'!$E$72:$E$91))+IF(SUMSQ('TS-PILE'!$D$72:$D$91)=0,0,'TO HOP NLAN'!F292*'TS-PILE'!$D$77/SUMSQ('TS-PILE'!$D$72:$D$91))),IF('TS-PILE'!$B$78="",1E+99,'TO HOP NLAN'!D292/ncoc+IF(SUMSQ('TS-PILE'!$E$72:$E$91)=0,0,'TO HOP NLAN'!E292*'TS-PILE'!$E$78/SUMSQ('TS-PILE'!$E$72:$E$91))+IF(SUMSQ('TS-PILE'!$D$72:$D$91)=0,0,'TO HOP NLAN'!F292*'TS-PILE'!$D$78/SUMSQ('TS-PILE'!$D$72:$D$91))),IF('TS-PILE'!$B$79="",1E+99,'TO HOP NLAN'!D292/ncoc+IF(SUMSQ('TS-PILE'!$E$72:$E$91)=0,0,'TO HOP NLAN'!E292*'TS-PILE'!$E$79/SUMSQ('TS-PILE'!$E$72:$E$91))+IF(SUMSQ('TS-PILE'!$D$72:$D$91)=0,0,'TO HOP NLAN'!F292*'TS-PILE'!$D$79/SUMSQ('TS-PILE'!$D$72:$D$91))),IF('TS-PILE'!$B$80="",1E+99,'TO HOP NLAN'!D292/ncoc+IF(SUMSQ('TS-PILE'!$E$72:$E$91)=0,0,'TO HOP NLAN'!E292*'TS-PILE'!$E$80/SUMSQ('TS-PILE'!$E$72:$E$91))+IF(SUMSQ('TS-PILE'!$D$72:$D$91)=0,0,'TO HOP NLAN'!F292*'TS-PILE'!$D$80/SUMSQ('TS-PILE'!$D$72:$D$91))),IF('TS-PILE'!$B$81="",1E+99,'TO HOP NLAN'!D292/ncoc+IF(SUMSQ('TS-PILE'!$E$72:$E$91)=0,0,'TO HOP NLAN'!E292*'TS-PILE'!$E$81/SUMSQ('TS-PILE'!$E$72:$E$91))+IF(SUMSQ('TS-PILE'!$D$72:$D$91)=0,0,'TO HOP NLAN'!F292*'TS-PILE'!$D$81/SUMSQ('TS-PILE'!$D$72:$D$91))),IF('TS-PILE'!$B$82="",1E+99,'TO HOP NLAN'!D292/ncoc+IF(SUMSQ('TS-PILE'!$E$72:$E$91)=0,0,'TO HOP NLAN'!E292*'TS-PILE'!$E$82/SUMSQ('TS-PILE'!$E$72:$E$91))+IF(SUMSQ('TS-PILE'!$D$72:$D$91)=0,0,'TO HOP NLAN'!F292*'TS-PILE'!$D$82/SUMSQ('TS-PILE'!$D$72:$D$91))),IF('TS-PILE'!$B$83="",1E+99,'TO HOP NLAN'!D292/ncoc+IF(SUMSQ('TS-PILE'!$E$72:$E$91)=0,0,'TO HOP NLAN'!E292*'TS-PILE'!$E$83/SUMSQ('TS-PILE'!$E$72:$E$91))+IF(SUMSQ('TS-PILE'!$D$72:$D$91)=0,0,'TO HOP NLAN'!F292*'TS-PILE'!$D$83/SUMSQ('TS-PILE'!$D$72:$D$91))),IF('TS-PILE'!$B$84="",1E+99,'TO HOP NLAN'!D292/ncoc+IF(SUMSQ('TS-PILE'!$E$72:$E$91)=0,0,'TO HOP NLAN'!E292*'TS-PILE'!$E$84/SUMSQ('TS-PILE'!$E$72:$E$91))+IF(SUMSQ('TS-PILE'!$D$72:$D$91)=0,0,'TO HOP NLAN'!F292*'TS-PILE'!$D$84/SUMSQ('TS-PILE'!$D$72:$D$91))),IF('TS-PILE'!$B$85="",1E+99,'TO HOP NLAN'!D292/ncoc+IF(SUMSQ('TS-PILE'!$E$72:$E$91)=0,0,'TO HOP NLAN'!E292*'TS-PILE'!$E$85/SUMSQ('TS-PILE'!$E$72:$E$91))+IF(SUMSQ('TS-PILE'!$D$72:$D$91)=0,0,'TO HOP NLAN'!F292*'TS-PILE'!$D$85/SUMSQ('TS-PILE'!$D$72:$D$91))),IF('TS-PILE'!$B$86="",1E+99,'TO HOP NLAN'!D292/ncoc+IF(SUMSQ('TS-PILE'!$E$72:$E$91)=0,0,'TO HOP NLAN'!E292*'TS-PILE'!$E$86/SUMSQ('TS-PILE'!$E$72:$E$91))+IF(SUMSQ('TS-PILE'!$D$72:$D$91)=0,0,'TO HOP NLAN'!F292*'TS-PILE'!$D$86/SUMSQ('TS-PILE'!$D$72:$D$91))),IF('TS-PILE'!$B$87="",1E+99,'TO HOP NLAN'!D292/ncoc+IF(SUMSQ('TS-PILE'!$E$72:$E$91)=0,0,'TO HOP NLAN'!E292*'TS-PILE'!$E$87/SUMSQ('TS-PILE'!$E$72:$E$91))+IF(SUMSQ('TS-PILE'!$D$72:$D$91)=0,0,'TO HOP NLAN'!F292*'TS-PILE'!$D$87/SUMSQ('TS-PILE'!$D$72:$D$91))),IF('TS-PILE'!$B$88="",1E+99,'TO HOP NLAN'!D292/ncoc+IF(SUMSQ('TS-PILE'!$E$72:$E$91)=0,0,'TO HOP NLAN'!E292*'TS-PILE'!$E$88/SUMSQ('TS-PILE'!$E$72:$E$91))+IF(SUMSQ('TS-PILE'!$D$72:$D$91)=0,0,'TO HOP NLAN'!F292*'TS-PILE'!$D$88/SUMSQ('TS-PILE'!$D$72:$D$91))),IF('TS-PILE'!$B$89="",1E+99,'TO HOP NLAN'!D292/ncoc+IF(SUMSQ('TS-PILE'!$E$72:$E$91)=0,0,'TO HOP NLAN'!E292*'TS-PILE'!$E$89/SUMSQ('TS-PILE'!$E$72:$E$91))+IF(SUMSQ('TS-PILE'!$D$72:$D$91)=0,0,'TO HOP NLAN'!F292*'TS-PILE'!$D$89/SUMSQ('TS-PILE'!$D$72:$D$91))),IF('TS-PILE'!$B$90="",1E+99,'TO HOP NLAN'!D292/ncoc+IF(SUMSQ('TS-PILE'!$E$72:$E$91)=0,0,'TO HOP NLAN'!E292*'TS-PILE'!$E$90/SUMSQ('TS-PILE'!$E$72:$E$91))+IF(SUMSQ('TS-PILE'!$D$72:$D$91)=0,0,'TO HOP NLAN'!F292*'TS-PILE'!$D$90/SUMSQ('TS-PILE'!$D$72:$D$91))),IF('TS-PILE'!$B$91="",1E+99,'TO HOP NLAN'!D292/ncoc+IF(SUMSQ('TS-PILE'!$E$72:$E$91)=0,0,'TO HOP NLAN'!E292*'TS-PILE'!$E$91/SUMSQ('TS-PILE'!$E$72:$E$91))+IF(SUMSQ('TS-PILE'!$D$72:$D$91)=0,0,'TO HOP NLAN'!F292*'TS-PILE'!$D$91/SUMSQ('TS-PILE'!$D$72:$D$91)))))</f>
        <v>0</v>
      </c>
      <c r="E292" s="58">
        <f t="shared" si="16"/>
        <v>-9.9999999999999997E+98</v>
      </c>
      <c r="F292" s="58">
        <f t="shared" si="17"/>
        <v>9.9999999999999997E+98</v>
      </c>
      <c r="G292" s="58">
        <f t="shared" si="18"/>
        <v>-9.9999999999999997E+98</v>
      </c>
      <c r="H292" s="58">
        <f t="shared" si="19"/>
        <v>9.9999999999999997E+98</v>
      </c>
    </row>
    <row r="293" spans="1:8" x14ac:dyDescent="0.3">
      <c r="A293" s="42" t="str">
        <f>'TO HOP NLAN'!A293</f>
        <v/>
      </c>
      <c r="B293" s="42" t="str">
        <f>'TO HOP NLAN'!L293</f>
        <v>STRENGTH</v>
      </c>
      <c r="C293" s="58">
        <f>IF(A293="",0,MAX(IF('TS-PILE'!$B$72="",-1E+99,'TO HOP NLAN'!D293/ncoc+IF(SUMSQ('TS-PILE'!$E$72:$E$91)=0,0,'TO HOP NLAN'!E293*'TS-PILE'!$E$72/SUMSQ('TS-PILE'!$E$72:$E$91))+IF(SUMSQ('TS-PILE'!$D$72:$D$91)=0,0,'TO HOP NLAN'!F293*'TS-PILE'!$D$72/SUMSQ('TS-PILE'!$D$72:$D$91))),IF('TS-PILE'!$B$73="",-1E+99,'TO HOP NLAN'!D293/ncoc+IF(SUMSQ('TS-PILE'!$E$72:$E$91)=0,0,'TO HOP NLAN'!E293*'TS-PILE'!$E$73/SUMSQ('TS-PILE'!$E$72:$E$91))+IF(SUMSQ('TS-PILE'!$D$72:$D$91)=0,0,'TO HOP NLAN'!F293*'TS-PILE'!$D$73/SUMSQ('TS-PILE'!$D$72:$D$91))),IF('TS-PILE'!$B$74="",-1E+99,'TO HOP NLAN'!D293/ncoc+IF(SUMSQ('TS-PILE'!$E$72:$E$91)=0,0,'TO HOP NLAN'!E293*'TS-PILE'!$E$74/SUMSQ('TS-PILE'!$E$72:$E$91))+IF(SUMSQ('TS-PILE'!$D$72:$D$91)=0,0,'TO HOP NLAN'!F293*'TS-PILE'!$D$74/SUMSQ('TS-PILE'!$D$72:$D$91))),IF('TS-PILE'!$B$75="",-1E+99,'TO HOP NLAN'!D293/ncoc+IF(SUMSQ('TS-PILE'!$E$72:$E$91)=0,0,'TO HOP NLAN'!E293*'TS-PILE'!$E$75/SUMSQ('TS-PILE'!$E$72:$E$91))+IF(SUMSQ('TS-PILE'!$D$72:$D$91)=0,0,'TO HOP NLAN'!F293*'TS-PILE'!$D$75/SUMSQ('TS-PILE'!$D$72:$D$91))),IF('TS-PILE'!$B$76="",-1E+99,'TO HOP NLAN'!D293/ncoc+IF(SUMSQ('TS-PILE'!$E$72:$E$91)=0,0,'TO HOP NLAN'!E293*'TS-PILE'!$E$76/SUMSQ('TS-PILE'!$E$72:$E$91))+IF(SUMSQ('TS-PILE'!$D$72:$D$91)=0,0,'TO HOP NLAN'!F293*'TS-PILE'!$D$76/SUMSQ('TS-PILE'!$D$72:$D$91))),IF('TS-PILE'!$B$77="",-1E+99,'TO HOP NLAN'!D293/ncoc+IF(SUMSQ('TS-PILE'!$E$72:$E$91)=0,0,'TO HOP NLAN'!E293*'TS-PILE'!$E$77/SUMSQ('TS-PILE'!$E$72:$E$91))+IF(SUMSQ('TS-PILE'!$D$72:$D$91)=0,0,'TO HOP NLAN'!F293*'TS-PILE'!$D$77/SUMSQ('TS-PILE'!$D$72:$D$91))),IF('TS-PILE'!$B$78="",-1E+99,'TO HOP NLAN'!D293/ncoc+IF(SUMSQ('TS-PILE'!$E$72:$E$91)=0,0,'TO HOP NLAN'!E293*'TS-PILE'!$E$78/SUMSQ('TS-PILE'!$E$72:$E$91))+IF(SUMSQ('TS-PILE'!$D$72:$D$91)=0,0,'TO HOP NLAN'!F293*'TS-PILE'!$D$78/SUMSQ('TS-PILE'!$D$72:$D$91))),IF('TS-PILE'!$B$79="",-1E+99,'TO HOP NLAN'!D293/ncoc+IF(SUMSQ('TS-PILE'!$E$72:$E$91)=0,0,'TO HOP NLAN'!E293*'TS-PILE'!$E$79/SUMSQ('TS-PILE'!$E$72:$E$91))+IF(SUMSQ('TS-PILE'!$D$72:$D$91)=0,0,'TO HOP NLAN'!F293*'TS-PILE'!$D$79/SUMSQ('TS-PILE'!$D$72:$D$91))),IF('TS-PILE'!$B$80="",-1E+99,'TO HOP NLAN'!D293/ncoc+IF(SUMSQ('TS-PILE'!$E$72:$E$91)=0,0,'TO HOP NLAN'!E293*'TS-PILE'!$E$80/SUMSQ('TS-PILE'!$E$72:$E$91))+IF(SUMSQ('TS-PILE'!$D$72:$D$91)=0,0,'TO HOP NLAN'!F293*'TS-PILE'!$D$80/SUMSQ('TS-PILE'!$D$72:$D$91))),IF('TS-PILE'!$B$81="",-1E+99,'TO HOP NLAN'!D293/ncoc+IF(SUMSQ('TS-PILE'!$E$72:$E$91)=0,0,'TO HOP NLAN'!E293*'TS-PILE'!$E$81/SUMSQ('TS-PILE'!$E$72:$E$91))+IF(SUMSQ('TS-PILE'!$D$72:$D$91)=0,0,'TO HOP NLAN'!F293*'TS-PILE'!$D$81/SUMSQ('TS-PILE'!$D$72:$D$91))),IF('TS-PILE'!$B$82="",-1E+99,'TO HOP NLAN'!D293/ncoc+IF(SUMSQ('TS-PILE'!$E$72:$E$91)=0,0,'TO HOP NLAN'!E293*'TS-PILE'!$E$82/SUMSQ('TS-PILE'!$E$72:$E$91))+IF(SUMSQ('TS-PILE'!$D$72:$D$91)=0,0,'TO HOP NLAN'!F293*'TS-PILE'!$D$82/SUMSQ('TS-PILE'!$D$72:$D$91))),IF('TS-PILE'!$B$83="",-1E+99,'TO HOP NLAN'!D293/ncoc+IF(SUMSQ('TS-PILE'!$E$72:$E$91)=0,0,'TO HOP NLAN'!E293*'TS-PILE'!$E$83/SUMSQ('TS-PILE'!$E$72:$E$91))+IF(SUMSQ('TS-PILE'!$D$72:$D$91)=0,0,'TO HOP NLAN'!F293*'TS-PILE'!$D$83/SUMSQ('TS-PILE'!$D$72:$D$91))),IF('TS-PILE'!$B$84="",-1E+99,'TO HOP NLAN'!D293/ncoc+IF(SUMSQ('TS-PILE'!$E$72:$E$91)=0,0,'TO HOP NLAN'!E293*'TS-PILE'!$E$84/SUMSQ('TS-PILE'!$E$72:$E$91))+IF(SUMSQ('TS-PILE'!$D$72:$D$91)=0,0,'TO HOP NLAN'!F293*'TS-PILE'!$D$84/SUMSQ('TS-PILE'!$D$72:$D$91))),IF('TS-PILE'!$B$85="",-1E+99,'TO HOP NLAN'!D293/ncoc+IF(SUMSQ('TS-PILE'!$E$72:$E$91)=0,0,'TO HOP NLAN'!E293*'TS-PILE'!$E$85/SUMSQ('TS-PILE'!$E$72:$E$91))+IF(SUMSQ('TS-PILE'!$D$72:$D$91)=0,0,'TO HOP NLAN'!F293*'TS-PILE'!$D$85/SUMSQ('TS-PILE'!$D$72:$D$91))),IF('TS-PILE'!$B$86="",-1E+99,'TO HOP NLAN'!D293/ncoc+IF(SUMSQ('TS-PILE'!$E$72:$E$91)=0,0,'TO HOP NLAN'!E293*'TS-PILE'!$E$86/SUMSQ('TS-PILE'!$E$72:$E$91))+IF(SUMSQ('TS-PILE'!$D$72:$D$91)=0,0,'TO HOP NLAN'!F293*'TS-PILE'!$D$86/SUMSQ('TS-PILE'!$D$72:$D$91))),IF('TS-PILE'!$B$87="",-1E+99,'TO HOP NLAN'!D293/ncoc+IF(SUMSQ('TS-PILE'!$E$72:$E$91)=0,0,'TO HOP NLAN'!E293*'TS-PILE'!$E$87/SUMSQ('TS-PILE'!$E$72:$E$91))+IF(SUMSQ('TS-PILE'!$D$72:$D$91)=0,0,'TO HOP NLAN'!F293*'TS-PILE'!$D$87/SUMSQ('TS-PILE'!$D$72:$D$91))),IF('TS-PILE'!$B$88="",-1E+99,'TO HOP NLAN'!D293/ncoc+IF(SUMSQ('TS-PILE'!$E$72:$E$91)=0,0,'TO HOP NLAN'!E293*'TS-PILE'!$E$88/SUMSQ('TS-PILE'!$E$72:$E$91))+IF(SUMSQ('TS-PILE'!$D$72:$D$91)=0,0,'TO HOP NLAN'!F293*'TS-PILE'!$D$88/SUMSQ('TS-PILE'!$D$72:$D$91))),IF('TS-PILE'!$B$89="",-1E+99,'TO HOP NLAN'!D293/ncoc+IF(SUMSQ('TS-PILE'!$E$72:$E$91)=0,0,'TO HOP NLAN'!E293*'TS-PILE'!$E$89/SUMSQ('TS-PILE'!$E$72:$E$91))+IF(SUMSQ('TS-PILE'!$D$72:$D$91)=0,0,'TO HOP NLAN'!F293*'TS-PILE'!$D$89/SUMSQ('TS-PILE'!$D$72:$D$91))),IF('TS-PILE'!$B$90="",-1E+99,'TO HOP NLAN'!D293/ncoc+IF(SUMSQ('TS-PILE'!$E$72:$E$91)=0,0,'TO HOP NLAN'!E293*'TS-PILE'!$E$90/SUMSQ('TS-PILE'!$E$72:$E$91))+IF(SUMSQ('TS-PILE'!$D$72:$D$91)=0,0,'TO HOP NLAN'!F293*'TS-PILE'!$D$90/SUMSQ('TS-PILE'!$D$72:$D$91))),IF('TS-PILE'!$B$91="",-1E+99,'TO HOP NLAN'!D293/ncoc+IF(SUMSQ('TS-PILE'!$E$72:$E$91)=0,0,'TO HOP NLAN'!E293*'TS-PILE'!$E$91/SUMSQ('TS-PILE'!$E$72:$E$91))+IF(SUMSQ('TS-PILE'!$D$72:$D$91)=0,0,'TO HOP NLAN'!F293*'TS-PILE'!$D$91/SUMSQ('TS-PILE'!$D$72:$D$91)))))</f>
        <v>0</v>
      </c>
      <c r="D293" s="58">
        <f>IF(A293="",0,MIN(IF('TS-PILE'!$B$72="",1E+99,'TO HOP NLAN'!D293/ncoc+IF(SUMSQ('TS-PILE'!$E$72:$E$91)=0,0,'TO HOP NLAN'!E293*'TS-PILE'!$E$72/SUMSQ('TS-PILE'!$E$72:$E$91))+IF(SUMSQ('TS-PILE'!$D$72:$D$91)=0,0,'TO HOP NLAN'!F293*'TS-PILE'!$D$72/SUMSQ('TS-PILE'!$D$72:$D$91))),IF('TS-PILE'!$B$73="",1E+99,'TO HOP NLAN'!D293/ncoc+IF(SUMSQ('TS-PILE'!$E$72:$E$91)=0,0,'TO HOP NLAN'!E293*'TS-PILE'!$E$73/SUMSQ('TS-PILE'!$E$72:$E$91))+IF(SUMSQ('TS-PILE'!$D$72:$D$91)=0,0,'TO HOP NLAN'!F293*'TS-PILE'!$D$73/SUMSQ('TS-PILE'!$D$72:$D$91))),IF('TS-PILE'!$B$74="",1E+99,'TO HOP NLAN'!D293/ncoc+IF(SUMSQ('TS-PILE'!$E$72:$E$91)=0,0,'TO HOP NLAN'!E293*'TS-PILE'!$E$74/SUMSQ('TS-PILE'!$E$72:$E$91))+IF(SUMSQ('TS-PILE'!$D$72:$D$91)=0,0,'TO HOP NLAN'!F293*'TS-PILE'!$D$74/SUMSQ('TS-PILE'!$D$72:$D$91))),IF('TS-PILE'!$B$75="",1E+99,'TO HOP NLAN'!D293/ncoc+IF(SUMSQ('TS-PILE'!$E$72:$E$91)=0,0,'TO HOP NLAN'!E293*'TS-PILE'!$E$75/SUMSQ('TS-PILE'!$E$72:$E$91))+IF(SUMSQ('TS-PILE'!$D$72:$D$91)=0,0,'TO HOP NLAN'!F293*'TS-PILE'!$D$75/SUMSQ('TS-PILE'!$D$72:$D$91))),IF('TS-PILE'!$B$76="",1E+99,'TO HOP NLAN'!D293/ncoc+IF(SUMSQ('TS-PILE'!$E$72:$E$91)=0,0,'TO HOP NLAN'!E293*'TS-PILE'!$E$76/SUMSQ('TS-PILE'!$E$72:$E$91))+IF(SUMSQ('TS-PILE'!$D$72:$D$91)=0,0,'TO HOP NLAN'!F293*'TS-PILE'!$D$76/SUMSQ('TS-PILE'!$D$72:$D$91))),IF('TS-PILE'!$B$77="",1E+99,'TO HOP NLAN'!D293/ncoc+IF(SUMSQ('TS-PILE'!$E$72:$E$91)=0,0,'TO HOP NLAN'!E293*'TS-PILE'!$E$77/SUMSQ('TS-PILE'!$E$72:$E$91))+IF(SUMSQ('TS-PILE'!$D$72:$D$91)=0,0,'TO HOP NLAN'!F293*'TS-PILE'!$D$77/SUMSQ('TS-PILE'!$D$72:$D$91))),IF('TS-PILE'!$B$78="",1E+99,'TO HOP NLAN'!D293/ncoc+IF(SUMSQ('TS-PILE'!$E$72:$E$91)=0,0,'TO HOP NLAN'!E293*'TS-PILE'!$E$78/SUMSQ('TS-PILE'!$E$72:$E$91))+IF(SUMSQ('TS-PILE'!$D$72:$D$91)=0,0,'TO HOP NLAN'!F293*'TS-PILE'!$D$78/SUMSQ('TS-PILE'!$D$72:$D$91))),IF('TS-PILE'!$B$79="",1E+99,'TO HOP NLAN'!D293/ncoc+IF(SUMSQ('TS-PILE'!$E$72:$E$91)=0,0,'TO HOP NLAN'!E293*'TS-PILE'!$E$79/SUMSQ('TS-PILE'!$E$72:$E$91))+IF(SUMSQ('TS-PILE'!$D$72:$D$91)=0,0,'TO HOP NLAN'!F293*'TS-PILE'!$D$79/SUMSQ('TS-PILE'!$D$72:$D$91))),IF('TS-PILE'!$B$80="",1E+99,'TO HOP NLAN'!D293/ncoc+IF(SUMSQ('TS-PILE'!$E$72:$E$91)=0,0,'TO HOP NLAN'!E293*'TS-PILE'!$E$80/SUMSQ('TS-PILE'!$E$72:$E$91))+IF(SUMSQ('TS-PILE'!$D$72:$D$91)=0,0,'TO HOP NLAN'!F293*'TS-PILE'!$D$80/SUMSQ('TS-PILE'!$D$72:$D$91))),IF('TS-PILE'!$B$81="",1E+99,'TO HOP NLAN'!D293/ncoc+IF(SUMSQ('TS-PILE'!$E$72:$E$91)=0,0,'TO HOP NLAN'!E293*'TS-PILE'!$E$81/SUMSQ('TS-PILE'!$E$72:$E$91))+IF(SUMSQ('TS-PILE'!$D$72:$D$91)=0,0,'TO HOP NLAN'!F293*'TS-PILE'!$D$81/SUMSQ('TS-PILE'!$D$72:$D$91))),IF('TS-PILE'!$B$82="",1E+99,'TO HOP NLAN'!D293/ncoc+IF(SUMSQ('TS-PILE'!$E$72:$E$91)=0,0,'TO HOP NLAN'!E293*'TS-PILE'!$E$82/SUMSQ('TS-PILE'!$E$72:$E$91))+IF(SUMSQ('TS-PILE'!$D$72:$D$91)=0,0,'TO HOP NLAN'!F293*'TS-PILE'!$D$82/SUMSQ('TS-PILE'!$D$72:$D$91))),IF('TS-PILE'!$B$83="",1E+99,'TO HOP NLAN'!D293/ncoc+IF(SUMSQ('TS-PILE'!$E$72:$E$91)=0,0,'TO HOP NLAN'!E293*'TS-PILE'!$E$83/SUMSQ('TS-PILE'!$E$72:$E$91))+IF(SUMSQ('TS-PILE'!$D$72:$D$91)=0,0,'TO HOP NLAN'!F293*'TS-PILE'!$D$83/SUMSQ('TS-PILE'!$D$72:$D$91))),IF('TS-PILE'!$B$84="",1E+99,'TO HOP NLAN'!D293/ncoc+IF(SUMSQ('TS-PILE'!$E$72:$E$91)=0,0,'TO HOP NLAN'!E293*'TS-PILE'!$E$84/SUMSQ('TS-PILE'!$E$72:$E$91))+IF(SUMSQ('TS-PILE'!$D$72:$D$91)=0,0,'TO HOP NLAN'!F293*'TS-PILE'!$D$84/SUMSQ('TS-PILE'!$D$72:$D$91))),IF('TS-PILE'!$B$85="",1E+99,'TO HOP NLAN'!D293/ncoc+IF(SUMSQ('TS-PILE'!$E$72:$E$91)=0,0,'TO HOP NLAN'!E293*'TS-PILE'!$E$85/SUMSQ('TS-PILE'!$E$72:$E$91))+IF(SUMSQ('TS-PILE'!$D$72:$D$91)=0,0,'TO HOP NLAN'!F293*'TS-PILE'!$D$85/SUMSQ('TS-PILE'!$D$72:$D$91))),IF('TS-PILE'!$B$86="",1E+99,'TO HOP NLAN'!D293/ncoc+IF(SUMSQ('TS-PILE'!$E$72:$E$91)=0,0,'TO HOP NLAN'!E293*'TS-PILE'!$E$86/SUMSQ('TS-PILE'!$E$72:$E$91))+IF(SUMSQ('TS-PILE'!$D$72:$D$91)=0,0,'TO HOP NLAN'!F293*'TS-PILE'!$D$86/SUMSQ('TS-PILE'!$D$72:$D$91))),IF('TS-PILE'!$B$87="",1E+99,'TO HOP NLAN'!D293/ncoc+IF(SUMSQ('TS-PILE'!$E$72:$E$91)=0,0,'TO HOP NLAN'!E293*'TS-PILE'!$E$87/SUMSQ('TS-PILE'!$E$72:$E$91))+IF(SUMSQ('TS-PILE'!$D$72:$D$91)=0,0,'TO HOP NLAN'!F293*'TS-PILE'!$D$87/SUMSQ('TS-PILE'!$D$72:$D$91))),IF('TS-PILE'!$B$88="",1E+99,'TO HOP NLAN'!D293/ncoc+IF(SUMSQ('TS-PILE'!$E$72:$E$91)=0,0,'TO HOP NLAN'!E293*'TS-PILE'!$E$88/SUMSQ('TS-PILE'!$E$72:$E$91))+IF(SUMSQ('TS-PILE'!$D$72:$D$91)=0,0,'TO HOP NLAN'!F293*'TS-PILE'!$D$88/SUMSQ('TS-PILE'!$D$72:$D$91))),IF('TS-PILE'!$B$89="",1E+99,'TO HOP NLAN'!D293/ncoc+IF(SUMSQ('TS-PILE'!$E$72:$E$91)=0,0,'TO HOP NLAN'!E293*'TS-PILE'!$E$89/SUMSQ('TS-PILE'!$E$72:$E$91))+IF(SUMSQ('TS-PILE'!$D$72:$D$91)=0,0,'TO HOP NLAN'!F293*'TS-PILE'!$D$89/SUMSQ('TS-PILE'!$D$72:$D$91))),IF('TS-PILE'!$B$90="",1E+99,'TO HOP NLAN'!D293/ncoc+IF(SUMSQ('TS-PILE'!$E$72:$E$91)=0,0,'TO HOP NLAN'!E293*'TS-PILE'!$E$90/SUMSQ('TS-PILE'!$E$72:$E$91))+IF(SUMSQ('TS-PILE'!$D$72:$D$91)=0,0,'TO HOP NLAN'!F293*'TS-PILE'!$D$90/SUMSQ('TS-PILE'!$D$72:$D$91))),IF('TS-PILE'!$B$91="",1E+99,'TO HOP NLAN'!D293/ncoc+IF(SUMSQ('TS-PILE'!$E$72:$E$91)=0,0,'TO HOP NLAN'!E293*'TS-PILE'!$E$91/SUMSQ('TS-PILE'!$E$72:$E$91))+IF(SUMSQ('TS-PILE'!$D$72:$D$91)=0,0,'TO HOP NLAN'!F293*'TS-PILE'!$D$91/SUMSQ('TS-PILE'!$D$72:$D$91)))))</f>
        <v>0</v>
      </c>
      <c r="E293" s="58">
        <f t="shared" si="16"/>
        <v>-9.9999999999999997E+98</v>
      </c>
      <c r="F293" s="58">
        <f t="shared" si="17"/>
        <v>9.9999999999999997E+98</v>
      </c>
      <c r="G293" s="58">
        <f t="shared" si="18"/>
        <v>-9.9999999999999997E+98</v>
      </c>
      <c r="H293" s="58">
        <f t="shared" si="19"/>
        <v>9.9999999999999997E+98</v>
      </c>
    </row>
    <row r="294" spans="1:8" x14ac:dyDescent="0.3">
      <c r="A294" s="42" t="str">
        <f>'TO HOP NLAN'!A294</f>
        <v/>
      </c>
      <c r="B294" s="42" t="str">
        <f>'TO HOP NLAN'!L294</f>
        <v>STRENGTH</v>
      </c>
      <c r="C294" s="58">
        <f>IF(A294="",0,MAX(IF('TS-PILE'!$B$72="",-1E+99,'TO HOP NLAN'!D294/ncoc+IF(SUMSQ('TS-PILE'!$E$72:$E$91)=0,0,'TO HOP NLAN'!E294*'TS-PILE'!$E$72/SUMSQ('TS-PILE'!$E$72:$E$91))+IF(SUMSQ('TS-PILE'!$D$72:$D$91)=0,0,'TO HOP NLAN'!F294*'TS-PILE'!$D$72/SUMSQ('TS-PILE'!$D$72:$D$91))),IF('TS-PILE'!$B$73="",-1E+99,'TO HOP NLAN'!D294/ncoc+IF(SUMSQ('TS-PILE'!$E$72:$E$91)=0,0,'TO HOP NLAN'!E294*'TS-PILE'!$E$73/SUMSQ('TS-PILE'!$E$72:$E$91))+IF(SUMSQ('TS-PILE'!$D$72:$D$91)=0,0,'TO HOP NLAN'!F294*'TS-PILE'!$D$73/SUMSQ('TS-PILE'!$D$72:$D$91))),IF('TS-PILE'!$B$74="",-1E+99,'TO HOP NLAN'!D294/ncoc+IF(SUMSQ('TS-PILE'!$E$72:$E$91)=0,0,'TO HOP NLAN'!E294*'TS-PILE'!$E$74/SUMSQ('TS-PILE'!$E$72:$E$91))+IF(SUMSQ('TS-PILE'!$D$72:$D$91)=0,0,'TO HOP NLAN'!F294*'TS-PILE'!$D$74/SUMSQ('TS-PILE'!$D$72:$D$91))),IF('TS-PILE'!$B$75="",-1E+99,'TO HOP NLAN'!D294/ncoc+IF(SUMSQ('TS-PILE'!$E$72:$E$91)=0,0,'TO HOP NLAN'!E294*'TS-PILE'!$E$75/SUMSQ('TS-PILE'!$E$72:$E$91))+IF(SUMSQ('TS-PILE'!$D$72:$D$91)=0,0,'TO HOP NLAN'!F294*'TS-PILE'!$D$75/SUMSQ('TS-PILE'!$D$72:$D$91))),IF('TS-PILE'!$B$76="",-1E+99,'TO HOP NLAN'!D294/ncoc+IF(SUMSQ('TS-PILE'!$E$72:$E$91)=0,0,'TO HOP NLAN'!E294*'TS-PILE'!$E$76/SUMSQ('TS-PILE'!$E$72:$E$91))+IF(SUMSQ('TS-PILE'!$D$72:$D$91)=0,0,'TO HOP NLAN'!F294*'TS-PILE'!$D$76/SUMSQ('TS-PILE'!$D$72:$D$91))),IF('TS-PILE'!$B$77="",-1E+99,'TO HOP NLAN'!D294/ncoc+IF(SUMSQ('TS-PILE'!$E$72:$E$91)=0,0,'TO HOP NLAN'!E294*'TS-PILE'!$E$77/SUMSQ('TS-PILE'!$E$72:$E$91))+IF(SUMSQ('TS-PILE'!$D$72:$D$91)=0,0,'TO HOP NLAN'!F294*'TS-PILE'!$D$77/SUMSQ('TS-PILE'!$D$72:$D$91))),IF('TS-PILE'!$B$78="",-1E+99,'TO HOP NLAN'!D294/ncoc+IF(SUMSQ('TS-PILE'!$E$72:$E$91)=0,0,'TO HOP NLAN'!E294*'TS-PILE'!$E$78/SUMSQ('TS-PILE'!$E$72:$E$91))+IF(SUMSQ('TS-PILE'!$D$72:$D$91)=0,0,'TO HOP NLAN'!F294*'TS-PILE'!$D$78/SUMSQ('TS-PILE'!$D$72:$D$91))),IF('TS-PILE'!$B$79="",-1E+99,'TO HOP NLAN'!D294/ncoc+IF(SUMSQ('TS-PILE'!$E$72:$E$91)=0,0,'TO HOP NLAN'!E294*'TS-PILE'!$E$79/SUMSQ('TS-PILE'!$E$72:$E$91))+IF(SUMSQ('TS-PILE'!$D$72:$D$91)=0,0,'TO HOP NLAN'!F294*'TS-PILE'!$D$79/SUMSQ('TS-PILE'!$D$72:$D$91))),IF('TS-PILE'!$B$80="",-1E+99,'TO HOP NLAN'!D294/ncoc+IF(SUMSQ('TS-PILE'!$E$72:$E$91)=0,0,'TO HOP NLAN'!E294*'TS-PILE'!$E$80/SUMSQ('TS-PILE'!$E$72:$E$91))+IF(SUMSQ('TS-PILE'!$D$72:$D$91)=0,0,'TO HOP NLAN'!F294*'TS-PILE'!$D$80/SUMSQ('TS-PILE'!$D$72:$D$91))),IF('TS-PILE'!$B$81="",-1E+99,'TO HOP NLAN'!D294/ncoc+IF(SUMSQ('TS-PILE'!$E$72:$E$91)=0,0,'TO HOP NLAN'!E294*'TS-PILE'!$E$81/SUMSQ('TS-PILE'!$E$72:$E$91))+IF(SUMSQ('TS-PILE'!$D$72:$D$91)=0,0,'TO HOP NLAN'!F294*'TS-PILE'!$D$81/SUMSQ('TS-PILE'!$D$72:$D$91))),IF('TS-PILE'!$B$82="",-1E+99,'TO HOP NLAN'!D294/ncoc+IF(SUMSQ('TS-PILE'!$E$72:$E$91)=0,0,'TO HOP NLAN'!E294*'TS-PILE'!$E$82/SUMSQ('TS-PILE'!$E$72:$E$91))+IF(SUMSQ('TS-PILE'!$D$72:$D$91)=0,0,'TO HOP NLAN'!F294*'TS-PILE'!$D$82/SUMSQ('TS-PILE'!$D$72:$D$91))),IF('TS-PILE'!$B$83="",-1E+99,'TO HOP NLAN'!D294/ncoc+IF(SUMSQ('TS-PILE'!$E$72:$E$91)=0,0,'TO HOP NLAN'!E294*'TS-PILE'!$E$83/SUMSQ('TS-PILE'!$E$72:$E$91))+IF(SUMSQ('TS-PILE'!$D$72:$D$91)=0,0,'TO HOP NLAN'!F294*'TS-PILE'!$D$83/SUMSQ('TS-PILE'!$D$72:$D$91))),IF('TS-PILE'!$B$84="",-1E+99,'TO HOP NLAN'!D294/ncoc+IF(SUMSQ('TS-PILE'!$E$72:$E$91)=0,0,'TO HOP NLAN'!E294*'TS-PILE'!$E$84/SUMSQ('TS-PILE'!$E$72:$E$91))+IF(SUMSQ('TS-PILE'!$D$72:$D$91)=0,0,'TO HOP NLAN'!F294*'TS-PILE'!$D$84/SUMSQ('TS-PILE'!$D$72:$D$91))),IF('TS-PILE'!$B$85="",-1E+99,'TO HOP NLAN'!D294/ncoc+IF(SUMSQ('TS-PILE'!$E$72:$E$91)=0,0,'TO HOP NLAN'!E294*'TS-PILE'!$E$85/SUMSQ('TS-PILE'!$E$72:$E$91))+IF(SUMSQ('TS-PILE'!$D$72:$D$91)=0,0,'TO HOP NLAN'!F294*'TS-PILE'!$D$85/SUMSQ('TS-PILE'!$D$72:$D$91))),IF('TS-PILE'!$B$86="",-1E+99,'TO HOP NLAN'!D294/ncoc+IF(SUMSQ('TS-PILE'!$E$72:$E$91)=0,0,'TO HOP NLAN'!E294*'TS-PILE'!$E$86/SUMSQ('TS-PILE'!$E$72:$E$91))+IF(SUMSQ('TS-PILE'!$D$72:$D$91)=0,0,'TO HOP NLAN'!F294*'TS-PILE'!$D$86/SUMSQ('TS-PILE'!$D$72:$D$91))),IF('TS-PILE'!$B$87="",-1E+99,'TO HOP NLAN'!D294/ncoc+IF(SUMSQ('TS-PILE'!$E$72:$E$91)=0,0,'TO HOP NLAN'!E294*'TS-PILE'!$E$87/SUMSQ('TS-PILE'!$E$72:$E$91))+IF(SUMSQ('TS-PILE'!$D$72:$D$91)=0,0,'TO HOP NLAN'!F294*'TS-PILE'!$D$87/SUMSQ('TS-PILE'!$D$72:$D$91))),IF('TS-PILE'!$B$88="",-1E+99,'TO HOP NLAN'!D294/ncoc+IF(SUMSQ('TS-PILE'!$E$72:$E$91)=0,0,'TO HOP NLAN'!E294*'TS-PILE'!$E$88/SUMSQ('TS-PILE'!$E$72:$E$91))+IF(SUMSQ('TS-PILE'!$D$72:$D$91)=0,0,'TO HOP NLAN'!F294*'TS-PILE'!$D$88/SUMSQ('TS-PILE'!$D$72:$D$91))),IF('TS-PILE'!$B$89="",-1E+99,'TO HOP NLAN'!D294/ncoc+IF(SUMSQ('TS-PILE'!$E$72:$E$91)=0,0,'TO HOP NLAN'!E294*'TS-PILE'!$E$89/SUMSQ('TS-PILE'!$E$72:$E$91))+IF(SUMSQ('TS-PILE'!$D$72:$D$91)=0,0,'TO HOP NLAN'!F294*'TS-PILE'!$D$89/SUMSQ('TS-PILE'!$D$72:$D$91))),IF('TS-PILE'!$B$90="",-1E+99,'TO HOP NLAN'!D294/ncoc+IF(SUMSQ('TS-PILE'!$E$72:$E$91)=0,0,'TO HOP NLAN'!E294*'TS-PILE'!$E$90/SUMSQ('TS-PILE'!$E$72:$E$91))+IF(SUMSQ('TS-PILE'!$D$72:$D$91)=0,0,'TO HOP NLAN'!F294*'TS-PILE'!$D$90/SUMSQ('TS-PILE'!$D$72:$D$91))),IF('TS-PILE'!$B$91="",-1E+99,'TO HOP NLAN'!D294/ncoc+IF(SUMSQ('TS-PILE'!$E$72:$E$91)=0,0,'TO HOP NLAN'!E294*'TS-PILE'!$E$91/SUMSQ('TS-PILE'!$E$72:$E$91))+IF(SUMSQ('TS-PILE'!$D$72:$D$91)=0,0,'TO HOP NLAN'!F294*'TS-PILE'!$D$91/SUMSQ('TS-PILE'!$D$72:$D$91)))))</f>
        <v>0</v>
      </c>
      <c r="D294" s="58">
        <f>IF(A294="",0,MIN(IF('TS-PILE'!$B$72="",1E+99,'TO HOP NLAN'!D294/ncoc+IF(SUMSQ('TS-PILE'!$E$72:$E$91)=0,0,'TO HOP NLAN'!E294*'TS-PILE'!$E$72/SUMSQ('TS-PILE'!$E$72:$E$91))+IF(SUMSQ('TS-PILE'!$D$72:$D$91)=0,0,'TO HOP NLAN'!F294*'TS-PILE'!$D$72/SUMSQ('TS-PILE'!$D$72:$D$91))),IF('TS-PILE'!$B$73="",1E+99,'TO HOP NLAN'!D294/ncoc+IF(SUMSQ('TS-PILE'!$E$72:$E$91)=0,0,'TO HOP NLAN'!E294*'TS-PILE'!$E$73/SUMSQ('TS-PILE'!$E$72:$E$91))+IF(SUMSQ('TS-PILE'!$D$72:$D$91)=0,0,'TO HOP NLAN'!F294*'TS-PILE'!$D$73/SUMSQ('TS-PILE'!$D$72:$D$91))),IF('TS-PILE'!$B$74="",1E+99,'TO HOP NLAN'!D294/ncoc+IF(SUMSQ('TS-PILE'!$E$72:$E$91)=0,0,'TO HOP NLAN'!E294*'TS-PILE'!$E$74/SUMSQ('TS-PILE'!$E$72:$E$91))+IF(SUMSQ('TS-PILE'!$D$72:$D$91)=0,0,'TO HOP NLAN'!F294*'TS-PILE'!$D$74/SUMSQ('TS-PILE'!$D$72:$D$91))),IF('TS-PILE'!$B$75="",1E+99,'TO HOP NLAN'!D294/ncoc+IF(SUMSQ('TS-PILE'!$E$72:$E$91)=0,0,'TO HOP NLAN'!E294*'TS-PILE'!$E$75/SUMSQ('TS-PILE'!$E$72:$E$91))+IF(SUMSQ('TS-PILE'!$D$72:$D$91)=0,0,'TO HOP NLAN'!F294*'TS-PILE'!$D$75/SUMSQ('TS-PILE'!$D$72:$D$91))),IF('TS-PILE'!$B$76="",1E+99,'TO HOP NLAN'!D294/ncoc+IF(SUMSQ('TS-PILE'!$E$72:$E$91)=0,0,'TO HOP NLAN'!E294*'TS-PILE'!$E$76/SUMSQ('TS-PILE'!$E$72:$E$91))+IF(SUMSQ('TS-PILE'!$D$72:$D$91)=0,0,'TO HOP NLAN'!F294*'TS-PILE'!$D$76/SUMSQ('TS-PILE'!$D$72:$D$91))),IF('TS-PILE'!$B$77="",1E+99,'TO HOP NLAN'!D294/ncoc+IF(SUMSQ('TS-PILE'!$E$72:$E$91)=0,0,'TO HOP NLAN'!E294*'TS-PILE'!$E$77/SUMSQ('TS-PILE'!$E$72:$E$91))+IF(SUMSQ('TS-PILE'!$D$72:$D$91)=0,0,'TO HOP NLAN'!F294*'TS-PILE'!$D$77/SUMSQ('TS-PILE'!$D$72:$D$91))),IF('TS-PILE'!$B$78="",1E+99,'TO HOP NLAN'!D294/ncoc+IF(SUMSQ('TS-PILE'!$E$72:$E$91)=0,0,'TO HOP NLAN'!E294*'TS-PILE'!$E$78/SUMSQ('TS-PILE'!$E$72:$E$91))+IF(SUMSQ('TS-PILE'!$D$72:$D$91)=0,0,'TO HOP NLAN'!F294*'TS-PILE'!$D$78/SUMSQ('TS-PILE'!$D$72:$D$91))),IF('TS-PILE'!$B$79="",1E+99,'TO HOP NLAN'!D294/ncoc+IF(SUMSQ('TS-PILE'!$E$72:$E$91)=0,0,'TO HOP NLAN'!E294*'TS-PILE'!$E$79/SUMSQ('TS-PILE'!$E$72:$E$91))+IF(SUMSQ('TS-PILE'!$D$72:$D$91)=0,0,'TO HOP NLAN'!F294*'TS-PILE'!$D$79/SUMSQ('TS-PILE'!$D$72:$D$91))),IF('TS-PILE'!$B$80="",1E+99,'TO HOP NLAN'!D294/ncoc+IF(SUMSQ('TS-PILE'!$E$72:$E$91)=0,0,'TO HOP NLAN'!E294*'TS-PILE'!$E$80/SUMSQ('TS-PILE'!$E$72:$E$91))+IF(SUMSQ('TS-PILE'!$D$72:$D$91)=0,0,'TO HOP NLAN'!F294*'TS-PILE'!$D$80/SUMSQ('TS-PILE'!$D$72:$D$91))),IF('TS-PILE'!$B$81="",1E+99,'TO HOP NLAN'!D294/ncoc+IF(SUMSQ('TS-PILE'!$E$72:$E$91)=0,0,'TO HOP NLAN'!E294*'TS-PILE'!$E$81/SUMSQ('TS-PILE'!$E$72:$E$91))+IF(SUMSQ('TS-PILE'!$D$72:$D$91)=0,0,'TO HOP NLAN'!F294*'TS-PILE'!$D$81/SUMSQ('TS-PILE'!$D$72:$D$91))),IF('TS-PILE'!$B$82="",1E+99,'TO HOP NLAN'!D294/ncoc+IF(SUMSQ('TS-PILE'!$E$72:$E$91)=0,0,'TO HOP NLAN'!E294*'TS-PILE'!$E$82/SUMSQ('TS-PILE'!$E$72:$E$91))+IF(SUMSQ('TS-PILE'!$D$72:$D$91)=0,0,'TO HOP NLAN'!F294*'TS-PILE'!$D$82/SUMSQ('TS-PILE'!$D$72:$D$91))),IF('TS-PILE'!$B$83="",1E+99,'TO HOP NLAN'!D294/ncoc+IF(SUMSQ('TS-PILE'!$E$72:$E$91)=0,0,'TO HOP NLAN'!E294*'TS-PILE'!$E$83/SUMSQ('TS-PILE'!$E$72:$E$91))+IF(SUMSQ('TS-PILE'!$D$72:$D$91)=0,0,'TO HOP NLAN'!F294*'TS-PILE'!$D$83/SUMSQ('TS-PILE'!$D$72:$D$91))),IF('TS-PILE'!$B$84="",1E+99,'TO HOP NLAN'!D294/ncoc+IF(SUMSQ('TS-PILE'!$E$72:$E$91)=0,0,'TO HOP NLAN'!E294*'TS-PILE'!$E$84/SUMSQ('TS-PILE'!$E$72:$E$91))+IF(SUMSQ('TS-PILE'!$D$72:$D$91)=0,0,'TO HOP NLAN'!F294*'TS-PILE'!$D$84/SUMSQ('TS-PILE'!$D$72:$D$91))),IF('TS-PILE'!$B$85="",1E+99,'TO HOP NLAN'!D294/ncoc+IF(SUMSQ('TS-PILE'!$E$72:$E$91)=0,0,'TO HOP NLAN'!E294*'TS-PILE'!$E$85/SUMSQ('TS-PILE'!$E$72:$E$91))+IF(SUMSQ('TS-PILE'!$D$72:$D$91)=0,0,'TO HOP NLAN'!F294*'TS-PILE'!$D$85/SUMSQ('TS-PILE'!$D$72:$D$91))),IF('TS-PILE'!$B$86="",1E+99,'TO HOP NLAN'!D294/ncoc+IF(SUMSQ('TS-PILE'!$E$72:$E$91)=0,0,'TO HOP NLAN'!E294*'TS-PILE'!$E$86/SUMSQ('TS-PILE'!$E$72:$E$91))+IF(SUMSQ('TS-PILE'!$D$72:$D$91)=0,0,'TO HOP NLAN'!F294*'TS-PILE'!$D$86/SUMSQ('TS-PILE'!$D$72:$D$91))),IF('TS-PILE'!$B$87="",1E+99,'TO HOP NLAN'!D294/ncoc+IF(SUMSQ('TS-PILE'!$E$72:$E$91)=0,0,'TO HOP NLAN'!E294*'TS-PILE'!$E$87/SUMSQ('TS-PILE'!$E$72:$E$91))+IF(SUMSQ('TS-PILE'!$D$72:$D$91)=0,0,'TO HOP NLAN'!F294*'TS-PILE'!$D$87/SUMSQ('TS-PILE'!$D$72:$D$91))),IF('TS-PILE'!$B$88="",1E+99,'TO HOP NLAN'!D294/ncoc+IF(SUMSQ('TS-PILE'!$E$72:$E$91)=0,0,'TO HOP NLAN'!E294*'TS-PILE'!$E$88/SUMSQ('TS-PILE'!$E$72:$E$91))+IF(SUMSQ('TS-PILE'!$D$72:$D$91)=0,0,'TO HOP NLAN'!F294*'TS-PILE'!$D$88/SUMSQ('TS-PILE'!$D$72:$D$91))),IF('TS-PILE'!$B$89="",1E+99,'TO HOP NLAN'!D294/ncoc+IF(SUMSQ('TS-PILE'!$E$72:$E$91)=0,0,'TO HOP NLAN'!E294*'TS-PILE'!$E$89/SUMSQ('TS-PILE'!$E$72:$E$91))+IF(SUMSQ('TS-PILE'!$D$72:$D$91)=0,0,'TO HOP NLAN'!F294*'TS-PILE'!$D$89/SUMSQ('TS-PILE'!$D$72:$D$91))),IF('TS-PILE'!$B$90="",1E+99,'TO HOP NLAN'!D294/ncoc+IF(SUMSQ('TS-PILE'!$E$72:$E$91)=0,0,'TO HOP NLAN'!E294*'TS-PILE'!$E$90/SUMSQ('TS-PILE'!$E$72:$E$91))+IF(SUMSQ('TS-PILE'!$D$72:$D$91)=0,0,'TO HOP NLAN'!F294*'TS-PILE'!$D$90/SUMSQ('TS-PILE'!$D$72:$D$91))),IF('TS-PILE'!$B$91="",1E+99,'TO HOP NLAN'!D294/ncoc+IF(SUMSQ('TS-PILE'!$E$72:$E$91)=0,0,'TO HOP NLAN'!E294*'TS-PILE'!$E$91/SUMSQ('TS-PILE'!$E$72:$E$91))+IF(SUMSQ('TS-PILE'!$D$72:$D$91)=0,0,'TO HOP NLAN'!F294*'TS-PILE'!$D$91/SUMSQ('TS-PILE'!$D$72:$D$91)))))</f>
        <v>0</v>
      </c>
      <c r="E294" s="58">
        <f t="shared" si="16"/>
        <v>-9.9999999999999997E+98</v>
      </c>
      <c r="F294" s="58">
        <f t="shared" si="17"/>
        <v>9.9999999999999997E+98</v>
      </c>
      <c r="G294" s="58">
        <f t="shared" si="18"/>
        <v>-9.9999999999999997E+98</v>
      </c>
      <c r="H294" s="58">
        <f t="shared" si="19"/>
        <v>9.9999999999999997E+98</v>
      </c>
    </row>
    <row r="295" spans="1:8" x14ac:dyDescent="0.3">
      <c r="A295" s="42" t="str">
        <f>'TO HOP NLAN'!A295</f>
        <v/>
      </c>
      <c r="B295" s="42" t="str">
        <f>'TO HOP NLAN'!L295</f>
        <v>STRENGTH</v>
      </c>
      <c r="C295" s="58">
        <f>IF(A295="",0,MAX(IF('TS-PILE'!$B$72="",-1E+99,'TO HOP NLAN'!D295/ncoc+IF(SUMSQ('TS-PILE'!$E$72:$E$91)=0,0,'TO HOP NLAN'!E295*'TS-PILE'!$E$72/SUMSQ('TS-PILE'!$E$72:$E$91))+IF(SUMSQ('TS-PILE'!$D$72:$D$91)=0,0,'TO HOP NLAN'!F295*'TS-PILE'!$D$72/SUMSQ('TS-PILE'!$D$72:$D$91))),IF('TS-PILE'!$B$73="",-1E+99,'TO HOP NLAN'!D295/ncoc+IF(SUMSQ('TS-PILE'!$E$72:$E$91)=0,0,'TO HOP NLAN'!E295*'TS-PILE'!$E$73/SUMSQ('TS-PILE'!$E$72:$E$91))+IF(SUMSQ('TS-PILE'!$D$72:$D$91)=0,0,'TO HOP NLAN'!F295*'TS-PILE'!$D$73/SUMSQ('TS-PILE'!$D$72:$D$91))),IF('TS-PILE'!$B$74="",-1E+99,'TO HOP NLAN'!D295/ncoc+IF(SUMSQ('TS-PILE'!$E$72:$E$91)=0,0,'TO HOP NLAN'!E295*'TS-PILE'!$E$74/SUMSQ('TS-PILE'!$E$72:$E$91))+IF(SUMSQ('TS-PILE'!$D$72:$D$91)=0,0,'TO HOP NLAN'!F295*'TS-PILE'!$D$74/SUMSQ('TS-PILE'!$D$72:$D$91))),IF('TS-PILE'!$B$75="",-1E+99,'TO HOP NLAN'!D295/ncoc+IF(SUMSQ('TS-PILE'!$E$72:$E$91)=0,0,'TO HOP NLAN'!E295*'TS-PILE'!$E$75/SUMSQ('TS-PILE'!$E$72:$E$91))+IF(SUMSQ('TS-PILE'!$D$72:$D$91)=0,0,'TO HOP NLAN'!F295*'TS-PILE'!$D$75/SUMSQ('TS-PILE'!$D$72:$D$91))),IF('TS-PILE'!$B$76="",-1E+99,'TO HOP NLAN'!D295/ncoc+IF(SUMSQ('TS-PILE'!$E$72:$E$91)=0,0,'TO HOP NLAN'!E295*'TS-PILE'!$E$76/SUMSQ('TS-PILE'!$E$72:$E$91))+IF(SUMSQ('TS-PILE'!$D$72:$D$91)=0,0,'TO HOP NLAN'!F295*'TS-PILE'!$D$76/SUMSQ('TS-PILE'!$D$72:$D$91))),IF('TS-PILE'!$B$77="",-1E+99,'TO HOP NLAN'!D295/ncoc+IF(SUMSQ('TS-PILE'!$E$72:$E$91)=0,0,'TO HOP NLAN'!E295*'TS-PILE'!$E$77/SUMSQ('TS-PILE'!$E$72:$E$91))+IF(SUMSQ('TS-PILE'!$D$72:$D$91)=0,0,'TO HOP NLAN'!F295*'TS-PILE'!$D$77/SUMSQ('TS-PILE'!$D$72:$D$91))),IF('TS-PILE'!$B$78="",-1E+99,'TO HOP NLAN'!D295/ncoc+IF(SUMSQ('TS-PILE'!$E$72:$E$91)=0,0,'TO HOP NLAN'!E295*'TS-PILE'!$E$78/SUMSQ('TS-PILE'!$E$72:$E$91))+IF(SUMSQ('TS-PILE'!$D$72:$D$91)=0,0,'TO HOP NLAN'!F295*'TS-PILE'!$D$78/SUMSQ('TS-PILE'!$D$72:$D$91))),IF('TS-PILE'!$B$79="",-1E+99,'TO HOP NLAN'!D295/ncoc+IF(SUMSQ('TS-PILE'!$E$72:$E$91)=0,0,'TO HOP NLAN'!E295*'TS-PILE'!$E$79/SUMSQ('TS-PILE'!$E$72:$E$91))+IF(SUMSQ('TS-PILE'!$D$72:$D$91)=0,0,'TO HOP NLAN'!F295*'TS-PILE'!$D$79/SUMSQ('TS-PILE'!$D$72:$D$91))),IF('TS-PILE'!$B$80="",-1E+99,'TO HOP NLAN'!D295/ncoc+IF(SUMSQ('TS-PILE'!$E$72:$E$91)=0,0,'TO HOP NLAN'!E295*'TS-PILE'!$E$80/SUMSQ('TS-PILE'!$E$72:$E$91))+IF(SUMSQ('TS-PILE'!$D$72:$D$91)=0,0,'TO HOP NLAN'!F295*'TS-PILE'!$D$80/SUMSQ('TS-PILE'!$D$72:$D$91))),IF('TS-PILE'!$B$81="",-1E+99,'TO HOP NLAN'!D295/ncoc+IF(SUMSQ('TS-PILE'!$E$72:$E$91)=0,0,'TO HOP NLAN'!E295*'TS-PILE'!$E$81/SUMSQ('TS-PILE'!$E$72:$E$91))+IF(SUMSQ('TS-PILE'!$D$72:$D$91)=0,0,'TO HOP NLAN'!F295*'TS-PILE'!$D$81/SUMSQ('TS-PILE'!$D$72:$D$91))),IF('TS-PILE'!$B$82="",-1E+99,'TO HOP NLAN'!D295/ncoc+IF(SUMSQ('TS-PILE'!$E$72:$E$91)=0,0,'TO HOP NLAN'!E295*'TS-PILE'!$E$82/SUMSQ('TS-PILE'!$E$72:$E$91))+IF(SUMSQ('TS-PILE'!$D$72:$D$91)=0,0,'TO HOP NLAN'!F295*'TS-PILE'!$D$82/SUMSQ('TS-PILE'!$D$72:$D$91))),IF('TS-PILE'!$B$83="",-1E+99,'TO HOP NLAN'!D295/ncoc+IF(SUMSQ('TS-PILE'!$E$72:$E$91)=0,0,'TO HOP NLAN'!E295*'TS-PILE'!$E$83/SUMSQ('TS-PILE'!$E$72:$E$91))+IF(SUMSQ('TS-PILE'!$D$72:$D$91)=0,0,'TO HOP NLAN'!F295*'TS-PILE'!$D$83/SUMSQ('TS-PILE'!$D$72:$D$91))),IF('TS-PILE'!$B$84="",-1E+99,'TO HOP NLAN'!D295/ncoc+IF(SUMSQ('TS-PILE'!$E$72:$E$91)=0,0,'TO HOP NLAN'!E295*'TS-PILE'!$E$84/SUMSQ('TS-PILE'!$E$72:$E$91))+IF(SUMSQ('TS-PILE'!$D$72:$D$91)=0,0,'TO HOP NLAN'!F295*'TS-PILE'!$D$84/SUMSQ('TS-PILE'!$D$72:$D$91))),IF('TS-PILE'!$B$85="",-1E+99,'TO HOP NLAN'!D295/ncoc+IF(SUMSQ('TS-PILE'!$E$72:$E$91)=0,0,'TO HOP NLAN'!E295*'TS-PILE'!$E$85/SUMSQ('TS-PILE'!$E$72:$E$91))+IF(SUMSQ('TS-PILE'!$D$72:$D$91)=0,0,'TO HOP NLAN'!F295*'TS-PILE'!$D$85/SUMSQ('TS-PILE'!$D$72:$D$91))),IF('TS-PILE'!$B$86="",-1E+99,'TO HOP NLAN'!D295/ncoc+IF(SUMSQ('TS-PILE'!$E$72:$E$91)=0,0,'TO HOP NLAN'!E295*'TS-PILE'!$E$86/SUMSQ('TS-PILE'!$E$72:$E$91))+IF(SUMSQ('TS-PILE'!$D$72:$D$91)=0,0,'TO HOP NLAN'!F295*'TS-PILE'!$D$86/SUMSQ('TS-PILE'!$D$72:$D$91))),IF('TS-PILE'!$B$87="",-1E+99,'TO HOP NLAN'!D295/ncoc+IF(SUMSQ('TS-PILE'!$E$72:$E$91)=0,0,'TO HOP NLAN'!E295*'TS-PILE'!$E$87/SUMSQ('TS-PILE'!$E$72:$E$91))+IF(SUMSQ('TS-PILE'!$D$72:$D$91)=0,0,'TO HOP NLAN'!F295*'TS-PILE'!$D$87/SUMSQ('TS-PILE'!$D$72:$D$91))),IF('TS-PILE'!$B$88="",-1E+99,'TO HOP NLAN'!D295/ncoc+IF(SUMSQ('TS-PILE'!$E$72:$E$91)=0,0,'TO HOP NLAN'!E295*'TS-PILE'!$E$88/SUMSQ('TS-PILE'!$E$72:$E$91))+IF(SUMSQ('TS-PILE'!$D$72:$D$91)=0,0,'TO HOP NLAN'!F295*'TS-PILE'!$D$88/SUMSQ('TS-PILE'!$D$72:$D$91))),IF('TS-PILE'!$B$89="",-1E+99,'TO HOP NLAN'!D295/ncoc+IF(SUMSQ('TS-PILE'!$E$72:$E$91)=0,0,'TO HOP NLAN'!E295*'TS-PILE'!$E$89/SUMSQ('TS-PILE'!$E$72:$E$91))+IF(SUMSQ('TS-PILE'!$D$72:$D$91)=0,0,'TO HOP NLAN'!F295*'TS-PILE'!$D$89/SUMSQ('TS-PILE'!$D$72:$D$91))),IF('TS-PILE'!$B$90="",-1E+99,'TO HOP NLAN'!D295/ncoc+IF(SUMSQ('TS-PILE'!$E$72:$E$91)=0,0,'TO HOP NLAN'!E295*'TS-PILE'!$E$90/SUMSQ('TS-PILE'!$E$72:$E$91))+IF(SUMSQ('TS-PILE'!$D$72:$D$91)=0,0,'TO HOP NLAN'!F295*'TS-PILE'!$D$90/SUMSQ('TS-PILE'!$D$72:$D$91))),IF('TS-PILE'!$B$91="",-1E+99,'TO HOP NLAN'!D295/ncoc+IF(SUMSQ('TS-PILE'!$E$72:$E$91)=0,0,'TO HOP NLAN'!E295*'TS-PILE'!$E$91/SUMSQ('TS-PILE'!$E$72:$E$91))+IF(SUMSQ('TS-PILE'!$D$72:$D$91)=0,0,'TO HOP NLAN'!F295*'TS-PILE'!$D$91/SUMSQ('TS-PILE'!$D$72:$D$91)))))</f>
        <v>0</v>
      </c>
      <c r="D295" s="58">
        <f>IF(A295="",0,MIN(IF('TS-PILE'!$B$72="",1E+99,'TO HOP NLAN'!D295/ncoc+IF(SUMSQ('TS-PILE'!$E$72:$E$91)=0,0,'TO HOP NLAN'!E295*'TS-PILE'!$E$72/SUMSQ('TS-PILE'!$E$72:$E$91))+IF(SUMSQ('TS-PILE'!$D$72:$D$91)=0,0,'TO HOP NLAN'!F295*'TS-PILE'!$D$72/SUMSQ('TS-PILE'!$D$72:$D$91))),IF('TS-PILE'!$B$73="",1E+99,'TO HOP NLAN'!D295/ncoc+IF(SUMSQ('TS-PILE'!$E$72:$E$91)=0,0,'TO HOP NLAN'!E295*'TS-PILE'!$E$73/SUMSQ('TS-PILE'!$E$72:$E$91))+IF(SUMSQ('TS-PILE'!$D$72:$D$91)=0,0,'TO HOP NLAN'!F295*'TS-PILE'!$D$73/SUMSQ('TS-PILE'!$D$72:$D$91))),IF('TS-PILE'!$B$74="",1E+99,'TO HOP NLAN'!D295/ncoc+IF(SUMSQ('TS-PILE'!$E$72:$E$91)=0,0,'TO HOP NLAN'!E295*'TS-PILE'!$E$74/SUMSQ('TS-PILE'!$E$72:$E$91))+IF(SUMSQ('TS-PILE'!$D$72:$D$91)=0,0,'TO HOP NLAN'!F295*'TS-PILE'!$D$74/SUMSQ('TS-PILE'!$D$72:$D$91))),IF('TS-PILE'!$B$75="",1E+99,'TO HOP NLAN'!D295/ncoc+IF(SUMSQ('TS-PILE'!$E$72:$E$91)=0,0,'TO HOP NLAN'!E295*'TS-PILE'!$E$75/SUMSQ('TS-PILE'!$E$72:$E$91))+IF(SUMSQ('TS-PILE'!$D$72:$D$91)=0,0,'TO HOP NLAN'!F295*'TS-PILE'!$D$75/SUMSQ('TS-PILE'!$D$72:$D$91))),IF('TS-PILE'!$B$76="",1E+99,'TO HOP NLAN'!D295/ncoc+IF(SUMSQ('TS-PILE'!$E$72:$E$91)=0,0,'TO HOP NLAN'!E295*'TS-PILE'!$E$76/SUMSQ('TS-PILE'!$E$72:$E$91))+IF(SUMSQ('TS-PILE'!$D$72:$D$91)=0,0,'TO HOP NLAN'!F295*'TS-PILE'!$D$76/SUMSQ('TS-PILE'!$D$72:$D$91))),IF('TS-PILE'!$B$77="",1E+99,'TO HOP NLAN'!D295/ncoc+IF(SUMSQ('TS-PILE'!$E$72:$E$91)=0,0,'TO HOP NLAN'!E295*'TS-PILE'!$E$77/SUMSQ('TS-PILE'!$E$72:$E$91))+IF(SUMSQ('TS-PILE'!$D$72:$D$91)=0,0,'TO HOP NLAN'!F295*'TS-PILE'!$D$77/SUMSQ('TS-PILE'!$D$72:$D$91))),IF('TS-PILE'!$B$78="",1E+99,'TO HOP NLAN'!D295/ncoc+IF(SUMSQ('TS-PILE'!$E$72:$E$91)=0,0,'TO HOP NLAN'!E295*'TS-PILE'!$E$78/SUMSQ('TS-PILE'!$E$72:$E$91))+IF(SUMSQ('TS-PILE'!$D$72:$D$91)=0,0,'TO HOP NLAN'!F295*'TS-PILE'!$D$78/SUMSQ('TS-PILE'!$D$72:$D$91))),IF('TS-PILE'!$B$79="",1E+99,'TO HOP NLAN'!D295/ncoc+IF(SUMSQ('TS-PILE'!$E$72:$E$91)=0,0,'TO HOP NLAN'!E295*'TS-PILE'!$E$79/SUMSQ('TS-PILE'!$E$72:$E$91))+IF(SUMSQ('TS-PILE'!$D$72:$D$91)=0,0,'TO HOP NLAN'!F295*'TS-PILE'!$D$79/SUMSQ('TS-PILE'!$D$72:$D$91))),IF('TS-PILE'!$B$80="",1E+99,'TO HOP NLAN'!D295/ncoc+IF(SUMSQ('TS-PILE'!$E$72:$E$91)=0,0,'TO HOP NLAN'!E295*'TS-PILE'!$E$80/SUMSQ('TS-PILE'!$E$72:$E$91))+IF(SUMSQ('TS-PILE'!$D$72:$D$91)=0,0,'TO HOP NLAN'!F295*'TS-PILE'!$D$80/SUMSQ('TS-PILE'!$D$72:$D$91))),IF('TS-PILE'!$B$81="",1E+99,'TO HOP NLAN'!D295/ncoc+IF(SUMSQ('TS-PILE'!$E$72:$E$91)=0,0,'TO HOP NLAN'!E295*'TS-PILE'!$E$81/SUMSQ('TS-PILE'!$E$72:$E$91))+IF(SUMSQ('TS-PILE'!$D$72:$D$91)=0,0,'TO HOP NLAN'!F295*'TS-PILE'!$D$81/SUMSQ('TS-PILE'!$D$72:$D$91))),IF('TS-PILE'!$B$82="",1E+99,'TO HOP NLAN'!D295/ncoc+IF(SUMSQ('TS-PILE'!$E$72:$E$91)=0,0,'TO HOP NLAN'!E295*'TS-PILE'!$E$82/SUMSQ('TS-PILE'!$E$72:$E$91))+IF(SUMSQ('TS-PILE'!$D$72:$D$91)=0,0,'TO HOP NLAN'!F295*'TS-PILE'!$D$82/SUMSQ('TS-PILE'!$D$72:$D$91))),IF('TS-PILE'!$B$83="",1E+99,'TO HOP NLAN'!D295/ncoc+IF(SUMSQ('TS-PILE'!$E$72:$E$91)=0,0,'TO HOP NLAN'!E295*'TS-PILE'!$E$83/SUMSQ('TS-PILE'!$E$72:$E$91))+IF(SUMSQ('TS-PILE'!$D$72:$D$91)=0,0,'TO HOP NLAN'!F295*'TS-PILE'!$D$83/SUMSQ('TS-PILE'!$D$72:$D$91))),IF('TS-PILE'!$B$84="",1E+99,'TO HOP NLAN'!D295/ncoc+IF(SUMSQ('TS-PILE'!$E$72:$E$91)=0,0,'TO HOP NLAN'!E295*'TS-PILE'!$E$84/SUMSQ('TS-PILE'!$E$72:$E$91))+IF(SUMSQ('TS-PILE'!$D$72:$D$91)=0,0,'TO HOP NLAN'!F295*'TS-PILE'!$D$84/SUMSQ('TS-PILE'!$D$72:$D$91))),IF('TS-PILE'!$B$85="",1E+99,'TO HOP NLAN'!D295/ncoc+IF(SUMSQ('TS-PILE'!$E$72:$E$91)=0,0,'TO HOP NLAN'!E295*'TS-PILE'!$E$85/SUMSQ('TS-PILE'!$E$72:$E$91))+IF(SUMSQ('TS-PILE'!$D$72:$D$91)=0,0,'TO HOP NLAN'!F295*'TS-PILE'!$D$85/SUMSQ('TS-PILE'!$D$72:$D$91))),IF('TS-PILE'!$B$86="",1E+99,'TO HOP NLAN'!D295/ncoc+IF(SUMSQ('TS-PILE'!$E$72:$E$91)=0,0,'TO HOP NLAN'!E295*'TS-PILE'!$E$86/SUMSQ('TS-PILE'!$E$72:$E$91))+IF(SUMSQ('TS-PILE'!$D$72:$D$91)=0,0,'TO HOP NLAN'!F295*'TS-PILE'!$D$86/SUMSQ('TS-PILE'!$D$72:$D$91))),IF('TS-PILE'!$B$87="",1E+99,'TO HOP NLAN'!D295/ncoc+IF(SUMSQ('TS-PILE'!$E$72:$E$91)=0,0,'TO HOP NLAN'!E295*'TS-PILE'!$E$87/SUMSQ('TS-PILE'!$E$72:$E$91))+IF(SUMSQ('TS-PILE'!$D$72:$D$91)=0,0,'TO HOP NLAN'!F295*'TS-PILE'!$D$87/SUMSQ('TS-PILE'!$D$72:$D$91))),IF('TS-PILE'!$B$88="",1E+99,'TO HOP NLAN'!D295/ncoc+IF(SUMSQ('TS-PILE'!$E$72:$E$91)=0,0,'TO HOP NLAN'!E295*'TS-PILE'!$E$88/SUMSQ('TS-PILE'!$E$72:$E$91))+IF(SUMSQ('TS-PILE'!$D$72:$D$91)=0,0,'TO HOP NLAN'!F295*'TS-PILE'!$D$88/SUMSQ('TS-PILE'!$D$72:$D$91))),IF('TS-PILE'!$B$89="",1E+99,'TO HOP NLAN'!D295/ncoc+IF(SUMSQ('TS-PILE'!$E$72:$E$91)=0,0,'TO HOP NLAN'!E295*'TS-PILE'!$E$89/SUMSQ('TS-PILE'!$E$72:$E$91))+IF(SUMSQ('TS-PILE'!$D$72:$D$91)=0,0,'TO HOP NLAN'!F295*'TS-PILE'!$D$89/SUMSQ('TS-PILE'!$D$72:$D$91))),IF('TS-PILE'!$B$90="",1E+99,'TO HOP NLAN'!D295/ncoc+IF(SUMSQ('TS-PILE'!$E$72:$E$91)=0,0,'TO HOP NLAN'!E295*'TS-PILE'!$E$90/SUMSQ('TS-PILE'!$E$72:$E$91))+IF(SUMSQ('TS-PILE'!$D$72:$D$91)=0,0,'TO HOP NLAN'!F295*'TS-PILE'!$D$90/SUMSQ('TS-PILE'!$D$72:$D$91))),IF('TS-PILE'!$B$91="",1E+99,'TO HOP NLAN'!D295/ncoc+IF(SUMSQ('TS-PILE'!$E$72:$E$91)=0,0,'TO HOP NLAN'!E295*'TS-PILE'!$E$91/SUMSQ('TS-PILE'!$E$72:$E$91))+IF(SUMSQ('TS-PILE'!$D$72:$D$91)=0,0,'TO HOP NLAN'!F295*'TS-PILE'!$D$91/SUMSQ('TS-PILE'!$D$72:$D$91)))))</f>
        <v>0</v>
      </c>
      <c r="E295" s="58">
        <f t="shared" si="16"/>
        <v>-9.9999999999999997E+98</v>
      </c>
      <c r="F295" s="58">
        <f t="shared" si="17"/>
        <v>9.9999999999999997E+98</v>
      </c>
      <c r="G295" s="58">
        <f t="shared" si="18"/>
        <v>-9.9999999999999997E+98</v>
      </c>
      <c r="H295" s="58">
        <f t="shared" si="19"/>
        <v>9.9999999999999997E+98</v>
      </c>
    </row>
    <row r="296" spans="1:8" x14ac:dyDescent="0.3">
      <c r="A296" s="42" t="str">
        <f>'TO HOP NLAN'!A296</f>
        <v/>
      </c>
      <c r="B296" s="42" t="str">
        <f>'TO HOP NLAN'!L296</f>
        <v>STRENGTH</v>
      </c>
      <c r="C296" s="58">
        <f>IF(A296="",0,MAX(IF('TS-PILE'!$B$72="",-1E+99,'TO HOP NLAN'!D296/ncoc+IF(SUMSQ('TS-PILE'!$E$72:$E$91)=0,0,'TO HOP NLAN'!E296*'TS-PILE'!$E$72/SUMSQ('TS-PILE'!$E$72:$E$91))+IF(SUMSQ('TS-PILE'!$D$72:$D$91)=0,0,'TO HOP NLAN'!F296*'TS-PILE'!$D$72/SUMSQ('TS-PILE'!$D$72:$D$91))),IF('TS-PILE'!$B$73="",-1E+99,'TO HOP NLAN'!D296/ncoc+IF(SUMSQ('TS-PILE'!$E$72:$E$91)=0,0,'TO HOP NLAN'!E296*'TS-PILE'!$E$73/SUMSQ('TS-PILE'!$E$72:$E$91))+IF(SUMSQ('TS-PILE'!$D$72:$D$91)=0,0,'TO HOP NLAN'!F296*'TS-PILE'!$D$73/SUMSQ('TS-PILE'!$D$72:$D$91))),IF('TS-PILE'!$B$74="",-1E+99,'TO HOP NLAN'!D296/ncoc+IF(SUMSQ('TS-PILE'!$E$72:$E$91)=0,0,'TO HOP NLAN'!E296*'TS-PILE'!$E$74/SUMSQ('TS-PILE'!$E$72:$E$91))+IF(SUMSQ('TS-PILE'!$D$72:$D$91)=0,0,'TO HOP NLAN'!F296*'TS-PILE'!$D$74/SUMSQ('TS-PILE'!$D$72:$D$91))),IF('TS-PILE'!$B$75="",-1E+99,'TO HOP NLAN'!D296/ncoc+IF(SUMSQ('TS-PILE'!$E$72:$E$91)=0,0,'TO HOP NLAN'!E296*'TS-PILE'!$E$75/SUMSQ('TS-PILE'!$E$72:$E$91))+IF(SUMSQ('TS-PILE'!$D$72:$D$91)=0,0,'TO HOP NLAN'!F296*'TS-PILE'!$D$75/SUMSQ('TS-PILE'!$D$72:$D$91))),IF('TS-PILE'!$B$76="",-1E+99,'TO HOP NLAN'!D296/ncoc+IF(SUMSQ('TS-PILE'!$E$72:$E$91)=0,0,'TO HOP NLAN'!E296*'TS-PILE'!$E$76/SUMSQ('TS-PILE'!$E$72:$E$91))+IF(SUMSQ('TS-PILE'!$D$72:$D$91)=0,0,'TO HOP NLAN'!F296*'TS-PILE'!$D$76/SUMSQ('TS-PILE'!$D$72:$D$91))),IF('TS-PILE'!$B$77="",-1E+99,'TO HOP NLAN'!D296/ncoc+IF(SUMSQ('TS-PILE'!$E$72:$E$91)=0,0,'TO HOP NLAN'!E296*'TS-PILE'!$E$77/SUMSQ('TS-PILE'!$E$72:$E$91))+IF(SUMSQ('TS-PILE'!$D$72:$D$91)=0,0,'TO HOP NLAN'!F296*'TS-PILE'!$D$77/SUMSQ('TS-PILE'!$D$72:$D$91))),IF('TS-PILE'!$B$78="",-1E+99,'TO HOP NLAN'!D296/ncoc+IF(SUMSQ('TS-PILE'!$E$72:$E$91)=0,0,'TO HOP NLAN'!E296*'TS-PILE'!$E$78/SUMSQ('TS-PILE'!$E$72:$E$91))+IF(SUMSQ('TS-PILE'!$D$72:$D$91)=0,0,'TO HOP NLAN'!F296*'TS-PILE'!$D$78/SUMSQ('TS-PILE'!$D$72:$D$91))),IF('TS-PILE'!$B$79="",-1E+99,'TO HOP NLAN'!D296/ncoc+IF(SUMSQ('TS-PILE'!$E$72:$E$91)=0,0,'TO HOP NLAN'!E296*'TS-PILE'!$E$79/SUMSQ('TS-PILE'!$E$72:$E$91))+IF(SUMSQ('TS-PILE'!$D$72:$D$91)=0,0,'TO HOP NLAN'!F296*'TS-PILE'!$D$79/SUMSQ('TS-PILE'!$D$72:$D$91))),IF('TS-PILE'!$B$80="",-1E+99,'TO HOP NLAN'!D296/ncoc+IF(SUMSQ('TS-PILE'!$E$72:$E$91)=0,0,'TO HOP NLAN'!E296*'TS-PILE'!$E$80/SUMSQ('TS-PILE'!$E$72:$E$91))+IF(SUMSQ('TS-PILE'!$D$72:$D$91)=0,0,'TO HOP NLAN'!F296*'TS-PILE'!$D$80/SUMSQ('TS-PILE'!$D$72:$D$91))),IF('TS-PILE'!$B$81="",-1E+99,'TO HOP NLAN'!D296/ncoc+IF(SUMSQ('TS-PILE'!$E$72:$E$91)=0,0,'TO HOP NLAN'!E296*'TS-PILE'!$E$81/SUMSQ('TS-PILE'!$E$72:$E$91))+IF(SUMSQ('TS-PILE'!$D$72:$D$91)=0,0,'TO HOP NLAN'!F296*'TS-PILE'!$D$81/SUMSQ('TS-PILE'!$D$72:$D$91))),IF('TS-PILE'!$B$82="",-1E+99,'TO HOP NLAN'!D296/ncoc+IF(SUMSQ('TS-PILE'!$E$72:$E$91)=0,0,'TO HOP NLAN'!E296*'TS-PILE'!$E$82/SUMSQ('TS-PILE'!$E$72:$E$91))+IF(SUMSQ('TS-PILE'!$D$72:$D$91)=0,0,'TO HOP NLAN'!F296*'TS-PILE'!$D$82/SUMSQ('TS-PILE'!$D$72:$D$91))),IF('TS-PILE'!$B$83="",-1E+99,'TO HOP NLAN'!D296/ncoc+IF(SUMSQ('TS-PILE'!$E$72:$E$91)=0,0,'TO HOP NLAN'!E296*'TS-PILE'!$E$83/SUMSQ('TS-PILE'!$E$72:$E$91))+IF(SUMSQ('TS-PILE'!$D$72:$D$91)=0,0,'TO HOP NLAN'!F296*'TS-PILE'!$D$83/SUMSQ('TS-PILE'!$D$72:$D$91))),IF('TS-PILE'!$B$84="",-1E+99,'TO HOP NLAN'!D296/ncoc+IF(SUMSQ('TS-PILE'!$E$72:$E$91)=0,0,'TO HOP NLAN'!E296*'TS-PILE'!$E$84/SUMSQ('TS-PILE'!$E$72:$E$91))+IF(SUMSQ('TS-PILE'!$D$72:$D$91)=0,0,'TO HOP NLAN'!F296*'TS-PILE'!$D$84/SUMSQ('TS-PILE'!$D$72:$D$91))),IF('TS-PILE'!$B$85="",-1E+99,'TO HOP NLAN'!D296/ncoc+IF(SUMSQ('TS-PILE'!$E$72:$E$91)=0,0,'TO HOP NLAN'!E296*'TS-PILE'!$E$85/SUMSQ('TS-PILE'!$E$72:$E$91))+IF(SUMSQ('TS-PILE'!$D$72:$D$91)=0,0,'TO HOP NLAN'!F296*'TS-PILE'!$D$85/SUMSQ('TS-PILE'!$D$72:$D$91))),IF('TS-PILE'!$B$86="",-1E+99,'TO HOP NLAN'!D296/ncoc+IF(SUMSQ('TS-PILE'!$E$72:$E$91)=0,0,'TO HOP NLAN'!E296*'TS-PILE'!$E$86/SUMSQ('TS-PILE'!$E$72:$E$91))+IF(SUMSQ('TS-PILE'!$D$72:$D$91)=0,0,'TO HOP NLAN'!F296*'TS-PILE'!$D$86/SUMSQ('TS-PILE'!$D$72:$D$91))),IF('TS-PILE'!$B$87="",-1E+99,'TO HOP NLAN'!D296/ncoc+IF(SUMSQ('TS-PILE'!$E$72:$E$91)=0,0,'TO HOP NLAN'!E296*'TS-PILE'!$E$87/SUMSQ('TS-PILE'!$E$72:$E$91))+IF(SUMSQ('TS-PILE'!$D$72:$D$91)=0,0,'TO HOP NLAN'!F296*'TS-PILE'!$D$87/SUMSQ('TS-PILE'!$D$72:$D$91))),IF('TS-PILE'!$B$88="",-1E+99,'TO HOP NLAN'!D296/ncoc+IF(SUMSQ('TS-PILE'!$E$72:$E$91)=0,0,'TO HOP NLAN'!E296*'TS-PILE'!$E$88/SUMSQ('TS-PILE'!$E$72:$E$91))+IF(SUMSQ('TS-PILE'!$D$72:$D$91)=0,0,'TO HOP NLAN'!F296*'TS-PILE'!$D$88/SUMSQ('TS-PILE'!$D$72:$D$91))),IF('TS-PILE'!$B$89="",-1E+99,'TO HOP NLAN'!D296/ncoc+IF(SUMSQ('TS-PILE'!$E$72:$E$91)=0,0,'TO HOP NLAN'!E296*'TS-PILE'!$E$89/SUMSQ('TS-PILE'!$E$72:$E$91))+IF(SUMSQ('TS-PILE'!$D$72:$D$91)=0,0,'TO HOP NLAN'!F296*'TS-PILE'!$D$89/SUMSQ('TS-PILE'!$D$72:$D$91))),IF('TS-PILE'!$B$90="",-1E+99,'TO HOP NLAN'!D296/ncoc+IF(SUMSQ('TS-PILE'!$E$72:$E$91)=0,0,'TO HOP NLAN'!E296*'TS-PILE'!$E$90/SUMSQ('TS-PILE'!$E$72:$E$91))+IF(SUMSQ('TS-PILE'!$D$72:$D$91)=0,0,'TO HOP NLAN'!F296*'TS-PILE'!$D$90/SUMSQ('TS-PILE'!$D$72:$D$91))),IF('TS-PILE'!$B$91="",-1E+99,'TO HOP NLAN'!D296/ncoc+IF(SUMSQ('TS-PILE'!$E$72:$E$91)=0,0,'TO HOP NLAN'!E296*'TS-PILE'!$E$91/SUMSQ('TS-PILE'!$E$72:$E$91))+IF(SUMSQ('TS-PILE'!$D$72:$D$91)=0,0,'TO HOP NLAN'!F296*'TS-PILE'!$D$91/SUMSQ('TS-PILE'!$D$72:$D$91)))))</f>
        <v>0</v>
      </c>
      <c r="D296" s="58">
        <f>IF(A296="",0,MIN(IF('TS-PILE'!$B$72="",1E+99,'TO HOP NLAN'!D296/ncoc+IF(SUMSQ('TS-PILE'!$E$72:$E$91)=0,0,'TO HOP NLAN'!E296*'TS-PILE'!$E$72/SUMSQ('TS-PILE'!$E$72:$E$91))+IF(SUMSQ('TS-PILE'!$D$72:$D$91)=0,0,'TO HOP NLAN'!F296*'TS-PILE'!$D$72/SUMSQ('TS-PILE'!$D$72:$D$91))),IF('TS-PILE'!$B$73="",1E+99,'TO HOP NLAN'!D296/ncoc+IF(SUMSQ('TS-PILE'!$E$72:$E$91)=0,0,'TO HOP NLAN'!E296*'TS-PILE'!$E$73/SUMSQ('TS-PILE'!$E$72:$E$91))+IF(SUMSQ('TS-PILE'!$D$72:$D$91)=0,0,'TO HOP NLAN'!F296*'TS-PILE'!$D$73/SUMSQ('TS-PILE'!$D$72:$D$91))),IF('TS-PILE'!$B$74="",1E+99,'TO HOP NLAN'!D296/ncoc+IF(SUMSQ('TS-PILE'!$E$72:$E$91)=0,0,'TO HOP NLAN'!E296*'TS-PILE'!$E$74/SUMSQ('TS-PILE'!$E$72:$E$91))+IF(SUMSQ('TS-PILE'!$D$72:$D$91)=0,0,'TO HOP NLAN'!F296*'TS-PILE'!$D$74/SUMSQ('TS-PILE'!$D$72:$D$91))),IF('TS-PILE'!$B$75="",1E+99,'TO HOP NLAN'!D296/ncoc+IF(SUMSQ('TS-PILE'!$E$72:$E$91)=0,0,'TO HOP NLAN'!E296*'TS-PILE'!$E$75/SUMSQ('TS-PILE'!$E$72:$E$91))+IF(SUMSQ('TS-PILE'!$D$72:$D$91)=0,0,'TO HOP NLAN'!F296*'TS-PILE'!$D$75/SUMSQ('TS-PILE'!$D$72:$D$91))),IF('TS-PILE'!$B$76="",1E+99,'TO HOP NLAN'!D296/ncoc+IF(SUMSQ('TS-PILE'!$E$72:$E$91)=0,0,'TO HOP NLAN'!E296*'TS-PILE'!$E$76/SUMSQ('TS-PILE'!$E$72:$E$91))+IF(SUMSQ('TS-PILE'!$D$72:$D$91)=0,0,'TO HOP NLAN'!F296*'TS-PILE'!$D$76/SUMSQ('TS-PILE'!$D$72:$D$91))),IF('TS-PILE'!$B$77="",1E+99,'TO HOP NLAN'!D296/ncoc+IF(SUMSQ('TS-PILE'!$E$72:$E$91)=0,0,'TO HOP NLAN'!E296*'TS-PILE'!$E$77/SUMSQ('TS-PILE'!$E$72:$E$91))+IF(SUMSQ('TS-PILE'!$D$72:$D$91)=0,0,'TO HOP NLAN'!F296*'TS-PILE'!$D$77/SUMSQ('TS-PILE'!$D$72:$D$91))),IF('TS-PILE'!$B$78="",1E+99,'TO HOP NLAN'!D296/ncoc+IF(SUMSQ('TS-PILE'!$E$72:$E$91)=0,0,'TO HOP NLAN'!E296*'TS-PILE'!$E$78/SUMSQ('TS-PILE'!$E$72:$E$91))+IF(SUMSQ('TS-PILE'!$D$72:$D$91)=0,0,'TO HOP NLAN'!F296*'TS-PILE'!$D$78/SUMSQ('TS-PILE'!$D$72:$D$91))),IF('TS-PILE'!$B$79="",1E+99,'TO HOP NLAN'!D296/ncoc+IF(SUMSQ('TS-PILE'!$E$72:$E$91)=0,0,'TO HOP NLAN'!E296*'TS-PILE'!$E$79/SUMSQ('TS-PILE'!$E$72:$E$91))+IF(SUMSQ('TS-PILE'!$D$72:$D$91)=0,0,'TO HOP NLAN'!F296*'TS-PILE'!$D$79/SUMSQ('TS-PILE'!$D$72:$D$91))),IF('TS-PILE'!$B$80="",1E+99,'TO HOP NLAN'!D296/ncoc+IF(SUMSQ('TS-PILE'!$E$72:$E$91)=0,0,'TO HOP NLAN'!E296*'TS-PILE'!$E$80/SUMSQ('TS-PILE'!$E$72:$E$91))+IF(SUMSQ('TS-PILE'!$D$72:$D$91)=0,0,'TO HOP NLAN'!F296*'TS-PILE'!$D$80/SUMSQ('TS-PILE'!$D$72:$D$91))),IF('TS-PILE'!$B$81="",1E+99,'TO HOP NLAN'!D296/ncoc+IF(SUMSQ('TS-PILE'!$E$72:$E$91)=0,0,'TO HOP NLAN'!E296*'TS-PILE'!$E$81/SUMSQ('TS-PILE'!$E$72:$E$91))+IF(SUMSQ('TS-PILE'!$D$72:$D$91)=0,0,'TO HOP NLAN'!F296*'TS-PILE'!$D$81/SUMSQ('TS-PILE'!$D$72:$D$91))),IF('TS-PILE'!$B$82="",1E+99,'TO HOP NLAN'!D296/ncoc+IF(SUMSQ('TS-PILE'!$E$72:$E$91)=0,0,'TO HOP NLAN'!E296*'TS-PILE'!$E$82/SUMSQ('TS-PILE'!$E$72:$E$91))+IF(SUMSQ('TS-PILE'!$D$72:$D$91)=0,0,'TO HOP NLAN'!F296*'TS-PILE'!$D$82/SUMSQ('TS-PILE'!$D$72:$D$91))),IF('TS-PILE'!$B$83="",1E+99,'TO HOP NLAN'!D296/ncoc+IF(SUMSQ('TS-PILE'!$E$72:$E$91)=0,0,'TO HOP NLAN'!E296*'TS-PILE'!$E$83/SUMSQ('TS-PILE'!$E$72:$E$91))+IF(SUMSQ('TS-PILE'!$D$72:$D$91)=0,0,'TO HOP NLAN'!F296*'TS-PILE'!$D$83/SUMSQ('TS-PILE'!$D$72:$D$91))),IF('TS-PILE'!$B$84="",1E+99,'TO HOP NLAN'!D296/ncoc+IF(SUMSQ('TS-PILE'!$E$72:$E$91)=0,0,'TO HOP NLAN'!E296*'TS-PILE'!$E$84/SUMSQ('TS-PILE'!$E$72:$E$91))+IF(SUMSQ('TS-PILE'!$D$72:$D$91)=0,0,'TO HOP NLAN'!F296*'TS-PILE'!$D$84/SUMSQ('TS-PILE'!$D$72:$D$91))),IF('TS-PILE'!$B$85="",1E+99,'TO HOP NLAN'!D296/ncoc+IF(SUMSQ('TS-PILE'!$E$72:$E$91)=0,0,'TO HOP NLAN'!E296*'TS-PILE'!$E$85/SUMSQ('TS-PILE'!$E$72:$E$91))+IF(SUMSQ('TS-PILE'!$D$72:$D$91)=0,0,'TO HOP NLAN'!F296*'TS-PILE'!$D$85/SUMSQ('TS-PILE'!$D$72:$D$91))),IF('TS-PILE'!$B$86="",1E+99,'TO HOP NLAN'!D296/ncoc+IF(SUMSQ('TS-PILE'!$E$72:$E$91)=0,0,'TO HOP NLAN'!E296*'TS-PILE'!$E$86/SUMSQ('TS-PILE'!$E$72:$E$91))+IF(SUMSQ('TS-PILE'!$D$72:$D$91)=0,0,'TO HOP NLAN'!F296*'TS-PILE'!$D$86/SUMSQ('TS-PILE'!$D$72:$D$91))),IF('TS-PILE'!$B$87="",1E+99,'TO HOP NLAN'!D296/ncoc+IF(SUMSQ('TS-PILE'!$E$72:$E$91)=0,0,'TO HOP NLAN'!E296*'TS-PILE'!$E$87/SUMSQ('TS-PILE'!$E$72:$E$91))+IF(SUMSQ('TS-PILE'!$D$72:$D$91)=0,0,'TO HOP NLAN'!F296*'TS-PILE'!$D$87/SUMSQ('TS-PILE'!$D$72:$D$91))),IF('TS-PILE'!$B$88="",1E+99,'TO HOP NLAN'!D296/ncoc+IF(SUMSQ('TS-PILE'!$E$72:$E$91)=0,0,'TO HOP NLAN'!E296*'TS-PILE'!$E$88/SUMSQ('TS-PILE'!$E$72:$E$91))+IF(SUMSQ('TS-PILE'!$D$72:$D$91)=0,0,'TO HOP NLAN'!F296*'TS-PILE'!$D$88/SUMSQ('TS-PILE'!$D$72:$D$91))),IF('TS-PILE'!$B$89="",1E+99,'TO HOP NLAN'!D296/ncoc+IF(SUMSQ('TS-PILE'!$E$72:$E$91)=0,0,'TO HOP NLAN'!E296*'TS-PILE'!$E$89/SUMSQ('TS-PILE'!$E$72:$E$91))+IF(SUMSQ('TS-PILE'!$D$72:$D$91)=0,0,'TO HOP NLAN'!F296*'TS-PILE'!$D$89/SUMSQ('TS-PILE'!$D$72:$D$91))),IF('TS-PILE'!$B$90="",1E+99,'TO HOP NLAN'!D296/ncoc+IF(SUMSQ('TS-PILE'!$E$72:$E$91)=0,0,'TO HOP NLAN'!E296*'TS-PILE'!$E$90/SUMSQ('TS-PILE'!$E$72:$E$91))+IF(SUMSQ('TS-PILE'!$D$72:$D$91)=0,0,'TO HOP NLAN'!F296*'TS-PILE'!$D$90/SUMSQ('TS-PILE'!$D$72:$D$91))),IF('TS-PILE'!$B$91="",1E+99,'TO HOP NLAN'!D296/ncoc+IF(SUMSQ('TS-PILE'!$E$72:$E$91)=0,0,'TO HOP NLAN'!E296*'TS-PILE'!$E$91/SUMSQ('TS-PILE'!$E$72:$E$91))+IF(SUMSQ('TS-PILE'!$D$72:$D$91)=0,0,'TO HOP NLAN'!F296*'TS-PILE'!$D$91/SUMSQ('TS-PILE'!$D$72:$D$91)))))</f>
        <v>0</v>
      </c>
      <c r="E296" s="58">
        <f t="shared" si="16"/>
        <v>-9.9999999999999997E+98</v>
      </c>
      <c r="F296" s="58">
        <f t="shared" si="17"/>
        <v>9.9999999999999997E+98</v>
      </c>
      <c r="G296" s="58">
        <f t="shared" si="18"/>
        <v>-9.9999999999999997E+98</v>
      </c>
      <c r="H296" s="58">
        <f t="shared" si="19"/>
        <v>9.9999999999999997E+98</v>
      </c>
    </row>
    <row r="297" spans="1:8" x14ac:dyDescent="0.3">
      <c r="A297" s="42" t="str">
        <f>'TO HOP NLAN'!A297</f>
        <v/>
      </c>
      <c r="B297" s="42" t="str">
        <f>'TO HOP NLAN'!L297</f>
        <v>STRENGTH</v>
      </c>
      <c r="C297" s="58">
        <f>IF(A297="",0,MAX(IF('TS-PILE'!$B$72="",-1E+99,'TO HOP NLAN'!D297/ncoc+IF(SUMSQ('TS-PILE'!$E$72:$E$91)=0,0,'TO HOP NLAN'!E297*'TS-PILE'!$E$72/SUMSQ('TS-PILE'!$E$72:$E$91))+IF(SUMSQ('TS-PILE'!$D$72:$D$91)=0,0,'TO HOP NLAN'!F297*'TS-PILE'!$D$72/SUMSQ('TS-PILE'!$D$72:$D$91))),IF('TS-PILE'!$B$73="",-1E+99,'TO HOP NLAN'!D297/ncoc+IF(SUMSQ('TS-PILE'!$E$72:$E$91)=0,0,'TO HOP NLAN'!E297*'TS-PILE'!$E$73/SUMSQ('TS-PILE'!$E$72:$E$91))+IF(SUMSQ('TS-PILE'!$D$72:$D$91)=0,0,'TO HOP NLAN'!F297*'TS-PILE'!$D$73/SUMSQ('TS-PILE'!$D$72:$D$91))),IF('TS-PILE'!$B$74="",-1E+99,'TO HOP NLAN'!D297/ncoc+IF(SUMSQ('TS-PILE'!$E$72:$E$91)=0,0,'TO HOP NLAN'!E297*'TS-PILE'!$E$74/SUMSQ('TS-PILE'!$E$72:$E$91))+IF(SUMSQ('TS-PILE'!$D$72:$D$91)=0,0,'TO HOP NLAN'!F297*'TS-PILE'!$D$74/SUMSQ('TS-PILE'!$D$72:$D$91))),IF('TS-PILE'!$B$75="",-1E+99,'TO HOP NLAN'!D297/ncoc+IF(SUMSQ('TS-PILE'!$E$72:$E$91)=0,0,'TO HOP NLAN'!E297*'TS-PILE'!$E$75/SUMSQ('TS-PILE'!$E$72:$E$91))+IF(SUMSQ('TS-PILE'!$D$72:$D$91)=0,0,'TO HOP NLAN'!F297*'TS-PILE'!$D$75/SUMSQ('TS-PILE'!$D$72:$D$91))),IF('TS-PILE'!$B$76="",-1E+99,'TO HOP NLAN'!D297/ncoc+IF(SUMSQ('TS-PILE'!$E$72:$E$91)=0,0,'TO HOP NLAN'!E297*'TS-PILE'!$E$76/SUMSQ('TS-PILE'!$E$72:$E$91))+IF(SUMSQ('TS-PILE'!$D$72:$D$91)=0,0,'TO HOP NLAN'!F297*'TS-PILE'!$D$76/SUMSQ('TS-PILE'!$D$72:$D$91))),IF('TS-PILE'!$B$77="",-1E+99,'TO HOP NLAN'!D297/ncoc+IF(SUMSQ('TS-PILE'!$E$72:$E$91)=0,0,'TO HOP NLAN'!E297*'TS-PILE'!$E$77/SUMSQ('TS-PILE'!$E$72:$E$91))+IF(SUMSQ('TS-PILE'!$D$72:$D$91)=0,0,'TO HOP NLAN'!F297*'TS-PILE'!$D$77/SUMSQ('TS-PILE'!$D$72:$D$91))),IF('TS-PILE'!$B$78="",-1E+99,'TO HOP NLAN'!D297/ncoc+IF(SUMSQ('TS-PILE'!$E$72:$E$91)=0,0,'TO HOP NLAN'!E297*'TS-PILE'!$E$78/SUMSQ('TS-PILE'!$E$72:$E$91))+IF(SUMSQ('TS-PILE'!$D$72:$D$91)=0,0,'TO HOP NLAN'!F297*'TS-PILE'!$D$78/SUMSQ('TS-PILE'!$D$72:$D$91))),IF('TS-PILE'!$B$79="",-1E+99,'TO HOP NLAN'!D297/ncoc+IF(SUMSQ('TS-PILE'!$E$72:$E$91)=0,0,'TO HOP NLAN'!E297*'TS-PILE'!$E$79/SUMSQ('TS-PILE'!$E$72:$E$91))+IF(SUMSQ('TS-PILE'!$D$72:$D$91)=0,0,'TO HOP NLAN'!F297*'TS-PILE'!$D$79/SUMSQ('TS-PILE'!$D$72:$D$91))),IF('TS-PILE'!$B$80="",-1E+99,'TO HOP NLAN'!D297/ncoc+IF(SUMSQ('TS-PILE'!$E$72:$E$91)=0,0,'TO HOP NLAN'!E297*'TS-PILE'!$E$80/SUMSQ('TS-PILE'!$E$72:$E$91))+IF(SUMSQ('TS-PILE'!$D$72:$D$91)=0,0,'TO HOP NLAN'!F297*'TS-PILE'!$D$80/SUMSQ('TS-PILE'!$D$72:$D$91))),IF('TS-PILE'!$B$81="",-1E+99,'TO HOP NLAN'!D297/ncoc+IF(SUMSQ('TS-PILE'!$E$72:$E$91)=0,0,'TO HOP NLAN'!E297*'TS-PILE'!$E$81/SUMSQ('TS-PILE'!$E$72:$E$91))+IF(SUMSQ('TS-PILE'!$D$72:$D$91)=0,0,'TO HOP NLAN'!F297*'TS-PILE'!$D$81/SUMSQ('TS-PILE'!$D$72:$D$91))),IF('TS-PILE'!$B$82="",-1E+99,'TO HOP NLAN'!D297/ncoc+IF(SUMSQ('TS-PILE'!$E$72:$E$91)=0,0,'TO HOP NLAN'!E297*'TS-PILE'!$E$82/SUMSQ('TS-PILE'!$E$72:$E$91))+IF(SUMSQ('TS-PILE'!$D$72:$D$91)=0,0,'TO HOP NLAN'!F297*'TS-PILE'!$D$82/SUMSQ('TS-PILE'!$D$72:$D$91))),IF('TS-PILE'!$B$83="",-1E+99,'TO HOP NLAN'!D297/ncoc+IF(SUMSQ('TS-PILE'!$E$72:$E$91)=0,0,'TO HOP NLAN'!E297*'TS-PILE'!$E$83/SUMSQ('TS-PILE'!$E$72:$E$91))+IF(SUMSQ('TS-PILE'!$D$72:$D$91)=0,0,'TO HOP NLAN'!F297*'TS-PILE'!$D$83/SUMSQ('TS-PILE'!$D$72:$D$91))),IF('TS-PILE'!$B$84="",-1E+99,'TO HOP NLAN'!D297/ncoc+IF(SUMSQ('TS-PILE'!$E$72:$E$91)=0,0,'TO HOP NLAN'!E297*'TS-PILE'!$E$84/SUMSQ('TS-PILE'!$E$72:$E$91))+IF(SUMSQ('TS-PILE'!$D$72:$D$91)=0,0,'TO HOP NLAN'!F297*'TS-PILE'!$D$84/SUMSQ('TS-PILE'!$D$72:$D$91))),IF('TS-PILE'!$B$85="",-1E+99,'TO HOP NLAN'!D297/ncoc+IF(SUMSQ('TS-PILE'!$E$72:$E$91)=0,0,'TO HOP NLAN'!E297*'TS-PILE'!$E$85/SUMSQ('TS-PILE'!$E$72:$E$91))+IF(SUMSQ('TS-PILE'!$D$72:$D$91)=0,0,'TO HOP NLAN'!F297*'TS-PILE'!$D$85/SUMSQ('TS-PILE'!$D$72:$D$91))),IF('TS-PILE'!$B$86="",-1E+99,'TO HOP NLAN'!D297/ncoc+IF(SUMSQ('TS-PILE'!$E$72:$E$91)=0,0,'TO HOP NLAN'!E297*'TS-PILE'!$E$86/SUMSQ('TS-PILE'!$E$72:$E$91))+IF(SUMSQ('TS-PILE'!$D$72:$D$91)=0,0,'TO HOP NLAN'!F297*'TS-PILE'!$D$86/SUMSQ('TS-PILE'!$D$72:$D$91))),IF('TS-PILE'!$B$87="",-1E+99,'TO HOP NLAN'!D297/ncoc+IF(SUMSQ('TS-PILE'!$E$72:$E$91)=0,0,'TO HOP NLAN'!E297*'TS-PILE'!$E$87/SUMSQ('TS-PILE'!$E$72:$E$91))+IF(SUMSQ('TS-PILE'!$D$72:$D$91)=0,0,'TO HOP NLAN'!F297*'TS-PILE'!$D$87/SUMSQ('TS-PILE'!$D$72:$D$91))),IF('TS-PILE'!$B$88="",-1E+99,'TO HOP NLAN'!D297/ncoc+IF(SUMSQ('TS-PILE'!$E$72:$E$91)=0,0,'TO HOP NLAN'!E297*'TS-PILE'!$E$88/SUMSQ('TS-PILE'!$E$72:$E$91))+IF(SUMSQ('TS-PILE'!$D$72:$D$91)=0,0,'TO HOP NLAN'!F297*'TS-PILE'!$D$88/SUMSQ('TS-PILE'!$D$72:$D$91))),IF('TS-PILE'!$B$89="",-1E+99,'TO HOP NLAN'!D297/ncoc+IF(SUMSQ('TS-PILE'!$E$72:$E$91)=0,0,'TO HOP NLAN'!E297*'TS-PILE'!$E$89/SUMSQ('TS-PILE'!$E$72:$E$91))+IF(SUMSQ('TS-PILE'!$D$72:$D$91)=0,0,'TO HOP NLAN'!F297*'TS-PILE'!$D$89/SUMSQ('TS-PILE'!$D$72:$D$91))),IF('TS-PILE'!$B$90="",-1E+99,'TO HOP NLAN'!D297/ncoc+IF(SUMSQ('TS-PILE'!$E$72:$E$91)=0,0,'TO HOP NLAN'!E297*'TS-PILE'!$E$90/SUMSQ('TS-PILE'!$E$72:$E$91))+IF(SUMSQ('TS-PILE'!$D$72:$D$91)=0,0,'TO HOP NLAN'!F297*'TS-PILE'!$D$90/SUMSQ('TS-PILE'!$D$72:$D$91))),IF('TS-PILE'!$B$91="",-1E+99,'TO HOP NLAN'!D297/ncoc+IF(SUMSQ('TS-PILE'!$E$72:$E$91)=0,0,'TO HOP NLAN'!E297*'TS-PILE'!$E$91/SUMSQ('TS-PILE'!$E$72:$E$91))+IF(SUMSQ('TS-PILE'!$D$72:$D$91)=0,0,'TO HOP NLAN'!F297*'TS-PILE'!$D$91/SUMSQ('TS-PILE'!$D$72:$D$91)))))</f>
        <v>0</v>
      </c>
      <c r="D297" s="58">
        <f>IF(A297="",0,MIN(IF('TS-PILE'!$B$72="",1E+99,'TO HOP NLAN'!D297/ncoc+IF(SUMSQ('TS-PILE'!$E$72:$E$91)=0,0,'TO HOP NLAN'!E297*'TS-PILE'!$E$72/SUMSQ('TS-PILE'!$E$72:$E$91))+IF(SUMSQ('TS-PILE'!$D$72:$D$91)=0,0,'TO HOP NLAN'!F297*'TS-PILE'!$D$72/SUMSQ('TS-PILE'!$D$72:$D$91))),IF('TS-PILE'!$B$73="",1E+99,'TO HOP NLAN'!D297/ncoc+IF(SUMSQ('TS-PILE'!$E$72:$E$91)=0,0,'TO HOP NLAN'!E297*'TS-PILE'!$E$73/SUMSQ('TS-PILE'!$E$72:$E$91))+IF(SUMSQ('TS-PILE'!$D$72:$D$91)=0,0,'TO HOP NLAN'!F297*'TS-PILE'!$D$73/SUMSQ('TS-PILE'!$D$72:$D$91))),IF('TS-PILE'!$B$74="",1E+99,'TO HOP NLAN'!D297/ncoc+IF(SUMSQ('TS-PILE'!$E$72:$E$91)=0,0,'TO HOP NLAN'!E297*'TS-PILE'!$E$74/SUMSQ('TS-PILE'!$E$72:$E$91))+IF(SUMSQ('TS-PILE'!$D$72:$D$91)=0,0,'TO HOP NLAN'!F297*'TS-PILE'!$D$74/SUMSQ('TS-PILE'!$D$72:$D$91))),IF('TS-PILE'!$B$75="",1E+99,'TO HOP NLAN'!D297/ncoc+IF(SUMSQ('TS-PILE'!$E$72:$E$91)=0,0,'TO HOP NLAN'!E297*'TS-PILE'!$E$75/SUMSQ('TS-PILE'!$E$72:$E$91))+IF(SUMSQ('TS-PILE'!$D$72:$D$91)=0,0,'TO HOP NLAN'!F297*'TS-PILE'!$D$75/SUMSQ('TS-PILE'!$D$72:$D$91))),IF('TS-PILE'!$B$76="",1E+99,'TO HOP NLAN'!D297/ncoc+IF(SUMSQ('TS-PILE'!$E$72:$E$91)=0,0,'TO HOP NLAN'!E297*'TS-PILE'!$E$76/SUMSQ('TS-PILE'!$E$72:$E$91))+IF(SUMSQ('TS-PILE'!$D$72:$D$91)=0,0,'TO HOP NLAN'!F297*'TS-PILE'!$D$76/SUMSQ('TS-PILE'!$D$72:$D$91))),IF('TS-PILE'!$B$77="",1E+99,'TO HOP NLAN'!D297/ncoc+IF(SUMSQ('TS-PILE'!$E$72:$E$91)=0,0,'TO HOP NLAN'!E297*'TS-PILE'!$E$77/SUMSQ('TS-PILE'!$E$72:$E$91))+IF(SUMSQ('TS-PILE'!$D$72:$D$91)=0,0,'TO HOP NLAN'!F297*'TS-PILE'!$D$77/SUMSQ('TS-PILE'!$D$72:$D$91))),IF('TS-PILE'!$B$78="",1E+99,'TO HOP NLAN'!D297/ncoc+IF(SUMSQ('TS-PILE'!$E$72:$E$91)=0,0,'TO HOP NLAN'!E297*'TS-PILE'!$E$78/SUMSQ('TS-PILE'!$E$72:$E$91))+IF(SUMSQ('TS-PILE'!$D$72:$D$91)=0,0,'TO HOP NLAN'!F297*'TS-PILE'!$D$78/SUMSQ('TS-PILE'!$D$72:$D$91))),IF('TS-PILE'!$B$79="",1E+99,'TO HOP NLAN'!D297/ncoc+IF(SUMSQ('TS-PILE'!$E$72:$E$91)=0,0,'TO HOP NLAN'!E297*'TS-PILE'!$E$79/SUMSQ('TS-PILE'!$E$72:$E$91))+IF(SUMSQ('TS-PILE'!$D$72:$D$91)=0,0,'TO HOP NLAN'!F297*'TS-PILE'!$D$79/SUMSQ('TS-PILE'!$D$72:$D$91))),IF('TS-PILE'!$B$80="",1E+99,'TO HOP NLAN'!D297/ncoc+IF(SUMSQ('TS-PILE'!$E$72:$E$91)=0,0,'TO HOP NLAN'!E297*'TS-PILE'!$E$80/SUMSQ('TS-PILE'!$E$72:$E$91))+IF(SUMSQ('TS-PILE'!$D$72:$D$91)=0,0,'TO HOP NLAN'!F297*'TS-PILE'!$D$80/SUMSQ('TS-PILE'!$D$72:$D$91))),IF('TS-PILE'!$B$81="",1E+99,'TO HOP NLAN'!D297/ncoc+IF(SUMSQ('TS-PILE'!$E$72:$E$91)=0,0,'TO HOP NLAN'!E297*'TS-PILE'!$E$81/SUMSQ('TS-PILE'!$E$72:$E$91))+IF(SUMSQ('TS-PILE'!$D$72:$D$91)=0,0,'TO HOP NLAN'!F297*'TS-PILE'!$D$81/SUMSQ('TS-PILE'!$D$72:$D$91))),IF('TS-PILE'!$B$82="",1E+99,'TO HOP NLAN'!D297/ncoc+IF(SUMSQ('TS-PILE'!$E$72:$E$91)=0,0,'TO HOP NLAN'!E297*'TS-PILE'!$E$82/SUMSQ('TS-PILE'!$E$72:$E$91))+IF(SUMSQ('TS-PILE'!$D$72:$D$91)=0,0,'TO HOP NLAN'!F297*'TS-PILE'!$D$82/SUMSQ('TS-PILE'!$D$72:$D$91))),IF('TS-PILE'!$B$83="",1E+99,'TO HOP NLAN'!D297/ncoc+IF(SUMSQ('TS-PILE'!$E$72:$E$91)=0,0,'TO HOP NLAN'!E297*'TS-PILE'!$E$83/SUMSQ('TS-PILE'!$E$72:$E$91))+IF(SUMSQ('TS-PILE'!$D$72:$D$91)=0,0,'TO HOP NLAN'!F297*'TS-PILE'!$D$83/SUMSQ('TS-PILE'!$D$72:$D$91))),IF('TS-PILE'!$B$84="",1E+99,'TO HOP NLAN'!D297/ncoc+IF(SUMSQ('TS-PILE'!$E$72:$E$91)=0,0,'TO HOP NLAN'!E297*'TS-PILE'!$E$84/SUMSQ('TS-PILE'!$E$72:$E$91))+IF(SUMSQ('TS-PILE'!$D$72:$D$91)=0,0,'TO HOP NLAN'!F297*'TS-PILE'!$D$84/SUMSQ('TS-PILE'!$D$72:$D$91))),IF('TS-PILE'!$B$85="",1E+99,'TO HOP NLAN'!D297/ncoc+IF(SUMSQ('TS-PILE'!$E$72:$E$91)=0,0,'TO HOP NLAN'!E297*'TS-PILE'!$E$85/SUMSQ('TS-PILE'!$E$72:$E$91))+IF(SUMSQ('TS-PILE'!$D$72:$D$91)=0,0,'TO HOP NLAN'!F297*'TS-PILE'!$D$85/SUMSQ('TS-PILE'!$D$72:$D$91))),IF('TS-PILE'!$B$86="",1E+99,'TO HOP NLAN'!D297/ncoc+IF(SUMSQ('TS-PILE'!$E$72:$E$91)=0,0,'TO HOP NLAN'!E297*'TS-PILE'!$E$86/SUMSQ('TS-PILE'!$E$72:$E$91))+IF(SUMSQ('TS-PILE'!$D$72:$D$91)=0,0,'TO HOP NLAN'!F297*'TS-PILE'!$D$86/SUMSQ('TS-PILE'!$D$72:$D$91))),IF('TS-PILE'!$B$87="",1E+99,'TO HOP NLAN'!D297/ncoc+IF(SUMSQ('TS-PILE'!$E$72:$E$91)=0,0,'TO HOP NLAN'!E297*'TS-PILE'!$E$87/SUMSQ('TS-PILE'!$E$72:$E$91))+IF(SUMSQ('TS-PILE'!$D$72:$D$91)=0,0,'TO HOP NLAN'!F297*'TS-PILE'!$D$87/SUMSQ('TS-PILE'!$D$72:$D$91))),IF('TS-PILE'!$B$88="",1E+99,'TO HOP NLAN'!D297/ncoc+IF(SUMSQ('TS-PILE'!$E$72:$E$91)=0,0,'TO HOP NLAN'!E297*'TS-PILE'!$E$88/SUMSQ('TS-PILE'!$E$72:$E$91))+IF(SUMSQ('TS-PILE'!$D$72:$D$91)=0,0,'TO HOP NLAN'!F297*'TS-PILE'!$D$88/SUMSQ('TS-PILE'!$D$72:$D$91))),IF('TS-PILE'!$B$89="",1E+99,'TO HOP NLAN'!D297/ncoc+IF(SUMSQ('TS-PILE'!$E$72:$E$91)=0,0,'TO HOP NLAN'!E297*'TS-PILE'!$E$89/SUMSQ('TS-PILE'!$E$72:$E$91))+IF(SUMSQ('TS-PILE'!$D$72:$D$91)=0,0,'TO HOP NLAN'!F297*'TS-PILE'!$D$89/SUMSQ('TS-PILE'!$D$72:$D$91))),IF('TS-PILE'!$B$90="",1E+99,'TO HOP NLAN'!D297/ncoc+IF(SUMSQ('TS-PILE'!$E$72:$E$91)=0,0,'TO HOP NLAN'!E297*'TS-PILE'!$E$90/SUMSQ('TS-PILE'!$E$72:$E$91))+IF(SUMSQ('TS-PILE'!$D$72:$D$91)=0,0,'TO HOP NLAN'!F297*'TS-PILE'!$D$90/SUMSQ('TS-PILE'!$D$72:$D$91))),IF('TS-PILE'!$B$91="",1E+99,'TO HOP NLAN'!D297/ncoc+IF(SUMSQ('TS-PILE'!$E$72:$E$91)=0,0,'TO HOP NLAN'!E297*'TS-PILE'!$E$91/SUMSQ('TS-PILE'!$E$72:$E$91))+IF(SUMSQ('TS-PILE'!$D$72:$D$91)=0,0,'TO HOP NLAN'!F297*'TS-PILE'!$D$91/SUMSQ('TS-PILE'!$D$72:$D$91)))))</f>
        <v>0</v>
      </c>
      <c r="E297" s="58">
        <f t="shared" si="16"/>
        <v>-9.9999999999999997E+98</v>
      </c>
      <c r="F297" s="58">
        <f t="shared" si="17"/>
        <v>9.9999999999999997E+98</v>
      </c>
      <c r="G297" s="58">
        <f t="shared" si="18"/>
        <v>-9.9999999999999997E+98</v>
      </c>
      <c r="H297" s="58">
        <f t="shared" si="19"/>
        <v>9.9999999999999997E+98</v>
      </c>
    </row>
    <row r="298" spans="1:8" x14ac:dyDescent="0.3">
      <c r="A298" s="42" t="str">
        <f>'TO HOP NLAN'!A298</f>
        <v/>
      </c>
      <c r="B298" s="42" t="str">
        <f>'TO HOP NLAN'!L298</f>
        <v>STRENGTH</v>
      </c>
      <c r="C298" s="58">
        <f>IF(A298="",0,MAX(IF('TS-PILE'!$B$72="",-1E+99,'TO HOP NLAN'!D298/ncoc+IF(SUMSQ('TS-PILE'!$E$72:$E$91)=0,0,'TO HOP NLAN'!E298*'TS-PILE'!$E$72/SUMSQ('TS-PILE'!$E$72:$E$91))+IF(SUMSQ('TS-PILE'!$D$72:$D$91)=0,0,'TO HOP NLAN'!F298*'TS-PILE'!$D$72/SUMSQ('TS-PILE'!$D$72:$D$91))),IF('TS-PILE'!$B$73="",-1E+99,'TO HOP NLAN'!D298/ncoc+IF(SUMSQ('TS-PILE'!$E$72:$E$91)=0,0,'TO HOP NLAN'!E298*'TS-PILE'!$E$73/SUMSQ('TS-PILE'!$E$72:$E$91))+IF(SUMSQ('TS-PILE'!$D$72:$D$91)=0,0,'TO HOP NLAN'!F298*'TS-PILE'!$D$73/SUMSQ('TS-PILE'!$D$72:$D$91))),IF('TS-PILE'!$B$74="",-1E+99,'TO HOP NLAN'!D298/ncoc+IF(SUMSQ('TS-PILE'!$E$72:$E$91)=0,0,'TO HOP NLAN'!E298*'TS-PILE'!$E$74/SUMSQ('TS-PILE'!$E$72:$E$91))+IF(SUMSQ('TS-PILE'!$D$72:$D$91)=0,0,'TO HOP NLAN'!F298*'TS-PILE'!$D$74/SUMSQ('TS-PILE'!$D$72:$D$91))),IF('TS-PILE'!$B$75="",-1E+99,'TO HOP NLAN'!D298/ncoc+IF(SUMSQ('TS-PILE'!$E$72:$E$91)=0,0,'TO HOP NLAN'!E298*'TS-PILE'!$E$75/SUMSQ('TS-PILE'!$E$72:$E$91))+IF(SUMSQ('TS-PILE'!$D$72:$D$91)=0,0,'TO HOP NLAN'!F298*'TS-PILE'!$D$75/SUMSQ('TS-PILE'!$D$72:$D$91))),IF('TS-PILE'!$B$76="",-1E+99,'TO HOP NLAN'!D298/ncoc+IF(SUMSQ('TS-PILE'!$E$72:$E$91)=0,0,'TO HOP NLAN'!E298*'TS-PILE'!$E$76/SUMSQ('TS-PILE'!$E$72:$E$91))+IF(SUMSQ('TS-PILE'!$D$72:$D$91)=0,0,'TO HOP NLAN'!F298*'TS-PILE'!$D$76/SUMSQ('TS-PILE'!$D$72:$D$91))),IF('TS-PILE'!$B$77="",-1E+99,'TO HOP NLAN'!D298/ncoc+IF(SUMSQ('TS-PILE'!$E$72:$E$91)=0,0,'TO HOP NLAN'!E298*'TS-PILE'!$E$77/SUMSQ('TS-PILE'!$E$72:$E$91))+IF(SUMSQ('TS-PILE'!$D$72:$D$91)=0,0,'TO HOP NLAN'!F298*'TS-PILE'!$D$77/SUMSQ('TS-PILE'!$D$72:$D$91))),IF('TS-PILE'!$B$78="",-1E+99,'TO HOP NLAN'!D298/ncoc+IF(SUMSQ('TS-PILE'!$E$72:$E$91)=0,0,'TO HOP NLAN'!E298*'TS-PILE'!$E$78/SUMSQ('TS-PILE'!$E$72:$E$91))+IF(SUMSQ('TS-PILE'!$D$72:$D$91)=0,0,'TO HOP NLAN'!F298*'TS-PILE'!$D$78/SUMSQ('TS-PILE'!$D$72:$D$91))),IF('TS-PILE'!$B$79="",-1E+99,'TO HOP NLAN'!D298/ncoc+IF(SUMSQ('TS-PILE'!$E$72:$E$91)=0,0,'TO HOP NLAN'!E298*'TS-PILE'!$E$79/SUMSQ('TS-PILE'!$E$72:$E$91))+IF(SUMSQ('TS-PILE'!$D$72:$D$91)=0,0,'TO HOP NLAN'!F298*'TS-PILE'!$D$79/SUMSQ('TS-PILE'!$D$72:$D$91))),IF('TS-PILE'!$B$80="",-1E+99,'TO HOP NLAN'!D298/ncoc+IF(SUMSQ('TS-PILE'!$E$72:$E$91)=0,0,'TO HOP NLAN'!E298*'TS-PILE'!$E$80/SUMSQ('TS-PILE'!$E$72:$E$91))+IF(SUMSQ('TS-PILE'!$D$72:$D$91)=0,0,'TO HOP NLAN'!F298*'TS-PILE'!$D$80/SUMSQ('TS-PILE'!$D$72:$D$91))),IF('TS-PILE'!$B$81="",-1E+99,'TO HOP NLAN'!D298/ncoc+IF(SUMSQ('TS-PILE'!$E$72:$E$91)=0,0,'TO HOP NLAN'!E298*'TS-PILE'!$E$81/SUMSQ('TS-PILE'!$E$72:$E$91))+IF(SUMSQ('TS-PILE'!$D$72:$D$91)=0,0,'TO HOP NLAN'!F298*'TS-PILE'!$D$81/SUMSQ('TS-PILE'!$D$72:$D$91))),IF('TS-PILE'!$B$82="",-1E+99,'TO HOP NLAN'!D298/ncoc+IF(SUMSQ('TS-PILE'!$E$72:$E$91)=0,0,'TO HOP NLAN'!E298*'TS-PILE'!$E$82/SUMSQ('TS-PILE'!$E$72:$E$91))+IF(SUMSQ('TS-PILE'!$D$72:$D$91)=0,0,'TO HOP NLAN'!F298*'TS-PILE'!$D$82/SUMSQ('TS-PILE'!$D$72:$D$91))),IF('TS-PILE'!$B$83="",-1E+99,'TO HOP NLAN'!D298/ncoc+IF(SUMSQ('TS-PILE'!$E$72:$E$91)=0,0,'TO HOP NLAN'!E298*'TS-PILE'!$E$83/SUMSQ('TS-PILE'!$E$72:$E$91))+IF(SUMSQ('TS-PILE'!$D$72:$D$91)=0,0,'TO HOP NLAN'!F298*'TS-PILE'!$D$83/SUMSQ('TS-PILE'!$D$72:$D$91))),IF('TS-PILE'!$B$84="",-1E+99,'TO HOP NLAN'!D298/ncoc+IF(SUMSQ('TS-PILE'!$E$72:$E$91)=0,0,'TO HOP NLAN'!E298*'TS-PILE'!$E$84/SUMSQ('TS-PILE'!$E$72:$E$91))+IF(SUMSQ('TS-PILE'!$D$72:$D$91)=0,0,'TO HOP NLAN'!F298*'TS-PILE'!$D$84/SUMSQ('TS-PILE'!$D$72:$D$91))),IF('TS-PILE'!$B$85="",-1E+99,'TO HOP NLAN'!D298/ncoc+IF(SUMSQ('TS-PILE'!$E$72:$E$91)=0,0,'TO HOP NLAN'!E298*'TS-PILE'!$E$85/SUMSQ('TS-PILE'!$E$72:$E$91))+IF(SUMSQ('TS-PILE'!$D$72:$D$91)=0,0,'TO HOP NLAN'!F298*'TS-PILE'!$D$85/SUMSQ('TS-PILE'!$D$72:$D$91))),IF('TS-PILE'!$B$86="",-1E+99,'TO HOP NLAN'!D298/ncoc+IF(SUMSQ('TS-PILE'!$E$72:$E$91)=0,0,'TO HOP NLAN'!E298*'TS-PILE'!$E$86/SUMSQ('TS-PILE'!$E$72:$E$91))+IF(SUMSQ('TS-PILE'!$D$72:$D$91)=0,0,'TO HOP NLAN'!F298*'TS-PILE'!$D$86/SUMSQ('TS-PILE'!$D$72:$D$91))),IF('TS-PILE'!$B$87="",-1E+99,'TO HOP NLAN'!D298/ncoc+IF(SUMSQ('TS-PILE'!$E$72:$E$91)=0,0,'TO HOP NLAN'!E298*'TS-PILE'!$E$87/SUMSQ('TS-PILE'!$E$72:$E$91))+IF(SUMSQ('TS-PILE'!$D$72:$D$91)=0,0,'TO HOP NLAN'!F298*'TS-PILE'!$D$87/SUMSQ('TS-PILE'!$D$72:$D$91))),IF('TS-PILE'!$B$88="",-1E+99,'TO HOP NLAN'!D298/ncoc+IF(SUMSQ('TS-PILE'!$E$72:$E$91)=0,0,'TO HOP NLAN'!E298*'TS-PILE'!$E$88/SUMSQ('TS-PILE'!$E$72:$E$91))+IF(SUMSQ('TS-PILE'!$D$72:$D$91)=0,0,'TO HOP NLAN'!F298*'TS-PILE'!$D$88/SUMSQ('TS-PILE'!$D$72:$D$91))),IF('TS-PILE'!$B$89="",-1E+99,'TO HOP NLAN'!D298/ncoc+IF(SUMSQ('TS-PILE'!$E$72:$E$91)=0,0,'TO HOP NLAN'!E298*'TS-PILE'!$E$89/SUMSQ('TS-PILE'!$E$72:$E$91))+IF(SUMSQ('TS-PILE'!$D$72:$D$91)=0,0,'TO HOP NLAN'!F298*'TS-PILE'!$D$89/SUMSQ('TS-PILE'!$D$72:$D$91))),IF('TS-PILE'!$B$90="",-1E+99,'TO HOP NLAN'!D298/ncoc+IF(SUMSQ('TS-PILE'!$E$72:$E$91)=0,0,'TO HOP NLAN'!E298*'TS-PILE'!$E$90/SUMSQ('TS-PILE'!$E$72:$E$91))+IF(SUMSQ('TS-PILE'!$D$72:$D$91)=0,0,'TO HOP NLAN'!F298*'TS-PILE'!$D$90/SUMSQ('TS-PILE'!$D$72:$D$91))),IF('TS-PILE'!$B$91="",-1E+99,'TO HOP NLAN'!D298/ncoc+IF(SUMSQ('TS-PILE'!$E$72:$E$91)=0,0,'TO HOP NLAN'!E298*'TS-PILE'!$E$91/SUMSQ('TS-PILE'!$E$72:$E$91))+IF(SUMSQ('TS-PILE'!$D$72:$D$91)=0,0,'TO HOP NLAN'!F298*'TS-PILE'!$D$91/SUMSQ('TS-PILE'!$D$72:$D$91)))))</f>
        <v>0</v>
      </c>
      <c r="D298" s="58">
        <f>IF(A298="",0,MIN(IF('TS-PILE'!$B$72="",1E+99,'TO HOP NLAN'!D298/ncoc+IF(SUMSQ('TS-PILE'!$E$72:$E$91)=0,0,'TO HOP NLAN'!E298*'TS-PILE'!$E$72/SUMSQ('TS-PILE'!$E$72:$E$91))+IF(SUMSQ('TS-PILE'!$D$72:$D$91)=0,0,'TO HOP NLAN'!F298*'TS-PILE'!$D$72/SUMSQ('TS-PILE'!$D$72:$D$91))),IF('TS-PILE'!$B$73="",1E+99,'TO HOP NLAN'!D298/ncoc+IF(SUMSQ('TS-PILE'!$E$72:$E$91)=0,0,'TO HOP NLAN'!E298*'TS-PILE'!$E$73/SUMSQ('TS-PILE'!$E$72:$E$91))+IF(SUMSQ('TS-PILE'!$D$72:$D$91)=0,0,'TO HOP NLAN'!F298*'TS-PILE'!$D$73/SUMSQ('TS-PILE'!$D$72:$D$91))),IF('TS-PILE'!$B$74="",1E+99,'TO HOP NLAN'!D298/ncoc+IF(SUMSQ('TS-PILE'!$E$72:$E$91)=0,0,'TO HOP NLAN'!E298*'TS-PILE'!$E$74/SUMSQ('TS-PILE'!$E$72:$E$91))+IF(SUMSQ('TS-PILE'!$D$72:$D$91)=0,0,'TO HOP NLAN'!F298*'TS-PILE'!$D$74/SUMSQ('TS-PILE'!$D$72:$D$91))),IF('TS-PILE'!$B$75="",1E+99,'TO HOP NLAN'!D298/ncoc+IF(SUMSQ('TS-PILE'!$E$72:$E$91)=0,0,'TO HOP NLAN'!E298*'TS-PILE'!$E$75/SUMSQ('TS-PILE'!$E$72:$E$91))+IF(SUMSQ('TS-PILE'!$D$72:$D$91)=0,0,'TO HOP NLAN'!F298*'TS-PILE'!$D$75/SUMSQ('TS-PILE'!$D$72:$D$91))),IF('TS-PILE'!$B$76="",1E+99,'TO HOP NLAN'!D298/ncoc+IF(SUMSQ('TS-PILE'!$E$72:$E$91)=0,0,'TO HOP NLAN'!E298*'TS-PILE'!$E$76/SUMSQ('TS-PILE'!$E$72:$E$91))+IF(SUMSQ('TS-PILE'!$D$72:$D$91)=0,0,'TO HOP NLAN'!F298*'TS-PILE'!$D$76/SUMSQ('TS-PILE'!$D$72:$D$91))),IF('TS-PILE'!$B$77="",1E+99,'TO HOP NLAN'!D298/ncoc+IF(SUMSQ('TS-PILE'!$E$72:$E$91)=0,0,'TO HOP NLAN'!E298*'TS-PILE'!$E$77/SUMSQ('TS-PILE'!$E$72:$E$91))+IF(SUMSQ('TS-PILE'!$D$72:$D$91)=0,0,'TO HOP NLAN'!F298*'TS-PILE'!$D$77/SUMSQ('TS-PILE'!$D$72:$D$91))),IF('TS-PILE'!$B$78="",1E+99,'TO HOP NLAN'!D298/ncoc+IF(SUMSQ('TS-PILE'!$E$72:$E$91)=0,0,'TO HOP NLAN'!E298*'TS-PILE'!$E$78/SUMSQ('TS-PILE'!$E$72:$E$91))+IF(SUMSQ('TS-PILE'!$D$72:$D$91)=0,0,'TO HOP NLAN'!F298*'TS-PILE'!$D$78/SUMSQ('TS-PILE'!$D$72:$D$91))),IF('TS-PILE'!$B$79="",1E+99,'TO HOP NLAN'!D298/ncoc+IF(SUMSQ('TS-PILE'!$E$72:$E$91)=0,0,'TO HOP NLAN'!E298*'TS-PILE'!$E$79/SUMSQ('TS-PILE'!$E$72:$E$91))+IF(SUMSQ('TS-PILE'!$D$72:$D$91)=0,0,'TO HOP NLAN'!F298*'TS-PILE'!$D$79/SUMSQ('TS-PILE'!$D$72:$D$91))),IF('TS-PILE'!$B$80="",1E+99,'TO HOP NLAN'!D298/ncoc+IF(SUMSQ('TS-PILE'!$E$72:$E$91)=0,0,'TO HOP NLAN'!E298*'TS-PILE'!$E$80/SUMSQ('TS-PILE'!$E$72:$E$91))+IF(SUMSQ('TS-PILE'!$D$72:$D$91)=0,0,'TO HOP NLAN'!F298*'TS-PILE'!$D$80/SUMSQ('TS-PILE'!$D$72:$D$91))),IF('TS-PILE'!$B$81="",1E+99,'TO HOP NLAN'!D298/ncoc+IF(SUMSQ('TS-PILE'!$E$72:$E$91)=0,0,'TO HOP NLAN'!E298*'TS-PILE'!$E$81/SUMSQ('TS-PILE'!$E$72:$E$91))+IF(SUMSQ('TS-PILE'!$D$72:$D$91)=0,0,'TO HOP NLAN'!F298*'TS-PILE'!$D$81/SUMSQ('TS-PILE'!$D$72:$D$91))),IF('TS-PILE'!$B$82="",1E+99,'TO HOP NLAN'!D298/ncoc+IF(SUMSQ('TS-PILE'!$E$72:$E$91)=0,0,'TO HOP NLAN'!E298*'TS-PILE'!$E$82/SUMSQ('TS-PILE'!$E$72:$E$91))+IF(SUMSQ('TS-PILE'!$D$72:$D$91)=0,0,'TO HOP NLAN'!F298*'TS-PILE'!$D$82/SUMSQ('TS-PILE'!$D$72:$D$91))),IF('TS-PILE'!$B$83="",1E+99,'TO HOP NLAN'!D298/ncoc+IF(SUMSQ('TS-PILE'!$E$72:$E$91)=0,0,'TO HOP NLAN'!E298*'TS-PILE'!$E$83/SUMSQ('TS-PILE'!$E$72:$E$91))+IF(SUMSQ('TS-PILE'!$D$72:$D$91)=0,0,'TO HOP NLAN'!F298*'TS-PILE'!$D$83/SUMSQ('TS-PILE'!$D$72:$D$91))),IF('TS-PILE'!$B$84="",1E+99,'TO HOP NLAN'!D298/ncoc+IF(SUMSQ('TS-PILE'!$E$72:$E$91)=0,0,'TO HOP NLAN'!E298*'TS-PILE'!$E$84/SUMSQ('TS-PILE'!$E$72:$E$91))+IF(SUMSQ('TS-PILE'!$D$72:$D$91)=0,0,'TO HOP NLAN'!F298*'TS-PILE'!$D$84/SUMSQ('TS-PILE'!$D$72:$D$91))),IF('TS-PILE'!$B$85="",1E+99,'TO HOP NLAN'!D298/ncoc+IF(SUMSQ('TS-PILE'!$E$72:$E$91)=0,0,'TO HOP NLAN'!E298*'TS-PILE'!$E$85/SUMSQ('TS-PILE'!$E$72:$E$91))+IF(SUMSQ('TS-PILE'!$D$72:$D$91)=0,0,'TO HOP NLAN'!F298*'TS-PILE'!$D$85/SUMSQ('TS-PILE'!$D$72:$D$91))),IF('TS-PILE'!$B$86="",1E+99,'TO HOP NLAN'!D298/ncoc+IF(SUMSQ('TS-PILE'!$E$72:$E$91)=0,0,'TO HOP NLAN'!E298*'TS-PILE'!$E$86/SUMSQ('TS-PILE'!$E$72:$E$91))+IF(SUMSQ('TS-PILE'!$D$72:$D$91)=0,0,'TO HOP NLAN'!F298*'TS-PILE'!$D$86/SUMSQ('TS-PILE'!$D$72:$D$91))),IF('TS-PILE'!$B$87="",1E+99,'TO HOP NLAN'!D298/ncoc+IF(SUMSQ('TS-PILE'!$E$72:$E$91)=0,0,'TO HOP NLAN'!E298*'TS-PILE'!$E$87/SUMSQ('TS-PILE'!$E$72:$E$91))+IF(SUMSQ('TS-PILE'!$D$72:$D$91)=0,0,'TO HOP NLAN'!F298*'TS-PILE'!$D$87/SUMSQ('TS-PILE'!$D$72:$D$91))),IF('TS-PILE'!$B$88="",1E+99,'TO HOP NLAN'!D298/ncoc+IF(SUMSQ('TS-PILE'!$E$72:$E$91)=0,0,'TO HOP NLAN'!E298*'TS-PILE'!$E$88/SUMSQ('TS-PILE'!$E$72:$E$91))+IF(SUMSQ('TS-PILE'!$D$72:$D$91)=0,0,'TO HOP NLAN'!F298*'TS-PILE'!$D$88/SUMSQ('TS-PILE'!$D$72:$D$91))),IF('TS-PILE'!$B$89="",1E+99,'TO HOP NLAN'!D298/ncoc+IF(SUMSQ('TS-PILE'!$E$72:$E$91)=0,0,'TO HOP NLAN'!E298*'TS-PILE'!$E$89/SUMSQ('TS-PILE'!$E$72:$E$91))+IF(SUMSQ('TS-PILE'!$D$72:$D$91)=0,0,'TO HOP NLAN'!F298*'TS-PILE'!$D$89/SUMSQ('TS-PILE'!$D$72:$D$91))),IF('TS-PILE'!$B$90="",1E+99,'TO HOP NLAN'!D298/ncoc+IF(SUMSQ('TS-PILE'!$E$72:$E$91)=0,0,'TO HOP NLAN'!E298*'TS-PILE'!$E$90/SUMSQ('TS-PILE'!$E$72:$E$91))+IF(SUMSQ('TS-PILE'!$D$72:$D$91)=0,0,'TO HOP NLAN'!F298*'TS-PILE'!$D$90/SUMSQ('TS-PILE'!$D$72:$D$91))),IF('TS-PILE'!$B$91="",1E+99,'TO HOP NLAN'!D298/ncoc+IF(SUMSQ('TS-PILE'!$E$72:$E$91)=0,0,'TO HOP NLAN'!E298*'TS-PILE'!$E$91/SUMSQ('TS-PILE'!$E$72:$E$91))+IF(SUMSQ('TS-PILE'!$D$72:$D$91)=0,0,'TO HOP NLAN'!F298*'TS-PILE'!$D$91/SUMSQ('TS-PILE'!$D$72:$D$91)))))</f>
        <v>0</v>
      </c>
      <c r="E298" s="58">
        <f t="shared" si="16"/>
        <v>-9.9999999999999997E+98</v>
      </c>
      <c r="F298" s="58">
        <f t="shared" si="17"/>
        <v>9.9999999999999997E+98</v>
      </c>
      <c r="G298" s="58">
        <f t="shared" si="18"/>
        <v>-9.9999999999999997E+98</v>
      </c>
      <c r="H298" s="58">
        <f t="shared" si="19"/>
        <v>9.9999999999999997E+98</v>
      </c>
    </row>
    <row r="299" spans="1:8" x14ac:dyDescent="0.3">
      <c r="A299" s="42" t="str">
        <f>'TO HOP NLAN'!A299</f>
        <v/>
      </c>
      <c r="B299" s="42" t="str">
        <f>'TO HOP NLAN'!L299</f>
        <v>STRENGTH</v>
      </c>
      <c r="C299" s="58">
        <f>IF(A299="",0,MAX(IF('TS-PILE'!$B$72="",-1E+99,'TO HOP NLAN'!D299/ncoc+IF(SUMSQ('TS-PILE'!$E$72:$E$91)=0,0,'TO HOP NLAN'!E299*'TS-PILE'!$E$72/SUMSQ('TS-PILE'!$E$72:$E$91))+IF(SUMSQ('TS-PILE'!$D$72:$D$91)=0,0,'TO HOP NLAN'!F299*'TS-PILE'!$D$72/SUMSQ('TS-PILE'!$D$72:$D$91))),IF('TS-PILE'!$B$73="",-1E+99,'TO HOP NLAN'!D299/ncoc+IF(SUMSQ('TS-PILE'!$E$72:$E$91)=0,0,'TO HOP NLAN'!E299*'TS-PILE'!$E$73/SUMSQ('TS-PILE'!$E$72:$E$91))+IF(SUMSQ('TS-PILE'!$D$72:$D$91)=0,0,'TO HOP NLAN'!F299*'TS-PILE'!$D$73/SUMSQ('TS-PILE'!$D$72:$D$91))),IF('TS-PILE'!$B$74="",-1E+99,'TO HOP NLAN'!D299/ncoc+IF(SUMSQ('TS-PILE'!$E$72:$E$91)=0,0,'TO HOP NLAN'!E299*'TS-PILE'!$E$74/SUMSQ('TS-PILE'!$E$72:$E$91))+IF(SUMSQ('TS-PILE'!$D$72:$D$91)=0,0,'TO HOP NLAN'!F299*'TS-PILE'!$D$74/SUMSQ('TS-PILE'!$D$72:$D$91))),IF('TS-PILE'!$B$75="",-1E+99,'TO HOP NLAN'!D299/ncoc+IF(SUMSQ('TS-PILE'!$E$72:$E$91)=0,0,'TO HOP NLAN'!E299*'TS-PILE'!$E$75/SUMSQ('TS-PILE'!$E$72:$E$91))+IF(SUMSQ('TS-PILE'!$D$72:$D$91)=0,0,'TO HOP NLAN'!F299*'TS-PILE'!$D$75/SUMSQ('TS-PILE'!$D$72:$D$91))),IF('TS-PILE'!$B$76="",-1E+99,'TO HOP NLAN'!D299/ncoc+IF(SUMSQ('TS-PILE'!$E$72:$E$91)=0,0,'TO HOP NLAN'!E299*'TS-PILE'!$E$76/SUMSQ('TS-PILE'!$E$72:$E$91))+IF(SUMSQ('TS-PILE'!$D$72:$D$91)=0,0,'TO HOP NLAN'!F299*'TS-PILE'!$D$76/SUMSQ('TS-PILE'!$D$72:$D$91))),IF('TS-PILE'!$B$77="",-1E+99,'TO HOP NLAN'!D299/ncoc+IF(SUMSQ('TS-PILE'!$E$72:$E$91)=0,0,'TO HOP NLAN'!E299*'TS-PILE'!$E$77/SUMSQ('TS-PILE'!$E$72:$E$91))+IF(SUMSQ('TS-PILE'!$D$72:$D$91)=0,0,'TO HOP NLAN'!F299*'TS-PILE'!$D$77/SUMSQ('TS-PILE'!$D$72:$D$91))),IF('TS-PILE'!$B$78="",-1E+99,'TO HOP NLAN'!D299/ncoc+IF(SUMSQ('TS-PILE'!$E$72:$E$91)=0,0,'TO HOP NLAN'!E299*'TS-PILE'!$E$78/SUMSQ('TS-PILE'!$E$72:$E$91))+IF(SUMSQ('TS-PILE'!$D$72:$D$91)=0,0,'TO HOP NLAN'!F299*'TS-PILE'!$D$78/SUMSQ('TS-PILE'!$D$72:$D$91))),IF('TS-PILE'!$B$79="",-1E+99,'TO HOP NLAN'!D299/ncoc+IF(SUMSQ('TS-PILE'!$E$72:$E$91)=0,0,'TO HOP NLAN'!E299*'TS-PILE'!$E$79/SUMSQ('TS-PILE'!$E$72:$E$91))+IF(SUMSQ('TS-PILE'!$D$72:$D$91)=0,0,'TO HOP NLAN'!F299*'TS-PILE'!$D$79/SUMSQ('TS-PILE'!$D$72:$D$91))),IF('TS-PILE'!$B$80="",-1E+99,'TO HOP NLAN'!D299/ncoc+IF(SUMSQ('TS-PILE'!$E$72:$E$91)=0,0,'TO HOP NLAN'!E299*'TS-PILE'!$E$80/SUMSQ('TS-PILE'!$E$72:$E$91))+IF(SUMSQ('TS-PILE'!$D$72:$D$91)=0,0,'TO HOP NLAN'!F299*'TS-PILE'!$D$80/SUMSQ('TS-PILE'!$D$72:$D$91))),IF('TS-PILE'!$B$81="",-1E+99,'TO HOP NLAN'!D299/ncoc+IF(SUMSQ('TS-PILE'!$E$72:$E$91)=0,0,'TO HOP NLAN'!E299*'TS-PILE'!$E$81/SUMSQ('TS-PILE'!$E$72:$E$91))+IF(SUMSQ('TS-PILE'!$D$72:$D$91)=0,0,'TO HOP NLAN'!F299*'TS-PILE'!$D$81/SUMSQ('TS-PILE'!$D$72:$D$91))),IF('TS-PILE'!$B$82="",-1E+99,'TO HOP NLAN'!D299/ncoc+IF(SUMSQ('TS-PILE'!$E$72:$E$91)=0,0,'TO HOP NLAN'!E299*'TS-PILE'!$E$82/SUMSQ('TS-PILE'!$E$72:$E$91))+IF(SUMSQ('TS-PILE'!$D$72:$D$91)=0,0,'TO HOP NLAN'!F299*'TS-PILE'!$D$82/SUMSQ('TS-PILE'!$D$72:$D$91))),IF('TS-PILE'!$B$83="",-1E+99,'TO HOP NLAN'!D299/ncoc+IF(SUMSQ('TS-PILE'!$E$72:$E$91)=0,0,'TO HOP NLAN'!E299*'TS-PILE'!$E$83/SUMSQ('TS-PILE'!$E$72:$E$91))+IF(SUMSQ('TS-PILE'!$D$72:$D$91)=0,0,'TO HOP NLAN'!F299*'TS-PILE'!$D$83/SUMSQ('TS-PILE'!$D$72:$D$91))),IF('TS-PILE'!$B$84="",-1E+99,'TO HOP NLAN'!D299/ncoc+IF(SUMSQ('TS-PILE'!$E$72:$E$91)=0,0,'TO HOP NLAN'!E299*'TS-PILE'!$E$84/SUMSQ('TS-PILE'!$E$72:$E$91))+IF(SUMSQ('TS-PILE'!$D$72:$D$91)=0,0,'TO HOP NLAN'!F299*'TS-PILE'!$D$84/SUMSQ('TS-PILE'!$D$72:$D$91))),IF('TS-PILE'!$B$85="",-1E+99,'TO HOP NLAN'!D299/ncoc+IF(SUMSQ('TS-PILE'!$E$72:$E$91)=0,0,'TO HOP NLAN'!E299*'TS-PILE'!$E$85/SUMSQ('TS-PILE'!$E$72:$E$91))+IF(SUMSQ('TS-PILE'!$D$72:$D$91)=0,0,'TO HOP NLAN'!F299*'TS-PILE'!$D$85/SUMSQ('TS-PILE'!$D$72:$D$91))),IF('TS-PILE'!$B$86="",-1E+99,'TO HOP NLAN'!D299/ncoc+IF(SUMSQ('TS-PILE'!$E$72:$E$91)=0,0,'TO HOP NLAN'!E299*'TS-PILE'!$E$86/SUMSQ('TS-PILE'!$E$72:$E$91))+IF(SUMSQ('TS-PILE'!$D$72:$D$91)=0,0,'TO HOP NLAN'!F299*'TS-PILE'!$D$86/SUMSQ('TS-PILE'!$D$72:$D$91))),IF('TS-PILE'!$B$87="",-1E+99,'TO HOP NLAN'!D299/ncoc+IF(SUMSQ('TS-PILE'!$E$72:$E$91)=0,0,'TO HOP NLAN'!E299*'TS-PILE'!$E$87/SUMSQ('TS-PILE'!$E$72:$E$91))+IF(SUMSQ('TS-PILE'!$D$72:$D$91)=0,0,'TO HOP NLAN'!F299*'TS-PILE'!$D$87/SUMSQ('TS-PILE'!$D$72:$D$91))),IF('TS-PILE'!$B$88="",-1E+99,'TO HOP NLAN'!D299/ncoc+IF(SUMSQ('TS-PILE'!$E$72:$E$91)=0,0,'TO HOP NLAN'!E299*'TS-PILE'!$E$88/SUMSQ('TS-PILE'!$E$72:$E$91))+IF(SUMSQ('TS-PILE'!$D$72:$D$91)=0,0,'TO HOP NLAN'!F299*'TS-PILE'!$D$88/SUMSQ('TS-PILE'!$D$72:$D$91))),IF('TS-PILE'!$B$89="",-1E+99,'TO HOP NLAN'!D299/ncoc+IF(SUMSQ('TS-PILE'!$E$72:$E$91)=0,0,'TO HOP NLAN'!E299*'TS-PILE'!$E$89/SUMSQ('TS-PILE'!$E$72:$E$91))+IF(SUMSQ('TS-PILE'!$D$72:$D$91)=0,0,'TO HOP NLAN'!F299*'TS-PILE'!$D$89/SUMSQ('TS-PILE'!$D$72:$D$91))),IF('TS-PILE'!$B$90="",-1E+99,'TO HOP NLAN'!D299/ncoc+IF(SUMSQ('TS-PILE'!$E$72:$E$91)=0,0,'TO HOP NLAN'!E299*'TS-PILE'!$E$90/SUMSQ('TS-PILE'!$E$72:$E$91))+IF(SUMSQ('TS-PILE'!$D$72:$D$91)=0,0,'TO HOP NLAN'!F299*'TS-PILE'!$D$90/SUMSQ('TS-PILE'!$D$72:$D$91))),IF('TS-PILE'!$B$91="",-1E+99,'TO HOP NLAN'!D299/ncoc+IF(SUMSQ('TS-PILE'!$E$72:$E$91)=0,0,'TO HOP NLAN'!E299*'TS-PILE'!$E$91/SUMSQ('TS-PILE'!$E$72:$E$91))+IF(SUMSQ('TS-PILE'!$D$72:$D$91)=0,0,'TO HOP NLAN'!F299*'TS-PILE'!$D$91/SUMSQ('TS-PILE'!$D$72:$D$91)))))</f>
        <v>0</v>
      </c>
      <c r="D299" s="58">
        <f>IF(A299="",0,MIN(IF('TS-PILE'!$B$72="",1E+99,'TO HOP NLAN'!D299/ncoc+IF(SUMSQ('TS-PILE'!$E$72:$E$91)=0,0,'TO HOP NLAN'!E299*'TS-PILE'!$E$72/SUMSQ('TS-PILE'!$E$72:$E$91))+IF(SUMSQ('TS-PILE'!$D$72:$D$91)=0,0,'TO HOP NLAN'!F299*'TS-PILE'!$D$72/SUMSQ('TS-PILE'!$D$72:$D$91))),IF('TS-PILE'!$B$73="",1E+99,'TO HOP NLAN'!D299/ncoc+IF(SUMSQ('TS-PILE'!$E$72:$E$91)=0,0,'TO HOP NLAN'!E299*'TS-PILE'!$E$73/SUMSQ('TS-PILE'!$E$72:$E$91))+IF(SUMSQ('TS-PILE'!$D$72:$D$91)=0,0,'TO HOP NLAN'!F299*'TS-PILE'!$D$73/SUMSQ('TS-PILE'!$D$72:$D$91))),IF('TS-PILE'!$B$74="",1E+99,'TO HOP NLAN'!D299/ncoc+IF(SUMSQ('TS-PILE'!$E$72:$E$91)=0,0,'TO HOP NLAN'!E299*'TS-PILE'!$E$74/SUMSQ('TS-PILE'!$E$72:$E$91))+IF(SUMSQ('TS-PILE'!$D$72:$D$91)=0,0,'TO HOP NLAN'!F299*'TS-PILE'!$D$74/SUMSQ('TS-PILE'!$D$72:$D$91))),IF('TS-PILE'!$B$75="",1E+99,'TO HOP NLAN'!D299/ncoc+IF(SUMSQ('TS-PILE'!$E$72:$E$91)=0,0,'TO HOP NLAN'!E299*'TS-PILE'!$E$75/SUMSQ('TS-PILE'!$E$72:$E$91))+IF(SUMSQ('TS-PILE'!$D$72:$D$91)=0,0,'TO HOP NLAN'!F299*'TS-PILE'!$D$75/SUMSQ('TS-PILE'!$D$72:$D$91))),IF('TS-PILE'!$B$76="",1E+99,'TO HOP NLAN'!D299/ncoc+IF(SUMSQ('TS-PILE'!$E$72:$E$91)=0,0,'TO HOP NLAN'!E299*'TS-PILE'!$E$76/SUMSQ('TS-PILE'!$E$72:$E$91))+IF(SUMSQ('TS-PILE'!$D$72:$D$91)=0,0,'TO HOP NLAN'!F299*'TS-PILE'!$D$76/SUMSQ('TS-PILE'!$D$72:$D$91))),IF('TS-PILE'!$B$77="",1E+99,'TO HOP NLAN'!D299/ncoc+IF(SUMSQ('TS-PILE'!$E$72:$E$91)=0,0,'TO HOP NLAN'!E299*'TS-PILE'!$E$77/SUMSQ('TS-PILE'!$E$72:$E$91))+IF(SUMSQ('TS-PILE'!$D$72:$D$91)=0,0,'TO HOP NLAN'!F299*'TS-PILE'!$D$77/SUMSQ('TS-PILE'!$D$72:$D$91))),IF('TS-PILE'!$B$78="",1E+99,'TO HOP NLAN'!D299/ncoc+IF(SUMSQ('TS-PILE'!$E$72:$E$91)=0,0,'TO HOP NLAN'!E299*'TS-PILE'!$E$78/SUMSQ('TS-PILE'!$E$72:$E$91))+IF(SUMSQ('TS-PILE'!$D$72:$D$91)=0,0,'TO HOP NLAN'!F299*'TS-PILE'!$D$78/SUMSQ('TS-PILE'!$D$72:$D$91))),IF('TS-PILE'!$B$79="",1E+99,'TO HOP NLAN'!D299/ncoc+IF(SUMSQ('TS-PILE'!$E$72:$E$91)=0,0,'TO HOP NLAN'!E299*'TS-PILE'!$E$79/SUMSQ('TS-PILE'!$E$72:$E$91))+IF(SUMSQ('TS-PILE'!$D$72:$D$91)=0,0,'TO HOP NLAN'!F299*'TS-PILE'!$D$79/SUMSQ('TS-PILE'!$D$72:$D$91))),IF('TS-PILE'!$B$80="",1E+99,'TO HOP NLAN'!D299/ncoc+IF(SUMSQ('TS-PILE'!$E$72:$E$91)=0,0,'TO HOP NLAN'!E299*'TS-PILE'!$E$80/SUMSQ('TS-PILE'!$E$72:$E$91))+IF(SUMSQ('TS-PILE'!$D$72:$D$91)=0,0,'TO HOP NLAN'!F299*'TS-PILE'!$D$80/SUMSQ('TS-PILE'!$D$72:$D$91))),IF('TS-PILE'!$B$81="",1E+99,'TO HOP NLAN'!D299/ncoc+IF(SUMSQ('TS-PILE'!$E$72:$E$91)=0,0,'TO HOP NLAN'!E299*'TS-PILE'!$E$81/SUMSQ('TS-PILE'!$E$72:$E$91))+IF(SUMSQ('TS-PILE'!$D$72:$D$91)=0,0,'TO HOP NLAN'!F299*'TS-PILE'!$D$81/SUMSQ('TS-PILE'!$D$72:$D$91))),IF('TS-PILE'!$B$82="",1E+99,'TO HOP NLAN'!D299/ncoc+IF(SUMSQ('TS-PILE'!$E$72:$E$91)=0,0,'TO HOP NLAN'!E299*'TS-PILE'!$E$82/SUMSQ('TS-PILE'!$E$72:$E$91))+IF(SUMSQ('TS-PILE'!$D$72:$D$91)=0,0,'TO HOP NLAN'!F299*'TS-PILE'!$D$82/SUMSQ('TS-PILE'!$D$72:$D$91))),IF('TS-PILE'!$B$83="",1E+99,'TO HOP NLAN'!D299/ncoc+IF(SUMSQ('TS-PILE'!$E$72:$E$91)=0,0,'TO HOP NLAN'!E299*'TS-PILE'!$E$83/SUMSQ('TS-PILE'!$E$72:$E$91))+IF(SUMSQ('TS-PILE'!$D$72:$D$91)=0,0,'TO HOP NLAN'!F299*'TS-PILE'!$D$83/SUMSQ('TS-PILE'!$D$72:$D$91))),IF('TS-PILE'!$B$84="",1E+99,'TO HOP NLAN'!D299/ncoc+IF(SUMSQ('TS-PILE'!$E$72:$E$91)=0,0,'TO HOP NLAN'!E299*'TS-PILE'!$E$84/SUMSQ('TS-PILE'!$E$72:$E$91))+IF(SUMSQ('TS-PILE'!$D$72:$D$91)=0,0,'TO HOP NLAN'!F299*'TS-PILE'!$D$84/SUMSQ('TS-PILE'!$D$72:$D$91))),IF('TS-PILE'!$B$85="",1E+99,'TO HOP NLAN'!D299/ncoc+IF(SUMSQ('TS-PILE'!$E$72:$E$91)=0,0,'TO HOP NLAN'!E299*'TS-PILE'!$E$85/SUMSQ('TS-PILE'!$E$72:$E$91))+IF(SUMSQ('TS-PILE'!$D$72:$D$91)=0,0,'TO HOP NLAN'!F299*'TS-PILE'!$D$85/SUMSQ('TS-PILE'!$D$72:$D$91))),IF('TS-PILE'!$B$86="",1E+99,'TO HOP NLAN'!D299/ncoc+IF(SUMSQ('TS-PILE'!$E$72:$E$91)=0,0,'TO HOP NLAN'!E299*'TS-PILE'!$E$86/SUMSQ('TS-PILE'!$E$72:$E$91))+IF(SUMSQ('TS-PILE'!$D$72:$D$91)=0,0,'TO HOP NLAN'!F299*'TS-PILE'!$D$86/SUMSQ('TS-PILE'!$D$72:$D$91))),IF('TS-PILE'!$B$87="",1E+99,'TO HOP NLAN'!D299/ncoc+IF(SUMSQ('TS-PILE'!$E$72:$E$91)=0,0,'TO HOP NLAN'!E299*'TS-PILE'!$E$87/SUMSQ('TS-PILE'!$E$72:$E$91))+IF(SUMSQ('TS-PILE'!$D$72:$D$91)=0,0,'TO HOP NLAN'!F299*'TS-PILE'!$D$87/SUMSQ('TS-PILE'!$D$72:$D$91))),IF('TS-PILE'!$B$88="",1E+99,'TO HOP NLAN'!D299/ncoc+IF(SUMSQ('TS-PILE'!$E$72:$E$91)=0,0,'TO HOP NLAN'!E299*'TS-PILE'!$E$88/SUMSQ('TS-PILE'!$E$72:$E$91))+IF(SUMSQ('TS-PILE'!$D$72:$D$91)=0,0,'TO HOP NLAN'!F299*'TS-PILE'!$D$88/SUMSQ('TS-PILE'!$D$72:$D$91))),IF('TS-PILE'!$B$89="",1E+99,'TO HOP NLAN'!D299/ncoc+IF(SUMSQ('TS-PILE'!$E$72:$E$91)=0,0,'TO HOP NLAN'!E299*'TS-PILE'!$E$89/SUMSQ('TS-PILE'!$E$72:$E$91))+IF(SUMSQ('TS-PILE'!$D$72:$D$91)=0,0,'TO HOP NLAN'!F299*'TS-PILE'!$D$89/SUMSQ('TS-PILE'!$D$72:$D$91))),IF('TS-PILE'!$B$90="",1E+99,'TO HOP NLAN'!D299/ncoc+IF(SUMSQ('TS-PILE'!$E$72:$E$91)=0,0,'TO HOP NLAN'!E299*'TS-PILE'!$E$90/SUMSQ('TS-PILE'!$E$72:$E$91))+IF(SUMSQ('TS-PILE'!$D$72:$D$91)=0,0,'TO HOP NLAN'!F299*'TS-PILE'!$D$90/SUMSQ('TS-PILE'!$D$72:$D$91))),IF('TS-PILE'!$B$91="",1E+99,'TO HOP NLAN'!D299/ncoc+IF(SUMSQ('TS-PILE'!$E$72:$E$91)=0,0,'TO HOP NLAN'!E299*'TS-PILE'!$E$91/SUMSQ('TS-PILE'!$E$72:$E$91))+IF(SUMSQ('TS-PILE'!$D$72:$D$91)=0,0,'TO HOP NLAN'!F299*'TS-PILE'!$D$91/SUMSQ('TS-PILE'!$D$72:$D$91)))))</f>
        <v>0</v>
      </c>
      <c r="E299" s="58">
        <f t="shared" si="16"/>
        <v>-9.9999999999999997E+98</v>
      </c>
      <c r="F299" s="58">
        <f t="shared" si="17"/>
        <v>9.9999999999999997E+98</v>
      </c>
      <c r="G299" s="58">
        <f t="shared" si="18"/>
        <v>-9.9999999999999997E+98</v>
      </c>
      <c r="H299" s="58">
        <f t="shared" si="19"/>
        <v>9.9999999999999997E+98</v>
      </c>
    </row>
    <row r="300" spans="1:8" x14ac:dyDescent="0.3">
      <c r="A300" s="42" t="str">
        <f>'TO HOP NLAN'!A300</f>
        <v/>
      </c>
      <c r="B300" s="42" t="str">
        <f>'TO HOP NLAN'!L300</f>
        <v>STRENGTH</v>
      </c>
      <c r="C300" s="58">
        <f>IF(A300="",0,MAX(IF('TS-PILE'!$B$72="",-1E+99,'TO HOP NLAN'!D300/ncoc+IF(SUMSQ('TS-PILE'!$E$72:$E$91)=0,0,'TO HOP NLAN'!E300*'TS-PILE'!$E$72/SUMSQ('TS-PILE'!$E$72:$E$91))+IF(SUMSQ('TS-PILE'!$D$72:$D$91)=0,0,'TO HOP NLAN'!F300*'TS-PILE'!$D$72/SUMSQ('TS-PILE'!$D$72:$D$91))),IF('TS-PILE'!$B$73="",-1E+99,'TO HOP NLAN'!D300/ncoc+IF(SUMSQ('TS-PILE'!$E$72:$E$91)=0,0,'TO HOP NLAN'!E300*'TS-PILE'!$E$73/SUMSQ('TS-PILE'!$E$72:$E$91))+IF(SUMSQ('TS-PILE'!$D$72:$D$91)=0,0,'TO HOP NLAN'!F300*'TS-PILE'!$D$73/SUMSQ('TS-PILE'!$D$72:$D$91))),IF('TS-PILE'!$B$74="",-1E+99,'TO HOP NLAN'!D300/ncoc+IF(SUMSQ('TS-PILE'!$E$72:$E$91)=0,0,'TO HOP NLAN'!E300*'TS-PILE'!$E$74/SUMSQ('TS-PILE'!$E$72:$E$91))+IF(SUMSQ('TS-PILE'!$D$72:$D$91)=0,0,'TO HOP NLAN'!F300*'TS-PILE'!$D$74/SUMSQ('TS-PILE'!$D$72:$D$91))),IF('TS-PILE'!$B$75="",-1E+99,'TO HOP NLAN'!D300/ncoc+IF(SUMSQ('TS-PILE'!$E$72:$E$91)=0,0,'TO HOP NLAN'!E300*'TS-PILE'!$E$75/SUMSQ('TS-PILE'!$E$72:$E$91))+IF(SUMSQ('TS-PILE'!$D$72:$D$91)=0,0,'TO HOP NLAN'!F300*'TS-PILE'!$D$75/SUMSQ('TS-PILE'!$D$72:$D$91))),IF('TS-PILE'!$B$76="",-1E+99,'TO HOP NLAN'!D300/ncoc+IF(SUMSQ('TS-PILE'!$E$72:$E$91)=0,0,'TO HOP NLAN'!E300*'TS-PILE'!$E$76/SUMSQ('TS-PILE'!$E$72:$E$91))+IF(SUMSQ('TS-PILE'!$D$72:$D$91)=0,0,'TO HOP NLAN'!F300*'TS-PILE'!$D$76/SUMSQ('TS-PILE'!$D$72:$D$91))),IF('TS-PILE'!$B$77="",-1E+99,'TO HOP NLAN'!D300/ncoc+IF(SUMSQ('TS-PILE'!$E$72:$E$91)=0,0,'TO HOP NLAN'!E300*'TS-PILE'!$E$77/SUMSQ('TS-PILE'!$E$72:$E$91))+IF(SUMSQ('TS-PILE'!$D$72:$D$91)=0,0,'TO HOP NLAN'!F300*'TS-PILE'!$D$77/SUMSQ('TS-PILE'!$D$72:$D$91))),IF('TS-PILE'!$B$78="",-1E+99,'TO HOP NLAN'!D300/ncoc+IF(SUMSQ('TS-PILE'!$E$72:$E$91)=0,0,'TO HOP NLAN'!E300*'TS-PILE'!$E$78/SUMSQ('TS-PILE'!$E$72:$E$91))+IF(SUMSQ('TS-PILE'!$D$72:$D$91)=0,0,'TO HOP NLAN'!F300*'TS-PILE'!$D$78/SUMSQ('TS-PILE'!$D$72:$D$91))),IF('TS-PILE'!$B$79="",-1E+99,'TO HOP NLAN'!D300/ncoc+IF(SUMSQ('TS-PILE'!$E$72:$E$91)=0,0,'TO HOP NLAN'!E300*'TS-PILE'!$E$79/SUMSQ('TS-PILE'!$E$72:$E$91))+IF(SUMSQ('TS-PILE'!$D$72:$D$91)=0,0,'TO HOP NLAN'!F300*'TS-PILE'!$D$79/SUMSQ('TS-PILE'!$D$72:$D$91))),IF('TS-PILE'!$B$80="",-1E+99,'TO HOP NLAN'!D300/ncoc+IF(SUMSQ('TS-PILE'!$E$72:$E$91)=0,0,'TO HOP NLAN'!E300*'TS-PILE'!$E$80/SUMSQ('TS-PILE'!$E$72:$E$91))+IF(SUMSQ('TS-PILE'!$D$72:$D$91)=0,0,'TO HOP NLAN'!F300*'TS-PILE'!$D$80/SUMSQ('TS-PILE'!$D$72:$D$91))),IF('TS-PILE'!$B$81="",-1E+99,'TO HOP NLAN'!D300/ncoc+IF(SUMSQ('TS-PILE'!$E$72:$E$91)=0,0,'TO HOP NLAN'!E300*'TS-PILE'!$E$81/SUMSQ('TS-PILE'!$E$72:$E$91))+IF(SUMSQ('TS-PILE'!$D$72:$D$91)=0,0,'TO HOP NLAN'!F300*'TS-PILE'!$D$81/SUMSQ('TS-PILE'!$D$72:$D$91))),IF('TS-PILE'!$B$82="",-1E+99,'TO HOP NLAN'!D300/ncoc+IF(SUMSQ('TS-PILE'!$E$72:$E$91)=0,0,'TO HOP NLAN'!E300*'TS-PILE'!$E$82/SUMSQ('TS-PILE'!$E$72:$E$91))+IF(SUMSQ('TS-PILE'!$D$72:$D$91)=0,0,'TO HOP NLAN'!F300*'TS-PILE'!$D$82/SUMSQ('TS-PILE'!$D$72:$D$91))),IF('TS-PILE'!$B$83="",-1E+99,'TO HOP NLAN'!D300/ncoc+IF(SUMSQ('TS-PILE'!$E$72:$E$91)=0,0,'TO HOP NLAN'!E300*'TS-PILE'!$E$83/SUMSQ('TS-PILE'!$E$72:$E$91))+IF(SUMSQ('TS-PILE'!$D$72:$D$91)=0,0,'TO HOP NLAN'!F300*'TS-PILE'!$D$83/SUMSQ('TS-PILE'!$D$72:$D$91))),IF('TS-PILE'!$B$84="",-1E+99,'TO HOP NLAN'!D300/ncoc+IF(SUMSQ('TS-PILE'!$E$72:$E$91)=0,0,'TO HOP NLAN'!E300*'TS-PILE'!$E$84/SUMSQ('TS-PILE'!$E$72:$E$91))+IF(SUMSQ('TS-PILE'!$D$72:$D$91)=0,0,'TO HOP NLAN'!F300*'TS-PILE'!$D$84/SUMSQ('TS-PILE'!$D$72:$D$91))),IF('TS-PILE'!$B$85="",-1E+99,'TO HOP NLAN'!D300/ncoc+IF(SUMSQ('TS-PILE'!$E$72:$E$91)=0,0,'TO HOP NLAN'!E300*'TS-PILE'!$E$85/SUMSQ('TS-PILE'!$E$72:$E$91))+IF(SUMSQ('TS-PILE'!$D$72:$D$91)=0,0,'TO HOP NLAN'!F300*'TS-PILE'!$D$85/SUMSQ('TS-PILE'!$D$72:$D$91))),IF('TS-PILE'!$B$86="",-1E+99,'TO HOP NLAN'!D300/ncoc+IF(SUMSQ('TS-PILE'!$E$72:$E$91)=0,0,'TO HOP NLAN'!E300*'TS-PILE'!$E$86/SUMSQ('TS-PILE'!$E$72:$E$91))+IF(SUMSQ('TS-PILE'!$D$72:$D$91)=0,0,'TO HOP NLAN'!F300*'TS-PILE'!$D$86/SUMSQ('TS-PILE'!$D$72:$D$91))),IF('TS-PILE'!$B$87="",-1E+99,'TO HOP NLAN'!D300/ncoc+IF(SUMSQ('TS-PILE'!$E$72:$E$91)=0,0,'TO HOP NLAN'!E300*'TS-PILE'!$E$87/SUMSQ('TS-PILE'!$E$72:$E$91))+IF(SUMSQ('TS-PILE'!$D$72:$D$91)=0,0,'TO HOP NLAN'!F300*'TS-PILE'!$D$87/SUMSQ('TS-PILE'!$D$72:$D$91))),IF('TS-PILE'!$B$88="",-1E+99,'TO HOP NLAN'!D300/ncoc+IF(SUMSQ('TS-PILE'!$E$72:$E$91)=0,0,'TO HOP NLAN'!E300*'TS-PILE'!$E$88/SUMSQ('TS-PILE'!$E$72:$E$91))+IF(SUMSQ('TS-PILE'!$D$72:$D$91)=0,0,'TO HOP NLAN'!F300*'TS-PILE'!$D$88/SUMSQ('TS-PILE'!$D$72:$D$91))),IF('TS-PILE'!$B$89="",-1E+99,'TO HOP NLAN'!D300/ncoc+IF(SUMSQ('TS-PILE'!$E$72:$E$91)=0,0,'TO HOP NLAN'!E300*'TS-PILE'!$E$89/SUMSQ('TS-PILE'!$E$72:$E$91))+IF(SUMSQ('TS-PILE'!$D$72:$D$91)=0,0,'TO HOP NLAN'!F300*'TS-PILE'!$D$89/SUMSQ('TS-PILE'!$D$72:$D$91))),IF('TS-PILE'!$B$90="",-1E+99,'TO HOP NLAN'!D300/ncoc+IF(SUMSQ('TS-PILE'!$E$72:$E$91)=0,0,'TO HOP NLAN'!E300*'TS-PILE'!$E$90/SUMSQ('TS-PILE'!$E$72:$E$91))+IF(SUMSQ('TS-PILE'!$D$72:$D$91)=0,0,'TO HOP NLAN'!F300*'TS-PILE'!$D$90/SUMSQ('TS-PILE'!$D$72:$D$91))),IF('TS-PILE'!$B$91="",-1E+99,'TO HOP NLAN'!D300/ncoc+IF(SUMSQ('TS-PILE'!$E$72:$E$91)=0,0,'TO HOP NLAN'!E300*'TS-PILE'!$E$91/SUMSQ('TS-PILE'!$E$72:$E$91))+IF(SUMSQ('TS-PILE'!$D$72:$D$91)=0,0,'TO HOP NLAN'!F300*'TS-PILE'!$D$91/SUMSQ('TS-PILE'!$D$72:$D$91)))))</f>
        <v>0</v>
      </c>
      <c r="D300" s="58">
        <f>IF(A300="",0,MIN(IF('TS-PILE'!$B$72="",1E+99,'TO HOP NLAN'!D300/ncoc+IF(SUMSQ('TS-PILE'!$E$72:$E$91)=0,0,'TO HOP NLAN'!E300*'TS-PILE'!$E$72/SUMSQ('TS-PILE'!$E$72:$E$91))+IF(SUMSQ('TS-PILE'!$D$72:$D$91)=0,0,'TO HOP NLAN'!F300*'TS-PILE'!$D$72/SUMSQ('TS-PILE'!$D$72:$D$91))),IF('TS-PILE'!$B$73="",1E+99,'TO HOP NLAN'!D300/ncoc+IF(SUMSQ('TS-PILE'!$E$72:$E$91)=0,0,'TO HOP NLAN'!E300*'TS-PILE'!$E$73/SUMSQ('TS-PILE'!$E$72:$E$91))+IF(SUMSQ('TS-PILE'!$D$72:$D$91)=0,0,'TO HOP NLAN'!F300*'TS-PILE'!$D$73/SUMSQ('TS-PILE'!$D$72:$D$91))),IF('TS-PILE'!$B$74="",1E+99,'TO HOP NLAN'!D300/ncoc+IF(SUMSQ('TS-PILE'!$E$72:$E$91)=0,0,'TO HOP NLAN'!E300*'TS-PILE'!$E$74/SUMSQ('TS-PILE'!$E$72:$E$91))+IF(SUMSQ('TS-PILE'!$D$72:$D$91)=0,0,'TO HOP NLAN'!F300*'TS-PILE'!$D$74/SUMSQ('TS-PILE'!$D$72:$D$91))),IF('TS-PILE'!$B$75="",1E+99,'TO HOP NLAN'!D300/ncoc+IF(SUMSQ('TS-PILE'!$E$72:$E$91)=0,0,'TO HOP NLAN'!E300*'TS-PILE'!$E$75/SUMSQ('TS-PILE'!$E$72:$E$91))+IF(SUMSQ('TS-PILE'!$D$72:$D$91)=0,0,'TO HOP NLAN'!F300*'TS-PILE'!$D$75/SUMSQ('TS-PILE'!$D$72:$D$91))),IF('TS-PILE'!$B$76="",1E+99,'TO HOP NLAN'!D300/ncoc+IF(SUMSQ('TS-PILE'!$E$72:$E$91)=0,0,'TO HOP NLAN'!E300*'TS-PILE'!$E$76/SUMSQ('TS-PILE'!$E$72:$E$91))+IF(SUMSQ('TS-PILE'!$D$72:$D$91)=0,0,'TO HOP NLAN'!F300*'TS-PILE'!$D$76/SUMSQ('TS-PILE'!$D$72:$D$91))),IF('TS-PILE'!$B$77="",1E+99,'TO HOP NLAN'!D300/ncoc+IF(SUMSQ('TS-PILE'!$E$72:$E$91)=0,0,'TO HOP NLAN'!E300*'TS-PILE'!$E$77/SUMSQ('TS-PILE'!$E$72:$E$91))+IF(SUMSQ('TS-PILE'!$D$72:$D$91)=0,0,'TO HOP NLAN'!F300*'TS-PILE'!$D$77/SUMSQ('TS-PILE'!$D$72:$D$91))),IF('TS-PILE'!$B$78="",1E+99,'TO HOP NLAN'!D300/ncoc+IF(SUMSQ('TS-PILE'!$E$72:$E$91)=0,0,'TO HOP NLAN'!E300*'TS-PILE'!$E$78/SUMSQ('TS-PILE'!$E$72:$E$91))+IF(SUMSQ('TS-PILE'!$D$72:$D$91)=0,0,'TO HOP NLAN'!F300*'TS-PILE'!$D$78/SUMSQ('TS-PILE'!$D$72:$D$91))),IF('TS-PILE'!$B$79="",1E+99,'TO HOP NLAN'!D300/ncoc+IF(SUMSQ('TS-PILE'!$E$72:$E$91)=0,0,'TO HOP NLAN'!E300*'TS-PILE'!$E$79/SUMSQ('TS-PILE'!$E$72:$E$91))+IF(SUMSQ('TS-PILE'!$D$72:$D$91)=0,0,'TO HOP NLAN'!F300*'TS-PILE'!$D$79/SUMSQ('TS-PILE'!$D$72:$D$91))),IF('TS-PILE'!$B$80="",1E+99,'TO HOP NLAN'!D300/ncoc+IF(SUMSQ('TS-PILE'!$E$72:$E$91)=0,0,'TO HOP NLAN'!E300*'TS-PILE'!$E$80/SUMSQ('TS-PILE'!$E$72:$E$91))+IF(SUMSQ('TS-PILE'!$D$72:$D$91)=0,0,'TO HOP NLAN'!F300*'TS-PILE'!$D$80/SUMSQ('TS-PILE'!$D$72:$D$91))),IF('TS-PILE'!$B$81="",1E+99,'TO HOP NLAN'!D300/ncoc+IF(SUMSQ('TS-PILE'!$E$72:$E$91)=0,0,'TO HOP NLAN'!E300*'TS-PILE'!$E$81/SUMSQ('TS-PILE'!$E$72:$E$91))+IF(SUMSQ('TS-PILE'!$D$72:$D$91)=0,0,'TO HOP NLAN'!F300*'TS-PILE'!$D$81/SUMSQ('TS-PILE'!$D$72:$D$91))),IF('TS-PILE'!$B$82="",1E+99,'TO HOP NLAN'!D300/ncoc+IF(SUMSQ('TS-PILE'!$E$72:$E$91)=0,0,'TO HOP NLAN'!E300*'TS-PILE'!$E$82/SUMSQ('TS-PILE'!$E$72:$E$91))+IF(SUMSQ('TS-PILE'!$D$72:$D$91)=0,0,'TO HOP NLAN'!F300*'TS-PILE'!$D$82/SUMSQ('TS-PILE'!$D$72:$D$91))),IF('TS-PILE'!$B$83="",1E+99,'TO HOP NLAN'!D300/ncoc+IF(SUMSQ('TS-PILE'!$E$72:$E$91)=0,0,'TO HOP NLAN'!E300*'TS-PILE'!$E$83/SUMSQ('TS-PILE'!$E$72:$E$91))+IF(SUMSQ('TS-PILE'!$D$72:$D$91)=0,0,'TO HOP NLAN'!F300*'TS-PILE'!$D$83/SUMSQ('TS-PILE'!$D$72:$D$91))),IF('TS-PILE'!$B$84="",1E+99,'TO HOP NLAN'!D300/ncoc+IF(SUMSQ('TS-PILE'!$E$72:$E$91)=0,0,'TO HOP NLAN'!E300*'TS-PILE'!$E$84/SUMSQ('TS-PILE'!$E$72:$E$91))+IF(SUMSQ('TS-PILE'!$D$72:$D$91)=0,0,'TO HOP NLAN'!F300*'TS-PILE'!$D$84/SUMSQ('TS-PILE'!$D$72:$D$91))),IF('TS-PILE'!$B$85="",1E+99,'TO HOP NLAN'!D300/ncoc+IF(SUMSQ('TS-PILE'!$E$72:$E$91)=0,0,'TO HOP NLAN'!E300*'TS-PILE'!$E$85/SUMSQ('TS-PILE'!$E$72:$E$91))+IF(SUMSQ('TS-PILE'!$D$72:$D$91)=0,0,'TO HOP NLAN'!F300*'TS-PILE'!$D$85/SUMSQ('TS-PILE'!$D$72:$D$91))),IF('TS-PILE'!$B$86="",1E+99,'TO HOP NLAN'!D300/ncoc+IF(SUMSQ('TS-PILE'!$E$72:$E$91)=0,0,'TO HOP NLAN'!E300*'TS-PILE'!$E$86/SUMSQ('TS-PILE'!$E$72:$E$91))+IF(SUMSQ('TS-PILE'!$D$72:$D$91)=0,0,'TO HOP NLAN'!F300*'TS-PILE'!$D$86/SUMSQ('TS-PILE'!$D$72:$D$91))),IF('TS-PILE'!$B$87="",1E+99,'TO HOP NLAN'!D300/ncoc+IF(SUMSQ('TS-PILE'!$E$72:$E$91)=0,0,'TO HOP NLAN'!E300*'TS-PILE'!$E$87/SUMSQ('TS-PILE'!$E$72:$E$91))+IF(SUMSQ('TS-PILE'!$D$72:$D$91)=0,0,'TO HOP NLAN'!F300*'TS-PILE'!$D$87/SUMSQ('TS-PILE'!$D$72:$D$91))),IF('TS-PILE'!$B$88="",1E+99,'TO HOP NLAN'!D300/ncoc+IF(SUMSQ('TS-PILE'!$E$72:$E$91)=0,0,'TO HOP NLAN'!E300*'TS-PILE'!$E$88/SUMSQ('TS-PILE'!$E$72:$E$91))+IF(SUMSQ('TS-PILE'!$D$72:$D$91)=0,0,'TO HOP NLAN'!F300*'TS-PILE'!$D$88/SUMSQ('TS-PILE'!$D$72:$D$91))),IF('TS-PILE'!$B$89="",1E+99,'TO HOP NLAN'!D300/ncoc+IF(SUMSQ('TS-PILE'!$E$72:$E$91)=0,0,'TO HOP NLAN'!E300*'TS-PILE'!$E$89/SUMSQ('TS-PILE'!$E$72:$E$91))+IF(SUMSQ('TS-PILE'!$D$72:$D$91)=0,0,'TO HOP NLAN'!F300*'TS-PILE'!$D$89/SUMSQ('TS-PILE'!$D$72:$D$91))),IF('TS-PILE'!$B$90="",1E+99,'TO HOP NLAN'!D300/ncoc+IF(SUMSQ('TS-PILE'!$E$72:$E$91)=0,0,'TO HOP NLAN'!E300*'TS-PILE'!$E$90/SUMSQ('TS-PILE'!$E$72:$E$91))+IF(SUMSQ('TS-PILE'!$D$72:$D$91)=0,0,'TO HOP NLAN'!F300*'TS-PILE'!$D$90/SUMSQ('TS-PILE'!$D$72:$D$91))),IF('TS-PILE'!$B$91="",1E+99,'TO HOP NLAN'!D300/ncoc+IF(SUMSQ('TS-PILE'!$E$72:$E$91)=0,0,'TO HOP NLAN'!E300*'TS-PILE'!$E$91/SUMSQ('TS-PILE'!$E$72:$E$91))+IF(SUMSQ('TS-PILE'!$D$72:$D$91)=0,0,'TO HOP NLAN'!F300*'TS-PILE'!$D$91/SUMSQ('TS-PILE'!$D$72:$D$91)))))</f>
        <v>0</v>
      </c>
      <c r="E300" s="58">
        <f t="shared" si="16"/>
        <v>-9.9999999999999997E+98</v>
      </c>
      <c r="F300" s="58">
        <f t="shared" si="17"/>
        <v>9.9999999999999997E+98</v>
      </c>
      <c r="G300" s="58">
        <f t="shared" si="18"/>
        <v>-9.9999999999999997E+98</v>
      </c>
      <c r="H300" s="58">
        <f t="shared" si="19"/>
        <v>9.9999999999999997E+98</v>
      </c>
    </row>
    <row r="301" spans="1:8" x14ac:dyDescent="0.3">
      <c r="A301" s="42" t="str">
        <f>'TO HOP NLAN'!A301</f>
        <v/>
      </c>
      <c r="B301" s="42" t="str">
        <f>'TO HOP NLAN'!L301</f>
        <v>STRENGTH</v>
      </c>
      <c r="C301" s="58">
        <f>IF(A301="",0,MAX(IF('TS-PILE'!$B$72="",-1E+99,'TO HOP NLAN'!D301/ncoc+IF(SUMSQ('TS-PILE'!$E$72:$E$91)=0,0,'TO HOP NLAN'!E301*'TS-PILE'!$E$72/SUMSQ('TS-PILE'!$E$72:$E$91))+IF(SUMSQ('TS-PILE'!$D$72:$D$91)=0,0,'TO HOP NLAN'!F301*'TS-PILE'!$D$72/SUMSQ('TS-PILE'!$D$72:$D$91))),IF('TS-PILE'!$B$73="",-1E+99,'TO HOP NLAN'!D301/ncoc+IF(SUMSQ('TS-PILE'!$E$72:$E$91)=0,0,'TO HOP NLAN'!E301*'TS-PILE'!$E$73/SUMSQ('TS-PILE'!$E$72:$E$91))+IF(SUMSQ('TS-PILE'!$D$72:$D$91)=0,0,'TO HOP NLAN'!F301*'TS-PILE'!$D$73/SUMSQ('TS-PILE'!$D$72:$D$91))),IF('TS-PILE'!$B$74="",-1E+99,'TO HOP NLAN'!D301/ncoc+IF(SUMSQ('TS-PILE'!$E$72:$E$91)=0,0,'TO HOP NLAN'!E301*'TS-PILE'!$E$74/SUMSQ('TS-PILE'!$E$72:$E$91))+IF(SUMSQ('TS-PILE'!$D$72:$D$91)=0,0,'TO HOP NLAN'!F301*'TS-PILE'!$D$74/SUMSQ('TS-PILE'!$D$72:$D$91))),IF('TS-PILE'!$B$75="",-1E+99,'TO HOP NLAN'!D301/ncoc+IF(SUMSQ('TS-PILE'!$E$72:$E$91)=0,0,'TO HOP NLAN'!E301*'TS-PILE'!$E$75/SUMSQ('TS-PILE'!$E$72:$E$91))+IF(SUMSQ('TS-PILE'!$D$72:$D$91)=0,0,'TO HOP NLAN'!F301*'TS-PILE'!$D$75/SUMSQ('TS-PILE'!$D$72:$D$91))),IF('TS-PILE'!$B$76="",-1E+99,'TO HOP NLAN'!D301/ncoc+IF(SUMSQ('TS-PILE'!$E$72:$E$91)=0,0,'TO HOP NLAN'!E301*'TS-PILE'!$E$76/SUMSQ('TS-PILE'!$E$72:$E$91))+IF(SUMSQ('TS-PILE'!$D$72:$D$91)=0,0,'TO HOP NLAN'!F301*'TS-PILE'!$D$76/SUMSQ('TS-PILE'!$D$72:$D$91))),IF('TS-PILE'!$B$77="",-1E+99,'TO HOP NLAN'!D301/ncoc+IF(SUMSQ('TS-PILE'!$E$72:$E$91)=0,0,'TO HOP NLAN'!E301*'TS-PILE'!$E$77/SUMSQ('TS-PILE'!$E$72:$E$91))+IF(SUMSQ('TS-PILE'!$D$72:$D$91)=0,0,'TO HOP NLAN'!F301*'TS-PILE'!$D$77/SUMSQ('TS-PILE'!$D$72:$D$91))),IF('TS-PILE'!$B$78="",-1E+99,'TO HOP NLAN'!D301/ncoc+IF(SUMSQ('TS-PILE'!$E$72:$E$91)=0,0,'TO HOP NLAN'!E301*'TS-PILE'!$E$78/SUMSQ('TS-PILE'!$E$72:$E$91))+IF(SUMSQ('TS-PILE'!$D$72:$D$91)=0,0,'TO HOP NLAN'!F301*'TS-PILE'!$D$78/SUMSQ('TS-PILE'!$D$72:$D$91))),IF('TS-PILE'!$B$79="",-1E+99,'TO HOP NLAN'!D301/ncoc+IF(SUMSQ('TS-PILE'!$E$72:$E$91)=0,0,'TO HOP NLAN'!E301*'TS-PILE'!$E$79/SUMSQ('TS-PILE'!$E$72:$E$91))+IF(SUMSQ('TS-PILE'!$D$72:$D$91)=0,0,'TO HOP NLAN'!F301*'TS-PILE'!$D$79/SUMSQ('TS-PILE'!$D$72:$D$91))),IF('TS-PILE'!$B$80="",-1E+99,'TO HOP NLAN'!D301/ncoc+IF(SUMSQ('TS-PILE'!$E$72:$E$91)=0,0,'TO HOP NLAN'!E301*'TS-PILE'!$E$80/SUMSQ('TS-PILE'!$E$72:$E$91))+IF(SUMSQ('TS-PILE'!$D$72:$D$91)=0,0,'TO HOP NLAN'!F301*'TS-PILE'!$D$80/SUMSQ('TS-PILE'!$D$72:$D$91))),IF('TS-PILE'!$B$81="",-1E+99,'TO HOP NLAN'!D301/ncoc+IF(SUMSQ('TS-PILE'!$E$72:$E$91)=0,0,'TO HOP NLAN'!E301*'TS-PILE'!$E$81/SUMSQ('TS-PILE'!$E$72:$E$91))+IF(SUMSQ('TS-PILE'!$D$72:$D$91)=0,0,'TO HOP NLAN'!F301*'TS-PILE'!$D$81/SUMSQ('TS-PILE'!$D$72:$D$91))),IF('TS-PILE'!$B$82="",-1E+99,'TO HOP NLAN'!D301/ncoc+IF(SUMSQ('TS-PILE'!$E$72:$E$91)=0,0,'TO HOP NLAN'!E301*'TS-PILE'!$E$82/SUMSQ('TS-PILE'!$E$72:$E$91))+IF(SUMSQ('TS-PILE'!$D$72:$D$91)=0,0,'TO HOP NLAN'!F301*'TS-PILE'!$D$82/SUMSQ('TS-PILE'!$D$72:$D$91))),IF('TS-PILE'!$B$83="",-1E+99,'TO HOP NLAN'!D301/ncoc+IF(SUMSQ('TS-PILE'!$E$72:$E$91)=0,0,'TO HOP NLAN'!E301*'TS-PILE'!$E$83/SUMSQ('TS-PILE'!$E$72:$E$91))+IF(SUMSQ('TS-PILE'!$D$72:$D$91)=0,0,'TO HOP NLAN'!F301*'TS-PILE'!$D$83/SUMSQ('TS-PILE'!$D$72:$D$91))),IF('TS-PILE'!$B$84="",-1E+99,'TO HOP NLAN'!D301/ncoc+IF(SUMSQ('TS-PILE'!$E$72:$E$91)=0,0,'TO HOP NLAN'!E301*'TS-PILE'!$E$84/SUMSQ('TS-PILE'!$E$72:$E$91))+IF(SUMSQ('TS-PILE'!$D$72:$D$91)=0,0,'TO HOP NLAN'!F301*'TS-PILE'!$D$84/SUMSQ('TS-PILE'!$D$72:$D$91))),IF('TS-PILE'!$B$85="",-1E+99,'TO HOP NLAN'!D301/ncoc+IF(SUMSQ('TS-PILE'!$E$72:$E$91)=0,0,'TO HOP NLAN'!E301*'TS-PILE'!$E$85/SUMSQ('TS-PILE'!$E$72:$E$91))+IF(SUMSQ('TS-PILE'!$D$72:$D$91)=0,0,'TO HOP NLAN'!F301*'TS-PILE'!$D$85/SUMSQ('TS-PILE'!$D$72:$D$91))),IF('TS-PILE'!$B$86="",-1E+99,'TO HOP NLAN'!D301/ncoc+IF(SUMSQ('TS-PILE'!$E$72:$E$91)=0,0,'TO HOP NLAN'!E301*'TS-PILE'!$E$86/SUMSQ('TS-PILE'!$E$72:$E$91))+IF(SUMSQ('TS-PILE'!$D$72:$D$91)=0,0,'TO HOP NLAN'!F301*'TS-PILE'!$D$86/SUMSQ('TS-PILE'!$D$72:$D$91))),IF('TS-PILE'!$B$87="",-1E+99,'TO HOP NLAN'!D301/ncoc+IF(SUMSQ('TS-PILE'!$E$72:$E$91)=0,0,'TO HOP NLAN'!E301*'TS-PILE'!$E$87/SUMSQ('TS-PILE'!$E$72:$E$91))+IF(SUMSQ('TS-PILE'!$D$72:$D$91)=0,0,'TO HOP NLAN'!F301*'TS-PILE'!$D$87/SUMSQ('TS-PILE'!$D$72:$D$91))),IF('TS-PILE'!$B$88="",-1E+99,'TO HOP NLAN'!D301/ncoc+IF(SUMSQ('TS-PILE'!$E$72:$E$91)=0,0,'TO HOP NLAN'!E301*'TS-PILE'!$E$88/SUMSQ('TS-PILE'!$E$72:$E$91))+IF(SUMSQ('TS-PILE'!$D$72:$D$91)=0,0,'TO HOP NLAN'!F301*'TS-PILE'!$D$88/SUMSQ('TS-PILE'!$D$72:$D$91))),IF('TS-PILE'!$B$89="",-1E+99,'TO HOP NLAN'!D301/ncoc+IF(SUMSQ('TS-PILE'!$E$72:$E$91)=0,0,'TO HOP NLAN'!E301*'TS-PILE'!$E$89/SUMSQ('TS-PILE'!$E$72:$E$91))+IF(SUMSQ('TS-PILE'!$D$72:$D$91)=0,0,'TO HOP NLAN'!F301*'TS-PILE'!$D$89/SUMSQ('TS-PILE'!$D$72:$D$91))),IF('TS-PILE'!$B$90="",-1E+99,'TO HOP NLAN'!D301/ncoc+IF(SUMSQ('TS-PILE'!$E$72:$E$91)=0,0,'TO HOP NLAN'!E301*'TS-PILE'!$E$90/SUMSQ('TS-PILE'!$E$72:$E$91))+IF(SUMSQ('TS-PILE'!$D$72:$D$91)=0,0,'TO HOP NLAN'!F301*'TS-PILE'!$D$90/SUMSQ('TS-PILE'!$D$72:$D$91))),IF('TS-PILE'!$B$91="",-1E+99,'TO HOP NLAN'!D301/ncoc+IF(SUMSQ('TS-PILE'!$E$72:$E$91)=0,0,'TO HOP NLAN'!E301*'TS-PILE'!$E$91/SUMSQ('TS-PILE'!$E$72:$E$91))+IF(SUMSQ('TS-PILE'!$D$72:$D$91)=0,0,'TO HOP NLAN'!F301*'TS-PILE'!$D$91/SUMSQ('TS-PILE'!$D$72:$D$91)))))</f>
        <v>0</v>
      </c>
      <c r="D301" s="58">
        <f>IF(A301="",0,MIN(IF('TS-PILE'!$B$72="",1E+99,'TO HOP NLAN'!D301/ncoc+IF(SUMSQ('TS-PILE'!$E$72:$E$91)=0,0,'TO HOP NLAN'!E301*'TS-PILE'!$E$72/SUMSQ('TS-PILE'!$E$72:$E$91))+IF(SUMSQ('TS-PILE'!$D$72:$D$91)=0,0,'TO HOP NLAN'!F301*'TS-PILE'!$D$72/SUMSQ('TS-PILE'!$D$72:$D$91))),IF('TS-PILE'!$B$73="",1E+99,'TO HOP NLAN'!D301/ncoc+IF(SUMSQ('TS-PILE'!$E$72:$E$91)=0,0,'TO HOP NLAN'!E301*'TS-PILE'!$E$73/SUMSQ('TS-PILE'!$E$72:$E$91))+IF(SUMSQ('TS-PILE'!$D$72:$D$91)=0,0,'TO HOP NLAN'!F301*'TS-PILE'!$D$73/SUMSQ('TS-PILE'!$D$72:$D$91))),IF('TS-PILE'!$B$74="",1E+99,'TO HOP NLAN'!D301/ncoc+IF(SUMSQ('TS-PILE'!$E$72:$E$91)=0,0,'TO HOP NLAN'!E301*'TS-PILE'!$E$74/SUMSQ('TS-PILE'!$E$72:$E$91))+IF(SUMSQ('TS-PILE'!$D$72:$D$91)=0,0,'TO HOP NLAN'!F301*'TS-PILE'!$D$74/SUMSQ('TS-PILE'!$D$72:$D$91))),IF('TS-PILE'!$B$75="",1E+99,'TO HOP NLAN'!D301/ncoc+IF(SUMSQ('TS-PILE'!$E$72:$E$91)=0,0,'TO HOP NLAN'!E301*'TS-PILE'!$E$75/SUMSQ('TS-PILE'!$E$72:$E$91))+IF(SUMSQ('TS-PILE'!$D$72:$D$91)=0,0,'TO HOP NLAN'!F301*'TS-PILE'!$D$75/SUMSQ('TS-PILE'!$D$72:$D$91))),IF('TS-PILE'!$B$76="",1E+99,'TO HOP NLAN'!D301/ncoc+IF(SUMSQ('TS-PILE'!$E$72:$E$91)=0,0,'TO HOP NLAN'!E301*'TS-PILE'!$E$76/SUMSQ('TS-PILE'!$E$72:$E$91))+IF(SUMSQ('TS-PILE'!$D$72:$D$91)=0,0,'TO HOP NLAN'!F301*'TS-PILE'!$D$76/SUMSQ('TS-PILE'!$D$72:$D$91))),IF('TS-PILE'!$B$77="",1E+99,'TO HOP NLAN'!D301/ncoc+IF(SUMSQ('TS-PILE'!$E$72:$E$91)=0,0,'TO HOP NLAN'!E301*'TS-PILE'!$E$77/SUMSQ('TS-PILE'!$E$72:$E$91))+IF(SUMSQ('TS-PILE'!$D$72:$D$91)=0,0,'TO HOP NLAN'!F301*'TS-PILE'!$D$77/SUMSQ('TS-PILE'!$D$72:$D$91))),IF('TS-PILE'!$B$78="",1E+99,'TO HOP NLAN'!D301/ncoc+IF(SUMSQ('TS-PILE'!$E$72:$E$91)=0,0,'TO HOP NLAN'!E301*'TS-PILE'!$E$78/SUMSQ('TS-PILE'!$E$72:$E$91))+IF(SUMSQ('TS-PILE'!$D$72:$D$91)=0,0,'TO HOP NLAN'!F301*'TS-PILE'!$D$78/SUMSQ('TS-PILE'!$D$72:$D$91))),IF('TS-PILE'!$B$79="",1E+99,'TO HOP NLAN'!D301/ncoc+IF(SUMSQ('TS-PILE'!$E$72:$E$91)=0,0,'TO HOP NLAN'!E301*'TS-PILE'!$E$79/SUMSQ('TS-PILE'!$E$72:$E$91))+IF(SUMSQ('TS-PILE'!$D$72:$D$91)=0,0,'TO HOP NLAN'!F301*'TS-PILE'!$D$79/SUMSQ('TS-PILE'!$D$72:$D$91))),IF('TS-PILE'!$B$80="",1E+99,'TO HOP NLAN'!D301/ncoc+IF(SUMSQ('TS-PILE'!$E$72:$E$91)=0,0,'TO HOP NLAN'!E301*'TS-PILE'!$E$80/SUMSQ('TS-PILE'!$E$72:$E$91))+IF(SUMSQ('TS-PILE'!$D$72:$D$91)=0,0,'TO HOP NLAN'!F301*'TS-PILE'!$D$80/SUMSQ('TS-PILE'!$D$72:$D$91))),IF('TS-PILE'!$B$81="",1E+99,'TO HOP NLAN'!D301/ncoc+IF(SUMSQ('TS-PILE'!$E$72:$E$91)=0,0,'TO HOP NLAN'!E301*'TS-PILE'!$E$81/SUMSQ('TS-PILE'!$E$72:$E$91))+IF(SUMSQ('TS-PILE'!$D$72:$D$91)=0,0,'TO HOP NLAN'!F301*'TS-PILE'!$D$81/SUMSQ('TS-PILE'!$D$72:$D$91))),IF('TS-PILE'!$B$82="",1E+99,'TO HOP NLAN'!D301/ncoc+IF(SUMSQ('TS-PILE'!$E$72:$E$91)=0,0,'TO HOP NLAN'!E301*'TS-PILE'!$E$82/SUMSQ('TS-PILE'!$E$72:$E$91))+IF(SUMSQ('TS-PILE'!$D$72:$D$91)=0,0,'TO HOP NLAN'!F301*'TS-PILE'!$D$82/SUMSQ('TS-PILE'!$D$72:$D$91))),IF('TS-PILE'!$B$83="",1E+99,'TO HOP NLAN'!D301/ncoc+IF(SUMSQ('TS-PILE'!$E$72:$E$91)=0,0,'TO HOP NLAN'!E301*'TS-PILE'!$E$83/SUMSQ('TS-PILE'!$E$72:$E$91))+IF(SUMSQ('TS-PILE'!$D$72:$D$91)=0,0,'TO HOP NLAN'!F301*'TS-PILE'!$D$83/SUMSQ('TS-PILE'!$D$72:$D$91))),IF('TS-PILE'!$B$84="",1E+99,'TO HOP NLAN'!D301/ncoc+IF(SUMSQ('TS-PILE'!$E$72:$E$91)=0,0,'TO HOP NLAN'!E301*'TS-PILE'!$E$84/SUMSQ('TS-PILE'!$E$72:$E$91))+IF(SUMSQ('TS-PILE'!$D$72:$D$91)=0,0,'TO HOP NLAN'!F301*'TS-PILE'!$D$84/SUMSQ('TS-PILE'!$D$72:$D$91))),IF('TS-PILE'!$B$85="",1E+99,'TO HOP NLAN'!D301/ncoc+IF(SUMSQ('TS-PILE'!$E$72:$E$91)=0,0,'TO HOP NLAN'!E301*'TS-PILE'!$E$85/SUMSQ('TS-PILE'!$E$72:$E$91))+IF(SUMSQ('TS-PILE'!$D$72:$D$91)=0,0,'TO HOP NLAN'!F301*'TS-PILE'!$D$85/SUMSQ('TS-PILE'!$D$72:$D$91))),IF('TS-PILE'!$B$86="",1E+99,'TO HOP NLAN'!D301/ncoc+IF(SUMSQ('TS-PILE'!$E$72:$E$91)=0,0,'TO HOP NLAN'!E301*'TS-PILE'!$E$86/SUMSQ('TS-PILE'!$E$72:$E$91))+IF(SUMSQ('TS-PILE'!$D$72:$D$91)=0,0,'TO HOP NLAN'!F301*'TS-PILE'!$D$86/SUMSQ('TS-PILE'!$D$72:$D$91))),IF('TS-PILE'!$B$87="",1E+99,'TO HOP NLAN'!D301/ncoc+IF(SUMSQ('TS-PILE'!$E$72:$E$91)=0,0,'TO HOP NLAN'!E301*'TS-PILE'!$E$87/SUMSQ('TS-PILE'!$E$72:$E$91))+IF(SUMSQ('TS-PILE'!$D$72:$D$91)=0,0,'TO HOP NLAN'!F301*'TS-PILE'!$D$87/SUMSQ('TS-PILE'!$D$72:$D$91))),IF('TS-PILE'!$B$88="",1E+99,'TO HOP NLAN'!D301/ncoc+IF(SUMSQ('TS-PILE'!$E$72:$E$91)=0,0,'TO HOP NLAN'!E301*'TS-PILE'!$E$88/SUMSQ('TS-PILE'!$E$72:$E$91))+IF(SUMSQ('TS-PILE'!$D$72:$D$91)=0,0,'TO HOP NLAN'!F301*'TS-PILE'!$D$88/SUMSQ('TS-PILE'!$D$72:$D$91))),IF('TS-PILE'!$B$89="",1E+99,'TO HOP NLAN'!D301/ncoc+IF(SUMSQ('TS-PILE'!$E$72:$E$91)=0,0,'TO HOP NLAN'!E301*'TS-PILE'!$E$89/SUMSQ('TS-PILE'!$E$72:$E$91))+IF(SUMSQ('TS-PILE'!$D$72:$D$91)=0,0,'TO HOP NLAN'!F301*'TS-PILE'!$D$89/SUMSQ('TS-PILE'!$D$72:$D$91))),IF('TS-PILE'!$B$90="",1E+99,'TO HOP NLAN'!D301/ncoc+IF(SUMSQ('TS-PILE'!$E$72:$E$91)=0,0,'TO HOP NLAN'!E301*'TS-PILE'!$E$90/SUMSQ('TS-PILE'!$E$72:$E$91))+IF(SUMSQ('TS-PILE'!$D$72:$D$91)=0,0,'TO HOP NLAN'!F301*'TS-PILE'!$D$90/SUMSQ('TS-PILE'!$D$72:$D$91))),IF('TS-PILE'!$B$91="",1E+99,'TO HOP NLAN'!D301/ncoc+IF(SUMSQ('TS-PILE'!$E$72:$E$91)=0,0,'TO HOP NLAN'!E301*'TS-PILE'!$E$91/SUMSQ('TS-PILE'!$E$72:$E$91))+IF(SUMSQ('TS-PILE'!$D$72:$D$91)=0,0,'TO HOP NLAN'!F301*'TS-PILE'!$D$91/SUMSQ('TS-PILE'!$D$72:$D$91)))))</f>
        <v>0</v>
      </c>
      <c r="E301" s="58">
        <f t="shared" si="16"/>
        <v>-9.9999999999999997E+98</v>
      </c>
      <c r="F301" s="58">
        <f t="shared" si="17"/>
        <v>9.9999999999999997E+98</v>
      </c>
      <c r="G301" s="58">
        <f t="shared" si="18"/>
        <v>-9.9999999999999997E+98</v>
      </c>
      <c r="H301" s="58">
        <f t="shared" si="19"/>
        <v>9.9999999999999997E+98</v>
      </c>
    </row>
    <row r="302" spans="1:8" x14ac:dyDescent="0.3">
      <c r="A302" s="42" t="str">
        <f>'TO HOP NLAN'!A302</f>
        <v/>
      </c>
      <c r="B302" s="42" t="str">
        <f>'TO HOP NLAN'!L302</f>
        <v>STRENGTH</v>
      </c>
      <c r="C302" s="58">
        <f>IF(A302="",0,MAX(IF('TS-PILE'!$B$72="",-1E+99,'TO HOP NLAN'!D302/ncoc+IF(SUMSQ('TS-PILE'!$E$72:$E$91)=0,0,'TO HOP NLAN'!E302*'TS-PILE'!$E$72/SUMSQ('TS-PILE'!$E$72:$E$91))+IF(SUMSQ('TS-PILE'!$D$72:$D$91)=0,0,'TO HOP NLAN'!F302*'TS-PILE'!$D$72/SUMSQ('TS-PILE'!$D$72:$D$91))),IF('TS-PILE'!$B$73="",-1E+99,'TO HOP NLAN'!D302/ncoc+IF(SUMSQ('TS-PILE'!$E$72:$E$91)=0,0,'TO HOP NLAN'!E302*'TS-PILE'!$E$73/SUMSQ('TS-PILE'!$E$72:$E$91))+IF(SUMSQ('TS-PILE'!$D$72:$D$91)=0,0,'TO HOP NLAN'!F302*'TS-PILE'!$D$73/SUMSQ('TS-PILE'!$D$72:$D$91))),IF('TS-PILE'!$B$74="",-1E+99,'TO HOP NLAN'!D302/ncoc+IF(SUMSQ('TS-PILE'!$E$72:$E$91)=0,0,'TO HOP NLAN'!E302*'TS-PILE'!$E$74/SUMSQ('TS-PILE'!$E$72:$E$91))+IF(SUMSQ('TS-PILE'!$D$72:$D$91)=0,0,'TO HOP NLAN'!F302*'TS-PILE'!$D$74/SUMSQ('TS-PILE'!$D$72:$D$91))),IF('TS-PILE'!$B$75="",-1E+99,'TO HOP NLAN'!D302/ncoc+IF(SUMSQ('TS-PILE'!$E$72:$E$91)=0,0,'TO HOP NLAN'!E302*'TS-PILE'!$E$75/SUMSQ('TS-PILE'!$E$72:$E$91))+IF(SUMSQ('TS-PILE'!$D$72:$D$91)=0,0,'TO HOP NLAN'!F302*'TS-PILE'!$D$75/SUMSQ('TS-PILE'!$D$72:$D$91))),IF('TS-PILE'!$B$76="",-1E+99,'TO HOP NLAN'!D302/ncoc+IF(SUMSQ('TS-PILE'!$E$72:$E$91)=0,0,'TO HOP NLAN'!E302*'TS-PILE'!$E$76/SUMSQ('TS-PILE'!$E$72:$E$91))+IF(SUMSQ('TS-PILE'!$D$72:$D$91)=0,0,'TO HOP NLAN'!F302*'TS-PILE'!$D$76/SUMSQ('TS-PILE'!$D$72:$D$91))),IF('TS-PILE'!$B$77="",-1E+99,'TO HOP NLAN'!D302/ncoc+IF(SUMSQ('TS-PILE'!$E$72:$E$91)=0,0,'TO HOP NLAN'!E302*'TS-PILE'!$E$77/SUMSQ('TS-PILE'!$E$72:$E$91))+IF(SUMSQ('TS-PILE'!$D$72:$D$91)=0,0,'TO HOP NLAN'!F302*'TS-PILE'!$D$77/SUMSQ('TS-PILE'!$D$72:$D$91))),IF('TS-PILE'!$B$78="",-1E+99,'TO HOP NLAN'!D302/ncoc+IF(SUMSQ('TS-PILE'!$E$72:$E$91)=0,0,'TO HOP NLAN'!E302*'TS-PILE'!$E$78/SUMSQ('TS-PILE'!$E$72:$E$91))+IF(SUMSQ('TS-PILE'!$D$72:$D$91)=0,0,'TO HOP NLAN'!F302*'TS-PILE'!$D$78/SUMSQ('TS-PILE'!$D$72:$D$91))),IF('TS-PILE'!$B$79="",-1E+99,'TO HOP NLAN'!D302/ncoc+IF(SUMSQ('TS-PILE'!$E$72:$E$91)=0,0,'TO HOP NLAN'!E302*'TS-PILE'!$E$79/SUMSQ('TS-PILE'!$E$72:$E$91))+IF(SUMSQ('TS-PILE'!$D$72:$D$91)=0,0,'TO HOP NLAN'!F302*'TS-PILE'!$D$79/SUMSQ('TS-PILE'!$D$72:$D$91))),IF('TS-PILE'!$B$80="",-1E+99,'TO HOP NLAN'!D302/ncoc+IF(SUMSQ('TS-PILE'!$E$72:$E$91)=0,0,'TO HOP NLAN'!E302*'TS-PILE'!$E$80/SUMSQ('TS-PILE'!$E$72:$E$91))+IF(SUMSQ('TS-PILE'!$D$72:$D$91)=0,0,'TO HOP NLAN'!F302*'TS-PILE'!$D$80/SUMSQ('TS-PILE'!$D$72:$D$91))),IF('TS-PILE'!$B$81="",-1E+99,'TO HOP NLAN'!D302/ncoc+IF(SUMSQ('TS-PILE'!$E$72:$E$91)=0,0,'TO HOP NLAN'!E302*'TS-PILE'!$E$81/SUMSQ('TS-PILE'!$E$72:$E$91))+IF(SUMSQ('TS-PILE'!$D$72:$D$91)=0,0,'TO HOP NLAN'!F302*'TS-PILE'!$D$81/SUMSQ('TS-PILE'!$D$72:$D$91))),IF('TS-PILE'!$B$82="",-1E+99,'TO HOP NLAN'!D302/ncoc+IF(SUMSQ('TS-PILE'!$E$72:$E$91)=0,0,'TO HOP NLAN'!E302*'TS-PILE'!$E$82/SUMSQ('TS-PILE'!$E$72:$E$91))+IF(SUMSQ('TS-PILE'!$D$72:$D$91)=0,0,'TO HOP NLAN'!F302*'TS-PILE'!$D$82/SUMSQ('TS-PILE'!$D$72:$D$91))),IF('TS-PILE'!$B$83="",-1E+99,'TO HOP NLAN'!D302/ncoc+IF(SUMSQ('TS-PILE'!$E$72:$E$91)=0,0,'TO HOP NLAN'!E302*'TS-PILE'!$E$83/SUMSQ('TS-PILE'!$E$72:$E$91))+IF(SUMSQ('TS-PILE'!$D$72:$D$91)=0,0,'TO HOP NLAN'!F302*'TS-PILE'!$D$83/SUMSQ('TS-PILE'!$D$72:$D$91))),IF('TS-PILE'!$B$84="",-1E+99,'TO HOP NLAN'!D302/ncoc+IF(SUMSQ('TS-PILE'!$E$72:$E$91)=0,0,'TO HOP NLAN'!E302*'TS-PILE'!$E$84/SUMSQ('TS-PILE'!$E$72:$E$91))+IF(SUMSQ('TS-PILE'!$D$72:$D$91)=0,0,'TO HOP NLAN'!F302*'TS-PILE'!$D$84/SUMSQ('TS-PILE'!$D$72:$D$91))),IF('TS-PILE'!$B$85="",-1E+99,'TO HOP NLAN'!D302/ncoc+IF(SUMSQ('TS-PILE'!$E$72:$E$91)=0,0,'TO HOP NLAN'!E302*'TS-PILE'!$E$85/SUMSQ('TS-PILE'!$E$72:$E$91))+IF(SUMSQ('TS-PILE'!$D$72:$D$91)=0,0,'TO HOP NLAN'!F302*'TS-PILE'!$D$85/SUMSQ('TS-PILE'!$D$72:$D$91))),IF('TS-PILE'!$B$86="",-1E+99,'TO HOP NLAN'!D302/ncoc+IF(SUMSQ('TS-PILE'!$E$72:$E$91)=0,0,'TO HOP NLAN'!E302*'TS-PILE'!$E$86/SUMSQ('TS-PILE'!$E$72:$E$91))+IF(SUMSQ('TS-PILE'!$D$72:$D$91)=0,0,'TO HOP NLAN'!F302*'TS-PILE'!$D$86/SUMSQ('TS-PILE'!$D$72:$D$91))),IF('TS-PILE'!$B$87="",-1E+99,'TO HOP NLAN'!D302/ncoc+IF(SUMSQ('TS-PILE'!$E$72:$E$91)=0,0,'TO HOP NLAN'!E302*'TS-PILE'!$E$87/SUMSQ('TS-PILE'!$E$72:$E$91))+IF(SUMSQ('TS-PILE'!$D$72:$D$91)=0,0,'TO HOP NLAN'!F302*'TS-PILE'!$D$87/SUMSQ('TS-PILE'!$D$72:$D$91))),IF('TS-PILE'!$B$88="",-1E+99,'TO HOP NLAN'!D302/ncoc+IF(SUMSQ('TS-PILE'!$E$72:$E$91)=0,0,'TO HOP NLAN'!E302*'TS-PILE'!$E$88/SUMSQ('TS-PILE'!$E$72:$E$91))+IF(SUMSQ('TS-PILE'!$D$72:$D$91)=0,0,'TO HOP NLAN'!F302*'TS-PILE'!$D$88/SUMSQ('TS-PILE'!$D$72:$D$91))),IF('TS-PILE'!$B$89="",-1E+99,'TO HOP NLAN'!D302/ncoc+IF(SUMSQ('TS-PILE'!$E$72:$E$91)=0,0,'TO HOP NLAN'!E302*'TS-PILE'!$E$89/SUMSQ('TS-PILE'!$E$72:$E$91))+IF(SUMSQ('TS-PILE'!$D$72:$D$91)=0,0,'TO HOP NLAN'!F302*'TS-PILE'!$D$89/SUMSQ('TS-PILE'!$D$72:$D$91))),IF('TS-PILE'!$B$90="",-1E+99,'TO HOP NLAN'!D302/ncoc+IF(SUMSQ('TS-PILE'!$E$72:$E$91)=0,0,'TO HOP NLAN'!E302*'TS-PILE'!$E$90/SUMSQ('TS-PILE'!$E$72:$E$91))+IF(SUMSQ('TS-PILE'!$D$72:$D$91)=0,0,'TO HOP NLAN'!F302*'TS-PILE'!$D$90/SUMSQ('TS-PILE'!$D$72:$D$91))),IF('TS-PILE'!$B$91="",-1E+99,'TO HOP NLAN'!D302/ncoc+IF(SUMSQ('TS-PILE'!$E$72:$E$91)=0,0,'TO HOP NLAN'!E302*'TS-PILE'!$E$91/SUMSQ('TS-PILE'!$E$72:$E$91))+IF(SUMSQ('TS-PILE'!$D$72:$D$91)=0,0,'TO HOP NLAN'!F302*'TS-PILE'!$D$91/SUMSQ('TS-PILE'!$D$72:$D$91)))))</f>
        <v>0</v>
      </c>
      <c r="D302" s="58">
        <f>IF(A302="",0,MIN(IF('TS-PILE'!$B$72="",1E+99,'TO HOP NLAN'!D302/ncoc+IF(SUMSQ('TS-PILE'!$E$72:$E$91)=0,0,'TO HOP NLAN'!E302*'TS-PILE'!$E$72/SUMSQ('TS-PILE'!$E$72:$E$91))+IF(SUMSQ('TS-PILE'!$D$72:$D$91)=0,0,'TO HOP NLAN'!F302*'TS-PILE'!$D$72/SUMSQ('TS-PILE'!$D$72:$D$91))),IF('TS-PILE'!$B$73="",1E+99,'TO HOP NLAN'!D302/ncoc+IF(SUMSQ('TS-PILE'!$E$72:$E$91)=0,0,'TO HOP NLAN'!E302*'TS-PILE'!$E$73/SUMSQ('TS-PILE'!$E$72:$E$91))+IF(SUMSQ('TS-PILE'!$D$72:$D$91)=0,0,'TO HOP NLAN'!F302*'TS-PILE'!$D$73/SUMSQ('TS-PILE'!$D$72:$D$91))),IF('TS-PILE'!$B$74="",1E+99,'TO HOP NLAN'!D302/ncoc+IF(SUMSQ('TS-PILE'!$E$72:$E$91)=0,0,'TO HOP NLAN'!E302*'TS-PILE'!$E$74/SUMSQ('TS-PILE'!$E$72:$E$91))+IF(SUMSQ('TS-PILE'!$D$72:$D$91)=0,0,'TO HOP NLAN'!F302*'TS-PILE'!$D$74/SUMSQ('TS-PILE'!$D$72:$D$91))),IF('TS-PILE'!$B$75="",1E+99,'TO HOP NLAN'!D302/ncoc+IF(SUMSQ('TS-PILE'!$E$72:$E$91)=0,0,'TO HOP NLAN'!E302*'TS-PILE'!$E$75/SUMSQ('TS-PILE'!$E$72:$E$91))+IF(SUMSQ('TS-PILE'!$D$72:$D$91)=0,0,'TO HOP NLAN'!F302*'TS-PILE'!$D$75/SUMSQ('TS-PILE'!$D$72:$D$91))),IF('TS-PILE'!$B$76="",1E+99,'TO HOP NLAN'!D302/ncoc+IF(SUMSQ('TS-PILE'!$E$72:$E$91)=0,0,'TO HOP NLAN'!E302*'TS-PILE'!$E$76/SUMSQ('TS-PILE'!$E$72:$E$91))+IF(SUMSQ('TS-PILE'!$D$72:$D$91)=0,0,'TO HOP NLAN'!F302*'TS-PILE'!$D$76/SUMSQ('TS-PILE'!$D$72:$D$91))),IF('TS-PILE'!$B$77="",1E+99,'TO HOP NLAN'!D302/ncoc+IF(SUMSQ('TS-PILE'!$E$72:$E$91)=0,0,'TO HOP NLAN'!E302*'TS-PILE'!$E$77/SUMSQ('TS-PILE'!$E$72:$E$91))+IF(SUMSQ('TS-PILE'!$D$72:$D$91)=0,0,'TO HOP NLAN'!F302*'TS-PILE'!$D$77/SUMSQ('TS-PILE'!$D$72:$D$91))),IF('TS-PILE'!$B$78="",1E+99,'TO HOP NLAN'!D302/ncoc+IF(SUMSQ('TS-PILE'!$E$72:$E$91)=0,0,'TO HOP NLAN'!E302*'TS-PILE'!$E$78/SUMSQ('TS-PILE'!$E$72:$E$91))+IF(SUMSQ('TS-PILE'!$D$72:$D$91)=0,0,'TO HOP NLAN'!F302*'TS-PILE'!$D$78/SUMSQ('TS-PILE'!$D$72:$D$91))),IF('TS-PILE'!$B$79="",1E+99,'TO HOP NLAN'!D302/ncoc+IF(SUMSQ('TS-PILE'!$E$72:$E$91)=0,0,'TO HOP NLAN'!E302*'TS-PILE'!$E$79/SUMSQ('TS-PILE'!$E$72:$E$91))+IF(SUMSQ('TS-PILE'!$D$72:$D$91)=0,0,'TO HOP NLAN'!F302*'TS-PILE'!$D$79/SUMSQ('TS-PILE'!$D$72:$D$91))),IF('TS-PILE'!$B$80="",1E+99,'TO HOP NLAN'!D302/ncoc+IF(SUMSQ('TS-PILE'!$E$72:$E$91)=0,0,'TO HOP NLAN'!E302*'TS-PILE'!$E$80/SUMSQ('TS-PILE'!$E$72:$E$91))+IF(SUMSQ('TS-PILE'!$D$72:$D$91)=0,0,'TO HOP NLAN'!F302*'TS-PILE'!$D$80/SUMSQ('TS-PILE'!$D$72:$D$91))),IF('TS-PILE'!$B$81="",1E+99,'TO HOP NLAN'!D302/ncoc+IF(SUMSQ('TS-PILE'!$E$72:$E$91)=0,0,'TO HOP NLAN'!E302*'TS-PILE'!$E$81/SUMSQ('TS-PILE'!$E$72:$E$91))+IF(SUMSQ('TS-PILE'!$D$72:$D$91)=0,0,'TO HOP NLAN'!F302*'TS-PILE'!$D$81/SUMSQ('TS-PILE'!$D$72:$D$91))),IF('TS-PILE'!$B$82="",1E+99,'TO HOP NLAN'!D302/ncoc+IF(SUMSQ('TS-PILE'!$E$72:$E$91)=0,0,'TO HOP NLAN'!E302*'TS-PILE'!$E$82/SUMSQ('TS-PILE'!$E$72:$E$91))+IF(SUMSQ('TS-PILE'!$D$72:$D$91)=0,0,'TO HOP NLAN'!F302*'TS-PILE'!$D$82/SUMSQ('TS-PILE'!$D$72:$D$91))),IF('TS-PILE'!$B$83="",1E+99,'TO HOP NLAN'!D302/ncoc+IF(SUMSQ('TS-PILE'!$E$72:$E$91)=0,0,'TO HOP NLAN'!E302*'TS-PILE'!$E$83/SUMSQ('TS-PILE'!$E$72:$E$91))+IF(SUMSQ('TS-PILE'!$D$72:$D$91)=0,0,'TO HOP NLAN'!F302*'TS-PILE'!$D$83/SUMSQ('TS-PILE'!$D$72:$D$91))),IF('TS-PILE'!$B$84="",1E+99,'TO HOP NLAN'!D302/ncoc+IF(SUMSQ('TS-PILE'!$E$72:$E$91)=0,0,'TO HOP NLAN'!E302*'TS-PILE'!$E$84/SUMSQ('TS-PILE'!$E$72:$E$91))+IF(SUMSQ('TS-PILE'!$D$72:$D$91)=0,0,'TO HOP NLAN'!F302*'TS-PILE'!$D$84/SUMSQ('TS-PILE'!$D$72:$D$91))),IF('TS-PILE'!$B$85="",1E+99,'TO HOP NLAN'!D302/ncoc+IF(SUMSQ('TS-PILE'!$E$72:$E$91)=0,0,'TO HOP NLAN'!E302*'TS-PILE'!$E$85/SUMSQ('TS-PILE'!$E$72:$E$91))+IF(SUMSQ('TS-PILE'!$D$72:$D$91)=0,0,'TO HOP NLAN'!F302*'TS-PILE'!$D$85/SUMSQ('TS-PILE'!$D$72:$D$91))),IF('TS-PILE'!$B$86="",1E+99,'TO HOP NLAN'!D302/ncoc+IF(SUMSQ('TS-PILE'!$E$72:$E$91)=0,0,'TO HOP NLAN'!E302*'TS-PILE'!$E$86/SUMSQ('TS-PILE'!$E$72:$E$91))+IF(SUMSQ('TS-PILE'!$D$72:$D$91)=0,0,'TO HOP NLAN'!F302*'TS-PILE'!$D$86/SUMSQ('TS-PILE'!$D$72:$D$91))),IF('TS-PILE'!$B$87="",1E+99,'TO HOP NLAN'!D302/ncoc+IF(SUMSQ('TS-PILE'!$E$72:$E$91)=0,0,'TO HOP NLAN'!E302*'TS-PILE'!$E$87/SUMSQ('TS-PILE'!$E$72:$E$91))+IF(SUMSQ('TS-PILE'!$D$72:$D$91)=0,0,'TO HOP NLAN'!F302*'TS-PILE'!$D$87/SUMSQ('TS-PILE'!$D$72:$D$91))),IF('TS-PILE'!$B$88="",1E+99,'TO HOP NLAN'!D302/ncoc+IF(SUMSQ('TS-PILE'!$E$72:$E$91)=0,0,'TO HOP NLAN'!E302*'TS-PILE'!$E$88/SUMSQ('TS-PILE'!$E$72:$E$91))+IF(SUMSQ('TS-PILE'!$D$72:$D$91)=0,0,'TO HOP NLAN'!F302*'TS-PILE'!$D$88/SUMSQ('TS-PILE'!$D$72:$D$91))),IF('TS-PILE'!$B$89="",1E+99,'TO HOP NLAN'!D302/ncoc+IF(SUMSQ('TS-PILE'!$E$72:$E$91)=0,0,'TO HOP NLAN'!E302*'TS-PILE'!$E$89/SUMSQ('TS-PILE'!$E$72:$E$91))+IF(SUMSQ('TS-PILE'!$D$72:$D$91)=0,0,'TO HOP NLAN'!F302*'TS-PILE'!$D$89/SUMSQ('TS-PILE'!$D$72:$D$91))),IF('TS-PILE'!$B$90="",1E+99,'TO HOP NLAN'!D302/ncoc+IF(SUMSQ('TS-PILE'!$E$72:$E$91)=0,0,'TO HOP NLAN'!E302*'TS-PILE'!$E$90/SUMSQ('TS-PILE'!$E$72:$E$91))+IF(SUMSQ('TS-PILE'!$D$72:$D$91)=0,0,'TO HOP NLAN'!F302*'TS-PILE'!$D$90/SUMSQ('TS-PILE'!$D$72:$D$91))),IF('TS-PILE'!$B$91="",1E+99,'TO HOP NLAN'!D302/ncoc+IF(SUMSQ('TS-PILE'!$E$72:$E$91)=0,0,'TO HOP NLAN'!E302*'TS-PILE'!$E$91/SUMSQ('TS-PILE'!$E$72:$E$91))+IF(SUMSQ('TS-PILE'!$D$72:$D$91)=0,0,'TO HOP NLAN'!F302*'TS-PILE'!$D$91/SUMSQ('TS-PILE'!$D$72:$D$91)))))</f>
        <v>0</v>
      </c>
      <c r="E302" s="58">
        <f t="shared" si="16"/>
        <v>-9.9999999999999997E+98</v>
      </c>
      <c r="F302" s="58">
        <f t="shared" si="17"/>
        <v>9.9999999999999997E+98</v>
      </c>
      <c r="G302" s="58">
        <f t="shared" si="18"/>
        <v>-9.9999999999999997E+98</v>
      </c>
      <c r="H302" s="58">
        <f t="shared" si="19"/>
        <v>9.9999999999999997E+98</v>
      </c>
    </row>
    <row r="303" spans="1:8" x14ac:dyDescent="0.3">
      <c r="A303" s="42" t="str">
        <f>'TO HOP NLAN'!A303</f>
        <v/>
      </c>
      <c r="B303" s="42" t="str">
        <f>'TO HOP NLAN'!L303</f>
        <v>STRENGTH</v>
      </c>
      <c r="C303" s="58">
        <f>IF(A303="",0,MAX(IF('TS-PILE'!$B$72="",-1E+99,'TO HOP NLAN'!D303/ncoc+IF(SUMSQ('TS-PILE'!$E$72:$E$91)=0,0,'TO HOP NLAN'!E303*'TS-PILE'!$E$72/SUMSQ('TS-PILE'!$E$72:$E$91))+IF(SUMSQ('TS-PILE'!$D$72:$D$91)=0,0,'TO HOP NLAN'!F303*'TS-PILE'!$D$72/SUMSQ('TS-PILE'!$D$72:$D$91))),IF('TS-PILE'!$B$73="",-1E+99,'TO HOP NLAN'!D303/ncoc+IF(SUMSQ('TS-PILE'!$E$72:$E$91)=0,0,'TO HOP NLAN'!E303*'TS-PILE'!$E$73/SUMSQ('TS-PILE'!$E$72:$E$91))+IF(SUMSQ('TS-PILE'!$D$72:$D$91)=0,0,'TO HOP NLAN'!F303*'TS-PILE'!$D$73/SUMSQ('TS-PILE'!$D$72:$D$91))),IF('TS-PILE'!$B$74="",-1E+99,'TO HOP NLAN'!D303/ncoc+IF(SUMSQ('TS-PILE'!$E$72:$E$91)=0,0,'TO HOP NLAN'!E303*'TS-PILE'!$E$74/SUMSQ('TS-PILE'!$E$72:$E$91))+IF(SUMSQ('TS-PILE'!$D$72:$D$91)=0,0,'TO HOP NLAN'!F303*'TS-PILE'!$D$74/SUMSQ('TS-PILE'!$D$72:$D$91))),IF('TS-PILE'!$B$75="",-1E+99,'TO HOP NLAN'!D303/ncoc+IF(SUMSQ('TS-PILE'!$E$72:$E$91)=0,0,'TO HOP NLAN'!E303*'TS-PILE'!$E$75/SUMSQ('TS-PILE'!$E$72:$E$91))+IF(SUMSQ('TS-PILE'!$D$72:$D$91)=0,0,'TO HOP NLAN'!F303*'TS-PILE'!$D$75/SUMSQ('TS-PILE'!$D$72:$D$91))),IF('TS-PILE'!$B$76="",-1E+99,'TO HOP NLAN'!D303/ncoc+IF(SUMSQ('TS-PILE'!$E$72:$E$91)=0,0,'TO HOP NLAN'!E303*'TS-PILE'!$E$76/SUMSQ('TS-PILE'!$E$72:$E$91))+IF(SUMSQ('TS-PILE'!$D$72:$D$91)=0,0,'TO HOP NLAN'!F303*'TS-PILE'!$D$76/SUMSQ('TS-PILE'!$D$72:$D$91))),IF('TS-PILE'!$B$77="",-1E+99,'TO HOP NLAN'!D303/ncoc+IF(SUMSQ('TS-PILE'!$E$72:$E$91)=0,0,'TO HOP NLAN'!E303*'TS-PILE'!$E$77/SUMSQ('TS-PILE'!$E$72:$E$91))+IF(SUMSQ('TS-PILE'!$D$72:$D$91)=0,0,'TO HOP NLAN'!F303*'TS-PILE'!$D$77/SUMSQ('TS-PILE'!$D$72:$D$91))),IF('TS-PILE'!$B$78="",-1E+99,'TO HOP NLAN'!D303/ncoc+IF(SUMSQ('TS-PILE'!$E$72:$E$91)=0,0,'TO HOP NLAN'!E303*'TS-PILE'!$E$78/SUMSQ('TS-PILE'!$E$72:$E$91))+IF(SUMSQ('TS-PILE'!$D$72:$D$91)=0,0,'TO HOP NLAN'!F303*'TS-PILE'!$D$78/SUMSQ('TS-PILE'!$D$72:$D$91))),IF('TS-PILE'!$B$79="",-1E+99,'TO HOP NLAN'!D303/ncoc+IF(SUMSQ('TS-PILE'!$E$72:$E$91)=0,0,'TO HOP NLAN'!E303*'TS-PILE'!$E$79/SUMSQ('TS-PILE'!$E$72:$E$91))+IF(SUMSQ('TS-PILE'!$D$72:$D$91)=0,0,'TO HOP NLAN'!F303*'TS-PILE'!$D$79/SUMSQ('TS-PILE'!$D$72:$D$91))),IF('TS-PILE'!$B$80="",-1E+99,'TO HOP NLAN'!D303/ncoc+IF(SUMSQ('TS-PILE'!$E$72:$E$91)=0,0,'TO HOP NLAN'!E303*'TS-PILE'!$E$80/SUMSQ('TS-PILE'!$E$72:$E$91))+IF(SUMSQ('TS-PILE'!$D$72:$D$91)=0,0,'TO HOP NLAN'!F303*'TS-PILE'!$D$80/SUMSQ('TS-PILE'!$D$72:$D$91))),IF('TS-PILE'!$B$81="",-1E+99,'TO HOP NLAN'!D303/ncoc+IF(SUMSQ('TS-PILE'!$E$72:$E$91)=0,0,'TO HOP NLAN'!E303*'TS-PILE'!$E$81/SUMSQ('TS-PILE'!$E$72:$E$91))+IF(SUMSQ('TS-PILE'!$D$72:$D$91)=0,0,'TO HOP NLAN'!F303*'TS-PILE'!$D$81/SUMSQ('TS-PILE'!$D$72:$D$91))),IF('TS-PILE'!$B$82="",-1E+99,'TO HOP NLAN'!D303/ncoc+IF(SUMSQ('TS-PILE'!$E$72:$E$91)=0,0,'TO HOP NLAN'!E303*'TS-PILE'!$E$82/SUMSQ('TS-PILE'!$E$72:$E$91))+IF(SUMSQ('TS-PILE'!$D$72:$D$91)=0,0,'TO HOP NLAN'!F303*'TS-PILE'!$D$82/SUMSQ('TS-PILE'!$D$72:$D$91))),IF('TS-PILE'!$B$83="",-1E+99,'TO HOP NLAN'!D303/ncoc+IF(SUMSQ('TS-PILE'!$E$72:$E$91)=0,0,'TO HOP NLAN'!E303*'TS-PILE'!$E$83/SUMSQ('TS-PILE'!$E$72:$E$91))+IF(SUMSQ('TS-PILE'!$D$72:$D$91)=0,0,'TO HOP NLAN'!F303*'TS-PILE'!$D$83/SUMSQ('TS-PILE'!$D$72:$D$91))),IF('TS-PILE'!$B$84="",-1E+99,'TO HOP NLAN'!D303/ncoc+IF(SUMSQ('TS-PILE'!$E$72:$E$91)=0,0,'TO HOP NLAN'!E303*'TS-PILE'!$E$84/SUMSQ('TS-PILE'!$E$72:$E$91))+IF(SUMSQ('TS-PILE'!$D$72:$D$91)=0,0,'TO HOP NLAN'!F303*'TS-PILE'!$D$84/SUMSQ('TS-PILE'!$D$72:$D$91))),IF('TS-PILE'!$B$85="",-1E+99,'TO HOP NLAN'!D303/ncoc+IF(SUMSQ('TS-PILE'!$E$72:$E$91)=0,0,'TO HOP NLAN'!E303*'TS-PILE'!$E$85/SUMSQ('TS-PILE'!$E$72:$E$91))+IF(SUMSQ('TS-PILE'!$D$72:$D$91)=0,0,'TO HOP NLAN'!F303*'TS-PILE'!$D$85/SUMSQ('TS-PILE'!$D$72:$D$91))),IF('TS-PILE'!$B$86="",-1E+99,'TO HOP NLAN'!D303/ncoc+IF(SUMSQ('TS-PILE'!$E$72:$E$91)=0,0,'TO HOP NLAN'!E303*'TS-PILE'!$E$86/SUMSQ('TS-PILE'!$E$72:$E$91))+IF(SUMSQ('TS-PILE'!$D$72:$D$91)=0,0,'TO HOP NLAN'!F303*'TS-PILE'!$D$86/SUMSQ('TS-PILE'!$D$72:$D$91))),IF('TS-PILE'!$B$87="",-1E+99,'TO HOP NLAN'!D303/ncoc+IF(SUMSQ('TS-PILE'!$E$72:$E$91)=0,0,'TO HOP NLAN'!E303*'TS-PILE'!$E$87/SUMSQ('TS-PILE'!$E$72:$E$91))+IF(SUMSQ('TS-PILE'!$D$72:$D$91)=0,0,'TO HOP NLAN'!F303*'TS-PILE'!$D$87/SUMSQ('TS-PILE'!$D$72:$D$91))),IF('TS-PILE'!$B$88="",-1E+99,'TO HOP NLAN'!D303/ncoc+IF(SUMSQ('TS-PILE'!$E$72:$E$91)=0,0,'TO HOP NLAN'!E303*'TS-PILE'!$E$88/SUMSQ('TS-PILE'!$E$72:$E$91))+IF(SUMSQ('TS-PILE'!$D$72:$D$91)=0,0,'TO HOP NLAN'!F303*'TS-PILE'!$D$88/SUMSQ('TS-PILE'!$D$72:$D$91))),IF('TS-PILE'!$B$89="",-1E+99,'TO HOP NLAN'!D303/ncoc+IF(SUMSQ('TS-PILE'!$E$72:$E$91)=0,0,'TO HOP NLAN'!E303*'TS-PILE'!$E$89/SUMSQ('TS-PILE'!$E$72:$E$91))+IF(SUMSQ('TS-PILE'!$D$72:$D$91)=0,0,'TO HOP NLAN'!F303*'TS-PILE'!$D$89/SUMSQ('TS-PILE'!$D$72:$D$91))),IF('TS-PILE'!$B$90="",-1E+99,'TO HOP NLAN'!D303/ncoc+IF(SUMSQ('TS-PILE'!$E$72:$E$91)=0,0,'TO HOP NLAN'!E303*'TS-PILE'!$E$90/SUMSQ('TS-PILE'!$E$72:$E$91))+IF(SUMSQ('TS-PILE'!$D$72:$D$91)=0,0,'TO HOP NLAN'!F303*'TS-PILE'!$D$90/SUMSQ('TS-PILE'!$D$72:$D$91))),IF('TS-PILE'!$B$91="",-1E+99,'TO HOP NLAN'!D303/ncoc+IF(SUMSQ('TS-PILE'!$E$72:$E$91)=0,0,'TO HOP NLAN'!E303*'TS-PILE'!$E$91/SUMSQ('TS-PILE'!$E$72:$E$91))+IF(SUMSQ('TS-PILE'!$D$72:$D$91)=0,0,'TO HOP NLAN'!F303*'TS-PILE'!$D$91/SUMSQ('TS-PILE'!$D$72:$D$91)))))</f>
        <v>0</v>
      </c>
      <c r="D303" s="58">
        <f>IF(A303="",0,MIN(IF('TS-PILE'!$B$72="",1E+99,'TO HOP NLAN'!D303/ncoc+IF(SUMSQ('TS-PILE'!$E$72:$E$91)=0,0,'TO HOP NLAN'!E303*'TS-PILE'!$E$72/SUMSQ('TS-PILE'!$E$72:$E$91))+IF(SUMSQ('TS-PILE'!$D$72:$D$91)=0,0,'TO HOP NLAN'!F303*'TS-PILE'!$D$72/SUMSQ('TS-PILE'!$D$72:$D$91))),IF('TS-PILE'!$B$73="",1E+99,'TO HOP NLAN'!D303/ncoc+IF(SUMSQ('TS-PILE'!$E$72:$E$91)=0,0,'TO HOP NLAN'!E303*'TS-PILE'!$E$73/SUMSQ('TS-PILE'!$E$72:$E$91))+IF(SUMSQ('TS-PILE'!$D$72:$D$91)=0,0,'TO HOP NLAN'!F303*'TS-PILE'!$D$73/SUMSQ('TS-PILE'!$D$72:$D$91))),IF('TS-PILE'!$B$74="",1E+99,'TO HOP NLAN'!D303/ncoc+IF(SUMSQ('TS-PILE'!$E$72:$E$91)=0,0,'TO HOP NLAN'!E303*'TS-PILE'!$E$74/SUMSQ('TS-PILE'!$E$72:$E$91))+IF(SUMSQ('TS-PILE'!$D$72:$D$91)=0,0,'TO HOP NLAN'!F303*'TS-PILE'!$D$74/SUMSQ('TS-PILE'!$D$72:$D$91))),IF('TS-PILE'!$B$75="",1E+99,'TO HOP NLAN'!D303/ncoc+IF(SUMSQ('TS-PILE'!$E$72:$E$91)=0,0,'TO HOP NLAN'!E303*'TS-PILE'!$E$75/SUMSQ('TS-PILE'!$E$72:$E$91))+IF(SUMSQ('TS-PILE'!$D$72:$D$91)=0,0,'TO HOP NLAN'!F303*'TS-PILE'!$D$75/SUMSQ('TS-PILE'!$D$72:$D$91))),IF('TS-PILE'!$B$76="",1E+99,'TO HOP NLAN'!D303/ncoc+IF(SUMSQ('TS-PILE'!$E$72:$E$91)=0,0,'TO HOP NLAN'!E303*'TS-PILE'!$E$76/SUMSQ('TS-PILE'!$E$72:$E$91))+IF(SUMSQ('TS-PILE'!$D$72:$D$91)=0,0,'TO HOP NLAN'!F303*'TS-PILE'!$D$76/SUMSQ('TS-PILE'!$D$72:$D$91))),IF('TS-PILE'!$B$77="",1E+99,'TO HOP NLAN'!D303/ncoc+IF(SUMSQ('TS-PILE'!$E$72:$E$91)=0,0,'TO HOP NLAN'!E303*'TS-PILE'!$E$77/SUMSQ('TS-PILE'!$E$72:$E$91))+IF(SUMSQ('TS-PILE'!$D$72:$D$91)=0,0,'TO HOP NLAN'!F303*'TS-PILE'!$D$77/SUMSQ('TS-PILE'!$D$72:$D$91))),IF('TS-PILE'!$B$78="",1E+99,'TO HOP NLAN'!D303/ncoc+IF(SUMSQ('TS-PILE'!$E$72:$E$91)=0,0,'TO HOP NLAN'!E303*'TS-PILE'!$E$78/SUMSQ('TS-PILE'!$E$72:$E$91))+IF(SUMSQ('TS-PILE'!$D$72:$D$91)=0,0,'TO HOP NLAN'!F303*'TS-PILE'!$D$78/SUMSQ('TS-PILE'!$D$72:$D$91))),IF('TS-PILE'!$B$79="",1E+99,'TO HOP NLAN'!D303/ncoc+IF(SUMSQ('TS-PILE'!$E$72:$E$91)=0,0,'TO HOP NLAN'!E303*'TS-PILE'!$E$79/SUMSQ('TS-PILE'!$E$72:$E$91))+IF(SUMSQ('TS-PILE'!$D$72:$D$91)=0,0,'TO HOP NLAN'!F303*'TS-PILE'!$D$79/SUMSQ('TS-PILE'!$D$72:$D$91))),IF('TS-PILE'!$B$80="",1E+99,'TO HOP NLAN'!D303/ncoc+IF(SUMSQ('TS-PILE'!$E$72:$E$91)=0,0,'TO HOP NLAN'!E303*'TS-PILE'!$E$80/SUMSQ('TS-PILE'!$E$72:$E$91))+IF(SUMSQ('TS-PILE'!$D$72:$D$91)=0,0,'TO HOP NLAN'!F303*'TS-PILE'!$D$80/SUMSQ('TS-PILE'!$D$72:$D$91))),IF('TS-PILE'!$B$81="",1E+99,'TO HOP NLAN'!D303/ncoc+IF(SUMSQ('TS-PILE'!$E$72:$E$91)=0,0,'TO HOP NLAN'!E303*'TS-PILE'!$E$81/SUMSQ('TS-PILE'!$E$72:$E$91))+IF(SUMSQ('TS-PILE'!$D$72:$D$91)=0,0,'TO HOP NLAN'!F303*'TS-PILE'!$D$81/SUMSQ('TS-PILE'!$D$72:$D$91))),IF('TS-PILE'!$B$82="",1E+99,'TO HOP NLAN'!D303/ncoc+IF(SUMSQ('TS-PILE'!$E$72:$E$91)=0,0,'TO HOP NLAN'!E303*'TS-PILE'!$E$82/SUMSQ('TS-PILE'!$E$72:$E$91))+IF(SUMSQ('TS-PILE'!$D$72:$D$91)=0,0,'TO HOP NLAN'!F303*'TS-PILE'!$D$82/SUMSQ('TS-PILE'!$D$72:$D$91))),IF('TS-PILE'!$B$83="",1E+99,'TO HOP NLAN'!D303/ncoc+IF(SUMSQ('TS-PILE'!$E$72:$E$91)=0,0,'TO HOP NLAN'!E303*'TS-PILE'!$E$83/SUMSQ('TS-PILE'!$E$72:$E$91))+IF(SUMSQ('TS-PILE'!$D$72:$D$91)=0,0,'TO HOP NLAN'!F303*'TS-PILE'!$D$83/SUMSQ('TS-PILE'!$D$72:$D$91))),IF('TS-PILE'!$B$84="",1E+99,'TO HOP NLAN'!D303/ncoc+IF(SUMSQ('TS-PILE'!$E$72:$E$91)=0,0,'TO HOP NLAN'!E303*'TS-PILE'!$E$84/SUMSQ('TS-PILE'!$E$72:$E$91))+IF(SUMSQ('TS-PILE'!$D$72:$D$91)=0,0,'TO HOP NLAN'!F303*'TS-PILE'!$D$84/SUMSQ('TS-PILE'!$D$72:$D$91))),IF('TS-PILE'!$B$85="",1E+99,'TO HOP NLAN'!D303/ncoc+IF(SUMSQ('TS-PILE'!$E$72:$E$91)=0,0,'TO HOP NLAN'!E303*'TS-PILE'!$E$85/SUMSQ('TS-PILE'!$E$72:$E$91))+IF(SUMSQ('TS-PILE'!$D$72:$D$91)=0,0,'TO HOP NLAN'!F303*'TS-PILE'!$D$85/SUMSQ('TS-PILE'!$D$72:$D$91))),IF('TS-PILE'!$B$86="",1E+99,'TO HOP NLAN'!D303/ncoc+IF(SUMSQ('TS-PILE'!$E$72:$E$91)=0,0,'TO HOP NLAN'!E303*'TS-PILE'!$E$86/SUMSQ('TS-PILE'!$E$72:$E$91))+IF(SUMSQ('TS-PILE'!$D$72:$D$91)=0,0,'TO HOP NLAN'!F303*'TS-PILE'!$D$86/SUMSQ('TS-PILE'!$D$72:$D$91))),IF('TS-PILE'!$B$87="",1E+99,'TO HOP NLAN'!D303/ncoc+IF(SUMSQ('TS-PILE'!$E$72:$E$91)=0,0,'TO HOP NLAN'!E303*'TS-PILE'!$E$87/SUMSQ('TS-PILE'!$E$72:$E$91))+IF(SUMSQ('TS-PILE'!$D$72:$D$91)=0,0,'TO HOP NLAN'!F303*'TS-PILE'!$D$87/SUMSQ('TS-PILE'!$D$72:$D$91))),IF('TS-PILE'!$B$88="",1E+99,'TO HOP NLAN'!D303/ncoc+IF(SUMSQ('TS-PILE'!$E$72:$E$91)=0,0,'TO HOP NLAN'!E303*'TS-PILE'!$E$88/SUMSQ('TS-PILE'!$E$72:$E$91))+IF(SUMSQ('TS-PILE'!$D$72:$D$91)=0,0,'TO HOP NLAN'!F303*'TS-PILE'!$D$88/SUMSQ('TS-PILE'!$D$72:$D$91))),IF('TS-PILE'!$B$89="",1E+99,'TO HOP NLAN'!D303/ncoc+IF(SUMSQ('TS-PILE'!$E$72:$E$91)=0,0,'TO HOP NLAN'!E303*'TS-PILE'!$E$89/SUMSQ('TS-PILE'!$E$72:$E$91))+IF(SUMSQ('TS-PILE'!$D$72:$D$91)=0,0,'TO HOP NLAN'!F303*'TS-PILE'!$D$89/SUMSQ('TS-PILE'!$D$72:$D$91))),IF('TS-PILE'!$B$90="",1E+99,'TO HOP NLAN'!D303/ncoc+IF(SUMSQ('TS-PILE'!$E$72:$E$91)=0,0,'TO HOP NLAN'!E303*'TS-PILE'!$E$90/SUMSQ('TS-PILE'!$E$72:$E$91))+IF(SUMSQ('TS-PILE'!$D$72:$D$91)=0,0,'TO HOP NLAN'!F303*'TS-PILE'!$D$90/SUMSQ('TS-PILE'!$D$72:$D$91))),IF('TS-PILE'!$B$91="",1E+99,'TO HOP NLAN'!D303/ncoc+IF(SUMSQ('TS-PILE'!$E$72:$E$91)=0,0,'TO HOP NLAN'!E303*'TS-PILE'!$E$91/SUMSQ('TS-PILE'!$E$72:$E$91))+IF(SUMSQ('TS-PILE'!$D$72:$D$91)=0,0,'TO HOP NLAN'!F303*'TS-PILE'!$D$91/SUMSQ('TS-PILE'!$D$72:$D$91)))))</f>
        <v>0</v>
      </c>
      <c r="E303" s="58">
        <f t="shared" si="16"/>
        <v>-9.9999999999999997E+98</v>
      </c>
      <c r="F303" s="58">
        <f t="shared" si="17"/>
        <v>9.9999999999999997E+98</v>
      </c>
      <c r="G303" s="58">
        <f t="shared" si="18"/>
        <v>-9.9999999999999997E+98</v>
      </c>
      <c r="H303" s="58">
        <f t="shared" si="19"/>
        <v>9.9999999999999997E+98</v>
      </c>
    </row>
    <row r="304" spans="1:8" x14ac:dyDescent="0.3">
      <c r="A304" s="42" t="str">
        <f>'TO HOP NLAN'!A304</f>
        <v/>
      </c>
      <c r="B304" s="42" t="str">
        <f>'TO HOP NLAN'!L304</f>
        <v>STRENGTH</v>
      </c>
      <c r="C304" s="58">
        <f>IF(A304="",0,MAX(IF('TS-PILE'!$B$72="",-1E+99,'TO HOP NLAN'!D304/ncoc+IF(SUMSQ('TS-PILE'!$E$72:$E$91)=0,0,'TO HOP NLAN'!E304*'TS-PILE'!$E$72/SUMSQ('TS-PILE'!$E$72:$E$91))+IF(SUMSQ('TS-PILE'!$D$72:$D$91)=0,0,'TO HOP NLAN'!F304*'TS-PILE'!$D$72/SUMSQ('TS-PILE'!$D$72:$D$91))),IF('TS-PILE'!$B$73="",-1E+99,'TO HOP NLAN'!D304/ncoc+IF(SUMSQ('TS-PILE'!$E$72:$E$91)=0,0,'TO HOP NLAN'!E304*'TS-PILE'!$E$73/SUMSQ('TS-PILE'!$E$72:$E$91))+IF(SUMSQ('TS-PILE'!$D$72:$D$91)=0,0,'TO HOP NLAN'!F304*'TS-PILE'!$D$73/SUMSQ('TS-PILE'!$D$72:$D$91))),IF('TS-PILE'!$B$74="",-1E+99,'TO HOP NLAN'!D304/ncoc+IF(SUMSQ('TS-PILE'!$E$72:$E$91)=0,0,'TO HOP NLAN'!E304*'TS-PILE'!$E$74/SUMSQ('TS-PILE'!$E$72:$E$91))+IF(SUMSQ('TS-PILE'!$D$72:$D$91)=0,0,'TO HOP NLAN'!F304*'TS-PILE'!$D$74/SUMSQ('TS-PILE'!$D$72:$D$91))),IF('TS-PILE'!$B$75="",-1E+99,'TO HOP NLAN'!D304/ncoc+IF(SUMSQ('TS-PILE'!$E$72:$E$91)=0,0,'TO HOP NLAN'!E304*'TS-PILE'!$E$75/SUMSQ('TS-PILE'!$E$72:$E$91))+IF(SUMSQ('TS-PILE'!$D$72:$D$91)=0,0,'TO HOP NLAN'!F304*'TS-PILE'!$D$75/SUMSQ('TS-PILE'!$D$72:$D$91))),IF('TS-PILE'!$B$76="",-1E+99,'TO HOP NLAN'!D304/ncoc+IF(SUMSQ('TS-PILE'!$E$72:$E$91)=0,0,'TO HOP NLAN'!E304*'TS-PILE'!$E$76/SUMSQ('TS-PILE'!$E$72:$E$91))+IF(SUMSQ('TS-PILE'!$D$72:$D$91)=0,0,'TO HOP NLAN'!F304*'TS-PILE'!$D$76/SUMSQ('TS-PILE'!$D$72:$D$91))),IF('TS-PILE'!$B$77="",-1E+99,'TO HOP NLAN'!D304/ncoc+IF(SUMSQ('TS-PILE'!$E$72:$E$91)=0,0,'TO HOP NLAN'!E304*'TS-PILE'!$E$77/SUMSQ('TS-PILE'!$E$72:$E$91))+IF(SUMSQ('TS-PILE'!$D$72:$D$91)=0,0,'TO HOP NLAN'!F304*'TS-PILE'!$D$77/SUMSQ('TS-PILE'!$D$72:$D$91))),IF('TS-PILE'!$B$78="",-1E+99,'TO HOP NLAN'!D304/ncoc+IF(SUMSQ('TS-PILE'!$E$72:$E$91)=0,0,'TO HOP NLAN'!E304*'TS-PILE'!$E$78/SUMSQ('TS-PILE'!$E$72:$E$91))+IF(SUMSQ('TS-PILE'!$D$72:$D$91)=0,0,'TO HOP NLAN'!F304*'TS-PILE'!$D$78/SUMSQ('TS-PILE'!$D$72:$D$91))),IF('TS-PILE'!$B$79="",-1E+99,'TO HOP NLAN'!D304/ncoc+IF(SUMSQ('TS-PILE'!$E$72:$E$91)=0,0,'TO HOP NLAN'!E304*'TS-PILE'!$E$79/SUMSQ('TS-PILE'!$E$72:$E$91))+IF(SUMSQ('TS-PILE'!$D$72:$D$91)=0,0,'TO HOP NLAN'!F304*'TS-PILE'!$D$79/SUMSQ('TS-PILE'!$D$72:$D$91))),IF('TS-PILE'!$B$80="",-1E+99,'TO HOP NLAN'!D304/ncoc+IF(SUMSQ('TS-PILE'!$E$72:$E$91)=0,0,'TO HOP NLAN'!E304*'TS-PILE'!$E$80/SUMSQ('TS-PILE'!$E$72:$E$91))+IF(SUMSQ('TS-PILE'!$D$72:$D$91)=0,0,'TO HOP NLAN'!F304*'TS-PILE'!$D$80/SUMSQ('TS-PILE'!$D$72:$D$91))),IF('TS-PILE'!$B$81="",-1E+99,'TO HOP NLAN'!D304/ncoc+IF(SUMSQ('TS-PILE'!$E$72:$E$91)=0,0,'TO HOP NLAN'!E304*'TS-PILE'!$E$81/SUMSQ('TS-PILE'!$E$72:$E$91))+IF(SUMSQ('TS-PILE'!$D$72:$D$91)=0,0,'TO HOP NLAN'!F304*'TS-PILE'!$D$81/SUMSQ('TS-PILE'!$D$72:$D$91))),IF('TS-PILE'!$B$82="",-1E+99,'TO HOP NLAN'!D304/ncoc+IF(SUMSQ('TS-PILE'!$E$72:$E$91)=0,0,'TO HOP NLAN'!E304*'TS-PILE'!$E$82/SUMSQ('TS-PILE'!$E$72:$E$91))+IF(SUMSQ('TS-PILE'!$D$72:$D$91)=0,0,'TO HOP NLAN'!F304*'TS-PILE'!$D$82/SUMSQ('TS-PILE'!$D$72:$D$91))),IF('TS-PILE'!$B$83="",-1E+99,'TO HOP NLAN'!D304/ncoc+IF(SUMSQ('TS-PILE'!$E$72:$E$91)=0,0,'TO HOP NLAN'!E304*'TS-PILE'!$E$83/SUMSQ('TS-PILE'!$E$72:$E$91))+IF(SUMSQ('TS-PILE'!$D$72:$D$91)=0,0,'TO HOP NLAN'!F304*'TS-PILE'!$D$83/SUMSQ('TS-PILE'!$D$72:$D$91))),IF('TS-PILE'!$B$84="",-1E+99,'TO HOP NLAN'!D304/ncoc+IF(SUMSQ('TS-PILE'!$E$72:$E$91)=0,0,'TO HOP NLAN'!E304*'TS-PILE'!$E$84/SUMSQ('TS-PILE'!$E$72:$E$91))+IF(SUMSQ('TS-PILE'!$D$72:$D$91)=0,0,'TO HOP NLAN'!F304*'TS-PILE'!$D$84/SUMSQ('TS-PILE'!$D$72:$D$91))),IF('TS-PILE'!$B$85="",-1E+99,'TO HOP NLAN'!D304/ncoc+IF(SUMSQ('TS-PILE'!$E$72:$E$91)=0,0,'TO HOP NLAN'!E304*'TS-PILE'!$E$85/SUMSQ('TS-PILE'!$E$72:$E$91))+IF(SUMSQ('TS-PILE'!$D$72:$D$91)=0,0,'TO HOP NLAN'!F304*'TS-PILE'!$D$85/SUMSQ('TS-PILE'!$D$72:$D$91))),IF('TS-PILE'!$B$86="",-1E+99,'TO HOP NLAN'!D304/ncoc+IF(SUMSQ('TS-PILE'!$E$72:$E$91)=0,0,'TO HOP NLAN'!E304*'TS-PILE'!$E$86/SUMSQ('TS-PILE'!$E$72:$E$91))+IF(SUMSQ('TS-PILE'!$D$72:$D$91)=0,0,'TO HOP NLAN'!F304*'TS-PILE'!$D$86/SUMSQ('TS-PILE'!$D$72:$D$91))),IF('TS-PILE'!$B$87="",-1E+99,'TO HOP NLAN'!D304/ncoc+IF(SUMSQ('TS-PILE'!$E$72:$E$91)=0,0,'TO HOP NLAN'!E304*'TS-PILE'!$E$87/SUMSQ('TS-PILE'!$E$72:$E$91))+IF(SUMSQ('TS-PILE'!$D$72:$D$91)=0,0,'TO HOP NLAN'!F304*'TS-PILE'!$D$87/SUMSQ('TS-PILE'!$D$72:$D$91))),IF('TS-PILE'!$B$88="",-1E+99,'TO HOP NLAN'!D304/ncoc+IF(SUMSQ('TS-PILE'!$E$72:$E$91)=0,0,'TO HOP NLAN'!E304*'TS-PILE'!$E$88/SUMSQ('TS-PILE'!$E$72:$E$91))+IF(SUMSQ('TS-PILE'!$D$72:$D$91)=0,0,'TO HOP NLAN'!F304*'TS-PILE'!$D$88/SUMSQ('TS-PILE'!$D$72:$D$91))),IF('TS-PILE'!$B$89="",-1E+99,'TO HOP NLAN'!D304/ncoc+IF(SUMSQ('TS-PILE'!$E$72:$E$91)=0,0,'TO HOP NLAN'!E304*'TS-PILE'!$E$89/SUMSQ('TS-PILE'!$E$72:$E$91))+IF(SUMSQ('TS-PILE'!$D$72:$D$91)=0,0,'TO HOP NLAN'!F304*'TS-PILE'!$D$89/SUMSQ('TS-PILE'!$D$72:$D$91))),IF('TS-PILE'!$B$90="",-1E+99,'TO HOP NLAN'!D304/ncoc+IF(SUMSQ('TS-PILE'!$E$72:$E$91)=0,0,'TO HOP NLAN'!E304*'TS-PILE'!$E$90/SUMSQ('TS-PILE'!$E$72:$E$91))+IF(SUMSQ('TS-PILE'!$D$72:$D$91)=0,0,'TO HOP NLAN'!F304*'TS-PILE'!$D$90/SUMSQ('TS-PILE'!$D$72:$D$91))),IF('TS-PILE'!$B$91="",-1E+99,'TO HOP NLAN'!D304/ncoc+IF(SUMSQ('TS-PILE'!$E$72:$E$91)=0,0,'TO HOP NLAN'!E304*'TS-PILE'!$E$91/SUMSQ('TS-PILE'!$E$72:$E$91))+IF(SUMSQ('TS-PILE'!$D$72:$D$91)=0,0,'TO HOP NLAN'!F304*'TS-PILE'!$D$91/SUMSQ('TS-PILE'!$D$72:$D$91)))))</f>
        <v>0</v>
      </c>
      <c r="D304" s="58">
        <f>IF(A304="",0,MIN(IF('TS-PILE'!$B$72="",1E+99,'TO HOP NLAN'!D304/ncoc+IF(SUMSQ('TS-PILE'!$E$72:$E$91)=0,0,'TO HOP NLAN'!E304*'TS-PILE'!$E$72/SUMSQ('TS-PILE'!$E$72:$E$91))+IF(SUMSQ('TS-PILE'!$D$72:$D$91)=0,0,'TO HOP NLAN'!F304*'TS-PILE'!$D$72/SUMSQ('TS-PILE'!$D$72:$D$91))),IF('TS-PILE'!$B$73="",1E+99,'TO HOP NLAN'!D304/ncoc+IF(SUMSQ('TS-PILE'!$E$72:$E$91)=0,0,'TO HOP NLAN'!E304*'TS-PILE'!$E$73/SUMSQ('TS-PILE'!$E$72:$E$91))+IF(SUMSQ('TS-PILE'!$D$72:$D$91)=0,0,'TO HOP NLAN'!F304*'TS-PILE'!$D$73/SUMSQ('TS-PILE'!$D$72:$D$91))),IF('TS-PILE'!$B$74="",1E+99,'TO HOP NLAN'!D304/ncoc+IF(SUMSQ('TS-PILE'!$E$72:$E$91)=0,0,'TO HOP NLAN'!E304*'TS-PILE'!$E$74/SUMSQ('TS-PILE'!$E$72:$E$91))+IF(SUMSQ('TS-PILE'!$D$72:$D$91)=0,0,'TO HOP NLAN'!F304*'TS-PILE'!$D$74/SUMSQ('TS-PILE'!$D$72:$D$91))),IF('TS-PILE'!$B$75="",1E+99,'TO HOP NLAN'!D304/ncoc+IF(SUMSQ('TS-PILE'!$E$72:$E$91)=0,0,'TO HOP NLAN'!E304*'TS-PILE'!$E$75/SUMSQ('TS-PILE'!$E$72:$E$91))+IF(SUMSQ('TS-PILE'!$D$72:$D$91)=0,0,'TO HOP NLAN'!F304*'TS-PILE'!$D$75/SUMSQ('TS-PILE'!$D$72:$D$91))),IF('TS-PILE'!$B$76="",1E+99,'TO HOP NLAN'!D304/ncoc+IF(SUMSQ('TS-PILE'!$E$72:$E$91)=0,0,'TO HOP NLAN'!E304*'TS-PILE'!$E$76/SUMSQ('TS-PILE'!$E$72:$E$91))+IF(SUMSQ('TS-PILE'!$D$72:$D$91)=0,0,'TO HOP NLAN'!F304*'TS-PILE'!$D$76/SUMSQ('TS-PILE'!$D$72:$D$91))),IF('TS-PILE'!$B$77="",1E+99,'TO HOP NLAN'!D304/ncoc+IF(SUMSQ('TS-PILE'!$E$72:$E$91)=0,0,'TO HOP NLAN'!E304*'TS-PILE'!$E$77/SUMSQ('TS-PILE'!$E$72:$E$91))+IF(SUMSQ('TS-PILE'!$D$72:$D$91)=0,0,'TO HOP NLAN'!F304*'TS-PILE'!$D$77/SUMSQ('TS-PILE'!$D$72:$D$91))),IF('TS-PILE'!$B$78="",1E+99,'TO HOP NLAN'!D304/ncoc+IF(SUMSQ('TS-PILE'!$E$72:$E$91)=0,0,'TO HOP NLAN'!E304*'TS-PILE'!$E$78/SUMSQ('TS-PILE'!$E$72:$E$91))+IF(SUMSQ('TS-PILE'!$D$72:$D$91)=0,0,'TO HOP NLAN'!F304*'TS-PILE'!$D$78/SUMSQ('TS-PILE'!$D$72:$D$91))),IF('TS-PILE'!$B$79="",1E+99,'TO HOP NLAN'!D304/ncoc+IF(SUMSQ('TS-PILE'!$E$72:$E$91)=0,0,'TO HOP NLAN'!E304*'TS-PILE'!$E$79/SUMSQ('TS-PILE'!$E$72:$E$91))+IF(SUMSQ('TS-PILE'!$D$72:$D$91)=0,0,'TO HOP NLAN'!F304*'TS-PILE'!$D$79/SUMSQ('TS-PILE'!$D$72:$D$91))),IF('TS-PILE'!$B$80="",1E+99,'TO HOP NLAN'!D304/ncoc+IF(SUMSQ('TS-PILE'!$E$72:$E$91)=0,0,'TO HOP NLAN'!E304*'TS-PILE'!$E$80/SUMSQ('TS-PILE'!$E$72:$E$91))+IF(SUMSQ('TS-PILE'!$D$72:$D$91)=0,0,'TO HOP NLAN'!F304*'TS-PILE'!$D$80/SUMSQ('TS-PILE'!$D$72:$D$91))),IF('TS-PILE'!$B$81="",1E+99,'TO HOP NLAN'!D304/ncoc+IF(SUMSQ('TS-PILE'!$E$72:$E$91)=0,0,'TO HOP NLAN'!E304*'TS-PILE'!$E$81/SUMSQ('TS-PILE'!$E$72:$E$91))+IF(SUMSQ('TS-PILE'!$D$72:$D$91)=0,0,'TO HOP NLAN'!F304*'TS-PILE'!$D$81/SUMSQ('TS-PILE'!$D$72:$D$91))),IF('TS-PILE'!$B$82="",1E+99,'TO HOP NLAN'!D304/ncoc+IF(SUMSQ('TS-PILE'!$E$72:$E$91)=0,0,'TO HOP NLAN'!E304*'TS-PILE'!$E$82/SUMSQ('TS-PILE'!$E$72:$E$91))+IF(SUMSQ('TS-PILE'!$D$72:$D$91)=0,0,'TO HOP NLAN'!F304*'TS-PILE'!$D$82/SUMSQ('TS-PILE'!$D$72:$D$91))),IF('TS-PILE'!$B$83="",1E+99,'TO HOP NLAN'!D304/ncoc+IF(SUMSQ('TS-PILE'!$E$72:$E$91)=0,0,'TO HOP NLAN'!E304*'TS-PILE'!$E$83/SUMSQ('TS-PILE'!$E$72:$E$91))+IF(SUMSQ('TS-PILE'!$D$72:$D$91)=0,0,'TO HOP NLAN'!F304*'TS-PILE'!$D$83/SUMSQ('TS-PILE'!$D$72:$D$91))),IF('TS-PILE'!$B$84="",1E+99,'TO HOP NLAN'!D304/ncoc+IF(SUMSQ('TS-PILE'!$E$72:$E$91)=0,0,'TO HOP NLAN'!E304*'TS-PILE'!$E$84/SUMSQ('TS-PILE'!$E$72:$E$91))+IF(SUMSQ('TS-PILE'!$D$72:$D$91)=0,0,'TO HOP NLAN'!F304*'TS-PILE'!$D$84/SUMSQ('TS-PILE'!$D$72:$D$91))),IF('TS-PILE'!$B$85="",1E+99,'TO HOP NLAN'!D304/ncoc+IF(SUMSQ('TS-PILE'!$E$72:$E$91)=0,0,'TO HOP NLAN'!E304*'TS-PILE'!$E$85/SUMSQ('TS-PILE'!$E$72:$E$91))+IF(SUMSQ('TS-PILE'!$D$72:$D$91)=0,0,'TO HOP NLAN'!F304*'TS-PILE'!$D$85/SUMSQ('TS-PILE'!$D$72:$D$91))),IF('TS-PILE'!$B$86="",1E+99,'TO HOP NLAN'!D304/ncoc+IF(SUMSQ('TS-PILE'!$E$72:$E$91)=0,0,'TO HOP NLAN'!E304*'TS-PILE'!$E$86/SUMSQ('TS-PILE'!$E$72:$E$91))+IF(SUMSQ('TS-PILE'!$D$72:$D$91)=0,0,'TO HOP NLAN'!F304*'TS-PILE'!$D$86/SUMSQ('TS-PILE'!$D$72:$D$91))),IF('TS-PILE'!$B$87="",1E+99,'TO HOP NLAN'!D304/ncoc+IF(SUMSQ('TS-PILE'!$E$72:$E$91)=0,0,'TO HOP NLAN'!E304*'TS-PILE'!$E$87/SUMSQ('TS-PILE'!$E$72:$E$91))+IF(SUMSQ('TS-PILE'!$D$72:$D$91)=0,0,'TO HOP NLAN'!F304*'TS-PILE'!$D$87/SUMSQ('TS-PILE'!$D$72:$D$91))),IF('TS-PILE'!$B$88="",1E+99,'TO HOP NLAN'!D304/ncoc+IF(SUMSQ('TS-PILE'!$E$72:$E$91)=0,0,'TO HOP NLAN'!E304*'TS-PILE'!$E$88/SUMSQ('TS-PILE'!$E$72:$E$91))+IF(SUMSQ('TS-PILE'!$D$72:$D$91)=0,0,'TO HOP NLAN'!F304*'TS-PILE'!$D$88/SUMSQ('TS-PILE'!$D$72:$D$91))),IF('TS-PILE'!$B$89="",1E+99,'TO HOP NLAN'!D304/ncoc+IF(SUMSQ('TS-PILE'!$E$72:$E$91)=0,0,'TO HOP NLAN'!E304*'TS-PILE'!$E$89/SUMSQ('TS-PILE'!$E$72:$E$91))+IF(SUMSQ('TS-PILE'!$D$72:$D$91)=0,0,'TO HOP NLAN'!F304*'TS-PILE'!$D$89/SUMSQ('TS-PILE'!$D$72:$D$91))),IF('TS-PILE'!$B$90="",1E+99,'TO HOP NLAN'!D304/ncoc+IF(SUMSQ('TS-PILE'!$E$72:$E$91)=0,0,'TO HOP NLAN'!E304*'TS-PILE'!$E$90/SUMSQ('TS-PILE'!$E$72:$E$91))+IF(SUMSQ('TS-PILE'!$D$72:$D$91)=0,0,'TO HOP NLAN'!F304*'TS-PILE'!$D$90/SUMSQ('TS-PILE'!$D$72:$D$91))),IF('TS-PILE'!$B$91="",1E+99,'TO HOP NLAN'!D304/ncoc+IF(SUMSQ('TS-PILE'!$E$72:$E$91)=0,0,'TO HOP NLAN'!E304*'TS-PILE'!$E$91/SUMSQ('TS-PILE'!$E$72:$E$91))+IF(SUMSQ('TS-PILE'!$D$72:$D$91)=0,0,'TO HOP NLAN'!F304*'TS-PILE'!$D$91/SUMSQ('TS-PILE'!$D$72:$D$91)))))</f>
        <v>0</v>
      </c>
      <c r="E304" s="58">
        <f t="shared" si="16"/>
        <v>-9.9999999999999997E+98</v>
      </c>
      <c r="F304" s="58">
        <f t="shared" si="17"/>
        <v>9.9999999999999997E+98</v>
      </c>
      <c r="G304" s="58">
        <f t="shared" si="18"/>
        <v>-9.9999999999999997E+98</v>
      </c>
      <c r="H304" s="58">
        <f t="shared" si="19"/>
        <v>9.9999999999999997E+98</v>
      </c>
    </row>
    <row r="305" spans="1:8" x14ac:dyDescent="0.3">
      <c r="A305" s="42" t="str">
        <f>'TO HOP NLAN'!A305</f>
        <v/>
      </c>
      <c r="B305" s="42" t="str">
        <f>'TO HOP NLAN'!L305</f>
        <v>STRENGTH</v>
      </c>
      <c r="C305" s="58">
        <f>IF(A305="",0,MAX(IF('TS-PILE'!$B$72="",-1E+99,'TO HOP NLAN'!D305/ncoc+IF(SUMSQ('TS-PILE'!$E$72:$E$91)=0,0,'TO HOP NLAN'!E305*'TS-PILE'!$E$72/SUMSQ('TS-PILE'!$E$72:$E$91))+IF(SUMSQ('TS-PILE'!$D$72:$D$91)=0,0,'TO HOP NLAN'!F305*'TS-PILE'!$D$72/SUMSQ('TS-PILE'!$D$72:$D$91))),IF('TS-PILE'!$B$73="",-1E+99,'TO HOP NLAN'!D305/ncoc+IF(SUMSQ('TS-PILE'!$E$72:$E$91)=0,0,'TO HOP NLAN'!E305*'TS-PILE'!$E$73/SUMSQ('TS-PILE'!$E$72:$E$91))+IF(SUMSQ('TS-PILE'!$D$72:$D$91)=0,0,'TO HOP NLAN'!F305*'TS-PILE'!$D$73/SUMSQ('TS-PILE'!$D$72:$D$91))),IF('TS-PILE'!$B$74="",-1E+99,'TO HOP NLAN'!D305/ncoc+IF(SUMSQ('TS-PILE'!$E$72:$E$91)=0,0,'TO HOP NLAN'!E305*'TS-PILE'!$E$74/SUMSQ('TS-PILE'!$E$72:$E$91))+IF(SUMSQ('TS-PILE'!$D$72:$D$91)=0,0,'TO HOP NLAN'!F305*'TS-PILE'!$D$74/SUMSQ('TS-PILE'!$D$72:$D$91))),IF('TS-PILE'!$B$75="",-1E+99,'TO HOP NLAN'!D305/ncoc+IF(SUMSQ('TS-PILE'!$E$72:$E$91)=0,0,'TO HOP NLAN'!E305*'TS-PILE'!$E$75/SUMSQ('TS-PILE'!$E$72:$E$91))+IF(SUMSQ('TS-PILE'!$D$72:$D$91)=0,0,'TO HOP NLAN'!F305*'TS-PILE'!$D$75/SUMSQ('TS-PILE'!$D$72:$D$91))),IF('TS-PILE'!$B$76="",-1E+99,'TO HOP NLAN'!D305/ncoc+IF(SUMSQ('TS-PILE'!$E$72:$E$91)=0,0,'TO HOP NLAN'!E305*'TS-PILE'!$E$76/SUMSQ('TS-PILE'!$E$72:$E$91))+IF(SUMSQ('TS-PILE'!$D$72:$D$91)=0,0,'TO HOP NLAN'!F305*'TS-PILE'!$D$76/SUMSQ('TS-PILE'!$D$72:$D$91))),IF('TS-PILE'!$B$77="",-1E+99,'TO HOP NLAN'!D305/ncoc+IF(SUMSQ('TS-PILE'!$E$72:$E$91)=0,0,'TO HOP NLAN'!E305*'TS-PILE'!$E$77/SUMSQ('TS-PILE'!$E$72:$E$91))+IF(SUMSQ('TS-PILE'!$D$72:$D$91)=0,0,'TO HOP NLAN'!F305*'TS-PILE'!$D$77/SUMSQ('TS-PILE'!$D$72:$D$91))),IF('TS-PILE'!$B$78="",-1E+99,'TO HOP NLAN'!D305/ncoc+IF(SUMSQ('TS-PILE'!$E$72:$E$91)=0,0,'TO HOP NLAN'!E305*'TS-PILE'!$E$78/SUMSQ('TS-PILE'!$E$72:$E$91))+IF(SUMSQ('TS-PILE'!$D$72:$D$91)=0,0,'TO HOP NLAN'!F305*'TS-PILE'!$D$78/SUMSQ('TS-PILE'!$D$72:$D$91))),IF('TS-PILE'!$B$79="",-1E+99,'TO HOP NLAN'!D305/ncoc+IF(SUMSQ('TS-PILE'!$E$72:$E$91)=0,0,'TO HOP NLAN'!E305*'TS-PILE'!$E$79/SUMSQ('TS-PILE'!$E$72:$E$91))+IF(SUMSQ('TS-PILE'!$D$72:$D$91)=0,0,'TO HOP NLAN'!F305*'TS-PILE'!$D$79/SUMSQ('TS-PILE'!$D$72:$D$91))),IF('TS-PILE'!$B$80="",-1E+99,'TO HOP NLAN'!D305/ncoc+IF(SUMSQ('TS-PILE'!$E$72:$E$91)=0,0,'TO HOP NLAN'!E305*'TS-PILE'!$E$80/SUMSQ('TS-PILE'!$E$72:$E$91))+IF(SUMSQ('TS-PILE'!$D$72:$D$91)=0,0,'TO HOP NLAN'!F305*'TS-PILE'!$D$80/SUMSQ('TS-PILE'!$D$72:$D$91))),IF('TS-PILE'!$B$81="",-1E+99,'TO HOP NLAN'!D305/ncoc+IF(SUMSQ('TS-PILE'!$E$72:$E$91)=0,0,'TO HOP NLAN'!E305*'TS-PILE'!$E$81/SUMSQ('TS-PILE'!$E$72:$E$91))+IF(SUMSQ('TS-PILE'!$D$72:$D$91)=0,0,'TO HOP NLAN'!F305*'TS-PILE'!$D$81/SUMSQ('TS-PILE'!$D$72:$D$91))),IF('TS-PILE'!$B$82="",-1E+99,'TO HOP NLAN'!D305/ncoc+IF(SUMSQ('TS-PILE'!$E$72:$E$91)=0,0,'TO HOP NLAN'!E305*'TS-PILE'!$E$82/SUMSQ('TS-PILE'!$E$72:$E$91))+IF(SUMSQ('TS-PILE'!$D$72:$D$91)=0,0,'TO HOP NLAN'!F305*'TS-PILE'!$D$82/SUMSQ('TS-PILE'!$D$72:$D$91))),IF('TS-PILE'!$B$83="",-1E+99,'TO HOP NLAN'!D305/ncoc+IF(SUMSQ('TS-PILE'!$E$72:$E$91)=0,0,'TO HOP NLAN'!E305*'TS-PILE'!$E$83/SUMSQ('TS-PILE'!$E$72:$E$91))+IF(SUMSQ('TS-PILE'!$D$72:$D$91)=0,0,'TO HOP NLAN'!F305*'TS-PILE'!$D$83/SUMSQ('TS-PILE'!$D$72:$D$91))),IF('TS-PILE'!$B$84="",-1E+99,'TO HOP NLAN'!D305/ncoc+IF(SUMSQ('TS-PILE'!$E$72:$E$91)=0,0,'TO HOP NLAN'!E305*'TS-PILE'!$E$84/SUMSQ('TS-PILE'!$E$72:$E$91))+IF(SUMSQ('TS-PILE'!$D$72:$D$91)=0,0,'TO HOP NLAN'!F305*'TS-PILE'!$D$84/SUMSQ('TS-PILE'!$D$72:$D$91))),IF('TS-PILE'!$B$85="",-1E+99,'TO HOP NLAN'!D305/ncoc+IF(SUMSQ('TS-PILE'!$E$72:$E$91)=0,0,'TO HOP NLAN'!E305*'TS-PILE'!$E$85/SUMSQ('TS-PILE'!$E$72:$E$91))+IF(SUMSQ('TS-PILE'!$D$72:$D$91)=0,0,'TO HOP NLAN'!F305*'TS-PILE'!$D$85/SUMSQ('TS-PILE'!$D$72:$D$91))),IF('TS-PILE'!$B$86="",-1E+99,'TO HOP NLAN'!D305/ncoc+IF(SUMSQ('TS-PILE'!$E$72:$E$91)=0,0,'TO HOP NLAN'!E305*'TS-PILE'!$E$86/SUMSQ('TS-PILE'!$E$72:$E$91))+IF(SUMSQ('TS-PILE'!$D$72:$D$91)=0,0,'TO HOP NLAN'!F305*'TS-PILE'!$D$86/SUMSQ('TS-PILE'!$D$72:$D$91))),IF('TS-PILE'!$B$87="",-1E+99,'TO HOP NLAN'!D305/ncoc+IF(SUMSQ('TS-PILE'!$E$72:$E$91)=0,0,'TO HOP NLAN'!E305*'TS-PILE'!$E$87/SUMSQ('TS-PILE'!$E$72:$E$91))+IF(SUMSQ('TS-PILE'!$D$72:$D$91)=0,0,'TO HOP NLAN'!F305*'TS-PILE'!$D$87/SUMSQ('TS-PILE'!$D$72:$D$91))),IF('TS-PILE'!$B$88="",-1E+99,'TO HOP NLAN'!D305/ncoc+IF(SUMSQ('TS-PILE'!$E$72:$E$91)=0,0,'TO HOP NLAN'!E305*'TS-PILE'!$E$88/SUMSQ('TS-PILE'!$E$72:$E$91))+IF(SUMSQ('TS-PILE'!$D$72:$D$91)=0,0,'TO HOP NLAN'!F305*'TS-PILE'!$D$88/SUMSQ('TS-PILE'!$D$72:$D$91))),IF('TS-PILE'!$B$89="",-1E+99,'TO HOP NLAN'!D305/ncoc+IF(SUMSQ('TS-PILE'!$E$72:$E$91)=0,0,'TO HOP NLAN'!E305*'TS-PILE'!$E$89/SUMSQ('TS-PILE'!$E$72:$E$91))+IF(SUMSQ('TS-PILE'!$D$72:$D$91)=0,0,'TO HOP NLAN'!F305*'TS-PILE'!$D$89/SUMSQ('TS-PILE'!$D$72:$D$91))),IF('TS-PILE'!$B$90="",-1E+99,'TO HOP NLAN'!D305/ncoc+IF(SUMSQ('TS-PILE'!$E$72:$E$91)=0,0,'TO HOP NLAN'!E305*'TS-PILE'!$E$90/SUMSQ('TS-PILE'!$E$72:$E$91))+IF(SUMSQ('TS-PILE'!$D$72:$D$91)=0,0,'TO HOP NLAN'!F305*'TS-PILE'!$D$90/SUMSQ('TS-PILE'!$D$72:$D$91))),IF('TS-PILE'!$B$91="",-1E+99,'TO HOP NLAN'!D305/ncoc+IF(SUMSQ('TS-PILE'!$E$72:$E$91)=0,0,'TO HOP NLAN'!E305*'TS-PILE'!$E$91/SUMSQ('TS-PILE'!$E$72:$E$91))+IF(SUMSQ('TS-PILE'!$D$72:$D$91)=0,0,'TO HOP NLAN'!F305*'TS-PILE'!$D$91/SUMSQ('TS-PILE'!$D$72:$D$91)))))</f>
        <v>0</v>
      </c>
      <c r="D305" s="58">
        <f>IF(A305="",0,MIN(IF('TS-PILE'!$B$72="",1E+99,'TO HOP NLAN'!D305/ncoc+IF(SUMSQ('TS-PILE'!$E$72:$E$91)=0,0,'TO HOP NLAN'!E305*'TS-PILE'!$E$72/SUMSQ('TS-PILE'!$E$72:$E$91))+IF(SUMSQ('TS-PILE'!$D$72:$D$91)=0,0,'TO HOP NLAN'!F305*'TS-PILE'!$D$72/SUMSQ('TS-PILE'!$D$72:$D$91))),IF('TS-PILE'!$B$73="",1E+99,'TO HOP NLAN'!D305/ncoc+IF(SUMSQ('TS-PILE'!$E$72:$E$91)=0,0,'TO HOP NLAN'!E305*'TS-PILE'!$E$73/SUMSQ('TS-PILE'!$E$72:$E$91))+IF(SUMSQ('TS-PILE'!$D$72:$D$91)=0,0,'TO HOP NLAN'!F305*'TS-PILE'!$D$73/SUMSQ('TS-PILE'!$D$72:$D$91))),IF('TS-PILE'!$B$74="",1E+99,'TO HOP NLAN'!D305/ncoc+IF(SUMSQ('TS-PILE'!$E$72:$E$91)=0,0,'TO HOP NLAN'!E305*'TS-PILE'!$E$74/SUMSQ('TS-PILE'!$E$72:$E$91))+IF(SUMSQ('TS-PILE'!$D$72:$D$91)=0,0,'TO HOP NLAN'!F305*'TS-PILE'!$D$74/SUMSQ('TS-PILE'!$D$72:$D$91))),IF('TS-PILE'!$B$75="",1E+99,'TO HOP NLAN'!D305/ncoc+IF(SUMSQ('TS-PILE'!$E$72:$E$91)=0,0,'TO HOP NLAN'!E305*'TS-PILE'!$E$75/SUMSQ('TS-PILE'!$E$72:$E$91))+IF(SUMSQ('TS-PILE'!$D$72:$D$91)=0,0,'TO HOP NLAN'!F305*'TS-PILE'!$D$75/SUMSQ('TS-PILE'!$D$72:$D$91))),IF('TS-PILE'!$B$76="",1E+99,'TO HOP NLAN'!D305/ncoc+IF(SUMSQ('TS-PILE'!$E$72:$E$91)=0,0,'TO HOP NLAN'!E305*'TS-PILE'!$E$76/SUMSQ('TS-PILE'!$E$72:$E$91))+IF(SUMSQ('TS-PILE'!$D$72:$D$91)=0,0,'TO HOP NLAN'!F305*'TS-PILE'!$D$76/SUMSQ('TS-PILE'!$D$72:$D$91))),IF('TS-PILE'!$B$77="",1E+99,'TO HOP NLAN'!D305/ncoc+IF(SUMSQ('TS-PILE'!$E$72:$E$91)=0,0,'TO HOP NLAN'!E305*'TS-PILE'!$E$77/SUMSQ('TS-PILE'!$E$72:$E$91))+IF(SUMSQ('TS-PILE'!$D$72:$D$91)=0,0,'TO HOP NLAN'!F305*'TS-PILE'!$D$77/SUMSQ('TS-PILE'!$D$72:$D$91))),IF('TS-PILE'!$B$78="",1E+99,'TO HOP NLAN'!D305/ncoc+IF(SUMSQ('TS-PILE'!$E$72:$E$91)=0,0,'TO HOP NLAN'!E305*'TS-PILE'!$E$78/SUMSQ('TS-PILE'!$E$72:$E$91))+IF(SUMSQ('TS-PILE'!$D$72:$D$91)=0,0,'TO HOP NLAN'!F305*'TS-PILE'!$D$78/SUMSQ('TS-PILE'!$D$72:$D$91))),IF('TS-PILE'!$B$79="",1E+99,'TO HOP NLAN'!D305/ncoc+IF(SUMSQ('TS-PILE'!$E$72:$E$91)=0,0,'TO HOP NLAN'!E305*'TS-PILE'!$E$79/SUMSQ('TS-PILE'!$E$72:$E$91))+IF(SUMSQ('TS-PILE'!$D$72:$D$91)=0,0,'TO HOP NLAN'!F305*'TS-PILE'!$D$79/SUMSQ('TS-PILE'!$D$72:$D$91))),IF('TS-PILE'!$B$80="",1E+99,'TO HOP NLAN'!D305/ncoc+IF(SUMSQ('TS-PILE'!$E$72:$E$91)=0,0,'TO HOP NLAN'!E305*'TS-PILE'!$E$80/SUMSQ('TS-PILE'!$E$72:$E$91))+IF(SUMSQ('TS-PILE'!$D$72:$D$91)=0,0,'TO HOP NLAN'!F305*'TS-PILE'!$D$80/SUMSQ('TS-PILE'!$D$72:$D$91))),IF('TS-PILE'!$B$81="",1E+99,'TO HOP NLAN'!D305/ncoc+IF(SUMSQ('TS-PILE'!$E$72:$E$91)=0,0,'TO HOP NLAN'!E305*'TS-PILE'!$E$81/SUMSQ('TS-PILE'!$E$72:$E$91))+IF(SUMSQ('TS-PILE'!$D$72:$D$91)=0,0,'TO HOP NLAN'!F305*'TS-PILE'!$D$81/SUMSQ('TS-PILE'!$D$72:$D$91))),IF('TS-PILE'!$B$82="",1E+99,'TO HOP NLAN'!D305/ncoc+IF(SUMSQ('TS-PILE'!$E$72:$E$91)=0,0,'TO HOP NLAN'!E305*'TS-PILE'!$E$82/SUMSQ('TS-PILE'!$E$72:$E$91))+IF(SUMSQ('TS-PILE'!$D$72:$D$91)=0,0,'TO HOP NLAN'!F305*'TS-PILE'!$D$82/SUMSQ('TS-PILE'!$D$72:$D$91))),IF('TS-PILE'!$B$83="",1E+99,'TO HOP NLAN'!D305/ncoc+IF(SUMSQ('TS-PILE'!$E$72:$E$91)=0,0,'TO HOP NLAN'!E305*'TS-PILE'!$E$83/SUMSQ('TS-PILE'!$E$72:$E$91))+IF(SUMSQ('TS-PILE'!$D$72:$D$91)=0,0,'TO HOP NLAN'!F305*'TS-PILE'!$D$83/SUMSQ('TS-PILE'!$D$72:$D$91))),IF('TS-PILE'!$B$84="",1E+99,'TO HOP NLAN'!D305/ncoc+IF(SUMSQ('TS-PILE'!$E$72:$E$91)=0,0,'TO HOP NLAN'!E305*'TS-PILE'!$E$84/SUMSQ('TS-PILE'!$E$72:$E$91))+IF(SUMSQ('TS-PILE'!$D$72:$D$91)=0,0,'TO HOP NLAN'!F305*'TS-PILE'!$D$84/SUMSQ('TS-PILE'!$D$72:$D$91))),IF('TS-PILE'!$B$85="",1E+99,'TO HOP NLAN'!D305/ncoc+IF(SUMSQ('TS-PILE'!$E$72:$E$91)=0,0,'TO HOP NLAN'!E305*'TS-PILE'!$E$85/SUMSQ('TS-PILE'!$E$72:$E$91))+IF(SUMSQ('TS-PILE'!$D$72:$D$91)=0,0,'TO HOP NLAN'!F305*'TS-PILE'!$D$85/SUMSQ('TS-PILE'!$D$72:$D$91))),IF('TS-PILE'!$B$86="",1E+99,'TO HOP NLAN'!D305/ncoc+IF(SUMSQ('TS-PILE'!$E$72:$E$91)=0,0,'TO HOP NLAN'!E305*'TS-PILE'!$E$86/SUMSQ('TS-PILE'!$E$72:$E$91))+IF(SUMSQ('TS-PILE'!$D$72:$D$91)=0,0,'TO HOP NLAN'!F305*'TS-PILE'!$D$86/SUMSQ('TS-PILE'!$D$72:$D$91))),IF('TS-PILE'!$B$87="",1E+99,'TO HOP NLAN'!D305/ncoc+IF(SUMSQ('TS-PILE'!$E$72:$E$91)=0,0,'TO HOP NLAN'!E305*'TS-PILE'!$E$87/SUMSQ('TS-PILE'!$E$72:$E$91))+IF(SUMSQ('TS-PILE'!$D$72:$D$91)=0,0,'TO HOP NLAN'!F305*'TS-PILE'!$D$87/SUMSQ('TS-PILE'!$D$72:$D$91))),IF('TS-PILE'!$B$88="",1E+99,'TO HOP NLAN'!D305/ncoc+IF(SUMSQ('TS-PILE'!$E$72:$E$91)=0,0,'TO HOP NLAN'!E305*'TS-PILE'!$E$88/SUMSQ('TS-PILE'!$E$72:$E$91))+IF(SUMSQ('TS-PILE'!$D$72:$D$91)=0,0,'TO HOP NLAN'!F305*'TS-PILE'!$D$88/SUMSQ('TS-PILE'!$D$72:$D$91))),IF('TS-PILE'!$B$89="",1E+99,'TO HOP NLAN'!D305/ncoc+IF(SUMSQ('TS-PILE'!$E$72:$E$91)=0,0,'TO HOP NLAN'!E305*'TS-PILE'!$E$89/SUMSQ('TS-PILE'!$E$72:$E$91))+IF(SUMSQ('TS-PILE'!$D$72:$D$91)=0,0,'TO HOP NLAN'!F305*'TS-PILE'!$D$89/SUMSQ('TS-PILE'!$D$72:$D$91))),IF('TS-PILE'!$B$90="",1E+99,'TO HOP NLAN'!D305/ncoc+IF(SUMSQ('TS-PILE'!$E$72:$E$91)=0,0,'TO HOP NLAN'!E305*'TS-PILE'!$E$90/SUMSQ('TS-PILE'!$E$72:$E$91))+IF(SUMSQ('TS-PILE'!$D$72:$D$91)=0,0,'TO HOP NLAN'!F305*'TS-PILE'!$D$90/SUMSQ('TS-PILE'!$D$72:$D$91))),IF('TS-PILE'!$B$91="",1E+99,'TO HOP NLAN'!D305/ncoc+IF(SUMSQ('TS-PILE'!$E$72:$E$91)=0,0,'TO HOP NLAN'!E305*'TS-PILE'!$E$91/SUMSQ('TS-PILE'!$E$72:$E$91))+IF(SUMSQ('TS-PILE'!$D$72:$D$91)=0,0,'TO HOP NLAN'!F305*'TS-PILE'!$D$91/SUMSQ('TS-PILE'!$D$72:$D$91)))))</f>
        <v>0</v>
      </c>
      <c r="E305" s="58">
        <f t="shared" si="16"/>
        <v>-9.9999999999999997E+98</v>
      </c>
      <c r="F305" s="58">
        <f t="shared" si="17"/>
        <v>9.9999999999999997E+98</v>
      </c>
      <c r="G305" s="58">
        <f t="shared" si="18"/>
        <v>-9.9999999999999997E+98</v>
      </c>
      <c r="H305" s="58">
        <f t="shared" si="19"/>
        <v>9.9999999999999997E+98</v>
      </c>
    </row>
    <row r="306" spans="1:8" x14ac:dyDescent="0.3">
      <c r="A306" s="42" t="str">
        <f>'TO HOP NLAN'!A306</f>
        <v/>
      </c>
      <c r="B306" s="42" t="str">
        <f>'TO HOP NLAN'!L306</f>
        <v>STRENGTH</v>
      </c>
      <c r="C306" s="58">
        <f>IF(A306="",0,MAX(IF('TS-PILE'!$B$72="",-1E+99,'TO HOP NLAN'!D306/ncoc+IF(SUMSQ('TS-PILE'!$E$72:$E$91)=0,0,'TO HOP NLAN'!E306*'TS-PILE'!$E$72/SUMSQ('TS-PILE'!$E$72:$E$91))+IF(SUMSQ('TS-PILE'!$D$72:$D$91)=0,0,'TO HOP NLAN'!F306*'TS-PILE'!$D$72/SUMSQ('TS-PILE'!$D$72:$D$91))),IF('TS-PILE'!$B$73="",-1E+99,'TO HOP NLAN'!D306/ncoc+IF(SUMSQ('TS-PILE'!$E$72:$E$91)=0,0,'TO HOP NLAN'!E306*'TS-PILE'!$E$73/SUMSQ('TS-PILE'!$E$72:$E$91))+IF(SUMSQ('TS-PILE'!$D$72:$D$91)=0,0,'TO HOP NLAN'!F306*'TS-PILE'!$D$73/SUMSQ('TS-PILE'!$D$72:$D$91))),IF('TS-PILE'!$B$74="",-1E+99,'TO HOP NLAN'!D306/ncoc+IF(SUMSQ('TS-PILE'!$E$72:$E$91)=0,0,'TO HOP NLAN'!E306*'TS-PILE'!$E$74/SUMSQ('TS-PILE'!$E$72:$E$91))+IF(SUMSQ('TS-PILE'!$D$72:$D$91)=0,0,'TO HOP NLAN'!F306*'TS-PILE'!$D$74/SUMSQ('TS-PILE'!$D$72:$D$91))),IF('TS-PILE'!$B$75="",-1E+99,'TO HOP NLAN'!D306/ncoc+IF(SUMSQ('TS-PILE'!$E$72:$E$91)=0,0,'TO HOP NLAN'!E306*'TS-PILE'!$E$75/SUMSQ('TS-PILE'!$E$72:$E$91))+IF(SUMSQ('TS-PILE'!$D$72:$D$91)=0,0,'TO HOP NLAN'!F306*'TS-PILE'!$D$75/SUMSQ('TS-PILE'!$D$72:$D$91))),IF('TS-PILE'!$B$76="",-1E+99,'TO HOP NLAN'!D306/ncoc+IF(SUMSQ('TS-PILE'!$E$72:$E$91)=0,0,'TO HOP NLAN'!E306*'TS-PILE'!$E$76/SUMSQ('TS-PILE'!$E$72:$E$91))+IF(SUMSQ('TS-PILE'!$D$72:$D$91)=0,0,'TO HOP NLAN'!F306*'TS-PILE'!$D$76/SUMSQ('TS-PILE'!$D$72:$D$91))),IF('TS-PILE'!$B$77="",-1E+99,'TO HOP NLAN'!D306/ncoc+IF(SUMSQ('TS-PILE'!$E$72:$E$91)=0,0,'TO HOP NLAN'!E306*'TS-PILE'!$E$77/SUMSQ('TS-PILE'!$E$72:$E$91))+IF(SUMSQ('TS-PILE'!$D$72:$D$91)=0,0,'TO HOP NLAN'!F306*'TS-PILE'!$D$77/SUMSQ('TS-PILE'!$D$72:$D$91))),IF('TS-PILE'!$B$78="",-1E+99,'TO HOP NLAN'!D306/ncoc+IF(SUMSQ('TS-PILE'!$E$72:$E$91)=0,0,'TO HOP NLAN'!E306*'TS-PILE'!$E$78/SUMSQ('TS-PILE'!$E$72:$E$91))+IF(SUMSQ('TS-PILE'!$D$72:$D$91)=0,0,'TO HOP NLAN'!F306*'TS-PILE'!$D$78/SUMSQ('TS-PILE'!$D$72:$D$91))),IF('TS-PILE'!$B$79="",-1E+99,'TO HOP NLAN'!D306/ncoc+IF(SUMSQ('TS-PILE'!$E$72:$E$91)=0,0,'TO HOP NLAN'!E306*'TS-PILE'!$E$79/SUMSQ('TS-PILE'!$E$72:$E$91))+IF(SUMSQ('TS-PILE'!$D$72:$D$91)=0,0,'TO HOP NLAN'!F306*'TS-PILE'!$D$79/SUMSQ('TS-PILE'!$D$72:$D$91))),IF('TS-PILE'!$B$80="",-1E+99,'TO HOP NLAN'!D306/ncoc+IF(SUMSQ('TS-PILE'!$E$72:$E$91)=0,0,'TO HOP NLAN'!E306*'TS-PILE'!$E$80/SUMSQ('TS-PILE'!$E$72:$E$91))+IF(SUMSQ('TS-PILE'!$D$72:$D$91)=0,0,'TO HOP NLAN'!F306*'TS-PILE'!$D$80/SUMSQ('TS-PILE'!$D$72:$D$91))),IF('TS-PILE'!$B$81="",-1E+99,'TO HOP NLAN'!D306/ncoc+IF(SUMSQ('TS-PILE'!$E$72:$E$91)=0,0,'TO HOP NLAN'!E306*'TS-PILE'!$E$81/SUMSQ('TS-PILE'!$E$72:$E$91))+IF(SUMSQ('TS-PILE'!$D$72:$D$91)=0,0,'TO HOP NLAN'!F306*'TS-PILE'!$D$81/SUMSQ('TS-PILE'!$D$72:$D$91))),IF('TS-PILE'!$B$82="",-1E+99,'TO HOP NLAN'!D306/ncoc+IF(SUMSQ('TS-PILE'!$E$72:$E$91)=0,0,'TO HOP NLAN'!E306*'TS-PILE'!$E$82/SUMSQ('TS-PILE'!$E$72:$E$91))+IF(SUMSQ('TS-PILE'!$D$72:$D$91)=0,0,'TO HOP NLAN'!F306*'TS-PILE'!$D$82/SUMSQ('TS-PILE'!$D$72:$D$91))),IF('TS-PILE'!$B$83="",-1E+99,'TO HOP NLAN'!D306/ncoc+IF(SUMSQ('TS-PILE'!$E$72:$E$91)=0,0,'TO HOP NLAN'!E306*'TS-PILE'!$E$83/SUMSQ('TS-PILE'!$E$72:$E$91))+IF(SUMSQ('TS-PILE'!$D$72:$D$91)=0,0,'TO HOP NLAN'!F306*'TS-PILE'!$D$83/SUMSQ('TS-PILE'!$D$72:$D$91))),IF('TS-PILE'!$B$84="",-1E+99,'TO HOP NLAN'!D306/ncoc+IF(SUMSQ('TS-PILE'!$E$72:$E$91)=0,0,'TO HOP NLAN'!E306*'TS-PILE'!$E$84/SUMSQ('TS-PILE'!$E$72:$E$91))+IF(SUMSQ('TS-PILE'!$D$72:$D$91)=0,0,'TO HOP NLAN'!F306*'TS-PILE'!$D$84/SUMSQ('TS-PILE'!$D$72:$D$91))),IF('TS-PILE'!$B$85="",-1E+99,'TO HOP NLAN'!D306/ncoc+IF(SUMSQ('TS-PILE'!$E$72:$E$91)=0,0,'TO HOP NLAN'!E306*'TS-PILE'!$E$85/SUMSQ('TS-PILE'!$E$72:$E$91))+IF(SUMSQ('TS-PILE'!$D$72:$D$91)=0,0,'TO HOP NLAN'!F306*'TS-PILE'!$D$85/SUMSQ('TS-PILE'!$D$72:$D$91))),IF('TS-PILE'!$B$86="",-1E+99,'TO HOP NLAN'!D306/ncoc+IF(SUMSQ('TS-PILE'!$E$72:$E$91)=0,0,'TO HOP NLAN'!E306*'TS-PILE'!$E$86/SUMSQ('TS-PILE'!$E$72:$E$91))+IF(SUMSQ('TS-PILE'!$D$72:$D$91)=0,0,'TO HOP NLAN'!F306*'TS-PILE'!$D$86/SUMSQ('TS-PILE'!$D$72:$D$91))),IF('TS-PILE'!$B$87="",-1E+99,'TO HOP NLAN'!D306/ncoc+IF(SUMSQ('TS-PILE'!$E$72:$E$91)=0,0,'TO HOP NLAN'!E306*'TS-PILE'!$E$87/SUMSQ('TS-PILE'!$E$72:$E$91))+IF(SUMSQ('TS-PILE'!$D$72:$D$91)=0,0,'TO HOP NLAN'!F306*'TS-PILE'!$D$87/SUMSQ('TS-PILE'!$D$72:$D$91))),IF('TS-PILE'!$B$88="",-1E+99,'TO HOP NLAN'!D306/ncoc+IF(SUMSQ('TS-PILE'!$E$72:$E$91)=0,0,'TO HOP NLAN'!E306*'TS-PILE'!$E$88/SUMSQ('TS-PILE'!$E$72:$E$91))+IF(SUMSQ('TS-PILE'!$D$72:$D$91)=0,0,'TO HOP NLAN'!F306*'TS-PILE'!$D$88/SUMSQ('TS-PILE'!$D$72:$D$91))),IF('TS-PILE'!$B$89="",-1E+99,'TO HOP NLAN'!D306/ncoc+IF(SUMSQ('TS-PILE'!$E$72:$E$91)=0,0,'TO HOP NLAN'!E306*'TS-PILE'!$E$89/SUMSQ('TS-PILE'!$E$72:$E$91))+IF(SUMSQ('TS-PILE'!$D$72:$D$91)=0,0,'TO HOP NLAN'!F306*'TS-PILE'!$D$89/SUMSQ('TS-PILE'!$D$72:$D$91))),IF('TS-PILE'!$B$90="",-1E+99,'TO HOP NLAN'!D306/ncoc+IF(SUMSQ('TS-PILE'!$E$72:$E$91)=0,0,'TO HOP NLAN'!E306*'TS-PILE'!$E$90/SUMSQ('TS-PILE'!$E$72:$E$91))+IF(SUMSQ('TS-PILE'!$D$72:$D$91)=0,0,'TO HOP NLAN'!F306*'TS-PILE'!$D$90/SUMSQ('TS-PILE'!$D$72:$D$91))),IF('TS-PILE'!$B$91="",-1E+99,'TO HOP NLAN'!D306/ncoc+IF(SUMSQ('TS-PILE'!$E$72:$E$91)=0,0,'TO HOP NLAN'!E306*'TS-PILE'!$E$91/SUMSQ('TS-PILE'!$E$72:$E$91))+IF(SUMSQ('TS-PILE'!$D$72:$D$91)=0,0,'TO HOP NLAN'!F306*'TS-PILE'!$D$91/SUMSQ('TS-PILE'!$D$72:$D$91)))))</f>
        <v>0</v>
      </c>
      <c r="D306" s="58">
        <f>IF(A306="",0,MIN(IF('TS-PILE'!$B$72="",1E+99,'TO HOP NLAN'!D306/ncoc+IF(SUMSQ('TS-PILE'!$E$72:$E$91)=0,0,'TO HOP NLAN'!E306*'TS-PILE'!$E$72/SUMSQ('TS-PILE'!$E$72:$E$91))+IF(SUMSQ('TS-PILE'!$D$72:$D$91)=0,0,'TO HOP NLAN'!F306*'TS-PILE'!$D$72/SUMSQ('TS-PILE'!$D$72:$D$91))),IF('TS-PILE'!$B$73="",1E+99,'TO HOP NLAN'!D306/ncoc+IF(SUMSQ('TS-PILE'!$E$72:$E$91)=0,0,'TO HOP NLAN'!E306*'TS-PILE'!$E$73/SUMSQ('TS-PILE'!$E$72:$E$91))+IF(SUMSQ('TS-PILE'!$D$72:$D$91)=0,0,'TO HOP NLAN'!F306*'TS-PILE'!$D$73/SUMSQ('TS-PILE'!$D$72:$D$91))),IF('TS-PILE'!$B$74="",1E+99,'TO HOP NLAN'!D306/ncoc+IF(SUMSQ('TS-PILE'!$E$72:$E$91)=0,0,'TO HOP NLAN'!E306*'TS-PILE'!$E$74/SUMSQ('TS-PILE'!$E$72:$E$91))+IF(SUMSQ('TS-PILE'!$D$72:$D$91)=0,0,'TO HOP NLAN'!F306*'TS-PILE'!$D$74/SUMSQ('TS-PILE'!$D$72:$D$91))),IF('TS-PILE'!$B$75="",1E+99,'TO HOP NLAN'!D306/ncoc+IF(SUMSQ('TS-PILE'!$E$72:$E$91)=0,0,'TO HOP NLAN'!E306*'TS-PILE'!$E$75/SUMSQ('TS-PILE'!$E$72:$E$91))+IF(SUMSQ('TS-PILE'!$D$72:$D$91)=0,0,'TO HOP NLAN'!F306*'TS-PILE'!$D$75/SUMSQ('TS-PILE'!$D$72:$D$91))),IF('TS-PILE'!$B$76="",1E+99,'TO HOP NLAN'!D306/ncoc+IF(SUMSQ('TS-PILE'!$E$72:$E$91)=0,0,'TO HOP NLAN'!E306*'TS-PILE'!$E$76/SUMSQ('TS-PILE'!$E$72:$E$91))+IF(SUMSQ('TS-PILE'!$D$72:$D$91)=0,0,'TO HOP NLAN'!F306*'TS-PILE'!$D$76/SUMSQ('TS-PILE'!$D$72:$D$91))),IF('TS-PILE'!$B$77="",1E+99,'TO HOP NLAN'!D306/ncoc+IF(SUMSQ('TS-PILE'!$E$72:$E$91)=0,0,'TO HOP NLAN'!E306*'TS-PILE'!$E$77/SUMSQ('TS-PILE'!$E$72:$E$91))+IF(SUMSQ('TS-PILE'!$D$72:$D$91)=0,0,'TO HOP NLAN'!F306*'TS-PILE'!$D$77/SUMSQ('TS-PILE'!$D$72:$D$91))),IF('TS-PILE'!$B$78="",1E+99,'TO HOP NLAN'!D306/ncoc+IF(SUMSQ('TS-PILE'!$E$72:$E$91)=0,0,'TO HOP NLAN'!E306*'TS-PILE'!$E$78/SUMSQ('TS-PILE'!$E$72:$E$91))+IF(SUMSQ('TS-PILE'!$D$72:$D$91)=0,0,'TO HOP NLAN'!F306*'TS-PILE'!$D$78/SUMSQ('TS-PILE'!$D$72:$D$91))),IF('TS-PILE'!$B$79="",1E+99,'TO HOP NLAN'!D306/ncoc+IF(SUMSQ('TS-PILE'!$E$72:$E$91)=0,0,'TO HOP NLAN'!E306*'TS-PILE'!$E$79/SUMSQ('TS-PILE'!$E$72:$E$91))+IF(SUMSQ('TS-PILE'!$D$72:$D$91)=0,0,'TO HOP NLAN'!F306*'TS-PILE'!$D$79/SUMSQ('TS-PILE'!$D$72:$D$91))),IF('TS-PILE'!$B$80="",1E+99,'TO HOP NLAN'!D306/ncoc+IF(SUMSQ('TS-PILE'!$E$72:$E$91)=0,0,'TO HOP NLAN'!E306*'TS-PILE'!$E$80/SUMSQ('TS-PILE'!$E$72:$E$91))+IF(SUMSQ('TS-PILE'!$D$72:$D$91)=0,0,'TO HOP NLAN'!F306*'TS-PILE'!$D$80/SUMSQ('TS-PILE'!$D$72:$D$91))),IF('TS-PILE'!$B$81="",1E+99,'TO HOP NLAN'!D306/ncoc+IF(SUMSQ('TS-PILE'!$E$72:$E$91)=0,0,'TO HOP NLAN'!E306*'TS-PILE'!$E$81/SUMSQ('TS-PILE'!$E$72:$E$91))+IF(SUMSQ('TS-PILE'!$D$72:$D$91)=0,0,'TO HOP NLAN'!F306*'TS-PILE'!$D$81/SUMSQ('TS-PILE'!$D$72:$D$91))),IF('TS-PILE'!$B$82="",1E+99,'TO HOP NLAN'!D306/ncoc+IF(SUMSQ('TS-PILE'!$E$72:$E$91)=0,0,'TO HOP NLAN'!E306*'TS-PILE'!$E$82/SUMSQ('TS-PILE'!$E$72:$E$91))+IF(SUMSQ('TS-PILE'!$D$72:$D$91)=0,0,'TO HOP NLAN'!F306*'TS-PILE'!$D$82/SUMSQ('TS-PILE'!$D$72:$D$91))),IF('TS-PILE'!$B$83="",1E+99,'TO HOP NLAN'!D306/ncoc+IF(SUMSQ('TS-PILE'!$E$72:$E$91)=0,0,'TO HOP NLAN'!E306*'TS-PILE'!$E$83/SUMSQ('TS-PILE'!$E$72:$E$91))+IF(SUMSQ('TS-PILE'!$D$72:$D$91)=0,0,'TO HOP NLAN'!F306*'TS-PILE'!$D$83/SUMSQ('TS-PILE'!$D$72:$D$91))),IF('TS-PILE'!$B$84="",1E+99,'TO HOP NLAN'!D306/ncoc+IF(SUMSQ('TS-PILE'!$E$72:$E$91)=0,0,'TO HOP NLAN'!E306*'TS-PILE'!$E$84/SUMSQ('TS-PILE'!$E$72:$E$91))+IF(SUMSQ('TS-PILE'!$D$72:$D$91)=0,0,'TO HOP NLAN'!F306*'TS-PILE'!$D$84/SUMSQ('TS-PILE'!$D$72:$D$91))),IF('TS-PILE'!$B$85="",1E+99,'TO HOP NLAN'!D306/ncoc+IF(SUMSQ('TS-PILE'!$E$72:$E$91)=0,0,'TO HOP NLAN'!E306*'TS-PILE'!$E$85/SUMSQ('TS-PILE'!$E$72:$E$91))+IF(SUMSQ('TS-PILE'!$D$72:$D$91)=0,0,'TO HOP NLAN'!F306*'TS-PILE'!$D$85/SUMSQ('TS-PILE'!$D$72:$D$91))),IF('TS-PILE'!$B$86="",1E+99,'TO HOP NLAN'!D306/ncoc+IF(SUMSQ('TS-PILE'!$E$72:$E$91)=0,0,'TO HOP NLAN'!E306*'TS-PILE'!$E$86/SUMSQ('TS-PILE'!$E$72:$E$91))+IF(SUMSQ('TS-PILE'!$D$72:$D$91)=0,0,'TO HOP NLAN'!F306*'TS-PILE'!$D$86/SUMSQ('TS-PILE'!$D$72:$D$91))),IF('TS-PILE'!$B$87="",1E+99,'TO HOP NLAN'!D306/ncoc+IF(SUMSQ('TS-PILE'!$E$72:$E$91)=0,0,'TO HOP NLAN'!E306*'TS-PILE'!$E$87/SUMSQ('TS-PILE'!$E$72:$E$91))+IF(SUMSQ('TS-PILE'!$D$72:$D$91)=0,0,'TO HOP NLAN'!F306*'TS-PILE'!$D$87/SUMSQ('TS-PILE'!$D$72:$D$91))),IF('TS-PILE'!$B$88="",1E+99,'TO HOP NLAN'!D306/ncoc+IF(SUMSQ('TS-PILE'!$E$72:$E$91)=0,0,'TO HOP NLAN'!E306*'TS-PILE'!$E$88/SUMSQ('TS-PILE'!$E$72:$E$91))+IF(SUMSQ('TS-PILE'!$D$72:$D$91)=0,0,'TO HOP NLAN'!F306*'TS-PILE'!$D$88/SUMSQ('TS-PILE'!$D$72:$D$91))),IF('TS-PILE'!$B$89="",1E+99,'TO HOP NLAN'!D306/ncoc+IF(SUMSQ('TS-PILE'!$E$72:$E$91)=0,0,'TO HOP NLAN'!E306*'TS-PILE'!$E$89/SUMSQ('TS-PILE'!$E$72:$E$91))+IF(SUMSQ('TS-PILE'!$D$72:$D$91)=0,0,'TO HOP NLAN'!F306*'TS-PILE'!$D$89/SUMSQ('TS-PILE'!$D$72:$D$91))),IF('TS-PILE'!$B$90="",1E+99,'TO HOP NLAN'!D306/ncoc+IF(SUMSQ('TS-PILE'!$E$72:$E$91)=0,0,'TO HOP NLAN'!E306*'TS-PILE'!$E$90/SUMSQ('TS-PILE'!$E$72:$E$91))+IF(SUMSQ('TS-PILE'!$D$72:$D$91)=0,0,'TO HOP NLAN'!F306*'TS-PILE'!$D$90/SUMSQ('TS-PILE'!$D$72:$D$91))),IF('TS-PILE'!$B$91="",1E+99,'TO HOP NLAN'!D306/ncoc+IF(SUMSQ('TS-PILE'!$E$72:$E$91)=0,0,'TO HOP NLAN'!E306*'TS-PILE'!$E$91/SUMSQ('TS-PILE'!$E$72:$E$91))+IF(SUMSQ('TS-PILE'!$D$72:$D$91)=0,0,'TO HOP NLAN'!F306*'TS-PILE'!$D$91/SUMSQ('TS-PILE'!$D$72:$D$91)))))</f>
        <v>0</v>
      </c>
      <c r="E306" s="58">
        <f t="shared" si="16"/>
        <v>-9.9999999999999997E+98</v>
      </c>
      <c r="F306" s="58">
        <f t="shared" si="17"/>
        <v>9.9999999999999997E+98</v>
      </c>
      <c r="G306" s="58">
        <f t="shared" si="18"/>
        <v>-9.9999999999999997E+98</v>
      </c>
      <c r="H306" s="58">
        <f t="shared" si="19"/>
        <v>9.9999999999999997E+98</v>
      </c>
    </row>
    <row r="307" spans="1:8" x14ac:dyDescent="0.3">
      <c r="A307" s="42" t="str">
        <f>'TO HOP NLAN'!A307</f>
        <v/>
      </c>
      <c r="B307" s="42" t="str">
        <f>'TO HOP NLAN'!L307</f>
        <v>STRENGTH</v>
      </c>
      <c r="C307" s="58">
        <f>IF(A307="",0,MAX(IF('TS-PILE'!$B$72="",-1E+99,'TO HOP NLAN'!D307/ncoc+IF(SUMSQ('TS-PILE'!$E$72:$E$91)=0,0,'TO HOP NLAN'!E307*'TS-PILE'!$E$72/SUMSQ('TS-PILE'!$E$72:$E$91))+IF(SUMSQ('TS-PILE'!$D$72:$D$91)=0,0,'TO HOP NLAN'!F307*'TS-PILE'!$D$72/SUMSQ('TS-PILE'!$D$72:$D$91))),IF('TS-PILE'!$B$73="",-1E+99,'TO HOP NLAN'!D307/ncoc+IF(SUMSQ('TS-PILE'!$E$72:$E$91)=0,0,'TO HOP NLAN'!E307*'TS-PILE'!$E$73/SUMSQ('TS-PILE'!$E$72:$E$91))+IF(SUMSQ('TS-PILE'!$D$72:$D$91)=0,0,'TO HOP NLAN'!F307*'TS-PILE'!$D$73/SUMSQ('TS-PILE'!$D$72:$D$91))),IF('TS-PILE'!$B$74="",-1E+99,'TO HOP NLAN'!D307/ncoc+IF(SUMSQ('TS-PILE'!$E$72:$E$91)=0,0,'TO HOP NLAN'!E307*'TS-PILE'!$E$74/SUMSQ('TS-PILE'!$E$72:$E$91))+IF(SUMSQ('TS-PILE'!$D$72:$D$91)=0,0,'TO HOP NLAN'!F307*'TS-PILE'!$D$74/SUMSQ('TS-PILE'!$D$72:$D$91))),IF('TS-PILE'!$B$75="",-1E+99,'TO HOP NLAN'!D307/ncoc+IF(SUMSQ('TS-PILE'!$E$72:$E$91)=0,0,'TO HOP NLAN'!E307*'TS-PILE'!$E$75/SUMSQ('TS-PILE'!$E$72:$E$91))+IF(SUMSQ('TS-PILE'!$D$72:$D$91)=0,0,'TO HOP NLAN'!F307*'TS-PILE'!$D$75/SUMSQ('TS-PILE'!$D$72:$D$91))),IF('TS-PILE'!$B$76="",-1E+99,'TO HOP NLAN'!D307/ncoc+IF(SUMSQ('TS-PILE'!$E$72:$E$91)=0,0,'TO HOP NLAN'!E307*'TS-PILE'!$E$76/SUMSQ('TS-PILE'!$E$72:$E$91))+IF(SUMSQ('TS-PILE'!$D$72:$D$91)=0,0,'TO HOP NLAN'!F307*'TS-PILE'!$D$76/SUMSQ('TS-PILE'!$D$72:$D$91))),IF('TS-PILE'!$B$77="",-1E+99,'TO HOP NLAN'!D307/ncoc+IF(SUMSQ('TS-PILE'!$E$72:$E$91)=0,0,'TO HOP NLAN'!E307*'TS-PILE'!$E$77/SUMSQ('TS-PILE'!$E$72:$E$91))+IF(SUMSQ('TS-PILE'!$D$72:$D$91)=0,0,'TO HOP NLAN'!F307*'TS-PILE'!$D$77/SUMSQ('TS-PILE'!$D$72:$D$91))),IF('TS-PILE'!$B$78="",-1E+99,'TO HOP NLAN'!D307/ncoc+IF(SUMSQ('TS-PILE'!$E$72:$E$91)=0,0,'TO HOP NLAN'!E307*'TS-PILE'!$E$78/SUMSQ('TS-PILE'!$E$72:$E$91))+IF(SUMSQ('TS-PILE'!$D$72:$D$91)=0,0,'TO HOP NLAN'!F307*'TS-PILE'!$D$78/SUMSQ('TS-PILE'!$D$72:$D$91))),IF('TS-PILE'!$B$79="",-1E+99,'TO HOP NLAN'!D307/ncoc+IF(SUMSQ('TS-PILE'!$E$72:$E$91)=0,0,'TO HOP NLAN'!E307*'TS-PILE'!$E$79/SUMSQ('TS-PILE'!$E$72:$E$91))+IF(SUMSQ('TS-PILE'!$D$72:$D$91)=0,0,'TO HOP NLAN'!F307*'TS-PILE'!$D$79/SUMSQ('TS-PILE'!$D$72:$D$91))),IF('TS-PILE'!$B$80="",-1E+99,'TO HOP NLAN'!D307/ncoc+IF(SUMSQ('TS-PILE'!$E$72:$E$91)=0,0,'TO HOP NLAN'!E307*'TS-PILE'!$E$80/SUMSQ('TS-PILE'!$E$72:$E$91))+IF(SUMSQ('TS-PILE'!$D$72:$D$91)=0,0,'TO HOP NLAN'!F307*'TS-PILE'!$D$80/SUMSQ('TS-PILE'!$D$72:$D$91))),IF('TS-PILE'!$B$81="",-1E+99,'TO HOP NLAN'!D307/ncoc+IF(SUMSQ('TS-PILE'!$E$72:$E$91)=0,0,'TO HOP NLAN'!E307*'TS-PILE'!$E$81/SUMSQ('TS-PILE'!$E$72:$E$91))+IF(SUMSQ('TS-PILE'!$D$72:$D$91)=0,0,'TO HOP NLAN'!F307*'TS-PILE'!$D$81/SUMSQ('TS-PILE'!$D$72:$D$91))),IF('TS-PILE'!$B$82="",-1E+99,'TO HOP NLAN'!D307/ncoc+IF(SUMSQ('TS-PILE'!$E$72:$E$91)=0,0,'TO HOP NLAN'!E307*'TS-PILE'!$E$82/SUMSQ('TS-PILE'!$E$72:$E$91))+IF(SUMSQ('TS-PILE'!$D$72:$D$91)=0,0,'TO HOP NLAN'!F307*'TS-PILE'!$D$82/SUMSQ('TS-PILE'!$D$72:$D$91))),IF('TS-PILE'!$B$83="",-1E+99,'TO HOP NLAN'!D307/ncoc+IF(SUMSQ('TS-PILE'!$E$72:$E$91)=0,0,'TO HOP NLAN'!E307*'TS-PILE'!$E$83/SUMSQ('TS-PILE'!$E$72:$E$91))+IF(SUMSQ('TS-PILE'!$D$72:$D$91)=0,0,'TO HOP NLAN'!F307*'TS-PILE'!$D$83/SUMSQ('TS-PILE'!$D$72:$D$91))),IF('TS-PILE'!$B$84="",-1E+99,'TO HOP NLAN'!D307/ncoc+IF(SUMSQ('TS-PILE'!$E$72:$E$91)=0,0,'TO HOP NLAN'!E307*'TS-PILE'!$E$84/SUMSQ('TS-PILE'!$E$72:$E$91))+IF(SUMSQ('TS-PILE'!$D$72:$D$91)=0,0,'TO HOP NLAN'!F307*'TS-PILE'!$D$84/SUMSQ('TS-PILE'!$D$72:$D$91))),IF('TS-PILE'!$B$85="",-1E+99,'TO HOP NLAN'!D307/ncoc+IF(SUMSQ('TS-PILE'!$E$72:$E$91)=0,0,'TO HOP NLAN'!E307*'TS-PILE'!$E$85/SUMSQ('TS-PILE'!$E$72:$E$91))+IF(SUMSQ('TS-PILE'!$D$72:$D$91)=0,0,'TO HOP NLAN'!F307*'TS-PILE'!$D$85/SUMSQ('TS-PILE'!$D$72:$D$91))),IF('TS-PILE'!$B$86="",-1E+99,'TO HOP NLAN'!D307/ncoc+IF(SUMSQ('TS-PILE'!$E$72:$E$91)=0,0,'TO HOP NLAN'!E307*'TS-PILE'!$E$86/SUMSQ('TS-PILE'!$E$72:$E$91))+IF(SUMSQ('TS-PILE'!$D$72:$D$91)=0,0,'TO HOP NLAN'!F307*'TS-PILE'!$D$86/SUMSQ('TS-PILE'!$D$72:$D$91))),IF('TS-PILE'!$B$87="",-1E+99,'TO HOP NLAN'!D307/ncoc+IF(SUMSQ('TS-PILE'!$E$72:$E$91)=0,0,'TO HOP NLAN'!E307*'TS-PILE'!$E$87/SUMSQ('TS-PILE'!$E$72:$E$91))+IF(SUMSQ('TS-PILE'!$D$72:$D$91)=0,0,'TO HOP NLAN'!F307*'TS-PILE'!$D$87/SUMSQ('TS-PILE'!$D$72:$D$91))),IF('TS-PILE'!$B$88="",-1E+99,'TO HOP NLAN'!D307/ncoc+IF(SUMSQ('TS-PILE'!$E$72:$E$91)=0,0,'TO HOP NLAN'!E307*'TS-PILE'!$E$88/SUMSQ('TS-PILE'!$E$72:$E$91))+IF(SUMSQ('TS-PILE'!$D$72:$D$91)=0,0,'TO HOP NLAN'!F307*'TS-PILE'!$D$88/SUMSQ('TS-PILE'!$D$72:$D$91))),IF('TS-PILE'!$B$89="",-1E+99,'TO HOP NLAN'!D307/ncoc+IF(SUMSQ('TS-PILE'!$E$72:$E$91)=0,0,'TO HOP NLAN'!E307*'TS-PILE'!$E$89/SUMSQ('TS-PILE'!$E$72:$E$91))+IF(SUMSQ('TS-PILE'!$D$72:$D$91)=0,0,'TO HOP NLAN'!F307*'TS-PILE'!$D$89/SUMSQ('TS-PILE'!$D$72:$D$91))),IF('TS-PILE'!$B$90="",-1E+99,'TO HOP NLAN'!D307/ncoc+IF(SUMSQ('TS-PILE'!$E$72:$E$91)=0,0,'TO HOP NLAN'!E307*'TS-PILE'!$E$90/SUMSQ('TS-PILE'!$E$72:$E$91))+IF(SUMSQ('TS-PILE'!$D$72:$D$91)=0,0,'TO HOP NLAN'!F307*'TS-PILE'!$D$90/SUMSQ('TS-PILE'!$D$72:$D$91))),IF('TS-PILE'!$B$91="",-1E+99,'TO HOP NLAN'!D307/ncoc+IF(SUMSQ('TS-PILE'!$E$72:$E$91)=0,0,'TO HOP NLAN'!E307*'TS-PILE'!$E$91/SUMSQ('TS-PILE'!$E$72:$E$91))+IF(SUMSQ('TS-PILE'!$D$72:$D$91)=0,0,'TO HOP NLAN'!F307*'TS-PILE'!$D$91/SUMSQ('TS-PILE'!$D$72:$D$91)))))</f>
        <v>0</v>
      </c>
      <c r="D307" s="58">
        <f>IF(A307="",0,MIN(IF('TS-PILE'!$B$72="",1E+99,'TO HOP NLAN'!D307/ncoc+IF(SUMSQ('TS-PILE'!$E$72:$E$91)=0,0,'TO HOP NLAN'!E307*'TS-PILE'!$E$72/SUMSQ('TS-PILE'!$E$72:$E$91))+IF(SUMSQ('TS-PILE'!$D$72:$D$91)=0,0,'TO HOP NLAN'!F307*'TS-PILE'!$D$72/SUMSQ('TS-PILE'!$D$72:$D$91))),IF('TS-PILE'!$B$73="",1E+99,'TO HOP NLAN'!D307/ncoc+IF(SUMSQ('TS-PILE'!$E$72:$E$91)=0,0,'TO HOP NLAN'!E307*'TS-PILE'!$E$73/SUMSQ('TS-PILE'!$E$72:$E$91))+IF(SUMSQ('TS-PILE'!$D$72:$D$91)=0,0,'TO HOP NLAN'!F307*'TS-PILE'!$D$73/SUMSQ('TS-PILE'!$D$72:$D$91))),IF('TS-PILE'!$B$74="",1E+99,'TO HOP NLAN'!D307/ncoc+IF(SUMSQ('TS-PILE'!$E$72:$E$91)=0,0,'TO HOP NLAN'!E307*'TS-PILE'!$E$74/SUMSQ('TS-PILE'!$E$72:$E$91))+IF(SUMSQ('TS-PILE'!$D$72:$D$91)=0,0,'TO HOP NLAN'!F307*'TS-PILE'!$D$74/SUMSQ('TS-PILE'!$D$72:$D$91))),IF('TS-PILE'!$B$75="",1E+99,'TO HOP NLAN'!D307/ncoc+IF(SUMSQ('TS-PILE'!$E$72:$E$91)=0,0,'TO HOP NLAN'!E307*'TS-PILE'!$E$75/SUMSQ('TS-PILE'!$E$72:$E$91))+IF(SUMSQ('TS-PILE'!$D$72:$D$91)=0,0,'TO HOP NLAN'!F307*'TS-PILE'!$D$75/SUMSQ('TS-PILE'!$D$72:$D$91))),IF('TS-PILE'!$B$76="",1E+99,'TO HOP NLAN'!D307/ncoc+IF(SUMSQ('TS-PILE'!$E$72:$E$91)=0,0,'TO HOP NLAN'!E307*'TS-PILE'!$E$76/SUMSQ('TS-PILE'!$E$72:$E$91))+IF(SUMSQ('TS-PILE'!$D$72:$D$91)=0,0,'TO HOP NLAN'!F307*'TS-PILE'!$D$76/SUMSQ('TS-PILE'!$D$72:$D$91))),IF('TS-PILE'!$B$77="",1E+99,'TO HOP NLAN'!D307/ncoc+IF(SUMSQ('TS-PILE'!$E$72:$E$91)=0,0,'TO HOP NLAN'!E307*'TS-PILE'!$E$77/SUMSQ('TS-PILE'!$E$72:$E$91))+IF(SUMSQ('TS-PILE'!$D$72:$D$91)=0,0,'TO HOP NLAN'!F307*'TS-PILE'!$D$77/SUMSQ('TS-PILE'!$D$72:$D$91))),IF('TS-PILE'!$B$78="",1E+99,'TO HOP NLAN'!D307/ncoc+IF(SUMSQ('TS-PILE'!$E$72:$E$91)=0,0,'TO HOP NLAN'!E307*'TS-PILE'!$E$78/SUMSQ('TS-PILE'!$E$72:$E$91))+IF(SUMSQ('TS-PILE'!$D$72:$D$91)=0,0,'TO HOP NLAN'!F307*'TS-PILE'!$D$78/SUMSQ('TS-PILE'!$D$72:$D$91))),IF('TS-PILE'!$B$79="",1E+99,'TO HOP NLAN'!D307/ncoc+IF(SUMSQ('TS-PILE'!$E$72:$E$91)=0,0,'TO HOP NLAN'!E307*'TS-PILE'!$E$79/SUMSQ('TS-PILE'!$E$72:$E$91))+IF(SUMSQ('TS-PILE'!$D$72:$D$91)=0,0,'TO HOP NLAN'!F307*'TS-PILE'!$D$79/SUMSQ('TS-PILE'!$D$72:$D$91))),IF('TS-PILE'!$B$80="",1E+99,'TO HOP NLAN'!D307/ncoc+IF(SUMSQ('TS-PILE'!$E$72:$E$91)=0,0,'TO HOP NLAN'!E307*'TS-PILE'!$E$80/SUMSQ('TS-PILE'!$E$72:$E$91))+IF(SUMSQ('TS-PILE'!$D$72:$D$91)=0,0,'TO HOP NLAN'!F307*'TS-PILE'!$D$80/SUMSQ('TS-PILE'!$D$72:$D$91))),IF('TS-PILE'!$B$81="",1E+99,'TO HOP NLAN'!D307/ncoc+IF(SUMSQ('TS-PILE'!$E$72:$E$91)=0,0,'TO HOP NLAN'!E307*'TS-PILE'!$E$81/SUMSQ('TS-PILE'!$E$72:$E$91))+IF(SUMSQ('TS-PILE'!$D$72:$D$91)=0,0,'TO HOP NLAN'!F307*'TS-PILE'!$D$81/SUMSQ('TS-PILE'!$D$72:$D$91))),IF('TS-PILE'!$B$82="",1E+99,'TO HOP NLAN'!D307/ncoc+IF(SUMSQ('TS-PILE'!$E$72:$E$91)=0,0,'TO HOP NLAN'!E307*'TS-PILE'!$E$82/SUMSQ('TS-PILE'!$E$72:$E$91))+IF(SUMSQ('TS-PILE'!$D$72:$D$91)=0,0,'TO HOP NLAN'!F307*'TS-PILE'!$D$82/SUMSQ('TS-PILE'!$D$72:$D$91))),IF('TS-PILE'!$B$83="",1E+99,'TO HOP NLAN'!D307/ncoc+IF(SUMSQ('TS-PILE'!$E$72:$E$91)=0,0,'TO HOP NLAN'!E307*'TS-PILE'!$E$83/SUMSQ('TS-PILE'!$E$72:$E$91))+IF(SUMSQ('TS-PILE'!$D$72:$D$91)=0,0,'TO HOP NLAN'!F307*'TS-PILE'!$D$83/SUMSQ('TS-PILE'!$D$72:$D$91))),IF('TS-PILE'!$B$84="",1E+99,'TO HOP NLAN'!D307/ncoc+IF(SUMSQ('TS-PILE'!$E$72:$E$91)=0,0,'TO HOP NLAN'!E307*'TS-PILE'!$E$84/SUMSQ('TS-PILE'!$E$72:$E$91))+IF(SUMSQ('TS-PILE'!$D$72:$D$91)=0,0,'TO HOP NLAN'!F307*'TS-PILE'!$D$84/SUMSQ('TS-PILE'!$D$72:$D$91))),IF('TS-PILE'!$B$85="",1E+99,'TO HOP NLAN'!D307/ncoc+IF(SUMSQ('TS-PILE'!$E$72:$E$91)=0,0,'TO HOP NLAN'!E307*'TS-PILE'!$E$85/SUMSQ('TS-PILE'!$E$72:$E$91))+IF(SUMSQ('TS-PILE'!$D$72:$D$91)=0,0,'TO HOP NLAN'!F307*'TS-PILE'!$D$85/SUMSQ('TS-PILE'!$D$72:$D$91))),IF('TS-PILE'!$B$86="",1E+99,'TO HOP NLAN'!D307/ncoc+IF(SUMSQ('TS-PILE'!$E$72:$E$91)=0,0,'TO HOP NLAN'!E307*'TS-PILE'!$E$86/SUMSQ('TS-PILE'!$E$72:$E$91))+IF(SUMSQ('TS-PILE'!$D$72:$D$91)=0,0,'TO HOP NLAN'!F307*'TS-PILE'!$D$86/SUMSQ('TS-PILE'!$D$72:$D$91))),IF('TS-PILE'!$B$87="",1E+99,'TO HOP NLAN'!D307/ncoc+IF(SUMSQ('TS-PILE'!$E$72:$E$91)=0,0,'TO HOP NLAN'!E307*'TS-PILE'!$E$87/SUMSQ('TS-PILE'!$E$72:$E$91))+IF(SUMSQ('TS-PILE'!$D$72:$D$91)=0,0,'TO HOP NLAN'!F307*'TS-PILE'!$D$87/SUMSQ('TS-PILE'!$D$72:$D$91))),IF('TS-PILE'!$B$88="",1E+99,'TO HOP NLAN'!D307/ncoc+IF(SUMSQ('TS-PILE'!$E$72:$E$91)=0,0,'TO HOP NLAN'!E307*'TS-PILE'!$E$88/SUMSQ('TS-PILE'!$E$72:$E$91))+IF(SUMSQ('TS-PILE'!$D$72:$D$91)=0,0,'TO HOP NLAN'!F307*'TS-PILE'!$D$88/SUMSQ('TS-PILE'!$D$72:$D$91))),IF('TS-PILE'!$B$89="",1E+99,'TO HOP NLAN'!D307/ncoc+IF(SUMSQ('TS-PILE'!$E$72:$E$91)=0,0,'TO HOP NLAN'!E307*'TS-PILE'!$E$89/SUMSQ('TS-PILE'!$E$72:$E$91))+IF(SUMSQ('TS-PILE'!$D$72:$D$91)=0,0,'TO HOP NLAN'!F307*'TS-PILE'!$D$89/SUMSQ('TS-PILE'!$D$72:$D$91))),IF('TS-PILE'!$B$90="",1E+99,'TO HOP NLAN'!D307/ncoc+IF(SUMSQ('TS-PILE'!$E$72:$E$91)=0,0,'TO HOP NLAN'!E307*'TS-PILE'!$E$90/SUMSQ('TS-PILE'!$E$72:$E$91))+IF(SUMSQ('TS-PILE'!$D$72:$D$91)=0,0,'TO HOP NLAN'!F307*'TS-PILE'!$D$90/SUMSQ('TS-PILE'!$D$72:$D$91))),IF('TS-PILE'!$B$91="",1E+99,'TO HOP NLAN'!D307/ncoc+IF(SUMSQ('TS-PILE'!$E$72:$E$91)=0,0,'TO HOP NLAN'!E307*'TS-PILE'!$E$91/SUMSQ('TS-PILE'!$E$72:$E$91))+IF(SUMSQ('TS-PILE'!$D$72:$D$91)=0,0,'TO HOP NLAN'!F307*'TS-PILE'!$D$91/SUMSQ('TS-PILE'!$D$72:$D$91)))))</f>
        <v>0</v>
      </c>
      <c r="E307" s="58">
        <f t="shared" si="16"/>
        <v>-9.9999999999999997E+98</v>
      </c>
      <c r="F307" s="58">
        <f t="shared" si="17"/>
        <v>9.9999999999999997E+98</v>
      </c>
      <c r="G307" s="58">
        <f t="shared" si="18"/>
        <v>-9.9999999999999997E+98</v>
      </c>
      <c r="H307" s="58">
        <f t="shared" si="19"/>
        <v>9.9999999999999997E+98</v>
      </c>
    </row>
    <row r="308" spans="1:8" x14ac:dyDescent="0.3">
      <c r="A308" s="42" t="str">
        <f>'TO HOP NLAN'!A308</f>
        <v/>
      </c>
      <c r="B308" s="42" t="str">
        <f>'TO HOP NLAN'!L308</f>
        <v>STRENGTH</v>
      </c>
      <c r="C308" s="58">
        <f>IF(A308="",0,MAX(IF('TS-PILE'!$B$72="",-1E+99,'TO HOP NLAN'!D308/ncoc+IF(SUMSQ('TS-PILE'!$E$72:$E$91)=0,0,'TO HOP NLAN'!E308*'TS-PILE'!$E$72/SUMSQ('TS-PILE'!$E$72:$E$91))+IF(SUMSQ('TS-PILE'!$D$72:$D$91)=0,0,'TO HOP NLAN'!F308*'TS-PILE'!$D$72/SUMSQ('TS-PILE'!$D$72:$D$91))),IF('TS-PILE'!$B$73="",-1E+99,'TO HOP NLAN'!D308/ncoc+IF(SUMSQ('TS-PILE'!$E$72:$E$91)=0,0,'TO HOP NLAN'!E308*'TS-PILE'!$E$73/SUMSQ('TS-PILE'!$E$72:$E$91))+IF(SUMSQ('TS-PILE'!$D$72:$D$91)=0,0,'TO HOP NLAN'!F308*'TS-PILE'!$D$73/SUMSQ('TS-PILE'!$D$72:$D$91))),IF('TS-PILE'!$B$74="",-1E+99,'TO HOP NLAN'!D308/ncoc+IF(SUMSQ('TS-PILE'!$E$72:$E$91)=0,0,'TO HOP NLAN'!E308*'TS-PILE'!$E$74/SUMSQ('TS-PILE'!$E$72:$E$91))+IF(SUMSQ('TS-PILE'!$D$72:$D$91)=0,0,'TO HOP NLAN'!F308*'TS-PILE'!$D$74/SUMSQ('TS-PILE'!$D$72:$D$91))),IF('TS-PILE'!$B$75="",-1E+99,'TO HOP NLAN'!D308/ncoc+IF(SUMSQ('TS-PILE'!$E$72:$E$91)=0,0,'TO HOP NLAN'!E308*'TS-PILE'!$E$75/SUMSQ('TS-PILE'!$E$72:$E$91))+IF(SUMSQ('TS-PILE'!$D$72:$D$91)=0,0,'TO HOP NLAN'!F308*'TS-PILE'!$D$75/SUMSQ('TS-PILE'!$D$72:$D$91))),IF('TS-PILE'!$B$76="",-1E+99,'TO HOP NLAN'!D308/ncoc+IF(SUMSQ('TS-PILE'!$E$72:$E$91)=0,0,'TO HOP NLAN'!E308*'TS-PILE'!$E$76/SUMSQ('TS-PILE'!$E$72:$E$91))+IF(SUMSQ('TS-PILE'!$D$72:$D$91)=0,0,'TO HOP NLAN'!F308*'TS-PILE'!$D$76/SUMSQ('TS-PILE'!$D$72:$D$91))),IF('TS-PILE'!$B$77="",-1E+99,'TO HOP NLAN'!D308/ncoc+IF(SUMSQ('TS-PILE'!$E$72:$E$91)=0,0,'TO HOP NLAN'!E308*'TS-PILE'!$E$77/SUMSQ('TS-PILE'!$E$72:$E$91))+IF(SUMSQ('TS-PILE'!$D$72:$D$91)=0,0,'TO HOP NLAN'!F308*'TS-PILE'!$D$77/SUMSQ('TS-PILE'!$D$72:$D$91))),IF('TS-PILE'!$B$78="",-1E+99,'TO HOP NLAN'!D308/ncoc+IF(SUMSQ('TS-PILE'!$E$72:$E$91)=0,0,'TO HOP NLAN'!E308*'TS-PILE'!$E$78/SUMSQ('TS-PILE'!$E$72:$E$91))+IF(SUMSQ('TS-PILE'!$D$72:$D$91)=0,0,'TO HOP NLAN'!F308*'TS-PILE'!$D$78/SUMSQ('TS-PILE'!$D$72:$D$91))),IF('TS-PILE'!$B$79="",-1E+99,'TO HOP NLAN'!D308/ncoc+IF(SUMSQ('TS-PILE'!$E$72:$E$91)=0,0,'TO HOP NLAN'!E308*'TS-PILE'!$E$79/SUMSQ('TS-PILE'!$E$72:$E$91))+IF(SUMSQ('TS-PILE'!$D$72:$D$91)=0,0,'TO HOP NLAN'!F308*'TS-PILE'!$D$79/SUMSQ('TS-PILE'!$D$72:$D$91))),IF('TS-PILE'!$B$80="",-1E+99,'TO HOP NLAN'!D308/ncoc+IF(SUMSQ('TS-PILE'!$E$72:$E$91)=0,0,'TO HOP NLAN'!E308*'TS-PILE'!$E$80/SUMSQ('TS-PILE'!$E$72:$E$91))+IF(SUMSQ('TS-PILE'!$D$72:$D$91)=0,0,'TO HOP NLAN'!F308*'TS-PILE'!$D$80/SUMSQ('TS-PILE'!$D$72:$D$91))),IF('TS-PILE'!$B$81="",-1E+99,'TO HOP NLAN'!D308/ncoc+IF(SUMSQ('TS-PILE'!$E$72:$E$91)=0,0,'TO HOP NLAN'!E308*'TS-PILE'!$E$81/SUMSQ('TS-PILE'!$E$72:$E$91))+IF(SUMSQ('TS-PILE'!$D$72:$D$91)=0,0,'TO HOP NLAN'!F308*'TS-PILE'!$D$81/SUMSQ('TS-PILE'!$D$72:$D$91))),IF('TS-PILE'!$B$82="",-1E+99,'TO HOP NLAN'!D308/ncoc+IF(SUMSQ('TS-PILE'!$E$72:$E$91)=0,0,'TO HOP NLAN'!E308*'TS-PILE'!$E$82/SUMSQ('TS-PILE'!$E$72:$E$91))+IF(SUMSQ('TS-PILE'!$D$72:$D$91)=0,0,'TO HOP NLAN'!F308*'TS-PILE'!$D$82/SUMSQ('TS-PILE'!$D$72:$D$91))),IF('TS-PILE'!$B$83="",-1E+99,'TO HOP NLAN'!D308/ncoc+IF(SUMSQ('TS-PILE'!$E$72:$E$91)=0,0,'TO HOP NLAN'!E308*'TS-PILE'!$E$83/SUMSQ('TS-PILE'!$E$72:$E$91))+IF(SUMSQ('TS-PILE'!$D$72:$D$91)=0,0,'TO HOP NLAN'!F308*'TS-PILE'!$D$83/SUMSQ('TS-PILE'!$D$72:$D$91))),IF('TS-PILE'!$B$84="",-1E+99,'TO HOP NLAN'!D308/ncoc+IF(SUMSQ('TS-PILE'!$E$72:$E$91)=0,0,'TO HOP NLAN'!E308*'TS-PILE'!$E$84/SUMSQ('TS-PILE'!$E$72:$E$91))+IF(SUMSQ('TS-PILE'!$D$72:$D$91)=0,0,'TO HOP NLAN'!F308*'TS-PILE'!$D$84/SUMSQ('TS-PILE'!$D$72:$D$91))),IF('TS-PILE'!$B$85="",-1E+99,'TO HOP NLAN'!D308/ncoc+IF(SUMSQ('TS-PILE'!$E$72:$E$91)=0,0,'TO HOP NLAN'!E308*'TS-PILE'!$E$85/SUMSQ('TS-PILE'!$E$72:$E$91))+IF(SUMSQ('TS-PILE'!$D$72:$D$91)=0,0,'TO HOP NLAN'!F308*'TS-PILE'!$D$85/SUMSQ('TS-PILE'!$D$72:$D$91))),IF('TS-PILE'!$B$86="",-1E+99,'TO HOP NLAN'!D308/ncoc+IF(SUMSQ('TS-PILE'!$E$72:$E$91)=0,0,'TO HOP NLAN'!E308*'TS-PILE'!$E$86/SUMSQ('TS-PILE'!$E$72:$E$91))+IF(SUMSQ('TS-PILE'!$D$72:$D$91)=0,0,'TO HOP NLAN'!F308*'TS-PILE'!$D$86/SUMSQ('TS-PILE'!$D$72:$D$91))),IF('TS-PILE'!$B$87="",-1E+99,'TO HOP NLAN'!D308/ncoc+IF(SUMSQ('TS-PILE'!$E$72:$E$91)=0,0,'TO HOP NLAN'!E308*'TS-PILE'!$E$87/SUMSQ('TS-PILE'!$E$72:$E$91))+IF(SUMSQ('TS-PILE'!$D$72:$D$91)=0,0,'TO HOP NLAN'!F308*'TS-PILE'!$D$87/SUMSQ('TS-PILE'!$D$72:$D$91))),IF('TS-PILE'!$B$88="",-1E+99,'TO HOP NLAN'!D308/ncoc+IF(SUMSQ('TS-PILE'!$E$72:$E$91)=0,0,'TO HOP NLAN'!E308*'TS-PILE'!$E$88/SUMSQ('TS-PILE'!$E$72:$E$91))+IF(SUMSQ('TS-PILE'!$D$72:$D$91)=0,0,'TO HOP NLAN'!F308*'TS-PILE'!$D$88/SUMSQ('TS-PILE'!$D$72:$D$91))),IF('TS-PILE'!$B$89="",-1E+99,'TO HOP NLAN'!D308/ncoc+IF(SUMSQ('TS-PILE'!$E$72:$E$91)=0,0,'TO HOP NLAN'!E308*'TS-PILE'!$E$89/SUMSQ('TS-PILE'!$E$72:$E$91))+IF(SUMSQ('TS-PILE'!$D$72:$D$91)=0,0,'TO HOP NLAN'!F308*'TS-PILE'!$D$89/SUMSQ('TS-PILE'!$D$72:$D$91))),IF('TS-PILE'!$B$90="",-1E+99,'TO HOP NLAN'!D308/ncoc+IF(SUMSQ('TS-PILE'!$E$72:$E$91)=0,0,'TO HOP NLAN'!E308*'TS-PILE'!$E$90/SUMSQ('TS-PILE'!$E$72:$E$91))+IF(SUMSQ('TS-PILE'!$D$72:$D$91)=0,0,'TO HOP NLAN'!F308*'TS-PILE'!$D$90/SUMSQ('TS-PILE'!$D$72:$D$91))),IF('TS-PILE'!$B$91="",-1E+99,'TO HOP NLAN'!D308/ncoc+IF(SUMSQ('TS-PILE'!$E$72:$E$91)=0,0,'TO HOP NLAN'!E308*'TS-PILE'!$E$91/SUMSQ('TS-PILE'!$E$72:$E$91))+IF(SUMSQ('TS-PILE'!$D$72:$D$91)=0,0,'TO HOP NLAN'!F308*'TS-PILE'!$D$91/SUMSQ('TS-PILE'!$D$72:$D$91)))))</f>
        <v>0</v>
      </c>
      <c r="D308" s="58">
        <f>IF(A308="",0,MIN(IF('TS-PILE'!$B$72="",1E+99,'TO HOP NLAN'!D308/ncoc+IF(SUMSQ('TS-PILE'!$E$72:$E$91)=0,0,'TO HOP NLAN'!E308*'TS-PILE'!$E$72/SUMSQ('TS-PILE'!$E$72:$E$91))+IF(SUMSQ('TS-PILE'!$D$72:$D$91)=0,0,'TO HOP NLAN'!F308*'TS-PILE'!$D$72/SUMSQ('TS-PILE'!$D$72:$D$91))),IF('TS-PILE'!$B$73="",1E+99,'TO HOP NLAN'!D308/ncoc+IF(SUMSQ('TS-PILE'!$E$72:$E$91)=0,0,'TO HOP NLAN'!E308*'TS-PILE'!$E$73/SUMSQ('TS-PILE'!$E$72:$E$91))+IF(SUMSQ('TS-PILE'!$D$72:$D$91)=0,0,'TO HOP NLAN'!F308*'TS-PILE'!$D$73/SUMSQ('TS-PILE'!$D$72:$D$91))),IF('TS-PILE'!$B$74="",1E+99,'TO HOP NLAN'!D308/ncoc+IF(SUMSQ('TS-PILE'!$E$72:$E$91)=0,0,'TO HOP NLAN'!E308*'TS-PILE'!$E$74/SUMSQ('TS-PILE'!$E$72:$E$91))+IF(SUMSQ('TS-PILE'!$D$72:$D$91)=0,0,'TO HOP NLAN'!F308*'TS-PILE'!$D$74/SUMSQ('TS-PILE'!$D$72:$D$91))),IF('TS-PILE'!$B$75="",1E+99,'TO HOP NLAN'!D308/ncoc+IF(SUMSQ('TS-PILE'!$E$72:$E$91)=0,0,'TO HOP NLAN'!E308*'TS-PILE'!$E$75/SUMSQ('TS-PILE'!$E$72:$E$91))+IF(SUMSQ('TS-PILE'!$D$72:$D$91)=0,0,'TO HOP NLAN'!F308*'TS-PILE'!$D$75/SUMSQ('TS-PILE'!$D$72:$D$91))),IF('TS-PILE'!$B$76="",1E+99,'TO HOP NLAN'!D308/ncoc+IF(SUMSQ('TS-PILE'!$E$72:$E$91)=0,0,'TO HOP NLAN'!E308*'TS-PILE'!$E$76/SUMSQ('TS-PILE'!$E$72:$E$91))+IF(SUMSQ('TS-PILE'!$D$72:$D$91)=0,0,'TO HOP NLAN'!F308*'TS-PILE'!$D$76/SUMSQ('TS-PILE'!$D$72:$D$91))),IF('TS-PILE'!$B$77="",1E+99,'TO HOP NLAN'!D308/ncoc+IF(SUMSQ('TS-PILE'!$E$72:$E$91)=0,0,'TO HOP NLAN'!E308*'TS-PILE'!$E$77/SUMSQ('TS-PILE'!$E$72:$E$91))+IF(SUMSQ('TS-PILE'!$D$72:$D$91)=0,0,'TO HOP NLAN'!F308*'TS-PILE'!$D$77/SUMSQ('TS-PILE'!$D$72:$D$91))),IF('TS-PILE'!$B$78="",1E+99,'TO HOP NLAN'!D308/ncoc+IF(SUMSQ('TS-PILE'!$E$72:$E$91)=0,0,'TO HOP NLAN'!E308*'TS-PILE'!$E$78/SUMSQ('TS-PILE'!$E$72:$E$91))+IF(SUMSQ('TS-PILE'!$D$72:$D$91)=0,0,'TO HOP NLAN'!F308*'TS-PILE'!$D$78/SUMSQ('TS-PILE'!$D$72:$D$91))),IF('TS-PILE'!$B$79="",1E+99,'TO HOP NLAN'!D308/ncoc+IF(SUMSQ('TS-PILE'!$E$72:$E$91)=0,0,'TO HOP NLAN'!E308*'TS-PILE'!$E$79/SUMSQ('TS-PILE'!$E$72:$E$91))+IF(SUMSQ('TS-PILE'!$D$72:$D$91)=0,0,'TO HOP NLAN'!F308*'TS-PILE'!$D$79/SUMSQ('TS-PILE'!$D$72:$D$91))),IF('TS-PILE'!$B$80="",1E+99,'TO HOP NLAN'!D308/ncoc+IF(SUMSQ('TS-PILE'!$E$72:$E$91)=0,0,'TO HOP NLAN'!E308*'TS-PILE'!$E$80/SUMSQ('TS-PILE'!$E$72:$E$91))+IF(SUMSQ('TS-PILE'!$D$72:$D$91)=0,0,'TO HOP NLAN'!F308*'TS-PILE'!$D$80/SUMSQ('TS-PILE'!$D$72:$D$91))),IF('TS-PILE'!$B$81="",1E+99,'TO HOP NLAN'!D308/ncoc+IF(SUMSQ('TS-PILE'!$E$72:$E$91)=0,0,'TO HOP NLAN'!E308*'TS-PILE'!$E$81/SUMSQ('TS-PILE'!$E$72:$E$91))+IF(SUMSQ('TS-PILE'!$D$72:$D$91)=0,0,'TO HOP NLAN'!F308*'TS-PILE'!$D$81/SUMSQ('TS-PILE'!$D$72:$D$91))),IF('TS-PILE'!$B$82="",1E+99,'TO HOP NLAN'!D308/ncoc+IF(SUMSQ('TS-PILE'!$E$72:$E$91)=0,0,'TO HOP NLAN'!E308*'TS-PILE'!$E$82/SUMSQ('TS-PILE'!$E$72:$E$91))+IF(SUMSQ('TS-PILE'!$D$72:$D$91)=0,0,'TO HOP NLAN'!F308*'TS-PILE'!$D$82/SUMSQ('TS-PILE'!$D$72:$D$91))),IF('TS-PILE'!$B$83="",1E+99,'TO HOP NLAN'!D308/ncoc+IF(SUMSQ('TS-PILE'!$E$72:$E$91)=0,0,'TO HOP NLAN'!E308*'TS-PILE'!$E$83/SUMSQ('TS-PILE'!$E$72:$E$91))+IF(SUMSQ('TS-PILE'!$D$72:$D$91)=0,0,'TO HOP NLAN'!F308*'TS-PILE'!$D$83/SUMSQ('TS-PILE'!$D$72:$D$91))),IF('TS-PILE'!$B$84="",1E+99,'TO HOP NLAN'!D308/ncoc+IF(SUMSQ('TS-PILE'!$E$72:$E$91)=0,0,'TO HOP NLAN'!E308*'TS-PILE'!$E$84/SUMSQ('TS-PILE'!$E$72:$E$91))+IF(SUMSQ('TS-PILE'!$D$72:$D$91)=0,0,'TO HOP NLAN'!F308*'TS-PILE'!$D$84/SUMSQ('TS-PILE'!$D$72:$D$91))),IF('TS-PILE'!$B$85="",1E+99,'TO HOP NLAN'!D308/ncoc+IF(SUMSQ('TS-PILE'!$E$72:$E$91)=0,0,'TO HOP NLAN'!E308*'TS-PILE'!$E$85/SUMSQ('TS-PILE'!$E$72:$E$91))+IF(SUMSQ('TS-PILE'!$D$72:$D$91)=0,0,'TO HOP NLAN'!F308*'TS-PILE'!$D$85/SUMSQ('TS-PILE'!$D$72:$D$91))),IF('TS-PILE'!$B$86="",1E+99,'TO HOP NLAN'!D308/ncoc+IF(SUMSQ('TS-PILE'!$E$72:$E$91)=0,0,'TO HOP NLAN'!E308*'TS-PILE'!$E$86/SUMSQ('TS-PILE'!$E$72:$E$91))+IF(SUMSQ('TS-PILE'!$D$72:$D$91)=0,0,'TO HOP NLAN'!F308*'TS-PILE'!$D$86/SUMSQ('TS-PILE'!$D$72:$D$91))),IF('TS-PILE'!$B$87="",1E+99,'TO HOP NLAN'!D308/ncoc+IF(SUMSQ('TS-PILE'!$E$72:$E$91)=0,0,'TO HOP NLAN'!E308*'TS-PILE'!$E$87/SUMSQ('TS-PILE'!$E$72:$E$91))+IF(SUMSQ('TS-PILE'!$D$72:$D$91)=0,0,'TO HOP NLAN'!F308*'TS-PILE'!$D$87/SUMSQ('TS-PILE'!$D$72:$D$91))),IF('TS-PILE'!$B$88="",1E+99,'TO HOP NLAN'!D308/ncoc+IF(SUMSQ('TS-PILE'!$E$72:$E$91)=0,0,'TO HOP NLAN'!E308*'TS-PILE'!$E$88/SUMSQ('TS-PILE'!$E$72:$E$91))+IF(SUMSQ('TS-PILE'!$D$72:$D$91)=0,0,'TO HOP NLAN'!F308*'TS-PILE'!$D$88/SUMSQ('TS-PILE'!$D$72:$D$91))),IF('TS-PILE'!$B$89="",1E+99,'TO HOP NLAN'!D308/ncoc+IF(SUMSQ('TS-PILE'!$E$72:$E$91)=0,0,'TO HOP NLAN'!E308*'TS-PILE'!$E$89/SUMSQ('TS-PILE'!$E$72:$E$91))+IF(SUMSQ('TS-PILE'!$D$72:$D$91)=0,0,'TO HOP NLAN'!F308*'TS-PILE'!$D$89/SUMSQ('TS-PILE'!$D$72:$D$91))),IF('TS-PILE'!$B$90="",1E+99,'TO HOP NLAN'!D308/ncoc+IF(SUMSQ('TS-PILE'!$E$72:$E$91)=0,0,'TO HOP NLAN'!E308*'TS-PILE'!$E$90/SUMSQ('TS-PILE'!$E$72:$E$91))+IF(SUMSQ('TS-PILE'!$D$72:$D$91)=0,0,'TO HOP NLAN'!F308*'TS-PILE'!$D$90/SUMSQ('TS-PILE'!$D$72:$D$91))),IF('TS-PILE'!$B$91="",1E+99,'TO HOP NLAN'!D308/ncoc+IF(SUMSQ('TS-PILE'!$E$72:$E$91)=0,0,'TO HOP NLAN'!E308*'TS-PILE'!$E$91/SUMSQ('TS-PILE'!$E$72:$E$91))+IF(SUMSQ('TS-PILE'!$D$72:$D$91)=0,0,'TO HOP NLAN'!F308*'TS-PILE'!$D$91/SUMSQ('TS-PILE'!$D$72:$D$91)))))</f>
        <v>0</v>
      </c>
      <c r="E308" s="58">
        <f t="shared" si="16"/>
        <v>-9.9999999999999997E+98</v>
      </c>
      <c r="F308" s="58">
        <f t="shared" si="17"/>
        <v>9.9999999999999997E+98</v>
      </c>
      <c r="G308" s="58">
        <f t="shared" si="18"/>
        <v>-9.9999999999999997E+98</v>
      </c>
      <c r="H308" s="58">
        <f t="shared" si="19"/>
        <v>9.9999999999999997E+98</v>
      </c>
    </row>
    <row r="309" spans="1:8" x14ac:dyDescent="0.3">
      <c r="A309" s="42" t="str">
        <f>'TO HOP NLAN'!A309</f>
        <v/>
      </c>
      <c r="B309" s="42" t="str">
        <f>'TO HOP NLAN'!L309</f>
        <v>STRENGTH</v>
      </c>
      <c r="C309" s="58">
        <f>IF(A309="",0,MAX(IF('TS-PILE'!$B$72="",-1E+99,'TO HOP NLAN'!D309/ncoc+IF(SUMSQ('TS-PILE'!$E$72:$E$91)=0,0,'TO HOP NLAN'!E309*'TS-PILE'!$E$72/SUMSQ('TS-PILE'!$E$72:$E$91))+IF(SUMSQ('TS-PILE'!$D$72:$D$91)=0,0,'TO HOP NLAN'!F309*'TS-PILE'!$D$72/SUMSQ('TS-PILE'!$D$72:$D$91))),IF('TS-PILE'!$B$73="",-1E+99,'TO HOP NLAN'!D309/ncoc+IF(SUMSQ('TS-PILE'!$E$72:$E$91)=0,0,'TO HOP NLAN'!E309*'TS-PILE'!$E$73/SUMSQ('TS-PILE'!$E$72:$E$91))+IF(SUMSQ('TS-PILE'!$D$72:$D$91)=0,0,'TO HOP NLAN'!F309*'TS-PILE'!$D$73/SUMSQ('TS-PILE'!$D$72:$D$91))),IF('TS-PILE'!$B$74="",-1E+99,'TO HOP NLAN'!D309/ncoc+IF(SUMSQ('TS-PILE'!$E$72:$E$91)=0,0,'TO HOP NLAN'!E309*'TS-PILE'!$E$74/SUMSQ('TS-PILE'!$E$72:$E$91))+IF(SUMSQ('TS-PILE'!$D$72:$D$91)=0,0,'TO HOP NLAN'!F309*'TS-PILE'!$D$74/SUMSQ('TS-PILE'!$D$72:$D$91))),IF('TS-PILE'!$B$75="",-1E+99,'TO HOP NLAN'!D309/ncoc+IF(SUMSQ('TS-PILE'!$E$72:$E$91)=0,0,'TO HOP NLAN'!E309*'TS-PILE'!$E$75/SUMSQ('TS-PILE'!$E$72:$E$91))+IF(SUMSQ('TS-PILE'!$D$72:$D$91)=0,0,'TO HOP NLAN'!F309*'TS-PILE'!$D$75/SUMSQ('TS-PILE'!$D$72:$D$91))),IF('TS-PILE'!$B$76="",-1E+99,'TO HOP NLAN'!D309/ncoc+IF(SUMSQ('TS-PILE'!$E$72:$E$91)=0,0,'TO HOP NLAN'!E309*'TS-PILE'!$E$76/SUMSQ('TS-PILE'!$E$72:$E$91))+IF(SUMSQ('TS-PILE'!$D$72:$D$91)=0,0,'TO HOP NLAN'!F309*'TS-PILE'!$D$76/SUMSQ('TS-PILE'!$D$72:$D$91))),IF('TS-PILE'!$B$77="",-1E+99,'TO HOP NLAN'!D309/ncoc+IF(SUMSQ('TS-PILE'!$E$72:$E$91)=0,0,'TO HOP NLAN'!E309*'TS-PILE'!$E$77/SUMSQ('TS-PILE'!$E$72:$E$91))+IF(SUMSQ('TS-PILE'!$D$72:$D$91)=0,0,'TO HOP NLAN'!F309*'TS-PILE'!$D$77/SUMSQ('TS-PILE'!$D$72:$D$91))),IF('TS-PILE'!$B$78="",-1E+99,'TO HOP NLAN'!D309/ncoc+IF(SUMSQ('TS-PILE'!$E$72:$E$91)=0,0,'TO HOP NLAN'!E309*'TS-PILE'!$E$78/SUMSQ('TS-PILE'!$E$72:$E$91))+IF(SUMSQ('TS-PILE'!$D$72:$D$91)=0,0,'TO HOP NLAN'!F309*'TS-PILE'!$D$78/SUMSQ('TS-PILE'!$D$72:$D$91))),IF('TS-PILE'!$B$79="",-1E+99,'TO HOP NLAN'!D309/ncoc+IF(SUMSQ('TS-PILE'!$E$72:$E$91)=0,0,'TO HOP NLAN'!E309*'TS-PILE'!$E$79/SUMSQ('TS-PILE'!$E$72:$E$91))+IF(SUMSQ('TS-PILE'!$D$72:$D$91)=0,0,'TO HOP NLAN'!F309*'TS-PILE'!$D$79/SUMSQ('TS-PILE'!$D$72:$D$91))),IF('TS-PILE'!$B$80="",-1E+99,'TO HOP NLAN'!D309/ncoc+IF(SUMSQ('TS-PILE'!$E$72:$E$91)=0,0,'TO HOP NLAN'!E309*'TS-PILE'!$E$80/SUMSQ('TS-PILE'!$E$72:$E$91))+IF(SUMSQ('TS-PILE'!$D$72:$D$91)=0,0,'TO HOP NLAN'!F309*'TS-PILE'!$D$80/SUMSQ('TS-PILE'!$D$72:$D$91))),IF('TS-PILE'!$B$81="",-1E+99,'TO HOP NLAN'!D309/ncoc+IF(SUMSQ('TS-PILE'!$E$72:$E$91)=0,0,'TO HOP NLAN'!E309*'TS-PILE'!$E$81/SUMSQ('TS-PILE'!$E$72:$E$91))+IF(SUMSQ('TS-PILE'!$D$72:$D$91)=0,0,'TO HOP NLAN'!F309*'TS-PILE'!$D$81/SUMSQ('TS-PILE'!$D$72:$D$91))),IF('TS-PILE'!$B$82="",-1E+99,'TO HOP NLAN'!D309/ncoc+IF(SUMSQ('TS-PILE'!$E$72:$E$91)=0,0,'TO HOP NLAN'!E309*'TS-PILE'!$E$82/SUMSQ('TS-PILE'!$E$72:$E$91))+IF(SUMSQ('TS-PILE'!$D$72:$D$91)=0,0,'TO HOP NLAN'!F309*'TS-PILE'!$D$82/SUMSQ('TS-PILE'!$D$72:$D$91))),IF('TS-PILE'!$B$83="",-1E+99,'TO HOP NLAN'!D309/ncoc+IF(SUMSQ('TS-PILE'!$E$72:$E$91)=0,0,'TO HOP NLAN'!E309*'TS-PILE'!$E$83/SUMSQ('TS-PILE'!$E$72:$E$91))+IF(SUMSQ('TS-PILE'!$D$72:$D$91)=0,0,'TO HOP NLAN'!F309*'TS-PILE'!$D$83/SUMSQ('TS-PILE'!$D$72:$D$91))),IF('TS-PILE'!$B$84="",-1E+99,'TO HOP NLAN'!D309/ncoc+IF(SUMSQ('TS-PILE'!$E$72:$E$91)=0,0,'TO HOP NLAN'!E309*'TS-PILE'!$E$84/SUMSQ('TS-PILE'!$E$72:$E$91))+IF(SUMSQ('TS-PILE'!$D$72:$D$91)=0,0,'TO HOP NLAN'!F309*'TS-PILE'!$D$84/SUMSQ('TS-PILE'!$D$72:$D$91))),IF('TS-PILE'!$B$85="",-1E+99,'TO HOP NLAN'!D309/ncoc+IF(SUMSQ('TS-PILE'!$E$72:$E$91)=0,0,'TO HOP NLAN'!E309*'TS-PILE'!$E$85/SUMSQ('TS-PILE'!$E$72:$E$91))+IF(SUMSQ('TS-PILE'!$D$72:$D$91)=0,0,'TO HOP NLAN'!F309*'TS-PILE'!$D$85/SUMSQ('TS-PILE'!$D$72:$D$91))),IF('TS-PILE'!$B$86="",-1E+99,'TO HOP NLAN'!D309/ncoc+IF(SUMSQ('TS-PILE'!$E$72:$E$91)=0,0,'TO HOP NLAN'!E309*'TS-PILE'!$E$86/SUMSQ('TS-PILE'!$E$72:$E$91))+IF(SUMSQ('TS-PILE'!$D$72:$D$91)=0,0,'TO HOP NLAN'!F309*'TS-PILE'!$D$86/SUMSQ('TS-PILE'!$D$72:$D$91))),IF('TS-PILE'!$B$87="",-1E+99,'TO HOP NLAN'!D309/ncoc+IF(SUMSQ('TS-PILE'!$E$72:$E$91)=0,0,'TO HOP NLAN'!E309*'TS-PILE'!$E$87/SUMSQ('TS-PILE'!$E$72:$E$91))+IF(SUMSQ('TS-PILE'!$D$72:$D$91)=0,0,'TO HOP NLAN'!F309*'TS-PILE'!$D$87/SUMSQ('TS-PILE'!$D$72:$D$91))),IF('TS-PILE'!$B$88="",-1E+99,'TO HOP NLAN'!D309/ncoc+IF(SUMSQ('TS-PILE'!$E$72:$E$91)=0,0,'TO HOP NLAN'!E309*'TS-PILE'!$E$88/SUMSQ('TS-PILE'!$E$72:$E$91))+IF(SUMSQ('TS-PILE'!$D$72:$D$91)=0,0,'TO HOP NLAN'!F309*'TS-PILE'!$D$88/SUMSQ('TS-PILE'!$D$72:$D$91))),IF('TS-PILE'!$B$89="",-1E+99,'TO HOP NLAN'!D309/ncoc+IF(SUMSQ('TS-PILE'!$E$72:$E$91)=0,0,'TO HOP NLAN'!E309*'TS-PILE'!$E$89/SUMSQ('TS-PILE'!$E$72:$E$91))+IF(SUMSQ('TS-PILE'!$D$72:$D$91)=0,0,'TO HOP NLAN'!F309*'TS-PILE'!$D$89/SUMSQ('TS-PILE'!$D$72:$D$91))),IF('TS-PILE'!$B$90="",-1E+99,'TO HOP NLAN'!D309/ncoc+IF(SUMSQ('TS-PILE'!$E$72:$E$91)=0,0,'TO HOP NLAN'!E309*'TS-PILE'!$E$90/SUMSQ('TS-PILE'!$E$72:$E$91))+IF(SUMSQ('TS-PILE'!$D$72:$D$91)=0,0,'TO HOP NLAN'!F309*'TS-PILE'!$D$90/SUMSQ('TS-PILE'!$D$72:$D$91))),IF('TS-PILE'!$B$91="",-1E+99,'TO HOP NLAN'!D309/ncoc+IF(SUMSQ('TS-PILE'!$E$72:$E$91)=0,0,'TO HOP NLAN'!E309*'TS-PILE'!$E$91/SUMSQ('TS-PILE'!$E$72:$E$91))+IF(SUMSQ('TS-PILE'!$D$72:$D$91)=0,0,'TO HOP NLAN'!F309*'TS-PILE'!$D$91/SUMSQ('TS-PILE'!$D$72:$D$91)))))</f>
        <v>0</v>
      </c>
      <c r="D309" s="58">
        <f>IF(A309="",0,MIN(IF('TS-PILE'!$B$72="",1E+99,'TO HOP NLAN'!D309/ncoc+IF(SUMSQ('TS-PILE'!$E$72:$E$91)=0,0,'TO HOP NLAN'!E309*'TS-PILE'!$E$72/SUMSQ('TS-PILE'!$E$72:$E$91))+IF(SUMSQ('TS-PILE'!$D$72:$D$91)=0,0,'TO HOP NLAN'!F309*'TS-PILE'!$D$72/SUMSQ('TS-PILE'!$D$72:$D$91))),IF('TS-PILE'!$B$73="",1E+99,'TO HOP NLAN'!D309/ncoc+IF(SUMSQ('TS-PILE'!$E$72:$E$91)=0,0,'TO HOP NLAN'!E309*'TS-PILE'!$E$73/SUMSQ('TS-PILE'!$E$72:$E$91))+IF(SUMSQ('TS-PILE'!$D$72:$D$91)=0,0,'TO HOP NLAN'!F309*'TS-PILE'!$D$73/SUMSQ('TS-PILE'!$D$72:$D$91))),IF('TS-PILE'!$B$74="",1E+99,'TO HOP NLAN'!D309/ncoc+IF(SUMSQ('TS-PILE'!$E$72:$E$91)=0,0,'TO HOP NLAN'!E309*'TS-PILE'!$E$74/SUMSQ('TS-PILE'!$E$72:$E$91))+IF(SUMSQ('TS-PILE'!$D$72:$D$91)=0,0,'TO HOP NLAN'!F309*'TS-PILE'!$D$74/SUMSQ('TS-PILE'!$D$72:$D$91))),IF('TS-PILE'!$B$75="",1E+99,'TO HOP NLAN'!D309/ncoc+IF(SUMSQ('TS-PILE'!$E$72:$E$91)=0,0,'TO HOP NLAN'!E309*'TS-PILE'!$E$75/SUMSQ('TS-PILE'!$E$72:$E$91))+IF(SUMSQ('TS-PILE'!$D$72:$D$91)=0,0,'TO HOP NLAN'!F309*'TS-PILE'!$D$75/SUMSQ('TS-PILE'!$D$72:$D$91))),IF('TS-PILE'!$B$76="",1E+99,'TO HOP NLAN'!D309/ncoc+IF(SUMSQ('TS-PILE'!$E$72:$E$91)=0,0,'TO HOP NLAN'!E309*'TS-PILE'!$E$76/SUMSQ('TS-PILE'!$E$72:$E$91))+IF(SUMSQ('TS-PILE'!$D$72:$D$91)=0,0,'TO HOP NLAN'!F309*'TS-PILE'!$D$76/SUMSQ('TS-PILE'!$D$72:$D$91))),IF('TS-PILE'!$B$77="",1E+99,'TO HOP NLAN'!D309/ncoc+IF(SUMSQ('TS-PILE'!$E$72:$E$91)=0,0,'TO HOP NLAN'!E309*'TS-PILE'!$E$77/SUMSQ('TS-PILE'!$E$72:$E$91))+IF(SUMSQ('TS-PILE'!$D$72:$D$91)=0,0,'TO HOP NLAN'!F309*'TS-PILE'!$D$77/SUMSQ('TS-PILE'!$D$72:$D$91))),IF('TS-PILE'!$B$78="",1E+99,'TO HOP NLAN'!D309/ncoc+IF(SUMSQ('TS-PILE'!$E$72:$E$91)=0,0,'TO HOP NLAN'!E309*'TS-PILE'!$E$78/SUMSQ('TS-PILE'!$E$72:$E$91))+IF(SUMSQ('TS-PILE'!$D$72:$D$91)=0,0,'TO HOP NLAN'!F309*'TS-PILE'!$D$78/SUMSQ('TS-PILE'!$D$72:$D$91))),IF('TS-PILE'!$B$79="",1E+99,'TO HOP NLAN'!D309/ncoc+IF(SUMSQ('TS-PILE'!$E$72:$E$91)=0,0,'TO HOP NLAN'!E309*'TS-PILE'!$E$79/SUMSQ('TS-PILE'!$E$72:$E$91))+IF(SUMSQ('TS-PILE'!$D$72:$D$91)=0,0,'TO HOP NLAN'!F309*'TS-PILE'!$D$79/SUMSQ('TS-PILE'!$D$72:$D$91))),IF('TS-PILE'!$B$80="",1E+99,'TO HOP NLAN'!D309/ncoc+IF(SUMSQ('TS-PILE'!$E$72:$E$91)=0,0,'TO HOP NLAN'!E309*'TS-PILE'!$E$80/SUMSQ('TS-PILE'!$E$72:$E$91))+IF(SUMSQ('TS-PILE'!$D$72:$D$91)=0,0,'TO HOP NLAN'!F309*'TS-PILE'!$D$80/SUMSQ('TS-PILE'!$D$72:$D$91))),IF('TS-PILE'!$B$81="",1E+99,'TO HOP NLAN'!D309/ncoc+IF(SUMSQ('TS-PILE'!$E$72:$E$91)=0,0,'TO HOP NLAN'!E309*'TS-PILE'!$E$81/SUMSQ('TS-PILE'!$E$72:$E$91))+IF(SUMSQ('TS-PILE'!$D$72:$D$91)=0,0,'TO HOP NLAN'!F309*'TS-PILE'!$D$81/SUMSQ('TS-PILE'!$D$72:$D$91))),IF('TS-PILE'!$B$82="",1E+99,'TO HOP NLAN'!D309/ncoc+IF(SUMSQ('TS-PILE'!$E$72:$E$91)=0,0,'TO HOP NLAN'!E309*'TS-PILE'!$E$82/SUMSQ('TS-PILE'!$E$72:$E$91))+IF(SUMSQ('TS-PILE'!$D$72:$D$91)=0,0,'TO HOP NLAN'!F309*'TS-PILE'!$D$82/SUMSQ('TS-PILE'!$D$72:$D$91))),IF('TS-PILE'!$B$83="",1E+99,'TO HOP NLAN'!D309/ncoc+IF(SUMSQ('TS-PILE'!$E$72:$E$91)=0,0,'TO HOP NLAN'!E309*'TS-PILE'!$E$83/SUMSQ('TS-PILE'!$E$72:$E$91))+IF(SUMSQ('TS-PILE'!$D$72:$D$91)=0,0,'TO HOP NLAN'!F309*'TS-PILE'!$D$83/SUMSQ('TS-PILE'!$D$72:$D$91))),IF('TS-PILE'!$B$84="",1E+99,'TO HOP NLAN'!D309/ncoc+IF(SUMSQ('TS-PILE'!$E$72:$E$91)=0,0,'TO HOP NLAN'!E309*'TS-PILE'!$E$84/SUMSQ('TS-PILE'!$E$72:$E$91))+IF(SUMSQ('TS-PILE'!$D$72:$D$91)=0,0,'TO HOP NLAN'!F309*'TS-PILE'!$D$84/SUMSQ('TS-PILE'!$D$72:$D$91))),IF('TS-PILE'!$B$85="",1E+99,'TO HOP NLAN'!D309/ncoc+IF(SUMSQ('TS-PILE'!$E$72:$E$91)=0,0,'TO HOP NLAN'!E309*'TS-PILE'!$E$85/SUMSQ('TS-PILE'!$E$72:$E$91))+IF(SUMSQ('TS-PILE'!$D$72:$D$91)=0,0,'TO HOP NLAN'!F309*'TS-PILE'!$D$85/SUMSQ('TS-PILE'!$D$72:$D$91))),IF('TS-PILE'!$B$86="",1E+99,'TO HOP NLAN'!D309/ncoc+IF(SUMSQ('TS-PILE'!$E$72:$E$91)=0,0,'TO HOP NLAN'!E309*'TS-PILE'!$E$86/SUMSQ('TS-PILE'!$E$72:$E$91))+IF(SUMSQ('TS-PILE'!$D$72:$D$91)=0,0,'TO HOP NLAN'!F309*'TS-PILE'!$D$86/SUMSQ('TS-PILE'!$D$72:$D$91))),IF('TS-PILE'!$B$87="",1E+99,'TO HOP NLAN'!D309/ncoc+IF(SUMSQ('TS-PILE'!$E$72:$E$91)=0,0,'TO HOP NLAN'!E309*'TS-PILE'!$E$87/SUMSQ('TS-PILE'!$E$72:$E$91))+IF(SUMSQ('TS-PILE'!$D$72:$D$91)=0,0,'TO HOP NLAN'!F309*'TS-PILE'!$D$87/SUMSQ('TS-PILE'!$D$72:$D$91))),IF('TS-PILE'!$B$88="",1E+99,'TO HOP NLAN'!D309/ncoc+IF(SUMSQ('TS-PILE'!$E$72:$E$91)=0,0,'TO HOP NLAN'!E309*'TS-PILE'!$E$88/SUMSQ('TS-PILE'!$E$72:$E$91))+IF(SUMSQ('TS-PILE'!$D$72:$D$91)=0,0,'TO HOP NLAN'!F309*'TS-PILE'!$D$88/SUMSQ('TS-PILE'!$D$72:$D$91))),IF('TS-PILE'!$B$89="",1E+99,'TO HOP NLAN'!D309/ncoc+IF(SUMSQ('TS-PILE'!$E$72:$E$91)=0,0,'TO HOP NLAN'!E309*'TS-PILE'!$E$89/SUMSQ('TS-PILE'!$E$72:$E$91))+IF(SUMSQ('TS-PILE'!$D$72:$D$91)=0,0,'TO HOP NLAN'!F309*'TS-PILE'!$D$89/SUMSQ('TS-PILE'!$D$72:$D$91))),IF('TS-PILE'!$B$90="",1E+99,'TO HOP NLAN'!D309/ncoc+IF(SUMSQ('TS-PILE'!$E$72:$E$91)=0,0,'TO HOP NLAN'!E309*'TS-PILE'!$E$90/SUMSQ('TS-PILE'!$E$72:$E$91))+IF(SUMSQ('TS-PILE'!$D$72:$D$91)=0,0,'TO HOP NLAN'!F309*'TS-PILE'!$D$90/SUMSQ('TS-PILE'!$D$72:$D$91))),IF('TS-PILE'!$B$91="",1E+99,'TO HOP NLAN'!D309/ncoc+IF(SUMSQ('TS-PILE'!$E$72:$E$91)=0,0,'TO HOP NLAN'!E309*'TS-PILE'!$E$91/SUMSQ('TS-PILE'!$E$72:$E$91))+IF(SUMSQ('TS-PILE'!$D$72:$D$91)=0,0,'TO HOP NLAN'!F309*'TS-PILE'!$D$91/SUMSQ('TS-PILE'!$D$72:$D$91)))))</f>
        <v>0</v>
      </c>
      <c r="E309" s="58">
        <f t="shared" si="16"/>
        <v>-9.9999999999999997E+98</v>
      </c>
      <c r="F309" s="58">
        <f t="shared" si="17"/>
        <v>9.9999999999999997E+98</v>
      </c>
      <c r="G309" s="58">
        <f t="shared" si="18"/>
        <v>-9.9999999999999997E+98</v>
      </c>
      <c r="H309" s="58">
        <f t="shared" si="19"/>
        <v>9.9999999999999997E+98</v>
      </c>
    </row>
    <row r="310" spans="1:8" x14ac:dyDescent="0.3">
      <c r="A310" s="42" t="str">
        <f>'TO HOP NLAN'!A310</f>
        <v/>
      </c>
      <c r="B310" s="42" t="str">
        <f>'TO HOP NLAN'!L310</f>
        <v>STRENGTH</v>
      </c>
      <c r="C310" s="58">
        <f>IF(A310="",0,MAX(IF('TS-PILE'!$B$72="",-1E+99,'TO HOP NLAN'!D310/ncoc+IF(SUMSQ('TS-PILE'!$E$72:$E$91)=0,0,'TO HOP NLAN'!E310*'TS-PILE'!$E$72/SUMSQ('TS-PILE'!$E$72:$E$91))+IF(SUMSQ('TS-PILE'!$D$72:$D$91)=0,0,'TO HOP NLAN'!F310*'TS-PILE'!$D$72/SUMSQ('TS-PILE'!$D$72:$D$91))),IF('TS-PILE'!$B$73="",-1E+99,'TO HOP NLAN'!D310/ncoc+IF(SUMSQ('TS-PILE'!$E$72:$E$91)=0,0,'TO HOP NLAN'!E310*'TS-PILE'!$E$73/SUMSQ('TS-PILE'!$E$72:$E$91))+IF(SUMSQ('TS-PILE'!$D$72:$D$91)=0,0,'TO HOP NLAN'!F310*'TS-PILE'!$D$73/SUMSQ('TS-PILE'!$D$72:$D$91))),IF('TS-PILE'!$B$74="",-1E+99,'TO HOP NLAN'!D310/ncoc+IF(SUMSQ('TS-PILE'!$E$72:$E$91)=0,0,'TO HOP NLAN'!E310*'TS-PILE'!$E$74/SUMSQ('TS-PILE'!$E$72:$E$91))+IF(SUMSQ('TS-PILE'!$D$72:$D$91)=0,0,'TO HOP NLAN'!F310*'TS-PILE'!$D$74/SUMSQ('TS-PILE'!$D$72:$D$91))),IF('TS-PILE'!$B$75="",-1E+99,'TO HOP NLAN'!D310/ncoc+IF(SUMSQ('TS-PILE'!$E$72:$E$91)=0,0,'TO HOP NLAN'!E310*'TS-PILE'!$E$75/SUMSQ('TS-PILE'!$E$72:$E$91))+IF(SUMSQ('TS-PILE'!$D$72:$D$91)=0,0,'TO HOP NLAN'!F310*'TS-PILE'!$D$75/SUMSQ('TS-PILE'!$D$72:$D$91))),IF('TS-PILE'!$B$76="",-1E+99,'TO HOP NLAN'!D310/ncoc+IF(SUMSQ('TS-PILE'!$E$72:$E$91)=0,0,'TO HOP NLAN'!E310*'TS-PILE'!$E$76/SUMSQ('TS-PILE'!$E$72:$E$91))+IF(SUMSQ('TS-PILE'!$D$72:$D$91)=0,0,'TO HOP NLAN'!F310*'TS-PILE'!$D$76/SUMSQ('TS-PILE'!$D$72:$D$91))),IF('TS-PILE'!$B$77="",-1E+99,'TO HOP NLAN'!D310/ncoc+IF(SUMSQ('TS-PILE'!$E$72:$E$91)=0,0,'TO HOP NLAN'!E310*'TS-PILE'!$E$77/SUMSQ('TS-PILE'!$E$72:$E$91))+IF(SUMSQ('TS-PILE'!$D$72:$D$91)=0,0,'TO HOP NLAN'!F310*'TS-PILE'!$D$77/SUMSQ('TS-PILE'!$D$72:$D$91))),IF('TS-PILE'!$B$78="",-1E+99,'TO HOP NLAN'!D310/ncoc+IF(SUMSQ('TS-PILE'!$E$72:$E$91)=0,0,'TO HOP NLAN'!E310*'TS-PILE'!$E$78/SUMSQ('TS-PILE'!$E$72:$E$91))+IF(SUMSQ('TS-PILE'!$D$72:$D$91)=0,0,'TO HOP NLAN'!F310*'TS-PILE'!$D$78/SUMSQ('TS-PILE'!$D$72:$D$91))),IF('TS-PILE'!$B$79="",-1E+99,'TO HOP NLAN'!D310/ncoc+IF(SUMSQ('TS-PILE'!$E$72:$E$91)=0,0,'TO HOP NLAN'!E310*'TS-PILE'!$E$79/SUMSQ('TS-PILE'!$E$72:$E$91))+IF(SUMSQ('TS-PILE'!$D$72:$D$91)=0,0,'TO HOP NLAN'!F310*'TS-PILE'!$D$79/SUMSQ('TS-PILE'!$D$72:$D$91))),IF('TS-PILE'!$B$80="",-1E+99,'TO HOP NLAN'!D310/ncoc+IF(SUMSQ('TS-PILE'!$E$72:$E$91)=0,0,'TO HOP NLAN'!E310*'TS-PILE'!$E$80/SUMSQ('TS-PILE'!$E$72:$E$91))+IF(SUMSQ('TS-PILE'!$D$72:$D$91)=0,0,'TO HOP NLAN'!F310*'TS-PILE'!$D$80/SUMSQ('TS-PILE'!$D$72:$D$91))),IF('TS-PILE'!$B$81="",-1E+99,'TO HOP NLAN'!D310/ncoc+IF(SUMSQ('TS-PILE'!$E$72:$E$91)=0,0,'TO HOP NLAN'!E310*'TS-PILE'!$E$81/SUMSQ('TS-PILE'!$E$72:$E$91))+IF(SUMSQ('TS-PILE'!$D$72:$D$91)=0,0,'TO HOP NLAN'!F310*'TS-PILE'!$D$81/SUMSQ('TS-PILE'!$D$72:$D$91))),IF('TS-PILE'!$B$82="",-1E+99,'TO HOP NLAN'!D310/ncoc+IF(SUMSQ('TS-PILE'!$E$72:$E$91)=0,0,'TO HOP NLAN'!E310*'TS-PILE'!$E$82/SUMSQ('TS-PILE'!$E$72:$E$91))+IF(SUMSQ('TS-PILE'!$D$72:$D$91)=0,0,'TO HOP NLAN'!F310*'TS-PILE'!$D$82/SUMSQ('TS-PILE'!$D$72:$D$91))),IF('TS-PILE'!$B$83="",-1E+99,'TO HOP NLAN'!D310/ncoc+IF(SUMSQ('TS-PILE'!$E$72:$E$91)=0,0,'TO HOP NLAN'!E310*'TS-PILE'!$E$83/SUMSQ('TS-PILE'!$E$72:$E$91))+IF(SUMSQ('TS-PILE'!$D$72:$D$91)=0,0,'TO HOP NLAN'!F310*'TS-PILE'!$D$83/SUMSQ('TS-PILE'!$D$72:$D$91))),IF('TS-PILE'!$B$84="",-1E+99,'TO HOP NLAN'!D310/ncoc+IF(SUMSQ('TS-PILE'!$E$72:$E$91)=0,0,'TO HOP NLAN'!E310*'TS-PILE'!$E$84/SUMSQ('TS-PILE'!$E$72:$E$91))+IF(SUMSQ('TS-PILE'!$D$72:$D$91)=0,0,'TO HOP NLAN'!F310*'TS-PILE'!$D$84/SUMSQ('TS-PILE'!$D$72:$D$91))),IF('TS-PILE'!$B$85="",-1E+99,'TO HOP NLAN'!D310/ncoc+IF(SUMSQ('TS-PILE'!$E$72:$E$91)=0,0,'TO HOP NLAN'!E310*'TS-PILE'!$E$85/SUMSQ('TS-PILE'!$E$72:$E$91))+IF(SUMSQ('TS-PILE'!$D$72:$D$91)=0,0,'TO HOP NLAN'!F310*'TS-PILE'!$D$85/SUMSQ('TS-PILE'!$D$72:$D$91))),IF('TS-PILE'!$B$86="",-1E+99,'TO HOP NLAN'!D310/ncoc+IF(SUMSQ('TS-PILE'!$E$72:$E$91)=0,0,'TO HOP NLAN'!E310*'TS-PILE'!$E$86/SUMSQ('TS-PILE'!$E$72:$E$91))+IF(SUMSQ('TS-PILE'!$D$72:$D$91)=0,0,'TO HOP NLAN'!F310*'TS-PILE'!$D$86/SUMSQ('TS-PILE'!$D$72:$D$91))),IF('TS-PILE'!$B$87="",-1E+99,'TO HOP NLAN'!D310/ncoc+IF(SUMSQ('TS-PILE'!$E$72:$E$91)=0,0,'TO HOP NLAN'!E310*'TS-PILE'!$E$87/SUMSQ('TS-PILE'!$E$72:$E$91))+IF(SUMSQ('TS-PILE'!$D$72:$D$91)=0,0,'TO HOP NLAN'!F310*'TS-PILE'!$D$87/SUMSQ('TS-PILE'!$D$72:$D$91))),IF('TS-PILE'!$B$88="",-1E+99,'TO HOP NLAN'!D310/ncoc+IF(SUMSQ('TS-PILE'!$E$72:$E$91)=0,0,'TO HOP NLAN'!E310*'TS-PILE'!$E$88/SUMSQ('TS-PILE'!$E$72:$E$91))+IF(SUMSQ('TS-PILE'!$D$72:$D$91)=0,0,'TO HOP NLAN'!F310*'TS-PILE'!$D$88/SUMSQ('TS-PILE'!$D$72:$D$91))),IF('TS-PILE'!$B$89="",-1E+99,'TO HOP NLAN'!D310/ncoc+IF(SUMSQ('TS-PILE'!$E$72:$E$91)=0,0,'TO HOP NLAN'!E310*'TS-PILE'!$E$89/SUMSQ('TS-PILE'!$E$72:$E$91))+IF(SUMSQ('TS-PILE'!$D$72:$D$91)=0,0,'TO HOP NLAN'!F310*'TS-PILE'!$D$89/SUMSQ('TS-PILE'!$D$72:$D$91))),IF('TS-PILE'!$B$90="",-1E+99,'TO HOP NLAN'!D310/ncoc+IF(SUMSQ('TS-PILE'!$E$72:$E$91)=0,0,'TO HOP NLAN'!E310*'TS-PILE'!$E$90/SUMSQ('TS-PILE'!$E$72:$E$91))+IF(SUMSQ('TS-PILE'!$D$72:$D$91)=0,0,'TO HOP NLAN'!F310*'TS-PILE'!$D$90/SUMSQ('TS-PILE'!$D$72:$D$91))),IF('TS-PILE'!$B$91="",-1E+99,'TO HOP NLAN'!D310/ncoc+IF(SUMSQ('TS-PILE'!$E$72:$E$91)=0,0,'TO HOP NLAN'!E310*'TS-PILE'!$E$91/SUMSQ('TS-PILE'!$E$72:$E$91))+IF(SUMSQ('TS-PILE'!$D$72:$D$91)=0,0,'TO HOP NLAN'!F310*'TS-PILE'!$D$91/SUMSQ('TS-PILE'!$D$72:$D$91)))))</f>
        <v>0</v>
      </c>
      <c r="D310" s="58">
        <f>IF(A310="",0,MIN(IF('TS-PILE'!$B$72="",1E+99,'TO HOP NLAN'!D310/ncoc+IF(SUMSQ('TS-PILE'!$E$72:$E$91)=0,0,'TO HOP NLAN'!E310*'TS-PILE'!$E$72/SUMSQ('TS-PILE'!$E$72:$E$91))+IF(SUMSQ('TS-PILE'!$D$72:$D$91)=0,0,'TO HOP NLAN'!F310*'TS-PILE'!$D$72/SUMSQ('TS-PILE'!$D$72:$D$91))),IF('TS-PILE'!$B$73="",1E+99,'TO HOP NLAN'!D310/ncoc+IF(SUMSQ('TS-PILE'!$E$72:$E$91)=0,0,'TO HOP NLAN'!E310*'TS-PILE'!$E$73/SUMSQ('TS-PILE'!$E$72:$E$91))+IF(SUMSQ('TS-PILE'!$D$72:$D$91)=0,0,'TO HOP NLAN'!F310*'TS-PILE'!$D$73/SUMSQ('TS-PILE'!$D$72:$D$91))),IF('TS-PILE'!$B$74="",1E+99,'TO HOP NLAN'!D310/ncoc+IF(SUMSQ('TS-PILE'!$E$72:$E$91)=0,0,'TO HOP NLAN'!E310*'TS-PILE'!$E$74/SUMSQ('TS-PILE'!$E$72:$E$91))+IF(SUMSQ('TS-PILE'!$D$72:$D$91)=0,0,'TO HOP NLAN'!F310*'TS-PILE'!$D$74/SUMSQ('TS-PILE'!$D$72:$D$91))),IF('TS-PILE'!$B$75="",1E+99,'TO HOP NLAN'!D310/ncoc+IF(SUMSQ('TS-PILE'!$E$72:$E$91)=0,0,'TO HOP NLAN'!E310*'TS-PILE'!$E$75/SUMSQ('TS-PILE'!$E$72:$E$91))+IF(SUMSQ('TS-PILE'!$D$72:$D$91)=0,0,'TO HOP NLAN'!F310*'TS-PILE'!$D$75/SUMSQ('TS-PILE'!$D$72:$D$91))),IF('TS-PILE'!$B$76="",1E+99,'TO HOP NLAN'!D310/ncoc+IF(SUMSQ('TS-PILE'!$E$72:$E$91)=0,0,'TO HOP NLAN'!E310*'TS-PILE'!$E$76/SUMSQ('TS-PILE'!$E$72:$E$91))+IF(SUMSQ('TS-PILE'!$D$72:$D$91)=0,0,'TO HOP NLAN'!F310*'TS-PILE'!$D$76/SUMSQ('TS-PILE'!$D$72:$D$91))),IF('TS-PILE'!$B$77="",1E+99,'TO HOP NLAN'!D310/ncoc+IF(SUMSQ('TS-PILE'!$E$72:$E$91)=0,0,'TO HOP NLAN'!E310*'TS-PILE'!$E$77/SUMSQ('TS-PILE'!$E$72:$E$91))+IF(SUMSQ('TS-PILE'!$D$72:$D$91)=0,0,'TO HOP NLAN'!F310*'TS-PILE'!$D$77/SUMSQ('TS-PILE'!$D$72:$D$91))),IF('TS-PILE'!$B$78="",1E+99,'TO HOP NLAN'!D310/ncoc+IF(SUMSQ('TS-PILE'!$E$72:$E$91)=0,0,'TO HOP NLAN'!E310*'TS-PILE'!$E$78/SUMSQ('TS-PILE'!$E$72:$E$91))+IF(SUMSQ('TS-PILE'!$D$72:$D$91)=0,0,'TO HOP NLAN'!F310*'TS-PILE'!$D$78/SUMSQ('TS-PILE'!$D$72:$D$91))),IF('TS-PILE'!$B$79="",1E+99,'TO HOP NLAN'!D310/ncoc+IF(SUMSQ('TS-PILE'!$E$72:$E$91)=0,0,'TO HOP NLAN'!E310*'TS-PILE'!$E$79/SUMSQ('TS-PILE'!$E$72:$E$91))+IF(SUMSQ('TS-PILE'!$D$72:$D$91)=0,0,'TO HOP NLAN'!F310*'TS-PILE'!$D$79/SUMSQ('TS-PILE'!$D$72:$D$91))),IF('TS-PILE'!$B$80="",1E+99,'TO HOP NLAN'!D310/ncoc+IF(SUMSQ('TS-PILE'!$E$72:$E$91)=0,0,'TO HOP NLAN'!E310*'TS-PILE'!$E$80/SUMSQ('TS-PILE'!$E$72:$E$91))+IF(SUMSQ('TS-PILE'!$D$72:$D$91)=0,0,'TO HOP NLAN'!F310*'TS-PILE'!$D$80/SUMSQ('TS-PILE'!$D$72:$D$91))),IF('TS-PILE'!$B$81="",1E+99,'TO HOP NLAN'!D310/ncoc+IF(SUMSQ('TS-PILE'!$E$72:$E$91)=0,0,'TO HOP NLAN'!E310*'TS-PILE'!$E$81/SUMSQ('TS-PILE'!$E$72:$E$91))+IF(SUMSQ('TS-PILE'!$D$72:$D$91)=0,0,'TO HOP NLAN'!F310*'TS-PILE'!$D$81/SUMSQ('TS-PILE'!$D$72:$D$91))),IF('TS-PILE'!$B$82="",1E+99,'TO HOP NLAN'!D310/ncoc+IF(SUMSQ('TS-PILE'!$E$72:$E$91)=0,0,'TO HOP NLAN'!E310*'TS-PILE'!$E$82/SUMSQ('TS-PILE'!$E$72:$E$91))+IF(SUMSQ('TS-PILE'!$D$72:$D$91)=0,0,'TO HOP NLAN'!F310*'TS-PILE'!$D$82/SUMSQ('TS-PILE'!$D$72:$D$91))),IF('TS-PILE'!$B$83="",1E+99,'TO HOP NLAN'!D310/ncoc+IF(SUMSQ('TS-PILE'!$E$72:$E$91)=0,0,'TO HOP NLAN'!E310*'TS-PILE'!$E$83/SUMSQ('TS-PILE'!$E$72:$E$91))+IF(SUMSQ('TS-PILE'!$D$72:$D$91)=0,0,'TO HOP NLAN'!F310*'TS-PILE'!$D$83/SUMSQ('TS-PILE'!$D$72:$D$91))),IF('TS-PILE'!$B$84="",1E+99,'TO HOP NLAN'!D310/ncoc+IF(SUMSQ('TS-PILE'!$E$72:$E$91)=0,0,'TO HOP NLAN'!E310*'TS-PILE'!$E$84/SUMSQ('TS-PILE'!$E$72:$E$91))+IF(SUMSQ('TS-PILE'!$D$72:$D$91)=0,0,'TO HOP NLAN'!F310*'TS-PILE'!$D$84/SUMSQ('TS-PILE'!$D$72:$D$91))),IF('TS-PILE'!$B$85="",1E+99,'TO HOP NLAN'!D310/ncoc+IF(SUMSQ('TS-PILE'!$E$72:$E$91)=0,0,'TO HOP NLAN'!E310*'TS-PILE'!$E$85/SUMSQ('TS-PILE'!$E$72:$E$91))+IF(SUMSQ('TS-PILE'!$D$72:$D$91)=0,0,'TO HOP NLAN'!F310*'TS-PILE'!$D$85/SUMSQ('TS-PILE'!$D$72:$D$91))),IF('TS-PILE'!$B$86="",1E+99,'TO HOP NLAN'!D310/ncoc+IF(SUMSQ('TS-PILE'!$E$72:$E$91)=0,0,'TO HOP NLAN'!E310*'TS-PILE'!$E$86/SUMSQ('TS-PILE'!$E$72:$E$91))+IF(SUMSQ('TS-PILE'!$D$72:$D$91)=0,0,'TO HOP NLAN'!F310*'TS-PILE'!$D$86/SUMSQ('TS-PILE'!$D$72:$D$91))),IF('TS-PILE'!$B$87="",1E+99,'TO HOP NLAN'!D310/ncoc+IF(SUMSQ('TS-PILE'!$E$72:$E$91)=0,0,'TO HOP NLAN'!E310*'TS-PILE'!$E$87/SUMSQ('TS-PILE'!$E$72:$E$91))+IF(SUMSQ('TS-PILE'!$D$72:$D$91)=0,0,'TO HOP NLAN'!F310*'TS-PILE'!$D$87/SUMSQ('TS-PILE'!$D$72:$D$91))),IF('TS-PILE'!$B$88="",1E+99,'TO HOP NLAN'!D310/ncoc+IF(SUMSQ('TS-PILE'!$E$72:$E$91)=0,0,'TO HOP NLAN'!E310*'TS-PILE'!$E$88/SUMSQ('TS-PILE'!$E$72:$E$91))+IF(SUMSQ('TS-PILE'!$D$72:$D$91)=0,0,'TO HOP NLAN'!F310*'TS-PILE'!$D$88/SUMSQ('TS-PILE'!$D$72:$D$91))),IF('TS-PILE'!$B$89="",1E+99,'TO HOP NLAN'!D310/ncoc+IF(SUMSQ('TS-PILE'!$E$72:$E$91)=0,0,'TO HOP NLAN'!E310*'TS-PILE'!$E$89/SUMSQ('TS-PILE'!$E$72:$E$91))+IF(SUMSQ('TS-PILE'!$D$72:$D$91)=0,0,'TO HOP NLAN'!F310*'TS-PILE'!$D$89/SUMSQ('TS-PILE'!$D$72:$D$91))),IF('TS-PILE'!$B$90="",1E+99,'TO HOP NLAN'!D310/ncoc+IF(SUMSQ('TS-PILE'!$E$72:$E$91)=0,0,'TO HOP NLAN'!E310*'TS-PILE'!$E$90/SUMSQ('TS-PILE'!$E$72:$E$91))+IF(SUMSQ('TS-PILE'!$D$72:$D$91)=0,0,'TO HOP NLAN'!F310*'TS-PILE'!$D$90/SUMSQ('TS-PILE'!$D$72:$D$91))),IF('TS-PILE'!$B$91="",1E+99,'TO HOP NLAN'!D310/ncoc+IF(SUMSQ('TS-PILE'!$E$72:$E$91)=0,0,'TO HOP NLAN'!E310*'TS-PILE'!$E$91/SUMSQ('TS-PILE'!$E$72:$E$91))+IF(SUMSQ('TS-PILE'!$D$72:$D$91)=0,0,'TO HOP NLAN'!F310*'TS-PILE'!$D$91/SUMSQ('TS-PILE'!$D$72:$D$91)))))</f>
        <v>0</v>
      </c>
      <c r="E310" s="58">
        <f t="shared" si="16"/>
        <v>-9.9999999999999997E+98</v>
      </c>
      <c r="F310" s="58">
        <f t="shared" si="17"/>
        <v>9.9999999999999997E+98</v>
      </c>
      <c r="G310" s="58">
        <f t="shared" si="18"/>
        <v>-9.9999999999999997E+98</v>
      </c>
      <c r="H310" s="58">
        <f t="shared" si="19"/>
        <v>9.9999999999999997E+98</v>
      </c>
    </row>
    <row r="311" spans="1:8" x14ac:dyDescent="0.3">
      <c r="A311" s="42" t="str">
        <f>'TO HOP NLAN'!A311</f>
        <v/>
      </c>
      <c r="B311" s="42" t="str">
        <f>'TO HOP NLAN'!L311</f>
        <v>STRENGTH</v>
      </c>
      <c r="C311" s="58">
        <f>IF(A311="",0,MAX(IF('TS-PILE'!$B$72="",-1E+99,'TO HOP NLAN'!D311/ncoc+IF(SUMSQ('TS-PILE'!$E$72:$E$91)=0,0,'TO HOP NLAN'!E311*'TS-PILE'!$E$72/SUMSQ('TS-PILE'!$E$72:$E$91))+IF(SUMSQ('TS-PILE'!$D$72:$D$91)=0,0,'TO HOP NLAN'!F311*'TS-PILE'!$D$72/SUMSQ('TS-PILE'!$D$72:$D$91))),IF('TS-PILE'!$B$73="",-1E+99,'TO HOP NLAN'!D311/ncoc+IF(SUMSQ('TS-PILE'!$E$72:$E$91)=0,0,'TO HOP NLAN'!E311*'TS-PILE'!$E$73/SUMSQ('TS-PILE'!$E$72:$E$91))+IF(SUMSQ('TS-PILE'!$D$72:$D$91)=0,0,'TO HOP NLAN'!F311*'TS-PILE'!$D$73/SUMSQ('TS-PILE'!$D$72:$D$91))),IF('TS-PILE'!$B$74="",-1E+99,'TO HOP NLAN'!D311/ncoc+IF(SUMSQ('TS-PILE'!$E$72:$E$91)=0,0,'TO HOP NLAN'!E311*'TS-PILE'!$E$74/SUMSQ('TS-PILE'!$E$72:$E$91))+IF(SUMSQ('TS-PILE'!$D$72:$D$91)=0,0,'TO HOP NLAN'!F311*'TS-PILE'!$D$74/SUMSQ('TS-PILE'!$D$72:$D$91))),IF('TS-PILE'!$B$75="",-1E+99,'TO HOP NLAN'!D311/ncoc+IF(SUMSQ('TS-PILE'!$E$72:$E$91)=0,0,'TO HOP NLAN'!E311*'TS-PILE'!$E$75/SUMSQ('TS-PILE'!$E$72:$E$91))+IF(SUMSQ('TS-PILE'!$D$72:$D$91)=0,0,'TO HOP NLAN'!F311*'TS-PILE'!$D$75/SUMSQ('TS-PILE'!$D$72:$D$91))),IF('TS-PILE'!$B$76="",-1E+99,'TO HOP NLAN'!D311/ncoc+IF(SUMSQ('TS-PILE'!$E$72:$E$91)=0,0,'TO HOP NLAN'!E311*'TS-PILE'!$E$76/SUMSQ('TS-PILE'!$E$72:$E$91))+IF(SUMSQ('TS-PILE'!$D$72:$D$91)=0,0,'TO HOP NLAN'!F311*'TS-PILE'!$D$76/SUMSQ('TS-PILE'!$D$72:$D$91))),IF('TS-PILE'!$B$77="",-1E+99,'TO HOP NLAN'!D311/ncoc+IF(SUMSQ('TS-PILE'!$E$72:$E$91)=0,0,'TO HOP NLAN'!E311*'TS-PILE'!$E$77/SUMSQ('TS-PILE'!$E$72:$E$91))+IF(SUMSQ('TS-PILE'!$D$72:$D$91)=0,0,'TO HOP NLAN'!F311*'TS-PILE'!$D$77/SUMSQ('TS-PILE'!$D$72:$D$91))),IF('TS-PILE'!$B$78="",-1E+99,'TO HOP NLAN'!D311/ncoc+IF(SUMSQ('TS-PILE'!$E$72:$E$91)=0,0,'TO HOP NLAN'!E311*'TS-PILE'!$E$78/SUMSQ('TS-PILE'!$E$72:$E$91))+IF(SUMSQ('TS-PILE'!$D$72:$D$91)=0,0,'TO HOP NLAN'!F311*'TS-PILE'!$D$78/SUMSQ('TS-PILE'!$D$72:$D$91))),IF('TS-PILE'!$B$79="",-1E+99,'TO HOP NLAN'!D311/ncoc+IF(SUMSQ('TS-PILE'!$E$72:$E$91)=0,0,'TO HOP NLAN'!E311*'TS-PILE'!$E$79/SUMSQ('TS-PILE'!$E$72:$E$91))+IF(SUMSQ('TS-PILE'!$D$72:$D$91)=0,0,'TO HOP NLAN'!F311*'TS-PILE'!$D$79/SUMSQ('TS-PILE'!$D$72:$D$91))),IF('TS-PILE'!$B$80="",-1E+99,'TO HOP NLAN'!D311/ncoc+IF(SUMSQ('TS-PILE'!$E$72:$E$91)=0,0,'TO HOP NLAN'!E311*'TS-PILE'!$E$80/SUMSQ('TS-PILE'!$E$72:$E$91))+IF(SUMSQ('TS-PILE'!$D$72:$D$91)=0,0,'TO HOP NLAN'!F311*'TS-PILE'!$D$80/SUMSQ('TS-PILE'!$D$72:$D$91))),IF('TS-PILE'!$B$81="",-1E+99,'TO HOP NLAN'!D311/ncoc+IF(SUMSQ('TS-PILE'!$E$72:$E$91)=0,0,'TO HOP NLAN'!E311*'TS-PILE'!$E$81/SUMSQ('TS-PILE'!$E$72:$E$91))+IF(SUMSQ('TS-PILE'!$D$72:$D$91)=0,0,'TO HOP NLAN'!F311*'TS-PILE'!$D$81/SUMSQ('TS-PILE'!$D$72:$D$91))),IF('TS-PILE'!$B$82="",-1E+99,'TO HOP NLAN'!D311/ncoc+IF(SUMSQ('TS-PILE'!$E$72:$E$91)=0,0,'TO HOP NLAN'!E311*'TS-PILE'!$E$82/SUMSQ('TS-PILE'!$E$72:$E$91))+IF(SUMSQ('TS-PILE'!$D$72:$D$91)=0,0,'TO HOP NLAN'!F311*'TS-PILE'!$D$82/SUMSQ('TS-PILE'!$D$72:$D$91))),IF('TS-PILE'!$B$83="",-1E+99,'TO HOP NLAN'!D311/ncoc+IF(SUMSQ('TS-PILE'!$E$72:$E$91)=0,0,'TO HOP NLAN'!E311*'TS-PILE'!$E$83/SUMSQ('TS-PILE'!$E$72:$E$91))+IF(SUMSQ('TS-PILE'!$D$72:$D$91)=0,0,'TO HOP NLAN'!F311*'TS-PILE'!$D$83/SUMSQ('TS-PILE'!$D$72:$D$91))),IF('TS-PILE'!$B$84="",-1E+99,'TO HOP NLAN'!D311/ncoc+IF(SUMSQ('TS-PILE'!$E$72:$E$91)=0,0,'TO HOP NLAN'!E311*'TS-PILE'!$E$84/SUMSQ('TS-PILE'!$E$72:$E$91))+IF(SUMSQ('TS-PILE'!$D$72:$D$91)=0,0,'TO HOP NLAN'!F311*'TS-PILE'!$D$84/SUMSQ('TS-PILE'!$D$72:$D$91))),IF('TS-PILE'!$B$85="",-1E+99,'TO HOP NLAN'!D311/ncoc+IF(SUMSQ('TS-PILE'!$E$72:$E$91)=0,0,'TO HOP NLAN'!E311*'TS-PILE'!$E$85/SUMSQ('TS-PILE'!$E$72:$E$91))+IF(SUMSQ('TS-PILE'!$D$72:$D$91)=0,0,'TO HOP NLAN'!F311*'TS-PILE'!$D$85/SUMSQ('TS-PILE'!$D$72:$D$91))),IF('TS-PILE'!$B$86="",-1E+99,'TO HOP NLAN'!D311/ncoc+IF(SUMSQ('TS-PILE'!$E$72:$E$91)=0,0,'TO HOP NLAN'!E311*'TS-PILE'!$E$86/SUMSQ('TS-PILE'!$E$72:$E$91))+IF(SUMSQ('TS-PILE'!$D$72:$D$91)=0,0,'TO HOP NLAN'!F311*'TS-PILE'!$D$86/SUMSQ('TS-PILE'!$D$72:$D$91))),IF('TS-PILE'!$B$87="",-1E+99,'TO HOP NLAN'!D311/ncoc+IF(SUMSQ('TS-PILE'!$E$72:$E$91)=0,0,'TO HOP NLAN'!E311*'TS-PILE'!$E$87/SUMSQ('TS-PILE'!$E$72:$E$91))+IF(SUMSQ('TS-PILE'!$D$72:$D$91)=0,0,'TO HOP NLAN'!F311*'TS-PILE'!$D$87/SUMSQ('TS-PILE'!$D$72:$D$91))),IF('TS-PILE'!$B$88="",-1E+99,'TO HOP NLAN'!D311/ncoc+IF(SUMSQ('TS-PILE'!$E$72:$E$91)=0,0,'TO HOP NLAN'!E311*'TS-PILE'!$E$88/SUMSQ('TS-PILE'!$E$72:$E$91))+IF(SUMSQ('TS-PILE'!$D$72:$D$91)=0,0,'TO HOP NLAN'!F311*'TS-PILE'!$D$88/SUMSQ('TS-PILE'!$D$72:$D$91))),IF('TS-PILE'!$B$89="",-1E+99,'TO HOP NLAN'!D311/ncoc+IF(SUMSQ('TS-PILE'!$E$72:$E$91)=0,0,'TO HOP NLAN'!E311*'TS-PILE'!$E$89/SUMSQ('TS-PILE'!$E$72:$E$91))+IF(SUMSQ('TS-PILE'!$D$72:$D$91)=0,0,'TO HOP NLAN'!F311*'TS-PILE'!$D$89/SUMSQ('TS-PILE'!$D$72:$D$91))),IF('TS-PILE'!$B$90="",-1E+99,'TO HOP NLAN'!D311/ncoc+IF(SUMSQ('TS-PILE'!$E$72:$E$91)=0,0,'TO HOP NLAN'!E311*'TS-PILE'!$E$90/SUMSQ('TS-PILE'!$E$72:$E$91))+IF(SUMSQ('TS-PILE'!$D$72:$D$91)=0,0,'TO HOP NLAN'!F311*'TS-PILE'!$D$90/SUMSQ('TS-PILE'!$D$72:$D$91))),IF('TS-PILE'!$B$91="",-1E+99,'TO HOP NLAN'!D311/ncoc+IF(SUMSQ('TS-PILE'!$E$72:$E$91)=0,0,'TO HOP NLAN'!E311*'TS-PILE'!$E$91/SUMSQ('TS-PILE'!$E$72:$E$91))+IF(SUMSQ('TS-PILE'!$D$72:$D$91)=0,0,'TO HOP NLAN'!F311*'TS-PILE'!$D$91/SUMSQ('TS-PILE'!$D$72:$D$91)))))</f>
        <v>0</v>
      </c>
      <c r="D311" s="58">
        <f>IF(A311="",0,MIN(IF('TS-PILE'!$B$72="",1E+99,'TO HOP NLAN'!D311/ncoc+IF(SUMSQ('TS-PILE'!$E$72:$E$91)=0,0,'TO HOP NLAN'!E311*'TS-PILE'!$E$72/SUMSQ('TS-PILE'!$E$72:$E$91))+IF(SUMSQ('TS-PILE'!$D$72:$D$91)=0,0,'TO HOP NLAN'!F311*'TS-PILE'!$D$72/SUMSQ('TS-PILE'!$D$72:$D$91))),IF('TS-PILE'!$B$73="",1E+99,'TO HOP NLAN'!D311/ncoc+IF(SUMSQ('TS-PILE'!$E$72:$E$91)=0,0,'TO HOP NLAN'!E311*'TS-PILE'!$E$73/SUMSQ('TS-PILE'!$E$72:$E$91))+IF(SUMSQ('TS-PILE'!$D$72:$D$91)=0,0,'TO HOP NLAN'!F311*'TS-PILE'!$D$73/SUMSQ('TS-PILE'!$D$72:$D$91))),IF('TS-PILE'!$B$74="",1E+99,'TO HOP NLAN'!D311/ncoc+IF(SUMSQ('TS-PILE'!$E$72:$E$91)=0,0,'TO HOP NLAN'!E311*'TS-PILE'!$E$74/SUMSQ('TS-PILE'!$E$72:$E$91))+IF(SUMSQ('TS-PILE'!$D$72:$D$91)=0,0,'TO HOP NLAN'!F311*'TS-PILE'!$D$74/SUMSQ('TS-PILE'!$D$72:$D$91))),IF('TS-PILE'!$B$75="",1E+99,'TO HOP NLAN'!D311/ncoc+IF(SUMSQ('TS-PILE'!$E$72:$E$91)=0,0,'TO HOP NLAN'!E311*'TS-PILE'!$E$75/SUMSQ('TS-PILE'!$E$72:$E$91))+IF(SUMSQ('TS-PILE'!$D$72:$D$91)=0,0,'TO HOP NLAN'!F311*'TS-PILE'!$D$75/SUMSQ('TS-PILE'!$D$72:$D$91))),IF('TS-PILE'!$B$76="",1E+99,'TO HOP NLAN'!D311/ncoc+IF(SUMSQ('TS-PILE'!$E$72:$E$91)=0,0,'TO HOP NLAN'!E311*'TS-PILE'!$E$76/SUMSQ('TS-PILE'!$E$72:$E$91))+IF(SUMSQ('TS-PILE'!$D$72:$D$91)=0,0,'TO HOP NLAN'!F311*'TS-PILE'!$D$76/SUMSQ('TS-PILE'!$D$72:$D$91))),IF('TS-PILE'!$B$77="",1E+99,'TO HOP NLAN'!D311/ncoc+IF(SUMSQ('TS-PILE'!$E$72:$E$91)=0,0,'TO HOP NLAN'!E311*'TS-PILE'!$E$77/SUMSQ('TS-PILE'!$E$72:$E$91))+IF(SUMSQ('TS-PILE'!$D$72:$D$91)=0,0,'TO HOP NLAN'!F311*'TS-PILE'!$D$77/SUMSQ('TS-PILE'!$D$72:$D$91))),IF('TS-PILE'!$B$78="",1E+99,'TO HOP NLAN'!D311/ncoc+IF(SUMSQ('TS-PILE'!$E$72:$E$91)=0,0,'TO HOP NLAN'!E311*'TS-PILE'!$E$78/SUMSQ('TS-PILE'!$E$72:$E$91))+IF(SUMSQ('TS-PILE'!$D$72:$D$91)=0,0,'TO HOP NLAN'!F311*'TS-PILE'!$D$78/SUMSQ('TS-PILE'!$D$72:$D$91))),IF('TS-PILE'!$B$79="",1E+99,'TO HOP NLAN'!D311/ncoc+IF(SUMSQ('TS-PILE'!$E$72:$E$91)=0,0,'TO HOP NLAN'!E311*'TS-PILE'!$E$79/SUMSQ('TS-PILE'!$E$72:$E$91))+IF(SUMSQ('TS-PILE'!$D$72:$D$91)=0,0,'TO HOP NLAN'!F311*'TS-PILE'!$D$79/SUMSQ('TS-PILE'!$D$72:$D$91))),IF('TS-PILE'!$B$80="",1E+99,'TO HOP NLAN'!D311/ncoc+IF(SUMSQ('TS-PILE'!$E$72:$E$91)=0,0,'TO HOP NLAN'!E311*'TS-PILE'!$E$80/SUMSQ('TS-PILE'!$E$72:$E$91))+IF(SUMSQ('TS-PILE'!$D$72:$D$91)=0,0,'TO HOP NLAN'!F311*'TS-PILE'!$D$80/SUMSQ('TS-PILE'!$D$72:$D$91))),IF('TS-PILE'!$B$81="",1E+99,'TO HOP NLAN'!D311/ncoc+IF(SUMSQ('TS-PILE'!$E$72:$E$91)=0,0,'TO HOP NLAN'!E311*'TS-PILE'!$E$81/SUMSQ('TS-PILE'!$E$72:$E$91))+IF(SUMSQ('TS-PILE'!$D$72:$D$91)=0,0,'TO HOP NLAN'!F311*'TS-PILE'!$D$81/SUMSQ('TS-PILE'!$D$72:$D$91))),IF('TS-PILE'!$B$82="",1E+99,'TO HOP NLAN'!D311/ncoc+IF(SUMSQ('TS-PILE'!$E$72:$E$91)=0,0,'TO HOP NLAN'!E311*'TS-PILE'!$E$82/SUMSQ('TS-PILE'!$E$72:$E$91))+IF(SUMSQ('TS-PILE'!$D$72:$D$91)=0,0,'TO HOP NLAN'!F311*'TS-PILE'!$D$82/SUMSQ('TS-PILE'!$D$72:$D$91))),IF('TS-PILE'!$B$83="",1E+99,'TO HOP NLAN'!D311/ncoc+IF(SUMSQ('TS-PILE'!$E$72:$E$91)=0,0,'TO HOP NLAN'!E311*'TS-PILE'!$E$83/SUMSQ('TS-PILE'!$E$72:$E$91))+IF(SUMSQ('TS-PILE'!$D$72:$D$91)=0,0,'TO HOP NLAN'!F311*'TS-PILE'!$D$83/SUMSQ('TS-PILE'!$D$72:$D$91))),IF('TS-PILE'!$B$84="",1E+99,'TO HOP NLAN'!D311/ncoc+IF(SUMSQ('TS-PILE'!$E$72:$E$91)=0,0,'TO HOP NLAN'!E311*'TS-PILE'!$E$84/SUMSQ('TS-PILE'!$E$72:$E$91))+IF(SUMSQ('TS-PILE'!$D$72:$D$91)=0,0,'TO HOP NLAN'!F311*'TS-PILE'!$D$84/SUMSQ('TS-PILE'!$D$72:$D$91))),IF('TS-PILE'!$B$85="",1E+99,'TO HOP NLAN'!D311/ncoc+IF(SUMSQ('TS-PILE'!$E$72:$E$91)=0,0,'TO HOP NLAN'!E311*'TS-PILE'!$E$85/SUMSQ('TS-PILE'!$E$72:$E$91))+IF(SUMSQ('TS-PILE'!$D$72:$D$91)=0,0,'TO HOP NLAN'!F311*'TS-PILE'!$D$85/SUMSQ('TS-PILE'!$D$72:$D$91))),IF('TS-PILE'!$B$86="",1E+99,'TO HOP NLAN'!D311/ncoc+IF(SUMSQ('TS-PILE'!$E$72:$E$91)=0,0,'TO HOP NLAN'!E311*'TS-PILE'!$E$86/SUMSQ('TS-PILE'!$E$72:$E$91))+IF(SUMSQ('TS-PILE'!$D$72:$D$91)=0,0,'TO HOP NLAN'!F311*'TS-PILE'!$D$86/SUMSQ('TS-PILE'!$D$72:$D$91))),IF('TS-PILE'!$B$87="",1E+99,'TO HOP NLAN'!D311/ncoc+IF(SUMSQ('TS-PILE'!$E$72:$E$91)=0,0,'TO HOP NLAN'!E311*'TS-PILE'!$E$87/SUMSQ('TS-PILE'!$E$72:$E$91))+IF(SUMSQ('TS-PILE'!$D$72:$D$91)=0,0,'TO HOP NLAN'!F311*'TS-PILE'!$D$87/SUMSQ('TS-PILE'!$D$72:$D$91))),IF('TS-PILE'!$B$88="",1E+99,'TO HOP NLAN'!D311/ncoc+IF(SUMSQ('TS-PILE'!$E$72:$E$91)=0,0,'TO HOP NLAN'!E311*'TS-PILE'!$E$88/SUMSQ('TS-PILE'!$E$72:$E$91))+IF(SUMSQ('TS-PILE'!$D$72:$D$91)=0,0,'TO HOP NLAN'!F311*'TS-PILE'!$D$88/SUMSQ('TS-PILE'!$D$72:$D$91))),IF('TS-PILE'!$B$89="",1E+99,'TO HOP NLAN'!D311/ncoc+IF(SUMSQ('TS-PILE'!$E$72:$E$91)=0,0,'TO HOP NLAN'!E311*'TS-PILE'!$E$89/SUMSQ('TS-PILE'!$E$72:$E$91))+IF(SUMSQ('TS-PILE'!$D$72:$D$91)=0,0,'TO HOP NLAN'!F311*'TS-PILE'!$D$89/SUMSQ('TS-PILE'!$D$72:$D$91))),IF('TS-PILE'!$B$90="",1E+99,'TO HOP NLAN'!D311/ncoc+IF(SUMSQ('TS-PILE'!$E$72:$E$91)=0,0,'TO HOP NLAN'!E311*'TS-PILE'!$E$90/SUMSQ('TS-PILE'!$E$72:$E$91))+IF(SUMSQ('TS-PILE'!$D$72:$D$91)=0,0,'TO HOP NLAN'!F311*'TS-PILE'!$D$90/SUMSQ('TS-PILE'!$D$72:$D$91))),IF('TS-PILE'!$B$91="",1E+99,'TO HOP NLAN'!D311/ncoc+IF(SUMSQ('TS-PILE'!$E$72:$E$91)=0,0,'TO HOP NLAN'!E311*'TS-PILE'!$E$91/SUMSQ('TS-PILE'!$E$72:$E$91))+IF(SUMSQ('TS-PILE'!$D$72:$D$91)=0,0,'TO HOP NLAN'!F311*'TS-PILE'!$D$91/SUMSQ('TS-PILE'!$D$72:$D$91)))))</f>
        <v>0</v>
      </c>
      <c r="E311" s="58">
        <f t="shared" si="16"/>
        <v>-9.9999999999999997E+98</v>
      </c>
      <c r="F311" s="58">
        <f t="shared" si="17"/>
        <v>9.9999999999999997E+98</v>
      </c>
      <c r="G311" s="58">
        <f t="shared" si="18"/>
        <v>-9.9999999999999997E+98</v>
      </c>
      <c r="H311" s="58">
        <f t="shared" si="19"/>
        <v>9.9999999999999997E+98</v>
      </c>
    </row>
  </sheetData>
  <mergeCells count="3">
    <mergeCell ref="A1:H1"/>
    <mergeCell ref="A2:H2"/>
    <mergeCell ref="A4:H4"/>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L40"/>
  <sheetViews>
    <sheetView showGridLines="0" workbookViewId="0">
      <selection activeCell="B25" sqref="B25"/>
    </sheetView>
  </sheetViews>
  <sheetFormatPr defaultRowHeight="14.4" x14ac:dyDescent="0.3"/>
  <cols>
    <col min="1" max="1" width="12" customWidth="1"/>
    <col min="2" max="5" width="18" customWidth="1"/>
    <col min="6" max="7" width="24" customWidth="1"/>
    <col min="8" max="10" width="26" customWidth="1"/>
  </cols>
  <sheetData>
    <row r="1" spans="1:11" ht="28.05" customHeight="1" x14ac:dyDescent="0.3">
      <c r="A1" s="152" t="s">
        <v>1589</v>
      </c>
      <c r="B1" s="152"/>
      <c r="C1" s="152"/>
      <c r="D1" s="152"/>
      <c r="E1" s="152"/>
      <c r="F1" s="152"/>
      <c r="G1" s="152"/>
      <c r="H1" s="152"/>
      <c r="I1" s="152"/>
      <c r="J1" s="152"/>
    </row>
    <row r="2" spans="1:11" ht="34.049999999999997" customHeight="1" x14ac:dyDescent="0.3">
      <c r="A2" s="124" t="s">
        <v>1590</v>
      </c>
      <c r="B2" s="124"/>
      <c r="C2" s="124"/>
      <c r="D2" s="124"/>
      <c r="E2" s="124"/>
      <c r="F2" s="124"/>
      <c r="G2" s="124"/>
      <c r="H2" s="124"/>
      <c r="I2" s="124"/>
      <c r="J2" s="124"/>
    </row>
    <row r="3" spans="1:11" x14ac:dyDescent="0.3">
      <c r="A3" s="55" t="s">
        <v>1591</v>
      </c>
      <c r="B3" s="55" t="s">
        <v>1212</v>
      </c>
      <c r="C3" s="55" t="s">
        <v>1053</v>
      </c>
      <c r="D3" s="55" t="s">
        <v>1072</v>
      </c>
      <c r="E3" s="55"/>
      <c r="F3" s="55"/>
    </row>
    <row r="4" spans="1:11" ht="28.8" x14ac:dyDescent="0.3">
      <c r="A4" s="42" t="s">
        <v>1592</v>
      </c>
      <c r="B4" s="42">
        <f>2*(RDC1_+RDC2_+RDW1_+RDW2_)/(gcbt*(L1_+L2_))</f>
        <v>15.793117587349075</v>
      </c>
      <c r="C4" s="42" t="s">
        <v>120</v>
      </c>
      <c r="D4" s="42" t="s">
        <v>1593</v>
      </c>
      <c r="E4" s="42"/>
      <c r="F4" s="42"/>
    </row>
    <row r="5" spans="1:11" ht="43.2" x14ac:dyDescent="0.3">
      <c r="A5" s="42" t="s">
        <v>1594</v>
      </c>
      <c r="B5" s="42">
        <v>1000000000000</v>
      </c>
      <c r="C5" s="42" t="s">
        <v>189</v>
      </c>
      <c r="D5" s="42" t="s">
        <v>1595</v>
      </c>
      <c r="E5" s="42"/>
      <c r="F5" s="42"/>
    </row>
    <row r="6" spans="1:11" x14ac:dyDescent="0.3">
      <c r="A6" s="42" t="s">
        <v>1596</v>
      </c>
      <c r="B6" s="42">
        <f>COUNTIF(INPUT!B184:B192,"&lt;&gt;")</f>
        <v>5</v>
      </c>
      <c r="C6" s="42" t="s">
        <v>1597</v>
      </c>
      <c r="D6" s="42" t="s">
        <v>1598</v>
      </c>
      <c r="E6" s="42"/>
      <c r="F6" s="42"/>
    </row>
    <row r="8" spans="1:11" ht="22.05" customHeight="1" x14ac:dyDescent="0.3">
      <c r="A8" s="141" t="s">
        <v>1599</v>
      </c>
      <c r="B8" s="141"/>
      <c r="C8" s="141"/>
      <c r="D8" s="141"/>
      <c r="E8" s="141"/>
      <c r="F8" s="141"/>
      <c r="G8" s="141"/>
      <c r="H8" s="141"/>
      <c r="I8" s="141"/>
      <c r="J8" s="141"/>
      <c r="K8" s="141"/>
    </row>
    <row r="9" spans="1:11" ht="28.8" x14ac:dyDescent="0.3">
      <c r="A9" s="55" t="s">
        <v>1229</v>
      </c>
      <c r="B9" s="55" t="s">
        <v>1040</v>
      </c>
      <c r="C9" s="55" t="s">
        <v>285</v>
      </c>
      <c r="D9" s="55" t="s">
        <v>1600</v>
      </c>
      <c r="E9" s="55" t="s">
        <v>1601</v>
      </c>
      <c r="F9" s="55" t="s">
        <v>1602</v>
      </c>
      <c r="G9" s="55" t="s">
        <v>1603</v>
      </c>
      <c r="H9" s="55" t="s">
        <v>1604</v>
      </c>
      <c r="I9" s="55" t="s">
        <v>1605</v>
      </c>
      <c r="J9" s="55" t="s">
        <v>1606</v>
      </c>
      <c r="K9" s="55" t="s">
        <v>1607</v>
      </c>
    </row>
    <row r="10" spans="1:11" ht="43.2" x14ac:dyDescent="0.3">
      <c r="A10" s="42">
        <v>1</v>
      </c>
      <c r="B10" s="42" t="str">
        <f>IF(INPUT!B184="","",INPUT!B184)</f>
        <v>Mố A</v>
      </c>
      <c r="C10" s="42">
        <f>INPUT!H184</f>
        <v>0</v>
      </c>
      <c r="D10" s="42" t="str">
        <f>INPUT!F184</f>
        <v>—</v>
      </c>
      <c r="E10" s="42" t="str">
        <f>INPUT!G184</f>
        <v>SLIDE</v>
      </c>
      <c r="F10" s="42">
        <f>IF(B10="",0,IF(INPUT!I184&gt;0,INPUT!I184,$B$4))</f>
        <v>15.793117587349075</v>
      </c>
      <c r="G10" s="42">
        <f t="shared" ref="G10:G17" si="0">IF(OR(B10="",C11&lt;=C10),0,Ec_*1000*F10/(C11-C10))</f>
        <v>12960913.439814065</v>
      </c>
      <c r="H10" s="42">
        <f t="shared" ref="H10:H18" si="1">IF(B10="",0,IF(D10="FIXED",$B$5,IF(D10="ELASTIC",Kbrow,0))+IF(E10="FIXED",$B$5,IF(E10="ELASTIC",Kbrow,0)))</f>
        <v>0</v>
      </c>
      <c r="I10" s="42">
        <f>IF(B10="",0,IF(INPUT!J184&gt;0,INPUT!J184,Kthan*IF(LEFT(B10,2)="Mố",KsubAbutFactor,KsubPierFactor)))</f>
        <v>849249.73212405515</v>
      </c>
      <c r="J10" s="42">
        <f t="shared" ref="J10:J18" si="2">IF(OR(H10=0,I10=0),0,1/(1/H10+1/I10))</f>
        <v>0</v>
      </c>
      <c r="K10" s="42" t="str">
        <f>IF(B10="","",IF(INPUT!J184&gt;0,"Ksub nhập","Ksub AUTO xấp xỉ"))</f>
        <v>Ksub AUTO xấp xỉ</v>
      </c>
    </row>
    <row r="11" spans="1:11" ht="43.2" x14ac:dyDescent="0.3">
      <c r="A11" s="42">
        <v>2</v>
      </c>
      <c r="B11" s="42" t="str">
        <f>IF(INPUT!B185="","",INPUT!B185)</f>
        <v>Trụ T1</v>
      </c>
      <c r="C11" s="42">
        <f>INPUT!H185</f>
        <v>38.200000000000003</v>
      </c>
      <c r="D11" s="42" t="str">
        <f>INPUT!F185</f>
        <v>FIXED</v>
      </c>
      <c r="E11" s="42" t="str">
        <f>INPUT!G185</f>
        <v>SLIDE</v>
      </c>
      <c r="F11" s="42">
        <f>IF(B11="",0,IF(INPUT!I185&gt;0,INPUT!I185,$B$4))</f>
        <v>15.793117587349075</v>
      </c>
      <c r="G11" s="42">
        <f t="shared" si="0"/>
        <v>12960913.439814065</v>
      </c>
      <c r="H11" s="42">
        <f t="shared" si="1"/>
        <v>1000000000000</v>
      </c>
      <c r="I11" s="42">
        <f>IF(B11="",0,IF(INPUT!J185&gt;0,INPUT!J185,Kthan*IF(LEFT(B11,2)="Mố",KsubAbutFactor,KsubPierFactor)))</f>
        <v>169849.94642481103</v>
      </c>
      <c r="J11" s="42">
        <f t="shared" si="2"/>
        <v>169849.91757581162</v>
      </c>
      <c r="K11" s="42" t="str">
        <f>IF(B11="","",IF(INPUT!J185&gt;0,"Ksub nhập","Ksub AUTO xấp xỉ"))</f>
        <v>Ksub AUTO xấp xỉ</v>
      </c>
    </row>
    <row r="12" spans="1:11" ht="43.2" x14ac:dyDescent="0.3">
      <c r="A12" s="42">
        <v>3</v>
      </c>
      <c r="B12" s="42" t="str">
        <f>IF(INPUT!B186="","",INPUT!B186)</f>
        <v>Trụ T2</v>
      </c>
      <c r="C12" s="42">
        <f>INPUT!H186</f>
        <v>76.400000000000006</v>
      </c>
      <c r="D12" s="42" t="str">
        <f>INPUT!F186</f>
        <v>FIXED</v>
      </c>
      <c r="E12" s="42" t="str">
        <f>INPUT!G186</f>
        <v>FIXED</v>
      </c>
      <c r="F12" s="42">
        <f>IF(B12="",0,IF(INPUT!I186&gt;0,INPUT!I186,$B$4))</f>
        <v>15.793117587349075</v>
      </c>
      <c r="G12" s="42">
        <f t="shared" si="0"/>
        <v>12960913.439814065</v>
      </c>
      <c r="H12" s="42">
        <f t="shared" si="1"/>
        <v>2000000000000</v>
      </c>
      <c r="I12" s="42">
        <f>IF(B12="",0,IF(INPUT!J186&gt;0,INPUT!J186,Kthan*IF(LEFT(B12,2)="Mố",KsubAbutFactor,KsubPierFactor)))</f>
        <v>169849.94642481103</v>
      </c>
      <c r="J12" s="42">
        <f t="shared" si="2"/>
        <v>169849.9320003101</v>
      </c>
      <c r="K12" s="42" t="str">
        <f>IF(B12="","",IF(INPUT!J186&gt;0,"Ksub nhập","Ksub AUTO xấp xỉ"))</f>
        <v>Ksub AUTO xấp xỉ</v>
      </c>
    </row>
    <row r="13" spans="1:11" ht="43.2" x14ac:dyDescent="0.3">
      <c r="A13" s="42">
        <v>4</v>
      </c>
      <c r="B13" s="42" t="str">
        <f>IF(INPUT!B187="","",INPUT!B187)</f>
        <v>Trụ T3</v>
      </c>
      <c r="C13" s="42">
        <f>INPUT!H187</f>
        <v>114.60000000000001</v>
      </c>
      <c r="D13" s="42" t="str">
        <f>INPUT!F187</f>
        <v>SLIDE</v>
      </c>
      <c r="E13" s="42" t="str">
        <f>INPUT!G187</f>
        <v>FIXED</v>
      </c>
      <c r="F13" s="42">
        <f>IF(B13="",0,IF(INPUT!I187&gt;0,INPUT!I187,$B$4))</f>
        <v>15.793117587349075</v>
      </c>
      <c r="G13" s="42">
        <f t="shared" si="0"/>
        <v>12960913.439814065</v>
      </c>
      <c r="H13" s="42">
        <f t="shared" si="1"/>
        <v>1000000000000</v>
      </c>
      <c r="I13" s="42">
        <f>IF(B13="",0,IF(INPUT!J187&gt;0,INPUT!J187,Kthan*IF(LEFT(B13,2)="Mố",KsubAbutFactor,KsubPierFactor)))</f>
        <v>169849.94642481103</v>
      </c>
      <c r="J13" s="42">
        <f t="shared" si="2"/>
        <v>169849.91757581162</v>
      </c>
      <c r="K13" s="42" t="str">
        <f>IF(B13="","",IF(INPUT!J187&gt;0,"Ksub nhập","Ksub AUTO xấp xỉ"))</f>
        <v>Ksub AUTO xấp xỉ</v>
      </c>
    </row>
    <row r="14" spans="1:11" ht="43.2" x14ac:dyDescent="0.3">
      <c r="A14" s="42">
        <v>5</v>
      </c>
      <c r="B14" s="42" t="str">
        <f>IF(INPUT!B188="","",INPUT!B188)</f>
        <v>Mố B</v>
      </c>
      <c r="C14" s="42">
        <f>INPUT!H188</f>
        <v>152.80000000000001</v>
      </c>
      <c r="D14" s="42" t="str">
        <f>INPUT!F188</f>
        <v>SLIDE</v>
      </c>
      <c r="E14" s="42" t="str">
        <f>INPUT!G188</f>
        <v>—</v>
      </c>
      <c r="F14" s="42">
        <f>IF(B14="",0,IF(INPUT!I188&gt;0,INPUT!I188,$B$4))</f>
        <v>15.793117587349075</v>
      </c>
      <c r="G14" s="42">
        <f t="shared" si="0"/>
        <v>0</v>
      </c>
      <c r="H14" s="42">
        <f t="shared" si="1"/>
        <v>0</v>
      </c>
      <c r="I14" s="42">
        <f>IF(B14="",0,IF(INPUT!J188&gt;0,INPUT!J188,Kthan*IF(LEFT(B14,2)="Mố",KsubAbutFactor,KsubPierFactor)))</f>
        <v>849249.73212405515</v>
      </c>
      <c r="J14" s="42">
        <f t="shared" si="2"/>
        <v>0</v>
      </c>
      <c r="K14" s="42" t="str">
        <f>IF(B14="","",IF(INPUT!J188&gt;0,"Ksub nhập","Ksub AUTO xấp xỉ"))</f>
        <v>Ksub AUTO xấp xỉ</v>
      </c>
    </row>
    <row r="15" spans="1:11" x14ac:dyDescent="0.3">
      <c r="A15" s="42">
        <v>6</v>
      </c>
      <c r="B15" s="42" t="str">
        <f>IF(INPUT!B189="","",INPUT!B189)</f>
        <v/>
      </c>
      <c r="C15" s="42">
        <f>INPUT!H189</f>
        <v>152.80000000000001</v>
      </c>
      <c r="D15" s="42" t="str">
        <f>INPUT!F189</f>
        <v>—</v>
      </c>
      <c r="E15" s="42" t="str">
        <f>INPUT!G189</f>
        <v>—</v>
      </c>
      <c r="F15" s="42">
        <f>IF(B15="",0,IF(INPUT!I189&gt;0,INPUT!I189,$B$4))</f>
        <v>0</v>
      </c>
      <c r="G15" s="42">
        <f t="shared" si="0"/>
        <v>0</v>
      </c>
      <c r="H15" s="42">
        <f t="shared" si="1"/>
        <v>0</v>
      </c>
      <c r="I15" s="42">
        <f>IF(B15="",0,IF(INPUT!J189&gt;0,INPUT!J189,Kthan*IF(LEFT(B15,2)="Mố",KsubAbutFactor,KsubPierFactor)))</f>
        <v>0</v>
      </c>
      <c r="J15" s="42">
        <f t="shared" si="2"/>
        <v>0</v>
      </c>
      <c r="K15" s="42" t="str">
        <f>IF(B15="","",IF(INPUT!J189&gt;0,"Ksub nhập","Ksub AUTO xấp xỉ"))</f>
        <v/>
      </c>
    </row>
    <row r="16" spans="1:11" x14ac:dyDescent="0.3">
      <c r="A16" s="42">
        <v>7</v>
      </c>
      <c r="B16" s="42" t="str">
        <f>IF(INPUT!B190="","",INPUT!B190)</f>
        <v/>
      </c>
      <c r="C16" s="42">
        <f>INPUT!H190</f>
        <v>152.80000000000001</v>
      </c>
      <c r="D16" s="42" t="str">
        <f>INPUT!F190</f>
        <v>—</v>
      </c>
      <c r="E16" s="42" t="str">
        <f>INPUT!G190</f>
        <v>—</v>
      </c>
      <c r="F16" s="42">
        <f>IF(B16="",0,IF(INPUT!I190&gt;0,INPUT!I190,$B$4))</f>
        <v>0</v>
      </c>
      <c r="G16" s="42">
        <f t="shared" si="0"/>
        <v>0</v>
      </c>
      <c r="H16" s="42">
        <f t="shared" si="1"/>
        <v>0</v>
      </c>
      <c r="I16" s="42">
        <f>IF(B16="",0,IF(INPUT!J190&gt;0,INPUT!J190,Kthan*IF(LEFT(B16,2)="Mố",KsubAbutFactor,KsubPierFactor)))</f>
        <v>0</v>
      </c>
      <c r="J16" s="42">
        <f t="shared" si="2"/>
        <v>0</v>
      </c>
      <c r="K16" s="42" t="str">
        <f>IF(B16="","",IF(INPUT!J190&gt;0,"Ksub nhập","Ksub AUTO xấp xỉ"))</f>
        <v/>
      </c>
    </row>
    <row r="17" spans="1:38" x14ac:dyDescent="0.3">
      <c r="A17" s="42">
        <v>8</v>
      </c>
      <c r="B17" s="42" t="str">
        <f>IF(INPUT!B191="","",INPUT!B191)</f>
        <v/>
      </c>
      <c r="C17" s="42">
        <f>INPUT!H191</f>
        <v>152.80000000000001</v>
      </c>
      <c r="D17" s="42" t="str">
        <f>INPUT!F191</f>
        <v>—</v>
      </c>
      <c r="E17" s="42" t="str">
        <f>INPUT!G191</f>
        <v>—</v>
      </c>
      <c r="F17" s="42">
        <f>IF(B17="",0,IF(INPUT!I191&gt;0,INPUT!I191,$B$4))</f>
        <v>0</v>
      </c>
      <c r="G17" s="42">
        <f t="shared" si="0"/>
        <v>0</v>
      </c>
      <c r="H17" s="42">
        <f t="shared" si="1"/>
        <v>0</v>
      </c>
      <c r="I17" s="42">
        <f>IF(B17="",0,IF(INPUT!J191&gt;0,INPUT!J191,Kthan*IF(LEFT(B17,2)="Mố",KsubAbutFactor,KsubPierFactor)))</f>
        <v>0</v>
      </c>
      <c r="J17" s="42">
        <f t="shared" si="2"/>
        <v>0</v>
      </c>
      <c r="K17" s="42" t="str">
        <f>IF(B17="","",IF(INPUT!J191&gt;0,"Ksub nhập","Ksub AUTO xấp xỉ"))</f>
        <v/>
      </c>
    </row>
    <row r="18" spans="1:38" x14ac:dyDescent="0.3">
      <c r="A18" s="42">
        <v>9</v>
      </c>
      <c r="B18" s="42" t="str">
        <f>IF(INPUT!B192="","",INPUT!B192)</f>
        <v/>
      </c>
      <c r="C18" s="42">
        <f>INPUT!H192</f>
        <v>152.80000000000001</v>
      </c>
      <c r="D18" s="42" t="str">
        <f>INPUT!F192</f>
        <v>—</v>
      </c>
      <c r="E18" s="42" t="str">
        <f>INPUT!G192</f>
        <v>—</v>
      </c>
      <c r="F18" s="42">
        <f>IF(B18="",0,IF(INPUT!I192&gt;0,INPUT!I192,$B$4))</f>
        <v>0</v>
      </c>
      <c r="G18" s="42">
        <v>0</v>
      </c>
      <c r="H18" s="42">
        <f t="shared" si="1"/>
        <v>0</v>
      </c>
      <c r="I18" s="42">
        <f>IF(B18="",0,IF(INPUT!J192&gt;0,INPUT!J192,Kthan*IF(LEFT(B18,2)="Mố",KsubAbutFactor,KsubPierFactor)))</f>
        <v>0</v>
      </c>
      <c r="J18" s="42">
        <f t="shared" si="2"/>
        <v>0</v>
      </c>
      <c r="K18" s="42" t="str">
        <f>IF(B18="","",IF(INPUT!J192&gt;0,"Ksub nhập","Ksub AUTO xấp xỉ"))</f>
        <v/>
      </c>
    </row>
    <row r="20" spans="1:38" ht="15" customHeight="1" x14ac:dyDescent="0.3">
      <c r="A20" s="141" t="s">
        <v>1608</v>
      </c>
      <c r="B20" s="154"/>
      <c r="C20" s="154"/>
      <c r="D20" s="154"/>
      <c r="E20" s="154"/>
      <c r="F20" s="154"/>
      <c r="G20" s="154"/>
      <c r="H20" s="154"/>
      <c r="I20" s="154"/>
      <c r="J20" s="154"/>
      <c r="K20" s="55"/>
      <c r="L20" s="55" t="s">
        <v>1055</v>
      </c>
      <c r="M20" s="55" t="s">
        <v>1057</v>
      </c>
      <c r="N20" s="55" t="s">
        <v>1058</v>
      </c>
      <c r="O20" s="55" t="s">
        <v>1060</v>
      </c>
      <c r="P20" s="55"/>
      <c r="Q20" s="55" t="s">
        <v>1609</v>
      </c>
      <c r="R20" s="55" t="s">
        <v>1610</v>
      </c>
      <c r="S20" s="55" t="s">
        <v>1611</v>
      </c>
      <c r="T20" s="55" t="s">
        <v>1612</v>
      </c>
      <c r="U20" s="55" t="s">
        <v>1613</v>
      </c>
      <c r="V20" s="55" t="s">
        <v>1614</v>
      </c>
      <c r="W20" s="55" t="s">
        <v>1615</v>
      </c>
      <c r="X20" s="55" t="s">
        <v>1616</v>
      </c>
      <c r="Y20" s="55"/>
      <c r="Z20" s="55" t="s">
        <v>1617</v>
      </c>
      <c r="AA20" s="55" t="s">
        <v>1618</v>
      </c>
      <c r="AB20" s="55" t="s">
        <v>1619</v>
      </c>
      <c r="AC20" s="55" t="s">
        <v>1620</v>
      </c>
      <c r="AD20" s="55"/>
      <c r="AE20" s="55" t="s">
        <v>1621</v>
      </c>
      <c r="AF20" s="55" t="s">
        <v>1622</v>
      </c>
      <c r="AG20" s="55" t="s">
        <v>1623</v>
      </c>
      <c r="AH20" s="55" t="s">
        <v>1624</v>
      </c>
      <c r="AI20" s="55" t="s">
        <v>1625</v>
      </c>
      <c r="AJ20" s="55" t="s">
        <v>1626</v>
      </c>
      <c r="AK20" s="55" t="s">
        <v>1627</v>
      </c>
      <c r="AL20" s="55" t="s">
        <v>1628</v>
      </c>
    </row>
    <row r="21" spans="1:38" ht="15" customHeight="1" x14ac:dyDescent="0.3">
      <c r="B21" s="58">
        <f>IF(1&gt;$B$6,1,0+$G$10+$J$10)</f>
        <v>12960913.439814065</v>
      </c>
      <c r="C21" s="58">
        <f>IF(1&gt;$B$6,0,-$G$10)</f>
        <v>-12960913.439814065</v>
      </c>
      <c r="D21" s="58">
        <v>0</v>
      </c>
      <c r="E21" s="58">
        <v>0</v>
      </c>
      <c r="F21" s="58">
        <v>0</v>
      </c>
      <c r="G21" s="58">
        <v>0</v>
      </c>
      <c r="H21" s="58">
        <v>0</v>
      </c>
      <c r="I21" s="58">
        <v>0</v>
      </c>
      <c r="J21" s="58">
        <v>0</v>
      </c>
      <c r="K21" s="58"/>
      <c r="L21" s="58">
        <f>IF(1&gt;$B$6,0,0*0*'HE GOI'!$F$159-$G$10*($C$11-$C$10)*'HE GOI'!$F$159)</f>
        <v>-117637.3978720532</v>
      </c>
      <c r="M21" s="58">
        <f>IF(1&gt;$B$6,0,0*0*-'HE GOI'!$F$160-$G$10*($C$11-$C$10)*-'HE GOI'!$F$160)</f>
        <v>106943.08897459382</v>
      </c>
      <c r="N21" s="58">
        <f>IF(1&gt;$B$6,0,0*0*-INPUT!$F$167*0.000001-$G$10*($C$11-$C$10)*-INPUT!$F$167*0.000001)</f>
        <v>39608.551472071784</v>
      </c>
      <c r="O21" s="58">
        <f>IF(1&gt;$B$6,0,0*0*-INPUT!$F$166*0.000001-$G$10*($C$11-$C$10)*-INPUT!$F$166*0.000001)</f>
        <v>24755.344670044862</v>
      </c>
      <c r="P21" s="58"/>
      <c r="Q21" s="58">
        <f>IFERROR(C21/B21,0)</f>
        <v>-1</v>
      </c>
      <c r="R21" s="58">
        <f>IFERROR(L21/B21,0)</f>
        <v>-9.0763200000000006E-3</v>
      </c>
      <c r="S21" s="58">
        <f>IFERROR(C21/B21,0)</f>
        <v>-1</v>
      </c>
      <c r="T21" s="58">
        <f>IFERROR(M21/B21,0)</f>
        <v>8.2512000000000002E-3</v>
      </c>
      <c r="U21" s="58">
        <f>IFERROR(C21/B21,0)</f>
        <v>-1</v>
      </c>
      <c r="V21" s="58">
        <f>IFERROR(N21/B21,0)</f>
        <v>3.0560000000000001E-3</v>
      </c>
      <c r="W21" s="58">
        <f>IFERROR(C21/B21,0)</f>
        <v>-1</v>
      </c>
      <c r="X21" s="58">
        <f>IFERROR(O21/B21,0)</f>
        <v>1.9099999999999998E-3</v>
      </c>
      <c r="Y21" s="58"/>
      <c r="Z21" s="58">
        <f t="shared" ref="Z21:Z28" si="3">R21-Q21*Z22</f>
        <v>-1.8035235385970173E-2</v>
      </c>
      <c r="AA21" s="58">
        <f t="shared" ref="AA21:AA28" si="4">T21-S21*AA22</f>
        <v>1.6395668532700171E-2</v>
      </c>
      <c r="AB21" s="58">
        <f t="shared" ref="AB21:AB28" si="5">V21-U21*AB22</f>
        <v>6.0724698269259657E-3</v>
      </c>
      <c r="AC21" s="58">
        <f t="shared" ref="AC21:AC28" si="6">X21-W21*AC22</f>
        <v>3.7952936418287407E-3</v>
      </c>
      <c r="AD21" s="58"/>
      <c r="AE21" s="58">
        <f>IF(A10&gt;$B$6,"",$J$10*Z21)</f>
        <v>0</v>
      </c>
      <c r="AF21" s="58">
        <f>IF(A10&gt;$B$6,"",$J$10*AA21)</f>
        <v>0</v>
      </c>
      <c r="AG21" s="58">
        <f>IF(A10&gt;$B$6,"",$J$10*AB21)</f>
        <v>0</v>
      </c>
      <c r="AH21" s="58">
        <f>IF(A10&gt;$B$6,"",$J$10*AC21)</f>
        <v>0</v>
      </c>
      <c r="AI21" s="58">
        <f>$G$10*(Z22-Z21-('HE GOI'!$F$159)*($C$11-$C$10))</f>
        <v>0</v>
      </c>
      <c r="AJ21" s="58">
        <f>$G$10*(AA22-AA21-(-'HE GOI'!$F$160)*($C$11-$C$10))</f>
        <v>-2.248360081414877E-11</v>
      </c>
      <c r="AK21" s="58">
        <f>$G$10*(AB22-AB21-(-INPUT!$F$167*0.000001)*($C$11-$C$10))</f>
        <v>5.6209002035371924E-12</v>
      </c>
      <c r="AL21" s="58">
        <f>$G$10*(AC22-AC21-(-INPUT!$F$166*0.000001)*($C$11-$C$10))</f>
        <v>2.8104501017685962E-12</v>
      </c>
    </row>
    <row r="22" spans="1:38" ht="15" customHeight="1" x14ac:dyDescent="0.3">
      <c r="B22" s="58">
        <f>IF(2&gt;$B$6,0,-$G$10)</f>
        <v>-12960913.439814065</v>
      </c>
      <c r="C22" s="58">
        <f>IF(2&gt;$B$6,1,$G$10+$G$11+$J$11)</f>
        <v>26091676.797203939</v>
      </c>
      <c r="D22" s="58">
        <f>IF(2&gt;$B$6,0,-$G$11)</f>
        <v>-12960913.439814065</v>
      </c>
      <c r="E22" s="58">
        <v>0</v>
      </c>
      <c r="F22" s="58">
        <v>0</v>
      </c>
      <c r="G22" s="58">
        <v>0</v>
      </c>
      <c r="H22" s="58">
        <v>0</v>
      </c>
      <c r="I22" s="58">
        <v>0</v>
      </c>
      <c r="J22" s="58">
        <v>0</v>
      </c>
      <c r="K22" s="58"/>
      <c r="L22" s="58">
        <f>IF(2&gt;$B$6,0,$G$10*($C$11-$C$10)*'HE GOI'!$F$159-$G$11*($C$12-$C$11)*'HE GOI'!$F$159)</f>
        <v>0</v>
      </c>
      <c r="M22" s="58">
        <f>IF(2&gt;$B$6,0,$G$10*($C$11-$C$10)*-'HE GOI'!$F$160-$G$11*($C$12-$C$11)*-'HE GOI'!$F$160)</f>
        <v>0</v>
      </c>
      <c r="N22" s="58">
        <f>IF(2&gt;$B$6,0,$G$10*($C$11-$C$10)*-INPUT!$F$167*0.000001-$G$11*($C$12-$C$11)*-INPUT!$F$167*0.000001)</f>
        <v>0</v>
      </c>
      <c r="O22" s="58">
        <f>IF(2&gt;$B$6,0,$G$10*($C$11-$C$10)*-INPUT!$F$166*0.000001-$G$11*($C$12-$C$11)*-INPUT!$F$166*0.000001)</f>
        <v>0</v>
      </c>
      <c r="P22" s="58"/>
      <c r="Q22" s="58">
        <f>IFERROR(D22/(C22-B22*Q21),0)</f>
        <v>-0.98706473394174599</v>
      </c>
      <c r="R22" s="58">
        <f>IFERROR((L22-B22*R21)/(C22-B22*Q21),0)</f>
        <v>-8.9589153859701495E-3</v>
      </c>
      <c r="S22" s="58">
        <f>IFERROR(D22/(C22-B22*S21),0)</f>
        <v>-0.98706473394174599</v>
      </c>
      <c r="T22" s="58">
        <f>IFERROR((M22-B22*T21)/(C22-B22*S21),0)</f>
        <v>8.1444685327001359E-3</v>
      </c>
      <c r="U22" s="58">
        <f>IFERROR(D22/(C22-B22*U21),0)</f>
        <v>-0.98706473394174599</v>
      </c>
      <c r="V22" s="58">
        <f>IFERROR((N22-B22*V21)/(C22-B22*U21),0)</f>
        <v>3.016469826925976E-3</v>
      </c>
      <c r="W22" s="58">
        <f>IFERROR(D22/(C22-B22*W21),0)</f>
        <v>-0.98706473394174599</v>
      </c>
      <c r="X22" s="58">
        <f>IFERROR((O22-B22*X21)/(C22-B22*W21),0)</f>
        <v>1.8852936418287348E-3</v>
      </c>
      <c r="Y22" s="58"/>
      <c r="Z22" s="58">
        <f t="shared" si="3"/>
        <v>-8.9589153859701721E-3</v>
      </c>
      <c r="AA22" s="58">
        <f t="shared" si="4"/>
        <v>8.1444685327001689E-3</v>
      </c>
      <c r="AB22" s="58">
        <f t="shared" si="5"/>
        <v>3.016469826925966E-3</v>
      </c>
      <c r="AC22" s="58">
        <f t="shared" si="6"/>
        <v>1.8852936418287409E-3</v>
      </c>
      <c r="AD22" s="58"/>
      <c r="AE22" s="58">
        <f>IF(A11&gt;$B$6,"",$J$11*Z22)</f>
        <v>-1521.6710398757043</v>
      </c>
      <c r="AF22" s="58">
        <f>IF(A11&gt;$B$6,"",$J$11*AA22)</f>
        <v>1383.337308977915</v>
      </c>
      <c r="AG22" s="58">
        <f>IF(A11&gt;$B$6,"",$J$11*AB22)</f>
        <v>512.34715147329803</v>
      </c>
      <c r="AH22" s="58">
        <f>IF(A11&gt;$B$6,"",$J$11*AC22)</f>
        <v>320.21696967081334</v>
      </c>
      <c r="AI22" s="58">
        <f>$G$11*(Z23-Z22-('HE GOI'!$F$159)*($C$12-$C$11))</f>
        <v>-1521.6710398756793</v>
      </c>
      <c r="AJ22" s="58">
        <f>$G$11*(AA23-AA22-(-'HE GOI'!$F$160)*($C$12-$C$11))</f>
        <v>1383.3373089778861</v>
      </c>
      <c r="AK22" s="58">
        <f>$G$11*(AB23-AB22-(-INPUT!$F$167*0.000001)*($C$12-$C$11))</f>
        <v>512.34715147329575</v>
      </c>
      <c r="AL22" s="58">
        <f>$G$11*(AC23-AC22-(-INPUT!$F$166*0.000001)*($C$12-$C$11))</f>
        <v>320.21696967081124</v>
      </c>
    </row>
    <row r="23" spans="1:38" ht="15" customHeight="1" x14ac:dyDescent="0.3">
      <c r="B23" s="58">
        <v>0</v>
      </c>
      <c r="C23" s="58">
        <f>IF(3&gt;$B$6,0,-$G$11)</f>
        <v>-12960913.439814065</v>
      </c>
      <c r="D23" s="58">
        <f>IF(3&gt;$B$6,1,$G$11+$G$12+$J$12)</f>
        <v>26091676.811628439</v>
      </c>
      <c r="E23" s="58">
        <f>IF(3&gt;$B$6,0,-$G$12)</f>
        <v>-12960913.439814065</v>
      </c>
      <c r="F23" s="58">
        <v>0</v>
      </c>
      <c r="G23" s="58">
        <v>0</v>
      </c>
      <c r="H23" s="58">
        <v>0</v>
      </c>
      <c r="I23" s="58">
        <v>0</v>
      </c>
      <c r="J23" s="58">
        <v>0</v>
      </c>
      <c r="K23" s="58"/>
      <c r="L23" s="58">
        <f>IF(3&gt;$B$6,0,$G$11*($C$12-$C$11)*'HE GOI'!$F$159-$G$12*($C$13-$C$12)*'HE GOI'!$F$159)</f>
        <v>0</v>
      </c>
      <c r="M23" s="58">
        <f>IF(3&gt;$B$6,0,$G$11*($C$12-$C$11)*-'HE GOI'!$F$160-$G$12*($C$13-$C$12)*-'HE GOI'!$F$160)</f>
        <v>0</v>
      </c>
      <c r="N23" s="58">
        <f>IF(3&gt;$B$6,0,$G$11*($C$12-$C$11)*-INPUT!$F$167*0.000001-$G$12*($C$13-$C$12)*-INPUT!$F$167*0.000001)</f>
        <v>0</v>
      </c>
      <c r="O23" s="58">
        <f>IF(3&gt;$B$6,0,$G$11*($C$12-$C$11)*-INPUT!$F$166*0.000001-$G$12*($C$13-$C$12)*-INPUT!$F$166*0.000001)</f>
        <v>0</v>
      </c>
      <c r="P23" s="58"/>
      <c r="Q23" s="58">
        <f>IFERROR(E23/(D23-C23*Q22),0)</f>
        <v>-0.97462082779444603</v>
      </c>
      <c r="R23" s="58">
        <f>IFERROR((L23-C23*R22)/(D23-C23*Q22),0)</f>
        <v>-8.7315455296146267E-3</v>
      </c>
      <c r="S23" s="58">
        <f>IFERROR(E23/(D23-C23*S22),0)</f>
        <v>-0.97462082779444603</v>
      </c>
      <c r="T23" s="58">
        <f>IFERROR((M23-C23*T22)/(D23-C23*S22),0)</f>
        <v>7.9377686632860246E-3</v>
      </c>
      <c r="U23" s="58">
        <f>IFERROR(E23/(D23-C23*U22),0)</f>
        <v>-0.97462082779444603</v>
      </c>
      <c r="V23" s="58">
        <f>IFERROR((N23-C23*V22)/(D23-C23*U22),0)</f>
        <v>2.939914319735564E-3</v>
      </c>
      <c r="W23" s="58">
        <f>IFERROR(E23/(D23-C23*W22),0)</f>
        <v>-0.97462082779444603</v>
      </c>
      <c r="X23" s="58">
        <f>IFERROR((O23-C23*X22)/(D23-C23*W22),0)</f>
        <v>1.8374464498347276E-3</v>
      </c>
      <c r="Y23" s="58"/>
      <c r="Z23" s="58">
        <f t="shared" si="3"/>
        <v>-2.2551405187698492E-17</v>
      </c>
      <c r="AA23" s="58">
        <f t="shared" si="4"/>
        <v>3.2959746043559335E-17</v>
      </c>
      <c r="AB23" s="58">
        <f t="shared" si="5"/>
        <v>-9.9746599868666408E-18</v>
      </c>
      <c r="AC23" s="58">
        <f t="shared" si="6"/>
        <v>6.0715321659188248E-18</v>
      </c>
      <c r="AD23" s="58"/>
      <c r="AE23" s="58">
        <f>IF(A12&gt;$B$6,"",$J$12*Z23)</f>
        <v>-3.8303546376420291E-12</v>
      </c>
      <c r="AF23" s="58">
        <f>IF(A12&gt;$B$6,"",$J$12*AA23)</f>
        <v>5.5982106242460432E-12</v>
      </c>
      <c r="AG23" s="58">
        <f>IF(A12&gt;$B$6,"",$J$12*AB23)</f>
        <v>-1.694195320495513E-12</v>
      </c>
      <c r="AH23" s="58">
        <f>IF(A12&gt;$B$6,"",$J$12*AC23)</f>
        <v>1.0312493255190079E-12</v>
      </c>
      <c r="AI23" s="58">
        <f>$G$12*(Z24-Z23-('HE GOI'!$F$159)*($C$13-$C$12))</f>
        <v>-1521.6710398756793</v>
      </c>
      <c r="AJ23" s="58">
        <f>$G$12*(AA24-AA23-(-'HE GOI'!$F$160)*($C$13-$C$12))</f>
        <v>1383.3373089778861</v>
      </c>
      <c r="AK23" s="58">
        <f>$G$12*(AB24-AB23-(-INPUT!$F$167*0.000001)*($C$13-$C$12))</f>
        <v>512.34715147329018</v>
      </c>
      <c r="AL23" s="58">
        <f>$G$12*(AC24-AC23-(-INPUT!$F$166*0.000001)*($C$13-$C$12))</f>
        <v>320.21696967081124</v>
      </c>
    </row>
    <row r="24" spans="1:38" ht="15" customHeight="1" x14ac:dyDescent="0.3">
      <c r="B24" s="58">
        <v>0</v>
      </c>
      <c r="C24" s="58">
        <v>0</v>
      </c>
      <c r="D24" s="58">
        <f>IF(4&gt;$B$6,0,-$G$12)</f>
        <v>-12960913.439814065</v>
      </c>
      <c r="E24" s="58">
        <f>IF(4&gt;$B$6,1,$G$12+$G$13+$J$13)</f>
        <v>26091676.797203939</v>
      </c>
      <c r="F24" s="58">
        <f>IF(4&gt;$B$6,0,-$G$13)</f>
        <v>-12960913.439814065</v>
      </c>
      <c r="G24" s="58">
        <v>0</v>
      </c>
      <c r="H24" s="58">
        <v>0</v>
      </c>
      <c r="I24" s="58">
        <v>0</v>
      </c>
      <c r="J24" s="58">
        <v>0</v>
      </c>
      <c r="K24" s="58"/>
      <c r="L24" s="58">
        <f>IF(4&gt;$B$6,0,$G$12*($C$13-$C$12)*'HE GOI'!$F$159-$G$13*($C$14-$C$13)*'HE GOI'!$F$159)</f>
        <v>0</v>
      </c>
      <c r="M24" s="58">
        <f>IF(4&gt;$B$6,0,$G$12*($C$13-$C$12)*-'HE GOI'!$F$160-$G$13*($C$14-$C$13)*-'HE GOI'!$F$160)</f>
        <v>0</v>
      </c>
      <c r="N24" s="58">
        <f>IF(4&gt;$B$6,0,$G$12*($C$13-$C$12)*-INPUT!$F$167*0.000001-$G$13*($C$14-$C$13)*-INPUT!$F$167*0.000001)</f>
        <v>0</v>
      </c>
      <c r="O24" s="58">
        <f>IF(4&gt;$B$6,0,$G$12*($C$13-$C$12)*-INPUT!$F$166*0.000001-$G$13*($C$14-$C$13)*-INPUT!$F$166*0.000001)</f>
        <v>0</v>
      </c>
      <c r="P24" s="58"/>
      <c r="Q24" s="58">
        <f>IFERROR(F24/(E24-D24*Q23),0)</f>
        <v>-0.96294217931718207</v>
      </c>
      <c r="R24" s="58">
        <f>IFERROR((L24-D24*R23)/(E24-D24*Q23),0)</f>
        <v>-8.4079734810943076E-3</v>
      </c>
      <c r="S24" s="58">
        <f>IFERROR(F24/(E24-D24*S23),0)</f>
        <v>-0.96294217931718207</v>
      </c>
      <c r="T24" s="58">
        <f>IFERROR((M24-D24*T23)/(E24-D24*S23),0)</f>
        <v>7.6436122555402792E-3</v>
      </c>
      <c r="U24" s="58">
        <f>IFERROR(F24/(E24-D24*U23),0)</f>
        <v>-0.96294217931718207</v>
      </c>
      <c r="V24" s="58">
        <f>IFERROR((N24-D24*V23)/(E24-D24*U23),0)</f>
        <v>2.8309675020519545E-3</v>
      </c>
      <c r="W24" s="58">
        <f>IFERROR(F24/(E24-D24*W23),0)</f>
        <v>-0.96294217931718207</v>
      </c>
      <c r="X24" s="58">
        <f>IFERROR((O24-D24*X23)/(E24-D24*W23),0)</f>
        <v>1.7693546887824719E-3</v>
      </c>
      <c r="Y24" s="58"/>
      <c r="Z24" s="58">
        <f t="shared" si="3"/>
        <v>8.958915385970127E-3</v>
      </c>
      <c r="AA24" s="58">
        <f t="shared" si="4"/>
        <v>-8.144468532700103E-3</v>
      </c>
      <c r="AB24" s="58">
        <f t="shared" si="5"/>
        <v>-3.0164698269259864E-3</v>
      </c>
      <c r="AC24" s="58">
        <f t="shared" si="6"/>
        <v>-1.8852936418287287E-3</v>
      </c>
      <c r="AD24" s="58"/>
      <c r="AE24" s="58">
        <f>IF(A13&gt;$B$6,"",$J$13*Z24)</f>
        <v>1521.6710398756966</v>
      </c>
      <c r="AF24" s="58">
        <f>IF(A13&gt;$B$6,"",$J$13*AA24)</f>
        <v>-1383.3373089779038</v>
      </c>
      <c r="AG24" s="58">
        <f>IF(A13&gt;$B$6,"",$J$13*AB24)</f>
        <v>-512.34715147330155</v>
      </c>
      <c r="AH24" s="58">
        <f>IF(A13&gt;$B$6,"",$J$13*AC24)</f>
        <v>-320.2169696708113</v>
      </c>
      <c r="AI24" s="58">
        <f>$G$13*(Z25-Z24-('HE GOI'!$F$159)*($C$14-$C$13))</f>
        <v>0</v>
      </c>
      <c r="AJ24" s="58">
        <f>$G$13*(AA25-AA24-(-'HE GOI'!$F$160)*($C$14-$C$13))</f>
        <v>2.248360081414877E-11</v>
      </c>
      <c r="AK24" s="58">
        <f>$G$13*(AB25-AB24-(-INPUT!$F$167*0.000001)*($C$14-$C$13))</f>
        <v>0</v>
      </c>
      <c r="AL24" s="58">
        <f>$G$13*(AC25-AC24-(-INPUT!$F$166*0.000001)*($C$14-$C$13))</f>
        <v>2.8104501017685962E-12</v>
      </c>
    </row>
    <row r="25" spans="1:38" ht="15" customHeight="1" x14ac:dyDescent="0.3">
      <c r="B25" s="58">
        <v>0</v>
      </c>
      <c r="C25" s="58">
        <v>0</v>
      </c>
      <c r="D25" s="58">
        <v>0</v>
      </c>
      <c r="E25" s="58">
        <f>IF(5&gt;$B$6,0,-$G$13)</f>
        <v>-12960913.439814065</v>
      </c>
      <c r="F25" s="58">
        <f>IF(5&gt;$B$6,1,$G$13+$G$14+$J$14)</f>
        <v>12960913.439814065</v>
      </c>
      <c r="G25" s="58">
        <f>IF(5&gt;$B$6,0,-$G$14)</f>
        <v>0</v>
      </c>
      <c r="H25" s="58">
        <v>0</v>
      </c>
      <c r="I25" s="58">
        <v>0</v>
      </c>
      <c r="J25" s="58">
        <v>0</v>
      </c>
      <c r="K25" s="58"/>
      <c r="L25" s="58">
        <f>IF(5&gt;$B$6,0,$G$13*($C$14-$C$13)*'HE GOI'!$F$159-$G$14*($C$15-$C$14)*'HE GOI'!$F$159)</f>
        <v>117637.3978720532</v>
      </c>
      <c r="M25" s="58">
        <f>IF(5&gt;$B$6,0,$G$13*($C$14-$C$13)*-'HE GOI'!$F$160-$G$14*($C$15-$C$14)*-'HE GOI'!$F$160)</f>
        <v>-106943.08897459382</v>
      </c>
      <c r="N25" s="58">
        <f>IF(5&gt;$B$6,0,$G$13*($C$14-$C$13)*-INPUT!$F$167*0.000001-$G$14*($C$15-$C$14)*-INPUT!$F$167*0.000001)</f>
        <v>-39608.551472071784</v>
      </c>
      <c r="O25" s="58">
        <f>IF(5&gt;$B$6,0,$G$13*($C$14-$C$13)*-INPUT!$F$166*0.000001-$G$14*($C$15-$C$14)*-INPUT!$F$166*0.000001)</f>
        <v>-24755.344670044862</v>
      </c>
      <c r="P25" s="58"/>
      <c r="Q25" s="58">
        <f>IFERROR(G25/(F25-E25*Q24),0)</f>
        <v>0</v>
      </c>
      <c r="R25" s="58">
        <f>IFERROR((L25-E25*R24)/(F25-E25*Q24),0)</f>
        <v>1.8035235385970128E-2</v>
      </c>
      <c r="S25" s="58">
        <f>IFERROR(G25/(F25-E25*S24),0)</f>
        <v>0</v>
      </c>
      <c r="T25" s="58">
        <f>IFERROR((M25-E25*T24)/(F25-E25*S24),0)</f>
        <v>-1.6395668532700101E-2</v>
      </c>
      <c r="U25" s="58">
        <f>IFERROR(G25/(F25-E25*U24),0)</f>
        <v>0</v>
      </c>
      <c r="V25" s="58">
        <f>IFERROR((N25-E25*V24)/(F25-E25*U24),0)</f>
        <v>-6.0724698269259865E-3</v>
      </c>
      <c r="W25" s="58">
        <f>IFERROR(G25/(F25-E25*W24),0)</f>
        <v>0</v>
      </c>
      <c r="X25" s="58">
        <f>IFERROR((O25-E25*X24)/(F25-E25*W24),0)</f>
        <v>-3.7952936418287286E-3</v>
      </c>
      <c r="Y25" s="58"/>
      <c r="Z25" s="58">
        <f t="shared" si="3"/>
        <v>1.8035235385970128E-2</v>
      </c>
      <c r="AA25" s="58">
        <f t="shared" si="4"/>
        <v>-1.6395668532700101E-2</v>
      </c>
      <c r="AB25" s="58">
        <f t="shared" si="5"/>
        <v>-6.0724698269259865E-3</v>
      </c>
      <c r="AC25" s="58">
        <f t="shared" si="6"/>
        <v>-3.7952936418287286E-3</v>
      </c>
      <c r="AD25" s="58"/>
      <c r="AE25" s="58">
        <f>IF(A14&gt;$B$6,"",$J$14*Z25)</f>
        <v>0</v>
      </c>
      <c r="AF25" s="58">
        <f>IF(A14&gt;$B$6,"",$J$14*AA25)</f>
        <v>0</v>
      </c>
      <c r="AG25" s="58">
        <f>IF(A14&gt;$B$6,"",$J$14*AB25)</f>
        <v>0</v>
      </c>
      <c r="AH25" s="58">
        <f>IF(A14&gt;$B$6,"",$J$14*AC25)</f>
        <v>0</v>
      </c>
      <c r="AI25" s="58">
        <f>$G$14*(Z26-Z25-('HE GOI'!$F$159)*($C$15-$C$14))</f>
        <v>0</v>
      </c>
      <c r="AJ25" s="58">
        <f>$G$14*(AA26-AA25-(-'HE GOI'!$F$160)*($C$15-$C$14))</f>
        <v>0</v>
      </c>
      <c r="AK25" s="58">
        <f>$G$14*(AB26-AB25-(-INPUT!$F$167*0.000001)*($C$15-$C$14))</f>
        <v>0</v>
      </c>
      <c r="AL25" s="58">
        <f>$G$14*(AC26-AC25-(-INPUT!$F$166*0.000001)*($C$15-$C$14))</f>
        <v>0</v>
      </c>
    </row>
    <row r="26" spans="1:38" ht="15" customHeight="1" x14ac:dyDescent="0.3">
      <c r="B26" s="58">
        <v>0</v>
      </c>
      <c r="C26" s="58">
        <v>0</v>
      </c>
      <c r="D26" s="58">
        <v>0</v>
      </c>
      <c r="E26" s="58">
        <v>0</v>
      </c>
      <c r="F26" s="58">
        <f>IF(6&gt;$B$6,0,-$G$14)</f>
        <v>0</v>
      </c>
      <c r="G26" s="58">
        <f>IF(6&gt;$B$6,1,$G$14+$G$15+$J$15)</f>
        <v>1</v>
      </c>
      <c r="H26" s="58">
        <f>IF(6&gt;$B$6,0,-$G$15)</f>
        <v>0</v>
      </c>
      <c r="I26" s="58">
        <v>0</v>
      </c>
      <c r="J26" s="58">
        <v>0</v>
      </c>
      <c r="K26" s="58"/>
      <c r="L26" s="58">
        <f>IF(6&gt;$B$6,0,$G$14*($C$15-$C$14)*'HE GOI'!$F$159-$G$15*($C$16-$C$15)*'HE GOI'!$F$159)</f>
        <v>0</v>
      </c>
      <c r="M26" s="58">
        <f>IF(6&gt;$B$6,0,$G$14*($C$15-$C$14)*-'HE GOI'!$F$160-$G$15*($C$16-$C$15)*-'HE GOI'!$F$160)</f>
        <v>0</v>
      </c>
      <c r="N26" s="58">
        <f>IF(6&gt;$B$6,0,$G$14*($C$15-$C$14)*-INPUT!$F$167*0.000001-$G$15*($C$16-$C$15)*-INPUT!$F$167*0.000001)</f>
        <v>0</v>
      </c>
      <c r="O26" s="58">
        <f>IF(6&gt;$B$6,0,$G$14*($C$15-$C$14)*-INPUT!$F$166*0.000001-$G$15*($C$16-$C$15)*-INPUT!$F$166*0.000001)</f>
        <v>0</v>
      </c>
      <c r="P26" s="58"/>
      <c r="Q26" s="58">
        <f>IFERROR(H26/(G26-F26*Q25),0)</f>
        <v>0</v>
      </c>
      <c r="R26" s="58">
        <f>IFERROR((L26-F26*R25)/(G26-F26*Q25),0)</f>
        <v>0</v>
      </c>
      <c r="S26" s="58">
        <f>IFERROR(H26/(G26-F26*S25),0)</f>
        <v>0</v>
      </c>
      <c r="T26" s="58">
        <f>IFERROR((M26-F26*T25)/(G26-F26*S25),0)</f>
        <v>0</v>
      </c>
      <c r="U26" s="58">
        <f>IFERROR(H26/(G26-F26*U25),0)</f>
        <v>0</v>
      </c>
      <c r="V26" s="58">
        <f>IFERROR((N26-F26*V25)/(G26-F26*U25),0)</f>
        <v>0</v>
      </c>
      <c r="W26" s="58">
        <f>IFERROR(H26/(G26-F26*W25),0)</f>
        <v>0</v>
      </c>
      <c r="X26" s="58">
        <f>IFERROR((O26-F26*X25)/(G26-F26*W25),0)</f>
        <v>0</v>
      </c>
      <c r="Y26" s="58"/>
      <c r="Z26" s="58">
        <f t="shared" si="3"/>
        <v>0</v>
      </c>
      <c r="AA26" s="58">
        <f t="shared" si="4"/>
        <v>0</v>
      </c>
      <c r="AB26" s="58">
        <f t="shared" si="5"/>
        <v>0</v>
      </c>
      <c r="AC26" s="58">
        <f t="shared" si="6"/>
        <v>0</v>
      </c>
      <c r="AD26" s="58"/>
      <c r="AE26" s="58" t="str">
        <f>IF(A15&gt;$B$6,"",$J$15*Z26)</f>
        <v/>
      </c>
      <c r="AF26" s="58" t="str">
        <f>IF(A15&gt;$B$6,"",$J$15*AA26)</f>
        <v/>
      </c>
      <c r="AG26" s="58" t="str">
        <f>IF(A15&gt;$B$6,"",$J$15*AB26)</f>
        <v/>
      </c>
      <c r="AH26" s="58" t="str">
        <f>IF(A15&gt;$B$6,"",$J$15*AC26)</f>
        <v/>
      </c>
      <c r="AI26" s="58">
        <f>$G$15*(Z27-Z26-('HE GOI'!$F$159)*($C$16-$C$15))</f>
        <v>0</v>
      </c>
      <c r="AJ26" s="58">
        <f>$G$15*(AA27-AA26-(-'HE GOI'!$F$160)*($C$16-$C$15))</f>
        <v>0</v>
      </c>
      <c r="AK26" s="58">
        <f>$G$15*(AB27-AB26-(-INPUT!$F$167*0.000001)*($C$16-$C$15))</f>
        <v>0</v>
      </c>
      <c r="AL26" s="58">
        <f>$G$15*(AC27-AC26-(-INPUT!$F$166*0.000001)*($C$16-$C$15))</f>
        <v>0</v>
      </c>
    </row>
    <row r="27" spans="1:38" ht="15" customHeight="1" x14ac:dyDescent="0.3">
      <c r="B27" s="58">
        <v>0</v>
      </c>
      <c r="C27" s="58">
        <v>0</v>
      </c>
      <c r="D27" s="58">
        <v>0</v>
      </c>
      <c r="E27" s="58">
        <v>0</v>
      </c>
      <c r="F27" s="58">
        <v>0</v>
      </c>
      <c r="G27" s="58">
        <f>IF(7&gt;$B$6,0,-$G$15)</f>
        <v>0</v>
      </c>
      <c r="H27" s="58">
        <f>IF(7&gt;$B$6,1,$G$15+$G$16+$J$16)</f>
        <v>1</v>
      </c>
      <c r="I27" s="58">
        <f>IF(7&gt;$B$6,0,-$G$16)</f>
        <v>0</v>
      </c>
      <c r="J27" s="58">
        <v>0</v>
      </c>
      <c r="K27" s="58"/>
      <c r="L27" s="58">
        <f>IF(7&gt;$B$6,0,$G$15*($C$16-$C$15)*'HE GOI'!$F$159-$G$16*($C$17-$C$16)*'HE GOI'!$F$159)</f>
        <v>0</v>
      </c>
      <c r="M27" s="58">
        <f>IF(7&gt;$B$6,0,$G$15*($C$16-$C$15)*-'HE GOI'!$F$160-$G$16*($C$17-$C$16)*-'HE GOI'!$F$160)</f>
        <v>0</v>
      </c>
      <c r="N27" s="58">
        <f>IF(7&gt;$B$6,0,$G$15*($C$16-$C$15)*-INPUT!$F$167*0.000001-$G$16*($C$17-$C$16)*-INPUT!$F$167*0.000001)</f>
        <v>0</v>
      </c>
      <c r="O27" s="58">
        <f>IF(7&gt;$B$6,0,$G$15*($C$16-$C$15)*-INPUT!$F$166*0.000001-$G$16*($C$17-$C$16)*-INPUT!$F$166*0.000001)</f>
        <v>0</v>
      </c>
      <c r="P27" s="58"/>
      <c r="Q27" s="58">
        <f>IFERROR(I27/(H27-G27*Q26),0)</f>
        <v>0</v>
      </c>
      <c r="R27" s="58">
        <f>IFERROR((L27-G27*R26)/(H27-G27*Q26),0)</f>
        <v>0</v>
      </c>
      <c r="S27" s="58">
        <f>IFERROR(I27/(H27-G27*S26),0)</f>
        <v>0</v>
      </c>
      <c r="T27" s="58">
        <f>IFERROR((M27-G27*T26)/(H27-G27*S26),0)</f>
        <v>0</v>
      </c>
      <c r="U27" s="58">
        <f>IFERROR(I27/(H27-G27*U26),0)</f>
        <v>0</v>
      </c>
      <c r="V27" s="58">
        <f>IFERROR((N27-G27*V26)/(H27-G27*U26),0)</f>
        <v>0</v>
      </c>
      <c r="W27" s="58">
        <f>IFERROR(I27/(H27-G27*W26),0)</f>
        <v>0</v>
      </c>
      <c r="X27" s="58">
        <f>IFERROR((O27-G27*X26)/(H27-G27*W26),0)</f>
        <v>0</v>
      </c>
      <c r="Y27" s="58"/>
      <c r="Z27" s="58">
        <f t="shared" si="3"/>
        <v>0</v>
      </c>
      <c r="AA27" s="58">
        <f t="shared" si="4"/>
        <v>0</v>
      </c>
      <c r="AB27" s="58">
        <f t="shared" si="5"/>
        <v>0</v>
      </c>
      <c r="AC27" s="58">
        <f t="shared" si="6"/>
        <v>0</v>
      </c>
      <c r="AD27" s="58"/>
      <c r="AE27" s="58" t="str">
        <f>IF(A16&gt;$B$6,"",$J$16*Z27)</f>
        <v/>
      </c>
      <c r="AF27" s="58" t="str">
        <f>IF(A16&gt;$B$6,"",$J$16*AA27)</f>
        <v/>
      </c>
      <c r="AG27" s="58" t="str">
        <f>IF(A16&gt;$B$6,"",$J$16*AB27)</f>
        <v/>
      </c>
      <c r="AH27" s="58" t="str">
        <f>IF(A16&gt;$B$6,"",$J$16*AC27)</f>
        <v/>
      </c>
      <c r="AI27" s="58">
        <f>$G$16*(Z28-Z27-('HE GOI'!$F$159)*($C$17-$C$16))</f>
        <v>0</v>
      </c>
      <c r="AJ27" s="58">
        <f>$G$16*(AA28-AA27-(-'HE GOI'!$F$160)*($C$17-$C$16))</f>
        <v>0</v>
      </c>
      <c r="AK27" s="58">
        <f>$G$16*(AB28-AB27-(-INPUT!$F$167*0.000001)*($C$17-$C$16))</f>
        <v>0</v>
      </c>
      <c r="AL27" s="58">
        <f>$G$16*(AC28-AC27-(-INPUT!$F$166*0.000001)*($C$17-$C$16))</f>
        <v>0</v>
      </c>
    </row>
    <row r="28" spans="1:38" ht="15" customHeight="1" x14ac:dyDescent="0.3">
      <c r="B28" s="58">
        <v>0</v>
      </c>
      <c r="C28" s="58">
        <v>0</v>
      </c>
      <c r="D28" s="58">
        <v>0</v>
      </c>
      <c r="E28" s="58">
        <v>0</v>
      </c>
      <c r="F28" s="58">
        <v>0</v>
      </c>
      <c r="G28" s="58">
        <v>0</v>
      </c>
      <c r="H28" s="58">
        <f>IF(8&gt;$B$6,0,-$G$16)</f>
        <v>0</v>
      </c>
      <c r="I28" s="58">
        <f>IF(8&gt;$B$6,1,$G$16+$G$17+$J$17)</f>
        <v>1</v>
      </c>
      <c r="J28" s="58">
        <f>IF(8&gt;$B$6,0,-$G$17)</f>
        <v>0</v>
      </c>
      <c r="K28" s="58"/>
      <c r="L28" s="58">
        <f>IF(8&gt;$B$6,0,$G$16*($C$17-$C$16)*'HE GOI'!$F$159-$G$17*($C$18-$C$17)*'HE GOI'!$F$159)</f>
        <v>0</v>
      </c>
      <c r="M28" s="58">
        <f>IF(8&gt;$B$6,0,$G$16*($C$17-$C$16)*-'HE GOI'!$F$160-$G$17*($C$18-$C$17)*-'HE GOI'!$F$160)</f>
        <v>0</v>
      </c>
      <c r="N28" s="58">
        <f>IF(8&gt;$B$6,0,$G$16*($C$17-$C$16)*-INPUT!$F$167*0.000001-$G$17*($C$18-$C$17)*-INPUT!$F$167*0.000001)</f>
        <v>0</v>
      </c>
      <c r="O28" s="58">
        <f>IF(8&gt;$B$6,0,$G$16*($C$17-$C$16)*-INPUT!$F$166*0.000001-$G$17*($C$18-$C$17)*-INPUT!$F$166*0.000001)</f>
        <v>0</v>
      </c>
      <c r="P28" s="58"/>
      <c r="Q28" s="58">
        <f>IFERROR(J28/(I28-H28*Q27),0)</f>
        <v>0</v>
      </c>
      <c r="R28" s="58">
        <f>IFERROR((L28-H28*R27)/(I28-H28*Q27),0)</f>
        <v>0</v>
      </c>
      <c r="S28" s="58">
        <f>IFERROR(J28/(I28-H28*S27),0)</f>
        <v>0</v>
      </c>
      <c r="T28" s="58">
        <f>IFERROR((M28-H28*T27)/(I28-H28*S27),0)</f>
        <v>0</v>
      </c>
      <c r="U28" s="58">
        <f>IFERROR(J28/(I28-H28*U27),0)</f>
        <v>0</v>
      </c>
      <c r="V28" s="58">
        <f>IFERROR((N28-H28*V27)/(I28-H28*U27),0)</f>
        <v>0</v>
      </c>
      <c r="W28" s="58">
        <f>IFERROR(J28/(I28-H28*W27),0)</f>
        <v>0</v>
      </c>
      <c r="X28" s="58">
        <f>IFERROR((O28-H28*X27)/(I28-H28*W27),0)</f>
        <v>0</v>
      </c>
      <c r="Y28" s="58"/>
      <c r="Z28" s="58">
        <f t="shared" si="3"/>
        <v>0</v>
      </c>
      <c r="AA28" s="58">
        <f t="shared" si="4"/>
        <v>0</v>
      </c>
      <c r="AB28" s="58">
        <f t="shared" si="5"/>
        <v>0</v>
      </c>
      <c r="AC28" s="58">
        <f t="shared" si="6"/>
        <v>0</v>
      </c>
      <c r="AD28" s="58"/>
      <c r="AE28" s="58" t="str">
        <f>IF(A17&gt;$B$6,"",$J$17*Z28)</f>
        <v/>
      </c>
      <c r="AF28" s="58" t="str">
        <f>IF(A17&gt;$B$6,"",$J$17*AA28)</f>
        <v/>
      </c>
      <c r="AG28" s="58" t="str">
        <f>IF(A17&gt;$B$6,"",$J$17*AB28)</f>
        <v/>
      </c>
      <c r="AH28" s="58" t="str">
        <f>IF(A17&gt;$B$6,"",$J$17*AC28)</f>
        <v/>
      </c>
      <c r="AI28" s="58">
        <f>$G$17*(Z29-Z28-('HE GOI'!$F$159)*($C$18-$C$17))</f>
        <v>0</v>
      </c>
      <c r="AJ28" s="58">
        <f>$G$17*(AA29-AA28-(-'HE GOI'!$F$160)*($C$18-$C$17))</f>
        <v>0</v>
      </c>
      <c r="AK28" s="58">
        <f>$G$17*(AB29-AB28-(-INPUT!$F$167*0.000001)*($C$18-$C$17))</f>
        <v>0</v>
      </c>
      <c r="AL28" s="58">
        <f>$G$17*(AC29-AC28-(-INPUT!$F$166*0.000001)*($C$18-$C$17))</f>
        <v>0</v>
      </c>
    </row>
    <row r="29" spans="1:38" ht="15" customHeight="1" x14ac:dyDescent="0.3">
      <c r="B29" s="58">
        <v>0</v>
      </c>
      <c r="C29" s="58">
        <v>0</v>
      </c>
      <c r="D29" s="58">
        <v>0</v>
      </c>
      <c r="E29" s="58">
        <v>0</v>
      </c>
      <c r="F29" s="58">
        <v>0</v>
      </c>
      <c r="G29" s="58">
        <v>0</v>
      </c>
      <c r="H29" s="58">
        <v>0</v>
      </c>
      <c r="I29" s="58">
        <f>IF(9&gt;$B$6,0,-$G$17)</f>
        <v>0</v>
      </c>
      <c r="J29" s="58">
        <f>IF(9&gt;$B$6,1,$G$17+0+$J$18)</f>
        <v>1</v>
      </c>
      <c r="K29" s="58"/>
      <c r="L29" s="58">
        <f>IF(9&gt;$B$6,0,$G$17*($C$18-$C$17)*'HE GOI'!$F$159-0*0*'HE GOI'!$F$159)</f>
        <v>0</v>
      </c>
      <c r="M29" s="58">
        <f>IF(9&gt;$B$6,0,$G$17*($C$18-$C$17)*-'HE GOI'!$F$160-0*0*-'HE GOI'!$F$160)</f>
        <v>0</v>
      </c>
      <c r="N29" s="58">
        <f>IF(9&gt;$B$6,0,$G$17*($C$18-$C$17)*-INPUT!$F$167*0.000001-0*0*-INPUT!$F$167*0.000001)</f>
        <v>0</v>
      </c>
      <c r="O29" s="58">
        <f>IF(9&gt;$B$6,0,$G$17*($C$18-$C$17)*-INPUT!$F$166*0.000001-0*0*-INPUT!$F$166*0.000001)</f>
        <v>0</v>
      </c>
      <c r="P29" s="58"/>
      <c r="Q29" s="58">
        <v>0</v>
      </c>
      <c r="R29" s="58">
        <f>IFERROR((L29-I29*R28)/(J29-I29*Q28),0)</f>
        <v>0</v>
      </c>
      <c r="S29" s="58">
        <v>0</v>
      </c>
      <c r="T29" s="58">
        <f>IFERROR((M29-I29*T28)/(J29-I29*S28),0)</f>
        <v>0</v>
      </c>
      <c r="U29" s="58">
        <v>0</v>
      </c>
      <c r="V29" s="58">
        <f>IFERROR((N29-I29*V28)/(J29-I29*U28),0)</f>
        <v>0</v>
      </c>
      <c r="W29" s="58">
        <v>0</v>
      </c>
      <c r="X29" s="58">
        <f>IFERROR((O29-I29*X28)/(J29-I29*W28),0)</f>
        <v>0</v>
      </c>
      <c r="Y29" s="58"/>
      <c r="Z29" s="58">
        <f>R29</f>
        <v>0</v>
      </c>
      <c r="AA29" s="58">
        <f>T29</f>
        <v>0</v>
      </c>
      <c r="AB29" s="58">
        <f>V29</f>
        <v>0</v>
      </c>
      <c r="AC29" s="58">
        <f>X29</f>
        <v>0</v>
      </c>
      <c r="AD29" s="58"/>
      <c r="AE29" s="58" t="str">
        <f>IF(A18&gt;$B$6,"",$J$18*Z29)</f>
        <v/>
      </c>
      <c r="AF29" s="58" t="str">
        <f>IF(A18&gt;$B$6,"",$J$18*AA29)</f>
        <v/>
      </c>
      <c r="AG29" s="58" t="str">
        <f>IF(A18&gt;$B$6,"",$J$18*AB29)</f>
        <v/>
      </c>
      <c r="AH29" s="58" t="str">
        <f>IF(A18&gt;$B$6,"",$J$18*AC29)</f>
        <v/>
      </c>
      <c r="AI29" s="58">
        <v>0</v>
      </c>
      <c r="AJ29" s="58">
        <v>0</v>
      </c>
      <c r="AK29" s="58">
        <v>0</v>
      </c>
      <c r="AL29" s="58">
        <v>0</v>
      </c>
    </row>
    <row r="30" spans="1:38" ht="15" customHeight="1" x14ac:dyDescent="0.3">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row>
    <row r="31" spans="1:38" ht="15" customHeight="1" x14ac:dyDescent="0.3">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row>
    <row r="32" spans="1:38" ht="22.05" customHeight="1" x14ac:dyDescent="0.3">
      <c r="A32" s="141" t="s">
        <v>1629</v>
      </c>
      <c r="B32" s="155"/>
      <c r="C32" s="155"/>
      <c r="D32" s="155"/>
      <c r="E32" s="155"/>
      <c r="F32" s="155"/>
      <c r="G32" s="155"/>
      <c r="H32" s="155"/>
      <c r="I32" s="155"/>
      <c r="J32" s="155"/>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row>
    <row r="33" spans="1:38" x14ac:dyDescent="0.3">
      <c r="A33" s="55" t="s">
        <v>1049</v>
      </c>
      <c r="B33" s="60" t="s">
        <v>1630</v>
      </c>
      <c r="C33" s="60" t="s">
        <v>1631</v>
      </c>
      <c r="D33" s="60" t="s">
        <v>1632</v>
      </c>
      <c r="E33" s="60" t="s">
        <v>72</v>
      </c>
      <c r="F33" s="60" t="s">
        <v>1633</v>
      </c>
      <c r="G33" s="60" t="s">
        <v>1377</v>
      </c>
      <c r="H33" s="60" t="s">
        <v>1054</v>
      </c>
      <c r="I33" s="60"/>
      <c r="J33" s="60"/>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row>
    <row r="34" spans="1:38" x14ac:dyDescent="0.3">
      <c r="A34" s="42" t="s">
        <v>1055</v>
      </c>
      <c r="B34" s="58">
        <f>IF(F34=1,0,-INDEX(AI$21:AI$29,F34-1))</f>
        <v>0</v>
      </c>
      <c r="C34" s="58">
        <f>IF(F34&gt;=$B$6,0,INDEX(AI$21:AI$29,F34))</f>
        <v>-1521.6710398756793</v>
      </c>
      <c r="D34" s="58">
        <f>INDEX(AE$21:AE$29,F34)</f>
        <v>-1521.6710398757043</v>
      </c>
      <c r="E34" s="58"/>
      <c r="F34" s="58">
        <f>MATCH(INPUT!D5,$B$10:$B$18,0)</f>
        <v>2</v>
      </c>
      <c r="G34" s="58" t="str">
        <f>IF(SUM($J$10:$J$18)=0,"BLOCKED — KHÔNG CÓ ĐIỂM GIỮ","DÙNG ĐƯỢC — XẤP XỈ 1D")</f>
        <v>DÙNG ĐƯỢC — XẤP XỈ 1D</v>
      </c>
      <c r="H34" s="153" t="s">
        <v>1634</v>
      </c>
      <c r="I34" s="153"/>
      <c r="J34" s="153"/>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row>
    <row r="35" spans="1:38" x14ac:dyDescent="0.3">
      <c r="A35" s="42" t="s">
        <v>1057</v>
      </c>
      <c r="B35" s="58">
        <f>IF(F35=1,0,-INDEX(AJ$21:AJ$29,F35-1))</f>
        <v>2.248360081414877E-11</v>
      </c>
      <c r="C35" s="58">
        <f>IF(F35&gt;=$B$6,0,INDEX(AJ$21:AJ$29,F35))</f>
        <v>1383.3373089778861</v>
      </c>
      <c r="D35" s="58">
        <f>INDEX(AF$21:AF$29,F35)</f>
        <v>1383.337308977915</v>
      </c>
      <c r="E35" s="58"/>
      <c r="F35" s="58">
        <f>MATCH(INPUT!D5,$B$10:$B$18,0)</f>
        <v>2</v>
      </c>
      <c r="G35" s="58"/>
      <c r="H35" s="153"/>
      <c r="I35" s="153"/>
      <c r="J35" s="153"/>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row>
    <row r="36" spans="1:38" x14ac:dyDescent="0.3">
      <c r="A36" s="42" t="s">
        <v>1058</v>
      </c>
      <c r="B36" s="58">
        <f>IF(F36=1,0,-INDEX(AK$21:AK$29,F36-1))</f>
        <v>-5.6209002035371924E-12</v>
      </c>
      <c r="C36" s="58">
        <f>IF(F36&gt;=$B$6,0,INDEX(AK$21:AK$29,F36))</f>
        <v>512.34715147329575</v>
      </c>
      <c r="D36" s="58">
        <f>INDEX(AG$21:AG$29,F36)</f>
        <v>512.34715147329803</v>
      </c>
      <c r="E36" s="58"/>
      <c r="F36" s="58">
        <f>MATCH(INPUT!D5,$B$10:$B$18,0)</f>
        <v>2</v>
      </c>
      <c r="G36" s="58"/>
      <c r="H36" s="153"/>
      <c r="I36" s="153"/>
      <c r="J36" s="153"/>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row>
    <row r="37" spans="1:38" x14ac:dyDescent="0.3">
      <c r="A37" s="42" t="s">
        <v>1060</v>
      </c>
      <c r="B37" s="58">
        <f>IF(F37=1,0,-INDEX(AL$21:AL$29,F37-1))</f>
        <v>-2.8104501017685962E-12</v>
      </c>
      <c r="C37" s="58">
        <f>IF(F37&gt;=$B$6,0,INDEX(AL$21:AL$29,F37))</f>
        <v>320.21696967081124</v>
      </c>
      <c r="D37" s="58">
        <f>INDEX(AH$21:AH$29,F37)</f>
        <v>320.21696967081334</v>
      </c>
      <c r="E37" s="58"/>
      <c r="F37" s="58">
        <f>MATCH(INPUT!D5,$B$10:$B$18,0)</f>
        <v>2</v>
      </c>
      <c r="G37" s="58"/>
      <c r="H37" s="153"/>
      <c r="I37" s="153"/>
      <c r="J37" s="153"/>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row>
    <row r="38" spans="1:38" x14ac:dyDescent="0.3">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row>
    <row r="39" spans="1:38" x14ac:dyDescent="0.3">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38" x14ac:dyDescent="0.3">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row>
  </sheetData>
  <mergeCells count="6">
    <mergeCell ref="H34:J37"/>
    <mergeCell ref="A1:J1"/>
    <mergeCell ref="A2:J2"/>
    <mergeCell ref="A8:K8"/>
    <mergeCell ref="A20:J20"/>
    <mergeCell ref="A32:J3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268</vt:i4>
      </vt:variant>
    </vt:vector>
  </HeadingPairs>
  <TitlesOfParts>
    <vt:vector size="293" baseType="lpstr">
      <vt:lpstr>HDSD</vt:lpstr>
      <vt:lpstr>INPUT</vt:lpstr>
      <vt:lpstr>TINH TAI</vt:lpstr>
      <vt:lpstr>HOAT TAI</vt:lpstr>
      <vt:lpstr>GIO-WA</vt:lpstr>
      <vt:lpstr>DONG DAT</vt:lpstr>
      <vt:lpstr>VA XE-TAU</vt:lpstr>
      <vt:lpstr>TO HOP</vt:lpstr>
      <vt:lpstr>TS-PILE</vt:lpstr>
      <vt:lpstr>KT THAN</vt:lpstr>
      <vt:lpstr>HE GOI</vt:lpstr>
      <vt:lpstr>XA MU</vt:lpstr>
      <vt:lpstr>XA MU GOI</vt:lpstr>
      <vt:lpstr>XA MU DUL</vt:lpstr>
      <vt:lpstr>KT BE</vt:lpstr>
      <vt:lpstr>TS-COL-CAP</vt:lpstr>
      <vt:lpstr>TO HOP GOI DAU</vt:lpstr>
      <vt:lpstr>FIBER ENGINE</vt:lpstr>
      <vt:lpstr>KT THAN FIBER</vt:lpstr>
      <vt:lpstr>TRU 2 THAN</vt:lpstr>
      <vt:lpstr>QA TRU</vt:lpstr>
      <vt:lpstr>LANE ENGINE</vt:lpstr>
      <vt:lpstr>TO HOP NLAN</vt:lpstr>
      <vt:lpstr>PILE NLAN</vt:lpstr>
      <vt:lpstr>GOI 1D</vt:lpstr>
      <vt:lpstr>Add</vt:lpstr>
      <vt:lpstr>Agmr</vt:lpstr>
      <vt:lpstr>Agth</vt:lpstr>
      <vt:lpstr>Agth2</vt:lpstr>
      <vt:lpstr>alpha_</vt:lpstr>
      <vt:lpstr>Aptfe</vt:lpstr>
      <vt:lpstr>Arub</vt:lpstr>
      <vt:lpstr>askew</vt:lpstr>
      <vt:lpstr>b_xm</vt:lpstr>
      <vt:lpstr>Bbe</vt:lpstr>
      <vt:lpstr>blc_</vt:lpstr>
      <vt:lpstr>bmr</vt:lpstr>
      <vt:lpstr>bPL</vt:lpstr>
      <vt:lpstr>BR_Mdb</vt:lpstr>
      <vt:lpstr>BR_Mtb</vt:lpstr>
      <vt:lpstr>bth2r</vt:lpstr>
      <vt:lpstr>bthan</vt:lpstr>
      <vt:lpstr>bthan2</vt:lpstr>
      <vt:lpstr>Bxe</vt:lpstr>
      <vt:lpstr>bxm</vt:lpstr>
      <vt:lpstr>capOpt</vt:lpstr>
      <vt:lpstr>capRmin</vt:lpstr>
      <vt:lpstr>Cbe</vt:lpstr>
      <vt:lpstr>cch</vt:lpstr>
      <vt:lpstr>cchy</vt:lpstr>
      <vt:lpstr>Cdkcn</vt:lpstr>
      <vt:lpstr>CDnc</vt:lpstr>
      <vt:lpstr>Cdthan</vt:lpstr>
      <vt:lpstr>CE_H</vt:lpstr>
      <vt:lpstr>CE_Mdb</vt:lpstr>
      <vt:lpstr>CE_Mtb</vt:lpstr>
      <vt:lpstr>chmode</vt:lpstr>
      <vt:lpstr>CLnc</vt:lpstr>
      <vt:lpstr>coefP_</vt:lpstr>
      <vt:lpstr>coefT_</vt:lpstr>
      <vt:lpstr>CS_H</vt:lpstr>
      <vt:lpstr>Csm_d</vt:lpstr>
      <vt:lpstr>Csm_n</vt:lpstr>
      <vt:lpstr>csmode</vt:lpstr>
      <vt:lpstr>CT_</vt:lpstr>
      <vt:lpstr>CT_H</vt:lpstr>
      <vt:lpstr>CT_Mdb</vt:lpstr>
      <vt:lpstr>CT_Mtb</vt:lpstr>
      <vt:lpstr>CTon</vt:lpstr>
      <vt:lpstr>curidx</vt:lpstr>
      <vt:lpstr>CV_</vt:lpstr>
      <vt:lpstr>CV_H</vt:lpstr>
      <vt:lpstr>CV_Mdb</vt:lpstr>
      <vt:lpstr>CV_Mtb</vt:lpstr>
      <vt:lpstr>DC2_G</vt:lpstr>
      <vt:lpstr>DC3_G</vt:lpstr>
      <vt:lpstr>Dcoc</vt:lpstr>
      <vt:lpstr>dkcn</vt:lpstr>
      <vt:lpstr>dLcsL_</vt:lpstr>
      <vt:lpstr>dLcsR_</vt:lpstr>
      <vt:lpstr>dTm_</vt:lpstr>
      <vt:lpstr>dTp_</vt:lpstr>
      <vt:lpstr>Ec_</vt:lpstr>
      <vt:lpstr>ecrrem_</vt:lpstr>
      <vt:lpstr>epsCS</vt:lpstr>
      <vt:lpstr>epsTUm</vt:lpstr>
      <vt:lpstr>epsTUp</vt:lpstr>
      <vt:lpstr>EQd_H_db</vt:lpstr>
      <vt:lpstr>EQd_H_tb</vt:lpstr>
      <vt:lpstr>EQd_M_db</vt:lpstr>
      <vt:lpstr>EQd_M_tb</vt:lpstr>
      <vt:lpstr>EQn_H_db</vt:lpstr>
      <vt:lpstr>EQn_H_tb</vt:lpstr>
      <vt:lpstr>EQn_M_db</vt:lpstr>
      <vt:lpstr>EQn_M_tb</vt:lpstr>
      <vt:lpstr>Es_</vt:lpstr>
      <vt:lpstr>eshrem_</vt:lpstr>
      <vt:lpstr>exL</vt:lpstr>
      <vt:lpstr>exR</vt:lpstr>
      <vt:lpstr>fc_</vt:lpstr>
      <vt:lpstr>fibMX</vt:lpstr>
      <vt:lpstr>fibMY</vt:lpstr>
      <vt:lpstr>fibPX</vt:lpstr>
      <vt:lpstr>fibPY</vt:lpstr>
      <vt:lpstr>fms</vt:lpstr>
      <vt:lpstr>fms_manual</vt:lpstr>
      <vt:lpstr>fms_ptfe</vt:lpstr>
      <vt:lpstr>fr_</vt:lpstr>
      <vt:lpstr>FR_H</vt:lpstr>
      <vt:lpstr>FR_Mdb</vt:lpstr>
      <vt:lpstr>FR_Mtb</vt:lpstr>
      <vt:lpstr>FR2slide</vt:lpstr>
      <vt:lpstr>FRlocP</vt:lpstr>
      <vt:lpstr>FRlocT</vt:lpstr>
      <vt:lpstr>FrowP</vt:lpstr>
      <vt:lpstr>FrowT</vt:lpstr>
      <vt:lpstr>FRtrP</vt:lpstr>
      <vt:lpstr>FRtrT</vt:lpstr>
      <vt:lpstr>FRval</vt:lpstr>
      <vt:lpstr>fy_</vt:lpstr>
      <vt:lpstr>gcbt</vt:lpstr>
      <vt:lpstr>gcmode</vt:lpstr>
      <vt:lpstr>gnc</vt:lpstr>
      <vt:lpstr>goiClassTbl</vt:lpstr>
      <vt:lpstr>goiForceMode</vt:lpstr>
      <vt:lpstr>goiListRng</vt:lpstr>
      <vt:lpstr>goiP_</vt:lpstr>
      <vt:lpstr>goiT_</vt:lpstr>
      <vt:lpstr>Grub</vt:lpstr>
      <vt:lpstr>H_CR_global</vt:lpstr>
      <vt:lpstr>H_extra</vt:lpstr>
      <vt:lpstr>H_SE_global</vt:lpstr>
      <vt:lpstr>H_SH_global</vt:lpstr>
      <vt:lpstr>H_TUminus_global</vt:lpstr>
      <vt:lpstr>H_TUplus_global</vt:lpstr>
      <vt:lpstr>Hbe</vt:lpstr>
      <vt:lpstr>Hcot</vt:lpstr>
      <vt:lpstr>hdam</vt:lpstr>
      <vt:lpstr>hgoi</vt:lpstr>
      <vt:lpstr>hmr</vt:lpstr>
      <vt:lpstr>HpCS</vt:lpstr>
      <vt:lpstr>HpTUm</vt:lpstr>
      <vt:lpstr>HpTUp</vt:lpstr>
      <vt:lpstr>hth2r</vt:lpstr>
      <vt:lpstr>hthan</vt:lpstr>
      <vt:lpstr>hthan2</vt:lpstr>
      <vt:lpstr>hxm</vt:lpstr>
      <vt:lpstr>IM_</vt:lpstr>
      <vt:lpstr>Ithan</vt:lpstr>
      <vt:lpstr>Kbrow</vt:lpstr>
      <vt:lpstr>kL_</vt:lpstr>
      <vt:lpstr>kR_</vt:lpstr>
      <vt:lpstr>Kthan</vt:lpstr>
      <vt:lpstr>L1_</vt:lpstr>
      <vt:lpstr>L2_</vt:lpstr>
      <vt:lpstr>LL1_Mx</vt:lpstr>
      <vt:lpstr>LL1_My</vt:lpstr>
      <vt:lpstr>LL1_N</vt:lpstr>
      <vt:lpstr>LL2_Mx</vt:lpstr>
      <vt:lpstr>LL2_N</vt:lpstr>
      <vt:lpstr>loaiPrng</vt:lpstr>
      <vt:lpstr>loaiTrng</vt:lpstr>
      <vt:lpstr>Ls1_</vt:lpstr>
      <vt:lpstr>Ls2_</vt:lpstr>
      <vt:lpstr>Lxm</vt:lpstr>
      <vt:lpstr>MNCN</vt:lpstr>
      <vt:lpstr>MNTN</vt:lpstr>
      <vt:lpstr>mumode</vt:lpstr>
      <vt:lpstr>N_perm</vt:lpstr>
      <vt:lpstr>namerng</vt:lpstr>
      <vt:lpstr>nch1_</vt:lpstr>
      <vt:lpstr>nch2_</vt:lpstr>
      <vt:lpstr>nch3_</vt:lpstr>
      <vt:lpstr>nch4_</vt:lpstr>
      <vt:lpstr>ncoc</vt:lpstr>
      <vt:lpstr>ndam</vt:lpstr>
      <vt:lpstr>nFixedTotal</vt:lpstr>
      <vt:lpstr>ngoi</vt:lpstr>
      <vt:lpstr>nhang</vt:lpstr>
      <vt:lpstr>nKhoa2Dau</vt:lpstr>
      <vt:lpstr>nLan</vt:lpstr>
      <vt:lpstr>Nleft</vt:lpstr>
      <vt:lpstr>Nright</vt:lpstr>
      <vt:lpstr>nThan</vt:lpstr>
      <vt:lpstr>pileN</vt:lpstr>
      <vt:lpstr>pileS</vt:lpstr>
      <vt:lpstr>pileX</vt:lpstr>
      <vt:lpstr>Pmax_CD</vt:lpstr>
      <vt:lpstr>Pmax_DB</vt:lpstr>
      <vt:lpstr>Pmax_SD</vt:lpstr>
      <vt:lpstr>Pmin_CD</vt:lpstr>
      <vt:lpstr>pPL</vt:lpstr>
      <vt:lpstr>ptfetype</vt:lpstr>
      <vt:lpstr>qlan</vt:lpstr>
      <vt:lpstr>Rcong</vt:lpstr>
      <vt:lpstr>RDC1_</vt:lpstr>
      <vt:lpstr>RDC2_</vt:lpstr>
      <vt:lpstr>RDW1_</vt:lpstr>
      <vt:lpstr>RDW2_</vt:lpstr>
      <vt:lpstr>Rmo</vt:lpstr>
      <vt:lpstr>Rtru</vt:lpstr>
      <vt:lpstr>sch1_</vt:lpstr>
      <vt:lpstr>sch2_</vt:lpstr>
      <vt:lpstr>sch3_</vt:lpstr>
      <vt:lpstr>sch4_</vt:lpstr>
      <vt:lpstr>sdam</vt:lpstr>
      <vt:lpstr>Sdd</vt:lpstr>
      <vt:lpstr>Sgio</vt:lpstr>
      <vt:lpstr>sgng</vt:lpstr>
      <vt:lpstr>sgoi</vt:lpstr>
      <vt:lpstr>shp</vt:lpstr>
      <vt:lpstr>sigPTFE</vt:lpstr>
      <vt:lpstr>soildd</vt:lpstr>
      <vt:lpstr>statFarL_</vt:lpstr>
      <vt:lpstr>statFarR_</vt:lpstr>
      <vt:lpstr>statP_</vt:lpstr>
      <vt:lpstr>statPrng</vt:lpstr>
      <vt:lpstr>statT_</vt:lpstr>
      <vt:lpstr>statTrng</vt:lpstr>
      <vt:lpstr>sThan</vt:lpstr>
      <vt:lpstr>T0_</vt:lpstr>
      <vt:lpstr>terub</vt:lpstr>
      <vt:lpstr>Tmax_</vt:lpstr>
      <vt:lpstr>Tmin_</vt:lpstr>
      <vt:lpstr>tsban</vt:lpstr>
      <vt:lpstr>TSPILE_FC</vt:lpstr>
      <vt:lpstr>TSPILE_L</vt:lpstr>
      <vt:lpstr>TSPILE_L0</vt:lpstr>
      <vt:lpstr>TSPILE_M</vt:lpstr>
      <vt:lpstr>TSPILE_MC</vt:lpstr>
      <vt:lpstr>TSPILE_MD</vt:lpstr>
      <vt:lpstr>TSPILE_MQ</vt:lpstr>
      <vt:lpstr>TSPILE_WC</vt:lpstr>
      <vt:lpstr>TU_H</vt:lpstr>
      <vt:lpstr>uLcs</vt:lpstr>
      <vt:lpstr>uLtum</vt:lpstr>
      <vt:lpstr>uLtup</vt:lpstr>
      <vt:lpstr>upcs</vt:lpstr>
      <vt:lpstr>uptum</vt:lpstr>
      <vt:lpstr>uptup</vt:lpstr>
      <vt:lpstr>uRcs</vt:lpstr>
      <vt:lpstr>uRtum</vt:lpstr>
      <vt:lpstr>uRtup</vt:lpstr>
      <vt:lpstr>USE_TSPILE</vt:lpstr>
      <vt:lpstr>V_gio</vt:lpstr>
      <vt:lpstr>vartiet</vt:lpstr>
      <vt:lpstr>VB_</vt:lpstr>
      <vt:lpstr>vgzone</vt:lpstr>
      <vt:lpstr>Vnc</vt:lpstr>
      <vt:lpstr>Vtk</vt:lpstr>
      <vt:lpstr>Vxm</vt:lpstr>
      <vt:lpstr>WAd_H</vt:lpstr>
      <vt:lpstr>WAd_Mdb</vt:lpstr>
      <vt:lpstr>WAd_Mtb</vt:lpstr>
      <vt:lpstr>WAn_H</vt:lpstr>
      <vt:lpstr>WAn_Mdb</vt:lpstr>
      <vt:lpstr>WAn_Mtb</vt:lpstr>
      <vt:lpstr>WB_N</vt:lpstr>
      <vt:lpstr>Wcau</vt:lpstr>
      <vt:lpstr>WLd_H</vt:lpstr>
      <vt:lpstr>WLd_Mdb</vt:lpstr>
      <vt:lpstr>WLd_Mtb</vt:lpstr>
      <vt:lpstr>WLn_H</vt:lpstr>
      <vt:lpstr>WLn_Mdb</vt:lpstr>
      <vt:lpstr>WLn_Mtb</vt:lpstr>
      <vt:lpstr>WSd_H_25</vt:lpstr>
      <vt:lpstr>WSd_H_V</vt:lpstr>
      <vt:lpstr>WSd_Mdb_25</vt:lpstr>
      <vt:lpstr>WSd_Mdb_V</vt:lpstr>
      <vt:lpstr>WSd_Mtb_25</vt:lpstr>
      <vt:lpstr>WSd_Mtb_V</vt:lpstr>
      <vt:lpstr>WSn_H_25</vt:lpstr>
      <vt:lpstr>WSn_H_V</vt:lpstr>
      <vt:lpstr>WSn_Mdb_25</vt:lpstr>
      <vt:lpstr>WSn_Mdb_V</vt:lpstr>
      <vt:lpstr>WSn_Mtb_25</vt:lpstr>
      <vt:lpstr>WSn_Mtb_V</vt:lpstr>
      <vt:lpstr>WSv_N</vt:lpstr>
      <vt:lpstr>xh1_</vt:lpstr>
      <vt:lpstr>xh2_</vt:lpstr>
      <vt:lpstr>xh3_</vt:lpstr>
      <vt:lpstr>xh4_</vt:lpstr>
      <vt:lpstr>xm_nP</vt:lpstr>
      <vt:lpstr>xm_nT</vt:lpstr>
      <vt:lpstr>xm_sP</vt:lpstr>
      <vt:lpstr>xm_sT</vt:lpstr>
      <vt:lpstr>xm_xmc_override</vt:lpstr>
      <vt:lpstr>xm_y0P</vt:lpstr>
      <vt:lpstr>xm_y0T</vt:lpstr>
      <vt:lpstr>xrng</vt:lpstr>
      <vt:lpstr>zBR</vt:lpstr>
      <vt:lpstr>zCT</vt:lpstr>
      <vt:lpstr>zCV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N2Dung</dc:creator>
  <cp:lastModifiedBy>Dũng Nguyễn</cp:lastModifiedBy>
  <dcterms:created xsi:type="dcterms:W3CDTF">2026-08-12T04:10:04Z</dcterms:created>
  <dcterms:modified xsi:type="dcterms:W3CDTF">2026-08-15T17:12:28Z</dcterms:modified>
</cp:coreProperties>
</file>